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dio" sheetId="1" r:id="rId4"/>
    <sheet state="visible" name="AudioSummary" sheetId="2" r:id="rId5"/>
    <sheet state="visible" name="BatchAudioSummary" sheetId="3" r:id="rId6"/>
    <sheet state="visible" name="raw" sheetId="4" r:id="rId7"/>
    <sheet state="visible" name="Stats" sheetId="5" r:id="rId8"/>
    <sheet state="visible" name="Stats2" sheetId="6" r:id="rId9"/>
    <sheet state="visible" name="Transcription" sheetId="7" r:id="rId10"/>
    <sheet state="visible" name="TranscriptionSummary" sheetId="8" r:id="rId11"/>
    <sheet state="visible" name="test" sheetId="9" r:id="rId12"/>
    <sheet state="visible" name="testSummary" sheetId="10" r:id="rId13"/>
    <sheet state="visible" name="Shaip Daily_Updated" sheetId="11" r:id="rId14"/>
    <sheet state="visible" name="Audio Feedback" sheetId="12" r:id="rId15"/>
    <sheet state="visible" name="Daily_Working_Do_Not_Delete" sheetId="13" r:id="rId16"/>
    <sheet state="visible" name="Audio_Delivery_Working_Do Not D" sheetId="14" r:id="rId17"/>
    <sheet state="visible" name="Image Status" sheetId="15" r:id="rId18"/>
    <sheet state="visible" name=" Final Timelines" sheetId="16" r:id="rId19"/>
  </sheets>
  <definedNames>
    <definedName hidden="1" localSheetId="0" name="_xlnm._FilterDatabase">Audio!$A$2:$FH$642</definedName>
    <definedName hidden="1" localSheetId="10" name="Z_F0FDED72_B080_4917_9107_EF622265D1ED_.wvu.FilterData">'Shaip Daily_Updated'!$A$1:$CF$919</definedName>
  </definedNames>
  <calcPr/>
  <customWorkbookViews>
    <customWorkbookView activeSheetId="0" maximized="1" windowHeight="0" windowWidth="0" guid="{F0FDED72-B080-4917-9107-EF622265D1ED}" name="Filter 1"/>
  </customWorkbookViews>
</workbook>
</file>

<file path=xl/sharedStrings.xml><?xml version="1.0" encoding="utf-8"?>
<sst xmlns="http://schemas.openxmlformats.org/spreadsheetml/2006/main" count="17143" uniqueCount="1572">
  <si>
    <t>State</t>
  </si>
  <si>
    <t>Districts</t>
  </si>
  <si>
    <t>Status</t>
  </si>
  <si>
    <t>Minutes</t>
  </si>
  <si>
    <t>redelivery-20-08-2023</t>
  </si>
  <si>
    <t>redelivery-17-10-2023</t>
  </si>
  <si>
    <t>redelivery-27-12-2023</t>
  </si>
  <si>
    <t>Bihar</t>
  </si>
  <si>
    <t>Saran</t>
  </si>
  <si>
    <t>Delivered greater than acceptance threshold</t>
  </si>
  <si>
    <t>Raw Redelivery</t>
  </si>
  <si>
    <t>Redelivered greater than acceptance threshold</t>
  </si>
  <si>
    <t>Accepted post Initial Check (file level)</t>
  </si>
  <si>
    <t>Accepted post Initial check (chunk level)</t>
  </si>
  <si>
    <t>Accepted post automated single audio check (chunk level)</t>
  </si>
  <si>
    <t>Accepted post final single Audio Manual QC (chunk level)</t>
  </si>
  <si>
    <t>EastChamparan</t>
  </si>
  <si>
    <t>Maharashtra</t>
  </si>
  <si>
    <t>Nagpur</t>
  </si>
  <si>
    <t>Gopalganj</t>
  </si>
  <si>
    <t>Sitamarhi</t>
  </si>
  <si>
    <t>Kishanganj</t>
  </si>
  <si>
    <t>Samastipur</t>
  </si>
  <si>
    <t>Pune</t>
  </si>
  <si>
    <t>Darbhanga</t>
  </si>
  <si>
    <t>Madhepura</t>
  </si>
  <si>
    <t>Bhagalpur</t>
  </si>
  <si>
    <t>Gaya</t>
  </si>
  <si>
    <t>WestBengal</t>
  </si>
  <si>
    <t>Kolkata</t>
  </si>
  <si>
    <t>Vaishali</t>
  </si>
  <si>
    <t>Lakhisarai</t>
  </si>
  <si>
    <t>Saharsa</t>
  </si>
  <si>
    <t>Supaul</t>
  </si>
  <si>
    <t>Araria</t>
  </si>
  <si>
    <t>Karnataka</t>
  </si>
  <si>
    <t>Shimoga</t>
  </si>
  <si>
    <t>Begusarai</t>
  </si>
  <si>
    <t>UttarPradesh</t>
  </si>
  <si>
    <t>JyotibaPhuleNagar</t>
  </si>
  <si>
    <t>Jahanabad</t>
  </si>
  <si>
    <t>Purnia</t>
  </si>
  <si>
    <t>Dharwad</t>
  </si>
  <si>
    <t>Muzaffarpur</t>
  </si>
  <si>
    <t>Jamui</t>
  </si>
  <si>
    <t>Goa</t>
  </si>
  <si>
    <t>NorthSouthGoa</t>
  </si>
  <si>
    <t>AndhraPradesh</t>
  </si>
  <si>
    <t>Anantpur</t>
  </si>
  <si>
    <t>Chittoor</t>
  </si>
  <si>
    <t>Guntur</t>
  </si>
  <si>
    <t>Krishna</t>
  </si>
  <si>
    <t>Srikakulam</t>
  </si>
  <si>
    <t>Vishakapattanam</t>
  </si>
  <si>
    <t>Chhattisgarh</t>
  </si>
  <si>
    <t>Balrampur</t>
  </si>
  <si>
    <t>Bastar</t>
  </si>
  <si>
    <t>Hamirpur</t>
  </si>
  <si>
    <t>Bilaspur</t>
  </si>
  <si>
    <t>Jashpur</t>
  </si>
  <si>
    <t>Kabirdham</t>
  </si>
  <si>
    <t>Varanasi</t>
  </si>
  <si>
    <t>Korba</t>
  </si>
  <si>
    <t>Raigarh</t>
  </si>
  <si>
    <t>Rajnandgaon</t>
  </si>
  <si>
    <t>Sarguja</t>
  </si>
  <si>
    <t>Sukma</t>
  </si>
  <si>
    <t>Uttarakhand</t>
  </si>
  <si>
    <t>TehriGarhwal</t>
  </si>
  <si>
    <t>Jharkhand</t>
  </si>
  <si>
    <t>Jamtara</t>
  </si>
  <si>
    <t>Sahebganj</t>
  </si>
  <si>
    <t>Belgaum</t>
  </si>
  <si>
    <t>Bellary</t>
  </si>
  <si>
    <t>Bijapur</t>
  </si>
  <si>
    <t>Chamrajnagar</t>
  </si>
  <si>
    <t>DakshinKannada</t>
  </si>
  <si>
    <t>Telangana</t>
  </si>
  <si>
    <t>Karimnagar</t>
  </si>
  <si>
    <t>Dhule</t>
  </si>
  <si>
    <t>Gulbarga</t>
  </si>
  <si>
    <t>North24Parganas</t>
  </si>
  <si>
    <t>Mysore</t>
  </si>
  <si>
    <t>Raichur</t>
  </si>
  <si>
    <t>Aurangabad</t>
  </si>
  <si>
    <t>Chandrapur</t>
  </si>
  <si>
    <t>Sindhudurga</t>
  </si>
  <si>
    <t>Solapur</t>
  </si>
  <si>
    <t>Rajasthan</t>
  </si>
  <si>
    <t>Churu</t>
  </si>
  <si>
    <t>Nagaur</t>
  </si>
  <si>
    <t>Nalgonda</t>
  </si>
  <si>
    <t>Ghazipur</t>
  </si>
  <si>
    <t>Uttarkashi</t>
  </si>
  <si>
    <t>Budaun</t>
  </si>
  <si>
    <t>Deoria</t>
  </si>
  <si>
    <t>Etah</t>
  </si>
  <si>
    <t>Gorakhpur</t>
  </si>
  <si>
    <t>Jalaun</t>
  </si>
  <si>
    <t>Muzzaffarnagar</t>
  </si>
  <si>
    <t>DakshinDinajpur</t>
  </si>
  <si>
    <t>Jalpaiguri</t>
  </si>
  <si>
    <t>Jhargram</t>
  </si>
  <si>
    <t>Malda</t>
  </si>
  <si>
    <t>PaschimMedinipur</t>
  </si>
  <si>
    <t>Purulia</t>
  </si>
  <si>
    <t>SOP Tracker for Audio</t>
  </si>
  <si>
    <t># of Minutes</t>
  </si>
  <si>
    <t># of Hours</t>
  </si>
  <si>
    <t>Raw Delivered</t>
  </si>
  <si>
    <t>summary &amp; Single audio summary being prepared</t>
  </si>
  <si>
    <t>Xls updated in Col C for delivery of ref files</t>
  </si>
  <si>
    <t>Waiting for Ref file</t>
  </si>
  <si>
    <t>Intra/Inter files being prepared</t>
  </si>
  <si>
    <t>Waiting for vendor to give response on intra/inter xls</t>
  </si>
  <si>
    <t>Post vendor response summary of acceptance/rejection from intra/inter QC ready</t>
  </si>
  <si>
    <t>Waiting for single audio check by ARTPARK</t>
  </si>
  <si>
    <t>Final summary to be prepared</t>
  </si>
  <si>
    <t>issue</t>
  </si>
  <si>
    <t>num_files</t>
  </si>
  <si>
    <t>duration(hrs)</t>
  </si>
  <si>
    <t>less_than_10_files</t>
  </si>
  <si>
    <t>127375</t>
  </si>
  <si>
    <t>618.04</t>
  </si>
  <si>
    <t>beg_sil_gt_0.3sec_atleast_one_seg</t>
  </si>
  <si>
    <t>218378</t>
  </si>
  <si>
    <t>1119.91</t>
  </si>
  <si>
    <t>end_sil_gt_0.3sec_atleast_one_seg</t>
  </si>
  <si>
    <t>95436</t>
  </si>
  <si>
    <t>477.23</t>
  </si>
  <si>
    <t>max_mid_sil_gte_1sec_atleast_one_seg</t>
  </si>
  <si>
    <t>44859</t>
  </si>
  <si>
    <t>221.8</t>
  </si>
  <si>
    <t>tsv_segment_dur_not_between_5_25</t>
  </si>
  <si>
    <t>1131</t>
  </si>
  <si>
    <t>3.12</t>
  </si>
  <si>
    <t>final_duration_in_tsv_greater_than_wav_duration</t>
  </si>
  <si>
    <t>1774</t>
  </si>
  <si>
    <t>7.98</t>
  </si>
  <si>
    <t>age_is_not_between_20_and_70</t>
  </si>
  <si>
    <t>3438</t>
  </si>
  <si>
    <t>16.91</t>
  </si>
  <si>
    <t>overlap_in_segment_durations_in_tsv</t>
  </si>
  <si>
    <t>56</t>
  </si>
  <si>
    <t>0.18</t>
  </si>
  <si>
    <t>min_segment_dur_below_0.5sec</t>
  </si>
  <si>
    <t>325</t>
  </si>
  <si>
    <t>1.04</t>
  </si>
  <si>
    <t>tsv_segment_duration_is_negative</t>
  </si>
  <si>
    <t>36</t>
  </si>
  <si>
    <t>0.08</t>
  </si>
  <si>
    <t>age_lesser_than_stay_year</t>
  </si>
  <si>
    <t>428</t>
  </si>
  <si>
    <t>1.97</t>
  </si>
  <si>
    <t>img_present</t>
  </si>
  <si>
    <t>85</t>
  </si>
  <si>
    <t>0.42</t>
  </si>
  <si>
    <t>tsv_is_empty</t>
  </si>
  <si>
    <t>17</t>
  </si>
  <si>
    <t>0.01</t>
  </si>
  <si>
    <t>tsv_last_line_not_blank</t>
  </si>
  <si>
    <t>tsv_inconsistent_number_of_fields</t>
  </si>
  <si>
    <t>tsv_and_wav_image_name_not_match</t>
  </si>
  <si>
    <t>28</t>
  </si>
  <si>
    <t>tsv_and_wavfile_name_not_match</t>
  </si>
  <si>
    <t>tsv_start_dur_less_than_zero</t>
  </si>
  <si>
    <t>is_already_present_in_older_final_accepted</t>
  </si>
  <si>
    <t>32</t>
  </si>
  <si>
    <t>0.15</t>
  </si>
  <si>
    <t>recording_language_not_in_spoken</t>
  </si>
  <si>
    <t>35</t>
  </si>
  <si>
    <t>0.14</t>
  </si>
  <si>
    <t>metadata_missing_for_speaker</t>
  </si>
  <si>
    <t>2</t>
  </si>
  <si>
    <t>metadata_last_line_not_blank</t>
  </si>
  <si>
    <t>75</t>
  </si>
  <si>
    <t>0.37</t>
  </si>
  <si>
    <t>unknown_metadata_field_in_metadatafile</t>
  </si>
  <si>
    <t>missing_metadata_field_in_metadatafile</t>
  </si>
  <si>
    <t>pincode_not_in_state</t>
  </si>
  <si>
    <t>stay_year_more_than_max_age</t>
  </si>
  <si>
    <t/>
  </si>
  <si>
    <t>overall (union)</t>
  </si>
  <si>
    <t>426886</t>
  </si>
  <si>
    <t>2131.53</t>
  </si>
  <si>
    <t>Delivered for manual QC</t>
  </si>
  <si>
    <t>state_district</t>
  </si>
  <si>
    <t>num_speakers</t>
  </si>
  <si>
    <t>duration</t>
  </si>
  <si>
    <t>num_images</t>
  </si>
  <si>
    <t>age-10_20</t>
  </si>
  <si>
    <t>age-20_30</t>
  </si>
  <si>
    <t>age-30_40</t>
  </si>
  <si>
    <t>age-40_50</t>
  </si>
  <si>
    <t>age-50_60</t>
  </si>
  <si>
    <t>age-60_70</t>
  </si>
  <si>
    <t>age-70_80</t>
  </si>
  <si>
    <t>female</t>
  </si>
  <si>
    <t>male</t>
  </si>
  <si>
    <t>other</t>
  </si>
  <si>
    <t>AndhraPradesh_Anantpur</t>
  </si>
  <si>
    <t>AndhraPradesh_Chittoor</t>
  </si>
  <si>
    <t>AndhraPradesh_Guntur</t>
  </si>
  <si>
    <t>AndhraPradesh_Krishna</t>
  </si>
  <si>
    <t>AndhraPradesh_Srikakulam</t>
  </si>
  <si>
    <t>AndhraPradesh_Vishakapattanam</t>
  </si>
  <si>
    <t>Bihar_Araria</t>
  </si>
  <si>
    <t>Bihar_Begusarai</t>
  </si>
  <si>
    <t>Bihar_Bhagalpur</t>
  </si>
  <si>
    <t>Bihar_Darbhanga</t>
  </si>
  <si>
    <t>Bihar_EastChamparan</t>
  </si>
  <si>
    <t>Bihar_Gaya</t>
  </si>
  <si>
    <t>Bihar_Gopalganj</t>
  </si>
  <si>
    <t>Bihar_Jahanabad</t>
  </si>
  <si>
    <t>Bihar_Jamui</t>
  </si>
  <si>
    <t>Bihar_Kishanganj</t>
  </si>
  <si>
    <t>Bihar_Lakhisarai</t>
  </si>
  <si>
    <t>Bihar_Madhepura</t>
  </si>
  <si>
    <t>Bihar_Muzaffarpur</t>
  </si>
  <si>
    <t>Bihar_Purnia</t>
  </si>
  <si>
    <t>Bihar_Saharsa</t>
  </si>
  <si>
    <t>Bihar_Samastipur</t>
  </si>
  <si>
    <t>Bihar_Saran</t>
  </si>
  <si>
    <t>Bihar_Sitamarhi</t>
  </si>
  <si>
    <t>Bihar_Supaul</t>
  </si>
  <si>
    <t>Bihar_Vaishali</t>
  </si>
  <si>
    <t>Chhattisgarh_Balrampur</t>
  </si>
  <si>
    <t>Chhattisgarh_Bastar</t>
  </si>
  <si>
    <t>Chhattisgarh_Bilaspur</t>
  </si>
  <si>
    <t>Chhattisgarh_Jashpur</t>
  </si>
  <si>
    <t>Chhattisgarh_Kabirdham</t>
  </si>
  <si>
    <t>Chhattisgarh_Korba</t>
  </si>
  <si>
    <t>Chhattisgarh_Raigarh</t>
  </si>
  <si>
    <t>Chhattisgarh_Rajnandgaon</t>
  </si>
  <si>
    <t>Chhattisgarh_Sarguja</t>
  </si>
  <si>
    <t>Chhattisgarh_Sukma</t>
  </si>
  <si>
    <t>Goa_NorthSouthGoa</t>
  </si>
  <si>
    <t>Jharkhand_Jamtara</t>
  </si>
  <si>
    <t>Jharkhand_Sahebganj</t>
  </si>
  <si>
    <t>Karnataka_Belgaum</t>
  </si>
  <si>
    <t>Karnataka_Bellary</t>
  </si>
  <si>
    <t>Karnataka_Bijapur</t>
  </si>
  <si>
    <t>Karnataka_Chamrajnagar</t>
  </si>
  <si>
    <t>Karnataka_DakshinKannada</t>
  </si>
  <si>
    <t>Karnataka_Dharwad</t>
  </si>
  <si>
    <t>Karnataka_Gulbarga</t>
  </si>
  <si>
    <t>Karnataka_Mysore</t>
  </si>
  <si>
    <t>Karnataka_Raichur</t>
  </si>
  <si>
    <t>Karnataka_Shimoga</t>
  </si>
  <si>
    <t>Maharashtra_Aurangabad</t>
  </si>
  <si>
    <t>Maharashtra_Chandrapur</t>
  </si>
  <si>
    <t>Maharashtra_Dhule</t>
  </si>
  <si>
    <t>Maharashtra_Nagpur</t>
  </si>
  <si>
    <t>Maharashtra_Pune</t>
  </si>
  <si>
    <t>Maharashtra_Sindhudurga</t>
  </si>
  <si>
    <t>Maharashtra_Solapur</t>
  </si>
  <si>
    <t>Rajasthan_Churu</t>
  </si>
  <si>
    <t>Rajasthan_Nagaur</t>
  </si>
  <si>
    <t>Telangana_Karimnagar</t>
  </si>
  <si>
    <t>Telangana_Nalgonda</t>
  </si>
  <si>
    <t>UttarPradesh_Budaun</t>
  </si>
  <si>
    <t>UttarPradesh_Deoria</t>
  </si>
  <si>
    <t>UttarPradesh_Etah</t>
  </si>
  <si>
    <t>UttarPradesh_Ghazipur</t>
  </si>
  <si>
    <t>UttarPradesh_Gorakhpur</t>
  </si>
  <si>
    <t>UttarPradesh_Hamirpur</t>
  </si>
  <si>
    <t>UttarPradesh_Jalaun</t>
  </si>
  <si>
    <t>UttarPradesh_JyotibaPhuleNagar</t>
  </si>
  <si>
    <t>UttarPradesh_Muzzaffarnagar</t>
  </si>
  <si>
    <t>UttarPradesh_Varanasi</t>
  </si>
  <si>
    <t>Uttarakhand_TehriGarhwal</t>
  </si>
  <si>
    <t>Uttarakhand_Uttarkashi</t>
  </si>
  <si>
    <t>WestBengal_DakshinDinajpur</t>
  </si>
  <si>
    <t>WestBengal_Jalpaiguri</t>
  </si>
  <si>
    <t>WestBengal_Jhargram</t>
  </si>
  <si>
    <t>WestBengal_Kolkata</t>
  </si>
  <si>
    <t>WestBengal_Malda</t>
  </si>
  <si>
    <t>WestBengal_North24Parganas</t>
  </si>
  <si>
    <t>WestBengal_PaschimMedinipur</t>
  </si>
  <si>
    <t>WestBengal_Purulia</t>
  </si>
  <si>
    <t>language</t>
  </si>
  <si>
    <t>num_districts</t>
  </si>
  <si>
    <t>agariya</t>
  </si>
  <si>
    <t>ananthapuramu</t>
  </si>
  <si>
    <t>angika</t>
  </si>
  <si>
    <t>assamese</t>
  </si>
  <si>
    <t>awadhi</t>
  </si>
  <si>
    <t>badayuni</t>
  </si>
  <si>
    <t>bagri</t>
  </si>
  <si>
    <t>bajjika</t>
  </si>
  <si>
    <t>bantar</t>
  </si>
  <si>
    <t>beary bashe</t>
  </si>
  <si>
    <t>bengali</t>
  </si>
  <si>
    <t>bhatri</t>
  </si>
  <si>
    <t>bhojpuri</t>
  </si>
  <si>
    <t>bihar</t>
  </si>
  <si>
    <t>bundeli</t>
  </si>
  <si>
    <t>chhattisgarhi</t>
  </si>
  <si>
    <t>chittor</t>
  </si>
  <si>
    <t>english</t>
  </si>
  <si>
    <t>garhwali</t>
  </si>
  <si>
    <t>gujarati</t>
  </si>
  <si>
    <t>gujrati</t>
  </si>
  <si>
    <t>guntur</t>
  </si>
  <si>
    <t>halbi</t>
  </si>
  <si>
    <t>harauti</t>
  </si>
  <si>
    <t>hindi</t>
  </si>
  <si>
    <t>jaipuri</t>
  </si>
  <si>
    <t>kannada</t>
  </si>
  <si>
    <t>kannda</t>
  </si>
  <si>
    <t>khari boli</t>
  </si>
  <si>
    <t>khortha</t>
  </si>
  <si>
    <t>konkani</t>
  </si>
  <si>
    <t>kortha</t>
  </si>
  <si>
    <t>kudmali</t>
  </si>
  <si>
    <t>kudukh</t>
  </si>
  <si>
    <t>kumaoni</t>
  </si>
  <si>
    <t>kurmali</t>
  </si>
  <si>
    <t>lambadi</t>
  </si>
  <si>
    <t>lambani</t>
  </si>
  <si>
    <t>magahi</t>
  </si>
  <si>
    <t>maithili</t>
  </si>
  <si>
    <t>malayalam</t>
  </si>
  <si>
    <t>malvani</t>
  </si>
  <si>
    <t>marathi</t>
  </si>
  <si>
    <t>marwari</t>
  </si>
  <si>
    <t>mewari</t>
  </si>
  <si>
    <t>mewati</t>
  </si>
  <si>
    <t>nagpuri</t>
  </si>
  <si>
    <t>nepalese</t>
  </si>
  <si>
    <t>odia</t>
  </si>
  <si>
    <t>oriya</t>
  </si>
  <si>
    <t>pune</t>
  </si>
  <si>
    <t>rajbangshi</t>
  </si>
  <si>
    <t>sadri</t>
  </si>
  <si>
    <t>santali</t>
  </si>
  <si>
    <t>shekhawati</t>
  </si>
  <si>
    <t>tamil</t>
  </si>
  <si>
    <t>telugu</t>
  </si>
  <si>
    <t>tulu</t>
  </si>
  <si>
    <t>unknown</t>
  </si>
  <si>
    <t>urdu</t>
  </si>
  <si>
    <t>wagdi</t>
  </si>
  <si>
    <t>north south goa</t>
  </si>
  <si>
    <t>AP_Anantpur</t>
  </si>
  <si>
    <t>AP_Chittoor</t>
  </si>
  <si>
    <t>AP_Guntur</t>
  </si>
  <si>
    <t>AP_Krishna</t>
  </si>
  <si>
    <t>AP_Srikakulam</t>
  </si>
  <si>
    <t>AP_Vishakapattanam</t>
  </si>
  <si>
    <t>Telengana_Karimnagar</t>
  </si>
  <si>
    <t>Telengana_Nalgonda</t>
  </si>
  <si>
    <t>Uttarpradesh_Budaun</t>
  </si>
  <si>
    <t>Uttarpradesh_Deoria</t>
  </si>
  <si>
    <t>Uttarpradesh_Etah</t>
  </si>
  <si>
    <t>Uttarpradesh_Ghazipur</t>
  </si>
  <si>
    <t>Uttarpradesh_Gorakhpur</t>
  </si>
  <si>
    <t>Uttarpradesh_Hamirpur</t>
  </si>
  <si>
    <t>Uttarpradesh_Jalaun</t>
  </si>
  <si>
    <t>Uttarpradesh_JyotibaPhuleNagar</t>
  </si>
  <si>
    <t>Uttarpradesh_Muzzaffarnagar</t>
  </si>
  <si>
    <t>Uttarpradesh_Varanasi</t>
  </si>
  <si>
    <t>District</t>
  </si>
  <si>
    <t>03-07-2023</t>
  </si>
  <si>
    <t>03-07-2023-transcription-01</t>
  </si>
  <si>
    <t>03-07-2023-transcription-02</t>
  </si>
  <si>
    <t>03-07-2023-transcription-03</t>
  </si>
  <si>
    <t>03-07-2023-transcription-04</t>
  </si>
  <si>
    <t>03-07-2023-transcription-05</t>
  </si>
  <si>
    <t>03-07-2023-transcription-06</t>
  </si>
  <si>
    <t>redelivery-03-07-2023</t>
  </si>
  <si>
    <t>redelivery-03-07-2023-transcription-01</t>
  </si>
  <si>
    <t>redelivery-03-07-2023-transcription-02</t>
  </si>
  <si>
    <t>06-07-2023</t>
  </si>
  <si>
    <t>06-07-2023-transcription-01</t>
  </si>
  <si>
    <t>redelivery-06-07-2023</t>
  </si>
  <si>
    <t>25-07-2023</t>
  </si>
  <si>
    <t>25-07-2023-transcription-01</t>
  </si>
  <si>
    <t>25-07-2023-transcription-02</t>
  </si>
  <si>
    <t>25-07-2023-transcription-03</t>
  </si>
  <si>
    <t>25-07-2023-transcription-04</t>
  </si>
  <si>
    <t>25-07-2023-transcription-05</t>
  </si>
  <si>
    <t>redelivery-25-07-2023</t>
  </si>
  <si>
    <t>20-08-2023</t>
  </si>
  <si>
    <t>20-08-2023-transcription-01</t>
  </si>
  <si>
    <t>20-08-2023-transcription-02</t>
  </si>
  <si>
    <t>20-08-2023-transcription-03</t>
  </si>
  <si>
    <t>20-08-2023-transcription-04</t>
  </si>
  <si>
    <t>20-08-2023-transcription-05</t>
  </si>
  <si>
    <t>redelivery-20-08-2023-transcription-01</t>
  </si>
  <si>
    <t>redelivery-20-08-2023-transcription-02</t>
  </si>
  <si>
    <t>29-08-2023</t>
  </si>
  <si>
    <t>29-08-2023-transcription-01</t>
  </si>
  <si>
    <t>29-08-2023-transcription-02</t>
  </si>
  <si>
    <t>29-08-2023-transcription-03</t>
  </si>
  <si>
    <t>29-08-2023-transcription-04</t>
  </si>
  <si>
    <t>29-08-2023-transcription-05</t>
  </si>
  <si>
    <t>redelivery-29-08-2023</t>
  </si>
  <si>
    <t>14-09-2023</t>
  </si>
  <si>
    <t>14-09-2023-transcription-01</t>
  </si>
  <si>
    <t>14-09-2023-transcription-02</t>
  </si>
  <si>
    <t>14-09-2023-transcription-03</t>
  </si>
  <si>
    <t>redelivery-14-09-2023</t>
  </si>
  <si>
    <t>09-10-2023</t>
  </si>
  <si>
    <t>09-10-2023-transcription-01</t>
  </si>
  <si>
    <t>09-10-2023-transcription-02</t>
  </si>
  <si>
    <t>redelivery-09-10-2023</t>
  </si>
  <si>
    <t>17-10-2023</t>
  </si>
  <si>
    <t>17-10-2023-transcription-01</t>
  </si>
  <si>
    <t>Transcription files sent</t>
  </si>
  <si>
    <t>Transcription files raw received</t>
  </si>
  <si>
    <t>Transcription files raw received redelivery</t>
  </si>
  <si>
    <t>Transcription files post initial check</t>
  </si>
  <si>
    <t>Transcription files post automated check</t>
  </si>
  <si>
    <t>Transcription files post manual check</t>
  </si>
  <si>
    <t>* These data are without duplicate check/QA/CQA audit hence Hours post audit will be different.</t>
  </si>
  <si>
    <t>Collected Hours</t>
  </si>
  <si>
    <t>28th Feb is CUMULATIVE</t>
  </si>
  <si>
    <t>* PLEASE NOTE THAT DAILY UPDATE ARE CUMULATIVE HOURS WITHOUT QA/CQA, THIS INCLUDED DELIVERED HOURS AS WELL IF ANY OR SUM OF ALL DELIEVERED HOURS.</t>
  </si>
  <si>
    <t>TOTAL HOURS</t>
  </si>
  <si>
    <t>Hours</t>
  </si>
  <si>
    <t>Collected</t>
  </si>
  <si>
    <t>East Champaran</t>
  </si>
  <si>
    <t>Andhra Pradesh</t>
  </si>
  <si>
    <t>North+South Goa</t>
  </si>
  <si>
    <t>Dakshin Kannada</t>
  </si>
  <si>
    <t>Tehri Garhwal</t>
  </si>
  <si>
    <t>Uttar Pradesh</t>
  </si>
  <si>
    <t>Jyotiba Phule Nagar</t>
  </si>
  <si>
    <t>West Bengal</t>
  </si>
  <si>
    <t>Dakshin Dinajpur</t>
  </si>
  <si>
    <t>North 24 Parganas</t>
  </si>
  <si>
    <t>Paschim Medinipur</t>
  </si>
  <si>
    <t>Sample Audio File Name</t>
  </si>
  <si>
    <t>Batch</t>
  </si>
  <si>
    <t>Feedback</t>
  </si>
  <si>
    <t>Feedback given by</t>
  </si>
  <si>
    <t>Response from Shaip</t>
  </si>
  <si>
    <t>Date</t>
  </si>
  <si>
    <t>-</t>
  </si>
  <si>
    <t>Speaker_ID: 9839200
Phone Brand: Samsung
Phone Model: Galaxy
Gender: Male
Age: 45
Education: postgraduate
Speaker_Pincode: 711110
Socio_economic: Lower Middle
Language_during_recording: Hinglish
Languages_spoken: Hindi, English
Stay_Years: Gaya(2yr), Saharsa(26yr)
=====
Here the assumption was from birth this person was 2 yr in Gaya, then 26yr in Saharsa and remaining years recently in 711110.
If you are following that it will be fine.</t>
  </si>
  <si>
    <t>Prof. Prasanta</t>
  </si>
  <si>
    <t xml:space="preserve">We have checked the Stay_Years field and below are two updates.
           A. We are not observing that the total Stay_Years should match with the age of the speaker in the 'IISc_Sample format' image which I had shared yesterday.
           B. Now on the application side, we do not allow users to edit their profile details so that there is no inconsistency in metadata. Now as per your suggestions, we would have to validate the Stay_Years with DOB(Age) which would require extra technical development + publish days of apps at the mobile app side and would have to allow users to edit their profile details which may lead to data inconsistency. </t>
  </si>
  <si>
    <t>Feedback on the data shared----
16-11-2022$ ls
'Batch1_d1_Bihar-East Champaran_new_files_11152022_7hrs'
 Batch1_d1_Bihar-Gopalganj_new_files_11152022_3hrs
 Batch1_d1_Bihar-Sitamarhi_new_files_11152022_2hrs
 Batch1_d1_Rajasthan-Churu_new_files_11152022_1hrs
 Batch1_d1_Rajasthan-Nagaur_new_files_11152022_2hrs
'Batch1_d1_Uttarakhand-Tehri Garhwal_new_files_11152022_5hrs'
 Batch1_d1_Uttarpradesh-Budaun_new_files_11152022_2hrs
 Batch1_d1_Uttarpradesh-Deoria_new_files_11152022_4hrs
 Batch1_d1_Uttarpradesh-Muzzaffarnagar_new_files_11152022_4hrs
'Batch1_d1_West Bengal-Kolkata_new_files_11152022_3hrs'
'Batch1_d1_West Bengal-North 24 Parganas_new_files_11152022_2hrs'
== Do not give space in the folder name
== Batch1_d1_Bihar-East Champaran_new_files_11152022_7hrs was in Bihar-East Champaran parent folder. In the next date delivery how are you going to share the addtional data?
16-11-2022$ ls Batch1_d1_Bihar-East\ Champaran_new_files_11152022_7hrs/East\ Champaran/
00780d1b-74ca-3bbc-a4e7-a7710dacfb2d  50e618bb-cb9c-3329-91ee-1810c4586844  a81245ff-60c1-3ca1-af76-5f76fcdfe63c
01b33ef4-9c4e-3577-9033-7f5eb074a6b3  51bdcefc-2ab2-36f8-b800-924de7199273  a92aefac-3316-30d6-b870-8c4c2c0f2515
046127d6-d547-3c98-a410-5c4f8b706e62  536c0f36-edda-3f72-ae06-7b42894dbe96  b193a092-f2d6-3406-bf7f-230cc1de3317
04fa8fa0-d1eb-39fd-8285-4b748aa297a8  540ce18c-23a1-3eda-8457-45182c4ab285  b486239f-c65b-3201-afb5-443a610365f7
084a98ad-13af-3f5a-9067-b67132905483  570190d1-76b4-302a-a566-df6b3dae682e  b6bffc02-0e21-30d7-aa2a-41cb95f6f195
0e4a42f8-2479-32a7-8089-3015e0680fb1  5aa5a75a-e84f-3b44-af30-8877e69c41d9  b73aff8e-3b57-3077-af2c-efe8aa76c39a
10f3db7c-b30c-343a-979c-198182381c16  6070c4ce-36ca-3613-b74f-b5671c91a058  c1798479-8490-3748-b4d6-6ea4708166dc
14a495f4-07b8-3d44-b785-894dd86df624  62d191a1-9bda-34ba-811e-bd37976b5a23  c7f47984-d2ba-3476-9e94-22ac9309b687
17887856-024f-3016-b669-5944f1f6a26e  6af208a2-8000-3ae0-ae5b-71947691a66d  c84389bb-ba21-3be3-a13b-80f9376a0db7
195091fc-ceee-3097-b7a2-d6e5205d5364  6b175bb0-e4c9-335b-9ddd-edfbeb4f8c38  cd442892-5a48-3ab5-ac6e-afc2bf0c4e90
1a01d476-5449-30ca-83d1-7f33392014a4  72c88840-45ca-3797-9ef3-3cb9d4d57504  d17b2131-323f-3053-b8a4-1c16ebc6733e
1d9a0420-6e07-3957-b94b-f651c2a25b62  7948df83-357c-3611-85b0-17fc32d44da8  d1b79aa3-2325-3cd6-88be-01cb7671a5a5
1fb2629a-2564-399e-aaa3-0bee87e546de  7d8f4257-cd07-3de8-8888-12a008c5e355  d5ab5dc4-2858-3f73-99c8-3f71a6a2e9c2
20bae77f-9ac3-3af8-922d-483ad2225c8b  7f70a46e-52aa-37de-b5d9-9913e8923a03  d605e5b7-4a1e-3304-b01c-f43d4e20084f
26cfc548-f9e8-33b3-a176-9b2d13e9f465  815d2ffb-dfd1-3f6a-9878-d51d1c809a5b  debca9db-c88d-3c0c-a108-e7e1bbabcc12
27451867-547f-3941-a4e5-63c44166d161  82c4f6ec-56d6-39d1-9f8f-79b924b9a729  e831418c-2a8a-3d6a-a918-6f181a03b514
2d12d2c6-ab5e-3de2-8d55-4ba48cdfb8fa  8ac16ae8-03b8-3c79-b1fa-d9d059011c20  e8db4a39-aa1e-3a59-8c6a-91c2ba655077
2e91a40c-5451-306f-9a12-d3405dc2d256  8c1c677a-57ee-32e1-994a-52aa2be810e0  ec0ce461-1e73-30d7-ac3a-4f4504e63228
36ef936d-f868-3c83-8ce2-71d07ec64a35  9434d7de-a109-338f-a3a6-91f997990529  ecb3f65d-596a-3205-bea3-bc5e5ad267ce
3a6fb062-46af-3b1b-acae-063111c2a854  945c8a5c-b2f3-3791-9b32-dc10fe2e6b28  edcbcd62-1337-3e4d-bb55-35cd576546e8
42cac3b3-f493-37e9-ad22-13ab467b58f6  9653d77d-9d5a-384b-8802-62a75a3d0210  f374fe77-bc6c-3244-bb05-8a3f8d462f67
43a0dda3-3973-376a-b5a4-94916a54588e  9a4c9ddd-5565-38ff-8a01-9bdc35d79656  f93c3017-bce6-3c5c-a485-0427b301b0d9
452b283e-fad0-3d7e-bff9-f42ec80b06cb  9bab305c-86a0-3f9e-a892-1962b86ba3c7  fd6d6db9-6f1e-3faa-b799-b567b2f65086
4c0be763-13fd-3102-84f6-2fd13ce43f40  9cd3a9c8-d097-36e0-bc73-0e89776cfcc7  fec2b2a5-d658-3ece-93b1-4256dc3950fb
505cd40e-8b99-32be-b756-458143e8e801  9d5ef47f-ee45-3fba-991d-bd8e3e7e7e16
5086b6fa-413c-394f-a31d-20853ab82e22  a672f655-b1c5-3350-8377-69016dc400fc
== we recommend speaker ID as the folder name
16-11-2022/Batch1_d1_Bihar-East Champaran_new_files_11152022_7hrs/East Champaran/14a495f4-07b8-3d44-b785-894dd86df624$ cat 9392130_info.tsv
"IMAGE_FILENAME"        "AudioFileName" "AudioSegmentID"        "SegmentStartTime"      "SegmentEndTime"
"UPVNCH_9572.jpg"       "9392130.wav"   "100001"        "0.000" "2.351"
"UPVNCH_9572.jpg"       "9392130.wav"   "100002"        "2.367" "5.783"
"UPVNCH_9572.jpg"       "9392130.wav"   "1000021"       "6.025" "14.218"
== Please no double quote
== there is space before first double quote. Remove that everywhere; NO SPACE in tsv file please.
== No heading for columns
== why segment ids are not increasing by 1 always?
== We recommend audiofilename &lt;State&gt;_&lt;DIstrict&gt;_&lt;SpkrID&gt;_&lt;WAV_ID&gt;_&lt;Image_Filename&gt;.wav
== tsv file same as wav filename
== metadata as &lt;State&gt;_&lt;District&gt;_&lt;SpkrID&gt;.txt
== No space in any file, foldername.
== No _ in any state district spkrID
16-11-2022/Batch1_d1_Bihar-East Champaran_new_files_11152022_7hrs/East Champaran/14a495f4-07b8-3d44-b785-894dd86df624$ cat Metadata.txt
Speaker_ID: 59149
Phone Brand: Realme
Phone Model: RMX1827
Gender: Male
Age: 34
Education: 12th pass
Speaker_Pincode: 845429
Socio_economic: Upper Middle
Language_during_recording: bhojpuri
Languages_spoken: Hindi
Stay_Years: motihari (22)
== Thanks for the clarification in your last email about stay_years. please mention where he stayed for rest of the 12 years?
== If multiple languages are in Languages_spoken, write then comma separated</t>
  </si>
  <si>
    <t>Speaker labeling is not consistent (will come back with exact count and number only after manual qc)</t>
  </si>
  <si>
    <t>We are looking into this however we are waiting for more detailed feedback.</t>
  </si>
  <si>
    <t>Languages are not written consistently and strange language names</t>
  </si>
  <si>
    <t>We have checked and found that the example which you have provided is the dialect which the user has entered and not language. You need to search for 'Languages_spoken' field for language where we have drop down in application so there won't be any concern in language consistency. However, for the Language dialect which is 'Language_during_recording' in metadata is an open box where the user enters the dialects as per their region. As per our earlier discussion, we do not need to add any defined list of dialects as it may come that as and when we move to all districts, there may be other dialects hence it is an open text box. Please share if you have any fixed number of dialects so we can replace it with the dropdown, hence the dialect information will be there what the user has entered by themselves which we won't be able to correct or change anything in post treatment. For example: below is the speaker metadata.
Speaker_ID: 60022
Phone Brand: samsung
Phone Model: SM-M127G
Gender: Female
Age: 25
Education: graduate
Speaker_Pincode: 851101
Socio_economic: Upper Middle
Language_during_recording: Angika   &gt;&gt;&gt; This is dialect entry
Languages_spoken: Maithili  &gt;&gt;&gt;  This is language entry
Stay_Years: Bisanpur (25)</t>
  </si>
  <si>
    <t>Out of 493 speakers in Batch1,  334 speakers have data less than 5min with 190 speakers less than 2min. Are you going to share data from the same speakers in the next Batch? If yes, keep speaker ID same.</t>
  </si>
  <si>
    <t>Yes, it will be the same speaker ID.</t>
  </si>
  <si>
    <t>29 audio segments have less than 0.6 second. Are you make sure they are correct and complete message/sentence.</t>
  </si>
  <si>
    <t>Please let us know if we have to add any validation for minimum segment time.</t>
  </si>
  <si>
    <t>We found that we need to check nearly 8000 audio pair due to the speaker ID (intra and inter). It requires manual correction (will take time). After that we can let you know the status.</t>
  </si>
  <si>
    <t>Not sure if we have to do any action here.</t>
  </si>
  <si>
    <t>sox shaip/21-11-2022/Batch1_d1_Uttarpradesh-Deoria_new_files_11182022_4hrs/Deoria/59393/Uttarpradesh_Deoria_59393_9396187_UPDEPL_98735.wav /tmp/wavdur.wav sox WARN wav: Premature EOF on .wav input file sox fails the read file and also segment file correctly. Is it not raw audio (wav) file?</t>
  </si>
  <si>
    <t>We are unable to understand this issue, please share more detail. Just for your update, there is no processing done and the method of recording is same for all files</t>
  </si>
  <si>
    <t xml:space="preserve">The automatic QC gets delays due to special characters such as &amp; and ( ) in foldername. 
Please use alphanumeric chars along with underscore </t>
  </si>
  <si>
    <t>Balance the gender in the audios. Currently skewed towards male voice (Conveyed during weekly check-in with Shaip)</t>
  </si>
  <si>
    <t>Noted</t>
  </si>
  <si>
    <t xml:space="preserve">Speaker talking in English
Sample audio:
Karnataka_Shimoga_66026_9655787_KTSMGBU_336263_5680_14859.wav
Usage of profanity
Sample audio:
Bihar_Muzaffarpur_60449_9418840_BHGGBA_363503_4380_12225.wav
Guided speaking (without capturing the natural way of talking) - the below samples sound like they are reading from a script
Sample audio:
Karnataka_Shimoga_65889_9652480_KTSMGBC_12505_22_5842.wav
Karnataka_Shimoga_63281_9650670_KTSMGBA_336070_1515_6515.wav
Karnataka_Shimoga_63313_9530078_CGBTDAF_201626_9321_15727.wav
Karnataka_Shimoga_63313_9530078_CGBTDAF_201626_4402_9301.wav
Karnataka_Shimoga_63313_9529828_CGBTCOS_166981_7342_13561.wav
Karnataka_Shimoga_63313_9530078_CGBTDAF_201626_178_4342.wav
Karnataka_Shimoga_63313_9529828_CGBTCOS_166981_178_6902.wav
Karnataka_Shimoga_63313_9529828_CGBTCOS_166981_13761_20441.wav
Karnataka_Shimoga_63281_9527752_CGBTBA_301948_9192_17040.wav
Karnataka_Shimoga_63281_9527752_CGBTBA_301948_0_8652.wav
Karnataka_Shimoga_63188_9524690_CGBMEX_346496_102_5566.wav
Karnataka_Shimoga_63188_9524468_CGBMEX_346483_7602_13521.wav
Karnataka_Shimoga_63188_9524468_CGBMEX_346483_422_2502.wav
Karnataka_Shimoga_63188_9524468_CGBMEX_346483_3046_7042.wav
We need to ensure such audio files are not delivered and are handled at the source. </t>
  </si>
  <si>
    <t>Shwetha</t>
  </si>
  <si>
    <t>SpeechHrsCollected</t>
  </si>
  <si>
    <t>Total Speech Hrs</t>
  </si>
  <si>
    <t>Gaya and Jahanabad</t>
  </si>
  <si>
    <t>North South Goa</t>
  </si>
  <si>
    <t>North Twenty Four Parganas</t>
  </si>
  <si>
    <t>15/11/2022 Delivery</t>
  </si>
  <si>
    <t>File Count</t>
  </si>
  <si>
    <t>SpeechTime</t>
  </si>
  <si>
    <t>SpeechTimeMinutes</t>
  </si>
  <si>
    <t>SpeechTimeHH:MM</t>
  </si>
  <si>
    <t>S3 Path</t>
  </si>
  <si>
    <t>https://s3.console.aws.amazon.com/s3/buckets/prod-shaip-bucket?region=us-east-1&amp;prefix=bhasha/Swar/Bihar-EastChamparan/AUDIO/Batch1_d1_Bihar-EastChamparan_new_files_11182022_7hrs/&amp;showversions=false</t>
  </si>
  <si>
    <t>https://s3.console.aws.amazon.com/s3/buckets/prod-shaip-bucket?region=us-east-1&amp;prefix=bhasha/Swar/Uttarakhand-TehriGarhwal/AUDIO/Batch1_d1_Uttarakhand-TehriGarhwal_new_files_11182022_5hrs/&amp;showversions=false</t>
  </si>
  <si>
    <t>Uttarpradesh</t>
  </si>
  <si>
    <t>https://s3.console.aws.amazon.com/s3/buckets/prod-shaip-bucket?region=us-east-1&amp;prefix=bhasha/Swar/Uttarpradesh-Muzzaffarnagar/AUDIO/Batch1_d1_Uttarpradesh-Muzzaffarnagar_new_files_11182022_4hrs/&amp;showversions=false</t>
  </si>
  <si>
    <t>https://s3.console.aws.amazon.com/s3/buckets/prod-shaip-bucket?region=us-east-1&amp;prefix=bhasha/Swar/Uttarpradesh-Deoria/AUDIO/Batch1_d1_Uttarpradesh-Deoria_new_files_11182022_4hrs/&amp;showversions=false</t>
  </si>
  <si>
    <t>https://s3.console.aws.amazon.com/s3/buckets/prod-shaip-bucket?region=us-east-1&amp;prefix=bhasha/Swar/WestBengal-Kolkata/AUDIO/Batch1_d1_WestBengal-Kolkata_new_files_11182022_3hrs/&amp;showversions=false</t>
  </si>
  <si>
    <t>https://s3.console.aws.amazon.com/s3/buckets/prod-shaip-bucket?region=us-east-1&amp;prefix=bhasha/Swar/Bihar-Gopalganj/AUDIO/Batch1_d1_Bihar-Gopalganj_new_files_11182022_3hrs/&amp;showversions=false</t>
  </si>
  <si>
    <t>https://s3.console.aws.amazon.com/s3/buckets/prod-shaip-bucket?region=us-east-1&amp;prefix=bhasha/Swar/Rajasthan-Nagaur/AUDIO/Batch1_d1_Rajasthan-Nagaur_new_files_11182022_2hrs/&amp;showversions=false</t>
  </si>
  <si>
    <t>https://s3.console.aws.amazon.com/s3/buckets/prod-shaip-bucket?region=us-east-1&amp;prefix=bhasha/Swar/WestBengal-North24Parganas/AUDIO/Batch1_d1_WestBengal-North24Parganas_new_files_11182022_2hrs/&amp;showversions=false</t>
  </si>
  <si>
    <t>https://s3.console.aws.amazon.com/s3/buckets/prod-shaip-bucket?region=us-east-1&amp;prefix=bhasha/Swar/Uttarpradesh-Budaun/AUDIO/Batch1_d1_Uttarpradesh-Budaun_new_files_11182022_2hrs/&amp;showversions=false</t>
  </si>
  <si>
    <t>https://s3.console.aws.amazon.com/s3/buckets/prod-shaip-bucket?region=us-east-1&amp;prefix=bhasha/Swar/Bihar-Sitamarhi/AUDIO/Batch1_d1_Bihar-Sitamarhi_new_files_11182022_2hrs/&amp;showversions=false</t>
  </si>
  <si>
    <t>https://s3.console.aws.amazon.com/s3/buckets/prod-shaip-bucket?region=us-east-1&amp;prefix=bhasha/Swar/Rajasthan-Churu/AUDIO/Batch1_d1_Rajasthan-Churu_new_files_11182022_1hrs/&amp;showversions=false</t>
  </si>
  <si>
    <t>Total Minutes</t>
  </si>
  <si>
    <t>22/11/2022 Delivery</t>
  </si>
  <si>
    <t>https://s3.console.aws.amazon.com/s3/buckets/prod-shaip-bucket?region=us-east-1&amp;prefix=bhasha/Swar/Chhattisgarh-Bilaspur/AUDIO/Batch1_d1_Chhattisgarh-Bilaspur_new_files_11212022_5hrs/&amp;showversions=false</t>
  </si>
  <si>
    <t>https://s3.console.aws.amazon.com/s3/buckets/prod-shaip-bucket?region=us-east-1&amp;prefix=bhasha/Swar/Bihar-EastChamparan/AUDIO/Batch2_d1_Bihar-EastChamparan_new_files_11212022_5hrs/&amp;showversions=false</t>
  </si>
  <si>
    <t>https://s3.console.aws.amazon.com/s3/buckets/prod-shaip-bucket?region=us-east-1&amp;prefix=bhasha/Swar/Bihar-Begusarai/AUDIO/Batch1_d1_Bihar-Begusarai_new_files_11212022_3hrs/&amp;showversions=false</t>
  </si>
  <si>
    <t>https://s3.console.aws.amazon.com/s3/buckets/prod-shaip-bucket?region=us-east-1&amp;prefix=bhasha/Swar/Uttarpradesh-Varanasi/AUDIO/Batch1_d1_Uttarpradesh-Varanasi_new_files_11212022_1hrs/&amp;showversions=false</t>
  </si>
  <si>
    <t>Batch3</t>
  </si>
  <si>
    <t>https://s3.console.aws.amazon.com/s3/buckets/prod-shaip-bucket?region=us-east-1&amp;prefix=bhasha/Swar/Bihar-Darbhanga/AUDIO/Batch1_d1_Bihar-Darbhanga_new_files_11252022_2h17m/&amp;showversions=false</t>
  </si>
  <si>
    <t>Gaya &amp; Jahanabad</t>
  </si>
  <si>
    <t>https://s3.console.aws.amazon.com/s3/buckets/prod-shaip-bucket?region=us-east-1&amp;prefix=bhasha/Swar/Bihar-Gaya%26Jahanabad/AUDIO/Batch1_d1_Bihar-Gaya%26Jahanabad_new_files_11252022_1h60m/&amp;showversions=false</t>
  </si>
  <si>
    <t>https://s3.console.aws.amazon.com/s3/buckets/prod-shaip-bucket?region=us-east-1&amp;prefix=bhasha/Swar/Bihar-Gopalganj/AUDIO/Batch2_d1_Bihar-Gopalganj_new_files_11252022_2h29m/&amp;showversions=false</t>
  </si>
  <si>
    <t>https://s3.console.aws.amazon.com/s3/buckets/prod-shaip-bucket?region=us-east-1&amp;prefix=bhasha/Swar/Bihar-Jamui/AUDIO/Batch1_d1_Bihar-Jamui_new_files_11232022_1hrs/&amp;showversions=false</t>
  </si>
  <si>
    <t>https://s3.console.aws.amazon.com/s3/buckets/prod-shaip-bucket?region=us-east-1&amp;prefix=bhasha/Swar/Bihar-Muzaffarpur/AUDIO/Batch1_d1_Bihar-Muzaffarpur_new_files_11232022_1hrs/&amp;showversions=false</t>
  </si>
  <si>
    <t>https://s3.console.aws.amazon.com/s3/buckets/prod-shaip-bucket?region=us-east-1&amp;prefix=bhasha/Swar/Bihar-Samastipur/AUDIO/Batch1_d1_Bihar-Samastipur_new_files_11232022_4hrs/&amp;showversions=false</t>
  </si>
  <si>
    <t>https://s3.console.aws.amazon.com/s3/buckets/prod-shaip-bucket?region=us-east-1&amp;prefix=bhasha/Swar/Bihar-Saran/AUDIO/Batch1_d1_Bihar-Saran_new_files_11252022_1h18m/&amp;showversions=false</t>
  </si>
  <si>
    <t>https://s3.console.aws.amazon.com/s3/buckets/prod-shaip-bucket?region=us-east-1&amp;prefix=bhasha/Swar/Bihar-Sitamarhi/AUDIO/Batch2_d1_Bihar-Sitamarhi_new_files_11232022_0hrs/&amp;showversions=false</t>
  </si>
  <si>
    <t>https://s3.console.aws.amazon.com/s3/buckets/prod-shaip-bucket?region=us-east-1&amp;prefix=bhasha/Swar/Chhattisgarh-Bilaspur/AUDIO/Batch2_d1_Chhattisgarh-Bilaspur_new_files_11252022_3h32m/&amp;showversions=false</t>
  </si>
  <si>
    <t>https://s3.console.aws.amazon.com/s3/buckets/prod-shaip-bucket?region=us-east-1&amp;prefix=bhasha/Swar/Chhattisgarh-Jashpur/AUDIO/Batch1_d1_Chhattisgarh-Jashpur_new_files_11252022_3h56m/&amp;showversions=false</t>
  </si>
  <si>
    <t>https://s3.console.aws.amazon.com/s3/buckets/prod-shaip-bucket?region=us-east-1&amp;prefix=bhasha/Swar/Chhattisgarh-Raigarh/AUDIO/Batch1_d1_Chhattisgarh-Raigarh_new_files_11252022_2h56m/&amp;showversions=false</t>
  </si>
  <si>
    <t>https://s3.console.aws.amazon.com/s3/buckets/prod-shaip-bucket?region=us-east-1&amp;prefix=bhasha/Swar/Karnataka-Shimoga/AUDIO/Batch1_d1_Karnataka-Shimoga_new_files_11252022_1h39m/&amp;showversions=false</t>
  </si>
  <si>
    <t>https://s3.console.aws.amazon.com/s3/buckets/prod-shaip-bucket?region=us-east-1&amp;prefix=bhasha/Swar/Maharashtra-Solapur/AUDIO/Batch1_d1_Maharashtra-Solapur_new_files_11252022_1h1m/&amp;showversions=false</t>
  </si>
  <si>
    <t>https://s3.console.aws.amazon.com/s3/buckets/prod-shaip-bucket?region=us-east-1&amp;prefix=bhasha/Swar/Rajasthan-Churu/AUDIO/Batch2_d1_Rajasthan-Churu_new_files_11232022_5hrs/&amp;showversions=false</t>
  </si>
  <si>
    <t>https://s3.console.aws.amazon.com/s3/buckets/prod-shaip-bucket?region=us-east-1&amp;prefix=bhasha/Swar/Rajasthan-Nagaur/AUDIO/Batch2_d1_Rajasthan-Nagaur_new_files_11252022_6h41m/&amp;showversions=false</t>
  </si>
  <si>
    <t>https://s3.console.aws.amazon.com/s3/buckets/prod-shaip-bucket?region=us-east-1&amp;prefix=bhasha/Swar/Uttarakhand-TehriGarhwal/AUDIO/Batch2_d1_Uttarakhand-TehriGarhwal_new_files_11252022_2h47m/&amp;showversions=false</t>
  </si>
  <si>
    <t>https://s3.console.aws.amazon.com/s3/buckets/prod-shaip-bucket?region=us-east-1&amp;prefix=bhasha/Swar/Uttarakhand-Uttarkashi/AUDIO/Batch1_d1_Uttarakhand-Uttarkashi_new_files_11252022_1h5m/&amp;showversions=false</t>
  </si>
  <si>
    <t>https://s3.console.aws.amazon.com/s3/buckets/prod-shaip-bucket?region=us-east-1&amp;prefix=bhasha/Swar/Uttarpradesh-Budaun/AUDIO/Batch2_d1_Uttarpradesh-Budaun_new_files_11232022_1hrs/&amp;showversions=false</t>
  </si>
  <si>
    <t>https://s3.console.aws.amazon.com/s3/buckets/prod-shaip-bucket?region=us-east-1&amp;prefix=bhasha/Swar/Uttarpradesh-Deoria/AUDIO/Batch2_d1_Uttarpradesh-Deoria_new_files_11232022_2hrs/&amp;showversions=false</t>
  </si>
  <si>
    <t>https://s3.console.aws.amazon.com/s3/buckets/prod-shaip-bucket?region=us-east-1&amp;prefix=bhasha/Swar/Uttarpradesh-Etah/AUDIO/Batch1_d1_Uttarpradesh-Etah_new_files_11252022_2h35m/&amp;showversions=false</t>
  </si>
  <si>
    <t>https://s3.console.aws.amazon.com/s3/buckets/prod-shaip-bucket?region=us-east-1&amp;prefix=bhasha/Swar/Uttarpradesh-Gorakhpur/AUDIO/Batch1_d1_Uttarpradesh-Gorakhpur_new_files_11252022_2h34m/&amp;showversions=false</t>
  </si>
  <si>
    <t>https://s3.console.aws.amazon.com/s3/buckets/prod-shaip-bucket?region=us-east-1&amp;prefix=bhasha/Swar/Uttarpradesh-JyotibaPhuleNagar/AUDIO/Batch1_d1_Uttarpradesh-JyotibaPhuleNagar_new_files_11232022_1hrs/&amp;showversions=false</t>
  </si>
  <si>
    <t>https://s3.console.aws.amazon.com/s3/buckets/prod-shaip-bucket?region=us-east-1&amp;prefix=bhasha/Swar/Uttarpradesh-Muzzaffarnagar/AUDIO/Batch2_d1_Uttarpradesh-Muzzaffarnagar_new_files_11252022_2h3m/&amp;showversions=false</t>
  </si>
  <si>
    <t>https://s3.console.aws.amazon.com/s3/buckets/prod-shaip-bucket?region=us-east-1&amp;prefix=bhasha/Swar/Uttarpradesh-Varanasi/AUDIO/Batch2_d1_Uttarpradesh-Varanasi_new_files_11232022_0hrs/&amp;showversions=false</t>
  </si>
  <si>
    <t>https://s3.console.aws.amazon.com/s3/buckets/prod-shaip-bucket?region=us-east-1&amp;prefix=bhasha/Swar/WestBengal-Jalpaiguri/AUDIO/Batch1_d1_WestBengal-Jalpaiguri_new_files_11252022_1h11m/&amp;showversions=false</t>
  </si>
  <si>
    <t>https://s3.console.aws.amazon.com/s3/buckets/prod-shaip-bucket?region=us-east-1&amp;prefix=bhasha/Swar/WestBengal-Jhargram/AUDIO/Batch1_d1_WestBengal-Jhargram_new_files_11232022_1hrs/&amp;showversions=false</t>
  </si>
  <si>
    <t>https://s3.console.aws.amazon.com/s3/buckets/prod-shaip-bucket?region=us-east-1&amp;prefix=bhasha/Swar/WestBengal-North24Parganas/AUDIO/Batch2_d1_WestBengal-North24Parganas_new_files_11232022_2hrs/&amp;showversions=false</t>
  </si>
  <si>
    <t>Batch4 29/11/2022</t>
  </si>
  <si>
    <t>Sr. No.</t>
  </si>
  <si>
    <t>#of Files</t>
  </si>
  <si>
    <t>SpeechHours</t>
  </si>
  <si>
    <t>https://s3.console.aws.amazon.com/s3/buckets/prod-shaip-bucket?region=us-east-1&amp;prefix=bhasha/Swar/Bihar-Begusarai/AUDIO/Batch2_d1_Bihar-Begusarai_new_files_11282022_4h42m/&amp;showversions=false</t>
  </si>
  <si>
    <t>https://s3.console.aws.amazon.com/s3/buckets/prod-shaip-bucket?region=us-east-1&amp;prefix=bhasha/Swar/Uttarakhand-TehriGarhwal/AUDIO/Batch3_d1_Uttarakhand-TehriGarhwal_new_files_11282022_3h54m/&amp;showversions=false</t>
  </si>
  <si>
    <t>https://s3.console.aws.amazon.com/s3/buckets/prod-shaip-bucket?region=us-east-1&amp;prefix=bhasha/Swar/Bihar-Samastipur/AUDIO/Batch2_d1_Bihar-Samastipur_new_files_11282022_2h7m/&amp;showversions=false</t>
  </si>
  <si>
    <t>https://s3.console.aws.amazon.com/s3/buckets/prod-shaip-bucket?region=us-east-1&amp;prefix=bhasha/Swar/Bihar-EastChamparan/AUDIO/Batch3_d1_Bihar-EastChamparan_new_files_11282022_2h35m/&amp;showversions=false</t>
  </si>
  <si>
    <t>https://s3.console.aws.amazon.com/s3/buckets/prod-shaip-bucket?region=us-east-1&amp;prefix=bhasha/Swar/Chhattisgarh-Sarguja/AUDIO/Batch1_d1_Chhattisgarh-Sarguja_new_files_11292022_1h27m/&amp;showversions=false</t>
  </si>
  <si>
    <t>https://s3.console.aws.amazon.com/s3/buckets/prod-shaip-bucket?region=us-east-1&amp;prefix=bhasha/Swar/Uttarpradesh-Deoria/AUDIO/Batch3_d1_Uttarpradesh-Deoria_new_files_11282022_1h16m/&amp;showversions=false</t>
  </si>
  <si>
    <t>https://s3.console.aws.amazon.com/s3/buckets/prod-shaip-bucket?region=us-east-1&amp;prefix=bhasha/Swar/WestBengal-PaschimMedinipur/AUDIO/Batch1_d1_WestBengal-PaschimMedinipur_new_files_11282022_1h26m/&amp;showversions=false</t>
  </si>
  <si>
    <t>https://s3.console.aws.amazon.com/s3/buckets/prod-shaip-bucket?region=us-east-1&amp;prefix=bhasha/Swar/Karnataka-Mysore/AUDIO/Batch1_d1_Karnataka-Mysore_new_files_11282022_1h59m/&amp;showversions=false</t>
  </si>
  <si>
    <t>https://s3.console.aws.amazon.com/s3/buckets/prod-shaip-bucket?region=us-east-1&amp;prefix=bhasha/Swar/Uttarpradesh-Budaun/AUDIO/Batch3_d1_Uttarpradesh-Budaun_new_files_11282022_1h57m/&amp;showversions=false</t>
  </si>
  <si>
    <t>https://s3.console.aws.amazon.com/s3/buckets/prod-shaip-bucket?region=us-east-1&amp;prefix=bhasha/Swar/Chhattisgarh-Bilaspur/AUDIO/Batch3_d1_Chhattisgarh-Bilaspur_new_files_11282022_1h5m/&amp;showversions=false</t>
  </si>
  <si>
    <t>Batch5</t>
  </si>
  <si>
    <t>Files</t>
  </si>
  <si>
    <t>https://s3.console.aws.amazon.com/s3/buckets/prod-shaip-bucket?region=us-east-1&amp;prefix=bhasha/Swar/Bihar-Begusarai/AUDIO/Batch3_d1_Bihar-Begusarai_new_files_11292022_1h46m/&amp;showversions=false</t>
  </si>
  <si>
    <t>https://s3.console.aws.amazon.com/s3/buckets/prod-shaip-bucket?region=us-east-1&amp;prefix=bhasha/Swar/Bihar-EastChamparan/AUDIO/Batch4_d1_Bihar-EastChamparan_new_files_11292022_21m/&amp;showversions=false</t>
  </si>
  <si>
    <t>https://s3.console.aws.amazon.com/s3/buckets/prod-shaip-bucket?region=us-east-1&amp;prefix=bhasha/Swar/Bihar-Gaya%26Jahanabad/AUDIO/Batch2_d1_Bihar-Gaya%26Jahanabad_new_files_11292022_4m/&amp;showversions=false</t>
  </si>
  <si>
    <t>https://s3.console.aws.amazon.com/s3/buckets/prod-shaip-bucket?region=us-east-1&amp;prefix=bhasha/Swar/Bihar-Gopalganj/AUDIO/Batch3_d1_Bihar-Gopalganj_new_files_11292022_1h59m/&amp;showversions=false</t>
  </si>
  <si>
    <t>https://s3.console.aws.amazon.com/s3/buckets/prod-shaip-bucket?region=us-east-1&amp;prefix=bhasha/Swar/Bihar-Jahanabad/AUDIO/Batch1_d1_Bihar-Jahanabad_new_files_11292022_18m/&amp;showversions=false</t>
  </si>
  <si>
    <t>https://s3.console.aws.amazon.com/s3/buckets/prod-shaip-bucket?region=us-east-1&amp;prefix=bhasha/Swar/Bihar-Jamui/AUDIO/Batch2_d1_Bihar-Jamui_new_files_11292022_12m/&amp;showversions=false</t>
  </si>
  <si>
    <t>https://s3.console.aws.amazon.com/s3/buckets/prod-shaip-bucket?region=us-east-1&amp;prefix=bhasha/Swar/Bihar-Lakhisarai/AUDIO/Batch1_d1_Bihar-Lakhisarai_new_files_11292022_14m/&amp;showversions=false</t>
  </si>
  <si>
    <t>https://s3.console.aws.amazon.com/s3/buckets/prod-shaip-bucket?region=us-east-1&amp;prefix=bhasha/Swar/Bihar-Muzaffarpur/AUDIO/Batch2_d1_Bihar-Muzaffarpur_new_files_11292022_24m/&amp;showversions=false</t>
  </si>
  <si>
    <t>https://s3.console.aws.amazon.com/s3/buckets/prod-shaip-bucket?region=us-east-1&amp;prefix=bhasha/Swar/Bihar-Samastipur/AUDIO/Batch3_d1_Bihar-Samastipur_new_files_11292022_9m/&amp;showversions=false</t>
  </si>
  <si>
    <t>https://s3.console.aws.amazon.com/s3/buckets/prod-shaip-bucket?region=us-east-1&amp;prefix=bhasha/Swar/Bihar-Saran/AUDIO/Batch2_d1_Bihar-Saran_new_files_11292022_1h50m/&amp;showversions=false</t>
  </si>
  <si>
    <t>https://s3.console.aws.amazon.com/s3/buckets/prod-shaip-bucket?region=us-east-1&amp;prefix=bhasha/Swar/Bihar-Sitamarhi/AUDIO/Batch3_d1_Bihar-Sitamarhi_new_files_11292022_27m/&amp;showversions=false</t>
  </si>
  <si>
    <t>https://s3.console.aws.amazon.com/s3/buckets/prod-shaip-bucket?region=us-east-1&amp;prefix=bhasha/Swar/Bihar-Vaishali/AUDIO/Batch1_d1_Bihar-Vaishali_new_files_11292022_29m/&amp;showversions=false</t>
  </si>
  <si>
    <t>https://s3.console.aws.amazon.com/s3/buckets/prod-shaip-bucket?region=us-east-1&amp;prefix=bhasha/Swar/Chhattisgarh-Balrampur/AUDIO/Batch1_d1_Chhattisgarh-Balrampur_new_files_11292022_23m/&amp;showversions=false</t>
  </si>
  <si>
    <t>https://s3.console.aws.amazon.com/s3/buckets/prod-shaip-bucket?region=us-east-1&amp;prefix=bhasha/Swar/Chhattisgarh-Bilaspur/AUDIO/Batch4_d1_Chhattisgarh-Bilaspur_new_files_11292022_1h33m/&amp;showversions=false</t>
  </si>
  <si>
    <t>https://s3.console.aws.amazon.com/s3/buckets/prod-shaip-bucket?region=us-east-1&amp;prefix=bhasha/Swar/Chhattisgarh-Raigarh/AUDIO/Batch2_d1_Chhattisgarh-Raigarh_new_files_11292022_1h48m/&amp;showversions=false</t>
  </si>
  <si>
    <t>https://s3.console.aws.amazon.com/s3/buckets/prod-shaip-bucket?region=us-east-1&amp;prefix=bhasha/Swar/Chhattisgarh-Rajnandgaon/AUDIO/Batch1_d1_Chhattisgarh-Rajnandgaon_new_files_11292022_1h45m/&amp;showversions=false</t>
  </si>
  <si>
    <t>https://s3.console.aws.amazon.com/s3/buckets/prod-shaip-bucket?region=us-east-1&amp;prefix=bhasha/Swar/Chhattisgarh-Sarguja/AUDIO/Batch2_d1_Chhattisgarh-Sarguja_new_files_11292022_15m/&amp;showversions=false</t>
  </si>
  <si>
    <t>https://s3.console.aws.amazon.com/s3/buckets/prod-shaip-bucket?region=us-east-1&amp;prefix=bhasha/Swar/Jharkhand-Jamtara/AUDIO/Batch1_d1_Jharkhand-Jamtara_new_files_11292022_2m/&amp;showversions=false</t>
  </si>
  <si>
    <t>https://s3.console.aws.amazon.com/s3/buckets/prod-shaip-bucket?region=us-east-1&amp;prefix=bhasha/Swar/Karnataka-Chamrajnagar/AUDIO/Batch1_d1_Karnataka-Chamrajnagar_new_files_11292022_13m/&amp;showversions=false</t>
  </si>
  <si>
    <t>https://s3.console.aws.amazon.com/s3/buckets/prod-shaip-bucket?region=us-east-1&amp;prefix=bhasha/Swar/Karnataka-Dharwad/AUDIO/Batch1_d1_Karnataka-Dharwad_new_files_11292022_1h6m/&amp;showversions=false</t>
  </si>
  <si>
    <t>https://s3.console.aws.amazon.com/s3/buckets/prod-shaip-bucket?region=us-east-1&amp;prefix=bhasha/Swar/Karnataka-Mysore/AUDIO/Batch2_d1_Karnataka-Mysore_new_files_11292022_8m/&amp;showversions=false</t>
  </si>
  <si>
    <t>https://s3.console.aws.amazon.com/s3/buckets/prod-shaip-bucket?region=us-east-1&amp;prefix=bhasha/Swar/Karnataka-Shimoga/AUDIO/Batch2_d1_Karnataka-Shimoga_new_files_11292022_1h54m/&amp;showversions=false</t>
  </si>
  <si>
    <t>https://s3.console.aws.amazon.com/s3/buckets/prod-shaip-bucket?region=us-east-1&amp;prefix=bhasha/Swar/Maharashtra-Aurangabad/AUDIO/Batch1_d1_Maharashtra-Aurangabad_new_files_11292022_1h36m/&amp;showversions=false</t>
  </si>
  <si>
    <t>https://s3.console.aws.amazon.com/s3/buckets/prod-shaip-bucket?region=us-east-1&amp;prefix=bhasha/Swar/Maharashtra-Chandrapur/AUDIO/Batch1_d1_Maharashtra-Chandrapur_new_files_11292022_13m/&amp;showversions=false</t>
  </si>
  <si>
    <t>https://s3.console.aws.amazon.com/s3/buckets/prod-shaip-bucket?region=us-east-1&amp;prefix=bhasha/Swar/Maharashtra-Pune/AUDIO/Batch1_d1_Maharashtra-Pune_new_files_11292022_5m/&amp;showversions=false</t>
  </si>
  <si>
    <t>https://s3.console.aws.amazon.com/s3/buckets/prod-shaip-bucket?region=us-east-1&amp;prefix=bhasha/Swar/Rajasthan-Churu/AUDIO/Batch3_d1_Rajasthan-Churu_new_files_11292022_4h38m/&amp;showversions=false</t>
  </si>
  <si>
    <t>https://s3.console.aws.amazon.com/s3/buckets/prod-shaip-bucket?region=us-east-1&amp;prefix=bhasha/Swar/Rajasthan-Nagaur/AUDIO/Batch3_d1_Rajasthan-Nagaur_new_files_11292022_2h26m/&amp;showversions=false</t>
  </si>
  <si>
    <t>https://s3.console.aws.amazon.com/s3/buckets/prod-shaip-bucket?region=us-east-1&amp;prefix=bhasha/Swar/Uttarpradesh-Budaun/AUDIO/Batch4_d1_Uttarpradesh-Budaun_new_files_11292022_8m/&amp;showversions=false</t>
  </si>
  <si>
    <t>https://s3.console.aws.amazon.com/s3/buckets/prod-shaip-bucket?region=us-east-1&amp;prefix=bhasha/Swar/Uttarpradesh-Deoria/AUDIO/Batch4_d1_Uttarpradesh-Deoria_new_files_11292022_28m/&amp;showversions=false</t>
  </si>
  <si>
    <t>https://s3.console.aws.amazon.com/s3/buckets/prod-shaip-bucket?region=us-east-1&amp;prefix=bhasha/Swar/Uttarpradesh-Etah/AUDIO/Batch2_d1_Uttarpradesh-Etah_new_files_11292022_8m/&amp;showversions=false</t>
  </si>
  <si>
    <t>https://s3.console.aws.amazon.com/s3/buckets/prod-shaip-bucket?region=us-east-1&amp;prefix=bhasha/Swar/Uttarpradesh-Ghazipur/AUDIO/Batch1_d1_Uttarpradesh-Ghazipur_new_files_11292022_14m/&amp;showversions=false</t>
  </si>
  <si>
    <t>https://s3.console.aws.amazon.com/s3/buckets/prod-shaip-bucket?region=us-east-1&amp;prefix=bhasha/Swar/Uttarpradesh-Gorakhpur/AUDIO/Batch2_d1_Uttarpradesh-Gorakhpur_new_files_11292022_1h5m/&amp;showversions=false</t>
  </si>
  <si>
    <t>https://s3.console.aws.amazon.com/s3/buckets/prod-shaip-bucket?region=us-east-1&amp;prefix=bhasha/Swar/Uttarpradesh-Hamirpur/AUDIO/Batch1_d1_Uttarpradesh-Hamirpur_new_files_11292022_1h35m/&amp;showversions=false</t>
  </si>
  <si>
    <t>https://s3.console.aws.amazon.com/s3/buckets/prod-shaip-bucket?region=us-east-1&amp;prefix=bhasha/Swar/Uttarpradesh-Jalaun/AUDIO/Batch1_d1_Uttarpradesh-Jalaun_new_files_11292022_25m/&amp;showversions=false</t>
  </si>
  <si>
    <t>https://s3.console.aws.amazon.com/s3/buckets/prod-shaip-bucket?region=us-east-1&amp;prefix=bhasha/Swar/Uttarpradesh-Muzzaffarnagar/AUDIO/Batch3_d1_Uttarpradesh-Muzzaffarnagar_new_files_11292022_2h42m/&amp;showversions=false</t>
  </si>
  <si>
    <t>https://s3.console.aws.amazon.com/s3/buckets/prod-shaip-bucket?region=us-east-1&amp;prefix=bhasha/Swar/WestBengal-DakshinDinajpur/AUDIO/Batch1_d1_WestBengal-DakshinDinajpur_new_files_11292022_3m/&amp;showversions=false</t>
  </si>
  <si>
    <t>https://s3.console.aws.amazon.com/s3/buckets/prod-shaip-bucket?region=us-east-1&amp;prefix=bhasha/Swar/WestBengal-Jalpaiguri/AUDIO/Batch2_d1_WestBengal-Jalpaiguri_new_files_11292022_28m/&amp;showversions=false</t>
  </si>
  <si>
    <t>https://s3.console.aws.amazon.com/s3/buckets/prod-shaip-bucket?region=us-east-1&amp;prefix=bhasha/Swar/WestBengal-Jhargram/AUDIO/Batch2_d1_WestBengal-Jhargram_new_files_11292022_1h42m/&amp;showversions=false</t>
  </si>
  <si>
    <t>https://s3.console.aws.amazon.com/s3/buckets/prod-shaip-bucket?region=us-east-1&amp;prefix=bhasha/Swar/WestBengal-Kolkata/AUDIO/Batch3_d1_WestBengal-Kolkata_new_files_11292022_1h59m/&amp;showversions=false</t>
  </si>
  <si>
    <t>https://s3.console.aws.amazon.com/s3/buckets/prod-shaip-bucket?region=us-east-1&amp;prefix=bhasha/Swar/WestBengal-North24Parganas/AUDIO/Batch3_d1_WestBengal-North24Parganas_new_files_11292022_1h43m/&amp;showversions=false</t>
  </si>
  <si>
    <t>https://s3.console.aws.amazon.com/s3/buckets/prod-shaip-bucket?region=us-east-1&amp;prefix=bhasha/Swar/WestBengal-PaschimMedinipur/AUDIO/Batch2_d1_WestBengal-PaschimMedinipur_new_files_11292022_21m/&amp;showversions=false</t>
  </si>
  <si>
    <t>Batch6 - 05/12/2022</t>
  </si>
  <si>
    <t>https://s3.console.aws.amazon.com/s3/buckets/prod-shaip-bucket?region=us-east-1&amp;prefix=bhasha/Swar/Bihar-Araria/AUDIO/Batch1_d1_Bihar-Araria_new_files_12032022_10h54m/&amp;showversions=false</t>
  </si>
  <si>
    <t>https://s3.console.aws.amazon.com/s3/buckets/prod-shaip-bucket?region=us-east-1&amp;prefix=bhasha/Swar/Chhattisgarh-Bilaspur/AUDIO/Batch5_d1_Chhattisgarh-Bilaspur_new_files_12032022_2h1m/&amp;showversions=false</t>
  </si>
  <si>
    <t>https://s3.console.aws.amazon.com/s3/buckets/prod-shaip-bucket?region=us-east-1&amp;prefix=bhasha/Swar/Bihar-Sitamarhi/AUDIO/Batch4_d1_Bihar-Sitamarhi_new_files_12032022_2h26m/&amp;showversions=false</t>
  </si>
  <si>
    <t>https://s3.console.aws.amazon.com/s3/buckets/prod-shaip-bucket?region=us-east-1&amp;prefix=bhasha/Swar/Rajasthan-Churu/AUDIO/Batch4_d1_Rajasthan-Churu_new_files_12032022_3h4m/&amp;showversions=false</t>
  </si>
  <si>
    <t>https://s3.console.aws.amazon.com/s3/buckets/prod-shaip-bucket?region=us-east-1&amp;prefix=bhasha/Swar/Bihar-Muzaffarpur/AUDIO/Batch3_d1_Bihar-Muzaffarpur_new_files_12032022_3h47m/&amp;showversions=false</t>
  </si>
  <si>
    <t>https://s3.console.aws.amazon.com/s3/buckets/prod-shaip-bucket?region=us-east-1&amp;prefix=bhasha/Swar/Bihar-Samastipur/AUDIO/Batch4_d1_Bihar-Samastipur_new_files_12032022_2h25m/&amp;showversions=false</t>
  </si>
  <si>
    <t>https://s3.console.aws.amazon.com/s3/buckets/prod-shaip-bucket?region=us-east-1&amp;prefix=bhasha/Swar/Rajasthan-Nagaur/AUDIO/Batch4_d1_Rajasthan-Nagaur_new_files_12032022_2h59m/&amp;showversions=false</t>
  </si>
  <si>
    <t>https://s3.console.aws.amazon.com/s3/buckets/prod-shaip-bucket?region=us-east-1&amp;prefix=bhasha/Swar/Karnataka-Shimoga/AUDIO/Batch3_d1_Karnataka-Shimoga_new_files_12032022_2h38m/&amp;showversions=false</t>
  </si>
  <si>
    <t>https://s3.console.aws.amazon.com/s3/buckets/prod-shaip-bucket?region=us-east-1&amp;prefix=bhasha/Swar/Bihar-Kishanganj/AUDIO/Batch1_d1_Bihar-Kishanganj_new_files_12032022_1h16m/&amp;showversions=false</t>
  </si>
  <si>
    <t>https://s3.console.aws.amazon.com/s3/buckets/prod-shaip-bucket?region=us-east-1&amp;prefix=bhasha/Swar/Bihar-Supaul/AUDIO/Batch1_d1_Bihar-Supaul_new_files_12032022_2h35m/&amp;showversions=false</t>
  </si>
  <si>
    <t>https://s3.console.aws.amazon.com/s3/buckets/prod-shaip-bucket?region=us-east-1&amp;prefix=bhasha/Swar/Chhattisgarh-Jashpur/AUDIO/Batch2_d1_Chhattisgarh-Jashpur_new_files_12032022_1h27m/&amp;showversions=false</t>
  </si>
  <si>
    <t>https://s3.console.aws.amazon.com/s3/buckets/prod-shaip-bucket?region=us-east-1&amp;prefix=bhasha/Swar/WestBengal-DakshinDinajpur/AUDIO/Batch2_d1_WestBengal-DakshinDinajpur_new_files_12032022_1h21m/&amp;showversions=false</t>
  </si>
  <si>
    <t>https://s3.console.aws.amazon.com/s3/buckets/prod-shaip-bucket?region=us-east-1&amp;prefix=bhasha/Swar/Bihar-Begusarai/AUDIO/Batch4_d1_Bihar-Begusarai_new_files_12032022_1h8m/&amp;showversions=false</t>
  </si>
  <si>
    <t>https://s3.console.aws.amazon.com/s3/buckets/prod-shaip-bucket?region=us-east-1&amp;prefix=bhasha/Swar/WestBengal-Jhargram/AUDIO/Batch3_d1_WestBengal-Jhargram_new_files_12032022_1h53m/&amp;showversions=false</t>
  </si>
  <si>
    <t>https://s3.console.aws.amazon.com/s3/buckets/prod-shaip-bucket?region=us-east-1&amp;prefix=bhasha/Swar/WestBengal-PaschimMedinipur/AUDIO/Batch3_d1_WestBengal-PaschimMedinipur_new_files_12032022_1h54m/&amp;showversions=false</t>
  </si>
  <si>
    <t>https://s3.console.aws.amazon.com/s3/buckets/prod-shaip-bucket?region=us-east-1&amp;prefix=bhasha/Swar/Uttarpradesh-JyotibaPhuleNagar/AUDIO/Batch2_d1_Uttarpradesh-JyotibaPhuleNagar_new_files_12032022_1h50m/&amp;showversions=false</t>
  </si>
  <si>
    <t>https://s3.console.aws.amazon.com/s3/buckets/prod-shaip-bucket?region=us-east-1&amp;prefix=bhasha/Swar/Uttarpradesh-Muzzaffarnagar/AUDIO/Batch4_d1_Uttarpradesh-Muzzaffarnagar_new_files_12032022_1h40m/&amp;showversions=false</t>
  </si>
  <si>
    <t>https://s3.console.aws.amazon.com/s3/buckets/prod-shaip-bucket?region=us-east-1&amp;prefix=bhasha/Swar/WestBengal-Jalpaiguri/AUDIO/Batch3_d1_WestBengal-Jalpaiguri_new_files_12032022_22m/&amp;showversions=false</t>
  </si>
  <si>
    <t>https://s3.console.aws.amazon.com/s3/buckets/prod-shaip-bucket?region=us-east-1&amp;prefix=bhasha/Swar/Uttarpradesh-Etah/AUDIO/Batch3_d1_Uttarpradesh-Etah_new_files_12032022_1h46m/&amp;showversions=false</t>
  </si>
  <si>
    <t>https://s3.console.aws.amazon.com/s3/buckets/prod-shaip-bucket?region=us-east-1&amp;prefix=bhasha/Swar/Bihar-Gopalganj/AUDIO/Batch4_d1_Bihar-Gopalganj_new_files_12032022_1h42m/&amp;showversions=false</t>
  </si>
  <si>
    <t>https://s3.console.aws.amazon.com/s3/buckets/prod-shaip-bucket?region=us-east-1&amp;prefix=bhasha/Swar/Karnataka-Dharwad/AUDIO/Batch2_d1_Karnataka-Dharwad_new_files_12032022_1h37m/&amp;showversions=false</t>
  </si>
  <si>
    <t>https://s3.console.aws.amazon.com/s3/buckets/prod-shaip-bucket?region=us-east-1&amp;prefix=bhasha/Swar/Bihar-Jahanabad/AUDIO/Batch2_d1_Bihar-Jahanabad_new_files_12032022_1h38m/&amp;showversions=false</t>
  </si>
  <si>
    <t>https://s3.console.aws.amazon.com/s3/buckets/prod-shaip-bucket?region=us-east-1&amp;prefix=bhasha/Swar/Uttarpradesh-Budaun/AUDIO/Batch5_d1_Uttarpradesh-Budaun_new_files_12032022_1h34m/&amp;showversions=false</t>
  </si>
  <si>
    <t>https://s3.console.aws.amazon.com/s3/buckets/prod-shaip-bucket?region=us-east-1&amp;prefix=bhasha/Swar/Chhattisgarh-Raigarh/AUDIO/Batch3_d1_Chhattisgarh-Raigarh_new_files_12032022_1h33m/&amp;showversions=false</t>
  </si>
  <si>
    <t>https://s3.console.aws.amazon.com/s3/buckets/prod-shaip-bucket?region=us-east-1&amp;prefix=bhasha/Swar/WestBengal-Kolkata/AUDIO/Batch4_d1_WestBengal-Kolkata_new_files_12032022_24m/&amp;showversions=false</t>
  </si>
  <si>
    <t>https://s3.console.aws.amazon.com/s3/buckets/prod-shaip-bucket?region=us-east-1&amp;prefix=bhasha/Swar/WestBengal-North24Parganas/AUDIO/Batch4_d1_WestBengal-North24Parganas_new_files_12032022_28m/&amp;showversions=false</t>
  </si>
  <si>
    <t>https://s3.console.aws.amazon.com/s3/buckets/prod-shaip-bucket?region=us-east-1&amp;prefix=bhasha/Swar/Uttarakhand-TehriGarhwal/AUDIO/Batch4_d1_Uttarakhand-TehriGarhwal_new_files_12032022_4h54m/&amp;showversions=false</t>
  </si>
  <si>
    <t>https://s3.console.aws.amazon.com/s3/buckets/prod-shaip-bucket?region=us-east-1&amp;prefix=bhasha/Swar/Uttarakhand-Uttarkashi/AUDIO/Batch2_d1_Uttarakhand-Uttarkashi_new_files_12032022_2h58m/&amp;showversions=false</t>
  </si>
  <si>
    <t>Batch7 - 17/01/2023</t>
  </si>
  <si>
    <t>https://s3.console.aws.amazon.com/s3/buckets/prod-shaip-bucket?region=us-east-1&amp;prefix=bhasha/Swar/Uttarpradesh-Deoria/AUDIO/Batch5_d1_Uttarpradesh-Deoria_new_files_01172023_8h51m/&amp;showversions=false</t>
  </si>
  <si>
    <t>https://s3.console.aws.amazon.com/s3/buckets/shaip-production-bucket?region=us-east-1&amp;prefix=eztrans/EZBS/outbound/Swar/Uttarpradesh-Gorakhpur/AUDIO/Batch3_d1_Uttarpradesh-Gorakhpur_new_files_01172023_2h6m/&amp;showversions=false</t>
  </si>
  <si>
    <t>https://s3.console.aws.amazon.com/s3/buckets/prod-shaip-bucket?region=us-east-1&amp;prefix=bhasha/Swar/Uttarpradesh-Hamirpur/AUDIO/Batch2_d1_Uttarpradesh-Hamirpur_new_files_01172023_2h25m/&amp;showversions=false</t>
  </si>
  <si>
    <t>https://s3.console.aws.amazon.com/s3/buckets/prod-shaip-bucket?region=us-east-1&amp;prefix=bhasha/Swar/Uttarpradesh-Muzzaffarnagar/AUDIO/Batch5_d1_Uttarpradesh-Muzzaffarnagar_new_files_01172023_2h47m/&amp;showversions=false</t>
  </si>
  <si>
    <t>Batch8 - 24/02/2023</t>
  </si>
  <si>
    <t>AP</t>
  </si>
  <si>
    <t>https://s3.console.aws.amazon.com/s3/buckets/prod-shaip-bucket?region=us-east-1&amp;prefix=bhasha/Swar/AP-Vishakapattanam/AUDIO/Batch1_d1_AP-Vishakapattanam_new_files_02212023_1h29m/&amp;showversions=false</t>
  </si>
  <si>
    <t>https://s3.console.aws.amazon.com/s3/buckets/prod-shaip-bucket?region=us-east-1&amp;prefix=bhasha/Swar/Bihar-Bhagalpur/AUDIO/Batch1_d1_Bihar-Bhagalpur_new_files_02212023_3h31m/&amp;showversions=false</t>
  </si>
  <si>
    <t>https://s3.console.aws.amazon.com/s3/buckets/prod-shaip-bucket?region=us-east-1&amp;prefix=bhasha/Swar/Bihar-Madhepura/AUDIO/Batch1_d1_Bihar-Madhepura_new_files_02212023_3h32m/&amp;showversions=false</t>
  </si>
  <si>
    <t>https://s3.console.aws.amazon.com/s3/buckets/prod-shaip-bucket?region=us-east-1&amp;prefix=bhasha/Swar/Bihar-Purnia/AUDIO/Batch1_d1_Bihar-Purnia_new_files_02212023_3h6m/&amp;showversions=false</t>
  </si>
  <si>
    <t>https://s3.console.aws.amazon.com/s3/buckets/prod-shaip-bucket?region=us-east-1&amp;prefix=bhasha/Swar/Bihar-Saharsa/AUDIO/Batch1_d1_Bihar-Saharsa_new_files_02212023_1h51m/&amp;showversions=false</t>
  </si>
  <si>
    <t>https://s3.console.aws.amazon.com/s3/buckets/prod-shaip-bucket?region=us-east-1&amp;prefix=bhasha/Swar/Bihar-Darbhanga/AUDIO/Batch2_d1_Bihar-Darbhanga_new_files_02212023_1h47m/&amp;showversions=false</t>
  </si>
  <si>
    <t>https://s3.console.aws.amazon.com/s3/buckets/prod-shaip-bucket?region=us-east-1&amp;prefix=bhasha/Swar/Bihar-Kishanganj/AUDIO/Batch2_d1_Bihar-Kishanganj_new_files_02212023_1h12m/&amp;showversions=false</t>
  </si>
  <si>
    <t>https://s3.console.aws.amazon.com/s3/buckets/prod-shaip-bucket?region=us-east-1&amp;prefix=bhasha/Swar/Bihar-Supaul/AUDIO/Batch2_d1_Bihar-Supaul_new_files_02212023_1h2m/&amp;showversions=false</t>
  </si>
  <si>
    <t>https://s3.console.aws.amazon.com/s3/buckets/prod-shaip-bucket?region=us-east-1&amp;prefix=bhasha/Swar/Bihar-Vaishali/AUDIO/Batch2_d1_Bihar-Vaishali_new_files_02212023_3h38m/&amp;showversions=false</t>
  </si>
  <si>
    <t>https://s3.console.aws.amazon.com/s3/buckets/prod-shaip-bucket?prefix=bhasha/Swar/Bihar-Araria/AUDIO/Batch3_d1_Bihar-Araria_new_files_02212023_1h25m/&amp;region=us-east-1</t>
  </si>
  <si>
    <t>https://s3.console.aws.amazon.com/s3/buckets/prod-shaip-bucket?region=us-east-1&amp;prefix=bhasha/Swar/Bihar-Jahanabad/AUDIO/Batch3_d1_Bihar-Jahanabad_new_files_02212023_1h18m/&amp;showversions=false</t>
  </si>
  <si>
    <t>https://s3.console.aws.amazon.com/s3/buckets/prod-shaip-bucket?region=us-east-1&amp;prefix=bhasha/Swar/Bihar-Saran/AUDIO/Batch3_d1_Bihar-Saran_new_files_02212023_4h41m/&amp;showversions=false</t>
  </si>
  <si>
    <t>https://s3.console.aws.amazon.com/s3/buckets/prod-shaip-bucket?region=us-east-1&amp;prefix=bhasha/Swar/Bihar-Jamui/AUDIO/Batch4_d1_Bihar-Jamui_new_files_02212023_2h5m/&amp;showversions=false</t>
  </si>
  <si>
    <t>https://s3.console.aws.amazon.com/s3/buckets/prod-shaip-bucket?region=us-east-1&amp;prefix=bhasha/Swar/Bihar-Muzaffarpur/AUDIO/Batch4_d1_Bihar-Muzaffarpur_new_files_02212023_3h16m/&amp;showversions=false</t>
  </si>
  <si>
    <t>https://s3.console.aws.amazon.com/s3/buckets/prod-shaip-bucket?region=us-east-1&amp;prefix=bhasha/Swar/Bihar-Gopalganj/AUDIO/Batch5_d1_Bihar-Gopalganj_new_files_02212023_6h24m/&amp;showversions=false</t>
  </si>
  <si>
    <t>https://s3.console.aws.amazon.com/s3/buckets/prod-shaip-bucket?region=us-east-1&amp;prefix=bhasha/Swar/Bihar-EastChamparan/AUDIO/Batch6_d1_Bihar-EastChamparan_new_files_02212023_5h13m/&amp;showversions=false</t>
  </si>
  <si>
    <t>https://s3.console.aws.amazon.com/s3/buckets/prod-shaip-bucket?region=us-east-1&amp;prefix=bhasha/Swar/Bihar-Samastipur/AUDIO/Batch6_d1_Bihar-Samastipur_new_files_02212023_2h6m/&amp;showversions=false</t>
  </si>
  <si>
    <t>https://s3.console.aws.amazon.com/s3/buckets/prod-shaip-bucket?region=us-east-1&amp;prefix=bhasha/Swar/Bihar-Sitamarhi/AUDIO/Batch6_d1_Bihar-Sitamarhi_new_files_02212023_1h33m/&amp;showversions=false</t>
  </si>
  <si>
    <t>https://s3.console.aws.amazon.com/s3/buckets/prod-shaip-bucket?region=us-east-1&amp;prefix=bhasha/Swar/Chhattisgarh-Bastar/AUDIO/Batch1_d1_Chhattisgarh-Bastar_new_files_02212023_3h39m/&amp;showversions=false</t>
  </si>
  <si>
    <t>https://s3.console.aws.amazon.com/s3/buckets/prod-shaip-bucket?region=us-east-1&amp;prefix=bhasha/Swar/Chhattisgarh-Kabirdham/AUDIO/Batch1_d1_Chhattisgarh-Kabirdham_new_files_02212023_1h46m/&amp;showversions=false</t>
  </si>
  <si>
    <t>https://s3.console.aws.amazon.com/s3/buckets/prod-shaip-bucket?region=us-east-1&amp;prefix=bhasha/Swar/Chhattisgarh-Korba/AUDIO/Batch1_d1_Chhattisgarh-Korba_new_files_02212023_1h26m/&amp;showversions=false</t>
  </si>
  <si>
    <t>https://s3.console.aws.amazon.com/s3/buckets/prod-shaip-bucket?region=us-east-1&amp;prefix=bhasha/Swar/Chhattisgarh-Rajnandgaon/AUDIO/Batch2_d1_Chhattisgarh-Rajnandgaon_new_files_02212023_1h9m/&amp;showversions=false</t>
  </si>
  <si>
    <t>https://s3.console.aws.amazon.com/s3/buckets/prod-shaip-bucket?region=us-east-1&amp;prefix=bhasha/Swar/Chhattisgarh-Jashpur/AUDIO/Batch3_d1_Chhattisgarh-Jashpur_new_files_02212023_2h36m/&amp;showversions=false</t>
  </si>
  <si>
    <t>https://s3.console.aws.amazon.com/s3/buckets/prod-shaip-bucket?region=us-east-1&amp;prefix=bhasha/Swar/Chhattisgarh-Sarguja/AUDIO/Batch3_d1_Chhattisgarh-Sarguja_new_files_02212023_2h16m/&amp;showversions=false</t>
  </si>
  <si>
    <t>https://s3.console.aws.amazon.com/s3/buckets/prod-shaip-bucket?region=us-east-1&amp;prefix=bhasha/Swar/Chhattisgarh-Raigarh/AUDIO/Batch4_d1_Chhattisgarh-Raigarh_new_files_02212023_1h58m/&amp;showversions=false</t>
  </si>
  <si>
    <t>https://s3.console.aws.amazon.com/s3/buckets/prod-shaip-bucket?region=us-east-1&amp;prefix=bhasha/Swar/Chhattisgarh-Bilaspur/AUDIO/Batch6_d1_Chhattisgarh-Bilaspur_new_files_02212023_2h13m/&amp;showversions=false</t>
  </si>
  <si>
    <t>https://s3.console.aws.amazon.com/s3/buckets/prod-shaip-bucket?region=us-east-1&amp;prefix=bhasha/Swar/Goa-North%2BSouthGoa/AUDIO/Batch1_d1_Goa-NorthSouthGoa_new_files_02212023_1h12m/&amp;showversions=false</t>
  </si>
  <si>
    <t>https://s3.console.aws.amazon.com/s3/buckets/prod-shaip-bucket?region=us-east-1&amp;prefix=bhasha/Swar/Karnataka-Bellary/AUDIO/Batch1_d1_Karnataka-Bellary_new_files_02212023_1h5m/&amp;showversions=false</t>
  </si>
  <si>
    <t>https://s3.console.aws.amazon.com/s3/buckets/prod-shaip-bucket?region=us-east-1&amp;prefix=bhasha/Swar/Karnataka-Bijapur/AUDIO/Batch1_d1_Karnataka-Bijapur_new_files_02212023_1h26m/&amp;showversions=false</t>
  </si>
  <si>
    <t>https://s3.console.aws.amazon.com/s3/buckets/prod-shaip-bucket?region=us-east-1&amp;prefix=bhasha/Swar/Karnataka-DakshinKannada/AUDIO/Batch1_d1_Karnataka-DakshinKannada_new_files_02212023_1h18m/&amp;showversions=false</t>
  </si>
  <si>
    <t>https://s3.console.aws.amazon.com/s3/buckets/prod-shaip-bucket?region=us-east-1&amp;prefix=bhasha/Swar/Karnataka-Gulbarga/AUDIO/Batch1_d1_Karnataka-Gulbarga_new_files_02212023_1h14m/&amp;showversions=false</t>
  </si>
  <si>
    <t>https://s3.console.aws.amazon.com/s3/buckets/prod-shaip-bucket?region=us-east-1&amp;prefix=bhasha/Swar/Karnataka-Raichur/AUDIO/Batch1_d1_Karnataka-Raichur_new_files_02212023_1h42m/&amp;showversions=false</t>
  </si>
  <si>
    <t>https://s3.console.aws.amazon.com/s3/buckets/prod-shaip-bucket?region=us-east-1&amp;prefix=bhasha/Swar/Karnataka-Dharwad/AUDIO/Batch3_d1_Karnataka-Dharwad_new_files_02212023_1h17m/&amp;showversions=false</t>
  </si>
  <si>
    <t>https://s3.console.aws.amazon.com/s3/buckets/prod-shaip-bucket?region=us-east-1&amp;prefix=bhasha/Swar/Karnataka-Mysore/AUDIO/Batch3_d1_Karnataka-Mysore_new_files_02212023_2h51m/&amp;showversions=false</t>
  </si>
  <si>
    <t>https://s3.console.aws.amazon.com/s3/buckets/prod-shaip-bucket?region=us-east-1&amp;prefix=bhasha/Swar/Karnataka-Shimoga/AUDIO/Batch4_d1_Karnataka-Shimoga_new_files_02212023_5h13m/&amp;showversions=false</t>
  </si>
  <si>
    <t>https://s3.console.aws.amazon.com/s3/buckets/prod-shaip-bucket?region=us-east-1&amp;prefix=bhasha/Swar/Maharashtra-Aurangabad/AUDIO/Batch2_d1_Maharashtra-Aurangabad_new_files_02212023_1h18m/&amp;showversions=false</t>
  </si>
  <si>
    <t>https://s3.console.aws.amazon.com/s3/buckets/prod-shaip-bucket?region=us-east-1&amp;prefix=bhasha/Swar/Maharashtra-Pune/AUDIO/Batch2_d1_Maharashtra-Pune_new_files_02212023_3h55m/&amp;showversions=false</t>
  </si>
  <si>
    <t>https://s3.console.aws.amazon.com/s3/buckets/prod-shaip-bucket?region=us-east-1&amp;prefix=bhasha/Swar/Maharashtra-Solapur/AUDIO/Batch2_d1_Maharashtra-Solapur_new_files_02212023_2h36m/&amp;showversions=false</t>
  </si>
  <si>
    <t>https://s3.console.aws.amazon.com/s3/buckets/prod-shaip-bucket?region=us-east-1&amp;prefix=bhasha/Swar/Rajasthan-Nagaur/AUDIO/Batch5_d1_Rajasthan-Nagaur_new_files_02212023_2h53m/&amp;showversions=false</t>
  </si>
  <si>
    <t>https://s3.console.aws.amazon.com/s3/buckets/prod-shaip-bucket?region=us-east-1&amp;prefix=bhasha/Swar/Rajasthan-Churu/AUDIO/Batch6_d1_Rajasthan-Churu_new_files_02212023_1h21m/&amp;showversions=false</t>
  </si>
  <si>
    <t>https://s3.console.aws.amazon.com/s3/buckets/prod-shaip-bucket?region=us-east-1&amp;prefix=bhasha/Swar/Uttarakhand-Uttarkashi/AUDIO/Batch4_d1_Uttarakhand-Uttarkashi_new_files_02212023_2h43m/&amp;showversions=false</t>
  </si>
  <si>
    <t>https://s3.console.aws.amazon.com/s3/buckets/prod-shaip-bucket?region=us-east-1&amp;prefix=bhasha/Swar/Uttarakhand-TehriGarhwal/AUDIO/Batch6_d1_Uttarakhand-TehriGarhwal_new_files_02212023_3h36m/&amp;showversions=false</t>
  </si>
  <si>
    <t>https://s3.console.aws.amazon.com/s3/buckets/prod-shaip-bucket?region=us-east-1&amp;prefix=bhasha/Swar/Uttarpradesh-Ghazipur/AUDIO/Batch2_d1_Uttarpradesh-Ghazipur_new_files_02212023_3h1m/&amp;showversions=false</t>
  </si>
  <si>
    <t>https://s3.console.aws.amazon.com/s3/buckets/prod-shaip-bucket?region=us-east-1&amp;prefix=bhasha/Swar/Uttarpradesh-Hamirpur/AUDIO/Batch3_d1_Uttarpradesh-Hamirpur_new_files_02212023_1h48m/&amp;showversions=false</t>
  </si>
  <si>
    <t>https://s3.console.aws.amazon.com/s3/buckets/prod-shaip-bucket?region=us-east-1&amp;prefix=bhasha/Swar/Uttarpradesh-JyotibaPhuleNagar/AUDIO/Batch3_d1_Uttarpradesh-JyotibaPhuleNagar_new_files_02212023_2h41m/&amp;showversions=false</t>
  </si>
  <si>
    <t>https://s3.console.aws.amazon.com/s3/buckets/prod-shaip-bucket?region=us-east-1&amp;prefix=bhasha/Swar/Uttarpradesh-Varanasi/AUDIO/Batch4_d1_Uttarpradesh-Varanasi_new_files_02212023_1h6m/&amp;showversions=false</t>
  </si>
  <si>
    <t>https://s3.console.aws.amazon.com/s3/buckets/prod-shaip-bucket?region=us-east-1&amp;prefix=bhasha/Swar/Uttarpradesh-Gorakhpur/AUDIO/Batch5_d1_Uttarpradesh-Gorakhpur_new_files_02212023_1h40m/&amp;showversions=false</t>
  </si>
  <si>
    <t>https://s3.console.aws.amazon.com/s3/buckets/prod-shaip-bucket?region=us-east-1&amp;prefix=bhasha/Swar/Uttarpradesh-Deoria/AUDIO/Batch6_d1_Uttarpradesh-Deoria_new_files_02212023_2h41m/&amp;showversions=false</t>
  </si>
  <si>
    <t>https://s3.console.aws.amazon.com/s3/buckets/prod-shaip-bucket?region=us-east-1&amp;prefix=bhasha/Swar/Uttarpradesh-Budaun/AUDIO/Batch7_d1_Uttarpradesh-Budaun_new_files_02212023_1h55m/&amp;showversions=false</t>
  </si>
  <si>
    <t>https://s3.console.aws.amazon.com/s3/buckets/prod-shaip-bucket?region=us-east-1&amp;prefix=bhasha/Swar/Uttarpradesh-Muzzaffarnagar/AUDIO/Batch7_d1_Uttarpradesh-Muzzaffarnagar_new_files_02212023_1h36m/&amp;showversions=false</t>
  </si>
  <si>
    <t>https://s3.console.aws.amazon.com/s3/buckets/prod-shaip-bucket?region=us-east-1&amp;prefix=bhasha/Swar/WestBengal-Malda/AUDIO/Batch1_d1_WestBengal-Malda_new_files_02212023_2h40m/&amp;showversions=false</t>
  </si>
  <si>
    <t>https://s3.console.aws.amazon.com/s3/buckets/prod-shaip-bucket?region=us-east-1&amp;prefix=bhasha/Swar/WestBengal-Purulia/AUDIO/Batch1_d1_WestBengal-Purulia_new_files_02212023_1h10m/&amp;showversions=false</t>
  </si>
  <si>
    <t>https://s3.console.aws.amazon.com/s3/buckets/prod-shaip-bucket?region=us-east-1&amp;prefix=bhasha/Swar/WestBengal-Jalpaiguri/AUDIO/Batch5_d1_WestBengal-Jalpaiguri_new_files_02212023_1h23m/&amp;showversions=false</t>
  </si>
  <si>
    <t>https://s3.console.aws.amazon.com/s3/buckets/prod-shaip-bucket?prefix=bhasha/Swar/WestBengal-Jhargram/AUDIO/Batch5_d1_WestBengal-Jhargram_new_files_02212023_1h60m/&amp;region=us-east-1</t>
  </si>
  <si>
    <t>https://s3.console.aws.amazon.com/s3/buckets/prod-shaip-bucket?region=us-east-1&amp;prefix=bhasha/Swar/WestBengal-PaschimMedinipur/AUDIO/Batch5_d1_WestBengal-PaschimMedinipur_new_files_02212023_2h8m/&amp;showversions=false</t>
  </si>
  <si>
    <t>https://s3.console.aws.amazon.com/s3/buckets/prod-shaip-bucket?region=us-east-1&amp;prefix=bhasha/Swar/WestBengal-Kolkata/AUDIO/Batch6_d1_WestBengal-Kolkata_new_files_02212023_1h1m/&amp;showversions=false</t>
  </si>
  <si>
    <t>https://s3.console.aws.amazon.com/s3/buckets/prod-shaip-bucket?region=us-east-1&amp;prefix=bhasha/Swar/WestBengal-North24Parganas/AUDIO/Batch6_d1_WestBengal-North24Parganas_new_files_02212023_4h31m/&amp;showversions=false</t>
  </si>
  <si>
    <t>Batch9 - 15/03/2023</t>
  </si>
  <si>
    <t>https://s3.console.aws.amazon.com/s3/buckets/prod-shaip-bucket?region=us-east-1&amp;prefix=bhasha/Swar/AP-Anantpur/AUDIO/Batch1_d1_AP-Anantpur_new_files_03102023_6h51m/&amp;showversions=false</t>
  </si>
  <si>
    <t>https://s3.console.aws.amazon.com/s3/buckets/prod-shaip-bucket?region=us-east-1&amp;prefix=bhasha/Swar/AP-Chittoor/AUDIO/Batch1_d1_AP-Chittoor_new_files_03102023_1h39m/&amp;showversions=false</t>
  </si>
  <si>
    <t>https://s3.console.aws.amazon.com/s3/buckets/prod-shaip-bucket?region=us-east-1&amp;prefix=bhasha/Swar/AP-Guntur/AUDIO/Batch1_d1_AP-Guntur_new_files_03102023_8h40m/&amp;showversions=false</t>
  </si>
  <si>
    <t>https://s3.console.aws.amazon.com/s3/buckets/prod-shaip-bucket?region=us-east-1&amp;prefix=bhasha/Swar/AP-Krishna/AUDIO/Batch1_d1_AP-Krishna_new_files_03102023_4h22m/&amp;showversions=false</t>
  </si>
  <si>
    <t>https://s3.console.aws.amazon.com/s3/buckets/prod-shaip-bucket?region=us-east-1&amp;prefix=bhasha/Swar/AP-Srikakulam/AUDIO/Batch1_d1_AP-Srikakulam_new_files_03102023_2h8m/&amp;showversions=false</t>
  </si>
  <si>
    <t>https://s3.console.aws.amazon.com/s3/buckets/prod-shaip-bucket?region=us-east-1&amp;prefix=bhasha/Swar/AP-Vishakapattanam/AUDIO/Batch2_d1_AP-Vishakapattanam_new_files_03102023_3h6m/&amp;showversions=false</t>
  </si>
  <si>
    <t>https://s3.console.aws.amazon.com/s3/buckets/prod-shaip-bucket?region=us-east-1&amp;prefix=bhasha/Swar/Bihar-Bhagalpur/AUDIO/Batch2_d1_Bihar-Bhagalpur_new_files_03102023_10h16m/&amp;showversions=false</t>
  </si>
  <si>
    <t>https://s3.console.aws.amazon.com/s3/buckets/prod-shaip-bucket?region=us-east-1&amp;prefix=bhasha/Swar/Bihar-Lakhisarai/AUDIO/Batch2_d1_Bihar-Lakhisarai_new_files_03102023_2h48m/&amp;showversions=false</t>
  </si>
  <si>
    <t>https://s3.console.aws.amazon.com/s3/buckets/prod-shaip-bucket?region=us-east-1&amp;prefix=bhasha/Swar/Bihar-Madhepura/AUDIO/Batch2_d1_Bihar-Madhepura_new_files_03102023_8h45m/&amp;showversions=false</t>
  </si>
  <si>
    <t>https://s3.console.aws.amazon.com/s3/buckets/prod-shaip-bucket?region=us-east-1&amp;prefix=bhasha/Swar/Bihar-Purnia/AUDIO/Batch2_d1_Bihar-Purnia_new_files_03102023_7h52m/&amp;showversions=false</t>
  </si>
  <si>
    <t>https://s3.console.aws.amazon.com/s3/buckets/prod-shaip-bucket?region=us-east-1&amp;prefix=bhasha/Swar/Bihar-Saharsa/AUDIO/Batch2_d1_Bihar-Saharsa_new_files_03102023_10h54m/&amp;showversions=false</t>
  </si>
  <si>
    <t>https://s3.console.aws.amazon.com/s3/buckets/prod-shaip-bucket?region=us-east-1&amp;prefix=bhasha/Swar/Bihar-Darbhanga/AUDIO/Batch3_d1_Bihar-Darbhanga_new_files_03102023_4h50m/&amp;showversions=false</t>
  </si>
  <si>
    <t>https://s3.console.aws.amazon.com/s3/buckets/prod-shaip-bucket?region=us-east-1&amp;prefix=bhasha/Swar/Bihar-Gaya/AUDIO/Batch3_d1_Bihar-Gaya_new_files_03142023_4h18m/&amp;showversions=false</t>
  </si>
  <si>
    <t>https://s3.console.aws.amazon.com/s3/buckets/prod-shaip-bucket?region=us-east-1&amp;prefix=bhasha/Swar/Bihar-Kishanganj/AUDIO/Batch3_d1_Bihar-Kishanganj_new_files_03102023_2h39m/&amp;showversions=false</t>
  </si>
  <si>
    <t>https://s3.console.aws.amazon.com/s3/buckets/prod-shaip-bucket?region=us-east-1&amp;prefix=bhasha/Swar/Bihar-Supaul/AUDIO/Batch3_d1_Bihar-Supaul_new_files_03102023_20h54m/&amp;showversions=false</t>
  </si>
  <si>
    <t>https://s3.console.aws.amazon.com/s3/buckets/prod-shaip-bucket?region=us-east-1&amp;prefix=bhasha/Swar/Bihar-Vaishali/AUDIO/Batch3_d1_Bihar-Vaishali_new_files_03112023_29h58m/&amp;showversions=false</t>
  </si>
  <si>
    <t>https://s3.console.aws.amazon.com/s3/buckets/prod-shaip-bucket?region=us-east-1&amp;prefix=bhasha/Swar/Bihar-Araria/AUDIO/Batch4_d1_Bihar-Araria_new_files_03102023_2h44m/&amp;showversions=false</t>
  </si>
  <si>
    <t>https://s3.console.aws.amazon.com/s3/buckets/prod-shaip-bucket?region=us-east-1&amp;prefix=bhasha/Swar/Bihar-Jahanabad/AUDIO/Batch4_d1_Bihar-Jahanabad_new_files_03102023_9h50m/&amp;showversions=false</t>
  </si>
  <si>
    <t>https://s3.console.aws.amazon.com/s3/buckets/prod-shaip-bucket?region=us-east-1&amp;prefix=bhasha/Swar/Bihar-Saran/AUDIO/Batch4_d1_Bihar-Saran_new_files_03102023_11h57m/&amp;showversions=false</t>
  </si>
  <si>
    <t>https://s3.console.aws.amazon.com/s3/buckets/prod-shaip-bucket?region=us-east-1&amp;prefix=bhasha/Swar/Bihar-Jamui/AUDIO/Batch5_d1_Bihar-Jamui_new_files_03112023_3h22m/&amp;showversions=false</t>
  </si>
  <si>
    <t>https://s3.console.aws.amazon.com/s3/buckets/prod-shaip-bucket?region=us-east-1&amp;prefix=bhasha/Swar/Bihar-Muzaffarpur/AUDIO/Batch5_d1_Bihar-Muzaffarpur_new_files_03112023_8h26m/&amp;showversions=false</t>
  </si>
  <si>
    <t>https://s3.console.aws.amazon.com/s3/buckets/prod-shaip-bucket?region=us-east-1&amp;prefix=bhasha/Swar/Bihar-Begusarai/AUDIO/Batch6_d1_Bihar-Begusarai_new_files_03102023_3h33m/&amp;showversions=false</t>
  </si>
  <si>
    <t>https://s3.console.aws.amazon.com/s3/buckets/prod-shaip-bucket?region=us-east-1&amp;prefix=bhasha/Swar/Bihar-Gopalganj/AUDIO/Batch6_d1_Bihar-Gopalganj_new_files_03102023_20h14m/&amp;showversions=false</t>
  </si>
  <si>
    <t>https://s3.console.aws.amazon.com/s3/buckets/prod-shaip-bucket?region=us-east-1&amp;prefix=bhasha/Swar/Bihar-EastChamparan/AUDIO/Batch7_d1_Bihar-EastChamparan_new_files_03102023_15h40m/&amp;showversions=false</t>
  </si>
  <si>
    <t>https://s3.console.aws.amazon.com/s3/buckets/prod-shaip-bucket?region=us-east-1&amp;prefix=bhasha/Swar/Bihar-Samastipur/AUDIO/Batch7_d1_Bihar-Samastipur_new_files_03112023_6h47m/&amp;showversions=false</t>
  </si>
  <si>
    <t>https://s3.console.aws.amazon.com/s3/buckets/prod-shaip-bucket?region=us-east-1&amp;prefix=bhasha/Swar/Bihar-Sitamarhi/AUDIO/Batch7_d1_Bihar-Sitamarhi_new_files_03112023_8h32m/&amp;showversions=false</t>
  </si>
  <si>
    <t>https://s3.console.aws.amazon.com/s3/buckets/prod-shaip-bucket?region=us-east-1&amp;prefix=bhasha/Swar/Chhattisgarh-Sukma/AUDIO/Batch1_d1_Chhattisgarh-Sukma_new_files_03112023_4m/&amp;showversions=false</t>
  </si>
  <si>
    <t>https://s3.console.aws.amazon.com/s3/buckets/prod-shaip-bucket?region=us-east-1&amp;prefix=bhasha/Swar/Chhattisgarh-Balrampur/AUDIO/Batch2_d1_Chhattisgarh-Balrampur_new_files_03112023_5h18m/&amp;showversions=false</t>
  </si>
  <si>
    <t>https://s3.console.aws.amazon.com/s3/buckets/prod-shaip-bucket?region=us-east-1&amp;prefix=bhasha/Swar/Chhattisgarh-Bastar/AUDIO/Batch2_d1_Chhattisgarh-Bastar_new_files_03112023_30h11m/&amp;showversions=false</t>
  </si>
  <si>
    <t>https://s3.console.aws.amazon.com/s3/buckets/prod-shaip-bucket?region=us-east-1&amp;prefix=bhasha/Swar/Chhattisgarh-Kabirdham/AUDIO/Batch2_d1_Chhattisgarh-Kabirdham_new_files_03112023_1h29m/&amp;showversions=false</t>
  </si>
  <si>
    <t>https://s3.console.aws.amazon.com/s3/buckets/prod-shaip-bucket?region=us-east-1&amp;prefix=bhasha/Swar/Chhattisgarh-Korba/AUDIO/Batch2_d1_Chhattisgarh-Korba_new_files_03112023_4h51m/&amp;showversions=false</t>
  </si>
  <si>
    <t>https://s3.console.aws.amazon.com/s3/buckets/prod-shaip-bucket?region=us-east-1&amp;prefix=bhasha/Swar/Chhattisgarh-Rajnandgaon/AUDIO/Batch3_d1_Chhattisgarh-Rajnandgaon_new_files_03102023_4h37m/&amp;showversions=false</t>
  </si>
  <si>
    <t>https://s3.console.aws.amazon.com/s3/buckets/prod-shaip-bucket?region=us-east-1&amp;prefix=bhasha/Swar/Chhattisgarh-Jashpur/AUDIO/Batch4_d1_Chhattisgarh-Jashpur_new_files_03112023_5h3m/&amp;showversions=false</t>
  </si>
  <si>
    <t>https://s3.console.aws.amazon.com/s3/buckets/prod-shaip-bucket?region=us-east-1&amp;prefix=bhasha/Swar/Chhattisgarh-Sarguja/AUDIO/Batch4_d1_Chhattisgarh-Sarguja_new_files_03102023_7h49m/&amp;showversions=false</t>
  </si>
  <si>
    <t>https://s3.console.aws.amazon.com/s3/buckets/prod-shaip-bucket?region=us-east-1&amp;prefix=bhasha/Swar/Chhattisgarh-Raigarh/AUDIO/Batch5_d1_Chhattisgarh-Raigarh_new_files_03112023_4h38m/&amp;showversions=false</t>
  </si>
  <si>
    <t>https://s3.console.aws.amazon.com/s3/buckets/prod-shaip-bucket?region=us-east-1&amp;prefix=bhasha/Swar/Chhattisgarh-Bilaspur/AUDIO/Batch7_d1_Chhattisgarh-Bilaspur_new_files_03112023_4h7m/&amp;showversions=false</t>
  </si>
  <si>
    <t>NorthSouth Goa</t>
  </si>
  <si>
    <t>https://s3.console.aws.amazon.com/s3/buckets/prod-shaip-bucket?region=us-east-1&amp;prefix=bhasha/Swar/Goa-NorthSouthGoa/AUDIO/Batch2_d1_Goa-NorthSouthGoa_new_files_03102023_2h34m/&amp;showversions=false</t>
  </si>
  <si>
    <t>https://s3.console.aws.amazon.com/s3/buckets/prod-shaip-bucket?region=us-east-1&amp;prefix=bhasha/Swar/Jharkhand-Sahebganj/AUDIO/Batch1_d1_Jharkhand-Sahebganj_new_files_03112023_7h10m/&amp;showversions=false</t>
  </si>
  <si>
    <t>https://s3.console.aws.amazon.com/s3/buckets/prod-shaip-bucket?region=us-east-1&amp;prefix=bhasha/Swar/Jharkhand-Jamtara/AUDIO/Batch2_d1_Jharkhand-Jamtara_new_files_03102023_5h15m/&amp;showversions=false</t>
  </si>
  <si>
    <t>https://s3.console.aws.amazon.com/s3/buckets/prod-shaip-bucket?region=us-east-1&amp;prefix=bhasha/Swar/Karnataka-Belgaum/AUDIO/Batch1_d1_Karnataka-Belgaum_new_files_03112023_2h37m/&amp;showversions=false</t>
  </si>
  <si>
    <t>https://s3.console.aws.amazon.com/s3/buckets/prod-shaip-bucket?region=us-east-1&amp;prefix=bhasha/Swar/Karnataka-Bellary/AUDIO/Batch2_d1_Karnataka-Bellary_new_files_03112023_6h30m/&amp;showversions=false</t>
  </si>
  <si>
    <t>https://s3.console.aws.amazon.com/s3/buckets/prod-shaip-bucket?region=us-east-1&amp;prefix=bhasha/Swar/Karnataka-Bijapur/AUDIO/Batch2_d1_Karnataka-Bijapur_new_files_03112023_3h15m/&amp;showversions=false</t>
  </si>
  <si>
    <t>https://s3.console.aws.amazon.com/s3/buckets/prod-shaip-bucket?region=us-east-1&amp;prefix=bhasha/Swar/Karnataka-Chamrajnagar/AUDIO/Batch2_d1_Karnataka-Chamrajnagar_new_files_03112023_6h10m/&amp;showversions=false</t>
  </si>
  <si>
    <t>https://s3.console.aws.amazon.com/s3/buckets/prod-shaip-bucket?region=us-east-1&amp;prefix=bhasha/Swar/Karnataka-DakshinKannada/AUDIO/Batch2_d1_Karnataka-DakshinKannada_new_files_03112023_6h51m/&amp;showversions=false</t>
  </si>
  <si>
    <t>https://s3.console.aws.amazon.com/s3/buckets/prod-shaip-bucket?region=us-east-1&amp;prefix=bhasha/Swar/Karnataka-Gulbarga/AUDIO/Batch2_d1_Karnataka-Gulbarga_new_files_03112023_57m/&amp;showversions=false</t>
  </si>
  <si>
    <t>https://s3.console.aws.amazon.com/s3/buckets/prod-shaip-bucket?region=us-east-1&amp;prefix=bhasha/Swar/Karnataka-Raichur/AUDIO/Batch2_d1_Karnataka-Raichur_new_files_03112023_11h35m/&amp;showversions=false</t>
  </si>
  <si>
    <t>https://s3.console.aws.amazon.com/s3/buckets/prod-shaip-bucket?region=us-east-1&amp;prefix=bhasha/Swar/Karnataka-Dharwad/AUDIO/Batch4_d1_Karnataka-Dharwad_new_files_03112023_7h28m/&amp;showversions=false</t>
  </si>
  <si>
    <t>https://s3.console.aws.amazon.com/s3/buckets/prod-shaip-bucket?region=us-east-1&amp;prefix=bhasha/Swar/Karnataka-Mysore/AUDIO/Batch4_d1_Karnataka-Mysore_new_files_03112023_8h10m/&amp;showversions=false</t>
  </si>
  <si>
    <t>https://s3.console.aws.amazon.com/s3/buckets/prod-shaip-bucket?region=us-east-1&amp;prefix=bhasha/Swar/Karnataka-Shimoga/AUDIO/Batch5_d1_Karnataka-Shimoga_new_files_03112023_9h49m/&amp;showversions=false</t>
  </si>
  <si>
    <t>https://s3.console.aws.amazon.com/s3/buckets/prod-shaip-bucket?region=us-east-1&amp;prefix=bhasha/Swar/Maharashtra-Dhule/AUDIO/Batch1_d1_Maharashtra-Dhule_new_files_03112023_46m/&amp;showversions=false</t>
  </si>
  <si>
    <t>https://s3.console.aws.amazon.com/s3/buckets/prod-shaip-bucket?region=us-east-1&amp;prefix=bhasha/Swar/Maharashtra-Nagpur/AUDIO/Batch1_d1_Maharashtra-Nagpur_new_files_03112023_5h27m/&amp;showversions=false</t>
  </si>
  <si>
    <t>https://s3.console.aws.amazon.com/s3/buckets/prod-shaip-bucket?region=us-east-1&amp;prefix=bhasha/Swar/Maharashtra-Sindhudurga/AUDIO/Batch1_d1_Maharashtra-Sindhudurga_new_files_03112023_3h50m/&amp;showversions=false</t>
  </si>
  <si>
    <t>https://s3.console.aws.amazon.com/s3/buckets/prod-shaip-bucket?region=us-east-1&amp;prefix=bhasha/Swar/Maharashtra-Chandrapur/AUDIO/Batch2_d1_Maharashtra-Chandrapur_new_files_03112023_44m/&amp;showversions=false</t>
  </si>
  <si>
    <t>https://s3.console.aws.amazon.com/s3/buckets/prod-shaip-bucket?region=us-east-1&amp;prefix=bhasha/Swar/Maharashtra-Aurangabad/AUDIO/Batch3_d1_Maharashtra-Aurangabad_new_files_03112023_5h7m/&amp;showversions=false</t>
  </si>
  <si>
    <t>https://s3.console.aws.amazon.com/s3/buckets/prod-shaip-bucket?region=us-east-1&amp;prefix=bhasha/Swar/Maharashtra-Pune/AUDIO/Batch3_d1_Maharashtra-Pune_new_files_03112023_6h25m/&amp;showversions=false</t>
  </si>
  <si>
    <t>https://s3.console.aws.amazon.com/s3/buckets/prod-shaip-bucket?region=us-east-1&amp;prefix=bhasha/Swar/Maharashtra-Solapur/AUDIO/Batch3_d1_Maharashtra-Solapur_new_files_03112023_1h21m/&amp;showversions=false</t>
  </si>
  <si>
    <t>https://s3.console.aws.amazon.com/s3/buckets/prod-shaip-bucket?region=us-east-1&amp;prefix=bhasha/Swar/Rajasthan-Nagaur/AUDIO/Batch6_d1_Rajasthan-Nagaur_new_files_03102023_9h56m/&amp;showversions=false</t>
  </si>
  <si>
    <t>https://s3.console.aws.amazon.com/s3/buckets/prod-shaip-bucket?region=us-east-1&amp;prefix=bhasha/Swar/Rajasthan-Churu/AUDIO/Batch7_d1_Rajasthan-Churu_new_files_03112023_8h35m/&amp;showversions=false</t>
  </si>
  <si>
    <t>Telengana</t>
  </si>
  <si>
    <t>https://s3.console.aws.amazon.com/s3/buckets/prod-shaip-bucket?region=us-east-1&amp;prefix=bhasha/Swar/Telengana-Karimnagar/AUDIO/Batch1_d1_Telengana-Karimnagar_new_files_03102023_5h28m/&amp;showversions=false</t>
  </si>
  <si>
    <t>https://s3.console.aws.amazon.com/s3/buckets/prod-shaip-bucket?region=us-east-1&amp;prefix=bhasha/Swar/Telengana-Nalgonda/AUDIO/Batch1_d1_Telengana-Nalgonda_new_files_03102023_4h10m/&amp;showversions=false</t>
  </si>
  <si>
    <t>https://s3.console.aws.amazon.com/s3/buckets/prod-shaip-bucket?region=us-east-1&amp;prefix=bhasha/Swar/Uttarakhand-Uttarkashi/AUDIO/Batch5_d1_Uttarakhand-Uttarkashi_new_files_03102023_2h33m/&amp;showversions=false</t>
  </si>
  <si>
    <t>https://s3.console.aws.amazon.com/s3/buckets/prod-shaip-bucket?region=us-east-1&amp;prefix=bhasha/Swar/Uttarakhand-TehriGarhwal/AUDIO/Batch7_d1_Uttarakhand-TehriGarhwal_new_files_03102023_42m/&amp;showversions=false</t>
  </si>
  <si>
    <t>https://s3.console.aws.amazon.com/s3/buckets/prod-shaip-bucket?region=us-east-1&amp;prefix=bhasha/Swar/Uttarpradesh-Jalaun/AUDIO/Batch2_d1_Uttarpradesh-Jalaun_new_files_03102023_4h51m/&amp;showversions=false</t>
  </si>
  <si>
    <t>https://s3.console.aws.amazon.com/s3/buckets/prod-shaip-bucket?region=us-east-1&amp;prefix=bhasha/Swar/Uttarpradesh-Ghazipur/AUDIO/Batch3_d1_Uttarpradesh-Ghazipur_new_files_03102023_13h60m/&amp;showversions=false</t>
  </si>
  <si>
    <t>https://s3.console.aws.amazon.com/s3/buckets/prod-shaip-bucket?region=us-east-1&amp;prefix=bhasha/Swar/Uttarpradesh-Etah/AUDIO/Batch4_d1_Uttarpradesh-Etah_new_files_03102023_46m/&amp;showversions=false</t>
  </si>
  <si>
    <t>https://s3.console.aws.amazon.com/s3/buckets/prod-shaip-bucket?region=us-east-1&amp;prefix=bhasha/Swar/Uttarpradesh-Hamirpur/AUDIO/Batch4_d1_Uttarpradesh-Hamirpur_new_files_03102023_4h40m/&amp;showversions=false</t>
  </si>
  <si>
    <t>https://s3.console.aws.amazon.com/s3/buckets/prod-shaip-bucket?region=us-east-1&amp;prefix=bhasha/Swar/Uttarpradesh-JyotibaPhuleNagar/AUDIO/Batch4_d1_Uttarpradesh-JyotibaPhuleNagar_new_files_03102023_18h29m/&amp;showversions=false</t>
  </si>
  <si>
    <t>https://s3.console.aws.amazon.com/s3/buckets/prod-shaip-bucket?region=us-east-1&amp;prefix=bhasha/Swar/Uttarpradesh-Varanasi/AUDIO/Batch5_d1_Uttarpradesh-Varanasi_new_files_03102023_8h21m/&amp;showversions=false</t>
  </si>
  <si>
    <t>https://s3.console.aws.amazon.com/s3/buckets/prod-shaip-bucket?region=us-east-1&amp;prefix=bhasha/Swar/Uttarpradesh-Gorakhpur/AUDIO/Batch6_d1_Uttarpradesh-Gorakhpur_new_files_03102023_10h30m/&amp;showversions=false</t>
  </si>
  <si>
    <t>https://s3.console.aws.amazon.com/s3/buckets/prod-shaip-bucket?region=us-east-1&amp;prefix=bhasha/Swar/Uttarpradesh-Deoria/AUDIO/Batch7_d1_Uttarpradesh-Deoria_new_files_03102023_4h36m/&amp;showversions=false</t>
  </si>
  <si>
    <t>https://s3.console.aws.amazon.com/s3/buckets/prod-shaip-bucket?region=us-east-1&amp;prefix=bhasha/Swar/Uttarpradesh-Budaun/AUDIO/Batch8_d1_Uttarpradesh-Budaun_new_files_03102023_2h9m/&amp;showversions=false</t>
  </si>
  <si>
    <t>https://s3.console.aws.amazon.com/s3/buckets/prod-shaip-bucket?region=us-east-1&amp;prefix=bhasha/Swar/Uttarpradesh-Muzzaffarnagar/AUDIO/Batch8_d1_Uttarpradesh-Muzzaffarnagar_new_files_03102023_55m/&amp;showversions=false</t>
  </si>
  <si>
    <t>https://s3.console.aws.amazon.com/s3/buckets/prod-shaip-bucket?region=us-east-1&amp;prefix=bhasha/Swar/WestBengal-Malda/AUDIO/Batch2_d1_WestBengal-Malda_new_files_03102023_6h26m/&amp;showversions=false</t>
  </si>
  <si>
    <t>https://s3.console.aws.amazon.com/s3/buckets/prod-shaip-bucket?region=us-east-1&amp;prefix=bhasha/Swar/WestBengal-Purulia/AUDIO/Batch2_d1_WestBengal-Purulia_new_files_03112023_3h31m/&amp;showversions=false</t>
  </si>
  <si>
    <t>https://s3.console.aws.amazon.com/s3/buckets/prod-shaip-bucket?region=us-east-1&amp;prefix=bhasha/Swar/WestBengal-DakshinDinajpur/AUDIO/Batch4_d1_WestBengal-DakshinDinajpur_new_files_03102023_6h15m/&amp;showversions=false</t>
  </si>
  <si>
    <t>https://s3.console.aws.amazon.com/s3/buckets/prod-shaip-bucket?region=us-east-1&amp;prefix=bhasha/Swar/WestBengal-Jalpaiguri/AUDIO/Batch6_d1_WestBengal-Jalpaiguri_new_files_03102023_4h45m/&amp;showversions=false</t>
  </si>
  <si>
    <t>https://s3.console.aws.amazon.com/s3/buckets/prod-shaip-bucket?region=us-east-1&amp;prefix=bhasha/Swar/WestBengal-Jhargram/AUDIO/Batch6_d1_WestBengal-Jhargram_new_files_03102023_2h55m/&amp;showversions=false</t>
  </si>
  <si>
    <t>https://s3.console.aws.amazon.com/s3/buckets/prod-shaip-bucket?region=us-east-1&amp;prefix=bhasha/Swar/WestBengal-PaschimMedinipur/AUDIO/Batch6_d1_WestBengal-PaschimMedinipur_new_files_03102023_5h50m/&amp;showversions=false</t>
  </si>
  <si>
    <t>https://s3.console.aws.amazon.com/s3/buckets/prod-shaip-bucket?region=us-east-1&amp;prefix=bhasha/Swar/WestBengal-Kolkata/AUDIO/Batch7_d1_WestBengal-Kolkata_new_files_03102023_8h10m/&amp;showversions=false</t>
  </si>
  <si>
    <t>https://s3.console.aws.amazon.com/s3/buckets/prod-shaip-bucket?region=us-east-1&amp;prefix=bhasha/Swar/WestBengal-North24Parganas/AUDIO/Batch7_d1_WestBengal-North24Parganas_new_files_03102023_7h33m/&amp;showversions=false</t>
  </si>
  <si>
    <t>Batch10 - 28/03/2023</t>
  </si>
  <si>
    <t>https://s3.console.aws.amazon.com/s3/buckets/prod-shaip-bucket?region=us-east-1&amp;prefix=bhasha/Swar/AP-Anantpur/AUDIO/Batch2_d1_AP-Anantpur_new_files_03252023_12h22m/&amp;showversions=false</t>
  </si>
  <si>
    <t>https://s3.console.aws.amazon.com/s3/buckets/prod-shaip-bucket?region=us-east-1&amp;prefix=bhasha/Swar/AP-Chittoor/AUDIO/Batch2_d1_AP-Chittoor_new_files_03252023_3h21m/&amp;showversions=false</t>
  </si>
  <si>
    <t>https://s3.console.aws.amazon.com/s3/buckets/prod-shaip-bucket?prefix=bhasha/Swar/AP-Guntur/AUDIO/Batch2_d1_AP-Guntur_new_files_03252023_9h20m/&amp;region=us-east-1</t>
  </si>
  <si>
    <t>https://s3.console.aws.amazon.com/s3/buckets/prod-shaip-bucket?region=us-east-1&amp;prefix=bhasha/Swar/AP-Krishna/AUDIO/Batch2_d1_AP-Krishna_new_files_03252023_6h50m/&amp;showversions=false</t>
  </si>
  <si>
    <t>https://s3.console.aws.amazon.com/s3/buckets/prod-shaip-bucket?region=us-east-1&amp;prefix=bhasha/Swar/AP-Srikakulam/AUDIO/Batch2_d1_AP-Srikakulam_new_files_03252023_29h37m/&amp;showversions=false</t>
  </si>
  <si>
    <t>https://s3.console.aws.amazon.com/s3/buckets/prod-shaip-bucket?region=us-east-1&amp;prefix=bhasha/Swar/AP-Vishakapattanam/AUDIO/Batch3_d1_AP-Vishakapattanam_new_files_03252023_3h33m/&amp;showversions=false</t>
  </si>
  <si>
    <t>https://s3.console.aws.amazon.com/s3/buckets/prod-shaip-bucket?region=us-east-1&amp;prefix=bhasha/Swar/Bihar-Araria/AUDIO/Batch5_d1_Bihar-Araria_new_files_03252023_1h54m/&amp;showversions=false</t>
  </si>
  <si>
    <t>https://s3.console.aws.amazon.com/s3/buckets/prod-shaip-bucket?region=us-east-1&amp;prefix=bhasha/Swar/Bihar-Begusarai/AUDIO/Batch7_d1_Bihar-Begusarai_new_files_03252023_1h29m/&amp;showversions=false</t>
  </si>
  <si>
    <t>https://s3.console.aws.amazon.com/s3/buckets/prod-shaip-bucket?region=us-east-1&amp;prefix=bhasha/Swar/Bihar-Bhagalpur/AUDIO/Batch3_d1_Bihar-Bhagalpur_new_files_03252023_3h28m/&amp;showversions=false</t>
  </si>
  <si>
    <t>https://s3.console.aws.amazon.com/s3/buckets/prod-shaip-bucket?region=us-east-1&amp;prefix=bhasha/Swar/Bihar-Darbhanga/AUDIO/Batch4_d1_Bihar-Darbhanga_new_files_03252023_1h23m/&amp;showversions=false</t>
  </si>
  <si>
    <t>https://s3.console.aws.amazon.com/s3/buckets/prod-shaip-bucket?region=us-east-1&amp;prefix=bhasha/Swar/Bihar-EastChamparan/AUDIO/Batch8_d1_Bihar-EastChamparan_new_files_03252023_4h3m/&amp;showversions=false</t>
  </si>
  <si>
    <t>https://s3.console.aws.amazon.com/s3/buckets/prod-shaip-bucket?region=us-east-1&amp;prefix=bhasha/Swar/Bihar-Gaya/AUDIO/Batch4_d1_Bihar-Gaya_new_files_03252023_2h32m/&amp;showversions=false</t>
  </si>
  <si>
    <t>https://s3.console.aws.amazon.com/s3/buckets/prod-shaip-bucket?region=us-east-1&amp;prefix=bhasha/Swar/Bihar-Gopalganj/AUDIO/Batch7_d1_Bihar-Gopalganj_new_files_03252023_5h20m/&amp;showversions=false</t>
  </si>
  <si>
    <t>https://s3.console.aws.amazon.com/s3/buckets/prod-shaip-bucket?region=us-east-1&amp;prefix=bhasha/Swar/Bihar-Jahanabad/AUDIO/Batch5_d1_Bihar-Jahanabad_new_files_03252023_4h11m/&amp;showversions=false</t>
  </si>
  <si>
    <t>https://s3.console.aws.amazon.com/s3/buckets/prod-shaip-bucket?region=us-east-1&amp;prefix=bhasha/Swar/Bihar-Jamui/AUDIO/Batch6_d1_Bihar-Jamui_new_files_03252023_3h24m/&amp;showversions=false</t>
  </si>
  <si>
    <t>https://s3.console.aws.amazon.com/s3/buckets/prod-shaip-bucket?region=us-east-1&amp;prefix=bhasha/Swar/Bihar-Kishanganj/AUDIO/Batch4_d1_Bihar-Kishanganj_new_files_03252023_1h23m/&amp;showversions=false</t>
  </si>
  <si>
    <t>https://s3.console.aws.amazon.com/s3/buckets/prod-shaip-bucket?region=us-east-1&amp;prefix=bhasha/Swar/Bihar-Lakhisarai/AUDIO/Batch3_d1_Bihar-Lakhisarai_new_files_03252023_1h44m/&amp;showversions=false</t>
  </si>
  <si>
    <t>https://s3.console.aws.amazon.com/s3/buckets/prod-shaip-bucket?region=us-east-1&amp;prefix=bhasha/Swar/Bihar-Madhepura/AUDIO/Batch3_d1_Bihar-Madhepura_new_files_03252023_1h31m/&amp;showversions=false</t>
  </si>
  <si>
    <t>https://s3.console.aws.amazon.com/s3/buckets/prod-shaip-bucket?region=us-east-1&amp;prefix=bhasha/Swar/Bihar-Muzaffarpur/AUDIO/Batch6_d1_Bihar-Muzaffarpur_new_files_03252023_1h58m/&amp;showversions=false</t>
  </si>
  <si>
    <t>https://s3.console.aws.amazon.com/s3/buckets/prod-shaip-bucket?region=us-east-1&amp;prefix=bhasha/Swar/Bihar-Purnia/AUDIO/Batch3_d1_Bihar-Purnia_new_files_03252023_59m/&amp;showversions=false</t>
  </si>
  <si>
    <t>https://s3.console.aws.amazon.com/s3/buckets/prod-shaip-bucket?region=us-east-1&amp;prefix=bhasha/Swar/Bihar-Saharsa/AUDIO/Batch3_d1_Bihar-Saharsa_new_files_03252023_48m/&amp;showversions=false</t>
  </si>
  <si>
    <t>https://s3.console.aws.amazon.com/s3/buckets/prod-shaip-bucket?region=us-east-1&amp;prefix=bhasha/Swar/Bihar-Samastipur/AUDIO/Batch8_d1_Bihar-Samastipur_new_files_03252023_4h43m/&amp;showversions=false</t>
  </si>
  <si>
    <t>https://s3.console.aws.amazon.com/s3/buckets/prod-shaip-bucket?region=us-east-1&amp;prefix=bhasha/Swar/Bihar-Saran/AUDIO/Batch5_d1_Bihar-Saran_new_files_03252023_3h48m/&amp;showversions=false</t>
  </si>
  <si>
    <t>https://s3.console.aws.amazon.com/s3/buckets/prod-shaip-bucket?region=us-east-1&amp;prefix=bhasha/Swar/Bihar-Sitamarhi/AUDIO/Batch8_d1_Bihar-Sitamarhi_new_files_03252023_3h47m/&amp;showversions=false</t>
  </si>
  <si>
    <t>https://s3.console.aws.amazon.com/s3/buckets/prod-shaip-bucket?region=us-east-1&amp;prefix=bhasha/Swar/Bihar-Supaul/AUDIO/Batch4_d1_Bihar-Supaul_new_files_03252023_9h3m/&amp;showversions=false</t>
  </si>
  <si>
    <t>https://s3.console.aws.amazon.com/s3/buckets/prod-shaip-bucket?region=us-east-1&amp;prefix=bhasha/Swar/Bihar-Vaishali/AUDIO/Batch4_d1_Bihar-Vaishali_new_files_03252023_6h55m/&amp;showversions=false</t>
  </si>
  <si>
    <t>https://s3.console.aws.amazon.com/s3/buckets/prod-shaip-bucket?region=us-east-1&amp;prefix=bhasha/Swar/Chhattisgarh-Balrampur/AUDIO/Batch3_d1_Chhattisgarh-Balrampur_new_files_03252023_3h46m/&amp;showversions=false</t>
  </si>
  <si>
    <t>https://s3.console.aws.amazon.com/s3/buckets/prod-shaip-bucket?region=us-east-1&amp;prefix=bhasha/Swar/Chhattisgarh-Bastar/AUDIO/Batch3_d1_Chhattisgarh-Bastar_new_files_03252023_14h5m/&amp;showversions=false</t>
  </si>
  <si>
    <t>https://s3.console.aws.amazon.com/s3/buckets/prod-shaip-bucket?region=us-east-1&amp;prefix=bhasha/Swar/Chhattisgarh-Bilaspur/AUDIO/Batch8_d1_Chhattisgarh-Bilaspur_new_files_03252023_10h18m/&amp;showversions=false</t>
  </si>
  <si>
    <t>https://s3.console.aws.amazon.com/s3/buckets/prod-shaip-bucket?region=us-east-1&amp;prefix=bhasha/Swar/Chhattisgarh-Jashpur/AUDIO/Batch5_d1_Chhattisgarh-Jashpur_new_files_03252023_4h8m/&amp;showversions=false</t>
  </si>
  <si>
    <t>https://s3.console.aws.amazon.com/s3/buckets/prod-shaip-bucket?region=us-east-1&amp;prefix=bhasha/Swar/Chhattisgarh-Kabirdham/AUDIO/Batch3_d1_Chhattisgarh-Kabirdham_new_files_03252023_1h26m/&amp;showversions=false</t>
  </si>
  <si>
    <t>https://s3.console.aws.amazon.com/s3/buckets/prod-shaip-bucket?region=us-east-1&amp;prefix=bhasha/Swar/Chhattisgarh-Korba/AUDIO/Batch3_d1_Chhattisgarh-Korba_new_files_03252023_6h54m/&amp;showversions=false</t>
  </si>
  <si>
    <t>https://s3.console.aws.amazon.com/s3/buckets/prod-shaip-bucket?region=us-east-1&amp;prefix=bhasha/Swar/Chhattisgarh-Raigarh/AUDIO/Batch6_d1_Chhattisgarh-Raigarh_new_files_03252023_2h6m/&amp;showversions=false</t>
  </si>
  <si>
    <t>https://s3.console.aws.amazon.com/s3/buckets/prod-shaip-bucket?region=us-east-1&amp;prefix=bhasha/Swar/Chhattisgarh-Rajnandgaon/AUDIO/Batch4_d1_Chhattisgarh-Rajnandgaon_new_files_03252023_3h35m/&amp;showversions=false</t>
  </si>
  <si>
    <t>https://s3.console.aws.amazon.com/s3/buckets/prod-shaip-bucket?region=us-east-1&amp;prefix=bhasha/Swar/Chhattisgarh-Sarguja/AUDIO/Batch5_d1_Chhattisgarh-Sarguja_new_files_03252023_2h46m/&amp;showversions=false</t>
  </si>
  <si>
    <t>https://s3.console.aws.amazon.com/s3/buckets/prod-shaip-bucket?region=us-east-1&amp;prefix=bhasha/Swar/Chhattisgarh-Sukma/AUDIO/Batch2_d1_Chhattisgarh-Sukma_new_files_03252023_1h55m/&amp;showversions=false</t>
  </si>
  <si>
    <t>https://s3.console.aws.amazon.com/s3/buckets/prod-shaip-bucket?region=us-east-1&amp;prefix=bhasha/Swar/Goa-NorthSouthGoa/AUDIO/Batch3_d1_Goa-NorthSouthGoa_new_files_03252023_2h19m/&amp;showversions=false</t>
  </si>
  <si>
    <t>https://s3.console.aws.amazon.com/s3/buckets/prod-shaip-bucket?region=us-east-1&amp;prefix=bhasha/Swar/Jharkhand-Jamtara/AUDIO/Batch3_d1_Jharkhand-Jamtara_new_files_03252023_4h34m/&amp;showversions=false</t>
  </si>
  <si>
    <t>https://s3.console.aws.amazon.com/s3/buckets/prod-shaip-bucket?region=us-east-1&amp;prefix=bhasha/Swar/Jharkhand-Sahebganj/AUDIO/Batch2_d1_Jharkhand-Sahebganj_new_files_03252023_7h41m/&amp;showversions=false</t>
  </si>
  <si>
    <t>https://s3.console.aws.amazon.com/s3/buckets/prod-shaip-bucket?region=us-east-1&amp;prefix=bhasha/Swar/Karnataka-Belgaum/AUDIO/Batch2_d1_Karnataka-Belgaum_new_files_03252023_8h26m/&amp;showversions=false</t>
  </si>
  <si>
    <t>https://s3.console.aws.amazon.com/s3/buckets/prod-shaip-bucket?region=us-east-1&amp;prefix=bhasha/Swar/Karnataka-Bellary/AUDIO/Batch3_d1_Karnataka-Bellary_new_files_03252023_44m/&amp;showversions=false</t>
  </si>
  <si>
    <t>https://s3.console.aws.amazon.com/s3/buckets/prod-shaip-bucket?region=us-east-1&amp;prefix=bhasha/Swar/Karnataka-Bijapur/AUDIO/Batch3_d1_Karnataka-Bijapur_new_files_03252023_4h1m/&amp;showversions=false</t>
  </si>
  <si>
    <t>https://s3.console.aws.amazon.com/s3/buckets/prod-shaip-bucket?region=us-east-1&amp;prefix=bhasha/Swar/Karnataka-Chamrajnagar/AUDIO/Batch3_d1_Karnataka-Chamrajnagar_new_files_03252023_3h13m/&amp;showversions=false</t>
  </si>
  <si>
    <t>https://s3.console.aws.amazon.com/s3/buckets/prod-shaip-bucket?region=us-east-1&amp;prefix=bhasha/Swar/Karnataka-DakshinKannada/AUDIO/Batch3_d1_Karnataka-DakshinKannada_new_files_03252023_1h28m/&amp;showversions=false</t>
  </si>
  <si>
    <t>https://s3.console.aws.amazon.com/s3/buckets/prod-shaip-bucket?region=us-east-1&amp;prefix=bhasha/Swar/Karnataka-Dharwad/AUDIO/Batch5_d1_Karnataka-Dharwad_new_files_03252023_3h51m/&amp;showversions=false</t>
  </si>
  <si>
    <t>https://s3.console.aws.amazon.com/s3/buckets/prod-shaip-bucket?region=us-east-1&amp;prefix=bhasha/Swar/Karnataka-Gulbarga/AUDIO/Batch3_d1_Karnataka-Gulbarga_new_files_03252023_3h37m/&amp;showversions=false</t>
  </si>
  <si>
    <t>https://s3.console.aws.amazon.com/s3/buckets/prod-shaip-bucket?region=us-east-1&amp;prefix=bhasha/Swar/Karnataka-Mysore/AUDIO/Batch5_d1_Karnataka-Mysore_new_files_03252023_4h40m/&amp;showversions=false</t>
  </si>
  <si>
    <t>https://s3.console.aws.amazon.com/s3/buckets/prod-shaip-bucket?region=us-east-1&amp;prefix=bhasha/Swar/Karnataka-Raichur/AUDIO/Batch3_d1_Karnataka-Raichur_new_files_03252023_3h50m/&amp;showversions=false</t>
  </si>
  <si>
    <t>https://s3.console.aws.amazon.com/s3/buckets/prod-shaip-bucket?region=us-east-1&amp;prefix=bhasha/Swar/Karnataka-Shimoga/AUDIO/Batch6_d1_Karnataka-Shimoga_new_files_03252023_4h52m/&amp;showversions=false</t>
  </si>
  <si>
    <t>https://s3.console.aws.amazon.com/s3/buckets/prod-shaip-bucket?region=us-east-1&amp;prefix=bhasha/Swar/Maharashtra-Aurangabad/AUDIO/Batch4_d1_Maharashtra-Aurangabad_new_files_03252023_11h42m/&amp;showversions=false</t>
  </si>
  <si>
    <t>https://s3.console.aws.amazon.com/s3/buckets/prod-shaip-bucket?region=us-east-1&amp;prefix=bhasha/Swar/Maharashtra-Chandrapur/AUDIO/Batch3_d1_Maharashtra-Chandrapur_new_files_03252023_1h3m/&amp;showversions=false</t>
  </si>
  <si>
    <t>https://s3.console.aws.amazon.com/s3/buckets/prod-shaip-bucket?region=us-east-1&amp;prefix=bhasha/Swar/Maharashtra-Dhule/AUDIO/Batch2_d1_Maharashtra-Dhule_new_files_03252023_2h22m/&amp;showversions=false</t>
  </si>
  <si>
    <t>https://s3.console.aws.amazon.com/s3/buckets/prod-shaip-bucket?region=us-east-1&amp;prefix=bhasha/Swar/Maharashtra-Nagpur/AUDIO/Batch2_d1_Maharashtra-Nagpur_new_files_03252023_2h58m/&amp;showversions=false</t>
  </si>
  <si>
    <t>https://s3.console.aws.amazon.com/s3/buckets/prod-shaip-bucket?region=us-east-1&amp;prefix=bhasha/Swar/Maharashtra-Pune/AUDIO/Batch4_d1_Maharashtra-Pune_new_files_03252023_7h51m/&amp;showversions=false</t>
  </si>
  <si>
    <t>https://s3.console.aws.amazon.com/s3/buckets/prod-shaip-bucket?region=us-east-1&amp;prefix=bhasha/Swar/Maharashtra-Sindhudurga/AUDIO/Batch2_d1_Maharashtra-Sindhudurga_new_files_03252023_3h4m/&amp;showversions=false</t>
  </si>
  <si>
    <t>https://s3.console.aws.amazon.com/s3/buckets/prod-shaip-bucket?region=us-east-1&amp;prefix=bhasha/Swar/Maharashtra-Solapur/AUDIO/Batch4_d1_Maharashtra-Solapur_new_files_03252023_5h58m/&amp;showversions=false</t>
  </si>
  <si>
    <t>https://s3.console.aws.amazon.com/s3/buckets/prod-shaip-bucket?region=us-east-1&amp;prefix=bhasha/Swar/Rajasthan-Churu/AUDIO/Batch8_d1_Rajasthan-Churu_new_files_03252023_5h1m/&amp;showversions=false</t>
  </si>
  <si>
    <t>https://s3.console.aws.amazon.com/s3/buckets/prod-shaip-bucket?region=us-east-1&amp;prefix=bhasha/Swar/Rajasthan-Nagaur/AUDIO/Batch7_d1_Rajasthan-Nagaur_new_files_03252023_3h32m/&amp;showversions=false</t>
  </si>
  <si>
    <t>https://s3.console.aws.amazon.com/s3/buckets/prod-shaip-bucket?region=us-east-1&amp;prefix=bhasha/Swar/Telengana-Karimnagar/AUDIO/Batch2_d1_Telengana-Karimnagar_new_files_03252023_3h6m/&amp;showversions=false</t>
  </si>
  <si>
    <t>https://s3.console.aws.amazon.com/s3/buckets/prod-shaip-bucket?region=us-east-1&amp;prefix=bhasha/Swar/Telengana-Nalgonda/AUDIO/Batch2_d1_Telengana-Nalgonda_new_files_03252023_7h22m/&amp;showversions=false</t>
  </si>
  <si>
    <t>https://s3.console.aws.amazon.com/s3/buckets/prod-shaip-bucket?region=us-east-1&amp;prefix=bhasha/Swar/Uttarakhand-TehriGarhwal/AUDIO/Batch8_d1_Uttarakhand-TehriGarhwal_new_files_03252023_2h8m/&amp;showversions=false</t>
  </si>
  <si>
    <t>https://s3.console.aws.amazon.com/s3/buckets/prod-shaip-bucket?region=us-east-1&amp;prefix=bhasha/Swar/Uttarakhand-Uttarkashi/AUDIO/Batch6_d1_Uttarakhand-Uttarkashi_new_files_03252023_3h38m/&amp;showversions=false</t>
  </si>
  <si>
    <t>https://s3.console.aws.amazon.com/s3/buckets/prod-shaip-bucket?region=us-east-1&amp;prefix=bhasha/Swar/Uttarpradesh-Budaun/AUDIO/Batch9_d1_Uttarpradesh-Budaun_new_files_03252023_1h17m/&amp;showversions=false</t>
  </si>
  <si>
    <t>https://s3.console.aws.amazon.com/s3/buckets/prod-shaip-bucket?region=us-east-1&amp;prefix=bhasha/Swar/Uttarpradesh-Deoria/AUDIO/Batch8_d1_Uttarpradesh-Deoria_new_files_03252023_3h4m/&amp;showversions=false</t>
  </si>
  <si>
    <t>https://s3.console.aws.amazon.com/s3/buckets/prod-shaip-bucket?region=us-east-1&amp;prefix=bhasha/Swar/Uttarpradesh-Etah/AUDIO/Batch5_d1_Uttarpradesh-Etah_new_files_03252023_2h45m/&amp;showversions=false</t>
  </si>
  <si>
    <t>https://s3.console.aws.amazon.com/s3/buckets/prod-shaip-bucket?region=us-east-1&amp;prefix=bhasha/Swar/Uttarpradesh-Ghazipur/AUDIO/Batch4_d1_Uttarpradesh-Ghazipur_new_files_03252023_6h51m/&amp;showversions=false</t>
  </si>
  <si>
    <t>https://s3.console.aws.amazon.com/s3/buckets/prod-shaip-bucket?region=us-east-1&amp;prefix=bhasha/Swar/Uttarpradesh-Gorakhpur/AUDIO/Batch7_d1_Uttarpradesh-Gorakhpur_new_files_03252023_4h43m/&amp;showversions=false</t>
  </si>
  <si>
    <t>https://s3.console.aws.amazon.com/s3/buckets/prod-shaip-bucket?region=us-east-1&amp;prefix=bhasha/Swar/Uttarpradesh-Hamirpur/AUDIO/Batch5_d1_Uttarpradesh-Hamirpur_new_files_03252023_1h51m/&amp;showversions=false</t>
  </si>
  <si>
    <t>https://s3.console.aws.amazon.com/s3/buckets/prod-shaip-bucket?region=us-east-1&amp;prefix=bhasha/Swar/Uttarpradesh-Jalaun/AUDIO/Batch3_d1_Uttarpradesh-Jalaun_new_files_03252023_2h36m/&amp;showversions=false</t>
  </si>
  <si>
    <t>https://s3.console.aws.amazon.com/s3/buckets/prod-shaip-bucket?region=us-east-1&amp;prefix=bhasha/Swar/Uttarpradesh-JyotibaPhuleNagar/AUDIO/Batch5_d1_Uttarpradesh-JyotibaPhuleNagar_new_files_03252023_2h56m/&amp;showversions=false</t>
  </si>
  <si>
    <t>https://s3.console.aws.amazon.com/s3/buckets/prod-shaip-bucket?region=us-east-1&amp;prefix=bhasha/Swar/Uttarpradesh-Muzzaffarnagar/AUDIO/Batch9_d1_Uttarpradesh-Muzzaffarnagar_new_files_03252023_4h54m/&amp;showversions=false</t>
  </si>
  <si>
    <t>https://s3.console.aws.amazon.com/s3/buckets/prod-shaip-bucket?region=us-east-1&amp;prefix=bhasha/Swar/Uttarpradesh-Varanasi/AUDIO/Batch6_d1_Uttarpradesh-Varanasi_new_files_03252023_11h59m/&amp;showversions=false</t>
  </si>
  <si>
    <t>https://s3.console.aws.amazon.com/s3/buckets/prod-shaip-bucket?region=us-east-1&amp;prefix=bhasha/Swar/WestBengal-DakshinDinajpur/AUDIO/Batch5_d1_WestBengal-DakshinDinajpur_new_files_03252023_19m/&amp;showversions=false</t>
  </si>
  <si>
    <t>https://s3.console.aws.amazon.com/s3/buckets/prod-shaip-bucket?region=us-east-1&amp;prefix=bhasha/Swar/WestBengal-Jalpaiguri/AUDIO/Batch7_d1_WestBengal-Jalpaiguri_new_files_03252023_26m/&amp;showversions=false</t>
  </si>
  <si>
    <t>https://s3.console.aws.amazon.com/s3/buckets/prod-shaip-bucket?region=us-east-1&amp;prefix=bhasha/Swar/WestBengal-Jhargram/AUDIO/Batch7_d1_WestBengal-Jhargram_new_files_03252023_29m/&amp;showversions=false</t>
  </si>
  <si>
    <t xml:space="preserve"> </t>
  </si>
  <si>
    <t>https://s3.console.aws.amazon.com/s3/buckets/prod-shaip-bucket?region=us-east-1&amp;prefix=bhasha/Swar/WestBengal-Kolkata/AUDIO/Batch8_d1_WestBengal-Kolkata_new_files_03252023_5h42m/&amp;showversions=false</t>
  </si>
  <si>
    <t>https://s3.console.aws.amazon.com/s3/buckets/prod-shaip-bucket?region=us-east-1&amp;prefix=bhasha/Swar/WestBengal-Malda/AUDIO/Batch3_d1_WestBengal-Malda_new_files_03252023_1h33m/&amp;showversions=false</t>
  </si>
  <si>
    <t>https://s3.console.aws.amazon.com/s3/buckets/prod-shaip-bucket?region=us-east-1&amp;prefix=bhasha/Swar/WestBengal-North24Parganas/AUDIO/Batch8_d1_WestBengal-North24Parganas_new_files_03252023_3h58m/&amp;showversions=false</t>
  </si>
  <si>
    <t>https://s3.console.aws.amazon.com/s3/buckets/prod-shaip-bucket?region=us-east-1&amp;prefix=bhasha/Swar/WestBengal-PaschimMedinipur/AUDIO/Batch7_d1_WestBengal-PaschimMedinipur_new_files_03252023_3h57m/&amp;showversions=false</t>
  </si>
  <si>
    <t>https://s3.console.aws.amazon.com/s3/buckets/prod-shaip-bucket?region=us-east-1&amp;prefix=bhasha/Swar/WestBengal-Purulia/AUDIO/Batch3_d1_WestBengal-Purulia_new_files_03252023_6h32m/&amp;showversions=false</t>
  </si>
  <si>
    <t>Batch11 - 18/04/2023</t>
  </si>
  <si>
    <t>https://s3.console.aws.amazon.com/s3/buckets/prod-shaip-bucket?region=us-east-1&amp;prefix=bhasha/Swar/AP-Anantpur/AUDIO/Batch3_d1_AP-Anantpur_new_files_04172023_14h35m/&amp;showversions=false</t>
  </si>
  <si>
    <t>https://s3.console.aws.amazon.com/s3/buckets/prod-shaip-bucket?region=us-east-1&amp;prefix=bhasha/Swar/AP-Chittoor/AUDIO/Batch3_d1_AP-Chittoor_new_files_04172023_7h8m/&amp;showversions=false</t>
  </si>
  <si>
    <t>https://s3.console.aws.amazon.com/s3/buckets/prod-shaip-bucket?region=us-east-1&amp;prefix=bhasha/Swar/AP-Guntur/AUDIO/Batch3_d1_AP-Guntur_new_files_04172023_11h3m/&amp;showversions=false</t>
  </si>
  <si>
    <t>https://s3.console.aws.amazon.com/s3/buckets/prod-shaip-bucket?region=us-east-1&amp;prefix=bhasha/Swar/AP-Krishna/AUDIO/Batch3_d1_AP-Krishna_new_files_04172023_4h28m/&amp;showversions=false</t>
  </si>
  <si>
    <t>https://s3.console.aws.amazon.com/s3/buckets/prod-shaip-bucket?region=us-east-1&amp;prefix=bhasha/Swar/AP-Srikakulam/AUDIO/Batch3_d1_AP-Srikakulam_new_files_04172023_9h36m/&amp;showversions=false</t>
  </si>
  <si>
    <t>https://s3.console.aws.amazon.com/s3/buckets/prod-shaip-bucket?region=us-east-1&amp;prefix=bhasha/Swar/AP-Vishakapattanam/AUDIO/Batch4_d1_AP-Vishakapattanam_new_files_04172023_16h15m/&amp;showversions=false</t>
  </si>
  <si>
    <t>https://s3.console.aws.amazon.com/s3/buckets/prod-shaip-bucket?region=us-east-1&amp;prefix=bhasha/Swar/Bihar-Araria/AUDIO/Batch7_d1_Bihar-Araria_new_files_04172023_4h23m/&amp;showversions=false</t>
  </si>
  <si>
    <t>https://s3.console.aws.amazon.com/s3/buckets/prod-shaip-bucket?region=us-east-1&amp;prefix=bhasha/Swar/Bihar-Begusarai/AUDIO/Batch8_d1_Bihar-Begusarai_new_files_04172023_1h34m/&amp;showversions=false</t>
  </si>
  <si>
    <t>https://s3.console.aws.amazon.com/s3/buckets/prod-shaip-bucket?region=us-east-1&amp;prefix=bhasha/Swar/Bihar-Bhagalpur/AUDIO/Batch4_d1_Bihar-Bhagalpur_new_files_04172023_3h25m/&amp;showversions=false</t>
  </si>
  <si>
    <t>https://s3.console.aws.amazon.com/s3/buckets/prod-shaip-bucket?region=us-east-1&amp;prefix=bhasha/Swar/Bihar-Darbhanga/AUDIO/Batch5_d1_Bihar-Darbhanga_new_files_04172023_2h14m/&amp;showversions=false</t>
  </si>
  <si>
    <t>https://s3.console.aws.amazon.com/s3/buckets/prod-shaip-bucket?region=us-east-1&amp;prefix=bhasha/Swar/Bihar-EastChamparan/AUDIO/Batch10_d1_Bihar-EastChamparan_new_files_04172023_3h43m/&amp;showversions=false</t>
  </si>
  <si>
    <t>https://s3.console.aws.amazon.com/s3/buckets/prod-shaip-bucket?region=us-east-1&amp;prefix=bhasha/Swar/Bihar-Gaya/AUDIO/Batch5_d1_Bihar-Gaya_new_files_04172023_2h40m/&amp;showversions=false</t>
  </si>
  <si>
    <t>https://s3.console.aws.amazon.com/s3/buckets/prod-shaip-bucket?region=us-east-1&amp;prefix=bhasha/Swar/Bihar-Gopalganj/AUDIO/Batch9_d1_Bihar-Gopalganj_new_files_04172023_7h13m/&amp;showversions=false</t>
  </si>
  <si>
    <t>https://s3.console.aws.amazon.com/s3/buckets/prod-shaip-bucket?region=us-east-1&amp;prefix=bhasha/Swar/Bihar-Jahanabad/AUDIO/Batch6_d1_Bihar-Jahanabad_new_files_04172023_1h14m/&amp;showversions=false</t>
  </si>
  <si>
    <t>https://s3.console.aws.amazon.com/s3/buckets/prod-shaip-bucket?region=us-east-1&amp;prefix=bhasha/Swar/Bihar-Jamui/AUDIO/Batch7_d1_Bihar-Jamui_new_files_04172023_1h28m/&amp;showversions=false</t>
  </si>
  <si>
    <t>https://s3.console.aws.amazon.com/s3/buckets/prod-shaip-bucket?region=us-east-1&amp;prefix=bhasha/Swar/Bihar-Kishanganj/AUDIO/Batch6_d1_Bihar-Kishanganj_new_files_04172023_8h30m/&amp;showversions=false</t>
  </si>
  <si>
    <t>https://s3.console.aws.amazon.com/s3/buckets/prod-shaip-bucket?region=us-east-1&amp;prefix=bhasha/Swar/Bihar-Lakhisarai/AUDIO/Batch4_d1_Bihar-Lakhisarai_new_files_04172023_2h41m/&amp;showversions=false</t>
  </si>
  <si>
    <t>https://s3.console.aws.amazon.com/s3/buckets/prod-shaip-bucket?region=us-east-1&amp;prefix=bhasha/Swar/Bihar-Madhepura/AUDIO/Batch4_d1_Bihar-Madhepura_new_files_04172023_1h2m/&amp;showversions=false</t>
  </si>
  <si>
    <t>https://s3.console.aws.amazon.com/s3/buckets/prod-shaip-bucket?region=us-east-1&amp;prefix=bhasha/Swar/Bihar-Muzaffarpur/AUDIO/Batch8_d1_Bihar-Muzaffarpur_new_files_04172023_3h17m/&amp;showversions=false</t>
  </si>
  <si>
    <t>https://s3.console.aws.amazon.com/s3/buckets/prod-shaip-bucket?region=us-east-1&amp;prefix=bhasha/Swar/Bihar-Purnia/AUDIO/Batch4_d1_Bihar-Purnia_new_files_04172023_1h21m/&amp;showversions=false</t>
  </si>
  <si>
    <t>https://s3.console.aws.amazon.com/s3/buckets/prod-shaip-bucket?region=us-east-1&amp;prefix=bhasha/Swar/Bihar-Saharsa/AUDIO/Batch4_d1_Bihar-Saharsa_new_files_04172023_2h/&amp;showversions=false</t>
  </si>
  <si>
    <t>https://s3.console.aws.amazon.com/s3/buckets/prod-shaip-bucket?region=us-east-1&amp;prefix=bhasha/Swar/Bihar-Samastipur/AUDIO/Batch9_d1_Bihar-Samastipur_new_files_04172023_15h20m/&amp;showversions=false</t>
  </si>
  <si>
    <t>https://s3.console.aws.amazon.com/s3/buckets/prod-shaip-bucket?region=us-east-1&amp;prefix=bhasha/Swar/Bihar-Saran/AUDIO/Batch7_d1_Bihar-Saran_new_files_04172023_5h11m/&amp;showversions=false</t>
  </si>
  <si>
    <t>https://s3.console.aws.amazon.com/s3/buckets/prod-shaip-bucket?region=us-east-1&amp;prefix=bhasha/Swar/Bihar-Sitamarhi/AUDIO/Batch10_d1_Bihar-Sitamarhi_new_files_04172023_5h3m/&amp;showversions=false</t>
  </si>
  <si>
    <t>https://s3.console.aws.amazon.com/s3/buckets/prod-shaip-bucket?region=us-east-1&amp;prefix=bhasha/Swar/Bihar-Supaul/AUDIO/Batch6_d1_Bihar-Supaul_new_files_04172023_10h38m/&amp;showversions=false</t>
  </si>
  <si>
    <t>https://s3.console.aws.amazon.com/s3/buckets/prod-shaip-bucket?region=us-east-1&amp;prefix=bhasha/Swar/Bihar-Vaishali/AUDIO/Batch5_d1_Bihar-Vaishali_new_files_04172023_6h25m/&amp;showversions=false</t>
  </si>
  <si>
    <t>https://s3.console.aws.amazon.com/s3/buckets/prod-shaip-bucket?region=us-east-1&amp;prefix=bhasha/Swar/Chhattisgarh-Balrampur/AUDIO/Batch4_d1_Chhattisgarh-Balrampur_new_files_04172023_5h28m/&amp;showversions=false</t>
  </si>
  <si>
    <t>https://s3.console.aws.amazon.com/s3/buckets/prod-shaip-bucket?region=us-east-1&amp;prefix=bhasha/Swar/Chhattisgarh-Bastar/AUDIO/Batch4_d1_Chhattisgarh-Bastar_new_files_04172023_1h7m/&amp;showversions=false</t>
  </si>
  <si>
    <t>https://s3.console.aws.amazon.com/s3/buckets/prod-shaip-bucket?region=us-east-1&amp;prefix=bhasha/Swar/Chhattisgarh-Bilaspur/AUDIO/Batch10_d1_Chhattisgarh-Bilaspur_new_files_04172023_1h11m/&amp;showversions=false</t>
  </si>
  <si>
    <t>https://s3.console.aws.amazon.com/s3/buckets/prod-shaip-bucket?region=us-east-1&amp;prefix=bhasha/Swar/Chhattisgarh-Jashpur/AUDIO/Batch6_d1_Chhattisgarh-Jashpur_new_files_04172023_4h41m/&amp;showversions=false</t>
  </si>
  <si>
    <t>https://s3.console.aws.amazon.com/s3/buckets/prod-shaip-bucket?region=us-east-1&amp;prefix=bhasha/Swar/Chhattisgarh-Kabirdham/AUDIO/Batch4_d1_Chhattisgarh-Kabirdham_new_files_04172023_1h6m/&amp;showversions=false</t>
  </si>
  <si>
    <t>https://s3.console.aws.amazon.com/s3/buckets/prod-shaip-bucket?region=us-east-1&amp;prefix=bhasha/Swar/Chhattisgarh-Korba/AUDIO/Batch4_d1_Chhattisgarh-Korba_new_files_04172023_8h36m/&amp;showversions=false</t>
  </si>
  <si>
    <t>https://s3.console.aws.amazon.com/s3/buckets/prod-shaip-bucket?region=us-east-1&amp;prefix=bhasha/Swar/Chhattisgarh-Raigarh/AUDIO/Batch7_d1_Chhattisgarh-Raigarh_new_files_04172023_2h27m/&amp;showversions=false</t>
  </si>
  <si>
    <t>https://s3.console.aws.amazon.com/s3/buckets/prod-shaip-bucket?region=us-east-1&amp;prefix=bhasha/Swar/Chhattisgarh-Rajnandgaon/AUDIO/Batch6_d1_Chhattisgarh-Rajnandgaon_new_files_04172023_54m/&amp;showversions=false</t>
  </si>
  <si>
    <t>https://s3.console.aws.amazon.com/s3/buckets/prod-shaip-bucket?region=us-east-1&amp;prefix=bhasha/Swar/Chhattisgarh-Sarguja/AUDIO/Batch6_d1_Chhattisgarh-Sarguja_new_files_04172023_50m/&amp;showversions=false</t>
  </si>
  <si>
    <t>https://s3.console.aws.amazon.com/s3/buckets/prod-shaip-bucket?region=us-east-1&amp;prefix=bhasha/Swar/Chhattisgarh-Sukma/AUDIO/Batch3_d1_Chhattisgarh-Sukma_new_files_04172023_52m/&amp;showversions=false</t>
  </si>
  <si>
    <t>https://s3.console.aws.amazon.com/s3/buckets/prod-shaip-bucket?region=us-east-1&amp;prefix=bhasha/Swar/Goa-NorthSouthGoa/AUDIO/Batch4_d1_Goa-NorthSouthGoa_new_files_04172023_2h59m/&amp;showversions=false</t>
  </si>
  <si>
    <t>https://s3.console.aws.amazon.com/s3/buckets/prod-shaip-bucket?region=us-east-1&amp;prefix=bhasha/Swar/Jharkhand-Jamtara/AUDIO/Batch4_d1_Jharkhand-Jamtara_new_files_04172023_7h15m/&amp;showversions=false</t>
  </si>
  <si>
    <t>https://s3.console.aws.amazon.com/s3/buckets/prod-shaip-bucket?region=us-east-1&amp;prefix=bhasha/Swar/Jharkhand-Sahebganj/AUDIO/Batch3_d1_Jharkhand-Sahebganj_new_files_04172023_3h50m/&amp;showversions=false</t>
  </si>
  <si>
    <t>https://s3.console.aws.amazon.com/s3/buckets/prod-shaip-bucket?region=us-east-1&amp;prefix=bhasha/Swar/Karnataka-Belgaum/AUDIO/Batch3_d1_Karnataka-Belgaum_new_files_04172023_3h54m/&amp;showversions=false</t>
  </si>
  <si>
    <t>https://s3.console.aws.amazon.com/s3/buckets/prod-shaip-bucket?region=us-east-1&amp;prefix=bhasha/Swar/Karnataka-Bellary/AUDIO/Batch4_d1_Karnataka-Bellary_new_files_04172023_8h55m/&amp;showversions=false</t>
  </si>
  <si>
    <t>https://s3.console.aws.amazon.com/s3/buckets/prod-shaip-bucket?region=us-east-1&amp;prefix=bhasha/Swar/Karnataka-Bijapur/AUDIO/Batch4_d1_Karnataka-Bijapur_new_files_04172023_6h46m/&amp;showversions=false</t>
  </si>
  <si>
    <t>https://s3.console.aws.amazon.com/s3/buckets/prod-shaip-bucket?region=us-east-1&amp;prefix=bhasha/Swar/Karnataka-Chamrajnagar/AUDIO/Batch5_d1_Karnataka-Chamrajnagar_new_files_04172023_3h26m/&amp;showversions=false</t>
  </si>
  <si>
    <t>https://s3.console.aws.amazon.com/s3/buckets/prod-shaip-bucket?region=us-east-1&amp;prefix=bhasha/Swar/Karnataka-Dharwad/AUDIO/Batch7_d1_Karnataka-Dharwad_new_files_04172023_3h55m/&amp;showversions=false</t>
  </si>
  <si>
    <t>https://s3.console.aws.amazon.com/s3/buckets/prod-shaip-bucket?region=us-east-1&amp;prefix=bhasha/Swar/Karnataka-Gulbarga/AUDIO/Batch4_d1_Karnataka-Gulbarga_new_files_04172023_1h48m/&amp;showversions=false</t>
  </si>
  <si>
    <t>https://s3.console.aws.amazon.com/s3/buckets/prod-shaip-bucket?region=us-east-1&amp;prefix=bhasha/Swar/Karnataka-Mysore/AUDIO/Batch7_d1_Karnataka-Mysore_new_files_04172023_8h17m/&amp;showversions=false</t>
  </si>
  <si>
    <t>https://s3.console.aws.amazon.com/s3/buckets/prod-shaip-bucket?region=us-east-1&amp;prefix=bhasha/Swar/Karnataka-Raichur/AUDIO/Batch4_d1_Karnataka-Raichur_new_files_04172023_1h55m/&amp;showversions=false</t>
  </si>
  <si>
    <t>https://s3.console.aws.amazon.com/s3/buckets/prod-shaip-bucket?region=us-east-1&amp;prefix=bhasha/Swar/Karnataka-Shimoga/AUDIO/Batch8_d1_Karnataka-Shimoga_new_files_04172023_9h38m/&amp;showversions=false</t>
  </si>
  <si>
    <t>https://s3.console.aws.amazon.com/s3/buckets/prod-shaip-bucket?region=us-east-1&amp;prefix=bhasha/Swar/Maharashtra-Aurangabad/AUDIO/Batch5_d1_Maharashtra-Aurangabad_new_files_04172023_4h10m/&amp;showversions=false</t>
  </si>
  <si>
    <t>https://s3.console.aws.amazon.com/s3/buckets/prod-shaip-bucket?region=us-east-1&amp;prefix=bhasha/Swar/Maharashtra-Chandrapur/AUDIO/Batch4_d1_Maharashtra-Chandrapur_new_files_04172023_5h32m/&amp;showversions=false</t>
  </si>
  <si>
    <t>https://s3.console.aws.amazon.com/s3/buckets/prod-shaip-bucket?region=us-east-1&amp;prefix=bhasha/Swar/Maharashtra-Dhule/AUDIO/Batch3_d1_Maharashtra-Dhule_new_files_04172023_1h10m/&amp;showversions=false</t>
  </si>
  <si>
    <t>https://s3.console.aws.amazon.com/s3/buckets/prod-shaip-bucket?region=us-east-1&amp;prefix=bhasha/Swar/Maharashtra-Nagpur/AUDIO/Batch3_d1_Maharashtra-Nagpur_new_files_04172023_31m/&amp;showversions=false</t>
  </si>
  <si>
    <t>https://s3.console.aws.amazon.com/s3/buckets/prod-shaip-bucket?region=us-east-1&amp;prefix=bhasha/Swar/Maharashtra-Pune/AUDIO/Batch5_d1_Maharashtra-Pune_new_files_04172023_2h21m/&amp;showversions=false</t>
  </si>
  <si>
    <t>https://s3.console.aws.amazon.com/s3/buckets/prod-shaip-bucket?region=us-east-1&amp;prefix=bhasha/Swar/Maharashtra-Sindhudurga/AUDIO/Batch3_d1_Maharashtra-Sindhudurga_new_files_04172023_13m/&amp;showversions=false</t>
  </si>
  <si>
    <t>https://s3.console.aws.amazon.com/s3/buckets/prod-shaip-bucket?region=us-east-1&amp;prefix=bhasha/Swar/Maharashtra-Solapur/AUDIO/Batch5_d1_Maharashtra-Solapur_new_files_04172023_6h31m/&amp;showversions=false</t>
  </si>
  <si>
    <t>https://s3.console.aws.amazon.com/s3/buckets/prod-shaip-bucket?region=us-east-1&amp;prefix=bhasha/Swar/Rajasthan-Churu/AUDIO/Batch10_d1_Rajasthan-Churu_new_files_04172023_2h8m/&amp;showversions=false</t>
  </si>
  <si>
    <t>https://s3.console.aws.amazon.com/s3/buckets/prod-shaip-bucket?region=us-east-1&amp;prefix=bhasha/Swar/Rajasthan-Nagaur/AUDIO/Batch8_d1_Rajasthan-Nagaur_new_files_04172023_1h44m/&amp;showversions=false</t>
  </si>
  <si>
    <t>https://s3.console.aws.amazon.com/s3/buckets/prod-shaip-bucket?region=us-east-1&amp;prefix=bhasha/Swar/Telengana-Karimnagar/AUDIO/Batch3_d1_Telengana-Karimnagar_new_files_04172023_30h46m/&amp;showversions=false</t>
  </si>
  <si>
    <t>https://s3.console.aws.amazon.com/s3/buckets/prod-shaip-bucket?region=us-east-1&amp;prefix=bhasha/Swar/Telengana-Nalgonda/AUDIO/Batch3_d1_Telengana-Nalgonda_new_files_04172023_29h34m/&amp;showversions=false</t>
  </si>
  <si>
    <t>https://s3.console.aws.amazon.com/s3/buckets/prod-shaip-bucket?region=us-east-1&amp;prefix=bhasha/Swar/Uttarakhand-TehriGarhwal/AUDIO/Batch10_d1_Uttarakhand-TehriGarhwal_new_files_04172023_3h8m/&amp;showversions=false</t>
  </si>
  <si>
    <t>https://s3.console.aws.amazon.com/s3/buckets/prod-shaip-bucket?region=us-east-1&amp;prefix=bhasha/Swar/Uttarakhand-Uttarkashi/AUDIO/Batch7_d1_Uttarakhand-Uttarkashi_new_files_04172023_1h50m/&amp;showversions=false</t>
  </si>
  <si>
    <t>https://s3.console.aws.amazon.com/s3/buckets/prod-shaip-bucket?region=us-east-1&amp;prefix=bhasha/Swar/Uttarpradesh-Budaun/AUDIO/Batch11_d1_Uttarpradesh-Budaun_new_files_04172023_2h34m/&amp;showversions=false</t>
  </si>
  <si>
    <t>https://s3.console.aws.amazon.com/s3/buckets/prod-shaip-bucket?region=us-east-1&amp;prefix=bhasha/Swar/Uttarpradesh-Deoria/AUDIO/Batch10_d1_Uttarpradesh-Deoria_new_files_04172023_2h3m/&amp;showversions=false</t>
  </si>
  <si>
    <t>https://s3.console.aws.amazon.com/s3/buckets/prod-shaip-bucket?region=us-east-1&amp;prefix=bhasha/Swar/Uttarpradesh-Etah/AUDIO/Batch7_d1_Uttarpradesh-Etah_new_files_04172023_1h22m/&amp;showversions=false</t>
  </si>
  <si>
    <t>https://s3.console.aws.amazon.com/s3/buckets/prod-shaip-bucket?region=us-east-1&amp;prefix=bhasha/Swar/Uttarpradesh-Ghazipur/AUDIO/Batch6_d1_Uttarpradesh-Ghazipur_new_files_04172023_2h22m/&amp;showversions=false</t>
  </si>
  <si>
    <t>https://s3.console.aws.amazon.com/s3/buckets/prod-shaip-bucket?region=us-east-1&amp;prefix=bhasha/Swar/Uttarpradesh-Gorakhpur/AUDIO/Batch9_d1_Uttarpradesh-Gorakhpur_new_files_04172023_2h60m/&amp;showversions=false</t>
  </si>
  <si>
    <t>https://s3.console.aws.amazon.com/s3/buckets/prod-shaip-bucket?region=us-east-1&amp;prefix=bhasha/Swar/Uttarpradesh-Hamirpur/AUDIO/Batch7_d1_Uttarpradesh-Hamirpur_new_files_04172023_1h20m/&amp;showversions=false</t>
  </si>
  <si>
    <t>https://s3.console.aws.amazon.com/s3/buckets/prod-shaip-bucket?region=us-east-1&amp;prefix=bhasha/Swar/Uttarpradesh-Jalaun/AUDIO/Batch5_d1_Uttarpradesh-Jalaun_new_files_04172023_20m/&amp;showversions=false</t>
  </si>
  <si>
    <t>https://s3.console.aws.amazon.com/s3/buckets/prod-shaip-bucket?region=us-east-1&amp;prefix=bhasha/Swar/Uttarpradesh-JyotibaPhuleNagar/AUDIO/Batch7_d1_Uttarpradesh-JyotibaPhuleNagar_new_files_04172023_20m/&amp;showversions=false</t>
  </si>
  <si>
    <t>https://s3.console.aws.amazon.com/s3/buckets/prod-shaip-bucket?region=us-east-1&amp;prefix=bhasha/Swar/Uttarpradesh-Muzzaffarnagar/AUDIO/Batch11_d1_Uttarpradesh-Muzzaffarnagar_new_files_04172023_13h/&amp;showversions=false</t>
  </si>
  <si>
    <t>https://s3.console.aws.amazon.com/s3/buckets/prod-shaip-bucket?region=us-east-1&amp;prefix=bhasha/Swar/Uttarpradesh-Varanasi/AUDIO/Batch7_d1_Uttarpradesh-Varanasi_new_files_04172023_3h40m/&amp;showversions=false</t>
  </si>
  <si>
    <t>https://s3.console.aws.amazon.com/s3/buckets/prod-shaip-bucket?region=us-east-1&amp;prefix=bhasha/Swar/WestBengal-DakshinDinajpur/AUDIO/Batch6_d1_WestBengal-DakshinDinajpur_new_files_04172023_11m/&amp;showversions=false</t>
  </si>
  <si>
    <t>https://s3.console.aws.amazon.com/s3/buckets/prod-shaip-bucket?region=us-east-1&amp;prefix=bhasha/Swar/WestBengal-Jalpaiguri/AUDIO/Batch8_d1_WestBengal-Jalpaiguri_new_files_04172023_27m/&amp;showversions=false</t>
  </si>
  <si>
    <t>https://s3.console.aws.amazon.com/s3/buckets/prod-shaip-bucket?region=us-east-1&amp;prefix=bhasha/Swar/WestBengal-Jhargram/AUDIO/Batch8_d1_WestBengal-Jhargram_new_files_04172023_19m/&amp;showversions=false</t>
  </si>
  <si>
    <t>https://s3.console.aws.amazon.com/s3/buckets/prod-shaip-bucket?region=us-east-1&amp;prefix=bhasha/Swar/WestBengal-Kolkata/AUDIO/Batch9_d1_WestBengal-Kolkata_new_files_04172023_9h54m/&amp;showversions=false</t>
  </si>
  <si>
    <t>https://s3.console.aws.amazon.com/s3/buckets/prod-shaip-bucket?prefix=bhasha/Swar/WestBengal-Malda/AUDIO/Batch4_d1_WestBengal-Malda_new_files_04172023_2h60m/&amp;region=us-east-1</t>
  </si>
  <si>
    <t>https://s3.console.aws.amazon.com/s3/buckets/prod-shaip-bucket?region=us-east-1&amp;prefix=bhasha/Swar/WestBengal-North24Parganas/AUDIO/Batch9_d1_WestBengal-North24Parganas_new_files_04172023_3h48m/&amp;showversions=false</t>
  </si>
  <si>
    <t>https://s3.console.aws.amazon.com/s3/buckets/prod-shaip-bucket?region=us-east-1&amp;prefix=bhasha/Swar/WestBengal-PaschimMedinipur/AUDIO/Batch8_d1_WestBengal-PaschimMedinipur_new_files_04172023_5h49m/&amp;showversions=false</t>
  </si>
  <si>
    <t>https://s3.console.aws.amazon.com/s3/buckets/prod-shaip-bucket?region=us-east-1&amp;prefix=bhasha/Swar/WestBengal-Purulia/AUDIO/Batch4_d1_WestBengal-Purulia_new_files_04172023_2h10m/&amp;showversions=false</t>
  </si>
  <si>
    <t>Batch12 - 03/05/2023</t>
  </si>
  <si>
    <t>https://s3.console.aws.amazon.com/s3/buckets/prod-shaip-bucket?region=us-east-1&amp;prefix=bhasha/swar_new/03-05-2023/AP/Anantpur/&amp;showversions=false</t>
  </si>
  <si>
    <t>https://s3.console.aws.amazon.com/s3/buckets/prod-shaip-bucket?region=us-east-1&amp;prefix=bhasha/swar_new/03-05-2023/AP/Chittoor/&amp;showversions=false</t>
  </si>
  <si>
    <t>https://s3.console.aws.amazon.com/s3/buckets/prod-shaip-bucket?region=us-east-1&amp;prefix=bhasha/swar_new/03-05-2023/AP/Guntur/&amp;showversions=false</t>
  </si>
  <si>
    <t>https://s3.console.aws.amazon.com/s3/buckets/prod-shaip-bucket?region=us-east-1&amp;prefix=bhasha/swar_new/03-05-2023/AP/Krishna/&amp;showversions=false</t>
  </si>
  <si>
    <t>https://s3.console.aws.amazon.com/s3/buckets/prod-shaip-bucket?region=us-east-1&amp;prefix=bhasha/swar_new/03-05-2023/AP/Srikakulam/&amp;showversions=false</t>
  </si>
  <si>
    <t>https://s3.console.aws.amazon.com/s3/buckets/prod-shaip-bucket?region=us-east-1&amp;prefix=bhasha/swar_new/03-05-2023/AP/Vishakapattanam/&amp;showversions=false</t>
  </si>
  <si>
    <t>https://s3.console.aws.amazon.com/s3/buckets/prod-shaip-bucket?region=us-east-1&amp;prefix=bhasha/swar_new/03-05-2023/BR/Araria/&amp;showversions=false</t>
  </si>
  <si>
    <t>https://s3.console.aws.amazon.com/s3/buckets/prod-shaip-bucket?region=us-east-1&amp;prefix=bhasha/swar_new/03-05-2023/BR/Begusarai/&amp;showversions=false</t>
  </si>
  <si>
    <t>https://s3.console.aws.amazon.com/s3/buckets/prod-shaip-bucket?region=us-east-1&amp;prefix=bhasha/swar_new/03-05-2023/BR/Bhagalpur/&amp;showversions=false</t>
  </si>
  <si>
    <t>https://s3.console.aws.amazon.com/s3/buckets/prod-shaip-bucket?region=us-east-1&amp;prefix=bhasha/swar_new/03-05-2023/BR/Darbhanga/&amp;showversions=false</t>
  </si>
  <si>
    <t>https://s3.console.aws.amazon.com/s3/buckets/prod-shaip-bucket?region=us-east-1&amp;prefix=bhasha/swar_new/03-05-2023/BR/EastChamparan/&amp;showversions=false</t>
  </si>
  <si>
    <t>https://s3.console.aws.amazon.com/s3/buckets/prod-shaip-bucket?region=us-east-1&amp;prefix=bhasha/swar_new/03-05-2023/BR/Gaya/&amp;showversions=false</t>
  </si>
  <si>
    <t>https://s3.console.aws.amazon.com/s3/buckets/prod-shaip-bucket?region=us-east-1&amp;prefix=bhasha/swar_new/03-05-2023/BR/Gopalganj/&amp;showversions=false</t>
  </si>
  <si>
    <t>https://s3.console.aws.amazon.com/s3/buckets/prod-shaip-bucket?region=us-east-1&amp;prefix=bhasha/swar_new/03-05-2023/BR/Jahanabad/&amp;showversions=false</t>
  </si>
  <si>
    <t>https://s3.console.aws.amazon.com/s3/buckets/prod-shaip-bucket?region=us-east-1&amp;prefix=bhasha/swar_new/03-05-2023/BR/Jamui/&amp;showversions=false</t>
  </si>
  <si>
    <t>https://s3.console.aws.amazon.com/s3/buckets/prod-shaip-bucket?region=us-east-1&amp;prefix=bhasha/swar_new/03-05-2023/BR/Kishanganj/&amp;showversions=false</t>
  </si>
  <si>
    <t>https://s3.console.aws.amazon.com/s3/buckets/prod-shaip-bucket?region=us-east-1&amp;prefix=bhasha/swar_new/03-05-2023/BR/Lakhisarai/&amp;showversions=false</t>
  </si>
  <si>
    <t>https://s3.console.aws.amazon.com/s3/buckets/prod-shaip-bucket?region=us-east-1&amp;prefix=bhasha/swar_new/03-05-2023/BR/Madhepura/&amp;showversions=false</t>
  </si>
  <si>
    <t>https://s3.console.aws.amazon.com/s3/buckets/prod-shaip-bucket?region=us-east-1&amp;prefix=bhasha/swar_new/03-05-2023/BR/Muzaffarpur/&amp;showversions=false</t>
  </si>
  <si>
    <t>https://s3.console.aws.amazon.com/s3/buckets/prod-shaip-bucket?region=us-east-1&amp;prefix=bhasha/swar_new/03-05-2023/BR/Purnia/&amp;showversions=false</t>
  </si>
  <si>
    <t>https://s3.console.aws.amazon.com/s3/buckets/prod-shaip-bucket?region=us-east-1&amp;prefix=bhasha/swar_new/03-05-2023/BR/Saharsa/&amp;showversions=false</t>
  </si>
  <si>
    <t>https://s3.console.aws.amazon.com/s3/buckets/prod-shaip-bucket?region=us-east-1&amp;prefix=bhasha/swar_new/03-05-2023/BR/Samastipur/&amp;showversions=false</t>
  </si>
  <si>
    <t>https://s3.console.aws.amazon.com/s3/buckets/prod-shaip-bucket?region=us-east-1&amp;prefix=bhasha/swar_new/03-05-2023/BR/Saran/&amp;showversions=false</t>
  </si>
  <si>
    <t>https://s3.console.aws.amazon.com/s3/buckets/prod-shaip-bucket?region=us-east-1&amp;prefix=bhasha/swar_new/03-05-2023/BR/Sitamarhi/&amp;showversions=false</t>
  </si>
  <si>
    <t>https://s3.console.aws.amazon.com/s3/buckets/prod-shaip-bucket?region=us-east-1&amp;prefix=bhasha/swar_new/03-05-2023/BR/Supaul/&amp;showversions=false</t>
  </si>
  <si>
    <t>https://s3.console.aws.amazon.com/s3/buckets/prod-shaip-bucket?region=us-east-1&amp;prefix=bhasha/swar_new/03-05-2023/BR/Vaishali/&amp;showversions=false</t>
  </si>
  <si>
    <t>https://s3.console.aws.amazon.com/s3/buckets/prod-shaip-bucket?region=us-east-1&amp;prefix=bhasha/swar_new/03-05-2023/CG/Balrampur/&amp;showversions=false</t>
  </si>
  <si>
    <t>https://s3.console.aws.amazon.com/s3/buckets/prod-shaip-bucket?region=us-east-1&amp;prefix=bhasha/swar_new/03-05-2023/CG/Bastar/&amp;showversions=false</t>
  </si>
  <si>
    <t>https://s3.console.aws.amazon.com/s3/buckets/prod-shaip-bucket?region=us-east-1&amp;prefix=bhasha/swar_new/03-05-2023/CG/Bilaspur/&amp;showversions=false</t>
  </si>
  <si>
    <t>https://s3.console.aws.amazon.com/s3/buckets/prod-shaip-bucket?region=us-east-1&amp;prefix=bhasha/swar_new/03-05-2023/CG/Jashpur/&amp;showversions=false</t>
  </si>
  <si>
    <t>https://s3.console.aws.amazon.com/s3/buckets/prod-shaip-bucket?region=us-east-1&amp;prefix=bhasha/swar_new/03-05-2023/CG/Kabirdham/&amp;showversions=false</t>
  </si>
  <si>
    <t>https://s3.console.aws.amazon.com/s3/buckets/prod-shaip-bucket?region=us-east-1&amp;prefix=bhasha/swar_new/03-05-2023/CG/Korba/&amp;showversions=false</t>
  </si>
  <si>
    <t>https://s3.console.aws.amazon.com/s3/buckets/prod-shaip-bucket?region=us-east-1&amp;prefix=bhasha/swar_new/03-05-2023/CG/Raigarh/&amp;showversions=false</t>
  </si>
  <si>
    <t>https://s3.console.aws.amazon.com/s3/buckets/prod-shaip-bucket?region=us-east-1&amp;prefix=bhasha/swar_new/03-05-2023/CG/Rajnandgaon/&amp;showversions=false</t>
  </si>
  <si>
    <t>https://s3.console.aws.amazon.com/s3/buckets/prod-shaip-bucket?region=us-east-1&amp;prefix=bhasha/swar_new/03-05-2023/CG/Sarguja/&amp;showversions=false</t>
  </si>
  <si>
    <t>https://s3.console.aws.amazon.com/s3/buckets/prod-shaip-bucket?region=us-east-1&amp;prefix=bhasha/swar_new/03-05-2023/CG/Sukma/&amp;showversions=false</t>
  </si>
  <si>
    <t>https://s3.console.aws.amazon.com/s3/buckets/prod-shaip-bucket?region=us-east-1&amp;prefix=bhasha/swar_new/03-05-2023/GA/NorthSouthGoa/&amp;showversions=false</t>
  </si>
  <si>
    <t>https://s3.console.aws.amazon.com/s3/buckets/prod-shaip-bucket?region=us-east-1&amp;prefix=bhasha/swar_new/03-05-2023/JH/Jamtara/&amp;showversions=false</t>
  </si>
  <si>
    <t>https://s3.console.aws.amazon.com/s3/buckets/prod-shaip-bucket?region=us-east-1&amp;prefix=bhasha/swar_new/03-05-2023/JH/Sahebganj/&amp;showversions=false</t>
  </si>
  <si>
    <t>https://s3.console.aws.amazon.com/s3/buckets/prod-shaip-bucket?region=us-east-1&amp;prefix=bhasha/swar_new/03-05-2023/KA/Belgaum/&amp;showversions=false</t>
  </si>
  <si>
    <t>https://s3.console.aws.amazon.com/s3/buckets/prod-shaip-bucket?region=us-east-1&amp;prefix=bhasha/swar_new/03-05-2023/KA/Bellary/&amp;showversions=false</t>
  </si>
  <si>
    <t>https://s3.console.aws.amazon.com/s3/buckets/prod-shaip-bucket?region=us-east-1&amp;prefix=bhasha/swar_new/03-05-2023/KA/Bijapur/&amp;showversions=false</t>
  </si>
  <si>
    <t>https://s3.console.aws.amazon.com/s3/buckets/prod-shaip-bucket?region=us-east-1&amp;prefix=bhasha/swar_new/03-05-2023/KA/Chamrajnagar/&amp;showversions=false</t>
  </si>
  <si>
    <t>https://s3.console.aws.amazon.com/s3/buckets/prod-shaip-bucket?region=us-east-1&amp;prefix=bhasha/swar_new/03-05-2023/KA/DakshinKannada/&amp;showversions=false</t>
  </si>
  <si>
    <t>https://s3.console.aws.amazon.com/s3/buckets/prod-shaip-bucket?region=us-east-1&amp;prefix=bhasha/swar_new/03-05-2023/KA/Dharwad/&amp;showversions=false</t>
  </si>
  <si>
    <t>https://s3.console.aws.amazon.com/s3/buckets/prod-shaip-bucket?region=us-east-1&amp;prefix=bhasha/swar_new/03-05-2023/KA/Gulbarga/&amp;showversions=false</t>
  </si>
  <si>
    <t>https://s3.console.aws.amazon.com/s3/buckets/prod-shaip-bucket?region=us-east-1&amp;prefix=bhasha/swar_new/03-05-2023/KA/Mysore/&amp;showversions=false</t>
  </si>
  <si>
    <t>https://s3.console.aws.amazon.com/s3/buckets/prod-shaip-bucket?region=us-east-1&amp;prefix=bhasha/swar_new/03-05-2023/KA/Raichur/&amp;showversions=false</t>
  </si>
  <si>
    <t>https://s3.console.aws.amazon.com/s3/buckets/prod-shaip-bucket?region=us-east-1&amp;prefix=bhasha/swar_new/03-05-2023/KA/Shimoga/&amp;showversions=false</t>
  </si>
  <si>
    <t>https://s3.console.aws.amazon.com/s3/buckets/prod-shaip-bucket?region=us-east-1&amp;prefix=bhasha/swar_new/03-05-2023/MH/Aurangabad/&amp;showversions=false</t>
  </si>
  <si>
    <t>https://s3.console.aws.amazon.com/s3/buckets/prod-shaip-bucket?region=us-east-1&amp;prefix=bhasha/swar_new/03-05-2023/MH/Chandrapur/&amp;showversions=false</t>
  </si>
  <si>
    <t>https://s3.console.aws.amazon.com/s3/buckets/prod-shaip-bucket?region=us-east-1&amp;prefix=bhasha/swar_new/03-05-2023/MH/Dhule/&amp;showversions=false</t>
  </si>
  <si>
    <t>https://s3.console.aws.amazon.com/s3/buckets/prod-shaip-bucket?region=us-east-1&amp;prefix=bhasha/swar_new/03-05-2023/MH/Pune/&amp;showversions=false</t>
  </si>
  <si>
    <t>https://s3.console.aws.amazon.com/s3/buckets/prod-shaip-bucket?region=us-east-1&amp;prefix=bhasha/swar_new/03-05-2023/MH/Solapur/&amp;showversions=false</t>
  </si>
  <si>
    <t>https://s3.console.aws.amazon.com/s3/buckets/prod-shaip-bucket?region=us-east-1&amp;prefix=bhasha/swar_new/03-05-2023/RJ/Churu/&amp;showversions=false</t>
  </si>
  <si>
    <t>https://s3.console.aws.amazon.com/s3/buckets/prod-shaip-bucket?region=us-east-1&amp;prefix=bhasha/swar_new/03-05-2023/TS/Karimnagar/&amp;showversions=false</t>
  </si>
  <si>
    <t>https://s3.console.aws.amazon.com/s3/buckets/prod-shaip-bucket?region=us-east-1&amp;prefix=bhasha/swar_new/03-05-2023/TS/Nalgonda/&amp;showversions=false</t>
  </si>
  <si>
    <t>https://s3.console.aws.amazon.com/s3/buckets/prod-shaip-bucket?region=us-east-1&amp;prefix=bhasha/swar_new/03-05-2023/UK/Uttarkashi/&amp;showversions=false</t>
  </si>
  <si>
    <t>https://s3.console.aws.amazon.com/s3/buckets/prod-shaip-bucket?region=us-east-1&amp;prefix=bhasha/swar_new/03-05-2023/UP/Budaun/&amp;showversions=false</t>
  </si>
  <si>
    <t>https://s3.console.aws.amazon.com/s3/buckets/prod-shaip-bucket?region=us-east-1&amp;prefix=bhasha/swar_new/03-05-2023/UP/Deoria/&amp;showversions=false</t>
  </si>
  <si>
    <t>https://s3.console.aws.amazon.com/s3/buckets/prod-shaip-bucket?region=us-east-1&amp;prefix=bhasha/swar_new/03-05-2023/UP/Etah/&amp;showversions=false</t>
  </si>
  <si>
    <t>https://s3.console.aws.amazon.com/s3/buckets/prod-shaip-bucket?region=us-east-1&amp;prefix=bhasha/swar_new/03-05-2023/UP/Ghazipur/&amp;showversions=false</t>
  </si>
  <si>
    <t>https://s3.console.aws.amazon.com/s3/buckets/prod-shaip-bucket?region=us-east-1&amp;prefix=bhasha/swar_new/03-05-2023/UP/Gorakhpur/&amp;showversions=false</t>
  </si>
  <si>
    <t>https://s3.console.aws.amazon.com/s3/buckets/prod-shaip-bucket?region=us-east-1&amp;prefix=bhasha/swar_new/03-05-2023/UP/Hamirpur/&amp;showversions=false</t>
  </si>
  <si>
    <t>https://s3.console.aws.amazon.com/s3/buckets/prod-shaip-bucket?region=us-east-1&amp;prefix=bhasha/swar_new/03-05-2023/UP/Jalaun/&amp;showversions=false</t>
  </si>
  <si>
    <t>https://s3.console.aws.amazon.com/s3/buckets/prod-shaip-bucket?region=us-east-1&amp;prefix=bhasha/swar_new/03-05-2023/UP/JyotibaPhuleNagar/&amp;showversions=false</t>
  </si>
  <si>
    <t>https://s3.console.aws.amazon.com/s3/buckets/prod-shaip-bucket?region=us-east-1&amp;prefix=bhasha/swar_new/03-05-2023/UP/Muzzaffarnagar/&amp;showversions=false</t>
  </si>
  <si>
    <t>https://s3.console.aws.amazon.com/s3/buckets/prod-shaip-bucket?region=us-east-1&amp;prefix=bhasha/swar_new/03-05-2023/UP/Varanasi/&amp;showversions=false</t>
  </si>
  <si>
    <t>https://s3.console.aws.amazon.com/s3/buckets/prod-shaip-bucket?region=us-east-1&amp;prefix=bhasha/swar_new/03-05-2023/WB/Jalpaiguri/&amp;showversions=false</t>
  </si>
  <si>
    <t>https://s3.console.aws.amazon.com/s3/buckets/prod-shaip-bucket?region=us-east-1&amp;prefix=bhasha/swar_new/03-05-2023/WB/Jhargram/&amp;showversions=false</t>
  </si>
  <si>
    <t>https://s3.console.aws.amazon.com/s3/buckets/prod-shaip-bucket?region=us-east-1&amp;prefix=bhasha/swar_new/03-05-2023/WB/Malda/&amp;showversions=false</t>
  </si>
  <si>
    <t>https://s3.console.aws.amazon.com/s3/buckets/prod-shaip-bucket?region=us-east-1&amp;prefix=bhasha/swar_new/03-05-2023/WB/North24Parganas/&amp;showversions=false</t>
  </si>
  <si>
    <t>https://s3.console.aws.amazon.com/s3/buckets/prod-shaip-bucket?region=us-east-1&amp;prefix=bhasha/swar_new/03-05-2023/WB/PaschimMedinipur/&amp;showversions=false</t>
  </si>
  <si>
    <t>https://s3.console.aws.amazon.com/s3/buckets/prod-shaip-bucket?region=us-east-1&amp;prefix=bhasha/swar_new/03-05-2023/WB/Purulia/&amp;showversions=false</t>
  </si>
  <si>
    <t>Batch13 - 26/07/2023</t>
  </si>
  <si>
    <t>https://s3.console.aws.amazon.com/s3/buckets/prod-shaip-bucket?region=us-east-1&amp;prefix=bhasha/swar_new/25-07-2023/AP/Anantpur/&amp;showversions=false</t>
  </si>
  <si>
    <t>https://s3.console.aws.amazon.com/s3/buckets/prod-shaip-bucket?region=us-east-1&amp;prefix=bhasha/swar_new/25-07-2023/AP/Chittoor/&amp;showversions=false</t>
  </si>
  <si>
    <t>https://s3.console.aws.amazon.com/s3/buckets/prod-shaip-bucket?region=us-east-1&amp;prefix=bhasha/swar_new/25-07-2023/AP/Guntur/&amp;showversions=false</t>
  </si>
  <si>
    <t>https://s3.console.aws.amazon.com/s3/buckets/prod-shaip-bucket?region=us-east-1&amp;prefix=bhasha/swar_new/25-07-2023/AP/Krishna/&amp;showversions=false</t>
  </si>
  <si>
    <t>https://s3.console.aws.amazon.com/s3/buckets/prod-shaip-bucket?region=us-east-1&amp;prefix=bhasha/swar_new/25-07-2023/AP/Srikakulam/&amp;showversions=false</t>
  </si>
  <si>
    <t>https://s3.console.aws.amazon.com/s3/buckets/prod-shaip-bucket?region=us-east-1&amp;prefix=bhasha/swar_new/25-07-2023/AP/Vishakapattanam/&amp;showversions=false</t>
  </si>
  <si>
    <t>https://s3.console.aws.amazon.com/s3/buckets/prod-shaip-bucket?region=us-east-1&amp;prefix=bhasha/swar_new/25-07-2023/BR/Araria/&amp;showversions=false</t>
  </si>
  <si>
    <t>https://s3.console.aws.amazon.com/s3/buckets/prod-shaip-bucket?region=us-east-1&amp;prefix=bhasha/swar_new/25-07-2023/BR/Begusarai/&amp;showversions=false</t>
  </si>
  <si>
    <t>https://s3.console.aws.amazon.com/s3/buckets/prod-shaip-bucket?region=us-east-1&amp;prefix=bhasha/swar_new/25-07-2023/BR/Bhagalpur/&amp;showversions=false</t>
  </si>
  <si>
    <t>https://s3.console.aws.amazon.com/s3/buckets/prod-shaip-bucket?region=us-east-1&amp;prefix=bhasha/swar_new/25-07-2023/BR/Darbhanga/&amp;showversions=false</t>
  </si>
  <si>
    <t>https://s3.console.aws.amazon.com/s3/buckets/prod-shaip-bucket?region=us-east-1&amp;prefix=bhasha/swar_new/25-07-2023/BR/EastChamparan/&amp;showversions=false</t>
  </si>
  <si>
    <t>https://s3.console.aws.amazon.com/s3/buckets/prod-shaip-bucket?region=us-east-1&amp;prefix=bhasha/swar_new/25-07-2023/BR/Gaya/&amp;showversions=false</t>
  </si>
  <si>
    <t>https://s3.console.aws.amazon.com/s3/buckets/prod-shaip-bucket?region=us-east-1&amp;prefix=bhasha/swar_new/25-07-2023/BR/Gopalganj/&amp;showversions=false</t>
  </si>
  <si>
    <t>https://s3.console.aws.amazon.com/s3/buckets/prod-shaip-bucket?region=us-east-1&amp;prefix=bhasha/swar_new/25-07-2023/BR/Jahanabad/&amp;showversions=false</t>
  </si>
  <si>
    <t>https://s3.console.aws.amazon.com/s3/buckets/prod-shaip-bucket?region=us-east-1&amp;prefix=bhasha/swar_new/25-07-2023/BR/Jamui/&amp;showversions=false</t>
  </si>
  <si>
    <t>https://s3.console.aws.amazon.com/s3/buckets/prod-shaip-bucket?region=us-east-1&amp;prefix=bhasha/swar_new/25-07-2023/BR/Kishanganj/&amp;showversions=false</t>
  </si>
  <si>
    <t>https://s3.console.aws.amazon.com/s3/buckets/prod-shaip-bucket?region=us-east-1&amp;prefix=bhasha/swar_new/25-07-2023/BR/Lakhisarai/&amp;showversions=false</t>
  </si>
  <si>
    <t>https://s3.console.aws.amazon.com/s3/buckets/prod-shaip-bucket?region=us-east-1&amp;prefix=bhasha/swar_new/25-07-2023/BR/Madhepura/&amp;showversions=false</t>
  </si>
  <si>
    <t>https://s3.console.aws.amazon.com/s3/buckets/prod-shaip-bucket?region=us-east-1&amp;prefix=bhasha/swar_new/25-07-2023/BR/Muzaffarpur/&amp;showversions=false</t>
  </si>
  <si>
    <t>https://s3.console.aws.amazon.com/s3/buckets/prod-shaip-bucket?region=us-east-1&amp;prefix=bhasha/swar_new/25-07-2023/BR/Purnia/&amp;showversions=false</t>
  </si>
  <si>
    <t>https://s3.console.aws.amazon.com/s3/buckets/prod-shaip-bucket?region=us-east-1&amp;prefix=bhasha/swar_new/25-07-2023/BR/Saharsa/&amp;showversions=false</t>
  </si>
  <si>
    <t>https://s3.console.aws.amazon.com/s3/buckets/prod-shaip-bucket?region=us-east-1&amp;prefix=bhasha/swar_new/25-07-2023/BR/Samastipur/&amp;showversions=false</t>
  </si>
  <si>
    <t>https://s3.console.aws.amazon.com/s3/buckets/prod-shaip-bucket?region=us-east-1&amp;prefix=bhasha/swar_new/25-07-2023/BR/Saran/&amp;showversions=false</t>
  </si>
  <si>
    <t>https://s3.console.aws.amazon.com/s3/buckets/prod-shaip-bucket?region=us-east-1&amp;prefix=bhasha/swar_new/25-07-2023/BR/Sitamarhi/&amp;showversions=false</t>
  </si>
  <si>
    <t>https://s3.console.aws.amazon.com/s3/buckets/prod-shaip-bucket?region=us-east-1&amp;prefix=bhasha/swar_new/25-07-2023/BR/Supaul/&amp;showversions=false</t>
  </si>
  <si>
    <t>https://s3.console.aws.amazon.com/s3/buckets/prod-shaip-bucket?region=us-east-1&amp;prefix=bhasha/swar_new/25-07-2023/BR/Vaishali/&amp;showversions=false</t>
  </si>
  <si>
    <t>https://s3.console.aws.amazon.com/s3/buckets/prod-shaip-bucket?region=us-east-1&amp;prefix=bhasha/swar_new/25-07-2023/CG/Balrampur/&amp;showversions=false</t>
  </si>
  <si>
    <t>https://s3.console.aws.amazon.com/s3/buckets/prod-shaip-bucket?region=us-east-1&amp;prefix=bhasha/swar_new/25-07-2023/CG/Bastar/&amp;showversions=false</t>
  </si>
  <si>
    <t>https://s3.console.aws.amazon.com/s3/buckets/prod-shaip-bucket?region=us-east-1&amp;prefix=bhasha/swar_new/25-07-2023/CG/Bilaspur/&amp;showversions=false</t>
  </si>
  <si>
    <t>https://s3.console.aws.amazon.com/s3/buckets/prod-shaip-bucket?region=us-east-1&amp;prefix=bhasha/swar_new/25-07-2023/CG/Jashpur/&amp;showversions=false</t>
  </si>
  <si>
    <t>https://s3.console.aws.amazon.com/s3/buckets/prod-shaip-bucket?region=us-east-1&amp;prefix=bhasha/swar_new/25-07-2023/CG/Kabirdham/&amp;showversions=false</t>
  </si>
  <si>
    <t>https://s3.console.aws.amazon.com/s3/buckets/prod-shaip-bucket?region=us-east-1&amp;prefix=bhasha/swar_new/25-07-2023/CG/Korba/&amp;showversions=false</t>
  </si>
  <si>
    <t>https://s3.console.aws.amazon.com/s3/buckets/prod-shaip-bucket?region=us-east-1&amp;prefix=bhasha/swar_new/25-07-2023/CG/Raigarh/&amp;showversions=false</t>
  </si>
  <si>
    <t>https://s3.console.aws.amazon.com/s3/buckets/prod-shaip-bucket?region=us-east-1&amp;prefix=bhasha/swar_new/25-07-2023/CG/Rajnandgaon/&amp;showversions=false</t>
  </si>
  <si>
    <t>https://s3.console.aws.amazon.com/s3/buckets/prod-shaip-bucket?region=us-east-1&amp;prefix=bhasha/swar_new/25-07-2023/CG/Sarguja/&amp;showversions=false</t>
  </si>
  <si>
    <t>https://s3.console.aws.amazon.com/s3/buckets/prod-shaip-bucket?region=us-east-1&amp;prefix=bhasha/swar_new/25-07-2023/CG/Sukma/&amp;showversions=false</t>
  </si>
  <si>
    <t>https://s3.console.aws.amazon.com/s3/buckets/prod-shaip-bucket?region=us-east-1&amp;prefix=bhasha/swar_new/25-07-2023/GA/NorthSouthGoa/&amp;showversions=false</t>
  </si>
  <si>
    <t>https://s3.console.aws.amazon.com/s3/buckets/prod-shaip-bucket?region=us-east-1&amp;prefix=bhasha/swar_new/25-07-2023/JH/Jamtara/&amp;showversions=false</t>
  </si>
  <si>
    <t>https://s3.console.aws.amazon.com/s3/buckets/prod-shaip-bucket?region=us-east-1&amp;prefix=bhasha/swar_new/25-07-2023/JH/Sahebganj/&amp;showversions=false</t>
  </si>
  <si>
    <t>https://s3.console.aws.amazon.com/s3/buckets/prod-shaip-bucket?region=us-east-1&amp;prefix=bhasha/swar_new/25-07-2023/KA/Belgaum/&amp;showversions=false</t>
  </si>
  <si>
    <t>https://s3.console.aws.amazon.com/s3/buckets/prod-shaip-bucket?region=us-east-1&amp;prefix=bhasha/swar_new/25-07-2023/KA/Bellary/&amp;showversions=false</t>
  </si>
  <si>
    <t>https://s3.console.aws.amazon.com/s3/buckets/prod-shaip-bucket?region=us-east-1&amp;prefix=bhasha/swar_new/25-07-2023/KA/Bijapur/&amp;showversions=false</t>
  </si>
  <si>
    <t>https://s3.console.aws.amazon.com/s3/buckets/prod-shaip-bucket?region=us-east-1&amp;prefix=bhasha/swar_new/25-07-2023/KA/Chamrajnagar/&amp;showversions=false</t>
  </si>
  <si>
    <t>https://s3.console.aws.amazon.com/s3/buckets/prod-shaip-bucket?region=us-east-1&amp;prefix=bhasha/swar_new/25-07-2023/KA/DakshinKannada/&amp;showversions=false</t>
  </si>
  <si>
    <t>https://s3.console.aws.amazon.com/s3/buckets/prod-shaip-bucket?region=us-east-1&amp;prefix=bhasha/swar_new/25-07-2023/KA/Dharwad/&amp;showversions=false</t>
  </si>
  <si>
    <t>https://s3.console.aws.amazon.com/s3/buckets/prod-shaip-bucket?region=us-east-1&amp;prefix=bhasha/swar_new/25-07-2023/KA/Gulbarga/&amp;showversions=false</t>
  </si>
  <si>
    <t>https://s3.console.aws.amazon.com/s3/buckets/prod-shaip-bucket?region=us-east-1&amp;prefix=bhasha/swar_new/25-07-2023/KA/Mysore/&amp;showversions=false</t>
  </si>
  <si>
    <t>https://s3.console.aws.amazon.com/s3/buckets/prod-shaip-bucket?region=us-east-1&amp;prefix=bhasha/swar_new/25-07-2023/KA/Raichur/&amp;showversions=false</t>
  </si>
  <si>
    <t>https://s3.console.aws.amazon.com/s3/buckets/prod-shaip-bucket?region=us-east-1&amp;prefix=bhasha/swar_new/25-07-2023/KA/Shimoga/&amp;showversions=false</t>
  </si>
  <si>
    <t>https://s3.console.aws.amazon.com/s3/buckets/prod-shaip-bucket?region=us-east-1&amp;prefix=bhasha/swar_new/25-07-2023/MH/Aurangabad/&amp;showversions=false</t>
  </si>
  <si>
    <t>https://s3.console.aws.amazon.com/s3/buckets/prod-shaip-bucket?region=us-east-1&amp;prefix=bhasha/swar_new/25-07-2023/MH/Chandrapur/&amp;showversions=false</t>
  </si>
  <si>
    <t>https://s3.console.aws.amazon.com/s3/buckets/prod-shaip-bucket?region=us-east-1&amp;prefix=bhasha/swar_new/25-07-2023/MH/Dhule/&amp;showversions=false</t>
  </si>
  <si>
    <t>https://s3.console.aws.amazon.com/s3/buckets/prod-shaip-bucket?region=us-east-1&amp;prefix=bhasha/swar_new/25-07-2023/MH/Nagpur/&amp;showversions=false</t>
  </si>
  <si>
    <t>https://s3.console.aws.amazon.com/s3/buckets/prod-shaip-bucket?region=us-east-1&amp;prefix=bhasha/swar_new/25-07-2023/MH/Pune/&amp;showversions=false</t>
  </si>
  <si>
    <t>https://s3.console.aws.amazon.com/s3/buckets/prod-shaip-bucket?region=us-east-1&amp;prefix=bhasha/swar_new/25-07-2023/MH/Sindhudurga/&amp;showversions=false</t>
  </si>
  <si>
    <t>https://s3.console.aws.amazon.com/s3/buckets/prod-shaip-bucket?region=us-east-1&amp;prefix=bhasha/swar_new/25-07-2023/MH/Solapur/&amp;showversions=false</t>
  </si>
  <si>
    <t>https://s3.console.aws.amazon.com/s3/buckets/prod-shaip-bucket?region=us-east-1&amp;prefix=bhasha/swar_new/25-07-2023/RJ/Churu/&amp;showversions=false</t>
  </si>
  <si>
    <t>https://s3.console.aws.amazon.com/s3/buckets/prod-shaip-bucket?region=us-east-1&amp;prefix=bhasha/swar_new/25-07-2023/RJ/Nagaur/&amp;showversions=false</t>
  </si>
  <si>
    <t>https://s3.console.aws.amazon.com/s3/buckets/prod-shaip-bucket?region=us-east-1&amp;prefix=bhasha/swar_new/25-07-2023/TS/Karimnagar/&amp;showversions=false</t>
  </si>
  <si>
    <t>https://s3.console.aws.amazon.com/s3/buckets/prod-shaip-bucket?region=us-east-1&amp;prefix=bhasha/swar_new/25-07-2023/TS/Nalgonda/&amp;showversions=false</t>
  </si>
  <si>
    <t>https://s3.console.aws.amazon.com/s3/buckets/prod-shaip-bucket?region=us-east-1&amp;prefix=bhasha/swar_new/25-07-2023/UK/TehriGarhwal/&amp;showversions=false</t>
  </si>
  <si>
    <t>https://s3.console.aws.amazon.com/s3/buckets/prod-shaip-bucket?region=us-east-1&amp;prefix=bhasha/swar_new/25-07-2023/UK/Uttarkashi/&amp;showversions=false</t>
  </si>
  <si>
    <t>https://s3.console.aws.amazon.com/s3/buckets/prod-shaip-bucket?region=us-east-1&amp;prefix=bhasha/swar_new/25-07-2023/UP/Budaun/&amp;showversions=false</t>
  </si>
  <si>
    <t>https://s3.console.aws.amazon.com/s3/buckets/prod-shaip-bucket?region=us-east-1&amp;prefix=bhasha/swar_new/25-07-2023/UP/Deoria/&amp;showversions=false</t>
  </si>
  <si>
    <t>https://s3.console.aws.amazon.com/s3/buckets/prod-shaip-bucket?region=us-east-1&amp;prefix=bhasha/swar_new/25-07-2023/UP/Etah/&amp;showversions=false</t>
  </si>
  <si>
    <t>https://s3.console.aws.amazon.com/s3/buckets/prod-shaip-bucket?region=us-east-1&amp;prefix=bhasha/swar_new/25-07-2023/UP/Ghazipur/&amp;showversions=false</t>
  </si>
  <si>
    <t>https://s3.console.aws.amazon.com/s3/buckets/prod-shaip-bucket?region=us-east-1&amp;prefix=bhasha/swar_new/25-07-2023/UP/Gorakhpur/&amp;showversions=false</t>
  </si>
  <si>
    <t>https://s3.console.aws.amazon.com/s3/buckets/prod-shaip-bucket?region=us-east-1&amp;prefix=bhasha/swar_new/25-07-2023/UP/Hamirpur/&amp;showversions=false</t>
  </si>
  <si>
    <t>https://s3.console.aws.amazon.com/s3/buckets/prod-shaip-bucket?region=us-east-1&amp;prefix=bhasha/swar_new/25-07-2023/UP/Jalaun/&amp;showversions=false</t>
  </si>
  <si>
    <t>https://s3.console.aws.amazon.com/s3/buckets/prod-shaip-bucket?region=us-east-1&amp;prefix=bhasha/swar_new/25-07-2023/UP/JyotibaPhuleNagar/&amp;showversions=false</t>
  </si>
  <si>
    <t>https://s3.console.aws.amazon.com/s3/buckets/prod-shaip-bucket?region=us-east-1&amp;prefix=bhasha/swar_new/25-07-2023/UP/Muzzaffarnagar/&amp;showversions=false</t>
  </si>
  <si>
    <t>https://s3.console.aws.amazon.com/s3/buckets/prod-shaip-bucket?region=us-east-1&amp;prefix=bhasha/swar_new/25-07-2023/UP/Varanasi/&amp;showversions=false</t>
  </si>
  <si>
    <t>https://s3.console.aws.amazon.com/s3/buckets/prod-shaip-bucket?region=us-east-1&amp;prefix=bhasha/swar_new/25-07-2023/WB/DakshinDinajpur/&amp;showversions=false</t>
  </si>
  <si>
    <t>https://s3.console.aws.amazon.com/s3/buckets/prod-shaip-bucket?region=us-east-1&amp;prefix=bhasha/swar_new/25-07-2023/WB/Jalpaiguri/&amp;showversions=false</t>
  </si>
  <si>
    <t>https://s3.console.aws.amazon.com/s3/buckets/prod-shaip-bucket?region=us-east-1&amp;prefix=bhasha/swar_new/25-07-2023/WB/Jhargram/&amp;showversions=false</t>
  </si>
  <si>
    <t>https://s3.console.aws.amazon.com/s3/buckets/prod-shaip-bucket?region=us-east-1&amp;prefix=bhasha/swar_new/25-07-2023/WB/Kolkata/&amp;showversions=false</t>
  </si>
  <si>
    <t>https://s3.console.aws.amazon.com/s3/buckets/prod-shaip-bucket?region=us-east-1&amp;prefix=bhasha/swar_new/25-07-2023/WB/Malda/&amp;showversions=false</t>
  </si>
  <si>
    <t>https://s3.console.aws.amazon.com/s3/buckets/prod-shaip-bucket?region=us-east-1&amp;prefix=bhasha/swar_new/25-07-2023/WB/North24Parganas/&amp;showversions=false</t>
  </si>
  <si>
    <t>https://s3.console.aws.amazon.com/s3/buckets/prod-shaip-bucket?region=us-east-1&amp;prefix=bhasha/swar_new/25-07-2023/WB/PaschimMedinipur/&amp;showversions=false</t>
  </si>
  <si>
    <t>https://s3.console.aws.amazon.com/s3/buckets/prod-shaip-bucket?region=us-east-1&amp;prefix=bhasha/swar_new/25-07-2023/WB/Purulia/&amp;showversions=false</t>
  </si>
  <si>
    <t>Batch4 - 20/08/2023</t>
  </si>
  <si>
    <t>https://s3.console.aws.amazon.com/s3/buckets/prod-shaip-bucket?region=us-east-1&amp;prefix=bhasha/swar_new/20-08-2023/AP/Anantpur/&amp;showversions=false</t>
  </si>
  <si>
    <t>https://s3.console.aws.amazon.com/s3/buckets/prod-shaip-bucket?region=us-east-1&amp;prefix=bhasha/swar_new/20-08-2023/AP/Chittoor/&amp;showversions=false</t>
  </si>
  <si>
    <t>https://s3.console.aws.amazon.com/s3/buckets/prod-shaip-bucket?region=us-east-1&amp;prefix=bhasha/swar_new/20-08-2023/AP/Guntur/&amp;showversions=false</t>
  </si>
  <si>
    <t>https://s3.console.aws.amazon.com/s3/buckets/prod-shaip-bucket?region=us-east-1&amp;prefix=bhasha/swar_new/20-08-2023/AP/Krishna/&amp;showversions=false</t>
  </si>
  <si>
    <t>https://s3.console.aws.amazon.com/s3/buckets/prod-shaip-bucket?region=us-east-1&amp;prefix=bhasha/swar_new/20-08-2023/AP/Srikakulam/&amp;showversions=false</t>
  </si>
  <si>
    <t>https://s3.console.aws.amazon.com/s3/buckets/prod-shaip-bucket?region=us-east-1&amp;prefix=bhasha/swar_new/20-08-2023/AP/Vishakapattanam/&amp;showversions=false</t>
  </si>
  <si>
    <t>https://s3.console.aws.amazon.com/s3/buckets/prod-shaip-bucket?region=us-east-1&amp;prefix=bhasha/swar_new/20-08-2023/BR/Araria/&amp;showversions=false</t>
  </si>
  <si>
    <t>https://s3.console.aws.amazon.com/s3/buckets/prod-shaip-bucket?region=us-east-1&amp;prefix=bhasha/swar_new/20-08-2023/BR/Begusarai/&amp;showversions=false</t>
  </si>
  <si>
    <t>https://s3.console.aws.amazon.com/s3/buckets/prod-shaip-bucket?region=us-east-1&amp;prefix=bhasha/swar_new/20-08-2023/BR/Bhagalpur/&amp;showversions=false</t>
  </si>
  <si>
    <t>https://s3.console.aws.amazon.com/s3/buckets/prod-shaip-bucket?region=us-east-1&amp;prefix=bhasha/swar_new/20-08-2023/BR/Darbhanga/&amp;showversions=false</t>
  </si>
  <si>
    <t>https://s3.console.aws.amazon.com/s3/buckets/prod-shaip-bucket?region=us-east-1&amp;prefix=bhasha/swar_new/20-08-2023/BR/EastChamparan/&amp;showversions=false</t>
  </si>
  <si>
    <t>https://s3.console.aws.amazon.com/s3/buckets/prod-shaip-bucket?region=us-east-1&amp;prefix=bhasha/swar_new/20-08-2023/BR/Gaya/&amp;showversions=false</t>
  </si>
  <si>
    <t>https://s3.console.aws.amazon.com/s3/buckets/prod-shaip-bucket?region=us-east-1&amp;prefix=bhasha/swar_new/20-08-2023/BR/Gopalganj/&amp;showversions=false</t>
  </si>
  <si>
    <t>https://s3.console.aws.amazon.com/s3/buckets/prod-shaip-bucket?region=us-east-1&amp;prefix=bhasha/swar_new/20-08-2023/BR/Jahanabad/&amp;showversions=false</t>
  </si>
  <si>
    <t>https://s3.console.aws.amazon.com/s3/buckets/prod-shaip-bucket?region=us-east-1&amp;prefix=bhasha/swar_new/20-08-2023/BR/Jamui/&amp;showversions=false</t>
  </si>
  <si>
    <t>https://s3.console.aws.amazon.com/s3/buckets/prod-shaip-bucket?region=us-east-1&amp;prefix=bhasha/swar_new/20-08-2023/BR/Kishanganj/&amp;showversions=false</t>
  </si>
  <si>
    <t>https://s3.console.aws.amazon.com/s3/buckets/prod-shaip-bucket?region=us-east-1&amp;prefix=bhasha/swar_new/20-08-2023/BR/Lakhisarai/&amp;showversions=false</t>
  </si>
  <si>
    <t>https://s3.console.aws.amazon.com/s3/buckets/prod-shaip-bucket?region=us-east-1&amp;prefix=bhasha/swar_new/20-08-2023/BR/Madhepura/&amp;showversions=false</t>
  </si>
  <si>
    <t>https://s3.console.aws.amazon.com/s3/buckets/prod-shaip-bucket?region=us-east-1&amp;prefix=bhasha/swar_new/20-08-2023/BR/Muzaffarpur/&amp;showversions=false</t>
  </si>
  <si>
    <t>https://s3.console.aws.amazon.com/s3/buckets/prod-shaip-bucket?region=us-east-1&amp;prefix=bhasha/swar_new/20-08-2023/BR/Purnia/&amp;showversions=false</t>
  </si>
  <si>
    <t>https://s3.console.aws.amazon.com/s3/buckets/prod-shaip-bucket?region=us-east-1&amp;prefix=bhasha/swar_new/20-08-2023/BR/Saharsa/&amp;showversions=false</t>
  </si>
  <si>
    <t>https://s3.console.aws.amazon.com/s3/buckets/prod-shaip-bucket?region=us-east-1&amp;prefix=bhasha/swar_new/20-08-2023/BR/Samastipur/&amp;showversions=false</t>
  </si>
  <si>
    <t>https://s3.console.aws.amazon.com/s3/buckets/prod-shaip-bucket?region=us-east-1&amp;prefix=bhasha/swar_new/20-08-2023/BR/Saran/&amp;showversions=false</t>
  </si>
  <si>
    <t>https://s3.console.aws.amazon.com/s3/buckets/prod-shaip-bucket?region=us-east-1&amp;prefix=bhasha/swar_new/20-08-2023/BR/Sitamarhi/&amp;showversions=false</t>
  </si>
  <si>
    <t>https://s3.console.aws.amazon.com/s3/buckets/prod-shaip-bucket?region=us-east-1&amp;prefix=bhasha/swar_new/20-08-2023/BR/Supaul/&amp;showversions=false</t>
  </si>
  <si>
    <t>https://s3.console.aws.amazon.com/s3/buckets/prod-shaip-bucket?region=us-east-1&amp;prefix=bhasha/swar_new/20-08-2023/BR/Vaishali/&amp;showversions=false</t>
  </si>
  <si>
    <t>https://s3.console.aws.amazon.com/s3/buckets/prod-shaip-bucket?region=us-east-1&amp;prefix=bhasha/swar_new/20-08-2023/CG/Balrampur/&amp;showversions=false</t>
  </si>
  <si>
    <t>https://s3.console.aws.amazon.com/s3/buckets/prod-shaip-bucket?region=us-east-1&amp;prefix=bhasha/swar_new/20-08-2023/CG/Bastar/&amp;showversions=false</t>
  </si>
  <si>
    <t>https://s3.console.aws.amazon.com/s3/buckets/prod-shaip-bucket?region=us-east-1&amp;prefix=bhasha/swar_new/20-08-2023/CG/Bilaspur/&amp;showversions=false</t>
  </si>
  <si>
    <t>https://s3.console.aws.amazon.com/s3/buckets/prod-shaip-bucket?region=us-east-1&amp;prefix=bhasha/swar_new/20-08-2023/CG/Jashpur/&amp;showversions=false</t>
  </si>
  <si>
    <t>https://s3.console.aws.amazon.com/s3/buckets/prod-shaip-bucket?region=us-east-1&amp;prefix=bhasha/swar_new/20-08-2023/CG/Kabirdham/&amp;showversions=false</t>
  </si>
  <si>
    <t>https://s3.console.aws.amazon.com/s3/buckets/prod-shaip-bucket?region=us-east-1&amp;prefix=bhasha/swar_new/20-08-2023/CG/Korba/&amp;showversions=false</t>
  </si>
  <si>
    <t>https://s3.console.aws.amazon.com/s3/buckets/prod-shaip-bucket?region=us-east-1&amp;prefix=bhasha/swar_new/20-08-2023/CG/Raigarh/&amp;showversions=false</t>
  </si>
  <si>
    <t>https://s3.console.aws.amazon.com/s3/buckets/prod-shaip-bucket?region=us-east-1&amp;prefix=bhasha/swar_new/20-08-2023/CG/Rajnandgaon/&amp;showversions=false</t>
  </si>
  <si>
    <t>https://s3.console.aws.amazon.com/s3/buckets/prod-shaip-bucket?region=us-east-1&amp;prefix=bhasha/swar_new/20-08-2023/CG/Sarguja/&amp;showversions=false</t>
  </si>
  <si>
    <t>https://s3.console.aws.amazon.com/s3/buckets/prod-shaip-bucket?region=us-east-1&amp;prefix=bhasha/swar_new/20-08-2023/CG/Sukma/&amp;showversions=false</t>
  </si>
  <si>
    <t>https://s3.console.aws.amazon.com/s3/buckets/prod-shaip-bucket?region=us-east-1&amp;prefix=bhasha/swar_new/20-08-2023/GA/NorthSouthGoa/&amp;showversions=false</t>
  </si>
  <si>
    <t>https://s3.console.aws.amazon.com/s3/buckets/prod-shaip-bucket?region=us-east-1&amp;prefix=bhasha/swar_new/20-08-2023/JH/Jamtara/&amp;showversions=false</t>
  </si>
  <si>
    <t>https://s3.console.aws.amazon.com/s3/buckets/prod-shaip-bucket?region=us-east-1&amp;prefix=bhasha/swar_new/20-08-2023/JH/Sahebganj/&amp;showversions=false</t>
  </si>
  <si>
    <t>https://s3.console.aws.amazon.com/s3/buckets/prod-shaip-bucket?region=us-east-1&amp;prefix=bhasha/swar_new/20-08-2023/KA/Belgaum/&amp;showversions=false</t>
  </si>
  <si>
    <t>https://s3.console.aws.amazon.com/s3/buckets/prod-shaip-bucket?region=us-east-1&amp;prefix=bhasha/swar_new/20-08-2023/KA/Bellary/&amp;showversions=false</t>
  </si>
  <si>
    <t>https://s3.console.aws.amazon.com/s3/buckets/prod-shaip-bucket?region=us-east-1&amp;prefix=bhasha/swar_new/20-08-2023/KA/Bijapur/&amp;showversions=false</t>
  </si>
  <si>
    <t>https://s3.console.aws.amazon.com/s3/buckets/prod-shaip-bucket?region=us-east-1&amp;prefix=bhasha/swar_new/20-08-2023/KA/Chamrajnagar/&amp;showversions=false</t>
  </si>
  <si>
    <t>https://s3.console.aws.amazon.com/s3/buckets/prod-shaip-bucket?region=us-east-1&amp;prefix=bhasha/swar_new/20-08-2023/KA/DakshinKannada/&amp;showversions=false</t>
  </si>
  <si>
    <t>https://s3.console.aws.amazon.com/s3/buckets/prod-shaip-bucket?region=us-east-1&amp;prefix=bhasha/swar_new/20-08-2023/KA/Dharwad/&amp;showversions=false</t>
  </si>
  <si>
    <t>https://s3.console.aws.amazon.com/s3/buckets/prod-shaip-bucket?region=us-east-1&amp;prefix=bhasha/swar_new/20-08-2023/KA/Gulbarga/&amp;showversions=false</t>
  </si>
  <si>
    <t>https://s3.console.aws.amazon.com/s3/buckets/prod-shaip-bucket?region=us-east-1&amp;prefix=bhasha/swar_new/20-08-2023/KA/Mysore/&amp;showversions=false</t>
  </si>
  <si>
    <t>https://s3.console.aws.amazon.com/s3/buckets/prod-shaip-bucket?region=us-east-1&amp;prefix=bhasha/swar_new/20-08-2023/KA/Raichur/&amp;showversions=false</t>
  </si>
  <si>
    <t>https://s3.console.aws.amazon.com/s3/buckets/prod-shaip-bucket?region=us-east-1&amp;prefix=bhasha/swar_new/20-08-2023/KA/Shimoga/&amp;showversions=false</t>
  </si>
  <si>
    <t>https://s3.console.aws.amazon.com/s3/buckets/prod-shaip-bucket?region=us-east-1&amp;prefix=bhasha/swar_new/20-08-2023/MH/Aurangabad/&amp;showversions=false</t>
  </si>
  <si>
    <t>https://s3.console.aws.amazon.com/s3/buckets/prod-shaip-bucket?region=us-east-1&amp;prefix=bhasha/swar_new/20-08-2023/MH/Chandrapur/&amp;showversions=false</t>
  </si>
  <si>
    <t>https://s3.console.aws.amazon.com/s3/buckets/prod-shaip-bucket?region=us-east-1&amp;prefix=bhasha/swar_new/20-08-2023/MH/Dhule/&amp;showversions=false</t>
  </si>
  <si>
    <t>https://s3.console.aws.amazon.com/s3/buckets/prod-shaip-bucket?region=us-east-1&amp;prefix=bhasha/swar_new/20-08-2023/MH/Nagpur/&amp;showversions=false</t>
  </si>
  <si>
    <t>https://s3.console.aws.amazon.com/s3/buckets/prod-shaip-bucket?region=us-east-1&amp;prefix=bhasha/swar_new/20-08-2023/MH/Pune/&amp;showversions=false</t>
  </si>
  <si>
    <t>https://s3.console.aws.amazon.com/s3/buckets/prod-shaip-bucket?region=us-east-1&amp;prefix=bhasha/swar_new/20-08-2023/MH/Sindhudurga/&amp;showversions=false</t>
  </si>
  <si>
    <t>https://s3.console.aws.amazon.com/s3/buckets/prod-shaip-bucket?region=us-east-1&amp;prefix=bhasha/swar_new/20-08-2023/MH/Solapur/&amp;showversions=false</t>
  </si>
  <si>
    <t>https://s3.console.aws.amazon.com/s3/buckets/prod-shaip-bucket?region=us-east-1&amp;prefix=bhasha/swar_new/20-08-2023/RJ/Churu/&amp;showversions=false</t>
  </si>
  <si>
    <t>https://s3.console.aws.amazon.com/s3/buckets/prod-shaip-bucket?region=us-east-1&amp;prefix=bhasha/swar_new/20-08-2023/RJ/Nagaur/&amp;showversions=false</t>
  </si>
  <si>
    <t>https://s3.console.aws.amazon.com/s3/buckets/prod-shaip-bucket?region=us-east-1&amp;prefix=bhasha/swar_new/20-08-2023/TS/Karimnagar/&amp;showversions=false</t>
  </si>
  <si>
    <t>https://s3.console.aws.amazon.com/s3/buckets/prod-shaip-bucket?region=us-east-1&amp;prefix=bhasha/swar_new/20-08-2023/TS/Nalgonda/&amp;showversions=false</t>
  </si>
  <si>
    <t>https://s3.console.aws.amazon.com/s3/buckets/prod-shaip-bucket?region=us-east-1&amp;prefix=bhasha/swar_new/20-08-2023/UK/TehriGarhwal/&amp;showversions=false</t>
  </si>
  <si>
    <t>https://s3.console.aws.amazon.com/s3/buckets/prod-shaip-bucket?region=us-east-1&amp;prefix=bhasha/swar_new/20-08-2023/UK/Uttarkashi/&amp;showversions=false</t>
  </si>
  <si>
    <t>https://s3.console.aws.amazon.com/s3/buckets/prod-shaip-bucket?region=us-east-1&amp;prefix=bhasha/swar_new/20-08-2023/UP/Budaun/&amp;showversions=false</t>
  </si>
  <si>
    <t>https://s3.console.aws.amazon.com/s3/buckets/prod-shaip-bucket?region=us-east-1&amp;prefix=bhasha/swar_new/20-08-2023/UP/Deoria/&amp;showversions=false</t>
  </si>
  <si>
    <t>https://s3.console.aws.amazon.com/s3/buckets/prod-shaip-bucket?region=us-east-1&amp;prefix=bhasha/swar_new/20-08-2023/UP/Etah/&amp;showversions=false</t>
  </si>
  <si>
    <t>https://s3.console.aws.amazon.com/s3/buckets/prod-shaip-bucket?region=us-east-1&amp;prefix=bhasha/swar_new/20-08-2023/UP/Ghazipur/&amp;showversions=false</t>
  </si>
  <si>
    <t>https://s3.console.aws.amazon.com/s3/buckets/prod-shaip-bucket?region=us-east-1&amp;prefix=bhasha/swar_new/20-08-2023/UP/Gorakhpur/&amp;showversions=false</t>
  </si>
  <si>
    <t>https://s3.console.aws.amazon.com/s3/buckets/prod-shaip-bucket?region=us-east-1&amp;prefix=bhasha/swar_new/20-08-2023/UP/Hamirpur/&amp;showversions=false</t>
  </si>
  <si>
    <t>https://s3.console.aws.amazon.com/s3/buckets/prod-shaip-bucket?region=us-east-1&amp;prefix=bhasha/swar_new/20-08-2023/UP/Jalaun/&amp;showversions=false</t>
  </si>
  <si>
    <t>https://s3.console.aws.amazon.com/s3/buckets/prod-shaip-bucket?region=us-east-1&amp;prefix=bhasha/swar_new/20-08-2023/UP/JyotibaPhuleNagar/&amp;showversions=false</t>
  </si>
  <si>
    <t>https://s3.console.aws.amazon.com/s3/buckets/prod-shaip-bucket?region=us-east-1&amp;prefix=bhasha/swar_new/20-08-2023/UP/Muzzaffarnagar/&amp;showversions=false</t>
  </si>
  <si>
    <t>https://s3.console.aws.amazon.com/s3/buckets/prod-shaip-bucket?region=us-east-1&amp;prefix=bhasha/swar_new/20-08-2023/UP/Varanasi/&amp;showversions=false</t>
  </si>
  <si>
    <t>https://s3.console.aws.amazon.com/s3/buckets/prod-shaip-bucket?region=us-east-1&amp;prefix=bhasha/swar_new/20-08-2023/WB/DakshinDinajpur/&amp;showversions=false</t>
  </si>
  <si>
    <t>https://s3.console.aws.amazon.com/s3/buckets/prod-shaip-bucket?region=us-east-1&amp;prefix=bhasha/swar_new/20-08-2023/WB/Jalpaiguri/&amp;showversions=false</t>
  </si>
  <si>
    <t>https://s3.console.aws.amazon.com/s3/buckets/prod-shaip-bucket?region=us-east-1&amp;prefix=bhasha/swar_new/20-08-2023/WB/Jhargram/&amp;showversions=false</t>
  </si>
  <si>
    <t>https://s3.console.aws.amazon.com/s3/buckets/prod-shaip-bucket?region=us-east-1&amp;prefix=bhasha/swar_new/20-08-2023/WB/Kolkata/&amp;showversions=false</t>
  </si>
  <si>
    <t>https://s3.console.aws.amazon.com/s3/buckets/prod-shaip-bucket?region=us-east-1&amp;prefix=bhasha/swar_new/20-08-2023/WB/Malda/&amp;showversions=false</t>
  </si>
  <si>
    <t>https://s3.console.aws.amazon.com/s3/buckets/prod-shaip-bucket?region=us-east-1&amp;prefix=bhasha/swar_new/20-08-2023/WB/North24Parganas/&amp;showversions=false</t>
  </si>
  <si>
    <t>https://s3.console.aws.amazon.com/s3/buckets/prod-shaip-bucket?region=us-east-1&amp;prefix=bhasha/swar_new/20-08-2023/WB/PaschimMedinipur/&amp;showversions=false</t>
  </si>
  <si>
    <t>https://s3.console.aws.amazon.com/s3/buckets/prod-shaip-bucket?region=us-east-1&amp;prefix=bhasha/swar_new/20-08-2023/WB/Purulia/&amp;showversions=false</t>
  </si>
  <si>
    <t>Batch5 - 29/08/2023</t>
  </si>
  <si>
    <t>https://s3.console.aws.amazon.com/s3/buckets/prod-shaip-bucket?region=us-east-1&amp;prefix=bhasha/swar_new/29-08-2023/AP/Anantpur/&amp;showversions=false</t>
  </si>
  <si>
    <t>https://s3.console.aws.amazon.com/s3/buckets/prod-shaip-bucket?region=us-east-1&amp;prefix=bhasha/swar_new/29-08-2023/AP/Chittoor/&amp;showversions=false</t>
  </si>
  <si>
    <t>https://s3.console.aws.amazon.com/s3/buckets/prod-shaip-bucket?region=us-east-1&amp;prefix=bhasha/swar_new/29-08-2023/AP/Guntur/&amp;showversions=false</t>
  </si>
  <si>
    <t>https://s3.console.aws.amazon.com/s3/buckets/prod-shaip-bucket?region=us-east-1&amp;prefix=bhasha/swar_new/29-08-2023/AP/Krishna/&amp;showversions=false</t>
  </si>
  <si>
    <t>https://s3.console.aws.amazon.com/s3/buckets/prod-shaip-bucket?region=us-east-1&amp;prefix=bhasha/swar_new/29-08-2023/AP/Srikakulam/&amp;showversions=false</t>
  </si>
  <si>
    <t>https://s3.console.aws.amazon.com/s3/buckets/prod-shaip-bucket?region=us-east-1&amp;prefix=bhasha/swar_new/29-08-2023/AP/Vishakapattanam/&amp;showversions=false</t>
  </si>
  <si>
    <t>https://s3.console.aws.amazon.com/s3/buckets/prod-shaip-bucket?region=us-east-1&amp;prefix=bhasha/swar_new/29-08-2023/BR/Araria/&amp;showversions=false</t>
  </si>
  <si>
    <t>https://s3.console.aws.amazon.com/s3/buckets/prod-shaip-bucket?region=us-east-1&amp;prefix=bhasha/swar_new/29-08-2023/BR/Begusarai/&amp;showversions=false</t>
  </si>
  <si>
    <t>https://s3.console.aws.amazon.com/s3/buckets/prod-shaip-bucket?region=us-east-1&amp;prefix=bhasha/swar_new/29-08-2023/BR/Bhagalpur/&amp;showversions=false</t>
  </si>
  <si>
    <t>https://s3.console.aws.amazon.com/s3/buckets/prod-shaip-bucket?region=us-east-1&amp;prefix=bhasha/swar_new/29-08-2023/BR/Darbhanga/&amp;showversions=false</t>
  </si>
  <si>
    <t>https://s3.console.aws.amazon.com/s3/buckets/prod-shaip-bucket?region=us-east-1&amp;prefix=bhasha/swar_new/29-08-2023/BR/EastChamparan/&amp;showversions=false</t>
  </si>
  <si>
    <t>https://s3.console.aws.amazon.com/s3/buckets/prod-shaip-bucket?region=us-east-1&amp;prefix=bhasha/swar_new/29-08-2023/BR/Gaya/&amp;showversions=false</t>
  </si>
  <si>
    <t>https://s3.console.aws.amazon.com/s3/buckets/prod-shaip-bucket?region=us-east-1&amp;prefix=bhasha/swar_new/29-08-2023/BR/Gopalganj/&amp;showversions=false</t>
  </si>
  <si>
    <t>https://s3.console.aws.amazon.com/s3/buckets/prod-shaip-bucket?region=us-east-1&amp;prefix=bhasha/swar_new/29-08-2023/BR/Jahanabad/&amp;showversions=false</t>
  </si>
  <si>
    <t>https://s3.console.aws.amazon.com/s3/buckets/prod-shaip-bucket?region=us-east-1&amp;prefix=bhasha/swar_new/29-08-2023/BR/Jamui/&amp;showversions=false</t>
  </si>
  <si>
    <t>https://s3.console.aws.amazon.com/s3/buckets/prod-shaip-bucket?region=us-east-1&amp;prefix=bhasha/swar_new/29-08-2023/BR/Kishanganj/&amp;showversions=false</t>
  </si>
  <si>
    <t>https://s3.console.aws.amazon.com/s3/buckets/prod-shaip-bucket?region=us-east-1&amp;prefix=bhasha/swar_new/29-08-2023/BR/Lakhisarai/&amp;showversions=false</t>
  </si>
  <si>
    <t>https://s3.console.aws.amazon.com/s3/buckets/prod-shaip-bucket?region=us-east-1&amp;prefix=bhasha/swar_new/29-08-2023/BR/Madhepura/&amp;showversions=false</t>
  </si>
  <si>
    <t>https://s3.console.aws.amazon.com/s3/buckets/prod-shaip-bucket?region=us-east-1&amp;prefix=bhasha/swar_new/29-08-2023/BR/Muzaffarpur/&amp;showversions=false</t>
  </si>
  <si>
    <t>https://s3.console.aws.amazon.com/s3/buckets/prod-shaip-bucket?region=us-east-1&amp;prefix=bhasha/swar_new/29-08-2023/BR/Purnia/&amp;showversions=false</t>
  </si>
  <si>
    <t>https://s3.console.aws.amazon.com/s3/buckets/prod-shaip-bucket?region=us-east-1&amp;prefix=bhasha/swar_new/29-08-2023/BR/Saharsa/&amp;showversions=false</t>
  </si>
  <si>
    <t>https://s3.console.aws.amazon.com/s3/buckets/prod-shaip-bucket?region=us-east-1&amp;prefix=bhasha/swar_new/29-08-2023/BR/Samastipur/&amp;showversions=false</t>
  </si>
  <si>
    <t>https://s3.console.aws.amazon.com/s3/buckets/prod-shaip-bucket?region=us-east-1&amp;prefix=bhasha/swar_new/29-08-2023/BR/Saran/&amp;showversions=false</t>
  </si>
  <si>
    <t>https://s3.console.aws.amazon.com/s3/buckets/prod-shaip-bucket?region=us-east-1&amp;prefix=bhasha/swar_new/29-08-2023/BR/Sitamarhi/&amp;showversions=false</t>
  </si>
  <si>
    <t>https://s3.console.aws.amazon.com/s3/buckets/prod-shaip-bucket?region=us-east-1&amp;prefix=bhasha/swar_new/29-08-2023/BR/Supaul/&amp;showversions=false</t>
  </si>
  <si>
    <t>https://s3.console.aws.amazon.com/s3/buckets/prod-shaip-bucket?region=us-east-1&amp;prefix=bhasha/swar_new/29-08-2023/BR/Vaishali/&amp;showversions=false</t>
  </si>
  <si>
    <t>https://s3.console.aws.amazon.com/s3/buckets/prod-shaip-bucket?region=us-east-1&amp;prefix=bhasha/swar_new/29-08-2023/CG/Balrampur/&amp;showversions=false</t>
  </si>
  <si>
    <t>https://s3.console.aws.amazon.com/s3/buckets/prod-shaip-bucket?region=us-east-1&amp;prefix=bhasha/swar_new/29-08-2023/CG/Bastar/&amp;showversions=false</t>
  </si>
  <si>
    <t>https://s3.console.aws.amazon.com/s3/buckets/prod-shaip-bucket?region=us-east-1&amp;prefix=bhasha/swar_new/29-08-2023/CG/Bilaspur/&amp;showversions=false</t>
  </si>
  <si>
    <t>https://s3.console.aws.amazon.com/s3/buckets/prod-shaip-bucket?region=us-east-1&amp;prefix=bhasha/swar_new/29-08-2023/CG/Jashpur/&amp;showversions=false</t>
  </si>
  <si>
    <t>https://s3.console.aws.amazon.com/s3/buckets/prod-shaip-bucket?region=us-east-1&amp;prefix=bhasha/swar_new/29-08-2023/CG/Kabirdham/&amp;showversions=false</t>
  </si>
  <si>
    <t>https://s3.console.aws.amazon.com/s3/buckets/prod-shaip-bucket?region=us-east-1&amp;prefix=bhasha/swar_new/29-08-2023/CG/Korba/&amp;showversions=false</t>
  </si>
  <si>
    <t>https://s3.console.aws.amazon.com/s3/buckets/prod-shaip-bucket?region=us-east-1&amp;prefix=bhasha/swar_new/29-08-2023/CG/Raigarh/&amp;showversions=false</t>
  </si>
  <si>
    <t>https://s3.console.aws.amazon.com/s3/buckets/prod-shaip-bucket?region=us-east-1&amp;prefix=bhasha/swar_new/29-08-2023/CG/Rajnandgaon/&amp;showversions=false</t>
  </si>
  <si>
    <t>https://s3.console.aws.amazon.com/s3/buckets/prod-shaip-bucket?region=us-east-1&amp;prefix=bhasha/swar_new/29-08-2023/CG/Sarguja/&amp;showversions=false</t>
  </si>
  <si>
    <t>https://s3.console.aws.amazon.com/s3/buckets/prod-shaip-bucket?region=us-east-1&amp;prefix=bhasha/swar_new/29-08-2023/CG/Sukma/&amp;showversions=false</t>
  </si>
  <si>
    <t>https://s3.console.aws.amazon.com/s3/buckets/prod-shaip-bucket?region=us-east-1&amp;prefix=bhasha/swar_new/29-08-2023/GA/NorthSouthGoa/&amp;showversions=false</t>
  </si>
  <si>
    <t>https://s3.console.aws.amazon.com/s3/buckets/prod-shaip-bucket?region=us-east-1&amp;prefix=bhasha/swar_new/29-08-2023/JH/Jamtara/&amp;showversions=false</t>
  </si>
  <si>
    <t>https://s3.console.aws.amazon.com/s3/buckets/prod-shaip-bucket?region=us-east-1&amp;prefix=bhasha/swar_new/29-08-2023/JH/Sahebganj/&amp;showversions=false</t>
  </si>
  <si>
    <t>https://s3.console.aws.amazon.com/s3/buckets/prod-shaip-bucket?region=us-east-1&amp;prefix=bhasha/swar_new/29-08-2023/KA/Belgaum/&amp;showversions=false</t>
  </si>
  <si>
    <t>https://s3.console.aws.amazon.com/s3/buckets/prod-shaip-bucket?region=us-east-1&amp;prefix=bhasha/swar_new/29-08-2023/KA/Bellary/&amp;showversions=false</t>
  </si>
  <si>
    <t>https://s3.console.aws.amazon.com/s3/buckets/prod-shaip-bucket?region=us-east-1&amp;prefix=bhasha/swar_new/29-08-2023/KA/Bijapur/&amp;showversions=false</t>
  </si>
  <si>
    <t>https://s3.console.aws.amazon.com/s3/buckets/prod-shaip-bucket?region=us-east-1&amp;prefix=bhasha/swar_new/29-08-2023/KA/Chamrajnagar/&amp;showversions=false</t>
  </si>
  <si>
    <t>https://s3.console.aws.amazon.com/s3/buckets/prod-shaip-bucket?region=us-east-1&amp;prefix=bhasha/swar_new/29-08-2023/KA/DakshinKannada/&amp;showversions=false</t>
  </si>
  <si>
    <t>https://s3.console.aws.amazon.com/s3/buckets/prod-shaip-bucket?region=us-east-1&amp;prefix=bhasha/swar_new/29-08-2023/KA/Dharwad/&amp;showversions=false</t>
  </si>
  <si>
    <t>https://s3.console.aws.amazon.com/s3/buckets/prod-shaip-bucket?region=us-east-1&amp;prefix=bhasha/swar_new/29-08-2023/KA/Gulbarga/&amp;showversions=false</t>
  </si>
  <si>
    <t>https://s3.console.aws.amazon.com/s3/buckets/prod-shaip-bucket?region=us-east-1&amp;prefix=bhasha/swar_new/29-08-2023/KA/Mysore/&amp;showversions=false</t>
  </si>
  <si>
    <t>https://s3.console.aws.amazon.com/s3/buckets/prod-shaip-bucket?region=us-east-1&amp;prefix=bhasha/swar_new/29-08-2023/KA/Raichur/&amp;showversions=false</t>
  </si>
  <si>
    <t>https://s3.console.aws.amazon.com/s3/buckets/prod-shaip-bucket?region=us-east-1&amp;prefix=bhasha/swar_new/29-08-2023/KA/Shimoga/&amp;showversions=false</t>
  </si>
  <si>
    <t>https://s3.console.aws.amazon.com/s3/buckets/prod-shaip-bucket?region=us-east-1&amp;prefix=bhasha/swar_new/29-08-2023/MH/Aurangabad/&amp;showversions=false</t>
  </si>
  <si>
    <t>https://s3.console.aws.amazon.com/s3/buckets/prod-shaip-bucket?region=us-east-1&amp;prefix=bhasha/swar_new/29-08-2023/MH/Chandrapur/&amp;showversions=false</t>
  </si>
  <si>
    <t>https://s3.console.aws.amazon.com/s3/buckets/prod-shaip-bucket?region=us-east-1&amp;prefix=bhasha/swar_new/29-08-2023/MH/Dhule/&amp;showversions=false</t>
  </si>
  <si>
    <t>https://s3.console.aws.amazon.com/s3/buckets/prod-shaip-bucket?region=us-east-1&amp;prefix=bhasha/swar_new/29-08-2023/MH/Nagpur/&amp;showversions=false</t>
  </si>
  <si>
    <t>https://s3.console.aws.amazon.com/s3/buckets/prod-shaip-bucket?region=us-east-1&amp;prefix=bhasha/swar_new/29-08-2023/MH/Pune/&amp;showversions=false</t>
  </si>
  <si>
    <t>https://s3.console.aws.amazon.com/s3/buckets/prod-shaip-bucket?region=us-east-1&amp;prefix=bhasha/swar_new/29-08-2023/MH/Sindhudurga/&amp;showversions=false</t>
  </si>
  <si>
    <t>https://s3.console.aws.amazon.com/s3/buckets/prod-shaip-bucket?region=us-east-1&amp;prefix=bhasha/swar_new/29-08-2023/MH/Solapur/&amp;showversions=false</t>
  </si>
  <si>
    <t>https://s3.console.aws.amazon.com/s3/buckets/prod-shaip-bucket?region=us-east-1&amp;prefix=bhasha/swar_new/29-08-2023/RJ/Churu/&amp;showversions=false</t>
  </si>
  <si>
    <t>https://s3.console.aws.amazon.com/s3/buckets/prod-shaip-bucket?region=us-east-1&amp;prefix=bhasha/swar_new/29-08-2023/RJ/Nagaur/&amp;showversions=false</t>
  </si>
  <si>
    <t>https://s3.console.aws.amazon.com/s3/buckets/prod-shaip-bucket?region=us-east-1&amp;prefix=bhasha/swar_new/29-08-2023/TS/Karimnagar/&amp;showversions=false</t>
  </si>
  <si>
    <t>https://s3.console.aws.amazon.com/s3/buckets/prod-shaip-bucket?region=us-east-1&amp;prefix=bhasha/swar_new/29-08-2023/TS/Nalgonda/&amp;showversions=false</t>
  </si>
  <si>
    <t>https://s3.console.aws.amazon.com/s3/buckets/prod-shaip-bucket?region=us-east-1&amp;prefix=bhasha/swar_new/29-08-2023/UK/TehriGarhwal/&amp;showversions=false</t>
  </si>
  <si>
    <t>https://s3.console.aws.amazon.com/s3/buckets/prod-shaip-bucket?region=us-east-1&amp;prefix=bhasha/swar_new/29-08-2023/UK/Uttarkashi/&amp;showversions=false</t>
  </si>
  <si>
    <t>https://s3.console.aws.amazon.com/s3/buckets/prod-shaip-bucket?region=us-east-1&amp;prefix=bhasha/swar_new/29-08-2023/UP/Budaun/&amp;showversions=false</t>
  </si>
  <si>
    <t>https://s3.console.aws.amazon.com/s3/buckets/prod-shaip-bucket?region=us-east-1&amp;prefix=bhasha/swar_new/29-08-2023/UP/Deoria/&amp;showversions=false</t>
  </si>
  <si>
    <t>https://s3.console.aws.amazon.com/s3/buckets/prod-shaip-bucket?region=us-east-1&amp;prefix=bhasha/swar_new/29-08-2023/UP/Etah/&amp;showversions=false</t>
  </si>
  <si>
    <t>https://s3.console.aws.amazon.com/s3/buckets/prod-shaip-bucket?region=us-east-1&amp;prefix=bhasha/swar_new/29-08-2023/UP/Ghazipur/&amp;showversions=false</t>
  </si>
  <si>
    <t>https://s3.console.aws.amazon.com/s3/buckets/prod-shaip-bucket?region=us-east-1&amp;prefix=bhasha/swar_new/29-08-2023/UP/Gorakhpur/&amp;showversions=false</t>
  </si>
  <si>
    <t>https://s3.console.aws.amazon.com/s3/buckets/prod-shaip-bucket?region=us-east-1&amp;prefix=bhasha/swar_new/29-08-2023/UP/Hamirpur/&amp;showversions=false</t>
  </si>
  <si>
    <t>https://s3.console.aws.amazon.com/s3/buckets/prod-shaip-bucket?region=us-east-1&amp;prefix=bhasha/swar_new/29-08-2023/UP/Jalaun/&amp;showversions=false</t>
  </si>
  <si>
    <t>https://s3.console.aws.amazon.com/s3/buckets/prod-shaip-bucket?region=us-east-1&amp;prefix=bhasha/swar_new/29-08-2023/UP/JyotibaPhuleNagar/&amp;showversions=false</t>
  </si>
  <si>
    <t>https://s3.console.aws.amazon.com/s3/buckets/prod-shaip-bucket?region=us-east-1&amp;prefix=bhasha/swar_new/29-08-2023/UP/Muzzaffarnagar/&amp;showversions=false</t>
  </si>
  <si>
    <t>https://s3.console.aws.amazon.com/s3/buckets/prod-shaip-bucket?region=us-east-1&amp;prefix=bhasha/swar_new/29-08-2023/UP/Varanasi/&amp;showversions=false</t>
  </si>
  <si>
    <t>https://s3.console.aws.amazon.com/s3/buckets/prod-shaip-bucket?region=us-east-1&amp;prefix=bhasha/swar_new/29-08-2023/WB/DakshinDinajpur/&amp;showversions=false</t>
  </si>
  <si>
    <t>https://s3.console.aws.amazon.com/s3/buckets/prod-shaip-bucket?region=us-east-1&amp;prefix=bhasha/swar_new/29-08-2023/WB/Jalpaiguri/&amp;showversions=false</t>
  </si>
  <si>
    <t>https://s3.console.aws.amazon.com/s3/buckets/prod-shaip-bucket?region=us-east-1&amp;prefix=bhasha/swar_new/29-08-2023/WB/Jhargram/&amp;showversions=false</t>
  </si>
  <si>
    <t>https://s3.console.aws.amazon.com/s3/buckets/prod-shaip-bucket?region=us-east-1&amp;prefix=bhasha/swar_new/29-08-2023/WB/Kolkata/&amp;showversions=false</t>
  </si>
  <si>
    <t>https://s3.console.aws.amazon.com/s3/buckets/prod-shaip-bucket?region=us-east-1&amp;prefix=bhasha/swar_new/29-08-2023/WB/Malda/&amp;showversions=false</t>
  </si>
  <si>
    <t>https://s3.console.aws.amazon.com/s3/buckets/prod-shaip-bucket?region=us-east-1&amp;prefix=bhasha/swar_new/29-08-2023/WB/North24Parganas/&amp;showversions=false</t>
  </si>
  <si>
    <t>https://s3.console.aws.amazon.com/s3/buckets/prod-shaip-bucket?region=us-east-1&amp;prefix=bhasha/swar_new/29-08-2023/WB/PaschimMedinipur/&amp;showversions=false</t>
  </si>
  <si>
    <t>https://s3.console.aws.amazon.com/s3/buckets/prod-shaip-bucket?region=us-east-1&amp;prefix=bhasha/swar_new/29-08-2023/WB/Purulia/&amp;showversions=false</t>
  </si>
  <si>
    <t>Batch6 - 14/09/2023</t>
  </si>
  <si>
    <t>https://s3.console.aws.amazon.com/s3/buckets/prod-shaip-bucket?region=us-east-1&amp;prefix=bhasha/swar_new/14-09-2023/AP/Anantpur/&amp;showversions=false</t>
  </si>
  <si>
    <t>https://s3.console.aws.amazon.com/s3/buckets/prod-shaip-bucket?region=us-east-1&amp;prefix=bhasha/swar_new/14-09-2023/AP/Chittoor/&amp;showversions=false</t>
  </si>
  <si>
    <t>https://s3.console.aws.amazon.com/s3/buckets/prod-shaip-bucket?region=us-east-1&amp;prefix=bhasha/swar_new/14-09-2023/AP/Guntur/&amp;showversions=false</t>
  </si>
  <si>
    <t>https://s3.console.aws.amazon.com/s3/buckets/prod-shaip-bucket?region=us-east-1&amp;prefix=bhasha/swar_new/14-09-2023/AP/Krishna/&amp;showversions=false</t>
  </si>
  <si>
    <t>https://s3.console.aws.amazon.com/s3/buckets/prod-shaip-bucket?region=us-east-1&amp;prefix=bhasha/swar_new/14-09-2023/AP/Srikakulam/&amp;showversions=false</t>
  </si>
  <si>
    <t>https://s3.console.aws.amazon.com/s3/buckets/prod-shaip-bucket?region=us-east-1&amp;prefix=bhasha/swar_new/14-09-2023/AP/Vishakapattanam/&amp;showversions=false</t>
  </si>
  <si>
    <t>https://s3.console.aws.amazon.com/s3/buckets/prod-shaip-bucket?region=us-east-1&amp;prefix=bhasha/swar_new/14-09-2023/BR/Araria/&amp;showversions=false</t>
  </si>
  <si>
    <t>https://s3.console.aws.amazon.com/s3/buckets/prod-shaip-bucket?region=us-east-1&amp;prefix=bhasha/swar_new/14-09-2023/BR/Begusarai/&amp;showversions=false</t>
  </si>
  <si>
    <t>https://s3.console.aws.amazon.com/s3/buckets/prod-shaip-bucket?region=us-east-1&amp;prefix=bhasha/swar_new/14-09-2023/BR/Bhagalpur/&amp;showversions=false</t>
  </si>
  <si>
    <t>https://s3.console.aws.amazon.com/s3/buckets/prod-shaip-bucket?region=us-east-1&amp;prefix=bhasha/swar_new/14-09-2023/BR/Darbhanga/&amp;showversions=false</t>
  </si>
  <si>
    <t>https://s3.console.aws.amazon.com/s3/buckets/prod-shaip-bucket?region=us-east-1&amp;prefix=bhasha/swar_new/14-09-2023/BR/EastChamparan/&amp;showversions=false</t>
  </si>
  <si>
    <t>https://s3.console.aws.amazon.com/s3/buckets/prod-shaip-bucket?region=us-east-1&amp;prefix=bhasha/swar_new/14-09-2023/BR/Gaya/&amp;showversions=false</t>
  </si>
  <si>
    <t>https://s3.console.aws.amazon.com/s3/buckets/prod-shaip-bucket?region=us-east-1&amp;prefix=bhasha/swar_new/14-09-2023/BR/Gopalganj/&amp;showversions=false</t>
  </si>
  <si>
    <t>https://s3.console.aws.amazon.com/s3/buckets/prod-shaip-bucket?region=us-east-1&amp;prefix=bhasha/swar_new/14-09-2023/BR/Jahanabad/&amp;showversions=false</t>
  </si>
  <si>
    <t>https://s3.console.aws.amazon.com/s3/buckets/prod-shaip-bucket?region=us-east-1&amp;prefix=bhasha/swar_new/14-09-2023/BR/Jamui/&amp;showversions=false</t>
  </si>
  <si>
    <t>https://s3.console.aws.amazon.com/s3/buckets/prod-shaip-bucket?region=us-east-1&amp;prefix=bhasha/swar_new/14-09-2023/BR/Kishanganj/&amp;showversions=false</t>
  </si>
  <si>
    <t>https://s3.console.aws.amazon.com/s3/buckets/prod-shaip-bucket?region=us-east-1&amp;prefix=bhasha/swar_new/14-09-2023/BR/Lakhisarai/&amp;showversions=false</t>
  </si>
  <si>
    <t>https://s3.console.aws.amazon.com/s3/buckets/prod-shaip-bucket?region=us-east-1&amp;prefix=bhasha/swar_new/14-09-2023/BR/Madhepura/&amp;showversions=false</t>
  </si>
  <si>
    <t>https://s3.console.aws.amazon.com/s3/buckets/prod-shaip-bucket?region=us-east-1&amp;prefix=bhasha/swar_new/14-09-2023/BR/Muzaffarpur/&amp;showversions=false</t>
  </si>
  <si>
    <t>https://s3.console.aws.amazon.com/s3/buckets/prod-shaip-bucket?region=us-east-1&amp;prefix=bhasha/swar_new/14-09-2023/BR/Purnia/&amp;showversions=false</t>
  </si>
  <si>
    <t>https://s3.console.aws.amazon.com/s3/buckets/prod-shaip-bucket?region=us-east-1&amp;prefix=bhasha/swar_new/14-09-2023/BR/Saharsa/&amp;showversions=false</t>
  </si>
  <si>
    <t>https://s3.console.aws.amazon.com/s3/buckets/prod-shaip-bucket?region=us-east-1&amp;prefix=bhasha/swar_new/14-09-2023/BR/Samastipur/&amp;showversions=false</t>
  </si>
  <si>
    <t>https://s3.console.aws.amazon.com/s3/buckets/prod-shaip-bucket?region=us-east-1&amp;prefix=bhasha/swar_new/14-09-2023/BR/Saran/&amp;showversions=false</t>
  </si>
  <si>
    <t>https://s3.console.aws.amazon.com/s3/buckets/prod-shaip-bucket?region=us-east-1&amp;prefix=bhasha/swar_new/14-09-2023/BR/Sitamarhi/&amp;showversions=false</t>
  </si>
  <si>
    <t>https://s3.console.aws.amazon.com/s3/buckets/prod-shaip-bucket?region=us-east-1&amp;prefix=bhasha/swar_new/14-09-2023/BR/Supaul/&amp;showversions=false</t>
  </si>
  <si>
    <t>https://s3.console.aws.amazon.com/s3/buckets/prod-shaip-bucket?region=us-east-1&amp;prefix=bhasha/swar_new/14-09-2023/BR/Vaishali/&amp;showversions=false</t>
  </si>
  <si>
    <t>https://s3.console.aws.amazon.com/s3/buckets/prod-shaip-bucket?region=us-east-1&amp;prefix=bhasha/swar_new/14-09-2023/CG/Balrampur/&amp;showversions=false</t>
  </si>
  <si>
    <t>https://s3.console.aws.amazon.com/s3/buckets/prod-shaip-bucket?region=us-east-1&amp;prefix=bhasha/swar_new/14-09-2023/CG/Bastar/&amp;showversions=false</t>
  </si>
  <si>
    <t>https://s3.console.aws.amazon.com/s3/buckets/prod-shaip-bucket?region=us-east-1&amp;prefix=bhasha/swar_new/14-09-2023/CG/Bilaspur/&amp;showversions=false</t>
  </si>
  <si>
    <t>https://s3.console.aws.amazon.com/s3/buckets/prod-shaip-bucket?region=us-east-1&amp;prefix=bhasha/swar_new/14-09-2023/CG/Jashpur/&amp;showversions=false</t>
  </si>
  <si>
    <t>https://s3.console.aws.amazon.com/s3/buckets/prod-shaip-bucket?region=us-east-1&amp;prefix=bhasha/swar_new/14-09-2023/CG/Kabirdham/&amp;showversions=false</t>
  </si>
  <si>
    <t>https://s3.console.aws.amazon.com/s3/buckets/prod-shaip-bucket?region=us-east-1&amp;prefix=bhasha/swar_new/14-09-2023/CG/Korba/&amp;showversions=false</t>
  </si>
  <si>
    <t>https://s3.console.aws.amazon.com/s3/buckets/prod-shaip-bucket?region=us-east-1&amp;prefix=bhasha/swar_new/14-09-2023/CG/Raigarh/&amp;showversions=false</t>
  </si>
  <si>
    <t>https://s3.console.aws.amazon.com/s3/buckets/prod-shaip-bucket?region=us-east-1&amp;prefix=bhasha/swar_new/14-09-2023/CG/Rajnandgaon/&amp;showversions=false</t>
  </si>
  <si>
    <t>https://s3.console.aws.amazon.com/s3/buckets/prod-shaip-bucket?region=us-east-1&amp;prefix=bhasha/swar_new/14-09-2023/CG/Sarguja/&amp;showversions=false</t>
  </si>
  <si>
    <t>https://s3.console.aws.amazon.com/s3/buckets/prod-shaip-bucket?region=us-east-1&amp;prefix=bhasha/swar_new/14-09-2023/CG/Sukma/&amp;showversions=false</t>
  </si>
  <si>
    <t>https://s3.console.aws.amazon.com/s3/buckets/prod-shaip-bucket?region=us-east-1&amp;prefix=bhasha/swar_new/14-09-2023/GA/NorthSouthGoa/&amp;showversions=false</t>
  </si>
  <si>
    <t>https://s3.console.aws.amazon.com/s3/buckets/prod-shaip-bucket?region=us-east-1&amp;prefix=bhasha/swar_new/14-09-2023/JH/Jamtara/&amp;showversions=false</t>
  </si>
  <si>
    <t>https://s3.console.aws.amazon.com/s3/buckets/prod-shaip-bucket?region=us-east-1&amp;prefix=bhasha/swar_new/14-09-2023/JH/Sahebganj/&amp;showversions=false</t>
  </si>
  <si>
    <t>https://s3.console.aws.amazon.com/s3/buckets/prod-shaip-bucket?region=us-east-1&amp;prefix=bhasha/swar_new/14-09-2023/KA/Belgaum/&amp;showversions=false</t>
  </si>
  <si>
    <t>https://s3.console.aws.amazon.com/s3/buckets/prod-shaip-bucket?region=us-east-1&amp;prefix=bhasha/swar_new/14-09-2023/KA/Bellary/&amp;showversions=false</t>
  </si>
  <si>
    <t>https://s3.console.aws.amazon.com/s3/buckets/prod-shaip-bucket?region=us-east-1&amp;prefix=bhasha/swar_new/14-09-2023/KA/Bijapur/&amp;showversions=false</t>
  </si>
  <si>
    <t>https://s3.console.aws.amazon.com/s3/buckets/prod-shaip-bucket?region=us-east-1&amp;prefix=bhasha/swar_new/14-09-2023/KA/Chamrajnagar/&amp;showversions=false</t>
  </si>
  <si>
    <t>https://s3.console.aws.amazon.com/s3/buckets/prod-shaip-bucket?region=us-east-1&amp;prefix=bhasha/swar_new/14-09-2023/KA/DakshinKannada/&amp;showversions=false</t>
  </si>
  <si>
    <t>https://s3.console.aws.amazon.com/s3/buckets/prod-shaip-bucket?region=us-east-1&amp;prefix=bhasha/swar_new/14-09-2023/KA/Dharwad/&amp;showversions=false</t>
  </si>
  <si>
    <t>https://s3.console.aws.amazon.com/s3/buckets/prod-shaip-bucket?region=us-east-1&amp;prefix=bhasha/swar_new/14-09-2023/KA/Gulbarga/&amp;showversions=false</t>
  </si>
  <si>
    <t>https://s3.console.aws.amazon.com/s3/buckets/prod-shaip-bucket?region=us-east-1&amp;prefix=bhasha/swar_new/14-09-2023/KA/Mysore/&amp;showversions=false</t>
  </si>
  <si>
    <t>https://s3.console.aws.amazon.com/s3/buckets/prod-shaip-bucket?region=us-east-1&amp;prefix=bhasha/swar_new/14-09-2023/KA/Raichur/&amp;showversions=false</t>
  </si>
  <si>
    <t>https://s3.console.aws.amazon.com/s3/buckets/prod-shaip-bucket?region=us-east-1&amp;prefix=bhasha/swar_new/14-09-2023/KA/Shimoga/&amp;showversions=false</t>
  </si>
  <si>
    <t>https://s3.console.aws.amazon.com/s3/buckets/prod-shaip-bucket?region=us-east-1&amp;prefix=bhasha/swar_new/14-09-2023/MH/Aurangabad/&amp;showversions=false</t>
  </si>
  <si>
    <t>https://s3.console.aws.amazon.com/s3/buckets/prod-shaip-bucket?region=us-east-1&amp;prefix=bhasha/swar_new/14-09-2023/MH/Chandrapur/&amp;showversions=false</t>
  </si>
  <si>
    <t>https://s3.console.aws.amazon.com/s3/buckets/prod-shaip-bucket?region=us-east-1&amp;prefix=bhasha/swar_new/14-09-2023/MH/Dhule/&amp;showversions=false</t>
  </si>
  <si>
    <t>https://s3.console.aws.amazon.com/s3/buckets/prod-shaip-bucket?region=us-east-1&amp;prefix=bhasha/swar_new/14-09-2023/MH/Nagpur/&amp;showversions=false</t>
  </si>
  <si>
    <t>https://s3.console.aws.amazon.com/s3/buckets/prod-shaip-bucket?region=us-east-1&amp;prefix=bhasha/swar_new/14-09-2023/MH/Pune/&amp;showversions=false</t>
  </si>
  <si>
    <t>https://s3.console.aws.amazon.com/s3/buckets/prod-shaip-bucket?region=us-east-1&amp;prefix=bhasha/swar_new/14-09-2023/MH/Sindhudurga/&amp;showversions=false</t>
  </si>
  <si>
    <t>https://s3.console.aws.amazon.com/s3/buckets/prod-shaip-bucket?region=us-east-1&amp;prefix=bhasha/swar_new/14-09-2023/MH/Solapur/&amp;showversions=false</t>
  </si>
  <si>
    <t>https://s3.console.aws.amazon.com/s3/buckets/prod-shaip-bucket?region=us-east-1&amp;prefix=bhasha/swar_new/14-09-2023/RJ/Churu/&amp;showversions=false</t>
  </si>
  <si>
    <t>https://s3.console.aws.amazon.com/s3/buckets/prod-shaip-bucket?region=us-east-1&amp;prefix=bhasha/swar_new/14-09-2023/RJ/Nagaur/&amp;showversions=false</t>
  </si>
  <si>
    <t>https://s3.console.aws.amazon.com/s3/buckets/prod-shaip-bucket?region=us-east-1&amp;prefix=bhasha/swar_new/14-09-2023/TS/Karimnagar/&amp;showversions=false</t>
  </si>
  <si>
    <t>https://s3.console.aws.amazon.com/s3/buckets/prod-shaip-bucket?region=us-east-1&amp;prefix=bhasha/swar_new/14-09-2023/TS/Nalgonda/&amp;showversions=false</t>
  </si>
  <si>
    <t>https://s3.console.aws.amazon.com/s3/buckets/prod-shaip-bucket?region=us-east-1&amp;prefix=bhasha/swar_new/14-09-2023/UK/TehriGarhwal/&amp;showversions=false</t>
  </si>
  <si>
    <t>https://s3.console.aws.amazon.com/s3/buckets/prod-shaip-bucket?region=us-east-1&amp;prefix=bhasha/swar_new/14-09-2023/UK/Uttarkashi/&amp;showversions=false</t>
  </si>
  <si>
    <t>https://s3.console.aws.amazon.com/s3/buckets/prod-shaip-bucket?region=us-east-1&amp;prefix=bhasha/swar_new/14-09-2023/UP/Budaun/&amp;showversions=false</t>
  </si>
  <si>
    <t>https://s3.console.aws.amazon.com/s3/buckets/prod-shaip-bucket?region=us-east-1&amp;prefix=bhasha/swar_new/14-09-2023/UP/Deoria/&amp;showversions=false</t>
  </si>
  <si>
    <t>https://s3.console.aws.amazon.com/s3/buckets/prod-shaip-bucket?region=us-east-1&amp;prefix=bhasha/swar_new/14-09-2023/UP/Etah/&amp;showversions=false</t>
  </si>
  <si>
    <t>https://s3.console.aws.amazon.com/s3/buckets/prod-shaip-bucket?region=us-east-1&amp;prefix=bhasha/swar_new/14-09-2023/UP/Ghazipur/&amp;showversions=false</t>
  </si>
  <si>
    <t>https://s3.console.aws.amazon.com/s3/buckets/prod-shaip-bucket?region=us-east-1&amp;prefix=bhasha/swar_new/14-09-2023/UP/Gorakhpur/&amp;showversions=false</t>
  </si>
  <si>
    <t>https://s3.console.aws.amazon.com/s3/buckets/prod-shaip-bucket?region=us-east-1&amp;prefix=bhasha/swar_new/14-09-2023/UP/Hamirpur/&amp;showversions=false</t>
  </si>
  <si>
    <t>https://s3.console.aws.amazon.com/s3/buckets/prod-shaip-bucket?region=us-east-1&amp;prefix=bhasha/swar_new/14-09-2023/UP/Jalaun/&amp;showversions=false</t>
  </si>
  <si>
    <t>https://s3.console.aws.amazon.com/s3/buckets/prod-shaip-bucket?region=us-east-1&amp;prefix=bhasha/swar_new/14-09-2023/UP/JyotibaPhuleNagar/&amp;showversions=false</t>
  </si>
  <si>
    <t>https://s3.console.aws.amazon.com/s3/buckets/prod-shaip-bucket?region=us-east-1&amp;prefix=bhasha/swar_new/14-09-2023/UP/Muzzaffarnagar/&amp;showversions=false</t>
  </si>
  <si>
    <t>https://s3.console.aws.amazon.com/s3/buckets/prod-shaip-bucket?region=us-east-1&amp;prefix=bhasha/swar_new/14-09-2023/UP/Varanasi/&amp;showversions=false</t>
  </si>
  <si>
    <t>https://s3.console.aws.amazon.com/s3/buckets/prod-shaip-bucket?region=us-east-1&amp;prefix=bhasha/swar_new/14-09-2023/WB/DakshinDinajpur/&amp;showversions=false</t>
  </si>
  <si>
    <t>https://s3.console.aws.amazon.com/s3/buckets/prod-shaip-bucket?region=us-east-1&amp;prefix=bhasha/swar_new/14-09-2023/WB/Jalpaiguri/&amp;showversions=false</t>
  </si>
  <si>
    <t>https://s3.console.aws.amazon.com/s3/buckets/prod-shaip-bucket?region=us-east-1&amp;prefix=bhasha/swar_new/14-09-2023/WB/Jhargram/&amp;showversions=false</t>
  </si>
  <si>
    <t>https://s3.console.aws.amazon.com/s3/buckets/prod-shaip-bucket?region=us-east-1&amp;prefix=bhasha/swar_new/14-09-2023/WB/Kolkata/&amp;showversions=false</t>
  </si>
  <si>
    <t>https://s3.console.aws.amazon.com/s3/buckets/prod-shaip-bucket?region=us-east-1&amp;prefix=bhasha/swar_new/14-09-2023/WB/Malda/&amp;showversions=false</t>
  </si>
  <si>
    <t>https://s3.console.aws.amazon.com/s3/buckets/prod-shaip-bucket?region=us-east-1&amp;prefix=bhasha/swar_new/14-09-2023/WB/North24Parganas/&amp;showversions=false</t>
  </si>
  <si>
    <t>https://s3.console.aws.amazon.com/s3/buckets/prod-shaip-bucket?region=us-east-1&amp;prefix=bhasha/swar_new/14-09-2023/WB/PaschimMedinipur/&amp;showversions=false</t>
  </si>
  <si>
    <t>https://s3.console.aws.amazon.com/s3/buckets/prod-shaip-bucket?region=us-east-1&amp;prefix=bhasha/swar_new/14-09-2023/WB/Purulia/&amp;showversions=false</t>
  </si>
  <si>
    <t>redelivery-19-09-2023</t>
  </si>
  <si>
    <t>https://s3.console.aws.amazon.com/s3/buckets/prod-shaip-bucket?region=us-east-1&amp;prefix=bhasha/swar_new/redelivery-19-09-2023/AP/Anantpur/&amp;showversions=false</t>
  </si>
  <si>
    <t>https://s3.console.aws.amazon.com/s3/buckets/prod-shaip-bucket?region=us-east-1&amp;prefix=bhasha/swar_new/redelivery-19-09-2023/AP/Chittoor/&amp;showversions=false</t>
  </si>
  <si>
    <t>https://s3.console.aws.amazon.com/s3/buckets/prod-shaip-bucket?region=us-east-1&amp;prefix=bhasha/swar_new/redelivery-19-09-2023/AP/Guntur/&amp;showversions=false</t>
  </si>
  <si>
    <t>https://s3.console.aws.amazon.com/s3/buckets/prod-shaip-bucket?region=us-east-1&amp;prefix=bhasha/swar_new/redelivery-19-09-2023/AP/Krishna/&amp;showversions=false</t>
  </si>
  <si>
    <t>https://s3.console.aws.amazon.com/s3/buckets/prod-shaip-bucket?region=us-east-1&amp;prefix=bhasha/swar_new/redelivery-19-09-2023/AP/Srikakulam/&amp;showversions=false</t>
  </si>
  <si>
    <t>https://s3.console.aws.amazon.com/s3/buckets/prod-shaip-bucket?region=us-east-1&amp;prefix=bhasha/swar_new/redelivery-19-09-2023/AP/Vishakapattanam/&amp;showversions=false</t>
  </si>
  <si>
    <t>https://s3.console.aws.amazon.com/s3/buckets/prod-shaip-bucket?region=us-east-1&amp;prefix=bhasha/swar_new/redelivery-19-09-2023/BR/Araria/&amp;showversions=false</t>
  </si>
  <si>
    <t>https://s3.console.aws.amazon.com/s3/buckets/prod-shaip-bucket?region=us-east-1&amp;prefix=bhasha/swar_new/redelivery-19-09-2023/BR/Begusarai/&amp;showversions=false</t>
  </si>
  <si>
    <t>https://s3.console.aws.amazon.com/s3/buckets/prod-shaip-bucket?region=us-east-1&amp;prefix=bhasha/swar_new/redelivery-19-09-2023/BR/Bhagalpur/&amp;showversions=false</t>
  </si>
  <si>
    <t>https://s3.console.aws.amazon.com/s3/buckets/prod-shaip-bucket?region=us-east-1&amp;prefix=bhasha/swar_new/redelivery-19-09-2023/BR/Darbhanga/&amp;showversions=false</t>
  </si>
  <si>
    <t>https://s3.console.aws.amazon.com/s3/buckets/prod-shaip-bucket?region=us-east-1&amp;prefix=bhasha/swar_new/redelivery-19-09-2023/BR/EastChamparan/&amp;showversions=false</t>
  </si>
  <si>
    <t>https://s3.console.aws.amazon.com/s3/buckets/prod-shaip-bucket?region=us-east-1&amp;prefix=bhasha/swar_new/redelivery-19-09-2023/BR/Gaya/&amp;showversions=false</t>
  </si>
  <si>
    <t>https://s3.console.aws.amazon.com/s3/buckets/prod-shaip-bucket?region=us-east-1&amp;prefix=bhasha/swar_new/redelivery-19-09-2023/BR/Gopalganj/&amp;showversions=false</t>
  </si>
  <si>
    <t>https://s3.console.aws.amazon.com/s3/buckets/prod-shaip-bucket?region=us-east-1&amp;prefix=bhasha/swar_new/redelivery-19-09-2023/BR/Jahanabad/&amp;showversions=false</t>
  </si>
  <si>
    <t>https://s3.console.aws.amazon.com/s3/buckets/prod-shaip-bucket?region=us-east-1&amp;prefix=bhasha/swar_new/redelivery-19-09-2023/BR/Jamui/&amp;showversions=false</t>
  </si>
  <si>
    <t>https://s3.console.aws.amazon.com/s3/buckets/prod-shaip-bucket?region=us-east-1&amp;prefix=bhasha/swar_new/redelivery-19-09-2023/BR/Kishanganj/&amp;showversions=false</t>
  </si>
  <si>
    <t>https://s3.console.aws.amazon.com/s3/buckets/prod-shaip-bucket?region=us-east-1&amp;prefix=bhasha/swar_new/redelivery-19-09-2023/BR/Lakhisarai/&amp;showversions=false</t>
  </si>
  <si>
    <t>https://s3.console.aws.amazon.com/s3/buckets/prod-shaip-bucket?region=us-east-1&amp;prefix=bhasha/swar_new/redelivery-19-09-2023/BR/Madhepura/&amp;showversions=false</t>
  </si>
  <si>
    <t>https://s3.console.aws.amazon.com/s3/buckets/prod-shaip-bucket?region=us-east-1&amp;prefix=bhasha/swar_new/redelivery-19-09-2023/BR/Muzaffarpur/&amp;showversions=false</t>
  </si>
  <si>
    <t>https://s3.console.aws.amazon.com/s3/buckets/prod-shaip-bucket?region=us-east-1&amp;prefix=bhasha/swar_new/redelivery-19-09-2023/BR/Purnia/&amp;showversions=false</t>
  </si>
  <si>
    <t>https://s3.console.aws.amazon.com/s3/buckets/prod-shaip-bucket?region=us-east-1&amp;prefix=bhasha/swar_new/redelivery-19-09-2023/BR/Saharsa/&amp;showversions=false</t>
  </si>
  <si>
    <t>https://s3.console.aws.amazon.com/s3/buckets/prod-shaip-bucket?region=us-east-1&amp;prefix=bhasha/swar_new/redelivery-19-09-2023/BR/Samastipur/&amp;showversions=false</t>
  </si>
  <si>
    <t>https://s3.console.aws.amazon.com/s3/buckets/prod-shaip-bucket?region=us-east-1&amp;prefix=bhasha/swar_new/redelivery-19-09-2023/BR/Saran/&amp;showversions=false</t>
  </si>
  <si>
    <t>https://s3.console.aws.amazon.com/s3/buckets/prod-shaip-bucket?region=us-east-1&amp;prefix=bhasha/swar_new/redelivery-19-09-2023/BR/Sitamarhi/&amp;showversions=false</t>
  </si>
  <si>
    <t>https://s3.console.aws.amazon.com/s3/buckets/prod-shaip-bucket?region=us-east-1&amp;prefix=bhasha/swar_new/redelivery-19-09-2023/BR/Supaul/&amp;showversions=false</t>
  </si>
  <si>
    <t>https://s3.console.aws.amazon.com/s3/buckets/prod-shaip-bucket?region=us-east-1&amp;prefix=bhasha/swar_new/redelivery-19-09-2023/BR/Vaishali/&amp;showversions=false</t>
  </si>
  <si>
    <t>https://s3.console.aws.amazon.com/s3/buckets/prod-shaip-bucket?region=us-east-1&amp;prefix=bhasha/swar_new/redelivery-19-09-2023/CG/Balrampur/&amp;showversions=false</t>
  </si>
  <si>
    <t>https://s3.console.aws.amazon.com/s3/buckets/prod-shaip-bucket?region=us-east-1&amp;prefix=bhasha/swar_new/redelivery-19-09-2023/CG/Bastar/&amp;showversions=false</t>
  </si>
  <si>
    <t>https://s3.console.aws.amazon.com/s3/buckets/prod-shaip-bucket?region=us-east-1&amp;prefix=bhasha/swar_new/redelivery-19-09-2023/CG/Bilaspur/&amp;showversions=false</t>
  </si>
  <si>
    <t>https://s3.console.aws.amazon.com/s3/buckets/prod-shaip-bucket?region=us-east-1&amp;prefix=bhasha/swar_new/redelivery-19-09-2023/CG/Jashpur/&amp;showversions=false</t>
  </si>
  <si>
    <t>https://s3.console.aws.amazon.com/s3/buckets/prod-shaip-bucket?region=us-east-1&amp;prefix=bhasha/swar_new/redelivery-19-09-2023/CG/Kabirdham/&amp;showversions=false</t>
  </si>
  <si>
    <t>https://s3.console.aws.amazon.com/s3/buckets/prod-shaip-bucket?region=us-east-1&amp;prefix=bhasha/swar_new/redelivery-19-09-2023/CG/Korba/&amp;showversions=false</t>
  </si>
  <si>
    <t>https://s3.console.aws.amazon.com/s3/buckets/prod-shaip-bucket?region=us-east-1&amp;prefix=bhasha/swar_new/redelivery-19-09-2023/CG/Raigarh/&amp;showversions=false</t>
  </si>
  <si>
    <t>https://s3.console.aws.amazon.com/s3/buckets/prod-shaip-bucket?region=us-east-1&amp;prefix=bhasha/swar_new/redelivery-19-09-2023/CG/Rajnandgaon/&amp;showversions=false</t>
  </si>
  <si>
    <t>https://s3.console.aws.amazon.com/s3/buckets/prod-shaip-bucket?region=us-east-1&amp;prefix=bhasha/swar_new/redelivery-19-09-2023/CG/Sarguja/&amp;showversions=false</t>
  </si>
  <si>
    <t>https://s3.console.aws.amazon.com/s3/buckets/prod-shaip-bucket?region=us-east-1&amp;prefix=bhasha/swar_new/redelivery-19-09-2023/CG/Sukma/&amp;showversions=false</t>
  </si>
  <si>
    <t>https://s3.console.aws.amazon.com/s3/buckets/prod-shaip-bucket?region=us-east-1&amp;prefix=bhasha/swar_new/redelivery-19-09-2023/GA/NorthSouthGoa/&amp;showversions=false</t>
  </si>
  <si>
    <t>https://s3.console.aws.amazon.com/s3/buckets/prod-shaip-bucket?region=us-east-1&amp;prefix=bhasha/swar_new/redelivery-19-09-2023/JH/Jamtara/&amp;showversions=false</t>
  </si>
  <si>
    <t>https://s3.console.aws.amazon.com/s3/buckets/prod-shaip-bucket?region=us-east-1&amp;prefix=bhasha/swar_new/redelivery-19-09-2023/JH/Sahebganj/&amp;showversions=false</t>
  </si>
  <si>
    <t>https://s3.console.aws.amazon.com/s3/buckets/prod-shaip-bucket?region=us-east-1&amp;prefix=bhasha/swar_new/redelivery-19-09-2023/KA/Belgaum/&amp;showversions=false</t>
  </si>
  <si>
    <t>https://s3.console.aws.amazon.com/s3/buckets/prod-shaip-bucket?region=us-east-1&amp;prefix=bhasha/swar_new/redelivery-19-09-2023/KA/Bellary/&amp;showversions=false</t>
  </si>
  <si>
    <t>https://s3.console.aws.amazon.com/s3/buckets/prod-shaip-bucket?region=us-east-1&amp;prefix=bhasha/swar_new/redelivery-19-09-2023/KA/Bijapur/&amp;showversions=false</t>
  </si>
  <si>
    <t>https://s3.console.aws.amazon.com/s3/buckets/prod-shaip-bucket?region=us-east-1&amp;prefix=bhasha/swar_new/redelivery-19-09-2023/KA/Chamrajnagar/&amp;showversions=false</t>
  </si>
  <si>
    <t>https://s3.console.aws.amazon.com/s3/buckets/prod-shaip-bucket?region=us-east-1&amp;prefix=bhasha/swar_new/redelivery-19-09-2023/KA/DakshinKannada/&amp;showversions=false</t>
  </si>
  <si>
    <t>https://s3.console.aws.amazon.com/s3/buckets/prod-shaip-bucket?region=us-east-1&amp;prefix=bhasha/swar_new/redelivery-19-09-2023/KA/Dharwad/&amp;showversions=false</t>
  </si>
  <si>
    <t>https://s3.console.aws.amazon.com/s3/buckets/prod-shaip-bucket?region=us-east-1&amp;prefix=bhasha/swar_new/redelivery-19-09-2023/KA/Gulbarga/&amp;showversions=false</t>
  </si>
  <si>
    <t>https://s3.console.aws.amazon.com/s3/buckets/prod-shaip-bucket?region=us-east-1&amp;prefix=bhasha/swar_new/redelivery-19-09-2023/KA/Mysore/&amp;showversions=false</t>
  </si>
  <si>
    <t>https://s3.console.aws.amazon.com/s3/buckets/prod-shaip-bucket?region=us-east-1&amp;prefix=bhasha/swar_new/redelivery-19-09-2023/KA/Raichur/&amp;showversions=false</t>
  </si>
  <si>
    <t>https://s3.console.aws.amazon.com/s3/buckets/prod-shaip-bucket?region=us-east-1&amp;prefix=bhasha/swar_new/redelivery-19-09-2023/KA/Shimoga/&amp;showversions=false</t>
  </si>
  <si>
    <t>https://s3.console.aws.amazon.com/s3/buckets/prod-shaip-bucket?region=us-east-1&amp;prefix=bhasha/swar_new/redelivery-19-09-2023/MH/Aurangabad/&amp;showversions=false</t>
  </si>
  <si>
    <t>https://s3.console.aws.amazon.com/s3/buckets/prod-shaip-bucket?region=us-east-1&amp;prefix=bhasha/swar_new/redelivery-19-09-2023/MH/Chandrapur/&amp;showversions=false</t>
  </si>
  <si>
    <t>https://s3.console.aws.amazon.com/s3/buckets/prod-shaip-bucket?region=us-east-1&amp;prefix=bhasha/swar_new/redelivery-19-09-2023/MH/Dhule/&amp;showversions=false</t>
  </si>
  <si>
    <t>https://s3.console.aws.amazon.com/s3/buckets/prod-shaip-bucket?region=us-east-1&amp;prefix=bhasha/swar_new/redelivery-19-09-2023/MH/Nagpur/&amp;showversions=false</t>
  </si>
  <si>
    <t>https://s3.console.aws.amazon.com/s3/buckets/prod-shaip-bucket?region=us-east-1&amp;prefix=bhasha/swar_new/redelivery-19-09-2023/MH/Pune/&amp;showversions=false</t>
  </si>
  <si>
    <t>https://s3.console.aws.amazon.com/s3/buckets/prod-shaip-bucket?region=us-east-1&amp;prefix=bhasha/swar_new/redelivery-19-09-2023/MH/Sindhudurga/&amp;showversions=false</t>
  </si>
  <si>
    <t>https://s3.console.aws.amazon.com/s3/buckets/prod-shaip-bucket?region=us-east-1&amp;prefix=bhasha/swar_new/redelivery-19-09-2023/MH/Solapur/&amp;showversions=false</t>
  </si>
  <si>
    <t>https://s3.console.aws.amazon.com/s3/buckets/prod-shaip-bucket?region=us-east-1&amp;prefix=bhasha/swar_new/redelivery-19-09-2023/RJ/Churu/&amp;showversions=false</t>
  </si>
  <si>
    <t>https://s3.console.aws.amazon.com/s3/buckets/prod-shaip-bucket?region=us-east-1&amp;prefix=bhasha/swar_new/redelivery-19-09-2023/RJ/Nagaur/&amp;showversions=false</t>
  </si>
  <si>
    <t>https://s3.console.aws.amazon.com/s3/buckets/prod-shaip-bucket?region=us-east-1&amp;prefix=bhasha/swar_new/redelivery-19-09-2023/TS/Karimnagar/&amp;showversions=false</t>
  </si>
  <si>
    <t>https://s3.console.aws.amazon.com/s3/buckets/prod-shaip-bucket?region=us-east-1&amp;prefix=bhasha/swar_new/redelivery-19-09-2023/TS/Nalgonda/&amp;showversions=false</t>
  </si>
  <si>
    <t>https://s3.console.aws.amazon.com/s3/buckets/prod-shaip-bucket?region=us-east-1&amp;prefix=bhasha/swar_new/redelivery-19-09-2023/UK/TehriGarhwal/&amp;showversions=false</t>
  </si>
  <si>
    <t>https://s3.console.aws.amazon.com/s3/buckets/prod-shaip-bucket?region=us-east-1&amp;prefix=bhasha/swar_new/redelivery-19-09-2023/UK/Uttarkashi/&amp;showversions=false</t>
  </si>
  <si>
    <t>https://s3.console.aws.amazon.com/s3/buckets/prod-shaip-bucket?region=us-east-1&amp;prefix=bhasha/swar_new/redelivery-19-09-2023/UP/Budaun/&amp;showversions=false</t>
  </si>
  <si>
    <t>https://s3.console.aws.amazon.com/s3/buckets/prod-shaip-bucket?region=us-east-1&amp;prefix=bhasha/swar_new/redelivery-19-09-2023/UP/Deoria/&amp;showversions=false</t>
  </si>
  <si>
    <t>https://s3.console.aws.amazon.com/s3/buckets/prod-shaip-bucket?region=us-east-1&amp;prefix=bhasha/swar_new/redelivery-19-09-2023/UP/Etah/&amp;showversions=false</t>
  </si>
  <si>
    <t>https://s3.console.aws.amazon.com/s3/buckets/prod-shaip-bucket?region=us-east-1&amp;prefix=bhasha/swar_new/redelivery-19-09-2023/UP/Ghazipur/&amp;showversions=false</t>
  </si>
  <si>
    <t>https://s3.console.aws.amazon.com/s3/buckets/prod-shaip-bucket?region=us-east-1&amp;prefix=bhasha/swar_new/redelivery-19-09-2023/UP/Gorakhpur/&amp;showversions=false</t>
  </si>
  <si>
    <t>https://s3.console.aws.amazon.com/s3/buckets/prod-shaip-bucket?region=us-east-1&amp;prefix=bhasha/swar_new/redelivery-19-09-2023/UP/Hamirpur/&amp;showversions=false</t>
  </si>
  <si>
    <t>https://s3.console.aws.amazon.com/s3/buckets/prod-shaip-bucket?region=us-east-1&amp;prefix=bhasha/swar_new/redelivery-19-09-2023/UP/Jalaun/&amp;showversions=false</t>
  </si>
  <si>
    <t>https://s3.console.aws.amazon.com/s3/buckets/prod-shaip-bucket?region=us-east-1&amp;prefix=bhasha/swar_new/redelivery-19-09-2023/UP/JyotibaPhuleNagar/&amp;showversions=false</t>
  </si>
  <si>
    <t>https://s3.console.aws.amazon.com/s3/buckets/prod-shaip-bucket?region=us-east-1&amp;prefix=bhasha/swar_new/redelivery-19-09-2023/UP/Muzzaffarnagar/&amp;showversions=false</t>
  </si>
  <si>
    <t>https://s3.console.aws.amazon.com/s3/buckets/prod-shaip-bucket?region=us-east-1&amp;prefix=bhasha/swar_new/redelivery-19-09-2023/UP/Varanasi/&amp;showversions=false</t>
  </si>
  <si>
    <t>https://s3.console.aws.amazon.com/s3/buckets/prod-shaip-bucket?region=us-east-1&amp;prefix=bhasha/swar_new/redelivery-19-09-2023/WB/DakshinDinajpur/&amp;showversions=false</t>
  </si>
  <si>
    <t>https://s3.console.aws.amazon.com/s3/buckets/prod-shaip-bucket?region=us-east-1&amp;prefix=bhasha/swar_new/redelivery-19-09-2023/WB/Jalpaiguri/&amp;showversions=false</t>
  </si>
  <si>
    <t>https://s3.console.aws.amazon.com/s3/buckets/prod-shaip-bucket?region=us-east-1&amp;prefix=bhasha/swar_new/redelivery-19-09-2023/WB/Jhargram/&amp;showversions=false</t>
  </si>
  <si>
    <t>https://s3.console.aws.amazon.com/s3/buckets/prod-shaip-bucket?region=us-east-1&amp;prefix=bhasha/swar_new/redelivery-19-09-2023/WB/Kolkata/&amp;showversions=false</t>
  </si>
  <si>
    <t>https://s3.console.aws.amazon.com/s3/buckets/prod-shaip-bucket?region=us-east-1&amp;prefix=bhasha/swar_new/redelivery-19-09-2023/WB/Malda/&amp;showversions=false</t>
  </si>
  <si>
    <t>https://s3.console.aws.amazon.com/s3/buckets/prod-shaip-bucket?region=us-east-1&amp;prefix=bhasha/swar_new/redelivery-19-09-2023/WB/North24Parganas/&amp;showversions=false</t>
  </si>
  <si>
    <t>https://s3.console.aws.amazon.com/s3/buckets/prod-shaip-bucket?region=us-east-1&amp;prefix=bhasha/swar_new/redelivery-19-09-2023/WB/PaschimMedinipur/&amp;showversions=false</t>
  </si>
  <si>
    <t>https://s3.console.aws.amazon.com/s3/buckets/prod-shaip-bucket?region=us-east-1&amp;prefix=bhasha/swar_new/redelivery-19-09-2023/WB/Purulia/&amp;showversions=false</t>
  </si>
  <si>
    <t>Batch7 - 09/10/2023</t>
  </si>
  <si>
    <t>https://s3.console.aws.amazon.com/s3/buckets/prod-shaip-bucket?region=us-east-1&amp;prefix=bhasha/swar_new/09-10-2023/AP/Anantpur/&amp;showversions=false</t>
  </si>
  <si>
    <t>https://s3.console.aws.amazon.com/s3/buckets/prod-shaip-bucket?region=us-east-1&amp;prefix=bhasha/swar_new/09-10-2023/AP/Chittoor/&amp;showversions=false</t>
  </si>
  <si>
    <t>https://s3.console.aws.amazon.com/s3/buckets/prod-shaip-bucket?region=us-east-1&amp;prefix=bhasha/swar_new/09-10-2023/AP/Guntur/&amp;showversions=false</t>
  </si>
  <si>
    <t>https://s3.console.aws.amazon.com/s3/buckets/prod-shaip-bucket?region=us-east-1&amp;prefix=bhasha/swar_new/09-10-2023/AP/Krishna/&amp;showversions=false</t>
  </si>
  <si>
    <t>https://s3.console.aws.amazon.com/s3/buckets/prod-shaip-bucket?region=us-east-1&amp;prefix=bhasha/swar_new/09-10-2023/AP/Srikakulam/&amp;showversions=false</t>
  </si>
  <si>
    <t>https://s3.console.aws.amazon.com/s3/buckets/prod-shaip-bucket?region=us-east-1&amp;prefix=bhasha/swar_new/09-10-2023/AP/Vishakapattanam/&amp;showversions=false</t>
  </si>
  <si>
    <t>https://s3.console.aws.amazon.com/s3/buckets/prod-shaip-bucket?region=us-east-1&amp;prefix=bhasha/swar_new/09-10-2023/BR/Araria/&amp;showversions=false</t>
  </si>
  <si>
    <t>https://s3.console.aws.amazon.com/s3/buckets/prod-shaip-bucket?region=us-east-1&amp;prefix=bhasha/swar_new/09-10-2023/BR/Begusarai/&amp;showversions=false</t>
  </si>
  <si>
    <t>https://s3.console.aws.amazon.com/s3/buckets/prod-shaip-bucket?region=us-east-1&amp;prefix=bhasha/swar_new/09-10-2023/BR/Bhagalpur/&amp;showversions=false</t>
  </si>
  <si>
    <t>https://s3.console.aws.amazon.com/s3/buckets/prod-shaip-bucket?region=us-east-1&amp;prefix=bhasha/swar_new/09-10-2023/BR/Darbhanga/&amp;showversions=false</t>
  </si>
  <si>
    <t>https://s3.console.aws.amazon.com/s3/buckets/prod-shaip-bucket?region=us-east-1&amp;prefix=bhasha/swar_new/09-10-2023/BR/EastChamparan/&amp;showversions=false</t>
  </si>
  <si>
    <t>https://s3.console.aws.amazon.com/s3/buckets/prod-shaip-bucket?region=us-east-1&amp;prefix=bhasha/swar_new/09-10-2023/BR/Gaya/&amp;showversions=false</t>
  </si>
  <si>
    <t>https://s3.console.aws.amazon.com/s3/buckets/prod-shaip-bucket?region=us-east-1&amp;prefix=bhasha/swar_new/09-10-2023/BR/Gopalganj/&amp;showversions=false</t>
  </si>
  <si>
    <t>https://s3.console.aws.amazon.com/s3/buckets/prod-shaip-bucket?region=us-east-1&amp;prefix=bhasha/swar_new/09-10-2023/BR/Jahanabad/&amp;showversions=false</t>
  </si>
  <si>
    <t>https://s3.console.aws.amazon.com/s3/buckets/prod-shaip-bucket?region=us-east-1&amp;prefix=bhasha/swar_new/09-10-2023/BR/Jamui/&amp;showversions=false</t>
  </si>
  <si>
    <t>https://s3.console.aws.amazon.com/s3/buckets/prod-shaip-bucket?region=us-east-1&amp;prefix=bhasha/swar_new/09-10-2023/BR/Kishanganj/&amp;showversions=false</t>
  </si>
  <si>
    <t>https://s3.console.aws.amazon.com/s3/buckets/prod-shaip-bucket?region=us-east-1&amp;prefix=bhasha/swar_new/09-10-2023/BR/Lakhisarai/&amp;showversions=false</t>
  </si>
  <si>
    <t>https://s3.console.aws.amazon.com/s3/buckets/prod-shaip-bucket?region=us-east-1&amp;prefix=bhasha/swar_new/09-10-2023/BR/Madhepura/&amp;showversions=false</t>
  </si>
  <si>
    <t>https://s3.console.aws.amazon.com/s3/buckets/prod-shaip-bucket?region=us-east-1&amp;prefix=bhasha/swar_new/09-10-2023/BR/Muzaffarpur/&amp;showversions=false</t>
  </si>
  <si>
    <t>https://s3.console.aws.amazon.com/s3/buckets/prod-shaip-bucket?region=us-east-1&amp;prefix=bhasha/swar_new/09-10-2023/BR/Purnia/&amp;showversions=false</t>
  </si>
  <si>
    <t>https://s3.console.aws.amazon.com/s3/buckets/prod-shaip-bucket?region=us-east-1&amp;prefix=bhasha/swar_new/09-10-2023/BR/Saharsa/&amp;showversions=false</t>
  </si>
  <si>
    <t>https://s3.console.aws.amazon.com/s3/buckets/prod-shaip-bucket?region=us-east-1&amp;prefix=bhasha/swar_new/09-10-2023/BR/Samastipur/&amp;showversions=false</t>
  </si>
  <si>
    <t>https://s3.console.aws.amazon.com/s3/buckets/prod-shaip-bucket?region=us-east-1&amp;prefix=bhasha/swar_new/09-10-2023/BR/Saran/&amp;showversions=false</t>
  </si>
  <si>
    <t>https://s3.console.aws.amazon.com/s3/buckets/prod-shaip-bucket?region=us-east-1&amp;prefix=bhasha/swar_new/09-10-2023/BR/Sitamarhi/&amp;showversions=false</t>
  </si>
  <si>
    <t>https://s3.console.aws.amazon.com/s3/buckets/prod-shaip-bucket?region=us-east-1&amp;prefix=bhasha/swar_new/09-10-2023/BR/Supaul/&amp;showversions=false</t>
  </si>
  <si>
    <t>https://s3.console.aws.amazon.com/s3/buckets/prod-shaip-bucket?region=us-east-1&amp;prefix=bhasha/swar_new/09-10-2023/BR/Vaishali/&amp;showversions=false</t>
  </si>
  <si>
    <t>https://s3.console.aws.amazon.com/s3/buckets/prod-shaip-bucket?region=us-east-1&amp;prefix=bhasha/swar_new/09-10-2023/CG/Balrampur/&amp;showversions=false</t>
  </si>
  <si>
    <t>https://s3.console.aws.amazon.com/s3/buckets/prod-shaip-bucket?region=us-east-1&amp;prefix=bhasha/swar_new/09-10-2023/CG/Bastar/&amp;showversions=false</t>
  </si>
  <si>
    <t>https://s3.console.aws.amazon.com/s3/buckets/prod-shaip-bucket?region=us-east-1&amp;prefix=bhasha/swar_new/09-10-2023/CG/Bilaspur/&amp;showversions=false</t>
  </si>
  <si>
    <t>https://s3.console.aws.amazon.com/s3/buckets/prod-shaip-bucket?region=us-east-1&amp;prefix=bhasha/swar_new/09-10-2023/CG/Jashpur/&amp;showversions=false</t>
  </si>
  <si>
    <t>https://s3.console.aws.amazon.com/s3/buckets/prod-shaip-bucket?region=us-east-1&amp;prefix=bhasha/swar_new/09-10-2023/CG/Kabirdham/&amp;showversions=false</t>
  </si>
  <si>
    <t>https://s3.console.aws.amazon.com/s3/buckets/prod-shaip-bucket?region=us-east-1&amp;prefix=bhasha/swar_new/09-10-2023/CG/Korba/&amp;showversions=false</t>
  </si>
  <si>
    <t>https://s3.console.aws.amazon.com/s3/buckets/prod-shaip-bucket?region=us-east-1&amp;prefix=bhasha/swar_new/09-10-2023/CG/Raigarh/&amp;showversions=false</t>
  </si>
  <si>
    <t>https://s3.console.aws.amazon.com/s3/buckets/prod-shaip-bucket?region=us-east-1&amp;prefix=bhasha/swar_new/09-10-2023/CG/Rajnandgaon/&amp;showversions=false</t>
  </si>
  <si>
    <t>https://s3.console.aws.amazon.com/s3/buckets/prod-shaip-bucket?region=us-east-1&amp;prefix=bhasha/swar_new/09-10-2023/CG/Sarguja/&amp;showversions=false</t>
  </si>
  <si>
    <t>https://s3.console.aws.amazon.com/s3/buckets/prod-shaip-bucket?region=us-east-1&amp;prefix=bhasha/swar_new/09-10-2023/CG/Sukma/&amp;showversions=false</t>
  </si>
  <si>
    <t>https://s3.console.aws.amazon.com/s3/buckets/prod-shaip-bucket?region=us-east-1&amp;prefix=bhasha/swar_new/09-10-2023/GA/NorthSouthGoa/&amp;showversions=false</t>
  </si>
  <si>
    <t>https://s3.console.aws.amazon.com/s3/buckets/prod-shaip-bucket?region=us-east-1&amp;prefix=bhasha/swar_new/09-10-2023/JH/Jamtara/&amp;showversions=false</t>
  </si>
  <si>
    <t>https://s3.console.aws.amazon.com/s3/buckets/prod-shaip-bucket?region=us-east-1&amp;prefix=bhasha/swar_new/09-10-2023/JH/Sahebganj/&amp;showversions=false</t>
  </si>
  <si>
    <t>https://s3.console.aws.amazon.com/s3/buckets/prod-shaip-bucket?region=us-east-1&amp;prefix=bhasha/swar_new/09-10-2023/KA/Belgaum/&amp;showversions=false</t>
  </si>
  <si>
    <t>https://s3.console.aws.amazon.com/s3/buckets/prod-shaip-bucket?region=us-east-1&amp;prefix=bhasha/swar_new/09-10-2023/KA/Bellary/&amp;showversions=false</t>
  </si>
  <si>
    <t>https://s3.console.aws.amazon.com/s3/buckets/prod-shaip-bucket?region=us-east-1&amp;prefix=bhasha/swar_new/09-10-2023/KA/Bijapur/&amp;showversions=false</t>
  </si>
  <si>
    <t>https://s3.console.aws.amazon.com/s3/buckets/prod-shaip-bucket?region=us-east-1&amp;prefix=bhasha/swar_new/09-10-2023/KA/Chamrajnagar/&amp;showversions=false</t>
  </si>
  <si>
    <t>https://s3.console.aws.amazon.com/s3/buckets/prod-shaip-bucket?region=us-east-1&amp;prefix=bhasha/swar_new/09-10-2023/KA/DakshinKannada/&amp;showversions=false</t>
  </si>
  <si>
    <t>https://s3.console.aws.amazon.com/s3/buckets/prod-shaip-bucket?region=us-east-1&amp;prefix=bhasha/swar_new/09-10-2023/KA/Dharwad/&amp;showversions=false</t>
  </si>
  <si>
    <t>https://s3.console.aws.amazon.com/s3/buckets/prod-shaip-bucket?region=us-east-1&amp;prefix=bhasha/swar_new/09-10-2023/KA/Gulbarga/&amp;showversions=false</t>
  </si>
  <si>
    <t>https://s3.console.aws.amazon.com/s3/buckets/prod-shaip-bucket?region=us-east-1&amp;prefix=bhasha/swar_new/09-10-2023/KA/Mysore/&amp;showversions=false</t>
  </si>
  <si>
    <t>https://s3.console.aws.amazon.com/s3/buckets/prod-shaip-bucket?region=us-east-1&amp;prefix=bhasha/swar_new/09-10-2023/KA/Raichur/&amp;showversions=false</t>
  </si>
  <si>
    <t>https://s3.console.aws.amazon.com/s3/buckets/prod-shaip-bucket?region=us-east-1&amp;prefix=bhasha/swar_new/09-10-2023/KA/Shimoga/&amp;showversions=false</t>
  </si>
  <si>
    <t>https://s3.console.aws.amazon.com/s3/buckets/prod-shaip-bucket?region=us-east-1&amp;prefix=bhasha/swar_new/09-10-2023/MH/Aurangabad/&amp;showversions=false</t>
  </si>
  <si>
    <t>https://s3.console.aws.amazon.com/s3/buckets/prod-shaip-bucket?region=us-east-1&amp;prefix=bhasha/swar_new/09-10-2023/MH/Chandrapur/&amp;showversions=false</t>
  </si>
  <si>
    <t>https://s3.console.aws.amazon.com/s3/buckets/prod-shaip-bucket?region=us-east-1&amp;prefix=bhasha/swar_new/09-10-2023/MH/Dhule/&amp;showversions=false</t>
  </si>
  <si>
    <t>https://s3.console.aws.amazon.com/s3/buckets/prod-shaip-bucket?region=us-east-1&amp;prefix=bhasha/swar_new/09-10-2023/MH/Nagpur/&amp;showversions=false</t>
  </si>
  <si>
    <t>https://s3.console.aws.amazon.com/s3/buckets/prod-shaip-bucket?region=us-east-1&amp;prefix=bhasha/swar_new/09-10-2023/MH/Pune/&amp;showversions=false</t>
  </si>
  <si>
    <t>https://s3.console.aws.amazon.com/s3/buckets/prod-shaip-bucket?region=us-east-1&amp;prefix=bhasha/swar_new/09-10-2023/MH/Sindhudurga/&amp;showversions=false</t>
  </si>
  <si>
    <t>https://s3.console.aws.amazon.com/s3/buckets/prod-shaip-bucket?region=us-east-1&amp;prefix=bhasha/swar_new/09-10-2023/MH/Solapur/&amp;showversions=false</t>
  </si>
  <si>
    <t>https://s3.console.aws.amazon.com/s3/buckets/prod-shaip-bucket?region=us-east-1&amp;prefix=bhasha/swar_new/09-10-2023/RJ/Churu/&amp;showversions=false</t>
  </si>
  <si>
    <t>https://s3.console.aws.amazon.com/s3/buckets/prod-shaip-bucket?region=us-east-1&amp;prefix=bhasha/swar_new/09-10-2023/RJ/Nagaur/&amp;showversions=false</t>
  </si>
  <si>
    <t>https://s3.console.aws.amazon.com/s3/buckets/prod-shaip-bucket?region=us-east-1&amp;prefix=bhasha/swar_new/09-10-2023/TS/Karimnagar/&amp;showversions=false</t>
  </si>
  <si>
    <t>https://s3.console.aws.amazon.com/s3/buckets/prod-shaip-bucket?region=us-east-1&amp;prefix=bhasha/swar_new/09-10-2023/TS/Nalgonda/&amp;showversions=false</t>
  </si>
  <si>
    <t>https://s3.console.aws.amazon.com/s3/buckets/prod-shaip-bucket?region=us-east-1&amp;prefix=bhasha/swar_new/09-10-2023/UK/TehriGarhwal/&amp;showversions=false</t>
  </si>
  <si>
    <t>https://s3.console.aws.amazon.com/s3/buckets/prod-shaip-bucket?region=us-east-1&amp;prefix=bhasha/swar_new/09-10-2023/UK/Uttarkashi/&amp;showversions=false</t>
  </si>
  <si>
    <t>https://s3.console.aws.amazon.com/s3/buckets/prod-shaip-bucket?region=us-east-1&amp;prefix=bhasha/swar_new/09-10-2023/UP/Budaun/&amp;showversions=false</t>
  </si>
  <si>
    <t>https://s3.console.aws.amazon.com/s3/buckets/prod-shaip-bucket?region=us-east-1&amp;prefix=bhasha/swar_new/09-10-2023/UP/Deoria/&amp;showversions=false</t>
  </si>
  <si>
    <t>https://s3.console.aws.amazon.com/s3/buckets/prod-shaip-bucket?region=us-east-1&amp;prefix=bhasha/swar_new/09-10-2023/UP/Etah/&amp;showversions=false</t>
  </si>
  <si>
    <t>https://s3.console.aws.amazon.com/s3/buckets/prod-shaip-bucket?region=us-east-1&amp;prefix=bhasha/swar_new/09-10-2023/UP/Ghazipur/&amp;showversions=false</t>
  </si>
  <si>
    <t>https://s3.console.aws.amazon.com/s3/buckets/prod-shaip-bucket?region=us-east-1&amp;prefix=bhasha/swar_new/09-10-2023/UP/Gorakhpur/&amp;showversions=false</t>
  </si>
  <si>
    <t>https://s3.console.aws.amazon.com/s3/buckets/prod-shaip-bucket?region=us-east-1&amp;prefix=bhasha/swar_new/09-10-2023/UP/Hamirpur/&amp;showversions=false</t>
  </si>
  <si>
    <t>https://s3.console.aws.amazon.com/s3/buckets/prod-shaip-bucket?region=us-east-1&amp;prefix=bhasha/swar_new/09-10-2023/UP/Jalaun/&amp;showversions=false</t>
  </si>
  <si>
    <t>https://s3.console.aws.amazon.com/s3/buckets/prod-shaip-bucket?region=us-east-1&amp;prefix=bhasha/swar_new/09-10-2023/UP/JyotibaPhuleNagar/&amp;showversions=false</t>
  </si>
  <si>
    <t>https://s3.console.aws.amazon.com/s3/buckets/prod-shaip-bucket?region=us-east-1&amp;prefix=bhasha/swar_new/09-10-2023/UP/Muzzaffarnagar/&amp;showversions=false</t>
  </si>
  <si>
    <t>https://s3.console.aws.amazon.com/s3/buckets/prod-shaip-bucket?region=us-east-1&amp;prefix=bhasha/swar_new/09-10-2023/UP/Varanasi/&amp;showversions=false</t>
  </si>
  <si>
    <t>https://s3.console.aws.amazon.com/s3/buckets/prod-shaip-bucket?region=us-east-1&amp;prefix=bhasha/swar_new/09-10-2023/WB/DakshinDinajpur/&amp;showversions=false</t>
  </si>
  <si>
    <t>https://s3.console.aws.amazon.com/s3/buckets/prod-shaip-bucket?region=us-east-1&amp;prefix=bhasha/swar_new/09-10-2023/WB/Jalpaiguri/&amp;showversions=false</t>
  </si>
  <si>
    <t>https://s3.console.aws.amazon.com/s3/buckets/prod-shaip-bucket?region=us-east-1&amp;prefix=bhasha/swar_new/09-10-2023/WB/Jhargram/&amp;showversions=false</t>
  </si>
  <si>
    <t>https://s3.console.aws.amazon.com/s3/buckets/prod-shaip-bucket?region=us-east-1&amp;prefix=bhasha/swar_new/09-10-2023/WB/Kolkata/&amp;showversions=false</t>
  </si>
  <si>
    <t>https://s3.console.aws.amazon.com/s3/buckets/prod-shaip-bucket?region=us-east-1&amp;prefix=bhasha/swar_new/09-10-2023/WB/Malda/&amp;showversions=false</t>
  </si>
  <si>
    <t>https://s3.console.aws.amazon.com/s3/buckets/prod-shaip-bucket?region=us-east-1&amp;prefix=bhasha/swar_new/09-10-2023/WB/North24Parganas/&amp;showversions=false</t>
  </si>
  <si>
    <t>https://s3.console.aws.amazon.com/s3/buckets/prod-shaip-bucket?region=us-east-1&amp;prefix=bhasha/swar_new/09-10-2023/WB/PaschimMedinipur/&amp;showversions=false</t>
  </si>
  <si>
    <t>https://s3.console.aws.amazon.com/s3/buckets/prod-shaip-bucket?region=us-east-1&amp;prefix=bhasha/swar_new/09-10-2023/WB/Purulia/&amp;showversions=false</t>
  </si>
  <si>
    <t>Batch8 - 17/10/2023</t>
  </si>
  <si>
    <t>https://s3.console.aws.amazon.com/s3/buckets/prod-shaip-bucket?region=us-east-1&amp;prefix=bhasha/swar_new/17-10-2023/AP/Anantpur/&amp;showversions=false</t>
  </si>
  <si>
    <t>https://s3.console.aws.amazon.com/s3/buckets/prod-shaip-bucket?region=us-east-1&amp;prefix=bhasha/swar_new/17-10-2023/AP/Chittoor/&amp;showversions=false</t>
  </si>
  <si>
    <t>https://s3.console.aws.amazon.com/s3/buckets/prod-shaip-bucket?region=us-east-1&amp;prefix=bhasha/swar_new/17-10-2023/AP/Guntur/&amp;showversions=false</t>
  </si>
  <si>
    <t>https://s3.console.aws.amazon.com/s3/buckets/prod-shaip-bucket?region=us-east-1&amp;prefix=bhasha/swar_new/17-10-2023/AP/Krishna/&amp;showversions=false</t>
  </si>
  <si>
    <t>https://s3.console.aws.amazon.com/s3/buckets/prod-shaip-bucket?region=us-east-1&amp;prefix=bhasha/swar_new/17-10-2023/AP/Srikakulam/&amp;showversions=false</t>
  </si>
  <si>
    <t>https://s3.console.aws.amazon.com/s3/buckets/prod-shaip-bucket?region=us-east-1&amp;prefix=bhasha/swar_new/17-10-2023/AP/Vishakapattanam/&amp;showversions=false</t>
  </si>
  <si>
    <t>https://s3.console.aws.amazon.com/s3/buckets/prod-shaip-bucket?region=us-east-1&amp;prefix=bhasha/swar_new/17-10-2023/BR/Araria/&amp;showversions=false</t>
  </si>
  <si>
    <t>https://s3.console.aws.amazon.com/s3/buckets/prod-shaip-bucket?region=us-east-1&amp;prefix=bhasha/swar_new/17-10-2023/BR/Begusarai/&amp;showversions=false</t>
  </si>
  <si>
    <t>https://s3.console.aws.amazon.com/s3/buckets/prod-shaip-bucket?region=us-east-1&amp;prefix=bhasha/swar_new/17-10-2023/BR/Bhagalpur/&amp;showversions=false</t>
  </si>
  <si>
    <t>https://s3.console.aws.amazon.com/s3/buckets/prod-shaip-bucket?region=us-east-1&amp;prefix=bhasha/swar_new/17-10-2023/BR/Darbhanga/&amp;showversions=false</t>
  </si>
  <si>
    <t>https://s3.console.aws.amazon.com/s3/buckets/prod-shaip-bucket?region=us-east-1&amp;prefix=bhasha/swar_new/17-10-2023/BR/EastChamparan/&amp;showversions=false</t>
  </si>
  <si>
    <t>https://s3.console.aws.amazon.com/s3/buckets/prod-shaip-bucket?region=us-east-1&amp;prefix=bhasha/swar_new/17-10-2023/BR/Gaya/&amp;showversions=false</t>
  </si>
  <si>
    <t>https://s3.console.aws.amazon.com/s3/buckets/prod-shaip-bucket?region=us-east-1&amp;prefix=bhasha/swar_new/17-10-2023/BR/Gopalganj/&amp;showversions=false</t>
  </si>
  <si>
    <t>https://s3.console.aws.amazon.com/s3/buckets/prod-shaip-bucket?region=us-east-1&amp;prefix=bhasha/swar_new/17-10-2023/BR/Jahanabad/&amp;showversions=false</t>
  </si>
  <si>
    <t>https://s3.console.aws.amazon.com/s3/buckets/prod-shaip-bucket?region=us-east-1&amp;prefix=bhasha/swar_new/17-10-2023/BR/Jamui/&amp;showversions=false</t>
  </si>
  <si>
    <t>https://s3.console.aws.amazon.com/s3/buckets/prod-shaip-bucket?region=us-east-1&amp;prefix=bhasha/swar_new/17-10-2023/BR/Kishanganj/&amp;showversions=false</t>
  </si>
  <si>
    <t>https://s3.console.aws.amazon.com/s3/buckets/prod-shaip-bucket?region=us-east-1&amp;prefix=bhasha/swar_new/17-10-2023/BR/Lakhisarai/&amp;showversions=false</t>
  </si>
  <si>
    <t>https://s3.console.aws.amazon.com/s3/buckets/prod-shaip-bucket?region=us-east-1&amp;prefix=bhasha/swar_new/17-10-2023/BR/Madhepura/&amp;showversions=false</t>
  </si>
  <si>
    <t>https://s3.console.aws.amazon.com/s3/buckets/prod-shaip-bucket?region=us-east-1&amp;prefix=bhasha/swar_new/17-10-2023/BR/Muzaffarpur/&amp;showversions=false</t>
  </si>
  <si>
    <t>https://s3.console.aws.amazon.com/s3/buckets/prod-shaip-bucket?region=us-east-1&amp;prefix=bhasha/swar_new/17-10-2023/BR/Purnia/&amp;showversions=false</t>
  </si>
  <si>
    <t>https://s3.console.aws.amazon.com/s3/buckets/prod-shaip-bucket?region=us-east-1&amp;prefix=bhasha/swar_new/17-10-2023/BR/Saharsa/&amp;showversions=false</t>
  </si>
  <si>
    <t>https://s3.console.aws.amazon.com/s3/buckets/prod-shaip-bucket?region=us-east-1&amp;prefix=bhasha/swar_new/17-10-2023/BR/Samastipur/&amp;showversions=false</t>
  </si>
  <si>
    <t>https://s3.console.aws.amazon.com/s3/buckets/prod-shaip-bucket?region=us-east-1&amp;prefix=bhasha/swar_new/17-10-2023/BR/Saran/&amp;showversions=false</t>
  </si>
  <si>
    <t>https://s3.console.aws.amazon.com/s3/buckets/prod-shaip-bucket?region=us-east-1&amp;prefix=bhasha/swar_new/17-10-2023/BR/Sitamarhi/&amp;showversions=false</t>
  </si>
  <si>
    <t>https://s3.console.aws.amazon.com/s3/buckets/prod-shaip-bucket?region=us-east-1&amp;prefix=bhasha/swar_new/17-10-2023/BR/Supaul/&amp;showversions=false</t>
  </si>
  <si>
    <t>https://s3.console.aws.amazon.com/s3/buckets/prod-shaip-bucket?region=us-east-1&amp;prefix=bhasha/swar_new/17-10-2023/BR/Vaishali/&amp;showversions=false</t>
  </si>
  <si>
    <t>https://s3.console.aws.amazon.com/s3/buckets/prod-shaip-bucket?region=us-east-1&amp;prefix=bhasha/swar_new/17-10-2023/CG/Balrampur/&amp;showversions=false</t>
  </si>
  <si>
    <t>https://s3.console.aws.amazon.com/s3/buckets/prod-shaip-bucket?region=us-east-1&amp;prefix=bhasha/swar_new/17-10-2023/CG/Bastar/&amp;showversions=false</t>
  </si>
  <si>
    <t>https://s3.console.aws.amazon.com/s3/buckets/prod-shaip-bucket?region=us-east-1&amp;prefix=bhasha/swar_new/17-10-2023/CG/Bilaspur/&amp;showversions=false</t>
  </si>
  <si>
    <t>https://s3.console.aws.amazon.com/s3/buckets/prod-shaip-bucket?region=us-east-1&amp;prefix=bhasha/swar_new/17-10-2023/CG/Jashpur/&amp;showversions=false</t>
  </si>
  <si>
    <t>https://s3.console.aws.amazon.com/s3/buckets/prod-shaip-bucket?region=us-east-1&amp;prefix=bhasha/swar_new/17-10-2023/CG/Kabirdham/&amp;showversions=false</t>
  </si>
  <si>
    <t>https://s3.console.aws.amazon.com/s3/buckets/prod-shaip-bucket?region=us-east-1&amp;prefix=bhasha/swar_new/17-10-2023/CG/Korba/&amp;showversions=false</t>
  </si>
  <si>
    <t>https://s3.console.aws.amazon.com/s3/buckets/prod-shaip-bucket?region=us-east-1&amp;prefix=bhasha/swar_new/17-10-2023/CG/Raigarh/&amp;showversions=false</t>
  </si>
  <si>
    <t>https://s3.console.aws.amazon.com/s3/buckets/prod-shaip-bucket?region=us-east-1&amp;prefix=bhasha/swar_new/17-10-2023/CG/Rajnandgaon/&amp;showversions=false</t>
  </si>
  <si>
    <t>https://s3.console.aws.amazon.com/s3/buckets/prod-shaip-bucket?region=us-east-1&amp;prefix=bhasha/swar_new/17-10-2023/CG/Sarguja/&amp;showversions=false</t>
  </si>
  <si>
    <t>https://s3.console.aws.amazon.com/s3/buckets/prod-shaip-bucket?region=us-east-1&amp;prefix=bhasha/swar_new/17-10-2023/CG/Sukma/&amp;showversions=false</t>
  </si>
  <si>
    <t>https://s3.console.aws.amazon.com/s3/buckets/prod-shaip-bucket?region=us-east-1&amp;prefix=bhasha/swar_new/17-10-2023/GA/NorthSouthGoa/&amp;showversions=false</t>
  </si>
  <si>
    <t>https://s3.console.aws.amazon.com/s3/buckets/prod-shaip-bucket?region=us-east-1&amp;prefix=bhasha/swar_new/17-10-2023/JH/Jamtara/&amp;showversions=false</t>
  </si>
  <si>
    <t>https://s3.console.aws.amazon.com/s3/buckets/prod-shaip-bucket?region=us-east-1&amp;prefix=bhasha/swar_new/17-10-2023/JH/Sahebganj/&amp;showversions=false</t>
  </si>
  <si>
    <t>https://s3.console.aws.amazon.com/s3/buckets/prod-shaip-bucket?region=us-east-1&amp;prefix=bhasha/swar_new/17-10-2023/KA/Belgaum/&amp;showversions=false</t>
  </si>
  <si>
    <t>https://s3.console.aws.amazon.com/s3/buckets/prod-shaip-bucket?region=us-east-1&amp;prefix=bhasha/swar_new/17-10-2023/KA/Bellary/&amp;showversions=false</t>
  </si>
  <si>
    <t>https://s3.console.aws.amazon.com/s3/buckets/prod-shaip-bucket?region=us-east-1&amp;prefix=bhasha/swar_new/17-10-2023/KA/Bijapur/&amp;showversions=false</t>
  </si>
  <si>
    <t>https://s3.console.aws.amazon.com/s3/buckets/prod-shaip-bucket?region=us-east-1&amp;prefix=bhasha/swar_new/17-10-2023/KA/Chamrajnagar/&amp;showversions=false</t>
  </si>
  <si>
    <t>https://s3.console.aws.amazon.com/s3/buckets/prod-shaip-bucket?region=us-east-1&amp;prefix=bhasha/swar_new/17-10-2023/KA/DakshinKannada/&amp;showversions=false</t>
  </si>
  <si>
    <t>https://s3.console.aws.amazon.com/s3/buckets/prod-shaip-bucket?region=us-east-1&amp;prefix=bhasha/swar_new/17-10-2023/KA/Dharwad/&amp;showversions=false</t>
  </si>
  <si>
    <t>https://s3.console.aws.amazon.com/s3/buckets/prod-shaip-bucket?region=us-east-1&amp;prefix=bhasha/swar_new/17-10-2023/KA/Gulbarga/&amp;showversions=false</t>
  </si>
  <si>
    <t>https://s3.console.aws.amazon.com/s3/buckets/prod-shaip-bucket?region=us-east-1&amp;prefix=bhasha/swar_new/17-10-2023/KA/Mysore/&amp;showversions=false</t>
  </si>
  <si>
    <t>https://s3.console.aws.amazon.com/s3/buckets/prod-shaip-bucket?region=us-east-1&amp;prefix=bhasha/swar_new/17-10-2023/KA/Raichur/&amp;showversions=false</t>
  </si>
  <si>
    <t>https://s3.console.aws.amazon.com/s3/buckets/prod-shaip-bucket?region=us-east-1&amp;prefix=bhasha/swar_new/17-10-2023/KA/Shimoga/&amp;showversions=false</t>
  </si>
  <si>
    <t>https://s3.console.aws.amazon.com/s3/buckets/prod-shaip-bucket?region=us-east-1&amp;prefix=bhasha/swar_new/17-10-2023/MH/Aurangabad/&amp;showversions=false</t>
  </si>
  <si>
    <t>https://s3.console.aws.amazon.com/s3/buckets/prod-shaip-bucket?region=us-east-1&amp;prefix=bhasha/swar_new/17-10-2023/MH/Chandrapur/&amp;showversions=false</t>
  </si>
  <si>
    <t>https://s3.console.aws.amazon.com/s3/buckets/prod-shaip-bucket?region=us-east-1&amp;prefix=bhasha/swar_new/17-10-2023/MH/Dhule/&amp;showversions=false</t>
  </si>
  <si>
    <t>https://s3.console.aws.amazon.com/s3/buckets/prod-shaip-bucket?region=us-east-1&amp;prefix=bhasha/swar_new/17-10-2023/MH/Nagpur/&amp;showversions=false</t>
  </si>
  <si>
    <t>https://s3.console.aws.amazon.com/s3/buckets/prod-shaip-bucket?region=us-east-1&amp;prefix=bhasha/swar_new/17-10-2023/MH/Pune/&amp;showversions=false</t>
  </si>
  <si>
    <t>https://s3.console.aws.amazon.com/s3/buckets/prod-shaip-bucket?region=us-east-1&amp;prefix=bhasha/swar_new/17-10-2023/MH/Sindhudurga/&amp;showversions=false</t>
  </si>
  <si>
    <t>https://s3.console.aws.amazon.com/s3/buckets/prod-shaip-bucket?region=us-east-1&amp;prefix=bhasha/swar_new/17-10-2023/MH/Solapur/&amp;showversions=false</t>
  </si>
  <si>
    <t>https://s3.console.aws.amazon.com/s3/buckets/prod-shaip-bucket?region=us-east-1&amp;prefix=bhasha/swar_new/17-10-2023/RJ/Churu/&amp;showversions=false</t>
  </si>
  <si>
    <t>https://s3.console.aws.amazon.com/s3/buckets/prod-shaip-bucket?region=us-east-1&amp;prefix=bhasha/swar_new/17-10-2023/RJ/Nagaur/&amp;showversions=false</t>
  </si>
  <si>
    <t>https://s3.console.aws.amazon.com/s3/buckets/prod-shaip-bucket?region=us-east-1&amp;prefix=bhasha/swar_new/17-10-2023/TS/Karimnagar/&amp;showversions=false</t>
  </si>
  <si>
    <t>https://s3.console.aws.amazon.com/s3/buckets/prod-shaip-bucket?region=us-east-1&amp;prefix=bhasha/swar_new/17-10-2023/TS/Nalgonda/&amp;showversions=false</t>
  </si>
  <si>
    <t>https://s3.console.aws.amazon.com/s3/buckets/prod-shaip-bucket?region=us-east-1&amp;prefix=bhasha/swar_new/17-10-2023/UK/TehriGarhwal/&amp;showversions=false</t>
  </si>
  <si>
    <t>https://s3.console.aws.amazon.com/s3/buckets/prod-shaip-bucket?region=us-east-1&amp;prefix=bhasha/swar_new/17-10-2023/UK/Uttarkashi/&amp;showversions=false</t>
  </si>
  <si>
    <t>https://s3.console.aws.amazon.com/s3/buckets/prod-shaip-bucket?region=us-east-1&amp;prefix=bhasha/swar_new/17-10-2023/UP/Budaun/&amp;showversions=false</t>
  </si>
  <si>
    <t>https://s3.console.aws.amazon.com/s3/buckets/prod-shaip-bucket?region=us-east-1&amp;prefix=bhasha/swar_new/17-10-2023/UP/Deoria/&amp;showversions=false</t>
  </si>
  <si>
    <t>https://s3.console.aws.amazon.com/s3/buckets/prod-shaip-bucket?region=us-east-1&amp;prefix=bhasha/swar_new/17-10-2023/UP/Etah/&amp;showversions=false</t>
  </si>
  <si>
    <t>https://s3.console.aws.amazon.com/s3/buckets/prod-shaip-bucket?region=us-east-1&amp;prefix=bhasha/swar_new/17-10-2023/UP/Ghazipur/&amp;showversions=false</t>
  </si>
  <si>
    <t>https://s3.console.aws.amazon.com/s3/buckets/prod-shaip-bucket?region=us-east-1&amp;prefix=bhasha/swar_new/17-10-2023/UP/Gorakhpur/&amp;showversions=false</t>
  </si>
  <si>
    <t>https://s3.console.aws.amazon.com/s3/buckets/prod-shaip-bucket?region=us-east-1&amp;prefix=bhasha/swar_new/17-10-2023/UP/Hamirpur/&amp;showversions=false</t>
  </si>
  <si>
    <t>https://s3.console.aws.amazon.com/s3/buckets/prod-shaip-bucket?region=us-east-1&amp;prefix=bhasha/swar_new/17-10-2023/UP/Jalaun/&amp;showversions=false</t>
  </si>
  <si>
    <t>https://s3.console.aws.amazon.com/s3/buckets/prod-shaip-bucket?region=us-east-1&amp;prefix=bhasha/swar_new/17-10-2023/UP/JyotibaPhuleNagar/&amp;showversions=false</t>
  </si>
  <si>
    <t>https://s3.console.aws.amazon.com/s3/buckets/prod-shaip-bucket?region=us-east-1&amp;prefix=bhasha/swar_new/17-10-2023/UP/Muzzaffarnagar/&amp;showversions=false</t>
  </si>
  <si>
    <t>https://s3.console.aws.amazon.com/s3/buckets/prod-shaip-bucket?region=us-east-1&amp;prefix=bhasha/swar_new/17-10-2023/UP/Varanasi/&amp;showversions=false</t>
  </si>
  <si>
    <t>https://s3.console.aws.amazon.com/s3/buckets/prod-shaip-bucket?region=us-east-1&amp;prefix=bhasha/swar_new/17-10-2023/WB/DakshinDinajpur/&amp;showversions=false</t>
  </si>
  <si>
    <t>https://s3.console.aws.amazon.com/s3/buckets/prod-shaip-bucket?region=us-east-1&amp;prefix=bhasha/swar_new/17-10-2023/WB/Jalpaiguri/&amp;showversions=false</t>
  </si>
  <si>
    <t>https://s3.console.aws.amazon.com/s3/buckets/prod-shaip-bucket?region=us-east-1&amp;prefix=bhasha/swar_new/17-10-2023/WB/Jhargram/&amp;showversions=false</t>
  </si>
  <si>
    <t>https://s3.console.aws.amazon.com/s3/buckets/prod-shaip-bucket?region=us-east-1&amp;prefix=bhasha/swar_new/17-10-2023/WB/Kolkata/&amp;showversions=false</t>
  </si>
  <si>
    <t>https://s3.console.aws.amazon.com/s3/buckets/prod-shaip-bucket?region=us-east-1&amp;prefix=bhasha/swar_new/17-10-2023/WB/Malda/&amp;showversions=false</t>
  </si>
  <si>
    <t>https://s3.console.aws.amazon.com/s3/buckets/prod-shaip-bucket?region=us-east-1&amp;prefix=bhasha/swar_new/17-10-2023/WB/North24Parganas/&amp;showversions=false</t>
  </si>
  <si>
    <t>https://s3.console.aws.amazon.com/s3/buckets/prod-shaip-bucket?region=us-east-1&amp;prefix=bhasha/swar_new/17-10-2023/WB/PaschimMedinipur/&amp;showversions=false</t>
  </si>
  <si>
    <t>https://s3.console.aws.amazon.com/s3/buckets/prod-shaip-bucket?region=us-east-1&amp;prefix=bhasha/swar_new/17-10-2023/WB/Purulia/&amp;showversions=false</t>
  </si>
  <si>
    <t>Specific Images Received Count</t>
  </si>
  <si>
    <t>Generic Images Received Count</t>
  </si>
  <si>
    <t>Specific Images Received Date</t>
  </si>
  <si>
    <t>Generic Images Received Date</t>
  </si>
  <si>
    <t>30/11/2022</t>
  </si>
  <si>
    <t>365 - 24/10/2022
 218 - 02/11/2022
129 - 10/11/2022
240 - 12/11/2022
373 - 19/11/2022</t>
  </si>
  <si>
    <t>28/11/2022</t>
  </si>
  <si>
    <t>Generic Images Received till date</t>
  </si>
  <si>
    <t>1325 Images (365 - 24/10/2022
 218 - 02/11/2022
129 - 10/11/2022 
240 - 12/11/2022
373 - 19/11/2022)</t>
  </si>
  <si>
    <t>26/11/2022</t>
  </si>
  <si>
    <t>District Specific images</t>
  </si>
  <si>
    <t>Total Districts</t>
  </si>
  <si>
    <t xml:space="preserve">Received </t>
  </si>
  <si>
    <t xml:space="preserve">Pending </t>
  </si>
  <si>
    <t>24-10-22</t>
  </si>
  <si>
    <t>19/11/2022</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</si>
</sst>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quot;-&quot;mmm"/>
    <numFmt numFmtId="165" formatCode="d/m/yyyy"/>
    <numFmt numFmtId="166" formatCode="dd/mm/yyyy"/>
    <numFmt numFmtId="167" formatCode="[hh]:mm:ss"/>
    <numFmt numFmtId="168" formatCode="d/m"/>
    <numFmt numFmtId="169" formatCode="d mmm yyyy"/>
    <numFmt numFmtId="170" formatCode="hh:mm:ss"/>
    <numFmt numFmtId="171" formatCode="d-m-yy"/>
    <numFmt numFmtId="172" formatCode="mm-dd-yy"/>
    <numFmt numFmtId="173" formatCode="m/d/yyyy"/>
  </numFmts>
  <fonts count="85">
    <font>
      <sz val="10.0"/>
      <color rgb="FF000000"/>
      <name val="Arial"/>
      <scheme val="minor"/>
    </font>
    <font>
      <sz val="10.0"/>
      <color theme="1"/>
      <name val="Arial"/>
    </font>
    <font>
      <sz val="10.0"/>
      <color theme="1"/>
      <name val="Arial"/>
      <scheme val="minor"/>
    </font>
    <font>
      <b/>
      <sz val="10.0"/>
      <color theme="1"/>
      <name val="Arial"/>
    </font>
    <font>
      <b/>
      <u/>
      <sz val="10.0"/>
      <color rgb="FF0000FF"/>
    </font>
    <font>
      <b/>
      <u/>
      <sz val="10.0"/>
      <color rgb="FF0000FF"/>
    </font>
    <font>
      <b/>
      <sz val="10.0"/>
      <color theme="1"/>
      <name val="Arial"/>
      <scheme val="minor"/>
    </font>
    <font>
      <u/>
      <sz val="10.0"/>
      <color rgb="FF0000FF"/>
      <name val="Arial"/>
    </font>
    <font>
      <u/>
      <sz val="10.0"/>
      <color rgb="FF0000FF"/>
    </font>
    <font>
      <u/>
      <sz val="10.0"/>
      <color rgb="FF0000FF"/>
    </font>
    <font>
      <sz val="8.0"/>
      <color theme="1"/>
      <name val="Arial"/>
    </font>
    <font>
      <u/>
      <sz val="8.0"/>
      <color rgb="FF0000FF"/>
      <name val="Arial"/>
    </font>
    <font>
      <sz val="7.0"/>
      <color theme="1"/>
      <name val="Arial"/>
    </font>
    <font>
      <u/>
      <sz val="7.0"/>
      <color rgb="FF0000FF"/>
      <name val="Arial"/>
    </font>
    <font>
      <u/>
      <sz val="10.0"/>
      <color rgb="FF0000FF"/>
    </font>
    <font>
      <u/>
      <sz val="10.0"/>
      <color rgb="FF0000FF"/>
    </font>
    <font>
      <u/>
      <sz val="10.0"/>
      <color rgb="FF0000FF"/>
    </font>
    <font>
      <u/>
      <sz val="10.0"/>
      <color rgb="FF0000FF"/>
    </font>
    <font>
      <color theme="1"/>
      <name val="Arial"/>
      <scheme val="minor"/>
    </font>
    <font>
      <u/>
      <color rgb="FF0000FF"/>
    </font>
    <font>
      <u/>
      <color rgb="FF0000FF"/>
    </font>
    <font>
      <u/>
      <color rgb="FF0000FF"/>
    </font>
    <font>
      <u/>
      <color rgb="FF0000FF"/>
    </font>
    <font>
      <u/>
      <color rgb="FF0000FF"/>
    </font>
    <font>
      <b/>
      <color theme="1"/>
      <name val="Arial"/>
    </font>
    <font>
      <color theme="1"/>
      <name val="Arial"/>
    </font>
    <font>
      <sz val="9.0"/>
      <color rgb="FF000000"/>
      <name val="&quot;Google Sans Mono&quot;"/>
    </font>
    <font>
      <u/>
      <sz val="9.0"/>
      <color rgb="FF000000"/>
      <name val="&quot;Google Sans Mono&quot;"/>
    </font>
    <font>
      <sz val="9.0"/>
      <color theme="1"/>
      <name val="&quot;Google Sans Mono&quot;"/>
    </font>
    <font>
      <sz val="9.0"/>
      <color rgb="FF1155CC"/>
      <name val="&quot;Google Sans Mono&quot;"/>
    </font>
    <font>
      <color rgb="FFFFFFFF"/>
      <name val="Inherit"/>
    </font>
    <font>
      <color rgb="FF000000"/>
      <name val="Inherit"/>
    </font>
    <font>
      <b/>
      <u/>
      <sz val="10.0"/>
      <color rgb="FF0000FF"/>
      <name val="Arial"/>
    </font>
    <font>
      <b/>
      <u/>
      <color rgb="FF0000FF"/>
    </font>
    <font>
      <b/>
      <color theme="1"/>
      <name val="Arial"/>
      <scheme val="minor"/>
    </font>
    <font>
      <b/>
      <u/>
      <color rgb="FF0000FF"/>
    </font>
    <font>
      <u/>
      <color rgb="FF0000FF"/>
    </font>
    <font>
      <u/>
      <color rgb="FF0000FF"/>
    </font>
    <font>
      <u/>
      <color rgb="FF0000FF"/>
    </font>
    <font>
      <u/>
      <color rgb="FF0000FF"/>
    </font>
    <font>
      <u/>
      <color rgb="FF0000FF"/>
    </font>
    <font>
      <u/>
      <color rgb="FF0000FF"/>
    </font>
    <font>
      <u/>
      <color rgb="FF0000FF"/>
    </font>
    <font>
      <u/>
      <color rgb="FF0000FF"/>
    </font>
    <font>
      <b/>
      <sz val="12.0"/>
      <color theme="1"/>
      <name val="Arial"/>
      <scheme val="minor"/>
    </font>
    <font>
      <i/>
      <u/>
      <sz val="9.0"/>
      <color rgb="FFFF0000"/>
      <name val="Arial"/>
      <scheme val="minor"/>
    </font>
    <font>
      <sz val="9.0"/>
      <color theme="1"/>
      <name val="Arial"/>
      <scheme val="minor"/>
    </font>
    <font>
      <b/>
      <sz val="9.0"/>
      <color theme="1"/>
      <name val="Arial"/>
      <scheme val="minor"/>
    </font>
    <font>
      <sz val="10.0"/>
      <color rgb="FF1F1F1F"/>
      <name val="Arial"/>
      <scheme val="minor"/>
    </font>
    <font>
      <b/>
      <sz val="9.0"/>
      <color rgb="FFFF0000"/>
      <name val="Arial"/>
      <scheme val="minor"/>
    </font>
    <font>
      <color theme="1"/>
      <name val="Roboto"/>
    </font>
    <font>
      <color rgb="FF000000"/>
      <name val="Arial"/>
    </font>
    <font>
      <b/>
      <sz val="11.0"/>
      <color theme="1"/>
      <name val="Calibri"/>
    </font>
    <font>
      <b/>
      <sz val="11.0"/>
      <color rgb="FF000000"/>
      <name val="Calibri"/>
    </font>
    <font>
      <sz val="11.0"/>
      <color rgb="FF000000"/>
      <name val="Calibri"/>
    </font>
    <font>
      <sz val="12.0"/>
      <color rgb="FF000000"/>
      <name val="Calibri"/>
    </font>
    <font>
      <b/>
      <sz val="9.0"/>
      <color rgb="FF212121"/>
      <name val="Arial"/>
      <scheme val="minor"/>
    </font>
    <font>
      <b/>
      <sz val="9.0"/>
      <color rgb="FF212121"/>
      <name val="&quot;Amazon Ember&quot;"/>
    </font>
    <font>
      <b/>
      <color theme="1"/>
      <name val="Calibri"/>
    </font>
    <font>
      <b/>
      <sz val="10.0"/>
      <color theme="1"/>
      <name val="Calibri"/>
    </font>
    <font>
      <sz val="10.0"/>
      <color theme="1"/>
      <name val="Calibri"/>
    </font>
    <font>
      <u/>
      <sz val="11.0"/>
      <color rgb="FF0563C1"/>
      <name val="Calibri"/>
    </font>
    <font>
      <u/>
      <sz val="11.0"/>
      <color rgb="FF0563C1"/>
      <name val="Calibri"/>
    </font>
    <font>
      <color theme="1"/>
      <name val="Calibri"/>
    </font>
    <font>
      <u/>
      <color rgb="FF1155CC"/>
      <name val="Calibri"/>
    </font>
    <font>
      <color rgb="FF000000"/>
      <name val="Docs-Calibri"/>
    </font>
    <font>
      <u/>
      <sz val="8.0"/>
      <color rgb="FF1155CC"/>
      <name val="Arial"/>
    </font>
    <font>
      <u/>
      <color rgb="FF1155CC"/>
      <name val="Arial"/>
    </font>
    <font>
      <color rgb="FF000000"/>
      <name val="Calibri"/>
    </font>
    <font>
      <u/>
      <sz val="11.0"/>
      <color rgb="FF0563C1"/>
      <name val="Calibri"/>
    </font>
    <font>
      <u/>
      <color rgb="FF1155CC"/>
      <name val="Calibri"/>
    </font>
    <font>
      <b/>
      <sz val="11.0"/>
      <color rgb="FFFF0000"/>
      <name val="Calibri"/>
    </font>
    <font>
      <b/>
      <color rgb="FF000000"/>
      <name val="Arial"/>
    </font>
    <font>
      <b/>
      <color rgb="FF000000"/>
      <name val="Calibri"/>
    </font>
    <font>
      <u/>
      <sz val="11.0"/>
      <color rgb="FF0563C1"/>
      <name val="Calibri"/>
    </font>
    <font>
      <u/>
      <sz val="11.0"/>
      <color rgb="FF0563C1"/>
      <name val="Calibri"/>
    </font>
    <font>
      <u/>
      <sz val="11.0"/>
      <color rgb="FF0563C1"/>
      <name val="Calibri"/>
    </font>
    <font>
      <b/>
      <sz val="12.0"/>
      <color theme="1"/>
      <name val="Calibri"/>
    </font>
    <font>
      <sz val="12.0"/>
      <color theme="1"/>
      <name val="Calibri"/>
    </font>
    <font>
      <u/>
      <color rgb="FF1155CC"/>
      <name val="Arial"/>
    </font>
    <font>
      <sz val="11.0"/>
      <color theme="1"/>
      <name val="Calibri"/>
    </font>
    <font>
      <u/>
      <color rgb="FF0000FF"/>
    </font>
    <font>
      <u/>
      <color rgb="FF0000FF"/>
    </font>
    <font>
      <u/>
      <sz val="8.0"/>
      <color rgb="FF0000FF"/>
      <name val="&quot;Liberation Sans&quot;"/>
    </font>
    <font/>
  </fonts>
  <fills count="18">
    <fill>
      <patternFill patternType="none"/>
    </fill>
    <fill>
      <patternFill patternType="lightGray"/>
    </fill>
    <fill>
      <patternFill patternType="solid">
        <fgColor rgb="FFFFFFFF"/>
        <bgColor rgb="FFFFFFFF"/>
      </patternFill>
    </fill>
    <fill>
      <patternFill patternType="solid">
        <fgColor rgb="FFA3C1F3"/>
        <bgColor rgb="FFA3C1F3"/>
      </patternFill>
    </fill>
    <fill>
      <patternFill patternType="solid">
        <fgColor rgb="FF75A4AE"/>
        <bgColor rgb="FF75A4AE"/>
      </patternFill>
    </fill>
    <fill>
      <patternFill patternType="solid">
        <fgColor rgb="FFDF6565"/>
        <bgColor rgb="FFDF6565"/>
      </patternFill>
    </fill>
    <fill>
      <patternFill patternType="solid">
        <fgColor rgb="FFB3A6D5"/>
        <bgColor rgb="FFB3A6D5"/>
      </patternFill>
    </fill>
    <fill>
      <patternFill patternType="solid">
        <fgColor rgb="FFFEE498"/>
        <bgColor rgb="FFFEE498"/>
      </patternFill>
    </fill>
    <fill>
      <patternFill patternType="solid">
        <fgColor rgb="FF92C37C"/>
        <bgColor rgb="FF92C37C"/>
      </patternFill>
    </fill>
    <fill>
      <patternFill patternType="solid">
        <fgColor rgb="FFC17A9F"/>
        <bgColor rgb="FFC17A9F"/>
      </patternFill>
    </fill>
    <fill>
      <patternFill patternType="solid">
        <fgColor rgb="FFF8CA9B"/>
        <bgColor rgb="FFF8CA9B"/>
      </patternFill>
    </fill>
    <fill>
      <patternFill patternType="solid">
        <fgColor rgb="FFEFEFEF"/>
        <bgColor rgb="FFEFEFEF"/>
      </patternFill>
    </fill>
    <fill>
      <patternFill patternType="solid">
        <fgColor rgb="FFFFFF00"/>
        <bgColor rgb="FFFFFF00"/>
      </patternFill>
    </fill>
    <fill>
      <patternFill patternType="solid">
        <fgColor rgb="FFF4F6F8"/>
        <bgColor rgb="FFF4F6F8"/>
      </patternFill>
    </fill>
    <fill>
      <patternFill patternType="solid">
        <fgColor rgb="FFF6F6F6"/>
        <bgColor rgb="FFF6F6F6"/>
      </patternFill>
    </fill>
    <fill>
      <patternFill patternType="solid">
        <fgColor rgb="FFF9F9F9"/>
        <bgColor rgb="FFF9F9F9"/>
      </patternFill>
    </fill>
    <fill>
      <patternFill patternType="solid">
        <fgColor rgb="FFD5A6BD"/>
        <bgColor rgb="FFD5A6BD"/>
      </patternFill>
    </fill>
    <fill>
      <patternFill patternType="solid">
        <fgColor rgb="FFB4A7D6"/>
        <bgColor rgb="FFB4A7D6"/>
      </patternFill>
    </fill>
  </fills>
  <borders count="24">
    <border/>
    <border>
      <top style="thin">
        <color rgb="FF010101"/>
      </top>
    </border>
    <border>
      <bottom style="thin">
        <color rgb="FF010101"/>
      </bottom>
    </border>
    <border>
      <left style="thin">
        <color rgb="FF000000"/>
      </left>
      <top style="thin">
        <color rgb="FF000000"/>
      </top>
    </border>
    <border>
      <top style="thin">
        <color rgb="FF000000"/>
      </top>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right style="thin">
        <color rgb="FF000000"/>
      </right>
    </border>
    <border>
      <right style="thin">
        <color rgb="FFFFFFFF"/>
      </right>
      <top style="thick">
        <color rgb="FF8093B3"/>
      </top>
      <bottom style="double">
        <color rgb="FF000000"/>
      </bottom>
    </border>
    <border>
      <top style="thick">
        <color rgb="FF8093B3"/>
      </top>
      <bottom style="double">
        <color rgb="FF000000"/>
      </bottom>
    </border>
    <border>
      <right style="thin">
        <color rgb="FFFFFFFF"/>
      </right>
      <top style="thick">
        <color rgb="FF8093B3"/>
      </top>
    </border>
    <border>
      <top style="thick">
        <color rgb="FF8093B3"/>
      </top>
    </border>
    <border>
      <right style="thin">
        <color rgb="FFFFFFFF"/>
      </right>
    </border>
    <border>
      <right style="thin">
        <color rgb="FFFFFFFF"/>
      </right>
      <bottom style="double">
        <color rgb="FF000000"/>
      </bottom>
    </border>
    <border>
      <bottom style="double">
        <color rgb="FF000000"/>
      </bottom>
    </border>
    <border>
      <left style="thin">
        <color rgb="FF000000"/>
      </left>
      <top style="thin">
        <color rgb="FF000000"/>
      </top>
      <bottom style="thin">
        <color rgb="FF000000"/>
      </bottom>
    </border>
  </borders>
  <cellStyleXfs count="1">
    <xf borderId="0" fillId="0" fontId="0" numFmtId="0" applyAlignment="1" applyFont="1"/>
  </cellStyleXfs>
  <cellXfs count="302">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vertical="bottom"/>
    </xf>
    <xf borderId="0" fillId="2" fontId="1" numFmtId="49" xfId="0" applyAlignment="1" applyFont="1" applyNumberFormat="1">
      <alignment horizontal="left" readingOrder="0" vertical="bottom"/>
    </xf>
    <xf borderId="0" fillId="2" fontId="2" numFmtId="49" xfId="0" applyAlignment="1" applyFont="1" applyNumberFormat="1">
      <alignment horizontal="left" readingOrder="0"/>
    </xf>
    <xf borderId="0" fillId="2" fontId="3" numFmtId="0" xfId="0" applyAlignment="1" applyFont="1">
      <alignment horizontal="left" readingOrder="0" vertical="bottom"/>
    </xf>
    <xf borderId="0" fillId="2" fontId="4" numFmtId="0" xfId="0" applyAlignment="1" applyFont="1">
      <alignment horizontal="left" readingOrder="0"/>
    </xf>
    <xf borderId="0" fillId="2" fontId="5" numFmtId="0" xfId="0" applyAlignment="1" applyFont="1">
      <alignment horizontal="left"/>
    </xf>
    <xf borderId="0" fillId="2" fontId="6" numFmtId="0" xfId="0" applyAlignment="1" applyFont="1">
      <alignment horizontal="left" readingOrder="0"/>
    </xf>
    <xf borderId="0" fillId="2" fontId="6" numFmtId="0" xfId="0" applyAlignment="1" applyFont="1">
      <alignment horizontal="left"/>
    </xf>
    <xf borderId="1" fillId="2" fontId="1" numFmtId="0" xfId="0" applyAlignment="1" applyBorder="1" applyFont="1">
      <alignment horizontal="left" readingOrder="0" vertical="bottom"/>
    </xf>
    <xf borderId="1" fillId="2" fontId="1" numFmtId="0" xfId="0" applyAlignment="1" applyBorder="1" applyFont="1">
      <alignment horizontal="left" readingOrder="0" vertical="bottom"/>
    </xf>
    <xf borderId="1" fillId="2" fontId="7" numFmtId="0" xfId="0" applyAlignment="1" applyBorder="1" applyFont="1">
      <alignment horizontal="left" readingOrder="0" vertical="bottom"/>
    </xf>
    <xf borderId="1" fillId="2" fontId="1" numFmtId="0" xfId="0" applyAlignment="1" applyBorder="1" applyFont="1">
      <alignment horizontal="left" vertical="bottom"/>
    </xf>
    <xf borderId="1" fillId="2" fontId="2" numFmtId="0" xfId="0" applyAlignment="1" applyBorder="1" applyFont="1">
      <alignment horizontal="left"/>
    </xf>
    <xf borderId="1" fillId="2" fontId="8" numFmtId="0" xfId="0" applyAlignment="1" applyBorder="1" applyFont="1">
      <alignment horizontal="left"/>
    </xf>
    <xf borderId="0" fillId="2" fontId="1" numFmtId="0" xfId="0" applyAlignment="1" applyFont="1">
      <alignment horizontal="left" readingOrder="0" vertical="bottom"/>
    </xf>
    <xf borderId="0" fillId="2" fontId="1" numFmtId="0" xfId="0" applyAlignment="1" applyFont="1">
      <alignment horizontal="left" vertical="bottom"/>
    </xf>
    <xf borderId="0" fillId="2" fontId="2" numFmtId="0" xfId="0" applyAlignment="1" applyFont="1">
      <alignment horizontal="left"/>
    </xf>
    <xf borderId="0" fillId="2" fontId="9" numFmtId="0" xfId="0" applyAlignment="1" applyFont="1">
      <alignment horizontal="left"/>
    </xf>
    <xf borderId="0" fillId="2" fontId="10" numFmtId="0" xfId="0" applyAlignment="1" applyFont="1">
      <alignment shrinkToFit="0" vertical="bottom" wrapText="1"/>
    </xf>
    <xf borderId="0" fillId="2" fontId="11" numFmtId="0" xfId="0" applyAlignment="1" applyFont="1">
      <alignment shrinkToFit="0" vertical="bottom" wrapText="1"/>
    </xf>
    <xf borderId="0" fillId="2" fontId="12" numFmtId="0" xfId="0" applyAlignment="1" applyFont="1">
      <alignment shrinkToFit="0" vertical="bottom" wrapText="1"/>
    </xf>
    <xf borderId="0" fillId="2" fontId="1" numFmtId="0" xfId="0" applyAlignment="1" applyFont="1">
      <alignment horizontal="left" readingOrder="0" vertical="bottom"/>
    </xf>
    <xf borderId="0" fillId="2" fontId="13" numFmtId="0" xfId="0" applyAlignment="1" applyFont="1">
      <alignment shrinkToFit="0" vertical="bottom" wrapText="1"/>
    </xf>
    <xf borderId="0" fillId="2" fontId="1" numFmtId="0" xfId="0" applyAlignment="1" applyFont="1">
      <alignment horizontal="left" readingOrder="0" shrinkToFit="0" vertical="bottom" wrapText="1"/>
    </xf>
    <xf borderId="0" fillId="2" fontId="2" numFmtId="0" xfId="0" applyAlignment="1" applyFont="1">
      <alignment horizontal="left" readingOrder="0"/>
    </xf>
    <xf borderId="0" fillId="2" fontId="14" numFmtId="49" xfId="0" applyAlignment="1" applyFont="1" applyNumberFormat="1">
      <alignment horizontal="left"/>
    </xf>
    <xf borderId="2" fillId="2" fontId="2" numFmtId="0" xfId="0" applyAlignment="1" applyBorder="1" applyFont="1">
      <alignment horizontal="left" readingOrder="0"/>
    </xf>
    <xf borderId="2" fillId="2" fontId="1" numFmtId="0" xfId="0" applyAlignment="1" applyBorder="1" applyFont="1">
      <alignment horizontal="left" vertical="bottom"/>
    </xf>
    <xf borderId="2" fillId="2" fontId="15" numFmtId="0" xfId="0" applyAlignment="1" applyBorder="1" applyFont="1">
      <alignment horizontal="left" readingOrder="0"/>
    </xf>
    <xf borderId="1" fillId="2" fontId="2" numFmtId="0" xfId="0" applyAlignment="1" applyBorder="1" applyFont="1">
      <alignment horizontal="left" readingOrder="0"/>
    </xf>
    <xf borderId="1" fillId="2" fontId="16" numFmtId="0" xfId="0" applyAlignment="1" applyBorder="1" applyFont="1">
      <alignment horizontal="left" readingOrder="0"/>
    </xf>
    <xf borderId="0" fillId="2" fontId="2" numFmtId="0" xfId="0" applyAlignment="1" applyFont="1">
      <alignment horizontal="left" readingOrder="0"/>
    </xf>
    <xf borderId="2" fillId="2" fontId="2" numFmtId="0" xfId="0" applyAlignment="1" applyBorder="1" applyFont="1">
      <alignment horizontal="left"/>
    </xf>
    <xf borderId="2" fillId="2" fontId="17" numFmtId="0" xfId="0" applyAlignment="1" applyBorder="1" applyFont="1">
      <alignment horizontal="left"/>
    </xf>
    <xf borderId="2" fillId="2" fontId="18" numFmtId="0" xfId="0" applyAlignment="1" applyBorder="1" applyFont="1">
      <alignment readingOrder="0"/>
    </xf>
    <xf borderId="2" fillId="2" fontId="18" numFmtId="0" xfId="0" applyBorder="1" applyFont="1"/>
    <xf borderId="2" fillId="2" fontId="19" numFmtId="0" xfId="0" applyBorder="1" applyFont="1"/>
    <xf borderId="1" fillId="2" fontId="18" numFmtId="0" xfId="0" applyAlignment="1" applyBorder="1" applyFont="1">
      <alignment readingOrder="0"/>
    </xf>
    <xf borderId="1" fillId="2" fontId="20" numFmtId="0" xfId="0" applyAlignment="1" applyBorder="1" applyFont="1">
      <alignment readingOrder="0"/>
    </xf>
    <xf borderId="1" fillId="2" fontId="18" numFmtId="0" xfId="0" applyBorder="1" applyFont="1"/>
    <xf borderId="1" fillId="2" fontId="21" numFmtId="0" xfId="0" applyBorder="1" applyFont="1"/>
    <xf borderId="0" fillId="2" fontId="18" numFmtId="0" xfId="0" applyAlignment="1" applyFont="1">
      <alignment readingOrder="0"/>
    </xf>
    <xf borderId="0" fillId="2" fontId="18" numFmtId="0" xfId="0" applyFont="1"/>
    <xf borderId="0" fillId="2" fontId="22" numFmtId="0" xfId="0" applyFont="1"/>
    <xf borderId="1" fillId="2" fontId="18" numFmtId="0" xfId="0" applyAlignment="1" applyBorder="1" applyFont="1">
      <alignment readingOrder="0"/>
    </xf>
    <xf borderId="1" fillId="2" fontId="23" numFmtId="0" xfId="0" applyAlignment="1" applyBorder="1" applyFont="1">
      <alignment readingOrder="0"/>
    </xf>
    <xf borderId="0" fillId="2" fontId="18" numFmtId="0" xfId="0" applyAlignment="1" applyFont="1">
      <alignment readingOrder="0"/>
    </xf>
    <xf borderId="2" fillId="2" fontId="18" numFmtId="0" xfId="0" applyAlignment="1" applyBorder="1" applyFont="1">
      <alignment readingOrder="0"/>
    </xf>
    <xf borderId="0" fillId="0" fontId="24" numFmtId="0" xfId="0" applyAlignment="1" applyFont="1">
      <alignment vertical="bottom"/>
    </xf>
    <xf borderId="0" fillId="0" fontId="25" numFmtId="0" xfId="0" applyAlignment="1" applyFont="1">
      <alignment vertical="bottom"/>
    </xf>
    <xf borderId="2" fillId="0" fontId="25" numFmtId="0" xfId="0" applyAlignment="1" applyBorder="1" applyFont="1">
      <alignment vertical="bottom"/>
    </xf>
    <xf borderId="0" fillId="0" fontId="25" numFmtId="0" xfId="0" applyAlignment="1" applyFont="1">
      <alignment horizontal="right" vertical="bottom"/>
    </xf>
    <xf borderId="0" fillId="2" fontId="26" numFmtId="0" xfId="0" applyFont="1"/>
    <xf borderId="0" fillId="0" fontId="25" numFmtId="0" xfId="0" applyAlignment="1" applyFont="1">
      <alignment readingOrder="0" vertical="bottom"/>
    </xf>
    <xf borderId="0" fillId="0" fontId="25" numFmtId="0" xfId="0" applyAlignment="1" applyFont="1">
      <alignment vertical="bottom"/>
    </xf>
    <xf borderId="0" fillId="3" fontId="2" numFmtId="49" xfId="0" applyAlignment="1" applyFill="1" applyFont="1" applyNumberFormat="1">
      <alignment horizontal="left"/>
    </xf>
    <xf borderId="0" fillId="4" fontId="2" numFmtId="49" xfId="0" applyAlignment="1" applyFill="1" applyFont="1" applyNumberFormat="1">
      <alignment horizontal="left"/>
    </xf>
    <xf borderId="0" fillId="5" fontId="2" numFmtId="49" xfId="0" applyAlignment="1" applyFill="1" applyFont="1" applyNumberFormat="1">
      <alignment horizontal="left"/>
    </xf>
    <xf borderId="0" fillId="6" fontId="2" numFmtId="49" xfId="0" applyAlignment="1" applyFill="1" applyFont="1" applyNumberFormat="1">
      <alignment horizontal="left"/>
    </xf>
    <xf borderId="0" fillId="7" fontId="2" numFmtId="49" xfId="0" applyAlignment="1" applyFill="1" applyFont="1" applyNumberFormat="1">
      <alignment horizontal="left"/>
    </xf>
    <xf borderId="0" fillId="8" fontId="2" numFmtId="49" xfId="0" applyAlignment="1" applyFill="1" applyFont="1" applyNumberFormat="1">
      <alignment horizontal="left"/>
    </xf>
    <xf borderId="0" fillId="9" fontId="2" numFmtId="49" xfId="0" applyAlignment="1" applyFill="1" applyFont="1" applyNumberFormat="1">
      <alignment horizontal="left"/>
    </xf>
    <xf borderId="0" fillId="10" fontId="2" numFmtId="49" xfId="0" applyAlignment="1" applyFill="1" applyFont="1" applyNumberFormat="1">
      <alignment horizontal="left"/>
    </xf>
    <xf borderId="0" fillId="0" fontId="18" numFmtId="0" xfId="0" applyFont="1"/>
    <xf borderId="0" fillId="0" fontId="18" numFmtId="0" xfId="0" applyAlignment="1" applyFont="1">
      <alignment readingOrder="0"/>
    </xf>
    <xf quotePrefix="1" borderId="0" fillId="0" fontId="18" numFmtId="0" xfId="0" applyAlignment="1" applyFont="1">
      <alignment readingOrder="0"/>
    </xf>
    <xf borderId="0" fillId="2" fontId="27" numFmtId="0" xfId="0" applyFont="1"/>
    <xf borderId="0" fillId="2" fontId="28" numFmtId="0" xfId="0" applyAlignment="1" applyFont="1">
      <alignment horizontal="right" vertical="bottom"/>
    </xf>
    <xf borderId="0" fillId="2" fontId="29" numFmtId="0" xfId="0" applyFont="1"/>
    <xf borderId="3" fillId="0" fontId="18" numFmtId="0" xfId="0" applyAlignment="1" applyBorder="1" applyFont="1">
      <alignment readingOrder="0"/>
    </xf>
    <xf borderId="4" fillId="0" fontId="30" numFmtId="0" xfId="0" applyAlignment="1" applyBorder="1" applyFont="1">
      <alignment horizontal="left"/>
    </xf>
    <xf borderId="5" fillId="0" fontId="25" numFmtId="0" xfId="0" applyAlignment="1" applyBorder="1" applyFont="1">
      <alignment shrinkToFit="0" vertical="bottom" wrapText="0"/>
    </xf>
    <xf borderId="6" fillId="0" fontId="25" numFmtId="0" xfId="0" applyAlignment="1" applyBorder="1" applyFont="1">
      <alignment shrinkToFit="0" vertical="bottom" wrapText="0"/>
    </xf>
    <xf borderId="6" fillId="0" fontId="25" numFmtId="0" xfId="0" applyAlignment="1" applyBorder="1" applyFont="1">
      <alignment shrinkToFit="0" vertical="bottom" wrapText="0"/>
    </xf>
    <xf borderId="7" fillId="0" fontId="18" numFmtId="0" xfId="0" applyBorder="1" applyFont="1"/>
    <xf borderId="8" fillId="0" fontId="31" numFmtId="0" xfId="0" applyAlignment="1" applyBorder="1" applyFont="1">
      <alignment horizontal="left"/>
    </xf>
    <xf borderId="9" fillId="0" fontId="18" numFmtId="0" xfId="0" applyBorder="1" applyFont="1"/>
    <xf borderId="10" fillId="0" fontId="18" numFmtId="0" xfId="0" applyBorder="1" applyFont="1"/>
    <xf borderId="11" fillId="0" fontId="18" numFmtId="0" xfId="0" applyAlignment="1" applyBorder="1" applyFont="1">
      <alignment readingOrder="0"/>
    </xf>
    <xf borderId="0" fillId="0" fontId="31" numFmtId="0" xfId="0" applyAlignment="1" applyFont="1">
      <alignment horizontal="left" readingOrder="0"/>
    </xf>
    <xf borderId="3" fillId="0" fontId="18" numFmtId="0" xfId="0" applyBorder="1" applyFont="1"/>
    <xf borderId="12" fillId="0" fontId="18" numFmtId="0" xfId="0" applyBorder="1" applyFont="1"/>
    <xf borderId="13" fillId="0" fontId="18" numFmtId="0" xfId="0" applyBorder="1" applyFont="1"/>
    <xf borderId="4" fillId="0" fontId="18" numFmtId="0" xfId="0" applyBorder="1" applyFont="1"/>
    <xf borderId="11" fillId="0" fontId="18" numFmtId="0" xfId="0" applyBorder="1" applyFont="1"/>
    <xf borderId="14" fillId="0" fontId="18" numFmtId="0" xfId="0" applyBorder="1" applyFont="1"/>
    <xf borderId="15" fillId="0" fontId="18" numFmtId="0" xfId="0" applyBorder="1" applyFont="1"/>
    <xf borderId="0" fillId="0" fontId="18" numFmtId="0" xfId="0" applyAlignment="1" applyFont="1">
      <alignment readingOrder="0"/>
    </xf>
    <xf borderId="7" fillId="0" fontId="18" numFmtId="0" xfId="0" applyAlignment="1" applyBorder="1" applyFont="1">
      <alignment readingOrder="0"/>
    </xf>
    <xf borderId="8" fillId="0" fontId="18" numFmtId="0" xfId="0" applyAlignment="1" applyBorder="1" applyFont="1">
      <alignment readingOrder="0"/>
    </xf>
    <xf borderId="8" fillId="0" fontId="18" numFmtId="0" xfId="0" applyBorder="1" applyFont="1"/>
    <xf borderId="0" fillId="0" fontId="18" numFmtId="4" xfId="0" applyFont="1" applyNumberFormat="1"/>
    <xf borderId="0" fillId="2" fontId="32" numFmtId="0" xfId="0" applyAlignment="1" applyFont="1">
      <alignment horizontal="left" readingOrder="0" vertical="bottom"/>
    </xf>
    <xf borderId="0" fillId="0" fontId="33" numFmtId="4" xfId="0" applyFont="1" applyNumberFormat="1"/>
    <xf borderId="0" fillId="0" fontId="34" numFmtId="4" xfId="0" applyFont="1" applyNumberFormat="1"/>
    <xf borderId="1" fillId="2" fontId="1" numFmtId="4" xfId="0" applyAlignment="1" applyBorder="1" applyFont="1" applyNumberFormat="1">
      <alignment horizontal="left" vertical="bottom"/>
    </xf>
    <xf borderId="0" fillId="2" fontId="1" numFmtId="4" xfId="0" applyAlignment="1" applyFont="1" applyNumberFormat="1">
      <alignment horizontal="left" vertical="bottom"/>
    </xf>
    <xf borderId="2" fillId="2" fontId="1" numFmtId="4" xfId="0" applyAlignment="1" applyBorder="1" applyFont="1" applyNumberFormat="1">
      <alignment horizontal="left" vertical="bottom"/>
    </xf>
    <xf borderId="2" fillId="2" fontId="18" numFmtId="4" xfId="0" applyBorder="1" applyFont="1" applyNumberFormat="1"/>
    <xf borderId="1" fillId="2" fontId="18" numFmtId="4" xfId="0" applyBorder="1" applyFont="1" applyNumberFormat="1"/>
    <xf borderId="0" fillId="2" fontId="18" numFmtId="4" xfId="0" applyFont="1" applyNumberFormat="1"/>
    <xf borderId="0" fillId="0" fontId="18" numFmtId="4" xfId="0" applyAlignment="1" applyFont="1" applyNumberFormat="1">
      <alignment readingOrder="0"/>
    </xf>
    <xf borderId="0" fillId="0" fontId="18" numFmtId="1" xfId="0" applyAlignment="1" applyFont="1" applyNumberFormat="1">
      <alignment readingOrder="0"/>
    </xf>
    <xf borderId="0" fillId="0" fontId="18" numFmtId="0" xfId="0" applyAlignment="1" applyFont="1">
      <alignment horizontal="left" readingOrder="0"/>
    </xf>
    <xf borderId="0" fillId="0" fontId="34" numFmtId="0" xfId="0" applyAlignment="1" applyFont="1">
      <alignment readingOrder="0"/>
    </xf>
    <xf borderId="0" fillId="0" fontId="35" numFmtId="0" xfId="0" applyAlignment="1" applyFont="1">
      <alignment readingOrder="0"/>
    </xf>
    <xf quotePrefix="1" borderId="0" fillId="0" fontId="34" numFmtId="0" xfId="0" applyAlignment="1" applyFont="1">
      <alignment horizontal="left" readingOrder="0"/>
    </xf>
    <xf borderId="0" fillId="0" fontId="34" numFmtId="0" xfId="0" applyAlignment="1" applyFont="1">
      <alignment horizontal="left" readingOrder="0"/>
    </xf>
    <xf borderId="0" fillId="0" fontId="34" numFmtId="0" xfId="0" applyAlignment="1" applyFont="1">
      <alignment readingOrder="0"/>
    </xf>
    <xf quotePrefix="1" borderId="0" fillId="0" fontId="34" numFmtId="0" xfId="0" applyAlignment="1" applyFont="1">
      <alignment readingOrder="0"/>
    </xf>
    <xf borderId="0" fillId="0" fontId="34" numFmtId="0" xfId="0" applyFont="1"/>
    <xf borderId="1" fillId="0" fontId="18" numFmtId="0" xfId="0" applyAlignment="1" applyBorder="1" applyFont="1">
      <alignment readingOrder="0"/>
    </xf>
    <xf borderId="1" fillId="0" fontId="18" numFmtId="0" xfId="0" applyBorder="1" applyFont="1"/>
    <xf borderId="1" fillId="0" fontId="18" numFmtId="0" xfId="0" applyAlignment="1" applyBorder="1" applyFont="1">
      <alignment horizontal="left" readingOrder="0"/>
    </xf>
    <xf borderId="0" fillId="0" fontId="18" numFmtId="0" xfId="0" applyAlignment="1" applyFont="1">
      <alignment horizontal="left"/>
    </xf>
    <xf borderId="0" fillId="0" fontId="36" numFmtId="0" xfId="0" applyAlignment="1" applyFont="1">
      <alignment horizontal="left"/>
    </xf>
    <xf borderId="0" fillId="0" fontId="37" numFmtId="0" xfId="0" applyAlignment="1" applyFont="1">
      <alignment horizontal="left" readingOrder="0"/>
    </xf>
    <xf borderId="0" fillId="0" fontId="38" numFmtId="0" xfId="0" applyFont="1"/>
    <xf borderId="2" fillId="0" fontId="18" numFmtId="0" xfId="0" applyAlignment="1" applyBorder="1" applyFont="1">
      <alignment readingOrder="0"/>
    </xf>
    <xf borderId="2" fillId="0" fontId="18" numFmtId="0" xfId="0" applyBorder="1" applyFont="1"/>
    <xf borderId="2" fillId="0" fontId="18" numFmtId="0" xfId="0" applyAlignment="1" applyBorder="1" applyFont="1">
      <alignment horizontal="left"/>
    </xf>
    <xf borderId="2" fillId="0" fontId="39" numFmtId="0" xfId="0" applyAlignment="1" applyBorder="1" applyFont="1">
      <alignment horizontal="left" readingOrder="0"/>
    </xf>
    <xf borderId="2" fillId="0" fontId="18" numFmtId="0" xfId="0" applyAlignment="1" applyBorder="1" applyFont="1">
      <alignment horizontal="left" readingOrder="0"/>
    </xf>
    <xf borderId="2" fillId="0" fontId="40" numFmtId="0" xfId="0" applyBorder="1" applyFont="1"/>
    <xf borderId="2" fillId="0" fontId="41" numFmtId="0" xfId="0" applyAlignment="1" applyBorder="1" applyFont="1">
      <alignment readingOrder="0"/>
    </xf>
    <xf borderId="0" fillId="0" fontId="42" numFmtId="0" xfId="0" applyAlignment="1" applyFont="1">
      <alignment readingOrder="0"/>
    </xf>
    <xf borderId="2" fillId="0" fontId="43" numFmtId="0" xfId="0" applyAlignment="1" applyBorder="1" applyFont="1">
      <alignment horizontal="left"/>
    </xf>
    <xf borderId="0" fillId="0" fontId="25" numFmtId="0" xfId="0" applyAlignment="1" applyFont="1">
      <alignment horizontal="right" vertical="bottom"/>
    </xf>
    <xf borderId="0" fillId="0" fontId="18" numFmtId="0" xfId="0" applyFont="1"/>
    <xf borderId="5" fillId="0" fontId="44" numFmtId="0" xfId="0" applyAlignment="1" applyBorder="1" applyFont="1">
      <alignment horizontal="center" readingOrder="0" vertical="center"/>
    </xf>
    <xf borderId="5" fillId="0" fontId="18" numFmtId="0" xfId="0" applyAlignment="1" applyBorder="1" applyFont="1">
      <alignment horizontal="center" vertical="center"/>
    </xf>
    <xf borderId="5" fillId="0" fontId="18" numFmtId="46" xfId="0" applyAlignment="1" applyBorder="1" applyFont="1" applyNumberFormat="1">
      <alignment horizontal="center" vertical="center"/>
    </xf>
    <xf borderId="5" fillId="0" fontId="45" numFmtId="0" xfId="0" applyAlignment="1" applyBorder="1" applyFont="1">
      <alignment horizontal="center" readingOrder="0" vertical="center"/>
    </xf>
    <xf borderId="5" fillId="0" fontId="46" numFmtId="0" xfId="0" applyAlignment="1" applyBorder="1" applyFont="1">
      <alignment horizontal="center" vertical="center"/>
    </xf>
    <xf borderId="5" fillId="11" fontId="47" numFmtId="0" xfId="0" applyAlignment="1" applyBorder="1" applyFill="1" applyFont="1">
      <alignment horizontal="center" readingOrder="0" vertical="center"/>
    </xf>
    <xf borderId="5" fillId="2" fontId="48" numFmtId="0" xfId="0" applyAlignment="1" applyBorder="1" applyFont="1">
      <alignment horizontal="center" readingOrder="0" vertical="center"/>
    </xf>
    <xf borderId="5" fillId="11" fontId="18" numFmtId="0" xfId="0" applyAlignment="1" applyBorder="1" applyFont="1">
      <alignment horizontal="center" readingOrder="0" vertical="center"/>
    </xf>
    <xf borderId="5" fillId="0" fontId="47" numFmtId="0" xfId="0" applyAlignment="1" applyBorder="1" applyFont="1">
      <alignment horizontal="center" readingOrder="0" vertical="center"/>
    </xf>
    <xf borderId="5" fillId="0" fontId="49" numFmtId="0" xfId="0" applyAlignment="1" applyBorder="1" applyFont="1">
      <alignment horizontal="center" readingOrder="0" vertical="center"/>
    </xf>
    <xf borderId="5" fillId="0" fontId="34" numFmtId="0" xfId="0" applyAlignment="1" applyBorder="1" applyFont="1">
      <alignment horizontal="center" readingOrder="0" vertical="center"/>
    </xf>
    <xf borderId="5" fillId="0" fontId="47" numFmtId="46" xfId="0" applyAlignment="1" applyBorder="1" applyFont="1" applyNumberFormat="1">
      <alignment horizontal="center" vertical="center"/>
    </xf>
    <xf borderId="5" fillId="11" fontId="6" numFmtId="0" xfId="0" applyAlignment="1" applyBorder="1" applyFont="1">
      <alignment horizontal="center" readingOrder="0" shrinkToFit="0" vertical="center" wrapText="1"/>
    </xf>
    <xf borderId="5" fillId="11" fontId="47" numFmtId="0" xfId="0" applyAlignment="1" applyBorder="1" applyFont="1">
      <alignment horizontal="center" readingOrder="0" shrinkToFit="0" vertical="center" wrapText="1"/>
    </xf>
    <xf borderId="5" fillId="11" fontId="47" numFmtId="46" xfId="0" applyAlignment="1" applyBorder="1" applyFont="1" applyNumberFormat="1">
      <alignment horizontal="center" readingOrder="0" shrinkToFit="0" vertical="center" wrapText="1"/>
    </xf>
    <xf borderId="5" fillId="11" fontId="47" numFmtId="164" xfId="0" applyAlignment="1" applyBorder="1" applyFont="1" applyNumberFormat="1">
      <alignment horizontal="center" vertical="center"/>
    </xf>
    <xf borderId="5" fillId="11" fontId="25" numFmtId="0" xfId="0" applyAlignment="1" applyBorder="1" applyFont="1">
      <alignment horizontal="center" shrinkToFit="0" vertical="center" wrapText="1"/>
    </xf>
    <xf borderId="5" fillId="11" fontId="25" numFmtId="0" xfId="0" applyAlignment="1" applyBorder="1" applyFont="1">
      <alignment horizontal="center" shrinkToFit="0" vertical="center" wrapText="1"/>
    </xf>
    <xf borderId="5" fillId="11" fontId="18" numFmtId="46" xfId="0" applyAlignment="1" applyBorder="1" applyFont="1" applyNumberFormat="1">
      <alignment horizontal="center" readingOrder="0" vertical="center"/>
    </xf>
    <xf borderId="5" fillId="11" fontId="46" numFmtId="46" xfId="0" applyAlignment="1" applyBorder="1" applyFont="1" applyNumberFormat="1">
      <alignment horizontal="center" vertical="center"/>
    </xf>
    <xf borderId="5" fillId="11" fontId="46" numFmtId="0" xfId="0" applyAlignment="1" applyBorder="1" applyFont="1">
      <alignment horizontal="center" vertical="center"/>
    </xf>
    <xf borderId="5" fillId="12" fontId="25" numFmtId="0" xfId="0" applyAlignment="1" applyBorder="1" applyFill="1" applyFont="1">
      <alignment horizontal="center" shrinkToFit="0" vertical="center" wrapText="1"/>
    </xf>
    <xf borderId="5" fillId="12" fontId="18" numFmtId="0" xfId="0" applyAlignment="1" applyBorder="1" applyFont="1">
      <alignment horizontal="center" readingOrder="0" vertical="center"/>
    </xf>
    <xf borderId="5" fillId="12" fontId="18" numFmtId="46" xfId="0" applyAlignment="1" applyBorder="1" applyFont="1" applyNumberFormat="1">
      <alignment horizontal="center" readingOrder="0" vertical="center"/>
    </xf>
    <xf borderId="5" fillId="12" fontId="46" numFmtId="0" xfId="0" applyAlignment="1" applyBorder="1" applyFont="1">
      <alignment horizontal="center" vertical="center"/>
    </xf>
    <xf borderId="0" fillId="12" fontId="18" numFmtId="0" xfId="0" applyFont="1"/>
    <xf borderId="5" fillId="11" fontId="25" numFmtId="0" xfId="0" applyAlignment="1" applyBorder="1" applyFont="1">
      <alignment horizontal="center" vertical="center"/>
    </xf>
    <xf borderId="5" fillId="11" fontId="25" numFmtId="0" xfId="0" applyAlignment="1" applyBorder="1" applyFont="1">
      <alignment horizontal="center" readingOrder="0" shrinkToFit="0" vertical="center" wrapText="1"/>
    </xf>
    <xf borderId="5" fillId="11" fontId="50" numFmtId="0" xfId="0" applyAlignment="1" applyBorder="1" applyFont="1">
      <alignment horizontal="center" shrinkToFit="0" vertical="center" wrapText="1"/>
    </xf>
    <xf borderId="0" fillId="0" fontId="18" numFmtId="46" xfId="0" applyFont="1" applyNumberFormat="1"/>
    <xf borderId="0" fillId="0" fontId="46" numFmtId="0" xfId="0" applyFont="1"/>
    <xf borderId="5" fillId="11" fontId="24" numFmtId="0" xfId="0" applyAlignment="1" applyBorder="1" applyFont="1">
      <alignment shrinkToFit="0" vertical="bottom" wrapText="0"/>
    </xf>
    <xf borderId="5" fillId="11" fontId="24" numFmtId="0" xfId="0" applyAlignment="1" applyBorder="1" applyFont="1">
      <alignment readingOrder="0" shrinkToFit="0" vertical="bottom" wrapText="0"/>
    </xf>
    <xf borderId="5" fillId="0" fontId="18" numFmtId="0" xfId="0" applyAlignment="1" applyBorder="1" applyFont="1">
      <alignment shrinkToFit="0" wrapText="0"/>
    </xf>
    <xf borderId="5" fillId="0" fontId="25" numFmtId="0" xfId="0" applyAlignment="1" applyBorder="1" applyFont="1">
      <alignment readingOrder="0" shrinkToFit="0" vertical="bottom" wrapText="0"/>
    </xf>
    <xf borderId="5" fillId="2" fontId="51" numFmtId="0" xfId="0" applyAlignment="1" applyBorder="1" applyFont="1">
      <alignment horizontal="left" readingOrder="0" shrinkToFit="0" wrapText="0"/>
    </xf>
    <xf borderId="5" fillId="0" fontId="25" numFmtId="165" xfId="0" applyAlignment="1" applyBorder="1" applyFont="1" applyNumberFormat="1">
      <alignment readingOrder="0" shrinkToFit="0" vertical="bottom" wrapText="0"/>
    </xf>
    <xf borderId="5" fillId="0" fontId="25" numFmtId="166" xfId="0" applyAlignment="1" applyBorder="1" applyFont="1" applyNumberFormat="1">
      <alignment readingOrder="0" shrinkToFit="0" vertical="bottom" wrapText="0"/>
    </xf>
    <xf borderId="0" fillId="0" fontId="52" numFmtId="0" xfId="0" applyAlignment="1" applyFont="1">
      <alignment horizontal="center" readingOrder="0" shrinkToFit="0" vertical="center" wrapText="0"/>
    </xf>
    <xf borderId="0" fillId="0" fontId="52" numFmtId="167" xfId="0" applyAlignment="1" applyFont="1" applyNumberFormat="1">
      <alignment horizontal="center" readingOrder="0" shrinkToFit="0" vertical="center" wrapText="0"/>
    </xf>
    <xf borderId="5" fillId="0" fontId="47" numFmtId="167" xfId="0" applyAlignment="1" applyBorder="1" applyFont="1" applyNumberFormat="1">
      <alignment horizontal="center" readingOrder="0" vertical="center"/>
    </xf>
    <xf borderId="5" fillId="0" fontId="53" numFmtId="167" xfId="0" applyAlignment="1" applyBorder="1" applyFont="1" applyNumberFormat="1">
      <alignment horizontal="right" readingOrder="0" shrinkToFit="0" vertical="bottom" wrapText="0"/>
    </xf>
    <xf borderId="5" fillId="0" fontId="52" numFmtId="0" xfId="0" applyAlignment="1" applyBorder="1" applyFont="1">
      <alignment horizontal="center" readingOrder="0" shrinkToFit="0" vertical="center" wrapText="0"/>
    </xf>
    <xf borderId="5" fillId="0" fontId="53" numFmtId="167" xfId="0" applyAlignment="1" applyBorder="1" applyFont="1" applyNumberFormat="1">
      <alignment horizontal="center" readingOrder="0" shrinkToFit="0" vertical="center" wrapText="0"/>
    </xf>
    <xf borderId="0" fillId="0" fontId="52" numFmtId="0" xfId="0" applyAlignment="1" applyFont="1">
      <alignment readingOrder="0" shrinkToFit="0" vertical="bottom" wrapText="0"/>
    </xf>
    <xf borderId="5" fillId="0" fontId="52" numFmtId="0" xfId="0" applyAlignment="1" applyBorder="1" applyFont="1">
      <alignment readingOrder="0" shrinkToFit="0" vertical="bottom" wrapText="0"/>
    </xf>
    <xf borderId="5" fillId="0" fontId="52" numFmtId="168" xfId="0" applyAlignment="1" applyBorder="1" applyFont="1" applyNumberFormat="1">
      <alignment readingOrder="0" shrinkToFit="0" vertical="bottom" wrapText="0"/>
    </xf>
    <xf borderId="5" fillId="0" fontId="54" numFmtId="169" xfId="0" applyAlignment="1" applyBorder="1" applyFont="1" applyNumberFormat="1">
      <alignment readingOrder="0" shrinkToFit="0" vertical="bottom" wrapText="0"/>
    </xf>
    <xf borderId="5" fillId="0" fontId="18" numFmtId="0" xfId="0" applyBorder="1" applyFont="1"/>
    <xf borderId="5" fillId="0" fontId="18" numFmtId="168" xfId="0" applyAlignment="1" applyBorder="1" applyFont="1" applyNumberFormat="1">
      <alignment readingOrder="0"/>
    </xf>
    <xf borderId="5" fillId="0" fontId="18" numFmtId="0" xfId="0" applyAlignment="1" applyBorder="1" applyFont="1">
      <alignment readingOrder="0"/>
    </xf>
    <xf borderId="16" fillId="13" fontId="25" numFmtId="0" xfId="0" applyAlignment="1" applyBorder="1" applyFill="1" applyFont="1">
      <alignment vertical="bottom"/>
    </xf>
    <xf borderId="17" fillId="2" fontId="25" numFmtId="46" xfId="0" applyAlignment="1" applyBorder="1" applyFont="1" applyNumberFormat="1">
      <alignment horizontal="right" vertical="bottom"/>
    </xf>
    <xf borderId="18" fillId="13" fontId="25" numFmtId="0" xfId="0" applyAlignment="1" applyBorder="1" applyFont="1">
      <alignment vertical="bottom"/>
    </xf>
    <xf borderId="19" fillId="2" fontId="25" numFmtId="46" xfId="0" applyAlignment="1" applyBorder="1" applyFont="1" applyNumberFormat="1">
      <alignment horizontal="right" vertical="bottom"/>
    </xf>
    <xf borderId="0" fillId="0" fontId="55" numFmtId="0" xfId="0" applyAlignment="1" applyFont="1">
      <alignment readingOrder="0" shrinkToFit="0" vertical="bottom" wrapText="0"/>
    </xf>
    <xf borderId="0" fillId="0" fontId="55" numFmtId="170" xfId="0" applyAlignment="1" applyFont="1" applyNumberFormat="1">
      <alignment horizontal="right" readingOrder="0" shrinkToFit="0" vertical="bottom" wrapText="0"/>
    </xf>
    <xf borderId="0" fillId="0" fontId="54" numFmtId="0" xfId="0" applyAlignment="1" applyFont="1">
      <alignment readingOrder="0" shrinkToFit="0" vertical="bottom" wrapText="0"/>
    </xf>
    <xf borderId="0" fillId="0" fontId="54" numFmtId="170" xfId="0" applyAlignment="1" applyFont="1" applyNumberFormat="1">
      <alignment readingOrder="0" shrinkToFit="0" vertical="bottom" wrapText="0"/>
    </xf>
    <xf borderId="0" fillId="0" fontId="52" numFmtId="0" xfId="0" applyAlignment="1" applyFont="1">
      <alignment readingOrder="0" shrinkToFit="0" vertical="bottom" wrapText="0"/>
    </xf>
    <xf borderId="5" fillId="0" fontId="54" numFmtId="0" xfId="0" applyAlignment="1" applyBorder="1" applyFont="1">
      <alignment horizontal="center" readingOrder="0" shrinkToFit="0" vertical="center" wrapText="0"/>
    </xf>
    <xf borderId="5" fillId="0" fontId="54" numFmtId="170" xfId="0" applyAlignment="1" applyBorder="1" applyFont="1" applyNumberFormat="1">
      <alignment horizontal="center" readingOrder="0" shrinkToFit="0" vertical="center" wrapText="0"/>
    </xf>
    <xf borderId="5" fillId="0" fontId="52" numFmtId="0" xfId="0" applyAlignment="1" applyBorder="1" applyFont="1">
      <alignment readingOrder="0" shrinkToFit="0" vertical="bottom" wrapText="0"/>
    </xf>
    <xf borderId="0" fillId="13" fontId="25" numFmtId="0" xfId="0" applyAlignment="1" applyFont="1">
      <alignment vertical="bottom"/>
    </xf>
    <xf borderId="20" fillId="13" fontId="25" numFmtId="0" xfId="0" applyAlignment="1" applyBorder="1" applyFont="1">
      <alignment vertical="bottom"/>
    </xf>
    <xf borderId="0" fillId="2" fontId="25" numFmtId="46" xfId="0" applyAlignment="1" applyFont="1" applyNumberFormat="1">
      <alignment horizontal="right" vertical="bottom"/>
    </xf>
    <xf borderId="5" fillId="0" fontId="54" numFmtId="0" xfId="0" applyAlignment="1" applyBorder="1" applyFont="1">
      <alignment readingOrder="0" shrinkToFit="0" vertical="bottom" wrapText="0"/>
    </xf>
    <xf borderId="5" fillId="0" fontId="54" numFmtId="170" xfId="0" applyAlignment="1" applyBorder="1" applyFont="1" applyNumberFormat="1">
      <alignment readingOrder="0" shrinkToFit="0" vertical="bottom" wrapText="0"/>
    </xf>
    <xf borderId="21" fillId="13" fontId="25" numFmtId="0" xfId="0" applyAlignment="1" applyBorder="1" applyFont="1">
      <alignment vertical="bottom"/>
    </xf>
    <xf borderId="22" fillId="2" fontId="25" numFmtId="46" xfId="0" applyAlignment="1" applyBorder="1" applyFont="1" applyNumberFormat="1">
      <alignment horizontal="right" vertical="bottom"/>
    </xf>
    <xf borderId="5" fillId="0" fontId="54" numFmtId="167" xfId="0" applyAlignment="1" applyBorder="1" applyFont="1" applyNumberFormat="1">
      <alignment readingOrder="0" shrinkToFit="0" vertical="bottom" wrapText="0"/>
    </xf>
    <xf borderId="5" fillId="0" fontId="56" numFmtId="167" xfId="0" applyAlignment="1" applyBorder="1" applyFont="1" applyNumberFormat="1">
      <alignment horizontal="right" readingOrder="0" shrinkToFit="0" wrapText="1"/>
    </xf>
    <xf borderId="5" fillId="14" fontId="57" numFmtId="167" xfId="0" applyAlignment="1" applyBorder="1" applyFill="1" applyFont="1" applyNumberFormat="1">
      <alignment horizontal="right" readingOrder="0"/>
    </xf>
    <xf borderId="0" fillId="0" fontId="18" numFmtId="0" xfId="0" applyAlignment="1" applyFont="1">
      <alignment horizontal="center" vertical="center"/>
    </xf>
    <xf borderId="0" fillId="13" fontId="25" numFmtId="0" xfId="0" applyAlignment="1" applyFont="1">
      <alignment vertical="bottom"/>
    </xf>
    <xf borderId="20" fillId="13" fontId="25" numFmtId="0" xfId="0" applyAlignment="1" applyBorder="1" applyFont="1">
      <alignment vertical="bottom"/>
    </xf>
    <xf borderId="21" fillId="13" fontId="25" numFmtId="0" xfId="0" applyAlignment="1" applyBorder="1" applyFont="1">
      <alignment vertical="bottom"/>
    </xf>
    <xf borderId="5" fillId="0" fontId="58" numFmtId="0" xfId="0" applyAlignment="1" applyBorder="1" applyFont="1">
      <alignment horizontal="center" readingOrder="0" vertical="center"/>
    </xf>
    <xf borderId="5" fillId="0" fontId="58" numFmtId="0" xfId="0" applyAlignment="1" applyBorder="1" applyFont="1">
      <alignment horizontal="center" vertical="center"/>
    </xf>
    <xf borderId="5" fillId="0" fontId="24" numFmtId="1" xfId="0" applyAlignment="1" applyBorder="1" applyFont="1" applyNumberFormat="1">
      <alignment horizontal="center" vertical="center"/>
    </xf>
    <xf borderId="5" fillId="0" fontId="24" numFmtId="46" xfId="0" applyAlignment="1" applyBorder="1" applyFont="1" applyNumberFormat="1">
      <alignment horizontal="center" vertical="center"/>
    </xf>
    <xf borderId="5" fillId="0" fontId="18" numFmtId="0" xfId="0" applyAlignment="1" applyBorder="1" applyFont="1">
      <alignment horizontal="left" vertical="center"/>
    </xf>
    <xf borderId="5" fillId="0" fontId="59" numFmtId="0" xfId="0" applyAlignment="1" applyBorder="1" applyFont="1">
      <alignment horizontal="center" vertical="center"/>
    </xf>
    <xf borderId="5" fillId="0" fontId="59" numFmtId="1" xfId="0" applyAlignment="1" applyBorder="1" applyFont="1" applyNumberFormat="1">
      <alignment horizontal="center" readingOrder="0" vertical="center"/>
    </xf>
    <xf borderId="5" fillId="0" fontId="59" numFmtId="46" xfId="0" applyAlignment="1" applyBorder="1" applyFont="1" applyNumberFormat="1">
      <alignment horizontal="center" readingOrder="0" vertical="center"/>
    </xf>
    <xf borderId="5" fillId="0" fontId="60" numFmtId="0" xfId="0" applyAlignment="1" applyBorder="1" applyFont="1">
      <alignment horizontal="center" vertical="center"/>
    </xf>
    <xf borderId="5" fillId="2" fontId="60" numFmtId="0" xfId="0" applyAlignment="1" applyBorder="1" applyFont="1">
      <alignment horizontal="center" vertical="center"/>
    </xf>
    <xf borderId="5" fillId="0" fontId="60" numFmtId="1" xfId="0" applyAlignment="1" applyBorder="1" applyFont="1" applyNumberFormat="1">
      <alignment horizontal="center" vertical="center"/>
    </xf>
    <xf borderId="5" fillId="0" fontId="60" numFmtId="46" xfId="0" applyAlignment="1" applyBorder="1" applyFont="1" applyNumberFormat="1">
      <alignment horizontal="center" vertical="center"/>
    </xf>
    <xf borderId="5" fillId="0" fontId="61" numFmtId="0" xfId="0" applyAlignment="1" applyBorder="1" applyFont="1">
      <alignment horizontal="left" readingOrder="0" shrinkToFit="0" vertical="center" wrapText="0"/>
    </xf>
    <xf borderId="5" fillId="15" fontId="62" numFmtId="0" xfId="0" applyAlignment="1" applyBorder="1" applyFill="1" applyFont="1">
      <alignment horizontal="left" readingOrder="0" shrinkToFit="0" vertical="center" wrapText="0"/>
    </xf>
    <xf borderId="5" fillId="0" fontId="59" numFmtId="1" xfId="0" applyAlignment="1" applyBorder="1" applyFont="1" applyNumberFormat="1">
      <alignment horizontal="center" vertical="center"/>
    </xf>
    <xf borderId="5" fillId="0" fontId="18" numFmtId="1" xfId="0" applyAlignment="1" applyBorder="1" applyFont="1" applyNumberFormat="1">
      <alignment horizontal="center" vertical="center"/>
    </xf>
    <xf borderId="5" fillId="0" fontId="63" numFmtId="0" xfId="0" applyAlignment="1" applyBorder="1" applyFont="1">
      <alignment horizontal="center" readingOrder="0" vertical="center"/>
    </xf>
    <xf borderId="5" fillId="0" fontId="63" numFmtId="0" xfId="0" applyAlignment="1" applyBorder="1" applyFont="1">
      <alignment horizontal="center" vertical="center"/>
    </xf>
    <xf borderId="5" fillId="0" fontId="64" numFmtId="0" xfId="0" applyAlignment="1" applyBorder="1" applyFont="1">
      <alignment horizontal="left" shrinkToFit="0" vertical="center" wrapText="0"/>
    </xf>
    <xf borderId="5" fillId="2" fontId="65" numFmtId="0" xfId="0" applyAlignment="1" applyBorder="1" applyFont="1">
      <alignment horizontal="center" readingOrder="0" vertical="center"/>
    </xf>
    <xf borderId="5" fillId="0" fontId="66" numFmtId="0" xfId="0" applyAlignment="1" applyBorder="1" applyFont="1">
      <alignment horizontal="left" shrinkToFit="0" vertical="center" wrapText="0"/>
    </xf>
    <xf borderId="5" fillId="0" fontId="67" numFmtId="0" xfId="0" applyAlignment="1" applyBorder="1" applyFont="1">
      <alignment horizontal="left" shrinkToFit="0" vertical="center" wrapText="0"/>
    </xf>
    <xf borderId="5" fillId="0" fontId="34" numFmtId="46" xfId="0" applyAlignment="1" applyBorder="1" applyFont="1" applyNumberFormat="1">
      <alignment horizontal="center" readingOrder="0" vertical="center"/>
    </xf>
    <xf borderId="5" fillId="0" fontId="34" numFmtId="165" xfId="0" applyAlignment="1" applyBorder="1" applyFont="1" applyNumberFormat="1">
      <alignment horizontal="center" readingOrder="0" vertical="center"/>
    </xf>
    <xf borderId="5" fillId="0" fontId="68" numFmtId="0" xfId="0" applyAlignment="1" applyBorder="1" applyFont="1">
      <alignment horizontal="center" readingOrder="0" vertical="center"/>
    </xf>
    <xf borderId="5" fillId="2" fontId="68" numFmtId="0" xfId="0" applyAlignment="1" applyBorder="1" applyFont="1">
      <alignment horizontal="center" readingOrder="0" vertical="center"/>
    </xf>
    <xf borderId="5" fillId="2" fontId="69" numFmtId="0" xfId="0" applyAlignment="1" applyBorder="1" applyFont="1">
      <alignment horizontal="left" readingOrder="0" shrinkToFit="0" vertical="center" wrapText="0"/>
    </xf>
    <xf borderId="5" fillId="0" fontId="51" numFmtId="0" xfId="0" applyAlignment="1" applyBorder="1" applyFont="1">
      <alignment horizontal="center" readingOrder="0" vertical="center"/>
    </xf>
    <xf borderId="5" fillId="0" fontId="34" numFmtId="1" xfId="0" applyAlignment="1" applyBorder="1" applyFont="1" applyNumberFormat="1">
      <alignment horizontal="center" vertical="center"/>
    </xf>
    <xf borderId="5" fillId="0" fontId="63" numFmtId="1" xfId="0" applyAlignment="1" applyBorder="1" applyFont="1" applyNumberFormat="1">
      <alignment horizontal="center" vertical="center"/>
    </xf>
    <xf borderId="5" fillId="0" fontId="70" numFmtId="46" xfId="0" applyAlignment="1" applyBorder="1" applyFont="1" applyNumberFormat="1">
      <alignment horizontal="left" shrinkToFit="0" vertical="center" wrapText="0"/>
    </xf>
    <xf borderId="5" fillId="0" fontId="34" numFmtId="46" xfId="0" applyAlignment="1" applyBorder="1" applyFont="1" applyNumberFormat="1">
      <alignment horizontal="center" vertical="center"/>
    </xf>
    <xf borderId="5" fillId="0" fontId="53" numFmtId="0" xfId="0" applyAlignment="1" applyBorder="1" applyFont="1">
      <alignment horizontal="center" readingOrder="0" vertical="center"/>
    </xf>
    <xf borderId="5" fillId="0" fontId="71" numFmtId="0" xfId="0" applyAlignment="1" applyBorder="1" applyFont="1">
      <alignment horizontal="center" readingOrder="0" vertical="center"/>
    </xf>
    <xf borderId="5" fillId="0" fontId="54" numFmtId="0" xfId="0" applyAlignment="1" applyBorder="1" applyFont="1">
      <alignment horizontal="center" vertical="center"/>
    </xf>
    <xf borderId="5" fillId="0" fontId="54" numFmtId="1" xfId="0" applyAlignment="1" applyBorder="1" applyFont="1" applyNumberFormat="1">
      <alignment horizontal="center" vertical="center"/>
    </xf>
    <xf borderId="5" fillId="0" fontId="54" numFmtId="46" xfId="0" applyAlignment="1" applyBorder="1" applyFont="1" applyNumberFormat="1">
      <alignment horizontal="center" vertical="center"/>
    </xf>
    <xf borderId="5" fillId="0" fontId="54" numFmtId="0" xfId="0" applyAlignment="1" applyBorder="1" applyFont="1">
      <alignment horizontal="left" vertical="center"/>
    </xf>
    <xf borderId="0" fillId="0" fontId="54" numFmtId="0" xfId="0" applyAlignment="1" applyFont="1">
      <alignment horizontal="center" vertical="center"/>
    </xf>
    <xf borderId="5" fillId="0" fontId="72" numFmtId="171" xfId="0" applyAlignment="1" applyBorder="1" applyFont="1" applyNumberFormat="1">
      <alignment horizontal="center" readingOrder="0" vertical="center"/>
    </xf>
    <xf borderId="5" fillId="0" fontId="51" numFmtId="0" xfId="0" applyAlignment="1" applyBorder="1" applyFont="1">
      <alignment horizontal="center" vertical="center"/>
    </xf>
    <xf borderId="5" fillId="0" fontId="51" numFmtId="1" xfId="0" applyAlignment="1" applyBorder="1" applyFont="1" applyNumberFormat="1">
      <alignment horizontal="center" vertical="center"/>
    </xf>
    <xf borderId="5" fillId="0" fontId="51" numFmtId="46" xfId="0" applyAlignment="1" applyBorder="1" applyFont="1" applyNumberFormat="1">
      <alignment horizontal="center" vertical="center"/>
    </xf>
    <xf borderId="5" fillId="0" fontId="51" numFmtId="0" xfId="0" applyAlignment="1" applyBorder="1" applyFont="1">
      <alignment horizontal="left" vertical="center"/>
    </xf>
    <xf borderId="6" fillId="0" fontId="51" numFmtId="0" xfId="0" applyAlignment="1" applyBorder="1" applyFont="1">
      <alignment horizontal="center" vertical="center"/>
    </xf>
    <xf borderId="5" fillId="0" fontId="73" numFmtId="0" xfId="0" applyAlignment="1" applyBorder="1" applyFont="1">
      <alignment horizontal="center" readingOrder="0" vertical="center"/>
    </xf>
    <xf borderId="10" fillId="0" fontId="72" numFmtId="0" xfId="0" applyAlignment="1" applyBorder="1" applyFont="1">
      <alignment horizontal="center" vertical="center"/>
    </xf>
    <xf borderId="10" fillId="0" fontId="51" numFmtId="0" xfId="0" applyAlignment="1" applyBorder="1" applyFont="1">
      <alignment horizontal="center" vertical="center"/>
    </xf>
    <xf borderId="5" fillId="0" fontId="51" numFmtId="1" xfId="0" applyAlignment="1" applyBorder="1" applyFont="1" applyNumberFormat="1">
      <alignment horizontal="center" readingOrder="0" vertical="center"/>
    </xf>
    <xf borderId="8" fillId="0" fontId="74" numFmtId="0" xfId="0" applyAlignment="1" applyBorder="1" applyFont="1">
      <alignment horizontal="center" shrinkToFit="0" vertical="center" wrapText="0"/>
    </xf>
    <xf borderId="8" fillId="0" fontId="51" numFmtId="0" xfId="0" applyAlignment="1" applyBorder="1" applyFont="1">
      <alignment horizontal="center" vertical="center"/>
    </xf>
    <xf borderId="8" fillId="2" fontId="75" numFmtId="0" xfId="0" applyAlignment="1" applyBorder="1" applyFont="1">
      <alignment horizontal="center" shrinkToFit="0" vertical="center" wrapText="0"/>
    </xf>
    <xf borderId="5" fillId="0" fontId="53" numFmtId="1" xfId="0" applyAlignment="1" applyBorder="1" applyFont="1" applyNumberFormat="1">
      <alignment horizontal="center" readingOrder="0" vertical="center"/>
    </xf>
    <xf borderId="5" fillId="0" fontId="54" numFmtId="1" xfId="0" applyAlignment="1" applyBorder="1" applyFont="1" applyNumberFormat="1">
      <alignment horizontal="center" readingOrder="0" shrinkToFit="0" vertical="center" wrapText="0"/>
    </xf>
    <xf borderId="5" fillId="0" fontId="76" numFmtId="1" xfId="0" applyAlignment="1" applyBorder="1" applyFont="1" applyNumberFormat="1">
      <alignment horizontal="left" readingOrder="0" shrinkToFit="0" vertical="center" wrapText="0"/>
    </xf>
    <xf borderId="5" fillId="0" fontId="18" numFmtId="0" xfId="0" applyAlignment="1" applyBorder="1" applyFont="1">
      <alignment horizontal="center" readingOrder="0" vertical="center"/>
    </xf>
    <xf borderId="5" fillId="0" fontId="34" numFmtId="1" xfId="0" applyAlignment="1" applyBorder="1" applyFont="1" applyNumberFormat="1">
      <alignment horizontal="center" readingOrder="0" vertical="center"/>
    </xf>
    <xf borderId="12" fillId="0" fontId="34" numFmtId="0" xfId="0" applyAlignment="1" applyBorder="1" applyFont="1">
      <alignment horizontal="center" readingOrder="0" vertical="center"/>
    </xf>
    <xf borderId="23" fillId="0" fontId="18" numFmtId="46" xfId="0" applyAlignment="1" applyBorder="1" applyFont="1" applyNumberFormat="1">
      <alignment horizontal="center" vertical="center"/>
    </xf>
    <xf borderId="6" fillId="0" fontId="18" numFmtId="0" xfId="0" applyAlignment="1" applyBorder="1" applyFont="1">
      <alignment horizontal="center" vertical="center"/>
    </xf>
    <xf borderId="9" fillId="0" fontId="18" numFmtId="0" xfId="0" applyAlignment="1" applyBorder="1" applyFont="1">
      <alignment horizontal="left" vertical="center"/>
    </xf>
    <xf borderId="5" fillId="0" fontId="77" numFmtId="0" xfId="0" applyAlignment="1" applyBorder="1" applyFont="1">
      <alignment horizontal="center" vertical="bottom"/>
    </xf>
    <xf borderId="5" fillId="0" fontId="25" numFmtId="0" xfId="0" applyAlignment="1" applyBorder="1" applyFont="1">
      <alignment horizontal="center" vertical="bottom"/>
    </xf>
    <xf borderId="5" fillId="0" fontId="78" numFmtId="0" xfId="0" applyAlignment="1" applyBorder="1" applyFont="1">
      <alignment horizontal="center" vertical="bottom"/>
    </xf>
    <xf borderId="5" fillId="0" fontId="79" numFmtId="0" xfId="0" applyAlignment="1" applyBorder="1" applyFont="1">
      <alignment shrinkToFit="0" vertical="bottom" wrapText="0"/>
    </xf>
    <xf borderId="5" fillId="0" fontId="18" numFmtId="1" xfId="0" applyAlignment="1" applyBorder="1" applyFont="1" applyNumberFormat="1">
      <alignment horizontal="center" readingOrder="0" vertical="center"/>
    </xf>
    <xf borderId="5" fillId="0" fontId="25" numFmtId="0" xfId="0" applyAlignment="1" applyBorder="1" applyFont="1">
      <alignment horizontal="center"/>
    </xf>
    <xf borderId="5" fillId="0" fontId="78" numFmtId="0" xfId="0" applyAlignment="1" applyBorder="1" applyFont="1">
      <alignment horizontal="center" vertical="bottom"/>
    </xf>
    <xf borderId="5" fillId="0" fontId="80" numFmtId="0" xfId="0" applyAlignment="1" applyBorder="1" applyFont="1">
      <alignment horizontal="center" vertical="bottom"/>
    </xf>
    <xf borderId="5" fillId="0" fontId="81" numFmtId="0" xfId="0" applyAlignment="1" applyBorder="1" applyFont="1">
      <alignment horizontal="left" readingOrder="0" vertical="center"/>
    </xf>
    <xf borderId="0" fillId="0" fontId="72" numFmtId="0" xfId="0" applyAlignment="1" applyFont="1">
      <alignment horizontal="center" readingOrder="0" shrinkToFit="0" vertical="bottom" wrapText="0"/>
    </xf>
    <xf borderId="5" fillId="0" fontId="82" numFmtId="0" xfId="0" applyAlignment="1" applyBorder="1" applyFont="1">
      <alignment horizontal="left" readingOrder="0" vertical="center"/>
    </xf>
    <xf borderId="5" fillId="0" fontId="80" numFmtId="0" xfId="0" applyAlignment="1" applyBorder="1" applyFont="1">
      <alignment horizontal="center" readingOrder="0" vertical="bottom"/>
    </xf>
    <xf borderId="5" fillId="0" fontId="80" numFmtId="0" xfId="0" applyAlignment="1" applyBorder="1" applyFont="1">
      <alignment horizontal="center" vertical="bottom"/>
    </xf>
    <xf borderId="5" fillId="0" fontId="60" numFmtId="0" xfId="0" applyAlignment="1" applyBorder="1" applyFont="1">
      <alignment horizontal="center" readingOrder="0" vertical="center"/>
    </xf>
    <xf borderId="0" fillId="0" fontId="72" numFmtId="0" xfId="0" applyAlignment="1" applyFont="1">
      <alignment horizontal="left" readingOrder="0" shrinkToFit="0" vertical="bottom" wrapText="0"/>
    </xf>
    <xf borderId="6" fillId="0" fontId="25" numFmtId="46" xfId="0" applyAlignment="1" applyBorder="1" applyFont="1" applyNumberFormat="1">
      <alignment horizontal="center"/>
    </xf>
    <xf borderId="5" fillId="0" fontId="72" numFmtId="0" xfId="0" applyAlignment="1" applyBorder="1" applyFont="1">
      <alignment horizontal="center" readingOrder="0" shrinkToFit="0" vertical="bottom" wrapText="0"/>
    </xf>
    <xf borderId="5" fillId="0" fontId="83" numFmtId="0" xfId="0" applyAlignment="1" applyBorder="1" applyFont="1">
      <alignment horizontal="left" readingOrder="0"/>
    </xf>
    <xf borderId="5" fillId="16" fontId="24" numFmtId="0" xfId="0" applyAlignment="1" applyBorder="1" applyFill="1" applyFont="1">
      <alignment horizontal="center" shrinkToFit="0" vertical="center" wrapText="1"/>
    </xf>
    <xf borderId="5" fillId="17" fontId="24" numFmtId="0" xfId="0" applyAlignment="1" applyBorder="1" applyFill="1" applyFont="1">
      <alignment horizontal="center" shrinkToFit="0" vertical="center" wrapText="1"/>
    </xf>
    <xf borderId="5" fillId="17" fontId="24" numFmtId="0" xfId="0" applyAlignment="1" applyBorder="1" applyFont="1">
      <alignment horizontal="center" shrinkToFit="0" vertical="center" wrapText="1"/>
    </xf>
    <xf borderId="5" fillId="2" fontId="25" numFmtId="0" xfId="0" applyAlignment="1" applyBorder="1" applyFont="1">
      <alignment horizontal="center" vertical="center"/>
    </xf>
    <xf borderId="5" fillId="0" fontId="25" numFmtId="0" xfId="0" applyAlignment="1" applyBorder="1" applyFont="1">
      <alignment horizontal="center" vertical="center"/>
    </xf>
    <xf borderId="5" fillId="2" fontId="25" numFmtId="0" xfId="0" applyAlignment="1" applyBorder="1" applyFont="1">
      <alignment horizontal="center" shrinkToFit="0" vertical="center" wrapText="1"/>
    </xf>
    <xf borderId="12" fillId="2" fontId="25" numFmtId="0" xfId="0" applyAlignment="1" applyBorder="1" applyFont="1">
      <alignment horizontal="center" shrinkToFit="0" vertical="center" wrapText="1"/>
    </xf>
    <xf borderId="5" fillId="2" fontId="25" numFmtId="0" xfId="0" applyAlignment="1" applyBorder="1" applyFont="1">
      <alignment horizontal="center" shrinkToFit="0" vertical="center" wrapText="1"/>
    </xf>
    <xf borderId="5" fillId="0" fontId="25" numFmtId="0" xfId="0" applyAlignment="1" applyBorder="1" applyFont="1">
      <alignment horizontal="center" vertical="center"/>
    </xf>
    <xf borderId="14" fillId="0" fontId="84" numFmtId="0" xfId="0" applyBorder="1" applyFont="1"/>
    <xf borderId="5" fillId="0" fontId="24" numFmtId="0" xfId="0" applyAlignment="1" applyBorder="1" applyFont="1">
      <alignment horizontal="center" vertical="center"/>
    </xf>
    <xf borderId="5" fillId="2" fontId="25" numFmtId="0" xfId="0" applyAlignment="1" applyBorder="1" applyFont="1">
      <alignment horizontal="center" vertical="center"/>
    </xf>
    <xf borderId="5" fillId="2" fontId="25" numFmtId="172" xfId="0" applyAlignment="1" applyBorder="1" applyFont="1" applyNumberFormat="1">
      <alignment horizontal="center" shrinkToFit="0" vertical="center" wrapText="1"/>
    </xf>
    <xf borderId="5" fillId="2" fontId="25" numFmtId="0" xfId="0" applyAlignment="1" applyBorder="1" applyFont="1">
      <alignment horizontal="center" readingOrder="0" shrinkToFit="0" vertical="center" wrapText="1"/>
    </xf>
    <xf borderId="5" fillId="2" fontId="25" numFmtId="173" xfId="0" applyAlignment="1" applyBorder="1" applyFont="1" applyNumberFormat="1">
      <alignment horizontal="center" shrinkToFit="0" vertical="center" wrapText="1"/>
    </xf>
    <xf borderId="9" fillId="0" fontId="84" numFmtId="0" xfId="0" applyBorder="1" applyFont="1"/>
  </cellXfs>
  <cellStyles count="1">
    <cellStyle xfId="0" name="Normal" builtinId="0"/>
  </cellStyles>
  <dxfs count="2">
    <dxf>
      <font/>
      <fill>
        <patternFill patternType="solid">
          <fgColor rgb="FFB7E1CD"/>
          <bgColor rgb="FFB7E1CD"/>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90" Type="http://schemas.openxmlformats.org/officeDocument/2006/relationships/hyperlink" Target="https://s3.console.aws.amazon.com/s3/buckets/prod-shaip-bucket?region=us-east-1&amp;prefix=bhasha/Swar/Bihar-Bhagalpur/AUDIO/Batch2_d1_Bihar-Bhagalpur_new_files_03102023_10h16m/&amp;showversions=false" TargetMode="External"/><Relationship Id="rId194" Type="http://schemas.openxmlformats.org/officeDocument/2006/relationships/hyperlink" Target="https://s3.console.aws.amazon.com/s3/buckets/prod-shaip-bucket?region=us-east-1&amp;prefix=bhasha/Swar/Bihar-Saharsa/AUDIO/Batch2_d1_Bihar-Saharsa_new_files_03102023_10h54m/&amp;showversions=false" TargetMode="External"/><Relationship Id="rId193" Type="http://schemas.openxmlformats.org/officeDocument/2006/relationships/hyperlink" Target="https://s3.console.aws.amazon.com/s3/buckets/prod-shaip-bucket?region=us-east-1&amp;prefix=bhasha/Swar/Bihar-Purnia/AUDIO/Batch2_d1_Bihar-Purnia_new_files_03102023_7h52m/&amp;showversions=false" TargetMode="External"/><Relationship Id="rId192" Type="http://schemas.openxmlformats.org/officeDocument/2006/relationships/hyperlink" Target="https://s3.console.aws.amazon.com/s3/buckets/prod-shaip-bucket?region=us-east-1&amp;prefix=bhasha/Swar/Bihar-Madhepura/AUDIO/Batch2_d1_Bihar-Madhepura_new_files_03102023_8h45m/&amp;showversions=false" TargetMode="External"/><Relationship Id="rId191" Type="http://schemas.openxmlformats.org/officeDocument/2006/relationships/hyperlink" Target="https://s3.console.aws.amazon.com/s3/buckets/prod-shaip-bucket?region=us-east-1&amp;prefix=bhasha/Swar/Bihar-Lakhisarai/AUDIO/Batch2_d1_Bihar-Lakhisarai_new_files_03102023_2h48m/&amp;showversions=false" TargetMode="External"/><Relationship Id="rId187" Type="http://schemas.openxmlformats.org/officeDocument/2006/relationships/hyperlink" Target="https://s3.console.aws.amazon.com/s3/buckets/prod-shaip-bucket?region=us-east-1&amp;prefix=bhasha/Swar/AP-Krishna/AUDIO/Batch1_d1_AP-Krishna_new_files_03102023_4h22m/&amp;showversions=false" TargetMode="External"/><Relationship Id="rId186" Type="http://schemas.openxmlformats.org/officeDocument/2006/relationships/hyperlink" Target="https://s3.console.aws.amazon.com/s3/buckets/prod-shaip-bucket?region=us-east-1&amp;prefix=bhasha/Swar/AP-Guntur/AUDIO/Batch1_d1_AP-Guntur_new_files_03102023_8h40m/&amp;showversions=false" TargetMode="External"/><Relationship Id="rId185" Type="http://schemas.openxmlformats.org/officeDocument/2006/relationships/hyperlink" Target="https://s3.console.aws.amazon.com/s3/buckets/prod-shaip-bucket?region=us-east-1&amp;prefix=bhasha/Swar/AP-Chittoor/AUDIO/Batch1_d1_AP-Chittoor_new_files_03102023_1h39m/&amp;showversions=false" TargetMode="External"/><Relationship Id="rId184" Type="http://schemas.openxmlformats.org/officeDocument/2006/relationships/hyperlink" Target="https://s3.console.aws.amazon.com/s3/buckets/prod-shaip-bucket?region=us-east-1&amp;prefix=bhasha/Swar/AP-Anantpur/AUDIO/Batch1_d1_AP-Anantpur_new_files_03102023_6h51m/&amp;showversions=false" TargetMode="External"/><Relationship Id="rId189" Type="http://schemas.openxmlformats.org/officeDocument/2006/relationships/hyperlink" Target="https://s3.console.aws.amazon.com/s3/buckets/prod-shaip-bucket?region=us-east-1&amp;prefix=bhasha/Swar/AP-Vishakapattanam/AUDIO/Batch2_d1_AP-Vishakapattanam_new_files_03102023_3h6m/&amp;showversions=false" TargetMode="External"/><Relationship Id="rId188" Type="http://schemas.openxmlformats.org/officeDocument/2006/relationships/hyperlink" Target="https://s3.console.aws.amazon.com/s3/buckets/prod-shaip-bucket?region=us-east-1&amp;prefix=bhasha/Swar/AP-Srikakulam/AUDIO/Batch1_d1_AP-Srikakulam_new_files_03102023_2h8m/&amp;showversions=false" TargetMode="External"/><Relationship Id="rId183" Type="http://schemas.openxmlformats.org/officeDocument/2006/relationships/hyperlink" Target="https://s3.console.aws.amazon.com/s3/buckets/prod-shaip-bucket?region=us-east-1&amp;prefix=bhasha/Swar/WestBengal-North24Parganas/AUDIO/Batch6_d1_WestBengal-North24Parganas_new_files_02212023_4h31m/&amp;showversions=false" TargetMode="External"/><Relationship Id="rId182" Type="http://schemas.openxmlformats.org/officeDocument/2006/relationships/hyperlink" Target="https://s3.console.aws.amazon.com/s3/buckets/prod-shaip-bucket?region=us-east-1&amp;prefix=bhasha/Swar/WestBengal-Kolkata/AUDIO/Batch6_d1_WestBengal-Kolkata_new_files_02212023_1h1m/&amp;showversions=false" TargetMode="External"/><Relationship Id="rId181" Type="http://schemas.openxmlformats.org/officeDocument/2006/relationships/hyperlink" Target="https://s3.console.aws.amazon.com/s3/buckets/prod-shaip-bucket?region=us-east-1&amp;prefix=bhasha/Swar/WestBengal-PaschimMedinipur/AUDIO/Batch5_d1_WestBengal-PaschimMedinipur_new_files_02212023_2h8m/&amp;showversions=false" TargetMode="External"/><Relationship Id="rId180" Type="http://schemas.openxmlformats.org/officeDocument/2006/relationships/hyperlink" Target="https://s3.console.aws.amazon.com/s3/buckets/prod-shaip-bucket?prefix=bhasha/Swar/WestBengal-Jhargram/AUDIO/Batch5_d1_WestBengal-Jhargram_new_files_02212023_1h60m/&amp;region=us-east-1" TargetMode="External"/><Relationship Id="rId176" Type="http://schemas.openxmlformats.org/officeDocument/2006/relationships/hyperlink" Target="https://s3.console.aws.amazon.com/s3/buckets/prod-shaip-bucket?region=us-east-1&amp;prefix=bhasha/Swar/Uttarpradesh-Muzzaffarnagar/AUDIO/Batch7_d1_Uttarpradesh-Muzzaffarnagar_new_files_02212023_1h36m/&amp;showversions=false" TargetMode="External"/><Relationship Id="rId175" Type="http://schemas.openxmlformats.org/officeDocument/2006/relationships/hyperlink" Target="https://s3.console.aws.amazon.com/s3/buckets/prod-shaip-bucket?region=us-east-1&amp;prefix=bhasha/Swar/Uttarpradesh-Budaun/AUDIO/Batch7_d1_Uttarpradesh-Budaun_new_files_02212023_1h55m/&amp;showversions=false" TargetMode="External"/><Relationship Id="rId174" Type="http://schemas.openxmlformats.org/officeDocument/2006/relationships/hyperlink" Target="https://s3.console.aws.amazon.com/s3/buckets/prod-shaip-bucket?region=us-east-1&amp;prefix=bhasha/Swar/Uttarpradesh-Deoria/AUDIO/Batch6_d1_Uttarpradesh-Deoria_new_files_02212023_2h41m/&amp;showversions=false" TargetMode="External"/><Relationship Id="rId173" Type="http://schemas.openxmlformats.org/officeDocument/2006/relationships/hyperlink" Target="https://s3.console.aws.amazon.com/s3/buckets/prod-shaip-bucket?region=us-east-1&amp;prefix=bhasha/Swar/Uttarpradesh-Gorakhpur/AUDIO/Batch5_d1_Uttarpradesh-Gorakhpur_new_files_02212023_1h40m/&amp;showversions=false" TargetMode="External"/><Relationship Id="rId179" Type="http://schemas.openxmlformats.org/officeDocument/2006/relationships/hyperlink" Target="https://s3.console.aws.amazon.com/s3/buckets/prod-shaip-bucket?region=us-east-1&amp;prefix=bhasha/Swar/WestBengal-Jalpaiguri/AUDIO/Batch5_d1_WestBengal-Jalpaiguri_new_files_02212023_1h23m/&amp;showversions=false" TargetMode="External"/><Relationship Id="rId178" Type="http://schemas.openxmlformats.org/officeDocument/2006/relationships/hyperlink" Target="https://s3.console.aws.amazon.com/s3/buckets/prod-shaip-bucket?region=us-east-1&amp;prefix=bhasha/Swar/WestBengal-Purulia/AUDIO/Batch1_d1_WestBengal-Purulia_new_files_02212023_1h10m/&amp;showversions=false" TargetMode="External"/><Relationship Id="rId177" Type="http://schemas.openxmlformats.org/officeDocument/2006/relationships/hyperlink" Target="https://s3.console.aws.amazon.com/s3/buckets/prod-shaip-bucket?region=us-east-1&amp;prefix=bhasha/Swar/WestBengal-Malda/AUDIO/Batch1_d1_WestBengal-Malda_new_files_02212023_2h40m/&amp;showversions=false" TargetMode="External"/><Relationship Id="rId198" Type="http://schemas.openxmlformats.org/officeDocument/2006/relationships/hyperlink" Target="https://s3.console.aws.amazon.com/s3/buckets/prod-shaip-bucket?region=us-east-1&amp;prefix=bhasha/Swar/Bihar-Supaul/AUDIO/Batch3_d1_Bihar-Supaul_new_files_03102023_20h54m/&amp;showversions=false" TargetMode="External"/><Relationship Id="rId197" Type="http://schemas.openxmlformats.org/officeDocument/2006/relationships/hyperlink" Target="https://s3.console.aws.amazon.com/s3/buckets/prod-shaip-bucket?region=us-east-1&amp;prefix=bhasha/Swar/Bihar-Kishanganj/AUDIO/Batch3_d1_Bihar-Kishanganj_new_files_03102023_2h39m/&amp;showversions=false" TargetMode="External"/><Relationship Id="rId196" Type="http://schemas.openxmlformats.org/officeDocument/2006/relationships/hyperlink" Target="https://s3.console.aws.amazon.com/s3/buckets/prod-shaip-bucket?region=us-east-1&amp;prefix=bhasha/Swar/Bihar-Gaya/AUDIO/Batch3_d1_Bihar-Gaya_new_files_03142023_4h18m/&amp;showversions=false" TargetMode="External"/><Relationship Id="rId195" Type="http://schemas.openxmlformats.org/officeDocument/2006/relationships/hyperlink" Target="https://s3.console.aws.amazon.com/s3/buckets/prod-shaip-bucket?region=us-east-1&amp;prefix=bhasha/Swar/Bihar-Darbhanga/AUDIO/Batch3_d1_Bihar-Darbhanga_new_files_03102023_4h50m/&amp;showversions=false" TargetMode="External"/><Relationship Id="rId199" Type="http://schemas.openxmlformats.org/officeDocument/2006/relationships/hyperlink" Target="https://s3.console.aws.amazon.com/s3/buckets/prod-shaip-bucket?region=us-east-1&amp;prefix=bhasha/Swar/Bihar-Vaishali/AUDIO/Batch3_d1_Bihar-Vaishali_new_files_03112023_29h58m/&amp;showversions=false" TargetMode="External"/><Relationship Id="rId150" Type="http://schemas.openxmlformats.org/officeDocument/2006/relationships/hyperlink" Target="https://s3.console.aws.amazon.com/s3/buckets/prod-shaip-bucket?region=us-east-1&amp;prefix=bhasha/Swar/Chhattisgarh-Sarguja/AUDIO/Batch3_d1_Chhattisgarh-Sarguja_new_files_02212023_2h16m/&amp;showversions=false" TargetMode="External"/><Relationship Id="rId392" Type="http://schemas.openxmlformats.org/officeDocument/2006/relationships/hyperlink" Target="https://s3.console.aws.amazon.com/s3/buckets/prod-shaip-bucket?region=us-east-1&amp;prefix=bhasha/Swar/Karnataka-Shimoga/AUDIO/Batch8_d1_Karnataka-Shimoga_new_files_04172023_9h38m/&amp;showversions=false" TargetMode="External"/><Relationship Id="rId391" Type="http://schemas.openxmlformats.org/officeDocument/2006/relationships/hyperlink" Target="https://s3.console.aws.amazon.com/s3/buckets/prod-shaip-bucket?region=us-east-1&amp;prefix=bhasha/Swar/Karnataka-Raichur/AUDIO/Batch4_d1_Karnataka-Raichur_new_files_04172023_1h55m/&amp;showversions=false" TargetMode="External"/><Relationship Id="rId390" Type="http://schemas.openxmlformats.org/officeDocument/2006/relationships/hyperlink" Target="https://s3.console.aws.amazon.com/s3/buckets/prod-shaip-bucket?region=us-east-1&amp;prefix=bhasha/Swar/Karnataka-Mysore/AUDIO/Batch7_d1_Karnataka-Mysore_new_files_04172023_8h17m/&amp;showversions=false" TargetMode="External"/><Relationship Id="rId1" Type="http://schemas.openxmlformats.org/officeDocument/2006/relationships/hyperlink" Target="https://s3.console.aws.amazon.com/s3/buckets/prod-shaip-bucket?region=us-east-1&amp;prefix=bhasha/Swar/Bihar-EastChamparan/AUDIO/Batch1_d1_Bihar-EastChamparan_new_files_11182022_7hrs/&amp;showversions=false" TargetMode="External"/><Relationship Id="rId2" Type="http://schemas.openxmlformats.org/officeDocument/2006/relationships/hyperlink" Target="https://s3.console.aws.amazon.com/s3/buckets/prod-shaip-bucket?region=us-east-1&amp;prefix=bhasha/Swar/Uttarakhand-TehriGarhwal/AUDIO/Batch1_d1_Uttarakhand-TehriGarhwal_new_files_11182022_5hrs/&amp;showversions=false" TargetMode="External"/><Relationship Id="rId3" Type="http://schemas.openxmlformats.org/officeDocument/2006/relationships/hyperlink" Target="https://s3.console.aws.amazon.com/s3/buckets/prod-shaip-bucket?region=us-east-1&amp;prefix=bhasha/Swar/Uttarpradesh-Muzzaffarnagar/AUDIO/Batch1_d1_Uttarpradesh-Muzzaffarnagar_new_files_11182022_4hrs/&amp;showversions=false" TargetMode="External"/><Relationship Id="rId149" Type="http://schemas.openxmlformats.org/officeDocument/2006/relationships/hyperlink" Target="https://s3.console.aws.amazon.com/s3/buckets/prod-shaip-bucket?region=us-east-1&amp;prefix=bhasha/Swar/Chhattisgarh-Jashpur/AUDIO/Batch3_d1_Chhattisgarh-Jashpur_new_files_02212023_2h36m/&amp;showversions=false" TargetMode="External"/><Relationship Id="rId4" Type="http://schemas.openxmlformats.org/officeDocument/2006/relationships/hyperlink" Target="https://s3.console.aws.amazon.com/s3/buckets/prod-shaip-bucket?region=us-east-1&amp;prefix=bhasha/Swar/Uttarpradesh-Deoria/AUDIO/Batch1_d1_Uttarpradesh-Deoria_new_files_11182022_4hrs/&amp;showversions=false" TargetMode="External"/><Relationship Id="rId148" Type="http://schemas.openxmlformats.org/officeDocument/2006/relationships/hyperlink" Target="https://s3.console.aws.amazon.com/s3/buckets/prod-shaip-bucket?region=us-east-1&amp;prefix=bhasha/Swar/Chhattisgarh-Rajnandgaon/AUDIO/Batch2_d1_Chhattisgarh-Rajnandgaon_new_files_02212023_1h9m/&amp;showversions=false" TargetMode="External"/><Relationship Id="rId9" Type="http://schemas.openxmlformats.org/officeDocument/2006/relationships/hyperlink" Target="https://s3.console.aws.amazon.com/s3/buckets/prod-shaip-bucket?region=us-east-1&amp;prefix=bhasha/Swar/Uttarpradesh-Budaun/AUDIO/Batch1_d1_Uttarpradesh-Budaun_new_files_11182022_2hrs/&amp;showversions=false" TargetMode="External"/><Relationship Id="rId143" Type="http://schemas.openxmlformats.org/officeDocument/2006/relationships/hyperlink" Target="https://s3.console.aws.amazon.com/s3/buckets/prod-shaip-bucket?region=us-east-1&amp;prefix=bhasha/Swar/Bihar-Samastipur/AUDIO/Batch6_d1_Bihar-Samastipur_new_files_02212023_2h6m/&amp;showversions=false" TargetMode="External"/><Relationship Id="rId385" Type="http://schemas.openxmlformats.org/officeDocument/2006/relationships/hyperlink" Target="https://s3.console.aws.amazon.com/s3/buckets/prod-shaip-bucket?region=us-east-1&amp;prefix=bhasha/Swar/Karnataka-Bijapur/AUDIO/Batch4_d1_Karnataka-Bijapur_new_files_04172023_6h46m/&amp;showversions=false" TargetMode="External"/><Relationship Id="rId142" Type="http://schemas.openxmlformats.org/officeDocument/2006/relationships/hyperlink" Target="https://s3.console.aws.amazon.com/s3/buckets/prod-shaip-bucket?region=us-east-1&amp;prefix=bhasha/Swar/Bihar-EastChamparan/AUDIO/Batch6_d1_Bihar-EastChamparan_new_files_02212023_5h13m/&amp;showversions=false" TargetMode="External"/><Relationship Id="rId384" Type="http://schemas.openxmlformats.org/officeDocument/2006/relationships/hyperlink" Target="https://s3.console.aws.amazon.com/s3/buckets/prod-shaip-bucket?region=us-east-1&amp;prefix=bhasha/Swar/Karnataka-Bellary/AUDIO/Batch4_d1_Karnataka-Bellary_new_files_04172023_8h55m/&amp;showversions=false" TargetMode="External"/><Relationship Id="rId141" Type="http://schemas.openxmlformats.org/officeDocument/2006/relationships/hyperlink" Target="https://s3.console.aws.amazon.com/s3/buckets/prod-shaip-bucket?region=us-east-1&amp;prefix=bhasha/Swar/Bihar-Gopalganj/AUDIO/Batch5_d1_Bihar-Gopalganj_new_files_02212023_6h24m/&amp;showversions=false" TargetMode="External"/><Relationship Id="rId383" Type="http://schemas.openxmlformats.org/officeDocument/2006/relationships/hyperlink" Target="https://s3.console.aws.amazon.com/s3/buckets/prod-shaip-bucket?region=us-east-1&amp;prefix=bhasha/Swar/Karnataka-Belgaum/AUDIO/Batch3_d1_Karnataka-Belgaum_new_files_04172023_3h54m/&amp;showversions=false" TargetMode="External"/><Relationship Id="rId140" Type="http://schemas.openxmlformats.org/officeDocument/2006/relationships/hyperlink" Target="https://s3.console.aws.amazon.com/s3/buckets/prod-shaip-bucket?region=us-east-1&amp;prefix=bhasha/Swar/Bihar-Muzaffarpur/AUDIO/Batch4_d1_Bihar-Muzaffarpur_new_files_02212023_3h16m/&amp;showversions=false" TargetMode="External"/><Relationship Id="rId382" Type="http://schemas.openxmlformats.org/officeDocument/2006/relationships/hyperlink" Target="https://s3.console.aws.amazon.com/s3/buckets/prod-shaip-bucket?region=us-east-1&amp;prefix=bhasha/Swar/Jharkhand-Sahebganj/AUDIO/Batch3_d1_Jharkhand-Sahebganj_new_files_04172023_3h50m/&amp;showversions=false" TargetMode="External"/><Relationship Id="rId5" Type="http://schemas.openxmlformats.org/officeDocument/2006/relationships/hyperlink" Target="https://s3.console.aws.amazon.com/s3/buckets/prod-shaip-bucket?region=us-east-1&amp;prefix=bhasha/Swar/WestBengal-Kolkata/AUDIO/Batch1_d1_WestBengal-Kolkata_new_files_11182022_3hrs/&amp;showversions=false" TargetMode="External"/><Relationship Id="rId147" Type="http://schemas.openxmlformats.org/officeDocument/2006/relationships/hyperlink" Target="https://s3.console.aws.amazon.com/s3/buckets/prod-shaip-bucket?region=us-east-1&amp;prefix=bhasha/Swar/Chhattisgarh-Korba/AUDIO/Batch1_d1_Chhattisgarh-Korba_new_files_02212023_1h26m/&amp;showversions=false" TargetMode="External"/><Relationship Id="rId389" Type="http://schemas.openxmlformats.org/officeDocument/2006/relationships/hyperlink" Target="https://s3.console.aws.amazon.com/s3/buckets/prod-shaip-bucket?region=us-east-1&amp;prefix=bhasha/Swar/Karnataka-Gulbarga/AUDIO/Batch4_d1_Karnataka-Gulbarga_new_files_04172023_1h48m/&amp;showversions=false" TargetMode="External"/><Relationship Id="rId6" Type="http://schemas.openxmlformats.org/officeDocument/2006/relationships/hyperlink" Target="https://s3.console.aws.amazon.com/s3/buckets/prod-shaip-bucket?region=us-east-1&amp;prefix=bhasha/Swar/Bihar-Gopalganj/AUDIO/Batch1_d1_Bihar-Gopalganj_new_files_11182022_3hrs/&amp;showversions=false" TargetMode="External"/><Relationship Id="rId146" Type="http://schemas.openxmlformats.org/officeDocument/2006/relationships/hyperlink" Target="https://s3.console.aws.amazon.com/s3/buckets/prod-shaip-bucket?region=us-east-1&amp;prefix=bhasha/Swar/Chhattisgarh-Kabirdham/AUDIO/Batch1_d1_Chhattisgarh-Kabirdham_new_files_02212023_1h46m/&amp;showversions=false" TargetMode="External"/><Relationship Id="rId388" Type="http://schemas.openxmlformats.org/officeDocument/2006/relationships/hyperlink" Target="https://s3.console.aws.amazon.com/s3/buckets/prod-shaip-bucket?region=us-east-1&amp;prefix=bhasha/Swar/Karnataka-Dharwad/AUDIO/Batch7_d1_Karnataka-Dharwad_new_files_04172023_3h55m/&amp;showversions=false" TargetMode="External"/><Relationship Id="rId7" Type="http://schemas.openxmlformats.org/officeDocument/2006/relationships/hyperlink" Target="https://s3.console.aws.amazon.com/s3/buckets/prod-shaip-bucket?region=us-east-1&amp;prefix=bhasha/Swar/Rajasthan-Nagaur/AUDIO/Batch1_d1_Rajasthan-Nagaur_new_files_11182022_2hrs/&amp;showversions=false" TargetMode="External"/><Relationship Id="rId145" Type="http://schemas.openxmlformats.org/officeDocument/2006/relationships/hyperlink" Target="https://s3.console.aws.amazon.com/s3/buckets/prod-shaip-bucket?region=us-east-1&amp;prefix=bhasha/Swar/Chhattisgarh-Bastar/AUDIO/Batch1_d1_Chhattisgarh-Bastar_new_files_02212023_3h39m/&amp;showversions=false" TargetMode="External"/><Relationship Id="rId387" Type="http://schemas.openxmlformats.org/officeDocument/2006/relationships/hyperlink" Target="https://s3.console.aws.amazon.com/s3/buckets/prod-shaip-bucket?region=us-east-1&amp;prefix=bhasha/Swar/Karnataka-DakshinKannada/AUDIO/Batch1_d1_Karnataka-DakshinKannada_new_files_02212023_1h18m/&amp;showversions=false" TargetMode="External"/><Relationship Id="rId8" Type="http://schemas.openxmlformats.org/officeDocument/2006/relationships/hyperlink" Target="https://s3.console.aws.amazon.com/s3/buckets/prod-shaip-bucket?region=us-east-1&amp;prefix=bhasha/Swar/WestBengal-North24Parganas/AUDIO/Batch1_d1_WestBengal-North24Parganas_new_files_11182022_2hrs/&amp;showversions=false" TargetMode="External"/><Relationship Id="rId144" Type="http://schemas.openxmlformats.org/officeDocument/2006/relationships/hyperlink" Target="https://s3.console.aws.amazon.com/s3/buckets/prod-shaip-bucket?region=us-east-1&amp;prefix=bhasha/Swar/Bihar-Sitamarhi/AUDIO/Batch6_d1_Bihar-Sitamarhi_new_files_02212023_1h33m/&amp;showversions=false" TargetMode="External"/><Relationship Id="rId386" Type="http://schemas.openxmlformats.org/officeDocument/2006/relationships/hyperlink" Target="https://s3.console.aws.amazon.com/s3/buckets/prod-shaip-bucket?region=us-east-1&amp;prefix=bhasha/Swar/Karnataka-Chamrajnagar/AUDIO/Batch5_d1_Karnataka-Chamrajnagar_new_files_04172023_3h26m/&amp;showversions=false" TargetMode="External"/><Relationship Id="rId381" Type="http://schemas.openxmlformats.org/officeDocument/2006/relationships/hyperlink" Target="https://s3.console.aws.amazon.com/s3/buckets/prod-shaip-bucket?region=us-east-1&amp;prefix=bhasha/Swar/Jharkhand-Jamtara/AUDIO/Batch4_d1_Jharkhand-Jamtara_new_files_04172023_7h15m/&amp;showversions=false" TargetMode="External"/><Relationship Id="rId380" Type="http://schemas.openxmlformats.org/officeDocument/2006/relationships/hyperlink" Target="https://s3.console.aws.amazon.com/s3/buckets/prod-shaip-bucket?region=us-east-1&amp;prefix=bhasha/Swar/Goa-NorthSouthGoa/AUDIO/Batch4_d1_Goa-NorthSouthGoa_new_files_04172023_2h59m/&amp;showversions=false" TargetMode="External"/><Relationship Id="rId139" Type="http://schemas.openxmlformats.org/officeDocument/2006/relationships/hyperlink" Target="https://s3.console.aws.amazon.com/s3/buckets/prod-shaip-bucket?region=us-east-1&amp;prefix=bhasha/Swar/Bihar-Jamui/AUDIO/Batch4_d1_Bihar-Jamui_new_files_02212023_2h5m/&amp;showversions=false" TargetMode="External"/><Relationship Id="rId138" Type="http://schemas.openxmlformats.org/officeDocument/2006/relationships/hyperlink" Target="https://s3.console.aws.amazon.com/s3/buckets/prod-shaip-bucket?region=us-east-1&amp;prefix=bhasha/Swar/Bihar-Saran/AUDIO/Batch3_d1_Bihar-Saran_new_files_02212023_4h41m/&amp;showversions=false" TargetMode="External"/><Relationship Id="rId137" Type="http://schemas.openxmlformats.org/officeDocument/2006/relationships/hyperlink" Target="https://s3.console.aws.amazon.com/s3/buckets/prod-shaip-bucket?region=us-east-1&amp;prefix=bhasha/Swar/Bihar-Jahanabad/AUDIO/Batch3_d1_Bihar-Jahanabad_new_files_02212023_1h18m/&amp;showversions=false" TargetMode="External"/><Relationship Id="rId379" Type="http://schemas.openxmlformats.org/officeDocument/2006/relationships/hyperlink" Target="https://s3.console.aws.amazon.com/s3/buckets/prod-shaip-bucket?region=us-east-1&amp;prefix=bhasha/Swar/Chhattisgarh-Sukma/AUDIO/Batch3_d1_Chhattisgarh-Sukma_new_files_04172023_52m/&amp;showversions=false" TargetMode="External"/><Relationship Id="rId132" Type="http://schemas.openxmlformats.org/officeDocument/2006/relationships/hyperlink" Target="https://s3.console.aws.amazon.com/s3/buckets/prod-shaip-bucket?region=us-east-1&amp;prefix=bhasha/Swar/Bihar-Darbhanga/AUDIO/Batch2_d1_Bihar-Darbhanga_new_files_02212023_1h47m/&amp;showversions=false" TargetMode="External"/><Relationship Id="rId374" Type="http://schemas.openxmlformats.org/officeDocument/2006/relationships/hyperlink" Target="https://s3.console.aws.amazon.com/s3/buckets/prod-shaip-bucket?region=us-east-1&amp;prefix=bhasha/Swar/Chhattisgarh-Kabirdham/AUDIO/Batch4_d1_Chhattisgarh-Kabirdham_new_files_04172023_1h6m/&amp;showversions=false" TargetMode="External"/><Relationship Id="rId131" Type="http://schemas.openxmlformats.org/officeDocument/2006/relationships/hyperlink" Target="https://s3.console.aws.amazon.com/s3/buckets/prod-shaip-bucket?region=us-east-1&amp;prefix=bhasha/Swar/Bihar-Saharsa/AUDIO/Batch1_d1_Bihar-Saharsa_new_files_02212023_1h51m/&amp;showversions=false" TargetMode="External"/><Relationship Id="rId373" Type="http://schemas.openxmlformats.org/officeDocument/2006/relationships/hyperlink" Target="https://s3.console.aws.amazon.com/s3/buckets/prod-shaip-bucket?region=us-east-1&amp;prefix=bhasha/Swar/Chhattisgarh-Jashpur/AUDIO/Batch6_d1_Chhattisgarh-Jashpur_new_files_04172023_4h41m/&amp;showversions=false" TargetMode="External"/><Relationship Id="rId130" Type="http://schemas.openxmlformats.org/officeDocument/2006/relationships/hyperlink" Target="https://s3.console.aws.amazon.com/s3/buckets/prod-shaip-bucket?region=us-east-1&amp;prefix=bhasha/Swar/Bihar-Purnia/AUDIO/Batch1_d1_Bihar-Purnia_new_files_02212023_3h6m/&amp;showversions=false" TargetMode="External"/><Relationship Id="rId372" Type="http://schemas.openxmlformats.org/officeDocument/2006/relationships/hyperlink" Target="https://s3.console.aws.amazon.com/s3/buckets/prod-shaip-bucket?region=us-east-1&amp;prefix=bhasha/Swar/Chhattisgarh-Bilaspur/AUDIO/Batch10_d1_Chhattisgarh-Bilaspur_new_files_04172023_1h11m/&amp;showversions=false" TargetMode="External"/><Relationship Id="rId371" Type="http://schemas.openxmlformats.org/officeDocument/2006/relationships/hyperlink" Target="https://s3.console.aws.amazon.com/s3/buckets/prod-shaip-bucket?region=us-east-1&amp;prefix=bhasha/Swar/Chhattisgarh-Bastar/AUDIO/Batch4_d1_Chhattisgarh-Bastar_new_files_04172023_1h7m/&amp;showversions=false" TargetMode="External"/><Relationship Id="rId136" Type="http://schemas.openxmlformats.org/officeDocument/2006/relationships/hyperlink" Target="https://s3.console.aws.amazon.com/s3/buckets/prod-shaip-bucket?prefix=bhasha/Swar/Bihar-Araria/AUDIO/Batch3_d1_Bihar-Araria_new_files_02212023_1h25m/&amp;region=us-east-1" TargetMode="External"/><Relationship Id="rId378" Type="http://schemas.openxmlformats.org/officeDocument/2006/relationships/hyperlink" Target="https://s3.console.aws.amazon.com/s3/buckets/prod-shaip-bucket?region=us-east-1&amp;prefix=bhasha/Swar/Chhattisgarh-Sarguja/AUDIO/Batch6_d1_Chhattisgarh-Sarguja_new_files_04172023_50m/&amp;showversions=false" TargetMode="External"/><Relationship Id="rId135" Type="http://schemas.openxmlformats.org/officeDocument/2006/relationships/hyperlink" Target="https://s3.console.aws.amazon.com/s3/buckets/prod-shaip-bucket?region=us-east-1&amp;prefix=bhasha/Swar/Bihar-Vaishali/AUDIO/Batch2_d1_Bihar-Vaishali_new_files_02212023_3h38m/&amp;showversions=false" TargetMode="External"/><Relationship Id="rId377" Type="http://schemas.openxmlformats.org/officeDocument/2006/relationships/hyperlink" Target="https://s3.console.aws.amazon.com/s3/buckets/prod-shaip-bucket?region=us-east-1&amp;prefix=bhasha/Swar/Chhattisgarh-Rajnandgaon/AUDIO/Batch6_d1_Chhattisgarh-Rajnandgaon_new_files_04172023_54m/&amp;showversions=false" TargetMode="External"/><Relationship Id="rId134" Type="http://schemas.openxmlformats.org/officeDocument/2006/relationships/hyperlink" Target="https://s3.console.aws.amazon.com/s3/buckets/prod-shaip-bucket?region=us-east-1&amp;prefix=bhasha/Swar/Bihar-Supaul/AUDIO/Batch2_d1_Bihar-Supaul_new_files_02212023_1h2m/&amp;showversions=false" TargetMode="External"/><Relationship Id="rId376" Type="http://schemas.openxmlformats.org/officeDocument/2006/relationships/hyperlink" Target="https://s3.console.aws.amazon.com/s3/buckets/prod-shaip-bucket?region=us-east-1&amp;prefix=bhasha/Swar/Chhattisgarh-Raigarh/AUDIO/Batch7_d1_Chhattisgarh-Raigarh_new_files_04172023_2h27m/&amp;showversions=false" TargetMode="External"/><Relationship Id="rId133" Type="http://schemas.openxmlformats.org/officeDocument/2006/relationships/hyperlink" Target="https://s3.console.aws.amazon.com/s3/buckets/prod-shaip-bucket?region=us-east-1&amp;prefix=bhasha/Swar/Bihar-Kishanganj/AUDIO/Batch2_d1_Bihar-Kishanganj_new_files_02212023_1h12m/&amp;showversions=false" TargetMode="External"/><Relationship Id="rId375" Type="http://schemas.openxmlformats.org/officeDocument/2006/relationships/hyperlink" Target="https://s3.console.aws.amazon.com/s3/buckets/prod-shaip-bucket?region=us-east-1&amp;prefix=bhasha/Swar/Chhattisgarh-Korba/AUDIO/Batch4_d1_Chhattisgarh-Korba_new_files_04172023_8h36m/&amp;showversions=false" TargetMode="External"/><Relationship Id="rId172" Type="http://schemas.openxmlformats.org/officeDocument/2006/relationships/hyperlink" Target="https://s3.console.aws.amazon.com/s3/buckets/prod-shaip-bucket?region=us-east-1&amp;prefix=bhasha/Swar/Uttarpradesh-Varanasi/AUDIO/Batch4_d1_Uttarpradesh-Varanasi_new_files_02212023_1h6m/&amp;showversions=false" TargetMode="External"/><Relationship Id="rId171" Type="http://schemas.openxmlformats.org/officeDocument/2006/relationships/hyperlink" Target="https://s3.console.aws.amazon.com/s3/buckets/prod-shaip-bucket?region=us-east-1&amp;prefix=bhasha/Swar/Uttarpradesh-JyotibaPhuleNagar/AUDIO/Batch3_d1_Uttarpradesh-JyotibaPhuleNagar_new_files_02212023_2h41m/&amp;showversions=false" TargetMode="External"/><Relationship Id="rId170" Type="http://schemas.openxmlformats.org/officeDocument/2006/relationships/hyperlink" Target="https://s3.console.aws.amazon.com/s3/buckets/prod-shaip-bucket?region=us-east-1&amp;prefix=bhasha/Swar/Uttarpradesh-Hamirpur/AUDIO/Batch3_d1_Uttarpradesh-Hamirpur_new_files_02212023_1h48m/&amp;showversions=false" TargetMode="External"/><Relationship Id="rId165" Type="http://schemas.openxmlformats.org/officeDocument/2006/relationships/hyperlink" Target="https://s3.console.aws.amazon.com/s3/buckets/prod-shaip-bucket?region=us-east-1&amp;prefix=bhasha/Swar/Rajasthan-Nagaur/AUDIO/Batch5_d1_Rajasthan-Nagaur_new_files_02212023_2h53m/&amp;showversions=false" TargetMode="External"/><Relationship Id="rId164" Type="http://schemas.openxmlformats.org/officeDocument/2006/relationships/hyperlink" Target="https://s3.console.aws.amazon.com/s3/buckets/prod-shaip-bucket?region=us-east-1&amp;prefix=bhasha/Swar/Maharashtra-Solapur/AUDIO/Batch2_d1_Maharashtra-Solapur_new_files_02212023_2h36m/&amp;showversions=false" TargetMode="External"/><Relationship Id="rId163" Type="http://schemas.openxmlformats.org/officeDocument/2006/relationships/hyperlink" Target="https://s3.console.aws.amazon.com/s3/buckets/prod-shaip-bucket?region=us-east-1&amp;prefix=bhasha/Swar/Maharashtra-Pune/AUDIO/Batch2_d1_Maharashtra-Pune_new_files_02212023_3h55m/&amp;showversions=false" TargetMode="External"/><Relationship Id="rId162" Type="http://schemas.openxmlformats.org/officeDocument/2006/relationships/hyperlink" Target="https://s3.console.aws.amazon.com/s3/buckets/prod-shaip-bucket?region=us-east-1&amp;prefix=bhasha/Swar/Maharashtra-Aurangabad/AUDIO/Batch2_d1_Maharashtra-Aurangabad_new_files_02212023_1h18m/&amp;showversions=false" TargetMode="External"/><Relationship Id="rId169" Type="http://schemas.openxmlformats.org/officeDocument/2006/relationships/hyperlink" Target="https://s3.console.aws.amazon.com/s3/buckets/prod-shaip-bucket?region=us-east-1&amp;prefix=bhasha/Swar/Uttarpradesh-Ghazipur/AUDIO/Batch2_d1_Uttarpradesh-Ghazipur_new_files_02212023_3h1m/&amp;showversions=false" TargetMode="External"/><Relationship Id="rId168" Type="http://schemas.openxmlformats.org/officeDocument/2006/relationships/hyperlink" Target="https://s3.console.aws.amazon.com/s3/buckets/prod-shaip-bucket?region=us-east-1&amp;prefix=bhasha/Swar/Uttarakhand-TehriGarhwal/AUDIO/Batch6_d1_Uttarakhand-TehriGarhwal_new_files_02212023_3h36m/&amp;showversions=false" TargetMode="External"/><Relationship Id="rId167" Type="http://schemas.openxmlformats.org/officeDocument/2006/relationships/hyperlink" Target="https://s3.console.aws.amazon.com/s3/buckets/prod-shaip-bucket?region=us-east-1&amp;prefix=bhasha/Swar/Uttarakhand-Uttarkashi/AUDIO/Batch4_d1_Uttarakhand-Uttarkashi_new_files_02212023_2h43m/&amp;showversions=false" TargetMode="External"/><Relationship Id="rId166" Type="http://schemas.openxmlformats.org/officeDocument/2006/relationships/hyperlink" Target="https://s3.console.aws.amazon.com/s3/buckets/prod-shaip-bucket?region=us-east-1&amp;prefix=bhasha/Swar/Rajasthan-Churu/AUDIO/Batch6_d1_Rajasthan-Churu_new_files_02212023_1h21m/&amp;showversions=false" TargetMode="External"/><Relationship Id="rId161" Type="http://schemas.openxmlformats.org/officeDocument/2006/relationships/hyperlink" Target="https://s3.console.aws.amazon.com/s3/buckets/prod-shaip-bucket?region=us-east-1&amp;prefix=bhasha/Swar/Karnataka-Shimoga/AUDIO/Batch4_d1_Karnataka-Shimoga_new_files_02212023_5h13m/&amp;showversions=false" TargetMode="External"/><Relationship Id="rId160" Type="http://schemas.openxmlformats.org/officeDocument/2006/relationships/hyperlink" Target="https://s3.console.aws.amazon.com/s3/buckets/prod-shaip-bucket?region=us-east-1&amp;prefix=bhasha/Swar/Karnataka-Mysore/AUDIO/Batch3_d1_Karnataka-Mysore_new_files_02212023_2h51m/&amp;showversions=false" TargetMode="External"/><Relationship Id="rId159" Type="http://schemas.openxmlformats.org/officeDocument/2006/relationships/hyperlink" Target="https://s3.console.aws.amazon.com/s3/buckets/prod-shaip-bucket?region=us-east-1&amp;prefix=bhasha/Swar/Karnataka-Dharwad/AUDIO/Batch3_d1_Karnataka-Dharwad_new_files_02212023_1h17m/&amp;showversions=false" TargetMode="External"/><Relationship Id="rId154" Type="http://schemas.openxmlformats.org/officeDocument/2006/relationships/hyperlink" Target="https://s3.console.aws.amazon.com/s3/buckets/prod-shaip-bucket?region=us-east-1&amp;prefix=bhasha/Swar/Karnataka-Bellary/AUDIO/Batch1_d1_Karnataka-Bellary_new_files_02212023_1h5m/&amp;showversions=false" TargetMode="External"/><Relationship Id="rId396" Type="http://schemas.openxmlformats.org/officeDocument/2006/relationships/hyperlink" Target="https://s3.console.aws.amazon.com/s3/buckets/prod-shaip-bucket?region=us-east-1&amp;prefix=bhasha/Swar/Maharashtra-Nagpur/AUDIO/Batch3_d1_Maharashtra-Nagpur_new_files_04172023_31m/&amp;showversions=false" TargetMode="External"/><Relationship Id="rId153" Type="http://schemas.openxmlformats.org/officeDocument/2006/relationships/hyperlink" Target="https://s3.console.aws.amazon.com/s3/buckets/prod-shaip-bucket?region=us-east-1&amp;prefix=bhasha/Swar/Goa-North%2BSouthGoa/AUDIO/Batch1_d1_Goa-NorthSouthGoa_new_files_02212023_1h12m/&amp;showversions=false" TargetMode="External"/><Relationship Id="rId395" Type="http://schemas.openxmlformats.org/officeDocument/2006/relationships/hyperlink" Target="https://s3.console.aws.amazon.com/s3/buckets/prod-shaip-bucket?region=us-east-1&amp;prefix=bhasha/Swar/Maharashtra-Dhule/AUDIO/Batch3_d1_Maharashtra-Dhule_new_files_04172023_1h10m/&amp;showversions=false" TargetMode="External"/><Relationship Id="rId152" Type="http://schemas.openxmlformats.org/officeDocument/2006/relationships/hyperlink" Target="https://s3.console.aws.amazon.com/s3/buckets/prod-shaip-bucket?region=us-east-1&amp;prefix=bhasha/Swar/Chhattisgarh-Bilaspur/AUDIO/Batch6_d1_Chhattisgarh-Bilaspur_new_files_02212023_2h13m/&amp;showversions=false" TargetMode="External"/><Relationship Id="rId394" Type="http://schemas.openxmlformats.org/officeDocument/2006/relationships/hyperlink" Target="https://s3.console.aws.amazon.com/s3/buckets/prod-shaip-bucket?region=us-east-1&amp;prefix=bhasha/Swar/Maharashtra-Chandrapur/AUDIO/Batch4_d1_Maharashtra-Chandrapur_new_files_04172023_5h32m/&amp;showversions=false" TargetMode="External"/><Relationship Id="rId151" Type="http://schemas.openxmlformats.org/officeDocument/2006/relationships/hyperlink" Target="https://s3.console.aws.amazon.com/s3/buckets/prod-shaip-bucket?region=us-east-1&amp;prefix=bhasha/Swar/Chhattisgarh-Raigarh/AUDIO/Batch4_d1_Chhattisgarh-Raigarh_new_files_02212023_1h58m/&amp;showversions=false" TargetMode="External"/><Relationship Id="rId393" Type="http://schemas.openxmlformats.org/officeDocument/2006/relationships/hyperlink" Target="https://s3.console.aws.amazon.com/s3/buckets/prod-shaip-bucket?region=us-east-1&amp;prefix=bhasha/Swar/Maharashtra-Aurangabad/AUDIO/Batch5_d1_Maharashtra-Aurangabad_new_files_04172023_4h10m/&amp;showversions=false" TargetMode="External"/><Relationship Id="rId158" Type="http://schemas.openxmlformats.org/officeDocument/2006/relationships/hyperlink" Target="https://s3.console.aws.amazon.com/s3/buckets/prod-shaip-bucket?region=us-east-1&amp;prefix=bhasha/Swar/Karnataka-Raichur/AUDIO/Batch1_d1_Karnataka-Raichur_new_files_02212023_1h42m/&amp;showversions=false" TargetMode="External"/><Relationship Id="rId157" Type="http://schemas.openxmlformats.org/officeDocument/2006/relationships/hyperlink" Target="https://s3.console.aws.amazon.com/s3/buckets/prod-shaip-bucket?region=us-east-1&amp;prefix=bhasha/Swar/Karnataka-Gulbarga/AUDIO/Batch1_d1_Karnataka-Gulbarga_new_files_02212023_1h14m/&amp;showversions=false" TargetMode="External"/><Relationship Id="rId399" Type="http://schemas.openxmlformats.org/officeDocument/2006/relationships/hyperlink" Target="https://s3.console.aws.amazon.com/s3/buckets/prod-shaip-bucket?region=us-east-1&amp;prefix=bhasha/Swar/Maharashtra-Solapur/AUDIO/Batch5_d1_Maharashtra-Solapur_new_files_04172023_6h31m/&amp;showversions=false" TargetMode="External"/><Relationship Id="rId156" Type="http://schemas.openxmlformats.org/officeDocument/2006/relationships/hyperlink" Target="https://s3.console.aws.amazon.com/s3/buckets/prod-shaip-bucket?region=us-east-1&amp;prefix=bhasha/Swar/Karnataka-DakshinKannada/AUDIO/Batch1_d1_Karnataka-DakshinKannada_new_files_02212023_1h18m/&amp;showversions=false" TargetMode="External"/><Relationship Id="rId398" Type="http://schemas.openxmlformats.org/officeDocument/2006/relationships/hyperlink" Target="https://s3.console.aws.amazon.com/s3/buckets/prod-shaip-bucket?region=us-east-1&amp;prefix=bhasha/Swar/Maharashtra-Sindhudurga/AUDIO/Batch3_d1_Maharashtra-Sindhudurga_new_files_04172023_13m/&amp;showversions=false" TargetMode="External"/><Relationship Id="rId155" Type="http://schemas.openxmlformats.org/officeDocument/2006/relationships/hyperlink" Target="https://s3.console.aws.amazon.com/s3/buckets/prod-shaip-bucket?region=us-east-1&amp;prefix=bhasha/Swar/Karnataka-Bijapur/AUDIO/Batch1_d1_Karnataka-Bijapur_new_files_02212023_1h26m/&amp;showversions=false" TargetMode="External"/><Relationship Id="rId397" Type="http://schemas.openxmlformats.org/officeDocument/2006/relationships/hyperlink" Target="https://s3.console.aws.amazon.com/s3/buckets/prod-shaip-bucket?region=us-east-1&amp;prefix=bhasha/Swar/Maharashtra-Pune/AUDIO/Batch5_d1_Maharashtra-Pune_new_files_04172023_2h21m/&amp;showversions=false" TargetMode="External"/><Relationship Id="rId808" Type="http://schemas.openxmlformats.org/officeDocument/2006/relationships/hyperlink" Target="https://s3.console.aws.amazon.com/s3/buckets/prod-shaip-bucket?region=us-east-1&amp;prefix=bhasha/swar_new/14-09-2023/UP/Muzzaffarnagar/&amp;showversions=false" TargetMode="External"/><Relationship Id="rId807" Type="http://schemas.openxmlformats.org/officeDocument/2006/relationships/hyperlink" Target="https://s3.console.aws.amazon.com/s3/buckets/prod-shaip-bucket?region=us-east-1&amp;prefix=bhasha/swar_new/14-09-2023/UP/JyotibaPhuleNagar/&amp;showversions=false" TargetMode="External"/><Relationship Id="rId806" Type="http://schemas.openxmlformats.org/officeDocument/2006/relationships/hyperlink" Target="https://s3.console.aws.amazon.com/s3/buckets/prod-shaip-bucket?region=us-east-1&amp;prefix=bhasha/swar_new/14-09-2023/UP/Jalaun/&amp;showversions=false" TargetMode="External"/><Relationship Id="rId805" Type="http://schemas.openxmlformats.org/officeDocument/2006/relationships/hyperlink" Target="https://s3.console.aws.amazon.com/s3/buckets/prod-shaip-bucket?region=us-east-1&amp;prefix=bhasha/swar_new/14-09-2023/UP/Hamirpur/&amp;showversions=false" TargetMode="External"/><Relationship Id="rId809" Type="http://schemas.openxmlformats.org/officeDocument/2006/relationships/hyperlink" Target="https://s3.console.aws.amazon.com/s3/buckets/prod-shaip-bucket?region=us-east-1&amp;prefix=bhasha/swar_new/14-09-2023/UP/Varanasi/&amp;showversions=false" TargetMode="External"/><Relationship Id="rId800" Type="http://schemas.openxmlformats.org/officeDocument/2006/relationships/hyperlink" Target="https://s3.console.aws.amazon.com/s3/buckets/prod-shaip-bucket?region=us-east-1&amp;prefix=bhasha/swar_new/14-09-2023/UP/Budaun/&amp;showversions=false" TargetMode="External"/><Relationship Id="rId804" Type="http://schemas.openxmlformats.org/officeDocument/2006/relationships/hyperlink" Target="https://s3.console.aws.amazon.com/s3/buckets/prod-shaip-bucket?region=us-east-1&amp;prefix=bhasha/swar_new/14-09-2023/UP/Gorakhpur/&amp;showversions=false" TargetMode="External"/><Relationship Id="rId803" Type="http://schemas.openxmlformats.org/officeDocument/2006/relationships/hyperlink" Target="https://s3.console.aws.amazon.com/s3/buckets/prod-shaip-bucket?region=us-east-1&amp;prefix=bhasha/swar_new/14-09-2023/UP/Ghazipur/&amp;showversions=false" TargetMode="External"/><Relationship Id="rId802" Type="http://schemas.openxmlformats.org/officeDocument/2006/relationships/hyperlink" Target="https://s3.console.aws.amazon.com/s3/buckets/prod-shaip-bucket?region=us-east-1&amp;prefix=bhasha/swar_new/14-09-2023/UP/Etah/&amp;showversions=false" TargetMode="External"/><Relationship Id="rId801" Type="http://schemas.openxmlformats.org/officeDocument/2006/relationships/hyperlink" Target="https://s3.console.aws.amazon.com/s3/buckets/prod-shaip-bucket?region=us-east-1&amp;prefix=bhasha/swar_new/14-09-2023/UP/Deoria/&amp;showversions=false" TargetMode="External"/><Relationship Id="rId40" Type="http://schemas.openxmlformats.org/officeDocument/2006/relationships/hyperlink" Target="https://s3.console.aws.amazon.com/s3/buckets/prod-shaip-bucket?region=us-east-1&amp;prefix=bhasha/Swar/WestBengal-Jalpaiguri/AUDIO/Batch1_d1_WestBengal-Jalpaiguri_new_files_11252022_1h11m/&amp;showversions=false" TargetMode="External"/><Relationship Id="rId42" Type="http://schemas.openxmlformats.org/officeDocument/2006/relationships/hyperlink" Target="https://s3.console.aws.amazon.com/s3/buckets/prod-shaip-bucket?region=us-east-1&amp;prefix=bhasha/Swar/WestBengal-Kolkata/AUDIO/Batch1_d1_WestBengal-Kolkata_new_files_11182022_3hrs/&amp;showversions=false" TargetMode="External"/><Relationship Id="rId41" Type="http://schemas.openxmlformats.org/officeDocument/2006/relationships/hyperlink" Target="https://s3.console.aws.amazon.com/s3/buckets/prod-shaip-bucket?region=us-east-1&amp;prefix=bhasha/Swar/WestBengal-Jhargram/AUDIO/Batch1_d1_WestBengal-Jhargram_new_files_11232022_1hrs/&amp;showversions=false" TargetMode="External"/><Relationship Id="rId44" Type="http://schemas.openxmlformats.org/officeDocument/2006/relationships/hyperlink" Target="https://s3.console.aws.amazon.com/s3/buckets/prod-shaip-bucket?region=us-east-1&amp;prefix=bhasha/Swar/Bihar-Begusarai/AUDIO/Batch2_d1_Bihar-Begusarai_new_files_11282022_4h42m/&amp;showversions=false" TargetMode="External"/><Relationship Id="rId43" Type="http://schemas.openxmlformats.org/officeDocument/2006/relationships/hyperlink" Target="https://s3.console.aws.amazon.com/s3/buckets/prod-shaip-bucket?region=us-east-1&amp;prefix=bhasha/Swar/WestBengal-North24Parganas/AUDIO/Batch2_d1_WestBengal-North24Parganas_new_files_11232022_2hrs/&amp;showversions=false" TargetMode="External"/><Relationship Id="rId46" Type="http://schemas.openxmlformats.org/officeDocument/2006/relationships/hyperlink" Target="https://s3.console.aws.amazon.com/s3/buckets/prod-shaip-bucket?region=us-east-1&amp;prefix=bhasha/Swar/Bihar-Samastipur/AUDIO/Batch2_d1_Bihar-Samastipur_new_files_11282022_2h7m/&amp;showversions=false" TargetMode="External"/><Relationship Id="rId45" Type="http://schemas.openxmlformats.org/officeDocument/2006/relationships/hyperlink" Target="https://s3.console.aws.amazon.com/s3/buckets/prod-shaip-bucket?region=us-east-1&amp;prefix=bhasha/Swar/Uttarakhand-TehriGarhwal/AUDIO/Batch3_d1_Uttarakhand-TehriGarhwal_new_files_11282022_3h54m/&amp;showversions=false" TargetMode="External"/><Relationship Id="rId509" Type="http://schemas.openxmlformats.org/officeDocument/2006/relationships/hyperlink" Target="https://s3.console.aws.amazon.com/s3/buckets/prod-shaip-bucket?region=us-east-1&amp;prefix=bhasha/swar_new/25-07-2023/BR/Gaya/&amp;showversions=false" TargetMode="External"/><Relationship Id="rId508" Type="http://schemas.openxmlformats.org/officeDocument/2006/relationships/hyperlink" Target="https://s3.console.aws.amazon.com/s3/buckets/prod-shaip-bucket?region=us-east-1&amp;prefix=bhasha/swar_new/25-07-2023/BR/EastChamparan/&amp;showversions=false" TargetMode="External"/><Relationship Id="rId503" Type="http://schemas.openxmlformats.org/officeDocument/2006/relationships/hyperlink" Target="https://s3.console.aws.amazon.com/s3/buckets/prod-shaip-bucket?region=us-east-1&amp;prefix=bhasha/swar_new/25-07-2023/AP/Vishakapattanam/&amp;showversions=false" TargetMode="External"/><Relationship Id="rId745" Type="http://schemas.openxmlformats.org/officeDocument/2006/relationships/hyperlink" Target="https://s3.console.aws.amazon.com/s3/buckets/prod-shaip-bucket?region=us-east-1&amp;prefix=bhasha/swar_new/14-09-2023/BR/Begusarai/&amp;showversions=false" TargetMode="External"/><Relationship Id="rId987" Type="http://schemas.openxmlformats.org/officeDocument/2006/relationships/hyperlink" Target="https://s3.console.aws.amazon.com/s3/buckets/prod-shaip-bucket?region=us-east-1&amp;prefix=bhasha/swar_new/17-10-2023/BR/Darbhanga/&amp;showversions=false" TargetMode="External"/><Relationship Id="rId502" Type="http://schemas.openxmlformats.org/officeDocument/2006/relationships/hyperlink" Target="https://s3.console.aws.amazon.com/s3/buckets/prod-shaip-bucket?region=us-east-1&amp;prefix=bhasha/swar_new/25-07-2023/AP/Srikakulam/&amp;showversions=false" TargetMode="External"/><Relationship Id="rId744" Type="http://schemas.openxmlformats.org/officeDocument/2006/relationships/hyperlink" Target="https://s3.console.aws.amazon.com/s3/buckets/prod-shaip-bucket?region=us-east-1&amp;prefix=bhasha/swar_new/14-09-2023/BR/Araria/&amp;showversions=false" TargetMode="External"/><Relationship Id="rId986" Type="http://schemas.openxmlformats.org/officeDocument/2006/relationships/hyperlink" Target="https://s3.console.aws.amazon.com/s3/buckets/prod-shaip-bucket?region=us-east-1&amp;prefix=bhasha/swar_new/17-10-2023/BR/Bhagalpur/&amp;showversions=false" TargetMode="External"/><Relationship Id="rId501" Type="http://schemas.openxmlformats.org/officeDocument/2006/relationships/hyperlink" Target="https://s3.console.aws.amazon.com/s3/buckets/prod-shaip-bucket?region=us-east-1&amp;prefix=bhasha/swar_new/25-07-2023/AP/Krishna/&amp;showversions=false" TargetMode="External"/><Relationship Id="rId743" Type="http://schemas.openxmlformats.org/officeDocument/2006/relationships/hyperlink" Target="https://s3.console.aws.amazon.com/s3/buckets/prod-shaip-bucket?region=us-east-1&amp;prefix=bhasha/swar_new/14-09-2023/AP/Vishakapattanam/&amp;showversions=false" TargetMode="External"/><Relationship Id="rId985" Type="http://schemas.openxmlformats.org/officeDocument/2006/relationships/hyperlink" Target="https://s3.console.aws.amazon.com/s3/buckets/prod-shaip-bucket?region=us-east-1&amp;prefix=bhasha/swar_new/17-10-2023/BR/Begusarai/&amp;showversions=false" TargetMode="External"/><Relationship Id="rId500" Type="http://schemas.openxmlformats.org/officeDocument/2006/relationships/hyperlink" Target="https://s3.console.aws.amazon.com/s3/buckets/prod-shaip-bucket?region=us-east-1&amp;prefix=bhasha/swar_new/25-07-2023/AP/Guntur/&amp;showversions=false" TargetMode="External"/><Relationship Id="rId742" Type="http://schemas.openxmlformats.org/officeDocument/2006/relationships/hyperlink" Target="https://s3.console.aws.amazon.com/s3/buckets/prod-shaip-bucket?region=us-east-1&amp;prefix=bhasha/swar_new/14-09-2023/AP/Srikakulam/&amp;showversions=false" TargetMode="External"/><Relationship Id="rId984" Type="http://schemas.openxmlformats.org/officeDocument/2006/relationships/hyperlink" Target="https://s3.console.aws.amazon.com/s3/buckets/prod-shaip-bucket?region=us-east-1&amp;prefix=bhasha/swar_new/17-10-2023/BR/Araria/&amp;showversions=false" TargetMode="External"/><Relationship Id="rId507" Type="http://schemas.openxmlformats.org/officeDocument/2006/relationships/hyperlink" Target="https://s3.console.aws.amazon.com/s3/buckets/prod-shaip-bucket?region=us-east-1&amp;prefix=bhasha/swar_new/25-07-2023/BR/Darbhanga/&amp;showversions=false" TargetMode="External"/><Relationship Id="rId749" Type="http://schemas.openxmlformats.org/officeDocument/2006/relationships/hyperlink" Target="https://s3.console.aws.amazon.com/s3/buckets/prod-shaip-bucket?region=us-east-1&amp;prefix=bhasha/swar_new/14-09-2023/BR/Gaya/&amp;showversions=false" TargetMode="External"/><Relationship Id="rId506" Type="http://schemas.openxmlformats.org/officeDocument/2006/relationships/hyperlink" Target="https://s3.console.aws.amazon.com/s3/buckets/prod-shaip-bucket?region=us-east-1&amp;prefix=bhasha/swar_new/25-07-2023/BR/Bhagalpur/&amp;showversions=false" TargetMode="External"/><Relationship Id="rId748" Type="http://schemas.openxmlformats.org/officeDocument/2006/relationships/hyperlink" Target="https://s3.console.aws.amazon.com/s3/buckets/prod-shaip-bucket?region=us-east-1&amp;prefix=bhasha/swar_new/14-09-2023/BR/EastChamparan/&amp;showversions=false" TargetMode="External"/><Relationship Id="rId505" Type="http://schemas.openxmlformats.org/officeDocument/2006/relationships/hyperlink" Target="https://s3.console.aws.amazon.com/s3/buckets/prod-shaip-bucket?region=us-east-1&amp;prefix=bhasha/swar_new/25-07-2023/BR/Begusarai/&amp;showversions=false" TargetMode="External"/><Relationship Id="rId747" Type="http://schemas.openxmlformats.org/officeDocument/2006/relationships/hyperlink" Target="https://s3.console.aws.amazon.com/s3/buckets/prod-shaip-bucket?region=us-east-1&amp;prefix=bhasha/swar_new/14-09-2023/BR/Darbhanga/&amp;showversions=false" TargetMode="External"/><Relationship Id="rId989" Type="http://schemas.openxmlformats.org/officeDocument/2006/relationships/hyperlink" Target="https://s3.console.aws.amazon.com/s3/buckets/prod-shaip-bucket?region=us-east-1&amp;prefix=bhasha/swar_new/17-10-2023/BR/Gaya/&amp;showversions=false" TargetMode="External"/><Relationship Id="rId504" Type="http://schemas.openxmlformats.org/officeDocument/2006/relationships/hyperlink" Target="https://s3.console.aws.amazon.com/s3/buckets/prod-shaip-bucket?region=us-east-1&amp;prefix=bhasha/swar_new/25-07-2023/BR/Araria/&amp;showversions=false" TargetMode="External"/><Relationship Id="rId746" Type="http://schemas.openxmlformats.org/officeDocument/2006/relationships/hyperlink" Target="https://s3.console.aws.amazon.com/s3/buckets/prod-shaip-bucket?region=us-east-1&amp;prefix=bhasha/swar_new/14-09-2023/BR/Bhagalpur/&amp;showversions=false" TargetMode="External"/><Relationship Id="rId988" Type="http://schemas.openxmlformats.org/officeDocument/2006/relationships/hyperlink" Target="https://s3.console.aws.amazon.com/s3/buckets/prod-shaip-bucket?region=us-east-1&amp;prefix=bhasha/swar_new/17-10-2023/BR/EastChamparan/&amp;showversions=false" TargetMode="External"/><Relationship Id="rId48" Type="http://schemas.openxmlformats.org/officeDocument/2006/relationships/hyperlink" Target="https://s3.console.aws.amazon.com/s3/buckets/prod-shaip-bucket?region=us-east-1&amp;prefix=bhasha/Swar/Chhattisgarh-Sarguja/AUDIO/Batch1_d1_Chhattisgarh-Sarguja_new_files_11292022_1h27m/&amp;showversions=false" TargetMode="External"/><Relationship Id="rId47" Type="http://schemas.openxmlformats.org/officeDocument/2006/relationships/hyperlink" Target="https://s3.console.aws.amazon.com/s3/buckets/prod-shaip-bucket?region=us-east-1&amp;prefix=bhasha/Swar/Bihar-EastChamparan/AUDIO/Batch3_d1_Bihar-EastChamparan_new_files_11282022_2h35m/&amp;showversions=false" TargetMode="External"/><Relationship Id="rId49" Type="http://schemas.openxmlformats.org/officeDocument/2006/relationships/hyperlink" Target="https://s3.console.aws.amazon.com/s3/buckets/prod-shaip-bucket?region=us-east-1&amp;prefix=bhasha/Swar/Uttarpradesh-Deoria/AUDIO/Batch3_d1_Uttarpradesh-Deoria_new_files_11282022_1h16m/&amp;showversions=false" TargetMode="External"/><Relationship Id="rId741" Type="http://schemas.openxmlformats.org/officeDocument/2006/relationships/hyperlink" Target="https://s3.console.aws.amazon.com/s3/buckets/prod-shaip-bucket?region=us-east-1&amp;prefix=bhasha/swar_new/14-09-2023/AP/Krishna/&amp;showversions=false" TargetMode="External"/><Relationship Id="rId983" Type="http://schemas.openxmlformats.org/officeDocument/2006/relationships/hyperlink" Target="https://s3.console.aws.amazon.com/s3/buckets/prod-shaip-bucket?region=us-east-1&amp;prefix=bhasha/swar_new/17-10-2023/AP/Vishakapattanam/&amp;showversions=false" TargetMode="External"/><Relationship Id="rId740" Type="http://schemas.openxmlformats.org/officeDocument/2006/relationships/hyperlink" Target="https://s3.console.aws.amazon.com/s3/buckets/prod-shaip-bucket?region=us-east-1&amp;prefix=bhasha/swar_new/14-09-2023/AP/Guntur/&amp;showversions=false" TargetMode="External"/><Relationship Id="rId982" Type="http://schemas.openxmlformats.org/officeDocument/2006/relationships/hyperlink" Target="https://s3.console.aws.amazon.com/s3/buckets/prod-shaip-bucket?region=us-east-1&amp;prefix=bhasha/swar_new/17-10-2023/AP/Srikakulam/&amp;showversions=false" TargetMode="External"/><Relationship Id="rId981" Type="http://schemas.openxmlformats.org/officeDocument/2006/relationships/hyperlink" Target="https://s3.console.aws.amazon.com/s3/buckets/prod-shaip-bucket?region=us-east-1&amp;prefix=bhasha/swar_new/17-10-2023/AP/Krishna/&amp;showversions=false" TargetMode="External"/><Relationship Id="rId980" Type="http://schemas.openxmlformats.org/officeDocument/2006/relationships/hyperlink" Target="https://s3.console.aws.amazon.com/s3/buckets/prod-shaip-bucket?region=us-east-1&amp;prefix=bhasha/swar_new/17-10-2023/AP/Guntur/&amp;showversions=false" TargetMode="External"/><Relationship Id="rId31" Type="http://schemas.openxmlformats.org/officeDocument/2006/relationships/hyperlink" Target="https://s3.console.aws.amazon.com/s3/buckets/prod-shaip-bucket?region=us-east-1&amp;prefix=bhasha/Swar/Uttarakhand-TehriGarhwal/AUDIO/Batch2_d1_Uttarakhand-TehriGarhwal_new_files_11252022_2h47m/&amp;showversions=false" TargetMode="External"/><Relationship Id="rId30" Type="http://schemas.openxmlformats.org/officeDocument/2006/relationships/hyperlink" Target="https://s3.console.aws.amazon.com/s3/buckets/prod-shaip-bucket?region=us-east-1&amp;prefix=bhasha/Swar/Rajasthan-Nagaur/AUDIO/Batch2_d1_Rajasthan-Nagaur_new_files_11252022_6h41m/&amp;showversions=false" TargetMode="External"/><Relationship Id="rId33" Type="http://schemas.openxmlformats.org/officeDocument/2006/relationships/hyperlink" Target="https://s3.console.aws.amazon.com/s3/buckets/prod-shaip-bucket?region=us-east-1&amp;prefix=bhasha/Swar/Uttarpradesh-Budaun/AUDIO/Batch2_d1_Uttarpradesh-Budaun_new_files_11232022_1hrs/&amp;showversions=false" TargetMode="External"/><Relationship Id="rId32" Type="http://schemas.openxmlformats.org/officeDocument/2006/relationships/hyperlink" Target="https://s3.console.aws.amazon.com/s3/buckets/prod-shaip-bucket?region=us-east-1&amp;prefix=bhasha/Swar/Uttarakhand-Uttarkashi/AUDIO/Batch1_d1_Uttarakhand-Uttarkashi_new_files_11252022_1h5m/&amp;showversions=false" TargetMode="External"/><Relationship Id="rId35" Type="http://schemas.openxmlformats.org/officeDocument/2006/relationships/hyperlink" Target="https://s3.console.aws.amazon.com/s3/buckets/prod-shaip-bucket?region=us-east-1&amp;prefix=bhasha/Swar/Uttarpradesh-Etah/AUDIO/Batch1_d1_Uttarpradesh-Etah_new_files_11252022_2h35m/&amp;showversions=false" TargetMode="External"/><Relationship Id="rId34" Type="http://schemas.openxmlformats.org/officeDocument/2006/relationships/hyperlink" Target="https://s3.console.aws.amazon.com/s3/buckets/prod-shaip-bucket?region=us-east-1&amp;prefix=bhasha/Swar/Uttarpradesh-Deoria/AUDIO/Batch2_d1_Uttarpradesh-Deoria_new_files_11232022_2hrs/&amp;showversions=false" TargetMode="External"/><Relationship Id="rId739" Type="http://schemas.openxmlformats.org/officeDocument/2006/relationships/hyperlink" Target="https://s3.console.aws.amazon.com/s3/buckets/prod-shaip-bucket?region=us-east-1&amp;prefix=bhasha/swar_new/14-09-2023/AP/Chittoor/&amp;showversions=false" TargetMode="External"/><Relationship Id="rId734" Type="http://schemas.openxmlformats.org/officeDocument/2006/relationships/hyperlink" Target="https://s3.console.aws.amazon.com/s3/buckets/prod-shaip-bucket?region=us-east-1&amp;prefix=bhasha/swar_new/29-08-2023/WB/Malda/&amp;showversions=false" TargetMode="External"/><Relationship Id="rId976" Type="http://schemas.openxmlformats.org/officeDocument/2006/relationships/hyperlink" Target="https://s3.console.aws.amazon.com/s3/buckets/prod-shaip-bucket?region=us-east-1&amp;prefix=bhasha/swar_new/09-10-2023/WB/PaschimMedinipur/&amp;showversions=false" TargetMode="External"/><Relationship Id="rId733" Type="http://schemas.openxmlformats.org/officeDocument/2006/relationships/hyperlink" Target="https://s3.console.aws.amazon.com/s3/buckets/prod-shaip-bucket?region=us-east-1&amp;prefix=bhasha/swar_new/29-08-2023/WB/Kolkata/&amp;showversions=false" TargetMode="External"/><Relationship Id="rId975" Type="http://schemas.openxmlformats.org/officeDocument/2006/relationships/hyperlink" Target="https://s3.console.aws.amazon.com/s3/buckets/prod-shaip-bucket?region=us-east-1&amp;prefix=bhasha/swar_new/09-10-2023/WB/North24Parganas/&amp;showversions=false" TargetMode="External"/><Relationship Id="rId732" Type="http://schemas.openxmlformats.org/officeDocument/2006/relationships/hyperlink" Target="https://s3.console.aws.amazon.com/s3/buckets/prod-shaip-bucket?region=us-east-1&amp;prefix=bhasha/swar_new/29-08-2023/WB/Jhargram/&amp;showversions=false" TargetMode="External"/><Relationship Id="rId974" Type="http://schemas.openxmlformats.org/officeDocument/2006/relationships/hyperlink" Target="https://s3.console.aws.amazon.com/s3/buckets/prod-shaip-bucket?region=us-east-1&amp;prefix=bhasha/swar_new/09-10-2023/WB/Malda/&amp;showversions=false" TargetMode="External"/><Relationship Id="rId731" Type="http://schemas.openxmlformats.org/officeDocument/2006/relationships/hyperlink" Target="https://s3.console.aws.amazon.com/s3/buckets/prod-shaip-bucket?region=us-east-1&amp;prefix=bhasha/swar_new/29-08-2023/WB/Jalpaiguri/&amp;showversions=false" TargetMode="External"/><Relationship Id="rId973" Type="http://schemas.openxmlformats.org/officeDocument/2006/relationships/hyperlink" Target="https://s3.console.aws.amazon.com/s3/buckets/prod-shaip-bucket?region=us-east-1&amp;prefix=bhasha/swar_new/09-10-2023/WB/Kolkata/&amp;showversions=false" TargetMode="External"/><Relationship Id="rId738" Type="http://schemas.openxmlformats.org/officeDocument/2006/relationships/hyperlink" Target="https://s3.console.aws.amazon.com/s3/buckets/prod-shaip-bucket?region=us-east-1&amp;prefix=bhasha/swar_new/14-09-2023/AP/Anantpur/&amp;showversions=false" TargetMode="External"/><Relationship Id="rId737" Type="http://schemas.openxmlformats.org/officeDocument/2006/relationships/hyperlink" Target="https://s3.console.aws.amazon.com/s3/buckets/prod-shaip-bucket?region=us-east-1&amp;prefix=bhasha/swar_new/29-08-2023/WB/Purulia/&amp;showversions=false" TargetMode="External"/><Relationship Id="rId979" Type="http://schemas.openxmlformats.org/officeDocument/2006/relationships/hyperlink" Target="https://s3.console.aws.amazon.com/s3/buckets/prod-shaip-bucket?region=us-east-1&amp;prefix=bhasha/swar_new/17-10-2023/AP/Chittoor/&amp;showversions=false" TargetMode="External"/><Relationship Id="rId736" Type="http://schemas.openxmlformats.org/officeDocument/2006/relationships/hyperlink" Target="https://s3.console.aws.amazon.com/s3/buckets/prod-shaip-bucket?region=us-east-1&amp;prefix=bhasha/swar_new/29-08-2023/WB/PaschimMedinipur/&amp;showversions=false" TargetMode="External"/><Relationship Id="rId978" Type="http://schemas.openxmlformats.org/officeDocument/2006/relationships/hyperlink" Target="https://s3.console.aws.amazon.com/s3/buckets/prod-shaip-bucket?region=us-east-1&amp;prefix=bhasha/swar_new/17-10-2023/AP/Anantpur/&amp;showversions=false" TargetMode="External"/><Relationship Id="rId735" Type="http://schemas.openxmlformats.org/officeDocument/2006/relationships/hyperlink" Target="https://s3.console.aws.amazon.com/s3/buckets/prod-shaip-bucket?region=us-east-1&amp;prefix=bhasha/swar_new/29-08-2023/WB/North24Parganas/&amp;showversions=false" TargetMode="External"/><Relationship Id="rId977" Type="http://schemas.openxmlformats.org/officeDocument/2006/relationships/hyperlink" Target="https://s3.console.aws.amazon.com/s3/buckets/prod-shaip-bucket?region=us-east-1&amp;prefix=bhasha/swar_new/09-10-2023/WB/Purulia/&amp;showversions=false" TargetMode="External"/><Relationship Id="rId37" Type="http://schemas.openxmlformats.org/officeDocument/2006/relationships/hyperlink" Target="https://s3.console.aws.amazon.com/s3/buckets/prod-shaip-bucket?region=us-east-1&amp;prefix=bhasha/Swar/Uttarpradesh-JyotibaPhuleNagar/AUDIO/Batch1_d1_Uttarpradesh-JyotibaPhuleNagar_new_files_11232022_1hrs/&amp;showversions=false" TargetMode="External"/><Relationship Id="rId36" Type="http://schemas.openxmlformats.org/officeDocument/2006/relationships/hyperlink" Target="https://s3.console.aws.amazon.com/s3/buckets/prod-shaip-bucket?region=us-east-1&amp;prefix=bhasha/Swar/Uttarpradesh-Gorakhpur/AUDIO/Batch1_d1_Uttarpradesh-Gorakhpur_new_files_11252022_2h34m/&amp;showversions=false" TargetMode="External"/><Relationship Id="rId39" Type="http://schemas.openxmlformats.org/officeDocument/2006/relationships/hyperlink" Target="https://s3.console.aws.amazon.com/s3/buckets/prod-shaip-bucket?region=us-east-1&amp;prefix=bhasha/Swar/Uttarpradesh-Varanasi/AUDIO/Batch2_d1_Uttarpradesh-Varanasi_new_files_11232022_0hrs/&amp;showversions=false" TargetMode="External"/><Relationship Id="rId38" Type="http://schemas.openxmlformats.org/officeDocument/2006/relationships/hyperlink" Target="https://s3.console.aws.amazon.com/s3/buckets/prod-shaip-bucket?region=us-east-1&amp;prefix=bhasha/Swar/Uttarpradesh-Muzzaffarnagar/AUDIO/Batch2_d1_Uttarpradesh-Muzzaffarnagar_new_files_11252022_2h3m/&amp;showversions=false" TargetMode="External"/><Relationship Id="rId730" Type="http://schemas.openxmlformats.org/officeDocument/2006/relationships/hyperlink" Target="https://s3.console.aws.amazon.com/s3/buckets/prod-shaip-bucket?region=us-east-1&amp;prefix=bhasha/swar_new/29-08-2023/WB/DakshinDinajpur/&amp;showversions=false" TargetMode="External"/><Relationship Id="rId972" Type="http://schemas.openxmlformats.org/officeDocument/2006/relationships/hyperlink" Target="https://s3.console.aws.amazon.com/s3/buckets/prod-shaip-bucket?region=us-east-1&amp;prefix=bhasha/swar_new/09-10-2023/WB/Jhargram/&amp;showversions=false" TargetMode="External"/><Relationship Id="rId971" Type="http://schemas.openxmlformats.org/officeDocument/2006/relationships/hyperlink" Target="https://s3.console.aws.amazon.com/s3/buckets/prod-shaip-bucket?region=us-east-1&amp;prefix=bhasha/swar_new/09-10-2023/WB/Jalpaiguri/&amp;showversions=false" TargetMode="External"/><Relationship Id="rId970" Type="http://schemas.openxmlformats.org/officeDocument/2006/relationships/hyperlink" Target="https://s3.console.aws.amazon.com/s3/buckets/prod-shaip-bucket?region=us-east-1&amp;prefix=bhasha/swar_new/09-10-2023/WB/DakshinDinajpur/&amp;showversions=false" TargetMode="External"/><Relationship Id="rId20" Type="http://schemas.openxmlformats.org/officeDocument/2006/relationships/hyperlink" Target="https://s3.console.aws.amazon.com/s3/buckets/prod-shaip-bucket?region=us-east-1&amp;prefix=bhasha/Swar/Bihar-Muzaffarpur/AUDIO/Batch1_d1_Bihar-Muzaffarpur_new_files_11232022_1hrs/&amp;showversions=false" TargetMode="External"/><Relationship Id="rId22" Type="http://schemas.openxmlformats.org/officeDocument/2006/relationships/hyperlink" Target="https://s3.console.aws.amazon.com/s3/buckets/prod-shaip-bucket?region=us-east-1&amp;prefix=bhasha/Swar/Bihar-Saran/AUDIO/Batch1_d1_Bihar-Saran_new_files_11252022_1h18m/&amp;showversions=false" TargetMode="External"/><Relationship Id="rId21" Type="http://schemas.openxmlformats.org/officeDocument/2006/relationships/hyperlink" Target="https://s3.console.aws.amazon.com/s3/buckets/prod-shaip-bucket?region=us-east-1&amp;prefix=bhasha/Swar/Bihar-Samastipur/AUDIO/Batch1_d1_Bihar-Samastipur_new_files_11232022_4hrs/&amp;showversions=false" TargetMode="External"/><Relationship Id="rId24" Type="http://schemas.openxmlformats.org/officeDocument/2006/relationships/hyperlink" Target="https://s3.console.aws.amazon.com/s3/buckets/prod-shaip-bucket?region=us-east-1&amp;prefix=bhasha/Swar/Chhattisgarh-Bilaspur/AUDIO/Batch2_d1_Chhattisgarh-Bilaspur_new_files_11252022_3h32m/&amp;showversions=false" TargetMode="External"/><Relationship Id="rId23" Type="http://schemas.openxmlformats.org/officeDocument/2006/relationships/hyperlink" Target="https://s3.console.aws.amazon.com/s3/buckets/prod-shaip-bucket?region=us-east-1&amp;prefix=bhasha/Swar/Bihar-Sitamarhi/AUDIO/Batch2_d1_Bihar-Sitamarhi_new_files_11232022_0hrs/&amp;showversions=false" TargetMode="External"/><Relationship Id="rId525" Type="http://schemas.openxmlformats.org/officeDocument/2006/relationships/hyperlink" Target="https://s3.console.aws.amazon.com/s3/buckets/prod-shaip-bucket?region=us-east-1&amp;prefix=bhasha/swar_new/25-07-2023/CG/Bastar/&amp;showversions=false" TargetMode="External"/><Relationship Id="rId767" Type="http://schemas.openxmlformats.org/officeDocument/2006/relationships/hyperlink" Target="https://s3.console.aws.amazon.com/s3/buckets/prod-shaip-bucket?region=us-east-1&amp;prefix=bhasha/swar_new/14-09-2023/CG/Jashpur/&amp;showversions=false" TargetMode="External"/><Relationship Id="rId524" Type="http://schemas.openxmlformats.org/officeDocument/2006/relationships/hyperlink" Target="https://s3.console.aws.amazon.com/s3/buckets/prod-shaip-bucket?region=us-east-1&amp;prefix=bhasha/swar_new/25-07-2023/CG/Balrampur/&amp;showversions=false" TargetMode="External"/><Relationship Id="rId766" Type="http://schemas.openxmlformats.org/officeDocument/2006/relationships/hyperlink" Target="https://s3.console.aws.amazon.com/s3/buckets/prod-shaip-bucket?region=us-east-1&amp;prefix=bhasha/swar_new/14-09-2023/CG/Bilaspur/&amp;showversions=false" TargetMode="External"/><Relationship Id="rId523" Type="http://schemas.openxmlformats.org/officeDocument/2006/relationships/hyperlink" Target="https://s3.console.aws.amazon.com/s3/buckets/prod-shaip-bucket?region=us-east-1&amp;prefix=bhasha/swar_new/25-07-2023/BR/Vaishali/&amp;showversions=false" TargetMode="External"/><Relationship Id="rId765" Type="http://schemas.openxmlformats.org/officeDocument/2006/relationships/hyperlink" Target="https://s3.console.aws.amazon.com/s3/buckets/prod-shaip-bucket?region=us-east-1&amp;prefix=bhasha/swar_new/14-09-2023/CG/Bastar/&amp;showversions=false" TargetMode="External"/><Relationship Id="rId522" Type="http://schemas.openxmlformats.org/officeDocument/2006/relationships/hyperlink" Target="https://s3.console.aws.amazon.com/s3/buckets/prod-shaip-bucket?region=us-east-1&amp;prefix=bhasha/swar_new/25-07-2023/BR/Supaul/&amp;showversions=false" TargetMode="External"/><Relationship Id="rId764" Type="http://schemas.openxmlformats.org/officeDocument/2006/relationships/hyperlink" Target="https://s3.console.aws.amazon.com/s3/buckets/prod-shaip-bucket?region=us-east-1&amp;prefix=bhasha/swar_new/14-09-2023/CG/Balrampur/&amp;showversions=false" TargetMode="External"/><Relationship Id="rId529" Type="http://schemas.openxmlformats.org/officeDocument/2006/relationships/hyperlink" Target="https://s3.console.aws.amazon.com/s3/buckets/prod-shaip-bucket?region=us-east-1&amp;prefix=bhasha/swar_new/25-07-2023/CG/Korba/&amp;showversions=false" TargetMode="External"/><Relationship Id="rId528" Type="http://schemas.openxmlformats.org/officeDocument/2006/relationships/hyperlink" Target="https://s3.console.aws.amazon.com/s3/buckets/prod-shaip-bucket?region=us-east-1&amp;prefix=bhasha/swar_new/25-07-2023/CG/Kabirdham/&amp;showversions=false" TargetMode="External"/><Relationship Id="rId527" Type="http://schemas.openxmlformats.org/officeDocument/2006/relationships/hyperlink" Target="https://s3.console.aws.amazon.com/s3/buckets/prod-shaip-bucket?region=us-east-1&amp;prefix=bhasha/swar_new/25-07-2023/CG/Jashpur/&amp;showversions=false" TargetMode="External"/><Relationship Id="rId769" Type="http://schemas.openxmlformats.org/officeDocument/2006/relationships/hyperlink" Target="https://s3.console.aws.amazon.com/s3/buckets/prod-shaip-bucket?region=us-east-1&amp;prefix=bhasha/swar_new/14-09-2023/CG/Korba/&amp;showversions=false" TargetMode="External"/><Relationship Id="rId526" Type="http://schemas.openxmlformats.org/officeDocument/2006/relationships/hyperlink" Target="https://s3.console.aws.amazon.com/s3/buckets/prod-shaip-bucket?region=us-east-1&amp;prefix=bhasha/swar_new/25-07-2023/CG/Bilaspur/&amp;showversions=false" TargetMode="External"/><Relationship Id="rId768" Type="http://schemas.openxmlformats.org/officeDocument/2006/relationships/hyperlink" Target="https://s3.console.aws.amazon.com/s3/buckets/prod-shaip-bucket?region=us-east-1&amp;prefix=bhasha/swar_new/14-09-2023/CG/Kabirdham/&amp;showversions=false" TargetMode="External"/><Relationship Id="rId26" Type="http://schemas.openxmlformats.org/officeDocument/2006/relationships/hyperlink" Target="https://s3.console.aws.amazon.com/s3/buckets/prod-shaip-bucket?region=us-east-1&amp;prefix=bhasha/Swar/Chhattisgarh-Raigarh/AUDIO/Batch1_d1_Chhattisgarh-Raigarh_new_files_11252022_2h56m/&amp;showversions=false" TargetMode="External"/><Relationship Id="rId25" Type="http://schemas.openxmlformats.org/officeDocument/2006/relationships/hyperlink" Target="https://s3.console.aws.amazon.com/s3/buckets/prod-shaip-bucket?region=us-east-1&amp;prefix=bhasha/Swar/Chhattisgarh-Jashpur/AUDIO/Batch1_d1_Chhattisgarh-Jashpur_new_files_11252022_3h56m/&amp;showversions=false" TargetMode="External"/><Relationship Id="rId28" Type="http://schemas.openxmlformats.org/officeDocument/2006/relationships/hyperlink" Target="https://s3.console.aws.amazon.com/s3/buckets/prod-shaip-bucket?region=us-east-1&amp;prefix=bhasha/Swar/Maharashtra-Solapur/AUDIO/Batch1_d1_Maharashtra-Solapur_new_files_11252022_1h1m/&amp;showversions=false" TargetMode="External"/><Relationship Id="rId27" Type="http://schemas.openxmlformats.org/officeDocument/2006/relationships/hyperlink" Target="https://s3.console.aws.amazon.com/s3/buckets/prod-shaip-bucket?region=us-east-1&amp;prefix=bhasha/Swar/Karnataka-Shimoga/AUDIO/Batch1_d1_Karnataka-Shimoga_new_files_11252022_1h39m/&amp;showversions=false" TargetMode="External"/><Relationship Id="rId521" Type="http://schemas.openxmlformats.org/officeDocument/2006/relationships/hyperlink" Target="https://s3.console.aws.amazon.com/s3/buckets/prod-shaip-bucket?region=us-east-1&amp;prefix=bhasha/swar_new/25-07-2023/BR/Sitamarhi/&amp;showversions=false" TargetMode="External"/><Relationship Id="rId763" Type="http://schemas.openxmlformats.org/officeDocument/2006/relationships/hyperlink" Target="https://s3.console.aws.amazon.com/s3/buckets/prod-shaip-bucket?region=us-east-1&amp;prefix=bhasha/swar_new/14-09-2023/BR/Vaishali/&amp;showversions=false" TargetMode="External"/><Relationship Id="rId29" Type="http://schemas.openxmlformats.org/officeDocument/2006/relationships/hyperlink" Target="https://s3.console.aws.amazon.com/s3/buckets/prod-shaip-bucket?region=us-east-1&amp;prefix=bhasha/Swar/Rajasthan-Churu/AUDIO/Batch2_d1_Rajasthan-Churu_new_files_11232022_5hrs/&amp;showversions=false" TargetMode="External"/><Relationship Id="rId520" Type="http://schemas.openxmlformats.org/officeDocument/2006/relationships/hyperlink" Target="https://s3.console.aws.amazon.com/s3/buckets/prod-shaip-bucket?region=us-east-1&amp;prefix=bhasha/swar_new/25-07-2023/BR/Saran/&amp;showversions=false" TargetMode="External"/><Relationship Id="rId762" Type="http://schemas.openxmlformats.org/officeDocument/2006/relationships/hyperlink" Target="https://s3.console.aws.amazon.com/s3/buckets/prod-shaip-bucket?region=us-east-1&amp;prefix=bhasha/swar_new/14-09-2023/BR/Supaul/&amp;showversions=false" TargetMode="External"/><Relationship Id="rId761" Type="http://schemas.openxmlformats.org/officeDocument/2006/relationships/hyperlink" Target="https://s3.console.aws.amazon.com/s3/buckets/prod-shaip-bucket?region=us-east-1&amp;prefix=bhasha/swar_new/14-09-2023/BR/Sitamarhi/&amp;showversions=false" TargetMode="External"/><Relationship Id="rId760" Type="http://schemas.openxmlformats.org/officeDocument/2006/relationships/hyperlink" Target="https://s3.console.aws.amazon.com/s3/buckets/prod-shaip-bucket?region=us-east-1&amp;prefix=bhasha/swar_new/14-09-2023/BR/Saran/&amp;showversions=false" TargetMode="External"/><Relationship Id="rId11" Type="http://schemas.openxmlformats.org/officeDocument/2006/relationships/hyperlink" Target="https://s3.console.aws.amazon.com/s3/buckets/prod-shaip-bucket?region=us-east-1&amp;prefix=bhasha/Swar/Rajasthan-Churu/AUDIO/Batch1_d1_Rajasthan-Churu_new_files_11182022_1hrs/&amp;showversions=false" TargetMode="External"/><Relationship Id="rId10" Type="http://schemas.openxmlformats.org/officeDocument/2006/relationships/hyperlink" Target="https://s3.console.aws.amazon.com/s3/buckets/prod-shaip-bucket?region=us-east-1&amp;prefix=bhasha/Swar/Bihar-Sitamarhi/AUDIO/Batch1_d1_Bihar-Sitamarhi_new_files_11182022_2hrs/&amp;showversions=false" TargetMode="External"/><Relationship Id="rId13" Type="http://schemas.openxmlformats.org/officeDocument/2006/relationships/hyperlink" Target="https://s3.console.aws.amazon.com/s3/buckets/prod-shaip-bucket?region=us-east-1&amp;prefix=bhasha/Swar/Bihar-EastChamparan/AUDIO/Batch2_d1_Bihar-EastChamparan_new_files_11212022_5hrs/&amp;showversions=false" TargetMode="External"/><Relationship Id="rId12" Type="http://schemas.openxmlformats.org/officeDocument/2006/relationships/hyperlink" Target="https://s3.console.aws.amazon.com/s3/buckets/prod-shaip-bucket?region=us-east-1&amp;prefix=bhasha/Swar/Chhattisgarh-Bilaspur/AUDIO/Batch1_d1_Chhattisgarh-Bilaspur_new_files_11212022_5hrs/&amp;showversions=false" TargetMode="External"/><Relationship Id="rId519" Type="http://schemas.openxmlformats.org/officeDocument/2006/relationships/hyperlink" Target="https://s3.console.aws.amazon.com/s3/buckets/prod-shaip-bucket?region=us-east-1&amp;prefix=bhasha/swar_new/25-07-2023/BR/Samastipur/&amp;showversions=false" TargetMode="External"/><Relationship Id="rId514" Type="http://schemas.openxmlformats.org/officeDocument/2006/relationships/hyperlink" Target="https://s3.console.aws.amazon.com/s3/buckets/prod-shaip-bucket?region=us-east-1&amp;prefix=bhasha/swar_new/25-07-2023/BR/Lakhisarai/&amp;showversions=false" TargetMode="External"/><Relationship Id="rId756" Type="http://schemas.openxmlformats.org/officeDocument/2006/relationships/hyperlink" Target="https://s3.console.aws.amazon.com/s3/buckets/prod-shaip-bucket?region=us-east-1&amp;prefix=bhasha/swar_new/14-09-2023/BR/Muzaffarpur/&amp;showversions=false" TargetMode="External"/><Relationship Id="rId998" Type="http://schemas.openxmlformats.org/officeDocument/2006/relationships/hyperlink" Target="https://s3.console.aws.amazon.com/s3/buckets/prod-shaip-bucket?region=us-east-1&amp;prefix=bhasha/swar_new/17-10-2023/BR/Saharsa/&amp;showversions=false" TargetMode="External"/><Relationship Id="rId513" Type="http://schemas.openxmlformats.org/officeDocument/2006/relationships/hyperlink" Target="https://s3.console.aws.amazon.com/s3/buckets/prod-shaip-bucket?region=us-east-1&amp;prefix=bhasha/swar_new/25-07-2023/BR/Kishanganj/&amp;showversions=false" TargetMode="External"/><Relationship Id="rId755" Type="http://schemas.openxmlformats.org/officeDocument/2006/relationships/hyperlink" Target="https://s3.console.aws.amazon.com/s3/buckets/prod-shaip-bucket?region=us-east-1&amp;prefix=bhasha/swar_new/14-09-2023/BR/Madhepura/&amp;showversions=false" TargetMode="External"/><Relationship Id="rId997" Type="http://schemas.openxmlformats.org/officeDocument/2006/relationships/hyperlink" Target="https://s3.console.aws.amazon.com/s3/buckets/prod-shaip-bucket?region=us-east-1&amp;prefix=bhasha/swar_new/17-10-2023/BR/Purnia/&amp;showversions=false" TargetMode="External"/><Relationship Id="rId512" Type="http://schemas.openxmlformats.org/officeDocument/2006/relationships/hyperlink" Target="https://s3.console.aws.amazon.com/s3/buckets/prod-shaip-bucket?region=us-east-1&amp;prefix=bhasha/swar_new/25-07-2023/BR/Jamui/&amp;showversions=false" TargetMode="External"/><Relationship Id="rId754" Type="http://schemas.openxmlformats.org/officeDocument/2006/relationships/hyperlink" Target="https://s3.console.aws.amazon.com/s3/buckets/prod-shaip-bucket?region=us-east-1&amp;prefix=bhasha/swar_new/14-09-2023/BR/Lakhisarai/&amp;showversions=false" TargetMode="External"/><Relationship Id="rId996" Type="http://schemas.openxmlformats.org/officeDocument/2006/relationships/hyperlink" Target="https://s3.console.aws.amazon.com/s3/buckets/prod-shaip-bucket?region=us-east-1&amp;prefix=bhasha/swar_new/17-10-2023/BR/Muzaffarpur/&amp;showversions=false" TargetMode="External"/><Relationship Id="rId511" Type="http://schemas.openxmlformats.org/officeDocument/2006/relationships/hyperlink" Target="https://s3.console.aws.amazon.com/s3/buckets/prod-shaip-bucket?region=us-east-1&amp;prefix=bhasha/swar_new/25-07-2023/BR/Jahanabad/&amp;showversions=false" TargetMode="External"/><Relationship Id="rId753" Type="http://schemas.openxmlformats.org/officeDocument/2006/relationships/hyperlink" Target="https://s3.console.aws.amazon.com/s3/buckets/prod-shaip-bucket?region=us-east-1&amp;prefix=bhasha/swar_new/14-09-2023/BR/Kishanganj/&amp;showversions=false" TargetMode="External"/><Relationship Id="rId995" Type="http://schemas.openxmlformats.org/officeDocument/2006/relationships/hyperlink" Target="https://s3.console.aws.amazon.com/s3/buckets/prod-shaip-bucket?region=us-east-1&amp;prefix=bhasha/swar_new/17-10-2023/BR/Madhepura/&amp;showversions=false" TargetMode="External"/><Relationship Id="rId518" Type="http://schemas.openxmlformats.org/officeDocument/2006/relationships/hyperlink" Target="https://s3.console.aws.amazon.com/s3/buckets/prod-shaip-bucket?region=us-east-1&amp;prefix=bhasha/swar_new/25-07-2023/BR/Saharsa/&amp;showversions=false" TargetMode="External"/><Relationship Id="rId517" Type="http://schemas.openxmlformats.org/officeDocument/2006/relationships/hyperlink" Target="https://s3.console.aws.amazon.com/s3/buckets/prod-shaip-bucket?region=us-east-1&amp;prefix=bhasha/swar_new/25-07-2023/BR/Purnia/&amp;showversions=false" TargetMode="External"/><Relationship Id="rId759" Type="http://schemas.openxmlformats.org/officeDocument/2006/relationships/hyperlink" Target="https://s3.console.aws.amazon.com/s3/buckets/prod-shaip-bucket?region=us-east-1&amp;prefix=bhasha/swar_new/14-09-2023/BR/Samastipur/&amp;showversions=false" TargetMode="External"/><Relationship Id="rId516" Type="http://schemas.openxmlformats.org/officeDocument/2006/relationships/hyperlink" Target="https://s3.console.aws.amazon.com/s3/buckets/prod-shaip-bucket?region=us-east-1&amp;prefix=bhasha/swar_new/25-07-2023/BR/Muzaffarpur/&amp;showversions=false" TargetMode="External"/><Relationship Id="rId758" Type="http://schemas.openxmlformats.org/officeDocument/2006/relationships/hyperlink" Target="https://s3.console.aws.amazon.com/s3/buckets/prod-shaip-bucket?region=us-east-1&amp;prefix=bhasha/swar_new/14-09-2023/BR/Saharsa/&amp;showversions=false" TargetMode="External"/><Relationship Id="rId515" Type="http://schemas.openxmlformats.org/officeDocument/2006/relationships/hyperlink" Target="https://s3.console.aws.amazon.com/s3/buckets/prod-shaip-bucket?region=us-east-1&amp;prefix=bhasha/swar_new/25-07-2023/BR/Madhepura/&amp;showversions=false" TargetMode="External"/><Relationship Id="rId757" Type="http://schemas.openxmlformats.org/officeDocument/2006/relationships/hyperlink" Target="https://s3.console.aws.amazon.com/s3/buckets/prod-shaip-bucket?region=us-east-1&amp;prefix=bhasha/swar_new/14-09-2023/BR/Purnia/&amp;showversions=false" TargetMode="External"/><Relationship Id="rId999" Type="http://schemas.openxmlformats.org/officeDocument/2006/relationships/hyperlink" Target="https://s3.console.aws.amazon.com/s3/buckets/prod-shaip-bucket?region=us-east-1&amp;prefix=bhasha/swar_new/17-10-2023/BR/Samastipur/&amp;showversions=false" TargetMode="External"/><Relationship Id="rId15" Type="http://schemas.openxmlformats.org/officeDocument/2006/relationships/hyperlink" Target="https://s3.console.aws.amazon.com/s3/buckets/prod-shaip-bucket?region=us-east-1&amp;prefix=bhasha/Swar/Uttarpradesh-Varanasi/AUDIO/Batch1_d1_Uttarpradesh-Varanasi_new_files_11212022_1hrs/&amp;showversions=false" TargetMode="External"/><Relationship Id="rId990" Type="http://schemas.openxmlformats.org/officeDocument/2006/relationships/hyperlink" Target="https://s3.console.aws.amazon.com/s3/buckets/prod-shaip-bucket?region=us-east-1&amp;prefix=bhasha/swar_new/17-10-2023/BR/Gopalganj/&amp;showversions=false" TargetMode="External"/><Relationship Id="rId14" Type="http://schemas.openxmlformats.org/officeDocument/2006/relationships/hyperlink" Target="https://s3.console.aws.amazon.com/s3/buckets/prod-shaip-bucket?region=us-east-1&amp;prefix=bhasha/Swar/Bihar-Begusarai/AUDIO/Batch1_d1_Bihar-Begusarai_new_files_11212022_3hrs/&amp;showversions=false" TargetMode="External"/><Relationship Id="rId17" Type="http://schemas.openxmlformats.org/officeDocument/2006/relationships/hyperlink" Target="https://s3.console.aws.amazon.com/s3/buckets/prod-shaip-bucket?region=us-east-1&amp;prefix=bhasha/Swar/Bihar-Gaya%26Jahanabad/AUDIO/Batch1_d1_Bihar-Gaya%26Jahanabad_new_files_11252022_1h60m/&amp;showversions=false" TargetMode="External"/><Relationship Id="rId16" Type="http://schemas.openxmlformats.org/officeDocument/2006/relationships/hyperlink" Target="https://s3.console.aws.amazon.com/s3/buckets/prod-shaip-bucket?region=us-east-1&amp;prefix=bhasha/Swar/Bihar-Darbhanga/AUDIO/Batch1_d1_Bihar-Darbhanga_new_files_11252022_2h17m/&amp;showversions=false" TargetMode="External"/><Relationship Id="rId19" Type="http://schemas.openxmlformats.org/officeDocument/2006/relationships/hyperlink" Target="https://s3.console.aws.amazon.com/s3/buckets/prod-shaip-bucket?region=us-east-1&amp;prefix=bhasha/Swar/Bihar-Jamui/AUDIO/Batch1_d1_Bihar-Jamui_new_files_11232022_1hrs/&amp;showversions=false" TargetMode="External"/><Relationship Id="rId510" Type="http://schemas.openxmlformats.org/officeDocument/2006/relationships/hyperlink" Target="https://s3.console.aws.amazon.com/s3/buckets/prod-shaip-bucket?region=us-east-1&amp;prefix=bhasha/swar_new/25-07-2023/BR/Gopalganj/&amp;showversions=false" TargetMode="External"/><Relationship Id="rId752" Type="http://schemas.openxmlformats.org/officeDocument/2006/relationships/hyperlink" Target="https://s3.console.aws.amazon.com/s3/buckets/prod-shaip-bucket?region=us-east-1&amp;prefix=bhasha/swar_new/14-09-2023/BR/Jamui/&amp;showversions=false" TargetMode="External"/><Relationship Id="rId994" Type="http://schemas.openxmlformats.org/officeDocument/2006/relationships/hyperlink" Target="https://s3.console.aws.amazon.com/s3/buckets/prod-shaip-bucket?region=us-east-1&amp;prefix=bhasha/swar_new/17-10-2023/BR/Lakhisarai/&amp;showversions=false" TargetMode="External"/><Relationship Id="rId18" Type="http://schemas.openxmlformats.org/officeDocument/2006/relationships/hyperlink" Target="https://s3.console.aws.amazon.com/s3/buckets/prod-shaip-bucket?region=us-east-1&amp;prefix=bhasha/Swar/Bihar-Gopalganj/AUDIO/Batch2_d1_Bihar-Gopalganj_new_files_11252022_2h29m/&amp;showversions=false" TargetMode="External"/><Relationship Id="rId751" Type="http://schemas.openxmlformats.org/officeDocument/2006/relationships/hyperlink" Target="https://s3.console.aws.amazon.com/s3/buckets/prod-shaip-bucket?region=us-east-1&amp;prefix=bhasha/swar_new/14-09-2023/BR/Jahanabad/&amp;showversions=false" TargetMode="External"/><Relationship Id="rId993" Type="http://schemas.openxmlformats.org/officeDocument/2006/relationships/hyperlink" Target="https://s3.console.aws.amazon.com/s3/buckets/prod-shaip-bucket?region=us-east-1&amp;prefix=bhasha/swar_new/17-10-2023/BR/Kishanganj/&amp;showversions=false" TargetMode="External"/><Relationship Id="rId750" Type="http://schemas.openxmlformats.org/officeDocument/2006/relationships/hyperlink" Target="https://s3.console.aws.amazon.com/s3/buckets/prod-shaip-bucket?region=us-east-1&amp;prefix=bhasha/swar_new/14-09-2023/BR/Gopalganj/&amp;showversions=false" TargetMode="External"/><Relationship Id="rId992" Type="http://schemas.openxmlformats.org/officeDocument/2006/relationships/hyperlink" Target="https://s3.console.aws.amazon.com/s3/buckets/prod-shaip-bucket?region=us-east-1&amp;prefix=bhasha/swar_new/17-10-2023/BR/Jamui/&amp;showversions=false" TargetMode="External"/><Relationship Id="rId991" Type="http://schemas.openxmlformats.org/officeDocument/2006/relationships/hyperlink" Target="https://s3.console.aws.amazon.com/s3/buckets/prod-shaip-bucket?region=us-east-1&amp;prefix=bhasha/swar_new/17-10-2023/BR/Jahanabad/&amp;showversions=false" TargetMode="External"/><Relationship Id="rId84" Type="http://schemas.openxmlformats.org/officeDocument/2006/relationships/hyperlink" Target="https://s3.console.aws.amazon.com/s3/buckets/prod-shaip-bucket?region=us-east-1&amp;prefix=bhasha/Swar/Uttarpradesh-Ghazipur/AUDIO/Batch1_d1_Uttarpradesh-Ghazipur_new_files_11292022_14m/&amp;showversions=false" TargetMode="External"/><Relationship Id="rId83" Type="http://schemas.openxmlformats.org/officeDocument/2006/relationships/hyperlink" Target="https://s3.console.aws.amazon.com/s3/buckets/prod-shaip-bucket?region=us-east-1&amp;prefix=bhasha/Swar/Uttarpradesh-Etah/AUDIO/Batch2_d1_Uttarpradesh-Etah_new_files_11292022_8m/&amp;showversions=false" TargetMode="External"/><Relationship Id="rId86" Type="http://schemas.openxmlformats.org/officeDocument/2006/relationships/hyperlink" Target="https://s3.console.aws.amazon.com/s3/buckets/prod-shaip-bucket?region=us-east-1&amp;prefix=bhasha/Swar/Uttarpradesh-Hamirpur/AUDIO/Batch1_d1_Uttarpradesh-Hamirpur_new_files_11292022_1h35m/&amp;showversions=false" TargetMode="External"/><Relationship Id="rId85" Type="http://schemas.openxmlformats.org/officeDocument/2006/relationships/hyperlink" Target="https://s3.console.aws.amazon.com/s3/buckets/prod-shaip-bucket?region=us-east-1&amp;prefix=bhasha/Swar/Uttarpradesh-Gorakhpur/AUDIO/Batch2_d1_Uttarpradesh-Gorakhpur_new_files_11292022_1h5m/&amp;showversions=false" TargetMode="External"/><Relationship Id="rId88" Type="http://schemas.openxmlformats.org/officeDocument/2006/relationships/hyperlink" Target="https://s3.console.aws.amazon.com/s3/buckets/prod-shaip-bucket?region=us-east-1&amp;prefix=bhasha/Swar/Uttarpradesh-Muzzaffarnagar/AUDIO/Batch3_d1_Uttarpradesh-Muzzaffarnagar_new_files_11292022_2h42m/&amp;showversions=false" TargetMode="External"/><Relationship Id="rId87" Type="http://schemas.openxmlformats.org/officeDocument/2006/relationships/hyperlink" Target="https://s3.console.aws.amazon.com/s3/buckets/prod-shaip-bucket?region=us-east-1&amp;prefix=bhasha/Swar/Uttarpradesh-Jalaun/AUDIO/Batch1_d1_Uttarpradesh-Jalaun_new_files_11292022_25m/&amp;showversions=false" TargetMode="External"/><Relationship Id="rId89" Type="http://schemas.openxmlformats.org/officeDocument/2006/relationships/hyperlink" Target="https://s3.console.aws.amazon.com/s3/buckets/prod-shaip-bucket?region=us-east-1&amp;prefix=bhasha/Swar/WestBengal-DakshinDinajpur/AUDIO/Batch1_d1_WestBengal-DakshinDinajpur_new_files_11292022_3m/&amp;showversions=false" TargetMode="External"/><Relationship Id="rId709" Type="http://schemas.openxmlformats.org/officeDocument/2006/relationships/hyperlink" Target="https://s3.console.aws.amazon.com/s3/buckets/prod-shaip-bucket?region=us-east-1&amp;prefix=bhasha/swar_new/29-08-2023/MH/Dhule/&amp;showversions=false" TargetMode="External"/><Relationship Id="rId708" Type="http://schemas.openxmlformats.org/officeDocument/2006/relationships/hyperlink" Target="https://s3.console.aws.amazon.com/s3/buckets/prod-shaip-bucket?region=us-east-1&amp;prefix=bhasha/swar_new/29-08-2023/MH/Chandrapur/&amp;showversions=false" TargetMode="External"/><Relationship Id="rId707" Type="http://schemas.openxmlformats.org/officeDocument/2006/relationships/hyperlink" Target="https://s3.console.aws.amazon.com/s3/buckets/prod-shaip-bucket?region=us-east-1&amp;prefix=bhasha/swar_new/29-08-2023/MH/Aurangabad/&amp;showversions=false" TargetMode="External"/><Relationship Id="rId949" Type="http://schemas.openxmlformats.org/officeDocument/2006/relationships/hyperlink" Target="https://s3.console.aws.amazon.com/s3/buckets/prod-shaip-bucket?region=us-east-1&amp;prefix=bhasha/swar_new/09-10-2023/MH/Dhule/&amp;showversions=false" TargetMode="External"/><Relationship Id="rId706" Type="http://schemas.openxmlformats.org/officeDocument/2006/relationships/hyperlink" Target="https://s3.console.aws.amazon.com/s3/buckets/prod-shaip-bucket?region=us-east-1&amp;prefix=bhasha/swar_new/29-08-2023/KA/Shimoga/&amp;showversions=false" TargetMode="External"/><Relationship Id="rId948" Type="http://schemas.openxmlformats.org/officeDocument/2006/relationships/hyperlink" Target="https://s3.console.aws.amazon.com/s3/buckets/prod-shaip-bucket?region=us-east-1&amp;prefix=bhasha/swar_new/09-10-2023/MH/Chandrapur/&amp;showversions=false" TargetMode="External"/><Relationship Id="rId80" Type="http://schemas.openxmlformats.org/officeDocument/2006/relationships/hyperlink" Target="https://s3.console.aws.amazon.com/s3/buckets/prod-shaip-bucket?region=us-east-1&amp;prefix=bhasha/Swar/Rajasthan-Nagaur/AUDIO/Batch3_d1_Rajasthan-Nagaur_new_files_11292022_2h26m/&amp;showversions=false" TargetMode="External"/><Relationship Id="rId82" Type="http://schemas.openxmlformats.org/officeDocument/2006/relationships/hyperlink" Target="https://s3.console.aws.amazon.com/s3/buckets/prod-shaip-bucket?region=us-east-1&amp;prefix=bhasha/Swar/Uttarpradesh-Deoria/AUDIO/Batch4_d1_Uttarpradesh-Deoria_new_files_11292022_28m/&amp;showversions=false" TargetMode="External"/><Relationship Id="rId81" Type="http://schemas.openxmlformats.org/officeDocument/2006/relationships/hyperlink" Target="https://s3.console.aws.amazon.com/s3/buckets/prod-shaip-bucket?region=us-east-1&amp;prefix=bhasha/Swar/Uttarpradesh-Budaun/AUDIO/Batch4_d1_Uttarpradesh-Budaun_new_files_11292022_8m/&amp;showversions=false" TargetMode="External"/><Relationship Id="rId701" Type="http://schemas.openxmlformats.org/officeDocument/2006/relationships/hyperlink" Target="https://s3.console.aws.amazon.com/s3/buckets/prod-shaip-bucket?region=us-east-1&amp;prefix=bhasha/swar_new/29-08-2023/KA/DakshinKannada/&amp;showversions=false" TargetMode="External"/><Relationship Id="rId943" Type="http://schemas.openxmlformats.org/officeDocument/2006/relationships/hyperlink" Target="https://s3.console.aws.amazon.com/s3/buckets/prod-shaip-bucket?region=us-east-1&amp;prefix=bhasha/swar_new/09-10-2023/KA/Gulbarga/&amp;showversions=false" TargetMode="External"/><Relationship Id="rId700" Type="http://schemas.openxmlformats.org/officeDocument/2006/relationships/hyperlink" Target="https://s3.console.aws.amazon.com/s3/buckets/prod-shaip-bucket?region=us-east-1&amp;prefix=bhasha/swar_new/29-08-2023/KA/Chamrajnagar/&amp;showversions=false" TargetMode="External"/><Relationship Id="rId942" Type="http://schemas.openxmlformats.org/officeDocument/2006/relationships/hyperlink" Target="https://s3.console.aws.amazon.com/s3/buckets/prod-shaip-bucket?region=us-east-1&amp;prefix=bhasha/swar_new/09-10-2023/KA/Dharwad/&amp;showversions=false" TargetMode="External"/><Relationship Id="rId941" Type="http://schemas.openxmlformats.org/officeDocument/2006/relationships/hyperlink" Target="https://s3.console.aws.amazon.com/s3/buckets/prod-shaip-bucket?region=us-east-1&amp;prefix=bhasha/swar_new/09-10-2023/KA/DakshinKannada/&amp;showversions=false" TargetMode="External"/><Relationship Id="rId940" Type="http://schemas.openxmlformats.org/officeDocument/2006/relationships/hyperlink" Target="https://s3.console.aws.amazon.com/s3/buckets/prod-shaip-bucket?region=us-east-1&amp;prefix=bhasha/swar_new/09-10-2023/KA/Chamrajnagar/&amp;showversions=false" TargetMode="External"/><Relationship Id="rId705" Type="http://schemas.openxmlformats.org/officeDocument/2006/relationships/hyperlink" Target="https://s3.console.aws.amazon.com/s3/buckets/prod-shaip-bucket?region=us-east-1&amp;prefix=bhasha/swar_new/29-08-2023/KA/Raichur/&amp;showversions=false" TargetMode="External"/><Relationship Id="rId947" Type="http://schemas.openxmlformats.org/officeDocument/2006/relationships/hyperlink" Target="https://s3.console.aws.amazon.com/s3/buckets/prod-shaip-bucket?region=us-east-1&amp;prefix=bhasha/swar_new/09-10-2023/MH/Aurangabad/&amp;showversions=false" TargetMode="External"/><Relationship Id="rId704" Type="http://schemas.openxmlformats.org/officeDocument/2006/relationships/hyperlink" Target="https://s3.console.aws.amazon.com/s3/buckets/prod-shaip-bucket?region=us-east-1&amp;prefix=bhasha/swar_new/29-08-2023/KA/Mysore/&amp;showversions=false" TargetMode="External"/><Relationship Id="rId946" Type="http://schemas.openxmlformats.org/officeDocument/2006/relationships/hyperlink" Target="https://s3.console.aws.amazon.com/s3/buckets/prod-shaip-bucket?region=us-east-1&amp;prefix=bhasha/swar_new/09-10-2023/KA/Shimoga/&amp;showversions=false" TargetMode="External"/><Relationship Id="rId703" Type="http://schemas.openxmlformats.org/officeDocument/2006/relationships/hyperlink" Target="https://s3.console.aws.amazon.com/s3/buckets/prod-shaip-bucket?region=us-east-1&amp;prefix=bhasha/swar_new/29-08-2023/KA/Gulbarga/&amp;showversions=false" TargetMode="External"/><Relationship Id="rId945" Type="http://schemas.openxmlformats.org/officeDocument/2006/relationships/hyperlink" Target="https://s3.console.aws.amazon.com/s3/buckets/prod-shaip-bucket?region=us-east-1&amp;prefix=bhasha/swar_new/09-10-2023/KA/Raichur/&amp;showversions=false" TargetMode="External"/><Relationship Id="rId702" Type="http://schemas.openxmlformats.org/officeDocument/2006/relationships/hyperlink" Target="https://s3.console.aws.amazon.com/s3/buckets/prod-shaip-bucket?region=us-east-1&amp;prefix=bhasha/swar_new/29-08-2023/KA/Dharwad/&amp;showversions=false" TargetMode="External"/><Relationship Id="rId944" Type="http://schemas.openxmlformats.org/officeDocument/2006/relationships/hyperlink" Target="https://s3.console.aws.amazon.com/s3/buckets/prod-shaip-bucket?region=us-east-1&amp;prefix=bhasha/swar_new/09-10-2023/KA/Mysore/&amp;showversions=false" TargetMode="External"/><Relationship Id="rId73" Type="http://schemas.openxmlformats.org/officeDocument/2006/relationships/hyperlink" Target="https://s3.console.aws.amazon.com/s3/buckets/prod-shaip-bucket?region=us-east-1&amp;prefix=bhasha/Swar/Karnataka-Dharwad/AUDIO/Batch1_d1_Karnataka-Dharwad_new_files_11292022_1h6m/&amp;showversions=false" TargetMode="External"/><Relationship Id="rId72" Type="http://schemas.openxmlformats.org/officeDocument/2006/relationships/hyperlink" Target="https://s3.console.aws.amazon.com/s3/buckets/prod-shaip-bucket?region=us-east-1&amp;prefix=bhasha/Swar/Karnataka-Chamrajnagar/AUDIO/Batch1_d1_Karnataka-Chamrajnagar_new_files_11292022_13m/&amp;showversions=false" TargetMode="External"/><Relationship Id="rId75" Type="http://schemas.openxmlformats.org/officeDocument/2006/relationships/hyperlink" Target="https://s3.console.aws.amazon.com/s3/buckets/prod-shaip-bucket?region=us-east-1&amp;prefix=bhasha/Swar/Karnataka-Shimoga/AUDIO/Batch2_d1_Karnataka-Shimoga_new_files_11292022_1h54m/&amp;showversions=false" TargetMode="External"/><Relationship Id="rId74" Type="http://schemas.openxmlformats.org/officeDocument/2006/relationships/hyperlink" Target="https://s3.console.aws.amazon.com/s3/buckets/prod-shaip-bucket?region=us-east-1&amp;prefix=bhasha/Swar/Karnataka-Mysore/AUDIO/Batch2_d1_Karnataka-Mysore_new_files_11292022_8m/&amp;showversions=false" TargetMode="External"/><Relationship Id="rId77" Type="http://schemas.openxmlformats.org/officeDocument/2006/relationships/hyperlink" Target="https://s3.console.aws.amazon.com/s3/buckets/prod-shaip-bucket?region=us-east-1&amp;prefix=bhasha/Swar/Maharashtra-Chandrapur/AUDIO/Batch1_d1_Maharashtra-Chandrapur_new_files_11292022_13m/&amp;showversions=false" TargetMode="External"/><Relationship Id="rId76" Type="http://schemas.openxmlformats.org/officeDocument/2006/relationships/hyperlink" Target="https://s3.console.aws.amazon.com/s3/buckets/prod-shaip-bucket?region=us-east-1&amp;prefix=bhasha/Swar/Maharashtra-Aurangabad/AUDIO/Batch1_d1_Maharashtra-Aurangabad_new_files_11292022_1h36m/&amp;showversions=false" TargetMode="External"/><Relationship Id="rId79" Type="http://schemas.openxmlformats.org/officeDocument/2006/relationships/hyperlink" Target="https://s3.console.aws.amazon.com/s3/buckets/prod-shaip-bucket?region=us-east-1&amp;prefix=bhasha/Swar/Rajasthan-Churu/AUDIO/Batch3_d1_Rajasthan-Churu_new_files_11292022_4h38m/&amp;showversions=false" TargetMode="External"/><Relationship Id="rId78" Type="http://schemas.openxmlformats.org/officeDocument/2006/relationships/hyperlink" Target="https://s3.console.aws.amazon.com/s3/buckets/prod-shaip-bucket?region=us-east-1&amp;prefix=bhasha/Swar/Maharashtra-Pune/AUDIO/Batch1_d1_Maharashtra-Pune_new_files_11292022_5m/&amp;showversions=false" TargetMode="External"/><Relationship Id="rId939" Type="http://schemas.openxmlformats.org/officeDocument/2006/relationships/hyperlink" Target="https://s3.console.aws.amazon.com/s3/buckets/prod-shaip-bucket?region=us-east-1&amp;prefix=bhasha/swar_new/09-10-2023/KA/Bijapur/&amp;showversions=false" TargetMode="External"/><Relationship Id="rId938" Type="http://schemas.openxmlformats.org/officeDocument/2006/relationships/hyperlink" Target="https://s3.console.aws.amazon.com/s3/buckets/prod-shaip-bucket?region=us-east-1&amp;prefix=bhasha/swar_new/09-10-2023/KA/Bellary/&amp;showversions=false" TargetMode="External"/><Relationship Id="rId937" Type="http://schemas.openxmlformats.org/officeDocument/2006/relationships/hyperlink" Target="https://s3.console.aws.amazon.com/s3/buckets/prod-shaip-bucket?region=us-east-1&amp;prefix=bhasha/swar_new/09-10-2023/KA/Belgaum/&amp;showversions=false" TargetMode="External"/><Relationship Id="rId71" Type="http://schemas.openxmlformats.org/officeDocument/2006/relationships/hyperlink" Target="https://s3.console.aws.amazon.com/s3/buckets/prod-shaip-bucket?region=us-east-1&amp;prefix=bhasha/Swar/Jharkhand-Jamtara/AUDIO/Batch1_d1_Jharkhand-Jamtara_new_files_11292022_2m/&amp;showversions=false" TargetMode="External"/><Relationship Id="rId70" Type="http://schemas.openxmlformats.org/officeDocument/2006/relationships/hyperlink" Target="https://s3.console.aws.amazon.com/s3/buckets/prod-shaip-bucket?region=us-east-1&amp;prefix=bhasha/Swar/Chhattisgarh-Sarguja/AUDIO/Batch2_d1_Chhattisgarh-Sarguja_new_files_11292022_15m/&amp;showversions=false" TargetMode="External"/><Relationship Id="rId932" Type="http://schemas.openxmlformats.org/officeDocument/2006/relationships/hyperlink" Target="https://s3.console.aws.amazon.com/s3/buckets/prod-shaip-bucket?region=us-east-1&amp;prefix=bhasha/swar_new/09-10-2023/CG/Sarguja/&amp;showversions=false" TargetMode="External"/><Relationship Id="rId931" Type="http://schemas.openxmlformats.org/officeDocument/2006/relationships/hyperlink" Target="https://s3.console.aws.amazon.com/s3/buckets/prod-shaip-bucket?region=us-east-1&amp;prefix=bhasha/swar_new/09-10-2023/CG/Rajnandgaon/&amp;showversions=false" TargetMode="External"/><Relationship Id="rId930" Type="http://schemas.openxmlformats.org/officeDocument/2006/relationships/hyperlink" Target="https://s3.console.aws.amazon.com/s3/buckets/prod-shaip-bucket?region=us-east-1&amp;prefix=bhasha/swar_new/09-10-2023/CG/Raigarh/&amp;showversions=false" TargetMode="External"/><Relationship Id="rId936" Type="http://schemas.openxmlformats.org/officeDocument/2006/relationships/hyperlink" Target="https://s3.console.aws.amazon.com/s3/buckets/prod-shaip-bucket?region=us-east-1&amp;prefix=bhasha/swar_new/09-10-2023/JH/Sahebganj/&amp;showversions=false" TargetMode="External"/><Relationship Id="rId935" Type="http://schemas.openxmlformats.org/officeDocument/2006/relationships/hyperlink" Target="https://s3.console.aws.amazon.com/s3/buckets/prod-shaip-bucket?region=us-east-1&amp;prefix=bhasha/swar_new/09-10-2023/JH/Jamtara/&amp;showversions=false" TargetMode="External"/><Relationship Id="rId934" Type="http://schemas.openxmlformats.org/officeDocument/2006/relationships/hyperlink" Target="https://s3.console.aws.amazon.com/s3/buckets/prod-shaip-bucket?region=us-east-1&amp;prefix=bhasha/swar_new/09-10-2023/GA/NorthSouthGoa/&amp;showversions=false" TargetMode="External"/><Relationship Id="rId933" Type="http://schemas.openxmlformats.org/officeDocument/2006/relationships/hyperlink" Target="https://s3.console.aws.amazon.com/s3/buckets/prod-shaip-bucket?region=us-east-1&amp;prefix=bhasha/swar_new/09-10-2023/CG/Sukma/&amp;showversions=false" TargetMode="External"/><Relationship Id="rId62" Type="http://schemas.openxmlformats.org/officeDocument/2006/relationships/hyperlink" Target="https://s3.console.aws.amazon.com/s3/buckets/prod-shaip-bucket?region=us-east-1&amp;prefix=bhasha/Swar/Bihar-Samastipur/AUDIO/Batch3_d1_Bihar-Samastipur_new_files_11292022_9m/&amp;showversions=false" TargetMode="External"/><Relationship Id="rId61" Type="http://schemas.openxmlformats.org/officeDocument/2006/relationships/hyperlink" Target="https://s3.console.aws.amazon.com/s3/buckets/prod-shaip-bucket?region=us-east-1&amp;prefix=bhasha/Swar/Bihar-Muzaffarpur/AUDIO/Batch2_d1_Bihar-Muzaffarpur_new_files_11292022_24m/&amp;showversions=false" TargetMode="External"/><Relationship Id="rId64" Type="http://schemas.openxmlformats.org/officeDocument/2006/relationships/hyperlink" Target="https://s3.console.aws.amazon.com/s3/buckets/prod-shaip-bucket?region=us-east-1&amp;prefix=bhasha/Swar/Bihar-Sitamarhi/AUDIO/Batch3_d1_Bihar-Sitamarhi_new_files_11292022_27m/&amp;showversions=false" TargetMode="External"/><Relationship Id="rId63" Type="http://schemas.openxmlformats.org/officeDocument/2006/relationships/hyperlink" Target="https://s3.console.aws.amazon.com/s3/buckets/prod-shaip-bucket?region=us-east-1&amp;prefix=bhasha/Swar/Bihar-Saran/AUDIO/Batch2_d1_Bihar-Saran_new_files_11292022_1h50m/&amp;showversions=false" TargetMode="External"/><Relationship Id="rId66" Type="http://schemas.openxmlformats.org/officeDocument/2006/relationships/hyperlink" Target="https://s3.console.aws.amazon.com/s3/buckets/prod-shaip-bucket?region=us-east-1&amp;prefix=bhasha/Swar/Chhattisgarh-Balrampur/AUDIO/Batch1_d1_Chhattisgarh-Balrampur_new_files_11292022_23m/&amp;showversions=false" TargetMode="External"/><Relationship Id="rId65" Type="http://schemas.openxmlformats.org/officeDocument/2006/relationships/hyperlink" Target="https://s3.console.aws.amazon.com/s3/buckets/prod-shaip-bucket?region=us-east-1&amp;prefix=bhasha/Swar/Bihar-Vaishali/AUDIO/Batch1_d1_Bihar-Vaishali_new_files_11292022_29m/&amp;showversions=false" TargetMode="External"/><Relationship Id="rId68" Type="http://schemas.openxmlformats.org/officeDocument/2006/relationships/hyperlink" Target="https://s3.console.aws.amazon.com/s3/buckets/prod-shaip-bucket?region=us-east-1&amp;prefix=bhasha/Swar/Chhattisgarh-Raigarh/AUDIO/Batch2_d1_Chhattisgarh-Raigarh_new_files_11292022_1h48m/&amp;showversions=false" TargetMode="External"/><Relationship Id="rId67" Type="http://schemas.openxmlformats.org/officeDocument/2006/relationships/hyperlink" Target="https://s3.console.aws.amazon.com/s3/buckets/prod-shaip-bucket?region=us-east-1&amp;prefix=bhasha/Swar/Chhattisgarh-Bilaspur/AUDIO/Batch4_d1_Chhattisgarh-Bilaspur_new_files_11292022_1h33m/&amp;showversions=false" TargetMode="External"/><Relationship Id="rId729" Type="http://schemas.openxmlformats.org/officeDocument/2006/relationships/hyperlink" Target="https://s3.console.aws.amazon.com/s3/buckets/prod-shaip-bucket?region=us-east-1&amp;prefix=bhasha/swar_new/29-08-2023/UP/Varanasi/&amp;showversions=false" TargetMode="External"/><Relationship Id="rId728" Type="http://schemas.openxmlformats.org/officeDocument/2006/relationships/hyperlink" Target="https://s3.console.aws.amazon.com/s3/buckets/prod-shaip-bucket?region=us-east-1&amp;prefix=bhasha/swar_new/29-08-2023/UP/Muzzaffarnagar/&amp;showversions=false" TargetMode="External"/><Relationship Id="rId60" Type="http://schemas.openxmlformats.org/officeDocument/2006/relationships/hyperlink" Target="https://s3.console.aws.amazon.com/s3/buckets/prod-shaip-bucket?region=us-east-1&amp;prefix=bhasha/Swar/Bihar-Lakhisarai/AUDIO/Batch1_d1_Bihar-Lakhisarai_new_files_11292022_14m/&amp;showversions=false" TargetMode="External"/><Relationship Id="rId723" Type="http://schemas.openxmlformats.org/officeDocument/2006/relationships/hyperlink" Target="https://s3.console.aws.amazon.com/s3/buckets/prod-shaip-bucket?region=us-east-1&amp;prefix=bhasha/swar_new/29-08-2023/UP/Ghazipur/&amp;showversions=false" TargetMode="External"/><Relationship Id="rId965" Type="http://schemas.openxmlformats.org/officeDocument/2006/relationships/hyperlink" Target="https://s3.console.aws.amazon.com/s3/buckets/prod-shaip-bucket?region=us-east-1&amp;prefix=bhasha/swar_new/09-10-2023/UP/Hamirpur/&amp;showversions=false" TargetMode="External"/><Relationship Id="rId722" Type="http://schemas.openxmlformats.org/officeDocument/2006/relationships/hyperlink" Target="https://s3.console.aws.amazon.com/s3/buckets/prod-shaip-bucket?region=us-east-1&amp;prefix=bhasha/swar_new/29-08-2023/UP/Etah/&amp;showversions=false" TargetMode="External"/><Relationship Id="rId964" Type="http://schemas.openxmlformats.org/officeDocument/2006/relationships/hyperlink" Target="https://s3.console.aws.amazon.com/s3/buckets/prod-shaip-bucket?region=us-east-1&amp;prefix=bhasha/swar_new/09-10-2023/UP/Gorakhpur/&amp;showversions=false" TargetMode="External"/><Relationship Id="rId721" Type="http://schemas.openxmlformats.org/officeDocument/2006/relationships/hyperlink" Target="https://s3.console.aws.amazon.com/s3/buckets/prod-shaip-bucket?region=us-east-1&amp;prefix=bhasha/swar_new/29-08-2023/UP/Deoria/&amp;showversions=false" TargetMode="External"/><Relationship Id="rId963" Type="http://schemas.openxmlformats.org/officeDocument/2006/relationships/hyperlink" Target="https://s3.console.aws.amazon.com/s3/buckets/prod-shaip-bucket?region=us-east-1&amp;prefix=bhasha/swar_new/09-10-2023/UP/Ghazipur/&amp;showversions=false" TargetMode="External"/><Relationship Id="rId720" Type="http://schemas.openxmlformats.org/officeDocument/2006/relationships/hyperlink" Target="https://s3.console.aws.amazon.com/s3/buckets/prod-shaip-bucket?region=us-east-1&amp;prefix=bhasha/swar_new/29-08-2023/UP/Budaun/&amp;showversions=false" TargetMode="External"/><Relationship Id="rId962" Type="http://schemas.openxmlformats.org/officeDocument/2006/relationships/hyperlink" Target="https://s3.console.aws.amazon.com/s3/buckets/prod-shaip-bucket?region=us-east-1&amp;prefix=bhasha/swar_new/09-10-2023/UP/Etah/&amp;showversions=false" TargetMode="External"/><Relationship Id="rId727" Type="http://schemas.openxmlformats.org/officeDocument/2006/relationships/hyperlink" Target="https://s3.console.aws.amazon.com/s3/buckets/prod-shaip-bucket?region=us-east-1&amp;prefix=bhasha/swar_new/29-08-2023/UP/JyotibaPhuleNagar/&amp;showversions=false" TargetMode="External"/><Relationship Id="rId969" Type="http://schemas.openxmlformats.org/officeDocument/2006/relationships/hyperlink" Target="https://s3.console.aws.amazon.com/s3/buckets/prod-shaip-bucket?region=us-east-1&amp;prefix=bhasha/swar_new/09-10-2023/UP/Varanasi/&amp;showversions=false" TargetMode="External"/><Relationship Id="rId726" Type="http://schemas.openxmlformats.org/officeDocument/2006/relationships/hyperlink" Target="https://s3.console.aws.amazon.com/s3/buckets/prod-shaip-bucket?region=us-east-1&amp;prefix=bhasha/swar_new/29-08-2023/UP/Jalaun/&amp;showversions=false" TargetMode="External"/><Relationship Id="rId968" Type="http://schemas.openxmlformats.org/officeDocument/2006/relationships/hyperlink" Target="https://s3.console.aws.amazon.com/s3/buckets/prod-shaip-bucket?region=us-east-1&amp;prefix=bhasha/swar_new/09-10-2023/UP/Muzzaffarnagar/&amp;showversions=false" TargetMode="External"/><Relationship Id="rId725" Type="http://schemas.openxmlformats.org/officeDocument/2006/relationships/hyperlink" Target="https://s3.console.aws.amazon.com/s3/buckets/prod-shaip-bucket?region=us-east-1&amp;prefix=bhasha/swar_new/29-08-2023/UP/Hamirpur/&amp;showversions=false" TargetMode="External"/><Relationship Id="rId967" Type="http://schemas.openxmlformats.org/officeDocument/2006/relationships/hyperlink" Target="https://s3.console.aws.amazon.com/s3/buckets/prod-shaip-bucket?region=us-east-1&amp;prefix=bhasha/swar_new/09-10-2023/UP/JyotibaPhuleNagar/&amp;showversions=false" TargetMode="External"/><Relationship Id="rId724" Type="http://schemas.openxmlformats.org/officeDocument/2006/relationships/hyperlink" Target="https://s3.console.aws.amazon.com/s3/buckets/prod-shaip-bucket?region=us-east-1&amp;prefix=bhasha/swar_new/29-08-2023/UP/Gorakhpur/&amp;showversions=false" TargetMode="External"/><Relationship Id="rId966" Type="http://schemas.openxmlformats.org/officeDocument/2006/relationships/hyperlink" Target="https://s3.console.aws.amazon.com/s3/buckets/prod-shaip-bucket?region=us-east-1&amp;prefix=bhasha/swar_new/09-10-2023/UP/Jalaun/&amp;showversions=false" TargetMode="External"/><Relationship Id="rId69" Type="http://schemas.openxmlformats.org/officeDocument/2006/relationships/hyperlink" Target="https://s3.console.aws.amazon.com/s3/buckets/prod-shaip-bucket?region=us-east-1&amp;prefix=bhasha/Swar/Chhattisgarh-Rajnandgaon/AUDIO/Batch1_d1_Chhattisgarh-Rajnandgaon_new_files_11292022_1h45m/&amp;showversions=false" TargetMode="External"/><Relationship Id="rId961" Type="http://schemas.openxmlformats.org/officeDocument/2006/relationships/hyperlink" Target="https://s3.console.aws.amazon.com/s3/buckets/prod-shaip-bucket?region=us-east-1&amp;prefix=bhasha/swar_new/09-10-2023/UP/Deoria/&amp;showversions=false" TargetMode="External"/><Relationship Id="rId960" Type="http://schemas.openxmlformats.org/officeDocument/2006/relationships/hyperlink" Target="https://s3.console.aws.amazon.com/s3/buckets/prod-shaip-bucket?region=us-east-1&amp;prefix=bhasha/swar_new/09-10-2023/UP/Budaun/&amp;showversions=false" TargetMode="External"/><Relationship Id="rId51" Type="http://schemas.openxmlformats.org/officeDocument/2006/relationships/hyperlink" Target="https://s3.console.aws.amazon.com/s3/buckets/prod-shaip-bucket?region=us-east-1&amp;prefix=bhasha/Swar/Karnataka-Mysore/AUDIO/Batch1_d1_Karnataka-Mysore_new_files_11282022_1h59m/&amp;showversions=false" TargetMode="External"/><Relationship Id="rId50" Type="http://schemas.openxmlformats.org/officeDocument/2006/relationships/hyperlink" Target="https://s3.console.aws.amazon.com/s3/buckets/prod-shaip-bucket?region=us-east-1&amp;prefix=bhasha/Swar/WestBengal-PaschimMedinipur/AUDIO/Batch1_d1_WestBengal-PaschimMedinipur_new_files_11282022_1h26m/&amp;showversions=false" TargetMode="External"/><Relationship Id="rId53" Type="http://schemas.openxmlformats.org/officeDocument/2006/relationships/hyperlink" Target="https://s3.console.aws.amazon.com/s3/buckets/prod-shaip-bucket?region=us-east-1&amp;prefix=bhasha/Swar/Chhattisgarh-Bilaspur/AUDIO/Batch3_d1_Chhattisgarh-Bilaspur_new_files_11282022_1h5m/&amp;showversions=false" TargetMode="External"/><Relationship Id="rId52" Type="http://schemas.openxmlformats.org/officeDocument/2006/relationships/hyperlink" Target="https://s3.console.aws.amazon.com/s3/buckets/prod-shaip-bucket?region=us-east-1&amp;prefix=bhasha/Swar/Uttarpradesh-Budaun/AUDIO/Batch3_d1_Uttarpradesh-Budaun_new_files_11282022_1h57m/&amp;showversions=false" TargetMode="External"/><Relationship Id="rId55" Type="http://schemas.openxmlformats.org/officeDocument/2006/relationships/hyperlink" Target="https://s3.console.aws.amazon.com/s3/buckets/prod-shaip-bucket?region=us-east-1&amp;prefix=bhasha/Swar/Bihar-EastChamparan/AUDIO/Batch4_d1_Bihar-EastChamparan_new_files_11292022_21m/&amp;showversions=false" TargetMode="External"/><Relationship Id="rId54" Type="http://schemas.openxmlformats.org/officeDocument/2006/relationships/hyperlink" Target="https://s3.console.aws.amazon.com/s3/buckets/prod-shaip-bucket?region=us-east-1&amp;prefix=bhasha/Swar/Bihar-Begusarai/AUDIO/Batch3_d1_Bihar-Begusarai_new_files_11292022_1h46m/&amp;showversions=false" TargetMode="External"/><Relationship Id="rId57" Type="http://schemas.openxmlformats.org/officeDocument/2006/relationships/hyperlink" Target="https://s3.console.aws.amazon.com/s3/buckets/prod-shaip-bucket?region=us-east-1&amp;prefix=bhasha/Swar/Bihar-Gopalganj/AUDIO/Batch3_d1_Bihar-Gopalganj_new_files_11292022_1h59m/&amp;showversions=false" TargetMode="External"/><Relationship Id="rId56" Type="http://schemas.openxmlformats.org/officeDocument/2006/relationships/hyperlink" Target="https://s3.console.aws.amazon.com/s3/buckets/prod-shaip-bucket?region=us-east-1&amp;prefix=bhasha/Swar/Bihar-Gaya%26Jahanabad/AUDIO/Batch2_d1_Bihar-Gaya%26Jahanabad_new_files_11292022_4m/&amp;showversions=false" TargetMode="External"/><Relationship Id="rId719" Type="http://schemas.openxmlformats.org/officeDocument/2006/relationships/hyperlink" Target="https://s3.console.aws.amazon.com/s3/buckets/prod-shaip-bucket?region=us-east-1&amp;prefix=bhasha/swar_new/29-08-2023/UK/Uttarkashi/&amp;showversions=false" TargetMode="External"/><Relationship Id="rId718" Type="http://schemas.openxmlformats.org/officeDocument/2006/relationships/hyperlink" Target="https://s3.console.aws.amazon.com/s3/buckets/prod-shaip-bucket?region=us-east-1&amp;prefix=bhasha/swar_new/29-08-2023/UK/TehriGarhwal/&amp;showversions=false" TargetMode="External"/><Relationship Id="rId717" Type="http://schemas.openxmlformats.org/officeDocument/2006/relationships/hyperlink" Target="https://s3.console.aws.amazon.com/s3/buckets/prod-shaip-bucket?region=us-east-1&amp;prefix=bhasha/swar_new/29-08-2023/TS/Nalgonda/&amp;showversions=false" TargetMode="External"/><Relationship Id="rId959" Type="http://schemas.openxmlformats.org/officeDocument/2006/relationships/hyperlink" Target="https://s3.console.aws.amazon.com/s3/buckets/prod-shaip-bucket?region=us-east-1&amp;prefix=bhasha/swar_new/09-10-2023/UK/Uttarkashi/&amp;showversions=false" TargetMode="External"/><Relationship Id="rId712" Type="http://schemas.openxmlformats.org/officeDocument/2006/relationships/hyperlink" Target="https://s3.console.aws.amazon.com/s3/buckets/prod-shaip-bucket?region=us-east-1&amp;prefix=bhasha/swar_new/29-08-2023/MH/Sindhudurga/&amp;showversions=false" TargetMode="External"/><Relationship Id="rId954" Type="http://schemas.openxmlformats.org/officeDocument/2006/relationships/hyperlink" Target="https://s3.console.aws.amazon.com/s3/buckets/prod-shaip-bucket?region=us-east-1&amp;prefix=bhasha/swar_new/09-10-2023/RJ/Churu/&amp;showversions=false" TargetMode="External"/><Relationship Id="rId711" Type="http://schemas.openxmlformats.org/officeDocument/2006/relationships/hyperlink" Target="https://s3.console.aws.amazon.com/s3/buckets/prod-shaip-bucket?region=us-east-1&amp;prefix=bhasha/swar_new/29-08-2023/MH/Pune/&amp;showversions=false" TargetMode="External"/><Relationship Id="rId953" Type="http://schemas.openxmlformats.org/officeDocument/2006/relationships/hyperlink" Target="https://s3.console.aws.amazon.com/s3/buckets/prod-shaip-bucket?region=us-east-1&amp;prefix=bhasha/swar_new/09-10-2023/MH/Solapur/&amp;showversions=false" TargetMode="External"/><Relationship Id="rId710" Type="http://schemas.openxmlformats.org/officeDocument/2006/relationships/hyperlink" Target="https://s3.console.aws.amazon.com/s3/buckets/prod-shaip-bucket?region=us-east-1&amp;prefix=bhasha/swar_new/29-08-2023/MH/Nagpur/&amp;showversions=false" TargetMode="External"/><Relationship Id="rId952" Type="http://schemas.openxmlformats.org/officeDocument/2006/relationships/hyperlink" Target="https://s3.console.aws.amazon.com/s3/buckets/prod-shaip-bucket?region=us-east-1&amp;prefix=bhasha/swar_new/09-10-2023/MH/Sindhudurga/&amp;showversions=false" TargetMode="External"/><Relationship Id="rId951" Type="http://schemas.openxmlformats.org/officeDocument/2006/relationships/hyperlink" Target="https://s3.console.aws.amazon.com/s3/buckets/prod-shaip-bucket?region=us-east-1&amp;prefix=bhasha/swar_new/09-10-2023/MH/Pune/&amp;showversions=false" TargetMode="External"/><Relationship Id="rId716" Type="http://schemas.openxmlformats.org/officeDocument/2006/relationships/hyperlink" Target="https://s3.console.aws.amazon.com/s3/buckets/prod-shaip-bucket?region=us-east-1&amp;prefix=bhasha/swar_new/29-08-2023/TS/Karimnagar/&amp;showversions=false" TargetMode="External"/><Relationship Id="rId958" Type="http://schemas.openxmlformats.org/officeDocument/2006/relationships/hyperlink" Target="https://s3.console.aws.amazon.com/s3/buckets/prod-shaip-bucket?region=us-east-1&amp;prefix=bhasha/swar_new/09-10-2023/UK/TehriGarhwal/&amp;showversions=false" TargetMode="External"/><Relationship Id="rId715" Type="http://schemas.openxmlformats.org/officeDocument/2006/relationships/hyperlink" Target="https://s3.console.aws.amazon.com/s3/buckets/prod-shaip-bucket?region=us-east-1&amp;prefix=bhasha/swar_new/29-08-2023/RJ/Nagaur/&amp;showversions=false" TargetMode="External"/><Relationship Id="rId957" Type="http://schemas.openxmlformats.org/officeDocument/2006/relationships/hyperlink" Target="https://s3.console.aws.amazon.com/s3/buckets/prod-shaip-bucket?region=us-east-1&amp;prefix=bhasha/swar_new/09-10-2023/TS/Nalgonda/&amp;showversions=false" TargetMode="External"/><Relationship Id="rId714" Type="http://schemas.openxmlformats.org/officeDocument/2006/relationships/hyperlink" Target="https://s3.console.aws.amazon.com/s3/buckets/prod-shaip-bucket?region=us-east-1&amp;prefix=bhasha/swar_new/29-08-2023/RJ/Churu/&amp;showversions=false" TargetMode="External"/><Relationship Id="rId956" Type="http://schemas.openxmlformats.org/officeDocument/2006/relationships/hyperlink" Target="https://s3.console.aws.amazon.com/s3/buckets/prod-shaip-bucket?region=us-east-1&amp;prefix=bhasha/swar_new/09-10-2023/TS/Karimnagar/&amp;showversions=false" TargetMode="External"/><Relationship Id="rId713" Type="http://schemas.openxmlformats.org/officeDocument/2006/relationships/hyperlink" Target="https://s3.console.aws.amazon.com/s3/buckets/prod-shaip-bucket?region=us-east-1&amp;prefix=bhasha/swar_new/29-08-2023/MH/Solapur/&amp;showversions=false" TargetMode="External"/><Relationship Id="rId955" Type="http://schemas.openxmlformats.org/officeDocument/2006/relationships/hyperlink" Target="https://s3.console.aws.amazon.com/s3/buckets/prod-shaip-bucket?region=us-east-1&amp;prefix=bhasha/swar_new/09-10-2023/RJ/Nagaur/&amp;showversions=false" TargetMode="External"/><Relationship Id="rId59" Type="http://schemas.openxmlformats.org/officeDocument/2006/relationships/hyperlink" Target="https://s3.console.aws.amazon.com/s3/buckets/prod-shaip-bucket?region=us-east-1&amp;prefix=bhasha/Swar/Bihar-Jamui/AUDIO/Batch2_d1_Bihar-Jamui_new_files_11292022_12m/&amp;showversions=false" TargetMode="External"/><Relationship Id="rId58" Type="http://schemas.openxmlformats.org/officeDocument/2006/relationships/hyperlink" Target="https://s3.console.aws.amazon.com/s3/buckets/prod-shaip-bucket?region=us-east-1&amp;prefix=bhasha/Swar/Bihar-Jahanabad/AUDIO/Batch1_d1_Bihar-Jahanabad_new_files_11292022_18m/&amp;showversions=false" TargetMode="External"/><Relationship Id="rId950" Type="http://schemas.openxmlformats.org/officeDocument/2006/relationships/hyperlink" Target="https://s3.console.aws.amazon.com/s3/buckets/prod-shaip-bucket?region=us-east-1&amp;prefix=bhasha/swar_new/09-10-2023/MH/Nagpur/&amp;showversions=false" TargetMode="External"/><Relationship Id="rId590" Type="http://schemas.openxmlformats.org/officeDocument/2006/relationships/hyperlink" Target="https://s3.console.aws.amazon.com/s3/buckets/prod-shaip-bucket?region=us-east-1&amp;prefix=bhasha/swar_new/20-08-2023/BR/Gopalganj/&amp;showversions=false" TargetMode="External"/><Relationship Id="rId107" Type="http://schemas.openxmlformats.org/officeDocument/2006/relationships/hyperlink" Target="https://s3.console.aws.amazon.com/s3/buckets/prod-shaip-bucket?region=us-east-1&amp;prefix=bhasha/Swar/Bihar-Begusarai/AUDIO/Batch4_d1_Bihar-Begusarai_new_files_12032022_1h8m/&amp;showversions=false" TargetMode="External"/><Relationship Id="rId349" Type="http://schemas.openxmlformats.org/officeDocument/2006/relationships/hyperlink" Target="https://s3.console.aws.amazon.com/s3/buckets/prod-shaip-bucket?region=us-east-1&amp;prefix=bhasha/Swar/AP-Vishakapattanam/AUDIO/Batch4_d1_AP-Vishakapattanam_new_files_04172023_16h15m/&amp;showversions=false" TargetMode="External"/><Relationship Id="rId106" Type="http://schemas.openxmlformats.org/officeDocument/2006/relationships/hyperlink" Target="https://s3.console.aws.amazon.com/s3/buckets/prod-shaip-bucket?region=us-east-1&amp;prefix=bhasha/Swar/WestBengal-DakshinDinajpur/AUDIO/Batch2_d1_WestBengal-DakshinDinajpur_new_files_12032022_1h21m/&amp;showversions=false" TargetMode="External"/><Relationship Id="rId348" Type="http://schemas.openxmlformats.org/officeDocument/2006/relationships/hyperlink" Target="https://s3.console.aws.amazon.com/s3/buckets/prod-shaip-bucket?region=us-east-1&amp;prefix=bhasha/Swar/AP-Srikakulam/AUDIO/Batch3_d1_AP-Srikakulam_new_files_04172023_9h36m/&amp;showversions=false" TargetMode="External"/><Relationship Id="rId105" Type="http://schemas.openxmlformats.org/officeDocument/2006/relationships/hyperlink" Target="https://s3.console.aws.amazon.com/s3/buckets/prod-shaip-bucket?region=us-east-1&amp;prefix=bhasha/Swar/Chhattisgarh-Jashpur/AUDIO/Batch2_d1_Chhattisgarh-Jashpur_new_files_12032022_1h27m/&amp;showversions=false" TargetMode="External"/><Relationship Id="rId347" Type="http://schemas.openxmlformats.org/officeDocument/2006/relationships/hyperlink" Target="https://s3.console.aws.amazon.com/s3/buckets/prod-shaip-bucket?region=us-east-1&amp;prefix=bhasha/Swar/AP-Krishna/AUDIO/Batch3_d1_AP-Krishna_new_files_04172023_4h28m/&amp;showversions=false" TargetMode="External"/><Relationship Id="rId589" Type="http://schemas.openxmlformats.org/officeDocument/2006/relationships/hyperlink" Target="https://s3.console.aws.amazon.com/s3/buckets/prod-shaip-bucket?region=us-east-1&amp;prefix=bhasha/swar_new/20-08-2023/BR/Gaya/&amp;showversions=false" TargetMode="External"/><Relationship Id="rId104" Type="http://schemas.openxmlformats.org/officeDocument/2006/relationships/hyperlink" Target="https://s3.console.aws.amazon.com/s3/buckets/prod-shaip-bucket?region=us-east-1&amp;prefix=bhasha/Swar/Bihar-Supaul/AUDIO/Batch1_d1_Bihar-Supaul_new_files_12032022_2h35m/&amp;showversions=false" TargetMode="External"/><Relationship Id="rId346" Type="http://schemas.openxmlformats.org/officeDocument/2006/relationships/hyperlink" Target="https://s3.console.aws.amazon.com/s3/buckets/prod-shaip-bucket?region=us-east-1&amp;prefix=bhasha/Swar/AP-Guntur/AUDIO/Batch3_d1_AP-Guntur_new_files_04172023_11h3m/&amp;showversions=false" TargetMode="External"/><Relationship Id="rId588" Type="http://schemas.openxmlformats.org/officeDocument/2006/relationships/hyperlink" Target="https://s3.console.aws.amazon.com/s3/buckets/prod-shaip-bucket?region=us-east-1&amp;prefix=bhasha/swar_new/20-08-2023/BR/EastChamparan/&amp;showversions=false" TargetMode="External"/><Relationship Id="rId109" Type="http://schemas.openxmlformats.org/officeDocument/2006/relationships/hyperlink" Target="https://s3.console.aws.amazon.com/s3/buckets/prod-shaip-bucket?region=us-east-1&amp;prefix=bhasha/Swar/WestBengal-PaschimMedinipur/AUDIO/Batch3_d1_WestBengal-PaschimMedinipur_new_files_12032022_1h54m/&amp;showversions=false" TargetMode="External"/><Relationship Id="rId108" Type="http://schemas.openxmlformats.org/officeDocument/2006/relationships/hyperlink" Target="https://s3.console.aws.amazon.com/s3/buckets/prod-shaip-bucket?region=us-east-1&amp;prefix=bhasha/Swar/WestBengal-Jhargram/AUDIO/Batch3_d1_WestBengal-Jhargram_new_files_12032022_1h53m/&amp;showversions=false" TargetMode="External"/><Relationship Id="rId341" Type="http://schemas.openxmlformats.org/officeDocument/2006/relationships/hyperlink" Target="https://s3.console.aws.amazon.com/s3/buckets/prod-shaip-bucket?region=us-east-1&amp;prefix=bhasha/Swar/WestBengal-North24Parganas/AUDIO/Batch8_d1_WestBengal-North24Parganas_new_files_03252023_3h58m/&amp;showversions=false" TargetMode="External"/><Relationship Id="rId583" Type="http://schemas.openxmlformats.org/officeDocument/2006/relationships/hyperlink" Target="https://s3.console.aws.amazon.com/s3/buckets/prod-shaip-bucket?region=us-east-1&amp;prefix=bhasha/swar_new/20-08-2023/AP/Vishakapattanam/&amp;showversions=false" TargetMode="External"/><Relationship Id="rId340" Type="http://schemas.openxmlformats.org/officeDocument/2006/relationships/hyperlink" Target="https://s3.console.aws.amazon.com/s3/buckets/prod-shaip-bucket?region=us-east-1&amp;prefix=bhasha/Swar/WestBengal-Malda/AUDIO/Batch3_d1_WestBengal-Malda_new_files_03252023_1h33m/&amp;showversions=false" TargetMode="External"/><Relationship Id="rId582" Type="http://schemas.openxmlformats.org/officeDocument/2006/relationships/hyperlink" Target="https://s3.console.aws.amazon.com/s3/buckets/prod-shaip-bucket?region=us-east-1&amp;prefix=bhasha/swar_new/20-08-2023/AP/Srikakulam/&amp;showversions=false" TargetMode="External"/><Relationship Id="rId581" Type="http://schemas.openxmlformats.org/officeDocument/2006/relationships/hyperlink" Target="https://s3.console.aws.amazon.com/s3/buckets/prod-shaip-bucket?region=us-east-1&amp;prefix=bhasha/swar_new/20-08-2023/AP/Krishna/&amp;showversions=false" TargetMode="External"/><Relationship Id="rId580" Type="http://schemas.openxmlformats.org/officeDocument/2006/relationships/hyperlink" Target="https://s3.console.aws.amazon.com/s3/buckets/prod-shaip-bucket?region=us-east-1&amp;prefix=bhasha/swar_new/20-08-2023/AP/Guntur/&amp;showversions=false" TargetMode="External"/><Relationship Id="rId103" Type="http://schemas.openxmlformats.org/officeDocument/2006/relationships/hyperlink" Target="https://s3.console.aws.amazon.com/s3/buckets/prod-shaip-bucket?region=us-east-1&amp;prefix=bhasha/Swar/Bihar-Kishanganj/AUDIO/Batch1_d1_Bihar-Kishanganj_new_files_12032022_1h16m/&amp;showversions=false" TargetMode="External"/><Relationship Id="rId345" Type="http://schemas.openxmlformats.org/officeDocument/2006/relationships/hyperlink" Target="https://s3.console.aws.amazon.com/s3/buckets/prod-shaip-bucket?region=us-east-1&amp;prefix=bhasha/Swar/AP-Chittoor/AUDIO/Batch3_d1_AP-Chittoor_new_files_04172023_7h8m/&amp;showversions=false" TargetMode="External"/><Relationship Id="rId587" Type="http://schemas.openxmlformats.org/officeDocument/2006/relationships/hyperlink" Target="https://s3.console.aws.amazon.com/s3/buckets/prod-shaip-bucket?region=us-east-1&amp;prefix=bhasha/swar_new/20-08-2023/BR/Darbhanga/&amp;showversions=false" TargetMode="External"/><Relationship Id="rId102" Type="http://schemas.openxmlformats.org/officeDocument/2006/relationships/hyperlink" Target="https://s3.console.aws.amazon.com/s3/buckets/prod-shaip-bucket?region=us-east-1&amp;prefix=bhasha/Swar/Karnataka-Shimoga/AUDIO/Batch3_d1_Karnataka-Shimoga_new_files_12032022_2h38m/&amp;showversions=false" TargetMode="External"/><Relationship Id="rId344" Type="http://schemas.openxmlformats.org/officeDocument/2006/relationships/hyperlink" Target="https://s3.console.aws.amazon.com/s3/buckets/prod-shaip-bucket?region=us-east-1&amp;prefix=bhasha/Swar/AP-Anantpur/AUDIO/Batch3_d1_AP-Anantpur_new_files_04172023_14h35m/&amp;showversions=false" TargetMode="External"/><Relationship Id="rId586" Type="http://schemas.openxmlformats.org/officeDocument/2006/relationships/hyperlink" Target="https://s3.console.aws.amazon.com/s3/buckets/prod-shaip-bucket?region=us-east-1&amp;prefix=bhasha/swar_new/20-08-2023/BR/Bhagalpur/&amp;showversions=false" TargetMode="External"/><Relationship Id="rId101" Type="http://schemas.openxmlformats.org/officeDocument/2006/relationships/hyperlink" Target="https://s3.console.aws.amazon.com/s3/buckets/prod-shaip-bucket?region=us-east-1&amp;prefix=bhasha/Swar/Rajasthan-Nagaur/AUDIO/Batch4_d1_Rajasthan-Nagaur_new_files_12032022_2h59m/&amp;showversions=false" TargetMode="External"/><Relationship Id="rId343" Type="http://schemas.openxmlformats.org/officeDocument/2006/relationships/hyperlink" Target="https://s3.console.aws.amazon.com/s3/buckets/prod-shaip-bucket?region=us-east-1&amp;prefix=bhasha/Swar/WestBengal-Purulia/AUDIO/Batch3_d1_WestBengal-Purulia_new_files_03252023_6h32m/&amp;showversions=false" TargetMode="External"/><Relationship Id="rId585" Type="http://schemas.openxmlformats.org/officeDocument/2006/relationships/hyperlink" Target="https://s3.console.aws.amazon.com/s3/buckets/prod-shaip-bucket?region=us-east-1&amp;prefix=bhasha/swar_new/20-08-2023/BR/Begusarai/&amp;showversions=false" TargetMode="External"/><Relationship Id="rId100" Type="http://schemas.openxmlformats.org/officeDocument/2006/relationships/hyperlink" Target="https://s3.console.aws.amazon.com/s3/buckets/prod-shaip-bucket?region=us-east-1&amp;prefix=bhasha/Swar/Bihar-Samastipur/AUDIO/Batch4_d1_Bihar-Samastipur_new_files_12032022_2h25m/&amp;showversions=false" TargetMode="External"/><Relationship Id="rId342" Type="http://schemas.openxmlformats.org/officeDocument/2006/relationships/hyperlink" Target="https://s3.console.aws.amazon.com/s3/buckets/prod-shaip-bucket?region=us-east-1&amp;prefix=bhasha/Swar/WestBengal-PaschimMedinipur/AUDIO/Batch7_d1_WestBengal-PaschimMedinipur_new_files_03252023_3h57m/&amp;showversions=false" TargetMode="External"/><Relationship Id="rId584" Type="http://schemas.openxmlformats.org/officeDocument/2006/relationships/hyperlink" Target="https://s3.console.aws.amazon.com/s3/buckets/prod-shaip-bucket?region=us-east-1&amp;prefix=bhasha/swar_new/20-08-2023/BR/Araria/&amp;showversions=false" TargetMode="External"/><Relationship Id="rId338" Type="http://schemas.openxmlformats.org/officeDocument/2006/relationships/hyperlink" Target="https://s3.console.aws.amazon.com/s3/buckets/prod-shaip-bucket?region=us-east-1&amp;prefix=bhasha/Swar/WestBengal-Jhargram/AUDIO/Batch7_d1_WestBengal-Jhargram_new_files_03252023_29m/&amp;showversions=false" TargetMode="External"/><Relationship Id="rId337" Type="http://schemas.openxmlformats.org/officeDocument/2006/relationships/hyperlink" Target="https://s3.console.aws.amazon.com/s3/buckets/prod-shaip-bucket?region=us-east-1&amp;prefix=bhasha/Swar/WestBengal-Jalpaiguri/AUDIO/Batch7_d1_WestBengal-Jalpaiguri_new_files_03252023_26m/&amp;showversions=false" TargetMode="External"/><Relationship Id="rId579" Type="http://schemas.openxmlformats.org/officeDocument/2006/relationships/hyperlink" Target="https://s3.console.aws.amazon.com/s3/buckets/prod-shaip-bucket?region=us-east-1&amp;prefix=bhasha/swar_new/20-08-2023/AP/Chittoor/&amp;showversions=false" TargetMode="External"/><Relationship Id="rId336" Type="http://schemas.openxmlformats.org/officeDocument/2006/relationships/hyperlink" Target="https://s3.console.aws.amazon.com/s3/buckets/prod-shaip-bucket?region=us-east-1&amp;prefix=bhasha/Swar/WestBengal-DakshinDinajpur/AUDIO/Batch5_d1_WestBengal-DakshinDinajpur_new_files_03252023_19m/&amp;showversions=false" TargetMode="External"/><Relationship Id="rId578" Type="http://schemas.openxmlformats.org/officeDocument/2006/relationships/hyperlink" Target="https://s3.console.aws.amazon.com/s3/buckets/prod-shaip-bucket?region=us-east-1&amp;prefix=bhasha/swar_new/20-08-2023/AP/Anantpur/&amp;showversions=false" TargetMode="External"/><Relationship Id="rId335" Type="http://schemas.openxmlformats.org/officeDocument/2006/relationships/hyperlink" Target="https://s3.console.aws.amazon.com/s3/buckets/prod-shaip-bucket?region=us-east-1&amp;prefix=bhasha/Swar/Uttarpradesh-Varanasi/AUDIO/Batch6_d1_Uttarpradesh-Varanasi_new_files_03252023_11h59m/&amp;showversions=false" TargetMode="External"/><Relationship Id="rId577" Type="http://schemas.openxmlformats.org/officeDocument/2006/relationships/hyperlink" Target="https://s3.console.aws.amazon.com/s3/buckets/prod-shaip-bucket?region=us-east-1&amp;prefix=bhasha/swar_new/25-07-2023/WB/Purulia/&amp;showversions=false" TargetMode="External"/><Relationship Id="rId339" Type="http://schemas.openxmlformats.org/officeDocument/2006/relationships/hyperlink" Target="https://s3.console.aws.amazon.com/s3/buckets/prod-shaip-bucket?region=us-east-1&amp;prefix=bhasha/Swar/WestBengal-Kolkata/AUDIO/Batch8_d1_WestBengal-Kolkata_new_files_03252023_5h42m/&amp;showversions=false" TargetMode="External"/><Relationship Id="rId330" Type="http://schemas.openxmlformats.org/officeDocument/2006/relationships/hyperlink" Target="https://s3.console.aws.amazon.com/s3/buckets/prod-shaip-bucket?region=us-east-1&amp;prefix=bhasha/Swar/Uttarpradesh-Gorakhpur/AUDIO/Batch7_d1_Uttarpradesh-Gorakhpur_new_files_03252023_4h43m/&amp;showversions=false" TargetMode="External"/><Relationship Id="rId572" Type="http://schemas.openxmlformats.org/officeDocument/2006/relationships/hyperlink" Target="https://s3.console.aws.amazon.com/s3/buckets/prod-shaip-bucket?region=us-east-1&amp;prefix=bhasha/swar_new/25-07-2023/WB/Jhargram/&amp;showversions=false" TargetMode="External"/><Relationship Id="rId571" Type="http://schemas.openxmlformats.org/officeDocument/2006/relationships/hyperlink" Target="https://s3.console.aws.amazon.com/s3/buckets/prod-shaip-bucket?region=us-east-1&amp;prefix=bhasha/swar_new/25-07-2023/WB/Jalpaiguri/&amp;showversions=false" TargetMode="External"/><Relationship Id="rId570" Type="http://schemas.openxmlformats.org/officeDocument/2006/relationships/hyperlink" Target="https://s3.console.aws.amazon.com/s3/buckets/prod-shaip-bucket?region=us-east-1&amp;prefix=bhasha/swar_new/25-07-2023/WB/DakshinDinajpur/&amp;showversions=false" TargetMode="External"/><Relationship Id="rId334" Type="http://schemas.openxmlformats.org/officeDocument/2006/relationships/hyperlink" Target="https://s3.console.aws.amazon.com/s3/buckets/prod-shaip-bucket?region=us-east-1&amp;prefix=bhasha/Swar/Uttarpradesh-Muzzaffarnagar/AUDIO/Batch9_d1_Uttarpradesh-Muzzaffarnagar_new_files_03252023_4h54m/&amp;showversions=false" TargetMode="External"/><Relationship Id="rId576" Type="http://schemas.openxmlformats.org/officeDocument/2006/relationships/hyperlink" Target="https://s3.console.aws.amazon.com/s3/buckets/prod-shaip-bucket?region=us-east-1&amp;prefix=bhasha/swar_new/25-07-2023/WB/PaschimMedinipur/&amp;showversions=false" TargetMode="External"/><Relationship Id="rId333" Type="http://schemas.openxmlformats.org/officeDocument/2006/relationships/hyperlink" Target="https://s3.console.aws.amazon.com/s3/buckets/prod-shaip-bucket?region=us-east-1&amp;prefix=bhasha/Swar/Uttarpradesh-JyotibaPhuleNagar/AUDIO/Batch5_d1_Uttarpradesh-JyotibaPhuleNagar_new_files_03252023_2h56m/&amp;showversions=false" TargetMode="External"/><Relationship Id="rId575" Type="http://schemas.openxmlformats.org/officeDocument/2006/relationships/hyperlink" Target="https://s3.console.aws.amazon.com/s3/buckets/prod-shaip-bucket?region=us-east-1&amp;prefix=bhasha/swar_new/25-07-2023/WB/North24Parganas/&amp;showversions=false" TargetMode="External"/><Relationship Id="rId332" Type="http://schemas.openxmlformats.org/officeDocument/2006/relationships/hyperlink" Target="https://s3.console.aws.amazon.com/s3/buckets/prod-shaip-bucket?region=us-east-1&amp;prefix=bhasha/Swar/Uttarpradesh-Jalaun/AUDIO/Batch3_d1_Uttarpradesh-Jalaun_new_files_03252023_2h36m/&amp;showversions=false" TargetMode="External"/><Relationship Id="rId574" Type="http://schemas.openxmlformats.org/officeDocument/2006/relationships/hyperlink" Target="https://s3.console.aws.amazon.com/s3/buckets/prod-shaip-bucket?region=us-east-1&amp;prefix=bhasha/swar_new/25-07-2023/WB/Malda/&amp;showversions=false" TargetMode="External"/><Relationship Id="rId331" Type="http://schemas.openxmlformats.org/officeDocument/2006/relationships/hyperlink" Target="https://s3.console.aws.amazon.com/s3/buckets/prod-shaip-bucket?region=us-east-1&amp;prefix=bhasha/Swar/Uttarpradesh-Hamirpur/AUDIO/Batch5_d1_Uttarpradesh-Hamirpur_new_files_03252023_1h51m/&amp;showversions=false" TargetMode="External"/><Relationship Id="rId573" Type="http://schemas.openxmlformats.org/officeDocument/2006/relationships/hyperlink" Target="https://s3.console.aws.amazon.com/s3/buckets/prod-shaip-bucket?region=us-east-1&amp;prefix=bhasha/swar_new/25-07-2023/WB/Kolkata/&amp;showversions=false" TargetMode="External"/><Relationship Id="rId370" Type="http://schemas.openxmlformats.org/officeDocument/2006/relationships/hyperlink" Target="https://s3.console.aws.amazon.com/s3/buckets/prod-shaip-bucket?region=us-east-1&amp;prefix=bhasha/Swar/Chhattisgarh-Balrampur/AUDIO/Batch4_d1_Chhattisgarh-Balrampur_new_files_04172023_5h28m/&amp;showversions=false" TargetMode="External"/><Relationship Id="rId129" Type="http://schemas.openxmlformats.org/officeDocument/2006/relationships/hyperlink" Target="https://s3.console.aws.amazon.com/s3/buckets/prod-shaip-bucket?region=us-east-1&amp;prefix=bhasha/Swar/Bihar-Madhepura/AUDIO/Batch1_d1_Bihar-Madhepura_new_files_02212023_3h32m/&amp;showversions=false" TargetMode="External"/><Relationship Id="rId128" Type="http://schemas.openxmlformats.org/officeDocument/2006/relationships/hyperlink" Target="https://s3.console.aws.amazon.com/s3/buckets/prod-shaip-bucket?region=us-east-1&amp;prefix=bhasha/Swar/Bihar-Bhagalpur/AUDIO/Batch1_d1_Bihar-Bhagalpur_new_files_02212023_3h31m/&amp;showversions=false" TargetMode="External"/><Relationship Id="rId127" Type="http://schemas.openxmlformats.org/officeDocument/2006/relationships/hyperlink" Target="https://s3.console.aws.amazon.com/s3/buckets/prod-shaip-bucket?region=us-east-1&amp;prefix=bhasha/Swar/AP-Vishakapattanam/AUDIO/Batch1_d1_AP-Vishakapattanam_new_files_02212023_1h29m/&amp;showversions=false" TargetMode="External"/><Relationship Id="rId369" Type="http://schemas.openxmlformats.org/officeDocument/2006/relationships/hyperlink" Target="https://s3.console.aws.amazon.com/s3/buckets/prod-shaip-bucket?region=us-east-1&amp;prefix=bhasha/Swar/Bihar-Vaishali/AUDIO/Batch5_d1_Bihar-Vaishali_new_files_04172023_6h25m/&amp;showversions=false" TargetMode="External"/><Relationship Id="rId126" Type="http://schemas.openxmlformats.org/officeDocument/2006/relationships/hyperlink" Target="https://s3.console.aws.amazon.com/s3/buckets/prod-shaip-bucket?region=us-east-1&amp;prefix=bhasha/Swar/Uttarpradesh-Muzzaffarnagar/AUDIO/Batch5_d1_Uttarpradesh-Muzzaffarnagar_new_files_01172023_2h47m/&amp;showversions=false" TargetMode="External"/><Relationship Id="rId368" Type="http://schemas.openxmlformats.org/officeDocument/2006/relationships/hyperlink" Target="https://s3.console.aws.amazon.com/s3/buckets/prod-shaip-bucket?region=us-east-1&amp;prefix=bhasha/Swar/Bihar-Supaul/AUDIO/Batch6_d1_Bihar-Supaul_new_files_04172023_10h38m/&amp;showversions=false" TargetMode="External"/><Relationship Id="rId121" Type="http://schemas.openxmlformats.org/officeDocument/2006/relationships/hyperlink" Target="https://s3.console.aws.amazon.com/s3/buckets/prod-shaip-bucket?region=us-east-1&amp;prefix=bhasha/Swar/Uttarakhand-TehriGarhwal/AUDIO/Batch4_d1_Uttarakhand-TehriGarhwal_new_files_12032022_4h54m/&amp;showversions=false" TargetMode="External"/><Relationship Id="rId363" Type="http://schemas.openxmlformats.org/officeDocument/2006/relationships/hyperlink" Target="https://s3.console.aws.amazon.com/s3/buckets/prod-shaip-bucket?region=us-east-1&amp;prefix=bhasha/Swar/Bihar-Purnia/AUDIO/Batch4_d1_Bihar-Purnia_new_files_04172023_1h21m/&amp;showversions=false" TargetMode="External"/><Relationship Id="rId120" Type="http://schemas.openxmlformats.org/officeDocument/2006/relationships/hyperlink" Target="https://s3.console.aws.amazon.com/s3/buckets/prod-shaip-bucket?region=us-east-1&amp;prefix=bhasha/Swar/WestBengal-North24Parganas/AUDIO/Batch4_d1_WestBengal-North24Parganas_new_files_12032022_28m/&amp;showversions=false" TargetMode="External"/><Relationship Id="rId362" Type="http://schemas.openxmlformats.org/officeDocument/2006/relationships/hyperlink" Target="https://s3.console.aws.amazon.com/s3/buckets/prod-shaip-bucket?region=us-east-1&amp;prefix=bhasha/Swar/Bihar-Muzaffarpur/AUDIO/Batch8_d1_Bihar-Muzaffarpur_new_files_04172023_3h17m/&amp;showversions=false" TargetMode="External"/><Relationship Id="rId361" Type="http://schemas.openxmlformats.org/officeDocument/2006/relationships/hyperlink" Target="https://s3.console.aws.amazon.com/s3/buckets/prod-shaip-bucket?region=us-east-1&amp;prefix=bhasha/Swar/Bihar-Madhepura/AUDIO/Batch4_d1_Bihar-Madhepura_new_files_04172023_1h2m/&amp;showversions=false" TargetMode="External"/><Relationship Id="rId360" Type="http://schemas.openxmlformats.org/officeDocument/2006/relationships/hyperlink" Target="https://s3.console.aws.amazon.com/s3/buckets/prod-shaip-bucket?region=us-east-1&amp;prefix=bhasha/Swar/Bihar-Lakhisarai/AUDIO/Batch4_d1_Bihar-Lakhisarai_new_files_04172023_2h41m/&amp;showversions=false" TargetMode="External"/><Relationship Id="rId125" Type="http://schemas.openxmlformats.org/officeDocument/2006/relationships/hyperlink" Target="https://s3.console.aws.amazon.com/s3/buckets/prod-shaip-bucket?region=us-east-1&amp;prefix=bhasha/Swar/Uttarpradesh-Hamirpur/AUDIO/Batch2_d1_Uttarpradesh-Hamirpur_new_files_01172023_2h25m/&amp;showversions=false" TargetMode="External"/><Relationship Id="rId367" Type="http://schemas.openxmlformats.org/officeDocument/2006/relationships/hyperlink" Target="https://s3.console.aws.amazon.com/s3/buckets/prod-shaip-bucket?region=us-east-1&amp;prefix=bhasha/Swar/Bihar-Sitamarhi/AUDIO/Batch10_d1_Bihar-Sitamarhi_new_files_04172023_5h3m/&amp;showversions=false" TargetMode="External"/><Relationship Id="rId124" Type="http://schemas.openxmlformats.org/officeDocument/2006/relationships/hyperlink" Target="https://s3.console.aws.amazon.com/s3/buckets/shaip-production-bucket?region=us-east-1&amp;prefix=eztrans/EZBS/outbound/Swar/Uttarpradesh-Gorakhpur/AUDIO/Batch3_d1_Uttarpradesh-Gorakhpur_new_files_01172023_2h6m/&amp;showversions=false" TargetMode="External"/><Relationship Id="rId366" Type="http://schemas.openxmlformats.org/officeDocument/2006/relationships/hyperlink" Target="https://s3.console.aws.amazon.com/s3/buckets/prod-shaip-bucket?region=us-east-1&amp;prefix=bhasha/Swar/Bihar-Saran/AUDIO/Batch7_d1_Bihar-Saran_new_files_04172023_5h11m/&amp;showversions=false" TargetMode="External"/><Relationship Id="rId123" Type="http://schemas.openxmlformats.org/officeDocument/2006/relationships/hyperlink" Target="https://s3.console.aws.amazon.com/s3/buckets/prod-shaip-bucket?region=us-east-1&amp;prefix=bhasha/Swar/Uttarpradesh-Deoria/AUDIO/Batch5_d1_Uttarpradesh-Deoria_new_files_01172023_8h51m/&amp;showversions=false" TargetMode="External"/><Relationship Id="rId365" Type="http://schemas.openxmlformats.org/officeDocument/2006/relationships/hyperlink" Target="https://s3.console.aws.amazon.com/s3/buckets/prod-shaip-bucket?region=us-east-1&amp;prefix=bhasha/Swar/Bihar-Samastipur/AUDIO/Batch9_d1_Bihar-Samastipur_new_files_04172023_15h20m/&amp;showversions=false" TargetMode="External"/><Relationship Id="rId122" Type="http://schemas.openxmlformats.org/officeDocument/2006/relationships/hyperlink" Target="https://s3.console.aws.amazon.com/s3/buckets/prod-shaip-bucket?region=us-east-1&amp;prefix=bhasha/Swar/Uttarakhand-Uttarkashi/AUDIO/Batch2_d1_Uttarakhand-Uttarkashi_new_files_12032022_2h58m/&amp;showversions=false" TargetMode="External"/><Relationship Id="rId364" Type="http://schemas.openxmlformats.org/officeDocument/2006/relationships/hyperlink" Target="https://s3.console.aws.amazon.com/s3/buckets/prod-shaip-bucket?region=us-east-1&amp;prefix=bhasha/Swar/Bihar-Saharsa/AUDIO/Batch4_d1_Bihar-Saharsa_new_files_04172023_2h/&amp;showversions=false" TargetMode="External"/><Relationship Id="rId95" Type="http://schemas.openxmlformats.org/officeDocument/2006/relationships/hyperlink" Target="https://s3.console.aws.amazon.com/s3/buckets/prod-shaip-bucket?region=us-east-1&amp;prefix=bhasha/Swar/Bihar-Araria/AUDIO/Batch1_d1_Bihar-Araria_new_files_12032022_10h54m/&amp;showversions=false" TargetMode="External"/><Relationship Id="rId94" Type="http://schemas.openxmlformats.org/officeDocument/2006/relationships/hyperlink" Target="https://s3.console.aws.amazon.com/s3/buckets/prod-shaip-bucket?region=us-east-1&amp;prefix=bhasha/Swar/WestBengal-PaschimMedinipur/AUDIO/Batch2_d1_WestBengal-PaschimMedinipur_new_files_11292022_21m/&amp;showversions=false" TargetMode="External"/><Relationship Id="rId97" Type="http://schemas.openxmlformats.org/officeDocument/2006/relationships/hyperlink" Target="https://s3.console.aws.amazon.com/s3/buckets/prod-shaip-bucket?region=us-east-1&amp;prefix=bhasha/Swar/Bihar-Sitamarhi/AUDIO/Batch4_d1_Bihar-Sitamarhi_new_files_12032022_2h26m/&amp;showversions=false" TargetMode="External"/><Relationship Id="rId96" Type="http://schemas.openxmlformats.org/officeDocument/2006/relationships/hyperlink" Target="https://s3.console.aws.amazon.com/s3/buckets/prod-shaip-bucket?region=us-east-1&amp;prefix=bhasha/Swar/Chhattisgarh-Bilaspur/AUDIO/Batch5_d1_Chhattisgarh-Bilaspur_new_files_12032022_2h1m/&amp;showversions=false" TargetMode="External"/><Relationship Id="rId99" Type="http://schemas.openxmlformats.org/officeDocument/2006/relationships/hyperlink" Target="https://s3.console.aws.amazon.com/s3/buckets/prod-shaip-bucket?region=us-east-1&amp;prefix=bhasha/Swar/Bihar-Muzaffarpur/AUDIO/Batch3_d1_Bihar-Muzaffarpur_new_files_12032022_3h47m/&amp;showversions=false" TargetMode="External"/><Relationship Id="rId98" Type="http://schemas.openxmlformats.org/officeDocument/2006/relationships/hyperlink" Target="https://s3.console.aws.amazon.com/s3/buckets/prod-shaip-bucket?region=us-east-1&amp;prefix=bhasha/Swar/Rajasthan-Churu/AUDIO/Batch4_d1_Rajasthan-Churu_new_files_12032022_3h4m/&amp;showversions=false" TargetMode="External"/><Relationship Id="rId91" Type="http://schemas.openxmlformats.org/officeDocument/2006/relationships/hyperlink" Target="https://s3.console.aws.amazon.com/s3/buckets/prod-shaip-bucket?region=us-east-1&amp;prefix=bhasha/Swar/WestBengal-Jhargram/AUDIO/Batch2_d1_WestBengal-Jhargram_new_files_11292022_1h42m/&amp;showversions=false" TargetMode="External"/><Relationship Id="rId90" Type="http://schemas.openxmlformats.org/officeDocument/2006/relationships/hyperlink" Target="https://s3.console.aws.amazon.com/s3/buckets/prod-shaip-bucket?region=us-east-1&amp;prefix=bhasha/Swar/WestBengal-Jalpaiguri/AUDIO/Batch2_d1_WestBengal-Jalpaiguri_new_files_11292022_28m/&amp;showversions=false" TargetMode="External"/><Relationship Id="rId93" Type="http://schemas.openxmlformats.org/officeDocument/2006/relationships/hyperlink" Target="https://s3.console.aws.amazon.com/s3/buckets/prod-shaip-bucket?region=us-east-1&amp;prefix=bhasha/Swar/WestBengal-North24Parganas/AUDIO/Batch3_d1_WestBengal-North24Parganas_new_files_11292022_1h43m/&amp;showversions=false" TargetMode="External"/><Relationship Id="rId92" Type="http://schemas.openxmlformats.org/officeDocument/2006/relationships/hyperlink" Target="https://s3.console.aws.amazon.com/s3/buckets/prod-shaip-bucket?region=us-east-1&amp;prefix=bhasha/Swar/WestBengal-Kolkata/AUDIO/Batch3_d1_WestBengal-Kolkata_new_files_11292022_1h59m/&amp;showversions=false" TargetMode="External"/><Relationship Id="rId118" Type="http://schemas.openxmlformats.org/officeDocument/2006/relationships/hyperlink" Target="https://s3.console.aws.amazon.com/s3/buckets/prod-shaip-bucket?region=us-east-1&amp;prefix=bhasha/Swar/Chhattisgarh-Raigarh/AUDIO/Batch3_d1_Chhattisgarh-Raigarh_new_files_12032022_1h33m/&amp;showversions=false" TargetMode="External"/><Relationship Id="rId117" Type="http://schemas.openxmlformats.org/officeDocument/2006/relationships/hyperlink" Target="https://s3.console.aws.amazon.com/s3/buckets/prod-shaip-bucket?region=us-east-1&amp;prefix=bhasha/Swar/Uttarpradesh-Budaun/AUDIO/Batch5_d1_Uttarpradesh-Budaun_new_files_12032022_1h34m/&amp;showversions=false" TargetMode="External"/><Relationship Id="rId359" Type="http://schemas.openxmlformats.org/officeDocument/2006/relationships/hyperlink" Target="https://s3.console.aws.amazon.com/s3/buckets/prod-shaip-bucket?region=us-east-1&amp;prefix=bhasha/Swar/Bihar-Kishanganj/AUDIO/Batch6_d1_Bihar-Kishanganj_new_files_04172023_8h30m/&amp;showversions=false" TargetMode="External"/><Relationship Id="rId116" Type="http://schemas.openxmlformats.org/officeDocument/2006/relationships/hyperlink" Target="https://s3.console.aws.amazon.com/s3/buckets/prod-shaip-bucket?region=us-east-1&amp;prefix=bhasha/Swar/Bihar-Jahanabad/AUDIO/Batch2_d1_Bihar-Jahanabad_new_files_12032022_1h38m/&amp;showversions=false" TargetMode="External"/><Relationship Id="rId358" Type="http://schemas.openxmlformats.org/officeDocument/2006/relationships/hyperlink" Target="https://s3.console.aws.amazon.com/s3/buckets/prod-shaip-bucket?region=us-east-1&amp;prefix=bhasha/Swar/Bihar-Jamui/AUDIO/Batch7_d1_Bihar-Jamui_new_files_04172023_1h28m/&amp;showversions=false" TargetMode="External"/><Relationship Id="rId115" Type="http://schemas.openxmlformats.org/officeDocument/2006/relationships/hyperlink" Target="https://s3.console.aws.amazon.com/s3/buckets/prod-shaip-bucket?region=us-east-1&amp;prefix=bhasha/Swar/Karnataka-Dharwad/AUDIO/Batch2_d1_Karnataka-Dharwad_new_files_12032022_1h37m/&amp;showversions=false" TargetMode="External"/><Relationship Id="rId357" Type="http://schemas.openxmlformats.org/officeDocument/2006/relationships/hyperlink" Target="https://s3.console.aws.amazon.com/s3/buckets/prod-shaip-bucket?region=us-east-1&amp;prefix=bhasha/Swar/Bihar-Jahanabad/AUDIO/Batch6_d1_Bihar-Jahanabad_new_files_04172023_1h14m/&amp;showversions=false" TargetMode="External"/><Relationship Id="rId599" Type="http://schemas.openxmlformats.org/officeDocument/2006/relationships/hyperlink" Target="https://s3.console.aws.amazon.com/s3/buckets/prod-shaip-bucket?region=us-east-1&amp;prefix=bhasha/swar_new/20-08-2023/BR/Samastipur/&amp;showversions=false" TargetMode="External"/><Relationship Id="rId119" Type="http://schemas.openxmlformats.org/officeDocument/2006/relationships/hyperlink" Target="https://s3.console.aws.amazon.com/s3/buckets/prod-shaip-bucket?region=us-east-1&amp;prefix=bhasha/Swar/WestBengal-Kolkata/AUDIO/Batch4_d1_WestBengal-Kolkata_new_files_12032022_24m/&amp;showversions=false" TargetMode="External"/><Relationship Id="rId110" Type="http://schemas.openxmlformats.org/officeDocument/2006/relationships/hyperlink" Target="https://s3.console.aws.amazon.com/s3/buckets/prod-shaip-bucket?region=us-east-1&amp;prefix=bhasha/Swar/Uttarpradesh-JyotibaPhuleNagar/AUDIO/Batch2_d1_Uttarpradesh-JyotibaPhuleNagar_new_files_12032022_1h50m/&amp;showversions=false" TargetMode="External"/><Relationship Id="rId352" Type="http://schemas.openxmlformats.org/officeDocument/2006/relationships/hyperlink" Target="https://s3.console.aws.amazon.com/s3/buckets/prod-shaip-bucket?region=us-east-1&amp;prefix=bhasha/Swar/Bihar-Bhagalpur/AUDIO/Batch4_d1_Bihar-Bhagalpur_new_files_04172023_3h25m/&amp;showversions=false" TargetMode="External"/><Relationship Id="rId594" Type="http://schemas.openxmlformats.org/officeDocument/2006/relationships/hyperlink" Target="https://s3.console.aws.amazon.com/s3/buckets/prod-shaip-bucket?region=us-east-1&amp;prefix=bhasha/swar_new/20-08-2023/BR/Lakhisarai/&amp;showversions=false" TargetMode="External"/><Relationship Id="rId351" Type="http://schemas.openxmlformats.org/officeDocument/2006/relationships/hyperlink" Target="https://s3.console.aws.amazon.com/s3/buckets/prod-shaip-bucket?region=us-east-1&amp;prefix=bhasha/Swar/Bihar-Begusarai/AUDIO/Batch8_d1_Bihar-Begusarai_new_files_04172023_1h34m/&amp;showversions=false" TargetMode="External"/><Relationship Id="rId593" Type="http://schemas.openxmlformats.org/officeDocument/2006/relationships/hyperlink" Target="https://s3.console.aws.amazon.com/s3/buckets/prod-shaip-bucket?region=us-east-1&amp;prefix=bhasha/swar_new/20-08-2023/BR/Kishanganj/&amp;showversions=false" TargetMode="External"/><Relationship Id="rId350" Type="http://schemas.openxmlformats.org/officeDocument/2006/relationships/hyperlink" Target="https://s3.console.aws.amazon.com/s3/buckets/prod-shaip-bucket?region=us-east-1&amp;prefix=bhasha/Swar/Bihar-Araria/AUDIO/Batch7_d1_Bihar-Araria_new_files_04172023_4h23m/&amp;showversions=false" TargetMode="External"/><Relationship Id="rId592" Type="http://schemas.openxmlformats.org/officeDocument/2006/relationships/hyperlink" Target="https://s3.console.aws.amazon.com/s3/buckets/prod-shaip-bucket?region=us-east-1&amp;prefix=bhasha/swar_new/20-08-2023/BR/Jamui/&amp;showversions=false" TargetMode="External"/><Relationship Id="rId591" Type="http://schemas.openxmlformats.org/officeDocument/2006/relationships/hyperlink" Target="https://s3.console.aws.amazon.com/s3/buckets/prod-shaip-bucket?region=us-east-1&amp;prefix=bhasha/swar_new/20-08-2023/BR/Jahanabad/&amp;showversions=false" TargetMode="External"/><Relationship Id="rId114" Type="http://schemas.openxmlformats.org/officeDocument/2006/relationships/hyperlink" Target="https://s3.console.aws.amazon.com/s3/buckets/prod-shaip-bucket?region=us-east-1&amp;prefix=bhasha/Swar/Bihar-Gopalganj/AUDIO/Batch4_d1_Bihar-Gopalganj_new_files_12032022_1h42m/&amp;showversions=false" TargetMode="External"/><Relationship Id="rId356" Type="http://schemas.openxmlformats.org/officeDocument/2006/relationships/hyperlink" Target="https://s3.console.aws.amazon.com/s3/buckets/prod-shaip-bucket?region=us-east-1&amp;prefix=bhasha/Swar/Bihar-Gopalganj/AUDIO/Batch9_d1_Bihar-Gopalganj_new_files_04172023_7h13m/&amp;showversions=false" TargetMode="External"/><Relationship Id="rId598" Type="http://schemas.openxmlformats.org/officeDocument/2006/relationships/hyperlink" Target="https://s3.console.aws.amazon.com/s3/buckets/prod-shaip-bucket?region=us-east-1&amp;prefix=bhasha/swar_new/20-08-2023/BR/Saharsa/&amp;showversions=false" TargetMode="External"/><Relationship Id="rId113" Type="http://schemas.openxmlformats.org/officeDocument/2006/relationships/hyperlink" Target="https://s3.console.aws.amazon.com/s3/buckets/prod-shaip-bucket?region=us-east-1&amp;prefix=bhasha/Swar/Uttarpradesh-Etah/AUDIO/Batch3_d1_Uttarpradesh-Etah_new_files_12032022_1h46m/&amp;showversions=false" TargetMode="External"/><Relationship Id="rId355" Type="http://schemas.openxmlformats.org/officeDocument/2006/relationships/hyperlink" Target="https://s3.console.aws.amazon.com/s3/buckets/prod-shaip-bucket?region=us-east-1&amp;prefix=bhasha/Swar/Bihar-Gaya/AUDIO/Batch5_d1_Bihar-Gaya_new_files_04172023_2h40m/&amp;showversions=false" TargetMode="External"/><Relationship Id="rId597" Type="http://schemas.openxmlformats.org/officeDocument/2006/relationships/hyperlink" Target="https://s3.console.aws.amazon.com/s3/buckets/prod-shaip-bucket?region=us-east-1&amp;prefix=bhasha/swar_new/20-08-2023/BR/Purnia/&amp;showversions=false" TargetMode="External"/><Relationship Id="rId112" Type="http://schemas.openxmlformats.org/officeDocument/2006/relationships/hyperlink" Target="https://s3.console.aws.amazon.com/s3/buckets/prod-shaip-bucket?region=us-east-1&amp;prefix=bhasha/Swar/WestBengal-Jalpaiguri/AUDIO/Batch3_d1_WestBengal-Jalpaiguri_new_files_12032022_22m/&amp;showversions=false" TargetMode="External"/><Relationship Id="rId354" Type="http://schemas.openxmlformats.org/officeDocument/2006/relationships/hyperlink" Target="https://s3.console.aws.amazon.com/s3/buckets/prod-shaip-bucket?region=us-east-1&amp;prefix=bhasha/Swar/Bihar-EastChamparan/AUDIO/Batch10_d1_Bihar-EastChamparan_new_files_04172023_3h43m/&amp;showversions=false" TargetMode="External"/><Relationship Id="rId596" Type="http://schemas.openxmlformats.org/officeDocument/2006/relationships/hyperlink" Target="https://s3.console.aws.amazon.com/s3/buckets/prod-shaip-bucket?region=us-east-1&amp;prefix=bhasha/swar_new/20-08-2023/BR/Muzaffarpur/&amp;showversions=false" TargetMode="External"/><Relationship Id="rId111" Type="http://schemas.openxmlformats.org/officeDocument/2006/relationships/hyperlink" Target="https://s3.console.aws.amazon.com/s3/buckets/prod-shaip-bucket?region=us-east-1&amp;prefix=bhasha/Swar/Uttarpradesh-Muzzaffarnagar/AUDIO/Batch4_d1_Uttarpradesh-Muzzaffarnagar_new_files_12032022_1h40m/&amp;showversions=false" TargetMode="External"/><Relationship Id="rId353" Type="http://schemas.openxmlformats.org/officeDocument/2006/relationships/hyperlink" Target="https://s3.console.aws.amazon.com/s3/buckets/prod-shaip-bucket?region=us-east-1&amp;prefix=bhasha/Swar/Bihar-Darbhanga/AUDIO/Batch5_d1_Bihar-Darbhanga_new_files_04172023_2h14m/&amp;showversions=false" TargetMode="External"/><Relationship Id="rId595" Type="http://schemas.openxmlformats.org/officeDocument/2006/relationships/hyperlink" Target="https://s3.console.aws.amazon.com/s3/buckets/prod-shaip-bucket?region=us-east-1&amp;prefix=bhasha/swar_new/20-08-2023/BR/Madhepura/&amp;showversions=false" TargetMode="External"/><Relationship Id="rId305" Type="http://schemas.openxmlformats.org/officeDocument/2006/relationships/hyperlink" Target="https://s3.console.aws.amazon.com/s3/buckets/prod-shaip-bucket?region=us-east-1&amp;prefix=bhasha/Swar/Karnataka-Bijapur/AUDIO/Batch3_d1_Karnataka-Bijapur_new_files_03252023_4h1m/&amp;showversions=false" TargetMode="External"/><Relationship Id="rId547" Type="http://schemas.openxmlformats.org/officeDocument/2006/relationships/hyperlink" Target="https://s3.console.aws.amazon.com/s3/buckets/prod-shaip-bucket?region=us-east-1&amp;prefix=bhasha/swar_new/25-07-2023/MH/Aurangabad/&amp;showversions=false" TargetMode="External"/><Relationship Id="rId789" Type="http://schemas.openxmlformats.org/officeDocument/2006/relationships/hyperlink" Target="https://s3.console.aws.amazon.com/s3/buckets/prod-shaip-bucket?region=us-east-1&amp;prefix=bhasha/swar_new/14-09-2023/MH/Dhule/&amp;showversions=false" TargetMode="External"/><Relationship Id="rId304" Type="http://schemas.openxmlformats.org/officeDocument/2006/relationships/hyperlink" Target="https://s3.console.aws.amazon.com/s3/buckets/prod-shaip-bucket?region=us-east-1&amp;prefix=bhasha/Swar/Karnataka-Bellary/AUDIO/Batch3_d1_Karnataka-Bellary_new_files_03252023_44m/&amp;showversions=false" TargetMode="External"/><Relationship Id="rId546" Type="http://schemas.openxmlformats.org/officeDocument/2006/relationships/hyperlink" Target="https://s3.console.aws.amazon.com/s3/buckets/prod-shaip-bucket?region=us-east-1&amp;prefix=bhasha/swar_new/25-07-2023/KA/Shimoga/&amp;showversions=false" TargetMode="External"/><Relationship Id="rId788" Type="http://schemas.openxmlformats.org/officeDocument/2006/relationships/hyperlink" Target="https://s3.console.aws.amazon.com/s3/buckets/prod-shaip-bucket?region=us-east-1&amp;prefix=bhasha/swar_new/14-09-2023/MH/Chandrapur/&amp;showversions=false" TargetMode="External"/><Relationship Id="rId303" Type="http://schemas.openxmlformats.org/officeDocument/2006/relationships/hyperlink" Target="https://s3.console.aws.amazon.com/s3/buckets/prod-shaip-bucket?region=us-east-1&amp;prefix=bhasha/Swar/Karnataka-Belgaum/AUDIO/Batch2_d1_Karnataka-Belgaum_new_files_03252023_8h26m/&amp;showversions=false" TargetMode="External"/><Relationship Id="rId545" Type="http://schemas.openxmlformats.org/officeDocument/2006/relationships/hyperlink" Target="https://s3.console.aws.amazon.com/s3/buckets/prod-shaip-bucket?region=us-east-1&amp;prefix=bhasha/swar_new/25-07-2023/KA/Raichur/&amp;showversions=false" TargetMode="External"/><Relationship Id="rId787" Type="http://schemas.openxmlformats.org/officeDocument/2006/relationships/hyperlink" Target="https://s3.console.aws.amazon.com/s3/buckets/prod-shaip-bucket?region=us-east-1&amp;prefix=bhasha/swar_new/14-09-2023/MH/Aurangabad/&amp;showversions=false" TargetMode="External"/><Relationship Id="rId302" Type="http://schemas.openxmlformats.org/officeDocument/2006/relationships/hyperlink" Target="https://s3.console.aws.amazon.com/s3/buckets/prod-shaip-bucket?region=us-east-1&amp;prefix=bhasha/Swar/Jharkhand-Sahebganj/AUDIO/Batch2_d1_Jharkhand-Sahebganj_new_files_03252023_7h41m/&amp;showversions=false" TargetMode="External"/><Relationship Id="rId544" Type="http://schemas.openxmlformats.org/officeDocument/2006/relationships/hyperlink" Target="https://s3.console.aws.amazon.com/s3/buckets/prod-shaip-bucket?region=us-east-1&amp;prefix=bhasha/swar_new/25-07-2023/KA/Mysore/&amp;showversions=false" TargetMode="External"/><Relationship Id="rId786" Type="http://schemas.openxmlformats.org/officeDocument/2006/relationships/hyperlink" Target="https://s3.console.aws.amazon.com/s3/buckets/prod-shaip-bucket?region=us-east-1&amp;prefix=bhasha/swar_new/14-09-2023/KA/Shimoga/&amp;showversions=false" TargetMode="External"/><Relationship Id="rId309" Type="http://schemas.openxmlformats.org/officeDocument/2006/relationships/hyperlink" Target="https://s3.console.aws.amazon.com/s3/buckets/prod-shaip-bucket?region=us-east-1&amp;prefix=bhasha/Swar/Karnataka-Gulbarga/AUDIO/Batch3_d1_Karnataka-Gulbarga_new_files_03252023_3h37m/&amp;showversions=false" TargetMode="External"/><Relationship Id="rId308" Type="http://schemas.openxmlformats.org/officeDocument/2006/relationships/hyperlink" Target="https://s3.console.aws.amazon.com/s3/buckets/prod-shaip-bucket?region=us-east-1&amp;prefix=bhasha/Swar/Karnataka-Dharwad/AUDIO/Batch5_d1_Karnataka-Dharwad_new_files_03252023_3h51m/&amp;showversions=false" TargetMode="External"/><Relationship Id="rId307" Type="http://schemas.openxmlformats.org/officeDocument/2006/relationships/hyperlink" Target="https://s3.console.aws.amazon.com/s3/buckets/prod-shaip-bucket?region=us-east-1&amp;prefix=bhasha/Swar/Karnataka-DakshinKannada/AUDIO/Batch3_d1_Karnataka-DakshinKannada_new_files_03252023_1h28m/&amp;showversions=false" TargetMode="External"/><Relationship Id="rId549" Type="http://schemas.openxmlformats.org/officeDocument/2006/relationships/hyperlink" Target="https://s3.console.aws.amazon.com/s3/buckets/prod-shaip-bucket?region=us-east-1&amp;prefix=bhasha/swar_new/25-07-2023/MH/Dhule/&amp;showversions=false" TargetMode="External"/><Relationship Id="rId306" Type="http://schemas.openxmlformats.org/officeDocument/2006/relationships/hyperlink" Target="https://s3.console.aws.amazon.com/s3/buckets/prod-shaip-bucket?region=us-east-1&amp;prefix=bhasha/Swar/Karnataka-Chamrajnagar/AUDIO/Batch3_d1_Karnataka-Chamrajnagar_new_files_03252023_3h13m/&amp;showversions=false" TargetMode="External"/><Relationship Id="rId548" Type="http://schemas.openxmlformats.org/officeDocument/2006/relationships/hyperlink" Target="https://s3.console.aws.amazon.com/s3/buckets/prod-shaip-bucket?region=us-east-1&amp;prefix=bhasha/swar_new/25-07-2023/MH/Chandrapur/&amp;showversions=false" TargetMode="External"/><Relationship Id="rId781" Type="http://schemas.openxmlformats.org/officeDocument/2006/relationships/hyperlink" Target="https://s3.console.aws.amazon.com/s3/buckets/prod-shaip-bucket?region=us-east-1&amp;prefix=bhasha/swar_new/14-09-2023/KA/DakshinKannada/&amp;showversions=false" TargetMode="External"/><Relationship Id="rId780" Type="http://schemas.openxmlformats.org/officeDocument/2006/relationships/hyperlink" Target="https://s3.console.aws.amazon.com/s3/buckets/prod-shaip-bucket?region=us-east-1&amp;prefix=bhasha/swar_new/14-09-2023/KA/Chamrajnagar/&amp;showversions=false" TargetMode="External"/><Relationship Id="rId301" Type="http://schemas.openxmlformats.org/officeDocument/2006/relationships/hyperlink" Target="https://s3.console.aws.amazon.com/s3/buckets/prod-shaip-bucket?region=us-east-1&amp;prefix=bhasha/Swar/Jharkhand-Jamtara/AUDIO/Batch3_d1_Jharkhand-Jamtara_new_files_03252023_4h34m/&amp;showversions=false" TargetMode="External"/><Relationship Id="rId543" Type="http://schemas.openxmlformats.org/officeDocument/2006/relationships/hyperlink" Target="https://s3.console.aws.amazon.com/s3/buckets/prod-shaip-bucket?region=us-east-1&amp;prefix=bhasha/swar_new/25-07-2023/KA/Gulbarga/&amp;showversions=false" TargetMode="External"/><Relationship Id="rId785" Type="http://schemas.openxmlformats.org/officeDocument/2006/relationships/hyperlink" Target="https://s3.console.aws.amazon.com/s3/buckets/prod-shaip-bucket?region=us-east-1&amp;prefix=bhasha/swar_new/14-09-2023/KA/Raichur/&amp;showversions=false" TargetMode="External"/><Relationship Id="rId300" Type="http://schemas.openxmlformats.org/officeDocument/2006/relationships/hyperlink" Target="https://s3.console.aws.amazon.com/s3/buckets/prod-shaip-bucket?region=us-east-1&amp;prefix=bhasha/Swar/Goa-NorthSouthGoa/AUDIO/Batch3_d1_Goa-NorthSouthGoa_new_files_03252023_2h19m/&amp;showversions=false" TargetMode="External"/><Relationship Id="rId542" Type="http://schemas.openxmlformats.org/officeDocument/2006/relationships/hyperlink" Target="https://s3.console.aws.amazon.com/s3/buckets/prod-shaip-bucket?region=us-east-1&amp;prefix=bhasha/swar_new/25-07-2023/KA/Dharwad/&amp;showversions=false" TargetMode="External"/><Relationship Id="rId784" Type="http://schemas.openxmlformats.org/officeDocument/2006/relationships/hyperlink" Target="https://s3.console.aws.amazon.com/s3/buckets/prod-shaip-bucket?region=us-east-1&amp;prefix=bhasha/swar_new/14-09-2023/KA/Mysore/&amp;showversions=false" TargetMode="External"/><Relationship Id="rId541" Type="http://schemas.openxmlformats.org/officeDocument/2006/relationships/hyperlink" Target="https://s3.console.aws.amazon.com/s3/buckets/prod-shaip-bucket?region=us-east-1&amp;prefix=bhasha/swar_new/25-07-2023/KA/DakshinKannada/&amp;showversions=false" TargetMode="External"/><Relationship Id="rId783" Type="http://schemas.openxmlformats.org/officeDocument/2006/relationships/hyperlink" Target="https://s3.console.aws.amazon.com/s3/buckets/prod-shaip-bucket?region=us-east-1&amp;prefix=bhasha/swar_new/14-09-2023/KA/Gulbarga/&amp;showversions=false" TargetMode="External"/><Relationship Id="rId540" Type="http://schemas.openxmlformats.org/officeDocument/2006/relationships/hyperlink" Target="https://s3.console.aws.amazon.com/s3/buckets/prod-shaip-bucket?region=us-east-1&amp;prefix=bhasha/swar_new/25-07-2023/KA/Chamrajnagar/&amp;showversions=false" TargetMode="External"/><Relationship Id="rId782" Type="http://schemas.openxmlformats.org/officeDocument/2006/relationships/hyperlink" Target="https://s3.console.aws.amazon.com/s3/buckets/prod-shaip-bucket?region=us-east-1&amp;prefix=bhasha/swar_new/14-09-2023/KA/Dharwad/&amp;showversions=false" TargetMode="External"/><Relationship Id="rId536" Type="http://schemas.openxmlformats.org/officeDocument/2006/relationships/hyperlink" Target="https://s3.console.aws.amazon.com/s3/buckets/prod-shaip-bucket?region=us-east-1&amp;prefix=bhasha/swar_new/25-07-2023/JH/Sahebganj/&amp;showversions=false" TargetMode="External"/><Relationship Id="rId778" Type="http://schemas.openxmlformats.org/officeDocument/2006/relationships/hyperlink" Target="https://s3.console.aws.amazon.com/s3/buckets/prod-shaip-bucket?region=us-east-1&amp;prefix=bhasha/swar_new/14-09-2023/KA/Bellary/&amp;showversions=false" TargetMode="External"/><Relationship Id="rId535" Type="http://schemas.openxmlformats.org/officeDocument/2006/relationships/hyperlink" Target="https://s3.console.aws.amazon.com/s3/buckets/prod-shaip-bucket?region=us-east-1&amp;prefix=bhasha/swar_new/25-07-2023/JH/Jamtara/&amp;showversions=false" TargetMode="External"/><Relationship Id="rId777" Type="http://schemas.openxmlformats.org/officeDocument/2006/relationships/hyperlink" Target="https://s3.console.aws.amazon.com/s3/buckets/prod-shaip-bucket?region=us-east-1&amp;prefix=bhasha/swar_new/14-09-2023/KA/Belgaum/&amp;showversions=false" TargetMode="External"/><Relationship Id="rId534" Type="http://schemas.openxmlformats.org/officeDocument/2006/relationships/hyperlink" Target="https://s3.console.aws.amazon.com/s3/buckets/prod-shaip-bucket?region=us-east-1&amp;prefix=bhasha/swar_new/25-07-2023/GA/NorthSouthGoa/&amp;showversions=false" TargetMode="External"/><Relationship Id="rId776" Type="http://schemas.openxmlformats.org/officeDocument/2006/relationships/hyperlink" Target="https://s3.console.aws.amazon.com/s3/buckets/prod-shaip-bucket?region=us-east-1&amp;prefix=bhasha/swar_new/14-09-2023/JH/Sahebganj/&amp;showversions=false" TargetMode="External"/><Relationship Id="rId533" Type="http://schemas.openxmlformats.org/officeDocument/2006/relationships/hyperlink" Target="https://s3.console.aws.amazon.com/s3/buckets/prod-shaip-bucket?region=us-east-1&amp;prefix=bhasha/swar_new/25-07-2023/CG/Sukma/&amp;showversions=false" TargetMode="External"/><Relationship Id="rId775" Type="http://schemas.openxmlformats.org/officeDocument/2006/relationships/hyperlink" Target="https://s3.console.aws.amazon.com/s3/buckets/prod-shaip-bucket?region=us-east-1&amp;prefix=bhasha/swar_new/14-09-2023/JH/Jamtara/&amp;showversions=false" TargetMode="External"/><Relationship Id="rId539" Type="http://schemas.openxmlformats.org/officeDocument/2006/relationships/hyperlink" Target="https://s3.console.aws.amazon.com/s3/buckets/prod-shaip-bucket?region=us-east-1&amp;prefix=bhasha/swar_new/25-07-2023/KA/Bijapur/&amp;showversions=false" TargetMode="External"/><Relationship Id="rId538" Type="http://schemas.openxmlformats.org/officeDocument/2006/relationships/hyperlink" Target="https://s3.console.aws.amazon.com/s3/buckets/prod-shaip-bucket?region=us-east-1&amp;prefix=bhasha/swar_new/25-07-2023/KA/Bellary/&amp;showversions=false" TargetMode="External"/><Relationship Id="rId537" Type="http://schemas.openxmlformats.org/officeDocument/2006/relationships/hyperlink" Target="https://s3.console.aws.amazon.com/s3/buckets/prod-shaip-bucket?region=us-east-1&amp;prefix=bhasha/swar_new/25-07-2023/KA/Belgaum/&amp;showversions=false" TargetMode="External"/><Relationship Id="rId779" Type="http://schemas.openxmlformats.org/officeDocument/2006/relationships/hyperlink" Target="https://s3.console.aws.amazon.com/s3/buckets/prod-shaip-bucket?region=us-east-1&amp;prefix=bhasha/swar_new/14-09-2023/KA/Bijapur/&amp;showversions=false" TargetMode="External"/><Relationship Id="rId770" Type="http://schemas.openxmlformats.org/officeDocument/2006/relationships/hyperlink" Target="https://s3.console.aws.amazon.com/s3/buckets/prod-shaip-bucket?region=us-east-1&amp;prefix=bhasha/swar_new/14-09-2023/CG/Raigarh/&amp;showversions=false" TargetMode="External"/><Relationship Id="rId532" Type="http://schemas.openxmlformats.org/officeDocument/2006/relationships/hyperlink" Target="https://s3.console.aws.amazon.com/s3/buckets/prod-shaip-bucket?region=us-east-1&amp;prefix=bhasha/swar_new/25-07-2023/CG/Sarguja/&amp;showversions=false" TargetMode="External"/><Relationship Id="rId774" Type="http://schemas.openxmlformats.org/officeDocument/2006/relationships/hyperlink" Target="https://s3.console.aws.amazon.com/s3/buckets/prod-shaip-bucket?region=us-east-1&amp;prefix=bhasha/swar_new/14-09-2023/GA/NorthSouthGoa/&amp;showversions=false" TargetMode="External"/><Relationship Id="rId531" Type="http://schemas.openxmlformats.org/officeDocument/2006/relationships/hyperlink" Target="https://s3.console.aws.amazon.com/s3/buckets/prod-shaip-bucket?region=us-east-1&amp;prefix=bhasha/swar_new/25-07-2023/CG/Rajnandgaon/&amp;showversions=false" TargetMode="External"/><Relationship Id="rId773" Type="http://schemas.openxmlformats.org/officeDocument/2006/relationships/hyperlink" Target="https://s3.console.aws.amazon.com/s3/buckets/prod-shaip-bucket?region=us-east-1&amp;prefix=bhasha/swar_new/14-09-2023/CG/Sukma/&amp;showversions=false" TargetMode="External"/><Relationship Id="rId530" Type="http://schemas.openxmlformats.org/officeDocument/2006/relationships/hyperlink" Target="https://s3.console.aws.amazon.com/s3/buckets/prod-shaip-bucket?region=us-east-1&amp;prefix=bhasha/swar_new/25-07-2023/CG/Raigarh/&amp;showversions=false" TargetMode="External"/><Relationship Id="rId772" Type="http://schemas.openxmlformats.org/officeDocument/2006/relationships/hyperlink" Target="https://s3.console.aws.amazon.com/s3/buckets/prod-shaip-bucket?region=us-east-1&amp;prefix=bhasha/swar_new/14-09-2023/CG/Sarguja/&amp;showversions=false" TargetMode="External"/><Relationship Id="rId771" Type="http://schemas.openxmlformats.org/officeDocument/2006/relationships/hyperlink" Target="https://s3.console.aws.amazon.com/s3/buckets/prod-shaip-bucket?region=us-east-1&amp;prefix=bhasha/swar_new/14-09-2023/CG/Rajnandgaon/&amp;showversions=false" TargetMode="External"/><Relationship Id="rId327" Type="http://schemas.openxmlformats.org/officeDocument/2006/relationships/hyperlink" Target="https://s3.console.aws.amazon.com/s3/buckets/prod-shaip-bucket?region=us-east-1&amp;prefix=bhasha/Swar/Uttarpradesh-Deoria/AUDIO/Batch8_d1_Uttarpradesh-Deoria_new_files_03252023_3h4m/&amp;showversions=false" TargetMode="External"/><Relationship Id="rId569" Type="http://schemas.openxmlformats.org/officeDocument/2006/relationships/hyperlink" Target="https://s3.console.aws.amazon.com/s3/buckets/prod-shaip-bucket?region=us-east-1&amp;prefix=bhasha/swar_new/25-07-2023/UP/Varanasi/&amp;showversions=false" TargetMode="External"/><Relationship Id="rId326" Type="http://schemas.openxmlformats.org/officeDocument/2006/relationships/hyperlink" Target="https://s3.console.aws.amazon.com/s3/buckets/prod-shaip-bucket?region=us-east-1&amp;prefix=bhasha/Swar/Uttarpradesh-Budaun/AUDIO/Batch9_d1_Uttarpradesh-Budaun_new_files_03252023_1h17m/&amp;showversions=false" TargetMode="External"/><Relationship Id="rId568" Type="http://schemas.openxmlformats.org/officeDocument/2006/relationships/hyperlink" Target="https://s3.console.aws.amazon.com/s3/buckets/prod-shaip-bucket?region=us-east-1&amp;prefix=bhasha/swar_new/25-07-2023/UP/Muzzaffarnagar/&amp;showversions=false" TargetMode="External"/><Relationship Id="rId325" Type="http://schemas.openxmlformats.org/officeDocument/2006/relationships/hyperlink" Target="https://s3.console.aws.amazon.com/s3/buckets/prod-shaip-bucket?region=us-east-1&amp;prefix=bhasha/Swar/Uttarakhand-Uttarkashi/AUDIO/Batch6_d1_Uttarakhand-Uttarkashi_new_files_03252023_3h38m/&amp;showversions=false" TargetMode="External"/><Relationship Id="rId567" Type="http://schemas.openxmlformats.org/officeDocument/2006/relationships/hyperlink" Target="https://s3.console.aws.amazon.com/s3/buckets/prod-shaip-bucket?region=us-east-1&amp;prefix=bhasha/swar_new/25-07-2023/UP/JyotibaPhuleNagar/&amp;showversions=false" TargetMode="External"/><Relationship Id="rId324" Type="http://schemas.openxmlformats.org/officeDocument/2006/relationships/hyperlink" Target="https://s3.console.aws.amazon.com/s3/buckets/prod-shaip-bucket?region=us-east-1&amp;prefix=bhasha/Swar/Uttarakhand-TehriGarhwal/AUDIO/Batch8_d1_Uttarakhand-TehriGarhwal_new_files_03252023_2h8m/&amp;showversions=false" TargetMode="External"/><Relationship Id="rId566" Type="http://schemas.openxmlformats.org/officeDocument/2006/relationships/hyperlink" Target="https://s3.console.aws.amazon.com/s3/buckets/prod-shaip-bucket?region=us-east-1&amp;prefix=bhasha/swar_new/25-07-2023/UP/Jalaun/&amp;showversions=false" TargetMode="External"/><Relationship Id="rId329" Type="http://schemas.openxmlformats.org/officeDocument/2006/relationships/hyperlink" Target="https://s3.console.aws.amazon.com/s3/buckets/prod-shaip-bucket?region=us-east-1&amp;prefix=bhasha/Swar/Uttarpradesh-Ghazipur/AUDIO/Batch4_d1_Uttarpradesh-Ghazipur_new_files_03252023_6h51m/&amp;showversions=false" TargetMode="External"/><Relationship Id="rId328" Type="http://schemas.openxmlformats.org/officeDocument/2006/relationships/hyperlink" Target="https://s3.console.aws.amazon.com/s3/buckets/prod-shaip-bucket?region=us-east-1&amp;prefix=bhasha/Swar/Uttarpradesh-Etah/AUDIO/Batch5_d1_Uttarpradesh-Etah_new_files_03252023_2h45m/&amp;showversions=false" TargetMode="External"/><Relationship Id="rId561" Type="http://schemas.openxmlformats.org/officeDocument/2006/relationships/hyperlink" Target="https://s3.console.aws.amazon.com/s3/buckets/prod-shaip-bucket?region=us-east-1&amp;prefix=bhasha/swar_new/25-07-2023/UP/Deoria/&amp;showversions=false" TargetMode="External"/><Relationship Id="rId560" Type="http://schemas.openxmlformats.org/officeDocument/2006/relationships/hyperlink" Target="https://s3.console.aws.amazon.com/s3/buckets/prod-shaip-bucket?region=us-east-1&amp;prefix=bhasha/swar_new/25-07-2023/UP/Budaun/&amp;showversions=false" TargetMode="External"/><Relationship Id="rId323" Type="http://schemas.openxmlformats.org/officeDocument/2006/relationships/hyperlink" Target="https://s3.console.aws.amazon.com/s3/buckets/prod-shaip-bucket?region=us-east-1&amp;prefix=bhasha/Swar/Telengana-Nalgonda/AUDIO/Batch2_d1_Telengana-Nalgonda_new_files_03252023_7h22m/&amp;showversions=false" TargetMode="External"/><Relationship Id="rId565" Type="http://schemas.openxmlformats.org/officeDocument/2006/relationships/hyperlink" Target="https://s3.console.aws.amazon.com/s3/buckets/prod-shaip-bucket?region=us-east-1&amp;prefix=bhasha/swar_new/25-07-2023/UP/Hamirpur/&amp;showversions=false" TargetMode="External"/><Relationship Id="rId322" Type="http://schemas.openxmlformats.org/officeDocument/2006/relationships/hyperlink" Target="https://s3.console.aws.amazon.com/s3/buckets/prod-shaip-bucket?region=us-east-1&amp;prefix=bhasha/Swar/Telengana-Karimnagar/AUDIO/Batch2_d1_Telengana-Karimnagar_new_files_03252023_3h6m/&amp;showversions=false" TargetMode="External"/><Relationship Id="rId564" Type="http://schemas.openxmlformats.org/officeDocument/2006/relationships/hyperlink" Target="https://s3.console.aws.amazon.com/s3/buckets/prod-shaip-bucket?region=us-east-1&amp;prefix=bhasha/swar_new/25-07-2023/UP/Gorakhpur/&amp;showversions=false" TargetMode="External"/><Relationship Id="rId321" Type="http://schemas.openxmlformats.org/officeDocument/2006/relationships/hyperlink" Target="https://s3.console.aws.amazon.com/s3/buckets/prod-shaip-bucket?region=us-east-1&amp;prefix=bhasha/Swar/Rajasthan-Nagaur/AUDIO/Batch7_d1_Rajasthan-Nagaur_new_files_03252023_3h32m/&amp;showversions=false" TargetMode="External"/><Relationship Id="rId563" Type="http://schemas.openxmlformats.org/officeDocument/2006/relationships/hyperlink" Target="https://s3.console.aws.amazon.com/s3/buckets/prod-shaip-bucket?region=us-east-1&amp;prefix=bhasha/swar_new/25-07-2023/UP/Ghazipur/&amp;showversions=false" TargetMode="External"/><Relationship Id="rId320" Type="http://schemas.openxmlformats.org/officeDocument/2006/relationships/hyperlink" Target="https://s3.console.aws.amazon.com/s3/buckets/prod-shaip-bucket?region=us-east-1&amp;prefix=bhasha/Swar/Rajasthan-Churu/AUDIO/Batch8_d1_Rajasthan-Churu_new_files_03252023_5h1m/&amp;showversions=false" TargetMode="External"/><Relationship Id="rId562" Type="http://schemas.openxmlformats.org/officeDocument/2006/relationships/hyperlink" Target="https://s3.console.aws.amazon.com/s3/buckets/prod-shaip-bucket?region=us-east-1&amp;prefix=bhasha/swar_new/25-07-2023/UP/Etah/&amp;showversions=false" TargetMode="External"/><Relationship Id="rId316" Type="http://schemas.openxmlformats.org/officeDocument/2006/relationships/hyperlink" Target="https://s3.console.aws.amazon.com/s3/buckets/prod-shaip-bucket?region=us-east-1&amp;prefix=bhasha/Swar/Maharashtra-Nagpur/AUDIO/Batch2_d1_Maharashtra-Nagpur_new_files_03252023_2h58m/&amp;showversions=false" TargetMode="External"/><Relationship Id="rId558" Type="http://schemas.openxmlformats.org/officeDocument/2006/relationships/hyperlink" Target="https://s3.console.aws.amazon.com/s3/buckets/prod-shaip-bucket?region=us-east-1&amp;prefix=bhasha/swar_new/25-07-2023/UK/TehriGarhwal/&amp;showversions=false" TargetMode="External"/><Relationship Id="rId315" Type="http://schemas.openxmlformats.org/officeDocument/2006/relationships/hyperlink" Target="https://s3.console.aws.amazon.com/s3/buckets/prod-shaip-bucket?region=us-east-1&amp;prefix=bhasha/Swar/Maharashtra-Dhule/AUDIO/Batch2_d1_Maharashtra-Dhule_new_files_03252023_2h22m/&amp;showversions=false" TargetMode="External"/><Relationship Id="rId557" Type="http://schemas.openxmlformats.org/officeDocument/2006/relationships/hyperlink" Target="https://s3.console.aws.amazon.com/s3/buckets/prod-shaip-bucket?region=us-east-1&amp;prefix=bhasha/swar_new/25-07-2023/TS/Nalgonda/&amp;showversions=false" TargetMode="External"/><Relationship Id="rId799" Type="http://schemas.openxmlformats.org/officeDocument/2006/relationships/hyperlink" Target="https://s3.console.aws.amazon.com/s3/buckets/prod-shaip-bucket?region=us-east-1&amp;prefix=bhasha/swar_new/14-09-2023/UK/Uttarkashi/&amp;showversions=false" TargetMode="External"/><Relationship Id="rId314" Type="http://schemas.openxmlformats.org/officeDocument/2006/relationships/hyperlink" Target="https://s3.console.aws.amazon.com/s3/buckets/prod-shaip-bucket?region=us-east-1&amp;prefix=bhasha/Swar/Maharashtra-Chandrapur/AUDIO/Batch3_d1_Maharashtra-Chandrapur_new_files_03252023_1h3m/&amp;showversions=false" TargetMode="External"/><Relationship Id="rId556" Type="http://schemas.openxmlformats.org/officeDocument/2006/relationships/hyperlink" Target="https://s3.console.aws.amazon.com/s3/buckets/prod-shaip-bucket?region=us-east-1&amp;prefix=bhasha/swar_new/25-07-2023/TS/Karimnagar/&amp;showversions=false" TargetMode="External"/><Relationship Id="rId798" Type="http://schemas.openxmlformats.org/officeDocument/2006/relationships/hyperlink" Target="https://s3.console.aws.amazon.com/s3/buckets/prod-shaip-bucket?region=us-east-1&amp;prefix=bhasha/swar_new/14-09-2023/UK/TehriGarhwal/&amp;showversions=false" TargetMode="External"/><Relationship Id="rId313" Type="http://schemas.openxmlformats.org/officeDocument/2006/relationships/hyperlink" Target="https://s3.console.aws.amazon.com/s3/buckets/prod-shaip-bucket?region=us-east-1&amp;prefix=bhasha/Swar/Maharashtra-Aurangabad/AUDIO/Batch4_d1_Maharashtra-Aurangabad_new_files_03252023_11h42m/&amp;showversions=false" TargetMode="External"/><Relationship Id="rId555" Type="http://schemas.openxmlformats.org/officeDocument/2006/relationships/hyperlink" Target="https://s3.console.aws.amazon.com/s3/buckets/prod-shaip-bucket?region=us-east-1&amp;prefix=bhasha/swar_new/25-07-2023/RJ/Nagaur/&amp;showversions=false" TargetMode="External"/><Relationship Id="rId797" Type="http://schemas.openxmlformats.org/officeDocument/2006/relationships/hyperlink" Target="https://s3.console.aws.amazon.com/s3/buckets/prod-shaip-bucket?region=us-east-1&amp;prefix=bhasha/swar_new/14-09-2023/TS/Nalgonda/&amp;showversions=false" TargetMode="External"/><Relationship Id="rId319" Type="http://schemas.openxmlformats.org/officeDocument/2006/relationships/hyperlink" Target="https://s3.console.aws.amazon.com/s3/buckets/prod-shaip-bucket?region=us-east-1&amp;prefix=bhasha/Swar/Maharashtra-Solapur/AUDIO/Batch4_d1_Maharashtra-Solapur_new_files_03252023_5h58m/&amp;showversions=false" TargetMode="External"/><Relationship Id="rId318" Type="http://schemas.openxmlformats.org/officeDocument/2006/relationships/hyperlink" Target="https://s3.console.aws.amazon.com/s3/buckets/prod-shaip-bucket?region=us-east-1&amp;prefix=bhasha/Swar/Maharashtra-Sindhudurga/AUDIO/Batch2_d1_Maharashtra-Sindhudurga_new_files_03252023_3h4m/&amp;showversions=false" TargetMode="External"/><Relationship Id="rId317" Type="http://schemas.openxmlformats.org/officeDocument/2006/relationships/hyperlink" Target="https://s3.console.aws.amazon.com/s3/buckets/prod-shaip-bucket?region=us-east-1&amp;prefix=bhasha/Swar/Maharashtra-Pune/AUDIO/Batch4_d1_Maharashtra-Pune_new_files_03252023_7h51m/&amp;showversions=false" TargetMode="External"/><Relationship Id="rId559" Type="http://schemas.openxmlformats.org/officeDocument/2006/relationships/hyperlink" Target="https://s3.console.aws.amazon.com/s3/buckets/prod-shaip-bucket?region=us-east-1&amp;prefix=bhasha/swar_new/25-07-2023/UK/Uttarkashi/&amp;showversions=false" TargetMode="External"/><Relationship Id="rId550" Type="http://schemas.openxmlformats.org/officeDocument/2006/relationships/hyperlink" Target="https://s3.console.aws.amazon.com/s3/buckets/prod-shaip-bucket?region=us-east-1&amp;prefix=bhasha/swar_new/25-07-2023/MH/Nagpur/&amp;showversions=false" TargetMode="External"/><Relationship Id="rId792" Type="http://schemas.openxmlformats.org/officeDocument/2006/relationships/hyperlink" Target="https://s3.console.aws.amazon.com/s3/buckets/prod-shaip-bucket?region=us-east-1&amp;prefix=bhasha/swar_new/14-09-2023/MH/Sindhudurga/&amp;showversions=false" TargetMode="External"/><Relationship Id="rId791" Type="http://schemas.openxmlformats.org/officeDocument/2006/relationships/hyperlink" Target="https://s3.console.aws.amazon.com/s3/buckets/prod-shaip-bucket?region=us-east-1&amp;prefix=bhasha/swar_new/14-09-2023/MH/Pune/&amp;showversions=false" TargetMode="External"/><Relationship Id="rId790" Type="http://schemas.openxmlformats.org/officeDocument/2006/relationships/hyperlink" Target="https://s3.console.aws.amazon.com/s3/buckets/prod-shaip-bucket?region=us-east-1&amp;prefix=bhasha/swar_new/14-09-2023/MH/Nagpur/&amp;showversions=false" TargetMode="External"/><Relationship Id="rId312" Type="http://schemas.openxmlformats.org/officeDocument/2006/relationships/hyperlink" Target="https://s3.console.aws.amazon.com/s3/buckets/prod-shaip-bucket?region=us-east-1&amp;prefix=bhasha/Swar/Karnataka-Shimoga/AUDIO/Batch6_d1_Karnataka-Shimoga_new_files_03252023_4h52m/&amp;showversions=false" TargetMode="External"/><Relationship Id="rId554" Type="http://schemas.openxmlformats.org/officeDocument/2006/relationships/hyperlink" Target="https://s3.console.aws.amazon.com/s3/buckets/prod-shaip-bucket?region=us-east-1&amp;prefix=bhasha/swar_new/25-07-2023/RJ/Churu/&amp;showversions=false" TargetMode="External"/><Relationship Id="rId796" Type="http://schemas.openxmlformats.org/officeDocument/2006/relationships/hyperlink" Target="https://s3.console.aws.amazon.com/s3/buckets/prod-shaip-bucket?region=us-east-1&amp;prefix=bhasha/swar_new/14-09-2023/TS/Karimnagar/&amp;showversions=false" TargetMode="External"/><Relationship Id="rId311" Type="http://schemas.openxmlformats.org/officeDocument/2006/relationships/hyperlink" Target="https://s3.console.aws.amazon.com/s3/buckets/prod-shaip-bucket?region=us-east-1&amp;prefix=bhasha/Swar/Karnataka-Raichur/AUDIO/Batch3_d1_Karnataka-Raichur_new_files_03252023_3h50m/&amp;showversions=false" TargetMode="External"/><Relationship Id="rId553" Type="http://schemas.openxmlformats.org/officeDocument/2006/relationships/hyperlink" Target="https://s3.console.aws.amazon.com/s3/buckets/prod-shaip-bucket?region=us-east-1&amp;prefix=bhasha/swar_new/25-07-2023/MH/Solapur/&amp;showversions=false" TargetMode="External"/><Relationship Id="rId795" Type="http://schemas.openxmlformats.org/officeDocument/2006/relationships/hyperlink" Target="https://s3.console.aws.amazon.com/s3/buckets/prod-shaip-bucket?region=us-east-1&amp;prefix=bhasha/swar_new/14-09-2023/RJ/Nagaur/&amp;showversions=false" TargetMode="External"/><Relationship Id="rId310" Type="http://schemas.openxmlformats.org/officeDocument/2006/relationships/hyperlink" Target="https://s3.console.aws.amazon.com/s3/buckets/prod-shaip-bucket?region=us-east-1&amp;prefix=bhasha/Swar/Karnataka-Mysore/AUDIO/Batch5_d1_Karnataka-Mysore_new_files_03252023_4h40m/&amp;showversions=false" TargetMode="External"/><Relationship Id="rId552" Type="http://schemas.openxmlformats.org/officeDocument/2006/relationships/hyperlink" Target="https://s3.console.aws.amazon.com/s3/buckets/prod-shaip-bucket?region=us-east-1&amp;prefix=bhasha/swar_new/25-07-2023/MH/Sindhudurga/&amp;showversions=false" TargetMode="External"/><Relationship Id="rId794" Type="http://schemas.openxmlformats.org/officeDocument/2006/relationships/hyperlink" Target="https://s3.console.aws.amazon.com/s3/buckets/prod-shaip-bucket?region=us-east-1&amp;prefix=bhasha/swar_new/14-09-2023/RJ/Churu/&amp;showversions=false" TargetMode="External"/><Relationship Id="rId551" Type="http://schemas.openxmlformats.org/officeDocument/2006/relationships/hyperlink" Target="https://s3.console.aws.amazon.com/s3/buckets/prod-shaip-bucket?region=us-east-1&amp;prefix=bhasha/swar_new/25-07-2023/MH/Pune/&amp;showversions=false" TargetMode="External"/><Relationship Id="rId793" Type="http://schemas.openxmlformats.org/officeDocument/2006/relationships/hyperlink" Target="https://s3.console.aws.amazon.com/s3/buckets/prod-shaip-bucket?region=us-east-1&amp;prefix=bhasha/swar_new/14-09-2023/MH/Solapur/&amp;showversions=false" TargetMode="External"/><Relationship Id="rId297" Type="http://schemas.openxmlformats.org/officeDocument/2006/relationships/hyperlink" Target="https://s3.console.aws.amazon.com/s3/buckets/prod-shaip-bucket?region=us-east-1&amp;prefix=bhasha/Swar/Chhattisgarh-Rajnandgaon/AUDIO/Batch4_d1_Chhattisgarh-Rajnandgaon_new_files_03252023_3h35m/&amp;showversions=false" TargetMode="External"/><Relationship Id="rId296" Type="http://schemas.openxmlformats.org/officeDocument/2006/relationships/hyperlink" Target="https://s3.console.aws.amazon.com/s3/buckets/prod-shaip-bucket?region=us-east-1&amp;prefix=bhasha/Swar/Chhattisgarh-Raigarh/AUDIO/Batch6_d1_Chhattisgarh-Raigarh_new_files_03252023_2h6m/&amp;showversions=false" TargetMode="External"/><Relationship Id="rId295" Type="http://schemas.openxmlformats.org/officeDocument/2006/relationships/hyperlink" Target="https://s3.console.aws.amazon.com/s3/buckets/prod-shaip-bucket?region=us-east-1&amp;prefix=bhasha/Swar/Chhattisgarh-Korba/AUDIO/Batch3_d1_Chhattisgarh-Korba_new_files_03252023_6h54m/&amp;showversions=false" TargetMode="External"/><Relationship Id="rId294" Type="http://schemas.openxmlformats.org/officeDocument/2006/relationships/hyperlink" Target="https://s3.console.aws.amazon.com/s3/buckets/prod-shaip-bucket?region=us-east-1&amp;prefix=bhasha/Swar/Chhattisgarh-Kabirdham/AUDIO/Batch3_d1_Chhattisgarh-Kabirdham_new_files_03252023_1h26m/&amp;showversions=false" TargetMode="External"/><Relationship Id="rId299" Type="http://schemas.openxmlformats.org/officeDocument/2006/relationships/hyperlink" Target="https://s3.console.aws.amazon.com/s3/buckets/prod-shaip-bucket?region=us-east-1&amp;prefix=bhasha/Swar/Chhattisgarh-Sukma/AUDIO/Batch2_d1_Chhattisgarh-Sukma_new_files_03252023_1h55m/&amp;showversions=false" TargetMode="External"/><Relationship Id="rId298" Type="http://schemas.openxmlformats.org/officeDocument/2006/relationships/hyperlink" Target="https://s3.console.aws.amazon.com/s3/buckets/prod-shaip-bucket?region=us-east-1&amp;prefix=bhasha/Swar/Chhattisgarh-Sarguja/AUDIO/Batch5_d1_Chhattisgarh-Sarguja_new_files_03252023_2h46m/&amp;showversions=false" TargetMode="External"/><Relationship Id="rId271" Type="http://schemas.openxmlformats.org/officeDocument/2006/relationships/hyperlink" Target="https://s3.console.aws.amazon.com/s3/buckets/prod-shaip-bucket?region=us-east-1&amp;prefix=bhasha/Swar/Bihar-Begusarai/AUDIO/Batch7_d1_Bihar-Begusarai_new_files_03252023_1h29m/&amp;showversions=false" TargetMode="External"/><Relationship Id="rId270" Type="http://schemas.openxmlformats.org/officeDocument/2006/relationships/hyperlink" Target="https://s3.console.aws.amazon.com/s3/buckets/prod-shaip-bucket?region=us-east-1&amp;prefix=bhasha/Swar/Bihar-Araria/AUDIO/Batch5_d1_Bihar-Araria_new_files_03252023_1h54m/&amp;showversions=false" TargetMode="External"/><Relationship Id="rId269" Type="http://schemas.openxmlformats.org/officeDocument/2006/relationships/hyperlink" Target="https://s3.console.aws.amazon.com/s3/buckets/prod-shaip-bucket?region=us-east-1&amp;prefix=bhasha/Swar/AP-Vishakapattanam/AUDIO/Batch3_d1_AP-Vishakapattanam_new_files_03252023_3h33m/&amp;showversions=false" TargetMode="External"/><Relationship Id="rId264" Type="http://schemas.openxmlformats.org/officeDocument/2006/relationships/hyperlink" Target="https://s3.console.aws.amazon.com/s3/buckets/prod-shaip-bucket?region=us-east-1&amp;prefix=bhasha/Swar/AP-Anantpur/AUDIO/Batch2_d1_AP-Anantpur_new_files_03252023_12h22m/&amp;showversions=false" TargetMode="External"/><Relationship Id="rId263" Type="http://schemas.openxmlformats.org/officeDocument/2006/relationships/hyperlink" Target="https://s3.console.aws.amazon.com/s3/buckets/prod-shaip-bucket?region=us-east-1&amp;prefix=bhasha/Swar/WestBengal-North24Parganas/AUDIO/Batch7_d1_WestBengal-North24Parganas_new_files_03102023_7h33m/&amp;showversions=false" TargetMode="External"/><Relationship Id="rId262" Type="http://schemas.openxmlformats.org/officeDocument/2006/relationships/hyperlink" Target="https://s3.console.aws.amazon.com/s3/buckets/prod-shaip-bucket?region=us-east-1&amp;prefix=bhasha/Swar/WestBengal-Kolkata/AUDIO/Batch7_d1_WestBengal-Kolkata_new_files_03102023_8h10m/&amp;showversions=false" TargetMode="External"/><Relationship Id="rId261" Type="http://schemas.openxmlformats.org/officeDocument/2006/relationships/hyperlink" Target="https://s3.console.aws.amazon.com/s3/buckets/prod-shaip-bucket?region=us-east-1&amp;prefix=bhasha/Swar/WestBengal-PaschimMedinipur/AUDIO/Batch6_d1_WestBengal-PaschimMedinipur_new_files_03102023_5h50m/&amp;showversions=false" TargetMode="External"/><Relationship Id="rId268" Type="http://schemas.openxmlformats.org/officeDocument/2006/relationships/hyperlink" Target="https://s3.console.aws.amazon.com/s3/buckets/prod-shaip-bucket?region=us-east-1&amp;prefix=bhasha/Swar/AP-Srikakulam/AUDIO/Batch2_d1_AP-Srikakulam_new_files_03252023_29h37m/&amp;showversions=false" TargetMode="External"/><Relationship Id="rId267" Type="http://schemas.openxmlformats.org/officeDocument/2006/relationships/hyperlink" Target="https://s3.console.aws.amazon.com/s3/buckets/prod-shaip-bucket?region=us-east-1&amp;prefix=bhasha/Swar/AP-Krishna/AUDIO/Batch2_d1_AP-Krishna_new_files_03252023_6h50m/&amp;showversions=false" TargetMode="External"/><Relationship Id="rId266" Type="http://schemas.openxmlformats.org/officeDocument/2006/relationships/hyperlink" Target="https://s3.console.aws.amazon.com/s3/buckets/prod-shaip-bucket?prefix=bhasha/Swar/AP-Guntur/AUDIO/Batch2_d1_AP-Guntur_new_files_03252023_9h20m/&amp;region=us-east-1" TargetMode="External"/><Relationship Id="rId265" Type="http://schemas.openxmlformats.org/officeDocument/2006/relationships/hyperlink" Target="https://s3.console.aws.amazon.com/s3/buckets/prod-shaip-bucket?region=us-east-1&amp;prefix=bhasha/Swar/AP-Chittoor/AUDIO/Batch2_d1_AP-Chittoor_new_files_03252023_3h21m/&amp;showversions=false" TargetMode="External"/><Relationship Id="rId260" Type="http://schemas.openxmlformats.org/officeDocument/2006/relationships/hyperlink" Target="https://s3.console.aws.amazon.com/s3/buckets/prod-shaip-bucket?region=us-east-1&amp;prefix=bhasha/Swar/WestBengal-Jhargram/AUDIO/Batch6_d1_WestBengal-Jhargram_new_files_03102023_2h55m/&amp;showversions=false" TargetMode="External"/><Relationship Id="rId259" Type="http://schemas.openxmlformats.org/officeDocument/2006/relationships/hyperlink" Target="https://s3.console.aws.amazon.com/s3/buckets/prod-shaip-bucket?region=us-east-1&amp;prefix=bhasha/Swar/WestBengal-Jalpaiguri/AUDIO/Batch6_d1_WestBengal-Jalpaiguri_new_files_03102023_4h45m/&amp;showversions=false" TargetMode="External"/><Relationship Id="rId258" Type="http://schemas.openxmlformats.org/officeDocument/2006/relationships/hyperlink" Target="https://s3.console.aws.amazon.com/s3/buckets/prod-shaip-bucket?region=us-east-1&amp;prefix=bhasha/Swar/WestBengal-DakshinDinajpur/AUDIO/Batch4_d1_WestBengal-DakshinDinajpur_new_files_03102023_6h15m/&amp;showversions=false" TargetMode="External"/><Relationship Id="rId253" Type="http://schemas.openxmlformats.org/officeDocument/2006/relationships/hyperlink" Target="https://s3.console.aws.amazon.com/s3/buckets/prod-shaip-bucket?region=us-east-1&amp;prefix=bhasha/Swar/Uttarpradesh-Deoria/AUDIO/Batch7_d1_Uttarpradesh-Deoria_new_files_03102023_4h36m/&amp;showversions=false" TargetMode="External"/><Relationship Id="rId495" Type="http://schemas.openxmlformats.org/officeDocument/2006/relationships/hyperlink" Target="https://s3.console.aws.amazon.com/s3/buckets/prod-shaip-bucket?region=us-east-1&amp;prefix=bhasha/swar_new/03-05-2023/WB/North24Parganas/&amp;showversions=false" TargetMode="External"/><Relationship Id="rId252" Type="http://schemas.openxmlformats.org/officeDocument/2006/relationships/hyperlink" Target="https://s3.console.aws.amazon.com/s3/buckets/prod-shaip-bucket?region=us-east-1&amp;prefix=bhasha/Swar/Uttarpradesh-Gorakhpur/AUDIO/Batch6_d1_Uttarpradesh-Gorakhpur_new_files_03102023_10h30m/&amp;showversions=false" TargetMode="External"/><Relationship Id="rId494" Type="http://schemas.openxmlformats.org/officeDocument/2006/relationships/hyperlink" Target="https://s3.console.aws.amazon.com/s3/buckets/prod-shaip-bucket?region=us-east-1&amp;prefix=bhasha/swar_new/03-05-2023/WB/Malda/&amp;showversions=false" TargetMode="External"/><Relationship Id="rId251" Type="http://schemas.openxmlformats.org/officeDocument/2006/relationships/hyperlink" Target="https://s3.console.aws.amazon.com/s3/buckets/prod-shaip-bucket?region=us-east-1&amp;prefix=bhasha/Swar/Uttarpradesh-Varanasi/AUDIO/Batch5_d1_Uttarpradesh-Varanasi_new_files_03102023_8h21m/&amp;showversions=false" TargetMode="External"/><Relationship Id="rId493" Type="http://schemas.openxmlformats.org/officeDocument/2006/relationships/hyperlink" Target="https://s3.console.aws.amazon.com/s3/buckets/prod-shaip-bucket?region=us-east-1&amp;prefix=bhasha/swar_new/03-05-2023/WB/Jhargram/&amp;showversions=false" TargetMode="External"/><Relationship Id="rId250" Type="http://schemas.openxmlformats.org/officeDocument/2006/relationships/hyperlink" Target="https://s3.console.aws.amazon.com/s3/buckets/prod-shaip-bucket?region=us-east-1&amp;prefix=bhasha/Swar/Uttarpradesh-JyotibaPhuleNagar/AUDIO/Batch4_d1_Uttarpradesh-JyotibaPhuleNagar_new_files_03102023_18h29m/&amp;showversions=false" TargetMode="External"/><Relationship Id="rId492" Type="http://schemas.openxmlformats.org/officeDocument/2006/relationships/hyperlink" Target="https://s3.console.aws.amazon.com/s3/buckets/prod-shaip-bucket?region=us-east-1&amp;prefix=bhasha/swar_new/03-05-2023/WB/Jalpaiguri/&amp;showversions=false" TargetMode="External"/><Relationship Id="rId257" Type="http://schemas.openxmlformats.org/officeDocument/2006/relationships/hyperlink" Target="https://s3.console.aws.amazon.com/s3/buckets/prod-shaip-bucket?region=us-east-1&amp;prefix=bhasha/Swar/WestBengal-Purulia/AUDIO/Batch2_d1_WestBengal-Purulia_new_files_03112023_3h31m/&amp;showversions=false" TargetMode="External"/><Relationship Id="rId499" Type="http://schemas.openxmlformats.org/officeDocument/2006/relationships/hyperlink" Target="https://s3.console.aws.amazon.com/s3/buckets/prod-shaip-bucket?region=us-east-1&amp;prefix=bhasha/swar_new/25-07-2023/AP/Chittoor/&amp;showversions=false" TargetMode="External"/><Relationship Id="rId256" Type="http://schemas.openxmlformats.org/officeDocument/2006/relationships/hyperlink" Target="https://s3.console.aws.amazon.com/s3/buckets/prod-shaip-bucket?region=us-east-1&amp;prefix=bhasha/Swar/WestBengal-Malda/AUDIO/Batch2_d1_WestBengal-Malda_new_files_03102023_6h26m/&amp;showversions=false" TargetMode="External"/><Relationship Id="rId498" Type="http://schemas.openxmlformats.org/officeDocument/2006/relationships/hyperlink" Target="https://s3.console.aws.amazon.com/s3/buckets/prod-shaip-bucket?region=us-east-1&amp;prefix=bhasha/swar_new/25-07-2023/AP/Anantpur/&amp;showversions=false" TargetMode="External"/><Relationship Id="rId255" Type="http://schemas.openxmlformats.org/officeDocument/2006/relationships/hyperlink" Target="https://s3.console.aws.amazon.com/s3/buckets/prod-shaip-bucket?region=us-east-1&amp;prefix=bhasha/Swar/Uttarpradesh-Muzzaffarnagar/AUDIO/Batch8_d1_Uttarpradesh-Muzzaffarnagar_new_files_03102023_55m/&amp;showversions=false" TargetMode="External"/><Relationship Id="rId497" Type="http://schemas.openxmlformats.org/officeDocument/2006/relationships/hyperlink" Target="https://s3.console.aws.amazon.com/s3/buckets/prod-shaip-bucket?region=us-east-1&amp;prefix=bhasha/swar_new/03-05-2023/WB/Purulia/&amp;showversions=false" TargetMode="External"/><Relationship Id="rId254" Type="http://schemas.openxmlformats.org/officeDocument/2006/relationships/hyperlink" Target="https://s3.console.aws.amazon.com/s3/buckets/prod-shaip-bucket?region=us-east-1&amp;prefix=bhasha/Swar/Uttarpradesh-Budaun/AUDIO/Batch8_d1_Uttarpradesh-Budaun_new_files_03102023_2h9m/&amp;showversions=false" TargetMode="External"/><Relationship Id="rId496" Type="http://schemas.openxmlformats.org/officeDocument/2006/relationships/hyperlink" Target="https://s3.console.aws.amazon.com/s3/buckets/prod-shaip-bucket?region=us-east-1&amp;prefix=bhasha/swar_new/03-05-2023/WB/PaschimMedinipur/&amp;showversions=false" TargetMode="External"/><Relationship Id="rId293" Type="http://schemas.openxmlformats.org/officeDocument/2006/relationships/hyperlink" Target="https://s3.console.aws.amazon.com/s3/buckets/prod-shaip-bucket?region=us-east-1&amp;prefix=bhasha/Swar/Chhattisgarh-Jashpur/AUDIO/Batch5_d1_Chhattisgarh-Jashpur_new_files_03252023_4h8m/&amp;showversions=false" TargetMode="External"/><Relationship Id="rId292" Type="http://schemas.openxmlformats.org/officeDocument/2006/relationships/hyperlink" Target="https://s3.console.aws.amazon.com/s3/buckets/prod-shaip-bucket?region=us-east-1&amp;prefix=bhasha/Swar/Chhattisgarh-Bilaspur/AUDIO/Batch8_d1_Chhattisgarh-Bilaspur_new_files_03252023_10h18m/&amp;showversions=false" TargetMode="External"/><Relationship Id="rId291" Type="http://schemas.openxmlformats.org/officeDocument/2006/relationships/hyperlink" Target="https://s3.console.aws.amazon.com/s3/buckets/prod-shaip-bucket?region=us-east-1&amp;prefix=bhasha/Swar/Chhattisgarh-Bastar/AUDIO/Batch3_d1_Chhattisgarh-Bastar_new_files_03252023_14h5m/&amp;showversions=false" TargetMode="External"/><Relationship Id="rId290" Type="http://schemas.openxmlformats.org/officeDocument/2006/relationships/hyperlink" Target="https://s3.console.aws.amazon.com/s3/buckets/prod-shaip-bucket?region=us-east-1&amp;prefix=bhasha/Swar/Chhattisgarh-Balrampur/AUDIO/Batch3_d1_Chhattisgarh-Balrampur_new_files_03252023_3h46m/&amp;showversions=false" TargetMode="External"/><Relationship Id="rId286" Type="http://schemas.openxmlformats.org/officeDocument/2006/relationships/hyperlink" Target="https://s3.console.aws.amazon.com/s3/buckets/prod-shaip-bucket?region=us-east-1&amp;prefix=bhasha/Swar/Bihar-Saran/AUDIO/Batch5_d1_Bihar-Saran_new_files_03252023_3h48m/&amp;showversions=false" TargetMode="External"/><Relationship Id="rId285" Type="http://schemas.openxmlformats.org/officeDocument/2006/relationships/hyperlink" Target="https://s3.console.aws.amazon.com/s3/buckets/prod-shaip-bucket?region=us-east-1&amp;prefix=bhasha/Swar/Bihar-Samastipur/AUDIO/Batch8_d1_Bihar-Samastipur_new_files_03252023_4h43m/&amp;showversions=false" TargetMode="External"/><Relationship Id="rId284" Type="http://schemas.openxmlformats.org/officeDocument/2006/relationships/hyperlink" Target="https://s3.console.aws.amazon.com/s3/buckets/prod-shaip-bucket?region=us-east-1&amp;prefix=bhasha/Swar/Bihar-Saharsa/AUDIO/Batch3_d1_Bihar-Saharsa_new_files_03252023_48m/&amp;showversions=false" TargetMode="External"/><Relationship Id="rId283" Type="http://schemas.openxmlformats.org/officeDocument/2006/relationships/hyperlink" Target="https://s3.console.aws.amazon.com/s3/buckets/prod-shaip-bucket?region=us-east-1&amp;prefix=bhasha/Swar/Bihar-Purnia/AUDIO/Batch3_d1_Bihar-Purnia_new_files_03252023_59m/&amp;showversions=false" TargetMode="External"/><Relationship Id="rId289" Type="http://schemas.openxmlformats.org/officeDocument/2006/relationships/hyperlink" Target="https://s3.console.aws.amazon.com/s3/buckets/prod-shaip-bucket?region=us-east-1&amp;prefix=bhasha/Swar/Bihar-Vaishali/AUDIO/Batch4_d1_Bihar-Vaishali_new_files_03252023_6h55m/&amp;showversions=false" TargetMode="External"/><Relationship Id="rId288" Type="http://schemas.openxmlformats.org/officeDocument/2006/relationships/hyperlink" Target="https://s3.console.aws.amazon.com/s3/buckets/prod-shaip-bucket?region=us-east-1&amp;prefix=bhasha/Swar/Bihar-Supaul/AUDIO/Batch4_d1_Bihar-Supaul_new_files_03252023_9h3m/&amp;showversions=false" TargetMode="External"/><Relationship Id="rId287" Type="http://schemas.openxmlformats.org/officeDocument/2006/relationships/hyperlink" Target="https://s3.console.aws.amazon.com/s3/buckets/prod-shaip-bucket?region=us-east-1&amp;prefix=bhasha/Swar/Bihar-Sitamarhi/AUDIO/Batch8_d1_Bihar-Sitamarhi_new_files_03252023_3h47m/&amp;showversions=false" TargetMode="External"/><Relationship Id="rId282" Type="http://schemas.openxmlformats.org/officeDocument/2006/relationships/hyperlink" Target="https://s3.console.aws.amazon.com/s3/buckets/prod-shaip-bucket?region=us-east-1&amp;prefix=bhasha/Swar/Bihar-Muzaffarpur/AUDIO/Batch6_d1_Bihar-Muzaffarpur_new_files_03252023_1h58m/&amp;showversions=false" TargetMode="External"/><Relationship Id="rId281" Type="http://schemas.openxmlformats.org/officeDocument/2006/relationships/hyperlink" Target="https://s3.console.aws.amazon.com/s3/buckets/prod-shaip-bucket?region=us-east-1&amp;prefix=bhasha/Swar/Bihar-Madhepura/AUDIO/Batch3_d1_Bihar-Madhepura_new_files_03252023_1h31m/&amp;showversions=false" TargetMode="External"/><Relationship Id="rId280" Type="http://schemas.openxmlformats.org/officeDocument/2006/relationships/hyperlink" Target="https://s3.console.aws.amazon.com/s3/buckets/prod-shaip-bucket?region=us-east-1&amp;prefix=bhasha/Swar/Bihar-Lakhisarai/AUDIO/Batch3_d1_Bihar-Lakhisarai_new_files_03252023_1h44m/&amp;showversions=false" TargetMode="External"/><Relationship Id="rId275" Type="http://schemas.openxmlformats.org/officeDocument/2006/relationships/hyperlink" Target="https://s3.console.aws.amazon.com/s3/buckets/prod-shaip-bucket?region=us-east-1&amp;prefix=bhasha/Swar/Bihar-Gaya/AUDIO/Batch4_d1_Bihar-Gaya_new_files_03252023_2h32m/&amp;showversions=false" TargetMode="External"/><Relationship Id="rId274" Type="http://schemas.openxmlformats.org/officeDocument/2006/relationships/hyperlink" Target="https://s3.console.aws.amazon.com/s3/buckets/prod-shaip-bucket?region=us-east-1&amp;prefix=bhasha/Swar/Bihar-EastChamparan/AUDIO/Batch8_d1_Bihar-EastChamparan_new_files_03252023_4h3m/&amp;showversions=false" TargetMode="External"/><Relationship Id="rId273" Type="http://schemas.openxmlformats.org/officeDocument/2006/relationships/hyperlink" Target="https://s3.console.aws.amazon.com/s3/buckets/prod-shaip-bucket?region=us-east-1&amp;prefix=bhasha/Swar/Bihar-Darbhanga/AUDIO/Batch4_d1_Bihar-Darbhanga_new_files_03252023_1h23m/&amp;showversions=false" TargetMode="External"/><Relationship Id="rId272" Type="http://schemas.openxmlformats.org/officeDocument/2006/relationships/hyperlink" Target="https://s3.console.aws.amazon.com/s3/buckets/prod-shaip-bucket?region=us-east-1&amp;prefix=bhasha/Swar/Bihar-Bhagalpur/AUDIO/Batch3_d1_Bihar-Bhagalpur_new_files_03252023_3h28m/&amp;showversions=false" TargetMode="External"/><Relationship Id="rId279" Type="http://schemas.openxmlformats.org/officeDocument/2006/relationships/hyperlink" Target="https://s3.console.aws.amazon.com/s3/buckets/prod-shaip-bucket?region=us-east-1&amp;prefix=bhasha/Swar/Bihar-Kishanganj/AUDIO/Batch4_d1_Bihar-Kishanganj_new_files_03252023_1h23m/&amp;showversions=false" TargetMode="External"/><Relationship Id="rId278" Type="http://schemas.openxmlformats.org/officeDocument/2006/relationships/hyperlink" Target="https://s3.console.aws.amazon.com/s3/buckets/prod-shaip-bucket?region=us-east-1&amp;prefix=bhasha/Swar/Bihar-Jamui/AUDIO/Batch6_d1_Bihar-Jamui_new_files_03252023_3h24m/&amp;showversions=false" TargetMode="External"/><Relationship Id="rId277" Type="http://schemas.openxmlformats.org/officeDocument/2006/relationships/hyperlink" Target="https://s3.console.aws.amazon.com/s3/buckets/prod-shaip-bucket?region=us-east-1&amp;prefix=bhasha/Swar/Bihar-Jahanabad/AUDIO/Batch5_d1_Bihar-Jahanabad_new_files_03252023_4h11m/&amp;showversions=false" TargetMode="External"/><Relationship Id="rId276" Type="http://schemas.openxmlformats.org/officeDocument/2006/relationships/hyperlink" Target="https://s3.console.aws.amazon.com/s3/buckets/prod-shaip-bucket?region=us-east-1&amp;prefix=bhasha/Swar/Bihar-Gopalganj/AUDIO/Batch7_d1_Bihar-Gopalganj_new_files_03252023_5h20m/&amp;showversions=false" TargetMode="External"/><Relationship Id="rId907" Type="http://schemas.openxmlformats.org/officeDocument/2006/relationships/hyperlink" Target="https://s3.console.aws.amazon.com/s3/buckets/prod-shaip-bucket?region=us-east-1&amp;prefix=bhasha/swar_new/09-10-2023/BR/Darbhanga/&amp;showversions=false" TargetMode="External"/><Relationship Id="rId906" Type="http://schemas.openxmlformats.org/officeDocument/2006/relationships/hyperlink" Target="https://s3.console.aws.amazon.com/s3/buckets/prod-shaip-bucket?region=us-east-1&amp;prefix=bhasha/swar_new/09-10-2023/BR/Bhagalpur/&amp;showversions=false" TargetMode="External"/><Relationship Id="rId905" Type="http://schemas.openxmlformats.org/officeDocument/2006/relationships/hyperlink" Target="https://s3.console.aws.amazon.com/s3/buckets/prod-shaip-bucket?region=us-east-1&amp;prefix=bhasha/swar_new/09-10-2023/BR/Begusarai/&amp;showversions=false" TargetMode="External"/><Relationship Id="rId904" Type="http://schemas.openxmlformats.org/officeDocument/2006/relationships/hyperlink" Target="https://s3.console.aws.amazon.com/s3/buckets/prod-shaip-bucket?region=us-east-1&amp;prefix=bhasha/swar_new/09-10-2023/BR/Araria/&amp;showversions=false" TargetMode="External"/><Relationship Id="rId909" Type="http://schemas.openxmlformats.org/officeDocument/2006/relationships/hyperlink" Target="https://s3.console.aws.amazon.com/s3/buckets/prod-shaip-bucket?region=us-east-1&amp;prefix=bhasha/swar_new/09-10-2023/BR/Gaya/&amp;showversions=false" TargetMode="External"/><Relationship Id="rId908" Type="http://schemas.openxmlformats.org/officeDocument/2006/relationships/hyperlink" Target="https://s3.console.aws.amazon.com/s3/buckets/prod-shaip-bucket?region=us-east-1&amp;prefix=bhasha/swar_new/09-10-2023/BR/EastChamparan/&amp;showversions=false" TargetMode="External"/><Relationship Id="rId903" Type="http://schemas.openxmlformats.org/officeDocument/2006/relationships/hyperlink" Target="https://s3.console.aws.amazon.com/s3/buckets/prod-shaip-bucket?region=us-east-1&amp;prefix=bhasha/swar_new/09-10-2023/AP/Vishakapattanam/&amp;showversions=false" TargetMode="External"/><Relationship Id="rId902" Type="http://schemas.openxmlformats.org/officeDocument/2006/relationships/hyperlink" Target="https://s3.console.aws.amazon.com/s3/buckets/prod-shaip-bucket?region=us-east-1&amp;prefix=bhasha/swar_new/09-10-2023/AP/Srikakulam/&amp;showversions=false" TargetMode="External"/><Relationship Id="rId901" Type="http://schemas.openxmlformats.org/officeDocument/2006/relationships/hyperlink" Target="https://s3.console.aws.amazon.com/s3/buckets/prod-shaip-bucket?region=us-east-1&amp;prefix=bhasha/swar_new/09-10-2023/AP/Krishna/&amp;showversions=false" TargetMode="External"/><Relationship Id="rId900" Type="http://schemas.openxmlformats.org/officeDocument/2006/relationships/hyperlink" Target="https://s3.console.aws.amazon.com/s3/buckets/prod-shaip-bucket?region=us-east-1&amp;prefix=bhasha/swar_new/09-10-2023/AP/Guntur/&amp;showversions=false" TargetMode="External"/><Relationship Id="rId929" Type="http://schemas.openxmlformats.org/officeDocument/2006/relationships/hyperlink" Target="https://s3.console.aws.amazon.com/s3/buckets/prod-shaip-bucket?region=us-east-1&amp;prefix=bhasha/swar_new/09-10-2023/CG/Korba/&amp;showversions=false" TargetMode="External"/><Relationship Id="rId928" Type="http://schemas.openxmlformats.org/officeDocument/2006/relationships/hyperlink" Target="https://s3.console.aws.amazon.com/s3/buckets/prod-shaip-bucket?region=us-east-1&amp;prefix=bhasha/swar_new/09-10-2023/CG/Kabirdham/&amp;showversions=false" TargetMode="External"/><Relationship Id="rId927" Type="http://schemas.openxmlformats.org/officeDocument/2006/relationships/hyperlink" Target="https://s3.console.aws.amazon.com/s3/buckets/prod-shaip-bucket?region=us-east-1&amp;prefix=bhasha/swar_new/09-10-2023/CG/Jashpur/&amp;showversions=false" TargetMode="External"/><Relationship Id="rId926" Type="http://schemas.openxmlformats.org/officeDocument/2006/relationships/hyperlink" Target="https://s3.console.aws.amazon.com/s3/buckets/prod-shaip-bucket?region=us-east-1&amp;prefix=bhasha/swar_new/09-10-2023/CG/Bilaspur/&amp;showversions=false" TargetMode="External"/><Relationship Id="rId921" Type="http://schemas.openxmlformats.org/officeDocument/2006/relationships/hyperlink" Target="https://s3.console.aws.amazon.com/s3/buckets/prod-shaip-bucket?region=us-east-1&amp;prefix=bhasha/swar_new/09-10-2023/BR/Sitamarhi/&amp;showversions=false" TargetMode="External"/><Relationship Id="rId920" Type="http://schemas.openxmlformats.org/officeDocument/2006/relationships/hyperlink" Target="https://s3.console.aws.amazon.com/s3/buckets/prod-shaip-bucket?region=us-east-1&amp;prefix=bhasha/swar_new/09-10-2023/BR/Saran/&amp;showversions=false" TargetMode="External"/><Relationship Id="rId925" Type="http://schemas.openxmlformats.org/officeDocument/2006/relationships/hyperlink" Target="https://s3.console.aws.amazon.com/s3/buckets/prod-shaip-bucket?region=us-east-1&amp;prefix=bhasha/swar_new/09-10-2023/CG/Bastar/&amp;showversions=false" TargetMode="External"/><Relationship Id="rId924" Type="http://schemas.openxmlformats.org/officeDocument/2006/relationships/hyperlink" Target="https://s3.console.aws.amazon.com/s3/buckets/prod-shaip-bucket?region=us-east-1&amp;prefix=bhasha/swar_new/09-10-2023/CG/Balrampur/&amp;showversions=false" TargetMode="External"/><Relationship Id="rId923" Type="http://schemas.openxmlformats.org/officeDocument/2006/relationships/hyperlink" Target="https://s3.console.aws.amazon.com/s3/buckets/prod-shaip-bucket?region=us-east-1&amp;prefix=bhasha/swar_new/09-10-2023/BR/Vaishali/&amp;showversions=false" TargetMode="External"/><Relationship Id="rId922" Type="http://schemas.openxmlformats.org/officeDocument/2006/relationships/hyperlink" Target="https://s3.console.aws.amazon.com/s3/buckets/prod-shaip-bucket?region=us-east-1&amp;prefix=bhasha/swar_new/09-10-2023/BR/Supaul/&amp;showversions=false" TargetMode="External"/><Relationship Id="rId918" Type="http://schemas.openxmlformats.org/officeDocument/2006/relationships/hyperlink" Target="https://s3.console.aws.amazon.com/s3/buckets/prod-shaip-bucket?region=us-east-1&amp;prefix=bhasha/swar_new/09-10-2023/BR/Saharsa/&amp;showversions=false" TargetMode="External"/><Relationship Id="rId917" Type="http://schemas.openxmlformats.org/officeDocument/2006/relationships/hyperlink" Target="https://s3.console.aws.amazon.com/s3/buckets/prod-shaip-bucket?region=us-east-1&amp;prefix=bhasha/swar_new/09-10-2023/BR/Purnia/&amp;showversions=false" TargetMode="External"/><Relationship Id="rId916" Type="http://schemas.openxmlformats.org/officeDocument/2006/relationships/hyperlink" Target="https://s3.console.aws.amazon.com/s3/buckets/prod-shaip-bucket?region=us-east-1&amp;prefix=bhasha/swar_new/09-10-2023/BR/Muzaffarpur/&amp;showversions=false" TargetMode="External"/><Relationship Id="rId915" Type="http://schemas.openxmlformats.org/officeDocument/2006/relationships/hyperlink" Target="https://s3.console.aws.amazon.com/s3/buckets/prod-shaip-bucket?region=us-east-1&amp;prefix=bhasha/swar_new/09-10-2023/BR/Madhepura/&amp;showversions=false" TargetMode="External"/><Relationship Id="rId919" Type="http://schemas.openxmlformats.org/officeDocument/2006/relationships/hyperlink" Target="https://s3.console.aws.amazon.com/s3/buckets/prod-shaip-bucket?region=us-east-1&amp;prefix=bhasha/swar_new/09-10-2023/BR/Samastipur/&amp;showversions=false" TargetMode="External"/><Relationship Id="rId910" Type="http://schemas.openxmlformats.org/officeDocument/2006/relationships/hyperlink" Target="https://s3.console.aws.amazon.com/s3/buckets/prod-shaip-bucket?region=us-east-1&amp;prefix=bhasha/swar_new/09-10-2023/BR/Gopalganj/&amp;showversions=false" TargetMode="External"/><Relationship Id="rId914" Type="http://schemas.openxmlformats.org/officeDocument/2006/relationships/hyperlink" Target="https://s3.console.aws.amazon.com/s3/buckets/prod-shaip-bucket?region=us-east-1&amp;prefix=bhasha/swar_new/09-10-2023/BR/Lakhisarai/&amp;showversions=false" TargetMode="External"/><Relationship Id="rId913" Type="http://schemas.openxmlformats.org/officeDocument/2006/relationships/hyperlink" Target="https://s3.console.aws.amazon.com/s3/buckets/prod-shaip-bucket?region=us-east-1&amp;prefix=bhasha/swar_new/09-10-2023/BR/Kishanganj/&amp;showversions=false" TargetMode="External"/><Relationship Id="rId912" Type="http://schemas.openxmlformats.org/officeDocument/2006/relationships/hyperlink" Target="https://s3.console.aws.amazon.com/s3/buckets/prod-shaip-bucket?region=us-east-1&amp;prefix=bhasha/swar_new/09-10-2023/BR/Jamui/&amp;showversions=false" TargetMode="External"/><Relationship Id="rId911" Type="http://schemas.openxmlformats.org/officeDocument/2006/relationships/hyperlink" Target="https://s3.console.aws.amazon.com/s3/buckets/prod-shaip-bucket?region=us-east-1&amp;prefix=bhasha/swar_new/09-10-2023/BR/Jahanabad/&amp;showversions=false" TargetMode="External"/><Relationship Id="rId629" Type="http://schemas.openxmlformats.org/officeDocument/2006/relationships/hyperlink" Target="https://s3.console.aws.amazon.com/s3/buckets/prod-shaip-bucket?region=us-east-1&amp;prefix=bhasha/swar_new/20-08-2023/MH/Dhule/&amp;showversions=false" TargetMode="External"/><Relationship Id="rId624" Type="http://schemas.openxmlformats.org/officeDocument/2006/relationships/hyperlink" Target="https://s3.console.aws.amazon.com/s3/buckets/prod-shaip-bucket?region=us-east-1&amp;prefix=bhasha/swar_new/20-08-2023/KA/Mysore/&amp;showversions=false" TargetMode="External"/><Relationship Id="rId866" Type="http://schemas.openxmlformats.org/officeDocument/2006/relationships/hyperlink" Target="https://s3.console.aws.amazon.com/s3/buckets/prod-shaip-bucket?region=us-east-1&amp;prefix=bhasha/swar_new/redelivery-19-09-2023/KA/Shimoga/&amp;showversions=false" TargetMode="External"/><Relationship Id="rId623" Type="http://schemas.openxmlformats.org/officeDocument/2006/relationships/hyperlink" Target="https://s3.console.aws.amazon.com/s3/buckets/prod-shaip-bucket?region=us-east-1&amp;prefix=bhasha/swar_new/20-08-2023/KA/Gulbarga/&amp;showversions=false" TargetMode="External"/><Relationship Id="rId865" Type="http://schemas.openxmlformats.org/officeDocument/2006/relationships/hyperlink" Target="https://s3.console.aws.amazon.com/s3/buckets/prod-shaip-bucket?region=us-east-1&amp;prefix=bhasha/swar_new/redelivery-19-09-2023/KA/Raichur/&amp;showversions=false" TargetMode="External"/><Relationship Id="rId622" Type="http://schemas.openxmlformats.org/officeDocument/2006/relationships/hyperlink" Target="https://s3.console.aws.amazon.com/s3/buckets/prod-shaip-bucket?region=us-east-1&amp;prefix=bhasha/swar_new/20-08-2023/KA/Dharwad/&amp;showversions=false" TargetMode="External"/><Relationship Id="rId864" Type="http://schemas.openxmlformats.org/officeDocument/2006/relationships/hyperlink" Target="https://s3.console.aws.amazon.com/s3/buckets/prod-shaip-bucket?region=us-east-1&amp;prefix=bhasha/swar_new/redelivery-19-09-2023/KA/Mysore/&amp;showversions=false" TargetMode="External"/><Relationship Id="rId621" Type="http://schemas.openxmlformats.org/officeDocument/2006/relationships/hyperlink" Target="https://s3.console.aws.amazon.com/s3/buckets/prod-shaip-bucket?region=us-east-1&amp;prefix=bhasha/swar_new/20-08-2023/KA/DakshinKannada/&amp;showversions=false" TargetMode="External"/><Relationship Id="rId863" Type="http://schemas.openxmlformats.org/officeDocument/2006/relationships/hyperlink" Target="https://s3.console.aws.amazon.com/s3/buckets/prod-shaip-bucket?region=us-east-1&amp;prefix=bhasha/swar_new/redelivery-19-09-2023/KA/Gulbarga/&amp;showversions=false" TargetMode="External"/><Relationship Id="rId628" Type="http://schemas.openxmlformats.org/officeDocument/2006/relationships/hyperlink" Target="https://s3.console.aws.amazon.com/s3/buckets/prod-shaip-bucket?region=us-east-1&amp;prefix=bhasha/swar_new/20-08-2023/MH/Chandrapur/&amp;showversions=false" TargetMode="External"/><Relationship Id="rId627" Type="http://schemas.openxmlformats.org/officeDocument/2006/relationships/hyperlink" Target="https://s3.console.aws.amazon.com/s3/buckets/prod-shaip-bucket?region=us-east-1&amp;prefix=bhasha/swar_new/20-08-2023/MH/Aurangabad/&amp;showversions=false" TargetMode="External"/><Relationship Id="rId869" Type="http://schemas.openxmlformats.org/officeDocument/2006/relationships/hyperlink" Target="https://s3.console.aws.amazon.com/s3/buckets/prod-shaip-bucket?region=us-east-1&amp;prefix=bhasha/swar_new/redelivery-19-09-2023/MH/Dhule/&amp;showversions=false" TargetMode="External"/><Relationship Id="rId626" Type="http://schemas.openxmlformats.org/officeDocument/2006/relationships/hyperlink" Target="https://s3.console.aws.amazon.com/s3/buckets/prod-shaip-bucket?region=us-east-1&amp;prefix=bhasha/swar_new/20-08-2023/KA/Shimoga/&amp;showversions=false" TargetMode="External"/><Relationship Id="rId868" Type="http://schemas.openxmlformats.org/officeDocument/2006/relationships/hyperlink" Target="https://s3.console.aws.amazon.com/s3/buckets/prod-shaip-bucket?region=us-east-1&amp;prefix=bhasha/swar_new/redelivery-19-09-2023/MH/Chandrapur/&amp;showversions=false" TargetMode="External"/><Relationship Id="rId625" Type="http://schemas.openxmlformats.org/officeDocument/2006/relationships/hyperlink" Target="https://s3.console.aws.amazon.com/s3/buckets/prod-shaip-bucket?region=us-east-1&amp;prefix=bhasha/swar_new/20-08-2023/KA/Raichur/&amp;showversions=false" TargetMode="External"/><Relationship Id="rId867" Type="http://schemas.openxmlformats.org/officeDocument/2006/relationships/hyperlink" Target="https://s3.console.aws.amazon.com/s3/buckets/prod-shaip-bucket?region=us-east-1&amp;prefix=bhasha/swar_new/redelivery-19-09-2023/MH/Aurangabad/&amp;showversions=false" TargetMode="External"/><Relationship Id="rId620" Type="http://schemas.openxmlformats.org/officeDocument/2006/relationships/hyperlink" Target="https://s3.console.aws.amazon.com/s3/buckets/prod-shaip-bucket?region=us-east-1&amp;prefix=bhasha/swar_new/20-08-2023/KA/Chamrajnagar/&amp;showversions=false" TargetMode="External"/><Relationship Id="rId862" Type="http://schemas.openxmlformats.org/officeDocument/2006/relationships/hyperlink" Target="https://s3.console.aws.amazon.com/s3/buckets/prod-shaip-bucket?region=us-east-1&amp;prefix=bhasha/swar_new/redelivery-19-09-2023/KA/Dharwad/&amp;showversions=false" TargetMode="External"/><Relationship Id="rId861" Type="http://schemas.openxmlformats.org/officeDocument/2006/relationships/hyperlink" Target="https://s3.console.aws.amazon.com/s3/buckets/prod-shaip-bucket?region=us-east-1&amp;prefix=bhasha/swar_new/redelivery-19-09-2023/KA/DakshinKannada/&amp;showversions=false" TargetMode="External"/><Relationship Id="rId860" Type="http://schemas.openxmlformats.org/officeDocument/2006/relationships/hyperlink" Target="https://s3.console.aws.amazon.com/s3/buckets/prod-shaip-bucket?region=us-east-1&amp;prefix=bhasha/swar_new/redelivery-19-09-2023/KA/Chamrajnagar/&amp;showversions=false" TargetMode="External"/><Relationship Id="rId619" Type="http://schemas.openxmlformats.org/officeDocument/2006/relationships/hyperlink" Target="https://s3.console.aws.amazon.com/s3/buckets/prod-shaip-bucket?region=us-east-1&amp;prefix=bhasha/swar_new/20-08-2023/KA/Bijapur/&amp;showversions=false" TargetMode="External"/><Relationship Id="rId618" Type="http://schemas.openxmlformats.org/officeDocument/2006/relationships/hyperlink" Target="https://s3.console.aws.amazon.com/s3/buckets/prod-shaip-bucket?region=us-east-1&amp;prefix=bhasha/swar_new/20-08-2023/KA/Bellary/&amp;showversions=false" TargetMode="External"/><Relationship Id="rId613" Type="http://schemas.openxmlformats.org/officeDocument/2006/relationships/hyperlink" Target="https://s3.console.aws.amazon.com/s3/buckets/prod-shaip-bucket?region=us-east-1&amp;prefix=bhasha/swar_new/20-08-2023/CG/Sukma/&amp;showversions=false" TargetMode="External"/><Relationship Id="rId855" Type="http://schemas.openxmlformats.org/officeDocument/2006/relationships/hyperlink" Target="https://s3.console.aws.amazon.com/s3/buckets/prod-shaip-bucket?region=us-east-1&amp;prefix=bhasha/swar_new/redelivery-19-09-2023/JH/Jamtara/&amp;showversions=false" TargetMode="External"/><Relationship Id="rId612" Type="http://schemas.openxmlformats.org/officeDocument/2006/relationships/hyperlink" Target="https://s3.console.aws.amazon.com/s3/buckets/prod-shaip-bucket?region=us-east-1&amp;prefix=bhasha/swar_new/20-08-2023/CG/Sarguja/&amp;showversions=false" TargetMode="External"/><Relationship Id="rId854" Type="http://schemas.openxmlformats.org/officeDocument/2006/relationships/hyperlink" Target="https://s3.console.aws.amazon.com/s3/buckets/prod-shaip-bucket?region=us-east-1&amp;prefix=bhasha/swar_new/redelivery-19-09-2023/GA/NorthSouthGoa/&amp;showversions=false" TargetMode="External"/><Relationship Id="rId611" Type="http://schemas.openxmlformats.org/officeDocument/2006/relationships/hyperlink" Target="https://s3.console.aws.amazon.com/s3/buckets/prod-shaip-bucket?region=us-east-1&amp;prefix=bhasha/swar_new/20-08-2023/CG/Rajnandgaon/&amp;showversions=false" TargetMode="External"/><Relationship Id="rId853" Type="http://schemas.openxmlformats.org/officeDocument/2006/relationships/hyperlink" Target="https://s3.console.aws.amazon.com/s3/buckets/prod-shaip-bucket?region=us-east-1&amp;prefix=bhasha/swar_new/redelivery-19-09-2023/CG/Sukma/&amp;showversions=false" TargetMode="External"/><Relationship Id="rId610" Type="http://schemas.openxmlformats.org/officeDocument/2006/relationships/hyperlink" Target="https://s3.console.aws.amazon.com/s3/buckets/prod-shaip-bucket?region=us-east-1&amp;prefix=bhasha/swar_new/20-08-2023/CG/Raigarh/&amp;showversions=false" TargetMode="External"/><Relationship Id="rId852" Type="http://schemas.openxmlformats.org/officeDocument/2006/relationships/hyperlink" Target="https://s3.console.aws.amazon.com/s3/buckets/prod-shaip-bucket?region=us-east-1&amp;prefix=bhasha/swar_new/redelivery-19-09-2023/CG/Sarguja/&amp;showversions=false" TargetMode="External"/><Relationship Id="rId617" Type="http://schemas.openxmlformats.org/officeDocument/2006/relationships/hyperlink" Target="https://s3.console.aws.amazon.com/s3/buckets/prod-shaip-bucket?region=us-east-1&amp;prefix=bhasha/swar_new/20-08-2023/KA/Belgaum/&amp;showversions=false" TargetMode="External"/><Relationship Id="rId859" Type="http://schemas.openxmlformats.org/officeDocument/2006/relationships/hyperlink" Target="https://s3.console.aws.amazon.com/s3/buckets/prod-shaip-bucket?region=us-east-1&amp;prefix=bhasha/swar_new/redelivery-19-09-2023/KA/Bijapur/&amp;showversions=false" TargetMode="External"/><Relationship Id="rId616" Type="http://schemas.openxmlformats.org/officeDocument/2006/relationships/hyperlink" Target="https://s3.console.aws.amazon.com/s3/buckets/prod-shaip-bucket?region=us-east-1&amp;prefix=bhasha/swar_new/20-08-2023/JH/Sahebganj/&amp;showversions=false" TargetMode="External"/><Relationship Id="rId858" Type="http://schemas.openxmlformats.org/officeDocument/2006/relationships/hyperlink" Target="https://s3.console.aws.amazon.com/s3/buckets/prod-shaip-bucket?region=us-east-1&amp;prefix=bhasha/swar_new/redelivery-19-09-2023/KA/Bellary/&amp;showversions=false" TargetMode="External"/><Relationship Id="rId615" Type="http://schemas.openxmlformats.org/officeDocument/2006/relationships/hyperlink" Target="https://s3.console.aws.amazon.com/s3/buckets/prod-shaip-bucket?region=us-east-1&amp;prefix=bhasha/swar_new/20-08-2023/JH/Jamtara/&amp;showversions=false" TargetMode="External"/><Relationship Id="rId857" Type="http://schemas.openxmlformats.org/officeDocument/2006/relationships/hyperlink" Target="https://s3.console.aws.amazon.com/s3/buckets/prod-shaip-bucket?region=us-east-1&amp;prefix=bhasha/swar_new/redelivery-19-09-2023/KA/Belgaum/&amp;showversions=false" TargetMode="External"/><Relationship Id="rId614" Type="http://schemas.openxmlformats.org/officeDocument/2006/relationships/hyperlink" Target="https://s3.console.aws.amazon.com/s3/buckets/prod-shaip-bucket?region=us-east-1&amp;prefix=bhasha/swar_new/20-08-2023/GA/NorthSouthGoa/&amp;showversions=false" TargetMode="External"/><Relationship Id="rId856" Type="http://schemas.openxmlformats.org/officeDocument/2006/relationships/hyperlink" Target="https://s3.console.aws.amazon.com/s3/buckets/prod-shaip-bucket?region=us-east-1&amp;prefix=bhasha/swar_new/redelivery-19-09-2023/JH/Sahebganj/&amp;showversions=false" TargetMode="External"/><Relationship Id="rId851" Type="http://schemas.openxmlformats.org/officeDocument/2006/relationships/hyperlink" Target="https://s3.console.aws.amazon.com/s3/buckets/prod-shaip-bucket?region=us-east-1&amp;prefix=bhasha/swar_new/redelivery-19-09-2023/CG/Rajnandgaon/&amp;showversions=false" TargetMode="External"/><Relationship Id="rId850" Type="http://schemas.openxmlformats.org/officeDocument/2006/relationships/hyperlink" Target="https://s3.console.aws.amazon.com/s3/buckets/prod-shaip-bucket?region=us-east-1&amp;prefix=bhasha/swar_new/redelivery-19-09-2023/CG/Raigarh/&amp;showversions=false" TargetMode="External"/><Relationship Id="rId409" Type="http://schemas.openxmlformats.org/officeDocument/2006/relationships/hyperlink" Target="https://s3.console.aws.amazon.com/s3/buckets/prod-shaip-bucket?region=us-east-1&amp;prefix=bhasha/Swar/Uttarpradesh-Ghazipur/AUDIO/Batch6_d1_Uttarpradesh-Ghazipur_new_files_04172023_2h22m/&amp;showversions=false" TargetMode="External"/><Relationship Id="rId404" Type="http://schemas.openxmlformats.org/officeDocument/2006/relationships/hyperlink" Target="https://s3.console.aws.amazon.com/s3/buckets/prod-shaip-bucket?region=us-east-1&amp;prefix=bhasha/Swar/Uttarakhand-TehriGarhwal/AUDIO/Batch10_d1_Uttarakhand-TehriGarhwal_new_files_04172023_3h8m/&amp;showversions=false" TargetMode="External"/><Relationship Id="rId646" Type="http://schemas.openxmlformats.org/officeDocument/2006/relationships/hyperlink" Target="https://s3.console.aws.amazon.com/s3/buckets/prod-shaip-bucket?region=us-east-1&amp;prefix=bhasha/swar_new/20-08-2023/UP/Jalaun/&amp;showversions=false" TargetMode="External"/><Relationship Id="rId888" Type="http://schemas.openxmlformats.org/officeDocument/2006/relationships/hyperlink" Target="https://s3.console.aws.amazon.com/s3/buckets/prod-shaip-bucket?region=us-east-1&amp;prefix=bhasha/swar_new/redelivery-19-09-2023/UP/Muzzaffarnagar/&amp;showversions=false" TargetMode="External"/><Relationship Id="rId403" Type="http://schemas.openxmlformats.org/officeDocument/2006/relationships/hyperlink" Target="https://s3.console.aws.amazon.com/s3/buckets/prod-shaip-bucket?region=us-east-1&amp;prefix=bhasha/Swar/Telengana-Nalgonda/AUDIO/Batch3_d1_Telengana-Nalgonda_new_files_04172023_29h34m/&amp;showversions=false" TargetMode="External"/><Relationship Id="rId645" Type="http://schemas.openxmlformats.org/officeDocument/2006/relationships/hyperlink" Target="https://s3.console.aws.amazon.com/s3/buckets/prod-shaip-bucket?region=us-east-1&amp;prefix=bhasha/swar_new/20-08-2023/UP/Hamirpur/&amp;showversions=false" TargetMode="External"/><Relationship Id="rId887" Type="http://schemas.openxmlformats.org/officeDocument/2006/relationships/hyperlink" Target="https://s3.console.aws.amazon.com/s3/buckets/prod-shaip-bucket?region=us-east-1&amp;prefix=bhasha/swar_new/redelivery-19-09-2023/UP/JyotibaPhuleNagar/&amp;showversions=false" TargetMode="External"/><Relationship Id="rId402" Type="http://schemas.openxmlformats.org/officeDocument/2006/relationships/hyperlink" Target="https://s3.console.aws.amazon.com/s3/buckets/prod-shaip-bucket?region=us-east-1&amp;prefix=bhasha/Swar/Telengana-Karimnagar/AUDIO/Batch3_d1_Telengana-Karimnagar_new_files_04172023_30h46m/&amp;showversions=false" TargetMode="External"/><Relationship Id="rId644" Type="http://schemas.openxmlformats.org/officeDocument/2006/relationships/hyperlink" Target="https://s3.console.aws.amazon.com/s3/buckets/prod-shaip-bucket?region=us-east-1&amp;prefix=bhasha/swar_new/20-08-2023/UP/Gorakhpur/&amp;showversions=false" TargetMode="External"/><Relationship Id="rId886" Type="http://schemas.openxmlformats.org/officeDocument/2006/relationships/hyperlink" Target="https://s3.console.aws.amazon.com/s3/buckets/prod-shaip-bucket?region=us-east-1&amp;prefix=bhasha/swar_new/redelivery-19-09-2023/UP/Jalaun/&amp;showversions=false" TargetMode="External"/><Relationship Id="rId401" Type="http://schemas.openxmlformats.org/officeDocument/2006/relationships/hyperlink" Target="https://s3.console.aws.amazon.com/s3/buckets/prod-shaip-bucket?region=us-east-1&amp;prefix=bhasha/Swar/Rajasthan-Nagaur/AUDIO/Batch8_d1_Rajasthan-Nagaur_new_files_04172023_1h44m/&amp;showversions=false" TargetMode="External"/><Relationship Id="rId643" Type="http://schemas.openxmlformats.org/officeDocument/2006/relationships/hyperlink" Target="https://s3.console.aws.amazon.com/s3/buckets/prod-shaip-bucket?region=us-east-1&amp;prefix=bhasha/swar_new/20-08-2023/UP/Ghazipur/&amp;showversions=false" TargetMode="External"/><Relationship Id="rId885" Type="http://schemas.openxmlformats.org/officeDocument/2006/relationships/hyperlink" Target="https://s3.console.aws.amazon.com/s3/buckets/prod-shaip-bucket?region=us-east-1&amp;prefix=bhasha/swar_new/redelivery-19-09-2023/UP/Hamirpur/&amp;showversions=false" TargetMode="External"/><Relationship Id="rId408" Type="http://schemas.openxmlformats.org/officeDocument/2006/relationships/hyperlink" Target="https://s3.console.aws.amazon.com/s3/buckets/prod-shaip-bucket?region=us-east-1&amp;prefix=bhasha/Swar/Uttarpradesh-Etah/AUDIO/Batch7_d1_Uttarpradesh-Etah_new_files_04172023_1h22m/&amp;showversions=false" TargetMode="External"/><Relationship Id="rId407" Type="http://schemas.openxmlformats.org/officeDocument/2006/relationships/hyperlink" Target="https://s3.console.aws.amazon.com/s3/buckets/prod-shaip-bucket?region=us-east-1&amp;prefix=bhasha/Swar/Uttarpradesh-Deoria/AUDIO/Batch10_d1_Uttarpradesh-Deoria_new_files_04172023_2h3m/&amp;showversions=false" TargetMode="External"/><Relationship Id="rId649" Type="http://schemas.openxmlformats.org/officeDocument/2006/relationships/hyperlink" Target="https://s3.console.aws.amazon.com/s3/buckets/prod-shaip-bucket?region=us-east-1&amp;prefix=bhasha/swar_new/20-08-2023/UP/Varanasi/&amp;showversions=false" TargetMode="External"/><Relationship Id="rId406" Type="http://schemas.openxmlformats.org/officeDocument/2006/relationships/hyperlink" Target="https://s3.console.aws.amazon.com/s3/buckets/prod-shaip-bucket?region=us-east-1&amp;prefix=bhasha/Swar/Uttarpradesh-Budaun/AUDIO/Batch11_d1_Uttarpradesh-Budaun_new_files_04172023_2h34m/&amp;showversions=false" TargetMode="External"/><Relationship Id="rId648" Type="http://schemas.openxmlformats.org/officeDocument/2006/relationships/hyperlink" Target="https://s3.console.aws.amazon.com/s3/buckets/prod-shaip-bucket?region=us-east-1&amp;prefix=bhasha/swar_new/20-08-2023/UP/Muzzaffarnagar/&amp;showversions=false" TargetMode="External"/><Relationship Id="rId405" Type="http://schemas.openxmlformats.org/officeDocument/2006/relationships/hyperlink" Target="https://s3.console.aws.amazon.com/s3/buckets/prod-shaip-bucket?region=us-east-1&amp;prefix=bhasha/Swar/Uttarakhand-Uttarkashi/AUDIO/Batch7_d1_Uttarakhand-Uttarkashi_new_files_04172023_1h50m/&amp;showversions=false" TargetMode="External"/><Relationship Id="rId647" Type="http://schemas.openxmlformats.org/officeDocument/2006/relationships/hyperlink" Target="https://s3.console.aws.amazon.com/s3/buckets/prod-shaip-bucket?region=us-east-1&amp;prefix=bhasha/swar_new/20-08-2023/UP/JyotibaPhuleNagar/&amp;showversions=false" TargetMode="External"/><Relationship Id="rId889" Type="http://schemas.openxmlformats.org/officeDocument/2006/relationships/hyperlink" Target="https://s3.console.aws.amazon.com/s3/buckets/prod-shaip-bucket?region=us-east-1&amp;prefix=bhasha/swar_new/redelivery-19-09-2023/UP/Varanasi/&amp;showversions=false" TargetMode="External"/><Relationship Id="rId880" Type="http://schemas.openxmlformats.org/officeDocument/2006/relationships/hyperlink" Target="https://s3.console.aws.amazon.com/s3/buckets/prod-shaip-bucket?region=us-east-1&amp;prefix=bhasha/swar_new/redelivery-19-09-2023/UP/Budaun/&amp;showversions=false" TargetMode="External"/><Relationship Id="rId400" Type="http://schemas.openxmlformats.org/officeDocument/2006/relationships/hyperlink" Target="https://s3.console.aws.amazon.com/s3/buckets/prod-shaip-bucket?region=us-east-1&amp;prefix=bhasha/Swar/Rajasthan-Churu/AUDIO/Batch10_d1_Rajasthan-Churu_new_files_04172023_2h8m/&amp;showversions=false" TargetMode="External"/><Relationship Id="rId642" Type="http://schemas.openxmlformats.org/officeDocument/2006/relationships/hyperlink" Target="https://s3.console.aws.amazon.com/s3/buckets/prod-shaip-bucket?region=us-east-1&amp;prefix=bhasha/swar_new/20-08-2023/UP/Etah/&amp;showversions=false" TargetMode="External"/><Relationship Id="rId884" Type="http://schemas.openxmlformats.org/officeDocument/2006/relationships/hyperlink" Target="https://s3.console.aws.amazon.com/s3/buckets/prod-shaip-bucket?region=us-east-1&amp;prefix=bhasha/swar_new/redelivery-19-09-2023/UP/Gorakhpur/&amp;showversions=false" TargetMode="External"/><Relationship Id="rId641" Type="http://schemas.openxmlformats.org/officeDocument/2006/relationships/hyperlink" Target="https://s3.console.aws.amazon.com/s3/buckets/prod-shaip-bucket?region=us-east-1&amp;prefix=bhasha/swar_new/20-08-2023/UP/Deoria/&amp;showversions=false" TargetMode="External"/><Relationship Id="rId883" Type="http://schemas.openxmlformats.org/officeDocument/2006/relationships/hyperlink" Target="https://s3.console.aws.amazon.com/s3/buckets/prod-shaip-bucket?region=us-east-1&amp;prefix=bhasha/swar_new/redelivery-19-09-2023/UP/Ghazipur/&amp;showversions=false" TargetMode="External"/><Relationship Id="rId640" Type="http://schemas.openxmlformats.org/officeDocument/2006/relationships/hyperlink" Target="https://s3.console.aws.amazon.com/s3/buckets/prod-shaip-bucket?region=us-east-1&amp;prefix=bhasha/swar_new/20-08-2023/UP/Budaun/&amp;showversions=false" TargetMode="External"/><Relationship Id="rId882" Type="http://schemas.openxmlformats.org/officeDocument/2006/relationships/hyperlink" Target="https://s3.console.aws.amazon.com/s3/buckets/prod-shaip-bucket?region=us-east-1&amp;prefix=bhasha/swar_new/redelivery-19-09-2023/UP/Etah/&amp;showversions=false" TargetMode="External"/><Relationship Id="rId881" Type="http://schemas.openxmlformats.org/officeDocument/2006/relationships/hyperlink" Target="https://s3.console.aws.amazon.com/s3/buckets/prod-shaip-bucket?region=us-east-1&amp;prefix=bhasha/swar_new/redelivery-19-09-2023/UP/Deoria/&amp;showversions=false" TargetMode="External"/><Relationship Id="rId635" Type="http://schemas.openxmlformats.org/officeDocument/2006/relationships/hyperlink" Target="https://s3.console.aws.amazon.com/s3/buckets/prod-shaip-bucket?region=us-east-1&amp;prefix=bhasha/swar_new/20-08-2023/RJ/Nagaur/&amp;showversions=false" TargetMode="External"/><Relationship Id="rId877" Type="http://schemas.openxmlformats.org/officeDocument/2006/relationships/hyperlink" Target="https://s3.console.aws.amazon.com/s3/buckets/prod-shaip-bucket?region=us-east-1&amp;prefix=bhasha/swar_new/redelivery-19-09-2023/TS/Nalgonda/&amp;showversions=false" TargetMode="External"/><Relationship Id="rId634" Type="http://schemas.openxmlformats.org/officeDocument/2006/relationships/hyperlink" Target="https://s3.console.aws.amazon.com/s3/buckets/prod-shaip-bucket?region=us-east-1&amp;prefix=bhasha/swar_new/20-08-2023/RJ/Churu/&amp;showversions=false" TargetMode="External"/><Relationship Id="rId876" Type="http://schemas.openxmlformats.org/officeDocument/2006/relationships/hyperlink" Target="https://s3.console.aws.amazon.com/s3/buckets/prod-shaip-bucket?region=us-east-1&amp;prefix=bhasha/swar_new/redelivery-19-09-2023/TS/Karimnagar/&amp;showversions=false" TargetMode="External"/><Relationship Id="rId633" Type="http://schemas.openxmlformats.org/officeDocument/2006/relationships/hyperlink" Target="https://s3.console.aws.amazon.com/s3/buckets/prod-shaip-bucket?region=us-east-1&amp;prefix=bhasha/swar_new/20-08-2023/MH/Solapur/&amp;showversions=false" TargetMode="External"/><Relationship Id="rId875" Type="http://schemas.openxmlformats.org/officeDocument/2006/relationships/hyperlink" Target="https://s3.console.aws.amazon.com/s3/buckets/prod-shaip-bucket?region=us-east-1&amp;prefix=bhasha/swar_new/redelivery-19-09-2023/RJ/Nagaur/&amp;showversions=false" TargetMode="External"/><Relationship Id="rId632" Type="http://schemas.openxmlformats.org/officeDocument/2006/relationships/hyperlink" Target="https://s3.console.aws.amazon.com/s3/buckets/prod-shaip-bucket?region=us-east-1&amp;prefix=bhasha/swar_new/20-08-2023/MH/Sindhudurga/&amp;showversions=false" TargetMode="External"/><Relationship Id="rId874" Type="http://schemas.openxmlformats.org/officeDocument/2006/relationships/hyperlink" Target="https://s3.console.aws.amazon.com/s3/buckets/prod-shaip-bucket?region=us-east-1&amp;prefix=bhasha/swar_new/redelivery-19-09-2023/RJ/Churu/&amp;showversions=false" TargetMode="External"/><Relationship Id="rId639" Type="http://schemas.openxmlformats.org/officeDocument/2006/relationships/hyperlink" Target="https://s3.console.aws.amazon.com/s3/buckets/prod-shaip-bucket?region=us-east-1&amp;prefix=bhasha/swar_new/20-08-2023/UK/Uttarkashi/&amp;showversions=false" TargetMode="External"/><Relationship Id="rId638" Type="http://schemas.openxmlformats.org/officeDocument/2006/relationships/hyperlink" Target="https://s3.console.aws.amazon.com/s3/buckets/prod-shaip-bucket?region=us-east-1&amp;prefix=bhasha/swar_new/20-08-2023/UK/TehriGarhwal/&amp;showversions=false" TargetMode="External"/><Relationship Id="rId637" Type="http://schemas.openxmlformats.org/officeDocument/2006/relationships/hyperlink" Target="https://s3.console.aws.amazon.com/s3/buckets/prod-shaip-bucket?region=us-east-1&amp;prefix=bhasha/swar_new/20-08-2023/TS/Nalgonda/&amp;showversions=false" TargetMode="External"/><Relationship Id="rId879" Type="http://schemas.openxmlformats.org/officeDocument/2006/relationships/hyperlink" Target="https://s3.console.aws.amazon.com/s3/buckets/prod-shaip-bucket?region=us-east-1&amp;prefix=bhasha/swar_new/redelivery-19-09-2023/UK/Uttarkashi/&amp;showversions=false" TargetMode="External"/><Relationship Id="rId636" Type="http://schemas.openxmlformats.org/officeDocument/2006/relationships/hyperlink" Target="https://s3.console.aws.amazon.com/s3/buckets/prod-shaip-bucket?region=us-east-1&amp;prefix=bhasha/swar_new/20-08-2023/TS/Karimnagar/&amp;showversions=false" TargetMode="External"/><Relationship Id="rId878" Type="http://schemas.openxmlformats.org/officeDocument/2006/relationships/hyperlink" Target="https://s3.console.aws.amazon.com/s3/buckets/prod-shaip-bucket?region=us-east-1&amp;prefix=bhasha/swar_new/redelivery-19-09-2023/UK/TehriGarhwal/&amp;showversions=false" TargetMode="External"/><Relationship Id="rId631" Type="http://schemas.openxmlformats.org/officeDocument/2006/relationships/hyperlink" Target="https://s3.console.aws.amazon.com/s3/buckets/prod-shaip-bucket?region=us-east-1&amp;prefix=bhasha/swar_new/20-08-2023/MH/Pune/&amp;showversions=false" TargetMode="External"/><Relationship Id="rId873" Type="http://schemas.openxmlformats.org/officeDocument/2006/relationships/hyperlink" Target="https://s3.console.aws.amazon.com/s3/buckets/prod-shaip-bucket?region=us-east-1&amp;prefix=bhasha/swar_new/redelivery-19-09-2023/MH/Solapur/&amp;showversions=false" TargetMode="External"/><Relationship Id="rId630" Type="http://schemas.openxmlformats.org/officeDocument/2006/relationships/hyperlink" Target="https://s3.console.aws.amazon.com/s3/buckets/prod-shaip-bucket?region=us-east-1&amp;prefix=bhasha/swar_new/20-08-2023/MH/Nagpur/&amp;showversions=false" TargetMode="External"/><Relationship Id="rId872" Type="http://schemas.openxmlformats.org/officeDocument/2006/relationships/hyperlink" Target="https://s3.console.aws.amazon.com/s3/buckets/prod-shaip-bucket?region=us-east-1&amp;prefix=bhasha/swar_new/redelivery-19-09-2023/MH/Sindhudurga/&amp;showversions=false" TargetMode="External"/><Relationship Id="rId871" Type="http://schemas.openxmlformats.org/officeDocument/2006/relationships/hyperlink" Target="https://s3.console.aws.amazon.com/s3/buckets/prod-shaip-bucket?region=us-east-1&amp;prefix=bhasha/swar_new/redelivery-19-09-2023/MH/Pune/&amp;showversions=false" TargetMode="External"/><Relationship Id="rId870" Type="http://schemas.openxmlformats.org/officeDocument/2006/relationships/hyperlink" Target="https://s3.console.aws.amazon.com/s3/buckets/prod-shaip-bucket?region=us-east-1&amp;prefix=bhasha/swar_new/redelivery-19-09-2023/MH/Nagpur/&amp;showversions=false" TargetMode="External"/><Relationship Id="rId829" Type="http://schemas.openxmlformats.org/officeDocument/2006/relationships/hyperlink" Target="https://s3.console.aws.amazon.com/s3/buckets/prod-shaip-bucket?region=us-east-1&amp;prefix=bhasha/swar_new/redelivery-19-09-2023/BR/Gaya/&amp;showversions=false" TargetMode="External"/><Relationship Id="rId828" Type="http://schemas.openxmlformats.org/officeDocument/2006/relationships/hyperlink" Target="https://s3.console.aws.amazon.com/s3/buckets/prod-shaip-bucket?region=us-east-1&amp;prefix=bhasha/swar_new/redelivery-19-09-2023/BR/EastChamparan/&amp;showversions=false" TargetMode="External"/><Relationship Id="rId827" Type="http://schemas.openxmlformats.org/officeDocument/2006/relationships/hyperlink" Target="https://s3.console.aws.amazon.com/s3/buckets/prod-shaip-bucket?region=us-east-1&amp;prefix=bhasha/swar_new/redelivery-19-09-2023/BR/Darbhanga/&amp;showversions=false" TargetMode="External"/><Relationship Id="rId822" Type="http://schemas.openxmlformats.org/officeDocument/2006/relationships/hyperlink" Target="https://s3.console.aws.amazon.com/s3/buckets/prod-shaip-bucket?region=us-east-1&amp;prefix=bhasha/swar_new/redelivery-19-09-2023/AP/Srikakulam/&amp;showversions=false" TargetMode="External"/><Relationship Id="rId821" Type="http://schemas.openxmlformats.org/officeDocument/2006/relationships/hyperlink" Target="https://s3.console.aws.amazon.com/s3/buckets/prod-shaip-bucket?region=us-east-1&amp;prefix=bhasha/swar_new/redelivery-19-09-2023/AP/Krishna/&amp;showversions=false" TargetMode="External"/><Relationship Id="rId820" Type="http://schemas.openxmlformats.org/officeDocument/2006/relationships/hyperlink" Target="https://s3.console.aws.amazon.com/s3/buckets/prod-shaip-bucket?region=us-east-1&amp;prefix=bhasha/swar_new/redelivery-19-09-2023/AP/Guntur/&amp;showversions=false" TargetMode="External"/><Relationship Id="rId826" Type="http://schemas.openxmlformats.org/officeDocument/2006/relationships/hyperlink" Target="https://s3.console.aws.amazon.com/s3/buckets/prod-shaip-bucket?region=us-east-1&amp;prefix=bhasha/swar_new/redelivery-19-09-2023/BR/Bhagalpur/&amp;showversions=false" TargetMode="External"/><Relationship Id="rId825" Type="http://schemas.openxmlformats.org/officeDocument/2006/relationships/hyperlink" Target="https://s3.console.aws.amazon.com/s3/buckets/prod-shaip-bucket?region=us-east-1&amp;prefix=bhasha/swar_new/redelivery-19-09-2023/BR/Begusarai/&amp;showversions=false" TargetMode="External"/><Relationship Id="rId824" Type="http://schemas.openxmlformats.org/officeDocument/2006/relationships/hyperlink" Target="https://s3.console.aws.amazon.com/s3/buckets/prod-shaip-bucket?region=us-east-1&amp;prefix=bhasha/swar_new/redelivery-19-09-2023/BR/Araria/&amp;showversions=false" TargetMode="External"/><Relationship Id="rId823" Type="http://schemas.openxmlformats.org/officeDocument/2006/relationships/hyperlink" Target="https://s3.console.aws.amazon.com/s3/buckets/prod-shaip-bucket?region=us-east-1&amp;prefix=bhasha/swar_new/redelivery-19-09-2023/AP/Vishakapattanam/&amp;showversions=false" TargetMode="External"/><Relationship Id="rId819" Type="http://schemas.openxmlformats.org/officeDocument/2006/relationships/hyperlink" Target="https://s3.console.aws.amazon.com/s3/buckets/prod-shaip-bucket?region=us-east-1&amp;prefix=bhasha/swar_new/redelivery-19-09-2023/AP/Chittoor/&amp;showversions=false" TargetMode="External"/><Relationship Id="rId818" Type="http://schemas.openxmlformats.org/officeDocument/2006/relationships/hyperlink" Target="https://s3.console.aws.amazon.com/s3/buckets/prod-shaip-bucket?region=us-east-1&amp;prefix=bhasha/swar_new/redelivery-19-09-2023/AP/Anantpur/&amp;showversions=false" TargetMode="External"/><Relationship Id="rId817" Type="http://schemas.openxmlformats.org/officeDocument/2006/relationships/hyperlink" Target="https://s3.console.aws.amazon.com/s3/buckets/prod-shaip-bucket?region=us-east-1&amp;prefix=bhasha/swar_new/14-09-2023/WB/Purulia/&amp;showversions=false" TargetMode="External"/><Relationship Id="rId816" Type="http://schemas.openxmlformats.org/officeDocument/2006/relationships/hyperlink" Target="https://s3.console.aws.amazon.com/s3/buckets/prod-shaip-bucket?region=us-east-1&amp;prefix=bhasha/swar_new/14-09-2023/WB/PaschimMedinipur/&amp;showversions=false" TargetMode="External"/><Relationship Id="rId811" Type="http://schemas.openxmlformats.org/officeDocument/2006/relationships/hyperlink" Target="https://s3.console.aws.amazon.com/s3/buckets/prod-shaip-bucket?region=us-east-1&amp;prefix=bhasha/swar_new/14-09-2023/WB/Jalpaiguri/&amp;showversions=false" TargetMode="External"/><Relationship Id="rId810" Type="http://schemas.openxmlformats.org/officeDocument/2006/relationships/hyperlink" Target="https://s3.console.aws.amazon.com/s3/buckets/prod-shaip-bucket?region=us-east-1&amp;prefix=bhasha/swar_new/14-09-2023/WB/DakshinDinajpur/&amp;showversions=false" TargetMode="External"/><Relationship Id="rId815" Type="http://schemas.openxmlformats.org/officeDocument/2006/relationships/hyperlink" Target="https://s3.console.aws.amazon.com/s3/buckets/prod-shaip-bucket?region=us-east-1&amp;prefix=bhasha/swar_new/14-09-2023/WB/North24Parganas/&amp;showversions=false" TargetMode="External"/><Relationship Id="rId814" Type="http://schemas.openxmlformats.org/officeDocument/2006/relationships/hyperlink" Target="https://s3.console.aws.amazon.com/s3/buckets/prod-shaip-bucket?region=us-east-1&amp;prefix=bhasha/swar_new/14-09-2023/WB/Malda/&amp;showversions=false" TargetMode="External"/><Relationship Id="rId813" Type="http://schemas.openxmlformats.org/officeDocument/2006/relationships/hyperlink" Target="https://s3.console.aws.amazon.com/s3/buckets/prod-shaip-bucket?region=us-east-1&amp;prefix=bhasha/swar_new/14-09-2023/WB/Kolkata/&amp;showversions=false" TargetMode="External"/><Relationship Id="rId812" Type="http://schemas.openxmlformats.org/officeDocument/2006/relationships/hyperlink" Target="https://s3.console.aws.amazon.com/s3/buckets/prod-shaip-bucket?region=us-east-1&amp;prefix=bhasha/swar_new/14-09-2023/WB/Jhargram/&amp;showversions=false" TargetMode="External"/><Relationship Id="rId609" Type="http://schemas.openxmlformats.org/officeDocument/2006/relationships/hyperlink" Target="https://s3.console.aws.amazon.com/s3/buckets/prod-shaip-bucket?region=us-east-1&amp;prefix=bhasha/swar_new/20-08-2023/CG/Korba/&amp;showversions=false" TargetMode="External"/><Relationship Id="rId608" Type="http://schemas.openxmlformats.org/officeDocument/2006/relationships/hyperlink" Target="https://s3.console.aws.amazon.com/s3/buckets/prod-shaip-bucket?region=us-east-1&amp;prefix=bhasha/swar_new/20-08-2023/CG/Kabirdham/&amp;showversions=false" TargetMode="External"/><Relationship Id="rId607" Type="http://schemas.openxmlformats.org/officeDocument/2006/relationships/hyperlink" Target="https://s3.console.aws.amazon.com/s3/buckets/prod-shaip-bucket?region=us-east-1&amp;prefix=bhasha/swar_new/20-08-2023/CG/Jashpur/&amp;showversions=false" TargetMode="External"/><Relationship Id="rId849" Type="http://schemas.openxmlformats.org/officeDocument/2006/relationships/hyperlink" Target="https://s3.console.aws.amazon.com/s3/buckets/prod-shaip-bucket?region=us-east-1&amp;prefix=bhasha/swar_new/redelivery-19-09-2023/CG/Korba/&amp;showversions=false" TargetMode="External"/><Relationship Id="rId602" Type="http://schemas.openxmlformats.org/officeDocument/2006/relationships/hyperlink" Target="https://s3.console.aws.amazon.com/s3/buckets/prod-shaip-bucket?region=us-east-1&amp;prefix=bhasha/swar_new/20-08-2023/BR/Supaul/&amp;showversions=false" TargetMode="External"/><Relationship Id="rId844" Type="http://schemas.openxmlformats.org/officeDocument/2006/relationships/hyperlink" Target="https://s3.console.aws.amazon.com/s3/buckets/prod-shaip-bucket?region=us-east-1&amp;prefix=bhasha/swar_new/redelivery-19-09-2023/CG/Balrampur/&amp;showversions=false" TargetMode="External"/><Relationship Id="rId601" Type="http://schemas.openxmlformats.org/officeDocument/2006/relationships/hyperlink" Target="https://s3.console.aws.amazon.com/s3/buckets/prod-shaip-bucket?region=us-east-1&amp;prefix=bhasha/swar_new/20-08-2023/BR/Sitamarhi/&amp;showversions=false" TargetMode="External"/><Relationship Id="rId843" Type="http://schemas.openxmlformats.org/officeDocument/2006/relationships/hyperlink" Target="https://s3.console.aws.amazon.com/s3/buckets/prod-shaip-bucket?region=us-east-1&amp;prefix=bhasha/swar_new/redelivery-19-09-2023/BR/Vaishali/&amp;showversions=false" TargetMode="External"/><Relationship Id="rId600" Type="http://schemas.openxmlformats.org/officeDocument/2006/relationships/hyperlink" Target="https://s3.console.aws.amazon.com/s3/buckets/prod-shaip-bucket?region=us-east-1&amp;prefix=bhasha/swar_new/20-08-2023/BR/Saran/&amp;showversions=false" TargetMode="External"/><Relationship Id="rId842" Type="http://schemas.openxmlformats.org/officeDocument/2006/relationships/hyperlink" Target="https://s3.console.aws.amazon.com/s3/buckets/prod-shaip-bucket?region=us-east-1&amp;prefix=bhasha/swar_new/redelivery-19-09-2023/BR/Supaul/&amp;showversions=false" TargetMode="External"/><Relationship Id="rId841" Type="http://schemas.openxmlformats.org/officeDocument/2006/relationships/hyperlink" Target="https://s3.console.aws.amazon.com/s3/buckets/prod-shaip-bucket?region=us-east-1&amp;prefix=bhasha/swar_new/redelivery-19-09-2023/BR/Sitamarhi/&amp;showversions=false" TargetMode="External"/><Relationship Id="rId606" Type="http://schemas.openxmlformats.org/officeDocument/2006/relationships/hyperlink" Target="https://s3.console.aws.amazon.com/s3/buckets/prod-shaip-bucket?region=us-east-1&amp;prefix=bhasha/swar_new/20-08-2023/CG/Bilaspur/&amp;showversions=false" TargetMode="External"/><Relationship Id="rId848" Type="http://schemas.openxmlformats.org/officeDocument/2006/relationships/hyperlink" Target="https://s3.console.aws.amazon.com/s3/buckets/prod-shaip-bucket?region=us-east-1&amp;prefix=bhasha/swar_new/redelivery-19-09-2023/CG/Kabirdham/&amp;showversions=false" TargetMode="External"/><Relationship Id="rId605" Type="http://schemas.openxmlformats.org/officeDocument/2006/relationships/hyperlink" Target="https://s3.console.aws.amazon.com/s3/buckets/prod-shaip-bucket?region=us-east-1&amp;prefix=bhasha/swar_new/20-08-2023/CG/Bastar/&amp;showversions=false" TargetMode="External"/><Relationship Id="rId847" Type="http://schemas.openxmlformats.org/officeDocument/2006/relationships/hyperlink" Target="https://s3.console.aws.amazon.com/s3/buckets/prod-shaip-bucket?region=us-east-1&amp;prefix=bhasha/swar_new/redelivery-19-09-2023/CG/Jashpur/&amp;showversions=false" TargetMode="External"/><Relationship Id="rId604" Type="http://schemas.openxmlformats.org/officeDocument/2006/relationships/hyperlink" Target="https://s3.console.aws.amazon.com/s3/buckets/prod-shaip-bucket?region=us-east-1&amp;prefix=bhasha/swar_new/20-08-2023/CG/Balrampur/&amp;showversions=false" TargetMode="External"/><Relationship Id="rId846" Type="http://schemas.openxmlformats.org/officeDocument/2006/relationships/hyperlink" Target="https://s3.console.aws.amazon.com/s3/buckets/prod-shaip-bucket?region=us-east-1&amp;prefix=bhasha/swar_new/redelivery-19-09-2023/CG/Bilaspur/&amp;showversions=false" TargetMode="External"/><Relationship Id="rId603" Type="http://schemas.openxmlformats.org/officeDocument/2006/relationships/hyperlink" Target="https://s3.console.aws.amazon.com/s3/buckets/prod-shaip-bucket?region=us-east-1&amp;prefix=bhasha/swar_new/20-08-2023/BR/Vaishali/&amp;showversions=false" TargetMode="External"/><Relationship Id="rId845" Type="http://schemas.openxmlformats.org/officeDocument/2006/relationships/hyperlink" Target="https://s3.console.aws.amazon.com/s3/buckets/prod-shaip-bucket?region=us-east-1&amp;prefix=bhasha/swar_new/redelivery-19-09-2023/CG/Bastar/&amp;showversions=false" TargetMode="External"/><Relationship Id="rId840" Type="http://schemas.openxmlformats.org/officeDocument/2006/relationships/hyperlink" Target="https://s3.console.aws.amazon.com/s3/buckets/prod-shaip-bucket?region=us-east-1&amp;prefix=bhasha/swar_new/redelivery-19-09-2023/BR/Saran/&amp;showversions=false" TargetMode="External"/><Relationship Id="rId839" Type="http://schemas.openxmlformats.org/officeDocument/2006/relationships/hyperlink" Target="https://s3.console.aws.amazon.com/s3/buckets/prod-shaip-bucket?region=us-east-1&amp;prefix=bhasha/swar_new/redelivery-19-09-2023/BR/Samastipur/&amp;showversions=false" TargetMode="External"/><Relationship Id="rId838" Type="http://schemas.openxmlformats.org/officeDocument/2006/relationships/hyperlink" Target="https://s3.console.aws.amazon.com/s3/buckets/prod-shaip-bucket?region=us-east-1&amp;prefix=bhasha/swar_new/redelivery-19-09-2023/BR/Saharsa/&amp;showversions=false" TargetMode="External"/><Relationship Id="rId833" Type="http://schemas.openxmlformats.org/officeDocument/2006/relationships/hyperlink" Target="https://s3.console.aws.amazon.com/s3/buckets/prod-shaip-bucket?region=us-east-1&amp;prefix=bhasha/swar_new/redelivery-19-09-2023/BR/Kishanganj/&amp;showversions=false" TargetMode="External"/><Relationship Id="rId832" Type="http://schemas.openxmlformats.org/officeDocument/2006/relationships/hyperlink" Target="https://s3.console.aws.amazon.com/s3/buckets/prod-shaip-bucket?region=us-east-1&amp;prefix=bhasha/swar_new/redelivery-19-09-2023/BR/Jamui/&amp;showversions=false" TargetMode="External"/><Relationship Id="rId831" Type="http://schemas.openxmlformats.org/officeDocument/2006/relationships/hyperlink" Target="https://s3.console.aws.amazon.com/s3/buckets/prod-shaip-bucket?region=us-east-1&amp;prefix=bhasha/swar_new/redelivery-19-09-2023/BR/Jahanabad/&amp;showversions=false" TargetMode="External"/><Relationship Id="rId830" Type="http://schemas.openxmlformats.org/officeDocument/2006/relationships/hyperlink" Target="https://s3.console.aws.amazon.com/s3/buckets/prod-shaip-bucket?region=us-east-1&amp;prefix=bhasha/swar_new/redelivery-19-09-2023/BR/Gopalganj/&amp;showversions=false" TargetMode="External"/><Relationship Id="rId837" Type="http://schemas.openxmlformats.org/officeDocument/2006/relationships/hyperlink" Target="https://s3.console.aws.amazon.com/s3/buckets/prod-shaip-bucket?region=us-east-1&amp;prefix=bhasha/swar_new/redelivery-19-09-2023/BR/Purnia/&amp;showversions=false" TargetMode="External"/><Relationship Id="rId836" Type="http://schemas.openxmlformats.org/officeDocument/2006/relationships/hyperlink" Target="https://s3.console.aws.amazon.com/s3/buckets/prod-shaip-bucket?region=us-east-1&amp;prefix=bhasha/swar_new/redelivery-19-09-2023/BR/Muzaffarpur/&amp;showversions=false" TargetMode="External"/><Relationship Id="rId835" Type="http://schemas.openxmlformats.org/officeDocument/2006/relationships/hyperlink" Target="https://s3.console.aws.amazon.com/s3/buckets/prod-shaip-bucket?region=us-east-1&amp;prefix=bhasha/swar_new/redelivery-19-09-2023/BR/Madhepura/&amp;showversions=false" TargetMode="External"/><Relationship Id="rId834" Type="http://schemas.openxmlformats.org/officeDocument/2006/relationships/hyperlink" Target="https://s3.console.aws.amazon.com/s3/buckets/prod-shaip-bucket?region=us-east-1&amp;prefix=bhasha/swar_new/redelivery-19-09-2023/BR/Lakhisarai/&amp;showversions=false" TargetMode="External"/><Relationship Id="rId228" Type="http://schemas.openxmlformats.org/officeDocument/2006/relationships/hyperlink" Target="https://s3.console.aws.amazon.com/s3/buckets/prod-shaip-bucket?region=us-east-1&amp;prefix=bhasha/Swar/Karnataka-Gulbarga/AUDIO/Batch2_d1_Karnataka-Gulbarga_new_files_03112023_57m/&amp;showversions=false" TargetMode="External"/><Relationship Id="rId227" Type="http://schemas.openxmlformats.org/officeDocument/2006/relationships/hyperlink" Target="https://s3.console.aws.amazon.com/s3/buckets/prod-shaip-bucket?region=us-east-1&amp;prefix=bhasha/Swar/Karnataka-DakshinKannada/AUDIO/Batch2_d1_Karnataka-DakshinKannada_new_files_03112023_6h51m/&amp;showversions=false" TargetMode="External"/><Relationship Id="rId469" Type="http://schemas.openxmlformats.org/officeDocument/2006/relationships/hyperlink" Target="https://s3.console.aws.amazon.com/s3/buckets/prod-shaip-bucket?region=us-east-1&amp;prefix=bhasha/swar_new/03-05-2023/KA/Gulbarga/&amp;showversions=false" TargetMode="External"/><Relationship Id="rId226" Type="http://schemas.openxmlformats.org/officeDocument/2006/relationships/hyperlink" Target="https://s3.console.aws.amazon.com/s3/buckets/prod-shaip-bucket?region=us-east-1&amp;prefix=bhasha/Swar/Karnataka-Chamrajnagar/AUDIO/Batch2_d1_Karnataka-Chamrajnagar_new_files_03112023_6h10m/&amp;showversions=false" TargetMode="External"/><Relationship Id="rId468" Type="http://schemas.openxmlformats.org/officeDocument/2006/relationships/hyperlink" Target="https://s3.console.aws.amazon.com/s3/buckets/prod-shaip-bucket?region=us-east-1&amp;prefix=bhasha/swar_new/03-05-2023/KA/Dharwad/&amp;showversions=false" TargetMode="External"/><Relationship Id="rId225" Type="http://schemas.openxmlformats.org/officeDocument/2006/relationships/hyperlink" Target="https://s3.console.aws.amazon.com/s3/buckets/prod-shaip-bucket?region=us-east-1&amp;prefix=bhasha/Swar/Karnataka-Bijapur/AUDIO/Batch2_d1_Karnataka-Bijapur_new_files_03112023_3h15m/&amp;showversions=false" TargetMode="External"/><Relationship Id="rId467" Type="http://schemas.openxmlformats.org/officeDocument/2006/relationships/hyperlink" Target="https://s3.console.aws.amazon.com/s3/buckets/prod-shaip-bucket?region=us-east-1&amp;prefix=bhasha/swar_new/03-05-2023/KA/DakshinKannada/&amp;showversions=false" TargetMode="External"/><Relationship Id="rId229" Type="http://schemas.openxmlformats.org/officeDocument/2006/relationships/hyperlink" Target="https://s3.console.aws.amazon.com/s3/buckets/prod-shaip-bucket?region=us-east-1&amp;prefix=bhasha/Swar/Karnataka-Raichur/AUDIO/Batch2_d1_Karnataka-Raichur_new_files_03112023_11h35m/&amp;showversions=false" TargetMode="External"/><Relationship Id="rId1050" Type="http://schemas.openxmlformats.org/officeDocument/2006/relationships/hyperlink" Target="https://s3.console.aws.amazon.com/s3/buckets/prod-shaip-bucket?region=us-east-1&amp;prefix=bhasha/swar_new/17-10-2023/WB/DakshinDinajpur/&amp;showversions=false" TargetMode="External"/><Relationship Id="rId220" Type="http://schemas.openxmlformats.org/officeDocument/2006/relationships/hyperlink" Target="https://s3.console.aws.amazon.com/s3/buckets/prod-shaip-bucket?region=us-east-1&amp;prefix=bhasha/Swar/Goa-NorthSouthGoa/AUDIO/Batch2_d1_Goa-NorthSouthGoa_new_files_03102023_2h34m/&amp;showversions=false" TargetMode="External"/><Relationship Id="rId462" Type="http://schemas.openxmlformats.org/officeDocument/2006/relationships/hyperlink" Target="https://s3.console.aws.amazon.com/s3/buckets/prod-shaip-bucket?region=us-east-1&amp;prefix=bhasha/swar_new/03-05-2023/JH/Sahebganj/&amp;showversions=false" TargetMode="External"/><Relationship Id="rId1051" Type="http://schemas.openxmlformats.org/officeDocument/2006/relationships/hyperlink" Target="https://s3.console.aws.amazon.com/s3/buckets/prod-shaip-bucket?region=us-east-1&amp;prefix=bhasha/swar_new/17-10-2023/WB/Jalpaiguri/&amp;showversions=false" TargetMode="External"/><Relationship Id="rId461" Type="http://schemas.openxmlformats.org/officeDocument/2006/relationships/hyperlink" Target="https://s3.console.aws.amazon.com/s3/buckets/prod-shaip-bucket?region=us-east-1&amp;prefix=bhasha/swar_new/03-05-2023/JH/Jamtara/&amp;showversions=false" TargetMode="External"/><Relationship Id="rId1052" Type="http://schemas.openxmlformats.org/officeDocument/2006/relationships/hyperlink" Target="https://s3.console.aws.amazon.com/s3/buckets/prod-shaip-bucket?region=us-east-1&amp;prefix=bhasha/swar_new/17-10-2023/WB/Jhargram/&amp;showversions=false" TargetMode="External"/><Relationship Id="rId460" Type="http://schemas.openxmlformats.org/officeDocument/2006/relationships/hyperlink" Target="https://s3.console.aws.amazon.com/s3/buckets/prod-shaip-bucket?region=us-east-1&amp;prefix=bhasha/swar_new/03-05-2023/GA/NorthSouthGoa/&amp;showversions=false" TargetMode="External"/><Relationship Id="rId1053" Type="http://schemas.openxmlformats.org/officeDocument/2006/relationships/hyperlink" Target="https://s3.console.aws.amazon.com/s3/buckets/prod-shaip-bucket?region=us-east-1&amp;prefix=bhasha/swar_new/17-10-2023/WB/Kolkata/&amp;showversions=false" TargetMode="External"/><Relationship Id="rId1054" Type="http://schemas.openxmlformats.org/officeDocument/2006/relationships/hyperlink" Target="https://s3.console.aws.amazon.com/s3/buckets/prod-shaip-bucket?region=us-east-1&amp;prefix=bhasha/swar_new/17-10-2023/WB/Malda/&amp;showversions=false" TargetMode="External"/><Relationship Id="rId224" Type="http://schemas.openxmlformats.org/officeDocument/2006/relationships/hyperlink" Target="https://s3.console.aws.amazon.com/s3/buckets/prod-shaip-bucket?region=us-east-1&amp;prefix=bhasha/Swar/Karnataka-Bellary/AUDIO/Batch2_d1_Karnataka-Bellary_new_files_03112023_6h30m/&amp;showversions=false" TargetMode="External"/><Relationship Id="rId466" Type="http://schemas.openxmlformats.org/officeDocument/2006/relationships/hyperlink" Target="https://s3.console.aws.amazon.com/s3/buckets/prod-shaip-bucket?region=us-east-1&amp;prefix=bhasha/swar_new/03-05-2023/KA/Chamrajnagar/&amp;showversions=false" TargetMode="External"/><Relationship Id="rId1055" Type="http://schemas.openxmlformats.org/officeDocument/2006/relationships/hyperlink" Target="https://s3.console.aws.amazon.com/s3/buckets/prod-shaip-bucket?region=us-east-1&amp;prefix=bhasha/swar_new/17-10-2023/WB/North24Parganas/&amp;showversions=false" TargetMode="External"/><Relationship Id="rId223" Type="http://schemas.openxmlformats.org/officeDocument/2006/relationships/hyperlink" Target="https://s3.console.aws.amazon.com/s3/buckets/prod-shaip-bucket?region=us-east-1&amp;prefix=bhasha/Swar/Karnataka-Belgaum/AUDIO/Batch1_d1_Karnataka-Belgaum_new_files_03112023_2h37m/&amp;showversions=false" TargetMode="External"/><Relationship Id="rId465" Type="http://schemas.openxmlformats.org/officeDocument/2006/relationships/hyperlink" Target="https://s3.console.aws.amazon.com/s3/buckets/prod-shaip-bucket?region=us-east-1&amp;prefix=bhasha/swar_new/03-05-2023/KA/Bijapur/&amp;showversions=false" TargetMode="External"/><Relationship Id="rId1056" Type="http://schemas.openxmlformats.org/officeDocument/2006/relationships/hyperlink" Target="https://s3.console.aws.amazon.com/s3/buckets/prod-shaip-bucket?region=us-east-1&amp;prefix=bhasha/swar_new/17-10-2023/WB/PaschimMedinipur/&amp;showversions=false" TargetMode="External"/><Relationship Id="rId222" Type="http://schemas.openxmlformats.org/officeDocument/2006/relationships/hyperlink" Target="https://s3.console.aws.amazon.com/s3/buckets/prod-shaip-bucket?region=us-east-1&amp;prefix=bhasha/Swar/Jharkhand-Jamtara/AUDIO/Batch2_d1_Jharkhand-Jamtara_new_files_03102023_5h15m/&amp;showversions=false" TargetMode="External"/><Relationship Id="rId464" Type="http://schemas.openxmlformats.org/officeDocument/2006/relationships/hyperlink" Target="https://s3.console.aws.amazon.com/s3/buckets/prod-shaip-bucket?region=us-east-1&amp;prefix=bhasha/swar_new/03-05-2023/KA/Bellary/&amp;showversions=false" TargetMode="External"/><Relationship Id="rId1057" Type="http://schemas.openxmlformats.org/officeDocument/2006/relationships/hyperlink" Target="https://s3.console.aws.amazon.com/s3/buckets/prod-shaip-bucket?region=us-east-1&amp;prefix=bhasha/swar_new/17-10-2023/WB/Purulia/&amp;showversions=false" TargetMode="External"/><Relationship Id="rId221" Type="http://schemas.openxmlformats.org/officeDocument/2006/relationships/hyperlink" Target="https://s3.console.aws.amazon.com/s3/buckets/prod-shaip-bucket?region=us-east-1&amp;prefix=bhasha/Swar/Jharkhand-Sahebganj/AUDIO/Batch1_d1_Jharkhand-Sahebganj_new_files_03112023_7h10m/&amp;showversions=false" TargetMode="External"/><Relationship Id="rId463" Type="http://schemas.openxmlformats.org/officeDocument/2006/relationships/hyperlink" Target="https://s3.console.aws.amazon.com/s3/buckets/prod-shaip-bucket?region=us-east-1&amp;prefix=bhasha/swar_new/03-05-2023/KA/Belgaum/&amp;showversions=false" TargetMode="External"/><Relationship Id="rId1058" Type="http://schemas.openxmlformats.org/officeDocument/2006/relationships/drawing" Target="../drawings/drawing14.xml"/><Relationship Id="rId1048" Type="http://schemas.openxmlformats.org/officeDocument/2006/relationships/hyperlink" Target="https://s3.console.aws.amazon.com/s3/buckets/prod-shaip-bucket?region=us-east-1&amp;prefix=bhasha/swar_new/17-10-2023/UP/Muzzaffarnagar/&amp;showversions=false" TargetMode="External"/><Relationship Id="rId1049" Type="http://schemas.openxmlformats.org/officeDocument/2006/relationships/hyperlink" Target="https://s3.console.aws.amazon.com/s3/buckets/prod-shaip-bucket?region=us-east-1&amp;prefix=bhasha/swar_new/17-10-2023/UP/Varanasi/&amp;showversions=false" TargetMode="External"/><Relationship Id="rId217" Type="http://schemas.openxmlformats.org/officeDocument/2006/relationships/hyperlink" Target="https://s3.console.aws.amazon.com/s3/buckets/prod-shaip-bucket?region=us-east-1&amp;prefix=bhasha/Swar/Chhattisgarh-Sarguja/AUDIO/Batch4_d1_Chhattisgarh-Sarguja_new_files_03102023_7h49m/&amp;showversions=false" TargetMode="External"/><Relationship Id="rId459" Type="http://schemas.openxmlformats.org/officeDocument/2006/relationships/hyperlink" Target="https://s3.console.aws.amazon.com/s3/buckets/prod-shaip-bucket?region=us-east-1&amp;prefix=bhasha/swar_new/03-05-2023/CG/Sukma/&amp;showversions=false" TargetMode="External"/><Relationship Id="rId216" Type="http://schemas.openxmlformats.org/officeDocument/2006/relationships/hyperlink" Target="https://s3.console.aws.amazon.com/s3/buckets/prod-shaip-bucket?region=us-east-1&amp;prefix=bhasha/Swar/Chhattisgarh-Jashpur/AUDIO/Batch4_d1_Chhattisgarh-Jashpur_new_files_03112023_5h3m/&amp;showversions=false" TargetMode="External"/><Relationship Id="rId458" Type="http://schemas.openxmlformats.org/officeDocument/2006/relationships/hyperlink" Target="https://s3.console.aws.amazon.com/s3/buckets/prod-shaip-bucket?region=us-east-1&amp;prefix=bhasha/swar_new/03-05-2023/CG/Sarguja/&amp;showversions=false" TargetMode="External"/><Relationship Id="rId215" Type="http://schemas.openxmlformats.org/officeDocument/2006/relationships/hyperlink" Target="https://s3.console.aws.amazon.com/s3/buckets/prod-shaip-bucket?region=us-east-1&amp;prefix=bhasha/Swar/Chhattisgarh-Rajnandgaon/AUDIO/Batch3_d1_Chhattisgarh-Rajnandgaon_new_files_03102023_4h37m/&amp;showversions=false" TargetMode="External"/><Relationship Id="rId457" Type="http://schemas.openxmlformats.org/officeDocument/2006/relationships/hyperlink" Target="https://s3.console.aws.amazon.com/s3/buckets/prod-shaip-bucket?region=us-east-1&amp;prefix=bhasha/swar_new/03-05-2023/CG/Rajnandgaon/&amp;showversions=false" TargetMode="External"/><Relationship Id="rId699" Type="http://schemas.openxmlformats.org/officeDocument/2006/relationships/hyperlink" Target="https://s3.console.aws.amazon.com/s3/buckets/prod-shaip-bucket?region=us-east-1&amp;prefix=bhasha/swar_new/29-08-2023/KA/Bijapur/&amp;showversions=false" TargetMode="External"/><Relationship Id="rId214" Type="http://schemas.openxmlformats.org/officeDocument/2006/relationships/hyperlink" Target="https://s3.console.aws.amazon.com/s3/buckets/prod-shaip-bucket?region=us-east-1&amp;prefix=bhasha/Swar/Chhattisgarh-Korba/AUDIO/Batch2_d1_Chhattisgarh-Korba_new_files_03112023_4h51m/&amp;showversions=false" TargetMode="External"/><Relationship Id="rId456" Type="http://schemas.openxmlformats.org/officeDocument/2006/relationships/hyperlink" Target="https://s3.console.aws.amazon.com/s3/buckets/prod-shaip-bucket?region=us-east-1&amp;prefix=bhasha/swar_new/03-05-2023/CG/Raigarh/&amp;showversions=false" TargetMode="External"/><Relationship Id="rId698" Type="http://schemas.openxmlformats.org/officeDocument/2006/relationships/hyperlink" Target="https://s3.console.aws.amazon.com/s3/buckets/prod-shaip-bucket?region=us-east-1&amp;prefix=bhasha/swar_new/29-08-2023/KA/Bellary/&amp;showversions=false" TargetMode="External"/><Relationship Id="rId219" Type="http://schemas.openxmlformats.org/officeDocument/2006/relationships/hyperlink" Target="https://s3.console.aws.amazon.com/s3/buckets/prod-shaip-bucket?region=us-east-1&amp;prefix=bhasha/Swar/Chhattisgarh-Bilaspur/AUDIO/Batch7_d1_Chhattisgarh-Bilaspur_new_files_03112023_4h7m/&amp;showversions=false" TargetMode="External"/><Relationship Id="rId218" Type="http://schemas.openxmlformats.org/officeDocument/2006/relationships/hyperlink" Target="https://s3.console.aws.amazon.com/s3/buckets/prod-shaip-bucket?region=us-east-1&amp;prefix=bhasha/Swar/Chhattisgarh-Raigarh/AUDIO/Batch5_d1_Chhattisgarh-Raigarh_new_files_03112023_4h38m/&amp;showversions=false" TargetMode="External"/><Relationship Id="rId451" Type="http://schemas.openxmlformats.org/officeDocument/2006/relationships/hyperlink" Target="https://s3.console.aws.amazon.com/s3/buckets/prod-shaip-bucket?region=us-east-1&amp;prefix=bhasha/swar_new/03-05-2023/CG/Bastar/&amp;showversions=false" TargetMode="External"/><Relationship Id="rId693" Type="http://schemas.openxmlformats.org/officeDocument/2006/relationships/hyperlink" Target="https://s3.console.aws.amazon.com/s3/buckets/prod-shaip-bucket?region=us-east-1&amp;prefix=bhasha/swar_new/29-08-2023/CG/Sukma/&amp;showversions=false" TargetMode="External"/><Relationship Id="rId1040" Type="http://schemas.openxmlformats.org/officeDocument/2006/relationships/hyperlink" Target="https://s3.console.aws.amazon.com/s3/buckets/prod-shaip-bucket?region=us-east-1&amp;prefix=bhasha/swar_new/17-10-2023/UP/Budaun/&amp;showversions=false" TargetMode="External"/><Relationship Id="rId450" Type="http://schemas.openxmlformats.org/officeDocument/2006/relationships/hyperlink" Target="https://s3.console.aws.amazon.com/s3/buckets/prod-shaip-bucket?region=us-east-1&amp;prefix=bhasha/swar_new/03-05-2023/CG/Balrampur/&amp;showversions=false" TargetMode="External"/><Relationship Id="rId692" Type="http://schemas.openxmlformats.org/officeDocument/2006/relationships/hyperlink" Target="https://s3.console.aws.amazon.com/s3/buckets/prod-shaip-bucket?region=us-east-1&amp;prefix=bhasha/swar_new/29-08-2023/CG/Sarguja/&amp;showversions=false" TargetMode="External"/><Relationship Id="rId1041" Type="http://schemas.openxmlformats.org/officeDocument/2006/relationships/hyperlink" Target="https://s3.console.aws.amazon.com/s3/buckets/prod-shaip-bucket?region=us-east-1&amp;prefix=bhasha/swar_new/17-10-2023/UP/Deoria/&amp;showversions=false" TargetMode="External"/><Relationship Id="rId691" Type="http://schemas.openxmlformats.org/officeDocument/2006/relationships/hyperlink" Target="https://s3.console.aws.amazon.com/s3/buckets/prod-shaip-bucket?region=us-east-1&amp;prefix=bhasha/swar_new/29-08-2023/CG/Rajnandgaon/&amp;showversions=false" TargetMode="External"/><Relationship Id="rId1042" Type="http://schemas.openxmlformats.org/officeDocument/2006/relationships/hyperlink" Target="https://s3.console.aws.amazon.com/s3/buckets/prod-shaip-bucket?region=us-east-1&amp;prefix=bhasha/swar_new/17-10-2023/UP/Etah/&amp;showversions=false" TargetMode="External"/><Relationship Id="rId690" Type="http://schemas.openxmlformats.org/officeDocument/2006/relationships/hyperlink" Target="https://s3.console.aws.amazon.com/s3/buckets/prod-shaip-bucket?region=us-east-1&amp;prefix=bhasha/swar_new/29-08-2023/CG/Raigarh/&amp;showversions=false" TargetMode="External"/><Relationship Id="rId1043" Type="http://schemas.openxmlformats.org/officeDocument/2006/relationships/hyperlink" Target="https://s3.console.aws.amazon.com/s3/buckets/prod-shaip-bucket?region=us-east-1&amp;prefix=bhasha/swar_new/17-10-2023/UP/Ghazipur/&amp;showversions=false" TargetMode="External"/><Relationship Id="rId213" Type="http://schemas.openxmlformats.org/officeDocument/2006/relationships/hyperlink" Target="https://s3.console.aws.amazon.com/s3/buckets/prod-shaip-bucket?region=us-east-1&amp;prefix=bhasha/Swar/Chhattisgarh-Kabirdham/AUDIO/Batch2_d1_Chhattisgarh-Kabirdham_new_files_03112023_1h29m/&amp;showversions=false" TargetMode="External"/><Relationship Id="rId455" Type="http://schemas.openxmlformats.org/officeDocument/2006/relationships/hyperlink" Target="https://s3.console.aws.amazon.com/s3/buckets/prod-shaip-bucket?region=us-east-1&amp;prefix=bhasha/swar_new/03-05-2023/CG/Korba/&amp;showversions=false" TargetMode="External"/><Relationship Id="rId697" Type="http://schemas.openxmlformats.org/officeDocument/2006/relationships/hyperlink" Target="https://s3.console.aws.amazon.com/s3/buckets/prod-shaip-bucket?region=us-east-1&amp;prefix=bhasha/swar_new/29-08-2023/KA/Belgaum/&amp;showversions=false" TargetMode="External"/><Relationship Id="rId1044" Type="http://schemas.openxmlformats.org/officeDocument/2006/relationships/hyperlink" Target="https://s3.console.aws.amazon.com/s3/buckets/prod-shaip-bucket?region=us-east-1&amp;prefix=bhasha/swar_new/17-10-2023/UP/Gorakhpur/&amp;showversions=false" TargetMode="External"/><Relationship Id="rId212" Type="http://schemas.openxmlformats.org/officeDocument/2006/relationships/hyperlink" Target="https://s3.console.aws.amazon.com/s3/buckets/prod-shaip-bucket?region=us-east-1&amp;prefix=bhasha/Swar/Chhattisgarh-Bastar/AUDIO/Batch2_d1_Chhattisgarh-Bastar_new_files_03112023_30h11m/&amp;showversions=false" TargetMode="External"/><Relationship Id="rId454" Type="http://schemas.openxmlformats.org/officeDocument/2006/relationships/hyperlink" Target="https://s3.console.aws.amazon.com/s3/buckets/prod-shaip-bucket?region=us-east-1&amp;prefix=bhasha/swar_new/03-05-2023/CG/Kabirdham/&amp;showversions=false" TargetMode="External"/><Relationship Id="rId696" Type="http://schemas.openxmlformats.org/officeDocument/2006/relationships/hyperlink" Target="https://s3.console.aws.amazon.com/s3/buckets/prod-shaip-bucket?region=us-east-1&amp;prefix=bhasha/swar_new/29-08-2023/JH/Sahebganj/&amp;showversions=false" TargetMode="External"/><Relationship Id="rId1045" Type="http://schemas.openxmlformats.org/officeDocument/2006/relationships/hyperlink" Target="https://s3.console.aws.amazon.com/s3/buckets/prod-shaip-bucket?region=us-east-1&amp;prefix=bhasha/swar_new/17-10-2023/UP/Hamirpur/&amp;showversions=false" TargetMode="External"/><Relationship Id="rId211" Type="http://schemas.openxmlformats.org/officeDocument/2006/relationships/hyperlink" Target="https://s3.console.aws.amazon.com/s3/buckets/prod-shaip-bucket?region=us-east-1&amp;prefix=bhasha/Swar/Chhattisgarh-Balrampur/AUDIO/Batch2_d1_Chhattisgarh-Balrampur_new_files_03112023_5h18m/&amp;showversions=false" TargetMode="External"/><Relationship Id="rId453" Type="http://schemas.openxmlformats.org/officeDocument/2006/relationships/hyperlink" Target="https://s3.console.aws.amazon.com/s3/buckets/prod-shaip-bucket?region=us-east-1&amp;prefix=bhasha/swar_new/03-05-2023/CG/Jashpur/&amp;showversions=false" TargetMode="External"/><Relationship Id="rId695" Type="http://schemas.openxmlformats.org/officeDocument/2006/relationships/hyperlink" Target="https://s3.console.aws.amazon.com/s3/buckets/prod-shaip-bucket?region=us-east-1&amp;prefix=bhasha/swar_new/29-08-2023/JH/Jamtara/&amp;showversions=false" TargetMode="External"/><Relationship Id="rId1046" Type="http://schemas.openxmlformats.org/officeDocument/2006/relationships/hyperlink" Target="https://s3.console.aws.amazon.com/s3/buckets/prod-shaip-bucket?region=us-east-1&amp;prefix=bhasha/swar_new/17-10-2023/UP/Jalaun/&amp;showversions=false" TargetMode="External"/><Relationship Id="rId210" Type="http://schemas.openxmlformats.org/officeDocument/2006/relationships/hyperlink" Target="https://s3.console.aws.amazon.com/s3/buckets/prod-shaip-bucket?region=us-east-1&amp;prefix=bhasha/Swar/Chhattisgarh-Sukma/AUDIO/Batch1_d1_Chhattisgarh-Sukma_new_files_03112023_4m/&amp;showversions=false" TargetMode="External"/><Relationship Id="rId452" Type="http://schemas.openxmlformats.org/officeDocument/2006/relationships/hyperlink" Target="https://s3.console.aws.amazon.com/s3/buckets/prod-shaip-bucket?region=us-east-1&amp;prefix=bhasha/swar_new/03-05-2023/CG/Bilaspur/&amp;showversions=false" TargetMode="External"/><Relationship Id="rId694" Type="http://schemas.openxmlformats.org/officeDocument/2006/relationships/hyperlink" Target="https://s3.console.aws.amazon.com/s3/buckets/prod-shaip-bucket?region=us-east-1&amp;prefix=bhasha/swar_new/29-08-2023/GA/NorthSouthGoa/&amp;showversions=false" TargetMode="External"/><Relationship Id="rId1047" Type="http://schemas.openxmlformats.org/officeDocument/2006/relationships/hyperlink" Target="https://s3.console.aws.amazon.com/s3/buckets/prod-shaip-bucket?region=us-east-1&amp;prefix=bhasha/swar_new/17-10-2023/UP/JyotibaPhuleNagar/&amp;showversions=false" TargetMode="External"/><Relationship Id="rId491" Type="http://schemas.openxmlformats.org/officeDocument/2006/relationships/hyperlink" Target="https://s3.console.aws.amazon.com/s3/buckets/prod-shaip-bucket?region=us-east-1&amp;prefix=bhasha/swar_new/03-05-2023/UP/Varanasi/&amp;showversions=false" TargetMode="External"/><Relationship Id="rId490" Type="http://schemas.openxmlformats.org/officeDocument/2006/relationships/hyperlink" Target="https://s3.console.aws.amazon.com/s3/buckets/prod-shaip-bucket?region=us-east-1&amp;prefix=bhasha/swar_new/03-05-2023/UP/Muzzaffarnagar/&amp;showversions=false" TargetMode="External"/><Relationship Id="rId249" Type="http://schemas.openxmlformats.org/officeDocument/2006/relationships/hyperlink" Target="https://s3.console.aws.amazon.com/s3/buckets/prod-shaip-bucket?region=us-east-1&amp;prefix=bhasha/Swar/Uttarpradesh-Hamirpur/AUDIO/Batch4_d1_Uttarpradesh-Hamirpur_new_files_03102023_4h40m/&amp;showversions=false" TargetMode="External"/><Relationship Id="rId248" Type="http://schemas.openxmlformats.org/officeDocument/2006/relationships/hyperlink" Target="https://s3.console.aws.amazon.com/s3/buckets/prod-shaip-bucket?region=us-east-1&amp;prefix=bhasha/Swar/Uttarpradesh-Etah/AUDIO/Batch4_d1_Uttarpradesh-Etah_new_files_03102023_46m/&amp;showversions=false" TargetMode="External"/><Relationship Id="rId247" Type="http://schemas.openxmlformats.org/officeDocument/2006/relationships/hyperlink" Target="https://s3.console.aws.amazon.com/s3/buckets/prod-shaip-bucket?region=us-east-1&amp;prefix=bhasha/Swar/Uttarpradesh-Ghazipur/AUDIO/Batch3_d1_Uttarpradesh-Ghazipur_new_files_03102023_13h60m/&amp;showversions=false" TargetMode="External"/><Relationship Id="rId489" Type="http://schemas.openxmlformats.org/officeDocument/2006/relationships/hyperlink" Target="https://s3.console.aws.amazon.com/s3/buckets/prod-shaip-bucket?region=us-east-1&amp;prefix=bhasha/swar_new/03-05-2023/UP/JyotibaPhuleNagar/&amp;showversions=false" TargetMode="External"/><Relationship Id="rId242" Type="http://schemas.openxmlformats.org/officeDocument/2006/relationships/hyperlink" Target="https://s3.console.aws.amazon.com/s3/buckets/prod-shaip-bucket?region=us-east-1&amp;prefix=bhasha/Swar/Telengana-Karimnagar/AUDIO/Batch1_d1_Telengana-Karimnagar_new_files_03102023_5h28m/&amp;showversions=false" TargetMode="External"/><Relationship Id="rId484" Type="http://schemas.openxmlformats.org/officeDocument/2006/relationships/hyperlink" Target="https://s3.console.aws.amazon.com/s3/buckets/prod-shaip-bucket?region=us-east-1&amp;prefix=bhasha/swar_new/03-05-2023/UP/Etah/&amp;showversions=false" TargetMode="External"/><Relationship Id="rId241" Type="http://schemas.openxmlformats.org/officeDocument/2006/relationships/hyperlink" Target="https://s3.console.aws.amazon.com/s3/buckets/prod-shaip-bucket?region=us-east-1&amp;prefix=bhasha/Swar/Rajasthan-Churu/AUDIO/Batch7_d1_Rajasthan-Churu_new_files_03112023_8h35m/&amp;showversions=false" TargetMode="External"/><Relationship Id="rId483" Type="http://schemas.openxmlformats.org/officeDocument/2006/relationships/hyperlink" Target="https://s3.console.aws.amazon.com/s3/buckets/prod-shaip-bucket?region=us-east-1&amp;prefix=bhasha/swar_new/03-05-2023/UP/Deoria/&amp;showversions=false" TargetMode="External"/><Relationship Id="rId240" Type="http://schemas.openxmlformats.org/officeDocument/2006/relationships/hyperlink" Target="https://s3.console.aws.amazon.com/s3/buckets/prod-shaip-bucket?region=us-east-1&amp;prefix=bhasha/Swar/Rajasthan-Nagaur/AUDIO/Batch6_d1_Rajasthan-Nagaur_new_files_03102023_9h56m/&amp;showversions=false" TargetMode="External"/><Relationship Id="rId482" Type="http://schemas.openxmlformats.org/officeDocument/2006/relationships/hyperlink" Target="https://s3.console.aws.amazon.com/s3/buckets/prod-shaip-bucket?region=us-east-1&amp;prefix=bhasha/swar_new/03-05-2023/UP/Budaun/&amp;showversions=false" TargetMode="External"/><Relationship Id="rId481" Type="http://schemas.openxmlformats.org/officeDocument/2006/relationships/hyperlink" Target="https://s3.console.aws.amazon.com/s3/buckets/prod-shaip-bucket?region=us-east-1&amp;prefix=bhasha/swar_new/03-05-2023/UK/Uttarkashi/&amp;showversions=false" TargetMode="External"/><Relationship Id="rId246" Type="http://schemas.openxmlformats.org/officeDocument/2006/relationships/hyperlink" Target="https://s3.console.aws.amazon.com/s3/buckets/prod-shaip-bucket?region=us-east-1&amp;prefix=bhasha/Swar/Uttarpradesh-Jalaun/AUDIO/Batch2_d1_Uttarpradesh-Jalaun_new_files_03102023_4h51m/&amp;showversions=false" TargetMode="External"/><Relationship Id="rId488" Type="http://schemas.openxmlformats.org/officeDocument/2006/relationships/hyperlink" Target="https://s3.console.aws.amazon.com/s3/buckets/prod-shaip-bucket?region=us-east-1&amp;prefix=bhasha/swar_new/03-05-2023/UP/Jalaun/&amp;showversions=false" TargetMode="External"/><Relationship Id="rId245" Type="http://schemas.openxmlformats.org/officeDocument/2006/relationships/hyperlink" Target="https://s3.console.aws.amazon.com/s3/buckets/prod-shaip-bucket?region=us-east-1&amp;prefix=bhasha/Swar/Uttarakhand-TehriGarhwal/AUDIO/Batch7_d1_Uttarakhand-TehriGarhwal_new_files_03102023_42m/&amp;showversions=false" TargetMode="External"/><Relationship Id="rId487" Type="http://schemas.openxmlformats.org/officeDocument/2006/relationships/hyperlink" Target="https://s3.console.aws.amazon.com/s3/buckets/prod-shaip-bucket?region=us-east-1&amp;prefix=bhasha/swar_new/03-05-2023/UP/Hamirpur/&amp;showversions=false" TargetMode="External"/><Relationship Id="rId244" Type="http://schemas.openxmlformats.org/officeDocument/2006/relationships/hyperlink" Target="https://s3.console.aws.amazon.com/s3/buckets/prod-shaip-bucket?region=us-east-1&amp;prefix=bhasha/Swar/Uttarakhand-Uttarkashi/AUDIO/Batch5_d1_Uttarakhand-Uttarkashi_new_files_03102023_2h33m/&amp;showversions=false" TargetMode="External"/><Relationship Id="rId486" Type="http://schemas.openxmlformats.org/officeDocument/2006/relationships/hyperlink" Target="https://s3.console.aws.amazon.com/s3/buckets/prod-shaip-bucket?region=us-east-1&amp;prefix=bhasha/swar_new/03-05-2023/UP/Gorakhpur/&amp;showversions=false" TargetMode="External"/><Relationship Id="rId243" Type="http://schemas.openxmlformats.org/officeDocument/2006/relationships/hyperlink" Target="https://s3.console.aws.amazon.com/s3/buckets/prod-shaip-bucket?region=us-east-1&amp;prefix=bhasha/Swar/Telengana-Nalgonda/AUDIO/Batch1_d1_Telengana-Nalgonda_new_files_03102023_4h10m/&amp;showversions=false" TargetMode="External"/><Relationship Id="rId485" Type="http://schemas.openxmlformats.org/officeDocument/2006/relationships/hyperlink" Target="https://s3.console.aws.amazon.com/s3/buckets/prod-shaip-bucket?region=us-east-1&amp;prefix=bhasha/swar_new/03-05-2023/UP/Ghazipur/&amp;showversions=false" TargetMode="External"/><Relationship Id="rId480" Type="http://schemas.openxmlformats.org/officeDocument/2006/relationships/hyperlink" Target="https://s3.console.aws.amazon.com/s3/buckets/prod-shaip-bucket?region=us-east-1&amp;prefix=bhasha/swar_new/03-05-2023/TS/Nalgonda/&amp;showversions=false" TargetMode="External"/><Relationship Id="rId239" Type="http://schemas.openxmlformats.org/officeDocument/2006/relationships/hyperlink" Target="https://s3.console.aws.amazon.com/s3/buckets/prod-shaip-bucket?region=us-east-1&amp;prefix=bhasha/Swar/Maharashtra-Solapur/AUDIO/Batch3_d1_Maharashtra-Solapur_new_files_03112023_1h21m/&amp;showversions=false" TargetMode="External"/><Relationship Id="rId238" Type="http://schemas.openxmlformats.org/officeDocument/2006/relationships/hyperlink" Target="https://s3.console.aws.amazon.com/s3/buckets/prod-shaip-bucket?region=us-east-1&amp;prefix=bhasha/Swar/Maharashtra-Pune/AUDIO/Batch3_d1_Maharashtra-Pune_new_files_03112023_6h25m/&amp;showversions=false" TargetMode="External"/><Relationship Id="rId237" Type="http://schemas.openxmlformats.org/officeDocument/2006/relationships/hyperlink" Target="https://s3.console.aws.amazon.com/s3/buckets/prod-shaip-bucket?region=us-east-1&amp;prefix=bhasha/Swar/Maharashtra-Aurangabad/AUDIO/Batch3_d1_Maharashtra-Aurangabad_new_files_03112023_5h7m/&amp;showversions=false" TargetMode="External"/><Relationship Id="rId479" Type="http://schemas.openxmlformats.org/officeDocument/2006/relationships/hyperlink" Target="https://s3.console.aws.amazon.com/s3/buckets/prod-shaip-bucket?region=us-east-1&amp;prefix=bhasha/swar_new/03-05-2023/TS/Karimnagar/&amp;showversions=false" TargetMode="External"/><Relationship Id="rId236" Type="http://schemas.openxmlformats.org/officeDocument/2006/relationships/hyperlink" Target="https://s3.console.aws.amazon.com/s3/buckets/prod-shaip-bucket?region=us-east-1&amp;prefix=bhasha/Swar/Maharashtra-Chandrapur/AUDIO/Batch2_d1_Maharashtra-Chandrapur_new_files_03112023_44m/&amp;showversions=false" TargetMode="External"/><Relationship Id="rId478" Type="http://schemas.openxmlformats.org/officeDocument/2006/relationships/hyperlink" Target="https://s3.console.aws.amazon.com/s3/buckets/prod-shaip-bucket?region=us-east-1&amp;prefix=bhasha/swar_new/03-05-2023/RJ/Churu/&amp;showversions=false" TargetMode="External"/><Relationship Id="rId231" Type="http://schemas.openxmlformats.org/officeDocument/2006/relationships/hyperlink" Target="https://s3.console.aws.amazon.com/s3/buckets/prod-shaip-bucket?region=us-east-1&amp;prefix=bhasha/Swar/Karnataka-Mysore/AUDIO/Batch4_d1_Karnataka-Mysore_new_files_03112023_8h10m/&amp;showversions=false" TargetMode="External"/><Relationship Id="rId473" Type="http://schemas.openxmlformats.org/officeDocument/2006/relationships/hyperlink" Target="https://s3.console.aws.amazon.com/s3/buckets/prod-shaip-bucket?region=us-east-1&amp;prefix=bhasha/swar_new/03-05-2023/MH/Aurangabad/&amp;showversions=false" TargetMode="External"/><Relationship Id="rId230" Type="http://schemas.openxmlformats.org/officeDocument/2006/relationships/hyperlink" Target="https://s3.console.aws.amazon.com/s3/buckets/prod-shaip-bucket?region=us-east-1&amp;prefix=bhasha/Swar/Karnataka-Dharwad/AUDIO/Batch4_d1_Karnataka-Dharwad_new_files_03112023_7h28m/&amp;showversions=false" TargetMode="External"/><Relationship Id="rId472" Type="http://schemas.openxmlformats.org/officeDocument/2006/relationships/hyperlink" Target="https://s3.console.aws.amazon.com/s3/buckets/prod-shaip-bucket?region=us-east-1&amp;prefix=bhasha/swar_new/03-05-2023/KA/Shimoga/&amp;showversions=false" TargetMode="External"/><Relationship Id="rId471" Type="http://schemas.openxmlformats.org/officeDocument/2006/relationships/hyperlink" Target="https://s3.console.aws.amazon.com/s3/buckets/prod-shaip-bucket?region=us-east-1&amp;prefix=bhasha/swar_new/03-05-2023/KA/Raichur/&amp;showversions=false" TargetMode="External"/><Relationship Id="rId470" Type="http://schemas.openxmlformats.org/officeDocument/2006/relationships/hyperlink" Target="https://s3.console.aws.amazon.com/s3/buckets/prod-shaip-bucket?region=us-east-1&amp;prefix=bhasha/swar_new/03-05-2023/KA/Mysore/&amp;showversions=false" TargetMode="External"/><Relationship Id="rId235" Type="http://schemas.openxmlformats.org/officeDocument/2006/relationships/hyperlink" Target="https://s3.console.aws.amazon.com/s3/buckets/prod-shaip-bucket?region=us-east-1&amp;prefix=bhasha/Swar/Maharashtra-Sindhudurga/AUDIO/Batch1_d1_Maharashtra-Sindhudurga_new_files_03112023_3h50m/&amp;showversions=false" TargetMode="External"/><Relationship Id="rId477" Type="http://schemas.openxmlformats.org/officeDocument/2006/relationships/hyperlink" Target="https://s3.console.aws.amazon.com/s3/buckets/prod-shaip-bucket?region=us-east-1&amp;prefix=bhasha/swar_new/03-05-2023/MH/Solapur/&amp;showversions=false" TargetMode="External"/><Relationship Id="rId234" Type="http://schemas.openxmlformats.org/officeDocument/2006/relationships/hyperlink" Target="https://s3.console.aws.amazon.com/s3/buckets/prod-shaip-bucket?region=us-east-1&amp;prefix=bhasha/Swar/Maharashtra-Nagpur/AUDIO/Batch1_d1_Maharashtra-Nagpur_new_files_03112023_5h27m/&amp;showversions=false" TargetMode="External"/><Relationship Id="rId476" Type="http://schemas.openxmlformats.org/officeDocument/2006/relationships/hyperlink" Target="https://s3.console.aws.amazon.com/s3/buckets/prod-shaip-bucket?region=us-east-1&amp;prefix=bhasha/swar_new/03-05-2023/MH/Pune/&amp;showversions=false" TargetMode="External"/><Relationship Id="rId233" Type="http://schemas.openxmlformats.org/officeDocument/2006/relationships/hyperlink" Target="https://s3.console.aws.amazon.com/s3/buckets/prod-shaip-bucket?region=us-east-1&amp;prefix=bhasha/Swar/Maharashtra-Dhule/AUDIO/Batch1_d1_Maharashtra-Dhule_new_files_03112023_46m/&amp;showversions=false" TargetMode="External"/><Relationship Id="rId475" Type="http://schemas.openxmlformats.org/officeDocument/2006/relationships/hyperlink" Target="https://s3.console.aws.amazon.com/s3/buckets/prod-shaip-bucket?region=us-east-1&amp;prefix=bhasha/swar_new/03-05-2023/MH/Dhule/&amp;showversions=false" TargetMode="External"/><Relationship Id="rId232" Type="http://schemas.openxmlformats.org/officeDocument/2006/relationships/hyperlink" Target="https://s3.console.aws.amazon.com/s3/buckets/prod-shaip-bucket?region=us-east-1&amp;prefix=bhasha/Swar/Karnataka-Shimoga/AUDIO/Batch5_d1_Karnataka-Shimoga_new_files_03112023_9h49m/&amp;showversions=false" TargetMode="External"/><Relationship Id="rId474" Type="http://schemas.openxmlformats.org/officeDocument/2006/relationships/hyperlink" Target="https://s3.console.aws.amazon.com/s3/buckets/prod-shaip-bucket?region=us-east-1&amp;prefix=bhasha/swar_new/03-05-2023/MH/Chandrapur/&amp;showversions=false" TargetMode="External"/><Relationship Id="rId1015" Type="http://schemas.openxmlformats.org/officeDocument/2006/relationships/hyperlink" Target="https://s3.console.aws.amazon.com/s3/buckets/prod-shaip-bucket?region=us-east-1&amp;prefix=bhasha/swar_new/17-10-2023/JH/Jamtara/&amp;showversions=false" TargetMode="External"/><Relationship Id="rId1016" Type="http://schemas.openxmlformats.org/officeDocument/2006/relationships/hyperlink" Target="https://s3.console.aws.amazon.com/s3/buckets/prod-shaip-bucket?region=us-east-1&amp;prefix=bhasha/swar_new/17-10-2023/JH/Sahebganj/&amp;showversions=false" TargetMode="External"/><Relationship Id="rId1017" Type="http://schemas.openxmlformats.org/officeDocument/2006/relationships/hyperlink" Target="https://s3.console.aws.amazon.com/s3/buckets/prod-shaip-bucket?region=us-east-1&amp;prefix=bhasha/swar_new/17-10-2023/KA/Belgaum/&amp;showversions=false" TargetMode="External"/><Relationship Id="rId1018" Type="http://schemas.openxmlformats.org/officeDocument/2006/relationships/hyperlink" Target="https://s3.console.aws.amazon.com/s3/buckets/prod-shaip-bucket?region=us-east-1&amp;prefix=bhasha/swar_new/17-10-2023/KA/Bellary/&amp;showversions=false" TargetMode="External"/><Relationship Id="rId1019" Type="http://schemas.openxmlformats.org/officeDocument/2006/relationships/hyperlink" Target="https://s3.console.aws.amazon.com/s3/buckets/prod-shaip-bucket?region=us-east-1&amp;prefix=bhasha/swar_new/17-10-2023/KA/Bijapur/&amp;showversions=false" TargetMode="External"/><Relationship Id="rId426" Type="http://schemas.openxmlformats.org/officeDocument/2006/relationships/hyperlink" Target="https://s3.console.aws.amazon.com/s3/buckets/prod-shaip-bucket?region=us-east-1&amp;prefix=bhasha/swar_new/03-05-2023/AP/Guntur/&amp;showversions=false" TargetMode="External"/><Relationship Id="rId668" Type="http://schemas.openxmlformats.org/officeDocument/2006/relationships/hyperlink" Target="https://s3.console.aws.amazon.com/s3/buckets/prod-shaip-bucket?region=us-east-1&amp;prefix=bhasha/swar_new/29-08-2023/BR/EastChamparan/&amp;showversions=false" TargetMode="External"/><Relationship Id="rId425" Type="http://schemas.openxmlformats.org/officeDocument/2006/relationships/hyperlink" Target="https://s3.console.aws.amazon.com/s3/buckets/prod-shaip-bucket?region=us-east-1&amp;prefix=bhasha/swar_new/03-05-2023/AP/Chittoor/&amp;showversions=false" TargetMode="External"/><Relationship Id="rId667" Type="http://schemas.openxmlformats.org/officeDocument/2006/relationships/hyperlink" Target="https://s3.console.aws.amazon.com/s3/buckets/prod-shaip-bucket?region=us-east-1&amp;prefix=bhasha/swar_new/29-08-2023/BR/Darbhanga/&amp;showversions=false" TargetMode="External"/><Relationship Id="rId424" Type="http://schemas.openxmlformats.org/officeDocument/2006/relationships/hyperlink" Target="https://s3.console.aws.amazon.com/s3/buckets/prod-shaip-bucket?region=us-east-1&amp;prefix=bhasha/swar_new/03-05-2023/AP/Anantpur/&amp;showversions=false" TargetMode="External"/><Relationship Id="rId666" Type="http://schemas.openxmlformats.org/officeDocument/2006/relationships/hyperlink" Target="https://s3.console.aws.amazon.com/s3/buckets/prod-shaip-bucket?region=us-east-1&amp;prefix=bhasha/swar_new/29-08-2023/BR/Bhagalpur/&amp;showversions=false" TargetMode="External"/><Relationship Id="rId423" Type="http://schemas.openxmlformats.org/officeDocument/2006/relationships/hyperlink" Target="https://s3.console.aws.amazon.com/s3/buckets/prod-shaip-bucket?region=us-east-1&amp;prefix=bhasha/Swar/WestBengal-Purulia/AUDIO/Batch4_d1_WestBengal-Purulia_new_files_04172023_2h10m/&amp;showversions=false" TargetMode="External"/><Relationship Id="rId665" Type="http://schemas.openxmlformats.org/officeDocument/2006/relationships/hyperlink" Target="https://s3.console.aws.amazon.com/s3/buckets/prod-shaip-bucket?region=us-east-1&amp;prefix=bhasha/swar_new/29-08-2023/BR/Begusarai/&amp;showversions=false" TargetMode="External"/><Relationship Id="rId429" Type="http://schemas.openxmlformats.org/officeDocument/2006/relationships/hyperlink" Target="https://s3.console.aws.amazon.com/s3/buckets/prod-shaip-bucket?region=us-east-1&amp;prefix=bhasha/swar_new/03-05-2023/AP/Vishakapattanam/&amp;showversions=false" TargetMode="External"/><Relationship Id="rId428" Type="http://schemas.openxmlformats.org/officeDocument/2006/relationships/hyperlink" Target="https://s3.console.aws.amazon.com/s3/buckets/prod-shaip-bucket?region=us-east-1&amp;prefix=bhasha/swar_new/03-05-2023/AP/Srikakulam/&amp;showversions=false" TargetMode="External"/><Relationship Id="rId427" Type="http://schemas.openxmlformats.org/officeDocument/2006/relationships/hyperlink" Target="https://s3.console.aws.amazon.com/s3/buckets/prod-shaip-bucket?region=us-east-1&amp;prefix=bhasha/swar_new/03-05-2023/AP/Krishna/&amp;showversions=false" TargetMode="External"/><Relationship Id="rId669" Type="http://schemas.openxmlformats.org/officeDocument/2006/relationships/hyperlink" Target="https://s3.console.aws.amazon.com/s3/buckets/prod-shaip-bucket?region=us-east-1&amp;prefix=bhasha/swar_new/29-08-2023/BR/Gaya/&amp;showversions=false" TargetMode="External"/><Relationship Id="rId660" Type="http://schemas.openxmlformats.org/officeDocument/2006/relationships/hyperlink" Target="https://s3.console.aws.amazon.com/s3/buckets/prod-shaip-bucket?region=us-east-1&amp;prefix=bhasha/swar_new/29-08-2023/AP/Guntur/&amp;showversions=false" TargetMode="External"/><Relationship Id="rId1010" Type="http://schemas.openxmlformats.org/officeDocument/2006/relationships/hyperlink" Target="https://s3.console.aws.amazon.com/s3/buckets/prod-shaip-bucket?region=us-east-1&amp;prefix=bhasha/swar_new/17-10-2023/CG/Raigarh/&amp;showversions=false" TargetMode="External"/><Relationship Id="rId422" Type="http://schemas.openxmlformats.org/officeDocument/2006/relationships/hyperlink" Target="https://s3.console.aws.amazon.com/s3/buckets/prod-shaip-bucket?region=us-east-1&amp;prefix=bhasha/Swar/WestBengal-PaschimMedinipur/AUDIO/Batch8_d1_WestBengal-PaschimMedinipur_new_files_04172023_5h49m/&amp;showversions=false" TargetMode="External"/><Relationship Id="rId664" Type="http://schemas.openxmlformats.org/officeDocument/2006/relationships/hyperlink" Target="https://s3.console.aws.amazon.com/s3/buckets/prod-shaip-bucket?region=us-east-1&amp;prefix=bhasha/swar_new/29-08-2023/BR/Araria/&amp;showversions=false" TargetMode="External"/><Relationship Id="rId1011" Type="http://schemas.openxmlformats.org/officeDocument/2006/relationships/hyperlink" Target="https://s3.console.aws.amazon.com/s3/buckets/prod-shaip-bucket?region=us-east-1&amp;prefix=bhasha/swar_new/17-10-2023/CG/Rajnandgaon/&amp;showversions=false" TargetMode="External"/><Relationship Id="rId421" Type="http://schemas.openxmlformats.org/officeDocument/2006/relationships/hyperlink" Target="https://s3.console.aws.amazon.com/s3/buckets/prod-shaip-bucket?region=us-east-1&amp;prefix=bhasha/Swar/WestBengal-North24Parganas/AUDIO/Batch9_d1_WestBengal-North24Parganas_new_files_04172023_3h48m/&amp;showversions=false" TargetMode="External"/><Relationship Id="rId663" Type="http://schemas.openxmlformats.org/officeDocument/2006/relationships/hyperlink" Target="https://s3.console.aws.amazon.com/s3/buckets/prod-shaip-bucket?region=us-east-1&amp;prefix=bhasha/swar_new/29-08-2023/AP/Vishakapattanam/&amp;showversions=false" TargetMode="External"/><Relationship Id="rId1012" Type="http://schemas.openxmlformats.org/officeDocument/2006/relationships/hyperlink" Target="https://s3.console.aws.amazon.com/s3/buckets/prod-shaip-bucket?region=us-east-1&amp;prefix=bhasha/swar_new/17-10-2023/CG/Sarguja/&amp;showversions=false" TargetMode="External"/><Relationship Id="rId420" Type="http://schemas.openxmlformats.org/officeDocument/2006/relationships/hyperlink" Target="https://s3.console.aws.amazon.com/s3/buckets/prod-shaip-bucket?prefix=bhasha/Swar/WestBengal-Malda/AUDIO/Batch4_d1_WestBengal-Malda_new_files_04172023_2h60m/&amp;region=us-east-1" TargetMode="External"/><Relationship Id="rId662" Type="http://schemas.openxmlformats.org/officeDocument/2006/relationships/hyperlink" Target="https://s3.console.aws.amazon.com/s3/buckets/prod-shaip-bucket?region=us-east-1&amp;prefix=bhasha/swar_new/29-08-2023/AP/Srikakulam/&amp;showversions=false" TargetMode="External"/><Relationship Id="rId1013" Type="http://schemas.openxmlformats.org/officeDocument/2006/relationships/hyperlink" Target="https://s3.console.aws.amazon.com/s3/buckets/prod-shaip-bucket?region=us-east-1&amp;prefix=bhasha/swar_new/17-10-2023/CG/Sukma/&amp;showversions=false" TargetMode="External"/><Relationship Id="rId661" Type="http://schemas.openxmlformats.org/officeDocument/2006/relationships/hyperlink" Target="https://s3.console.aws.amazon.com/s3/buckets/prod-shaip-bucket?region=us-east-1&amp;prefix=bhasha/swar_new/29-08-2023/AP/Krishna/&amp;showversions=false" TargetMode="External"/><Relationship Id="rId1014" Type="http://schemas.openxmlformats.org/officeDocument/2006/relationships/hyperlink" Target="https://s3.console.aws.amazon.com/s3/buckets/prod-shaip-bucket?region=us-east-1&amp;prefix=bhasha/swar_new/17-10-2023/GA/NorthSouthGoa/&amp;showversions=false" TargetMode="External"/><Relationship Id="rId1004" Type="http://schemas.openxmlformats.org/officeDocument/2006/relationships/hyperlink" Target="https://s3.console.aws.amazon.com/s3/buckets/prod-shaip-bucket?region=us-east-1&amp;prefix=bhasha/swar_new/17-10-2023/CG/Balrampur/&amp;showversions=false" TargetMode="External"/><Relationship Id="rId1005" Type="http://schemas.openxmlformats.org/officeDocument/2006/relationships/hyperlink" Target="https://s3.console.aws.amazon.com/s3/buckets/prod-shaip-bucket?region=us-east-1&amp;prefix=bhasha/swar_new/17-10-2023/CG/Bastar/&amp;showversions=false" TargetMode="External"/><Relationship Id="rId1006" Type="http://schemas.openxmlformats.org/officeDocument/2006/relationships/hyperlink" Target="https://s3.console.aws.amazon.com/s3/buckets/prod-shaip-bucket?region=us-east-1&amp;prefix=bhasha/swar_new/17-10-2023/CG/Bilaspur/&amp;showversions=false" TargetMode="External"/><Relationship Id="rId1007" Type="http://schemas.openxmlformats.org/officeDocument/2006/relationships/hyperlink" Target="https://s3.console.aws.amazon.com/s3/buckets/prod-shaip-bucket?region=us-east-1&amp;prefix=bhasha/swar_new/17-10-2023/CG/Jashpur/&amp;showversions=false" TargetMode="External"/><Relationship Id="rId1008" Type="http://schemas.openxmlformats.org/officeDocument/2006/relationships/hyperlink" Target="https://s3.console.aws.amazon.com/s3/buckets/prod-shaip-bucket?region=us-east-1&amp;prefix=bhasha/swar_new/17-10-2023/CG/Kabirdham/&amp;showversions=false" TargetMode="External"/><Relationship Id="rId1009" Type="http://schemas.openxmlformats.org/officeDocument/2006/relationships/hyperlink" Target="https://s3.console.aws.amazon.com/s3/buckets/prod-shaip-bucket?region=us-east-1&amp;prefix=bhasha/swar_new/17-10-2023/CG/Korba/&amp;showversions=false" TargetMode="External"/><Relationship Id="rId415" Type="http://schemas.openxmlformats.org/officeDocument/2006/relationships/hyperlink" Target="https://s3.console.aws.amazon.com/s3/buckets/prod-shaip-bucket?region=us-east-1&amp;prefix=bhasha/Swar/Uttarpradesh-Varanasi/AUDIO/Batch7_d1_Uttarpradesh-Varanasi_new_files_04172023_3h40m/&amp;showversions=false" TargetMode="External"/><Relationship Id="rId657" Type="http://schemas.openxmlformats.org/officeDocument/2006/relationships/hyperlink" Target="https://s3.console.aws.amazon.com/s3/buckets/prod-shaip-bucket?region=us-east-1&amp;prefix=bhasha/swar_new/20-08-2023/WB/Purulia/&amp;showversions=false" TargetMode="External"/><Relationship Id="rId899" Type="http://schemas.openxmlformats.org/officeDocument/2006/relationships/hyperlink" Target="https://s3.console.aws.amazon.com/s3/buckets/prod-shaip-bucket?region=us-east-1&amp;prefix=bhasha/swar_new/09-10-2023/AP/Chittoor/&amp;showversions=false" TargetMode="External"/><Relationship Id="rId414" Type="http://schemas.openxmlformats.org/officeDocument/2006/relationships/hyperlink" Target="https://s3.console.aws.amazon.com/s3/buckets/prod-shaip-bucket?region=us-east-1&amp;prefix=bhasha/Swar/Uttarpradesh-Muzzaffarnagar/AUDIO/Batch11_d1_Uttarpradesh-Muzzaffarnagar_new_files_04172023_13h/&amp;showversions=false" TargetMode="External"/><Relationship Id="rId656" Type="http://schemas.openxmlformats.org/officeDocument/2006/relationships/hyperlink" Target="https://s3.console.aws.amazon.com/s3/buckets/prod-shaip-bucket?region=us-east-1&amp;prefix=bhasha/swar_new/20-08-2023/WB/PaschimMedinipur/&amp;showversions=false" TargetMode="External"/><Relationship Id="rId898" Type="http://schemas.openxmlformats.org/officeDocument/2006/relationships/hyperlink" Target="https://s3.console.aws.amazon.com/s3/buckets/prod-shaip-bucket?region=us-east-1&amp;prefix=bhasha/swar_new/09-10-2023/AP/Anantpur/&amp;showversions=false" TargetMode="External"/><Relationship Id="rId413" Type="http://schemas.openxmlformats.org/officeDocument/2006/relationships/hyperlink" Target="https://s3.console.aws.amazon.com/s3/buckets/prod-shaip-bucket?region=us-east-1&amp;prefix=bhasha/Swar/Uttarpradesh-JyotibaPhuleNagar/AUDIO/Batch7_d1_Uttarpradesh-JyotibaPhuleNagar_new_files_04172023_20m/&amp;showversions=false" TargetMode="External"/><Relationship Id="rId655" Type="http://schemas.openxmlformats.org/officeDocument/2006/relationships/hyperlink" Target="https://s3.console.aws.amazon.com/s3/buckets/prod-shaip-bucket?region=us-east-1&amp;prefix=bhasha/swar_new/20-08-2023/WB/North24Parganas/&amp;showversions=false" TargetMode="External"/><Relationship Id="rId897" Type="http://schemas.openxmlformats.org/officeDocument/2006/relationships/hyperlink" Target="https://s3.console.aws.amazon.com/s3/buckets/prod-shaip-bucket?region=us-east-1&amp;prefix=bhasha/swar_new/redelivery-19-09-2023/WB/Purulia/&amp;showversions=false" TargetMode="External"/><Relationship Id="rId412" Type="http://schemas.openxmlformats.org/officeDocument/2006/relationships/hyperlink" Target="https://s3.console.aws.amazon.com/s3/buckets/prod-shaip-bucket?region=us-east-1&amp;prefix=bhasha/Swar/Uttarpradesh-Jalaun/AUDIO/Batch5_d1_Uttarpradesh-Jalaun_new_files_04172023_20m/&amp;showversions=false" TargetMode="External"/><Relationship Id="rId654" Type="http://schemas.openxmlformats.org/officeDocument/2006/relationships/hyperlink" Target="https://s3.console.aws.amazon.com/s3/buckets/prod-shaip-bucket?region=us-east-1&amp;prefix=bhasha/swar_new/20-08-2023/WB/Malda/&amp;showversions=false" TargetMode="External"/><Relationship Id="rId896" Type="http://schemas.openxmlformats.org/officeDocument/2006/relationships/hyperlink" Target="https://s3.console.aws.amazon.com/s3/buckets/prod-shaip-bucket?region=us-east-1&amp;prefix=bhasha/swar_new/redelivery-19-09-2023/WB/PaschimMedinipur/&amp;showversions=false" TargetMode="External"/><Relationship Id="rId419" Type="http://schemas.openxmlformats.org/officeDocument/2006/relationships/hyperlink" Target="https://s3.console.aws.amazon.com/s3/buckets/prod-shaip-bucket?region=us-east-1&amp;prefix=bhasha/Swar/WestBengal-Kolkata/AUDIO/Batch9_d1_WestBengal-Kolkata_new_files_04172023_9h54m/&amp;showversions=false" TargetMode="External"/><Relationship Id="rId418" Type="http://schemas.openxmlformats.org/officeDocument/2006/relationships/hyperlink" Target="https://s3.console.aws.amazon.com/s3/buckets/prod-shaip-bucket?region=us-east-1&amp;prefix=bhasha/Swar/WestBengal-Jhargram/AUDIO/Batch8_d1_WestBengal-Jhargram_new_files_04172023_19m/&amp;showversions=false" TargetMode="External"/><Relationship Id="rId417" Type="http://schemas.openxmlformats.org/officeDocument/2006/relationships/hyperlink" Target="https://s3.console.aws.amazon.com/s3/buckets/prod-shaip-bucket?region=us-east-1&amp;prefix=bhasha/Swar/WestBengal-Jalpaiguri/AUDIO/Batch8_d1_WestBengal-Jalpaiguri_new_files_04172023_27m/&amp;showversions=false" TargetMode="External"/><Relationship Id="rId659" Type="http://schemas.openxmlformats.org/officeDocument/2006/relationships/hyperlink" Target="https://s3.console.aws.amazon.com/s3/buckets/prod-shaip-bucket?region=us-east-1&amp;prefix=bhasha/swar_new/29-08-2023/AP/Chittoor/&amp;showversions=false" TargetMode="External"/><Relationship Id="rId416" Type="http://schemas.openxmlformats.org/officeDocument/2006/relationships/hyperlink" Target="https://s3.console.aws.amazon.com/s3/buckets/prod-shaip-bucket?region=us-east-1&amp;prefix=bhasha/Swar/WestBengal-DakshinDinajpur/AUDIO/Batch6_d1_WestBengal-DakshinDinajpur_new_files_04172023_11m/&amp;showversions=false" TargetMode="External"/><Relationship Id="rId658" Type="http://schemas.openxmlformats.org/officeDocument/2006/relationships/hyperlink" Target="https://s3.console.aws.amazon.com/s3/buckets/prod-shaip-bucket?region=us-east-1&amp;prefix=bhasha/swar_new/29-08-2023/AP/Anantpur/&amp;showversions=false" TargetMode="External"/><Relationship Id="rId891" Type="http://schemas.openxmlformats.org/officeDocument/2006/relationships/hyperlink" Target="https://s3.console.aws.amazon.com/s3/buckets/prod-shaip-bucket?region=us-east-1&amp;prefix=bhasha/swar_new/redelivery-19-09-2023/WB/Jalpaiguri/&amp;showversions=false" TargetMode="External"/><Relationship Id="rId890" Type="http://schemas.openxmlformats.org/officeDocument/2006/relationships/hyperlink" Target="https://s3.console.aws.amazon.com/s3/buckets/prod-shaip-bucket?region=us-east-1&amp;prefix=bhasha/swar_new/redelivery-19-09-2023/WB/DakshinDinajpur/&amp;showversions=false" TargetMode="External"/><Relationship Id="rId411" Type="http://schemas.openxmlformats.org/officeDocument/2006/relationships/hyperlink" Target="https://s3.console.aws.amazon.com/s3/buckets/prod-shaip-bucket?region=us-east-1&amp;prefix=bhasha/Swar/Uttarpradesh-Hamirpur/AUDIO/Batch7_d1_Uttarpradesh-Hamirpur_new_files_04172023_1h20m/&amp;showversions=false" TargetMode="External"/><Relationship Id="rId653" Type="http://schemas.openxmlformats.org/officeDocument/2006/relationships/hyperlink" Target="https://s3.console.aws.amazon.com/s3/buckets/prod-shaip-bucket?region=us-east-1&amp;prefix=bhasha/swar_new/20-08-2023/WB/Kolkata/&amp;showversions=false" TargetMode="External"/><Relationship Id="rId895" Type="http://schemas.openxmlformats.org/officeDocument/2006/relationships/hyperlink" Target="https://s3.console.aws.amazon.com/s3/buckets/prod-shaip-bucket?region=us-east-1&amp;prefix=bhasha/swar_new/redelivery-19-09-2023/WB/North24Parganas/&amp;showversions=false" TargetMode="External"/><Relationship Id="rId1000" Type="http://schemas.openxmlformats.org/officeDocument/2006/relationships/hyperlink" Target="https://s3.console.aws.amazon.com/s3/buckets/prod-shaip-bucket?region=us-east-1&amp;prefix=bhasha/swar_new/17-10-2023/BR/Saran/&amp;showversions=false" TargetMode="External"/><Relationship Id="rId410" Type="http://schemas.openxmlformats.org/officeDocument/2006/relationships/hyperlink" Target="https://s3.console.aws.amazon.com/s3/buckets/prod-shaip-bucket?region=us-east-1&amp;prefix=bhasha/Swar/Uttarpradesh-Gorakhpur/AUDIO/Batch9_d1_Uttarpradesh-Gorakhpur_new_files_04172023_2h60m/&amp;showversions=false" TargetMode="External"/><Relationship Id="rId652" Type="http://schemas.openxmlformats.org/officeDocument/2006/relationships/hyperlink" Target="https://s3.console.aws.amazon.com/s3/buckets/prod-shaip-bucket?region=us-east-1&amp;prefix=bhasha/swar_new/20-08-2023/WB/Jhargram/&amp;showversions=false" TargetMode="External"/><Relationship Id="rId894" Type="http://schemas.openxmlformats.org/officeDocument/2006/relationships/hyperlink" Target="https://s3.console.aws.amazon.com/s3/buckets/prod-shaip-bucket?region=us-east-1&amp;prefix=bhasha/swar_new/redelivery-19-09-2023/WB/Malda/&amp;showversions=false" TargetMode="External"/><Relationship Id="rId1001" Type="http://schemas.openxmlformats.org/officeDocument/2006/relationships/hyperlink" Target="https://s3.console.aws.amazon.com/s3/buckets/prod-shaip-bucket?region=us-east-1&amp;prefix=bhasha/swar_new/17-10-2023/BR/Sitamarhi/&amp;showversions=false" TargetMode="External"/><Relationship Id="rId651" Type="http://schemas.openxmlformats.org/officeDocument/2006/relationships/hyperlink" Target="https://s3.console.aws.amazon.com/s3/buckets/prod-shaip-bucket?region=us-east-1&amp;prefix=bhasha/swar_new/20-08-2023/WB/Jalpaiguri/&amp;showversions=false" TargetMode="External"/><Relationship Id="rId893" Type="http://schemas.openxmlformats.org/officeDocument/2006/relationships/hyperlink" Target="https://s3.console.aws.amazon.com/s3/buckets/prod-shaip-bucket?region=us-east-1&amp;prefix=bhasha/swar_new/redelivery-19-09-2023/WB/Kolkata/&amp;showversions=false" TargetMode="External"/><Relationship Id="rId1002" Type="http://schemas.openxmlformats.org/officeDocument/2006/relationships/hyperlink" Target="https://s3.console.aws.amazon.com/s3/buckets/prod-shaip-bucket?region=us-east-1&amp;prefix=bhasha/swar_new/17-10-2023/BR/Supaul/&amp;showversions=false" TargetMode="External"/><Relationship Id="rId650" Type="http://schemas.openxmlformats.org/officeDocument/2006/relationships/hyperlink" Target="https://s3.console.aws.amazon.com/s3/buckets/prod-shaip-bucket?region=us-east-1&amp;prefix=bhasha/swar_new/20-08-2023/WB/DakshinDinajpur/&amp;showversions=false" TargetMode="External"/><Relationship Id="rId892" Type="http://schemas.openxmlformats.org/officeDocument/2006/relationships/hyperlink" Target="https://s3.console.aws.amazon.com/s3/buckets/prod-shaip-bucket?region=us-east-1&amp;prefix=bhasha/swar_new/redelivery-19-09-2023/WB/Jhargram/&amp;showversions=false" TargetMode="External"/><Relationship Id="rId1003" Type="http://schemas.openxmlformats.org/officeDocument/2006/relationships/hyperlink" Target="https://s3.console.aws.amazon.com/s3/buckets/prod-shaip-bucket?region=us-east-1&amp;prefix=bhasha/swar_new/17-10-2023/BR/Vaishali/&amp;showversions=false" TargetMode="External"/><Relationship Id="rId1037" Type="http://schemas.openxmlformats.org/officeDocument/2006/relationships/hyperlink" Target="https://s3.console.aws.amazon.com/s3/buckets/prod-shaip-bucket?region=us-east-1&amp;prefix=bhasha/swar_new/17-10-2023/TS/Nalgonda/&amp;showversions=false" TargetMode="External"/><Relationship Id="rId1038" Type="http://schemas.openxmlformats.org/officeDocument/2006/relationships/hyperlink" Target="https://s3.console.aws.amazon.com/s3/buckets/prod-shaip-bucket?region=us-east-1&amp;prefix=bhasha/swar_new/17-10-2023/UK/TehriGarhwal/&amp;showversions=false" TargetMode="External"/><Relationship Id="rId1039" Type="http://schemas.openxmlformats.org/officeDocument/2006/relationships/hyperlink" Target="https://s3.console.aws.amazon.com/s3/buckets/prod-shaip-bucket?region=us-east-1&amp;prefix=bhasha/swar_new/17-10-2023/UK/Uttarkashi/&amp;showversions=false" TargetMode="External"/><Relationship Id="rId206" Type="http://schemas.openxmlformats.org/officeDocument/2006/relationships/hyperlink" Target="https://s3.console.aws.amazon.com/s3/buckets/prod-shaip-bucket?region=us-east-1&amp;prefix=bhasha/Swar/Bihar-Gopalganj/AUDIO/Batch6_d1_Bihar-Gopalganj_new_files_03102023_20h14m/&amp;showversions=false" TargetMode="External"/><Relationship Id="rId448" Type="http://schemas.openxmlformats.org/officeDocument/2006/relationships/hyperlink" Target="https://s3.console.aws.amazon.com/s3/buckets/prod-shaip-bucket?region=us-east-1&amp;prefix=bhasha/swar_new/03-05-2023/BR/Supaul/&amp;showversions=false" TargetMode="External"/><Relationship Id="rId205" Type="http://schemas.openxmlformats.org/officeDocument/2006/relationships/hyperlink" Target="https://s3.console.aws.amazon.com/s3/buckets/prod-shaip-bucket?region=us-east-1&amp;prefix=bhasha/Swar/Bihar-Begusarai/AUDIO/Batch6_d1_Bihar-Begusarai_new_files_03102023_3h33m/&amp;showversions=false" TargetMode="External"/><Relationship Id="rId447" Type="http://schemas.openxmlformats.org/officeDocument/2006/relationships/hyperlink" Target="https://s3.console.aws.amazon.com/s3/buckets/prod-shaip-bucket?region=us-east-1&amp;prefix=bhasha/swar_new/03-05-2023/BR/Sitamarhi/&amp;showversions=false" TargetMode="External"/><Relationship Id="rId689" Type="http://schemas.openxmlformats.org/officeDocument/2006/relationships/hyperlink" Target="https://s3.console.aws.amazon.com/s3/buckets/prod-shaip-bucket?region=us-east-1&amp;prefix=bhasha/swar_new/29-08-2023/CG/Korba/&amp;showversions=false" TargetMode="External"/><Relationship Id="rId204" Type="http://schemas.openxmlformats.org/officeDocument/2006/relationships/hyperlink" Target="https://s3.console.aws.amazon.com/s3/buckets/prod-shaip-bucket?region=us-east-1&amp;prefix=bhasha/Swar/Bihar-Muzaffarpur/AUDIO/Batch5_d1_Bihar-Muzaffarpur_new_files_03112023_8h26m/&amp;showversions=false" TargetMode="External"/><Relationship Id="rId446" Type="http://schemas.openxmlformats.org/officeDocument/2006/relationships/hyperlink" Target="https://s3.console.aws.amazon.com/s3/buckets/prod-shaip-bucket?region=us-east-1&amp;prefix=bhasha/swar_new/03-05-2023/BR/Saran/&amp;showversions=false" TargetMode="External"/><Relationship Id="rId688" Type="http://schemas.openxmlformats.org/officeDocument/2006/relationships/hyperlink" Target="https://s3.console.aws.amazon.com/s3/buckets/prod-shaip-bucket?region=us-east-1&amp;prefix=bhasha/swar_new/29-08-2023/CG/Kabirdham/&amp;showversions=false" TargetMode="External"/><Relationship Id="rId203" Type="http://schemas.openxmlformats.org/officeDocument/2006/relationships/hyperlink" Target="https://s3.console.aws.amazon.com/s3/buckets/prod-shaip-bucket?region=us-east-1&amp;prefix=bhasha/Swar/Bihar-Jamui/AUDIO/Batch5_d1_Bihar-Jamui_new_files_03112023_3h22m/&amp;showversions=false" TargetMode="External"/><Relationship Id="rId445" Type="http://schemas.openxmlformats.org/officeDocument/2006/relationships/hyperlink" Target="https://s3.console.aws.amazon.com/s3/buckets/prod-shaip-bucket?region=us-east-1&amp;prefix=bhasha/swar_new/03-05-2023/BR/Samastipur/&amp;showversions=false" TargetMode="External"/><Relationship Id="rId687" Type="http://schemas.openxmlformats.org/officeDocument/2006/relationships/hyperlink" Target="https://s3.console.aws.amazon.com/s3/buckets/prod-shaip-bucket?region=us-east-1&amp;prefix=bhasha/swar_new/29-08-2023/CG/Jashpur/&amp;showversions=false" TargetMode="External"/><Relationship Id="rId209" Type="http://schemas.openxmlformats.org/officeDocument/2006/relationships/hyperlink" Target="https://s3.console.aws.amazon.com/s3/buckets/prod-shaip-bucket?region=us-east-1&amp;prefix=bhasha/Swar/Bihar-Sitamarhi/AUDIO/Batch7_d1_Bihar-Sitamarhi_new_files_03112023_8h32m/&amp;showversions=false" TargetMode="External"/><Relationship Id="rId208" Type="http://schemas.openxmlformats.org/officeDocument/2006/relationships/hyperlink" Target="https://s3.console.aws.amazon.com/s3/buckets/prod-shaip-bucket?region=us-east-1&amp;prefix=bhasha/Swar/Bihar-Samastipur/AUDIO/Batch7_d1_Bihar-Samastipur_new_files_03112023_6h47m/&amp;showversions=false" TargetMode="External"/><Relationship Id="rId207" Type="http://schemas.openxmlformats.org/officeDocument/2006/relationships/hyperlink" Target="https://s3.console.aws.amazon.com/s3/buckets/prod-shaip-bucket?region=us-east-1&amp;prefix=bhasha/Swar/Bihar-EastChamparan/AUDIO/Batch7_d1_Bihar-EastChamparan_new_files_03102023_15h40m/&amp;showversions=false" TargetMode="External"/><Relationship Id="rId449" Type="http://schemas.openxmlformats.org/officeDocument/2006/relationships/hyperlink" Target="https://s3.console.aws.amazon.com/s3/buckets/prod-shaip-bucket?region=us-east-1&amp;prefix=bhasha/swar_new/03-05-2023/BR/Vaishali/&amp;showversions=false" TargetMode="External"/><Relationship Id="rId440" Type="http://schemas.openxmlformats.org/officeDocument/2006/relationships/hyperlink" Target="https://s3.console.aws.amazon.com/s3/buckets/prod-shaip-bucket?region=us-east-1&amp;prefix=bhasha/swar_new/03-05-2023/BR/Lakhisarai/&amp;showversions=false" TargetMode="External"/><Relationship Id="rId682" Type="http://schemas.openxmlformats.org/officeDocument/2006/relationships/hyperlink" Target="https://s3.console.aws.amazon.com/s3/buckets/prod-shaip-bucket?region=us-east-1&amp;prefix=bhasha/swar_new/29-08-2023/BR/Supaul/&amp;showversions=false" TargetMode="External"/><Relationship Id="rId681" Type="http://schemas.openxmlformats.org/officeDocument/2006/relationships/hyperlink" Target="https://s3.console.aws.amazon.com/s3/buckets/prod-shaip-bucket?region=us-east-1&amp;prefix=bhasha/swar_new/29-08-2023/BR/Sitamarhi/&amp;showversions=false" TargetMode="External"/><Relationship Id="rId1030" Type="http://schemas.openxmlformats.org/officeDocument/2006/relationships/hyperlink" Target="https://s3.console.aws.amazon.com/s3/buckets/prod-shaip-bucket?region=us-east-1&amp;prefix=bhasha/swar_new/17-10-2023/MH/Nagpur/&amp;showversions=false" TargetMode="External"/><Relationship Id="rId680" Type="http://schemas.openxmlformats.org/officeDocument/2006/relationships/hyperlink" Target="https://s3.console.aws.amazon.com/s3/buckets/prod-shaip-bucket?region=us-east-1&amp;prefix=bhasha/swar_new/29-08-2023/BR/Saran/&amp;showversions=false" TargetMode="External"/><Relationship Id="rId1031" Type="http://schemas.openxmlformats.org/officeDocument/2006/relationships/hyperlink" Target="https://s3.console.aws.amazon.com/s3/buckets/prod-shaip-bucket?region=us-east-1&amp;prefix=bhasha/swar_new/17-10-2023/MH/Pune/&amp;showversions=false" TargetMode="External"/><Relationship Id="rId1032" Type="http://schemas.openxmlformats.org/officeDocument/2006/relationships/hyperlink" Target="https://s3.console.aws.amazon.com/s3/buckets/prod-shaip-bucket?region=us-east-1&amp;prefix=bhasha/swar_new/17-10-2023/MH/Sindhudurga/&amp;showversions=false" TargetMode="External"/><Relationship Id="rId202" Type="http://schemas.openxmlformats.org/officeDocument/2006/relationships/hyperlink" Target="https://s3.console.aws.amazon.com/s3/buckets/prod-shaip-bucket?region=us-east-1&amp;prefix=bhasha/Swar/Bihar-Saran/AUDIO/Batch4_d1_Bihar-Saran_new_files_03102023_11h57m/&amp;showversions=false" TargetMode="External"/><Relationship Id="rId444" Type="http://schemas.openxmlformats.org/officeDocument/2006/relationships/hyperlink" Target="https://s3.console.aws.amazon.com/s3/buckets/prod-shaip-bucket?region=us-east-1&amp;prefix=bhasha/swar_new/03-05-2023/BR/Saharsa/&amp;showversions=false" TargetMode="External"/><Relationship Id="rId686" Type="http://schemas.openxmlformats.org/officeDocument/2006/relationships/hyperlink" Target="https://s3.console.aws.amazon.com/s3/buckets/prod-shaip-bucket?region=us-east-1&amp;prefix=bhasha/swar_new/29-08-2023/CG/Bilaspur/&amp;showversions=false" TargetMode="External"/><Relationship Id="rId1033" Type="http://schemas.openxmlformats.org/officeDocument/2006/relationships/hyperlink" Target="https://s3.console.aws.amazon.com/s3/buckets/prod-shaip-bucket?region=us-east-1&amp;prefix=bhasha/swar_new/17-10-2023/MH/Solapur/&amp;showversions=false" TargetMode="External"/><Relationship Id="rId201" Type="http://schemas.openxmlformats.org/officeDocument/2006/relationships/hyperlink" Target="https://s3.console.aws.amazon.com/s3/buckets/prod-shaip-bucket?region=us-east-1&amp;prefix=bhasha/Swar/Bihar-Jahanabad/AUDIO/Batch4_d1_Bihar-Jahanabad_new_files_03102023_9h50m/&amp;showversions=false" TargetMode="External"/><Relationship Id="rId443" Type="http://schemas.openxmlformats.org/officeDocument/2006/relationships/hyperlink" Target="https://s3.console.aws.amazon.com/s3/buckets/prod-shaip-bucket?region=us-east-1&amp;prefix=bhasha/swar_new/03-05-2023/BR/Purnia/&amp;showversions=false" TargetMode="External"/><Relationship Id="rId685" Type="http://schemas.openxmlformats.org/officeDocument/2006/relationships/hyperlink" Target="https://s3.console.aws.amazon.com/s3/buckets/prod-shaip-bucket?region=us-east-1&amp;prefix=bhasha/swar_new/29-08-2023/CG/Bastar/&amp;showversions=false" TargetMode="External"/><Relationship Id="rId1034" Type="http://schemas.openxmlformats.org/officeDocument/2006/relationships/hyperlink" Target="https://s3.console.aws.amazon.com/s3/buckets/prod-shaip-bucket?region=us-east-1&amp;prefix=bhasha/swar_new/17-10-2023/RJ/Churu/&amp;showversions=false" TargetMode="External"/><Relationship Id="rId200" Type="http://schemas.openxmlformats.org/officeDocument/2006/relationships/hyperlink" Target="https://s3.console.aws.amazon.com/s3/buckets/prod-shaip-bucket?region=us-east-1&amp;prefix=bhasha/Swar/Bihar-Araria/AUDIO/Batch4_d1_Bihar-Araria_new_files_03102023_2h44m/&amp;showversions=false" TargetMode="External"/><Relationship Id="rId442" Type="http://schemas.openxmlformats.org/officeDocument/2006/relationships/hyperlink" Target="https://s3.console.aws.amazon.com/s3/buckets/prod-shaip-bucket?region=us-east-1&amp;prefix=bhasha/swar_new/03-05-2023/BR/Muzaffarpur/&amp;showversions=false" TargetMode="External"/><Relationship Id="rId684" Type="http://schemas.openxmlformats.org/officeDocument/2006/relationships/hyperlink" Target="https://s3.console.aws.amazon.com/s3/buckets/prod-shaip-bucket?region=us-east-1&amp;prefix=bhasha/swar_new/29-08-2023/CG/Balrampur/&amp;showversions=false" TargetMode="External"/><Relationship Id="rId1035" Type="http://schemas.openxmlformats.org/officeDocument/2006/relationships/hyperlink" Target="https://s3.console.aws.amazon.com/s3/buckets/prod-shaip-bucket?region=us-east-1&amp;prefix=bhasha/swar_new/17-10-2023/RJ/Nagaur/&amp;showversions=false" TargetMode="External"/><Relationship Id="rId441" Type="http://schemas.openxmlformats.org/officeDocument/2006/relationships/hyperlink" Target="https://s3.console.aws.amazon.com/s3/buckets/prod-shaip-bucket?region=us-east-1&amp;prefix=bhasha/swar_new/03-05-2023/BR/Madhepura/&amp;showversions=false" TargetMode="External"/><Relationship Id="rId683" Type="http://schemas.openxmlformats.org/officeDocument/2006/relationships/hyperlink" Target="https://s3.console.aws.amazon.com/s3/buckets/prod-shaip-bucket?region=us-east-1&amp;prefix=bhasha/swar_new/29-08-2023/BR/Vaishali/&amp;showversions=false" TargetMode="External"/><Relationship Id="rId1036" Type="http://schemas.openxmlformats.org/officeDocument/2006/relationships/hyperlink" Target="https://s3.console.aws.amazon.com/s3/buckets/prod-shaip-bucket?region=us-east-1&amp;prefix=bhasha/swar_new/17-10-2023/TS/Karimnagar/&amp;showversions=false" TargetMode="External"/><Relationship Id="rId1026" Type="http://schemas.openxmlformats.org/officeDocument/2006/relationships/hyperlink" Target="https://s3.console.aws.amazon.com/s3/buckets/prod-shaip-bucket?region=us-east-1&amp;prefix=bhasha/swar_new/17-10-2023/KA/Shimoga/&amp;showversions=false" TargetMode="External"/><Relationship Id="rId1027" Type="http://schemas.openxmlformats.org/officeDocument/2006/relationships/hyperlink" Target="https://s3.console.aws.amazon.com/s3/buckets/prod-shaip-bucket?region=us-east-1&amp;prefix=bhasha/swar_new/17-10-2023/MH/Aurangabad/&amp;showversions=false" TargetMode="External"/><Relationship Id="rId1028" Type="http://schemas.openxmlformats.org/officeDocument/2006/relationships/hyperlink" Target="https://s3.console.aws.amazon.com/s3/buckets/prod-shaip-bucket?region=us-east-1&amp;prefix=bhasha/swar_new/17-10-2023/MH/Chandrapur/&amp;showversions=false" TargetMode="External"/><Relationship Id="rId1029" Type="http://schemas.openxmlformats.org/officeDocument/2006/relationships/hyperlink" Target="https://s3.console.aws.amazon.com/s3/buckets/prod-shaip-bucket?region=us-east-1&amp;prefix=bhasha/swar_new/17-10-2023/MH/Dhule/&amp;showversions=false" TargetMode="External"/><Relationship Id="rId437" Type="http://schemas.openxmlformats.org/officeDocument/2006/relationships/hyperlink" Target="https://s3.console.aws.amazon.com/s3/buckets/prod-shaip-bucket?region=us-east-1&amp;prefix=bhasha/swar_new/03-05-2023/BR/Jahanabad/&amp;showversions=false" TargetMode="External"/><Relationship Id="rId679" Type="http://schemas.openxmlformats.org/officeDocument/2006/relationships/hyperlink" Target="https://s3.console.aws.amazon.com/s3/buckets/prod-shaip-bucket?region=us-east-1&amp;prefix=bhasha/swar_new/29-08-2023/BR/Samastipur/&amp;showversions=false" TargetMode="External"/><Relationship Id="rId436" Type="http://schemas.openxmlformats.org/officeDocument/2006/relationships/hyperlink" Target="https://s3.console.aws.amazon.com/s3/buckets/prod-shaip-bucket?region=us-east-1&amp;prefix=bhasha/swar_new/03-05-2023/BR/Gopalganj/&amp;showversions=false" TargetMode="External"/><Relationship Id="rId678" Type="http://schemas.openxmlformats.org/officeDocument/2006/relationships/hyperlink" Target="https://s3.console.aws.amazon.com/s3/buckets/prod-shaip-bucket?region=us-east-1&amp;prefix=bhasha/swar_new/29-08-2023/BR/Saharsa/&amp;showversions=false" TargetMode="External"/><Relationship Id="rId435" Type="http://schemas.openxmlformats.org/officeDocument/2006/relationships/hyperlink" Target="https://s3.console.aws.amazon.com/s3/buckets/prod-shaip-bucket?region=us-east-1&amp;prefix=bhasha/swar_new/03-05-2023/BR/Gaya/&amp;showversions=false" TargetMode="External"/><Relationship Id="rId677" Type="http://schemas.openxmlformats.org/officeDocument/2006/relationships/hyperlink" Target="https://s3.console.aws.amazon.com/s3/buckets/prod-shaip-bucket?region=us-east-1&amp;prefix=bhasha/swar_new/29-08-2023/BR/Purnia/&amp;showversions=false" TargetMode="External"/><Relationship Id="rId434" Type="http://schemas.openxmlformats.org/officeDocument/2006/relationships/hyperlink" Target="https://s3.console.aws.amazon.com/s3/buckets/prod-shaip-bucket?region=us-east-1&amp;prefix=bhasha/swar_new/03-05-2023/BR/EastChamparan/&amp;showversions=false" TargetMode="External"/><Relationship Id="rId676" Type="http://schemas.openxmlformats.org/officeDocument/2006/relationships/hyperlink" Target="https://s3.console.aws.amazon.com/s3/buckets/prod-shaip-bucket?region=us-east-1&amp;prefix=bhasha/swar_new/29-08-2023/BR/Muzaffarpur/&amp;showversions=false" TargetMode="External"/><Relationship Id="rId439" Type="http://schemas.openxmlformats.org/officeDocument/2006/relationships/hyperlink" Target="https://s3.console.aws.amazon.com/s3/buckets/prod-shaip-bucket?region=us-east-1&amp;prefix=bhasha/swar_new/03-05-2023/BR/Kishanganj/&amp;showversions=false" TargetMode="External"/><Relationship Id="rId438" Type="http://schemas.openxmlformats.org/officeDocument/2006/relationships/hyperlink" Target="https://s3.console.aws.amazon.com/s3/buckets/prod-shaip-bucket?region=us-east-1&amp;prefix=bhasha/swar_new/03-05-2023/BR/Jamui/&amp;showversions=false" TargetMode="External"/><Relationship Id="rId671" Type="http://schemas.openxmlformats.org/officeDocument/2006/relationships/hyperlink" Target="https://s3.console.aws.amazon.com/s3/buckets/prod-shaip-bucket?region=us-east-1&amp;prefix=bhasha/swar_new/29-08-2023/BR/Jahanabad/&amp;showversions=false" TargetMode="External"/><Relationship Id="rId670" Type="http://schemas.openxmlformats.org/officeDocument/2006/relationships/hyperlink" Target="https://s3.console.aws.amazon.com/s3/buckets/prod-shaip-bucket?region=us-east-1&amp;prefix=bhasha/swar_new/29-08-2023/BR/Gopalganj/&amp;showversions=false" TargetMode="External"/><Relationship Id="rId1020" Type="http://schemas.openxmlformats.org/officeDocument/2006/relationships/hyperlink" Target="https://s3.console.aws.amazon.com/s3/buckets/prod-shaip-bucket?region=us-east-1&amp;prefix=bhasha/swar_new/17-10-2023/KA/Chamrajnagar/&amp;showversions=false" TargetMode="External"/><Relationship Id="rId1021" Type="http://schemas.openxmlformats.org/officeDocument/2006/relationships/hyperlink" Target="https://s3.console.aws.amazon.com/s3/buckets/prod-shaip-bucket?region=us-east-1&amp;prefix=bhasha/swar_new/17-10-2023/KA/DakshinKannada/&amp;showversions=false" TargetMode="External"/><Relationship Id="rId433" Type="http://schemas.openxmlformats.org/officeDocument/2006/relationships/hyperlink" Target="https://s3.console.aws.amazon.com/s3/buckets/prod-shaip-bucket?region=us-east-1&amp;prefix=bhasha/swar_new/03-05-2023/BR/Darbhanga/&amp;showversions=false" TargetMode="External"/><Relationship Id="rId675" Type="http://schemas.openxmlformats.org/officeDocument/2006/relationships/hyperlink" Target="https://s3.console.aws.amazon.com/s3/buckets/prod-shaip-bucket?region=us-east-1&amp;prefix=bhasha/swar_new/29-08-2023/BR/Madhepura/&amp;showversions=false" TargetMode="External"/><Relationship Id="rId1022" Type="http://schemas.openxmlformats.org/officeDocument/2006/relationships/hyperlink" Target="https://s3.console.aws.amazon.com/s3/buckets/prod-shaip-bucket?region=us-east-1&amp;prefix=bhasha/swar_new/17-10-2023/KA/Dharwad/&amp;showversions=false" TargetMode="External"/><Relationship Id="rId432" Type="http://schemas.openxmlformats.org/officeDocument/2006/relationships/hyperlink" Target="https://s3.console.aws.amazon.com/s3/buckets/prod-shaip-bucket?region=us-east-1&amp;prefix=bhasha/swar_new/03-05-2023/BR/Bhagalpur/&amp;showversions=false" TargetMode="External"/><Relationship Id="rId674" Type="http://schemas.openxmlformats.org/officeDocument/2006/relationships/hyperlink" Target="https://s3.console.aws.amazon.com/s3/buckets/prod-shaip-bucket?region=us-east-1&amp;prefix=bhasha/swar_new/29-08-2023/BR/Lakhisarai/&amp;showversions=false" TargetMode="External"/><Relationship Id="rId1023" Type="http://schemas.openxmlformats.org/officeDocument/2006/relationships/hyperlink" Target="https://s3.console.aws.amazon.com/s3/buckets/prod-shaip-bucket?region=us-east-1&amp;prefix=bhasha/swar_new/17-10-2023/KA/Gulbarga/&amp;showversions=false" TargetMode="External"/><Relationship Id="rId431" Type="http://schemas.openxmlformats.org/officeDocument/2006/relationships/hyperlink" Target="https://s3.console.aws.amazon.com/s3/buckets/prod-shaip-bucket?region=us-east-1&amp;prefix=bhasha/swar_new/03-05-2023/BR/Begusarai/&amp;showversions=false" TargetMode="External"/><Relationship Id="rId673" Type="http://schemas.openxmlformats.org/officeDocument/2006/relationships/hyperlink" Target="https://s3.console.aws.amazon.com/s3/buckets/prod-shaip-bucket?region=us-east-1&amp;prefix=bhasha/swar_new/29-08-2023/BR/Kishanganj/&amp;showversions=false" TargetMode="External"/><Relationship Id="rId1024" Type="http://schemas.openxmlformats.org/officeDocument/2006/relationships/hyperlink" Target="https://s3.console.aws.amazon.com/s3/buckets/prod-shaip-bucket?region=us-east-1&amp;prefix=bhasha/swar_new/17-10-2023/KA/Mysore/&amp;showversions=false" TargetMode="External"/><Relationship Id="rId430" Type="http://schemas.openxmlformats.org/officeDocument/2006/relationships/hyperlink" Target="https://s3.console.aws.amazon.com/s3/buckets/prod-shaip-bucket?region=us-east-1&amp;prefix=bhasha/swar_new/03-05-2023/BR/Araria/&amp;showversions=false" TargetMode="External"/><Relationship Id="rId672" Type="http://schemas.openxmlformats.org/officeDocument/2006/relationships/hyperlink" Target="https://s3.console.aws.amazon.com/s3/buckets/prod-shaip-bucket?region=us-east-1&amp;prefix=bhasha/swar_new/29-08-2023/BR/Jamui/&amp;showversions=false" TargetMode="External"/><Relationship Id="rId1025" Type="http://schemas.openxmlformats.org/officeDocument/2006/relationships/hyperlink" Target="https://s3.console.aws.amazon.com/s3/buckets/prod-shaip-bucket?region=us-east-1&amp;prefix=bhasha/swar_new/17-10-2023/KA/Raichur/&amp;showversions=fals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1" max="1" width="18.75"/>
    <col customWidth="1" min="2" max="2" width="18.38"/>
    <col customWidth="1" min="3" max="3" width="44.0"/>
    <col customWidth="1" min="4" max="4" width="11.25"/>
  </cols>
  <sheetData>
    <row r="1">
      <c r="A1" s="1"/>
      <c r="B1" s="1"/>
      <c r="C1" s="2"/>
      <c r="D1" s="1"/>
      <c r="E1" s="3">
        <v>0.0</v>
      </c>
      <c r="F1" s="3">
        <v>1297.9113654861103</v>
      </c>
      <c r="G1" s="3">
        <v>0.0</v>
      </c>
      <c r="H1" s="3">
        <v>200.60799772569442</v>
      </c>
      <c r="I1" s="3">
        <v>0.0</v>
      </c>
      <c r="J1" s="3">
        <v>1471.668710260417</v>
      </c>
      <c r="K1" s="3">
        <v>0.0</v>
      </c>
      <c r="L1" s="3">
        <v>1259.425587777777</v>
      </c>
      <c r="M1" s="3">
        <v>0.0</v>
      </c>
      <c r="N1" s="3">
        <v>2040.5593649479158</v>
      </c>
      <c r="O1" s="3">
        <v>0.0</v>
      </c>
      <c r="P1" s="3">
        <v>731.9576405208335</v>
      </c>
      <c r="Q1" s="3">
        <v>0.0</v>
      </c>
      <c r="R1" s="3">
        <v>388.2218996527778</v>
      </c>
      <c r="S1" s="3">
        <v>0.0</v>
      </c>
      <c r="T1" s="3">
        <v>665.4979022743051</v>
      </c>
      <c r="U1" s="3">
        <v>0.0</v>
      </c>
      <c r="V1" s="3">
        <v>0.0</v>
      </c>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row>
    <row r="2">
      <c r="A2" s="4" t="s">
        <v>0</v>
      </c>
      <c r="B2" s="4" t="s">
        <v>1</v>
      </c>
      <c r="C2" s="4" t="s">
        <v>2</v>
      </c>
      <c r="D2" s="4" t="s">
        <v>3</v>
      </c>
      <c r="E2" s="5" t="str">
        <f>HYPERLINK("https://docs.google.com/spreadsheets/d/12KdEvAvzsw0bam5odgpXgp4_cqTjYrsG", "03-05-2023")</f>
        <v>03-05-2023</v>
      </c>
      <c r="F2" s="5" t="str">
        <f>HYPERLINK("https://docs.google.com/spreadsheets/d/13AjswbRt0GX1GsJlMSEBCZ_xjS8tGzWx", "03-07-2023")</f>
        <v>03-07-2023</v>
      </c>
      <c r="G2" s="5" t="str">
        <f>HYPERLINK("https://docs.google.com/spreadsheets/d/1VnLupIRPzQ_xSLtIKtE_xjvepGqJlOcX", "redelivery-03-07-2023")</f>
        <v>redelivery-03-07-2023</v>
      </c>
      <c r="H2" s="5" t="str">
        <f>HYPERLINK("https://docs.google.com/spreadsheets/d/1hVpFil6kR7u15M6QzNnl2j0mSwoCIUGy", "06-07-2023")</f>
        <v>06-07-2023</v>
      </c>
      <c r="I2" s="5" t="str">
        <f>HYPERLINK("https://docs.google.com/spreadsheets/d/1uj6ElB1MK7OkULHhXT4FVpZnVF9w1E9K", "redelivery-06-07-2023")</f>
        <v>redelivery-06-07-2023</v>
      </c>
      <c r="J2" s="5" t="str">
        <f>HYPERLINK("https://docs.google.com/spreadsheets/d/1pm5hLgo_0guXz0w2w5ImhgF0w-qS9ZoW", "25-07-2023")</f>
        <v>25-07-2023</v>
      </c>
      <c r="K2" s="6" t="str">
        <f>HYPERLINK("https://docs.google.com/spreadsheets/d/1rFd3UrR2R2lJFG-bBuyxFXc9TZyQeZbK", "redelivery-25-07-2023")</f>
        <v>redelivery-25-07-2023</v>
      </c>
      <c r="L2" s="6" t="str">
        <f>HYPERLINK("https://docs.google.com/spreadsheets/d/1MFkGuAhsdgIpRBR3PZBNxNMrW30mw9PN", "20-08-2023")</f>
        <v>20-08-2023</v>
      </c>
      <c r="M2" s="7" t="s">
        <v>4</v>
      </c>
      <c r="N2" s="6" t="str">
        <f>HYPERLINK("https://docs.google.com/spreadsheets/d/18GP8sCA-fvmXqtUiPzDZUGshyXFvuvw4", "29-08-2023")</f>
        <v>29-08-2023</v>
      </c>
      <c r="O2" s="6" t="str">
        <f>HYPERLINK("https://docs.google.com/spreadsheets/d/1aaHpRd743mATDQ3uIYKdV2TXXZbapqOT", "redelivery-29-08-2023")</f>
        <v>redelivery-29-08-2023</v>
      </c>
      <c r="P2" s="6" t="str">
        <f>HYPERLINK("https://docs.google.com/spreadsheets/d/16sUdFmTaQHQpUUADC6hFJH_zqS1TAgx-", "14-09-2023")</f>
        <v>14-09-2023</v>
      </c>
      <c r="Q2" s="6" t="str">
        <f>HYPERLINK("https://docs.google.com/spreadsheets/d/1nciFD2T2zJ7tdYo1W8_TQ2SS-omoAnjJ", "redelivery-14-09-2023")</f>
        <v>redelivery-14-09-2023</v>
      </c>
      <c r="R2" s="6" t="str">
        <f>HYPERLINK("https://docs.google.com/spreadsheets/d/1WUaSrUg0sFQXfClG1HEFNjraxwg0QJcZ", "09-10-2023")</f>
        <v>09-10-2023</v>
      </c>
      <c r="S2" s="6" t="str">
        <f>HYPERLINK("https://docs.google.com/spreadsheets/d/1c2FolQFaNxI3SNIRswaJbyzXgz6UnV3n", "redelivery-09-10-2023")</f>
        <v>redelivery-09-10-2023</v>
      </c>
      <c r="T2" s="5" t="str">
        <f>HYPERLINK("https://docs.google.com/spreadsheets/d/1G3p97O0Ig2VWsiGRPwADLPK9WTqPvI58", "17-10-2023")</f>
        <v>17-10-2023</v>
      </c>
      <c r="U2" s="7" t="s">
        <v>5</v>
      </c>
      <c r="V2" s="7" t="s">
        <v>6</v>
      </c>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row>
    <row r="3">
      <c r="A3" s="9" t="s">
        <v>7</v>
      </c>
      <c r="B3" s="10" t="s">
        <v>8</v>
      </c>
      <c r="C3" s="11" t="str">
        <f>HYPERLINK("https://docs.google.com/spreadsheets/d/1Ptm9g6jVoFbpgLko8TxwuIHNGEohCfkP/edit?usp=share_link&amp;ouid=106501987799020758802&amp;rtpof=true&amp;sd=true", "Raw Delivered")</f>
        <v>Raw Delivered</v>
      </c>
      <c r="D3" s="12">
        <f t="shared" ref="D3:D644" si="1">SUM(E3:FH3)</f>
        <v>7747.556029</v>
      </c>
      <c r="E3" s="13"/>
      <c r="F3" s="14">
        <f>HYPERLINK("https://docs.google.com/spreadsheets/d/1B773sQV9sL31j6-vOUOHwvuIRWMU-WcK", 1772.391934375)</f>
        <v>1772.391934</v>
      </c>
      <c r="G3" s="13"/>
      <c r="H3" s="14">
        <f>HYPERLINK("https://docs.google.com/spreadsheets/d/114psvmVh2O-wo6U_jJ_Jnpq8-ie_vIdO", 178.954527083333)</f>
        <v>178.9545271</v>
      </c>
      <c r="I3" s="13"/>
      <c r="J3" s="14">
        <f>HYPERLINK("https://docs.google.com/spreadsheets/d/1q0QWxEtStMhVZKS5j-1Jb7Fm1UdvPjs0", 2364.45231875)</f>
        <v>2364.452319</v>
      </c>
      <c r="K3" s="13"/>
      <c r="L3" s="14">
        <f t="shared" ref="L3:L4" si="2">HYPERLINK("https://docs.google.com/spreadsheets/d/1Cc9FZ56ECmpIhp57FjxrokTFjGKCHBsy", 660.513488541667)</f>
        <v>660.5134885</v>
      </c>
      <c r="M3" s="13"/>
      <c r="N3" s="14">
        <f>HYPERLINK("https://docs.google.com/spreadsheets/d/1PgJDeCFQ8T0Rj4HpO27AMs6xHg4A86sg", 1644.56364999999)</f>
        <v>1644.56365</v>
      </c>
      <c r="O3" s="13"/>
      <c r="P3" s="14">
        <f t="shared" ref="P3:P4" si="3">HYPERLINK("https://docs.google.com/spreadsheets/d/12z1EZztl5BfXhrqkdFSZMnmt1MZAnqs9", 521.003290625)</f>
        <v>521.0032906</v>
      </c>
      <c r="Q3" s="13"/>
      <c r="R3" s="14">
        <f t="shared" ref="R3:R4" si="4">HYPERLINK("https://docs.google.com/spreadsheets/d/16uiwCERJgnoDLZojNQdYuEt40wrsCCvF", 229.508490624999)</f>
        <v>229.5084906</v>
      </c>
      <c r="S3" s="13"/>
      <c r="T3" s="14">
        <f t="shared" ref="T3:T4" si="5">HYPERLINK("https://docs.google.com/spreadsheets/d/1-rgqjd7Qp6SZtjD9k676vqLAocDX7e8Y", 376.168329166666)</f>
        <v>376.1683292</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row>
    <row r="4">
      <c r="A4" s="15" t="s">
        <v>7</v>
      </c>
      <c r="B4" s="15" t="s">
        <v>8</v>
      </c>
      <c r="C4" s="15" t="s">
        <v>9</v>
      </c>
      <c r="D4" s="16">
        <f t="shared" si="1"/>
        <v>1787.193599</v>
      </c>
      <c r="E4" s="17"/>
      <c r="F4" s="18" t="str">
        <f>HYPERLINK("https://docs.google.com/spreadsheets/d/1B773sQV9sL31j6-vOUOHwvuIRWMU-WcK", "RE-1772.3919343750008")</f>
        <v>RE-1772.3919343750008</v>
      </c>
      <c r="G4" s="17"/>
      <c r="H4" s="18" t="str">
        <f>HYPERLINK("https://docs.google.com/spreadsheets/d/114psvmVh2O-wo6U_jJ_Jnpq8-ie_vIdO", "RE-178.9545270833333")</f>
        <v>RE-178.9545270833333</v>
      </c>
      <c r="I4" s="17"/>
      <c r="J4" s="18" t="str">
        <f>HYPERLINK("https://docs.google.com/spreadsheets/d/1q0QWxEtStMhVZKS5j-1Jb7Fm1UdvPjs0", "RE-2364.4523187500063")</f>
        <v>RE-2364.4523187500063</v>
      </c>
      <c r="K4" s="17"/>
      <c r="L4" s="18">
        <f t="shared" si="2"/>
        <v>660.5134885</v>
      </c>
      <c r="M4" s="19"/>
      <c r="N4" s="20" t="str">
        <f>HYPERLINK("https://docs.google.com/spreadsheets/d/1PgJDeCFQ8T0Rj4HpO27AMs6xHg4A86sg", "RE-1644.5636499999932")</f>
        <v>RE-1644.5636499999932</v>
      </c>
      <c r="O4" s="21"/>
      <c r="P4" s="20">
        <f t="shared" si="3"/>
        <v>521.0032906</v>
      </c>
      <c r="Q4" s="17"/>
      <c r="R4" s="18">
        <f t="shared" si="4"/>
        <v>229.5084906</v>
      </c>
      <c r="S4" s="17"/>
      <c r="T4" s="18">
        <f t="shared" si="5"/>
        <v>376.1683292</v>
      </c>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row>
    <row r="5">
      <c r="A5" s="15" t="s">
        <v>7</v>
      </c>
      <c r="B5" s="15" t="s">
        <v>8</v>
      </c>
      <c r="C5" s="22" t="s">
        <v>10</v>
      </c>
      <c r="D5" s="16">
        <f t="shared" si="1"/>
        <v>836.3857177</v>
      </c>
      <c r="E5" s="17"/>
      <c r="F5" s="17"/>
      <c r="G5" s="18">
        <f>HYPERLINK("https://docs.google.com/spreadsheets/d/1WC8veqpXAgzm3k2nlq9u3puB1EAc6idQ", 160.481727083333)</f>
        <v>160.4817271</v>
      </c>
      <c r="H5" s="17"/>
      <c r="I5" s="18">
        <f>HYPERLINK("https://docs.google.com/spreadsheets/d/1imcXJiNkZ5oEyp4Sw-Fq2tkfbbnyU5io", 16.5076895833333)</f>
        <v>16.50768958</v>
      </c>
      <c r="J5" s="17"/>
      <c r="K5" s="18">
        <f>HYPERLINK("https://docs.google.com/spreadsheets/d/1dS54JXBLbSG-Jezt9d85rdZ2ZZ1oc9tN", 217.875819791666)</f>
        <v>217.8758198</v>
      </c>
      <c r="L5" s="17"/>
      <c r="M5" s="23">
        <f>HYPERLINK("https://docs.google.com/spreadsheets/d/1FT8WvXQsfO_nHPcetwb26lTeN2j2peZy", 43.7641218749999)</f>
        <v>43.76412187</v>
      </c>
      <c r="N5" s="21"/>
      <c r="O5" s="20">
        <f>HYPERLINK("https://docs.google.com/spreadsheets/d/1Rltj5fMsU_5djo27AURUXOcfAPjASPkc", 143.388753124999)</f>
        <v>143.3887531</v>
      </c>
      <c r="P5" s="19"/>
      <c r="Q5" s="18">
        <f>HYPERLINK("https://docs.google.com/spreadsheets/d/1HAxAUZBIgJLxEQhlreY15durzlGuf4eo", 160.379176041666)</f>
        <v>160.379176</v>
      </c>
      <c r="R5" s="17"/>
      <c r="S5" s="18">
        <f>HYPERLINK("https://docs.google.com/spreadsheets/d/1B4JdbQ3FATew-BTFB2vu3sESq0EARMWB", 32.6653291666666)</f>
        <v>32.66532917</v>
      </c>
      <c r="T5" s="17"/>
      <c r="U5" s="18">
        <f>HYPERLINK("https://docs.google.com/spreadsheets/d/164G3k10mtsHTW1IdPzeFcOuGYLUVM1mf", 58.4079281249999)</f>
        <v>58.40792812</v>
      </c>
      <c r="V5" s="18">
        <f>HYPERLINK("https://docs.google.com/spreadsheets/d/1Hr0226p-5JBmfb-KtCusPtBImvBEFm3k", 2.91517291666666)</f>
        <v>2.915172917</v>
      </c>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row>
    <row r="6">
      <c r="A6" s="24" t="s">
        <v>7</v>
      </c>
      <c r="B6" s="24" t="s">
        <v>8</v>
      </c>
      <c r="C6" s="24" t="s">
        <v>11</v>
      </c>
      <c r="D6" s="16">
        <f t="shared" si="1"/>
        <v>0</v>
      </c>
      <c r="E6" s="17"/>
      <c r="F6" s="17"/>
      <c r="G6" s="18" t="str">
        <f>HYPERLINK("https://docs.google.com/spreadsheets/d/1WC8veqpXAgzm3k2nlq9u3puB1EAc6idQ", "RE-160.48172708333303")</f>
        <v>RE-160.48172708333303</v>
      </c>
      <c r="H6" s="17"/>
      <c r="I6" s="18" t="str">
        <f>HYPERLINK("https://docs.google.com/spreadsheets/d/1imcXJiNkZ5oEyp4Sw-Fq2tkfbbnyU5io", "RE-16.507689583333338")</f>
        <v>RE-16.507689583333338</v>
      </c>
      <c r="J6" s="17"/>
      <c r="K6" s="18" t="str">
        <f>HYPERLINK("https://docs.google.com/spreadsheets/d/1dS54JXBLbSG-Jezt9d85rdZ2ZZ1oc9tN", "RE-217.8758197916662")</f>
        <v>RE-217.8758197916662</v>
      </c>
      <c r="L6" s="17"/>
      <c r="M6" s="18" t="str">
        <f>HYPERLINK("https://docs.google.com/spreadsheets/d/1FT8WvXQsfO_nHPcetwb26lTeN2j2peZy", "RE-43.76412187499997")</f>
        <v>RE-43.76412187499997</v>
      </c>
      <c r="N6" s="17"/>
      <c r="O6" s="18" t="str">
        <f>HYPERLINK("https://docs.google.com/spreadsheets/d/1Rltj5fMsU_5djo27AURUXOcfAPjASPkc", "RE-143.38875312499994")</f>
        <v>RE-143.38875312499994</v>
      </c>
      <c r="P6" s="17"/>
      <c r="Q6" s="18" t="str">
        <f>HYPERLINK("https://docs.google.com/spreadsheets/d/1HAxAUZBIgJLxEQhlreY15durzlGuf4eo", "RE-160.37917604166662")</f>
        <v>RE-160.37917604166662</v>
      </c>
      <c r="R6" s="17"/>
      <c r="S6" s="18" t="str">
        <f>HYPERLINK("https://docs.google.com/spreadsheets/d/1B4JdbQ3FATew-BTFB2vu3sESq0EARMWB", "RE-32.66532916666666")</f>
        <v>RE-32.66532916666666</v>
      </c>
      <c r="T6" s="17"/>
      <c r="U6" s="18" t="str">
        <f>HYPERLINK("https://docs.google.com/spreadsheets/d/164G3k10mtsHTW1IdPzeFcOuGYLUVM1mf", "RE-58.40792812499999")</f>
        <v>RE-58.40792812499999</v>
      </c>
      <c r="V6" s="18" t="str">
        <f>HYPERLINK("https://docs.google.com/spreadsheets/d/1Hr0226p-5JBmfb-KtCusPtBImvBEFm3k", "RE-2.915172916666667")</f>
        <v>RE-2.915172916666667</v>
      </c>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row>
    <row r="7">
      <c r="A7" s="24" t="s">
        <v>7</v>
      </c>
      <c r="B7" s="24" t="s">
        <v>8</v>
      </c>
      <c r="C7" s="24" t="s">
        <v>12</v>
      </c>
      <c r="D7" s="16">
        <f t="shared" si="1"/>
        <v>1633.13835</v>
      </c>
      <c r="E7" s="17"/>
      <c r="F7" s="18" t="str">
        <f>HYPERLINK("https://docs.google.com/spreadsheets/d/1yMYXoZFu-70QVKjfwBUdZdWwD7nVaTSw", "RE-1470.4448145833323")</f>
        <v>RE-1470.4448145833323</v>
      </c>
      <c r="G7" s="18" t="str">
        <f>HYPERLINK("https://docs.google.com/spreadsheets/d/1el1U5ZhPvdQP2S0Z8YCCUckAXVyuI7wW", "RE-7.542935416666667")</f>
        <v>RE-7.542935416666667</v>
      </c>
      <c r="H7" s="18" t="str">
        <f>HYPERLINK("https://docs.google.com/spreadsheets/d/1-5EDSyWRz4EiEe8dsUurWq1IrKwyqIoP", "RE-167.42131458333324")</f>
        <v>RE-167.42131458333324</v>
      </c>
      <c r="I7" s="18" t="str">
        <f>HYPERLINK("https://docs.google.com/spreadsheets/d/1ew3mopeU3b3geEK8-BRv5kzTjNSvm33I", "RE-0.5626208333333333")</f>
        <v>RE-0.5626208333333333</v>
      </c>
      <c r="J7" s="18" t="str">
        <f>HYPERLINK("https://docs.google.com/spreadsheets/d/1iDPxFsqRkScQYRcJwvAOQS4GEmfwwAsz", "RE-1825.0844520833307")</f>
        <v>RE-1825.0844520833307</v>
      </c>
      <c r="K7" s="18" t="str">
        <f>HYPERLINK("https://docs.google.com/spreadsheets/d/1hNMNhKYrC7GrQ_GsGk7P6TlyVK8AwoF8", "RE-8.843414583333335")</f>
        <v>RE-8.843414583333335</v>
      </c>
      <c r="L7" s="18">
        <f>HYPERLINK("https://docs.google.com/spreadsheets/d/1fWn1VKQfAZewJnhpTEc9_uMBZlD2YMDU", 578.642050000001)</f>
        <v>578.64205</v>
      </c>
      <c r="M7" s="18" t="str">
        <f>HYPERLINK("https://docs.google.com/spreadsheets/d/1iih7k5vamwktZF8MiTf7oCZC7ZGBCpID", "RE-4.547079166666666")</f>
        <v>RE-4.547079166666666</v>
      </c>
      <c r="N7" s="18" t="str">
        <f>HYPERLINK("https://docs.google.com/spreadsheets/d/1BkwyX6T0oQ6nd3I2yxlyXc2c3tU3cRL8", "RE-1012.140626041665")</f>
        <v>RE-1012.140626041665</v>
      </c>
      <c r="O7" s="18" t="str">
        <f>HYPERLINK("https://docs.google.com/spreadsheets/d/1h_yR1McjkJTxA9z-BUiod32z5lD3UC2J", "RE-14.377529166666667")</f>
        <v>RE-14.377529166666667</v>
      </c>
      <c r="P7" s="18">
        <f>HYPERLINK("https://docs.google.com/spreadsheets/d/1nUhFKxSe7kgg6SlDW9dsOm97_zS9wgak", 477.101444791667)</f>
        <v>477.1014448</v>
      </c>
      <c r="Q7" s="18" t="str">
        <f>HYPERLINK("https://docs.google.com/spreadsheets/d/1XehulqxNXqLwPg1VwI_zMW7v-nPEkjMS", "RE-70.3925885416667")</f>
        <v>RE-70.3925885416667</v>
      </c>
      <c r="R7" s="18">
        <f>HYPERLINK("https://docs.google.com/spreadsheets/d/1ak8_9CZGPGNHgz4-yvNk3KGvQam2Bafi", 214.381443749999)</f>
        <v>214.3814437</v>
      </c>
      <c r="S7" s="18" t="str">
        <f>HYPERLINK("https://docs.google.com/spreadsheets/d/1R2DP1ihri_SNoYLsylo9hPv4nZkLtKyw", "RE-17.128077083333327")</f>
        <v>RE-17.128077083333327</v>
      </c>
      <c r="T7" s="18">
        <f>HYPERLINK("https://docs.google.com/spreadsheets/d/1IoEu-NMM8jm4hY5LQFX_0daUc4GfMNpq", 363.013411458333)</f>
        <v>363.0134115</v>
      </c>
      <c r="U7" s="18" t="str">
        <f>HYPERLINK("https://docs.google.com/spreadsheets/d/1VATXMHDOPjrLTceTDWuOHFMAOB5CY1Co", "RE-31.984618750000006")</f>
        <v>RE-31.984618750000006</v>
      </c>
      <c r="V7" s="18" t="str">
        <f>HYPERLINK("https://docs.google.com/spreadsheets/d/1ygMBqkQVquQRsyIzk7IfU9OPh63i5czO", "RE-2.279995833333333")</f>
        <v>RE-2.279995833333333</v>
      </c>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row>
    <row r="8">
      <c r="A8" s="25" t="s">
        <v>7</v>
      </c>
      <c r="B8" s="25" t="s">
        <v>8</v>
      </c>
      <c r="C8" s="25" t="s">
        <v>13</v>
      </c>
      <c r="D8" s="16">
        <f t="shared" si="1"/>
        <v>1562.134</v>
      </c>
      <c r="E8" s="17"/>
      <c r="F8" s="18" t="str">
        <f>HYPERLINK("https://docs.google.com/spreadsheets/d/1ZDDdogZ6Waf1xjqJF82e6OhBTuFmR50c?usp=share_link", "RE-1420.55")</f>
        <v>RE-1420.55</v>
      </c>
      <c r="G8" s="18" t="str">
        <f>HYPERLINK("https://docs.google.com/spreadsheets/d/1LjasDvxcnjxnJyGvRXWYoTw-zMkIaoE-?usp=share_link", "RE-7.22458")</f>
        <v>RE-7.22458</v>
      </c>
      <c r="H8" s="18" t="str">
        <f>HYPERLINK("https://docs.google.com/spreadsheets/d/1lZ2ODnCytl9ThkB8eqW2K3FIXuMHkxOp?usp=share_link", "RE-161.596")</f>
        <v>RE-161.596</v>
      </c>
      <c r="I8" s="18" t="str">
        <f>HYPERLINK("https://docs.google.com/spreadsheets/d/1_lrRR7LWl3AzPQdQhlg3dlqEei6qjBHV?usp=share_link", "RE-0.517983")</f>
        <v>RE-0.517983</v>
      </c>
      <c r="J8" s="18" t="str">
        <f>HYPERLINK("https://docs.google.com/spreadsheets/d/1kdbUGv0Yh70WbBSwf0-ak3gnCe8l40xV?usp=share_link", "RE-1764.22")</f>
        <v>RE-1764.22</v>
      </c>
      <c r="K8" s="18" t="str">
        <f>HYPERLINK("https://docs.google.com/spreadsheets/d/1SrIwqg9zLmIn-bjhs7PGqdGmqwTcLxAK?usp=share_link", "RE-8.41303")</f>
        <v>RE-8.41303</v>
      </c>
      <c r="L8" s="18">
        <f>HYPERLINK("https://docs.google.com/spreadsheets/d/1GXesE9LTuucxW-U6MCJTZnUOz7vgI2To?usp=share_link", 552.456)</f>
        <v>552.456</v>
      </c>
      <c r="M8" s="26" t="str">
        <f>HYPERLINK("https://docs.google.com/spreadsheets/d/1X7z2k3YxE1sWlojWZtlsR_Jqa0G2q2sH?usp=share_link", "RE-4.32318")</f>
        <v>RE-4.32318</v>
      </c>
      <c r="N8" s="26" t="str">
        <f>HYPERLINK("https://docs.google.com/spreadsheets/d/1NB67PuL0sN9Vd3J4Egq4ukuTFy7cJndz?usp=share_link", "RE-975.629")</f>
        <v>RE-975.629</v>
      </c>
      <c r="O8" s="26" t="str">
        <f>HYPERLINK("https://docs.google.com/spreadsheets/d/1BPx49e8JPgSp6l-SusL-zc5avO4QZxEt?usp=share_link", "RE-13.6534")</f>
        <v>RE-13.6534</v>
      </c>
      <c r="P8" s="26">
        <f>HYPERLINK("https://docs.google.com/spreadsheets/d/1QctuIDYFG3Jw-MAYGV-otNasZTQli6k9?usp=share_link", 455.101)</f>
        <v>455.101</v>
      </c>
      <c r="Q8" s="18" t="str">
        <f>HYPERLINK("https://docs.google.com/spreadsheets/d/1FqG9axp1OPnA5UCgoPAyU8drDL2ahJR8?usp=share_link", "RE-66.6287")</f>
        <v>RE-66.6287</v>
      </c>
      <c r="R8" s="18">
        <f>HYPERLINK("https://docs.google.com/spreadsheets/d/1ahmlWQGHWJKn3E3l7KZWNftUmV03BOyh?usp=share_link", 204.823)</f>
        <v>204.823</v>
      </c>
      <c r="S8" s="18" t="str">
        <f>HYPERLINK("https://docs.google.com/spreadsheets/d/14mmA60rwrLjEt9kvCIoH7ZfgVrORXypq?usp=share_link", "RE-16.2194")</f>
        <v>RE-16.2194</v>
      </c>
      <c r="T8" s="18">
        <f>HYPERLINK("https://docs.google.com/spreadsheets/d/1bHlMjKvqcizE12JKznIqRXor6FsNLG6y?usp=share_link", 349.754)</f>
        <v>349.754</v>
      </c>
      <c r="U8" s="18" t="str">
        <f>HYPERLINK("https://docs.google.com/spreadsheets/d/1SU7_aAQ3JAOwD07rYATUfAQ4CATY3rym?usp=share_link", "RE-30.439")</f>
        <v>RE-30.439</v>
      </c>
      <c r="V8" s="18" t="str">
        <f>HYPERLINK("https://docs.google.com/spreadsheets/d/1vYBE6l3FBtijFbZB8ulD-elXYIRqJL4X?usp=share_link", "RE-2.10335")</f>
        <v>RE-2.10335</v>
      </c>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row>
    <row r="9">
      <c r="A9" s="25" t="s">
        <v>7</v>
      </c>
      <c r="B9" s="25" t="s">
        <v>8</v>
      </c>
      <c r="C9" s="25" t="s">
        <v>14</v>
      </c>
      <c r="D9" s="16">
        <f t="shared" si="1"/>
        <v>1326.398</v>
      </c>
      <c r="E9" s="17"/>
      <c r="F9" s="18" t="str">
        <f>HYPERLINK("https://docs.google.com/spreadsheets/d/1KgjhDeVTg63It48r_mW-0YS77_V_7A6q?usp=share_link", "RE-1255.35")</f>
        <v>RE-1255.35</v>
      </c>
      <c r="G9" s="18" t="str">
        <f>HYPERLINK("https://docs.google.com/spreadsheets/d/1ykS1XU5KUZYJGUstU5jbgNbT3HUdHF6l?usp=share_link", "RE-6.81533")</f>
        <v>RE-6.81533</v>
      </c>
      <c r="H9" s="18" t="str">
        <f>HYPERLINK("https://docs.google.com/spreadsheets/d/1kl8IuRFvkRSDgkTyJyV0FXfAY97dZ67W?usp=share_link", "RE-136.85")</f>
        <v>RE-136.85</v>
      </c>
      <c r="I9" s="18" t="str">
        <f>HYPERLINK("https://docs.google.com/spreadsheets/d/17RyzpME-jRWxn0o9dyHjcF5zJMd6bM98?usp=share_link", "RE-0.421833")</f>
        <v>RE-0.421833</v>
      </c>
      <c r="J9" s="18" t="str">
        <f>HYPERLINK("https://docs.google.com/spreadsheets/d/1ihRA-pQc5hmZf9bKLE9C2TKC4apeqpON?usp=share_link", "RE-1626.51")</f>
        <v>RE-1626.51</v>
      </c>
      <c r="K9" s="18" t="str">
        <f>HYPERLINK("https://docs.google.com/spreadsheets/d/1e_-z0jCvu8WesCT7Fh2XJ2RweMKE0NW2?usp=share_link", "RE-8.33943")</f>
        <v>RE-8.33943</v>
      </c>
      <c r="L9" s="18">
        <f>HYPERLINK("https://docs.google.com/spreadsheets/d/1WebzXnuzBs3gwCdUAkj4z8mVdAmXD500?usp=share_link", 469.47)</f>
        <v>469.47</v>
      </c>
      <c r="M9" s="26" t="str">
        <f>HYPERLINK("https://docs.google.com/spreadsheets/d/1CVrdRk7hwe-BsPtS3N1MtxIfx00I-K_O?usp=share_link", "RE-3.89493")</f>
        <v>RE-3.89493</v>
      </c>
      <c r="N9" s="26" t="str">
        <f>HYPERLINK("https://docs.google.com/spreadsheets/d/1B_HoUNxa2yGG4IRKbzzDFCQlwwtAswoT?usp=share_link", "RE-839.295")</f>
        <v>RE-839.295</v>
      </c>
      <c r="O9" s="26" t="str">
        <f>HYPERLINK("https://docs.google.com/spreadsheets/d/1OqdmD4fAfN4TKt17BfDqt_MnPlpFqUHw?usp=share_link", "RE-12.8515")</f>
        <v>RE-12.8515</v>
      </c>
      <c r="P9" s="26">
        <f>HYPERLINK("https://docs.google.com/spreadsheets/d/13eDp52Ng2NtKMa2bfzxES7aOJbzpENlE?usp=share_link", 390.621)</f>
        <v>390.621</v>
      </c>
      <c r="Q9" s="18" t="str">
        <f>HYPERLINK("https://docs.google.com/spreadsheets/d/1zdJaFq2KNXcTCAMG9m7qmHTyo88pfm1w?usp=share_link", "RE-57.008")</f>
        <v>RE-57.008</v>
      </c>
      <c r="R9" s="18">
        <f>HYPERLINK("https://docs.google.com/spreadsheets/d/1SdFXc3vY956y8AFTHmImEc2YFo-Ulklx?usp=share_link", 172.882)</f>
        <v>172.882</v>
      </c>
      <c r="S9" s="18" t="str">
        <f>HYPERLINK("https://docs.google.com/spreadsheets/d/16PaW7MzyCfy6davPNRPgXYbYsf6NNTUO?usp=share_link", "RE-15.0016")</f>
        <v>RE-15.0016</v>
      </c>
      <c r="T9" s="18">
        <f>HYPERLINK("https://docs.google.com/spreadsheets/d/16e9gqLyJ_RvZUHRsXRGmelKhVmeb80Yp?usp=share_link", 293.425)</f>
        <v>293.425</v>
      </c>
      <c r="U9" s="18" t="str">
        <f>HYPERLINK("https://docs.google.com/spreadsheets/d/1zRirCEhCWFWUV3tY7bSexiQ1H6vTzV2v?usp=share_link", "RE-27.239")</f>
        <v>RE-27.239</v>
      </c>
      <c r="V9" s="18" t="str">
        <f>HYPERLINK("https://docs.google.com/spreadsheets/d/1322oUsmXGQjFlP0zsyATNA6fkzSlY2bf?usp=share_link", "RE-2.10335")</f>
        <v>RE-2.10335</v>
      </c>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row>
    <row r="10">
      <c r="A10" s="27" t="s">
        <v>7</v>
      </c>
      <c r="B10" s="27" t="s">
        <v>8</v>
      </c>
      <c r="C10" s="27" t="s">
        <v>15</v>
      </c>
      <c r="D10" s="28">
        <f t="shared" si="1"/>
        <v>1561.685</v>
      </c>
      <c r="E10" s="27"/>
      <c r="F10" s="29" t="str">
        <f>HYPERLINK("https://docs.google.com/spreadsheets/d/1vauWZfE-2EBIe2fj-84VY8-SdBR5gnyS?usp=share_link", "RE-1420.24")</f>
        <v>RE-1420.24</v>
      </c>
      <c r="G10" s="29" t="str">
        <f>HYPERLINK("https://docs.google.com/spreadsheets/d/1H7EXqFpxiXpMpxnZtFQL7-qCiLktzE2z?usp=share_link", "RE-7.22458")</f>
        <v>RE-7.22458</v>
      </c>
      <c r="H10" s="29" t="str">
        <f>HYPERLINK("https://docs.google.com/spreadsheets/d/1qMqeeQjE4Hg7Y-RQM0ngVV-KUjLrwZxv?usp=share_link", "RE-161.596")</f>
        <v>RE-161.596</v>
      </c>
      <c r="I10" s="29" t="str">
        <f>HYPERLINK("https://docs.google.com/spreadsheets/d/1kSD6YzzskB80PlaHkAiI2aFh8SIxe7fY?usp=share_link", "RE-0.517983")</f>
        <v>RE-0.517983</v>
      </c>
      <c r="J10" s="29" t="str">
        <f>HYPERLINK("https://docs.google.com/spreadsheets/d/10JViiBP8UmhmyTmFzfczQpmRSw4MMjiJ?usp=share_link", "RE-1764.22")</f>
        <v>RE-1764.22</v>
      </c>
      <c r="K10" s="29" t="str">
        <f>HYPERLINK("https://docs.google.com/spreadsheets/d/1z3JXGoEcncx-hNuCsdUCLzRTdx0qERD3?usp=share_link", "RE-8.41303")</f>
        <v>RE-8.41303</v>
      </c>
      <c r="L10" s="29">
        <f>HYPERLINK("https://docs.google.com/spreadsheets/d/1UfgP2DRkX0kGFYzrYg8sRlm7vK-anFDU?usp=share_link", 552.007)</f>
        <v>552.007</v>
      </c>
      <c r="M10" s="29" t="str">
        <f>HYPERLINK("https://docs.google.com/spreadsheets/d/1daWfLg6CgXoswimrxopaAvghiinXQ3f7?usp=share_link", "RE-4.32318")</f>
        <v>RE-4.32318</v>
      </c>
      <c r="N10" s="29" t="str">
        <f>HYPERLINK("https://docs.google.com/spreadsheets/d/1AGsPrSTAuMQs8hy-6UmpuQFGP5fNDhKH?usp=share_link", "RE-975.629")</f>
        <v>RE-975.629</v>
      </c>
      <c r="O10" s="29" t="str">
        <f>HYPERLINK("https://docs.google.com/spreadsheets/d/1Cn5uKg9jhCLPH6F1tNjfh9MN1KGyD_Ef?usp=share_link", "RE-13.6534")</f>
        <v>RE-13.6534</v>
      </c>
      <c r="P10" s="29">
        <f>HYPERLINK("https://docs.google.com/spreadsheets/d/1FsP2xTIN_DtZkHNJjBuQLJKcnTiT84aR?usp=share_link", 455.101)</f>
        <v>455.101</v>
      </c>
      <c r="Q10" s="29" t="str">
        <f>HYPERLINK("https://docs.google.com/spreadsheets/d/1g24nv0Cbv_bQTmUoCo36OBH0GklmCIV_?usp=share_link", "RE-66.6287")</f>
        <v>RE-66.6287</v>
      </c>
      <c r="R10" s="29">
        <f>HYPERLINK("https://docs.google.com/spreadsheets/d/19x7DMukq8UgJ93WtSOjFkB6lYHYmOTie?usp=share_link", 204.823)</f>
        <v>204.823</v>
      </c>
      <c r="S10" s="29" t="str">
        <f>HYPERLINK("https://docs.google.com/spreadsheets/d/1-UHq1O7N4LTou2KkLA15rkYGg8J4V_ZZ?usp=share_link", "RE-16.2194")</f>
        <v>RE-16.2194</v>
      </c>
      <c r="T10" s="29">
        <f>HYPERLINK("https://docs.google.com/spreadsheets/d/1j_VcngVbSgqaY42-Kh9inqtp_I8cKTIw?usp=share_link", 349.754)</f>
        <v>349.754</v>
      </c>
      <c r="U10" s="29" t="str">
        <f>HYPERLINK("https://docs.google.com/spreadsheets/d/1sUvWjieL5w6QGlv-NwsD2ursepqQw-7P?usp=share_link", "RE-30.439")</f>
        <v>RE-30.439</v>
      </c>
      <c r="V10" s="29" t="str">
        <f>HYPERLINK("https://docs.google.com/spreadsheets/d/1QV_K4dvIdp8gEU22ZHHoMY4_eW6t3Y_6?usp=share_link", "RE-2.10335")</f>
        <v>RE-2.10335</v>
      </c>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row>
    <row r="11">
      <c r="A11" s="30" t="s">
        <v>7</v>
      </c>
      <c r="B11" s="30" t="s">
        <v>16</v>
      </c>
      <c r="C11" s="31" t="str">
        <f>HYPERLINK("https://docs.google.com/spreadsheets/d/1Y_3QE-Loq9c0VGOAWCv1jlorniYBZZa2/edit?usp=share_link&amp;ouid=106501987799020758802&amp;rtpof=true&amp;sd=true", "Raw Delivered")</f>
        <v>Raw Delivered</v>
      </c>
      <c r="D11" s="12">
        <f t="shared" si="1"/>
        <v>7003.083104</v>
      </c>
      <c r="E11" s="13"/>
      <c r="F11" s="14">
        <f>HYPERLINK("https://docs.google.com/spreadsheets/d/1v31gRHnpoWkfLQadEW2-FskSNwXOjLme", 1554.23141875)</f>
        <v>1554.231419</v>
      </c>
      <c r="G11" s="13"/>
      <c r="H11" s="14">
        <f>HYPERLINK("https://docs.google.com/spreadsheets/d/1o7lqoUxRsvUrsUJwFZeXj7RlgLWTAJuc", 147.591516666666)</f>
        <v>147.5915167</v>
      </c>
      <c r="I11" s="13"/>
      <c r="J11" s="14">
        <f>HYPERLINK("https://docs.google.com/spreadsheets/d/1wTh2HpFHE9d9A6VnPtz5alcih6tSlNAQ", 1750.27397812499)</f>
        <v>1750.273978</v>
      </c>
      <c r="K11" s="13"/>
      <c r="L11" s="14">
        <f t="shared" ref="L11:L12" si="6">HYPERLINK("https://docs.google.com/spreadsheets/d/1vZvU6GYLLFLWQMrb4rvIUUpY5SzW09SP", 1065.44432395833)</f>
        <v>1065.444324</v>
      </c>
      <c r="M11" s="13"/>
      <c r="N11" s="14">
        <f>HYPERLINK("https://docs.google.com/spreadsheets/d/1MDz1tEeg_6xF6SDs10TNz48_FDxHWwVd", 1000.01013333333)</f>
        <v>1000.010133</v>
      </c>
      <c r="O11" s="13"/>
      <c r="P11" s="14">
        <f t="shared" ref="P11:P12" si="7">HYPERLINK("https://docs.google.com/spreadsheets/d/174mfQtWhSYoUCUUnIpBuvWBdYspmbLkl", 955.520790624997)</f>
        <v>955.5207906</v>
      </c>
      <c r="Q11" s="13"/>
      <c r="R11" s="14">
        <f t="shared" ref="R11:R12" si="8">HYPERLINK("https://docs.google.com/spreadsheets/d/1oRoF9U9eQCw583_p3RAwbaVR4UWQzRVY", 266.201942708333)</f>
        <v>266.2019427</v>
      </c>
      <c r="S11" s="13"/>
      <c r="T11" s="14">
        <f t="shared" ref="T11:T12" si="9">HYPERLINK("https://docs.google.com/spreadsheets/d/1Pm2JqBUmr9huUTqmlp1bP5-oIs9-EDey", 263.808999999999)</f>
        <v>263.809</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row>
    <row r="12">
      <c r="A12" s="32" t="s">
        <v>7</v>
      </c>
      <c r="B12" s="32" t="s">
        <v>16</v>
      </c>
      <c r="C12" s="32" t="s">
        <v>9</v>
      </c>
      <c r="D12" s="16">
        <f t="shared" si="1"/>
        <v>2550.976057</v>
      </c>
      <c r="E12" s="17"/>
      <c r="F12" s="18" t="str">
        <f>HYPERLINK("https://docs.google.com/spreadsheets/d/1v31gRHnpoWkfLQadEW2-FskSNwXOjLme", "RE-1554.2314187500024")</f>
        <v>RE-1554.2314187500024</v>
      </c>
      <c r="G12" s="17"/>
      <c r="H12" s="18" t="str">
        <f>HYPERLINK("https://docs.google.com/spreadsheets/d/1o7lqoUxRsvUrsUJwFZeXj7RlgLWTAJuc", "RE-147.5915166666667")</f>
        <v>RE-147.5915166666667</v>
      </c>
      <c r="I12" s="17"/>
      <c r="J12" s="18" t="str">
        <f>HYPERLINK("https://docs.google.com/spreadsheets/d/1wTh2HpFHE9d9A6VnPtz5alcih6tSlNAQ", "RE-1750.2739781249998")</f>
        <v>RE-1750.2739781249998</v>
      </c>
      <c r="K12" s="17"/>
      <c r="L12" s="18">
        <f t="shared" si="6"/>
        <v>1065.444324</v>
      </c>
      <c r="M12" s="17"/>
      <c r="N12" s="18" t="str">
        <f>HYPERLINK("https://docs.google.com/spreadsheets/d/1MDz1tEeg_6xF6SDs10TNz48_FDxHWwVd", "RE-1000.010133333334")</f>
        <v>RE-1000.010133333334</v>
      </c>
      <c r="O12" s="17"/>
      <c r="P12" s="18">
        <f t="shared" si="7"/>
        <v>955.5207906</v>
      </c>
      <c r="Q12" s="17"/>
      <c r="R12" s="18">
        <f t="shared" si="8"/>
        <v>266.2019427</v>
      </c>
      <c r="S12" s="17"/>
      <c r="T12" s="18">
        <f t="shared" si="9"/>
        <v>263.809</v>
      </c>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row>
    <row r="13">
      <c r="A13" s="32" t="s">
        <v>7</v>
      </c>
      <c r="B13" s="32" t="s">
        <v>16</v>
      </c>
      <c r="C13" s="32" t="s">
        <v>10</v>
      </c>
      <c r="D13" s="16">
        <f t="shared" si="1"/>
        <v>605.9293219</v>
      </c>
      <c r="E13" s="17"/>
      <c r="F13" s="17"/>
      <c r="G13" s="18">
        <f>HYPERLINK("https://docs.google.com/spreadsheets/d/1W6NXCo_7Xw8fN9mZQ4v6KzS2IbSXq80f", 129.632682291666)</f>
        <v>129.6326823</v>
      </c>
      <c r="H13" s="17"/>
      <c r="I13" s="18">
        <f>HYPERLINK("https://docs.google.com/spreadsheets/d/1eZaJWM8roBQ7SkYPxGDDpMgUpAZ8zVeo", 30.3694260416666)</f>
        <v>30.36942604</v>
      </c>
      <c r="J13" s="17"/>
      <c r="K13" s="18">
        <f>HYPERLINK("https://docs.google.com/spreadsheets/d/1N3gfniNfkQv6rn_xsKEuYUYuD80IJA7m", 154.497356249999)</f>
        <v>154.4973562</v>
      </c>
      <c r="L13" s="17"/>
      <c r="M13" s="18">
        <f>HYPERLINK("https://docs.google.com/spreadsheets/d/12kFVTxAWNQIWChPF9t21f0E0XykvvB_j", 55.5697239583333)</f>
        <v>55.56972396</v>
      </c>
      <c r="N13" s="17"/>
      <c r="O13" s="18">
        <f>HYPERLINK("https://docs.google.com/spreadsheets/d/1YAZYMUdDNKE09gFbsBbp3mlRUFWyHuHQ", 81.0106239583333)</f>
        <v>81.01062396</v>
      </c>
      <c r="P13" s="17"/>
      <c r="Q13" s="18">
        <f>HYPERLINK("https://docs.google.com/spreadsheets/d/1ByNaAAsfwqO4zV5z9-r8K6LJOPcJYs9U", 91.5351031249999)</f>
        <v>91.53510312</v>
      </c>
      <c r="R13" s="17"/>
      <c r="S13" s="18">
        <f>HYPERLINK("https://docs.google.com/spreadsheets/d/1homErVXm0VvqWl_B255yxOcJjLlpH_R_", 28.48164375)</f>
        <v>28.48164375</v>
      </c>
      <c r="T13" s="17"/>
      <c r="U13" s="18">
        <f>HYPERLINK("https://docs.google.com/spreadsheets/d/1jBau9hAS8hObhGlGLk9YrTmqzoXDVGwl", 32.0431166666666)</f>
        <v>32.04311667</v>
      </c>
      <c r="V13" s="18">
        <f>HYPERLINK("https://docs.google.com/spreadsheets/d/1mAgd5QcQX526ZB1QSL2_Rpqi-IcmYUNb", 2.78964583333333)</f>
        <v>2.789645833</v>
      </c>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row>
    <row r="14">
      <c r="A14" s="32" t="s">
        <v>7</v>
      </c>
      <c r="B14" s="32" t="s">
        <v>16</v>
      </c>
      <c r="C14" s="32" t="s">
        <v>11</v>
      </c>
      <c r="D14" s="16">
        <f t="shared" si="1"/>
        <v>0</v>
      </c>
      <c r="E14" s="17"/>
      <c r="F14" s="17"/>
      <c r="G14" s="18" t="str">
        <f>HYPERLINK("https://docs.google.com/spreadsheets/d/1W6NXCo_7Xw8fN9mZQ4v6KzS2IbSXq80f", "RE-129.63268229166655")</f>
        <v>RE-129.63268229166655</v>
      </c>
      <c r="H14" s="17"/>
      <c r="I14" s="18" t="str">
        <f>HYPERLINK("https://docs.google.com/spreadsheets/d/1eZaJWM8roBQ7SkYPxGDDpMgUpAZ8zVeo", "RE-30.369426041666657")</f>
        <v>RE-30.369426041666657</v>
      </c>
      <c r="J14" s="17"/>
      <c r="K14" s="18" t="str">
        <f>HYPERLINK("https://docs.google.com/spreadsheets/d/1N3gfniNfkQv6rn_xsKEuYUYuD80IJA7m", "RE-154.49735624999994")</f>
        <v>RE-154.49735624999994</v>
      </c>
      <c r="L14" s="17"/>
      <c r="M14" s="18" t="str">
        <f>HYPERLINK("https://docs.google.com/spreadsheets/d/12kFVTxAWNQIWChPF9t21f0E0XykvvB_j", "RE-55.56972395833334")</f>
        <v>RE-55.56972395833334</v>
      </c>
      <c r="N14" s="17"/>
      <c r="O14" s="18" t="str">
        <f>HYPERLINK("https://docs.google.com/spreadsheets/d/1YAZYMUdDNKE09gFbsBbp3mlRUFWyHuHQ", "RE-81.01062395833333")</f>
        <v>RE-81.01062395833333</v>
      </c>
      <c r="P14" s="17"/>
      <c r="Q14" s="18" t="str">
        <f>HYPERLINK("https://docs.google.com/spreadsheets/d/1ByNaAAsfwqO4zV5z9-r8K6LJOPcJYs9U", "RE-91.53510312499998")</f>
        <v>RE-91.53510312499998</v>
      </c>
      <c r="R14" s="17"/>
      <c r="S14" s="18" t="str">
        <f>HYPERLINK("https://docs.google.com/spreadsheets/d/1homErVXm0VvqWl_B255yxOcJjLlpH_R_", "RE-28.481643750000007")</f>
        <v>RE-28.481643750000007</v>
      </c>
      <c r="T14" s="17"/>
      <c r="U14" s="18" t="str">
        <f>HYPERLINK("https://docs.google.com/spreadsheets/d/1jBau9hAS8hObhGlGLk9YrTmqzoXDVGwl", "RE-32.04311666666665")</f>
        <v>RE-32.04311666666665</v>
      </c>
      <c r="V14" s="18" t="str">
        <f>HYPERLINK("https://docs.google.com/spreadsheets/d/1mAgd5QcQX526ZB1QSL2_Rpqi-IcmYUNb", "RE-2.7896458333333336")</f>
        <v>RE-2.7896458333333336</v>
      </c>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row>
    <row r="15">
      <c r="A15" s="32" t="s">
        <v>7</v>
      </c>
      <c r="B15" s="32" t="s">
        <v>16</v>
      </c>
      <c r="C15" s="32" t="s">
        <v>12</v>
      </c>
      <c r="D15" s="16">
        <f t="shared" si="1"/>
        <v>2390.769752</v>
      </c>
      <c r="E15" s="17"/>
      <c r="F15" s="18" t="str">
        <f>HYPERLINK("https://docs.google.com/spreadsheets/d/1pgncz3xB5Z9kfH7_eLYnHzXNiwJd0Bhh", "RE-1278.1902010416686")</f>
        <v>RE-1278.1902010416686</v>
      </c>
      <c r="G15" s="18" t="str">
        <f>HYPERLINK("https://docs.google.com/spreadsheets/d/1GaJqR4REgRLkmaax3raKlDuU4rCUOfBd", "RE-5.108566666666666")</f>
        <v>RE-5.108566666666666</v>
      </c>
      <c r="H15" s="18" t="str">
        <f>HYPERLINK("https://docs.google.com/spreadsheets/d/1eOeWLnXZ_UB7lHaNLQs0FMm2mXEYGJJE", "RE-139.79981041666673")</f>
        <v>RE-139.79981041666673</v>
      </c>
      <c r="I15" s="18" t="str">
        <f>HYPERLINK("https://docs.google.com/spreadsheets/d/1ESOxBH-U3uHmPLcsz1nWm8kAgm_k0Upp", "RE-0.34177708333333334")</f>
        <v>RE-0.34177708333333334</v>
      </c>
      <c r="J15" s="18" t="str">
        <f>HYPERLINK("https://docs.google.com/spreadsheets/d/1Ib7dEVA-TvKpM9BigzcgeUxbzZda2Ba1", "RE-1358.186134374999")</f>
        <v>RE-1358.186134374999</v>
      </c>
      <c r="K15" s="18" t="str">
        <f>HYPERLINK("https://docs.google.com/spreadsheets/d/1-WN2PXDaX4jkPx0J1M3q4rGpd4DbqsGH", "RE-5.5811375")</f>
        <v>RE-5.5811375</v>
      </c>
      <c r="L15" s="18">
        <f>HYPERLINK("https://docs.google.com/spreadsheets/d/13XUYxF1Q5JySaz1uiTFGUHp94RuPUMMA", 1005.29031666666)</f>
        <v>1005.290317</v>
      </c>
      <c r="M15" s="18" t="str">
        <f>HYPERLINK("https://docs.google.com/spreadsheets/d/1idnrTJC5UgtMWRQM4nJeZzlBxYZ7q8fc", "RE-20.06965")</f>
        <v>RE-20.06965</v>
      </c>
      <c r="N15" s="18" t="str">
        <f>HYPERLINK("https://docs.google.com/spreadsheets/d/13XV0x6zVfcXRtpNynswQ0VPr7qdxqbZl", "RE-630.1249229166665")</f>
        <v>RE-630.1249229166665</v>
      </c>
      <c r="O15" s="18" t="str">
        <f>HYPERLINK("https://docs.google.com/spreadsheets/d/1wJPprjZmUYFAtwo8aJOW3QMFmeQ7LVwK", "RE-2.5350343750000004")</f>
        <v>RE-2.5350343750000004</v>
      </c>
      <c r="P15" s="18">
        <f>HYPERLINK("https://docs.google.com/spreadsheets/d/1DNm4PNYI3fJRinmFv6qa5VexMi2ETtgR", 877.985521874999)</f>
        <v>877.9855219</v>
      </c>
      <c r="Q15" s="18" t="str">
        <f>HYPERLINK("https://docs.google.com/spreadsheets/d/1a9B9LRGXZ33uGd6wXohQjpFlgKTNVY9z", "RE-31.612987499999996")</f>
        <v>RE-31.612987499999996</v>
      </c>
      <c r="R15" s="18">
        <f>HYPERLINK("https://docs.google.com/spreadsheets/d/1hAjgYWrHPQ9aMNXPOcpQuTqQ9AUOtejk", 252.873442708333)</f>
        <v>252.8734427</v>
      </c>
      <c r="S15" s="18" t="str">
        <f>HYPERLINK("https://docs.google.com/spreadsheets/d/1QvRfgCGQ_Gen96Hjx3YXYXv3ez2n9tmv", "RE-15.791631249999998")</f>
        <v>RE-15.791631249999998</v>
      </c>
      <c r="T15" s="18">
        <f>HYPERLINK("https://docs.google.com/spreadsheets/d/1y1EWS4fu3iN_xO6D_mrLc3aNY59fZkTR", 254.620470833333)</f>
        <v>254.6204708</v>
      </c>
      <c r="U15" s="18" t="str">
        <f>HYPERLINK("https://docs.google.com/spreadsheets/d/1p6uhWzvzFhJ2-aT7jTth7iqXDF6reXcO", "RE-18.67050208333333")</f>
        <v>RE-18.67050208333333</v>
      </c>
      <c r="V15" s="18" t="str">
        <f>HYPERLINK("https://docs.google.com/spreadsheets/d/1s3w5PK0_-2_4YUjlc6wKxVqi68j2qEbs", "RE-1.6750520833333333")</f>
        <v>RE-1.6750520833333333</v>
      </c>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row>
    <row r="16">
      <c r="A16" s="32" t="s">
        <v>7</v>
      </c>
      <c r="B16" s="32" t="s">
        <v>16</v>
      </c>
      <c r="C16" s="32" t="s">
        <v>13</v>
      </c>
      <c r="D16" s="16">
        <f t="shared" si="1"/>
        <v>2276.919</v>
      </c>
      <c r="E16" s="17"/>
      <c r="F16" s="18" t="str">
        <f>HYPERLINK("https://docs.google.com/spreadsheets/d/1-LCXoBKLHgEq-TbfZ2z7b_PKb7cw_VUv?usp=share_link", "RE-1240.64")</f>
        <v>RE-1240.64</v>
      </c>
      <c r="G16" s="18" t="str">
        <f>HYPERLINK("https://docs.google.com/spreadsheets/d/1JuL3Igb7z1vtrnvbQdNFZkrGHEkp7QTy?usp=share_link", "RE-4.92262")</f>
        <v>RE-4.92262</v>
      </c>
      <c r="H16" s="18" t="str">
        <f>HYPERLINK("https://docs.google.com/spreadsheets/d/1iDv6NgjDkk208PT2lUn1dumkFWfOuTJX?usp=share_link", "RE-136.275")</f>
        <v>RE-136.275</v>
      </c>
      <c r="I16" s="18" t="str">
        <f>HYPERLINK("https://docs.google.com/spreadsheets/d/1ZAqzpXpO8HgU_caeH75IKFK_Rp7X3FI_?usp=share_link", "RE-0.326533")</f>
        <v>RE-0.326533</v>
      </c>
      <c r="J16" s="18" t="str">
        <f>HYPERLINK("https://docs.google.com/spreadsheets/d/1_or2PGu3KosNw_TnMZwp3pdYfC_3hXTi?usp=share_link", "RE-1319.23")</f>
        <v>RE-1319.23</v>
      </c>
      <c r="K16" s="18" t="str">
        <f>HYPERLINK("https://docs.google.com/spreadsheets/d/1wRL7XM59-y3qM8yCW1twWZkCaUH4tSAF?usp=share_link", "RE-5.25007")</f>
        <v>RE-5.25007</v>
      </c>
      <c r="L16" s="18">
        <f>HYPERLINK("https://docs.google.com/spreadsheets/d/1xW5KihecrVJgMjDObiDkhbIVcO-tr8oq?usp=share_link", 957.513)</f>
        <v>957.513</v>
      </c>
      <c r="M16" s="18" t="str">
        <f>HYPERLINK("https://docs.google.com/spreadsheets/d/10JBHZNx6hPq_S5BRRDPDehuhxyBNxHSR?usp=share_link", "RE-18.8896")</f>
        <v>RE-18.8896</v>
      </c>
      <c r="N16" s="18" t="str">
        <f>HYPERLINK("https://docs.google.com/spreadsheets/d/1_1GuGzNDnZLdYbOCQzERvuyanphFvTXW?usp=share_link", "RE-604.236")</f>
        <v>RE-604.236</v>
      </c>
      <c r="O16" s="18" t="str">
        <f>HYPERLINK("https://docs.google.com/spreadsheets/d/1KYQp4AsDUdSEjrEOo3-G5Y5QkUOmVb9P?usp=share_link", "RE-2.4181")</f>
        <v>RE-2.4181</v>
      </c>
      <c r="P16" s="18">
        <f>HYPERLINK("https://docs.google.com/spreadsheets/d/1F_mhUgMZgQRea92zcOoNRiIWGsMxXGkK?usp=share_link", 832.458)</f>
        <v>832.458</v>
      </c>
      <c r="Q16" s="18" t="str">
        <f>HYPERLINK("https://docs.google.com/spreadsheets/d/1OLGuktDed11u0NMT_Rsc_9JNpkvugPC8?usp=share_link", "RE-30.0905")</f>
        <v>RE-30.0905</v>
      </c>
      <c r="R16" s="18">
        <f>HYPERLINK("https://docs.google.com/spreadsheets/d/1yVB0ZLu7P8toRerruNZGdRWz_XTtL6MS?usp=share_link", 241.562)</f>
        <v>241.562</v>
      </c>
      <c r="S16" s="18" t="str">
        <f>HYPERLINK("https://docs.google.com/spreadsheets/d/1he2EXyp6L1afNQmkYnfVsX3b0P5-r60E?usp=share_link", "RE-15.1928")</f>
        <v>RE-15.1928</v>
      </c>
      <c r="T16" s="18">
        <f>HYPERLINK("https://docs.google.com/spreadsheets/d/1eG5PWGfdnNOVlk73BMhwkXEust-gj-qD?usp=share_link", 245.386)</f>
        <v>245.386</v>
      </c>
      <c r="U16" s="18" t="str">
        <f>HYPERLINK("https://docs.google.com/spreadsheets/d/1gxbnqXytCYbZZsESeUWULnfcmN6Uujmf?usp=share_link", "RE-17.9662")</f>
        <v>RE-17.9662</v>
      </c>
      <c r="V16" s="18" t="str">
        <f>HYPERLINK("https://docs.google.com/spreadsheets/d/1ZiKJMkcOCNPLhNvIAI7fbr25abor5T4n?usp=share_link", "RE-1.6486")</f>
        <v>RE-1.6486</v>
      </c>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row>
    <row r="17">
      <c r="A17" s="32" t="s">
        <v>7</v>
      </c>
      <c r="B17" s="32" t="s">
        <v>16</v>
      </c>
      <c r="C17" s="32" t="s">
        <v>14</v>
      </c>
      <c r="D17" s="16">
        <f t="shared" si="1"/>
        <v>1967.457</v>
      </c>
      <c r="E17" s="17"/>
      <c r="F17" s="18" t="str">
        <f>HYPERLINK("https://docs.google.com/spreadsheets/d/1_D9_kgNtS4SF_SHjR8Sbw9XrNHPdwyp_?usp=share_link", "RE-1134.11")</f>
        <v>RE-1134.11</v>
      </c>
      <c r="G17" s="18" t="str">
        <f>HYPERLINK("https://docs.google.com/spreadsheets/d/1dCcQKJzjgeXPf5K-P5_PLMRs7g5NTUeg?usp=share_link", "RE-4.77647")</f>
        <v>RE-4.77647</v>
      </c>
      <c r="H17" s="18" t="str">
        <f>HYPERLINK("https://docs.google.com/spreadsheets/d/17qZd0V5bAmPHO2b_Goqy58QiNsqnu00n?usp=share_link", "RE-127.445")</f>
        <v>RE-127.445</v>
      </c>
      <c r="I17" s="18" t="str">
        <f>HYPERLINK("https://docs.google.com/spreadsheets/d/1FLLpgT-sHexiciACSTgW-UWpfQX3kOBK?usp=share_link", "RE-0.326533")</f>
        <v>RE-0.326533</v>
      </c>
      <c r="J17" s="18" t="str">
        <f>HYPERLINK("https://docs.google.com/spreadsheets/d/1sDskF8Xo-V3PYBGDLK3U8n24-i_azXR0?usp=share_link", "RE-1216.78")</f>
        <v>RE-1216.78</v>
      </c>
      <c r="K17" s="18" t="str">
        <f>HYPERLINK("https://docs.google.com/spreadsheets/d/1vVx1AjQg333cGP4tVrWltf7Mo_VETj7k?usp=share_link", "RE-4.93265")</f>
        <v>RE-4.93265</v>
      </c>
      <c r="L17" s="18">
        <f>HYPERLINK("https://docs.google.com/spreadsheets/d/1EQzb0xW_7EuNhhT3_mTD2a6-DqvATUCV?usp=share_link", 831.566)</f>
        <v>831.566</v>
      </c>
      <c r="M17" s="18" t="str">
        <f>HYPERLINK("https://docs.google.com/spreadsheets/d/1g7dXLkPnh0qc-W3oUitGpOhIZ6mQOR7H?usp=share_link", "RE-14.6982")</f>
        <v>RE-14.6982</v>
      </c>
      <c r="N17" s="18" t="str">
        <f>HYPERLINK("https://docs.google.com/spreadsheets/d/1PjqU-I3gdGQxzVRFdcJ4qp8f504KPUog?usp=share_link", "RE-511.672")</f>
        <v>RE-511.672</v>
      </c>
      <c r="O17" s="18" t="str">
        <f>HYPERLINK("https://docs.google.com/spreadsheets/d/1IDR3rdSiluvtRmPQtY9aUPoBupOOQqkR?usp=share_link", "RE-2.23227")</f>
        <v>RE-2.23227</v>
      </c>
      <c r="P17" s="18">
        <f>HYPERLINK("https://docs.google.com/spreadsheets/d/1ZGPTede4cQCfHYgKX-JyRU0wWHZpMAi3?usp=share_link", 733.774)</f>
        <v>733.774</v>
      </c>
      <c r="Q17" s="18" t="str">
        <f>HYPERLINK("https://docs.google.com/spreadsheets/d/1qKrKuE5qscQWuRr6H13_5M-14G-gPFYJ?usp=share_link", "RE-27.3153")</f>
        <v>RE-27.3153</v>
      </c>
      <c r="R17" s="18">
        <f>HYPERLINK("https://docs.google.com/spreadsheets/d/1smbJdNkuAB7qUK8gJGF7A3LoR9xf2Ebe?usp=share_link", 197.985)</f>
        <v>197.985</v>
      </c>
      <c r="S17" s="18" t="str">
        <f>HYPERLINK("https://docs.google.com/spreadsheets/d/1dXYcTSMAKMl-BJWFGp3bxRjJLkw4AMje?usp=share_link", "RE-12.8857")</f>
        <v>RE-12.8857</v>
      </c>
      <c r="T17" s="18">
        <f>HYPERLINK("https://docs.google.com/spreadsheets/d/1HSlIF3qYY4E5eZlsCPKgJ9bTX2erioTj?usp=share_link", 204.132)</f>
        <v>204.132</v>
      </c>
      <c r="U17" s="18" t="str">
        <f>HYPERLINK("https://docs.google.com/spreadsheets/d/1CYvvnbS6LT5JqmiyUPJrjagO5CSdYz9_?usp=share_link", "RE-14.4895")</f>
        <v>RE-14.4895</v>
      </c>
      <c r="V17" s="18" t="str">
        <f>HYPERLINK("https://docs.google.com/spreadsheets/d/1lC6tgI54dXUmC5DRrh0Eww3BZKsp2Dys?usp=share_link", "RE-1.6486")</f>
        <v>RE-1.6486</v>
      </c>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row>
    <row r="18">
      <c r="A18" s="27" t="s">
        <v>7</v>
      </c>
      <c r="B18" s="27" t="s">
        <v>16</v>
      </c>
      <c r="C18" s="27" t="s">
        <v>15</v>
      </c>
      <c r="D18" s="28">
        <f t="shared" si="1"/>
        <v>2276.77</v>
      </c>
      <c r="E18" s="33"/>
      <c r="F18" s="34" t="str">
        <f>HYPERLINK("https://docs.google.com/spreadsheets/d/1raOkBiRdLiKEyIv720UzMppG_yaKoMkl?usp=share_link", "RE-1240.64")</f>
        <v>RE-1240.64</v>
      </c>
      <c r="G18" s="34" t="str">
        <f>HYPERLINK("https://docs.google.com/spreadsheets/d/1509iCs-y56hZadQOmXPn1xQwfmxeTKQN?usp=share_link", "RE-4.92262")</f>
        <v>RE-4.92262</v>
      </c>
      <c r="H18" s="34" t="str">
        <f>HYPERLINK("https://docs.google.com/spreadsheets/d/1gQKqYicwSz6M-9niMRr5panAQvRBb9nK?usp=share_link", "RE-136.275")</f>
        <v>RE-136.275</v>
      </c>
      <c r="I18" s="34" t="str">
        <f>HYPERLINK("https://docs.google.com/spreadsheets/d/15ERA7ueeKQDcgCsBoSTWEcnYs6AyYFLt?usp=share_link", "RE-0.326533")</f>
        <v>RE-0.326533</v>
      </c>
      <c r="J18" s="34" t="str">
        <f>HYPERLINK("https://docs.google.com/spreadsheets/d/1yGay9KC_QeyfFZmdrPQuxs7Sqd1VPSEF?usp=share_link", "RE-1319.23")</f>
        <v>RE-1319.23</v>
      </c>
      <c r="K18" s="34" t="str">
        <f>HYPERLINK("https://docs.google.com/spreadsheets/d/1K4DWDEzcrI8K2sQaWNL-kFwyCIHjFc81?usp=share_link", "RE-5.25007")</f>
        <v>RE-5.25007</v>
      </c>
      <c r="L18" s="34">
        <f>HYPERLINK("https://docs.google.com/spreadsheets/d/15ZCwItj2aS-XPBx_ftLe0Wwchy1aymif?usp=share_link", 957.513)</f>
        <v>957.513</v>
      </c>
      <c r="M18" s="34" t="str">
        <f>HYPERLINK("https://docs.google.com/spreadsheets/d/1wmrgCmPhpT73kDlSQxDgfbV1R-bDX9Cx?usp=share_link", "RE-18.8896")</f>
        <v>RE-18.8896</v>
      </c>
      <c r="N18" s="34" t="str">
        <f>HYPERLINK("https://docs.google.com/spreadsheets/d/1x4XWHjeXQotMqvpbBmwsvHEnsrfHnACk?usp=share_link", "RE-604.236")</f>
        <v>RE-604.236</v>
      </c>
      <c r="O18" s="34" t="str">
        <f>HYPERLINK("https://docs.google.com/spreadsheets/d/1yn4OvviXYu0y-bh0m6katzupshXXAIrW?usp=share_link", "RE-2.4181")</f>
        <v>RE-2.4181</v>
      </c>
      <c r="P18" s="34">
        <f>HYPERLINK("https://docs.google.com/spreadsheets/d/1tYjsmHcXWm5cny97TzsxwUDMD9infSX2?usp=share_link", 832.458)</f>
        <v>832.458</v>
      </c>
      <c r="Q18" s="34" t="str">
        <f>HYPERLINK("https://docs.google.com/spreadsheets/d/1Ng79giy2cA9rtoPG74Slr4vqo1r_bgLj?usp=share_link", "RE-30.0905")</f>
        <v>RE-30.0905</v>
      </c>
      <c r="R18" s="34">
        <f>HYPERLINK("https://docs.google.com/spreadsheets/d/1rR3pqTr6zImcI-27p08oAGQOjr0PT6Mh?usp=share_link", 241.413)</f>
        <v>241.413</v>
      </c>
      <c r="S18" s="34" t="str">
        <f>HYPERLINK("https://docs.google.com/spreadsheets/d/1ANWHV0yu3wP9v3wtT7nsnxgM6CmD3O36?usp=share_link", "RE-15.1928")</f>
        <v>RE-15.1928</v>
      </c>
      <c r="T18" s="34">
        <f>HYPERLINK("https://docs.google.com/spreadsheets/d/1JimYzJkhZEoq8YoiRjJ3SjVSziXC8Xf3?usp=share_link", 245.386)</f>
        <v>245.386</v>
      </c>
      <c r="U18" s="34" t="str">
        <f>HYPERLINK("https://docs.google.com/spreadsheets/d/13yKpZlgEX5dtiWU9yWGzR2nxhSWJxoLN?usp=share_link", "RE-17.9662")</f>
        <v>RE-17.9662</v>
      </c>
      <c r="V18" s="34" t="str">
        <f>HYPERLINK("https://docs.google.com/spreadsheets/d/1084lzf2pdGq1ply5hQdkKjevlPrEqz_8?usp=share_link", "RE-1.6486")</f>
        <v>RE-1.6486</v>
      </c>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row>
    <row r="19">
      <c r="A19" s="30" t="s">
        <v>17</v>
      </c>
      <c r="B19" s="30" t="s">
        <v>18</v>
      </c>
      <c r="C19" s="31" t="str">
        <f>HYPERLINK("https://docs.google.com/spreadsheets/d/18jfw3SQQVPRcTMprC5MtjsEsLHlgSi0y/edit?usp=share_link&amp;ouid=118279477453217743021&amp;rtpof=true&amp;sd=true", "Raw Delivered")</f>
        <v>Raw Delivered</v>
      </c>
      <c r="D19" s="12">
        <f t="shared" si="1"/>
        <v>5695.819042</v>
      </c>
      <c r="E19" s="13"/>
      <c r="F19" s="14">
        <f>HYPERLINK("https://docs.google.com/spreadsheets/d/1hkMMvMQsqZEfp8UZ3MQRqQkTJdFMAQc8", 460.799532291667)</f>
        <v>460.7995323</v>
      </c>
      <c r="G19" s="13"/>
      <c r="H19" s="14">
        <f>HYPERLINK("https://docs.google.com/spreadsheets/d/1YmBmknjlzd6y2Mh-Y0tLm5xEpJO4M4sh", 45.8228770833333)</f>
        <v>45.82287708</v>
      </c>
      <c r="I19" s="13"/>
      <c r="J19" s="14">
        <f>HYPERLINK("https://docs.google.com/spreadsheets/d/1PWJZ5FjJmtcHzT_epoUPhGQDrYxzFQUq", 184.500104166666)</f>
        <v>184.5001042</v>
      </c>
      <c r="K19" s="13"/>
      <c r="L19" s="14">
        <f t="shared" ref="L19:L20" si="10">HYPERLINK("https://docs.google.com/spreadsheets/d/1FawPuap4lFa2Lnmbjb2fvLbQF7TE4h4d", 559.413230208333)</f>
        <v>559.4132302</v>
      </c>
      <c r="M19" s="13"/>
      <c r="N19" s="14">
        <f>HYPERLINK("https://docs.google.com/spreadsheets/d/1oXr0mIBIb81LegMXLuEepruhZ8jhBMtf", 3353.34325833333)</f>
        <v>3353.343258</v>
      </c>
      <c r="O19" s="13"/>
      <c r="P19" s="14">
        <f t="shared" ref="P19:P20" si="11">HYPERLINK("https://docs.google.com/spreadsheets/d/1EAYg0L3Knga2jwQqMPTLZbSjHL4X4yQo", 250.731322916666)</f>
        <v>250.7313229</v>
      </c>
      <c r="Q19" s="13"/>
      <c r="R19" s="14">
        <f t="shared" ref="R19:R20" si="12">HYPERLINK("https://docs.google.com/spreadsheets/d/1sAxn0jtNE63CnVZHZpSdyQ-hiZAeatLO", 558.713391666666)</f>
        <v>558.7133917</v>
      </c>
      <c r="S19" s="13"/>
      <c r="T19" s="14">
        <f t="shared" ref="T19:T20" si="13">HYPERLINK("https://docs.google.com/spreadsheets/d/1xmqTJaKgb3WVsH9lh8H47HlMP_8w3si_", 282.495324999999)</f>
        <v>282.495325</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row>
    <row r="20">
      <c r="A20" s="32" t="s">
        <v>17</v>
      </c>
      <c r="B20" s="32" t="s">
        <v>18</v>
      </c>
      <c r="C20" s="32" t="s">
        <v>9</v>
      </c>
      <c r="D20" s="16">
        <f t="shared" si="1"/>
        <v>1651.35327</v>
      </c>
      <c r="E20" s="17"/>
      <c r="F20" s="18" t="str">
        <f>HYPERLINK("https://docs.google.com/spreadsheets/d/1hkMMvMQsqZEfp8UZ3MQRqQkTJdFMAQc8", "RE-460.79953229166705")</f>
        <v>RE-460.79953229166705</v>
      </c>
      <c r="G20" s="17"/>
      <c r="H20" s="18" t="str">
        <f>HYPERLINK("https://docs.google.com/spreadsheets/d/1YmBmknjlzd6y2Mh-Y0tLm5xEpJO4M4sh", "RE-45.82287708333333")</f>
        <v>RE-45.82287708333333</v>
      </c>
      <c r="I20" s="17"/>
      <c r="J20" s="18" t="str">
        <f>HYPERLINK("https://docs.google.com/spreadsheets/d/1PWJZ5FjJmtcHzT_epoUPhGQDrYxzFQUq", "RE-184.50010416666672")</f>
        <v>RE-184.50010416666672</v>
      </c>
      <c r="K20" s="17"/>
      <c r="L20" s="18">
        <f t="shared" si="10"/>
        <v>559.4132302</v>
      </c>
      <c r="M20" s="17"/>
      <c r="N20" s="18" t="str">
        <f>HYPERLINK("https://docs.google.com/spreadsheets/d/1oXr0mIBIb81LegMXLuEepruhZ8jhBMtf", "RE-3353.3432583333383")</f>
        <v>RE-3353.3432583333383</v>
      </c>
      <c r="O20" s="17"/>
      <c r="P20" s="18">
        <f t="shared" si="11"/>
        <v>250.7313229</v>
      </c>
      <c r="Q20" s="17"/>
      <c r="R20" s="18">
        <f t="shared" si="12"/>
        <v>558.7133917</v>
      </c>
      <c r="S20" s="17"/>
      <c r="T20" s="18">
        <f t="shared" si="13"/>
        <v>282.495325</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row>
    <row r="21">
      <c r="A21" s="32" t="s">
        <v>17</v>
      </c>
      <c r="B21" s="32" t="s">
        <v>18</v>
      </c>
      <c r="C21" s="32" t="s">
        <v>10</v>
      </c>
      <c r="D21" s="16">
        <f t="shared" si="1"/>
        <v>519.0905927</v>
      </c>
      <c r="E21" s="17"/>
      <c r="F21" s="17"/>
      <c r="G21" s="18">
        <f>HYPERLINK("https://docs.google.com/spreadsheets/d/1nWll4C5e5lLkc5p0AVHmQ07kY51y5DVr", 38.2080916666666)</f>
        <v>38.20809167</v>
      </c>
      <c r="H21" s="17"/>
      <c r="I21" s="18">
        <f>HYPERLINK("https://docs.google.com/spreadsheets/d/1AMchrIgVDLBJy3waf2S5kXQepwjVINfc", 0.652504166666666)</f>
        <v>0.6525041667</v>
      </c>
      <c r="J21" s="17"/>
      <c r="K21" s="18">
        <f>HYPERLINK("https://docs.google.com/spreadsheets/d/1DIp1gET-2qPJiUhgWH0HUMzUVB5Yr6ko", 8.52971666666666)</f>
        <v>8.529716667</v>
      </c>
      <c r="L21" s="17"/>
      <c r="M21" s="18">
        <f>HYPERLINK("https://docs.google.com/spreadsheets/d/1vg6PeS5UCu7H0GnkasjMLbjsLIEpqbFA", 12.2955291666666)</f>
        <v>12.29552917</v>
      </c>
      <c r="N21" s="17"/>
      <c r="O21" s="18">
        <f>HYPERLINK("https://docs.google.com/spreadsheets/d/1oMM-ktLcTYy1IZWnui-bnRXR61Wsnc08", 411.083938541667)</f>
        <v>411.0839385</v>
      </c>
      <c r="P21" s="17"/>
      <c r="Q21" s="18">
        <f>HYPERLINK("https://docs.google.com/spreadsheets/d/1nWhb1uBBBFSVNJQ0WtimTfZyocN1DCsb", 18.4010916666666)</f>
        <v>18.40109167</v>
      </c>
      <c r="R21" s="17"/>
      <c r="S21" s="18">
        <f>HYPERLINK("https://docs.google.com/spreadsheets/d/1cIDX7IcUCWP-zOfZ-3u4fUOIiswNyHUO", 12.4911812499999)</f>
        <v>12.49118125</v>
      </c>
      <c r="T21" s="17"/>
      <c r="U21" s="18">
        <f>HYPERLINK("https://docs.google.com/spreadsheets/d/1MKhKV8Dw_G7O3gOo7hRhjowZWOfUGTfM", 17.4285395833333)</f>
        <v>17.42853958</v>
      </c>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row>
    <row r="22">
      <c r="A22" s="32" t="s">
        <v>17</v>
      </c>
      <c r="B22" s="32" t="s">
        <v>18</v>
      </c>
      <c r="C22" s="32" t="s">
        <v>11</v>
      </c>
      <c r="D22" s="16">
        <f t="shared" si="1"/>
        <v>0</v>
      </c>
      <c r="E22" s="17"/>
      <c r="F22" s="17"/>
      <c r="G22" s="18" t="str">
        <f>HYPERLINK("https://docs.google.com/spreadsheets/d/1nWll4C5e5lLkc5p0AVHmQ07kY51y5DVr", "RE-38.208091666666654")</f>
        <v>RE-38.208091666666654</v>
      </c>
      <c r="H22" s="17"/>
      <c r="I22" s="18" t="str">
        <f>HYPERLINK("https://docs.google.com/spreadsheets/d/1AMchrIgVDLBJy3waf2S5kXQepwjVINfc", "RE-0.6525041666666667")</f>
        <v>RE-0.6525041666666667</v>
      </c>
      <c r="J22" s="17"/>
      <c r="K22" s="18" t="str">
        <f>HYPERLINK("https://docs.google.com/spreadsheets/d/1DIp1gET-2qPJiUhgWH0HUMzUVB5Yr6ko", "RE-8.529716666666666")</f>
        <v>RE-8.529716666666666</v>
      </c>
      <c r="L22" s="17"/>
      <c r="M22" s="18" t="str">
        <f>HYPERLINK("https://docs.google.com/spreadsheets/d/1vg6PeS5UCu7H0GnkasjMLbjsLIEpqbFA", "RE-12.295529166666661")</f>
        <v>RE-12.295529166666661</v>
      </c>
      <c r="N22" s="17"/>
      <c r="O22" s="18" t="str">
        <f>HYPERLINK("https://docs.google.com/spreadsheets/d/1oMM-ktLcTYy1IZWnui-bnRXR61Wsnc08", "RE-411.0839385416671")</f>
        <v>RE-411.0839385416671</v>
      </c>
      <c r="P22" s="17"/>
      <c r="Q22" s="18" t="str">
        <f>HYPERLINK("https://docs.google.com/spreadsheets/d/1nWhb1uBBBFSVNJQ0WtimTfZyocN1DCsb", "RE-18.401091666666662")</f>
        <v>RE-18.401091666666662</v>
      </c>
      <c r="R22" s="17"/>
      <c r="S22" s="18" t="str">
        <f>HYPERLINK("https://docs.google.com/spreadsheets/d/1cIDX7IcUCWP-zOfZ-3u4fUOIiswNyHUO", "RE-12.491181249999993")</f>
        <v>RE-12.491181249999993</v>
      </c>
      <c r="T22" s="17"/>
      <c r="U22" s="18" t="str">
        <f>HYPERLINK("https://docs.google.com/spreadsheets/d/1MKhKV8Dw_G7O3gOo7hRhjowZWOfUGTfM", "RE-17.428539583333325")</f>
        <v>RE-17.428539583333325</v>
      </c>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row>
    <row r="23">
      <c r="A23" s="32" t="s">
        <v>17</v>
      </c>
      <c r="B23" s="32" t="s">
        <v>18</v>
      </c>
      <c r="C23" s="32" t="s">
        <v>12</v>
      </c>
      <c r="D23" s="16">
        <f t="shared" si="1"/>
        <v>1566.471565</v>
      </c>
      <c r="E23" s="17"/>
      <c r="F23" s="18" t="str">
        <f>HYPERLINK("https://docs.google.com/spreadsheets/d/1jJn_HVUHdDXAowBCfQ5eCYXId0fCBONj", "RE-399.1997427083336")</f>
        <v>RE-399.1997427083336</v>
      </c>
      <c r="G23" s="18" t="str">
        <f>HYPERLINK("https://docs.google.com/spreadsheets/d/1scS2N7g34L-33uLdHo7BGKvAX6pLbooH", "RE-3.1752270833333336")</f>
        <v>RE-3.1752270833333336</v>
      </c>
      <c r="H23" s="18" t="str">
        <f>HYPERLINK("https://docs.google.com/spreadsheets/d/1xfBrOvpMt25oN-bclY3PXpwHE9cTX18T", "RE-44.94530625")</f>
        <v>RE-44.94530625</v>
      </c>
      <c r="I23" s="18" t="str">
        <f>HYPERLINK("https://docs.google.com/spreadsheets/d/1fUwv1ywSiDJT1nDYpB1LjyRHL3LWJVGG", "RE-0.0")</f>
        <v>RE-0.0</v>
      </c>
      <c r="J23" s="18" t="str">
        <f>HYPERLINK("https://docs.google.com/spreadsheets/d/1poFrdXCtEh6ILrctMd3XhLD9dbOIWb8-", "RE-155.09536979166677")</f>
        <v>RE-155.09536979166677</v>
      </c>
      <c r="K23" s="18" t="str">
        <f>HYPERLINK("https://docs.google.com/spreadsheets/d/1WBNCbFmHL0vg6eAh23PZO_u1qdkRQaPT", "RE-0.0")</f>
        <v>RE-0.0</v>
      </c>
      <c r="L23" s="18">
        <f>HYPERLINK("https://docs.google.com/spreadsheets/d/110YeLKhJoehLJm-wQKhbnUPrjIrIaHT6", 506.837841666667)</f>
        <v>506.8378417</v>
      </c>
      <c r="M23" s="18" t="str">
        <f>HYPERLINK("https://docs.google.com/spreadsheets/d/180xb6XYIALKpuJTNsUpdnhCitZPEw9E5", "RE-0.6205875")</f>
        <v>RE-0.6205875</v>
      </c>
      <c r="N23" s="18" t="str">
        <f>HYPERLINK("https://docs.google.com/spreadsheets/d/1svkPjn9hZLB-3hftxHIF2RrBU9JvsCQM", "RE-2614.2724031250054")</f>
        <v>RE-2614.2724031250054</v>
      </c>
      <c r="O23" s="18" t="str">
        <f>HYPERLINK("https://docs.google.com/spreadsheets/d/11CRQd-HNRs9FJaEtvJCcBnrn0PWR3iKj", "RE-13.519003124999996")</f>
        <v>RE-13.519003124999996</v>
      </c>
      <c r="P23" s="18">
        <f>HYPERLINK("https://docs.google.com/spreadsheets/d/dummy", 236.973520833333)</f>
        <v>236.9735208</v>
      </c>
      <c r="Q23" s="18" t="str">
        <f>HYPERLINK("https://docs.google.com/spreadsheets/d/1UfQaM0NeqD8onkAFd6p4BS6kMmOpfCSJ", "RE-2.7397447916666664")</f>
        <v>RE-2.7397447916666664</v>
      </c>
      <c r="R23" s="18">
        <f>HYPERLINK("https://docs.google.com/spreadsheets/d/1qQVAXDG44KQHjgBWqsxrgxiyYsw9rb0i", 544.001495833333)</f>
        <v>544.0014958</v>
      </c>
      <c r="S23" s="18" t="str">
        <f>HYPERLINK("https://docs.google.com/spreadsheets/d/14L3IqpflStR45X1GoaAq88O5aoNVmy4X", "RE-5.284045833333333")</f>
        <v>RE-5.284045833333333</v>
      </c>
      <c r="T23" s="18">
        <f>HYPERLINK("https://docs.google.com/spreadsheets/d/1DHcGEdgND7WLD6T9qcEPpwCuvvqz4hpg", 278.658706249999)</f>
        <v>278.6587062</v>
      </c>
      <c r="U23" s="18" t="str">
        <f>HYPERLINK("https://docs.google.com/spreadsheets/d/1HsHdF4RkTFuGT-fD_c0my44ieg4BzVwT", "RE-10.041850000000002")</f>
        <v>RE-10.041850000000002</v>
      </c>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row>
    <row r="24">
      <c r="A24" s="32" t="s">
        <v>17</v>
      </c>
      <c r="B24" s="32" t="s">
        <v>18</v>
      </c>
      <c r="C24" s="32" t="s">
        <v>13</v>
      </c>
      <c r="D24" s="16">
        <f t="shared" si="1"/>
        <v>1504.941</v>
      </c>
      <c r="E24" s="17"/>
      <c r="F24" s="18" t="str">
        <f>HYPERLINK("https://docs.google.com/spreadsheets/d/1a0en64OA1lo4pGb4wGuoX2WFGOlRAANb?usp=share_link", "RE-390.101")</f>
        <v>RE-390.101</v>
      </c>
      <c r="G24" s="18" t="str">
        <f>HYPERLINK("https://docs.google.com/spreadsheets/d/1nAGoRWdy0Sv4ddDKYcmoXYcAejIcdW-D?usp=share_link", "RE-3.08247")</f>
        <v>RE-3.08247</v>
      </c>
      <c r="H24" s="18" t="str">
        <f>HYPERLINK("https://docs.google.com/spreadsheets/d/1JxlaRwOLORWn9Axmu5Hv_KkTZNyWdhs_?usp=share_link", "RE-44.7185")</f>
        <v>RE-44.7185</v>
      </c>
      <c r="I24" s="17"/>
      <c r="J24" s="18" t="str">
        <f>HYPERLINK("https://docs.google.com/spreadsheets/d/11SDBUV0YrTznu10bK_qpA7K7UFaPH_2V?usp=share_link", "RE-152.238")</f>
        <v>RE-152.238</v>
      </c>
      <c r="K24" s="17"/>
      <c r="L24" s="18">
        <f>HYPERLINK("https://docs.google.com/spreadsheets/d/1_98TzNkQSG0b0OB_5KZVxuDUQF0_JEzj?usp=share_link", 486.484)</f>
        <v>486.484</v>
      </c>
      <c r="M24" s="18" t="str">
        <f>HYPERLINK("https://docs.google.com/spreadsheets/d/11LxvqwRfqFXTSzcTdcA7vJLTwQJr5n_X?usp=share_link", "RE-0.588317")</f>
        <v>RE-0.588317</v>
      </c>
      <c r="N24" s="18" t="str">
        <f>HYPERLINK("https://docs.google.com/spreadsheets/d/1Qs3Dk6uzDb19Wg9Y_8GgRKFVAKkqbkH8?usp=share_link", "RE-2534.52")</f>
        <v>RE-2534.52</v>
      </c>
      <c r="O24" s="18" t="str">
        <f>HYPERLINK("https://docs.google.com/spreadsheets/d/1xmkfMgq3bH3nLap-54hkO-8TK63_uVXN?usp=share_link", "RE-12.8561")</f>
        <v>RE-12.8561</v>
      </c>
      <c r="P24" s="18">
        <f>HYPERLINK("https://docs.google.com/spreadsheets/d/1Q-nrlqyUup_7iauOC8EJI-vItmzwI5Ka?usp=share_link", 228.086)</f>
        <v>228.086</v>
      </c>
      <c r="Q24" s="18" t="str">
        <f>HYPERLINK("https://docs.google.com/spreadsheets/d/14LP7JsKpGexR_AFOrBnRgmFf8j0TCAMb?usp=share_link", "RE-2.62258")</f>
        <v>RE-2.62258</v>
      </c>
      <c r="R24" s="18">
        <f>HYPERLINK("https://docs.google.com/spreadsheets/d/17yJfoxhsibOVmSCqmLpash3aUME-h8sa?usp=share_link", 521.185)</f>
        <v>521.185</v>
      </c>
      <c r="S24" s="18" t="str">
        <f>HYPERLINK("https://docs.google.com/spreadsheets/d/1V9dspwjQdwyn9h55XUX3b85r_CWUSbPt?usp=share_link", "RE-5.1103")</f>
        <v>RE-5.1103</v>
      </c>
      <c r="T24" s="18">
        <f>HYPERLINK("https://docs.google.com/spreadsheets/d/16JVvvbn8sb-ZRBLntl0lSZwXzlWFPVE6?usp=share_link", 269.186)</f>
        <v>269.186</v>
      </c>
      <c r="U24" s="18" t="str">
        <f>HYPERLINK("https://docs.google.com/spreadsheets/d/1mX9AKTICgZcexcwY5R-jzGxxXeVCPNtI?usp=share_link", "RE-9.33552")</f>
        <v>RE-9.33552</v>
      </c>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row>
    <row r="25">
      <c r="A25" s="32" t="s">
        <v>17</v>
      </c>
      <c r="B25" s="32" t="s">
        <v>18</v>
      </c>
      <c r="C25" s="32" t="s">
        <v>14</v>
      </c>
      <c r="D25" s="16">
        <f t="shared" si="1"/>
        <v>1271.161</v>
      </c>
      <c r="E25" s="17"/>
      <c r="F25" s="18" t="str">
        <f>HYPERLINK("https://docs.google.com/spreadsheets/d/1CVhMNa4tik6jX5C8hzGKBqboETxdt55e?usp=share_link", "RE-358.637")</f>
        <v>RE-358.637</v>
      </c>
      <c r="G25" s="18" t="str">
        <f>HYPERLINK("https://docs.google.com/spreadsheets/d/18HRMnT3FcHA_GRoDr_O5Yg_joTmt2cL8?usp=share_link", "RE-2.77035")</f>
        <v>RE-2.77035</v>
      </c>
      <c r="H25" s="18" t="str">
        <f>HYPERLINK("https://docs.google.com/spreadsheets/d/13cvnrvaIgqtJ3PQ9XNMFkPsrk0RGUbxs?usp=share_link", "RE-41.3372")</f>
        <v>RE-41.3372</v>
      </c>
      <c r="I25" s="17"/>
      <c r="J25" s="18" t="str">
        <f>HYPERLINK("https://docs.google.com/spreadsheets/d/18Q7apRwRjIy_MPWoZo4GXJ5dSe_i_3d5?usp=share_link", "RE-138.678")</f>
        <v>RE-138.678</v>
      </c>
      <c r="K25" s="17"/>
      <c r="L25" s="18">
        <f>HYPERLINK("https://docs.google.com/spreadsheets/d/1kpcWKQOLQiyAfE8Gf-zeRw1Yg08cGPCz?usp=share_link", 414.628)</f>
        <v>414.628</v>
      </c>
      <c r="M25" s="18" t="str">
        <f>HYPERLINK("https://docs.google.com/spreadsheets/d/1Ap_ilXwRahB0W82VsHlbZqjxzaz6M9wl?usp=share_link", "RE-0.588317")</f>
        <v>RE-0.588317</v>
      </c>
      <c r="N25" s="18" t="str">
        <f>HYPERLINK("https://docs.google.com/spreadsheets/d/1RtNp8TfW9GFichFObSjgetW7Z1-_X0H8?usp=share_link", "RE-2212.09")</f>
        <v>RE-2212.09</v>
      </c>
      <c r="O25" s="18" t="str">
        <f>HYPERLINK("https://docs.google.com/spreadsheets/d/1-PvXJNzJUaxDrSt6FLuCppFm_XxlOjYk?usp=share_link", "RE-10.7847")</f>
        <v>RE-10.7847</v>
      </c>
      <c r="P25" s="18">
        <f>HYPERLINK("https://docs.google.com/spreadsheets/d/1O7Yopm3nogBm8oyBiy4yhxZGtsKYBTmB?usp=share_link", 192.015)</f>
        <v>192.015</v>
      </c>
      <c r="Q25" s="18" t="str">
        <f>HYPERLINK("https://docs.google.com/spreadsheets/d/1kqr_5c343l_2sFnyqFdvNDwVSSDNDIpA?usp=share_link", "RE-2.62258")</f>
        <v>RE-2.62258</v>
      </c>
      <c r="R25" s="18">
        <f>HYPERLINK("https://docs.google.com/spreadsheets/d/1xfPGV3-drSdo1bQVWno3XpVVkep1fqwB?usp=share_link", 439.239)</f>
        <v>439.239</v>
      </c>
      <c r="S25" s="18" t="str">
        <f>HYPERLINK("https://docs.google.com/spreadsheets/d/1MURiMNnhAMLmqUsH_Ble66jdCY6xQG15?usp=share_link", "RE-4.44205")</f>
        <v>RE-4.44205</v>
      </c>
      <c r="T25" s="18">
        <f>HYPERLINK("https://docs.google.com/spreadsheets/d/11sWPEZ8a3npGCbvHJ9upqw90_qpLn57q?usp=share_link", 225.279)</f>
        <v>225.279</v>
      </c>
      <c r="U25" s="18" t="str">
        <f>HYPERLINK("https://docs.google.com/spreadsheets/d/1clLsq8pOqBYJAO9nfxNRxtQZaZpGSoLW?usp=share_link", "RE-8.86017")</f>
        <v>RE-8.86017</v>
      </c>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row>
    <row r="26">
      <c r="A26" s="27" t="s">
        <v>17</v>
      </c>
      <c r="B26" s="27" t="s">
        <v>18</v>
      </c>
      <c r="C26" s="27" t="s">
        <v>15</v>
      </c>
      <c r="D26" s="28">
        <f t="shared" si="1"/>
        <v>1504.911</v>
      </c>
      <c r="E26" s="33"/>
      <c r="F26" s="34" t="str">
        <f>HYPERLINK("https://docs.google.com/spreadsheets/d/1Rx-dmqwOx0wXwwOfktLJb8sGCA96dLJ3?usp=share_link", "RE-390.101")</f>
        <v>RE-390.101</v>
      </c>
      <c r="G26" s="34" t="str">
        <f>HYPERLINK("https://docs.google.com/spreadsheets/d/1IBONFED5dL2xjkbygWg18j8YqDXn_B7R?usp=share_link", "RE-3.08247")</f>
        <v>RE-3.08247</v>
      </c>
      <c r="H26" s="34" t="str">
        <f>HYPERLINK("https://docs.google.com/spreadsheets/d/1LWWhJVQr-9KBHQdviiIbl3Td8KsMTvPJ?usp=share_link", "RE-44.7185")</f>
        <v>RE-44.7185</v>
      </c>
      <c r="I26" s="33"/>
      <c r="J26" s="34" t="str">
        <f>HYPERLINK("https://docs.google.com/spreadsheets/d/1nloIEpGNYHDM0XKm1KGbUqjZ0T6BpqpB?usp=share_link", "RE-152.007")</f>
        <v>RE-152.007</v>
      </c>
      <c r="K26" s="33"/>
      <c r="L26" s="34">
        <f>HYPERLINK("https://docs.google.com/spreadsheets/d/1_QoPModUF9G8OFJsy22Yty7_YXg_Lib8?usp=share_link", 486.484)</f>
        <v>486.484</v>
      </c>
      <c r="M26" s="34" t="str">
        <f>HYPERLINK("https://docs.google.com/spreadsheets/d/1h72uSxhnE3ya9sooPWmRTjkjceV_kO1x?usp=share_link", "RE-0.588317")</f>
        <v>RE-0.588317</v>
      </c>
      <c r="N26" s="34" t="str">
        <f>HYPERLINK("https://docs.google.com/spreadsheets/d/1H6HTjRmNzkR4Ow6Sq1srUF9mvZpcsnFs?usp=share_link", "RE-2532.27")</f>
        <v>RE-2532.27</v>
      </c>
      <c r="O26" s="34" t="str">
        <f>HYPERLINK("https://docs.google.com/spreadsheets/d/1kv9492nvWsSxwb1k0BtQw5UPg6i_yrWW?usp=share_link", "RE-12.8561")</f>
        <v>RE-12.8561</v>
      </c>
      <c r="P26" s="34">
        <f>HYPERLINK("https://docs.google.com/spreadsheets/d/1UCnVCr5s5lfG41q4eDdPNg6x1JzZYwOU?usp=share_link", 228.086)</f>
        <v>228.086</v>
      </c>
      <c r="Q26" s="34" t="str">
        <f>HYPERLINK("https://docs.google.com/spreadsheets/d/1vc37E0k3JObyJqfLEBq7Ey3T_aB2Eao7?usp=share_link", "RE-2.62258")</f>
        <v>RE-2.62258</v>
      </c>
      <c r="R26" s="34">
        <f>HYPERLINK("https://docs.google.com/spreadsheets/d/1htDTHlTpSxQIravzdE0svGRiPXMJWoBT?usp=share_link", 521.185)</f>
        <v>521.185</v>
      </c>
      <c r="S26" s="34" t="str">
        <f>HYPERLINK("https://docs.google.com/spreadsheets/d/1kVFYMrBbz5rUmuRjcvNXnkjD8oiSK4Fx?usp=share_link", "RE-5.1103")</f>
        <v>RE-5.1103</v>
      </c>
      <c r="T26" s="34">
        <f>HYPERLINK("https://docs.google.com/spreadsheets/d/1Hom3B_wZiIwIPDq5MrRQemnXCdmhEozt?usp=share_link", 269.156)</f>
        <v>269.156</v>
      </c>
      <c r="U26" s="34" t="str">
        <f>HYPERLINK("https://docs.google.com/spreadsheets/d/1-GuKAW_HrPNFlGIOjbuyblbUtWQTtKft?usp=share_link", "RE-9.33552")</f>
        <v>RE-9.33552</v>
      </c>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row>
    <row r="27">
      <c r="A27" s="30" t="s">
        <v>7</v>
      </c>
      <c r="B27" s="30" t="s">
        <v>19</v>
      </c>
      <c r="C27" s="31" t="str">
        <f>HYPERLINK("https://docs.google.com/spreadsheets/d/1HqlFgyNsNHGy-Zjl89hRZB-F3p1MY31A/edit?usp=share_link&amp;ouid=106501987799020758802&amp;rtpof=true&amp;sd=true", "Raw Delivered")</f>
        <v>Raw Delivered</v>
      </c>
      <c r="D27" s="12">
        <f t="shared" si="1"/>
        <v>8419.082249</v>
      </c>
      <c r="E27" s="13"/>
      <c r="F27" s="14">
        <f>HYPERLINK("https://docs.google.com/spreadsheets/d/1xCI42YVVvAVTmvlUZ-2DISVxw5Hv1MFp", 2300.06722708333)</f>
        <v>2300.067227</v>
      </c>
      <c r="G27" s="13"/>
      <c r="H27" s="14">
        <f>HYPERLINK("https://docs.google.com/spreadsheets/d/1WrAlHiFbr7E8b2eaQq7VNRqrfvn0xH1J", 167.168214583333)</f>
        <v>167.1682146</v>
      </c>
      <c r="I27" s="13"/>
      <c r="J27" s="14">
        <f>HYPERLINK("https://docs.google.com/spreadsheets/d/11dmSBE3eJfXdHtIqfENGqhl24eZgBL-D", 2394.98950208333)</f>
        <v>2394.989502</v>
      </c>
      <c r="K27" s="13"/>
      <c r="L27" s="14">
        <f t="shared" ref="L27:L28" si="14">HYPERLINK("https://docs.google.com/spreadsheets/d/1jwMaFwNRuTpoE672jpMnjlaVeHknxJkx", 751.095735416667)</f>
        <v>751.0957354</v>
      </c>
      <c r="M27" s="13"/>
      <c r="N27" s="14">
        <f>HYPERLINK("https://docs.google.com/spreadsheets/d/1bwiQzyL-BLNNjuSJZrarViyYFQQjqMC4", 1540.15304583333)</f>
        <v>1540.153046</v>
      </c>
      <c r="O27" s="13"/>
      <c r="P27" s="14">
        <f t="shared" ref="P27:P28" si="15">HYPERLINK("https://docs.google.com/spreadsheets/d/1Bm8GjtI5jthHSRNjOrSl2FW7_WZMLVtZ", 733.223510416667)</f>
        <v>733.2235104</v>
      </c>
      <c r="Q27" s="13"/>
      <c r="R27" s="14">
        <f t="shared" ref="R27:R28" si="16">HYPERLINK("https://docs.google.com/spreadsheets/d/154RDKoox0K5RdLmfzU6bBDCNOeO1Gwbi", 196.476416666666)</f>
        <v>196.4764167</v>
      </c>
      <c r="S27" s="13"/>
      <c r="T27" s="14">
        <f t="shared" ref="T27:T28" si="17">HYPERLINK("https://docs.google.com/spreadsheets/d/1r2Xs4s2Jh883k8oUpnCzfjdC-957ACb7", 335.908596875)</f>
        <v>335.9085969</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row>
    <row r="28">
      <c r="A28" s="32" t="s">
        <v>7</v>
      </c>
      <c r="B28" s="32" t="s">
        <v>19</v>
      </c>
      <c r="C28" s="32" t="s">
        <v>9</v>
      </c>
      <c r="D28" s="16">
        <f t="shared" si="1"/>
        <v>2016.704259</v>
      </c>
      <c r="E28" s="17"/>
      <c r="F28" s="18" t="str">
        <f>HYPERLINK("https://docs.google.com/spreadsheets/d/1xCI42YVVvAVTmvlUZ-2DISVxw5Hv1MFp", "RE-2300.067227083331")</f>
        <v>RE-2300.067227083331</v>
      </c>
      <c r="G28" s="17"/>
      <c r="H28" s="18" t="str">
        <f>HYPERLINK("https://docs.google.com/spreadsheets/d/1WrAlHiFbr7E8b2eaQq7VNRqrfvn0xH1J", "RE-167.1682145833333")</f>
        <v>RE-167.1682145833333</v>
      </c>
      <c r="I28" s="17"/>
      <c r="J28" s="18" t="str">
        <f>HYPERLINK("https://docs.google.com/spreadsheets/d/11dmSBE3eJfXdHtIqfENGqhl24eZgBL-D", "RE-2394.9895020833396")</f>
        <v>RE-2394.9895020833396</v>
      </c>
      <c r="K28" s="17"/>
      <c r="L28" s="18">
        <f t="shared" si="14"/>
        <v>751.0957354</v>
      </c>
      <c r="M28" s="17"/>
      <c r="N28" s="18" t="str">
        <f>HYPERLINK("https://docs.google.com/spreadsheets/d/1bwiQzyL-BLNNjuSJZrarViyYFQQjqMC4", "RE-1540.1530458333348")</f>
        <v>RE-1540.1530458333348</v>
      </c>
      <c r="O28" s="17"/>
      <c r="P28" s="18">
        <f t="shared" si="15"/>
        <v>733.2235104</v>
      </c>
      <c r="Q28" s="17"/>
      <c r="R28" s="18">
        <f t="shared" si="16"/>
        <v>196.4764167</v>
      </c>
      <c r="S28" s="17"/>
      <c r="T28" s="18">
        <f t="shared" si="17"/>
        <v>335.9085969</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row>
    <row r="29">
      <c r="A29" s="32" t="s">
        <v>7</v>
      </c>
      <c r="B29" s="32" t="s">
        <v>19</v>
      </c>
      <c r="C29" s="32" t="s">
        <v>10</v>
      </c>
      <c r="D29" s="16">
        <f t="shared" si="1"/>
        <v>744.0930417</v>
      </c>
      <c r="E29" s="17"/>
      <c r="F29" s="17"/>
      <c r="G29" s="18">
        <f>HYPERLINK("https://docs.google.com/spreadsheets/d/1PNs0belCaomkMlhqVQGBGUCPORk9ItCS", 212.328020833333)</f>
        <v>212.3280208</v>
      </c>
      <c r="H29" s="17"/>
      <c r="I29" s="18">
        <f>HYPERLINK("https://docs.google.com/spreadsheets/d/11WWBFnlEFd2rl7gWDsjS0YoZY_uir5aM", 28.1497520833333)</f>
        <v>28.14975208</v>
      </c>
      <c r="J29" s="17"/>
      <c r="K29" s="18">
        <f>HYPERLINK("https://docs.google.com/spreadsheets/d/1XCDUYjoQhCDfQtMZjAy9nS3lbygAAxZ5", 183.372526041666)</f>
        <v>183.372526</v>
      </c>
      <c r="L29" s="17"/>
      <c r="M29" s="18">
        <f>HYPERLINK("https://docs.google.com/spreadsheets/d/1H9CfHI-E7uTnlBhd1T3le1klMxxhqsnp", 24.3982427083333)</f>
        <v>24.39824271</v>
      </c>
      <c r="N29" s="17"/>
      <c r="O29" s="18">
        <f>HYPERLINK("https://docs.google.com/spreadsheets/d/1xfMXP71rasiFpyJUE06ESbcN861qczK9", 123.53400625)</f>
        <v>123.5340063</v>
      </c>
      <c r="P29" s="17"/>
      <c r="Q29" s="18">
        <f>HYPERLINK("https://docs.google.com/spreadsheets/d/1W2qGzAPWh7W1mzFVorALrJIIKOjuswlV", 98.6810708333332)</f>
        <v>98.68107083</v>
      </c>
      <c r="R29" s="17"/>
      <c r="S29" s="18">
        <f>HYPERLINK("https://docs.google.com/spreadsheets/d/1FZlxNrBsgiMFyFMfiSWuY4OZne5jhs5T", 18.3118656249999)</f>
        <v>18.31186562</v>
      </c>
      <c r="T29" s="17"/>
      <c r="U29" s="18">
        <f>HYPERLINK("https://docs.google.com/spreadsheets/d/1ypsJTv7bKGMyGSlBgSAP7D5SWwWQwcIn", 49.5116072916666)</f>
        <v>49.51160729</v>
      </c>
      <c r="V29" s="18">
        <f>HYPERLINK("https://docs.google.com/spreadsheets/d/1YghuZWSoqGGEWfMQ0wWnhxvV7_YMgli5", 5.80594999999999)</f>
        <v>5.80595</v>
      </c>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row>
    <row r="30">
      <c r="A30" s="32" t="s">
        <v>7</v>
      </c>
      <c r="B30" s="32" t="s">
        <v>19</v>
      </c>
      <c r="C30" s="32" t="s">
        <v>11</v>
      </c>
      <c r="D30" s="16">
        <f t="shared" si="1"/>
        <v>0</v>
      </c>
      <c r="E30" s="17"/>
      <c r="F30" s="17"/>
      <c r="G30" s="18" t="str">
        <f>HYPERLINK("https://docs.google.com/spreadsheets/d/1PNs0belCaomkMlhqVQGBGUCPORk9ItCS", "RE-212.32802083333323")</f>
        <v>RE-212.32802083333323</v>
      </c>
      <c r="H30" s="17"/>
      <c r="I30" s="18" t="str">
        <f>HYPERLINK("https://docs.google.com/spreadsheets/d/11WWBFnlEFd2rl7gWDsjS0YoZY_uir5aM", "RE-28.149752083333336")</f>
        <v>RE-28.149752083333336</v>
      </c>
      <c r="J30" s="17"/>
      <c r="K30" s="18" t="str">
        <f>HYPERLINK("https://docs.google.com/spreadsheets/d/1XCDUYjoQhCDfQtMZjAy9nS3lbygAAxZ5", "RE-183.37252604166673")</f>
        <v>RE-183.37252604166673</v>
      </c>
      <c r="L30" s="17"/>
      <c r="M30" s="18" t="str">
        <f>HYPERLINK("https://docs.google.com/spreadsheets/d/1H9CfHI-E7uTnlBhd1T3le1klMxxhqsnp", "RE-24.398242708333335")</f>
        <v>RE-24.398242708333335</v>
      </c>
      <c r="N30" s="17"/>
      <c r="O30" s="18" t="str">
        <f>HYPERLINK("https://docs.google.com/spreadsheets/d/1xfMXP71rasiFpyJUE06ESbcN861qczK9", "RE-123.53400625000012")</f>
        <v>RE-123.53400625000012</v>
      </c>
      <c r="P30" s="17"/>
      <c r="Q30" s="18" t="str">
        <f>HYPERLINK("https://docs.google.com/spreadsheets/d/1W2qGzAPWh7W1mzFVorALrJIIKOjuswlV", "RE-98.68107083333327")</f>
        <v>RE-98.68107083333327</v>
      </c>
      <c r="R30" s="17"/>
      <c r="S30" s="18" t="str">
        <f>HYPERLINK("https://docs.google.com/spreadsheets/d/1FZlxNrBsgiMFyFMfiSWuY4OZne5jhs5T", "RE-18.311865624999996")</f>
        <v>RE-18.311865624999996</v>
      </c>
      <c r="T30" s="17"/>
      <c r="U30" s="18" t="str">
        <f>HYPERLINK("https://docs.google.com/spreadsheets/d/1ypsJTv7bKGMyGSlBgSAP7D5SWwWQwcIn", "RE-49.511607291666685")</f>
        <v>RE-49.511607291666685</v>
      </c>
      <c r="V30" s="18" t="str">
        <f>HYPERLINK("https://docs.google.com/spreadsheets/d/1YghuZWSoqGGEWfMQ0wWnhxvV7_YMgli5", "RE-5.805949999999999")</f>
        <v>RE-5.805949999999999</v>
      </c>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row>
    <row r="31">
      <c r="A31" s="32" t="s">
        <v>7</v>
      </c>
      <c r="B31" s="32" t="s">
        <v>19</v>
      </c>
      <c r="C31" s="32" t="s">
        <v>12</v>
      </c>
      <c r="D31" s="16">
        <f t="shared" si="1"/>
        <v>1843.996395</v>
      </c>
      <c r="E31" s="17"/>
      <c r="F31" s="18" t="str">
        <f>HYPERLINK("https://docs.google.com/spreadsheets/d/1xfbyZI0lDXYY8WcRuVNb2x0Z-go6KSL0", "RE-1833.444134375")</f>
        <v>RE-1833.444134375</v>
      </c>
      <c r="G31" s="18" t="str">
        <f>HYPERLINK("https://docs.google.com/spreadsheets/d/1phw1YtPbECAyIt9-znlMO7AGKQJBkW8u", "RE-10.279056250000002")</f>
        <v>RE-10.279056250000002</v>
      </c>
      <c r="H31" s="18" t="str">
        <f>HYPERLINK("https://docs.google.com/spreadsheets/d/1SumbiLv33k1brCqzP2_cTgIzI1vizk7S", "RE-155.96669166666666")</f>
        <v>RE-155.96669166666666</v>
      </c>
      <c r="I31" s="18" t="str">
        <f>HYPERLINK("https://docs.google.com/spreadsheets/d/1TnTPpPAWAqliCtzRvFUz_ZrebMcfYZvu", "RE-0.0")</f>
        <v>RE-0.0</v>
      </c>
      <c r="J31" s="18" t="str">
        <f>HYPERLINK("https://docs.google.com/spreadsheets/d/1rj7T2biK6_MpQfP3Zj7AJUxmeuR-M3pV", "RE-1972.2184468750024")</f>
        <v>RE-1972.2184468750024</v>
      </c>
      <c r="K31" s="18" t="str">
        <f>HYPERLINK("https://docs.google.com/spreadsheets/d/11cJNQqCMh-iAoyHMWkaaXZ1oZl2w-HJm", "RE-10.105639583333334")</f>
        <v>RE-10.105639583333334</v>
      </c>
      <c r="L31" s="18">
        <f>HYPERLINK("https://docs.google.com/spreadsheets/d/1gOG9ToZxxHBkrzzqm_Qu3YuQu3pC6GWf", 685.961681250002)</f>
        <v>685.9616813</v>
      </c>
      <c r="M31" s="18" t="str">
        <f>HYPERLINK("https://docs.google.com/spreadsheets/d/1SW5f2FlUVcFCCVwRpeg42mfn-w06hA3U", "RE-6.736752083333331")</f>
        <v>RE-6.736752083333331</v>
      </c>
      <c r="N31" s="18" t="str">
        <f>HYPERLINK("https://docs.google.com/spreadsheets/d/1-VgEgvajm7U5eJOvBtdcMkxIMy6UoAUp", "RE-1107.692233333334")</f>
        <v>RE-1107.692233333334</v>
      </c>
      <c r="O31" s="18" t="str">
        <f>HYPERLINK("https://docs.google.com/spreadsheets/d/1WQmtID3Uiut-unuPu2CvPOylgrNLLYxG", "RE-13.07812604166666")</f>
        <v>RE-13.07812604166666</v>
      </c>
      <c r="P31" s="18">
        <f>HYPERLINK("https://docs.google.com/spreadsheets/d/1m9l2-F_hPtlDFd24o3hg7IkhWHt0vdgI", 682.677830208333)</f>
        <v>682.6778302</v>
      </c>
      <c r="Q31" s="18" t="str">
        <f>HYPERLINK("https://docs.google.com/spreadsheets/d/1U9MdBVYZTHOuGlNuon1BfaFzVa2gq6uW", "RE-39.17061770833333")</f>
        <v>RE-39.17061770833333</v>
      </c>
      <c r="R31" s="18">
        <f>HYPERLINK("https://docs.google.com/spreadsheets/d/1C0042vpSVkUQL8yC48ZxLvRU9I4jwu8y", 167.686797916666)</f>
        <v>167.6867979</v>
      </c>
      <c r="S31" s="18" t="str">
        <f>HYPERLINK("https://docs.google.com/spreadsheets/d/1FS5cI00kw-EY00W9zlpP5VvMzLaSUv0_", "RE-12.347347916666665")</f>
        <v>RE-12.347347916666665</v>
      </c>
      <c r="T31" s="18">
        <f>HYPERLINK("https://docs.google.com/spreadsheets/d/1w9yraFi9GJlPDYS84rO7gTicVXUdtBtS", 307.670085416666)</f>
        <v>307.6700854</v>
      </c>
      <c r="U31" s="18" t="str">
        <f>HYPERLINK("https://docs.google.com/spreadsheets/d/173JAk83nQ8pxKG_5qDugyBd9Ia7ebPiy", "RE-27.000440624999996")</f>
        <v>RE-27.000440624999996</v>
      </c>
      <c r="V31" s="18" t="str">
        <f>HYPERLINK("https://docs.google.com/spreadsheets/d/1lIO9mJ1I4HblMD78zbwsw0Zpn6w-t-04", "RE-4.525158333333334")</f>
        <v>RE-4.525158333333334</v>
      </c>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row>
    <row r="32">
      <c r="A32" s="32" t="s">
        <v>7</v>
      </c>
      <c r="B32" s="32" t="s">
        <v>19</v>
      </c>
      <c r="C32" s="32" t="s">
        <v>13</v>
      </c>
      <c r="D32" s="16">
        <f t="shared" si="1"/>
        <v>1767.732</v>
      </c>
      <c r="E32" s="17"/>
      <c r="F32" s="18" t="str">
        <f>HYPERLINK("https://docs.google.com/spreadsheets/d/1UsHmrb5ssjCfx-VCmF3fH6AXqkHLs1n7?usp=share_link", "RE-1775.92")</f>
        <v>RE-1775.92</v>
      </c>
      <c r="G32" s="18" t="str">
        <f>HYPERLINK("https://docs.google.com/spreadsheets/d/1sE3ai06aV6eE_qdT4uB9D89SrBvmmtcw?usp=share_link", "RE-9.67605")</f>
        <v>RE-9.67605</v>
      </c>
      <c r="H32" s="18" t="str">
        <f>HYPERLINK("https://docs.google.com/spreadsheets/d/15w2STkcWI6YSsRjvBMc_UPnTsPFNgKyg?usp=share_link", "RE-152.764")</f>
        <v>RE-152.764</v>
      </c>
      <c r="I32" s="17"/>
      <c r="J32" s="18" t="str">
        <f>HYPERLINK("https://docs.google.com/spreadsheets/d/1OCacG-C_pnOAQtsn5EreiA3JA9IJhLOL?usp=share_link", "RE-1915.43")</f>
        <v>RE-1915.43</v>
      </c>
      <c r="K32" s="18" t="str">
        <f>HYPERLINK("https://docs.google.com/spreadsheets/d/1adB3Qn5Xa88jO1iUOmPPDsLdr52ohagd?usp=share_link", "RE-9.48722")</f>
        <v>RE-9.48722</v>
      </c>
      <c r="L32" s="18">
        <f>HYPERLINK("https://docs.google.com/spreadsheets/d/1BJ79FfPxqAKXwruMtCN4vnjFn2NyhO7u?usp=share_link", 658.94)</f>
        <v>658.94</v>
      </c>
      <c r="M32" s="18" t="str">
        <f>HYPERLINK("https://docs.google.com/spreadsheets/d/1BqdaQn2tcan0MmvzM9V_cd5zH3yEyaB_?usp=share_link", "RE-6.31333")</f>
        <v>RE-6.31333</v>
      </c>
      <c r="N32" s="18" t="str">
        <f>HYPERLINK("https://docs.google.com/spreadsheets/d/1z_K9URgMrP2btz6rwNXJuzMrMWzu5rlx?usp=share_link", "RE-1066.89")</f>
        <v>RE-1066.89</v>
      </c>
      <c r="O32" s="18" t="str">
        <f>HYPERLINK("https://docs.google.com/spreadsheets/d/1NOjpz49eQ_o8vcuGsdGbGFIChj69Yt2C?usp=share_link", "RE-12.3779")</f>
        <v>RE-12.3779</v>
      </c>
      <c r="P32" s="18">
        <f>HYPERLINK("https://docs.google.com/spreadsheets/d/1k7MqMprkXxJ2SAln_hrTztQ1QKDMYSad?usp=share_link", 651.126)</f>
        <v>651.126</v>
      </c>
      <c r="Q32" s="18" t="str">
        <f>HYPERLINK("https://docs.google.com/spreadsheets/d/1jIF7u-yFIKHFNokUjUJqBppbPp82R9D0?usp=share_link", "RE-37.5207")</f>
        <v>RE-37.5207</v>
      </c>
      <c r="R32" s="18">
        <f>HYPERLINK("https://docs.google.com/spreadsheets/d/1MiKOvqY8E_l7Yi5Va7PFFfD21Lxt_ke6?usp=share_link", 161.709)</f>
        <v>161.709</v>
      </c>
      <c r="S32" s="18" t="str">
        <f>HYPERLINK("https://docs.google.com/spreadsheets/d/1gEfzt8e36obdM8eGwpHys4DN-okPEpbO?usp=share_link", "RE-11.7944")</f>
        <v>RE-11.7944</v>
      </c>
      <c r="T32" s="18">
        <f>HYPERLINK("https://docs.google.com/spreadsheets/d/10ZwMYCnrQjukMVFGZ28DQqPmJidD7dbJ?usp=share_link", 295.957)</f>
        <v>295.957</v>
      </c>
      <c r="U32" s="18" t="str">
        <f>HYPERLINK("https://docs.google.com/spreadsheets/d/18c4ptfa9lCnW8EYOY8UlQ_P501-6XpB7?usp=share_link", "RE-25.0831")</f>
        <v>RE-25.0831</v>
      </c>
      <c r="V32" s="18" t="str">
        <f>HYPERLINK("https://docs.google.com/spreadsheets/d/1QlnEHJCvYc9rA3K0zFEfp6OxRSen4ZmC?usp=share_link", "RE-4.28677")</f>
        <v>RE-4.28677</v>
      </c>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row>
    <row r="33">
      <c r="A33" s="32" t="s">
        <v>7</v>
      </c>
      <c r="B33" s="32" t="s">
        <v>19</v>
      </c>
      <c r="C33" s="32" t="s">
        <v>14</v>
      </c>
      <c r="D33" s="16">
        <f t="shared" si="1"/>
        <v>1514.484</v>
      </c>
      <c r="E33" s="17"/>
      <c r="F33" s="18" t="str">
        <f>HYPERLINK("https://docs.google.com/spreadsheets/d/1o4iyVMa0KNqPZhxfiVVg1g4JSvK_wbEr?usp=share_link", "RE-1588.34")</f>
        <v>RE-1588.34</v>
      </c>
      <c r="G33" s="18" t="str">
        <f>HYPERLINK("https://docs.google.com/spreadsheets/d/1MIULnAdt4lGnp5eUuyObS7lHZXaZUXv7?usp=share_link", "RE-8.73672")</f>
        <v>RE-8.73672</v>
      </c>
      <c r="H33" s="18" t="str">
        <f>HYPERLINK("https://docs.google.com/spreadsheets/d/1l-cxUCHI-czRtF7h2hW4ReoyWKa1mxLu?usp=share_link", "RE-132.313")</f>
        <v>RE-132.313</v>
      </c>
      <c r="I33" s="17"/>
      <c r="J33" s="18" t="str">
        <f>HYPERLINK("https://docs.google.com/spreadsheets/d/1080b3ozr-3YilMubMk8JVDt0P-HXrBpy?usp=share_link", "RE-1769.74")</f>
        <v>RE-1769.74</v>
      </c>
      <c r="K33" s="18" t="str">
        <f>HYPERLINK("https://docs.google.com/spreadsheets/d/17iQssbqSbR4-lVctpv7mVpOIz4OFlwzh?usp=share_link", "RE-8.6473")</f>
        <v>RE-8.6473</v>
      </c>
      <c r="L33" s="18">
        <f>HYPERLINK("https://docs.google.com/spreadsheets/d/1rmctP5CqrOG_l1TpxPty3UEMGOBdhCHG?usp=share_link", 567.134)</f>
        <v>567.134</v>
      </c>
      <c r="M33" s="18" t="str">
        <f>HYPERLINK("https://docs.google.com/spreadsheets/d/1ZTmcggNQrkeK5UE9dgb0nPPIPUp6_0up?usp=share_link", "RE-4.88093")</f>
        <v>RE-4.88093</v>
      </c>
      <c r="N33" s="18" t="str">
        <f>HYPERLINK("https://docs.google.com/spreadsheets/d/1ZRIk3eyyh2GJQL1bZ6AA_G6lIyJYkdXn?usp=share_link", "RE-926.81")</f>
        <v>RE-926.81</v>
      </c>
      <c r="O33" s="18" t="str">
        <f>HYPERLINK("https://docs.google.com/spreadsheets/d/13Z5h0aL7Y5X4CuJaOc-twCjLKujlENY3?usp=share_link", "RE-11.0374")</f>
        <v>RE-11.0374</v>
      </c>
      <c r="P33" s="18">
        <f>HYPERLINK("https://docs.google.com/spreadsheets/d/1HOHbKdT6AKk0Zc1ZHUHdzw6mKnhjR4-z?usp=share_link", 559.927)</f>
        <v>559.927</v>
      </c>
      <c r="Q33" s="18" t="str">
        <f>HYPERLINK("https://docs.google.com/spreadsheets/d/1D4G1nqq6b4eIS0e56TXJ94KtCfeVsTsL?usp=share_link", "RE-33.0263")</f>
        <v>RE-33.0263</v>
      </c>
      <c r="R33" s="18">
        <f>HYPERLINK("https://docs.google.com/spreadsheets/d/1-qew8m8slRK6439frGFcSZ-PBanM4Ruy?usp=share_link", 137.482)</f>
        <v>137.482</v>
      </c>
      <c r="S33" s="18" t="str">
        <f>HYPERLINK("https://docs.google.com/spreadsheets/d/1xYZMcbfr-sTn7hKkPkOBn9cFa6G7t-SS?usp=share_link", "RE-9.844")</f>
        <v>RE-9.844</v>
      </c>
      <c r="T33" s="18">
        <f>HYPERLINK("https://docs.google.com/spreadsheets/d/1itZkgBYBnjyUILeSlA1vr2u_2NJpOAoD?usp=share_link", 249.941)</f>
        <v>249.941</v>
      </c>
      <c r="U33" s="18" t="str">
        <f>HYPERLINK("https://docs.google.com/spreadsheets/d/1yVCtrGH0b3M8SzTnjjamtR9rm_kpk3YM?usp=share_link", "RE-22.8112")</f>
        <v>RE-22.8112</v>
      </c>
      <c r="V33" s="18" t="str">
        <f>HYPERLINK("https://docs.google.com/spreadsheets/d/1ZuL6yKUsKy9pQNdstjLqXIF4RHnrEGhm?usp=share_link", "RE-3.03597")</f>
        <v>RE-3.03597</v>
      </c>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row>
    <row r="34">
      <c r="A34" s="27" t="s">
        <v>7</v>
      </c>
      <c r="B34" s="27" t="s">
        <v>19</v>
      </c>
      <c r="C34" s="27" t="s">
        <v>15</v>
      </c>
      <c r="D34" s="28">
        <f t="shared" si="1"/>
        <v>1767.499</v>
      </c>
      <c r="E34" s="33"/>
      <c r="F34" s="34" t="str">
        <f>HYPERLINK("https://docs.google.com/spreadsheets/d/1of95-VoiAZiJdPGeySCTazbd7FhXHlI0?usp=share_link", "RE-1775.62")</f>
        <v>RE-1775.62</v>
      </c>
      <c r="G34" s="34" t="str">
        <f>HYPERLINK("https://docs.google.com/spreadsheets/d/1gobynS_ILJaG7uWrfcofSTRDRvm83O5r?usp=share_link", "RE-9.67605")</f>
        <v>RE-9.67605</v>
      </c>
      <c r="H34" s="34" t="str">
        <f>HYPERLINK("https://docs.google.com/spreadsheets/d/1M2GTsatQf3B7qZCvmQnhA8Z68BSOvsdc?usp=share_link", "RE-152.764")</f>
        <v>RE-152.764</v>
      </c>
      <c r="I34" s="33"/>
      <c r="J34" s="34" t="str">
        <f>HYPERLINK("https://docs.google.com/spreadsheets/d/1AZLLe2-MMn9KFtXYCYIWN3pCkOsd75bo?usp=share_link", "RE-1915.43")</f>
        <v>RE-1915.43</v>
      </c>
      <c r="K34" s="34" t="str">
        <f>HYPERLINK("https://docs.google.com/spreadsheets/d/1T72xrizUGDW26U8wUEJdaxhXohZmR66A?usp=share_link", "RE-9.48722")</f>
        <v>RE-9.48722</v>
      </c>
      <c r="L34" s="34">
        <f>HYPERLINK("https://docs.google.com/spreadsheets/d/1fOJK5nBoWVAexjvbCuufRZP8R3rXnUPm?usp=share_link", 658.893)</f>
        <v>658.893</v>
      </c>
      <c r="M34" s="34" t="str">
        <f>HYPERLINK("https://docs.google.com/spreadsheets/d/1EjclOZP1UgOxLAj3Q6mW0l65OqHTqX-x?usp=share_link", "RE-6.31333")</f>
        <v>RE-6.31333</v>
      </c>
      <c r="N34" s="34" t="str">
        <f>HYPERLINK("https://docs.google.com/spreadsheets/d/1SDPb1_TY5qeRWMPZX57YeFuy49XaQnhU?usp=share_link", "RE-1066.89")</f>
        <v>RE-1066.89</v>
      </c>
      <c r="O34" s="34" t="str">
        <f>HYPERLINK("https://docs.google.com/spreadsheets/d/1niyIpm34OMU7lpYiCjTXRprUaYRKMKR7?usp=share_link", "RE-12.3779")</f>
        <v>RE-12.3779</v>
      </c>
      <c r="P34" s="34">
        <f>HYPERLINK("https://docs.google.com/spreadsheets/d/1KfDd0UFBkrxBUf3HpwjQG-nSbP2fTm6p?usp=share_link", 650.94)</f>
        <v>650.94</v>
      </c>
      <c r="Q34" s="34" t="str">
        <f>HYPERLINK("https://docs.google.com/spreadsheets/d/14m82STdoVCK0Kddljkz-MjYZ7QWUJIXj?usp=share_link", "RE-37.5207")</f>
        <v>RE-37.5207</v>
      </c>
      <c r="R34" s="34">
        <f>HYPERLINK("https://docs.google.com/spreadsheets/d/1eydw6aQMWZ9p-zXANu8_uWpF4TEKWkvq?usp=share_link", 161.709)</f>
        <v>161.709</v>
      </c>
      <c r="S34" s="34" t="str">
        <f>HYPERLINK("https://docs.google.com/spreadsheets/d/1fCn_KuKp29wF-HgxnHvTNSLeLYLvcj0X?usp=share_link", "RE-11.7944")</f>
        <v>RE-11.7944</v>
      </c>
      <c r="T34" s="34">
        <f>HYPERLINK("https://docs.google.com/spreadsheets/d/1f8o3q28WO83u3rD9dyfheBYpCGCiQyay?usp=share_link", 295.957)</f>
        <v>295.957</v>
      </c>
      <c r="U34" s="34" t="str">
        <f>HYPERLINK("https://docs.google.com/spreadsheets/d/138mgmUconeuFspXASMu9pHPzKxIiGOD1?usp=share_link", "RE-25.0831")</f>
        <v>RE-25.0831</v>
      </c>
      <c r="V34" s="34" t="str">
        <f>HYPERLINK("https://docs.google.com/spreadsheets/d/1rgHKqLF4mNBU_1B8AelWfSgj5EJ_OSgE?usp=share_link", "RE-4.28677")</f>
        <v>RE-4.28677</v>
      </c>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row>
    <row r="35">
      <c r="A35" s="30" t="s">
        <v>7</v>
      </c>
      <c r="B35" s="30" t="s">
        <v>20</v>
      </c>
      <c r="C35" s="31" t="str">
        <f>HYPERLINK("https://docs.google.com/spreadsheets/d/1gWH-3BTTrf-WCu3WdyCkYYUXUFGs3_Ay/edit?usp=share_link&amp;ouid=106501987799020758802&amp;rtpof=true&amp;sd=true", "Raw Delivered")</f>
        <v>Raw Delivered</v>
      </c>
      <c r="D35" s="12">
        <f t="shared" si="1"/>
        <v>7631.102555</v>
      </c>
      <c r="E35" s="13"/>
      <c r="F35" s="14">
        <f>HYPERLINK("https://docs.google.com/spreadsheets/d/1KPWtGAFwfv7uEiDDI4dokwBtFrI3sHQS", 1356.67154895833)</f>
        <v>1356.671549</v>
      </c>
      <c r="G35" s="13"/>
      <c r="H35" s="14">
        <f>HYPERLINK("https://docs.google.com/spreadsheets/d/1LmLwJmvlT3LSBGNfcV1G3tyGZ_kvEr5x", 350.94180625)</f>
        <v>350.9418063</v>
      </c>
      <c r="I35" s="13"/>
      <c r="J35" s="14">
        <f>HYPERLINK("https://docs.google.com/spreadsheets/d/1W_Ri22Pvy3zsigkmDc1Jg_Clt9h1c0DD", 2521.80836249999)</f>
        <v>2521.808362</v>
      </c>
      <c r="K35" s="13"/>
      <c r="L35" s="14">
        <f t="shared" ref="L35:L36" si="18">HYPERLINK("https://docs.google.com/spreadsheets/d/1Uic-_3GSlTVGhXGEDzZi0Q4PPpqWu7Nf", 739.078160416668)</f>
        <v>739.0781604</v>
      </c>
      <c r="M35" s="13"/>
      <c r="N35" s="14">
        <f>HYPERLINK("https://docs.google.com/spreadsheets/d/18MrnSZ-f_-ddEuZO39FgswGYZcupxk3F", 1274.13951874999)</f>
        <v>1274.139519</v>
      </c>
      <c r="O35" s="13"/>
      <c r="P35" s="14">
        <f t="shared" ref="P35:P36" si="19">HYPERLINK("https://docs.google.com/spreadsheets/d/1GLt-YTe8HgcBKbIJtrUhbPgcp6eSeviy", 597.904759375001)</f>
        <v>597.9047594</v>
      </c>
      <c r="Q35" s="13"/>
      <c r="R35" s="14">
        <f t="shared" ref="R35:R36" si="20">HYPERLINK("https://docs.google.com/spreadsheets/d/1llrOarXrLrMSHfp4XKthmtRhwzpQ6BIB", 268.747038541666)</f>
        <v>268.7470385</v>
      </c>
      <c r="S35" s="13"/>
      <c r="T35" s="14">
        <f t="shared" ref="T35:T36" si="21">HYPERLINK("https://docs.google.com/spreadsheets/d/1c3vO8SJicRVMUzzKGD0nQpMv0WVy2EnD", 521.811360416666)</f>
        <v>521.8113604</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row>
    <row r="36">
      <c r="A36" s="32" t="s">
        <v>7</v>
      </c>
      <c r="B36" s="32" t="s">
        <v>20</v>
      </c>
      <c r="C36" s="32" t="s">
        <v>9</v>
      </c>
      <c r="D36" s="16">
        <f t="shared" si="1"/>
        <v>2127.541319</v>
      </c>
      <c r="E36" s="17"/>
      <c r="F36" s="18" t="str">
        <f>HYPERLINK("https://docs.google.com/spreadsheets/d/1KPWtGAFwfv7uEiDDI4dokwBtFrI3sHQS", "RE-1356.671548958335")</f>
        <v>RE-1356.671548958335</v>
      </c>
      <c r="G36" s="17"/>
      <c r="H36" s="18" t="str">
        <f>HYPERLINK("https://docs.google.com/spreadsheets/d/1LmLwJmvlT3LSBGNfcV1G3tyGZ_kvEr5x", "RE-350.94180625")</f>
        <v>RE-350.94180625</v>
      </c>
      <c r="I36" s="17"/>
      <c r="J36" s="18" t="str">
        <f>HYPERLINK("https://docs.google.com/spreadsheets/d/1W_Ri22Pvy3zsigkmDc1Jg_Clt9h1c0DD", "RE-2521.808362499999")</f>
        <v>RE-2521.808362499999</v>
      </c>
      <c r="K36" s="17"/>
      <c r="L36" s="18">
        <f t="shared" si="18"/>
        <v>739.0781604</v>
      </c>
      <c r="M36" s="17"/>
      <c r="N36" s="18" t="str">
        <f>HYPERLINK("https://docs.google.com/spreadsheets/d/18MrnSZ-f_-ddEuZO39FgswGYZcupxk3F", "RE-1274.1395187499982")</f>
        <v>RE-1274.1395187499982</v>
      </c>
      <c r="O36" s="17"/>
      <c r="P36" s="18">
        <f t="shared" si="19"/>
        <v>597.9047594</v>
      </c>
      <c r="Q36" s="17"/>
      <c r="R36" s="18">
        <f t="shared" si="20"/>
        <v>268.7470385</v>
      </c>
      <c r="S36" s="17"/>
      <c r="T36" s="18">
        <f t="shared" si="21"/>
        <v>521.8113604</v>
      </c>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row>
    <row r="37">
      <c r="A37" s="32" t="s">
        <v>7</v>
      </c>
      <c r="B37" s="32" t="s">
        <v>20</v>
      </c>
      <c r="C37" s="32" t="s">
        <v>10</v>
      </c>
      <c r="D37" s="16">
        <f t="shared" si="1"/>
        <v>718.1334312</v>
      </c>
      <c r="E37" s="17"/>
      <c r="F37" s="17"/>
      <c r="G37" s="18">
        <f>HYPERLINK("https://docs.google.com/spreadsheets/d/1Uoqou5-hD5Hz4UsNUgkfjvV5ByK8cY4r", 127.903604166666)</f>
        <v>127.9036042</v>
      </c>
      <c r="H37" s="17"/>
      <c r="I37" s="18">
        <f>HYPERLINK("https://docs.google.com/spreadsheets/d/16io0cwJ4-0GqlwaxiMTHzz1A6ecoGO4f", 16.4467770833333)</f>
        <v>16.44677708</v>
      </c>
      <c r="J37" s="17"/>
      <c r="K37" s="18">
        <f>HYPERLINK("https://docs.google.com/spreadsheets/d/1Yor8fV1gZ1zh3-Faqw4tbfHemBJraPLm", 232.466511458333)</f>
        <v>232.4665115</v>
      </c>
      <c r="L37" s="17"/>
      <c r="M37" s="18">
        <f>HYPERLINK("https://docs.google.com/spreadsheets/d/1hAHljCWdPi2GXhfJDNvk31Z6fGKWWn-V", 36.1901375)</f>
        <v>36.1901375</v>
      </c>
      <c r="N37" s="17"/>
      <c r="O37" s="18">
        <f>HYPERLINK("https://docs.google.com/spreadsheets/d/1t_6IIe4ZvAu-90z-KLRMbCIUXf1AJNIH", 83.2700427083332)</f>
        <v>83.27004271</v>
      </c>
      <c r="P37" s="17"/>
      <c r="Q37" s="18">
        <f>HYPERLINK("https://docs.google.com/spreadsheets/d/1jXkqoI3s7EchMi6xd1JyBQz02d-r-8Nk", 126.344278125)</f>
        <v>126.3442781</v>
      </c>
      <c r="R37" s="17"/>
      <c r="S37" s="18">
        <f>HYPERLINK("https://docs.google.com/spreadsheets/d/1DK4zRdWMY-NrCi6BCOwlFP8iqIF1NZSX", 40.5015802083333)</f>
        <v>40.50158021</v>
      </c>
      <c r="T37" s="17"/>
      <c r="U37" s="18">
        <f>HYPERLINK("https://docs.google.com/spreadsheets/d/1ndeHW8J40FGfAbkCAIn9R7kp_tRbLXZE", 47.5565041666666)</f>
        <v>47.55650417</v>
      </c>
      <c r="V37" s="18">
        <f>HYPERLINK("https://docs.google.com/spreadsheets/d/1kIDrm2618HgRTT8Q7Ln9dJ7z1JQEfO3Y", 7.45399583333333)</f>
        <v>7.453995833</v>
      </c>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row>
    <row r="38">
      <c r="A38" s="32" t="s">
        <v>7</v>
      </c>
      <c r="B38" s="32" t="s">
        <v>20</v>
      </c>
      <c r="C38" s="32" t="s">
        <v>11</v>
      </c>
      <c r="D38" s="16">
        <f t="shared" si="1"/>
        <v>0</v>
      </c>
      <c r="E38" s="17"/>
      <c r="F38" s="17"/>
      <c r="G38" s="18" t="str">
        <f>HYPERLINK("https://docs.google.com/spreadsheets/d/1Uoqou5-hD5Hz4UsNUgkfjvV5ByK8cY4r", "RE-127.90360416666674")</f>
        <v>RE-127.90360416666674</v>
      </c>
      <c r="H38" s="17"/>
      <c r="I38" s="18" t="str">
        <f>HYPERLINK("https://docs.google.com/spreadsheets/d/16io0cwJ4-0GqlwaxiMTHzz1A6ecoGO4f", "RE-16.446777083333338")</f>
        <v>RE-16.446777083333338</v>
      </c>
      <c r="J38" s="17"/>
      <c r="K38" s="18" t="str">
        <f>HYPERLINK("https://docs.google.com/spreadsheets/d/1Yor8fV1gZ1zh3-Faqw4tbfHemBJraPLm", "RE-232.4665114583334")</f>
        <v>RE-232.4665114583334</v>
      </c>
      <c r="L38" s="17"/>
      <c r="M38" s="18" t="str">
        <f>HYPERLINK("https://docs.google.com/spreadsheets/d/1hAHljCWdPi2GXhfJDNvk31Z6fGKWWn-V", "RE-36.1901375")</f>
        <v>RE-36.1901375</v>
      </c>
      <c r="N38" s="17"/>
      <c r="O38" s="18" t="str">
        <f>HYPERLINK("https://docs.google.com/spreadsheets/d/1t_6IIe4ZvAu-90z-KLRMbCIUXf1AJNIH", "RE-83.27004270833328")</f>
        <v>RE-83.27004270833328</v>
      </c>
      <c r="P38" s="17"/>
      <c r="Q38" s="18" t="str">
        <f>HYPERLINK("https://docs.google.com/spreadsheets/d/1jXkqoI3s7EchMi6xd1JyBQz02d-r-8Nk", "RE-126.3442781250001")</f>
        <v>RE-126.3442781250001</v>
      </c>
      <c r="R38" s="17"/>
      <c r="S38" s="18" t="str">
        <f>HYPERLINK("https://docs.google.com/spreadsheets/d/1DK4zRdWMY-NrCi6BCOwlFP8iqIF1NZSX", "RE-40.50158020833333")</f>
        <v>RE-40.50158020833333</v>
      </c>
      <c r="T38" s="17"/>
      <c r="U38" s="18" t="str">
        <f>HYPERLINK("https://docs.google.com/spreadsheets/d/1ndeHW8J40FGfAbkCAIn9R7kp_tRbLXZE", "RE-47.55650416666667")</f>
        <v>RE-47.55650416666667</v>
      </c>
      <c r="V38" s="18" t="str">
        <f>HYPERLINK("https://docs.google.com/spreadsheets/d/1kIDrm2618HgRTT8Q7Ln9dJ7z1JQEfO3Y", "RE-7.453995833333335")</f>
        <v>RE-7.453995833333335</v>
      </c>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row>
    <row r="39">
      <c r="A39" s="32" t="s">
        <v>7</v>
      </c>
      <c r="B39" s="32" t="s">
        <v>20</v>
      </c>
      <c r="C39" s="32" t="s">
        <v>12</v>
      </c>
      <c r="D39" s="16">
        <f t="shared" si="1"/>
        <v>1984.374617</v>
      </c>
      <c r="E39" s="17"/>
      <c r="F39" s="18" t="str">
        <f>HYPERLINK("https://docs.google.com/spreadsheets/d/1VMabcIcbFM-cIgkx4yig_em5rUWwm3Ha", "RE-1140.343034374998")</f>
        <v>RE-1140.343034374998</v>
      </c>
      <c r="G39" s="18" t="str">
        <f>HYPERLINK("https://docs.google.com/spreadsheets/d/1WmmTJfv6oqpYPjcRto9h2malUl6Zpa-t", "RE-5.196600000000002")</f>
        <v>RE-5.196600000000002</v>
      </c>
      <c r="H39" s="18" t="str">
        <f>HYPERLINK("https://docs.google.com/spreadsheets/d/1flH1U7yJLSL65oXGfLKNc9dCGzjTg51W", "RE-308.0420562500001")</f>
        <v>RE-308.0420562500001</v>
      </c>
      <c r="I39" s="18" t="str">
        <f>HYPERLINK("https://docs.google.com/spreadsheets/d/1pVHWu4myDDSskJcyiefIhrMwaczgzitS", "RE-0.6256041666666667")</f>
        <v>RE-0.6256041666666667</v>
      </c>
      <c r="J39" s="18" t="str">
        <f>HYPERLINK("https://docs.google.com/spreadsheets/d/1xCS9VH_tjhOBKH_oxe2LtpWvYVnHp3IL", "RE-1980.2373197916702")</f>
        <v>RE-1980.2373197916702</v>
      </c>
      <c r="K39" s="18" t="str">
        <f>HYPERLINK("https://docs.google.com/spreadsheets/d/1YvvOhSaMcuCakJ9zy6YpdJQ4CRiuED2L", "RE-9.92925625")</f>
        <v>RE-9.92925625</v>
      </c>
      <c r="L39" s="18">
        <f>HYPERLINK("https://docs.google.com/spreadsheets/d/1t-z-yzA8iKEwm6FcHC2KLZH5sQNf7VYa", 684.686936458333)</f>
        <v>684.6869365</v>
      </c>
      <c r="M39" s="18" t="str">
        <f>HYPERLINK("https://docs.google.com/spreadsheets/d/1kqcIz3LV6uUEPhvVce2spxpMHH7BLgmd", "RE-8.791433333333334")</f>
        <v>RE-8.791433333333334</v>
      </c>
      <c r="N39" s="18" t="str">
        <f>HYPERLINK("https://docs.google.com/spreadsheets/d/1icbBwHi1sLL8zxLVhDm3_4kF54_8q8c_", "RE-777.5411093749993")</f>
        <v>RE-777.5411093749993</v>
      </c>
      <c r="O39" s="18" t="str">
        <f>HYPERLINK("https://docs.google.com/spreadsheets/d/1FBDg2aq4dIB_ffzSlN7p4oD5BPsYd5Md", "RE-5.206780208333333")</f>
        <v>RE-5.206780208333333</v>
      </c>
      <c r="P39" s="18">
        <f>HYPERLINK("https://docs.google.com/spreadsheets/d/1DeVgbfX3QsWXI07Z48gZVBzZrtIoej72", 551.009839583334)</f>
        <v>551.0098396</v>
      </c>
      <c r="Q39" s="18" t="str">
        <f>HYPERLINK("https://docs.google.com/spreadsheets/d/1gZtgCo0cZ40_BR6NEZ7xSzNDUO67eHD_", "RE-56.86000208333335")</f>
        <v>RE-56.86000208333335</v>
      </c>
      <c r="R39" s="18">
        <f>HYPERLINK("https://docs.google.com/spreadsheets/d/1xE3_pQDslyJ8FyMcDxbPdqxP_lA9IHZj", 257.974203124999)</f>
        <v>257.9742031</v>
      </c>
      <c r="S39" s="18" t="str">
        <f>HYPERLINK("https://docs.google.com/spreadsheets/d/1-VKbkbFprWvJ4gQRvjHjWCrXyDg2g1s4", "RE-24.241880208333335")</f>
        <v>RE-24.241880208333335</v>
      </c>
      <c r="T39" s="18">
        <f>HYPERLINK("https://docs.google.com/spreadsheets/d/1fPH9cv7lWkFoK_RzQqqvQr4j_w_IKXcV", 490.703637499999)</f>
        <v>490.7036375</v>
      </c>
      <c r="U39" s="18" t="str">
        <f>HYPERLINK("https://docs.google.com/spreadsheets/d/1XBhQpa_cxk9TF_NwOPqUJcJjfeFNMqxa", "RE-26.111826041666664")</f>
        <v>RE-26.111826041666664</v>
      </c>
      <c r="V39" s="18" t="str">
        <f>HYPERLINK("https://docs.google.com/spreadsheets/d/1kqgnC-qi1PdxR2EM9lJOg0xai5euN7vU", "RE-5.137666666666667")</f>
        <v>RE-5.137666666666667</v>
      </c>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row>
    <row r="40">
      <c r="A40" s="32" t="s">
        <v>7</v>
      </c>
      <c r="B40" s="32" t="s">
        <v>20</v>
      </c>
      <c r="C40" s="32" t="s">
        <v>13</v>
      </c>
      <c r="D40" s="16">
        <f t="shared" si="1"/>
        <v>1901.991</v>
      </c>
      <c r="E40" s="17"/>
      <c r="F40" s="18" t="str">
        <f>HYPERLINK("https://docs.google.com/spreadsheets/d/1hl-ypQTjoctWmgBFxaIbxm5JRlLIEw5q?usp=share_link", "RE-1102.54")</f>
        <v>RE-1102.54</v>
      </c>
      <c r="G40" s="18" t="str">
        <f>HYPERLINK("https://docs.google.com/spreadsheets/d/1ZOSZRjcds3JoKiW5COtUzdnuVNkhfD5k?usp=share_link", "RE-4.99672")</f>
        <v>RE-4.99672</v>
      </c>
      <c r="H40" s="18" t="str">
        <f>HYPERLINK("https://docs.google.com/spreadsheets/d/1sG3QCgPAci8Zy01mHvahZKc2CgdCHki8?usp=share_link", "RE-298.835")</f>
        <v>RE-298.835</v>
      </c>
      <c r="I40" s="18" t="str">
        <f>HYPERLINK("https://docs.google.com/spreadsheets/d/1gpOl6BrkOdSPXoUVAxpbtilF7I3aIvZK?usp=share_link", "RE-0.6164")</f>
        <v>RE-0.6164</v>
      </c>
      <c r="J40" s="18" t="str">
        <f>HYPERLINK("https://docs.google.com/spreadsheets/d/1tRnco7hgZQ9Qgtk7Nc1wRVZ-q0XC7MdH?usp=share_link", "RE-1911.6")</f>
        <v>RE-1911.6</v>
      </c>
      <c r="K40" s="18" t="str">
        <f>HYPERLINK("https://docs.google.com/spreadsheets/d/1-JobbWf8i8EkA_7SZ0bvahrz10hJXMnH?usp=share_link", "RE-9.41977")</f>
        <v>RE-9.41977</v>
      </c>
      <c r="L40" s="18">
        <f>HYPERLINK("https://docs.google.com/spreadsheets/d/1j2HdOhrA2UrbIrKWc3Y5TGeh1v-ojovB?usp=share_link", 652.444)</f>
        <v>652.444</v>
      </c>
      <c r="M40" s="18" t="str">
        <f>HYPERLINK("https://docs.google.com/spreadsheets/d/1pRdapPEyaW13ccApXGfB3ag4xlbCdZl2?usp=share_link", "RE-8.06843")</f>
        <v>RE-8.06843</v>
      </c>
      <c r="N40" s="18" t="str">
        <f>HYPERLINK("https://docs.google.com/spreadsheets/d/16nl0iY3v_QRKRatYmNRnZ-PRS0-JkNrD?usp=share_link", "RE-750.024")</f>
        <v>RE-750.024</v>
      </c>
      <c r="O40" s="18" t="str">
        <f>HYPERLINK("https://docs.google.com/spreadsheets/d/1lLiA8TpBENdqBTjLZRcYNvAzyAMtpqwf?usp=share_link", "RE-4.91082")</f>
        <v>RE-4.91082</v>
      </c>
      <c r="P40" s="18">
        <f>HYPERLINK("https://docs.google.com/spreadsheets/d/1F0FQTRXEJBFN4wUpj611lSat7nlCdynM?usp=share_link", 526.555)</f>
        <v>526.555</v>
      </c>
      <c r="Q40" s="18" t="str">
        <f>HYPERLINK("https://docs.google.com/spreadsheets/d/1honPANEgy_5EKNTpKf-ij5Dy6FWQlaTR?usp=share_link", "RE-54.2001")</f>
        <v>RE-54.2001</v>
      </c>
      <c r="R40" s="18">
        <f>HYPERLINK("https://docs.google.com/spreadsheets/d/1BkrrqckQVK1Sgp-LcUsimIX_CAOQ-ad7?usp=share_link", 248.192)</f>
        <v>248.192</v>
      </c>
      <c r="S40" s="18" t="str">
        <f>HYPERLINK("https://docs.google.com/spreadsheets/d/1l5wmsy8AwGiEAJm6Uufh9-PrQ8HA-Cba?usp=share_link", "RE-22.6313")</f>
        <v>RE-22.6313</v>
      </c>
      <c r="T40" s="18">
        <f>HYPERLINK("https://docs.google.com/spreadsheets/d/1No5y7bS2K7lOkXLW7skUJ0ZswIwZyz2l?usp=share_link", 474.8)</f>
        <v>474.8</v>
      </c>
      <c r="U40" s="18" t="str">
        <f>HYPERLINK("https://docs.google.com/spreadsheets/d/13KwkcSMHjq0rk837yHs0v1-hOUlIdfeQ?usp=share_link", "RE-24.981")</f>
        <v>RE-24.981</v>
      </c>
      <c r="V40" s="18" t="str">
        <f>HYPERLINK("https://docs.google.com/spreadsheets/d/1I6WJ6OLEN7XCQfAKalQNIG9zW8Jnnjrb?usp=share_link", "RE-4.93362")</f>
        <v>RE-4.93362</v>
      </c>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row>
    <row r="41">
      <c r="A41" s="32" t="s">
        <v>7</v>
      </c>
      <c r="B41" s="32" t="s">
        <v>20</v>
      </c>
      <c r="C41" s="32" t="s">
        <v>14</v>
      </c>
      <c r="D41" s="16">
        <f t="shared" si="1"/>
        <v>1654.538</v>
      </c>
      <c r="E41" s="17"/>
      <c r="F41" s="18" t="str">
        <f>HYPERLINK("https://docs.google.com/spreadsheets/d/1R0YdWKhSmI0HsqmjOR3e3GzICZcWHGTX?usp=share_link", "RE-976.965")</f>
        <v>RE-976.965</v>
      </c>
      <c r="G41" s="18" t="str">
        <f>HYPERLINK("https://docs.google.com/spreadsheets/d/13ZL3AQekFERhP4l3UmNdXUaw_xalQo-7?usp=share_link", "RE-4.81152")</f>
        <v>RE-4.81152</v>
      </c>
      <c r="H41" s="18" t="str">
        <f>HYPERLINK("https://docs.google.com/spreadsheets/d/1XRMAeLNiZfWmY7-ry6FO5zp26MtP9yA3?usp=share_link", "RE-276.504")</f>
        <v>RE-276.504</v>
      </c>
      <c r="I41" s="18" t="str">
        <f>HYPERLINK("https://docs.google.com/spreadsheets/d/1Gyc0nCcAzdMovsZSRXoMiewolDV1Wn8D?usp=share_link", "RE-0.6164")</f>
        <v>RE-0.6164</v>
      </c>
      <c r="J41" s="18" t="str">
        <f>HYPERLINK("https://docs.google.com/spreadsheets/d/1jxCgnHYZsBHiqa1b21EsYLaB5ysgoKLh?usp=share_link", "RE-1774.89")</f>
        <v>RE-1774.89</v>
      </c>
      <c r="K41" s="18" t="str">
        <f>HYPERLINK("https://docs.google.com/spreadsheets/d/1u3pV02gz3ATJZ0GrXaWMeuYGEIku3dbf?usp=share_link", "RE-8.14247")</f>
        <v>RE-8.14247</v>
      </c>
      <c r="L41" s="18">
        <f>HYPERLINK("https://docs.google.com/spreadsheets/d/1rqIpdNLPTgCT_xYB4EU6FMmrIwp2_Fn6?usp=share_link", 575.309)</f>
        <v>575.309</v>
      </c>
      <c r="M41" s="18" t="str">
        <f>HYPERLINK("https://docs.google.com/spreadsheets/d/1FsVkA9cCH_0Myd0n62vPx1zQIx31nkPh?usp=share_link", "RE-7.45218")</f>
        <v>RE-7.45218</v>
      </c>
      <c r="N41" s="18" t="str">
        <f>HYPERLINK("https://docs.google.com/spreadsheets/d/1LA4FUBi5-RvORuCInBFwHnPUlbI3vTKS?usp=share_link", "RE-645.889")</f>
        <v>RE-645.889</v>
      </c>
      <c r="O41" s="18" t="str">
        <f>HYPERLINK("https://docs.google.com/spreadsheets/d/12UFhrppcfXBofGMnFeFRkrdUzSn6jk-P?usp=share_link", "RE-4.91082")</f>
        <v>RE-4.91082</v>
      </c>
      <c r="P41" s="18">
        <f>HYPERLINK("https://docs.google.com/spreadsheets/d/1TD0cNV60Scc2Z5rELv01N7ozYRaXKhgV?usp=share_link", 456.285)</f>
        <v>456.285</v>
      </c>
      <c r="Q41" s="18" t="str">
        <f>HYPERLINK("https://docs.google.com/spreadsheets/d/1Ljc9_aMoK7WF0ip3I9uaUlXzdIyewFLw?usp=share_link", "RE-49.3722")</f>
        <v>RE-49.3722</v>
      </c>
      <c r="R41" s="18">
        <f>HYPERLINK("https://docs.google.com/spreadsheets/d/1lec1AvSQxVGXSOvXCAG2eBlvGNNDgaoY?usp=share_link", 212.44)</f>
        <v>212.44</v>
      </c>
      <c r="S41" s="18" t="str">
        <f>HYPERLINK("https://docs.google.com/spreadsheets/d/1wOmRvvUhaZZklJP8C6fcZbna9X3lGK1d?usp=share_link", "RE-20.4131")</f>
        <v>RE-20.4131</v>
      </c>
      <c r="T41" s="18">
        <f>HYPERLINK("https://docs.google.com/spreadsheets/d/1C96P9dDJzrjEaONmPi4q57P6wf__oJcv?usp=share_link", 410.504)</f>
        <v>410.504</v>
      </c>
      <c r="U41" s="18" t="str">
        <f>HYPERLINK("https://docs.google.com/spreadsheets/d/1RxJ8mizGBysjfP1tmJ7Ac3lS-qMoFYmX?usp=share_link", "RE-21.9996")</f>
        <v>RE-21.9996</v>
      </c>
      <c r="V41" s="18" t="str">
        <f>HYPERLINK("https://docs.google.com/spreadsheets/d/1jiAzWcYKevTv4nS1NbVve8YzplyFD8rm?usp=share_link", "RE-4.93362")</f>
        <v>RE-4.93362</v>
      </c>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row>
    <row r="42">
      <c r="A42" s="27" t="s">
        <v>7</v>
      </c>
      <c r="B42" s="27" t="s">
        <v>20</v>
      </c>
      <c r="C42" s="27" t="s">
        <v>15</v>
      </c>
      <c r="D42" s="28">
        <f t="shared" si="1"/>
        <v>1901.98</v>
      </c>
      <c r="E42" s="33"/>
      <c r="F42" s="34" t="str">
        <f>HYPERLINK("https://docs.google.com/spreadsheets/d/1-JLYzpvEJt7qRvddXwjRU5vNcls8L2Wm?usp=share_link", "RE-1102.51")</f>
        <v>RE-1102.51</v>
      </c>
      <c r="G42" s="34" t="str">
        <f>HYPERLINK("https://docs.google.com/spreadsheets/d/1HYB2qt2DlQyGCnekflpUoabWnRofpzjA?usp=share_link", "RE-4.99672")</f>
        <v>RE-4.99672</v>
      </c>
      <c r="H42" s="34" t="str">
        <f>HYPERLINK("https://docs.google.com/spreadsheets/d/1xPhKZsdhEoHun6VICG0oZJtUaT23nHff?usp=share_link", "RE-298.835")</f>
        <v>RE-298.835</v>
      </c>
      <c r="I42" s="34" t="str">
        <f>HYPERLINK("https://docs.google.com/spreadsheets/d/1LYkiSSAdKlFvhYOanVj6Q7ayqohthu4t?usp=share_link", "RE-0.6164")</f>
        <v>RE-0.6164</v>
      </c>
      <c r="J42" s="34" t="str">
        <f>HYPERLINK("https://docs.google.com/spreadsheets/d/1J2YOmZABwTVFrrd0AfACmE5HsI1awkax?usp=share_link", "RE-1911.54")</f>
        <v>RE-1911.54</v>
      </c>
      <c r="K42" s="34" t="str">
        <f>HYPERLINK("https://docs.google.com/spreadsheets/d/1NVc9GZ6Eojk5plYWkBm-rzSvIOmZiBUq?usp=share_link", "RE-9.41977")</f>
        <v>RE-9.41977</v>
      </c>
      <c r="L42" s="34">
        <f>HYPERLINK("https://docs.google.com/spreadsheets/d/1jm8i-kjpnPqevxuUloCH1IbzjEG-e8bw?usp=share_link", 652.433)</f>
        <v>652.433</v>
      </c>
      <c r="M42" s="34" t="str">
        <f>HYPERLINK("https://docs.google.com/spreadsheets/d/1WNuVMZsp9o7vGFx6JYGmsb7LR0OAna2F?usp=share_link", "RE-7.98378")</f>
        <v>RE-7.98378</v>
      </c>
      <c r="N42" s="34" t="str">
        <f>HYPERLINK("https://docs.google.com/spreadsheets/d/1s7Q4rFqEAvyrHY957OCRmXSI0pYH6ECr?usp=share_link", "RE-750.024")</f>
        <v>RE-750.024</v>
      </c>
      <c r="O42" s="34" t="str">
        <f>HYPERLINK("https://docs.google.com/spreadsheets/d/1FGoqCzuSOZ3gGL-jmNRTlbzyQhAVJwZd?usp=share_link", "RE-4.91082")</f>
        <v>RE-4.91082</v>
      </c>
      <c r="P42" s="34">
        <f>HYPERLINK("https://docs.google.com/spreadsheets/d/1sZMqb2qQQXeJT4oZzh5Zs9aGI8vEDlMn?usp=share_link", 526.555)</f>
        <v>526.555</v>
      </c>
      <c r="Q42" s="34" t="str">
        <f>HYPERLINK("https://docs.google.com/spreadsheets/d/1i-h7J3PSv2LpikVzAh-mGK1rY7S9fZdj?usp=share_link", "RE-53.0769")</f>
        <v>RE-53.0769</v>
      </c>
      <c r="R42" s="34">
        <f>HYPERLINK("https://docs.google.com/spreadsheets/d/1WkvH5n65yQIEgtUQRIiDGL51yhER8UWP?usp=share_link", 248.192)</f>
        <v>248.192</v>
      </c>
      <c r="S42" s="34" t="str">
        <f>HYPERLINK("https://docs.google.com/spreadsheets/d/1S1n3OeMJ-70vsL3uSpCF6aRNLCAfT8jY?usp=share_link", "RE-22.6313")</f>
        <v>RE-22.6313</v>
      </c>
      <c r="T42" s="34">
        <f>HYPERLINK("https://docs.google.com/spreadsheets/d/1JuqT3VjOBHOttpbswSG-XpdohuJt_tec?usp=share_link", 474.8)</f>
        <v>474.8</v>
      </c>
      <c r="U42" s="34" t="str">
        <f>HYPERLINK("https://docs.google.com/spreadsheets/d/1rgIMhegtB3OKyjIU0foecg79gB_7MFY8?usp=share_link", "RE-24.981")</f>
        <v>RE-24.981</v>
      </c>
      <c r="V42" s="34" t="str">
        <f>HYPERLINK("https://docs.google.com/spreadsheets/d/1EMqm2Xa-BAe_cVt3xX6UgaFpyenkg5eM?usp=share_link", "RE-4.93362")</f>
        <v>RE-4.93362</v>
      </c>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row>
    <row r="43">
      <c r="A43" s="30" t="s">
        <v>7</v>
      </c>
      <c r="B43" s="30" t="s">
        <v>21</v>
      </c>
      <c r="C43" s="31" t="str">
        <f>HYPERLINK("https://docs.google.com/spreadsheets/d/1lewUL82RG6vI_r7RySJ3rYd1Xcnef1zi/edit?usp=share_link&amp;ouid=106501987799020758802&amp;rtpof=true&amp;sd=true", "Raw Delivered")</f>
        <v>Raw Delivered</v>
      </c>
      <c r="D43" s="12">
        <f t="shared" si="1"/>
        <v>6369.427842</v>
      </c>
      <c r="E43" s="13"/>
      <c r="F43" s="14">
        <f>HYPERLINK("https://docs.google.com/spreadsheets/d/1kJXHktExPkWoyp3Bx284XCzP25LaszWR", 1122.7029375)</f>
        <v>1122.702938</v>
      </c>
      <c r="G43" s="13"/>
      <c r="H43" s="14">
        <f>HYPERLINK("https://docs.google.com/spreadsheets/d/1a_SxrsP51yNb4HYg19eht0Jy98WlDYTP", 424.203556249999)</f>
        <v>424.2035562</v>
      </c>
      <c r="I43" s="13"/>
      <c r="J43" s="14">
        <f>HYPERLINK("https://docs.google.com/spreadsheets/d/1JIVRhuHbK_tZcWEV8Tv_ahGVd7X3YFUN", 2015.10453229166)</f>
        <v>2015.104532</v>
      </c>
      <c r="K43" s="13"/>
      <c r="L43" s="14">
        <f t="shared" ref="L43:L44" si="22">HYPERLINK("https://docs.google.com/spreadsheets/d/1hhiwEuzNAbl2fFwj2RnVRi5MX8lIZb44", 496.803361458333)</f>
        <v>496.8033615</v>
      </c>
      <c r="M43" s="13"/>
      <c r="N43" s="14">
        <f>HYPERLINK("https://docs.google.com/spreadsheets/d/1mlyY5GpUECY02eyggSpo-KeTkNx9CiiX", 1153.24589895833)</f>
        <v>1153.245899</v>
      </c>
      <c r="O43" s="13"/>
      <c r="P43" s="14">
        <f t="shared" ref="P43:P44" si="23">HYPERLINK("https://docs.google.com/spreadsheets/d/10ZyU3vCH2ibAG7Mq1Cbx1PBsbJiDuiwr", 411.026623958332)</f>
        <v>411.026624</v>
      </c>
      <c r="Q43" s="13"/>
      <c r="R43" s="14">
        <f t="shared" ref="R43:R44" si="24">HYPERLINK("https://docs.google.com/spreadsheets/d/1XqIz1_R35pYupNh8l39JJy1-IseRu-RN", 197.767445833333)</f>
        <v>197.7674458</v>
      </c>
      <c r="S43" s="13"/>
      <c r="T43" s="14">
        <f t="shared" ref="T43:T44" si="25">HYPERLINK("https://docs.google.com/spreadsheets/d/17MzRw47Ihg-x2Mcxr1zS7QaBAf6tedjZ", 548.573485416666)</f>
        <v>548.5734854</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row>
    <row r="44">
      <c r="A44" s="32" t="s">
        <v>7</v>
      </c>
      <c r="B44" s="32" t="s">
        <v>21</v>
      </c>
      <c r="C44" s="32" t="s">
        <v>9</v>
      </c>
      <c r="D44" s="16">
        <f t="shared" si="1"/>
        <v>1654.170917</v>
      </c>
      <c r="E44" s="17"/>
      <c r="F44" s="18" t="str">
        <f>HYPERLINK("https://docs.google.com/spreadsheets/d/1kJXHktExPkWoyp3Bx284XCzP25LaszWR", "RE-1122.7029375000009")</f>
        <v>RE-1122.7029375000009</v>
      </c>
      <c r="G44" s="17"/>
      <c r="H44" s="18" t="str">
        <f>HYPERLINK("https://docs.google.com/spreadsheets/d/1a_SxrsP51yNb4HYg19eht0Jy98WlDYTP", "RE-424.2035562499995")</f>
        <v>RE-424.2035562499995</v>
      </c>
      <c r="I44" s="17"/>
      <c r="J44" s="18" t="str">
        <f>HYPERLINK("https://docs.google.com/spreadsheets/d/1JIVRhuHbK_tZcWEV8Tv_ahGVd7X3YFUN", "RE-2015.1045322916686")</f>
        <v>RE-2015.1045322916686</v>
      </c>
      <c r="K44" s="17"/>
      <c r="L44" s="18">
        <f t="shared" si="22"/>
        <v>496.8033615</v>
      </c>
      <c r="M44" s="17"/>
      <c r="N44" s="18" t="str">
        <f>HYPERLINK("https://docs.google.com/spreadsheets/d/1mlyY5GpUECY02eyggSpo-KeTkNx9CiiX", "RE-1153.245898958334")</f>
        <v>RE-1153.245898958334</v>
      </c>
      <c r="O44" s="17"/>
      <c r="P44" s="18">
        <f t="shared" si="23"/>
        <v>411.026624</v>
      </c>
      <c r="Q44" s="17"/>
      <c r="R44" s="18">
        <f t="shared" si="24"/>
        <v>197.7674458</v>
      </c>
      <c r="S44" s="17"/>
      <c r="T44" s="18">
        <f t="shared" si="25"/>
        <v>548.5734854</v>
      </c>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row>
    <row r="45">
      <c r="A45" s="32" t="s">
        <v>7</v>
      </c>
      <c r="B45" s="32" t="s">
        <v>21</v>
      </c>
      <c r="C45" s="32" t="s">
        <v>10</v>
      </c>
      <c r="D45" s="16">
        <f t="shared" si="1"/>
        <v>567.4065687</v>
      </c>
      <c r="E45" s="17"/>
      <c r="F45" s="17"/>
      <c r="G45" s="18">
        <f>HYPERLINK("https://docs.google.com/spreadsheets/d/1HpX9l3lRHmc1wVydmtfRc9ucSPlb6FYE", 82.8857062499999)</f>
        <v>82.88570625</v>
      </c>
      <c r="H45" s="17"/>
      <c r="I45" s="18">
        <f>HYPERLINK("https://docs.google.com/spreadsheets/d/1PNtNpblp0JFHfdm0O3zTv1i8IOpiSrVW", 17.8630479166666)</f>
        <v>17.86304792</v>
      </c>
      <c r="J45" s="17"/>
      <c r="K45" s="18">
        <f>HYPERLINK("https://docs.google.com/spreadsheets/d/187TGZCb-ijZW6k_nUVBZg-ZdmTV4BHvL", 136.877757291666)</f>
        <v>136.8777573</v>
      </c>
      <c r="L45" s="17"/>
      <c r="M45" s="18">
        <f>HYPERLINK("https://docs.google.com/spreadsheets/d/1CTiBFByytJV0E5MLVZjm1zzwFf0yTSwi", 31.0742197916666)</f>
        <v>31.07421979</v>
      </c>
      <c r="N45" s="17"/>
      <c r="O45" s="18">
        <f>HYPERLINK("https://docs.google.com/spreadsheets/d/1hsoAs_X6AiUvEZqe1xSwgAaT4UQrgkw0", 96.1832072916666)</f>
        <v>96.18320729</v>
      </c>
      <c r="P45" s="17"/>
      <c r="Q45" s="18">
        <f>HYPERLINK("https://docs.google.com/spreadsheets/d/1IGeYEzkmQfzA5EokoYwgPw4IZknAw2EH", 72.9475239583333)</f>
        <v>72.94752396</v>
      </c>
      <c r="R45" s="17"/>
      <c r="S45" s="18">
        <f>HYPERLINK("https://docs.google.com/spreadsheets/d/1ygQB3mGIRe-PYVgRZibGtYd7UmktXWVq", 30.5429124999999)</f>
        <v>30.5429125</v>
      </c>
      <c r="T45" s="17"/>
      <c r="U45" s="18">
        <f>HYPERLINK("https://docs.google.com/spreadsheets/d/1a1Nn237eJzGGGYxqnIYOiaPgBccxpscY", 95.6884395833333)</f>
        <v>95.68843958</v>
      </c>
      <c r="V45" s="18">
        <f>HYPERLINK("https://docs.google.com/spreadsheets/d/1um4FqKwb-f8aZe4vF999y_VVRSZL9OxO", 3.34375416666666)</f>
        <v>3.343754167</v>
      </c>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row>
    <row r="46">
      <c r="A46" s="32" t="s">
        <v>7</v>
      </c>
      <c r="B46" s="32" t="s">
        <v>21</v>
      </c>
      <c r="C46" s="32" t="s">
        <v>11</v>
      </c>
      <c r="D46" s="16">
        <f t="shared" si="1"/>
        <v>0</v>
      </c>
      <c r="E46" s="17"/>
      <c r="F46" s="17"/>
      <c r="G46" s="18" t="str">
        <f>HYPERLINK("https://docs.google.com/spreadsheets/d/1HpX9l3lRHmc1wVydmtfRc9ucSPlb6FYE", "RE-82.88570624999998")</f>
        <v>RE-82.88570624999998</v>
      </c>
      <c r="H46" s="17"/>
      <c r="I46" s="18" t="str">
        <f>HYPERLINK("https://docs.google.com/spreadsheets/d/1PNtNpblp0JFHfdm0O3zTv1i8IOpiSrVW", "RE-17.863047916666666")</f>
        <v>RE-17.863047916666666</v>
      </c>
      <c r="J46" s="17"/>
      <c r="K46" s="18" t="str">
        <f>HYPERLINK("https://docs.google.com/spreadsheets/d/187TGZCb-ijZW6k_nUVBZg-ZdmTV4BHvL", "RE-136.87775729166665")</f>
        <v>RE-136.87775729166665</v>
      </c>
      <c r="L46" s="17"/>
      <c r="M46" s="18" t="str">
        <f>HYPERLINK("https://docs.google.com/spreadsheets/d/1CTiBFByytJV0E5MLVZjm1zzwFf0yTSwi", "RE-31.07421979166666")</f>
        <v>RE-31.07421979166666</v>
      </c>
      <c r="N46" s="17"/>
      <c r="O46" s="18" t="str">
        <f>HYPERLINK("https://docs.google.com/spreadsheets/d/1hsoAs_X6AiUvEZqe1xSwgAaT4UQrgkw0", "RE-96.18320729166668")</f>
        <v>RE-96.18320729166668</v>
      </c>
      <c r="P46" s="17"/>
      <c r="Q46" s="18" t="str">
        <f>HYPERLINK("https://docs.google.com/spreadsheets/d/1IGeYEzkmQfzA5EokoYwgPw4IZknAw2EH", "RE-72.94752395833338")</f>
        <v>RE-72.94752395833338</v>
      </c>
      <c r="R46" s="17"/>
      <c r="S46" s="18" t="str">
        <f>HYPERLINK("https://docs.google.com/spreadsheets/d/1ygQB3mGIRe-PYVgRZibGtYd7UmktXWVq", "RE-30.542912499999993")</f>
        <v>RE-30.542912499999993</v>
      </c>
      <c r="T46" s="17"/>
      <c r="U46" s="18" t="str">
        <f>HYPERLINK("https://docs.google.com/spreadsheets/d/1a1Nn237eJzGGGYxqnIYOiaPgBccxpscY", "RE-95.68843958333335")</f>
        <v>RE-95.68843958333335</v>
      </c>
      <c r="V46" s="18" t="str">
        <f>HYPERLINK("https://docs.google.com/spreadsheets/d/1um4FqKwb-f8aZe4vF999y_VVRSZL9OxO", "RE-3.3437541666666672")</f>
        <v>RE-3.3437541666666672</v>
      </c>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row>
    <row r="47">
      <c r="A47" s="32" t="s">
        <v>7</v>
      </c>
      <c r="B47" s="32" t="s">
        <v>21</v>
      </c>
      <c r="C47" s="32" t="s">
        <v>12</v>
      </c>
      <c r="D47" s="16">
        <f t="shared" si="1"/>
        <v>1547.118664</v>
      </c>
      <c r="E47" s="17"/>
      <c r="F47" s="18" t="str">
        <f>HYPERLINK("https://docs.google.com/spreadsheets/d/14HKCnlM1SAODIBaDvNrU3CvbCLV4-nDM", "RE-953.6576729166668")</f>
        <v>RE-953.6576729166668</v>
      </c>
      <c r="G47" s="18" t="str">
        <f>HYPERLINK("https://docs.google.com/spreadsheets/d/1l7QO-c4MK9ug0xx2R1D0hBILkSNfoxvb", "RE-5.444943750000001")</f>
        <v>RE-5.444943750000001</v>
      </c>
      <c r="H47" s="18" t="str">
        <f>HYPERLINK("https://docs.google.com/spreadsheets/d/1aw4fit07yNSNOJeIik6jtWtMD7QakXdh", "RE-393.51174374999977")</f>
        <v>RE-393.51174374999977</v>
      </c>
      <c r="I47" s="18" t="str">
        <f>HYPERLINK("https://docs.google.com/spreadsheets/d/1xVI_nZWRfehXc0YaQzfr_4B37Vp4jLQE", "RE-0.0")</f>
        <v>RE-0.0</v>
      </c>
      <c r="J47" s="18" t="str">
        <f>HYPERLINK("https://docs.google.com/spreadsheets/d/1ucZt6lfiIxoGjg00vQfkdfk7Tl8vOfTe", "RE-1600.02721041667")</f>
        <v>RE-1600.02721041667</v>
      </c>
      <c r="K47" s="18" t="str">
        <f>HYPERLINK("https://docs.google.com/spreadsheets/d/15q_LM9v5ff6YuyiReRqnVv4LZfdtppS1", "RE-3.5412208333333335")</f>
        <v>RE-3.5412208333333335</v>
      </c>
      <c r="L47" s="18">
        <f>HYPERLINK("https://docs.google.com/spreadsheets/d/1SqpMMiqtkazuCSR6E5VIJDe0vogdBxdX", 454.305748958333)</f>
        <v>454.305749</v>
      </c>
      <c r="M47" s="18" t="str">
        <f>HYPERLINK("https://docs.google.com/spreadsheets/d/1xjKe3IOZvEaTPcs4inV6nx6lNK7o-Tpj", "RE-12.066970833333333")</f>
        <v>RE-12.066970833333333</v>
      </c>
      <c r="N47" s="18" t="str">
        <f>HYPERLINK("https://docs.google.com/spreadsheets/d/1ePsRbcU2pbmcAKVuYwH_FvOnSUsz3N3S", "RE-715.9144072916663")</f>
        <v>RE-715.9144072916663</v>
      </c>
      <c r="O47" s="18" t="str">
        <f>HYPERLINK("https://docs.google.com/spreadsheets/d/1ZNJ1DN3SdoFXPSb5E11-GsdSFjjDKBo_", "RE-7.458158333333333")</f>
        <v>RE-7.458158333333333</v>
      </c>
      <c r="P47" s="18">
        <f>HYPERLINK("https://docs.google.com/spreadsheets/d/1ChfqlAeZY0AZg8Q3EVMJt-j60qeL888l", 392.131654166666)</f>
        <v>392.1316542</v>
      </c>
      <c r="Q47" s="18" t="str">
        <f>HYPERLINK("https://docs.google.com/spreadsheets/d/1qSf6M0k3k9OqyPNMtB0gvau1xf3ZHAtN", "RE-36.55472395833333")</f>
        <v>RE-36.55472395833333</v>
      </c>
      <c r="R47" s="18">
        <f>HYPERLINK("https://docs.google.com/spreadsheets/d/1FyzgSObO9Px_R8fFPkNFQsl24ZJ3vQ7_", 172.44958125)</f>
        <v>172.4495813</v>
      </c>
      <c r="S47" s="18" t="str">
        <f>HYPERLINK("https://docs.google.com/spreadsheets/d/1oLXLFz_O7_rIFp8zrA2jHJA0a9FMoptW", "RE-18.657095833333337")</f>
        <v>RE-18.657095833333337</v>
      </c>
      <c r="T47" s="18">
        <f>HYPERLINK("https://docs.google.com/spreadsheets/d/1nH3FBVt4fb-dgwMXI5pO_2Xw67Uzt7Vo", 528.231679166666)</f>
        <v>528.2316792</v>
      </c>
      <c r="U47" s="18" t="str">
        <f>HYPERLINK("https://docs.google.com/spreadsheets/d/1PFBVGLsfGEc-UfeAU_gWODgWCF9cSkAy", "RE-49.539860416666635")</f>
        <v>RE-49.539860416666635</v>
      </c>
      <c r="V47" s="18" t="str">
        <f>HYPERLINK("https://docs.google.com/spreadsheets/d/116JuMNLdSKtohs1nADJmB9vzQHj-4H5a", "RE-3.0308270833333335")</f>
        <v>RE-3.0308270833333335</v>
      </c>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row>
    <row r="48">
      <c r="A48" s="32" t="s">
        <v>7</v>
      </c>
      <c r="B48" s="32" t="s">
        <v>21</v>
      </c>
      <c r="C48" s="32" t="s">
        <v>13</v>
      </c>
      <c r="D48" s="16">
        <f t="shared" si="1"/>
        <v>1485.626</v>
      </c>
      <c r="E48" s="17"/>
      <c r="F48" s="18" t="str">
        <f>HYPERLINK("https://docs.google.com/spreadsheets/d/16y_iEVeIz93_CHiMIXoXzPasXcFssAZb?usp=share_link", "RE-930.971")</f>
        <v>RE-930.971</v>
      </c>
      <c r="G48" s="18" t="str">
        <f>HYPERLINK("https://docs.google.com/spreadsheets/d/1QT_LLeH0k2sloWH2oDJXKKc5ECzO7Tc6?usp=share_link", "RE-5.23778")</f>
        <v>RE-5.23778</v>
      </c>
      <c r="H48" s="18" t="str">
        <f>HYPERLINK("https://docs.google.com/spreadsheets/d/1JtEEC3jsKjrFtkg1ItKAnBzNmyVyxPDZ?usp=share_link", "RE-386.113")</f>
        <v>RE-386.113</v>
      </c>
      <c r="I48" s="17"/>
      <c r="J48" s="18" t="str">
        <f>HYPERLINK("https://docs.google.com/spreadsheets/d/16pQonUhIqyhXojVgkv_DJlxiLup-eyjy?usp=share_link", "RE-1561.99")</f>
        <v>RE-1561.99</v>
      </c>
      <c r="K48" s="18" t="str">
        <f>HYPERLINK("https://docs.google.com/spreadsheets/d/1W2j7tm9uOXsFh1-Fp11jmYPxGKzLlM_5?usp=share_link", "RE-3.47417")</f>
        <v>RE-3.47417</v>
      </c>
      <c r="L48" s="18">
        <f>HYPERLINK("https://docs.google.com/spreadsheets/d/1jEuz331CE9WO9Dg25ZPt1coxMH0KteB4?usp=share_link", 435.522)</f>
        <v>435.522</v>
      </c>
      <c r="M48" s="18" t="str">
        <f>HYPERLINK("https://docs.google.com/spreadsheets/d/11dLf-v_EnBCeFFurWdpC8Kj4vJvqM3pL?usp=share_link", "RE-11.6671")</f>
        <v>RE-11.6671</v>
      </c>
      <c r="N48" s="18" t="str">
        <f>HYPERLINK("https://docs.google.com/spreadsheets/d/1i_Iv3l42xe0giEPHlN58XZ5fILhHzExW?usp=share_link", "RE-686.679")</f>
        <v>RE-686.679</v>
      </c>
      <c r="O48" s="18" t="str">
        <f>HYPERLINK("https://docs.google.com/spreadsheets/d/1m1awg4FCNq5zyFohQm0VRs3moj4FJeBr?usp=share_link", "RE-6.97367")</f>
        <v>RE-6.97367</v>
      </c>
      <c r="P48" s="18">
        <f>HYPERLINK("https://docs.google.com/spreadsheets/d/1Lnf4rlLWZtqYAmVDuGa_Om_WvWkT8BQP?usp=share_link", 378.508)</f>
        <v>378.508</v>
      </c>
      <c r="Q48" s="18" t="str">
        <f>HYPERLINK("https://docs.google.com/spreadsheets/d/1vzvojgcfGM6RoxUdk8aCgsbjfq-7zw2j?usp=share_link", "RE-35.0781")</f>
        <v>RE-35.0781</v>
      </c>
      <c r="R48" s="18">
        <f>HYPERLINK("https://docs.google.com/spreadsheets/d/1vP_ix8OPeZG7y7lQA9COHCrBMFu7jfBU?usp=share_link", 165.777)</f>
        <v>165.777</v>
      </c>
      <c r="S48" s="18" t="str">
        <f>HYPERLINK("https://docs.google.com/spreadsheets/d/1Z8OUwwQdvrTHpAHf_tGGJTEJmBJQgezm?usp=share_link", "RE-17.9775")</f>
        <v>RE-17.9775</v>
      </c>
      <c r="T48" s="18">
        <f>HYPERLINK("https://docs.google.com/spreadsheets/d/1ZCganZtV010rNZJDB7m76rNC2eNHPszG?usp=share_link", 505.819)</f>
        <v>505.819</v>
      </c>
      <c r="U48" s="18" t="str">
        <f>HYPERLINK("https://docs.google.com/spreadsheets/d/1iJjRL4UXsPyDCpNtZRncezug4mvi-9Fn?usp=share_link", "RE-46.7559")</f>
        <v>RE-46.7559</v>
      </c>
      <c r="V48" s="18" t="str">
        <f>HYPERLINK("https://docs.google.com/spreadsheets/d/12XQu1SdGKTQrVLkXRqzMEXU2TEfCGpZS?usp=share_link", "RE-2.93252")</f>
        <v>RE-2.93252</v>
      </c>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row>
    <row r="49">
      <c r="A49" s="32" t="s">
        <v>7</v>
      </c>
      <c r="B49" s="32" t="s">
        <v>21</v>
      </c>
      <c r="C49" s="32" t="s">
        <v>14</v>
      </c>
      <c r="D49" s="16">
        <f t="shared" si="1"/>
        <v>1264.436</v>
      </c>
      <c r="E49" s="17"/>
      <c r="F49" s="18" t="str">
        <f>HYPERLINK("https://docs.google.com/spreadsheets/d/1YRFQeh-FP1-AR2bpC1KdnYQj_6vdl4fd?usp=share_link", "RE-823.4")</f>
        <v>RE-823.4</v>
      </c>
      <c r="G49" s="18" t="str">
        <f>HYPERLINK("https://docs.google.com/spreadsheets/d/16gxkkozESDMWBSZ9Gm86omtTv3-HL9lx?usp=share_link", "RE-5.23778")</f>
        <v>RE-5.23778</v>
      </c>
      <c r="H49" s="18" t="str">
        <f>HYPERLINK("https://docs.google.com/spreadsheets/d/1UZptiNz6NDeMnEh5XdPLcf-RlsD53IWI?usp=share_link", "RE-309.152")</f>
        <v>RE-309.152</v>
      </c>
      <c r="I49" s="17"/>
      <c r="J49" s="18" t="str">
        <f>HYPERLINK("https://docs.google.com/spreadsheets/d/1bxug4WIzhh7zr8yeM2HUU-2t49t9EOd-?usp=share_link", "RE-1426.36")</f>
        <v>RE-1426.36</v>
      </c>
      <c r="K49" s="18" t="str">
        <f>HYPERLINK("https://docs.google.com/spreadsheets/d/1k92iIkMq6RppO1z-XLGrU0nAx2DwziHy?usp=share_link", "RE-3.24767")</f>
        <v>RE-3.24767</v>
      </c>
      <c r="L49" s="18">
        <f>HYPERLINK("https://docs.google.com/spreadsheets/d/1jiKCr4oJtA2WlNOlRxMEL2w2rYhlKKgr?usp=share_link", 373.839)</f>
        <v>373.839</v>
      </c>
      <c r="M49" s="18" t="str">
        <f>HYPERLINK("https://docs.google.com/spreadsheets/d/15DrLwhXZXX1PJf-ND1LlKz8HkR2vaWJm?usp=share_link", "RE-9.34557")</f>
        <v>RE-9.34557</v>
      </c>
      <c r="N49" s="18" t="str">
        <f>HYPERLINK("https://docs.google.com/spreadsheets/d/1rKlG8cbvNXvsjw-81nbcU-q-7eRYI22W?usp=share_link", "RE-590.246")</f>
        <v>RE-590.246</v>
      </c>
      <c r="O49" s="18" t="str">
        <f>HYPERLINK("https://docs.google.com/spreadsheets/d/1Nd5CGFq2aVhUAFk3N2_MIg6IFnkZfFuP?usp=share_link", "RE-6.00317")</f>
        <v>RE-6.00317</v>
      </c>
      <c r="P49" s="18">
        <f>HYPERLINK("https://docs.google.com/spreadsheets/d/1n3HxZXSVqSmqq43KY1dIyeK2rN88_Wga?usp=share_link", 320.58)</f>
        <v>320.58</v>
      </c>
      <c r="Q49" s="18" t="str">
        <f>HYPERLINK("https://docs.google.com/spreadsheets/d/1voiX3dFSiI373L-g3xNexJp9KJEqDafw?usp=share_link", "RE-30.4114")</f>
        <v>RE-30.4114</v>
      </c>
      <c r="R49" s="18">
        <f>HYPERLINK("https://docs.google.com/spreadsheets/d/11yHAPZ-k8A6Mx2lx_uLCqbToDwwa48k8?usp=share_link", 139.627)</f>
        <v>139.627</v>
      </c>
      <c r="S49" s="18" t="str">
        <f>HYPERLINK("https://docs.google.com/spreadsheets/d/1voHNqLFHbD90wZnnzrvGo5-9GLwCiKnP?usp=share_link", "RE-14.9436")</f>
        <v>RE-14.9436</v>
      </c>
      <c r="T49" s="18">
        <f>HYPERLINK("https://docs.google.com/spreadsheets/d/191QnNCcK7ZHR3yJFiYSheKjCb9h4Or-K?usp=share_link", 430.39)</f>
        <v>430.39</v>
      </c>
      <c r="U49" s="18" t="str">
        <f>HYPERLINK("https://docs.google.com/spreadsheets/d/1QoHQW0rAIWaE8GoDyqDXWw6U7s6J22oK?usp=share_link", "RE-39.6847")</f>
        <v>RE-39.6847</v>
      </c>
      <c r="V49" s="18" t="str">
        <f>HYPERLINK("https://docs.google.com/spreadsheets/d/1sm-k9KiYROBmZknWuPvyBvsZMPgbd2IV?usp=share_link", "RE-2.93252")</f>
        <v>RE-2.93252</v>
      </c>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c r="EJ49" s="17"/>
      <c r="EK49" s="17"/>
      <c r="EL49" s="17"/>
      <c r="EM49" s="17"/>
      <c r="EN49" s="17"/>
      <c r="EO49" s="17"/>
      <c r="EP49" s="17"/>
      <c r="EQ49" s="17"/>
      <c r="ER49" s="17"/>
      <c r="ES49" s="17"/>
      <c r="ET49" s="17"/>
      <c r="EU49" s="17"/>
      <c r="EV49" s="17"/>
      <c r="EW49" s="17"/>
      <c r="EX49" s="17"/>
      <c r="EY49" s="17"/>
      <c r="EZ49" s="17"/>
      <c r="FA49" s="17"/>
      <c r="FB49" s="17"/>
      <c r="FC49" s="17"/>
      <c r="FD49" s="17"/>
      <c r="FE49" s="17"/>
      <c r="FF49" s="17"/>
      <c r="FG49" s="17"/>
      <c r="FH49" s="17"/>
    </row>
    <row r="50">
      <c r="A50" s="27" t="s">
        <v>7</v>
      </c>
      <c r="B50" s="27" t="s">
        <v>21</v>
      </c>
      <c r="C50" s="27" t="s">
        <v>15</v>
      </c>
      <c r="D50" s="28">
        <f t="shared" si="1"/>
        <v>1485.606</v>
      </c>
      <c r="E50" s="33"/>
      <c r="F50" s="34" t="str">
        <f>HYPERLINK("https://docs.google.com/spreadsheets/d/1TfPnM5vYcdSiU6VYr_DHKK21B74UFh9q?usp=share_link", "RE-930.7")</f>
        <v>RE-930.7</v>
      </c>
      <c r="G50" s="34" t="str">
        <f>HYPERLINK("https://docs.google.com/spreadsheets/d/1EUrVMm8iBq8y8vlhFQro-01g8469qKTj?usp=share_link", "RE-5.23778")</f>
        <v>RE-5.23778</v>
      </c>
      <c r="H50" s="34" t="str">
        <f>HYPERLINK("https://docs.google.com/spreadsheets/d/1DJmhynr1wQ7JaxFpYjpKy0qfCz7PFsSS?usp=share_link", "RE-385.963")</f>
        <v>RE-385.963</v>
      </c>
      <c r="I50" s="33"/>
      <c r="J50" s="34" t="str">
        <f>HYPERLINK("https://docs.google.com/spreadsheets/d/1LwVc0mzGAjnFw9jXQwPTaRhGutxkAR96?usp=share_link", "RE-1561.99")</f>
        <v>RE-1561.99</v>
      </c>
      <c r="K50" s="34" t="str">
        <f>HYPERLINK("https://docs.google.com/spreadsheets/d/1TOjQq4pvvdBFdn8fqV0Kcp6sEpkMvJ-l?usp=share_link", "RE-3.47417")</f>
        <v>RE-3.47417</v>
      </c>
      <c r="L50" s="34">
        <f>HYPERLINK("https://docs.google.com/spreadsheets/d/1TseHXjHjxo82pFsEadP7UsfFxBnIGFlz?usp=share_link", 435.502)</f>
        <v>435.502</v>
      </c>
      <c r="M50" s="34" t="str">
        <f>HYPERLINK("https://docs.google.com/spreadsheets/d/1tH3xbc6xAzgmCqG3zsdTrjtE2qvX8Og7?usp=share_link", "RE-11.6671")</f>
        <v>RE-11.6671</v>
      </c>
      <c r="N50" s="34" t="str">
        <f>HYPERLINK("https://docs.google.com/spreadsheets/d/1zfK-klWfM6W-dwcCa3KcFwPhsGLQKijU?usp=share_link", "RE-686.647")</f>
        <v>RE-686.647</v>
      </c>
      <c r="O50" s="34" t="str">
        <f>HYPERLINK("https://docs.google.com/spreadsheets/d/1rHCykEbHx7ofqhpg3eZaD4YW_Kx-43kW?usp=share_link", "RE-6.97367")</f>
        <v>RE-6.97367</v>
      </c>
      <c r="P50" s="34">
        <f>HYPERLINK("https://docs.google.com/spreadsheets/d/1u2kNZimLfI5_1fQqCxT1TGM0l8RV8l97?usp=share_link", 378.508)</f>
        <v>378.508</v>
      </c>
      <c r="Q50" s="34" t="str">
        <f>HYPERLINK("https://docs.google.com/spreadsheets/d/134NjGwA6sFYZkMVGyU_FRvKJrxJDn37v?usp=share_link", "RE-35.0781")</f>
        <v>RE-35.0781</v>
      </c>
      <c r="R50" s="34">
        <f>HYPERLINK("https://docs.google.com/spreadsheets/d/1gn9zVRwMhpCz0SGLjCKt53DXSMCqrKoS?usp=share_link", 165.777)</f>
        <v>165.777</v>
      </c>
      <c r="S50" s="34" t="str">
        <f>HYPERLINK("https://docs.google.com/spreadsheets/d/1q5qDIewasDo_QGNeuFafA14bmoj9649Y?usp=share_link", "RE-17.9775")</f>
        <v>RE-17.9775</v>
      </c>
      <c r="T50" s="34">
        <f>HYPERLINK("https://docs.google.com/spreadsheets/d/1RMkomHX-w7SU6e4jAhoA-h9tuGST1VMJ?usp=share_link", 505.819)</f>
        <v>505.819</v>
      </c>
      <c r="U50" s="34" t="str">
        <f>HYPERLINK("https://docs.google.com/spreadsheets/d/1m2ht2dd6pfqPJQyLzcEaQE-8VXlqFhr5?usp=share_link", "RE-46.7559")</f>
        <v>RE-46.7559</v>
      </c>
      <c r="V50" s="34" t="str">
        <f>HYPERLINK("https://docs.google.com/spreadsheets/d/15bD_WJoKIPzz-bC1LmZwS4Js84Mgko0T?usp=share_link", "RE-2.93252")</f>
        <v>RE-2.93252</v>
      </c>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row>
    <row r="51">
      <c r="A51" s="30" t="s">
        <v>7</v>
      </c>
      <c r="B51" s="30" t="s">
        <v>22</v>
      </c>
      <c r="C51" s="31" t="str">
        <f>HYPERLINK("https://docs.google.com/spreadsheets/d/1pPM3CbuwkknZbTQ8LeWU0aFAMOkIN3NF/edit?usp=share_link&amp;ouid=106501987799020758802&amp;rtpof=true&amp;sd=true", "Raw Delivered")</f>
        <v>Raw Delivered</v>
      </c>
      <c r="D51" s="12">
        <f t="shared" si="1"/>
        <v>7472.209066</v>
      </c>
      <c r="E51" s="13"/>
      <c r="F51" s="14">
        <f>HYPERLINK("https://docs.google.com/spreadsheets/d/12RjGOcth__Ar6dC_w4fcMtolIfkkRaT8", 1793.47541979166)</f>
        <v>1793.47542</v>
      </c>
      <c r="G51" s="13"/>
      <c r="H51" s="14">
        <f>HYPERLINK("https://docs.google.com/spreadsheets/d/1NSAp2pUAk7-OrWkl1XGgW4h_o0bFC4Hp", 242.864937499999)</f>
        <v>242.8649375</v>
      </c>
      <c r="I51" s="13"/>
      <c r="J51" s="14">
        <f>HYPERLINK("https://docs.google.com/spreadsheets/d/1mPA546g9b-3JD-NK6rUsN1D4e8GJjcWK", 1934.13112291666)</f>
        <v>1934.131123</v>
      </c>
      <c r="K51" s="13"/>
      <c r="L51" s="14">
        <f t="shared" ref="L51:L52" si="26">HYPERLINK("https://docs.google.com/spreadsheets/d/10V9KlqCQQ1TkJskaToM2PvDyJf9C0e2Q", 685.460696875001)</f>
        <v>685.4606969</v>
      </c>
      <c r="M51" s="13"/>
      <c r="N51" s="14">
        <f>HYPERLINK("https://docs.google.com/spreadsheets/d/1g9npP9Ji4b2QYM8SZRYlirwBbvJ_Eyi2", 1313.282784375)</f>
        <v>1313.282784</v>
      </c>
      <c r="O51" s="13"/>
      <c r="P51" s="14">
        <f t="shared" ref="P51:P52" si="27">HYPERLINK("https://docs.google.com/spreadsheets/d/1h44D3NAhesxeyPWyB7DqBoixO7Y7aeWW", 889.770778124998)</f>
        <v>889.7707781</v>
      </c>
      <c r="Q51" s="13"/>
      <c r="R51" s="14">
        <f t="shared" ref="R51:R52" si="28">HYPERLINK("https://docs.google.com/spreadsheets/d/1S7L0G6GTd8AQjLpr_LU6uBRj_P4lZHiG", 226.539737499999)</f>
        <v>226.5397375</v>
      </c>
      <c r="S51" s="13"/>
      <c r="T51" s="14">
        <f t="shared" ref="T51:T52" si="29">HYPERLINK("https://docs.google.com/spreadsheets/d/1-F0RjJRPIMPTEtnCddPR3u5bqr7IHWnT", 386.683588541666)</f>
        <v>386.6835885</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row>
    <row r="52">
      <c r="A52" s="32" t="s">
        <v>7</v>
      </c>
      <c r="B52" s="32" t="s">
        <v>22</v>
      </c>
      <c r="C52" s="32" t="s">
        <v>9</v>
      </c>
      <c r="D52" s="16">
        <f t="shared" si="1"/>
        <v>2188.454801</v>
      </c>
      <c r="E52" s="17"/>
      <c r="F52" s="18" t="str">
        <f>HYPERLINK("https://docs.google.com/spreadsheets/d/12RjGOcth__Ar6dC_w4fcMtolIfkkRaT8", "RE-1793.475419791667")</f>
        <v>RE-1793.475419791667</v>
      </c>
      <c r="G52" s="17"/>
      <c r="H52" s="18" t="str">
        <f>HYPERLINK("https://docs.google.com/spreadsheets/d/1NSAp2pUAk7-OrWkl1XGgW4h_o0bFC4Hp", "RE-242.86493749999994")</f>
        <v>RE-242.86493749999994</v>
      </c>
      <c r="I52" s="17"/>
      <c r="J52" s="18" t="str">
        <f>HYPERLINK("https://docs.google.com/spreadsheets/d/1mPA546g9b-3JD-NK6rUsN1D4e8GJjcWK", "RE-1934.1311229166674")</f>
        <v>RE-1934.1311229166674</v>
      </c>
      <c r="K52" s="17"/>
      <c r="L52" s="18">
        <f t="shared" si="26"/>
        <v>685.4606969</v>
      </c>
      <c r="M52" s="17"/>
      <c r="N52" s="18" t="str">
        <f>HYPERLINK("https://docs.google.com/spreadsheets/d/1g9npP9Ji4b2QYM8SZRYlirwBbvJ_Eyi2", "RE-1313.282784375001")</f>
        <v>RE-1313.282784375001</v>
      </c>
      <c r="O52" s="17"/>
      <c r="P52" s="18">
        <f t="shared" si="27"/>
        <v>889.7707781</v>
      </c>
      <c r="Q52" s="17"/>
      <c r="R52" s="18">
        <f t="shared" si="28"/>
        <v>226.5397375</v>
      </c>
      <c r="S52" s="17"/>
      <c r="T52" s="18">
        <f t="shared" si="29"/>
        <v>386.6835885</v>
      </c>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row>
    <row r="53">
      <c r="A53" s="32" t="s">
        <v>7</v>
      </c>
      <c r="B53" s="32" t="s">
        <v>22</v>
      </c>
      <c r="C53" s="32" t="s">
        <v>10</v>
      </c>
      <c r="D53" s="16">
        <f t="shared" si="1"/>
        <v>726.8792021</v>
      </c>
      <c r="E53" s="17"/>
      <c r="F53" s="17"/>
      <c r="G53" s="18">
        <f>HYPERLINK("https://docs.google.com/spreadsheets/d/1mnX8FmW9rrzmnKWkTfEop-5DB28AYy7X", 138.4019625)</f>
        <v>138.4019625</v>
      </c>
      <c r="H53" s="17"/>
      <c r="I53" s="18">
        <f>HYPERLINK("https://docs.google.com/spreadsheets/d/1JahAydnQWUeu7QAyhW9SdGzJ0czZDecQ", 18.2825979166666)</f>
        <v>18.28259792</v>
      </c>
      <c r="J53" s="17"/>
      <c r="K53" s="18">
        <f>HYPERLINK("https://docs.google.com/spreadsheets/d/19EPwwnfGCQ30xRTfAb9TReJ7C1ecCDOQ", 200.816054166666)</f>
        <v>200.8160542</v>
      </c>
      <c r="L53" s="17"/>
      <c r="M53" s="18">
        <f>HYPERLINK("https://docs.google.com/spreadsheets/d/1hjcaFqHknT5zZe3W4tr-Wf4XIB653a7n", 35.3879979166666)</f>
        <v>35.38799792</v>
      </c>
      <c r="N53" s="17"/>
      <c r="O53" s="18">
        <f>HYPERLINK("https://docs.google.com/spreadsheets/d/1zJoWXcFqcKzYkeIU9_2DKzPYct3hI7wa", 140.887790624999)</f>
        <v>140.8877906</v>
      </c>
      <c r="P53" s="17"/>
      <c r="Q53" s="18">
        <f>HYPERLINK("https://docs.google.com/spreadsheets/d/1LrnaQ9yjHzxo1kTCBzOGq4JIyBFN5NTp", 116.227305208333)</f>
        <v>116.2273052</v>
      </c>
      <c r="R53" s="17"/>
      <c r="S53" s="18">
        <f>HYPERLINK("https://docs.google.com/spreadsheets/d/1JQv5w2-qN1Jd4GB8LDHHdq13nn-C7PtZ", 28.6945041666666)</f>
        <v>28.69450417</v>
      </c>
      <c r="T53" s="17"/>
      <c r="U53" s="18">
        <f>HYPERLINK("https://docs.google.com/spreadsheets/d/1WDfiqnw8JmKEchM3OuunhQ1d91cgmL9o", 36.70236875)</f>
        <v>36.70236875</v>
      </c>
      <c r="V53" s="18">
        <f>HYPERLINK("https://docs.google.com/spreadsheets/d/1BrL4LJmAKW8whQcZxL2ABK9vp_sTmHND", 11.4786208333333)</f>
        <v>11.47862083</v>
      </c>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row>
    <row r="54">
      <c r="A54" s="32" t="s">
        <v>7</v>
      </c>
      <c r="B54" s="32" t="s">
        <v>22</v>
      </c>
      <c r="C54" s="32" t="s">
        <v>11</v>
      </c>
      <c r="D54" s="16">
        <f t="shared" si="1"/>
        <v>0</v>
      </c>
      <c r="E54" s="17"/>
      <c r="F54" s="17"/>
      <c r="G54" s="18" t="str">
        <f>HYPERLINK("https://docs.google.com/spreadsheets/d/1mnX8FmW9rrzmnKWkTfEop-5DB28AYy7X", "RE-138.40196250000005")</f>
        <v>RE-138.40196250000005</v>
      </c>
      <c r="H54" s="17"/>
      <c r="I54" s="18" t="str">
        <f>HYPERLINK("https://docs.google.com/spreadsheets/d/1JahAydnQWUeu7QAyhW9SdGzJ0czZDecQ", "RE-18.28259791666666")</f>
        <v>RE-18.28259791666666</v>
      </c>
      <c r="J54" s="17"/>
      <c r="K54" s="18" t="str">
        <f>HYPERLINK("https://docs.google.com/spreadsheets/d/19EPwwnfGCQ30xRTfAb9TReJ7C1ecCDOQ", "RE-200.8160541666667")</f>
        <v>RE-200.8160541666667</v>
      </c>
      <c r="L54" s="17"/>
      <c r="M54" s="18" t="str">
        <f>HYPERLINK("https://docs.google.com/spreadsheets/d/1hjcaFqHknT5zZe3W4tr-Wf4XIB653a7n", "RE-35.387997916666656")</f>
        <v>RE-35.387997916666656</v>
      </c>
      <c r="N54" s="17"/>
      <c r="O54" s="18" t="str">
        <f>HYPERLINK("https://docs.google.com/spreadsheets/d/1zJoWXcFqcKzYkeIU9_2DKzPYct3hI7wa", "RE-140.88779062499998")</f>
        <v>RE-140.88779062499998</v>
      </c>
      <c r="P54" s="17"/>
      <c r="Q54" s="18" t="str">
        <f>HYPERLINK("https://docs.google.com/spreadsheets/d/1LrnaQ9yjHzxo1kTCBzOGq4JIyBFN5NTp", "RE-116.2273052083332")</f>
        <v>RE-116.2273052083332</v>
      </c>
      <c r="R54" s="17"/>
      <c r="S54" s="18" t="str">
        <f>HYPERLINK("https://docs.google.com/spreadsheets/d/1JQv5w2-qN1Jd4GB8LDHHdq13nn-C7PtZ", "RE-28.694504166666658")</f>
        <v>RE-28.694504166666658</v>
      </c>
      <c r="T54" s="17"/>
      <c r="U54" s="18" t="str">
        <f>HYPERLINK("https://docs.google.com/spreadsheets/d/1WDfiqnw8JmKEchM3OuunhQ1d91cgmL9o", "RE-36.70236875000001")</f>
        <v>RE-36.70236875000001</v>
      </c>
      <c r="V54" s="18" t="str">
        <f>HYPERLINK("https://docs.google.com/spreadsheets/d/1BrL4LJmAKW8whQcZxL2ABK9vp_sTmHND", "RE-11.47862083333333")</f>
        <v>RE-11.47862083333333</v>
      </c>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7"/>
      <c r="FH54" s="17"/>
    </row>
    <row r="55">
      <c r="A55" s="32" t="s">
        <v>7</v>
      </c>
      <c r="B55" s="32" t="s">
        <v>22</v>
      </c>
      <c r="C55" s="32" t="s">
        <v>12</v>
      </c>
      <c r="D55" s="16">
        <f t="shared" si="1"/>
        <v>2039.66039</v>
      </c>
      <c r="E55" s="17"/>
      <c r="F55" s="18" t="str">
        <f>HYPERLINK("https://docs.google.com/spreadsheets/d/1syeyvdqSg19StYSf1LxvXxW3dibi2fgJ", "RE-1514.852401041668")</f>
        <v>RE-1514.852401041668</v>
      </c>
      <c r="G55" s="18" t="str">
        <f>HYPERLINK("https://docs.google.com/spreadsheets/d/1qZ_22T6B2uuMGSntmjk7A9PNrMH99CyB", "RE-4.497939583333333")</f>
        <v>RE-4.497939583333333</v>
      </c>
      <c r="H55" s="18" t="str">
        <f>HYPERLINK("https://docs.google.com/spreadsheets/d/1x_WyqBfVVyFeNcF_chSeUKoD28vYkVj8", "RE-220.1441833333334")</f>
        <v>RE-220.1441833333334</v>
      </c>
      <c r="I55" s="18" t="str">
        <f>HYPERLINK("https://docs.google.com/spreadsheets/d/1qN5_jrYrFHL6r7IoI8gImv9qjORqxHIB", "RE-0.31871041666666666")</f>
        <v>RE-0.31871041666666666</v>
      </c>
      <c r="J55" s="18" t="str">
        <f>HYPERLINK("https://docs.google.com/spreadsheets/d/1s1M4f0Nutbp1P_S4bGXHg_SPmTEBzDWq", "RE-1483.9505833333305")</f>
        <v>RE-1483.9505833333305</v>
      </c>
      <c r="K55" s="18" t="str">
        <f>HYPERLINK("https://docs.google.com/spreadsheets/d/1wjklJauiELrOIusFAzW_OtSJSw3svcIO", "RE-5.823922916666666")</f>
        <v>RE-5.823922916666666</v>
      </c>
      <c r="L55" s="18">
        <f>HYPERLINK("https://docs.google.com/spreadsheets/d/1Uk_KFvhlov4xWljpaQvmhzJ8xA5JDiNB", 621.911459375001)</f>
        <v>621.9114594</v>
      </c>
      <c r="M55" s="18" t="str">
        <f>HYPERLINK("https://docs.google.com/spreadsheets/d/1FS1cfXwhQbW3PeLSVvgHcVCI2nM_KKfq", "RE-3.7956437500000004")</f>
        <v>RE-3.7956437500000004</v>
      </c>
      <c r="N55" s="18" t="str">
        <f>HYPERLINK("https://docs.google.com/spreadsheets/d/1nX0q49VZGIqANsWjgDMfsumZ_wIWEvG_", "RE-833.1764343750012")</f>
        <v>RE-833.1764343750012</v>
      </c>
      <c r="O55" s="18" t="str">
        <f>HYPERLINK("https://docs.google.com/spreadsheets/d/1hJ9iOCkP4RMFE9v-qQItFYJPCe4zPtqM", "RE-17.81760833333333")</f>
        <v>RE-17.81760833333333</v>
      </c>
      <c r="P55" s="18">
        <f>HYPERLINK("https://docs.google.com/spreadsheets/d/1_W6KvfyApw_uINjMvJ7uH7yQ9wwEZLjL", 843.270997916664)</f>
        <v>843.2709979</v>
      </c>
      <c r="Q55" s="18" t="str">
        <f>HYPERLINK("https://docs.google.com/spreadsheets/d/1IEQJcNXkWrYeP7VpZd4gzy9FTCHjwt_f", "RE-52.12485624999998")</f>
        <v>RE-52.12485624999998</v>
      </c>
      <c r="R55" s="18">
        <f>HYPERLINK("https://docs.google.com/spreadsheets/d/1jwV2d7gXRvnqLpKfu2HAtsu2C7NGm0KW", 214.583670833333)</f>
        <v>214.5836708</v>
      </c>
      <c r="S55" s="18" t="str">
        <f>HYPERLINK("https://docs.google.com/spreadsheets/d/1G6hyCUjaas24btLnsZix_lZvUSkzbjyo", "RE-18.61297499999999")</f>
        <v>RE-18.61297499999999</v>
      </c>
      <c r="T55" s="18">
        <f>HYPERLINK("https://docs.google.com/spreadsheets/d/1nzln9nCtUJk-8EzkomNH8mYK2-xjnYCf", 359.894261458333)</f>
        <v>359.8942615</v>
      </c>
      <c r="U55" s="18" t="str">
        <f>HYPERLINK("https://docs.google.com/spreadsheets/d/1kT3ivQvZ-SjZgbh_aI7D_lcd8qns_yWR", "RE-18.898142708333328")</f>
        <v>RE-18.898142708333328</v>
      </c>
      <c r="V55" s="18" t="str">
        <f>HYPERLINK("https://docs.google.com/spreadsheets/d/1yR7TIGqInp_PHLlrrs5mFzM1_maqg57c", "RE-5.666060416666666")</f>
        <v>RE-5.666060416666666</v>
      </c>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row>
    <row r="56">
      <c r="A56" s="32" t="s">
        <v>7</v>
      </c>
      <c r="B56" s="32" t="s">
        <v>22</v>
      </c>
      <c r="C56" s="32" t="s">
        <v>13</v>
      </c>
      <c r="D56" s="16">
        <f t="shared" si="1"/>
        <v>1954.078</v>
      </c>
      <c r="E56" s="17"/>
      <c r="F56" s="18" t="str">
        <f>HYPERLINK("https://docs.google.com/spreadsheets/d/1sI4TILhGiZ8aFJMDeQ0fQxo_e9S0v5-W?usp=share_link", "RE-1471.77")</f>
        <v>RE-1471.77</v>
      </c>
      <c r="G56" s="18" t="str">
        <f>HYPERLINK("https://docs.google.com/spreadsheets/d/1bJlpQhtiCJDlykbLSgH5LvqOhfv2TdV2?usp=share_link", "RE-4.28915")</f>
        <v>RE-4.28915</v>
      </c>
      <c r="H56" s="18" t="str">
        <f>HYPERLINK("https://docs.google.com/spreadsheets/d/1l54LmT4pSwpsqwzQBv8uwfBxsec6APPV?usp=share_link", "RE-215.342")</f>
        <v>RE-215.342</v>
      </c>
      <c r="I56" s="18" t="str">
        <f>HYPERLINK("https://docs.google.com/spreadsheets/d/1Iuw0HB-HgPa7bDO8BTsFdxGWBsX8st_2?usp=share_link", "RE-0.315833")</f>
        <v>RE-0.315833</v>
      </c>
      <c r="J56" s="18" t="str">
        <f>HYPERLINK("https://docs.google.com/spreadsheets/d/14beityt_QeLAkoUMO1YCw7CLPTY8ro2w?usp=share_link", "RE-1437.48")</f>
        <v>RE-1437.48</v>
      </c>
      <c r="K56" s="18" t="str">
        <f>HYPERLINK("https://docs.google.com/spreadsheets/d/1MOmGZIjvUjO-NY00BUiD50ARslnmxMfD?usp=share_link", "RE-5.59858")</f>
        <v>RE-5.59858</v>
      </c>
      <c r="L56" s="18">
        <f>HYPERLINK("https://docs.google.com/spreadsheets/d/1DTXBGxWenxZycrqUgm9ngThum0QB0LST?usp=share_link", 594.455)</f>
        <v>594.455</v>
      </c>
      <c r="M56" s="18" t="str">
        <f>HYPERLINK("https://docs.google.com/spreadsheets/d/1CU64nbZg_4LPoKhN0ZEG7MLH2H2aSwk-?usp=share_link", "RE-3.47985")</f>
        <v>RE-3.47985</v>
      </c>
      <c r="N56" s="18" t="str">
        <f>HYPERLINK("https://docs.google.com/spreadsheets/d/1emd1tFYxL5e38QawzufS2zFiq1vmTe5-?usp=share_link", "RE-802.974")</f>
        <v>RE-802.974</v>
      </c>
      <c r="O56" s="18" t="str">
        <f>HYPERLINK("https://docs.google.com/spreadsheets/d/1O9r8ywTj2uA-hdL4rvH2T-7FjLcy3YdI?usp=share_link", "RE-17.0634")</f>
        <v>RE-17.0634</v>
      </c>
      <c r="P56" s="18">
        <f>HYPERLINK("https://docs.google.com/spreadsheets/d/1RIXY98K-o2yM2sWbSEdR9x6CxggW5zmt?usp=share_link", 804.794)</f>
        <v>804.794</v>
      </c>
      <c r="Q56" s="18" t="str">
        <f>HYPERLINK("https://docs.google.com/spreadsheets/d/1OjI_b86MVM0LM0eqipZ8O4U72927moyG?usp=share_link", "RE-49.6544")</f>
        <v>RE-49.6544</v>
      </c>
      <c r="R56" s="18">
        <f>HYPERLINK("https://docs.google.com/spreadsheets/d/1e2ureN2T-vjN1LWcRL5ETMWvkBtN05Fr?usp=share_link", 206.766)</f>
        <v>206.766</v>
      </c>
      <c r="S56" s="18" t="str">
        <f>HYPERLINK("https://docs.google.com/spreadsheets/d/1aUmzJV-8sBFFWN-Yuxyyz8FKzTNr5Wi0?usp=share_link", "RE-17.2793")</f>
        <v>RE-17.2793</v>
      </c>
      <c r="T56" s="18">
        <f>HYPERLINK("https://docs.google.com/spreadsheets/d/1tBGksxf0IlS8l9dyGh4R_V_5YEN6RmZN?usp=share_link", 348.063)</f>
        <v>348.063</v>
      </c>
      <c r="U56" s="18" t="str">
        <f>HYPERLINK("https://docs.google.com/spreadsheets/d/1EQCTf3kLA-mK9AlDu3ZCJtvd7nJxPzbA?usp=share_link", "RE-17.9112")</f>
        <v>RE-17.9112</v>
      </c>
      <c r="V56" s="18" t="str">
        <f>HYPERLINK("https://docs.google.com/spreadsheets/d/1Cf1W3Yu2r2cjJ7bGhvSnrJoy9MRbqCYS?usp=share_link", "RE-5.25497")</f>
        <v>RE-5.25497</v>
      </c>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row>
    <row r="57">
      <c r="A57" s="32" t="s">
        <v>7</v>
      </c>
      <c r="B57" s="32" t="s">
        <v>22</v>
      </c>
      <c r="C57" s="32" t="s">
        <v>14</v>
      </c>
      <c r="D57" s="16">
        <f t="shared" si="1"/>
        <v>1644.787</v>
      </c>
      <c r="E57" s="17"/>
      <c r="F57" s="18" t="str">
        <f>HYPERLINK("https://docs.google.com/spreadsheets/d/1C5tv9OS8oUAFyTWLtKfcfCZ2XHu0SXoO?usp=share_link", "RE-1303.54")</f>
        <v>RE-1303.54</v>
      </c>
      <c r="G57" s="18" t="str">
        <f>HYPERLINK("https://docs.google.com/spreadsheets/d/1x7EMgWz2e5BNb0Doi39jNn9kMnDIFr_h?usp=share_link", "RE-3.98427")</f>
        <v>RE-3.98427</v>
      </c>
      <c r="H57" s="18" t="str">
        <f>HYPERLINK("https://docs.google.com/spreadsheets/d/1M8fi4_E9uuf10UopKDDQYiRMVC9LJjQo?usp=share_link", "RE-185.111")</f>
        <v>RE-185.111</v>
      </c>
      <c r="I57" s="18" t="str">
        <f>HYPERLINK("https://docs.google.com/spreadsheets/d/15O-76TPIINZv0eFLOSS1nMulQBUVsIYR?usp=share_link", "RE-0.315833")</f>
        <v>RE-0.315833</v>
      </c>
      <c r="J57" s="18" t="str">
        <f>HYPERLINK("https://docs.google.com/spreadsheets/d/1MAH2p-JBybgbAJ9vmvIm5EjpBBBE8ZbP?usp=share_link", "RE-1319.98")</f>
        <v>RE-1319.98</v>
      </c>
      <c r="K57" s="18" t="str">
        <f>HYPERLINK("https://docs.google.com/spreadsheets/d/1tipRKG-XJ_cBihfonihwcffB2MgzDNwN?usp=share_link", "RE-5.59858")</f>
        <v>RE-5.59858</v>
      </c>
      <c r="L57" s="18">
        <f>HYPERLINK("https://docs.google.com/spreadsheets/d/1OWY1oLs-nARGVA8iMBDUmiwctlp_M27p?usp=share_link", 517.29)</f>
        <v>517.29</v>
      </c>
      <c r="M57" s="18" t="str">
        <f>HYPERLINK("https://docs.google.com/spreadsheets/d/1PaEm87meJz113_JldMIm9S-3SKSAishl?usp=share_link", "RE-3.47985")</f>
        <v>RE-3.47985</v>
      </c>
      <c r="N57" s="18" t="str">
        <f>HYPERLINK("https://docs.google.com/spreadsheets/d/1ebfHH5AeJ_lsJQ5yL-MiIJ7b1r_h2fcL?usp=share_link", "RE-704.274")</f>
        <v>RE-704.274</v>
      </c>
      <c r="O57" s="18" t="str">
        <f>HYPERLINK("https://docs.google.com/spreadsheets/d/1FlcfJtKFMPEfQSlYO1AZ0-YL28CSMrin?usp=share_link", "RE-15.2148")</f>
        <v>RE-15.2148</v>
      </c>
      <c r="P57" s="18">
        <f>HYPERLINK("https://docs.google.com/spreadsheets/d/1fohOCVvlcWun2Tfrtp6MCQmE4I_IIZaq?usp=share_link", 651.77)</f>
        <v>651.77</v>
      </c>
      <c r="Q57" s="18" t="str">
        <f>HYPERLINK("https://docs.google.com/spreadsheets/d/18wa0n7NXWEm-LjKV-Nra9zPxovPYhbgC?usp=share_link", "RE-43.1681")</f>
        <v>RE-43.1681</v>
      </c>
      <c r="R57" s="18">
        <f>HYPERLINK("https://docs.google.com/spreadsheets/d/1aPU-tu74yKuWDSUKLpbSv94XnoQr06VQ?usp=share_link", 175.787)</f>
        <v>175.787</v>
      </c>
      <c r="S57" s="18" t="str">
        <f>HYPERLINK("https://docs.google.com/spreadsheets/d/1tiDzsVpGSWbcze0njYyj0fBEfriyBXLP?usp=share_link", "RE-15.2608")</f>
        <v>RE-15.2608</v>
      </c>
      <c r="T57" s="18">
        <f>HYPERLINK("https://docs.google.com/spreadsheets/d/18QMhGQJkWhuZGE3kh5b6JZE9D5Zln0Z-?usp=share_link", 299.94)</f>
        <v>299.94</v>
      </c>
      <c r="U57" s="18" t="str">
        <f>HYPERLINK("https://docs.google.com/spreadsheets/d/1H5nraS74LEjmse_Vb_LGMSzSa9xVy-uL?usp=share_link", "RE-15.9262")</f>
        <v>RE-15.9262</v>
      </c>
      <c r="V57" s="18" t="str">
        <f>HYPERLINK("https://docs.google.com/spreadsheets/d/1NS090qzbfIoexkMkrsV4OzKd2xKTMWSF?usp=share_link", "RE-4.50498")</f>
        <v>RE-4.50498</v>
      </c>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row>
    <row r="58">
      <c r="A58" s="27" t="s">
        <v>7</v>
      </c>
      <c r="B58" s="27" t="s">
        <v>22</v>
      </c>
      <c r="C58" s="27" t="s">
        <v>15</v>
      </c>
      <c r="D58" s="28">
        <f t="shared" si="1"/>
        <v>1954.044</v>
      </c>
      <c r="E58" s="33"/>
      <c r="F58" s="34" t="str">
        <f>HYPERLINK("https://docs.google.com/spreadsheets/d/1f2ox5Pu_E0J_rimrcfE85-vMbIApJhWU?usp=share_link", "RE-1471.21")</f>
        <v>RE-1471.21</v>
      </c>
      <c r="G58" s="34" t="str">
        <f>HYPERLINK("https://docs.google.com/spreadsheets/d/1TX-eFrI3potScgznzeGW2haWFF9daL8l?usp=share_link", "RE-4.28915")</f>
        <v>RE-4.28915</v>
      </c>
      <c r="H58" s="34" t="str">
        <f>HYPERLINK("https://docs.google.com/spreadsheets/d/17h_taro-eRQ437XLYS497DtEdfj7AD08?usp=share_link", "RE-215.139")</f>
        <v>RE-215.139</v>
      </c>
      <c r="I58" s="34" t="str">
        <f>HYPERLINK("https://docs.google.com/spreadsheets/d/19dUHBjFp79h9ebZx0SXBMVkh4JNjBpFt?usp=share_link", "RE-0.315833")</f>
        <v>RE-0.315833</v>
      </c>
      <c r="J58" s="34" t="str">
        <f>HYPERLINK("https://docs.google.com/spreadsheets/d/1uVGLhRvok_JODIhTeDtoDgrv_vlxlL2Q?usp=share_link", "RE-1437.21")</f>
        <v>RE-1437.21</v>
      </c>
      <c r="K58" s="34" t="str">
        <f>HYPERLINK("https://docs.google.com/spreadsheets/d/1FHX2Z6pUHQUoBxgurgF6ygbXZX-qOAwe?usp=share_link", "RE-5.59858")</f>
        <v>RE-5.59858</v>
      </c>
      <c r="L58" s="34">
        <f>HYPERLINK("https://docs.google.com/spreadsheets/d/1G1iM4e2PrdcBvCQuVVhg6IUd3BvYK3oa?usp=share_link", 594.421)</f>
        <v>594.421</v>
      </c>
      <c r="M58" s="34" t="str">
        <f>HYPERLINK("https://docs.google.com/spreadsheets/d/12UEVbUKIkfF0xq6lhww85fs7tIEBcP8k?usp=share_link", "RE-3.47985")</f>
        <v>RE-3.47985</v>
      </c>
      <c r="N58" s="34" t="str">
        <f>HYPERLINK("https://docs.google.com/spreadsheets/d/1J1MKAzgcL2l1EzwnPQWV6QKAskfg28x3?usp=share_link", "RE-802.974")</f>
        <v>RE-802.974</v>
      </c>
      <c r="O58" s="34" t="str">
        <f>HYPERLINK("https://docs.google.com/spreadsheets/d/1AvpHVaDuWAhGscAr3_i21w0Vw6oWqHyu?usp=share_link", "RE-17.0634")</f>
        <v>RE-17.0634</v>
      </c>
      <c r="P58" s="34">
        <f>HYPERLINK("https://docs.google.com/spreadsheets/d/1Bvr99N6tDuyIsM4ML1YqZalKBZNccOGd?usp=share_link", 804.794)</f>
        <v>804.794</v>
      </c>
      <c r="Q58" s="34" t="str">
        <f>HYPERLINK("https://docs.google.com/spreadsheets/d/1oEfQ3Zuvz6Mg6qCRBZWzFdFzzbHAY_8D?usp=share_link", "RE-49.6544")</f>
        <v>RE-49.6544</v>
      </c>
      <c r="R58" s="34">
        <f>HYPERLINK("https://docs.google.com/spreadsheets/d/1WXBHeImdTHuKYyzvEQ96zX0-nQSTgHpf?usp=share_link", 206.766)</f>
        <v>206.766</v>
      </c>
      <c r="S58" s="34" t="str">
        <f>HYPERLINK("https://docs.google.com/spreadsheets/d/1VhVYtMkGAEbJcgjlIeS3svNc0oUcVBQ3?usp=share_link", "RE-17.2793")</f>
        <v>RE-17.2793</v>
      </c>
      <c r="T58" s="34">
        <f>HYPERLINK("https://docs.google.com/spreadsheets/d/1YQ-UwYUuM6lDbUMKJuyNRl8UPecS1vdF?usp=share_link", 348.063)</f>
        <v>348.063</v>
      </c>
      <c r="U58" s="34" t="str">
        <f>HYPERLINK("https://docs.google.com/spreadsheets/d/1AmVLfSYLUf1km8bHXO1kjME13YE6qaBx?usp=share_link", "RE-17.9112")</f>
        <v>RE-17.9112</v>
      </c>
      <c r="V58" s="34" t="str">
        <f>HYPERLINK("https://docs.google.com/spreadsheets/d/1i0-zap3B0Lz094hYepL9CWwCXWYjc0GZ?usp=share_link", "RE-5.25497")</f>
        <v>RE-5.25497</v>
      </c>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c r="FG58" s="33"/>
      <c r="FH58" s="33"/>
    </row>
    <row r="59">
      <c r="A59" s="30" t="s">
        <v>17</v>
      </c>
      <c r="B59" s="30" t="s">
        <v>23</v>
      </c>
      <c r="C59" s="31" t="str">
        <f>HYPERLINK("https://docs.google.com/spreadsheets/d/1j8wKEQ7qz2Q85Un9d9cuPAjsqW-saDnV/edit?usp=share_link&amp;ouid=106501987799020758802&amp;rtpof=true&amp;sd=true", "Raw Delivered")</f>
        <v>Raw Delivered</v>
      </c>
      <c r="D59" s="12">
        <f t="shared" si="1"/>
        <v>5923.732241</v>
      </c>
      <c r="E59" s="13"/>
      <c r="F59" s="14">
        <f>HYPERLINK("https://docs.google.com/spreadsheets/d/1JqPgY8D_5WmiGvKY14tefViWj4W5QBFa", 864.066614583333)</f>
        <v>864.0666146</v>
      </c>
      <c r="G59" s="13"/>
      <c r="H59" s="14">
        <f>HYPERLINK("https://docs.google.com/spreadsheets/d/1Yt3CkCsPGyW8LCtCdFeSt7QQZpt6_D56", 147.9970625)</f>
        <v>147.9970625</v>
      </c>
      <c r="I59" s="13"/>
      <c r="J59" s="14">
        <f>HYPERLINK("https://docs.google.com/spreadsheets/d/1nD014Oa0Og73hp_dZ5cE1vYsEBBL_U7O", 1213.24826874999)</f>
        <v>1213.248269</v>
      </c>
      <c r="K59" s="13"/>
      <c r="L59" s="14">
        <f t="shared" ref="L59:L60" si="30">HYPERLINK("https://docs.google.com/spreadsheets/d/18ntbH4qpV5LQCttiDGOx_Eag_xPlTD1m", 712.447013541667)</f>
        <v>712.4470135</v>
      </c>
      <c r="M59" s="13"/>
      <c r="N59" s="14">
        <f>HYPERLINK("https://docs.google.com/spreadsheets/d/1uA-aJnfuvJQS9UFK9TQICi2CR9l69qe9", 1943.11765625)</f>
        <v>1943.117656</v>
      </c>
      <c r="O59" s="13"/>
      <c r="P59" s="14">
        <f t="shared" ref="P59:P60" si="31">HYPERLINK("https://docs.google.com/spreadsheets/d/1IqXX4_XEzby8e7aV1yauY0WwTEDZ48Lg", 294.882691666666)</f>
        <v>294.8826917</v>
      </c>
      <c r="Q59" s="13"/>
      <c r="R59" s="14">
        <f t="shared" ref="R59:R60" si="32">HYPERLINK("https://docs.google.com/spreadsheets/d/169uRbICy8Pbf1IumpJLqjZu3JrJjxxDL", 432.12683125)</f>
        <v>432.1268313</v>
      </c>
      <c r="S59" s="13"/>
      <c r="T59" s="14">
        <f t="shared" ref="T59:T60" si="33">HYPERLINK("https://docs.google.com/spreadsheets/d/1vXBL_DIWGlx8Bbbq7aMBCwMgPZnuU9pH", 315.846102083332)</f>
        <v>315.8461021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row>
    <row r="60">
      <c r="A60" s="32" t="s">
        <v>17</v>
      </c>
      <c r="B60" s="32" t="s">
        <v>23</v>
      </c>
      <c r="C60" s="32" t="s">
        <v>9</v>
      </c>
      <c r="D60" s="16">
        <f t="shared" si="1"/>
        <v>1755.302639</v>
      </c>
      <c r="E60" s="17"/>
      <c r="F60" s="18" t="str">
        <f>HYPERLINK("https://docs.google.com/spreadsheets/d/1JqPgY8D_5WmiGvKY14tefViWj4W5QBFa", "RE-864.0666145833334")</f>
        <v>RE-864.0666145833334</v>
      </c>
      <c r="G60" s="17"/>
      <c r="H60" s="18" t="str">
        <f>HYPERLINK("https://docs.google.com/spreadsheets/d/1Yt3CkCsPGyW8LCtCdFeSt7QQZpt6_D56", "RE-147.99706250000006")</f>
        <v>RE-147.99706250000006</v>
      </c>
      <c r="I60" s="17"/>
      <c r="J60" s="18" t="str">
        <f>HYPERLINK("https://docs.google.com/spreadsheets/d/1nD014Oa0Og73hp_dZ5cE1vYsEBBL_U7O", "RE-1213.2482687499994")</f>
        <v>RE-1213.2482687499994</v>
      </c>
      <c r="K60" s="17"/>
      <c r="L60" s="18">
        <f t="shared" si="30"/>
        <v>712.4470135</v>
      </c>
      <c r="M60" s="17"/>
      <c r="N60" s="18" t="str">
        <f>HYPERLINK("https://docs.google.com/spreadsheets/d/1uA-aJnfuvJQS9UFK9TQICi2CR9l69qe9", "RE-1943.1176562500011")</f>
        <v>RE-1943.1176562500011</v>
      </c>
      <c r="O60" s="17"/>
      <c r="P60" s="18">
        <f t="shared" si="31"/>
        <v>294.8826917</v>
      </c>
      <c r="Q60" s="17"/>
      <c r="R60" s="18">
        <f t="shared" si="32"/>
        <v>432.1268313</v>
      </c>
      <c r="S60" s="17"/>
      <c r="T60" s="18">
        <f t="shared" si="33"/>
        <v>315.8461021</v>
      </c>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17"/>
      <c r="EZ60" s="17"/>
      <c r="FA60" s="17"/>
      <c r="FB60" s="17"/>
      <c r="FC60" s="17"/>
      <c r="FD60" s="17"/>
      <c r="FE60" s="17"/>
      <c r="FF60" s="17"/>
      <c r="FG60" s="17"/>
      <c r="FH60" s="17"/>
    </row>
    <row r="61">
      <c r="A61" s="32" t="s">
        <v>17</v>
      </c>
      <c r="B61" s="32" t="s">
        <v>23</v>
      </c>
      <c r="C61" s="32" t="s">
        <v>10</v>
      </c>
      <c r="D61" s="16">
        <f t="shared" si="1"/>
        <v>495.1186552</v>
      </c>
      <c r="E61" s="17"/>
      <c r="F61" s="17"/>
      <c r="G61" s="18">
        <f>HYPERLINK("https://docs.google.com/spreadsheets/d/1y_yugVMNWaOHoiXGnGMJLm2UaJPR6qLz", 116.26895)</f>
        <v>116.26895</v>
      </c>
      <c r="H61" s="17"/>
      <c r="I61" s="18">
        <f>HYPERLINK("https://docs.google.com/spreadsheets/d/1yYyrWyKHuKigA1YEAWWU6fLY6edH7FwW", 8.49502916666666)</f>
        <v>8.495029167</v>
      </c>
      <c r="J61" s="17"/>
      <c r="K61" s="18">
        <f>HYPERLINK("https://docs.google.com/spreadsheets/d/1PTP6cykGPZk_dInEsXaKTowl7UznzO0h", 77.5623291666666)</f>
        <v>77.56232917</v>
      </c>
      <c r="L61" s="17"/>
      <c r="M61" s="18">
        <f>HYPERLINK("https://docs.google.com/spreadsheets/d/1rncduxeiBd7iSQCjaQYTACqxJghcVV_I", 24.6818239583333)</f>
        <v>24.68182396</v>
      </c>
      <c r="N61" s="17"/>
      <c r="O61" s="18">
        <f>HYPERLINK("https://docs.google.com/spreadsheets/d/1bRHj1EEUD3hpMfgGD11GK1O6i-XDy6Re", 193.153560416667)</f>
        <v>193.1535604</v>
      </c>
      <c r="P61" s="17"/>
      <c r="Q61" s="18">
        <f>HYPERLINK("https://docs.google.com/spreadsheets/d/1cOVGiNsc3UnbPsqaliql_h0_Sca4_aX3", 25.0641979166666)</f>
        <v>25.06419792</v>
      </c>
      <c r="R61" s="17"/>
      <c r="S61" s="18">
        <f>HYPERLINK("https://docs.google.com/spreadsheets/d/1jzd-MTLAW9OfMbj1tzuPnYk5z39eTTFg", 18.1289624999999)</f>
        <v>18.1289625</v>
      </c>
      <c r="T61" s="17"/>
      <c r="U61" s="18">
        <f>HYPERLINK("https://docs.google.com/spreadsheets/d/1zufpt0MLiLJBHApVd2ErnEFZQdxw_yyT", 26.446075)</f>
        <v>26.446075</v>
      </c>
      <c r="V61" s="18">
        <f>HYPERLINK("https://docs.google.com/spreadsheets/d/1LX1U55F1z4l_QWrKmdIee1w2S4So9OTh", 5.31772708333333)</f>
        <v>5.317727083</v>
      </c>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17"/>
      <c r="FB61" s="17"/>
      <c r="FC61" s="17"/>
      <c r="FD61" s="17"/>
      <c r="FE61" s="17"/>
      <c r="FF61" s="17"/>
      <c r="FG61" s="17"/>
      <c r="FH61" s="17"/>
    </row>
    <row r="62">
      <c r="A62" s="32" t="s">
        <v>17</v>
      </c>
      <c r="B62" s="32" t="s">
        <v>23</v>
      </c>
      <c r="C62" s="32" t="s">
        <v>11</v>
      </c>
      <c r="D62" s="16">
        <f t="shared" si="1"/>
        <v>0</v>
      </c>
      <c r="E62" s="17"/>
      <c r="F62" s="17"/>
      <c r="G62" s="18" t="str">
        <f>HYPERLINK("https://docs.google.com/spreadsheets/d/1y_yugVMNWaOHoiXGnGMJLm2UaJPR6qLz", "RE-116.26895000000006")</f>
        <v>RE-116.26895000000006</v>
      </c>
      <c r="H62" s="17"/>
      <c r="I62" s="18" t="str">
        <f>HYPERLINK("https://docs.google.com/spreadsheets/d/1yYyrWyKHuKigA1YEAWWU6fLY6edH7FwW", "RE-8.495029166666667")</f>
        <v>RE-8.495029166666667</v>
      </c>
      <c r="J62" s="17"/>
      <c r="K62" s="18" t="str">
        <f>HYPERLINK("https://docs.google.com/spreadsheets/d/1PTP6cykGPZk_dInEsXaKTowl7UznzO0h", "RE-77.56232916666663")</f>
        <v>RE-77.56232916666663</v>
      </c>
      <c r="L62" s="17"/>
      <c r="M62" s="18" t="str">
        <f>HYPERLINK("https://docs.google.com/spreadsheets/d/1rncduxeiBd7iSQCjaQYTACqxJghcVV_I", "RE-24.68182395833333")</f>
        <v>RE-24.68182395833333</v>
      </c>
      <c r="N62" s="17"/>
      <c r="O62" s="18" t="str">
        <f>HYPERLINK("https://docs.google.com/spreadsheets/d/1bRHj1EEUD3hpMfgGD11GK1O6i-XDy6Re", "RE-193.153560416667")</f>
        <v>RE-193.153560416667</v>
      </c>
      <c r="P62" s="17"/>
      <c r="Q62" s="18" t="str">
        <f>HYPERLINK("https://docs.google.com/spreadsheets/d/1cOVGiNsc3UnbPsqaliql_h0_Sca4_aX3", "RE-25.064197916666664")</f>
        <v>RE-25.064197916666664</v>
      </c>
      <c r="R62" s="17"/>
      <c r="S62" s="18" t="str">
        <f>HYPERLINK("https://docs.google.com/spreadsheets/d/1jzd-MTLAW9OfMbj1tzuPnYk5z39eTTFg", "RE-18.128962499999997")</f>
        <v>RE-18.128962499999997</v>
      </c>
      <c r="T62" s="17"/>
      <c r="U62" s="18" t="str">
        <f>HYPERLINK("https://docs.google.com/spreadsheets/d/1zufpt0MLiLJBHApVd2ErnEFZQdxw_yyT", "RE-26.446075000000008")</f>
        <v>RE-26.446075000000008</v>
      </c>
      <c r="V62" s="18" t="str">
        <f>HYPERLINK("https://docs.google.com/spreadsheets/d/1LX1U55F1z4l_QWrKmdIee1w2S4So9OTh", "RE-5.317727083333334")</f>
        <v>RE-5.317727083333334</v>
      </c>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17"/>
      <c r="EZ62" s="17"/>
      <c r="FA62" s="17"/>
      <c r="FB62" s="17"/>
      <c r="FC62" s="17"/>
      <c r="FD62" s="17"/>
      <c r="FE62" s="17"/>
      <c r="FF62" s="17"/>
      <c r="FG62" s="17"/>
      <c r="FH62" s="17"/>
    </row>
    <row r="63">
      <c r="A63" s="32" t="s">
        <v>17</v>
      </c>
      <c r="B63" s="32" t="s">
        <v>23</v>
      </c>
      <c r="C63" s="32" t="s">
        <v>12</v>
      </c>
      <c r="D63" s="16">
        <f t="shared" si="1"/>
        <v>1663.061317</v>
      </c>
      <c r="E63" s="17"/>
      <c r="F63" s="18" t="str">
        <f>HYPERLINK("https://docs.google.com/spreadsheets/d/1qSF7NDmlE_3_Ru0ezltcW0KDxYhObaYT", "RE-677.3994208333326")</f>
        <v>RE-677.3994208333326</v>
      </c>
      <c r="G63" s="18" t="str">
        <f>HYPERLINK("https://docs.google.com/spreadsheets/d/1WfieXAdE_URnVURPsdyoMRynX0kPVAvR", "RE-3.2285979166666663")</f>
        <v>RE-3.2285979166666663</v>
      </c>
      <c r="H63" s="18" t="str">
        <f>HYPERLINK("https://docs.google.com/spreadsheets/d/1YRWRfiddYvt2kxZbSsaorbtX7-WME2y9", "RE-125.13026458333324")</f>
        <v>RE-125.13026458333324</v>
      </c>
      <c r="I63" s="18" t="str">
        <f>HYPERLINK("https://docs.google.com/spreadsheets/d/1cwSwPlXKnfTD1RMD43hNOO-1L0qR2r3W", "RE-0.5408875000000001")</f>
        <v>RE-0.5408875000000001</v>
      </c>
      <c r="J63" s="18" t="str">
        <f>HYPERLINK("https://docs.google.com/spreadsheets/d/19nuKr3QQMq6nh1BUaZsfqCsjSGypGzV_", "RE-1000.2404333333313")</f>
        <v>RE-1000.2404333333313</v>
      </c>
      <c r="K63" s="18" t="str">
        <f>HYPERLINK("https://docs.google.com/spreadsheets/d/1w_NCHxlX7v155Hb_teYP3exmp_IYMQ0p", "RE-1.9596062500000002")</f>
        <v>RE-1.9596062500000002</v>
      </c>
      <c r="L63" s="18">
        <f>HYPERLINK("https://docs.google.com/spreadsheets/d/1g8l24kCJhOhDf288pxuVuOOv0FdgHTVA", 673.034485416666)</f>
        <v>673.0344854</v>
      </c>
      <c r="M63" s="18" t="str">
        <f>HYPERLINK("https://docs.google.com/spreadsheets/d/1fFVTFl4Qr5xQxj1xfYoVxIgPqwS88NOs", "RE-6.804513541666667")</f>
        <v>RE-6.804513541666667</v>
      </c>
      <c r="N63" s="18" t="str">
        <f>HYPERLINK("https://docs.google.com/spreadsheets/d/1E9qLTQ2r8XszJ5KbPx2As70YIdb3K4l7", "RE-1488.4872520833362")</f>
        <v>RE-1488.4872520833362</v>
      </c>
      <c r="O63" s="18" t="str">
        <f>HYPERLINK("https://docs.google.com/spreadsheets/d/1qF9l3LGWkmIRTi1notvxjl9b7YGXyPGu", "RE-8.046672916666667")</f>
        <v>RE-8.046672916666667</v>
      </c>
      <c r="P63" s="18">
        <f>HYPERLINK("https://docs.google.com/spreadsheets/d/dummy", 281.640524999999)</f>
        <v>281.640525</v>
      </c>
      <c r="Q63" s="18" t="str">
        <f>HYPERLINK("https://docs.google.com/spreadsheets/d/1zi7z9rqKsjk6wXVfMVkaSCUZ1kflsBx7", "RE-9.67341875")</f>
        <v>RE-9.67341875</v>
      </c>
      <c r="R63" s="18">
        <f>HYPERLINK("https://docs.google.com/spreadsheets/d/16FWvaADHbTvyX048oCZrEUs58ZRccO8m", 411.522208333333)</f>
        <v>411.5222083</v>
      </c>
      <c r="S63" s="18" t="str">
        <f>HYPERLINK("https://docs.google.com/spreadsheets/d/15wv_JgaTBYZ8WyWi0_NGemKzA5Ueq1BH", "RE-8.852858333333334")</f>
        <v>RE-8.852858333333334</v>
      </c>
      <c r="T63" s="18">
        <f>HYPERLINK("https://docs.google.com/spreadsheets/d/1-bxMhc2dFN1zAgXfpIDc0lJbfmqbBOr0", 296.864097916666)</f>
        <v>296.8640979</v>
      </c>
      <c r="U63" s="18" t="str">
        <f>HYPERLINK("https://docs.google.com/spreadsheets/d/1cnWd0dh5-HklIOxhsjJk1V4oYMfpVO_l", "RE-13.514800000000001")</f>
        <v>RE-13.514800000000001</v>
      </c>
      <c r="V63" s="18" t="str">
        <f>HYPERLINK("https://docs.google.com/spreadsheets/d/1xiGdAzwCCnu4AG6Q4Cx-IHWJrMrkRYiF", "RE-4.810539583333334")</f>
        <v>RE-4.810539583333334</v>
      </c>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17"/>
      <c r="FB63" s="17"/>
      <c r="FC63" s="17"/>
      <c r="FD63" s="17"/>
      <c r="FE63" s="17"/>
      <c r="FF63" s="17"/>
      <c r="FG63" s="17"/>
      <c r="FH63" s="17"/>
    </row>
    <row r="64">
      <c r="A64" s="32" t="s">
        <v>17</v>
      </c>
      <c r="B64" s="32" t="s">
        <v>23</v>
      </c>
      <c r="C64" s="32" t="s">
        <v>13</v>
      </c>
      <c r="D64" s="16">
        <f t="shared" si="1"/>
        <v>1606.415</v>
      </c>
      <c r="E64" s="17"/>
      <c r="F64" s="18" t="str">
        <f>HYPERLINK("https://docs.google.com/spreadsheets/d/1oqHDmHoPt_Vm2LPZJX9_kZ6WOWF-jkNC?usp=share_link", "RE-646.344")</f>
        <v>RE-646.344</v>
      </c>
      <c r="G64" s="18" t="str">
        <f>HYPERLINK("https://docs.google.com/spreadsheets/d/1HeUFzp57k6k6Wm5x1CVs2pCAxyMEIDX3?usp=share_link", "RE-3.01177")</f>
        <v>RE-3.01177</v>
      </c>
      <c r="H64" s="18" t="str">
        <f>HYPERLINK("https://docs.google.com/spreadsheets/d/1w_OjNwJUgs1rZemVfVh3zGZfyKrh8gco?usp=share_link", "RE-118.907")</f>
        <v>RE-118.907</v>
      </c>
      <c r="I64" s="18" t="str">
        <f>HYPERLINK("https://docs.google.com/spreadsheets/d/1GP1hLPlGOCK5eJoFfcWkA9SZiVwPygOz?usp=share_link", "RE-0.518217")</f>
        <v>RE-0.518217</v>
      </c>
      <c r="J64" s="18" t="str">
        <f>HYPERLINK("https://docs.google.com/spreadsheets/d/1ka_kmyQF4Uawh4Y9AgWZaDWJqX_UDdHC?usp=share_link", "RE-992.407")</f>
        <v>RE-992.407</v>
      </c>
      <c r="K64" s="18" t="str">
        <f>HYPERLINK("https://docs.google.com/spreadsheets/d/1fsiQSzwUDmS7q6vS_kpNLRF0lQM0ymrM?usp=share_link", "RE-1.89012")</f>
        <v>RE-1.89012</v>
      </c>
      <c r="L64" s="18">
        <f>HYPERLINK("https://docs.google.com/spreadsheets/d/1qxcC8J9QBM2vt81A16N5I-0EZQWaLKwI?usp=share_link", 649.337)</f>
        <v>649.337</v>
      </c>
      <c r="M64" s="18" t="str">
        <f>HYPERLINK("https://docs.google.com/spreadsheets/d/1qu5Uhrl4ajIx9b7xDLpD9pHmsjaDjzNP?usp=share_link", "RE-5.87423")</f>
        <v>RE-5.87423</v>
      </c>
      <c r="N64" s="18" t="str">
        <f>HYPERLINK("https://docs.google.com/spreadsheets/d/1itNDJ29TTVkPzZ-7hm4hz4G8Wof2dylT?usp=share_link", "RE-1439.99")</f>
        <v>RE-1439.99</v>
      </c>
      <c r="O64" s="18" t="str">
        <f>HYPERLINK("https://docs.google.com/spreadsheets/d/1hI2FTFfIZiPDvgVUH4_69-oKFq16ss5P?usp=share_link", "RE-7.77435")</f>
        <v>RE-7.77435</v>
      </c>
      <c r="P64" s="18">
        <f>HYPERLINK("https://docs.google.com/spreadsheets/d/1g0eQ4GfcbCBSch49KXuj6Go1ZeIfOClU?usp=share_link", 272.611)</f>
        <v>272.611</v>
      </c>
      <c r="Q64" s="18" t="str">
        <f>HYPERLINK("https://docs.google.com/spreadsheets/d/11oCTZaJxfLLdVhoiH9n5PkDX1QuKCZlG?usp=share_link", "RE-9.30658")</f>
        <v>RE-9.30658</v>
      </c>
      <c r="R64" s="18">
        <f>HYPERLINK("https://docs.google.com/spreadsheets/d/1Qici-9NLyFgSs_BNN8MZGrInGCJqHCU2?usp=share_link", 396.643)</f>
        <v>396.643</v>
      </c>
      <c r="S64" s="18" t="str">
        <f>HYPERLINK("https://docs.google.com/spreadsheets/d/1K4vmgX7m8V11q4_0NpNzDxe_iA3ToR3i?usp=share_link", "RE-8.4999")</f>
        <v>RE-8.4999</v>
      </c>
      <c r="T64" s="18">
        <f>HYPERLINK("https://docs.google.com/spreadsheets/d/1MM5ravltX03DYks0sMYe2Ml4yJo7fQ6V?usp=share_link", 287.824)</f>
        <v>287.824</v>
      </c>
      <c r="U64" s="18" t="str">
        <f>HYPERLINK("https://docs.google.com/spreadsheets/d/1jn2huTsprP5oHy01cVbkOOfOJVqADdg1?usp=share_link", "RE-12.594")</f>
        <v>RE-12.594</v>
      </c>
      <c r="V64" s="18" t="str">
        <f>HYPERLINK("https://docs.google.com/spreadsheets/d/1B7XQ7QA9IhocBkKsLLtwtr5XubOPpB5b?usp=share_link", "RE-4.49405")</f>
        <v>RE-4.49405</v>
      </c>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17"/>
      <c r="FB64" s="17"/>
      <c r="FC64" s="17"/>
      <c r="FD64" s="17"/>
      <c r="FE64" s="17"/>
      <c r="FF64" s="17"/>
      <c r="FG64" s="17"/>
      <c r="FH64" s="17"/>
    </row>
    <row r="65">
      <c r="A65" s="32" t="s">
        <v>17</v>
      </c>
      <c r="B65" s="32" t="s">
        <v>23</v>
      </c>
      <c r="C65" s="32" t="s">
        <v>14</v>
      </c>
      <c r="D65" s="16">
        <f t="shared" si="1"/>
        <v>1365.157</v>
      </c>
      <c r="E65" s="17"/>
      <c r="F65" s="18" t="str">
        <f>HYPERLINK("https://docs.google.com/spreadsheets/d/1bdlo4a0RhBnPxGLmdd_2VcaXPozq-1PG?usp=share_link", "RE-582.455")</f>
        <v>RE-582.455</v>
      </c>
      <c r="G65" s="18" t="str">
        <f>HYPERLINK("https://docs.google.com/spreadsheets/d/1ZUdjTiYpg_3xOGVwmOTOCzO_i7-wvf9w?usp=share_link", "RE-2.46788")</f>
        <v>RE-2.46788</v>
      </c>
      <c r="H65" s="18" t="str">
        <f>HYPERLINK("https://docs.google.com/spreadsheets/d/1PGpAptjWtyvWbHG4BTKLxDjSAPwSzynr?usp=share_link", "RE-102.561")</f>
        <v>RE-102.561</v>
      </c>
      <c r="I65" s="18" t="str">
        <f>HYPERLINK("https://docs.google.com/spreadsheets/d/10Bw035EF_v6hwKHnJ3jJYpcCgJ9Bp-p0?usp=share_link", "RE-0.518217")</f>
        <v>RE-0.518217</v>
      </c>
      <c r="J65" s="18" t="str">
        <f>HYPERLINK("https://docs.google.com/spreadsheets/d/10gjl5_Kwj7wqreGt7Bgwoo7yebNiAXVj?usp=share_link", "RE-891.615")</f>
        <v>RE-891.615</v>
      </c>
      <c r="K65" s="18" t="str">
        <f>HYPERLINK("https://docs.google.com/spreadsheets/d/16TX_0-0qsvfFjHds4ljXvLrNXRl1qJib?usp=share_link", "RE-1.26928")</f>
        <v>RE-1.26928</v>
      </c>
      <c r="L65" s="18">
        <f>HYPERLINK("https://docs.google.com/spreadsheets/d/1e9I98_fSrDOWwyKibmVg19GGl1Uu1aUu?usp=share_link", 563.409)</f>
        <v>563.409</v>
      </c>
      <c r="M65" s="18" t="str">
        <f>HYPERLINK("https://docs.google.com/spreadsheets/d/1IouuE1V9U0RWURyJLEFXm4uO603I1HMt?usp=share_link", "RE-5.19558")</f>
        <v>RE-5.19558</v>
      </c>
      <c r="N65" s="18" t="str">
        <f>HYPERLINK("https://docs.google.com/spreadsheets/d/1Jy7ln2Tqqt5S27sIvyWAuYtGclY1IY8g?usp=share_link", "RE-1262.84")</f>
        <v>RE-1262.84</v>
      </c>
      <c r="O65" s="18" t="str">
        <f>HYPERLINK("https://docs.google.com/spreadsheets/d/1oGmcHl1s9peI_ItIZ8zZiI3GbsAIac0L?usp=share_link", "RE-6.69785")</f>
        <v>RE-6.69785</v>
      </c>
      <c r="P65" s="18">
        <f>HYPERLINK("https://docs.google.com/spreadsheets/d/1g9gFFZHyoZGojyhoSNdmocTFTt2OkBzM?usp=share_link", 226.824)</f>
        <v>226.824</v>
      </c>
      <c r="Q65" s="18" t="str">
        <f>HYPERLINK("https://docs.google.com/spreadsheets/d/13FT6WM7mGtIzrVF58-UmpC2AXlpjYZ4a?usp=share_link", "RE-8.74797")</f>
        <v>RE-8.74797</v>
      </c>
      <c r="R65" s="18">
        <f>HYPERLINK("https://docs.google.com/spreadsheets/d/17R3QlLsz1KkYVRojs0HyU0lthttgsdH0?usp=share_link", 337.238)</f>
        <v>337.238</v>
      </c>
      <c r="S65" s="18" t="str">
        <f>HYPERLINK("https://docs.google.com/spreadsheets/d/15Js7j1d_O0gmLqMwY1PfR8a3qxR4w5as?usp=share_link", "RE-8.07977")</f>
        <v>RE-8.07977</v>
      </c>
      <c r="T65" s="18">
        <f>HYPERLINK("https://docs.google.com/spreadsheets/d/11JoUSYL6LyCWf58lKWIL2LZO8oahLhq_?usp=share_link", 237.686)</f>
        <v>237.686</v>
      </c>
      <c r="U65" s="18" t="str">
        <f>HYPERLINK("https://docs.google.com/spreadsheets/d/1N9kJXGvvH7rL4aG5mlJSnO_IehMyVFN9?usp=share_link", "RE-11.3391")</f>
        <v>RE-11.3391</v>
      </c>
      <c r="V65" s="18" t="str">
        <f>HYPERLINK("https://docs.google.com/spreadsheets/d/1O1D1NV9aFU5xU_HRnRLurgY6eMwgS9ET?usp=share_link", "RE-4.0668")</f>
        <v>RE-4.0668</v>
      </c>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17"/>
      <c r="EZ65" s="17"/>
      <c r="FA65" s="17"/>
      <c r="FB65" s="17"/>
      <c r="FC65" s="17"/>
      <c r="FD65" s="17"/>
      <c r="FE65" s="17"/>
      <c r="FF65" s="17"/>
      <c r="FG65" s="17"/>
      <c r="FH65" s="17"/>
    </row>
    <row r="66">
      <c r="A66" s="27" t="s">
        <v>17</v>
      </c>
      <c r="B66" s="27" t="s">
        <v>23</v>
      </c>
      <c r="C66" s="27" t="s">
        <v>15</v>
      </c>
      <c r="D66" s="28">
        <f t="shared" si="1"/>
        <v>1606.231</v>
      </c>
      <c r="E66" s="33"/>
      <c r="F66" s="34" t="str">
        <f>HYPERLINK("https://docs.google.com/spreadsheets/d/1gpUoGMURMbBfrtPd3JgLP6s7YK8-Do2l?usp=share_link", "RE-646.344")</f>
        <v>RE-646.344</v>
      </c>
      <c r="G66" s="34" t="str">
        <f>HYPERLINK("https://docs.google.com/spreadsheets/d/1Nf6_hPmpNWgARY640vkAyGbNrnwN_PlA?usp=share_link", "RE-3.01177")</f>
        <v>RE-3.01177</v>
      </c>
      <c r="H66" s="34" t="str">
        <f>HYPERLINK("https://docs.google.com/spreadsheets/d/1tZP_gt0rJddeQCvGtlUQ2NHAbJDLKzJa?usp=share_link", "RE-118.907")</f>
        <v>RE-118.907</v>
      </c>
      <c r="I66" s="34" t="str">
        <f>HYPERLINK("https://docs.google.com/spreadsheets/d/1tOY35x9nrViW_NBX2yaySMga64FMW0Po?usp=share_link", "RE-0.518217")</f>
        <v>RE-0.518217</v>
      </c>
      <c r="J66" s="34" t="str">
        <f>HYPERLINK("https://docs.google.com/spreadsheets/d/1GwjP1pb14t7Z2twkx6EqodBUF3qUJcBP?usp=share_link", "RE-992.407")</f>
        <v>RE-992.407</v>
      </c>
      <c r="K66" s="34" t="str">
        <f>HYPERLINK("https://docs.google.com/spreadsheets/d/1ONtvj5HOVkT9Oc3pAevE8Dn1nvqN8JV4?usp=share_link", "RE-1.71758")</f>
        <v>RE-1.71758</v>
      </c>
      <c r="L66" s="34">
        <f>HYPERLINK("https://docs.google.com/spreadsheets/d/1br7RksCUfuLsWm9PcKzEkaL4ZoQ0ErbB?usp=share_link", 649.337)</f>
        <v>649.337</v>
      </c>
      <c r="M66" s="34" t="str">
        <f>HYPERLINK("https://docs.google.com/spreadsheets/d/1O_Hzr_2f5A0W-BZzRPjDL1MtvxIyvyLU?usp=share_link", "RE-5.87423")</f>
        <v>RE-5.87423</v>
      </c>
      <c r="N66" s="34" t="str">
        <f>HYPERLINK("https://docs.google.com/spreadsheets/d/12DIEfQfyo2M6o-jJCexTWi_jeOt8kNDb?usp=share_link", "RE-1439.99")</f>
        <v>RE-1439.99</v>
      </c>
      <c r="O66" s="34" t="str">
        <f>HYPERLINK("https://docs.google.com/spreadsheets/d/1kW1l2ar9U3yeZdLkXmWny6mjHtwZiac9?usp=share_link", "RE-7.77435")</f>
        <v>RE-7.77435</v>
      </c>
      <c r="P66" s="34">
        <f>HYPERLINK("https://docs.google.com/spreadsheets/d/1n3WXuYWldWy0vPPzjWlM4BYJGKj6qMfo?usp=share_link", 272.611)</f>
        <v>272.611</v>
      </c>
      <c r="Q66" s="34" t="str">
        <f>HYPERLINK("https://docs.google.com/spreadsheets/d/1ypOqXZLd0bYC5ek9N8-1I6OFMJ64ZMgX?usp=share_link", "RE-9.21573")</f>
        <v>RE-9.21573</v>
      </c>
      <c r="R66" s="34">
        <f>HYPERLINK("https://docs.google.com/spreadsheets/d/1Y6F4P25hQprPHZLmSrNVTtljnMtHWxBj?usp=share_link", 396.643)</f>
        <v>396.643</v>
      </c>
      <c r="S66" s="34" t="str">
        <f>HYPERLINK("https://docs.google.com/spreadsheets/d/1VOKAI88_nwEZlHUnmafoPBtfy8TW7wJM?usp=share_link", "RE-8.4999")</f>
        <v>RE-8.4999</v>
      </c>
      <c r="T66" s="34">
        <f>HYPERLINK("https://docs.google.com/spreadsheets/d/1tDSZyIEx3rwWZHOJQqgKg5Yni_ZSF3zi?usp=share_link", 287.64)</f>
        <v>287.64</v>
      </c>
      <c r="U66" s="34" t="str">
        <f>HYPERLINK("https://docs.google.com/spreadsheets/d/1hR9SWfBatcmg-skyUs1b4nBc1fSiWa7k?usp=share_link", "RE-12.594")</f>
        <v>RE-12.594</v>
      </c>
      <c r="V66" s="34" t="str">
        <f>HYPERLINK("https://docs.google.com/spreadsheets/d/1ToisBKBjEdJCCYRulADkH-3EIkQJJx-H?usp=share_link", "RE-4.49405")</f>
        <v>RE-4.49405</v>
      </c>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c r="EV66" s="33"/>
      <c r="EW66" s="33"/>
      <c r="EX66" s="33"/>
      <c r="EY66" s="33"/>
      <c r="EZ66" s="33"/>
      <c r="FA66" s="33"/>
      <c r="FB66" s="33"/>
      <c r="FC66" s="33"/>
      <c r="FD66" s="33"/>
      <c r="FE66" s="33"/>
      <c r="FF66" s="33"/>
      <c r="FG66" s="33"/>
      <c r="FH66" s="33"/>
    </row>
    <row r="67">
      <c r="A67" s="30" t="s">
        <v>7</v>
      </c>
      <c r="B67" s="30" t="s">
        <v>24</v>
      </c>
      <c r="C67" s="31" t="str">
        <f>HYPERLINK("https://docs.google.com/spreadsheets/d/1EXHUf6YmuQ7emdVany-DGE_IFg3HF5Tv/edit?usp=share_link&amp;ouid=106501987799020758802&amp;rtpof=true&amp;sd=true", "Raw Delivered")</f>
        <v>Raw Delivered</v>
      </c>
      <c r="D67" s="12">
        <f t="shared" si="1"/>
        <v>5169.969817</v>
      </c>
      <c r="E67" s="13"/>
      <c r="F67" s="14">
        <f>HYPERLINK("https://docs.google.com/spreadsheets/d/1KV85ySFzl9PFPSM_rZ-fLPr7WclNJ8Re", 482.443083333332)</f>
        <v>482.4430833</v>
      </c>
      <c r="G67" s="13"/>
      <c r="H67" s="14">
        <f>HYPERLINK("https://docs.google.com/spreadsheets/d/17oIYAiEyubn6K6PlHtQUSdKKyQK82IoZ", 82.5573395833333)</f>
        <v>82.55733958</v>
      </c>
      <c r="I67" s="13"/>
      <c r="J67" s="14">
        <f>HYPERLINK("https://docs.google.com/spreadsheets/d/1aR_xdf63k7JAUIUkULoHEpfyOqAAB9a2", 1792.27261562499)</f>
        <v>1792.272616</v>
      </c>
      <c r="K67" s="13"/>
      <c r="L67" s="14">
        <f t="shared" ref="L67:L68" si="34">HYPERLINK("https://docs.google.com/spreadsheets/d/18PGfQoZVGfLrGWDs7LgQRNGBTC9yFSSP", 932.493749999999)</f>
        <v>932.49375</v>
      </c>
      <c r="M67" s="13"/>
      <c r="N67" s="14">
        <f>HYPERLINK("https://docs.google.com/spreadsheets/d/1_v4MSt9Xom95uye0Tb1VnVBT0ktphuAy", 708.813714583333)</f>
        <v>708.8137146</v>
      </c>
      <c r="O67" s="13"/>
      <c r="P67" s="14">
        <f t="shared" ref="P67:P68" si="35">HYPERLINK("https://docs.google.com/spreadsheets/d/1VlBJKJoEuO6M5RsOxaJU_IWMPjuw7e5L", 570.950669791665)</f>
        <v>570.9506698</v>
      </c>
      <c r="Q67" s="13"/>
      <c r="R67" s="14">
        <f t="shared" ref="R67:R68" si="36">HYPERLINK("https://docs.google.com/spreadsheets/d/1H85qz3JeYap3MUDNVo09pseH0ZBijq_E", 284.244748958333)</f>
        <v>284.244749</v>
      </c>
      <c r="S67" s="13"/>
      <c r="T67" s="14">
        <f t="shared" ref="T67:T68" si="37">HYPERLINK("https://docs.google.com/spreadsheets/d/1rcqwyNO7JWuWsgihULDJsXXuJohpo2AD", 316.193894791666)</f>
        <v>316.1938948</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row>
    <row r="68">
      <c r="A68" s="32" t="s">
        <v>7</v>
      </c>
      <c r="B68" s="32" t="s">
        <v>24</v>
      </c>
      <c r="C68" s="32" t="s">
        <v>9</v>
      </c>
      <c r="D68" s="16">
        <f t="shared" si="1"/>
        <v>2103.883064</v>
      </c>
      <c r="E68" s="17"/>
      <c r="F68" s="18" t="str">
        <f>HYPERLINK("https://docs.google.com/spreadsheets/d/1KV85ySFzl9PFPSM_rZ-fLPr7WclNJ8Re", "RE-482.44308333333265")</f>
        <v>RE-482.44308333333265</v>
      </c>
      <c r="G68" s="17"/>
      <c r="H68" s="18" t="str">
        <f>HYPERLINK("https://docs.google.com/spreadsheets/d/17oIYAiEyubn6K6PlHtQUSdKKyQK82IoZ", "RE-82.55733958333334")</f>
        <v>RE-82.55733958333334</v>
      </c>
      <c r="I68" s="17"/>
      <c r="J68" s="18" t="str">
        <f>HYPERLINK("https://docs.google.com/spreadsheets/d/1aR_xdf63k7JAUIUkULoHEpfyOqAAB9a2", "RE-1792.272615624997")</f>
        <v>RE-1792.272615624997</v>
      </c>
      <c r="K68" s="17"/>
      <c r="L68" s="18">
        <f t="shared" si="34"/>
        <v>932.49375</v>
      </c>
      <c r="M68" s="17"/>
      <c r="N68" s="18" t="str">
        <f>HYPERLINK("https://docs.google.com/spreadsheets/d/1_v4MSt9Xom95uye0Tb1VnVBT0ktphuAy", "RE-708.8137145833336")</f>
        <v>RE-708.8137145833336</v>
      </c>
      <c r="O68" s="17"/>
      <c r="P68" s="18">
        <f t="shared" si="35"/>
        <v>570.9506698</v>
      </c>
      <c r="Q68" s="17"/>
      <c r="R68" s="18">
        <f t="shared" si="36"/>
        <v>284.244749</v>
      </c>
      <c r="S68" s="17"/>
      <c r="T68" s="18">
        <f t="shared" si="37"/>
        <v>316.1938948</v>
      </c>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17"/>
      <c r="EZ68" s="17"/>
      <c r="FA68" s="17"/>
      <c r="FB68" s="17"/>
      <c r="FC68" s="17"/>
      <c r="FD68" s="17"/>
      <c r="FE68" s="17"/>
      <c r="FF68" s="17"/>
      <c r="FG68" s="17"/>
      <c r="FH68" s="17"/>
    </row>
    <row r="69">
      <c r="A69" s="32" t="s">
        <v>7</v>
      </c>
      <c r="B69" s="32" t="s">
        <v>24</v>
      </c>
      <c r="C69" s="32" t="s">
        <v>10</v>
      </c>
      <c r="D69" s="16">
        <f t="shared" si="1"/>
        <v>444.996901</v>
      </c>
      <c r="E69" s="17"/>
      <c r="F69" s="17"/>
      <c r="G69" s="18">
        <f>HYPERLINK("https://docs.google.com/spreadsheets/d/1E1Ff-eShJXLh9Xk6Kc81yqLKda0BeTXr", 40.293809375)</f>
        <v>40.29380938</v>
      </c>
      <c r="H69" s="17"/>
      <c r="I69" s="18">
        <f>HYPERLINK("https://docs.google.com/spreadsheets/d/1vv3f5siak7uDtJiqDYeerB_sZi8ZUxze", 8.68035416666666)</f>
        <v>8.680354167</v>
      </c>
      <c r="J69" s="17"/>
      <c r="K69" s="18">
        <f>HYPERLINK("https://docs.google.com/spreadsheets/d/1k1e8L7gftwfNAgP6mAPfLcO71q2z0mTs", 152.146233333333)</f>
        <v>152.1462333</v>
      </c>
      <c r="L69" s="17"/>
      <c r="M69" s="18">
        <f>HYPERLINK("https://docs.google.com/spreadsheets/d/1-Q4srz9S2nblbXGm8H7MMyOe3KmEOKcV", 32.2196729166666)</f>
        <v>32.21967292</v>
      </c>
      <c r="N69" s="17"/>
      <c r="O69" s="18">
        <f>HYPERLINK("https://docs.google.com/spreadsheets/d/19oa3r15hWSg0__F9YsU_jbEI00mlO7Pu", 41.8198239583333)</f>
        <v>41.81982396</v>
      </c>
      <c r="P69" s="17"/>
      <c r="Q69" s="18">
        <f>HYPERLINK("https://docs.google.com/spreadsheets/d/1JeI_eI6lo7Ouoj4xloVxSmLyMT4SdVEW", 84.9176364583333)</f>
        <v>84.91763646</v>
      </c>
      <c r="R69" s="17"/>
      <c r="S69" s="18">
        <f>HYPERLINK("https://docs.google.com/spreadsheets/d/1JS-p1_CSAMn7mvRAdPuPpbAewUt8bNin", 41.5946583333333)</f>
        <v>41.59465833</v>
      </c>
      <c r="T69" s="17"/>
      <c r="U69" s="18">
        <f>HYPERLINK("https://docs.google.com/spreadsheets/d/1e2zNe--Z_A-Du-azf1LWwFJqKQoqRt2O", 40.5921291666666)</f>
        <v>40.59212917</v>
      </c>
      <c r="V69" s="18">
        <f>HYPERLINK("https://docs.google.com/spreadsheets/d/1grfRjeA295rJ3ZCXIq_m3fYjYi4jmGa3", 2.73258333333333)</f>
        <v>2.732583333</v>
      </c>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17"/>
      <c r="EZ69" s="17"/>
      <c r="FA69" s="17"/>
      <c r="FB69" s="17"/>
      <c r="FC69" s="17"/>
      <c r="FD69" s="17"/>
      <c r="FE69" s="17"/>
      <c r="FF69" s="17"/>
      <c r="FG69" s="17"/>
      <c r="FH69" s="17"/>
    </row>
    <row r="70">
      <c r="A70" s="32" t="s">
        <v>7</v>
      </c>
      <c r="B70" s="32" t="s">
        <v>24</v>
      </c>
      <c r="C70" s="32" t="s">
        <v>11</v>
      </c>
      <c r="D70" s="16">
        <f t="shared" si="1"/>
        <v>0</v>
      </c>
      <c r="E70" s="17"/>
      <c r="F70" s="17"/>
      <c r="G70" s="18" t="str">
        <f>HYPERLINK("https://docs.google.com/spreadsheets/d/1E1Ff-eShJXLh9Xk6Kc81yqLKda0BeTXr", "RE-40.29380937500002")</f>
        <v>RE-40.29380937500002</v>
      </c>
      <c r="H70" s="17"/>
      <c r="I70" s="18" t="str">
        <f>HYPERLINK("https://docs.google.com/spreadsheets/d/1vv3f5siak7uDtJiqDYeerB_sZi8ZUxze", "RE-8.680354166666667")</f>
        <v>RE-8.680354166666667</v>
      </c>
      <c r="J70" s="17"/>
      <c r="K70" s="18" t="str">
        <f>HYPERLINK("https://docs.google.com/spreadsheets/d/1k1e8L7gftwfNAgP6mAPfLcO71q2z0mTs", "RE-152.14623333333338")</f>
        <v>RE-152.14623333333338</v>
      </c>
      <c r="L70" s="17"/>
      <c r="M70" s="18" t="str">
        <f>HYPERLINK("https://docs.google.com/spreadsheets/d/1-Q4srz9S2nblbXGm8H7MMyOe3KmEOKcV", "RE-32.21967291666667")</f>
        <v>RE-32.21967291666667</v>
      </c>
      <c r="N70" s="17"/>
      <c r="O70" s="18" t="str">
        <f>HYPERLINK("https://docs.google.com/spreadsheets/d/19oa3r15hWSg0__F9YsU_jbEI00mlO7Pu", "RE-41.819823958333316")</f>
        <v>RE-41.819823958333316</v>
      </c>
      <c r="P70" s="17"/>
      <c r="Q70" s="18" t="str">
        <f>HYPERLINK("https://docs.google.com/spreadsheets/d/1JeI_eI6lo7Ouoj4xloVxSmLyMT4SdVEW", "RE-84.91763645833333")</f>
        <v>RE-84.91763645833333</v>
      </c>
      <c r="R70" s="17"/>
      <c r="S70" s="18" t="str">
        <f>HYPERLINK("https://docs.google.com/spreadsheets/d/1JS-p1_CSAMn7mvRAdPuPpbAewUt8bNin", "RE-41.59465833333332")</f>
        <v>RE-41.59465833333332</v>
      </c>
      <c r="T70" s="17"/>
      <c r="U70" s="18" t="str">
        <f>HYPERLINK("https://docs.google.com/spreadsheets/d/1e2zNe--Z_A-Du-azf1LWwFJqKQoqRt2O", "RE-40.59212916666666")</f>
        <v>RE-40.59212916666666</v>
      </c>
      <c r="V70" s="18" t="str">
        <f>HYPERLINK("https://docs.google.com/spreadsheets/d/1grfRjeA295rJ3ZCXIq_m3fYjYi4jmGa3", "RE-2.732583333333333")</f>
        <v>RE-2.732583333333333</v>
      </c>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17"/>
      <c r="EZ70" s="17"/>
      <c r="FA70" s="17"/>
      <c r="FB70" s="17"/>
      <c r="FC70" s="17"/>
      <c r="FD70" s="17"/>
      <c r="FE70" s="17"/>
      <c r="FF70" s="17"/>
      <c r="FG70" s="17"/>
      <c r="FH70" s="17"/>
    </row>
    <row r="71">
      <c r="A71" s="32" t="s">
        <v>7</v>
      </c>
      <c r="B71" s="32" t="s">
        <v>24</v>
      </c>
      <c r="C71" s="32" t="s">
        <v>12</v>
      </c>
      <c r="D71" s="16">
        <f t="shared" si="1"/>
        <v>1955.871095</v>
      </c>
      <c r="E71" s="17"/>
      <c r="F71" s="18" t="str">
        <f>HYPERLINK("https://docs.google.com/spreadsheets/d/1WmUy4zhyl-GkF94JZKD69T3UMKEY8uTi", "RE-402.21757083333324")</f>
        <v>RE-402.21757083333324</v>
      </c>
      <c r="G71" s="18" t="str">
        <f>HYPERLINK("https://docs.google.com/spreadsheets/d/1uX1yErw88a0YgxKPJWWVhjsqjo4a1U-9", "RE-2.875477083333334")</f>
        <v>RE-2.875477083333334</v>
      </c>
      <c r="H71" s="18" t="str">
        <f>HYPERLINK("https://docs.google.com/spreadsheets/d/16nPI3GHtMK4EObYcyBu6-WO5qCODX3va", "RE-76.04591458333334")</f>
        <v>RE-76.04591458333334</v>
      </c>
      <c r="I71" s="18" t="str">
        <f>HYPERLINK("https://docs.google.com/spreadsheets/d/1JnHl-kesxVFDjJhS4aYaEi5uRegNvah3", "RE-0.0")</f>
        <v>RE-0.0</v>
      </c>
      <c r="J71" s="18" t="str">
        <f>HYPERLINK("https://docs.google.com/spreadsheets/d/12tIDvWhP8JnPg4hDb9Q8BsbjxvnN2FxP", "RE-1449.3709135416734")</f>
        <v>RE-1449.3709135416734</v>
      </c>
      <c r="K71" s="18" t="str">
        <f>HYPERLINK("https://docs.google.com/spreadsheets/d/1UqEWz1iYlEXQ6cRtHTe9FnPxAdRld4lh", "RE-6.2431864583333345")</f>
        <v>RE-6.2431864583333345</v>
      </c>
      <c r="L71" s="18">
        <f>HYPERLINK("https://docs.google.com/spreadsheets/d/1LOnPX-e7DlXeoJnt1ScpKDCDzbTVFso5", 869.4213375)</f>
        <v>869.4213375</v>
      </c>
      <c r="M71" s="18" t="str">
        <f>HYPERLINK("https://docs.google.com/spreadsheets/d/1lRBirT3TjThFcJO21PFB_Ht1BYyrPmmK", "RE-8.943354166666664")</f>
        <v>RE-8.943354166666664</v>
      </c>
      <c r="N71" s="18" t="str">
        <f>HYPERLINK("https://docs.google.com/spreadsheets/d/1yuKnu1jBjEhperjeaSjILTAId3PSPUDD", "RE-374.88731770833334")</f>
        <v>RE-374.88731770833334</v>
      </c>
      <c r="O71" s="18" t="str">
        <f>HYPERLINK("https://docs.google.com/spreadsheets/d/17qXdWXkVYzMkNMs_wJwUgWqMCwnLs_a5", "RE-2.1547562499999997")</f>
        <v>RE-2.1547562499999997</v>
      </c>
      <c r="P71" s="18">
        <f>HYPERLINK("https://docs.google.com/spreadsheets/d/1_AeSpbBB42UzxhCHfBVKPqjR_tAqhd66", 513.046313541666)</f>
        <v>513.0463135</v>
      </c>
      <c r="Q71" s="18" t="str">
        <f>HYPERLINK("https://docs.google.com/spreadsheets/d/1o1tbIRfxLerKUANwEUmD4DBBsUb4ZRjG", "RE-35.23629583333334")</f>
        <v>RE-35.23629583333334</v>
      </c>
      <c r="R71" s="18">
        <f>HYPERLINK("https://docs.google.com/spreadsheets/d/16mOIY9NUwkbvATWIcCZ-TmFmehWz1pXF", 276.016992708333)</f>
        <v>276.0169927</v>
      </c>
      <c r="S71" s="18" t="str">
        <f>HYPERLINK("https://docs.google.com/spreadsheets/d/17x9nj398TgJO6XmWL-NGo-jOhWfdt0mW", "RE-25.635870833333332")</f>
        <v>RE-25.635870833333332</v>
      </c>
      <c r="T71" s="18">
        <f>HYPERLINK("https://docs.google.com/spreadsheets/d/1CDTtPIBMgmNA5EKqP_fPS5IuVR1tGe1s", 297.386451041666)</f>
        <v>297.386451</v>
      </c>
      <c r="U71" s="18" t="str">
        <f>HYPERLINK("https://docs.google.com/spreadsheets/d/1QO7Il7J8CquumXCwdWFohJlvmjHYxzJp", "RE-25.513554166666676")</f>
        <v>RE-25.513554166666676</v>
      </c>
      <c r="V71" s="18" t="str">
        <f>HYPERLINK("https://docs.google.com/spreadsheets/d/14IeRDp6SjseZwYUXmqJ5kWWMd4svESZ-", "RE-2.40180625")</f>
        <v>RE-2.40180625</v>
      </c>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17"/>
      <c r="EZ71" s="17"/>
      <c r="FA71" s="17"/>
      <c r="FB71" s="17"/>
      <c r="FC71" s="17"/>
      <c r="FD71" s="17"/>
      <c r="FE71" s="17"/>
      <c r="FF71" s="17"/>
      <c r="FG71" s="17"/>
      <c r="FH71" s="17"/>
    </row>
    <row r="72">
      <c r="A72" s="32" t="s">
        <v>7</v>
      </c>
      <c r="B72" s="32" t="s">
        <v>24</v>
      </c>
      <c r="C72" s="32" t="s">
        <v>13</v>
      </c>
      <c r="D72" s="16">
        <f t="shared" si="1"/>
        <v>1876.294</v>
      </c>
      <c r="E72" s="17"/>
      <c r="F72" s="18" t="str">
        <f>HYPERLINK("https://docs.google.com/spreadsheets/d/1dVXYoFqPU4NxJQhSZ3Z-3glX6bFcuk2l?usp=share_link", "RE-392.327")</f>
        <v>RE-392.327</v>
      </c>
      <c r="G72" s="18" t="str">
        <f>HYPERLINK("https://docs.google.com/spreadsheets/d/1FptI9PorJ7Tjm1pUv4C4LTOiB6OIhiOk?usp=share_link", "RE-2.7714")</f>
        <v>RE-2.7714</v>
      </c>
      <c r="H72" s="18" t="str">
        <f>HYPERLINK("https://docs.google.com/spreadsheets/d/1lxYLO5RAI3_k1WB4vmbGUkx5cutGo9Xm?usp=share_link", "RE-74.0866")</f>
        <v>RE-74.0866</v>
      </c>
      <c r="I72" s="17"/>
      <c r="J72" s="18" t="str">
        <f>HYPERLINK("https://docs.google.com/spreadsheets/d/1SPKio3bAs56b4VfqmlF6T14_CXJn2jSZ?usp=share_link", "RE-1403.87")</f>
        <v>RE-1403.87</v>
      </c>
      <c r="K72" s="18" t="str">
        <f>HYPERLINK("https://docs.google.com/spreadsheets/d/1_Jn_-thJ_c-O_Q32XksL_xKpPGBFPAl7?usp=share_link", "RE-5.96655")</f>
        <v>RE-5.96655</v>
      </c>
      <c r="L72" s="18">
        <f>HYPERLINK("https://docs.google.com/spreadsheets/d/1dGqIUCj2ZhgRIt6B2xWcv24e_m_iaQR5?usp=share_link", 832.54)</f>
        <v>832.54</v>
      </c>
      <c r="M72" s="18" t="str">
        <f>HYPERLINK("https://docs.google.com/spreadsheets/d/1I9I_bTN_QlOoFFMbNUE7GAQcYoOy_KkR?usp=share_link", "RE-8.4271")</f>
        <v>RE-8.4271</v>
      </c>
      <c r="N72" s="18" t="str">
        <f>HYPERLINK("https://docs.google.com/spreadsheets/d/1BoTPCZbRS5FK66V1qllD1gv506yj_AnM?usp=share_link", "RE-359.506")</f>
        <v>RE-359.506</v>
      </c>
      <c r="O72" s="18" t="str">
        <f>HYPERLINK("https://docs.google.com/spreadsheets/d/1QQAELAT6QZZRghsirgZZTTYmSBCewfq9?usp=share_link", "RE-2.05988")</f>
        <v>RE-2.05988</v>
      </c>
      <c r="P72" s="18">
        <f>HYPERLINK("https://docs.google.com/spreadsheets/d/1bZSoINPq20_01CxHCUMVG4qRg4_OtjUm?usp=share_link", 491.304)</f>
        <v>491.304</v>
      </c>
      <c r="Q72" s="18" t="str">
        <f>HYPERLINK("https://docs.google.com/spreadsheets/d/1xdYltY98Rr43rz1Mpf5clN3TJmc4FtlG?usp=share_link", "RE-33.8044")</f>
        <v>RE-33.8044</v>
      </c>
      <c r="R72" s="18">
        <f>HYPERLINK("https://docs.google.com/spreadsheets/d/1RSn5toSzylq7yji7Twbzaz0d2qsCTf8F?usp=share_link", 265.459)</f>
        <v>265.459</v>
      </c>
      <c r="S72" s="18" t="str">
        <f>HYPERLINK("https://docs.google.com/spreadsheets/d/1IUh6oleVToctMFH9I01Wf1XUf0GiP4hM?usp=share_link", "RE-24.3117")</f>
        <v>RE-24.3117</v>
      </c>
      <c r="T72" s="18">
        <f>HYPERLINK("https://docs.google.com/spreadsheets/d/18Fo2vtBPlCnzgBgtkpdaI4GP1zQNro27?usp=share_link", 286.991)</f>
        <v>286.991</v>
      </c>
      <c r="U72" s="18" t="str">
        <f>HYPERLINK("https://docs.google.com/spreadsheets/d/1fANsZhmvgXPCOfboYyfkgvKfgDKUTWYF?usp=share_link", "RE-24.2637")</f>
        <v>RE-24.2637</v>
      </c>
      <c r="V72" s="18" t="str">
        <f>HYPERLINK("https://docs.google.com/spreadsheets/d/11HyF2QH5zX0jS7PLonbT1jYmxrrvfemR?usp=share_link", "RE-2.29773")</f>
        <v>RE-2.29773</v>
      </c>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17"/>
      <c r="EZ72" s="17"/>
      <c r="FA72" s="17"/>
      <c r="FB72" s="17"/>
      <c r="FC72" s="17"/>
      <c r="FD72" s="17"/>
      <c r="FE72" s="17"/>
      <c r="FF72" s="17"/>
      <c r="FG72" s="17"/>
      <c r="FH72" s="17"/>
    </row>
    <row r="73">
      <c r="A73" s="32" t="s">
        <v>7</v>
      </c>
      <c r="B73" s="32" t="s">
        <v>24</v>
      </c>
      <c r="C73" s="32" t="s">
        <v>14</v>
      </c>
      <c r="D73" s="16">
        <f t="shared" si="1"/>
        <v>1631.539</v>
      </c>
      <c r="E73" s="17"/>
      <c r="F73" s="18" t="str">
        <f>HYPERLINK("https://docs.google.com/spreadsheets/d/1jwWYMNEq_sVEf1FrpXOrq7bBGee5yhpN?usp=share_link", "RE-352.366")</f>
        <v>RE-352.366</v>
      </c>
      <c r="G73" s="18" t="str">
        <f>HYPERLINK("https://docs.google.com/spreadsheets/d/1yWhJxzMwedmTcWQSaYADIUCpc_nIszP-?usp=share_link", "RE-2.7714")</f>
        <v>RE-2.7714</v>
      </c>
      <c r="H73" s="18" t="str">
        <f>HYPERLINK("https://docs.google.com/spreadsheets/d/15wjLBJZJofAdeAs3APnTjvUXg_C1N2SL?usp=share_link", "RE-66.7948")</f>
        <v>RE-66.7948</v>
      </c>
      <c r="I73" s="17"/>
      <c r="J73" s="18" t="str">
        <f>HYPERLINK("https://docs.google.com/spreadsheets/d/10hgGQRGTsOWQCHTQXM_IJlUEq4irceYy?usp=share_link", "RE-1301.58")</f>
        <v>RE-1301.58</v>
      </c>
      <c r="K73" s="18" t="str">
        <f>HYPERLINK("https://docs.google.com/spreadsheets/d/1hiZ_h2hGOjQcoOC9oyE5NQ6MMui9db3O?usp=share_link", "RE-5.63575")</f>
        <v>RE-5.63575</v>
      </c>
      <c r="L73" s="18">
        <f>HYPERLINK("https://docs.google.com/spreadsheets/d/1L7ZjwTxAdJO7z9zT45zR3yagggGPWHM6?usp=share_link", 733.039)</f>
        <v>733.039</v>
      </c>
      <c r="M73" s="18" t="str">
        <f>HYPERLINK("https://docs.google.com/spreadsheets/d/1yswD6lGX24k88DNvqfsQbUH6NDPZi4BT?usp=share_link", "RE-7.45858")</f>
        <v>RE-7.45858</v>
      </c>
      <c r="N73" s="18" t="str">
        <f>HYPERLINK("https://docs.google.com/spreadsheets/d/1NTInbAn5WOthY5oGbIX37MMgKzNfUFrQ?usp=share_link", "RE-300.711")</f>
        <v>RE-300.711</v>
      </c>
      <c r="O73" s="18" t="str">
        <f>HYPERLINK("https://docs.google.com/spreadsheets/d/1F46CMoSK7vvWNSQ7cHzkx8qCYpBvh3Yy?usp=share_link", "RE-2.05988")</f>
        <v>RE-2.05988</v>
      </c>
      <c r="P73" s="18">
        <f>HYPERLINK("https://docs.google.com/spreadsheets/d/1dc5jeyqq_3-vG7jF6sEtjTAklEeEHPIr?usp=share_link", 430.754)</f>
        <v>430.754</v>
      </c>
      <c r="Q73" s="18" t="str">
        <f>HYPERLINK("https://docs.google.com/spreadsheets/d/1efVd2MFt8LQSdJ_karYn2D7mTK7PfQpn?usp=share_link", "RE-32.2251")</f>
        <v>RE-32.2251</v>
      </c>
      <c r="R73" s="18">
        <f>HYPERLINK("https://docs.google.com/spreadsheets/d/1BVLXpyePIkpFcgtu_lBzY9nePlUru2cc?usp=share_link", 223.5)</f>
        <v>223.5</v>
      </c>
      <c r="S73" s="18" t="str">
        <f>HYPERLINK("https://docs.google.com/spreadsheets/d/1_V_ghsVpt4_pg60roIjnfZ1eeWjfbo-r?usp=share_link", "RE-22.0278")</f>
        <v>RE-22.0278</v>
      </c>
      <c r="T73" s="18">
        <f>HYPERLINK("https://docs.google.com/spreadsheets/d/1bnbJdBZxioWXqKjsCFt6Q372CV4ZuVCQ?usp=share_link", 244.246)</f>
        <v>244.246</v>
      </c>
      <c r="U73" s="18" t="str">
        <f>HYPERLINK("https://docs.google.com/spreadsheets/d/1V32cGGTwO7eAjzdZWzXYy7t9N1xJ9Ehh?usp=share_link", "RE-21.061")</f>
        <v>RE-21.061</v>
      </c>
      <c r="V73" s="18" t="str">
        <f>HYPERLINK("https://docs.google.com/spreadsheets/d/1KzVnMH5J7Rxu9PvQdr2fxez1pDtd5x6F?usp=share_link", "RE-2.10108")</f>
        <v>RE-2.10108</v>
      </c>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row>
    <row r="74">
      <c r="A74" s="27" t="s">
        <v>7</v>
      </c>
      <c r="B74" s="27" t="s">
        <v>24</v>
      </c>
      <c r="C74" s="27" t="s">
        <v>15</v>
      </c>
      <c r="D74" s="28">
        <f t="shared" si="1"/>
        <v>1876.144</v>
      </c>
      <c r="E74" s="33"/>
      <c r="F74" s="34" t="str">
        <f>HYPERLINK("https://docs.google.com/spreadsheets/d/1oOWXyl0ztxCQvVPlZahLA5zhMbtdvIYu?usp=share_link", "RE-392.327")</f>
        <v>RE-392.327</v>
      </c>
      <c r="G74" s="34" t="str">
        <f>HYPERLINK("https://docs.google.com/spreadsheets/d/1tR13Gzx3f6q8y-4LBVm_yq3k4FYV588-?usp=share_link", "RE-2.7714")</f>
        <v>RE-2.7714</v>
      </c>
      <c r="H74" s="34" t="str">
        <f>HYPERLINK("https://docs.google.com/spreadsheets/d/1WzV_nYVv4cZg-iHakXylw1wBo86kR8Zg?usp=share_link", "RE-74.0866")</f>
        <v>RE-74.0866</v>
      </c>
      <c r="I74" s="33"/>
      <c r="J74" s="34" t="str">
        <f>HYPERLINK("https://docs.google.com/spreadsheets/d/18i8YWChC4-UwbPajn__ukWE7sgwNJ6h4?usp=share_link", "RE-1403.77")</f>
        <v>RE-1403.77</v>
      </c>
      <c r="K74" s="34" t="str">
        <f>HYPERLINK("https://docs.google.com/spreadsheets/d/1c2pt9Q1Dz0jklGBt_b7dM7nehk_aBHoj?usp=share_link", "RE-5.96655")</f>
        <v>RE-5.96655</v>
      </c>
      <c r="L74" s="34">
        <f>HYPERLINK("https://docs.google.com/spreadsheets/d/19ubUpFK2wqUI11HS5hc5NvUF4zwcJ-FS?usp=share_link", 832.54)</f>
        <v>832.54</v>
      </c>
      <c r="M74" s="34" t="str">
        <f>HYPERLINK("https://docs.google.com/spreadsheets/d/1Ok0u6LtuvoSBYToKZCFYCOaGEIhzcTzE?usp=share_link", "RE-8.4271")</f>
        <v>RE-8.4271</v>
      </c>
      <c r="N74" s="34" t="str">
        <f>HYPERLINK("https://docs.google.com/spreadsheets/d/1MXpIwuCoH2LCdJT1orUdHry8rpD_8n45?usp=share_link", "RE-359.303")</f>
        <v>RE-359.303</v>
      </c>
      <c r="O74" s="34" t="str">
        <f>HYPERLINK("https://docs.google.com/spreadsheets/d/1jQcT_sngplBCD3YoaEq09JUgh7r523q0?usp=share_link", "RE-2.05988")</f>
        <v>RE-2.05988</v>
      </c>
      <c r="P74" s="34">
        <f>HYPERLINK("https://docs.google.com/spreadsheets/d/12P6jK6vouMZiLt1qCLuA-hKMNS-5ZxXG?usp=share_link", 491.154)</f>
        <v>491.154</v>
      </c>
      <c r="Q74" s="34" t="str">
        <f>HYPERLINK("https://docs.google.com/spreadsheets/d/1V2alNUY2A9dh84FbhhZrBcZRgWFXYHju?usp=share_link", "RE-33.8044")</f>
        <v>RE-33.8044</v>
      </c>
      <c r="R74" s="34">
        <f>HYPERLINK("https://docs.google.com/spreadsheets/d/1TdypOEW2zM0hzqiIXWWsWL9V5PE3H0IO?usp=share_link", 265.459)</f>
        <v>265.459</v>
      </c>
      <c r="S74" s="34" t="str">
        <f>HYPERLINK("https://docs.google.com/spreadsheets/d/1knf1SwLNZHJmOWvVt2DHx9YmnsUYztPL?usp=share_link", "RE-24.3117")</f>
        <v>RE-24.3117</v>
      </c>
      <c r="T74" s="34">
        <f>HYPERLINK("https://docs.google.com/spreadsheets/d/1JUGgGW6Kie-iWx7bPdIX5Dyirk9V-sdr?usp=share_link", 286.991)</f>
        <v>286.991</v>
      </c>
      <c r="U74" s="34" t="str">
        <f>HYPERLINK("https://docs.google.com/spreadsheets/d/1LKMDuPGM2SjxlGeBjyGurvx4wke7a3wr?usp=share_link", "RE-24.1504")</f>
        <v>RE-24.1504</v>
      </c>
      <c r="V74" s="34" t="str">
        <f>HYPERLINK("https://docs.google.com/spreadsheets/d/1kEqlLd-e1RNq8UIB3phB8M6ikoja-sJH?usp=share_link", "RE-2.29773")</f>
        <v>RE-2.29773</v>
      </c>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row>
    <row r="75">
      <c r="A75" s="30" t="s">
        <v>7</v>
      </c>
      <c r="B75" s="30" t="s">
        <v>25</v>
      </c>
      <c r="C75" s="31" t="str">
        <f>HYPERLINK("https://docs.google.com/spreadsheets/d/1c-50NDe18Mx-J_eizvJAwCtIiAB5Rwu3/edit?usp=share_link&amp;ouid=106501987799020758802&amp;rtpof=true&amp;sd=true", "Raw Delivered")</f>
        <v>Raw Delivered</v>
      </c>
      <c r="D75" s="12">
        <f t="shared" si="1"/>
        <v>5655.630779</v>
      </c>
      <c r="E75" s="13"/>
      <c r="F75" s="14">
        <f>HYPERLINK("https://docs.google.com/spreadsheets/d/1KxG5B82H4E-EUSLMnwWOk75zCuQIez10", 634.190111458333)</f>
        <v>634.1901115</v>
      </c>
      <c r="G75" s="13"/>
      <c r="H75" s="14">
        <f>HYPERLINK("https://docs.google.com/spreadsheets/d/1vjP-7ZcogEYDXPM4VH1QAVeZopftH9aS", 97.5239708333333)</f>
        <v>97.52397083</v>
      </c>
      <c r="I75" s="13"/>
      <c r="J75" s="14">
        <f>HYPERLINK("https://docs.google.com/spreadsheets/d/1GgNUXSuRJ612ZnFCv3Qy6w4J1XzKShUg", 1423.21445833333)</f>
        <v>1423.214458</v>
      </c>
      <c r="K75" s="13"/>
      <c r="L75" s="14">
        <f t="shared" ref="L75:L76" si="38">HYPERLINK("https://docs.google.com/spreadsheets/d/1rpypTZw-3qW7mRw2ZICmdsdJU7Ta4tlR", 404.554322916666)</f>
        <v>404.5543229</v>
      </c>
      <c r="M75" s="13"/>
      <c r="N75" s="14">
        <f>HYPERLINK("https://docs.google.com/spreadsheets/d/1xzyBZfgEvoiqJF2nb39qZ9AM7_tDHuFs", 2068.72794270832)</f>
        <v>2068.727943</v>
      </c>
      <c r="O75" s="13"/>
      <c r="P75" s="14">
        <f t="shared" ref="P75:P76" si="39">HYPERLINK("https://docs.google.com/spreadsheets/d/1XsPBNiLwkp1b6mOfy9dPWxc4u9RlcnUV", 246.159792708333)</f>
        <v>246.1597927</v>
      </c>
      <c r="Q75" s="13"/>
      <c r="R75" s="14">
        <f t="shared" ref="R75:R76" si="40">HYPERLINK("https://docs.google.com/spreadsheets/d/1cVuBNVuHob8n41SSalUW12DKlBUAbdrx", 118.4091)</f>
        <v>118.4091</v>
      </c>
      <c r="S75" s="13"/>
      <c r="T75" s="14">
        <f t="shared" ref="T75:T76" si="41">HYPERLINK("https://docs.google.com/spreadsheets/d/1cBAhPZKDhfDSnMzgm5i31iUbgu4nijgy", 662.851080208332)</f>
        <v>662.8510802</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row>
    <row r="76">
      <c r="A76" s="32" t="s">
        <v>7</v>
      </c>
      <c r="B76" s="32" t="s">
        <v>25</v>
      </c>
      <c r="C76" s="32" t="s">
        <v>9</v>
      </c>
      <c r="D76" s="16">
        <f t="shared" si="1"/>
        <v>1431.974296</v>
      </c>
      <c r="E76" s="17"/>
      <c r="F76" s="18" t="str">
        <f>HYPERLINK("https://docs.google.com/spreadsheets/d/1KxG5B82H4E-EUSLMnwWOk75zCuQIez10", "RE-634.1901114583337")</f>
        <v>RE-634.1901114583337</v>
      </c>
      <c r="G76" s="17"/>
      <c r="H76" s="18" t="str">
        <f>HYPERLINK("https://docs.google.com/spreadsheets/d/1vjP-7ZcogEYDXPM4VH1QAVeZopftH9aS", "RE-97.52397083333334")</f>
        <v>RE-97.52397083333334</v>
      </c>
      <c r="I76" s="17"/>
      <c r="J76" s="18" t="str">
        <f>HYPERLINK("https://docs.google.com/spreadsheets/d/1GgNUXSuRJ612ZnFCv3Qy6w4J1XzKShUg", "RE-1423.2144583333366")</f>
        <v>RE-1423.2144583333366</v>
      </c>
      <c r="K76" s="17"/>
      <c r="L76" s="18">
        <f t="shared" si="38"/>
        <v>404.5543229</v>
      </c>
      <c r="M76" s="17"/>
      <c r="N76" s="18" t="str">
        <f>HYPERLINK("https://docs.google.com/spreadsheets/d/1xzyBZfgEvoiqJF2nb39qZ9AM7_tDHuFs", "RE-2068.7279427083254")</f>
        <v>RE-2068.7279427083254</v>
      </c>
      <c r="O76" s="17"/>
      <c r="P76" s="18">
        <f t="shared" si="39"/>
        <v>246.1597927</v>
      </c>
      <c r="Q76" s="17"/>
      <c r="R76" s="18">
        <f t="shared" si="40"/>
        <v>118.4091</v>
      </c>
      <c r="S76" s="17"/>
      <c r="T76" s="18">
        <f t="shared" si="41"/>
        <v>662.8510802</v>
      </c>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row>
    <row r="77">
      <c r="A77" s="32" t="s">
        <v>7</v>
      </c>
      <c r="B77" s="32" t="s">
        <v>25</v>
      </c>
      <c r="C77" s="32" t="s">
        <v>10</v>
      </c>
      <c r="D77" s="16">
        <f t="shared" si="1"/>
        <v>597.7774115</v>
      </c>
      <c r="E77" s="17"/>
      <c r="F77" s="17"/>
      <c r="G77" s="18">
        <f>HYPERLINK("https://docs.google.com/spreadsheets/d/13JefMR1XgdHTUWgl2LoCWHyajikYi01A", 53.9588270833333)</f>
        <v>53.95882708</v>
      </c>
      <c r="H77" s="17"/>
      <c r="I77" s="18">
        <f>HYPERLINK("https://docs.google.com/spreadsheets/d/1g5eyCeRtypsk2H26PEQVH7ByAn5tMoVe", 15.5253104166666)</f>
        <v>15.52531042</v>
      </c>
      <c r="J77" s="17"/>
      <c r="K77" s="18">
        <f>HYPERLINK("https://docs.google.com/spreadsheets/d/15hbIRBNg4tO5WhVc4vmZi7AuGnpLXhgg", 118.398944791666)</f>
        <v>118.3989448</v>
      </c>
      <c r="L77" s="17"/>
      <c r="M77" s="18">
        <f>HYPERLINK("https://docs.google.com/spreadsheets/d/1UA94qhqH0PuX3k4YolQTkKV5q-U-XWoG", 25.4047239583333)</f>
        <v>25.40472396</v>
      </c>
      <c r="N77" s="17"/>
      <c r="O77" s="18">
        <f>HYPERLINK("https://docs.google.com/spreadsheets/d/1jUAz8xJMvWsbBk63WPbbY_7s7j_clPVt", 248.546514583333)</f>
        <v>248.5465146</v>
      </c>
      <c r="P77" s="17"/>
      <c r="Q77" s="18">
        <f>HYPERLINK("https://docs.google.com/spreadsheets/d/1W-bAIPmDNfMF5Fov9PkXwODlHmBpdu_U", 63.2977802083333)</f>
        <v>63.29778021</v>
      </c>
      <c r="R77" s="17"/>
      <c r="S77" s="18">
        <f>HYPERLINK("https://docs.google.com/spreadsheets/d/1z5cBjm0u2AAla6Ztu0tHSuef_fu1sM5E", 19.02639375)</f>
        <v>19.02639375</v>
      </c>
      <c r="T77" s="17"/>
      <c r="U77" s="18">
        <f>HYPERLINK("https://docs.google.com/spreadsheets/d/1rYODwiJJNFHH3qMY25CvLb2JmFoBi3YQ", 48.29483125)</f>
        <v>48.29483125</v>
      </c>
      <c r="V77" s="18">
        <f>HYPERLINK("https://docs.google.com/spreadsheets/d/1gQoLkVht_pzl_qz-VUfR3-iCQoPCJlmg", 5.32408541666666)</f>
        <v>5.324085417</v>
      </c>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row>
    <row r="78">
      <c r="A78" s="32" t="s">
        <v>7</v>
      </c>
      <c r="B78" s="32" t="s">
        <v>25</v>
      </c>
      <c r="C78" s="32" t="s">
        <v>11</v>
      </c>
      <c r="D78" s="16">
        <f t="shared" si="1"/>
        <v>0</v>
      </c>
      <c r="E78" s="17"/>
      <c r="F78" s="17"/>
      <c r="G78" s="18" t="str">
        <f>HYPERLINK("https://docs.google.com/spreadsheets/d/13JefMR1XgdHTUWgl2LoCWHyajikYi01A", "RE-53.958827083333354")</f>
        <v>RE-53.958827083333354</v>
      </c>
      <c r="H78" s="17"/>
      <c r="I78" s="18" t="str">
        <f>HYPERLINK("https://docs.google.com/spreadsheets/d/1g5eyCeRtypsk2H26PEQVH7ByAn5tMoVe", "RE-15.525310416666665")</f>
        <v>RE-15.525310416666665</v>
      </c>
      <c r="J78" s="17"/>
      <c r="K78" s="18" t="str">
        <f>HYPERLINK("https://docs.google.com/spreadsheets/d/15hbIRBNg4tO5WhVc4vmZi7AuGnpLXhgg", "RE-118.39894479166664")</f>
        <v>RE-118.39894479166664</v>
      </c>
      <c r="L78" s="17"/>
      <c r="M78" s="18" t="str">
        <f>HYPERLINK("https://docs.google.com/spreadsheets/d/1UA94qhqH0PuX3k4YolQTkKV5q-U-XWoG", "RE-25.40472395833333")</f>
        <v>RE-25.40472395833333</v>
      </c>
      <c r="N78" s="17"/>
      <c r="O78" s="18" t="str">
        <f>HYPERLINK("https://docs.google.com/spreadsheets/d/1jUAz8xJMvWsbBk63WPbbY_7s7j_clPVt", "RE-248.5465145833336")</f>
        <v>RE-248.5465145833336</v>
      </c>
      <c r="P78" s="17"/>
      <c r="Q78" s="18" t="str">
        <f>HYPERLINK("https://docs.google.com/spreadsheets/d/1W-bAIPmDNfMF5Fov9PkXwODlHmBpdu_U", "RE-63.29778020833335")</f>
        <v>RE-63.29778020833335</v>
      </c>
      <c r="R78" s="17"/>
      <c r="S78" s="18" t="str">
        <f>HYPERLINK("https://docs.google.com/spreadsheets/d/1z5cBjm0u2AAla6Ztu0tHSuef_fu1sM5E", "RE-19.026393750000004")</f>
        <v>RE-19.026393750000004</v>
      </c>
      <c r="T78" s="17"/>
      <c r="U78" s="18" t="str">
        <f>HYPERLINK("https://docs.google.com/spreadsheets/d/1rYODwiJJNFHH3qMY25CvLb2JmFoBi3YQ", "RE-48.29483125000003")</f>
        <v>RE-48.29483125000003</v>
      </c>
      <c r="V78" s="18" t="str">
        <f>HYPERLINK("https://docs.google.com/spreadsheets/d/1gQoLkVht_pzl_qz-VUfR3-iCQoPCJlmg", "RE-5.324085416666665")</f>
        <v>RE-5.324085416666665</v>
      </c>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row>
    <row r="79">
      <c r="A79" s="32" t="s">
        <v>7</v>
      </c>
      <c r="B79" s="32" t="s">
        <v>25</v>
      </c>
      <c r="C79" s="32" t="s">
        <v>12</v>
      </c>
      <c r="D79" s="16">
        <f t="shared" si="1"/>
        <v>1334.162786</v>
      </c>
      <c r="E79" s="17"/>
      <c r="F79" s="18" t="str">
        <f>HYPERLINK("https://docs.google.com/spreadsheets/d/18a76f3Bj2kk1qbzyVG5FOj6G0Mz_gGJk", "RE-522.934013541667")</f>
        <v>RE-522.934013541667</v>
      </c>
      <c r="G79" s="18" t="str">
        <f>HYPERLINK("https://docs.google.com/spreadsheets/d/1HebfYo6-gSTbz1fTnQfZMGLU-Z3dg7qQ", "RE-2.22385625")</f>
        <v>RE-2.22385625</v>
      </c>
      <c r="H79" s="18" t="str">
        <f>HYPERLINK("https://docs.google.com/spreadsheets/d/1Qi7Ach5MqKjzsVm70BlEdYLo6w5r3iXA", "RE-83.82613125000002")</f>
        <v>RE-83.82613125000002</v>
      </c>
      <c r="I79" s="18" t="str">
        <f>HYPERLINK("https://docs.google.com/spreadsheets/d/19uUqzBxU3T2_Ypq5fsW0hakJnvwAzrel", "RE-0.21211041666666666")</f>
        <v>RE-0.21211041666666666</v>
      </c>
      <c r="J79" s="18" t="str">
        <f>HYPERLINK("https://docs.google.com/spreadsheets/d/19q-fC971P2vmGF3Z2hEYT_GoVsaxgCm-", "RE-1137.1296218749978")</f>
        <v>RE-1137.1296218749978</v>
      </c>
      <c r="K79" s="18" t="str">
        <f>HYPERLINK("https://docs.google.com/spreadsheets/d/1GXm_r0oc-15h4GsMo8vY5VbK639rA1eO", "RE-3.892964583333333")</f>
        <v>RE-3.892964583333333</v>
      </c>
      <c r="L79" s="18">
        <f>HYPERLINK("https://docs.google.com/spreadsheets/d/1VZzrw1jZoY5whtsQ8ISDqEwS1sGwLnLK", 374.441038541666)</f>
        <v>374.4410385</v>
      </c>
      <c r="M79" s="18" t="str">
        <f>HYPERLINK("https://docs.google.com/spreadsheets/d/1G4SHSOI7wArKj8bGE4mj6iTgAeJ81TB4", "RE-11.059216666666668")</f>
        <v>RE-11.059216666666668</v>
      </c>
      <c r="N79" s="18" t="str">
        <f>HYPERLINK("https://docs.google.com/spreadsheets/d/1Edzoole_m7rto5J8QcHVe5O-KpXnF7qv", "RE-1389.1144927083324")</f>
        <v>RE-1389.1144927083324</v>
      </c>
      <c r="O79" s="18" t="str">
        <f>HYPERLINK("https://docs.google.com/spreadsheets/d/1H8tSwmm91vBC6mVXtjRMr4Xr2KJbOGMa", "RE-14.171422916666668")</f>
        <v>RE-14.171422916666668</v>
      </c>
      <c r="P79" s="18">
        <f>HYPERLINK("https://docs.google.com/spreadsheets/d/1OP6bpHpybgFUUVwcLVrlWHsW_5ghdV50", 210.724284375)</f>
        <v>210.7242844</v>
      </c>
      <c r="Q79" s="18" t="str">
        <f>HYPERLINK("https://docs.google.com/spreadsheets/d/1MjuDz8NWmVUzmB8sZsrAdmByDQK10S7G", "RE-16.283847916666666")</f>
        <v>RE-16.283847916666666</v>
      </c>
      <c r="R79" s="18">
        <f>HYPERLINK("https://docs.google.com/spreadsheets/d/13weqwK_ZUe0UJztrRxD0mFVMjZ6rc3TP", 112.022579166666)</f>
        <v>112.0225792</v>
      </c>
      <c r="S79" s="18" t="str">
        <f>HYPERLINK("https://docs.google.com/spreadsheets/d/1C1RnRV2GVPrjQoMOlF0oJBAF7qYB2QRK", "RE-9.263495833333334")</f>
        <v>RE-9.263495833333334</v>
      </c>
      <c r="T79" s="18">
        <f>HYPERLINK("https://docs.google.com/spreadsheets/d/18_iiX2oCWOX5wmGQQgs2RhXGrn9nji0h", 636.974884374998)</f>
        <v>636.9748844</v>
      </c>
      <c r="U79" s="18" t="str">
        <f>HYPERLINK("https://docs.google.com/spreadsheets/d/18r67XRZ1zzxObXZSABZSh0kDF-e4QU94", "RE-30.246772916666664")</f>
        <v>RE-30.246772916666664</v>
      </c>
      <c r="V79" s="18" t="str">
        <f>HYPERLINK("https://docs.google.com/spreadsheets/d/1tqitJwojYOarntNZNEbe4lxQLCxnjTfd", "RE-4.659564583333332")</f>
        <v>RE-4.659564583333332</v>
      </c>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row>
    <row r="80">
      <c r="A80" s="32" t="s">
        <v>7</v>
      </c>
      <c r="B80" s="32" t="s">
        <v>25</v>
      </c>
      <c r="C80" s="32" t="s">
        <v>13</v>
      </c>
      <c r="D80" s="16">
        <f t="shared" si="1"/>
        <v>1282.235</v>
      </c>
      <c r="E80" s="17"/>
      <c r="F80" s="18" t="str">
        <f>HYPERLINK("https://docs.google.com/spreadsheets/d/1WMJ8XW5grCJsRIrpuWTHSmkYwdTRLqZd?usp=share_link", "RE-509.229")</f>
        <v>RE-509.229</v>
      </c>
      <c r="G80" s="18" t="str">
        <f>HYPERLINK("https://docs.google.com/spreadsheets/d/1ToQAq_6Sq_6Lfy5MZ1j2LLhYGwDFayAw?usp=share_link", "RE-2.13733")</f>
        <v>RE-2.13733</v>
      </c>
      <c r="H80" s="18" t="str">
        <f>HYPERLINK("https://docs.google.com/spreadsheets/d/1jVi4gTJ2iWM04Nn5phKqy2ly_Mho8G3B?usp=share_link", "RE-81.6782")</f>
        <v>RE-81.6782</v>
      </c>
      <c r="I80" s="18" t="str">
        <f>HYPERLINK("https://docs.google.com/spreadsheets/d/1lAbPBrnTXPJczh6yNT158ScK-bYOsMog?usp=share_link", "RE-0.210083")</f>
        <v>RE-0.210083</v>
      </c>
      <c r="J80" s="18" t="str">
        <f>HYPERLINK("https://docs.google.com/spreadsheets/d/1mMu5nquahG93pfmMAx61OwoWdO1097vQ?usp=share_link", "RE-1097.12")</f>
        <v>RE-1097.12</v>
      </c>
      <c r="K80" s="18" t="str">
        <f>HYPERLINK("https://docs.google.com/spreadsheets/d/1k0ot2REilN3zduOI2ItqEEp4TfYOT80N?usp=share_link", "RE-3.77178")</f>
        <v>RE-3.77178</v>
      </c>
      <c r="L80" s="18">
        <f>HYPERLINK("https://docs.google.com/spreadsheets/d/1ofwpLY2gZ2hRuV9f5X_u97WvZlN3XXf_?usp=share_link", 357.229)</f>
        <v>357.229</v>
      </c>
      <c r="M80" s="18" t="str">
        <f>HYPERLINK("https://docs.google.com/spreadsheets/d/10J6pJY6Lu4YY6OzffXQe-IU9I4f_ORuQ?usp=share_link", "RE-10.8075")</f>
        <v>RE-10.8075</v>
      </c>
      <c r="N80" s="18" t="str">
        <f>HYPERLINK("https://docs.google.com/spreadsheets/d/1hBu-d4H0ISj06RROOH2NQfHOJuCRQxrn?usp=share_link", "RE-1336.77")</f>
        <v>RE-1336.77</v>
      </c>
      <c r="O80" s="18" t="str">
        <f>HYPERLINK("https://docs.google.com/spreadsheets/d/1FW-5Evp2Kpm28CiqjEt1gcbqPwFyrgf3?usp=share_link", "RE-13.3609")</f>
        <v>RE-13.3609</v>
      </c>
      <c r="P80" s="18">
        <f>HYPERLINK("https://docs.google.com/spreadsheets/d/15caelDX5axqLE87T75YdWw4Hy_M5xiX3?usp=share_link", 201.406)</f>
        <v>201.406</v>
      </c>
      <c r="Q80" s="18" t="str">
        <f>HYPERLINK("https://docs.google.com/spreadsheets/d/1lRAZbaAjBC2VGosdj57xGRiPMPcGfIFH?usp=share_link", "RE-15.6751")</f>
        <v>RE-15.6751</v>
      </c>
      <c r="R80" s="18">
        <f>HYPERLINK("https://docs.google.com/spreadsheets/d/1OuHxRCt4E_A_J5isgTt1iFr9BIuKSEn6?usp=share_link", 108.388)</f>
        <v>108.388</v>
      </c>
      <c r="S80" s="18" t="str">
        <f>HYPERLINK("https://docs.google.com/spreadsheets/d/1sDq3D3XhTUmaltHiuTCg1E-IvVMs7o6_?usp=share_link", "RE-8.9738")</f>
        <v>RE-8.9738</v>
      </c>
      <c r="T80" s="18">
        <f>HYPERLINK("https://docs.google.com/spreadsheets/d/1blkfzjziuGKy9i-3WN6jp32zdCfrNz8g?usp=share_link", 615.212)</f>
        <v>615.212</v>
      </c>
      <c r="U80" s="18" t="str">
        <f>HYPERLINK("https://docs.google.com/spreadsheets/d/1Hf8iFPXWFGA47PpoK-LeoKFVC2JBIoy5?usp=share_link", "RE-29.0963")</f>
        <v>RE-29.0963</v>
      </c>
      <c r="V80" s="18" t="str">
        <f>HYPERLINK("https://docs.google.com/spreadsheets/d/1B_Y7PmNrZpmpnYr77p0p7KC5fz579d8C?usp=share_link", "RE-4.50898")</f>
        <v>RE-4.50898</v>
      </c>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row>
    <row r="81">
      <c r="A81" s="32" t="s">
        <v>7</v>
      </c>
      <c r="B81" s="32" t="s">
        <v>25</v>
      </c>
      <c r="C81" s="32" t="s">
        <v>14</v>
      </c>
      <c r="D81" s="16">
        <f t="shared" si="1"/>
        <v>1110.778</v>
      </c>
      <c r="E81" s="17"/>
      <c r="F81" s="18" t="str">
        <f>HYPERLINK("https://docs.google.com/spreadsheets/d/1nDuynCWA-UlzCfeKCytLcNQjy2jAC4Sz?usp=share_link", "RE-450.142")</f>
        <v>RE-450.142</v>
      </c>
      <c r="G81" s="18" t="str">
        <f>HYPERLINK("https://docs.google.com/spreadsheets/d/1YTkUFVfMaJYYZvjshp8156bbVTQi4udy?usp=share_link", "RE-1.79787")</f>
        <v>RE-1.79787</v>
      </c>
      <c r="H81" s="18" t="str">
        <f>HYPERLINK("https://docs.google.com/spreadsheets/d/16wKMPEDGdlyj50G5S0QZxvr75UEpSyY8?usp=share_link", "RE-74.3352")</f>
        <v>RE-74.3352</v>
      </c>
      <c r="I81" s="18" t="str">
        <f>HYPERLINK("https://docs.google.com/spreadsheets/d/1aheDJ6GxdOCVNRqHAkrVjl-di6XrOHPs?usp=share_link", "RE-0.1183")</f>
        <v>RE-0.1183</v>
      </c>
      <c r="J81" s="18" t="str">
        <f>HYPERLINK("https://docs.google.com/spreadsheets/d/1GcYKYnw7jkh2MkX9f9B18Abhxv23CRHE?usp=share_link", "RE-1016.42")</f>
        <v>RE-1016.42</v>
      </c>
      <c r="K81" s="18" t="str">
        <f>HYPERLINK("https://docs.google.com/spreadsheets/d/1T2XF-lPqH0qFIlbX_cPt_auGgigLP55V?usp=share_link", "RE-3.65995")</f>
        <v>RE-3.65995</v>
      </c>
      <c r="L81" s="18">
        <f>HYPERLINK("https://docs.google.com/spreadsheets/d/189M5IliL1h6ilNG-P6Xlgi0DGGjDyRtg?usp=share_link", 313.522)</f>
        <v>313.522</v>
      </c>
      <c r="M81" s="18" t="str">
        <f>HYPERLINK("https://docs.google.com/spreadsheets/d/1npx14l2jTe7HPgupxYZhrhgUUcz0xitj?usp=share_link", "RE-10.1122")</f>
        <v>RE-10.1122</v>
      </c>
      <c r="N81" s="18" t="str">
        <f>HYPERLINK("https://docs.google.com/spreadsheets/d/1cHTE6tESJTDtsuvUhdorbvyURAC3VgSn?usp=share_link", "RE-1168.7")</f>
        <v>RE-1168.7</v>
      </c>
      <c r="O81" s="18" t="str">
        <f>HYPERLINK("https://docs.google.com/spreadsheets/d/1MsO6q6TsNz4PFUlX1wfzkYhNFeY0Lrbi?usp=share_link", "RE-10.8582")</f>
        <v>RE-10.8582</v>
      </c>
      <c r="P81" s="18">
        <f>HYPERLINK("https://docs.google.com/spreadsheets/d/1K52IZxjV8onPiSTktiLRNYacCqlBUliC?usp=share_link", 169.946)</f>
        <v>169.946</v>
      </c>
      <c r="Q81" s="18" t="str">
        <f>HYPERLINK("https://docs.google.com/spreadsheets/d/1MRuB_k5PlYlbIWCwJ3eS_fCM2DSSfE0T?usp=share_link", "RE-13.7007")</f>
        <v>RE-13.7007</v>
      </c>
      <c r="R81" s="18">
        <f>HYPERLINK("https://docs.google.com/spreadsheets/d/1BAwCno9U0nf7zZCV42ZuZxKfA2P7R1vT?usp=share_link", 91.356)</f>
        <v>91.356</v>
      </c>
      <c r="S81" s="18" t="str">
        <f>HYPERLINK("https://docs.google.com/spreadsheets/d/1WududgBYTJd5GW7QbFHHAgHjIBb09NcK?usp=share_link", "RE-8.35715")</f>
        <v>RE-8.35715</v>
      </c>
      <c r="T81" s="18">
        <f>HYPERLINK("https://docs.google.com/spreadsheets/d/1iv_YuaKIxdnqWaM0REBLYtexygy9uCLs?usp=share_link", 535.954)</f>
        <v>535.954</v>
      </c>
      <c r="U81" s="18" t="str">
        <f>HYPERLINK("https://docs.google.com/spreadsheets/d/1mWqWRcBzYgcPoyBFRR7pUbLpB3dAIwz2?usp=share_link", "RE-25.9399")</f>
        <v>RE-25.9399</v>
      </c>
      <c r="V81" s="18" t="str">
        <f>HYPERLINK("https://docs.google.com/spreadsheets/d/1CmX9OZkyOSvdho6cqLst4NIpquHKUa7C?usp=share_link", "RE-3.94752")</f>
        <v>RE-3.94752</v>
      </c>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row>
    <row r="82">
      <c r="A82" s="27" t="s">
        <v>7</v>
      </c>
      <c r="B82" s="27" t="s">
        <v>25</v>
      </c>
      <c r="C82" s="27" t="s">
        <v>15</v>
      </c>
      <c r="D82" s="28">
        <f t="shared" si="1"/>
        <v>1282.235</v>
      </c>
      <c r="E82" s="33"/>
      <c r="F82" s="34" t="str">
        <f>HYPERLINK("https://docs.google.com/spreadsheets/d/1loaKMqRH-VwGThYbwovCqBb5AAJsn3oG?usp=share_link", "RE-508.836")</f>
        <v>RE-508.836</v>
      </c>
      <c r="G82" s="34" t="str">
        <f>HYPERLINK("https://docs.google.com/spreadsheets/d/17I1LuYGUBnChPITjdeizblWLPnh_QCIa?usp=share_link", "RE-2.13733")</f>
        <v>RE-2.13733</v>
      </c>
      <c r="H82" s="34" t="str">
        <f>HYPERLINK("https://docs.google.com/spreadsheets/d/1A2-XKXfyru6byEORt7FKdu1t9GWfMVud?usp=share_link", "RE-81.6782")</f>
        <v>RE-81.6782</v>
      </c>
      <c r="I82" s="34" t="str">
        <f>HYPERLINK("https://docs.google.com/spreadsheets/d/1VCrkMVbL4L_pUrlUpmezoasfpYmxROhP?usp=share_link", "RE-0.210083")</f>
        <v>RE-0.210083</v>
      </c>
      <c r="J82" s="34" t="str">
        <f>HYPERLINK("https://docs.google.com/spreadsheets/d/1ff7i1FlkcEKaWELCvSyOf4HhNAotEbDm?usp=share_link", "RE-1097.12")</f>
        <v>RE-1097.12</v>
      </c>
      <c r="K82" s="34" t="str">
        <f>HYPERLINK("https://docs.google.com/spreadsheets/d/1CXuC_5axU4ruehiAvPiBIK8uIPszHJ8H?usp=share_link", "RE-3.77178")</f>
        <v>RE-3.77178</v>
      </c>
      <c r="L82" s="34">
        <f>HYPERLINK("https://docs.google.com/spreadsheets/d/1jOpRbxYTANHUEXvFI3GKjPFuZaHr_8RC?usp=share_link", 357.229)</f>
        <v>357.229</v>
      </c>
      <c r="M82" s="34" t="str">
        <f>HYPERLINK("https://docs.google.com/spreadsheets/d/1_pdW02o-ibs8ek0k4ms5HmdtgRBZzEpL?usp=share_link", "RE-10.8075")</f>
        <v>RE-10.8075</v>
      </c>
      <c r="N82" s="34" t="str">
        <f>HYPERLINK("https://docs.google.com/spreadsheets/d/1REq3-NElUoB30viLuaPZL2JVJ5TXoGan?usp=share_link", "RE-1336.77")</f>
        <v>RE-1336.77</v>
      </c>
      <c r="O82" s="34" t="str">
        <f>HYPERLINK("https://docs.google.com/spreadsheets/d/1gDN4VPeEwboFYac1zmJx5USXwCZ4aLiW?usp=share_link", "RE-13.3609")</f>
        <v>RE-13.3609</v>
      </c>
      <c r="P82" s="34">
        <f>HYPERLINK("https://docs.google.com/spreadsheets/d/1W_JE7cMf8bPlieM-m501419kmiUclnl4?usp=share_link", 201.406)</f>
        <v>201.406</v>
      </c>
      <c r="Q82" s="34" t="str">
        <f>HYPERLINK("https://docs.google.com/spreadsheets/d/16KR4EpL6n1Dag2RmuR_fzP_UhtuykJaC?usp=share_link", "RE-15.6751")</f>
        <v>RE-15.6751</v>
      </c>
      <c r="R82" s="34">
        <f>HYPERLINK("https://docs.google.com/spreadsheets/d/1txasq2WxKr0hu3Uwv9zknB2yB2M1o_-Z?usp=share_link", 108.388)</f>
        <v>108.388</v>
      </c>
      <c r="S82" s="34" t="str">
        <f>HYPERLINK("https://docs.google.com/spreadsheets/d/1xnZDNmnrbwBT8KSxGYSi4R6JW-7bIjjW?usp=share_link", "RE-8.9738")</f>
        <v>RE-8.9738</v>
      </c>
      <c r="T82" s="34">
        <f>HYPERLINK("https://docs.google.com/spreadsheets/d/1CUX3HT6T0xvA_1PXruTNWliLdsyITP-V?usp=share_link", 615.212)</f>
        <v>615.212</v>
      </c>
      <c r="U82" s="34" t="str">
        <f>HYPERLINK("https://docs.google.com/spreadsheets/d/13zZRRvs4mJzvuT96quUh_8uYGxF_tMK7?usp=share_link", "RE-29.0963")</f>
        <v>RE-29.0963</v>
      </c>
      <c r="V82" s="34" t="str">
        <f>HYPERLINK("https://docs.google.com/spreadsheets/d/1xDPfBLqPAmsZlZqmaNPPCLHNFCGwRD5Q?usp=share_link", "RE-4.50898")</f>
        <v>RE-4.50898</v>
      </c>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33"/>
      <c r="EF82" s="33"/>
      <c r="EG82" s="33"/>
      <c r="EH82" s="33"/>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row>
    <row r="83">
      <c r="A83" s="30" t="s">
        <v>7</v>
      </c>
      <c r="B83" s="30" t="s">
        <v>26</v>
      </c>
      <c r="C83" s="31" t="str">
        <f>HYPERLINK("https://docs.google.com/spreadsheets/d/1MEeV7DithjFpu_dTsmKhk45gCWiB8kiN/edit?usp=share_link&amp;ouid=106501987799020758802&amp;rtpof=true&amp;sd=true", "Raw Delivered")</f>
        <v>Raw Delivered</v>
      </c>
      <c r="D83" s="12">
        <f t="shared" si="1"/>
        <v>6069.749736</v>
      </c>
      <c r="E83" s="13"/>
      <c r="F83" s="14">
        <f>HYPERLINK("https://docs.google.com/spreadsheets/d/1skTM44hm3aGyT8TFZYtk1vGNXn1P-5ma", 1143.91680624999)</f>
        <v>1143.916806</v>
      </c>
      <c r="G83" s="13"/>
      <c r="H83" s="14">
        <f>HYPERLINK("https://docs.google.com/spreadsheets/d/15MsphxJXgbRIKGHkggkmSPqkOcKk6qzJ", 96.814025)</f>
        <v>96.814025</v>
      </c>
      <c r="I83" s="13"/>
      <c r="J83" s="14">
        <f>HYPERLINK("https://docs.google.com/spreadsheets/d/1jQSC-olkgkZTToEIQ5dclD3d_JmNWbuz", 1758.05450520832)</f>
        <v>1758.054505</v>
      </c>
      <c r="K83" s="13"/>
      <c r="L83" s="14">
        <f t="shared" ref="L83:L84" si="42">HYPERLINK("https://docs.google.com/spreadsheets/d/1GTowMUL1XbL01VJVpQ2mYT-laF_gIqiS", 932.901672916667)</f>
        <v>932.9016729</v>
      </c>
      <c r="M83" s="13"/>
      <c r="N83" s="14">
        <f>HYPERLINK("https://docs.google.com/spreadsheets/d/1LwzECMLoZY1benl7WchDnkqEpzrll1Qw", 886.693533333335)</f>
        <v>886.6935333</v>
      </c>
      <c r="O83" s="13"/>
      <c r="P83" s="14">
        <f t="shared" ref="P83:P84" si="43">HYPERLINK("https://docs.google.com/spreadsheets/d/1LWHiXiqnHcVgu5G9Zsu62Do5ToGiB0t1", 504.7645375)</f>
        <v>504.7645375</v>
      </c>
      <c r="Q83" s="13"/>
      <c r="R83" s="14">
        <f t="shared" ref="R83:R84" si="44">HYPERLINK("https://docs.google.com/spreadsheets/d/1wNn6aMOHNiZEL7YuA3BunxXFXnSsycBv", 168.614098958333)</f>
        <v>168.614099</v>
      </c>
      <c r="S83" s="13"/>
      <c r="T83" s="14">
        <f t="shared" ref="T83:T84" si="45">HYPERLINK("https://docs.google.com/spreadsheets/d/1X7x6dHvtonaj-IDru5s6v442_1JLG_vH", 577.990557291668)</f>
        <v>577.9905573</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row>
    <row r="84">
      <c r="A84" s="32" t="s">
        <v>7</v>
      </c>
      <c r="B84" s="32" t="s">
        <v>26</v>
      </c>
      <c r="C84" s="32" t="s">
        <v>9</v>
      </c>
      <c r="D84" s="16">
        <f t="shared" si="1"/>
        <v>2184.270867</v>
      </c>
      <c r="E84" s="17"/>
      <c r="F84" s="18" t="str">
        <f>HYPERLINK("https://docs.google.com/spreadsheets/d/1skTM44hm3aGyT8TFZYtk1vGNXn1P-5ma", "RE-1143.9168062499991")</f>
        <v>RE-1143.9168062499991</v>
      </c>
      <c r="G84" s="17"/>
      <c r="H84" s="18" t="str">
        <f>HYPERLINK("https://docs.google.com/spreadsheets/d/15MsphxJXgbRIKGHkggkmSPqkOcKk6qzJ", "RE-96.81402500000003")</f>
        <v>RE-96.81402500000003</v>
      </c>
      <c r="I84" s="17"/>
      <c r="J84" s="18" t="str">
        <f>HYPERLINK("https://docs.google.com/spreadsheets/d/1jQSC-olkgkZTToEIQ5dclD3d_JmNWbuz", "RE-1758.0545052083223")</f>
        <v>RE-1758.0545052083223</v>
      </c>
      <c r="K84" s="17"/>
      <c r="L84" s="18">
        <f t="shared" si="42"/>
        <v>932.9016729</v>
      </c>
      <c r="M84" s="17"/>
      <c r="N84" s="18" t="str">
        <f>HYPERLINK("https://docs.google.com/spreadsheets/d/1LwzECMLoZY1benl7WchDnkqEpzrll1Qw", "RE-886.6935333333356")</f>
        <v>RE-886.6935333333356</v>
      </c>
      <c r="O84" s="17"/>
      <c r="P84" s="18">
        <f t="shared" si="43"/>
        <v>504.7645375</v>
      </c>
      <c r="Q84" s="17"/>
      <c r="R84" s="18">
        <f t="shared" si="44"/>
        <v>168.614099</v>
      </c>
      <c r="S84" s="17"/>
      <c r="T84" s="18">
        <f t="shared" si="45"/>
        <v>577.9905573</v>
      </c>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row>
    <row r="85">
      <c r="A85" s="32" t="s">
        <v>7</v>
      </c>
      <c r="B85" s="32" t="s">
        <v>26</v>
      </c>
      <c r="C85" s="32" t="s">
        <v>10</v>
      </c>
      <c r="D85" s="16">
        <f t="shared" si="1"/>
        <v>578.6705187</v>
      </c>
      <c r="E85" s="17"/>
      <c r="F85" s="17"/>
      <c r="G85" s="18">
        <f>HYPERLINK("https://docs.google.com/spreadsheets/d/1k3AKBRmHn2ZQtssi6sVvqycYTSeUbnNJ", 98.7065208333334)</f>
        <v>98.70652083</v>
      </c>
      <c r="H85" s="17"/>
      <c r="I85" s="18">
        <f>HYPERLINK("https://docs.google.com/spreadsheets/d/1alj5O06ErE91Favw09Fp8xWE8E76B8AF", 25.3088375)</f>
        <v>25.3088375</v>
      </c>
      <c r="J85" s="17"/>
      <c r="K85" s="18">
        <f>HYPERLINK("https://docs.google.com/spreadsheets/d/1Emhhj44TXrOty4e1xs_pX0UIxo81Begz", 152.809382291666)</f>
        <v>152.8093823</v>
      </c>
      <c r="L85" s="17"/>
      <c r="M85" s="18">
        <f>HYPERLINK("https://docs.google.com/spreadsheets/d/1-jE92KU1cyNBSd0LJKkWQL3ejT5t4W_a", 56.3418770833333)</f>
        <v>56.34187708</v>
      </c>
      <c r="N85" s="17"/>
      <c r="O85" s="18">
        <f>HYPERLINK("https://docs.google.com/spreadsheets/d/1NdHnrK5CAbqY61w9jTUM8aNVTlab9JML", 67.7107822916666)</f>
        <v>67.71078229</v>
      </c>
      <c r="P85" s="17"/>
      <c r="Q85" s="18">
        <f>HYPERLINK("https://docs.google.com/spreadsheets/d/1ZmYkmMff-rqsy2xzP2h2on0UG5s7NUnK", 67.3557781249999)</f>
        <v>67.35577812</v>
      </c>
      <c r="R85" s="17"/>
      <c r="S85" s="18">
        <f>HYPERLINK("https://docs.google.com/spreadsheets/d/1vbd0Npnm9othopIKbgpcOoYP0G0oUV-T", 41.3843572916666)</f>
        <v>41.38435729</v>
      </c>
      <c r="T85" s="17"/>
      <c r="U85" s="18">
        <f>HYPERLINK("https://docs.google.com/spreadsheets/d/1FQs0fc5wiY_HDCStnxVfB_-NgA7p1LNG", 58.9459249999999)</f>
        <v>58.945925</v>
      </c>
      <c r="V85" s="18">
        <f>HYPERLINK("https://docs.google.com/spreadsheets/d/1DKim17H3ODuBrpEtlvrJvlA54Dhi9wOh", 10.1070583333333)</f>
        <v>10.10705833</v>
      </c>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row>
    <row r="86">
      <c r="A86" s="32" t="s">
        <v>7</v>
      </c>
      <c r="B86" s="32" t="s">
        <v>26</v>
      </c>
      <c r="C86" s="32" t="s">
        <v>11</v>
      </c>
      <c r="D86" s="16">
        <f t="shared" si="1"/>
        <v>0</v>
      </c>
      <c r="E86" s="17"/>
      <c r="F86" s="17"/>
      <c r="G86" s="18" t="str">
        <f>HYPERLINK("https://docs.google.com/spreadsheets/d/1k3AKBRmHn2ZQtssi6sVvqycYTSeUbnNJ", "RE-98.70652083333341")</f>
        <v>RE-98.70652083333341</v>
      </c>
      <c r="H86" s="17"/>
      <c r="I86" s="18" t="str">
        <f>HYPERLINK("https://docs.google.com/spreadsheets/d/1alj5O06ErE91Favw09Fp8xWE8E76B8AF", "RE-25.3088375")</f>
        <v>RE-25.3088375</v>
      </c>
      <c r="J86" s="17"/>
      <c r="K86" s="18" t="str">
        <f>HYPERLINK("https://docs.google.com/spreadsheets/d/1Emhhj44TXrOty4e1xs_pX0UIxo81Begz", "RE-152.80938229166654")</f>
        <v>RE-152.80938229166654</v>
      </c>
      <c r="L86" s="17"/>
      <c r="M86" s="18" t="str">
        <f>HYPERLINK("https://docs.google.com/spreadsheets/d/1-jE92KU1cyNBSd0LJKkWQL3ejT5t4W_a", "RE-56.34187708333333")</f>
        <v>RE-56.34187708333333</v>
      </c>
      <c r="N86" s="17"/>
      <c r="O86" s="18" t="str">
        <f>HYPERLINK("https://docs.google.com/spreadsheets/d/1NdHnrK5CAbqY61w9jTUM8aNVTlab9JML", "RE-67.71078229166666")</f>
        <v>RE-67.71078229166666</v>
      </c>
      <c r="P86" s="17"/>
      <c r="Q86" s="18" t="str">
        <f>HYPERLINK("https://docs.google.com/spreadsheets/d/1ZmYkmMff-rqsy2xzP2h2on0UG5s7NUnK", "RE-67.35577812499999")</f>
        <v>RE-67.35577812499999</v>
      </c>
      <c r="R86" s="17"/>
      <c r="S86" s="18" t="str">
        <f>HYPERLINK("https://docs.google.com/spreadsheets/d/1vbd0Npnm9othopIKbgpcOoYP0G0oUV-T", "RE-41.384357291666674")</f>
        <v>RE-41.384357291666674</v>
      </c>
      <c r="T86" s="17"/>
      <c r="U86" s="18" t="str">
        <f>HYPERLINK("https://docs.google.com/spreadsheets/d/1FQs0fc5wiY_HDCStnxVfB_-NgA7p1LNG", "RE-58.94592499999998")</f>
        <v>RE-58.94592499999998</v>
      </c>
      <c r="V86" s="18" t="str">
        <f>HYPERLINK("https://docs.google.com/spreadsheets/d/1DKim17H3ODuBrpEtlvrJvlA54Dhi9wOh", "RE-10.107058333333333")</f>
        <v>RE-10.107058333333333</v>
      </c>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row>
    <row r="87">
      <c r="A87" s="32" t="s">
        <v>7</v>
      </c>
      <c r="B87" s="32" t="s">
        <v>26</v>
      </c>
      <c r="C87" s="32" t="s">
        <v>12</v>
      </c>
      <c r="D87" s="16">
        <f t="shared" si="1"/>
        <v>2012.863876</v>
      </c>
      <c r="E87" s="17"/>
      <c r="F87" s="18" t="str">
        <f>HYPERLINK("https://docs.google.com/spreadsheets/d/1-gxoNYGn9sSWy-fAQaWqM5bOsFocVAiO", "RE-914.2734729166658")</f>
        <v>RE-914.2734729166658</v>
      </c>
      <c r="G87" s="18" t="str">
        <f>HYPERLINK("https://docs.google.com/spreadsheets/d/1z42LhD7OMCTIpD6clinAIDQa70uNO1fc", "RE-3.9150416666666668")</f>
        <v>RE-3.9150416666666668</v>
      </c>
      <c r="H87" s="18" t="str">
        <f>HYPERLINK("https://docs.google.com/spreadsheets/d/1rx5T1mqcXlBgOGnze0fbK4jq8QYgr2w4", "RE-88.5879145833334")</f>
        <v>RE-88.5879145833334</v>
      </c>
      <c r="I87" s="18" t="str">
        <f>HYPERLINK("https://docs.google.com/spreadsheets/d/1hkBEqeyFvVB_jqlhIY5HGCRVQKFlS2vF", "RE-0.0")</f>
        <v>RE-0.0</v>
      </c>
      <c r="J87" s="18" t="str">
        <f>HYPERLINK("https://docs.google.com/spreadsheets/d/17AhKmCZJ4rwhjfYSw1INmB2RPhTwazP8", "RE-1368.7663031249954")</f>
        <v>RE-1368.7663031249954</v>
      </c>
      <c r="K87" s="18" t="str">
        <f>HYPERLINK("https://docs.google.com/spreadsheets/d/1WLizDZLd-cQxvRvU71sv9EhSD23-ARsI", "RE-8.550872916666668")</f>
        <v>RE-8.550872916666668</v>
      </c>
      <c r="L87" s="18">
        <f>HYPERLINK("https://docs.google.com/spreadsheets/d/1dGAPJsH3XKQR4lZPCtCeKpp_ZiifgORm", 874.443505208335)</f>
        <v>874.4435052</v>
      </c>
      <c r="M87" s="18" t="str">
        <f>HYPERLINK("https://docs.google.com/spreadsheets/d/1skzrUkSkrrejkjVoFydX3sIpPjx1U9wX", "RE-23.21814583333332")</f>
        <v>RE-23.21814583333332</v>
      </c>
      <c r="N87" s="18" t="str">
        <f>HYPERLINK("https://docs.google.com/spreadsheets/d/1_vddNMlB26OMFpiLTd2B5W0qj8mjz8bM", "RE-512.386476041666")</f>
        <v>RE-512.386476041666</v>
      </c>
      <c r="O87" s="18" t="str">
        <f>HYPERLINK("https://docs.google.com/spreadsheets/d/1wIhPhbHqs2IABLXOftgy2Kwa9WkPg7f6", "RE-5.406567708333333")</f>
        <v>RE-5.406567708333333</v>
      </c>
      <c r="P87" s="18">
        <f>HYPERLINK("https://docs.google.com/spreadsheets/d/1gjSTWw6xxZxu4hswE_eVusaopcWJwEN-", 440.798360416667)</f>
        <v>440.7983604</v>
      </c>
      <c r="Q87" s="18" t="str">
        <f>HYPERLINK("https://docs.google.com/spreadsheets/d/1tYGV7LE7tStVDv9pFkTQReeBJQgux1TT", "RE-24.89220104166667")</f>
        <v>RE-24.89220104166667</v>
      </c>
      <c r="R87" s="18">
        <f>HYPERLINK("https://docs.google.com/spreadsheets/d/1yF8wYzASCVtD6i5I8pNQ_7ohBlTx4Uya", 153.142861458333)</f>
        <v>153.1428615</v>
      </c>
      <c r="S87" s="18" t="str">
        <f>HYPERLINK("https://docs.google.com/spreadsheets/d/1vI84wVx30EEpaAYOFGJ66SvcPjYiQUIM", "RE-22.25765416666668")</f>
        <v>RE-22.25765416666668</v>
      </c>
      <c r="T87" s="18">
        <f>HYPERLINK("https://docs.google.com/spreadsheets/d/13WbmJEmETJ-sPCShPE0mMu2GnUY9YsrS", 544.479148958334)</f>
        <v>544.479149</v>
      </c>
      <c r="U87" s="18" t="str">
        <f>HYPERLINK("https://docs.google.com/spreadsheets/d/1kA9horfoILOv4-lsWP02ciab7Gzc-G5N", "RE-30.412486458333333")</f>
        <v>RE-30.412486458333333</v>
      </c>
      <c r="V87" s="18" t="str">
        <f>HYPERLINK("https://docs.google.com/spreadsheets/d/1J_ngciMCmPFbqdRMQOMYDwbkKU4bIBnj", "RE-5.061860416666667")</f>
        <v>RE-5.061860416666667</v>
      </c>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row>
    <row r="88">
      <c r="A88" s="32" t="s">
        <v>7</v>
      </c>
      <c r="B88" s="32" t="s">
        <v>26</v>
      </c>
      <c r="C88" s="32" t="s">
        <v>13</v>
      </c>
      <c r="D88" s="16">
        <f t="shared" si="1"/>
        <v>1931.436</v>
      </c>
      <c r="E88" s="17"/>
      <c r="F88" s="18" t="str">
        <f>HYPERLINK("https://docs.google.com/spreadsheets/d/1mrh1-mznbmfC3fhxIqXEDxoWHkU5neBG?usp=share_link", "RE-888.512")</f>
        <v>RE-888.512</v>
      </c>
      <c r="G88" s="18" t="str">
        <f>HYPERLINK("https://docs.google.com/spreadsheets/d/1iThwQfw8Juj9mWZdAfF-7FPM9lyc2Lzb?usp=share_link", "RE-3.81845")</f>
        <v>RE-3.81845</v>
      </c>
      <c r="H88" s="18" t="str">
        <f>HYPERLINK("https://docs.google.com/spreadsheets/d/1Qkd3ywwuWwnl2M_50NwZLpQIO0u6PNLA?usp=share_link", "RE-86.3852")</f>
        <v>RE-86.3852</v>
      </c>
      <c r="I88" s="17"/>
      <c r="J88" s="18" t="str">
        <f>HYPERLINK("https://docs.google.com/spreadsheets/d/1s5mhXDjOJT0wv4QonHEGT1Z6frw4yt9R?usp=share_link", "RE-1328.25")</f>
        <v>RE-1328.25</v>
      </c>
      <c r="K88" s="18" t="str">
        <f>HYPERLINK("https://docs.google.com/spreadsheets/d/1HLy3MiTZeRUd2m-tUwNFpNjigATjswkt?usp=share_link", "RE-8.22075")</f>
        <v>RE-8.22075</v>
      </c>
      <c r="L88" s="18">
        <f>HYPERLINK("https://docs.google.com/spreadsheets/d/1eIyO12-pjSqMEc7b2YT0ybuIUf6x3KOW?usp=share_link", 836.137)</f>
        <v>836.137</v>
      </c>
      <c r="M88" s="18" t="str">
        <f>HYPERLINK("https://docs.google.com/spreadsheets/d/1EYTvZDOY3dGc8ahSv1LGFI0Vo-qkj_9S?usp=share_link", "RE-22.287")</f>
        <v>RE-22.287</v>
      </c>
      <c r="N88" s="18" t="str">
        <f>HYPERLINK("https://docs.google.com/spreadsheets/d/1VDe-EutEwceNNegeUA9RvKFE7bDLwqTN?usp=share_link", "RE-494.152")</f>
        <v>RE-494.152</v>
      </c>
      <c r="O88" s="18" t="str">
        <f>HYPERLINK("https://docs.google.com/spreadsheets/d/1y9mD6x7OFAcDvTJ3rSCKJz5n3h1hxLBV?usp=share_link", "RE-5.14537")</f>
        <v>RE-5.14537</v>
      </c>
      <c r="P88" s="18">
        <f>HYPERLINK("https://docs.google.com/spreadsheets/d/19dKZqIXKzQHYZ5h0NqJz3dRIdtXA2NZz?usp=share_link", 422.346)</f>
        <v>422.346</v>
      </c>
      <c r="Q88" s="18" t="str">
        <f>HYPERLINK("https://docs.google.com/spreadsheets/d/1xPRCrKyXattb7GOrQp5Wk4WRsczADeFG?usp=share_link", "RE-23.2586")</f>
        <v>RE-23.2586</v>
      </c>
      <c r="R88" s="18">
        <f>HYPERLINK("https://docs.google.com/spreadsheets/d/1SwzlgYQAPj6M5odbRBtABAr_6E3Wm_w5?usp=share_link", 147.597)</f>
        <v>147.597</v>
      </c>
      <c r="S88" s="18" t="str">
        <f>HYPERLINK("https://docs.google.com/spreadsheets/d/19WT3sW70gAlMRV_9JenpMpaiK9ygLPcT?usp=share_link", "RE-21.0245")</f>
        <v>RE-21.0245</v>
      </c>
      <c r="T88" s="18">
        <f>HYPERLINK("https://docs.google.com/spreadsheets/d/1FyGnVD8bNAmgmfWpSyqzeqUOdCvWYTrd?usp=share_link", 525.356)</f>
        <v>525.356</v>
      </c>
      <c r="U88" s="18" t="str">
        <f>HYPERLINK("https://docs.google.com/spreadsheets/d/1ZEW74LXSRhUMKU00tfI6eorn0U6nCu40?usp=share_link", "RE-28.7459")</f>
        <v>RE-28.7459</v>
      </c>
      <c r="V88" s="18" t="str">
        <f>HYPERLINK("https://docs.google.com/spreadsheets/d/1Ed_2qArlfPkfGvNm6cZFRIHgJs0zb5TS?usp=share_link", "RE-4.84513")</f>
        <v>RE-4.84513</v>
      </c>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row>
    <row r="89">
      <c r="A89" s="32" t="s">
        <v>7</v>
      </c>
      <c r="B89" s="32" t="s">
        <v>26</v>
      </c>
      <c r="C89" s="32" t="s">
        <v>14</v>
      </c>
      <c r="D89" s="16">
        <f t="shared" si="1"/>
        <v>1664.202</v>
      </c>
      <c r="E89" s="17"/>
      <c r="F89" s="18" t="str">
        <f>HYPERLINK("https://docs.google.com/spreadsheets/d/1C4WydxqbPzCBKu-hBJYfKyEjkNIfLNq8?usp=share_link", "RE-793.488")</f>
        <v>RE-793.488</v>
      </c>
      <c r="G89" s="18" t="str">
        <f>HYPERLINK("https://docs.google.com/spreadsheets/d/1cikC4fKMcN0KeGmKUnAAOQbjXvc7odxu?usp=share_link", "RE-3.59893")</f>
        <v>RE-3.59893</v>
      </c>
      <c r="H89" s="18" t="str">
        <f>HYPERLINK("https://docs.google.com/spreadsheets/d/1rGHL3GdK7PqLbGeAKelK6mWNevrRIk9y?usp=share_link", "RE-67.5783")</f>
        <v>RE-67.5783</v>
      </c>
      <c r="I89" s="17"/>
      <c r="J89" s="18" t="str">
        <f>HYPERLINK("https://docs.google.com/spreadsheets/d/1uPsx_NEMdnn5zVePfMg-2pudPmrOEKG0?usp=share_link", "RE-1207.17")</f>
        <v>RE-1207.17</v>
      </c>
      <c r="K89" s="18" t="str">
        <f>HYPERLINK("https://docs.google.com/spreadsheets/d/1PDZoQ5Vpzj602J6fKa8K3iKdxeJCT0_Y?usp=share_link", "RE-7.24398")</f>
        <v>RE-7.24398</v>
      </c>
      <c r="L89" s="18">
        <f>HYPERLINK("https://docs.google.com/spreadsheets/d/1eAAOgypYcrzU-aaJyN65RQLm3WmLOUCx?usp=share_link", 735.085)</f>
        <v>735.085</v>
      </c>
      <c r="M89" s="18" t="str">
        <f>HYPERLINK("https://docs.google.com/spreadsheets/d/1EeW-ZAP9ftUZhZV3vqDi0krIEhpEUfvK?usp=share_link", "RE-20.7261")</f>
        <v>RE-20.7261</v>
      </c>
      <c r="N89" s="18" t="str">
        <f>HYPERLINK("https://docs.google.com/spreadsheets/d/1Bs3lGWYfZdQ6JNHczrpy9lCfOb9XSzRA?usp=share_link", "RE-412")</f>
        <v>RE-412</v>
      </c>
      <c r="O89" s="18" t="str">
        <f>HYPERLINK("https://docs.google.com/spreadsheets/d/1fwcSZs6EyU95BLebYRgeeKVit1-ajpRx?usp=share_link", "RE-4.69033")</f>
        <v>RE-4.69033</v>
      </c>
      <c r="P89" s="18">
        <f>HYPERLINK("https://docs.google.com/spreadsheets/d/1FrPM2T0vi8TNEtqIxfmEai5gxLjSjrLi?usp=share_link", 353.352)</f>
        <v>353.352</v>
      </c>
      <c r="Q89" s="18" t="str">
        <f>HYPERLINK("https://docs.google.com/spreadsheets/d/1fFfCtETDAzslYKlv13_piu9Y7uM55kl-?usp=share_link", "RE-21.1439")</f>
        <v>RE-21.1439</v>
      </c>
      <c r="R89" s="18">
        <f>HYPERLINK("https://docs.google.com/spreadsheets/d/1yZ3ND9UWMWNXFNfHRRj5ctAxIeytPAmS?usp=share_link", 125.557)</f>
        <v>125.557</v>
      </c>
      <c r="S89" s="18" t="str">
        <f>HYPERLINK("https://docs.google.com/spreadsheets/d/1N06v4FQm3OySjKiVKJR4JFM5bLEF7BBc?usp=share_link", "RE-17.8978")</f>
        <v>RE-17.8978</v>
      </c>
      <c r="T89" s="18">
        <f>HYPERLINK("https://docs.google.com/spreadsheets/d/1XYYwJ8t_x2tPpjEtuXxlK3z7DpJYo_zv?usp=share_link", 450.208)</f>
        <v>450.208</v>
      </c>
      <c r="U89" s="18" t="str">
        <f>HYPERLINK("https://docs.google.com/spreadsheets/d/1Eb_Jzjgrb8x-OA5cdyPb6kGQzO0d0GxF?usp=share_link", "RE-25.9414")</f>
        <v>RE-25.9414</v>
      </c>
      <c r="V89" s="18" t="str">
        <f>HYPERLINK("https://docs.google.com/spreadsheets/d/1DMKIOaHzj3hBvKPrqbG5z7DtlNymxj2C?usp=share_link", "RE-4.73957")</f>
        <v>RE-4.73957</v>
      </c>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row>
    <row r="90">
      <c r="A90" s="27" t="s">
        <v>7</v>
      </c>
      <c r="B90" s="27" t="s">
        <v>26</v>
      </c>
      <c r="C90" s="27" t="s">
        <v>15</v>
      </c>
      <c r="D90" s="28">
        <f t="shared" si="1"/>
        <v>1931.187</v>
      </c>
      <c r="E90" s="33"/>
      <c r="F90" s="34" t="str">
        <f>HYPERLINK("https://docs.google.com/spreadsheets/d/11GRKL0bn0KarqyDbSWrF3BZ5lMasnzBB?usp=share_link", "RE-888.445")</f>
        <v>RE-888.445</v>
      </c>
      <c r="G90" s="34" t="str">
        <f>HYPERLINK("https://docs.google.com/spreadsheets/d/1jmVUemmGKA_y0cfG5eFunRBx4-6uzHFG?usp=share_link", "RE-3.81845")</f>
        <v>RE-3.81845</v>
      </c>
      <c r="H90" s="34" t="str">
        <f>HYPERLINK("https://docs.google.com/spreadsheets/d/1VzUXpyQM5i_8txCsB6y65FkvIdNhmA8R?usp=share_link", "RE-86.3852")</f>
        <v>RE-86.3852</v>
      </c>
      <c r="I90" s="33"/>
      <c r="J90" s="34" t="str">
        <f>HYPERLINK("https://docs.google.com/spreadsheets/d/1PPptu-VuwFbdRZ677WuG3bb-IYNlcaRD?usp=share_link", "RE-1328.25")</f>
        <v>RE-1328.25</v>
      </c>
      <c r="K90" s="34" t="str">
        <f>HYPERLINK("https://docs.google.com/spreadsheets/d/1d617aG_OozzjTMpkjv3GJKZtSTpybtey?usp=share_link", "RE-8.22075")</f>
        <v>RE-8.22075</v>
      </c>
      <c r="L90" s="34">
        <f>HYPERLINK("https://docs.google.com/spreadsheets/d/1Z0r1350Xkj5ajdWmObkSyxkU98NzzQEa?usp=share_link", 836.137)</f>
        <v>836.137</v>
      </c>
      <c r="M90" s="34" t="str">
        <f>HYPERLINK("https://docs.google.com/spreadsheets/d/1g5Jgj_JJm-Vqeaz5A2sgTDwgMIT6fj65?usp=share_link", "RE-22.287")</f>
        <v>RE-22.287</v>
      </c>
      <c r="N90" s="34" t="str">
        <f>HYPERLINK("https://docs.google.com/spreadsheets/d/1bZFMm3oGI2mb16PjplaUJMvu7bCEQ_i7?usp=share_link", "RE-494.152")</f>
        <v>RE-494.152</v>
      </c>
      <c r="O90" s="34" t="str">
        <f>HYPERLINK("https://docs.google.com/spreadsheets/d/1M9QaXUzQIYzO2eKGNZFmrO7uTbtbnLyP?usp=share_link", "RE-5.14537")</f>
        <v>RE-5.14537</v>
      </c>
      <c r="P90" s="34">
        <f>HYPERLINK("https://docs.google.com/spreadsheets/d/1NqR2lGDNFMxB6fhSsGtASX837Q_QGwFM?usp=share_link", 422.097)</f>
        <v>422.097</v>
      </c>
      <c r="Q90" s="34" t="str">
        <f>HYPERLINK("https://docs.google.com/spreadsheets/d/1kSVE8jJcofTC9ZFqkysKVB3AhMcT6JDY?usp=share_link", "RE-23.2586")</f>
        <v>RE-23.2586</v>
      </c>
      <c r="R90" s="34">
        <f>HYPERLINK("https://docs.google.com/spreadsheets/d/1oIbXASjxjSB7cpQP2kfMrzB2OFd7zxmk?usp=share_link", 147.597)</f>
        <v>147.597</v>
      </c>
      <c r="S90" s="34" t="str">
        <f>HYPERLINK("https://docs.google.com/spreadsheets/d/1uJAQFzaSbCocN-tnKEfrl5rHAvDQHiNC?usp=share_link", "RE-21.0245")</f>
        <v>RE-21.0245</v>
      </c>
      <c r="T90" s="34">
        <f>HYPERLINK("https://docs.google.com/spreadsheets/d/16cqnpkSEW5DfDlwTtu0OdXr0wk7IwRTO?usp=share_link", 525.356)</f>
        <v>525.356</v>
      </c>
      <c r="U90" s="34" t="str">
        <f>HYPERLINK("https://docs.google.com/spreadsheets/d/1kErapNOYaCinDHmqqDVbV4NSGh0a0KNP?usp=share_link", "RE-28.7459")</f>
        <v>RE-28.7459</v>
      </c>
      <c r="V90" s="34" t="str">
        <f>HYPERLINK("https://docs.google.com/spreadsheets/d/1ON-65azrqizQnzS_bsH1JULNpXwLrGV1?usp=share_link", "RE-4.84513")</f>
        <v>RE-4.84513</v>
      </c>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c r="FG90" s="33"/>
      <c r="FH90" s="33"/>
    </row>
    <row r="91">
      <c r="A91" s="30" t="s">
        <v>7</v>
      </c>
      <c r="B91" s="30" t="s">
        <v>27</v>
      </c>
      <c r="C91" s="31" t="str">
        <f>HYPERLINK("https://docs.google.com/spreadsheets/d/1y288szr4m6HDHfDLv533YCEtepg39dTJ/edit?usp=share_link&amp;ouid=106501987799020758802&amp;rtpof=true&amp;sd=true", "Raw Delivered")</f>
        <v>Raw Delivered</v>
      </c>
      <c r="D91" s="12">
        <f t="shared" si="1"/>
        <v>7841.431757</v>
      </c>
      <c r="E91" s="13"/>
      <c r="F91" s="14">
        <f>HYPERLINK("https://docs.google.com/spreadsheets/d/1w3SU3wPnzD5duZNABt19cSov6i_69tRt", 686.988290624998)</f>
        <v>686.9882906</v>
      </c>
      <c r="G91" s="13"/>
      <c r="H91" s="14">
        <f>HYPERLINK("https://docs.google.com/spreadsheets/d/1AJ3UAv3rymYhWXz7nbXFiY_BYzz_-ivW", 94.8953604166667)</f>
        <v>94.89536042</v>
      </c>
      <c r="I91" s="13"/>
      <c r="J91" s="14">
        <f>HYPERLINK("https://docs.google.com/spreadsheets/d/18wto6Zaxy4r8t4AEKUYpQaiNHzlbAGY3", 2330.03150729166)</f>
        <v>2330.031507</v>
      </c>
      <c r="K91" s="13"/>
      <c r="L91" s="14">
        <f t="shared" ref="L91:L92" si="46">HYPERLINK("https://docs.google.com/spreadsheets/d/1Y_cruj0ZI8UsZ-ttrODuG8krszN5Zg1K", 856.120454166666)</f>
        <v>856.1204542</v>
      </c>
      <c r="M91" s="13"/>
      <c r="N91" s="14">
        <f>HYPERLINK("https://docs.google.com/spreadsheets/d/1RW2zMGtJBp3cBaV0GuckU83F5GQ87lDd", 2112.07232187499)</f>
        <v>2112.072322</v>
      </c>
      <c r="O91" s="13"/>
      <c r="P91" s="14">
        <f t="shared" ref="P91:P92" si="47">HYPERLINK("https://docs.google.com/spreadsheets/d/1I6z_oFXAWERnh3VrkcDR2u1fCgf3RcTI", 548.754153124999)</f>
        <v>548.7541531</v>
      </c>
      <c r="Q91" s="13"/>
      <c r="R91" s="14">
        <f t="shared" ref="R91:R92" si="48">HYPERLINK("https://docs.google.com/spreadsheets/d/1SZUGMuCi3QqvKTo20FxrQDjLfqTX01Cu", 308.521833333333)</f>
        <v>308.5218333</v>
      </c>
      <c r="S91" s="13"/>
      <c r="T91" s="14">
        <f t="shared" ref="T91:T92" si="49">HYPERLINK("https://docs.google.com/spreadsheets/d/1c8A3NX0YWU5IMb6Tu80s1-zdq97ckbxz", 904.047836458333)</f>
        <v>904.0478365</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row>
    <row r="92">
      <c r="A92" s="32" t="s">
        <v>7</v>
      </c>
      <c r="B92" s="32" t="s">
        <v>27</v>
      </c>
      <c r="C92" s="32" t="s">
        <v>9</v>
      </c>
      <c r="D92" s="16">
        <f t="shared" si="1"/>
        <v>2617.444277</v>
      </c>
      <c r="E92" s="17"/>
      <c r="F92" s="18" t="str">
        <f>HYPERLINK("https://docs.google.com/spreadsheets/d/1w3SU3wPnzD5duZNABt19cSov6i_69tRt", "RE-686.9882906249986")</f>
        <v>RE-686.9882906249986</v>
      </c>
      <c r="G92" s="17"/>
      <c r="H92" s="18" t="str">
        <f>HYPERLINK("https://docs.google.com/spreadsheets/d/1AJ3UAv3rymYhWXz7nbXFiY_BYzz_-ivW", "RE-94.8953604166667")</f>
        <v>RE-94.8953604166667</v>
      </c>
      <c r="I92" s="17"/>
      <c r="J92" s="18" t="str">
        <f>HYPERLINK("https://docs.google.com/spreadsheets/d/18wto6Zaxy4r8t4AEKUYpQaiNHzlbAGY3", "RE-2330.031507291667")</f>
        <v>RE-2330.031507291667</v>
      </c>
      <c r="K92" s="17"/>
      <c r="L92" s="18">
        <f t="shared" si="46"/>
        <v>856.1204542</v>
      </c>
      <c r="M92" s="17"/>
      <c r="N92" s="18" t="str">
        <f>HYPERLINK("https://docs.google.com/spreadsheets/d/1RW2zMGtJBp3cBaV0GuckU83F5GQ87lDd", "RE-2112.0723218749945")</f>
        <v>RE-2112.0723218749945</v>
      </c>
      <c r="O92" s="17"/>
      <c r="P92" s="18">
        <f t="shared" si="47"/>
        <v>548.7541531</v>
      </c>
      <c r="Q92" s="17"/>
      <c r="R92" s="18">
        <f t="shared" si="48"/>
        <v>308.5218333</v>
      </c>
      <c r="S92" s="17"/>
      <c r="T92" s="18">
        <f t="shared" si="49"/>
        <v>904.0478365</v>
      </c>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row>
    <row r="93">
      <c r="A93" s="32" t="s">
        <v>7</v>
      </c>
      <c r="B93" s="32" t="s">
        <v>27</v>
      </c>
      <c r="C93" s="32" t="s">
        <v>10</v>
      </c>
      <c r="D93" s="16">
        <f t="shared" si="1"/>
        <v>772.2406729</v>
      </c>
      <c r="E93" s="17"/>
      <c r="F93" s="17"/>
      <c r="G93" s="18">
        <f>HYPERLINK("https://docs.google.com/spreadsheets/d/1QnBQT4WiCut0dH1pPB2naLVEvkQUHSRD", 53.8909145833333)</f>
        <v>53.89091458</v>
      </c>
      <c r="H93" s="17"/>
      <c r="I93" s="18">
        <f>HYPERLINK("https://docs.google.com/spreadsheets/d/18XjsCZICaM5c2em4FLu27c1CrACJQb7w", 9.65708958333333)</f>
        <v>9.657089583</v>
      </c>
      <c r="J93" s="17"/>
      <c r="K93" s="18">
        <f>HYPERLINK("https://docs.google.com/spreadsheets/d/13rfBQrNTJfjLPlupEXZ8xl1VXnEpCkRx", 182.898084374999)</f>
        <v>182.8980844</v>
      </c>
      <c r="L93" s="17"/>
      <c r="M93" s="18">
        <f>HYPERLINK("https://docs.google.com/spreadsheets/d/1iTtPQmv5rSaArfJUglxNfsgENB_VN65l", 26.4767885416666)</f>
        <v>26.47678854</v>
      </c>
      <c r="N93" s="17"/>
      <c r="O93" s="18">
        <f>HYPERLINK("https://docs.google.com/spreadsheets/d/1EEYH6r1eCZ_vapu0AlgjRBvbPGZZBA14", 193.790767708333)</f>
        <v>193.7907677</v>
      </c>
      <c r="P93" s="17"/>
      <c r="Q93" s="18">
        <f>HYPERLINK("https://docs.google.com/spreadsheets/d/1Way_5u3LoBMcKmHTfah6yw8ln74dyFGS", 120.036864583333)</f>
        <v>120.0368646</v>
      </c>
      <c r="R93" s="17"/>
      <c r="S93" s="18">
        <f>HYPERLINK("https://docs.google.com/spreadsheets/d/1heRwwZ6WOsxbKShcdq12OStBreBItza2", 40.923590625)</f>
        <v>40.92359063</v>
      </c>
      <c r="T93" s="17"/>
      <c r="U93" s="18">
        <f>HYPERLINK("https://docs.google.com/spreadsheets/d/1A_Xk-yjLj1WgU9jSfGy07aR2cerJfCX0", 139.019083333333)</f>
        <v>139.0190833</v>
      </c>
      <c r="V93" s="18">
        <f>HYPERLINK("https://docs.google.com/spreadsheets/d/14uzdcAhP2mx3Y4oyOW4QlweeKbbhk-CI", 5.54748958333333)</f>
        <v>5.547489583</v>
      </c>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row>
    <row r="94">
      <c r="A94" s="32" t="s">
        <v>7</v>
      </c>
      <c r="B94" s="32" t="s">
        <v>27</v>
      </c>
      <c r="C94" s="32" t="s">
        <v>11</v>
      </c>
      <c r="D94" s="16">
        <f t="shared" si="1"/>
        <v>0</v>
      </c>
      <c r="E94" s="17"/>
      <c r="F94" s="17"/>
      <c r="G94" s="18" t="str">
        <f>HYPERLINK("https://docs.google.com/spreadsheets/d/1QnBQT4WiCut0dH1pPB2naLVEvkQUHSRD", "RE-53.890914583333334")</f>
        <v>RE-53.890914583333334</v>
      </c>
      <c r="H94" s="17"/>
      <c r="I94" s="18" t="str">
        <f>HYPERLINK("https://docs.google.com/spreadsheets/d/18XjsCZICaM5c2em4FLu27c1CrACJQb7w", "RE-9.657089583333335")</f>
        <v>RE-9.657089583333335</v>
      </c>
      <c r="J94" s="17"/>
      <c r="K94" s="18" t="str">
        <f>HYPERLINK("https://docs.google.com/spreadsheets/d/13rfBQrNTJfjLPlupEXZ8xl1VXnEpCkRx", "RE-182.8980843749998")</f>
        <v>RE-182.8980843749998</v>
      </c>
      <c r="L94" s="17"/>
      <c r="M94" s="18" t="str">
        <f>HYPERLINK("https://docs.google.com/spreadsheets/d/1iTtPQmv5rSaArfJUglxNfsgENB_VN65l", "RE-26.47678854166666")</f>
        <v>RE-26.47678854166666</v>
      </c>
      <c r="N94" s="17"/>
      <c r="O94" s="18" t="str">
        <f>HYPERLINK("https://docs.google.com/spreadsheets/d/1EEYH6r1eCZ_vapu0AlgjRBvbPGZZBA14", "RE-193.79076770833328")</f>
        <v>RE-193.79076770833328</v>
      </c>
      <c r="P94" s="17"/>
      <c r="Q94" s="18" t="str">
        <f>HYPERLINK("https://docs.google.com/spreadsheets/d/1Way_5u3LoBMcKmHTfah6yw8ln74dyFGS", "RE-120.03686458333338")</f>
        <v>RE-120.03686458333338</v>
      </c>
      <c r="R94" s="17"/>
      <c r="S94" s="18" t="str">
        <f>HYPERLINK("https://docs.google.com/spreadsheets/d/1heRwwZ6WOsxbKShcdq12OStBreBItza2", "RE-40.923590625")</f>
        <v>RE-40.923590625</v>
      </c>
      <c r="T94" s="17"/>
      <c r="U94" s="18" t="str">
        <f>HYPERLINK("https://docs.google.com/spreadsheets/d/1A_Xk-yjLj1WgU9jSfGy07aR2cerJfCX0", "RE-139.0190833333332")</f>
        <v>RE-139.0190833333332</v>
      </c>
      <c r="V94" s="18" t="str">
        <f>HYPERLINK("https://docs.google.com/spreadsheets/d/14uzdcAhP2mx3Y4oyOW4QlweeKbbhk-CI", "RE-5.547489583333333")</f>
        <v>RE-5.547489583333333</v>
      </c>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row>
    <row r="95">
      <c r="A95" s="32" t="s">
        <v>7</v>
      </c>
      <c r="B95" s="32" t="s">
        <v>27</v>
      </c>
      <c r="C95" s="32" t="s">
        <v>12</v>
      </c>
      <c r="D95" s="16">
        <f t="shared" si="1"/>
        <v>2445.950806</v>
      </c>
      <c r="E95" s="17"/>
      <c r="F95" s="18" t="str">
        <f>HYPERLINK("https://docs.google.com/spreadsheets/d/180OfyThL038nTeJqxKRL_KtV2huPxnY0", "RE-577.1304156250004")</f>
        <v>RE-577.1304156250004</v>
      </c>
      <c r="G95" s="18" t="str">
        <f>HYPERLINK("https://docs.google.com/spreadsheets/d/1NGkXBeRKRGn66bcwfttJJuYZKuzoBI-R", "RE-2.828516666666667")</f>
        <v>RE-2.828516666666667</v>
      </c>
      <c r="H95" s="18" t="str">
        <f>HYPERLINK("https://docs.google.com/spreadsheets/d/1Fl84u3gMKgRByL4u0V9frmxqSj14FDty", "RE-82.29285208333339")</f>
        <v>RE-82.29285208333339</v>
      </c>
      <c r="I95" s="18" t="str">
        <f>HYPERLINK("https://docs.google.com/spreadsheets/d/10B_NQyJIy-kmQ1gzaBesntVJs-oNd3yW", "RE-0.0")</f>
        <v>RE-0.0</v>
      </c>
      <c r="J95" s="18" t="str">
        <f>HYPERLINK("https://docs.google.com/spreadsheets/d/1vhNLpcpw3VCBJGH_8RxjwT1RHd9cwoAf", "RE-1878.107598958336")</f>
        <v>RE-1878.107598958336</v>
      </c>
      <c r="K95" s="18" t="str">
        <f>HYPERLINK("https://docs.google.com/spreadsheets/d/1uNkEvXjP4-eQBhBt8AUWjb8B9qMFNw44", "RE-5.923104166666665")</f>
        <v>RE-5.923104166666665</v>
      </c>
      <c r="L95" s="18">
        <f>HYPERLINK("https://docs.google.com/spreadsheets/d/1y3CIW5wWCg9L05ZSATIs_0xFN84P5A3a", 772.670346874999)</f>
        <v>772.6703469</v>
      </c>
      <c r="M95" s="18" t="str">
        <f>HYPERLINK("https://docs.google.com/spreadsheets/d/1WTx_Sk6uIKyFcvIRDd3c0od6ZFyZc0e8", "RE-7.484681249999998")</f>
        <v>RE-7.484681249999998</v>
      </c>
      <c r="N95" s="18" t="str">
        <f>HYPERLINK("https://docs.google.com/spreadsheets/d/1ILJNkI26VDCWRxO_gYyQ94ioegtIzjct", "RE-1319.2181729166598")</f>
        <v>RE-1319.2181729166598</v>
      </c>
      <c r="O95" s="18" t="str">
        <f>HYPERLINK("https://docs.google.com/spreadsheets/d/1_sk9zTrMr5mFvv6_2Rw3byaEqfll-Wt2", "RE-13.285262500000004")</f>
        <v>RE-13.285262500000004</v>
      </c>
      <c r="P95" s="18">
        <f>HYPERLINK("https://docs.google.com/spreadsheets/d/1Hit7a7FVcjNUYyM7bGLISX_WNPAu73Kj", 502.038935416666)</f>
        <v>502.0389354</v>
      </c>
      <c r="Q95" s="18" t="str">
        <f>HYPERLINK("https://docs.google.com/spreadsheets/d/1ppejjhoDSJpt2pf0CmwLPzhNWLhOQ-N4", "RE-36.90562291666664")</f>
        <v>RE-36.90562291666664</v>
      </c>
      <c r="R95" s="18">
        <f>HYPERLINK("https://docs.google.com/spreadsheets/d/1gHo-s0fzM6ASbiBDBHbLfTWggaVH-wga", 290.055185416666)</f>
        <v>290.0551854</v>
      </c>
      <c r="S95" s="18" t="str">
        <f>HYPERLINK("https://docs.google.com/spreadsheets/d/1NedWOA9ToLGOsq37HIpprs5-Z9_VpMT6", "RE-18.861227083333336")</f>
        <v>RE-18.861227083333336</v>
      </c>
      <c r="T95" s="18">
        <f>HYPERLINK("https://docs.google.com/spreadsheets/d/1nZ-_HrkSJmuVi9q2oLabqaOAeAf4VzSv", 881.186338541666)</f>
        <v>881.1863385</v>
      </c>
      <c r="U95" s="18" t="str">
        <f>HYPERLINK("https://docs.google.com/spreadsheets/d/1QMijcSftEymsP6n58ZNNzjsOutdRDpBX", "RE-74.56847187499996")</f>
        <v>RE-74.56847187499996</v>
      </c>
      <c r="V95" s="18" t="str">
        <f>HYPERLINK("https://docs.google.com/spreadsheets/d/1fiBnbFpDP2V-cYXnKsWhg9Ch-TIRTOPW", "RE-1.8324458333333333")</f>
        <v>RE-1.8324458333333333</v>
      </c>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row>
    <row r="96">
      <c r="A96" s="32" t="s">
        <v>7</v>
      </c>
      <c r="B96" s="32" t="s">
        <v>27</v>
      </c>
      <c r="C96" s="32" t="s">
        <v>13</v>
      </c>
      <c r="D96" s="16">
        <f t="shared" si="1"/>
        <v>2344.852</v>
      </c>
      <c r="E96" s="17"/>
      <c r="F96" s="18" t="str">
        <f>HYPERLINK("https://docs.google.com/spreadsheets/d/1Y0NzHNfDCz0NgW9KK7nxrYUG_f5TqaOI?usp=share_link", "RE-561.285")</f>
        <v>RE-561.285</v>
      </c>
      <c r="G96" s="18" t="str">
        <f>HYPERLINK("https://docs.google.com/spreadsheets/d/1_ZmAtzckBXS0ljWld-q_jRyt8Wdzgfkm?usp=share_link", "RE-2.7049")</f>
        <v>RE-2.7049</v>
      </c>
      <c r="H96" s="18" t="str">
        <f>HYPERLINK("https://docs.google.com/spreadsheets/d/1t1T9QYM98LrEtoZ53gO-V1n34PK96D4B?usp=share_link", "RE-78.699")</f>
        <v>RE-78.699</v>
      </c>
      <c r="I96" s="17"/>
      <c r="J96" s="18" t="str">
        <f>HYPERLINK("https://docs.google.com/spreadsheets/d/1npPpiaY5Zd4Txgy6Fvizo3r6JcGJDjmw?usp=share_link", "RE-1812.6")</f>
        <v>RE-1812.6</v>
      </c>
      <c r="K96" s="18" t="str">
        <f>HYPERLINK("https://docs.google.com/spreadsheets/d/1QOa4sKPL58RfhhWR8WHQZVjk-eozmljd?usp=share_link", "RE-5.6559")</f>
        <v>RE-5.6559</v>
      </c>
      <c r="L96" s="18">
        <f>HYPERLINK("https://docs.google.com/spreadsheets/d/1462-w0vDHK5XvZoplJarsiXOWR-Leq7e?usp=share_link", 736.278)</f>
        <v>736.278</v>
      </c>
      <c r="M96" s="18" t="str">
        <f>HYPERLINK("https://docs.google.com/spreadsheets/d/1xctxt1naiBbDlsOiNcBUwAP-hHiEjvdI?usp=share_link", "RE-6.86202")</f>
        <v>RE-6.86202</v>
      </c>
      <c r="N96" s="18" t="str">
        <f>HYPERLINK("https://docs.google.com/spreadsheets/d/1pUUIFvoVndBRNQq5yUwSuC3vyPT_VxyT?usp=share_link", "RE-1266.69")</f>
        <v>RE-1266.69</v>
      </c>
      <c r="O96" s="18" t="str">
        <f>HYPERLINK("https://docs.google.com/spreadsheets/d/1GQVgFfHw650uomxCc6WAeNcTRR0vAtin?usp=share_link", "RE-12.6852")</f>
        <v>RE-12.6852</v>
      </c>
      <c r="P96" s="18">
        <f>HYPERLINK("https://docs.google.com/spreadsheets/d/1Wh1cOCKHl3ZxRGJcHKGzmsKnFDENZeJ-?usp=share_link", 478.887)</f>
        <v>478.887</v>
      </c>
      <c r="Q96" s="18" t="str">
        <f>HYPERLINK("https://docs.google.com/spreadsheets/d/1qqaUUzfIHLPUwVuJfPtd3jB1P6PdSRJ4?usp=share_link", "RE-35.2685")</f>
        <v>RE-35.2685</v>
      </c>
      <c r="R96" s="18">
        <f>HYPERLINK("https://docs.google.com/spreadsheets/d/16fonP-0I9BSiI_z3eqnb3HMs_-u_32QK?usp=share_link", 277.959)</f>
        <v>277.959</v>
      </c>
      <c r="S96" s="18" t="str">
        <f>HYPERLINK("https://docs.google.com/spreadsheets/d/16WSGtj3bXiiI7Popfx-bBUf0ISDdTgLU?usp=share_link", "RE-17.8602")</f>
        <v>RE-17.8602</v>
      </c>
      <c r="T96" s="18">
        <f>HYPERLINK("https://docs.google.com/spreadsheets/d/1MnEC_IiiPX3W43Ttx_IfUsgarKl4r3cd?usp=share_link", 851.728)</f>
        <v>851.728</v>
      </c>
      <c r="U96" s="18" t="str">
        <f>HYPERLINK("https://docs.google.com/spreadsheets/d/1qfcottwp0vnkzeu1lCyXz0FiDF3nbSon?usp=share_link", "RE-71.7461")</f>
        <v>RE-71.7461</v>
      </c>
      <c r="V96" s="18" t="str">
        <f>HYPERLINK("https://docs.google.com/spreadsheets/d/1qrnCp0WxAOKrKOXAAHEiXMiSr1G631DM?usp=share_link", "RE-1.69707")</f>
        <v>RE-1.69707</v>
      </c>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row>
    <row r="97">
      <c r="A97" s="32" t="s">
        <v>7</v>
      </c>
      <c r="B97" s="32" t="s">
        <v>27</v>
      </c>
      <c r="C97" s="32" t="s">
        <v>14</v>
      </c>
      <c r="D97" s="16">
        <f t="shared" si="1"/>
        <v>1989.129</v>
      </c>
      <c r="E97" s="17"/>
      <c r="F97" s="18" t="str">
        <f>HYPERLINK("https://docs.google.com/spreadsheets/d/18R7KuVoR5L4zRU8obE3Zk6RvP6DDrZD8?usp=share_link", "RE-516.292")</f>
        <v>RE-516.292</v>
      </c>
      <c r="G97" s="18" t="str">
        <f>HYPERLINK("https://docs.google.com/spreadsheets/d/1RsFgk39V6Dz5HdWT8XzJpSllWQrQpPab?usp=share_link", "RE-2.7049")</f>
        <v>RE-2.7049</v>
      </c>
      <c r="H97" s="18" t="str">
        <f>HYPERLINK("https://docs.google.com/spreadsheets/d/1TMBmBF1k9EhmsgqIHrrLYdkX5OOHVFsx?usp=share_link", "RE-71.381")</f>
        <v>RE-71.381</v>
      </c>
      <c r="I97" s="17"/>
      <c r="J97" s="18" t="str">
        <f>HYPERLINK("https://docs.google.com/spreadsheets/d/1HlUzRF2VpzHiKuzfqFt3gjPjZwDxMRli?usp=share_link", "RE-1677.46")</f>
        <v>RE-1677.46</v>
      </c>
      <c r="K97" s="18" t="str">
        <f>HYPERLINK("https://docs.google.com/spreadsheets/d/15SPVx2bjscl47JhOpoOgArXyA9MFemc9?usp=share_link", "RE-5.09393")</f>
        <v>RE-5.09393</v>
      </c>
      <c r="L97" s="18">
        <f>HYPERLINK("https://docs.google.com/spreadsheets/d/1oig7H_Yb_yMNr3_in4aHLPrNnH9ZL8yf?usp=share_link", 636.202)</f>
        <v>636.202</v>
      </c>
      <c r="M97" s="18" t="str">
        <f>HYPERLINK("https://docs.google.com/spreadsheets/d/1ZpOnOcYrGUXB31PWbvOBomv-kW1q-WHT?usp=share_link", "RE-6.21215")</f>
        <v>RE-6.21215</v>
      </c>
      <c r="N97" s="18" t="str">
        <f>HYPERLINK("https://docs.google.com/spreadsheets/d/1Bi16PP8AdjGfFGJ-_n_jw1JLFkkxTX4f?usp=share_link", "RE-1087.46")</f>
        <v>RE-1087.46</v>
      </c>
      <c r="O97" s="18" t="str">
        <f>HYPERLINK("https://docs.google.com/spreadsheets/d/126MIjLC8q4cp6EaBG4OIkgTKlvP5Ya2q?usp=share_link", "RE-12.0354")</f>
        <v>RE-12.0354</v>
      </c>
      <c r="P97" s="18">
        <f>HYPERLINK("https://docs.google.com/spreadsheets/d/1SkHp-nZ5k7HdxmueU4y4HcD91g2xxYvv?usp=share_link", 405.534)</f>
        <v>405.534</v>
      </c>
      <c r="Q97" s="18" t="str">
        <f>HYPERLINK("https://docs.google.com/spreadsheets/d/1mID0NTGpEBFoElfKJR8Pub7PCVh1W4pl?usp=share_link", "RE-31.8519")</f>
        <v>RE-31.8519</v>
      </c>
      <c r="R97" s="18">
        <f>HYPERLINK("https://docs.google.com/spreadsheets/d/1Hdj_H9OkKZ8K0x8_5SJNSz_ZPnFtTOd9?usp=share_link", 230.818)</f>
        <v>230.818</v>
      </c>
      <c r="S97" s="18" t="str">
        <f>HYPERLINK("https://docs.google.com/spreadsheets/d/1b8IhgwCsO8JAEQKY1NCpoNHRcQtyRoCo?usp=share_link", "RE-15.9557")</f>
        <v>RE-15.9557</v>
      </c>
      <c r="T97" s="18">
        <f>HYPERLINK("https://docs.google.com/spreadsheets/d/1VCiJamoXZxjqDUKpgUvz6V81TMndtZ7m?usp=share_link", 716.575)</f>
        <v>716.575</v>
      </c>
      <c r="U97" s="18" t="str">
        <f>HYPERLINK("https://docs.google.com/spreadsheets/d/1WM9yPOz2c0iDyQOa69V2uRZQnewaZO42?usp=share_link", "RE-61.8492")</f>
        <v>RE-61.8492</v>
      </c>
      <c r="V97" s="18" t="str">
        <f>HYPERLINK("https://docs.google.com/spreadsheets/d/1F0-bPF3bgzwxPhppV_0IsKwIZQLZFW3s?usp=share_link", "RE-1.28423")</f>
        <v>RE-1.28423</v>
      </c>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row>
    <row r="98">
      <c r="A98" s="27" t="s">
        <v>7</v>
      </c>
      <c r="B98" s="27" t="s">
        <v>27</v>
      </c>
      <c r="C98" s="27" t="s">
        <v>15</v>
      </c>
      <c r="D98" s="28">
        <f t="shared" si="1"/>
        <v>2344.197</v>
      </c>
      <c r="E98" s="33"/>
      <c r="F98" s="34" t="str">
        <f>HYPERLINK("https://docs.google.com/spreadsheets/d/1po4qi-b-9BY-5Xkc_2RCuvfiMnXTQ29G?usp=share_link", "RE-559.912")</f>
        <v>RE-559.912</v>
      </c>
      <c r="G98" s="34" t="str">
        <f>HYPERLINK("https://docs.google.com/spreadsheets/d/1_EBkQhLA_3wkgZM4p26pQ1sFvt8SIBIn?usp=share_link", "RE-2.7049")</f>
        <v>RE-2.7049</v>
      </c>
      <c r="H98" s="34" t="str">
        <f>HYPERLINK("https://docs.google.com/spreadsheets/d/1k-3Ag1LVjJUdsAhSRlJ-q_q52FPv9Z7q?usp=share_link", "RE-78.699")</f>
        <v>RE-78.699</v>
      </c>
      <c r="I98" s="33"/>
      <c r="J98" s="34" t="str">
        <f>HYPERLINK("https://docs.google.com/spreadsheets/d/1hIqORGCBoRQ-YOsPPhywSH3muU0mW_zB?usp=share_link", "RE-1812.6")</f>
        <v>RE-1812.6</v>
      </c>
      <c r="K98" s="34" t="str">
        <f>HYPERLINK("https://docs.google.com/spreadsheets/d/1Cczc1LBXVxza_j12byuOl7wgWPZkDKX_?usp=share_link", "RE-5.6559")</f>
        <v>RE-5.6559</v>
      </c>
      <c r="L98" s="34">
        <f>HYPERLINK("https://docs.google.com/spreadsheets/d/1c4MPKRP3GW7jIK-dtqkCl7l68msATlRj?usp=share_link", 736.278)</f>
        <v>736.278</v>
      </c>
      <c r="M98" s="34" t="str">
        <f>HYPERLINK("https://docs.google.com/spreadsheets/d/1tzo3oYtKiwxNbgLFKqQSQFvg49vXin8M?usp=share_link", "RE-6.86202")</f>
        <v>RE-6.86202</v>
      </c>
      <c r="N98" s="34" t="str">
        <f>HYPERLINK("https://docs.google.com/spreadsheets/d/1I8qMV5WPEAF1yUeBwOKGZoMHKV1isMFp?usp=share_link", "RE-1266.69")</f>
        <v>RE-1266.69</v>
      </c>
      <c r="O98" s="34" t="str">
        <f>HYPERLINK("https://docs.google.com/spreadsheets/d/1DF1zBR1djV87JmzMjWtBlWD302EPOjfH?usp=share_link", "RE-12.6407")</f>
        <v>RE-12.6407</v>
      </c>
      <c r="P98" s="34">
        <f>HYPERLINK("https://docs.google.com/spreadsheets/d/13kSX14YoeIbibe2A73RNUnNNZPi_b1U7?usp=share_link", 478.632)</f>
        <v>478.632</v>
      </c>
      <c r="Q98" s="34" t="str">
        <f>HYPERLINK("https://docs.google.com/spreadsheets/d/13IqXZESUPVQi6yc76HsNGHU-33kjj3pz?usp=share_link", "RE-35.2571")</f>
        <v>RE-35.2571</v>
      </c>
      <c r="R98" s="34">
        <f>HYPERLINK("https://docs.google.com/spreadsheets/d/112Kum5VYimSCDYoCzoO_7QyAXMh_AB3_?usp=share_link", 277.673)</f>
        <v>277.673</v>
      </c>
      <c r="S98" s="34" t="str">
        <f>HYPERLINK("https://docs.google.com/spreadsheets/d/1IaVGp3cThSMd2Zg7Kvyn3Xh89h-sUyCJ?usp=share_link", "RE-17.8474")</f>
        <v>RE-17.8474</v>
      </c>
      <c r="T98" s="34">
        <f>HYPERLINK("https://docs.google.com/spreadsheets/d/1QVW6VXYAn5OmldqIDhwYlNO3wC0ayNmp?usp=share_link", 851.614)</f>
        <v>851.614</v>
      </c>
      <c r="U98" s="34" t="str">
        <f>HYPERLINK("https://docs.google.com/spreadsheets/d/1RZi5MA-VI7g4mr5xqijx_-8elCswNwrB?usp=share_link", "RE-71.7461")</f>
        <v>RE-71.7461</v>
      </c>
      <c r="V98" s="34" t="str">
        <f>HYPERLINK("https://docs.google.com/spreadsheets/d/1jJD9JVm0BzS5rTixrjyVXzo7XS3KeXRT?usp=share_link", "RE-1.69707")</f>
        <v>RE-1.69707</v>
      </c>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c r="FG98" s="33"/>
      <c r="FH98" s="33"/>
    </row>
    <row r="99">
      <c r="A99" s="30" t="s">
        <v>28</v>
      </c>
      <c r="B99" s="30" t="s">
        <v>29</v>
      </c>
      <c r="C99" s="31" t="str">
        <f>HYPERLINK("https://docs.google.com/spreadsheets/d/1U1xyg2MIUwQnCMze_5IjLW6eOF-KHowg/edit?usp=share_link&amp;ouid=106501987799020758802&amp;rtpof=true&amp;sd=true", "Raw Delivered")</f>
        <v>Raw Delivered</v>
      </c>
      <c r="D99" s="12">
        <f t="shared" si="1"/>
        <v>6710.351464</v>
      </c>
      <c r="E99" s="13"/>
      <c r="F99" s="14">
        <f>HYPERLINK("https://docs.google.com/spreadsheets/d/18E_TkfP1vMDiflWmzFnM5WrSD8D957l6", 1191.69682083333)</f>
        <v>1191.696821</v>
      </c>
      <c r="G99" s="13"/>
      <c r="H99" s="14">
        <f>HYPERLINK("https://docs.google.com/spreadsheets/d/1CxzQGb_kz9r-r5hxiHjyIpqHwrm0gmP_", 194.743191666666)</f>
        <v>194.7431917</v>
      </c>
      <c r="I99" s="13"/>
      <c r="J99" s="14">
        <f>HYPERLINK("https://docs.google.com/spreadsheets/d/1S8ZsrnfL1yDnWQvNGluSTmba5D9O4RfC", 101.52005625)</f>
        <v>101.5200563</v>
      </c>
      <c r="K99" s="13"/>
      <c r="L99" s="14">
        <f t="shared" ref="L99:L100" si="50">HYPERLINK("https://docs.google.com/spreadsheets/d/1UQEPcBnyGljaO-UoHRun9Iu4NvohsJzs", 586.329124999999)</f>
        <v>586.329125</v>
      </c>
      <c r="M99" s="13"/>
      <c r="N99" s="14">
        <f>HYPERLINK("https://docs.google.com/spreadsheets/d/1DqdDnIbG-V5U6PvD_QPlkMUaqml_cBNT", 1622.33560937499)</f>
        <v>1622.335609</v>
      </c>
      <c r="O99" s="13"/>
      <c r="P99" s="14">
        <f t="shared" ref="P99:P100" si="51">HYPERLINK("https://docs.google.com/spreadsheets/d/1Kf23UjfX2BsmiEOMd1dlmv5ATGImpb7O", 1396.84626041667)</f>
        <v>1396.84626</v>
      </c>
      <c r="Q99" s="13"/>
      <c r="R99" s="14">
        <f t="shared" ref="R99:R100" si="52">HYPERLINK("https://docs.google.com/spreadsheets/d/1J80b9w2Yw4DITxdbEMNSZaf-T-on9DvG", 1056.79811354166)</f>
        <v>1056.798114</v>
      </c>
      <c r="S99" s="13"/>
      <c r="T99" s="14">
        <f t="shared" ref="T99:T100" si="53">HYPERLINK("https://docs.google.com/spreadsheets/d/1TRMw5evZK1mxgxG4UogiB7CFKnzRseAz", 560.082286458333)</f>
        <v>560.0822865</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row>
    <row r="100">
      <c r="A100" s="32" t="s">
        <v>28</v>
      </c>
      <c r="B100" s="32" t="s">
        <v>29</v>
      </c>
      <c r="C100" s="32" t="s">
        <v>9</v>
      </c>
      <c r="D100" s="16">
        <f t="shared" si="1"/>
        <v>3600.055785</v>
      </c>
      <c r="E100" s="17"/>
      <c r="F100" s="18" t="str">
        <f>HYPERLINK("https://docs.google.com/spreadsheets/d/18E_TkfP1vMDiflWmzFnM5WrSD8D957l6", "RE-1191.696820833333")</f>
        <v>RE-1191.696820833333</v>
      </c>
      <c r="G100" s="17"/>
      <c r="H100" s="18" t="str">
        <f>HYPERLINK("https://docs.google.com/spreadsheets/d/1CxzQGb_kz9r-r5hxiHjyIpqHwrm0gmP_", "RE-194.74319166666635")</f>
        <v>RE-194.74319166666635</v>
      </c>
      <c r="I100" s="17"/>
      <c r="J100" s="18" t="str">
        <f>HYPERLINK("https://docs.google.com/spreadsheets/d/1S8ZsrnfL1yDnWQvNGluSTmba5D9O4RfC", "RE-101.52005625000005")</f>
        <v>RE-101.52005625000005</v>
      </c>
      <c r="K100" s="17"/>
      <c r="L100" s="18">
        <f t="shared" si="50"/>
        <v>586.329125</v>
      </c>
      <c r="M100" s="17"/>
      <c r="N100" s="18" t="str">
        <f>HYPERLINK("https://docs.google.com/spreadsheets/d/1DqdDnIbG-V5U6PvD_QPlkMUaqml_cBNT", "RE-1622.3356093749946")</f>
        <v>RE-1622.3356093749946</v>
      </c>
      <c r="O100" s="17"/>
      <c r="P100" s="18">
        <f t="shared" si="51"/>
        <v>1396.84626</v>
      </c>
      <c r="Q100" s="17"/>
      <c r="R100" s="18">
        <f t="shared" si="52"/>
        <v>1056.798114</v>
      </c>
      <c r="S100" s="17"/>
      <c r="T100" s="18">
        <f t="shared" si="53"/>
        <v>560.0822865</v>
      </c>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row>
    <row r="101">
      <c r="A101" s="32" t="s">
        <v>28</v>
      </c>
      <c r="B101" s="32" t="s">
        <v>29</v>
      </c>
      <c r="C101" s="32" t="s">
        <v>10</v>
      </c>
      <c r="D101" s="16">
        <f t="shared" si="1"/>
        <v>675.8063594</v>
      </c>
      <c r="E101" s="17"/>
      <c r="F101" s="17"/>
      <c r="G101" s="18">
        <f>HYPERLINK("https://docs.google.com/spreadsheets/d/1v1PDglaGnV8LXG6E_Qc0GtGJtgAjhM4C", 126.21741875)</f>
        <v>126.2174188</v>
      </c>
      <c r="H101" s="17"/>
      <c r="I101" s="18">
        <f>HYPERLINK("https://docs.google.com/spreadsheets/d/1yCPkFXQn4DyhFTdRcUG0Ev8hjuBrVkM4", 21.87300625)</f>
        <v>21.87300625</v>
      </c>
      <c r="J101" s="17"/>
      <c r="K101" s="18">
        <f>HYPERLINK("https://docs.google.com/spreadsheets/d/1SOupAz5HZERAoJiiXwA7oRNEgTD79TDM", 11.1804041666666)</f>
        <v>11.18040417</v>
      </c>
      <c r="L101" s="17"/>
      <c r="M101" s="18">
        <f>HYPERLINK("https://docs.google.com/spreadsheets/d/1j7NnlFrZdLYd-1Nk7ONThAU_YMQj02ml", 16.4757541666666)</f>
        <v>16.47575417</v>
      </c>
      <c r="N101" s="17"/>
      <c r="O101" s="18">
        <f>HYPERLINK("https://docs.google.com/spreadsheets/d/1iL8_PucLRsRvLFG8Xk9l__YYHqaFkuTH", 161.156202083333)</f>
        <v>161.1562021</v>
      </c>
      <c r="P101" s="17"/>
      <c r="Q101" s="18">
        <f>HYPERLINK("https://docs.google.com/spreadsheets/d/1I6scdnbvh7aNyOU_qCo-zxct8_t9xF32", 134.535015625)</f>
        <v>134.5350156</v>
      </c>
      <c r="R101" s="17"/>
      <c r="S101" s="18">
        <f>HYPERLINK("https://docs.google.com/spreadsheets/d/1wQqH4BaRQjLr6NqKDyFpH7Si2F7HbMTj", 123.201667708333)</f>
        <v>123.2016677</v>
      </c>
      <c r="T101" s="17"/>
      <c r="U101" s="18">
        <f>HYPERLINK("https://docs.google.com/spreadsheets/d/1eNj3Vaxa_EWro6myL7HtxYEhbGob-AyR", 78.5187177083333)</f>
        <v>78.51871771</v>
      </c>
      <c r="V101" s="18">
        <f>HYPERLINK("https://docs.google.com/spreadsheets/d/1aSjEbzPxt5vJIaFPolXlML1vsA30CXu6", 2.64817291666666)</f>
        <v>2.648172917</v>
      </c>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row>
    <row r="102">
      <c r="A102" s="32" t="s">
        <v>28</v>
      </c>
      <c r="B102" s="32" t="s">
        <v>29</v>
      </c>
      <c r="C102" s="32" t="s">
        <v>11</v>
      </c>
      <c r="D102" s="16">
        <f t="shared" si="1"/>
        <v>0</v>
      </c>
      <c r="E102" s="17"/>
      <c r="F102" s="17"/>
      <c r="G102" s="18" t="str">
        <f>HYPERLINK("https://docs.google.com/spreadsheets/d/1v1PDglaGnV8LXG6E_Qc0GtGJtgAjhM4C", "RE-126.21741875000001")</f>
        <v>RE-126.21741875000001</v>
      </c>
      <c r="H102" s="17"/>
      <c r="I102" s="18" t="str">
        <f>HYPERLINK("https://docs.google.com/spreadsheets/d/1yCPkFXQn4DyhFTdRcUG0Ev8hjuBrVkM4", "RE-21.873006250000003")</f>
        <v>RE-21.873006250000003</v>
      </c>
      <c r="J102" s="17"/>
      <c r="K102" s="18" t="str">
        <f>HYPERLINK("https://docs.google.com/spreadsheets/d/1SOupAz5HZERAoJiiXwA7oRNEgTD79TDM", "RE-11.180404166666666")</f>
        <v>RE-11.180404166666666</v>
      </c>
      <c r="L102" s="17"/>
      <c r="M102" s="18" t="str">
        <f>HYPERLINK("https://docs.google.com/spreadsheets/d/1j7NnlFrZdLYd-1Nk7ONThAU_YMQj02ml", "RE-16.475754166666665")</f>
        <v>RE-16.475754166666665</v>
      </c>
      <c r="N102" s="17"/>
      <c r="O102" s="18" t="str">
        <f>HYPERLINK("https://docs.google.com/spreadsheets/d/1iL8_PucLRsRvLFG8Xk9l__YYHqaFkuTH", "RE-161.15620208333317")</f>
        <v>RE-161.15620208333317</v>
      </c>
      <c r="P102" s="17"/>
      <c r="Q102" s="18" t="str">
        <f>HYPERLINK("https://docs.google.com/spreadsheets/d/1I6scdnbvh7aNyOU_qCo-zxct8_t9xF32", "RE-134.53501562500003")</f>
        <v>RE-134.53501562500003</v>
      </c>
      <c r="R102" s="17"/>
      <c r="S102" s="18" t="str">
        <f>HYPERLINK("https://docs.google.com/spreadsheets/d/1wQqH4BaRQjLr6NqKDyFpH7Si2F7HbMTj", "RE-123.20166770833325")</f>
        <v>RE-123.20166770833325</v>
      </c>
      <c r="T102" s="17"/>
      <c r="U102" s="18" t="str">
        <f>HYPERLINK("https://docs.google.com/spreadsheets/d/1eNj3Vaxa_EWro6myL7HtxYEhbGob-AyR", "RE-78.51871770833336")</f>
        <v>RE-78.51871770833336</v>
      </c>
      <c r="V102" s="18" t="str">
        <f>HYPERLINK("https://docs.google.com/spreadsheets/d/1aSjEbzPxt5vJIaFPolXlML1vsA30CXu6", "RE-2.6481729166666668")</f>
        <v>RE-2.6481729166666668</v>
      </c>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row>
    <row r="103">
      <c r="A103" s="32" t="s">
        <v>28</v>
      </c>
      <c r="B103" s="32" t="s">
        <v>29</v>
      </c>
      <c r="C103" s="32" t="s">
        <v>12</v>
      </c>
      <c r="D103" s="16">
        <f t="shared" si="1"/>
        <v>3315.78732</v>
      </c>
      <c r="E103" s="17"/>
      <c r="F103" s="18" t="str">
        <f>HYPERLINK("https://docs.google.com/spreadsheets/d/13YPPKWjZA3Jxm0ue5qraf3T_08FdpYZM", "RE-964.5752458333341")</f>
        <v>RE-964.5752458333341</v>
      </c>
      <c r="G103" s="18" t="str">
        <f>HYPERLINK("https://docs.google.com/spreadsheets/d/1OyvrQtTkBUcbDDNN3Hn0EXksfFpFlPuW", "RE-5.514954166666666")</f>
        <v>RE-5.514954166666666</v>
      </c>
      <c r="H103" s="18" t="str">
        <f>HYPERLINK("https://docs.google.com/spreadsheets/d/1T3oLEIIa_FS40fe5jtVLTlKq5vYSOWNV", "RE-171.9376812499996")</f>
        <v>RE-171.9376812499996</v>
      </c>
      <c r="I103" s="18" t="str">
        <f>HYPERLINK("https://docs.google.com/spreadsheets/d/1TuIxcgp2GWDVf1rqifQQSfiDWfTGdRNk", "RE-0.17995")</f>
        <v>RE-0.17995</v>
      </c>
      <c r="J103" s="18" t="str">
        <f>HYPERLINK("https://docs.google.com/spreadsheets/d/1-2cFdhwMu6RbR2zLNfYbDj9lFH213KPM", "RE-51.88960624999999")</f>
        <v>RE-51.88960624999999</v>
      </c>
      <c r="K103" s="18" t="str">
        <f>HYPERLINK("https://docs.google.com/spreadsheets/d/1DsaZ1kaS81i89VGH97J0j0nk4T8iQJ72", "RE-0.6167874999999999")</f>
        <v>RE-0.6167874999999999</v>
      </c>
      <c r="L103" s="18">
        <f>HYPERLINK("https://docs.google.com/spreadsheets/d/1qQccMfurt7e1hCmfIijrLLp1QqLTh2pz", 527.187058333333)</f>
        <v>527.1870583</v>
      </c>
      <c r="M103" s="18" t="str">
        <f>HYPERLINK("https://docs.google.com/spreadsheets/d/12DZagin1D89APWP0HwN5NvUV3FSJy0Lm", "RE-2.5885833333333332")</f>
        <v>RE-2.5885833333333332</v>
      </c>
      <c r="N103" s="18" t="str">
        <f>HYPERLINK("https://docs.google.com/spreadsheets/d/1koYHOefWE6HzFbmEXRXyL2-e_K_iSvkw", "RE-951.3817124999974")</f>
        <v>RE-951.3817124999974</v>
      </c>
      <c r="O103" s="18" t="str">
        <f>HYPERLINK("https://docs.google.com/spreadsheets/d/1hFEX_KFRSwvGMGb59R4RF226Iue8OVRV", "RE-6.455510416666669")</f>
        <v>RE-6.455510416666669</v>
      </c>
      <c r="P103" s="18">
        <f>HYPERLINK("https://docs.google.com/spreadsheets/d/1C5847XmoxPOjWRMxWIcatiJHXR6Zb81M", 1276.05316458333)</f>
        <v>1276.053165</v>
      </c>
      <c r="Q103" s="18" t="str">
        <f>HYPERLINK("https://docs.google.com/spreadsheets/d/1dRaAgHVQzLecB8oW_KAHqqoglVorOKl2", "RE-39.58401250000001")</f>
        <v>RE-39.58401250000001</v>
      </c>
      <c r="R103" s="18">
        <f>HYPERLINK("https://docs.google.com/spreadsheets/d/129VhkZCRdEqI6lwQEQBvrs3ftq60i0iP", 982.161496875)</f>
        <v>982.1614969</v>
      </c>
      <c r="S103" s="18" t="str">
        <f>HYPERLINK("https://docs.google.com/spreadsheets/d/1K4tYA-Kt85oCpwTlJPb_ckTbWHNCxVgn", "RE-60.92507812500003")</f>
        <v>RE-60.92507812500003</v>
      </c>
      <c r="T103" s="18">
        <f>HYPERLINK("https://docs.google.com/spreadsheets/d/10HzA6-rJV6KmToVRtiCDYgEv3GzLaBZG", 530.3856)</f>
        <v>530.3856</v>
      </c>
      <c r="U103" s="18" t="str">
        <f>HYPERLINK("https://docs.google.com/spreadsheets/d/1FkaB1_YaUlP5JuTkQx1ma1JfmQv_AEaK", "RE-33.61487291666667")</f>
        <v>RE-33.61487291666667</v>
      </c>
      <c r="V103" s="18" t="str">
        <f>HYPERLINK("https://docs.google.com/spreadsheets/d/1m9BR8I2PDkLcBN15iNiTC827upk9lGaU", "RE-1.9335520833333333")</f>
        <v>RE-1.9335520833333333</v>
      </c>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row>
    <row r="104">
      <c r="A104" s="32" t="s">
        <v>28</v>
      </c>
      <c r="B104" s="32" t="s">
        <v>29</v>
      </c>
      <c r="C104" s="32" t="s">
        <v>13</v>
      </c>
      <c r="D104" s="16">
        <f t="shared" si="1"/>
        <v>3155.038</v>
      </c>
      <c r="E104" s="17"/>
      <c r="F104" s="18" t="str">
        <f>HYPERLINK("https://docs.google.com/spreadsheets/d/1K7S1IEZTOVi7o5jb7bEMVczK67vYCH26?usp=share_link", "RE-912.953")</f>
        <v>RE-912.953</v>
      </c>
      <c r="G104" s="18" t="str">
        <f>HYPERLINK("https://docs.google.com/spreadsheets/d/1BVNUk8K6t6RAGI0ULhMMm2td0bAMHNAb?usp=share_link", "RE-5.11033")</f>
        <v>RE-5.11033</v>
      </c>
      <c r="H104" s="18" t="str">
        <f>HYPERLINK("https://docs.google.com/spreadsheets/d/1uEi1uAn_TaVRAjb_tHp8sIpWE5GcZpch?usp=share_link", "RE-163.328")</f>
        <v>RE-163.328</v>
      </c>
      <c r="I104" s="18" t="str">
        <f>HYPERLINK("https://docs.google.com/spreadsheets/d/1KJLVEPEq40uWfJOabWhCw-ixDAOqrgaC?usp=share_link", "RE-0.175917")</f>
        <v>RE-0.175917</v>
      </c>
      <c r="J104" s="18" t="str">
        <f>HYPERLINK("https://docs.google.com/spreadsheets/d/1Z06FLT7NEZtb4KVDhoM8Qry0O4unkXtd?usp=share_link", "RE-49.0784")</f>
        <v>RE-49.0784</v>
      </c>
      <c r="K104" s="18" t="str">
        <f>HYPERLINK("https://docs.google.com/spreadsheets/d/11Gxc4EhIS9eIDNclOxS_IhVKv8XJne3q?usp=share_link", "RE-0.605983")</f>
        <v>RE-0.605983</v>
      </c>
      <c r="L104" s="18">
        <f>HYPERLINK("https://docs.google.com/spreadsheets/d/1TCtOSHrYB0Mvd73xZzKO6BsGai9gwKiK?usp=share_link", 506.413)</f>
        <v>506.413</v>
      </c>
      <c r="M104" s="18" t="str">
        <f>HYPERLINK("https://docs.google.com/spreadsheets/d/1oe-rVjMjuTjpSU3aUelbyWkognaZ0N8S?usp=share_link", "RE-2.44647")</f>
        <v>RE-2.44647</v>
      </c>
      <c r="N104" s="18" t="str">
        <f>HYPERLINK("https://docs.google.com/spreadsheets/d/1b7ETePZcTmPS0YW5iAaAnwCJaYi3g9gd?usp=share_link", "RE-913.418")</f>
        <v>RE-913.418</v>
      </c>
      <c r="O104" s="18" t="str">
        <f>HYPERLINK("https://docs.google.com/spreadsheets/d/1eqXosTar3YCI3KMaoZ6uiop4IlkNOPj-?usp=share_link", "RE-6.15305")</f>
        <v>RE-6.15305</v>
      </c>
      <c r="P104" s="18">
        <f>HYPERLINK("https://docs.google.com/spreadsheets/d/1YUBapnNgcXMs7m8zOs4jeTWUg9w94xuk?usp=share_link", 1208.36)</f>
        <v>1208.36</v>
      </c>
      <c r="Q104" s="18" t="str">
        <f>HYPERLINK("https://docs.google.com/spreadsheets/d/1VzMrKN6rv3Ig9o_rAQXUYOZ83PtQZSnS?usp=share_link", "RE-37.6085")</f>
        <v>RE-37.6085</v>
      </c>
      <c r="R104" s="18">
        <f>HYPERLINK("https://docs.google.com/spreadsheets/d/1cI7v6qHMBkFpStvbQF5ZhxB0oQgp6lq6?usp=share_link", 934.137)</f>
        <v>934.137</v>
      </c>
      <c r="S104" s="18" t="str">
        <f>HYPERLINK("https://docs.google.com/spreadsheets/d/1Q6ITR9AYd4ch0Jj3X9EJFq-6mR3ZJZjh?usp=share_link", "RE-57.1862")</f>
        <v>RE-57.1862</v>
      </c>
      <c r="T104" s="18">
        <f>HYPERLINK("https://docs.google.com/spreadsheets/d/1pRAfBfOJh6Tgd9H-ebr6biDsv297qA2R?usp=share_link", 506.128)</f>
        <v>506.128</v>
      </c>
      <c r="U104" s="18" t="str">
        <f>HYPERLINK("https://docs.google.com/spreadsheets/d/1JVR_e5gCc8De5T4YEPHJUFroKv92BUUT?usp=share_link", "RE-31.516")</f>
        <v>RE-31.516</v>
      </c>
      <c r="V104" s="18" t="str">
        <f>HYPERLINK("https://docs.google.com/spreadsheets/d/1yhLlAh6eACg5zzWT7NLIU_HQEckk1Deh?usp=share_link", "RE-1.81812")</f>
        <v>RE-1.81812</v>
      </c>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row>
    <row r="105">
      <c r="A105" s="32" t="s">
        <v>28</v>
      </c>
      <c r="B105" s="32" t="s">
        <v>29</v>
      </c>
      <c r="C105" s="32" t="s">
        <v>14</v>
      </c>
      <c r="D105" s="16">
        <f t="shared" si="1"/>
        <v>2684.769</v>
      </c>
      <c r="E105" s="17"/>
      <c r="F105" s="18" t="str">
        <f>HYPERLINK("https://docs.google.com/spreadsheets/d/1RAhH1YENqfY1PLCx-G4DoJk-GKN9vVXT?usp=share_link", "RE-811.472")</f>
        <v>RE-811.472</v>
      </c>
      <c r="G105" s="18" t="str">
        <f>HYPERLINK("https://docs.google.com/spreadsheets/d/1azG_YoceUjBDYHxgWmcuNlj8gmMFWczn?usp=share_link", "RE-5.11033")</f>
        <v>RE-5.11033</v>
      </c>
      <c r="H105" s="18" t="str">
        <f>HYPERLINK("https://docs.google.com/spreadsheets/d/17XDoRUKYFEbvjpJvkwuwNnxXVdBTrHkd?usp=share_link", "RE-141.203")</f>
        <v>RE-141.203</v>
      </c>
      <c r="I105" s="18" t="str">
        <f>HYPERLINK("https://docs.google.com/spreadsheets/d/1Y-rvjTgAK0j8kfyanc_lrFROibpVZM_w?usp=share_link", "RE-0.175917")</f>
        <v>RE-0.175917</v>
      </c>
      <c r="J105" s="18" t="str">
        <f>HYPERLINK("https://docs.google.com/spreadsheets/d/1JBjP8oEnRU-ZBLWjElAmtpDfe9HmckI_?usp=share_link", "RE-46.4833")</f>
        <v>RE-46.4833</v>
      </c>
      <c r="K105" s="18" t="str">
        <f>HYPERLINK("https://docs.google.com/spreadsheets/d/1tH8SJSNOnxsCrnnvCnpulvankFEnoSHh?usp=share_link", "RE-0.605983")</f>
        <v>RE-0.605983</v>
      </c>
      <c r="L105" s="18">
        <f>HYPERLINK("https://docs.google.com/spreadsheets/d/1Py_MPe1a05IEpL5K6pbycK7PvqNqi-0O?usp=share_link", 428.413)</f>
        <v>428.413</v>
      </c>
      <c r="M105" s="18" t="str">
        <f>HYPERLINK("https://docs.google.com/spreadsheets/d/1vwwRy5RpUKIG3N9lcYjnAA-5nrvpOelK?usp=share_link", "RE-0.570283")</f>
        <v>RE-0.570283</v>
      </c>
      <c r="N105" s="18" t="str">
        <f>HYPERLINK("https://docs.google.com/spreadsheets/d/1ebqtEKFFGPV2iAhckEjz7DStpmSzpcEg?usp=share_link", "RE-764.062")</f>
        <v>RE-764.062</v>
      </c>
      <c r="O105" s="18" t="str">
        <f>HYPERLINK("https://docs.google.com/spreadsheets/d/10ApWnviqy1H9S9rAs6jmnYc9tiCFACE8?usp=share_link", "RE-5.23462")</f>
        <v>RE-5.23462</v>
      </c>
      <c r="P105" s="18">
        <f>HYPERLINK("https://docs.google.com/spreadsheets/d/1Dwc3z0ufait0IC8XIQcb8pYryR6Q4wk0?usp=share_link", 1038.36)</f>
        <v>1038.36</v>
      </c>
      <c r="Q105" s="18" t="str">
        <f>HYPERLINK("https://docs.google.com/spreadsheets/d/1gT2eOaz_kcSPN637jufTshmEMHTYMIon?usp=share_link", "RE-35.2339")</f>
        <v>RE-35.2339</v>
      </c>
      <c r="R105" s="18">
        <f>HYPERLINK("https://docs.google.com/spreadsheets/d/1YDVWEz9em-gFxGsGfqE94k4cUzcVIYXZ?usp=share_link", 792.182)</f>
        <v>792.182</v>
      </c>
      <c r="S105" s="18" t="str">
        <f>HYPERLINK("https://docs.google.com/spreadsheets/d/1yq7xgAiEErwM45iOC8U_7NAbQWbE-2jX?usp=share_link", "RE-52.7644")</f>
        <v>RE-52.7644</v>
      </c>
      <c r="T105" s="18">
        <f>HYPERLINK("https://docs.google.com/spreadsheets/d/1qo8KaDp8KkFuFScTzRuYYD2SH9DID9Mj?usp=share_link", 425.814)</f>
        <v>425.814</v>
      </c>
      <c r="U105" s="18" t="str">
        <f>HYPERLINK("https://docs.google.com/spreadsheets/d/1T6yms5_q0L1UmGSbWTnyiZ3h6jduNZ9R?usp=share_link", "RE-26.9382")</f>
        <v>RE-26.9382</v>
      </c>
      <c r="V105" s="18" t="str">
        <f>HYPERLINK("https://docs.google.com/spreadsheets/d/1omfTgapIP6BLh-d8vOrcrFS-yP6ffyU6?usp=share_link", "RE-1.81812")</f>
        <v>RE-1.81812</v>
      </c>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row>
    <row r="106">
      <c r="A106" s="27" t="s">
        <v>28</v>
      </c>
      <c r="B106" s="27" t="s">
        <v>29</v>
      </c>
      <c r="C106" s="27" t="s">
        <v>15</v>
      </c>
      <c r="D106" s="28">
        <f t="shared" si="1"/>
        <v>3155.038</v>
      </c>
      <c r="E106" s="33"/>
      <c r="F106" s="34" t="str">
        <f>HYPERLINK("https://docs.google.com/spreadsheets/d/1Gvz9w7QElbW5EuLoD82afsBFjd0-43fT?usp=share_link", "RE-912.953")</f>
        <v>RE-912.953</v>
      </c>
      <c r="G106" s="34" t="str">
        <f>HYPERLINK("https://docs.google.com/spreadsheets/d/1L_5MtJFgqwyX2jpKzWDgnNQLW0CnL6IS?usp=share_link", "RE-5.11033")</f>
        <v>RE-5.11033</v>
      </c>
      <c r="H106" s="34" t="str">
        <f>HYPERLINK("https://docs.google.com/spreadsheets/d/1lmYAd-9zOGIhta_Wx0QXCeqPgA_OwT6a?usp=share_link", "RE-163.328")</f>
        <v>RE-163.328</v>
      </c>
      <c r="I106" s="34" t="str">
        <f>HYPERLINK("https://docs.google.com/spreadsheets/d/1ndhEPmdhhjkKT6Gvit90mH5k-azRKpUw?usp=share_link", "RE-0.175917")</f>
        <v>RE-0.175917</v>
      </c>
      <c r="J106" s="34" t="str">
        <f>HYPERLINK("https://docs.google.com/spreadsheets/d/1hTZ6TsoZYdux7MdDZFF1S5gX7ivU9VAy?usp=share_link", "RE-49.0784")</f>
        <v>RE-49.0784</v>
      </c>
      <c r="K106" s="34" t="str">
        <f>HYPERLINK("https://docs.google.com/spreadsheets/d/1xodJNaisttYl4Khc6KDrJbx2k5DolAn6?usp=share_link", "RE-0.605983")</f>
        <v>RE-0.605983</v>
      </c>
      <c r="L106" s="34">
        <f>HYPERLINK("https://docs.google.com/spreadsheets/d/1TgvmLKiu24-5DyOoMf0I5-Hx4MJVvM_1?usp=share_link", 506.413)</f>
        <v>506.413</v>
      </c>
      <c r="M106" s="34" t="str">
        <f>HYPERLINK("https://docs.google.com/spreadsheets/d/1ljxQuoS5cChFAEQNKh4SKQp_79_wgAvQ?usp=share_link", "RE-2.44647")</f>
        <v>RE-2.44647</v>
      </c>
      <c r="N106" s="34" t="str">
        <f>HYPERLINK("https://docs.google.com/spreadsheets/d/1GjGvG2ztroDeXZ8Znx03bMojV_OnFIEv?usp=share_link", "RE-913.418")</f>
        <v>RE-913.418</v>
      </c>
      <c r="O106" s="34" t="str">
        <f>HYPERLINK("https://docs.google.com/spreadsheets/d/1-LWmlaZMN3FQ8jsTG_cJlu6Oz7fkRJL1?usp=share_link", "RE-6.15305")</f>
        <v>RE-6.15305</v>
      </c>
      <c r="P106" s="34">
        <f>HYPERLINK("https://docs.google.com/spreadsheets/d/1B3eqL65SzpPkUemI7_GzmrWpzAuF2UxE?usp=share_link", 1208.36)</f>
        <v>1208.36</v>
      </c>
      <c r="Q106" s="34" t="str">
        <f>HYPERLINK("https://docs.google.com/spreadsheets/d/1DJ4VkKl77tEMWqVZxW6R7njSKy0-wTlh?usp=share_link", "RE-37.6085")</f>
        <v>RE-37.6085</v>
      </c>
      <c r="R106" s="34">
        <f>HYPERLINK("https://docs.google.com/spreadsheets/d/1YA-TYN334FFruTUEMBe-tVCZElDoChjb?usp=share_link", 934.137)</f>
        <v>934.137</v>
      </c>
      <c r="S106" s="34" t="str">
        <f>HYPERLINK("https://docs.google.com/spreadsheets/d/1Ga7UJX6Bbl0Ni9asZcv5sA1fqdbjgiOO?usp=share_link", "RE-57.1862")</f>
        <v>RE-57.1862</v>
      </c>
      <c r="T106" s="34">
        <f>HYPERLINK("https://docs.google.com/spreadsheets/d/1_LjbAhMzZ6jQPMmWPsJFkrg4Zo4tuCxL?usp=share_link", 506.128)</f>
        <v>506.128</v>
      </c>
      <c r="U106" s="34" t="str">
        <f>HYPERLINK("https://docs.google.com/spreadsheets/d/1ITm1MGSYiPNGcWGJiX0IHkAvVItX54qC?usp=share_link", "RE-31.516")</f>
        <v>RE-31.516</v>
      </c>
      <c r="V106" s="34" t="str">
        <f>HYPERLINK("https://docs.google.com/spreadsheets/d/1x-FkwVFAbW4zVIY1umzaaYRbhBhujy8N?usp=share_link", "RE-1.81812")</f>
        <v>RE-1.81812</v>
      </c>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row>
    <row r="107">
      <c r="A107" s="30" t="s">
        <v>7</v>
      </c>
      <c r="B107" s="30" t="s">
        <v>30</v>
      </c>
      <c r="C107" s="31" t="str">
        <f>HYPERLINK("https://docs.google.com/spreadsheets/d/10GSUpPftmVBgpLHQ1RMJ6iTHzKUrdf-p/edit?usp=share_link&amp;ouid=106501987799020758802&amp;rtpof=true&amp;sd=true", "Raw Delivered")</f>
        <v>Raw Delivered</v>
      </c>
      <c r="D107" s="12">
        <f t="shared" si="1"/>
        <v>6225.962848</v>
      </c>
      <c r="E107" s="13"/>
      <c r="F107" s="14">
        <f>HYPERLINK("https://docs.google.com/spreadsheets/d/1QLoDo-FtYkCoMvl6aHk4NUg91-ekDych", 2731.43230312499)</f>
        <v>2731.432303</v>
      </c>
      <c r="G107" s="13"/>
      <c r="H107" s="14">
        <f>HYPERLINK("https://docs.google.com/spreadsheets/d/1fYiRu9z1s8TRDuBV3BUUsbBf9ZFUiaQ2", 92.2874708333332)</f>
        <v>92.28747083</v>
      </c>
      <c r="I107" s="13"/>
      <c r="J107" s="14">
        <f>HYPERLINK("https://docs.google.com/spreadsheets/d/1_UhxvKb84xiG2eAVlnusrBHyjhbkX0W5", 1381.34021041666)</f>
        <v>1381.34021</v>
      </c>
      <c r="K107" s="13"/>
      <c r="L107" s="14">
        <f t="shared" ref="L107:L108" si="54">HYPERLINK("https://docs.google.com/spreadsheets/d/1wQJNGSiAkPp1DqUi_CVhrWwG4efJxWUz", 362.1990875)</f>
        <v>362.1990875</v>
      </c>
      <c r="M107" s="13"/>
      <c r="N107" s="14">
        <f>HYPERLINK("https://docs.google.com/spreadsheets/d/1LK6ZFZHha4bII_NGKVydmYwcVe893K1v", 974.712555208333)</f>
        <v>974.7125552</v>
      </c>
      <c r="O107" s="13"/>
      <c r="P107" s="14">
        <f t="shared" ref="P107:P108" si="55">HYPERLINK("https://docs.google.com/spreadsheets/d/18L_ThWd5ur0dQvaQ-5GiuJBw03vMKoIV", 325.918948958333)</f>
        <v>325.918949</v>
      </c>
      <c r="Q107" s="13"/>
      <c r="R107" s="14">
        <f t="shared" ref="R107:R108" si="56">HYPERLINK("https://docs.google.com/spreadsheets/d/1iMGb_jX3gdtgdb8JsUM-poRXdNy_COHa", 81.5613874999999)</f>
        <v>81.5613875</v>
      </c>
      <c r="S107" s="13"/>
      <c r="T107" s="14">
        <f t="shared" ref="T107:T108" si="57">HYPERLINK("https://docs.google.com/spreadsheets/d/1Hin1r_jOsu8oO3Z7iU-TpSVdeYcpUn2l", 276.510884375)</f>
        <v>276.5108844</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row>
    <row r="108">
      <c r="A108" s="32" t="s">
        <v>7</v>
      </c>
      <c r="B108" s="32" t="s">
        <v>30</v>
      </c>
      <c r="C108" s="32" t="s">
        <v>9</v>
      </c>
      <c r="D108" s="16">
        <f t="shared" si="1"/>
        <v>1046.190308</v>
      </c>
      <c r="E108" s="17"/>
      <c r="F108" s="18" t="str">
        <f>HYPERLINK("https://docs.google.com/spreadsheets/d/1QLoDo-FtYkCoMvl6aHk4NUg91-ekDych", "RE-2731.432303124997")</f>
        <v>RE-2731.432303124997</v>
      </c>
      <c r="G108" s="17"/>
      <c r="H108" s="18" t="str">
        <f>HYPERLINK("https://docs.google.com/spreadsheets/d/1fYiRu9z1s8TRDuBV3BUUsbBf9ZFUiaQ2", "RE-92.28747083333324")</f>
        <v>RE-92.28747083333324</v>
      </c>
      <c r="I108" s="17"/>
      <c r="J108" s="18" t="str">
        <f>HYPERLINK("https://docs.google.com/spreadsheets/d/1_UhxvKb84xiG2eAVlnusrBHyjhbkX0W5", "RE-1381.3402104166682")</f>
        <v>RE-1381.3402104166682</v>
      </c>
      <c r="K108" s="17"/>
      <c r="L108" s="18">
        <f t="shared" si="54"/>
        <v>362.1990875</v>
      </c>
      <c r="M108" s="17"/>
      <c r="N108" s="18" t="str">
        <f>HYPERLINK("https://docs.google.com/spreadsheets/d/1LK6ZFZHha4bII_NGKVydmYwcVe893K1v", "RE-974.7125552083337")</f>
        <v>RE-974.7125552083337</v>
      </c>
      <c r="O108" s="17"/>
      <c r="P108" s="18">
        <f t="shared" si="55"/>
        <v>325.918949</v>
      </c>
      <c r="Q108" s="17"/>
      <c r="R108" s="18">
        <f t="shared" si="56"/>
        <v>81.5613875</v>
      </c>
      <c r="S108" s="17"/>
      <c r="T108" s="18">
        <f t="shared" si="57"/>
        <v>276.5108844</v>
      </c>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row>
    <row r="109">
      <c r="A109" s="32" t="s">
        <v>7</v>
      </c>
      <c r="B109" s="32" t="s">
        <v>30</v>
      </c>
      <c r="C109" s="32" t="s">
        <v>10</v>
      </c>
      <c r="D109" s="16">
        <f t="shared" si="1"/>
        <v>746.8323875</v>
      </c>
      <c r="E109" s="17"/>
      <c r="F109" s="17"/>
      <c r="G109" s="18">
        <f>HYPERLINK("https://docs.google.com/spreadsheets/d/1F-742xZbBU8obXcUH8j0dLr-QEuKgziy", 245.498011458333)</f>
        <v>245.4980115</v>
      </c>
      <c r="H109" s="17"/>
      <c r="I109" s="18">
        <f>HYPERLINK("https://docs.google.com/spreadsheets/d/1b8PgJ1errCn_ZAuMypVypSVebh85fWlD", 45.4020666666666)</f>
        <v>45.40206667</v>
      </c>
      <c r="J109" s="17"/>
      <c r="K109" s="18">
        <f>HYPERLINK("https://docs.google.com/spreadsheets/d/1Ry06pbuUTQ5JXHUm7SBTUUSVEJlibkbx", 109.764024999999)</f>
        <v>109.764025</v>
      </c>
      <c r="L109" s="17"/>
      <c r="M109" s="18">
        <f>HYPERLINK("https://docs.google.com/spreadsheets/d/11cLEv8Ok4takypWo537uemcD9cN4V9K6", 73.0270770833333)</f>
        <v>73.02707708</v>
      </c>
      <c r="N109" s="17"/>
      <c r="O109" s="18">
        <f>HYPERLINK("https://docs.google.com/spreadsheets/d/1RtnabMB-5UP-8rktpd1Vs2EXQa6pgPbo", 114.640787499999)</f>
        <v>114.6407875</v>
      </c>
      <c r="P109" s="17"/>
      <c r="Q109" s="18">
        <f>HYPERLINK("https://docs.google.com/spreadsheets/d/1mO2bILZobhxEqUUkh4-IdF5z5WXSNCmD", 106.117782291666)</f>
        <v>106.1177823</v>
      </c>
      <c r="R109" s="17"/>
      <c r="S109" s="18">
        <f>HYPERLINK("https://docs.google.com/spreadsheets/d/1INIej4dejcONfJVLoVC0pay6X5r2LH2t", 13.0410104166666)</f>
        <v>13.04101042</v>
      </c>
      <c r="T109" s="17"/>
      <c r="U109" s="18">
        <f>HYPERLINK("https://docs.google.com/spreadsheets/d/1lVExFd6Iz_ByJ9gC1RBy8VMH5Oqt0jSH", 28.6714645833333)</f>
        <v>28.67146458</v>
      </c>
      <c r="V109" s="18">
        <f>HYPERLINK("https://docs.google.com/spreadsheets/d/1nVzgKQWQSqntdLQ4bPGB4jX6B_zuQ7-J", 10.6701625)</f>
        <v>10.6701625</v>
      </c>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row>
    <row r="110">
      <c r="A110" s="32" t="s">
        <v>7</v>
      </c>
      <c r="B110" s="32" t="s">
        <v>30</v>
      </c>
      <c r="C110" s="32" t="s">
        <v>11</v>
      </c>
      <c r="D110" s="16">
        <f t="shared" si="1"/>
        <v>0</v>
      </c>
      <c r="E110" s="17"/>
      <c r="F110" s="17"/>
      <c r="G110" s="18" t="str">
        <f>HYPERLINK("https://docs.google.com/spreadsheets/d/1F-742xZbBU8obXcUH8j0dLr-QEuKgziy", "RE-245.49801145833342")</f>
        <v>RE-245.49801145833342</v>
      </c>
      <c r="H110" s="17"/>
      <c r="I110" s="18" t="str">
        <f>HYPERLINK("https://docs.google.com/spreadsheets/d/1b8PgJ1errCn_ZAuMypVypSVebh85fWlD", "RE-45.402066666666656")</f>
        <v>RE-45.402066666666656</v>
      </c>
      <c r="J110" s="17"/>
      <c r="K110" s="18" t="str">
        <f>HYPERLINK("https://docs.google.com/spreadsheets/d/1Ry06pbuUTQ5JXHUm7SBTUUSVEJlibkbx", "RE-109.76402499999995")</f>
        <v>RE-109.76402499999995</v>
      </c>
      <c r="L110" s="17"/>
      <c r="M110" s="18" t="str">
        <f>HYPERLINK("https://docs.google.com/spreadsheets/d/11cLEv8Ok4takypWo537uemcD9cN4V9K6", "RE-73.0270770833333")</f>
        <v>RE-73.0270770833333</v>
      </c>
      <c r="N110" s="17"/>
      <c r="O110" s="18" t="str">
        <f>HYPERLINK("https://docs.google.com/spreadsheets/d/1RtnabMB-5UP-8rktpd1Vs2EXQa6pgPbo", "RE-114.64078749999994")</f>
        <v>RE-114.64078749999994</v>
      </c>
      <c r="P110" s="17"/>
      <c r="Q110" s="18" t="str">
        <f>HYPERLINK("https://docs.google.com/spreadsheets/d/1mO2bILZobhxEqUUkh4-IdF5z5WXSNCmD", "RE-106.11778229166657")</f>
        <v>RE-106.11778229166657</v>
      </c>
      <c r="R110" s="17"/>
      <c r="S110" s="18" t="str">
        <f>HYPERLINK("https://docs.google.com/spreadsheets/d/1INIej4dejcONfJVLoVC0pay6X5r2LH2t", "RE-13.041010416666664")</f>
        <v>RE-13.041010416666664</v>
      </c>
      <c r="T110" s="17"/>
      <c r="U110" s="18" t="str">
        <f>HYPERLINK("https://docs.google.com/spreadsheets/d/1lVExFd6Iz_ByJ9gC1RBy8VMH5Oqt0jSH", "RE-28.67146458333333")</f>
        <v>RE-28.67146458333333</v>
      </c>
      <c r="V110" s="18" t="str">
        <f>HYPERLINK("https://docs.google.com/spreadsheets/d/1nVzgKQWQSqntdLQ4bPGB4jX6B_zuQ7-J", "RE-10.670162500000004")</f>
        <v>RE-10.670162500000004</v>
      </c>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row>
    <row r="111">
      <c r="A111" s="32" t="s">
        <v>7</v>
      </c>
      <c r="B111" s="32" t="s">
        <v>30</v>
      </c>
      <c r="C111" s="32" t="s">
        <v>12</v>
      </c>
      <c r="D111" s="16">
        <f t="shared" si="1"/>
        <v>942.6039562</v>
      </c>
      <c r="E111" s="17"/>
      <c r="F111" s="18" t="str">
        <f>HYPERLINK("https://docs.google.com/spreadsheets/d/1PxU-wWEDMrS9h5zAWgywMXbgFw8xWAJU", "RE-2235.423390624992")</f>
        <v>RE-2235.423390624992</v>
      </c>
      <c r="G111" s="18" t="str">
        <f>HYPERLINK("https://docs.google.com/spreadsheets/d/1C2vmKIS97han-h0BXXla7gHYnRuSX2a3", "RE-11.690245833333337")</f>
        <v>RE-11.690245833333337</v>
      </c>
      <c r="H111" s="18" t="str">
        <f>HYPERLINK("https://docs.google.com/spreadsheets/d/1paVR3pPkNn02BPqnqhYJKepb9KxuR2iH", "RE-79.8723187499999")</f>
        <v>RE-79.8723187499999</v>
      </c>
      <c r="I111" s="18" t="str">
        <f>HYPERLINK("https://docs.google.com/spreadsheets/d/1LFDkcxF5-9_8euvInnqk6lwH_I06-Z1m", "RE-0.35501041666666666")</f>
        <v>RE-0.35501041666666666</v>
      </c>
      <c r="J111" s="18" t="str">
        <f>HYPERLINK("https://docs.google.com/spreadsheets/d/1ZgIwEfqaWY-ttEsJK_JfdZeKnyum5KpR", "RE-1015.2174875000004")</f>
        <v>RE-1015.2174875000004</v>
      </c>
      <c r="K111" s="18" t="str">
        <f>HYPERLINK("https://docs.google.com/spreadsheets/d/1AOhyGA7aPBvyLP0Qz7RxGoXZXSRA3wsp", "RE-5.110822916666667")</f>
        <v>RE-5.110822916666667</v>
      </c>
      <c r="L111" s="18">
        <f>HYPERLINK("https://docs.google.com/spreadsheets/d/196in2Wy1JXXGIIjVnc2rRtcC6c8g_WLm", 320.483930208333)</f>
        <v>320.4839302</v>
      </c>
      <c r="M111" s="18" t="str">
        <f>HYPERLINK("https://docs.google.com/spreadsheets/d/1OXbfpMVTQCRbKnJLY1H6m-EdJlundDFQ", "RE-13.077035416666668")</f>
        <v>RE-13.077035416666668</v>
      </c>
      <c r="N111" s="18" t="str">
        <f>HYPERLINK("https://docs.google.com/spreadsheets/d/1a-LTbKB-1MZojtjH2Jj0YxJ3bzW-ThcC", "RE-569.7625781250006")</f>
        <v>RE-569.7625781250006</v>
      </c>
      <c r="O111" s="18" t="str">
        <f>HYPERLINK("https://docs.google.com/spreadsheets/d/1sBWM8TbNYr1ga4GvoqRZ3LGJASvkZ0EW", "RE-22.037883333333323")</f>
        <v>RE-22.037883333333323</v>
      </c>
      <c r="P111" s="18">
        <f>HYPERLINK("https://docs.google.com/spreadsheets/d/16IM4A50Kx0qNIqhCCaeNODwUO8kNze4W", 299.198060416666)</f>
        <v>299.1980604</v>
      </c>
      <c r="Q111" s="18" t="str">
        <f>HYPERLINK("https://docs.google.com/spreadsheets/d/1fq5gMdziYkNPdPQR9QpiTLtmDAlDQFqs", "RE-35.34149374999999")</f>
        <v>RE-35.34149374999999</v>
      </c>
      <c r="R111" s="18">
        <f>HYPERLINK("https://docs.google.com/spreadsheets/d/1-nZef4sEjqj7VLHmyxd7UlUzjRlMRQma", 71.5114041666666)</f>
        <v>71.51140417</v>
      </c>
      <c r="S111" s="18" t="str">
        <f>HYPERLINK("https://docs.google.com/spreadsheets/d/1X9-rKbdAEWQJKRnyTSiBvBrejaMpmWUc", "RE-8.563045833333335")</f>
        <v>RE-8.563045833333335</v>
      </c>
      <c r="T111" s="18">
        <f>HYPERLINK("https://docs.google.com/spreadsheets/d/1_XE1oY9T5VB8fYidGZeTBREXtQcx6vcA", 251.410561458333)</f>
        <v>251.4105615</v>
      </c>
      <c r="U111" s="18" t="str">
        <f>HYPERLINK("https://docs.google.com/spreadsheets/d/1eXsSFtamBA9neoBGf6QsbUUUZs_bYw6d", "RE-14.557520833333333")</f>
        <v>RE-14.557520833333333</v>
      </c>
      <c r="V111" s="18" t="str">
        <f>HYPERLINK("https://docs.google.com/spreadsheets/d/1XymUPeGfu6A0MB2pJKlV1jWPJuwW3iQO", "RE-5.937510416666667")</f>
        <v>RE-5.937510416666667</v>
      </c>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7"/>
      <c r="FB111" s="17"/>
      <c r="FC111" s="17"/>
      <c r="FD111" s="17"/>
      <c r="FE111" s="17"/>
      <c r="FF111" s="17"/>
      <c r="FG111" s="17"/>
      <c r="FH111" s="17"/>
    </row>
    <row r="112">
      <c r="A112" s="32" t="s">
        <v>7</v>
      </c>
      <c r="B112" s="32" t="s">
        <v>30</v>
      </c>
      <c r="C112" s="32" t="s">
        <v>13</v>
      </c>
      <c r="D112" s="16">
        <f t="shared" si="1"/>
        <v>906.4349</v>
      </c>
      <c r="E112" s="17"/>
      <c r="F112" s="18" t="str">
        <f>HYPERLINK("https://docs.google.com/spreadsheets/d/11YjbgUXby8DWPapifBIsaQ5B4yyoAUYL?usp=share_link", "RE-2175.73")</f>
        <v>RE-2175.73</v>
      </c>
      <c r="G112" s="18" t="str">
        <f>HYPERLINK("https://docs.google.com/spreadsheets/d/1sp9tnh1tDF3VrXM8VsuNXLFwzyG1WNb5?usp=share_link", "RE-11.2435")</f>
        <v>RE-11.2435</v>
      </c>
      <c r="H112" s="18" t="str">
        <f>HYPERLINK("https://docs.google.com/spreadsheets/d/1kbSB3n6aqWii1djgJoT5VjYl-hW2OlL1?usp=share_link", "RE-77.8319")</f>
        <v>RE-77.8319</v>
      </c>
      <c r="I112" s="18" t="str">
        <f>HYPERLINK("https://docs.google.com/spreadsheets/d/1hNFtA9O4KL5eD91mkQ--B7pWuOkIVwiQ?usp=share_link", "RE-0.34015")</f>
        <v>RE-0.34015</v>
      </c>
      <c r="J112" s="18" t="str">
        <f>HYPERLINK("https://docs.google.com/spreadsheets/d/16-kSA3mgsM2t_KpVL6RbnLWB9uMMSE6M?usp=share_link", "RE-986.84")</f>
        <v>RE-986.84</v>
      </c>
      <c r="K112" s="18" t="str">
        <f>HYPERLINK("https://docs.google.com/spreadsheets/d/1qzya9tenmeNPcamsd3-qmSOWwuIPp7DR?usp=share_link", "RE-4.97885")</f>
        <v>RE-4.97885</v>
      </c>
      <c r="L112" s="18">
        <f>HYPERLINK("https://docs.google.com/spreadsheets/d/1S1vI1xmkD2V_MIchtHm_I08QivyTyZ4P?usp=share_link", 307.394)</f>
        <v>307.394</v>
      </c>
      <c r="M112" s="18" t="str">
        <f>HYPERLINK("https://docs.google.com/spreadsheets/d/14iaCyeH9iozyvId1YkO1QgEa5445reRY?usp=share_link", "RE-12.5848")</f>
        <v>RE-12.5848</v>
      </c>
      <c r="N112" s="18" t="str">
        <f>HYPERLINK("https://docs.google.com/spreadsheets/d/1-NkVnp2J547ow1ZwPmj1uh6ciS8U6VNy?usp=share_link", "RE-548.275")</f>
        <v>RE-548.275</v>
      </c>
      <c r="O112" s="18" t="str">
        <f>HYPERLINK("https://docs.google.com/spreadsheets/d/1Uriux3vm1IZEQE2693yqGVEI5FNImIvf?usp=share_link", "RE-20.8133")</f>
        <v>RE-20.8133</v>
      </c>
      <c r="P112" s="18">
        <f>HYPERLINK("https://docs.google.com/spreadsheets/d/1bEMv8nzSw2rALjbTT54eVCZaRqt3oJzw?usp=share_link", 287.219)</f>
        <v>287.219</v>
      </c>
      <c r="Q112" s="18" t="str">
        <f>HYPERLINK("https://docs.google.com/spreadsheets/d/19qZUJeYmxM0JmPXPJe2DqaganmtPO5wQ?usp=share_link", "RE-33.8866")</f>
        <v>RE-33.8866</v>
      </c>
      <c r="R112" s="18">
        <f>HYPERLINK("https://docs.google.com/spreadsheets/d/1hjRe5HJHmxbCCdPBo9dqiQqqDnWIYwGC?usp=share_link", 68.7179)</f>
        <v>68.7179</v>
      </c>
      <c r="S112" s="18" t="str">
        <f>HYPERLINK("https://docs.google.com/spreadsheets/d/1rjmrkxOIO0Fceqg0RRQM3uUWQ0XZhDGu?usp=share_link", "RE-8.19108")</f>
        <v>RE-8.19108</v>
      </c>
      <c r="T112" s="18">
        <f>HYPERLINK("https://docs.google.com/spreadsheets/d/15cYR2YcENj8XRt0HDbmvHaje_mX_fJr-?usp=share_link", 243.104)</f>
        <v>243.104</v>
      </c>
      <c r="U112" s="18" t="str">
        <f>HYPERLINK("https://docs.google.com/spreadsheets/d/1iRXwE9Mb2VlNjtmReyq_QPRpeREuL-mf?usp=share_link", "RE-13.7512")</f>
        <v>RE-13.7512</v>
      </c>
      <c r="V112" s="18" t="str">
        <f>HYPERLINK("https://docs.google.com/spreadsheets/d/18AIqVaKYYv6kq5GEro7sq9Mklhb_I5PA?usp=share_link", "RE-5.73535")</f>
        <v>RE-5.73535</v>
      </c>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7"/>
      <c r="FB112" s="17"/>
      <c r="FC112" s="17"/>
      <c r="FD112" s="17"/>
      <c r="FE112" s="17"/>
      <c r="FF112" s="17"/>
      <c r="FG112" s="17"/>
      <c r="FH112" s="17"/>
    </row>
    <row r="113">
      <c r="A113" s="32" t="s">
        <v>7</v>
      </c>
      <c r="B113" s="32" t="s">
        <v>30</v>
      </c>
      <c r="C113" s="32" t="s">
        <v>14</v>
      </c>
      <c r="D113" s="16">
        <f t="shared" si="1"/>
        <v>765.8719</v>
      </c>
      <c r="E113" s="17"/>
      <c r="F113" s="18" t="str">
        <f>HYPERLINK("https://docs.google.com/spreadsheets/d/1xBkqizljBGcOSsTc8TVgSPRMNuwGvO89?usp=share_link", "RE-1913.54")</f>
        <v>RE-1913.54</v>
      </c>
      <c r="G113" s="18" t="str">
        <f>HYPERLINK("https://docs.google.com/spreadsheets/d/1GLN1y7BzMaLwQzPiVDWZCUfxlSLpMmsP?usp=share_link", "RE-11.0447")</f>
        <v>RE-11.0447</v>
      </c>
      <c r="H113" s="18" t="str">
        <f>HYPERLINK("https://docs.google.com/spreadsheets/d/1RikXRQhmijIWVNlJA4yb-K54pGStMQI6?usp=share_link", "RE-68.663")</f>
        <v>RE-68.663</v>
      </c>
      <c r="I113" s="18" t="str">
        <f>HYPERLINK("https://docs.google.com/spreadsheets/d/1IIKsqv9Yw93Wc--Zvkxd_fC7iylYfbgu?usp=share_link", "RE-0.34015")</f>
        <v>RE-0.34015</v>
      </c>
      <c r="J113" s="18" t="str">
        <f>HYPERLINK("https://docs.google.com/spreadsheets/d/1d1aD4XR54KFt5vkw5yqhT_1LXRM0SEPh?usp=share_link", "RE-893.533")</f>
        <v>RE-893.533</v>
      </c>
      <c r="K113" s="18" t="str">
        <f>HYPERLINK("https://docs.google.com/spreadsheets/d/1uHZ6B21SD1A0hvvWjXAiS023vizj-NHe?usp=share_link", "RE-4.66242")</f>
        <v>RE-4.66242</v>
      </c>
      <c r="L113" s="18">
        <f>HYPERLINK("https://docs.google.com/spreadsheets/d/1NpoerfOQQSmYi9fVvKBJ1c7TQgi6l8gk?usp=share_link", 262.873)</f>
        <v>262.873</v>
      </c>
      <c r="M113" s="18" t="str">
        <f>HYPERLINK("https://docs.google.com/spreadsheets/d/1UxN7i2wImUr-AnISBR0dtz3veNYV0wfb?usp=share_link", "RE-11.9232")</f>
        <v>RE-11.9232</v>
      </c>
      <c r="N113" s="18" t="str">
        <f>HYPERLINK("https://docs.google.com/spreadsheets/d/1hZMO_A1xi3nSH_VOYfqoQOAmUTSFfpJ6?usp=share_link", "RE-461.071")</f>
        <v>RE-461.071</v>
      </c>
      <c r="O113" s="18" t="str">
        <f>HYPERLINK("https://docs.google.com/spreadsheets/d/1PqtZSzpKKur7Gz3BLrLGDVfJ6tEK3Rak?usp=share_link", "RE-16.5865")</f>
        <v>RE-16.5865</v>
      </c>
      <c r="P113" s="18">
        <f>HYPERLINK("https://docs.google.com/spreadsheets/d/1MuAG9pndivhrLbFEZJHr2mtpe9Ss1LKG?usp=share_link", 241.958)</f>
        <v>241.958</v>
      </c>
      <c r="Q113" s="18" t="str">
        <f>HYPERLINK("https://docs.google.com/spreadsheets/d/1So-mt08QUAFim7y8W_SbWglLjkdxjn4f?usp=share_link", "RE-29.5231")</f>
        <v>RE-29.5231</v>
      </c>
      <c r="R113" s="18">
        <f>HYPERLINK("https://docs.google.com/spreadsheets/d/1bOJPWVob6I8U959-ZhQit4FP8m3-f3m-?usp=share_link", 56.3139)</f>
        <v>56.3139</v>
      </c>
      <c r="S113" s="18" t="str">
        <f>HYPERLINK("https://docs.google.com/spreadsheets/d/1gryreVurFczfmBrx8ihjwYKs6ZNCs9tY?usp=share_link", "RE-7.43542")</f>
        <v>RE-7.43542</v>
      </c>
      <c r="T113" s="18">
        <f>HYPERLINK("https://docs.google.com/spreadsheets/d/16HGTC0Eo642XTlWUQhUFXOarA1XgoAjJ?usp=share_link", 204.727)</f>
        <v>204.727</v>
      </c>
      <c r="U113" s="18" t="str">
        <f>HYPERLINK("https://docs.google.com/spreadsheets/d/18G4HsD9FoYuS-ZaFWdExlvA9mEEPGlnK?usp=share_link", "RE-12.6969")</f>
        <v>RE-12.6969</v>
      </c>
      <c r="V113" s="18" t="str">
        <f>HYPERLINK("https://docs.google.com/spreadsheets/d/1sYszm6-u_HG9JPz3GDhN88HQnuUsitM7?usp=share_link", "RE-5.0916")</f>
        <v>RE-5.0916</v>
      </c>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c r="EY113" s="17"/>
      <c r="EZ113" s="17"/>
      <c r="FA113" s="17"/>
      <c r="FB113" s="17"/>
      <c r="FC113" s="17"/>
      <c r="FD113" s="17"/>
      <c r="FE113" s="17"/>
      <c r="FF113" s="17"/>
      <c r="FG113" s="17"/>
      <c r="FH113" s="17"/>
    </row>
    <row r="114">
      <c r="A114" s="27" t="s">
        <v>7</v>
      </c>
      <c r="B114" s="27" t="s">
        <v>30</v>
      </c>
      <c r="C114" s="27" t="s">
        <v>15</v>
      </c>
      <c r="D114" s="28">
        <f t="shared" si="1"/>
        <v>906.343</v>
      </c>
      <c r="E114" s="33"/>
      <c r="F114" s="34" t="str">
        <f>HYPERLINK("https://docs.google.com/spreadsheets/d/1tAkhug7MEMn_5nfiq2VjnZPR4NMXrM1p?usp=share_link", "RE-2175.25")</f>
        <v>RE-2175.25</v>
      </c>
      <c r="G114" s="34" t="str">
        <f>HYPERLINK("https://docs.google.com/spreadsheets/d/1Ypt7I5RQZUO7UzOxklmaIAE71EYCbzv-?usp=share_link", "RE-11.2435")</f>
        <v>RE-11.2435</v>
      </c>
      <c r="H114" s="34" t="str">
        <f>HYPERLINK("https://docs.google.com/spreadsheets/d/1AVYVDuNkGybBwJN8uLlwRc2XlaUNQMCQ?usp=share_link", "RE-77.8319")</f>
        <v>RE-77.8319</v>
      </c>
      <c r="I114" s="34" t="str">
        <f>HYPERLINK("https://docs.google.com/spreadsheets/d/1CYJQy1uvKvp060PBmC2YVf8GNotnIDdO?usp=share_link", "RE-0.34015")</f>
        <v>RE-0.34015</v>
      </c>
      <c r="J114" s="34" t="str">
        <f>HYPERLINK("https://docs.google.com/spreadsheets/d/1T-HpCxo-jZWrpknWxbc6y-PEYRY6sGYT?usp=share_link", "RE-986.135")</f>
        <v>RE-986.135</v>
      </c>
      <c r="K114" s="34" t="str">
        <f>HYPERLINK("https://docs.google.com/spreadsheets/d/1-RiE9tc7OqERzS_1FomVhx1GgIWo41K_?usp=share_link", "RE-4.97885")</f>
        <v>RE-4.97885</v>
      </c>
      <c r="L114" s="34">
        <f>HYPERLINK("https://docs.google.com/spreadsheets/d/1T4dCOY7ojhUjrIIP0HmgHqbuMulZvvrA?usp=share_link", 307.372)</f>
        <v>307.372</v>
      </c>
      <c r="M114" s="34" t="str">
        <f>HYPERLINK("https://docs.google.com/spreadsheets/d/1NsizPTqIW4H7KTi1CH9l-y-XJRWRmqZV?usp=share_link", "RE-12.5848")</f>
        <v>RE-12.5848</v>
      </c>
      <c r="N114" s="34" t="str">
        <f>HYPERLINK("https://docs.google.com/spreadsheets/d/1E3ys0WuS0Ju2mldz7qf0iE76EEAFPk3l?usp=share_link", "RE-548.275")</f>
        <v>RE-548.275</v>
      </c>
      <c r="O114" s="34" t="str">
        <f>HYPERLINK("https://docs.google.com/spreadsheets/d/1lm94zFWtOoZDlqMvt6gIMzIk9bpXkMQf?usp=share_link", "RE-20.8133")</f>
        <v>RE-20.8133</v>
      </c>
      <c r="P114" s="34">
        <f>HYPERLINK("https://docs.google.com/spreadsheets/d/1cXla-WKUrb774Q4IlBYcFjEMIAbMEzZp?usp=share_link", 287.173)</f>
        <v>287.173</v>
      </c>
      <c r="Q114" s="34" t="str">
        <f>HYPERLINK("https://docs.google.com/spreadsheets/d/14ReMSG9UvhFeG8hxRj5zm292dVngLX5x?usp=share_link", "RE-33.8866")</f>
        <v>RE-33.8866</v>
      </c>
      <c r="R114" s="34">
        <f>HYPERLINK("https://docs.google.com/spreadsheets/d/1E-oi75R88-SyOC3KTj5cAFhXQGizcAzt?usp=share_link", 68.694)</f>
        <v>68.694</v>
      </c>
      <c r="S114" s="34" t="str">
        <f>HYPERLINK("https://docs.google.com/spreadsheets/d/1jLXemc6dIpMrpx8tMDHoQtv9cE2PHkAN?usp=share_link", "RE-8.19108")</f>
        <v>RE-8.19108</v>
      </c>
      <c r="T114" s="34">
        <f>HYPERLINK("https://docs.google.com/spreadsheets/d/1rlJ8AETTALLSsFEOyuiuajwVUYhJhhgl?usp=share_link", 243.104)</f>
        <v>243.104</v>
      </c>
      <c r="U114" s="34" t="str">
        <f>HYPERLINK("https://docs.google.com/spreadsheets/d/1BV6leGwDlc-8bLtCxFGffwsaQFj2qlQS?usp=share_link", "RE-13.7512")</f>
        <v>RE-13.7512</v>
      </c>
      <c r="V114" s="34" t="str">
        <f>HYPERLINK("https://docs.google.com/spreadsheets/d/1BI5t1qEQ0GyxQWVKq4A839xld9VrdCFg?usp=share_link", "RE-5.73535")</f>
        <v>RE-5.73535</v>
      </c>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3"/>
      <c r="DO114" s="33"/>
      <c r="DP114" s="33"/>
      <c r="DQ114" s="33"/>
      <c r="DR114" s="33"/>
      <c r="DS114" s="33"/>
      <c r="DT114" s="33"/>
      <c r="DU114" s="33"/>
      <c r="DV114" s="33"/>
      <c r="DW114" s="33"/>
      <c r="DX114" s="33"/>
      <c r="DY114" s="33"/>
      <c r="DZ114" s="33"/>
      <c r="EA114" s="33"/>
      <c r="EB114" s="33"/>
      <c r="EC114" s="33"/>
      <c r="ED114" s="33"/>
      <c r="EE114" s="33"/>
      <c r="EF114" s="33"/>
      <c r="EG114" s="33"/>
      <c r="EH114" s="33"/>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c r="FF114" s="33"/>
      <c r="FG114" s="33"/>
      <c r="FH114" s="33"/>
    </row>
    <row r="115">
      <c r="A115" s="30" t="s">
        <v>7</v>
      </c>
      <c r="B115" s="30" t="s">
        <v>31</v>
      </c>
      <c r="C115" s="31" t="str">
        <f>HYPERLINK("https://docs.google.com/spreadsheets/d/1_V7EcYPUZDi4Fa5cWXpPEG7wI3xg7ftD/edit?usp=share_link&amp;ouid=106501987799020758802&amp;rtpof=true&amp;sd=true", "Raw Delivered")</f>
        <v>Raw Delivered</v>
      </c>
      <c r="D115" s="12">
        <f t="shared" si="1"/>
        <v>5735.57377</v>
      </c>
      <c r="E115" s="13"/>
      <c r="F115" s="14">
        <f>HYPERLINK("https://docs.google.com/spreadsheets/d/15EzHPaiT4QWzCICUjg_oWNmawh2J2txy", 518.721796875)</f>
        <v>518.7217969</v>
      </c>
      <c r="G115" s="13"/>
      <c r="H115" s="14">
        <f>HYPERLINK("https://docs.google.com/spreadsheets/d/1OGVg4Juk4iwMh10VfmS7a0xyAFab4IPE", 96.2812)</f>
        <v>96.2812</v>
      </c>
      <c r="I115" s="13"/>
      <c r="J115" s="14">
        <f>HYPERLINK("https://docs.google.com/spreadsheets/d/1b5IZ7EJYx2O2aTZv4ryEz-ttL8_oqqGA", 1920.847203125)</f>
        <v>1920.847203</v>
      </c>
      <c r="K115" s="13"/>
      <c r="L115" s="14">
        <f t="shared" ref="L115:L116" si="58">HYPERLINK("https://docs.google.com/spreadsheets/d/1oEoR7LfyRiHw87DJFjT1j6IZsQSt0RRv", 623.031510416667)</f>
        <v>623.0315104</v>
      </c>
      <c r="M115" s="13"/>
      <c r="N115" s="14">
        <f>HYPERLINK("https://docs.google.com/spreadsheets/d/1cEvmmN0Yfdcwjn50sB70jy8RlFpt_Vmu", 1498.15401354166)</f>
        <v>1498.154014</v>
      </c>
      <c r="O115" s="13"/>
      <c r="P115" s="14">
        <f t="shared" ref="P115:P116" si="59">HYPERLINK("https://docs.google.com/spreadsheets/d/17neWxNRwqss9CkUyXrmZQZdhQTcMkfhT", 352.264448958333)</f>
        <v>352.264449</v>
      </c>
      <c r="Q115" s="13"/>
      <c r="R115" s="14">
        <f t="shared" ref="R115:R116" si="60">HYPERLINK("https://docs.google.com/spreadsheets/d/1UMi8IgKdGooGx1olMzhncV9X_d6FFWN2", 145.65869375)</f>
        <v>145.6586938</v>
      </c>
      <c r="S115" s="13"/>
      <c r="T115" s="14">
        <f t="shared" ref="T115:T116" si="61">HYPERLINK("https://docs.google.com/spreadsheets/d/1_bYnaA-j039DtnmablfBDHFs0mV77uHB", 580.614903124999)</f>
        <v>580.6149031</v>
      </c>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row>
    <row r="116">
      <c r="A116" s="32" t="s">
        <v>7</v>
      </c>
      <c r="B116" s="32" t="s">
        <v>31</v>
      </c>
      <c r="C116" s="32" t="s">
        <v>9</v>
      </c>
      <c r="D116" s="16">
        <f t="shared" si="1"/>
        <v>1701.569556</v>
      </c>
      <c r="E116" s="17"/>
      <c r="F116" s="18" t="str">
        <f>HYPERLINK("https://docs.google.com/spreadsheets/d/15EzHPaiT4QWzCICUjg_oWNmawh2J2txy", "RE-518.7217968750006")</f>
        <v>RE-518.7217968750006</v>
      </c>
      <c r="G116" s="17"/>
      <c r="H116" s="18" t="str">
        <f>HYPERLINK("https://docs.google.com/spreadsheets/d/1OGVg4Juk4iwMh10VfmS7a0xyAFab4IPE", "RE-96.28120000000003")</f>
        <v>RE-96.28120000000003</v>
      </c>
      <c r="I116" s="17"/>
      <c r="J116" s="18" t="str">
        <f>HYPERLINK("https://docs.google.com/spreadsheets/d/1b5IZ7EJYx2O2aTZv4ryEz-ttL8_oqqGA", "RE-1920.847203125")</f>
        <v>RE-1920.847203125</v>
      </c>
      <c r="K116" s="17"/>
      <c r="L116" s="18">
        <f t="shared" si="58"/>
        <v>623.0315104</v>
      </c>
      <c r="M116" s="17"/>
      <c r="N116" s="18" t="str">
        <f>HYPERLINK("https://docs.google.com/spreadsheets/d/1cEvmmN0Yfdcwjn50sB70jy8RlFpt_Vmu", "RE-1498.1540135416615")</f>
        <v>RE-1498.1540135416615</v>
      </c>
      <c r="O116" s="17"/>
      <c r="P116" s="18">
        <f t="shared" si="59"/>
        <v>352.264449</v>
      </c>
      <c r="Q116" s="17"/>
      <c r="R116" s="18">
        <f t="shared" si="60"/>
        <v>145.6586938</v>
      </c>
      <c r="S116" s="17"/>
      <c r="T116" s="18">
        <f t="shared" si="61"/>
        <v>580.6149031</v>
      </c>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c r="FC116" s="17"/>
      <c r="FD116" s="17"/>
      <c r="FE116" s="17"/>
      <c r="FF116" s="17"/>
      <c r="FG116" s="17"/>
      <c r="FH116" s="17"/>
    </row>
    <row r="117">
      <c r="A117" s="32" t="s">
        <v>7</v>
      </c>
      <c r="B117" s="32" t="s">
        <v>31</v>
      </c>
      <c r="C117" s="32" t="s">
        <v>10</v>
      </c>
      <c r="D117" s="16">
        <f t="shared" si="1"/>
        <v>607.2753156</v>
      </c>
      <c r="E117" s="17"/>
      <c r="F117" s="17"/>
      <c r="G117" s="18">
        <f>HYPERLINK("https://docs.google.com/spreadsheets/d/14o6ZUHUO7uxiMqe7Z8HQgWVeBcU1kSLJ", 38.44580625)</f>
        <v>38.44580625</v>
      </c>
      <c r="H117" s="17"/>
      <c r="I117" s="18">
        <f>HYPERLINK("https://docs.google.com/spreadsheets/d/1BwUBfqNyF8KMbyNeoZw3tb1RX5T8vqIE", 6.67024270833333)</f>
        <v>6.670242708</v>
      </c>
      <c r="J117" s="17"/>
      <c r="K117" s="18">
        <f>HYPERLINK("https://docs.google.com/spreadsheets/d/1oOWsAP5A0FN3DoX4xtZEsjAR_Rrb7lPt", 185.201772916666)</f>
        <v>185.2017729</v>
      </c>
      <c r="L117" s="17"/>
      <c r="M117" s="18">
        <f>HYPERLINK("https://docs.google.com/spreadsheets/d/1lHJDp9T4L0HwxHA8Z_J7aTkXfoh6cKB9", 29.7290593749999)</f>
        <v>29.72905937</v>
      </c>
      <c r="N117" s="17"/>
      <c r="O117" s="18">
        <f>HYPERLINK("https://docs.google.com/spreadsheets/d/1e-mt02UWsUqWwnKr50xof5JSu4k9guyC", 145.768498958333)</f>
        <v>145.768499</v>
      </c>
      <c r="P117" s="17"/>
      <c r="Q117" s="18">
        <f>HYPERLINK("https://docs.google.com/spreadsheets/d/1xvYU34Lo5XbEs9sHFDURBsIe0rVGpGuI", 97.9570177083332)</f>
        <v>97.95701771</v>
      </c>
      <c r="R117" s="17"/>
      <c r="S117" s="18">
        <f>HYPERLINK("https://docs.google.com/spreadsheets/d/1iapZrHN74M1zVEf4Qvn-8XdsYxTh1UlB", 29.44124375)</f>
        <v>29.44124375</v>
      </c>
      <c r="T117" s="17"/>
      <c r="U117" s="18">
        <f>HYPERLINK("https://docs.google.com/spreadsheets/d/1shGUIt9u83ebxMZ4LRI24BPmIydKF9Pb", 69.1984552083333)</f>
        <v>69.19845521</v>
      </c>
      <c r="V117" s="18">
        <f>HYPERLINK("https://docs.google.com/spreadsheets/d/1XYGWUtPLqckLp_uLWU1LfpOFVnQMK6AZ", 4.86321875)</f>
        <v>4.86321875</v>
      </c>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c r="FC117" s="17"/>
      <c r="FD117" s="17"/>
      <c r="FE117" s="17"/>
      <c r="FF117" s="17"/>
      <c r="FG117" s="17"/>
      <c r="FH117" s="17"/>
    </row>
    <row r="118">
      <c r="A118" s="32" t="s">
        <v>7</v>
      </c>
      <c r="B118" s="32" t="s">
        <v>31</v>
      </c>
      <c r="C118" s="32" t="s">
        <v>11</v>
      </c>
      <c r="D118" s="16">
        <f t="shared" si="1"/>
        <v>0</v>
      </c>
      <c r="E118" s="17"/>
      <c r="F118" s="17"/>
      <c r="G118" s="18" t="str">
        <f>HYPERLINK("https://docs.google.com/spreadsheets/d/14o6ZUHUO7uxiMqe7Z8HQgWVeBcU1kSLJ", "RE-38.44580625000001")</f>
        <v>RE-38.44580625000001</v>
      </c>
      <c r="H118" s="17"/>
      <c r="I118" s="18" t="str">
        <f>HYPERLINK("https://docs.google.com/spreadsheets/d/1BwUBfqNyF8KMbyNeoZw3tb1RX5T8vqIE", "RE-6.670242708333333")</f>
        <v>RE-6.670242708333333</v>
      </c>
      <c r="J118" s="17"/>
      <c r="K118" s="18" t="str">
        <f>HYPERLINK("https://docs.google.com/spreadsheets/d/1oOWsAP5A0FN3DoX4xtZEsjAR_Rrb7lPt", "RE-185.20177291666687")</f>
        <v>RE-185.20177291666687</v>
      </c>
      <c r="L118" s="17"/>
      <c r="M118" s="18" t="str">
        <f>HYPERLINK("https://docs.google.com/spreadsheets/d/1lHJDp9T4L0HwxHA8Z_J7aTkXfoh6cKB9", "RE-29.729059374999988")</f>
        <v>RE-29.729059374999988</v>
      </c>
      <c r="N118" s="17"/>
      <c r="O118" s="18" t="str">
        <f>HYPERLINK("https://docs.google.com/spreadsheets/d/1e-mt02UWsUqWwnKr50xof5JSu4k9guyC", "RE-145.76849895833337")</f>
        <v>RE-145.76849895833337</v>
      </c>
      <c r="P118" s="17"/>
      <c r="Q118" s="18" t="str">
        <f>HYPERLINK("https://docs.google.com/spreadsheets/d/1xvYU34Lo5XbEs9sHFDURBsIe0rVGpGuI", "RE-97.95701770833328")</f>
        <v>RE-97.95701770833328</v>
      </c>
      <c r="R118" s="17"/>
      <c r="S118" s="18" t="str">
        <f>HYPERLINK("https://docs.google.com/spreadsheets/d/1iapZrHN74M1zVEf4Qvn-8XdsYxTh1UlB", "RE-29.441243750000012")</f>
        <v>RE-29.441243750000012</v>
      </c>
      <c r="T118" s="17"/>
      <c r="U118" s="18" t="str">
        <f>HYPERLINK("https://docs.google.com/spreadsheets/d/1shGUIt9u83ebxMZ4LRI24BPmIydKF9Pb", "RE-69.19845520833331")</f>
        <v>RE-69.19845520833331</v>
      </c>
      <c r="V118" s="18" t="str">
        <f>HYPERLINK("https://docs.google.com/spreadsheets/d/1XYGWUtPLqckLp_uLWU1LfpOFVnQMK6AZ", "RE-4.86321875")</f>
        <v>RE-4.86321875</v>
      </c>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c r="FF118" s="17"/>
      <c r="FG118" s="17"/>
      <c r="FH118" s="17"/>
    </row>
    <row r="119">
      <c r="A119" s="32" t="s">
        <v>7</v>
      </c>
      <c r="B119" s="32" t="s">
        <v>31</v>
      </c>
      <c r="C119" s="32" t="s">
        <v>12</v>
      </c>
      <c r="D119" s="16">
        <f t="shared" si="1"/>
        <v>1572.947263</v>
      </c>
      <c r="E119" s="17"/>
      <c r="F119" s="18" t="str">
        <f>HYPERLINK("https://docs.google.com/spreadsheets/d/1wZpj7p_xn5LkVlSgDk5dXOGuizynbVp1", "RE-446.06694583333405")</f>
        <v>RE-446.06694583333405</v>
      </c>
      <c r="G119" s="18" t="str">
        <f>HYPERLINK("https://docs.google.com/spreadsheets/d/13DS2lzme4Y-Ck6gMrPdVrKSep1jrqSo7", "RE-1.3610916666666666")</f>
        <v>RE-1.3610916666666666</v>
      </c>
      <c r="H119" s="18" t="str">
        <f>HYPERLINK("https://docs.google.com/spreadsheets/d/1R0Vjc1KNrTPayaIgq5ksh5XQnKTH2sqY", "RE-85.74764583333338")</f>
        <v>RE-85.74764583333338</v>
      </c>
      <c r="I119" s="18" t="str">
        <f>HYPERLINK("https://docs.google.com/spreadsheets/d/1VcSvdZsLAbpTEEbDvUUj3CA_Pz6V6RQD", "RE-0.3493104166666667")</f>
        <v>RE-0.3493104166666667</v>
      </c>
      <c r="J119" s="18" t="str">
        <f>HYPERLINK("https://docs.google.com/spreadsheets/d/1pv-v4Egn6BtcncNsUMw-pAsRr63z0AMt", "RE-1528.6030843750011")</f>
        <v>RE-1528.6030843750011</v>
      </c>
      <c r="K119" s="18" t="str">
        <f>HYPERLINK("https://docs.google.com/spreadsheets/d/15XMy68DL7tHq7RmeGxdhJghjKkw6NFt5", "RE-4.179741666666667")</f>
        <v>RE-4.179741666666667</v>
      </c>
      <c r="L119" s="18">
        <f>HYPERLINK("https://docs.google.com/spreadsheets/d/1NGnxekG_Y5hbePFPicOi4P5W1-lqlAc-", 550.683172916667)</f>
        <v>550.6831729</v>
      </c>
      <c r="M119" s="18" t="str">
        <f>HYPERLINK("https://docs.google.com/spreadsheets/d/1g9ae5-6nkVMLp2aQJUo4CfLW8cqvyQBj", "RE-7.915171875")</f>
        <v>RE-7.915171875</v>
      </c>
      <c r="N119" s="18" t="str">
        <f>HYPERLINK("https://docs.google.com/spreadsheets/d/1plLJP48IAYha4V85DDqzRdve9hSNDErO", "RE-934.1350687500019")</f>
        <v>RE-934.1350687500019</v>
      </c>
      <c r="O119" s="18" t="str">
        <f>HYPERLINK("https://docs.google.com/spreadsheets/d/1LzhFBy5T4EXwbpeN8pqaVsrD2U11zxMZ", "RE-19.885375")</f>
        <v>RE-19.885375</v>
      </c>
      <c r="P119" s="18">
        <f>HYPERLINK("https://docs.google.com/spreadsheets/d/1r3HLmESEKr_pek8NePj9cltrYvt4PDUX", 328.277111458333)</f>
        <v>328.2771115</v>
      </c>
      <c r="Q119" s="18" t="str">
        <f>HYPERLINK("https://docs.google.com/spreadsheets/d/1ooAhHuC1CBkgquLaSoKVbpSCz6CtigJb", "RE-41.420125")</f>
        <v>RE-41.420125</v>
      </c>
      <c r="R119" s="18">
        <f>HYPERLINK("https://docs.google.com/spreadsheets/d/1OhS9x4Zp5zcI53iKTNWDO1gcW8_bc1PJ", 134.338660416666)</f>
        <v>134.3386604</v>
      </c>
      <c r="S119" s="18" t="str">
        <f>HYPERLINK("https://docs.google.com/spreadsheets/d/1fU6mPlRDKjaMCuvEx3RduCC7WbrkzrXE", "RE-16.129322916666663")</f>
        <v>RE-16.129322916666663</v>
      </c>
      <c r="T119" s="18">
        <f>HYPERLINK("https://docs.google.com/spreadsheets/d/167Sozl9-Pwe5oIYvm_FFa2WH0_aDlU12", 559.648317708333)</f>
        <v>559.6483177</v>
      </c>
      <c r="U119" s="18" t="str">
        <f>HYPERLINK("https://docs.google.com/spreadsheets/d/1LFD4xnfR_hngsTFNgf4fESI9CvcXCvAN", "RE-42.66343958333331")</f>
        <v>RE-42.66343958333331</v>
      </c>
      <c r="V119" s="18" t="str">
        <f>HYPERLINK("https://docs.google.com/spreadsheets/d/1_qCwJHoqsUjKXDMWWpzaScxQGA69-XTm", "RE-2.19166875")</f>
        <v>RE-2.19166875</v>
      </c>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c r="FC119" s="17"/>
      <c r="FD119" s="17"/>
      <c r="FE119" s="17"/>
      <c r="FF119" s="17"/>
      <c r="FG119" s="17"/>
      <c r="FH119" s="17"/>
    </row>
    <row r="120">
      <c r="A120" s="32" t="s">
        <v>7</v>
      </c>
      <c r="B120" s="32" t="s">
        <v>31</v>
      </c>
      <c r="C120" s="32" t="s">
        <v>13</v>
      </c>
      <c r="D120" s="16">
        <f t="shared" si="1"/>
        <v>1505.095</v>
      </c>
      <c r="E120" s="17"/>
      <c r="F120" s="18" t="str">
        <f>HYPERLINK("https://docs.google.com/spreadsheets/d/15RyyIAxryLsX1x2-mL7gu6QvbN2UQy-r?usp=share_link", "RE-431.931")</f>
        <v>RE-431.931</v>
      </c>
      <c r="G120" s="18" t="str">
        <f>HYPERLINK("https://docs.google.com/spreadsheets/d/15bK0SCqOGn8ds2E1WLpSCWnMPBjb2M11?usp=share_link", "RE-1.29003")</f>
        <v>RE-1.29003</v>
      </c>
      <c r="H120" s="18" t="str">
        <f>HYPERLINK("https://docs.google.com/spreadsheets/d/1HwTjQ70XjgYUp6OD7-F4BBkU8wLlwdRp?usp=share_link", "RE-83.7111")</f>
        <v>RE-83.7111</v>
      </c>
      <c r="I120" s="18" t="str">
        <f>HYPERLINK("https://docs.google.com/spreadsheets/d/1_J1fY8FSHSlzGoCgST2X5SezDEn6FcK2?usp=share_link", "RE-0.337133")</f>
        <v>RE-0.337133</v>
      </c>
      <c r="J120" s="18" t="str">
        <f>HYPERLINK("https://docs.google.com/spreadsheets/d/13a3BviMcDX6CYg83-FG_qT5WoGpCGJNs?usp=share_link", "RE-1473.7")</f>
        <v>RE-1473.7</v>
      </c>
      <c r="K120" s="18" t="str">
        <f>HYPERLINK("https://docs.google.com/spreadsheets/d/1Yby7P9nlEMMTijiZXO5xXCznPEs76tuK?usp=share_link", "RE-4.0475")</f>
        <v>RE-4.0475</v>
      </c>
      <c r="L120" s="18">
        <f>HYPERLINK("https://docs.google.com/spreadsheets/d/1adifCsKhF1gBSWlHVTOKoIwt2wIvPraq?usp=share_link", 526.72)</f>
        <v>526.72</v>
      </c>
      <c r="M120" s="18" t="str">
        <f>HYPERLINK("https://docs.google.com/spreadsheets/d/1prEGH0RopB0f0UKp_jlTQ1cKHCvhMqe4?usp=share_link", "RE-7.32105")</f>
        <v>RE-7.32105</v>
      </c>
      <c r="N120" s="18" t="str">
        <f>HYPERLINK("https://docs.google.com/spreadsheets/d/1NPRE5Q7DWz1i2u2kn5A5C1_bR626lcRr?usp=share_link", "RE-898.743")</f>
        <v>RE-898.743</v>
      </c>
      <c r="O120" s="18" t="str">
        <f>HYPERLINK("https://docs.google.com/spreadsheets/d/1P6k9Zh_8ykILiWj4LrjG-5_oB8WNuvOK?usp=share_link", "RE-18.8023")</f>
        <v>RE-18.8023</v>
      </c>
      <c r="P120" s="18">
        <f>HYPERLINK("https://docs.google.com/spreadsheets/d/1g6nw5PUdRB64okuL1UJ1wU5_nzT19RJE?usp=share_link", 314.392)</f>
        <v>314.392</v>
      </c>
      <c r="Q120" s="18" t="str">
        <f>HYPERLINK("https://docs.google.com/spreadsheets/d/1hGIyIZ9-j6qTpWQ8Avw28fGQw-ByphUs?usp=share_link", "RE-39.4098")</f>
        <v>RE-39.4098</v>
      </c>
      <c r="R120" s="18">
        <f>HYPERLINK("https://docs.google.com/spreadsheets/d/19iiYJXQVzJivOVYbKIH5xB1yi0HJ8Wl1?usp=share_link", 127.678)</f>
        <v>127.678</v>
      </c>
      <c r="S120" s="18" t="str">
        <f>HYPERLINK("https://docs.google.com/spreadsheets/d/1i_xzbxwRG3bCHGAa_1IKLxsCWOru12nW?usp=share_link", "RE-15.4933")</f>
        <v>RE-15.4933</v>
      </c>
      <c r="T120" s="18">
        <f>HYPERLINK("https://docs.google.com/spreadsheets/d/18KmZexDyYAsNokmYP6dqypPHWw1CbLZv?usp=share_link", 536.305)</f>
        <v>536.305</v>
      </c>
      <c r="U120" s="18" t="str">
        <f>HYPERLINK("https://docs.google.com/spreadsheets/d/1DoP3YouD9W8m3voQUmUEHORq72taR5h2?usp=share_link", "RE-40.069")</f>
        <v>RE-40.069</v>
      </c>
      <c r="V120" s="18" t="str">
        <f>HYPERLINK("https://docs.google.com/spreadsheets/d/1TjToqEgWOl49BvpzA8qSEVPsV_GvT2MK?usp=share_link", "RE-2.05605")</f>
        <v>RE-2.05605</v>
      </c>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c r="FC120" s="17"/>
      <c r="FD120" s="17"/>
      <c r="FE120" s="17"/>
      <c r="FF120" s="17"/>
      <c r="FG120" s="17"/>
      <c r="FH120" s="17"/>
    </row>
    <row r="121">
      <c r="A121" s="32" t="s">
        <v>7</v>
      </c>
      <c r="B121" s="32" t="s">
        <v>31</v>
      </c>
      <c r="C121" s="32" t="s">
        <v>14</v>
      </c>
      <c r="D121" s="16">
        <f t="shared" si="1"/>
        <v>1287.81</v>
      </c>
      <c r="E121" s="17"/>
      <c r="F121" s="18" t="str">
        <f>HYPERLINK("https://docs.google.com/spreadsheets/d/1pBauOGif4rHEmWmU6K38JwMCZ0p_V5Jl?usp=share_link", "RE-384.854")</f>
        <v>RE-384.854</v>
      </c>
      <c r="G121" s="18" t="str">
        <f>HYPERLINK("https://docs.google.com/spreadsheets/d/1Ze66_J00EvIqnHTP1AFYLuX-7L8WOQKS?usp=share_link", "RE-1.21578")</f>
        <v>RE-1.21578</v>
      </c>
      <c r="H121" s="18" t="str">
        <f>HYPERLINK("https://docs.google.com/spreadsheets/d/1KbKN7CmCrdBC9eofL0Wst7HjaSprbDnF?usp=share_link", "RE-73.564")</f>
        <v>RE-73.564</v>
      </c>
      <c r="I121" s="18" t="str">
        <f>HYPERLINK("https://docs.google.com/spreadsheets/d/1TOKiv1VZqSS2CLbENqK0E8r4oaSaWVuA?usp=share_link", "RE-0.337133")</f>
        <v>RE-0.337133</v>
      </c>
      <c r="J121" s="18" t="str">
        <f>HYPERLINK("https://docs.google.com/spreadsheets/d/1xcfr5ARDIpKGyLxQloVLWcsH1NRdIZZi?usp=share_link", "RE-1352.31")</f>
        <v>RE-1352.31</v>
      </c>
      <c r="K121" s="18" t="str">
        <f>HYPERLINK("https://docs.google.com/spreadsheets/d/1DZolhyuOMtlDM7oNq13x-Lpc6gba87o_?usp=share_link", "RE-3.54225")</f>
        <v>RE-3.54225</v>
      </c>
      <c r="L121" s="18">
        <f>HYPERLINK("https://docs.google.com/spreadsheets/d/1F-vZHxwECu_Me5vVVHAtrMG6AcpYR6Om?usp=share_link", 461.019)</f>
        <v>461.019</v>
      </c>
      <c r="M121" s="18" t="str">
        <f>HYPERLINK("https://docs.google.com/spreadsheets/d/1LVzcsyn7T6xdFAAsRmLVLeYl7zPleiSp?usp=share_link", "RE-6.7555")</f>
        <v>RE-6.7555</v>
      </c>
      <c r="N121" s="18" t="str">
        <f>HYPERLINK("https://docs.google.com/spreadsheets/d/1fCjxpdI1TFOkGRAPGCPF_mkFWZxghU3u?usp=share_link", "RE-768.461")</f>
        <v>RE-768.461</v>
      </c>
      <c r="O121" s="18" t="str">
        <f>HYPERLINK("https://docs.google.com/spreadsheets/d/1AjT18jHfWQD5zMJoEo_99AEBdrafDnSW?usp=share_link", "RE-16.2853")</f>
        <v>RE-16.2853</v>
      </c>
      <c r="P121" s="18">
        <f>HYPERLINK("https://docs.google.com/spreadsheets/d/1KG1qN5_EcB21j4rHsN47h7hakiBITDWC?usp=share_link", 268.76)</f>
        <v>268.76</v>
      </c>
      <c r="Q121" s="18" t="str">
        <f>HYPERLINK("https://docs.google.com/spreadsheets/d/1iovYBc6MQs2EIQoy61Nig2lWXopUUHh7?usp=share_link", "RE-33.582")</f>
        <v>RE-33.582</v>
      </c>
      <c r="R121" s="18">
        <f>HYPERLINK("https://docs.google.com/spreadsheets/d/1Wa3Ol4m79LPElr_DR02vGGAnWiCXZp4E?usp=share_link", 102.968)</f>
        <v>102.968</v>
      </c>
      <c r="S121" s="18" t="str">
        <f>HYPERLINK("https://docs.google.com/spreadsheets/d/1gQlVRIueBnnXlFGx_muO4uM9PHimk5ai?usp=share_link", "RE-14.4743")</f>
        <v>RE-14.4743</v>
      </c>
      <c r="T121" s="18">
        <f>HYPERLINK("https://docs.google.com/spreadsheets/d/1pk1B5vmxtJS6KqdQSdNzibPE0xt_n1AA?usp=share_link", 455.063)</f>
        <v>455.063</v>
      </c>
      <c r="U121" s="18" t="str">
        <f>HYPERLINK("https://docs.google.com/spreadsheets/d/1ixpaLLIgUDwwO_SaS_6-PcM8_eO7fLR8?usp=share_link", "RE-35.145")</f>
        <v>RE-35.145</v>
      </c>
      <c r="V121" s="18" t="str">
        <f>HYPERLINK("https://docs.google.com/spreadsheets/d/1sv2GwYYA_n0hd5nHjO7yqEkmPnr_2rpj?usp=share_link", "RE-2.05605")</f>
        <v>RE-2.05605</v>
      </c>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c r="FC121" s="17"/>
      <c r="FD121" s="17"/>
      <c r="FE121" s="17"/>
      <c r="FF121" s="17"/>
      <c r="FG121" s="17"/>
      <c r="FH121" s="17"/>
    </row>
    <row r="122">
      <c r="A122" s="27" t="s">
        <v>7</v>
      </c>
      <c r="B122" s="27" t="s">
        <v>31</v>
      </c>
      <c r="C122" s="27" t="s">
        <v>15</v>
      </c>
      <c r="D122" s="28">
        <f t="shared" si="1"/>
        <v>1505.095</v>
      </c>
      <c r="E122" s="33"/>
      <c r="F122" s="34" t="str">
        <f>HYPERLINK("https://docs.google.com/spreadsheets/d/1dK25Bv8bahPRzqE57bYNVS0oUZw8q54Z?usp=share_link", "RE-431.768")</f>
        <v>RE-431.768</v>
      </c>
      <c r="G122" s="34" t="str">
        <f>HYPERLINK("https://docs.google.com/spreadsheets/d/1bD2Wc-lKvVzgccqnq20fAVk0MGu_tk8b?usp=share_link", "RE-1.29003")</f>
        <v>RE-1.29003</v>
      </c>
      <c r="H122" s="34" t="str">
        <f>HYPERLINK("https://docs.google.com/spreadsheets/d/1vlNkORWc5joRrQFjvQo6pNhGjcizq4sL?usp=share_link", "RE-83.7111")</f>
        <v>RE-83.7111</v>
      </c>
      <c r="I122" s="34" t="str">
        <f>HYPERLINK("https://docs.google.com/spreadsheets/d/1UTfRGvzWpXbJgPEB_iDyuzXzd9fUAkdl?usp=share_link", "RE-0.337133")</f>
        <v>RE-0.337133</v>
      </c>
      <c r="J122" s="34" t="str">
        <f>HYPERLINK("https://docs.google.com/spreadsheets/d/1zvkmYbE3IIMP8rqlPJbYox_VNknesnEW?usp=share_link", "RE-1473.7")</f>
        <v>RE-1473.7</v>
      </c>
      <c r="K122" s="34" t="str">
        <f>HYPERLINK("https://docs.google.com/spreadsheets/d/1ZwaSN5GWLsH6cs1VyFsjHVS586IX0gCt?usp=share_link", "RE-4.0475")</f>
        <v>RE-4.0475</v>
      </c>
      <c r="L122" s="34">
        <f>HYPERLINK("https://docs.google.com/spreadsheets/d/1Hsr_5zpeY6ds9bsxYE-g6PBBPTcDZZK5?usp=share_link", 526.72)</f>
        <v>526.72</v>
      </c>
      <c r="M122" s="34" t="str">
        <f>HYPERLINK("https://docs.google.com/spreadsheets/d/1nWpphmB_J97UG33HMUxJf-SEvZSVZ1C5?usp=share_link", "RE-7.32105")</f>
        <v>RE-7.32105</v>
      </c>
      <c r="N122" s="34" t="str">
        <f>HYPERLINK("https://docs.google.com/spreadsheets/d/1YYJbmElLngomM1AVHSTPKvaH_ywkTGzy?usp=share_link", "RE-898.743")</f>
        <v>RE-898.743</v>
      </c>
      <c r="O122" s="34" t="str">
        <f>HYPERLINK("https://docs.google.com/spreadsheets/d/1kzUNpKNwTBvtYMSv7u8u6Cl6Wp420Hk0?usp=share_link", "RE-18.8023")</f>
        <v>RE-18.8023</v>
      </c>
      <c r="P122" s="34">
        <f>HYPERLINK("https://docs.google.com/spreadsheets/d/1OY83kP9GeTqNHS5mCSux00sF1D7fKSpy?usp=share_link", 314.392)</f>
        <v>314.392</v>
      </c>
      <c r="Q122" s="34" t="str">
        <f>HYPERLINK("https://docs.google.com/spreadsheets/d/1U0fyYSiArhbK3kq9KxOxN8Rw4rE2nrpk?usp=share_link", "RE-39.4098")</f>
        <v>RE-39.4098</v>
      </c>
      <c r="R122" s="34">
        <f>HYPERLINK("https://docs.google.com/spreadsheets/d/19EhJSTioQY-b8HKYmpRanJUYFuH9R2NS?usp=share_link", 127.678)</f>
        <v>127.678</v>
      </c>
      <c r="S122" s="34" t="str">
        <f>HYPERLINK("https://docs.google.com/spreadsheets/d/1ESzXUyWO2KthjbPLqAEYJq4DSbO7IgJd?usp=share_link", "RE-15.4933")</f>
        <v>RE-15.4933</v>
      </c>
      <c r="T122" s="34">
        <f>HYPERLINK("https://docs.google.com/spreadsheets/d/14hk8STsFajGWfpS1pXGulF14s_TnLeL9?usp=share_link", 536.305)</f>
        <v>536.305</v>
      </c>
      <c r="U122" s="34" t="str">
        <f>HYPERLINK("https://docs.google.com/spreadsheets/d/1r2bIPiKn-sxpjpgo9vnn3UFKM82iRnvM?usp=share_link", "RE-40.0093")</f>
        <v>RE-40.0093</v>
      </c>
      <c r="V122" s="34" t="str">
        <f>HYPERLINK("https://docs.google.com/spreadsheets/d/1-qJN-nSyr01-R869k53Uj-DkD-hvFlLK?usp=share_link", "RE-2.05605")</f>
        <v>RE-2.05605</v>
      </c>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33"/>
      <c r="ER122" s="33"/>
      <c r="ES122" s="33"/>
      <c r="ET122" s="33"/>
      <c r="EU122" s="33"/>
      <c r="EV122" s="33"/>
      <c r="EW122" s="33"/>
      <c r="EX122" s="33"/>
      <c r="EY122" s="33"/>
      <c r="EZ122" s="33"/>
      <c r="FA122" s="33"/>
      <c r="FB122" s="33"/>
      <c r="FC122" s="33"/>
      <c r="FD122" s="33"/>
      <c r="FE122" s="33"/>
      <c r="FF122" s="33"/>
      <c r="FG122" s="33"/>
      <c r="FH122" s="33"/>
    </row>
    <row r="123">
      <c r="A123" s="30" t="s">
        <v>7</v>
      </c>
      <c r="B123" s="30" t="s">
        <v>32</v>
      </c>
      <c r="C123" s="31" t="str">
        <f>HYPERLINK("https://docs.google.com/spreadsheets/d/1E3JMqJXb72IljDVr5qfxBvczc9MY9C7n/edit?usp=share_link&amp;ouid=106501987799020758802&amp;rtpof=true&amp;sd=true", "Raw Delivered")</f>
        <v>Raw Delivered</v>
      </c>
      <c r="D123" s="12">
        <f t="shared" si="1"/>
        <v>5343.099484</v>
      </c>
      <c r="E123" s="13"/>
      <c r="F123" s="14">
        <f>HYPERLINK("https://docs.google.com/spreadsheets/d/1_SgezcECiTUhZ4fITqnLkRN1QtBTuIdP", 891.343848958332)</f>
        <v>891.343849</v>
      </c>
      <c r="G123" s="13"/>
      <c r="H123" s="14">
        <f>HYPERLINK("https://docs.google.com/spreadsheets/d/1pvOK61xaFqd0rp6QLyqNbpfJNI7a7uEe", 89.2095854166666)</f>
        <v>89.20958542</v>
      </c>
      <c r="I123" s="13"/>
      <c r="J123" s="14">
        <f>HYPERLINK("https://docs.google.com/spreadsheets/d/1DROdNM9QnofxnvEwn2d7HciL5kiwf3ML", 1423.10637604166)</f>
        <v>1423.106376</v>
      </c>
      <c r="K123" s="13"/>
      <c r="L123" s="14">
        <f t="shared" ref="L123:L124" si="62">HYPERLINK("https://docs.google.com/spreadsheets/d/1MPt8St3Nrd0GPcHVCPVVOTat6fvp70m9", 564.439026041667)</f>
        <v>564.439026</v>
      </c>
      <c r="M123" s="13"/>
      <c r="N123" s="14">
        <f>HYPERLINK("https://docs.google.com/spreadsheets/d/1eSFoLoFLl5gBzYoWpnhVD14LxCZuoSEm", 1440.29878124999)</f>
        <v>1440.298781</v>
      </c>
      <c r="O123" s="13"/>
      <c r="P123" s="14">
        <f t="shared" ref="P123:P124" si="63">HYPERLINK("https://docs.google.com/spreadsheets/d/1G07W3VJ99uFEo29YaELxUC6JJCXSLBPY", 320.989745833333)</f>
        <v>320.9897458</v>
      </c>
      <c r="Q123" s="13"/>
      <c r="R123" s="14">
        <f t="shared" ref="R123:R124" si="64">HYPERLINK("https://docs.google.com/spreadsheets/d/16uHYOtS76DL8k5s3yV58MZ764CJxJpf3", 113.992201041666)</f>
        <v>113.992201</v>
      </c>
      <c r="S123" s="13"/>
      <c r="T123" s="14">
        <f t="shared" ref="T123:T124" si="65">HYPERLINK("https://docs.google.com/spreadsheets/d/15WvrKsVY9TAq8-Ewr1cWIw17pGiyDUEp", 499.719919791667)</f>
        <v>499.7199198</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row>
    <row r="124">
      <c r="A124" s="32" t="s">
        <v>7</v>
      </c>
      <c r="B124" s="32" t="s">
        <v>32</v>
      </c>
      <c r="C124" s="32" t="s">
        <v>9</v>
      </c>
      <c r="D124" s="16">
        <f t="shared" si="1"/>
        <v>1499.140893</v>
      </c>
      <c r="E124" s="17"/>
      <c r="F124" s="18" t="str">
        <f>HYPERLINK("https://docs.google.com/spreadsheets/d/1_SgezcECiTUhZ4fITqnLkRN1QtBTuIdP", "RE-891.343848958332")</f>
        <v>RE-891.343848958332</v>
      </c>
      <c r="G124" s="17"/>
      <c r="H124" s="18" t="str">
        <f>HYPERLINK("https://docs.google.com/spreadsheets/d/1pvOK61xaFqd0rp6QLyqNbpfJNI7a7uEe", "RE-89.20958541666661")</f>
        <v>RE-89.20958541666661</v>
      </c>
      <c r="I124" s="17"/>
      <c r="J124" s="18" t="str">
        <f>HYPERLINK("https://docs.google.com/spreadsheets/d/1DROdNM9QnofxnvEwn2d7HciL5kiwf3ML", "RE-1423.106376041667")</f>
        <v>RE-1423.106376041667</v>
      </c>
      <c r="K124" s="17"/>
      <c r="L124" s="18">
        <f t="shared" si="62"/>
        <v>564.439026</v>
      </c>
      <c r="M124" s="17"/>
      <c r="N124" s="18" t="str">
        <f>HYPERLINK("https://docs.google.com/spreadsheets/d/1eSFoLoFLl5gBzYoWpnhVD14LxCZuoSEm", "RE-1440.2987812499982")</f>
        <v>RE-1440.2987812499982</v>
      </c>
      <c r="O124" s="17"/>
      <c r="P124" s="18">
        <f t="shared" si="63"/>
        <v>320.9897458</v>
      </c>
      <c r="Q124" s="17"/>
      <c r="R124" s="18">
        <f t="shared" si="64"/>
        <v>113.992201</v>
      </c>
      <c r="S124" s="17"/>
      <c r="T124" s="18">
        <f t="shared" si="65"/>
        <v>499.7199198</v>
      </c>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c r="FC124" s="17"/>
      <c r="FD124" s="17"/>
      <c r="FE124" s="17"/>
      <c r="FF124" s="17"/>
      <c r="FG124" s="17"/>
      <c r="FH124" s="17"/>
    </row>
    <row r="125">
      <c r="A125" s="32" t="s">
        <v>7</v>
      </c>
      <c r="B125" s="32" t="s">
        <v>32</v>
      </c>
      <c r="C125" s="32" t="s">
        <v>10</v>
      </c>
      <c r="D125" s="16">
        <f t="shared" si="1"/>
        <v>523.3146292</v>
      </c>
      <c r="E125" s="17"/>
      <c r="F125" s="17"/>
      <c r="G125" s="18">
        <f>HYPERLINK("https://docs.google.com/spreadsheets/d/1iDibq1pi5aNR0J8oQhLw9Nlypg9yGgu4", 79.8743062499999)</f>
        <v>79.87430625</v>
      </c>
      <c r="H125" s="17"/>
      <c r="I125" s="18">
        <f>HYPERLINK("https://docs.google.com/spreadsheets/d/1b_tS0dcBtp89yhoktHNIiltomYyHiSCQ", 8.20608333333333)</f>
        <v>8.206083333</v>
      </c>
      <c r="J125" s="17"/>
      <c r="K125" s="18">
        <f>HYPERLINK("https://docs.google.com/spreadsheets/d/185wQsysMfQNXPpW-sElZK_hKt0inBtep", 109.31195625)</f>
        <v>109.3119563</v>
      </c>
      <c r="L125" s="17"/>
      <c r="M125" s="18">
        <f>HYPERLINK("https://docs.google.com/spreadsheets/d/1BI_nLB9ege9vwQsOOalpbvo0U6JlgptR", 27.5481854166666)</f>
        <v>27.54818542</v>
      </c>
      <c r="N125" s="17"/>
      <c r="O125" s="18">
        <f>HYPERLINK("https://docs.google.com/spreadsheets/d/1dajATHzV0Mu7UV8e9ayknsNf0ehnKYUn", 145.059895833333)</f>
        <v>145.0598958</v>
      </c>
      <c r="P125" s="17"/>
      <c r="Q125" s="18">
        <f>HYPERLINK("https://docs.google.com/spreadsheets/d/1vf_VMRtE8lWczDt59uyIzmkpq0wgDBPw", 77.7096885416666)</f>
        <v>77.70968854</v>
      </c>
      <c r="R125" s="17"/>
      <c r="S125" s="18">
        <f>HYPERLINK("https://docs.google.com/spreadsheets/d/146ozAdvNxpt88GG2AlOtCZFygVEabEjw", 22.8723093749999)</f>
        <v>22.87230937</v>
      </c>
      <c r="T125" s="17"/>
      <c r="U125" s="18">
        <f>HYPERLINK("https://docs.google.com/spreadsheets/d/1Wm0E8D3DQtjX3QZ36vfQfWO-9_R2M8Fo", 48.2022791666666)</f>
        <v>48.20227917</v>
      </c>
      <c r="V125" s="18">
        <f>HYPERLINK("https://docs.google.com/spreadsheets/d/1X1VAbzyHCw-66JsnN6rOyLk__pGl-w6l", 4.529925)</f>
        <v>4.529925</v>
      </c>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17"/>
      <c r="FG125" s="17"/>
      <c r="FH125" s="17"/>
    </row>
    <row r="126">
      <c r="A126" s="32" t="s">
        <v>7</v>
      </c>
      <c r="B126" s="32" t="s">
        <v>32</v>
      </c>
      <c r="C126" s="32" t="s">
        <v>11</v>
      </c>
      <c r="D126" s="16">
        <f t="shared" si="1"/>
        <v>0</v>
      </c>
      <c r="E126" s="17"/>
      <c r="F126" s="17"/>
      <c r="G126" s="18" t="str">
        <f>HYPERLINK("https://docs.google.com/spreadsheets/d/1iDibq1pi5aNR0J8oQhLw9Nlypg9yGgu4", "RE-79.87430624999998")</f>
        <v>RE-79.87430624999998</v>
      </c>
      <c r="H126" s="17"/>
      <c r="I126" s="18" t="str">
        <f>HYPERLINK("https://docs.google.com/spreadsheets/d/1b_tS0dcBtp89yhoktHNIiltomYyHiSCQ", "RE-8.206083333333334")</f>
        <v>RE-8.206083333333334</v>
      </c>
      <c r="J126" s="17"/>
      <c r="K126" s="18" t="str">
        <f>HYPERLINK("https://docs.google.com/spreadsheets/d/185wQsysMfQNXPpW-sElZK_hKt0inBtep", "RE-109.31195625000002")</f>
        <v>RE-109.31195625000002</v>
      </c>
      <c r="L126" s="17"/>
      <c r="M126" s="18" t="str">
        <f>HYPERLINK("https://docs.google.com/spreadsheets/d/1BI_nLB9ege9vwQsOOalpbvo0U6JlgptR", "RE-27.548185416666673")</f>
        <v>RE-27.548185416666673</v>
      </c>
      <c r="N126" s="17"/>
      <c r="O126" s="18" t="str">
        <f>HYPERLINK("https://docs.google.com/spreadsheets/d/1dajATHzV0Mu7UV8e9ayknsNf0ehnKYUn", "RE-145.05989583333334")</f>
        <v>RE-145.05989583333334</v>
      </c>
      <c r="P126" s="17"/>
      <c r="Q126" s="18" t="str">
        <f>HYPERLINK("https://docs.google.com/spreadsheets/d/1vf_VMRtE8lWczDt59uyIzmkpq0wgDBPw", "RE-77.70968854166668")</f>
        <v>RE-77.70968854166668</v>
      </c>
      <c r="R126" s="17"/>
      <c r="S126" s="18" t="str">
        <f>HYPERLINK("https://docs.google.com/spreadsheets/d/146ozAdvNxpt88GG2AlOtCZFygVEabEjw", "RE-22.872309374999993")</f>
        <v>RE-22.872309374999993</v>
      </c>
      <c r="T126" s="17"/>
      <c r="U126" s="18" t="str">
        <f>HYPERLINK("https://docs.google.com/spreadsheets/d/1Wm0E8D3DQtjX3QZ36vfQfWO-9_R2M8Fo", "RE-48.20227916666667")</f>
        <v>RE-48.20227916666667</v>
      </c>
      <c r="V126" s="18" t="str">
        <f>HYPERLINK("https://docs.google.com/spreadsheets/d/1X1VAbzyHCw-66JsnN6rOyLk__pGl-w6l", "RE-4.529925")</f>
        <v>RE-4.529925</v>
      </c>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c r="FC126" s="17"/>
      <c r="FD126" s="17"/>
      <c r="FE126" s="17"/>
      <c r="FF126" s="17"/>
      <c r="FG126" s="17"/>
      <c r="FH126" s="17"/>
    </row>
    <row r="127">
      <c r="A127" s="32" t="s">
        <v>7</v>
      </c>
      <c r="B127" s="32" t="s">
        <v>32</v>
      </c>
      <c r="C127" s="32" t="s">
        <v>12</v>
      </c>
      <c r="D127" s="16">
        <f t="shared" si="1"/>
        <v>1402.484664</v>
      </c>
      <c r="E127" s="17"/>
      <c r="F127" s="18" t="str">
        <f>HYPERLINK("https://docs.google.com/spreadsheets/d/1YY-AQDs58cmyLRJqKvrhjxCw4TNADmRM", "RE-752.9058802083335")</f>
        <v>RE-752.9058802083335</v>
      </c>
      <c r="G127" s="18" t="str">
        <f>HYPERLINK("https://docs.google.com/spreadsheets/d/1PXknw1fX-oaWAVZB88zyoehgM5djAe_-", "RE-2.9129937499999996")</f>
        <v>RE-2.9129937499999996</v>
      </c>
      <c r="H127" s="18" t="str">
        <f>HYPERLINK("https://docs.google.com/spreadsheets/d/174zUh8GlV70QmoQvEQaOri280MJOeOa2", "RE-81.88008958333332")</f>
        <v>RE-81.88008958333332</v>
      </c>
      <c r="I127" s="18" t="str">
        <f>HYPERLINK("https://docs.google.com/spreadsheets/d/1zaxiDzZiM88YxhTqC2_0ootxfnxklqA-", "RE-0.34982708333333334")</f>
        <v>RE-0.34982708333333334</v>
      </c>
      <c r="J127" s="18" t="str">
        <f>HYPERLINK("https://docs.google.com/spreadsheets/d/10M5CLbdl3L6-Uc1G8lGdiSQtUqJ14aYD", "RE-1169.516571874999")</f>
        <v>RE-1169.516571874999</v>
      </c>
      <c r="K127" s="18" t="str">
        <f>HYPERLINK("https://docs.google.com/spreadsheets/d/1-YN4raK0-50FjmdUrJBifFPbQv_dj-HY", "RE-3.714877083333333")</f>
        <v>RE-3.714877083333333</v>
      </c>
      <c r="L127" s="18">
        <f>HYPERLINK("https://docs.google.com/spreadsheets/d/1C4_XtPl4Q-mzj29_-PMs5ue9OcjF2lRQ", 516.617472916666)</f>
        <v>516.6174729</v>
      </c>
      <c r="M127" s="18" t="str">
        <f>HYPERLINK("https://docs.google.com/spreadsheets/d/1hzvL7mld-Xfwh0Jn7vYZ_EWBPRoJV_FL", "RE-8.239689583333334")</f>
        <v>RE-8.239689583333334</v>
      </c>
      <c r="N127" s="18" t="str">
        <f>HYPERLINK("https://docs.google.com/spreadsheets/d/1GO4XcDUwazVle93Fx0f7DIJRG2-h4zSS", "RE-894.4582718749984")</f>
        <v>RE-894.4582718749984</v>
      </c>
      <c r="O127" s="18" t="str">
        <f>HYPERLINK("https://docs.google.com/spreadsheets/d/16d5Zb3mL4x88wUJm6IiBAdIklJW-7Alj", "RE-9.766929166666666")</f>
        <v>RE-9.766929166666666</v>
      </c>
      <c r="P127" s="18">
        <f>HYPERLINK("https://docs.google.com/spreadsheets/d/1ygBFL9Gjp_OWogICsrd71PLAXXGsogkZ", 290.457055208333)</f>
        <v>290.4570552</v>
      </c>
      <c r="Q127" s="18" t="str">
        <f>HYPERLINK("https://docs.google.com/spreadsheets/d/14MOif9rNg-N54NQneNRjE4LAxZQsDUO1", "RE-29.081410416666664")</f>
        <v>RE-29.081410416666664</v>
      </c>
      <c r="R127" s="18">
        <f>HYPERLINK("https://docs.google.com/spreadsheets/d/1SRTWprVj9VDiiuSYQzdP1ZmBZGcGmW1u", 112.721748958333)</f>
        <v>112.721749</v>
      </c>
      <c r="S127" s="18" t="str">
        <f>HYPERLINK("https://docs.google.com/spreadsheets/d/17s978w_oAdJPCoiC9nQaLG9Vow9SBjvA", "RE-10.241540625")</f>
        <v>RE-10.241540625</v>
      </c>
      <c r="T127" s="18">
        <f>HYPERLINK("https://docs.google.com/spreadsheets/d/1GpeHYOKcViFn27bOgt1Wb81zynuHNFgE", 482.688386458333)</f>
        <v>482.6883865</v>
      </c>
      <c r="U127" s="18" t="str">
        <f>HYPERLINK("https://docs.google.com/spreadsheets/d/1ECWl4ryUA4JbU2xVgUH48R2-EuG0UBu1", "RE-30.140455208333346")</f>
        <v>RE-30.140455208333346</v>
      </c>
      <c r="V127" s="18" t="str">
        <f>HYPERLINK("https://docs.google.com/spreadsheets/d/14S1IhyCFLh2Aku3il6kO885Mt5f4spOZ", "RE-4.292247916666667")</f>
        <v>RE-4.292247916666667</v>
      </c>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c r="FC127" s="17"/>
      <c r="FD127" s="17"/>
      <c r="FE127" s="17"/>
      <c r="FF127" s="17"/>
      <c r="FG127" s="17"/>
      <c r="FH127" s="17"/>
    </row>
    <row r="128">
      <c r="A128" s="32" t="s">
        <v>7</v>
      </c>
      <c r="B128" s="32" t="s">
        <v>32</v>
      </c>
      <c r="C128" s="32" t="s">
        <v>13</v>
      </c>
      <c r="D128" s="16">
        <f t="shared" si="1"/>
        <v>1345.292</v>
      </c>
      <c r="E128" s="17"/>
      <c r="F128" s="18" t="str">
        <f>HYPERLINK("https://docs.google.com/spreadsheets/d/1b2hY7GEOgMmd-alWrMbBZ8mTxVJJPzLZ?usp=share_link", "RE-730.634")</f>
        <v>RE-730.634</v>
      </c>
      <c r="G128" s="18" t="str">
        <f>HYPERLINK("https://docs.google.com/spreadsheets/d/17Hdnu8dAvlEVYFES3Zy8z0anp9Pr0Hvz?usp=share_link", "RE-2.78743")</f>
        <v>RE-2.78743</v>
      </c>
      <c r="H128" s="18" t="str">
        <f>HYPERLINK("https://docs.google.com/spreadsheets/d/1bWw8qeoSyPBk0z0woJUz-ReovPuHn_4-?usp=share_link", "RE-79.6871")</f>
        <v>RE-79.6871</v>
      </c>
      <c r="I128" s="18" t="str">
        <f>HYPERLINK("https://docs.google.com/spreadsheets/d/1DVZ3FU6pxX9o9S3-gfrWSjF5BGaiNPWO?usp=share_link", "RE-0.334883")</f>
        <v>RE-0.334883</v>
      </c>
      <c r="J128" s="18" t="str">
        <f>HYPERLINK("https://docs.google.com/spreadsheets/d/1Qi_rkc7ZpoWrKegfTwJDWZaIpnmKhS3m?usp=share_link", "RE-1131.73")</f>
        <v>RE-1131.73</v>
      </c>
      <c r="K128" s="18" t="str">
        <f>HYPERLINK("https://docs.google.com/spreadsheets/d/1LAucJMGXw8u1IHS0dAkeqbxt5_eKB9rB?usp=share_link", "RE-3.5694")</f>
        <v>RE-3.5694</v>
      </c>
      <c r="L128" s="18">
        <f>HYPERLINK("https://docs.google.com/spreadsheets/d/1ijqg3APOGKct0kzz07w3zEJQrjoqaGpL?usp=share_link", 497.516)</f>
        <v>497.516</v>
      </c>
      <c r="M128" s="18" t="str">
        <f>HYPERLINK("https://docs.google.com/spreadsheets/d/1fh3GZgvIACQz4E-LKYqAm1G0S2kx7GDt?usp=share_link", "RE-7.96238")</f>
        <v>RE-7.96238</v>
      </c>
      <c r="N128" s="18" t="str">
        <f>HYPERLINK("https://docs.google.com/spreadsheets/d/1paIgchlA4EBsX1-ddyt9hzYim7BqMKp0?usp=share_link", "RE-861.598")</f>
        <v>RE-861.598</v>
      </c>
      <c r="O128" s="18" t="str">
        <f>HYPERLINK("https://docs.google.com/spreadsheets/d/1NrCefJJPX4AanFwAIz4ITyfz9XAl6icH?usp=share_link", "RE-9.28523")</f>
        <v>RE-9.28523</v>
      </c>
      <c r="P128" s="18">
        <f>HYPERLINK("https://docs.google.com/spreadsheets/d/14eMVP_gG8BZ5UsDEQV9DzzNJ7JH7c3ss?usp=share_link", 278.978)</f>
        <v>278.978</v>
      </c>
      <c r="Q128" s="18" t="str">
        <f>HYPERLINK("https://docs.google.com/spreadsheets/d/1ZP4irRSPhtaeIUb9xSkQV-VS7kv-qqvL?usp=share_link", "RE-27.7915")</f>
        <v>RE-27.7915</v>
      </c>
      <c r="R128" s="18">
        <f>HYPERLINK("https://docs.google.com/spreadsheets/d/1fQ6Fp3-P-jtxkyfBBl-NmpSxl9GAb5mA?usp=share_link", 107.414)</f>
        <v>107.414</v>
      </c>
      <c r="S128" s="18" t="str">
        <f>HYPERLINK("https://docs.google.com/spreadsheets/d/1vdohQC1Gp5Jujo2C2cdsFubEy9qMkGy5?usp=share_link", "RE-9.7715")</f>
        <v>RE-9.7715</v>
      </c>
      <c r="T128" s="18">
        <f>HYPERLINK("https://docs.google.com/spreadsheets/d/10G6obkTLPYKiTX2-3JtA-05W3wp6t7As?usp=share_link", 461.384)</f>
        <v>461.384</v>
      </c>
      <c r="U128" s="18" t="str">
        <f>HYPERLINK("https://docs.google.com/spreadsheets/d/1BetqyykhH7qkShpmARHZzr_NC7SAUiHm?usp=share_link", "RE-28.103")</f>
        <v>RE-28.103</v>
      </c>
      <c r="V128" s="18" t="str">
        <f>HYPERLINK("https://docs.google.com/spreadsheets/d/1fPmqtQPvPioq7GVV3pt9oTPtdXL26Ozk?usp=share_link", "RE-4.14698")</f>
        <v>RE-4.14698</v>
      </c>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c r="EY128" s="17"/>
      <c r="EZ128" s="17"/>
      <c r="FA128" s="17"/>
      <c r="FB128" s="17"/>
      <c r="FC128" s="17"/>
      <c r="FD128" s="17"/>
      <c r="FE128" s="17"/>
      <c r="FF128" s="17"/>
      <c r="FG128" s="17"/>
      <c r="FH128" s="17"/>
    </row>
    <row r="129">
      <c r="A129" s="32" t="s">
        <v>7</v>
      </c>
      <c r="B129" s="32" t="s">
        <v>32</v>
      </c>
      <c r="C129" s="32" t="s">
        <v>14</v>
      </c>
      <c r="D129" s="16">
        <f t="shared" si="1"/>
        <v>1163.3244</v>
      </c>
      <c r="E129" s="17"/>
      <c r="F129" s="18" t="str">
        <f>HYPERLINK("https://docs.google.com/spreadsheets/d/1xtQrB2mooGrAxgmH4XmwGAZtq-6QauKx?usp=share_link", "RE-661.065")</f>
        <v>RE-661.065</v>
      </c>
      <c r="G129" s="18" t="str">
        <f>HYPERLINK("https://docs.google.com/spreadsheets/d/1SbvtESP0OZwVFOacKyYoliS0TN4hi1Er?usp=share_link", "RE-2.78743")</f>
        <v>RE-2.78743</v>
      </c>
      <c r="H129" s="18" t="str">
        <f>HYPERLINK("https://docs.google.com/spreadsheets/d/1hBYVMEJ79FPuTqE8uDBMc3_7Wh2fzwM2?usp=share_link", "RE-74.2746")</f>
        <v>RE-74.2746</v>
      </c>
      <c r="I129" s="18" t="str">
        <f>HYPERLINK("https://docs.google.com/spreadsheets/d/1zZxHs9pmmp2sLstkrzwEM05-gDZ3c2Li?usp=share_link", "RE-0.334883")</f>
        <v>RE-0.334883</v>
      </c>
      <c r="J129" s="18" t="str">
        <f>HYPERLINK("https://docs.google.com/spreadsheets/d/1-T4ymI2-RkimYLaaitsMUucxy_H_epqV?usp=share_link", "RE-1046.3")</f>
        <v>RE-1046.3</v>
      </c>
      <c r="K129" s="18" t="str">
        <f>HYPERLINK("https://docs.google.com/spreadsheets/d/13MFGQAXfOiUVMFa7I39btQBz4w4-BMRo?usp=share_link", "RE-3.5694")</f>
        <v>RE-3.5694</v>
      </c>
      <c r="L129" s="18">
        <f>HYPERLINK("https://docs.google.com/spreadsheets/d/1xXngTd1NaZmBBpVdthrmRGZdNepGSE-k?usp=share_link", 437.265)</f>
        <v>437.265</v>
      </c>
      <c r="M129" s="18" t="str">
        <f>HYPERLINK("https://docs.google.com/spreadsheets/d/1Cw-in9RuuHlNdB1W7uVWzklhZP0SWyYd?usp=share_link", "RE-6.70973")</f>
        <v>RE-6.70973</v>
      </c>
      <c r="N129" s="18" t="str">
        <f>HYPERLINK("https://docs.google.com/spreadsheets/d/111fMPbgSIM42uibm5RktOYnd5iT6MYzw?usp=share_link", "RE-749.513")</f>
        <v>RE-749.513</v>
      </c>
      <c r="O129" s="18" t="str">
        <f>HYPERLINK("https://docs.google.com/spreadsheets/d/1KKQqRacDlitiGdmu-ioZDitcAPDh4C74?usp=share_link", "RE-7.84688")</f>
        <v>RE-7.84688</v>
      </c>
      <c r="P129" s="18">
        <f>HYPERLINK("https://docs.google.com/spreadsheets/d/1d50cc0KgPlyy7mYXsObf-JmvQvwfHsnV?usp=share_link", 237.857)</f>
        <v>237.857</v>
      </c>
      <c r="Q129" s="18" t="str">
        <f>HYPERLINK("https://docs.google.com/spreadsheets/d/1sCUCD1Yj1eT6WldClluZXLM7MSSP58yz?usp=share_link", "RE-23.1847")</f>
        <v>RE-23.1847</v>
      </c>
      <c r="R129" s="18">
        <f>HYPERLINK("https://docs.google.com/spreadsheets/d/1FtFceK6QNjB361E-wVKVK1rg50Vp6xXP?usp=share_link", 92.9424)</f>
        <v>92.9424</v>
      </c>
      <c r="S129" s="18" t="str">
        <f>HYPERLINK("https://docs.google.com/spreadsheets/d/1dGicEP79R4f-rtW3gS7DheGkMBq1FHz2?usp=share_link", "RE-8.89968")</f>
        <v>RE-8.89968</v>
      </c>
      <c r="T129" s="18">
        <f>HYPERLINK("https://docs.google.com/spreadsheets/d/1edDhrXi1fbPhr01kyvSR0JI-m5Y7kFzM?usp=share_link", 395.26)</f>
        <v>395.26</v>
      </c>
      <c r="U129" s="18" t="str">
        <f>HYPERLINK("https://docs.google.com/spreadsheets/d/1tLzmbhVWHtXMOoetX2chb9G_XR4iC0Hf?usp=share_link", "RE-24.2971")</f>
        <v>RE-24.2971</v>
      </c>
      <c r="V129" s="18" t="str">
        <f>HYPERLINK("https://docs.google.com/spreadsheets/d/1FWPEVj8TQGpMQD0O2tj5PjomtGRIic7o?usp=share_link", "RE-3.98077")</f>
        <v>RE-3.98077</v>
      </c>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c r="EY129" s="17"/>
      <c r="EZ129" s="17"/>
      <c r="FA129" s="17"/>
      <c r="FB129" s="17"/>
      <c r="FC129" s="17"/>
      <c r="FD129" s="17"/>
      <c r="FE129" s="17"/>
      <c r="FF129" s="17"/>
      <c r="FG129" s="17"/>
      <c r="FH129" s="17"/>
    </row>
    <row r="130">
      <c r="A130" s="27" t="s">
        <v>7</v>
      </c>
      <c r="B130" s="27" t="s">
        <v>32</v>
      </c>
      <c r="C130" s="27" t="s">
        <v>15</v>
      </c>
      <c r="D130" s="28">
        <f t="shared" si="1"/>
        <v>1345.292</v>
      </c>
      <c r="E130" s="33"/>
      <c r="F130" s="34" t="str">
        <f>HYPERLINK("https://docs.google.com/spreadsheets/d/16Jd0_73yCU-0KxvQ2mCBLhexTpT-2ms2?usp=share_link", "RE-730.524")</f>
        <v>RE-730.524</v>
      </c>
      <c r="G130" s="34" t="str">
        <f>HYPERLINK("https://docs.google.com/spreadsheets/d/18r8YUkqbXnIMVwZsDXdh_rjdKyxo3JQj?usp=share_link", "RE-2.78743")</f>
        <v>RE-2.78743</v>
      </c>
      <c r="H130" s="34" t="str">
        <f>HYPERLINK("https://docs.google.com/spreadsheets/d/1UB3uZ1JBINXveJGOt1oKKynOn1v-8_e0?usp=share_link", "RE-79.6871")</f>
        <v>RE-79.6871</v>
      </c>
      <c r="I130" s="34" t="str">
        <f>HYPERLINK("https://docs.google.com/spreadsheets/d/1GGWx2TwLMti5mY3ViXlIGYx4h3IEqv9V?usp=share_link", "RE-0.334883")</f>
        <v>RE-0.334883</v>
      </c>
      <c r="J130" s="34" t="str">
        <f>HYPERLINK("https://docs.google.com/spreadsheets/d/1tmjMYwFBhYIK46ab8kQYDU4VOIjfnvGU?usp=share_link", "RE-1131.73")</f>
        <v>RE-1131.73</v>
      </c>
      <c r="K130" s="34" t="str">
        <f>HYPERLINK("https://docs.google.com/spreadsheets/d/1J0YT6F-1yLK8c2-mBtEN7bTtXZRebKvS?usp=share_link", "RE-3.5694")</f>
        <v>RE-3.5694</v>
      </c>
      <c r="L130" s="34">
        <f>HYPERLINK("https://docs.google.com/spreadsheets/d/1bXIk9lywzOHKbxc9_1rqAB-RxJeXJezS?usp=share_link", 497.516)</f>
        <v>497.516</v>
      </c>
      <c r="M130" s="34" t="str">
        <f>HYPERLINK("https://docs.google.com/spreadsheets/d/1d3whRzfxcx0SpOx95b1A1tLJfY7mY4B3?usp=share_link", "RE-7.96238")</f>
        <v>RE-7.96238</v>
      </c>
      <c r="N130" s="34" t="str">
        <f>HYPERLINK("https://docs.google.com/spreadsheets/d/16Ue4TDAlz8WYVBHeDDpIkAXKQno1wS7a?usp=share_link", "RE-861.598")</f>
        <v>RE-861.598</v>
      </c>
      <c r="O130" s="34" t="str">
        <f>HYPERLINK("https://docs.google.com/spreadsheets/d/1IsTIdhl2Z7TAr3H4NduEvs1FrdZhT-pm?usp=share_link", "RE-9.28523")</f>
        <v>RE-9.28523</v>
      </c>
      <c r="P130" s="34">
        <f>HYPERLINK("https://docs.google.com/spreadsheets/d/1Ve-HS216gYWKkxqofpJaAXeHCfWfpmXV?usp=share_link", 278.978)</f>
        <v>278.978</v>
      </c>
      <c r="Q130" s="34" t="str">
        <f>HYPERLINK("https://docs.google.com/spreadsheets/d/15iW0GvU4-6CJUHHKs6B8Cnjp5quhXmcr?usp=share_link", "RE-27.7915")</f>
        <v>RE-27.7915</v>
      </c>
      <c r="R130" s="34">
        <f>HYPERLINK("https://docs.google.com/spreadsheets/d/1wfuBcu7nyujmR94wXsZrwxY2wo9BxAp2?usp=share_link", 107.414)</f>
        <v>107.414</v>
      </c>
      <c r="S130" s="34" t="str">
        <f>HYPERLINK("https://docs.google.com/spreadsheets/d/12R0DJuh3TaZ9aM_lix2qy3prUuKQok_H?usp=share_link", "RE-9.7715")</f>
        <v>RE-9.7715</v>
      </c>
      <c r="T130" s="34">
        <f>HYPERLINK("https://docs.google.com/spreadsheets/d/1yKVJdVyzbpB16fgceLHe0TOZOYw8bSjy?usp=share_link", 461.384)</f>
        <v>461.384</v>
      </c>
      <c r="U130" s="34" t="str">
        <f>HYPERLINK("https://docs.google.com/spreadsheets/d/1lOPYyzty_qpnKdU74cWK-gFyfPTmNQ81?usp=share_link", "RE-28.0754")</f>
        <v>RE-28.0754</v>
      </c>
      <c r="V130" s="34" t="str">
        <f>HYPERLINK("https://docs.google.com/spreadsheets/d/1UI3RKf4z1Af5CUgvarutjkqVD0tFgo2f?usp=share_link", "RE-4.14698")</f>
        <v>RE-4.14698</v>
      </c>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row>
    <row r="131">
      <c r="A131" s="30" t="s">
        <v>7</v>
      </c>
      <c r="B131" s="30" t="s">
        <v>33</v>
      </c>
      <c r="C131" s="31" t="str">
        <f>HYPERLINK("https://docs.google.com/spreadsheets/d/1LXMQa-fDOAEc4rR1rod36yZWP5n7WJSD/edit?usp=share_link&amp;ouid=106501987799020758802&amp;rtpof=true&amp;sd=true", "Raw Delivered")</f>
        <v>Raw Delivered</v>
      </c>
      <c r="D131" s="12">
        <f t="shared" si="1"/>
        <v>5025.951318</v>
      </c>
      <c r="E131" s="13"/>
      <c r="F131" s="14">
        <f>HYPERLINK("https://docs.google.com/spreadsheets/d/1Ne2XdKKp2EnZYofRI7lMGqJwQAaS7jTd", 2168.49281666666)</f>
        <v>2168.492817</v>
      </c>
      <c r="G131" s="13"/>
      <c r="H131" s="14">
        <f>HYPERLINK("https://docs.google.com/spreadsheets/d/1r6HNj25C-TslPwVLGMgM7uegLPJLOj8A", 330.762768749999)</f>
        <v>330.7627687</v>
      </c>
      <c r="I131" s="13"/>
      <c r="J131" s="14">
        <f>HYPERLINK("https://docs.google.com/spreadsheets/d/1TS0Xbsexjlfao3wvZq07sKDh8_u1QBqP", 1194.52884791666)</f>
        <v>1194.528848</v>
      </c>
      <c r="K131" s="13"/>
      <c r="L131" s="14">
        <f t="shared" ref="L131:L132" si="66">HYPERLINK("https://docs.google.com/spreadsheets/d/1d4HgUpSbfV2h_ICd37LOrrWvHeyanJqC", 235.048598958333)</f>
        <v>235.048599</v>
      </c>
      <c r="M131" s="13"/>
      <c r="N131" s="14">
        <f>HYPERLINK("https://docs.google.com/spreadsheets/d/18GCHtFmbdgwzsqR_dcECHrLa-3ncQMmV", 513.660290624999)</f>
        <v>513.6602906</v>
      </c>
      <c r="O131" s="13"/>
      <c r="P131" s="14">
        <f t="shared" ref="P131:P132" si="67">HYPERLINK("https://docs.google.com/spreadsheets/d/1LtvgxlWpGuivYl6WdHBOiciMuWjPb0ht", 313.412089583333)</f>
        <v>313.4120896</v>
      </c>
      <c r="Q131" s="13"/>
      <c r="R131" s="14">
        <f t="shared" ref="R131:R132" si="68">HYPERLINK("https://docs.google.com/spreadsheets/d/1bttlpMRsQwb0aXtSUzR2HfVFOFS-hvsj", 68.2490593749999)</f>
        <v>68.24905937</v>
      </c>
      <c r="S131" s="13"/>
      <c r="T131" s="14">
        <f t="shared" ref="T131:T132" si="69">HYPERLINK("https://docs.google.com/spreadsheets/d/1h4dPS20razqCJ85XPRlgLzYk6ssdizaV", 201.796845833333)</f>
        <v>201.7968458</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row>
    <row r="132">
      <c r="A132" s="32" t="s">
        <v>7</v>
      </c>
      <c r="B132" s="32" t="s">
        <v>33</v>
      </c>
      <c r="C132" s="32" t="s">
        <v>9</v>
      </c>
      <c r="D132" s="16">
        <f t="shared" si="1"/>
        <v>818.5065937</v>
      </c>
      <c r="E132" s="17"/>
      <c r="F132" s="18" t="str">
        <f>HYPERLINK("https://docs.google.com/spreadsheets/d/1Ne2XdKKp2EnZYofRI7lMGqJwQAaS7jTd", "RE-2168.4928166666673")</f>
        <v>RE-2168.4928166666673</v>
      </c>
      <c r="G132" s="17"/>
      <c r="H132" s="18" t="str">
        <f>HYPERLINK("https://docs.google.com/spreadsheets/d/1r6HNj25C-TslPwVLGMgM7uegLPJLOj8A", "RE-330.76276874999985")</f>
        <v>RE-330.76276874999985</v>
      </c>
      <c r="I132" s="17"/>
      <c r="J132" s="18" t="str">
        <f>HYPERLINK("https://docs.google.com/spreadsheets/d/1TS0Xbsexjlfao3wvZq07sKDh8_u1QBqP", "RE-1194.5288479166693")</f>
        <v>RE-1194.5288479166693</v>
      </c>
      <c r="K132" s="17"/>
      <c r="L132" s="18">
        <f t="shared" si="66"/>
        <v>235.048599</v>
      </c>
      <c r="M132" s="17"/>
      <c r="N132" s="18" t="str">
        <f>HYPERLINK("https://docs.google.com/spreadsheets/d/18GCHtFmbdgwzsqR_dcECHrLa-3ncQMmV", "RE-513.6602906249998")</f>
        <v>RE-513.6602906249998</v>
      </c>
      <c r="O132" s="17"/>
      <c r="P132" s="18">
        <f t="shared" si="67"/>
        <v>313.4120896</v>
      </c>
      <c r="Q132" s="17"/>
      <c r="R132" s="18">
        <f t="shared" si="68"/>
        <v>68.24905937</v>
      </c>
      <c r="S132" s="17"/>
      <c r="T132" s="18">
        <f t="shared" si="69"/>
        <v>201.7968458</v>
      </c>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c r="EF132" s="17"/>
      <c r="EG132" s="17"/>
      <c r="EH132" s="17"/>
      <c r="EI132" s="17"/>
      <c r="EJ132" s="17"/>
      <c r="EK132" s="17"/>
      <c r="EL132" s="17"/>
      <c r="EM132" s="17"/>
      <c r="EN132" s="17"/>
      <c r="EO132" s="17"/>
      <c r="EP132" s="17"/>
      <c r="EQ132" s="17"/>
      <c r="ER132" s="17"/>
      <c r="ES132" s="17"/>
      <c r="ET132" s="17"/>
      <c r="EU132" s="17"/>
      <c r="EV132" s="17"/>
      <c r="EW132" s="17"/>
      <c r="EX132" s="17"/>
      <c r="EY132" s="17"/>
      <c r="EZ132" s="17"/>
      <c r="FA132" s="17"/>
      <c r="FB132" s="17"/>
      <c r="FC132" s="17"/>
      <c r="FD132" s="17"/>
      <c r="FE132" s="17"/>
      <c r="FF132" s="17"/>
      <c r="FG132" s="17"/>
      <c r="FH132" s="17"/>
    </row>
    <row r="133">
      <c r="A133" s="32" t="s">
        <v>7</v>
      </c>
      <c r="B133" s="32" t="s">
        <v>33</v>
      </c>
      <c r="C133" s="32" t="s">
        <v>10</v>
      </c>
      <c r="D133" s="16">
        <f t="shared" si="1"/>
        <v>447.8259531</v>
      </c>
      <c r="E133" s="17"/>
      <c r="F133" s="17"/>
      <c r="G133" s="18">
        <f>HYPERLINK("https://docs.google.com/spreadsheets/d/1Ra0YCscrjs2hQOMf5i_EBGAqazFw2oi6", 164.993745833333)</f>
        <v>164.9937458</v>
      </c>
      <c r="H133" s="17"/>
      <c r="I133" s="18">
        <f>HYPERLINK("https://docs.google.com/spreadsheets/d/1A8-3wlxTo3ewrpLUl_WrD3zrqbu7n6qx", 28.1028312499999)</f>
        <v>28.10283125</v>
      </c>
      <c r="J133" s="17"/>
      <c r="K133" s="18">
        <f>HYPERLINK("https://docs.google.com/spreadsheets/d/1HN42ABqGXYQk_idyCrUgkIawqslbXc3X", 115.072283333333)</f>
        <v>115.0722833</v>
      </c>
      <c r="L133" s="17"/>
      <c r="M133" s="18">
        <f>HYPERLINK("https://docs.google.com/spreadsheets/d/11vp-fqmHSumOUom4FvNC2tAvE7xEQiPy", 18.81081875)</f>
        <v>18.81081875</v>
      </c>
      <c r="N133" s="17"/>
      <c r="O133" s="18">
        <f>HYPERLINK("https://docs.google.com/spreadsheets/d/1p1qNVOfsrvt1DPYFX0LlCFb-bjh9p_wB", 36.1451989583333)</f>
        <v>36.14519896</v>
      </c>
      <c r="P133" s="17"/>
      <c r="Q133" s="18">
        <f>HYPERLINK("https://docs.google.com/spreadsheets/d/10pNYu5mP3tPuFgLkimXs9R5x13oipGm7", 48.5411854166666)</f>
        <v>48.54118542</v>
      </c>
      <c r="R133" s="17"/>
      <c r="S133" s="18">
        <f>HYPERLINK("https://docs.google.com/spreadsheets/d/1G4_GmGuIB6umJemftt6zNY16FQimeJXD", 7.72974583333333)</f>
        <v>7.729745833</v>
      </c>
      <c r="T133" s="17"/>
      <c r="U133" s="18">
        <f>HYPERLINK("https://docs.google.com/spreadsheets/d/1eKeVFdA7IOkAd3UDb1fkroai0T1AnEpB", 25.6165104166666)</f>
        <v>25.61651042</v>
      </c>
      <c r="V133" s="18">
        <f>HYPERLINK("https://docs.google.com/spreadsheets/d/1hHmfUMisw7-snYmJH_XAHgGaAqLMBTgR", 2.81363333333333)</f>
        <v>2.813633333</v>
      </c>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c r="EY133" s="17"/>
      <c r="EZ133" s="17"/>
      <c r="FA133" s="17"/>
      <c r="FB133" s="17"/>
      <c r="FC133" s="17"/>
      <c r="FD133" s="17"/>
      <c r="FE133" s="17"/>
      <c r="FF133" s="17"/>
      <c r="FG133" s="17"/>
      <c r="FH133" s="17"/>
    </row>
    <row r="134">
      <c r="A134" s="32" t="s">
        <v>7</v>
      </c>
      <c r="B134" s="32" t="s">
        <v>33</v>
      </c>
      <c r="C134" s="32" t="s">
        <v>11</v>
      </c>
      <c r="D134" s="16">
        <f t="shared" si="1"/>
        <v>0</v>
      </c>
      <c r="E134" s="17"/>
      <c r="F134" s="17"/>
      <c r="G134" s="18" t="str">
        <f>HYPERLINK("https://docs.google.com/spreadsheets/d/1Ra0YCscrjs2hQOMf5i_EBGAqazFw2oi6", "RE-164.99374583333326")</f>
        <v>RE-164.99374583333326</v>
      </c>
      <c r="H134" s="17"/>
      <c r="I134" s="18" t="str">
        <f>HYPERLINK("https://docs.google.com/spreadsheets/d/1A8-3wlxTo3ewrpLUl_WrD3zrqbu7n6qx", "RE-28.102831249999994")</f>
        <v>RE-28.102831249999994</v>
      </c>
      <c r="J134" s="17"/>
      <c r="K134" s="18" t="str">
        <f>HYPERLINK("https://docs.google.com/spreadsheets/d/1HN42ABqGXYQk_idyCrUgkIawqslbXc3X", "RE-115.07228333333336")</f>
        <v>RE-115.07228333333336</v>
      </c>
      <c r="L134" s="17"/>
      <c r="M134" s="18" t="str">
        <f>HYPERLINK("https://docs.google.com/spreadsheets/d/11vp-fqmHSumOUom4FvNC2tAvE7xEQiPy", "RE-18.810818750000003")</f>
        <v>RE-18.810818750000003</v>
      </c>
      <c r="N134" s="17"/>
      <c r="O134" s="18" t="str">
        <f>HYPERLINK("https://docs.google.com/spreadsheets/d/1p1qNVOfsrvt1DPYFX0LlCFb-bjh9p_wB", "RE-36.145198958333346")</f>
        <v>RE-36.145198958333346</v>
      </c>
      <c r="P134" s="17"/>
      <c r="Q134" s="18" t="str">
        <f>HYPERLINK("https://docs.google.com/spreadsheets/d/10pNYu5mP3tPuFgLkimXs9R5x13oipGm7", "RE-48.54118541666667")</f>
        <v>RE-48.54118541666667</v>
      </c>
      <c r="R134" s="17"/>
      <c r="S134" s="18" t="str">
        <f>HYPERLINK("https://docs.google.com/spreadsheets/d/1G4_GmGuIB6umJemftt6zNY16FQimeJXD", "RE-7.729745833333334")</f>
        <v>RE-7.729745833333334</v>
      </c>
      <c r="T134" s="17"/>
      <c r="U134" s="18" t="str">
        <f>HYPERLINK("https://docs.google.com/spreadsheets/d/1eKeVFdA7IOkAd3UDb1fkroai0T1AnEpB", "RE-25.616510416666678")</f>
        <v>RE-25.616510416666678</v>
      </c>
      <c r="V134" s="18" t="str">
        <f>HYPERLINK("https://docs.google.com/spreadsheets/d/1hHmfUMisw7-snYmJH_XAHgGaAqLMBTgR", "RE-2.813633333333333")</f>
        <v>RE-2.813633333333333</v>
      </c>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17"/>
      <c r="FB134" s="17"/>
      <c r="FC134" s="17"/>
      <c r="FD134" s="17"/>
      <c r="FE134" s="17"/>
      <c r="FF134" s="17"/>
      <c r="FG134" s="17"/>
      <c r="FH134" s="17"/>
    </row>
    <row r="135">
      <c r="A135" s="32" t="s">
        <v>7</v>
      </c>
      <c r="B135" s="32" t="s">
        <v>33</v>
      </c>
      <c r="C135" s="32" t="s">
        <v>12</v>
      </c>
      <c r="D135" s="16">
        <f t="shared" si="1"/>
        <v>752.4317615</v>
      </c>
      <c r="E135" s="17"/>
      <c r="F135" s="18" t="str">
        <f>HYPERLINK("https://docs.google.com/spreadsheets/d/1kRppmzSU0jHLqa9sBiuVSgacAMmmX4mt", "RE-1814.334478125002")</f>
        <v>RE-1814.334478125002</v>
      </c>
      <c r="G135" s="18" t="str">
        <f>HYPERLINK("https://docs.google.com/spreadsheets/d/1kzdUR_j5H5nKTiCTCJfIDWkaNRnGGk-T", "RE-6.037997916666667")</f>
        <v>RE-6.037997916666667</v>
      </c>
      <c r="H135" s="18" t="str">
        <f>HYPERLINK("https://docs.google.com/spreadsheets/d/1j7idtgqUL1k_LTv3eEBdkGAyLenPJk7W", "RE-287.5133979166667")</f>
        <v>RE-287.5133979166667</v>
      </c>
      <c r="I135" s="18" t="str">
        <f>HYPERLINK("https://docs.google.com/spreadsheets/d/1vUrmTB7xJoRLiMhafPKL-VYYnI3uSeJ0", "RE-0.9323145833333333")</f>
        <v>RE-0.9323145833333333</v>
      </c>
      <c r="J135" s="18" t="str">
        <f>HYPERLINK("https://docs.google.com/spreadsheets/d/1jM_wEzuZhiypm1dl7di6KU_ljkgL7Pep", "RE-919.0663041666666")</f>
        <v>RE-919.0663041666666</v>
      </c>
      <c r="K135" s="18" t="str">
        <f>HYPERLINK("https://docs.google.com/spreadsheets/d/1VL6g9M0mZoc1nKbE4GGYNFSelcHR__k_", "RE-7.958154166666666")</f>
        <v>RE-7.958154166666666</v>
      </c>
      <c r="L135" s="18">
        <f>HYPERLINK("https://docs.google.com/spreadsheets/d/1W7Ptc-Ef06EQNy54SuPuVB1NjbxPwPnL", 216.44460625)</f>
        <v>216.4446063</v>
      </c>
      <c r="M135" s="18" t="str">
        <f>HYPERLINK("https://docs.google.com/spreadsheets/d/1oI7wdeMLISUovDKUs7h7_d9HTclBZedg", "RE-6.178031249999999")</f>
        <v>RE-6.178031249999999</v>
      </c>
      <c r="N135" s="18" t="str">
        <f>HYPERLINK("https://docs.google.com/spreadsheets/d/1Zuz5pfFA71ySXuTlMsCb5dXHRBNoiesn", "RE-339.6888385416669")</f>
        <v>RE-339.6888385416669</v>
      </c>
      <c r="O135" s="18" t="str">
        <f>HYPERLINK("https://docs.google.com/spreadsheets/d/1dWY8ia48KVj2FdDVfSeeKOXT3ed6gbh1", "RE-5.3547")</f>
        <v>RE-5.3547</v>
      </c>
      <c r="P135" s="18">
        <f>HYPERLINK("https://docs.google.com/spreadsheets/d/1uVToDyXGGsHYlyvzc3Y2SVss13RETFs1", 285.377479166666)</f>
        <v>285.3774792</v>
      </c>
      <c r="Q135" s="18" t="str">
        <f>HYPERLINK("https://docs.google.com/spreadsheets/d/1jvO5dZGj2Td7R_qZ-XrL0DvzoxpGAwex", "RE-25.548331250000004")</f>
        <v>RE-25.548331250000004</v>
      </c>
      <c r="R135" s="18">
        <f>HYPERLINK("https://docs.google.com/spreadsheets/d/1vFe1jwO8qwwUojoFhu591VP2JqrTupkm", 58.998909375)</f>
        <v>58.99890938</v>
      </c>
      <c r="S135" s="18" t="str">
        <f>HYPERLINK("https://docs.google.com/spreadsheets/d/19-INHJ086U8hGqtLM1SYrJv0quFBIkBv", "RE-4.558508333333334")</f>
        <v>RE-4.558508333333334</v>
      </c>
      <c r="T135" s="18">
        <f>HYPERLINK("https://docs.google.com/spreadsheets/d/121c2Z65KRuxE-wTcqa1HPMbyZgOsNYZh", 191.610766666666)</f>
        <v>191.6107667</v>
      </c>
      <c r="U135" s="18" t="str">
        <f>HYPERLINK("https://docs.google.com/spreadsheets/d/1Lqd5dLaM49r0A-HLdkMdVyL1DlnDzps2", "RE-12.776470833333336")</f>
        <v>RE-12.776470833333336</v>
      </c>
      <c r="V135" s="18" t="str">
        <f>HYPERLINK("https://docs.google.com/spreadsheets/d/19k9mDffmuTdnpcK6iSpKhV1x1HuFCcTv", "RE-0.6314770833333334")</f>
        <v>RE-0.6314770833333334</v>
      </c>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17"/>
      <c r="FG135" s="17"/>
      <c r="FH135" s="17"/>
    </row>
    <row r="136">
      <c r="A136" s="32" t="s">
        <v>7</v>
      </c>
      <c r="B136" s="32" t="s">
        <v>33</v>
      </c>
      <c r="C136" s="32" t="s">
        <v>13</v>
      </c>
      <c r="D136" s="16">
        <f t="shared" si="1"/>
        <v>724.5519</v>
      </c>
      <c r="E136" s="17"/>
      <c r="F136" s="18" t="str">
        <f>HYPERLINK("https://docs.google.com/spreadsheets/d/11SrTriQ3pp79BbFgGkPQndN4BSdyerIN?usp=share_link", "RE-1774.34")</f>
        <v>RE-1774.34</v>
      </c>
      <c r="G136" s="18" t="str">
        <f>HYPERLINK("https://docs.google.com/spreadsheets/d/1HBkixWGO3tx7VS9BemcVf2Au8pvCgqtd?usp=share_link", "RE-5.9141")</f>
        <v>RE-5.9141</v>
      </c>
      <c r="H136" s="18" t="str">
        <f>HYPERLINK("https://docs.google.com/spreadsheets/d/1dvSMj0PJwx5Sww_whGrvucmvgkTR8Bdb?usp=share_link", "RE-281.904")</f>
        <v>RE-281.904</v>
      </c>
      <c r="I136" s="18" t="str">
        <f>HYPERLINK("https://docs.google.com/spreadsheets/d/1sWELF0i85pO3cCaaBZ_YSdLsNlP48tVT?usp=share_link", "RE-0.900133")</f>
        <v>RE-0.900133</v>
      </c>
      <c r="J136" s="18" t="str">
        <f>HYPERLINK("https://docs.google.com/spreadsheets/d/1prBeBOoIxD3L6ntUrkAHFGTxDrVRzQQo?usp=share_link", "RE-896.643")</f>
        <v>RE-896.643</v>
      </c>
      <c r="K136" s="18" t="str">
        <f>HYPERLINK("https://docs.google.com/spreadsheets/d/18y3VIXj_s9Chm9ljTuFtcExyhfB7wWqg?usp=share_link", "RE-7.61722")</f>
        <v>RE-7.61722</v>
      </c>
      <c r="L136" s="18">
        <f>HYPERLINK("https://docs.google.com/spreadsheets/d/1QSvO5GBX_OnLQ2xiZS4Dr-DOzo8SbSwY?usp=share_link", 207.63)</f>
        <v>207.63</v>
      </c>
      <c r="M136" s="18" t="str">
        <f>HYPERLINK("https://docs.google.com/spreadsheets/d/1GalBfOHccRc4Vn4N7VMqFT0OhKq7xz2g?usp=share_link", "RE-5.98743")</f>
        <v>RE-5.98743</v>
      </c>
      <c r="N136" s="18" t="str">
        <f>HYPERLINK("https://docs.google.com/spreadsheets/d/1IyPxepuEiUTuQlx6Z_5lyioLDtLwaZrO?usp=share_link", "RE-328.712")</f>
        <v>RE-328.712</v>
      </c>
      <c r="O136" s="18" t="str">
        <f>HYPERLINK("https://docs.google.com/spreadsheets/d/1pXssRUsicXmCRWz7W4SL_4rvFYcerP8F?usp=share_link", "RE-5.16305")</f>
        <v>RE-5.16305</v>
      </c>
      <c r="P136" s="18">
        <f>HYPERLINK("https://docs.google.com/spreadsheets/d/1ng7IQiZtiwrzKMO8Bv2Kd8VHf24nJiM5?usp=share_link", 274.321)</f>
        <v>274.321</v>
      </c>
      <c r="Q136" s="18" t="str">
        <f>HYPERLINK("https://docs.google.com/spreadsheets/d/1a4_LqOX2UAyStbQ3qgRa9LWcSio-huPi?usp=share_link", "RE-24.6289")</f>
        <v>RE-24.6289</v>
      </c>
      <c r="R136" s="18">
        <f>HYPERLINK("https://docs.google.com/spreadsheets/d/1SIMISskpFjni6AvsGz2R3w17dV1SdpGu?usp=share_link", 56.9709)</f>
        <v>56.9709</v>
      </c>
      <c r="S136" s="18" t="str">
        <f>HYPERLINK("https://docs.google.com/spreadsheets/d/1PembJStlmuREIIJ0T9B5lRK0xA3pYTph?usp=share_link", "RE-4.334")</f>
        <v>RE-4.334</v>
      </c>
      <c r="T136" s="18">
        <f>HYPERLINK("https://docs.google.com/spreadsheets/d/1F3m2LZ4xjbyqf7CVhn1awbBHkSWohvKk?usp=share_link", 185.63)</f>
        <v>185.63</v>
      </c>
      <c r="U136" s="18" t="str">
        <f>HYPERLINK("https://docs.google.com/spreadsheets/d/1TsYWqe_And1BtLsJypgiokaGvmUjQ-nr?usp=share_link", "RE-12.4566")</f>
        <v>RE-12.4566</v>
      </c>
      <c r="V136" s="18" t="str">
        <f>HYPERLINK("https://docs.google.com/spreadsheets/d/1mu9XgEbPzWCngPAvq45SUE__r87_lcnX?usp=share_link", "RE-0.597917")</f>
        <v>RE-0.597917</v>
      </c>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c r="DN136" s="17"/>
      <c r="DO136" s="17"/>
      <c r="DP136" s="17"/>
      <c r="DQ136" s="17"/>
      <c r="DR136" s="17"/>
      <c r="DS136" s="17"/>
      <c r="DT136" s="17"/>
      <c r="DU136" s="17"/>
      <c r="DV136" s="17"/>
      <c r="DW136" s="17"/>
      <c r="DX136" s="17"/>
      <c r="DY136" s="17"/>
      <c r="DZ136" s="17"/>
      <c r="EA136" s="17"/>
      <c r="EB136" s="17"/>
      <c r="EC136" s="17"/>
      <c r="ED136" s="17"/>
      <c r="EE136" s="17"/>
      <c r="EF136" s="17"/>
      <c r="EG136" s="17"/>
      <c r="EH136" s="17"/>
      <c r="EI136" s="17"/>
      <c r="EJ136" s="17"/>
      <c r="EK136" s="17"/>
      <c r="EL136" s="17"/>
      <c r="EM136" s="17"/>
      <c r="EN136" s="17"/>
      <c r="EO136" s="17"/>
      <c r="EP136" s="17"/>
      <c r="EQ136" s="17"/>
      <c r="ER136" s="17"/>
      <c r="ES136" s="17"/>
      <c r="ET136" s="17"/>
      <c r="EU136" s="17"/>
      <c r="EV136" s="17"/>
      <c r="EW136" s="17"/>
      <c r="EX136" s="17"/>
      <c r="EY136" s="17"/>
      <c r="EZ136" s="17"/>
      <c r="FA136" s="17"/>
      <c r="FB136" s="17"/>
      <c r="FC136" s="17"/>
      <c r="FD136" s="17"/>
      <c r="FE136" s="17"/>
      <c r="FF136" s="17"/>
      <c r="FG136" s="17"/>
      <c r="FH136" s="17"/>
    </row>
    <row r="137">
      <c r="A137" s="32" t="s">
        <v>7</v>
      </c>
      <c r="B137" s="32" t="s">
        <v>33</v>
      </c>
      <c r="C137" s="32" t="s">
        <v>14</v>
      </c>
      <c r="D137" s="16">
        <f t="shared" si="1"/>
        <v>619.0637</v>
      </c>
      <c r="E137" s="17"/>
      <c r="F137" s="18" t="str">
        <f>HYPERLINK("https://docs.google.com/spreadsheets/d/1FDgGHYsQc0QHonlFejtFH-MMWHy7D_54?usp=share_link", "RE-1607.63")</f>
        <v>RE-1607.63</v>
      </c>
      <c r="G137" s="18" t="str">
        <f>HYPERLINK("https://docs.google.com/spreadsheets/d/1c3Nk47hcK1fe1aaCOGRm6XZLwaVvU1w6?usp=share_link", "RE-5.9141")</f>
        <v>RE-5.9141</v>
      </c>
      <c r="H137" s="18" t="str">
        <f>HYPERLINK("https://docs.google.com/spreadsheets/d/1IxJ5HcV3pKE6FBi5baLu2sAkWw93zPty?usp=share_link", "RE-250.644")</f>
        <v>RE-250.644</v>
      </c>
      <c r="I137" s="18" t="str">
        <f>HYPERLINK("https://docs.google.com/spreadsheets/d/1W9ro936rp_I28TPYyu5Wle15vFbMFxgW?usp=share_link", "RE-0.614933")</f>
        <v>RE-0.614933</v>
      </c>
      <c r="J137" s="18" t="str">
        <f>HYPERLINK("https://docs.google.com/spreadsheets/d/1tsfMm0osEmpLDmeHDexnvN1y4N1e7Uj3?usp=share_link", "RE-814.779")</f>
        <v>RE-814.779</v>
      </c>
      <c r="K137" s="18" t="str">
        <f>HYPERLINK("https://docs.google.com/spreadsheets/d/1ZA629mDh5dkmd3Ihggijo3n_8-22H5hx?usp=share_link", "RE-6.97055")</f>
        <v>RE-6.97055</v>
      </c>
      <c r="L137" s="18">
        <f>HYPERLINK("https://docs.google.com/spreadsheets/d/1bOfjiF743fS9N3tpWVp9RJEPkvVsI_PG?usp=share_link", 181.046)</f>
        <v>181.046</v>
      </c>
      <c r="M137" s="18" t="str">
        <f>HYPERLINK("https://docs.google.com/spreadsheets/d/1BJnnLxXxZD5T3bE-jmJoPPCTb25HUTCS?usp=share_link", "RE-5.05733")</f>
        <v>RE-5.05733</v>
      </c>
      <c r="N137" s="18" t="str">
        <f>HYPERLINK("https://docs.google.com/spreadsheets/d/15CF-xZAbzBmcZWo4ZIuQwt5pgRt2UpyE?usp=share_link", "RE-279.672")</f>
        <v>RE-279.672</v>
      </c>
      <c r="O137" s="18" t="str">
        <f>HYPERLINK("https://docs.google.com/spreadsheets/d/1NkbOcMkWqhMCC4cQk_zL0JToT0ehhlOu?usp=share_link", "RE-4.52558")</f>
        <v>RE-4.52558</v>
      </c>
      <c r="P137" s="18">
        <f>HYPERLINK("https://docs.google.com/spreadsheets/d/1PVfdpq8zyra9LS8mLWslwmTEpizMTC0K?usp=share_link", 233.052)</f>
        <v>233.052</v>
      </c>
      <c r="Q137" s="18" t="str">
        <f>HYPERLINK("https://docs.google.com/spreadsheets/d/1FD6tFbccCWG0gjvLV9kkfZHz1CDXI1Q7?usp=share_link", "RE-21.7294")</f>
        <v>RE-21.7294</v>
      </c>
      <c r="R137" s="18">
        <f>HYPERLINK("https://docs.google.com/spreadsheets/d/1BToXf160V0WSvb4M7udLYfBxQ81l4qME?usp=share_link", 46.1397)</f>
        <v>46.1397</v>
      </c>
      <c r="S137" s="18" t="str">
        <f>HYPERLINK("https://docs.google.com/spreadsheets/d/1knBfzLfog3uL2qyMGO5plw8LIc299U7x?usp=share_link", "RE-3.82172")</f>
        <v>RE-3.82172</v>
      </c>
      <c r="T137" s="18">
        <f>HYPERLINK("https://docs.google.com/spreadsheets/d/1DnjsSMYZHx-tQOn9YUSnUEteZOgog4sK?usp=share_link", 158.826)</f>
        <v>158.826</v>
      </c>
      <c r="U137" s="18" t="str">
        <f>HYPERLINK("https://docs.google.com/spreadsheets/d/1Hui7iGyEvZaUayTB072x0dx7VnFZQsBr?usp=share_link", "RE-10.2096")</f>
        <v>RE-10.2096</v>
      </c>
      <c r="V137" s="18" t="str">
        <f>HYPERLINK("https://docs.google.com/spreadsheets/d/1ngaKRBlhay_diMycEs3pVhfbVyGBYMro?usp=share_link", "RE-0.597917")</f>
        <v>RE-0.597917</v>
      </c>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c r="DN137" s="17"/>
      <c r="DO137" s="17"/>
      <c r="DP137" s="17"/>
      <c r="DQ137" s="17"/>
      <c r="DR137" s="17"/>
      <c r="DS137" s="17"/>
      <c r="DT137" s="17"/>
      <c r="DU137" s="17"/>
      <c r="DV137" s="17"/>
      <c r="DW137" s="17"/>
      <c r="DX137" s="17"/>
      <c r="DY137" s="17"/>
      <c r="DZ137" s="17"/>
      <c r="EA137" s="17"/>
      <c r="EB137" s="17"/>
      <c r="EC137" s="17"/>
      <c r="ED137" s="17"/>
      <c r="EE137" s="17"/>
      <c r="EF137" s="17"/>
      <c r="EG137" s="17"/>
      <c r="EH137" s="17"/>
      <c r="EI137" s="17"/>
      <c r="EJ137" s="17"/>
      <c r="EK137" s="17"/>
      <c r="EL137" s="17"/>
      <c r="EM137" s="17"/>
      <c r="EN137" s="17"/>
      <c r="EO137" s="17"/>
      <c r="EP137" s="17"/>
      <c r="EQ137" s="17"/>
      <c r="ER137" s="17"/>
      <c r="ES137" s="17"/>
      <c r="ET137" s="17"/>
      <c r="EU137" s="17"/>
      <c r="EV137" s="17"/>
      <c r="EW137" s="17"/>
      <c r="EX137" s="17"/>
      <c r="EY137" s="17"/>
      <c r="EZ137" s="17"/>
      <c r="FA137" s="17"/>
      <c r="FB137" s="17"/>
      <c r="FC137" s="17"/>
      <c r="FD137" s="17"/>
      <c r="FE137" s="17"/>
      <c r="FF137" s="17"/>
      <c r="FG137" s="17"/>
      <c r="FH137" s="17"/>
    </row>
    <row r="138">
      <c r="A138" s="27" t="s">
        <v>7</v>
      </c>
      <c r="B138" s="27" t="s">
        <v>33</v>
      </c>
      <c r="C138" s="27" t="s">
        <v>15</v>
      </c>
      <c r="D138" s="28">
        <f t="shared" si="1"/>
        <v>724.5519</v>
      </c>
      <c r="E138" s="33"/>
      <c r="F138" s="34" t="str">
        <f>HYPERLINK("https://docs.google.com/spreadsheets/d/1LJ_qRHKP8hDSs8cCaehhowZaRqIVW_j8?usp=share_link", "RE-1773.66")</f>
        <v>RE-1773.66</v>
      </c>
      <c r="G138" s="34" t="str">
        <f>HYPERLINK("https://docs.google.com/spreadsheets/d/1ESQHkaopkZR5XJGdQR6zZtUkRa1bYXrq?usp=share_link", "RE-5.9141")</f>
        <v>RE-5.9141</v>
      </c>
      <c r="H138" s="34" t="str">
        <f>HYPERLINK("https://docs.google.com/spreadsheets/d/1wYqnftPmgUe73gvBgcziy8Zz_lJl1_f2?usp=share_link", "RE-281.561")</f>
        <v>RE-281.561</v>
      </c>
      <c r="I138" s="34" t="str">
        <f>HYPERLINK("https://docs.google.com/spreadsheets/d/1fH7R757L2fZV6anUWCnj_P52Z8FIigrq?usp=share_link", "RE-0.900133")</f>
        <v>RE-0.900133</v>
      </c>
      <c r="J138" s="34" t="str">
        <f>HYPERLINK("https://docs.google.com/spreadsheets/d/1NOX4_DSQ0kgFuB85B7hfSPSBvBmD0Szn?usp=share_link", "RE-896.643")</f>
        <v>RE-896.643</v>
      </c>
      <c r="K138" s="34" t="str">
        <f>HYPERLINK("https://docs.google.com/spreadsheets/d/1gVPCsKO9ZjW4qiAIy_vQr0_QLFSydqYt?usp=share_link", "RE-7.61722")</f>
        <v>RE-7.61722</v>
      </c>
      <c r="L138" s="34">
        <f>HYPERLINK("https://docs.google.com/spreadsheets/d/1A0CA7SBh4vKv-ioPssShz0wB8q7cWFBq?usp=share_link", 207.63)</f>
        <v>207.63</v>
      </c>
      <c r="M138" s="34" t="str">
        <f>HYPERLINK("https://docs.google.com/spreadsheets/d/1Zi4lZyDAvx-z-TR5sERHxC5zMpxNuOya?usp=share_link", "RE-5.98743")</f>
        <v>RE-5.98743</v>
      </c>
      <c r="N138" s="34" t="str">
        <f>HYPERLINK("https://docs.google.com/spreadsheets/d/1txwmflg2vlChXtfBKtw_9pWl-55hVP5K?usp=share_link", "RE-328.712")</f>
        <v>RE-328.712</v>
      </c>
      <c r="O138" s="34" t="str">
        <f>HYPERLINK("https://docs.google.com/spreadsheets/d/1MNE0042gfh4VX4uHyi6XkI4HjMZd22dJ?usp=share_link", "RE-5.16305")</f>
        <v>RE-5.16305</v>
      </c>
      <c r="P138" s="34">
        <f>HYPERLINK("https://docs.google.com/spreadsheets/d/1uFizvdy-DxFW7HxJGiu1iHH9XxiDtZeJ?usp=share_link", 274.321)</f>
        <v>274.321</v>
      </c>
      <c r="Q138" s="34" t="str">
        <f>HYPERLINK("https://docs.google.com/spreadsheets/d/1mYBzRRAqO7gIPxMJresHnpUZ7LvnlPJT?usp=share_link", "RE-24.6289")</f>
        <v>RE-24.6289</v>
      </c>
      <c r="R138" s="34">
        <f>HYPERLINK("https://docs.google.com/spreadsheets/d/1iYkAIBArEKl-hBanz5Y-xhTa-4l122_8?usp=share_link", 56.9709)</f>
        <v>56.9709</v>
      </c>
      <c r="S138" s="34" t="str">
        <f>HYPERLINK("https://docs.google.com/spreadsheets/d/1onS8QLCvmn_w5j4QdUnqNPuZXMyPQ5qJ?usp=share_link", "RE-4.31817")</f>
        <v>RE-4.31817</v>
      </c>
      <c r="T138" s="34">
        <f>HYPERLINK("https://docs.google.com/spreadsheets/d/1hkVZOtyiff6SLI0iGuEzr7EIk6jryTWi?usp=share_link", 185.63)</f>
        <v>185.63</v>
      </c>
      <c r="U138" s="34" t="str">
        <f>HYPERLINK("https://docs.google.com/spreadsheets/d/10nv95YbrQaUhcynHkcNBz0e3ACSxzXww?usp=share_link", "RE-12.4566")</f>
        <v>RE-12.4566</v>
      </c>
      <c r="V138" s="34" t="str">
        <f>HYPERLINK("https://docs.google.com/spreadsheets/d/1y3PtaojzNDrQgmQ_Swrvk8HjCS3kc4A5?usp=share_link", "RE-0.597917")</f>
        <v>RE-0.597917</v>
      </c>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33"/>
      <c r="EP138" s="33"/>
      <c r="EQ138" s="33"/>
      <c r="ER138" s="33"/>
      <c r="ES138" s="33"/>
      <c r="ET138" s="33"/>
      <c r="EU138" s="33"/>
      <c r="EV138" s="33"/>
      <c r="EW138" s="33"/>
      <c r="EX138" s="33"/>
      <c r="EY138" s="33"/>
      <c r="EZ138" s="33"/>
      <c r="FA138" s="33"/>
      <c r="FB138" s="33"/>
      <c r="FC138" s="33"/>
      <c r="FD138" s="33"/>
      <c r="FE138" s="33"/>
      <c r="FF138" s="33"/>
      <c r="FG138" s="33"/>
      <c r="FH138" s="33"/>
    </row>
    <row r="139">
      <c r="A139" s="30" t="s">
        <v>7</v>
      </c>
      <c r="B139" s="30" t="s">
        <v>34</v>
      </c>
      <c r="C139" s="31" t="str">
        <f>HYPERLINK("https://docs.google.com/spreadsheets/d/1JA9UjQcSeVDtx6SXpAFst9ybQTVAOprn/edit?usp=share_link&amp;ouid=106501987799020758802&amp;rtpof=true&amp;sd=true", "Raw Delivered")</f>
        <v>Raw Delivered</v>
      </c>
      <c r="D139" s="12">
        <f t="shared" si="1"/>
        <v>5544.756607</v>
      </c>
      <c r="E139" s="13"/>
      <c r="F139" s="14">
        <f>HYPERLINK("https://docs.google.com/spreadsheets/d/1KSmWA2enE-UYdCH9Kr_lqQrTl6Z7Gt0M", 894.213567708332)</f>
        <v>894.2135677</v>
      </c>
      <c r="G139" s="13"/>
      <c r="H139" s="14">
        <f>HYPERLINK("https://docs.google.com/spreadsheets/d/11XvGN-oLZRwfyuSnVPzBWrjgfxj5NMiM", 372.795602083332)</f>
        <v>372.7956021</v>
      </c>
      <c r="I139" s="13"/>
      <c r="J139" s="14">
        <f>HYPERLINK("https://docs.google.com/spreadsheets/d/1pjWU4_qb-bvhbBneVmejR2bJA9LBxbim", 1736.28236875)</f>
        <v>1736.282369</v>
      </c>
      <c r="K139" s="13"/>
      <c r="L139" s="14">
        <f t="shared" ref="L139:L140" si="70">HYPERLINK("https://docs.google.com/spreadsheets/d/116W1iMk52Vo4Tc56J9XrxeCOKO7mXn-B", 657.587595833332)</f>
        <v>657.5875958</v>
      </c>
      <c r="M139" s="13"/>
      <c r="N139" s="14">
        <f>HYPERLINK("https://docs.google.com/spreadsheets/d/1Eh4zQEzpIMC-flKf8xhtxkCwHqMbzFrW", 609.919962499999)</f>
        <v>609.9199625</v>
      </c>
      <c r="O139" s="13"/>
      <c r="P139" s="14">
        <f t="shared" ref="P139:P140" si="71">HYPERLINK("https://docs.google.com/spreadsheets/d/117W6D0nRDbrsh3OJrLPEVv7GmtCReNsX", 859.741828125)</f>
        <v>859.7418281</v>
      </c>
      <c r="Q139" s="13"/>
      <c r="R139" s="14">
        <f t="shared" ref="R139:R140" si="72">HYPERLINK("https://docs.google.com/spreadsheets/d/1Z9bnQqyzqa3KdDJzg4ZKxK2GZpD4gHBK", 115.727154166666)</f>
        <v>115.7271542</v>
      </c>
      <c r="S139" s="13"/>
      <c r="T139" s="14">
        <f t="shared" ref="T139:T140" si="73">HYPERLINK("https://docs.google.com/spreadsheets/d/17eZ9uDWRGet6oZVyAwKJXRPQh4d752o0", 298.488528124999)</f>
        <v>298.4885281</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row>
    <row r="140">
      <c r="A140" s="32" t="s">
        <v>7</v>
      </c>
      <c r="B140" s="32" t="s">
        <v>34</v>
      </c>
      <c r="C140" s="32" t="s">
        <v>9</v>
      </c>
      <c r="D140" s="16">
        <f t="shared" si="1"/>
        <v>1931.545106</v>
      </c>
      <c r="E140" s="17"/>
      <c r="F140" s="18" t="str">
        <f>HYPERLINK("https://docs.google.com/spreadsheets/d/1KSmWA2enE-UYdCH9Kr_lqQrTl6Z7Gt0M", "RE-894.2135677083328")</f>
        <v>RE-894.2135677083328</v>
      </c>
      <c r="G140" s="17"/>
      <c r="H140" s="18" t="str">
        <f>HYPERLINK("https://docs.google.com/spreadsheets/d/11XvGN-oLZRwfyuSnVPzBWrjgfxj5NMiM", "RE-372.7956020833327")</f>
        <v>RE-372.7956020833327</v>
      </c>
      <c r="I140" s="17"/>
      <c r="J140" s="18" t="str">
        <f>HYPERLINK("https://docs.google.com/spreadsheets/d/1pjWU4_qb-bvhbBneVmejR2bJA9LBxbim", "RE-1736.2823687500018")</f>
        <v>RE-1736.2823687500018</v>
      </c>
      <c r="K140" s="17"/>
      <c r="L140" s="18">
        <f t="shared" si="70"/>
        <v>657.5875958</v>
      </c>
      <c r="M140" s="17"/>
      <c r="N140" s="18" t="str">
        <f>HYPERLINK("https://docs.google.com/spreadsheets/d/1Eh4zQEzpIMC-flKf8xhtxkCwHqMbzFrW", "RE-609.9199624999999")</f>
        <v>RE-609.9199624999999</v>
      </c>
      <c r="O140" s="17"/>
      <c r="P140" s="18">
        <f t="shared" si="71"/>
        <v>859.7418281</v>
      </c>
      <c r="Q140" s="17"/>
      <c r="R140" s="18">
        <f t="shared" si="72"/>
        <v>115.7271542</v>
      </c>
      <c r="S140" s="17"/>
      <c r="T140" s="18">
        <f t="shared" si="73"/>
        <v>298.4885281</v>
      </c>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c r="DN140" s="17"/>
      <c r="DO140" s="17"/>
      <c r="DP140" s="17"/>
      <c r="DQ140" s="17"/>
      <c r="DR140" s="17"/>
      <c r="DS140" s="17"/>
      <c r="DT140" s="17"/>
      <c r="DU140" s="17"/>
      <c r="DV140" s="17"/>
      <c r="DW140" s="17"/>
      <c r="DX140" s="17"/>
      <c r="DY140" s="17"/>
      <c r="DZ140" s="17"/>
      <c r="EA140" s="17"/>
      <c r="EB140" s="17"/>
      <c r="EC140" s="17"/>
      <c r="ED140" s="17"/>
      <c r="EE140" s="17"/>
      <c r="EF140" s="17"/>
      <c r="EG140" s="17"/>
      <c r="EH140" s="17"/>
      <c r="EI140" s="17"/>
      <c r="EJ140" s="17"/>
      <c r="EK140" s="17"/>
      <c r="EL140" s="17"/>
      <c r="EM140" s="17"/>
      <c r="EN140" s="17"/>
      <c r="EO140" s="17"/>
      <c r="EP140" s="17"/>
      <c r="EQ140" s="17"/>
      <c r="ER140" s="17"/>
      <c r="ES140" s="17"/>
      <c r="ET140" s="17"/>
      <c r="EU140" s="17"/>
      <c r="EV140" s="17"/>
      <c r="EW140" s="17"/>
      <c r="EX140" s="17"/>
      <c r="EY140" s="17"/>
      <c r="EZ140" s="17"/>
      <c r="FA140" s="17"/>
      <c r="FB140" s="17"/>
      <c r="FC140" s="17"/>
      <c r="FD140" s="17"/>
      <c r="FE140" s="17"/>
      <c r="FF140" s="17"/>
      <c r="FG140" s="17"/>
      <c r="FH140" s="17"/>
    </row>
    <row r="141">
      <c r="A141" s="32" t="s">
        <v>7</v>
      </c>
      <c r="B141" s="32" t="s">
        <v>34</v>
      </c>
      <c r="C141" s="32" t="s">
        <v>10</v>
      </c>
      <c r="D141" s="16">
        <f t="shared" si="1"/>
        <v>535.6487573</v>
      </c>
      <c r="E141" s="17"/>
      <c r="F141" s="17"/>
      <c r="G141" s="18">
        <f>HYPERLINK("https://docs.google.com/spreadsheets/d/1vj4v3JTkijBZ88r0M9F4s68BRWpGAzq_", 77.8725645833332)</f>
        <v>77.87256458</v>
      </c>
      <c r="H141" s="17"/>
      <c r="I141" s="18">
        <f>HYPERLINK("https://docs.google.com/spreadsheets/d/1Sw0E-nVQ3GMO2byqiGil-zOdLj0FETQr", 44.2285458333333)</f>
        <v>44.22854583</v>
      </c>
      <c r="J141" s="17"/>
      <c r="K141" s="18">
        <f>HYPERLINK("https://docs.google.com/spreadsheets/d/1GZoClVfShTuZRycqLiI9-kpF_X8jq74J", 143.606782291666)</f>
        <v>143.6067823</v>
      </c>
      <c r="L141" s="17"/>
      <c r="M141" s="18">
        <f>HYPERLINK("https://docs.google.com/spreadsheets/d/1lETwRB3WpmkulYJ3GxXNVOCKRvQs0jzd", 64.2700364583333)</f>
        <v>64.27003646</v>
      </c>
      <c r="N141" s="17"/>
      <c r="O141" s="18">
        <f>HYPERLINK("https://docs.google.com/spreadsheets/d/1lKxSJOibEBWnDBjtdOTh9qaOL_NYA3AW", 39.749346875)</f>
        <v>39.74934688</v>
      </c>
      <c r="P141" s="17"/>
      <c r="Q141" s="18">
        <f>HYPERLINK("https://docs.google.com/spreadsheets/d/1c2ZEbfaJ21Kgx8RIP_ze_eQYcc3I7Aqc", 88.7808895833333)</f>
        <v>88.78088958</v>
      </c>
      <c r="R141" s="17"/>
      <c r="S141" s="18">
        <f>HYPERLINK("https://docs.google.com/spreadsheets/d/14KNGYHS_JE49at_kQxk1x3GsX2ORJc-s", 17.5078135416666)</f>
        <v>17.50781354</v>
      </c>
      <c r="T141" s="17"/>
      <c r="U141" s="18">
        <f>HYPERLINK("https://docs.google.com/spreadsheets/d/1QOer8Bm0ewVdLYv4Qjgq6W3yeqpN-lVo", 51.6596322916666)</f>
        <v>51.65963229</v>
      </c>
      <c r="V141" s="18">
        <f>HYPERLINK("https://docs.google.com/spreadsheets/d/1Vr5aEyho8muNqDLtXMHkeHVnAqGYyMmG", 7.97314583333333)</f>
        <v>7.973145833</v>
      </c>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c r="DN141" s="17"/>
      <c r="DO141" s="17"/>
      <c r="DP141" s="17"/>
      <c r="DQ141" s="17"/>
      <c r="DR141" s="17"/>
      <c r="DS141" s="17"/>
      <c r="DT141" s="17"/>
      <c r="DU141" s="17"/>
      <c r="DV141" s="17"/>
      <c r="DW141" s="17"/>
      <c r="DX141" s="17"/>
      <c r="DY141" s="17"/>
      <c r="DZ141" s="17"/>
      <c r="EA141" s="17"/>
      <c r="EB141" s="17"/>
      <c r="EC141" s="17"/>
      <c r="ED141" s="17"/>
      <c r="EE141" s="17"/>
      <c r="EF141" s="17"/>
      <c r="EG141" s="17"/>
      <c r="EH141" s="17"/>
      <c r="EI141" s="17"/>
      <c r="EJ141" s="17"/>
      <c r="EK141" s="17"/>
      <c r="EL141" s="17"/>
      <c r="EM141" s="17"/>
      <c r="EN141" s="17"/>
      <c r="EO141" s="17"/>
      <c r="EP141" s="17"/>
      <c r="EQ141" s="17"/>
      <c r="ER141" s="17"/>
      <c r="ES141" s="17"/>
      <c r="ET141" s="17"/>
      <c r="EU141" s="17"/>
      <c r="EV141" s="17"/>
      <c r="EW141" s="17"/>
      <c r="EX141" s="17"/>
      <c r="EY141" s="17"/>
      <c r="EZ141" s="17"/>
      <c r="FA141" s="17"/>
      <c r="FB141" s="17"/>
      <c r="FC141" s="17"/>
      <c r="FD141" s="17"/>
      <c r="FE141" s="17"/>
      <c r="FF141" s="17"/>
      <c r="FG141" s="17"/>
      <c r="FH141" s="17"/>
    </row>
    <row r="142">
      <c r="A142" s="32" t="s">
        <v>7</v>
      </c>
      <c r="B142" s="32" t="s">
        <v>34</v>
      </c>
      <c r="C142" s="32" t="s">
        <v>11</v>
      </c>
      <c r="D142" s="16">
        <f t="shared" si="1"/>
        <v>0</v>
      </c>
      <c r="E142" s="17"/>
      <c r="F142" s="17"/>
      <c r="G142" s="18" t="str">
        <f>HYPERLINK("https://docs.google.com/spreadsheets/d/1vj4v3JTkijBZ88r0M9F4s68BRWpGAzq_", "RE-77.87256458333327")</f>
        <v>RE-77.87256458333327</v>
      </c>
      <c r="H142" s="17"/>
      <c r="I142" s="18" t="str">
        <f>HYPERLINK("https://docs.google.com/spreadsheets/d/1Sw0E-nVQ3GMO2byqiGil-zOdLj0FETQr", "RE-44.22854583333333")</f>
        <v>RE-44.22854583333333</v>
      </c>
      <c r="J142" s="17"/>
      <c r="K142" s="18" t="str">
        <f>HYPERLINK("https://docs.google.com/spreadsheets/d/1GZoClVfShTuZRycqLiI9-kpF_X8jq74J", "RE-143.6067822916667")</f>
        <v>RE-143.6067822916667</v>
      </c>
      <c r="L142" s="17"/>
      <c r="M142" s="18" t="str">
        <f>HYPERLINK("https://docs.google.com/spreadsheets/d/1lETwRB3WpmkulYJ3GxXNVOCKRvQs0jzd", "RE-64.27003645833331")</f>
        <v>RE-64.27003645833331</v>
      </c>
      <c r="N142" s="17"/>
      <c r="O142" s="18" t="str">
        <f>HYPERLINK("https://docs.google.com/spreadsheets/d/1lKxSJOibEBWnDBjtdOTh9qaOL_NYA3AW", "RE-39.749346875")</f>
        <v>RE-39.749346875</v>
      </c>
      <c r="P142" s="17"/>
      <c r="Q142" s="18" t="str">
        <f>HYPERLINK("https://docs.google.com/spreadsheets/d/1c2ZEbfaJ21Kgx8RIP_ze_eQYcc3I7Aqc", "RE-88.78088958333333")</f>
        <v>RE-88.78088958333333</v>
      </c>
      <c r="R142" s="17"/>
      <c r="S142" s="18" t="str">
        <f>HYPERLINK("https://docs.google.com/spreadsheets/d/14KNGYHS_JE49at_kQxk1x3GsX2ORJc-s", "RE-17.50781354166667")</f>
        <v>RE-17.50781354166667</v>
      </c>
      <c r="T142" s="17"/>
      <c r="U142" s="18" t="str">
        <f>HYPERLINK("https://docs.google.com/spreadsheets/d/1QOer8Bm0ewVdLYv4Qjgq6W3yeqpN-lVo", "RE-51.659632291666654")</f>
        <v>RE-51.659632291666654</v>
      </c>
      <c r="V142" s="18" t="str">
        <f>HYPERLINK("https://docs.google.com/spreadsheets/d/1Vr5aEyho8muNqDLtXMHkeHVnAqGYyMmG", "RE-7.973145833333334")</f>
        <v>RE-7.973145833333334</v>
      </c>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17"/>
      <c r="FB142" s="17"/>
      <c r="FC142" s="17"/>
      <c r="FD142" s="17"/>
      <c r="FE142" s="17"/>
      <c r="FF142" s="17"/>
      <c r="FG142" s="17"/>
      <c r="FH142" s="17"/>
    </row>
    <row r="143">
      <c r="A143" s="32" t="s">
        <v>7</v>
      </c>
      <c r="B143" s="32" t="s">
        <v>34</v>
      </c>
      <c r="C143" s="32" t="s">
        <v>12</v>
      </c>
      <c r="D143" s="16">
        <f t="shared" si="1"/>
        <v>1829.822224</v>
      </c>
      <c r="E143" s="17"/>
      <c r="F143" s="18" t="str">
        <f>HYPERLINK("https://docs.google.com/spreadsheets/d/12wMOgXaUHBwdsKDtvDmFD_4mONpjRZFD", "RE-723.9866739583346")</f>
        <v>RE-723.9866739583346</v>
      </c>
      <c r="G143" s="18" t="str">
        <f>HYPERLINK("https://docs.google.com/spreadsheets/d/11EqV3pNG7saZKIR3hXOcPe_tuML2650Z", "RE-2.317122916666667")</f>
        <v>RE-2.317122916666667</v>
      </c>
      <c r="H143" s="18" t="str">
        <f>HYPERLINK("https://docs.google.com/spreadsheets/d/10VpyoOyMvIfj4TKBbdjHWWz4Zc1AWvtS", "RE-325.3971270833328")</f>
        <v>RE-325.3971270833328</v>
      </c>
      <c r="I143" s="18" t="str">
        <f>HYPERLINK("https://docs.google.com/spreadsheets/d/10DUnzhWawrdnXYY61HKZS_0M-N0SmwzD", "RE-0.6713541666666667")</f>
        <v>RE-0.6713541666666667</v>
      </c>
      <c r="J143" s="18" t="str">
        <f>HYPERLINK("https://docs.google.com/spreadsheets/d/1z_Ymoe5NxGoGBEXoozQuMc02EtHBtk9w", "RE-1389.4741614583343")</f>
        <v>RE-1389.4741614583343</v>
      </c>
      <c r="K143" s="18" t="str">
        <f>HYPERLINK("https://docs.google.com/spreadsheets/d/1-10XI5PQiIaYurUvM1_AjNGaTBKERSvp", "RE-5.282910416666667")</f>
        <v>RE-5.282910416666667</v>
      </c>
      <c r="L143" s="18">
        <f>HYPERLINK("https://docs.google.com/spreadsheets/d/1f4tZe9KmNKwBaz3AnL7wip0FfqcFihgP", 609.5986375)</f>
        <v>609.5986375</v>
      </c>
      <c r="M143" s="18" t="str">
        <f>HYPERLINK("https://docs.google.com/spreadsheets/d/1q-98PGJPfsj5q7nwTcK9_gowRfIl2M9M", "RE-20.366845833333343")</f>
        <v>RE-20.366845833333343</v>
      </c>
      <c r="N143" s="18" t="str">
        <f>HYPERLINK("https://docs.google.com/spreadsheets/d/1jo-yZmyssqtgM7Fl-RsCl2OWf4p1ZLsL", "RE-327.8705864583329")</f>
        <v>RE-327.8705864583329</v>
      </c>
      <c r="O143" s="18" t="str">
        <f>HYPERLINK("https://docs.google.com/spreadsheets/d/17tfPca4jKnUBcHXV2SS4w8wlr6HSvSH_", "RE-7.493508333333334")</f>
        <v>RE-7.493508333333334</v>
      </c>
      <c r="P143" s="18">
        <f>HYPERLINK("https://docs.google.com/spreadsheets/d/1a2GY9PIKL1fZ4KTtpGrHy2wFQbyQinRU", 823.260554166667)</f>
        <v>823.2605542</v>
      </c>
      <c r="Q143" s="18" t="str">
        <f>HYPERLINK("https://docs.google.com/spreadsheets/d/1tIimpj5nnQdSraaFIOq3IVvsdz3nQLG8", "RE-33.199682291666655")</f>
        <v>RE-33.199682291666655</v>
      </c>
      <c r="R143" s="18">
        <f>HYPERLINK("https://docs.google.com/spreadsheets/d/12r2LTXEyH-s48opDOnXleESj60ZPHumD", 110.780302083333)</f>
        <v>110.7803021</v>
      </c>
      <c r="S143" s="18" t="str">
        <f>HYPERLINK("https://docs.google.com/spreadsheets/d/1rcTYFquzB2197qwRofrRT5ei_h6wwPWv", "RE-9.889938541666668")</f>
        <v>RE-9.889938541666668</v>
      </c>
      <c r="T143" s="18">
        <f>HYPERLINK("https://docs.google.com/spreadsheets/d/1pJC4tUj7iUwoJnMgpY_e1fJgg1hsQmdL", 286.182730208333)</f>
        <v>286.1827302</v>
      </c>
      <c r="U143" s="18" t="str">
        <f>HYPERLINK("https://docs.google.com/spreadsheets/d/10DWwX-DRCqGDVWsoUXjPk9cNIYlUeM8M", "RE-29.296641666666666")</f>
        <v>RE-29.296641666666666</v>
      </c>
      <c r="V143" s="18" t="str">
        <f>HYPERLINK("https://docs.google.com/spreadsheets/d/1F3WNMqti5UsewU-acSA2Ayy5LldqzxpP", "RE-6.974281249999999")</f>
        <v>RE-6.974281249999999</v>
      </c>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7"/>
      <c r="FB143" s="17"/>
      <c r="FC143" s="17"/>
      <c r="FD143" s="17"/>
      <c r="FE143" s="17"/>
      <c r="FF143" s="17"/>
      <c r="FG143" s="17"/>
      <c r="FH143" s="17"/>
    </row>
    <row r="144">
      <c r="A144" s="32" t="s">
        <v>7</v>
      </c>
      <c r="B144" s="32" t="s">
        <v>34</v>
      </c>
      <c r="C144" s="32" t="s">
        <v>13</v>
      </c>
      <c r="D144" s="16">
        <f t="shared" si="1"/>
        <v>1757.717</v>
      </c>
      <c r="E144" s="17"/>
      <c r="F144" s="18" t="str">
        <f>HYPERLINK("https://docs.google.com/spreadsheets/d/1VD5Pof6VYLU89UCeNg1n0OizVlE8V40Z?usp=share_link", "RE-707.786")</f>
        <v>RE-707.786</v>
      </c>
      <c r="G144" s="18" t="str">
        <f>HYPERLINK("https://docs.google.com/spreadsheets/d/1XCUM2k_Hwoz1Lv-8Xp7yoVGzZgCCI8Dt?usp=share_link", "RE-2.24623")</f>
        <v>RE-2.24623</v>
      </c>
      <c r="H144" s="18" t="str">
        <f>HYPERLINK("https://docs.google.com/spreadsheets/d/1euzLW4lJKq8PEOs4n162-t9AONQN3ogh?usp=share_link", "RE-317.582")</f>
        <v>RE-317.582</v>
      </c>
      <c r="I144" s="18" t="str">
        <f>HYPERLINK("https://docs.google.com/spreadsheets/d/1WTEEWRINsev2P5hCPNpUnl4gGEg6tCjG?usp=share_link", "RE-0.6642")</f>
        <v>RE-0.6642</v>
      </c>
      <c r="J144" s="18" t="str">
        <f>HYPERLINK("https://docs.google.com/spreadsheets/d/1Z0V5jIS50iUY0KK8WRPDVKZr6ODfUmG2?usp=share_link", "RE-1351.1")</f>
        <v>RE-1351.1</v>
      </c>
      <c r="K144" s="18" t="str">
        <f>HYPERLINK("https://docs.google.com/spreadsheets/d/1RU0CFuD2z_aiXzONevbs50sF-x-Wf57K?usp=share_link", "RE-4.96092")</f>
        <v>RE-4.96092</v>
      </c>
      <c r="L144" s="18">
        <f>HYPERLINK("https://docs.google.com/spreadsheets/d/1gLzAd2ujCBC5aixesaD7TodKsDxXLr_v?usp=share_link", 583.391)</f>
        <v>583.391</v>
      </c>
      <c r="M144" s="18" t="str">
        <f>HYPERLINK("https://docs.google.com/spreadsheets/d/1FbZmOzfrn5jizs5z4TUMk0nE3pzhQ1SD?usp=share_link", "RE-19.6279")</f>
        <v>RE-19.6279</v>
      </c>
      <c r="N144" s="18" t="str">
        <f>HYPERLINK("https://docs.google.com/spreadsheets/d/1BEhPKl6EERpD_19jC2zRFsMiUxby0fLP?usp=share_link", "RE-318.415")</f>
        <v>RE-318.415</v>
      </c>
      <c r="O144" s="18" t="str">
        <f>HYPERLINK("https://docs.google.com/spreadsheets/d/1OuRDxSJ_rX3HTNcqGLNesJSskewa31GN?usp=share_link", "RE-6.9139")</f>
        <v>RE-6.9139</v>
      </c>
      <c r="P144" s="18">
        <f>HYPERLINK("https://docs.google.com/spreadsheets/d/1DkVpgXxO18KiWsmMXFByR4SOUgalLw8h?usp=share_link", 791.144)</f>
        <v>791.144</v>
      </c>
      <c r="Q144" s="18" t="str">
        <f>HYPERLINK("https://docs.google.com/spreadsheets/d/1v01VWi1kJXMMltA2K2iz-LoYiyfMRNBW?usp=share_link", "RE-31.7693")</f>
        <v>RE-31.7693</v>
      </c>
      <c r="R144" s="18">
        <f>HYPERLINK("https://docs.google.com/spreadsheets/d/16N-Kiy0jWdaJ9M2H43_UXMRbDu9yCu_i?usp=share_link", 106.497)</f>
        <v>106.497</v>
      </c>
      <c r="S144" s="18" t="str">
        <f>HYPERLINK("https://docs.google.com/spreadsheets/d/1Vc1CDByrZBUUsreyqi7AbfV--sRaFh6l?usp=share_link", "RE-9.50557")</f>
        <v>RE-9.50557</v>
      </c>
      <c r="T144" s="18">
        <f>HYPERLINK("https://docs.google.com/spreadsheets/d/1MLgrWf96SSnvRyXXzLWpXT8pvir1iVyh?usp=share_link", 276.685)</f>
        <v>276.685</v>
      </c>
      <c r="U144" s="18" t="str">
        <f>HYPERLINK("https://docs.google.com/spreadsheets/d/1CA-XmPpAO1y2J3x8M7Fd4ynFGS7QTi-G?usp=share_link", "RE-27.7554")</f>
        <v>RE-27.7554</v>
      </c>
      <c r="V144" s="18" t="str">
        <f>HYPERLINK("https://docs.google.com/spreadsheets/d/10OELt8jeIWqpyeRhSK2KY-Uy-EY8zJBf?usp=share_link", "RE-6.6954")</f>
        <v>RE-6.6954</v>
      </c>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c r="DN144" s="17"/>
      <c r="DO144" s="17"/>
      <c r="DP144" s="17"/>
      <c r="DQ144" s="17"/>
      <c r="DR144" s="17"/>
      <c r="DS144" s="17"/>
      <c r="DT144" s="17"/>
      <c r="DU144" s="17"/>
      <c r="DV144" s="17"/>
      <c r="DW144" s="17"/>
      <c r="DX144" s="17"/>
      <c r="DY144" s="17"/>
      <c r="DZ144" s="17"/>
      <c r="EA144" s="17"/>
      <c r="EB144" s="17"/>
      <c r="EC144" s="17"/>
      <c r="ED144" s="17"/>
      <c r="EE144" s="17"/>
      <c r="EF144" s="17"/>
      <c r="EG144" s="17"/>
      <c r="EH144" s="17"/>
      <c r="EI144" s="17"/>
      <c r="EJ144" s="17"/>
      <c r="EK144" s="17"/>
      <c r="EL144" s="17"/>
      <c r="EM144" s="17"/>
      <c r="EN144" s="17"/>
      <c r="EO144" s="17"/>
      <c r="EP144" s="17"/>
      <c r="EQ144" s="17"/>
      <c r="ER144" s="17"/>
      <c r="ES144" s="17"/>
      <c r="ET144" s="17"/>
      <c r="EU144" s="17"/>
      <c r="EV144" s="17"/>
      <c r="EW144" s="17"/>
      <c r="EX144" s="17"/>
      <c r="EY144" s="17"/>
      <c r="EZ144" s="17"/>
      <c r="FA144" s="17"/>
      <c r="FB144" s="17"/>
      <c r="FC144" s="17"/>
      <c r="FD144" s="17"/>
      <c r="FE144" s="17"/>
      <c r="FF144" s="17"/>
      <c r="FG144" s="17"/>
      <c r="FH144" s="17"/>
    </row>
    <row r="145">
      <c r="A145" s="32" t="s">
        <v>7</v>
      </c>
      <c r="B145" s="32" t="s">
        <v>34</v>
      </c>
      <c r="C145" s="32" t="s">
        <v>14</v>
      </c>
      <c r="D145" s="16">
        <f t="shared" si="1"/>
        <v>1522.1377</v>
      </c>
      <c r="E145" s="17"/>
      <c r="F145" s="18" t="str">
        <f>HYPERLINK("https://docs.google.com/spreadsheets/d/1LcFTGkG-I3DCSiQTeKXBpdx0hNqe-u91?usp=share_link", "RE-643.986")</f>
        <v>RE-643.986</v>
      </c>
      <c r="G145" s="18" t="str">
        <f>HYPERLINK("https://docs.google.com/spreadsheets/d/1qStCiqKhyF8kzffWYIqk5OlYEm6TaqHt?usp=share_link", "RE-2.24623")</f>
        <v>RE-2.24623</v>
      </c>
      <c r="H145" s="18" t="str">
        <f>HYPERLINK("https://docs.google.com/spreadsheets/d/1pzkBzm6JC8LOKl39RoSUACuSbJhgX7bo?usp=share_link", "RE-279.197")</f>
        <v>RE-279.197</v>
      </c>
      <c r="I145" s="18" t="str">
        <f>HYPERLINK("https://docs.google.com/spreadsheets/d/1Iwm9cz154pxyrmMxbAivGSbOeCJ4osfz?usp=share_link", "RE-0.48495")</f>
        <v>RE-0.48495</v>
      </c>
      <c r="J145" s="18" t="str">
        <f>HYPERLINK("https://docs.google.com/spreadsheets/d/1U6UyoSyvbRXUci0fVx20yb8oIgXYnzuE?usp=share_link", "RE-1244.6")</f>
        <v>RE-1244.6</v>
      </c>
      <c r="K145" s="18" t="str">
        <f>HYPERLINK("https://docs.google.com/spreadsheets/d/1k019vJSdUdJnVQxDZ8OHyEHC4_-oxgZQ?usp=share_link", "RE-4.64527")</f>
        <v>RE-4.64527</v>
      </c>
      <c r="L145" s="18">
        <f>HYPERLINK("https://docs.google.com/spreadsheets/d/1ECXJdXUtN4WicgAZVhVJwHsoOMAy4x5q?usp=share_link", 501.237)</f>
        <v>501.237</v>
      </c>
      <c r="M145" s="18" t="str">
        <f>HYPERLINK("https://docs.google.com/spreadsheets/d/1unwv0RQ6JEvP5E5Iyz9Pb7oSC79O7ISu?usp=share_link", "RE-15.9112")</f>
        <v>RE-15.9112</v>
      </c>
      <c r="N145" s="18" t="str">
        <f>HYPERLINK("https://docs.google.com/spreadsheets/d/1wCi5m63_6vnWX3GqBajZHSH5FdVBjn0u?usp=share_link", "RE-271.451")</f>
        <v>RE-271.451</v>
      </c>
      <c r="O145" s="18" t="str">
        <f>HYPERLINK("https://docs.google.com/spreadsheets/d/15L1cTknSvQFHPNLiS0QKIV5M1_MxG8fW?usp=share_link", "RE-5.75288")</f>
        <v>RE-5.75288</v>
      </c>
      <c r="P145" s="18">
        <f>HYPERLINK("https://docs.google.com/spreadsheets/d/1j016hkYBieOZ5-qbIpjHScba_WuZU7ae?usp=share_link", 691.533)</f>
        <v>691.533</v>
      </c>
      <c r="Q145" s="18" t="str">
        <f>HYPERLINK("https://docs.google.com/spreadsheets/d/11YO2m-ZCAUPcxnLjdyl4P83kyK6fTTqW?usp=share_link", "RE-29.6309")</f>
        <v>RE-29.6309</v>
      </c>
      <c r="R145" s="18">
        <f>HYPERLINK("https://docs.google.com/spreadsheets/d/1N-kAmENXioKfNtfaqvGSGsAEPDSsRwKN?usp=share_link", 92.1077)</f>
        <v>92.1077</v>
      </c>
      <c r="S145" s="18" t="str">
        <f>HYPERLINK("https://docs.google.com/spreadsheets/d/1W-CWfee917Xi1qBlwtahIo5UGXndFYPa?usp=share_link", "RE-8.3978")</f>
        <v>RE-8.3978</v>
      </c>
      <c r="T145" s="18">
        <f>HYPERLINK("https://docs.google.com/spreadsheets/d/1qBVwfjExJwX6yv4PBNhGuoUp3xOsVm-q?usp=share_link", 237.26)</f>
        <v>237.26</v>
      </c>
      <c r="U145" s="18" t="str">
        <f>HYPERLINK("https://docs.google.com/spreadsheets/d/1cEoan-A1fUlXEAD_12txWwwZLV2GDUy6?usp=share_link", "RE-24.7551")</f>
        <v>RE-24.7551</v>
      </c>
      <c r="V145" s="18" t="str">
        <f>HYPERLINK("https://docs.google.com/spreadsheets/d/1Zi-y1N0g_QrsTODo6Nw629nTeCHhx6E4?usp=share_link", "RE-5.53982")</f>
        <v>RE-5.53982</v>
      </c>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17"/>
      <c r="FG145" s="17"/>
      <c r="FH145" s="17"/>
    </row>
    <row r="146">
      <c r="A146" s="27" t="s">
        <v>7</v>
      </c>
      <c r="B146" s="27" t="s">
        <v>34</v>
      </c>
      <c r="C146" s="27" t="s">
        <v>15</v>
      </c>
      <c r="D146" s="28">
        <f t="shared" si="1"/>
        <v>1757.58</v>
      </c>
      <c r="E146" s="33"/>
      <c r="F146" s="34" t="str">
        <f>HYPERLINK("https://docs.google.com/spreadsheets/d/112IqXfSZzkqLww_Ff30pSfFKC08DhOlH?usp=share_link", "RE-707.786")</f>
        <v>RE-707.786</v>
      </c>
      <c r="G146" s="34" t="str">
        <f>HYPERLINK("https://docs.google.com/spreadsheets/d/1xsEOAJ1TLbs2qjbdIskBV1Neu9-pwKx8?usp=share_link", "RE-2.24623")</f>
        <v>RE-2.24623</v>
      </c>
      <c r="H146" s="34" t="str">
        <f>HYPERLINK("https://docs.google.com/spreadsheets/d/1zIMD0HMEc1l80rDsibUnwo0i2fDYbAIt?usp=share_link", "RE-317.436")</f>
        <v>RE-317.436</v>
      </c>
      <c r="I146" s="34" t="str">
        <f>HYPERLINK("https://docs.google.com/spreadsheets/d/1Rhy3lEG-E_6fAVgKZNYPhIjuwa78g45w?usp=share_link", "RE-0.6642")</f>
        <v>RE-0.6642</v>
      </c>
      <c r="J146" s="34" t="str">
        <f>HYPERLINK("https://docs.google.com/spreadsheets/d/1vkXiDRbiQeC3H4OZAmR_hnDdu6v1NetH?usp=share_link", "RE-1351.08")</f>
        <v>RE-1351.08</v>
      </c>
      <c r="K146" s="34" t="str">
        <f>HYPERLINK("https://docs.google.com/spreadsheets/d/1xGwRAbj51TVTiNNprCk8Vfs2f4H7n7lD?usp=share_link", "RE-4.96092")</f>
        <v>RE-4.96092</v>
      </c>
      <c r="L146" s="34">
        <f>HYPERLINK("https://docs.google.com/spreadsheets/d/17hwBIaFd9k9r2JKp2YDb2grZDhLy7aov?usp=share_link", 583.391)</f>
        <v>583.391</v>
      </c>
      <c r="M146" s="34" t="str">
        <f>HYPERLINK("https://docs.google.com/spreadsheets/d/1PQ1TtlVhI6aqBDowOCDM47vovA7zF3eY?usp=share_link", "RE-19.6279")</f>
        <v>RE-19.6279</v>
      </c>
      <c r="N146" s="34" t="str">
        <f>HYPERLINK("https://docs.google.com/spreadsheets/d/16Yu9LFazzHee4ORtZ89yzZw4NvTjHFyg?usp=share_link", "RE-318.415")</f>
        <v>RE-318.415</v>
      </c>
      <c r="O146" s="34" t="str">
        <f>HYPERLINK("https://docs.google.com/spreadsheets/d/1kOURqJc9LIp8IdIlVHDK21JbOVO-L3Cg?usp=share_link", "RE-6.9139")</f>
        <v>RE-6.9139</v>
      </c>
      <c r="P146" s="34">
        <f>HYPERLINK("https://docs.google.com/spreadsheets/d/1YL5kQdU3YuKRz6rU_Q5uO3AI0ELQ7XiN?usp=share_link", 791.007)</f>
        <v>791.007</v>
      </c>
      <c r="Q146" s="34" t="str">
        <f>HYPERLINK("https://docs.google.com/spreadsheets/d/1NDxzshDAGa53E2l7Q6Syvv9QXS3NcAUe?usp=share_link", "RE-31.7693")</f>
        <v>RE-31.7693</v>
      </c>
      <c r="R146" s="34">
        <f>HYPERLINK("https://docs.google.com/spreadsheets/d/17y2MpCzt-X4hQyZ4Kgr2uB1EWPjJ4ZS6?usp=share_link", 106.497)</f>
        <v>106.497</v>
      </c>
      <c r="S146" s="34" t="str">
        <f>HYPERLINK("https://docs.google.com/spreadsheets/d/1sc6uoJ5z0zubutL2nJzJeLRzz8WS80v-?usp=share_link", "RE-9.50557")</f>
        <v>RE-9.50557</v>
      </c>
      <c r="T146" s="34">
        <f>HYPERLINK("https://docs.google.com/spreadsheets/d/19p4gUizCCYEdx3IyevoRJ5AAPIYKo5tD?usp=share_link", 276.685)</f>
        <v>276.685</v>
      </c>
      <c r="U146" s="34" t="str">
        <f>HYPERLINK("https://docs.google.com/spreadsheets/d/1qc01FnaGuBPrCj2hTdxoAHdHgxLv5AFn?usp=share_link", "RE-27.7554")</f>
        <v>RE-27.7554</v>
      </c>
      <c r="V146" s="34" t="str">
        <f>HYPERLINK("https://docs.google.com/spreadsheets/d/1VG-09z5RJgRHSMeUyrnYFFMjtKWsBQiU?usp=share_link", "RE-6.6954")</f>
        <v>RE-6.6954</v>
      </c>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c r="FG146" s="33"/>
      <c r="FH146" s="33"/>
    </row>
    <row r="147">
      <c r="A147" s="30" t="s">
        <v>35</v>
      </c>
      <c r="B147" s="30" t="s">
        <v>36</v>
      </c>
      <c r="C147" s="31" t="str">
        <f>HYPERLINK("https://docs.google.com/spreadsheets/d/1ZCrkGVtwVbrqPxjzD6Q0G4UieqwBuRTy/edit?usp=share_link&amp;ouid=106501987799020758802&amp;rtpof=true&amp;sd=true", "Raw Delivered")</f>
        <v>Raw Delivered</v>
      </c>
      <c r="D147" s="12">
        <f t="shared" si="1"/>
        <v>6039.035318</v>
      </c>
      <c r="E147" s="13"/>
      <c r="F147" s="14">
        <f>HYPERLINK("https://docs.google.com/spreadsheets/d/1bN18uKiQopcK_USHfsMb3VTv_sJin8Ku", 1427.37131249999)</f>
        <v>1427.371312</v>
      </c>
      <c r="G147" s="13"/>
      <c r="H147" s="14">
        <f>HYPERLINK("https://docs.google.com/spreadsheets/d/1PqACOM_nXNszrzBaGHrWG1mBA3Ow2c7T", 351.7747875)</f>
        <v>351.7747875</v>
      </c>
      <c r="I147" s="13"/>
      <c r="J147" s="14">
        <f>HYPERLINK("https://docs.google.com/spreadsheets/d/1aVFLLKeonzeC-QL8r3Y7-AZWaG0ockEj", 1841.29915937498)</f>
        <v>1841.299159</v>
      </c>
      <c r="K147" s="13"/>
      <c r="L147" s="14">
        <f t="shared" ref="L147:L148" si="74">HYPERLINK("https://docs.google.com/spreadsheets/d/1tcROUg4zz14wOLUi3GVobVb7nb7RbWOa", 1107.349096875)</f>
        <v>1107.349097</v>
      </c>
      <c r="M147" s="13"/>
      <c r="N147" s="14">
        <f>HYPERLINK("https://docs.google.com/spreadsheets/d/1a0ds-c3LNdzfHdbcVjQOA_rNlRjJmDy9", 278.783176041667)</f>
        <v>278.783176</v>
      </c>
      <c r="O147" s="13"/>
      <c r="P147" s="14">
        <f t="shared" ref="P147:P148" si="75">HYPERLINK("https://docs.google.com/spreadsheets/d/1C3N3LpFcCygzqdBV_vKAwaLRo0KRRM_-", 251.154964583333)</f>
        <v>251.1549646</v>
      </c>
      <c r="Q147" s="13"/>
      <c r="R147" s="14">
        <f t="shared" ref="R147:R148" si="76">HYPERLINK("https://docs.google.com/spreadsheets/d/1PkFdTuZtBZUSoOorfoypda-RpGdbow9k", 54.8183677083333)</f>
        <v>54.81836771</v>
      </c>
      <c r="S147" s="13"/>
      <c r="T147" s="14">
        <f t="shared" ref="T147:T148" si="77">HYPERLINK("https://docs.google.com/spreadsheets/d/1WYVwJxcWbKcj7ZehjLHO0P7lUhxNdG99", 726.484453124999)</f>
        <v>726.4844531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row>
    <row r="148">
      <c r="A148" s="32" t="s">
        <v>35</v>
      </c>
      <c r="B148" s="32" t="s">
        <v>36</v>
      </c>
      <c r="C148" s="32" t="s">
        <v>9</v>
      </c>
      <c r="D148" s="16">
        <f t="shared" si="1"/>
        <v>2139.806882</v>
      </c>
      <c r="E148" s="17"/>
      <c r="F148" s="18" t="str">
        <f>HYPERLINK("https://docs.google.com/spreadsheets/d/1bN18uKiQopcK_USHfsMb3VTv_sJin8Ku", "RE-1427.3713124999954")</f>
        <v>RE-1427.3713124999954</v>
      </c>
      <c r="G148" s="17"/>
      <c r="H148" s="18" t="str">
        <f>HYPERLINK("https://docs.google.com/spreadsheets/d/1PqACOM_nXNszrzBaGHrWG1mBA3Ow2c7T", "RE-351.7747875000004")</f>
        <v>RE-351.7747875000004</v>
      </c>
      <c r="I148" s="17"/>
      <c r="J148" s="18" t="str">
        <f>HYPERLINK("https://docs.google.com/spreadsheets/d/1aVFLLKeonzeC-QL8r3Y7-AZWaG0ockEj", "RE-1841.2991593749866")</f>
        <v>RE-1841.2991593749866</v>
      </c>
      <c r="K148" s="17"/>
      <c r="L148" s="18">
        <f t="shared" si="74"/>
        <v>1107.349097</v>
      </c>
      <c r="M148" s="17"/>
      <c r="N148" s="18" t="str">
        <f>HYPERLINK("https://docs.google.com/spreadsheets/d/1a0ds-c3LNdzfHdbcVjQOA_rNlRjJmDy9", "RE-278.78317604166716")</f>
        <v>RE-278.78317604166716</v>
      </c>
      <c r="O148" s="17"/>
      <c r="P148" s="18">
        <f t="shared" si="75"/>
        <v>251.1549646</v>
      </c>
      <c r="Q148" s="17"/>
      <c r="R148" s="18">
        <f t="shared" si="76"/>
        <v>54.81836771</v>
      </c>
      <c r="S148" s="17"/>
      <c r="T148" s="18">
        <f t="shared" si="77"/>
        <v>726.4844531</v>
      </c>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c r="DN148" s="17"/>
      <c r="DO148" s="17"/>
      <c r="DP148" s="17"/>
      <c r="DQ148" s="17"/>
      <c r="DR148" s="17"/>
      <c r="DS148" s="17"/>
      <c r="DT148" s="17"/>
      <c r="DU148" s="17"/>
      <c r="DV148" s="17"/>
      <c r="DW148" s="17"/>
      <c r="DX148" s="17"/>
      <c r="DY148" s="17"/>
      <c r="DZ148" s="17"/>
      <c r="EA148" s="17"/>
      <c r="EB148" s="17"/>
      <c r="EC148" s="17"/>
      <c r="ED148" s="17"/>
      <c r="EE148" s="17"/>
      <c r="EF148" s="17"/>
      <c r="EG148" s="17"/>
      <c r="EH148" s="17"/>
      <c r="EI148" s="17"/>
      <c r="EJ148" s="17"/>
      <c r="EK148" s="17"/>
      <c r="EL148" s="17"/>
      <c r="EM148" s="17"/>
      <c r="EN148" s="17"/>
      <c r="EO148" s="17"/>
      <c r="EP148" s="17"/>
      <c r="EQ148" s="17"/>
      <c r="ER148" s="17"/>
      <c r="ES148" s="17"/>
      <c r="ET148" s="17"/>
      <c r="EU148" s="17"/>
      <c r="EV148" s="17"/>
      <c r="EW148" s="17"/>
      <c r="EX148" s="17"/>
      <c r="EY148" s="17"/>
      <c r="EZ148" s="17"/>
      <c r="FA148" s="17"/>
      <c r="FB148" s="17"/>
      <c r="FC148" s="17"/>
      <c r="FD148" s="17"/>
      <c r="FE148" s="17"/>
      <c r="FF148" s="17"/>
      <c r="FG148" s="17"/>
      <c r="FH148" s="17"/>
    </row>
    <row r="149">
      <c r="A149" s="32" t="s">
        <v>35</v>
      </c>
      <c r="B149" s="32" t="s">
        <v>36</v>
      </c>
      <c r="C149" s="32" t="s">
        <v>10</v>
      </c>
      <c r="D149" s="16">
        <f t="shared" si="1"/>
        <v>510.6146052</v>
      </c>
      <c r="E149" s="17"/>
      <c r="F149" s="17"/>
      <c r="G149" s="18">
        <f>HYPERLINK("https://docs.google.com/spreadsheets/d/1PIQkZXwiSQyAKk5wMOg3nCwQDdRk8y_p", 142.780253125)</f>
        <v>142.7802531</v>
      </c>
      <c r="H149" s="17"/>
      <c r="I149" s="18">
        <f>HYPERLINK("https://docs.google.com/spreadsheets/d/1EJNr-y7hzMPx8EyVR0saMbP8MFxUIqWe", 42.9408291666666)</f>
        <v>42.94082917</v>
      </c>
      <c r="J149" s="17"/>
      <c r="K149" s="18">
        <f>HYPERLINK("https://docs.google.com/spreadsheets/d/1dbGM9vx2NN1ZjxEdyE7eKb09tuFdUZNB", 143.515823958333)</f>
        <v>143.515824</v>
      </c>
      <c r="L149" s="17"/>
      <c r="M149" s="18">
        <f>HYPERLINK("https://docs.google.com/spreadsheets/d/1bqybEblWKamyCrXNxaW42Hc2JpNL38KB", 88.3605249999999)</f>
        <v>88.360525</v>
      </c>
      <c r="N149" s="17"/>
      <c r="O149" s="18">
        <f>HYPERLINK("https://docs.google.com/spreadsheets/d/1QDaSOi-tgaDhm24JltmsKj3DLlTihHCK", 25.19365625)</f>
        <v>25.19365625</v>
      </c>
      <c r="P149" s="17"/>
      <c r="Q149" s="18">
        <f>HYPERLINK("https://docs.google.com/spreadsheets/d/1cm3OpTFRgdDvHZ_znZDPhtROLW6OJU-h", 33.1460375)</f>
        <v>33.1460375</v>
      </c>
      <c r="R149" s="17"/>
      <c r="S149" s="18">
        <f>HYPERLINK("https://docs.google.com/spreadsheets/d/1IDluMTfjRj7ErvKBMPo6HsEzZfl9Jih7", 5.90269374999999)</f>
        <v>5.90269375</v>
      </c>
      <c r="T149" s="17"/>
      <c r="U149" s="18">
        <f>HYPERLINK("https://docs.google.com/spreadsheets/d/1GqRUnkXTGHXzDtdd_M3YebATNks1NA2J", 24.0119947916666)</f>
        <v>24.01199479</v>
      </c>
      <c r="V149" s="18">
        <f>HYPERLINK("https://docs.google.com/spreadsheets/d/1UeWeUmqoltavcKeaivoRiepx2iiTTp9o", 4.76279166666666)</f>
        <v>4.762791667</v>
      </c>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c r="DN149" s="17"/>
      <c r="DO149" s="17"/>
      <c r="DP149" s="17"/>
      <c r="DQ149" s="17"/>
      <c r="DR149" s="17"/>
      <c r="DS149" s="17"/>
      <c r="DT149" s="17"/>
      <c r="DU149" s="17"/>
      <c r="DV149" s="17"/>
      <c r="DW149" s="17"/>
      <c r="DX149" s="17"/>
      <c r="DY149" s="17"/>
      <c r="DZ149" s="17"/>
      <c r="EA149" s="17"/>
      <c r="EB149" s="17"/>
      <c r="EC149" s="17"/>
      <c r="ED149" s="17"/>
      <c r="EE149" s="17"/>
      <c r="EF149" s="17"/>
      <c r="EG149" s="17"/>
      <c r="EH149" s="17"/>
      <c r="EI149" s="17"/>
      <c r="EJ149" s="17"/>
      <c r="EK149" s="17"/>
      <c r="EL149" s="17"/>
      <c r="EM149" s="17"/>
      <c r="EN149" s="17"/>
      <c r="EO149" s="17"/>
      <c r="EP149" s="17"/>
      <c r="EQ149" s="17"/>
      <c r="ER149" s="17"/>
      <c r="ES149" s="17"/>
      <c r="ET149" s="17"/>
      <c r="EU149" s="17"/>
      <c r="EV149" s="17"/>
      <c r="EW149" s="17"/>
      <c r="EX149" s="17"/>
      <c r="EY149" s="17"/>
      <c r="EZ149" s="17"/>
      <c r="FA149" s="17"/>
      <c r="FB149" s="17"/>
      <c r="FC149" s="17"/>
      <c r="FD149" s="17"/>
      <c r="FE149" s="17"/>
      <c r="FF149" s="17"/>
      <c r="FG149" s="17"/>
      <c r="FH149" s="17"/>
    </row>
    <row r="150">
      <c r="A150" s="32" t="s">
        <v>35</v>
      </c>
      <c r="B150" s="32" t="s">
        <v>36</v>
      </c>
      <c r="C150" s="32" t="s">
        <v>11</v>
      </c>
      <c r="D150" s="16">
        <f t="shared" si="1"/>
        <v>0</v>
      </c>
      <c r="E150" s="17"/>
      <c r="F150" s="17"/>
      <c r="G150" s="18" t="str">
        <f>HYPERLINK("https://docs.google.com/spreadsheets/d/1PIQkZXwiSQyAKk5wMOg3nCwQDdRk8y_p", "RE-142.780253125")</f>
        <v>RE-142.780253125</v>
      </c>
      <c r="H150" s="17"/>
      <c r="I150" s="18" t="str">
        <f>HYPERLINK("https://docs.google.com/spreadsheets/d/1EJNr-y7hzMPx8EyVR0saMbP8MFxUIqWe", "RE-42.94082916666666")</f>
        <v>RE-42.94082916666666</v>
      </c>
      <c r="J150" s="17"/>
      <c r="K150" s="18" t="str">
        <f>HYPERLINK("https://docs.google.com/spreadsheets/d/1dbGM9vx2NN1ZjxEdyE7eKb09tuFdUZNB", "RE-143.5158239583333")</f>
        <v>RE-143.5158239583333</v>
      </c>
      <c r="L150" s="17"/>
      <c r="M150" s="18" t="str">
        <f>HYPERLINK("https://docs.google.com/spreadsheets/d/1bqybEblWKamyCrXNxaW42Hc2JpNL38KB", "RE-88.36052499999997")</f>
        <v>RE-88.36052499999997</v>
      </c>
      <c r="N150" s="17"/>
      <c r="O150" s="18" t="str">
        <f>HYPERLINK("https://docs.google.com/spreadsheets/d/1QDaSOi-tgaDhm24JltmsKj3DLlTihHCK", "RE-25.193656250000007")</f>
        <v>RE-25.193656250000007</v>
      </c>
      <c r="P150" s="17"/>
      <c r="Q150" s="18" t="str">
        <f>HYPERLINK("https://docs.google.com/spreadsheets/d/1cm3OpTFRgdDvHZ_znZDPhtROLW6OJU-h", "RE-33.146037500000006")</f>
        <v>RE-33.146037500000006</v>
      </c>
      <c r="R150" s="17"/>
      <c r="S150" s="18" t="str">
        <f>HYPERLINK("https://docs.google.com/spreadsheets/d/1IDluMTfjRj7ErvKBMPo6HsEzZfl9Jih7", "RE-5.902693749999999")</f>
        <v>RE-5.902693749999999</v>
      </c>
      <c r="T150" s="17"/>
      <c r="U150" s="18" t="str">
        <f>HYPERLINK("https://docs.google.com/spreadsheets/d/1GqRUnkXTGHXzDtdd_M3YebATNks1NA2J", "RE-24.01199479166666")</f>
        <v>RE-24.01199479166666</v>
      </c>
      <c r="V150" s="18" t="str">
        <f>HYPERLINK("https://docs.google.com/spreadsheets/d/1UeWeUmqoltavcKeaivoRiepx2iiTTp9o", "RE-4.762791666666668")</f>
        <v>RE-4.762791666666668</v>
      </c>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c r="EJ150" s="17"/>
      <c r="EK150" s="17"/>
      <c r="EL150" s="17"/>
      <c r="EM150" s="17"/>
      <c r="EN150" s="17"/>
      <c r="EO150" s="17"/>
      <c r="EP150" s="17"/>
      <c r="EQ150" s="17"/>
      <c r="ER150" s="17"/>
      <c r="ES150" s="17"/>
      <c r="ET150" s="17"/>
      <c r="EU150" s="17"/>
      <c r="EV150" s="17"/>
      <c r="EW150" s="17"/>
      <c r="EX150" s="17"/>
      <c r="EY150" s="17"/>
      <c r="EZ150" s="17"/>
      <c r="FA150" s="17"/>
      <c r="FB150" s="17"/>
      <c r="FC150" s="17"/>
      <c r="FD150" s="17"/>
      <c r="FE150" s="17"/>
      <c r="FF150" s="17"/>
      <c r="FG150" s="17"/>
      <c r="FH150" s="17"/>
    </row>
    <row r="151">
      <c r="A151" s="32" t="s">
        <v>35</v>
      </c>
      <c r="B151" s="32" t="s">
        <v>36</v>
      </c>
      <c r="C151" s="32" t="s">
        <v>12</v>
      </c>
      <c r="D151" s="16">
        <f t="shared" si="1"/>
        <v>1946.911294</v>
      </c>
      <c r="E151" s="17"/>
      <c r="F151" s="18" t="str">
        <f>HYPERLINK("https://docs.google.com/spreadsheets/d/1OfI1c4LqzFX4kZVIs2zVo-wpDsBZoLQ-", "RE-1109.0064822916704")</f>
        <v>RE-1109.0064822916704</v>
      </c>
      <c r="G151" s="18" t="str">
        <f>HYPERLINK("https://docs.google.com/spreadsheets/d/1_XCmcOyNBIYdj1McQe-fLD6R5WZwks3j", "RE-5.226366666666666")</f>
        <v>RE-5.226366666666666</v>
      </c>
      <c r="H151" s="18" t="str">
        <f>HYPERLINK("https://docs.google.com/spreadsheets/d/1SlBR3ta0UScePaye45hRQQQ7Qmp_TXIk", "RE-315.08778645833354")</f>
        <v>RE-315.08778645833354</v>
      </c>
      <c r="I151" s="18" t="str">
        <f>HYPERLINK("https://docs.google.com/spreadsheets/d/1iT4OFizdFh4vj0BovzyNPQKzR1nYJtlO", "RE-1.150475")</f>
        <v>RE-1.150475</v>
      </c>
      <c r="J151" s="18" t="str">
        <f>HYPERLINK("https://docs.google.com/spreadsheets/d/1P7IKg8OJtd_hxoUwvcuM6PLPjpN3MUfV", "RE-1474.5005624999976")</f>
        <v>RE-1474.5005624999976</v>
      </c>
      <c r="K151" s="18" t="str">
        <f>HYPERLINK("https://docs.google.com/spreadsheets/d/1onTAUdxU8ba4HXakoVtYhPyJRyWDsfLv", "RE-8.320614583333333")</f>
        <v>RE-8.320614583333333</v>
      </c>
      <c r="L151" s="18">
        <f>HYPERLINK("https://docs.google.com/spreadsheets/d/1ebYB3c-oCr95_3Mxitk2UC_xGGVbTziq", 1003.165746875)</f>
        <v>1003.165747</v>
      </c>
      <c r="M151" s="18" t="str">
        <f>HYPERLINK("https://docs.google.com/spreadsheets/d/1hS_5L7RwT2CABMvBhSWug8MwPCZTyRtJ", "RE-19.544992708333336")</f>
        <v>RE-19.544992708333336</v>
      </c>
      <c r="N151" s="18" t="str">
        <f>HYPERLINK("https://docs.google.com/spreadsheets/d/1WjbUI_shpgo7O7iJCSrooRJ3P4rT2KBZ", "RE-170.0119395833335")</f>
        <v>RE-170.0119395833335</v>
      </c>
      <c r="O151" s="18" t="str">
        <f>HYPERLINK("https://docs.google.com/spreadsheets/d/1baRtB03Vsu0SbiwiBWLoXsSpNrMzXREN", "RE-4.6296124999999995")</f>
        <v>RE-4.6296124999999995</v>
      </c>
      <c r="P151" s="18">
        <f>HYPERLINK("https://docs.google.com/spreadsheets/d/dummy", 202.447842708333)</f>
        <v>202.4478427</v>
      </c>
      <c r="Q151" s="18" t="str">
        <f>HYPERLINK("https://docs.google.com/spreadsheets/d/10iUWjizhpfQ1DBXh11-_rEkug-J6dcJt", "RE-12.280096875")</f>
        <v>RE-12.280096875</v>
      </c>
      <c r="R151" s="18">
        <f>HYPERLINK("https://docs.google.com/spreadsheets/d/17tzFvMA_d7XKf7Q96FmuhgWDnW6z44-8", 51.4243052083333)</f>
        <v>51.42430521</v>
      </c>
      <c r="S151" s="18" t="str">
        <f>HYPERLINK("https://docs.google.com/spreadsheets/d/1fKM0P6rKXAPgMAiqbXv6yKGXmW0y3nE3", "RE-3.2696437499999997")</f>
        <v>RE-3.2696437499999997</v>
      </c>
      <c r="T151" s="18">
        <f>HYPERLINK("https://docs.google.com/spreadsheets/d/1IoUycg7rm1DpyXwIYfx9W2Ft0uoB-3fB", 689.873398958333)</f>
        <v>689.873399</v>
      </c>
      <c r="U151" s="18" t="str">
        <f>HYPERLINK("https://docs.google.com/spreadsheets/d/1ofGldyjW0Yxn4G0FaGhNSP2PKPAiuERT", "RE-11.747090625000004")</f>
        <v>RE-11.747090625000004</v>
      </c>
      <c r="V151" s="18" t="str">
        <f>HYPERLINK("https://docs.google.com/spreadsheets/d/1krMsEtqubYWMENJ-nAsgF6iWNCWneywl", "RE-0.31897708333333336")</f>
        <v>RE-0.31897708333333336</v>
      </c>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c r="EY151" s="17"/>
      <c r="EZ151" s="17"/>
      <c r="FA151" s="17"/>
      <c r="FB151" s="17"/>
      <c r="FC151" s="17"/>
      <c r="FD151" s="17"/>
      <c r="FE151" s="17"/>
      <c r="FF151" s="17"/>
      <c r="FG151" s="17"/>
      <c r="FH151" s="17"/>
    </row>
    <row r="152">
      <c r="A152" s="32" t="s">
        <v>35</v>
      </c>
      <c r="B152" s="32" t="s">
        <v>36</v>
      </c>
      <c r="C152" s="32" t="s">
        <v>13</v>
      </c>
      <c r="D152" s="16">
        <f t="shared" si="1"/>
        <v>1886.5296</v>
      </c>
      <c r="E152" s="17"/>
      <c r="F152" s="18" t="str">
        <f>HYPERLINK("https://docs.google.com/spreadsheets/d/10AK5fbabc7TeQiUk0R6Ogx9Rrx6uq83F?usp=share_link", "RE-1082.68")</f>
        <v>RE-1082.68</v>
      </c>
      <c r="G152" s="18" t="str">
        <f>HYPERLINK("https://docs.google.com/spreadsheets/d/1FfBYzanrvIiZoY6rQLpHf-sjJDUHsN6T?usp=share_link", "RE-5.02628")</f>
        <v>RE-5.02628</v>
      </c>
      <c r="H152" s="18" t="str">
        <f>HYPERLINK("https://docs.google.com/spreadsheets/d/1ihdfhEB5zNcZ1cEuQJVC1VkVCzEVStLY?usp=share_link", "RE-308.467")</f>
        <v>RE-308.467</v>
      </c>
      <c r="I152" s="18" t="str">
        <f>HYPERLINK("https://docs.google.com/spreadsheets/d/1a3_GJI6tun3c4Ni8GVeCZ-hEw-63GZX6?usp=share_link", "RE-1.11905")</f>
        <v>RE-1.11905</v>
      </c>
      <c r="J152" s="18" t="str">
        <f>HYPERLINK("https://docs.google.com/spreadsheets/d/11v-lyrYmfLwvoY5AudqOo-RXCl3hJ0Ia?usp=share_link", "RE-1450.67")</f>
        <v>RE-1450.67</v>
      </c>
      <c r="K152" s="18" t="str">
        <f>HYPERLINK("https://docs.google.com/spreadsheets/d/1Y851sEPiCCdujz-__MDeItul8wfP8O95?usp=share_link", "RE-8.06033")</f>
        <v>RE-8.06033</v>
      </c>
      <c r="L152" s="18">
        <f>HYPERLINK("https://docs.google.com/spreadsheets/d/1NUixb4XuFij0RxRUA2pp82V4X3Lrt4cN?usp=share_link", 974.473)</f>
        <v>974.473</v>
      </c>
      <c r="M152" s="18" t="str">
        <f>HYPERLINK("https://docs.google.com/spreadsheets/d/1WzbsCvkYKYH0kCneFUEO4gq3coLy2Oam?usp=share_link", "RE-18.9349")</f>
        <v>RE-18.9349</v>
      </c>
      <c r="N152" s="18" t="str">
        <f>HYPERLINK("https://docs.google.com/spreadsheets/d/1GgtPRFkVmT4XOOFT0gbtmc_wHrpEviBg?usp=share_link", "RE-164.945")</f>
        <v>RE-164.945</v>
      </c>
      <c r="O152" s="18" t="str">
        <f>HYPERLINK("https://docs.google.com/spreadsheets/d/1KODmnrk8vLdYCwHcx-OkRrYLwy1BEphY?usp=share_link", "RE-4.33548")</f>
        <v>RE-4.33548</v>
      </c>
      <c r="P152" s="18">
        <f>HYPERLINK("https://docs.google.com/spreadsheets/d/1woKGcEgB43VVXoDmOCL7MP3a4hfJIv2i?usp=share_link", 193.102)</f>
        <v>193.102</v>
      </c>
      <c r="Q152" s="18" t="str">
        <f>HYPERLINK("https://docs.google.com/spreadsheets/d/1WX5hyEu-VfOmeZifDeutt9pr9ITYhXWt?usp=share_link", "RE-11.3659")</f>
        <v>RE-11.3659</v>
      </c>
      <c r="R152" s="18">
        <f>HYPERLINK("https://docs.google.com/spreadsheets/d/1BfiDYkzuKfuenD-OM0PZ7SWsBOv9i0vo?usp=share_link", 48.6536)</f>
        <v>48.6536</v>
      </c>
      <c r="S152" s="18" t="str">
        <f>HYPERLINK("https://docs.google.com/spreadsheets/d/19hXzNFAZyY-33uwkb3RG4N-cM9AcSX4u?usp=share_link", "RE-3.1635")</f>
        <v>RE-3.1635</v>
      </c>
      <c r="T152" s="18">
        <f>HYPERLINK("https://docs.google.com/spreadsheets/d/1IMic_bUPCr5ftFWcKEZ0jjdBs9_QLdcV?usp=share_link", 670.301)</f>
        <v>670.301</v>
      </c>
      <c r="U152" s="18" t="str">
        <f>HYPERLINK("https://docs.google.com/spreadsheets/d/10lkIqqXXsazUGsiT_iQ1-z0SGuuAgfV8?usp=share_link", "RE-11.4072")</f>
        <v>RE-11.4072</v>
      </c>
      <c r="V152" s="18" t="str">
        <f>HYPERLINK("https://docs.google.com/spreadsheets/d/1jCq6dtAt8RxNkxCkhMqntdPdy8B7edi5?usp=share_link", "RE-0.313467")</f>
        <v>RE-0.313467</v>
      </c>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c r="DN152" s="17"/>
      <c r="DO152" s="17"/>
      <c r="DP152" s="17"/>
      <c r="DQ152" s="17"/>
      <c r="DR152" s="17"/>
      <c r="DS152" s="17"/>
      <c r="DT152" s="17"/>
      <c r="DU152" s="17"/>
      <c r="DV152" s="17"/>
      <c r="DW152" s="17"/>
      <c r="DX152" s="17"/>
      <c r="DY152" s="17"/>
      <c r="DZ152" s="17"/>
      <c r="EA152" s="17"/>
      <c r="EB152" s="17"/>
      <c r="EC152" s="17"/>
      <c r="ED152" s="17"/>
      <c r="EE152" s="17"/>
      <c r="EF152" s="17"/>
      <c r="EG152" s="17"/>
      <c r="EH152" s="17"/>
      <c r="EI152" s="17"/>
      <c r="EJ152" s="17"/>
      <c r="EK152" s="17"/>
      <c r="EL152" s="17"/>
      <c r="EM152" s="17"/>
      <c r="EN152" s="17"/>
      <c r="EO152" s="17"/>
      <c r="EP152" s="17"/>
      <c r="EQ152" s="17"/>
      <c r="ER152" s="17"/>
      <c r="ES152" s="17"/>
      <c r="ET152" s="17"/>
      <c r="EU152" s="17"/>
      <c r="EV152" s="17"/>
      <c r="EW152" s="17"/>
      <c r="EX152" s="17"/>
      <c r="EY152" s="17"/>
      <c r="EZ152" s="17"/>
      <c r="FA152" s="17"/>
      <c r="FB152" s="17"/>
      <c r="FC152" s="17"/>
      <c r="FD152" s="17"/>
      <c r="FE152" s="17"/>
      <c r="FF152" s="17"/>
      <c r="FG152" s="17"/>
      <c r="FH152" s="17"/>
    </row>
    <row r="153">
      <c r="A153" s="32" t="s">
        <v>35</v>
      </c>
      <c r="B153" s="32" t="s">
        <v>36</v>
      </c>
      <c r="C153" s="32" t="s">
        <v>14</v>
      </c>
      <c r="D153" s="16">
        <f t="shared" si="1"/>
        <v>1636.5382</v>
      </c>
      <c r="E153" s="17"/>
      <c r="F153" s="18" t="str">
        <f>HYPERLINK("https://docs.google.com/spreadsheets/d/17iztd76HkdAOzYr-lGQWJYPYFb0IuJgT?usp=share_link", "RE-976.599")</f>
        <v>RE-976.599</v>
      </c>
      <c r="G153" s="18" t="str">
        <f>HYPERLINK("https://docs.google.com/spreadsheets/d/1oN3A9ZDtsgUdfKx4kmTsaYeckoOjoCBy?usp=share_link", "RE-4.85235")</f>
        <v>RE-4.85235</v>
      </c>
      <c r="H153" s="18" t="str">
        <f>HYPERLINK("https://docs.google.com/spreadsheets/d/15z4NDK1goU2BLr5DBoWA7XbydtHUersR?usp=share_link", "RE-287.405")</f>
        <v>RE-287.405</v>
      </c>
      <c r="I153" s="18" t="str">
        <f>HYPERLINK("https://docs.google.com/spreadsheets/d/1O9njmapQkPihV03hsJ07u17E8fnbPS8C?usp=share_link", "RE-1.11905")</f>
        <v>RE-1.11905</v>
      </c>
      <c r="J153" s="18" t="str">
        <f>HYPERLINK("https://docs.google.com/spreadsheets/d/1Jv6uJeR0JFKnLxp8OzIx2_NH4HZG-87b?usp=share_link", "RE-1324.72")</f>
        <v>RE-1324.72</v>
      </c>
      <c r="K153" s="18" t="str">
        <f>HYPERLINK("https://docs.google.com/spreadsheets/d/1z9KBj-lvg5Z5kzmiyVKa1zr0Yi1MYA9w?usp=share_link", "RE-7.25385")</f>
        <v>RE-7.25385</v>
      </c>
      <c r="L153" s="18">
        <f>HYPERLINK("https://docs.google.com/spreadsheets/d/10mEJqWpaAvpdiXght3aFGNYvD9ihl2w9?usp=share_link", 853.006)</f>
        <v>853.006</v>
      </c>
      <c r="M153" s="18" t="str">
        <f>HYPERLINK("https://docs.google.com/spreadsheets/d/1NtsBoP6gkq57ejcrQWJm5tBypyGWR6BW?usp=share_link", "RE-17.117")</f>
        <v>RE-17.117</v>
      </c>
      <c r="N153" s="18" t="str">
        <f>HYPERLINK("https://docs.google.com/spreadsheets/d/1S7ANWmIyQ5AQtEu67pHBlqj394caxO1K?usp=share_link", "RE-138.722")</f>
        <v>RE-138.722</v>
      </c>
      <c r="O153" s="18" t="str">
        <f>HYPERLINK("https://docs.google.com/spreadsheets/d/1C20j1gWxTfPQGVPpQ8dR_ZoWkxe6xpsR?usp=share_link", "RE-3.57682")</f>
        <v>RE-3.57682</v>
      </c>
      <c r="P153" s="18">
        <f>HYPERLINK("https://docs.google.com/spreadsheets/d/1phJhuAttjAWiIJhVVzNgN03AqRrZzkLY?usp=share_link", 165.266)</f>
        <v>165.266</v>
      </c>
      <c r="Q153" s="18" t="str">
        <f>HYPERLINK("https://docs.google.com/spreadsheets/d/1CtrDfoVSco5PCUjb0ReEZOeJX9lYyF6j?usp=share_link", "RE-8.8748")</f>
        <v>RE-8.8748</v>
      </c>
      <c r="R153" s="18">
        <f>HYPERLINK("https://docs.google.com/spreadsheets/d/1hj4_YU-5ZfSIwRz2HTI6Tgtghg0ws5Kv?usp=share_link", 40.6972)</f>
        <v>40.6972</v>
      </c>
      <c r="S153" s="18" t="str">
        <f>HYPERLINK("https://docs.google.com/spreadsheets/d/1238XDc38FwY9gRmrKZ9KhoDz5Kv_Cwx9?usp=share_link", "RE-2.62782")</f>
        <v>RE-2.62782</v>
      </c>
      <c r="T153" s="18">
        <f>HYPERLINK("https://docs.google.com/spreadsheets/d/1uwUooH1aqBDz7nmMVjKhrNKbmZpNRRWk?usp=share_link", 577.569)</f>
        <v>577.569</v>
      </c>
      <c r="U153" s="18" t="str">
        <f>HYPERLINK("https://docs.google.com/spreadsheets/d/1Jay5frd_idKMq1igE8Iidkn-tLMmW426?usp=share_link", "RE-9.86025")</f>
        <v>RE-9.86025</v>
      </c>
      <c r="V153" s="18" t="str">
        <f>HYPERLINK("https://docs.google.com/spreadsheets/d/1eJhlSFsTQogfyqGEs5Vw-do3yo54zzXi?usp=share_link", "RE-0.106083")</f>
        <v>RE-0.106083</v>
      </c>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c r="EH153" s="17"/>
      <c r="EI153" s="17"/>
      <c r="EJ153" s="17"/>
      <c r="EK153" s="17"/>
      <c r="EL153" s="17"/>
      <c r="EM153" s="17"/>
      <c r="EN153" s="17"/>
      <c r="EO153" s="17"/>
      <c r="EP153" s="17"/>
      <c r="EQ153" s="17"/>
      <c r="ER153" s="17"/>
      <c r="ES153" s="17"/>
      <c r="ET153" s="17"/>
      <c r="EU153" s="17"/>
      <c r="EV153" s="17"/>
      <c r="EW153" s="17"/>
      <c r="EX153" s="17"/>
      <c r="EY153" s="17"/>
      <c r="EZ153" s="17"/>
      <c r="FA153" s="17"/>
      <c r="FB153" s="17"/>
      <c r="FC153" s="17"/>
      <c r="FD153" s="17"/>
      <c r="FE153" s="17"/>
      <c r="FF153" s="17"/>
      <c r="FG153" s="17"/>
      <c r="FH153" s="17"/>
    </row>
    <row r="154">
      <c r="A154" s="27" t="s">
        <v>35</v>
      </c>
      <c r="B154" s="27" t="s">
        <v>36</v>
      </c>
      <c r="C154" s="27" t="s">
        <v>15</v>
      </c>
      <c r="D154" s="28">
        <f t="shared" si="1"/>
        <v>1884.5816</v>
      </c>
      <c r="E154" s="33"/>
      <c r="F154" s="34" t="str">
        <f>HYPERLINK("https://docs.google.com/spreadsheets/d/1XUtz1ErwCINLBK-g_X__xFRDlN_nvSjo?usp=share_link", "RE-1082.68")</f>
        <v>RE-1082.68</v>
      </c>
      <c r="G154" s="34" t="str">
        <f>HYPERLINK("https://docs.google.com/spreadsheets/d/1-Q9_irsp0JrBOpgJksnofTiW1HP0nkNJ?usp=share_link", "RE-5.02628")</f>
        <v>RE-5.02628</v>
      </c>
      <c r="H154" s="34" t="str">
        <f>HYPERLINK("https://docs.google.com/spreadsheets/d/141V7gYyVWjpEIJJuZL6kcjYQmZWsY6mq?usp=share_link", "RE-308.467")</f>
        <v>RE-308.467</v>
      </c>
      <c r="I154" s="34" t="str">
        <f>HYPERLINK("https://docs.google.com/spreadsheets/d/1O7LlAz5oGGJNngUGYmpFOcRJRxRdpk9G?usp=share_link", "RE-1.11905")</f>
        <v>RE-1.11905</v>
      </c>
      <c r="J154" s="34" t="str">
        <f>HYPERLINK("https://docs.google.com/spreadsheets/d/1AVoeY_UC9hmSh7IT4_uimPqWipVE1IeX?usp=share_link", "RE-1450.63")</f>
        <v>RE-1450.63</v>
      </c>
      <c r="K154" s="34" t="str">
        <f>HYPERLINK("https://docs.google.com/spreadsheets/d/1HZ1E0mSsweSqhjze5DxC2duL3qKEhmI8?usp=share_link", "RE-8.06033")</f>
        <v>RE-8.06033</v>
      </c>
      <c r="L154" s="34">
        <f>HYPERLINK("https://docs.google.com/spreadsheets/d/1DX3d0q11UVYkxyouiHFOSxft_YMddGu0?usp=share_link", 972.621)</f>
        <v>972.621</v>
      </c>
      <c r="M154" s="34" t="str">
        <f>HYPERLINK("https://docs.google.com/spreadsheets/d/1layxU6J5hIwu5M82WlLVM8AQH23HGLHP?usp=share_link", "RE-18.9349")</f>
        <v>RE-18.9349</v>
      </c>
      <c r="N154" s="34" t="str">
        <f>HYPERLINK("https://docs.google.com/spreadsheets/d/1ut2fqZmSEEWzZS3ljvzQZWccA4uJuU4m?usp=share_link", "RE-164.945")</f>
        <v>RE-164.945</v>
      </c>
      <c r="O154" s="34" t="str">
        <f>HYPERLINK("https://docs.google.com/spreadsheets/d/1F9f5gDYKf_XXs4t2xqCjG84feGCt4xf5?usp=share_link", "RE-3.91062")</f>
        <v>RE-3.91062</v>
      </c>
      <c r="P154" s="34">
        <f>HYPERLINK("https://docs.google.com/spreadsheets/d/18XUanwJ3-ihjDJ5fQ_H37PwnPGqdwL5N?usp=share_link", 193.006)</f>
        <v>193.006</v>
      </c>
      <c r="Q154" s="34" t="str">
        <f>HYPERLINK("https://docs.google.com/spreadsheets/d/15u9WN2seXavfnaWb5lw9yScexmJOD878?usp=share_link", "RE-10.239")</f>
        <v>RE-10.239</v>
      </c>
      <c r="R154" s="34">
        <f>HYPERLINK("https://docs.google.com/spreadsheets/d/1XcRJ41ZmofxExPlCx6Z18-gPrArmT8HD?usp=share_link", 48.6536)</f>
        <v>48.6536</v>
      </c>
      <c r="S154" s="34" t="str">
        <f>HYPERLINK("https://docs.google.com/spreadsheets/d/1lqnHHNVvZm_kpKOU698KQQKdM0pRfJA3?usp=share_link", "RE-3.1635")</f>
        <v>RE-3.1635</v>
      </c>
      <c r="T154" s="34">
        <f>HYPERLINK("https://docs.google.com/spreadsheets/d/14UaoHe9jnGGeDW1OxRifX0VCgrfnzP7r?usp=share_link", 670.301)</f>
        <v>670.301</v>
      </c>
      <c r="U154" s="34" t="str">
        <f>HYPERLINK("https://docs.google.com/spreadsheets/d/1KRa8WG06xxrXdrBmIYizF_YUlbsklNgR?usp=share_link", "RE-10.9878")</f>
        <v>RE-10.9878</v>
      </c>
      <c r="V154" s="34" t="str">
        <f>HYPERLINK("https://docs.google.com/spreadsheets/d/1baQzfxJ6WpNfHgM-Qs8DacpMAI8AbVsL?usp=share_link", "RE-0.313467")</f>
        <v>RE-0.313467</v>
      </c>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c r="FF154" s="33"/>
      <c r="FG154" s="33"/>
      <c r="FH154" s="33"/>
    </row>
    <row r="155">
      <c r="A155" s="30" t="s">
        <v>7</v>
      </c>
      <c r="B155" s="30" t="s">
        <v>37</v>
      </c>
      <c r="C155" s="31" t="str">
        <f>HYPERLINK("https://docs.google.com/spreadsheets/d/1iCpbwsQqo2zkJgVlj41nEegzchNIWKx6/edit?usp=share_link&amp;ouid=106501987799020758802&amp;rtpof=true&amp;sd=true", "Raw Delivered")</f>
        <v>Raw Delivered</v>
      </c>
      <c r="D155" s="12">
        <f t="shared" si="1"/>
        <v>5565.316774</v>
      </c>
      <c r="E155" s="13"/>
      <c r="F155" s="14">
        <f>HYPERLINK("https://docs.google.com/spreadsheets/d/1k2V_cGm3RrwAvuze7MzjIjMkDGWMp0AG", 466.483062499999)</f>
        <v>466.4830625</v>
      </c>
      <c r="G155" s="13"/>
      <c r="H155" s="14">
        <f>HYPERLINK("https://docs.google.com/spreadsheets/d/1vjpa-GPWHLKMacnP1-sLScuBPjj3qJUd", 84.3514124999999)</f>
        <v>84.3514125</v>
      </c>
      <c r="I155" s="13"/>
      <c r="J155" s="14">
        <f>HYPERLINK("https://docs.google.com/spreadsheets/d/12xsFKkCMYpRix2cfAFk-GWKzlK97iE5Y", 1393.43769895833)</f>
        <v>1393.437699</v>
      </c>
      <c r="K155" s="13"/>
      <c r="L155" s="14">
        <f t="shared" ref="L155:L156" si="78">HYPERLINK("https://docs.google.com/spreadsheets/d/1SUKtk2tunanUwUMgM3tUESsk81oHU_fk", 1087.27438124999)</f>
        <v>1087.274381</v>
      </c>
      <c r="M155" s="13"/>
      <c r="N155" s="14">
        <f>HYPERLINK("https://docs.google.com/spreadsheets/d/1utpDdrci6-_H0cG4eLp3SOp-u3v2-4Oo", 804.848358333332)</f>
        <v>804.8483583</v>
      </c>
      <c r="O155" s="13"/>
      <c r="P155" s="14">
        <f t="shared" ref="P155:P156" si="79">HYPERLINK("https://docs.google.com/spreadsheets/d/1HP8GhGm_61RQn88JKUSh0Zi1Z7hJgIDg", 910.309580208336)</f>
        <v>910.3095802</v>
      </c>
      <c r="Q155" s="13"/>
      <c r="R155" s="14">
        <f t="shared" ref="R155:R156" si="80">HYPERLINK("https://docs.google.com/spreadsheets/d/1DmnehwH11r4HcD7fJZpGqOmQRXYuuNyW", 277.328558333333)</f>
        <v>277.3285583</v>
      </c>
      <c r="S155" s="13"/>
      <c r="T155" s="14">
        <f t="shared" ref="T155:T156" si="81">HYPERLINK("https://docs.google.com/spreadsheets/d/1gO6Es9zEYOC8ZYMJJMG0pTJdLKm5yUik", 541.283721874999)</f>
        <v>541.2837219</v>
      </c>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row>
    <row r="156">
      <c r="A156" s="32" t="s">
        <v>7</v>
      </c>
      <c r="B156" s="32" t="s">
        <v>37</v>
      </c>
      <c r="C156" s="32" t="s">
        <v>9</v>
      </c>
      <c r="D156" s="16">
        <f t="shared" si="1"/>
        <v>2816.196242</v>
      </c>
      <c r="E156" s="17"/>
      <c r="F156" s="18" t="str">
        <f>HYPERLINK("https://docs.google.com/spreadsheets/d/1k2V_cGm3RrwAvuze7MzjIjMkDGWMp0AG", "RE-466.48306249999985")</f>
        <v>RE-466.48306249999985</v>
      </c>
      <c r="G156" s="17"/>
      <c r="H156" s="18" t="str">
        <f>HYPERLINK("https://docs.google.com/spreadsheets/d/1vjpa-GPWHLKMacnP1-sLScuBPjj3qJUd", "RE-84.35141249999997")</f>
        <v>RE-84.35141249999997</v>
      </c>
      <c r="I156" s="17"/>
      <c r="J156" s="18" t="str">
        <f>HYPERLINK("https://docs.google.com/spreadsheets/d/12xsFKkCMYpRix2cfAFk-GWKzlK97iE5Y", "RE-1393.4376989583336")</f>
        <v>RE-1393.4376989583336</v>
      </c>
      <c r="K156" s="17"/>
      <c r="L156" s="18">
        <f t="shared" si="78"/>
        <v>1087.274381</v>
      </c>
      <c r="M156" s="17"/>
      <c r="N156" s="18" t="str">
        <f>HYPERLINK("https://docs.google.com/spreadsheets/d/1utpDdrci6-_H0cG4eLp3SOp-u3v2-4Oo", "RE-804.8483583333325")</f>
        <v>RE-804.8483583333325</v>
      </c>
      <c r="O156" s="17"/>
      <c r="P156" s="18">
        <f t="shared" si="79"/>
        <v>910.3095802</v>
      </c>
      <c r="Q156" s="17"/>
      <c r="R156" s="18">
        <f t="shared" si="80"/>
        <v>277.3285583</v>
      </c>
      <c r="S156" s="17"/>
      <c r="T156" s="18">
        <f t="shared" si="81"/>
        <v>541.2837219</v>
      </c>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c r="DN156" s="17"/>
      <c r="DO156" s="17"/>
      <c r="DP156" s="17"/>
      <c r="DQ156" s="17"/>
      <c r="DR156" s="17"/>
      <c r="DS156" s="17"/>
      <c r="DT156" s="17"/>
      <c r="DU156" s="17"/>
      <c r="DV156" s="17"/>
      <c r="DW156" s="17"/>
      <c r="DX156" s="17"/>
      <c r="DY156" s="17"/>
      <c r="DZ156" s="17"/>
      <c r="EA156" s="17"/>
      <c r="EB156" s="17"/>
      <c r="EC156" s="17"/>
      <c r="ED156" s="17"/>
      <c r="EE156" s="17"/>
      <c r="EF156" s="17"/>
      <c r="EG156" s="17"/>
      <c r="EH156" s="17"/>
      <c r="EI156" s="17"/>
      <c r="EJ156" s="17"/>
      <c r="EK156" s="17"/>
      <c r="EL156" s="17"/>
      <c r="EM156" s="17"/>
      <c r="EN156" s="17"/>
      <c r="EO156" s="17"/>
      <c r="EP156" s="17"/>
      <c r="EQ156" s="17"/>
      <c r="ER156" s="17"/>
      <c r="ES156" s="17"/>
      <c r="ET156" s="17"/>
      <c r="EU156" s="17"/>
      <c r="EV156" s="17"/>
      <c r="EW156" s="17"/>
      <c r="EX156" s="17"/>
      <c r="EY156" s="17"/>
      <c r="EZ156" s="17"/>
      <c r="FA156" s="17"/>
      <c r="FB156" s="17"/>
      <c r="FC156" s="17"/>
      <c r="FD156" s="17"/>
      <c r="FE156" s="17"/>
      <c r="FF156" s="17"/>
      <c r="FG156" s="17"/>
      <c r="FH156" s="17"/>
    </row>
    <row r="157">
      <c r="A157" s="32" t="s">
        <v>7</v>
      </c>
      <c r="B157" s="32" t="s">
        <v>37</v>
      </c>
      <c r="C157" s="32" t="s">
        <v>10</v>
      </c>
      <c r="D157" s="16">
        <f t="shared" si="1"/>
        <v>361.8880844</v>
      </c>
      <c r="E157" s="17"/>
      <c r="F157" s="17"/>
      <c r="G157" s="18">
        <f>HYPERLINK("https://docs.google.com/spreadsheets/d/1s6V0gGQTxThFvNuZUuv6R7yTQ5kds0Dh", 17.4326666666666)</f>
        <v>17.43266667</v>
      </c>
      <c r="H157" s="17"/>
      <c r="I157" s="18">
        <f>HYPERLINK("https://docs.google.com/spreadsheets/d/1IiZQ07BBBo1DiigPBRatRm3FxiRlv1mR", 4.72917291666666)</f>
        <v>4.729172917</v>
      </c>
      <c r="J157" s="17"/>
      <c r="K157" s="18">
        <f>HYPERLINK("https://docs.google.com/spreadsheets/d/1TlXgMvZzM2KkrpwHuFXkr1csLAWeNjqz", 95.3645083333333)</f>
        <v>95.36450833</v>
      </c>
      <c r="L157" s="17"/>
      <c r="M157" s="18">
        <f>HYPERLINK("https://docs.google.com/spreadsheets/d/1i1n0w-gd-YUc8m2Ol0EvvtEor6v5RGho", 44.8114385416666)</f>
        <v>44.81143854</v>
      </c>
      <c r="N157" s="17"/>
      <c r="O157" s="18">
        <f>HYPERLINK("https://docs.google.com/spreadsheets/d/1_j-tvRSfCTifhiBJGk7nfPh4fpC2Zsu2", 25.6343562499999)</f>
        <v>25.63435625</v>
      </c>
      <c r="P157" s="17"/>
      <c r="Q157" s="18">
        <f>HYPERLINK("https://docs.google.com/spreadsheets/d/1cKH0dbRLBACDjCh3TYuyFVlPAGgqzrS9", 92.702903125)</f>
        <v>92.70290313</v>
      </c>
      <c r="R157" s="17"/>
      <c r="S157" s="18">
        <f>HYPERLINK("https://docs.google.com/spreadsheets/d/1iWtSCBtJqQsA0FclmJ_xyMiUxsundoee", 18.3121739583333)</f>
        <v>18.31217396</v>
      </c>
      <c r="T157" s="17"/>
      <c r="U157" s="18">
        <f>HYPERLINK("https://docs.google.com/spreadsheets/d/1AOSg9nLv56am9Jnhj3uUo-nNdLUuiB6q", 59.3540041666666)</f>
        <v>59.35400417</v>
      </c>
      <c r="V157" s="18">
        <f>HYPERLINK("https://docs.google.com/spreadsheets/d/1RmAoDNwOamlJ9afe0HbrckSzQELOLQ_A", 3.54686041666666)</f>
        <v>3.546860417</v>
      </c>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c r="DN157" s="17"/>
      <c r="DO157" s="17"/>
      <c r="DP157" s="17"/>
      <c r="DQ157" s="17"/>
      <c r="DR157" s="17"/>
      <c r="DS157" s="17"/>
      <c r="DT157" s="17"/>
      <c r="DU157" s="17"/>
      <c r="DV157" s="17"/>
      <c r="DW157" s="17"/>
      <c r="DX157" s="17"/>
      <c r="DY157" s="17"/>
      <c r="DZ157" s="17"/>
      <c r="EA157" s="17"/>
      <c r="EB157" s="17"/>
      <c r="EC157" s="17"/>
      <c r="ED157" s="17"/>
      <c r="EE157" s="17"/>
      <c r="EF157" s="17"/>
      <c r="EG157" s="17"/>
      <c r="EH157" s="17"/>
      <c r="EI157" s="17"/>
      <c r="EJ157" s="17"/>
      <c r="EK157" s="17"/>
      <c r="EL157" s="17"/>
      <c r="EM157" s="17"/>
      <c r="EN157" s="17"/>
      <c r="EO157" s="17"/>
      <c r="EP157" s="17"/>
      <c r="EQ157" s="17"/>
      <c r="ER157" s="17"/>
      <c r="ES157" s="17"/>
      <c r="ET157" s="17"/>
      <c r="EU157" s="17"/>
      <c r="EV157" s="17"/>
      <c r="EW157" s="17"/>
      <c r="EX157" s="17"/>
      <c r="EY157" s="17"/>
      <c r="EZ157" s="17"/>
      <c r="FA157" s="17"/>
      <c r="FB157" s="17"/>
      <c r="FC157" s="17"/>
      <c r="FD157" s="17"/>
      <c r="FE157" s="17"/>
      <c r="FF157" s="17"/>
      <c r="FG157" s="17"/>
      <c r="FH157" s="17"/>
    </row>
    <row r="158">
      <c r="A158" s="32" t="s">
        <v>7</v>
      </c>
      <c r="B158" s="32" t="s">
        <v>37</v>
      </c>
      <c r="C158" s="32" t="s">
        <v>11</v>
      </c>
      <c r="D158" s="16">
        <f t="shared" si="1"/>
        <v>0</v>
      </c>
      <c r="E158" s="17"/>
      <c r="F158" s="17"/>
      <c r="G158" s="18" t="str">
        <f>HYPERLINK("https://docs.google.com/spreadsheets/d/1s6V0gGQTxThFvNuZUuv6R7yTQ5kds0Dh", "RE-17.43266666666667")</f>
        <v>RE-17.43266666666667</v>
      </c>
      <c r="H158" s="17"/>
      <c r="I158" s="18" t="str">
        <f>HYPERLINK("https://docs.google.com/spreadsheets/d/1IiZQ07BBBo1DiigPBRatRm3FxiRlv1mR", "RE-4.729172916666666")</f>
        <v>RE-4.729172916666666</v>
      </c>
      <c r="J158" s="17"/>
      <c r="K158" s="18" t="str">
        <f>HYPERLINK("https://docs.google.com/spreadsheets/d/1TlXgMvZzM2KkrpwHuFXkr1csLAWeNjqz", "RE-95.36450833333333")</f>
        <v>RE-95.36450833333333</v>
      </c>
      <c r="L158" s="17"/>
      <c r="M158" s="18" t="str">
        <f>HYPERLINK("https://docs.google.com/spreadsheets/d/1i1n0w-gd-YUc8m2Ol0EvvtEor6v5RGho", "RE-44.81143854166665")</f>
        <v>RE-44.81143854166665</v>
      </c>
      <c r="N158" s="17"/>
      <c r="O158" s="18" t="str">
        <f>HYPERLINK("https://docs.google.com/spreadsheets/d/1_j-tvRSfCTifhiBJGk7nfPh4fpC2Zsu2", "RE-25.634356249999993")</f>
        <v>RE-25.634356249999993</v>
      </c>
      <c r="P158" s="17"/>
      <c r="Q158" s="18" t="str">
        <f>HYPERLINK("https://docs.google.com/spreadsheets/d/1cKH0dbRLBACDjCh3TYuyFVlPAGgqzrS9", "RE-92.70290312500008")</f>
        <v>RE-92.70290312500008</v>
      </c>
      <c r="R158" s="17"/>
      <c r="S158" s="18" t="str">
        <f>HYPERLINK("https://docs.google.com/spreadsheets/d/1iWtSCBtJqQsA0FclmJ_xyMiUxsundoee", "RE-18.312173958333336")</f>
        <v>RE-18.312173958333336</v>
      </c>
      <c r="T158" s="17"/>
      <c r="U158" s="18" t="str">
        <f>HYPERLINK("https://docs.google.com/spreadsheets/d/1AOSg9nLv56am9Jnhj3uUo-nNdLUuiB6q", "RE-59.35400416666668")</f>
        <v>RE-59.35400416666668</v>
      </c>
      <c r="V158" s="18" t="str">
        <f>HYPERLINK("https://docs.google.com/spreadsheets/d/1RmAoDNwOamlJ9afe0HbrckSzQELOLQ_A", "RE-3.5468604166666666")</f>
        <v>RE-3.5468604166666666</v>
      </c>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7"/>
      <c r="FH158" s="17"/>
    </row>
    <row r="159">
      <c r="A159" s="32" t="s">
        <v>7</v>
      </c>
      <c r="B159" s="32" t="s">
        <v>37</v>
      </c>
      <c r="C159" s="32" t="s">
        <v>12</v>
      </c>
      <c r="D159" s="16">
        <f t="shared" si="1"/>
        <v>2657.669599</v>
      </c>
      <c r="E159" s="17"/>
      <c r="F159" s="18" t="str">
        <f>HYPERLINK("https://docs.google.com/spreadsheets/d/1MHu8O6i7hp6Xw3I-j6nNuChMsC9--bRj", "RE-412.4901437500006")</f>
        <v>RE-412.4901437500006</v>
      </c>
      <c r="G159" s="18" t="str">
        <f>HYPERLINK("https://docs.google.com/spreadsheets/d/18EK6J2qfkbBaYnvCQbNQHohCleq3KnYH", "RE-1.2517749999999999")</f>
        <v>RE-1.2517749999999999</v>
      </c>
      <c r="H159" s="18" t="str">
        <f>HYPERLINK("https://docs.google.com/spreadsheets/d/1qY6T1be9lQq0GHmdyid1HGLlpYuIkB41", "RE-79.34179583333331")</f>
        <v>RE-79.34179583333331</v>
      </c>
      <c r="I159" s="18" t="str">
        <f>HYPERLINK("https://docs.google.com/spreadsheets/d/12SomCkkr8UvKwnH37zJe2BDkoUnlxadq", "RE-0.22496041666666666")</f>
        <v>RE-0.22496041666666666</v>
      </c>
      <c r="J159" s="18" t="str">
        <f>HYPERLINK("https://docs.google.com/spreadsheets/d/14oMY51hoH-abuP79PJ7yFisTdGC7IQCA", "RE-1100.5669114583345")</f>
        <v>RE-1100.5669114583345</v>
      </c>
      <c r="K159" s="18" t="str">
        <f>HYPERLINK("https://docs.google.com/spreadsheets/d/1wnpUZZ6XTuq-JDmGAYjqnzSat6Ugaf7Q", "RE-6.065670833333333")</f>
        <v>RE-6.065670833333333</v>
      </c>
      <c r="L159" s="18">
        <f>HYPERLINK("https://docs.google.com/spreadsheets/d/1OiIdqZJnXU3jpkMlm2uNZ1R2AhJBG2RY", 1029.6306875)</f>
        <v>1029.630688</v>
      </c>
      <c r="M159" s="18" t="str">
        <f>HYPERLINK("https://docs.google.com/spreadsheets/d/1juj11nvwudSFacZairwT5Z1eFcF9I3KW", "RE-12.922924999999998")</f>
        <v>RE-12.922924999999998</v>
      </c>
      <c r="N159" s="18" t="str">
        <f>HYPERLINK("https://docs.google.com/spreadsheets/d/1N3AC-vdHpu4mZsnVKHAZvq3UuFjnzkUJ", "RE-450.7843885416666")</f>
        <v>RE-450.7843885416666</v>
      </c>
      <c r="O159" s="18" t="str">
        <f>HYPERLINK("https://docs.google.com/spreadsheets/d/11HPkEKkkLNfvPANT2nEFqkMrs2zByPpW", "RE-1.601375")</f>
        <v>RE-1.601375</v>
      </c>
      <c r="P159" s="18">
        <f>HYPERLINK("https://docs.google.com/spreadsheets/d/140DRt_Y-edY7Enbe4fiMB7m9Ryuxmier", 855.987268750001)</f>
        <v>855.9872688</v>
      </c>
      <c r="Q159" s="18" t="str">
        <f>HYPERLINK("https://docs.google.com/spreadsheets/d/19TOWupkYbtD5kRMoHoejJZR0MlNJf8KV", "RE-39.00570416666667")</f>
        <v>RE-39.00570416666667</v>
      </c>
      <c r="R159" s="18">
        <f>HYPERLINK("https://docs.google.com/spreadsheets/d/1V3x6NY6LbrepxfHCUb3K2UxAcS50-JeN", 247.081762499999)</f>
        <v>247.0817625</v>
      </c>
      <c r="S159" s="18" t="str">
        <f>HYPERLINK("https://docs.google.com/spreadsheets/d/1jX3mcGJJJc0cRHutY70EfF69_Blc_EZj", "RE-9.265334375000002")</f>
        <v>RE-9.265334375000002</v>
      </c>
      <c r="T159" s="18">
        <f>HYPERLINK("https://docs.google.com/spreadsheets/d/1mCnN7T-vDnHhIDDWd5dlUPtKqYUGDymd", 524.969880208333)</f>
        <v>524.9698802</v>
      </c>
      <c r="U159" s="18" t="str">
        <f>HYPERLINK("https://docs.google.com/spreadsheets/d/1gW_9zhJ5WE_4Uix-_4fCcjeLW2pZarVV", "RE-31.979904166666667")</f>
        <v>RE-31.979904166666667</v>
      </c>
      <c r="V159" s="18" t="str">
        <f>HYPERLINK("https://docs.google.com/spreadsheets/d/1BRQZuhEJKzZLguyZq8_uq6FqyHs_k2dF", "RE-1.5233916666666667")</f>
        <v>RE-1.5233916666666667</v>
      </c>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17"/>
      <c r="FB159" s="17"/>
      <c r="FC159" s="17"/>
      <c r="FD159" s="17"/>
      <c r="FE159" s="17"/>
      <c r="FF159" s="17"/>
      <c r="FG159" s="17"/>
      <c r="FH159" s="17"/>
    </row>
    <row r="160">
      <c r="A160" s="32" t="s">
        <v>7</v>
      </c>
      <c r="B160" s="32" t="s">
        <v>37</v>
      </c>
      <c r="C160" s="32" t="s">
        <v>13</v>
      </c>
      <c r="D160" s="16">
        <f t="shared" si="1"/>
        <v>2549.918</v>
      </c>
      <c r="E160" s="17"/>
      <c r="F160" s="18" t="str">
        <f>HYPERLINK("https://docs.google.com/spreadsheets/d/17LelRxJMGxcXWiakTZq2F-umUPumlTZj?usp=share_link", "RE-399.427")</f>
        <v>RE-399.427</v>
      </c>
      <c r="G160" s="18" t="str">
        <f>HYPERLINK("https://docs.google.com/spreadsheets/d/1yHPaO7UhIYsLzzoo8qW_baO-5DbYWrQk?usp=share_link", "RE-1.2323")</f>
        <v>RE-1.2323</v>
      </c>
      <c r="H160" s="18" t="str">
        <f>HYPERLINK("https://docs.google.com/spreadsheets/d/1uPcaNzq4eyj9xtfWZA-87itRNkdKInen?usp=share_link", "RE-77.8924")</f>
        <v>RE-77.8924</v>
      </c>
      <c r="I160" s="18" t="str">
        <f>HYPERLINK("https://docs.google.com/spreadsheets/d/1-5vC8mBuS22OEPnWalzPSXxTtpf_ECAY?usp=share_link", "RE-0.22415")</f>
        <v>RE-0.22415</v>
      </c>
      <c r="J160" s="18" t="str">
        <f>HYPERLINK("https://docs.google.com/spreadsheets/d/1cP05dPQ8NWtnDiy-kL_bsolDBmRvJT4x?usp=share_link", "RE-1067.74")</f>
        <v>RE-1067.74</v>
      </c>
      <c r="K160" s="18" t="str">
        <f>HYPERLINK("https://docs.google.com/spreadsheets/d/1CzUGT9gwJ36k8VB1o5xhfmZorxOdxVle?usp=share_link", "RE-5.87978")</f>
        <v>RE-5.87978</v>
      </c>
      <c r="L160" s="18">
        <f>HYPERLINK("https://docs.google.com/spreadsheets/d/1IxiIMiWQIWkSKZAhjk7eXyWVqvttoQ4w?usp=share_link", 984.768)</f>
        <v>984.768</v>
      </c>
      <c r="M160" s="18" t="str">
        <f>HYPERLINK("https://docs.google.com/spreadsheets/d/1SATotdT6ZhFc7a9C60_icq26c77ZXrUB?usp=share_link", "RE-12.3585")</f>
        <v>RE-12.3585</v>
      </c>
      <c r="N160" s="18" t="str">
        <f>HYPERLINK("https://docs.google.com/spreadsheets/d/1g7IbH6HnjGiItWBHFo48FD8au5DuWf9P?usp=share_link", "RE-433.92")</f>
        <v>RE-433.92</v>
      </c>
      <c r="O160" s="18" t="str">
        <f>HYPERLINK("https://docs.google.com/spreadsheets/d/164Z-yLdOWGaLK-uEbkin762uCMjR3vmI?usp=share_link", "RE-1.45192")</f>
        <v>RE-1.45192</v>
      </c>
      <c r="P160" s="18">
        <f>HYPERLINK("https://docs.google.com/spreadsheets/d/1KuVd2tZWoXG_GpYL2uBc4sCoTPkBMTwo?usp=share_link", 818.497)</f>
        <v>818.497</v>
      </c>
      <c r="Q160" s="18" t="str">
        <f>HYPERLINK("https://docs.google.com/spreadsheets/d/1_E3Jf9f-vzREkuoPdxA7yy_WtHCVKSbF?usp=share_link", "RE-36.0903")</f>
        <v>RE-36.0903</v>
      </c>
      <c r="R160" s="18">
        <f>HYPERLINK("https://docs.google.com/spreadsheets/d/1dFFGj39oIQeco6SHHU8iVWkg2FMIEsuX?usp=share_link", 239.084)</f>
        <v>239.084</v>
      </c>
      <c r="S160" s="18" t="str">
        <f>HYPERLINK("https://docs.google.com/spreadsheets/d/1I2KeyhJSs2rggHW3sSNrLvsQuw6QoVhX?usp=share_link", "RE-8.54777")</f>
        <v>RE-8.54777</v>
      </c>
      <c r="T160" s="18">
        <f>HYPERLINK("https://docs.google.com/spreadsheets/d/1XPeZLos_rwgHEv0FCpkQWHQXNGX-rCdy?usp=share_link", 507.569)</f>
        <v>507.569</v>
      </c>
      <c r="U160" s="18" t="str">
        <f>HYPERLINK("https://docs.google.com/spreadsheets/d/1QvhMhTYHsKxXkvLe3iUewEHjgh6G-yS_?usp=share_link", "RE-30.2851")</f>
        <v>RE-30.2851</v>
      </c>
      <c r="V160" s="18" t="str">
        <f>HYPERLINK("https://docs.google.com/spreadsheets/d/1zIZCIhJ_GoW9vIpvodRowQSp27lEMcPl?usp=share_link", "RE-1.49327")</f>
        <v>RE-1.49327</v>
      </c>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c r="DN160" s="17"/>
      <c r="DO160" s="17"/>
      <c r="DP160" s="17"/>
      <c r="DQ160" s="17"/>
      <c r="DR160" s="17"/>
      <c r="DS160" s="17"/>
      <c r="DT160" s="17"/>
      <c r="DU160" s="17"/>
      <c r="DV160" s="17"/>
      <c r="DW160" s="17"/>
      <c r="DX160" s="17"/>
      <c r="DY160" s="17"/>
      <c r="DZ160" s="17"/>
      <c r="EA160" s="17"/>
      <c r="EB160" s="17"/>
      <c r="EC160" s="17"/>
      <c r="ED160" s="17"/>
      <c r="EE160" s="17"/>
      <c r="EF160" s="17"/>
      <c r="EG160" s="17"/>
      <c r="EH160" s="17"/>
      <c r="EI160" s="17"/>
      <c r="EJ160" s="17"/>
      <c r="EK160" s="17"/>
      <c r="EL160" s="17"/>
      <c r="EM160" s="17"/>
      <c r="EN160" s="17"/>
      <c r="EO160" s="17"/>
      <c r="EP160" s="17"/>
      <c r="EQ160" s="17"/>
      <c r="ER160" s="17"/>
      <c r="ES160" s="17"/>
      <c r="ET160" s="17"/>
      <c r="EU160" s="17"/>
      <c r="EV160" s="17"/>
      <c r="EW160" s="17"/>
      <c r="EX160" s="17"/>
      <c r="EY160" s="17"/>
      <c r="EZ160" s="17"/>
      <c r="FA160" s="17"/>
      <c r="FB160" s="17"/>
      <c r="FC160" s="17"/>
      <c r="FD160" s="17"/>
      <c r="FE160" s="17"/>
      <c r="FF160" s="17"/>
      <c r="FG160" s="17"/>
      <c r="FH160" s="17"/>
    </row>
    <row r="161">
      <c r="A161" s="32" t="s">
        <v>7</v>
      </c>
      <c r="B161" s="32" t="s">
        <v>37</v>
      </c>
      <c r="C161" s="32" t="s">
        <v>14</v>
      </c>
      <c r="D161" s="16">
        <f t="shared" si="1"/>
        <v>2193.678</v>
      </c>
      <c r="E161" s="17"/>
      <c r="F161" s="18" t="str">
        <f>HYPERLINK("https://docs.google.com/spreadsheets/d/1EPjO_J6-yeQYs-iXxb7ZGBD0rDV-H37x?usp=share_link", "RE-353.379")</f>
        <v>RE-353.379</v>
      </c>
      <c r="G161" s="18" t="str">
        <f>HYPERLINK("https://docs.google.com/spreadsheets/d/1U1TwUSBwsUS6Pzu8p8mdEncNc3p9YpMa?usp=share_link", "RE-1.2323")</f>
        <v>RE-1.2323</v>
      </c>
      <c r="H161" s="18" t="str">
        <f>HYPERLINK("https://docs.google.com/spreadsheets/d/1LnDHozWxTzQxvp6bqSPhoZuA0PpDtOMH?usp=share_link", "RE-70.9303")</f>
        <v>RE-70.9303</v>
      </c>
      <c r="I161" s="18" t="str">
        <f>HYPERLINK("https://docs.google.com/spreadsheets/d/1UfmI2qoihVolMpIlJAbAkui9vbVSW8xQ?usp=share_link", "RE-0.22415")</f>
        <v>RE-0.22415</v>
      </c>
      <c r="J161" s="18" t="str">
        <f>HYPERLINK("https://docs.google.com/spreadsheets/d/1Cw8qLZ-r8IkZUCvGo8IVGuuOihtplF4J?usp=share_link", "RE-988.544")</f>
        <v>RE-988.544</v>
      </c>
      <c r="K161" s="18" t="str">
        <f>HYPERLINK("https://docs.google.com/spreadsheets/d/1pvwng_GziUxGhiKnVFIMAmvOekeaQ0B7?usp=share_link", "RE-5.09195")</f>
        <v>RE-5.09195</v>
      </c>
      <c r="L161" s="18">
        <f>HYPERLINK("https://docs.google.com/spreadsheets/d/1tTGnN4pRUXw3eqnnDuBrlHi1YYSP3T-Q?usp=share_link", 854.141)</f>
        <v>854.141</v>
      </c>
      <c r="M161" s="18" t="str">
        <f>HYPERLINK("https://docs.google.com/spreadsheets/d/1k9AAOGFLYt4M4sw0zrUDboCf65PcEayq?usp=share_link", "RE-10.7689")</f>
        <v>RE-10.7689</v>
      </c>
      <c r="N161" s="18" t="str">
        <f>HYPERLINK("https://docs.google.com/spreadsheets/d/1BANBrLa4f64Taa1H8meQ3bN3wzo5nYr_?usp=share_link", "RE-369.306")</f>
        <v>RE-369.306</v>
      </c>
      <c r="O161" s="18" t="str">
        <f>HYPERLINK("https://docs.google.com/spreadsheets/d/1OG8wDpVyf3l61Bf3_VR-m6ySB1uQTAGo?usp=share_link", "RE-1.45192")</f>
        <v>RE-1.45192</v>
      </c>
      <c r="P161" s="18">
        <f>HYPERLINK("https://docs.google.com/spreadsheets/d/11xXO5uryOIvqcoy3XtIQ2QeSw6OpGMhc?usp=share_link", 710.148)</f>
        <v>710.148</v>
      </c>
      <c r="Q161" s="18" t="str">
        <f>HYPERLINK("https://docs.google.com/spreadsheets/d/11COexhruTVw0IHe7FFQkQodqUdGIurKG?usp=share_link", "RE-30.9292")</f>
        <v>RE-30.9292</v>
      </c>
      <c r="R161" s="18">
        <f>HYPERLINK("https://docs.google.com/spreadsheets/d/15BTEUFMlEltzrX9n4Ns5OxKxtI9tby3e?usp=share_link", 198.866)</f>
        <v>198.866</v>
      </c>
      <c r="S161" s="18" t="str">
        <f>HYPERLINK("https://docs.google.com/spreadsheets/d/1lvlIIlRcT0DjM2kbQDvfttRnNByjNRQd?usp=share_link", "RE-8.40713")</f>
        <v>RE-8.40713</v>
      </c>
      <c r="T161" s="18">
        <f>HYPERLINK("https://docs.google.com/spreadsheets/d/1WwwaaHedeRzhznVhpBMaxVBrTKjRStMY?usp=share_link", 430.523)</f>
        <v>430.523</v>
      </c>
      <c r="U161" s="18" t="str">
        <f>HYPERLINK("https://docs.google.com/spreadsheets/d/1YWcEzG55bUU5v4AmSJzdlLz9JGWoU3nJ?usp=share_link", "RE-28.5996")</f>
        <v>RE-28.5996</v>
      </c>
      <c r="V161" s="18" t="str">
        <f>HYPERLINK("https://docs.google.com/spreadsheets/d/1XHZAM8O-1YTfGXgHOeWTzyTrJlfUnMVR?usp=share_link", "RE-1.31663")</f>
        <v>RE-1.31663</v>
      </c>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c r="EY161" s="17"/>
      <c r="EZ161" s="17"/>
      <c r="FA161" s="17"/>
      <c r="FB161" s="17"/>
      <c r="FC161" s="17"/>
      <c r="FD161" s="17"/>
      <c r="FE161" s="17"/>
      <c r="FF161" s="17"/>
      <c r="FG161" s="17"/>
      <c r="FH161" s="17"/>
    </row>
    <row r="162">
      <c r="A162" s="27" t="s">
        <v>7</v>
      </c>
      <c r="B162" s="27" t="s">
        <v>37</v>
      </c>
      <c r="C162" s="27" t="s">
        <v>15</v>
      </c>
      <c r="D162" s="28">
        <f t="shared" si="1"/>
        <v>2549.753</v>
      </c>
      <c r="E162" s="33"/>
      <c r="F162" s="34" t="str">
        <f>HYPERLINK("https://docs.google.com/spreadsheets/d/1SW8Gbedc773iCrzOdY3X5H7t49jX0hTD?usp=share_link", "RE-399.427")</f>
        <v>RE-399.427</v>
      </c>
      <c r="G162" s="34" t="str">
        <f>HYPERLINK("https://docs.google.com/spreadsheets/d/1A14I9Rm0bVHNZtgOKGROsoSYMdoFCSCT?usp=share_link", "RE-1.2323")</f>
        <v>RE-1.2323</v>
      </c>
      <c r="H162" s="34" t="str">
        <f>HYPERLINK("https://docs.google.com/spreadsheets/d/1XeLvnOE5u45rCPpHOk-AGdLeSfCM3jKu?usp=share_link", "RE-77.8924")</f>
        <v>RE-77.8924</v>
      </c>
      <c r="I162" s="34" t="str">
        <f>HYPERLINK("https://docs.google.com/spreadsheets/d/1FdD0ck-A9l0v6AucHBk7rmTNZU99F6DO?usp=share_link", "RE-0.22415")</f>
        <v>RE-0.22415</v>
      </c>
      <c r="J162" s="34" t="str">
        <f>HYPERLINK("https://docs.google.com/spreadsheets/d/1yKhwGojJxORhOfcetbrvqi8_vd7pEbP4?usp=share_link", "RE-1067.64")</f>
        <v>RE-1067.64</v>
      </c>
      <c r="K162" s="34" t="str">
        <f>HYPERLINK("https://docs.google.com/spreadsheets/d/1OHpD7g6wwUJ7JA28wzdTNA5NUV--ggbh?usp=share_link", "RE-5.87978")</f>
        <v>RE-5.87978</v>
      </c>
      <c r="L162" s="34">
        <f>HYPERLINK("https://docs.google.com/spreadsheets/d/12gsudxwSQl6UUBpIgcXLfkJTVkzPkB1p?usp=share_link", 984.645)</f>
        <v>984.645</v>
      </c>
      <c r="M162" s="34" t="str">
        <f>HYPERLINK("https://docs.google.com/spreadsheets/d/10urwER_qIpaLxcrU-GNhx8EI0UcnB6Jl?usp=share_link", "RE-12.3585")</f>
        <v>RE-12.3585</v>
      </c>
      <c r="N162" s="34" t="str">
        <f>HYPERLINK("https://docs.google.com/spreadsheets/d/1LTVCGbVhR8tYQ03gS6VGFsOmIAQJ6Q29?usp=share_link", "RE-433.92")</f>
        <v>RE-433.92</v>
      </c>
      <c r="O162" s="34" t="str">
        <f>HYPERLINK("https://docs.google.com/spreadsheets/d/1lty1lCtoMhG3-ruzop5wLsFAOkohfkIc?usp=share_link", "RE-1.45192")</f>
        <v>RE-1.45192</v>
      </c>
      <c r="P162" s="34">
        <f>HYPERLINK("https://docs.google.com/spreadsheets/d/1CO5Lruhk4KWEAOmpj3sLuVOeE5MNLcdP?usp=share_link", 818.455)</f>
        <v>818.455</v>
      </c>
      <c r="Q162" s="34" t="str">
        <f>HYPERLINK("https://docs.google.com/spreadsheets/d/1VgZyh8zeo7KLLBsU-vArXlmu_T3B2xkL?usp=share_link", "RE-36.0903")</f>
        <v>RE-36.0903</v>
      </c>
      <c r="R162" s="34">
        <f>HYPERLINK("https://docs.google.com/spreadsheets/d/1BiEDVy-fKGqQLbJ8CCAeqCsuqYgBVj51?usp=share_link", 239.084)</f>
        <v>239.084</v>
      </c>
      <c r="S162" s="34" t="str">
        <f>HYPERLINK("https://docs.google.com/spreadsheets/d/1QP74Rq0YeQUUcL8Hbi00bqPk6FcApiNw?usp=share_link", "RE-8.54777")</f>
        <v>RE-8.54777</v>
      </c>
      <c r="T162" s="34">
        <f>HYPERLINK("https://docs.google.com/spreadsheets/d/1JlRGqlNWOkDNn9sjI4lU5LZpCKLJrX-y?usp=share_link", 507.569)</f>
        <v>507.569</v>
      </c>
      <c r="U162" s="34" t="str">
        <f>HYPERLINK("https://docs.google.com/spreadsheets/d/1tBrWstlfG3XfwhvFRyQavcbaAxoUfh9_?usp=share_link", "RE-30.2851")</f>
        <v>RE-30.2851</v>
      </c>
      <c r="V162" s="34" t="str">
        <f>HYPERLINK("https://docs.google.com/spreadsheets/d/1RLDTQBrodK-Itqqxa4u_yc8xvYZgw1_J?usp=share_link", "RE-1.49327")</f>
        <v>RE-1.49327</v>
      </c>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c r="FG162" s="33"/>
      <c r="FH162" s="33"/>
    </row>
    <row r="163">
      <c r="A163" s="30" t="s">
        <v>38</v>
      </c>
      <c r="B163" s="30" t="s">
        <v>39</v>
      </c>
      <c r="C163" s="31" t="str">
        <f>HYPERLINK("https://docs.google.com/spreadsheets/d/1JPv74D8OQbq5TJBItlyghC2O5RzE9Myb/edit?usp=share_link&amp;ouid=106501987799020758802&amp;rtpof=true&amp;sd=true", "Raw Delivered")</f>
        <v>Raw Delivered</v>
      </c>
      <c r="D163" s="12">
        <f t="shared" si="1"/>
        <v>6070.261719</v>
      </c>
      <c r="E163" s="13"/>
      <c r="F163" s="14">
        <f>HYPERLINK("https://docs.google.com/spreadsheets/d/1vTODFTdcebSfio-IsZ2665lMQ-nkWo5d", 1159.59884479166)</f>
        <v>1159.598845</v>
      </c>
      <c r="G163" s="13"/>
      <c r="H163" s="14">
        <f>HYPERLINK("https://docs.google.com/spreadsheets/d/1eBkeNpTRhNXuAQXQN-REd7GpZTntuSVA", 194.007557291666)</f>
        <v>194.0075573</v>
      </c>
      <c r="I163" s="13"/>
      <c r="J163" s="14">
        <f>HYPERLINK("https://docs.google.com/spreadsheets/d/1_Urohhuzbe8kY2BoLJeTo8LD5oz-HeG5", 392.785734374999)</f>
        <v>392.7857344</v>
      </c>
      <c r="K163" s="13"/>
      <c r="L163" s="14">
        <f t="shared" ref="L163:L164" si="82">HYPERLINK("https://docs.google.com/spreadsheets/d/11zpXvmQuxWfDBRzEJBLn18Gk_soBKyAi", 987.196766666666)</f>
        <v>987.1967667</v>
      </c>
      <c r="M163" s="13"/>
      <c r="N163" s="14">
        <f>HYPERLINK("https://docs.google.com/spreadsheets/d/16OVLeyTa7oV-EeUWNqbQ4n2WOTxMTGHP", 2708.48275520834)</f>
        <v>2708.482755</v>
      </c>
      <c r="O163" s="13"/>
      <c r="P163" s="14">
        <f t="shared" ref="P163:P164" si="83">HYPERLINK("https://docs.google.com/spreadsheets/d/1cE8qyDDAHMI2mjEOTmLHXx2L1lsO_2CB", 200.085840625)</f>
        <v>200.0858406</v>
      </c>
      <c r="Q163" s="13"/>
      <c r="R163" s="14">
        <f t="shared" ref="R163:R164" si="84">HYPERLINK("https://docs.google.com/spreadsheets/d/1gPKl93J8al57IzFZ_rvkGDPocCEM_76z", 100.7915)</f>
        <v>100.7915</v>
      </c>
      <c r="S163" s="13"/>
      <c r="T163" s="14">
        <f t="shared" ref="T163:T164" si="85">HYPERLINK("https://docs.google.com/spreadsheets/d/1p-ikxwaLKD4B6zpUv9MwNzmz7EAarxol", 327.312719791666)</f>
        <v>327.3127198</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row>
    <row r="164">
      <c r="A164" s="32" t="s">
        <v>38</v>
      </c>
      <c r="B164" s="32" t="s">
        <v>39</v>
      </c>
      <c r="C164" s="32" t="s">
        <v>9</v>
      </c>
      <c r="D164" s="16">
        <f t="shared" si="1"/>
        <v>1615.386827</v>
      </c>
      <c r="E164" s="17"/>
      <c r="F164" s="18" t="str">
        <f>HYPERLINK("https://docs.google.com/spreadsheets/d/1vTODFTdcebSfio-IsZ2665lMQ-nkWo5d", "RE-1159.598844791666")</f>
        <v>RE-1159.598844791666</v>
      </c>
      <c r="G164" s="17"/>
      <c r="H164" s="18" t="str">
        <f>HYPERLINK("https://docs.google.com/spreadsheets/d/1eBkeNpTRhNXuAQXQN-REd7GpZTntuSVA", "RE-194.00755729166673")</f>
        <v>RE-194.00755729166673</v>
      </c>
      <c r="I164" s="17"/>
      <c r="J164" s="18" t="str">
        <f>HYPERLINK("https://docs.google.com/spreadsheets/d/1_Urohhuzbe8kY2BoLJeTo8LD5oz-HeG5", "RE-392.7857343749998")</f>
        <v>RE-392.7857343749998</v>
      </c>
      <c r="K164" s="17"/>
      <c r="L164" s="18">
        <f t="shared" si="82"/>
        <v>987.1967667</v>
      </c>
      <c r="M164" s="17"/>
      <c r="N164" s="18" t="str">
        <f>HYPERLINK("https://docs.google.com/spreadsheets/d/16OVLeyTa7oV-EeUWNqbQ4n2WOTxMTGHP", "RE-2708.482755208341")</f>
        <v>RE-2708.482755208341</v>
      </c>
      <c r="O164" s="17"/>
      <c r="P164" s="18">
        <f t="shared" si="83"/>
        <v>200.0858406</v>
      </c>
      <c r="Q164" s="17"/>
      <c r="R164" s="18">
        <f t="shared" si="84"/>
        <v>100.7915</v>
      </c>
      <c r="S164" s="17"/>
      <c r="T164" s="18">
        <f t="shared" si="85"/>
        <v>327.3127198</v>
      </c>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c r="EH164" s="17"/>
      <c r="EI164" s="17"/>
      <c r="EJ164" s="17"/>
      <c r="EK164" s="17"/>
      <c r="EL164" s="17"/>
      <c r="EM164" s="17"/>
      <c r="EN164" s="17"/>
      <c r="EO164" s="17"/>
      <c r="EP164" s="17"/>
      <c r="EQ164" s="17"/>
      <c r="ER164" s="17"/>
      <c r="ES164" s="17"/>
      <c r="ET164" s="17"/>
      <c r="EU164" s="17"/>
      <c r="EV164" s="17"/>
      <c r="EW164" s="17"/>
      <c r="EX164" s="17"/>
      <c r="EY164" s="17"/>
      <c r="EZ164" s="17"/>
      <c r="FA164" s="17"/>
      <c r="FB164" s="17"/>
      <c r="FC164" s="17"/>
      <c r="FD164" s="17"/>
      <c r="FE164" s="17"/>
      <c r="FF164" s="17"/>
      <c r="FG164" s="17"/>
      <c r="FH164" s="17"/>
    </row>
    <row r="165">
      <c r="A165" s="32" t="s">
        <v>38</v>
      </c>
      <c r="B165" s="32" t="s">
        <v>39</v>
      </c>
      <c r="C165" s="32" t="s">
        <v>10</v>
      </c>
      <c r="D165" s="16">
        <f t="shared" si="1"/>
        <v>703.2669156</v>
      </c>
      <c r="E165" s="17"/>
      <c r="F165" s="17"/>
      <c r="G165" s="18">
        <f>HYPERLINK("https://docs.google.com/spreadsheets/d/1_BOQg82GNd7H-yaQixX7gmSoKUcFnhMx", 116.149922916666)</f>
        <v>116.1499229</v>
      </c>
      <c r="H165" s="17"/>
      <c r="I165" s="18">
        <f>HYPERLINK("https://docs.google.com/spreadsheets/d/1N_2aAJ1IBnqvboh9j4AhZGWQeRXRh0mw", 23.2459802083333)</f>
        <v>23.24598021</v>
      </c>
      <c r="J165" s="17"/>
      <c r="K165" s="18">
        <f>HYPERLINK("https://docs.google.com/spreadsheets/d/19YYsmgSZVjZfVJs0wE_UoOni2vtCffiY", 46.4083239583333)</f>
        <v>46.40832396</v>
      </c>
      <c r="L165" s="17"/>
      <c r="M165" s="18">
        <f>HYPERLINK("https://docs.google.com/spreadsheets/d/1_j9R5XRl-_LE-WmThY6z919O25dWuUWn", 38.3560083333333)</f>
        <v>38.35600833</v>
      </c>
      <c r="N165" s="17"/>
      <c r="O165" s="18">
        <f>HYPERLINK("https://docs.google.com/spreadsheets/d/1ToxJsbF6D7HuqnwzqL2YskklGvUN6Cf7", 371.747679166666)</f>
        <v>371.7476792</v>
      </c>
      <c r="P165" s="17"/>
      <c r="Q165" s="18">
        <f>HYPERLINK("https://docs.google.com/spreadsheets/d/1wLDhIzH6sI68KEgy9MG7MJ0U607kHQg_", 59.6328239583333)</f>
        <v>59.63282396</v>
      </c>
      <c r="R165" s="17"/>
      <c r="S165" s="18">
        <f>HYPERLINK("https://docs.google.com/spreadsheets/d/1jXFfcDUiMRwqJGaVfrCSeWOd2IKNAm-k", 16.07173125)</f>
        <v>16.07173125</v>
      </c>
      <c r="T165" s="17"/>
      <c r="U165" s="18">
        <f>HYPERLINK("https://docs.google.com/spreadsheets/d/1YwWDs1XiVfgb9LX13fm5AFU3ktiPgX76", 31.1361916666666)</f>
        <v>31.13619167</v>
      </c>
      <c r="V165" s="18">
        <f>HYPERLINK("https://docs.google.com/spreadsheets/d/1otO7dF1KOHIC8232X2vb0sJUcP6KXZiW", 0.518254166666666)</f>
        <v>0.5182541667</v>
      </c>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c r="EY165" s="17"/>
      <c r="EZ165" s="17"/>
      <c r="FA165" s="17"/>
      <c r="FB165" s="17"/>
      <c r="FC165" s="17"/>
      <c r="FD165" s="17"/>
      <c r="FE165" s="17"/>
      <c r="FF165" s="17"/>
      <c r="FG165" s="17"/>
      <c r="FH165" s="17"/>
    </row>
    <row r="166">
      <c r="A166" s="32" t="s">
        <v>38</v>
      </c>
      <c r="B166" s="32" t="s">
        <v>39</v>
      </c>
      <c r="C166" s="32" t="s">
        <v>11</v>
      </c>
      <c r="D166" s="16">
        <f t="shared" si="1"/>
        <v>0</v>
      </c>
      <c r="E166" s="17"/>
      <c r="F166" s="17"/>
      <c r="G166" s="18" t="str">
        <f>HYPERLINK("https://docs.google.com/spreadsheets/d/1_BOQg82GNd7H-yaQixX7gmSoKUcFnhMx", "RE-116.14992291666668")</f>
        <v>RE-116.14992291666668</v>
      </c>
      <c r="H166" s="17"/>
      <c r="I166" s="18" t="str">
        <f>HYPERLINK("https://docs.google.com/spreadsheets/d/1N_2aAJ1IBnqvboh9j4AhZGWQeRXRh0mw", "RE-23.245980208333336")</f>
        <v>RE-23.245980208333336</v>
      </c>
      <c r="J166" s="17"/>
      <c r="K166" s="18" t="str">
        <f>HYPERLINK("https://docs.google.com/spreadsheets/d/19YYsmgSZVjZfVJs0wE_UoOni2vtCffiY", "RE-46.40832395833332")</f>
        <v>RE-46.40832395833332</v>
      </c>
      <c r="L166" s="17"/>
      <c r="M166" s="18" t="str">
        <f>HYPERLINK("https://docs.google.com/spreadsheets/d/1_j9R5XRl-_LE-WmThY6z919O25dWuUWn", "RE-38.35600833333335")</f>
        <v>RE-38.35600833333335</v>
      </c>
      <c r="N166" s="17"/>
      <c r="O166" s="18" t="str">
        <f>HYPERLINK("https://docs.google.com/spreadsheets/d/1ToxJsbF6D7HuqnwzqL2YskklGvUN6Cf7", "RE-371.7476791666669")</f>
        <v>RE-371.7476791666669</v>
      </c>
      <c r="P166" s="17"/>
      <c r="Q166" s="18" t="str">
        <f>HYPERLINK("https://docs.google.com/spreadsheets/d/1wLDhIzH6sI68KEgy9MG7MJ0U607kHQg_", "RE-59.63282395833332")</f>
        <v>RE-59.63282395833332</v>
      </c>
      <c r="R166" s="17"/>
      <c r="S166" s="18" t="str">
        <f>HYPERLINK("https://docs.google.com/spreadsheets/d/1jXFfcDUiMRwqJGaVfrCSeWOd2IKNAm-k", "RE-16.071731250000003")</f>
        <v>RE-16.071731250000003</v>
      </c>
      <c r="T166" s="17"/>
      <c r="U166" s="18" t="str">
        <f>HYPERLINK("https://docs.google.com/spreadsheets/d/1YwWDs1XiVfgb9LX13fm5AFU3ktiPgX76", "RE-31.136191666666654")</f>
        <v>RE-31.136191666666654</v>
      </c>
      <c r="V166" s="18" t="str">
        <f>HYPERLINK("https://docs.google.com/spreadsheets/d/1otO7dF1KOHIC8232X2vb0sJUcP6KXZiW", "RE-0.5182541666666667")</f>
        <v>RE-0.5182541666666667</v>
      </c>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c r="EY166" s="17"/>
      <c r="EZ166" s="17"/>
      <c r="FA166" s="17"/>
      <c r="FB166" s="17"/>
      <c r="FC166" s="17"/>
      <c r="FD166" s="17"/>
      <c r="FE166" s="17"/>
      <c r="FF166" s="17"/>
      <c r="FG166" s="17"/>
      <c r="FH166" s="17"/>
    </row>
    <row r="167">
      <c r="A167" s="32" t="s">
        <v>38</v>
      </c>
      <c r="B167" s="32" t="s">
        <v>39</v>
      </c>
      <c r="C167" s="32" t="s">
        <v>12</v>
      </c>
      <c r="D167" s="16">
        <f t="shared" si="1"/>
        <v>1490.704936</v>
      </c>
      <c r="E167" s="17"/>
      <c r="F167" s="18" t="str">
        <f>HYPERLINK("https://docs.google.com/spreadsheets/d/1boNbS_euGOVg9wEI31T_vFKrKnkoeGfF", "RE-959.5439447916691")</f>
        <v>RE-959.5439447916691</v>
      </c>
      <c r="G167" s="18" t="str">
        <f>HYPERLINK("https://docs.google.com/spreadsheets/d/17CemM3XI-LcteOwsFlA7-p49o2N46t5h", "RE-5.144416666666666")</f>
        <v>RE-5.144416666666666</v>
      </c>
      <c r="H167" s="18" t="str">
        <f>HYPERLINK("https://docs.google.com/spreadsheets/d/1RvxFM4iHO4bkbgWSBC4kt57TmPRkxt_2", "RE-169.79293229166663")</f>
        <v>RE-169.79293229166663</v>
      </c>
      <c r="I167" s="18" t="str">
        <f>HYPERLINK("https://docs.google.com/spreadsheets/d/1v-u6b9n6zaFMGjJx5NMhR94mGpqDuOJp", "RE-0.48538749999999997")</f>
        <v>RE-0.48538749999999997</v>
      </c>
      <c r="J167" s="18" t="str">
        <f>HYPERLINK("https://docs.google.com/spreadsheets/d/1PoSlOYDaHoPHQVory5iCmbBOUuGcbgCc", "RE-300.2828166666664")</f>
        <v>RE-300.2828166666664</v>
      </c>
      <c r="K167" s="18" t="str">
        <f>HYPERLINK("https://docs.google.com/spreadsheets/d/1cYNYGCFXHXdYRMXuxETw-JZhe-rlQpF4", "RE-0.30024375")</f>
        <v>RE-0.30024375</v>
      </c>
      <c r="L167" s="18">
        <f>HYPERLINK("https://docs.google.com/spreadsheets/d/1CWWBi-brurD9omH8Qkv1oYmlu28R4Gax", 905.475253124998)</f>
        <v>905.4752531</v>
      </c>
      <c r="M167" s="18" t="str">
        <f>HYPERLINK("https://docs.google.com/spreadsheets/d/1-YFlLVnSRwEQ6I2lNP1LcNxEIYTophwg", "RE-7.494978125")</f>
        <v>RE-7.494978125</v>
      </c>
      <c r="N167" s="18" t="str">
        <f>HYPERLINK("https://docs.google.com/spreadsheets/d/1daI8WLylASlrfdEqfFxzqFZsnaTURMQ9", "RE-1960.7684750000037")</f>
        <v>RE-1960.7684750000037</v>
      </c>
      <c r="O167" s="18" t="str">
        <f>HYPERLINK("https://docs.google.com/spreadsheets/d/1izmC0gowkz_496zlzOGyzLsq2vjqqcXJ", "RE-16.360635416666664")</f>
        <v>RE-16.360635416666664</v>
      </c>
      <c r="P167" s="18">
        <f>HYPERLINK("https://docs.google.com/spreadsheets/d/17H_zGWpWFxjROFbxB-9NhqlbV0MiNtBz", 171.706960416666)</f>
        <v>171.7069604</v>
      </c>
      <c r="Q167" s="18" t="str">
        <f>HYPERLINK("https://docs.google.com/spreadsheets/d/1JAltx7tynJk3rqP-RpOtQBEL3XwSrNPg", "RE-20.07391145833334")</f>
        <v>RE-20.07391145833334</v>
      </c>
      <c r="R167" s="18">
        <f>HYPERLINK("https://docs.google.com/spreadsheets/d/1sxmwwew0ViSfaKjgNiNllh_4cPcFX3SC", 91.3463635416666)</f>
        <v>91.34636354</v>
      </c>
      <c r="S167" s="18" t="str">
        <f>HYPERLINK("https://docs.google.com/spreadsheets/d/16Kixgxn4w4ujWmu2oWW90BEfYkXCbFzz", "RE-6.624392708333333")</f>
        <v>RE-6.624392708333333</v>
      </c>
      <c r="T167" s="18">
        <f>HYPERLINK("https://docs.google.com/spreadsheets/d/1gmtjVIrgA3iSr3c7YvuJYvkSEIfKhWbe", 322.176359374999)</f>
        <v>322.1763594</v>
      </c>
      <c r="U167" s="18" t="str">
        <f>HYPERLINK("https://docs.google.com/spreadsheets/d/1o-BaNIyn_Rt7RTmdzfLh2McpXIgoh3Az", "RE-19.167495833333337")</f>
        <v>RE-19.167495833333337</v>
      </c>
      <c r="V167" s="18" t="str">
        <f>HYPERLINK("https://docs.google.com/spreadsheets/d/1istEncDHGNeYfHUrPpLG0jYHbOfMpclm", "RE-0.21961041666666667")</f>
        <v>RE-0.21961041666666667</v>
      </c>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c r="EY167" s="17"/>
      <c r="EZ167" s="17"/>
      <c r="FA167" s="17"/>
      <c r="FB167" s="17"/>
      <c r="FC167" s="17"/>
      <c r="FD167" s="17"/>
      <c r="FE167" s="17"/>
      <c r="FF167" s="17"/>
      <c r="FG167" s="17"/>
      <c r="FH167" s="17"/>
    </row>
    <row r="168">
      <c r="A168" s="32" t="s">
        <v>38</v>
      </c>
      <c r="B168" s="32" t="s">
        <v>39</v>
      </c>
      <c r="C168" s="32" t="s">
        <v>13</v>
      </c>
      <c r="D168" s="16">
        <f t="shared" si="1"/>
        <v>1423.413</v>
      </c>
      <c r="E168" s="17"/>
      <c r="F168" s="18" t="str">
        <f>HYPERLINK("https://docs.google.com/spreadsheets/d/1W5xMYqn0tr8A8l_eF91q7I4AORq_P4p2?usp=share_link", "RE-931.497")</f>
        <v>RE-931.497</v>
      </c>
      <c r="G168" s="18" t="str">
        <f>HYPERLINK("https://docs.google.com/spreadsheets/d/1bnUcv1MqCnX3QuCH267gCOwQfaTS6V4H?usp=share_link", "RE-4.95472")</f>
        <v>RE-4.95472</v>
      </c>
      <c r="H168" s="18" t="str">
        <f>HYPERLINK("https://docs.google.com/spreadsheets/d/1ym9e1k-_9b5rHwHDiHejLRGK1BuC_gCo?usp=share_link", "RE-164.827")</f>
        <v>RE-164.827</v>
      </c>
      <c r="I168" s="18" t="str">
        <f>HYPERLINK("https://docs.google.com/spreadsheets/d/1429bGs9Hv0IfgZWGTSs5oo6SPKGfGs88?usp=share_link", "RE-0.453933")</f>
        <v>RE-0.453933</v>
      </c>
      <c r="J168" s="18" t="str">
        <f>HYPERLINK("https://docs.google.com/spreadsheets/d/1X29lTsgfKQe-q-XGj87rXhEw9Jr6uAMV?usp=share_link", "RE-288.527")</f>
        <v>RE-288.527</v>
      </c>
      <c r="K168" s="18" t="str">
        <f>HYPERLINK("https://docs.google.com/spreadsheets/d/18eEHgp-GnR8-pV5x4l2hgckf9kqG0mDU?usp=share_link", "RE-0.29395")</f>
        <v>RE-0.29395</v>
      </c>
      <c r="L168" s="18">
        <f>HYPERLINK("https://docs.google.com/spreadsheets/d/14PWZmWbq5gse2_NhpCXLo6guCXdF3DTT?usp=share_link", 864.786)</f>
        <v>864.786</v>
      </c>
      <c r="M168" s="18" t="str">
        <f>HYPERLINK("https://docs.google.com/spreadsheets/d/1eefgOLteSBZl0I246XYTtbRpocStQzwL?usp=share_link", "RE-6.93407")</f>
        <v>RE-6.93407</v>
      </c>
      <c r="N168" s="18" t="str">
        <f>HYPERLINK("https://docs.google.com/spreadsheets/d/1ePYIynP4xUkTnkSQr2AMF5aGbmZWtZ9r?usp=share_link", "RE-1888.46")</f>
        <v>RE-1888.46</v>
      </c>
      <c r="O168" s="18" t="str">
        <f>HYPERLINK("https://docs.google.com/spreadsheets/d/1RnoKJbPC0E0YzsxT2ph8I59Tt0iLZoSw?usp=share_link", "RE-15.7538")</f>
        <v>RE-15.7538</v>
      </c>
      <c r="P168" s="18">
        <f>HYPERLINK("https://docs.google.com/spreadsheets/d/1My-4fY5r7LOdKM1pCNvTi5wXEzNxKbcQ?usp=share_link", 164.459)</f>
        <v>164.459</v>
      </c>
      <c r="Q168" s="18" t="str">
        <f>HYPERLINK("https://docs.google.com/spreadsheets/d/12VWSYVdBrCXLQQRwoUg7o8z6_OKMn8gZ?usp=share_link", "RE-18.9243")</f>
        <v>RE-18.9243</v>
      </c>
      <c r="R168" s="18">
        <f>HYPERLINK("https://docs.google.com/spreadsheets/d/1P40jgpEVQLLNYPeP09ncEeAsoAA7SnBX?usp=share_link", 86.817)</f>
        <v>86.817</v>
      </c>
      <c r="S168" s="18" t="str">
        <f>HYPERLINK("https://docs.google.com/spreadsheets/d/16RpDTbIUAKJtiSCvMjEF2IM5tREt8Ot8?usp=share_link", "RE-6.24815")</f>
        <v>RE-6.24815</v>
      </c>
      <c r="T168" s="18">
        <f>HYPERLINK("https://docs.google.com/spreadsheets/d/1R9FfgAytBksWfkIqxVHvStpoOSIPfQvX?usp=share_link", 307.351)</f>
        <v>307.351</v>
      </c>
      <c r="U168" s="18" t="str">
        <f>HYPERLINK("https://docs.google.com/spreadsheets/d/1m_KanXI_zwQ-ckL7Zk_5dd_UguEoJXrv?usp=share_link", "RE-18.2772")</f>
        <v>RE-18.2772</v>
      </c>
      <c r="V168" s="18" t="str">
        <f>HYPERLINK("https://docs.google.com/spreadsheets/d/1S0D9gnFMXDLzGHzCRlogPSgLSRB6gJ-e?usp=share_link", "RE-0.202533")</f>
        <v>RE-0.202533</v>
      </c>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c r="EY168" s="17"/>
      <c r="EZ168" s="17"/>
      <c r="FA168" s="17"/>
      <c r="FB168" s="17"/>
      <c r="FC168" s="17"/>
      <c r="FD168" s="17"/>
      <c r="FE168" s="17"/>
      <c r="FF168" s="17"/>
      <c r="FG168" s="17"/>
      <c r="FH168" s="17"/>
    </row>
    <row r="169">
      <c r="A169" s="32" t="s">
        <v>38</v>
      </c>
      <c r="B169" s="32" t="s">
        <v>39</v>
      </c>
      <c r="C169" s="32" t="s">
        <v>14</v>
      </c>
      <c r="D169" s="16">
        <f t="shared" si="1"/>
        <v>1237.6184</v>
      </c>
      <c r="E169" s="17"/>
      <c r="F169" s="18" t="str">
        <f>HYPERLINK("https://docs.google.com/spreadsheets/d/1-5w37rE31tBrKdyv-_BmHbhcaabksNSU?usp=share_link", "RE-814.307")</f>
        <v>RE-814.307</v>
      </c>
      <c r="G169" s="18" t="str">
        <f>HYPERLINK("https://docs.google.com/spreadsheets/d/18if3vUQaqX0Bh1NPyR-4_9N07ugS9N9M?usp=share_link", "RE-4.6356")</f>
        <v>RE-4.6356</v>
      </c>
      <c r="H169" s="18" t="str">
        <f>HYPERLINK("https://docs.google.com/spreadsheets/d/1ZU5RKRCRhcIjY_SzxcFvP0Bwyc1Brvlo?usp=share_link", "RE-145.612")</f>
        <v>RE-145.612</v>
      </c>
      <c r="I169" s="18" t="str">
        <f>HYPERLINK("https://docs.google.com/spreadsheets/d/1g943NyFjawvCkfcXdWX1QnmVMyQydNbL?usp=share_link", "RE-0.453933")</f>
        <v>RE-0.453933</v>
      </c>
      <c r="J169" s="18" t="str">
        <f>HYPERLINK("https://docs.google.com/spreadsheets/d/1owIfO4OEqGQSHTjdsryvbu8k2oBa1SXt?usp=share_link", "RE-256.154")</f>
        <v>RE-256.154</v>
      </c>
      <c r="K169" s="18" t="str">
        <f>HYPERLINK("https://docs.google.com/spreadsheets/d/1EwngH9o-KXpoTT6MzZQkSWsanBdvQCZo?usp=share_link", "RE-0.29395")</f>
        <v>RE-0.29395</v>
      </c>
      <c r="L169" s="18">
        <f>HYPERLINK("https://docs.google.com/spreadsheets/d/1iOLn3ALtxjyIMp_NAiSZ57tNI08-ched?usp=share_link", 763.584)</f>
        <v>763.584</v>
      </c>
      <c r="M169" s="18" t="str">
        <f>HYPERLINK("https://docs.google.com/spreadsheets/d/1FibIzlKRnmg4fiQ84tQfPTV4BIv6skxr?usp=share_link", "RE-5.88018")</f>
        <v>RE-5.88018</v>
      </c>
      <c r="N169" s="18" t="str">
        <f>HYPERLINK("https://docs.google.com/spreadsheets/d/1-w1--Wsf0rQ123_OizgjLTNsQwB67knK?usp=share_link", "RE-1688.12")</f>
        <v>RE-1688.12</v>
      </c>
      <c r="O169" s="18" t="str">
        <f>HYPERLINK("https://docs.google.com/spreadsheets/d/12wDtUlmnI0nlYlagOfh6fRcLmoeFKtW0?usp=share_link", "RE-13.9596")</f>
        <v>RE-13.9596</v>
      </c>
      <c r="P169" s="18">
        <f>HYPERLINK("https://docs.google.com/spreadsheets/d/1qyhT4i5ksoO9TCdkTMu8c1yBVpfxnQ-u?usp=share_link", 145.211)</f>
        <v>145.211</v>
      </c>
      <c r="Q169" s="18" t="str">
        <f>HYPERLINK("https://docs.google.com/spreadsheets/d/1HLiJfXr4geDzqUxDJOa6q5Hem6T2jxbO?usp=share_link", "RE-16.3013")</f>
        <v>RE-16.3013</v>
      </c>
      <c r="R169" s="18">
        <f>HYPERLINK("https://docs.google.com/spreadsheets/d/1IiWoXvghEUqj4eL8dl2R-pu3q8LrxaWl?usp=share_link", 70.3824)</f>
        <v>70.3824</v>
      </c>
      <c r="S169" s="18" t="str">
        <f>HYPERLINK("https://docs.google.com/spreadsheets/d/1grMieRKDniiBXxH7ExiYJ1KUgSLoc7OD?usp=share_link", "RE-5.58845")</f>
        <v>RE-5.58845</v>
      </c>
      <c r="T169" s="18">
        <f>HYPERLINK("https://docs.google.com/spreadsheets/d/1szje3rwNBXAO38l7_xQaFA-kPVGcKMI5?usp=share_link", 258.441)</f>
        <v>258.441</v>
      </c>
      <c r="U169" s="18" t="str">
        <f>HYPERLINK("https://docs.google.com/spreadsheets/d/1DNuDZds5BDye1eqQ2iu_c6ayLRWm8ZEW?usp=share_link", "RE-15.9042")</f>
        <v>RE-15.9042</v>
      </c>
      <c r="V169" s="18" t="str">
        <f>HYPERLINK("https://docs.google.com/spreadsheets/d/1kvw0SW7IZLBCJ-aGPvffeia8FwSJS9hk?usp=share_link", "RE-0.202533")</f>
        <v>RE-0.202533</v>
      </c>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c r="EY169" s="17"/>
      <c r="EZ169" s="17"/>
      <c r="FA169" s="17"/>
      <c r="FB169" s="17"/>
      <c r="FC169" s="17"/>
      <c r="FD169" s="17"/>
      <c r="FE169" s="17"/>
      <c r="FF169" s="17"/>
      <c r="FG169" s="17"/>
      <c r="FH169" s="17"/>
    </row>
    <row r="170">
      <c r="A170" s="27" t="s">
        <v>38</v>
      </c>
      <c r="B170" s="27" t="s">
        <v>39</v>
      </c>
      <c r="C170" s="27" t="s">
        <v>15</v>
      </c>
      <c r="D170" s="28">
        <f t="shared" si="1"/>
        <v>1423.397</v>
      </c>
      <c r="E170" s="33"/>
      <c r="F170" s="34" t="str">
        <f>HYPERLINK("https://docs.google.com/spreadsheets/d/16kyZMcXwlHFMS1rHeCfpiYyCxUzPOafp?usp=share_link", "RE-931.497")</f>
        <v>RE-931.497</v>
      </c>
      <c r="G170" s="34" t="str">
        <f>HYPERLINK("https://docs.google.com/spreadsheets/d/1XarToieTIaznjeCG2F6hWPKloUbarxC1?usp=share_link", "RE-4.95472")</f>
        <v>RE-4.95472</v>
      </c>
      <c r="H170" s="34" t="str">
        <f>HYPERLINK("https://docs.google.com/spreadsheets/d/1E9QajDbaOsj6qdeAVbf_NLdYpHq8_wct?usp=share_link", "RE-164.827")</f>
        <v>RE-164.827</v>
      </c>
      <c r="I170" s="34" t="str">
        <f>HYPERLINK("https://docs.google.com/spreadsheets/d/1XF4xyaK1fPEXwitxkT3ZQsIKz0y2Odgw?usp=share_link", "RE-0.453933")</f>
        <v>RE-0.453933</v>
      </c>
      <c r="J170" s="34" t="str">
        <f>HYPERLINK("https://docs.google.com/spreadsheets/d/1WM_-N9HEaNHPNfdcda5pCsvm48QBGRHX?usp=share_link", "RE-288.527")</f>
        <v>RE-288.527</v>
      </c>
      <c r="K170" s="34" t="str">
        <f>HYPERLINK("https://docs.google.com/spreadsheets/d/14Wf_BXmHPVeNQ5Z4XVx01q9QNuMl31gT?usp=share_link", "RE-0.29395")</f>
        <v>RE-0.29395</v>
      </c>
      <c r="L170" s="34">
        <f>HYPERLINK("https://docs.google.com/spreadsheets/d/1r9-uulCYxjWzcEvknJ0BV037oIeBg6c4?usp=share_link", 864.77)</f>
        <v>864.77</v>
      </c>
      <c r="M170" s="34" t="str">
        <f>HYPERLINK("https://docs.google.com/spreadsheets/d/1KZO3Vhb_EJXEL93hl8Y2z2yyOmOhp04m?usp=share_link", "RE-6.93407")</f>
        <v>RE-6.93407</v>
      </c>
      <c r="N170" s="34" t="str">
        <f>HYPERLINK("https://docs.google.com/spreadsheets/d/1gFpVL0LbWNVD0C_VUxT7Xgw4oIdb-Rwx?usp=share_link", "RE-1888.46")</f>
        <v>RE-1888.46</v>
      </c>
      <c r="O170" s="34" t="str">
        <f>HYPERLINK("https://docs.google.com/spreadsheets/d/1mSE-JohOzcSVwhgZZnZI9DMuCebMH7Yk?usp=share_link", "RE-15.7538")</f>
        <v>RE-15.7538</v>
      </c>
      <c r="P170" s="34">
        <f>HYPERLINK("https://docs.google.com/spreadsheets/d/1AVuS2tB6q9Qw_IZvQuGSQe4gWNwespbn?usp=share_link", 164.459)</f>
        <v>164.459</v>
      </c>
      <c r="Q170" s="34" t="str">
        <f>HYPERLINK("https://docs.google.com/spreadsheets/d/1oz_4_0tdkjV_Vtpwe9oScU1pFdkqFIfZ?usp=share_link", "RE-18.9243")</f>
        <v>RE-18.9243</v>
      </c>
      <c r="R170" s="34">
        <f>HYPERLINK("https://docs.google.com/spreadsheets/d/1OZ7UnqoaMaAYPfnYGfjI7uGjBAZwoovp?usp=share_link", 86.817)</f>
        <v>86.817</v>
      </c>
      <c r="S170" s="34" t="str">
        <f>HYPERLINK("https://docs.google.com/spreadsheets/d/1zY-ZYmn8vFkKyS99Ua4W8UY30DzmiRkO?usp=share_link", "RE-6.24815")</f>
        <v>RE-6.24815</v>
      </c>
      <c r="T170" s="34">
        <f>HYPERLINK("https://docs.google.com/spreadsheets/d/139B9-3_rPAyPeUXONlqzZnd0Z_z1pQKt?usp=share_link", 307.351)</f>
        <v>307.351</v>
      </c>
      <c r="U170" s="34" t="str">
        <f>HYPERLINK("https://docs.google.com/spreadsheets/d/10TvstzkKJ13CAeYdVLRI1-V4nWq9Pmh4?usp=share_link", "RE-18.2772")</f>
        <v>RE-18.2772</v>
      </c>
      <c r="V170" s="34" t="str">
        <f>HYPERLINK("https://docs.google.com/spreadsheets/d/1IUxF8rvvaHZx8h897a5dq_JnEqD2pYHl?usp=share_link", "RE-0.202533")</f>
        <v>RE-0.202533</v>
      </c>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c r="FG170" s="33"/>
      <c r="FH170" s="33"/>
    </row>
    <row r="171">
      <c r="A171" s="30" t="s">
        <v>7</v>
      </c>
      <c r="B171" s="30" t="s">
        <v>40</v>
      </c>
      <c r="C171" s="31" t="str">
        <f>HYPERLINK("https://docs.google.com/spreadsheets/d/1aCnYZS38JihgenDwC1XUMQ_2s4z4w51J/edit?usp=share_link&amp;ouid=106501987799020758802&amp;rtpof=true&amp;sd=true", "Raw Delivered")</f>
        <v>Raw Delivered</v>
      </c>
      <c r="D171" s="12">
        <f t="shared" si="1"/>
        <v>5914.499059</v>
      </c>
      <c r="E171" s="13"/>
      <c r="F171" s="14">
        <f>HYPERLINK("https://docs.google.com/spreadsheets/d/1ccYzT-055Gf-SzjNMRY5bpIFVayB5MWC", 888.199722916666)</f>
        <v>888.1997229</v>
      </c>
      <c r="G171" s="13"/>
      <c r="H171" s="14">
        <f>HYPERLINK("https://docs.google.com/spreadsheets/d/1AwR7156ddpWVrdDb6v50cMVoLPS16fXh", 214.582428125)</f>
        <v>214.5824281</v>
      </c>
      <c r="I171" s="13"/>
      <c r="J171" s="14">
        <f>HYPERLINK("https://docs.google.com/spreadsheets/d/16-3S9exBJyrqvZBjrlE2J0gFBVu54HTy", 1533.71898854166)</f>
        <v>1533.718989</v>
      </c>
      <c r="K171" s="13"/>
      <c r="L171" s="14">
        <f t="shared" ref="L171:L172" si="86">HYPERLINK("https://docs.google.com/spreadsheets/d/1SqgcWrk90FJKg2yIarSGIxa5Nwbtv_Aw", 472.957989583333)</f>
        <v>472.9579896</v>
      </c>
      <c r="M171" s="13"/>
      <c r="N171" s="14">
        <f>HYPERLINK("https://docs.google.com/spreadsheets/d/1AJUbKiIYHkg3LCLiIBcZqa1mqssJt9Kr", 1814.37543333333)</f>
        <v>1814.375433</v>
      </c>
      <c r="O171" s="13"/>
      <c r="P171" s="14">
        <f t="shared" ref="P171:P172" si="87">HYPERLINK("https://docs.google.com/spreadsheets/d/10khhd8vq6oqjvNU5hZ0X4QVEeoQC45dP", 302.456508333333)</f>
        <v>302.4565083</v>
      </c>
      <c r="Q171" s="13"/>
      <c r="R171" s="14">
        <f t="shared" ref="R171:R172" si="88">HYPERLINK("https://docs.google.com/spreadsheets/d/1yMo2DXT36AmNB1sOHryE_0H4Bqf1ejKW", 54.1629729166666)</f>
        <v>54.16297292</v>
      </c>
      <c r="S171" s="13"/>
      <c r="T171" s="14">
        <f t="shared" ref="T171:T172" si="89">HYPERLINK("https://docs.google.com/spreadsheets/d/1YLnTKW6MGEVHvcVtwJTq1FNhrVZZr0Nm", 634.045015625001)</f>
        <v>634.0450156</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row>
    <row r="172">
      <c r="A172" s="32" t="s">
        <v>7</v>
      </c>
      <c r="B172" s="32" t="s">
        <v>40</v>
      </c>
      <c r="C172" s="32" t="s">
        <v>9</v>
      </c>
      <c r="D172" s="16">
        <f t="shared" si="1"/>
        <v>1463.622486</v>
      </c>
      <c r="E172" s="17"/>
      <c r="F172" s="18" t="str">
        <f>HYPERLINK("https://docs.google.com/spreadsheets/d/1ccYzT-055Gf-SzjNMRY5bpIFVayB5MWC", "RE-888.1997229166667")</f>
        <v>RE-888.1997229166667</v>
      </c>
      <c r="G172" s="17"/>
      <c r="H172" s="18" t="str">
        <f>HYPERLINK("https://docs.google.com/spreadsheets/d/1AwR7156ddpWVrdDb6v50cMVoLPS16fXh", "RE-214.58242812500004")</f>
        <v>RE-214.58242812500004</v>
      </c>
      <c r="I172" s="17"/>
      <c r="J172" s="18" t="str">
        <f>HYPERLINK("https://docs.google.com/spreadsheets/d/16-3S9exBJyrqvZBjrlE2J0gFBVu54HTy", "RE-1533.7189885416672")</f>
        <v>RE-1533.7189885416672</v>
      </c>
      <c r="K172" s="17"/>
      <c r="L172" s="18">
        <f t="shared" si="86"/>
        <v>472.9579896</v>
      </c>
      <c r="M172" s="17"/>
      <c r="N172" s="18" t="str">
        <f>HYPERLINK("https://docs.google.com/spreadsheets/d/1AJUbKiIYHkg3LCLiIBcZqa1mqssJt9Kr", "RE-1814.3754333333352")</f>
        <v>RE-1814.3754333333352</v>
      </c>
      <c r="O172" s="17"/>
      <c r="P172" s="18">
        <f t="shared" si="87"/>
        <v>302.4565083</v>
      </c>
      <c r="Q172" s="17"/>
      <c r="R172" s="18">
        <f t="shared" si="88"/>
        <v>54.16297292</v>
      </c>
      <c r="S172" s="17"/>
      <c r="T172" s="18">
        <f t="shared" si="89"/>
        <v>634.0450156</v>
      </c>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c r="DN172" s="17"/>
      <c r="DO172" s="17"/>
      <c r="DP172" s="17"/>
      <c r="DQ172" s="17"/>
      <c r="DR172" s="17"/>
      <c r="DS172" s="17"/>
      <c r="DT172" s="17"/>
      <c r="DU172" s="17"/>
      <c r="DV172" s="17"/>
      <c r="DW172" s="17"/>
      <c r="DX172" s="17"/>
      <c r="DY172" s="17"/>
      <c r="DZ172" s="17"/>
      <c r="EA172" s="17"/>
      <c r="EB172" s="17"/>
      <c r="EC172" s="17"/>
      <c r="ED172" s="17"/>
      <c r="EE172" s="17"/>
      <c r="EF172" s="17"/>
      <c r="EG172" s="17"/>
      <c r="EH172" s="17"/>
      <c r="EI172" s="17"/>
      <c r="EJ172" s="17"/>
      <c r="EK172" s="17"/>
      <c r="EL172" s="17"/>
      <c r="EM172" s="17"/>
      <c r="EN172" s="17"/>
      <c r="EO172" s="17"/>
      <c r="EP172" s="17"/>
      <c r="EQ172" s="17"/>
      <c r="ER172" s="17"/>
      <c r="ES172" s="17"/>
      <c r="ET172" s="17"/>
      <c r="EU172" s="17"/>
      <c r="EV172" s="17"/>
      <c r="EW172" s="17"/>
      <c r="EX172" s="17"/>
      <c r="EY172" s="17"/>
      <c r="EZ172" s="17"/>
      <c r="FA172" s="17"/>
      <c r="FB172" s="17"/>
      <c r="FC172" s="17"/>
      <c r="FD172" s="17"/>
      <c r="FE172" s="17"/>
      <c r="FF172" s="17"/>
      <c r="FG172" s="17"/>
      <c r="FH172" s="17"/>
    </row>
    <row r="173">
      <c r="A173" s="32" t="s">
        <v>7</v>
      </c>
      <c r="B173" s="32" t="s">
        <v>40</v>
      </c>
      <c r="C173" s="32" t="s">
        <v>10</v>
      </c>
      <c r="D173" s="16">
        <f t="shared" si="1"/>
        <v>614.1222854</v>
      </c>
      <c r="E173" s="17"/>
      <c r="F173" s="17"/>
      <c r="G173" s="18">
        <f>HYPERLINK("https://docs.google.com/spreadsheets/d/137DGdHzsNTHUJBgHSzkzqef6XbhBBpbq", 67.2822249999999)</f>
        <v>67.282225</v>
      </c>
      <c r="H173" s="17"/>
      <c r="I173" s="18">
        <f>HYPERLINK("https://docs.google.com/spreadsheets/d/1deAraadd9a37dPf40yiqHtjKvtnnf3DP", 12.3222697916666)</f>
        <v>12.32226979</v>
      </c>
      <c r="J173" s="17"/>
      <c r="K173" s="18">
        <f>HYPERLINK("https://docs.google.com/spreadsheets/d/1aNjDBY7wFV7nQ2z5BH5Tej81yqhl3Phw", 125.909981249999)</f>
        <v>125.9099812</v>
      </c>
      <c r="L173" s="17"/>
      <c r="M173" s="18">
        <f>HYPERLINK("https://docs.google.com/spreadsheets/d/19sinVqUKxo6K_kfUKPZx0HGL2zIBjXgr", 21.0669208333333)</f>
        <v>21.06692083</v>
      </c>
      <c r="N173" s="17"/>
      <c r="O173" s="18">
        <f>HYPERLINK("https://docs.google.com/spreadsheets/d/1fjfg4lgODj-YmWHCw_1HvtwxgwAal_85", 197.513292708333)</f>
        <v>197.5132927</v>
      </c>
      <c r="P173" s="17"/>
      <c r="Q173" s="18">
        <f>HYPERLINK("https://docs.google.com/spreadsheets/d/1qx75vPkR2baIkEx5_ExjPJ67mr8lCjNH", 98.144865625)</f>
        <v>98.14486563</v>
      </c>
      <c r="R173" s="17"/>
      <c r="S173" s="18">
        <f>HYPERLINK("https://docs.google.com/spreadsheets/d/1fb06MhPw50Ca-e5i_1zQLZROIaDMy8EI", 23.5158614583333)</f>
        <v>23.51586146</v>
      </c>
      <c r="T173" s="17"/>
      <c r="U173" s="18">
        <f>HYPERLINK("https://docs.google.com/spreadsheets/d/1sPzWr0VyStVxDULSAYCiU9raJlE1I2yr", 65.7122020833333)</f>
        <v>65.71220208</v>
      </c>
      <c r="V173" s="18">
        <f>HYPERLINK("https://docs.google.com/spreadsheets/d/1Ta8vDkFyR2NSBHVRdERfoh8gGtHe3Q1s", 2.65466666666666)</f>
        <v>2.654666667</v>
      </c>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c r="EY173" s="17"/>
      <c r="EZ173" s="17"/>
      <c r="FA173" s="17"/>
      <c r="FB173" s="17"/>
      <c r="FC173" s="17"/>
      <c r="FD173" s="17"/>
      <c r="FE173" s="17"/>
      <c r="FF173" s="17"/>
      <c r="FG173" s="17"/>
      <c r="FH173" s="17"/>
    </row>
    <row r="174">
      <c r="A174" s="32" t="s">
        <v>7</v>
      </c>
      <c r="B174" s="32" t="s">
        <v>40</v>
      </c>
      <c r="C174" s="32" t="s">
        <v>11</v>
      </c>
      <c r="D174" s="16">
        <f t="shared" si="1"/>
        <v>0</v>
      </c>
      <c r="E174" s="17"/>
      <c r="F174" s="17"/>
      <c r="G174" s="18" t="str">
        <f>HYPERLINK("https://docs.google.com/spreadsheets/d/137DGdHzsNTHUJBgHSzkzqef6XbhBBpbq", "RE-67.28222499999997")</f>
        <v>RE-67.28222499999997</v>
      </c>
      <c r="H174" s="17"/>
      <c r="I174" s="18" t="str">
        <f>HYPERLINK("https://docs.google.com/spreadsheets/d/1deAraadd9a37dPf40yiqHtjKvtnnf3DP", "RE-12.322269791666669")</f>
        <v>RE-12.322269791666669</v>
      </c>
      <c r="J174" s="17"/>
      <c r="K174" s="18" t="str">
        <f>HYPERLINK("https://docs.google.com/spreadsheets/d/1aNjDBY7wFV7nQ2z5BH5Tej81yqhl3Phw", "RE-125.90998124999994")</f>
        <v>RE-125.90998124999994</v>
      </c>
      <c r="L174" s="17"/>
      <c r="M174" s="18" t="str">
        <f>HYPERLINK("https://docs.google.com/spreadsheets/d/19sinVqUKxo6K_kfUKPZx0HGL2zIBjXgr", "RE-21.066920833333324")</f>
        <v>RE-21.066920833333324</v>
      </c>
      <c r="N174" s="17"/>
      <c r="O174" s="18" t="str">
        <f>HYPERLINK("https://docs.google.com/spreadsheets/d/1fjfg4lgODj-YmWHCw_1HvtwxgwAal_85", "RE-197.51329270833332")</f>
        <v>RE-197.51329270833332</v>
      </c>
      <c r="P174" s="17"/>
      <c r="Q174" s="18" t="str">
        <f>HYPERLINK("https://docs.google.com/spreadsheets/d/1qx75vPkR2baIkEx5_ExjPJ67mr8lCjNH", "RE-98.14486562500001")</f>
        <v>RE-98.14486562500001</v>
      </c>
      <c r="R174" s="17"/>
      <c r="S174" s="18" t="str">
        <f>HYPERLINK("https://docs.google.com/spreadsheets/d/1fb06MhPw50Ca-e5i_1zQLZROIaDMy8EI", "RE-23.515861458333347")</f>
        <v>RE-23.515861458333347</v>
      </c>
      <c r="T174" s="17"/>
      <c r="U174" s="18" t="str">
        <f>HYPERLINK("https://docs.google.com/spreadsheets/d/1sPzWr0VyStVxDULSAYCiU9raJlE1I2yr", "RE-65.71220208333332")</f>
        <v>RE-65.71220208333332</v>
      </c>
      <c r="V174" s="18" t="str">
        <f>HYPERLINK("https://docs.google.com/spreadsheets/d/1Ta8vDkFyR2NSBHVRdERfoh8gGtHe3Q1s", "RE-2.654666666666666")</f>
        <v>RE-2.654666666666666</v>
      </c>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row>
    <row r="175">
      <c r="A175" s="32" t="s">
        <v>7</v>
      </c>
      <c r="B175" s="32" t="s">
        <v>40</v>
      </c>
      <c r="C175" s="32" t="s">
        <v>12</v>
      </c>
      <c r="D175" s="16">
        <f t="shared" si="1"/>
        <v>1380.265869</v>
      </c>
      <c r="E175" s="17"/>
      <c r="F175" s="18" t="str">
        <f>HYPERLINK("https://docs.google.com/spreadsheets/d/1-WHNjqqiJo612wk0mtfIoDqOctTQOPwr", "RE-752.2011208333344")</f>
        <v>RE-752.2011208333344</v>
      </c>
      <c r="G175" s="18" t="str">
        <f>HYPERLINK("https://docs.google.com/spreadsheets/d/1EIybenCI8x7qVdR3E00KghjO93o2gpAg", "RE-1.9133229166666665")</f>
        <v>RE-1.9133229166666665</v>
      </c>
      <c r="H175" s="18" t="str">
        <f>HYPERLINK("https://docs.google.com/spreadsheets/d/16KWpHLOXjDlWiV0GdHygZcr311DFinPa", "RE-196.9872552083333")</f>
        <v>RE-196.9872552083333</v>
      </c>
      <c r="I175" s="18" t="str">
        <f>HYPERLINK("https://docs.google.com/spreadsheets/d/1EEbw1Bf90SFx004Q1PwHwgUU31g7Tv8C", "RE-0.19267708333333333")</f>
        <v>RE-0.19267708333333333</v>
      </c>
      <c r="J175" s="18" t="str">
        <f>HYPERLINK("https://docs.google.com/spreadsheets/d/1zrKsL8CEguyd5RNq9JBJkt9bSWRD8aNk", "RE-1208.6168156249958")</f>
        <v>RE-1208.6168156249958</v>
      </c>
      <c r="K175" s="18" t="str">
        <f>HYPERLINK("https://docs.google.com/spreadsheets/d/1okS9izc-d5yVQPiiAMKHYzwXaP3hNNV9", "RE-2.014939583333333")</f>
        <v>RE-2.014939583333333</v>
      </c>
      <c r="L175" s="18">
        <f>HYPERLINK("https://docs.google.com/spreadsheets/d/1a_oAsIhrjvJuRgEoIfnmm4Tg9hu7UYZG", 434.407119791667)</f>
        <v>434.4071198</v>
      </c>
      <c r="M175" s="18" t="str">
        <f>HYPERLINK("https://docs.google.com/spreadsheets/d/1AsBIeKP-YfubI-5YpJBnynAZZcXkgRhu", "RE-5.977456250000001")</f>
        <v>RE-5.977456250000001</v>
      </c>
      <c r="N175" s="18" t="str">
        <f>HYPERLINK("https://docs.google.com/spreadsheets/d/17oTDdicDYHcIdiU43OqHLTkii2_sQ7M0", "RE-1216.8027822916665")</f>
        <v>RE-1216.8027822916665</v>
      </c>
      <c r="O175" s="18" t="str">
        <f>HYPERLINK("https://docs.google.com/spreadsheets/d/1cfi3AjrRYzajpgVwVndlhg7mWlhNxpRT", "RE-14.157431249999997")</f>
        <v>RE-14.157431249999997</v>
      </c>
      <c r="P175" s="18">
        <f>HYPERLINK("https://docs.google.com/spreadsheets/d/1L49b-sC77wQnX9T68fnKzpjWLNhO722z", 280.762596874999)</f>
        <v>280.7625969</v>
      </c>
      <c r="Q175" s="18" t="str">
        <f>HYPERLINK("https://docs.google.com/spreadsheets/d/16y2BMj9qg5YNrAkdD9mq5nZgmaxCt_Tf", "RE-38.150084375")</f>
        <v>RE-38.150084375</v>
      </c>
      <c r="R175" s="18">
        <f>HYPERLINK("https://docs.google.com/spreadsheets/d/1-7Ol3f3Wpz-EOLUZ6NNjqHb9g99q8eLl", 47.7018104166666)</f>
        <v>47.70181042</v>
      </c>
      <c r="S175" s="18" t="str">
        <f>HYPERLINK("https://docs.google.com/spreadsheets/d/1g5rvD9_7CRQBA_jBS-eEHlXGXmpbZsRG", "RE-11.230435416666664")</f>
        <v>RE-11.230435416666664</v>
      </c>
      <c r="T175" s="18">
        <f>HYPERLINK("https://docs.google.com/spreadsheets/d/1MXlLgXVCF8Bnd8c3M1fcaJJ7-O_oqm2B", 617.394341666667)</f>
        <v>617.3943417</v>
      </c>
      <c r="U175" s="18" t="str">
        <f>HYPERLINK("https://docs.google.com/spreadsheets/d/1iWDKJg9nQ1B8UGGDHKBf9VOP43olwgSO", "RE-37.706820833333346")</f>
        <v>RE-37.706820833333346</v>
      </c>
      <c r="V175" s="18" t="str">
        <f>HYPERLINK("https://docs.google.com/spreadsheets/d/1Mays0hcpWrRa3YDHx2fE6m96Su1F06C7", "RE-1.8795958333333331")</f>
        <v>RE-1.8795958333333331</v>
      </c>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c r="DN175" s="17"/>
      <c r="DO175" s="17"/>
      <c r="DP175" s="17"/>
      <c r="DQ175" s="17"/>
      <c r="DR175" s="17"/>
      <c r="DS175" s="17"/>
      <c r="DT175" s="17"/>
      <c r="DU175" s="17"/>
      <c r="DV175" s="17"/>
      <c r="DW175" s="17"/>
      <c r="DX175" s="17"/>
      <c r="DY175" s="17"/>
      <c r="DZ175" s="17"/>
      <c r="EA175" s="17"/>
      <c r="EB175" s="17"/>
      <c r="EC175" s="17"/>
      <c r="ED175" s="17"/>
      <c r="EE175" s="17"/>
      <c r="EF175" s="17"/>
      <c r="EG175" s="17"/>
      <c r="EH175" s="17"/>
      <c r="EI175" s="17"/>
      <c r="EJ175" s="17"/>
      <c r="EK175" s="17"/>
      <c r="EL175" s="17"/>
      <c r="EM175" s="17"/>
      <c r="EN175" s="17"/>
      <c r="EO175" s="17"/>
      <c r="EP175" s="17"/>
      <c r="EQ175" s="17"/>
      <c r="ER175" s="17"/>
      <c r="ES175" s="17"/>
      <c r="ET175" s="17"/>
      <c r="EU175" s="17"/>
      <c r="EV175" s="17"/>
      <c r="EW175" s="17"/>
      <c r="EX175" s="17"/>
      <c r="EY175" s="17"/>
      <c r="EZ175" s="17"/>
      <c r="FA175" s="17"/>
      <c r="FB175" s="17"/>
      <c r="FC175" s="17"/>
      <c r="FD175" s="17"/>
      <c r="FE175" s="17"/>
      <c r="FF175" s="17"/>
      <c r="FG175" s="17"/>
      <c r="FH175" s="17"/>
    </row>
    <row r="176">
      <c r="A176" s="32" t="s">
        <v>7</v>
      </c>
      <c r="B176" s="32" t="s">
        <v>40</v>
      </c>
      <c r="C176" s="32" t="s">
        <v>13</v>
      </c>
      <c r="D176" s="16">
        <f t="shared" si="1"/>
        <v>1321.8861</v>
      </c>
      <c r="E176" s="17"/>
      <c r="F176" s="18" t="str">
        <f>HYPERLINK("https://docs.google.com/spreadsheets/d/1S4HXnaOczZ218fEqJjTgvmkLw02YIXrf?usp=share_link", "RE-731.234")</f>
        <v>RE-731.234</v>
      </c>
      <c r="G176" s="18" t="str">
        <f>HYPERLINK("https://docs.google.com/spreadsheets/d/10PNDyZ5GgiJGbcjq4fmWLnuUW6fbFPnK?usp=share_link", "RE-1.89758")</f>
        <v>RE-1.89758</v>
      </c>
      <c r="H176" s="18" t="str">
        <f>HYPERLINK("https://docs.google.com/spreadsheets/d/1VzVUQSw2cpYvxie9Aoel0dfP_lxLxqyx?usp=share_link", "RE-191.552")</f>
        <v>RE-191.552</v>
      </c>
      <c r="I176" s="18" t="str">
        <f>HYPERLINK("https://docs.google.com/spreadsheets/d/1uhJJlBqXW3DKMtwl_dLuW-arYUzsjcNi?usp=share_link", "RE-0.190033")</f>
        <v>RE-0.190033</v>
      </c>
      <c r="J176" s="18" t="str">
        <f>HYPERLINK("https://docs.google.com/spreadsheets/d/1IsNbIcSijQGIe3rU4UBv4E4zgSO3uupD?usp=share_link", "RE-1168.45")</f>
        <v>RE-1168.45</v>
      </c>
      <c r="K176" s="18" t="str">
        <f>HYPERLINK("https://docs.google.com/spreadsheets/d/1bvvCIWpOHgochvkk9yYPmPg-fMBv-RzG?usp=share_link", "RE-1.93972")</f>
        <v>RE-1.93972</v>
      </c>
      <c r="L176" s="18">
        <f>HYPERLINK("https://docs.google.com/spreadsheets/d/1XE5O8HpN7p8zSWGNt2CiaN-ypb4h1F0g?usp=share_link", 416.396)</f>
        <v>416.396</v>
      </c>
      <c r="M176" s="18" t="str">
        <f>HYPERLINK("https://docs.google.com/spreadsheets/d/1sKqBf-28rO4YMIFOMfljxzt79-9OsRjV?usp=share_link", "RE-5.6636")</f>
        <v>RE-5.6636</v>
      </c>
      <c r="N176" s="18" t="str">
        <f>HYPERLINK("https://docs.google.com/spreadsheets/d/1NEZSQu-HkZWYdc34ko6Qzi9DglFvnO4n?usp=share_link", "RE-1164.88")</f>
        <v>RE-1164.88</v>
      </c>
      <c r="O176" s="18" t="str">
        <f>HYPERLINK("https://docs.google.com/spreadsheets/d/1XwCkU-oRZvJJZUT4ygcld6sMx1xWb9VK?usp=share_link", "RE-13.1559")</f>
        <v>RE-13.1559</v>
      </c>
      <c r="P176" s="18">
        <f>HYPERLINK("https://docs.google.com/spreadsheets/d/1r4JPC5V1jbD2kTiMAgPBX-rexScITeZO?usp=share_link", 269.1)</f>
        <v>269.1</v>
      </c>
      <c r="Q176" s="18" t="str">
        <f>HYPERLINK("https://docs.google.com/spreadsheets/d/1SdxFF8pnt5Immwxv-lN85aKdM-Ydmi6d?usp=share_link", "RE-36.28")</f>
        <v>RE-36.28</v>
      </c>
      <c r="R176" s="18">
        <f>HYPERLINK("https://docs.google.com/spreadsheets/d/1iYTGD2-WMJ9ulKek5RPIAJ9iN-j4EAcM?usp=share_link", 45.5121)</f>
        <v>45.5121</v>
      </c>
      <c r="S176" s="18" t="str">
        <f>HYPERLINK("https://docs.google.com/spreadsheets/d/1Fo_lotjBcMSZkR1_MK3HaeaY4IeOjsoI?usp=share_link", "RE-10.9067")</f>
        <v>RE-10.9067</v>
      </c>
      <c r="T176" s="18">
        <f>HYPERLINK("https://docs.google.com/spreadsheets/d/1b4vINJNfSh3Kt3WK4Lsl01NCU8j6ye6H?usp=share_link", 590.878)</f>
        <v>590.878</v>
      </c>
      <c r="U176" s="18" t="str">
        <f>HYPERLINK("https://docs.google.com/spreadsheets/d/1hN8ovqtOyLCw1J8faWxQZ8gkxvoBFBCl?usp=share_link", "RE-35.201")</f>
        <v>RE-35.201</v>
      </c>
      <c r="V176" s="18" t="str">
        <f>HYPERLINK("https://docs.google.com/spreadsheets/d/1m8wpsxTy4o1WdIJBdXr-Ds2nm_LZ84Bq?usp=share_link", "RE-1.79935")</f>
        <v>RE-1.79935</v>
      </c>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7"/>
      <c r="FB176" s="17"/>
      <c r="FC176" s="17"/>
      <c r="FD176" s="17"/>
      <c r="FE176" s="17"/>
      <c r="FF176" s="17"/>
      <c r="FG176" s="17"/>
      <c r="FH176" s="17"/>
    </row>
    <row r="177">
      <c r="A177" s="32" t="s">
        <v>7</v>
      </c>
      <c r="B177" s="32" t="s">
        <v>40</v>
      </c>
      <c r="C177" s="32" t="s">
        <v>14</v>
      </c>
      <c r="D177" s="16">
        <f t="shared" si="1"/>
        <v>1146.4075</v>
      </c>
      <c r="E177" s="17"/>
      <c r="F177" s="18" t="str">
        <f>HYPERLINK("https://docs.google.com/spreadsheets/d/12MXFLlWYZfRw6KZxLGK15DTiGB61A5e4?usp=share_link", "RE-661.784")</f>
        <v>RE-661.784</v>
      </c>
      <c r="G177" s="18" t="str">
        <f>HYPERLINK("https://docs.google.com/spreadsheets/d/1LiF9fk7T5hdjx2WALVo-L9vTRYaQQdi-?usp=share_link", "RE-1.76288")</f>
        <v>RE-1.76288</v>
      </c>
      <c r="H177" s="18" t="str">
        <f>HYPERLINK("https://docs.google.com/spreadsheets/d/1NAFlg0tqIXLhyN65ZqybSSppjb3PJi5G?usp=share_link", "RE-172.393")</f>
        <v>RE-172.393</v>
      </c>
      <c r="I177" s="18" t="str">
        <f>HYPERLINK("https://docs.google.com/spreadsheets/d/1lQPMyVtFU1hRQRTazHCHBiiXNSpxXqPw?usp=share_link", "RE-0.190033")</f>
        <v>RE-0.190033</v>
      </c>
      <c r="J177" s="18" t="str">
        <f>HYPERLINK("https://docs.google.com/spreadsheets/d/16C1M5Z66KAuGWeU11A4aSu1gGHFG6FtU?usp=share_link", "RE-1085.19")</f>
        <v>RE-1085.19</v>
      </c>
      <c r="K177" s="18" t="str">
        <f>HYPERLINK("https://docs.google.com/spreadsheets/d/1UtYFKZc9OnG_lalo6-S3_4adpP-VKxBN?usp=share_link", "RE-1.85475")</f>
        <v>RE-1.85475</v>
      </c>
      <c r="L177" s="18">
        <f>HYPERLINK("https://docs.google.com/spreadsheets/d/1SNePNhgeuJL8etgdzySxGKWLW0J4ZsBV?usp=share_link", 363.613)</f>
        <v>363.613</v>
      </c>
      <c r="M177" s="18" t="str">
        <f>HYPERLINK("https://docs.google.com/spreadsheets/d/1Q7lVHKdrpZQXN5QeZanMmh4m49bWTnT2?usp=share_link", "RE-5.22818")</f>
        <v>RE-5.22818</v>
      </c>
      <c r="N177" s="18" t="str">
        <f>HYPERLINK("https://docs.google.com/spreadsheets/d/1WqlGGvfaNAxTNyP1Slmjov_hQ1B0Vdte?usp=share_link", "RE-1025.79")</f>
        <v>RE-1025.79</v>
      </c>
      <c r="O177" s="18" t="str">
        <f>HYPERLINK("https://docs.google.com/spreadsheets/d/1DFitPbixs6w5rRdb591r0nwp1D99eaki?usp=share_link", "RE-11.8255")</f>
        <v>RE-11.8255</v>
      </c>
      <c r="P177" s="18">
        <f>HYPERLINK("https://docs.google.com/spreadsheets/d/1IwL7YlKlyFtOBW6Wx6rdiuhL8ftN027h?usp=share_link", 236.584)</f>
        <v>236.584</v>
      </c>
      <c r="Q177" s="18" t="str">
        <f>HYPERLINK("https://docs.google.com/spreadsheets/d/13H4duv2RHeH03RbqvZuzDmwq8u2g9VE2?usp=share_link", "RE-31.5936")</f>
        <v>RE-31.5936</v>
      </c>
      <c r="R177" s="18">
        <f>HYPERLINK("https://docs.google.com/spreadsheets/d/1JqgSYSVQ5WQyFmQm-fOiuf9IrVbQH01j?usp=share_link", 37.8375)</f>
        <v>37.8375</v>
      </c>
      <c r="S177" s="18" t="str">
        <f>HYPERLINK("https://docs.google.com/spreadsheets/d/1RYxOVjr3PTyEluW10TpIUudzkr0_Abfi?usp=share_link", "RE-8.58535")</f>
        <v>RE-8.58535</v>
      </c>
      <c r="T177" s="18">
        <f>HYPERLINK("https://docs.google.com/spreadsheets/d/11nKQoQwIwlRu-M8zy3M4wpPx_JkgGtcS?usp=share_link", 508.373)</f>
        <v>508.373</v>
      </c>
      <c r="U177" s="18" t="str">
        <f>HYPERLINK("https://docs.google.com/spreadsheets/d/1NF8j8Xt1UqyaD55C_bOiqKKTslgdGxPo?usp=share_link", "RE-30.4814")</f>
        <v>RE-30.4814</v>
      </c>
      <c r="V177" s="18" t="str">
        <f>HYPERLINK("https://docs.google.com/spreadsheets/d/1gsyAblhAi4DxMAYvN4Vw2CpQ_FUC-Abe?usp=share_link", "RE-1.79935")</f>
        <v>RE-1.79935</v>
      </c>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c r="DN177" s="17"/>
      <c r="DO177" s="17"/>
      <c r="DP177" s="17"/>
      <c r="DQ177" s="17"/>
      <c r="DR177" s="17"/>
      <c r="DS177" s="17"/>
      <c r="DT177" s="17"/>
      <c r="DU177" s="17"/>
      <c r="DV177" s="17"/>
      <c r="DW177" s="17"/>
      <c r="DX177" s="17"/>
      <c r="DY177" s="17"/>
      <c r="DZ177" s="17"/>
      <c r="EA177" s="17"/>
      <c r="EB177" s="17"/>
      <c r="EC177" s="17"/>
      <c r="ED177" s="17"/>
      <c r="EE177" s="17"/>
      <c r="EF177" s="17"/>
      <c r="EG177" s="17"/>
      <c r="EH177" s="17"/>
      <c r="EI177" s="17"/>
      <c r="EJ177" s="17"/>
      <c r="EK177" s="17"/>
      <c r="EL177" s="17"/>
      <c r="EM177" s="17"/>
      <c r="EN177" s="17"/>
      <c r="EO177" s="17"/>
      <c r="EP177" s="17"/>
      <c r="EQ177" s="17"/>
      <c r="ER177" s="17"/>
      <c r="ES177" s="17"/>
      <c r="ET177" s="17"/>
      <c r="EU177" s="17"/>
      <c r="EV177" s="17"/>
      <c r="EW177" s="17"/>
      <c r="EX177" s="17"/>
      <c r="EY177" s="17"/>
      <c r="EZ177" s="17"/>
      <c r="FA177" s="17"/>
      <c r="FB177" s="17"/>
      <c r="FC177" s="17"/>
      <c r="FD177" s="17"/>
      <c r="FE177" s="17"/>
      <c r="FF177" s="17"/>
      <c r="FG177" s="17"/>
      <c r="FH177" s="17"/>
    </row>
    <row r="178">
      <c r="A178" s="27" t="s">
        <v>7</v>
      </c>
      <c r="B178" s="27" t="s">
        <v>40</v>
      </c>
      <c r="C178" s="27" t="s">
        <v>15</v>
      </c>
      <c r="D178" s="28">
        <f t="shared" si="1"/>
        <v>1321.8861</v>
      </c>
      <c r="E178" s="33"/>
      <c r="F178" s="34" t="str">
        <f>HYPERLINK("https://docs.google.com/spreadsheets/d/14r_gfKR75RyXWus1vu5bLM10NproHiwB?usp=share_link", "RE-731.156")</f>
        <v>RE-731.156</v>
      </c>
      <c r="G178" s="34" t="str">
        <f>HYPERLINK("https://docs.google.com/spreadsheets/d/1UZQC0WOpOr8gmHhOYPDLdlxZIPDA_eqp?usp=share_link", "RE-1.89758")</f>
        <v>RE-1.89758</v>
      </c>
      <c r="H178" s="34" t="str">
        <f>HYPERLINK("https://docs.google.com/spreadsheets/d/1A7HZuPqUztV053wm_VP9M6Oh-ogRANdV?usp=share_link", "RE-191.552")</f>
        <v>RE-191.552</v>
      </c>
      <c r="I178" s="34" t="str">
        <f>HYPERLINK("https://docs.google.com/spreadsheets/d/1PonwpWwkGxJYI-Lgd5S9ea5wXNIfdPra?usp=share_link", "RE-0.190033")</f>
        <v>RE-0.190033</v>
      </c>
      <c r="J178" s="34" t="str">
        <f>HYPERLINK("https://docs.google.com/spreadsheets/d/12rvVKDCLch4DyEQogx7PPK0oFVH-ePwv?usp=share_link", "RE-1168.45")</f>
        <v>RE-1168.45</v>
      </c>
      <c r="K178" s="34" t="str">
        <f>HYPERLINK("https://docs.google.com/spreadsheets/d/1oxM_EL_49zXuoe0pp-L-92MmoXfnvzge?usp=share_link", "RE-1.93972")</f>
        <v>RE-1.93972</v>
      </c>
      <c r="L178" s="34">
        <f>HYPERLINK("https://docs.google.com/spreadsheets/d/1lMMoY9AuhoeG8AUcMGOIyke4YVXUAVBf?usp=share_link", 416.396)</f>
        <v>416.396</v>
      </c>
      <c r="M178" s="34" t="str">
        <f>HYPERLINK("https://docs.google.com/spreadsheets/d/1Xue6ipekoATUR0HH8B0SAAhe3N5Qwt-g?usp=share_link", "RE-5.6636")</f>
        <v>RE-5.6636</v>
      </c>
      <c r="N178" s="34" t="str">
        <f>HYPERLINK("https://docs.google.com/spreadsheets/d/1UnULMoYFUkd4diOquIuCNggB_uOO-MgQ?usp=share_link", "RE-1164.85")</f>
        <v>RE-1164.85</v>
      </c>
      <c r="O178" s="34" t="str">
        <f>HYPERLINK("https://docs.google.com/spreadsheets/d/1WzMpRh7ZsLyS9s-Yc7nhvEyRBhiHdGz8?usp=share_link", "RE-13.0589")</f>
        <v>RE-13.0589</v>
      </c>
      <c r="P178" s="34">
        <f>HYPERLINK("https://docs.google.com/spreadsheets/d/1hSGSqww6WolUiU14XeMu55geYMkDXqT4?usp=share_link", 269.1)</f>
        <v>269.1</v>
      </c>
      <c r="Q178" s="34" t="str">
        <f>HYPERLINK("https://docs.google.com/spreadsheets/d/1JvChYjrDIsXrfk_GiYVCUoZhJUXoBzYD?usp=share_link", "RE-36.28")</f>
        <v>RE-36.28</v>
      </c>
      <c r="R178" s="34">
        <f>HYPERLINK("https://docs.google.com/spreadsheets/d/1ADnhkz-0OVQ7b3CWZ1VdfA2gJm05NJmX?usp=share_link", 45.5121)</f>
        <v>45.5121</v>
      </c>
      <c r="S178" s="34" t="str">
        <f>HYPERLINK("https://docs.google.com/spreadsheets/d/1zF_2qXxP0qfOf9ZdGWhXMIpLMsNDYPyG?usp=share_link", "RE-10.9067")</f>
        <v>RE-10.9067</v>
      </c>
      <c r="T178" s="34">
        <f>HYPERLINK("https://docs.google.com/spreadsheets/d/1hbD5E2PtpJPUsLR5RU-FGn4gdWxkspRR?usp=share_link", 590.878)</f>
        <v>590.878</v>
      </c>
      <c r="U178" s="34" t="str">
        <f>HYPERLINK("https://docs.google.com/spreadsheets/d/1lIJSbSqYScB3lLBl8MbplTLfj_ymmWc7?usp=share_link", "RE-35.201")</f>
        <v>RE-35.201</v>
      </c>
      <c r="V178" s="34" t="str">
        <f>HYPERLINK("https://docs.google.com/spreadsheets/d/1oQ5kBroZoepwOvkdHklli661PQhUJT5T?usp=share_link", "RE-1.79935")</f>
        <v>RE-1.79935</v>
      </c>
      <c r="W178" s="33"/>
      <c r="X178" s="33"/>
      <c r="Y178" s="33"/>
      <c r="Z178" s="33"/>
      <c r="AA178" s="33"/>
      <c r="AB178" s="33"/>
      <c r="AC178" s="33"/>
      <c r="AD178" s="33"/>
      <c r="AE178" s="33"/>
      <c r="AF178" s="33"/>
      <c r="AG178" s="33"/>
      <c r="AH178" s="33"/>
      <c r="AI178" s="33"/>
      <c r="AJ178" s="33"/>
      <c r="AK178" s="33"/>
      <c r="AL178" s="33"/>
      <c r="AM178" s="33"/>
      <c r="AN178" s="33"/>
      <c r="AO178" s="33"/>
      <c r="AP178" s="33"/>
      <c r="AQ178" s="33"/>
      <c r="AR178" s="33"/>
      <c r="AS178" s="33"/>
      <c r="AT178" s="33"/>
      <c r="AU178" s="33"/>
      <c r="AV178" s="33"/>
      <c r="AW178" s="33"/>
      <c r="AX178" s="33"/>
      <c r="AY178" s="33"/>
      <c r="AZ178" s="33"/>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33"/>
      <c r="EP178" s="33"/>
      <c r="EQ178" s="33"/>
      <c r="ER178" s="33"/>
      <c r="ES178" s="33"/>
      <c r="ET178" s="33"/>
      <c r="EU178" s="33"/>
      <c r="EV178" s="33"/>
      <c r="EW178" s="33"/>
      <c r="EX178" s="33"/>
      <c r="EY178" s="33"/>
      <c r="EZ178" s="33"/>
      <c r="FA178" s="33"/>
      <c r="FB178" s="33"/>
      <c r="FC178" s="33"/>
      <c r="FD178" s="33"/>
      <c r="FE178" s="33"/>
      <c r="FF178" s="33"/>
      <c r="FG178" s="33"/>
      <c r="FH178" s="33"/>
    </row>
    <row r="179">
      <c r="A179" s="30" t="s">
        <v>7</v>
      </c>
      <c r="B179" s="30" t="s">
        <v>41</v>
      </c>
      <c r="C179" s="31" t="str">
        <f>HYPERLINK("https://docs.google.com/spreadsheets/d/1l6GPKh8Vsu-a8jeDHdEegEqvptbjvBdt/edit?usp=share_link&amp;ouid=106501987799020758802&amp;rtpof=true&amp;sd=true", "Raw Delivered")</f>
        <v>Raw Delivered</v>
      </c>
      <c r="D179" s="12">
        <f t="shared" si="1"/>
        <v>6108.7995</v>
      </c>
      <c r="E179" s="13"/>
      <c r="F179" s="14">
        <f>HYPERLINK("https://docs.google.com/spreadsheets/d/1L7EmVY69jj1ThGFlwxEq5yxXb2mdKaVS", 651.071584375)</f>
        <v>651.0715844</v>
      </c>
      <c r="G179" s="13"/>
      <c r="H179" s="14">
        <f>HYPERLINK("https://docs.google.com/spreadsheets/d/1oJU7goE4Zr4uGUlUHReyp7U0QYkuH4x0", 95.3222218749999)</f>
        <v>95.32222187</v>
      </c>
      <c r="I179" s="13"/>
      <c r="J179" s="14">
        <f>HYPERLINK("https://docs.google.com/spreadsheets/d/1NBUtMd0E7JsoT5FfztgMg1tbqiGevDim", 1531.71135833333)</f>
        <v>1531.711358</v>
      </c>
      <c r="K179" s="13"/>
      <c r="L179" s="14">
        <f t="shared" ref="L179:L180" si="90">HYPERLINK("https://docs.google.com/spreadsheets/d/1uuEsinZTEJ1F_vYcgUJoBo7a3WLVAn6R", 536.562385416666)</f>
        <v>536.5623854</v>
      </c>
      <c r="M179" s="13"/>
      <c r="N179" s="14">
        <f>HYPERLINK("https://docs.google.com/spreadsheets/d/118qyxLHKYm4qjRDMFZe0fB4VoULakaTV", 2108.00687812499)</f>
        <v>2108.006878</v>
      </c>
      <c r="O179" s="13"/>
      <c r="P179" s="14">
        <f t="shared" ref="P179:P180" si="91">HYPERLINK("https://docs.google.com/spreadsheets/d/1hJzNja0xuxESpPjqCe3lvPf-yiFiWld7", 323.979565625)</f>
        <v>323.9795656</v>
      </c>
      <c r="Q179" s="13"/>
      <c r="R179" s="14">
        <f t="shared" ref="R179:R180" si="92">HYPERLINK("https://docs.google.com/spreadsheets/d/1Z-cLjsRGXasI1wyjRhxFqoEKeZkZKpqU", 92.2595302083332)</f>
        <v>92.25953021</v>
      </c>
      <c r="S179" s="13"/>
      <c r="T179" s="14">
        <f t="shared" ref="T179:T180" si="93">HYPERLINK("https://docs.google.com/spreadsheets/d/1g8Vz6Bt4KHfUv1yRJmHXrbcRoKN16nJi", 769.885976041665)</f>
        <v>769.885976</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row>
    <row r="180">
      <c r="A180" s="32" t="s">
        <v>7</v>
      </c>
      <c r="B180" s="32" t="s">
        <v>41</v>
      </c>
      <c r="C180" s="32" t="s">
        <v>9</v>
      </c>
      <c r="D180" s="16">
        <f t="shared" si="1"/>
        <v>1722.687457</v>
      </c>
      <c r="E180" s="17"/>
      <c r="F180" s="18" t="str">
        <f>HYPERLINK("https://docs.google.com/spreadsheets/d/1L7EmVY69jj1ThGFlwxEq5yxXb2mdKaVS", "RE-651.0715843750002")</f>
        <v>RE-651.0715843750002</v>
      </c>
      <c r="G180" s="17"/>
      <c r="H180" s="18" t="str">
        <f>HYPERLINK("https://docs.google.com/spreadsheets/d/1oJU7goE4Zr4uGUlUHReyp7U0QYkuH4x0", "RE-95.32222187499995")</f>
        <v>RE-95.32222187499995</v>
      </c>
      <c r="I180" s="17"/>
      <c r="J180" s="18" t="str">
        <f>HYPERLINK("https://docs.google.com/spreadsheets/d/1NBUtMd0E7JsoT5FfztgMg1tbqiGevDim", "RE-1531.7113583333323")</f>
        <v>RE-1531.7113583333323</v>
      </c>
      <c r="K180" s="17"/>
      <c r="L180" s="18">
        <f t="shared" si="90"/>
        <v>536.5623854</v>
      </c>
      <c r="M180" s="17"/>
      <c r="N180" s="18" t="str">
        <f>HYPERLINK("https://docs.google.com/spreadsheets/d/118qyxLHKYm4qjRDMFZe0fB4VoULakaTV", "RE-2108.0068781249943")</f>
        <v>RE-2108.0068781249943</v>
      </c>
      <c r="O180" s="17"/>
      <c r="P180" s="18">
        <f t="shared" si="91"/>
        <v>323.9795656</v>
      </c>
      <c r="Q180" s="17"/>
      <c r="R180" s="18">
        <f t="shared" si="92"/>
        <v>92.25953021</v>
      </c>
      <c r="S180" s="17"/>
      <c r="T180" s="18">
        <f t="shared" si="93"/>
        <v>769.885976</v>
      </c>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c r="DN180" s="17"/>
      <c r="DO180" s="17"/>
      <c r="DP180" s="17"/>
      <c r="DQ180" s="17"/>
      <c r="DR180" s="17"/>
      <c r="DS180" s="17"/>
      <c r="DT180" s="17"/>
      <c r="DU180" s="17"/>
      <c r="DV180" s="17"/>
      <c r="DW180" s="17"/>
      <c r="DX180" s="17"/>
      <c r="DY180" s="17"/>
      <c r="DZ180" s="17"/>
      <c r="EA180" s="17"/>
      <c r="EB180" s="17"/>
      <c r="EC180" s="17"/>
      <c r="ED180" s="17"/>
      <c r="EE180" s="17"/>
      <c r="EF180" s="17"/>
      <c r="EG180" s="17"/>
      <c r="EH180" s="17"/>
      <c r="EI180" s="17"/>
      <c r="EJ180" s="17"/>
      <c r="EK180" s="17"/>
      <c r="EL180" s="17"/>
      <c r="EM180" s="17"/>
      <c r="EN180" s="17"/>
      <c r="EO180" s="17"/>
      <c r="EP180" s="17"/>
      <c r="EQ180" s="17"/>
      <c r="ER180" s="17"/>
      <c r="ES180" s="17"/>
      <c r="ET180" s="17"/>
      <c r="EU180" s="17"/>
      <c r="EV180" s="17"/>
      <c r="EW180" s="17"/>
      <c r="EX180" s="17"/>
      <c r="EY180" s="17"/>
      <c r="EZ180" s="17"/>
      <c r="FA180" s="17"/>
      <c r="FB180" s="17"/>
      <c r="FC180" s="17"/>
      <c r="FD180" s="17"/>
      <c r="FE180" s="17"/>
      <c r="FF180" s="17"/>
      <c r="FG180" s="17"/>
      <c r="FH180" s="17"/>
    </row>
    <row r="181">
      <c r="A181" s="32" t="s">
        <v>7</v>
      </c>
      <c r="B181" s="32" t="s">
        <v>41</v>
      </c>
      <c r="C181" s="32" t="s">
        <v>10</v>
      </c>
      <c r="D181" s="16">
        <f t="shared" si="1"/>
        <v>661.1558052</v>
      </c>
      <c r="E181" s="17"/>
      <c r="F181" s="17"/>
      <c r="G181" s="18">
        <f>HYPERLINK("https://docs.google.com/spreadsheets/d/14T48Zvra12l8ozcC2GSNXp1V5xZ2Nk-4", 67.9928895833333)</f>
        <v>67.99288958</v>
      </c>
      <c r="H181" s="17"/>
      <c r="I181" s="18">
        <f>HYPERLINK("https://docs.google.com/spreadsheets/d/1POKNYpaFwBA3EHlVutrpCOaNL29FZAMp", 9.17719687499999)</f>
        <v>9.177196875</v>
      </c>
      <c r="J181" s="17"/>
      <c r="K181" s="18">
        <f>HYPERLINK("https://docs.google.com/spreadsheets/d/1utq6aHkVbQ-h35NIzB_zotNb01HgRg-W", 130.191412499999)</f>
        <v>130.1914125</v>
      </c>
      <c r="L181" s="17"/>
      <c r="M181" s="18">
        <f>HYPERLINK("https://docs.google.com/spreadsheets/d/1Gmg2GI2zD7qMeWKL86WdLUYCeLP2b6Eo", 11.69583125)</f>
        <v>11.69583125</v>
      </c>
      <c r="N181" s="17"/>
      <c r="O181" s="18">
        <f>HYPERLINK("https://docs.google.com/spreadsheets/d/10rfa4n1uJXWqZFwHFwVN6VBcGuCJrFEy", 260.969898958333)</f>
        <v>260.969899</v>
      </c>
      <c r="P181" s="17"/>
      <c r="Q181" s="18">
        <f>HYPERLINK("https://docs.google.com/spreadsheets/d/1DTIVrlNVnm-kr5vkB0LFr3yeYq7mK1cA", 75.8703010416667)</f>
        <v>75.87030104</v>
      </c>
      <c r="R181" s="17"/>
      <c r="S181" s="18">
        <f>HYPERLINK("https://docs.google.com/spreadsheets/d/1LWsnIgmr2hym7tHSihimR_L9TBw_6PV2", 22.1226312499999)</f>
        <v>22.12263125</v>
      </c>
      <c r="T181" s="17"/>
      <c r="U181" s="18">
        <f>HYPERLINK("https://docs.google.com/spreadsheets/d/1P4FHnXqp4FOTbghTiAIzd3_Gte92TEFe", 78.4251645833333)</f>
        <v>78.42516458</v>
      </c>
      <c r="V181" s="18">
        <f>HYPERLINK("https://docs.google.com/spreadsheets/d/1M4q0XsJBpVeWnrOOMbZB9HRo2l8_GOxV", 4.71047916666666)</f>
        <v>4.710479167</v>
      </c>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c r="DN181" s="17"/>
      <c r="DO181" s="17"/>
      <c r="DP181" s="17"/>
      <c r="DQ181" s="17"/>
      <c r="DR181" s="17"/>
      <c r="DS181" s="17"/>
      <c r="DT181" s="17"/>
      <c r="DU181" s="17"/>
      <c r="DV181" s="17"/>
      <c r="DW181" s="17"/>
      <c r="DX181" s="17"/>
      <c r="DY181" s="17"/>
      <c r="DZ181" s="17"/>
      <c r="EA181" s="17"/>
      <c r="EB181" s="17"/>
      <c r="EC181" s="17"/>
      <c r="ED181" s="17"/>
      <c r="EE181" s="17"/>
      <c r="EF181" s="17"/>
      <c r="EG181" s="17"/>
      <c r="EH181" s="17"/>
      <c r="EI181" s="17"/>
      <c r="EJ181" s="17"/>
      <c r="EK181" s="17"/>
      <c r="EL181" s="17"/>
      <c r="EM181" s="17"/>
      <c r="EN181" s="17"/>
      <c r="EO181" s="17"/>
      <c r="EP181" s="17"/>
      <c r="EQ181" s="17"/>
      <c r="ER181" s="17"/>
      <c r="ES181" s="17"/>
      <c r="ET181" s="17"/>
      <c r="EU181" s="17"/>
      <c r="EV181" s="17"/>
      <c r="EW181" s="17"/>
      <c r="EX181" s="17"/>
      <c r="EY181" s="17"/>
      <c r="EZ181" s="17"/>
      <c r="FA181" s="17"/>
      <c r="FB181" s="17"/>
      <c r="FC181" s="17"/>
      <c r="FD181" s="17"/>
      <c r="FE181" s="17"/>
      <c r="FF181" s="17"/>
      <c r="FG181" s="17"/>
      <c r="FH181" s="17"/>
    </row>
    <row r="182">
      <c r="A182" s="32" t="s">
        <v>7</v>
      </c>
      <c r="B182" s="32" t="s">
        <v>41</v>
      </c>
      <c r="C182" s="32" t="s">
        <v>11</v>
      </c>
      <c r="D182" s="16">
        <f t="shared" si="1"/>
        <v>0</v>
      </c>
      <c r="E182" s="17"/>
      <c r="F182" s="17"/>
      <c r="G182" s="18" t="str">
        <f>HYPERLINK("https://docs.google.com/spreadsheets/d/14T48Zvra12l8ozcC2GSNXp1V5xZ2Nk-4", "RE-67.99288958333334")</f>
        <v>RE-67.99288958333334</v>
      </c>
      <c r="H182" s="17"/>
      <c r="I182" s="18" t="str">
        <f>HYPERLINK("https://docs.google.com/spreadsheets/d/1POKNYpaFwBA3EHlVutrpCOaNL29FZAMp", "RE-9.177196874999998")</f>
        <v>RE-9.177196874999998</v>
      </c>
      <c r="J182" s="17"/>
      <c r="K182" s="18" t="str">
        <f>HYPERLINK("https://docs.google.com/spreadsheets/d/1utq6aHkVbQ-h35NIzB_zotNb01HgRg-W", "RE-130.19141249999993")</f>
        <v>RE-130.19141249999993</v>
      </c>
      <c r="L182" s="17"/>
      <c r="M182" s="18" t="str">
        <f>HYPERLINK("https://docs.google.com/spreadsheets/d/1Gmg2GI2zD7qMeWKL86WdLUYCeLP2b6Eo", "RE-11.69583125")</f>
        <v>RE-11.69583125</v>
      </c>
      <c r="N182" s="17"/>
      <c r="O182" s="18" t="str">
        <f>HYPERLINK("https://docs.google.com/spreadsheets/d/10rfa4n1uJXWqZFwHFwVN6VBcGuCJrFEy", "RE-260.96989895833354")</f>
        <v>RE-260.96989895833354</v>
      </c>
      <c r="P182" s="17"/>
      <c r="Q182" s="18" t="str">
        <f>HYPERLINK("https://docs.google.com/spreadsheets/d/1DTIVrlNVnm-kr5vkB0LFr3yeYq7mK1cA", "RE-75.8703010416667")</f>
        <v>RE-75.8703010416667</v>
      </c>
      <c r="R182" s="17"/>
      <c r="S182" s="18" t="str">
        <f>HYPERLINK("https://docs.google.com/spreadsheets/d/1LWsnIgmr2hym7tHSihimR_L9TBw_6PV2", "RE-22.122631249999998")</f>
        <v>RE-22.122631249999998</v>
      </c>
      <c r="T182" s="17"/>
      <c r="U182" s="18" t="str">
        <f>HYPERLINK("https://docs.google.com/spreadsheets/d/1P4FHnXqp4FOTbghTiAIzd3_Gte92TEFe", "RE-78.42516458333334")</f>
        <v>RE-78.42516458333334</v>
      </c>
      <c r="V182" s="18" t="str">
        <f>HYPERLINK("https://docs.google.com/spreadsheets/d/1M4q0XsJBpVeWnrOOMbZB9HRo2l8_GOxV", "RE-4.710479166666667")</f>
        <v>RE-4.710479166666667</v>
      </c>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7"/>
      <c r="FH182" s="17"/>
    </row>
    <row r="183">
      <c r="A183" s="32" t="s">
        <v>7</v>
      </c>
      <c r="B183" s="32" t="s">
        <v>41</v>
      </c>
      <c r="C183" s="32" t="s">
        <v>12</v>
      </c>
      <c r="D183" s="16">
        <f t="shared" si="1"/>
        <v>1613.768389</v>
      </c>
      <c r="E183" s="17"/>
      <c r="F183" s="18" t="str">
        <f>HYPERLINK("https://docs.google.com/spreadsheets/d/1lciT5W43__UtNnMdcoPzzs8I0hEQSn1L", "RE-530.282589583334")</f>
        <v>RE-530.282589583334</v>
      </c>
      <c r="G183" s="18" t="str">
        <f>HYPERLINK("https://docs.google.com/spreadsheets/d/1Di8LpaYmNjJxTefzZX-eYbFRqSmbHJYn", "RE-2.8769208333333336")</f>
        <v>RE-2.8769208333333336</v>
      </c>
      <c r="H183" s="18" t="str">
        <f>HYPERLINK("https://docs.google.com/spreadsheets/d/1B3GDn4GHDA2LqwI_rb0cxTMYr-ZqI7iN", "RE-83.34722916666668")</f>
        <v>RE-83.34722916666668</v>
      </c>
      <c r="I183" s="18" t="str">
        <f>HYPERLINK("https://docs.google.com/spreadsheets/d/1m4lb9NBWvu0v5Jwyk3bajv1hHQ7YHcxx", "RE-0.0")</f>
        <v>RE-0.0</v>
      </c>
      <c r="J183" s="18" t="str">
        <f>HYPERLINK("https://docs.google.com/spreadsheets/d/1qvb7GWg0MUtKcbG5_mKImQKRmAMCdNWU", "RE-1229.4503270833313")</f>
        <v>RE-1229.4503270833313</v>
      </c>
      <c r="K183" s="18" t="str">
        <f>HYPERLINK("https://docs.google.com/spreadsheets/d/1ESQp02BwRyahi7VMnNzOGGRgTP-1OMdb", "RE-2.3321729166666665")</f>
        <v>RE-2.3321729166666665</v>
      </c>
      <c r="L183" s="18">
        <f>HYPERLINK("https://docs.google.com/spreadsheets/d/1vP-BFZ9OGOA2Pqknoo9foC0HvBJjpw5g", 497.211792708333)</f>
        <v>497.2117927</v>
      </c>
      <c r="M183" s="18" t="str">
        <f>HYPERLINK("https://docs.google.com/spreadsheets/d/1MH_OKxbcd4zA1hT_Rgl37xT80B0wDoKm", "RE-1.9170625000000001")</f>
        <v>RE-1.9170625000000001</v>
      </c>
      <c r="N183" s="18" t="str">
        <f>HYPERLINK("https://docs.google.com/spreadsheets/d/1c2MZgq2aXDsBgbWhfRimi9c-sSGpoam-", "RE-1420.2805791666626")</f>
        <v>RE-1420.2805791666626</v>
      </c>
      <c r="O183" s="18" t="str">
        <f>HYPERLINK("https://docs.google.com/spreadsheets/d/1xDfRMJHBffOcW70cpqQPecYcRuoOeo7B", "RE-13.765280208333332")</f>
        <v>RE-13.765280208333332</v>
      </c>
      <c r="P183" s="18">
        <f>HYPERLINK("https://docs.google.com/spreadsheets/d/1luc21gCdo0APlu7iGEFqo4A0E6oEBBuN", 288.809329166666)</f>
        <v>288.8093292</v>
      </c>
      <c r="Q183" s="18" t="str">
        <f>HYPERLINK("https://docs.google.com/spreadsheets/d/1UAA2jJW6_V-NiKgEzieHmMapORBarw95", "RE-23.8530875")</f>
        <v>RE-23.8530875</v>
      </c>
      <c r="R183" s="18">
        <f>HYPERLINK("https://docs.google.com/spreadsheets/d/1ZJYBQ5FTPlfKu17CNH-78Y87lzuUgetU", 83.8249197916666)</f>
        <v>83.82491979</v>
      </c>
      <c r="S183" s="18" t="str">
        <f>HYPERLINK("https://docs.google.com/spreadsheets/d/1Vm8POWZWrrQGUR54GoiVDD0k4qPWgX4G", "RE-14.960563541666662")</f>
        <v>RE-14.960563541666662</v>
      </c>
      <c r="T183" s="18">
        <f>HYPERLINK("https://docs.google.com/spreadsheets/d/10SsQOHi5oHXCzxt-2ckreW4Z6MZcNMyh", 743.922346874999)</f>
        <v>743.9223469</v>
      </c>
      <c r="U183" s="18" t="str">
        <f>HYPERLINK("https://docs.google.com/spreadsheets/d/1fgqxweM-oUrgn48df-Q-_8tp-zf_LFmj", "RE-45.293405208333326")</f>
        <v>RE-45.293405208333326</v>
      </c>
      <c r="V183" s="18" t="str">
        <f>HYPERLINK("https://docs.google.com/spreadsheets/d/1UTJz2K32m87NB0ZJmlPUcSiw3z-DW4Vd", "RE-3.7907750000000004")</f>
        <v>RE-3.7907750000000004</v>
      </c>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c r="DN183" s="17"/>
      <c r="DO183" s="17"/>
      <c r="DP183" s="17"/>
      <c r="DQ183" s="17"/>
      <c r="DR183" s="17"/>
      <c r="DS183" s="17"/>
      <c r="DT183" s="17"/>
      <c r="DU183" s="17"/>
      <c r="DV183" s="17"/>
      <c r="DW183" s="17"/>
      <c r="DX183" s="17"/>
      <c r="DY183" s="17"/>
      <c r="DZ183" s="17"/>
      <c r="EA183" s="17"/>
      <c r="EB183" s="17"/>
      <c r="EC183" s="17"/>
      <c r="ED183" s="17"/>
      <c r="EE183" s="17"/>
      <c r="EF183" s="17"/>
      <c r="EG183" s="17"/>
      <c r="EH183" s="17"/>
      <c r="EI183" s="17"/>
      <c r="EJ183" s="17"/>
      <c r="EK183" s="17"/>
      <c r="EL183" s="17"/>
      <c r="EM183" s="17"/>
      <c r="EN183" s="17"/>
      <c r="EO183" s="17"/>
      <c r="EP183" s="17"/>
      <c r="EQ183" s="17"/>
      <c r="ER183" s="17"/>
      <c r="ES183" s="17"/>
      <c r="ET183" s="17"/>
      <c r="EU183" s="17"/>
      <c r="EV183" s="17"/>
      <c r="EW183" s="17"/>
      <c r="EX183" s="17"/>
      <c r="EY183" s="17"/>
      <c r="EZ183" s="17"/>
      <c r="FA183" s="17"/>
      <c r="FB183" s="17"/>
      <c r="FC183" s="17"/>
      <c r="FD183" s="17"/>
      <c r="FE183" s="17"/>
      <c r="FF183" s="17"/>
      <c r="FG183" s="17"/>
      <c r="FH183" s="17"/>
    </row>
    <row r="184">
      <c r="A184" s="32" t="s">
        <v>7</v>
      </c>
      <c r="B184" s="32" t="s">
        <v>41</v>
      </c>
      <c r="C184" s="32" t="s">
        <v>13</v>
      </c>
      <c r="D184" s="16">
        <f t="shared" si="1"/>
        <v>1541.5609</v>
      </c>
      <c r="E184" s="17"/>
      <c r="F184" s="18" t="str">
        <f>HYPERLINK("https://docs.google.com/spreadsheets/d/13-CBxIy2AuDvtYkF0iuGClRc9JlChDkd?usp=share_link", "RE-515.514")</f>
        <v>RE-515.514</v>
      </c>
      <c r="G184" s="18" t="str">
        <f>HYPERLINK("https://docs.google.com/spreadsheets/d/1HsrGmm9rh3ljrPazSvUPzBoFDhJP3omQ?usp=share_link", "RE-2.80253")</f>
        <v>RE-2.80253</v>
      </c>
      <c r="H184" s="18" t="str">
        <f>HYPERLINK("https://docs.google.com/spreadsheets/d/167ut3MzXuCxTGpM_9qXzRzEc7R70AGUN?usp=share_link", "RE-81.4431")</f>
        <v>RE-81.4431</v>
      </c>
      <c r="I184" s="17"/>
      <c r="J184" s="18" t="str">
        <f>HYPERLINK("https://docs.google.com/spreadsheets/d/10my1N9tuKNRdp9oUl6gQbTN-gl7YtapB?usp=share_link", "RE-1182.85")</f>
        <v>RE-1182.85</v>
      </c>
      <c r="K184" s="18" t="str">
        <f>HYPERLINK("https://docs.google.com/spreadsheets/d/1vI43k4hjmVZnLN-nF7US7doFjqi2ejMv?usp=share_link", "RE-2.21025")</f>
        <v>RE-2.21025</v>
      </c>
      <c r="L184" s="18">
        <f>HYPERLINK("https://docs.google.com/spreadsheets/d/15cjVoSAqs71kDwOJwOXaY6TX0aIjoASY?usp=share_link", 473.233)</f>
        <v>473.233</v>
      </c>
      <c r="M184" s="18" t="str">
        <f>HYPERLINK("https://docs.google.com/spreadsheets/d/11APayr8SwNPtt3y-JE9154lY2XmuKRHv?usp=share_link", "RE-1.75647")</f>
        <v>RE-1.75647</v>
      </c>
      <c r="N184" s="18" t="str">
        <f>HYPERLINK("https://docs.google.com/spreadsheets/d/1Y4vKbBYi9SYZG6ewIxeZ_voWy5NstXec?usp=share_link", "RE-1360.79")</f>
        <v>RE-1360.79</v>
      </c>
      <c r="O184" s="18" t="str">
        <f>HYPERLINK("https://docs.google.com/spreadsheets/d/1CgQXxlCo3JLoqjGHR1iGGo0tCgzPeAWL?usp=share_link", "RE-13.0514")</f>
        <v>RE-13.0514</v>
      </c>
      <c r="P184" s="18">
        <f>HYPERLINK("https://docs.google.com/spreadsheets/d/1TVUPast6I0CYrzwQKk-acSv0EfER9IJF?usp=share_link", 276.437)</f>
        <v>276.437</v>
      </c>
      <c r="Q184" s="18" t="str">
        <f>HYPERLINK("https://docs.google.com/spreadsheets/d/1I3QTh-4m4OL9wo727vqYpMGA8l4nAv8C?usp=share_link", "RE-23.0271")</f>
        <v>RE-23.0271</v>
      </c>
      <c r="R184" s="18">
        <f>HYPERLINK("https://docs.google.com/spreadsheets/d/1GFefyjIQphrB9B9w0_D6_-apZ5IYNPj3?usp=share_link", 79.9629)</f>
        <v>79.9629</v>
      </c>
      <c r="S184" s="18" t="str">
        <f>HYPERLINK("https://docs.google.com/spreadsheets/d/1Mn_h-IdA9TKjR5JG5fAy_gENJp5_ui-f?usp=share_link", "RE-13.9097")</f>
        <v>RE-13.9097</v>
      </c>
      <c r="T184" s="18">
        <f>HYPERLINK("https://docs.google.com/spreadsheets/d/1LtzCjd3olpEI2D0TbzZnof2E_0p6W8Mz?usp=share_link", 711.928)</f>
        <v>711.928</v>
      </c>
      <c r="U184" s="18" t="str">
        <f>HYPERLINK("https://docs.google.com/spreadsheets/d/1zR-znuM5OOkP1sGC8wEuR_tWhtQGdQ_l?usp=share_link", "RE-43.0287")</f>
        <v>RE-43.0287</v>
      </c>
      <c r="V184" s="18" t="str">
        <f>HYPERLINK("https://docs.google.com/spreadsheets/d/1jts9XbOCFVJ2Y8Kq7kwgxjEeziDZgEvB?usp=share_link", "RE-3.65002")</f>
        <v>RE-3.65002</v>
      </c>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c r="DN184" s="17"/>
      <c r="DO184" s="17"/>
      <c r="DP184" s="17"/>
      <c r="DQ184" s="17"/>
      <c r="DR184" s="17"/>
      <c r="DS184" s="17"/>
      <c r="DT184" s="17"/>
      <c r="DU184" s="17"/>
      <c r="DV184" s="17"/>
      <c r="DW184" s="17"/>
      <c r="DX184" s="17"/>
      <c r="DY184" s="17"/>
      <c r="DZ184" s="17"/>
      <c r="EA184" s="17"/>
      <c r="EB184" s="17"/>
      <c r="EC184" s="17"/>
      <c r="ED184" s="17"/>
      <c r="EE184" s="17"/>
      <c r="EF184" s="17"/>
      <c r="EG184" s="17"/>
      <c r="EH184" s="17"/>
      <c r="EI184" s="17"/>
      <c r="EJ184" s="17"/>
      <c r="EK184" s="17"/>
      <c r="EL184" s="17"/>
      <c r="EM184" s="17"/>
      <c r="EN184" s="17"/>
      <c r="EO184" s="17"/>
      <c r="EP184" s="17"/>
      <c r="EQ184" s="17"/>
      <c r="ER184" s="17"/>
      <c r="ES184" s="17"/>
      <c r="ET184" s="17"/>
      <c r="EU184" s="17"/>
      <c r="EV184" s="17"/>
      <c r="EW184" s="17"/>
      <c r="EX184" s="17"/>
      <c r="EY184" s="17"/>
      <c r="EZ184" s="17"/>
      <c r="FA184" s="17"/>
      <c r="FB184" s="17"/>
      <c r="FC184" s="17"/>
      <c r="FD184" s="17"/>
      <c r="FE184" s="17"/>
      <c r="FF184" s="17"/>
      <c r="FG184" s="17"/>
      <c r="FH184" s="17"/>
    </row>
    <row r="185">
      <c r="A185" s="32" t="s">
        <v>7</v>
      </c>
      <c r="B185" s="32" t="s">
        <v>41</v>
      </c>
      <c r="C185" s="32" t="s">
        <v>14</v>
      </c>
      <c r="D185" s="16">
        <f t="shared" si="1"/>
        <v>1307.1706</v>
      </c>
      <c r="E185" s="17"/>
      <c r="F185" s="18" t="str">
        <f>HYPERLINK("https://docs.google.com/spreadsheets/d/1j79RohXDkCJN1PJnDLkGw_0GCFDKj3r7?usp=share_link", "RE-470.926")</f>
        <v>RE-470.926</v>
      </c>
      <c r="G185" s="18" t="str">
        <f>HYPERLINK("https://docs.google.com/spreadsheets/d/1WsKFamna-pn9hPuA_ZhU4WnYUKHFxa-H?usp=share_link", "RE-2.80253")</f>
        <v>RE-2.80253</v>
      </c>
      <c r="H185" s="18" t="str">
        <f>HYPERLINK("https://docs.google.com/spreadsheets/d/15plMZ7iewuycvm7_kshSBdbq1CR3z2xR?usp=share_link", "RE-74.1686")</f>
        <v>RE-74.1686</v>
      </c>
      <c r="I185" s="17"/>
      <c r="J185" s="18" t="str">
        <f>HYPERLINK("https://docs.google.com/spreadsheets/d/17xC7pvWwPZ1TzhjhOC1Slgoa6rSvNBOj?usp=share_link", "RE-1080.3")</f>
        <v>RE-1080.3</v>
      </c>
      <c r="K185" s="18" t="str">
        <f>HYPERLINK("https://docs.google.com/spreadsheets/d/1gUlR-cnJMtzPiCIRfj-PZDQActmVOwSg?usp=share_link", "RE-2.06798")</f>
        <v>RE-2.06798</v>
      </c>
      <c r="L185" s="18">
        <f>HYPERLINK("https://docs.google.com/spreadsheets/d/1ltA4PDaZibFl05zcItjtLig-5RyUXTk7?usp=share_link", 405.96)</f>
        <v>405.96</v>
      </c>
      <c r="M185" s="18" t="str">
        <f>HYPERLINK("https://docs.google.com/spreadsheets/d/1TJ_rGYs189KLccgCdAfGhYLLuoBnZHRB?usp=share_link", "RE-1.75647")</f>
        <v>RE-1.75647</v>
      </c>
      <c r="N185" s="18" t="str">
        <f>HYPERLINK("https://docs.google.com/spreadsheets/d/1hn_etZ3il3z3LQAqg4vVi68p8aGojPtl?usp=share_link", "RE-1190.42")</f>
        <v>RE-1190.42</v>
      </c>
      <c r="O185" s="18" t="str">
        <f>HYPERLINK("https://docs.google.com/spreadsheets/d/1mdQ7GyMxe6q585_SVJIWyMc2SXohm6rs?usp=share_link", "RE-11.7607")</f>
        <v>RE-11.7607</v>
      </c>
      <c r="P185" s="18">
        <f>HYPERLINK("https://docs.google.com/spreadsheets/d/1EcvPey6fx4vM4X6bCiGlJBBjDXW3jNEN?usp=share_link", 224.392)</f>
        <v>224.392</v>
      </c>
      <c r="Q185" s="18" t="str">
        <f>HYPERLINK("https://docs.google.com/spreadsheets/d/1Qqs3Hzj_K-vXl6671qO_2tojvW5isLRE?usp=share_link", "RE-18.5898")</f>
        <v>RE-18.5898</v>
      </c>
      <c r="R185" s="18">
        <f>HYPERLINK("https://docs.google.com/spreadsheets/d/1rksKOQyqCiiCNoncB7Tj0tgMooCGLlTw?usp=share_link", 67.8356)</f>
        <v>67.8356</v>
      </c>
      <c r="S185" s="18" t="str">
        <f>HYPERLINK("https://docs.google.com/spreadsheets/d/11Y7chtKkAxBi4MwS0-GEM7sN11dx0dsE?usp=share_link", "RE-12.5027")</f>
        <v>RE-12.5027</v>
      </c>
      <c r="T185" s="18">
        <f>HYPERLINK("https://docs.google.com/spreadsheets/d/13MeJCayEKCkiopwWvpSwh8G3pP224fnN?usp=share_link", 608.983)</f>
        <v>608.983</v>
      </c>
      <c r="U185" s="18" t="str">
        <f>HYPERLINK("https://docs.google.com/spreadsheets/d/1e33ls_Tcab6Zwnmy7nJfAnW7exXamHgS?usp=share_link", "RE-37.0176")</f>
        <v>RE-37.0176</v>
      </c>
      <c r="V185" s="18" t="str">
        <f>HYPERLINK("https://docs.google.com/spreadsheets/d/15c4tNhmCSw_rj4ql41MLr9--y2X7_nno?usp=share_link", "RE-3.19912")</f>
        <v>RE-3.19912</v>
      </c>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c r="DN185" s="17"/>
      <c r="DO185" s="17"/>
      <c r="DP185" s="17"/>
      <c r="DQ185" s="17"/>
      <c r="DR185" s="17"/>
      <c r="DS185" s="17"/>
      <c r="DT185" s="17"/>
      <c r="DU185" s="17"/>
      <c r="DV185" s="17"/>
      <c r="DW185" s="17"/>
      <c r="DX185" s="17"/>
      <c r="DY185" s="17"/>
      <c r="DZ185" s="17"/>
      <c r="EA185" s="17"/>
      <c r="EB185" s="17"/>
      <c r="EC185" s="17"/>
      <c r="ED185" s="17"/>
      <c r="EE185" s="17"/>
      <c r="EF185" s="17"/>
      <c r="EG185" s="17"/>
      <c r="EH185" s="17"/>
      <c r="EI185" s="17"/>
      <c r="EJ185" s="17"/>
      <c r="EK185" s="17"/>
      <c r="EL185" s="17"/>
      <c r="EM185" s="17"/>
      <c r="EN185" s="17"/>
      <c r="EO185" s="17"/>
      <c r="EP185" s="17"/>
      <c r="EQ185" s="17"/>
      <c r="ER185" s="17"/>
      <c r="ES185" s="17"/>
      <c r="ET185" s="17"/>
      <c r="EU185" s="17"/>
      <c r="EV185" s="17"/>
      <c r="EW185" s="17"/>
      <c r="EX185" s="17"/>
      <c r="EY185" s="17"/>
      <c r="EZ185" s="17"/>
      <c r="FA185" s="17"/>
      <c r="FB185" s="17"/>
      <c r="FC185" s="17"/>
      <c r="FD185" s="17"/>
      <c r="FE185" s="17"/>
      <c r="FF185" s="17"/>
      <c r="FG185" s="17"/>
      <c r="FH185" s="17"/>
    </row>
    <row r="186">
      <c r="A186" s="27" t="s">
        <v>7</v>
      </c>
      <c r="B186" s="27" t="s">
        <v>41</v>
      </c>
      <c r="C186" s="27" t="s">
        <v>15</v>
      </c>
      <c r="D186" s="28">
        <f t="shared" si="1"/>
        <v>1541.4069</v>
      </c>
      <c r="E186" s="33"/>
      <c r="F186" s="34" t="str">
        <f>HYPERLINK("https://docs.google.com/spreadsheets/d/1fU3tR-PNf3viHyHzNJ450iCky8y69_NK?usp=share_link", "RE-515.514")</f>
        <v>RE-515.514</v>
      </c>
      <c r="G186" s="34" t="str">
        <f>HYPERLINK("https://docs.google.com/spreadsheets/d/1hqJmSinLt3aH_-rw3Kou0qkRYJvSakgM?usp=share_link", "RE-2.80253")</f>
        <v>RE-2.80253</v>
      </c>
      <c r="H186" s="34" t="str">
        <f>HYPERLINK("https://docs.google.com/spreadsheets/d/1RKdKPKbIdgz9RGDVKhaFQpl05Lhfq6AJ?usp=share_link", "RE-81.4431")</f>
        <v>RE-81.4431</v>
      </c>
      <c r="I186" s="33"/>
      <c r="J186" s="34" t="str">
        <f>HYPERLINK("https://docs.google.com/spreadsheets/d/1BYhDLDAaB3kp0y6ZS9_9jBsyf6sF6E26?usp=share_link", "RE-1182.85")</f>
        <v>RE-1182.85</v>
      </c>
      <c r="K186" s="34" t="str">
        <f>HYPERLINK("https://docs.google.com/spreadsheets/d/1KhKDj0RaNZ9saLv2GqDEEFV154OcpQqg?usp=share_link", "RE-2.21025")</f>
        <v>RE-2.21025</v>
      </c>
      <c r="L186" s="34">
        <f>HYPERLINK("https://docs.google.com/spreadsheets/d/1gFiNJ_mFqEzDdMx1pdCf-XO0Cc7kZaDb?usp=share_link", 473.233)</f>
        <v>473.233</v>
      </c>
      <c r="M186" s="34" t="str">
        <f>HYPERLINK("https://docs.google.com/spreadsheets/d/1sE825LQdvcrjgfZTyrujdF7I9Qe45oKf?usp=share_link", "RE-1.75647")</f>
        <v>RE-1.75647</v>
      </c>
      <c r="N186" s="34" t="str">
        <f>HYPERLINK("https://docs.google.com/spreadsheets/d/1TB8UAwJuslY3Cpcf8YsPbNXgRY6_BVxt?usp=share_link", "RE-1360.79")</f>
        <v>RE-1360.79</v>
      </c>
      <c r="O186" s="34" t="str">
        <f>HYPERLINK("https://docs.google.com/spreadsheets/d/1ghIiOotfUgKbuPoWsX7LflloasodVYcv?usp=share_link", "RE-13.0514")</f>
        <v>RE-13.0514</v>
      </c>
      <c r="P186" s="34">
        <f>HYPERLINK("https://docs.google.com/spreadsheets/d/1M-G_vlW3oF-YSB7qzkCyPgqkhWSv0IQj?usp=share_link", 276.437)</f>
        <v>276.437</v>
      </c>
      <c r="Q186" s="34" t="str">
        <f>HYPERLINK("https://docs.google.com/spreadsheets/d/1fh8d_j7R0QIwag1ZQd5aD0SlKkBjUAXU?usp=share_link", "RE-23.0271")</f>
        <v>RE-23.0271</v>
      </c>
      <c r="R186" s="34">
        <f>HYPERLINK("https://docs.google.com/spreadsheets/d/136pxFSlyq5XUP7a5H89WbnxKVypbvk9s?usp=share_link", 79.9629)</f>
        <v>79.9629</v>
      </c>
      <c r="S186" s="34" t="str">
        <f>HYPERLINK("https://docs.google.com/spreadsheets/d/1giv1Qv6JxO0oFiZLECpRzfAm1V7sZNVI?usp=share_link", "RE-13.9097")</f>
        <v>RE-13.9097</v>
      </c>
      <c r="T186" s="34">
        <f>HYPERLINK("https://docs.google.com/spreadsheets/d/1MpL9GxIv2jgzQvGR_M-8AgqQkY5YmHj8?usp=share_link", 711.774)</f>
        <v>711.774</v>
      </c>
      <c r="U186" s="34" t="str">
        <f>HYPERLINK("https://docs.google.com/spreadsheets/d/1ipsFxNDq_NFZHswwR0cKVvtazPgoPiTM?usp=share_link", "RE-43.0287")</f>
        <v>RE-43.0287</v>
      </c>
      <c r="V186" s="34" t="str">
        <f>HYPERLINK("https://docs.google.com/spreadsheets/d/1bon0Un-CukHU_5gCR-8FAcfHulOBIVPM?usp=share_link", "RE-3.65002")</f>
        <v>RE-3.65002</v>
      </c>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c r="CB186" s="33"/>
      <c r="CC186" s="33"/>
      <c r="CD186" s="33"/>
      <c r="CE186" s="33"/>
      <c r="CF186" s="33"/>
      <c r="CG186" s="33"/>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33"/>
      <c r="EP186" s="33"/>
      <c r="EQ186" s="33"/>
      <c r="ER186" s="33"/>
      <c r="ES186" s="33"/>
      <c r="ET186" s="33"/>
      <c r="EU186" s="33"/>
      <c r="EV186" s="33"/>
      <c r="EW186" s="33"/>
      <c r="EX186" s="33"/>
      <c r="EY186" s="33"/>
      <c r="EZ186" s="33"/>
      <c r="FA186" s="33"/>
      <c r="FB186" s="33"/>
      <c r="FC186" s="33"/>
      <c r="FD186" s="33"/>
      <c r="FE186" s="33"/>
      <c r="FF186" s="33"/>
      <c r="FG186" s="33"/>
      <c r="FH186" s="33"/>
    </row>
    <row r="187">
      <c r="A187" s="30" t="s">
        <v>35</v>
      </c>
      <c r="B187" s="30" t="s">
        <v>42</v>
      </c>
      <c r="C187" s="31" t="str">
        <f>HYPERLINK("https://docs.google.com/spreadsheets/d/1uTNEXvHwOy_j7sEiz0Q0JPBLth9gv-d8/edit?usp=share_link&amp;ouid=106501987799020758802&amp;rtpof=true&amp;sd=true", "Raw Delivered")</f>
        <v>Raw Delivered</v>
      </c>
      <c r="D187" s="12">
        <f t="shared" si="1"/>
        <v>6245.832404</v>
      </c>
      <c r="E187" s="13"/>
      <c r="F187" s="14">
        <f>HYPERLINK("https://docs.google.com/spreadsheets/d/1Rl_JxfgGi3NiJ3tNhQBIpxfmoH3jeTTR", 1092.91696770833)</f>
        <v>1092.916968</v>
      </c>
      <c r="G187" s="13"/>
      <c r="H187" s="14">
        <f>HYPERLINK("https://docs.google.com/spreadsheets/d/1S2DOA33DHBkbcFtp8Z4V6zgUu7Lsw8Sc", 144.375075)</f>
        <v>144.375075</v>
      </c>
      <c r="I187" s="13"/>
      <c r="J187" s="14">
        <f>HYPERLINK("https://docs.google.com/spreadsheets/d/1u5LdLO865xzXPlXCY3l42ZOShhkg4vXr", 1565.75037708333)</f>
        <v>1565.750377</v>
      </c>
      <c r="K187" s="13"/>
      <c r="L187" s="14">
        <f t="shared" ref="L187:L188" si="94">HYPERLINK("https://docs.google.com/spreadsheets/d/1Q2kvoYziA8oON_o9o_QcMSRaAzJG9AnX", 1004.52648333333)</f>
        <v>1004.526483</v>
      </c>
      <c r="M187" s="13"/>
      <c r="N187" s="14">
        <f>HYPERLINK("https://docs.google.com/spreadsheets/d/1Tx2vrD9K4Nz3t6DhGVDHpYtVozfLgYd7", 635.189952083333)</f>
        <v>635.1899521</v>
      </c>
      <c r="O187" s="13"/>
      <c r="P187" s="14">
        <f t="shared" ref="P187:P188" si="95">HYPERLINK("https://docs.google.com/spreadsheets/d/1sdgEV6isjDFACM6Pvj_htjUdsfmw1TXo", 722.202)</f>
        <v>722.202</v>
      </c>
      <c r="Q187" s="13"/>
      <c r="R187" s="14">
        <f t="shared" ref="R187:R188" si="96">HYPERLINK("https://docs.google.com/spreadsheets/d/10L8vBQD65cgpK3C-saex6UZQYDVmWN9x", 44.2560510416666)</f>
        <v>44.25605104</v>
      </c>
      <c r="S187" s="13"/>
      <c r="T187" s="14">
        <f t="shared" ref="T187:T188" si="97">HYPERLINK("https://docs.google.com/spreadsheets/d/1IVMOS2vG1bSWyN7tRK9hFrWI-G3AJuD3", 1036.61549791666)</f>
        <v>1036.615498</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row>
    <row r="188">
      <c r="A188" s="32" t="s">
        <v>35</v>
      </c>
      <c r="B188" s="32" t="s">
        <v>42</v>
      </c>
      <c r="C188" s="32" t="s">
        <v>9</v>
      </c>
      <c r="D188" s="16">
        <f t="shared" si="1"/>
        <v>2807.600032</v>
      </c>
      <c r="E188" s="17"/>
      <c r="F188" s="18" t="str">
        <f>HYPERLINK("https://docs.google.com/spreadsheets/d/1Rl_JxfgGi3NiJ3tNhQBIpxfmoH3jeTTR", "RE-1092.9169677083328")</f>
        <v>RE-1092.9169677083328</v>
      </c>
      <c r="G188" s="17"/>
      <c r="H188" s="18" t="str">
        <f>HYPERLINK("https://docs.google.com/spreadsheets/d/1S2DOA33DHBkbcFtp8Z4V6zgUu7Lsw8Sc", "RE-144.3750750000001")</f>
        <v>RE-144.3750750000001</v>
      </c>
      <c r="I188" s="17"/>
      <c r="J188" s="18" t="str">
        <f>HYPERLINK("https://docs.google.com/spreadsheets/d/1u5LdLO865xzXPlXCY3l42ZOShhkg4vXr", "RE-1565.7503770833357")</f>
        <v>RE-1565.7503770833357</v>
      </c>
      <c r="K188" s="17"/>
      <c r="L188" s="18">
        <f t="shared" si="94"/>
        <v>1004.526483</v>
      </c>
      <c r="M188" s="17"/>
      <c r="N188" s="18" t="str">
        <f>HYPERLINK("https://docs.google.com/spreadsheets/d/1Tx2vrD9K4Nz3t6DhGVDHpYtVozfLgYd7", "RE-635.1899520833333")</f>
        <v>RE-635.1899520833333</v>
      </c>
      <c r="O188" s="17"/>
      <c r="P188" s="18">
        <f t="shared" si="95"/>
        <v>722.202</v>
      </c>
      <c r="Q188" s="17"/>
      <c r="R188" s="18">
        <f t="shared" si="96"/>
        <v>44.25605104</v>
      </c>
      <c r="S188" s="17"/>
      <c r="T188" s="18">
        <f t="shared" si="97"/>
        <v>1036.615498</v>
      </c>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c r="DN188" s="17"/>
      <c r="DO188" s="17"/>
      <c r="DP188" s="17"/>
      <c r="DQ188" s="17"/>
      <c r="DR188" s="17"/>
      <c r="DS188" s="17"/>
      <c r="DT188" s="17"/>
      <c r="DU188" s="17"/>
      <c r="DV188" s="17"/>
      <c r="DW188" s="17"/>
      <c r="DX188" s="17"/>
      <c r="DY188" s="17"/>
      <c r="DZ188" s="17"/>
      <c r="EA188" s="17"/>
      <c r="EB188" s="17"/>
      <c r="EC188" s="17"/>
      <c r="ED188" s="17"/>
      <c r="EE188" s="17"/>
      <c r="EF188" s="17"/>
      <c r="EG188" s="17"/>
      <c r="EH188" s="17"/>
      <c r="EI188" s="17"/>
      <c r="EJ188" s="17"/>
      <c r="EK188" s="17"/>
      <c r="EL188" s="17"/>
      <c r="EM188" s="17"/>
      <c r="EN188" s="17"/>
      <c r="EO188" s="17"/>
      <c r="EP188" s="17"/>
      <c r="EQ188" s="17"/>
      <c r="ER188" s="17"/>
      <c r="ES188" s="17"/>
      <c r="ET188" s="17"/>
      <c r="EU188" s="17"/>
      <c r="EV188" s="17"/>
      <c r="EW188" s="17"/>
      <c r="EX188" s="17"/>
      <c r="EY188" s="17"/>
      <c r="EZ188" s="17"/>
      <c r="FA188" s="17"/>
      <c r="FB188" s="17"/>
      <c r="FC188" s="17"/>
      <c r="FD188" s="17"/>
      <c r="FE188" s="17"/>
      <c r="FF188" s="17"/>
      <c r="FG188" s="17"/>
      <c r="FH188" s="17"/>
    </row>
    <row r="189">
      <c r="A189" s="32" t="s">
        <v>35</v>
      </c>
      <c r="B189" s="32" t="s">
        <v>42</v>
      </c>
      <c r="C189" s="32" t="s">
        <v>10</v>
      </c>
      <c r="D189" s="16">
        <f t="shared" si="1"/>
        <v>422.3697271</v>
      </c>
      <c r="E189" s="17"/>
      <c r="F189" s="17"/>
      <c r="G189" s="18">
        <f>HYPERLINK("https://docs.google.com/spreadsheets/d/1ug3te2HpBVfCfo8CpUpmhgwn_6uMomkd", 109.512095833333)</f>
        <v>109.5120958</v>
      </c>
      <c r="H189" s="17"/>
      <c r="I189" s="18">
        <f>HYPERLINK("https://docs.google.com/spreadsheets/d/1kMAJyeXkct0TIiS8vzTy1q8qVFWV2JtE", 12.3595729166666)</f>
        <v>12.35957292</v>
      </c>
      <c r="J189" s="17"/>
      <c r="K189" s="18">
        <f>HYPERLINK("https://docs.google.com/spreadsheets/d/1Ko8iPwxkllbwCR9VfW0k2vtRBpK2sdww", 76.5335083333333)</f>
        <v>76.53350833</v>
      </c>
      <c r="L189" s="17"/>
      <c r="M189" s="18">
        <f>HYPERLINK("https://docs.google.com/spreadsheets/d/1WtLroYw5lR-Fzcrml3yhDHZd8_tr8awU", 48.62545625)</f>
        <v>48.62545625</v>
      </c>
      <c r="N189" s="17"/>
      <c r="O189" s="18">
        <f>HYPERLINK("https://docs.google.com/spreadsheets/d/1gOJ9qfxBlPgqmXCI5bBGXGG2Nui-nBro", 41.682890625)</f>
        <v>41.68289063</v>
      </c>
      <c r="P189" s="17"/>
      <c r="Q189" s="18">
        <f>HYPERLINK("https://docs.google.com/spreadsheets/d/1VWiL5SL7k5XNyMzq6wROtg67RQDFIHhP", 44.5346322916666)</f>
        <v>44.53463229</v>
      </c>
      <c r="R189" s="17"/>
      <c r="S189" s="18">
        <f>HYPERLINK("https://docs.google.com/spreadsheets/d/1R8zzZEP38Fi2960Cr8Ui7KIPFWsP0bnH", 0.351977083333333)</f>
        <v>0.3519770833</v>
      </c>
      <c r="T189" s="17"/>
      <c r="U189" s="18">
        <f>HYPERLINK("https://docs.google.com/spreadsheets/d/1smEH6FIBb1qKlhpYxM-sX-0ZOIgHlavk", 75.6841333333333)</f>
        <v>75.68413333</v>
      </c>
      <c r="V189" s="18">
        <f>HYPERLINK("https://docs.google.com/spreadsheets/d/177tLg3oCAp5YCEJWbl0YRebuFm9eeMyI", 13.0854604166666)</f>
        <v>13.08546042</v>
      </c>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c r="DN189" s="17"/>
      <c r="DO189" s="17"/>
      <c r="DP189" s="17"/>
      <c r="DQ189" s="17"/>
      <c r="DR189" s="17"/>
      <c r="DS189" s="17"/>
      <c r="DT189" s="17"/>
      <c r="DU189" s="17"/>
      <c r="DV189" s="17"/>
      <c r="DW189" s="17"/>
      <c r="DX189" s="17"/>
      <c r="DY189" s="17"/>
      <c r="DZ189" s="17"/>
      <c r="EA189" s="17"/>
      <c r="EB189" s="17"/>
      <c r="EC189" s="17"/>
      <c r="ED189" s="17"/>
      <c r="EE189" s="17"/>
      <c r="EF189" s="17"/>
      <c r="EG189" s="17"/>
      <c r="EH189" s="17"/>
      <c r="EI189" s="17"/>
      <c r="EJ189" s="17"/>
      <c r="EK189" s="17"/>
      <c r="EL189" s="17"/>
      <c r="EM189" s="17"/>
      <c r="EN189" s="17"/>
      <c r="EO189" s="17"/>
      <c r="EP189" s="17"/>
      <c r="EQ189" s="17"/>
      <c r="ER189" s="17"/>
      <c r="ES189" s="17"/>
      <c r="ET189" s="17"/>
      <c r="EU189" s="17"/>
      <c r="EV189" s="17"/>
      <c r="EW189" s="17"/>
      <c r="EX189" s="17"/>
      <c r="EY189" s="17"/>
      <c r="EZ189" s="17"/>
      <c r="FA189" s="17"/>
      <c r="FB189" s="17"/>
      <c r="FC189" s="17"/>
      <c r="FD189" s="17"/>
      <c r="FE189" s="17"/>
      <c r="FF189" s="17"/>
      <c r="FG189" s="17"/>
      <c r="FH189" s="17"/>
    </row>
    <row r="190">
      <c r="A190" s="32" t="s">
        <v>35</v>
      </c>
      <c r="B190" s="32" t="s">
        <v>42</v>
      </c>
      <c r="C190" s="32" t="s">
        <v>11</v>
      </c>
      <c r="D190" s="16">
        <f t="shared" si="1"/>
        <v>0</v>
      </c>
      <c r="E190" s="17"/>
      <c r="F190" s="17"/>
      <c r="G190" s="18" t="str">
        <f>HYPERLINK("https://docs.google.com/spreadsheets/d/1ug3te2HpBVfCfo8CpUpmhgwn_6uMomkd", "RE-109.5120958333334")</f>
        <v>RE-109.5120958333334</v>
      </c>
      <c r="H190" s="17"/>
      <c r="I190" s="18" t="str">
        <f>HYPERLINK("https://docs.google.com/spreadsheets/d/1kMAJyeXkct0TIiS8vzTy1q8qVFWV2JtE", "RE-12.359572916666666")</f>
        <v>RE-12.359572916666666</v>
      </c>
      <c r="J190" s="17"/>
      <c r="K190" s="18" t="str">
        <f>HYPERLINK("https://docs.google.com/spreadsheets/d/1Ko8iPwxkllbwCR9VfW0k2vtRBpK2sdww", "RE-76.53350833333333")</f>
        <v>RE-76.53350833333333</v>
      </c>
      <c r="L190" s="17"/>
      <c r="M190" s="18" t="str">
        <f>HYPERLINK("https://docs.google.com/spreadsheets/d/1WtLroYw5lR-Fzcrml3yhDHZd8_tr8awU", "RE-48.625456250000006")</f>
        <v>RE-48.625456250000006</v>
      </c>
      <c r="N190" s="17"/>
      <c r="O190" s="18" t="str">
        <f>HYPERLINK("https://docs.google.com/spreadsheets/d/1gOJ9qfxBlPgqmXCI5bBGXGG2Nui-nBro", "RE-41.682890625000006")</f>
        <v>RE-41.682890625000006</v>
      </c>
      <c r="P190" s="17"/>
      <c r="Q190" s="18" t="str">
        <f>HYPERLINK("https://docs.google.com/spreadsheets/d/1VWiL5SL7k5XNyMzq6wROtg67RQDFIHhP", "RE-44.534632291666675")</f>
        <v>RE-44.534632291666675</v>
      </c>
      <c r="R190" s="17"/>
      <c r="S190" s="18" t="str">
        <f>HYPERLINK("https://docs.google.com/spreadsheets/d/1R8zzZEP38Fi2960Cr8Ui7KIPFWsP0bnH", "RE-0.3519770833333334")</f>
        <v>RE-0.3519770833333334</v>
      </c>
      <c r="T190" s="17"/>
      <c r="U190" s="18" t="str">
        <f>HYPERLINK("https://docs.google.com/spreadsheets/d/1smEH6FIBb1qKlhpYxM-sX-0ZOIgHlavk", "RE-75.68413333333338")</f>
        <v>RE-75.68413333333338</v>
      </c>
      <c r="V190" s="18" t="str">
        <f>HYPERLINK("https://docs.google.com/spreadsheets/d/177tLg3oCAp5YCEJWbl0YRebuFm9eeMyI", "RE-13.085460416666669")</f>
        <v>RE-13.085460416666669</v>
      </c>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c r="DN190" s="17"/>
      <c r="DO190" s="17"/>
      <c r="DP190" s="17"/>
      <c r="DQ190" s="17"/>
      <c r="DR190" s="17"/>
      <c r="DS190" s="17"/>
      <c r="DT190" s="17"/>
      <c r="DU190" s="17"/>
      <c r="DV190" s="17"/>
      <c r="DW190" s="17"/>
      <c r="DX190" s="17"/>
      <c r="DY190" s="17"/>
      <c r="DZ190" s="17"/>
      <c r="EA190" s="17"/>
      <c r="EB190" s="17"/>
      <c r="EC190" s="17"/>
      <c r="ED190" s="17"/>
      <c r="EE190" s="17"/>
      <c r="EF190" s="17"/>
      <c r="EG190" s="17"/>
      <c r="EH190" s="17"/>
      <c r="EI190" s="17"/>
      <c r="EJ190" s="17"/>
      <c r="EK190" s="17"/>
      <c r="EL190" s="17"/>
      <c r="EM190" s="17"/>
      <c r="EN190" s="17"/>
      <c r="EO190" s="17"/>
      <c r="EP190" s="17"/>
      <c r="EQ190" s="17"/>
      <c r="ER190" s="17"/>
      <c r="ES190" s="17"/>
      <c r="ET190" s="17"/>
      <c r="EU190" s="17"/>
      <c r="EV190" s="17"/>
      <c r="EW190" s="17"/>
      <c r="EX190" s="17"/>
      <c r="EY190" s="17"/>
      <c r="EZ190" s="17"/>
      <c r="FA190" s="17"/>
      <c r="FB190" s="17"/>
      <c r="FC190" s="17"/>
      <c r="FD190" s="17"/>
      <c r="FE190" s="17"/>
      <c r="FF190" s="17"/>
      <c r="FG190" s="17"/>
      <c r="FH190" s="17"/>
    </row>
    <row r="191">
      <c r="A191" s="32" t="s">
        <v>35</v>
      </c>
      <c r="B191" s="32" t="s">
        <v>42</v>
      </c>
      <c r="C191" s="32" t="s">
        <v>12</v>
      </c>
      <c r="D191" s="16">
        <f t="shared" si="1"/>
        <v>2608.031911</v>
      </c>
      <c r="E191" s="17"/>
      <c r="F191" s="18" t="str">
        <f>HYPERLINK("https://docs.google.com/spreadsheets/d/1zeLOcXHsHAeOUIQpZWB9h5OZ_9njsnL5", "RE-853.8422343750007")</f>
        <v>RE-853.8422343750007</v>
      </c>
      <c r="G191" s="18" t="str">
        <f>HYPERLINK("https://docs.google.com/spreadsheets/d/1rEc6Gr6w5W-dU-8TMhzGr7x06FozySh2", "RE-6.51606875")</f>
        <v>RE-6.51606875</v>
      </c>
      <c r="H191" s="18" t="str">
        <f>HYPERLINK("https://docs.google.com/spreadsheets/d/15SsanQ3W1er9qeXsQ8ggzRY2O-4aeiJg", "RE-126.30203125")</f>
        <v>RE-126.30203125</v>
      </c>
      <c r="I191" s="18" t="str">
        <f>HYPERLINK("https://docs.google.com/spreadsheets/d/1ARtmOvYCsQwM58r8qcneYan-mpzXl77l", "RE-0.0")</f>
        <v>RE-0.0</v>
      </c>
      <c r="J191" s="18" t="str">
        <f>HYPERLINK("https://docs.google.com/spreadsheets/d/1nbjYz1I3f0qWFSztNZImC8BkV_SqUDyQ", "RE-1342.2539697916716")</f>
        <v>RE-1342.2539697916716</v>
      </c>
      <c r="K191" s="18" t="str">
        <f>HYPERLINK("https://docs.google.com/spreadsheets/d/1Tyzz3iBAqM7AdM51vUIuQZUWpVxg_5eQ", "RE-2.237152083333333")</f>
        <v>RE-2.237152083333333</v>
      </c>
      <c r="L191" s="18">
        <f>HYPERLINK("https://docs.google.com/spreadsheets/d/1Su-3OMVcCFEP0e0nTKNc03lSAdcArrhB", 911.692228125001)</f>
        <v>911.6922281</v>
      </c>
      <c r="M191" s="18" t="str">
        <f>HYPERLINK("https://docs.google.com/spreadsheets/d/17hWGB2eLWfl6XUF1EeUo7ER8Pb6xR6bg", "RE-5.476660416666666")</f>
        <v>RE-5.476660416666666</v>
      </c>
      <c r="N191" s="18" t="str">
        <f>HYPERLINK("https://docs.google.com/spreadsheets/d/1JLcwxma1uMK_oe7Sfaf0H8jC01yhmnRx", "RE-439.62701145833336")</f>
        <v>RE-439.62701145833336</v>
      </c>
      <c r="O191" s="18" t="str">
        <f>HYPERLINK("https://docs.google.com/spreadsheets/d/1m9iML52CHAspqAsROSrNs8nO7iqFV7No", "RE-2.0192895833333333")</f>
        <v>RE-2.0192895833333333</v>
      </c>
      <c r="P191" s="18">
        <f>HYPERLINK("https://docs.google.com/spreadsheets/d/dummy", 686.142553125)</f>
        <v>686.1425531</v>
      </c>
      <c r="Q191" s="18" t="str">
        <f>HYPERLINK("https://docs.google.com/spreadsheets/d/1H91HO50KDVnOshYD7k-lxIuQLn0DflPr", "RE-16.565692708333337")</f>
        <v>RE-16.565692708333337</v>
      </c>
      <c r="R191" s="18">
        <f>HYPERLINK("https://docs.google.com/spreadsheets/d/1ncZZqfAZOoiOegv-9j_L-z52DPL4lm0f", 41.4857406249999)</f>
        <v>41.48574062</v>
      </c>
      <c r="S191" s="18" t="str">
        <f>HYPERLINK("https://docs.google.com/spreadsheets/d/1tQhwIGVByDaG9MFGRrHWj-NlafFvHOOT", "RE-0.0")</f>
        <v>RE-0.0</v>
      </c>
      <c r="T191" s="18">
        <f>HYPERLINK("https://docs.google.com/spreadsheets/d/1_r2H44_B8HBl5oMjTvUt7puXByIWlQlh", 968.71138958333)</f>
        <v>968.7113896</v>
      </c>
      <c r="U191" s="18" t="str">
        <f>HYPERLINK("https://docs.google.com/spreadsheets/d/1_PRLySg7p6H8d2N9SWmC049oYp86v_Tt", "RE-35.63586666666665")</f>
        <v>RE-35.63586666666665</v>
      </c>
      <c r="V191" s="18" t="str">
        <f>HYPERLINK("https://docs.google.com/spreadsheets/d/1QPy-70THwPtJwG_MlLwl02iPEYV-TFI5", "RE-4.826091666666667")</f>
        <v>RE-4.826091666666667</v>
      </c>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c r="DN191" s="17"/>
      <c r="DO191" s="17"/>
      <c r="DP191" s="17"/>
      <c r="DQ191" s="17"/>
      <c r="DR191" s="17"/>
      <c r="DS191" s="17"/>
      <c r="DT191" s="17"/>
      <c r="DU191" s="17"/>
      <c r="DV191" s="17"/>
      <c r="DW191" s="17"/>
      <c r="DX191" s="17"/>
      <c r="DY191" s="17"/>
      <c r="DZ191" s="17"/>
      <c r="EA191" s="17"/>
      <c r="EB191" s="17"/>
      <c r="EC191" s="17"/>
      <c r="ED191" s="17"/>
      <c r="EE191" s="17"/>
      <c r="EF191" s="17"/>
      <c r="EG191" s="17"/>
      <c r="EH191" s="17"/>
      <c r="EI191" s="17"/>
      <c r="EJ191" s="17"/>
      <c r="EK191" s="17"/>
      <c r="EL191" s="17"/>
      <c r="EM191" s="17"/>
      <c r="EN191" s="17"/>
      <c r="EO191" s="17"/>
      <c r="EP191" s="17"/>
      <c r="EQ191" s="17"/>
      <c r="ER191" s="17"/>
      <c r="ES191" s="17"/>
      <c r="ET191" s="17"/>
      <c r="EU191" s="17"/>
      <c r="EV191" s="17"/>
      <c r="EW191" s="17"/>
      <c r="EX191" s="17"/>
      <c r="EY191" s="17"/>
      <c r="EZ191" s="17"/>
      <c r="FA191" s="17"/>
      <c r="FB191" s="17"/>
      <c r="FC191" s="17"/>
      <c r="FD191" s="17"/>
      <c r="FE191" s="17"/>
      <c r="FF191" s="17"/>
      <c r="FG191" s="17"/>
      <c r="FH191" s="17"/>
    </row>
    <row r="192">
      <c r="A192" s="32" t="s">
        <v>35</v>
      </c>
      <c r="B192" s="32" t="s">
        <v>42</v>
      </c>
      <c r="C192" s="32" t="s">
        <v>13</v>
      </c>
      <c r="D192" s="16">
        <f t="shared" si="1"/>
        <v>2530.2381</v>
      </c>
      <c r="E192" s="17"/>
      <c r="F192" s="18" t="str">
        <f>HYPERLINK("https://docs.google.com/spreadsheets/d/1xiCWrn8q25Zvb4x-58TidPI3DhK7K5eG?usp=share_link", "RE-836.666")</f>
        <v>RE-836.666</v>
      </c>
      <c r="G192" s="18" t="str">
        <f>HYPERLINK("https://docs.google.com/spreadsheets/d/17rG6vGI1g4Xfnr9ayJU849V5EumqJG3E?usp=share_link", "RE-6.36205")</f>
        <v>RE-6.36205</v>
      </c>
      <c r="H192" s="18" t="str">
        <f>HYPERLINK("https://docs.google.com/spreadsheets/d/1dCrnOpoKIPYanoQXrEpTe6FLzcC4kzuR?usp=share_link", "RE-123.94")</f>
        <v>RE-123.94</v>
      </c>
      <c r="I192" s="17"/>
      <c r="J192" s="18" t="str">
        <f>HYPERLINK("https://docs.google.com/spreadsheets/d/1JM_WsLlHqlMz2TqBD9XzX-tW8gzwt5UQ?usp=share_link", "RE-1315.95")</f>
        <v>RE-1315.95</v>
      </c>
      <c r="K192" s="18" t="str">
        <f>HYPERLINK("https://docs.google.com/spreadsheets/d/17vW29Vnzu9hqbTNWqBE7aOLaooLB3-YN?usp=share_link", "RE-2.14253")</f>
        <v>RE-2.14253</v>
      </c>
      <c r="L192" s="18">
        <f>HYPERLINK("https://docs.google.com/spreadsheets/d/1Jwxulx7oWy0odtYsJTSBb21A9YmheD6V?usp=share_link", 883.98)</f>
        <v>883.98</v>
      </c>
      <c r="M192" s="18" t="str">
        <f>HYPERLINK("https://docs.google.com/spreadsheets/d/1BIOt9d2jmpsg-GgStCJLptQhDkGtOch0?usp=share_link", "RE-5.39945")</f>
        <v>RE-5.39945</v>
      </c>
      <c r="N192" s="18" t="str">
        <f>HYPERLINK("https://docs.google.com/spreadsheets/d/1Hpc0es9TEtbw-KLAH3Me-kDKcHx6qpF7?usp=share_link", "RE-426.065")</f>
        <v>RE-426.065</v>
      </c>
      <c r="O192" s="18" t="str">
        <f>HYPERLINK("https://docs.google.com/spreadsheets/d/1w1z2G6AI3tMQyhC-TUwBV4VUEmL5ZHHW?usp=share_link", "RE-1.98875")</f>
        <v>RE-1.98875</v>
      </c>
      <c r="P192" s="18">
        <f>HYPERLINK("https://docs.google.com/spreadsheets/d/1fkErByVTDVfC-UPXndKjAYOes5VqGC39?usp=share_link", 664.561)</f>
        <v>664.561</v>
      </c>
      <c r="Q192" s="18" t="str">
        <f>HYPERLINK("https://docs.google.com/spreadsheets/d/1dFIAqnUvVraz4NQlFDKczQlWIq_DRAHq?usp=share_link", "RE-15.7373")</f>
        <v>RE-15.7373</v>
      </c>
      <c r="R192" s="18">
        <f>HYPERLINK("https://docs.google.com/spreadsheets/d/1xxzPg3Vk618XfvgHR0B5AWVwlM4rDFUH?usp=share_link", 39.8881)</f>
        <v>39.8881</v>
      </c>
      <c r="S192" s="17"/>
      <c r="T192" s="18">
        <f>HYPERLINK("https://docs.google.com/spreadsheets/d/1Xk5bgp0ZkpuljEbvlkn9r4AXKZAExu41?usp=share_link", 941.809)</f>
        <v>941.809</v>
      </c>
      <c r="U192" s="18" t="str">
        <f>HYPERLINK("https://docs.google.com/spreadsheets/d/1CxiE4uCCgh5gA6THbVVlb61BvFn749mX?usp=share_link", "RE-33.8648")</f>
        <v>RE-33.8648</v>
      </c>
      <c r="V192" s="18" t="str">
        <f>HYPERLINK("https://docs.google.com/spreadsheets/d/18b_M73aJ5Rzy66wQZvaKIDt7ZIswcioO?usp=share_link", "RE-4.64682")</f>
        <v>RE-4.64682</v>
      </c>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c r="EH192" s="17"/>
      <c r="EI192" s="17"/>
      <c r="EJ192" s="17"/>
      <c r="EK192" s="17"/>
      <c r="EL192" s="17"/>
      <c r="EM192" s="17"/>
      <c r="EN192" s="17"/>
      <c r="EO192" s="17"/>
      <c r="EP192" s="17"/>
      <c r="EQ192" s="17"/>
      <c r="ER192" s="17"/>
      <c r="ES192" s="17"/>
      <c r="ET192" s="17"/>
      <c r="EU192" s="17"/>
      <c r="EV192" s="17"/>
      <c r="EW192" s="17"/>
      <c r="EX192" s="17"/>
      <c r="EY192" s="17"/>
      <c r="EZ192" s="17"/>
      <c r="FA192" s="17"/>
      <c r="FB192" s="17"/>
      <c r="FC192" s="17"/>
      <c r="FD192" s="17"/>
      <c r="FE192" s="17"/>
      <c r="FF192" s="17"/>
      <c r="FG192" s="17"/>
      <c r="FH192" s="17"/>
    </row>
    <row r="193">
      <c r="A193" s="32" t="s">
        <v>35</v>
      </c>
      <c r="B193" s="32" t="s">
        <v>42</v>
      </c>
      <c r="C193" s="32" t="s">
        <v>14</v>
      </c>
      <c r="D193" s="16">
        <f t="shared" si="1"/>
        <v>2193.5382</v>
      </c>
      <c r="E193" s="17"/>
      <c r="F193" s="18" t="str">
        <f>HYPERLINK("https://docs.google.com/spreadsheets/d/1cA1H8unQLUlp6w9XYtlsTajUALjkcvkR?usp=share_link", "RE-756.725")</f>
        <v>RE-756.725</v>
      </c>
      <c r="G193" s="18" t="str">
        <f>HYPERLINK("https://docs.google.com/spreadsheets/d/1ySay4LqYKyRsA9zjgQ_L1QjA1ST6EMGA?usp=share_link", "RE-5.75142")</f>
        <v>RE-5.75142</v>
      </c>
      <c r="H193" s="18" t="str">
        <f>HYPERLINK("https://docs.google.com/spreadsheets/d/1dCLhQwWXdDCBdL654heBp6ZtMNp5r7_6?usp=share_link", "RE-114.039")</f>
        <v>RE-114.039</v>
      </c>
      <c r="I193" s="17"/>
      <c r="J193" s="18" t="str">
        <f>HYPERLINK("https://docs.google.com/spreadsheets/d/1mRn7RL8cqLYQUQ0EPMfUpDisjk3wzuz5?usp=share_link", "RE-1212.97")</f>
        <v>RE-1212.97</v>
      </c>
      <c r="K193" s="18" t="str">
        <f>HYPERLINK("https://docs.google.com/spreadsheets/d/1Cd3F2sPjY00rhM3OM9Lk6lxsfmyd1Iaq?usp=share_link", "RE-2.14253")</f>
        <v>RE-2.14253</v>
      </c>
      <c r="L193" s="18">
        <f>HYPERLINK("https://docs.google.com/spreadsheets/d/1iPdDtHW4EjdlFVK6SHWPQoYWaGqE--KC?usp=share_link", 775.469)</f>
        <v>775.469</v>
      </c>
      <c r="M193" s="18" t="str">
        <f>HYPERLINK("https://docs.google.com/spreadsheets/d/1rJd5_kK6dn1Rc4spYN48EEi-3uRAmQQo?usp=share_link", "RE-5.39945")</f>
        <v>RE-5.39945</v>
      </c>
      <c r="N193" s="18" t="str">
        <f>HYPERLINK("https://docs.google.com/spreadsheets/d/1rt1yeAVMWYcetjkqOMA9b9d98D2G-7Ig?usp=share_link", "RE-360.475")</f>
        <v>RE-360.475</v>
      </c>
      <c r="O193" s="18" t="str">
        <f>HYPERLINK("https://docs.google.com/spreadsheets/d/1nhKt1BEt0awruQaf5ULAbbmcaBp26xF0?usp=share_link", "RE-1.6173")</f>
        <v>RE-1.6173</v>
      </c>
      <c r="P193" s="18">
        <f>HYPERLINK("https://docs.google.com/spreadsheets/d/1j-cOQ35_amT4lcrMurTp1dB2Sxj9f6Vd?usp=share_link", 568.102)</f>
        <v>568.102</v>
      </c>
      <c r="Q193" s="18" t="str">
        <f>HYPERLINK("https://docs.google.com/spreadsheets/d/1jPqL0CjCQArDGTNashX84yUmKZZGbyzI?usp=share_link", "RE-13.7754")</f>
        <v>RE-13.7754</v>
      </c>
      <c r="R193" s="18">
        <f>HYPERLINK("https://docs.google.com/spreadsheets/d/1NwwI8pVS-kUf6QrPGqIuyt49M6bHmwSu?usp=share_link", 33.5652)</f>
        <v>33.5652</v>
      </c>
      <c r="S193" s="17"/>
      <c r="T193" s="18">
        <f>HYPERLINK("https://docs.google.com/spreadsheets/d/19SSLKblD92w-S8-24ntV57vEVDWLyZqH?usp=share_link", 816.402)</f>
        <v>816.402</v>
      </c>
      <c r="U193" s="18" t="str">
        <f>HYPERLINK("https://docs.google.com/spreadsheets/d/142PaBg1pa3e5ydUkx38v8cbX7EvR1FVA?usp=share_link", "RE-29.4811")</f>
        <v>RE-29.4811</v>
      </c>
      <c r="V193" s="18" t="str">
        <f>HYPERLINK("https://docs.google.com/spreadsheets/d/14k78W_JlzlvQ7oMhIINNiM0pV8Y2eynJ?usp=share_link", "RE-3.51713")</f>
        <v>RE-3.51713</v>
      </c>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c r="DN193" s="17"/>
      <c r="DO193" s="17"/>
      <c r="DP193" s="17"/>
      <c r="DQ193" s="17"/>
      <c r="DR193" s="17"/>
      <c r="DS193" s="17"/>
      <c r="DT193" s="17"/>
      <c r="DU193" s="17"/>
      <c r="DV193" s="17"/>
      <c r="DW193" s="17"/>
      <c r="DX193" s="17"/>
      <c r="DY193" s="17"/>
      <c r="DZ193" s="17"/>
      <c r="EA193" s="17"/>
      <c r="EB193" s="17"/>
      <c r="EC193" s="17"/>
      <c r="ED193" s="17"/>
      <c r="EE193" s="17"/>
      <c r="EF193" s="17"/>
      <c r="EG193" s="17"/>
      <c r="EH193" s="17"/>
      <c r="EI193" s="17"/>
      <c r="EJ193" s="17"/>
      <c r="EK193" s="17"/>
      <c r="EL193" s="17"/>
      <c r="EM193" s="17"/>
      <c r="EN193" s="17"/>
      <c r="EO193" s="17"/>
      <c r="EP193" s="17"/>
      <c r="EQ193" s="17"/>
      <c r="ER193" s="17"/>
      <c r="ES193" s="17"/>
      <c r="ET193" s="17"/>
      <c r="EU193" s="17"/>
      <c r="EV193" s="17"/>
      <c r="EW193" s="17"/>
      <c r="EX193" s="17"/>
      <c r="EY193" s="17"/>
      <c r="EZ193" s="17"/>
      <c r="FA193" s="17"/>
      <c r="FB193" s="17"/>
      <c r="FC193" s="17"/>
      <c r="FD193" s="17"/>
      <c r="FE193" s="17"/>
      <c r="FF193" s="17"/>
      <c r="FG193" s="17"/>
      <c r="FH193" s="17"/>
    </row>
    <row r="194">
      <c r="A194" s="27" t="s">
        <v>35</v>
      </c>
      <c r="B194" s="27" t="s">
        <v>42</v>
      </c>
      <c r="C194" s="27" t="s">
        <v>15</v>
      </c>
      <c r="D194" s="28">
        <f t="shared" si="1"/>
        <v>2527.6951</v>
      </c>
      <c r="E194" s="33"/>
      <c r="F194" s="34" t="str">
        <f>HYPERLINK("https://docs.google.com/spreadsheets/d/1StPjDlbqL0Roxi9GxTcWNDriKLHiuIr7?usp=share_link", "RE-836.666")</f>
        <v>RE-836.666</v>
      </c>
      <c r="G194" s="34" t="str">
        <f>HYPERLINK("https://docs.google.com/spreadsheets/d/1aQ-ub6kD8xjCLyzeIZ9Ss_Iq1uxsmkHm?usp=share_link", "RE-6.36205")</f>
        <v>RE-6.36205</v>
      </c>
      <c r="H194" s="34" t="str">
        <f>HYPERLINK("https://docs.google.com/spreadsheets/d/1i8rWGxQ4nUh42WSy_7qQamiROyrf1Mmo?usp=share_link", "RE-123.94")</f>
        <v>RE-123.94</v>
      </c>
      <c r="I194" s="33"/>
      <c r="J194" s="34" t="str">
        <f>HYPERLINK("https://docs.google.com/spreadsheets/d/1m7A6Ug4yeJI4-_fRrHBzgOoaGCXiQgLf?usp=share_link", "RE-1315.95")</f>
        <v>RE-1315.95</v>
      </c>
      <c r="K194" s="34" t="str">
        <f>HYPERLINK("https://docs.google.com/spreadsheets/d/145CscDL1_re816j2z4RIQIuW5gjmXOC4?usp=share_link", "RE-2.14253")</f>
        <v>RE-2.14253</v>
      </c>
      <c r="L194" s="34">
        <f>HYPERLINK("https://docs.google.com/spreadsheets/d/10Pm-mHsHQm3_L2OBpNyIedbSqTey11EQ?usp=share_link", 883.98)</f>
        <v>883.98</v>
      </c>
      <c r="M194" s="34" t="str">
        <f>HYPERLINK("https://docs.google.com/spreadsheets/d/12WbWaejHMmPz3pHSHF6N42FEfS3kp4Dp?usp=share_link", "RE-5.39945")</f>
        <v>RE-5.39945</v>
      </c>
      <c r="N194" s="34" t="str">
        <f>HYPERLINK("https://docs.google.com/spreadsheets/d/1D61W6rpV7XAsBc1z9u_HyX6OmA5mMaAI?usp=share_link", "RE-425.742")</f>
        <v>RE-425.742</v>
      </c>
      <c r="O194" s="34" t="str">
        <f>HYPERLINK("https://docs.google.com/spreadsheets/d/11O2IACoylpN9WTNXDNyTLfgkvC12tFL5?usp=share_link", "RE-1.98875")</f>
        <v>RE-1.98875</v>
      </c>
      <c r="P194" s="34">
        <f>HYPERLINK("https://docs.google.com/spreadsheets/d/1WybpzKpuFgrPz6NJqMtywMBvmneXBAMH?usp=share_link", 662.041)</f>
        <v>662.041</v>
      </c>
      <c r="Q194" s="34" t="str">
        <f>HYPERLINK("https://docs.google.com/spreadsheets/d/1u9Vuv4IyxpB2t0lrU5U-Vh5Ej7eZAAtM?usp=share_link", "RE-15.4201")</f>
        <v>RE-15.4201</v>
      </c>
      <c r="R194" s="34">
        <f>HYPERLINK("https://docs.google.com/spreadsheets/d/1Ku_dzQ6RfTadAYX00nQwaB7V62BwfUF7?usp=share_link", 39.8881)</f>
        <v>39.8881</v>
      </c>
      <c r="S194" s="33"/>
      <c r="T194" s="34">
        <f>HYPERLINK("https://docs.google.com/spreadsheets/d/1mXFAsEXdWwkFVTdBZnPw_OVXM6qY9dC8?usp=share_link", 941.786)</f>
        <v>941.786</v>
      </c>
      <c r="U194" s="34" t="str">
        <f>HYPERLINK("https://docs.google.com/spreadsheets/d/1PJS7eyv4TrG4BqfNgaQJzUl6OJafn0tf?usp=share_link", "RE-33.8648")</f>
        <v>RE-33.8648</v>
      </c>
      <c r="V194" s="34" t="str">
        <f>HYPERLINK("https://docs.google.com/spreadsheets/d/1YZDXXr2TdIpfDSaXgruuGP9fIxRyFi93?usp=share_link", "RE-4.64682")</f>
        <v>RE-4.64682</v>
      </c>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c r="CW194" s="33"/>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33"/>
      <c r="EF194" s="33"/>
      <c r="EG194" s="33"/>
      <c r="EH194" s="33"/>
      <c r="EI194" s="33"/>
      <c r="EJ194" s="33"/>
      <c r="EK194" s="33"/>
      <c r="EL194" s="33"/>
      <c r="EM194" s="33"/>
      <c r="EN194" s="33"/>
      <c r="EO194" s="33"/>
      <c r="EP194" s="33"/>
      <c r="EQ194" s="33"/>
      <c r="ER194" s="33"/>
      <c r="ES194" s="33"/>
      <c r="ET194" s="33"/>
      <c r="EU194" s="33"/>
      <c r="EV194" s="33"/>
      <c r="EW194" s="33"/>
      <c r="EX194" s="33"/>
      <c r="EY194" s="33"/>
      <c r="EZ194" s="33"/>
      <c r="FA194" s="33"/>
      <c r="FB194" s="33"/>
      <c r="FC194" s="33"/>
      <c r="FD194" s="33"/>
      <c r="FE194" s="33"/>
      <c r="FF194" s="33"/>
      <c r="FG194" s="33"/>
      <c r="FH194" s="33"/>
    </row>
    <row r="195">
      <c r="A195" s="30" t="s">
        <v>7</v>
      </c>
      <c r="B195" s="30" t="s">
        <v>43</v>
      </c>
      <c r="C195" s="31" t="str">
        <f>HYPERLINK("https://docs.google.com/spreadsheets/d/16NhwaksHFFGNLN4BQDWbpmnjTiY_RTdp/edit?usp=share_link&amp;ouid=106501987799020758802&amp;rtpof=true&amp;sd=true", "Raw Delivered")</f>
        <v>Raw Delivered</v>
      </c>
      <c r="D195" s="12">
        <f t="shared" si="1"/>
        <v>6031.989656</v>
      </c>
      <c r="E195" s="13"/>
      <c r="F195" s="14">
        <f>HYPERLINK("https://docs.google.com/spreadsheets/d/1_fQfwBr0U7op1n8FQ0QkOl7NDX1K1n4v", 872.076291666665)</f>
        <v>872.0762917</v>
      </c>
      <c r="G195" s="13"/>
      <c r="H195" s="14">
        <f>HYPERLINK("https://docs.google.com/spreadsheets/d/1ev026ZK9ywi5BITheDdi_e26dIkHdGvu", 174.228365624999)</f>
        <v>174.2283656</v>
      </c>
      <c r="I195" s="13"/>
      <c r="J195" s="14">
        <f>HYPERLINK("https://docs.google.com/spreadsheets/d/10mY87yYif4yww6NX6BnE-zqI-kZe6W4Q", 1381.82445104167)</f>
        <v>1381.824451</v>
      </c>
      <c r="K195" s="13"/>
      <c r="L195" s="14">
        <f t="shared" ref="L195:L196" si="98">HYPERLINK("https://docs.google.com/spreadsheets/d/1AVctflL6VTtXuXfIF5fcbPb4anfafA20", 953.276030208332)</f>
        <v>953.2760302</v>
      </c>
      <c r="M195" s="13"/>
      <c r="N195" s="14">
        <f>HYPERLINK("https://docs.google.com/spreadsheets/d/1OB5ulI-GSRd1llND2t4MGYX6_aEGUj9K", 1306.16532604166)</f>
        <v>1306.165326</v>
      </c>
      <c r="O195" s="13"/>
      <c r="P195" s="14">
        <f t="shared" ref="P195:P196" si="99">HYPERLINK("https://docs.google.com/spreadsheets/d/1CbSPhqSM804IPu3kkLvuJPBspsa-zNCu", 673.057349999999)</f>
        <v>673.05735</v>
      </c>
      <c r="Q195" s="13"/>
      <c r="R195" s="14">
        <f t="shared" ref="R195:R196" si="100">HYPERLINK("https://docs.google.com/spreadsheets/d/1AqhakJB6bhP_-z0bqo84sWevu1COCHvq", 161.213258333333)</f>
        <v>161.2132583</v>
      </c>
      <c r="S195" s="13"/>
      <c r="T195" s="14">
        <f t="shared" ref="T195:T196" si="101">HYPERLINK("https://docs.google.com/spreadsheets/d/1boKaarsL_zl-teGR1AkyWeckTjV0B1-5", 510.148583333333)</f>
        <v>510.1485833</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row>
    <row r="196">
      <c r="A196" s="32" t="s">
        <v>7</v>
      </c>
      <c r="B196" s="32" t="s">
        <v>43</v>
      </c>
      <c r="C196" s="32" t="s">
        <v>9</v>
      </c>
      <c r="D196" s="16">
        <f t="shared" si="1"/>
        <v>2297.695222</v>
      </c>
      <c r="E196" s="17"/>
      <c r="F196" s="18" t="str">
        <f>HYPERLINK("https://docs.google.com/spreadsheets/d/1_fQfwBr0U7op1n8FQ0QkOl7NDX1K1n4v", "RE-872.076291666665")</f>
        <v>RE-872.076291666665</v>
      </c>
      <c r="G196" s="17"/>
      <c r="H196" s="18" t="str">
        <f>HYPERLINK("https://docs.google.com/spreadsheets/d/1ev026ZK9ywi5BITheDdi_e26dIkHdGvu", "RE-174.22836562499967")</f>
        <v>RE-174.22836562499967</v>
      </c>
      <c r="I196" s="17"/>
      <c r="J196" s="18" t="str">
        <f>HYPERLINK("https://docs.google.com/spreadsheets/d/10mY87yYif4yww6NX6BnE-zqI-kZe6W4Q", "RE-1381.8244510416707")</f>
        <v>RE-1381.8244510416707</v>
      </c>
      <c r="K196" s="17"/>
      <c r="L196" s="18">
        <f t="shared" si="98"/>
        <v>953.2760302</v>
      </c>
      <c r="M196" s="17"/>
      <c r="N196" s="18" t="str">
        <f>HYPERLINK("https://docs.google.com/spreadsheets/d/1OB5ulI-GSRd1llND2t4MGYX6_aEGUj9K", "RE-1306.1653260416665")</f>
        <v>RE-1306.1653260416665</v>
      </c>
      <c r="O196" s="17"/>
      <c r="P196" s="18">
        <f t="shared" si="99"/>
        <v>673.05735</v>
      </c>
      <c r="Q196" s="17"/>
      <c r="R196" s="18">
        <f t="shared" si="100"/>
        <v>161.2132583</v>
      </c>
      <c r="S196" s="17"/>
      <c r="T196" s="18">
        <f t="shared" si="101"/>
        <v>510.1485833</v>
      </c>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c r="DN196" s="17"/>
      <c r="DO196" s="17"/>
      <c r="DP196" s="17"/>
      <c r="DQ196" s="17"/>
      <c r="DR196" s="17"/>
      <c r="DS196" s="17"/>
      <c r="DT196" s="17"/>
      <c r="DU196" s="17"/>
      <c r="DV196" s="17"/>
      <c r="DW196" s="17"/>
      <c r="DX196" s="17"/>
      <c r="DY196" s="17"/>
      <c r="DZ196" s="17"/>
      <c r="EA196" s="17"/>
      <c r="EB196" s="17"/>
      <c r="EC196" s="17"/>
      <c r="ED196" s="17"/>
      <c r="EE196" s="17"/>
      <c r="EF196" s="17"/>
      <c r="EG196" s="17"/>
      <c r="EH196" s="17"/>
      <c r="EI196" s="17"/>
      <c r="EJ196" s="17"/>
      <c r="EK196" s="17"/>
      <c r="EL196" s="17"/>
      <c r="EM196" s="17"/>
      <c r="EN196" s="17"/>
      <c r="EO196" s="17"/>
      <c r="EP196" s="17"/>
      <c r="EQ196" s="17"/>
      <c r="ER196" s="17"/>
      <c r="ES196" s="17"/>
      <c r="ET196" s="17"/>
      <c r="EU196" s="17"/>
      <c r="EV196" s="17"/>
      <c r="EW196" s="17"/>
      <c r="EX196" s="17"/>
      <c r="EY196" s="17"/>
      <c r="EZ196" s="17"/>
      <c r="FA196" s="17"/>
      <c r="FB196" s="17"/>
      <c r="FC196" s="17"/>
      <c r="FD196" s="17"/>
      <c r="FE196" s="17"/>
      <c r="FF196" s="17"/>
      <c r="FG196" s="17"/>
      <c r="FH196" s="17"/>
    </row>
    <row r="197">
      <c r="A197" s="32" t="s">
        <v>7</v>
      </c>
      <c r="B197" s="32" t="s">
        <v>43</v>
      </c>
      <c r="C197" s="32" t="s">
        <v>10</v>
      </c>
      <c r="D197" s="16">
        <f t="shared" si="1"/>
        <v>557.222076</v>
      </c>
      <c r="E197" s="17"/>
      <c r="F197" s="17"/>
      <c r="G197" s="18">
        <f>HYPERLINK("https://docs.google.com/spreadsheets/d/11MsN0dPkwqZbWfzPnZbGyNW5AtSoHfvh", 76.6186104166667)</f>
        <v>76.61861042</v>
      </c>
      <c r="H197" s="17"/>
      <c r="I197" s="18">
        <f>HYPERLINK("https://docs.google.com/spreadsheets/d/1AMyyD5e3claQN3_pyNL22tc9t5Gf0P1A", 11.2756916666666)</f>
        <v>11.27569167</v>
      </c>
      <c r="J197" s="17"/>
      <c r="K197" s="18">
        <f>HYPERLINK("https://docs.google.com/spreadsheets/d/1K3ZDc21XbIKU1w1RG4_U-KG4iyU8504A", 106.304788541666)</f>
        <v>106.3047885</v>
      </c>
      <c r="L197" s="17"/>
      <c r="M197" s="18">
        <f>HYPERLINK("https://docs.google.com/spreadsheets/d/1lNxwDbAbWwHu_w1l1aD2Cwoqysmno4gO", 40.64941875)</f>
        <v>40.64941875</v>
      </c>
      <c r="N197" s="17"/>
      <c r="O197" s="18">
        <f>HYPERLINK("https://docs.google.com/spreadsheets/d/18ONJGH9IDkrR_vw0prOdwdtq94xCXiVw", 108.705892708333)</f>
        <v>108.7058927</v>
      </c>
      <c r="P197" s="17"/>
      <c r="Q197" s="18">
        <f>HYPERLINK("https://docs.google.com/spreadsheets/d/10I66vaS_SpZPIJAV59nZji8BVvz99XIL", 99.6267489583333)</f>
        <v>99.62674896</v>
      </c>
      <c r="R197" s="17"/>
      <c r="S197" s="18">
        <f>HYPERLINK("https://docs.google.com/spreadsheets/d/1uChDF6di9CnquF8Suafg1vAzWsQvXF7H", 34.563596875)</f>
        <v>34.56359688</v>
      </c>
      <c r="T197" s="17"/>
      <c r="U197" s="18">
        <f>HYPERLINK("https://docs.google.com/spreadsheets/d/1qJTKhP3LWNhXOHP1uxlTBGx5IoopTeqc", 73.3923885416666)</f>
        <v>73.39238854</v>
      </c>
      <c r="V197" s="18">
        <f>HYPERLINK("https://docs.google.com/spreadsheets/d/1kvVE9LRYeHXVISLIyrAwrgJre7quGx1c", 6.08493958333333)</f>
        <v>6.084939583</v>
      </c>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c r="DN197" s="17"/>
      <c r="DO197" s="17"/>
      <c r="DP197" s="17"/>
      <c r="DQ197" s="17"/>
      <c r="DR197" s="17"/>
      <c r="DS197" s="17"/>
      <c r="DT197" s="17"/>
      <c r="DU197" s="17"/>
      <c r="DV197" s="17"/>
      <c r="DW197" s="17"/>
      <c r="DX197" s="17"/>
      <c r="DY197" s="17"/>
      <c r="DZ197" s="17"/>
      <c r="EA197" s="17"/>
      <c r="EB197" s="17"/>
      <c r="EC197" s="17"/>
      <c r="ED197" s="17"/>
      <c r="EE197" s="17"/>
      <c r="EF197" s="17"/>
      <c r="EG197" s="17"/>
      <c r="EH197" s="17"/>
      <c r="EI197" s="17"/>
      <c r="EJ197" s="17"/>
      <c r="EK197" s="17"/>
      <c r="EL197" s="17"/>
      <c r="EM197" s="17"/>
      <c r="EN197" s="17"/>
      <c r="EO197" s="17"/>
      <c r="EP197" s="17"/>
      <c r="EQ197" s="17"/>
      <c r="ER197" s="17"/>
      <c r="ES197" s="17"/>
      <c r="ET197" s="17"/>
      <c r="EU197" s="17"/>
      <c r="EV197" s="17"/>
      <c r="EW197" s="17"/>
      <c r="EX197" s="17"/>
      <c r="EY197" s="17"/>
      <c r="EZ197" s="17"/>
      <c r="FA197" s="17"/>
      <c r="FB197" s="17"/>
      <c r="FC197" s="17"/>
      <c r="FD197" s="17"/>
      <c r="FE197" s="17"/>
      <c r="FF197" s="17"/>
      <c r="FG197" s="17"/>
      <c r="FH197" s="17"/>
    </row>
    <row r="198">
      <c r="A198" s="32" t="s">
        <v>7</v>
      </c>
      <c r="B198" s="32" t="s">
        <v>43</v>
      </c>
      <c r="C198" s="32" t="s">
        <v>11</v>
      </c>
      <c r="D198" s="16">
        <f t="shared" si="1"/>
        <v>0</v>
      </c>
      <c r="E198" s="17"/>
      <c r="F198" s="17"/>
      <c r="G198" s="18" t="str">
        <f>HYPERLINK("https://docs.google.com/spreadsheets/d/11MsN0dPkwqZbWfzPnZbGyNW5AtSoHfvh", "RE-76.61861041666671")</f>
        <v>RE-76.61861041666671</v>
      </c>
      <c r="H198" s="17"/>
      <c r="I198" s="18" t="str">
        <f>HYPERLINK("https://docs.google.com/spreadsheets/d/1AMyyD5e3claQN3_pyNL22tc9t5Gf0P1A", "RE-11.275691666666665")</f>
        <v>RE-11.275691666666665</v>
      </c>
      <c r="J198" s="17"/>
      <c r="K198" s="18" t="str">
        <f>HYPERLINK("https://docs.google.com/spreadsheets/d/1K3ZDc21XbIKU1w1RG4_U-KG4iyU8504A", "RE-106.30478854166674")</f>
        <v>RE-106.30478854166674</v>
      </c>
      <c r="L198" s="17"/>
      <c r="M198" s="18" t="str">
        <f>HYPERLINK("https://docs.google.com/spreadsheets/d/1lNxwDbAbWwHu_w1l1aD2Cwoqysmno4gO", "RE-40.64941875000001")</f>
        <v>RE-40.64941875000001</v>
      </c>
      <c r="N198" s="17"/>
      <c r="O198" s="18" t="str">
        <f>HYPERLINK("https://docs.google.com/spreadsheets/d/18ONJGH9IDkrR_vw0prOdwdtq94xCXiVw", "RE-108.70589270833325")</f>
        <v>RE-108.70589270833325</v>
      </c>
      <c r="P198" s="17"/>
      <c r="Q198" s="18" t="str">
        <f>HYPERLINK("https://docs.google.com/spreadsheets/d/10I66vaS_SpZPIJAV59nZji8BVvz99XIL", "RE-99.62674895833332")</f>
        <v>RE-99.62674895833332</v>
      </c>
      <c r="R198" s="17"/>
      <c r="S198" s="18" t="str">
        <f>HYPERLINK("https://docs.google.com/spreadsheets/d/1uChDF6di9CnquF8Suafg1vAzWsQvXF7H", "RE-34.563596875")</f>
        <v>RE-34.563596875</v>
      </c>
      <c r="T198" s="17"/>
      <c r="U198" s="18" t="str">
        <f>HYPERLINK("https://docs.google.com/spreadsheets/d/1qJTKhP3LWNhXOHP1uxlTBGx5IoopTeqc", "RE-73.39238854166669")</f>
        <v>RE-73.39238854166669</v>
      </c>
      <c r="V198" s="18" t="str">
        <f>HYPERLINK("https://docs.google.com/spreadsheets/d/1kvVE9LRYeHXVISLIyrAwrgJre7quGx1c", "RE-6.084939583333332")</f>
        <v>RE-6.084939583333332</v>
      </c>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7"/>
      <c r="EJ198" s="17"/>
      <c r="EK198" s="17"/>
      <c r="EL198" s="17"/>
      <c r="EM198" s="17"/>
      <c r="EN198" s="17"/>
      <c r="EO198" s="17"/>
      <c r="EP198" s="17"/>
      <c r="EQ198" s="17"/>
      <c r="ER198" s="17"/>
      <c r="ES198" s="17"/>
      <c r="ET198" s="17"/>
      <c r="EU198" s="17"/>
      <c r="EV198" s="17"/>
      <c r="EW198" s="17"/>
      <c r="EX198" s="17"/>
      <c r="EY198" s="17"/>
      <c r="EZ198" s="17"/>
      <c r="FA198" s="17"/>
      <c r="FB198" s="17"/>
      <c r="FC198" s="17"/>
      <c r="FD198" s="17"/>
      <c r="FE198" s="17"/>
      <c r="FF198" s="17"/>
      <c r="FG198" s="17"/>
      <c r="FH198" s="17"/>
    </row>
    <row r="199">
      <c r="A199" s="32" t="s">
        <v>7</v>
      </c>
      <c r="B199" s="32" t="s">
        <v>43</v>
      </c>
      <c r="C199" s="32" t="s">
        <v>12</v>
      </c>
      <c r="D199" s="16">
        <f t="shared" si="1"/>
        <v>2121.036938</v>
      </c>
      <c r="E199" s="17"/>
      <c r="F199" s="18" t="str">
        <f>HYPERLINK("https://docs.google.com/spreadsheets/d/1FDrmgeBGNnQMn7lQH5DhAUp5COXQJU1Z", "RE-729.6326416666654")</f>
        <v>RE-729.6326416666654</v>
      </c>
      <c r="G199" s="18" t="str">
        <f>HYPERLINK("https://docs.google.com/spreadsheets/d/1Z8EN5buRSnQOGQAv4KiyA_YZiSO_Ph4S", "RE-1.1411979166666666")</f>
        <v>RE-1.1411979166666666</v>
      </c>
      <c r="H199" s="18" t="str">
        <f>HYPERLINK("https://docs.google.com/spreadsheets/d/1NPCUOt19QOd55P6_5lwaivaSD50YLqWf", "RE-165.72158333333306")</f>
        <v>RE-165.72158333333306</v>
      </c>
      <c r="I199" s="18" t="str">
        <f>HYPERLINK("https://docs.google.com/spreadsheets/d/1ombJ4G6Bgzqc4_syrxe9vZYm8kckxaMp", "RE-0.34464375")</f>
        <v>RE-0.34464375</v>
      </c>
      <c r="J199" s="18" t="str">
        <f>HYPERLINK("https://docs.google.com/spreadsheets/d/1x6ATUdCKDoidlxI0WMlZe5e7s-oVIkID", "RE-1107.0615593750006")</f>
        <v>RE-1107.0615593750006</v>
      </c>
      <c r="K199" s="18" t="str">
        <f>HYPERLINK("https://docs.google.com/spreadsheets/d/1YtTxC_JDmmAfLMndC3ClLyKG08SkOnNa", "RE-4.396462499999999")</f>
        <v>RE-4.396462499999999</v>
      </c>
      <c r="L199" s="18">
        <f>HYPERLINK("https://docs.google.com/spreadsheets/d/1Dguw8VmmeESs87wdhcQRADQYj1RYS1iv", 864.866902083332)</f>
        <v>864.8669021</v>
      </c>
      <c r="M199" s="18" t="str">
        <f>HYPERLINK("https://docs.google.com/spreadsheets/d/1cDW16JdrICaP6XDZ0o2OwBRWI_bGxw4g", "RE-8.831659375")</f>
        <v>RE-8.831659375</v>
      </c>
      <c r="N199" s="18" t="str">
        <f>HYPERLINK("https://docs.google.com/spreadsheets/d/1A0O12mRnWJas3Ruv_zFyPrDRKYXY8Ejw", "RE-794.6663322916681")</f>
        <v>RE-794.6663322916681</v>
      </c>
      <c r="O199" s="18" t="str">
        <f>HYPERLINK("https://docs.google.com/spreadsheets/d/1TXfxmcW7lKHFtd2Ix0Zi9ZSK3Fb8T3ov", "RE-8.773492708333333")</f>
        <v>RE-8.773492708333333</v>
      </c>
      <c r="P199" s="18">
        <f>HYPERLINK("https://docs.google.com/spreadsheets/d/1woJSq9R32Di9H1uG60FnLQ5nudRpxxam", 614.844931249999)</f>
        <v>614.8449312</v>
      </c>
      <c r="Q199" s="18" t="str">
        <f>HYPERLINK("https://docs.google.com/spreadsheets/d/1p-rbfqdzDvkMGsfUTBy1tRXPgoC-cIN_", "RE-30.941076041666687")</f>
        <v>RE-30.941076041666687</v>
      </c>
      <c r="R199" s="18">
        <f>HYPERLINK("https://docs.google.com/spreadsheets/d/1DaJ-h8fnXJ_7kji-q8vzmXPwVGg6IFCm", 151.20658125)</f>
        <v>151.2065813</v>
      </c>
      <c r="S199" s="18" t="str">
        <f>HYPERLINK("https://docs.google.com/spreadsheets/d/159G7qYL6LpfwUf3FxdTc39Jb5VOlxhiC", "RE-20.49604375")</f>
        <v>RE-20.49604375</v>
      </c>
      <c r="T199" s="18">
        <f>HYPERLINK("https://docs.google.com/spreadsheets/d/1TUrIHz0rbqD399wNJg7xcGNxfbK1j6_M", 490.118522916666)</f>
        <v>490.1185229</v>
      </c>
      <c r="U199" s="18" t="str">
        <f>HYPERLINK("https://docs.google.com/spreadsheets/d/1jcPzD6iKEGubwq6K7aRh9ssuvFDloIu9", "RE-40.748446875000006")</f>
        <v>RE-40.748446875000006</v>
      </c>
      <c r="V199" s="18" t="str">
        <f>HYPERLINK("https://docs.google.com/spreadsheets/d/1Fiz4wmtvFYm1V8b_IrW2X6sRyogu-Vv7", "RE-3.46095")</f>
        <v>RE-3.46095</v>
      </c>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c r="DN199" s="17"/>
      <c r="DO199" s="17"/>
      <c r="DP199" s="17"/>
      <c r="DQ199" s="17"/>
      <c r="DR199" s="17"/>
      <c r="DS199" s="17"/>
      <c r="DT199" s="17"/>
      <c r="DU199" s="17"/>
      <c r="DV199" s="17"/>
      <c r="DW199" s="17"/>
      <c r="DX199" s="17"/>
      <c r="DY199" s="17"/>
      <c r="DZ199" s="17"/>
      <c r="EA199" s="17"/>
      <c r="EB199" s="17"/>
      <c r="EC199" s="17"/>
      <c r="ED199" s="17"/>
      <c r="EE199" s="17"/>
      <c r="EF199" s="17"/>
      <c r="EG199" s="17"/>
      <c r="EH199" s="17"/>
      <c r="EI199" s="17"/>
      <c r="EJ199" s="17"/>
      <c r="EK199" s="17"/>
      <c r="EL199" s="17"/>
      <c r="EM199" s="17"/>
      <c r="EN199" s="17"/>
      <c r="EO199" s="17"/>
      <c r="EP199" s="17"/>
      <c r="EQ199" s="17"/>
      <c r="ER199" s="17"/>
      <c r="ES199" s="17"/>
      <c r="ET199" s="17"/>
      <c r="EU199" s="17"/>
      <c r="EV199" s="17"/>
      <c r="EW199" s="17"/>
      <c r="EX199" s="17"/>
      <c r="EY199" s="17"/>
      <c r="EZ199" s="17"/>
      <c r="FA199" s="17"/>
      <c r="FB199" s="17"/>
      <c r="FC199" s="17"/>
      <c r="FD199" s="17"/>
      <c r="FE199" s="17"/>
      <c r="FF199" s="17"/>
      <c r="FG199" s="17"/>
      <c r="FH199" s="17"/>
    </row>
    <row r="200">
      <c r="A200" s="32" t="s">
        <v>7</v>
      </c>
      <c r="B200" s="32" t="s">
        <v>43</v>
      </c>
      <c r="C200" s="32" t="s">
        <v>13</v>
      </c>
      <c r="D200" s="16">
        <f t="shared" si="1"/>
        <v>2029.191</v>
      </c>
      <c r="E200" s="17"/>
      <c r="F200" s="18" t="str">
        <f>HYPERLINK("https://docs.google.com/spreadsheets/d/1ZOfNq9KZyD2dyXMWyBydgf7FwnsS8hJs?usp=share_link", "RE-703.487")</f>
        <v>RE-703.487</v>
      </c>
      <c r="G200" s="18" t="str">
        <f>HYPERLINK("https://docs.google.com/spreadsheets/d/14PZznup4-o38jtBzk4GKiM_pCqSGdCm5?usp=share_link", "RE-1.0674")</f>
        <v>RE-1.0674</v>
      </c>
      <c r="H200" s="18" t="str">
        <f>HYPERLINK("https://docs.google.com/spreadsheets/d/1ZSUfixtYa3Vg_YKTPlUydBoBL50Mft54?usp=share_link", "RE-160.968")</f>
        <v>RE-160.968</v>
      </c>
      <c r="I200" s="18" t="str">
        <f>HYPERLINK("https://docs.google.com/spreadsheets/d/18Xa98WmDT-TwDiIgen03__y1-Ewalg8N?usp=share_link", "RE-0.318083")</f>
        <v>RE-0.318083</v>
      </c>
      <c r="J200" s="18" t="str">
        <f>HYPERLINK("https://docs.google.com/spreadsheets/d/1ribYz_UW3is_0AiGN2ao4PUxplXBj4D0?usp=share_link", "RE-1072.57")</f>
        <v>RE-1072.57</v>
      </c>
      <c r="K200" s="18" t="str">
        <f>HYPERLINK("https://docs.google.com/spreadsheets/d/10EdR3ZjS2N8wQN3rm4uzYZMpSZXFVsRG?usp=share_link", "RE-4.22492")</f>
        <v>RE-4.22492</v>
      </c>
      <c r="L200" s="18">
        <f>HYPERLINK("https://docs.google.com/spreadsheets/d/1uevy859u7cVuB83YO3Y_yrSt_LDiOqsH?usp=share_link", 826.638)</f>
        <v>826.638</v>
      </c>
      <c r="M200" s="18" t="str">
        <f>HYPERLINK("https://docs.google.com/spreadsheets/d/1iA9N32cgFGtq2_AIdkBuev89GQ9aBcPu?usp=share_link", "RE-8.3902")</f>
        <v>RE-8.3902</v>
      </c>
      <c r="N200" s="18" t="str">
        <f>HYPERLINK("https://docs.google.com/spreadsheets/d/1oxQf_-lcoIUeMZBqz6iGYkEosC2S2Aa0?usp=share_link", "RE-763.839")</f>
        <v>RE-763.839</v>
      </c>
      <c r="O200" s="18" t="str">
        <f>HYPERLINK("https://docs.google.com/spreadsheets/d/1jMiisLu7txzfW9wFqJVZd4TdIr7xxMFE?usp=share_link", "RE-8.02105")</f>
        <v>RE-8.02105</v>
      </c>
      <c r="P200" s="18">
        <f>HYPERLINK("https://docs.google.com/spreadsheets/d/1aiEcW0NjsjX17Eb5eIA0eJ6d6m80iXb1?usp=share_link", 585.189)</f>
        <v>585.189</v>
      </c>
      <c r="Q200" s="18" t="str">
        <f>HYPERLINK("https://docs.google.com/spreadsheets/d/1wp6ITW7agNyM5yjhFf1-GnwA0sGtEol6?usp=share_link", "RE-29.4082")</f>
        <v>RE-29.4082</v>
      </c>
      <c r="R200" s="18">
        <f>HYPERLINK("https://docs.google.com/spreadsheets/d/1OuaB2daHD51deL4o6cW9oUmogSibCXiu?usp=share_link", 144.962)</f>
        <v>144.962</v>
      </c>
      <c r="S200" s="18" t="str">
        <f>HYPERLINK("https://docs.google.com/spreadsheets/d/1HN-mC5oyuQYJnngIxg-pw-6afprg7evi?usp=share_link", "RE-19.4014")</f>
        <v>RE-19.4014</v>
      </c>
      <c r="T200" s="18">
        <f>HYPERLINK("https://docs.google.com/spreadsheets/d/1-l2W-V-FrWdGoudk2a-jCGxmJ2Ltmoo3?usp=share_link", 472.402)</f>
        <v>472.402</v>
      </c>
      <c r="U200" s="18" t="str">
        <f>HYPERLINK("https://docs.google.com/spreadsheets/d/1V1CQOwU0jc8L_X79b4HM4AKQTJPSc0L4?usp=share_link", "RE-38.7857")</f>
        <v>RE-38.7857</v>
      </c>
      <c r="V200" s="18" t="str">
        <f>HYPERLINK("https://docs.google.com/spreadsheets/d/1MbwxxR1FwTwaSzRd6C6c7dTCcX1eW7Zh?usp=share_link", "RE-3.33448")</f>
        <v>RE-3.33448</v>
      </c>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c r="DN200" s="17"/>
      <c r="DO200" s="17"/>
      <c r="DP200" s="17"/>
      <c r="DQ200" s="17"/>
      <c r="DR200" s="17"/>
      <c r="DS200" s="17"/>
      <c r="DT200" s="17"/>
      <c r="DU200" s="17"/>
      <c r="DV200" s="17"/>
      <c r="DW200" s="17"/>
      <c r="DX200" s="17"/>
      <c r="DY200" s="17"/>
      <c r="DZ200" s="17"/>
      <c r="EA200" s="17"/>
      <c r="EB200" s="17"/>
      <c r="EC200" s="17"/>
      <c r="ED200" s="17"/>
      <c r="EE200" s="17"/>
      <c r="EF200" s="17"/>
      <c r="EG200" s="17"/>
      <c r="EH200" s="17"/>
      <c r="EI200" s="17"/>
      <c r="EJ200" s="17"/>
      <c r="EK200" s="17"/>
      <c r="EL200" s="17"/>
      <c r="EM200" s="17"/>
      <c r="EN200" s="17"/>
      <c r="EO200" s="17"/>
      <c r="EP200" s="17"/>
      <c r="EQ200" s="17"/>
      <c r="ER200" s="17"/>
      <c r="ES200" s="17"/>
      <c r="ET200" s="17"/>
      <c r="EU200" s="17"/>
      <c r="EV200" s="17"/>
      <c r="EW200" s="17"/>
      <c r="EX200" s="17"/>
      <c r="EY200" s="17"/>
      <c r="EZ200" s="17"/>
      <c r="FA200" s="17"/>
      <c r="FB200" s="17"/>
      <c r="FC200" s="17"/>
      <c r="FD200" s="17"/>
      <c r="FE200" s="17"/>
      <c r="FF200" s="17"/>
      <c r="FG200" s="17"/>
      <c r="FH200" s="17"/>
    </row>
    <row r="201">
      <c r="A201" s="32" t="s">
        <v>7</v>
      </c>
      <c r="B201" s="32" t="s">
        <v>43</v>
      </c>
      <c r="C201" s="32" t="s">
        <v>14</v>
      </c>
      <c r="D201" s="16">
        <f t="shared" si="1"/>
        <v>1737.608</v>
      </c>
      <c r="E201" s="17"/>
      <c r="F201" s="18" t="str">
        <f>HYPERLINK("https://docs.google.com/spreadsheets/d/1-lv3VpWX-QYiPg-REFUmX7aB6ELS3hu_?usp=share_link", "RE-649.907")</f>
        <v>RE-649.907</v>
      </c>
      <c r="G201" s="18" t="str">
        <f>HYPERLINK("https://docs.google.com/spreadsheets/d/1JxgdG402WXTTlroqHKHtYQbDDkV3n6mO?usp=share_link", "RE-1.0674")</f>
        <v>RE-1.0674</v>
      </c>
      <c r="H201" s="18" t="str">
        <f>HYPERLINK("https://docs.google.com/spreadsheets/d/146k0FcnURr4awGafw-BQiyskXmixnVwo?usp=share_link", "RE-151.546")</f>
        <v>RE-151.546</v>
      </c>
      <c r="I201" s="18" t="str">
        <f>HYPERLINK("https://docs.google.com/spreadsheets/d/1yqpGP_IyA-vA2zfEiIiBs_wQFgeKO5Hp?usp=share_link", "RE-0.318083")</f>
        <v>RE-0.318083</v>
      </c>
      <c r="J201" s="18" t="str">
        <f>HYPERLINK("https://docs.google.com/spreadsheets/d/1tHiBgjw94aH6BRVfy6BGevE4E8_sJlYI?usp=share_link", "RE-992.124")</f>
        <v>RE-992.124</v>
      </c>
      <c r="K201" s="18" t="str">
        <f>HYPERLINK("https://docs.google.com/spreadsheets/d/1mAF-bfcLeL7XOrNqInJY2z-xwUryMz3D?usp=share_link", "RE-4.0874")</f>
        <v>RE-4.0874</v>
      </c>
      <c r="L201" s="18">
        <f>HYPERLINK("https://docs.google.com/spreadsheets/d/1DU_6eVbDYmvlPOu725wOzE68K4Yf9lGd?usp=share_link", 721.443)</f>
        <v>721.443</v>
      </c>
      <c r="M201" s="18" t="str">
        <f>HYPERLINK("https://docs.google.com/spreadsheets/d/1m22y6OAHxoxf1zHBJTUuJAWqQwxZ6dE1?usp=share_link", "RE-8.08022")</f>
        <v>RE-8.08022</v>
      </c>
      <c r="N201" s="18" t="str">
        <f>HYPERLINK("https://docs.google.com/spreadsheets/d/1dujuwGyEWIIT2iVomRL_3d-KszSE24dN?usp=share_link", "RE-654.029")</f>
        <v>RE-654.029</v>
      </c>
      <c r="O201" s="18" t="str">
        <f>HYPERLINK("https://docs.google.com/spreadsheets/d/1buYF1hD4NFropSd8zMZA9inHbVqpvQYs?usp=share_link", "RE-7.17472")</f>
        <v>RE-7.17472</v>
      </c>
      <c r="P201" s="18">
        <f>HYPERLINK("https://docs.google.com/spreadsheets/d/10T0_9bZkpGASbUawQB2LwUJTrGobpzUF?usp=share_link", 500.34)</f>
        <v>500.34</v>
      </c>
      <c r="Q201" s="18" t="str">
        <f>HYPERLINK("https://docs.google.com/spreadsheets/d/1RTkwm6iNYHzdS9AZUAZIw6-RIseuOMhu?usp=share_link", "RE-27.6697")</f>
        <v>RE-27.6697</v>
      </c>
      <c r="R201" s="18">
        <f>HYPERLINK("https://docs.google.com/spreadsheets/d/1ZiY4BrqIyQcsQiVl4Sen4a3CXxbv1zqN?usp=share_link", 121.863)</f>
        <v>121.863</v>
      </c>
      <c r="S201" s="18" t="str">
        <f>HYPERLINK("https://docs.google.com/spreadsheets/d/1uk20x0YCzizrJ3o5aRUnjTzxpudxGGKJ?usp=share_link", "RE-15.2598")</f>
        <v>RE-15.2598</v>
      </c>
      <c r="T201" s="18">
        <f>HYPERLINK("https://docs.google.com/spreadsheets/d/1HWZxt8ULgmHwSKPTERbfyNHpHsYaAduY?usp=share_link", 393.962)</f>
        <v>393.962</v>
      </c>
      <c r="U201" s="18" t="str">
        <f>HYPERLINK("https://docs.google.com/spreadsheets/d/1ffaG0wi0cjNUCw2IWHmJ3eBN1B0i8OGT?usp=share_link", "RE-32.7691")</f>
        <v>RE-32.7691</v>
      </c>
      <c r="V201" s="18" t="str">
        <f>HYPERLINK("https://docs.google.com/spreadsheets/d/1WQcuBBdcjNi1Kz9YAX0Js1v77-WpylVQ?usp=share_link", "RE-2.79512")</f>
        <v>RE-2.79512</v>
      </c>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c r="DN201" s="17"/>
      <c r="DO201" s="17"/>
      <c r="DP201" s="17"/>
      <c r="DQ201" s="17"/>
      <c r="DR201" s="17"/>
      <c r="DS201" s="17"/>
      <c r="DT201" s="17"/>
      <c r="DU201" s="17"/>
      <c r="DV201" s="17"/>
      <c r="DW201" s="17"/>
      <c r="DX201" s="17"/>
      <c r="DY201" s="17"/>
      <c r="DZ201" s="17"/>
      <c r="EA201" s="17"/>
      <c r="EB201" s="17"/>
      <c r="EC201" s="17"/>
      <c r="ED201" s="17"/>
      <c r="EE201" s="17"/>
      <c r="EF201" s="17"/>
      <c r="EG201" s="17"/>
      <c r="EH201" s="17"/>
      <c r="EI201" s="17"/>
      <c r="EJ201" s="17"/>
      <c r="EK201" s="17"/>
      <c r="EL201" s="17"/>
      <c r="EM201" s="17"/>
      <c r="EN201" s="17"/>
      <c r="EO201" s="17"/>
      <c r="EP201" s="17"/>
      <c r="EQ201" s="17"/>
      <c r="ER201" s="17"/>
      <c r="ES201" s="17"/>
      <c r="ET201" s="17"/>
      <c r="EU201" s="17"/>
      <c r="EV201" s="17"/>
      <c r="EW201" s="17"/>
      <c r="EX201" s="17"/>
      <c r="EY201" s="17"/>
      <c r="EZ201" s="17"/>
      <c r="FA201" s="17"/>
      <c r="FB201" s="17"/>
      <c r="FC201" s="17"/>
      <c r="FD201" s="17"/>
      <c r="FE201" s="17"/>
      <c r="FF201" s="17"/>
      <c r="FG201" s="17"/>
      <c r="FH201" s="17"/>
    </row>
    <row r="202">
      <c r="A202" s="27" t="s">
        <v>7</v>
      </c>
      <c r="B202" s="27" t="s">
        <v>43</v>
      </c>
      <c r="C202" s="27" t="s">
        <v>15</v>
      </c>
      <c r="D202" s="28">
        <f t="shared" si="1"/>
        <v>2028.98</v>
      </c>
      <c r="E202" s="33"/>
      <c r="F202" s="34" t="str">
        <f>HYPERLINK("https://docs.google.com/spreadsheets/d/1xPsSGsr-a6FvLZtQanwL121ZVg_4Ol41?usp=share_link", "RE-703.487")</f>
        <v>RE-703.487</v>
      </c>
      <c r="G202" s="34" t="str">
        <f>HYPERLINK("https://docs.google.com/spreadsheets/d/1dMLrvr8xWV-yyMUByAlIk7sfrUon77jM?usp=share_link", "RE-1.0674")</f>
        <v>RE-1.0674</v>
      </c>
      <c r="H202" s="34" t="str">
        <f>HYPERLINK("https://docs.google.com/spreadsheets/d/1WVnXJqXac_dbNPNlaCSoF2l25Q-0td2t?usp=share_link", "RE-160.968")</f>
        <v>RE-160.968</v>
      </c>
      <c r="I202" s="34" t="str">
        <f>HYPERLINK("https://docs.google.com/spreadsheets/d/1TyRI-oOzWovtHa8pkqYVV69pRcIjhDbx?usp=share_link", "RE-0.318083")</f>
        <v>RE-0.318083</v>
      </c>
      <c r="J202" s="34" t="str">
        <f>HYPERLINK("https://docs.google.com/spreadsheets/d/1J3UF2Ce6DT6VT23PWYcMXLHBshezqEkP?usp=share_link", "RE-1072.57")</f>
        <v>RE-1072.57</v>
      </c>
      <c r="K202" s="34" t="str">
        <f>HYPERLINK("https://docs.google.com/spreadsheets/d/1vcTqTLPPUtqU8IgVAbPpnj2ZYd8poQXt?usp=share_link", "RE-4.22492")</f>
        <v>RE-4.22492</v>
      </c>
      <c r="L202" s="34">
        <f>HYPERLINK("https://docs.google.com/spreadsheets/d/1Q393d_IYdQtusHPQFbK9HM4E84VPTCZp?usp=share_link", 826.427)</f>
        <v>826.427</v>
      </c>
      <c r="M202" s="34" t="str">
        <f>HYPERLINK("https://docs.google.com/spreadsheets/d/1gXlY7_i6KD_ffZ3j5skYDkAmAb_A_EAA?usp=share_link", "RE-8.3902")</f>
        <v>RE-8.3902</v>
      </c>
      <c r="N202" s="34" t="str">
        <f>HYPERLINK("https://docs.google.com/spreadsheets/d/1CYmXrzfWKZUiVLKR6Kw7MKyz_nky60qR?usp=share_link", "RE-763.839")</f>
        <v>RE-763.839</v>
      </c>
      <c r="O202" s="34" t="str">
        <f>HYPERLINK("https://docs.google.com/spreadsheets/d/1W70Lw2UpGHcVMs1EpfX_zNsrK2FRni75?usp=share_link", "RE-8.02105")</f>
        <v>RE-8.02105</v>
      </c>
      <c r="P202" s="34">
        <f>HYPERLINK("https://docs.google.com/spreadsheets/d/1YxM8c3xSOGcEE9i0uxuPe5-ALvUnuddb?usp=share_link", 585.189)</f>
        <v>585.189</v>
      </c>
      <c r="Q202" s="34" t="str">
        <f>HYPERLINK("https://docs.google.com/spreadsheets/d/1TRA0bnpQZ3U3WXOQ_783H0JFdolW3r3b?usp=share_link", "RE-29.4082")</f>
        <v>RE-29.4082</v>
      </c>
      <c r="R202" s="34">
        <f>HYPERLINK("https://docs.google.com/spreadsheets/d/1xzxO900hT5_4PYG3ZpO8_hIm2aI3bKaK?usp=share_link", 144.962)</f>
        <v>144.962</v>
      </c>
      <c r="S202" s="34" t="str">
        <f>HYPERLINK("https://docs.google.com/spreadsheets/d/1YVZfFHqh_PWWurBZhIGq9fEF7I20x4hX?usp=share_link", "RE-19.3432")</f>
        <v>RE-19.3432</v>
      </c>
      <c r="T202" s="34">
        <f>HYPERLINK("https://docs.google.com/spreadsheets/d/1PLHlkUvFuedVlSATlozLGOwesVUOUNl9?usp=share_link", 472.402)</f>
        <v>472.402</v>
      </c>
      <c r="U202" s="34" t="str">
        <f>HYPERLINK("https://docs.google.com/spreadsheets/d/1wfgjpqPRTZWLROn0DcgCJoAAfhitZk3a?usp=share_link", "RE-38.7857")</f>
        <v>RE-38.7857</v>
      </c>
      <c r="V202" s="34" t="str">
        <f>HYPERLINK("https://docs.google.com/spreadsheets/d/1OddPLOPRb-PQCeFPThVmyZzExq39nhls?usp=share_link", "RE-3.33448")</f>
        <v>RE-3.33448</v>
      </c>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row>
    <row r="203">
      <c r="A203" s="30" t="s">
        <v>7</v>
      </c>
      <c r="B203" s="30" t="s">
        <v>44</v>
      </c>
      <c r="C203" s="31" t="str">
        <f>HYPERLINK("https://docs.google.com/spreadsheets/d/1y1JM_WcxVW0gYzWt79-aPlGog_CW8_ta/edit?usp=share_link&amp;ouid=106501987799020758802&amp;rtpof=true&amp;sd=true", "Raw Delivered")</f>
        <v>Raw Delivered</v>
      </c>
      <c r="D203" s="12">
        <f t="shared" si="1"/>
        <v>6796.227707</v>
      </c>
      <c r="E203" s="13"/>
      <c r="F203" s="14">
        <f>HYPERLINK("https://docs.google.com/spreadsheets/d/1TbzbTi3Qjd0uYxBT1QaxyV7qfx_HU0rR", 621.83695625)</f>
        <v>621.8369563</v>
      </c>
      <c r="G203" s="13"/>
      <c r="H203" s="14">
        <f>HYPERLINK("https://docs.google.com/spreadsheets/d/1RCUgu1vGs4YbFLEebMjQeIwRTC86dXVt", 123.618414583333)</f>
        <v>123.6184146</v>
      </c>
      <c r="I203" s="13"/>
      <c r="J203" s="14">
        <f>HYPERLINK("https://docs.google.com/spreadsheets/d/11aMVWfCzRnxx91LIQ-l_Nt8_CNEKn6mr", 2128.57639479166)</f>
        <v>2128.576395</v>
      </c>
      <c r="K203" s="13"/>
      <c r="L203" s="14">
        <f t="shared" ref="L203:L204" si="102">HYPERLINK("https://docs.google.com/spreadsheets/d/1qj2SmWeGKM0tbE7j3t8tECgY7q-Jhw3t", 657.332696875)</f>
        <v>657.3326969</v>
      </c>
      <c r="M203" s="13"/>
      <c r="N203" s="14">
        <f>HYPERLINK("https://docs.google.com/spreadsheets/d/1NPu7xeQ1UYEmQHROXYCZsgUpmnTrY6RS", 2025.22182395833)</f>
        <v>2025.221824</v>
      </c>
      <c r="O203" s="13"/>
      <c r="P203" s="14">
        <f t="shared" ref="P203:P204" si="103">HYPERLINK("https://docs.google.com/spreadsheets/d/10sQ1zNRa_FejtjryiqmHgWdYt0fggECm", 495.982344791666)</f>
        <v>495.9823448</v>
      </c>
      <c r="Q203" s="13"/>
      <c r="R203" s="14">
        <f t="shared" ref="R203:R204" si="104">HYPERLINK("https://docs.google.com/spreadsheets/d/17Nd2oAOyl46efrEXtMTE9JMHNedp6qiF", 106.232664583333)</f>
        <v>106.2326646</v>
      </c>
      <c r="S203" s="13"/>
      <c r="T203" s="14">
        <f t="shared" ref="T203:T204" si="105">HYPERLINK("https://docs.google.com/spreadsheets/d/1D2y-MUU8BSrhWArB_eW6J3k9UQ9KJmRV", 637.426411458331)</f>
        <v>637.4264115</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row>
    <row r="204">
      <c r="A204" s="32" t="s">
        <v>7</v>
      </c>
      <c r="B204" s="32" t="s">
        <v>44</v>
      </c>
      <c r="C204" s="32" t="s">
        <v>9</v>
      </c>
      <c r="D204" s="16">
        <f t="shared" si="1"/>
        <v>1896.974118</v>
      </c>
      <c r="E204" s="17"/>
      <c r="F204" s="18" t="str">
        <f>HYPERLINK("https://docs.google.com/spreadsheets/d/1TbzbTi3Qjd0uYxBT1QaxyV7qfx_HU0rR", "RE-621.8369562500005")</f>
        <v>RE-621.8369562500005</v>
      </c>
      <c r="G204" s="17"/>
      <c r="H204" s="18" t="str">
        <f>HYPERLINK("https://docs.google.com/spreadsheets/d/1RCUgu1vGs4YbFLEebMjQeIwRTC86dXVt", "RE-123.6184145833333")</f>
        <v>RE-123.6184145833333</v>
      </c>
      <c r="I204" s="17"/>
      <c r="J204" s="18" t="str">
        <f>HYPERLINK("https://docs.google.com/spreadsheets/d/11aMVWfCzRnxx91LIQ-l_Nt8_CNEKn6mr", "RE-2128.576394791668")</f>
        <v>RE-2128.576394791668</v>
      </c>
      <c r="K204" s="17"/>
      <c r="L204" s="18">
        <f t="shared" si="102"/>
        <v>657.3326969</v>
      </c>
      <c r="M204" s="17"/>
      <c r="N204" s="18" t="str">
        <f>HYPERLINK("https://docs.google.com/spreadsheets/d/1NPu7xeQ1UYEmQHROXYCZsgUpmnTrY6RS", "RE-2025.221823958332")</f>
        <v>RE-2025.221823958332</v>
      </c>
      <c r="O204" s="17"/>
      <c r="P204" s="18">
        <f t="shared" si="103"/>
        <v>495.9823448</v>
      </c>
      <c r="Q204" s="17"/>
      <c r="R204" s="18">
        <f t="shared" si="104"/>
        <v>106.2326646</v>
      </c>
      <c r="S204" s="17"/>
      <c r="T204" s="18">
        <f t="shared" si="105"/>
        <v>637.4264115</v>
      </c>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c r="DE204" s="17"/>
      <c r="DF204" s="17"/>
      <c r="DG204" s="17"/>
      <c r="DH204" s="17"/>
      <c r="DI204" s="17"/>
      <c r="DJ204" s="17"/>
      <c r="DK204" s="17"/>
      <c r="DL204" s="17"/>
      <c r="DM204" s="17"/>
      <c r="DN204" s="17"/>
      <c r="DO204" s="17"/>
      <c r="DP204" s="17"/>
      <c r="DQ204" s="17"/>
      <c r="DR204" s="17"/>
      <c r="DS204" s="17"/>
      <c r="DT204" s="17"/>
      <c r="DU204" s="17"/>
      <c r="DV204" s="17"/>
      <c r="DW204" s="17"/>
      <c r="DX204" s="17"/>
      <c r="DY204" s="17"/>
      <c r="DZ204" s="17"/>
      <c r="EA204" s="17"/>
      <c r="EB204" s="17"/>
      <c r="EC204" s="17"/>
      <c r="ED204" s="17"/>
      <c r="EE204" s="17"/>
      <c r="EF204" s="17"/>
      <c r="EG204" s="17"/>
      <c r="EH204" s="17"/>
      <c r="EI204" s="17"/>
      <c r="EJ204" s="17"/>
      <c r="EK204" s="17"/>
      <c r="EL204" s="17"/>
      <c r="EM204" s="17"/>
      <c r="EN204" s="17"/>
      <c r="EO204" s="17"/>
      <c r="EP204" s="17"/>
      <c r="EQ204" s="17"/>
      <c r="ER204" s="17"/>
      <c r="ES204" s="17"/>
      <c r="ET204" s="17"/>
      <c r="EU204" s="17"/>
      <c r="EV204" s="17"/>
      <c r="EW204" s="17"/>
      <c r="EX204" s="17"/>
      <c r="EY204" s="17"/>
      <c r="EZ204" s="17"/>
      <c r="FA204" s="17"/>
      <c r="FB204" s="17"/>
      <c r="FC204" s="17"/>
      <c r="FD204" s="17"/>
      <c r="FE204" s="17"/>
      <c r="FF204" s="17"/>
      <c r="FG204" s="17"/>
      <c r="FH204" s="17"/>
    </row>
    <row r="205">
      <c r="A205" s="32" t="s">
        <v>7</v>
      </c>
      <c r="B205" s="32" t="s">
        <v>44</v>
      </c>
      <c r="C205" s="32" t="s">
        <v>10</v>
      </c>
      <c r="D205" s="16">
        <f t="shared" si="1"/>
        <v>746.4235271</v>
      </c>
      <c r="E205" s="17"/>
      <c r="F205" s="17"/>
      <c r="G205" s="18">
        <f>HYPERLINK("https://docs.google.com/spreadsheets/d/1S7mmAbAl2794KnGZTOclERl7z_OdO_7R", 43.4022520833333)</f>
        <v>43.40225208</v>
      </c>
      <c r="H205" s="17"/>
      <c r="I205" s="18">
        <f>HYPERLINK("https://docs.google.com/spreadsheets/d/1W-VoK2XLLRJ6RE1VQYOiwe3bwhiwnCmZ", 5.81573749999999)</f>
        <v>5.8157375</v>
      </c>
      <c r="J205" s="17"/>
      <c r="K205" s="18">
        <f>HYPERLINK("https://docs.google.com/spreadsheets/d/18z7YOvaKA0dSSnb755leMvici4Qu2S2n", 184.398636458333)</f>
        <v>184.3986365</v>
      </c>
      <c r="L205" s="17"/>
      <c r="M205" s="18">
        <f>HYPERLINK("https://docs.google.com/spreadsheets/d/1Mf-5AzN7mJfeMFgpZEVwqYqJmbB1nCYO", 41.9522708333333)</f>
        <v>41.95227083</v>
      </c>
      <c r="N205" s="17"/>
      <c r="O205" s="18">
        <f>HYPERLINK("https://docs.google.com/spreadsheets/d/1wL4O3YdkWkkoWwfUSsMQ8_UFV9iUxj_Z", 243.163990624999)</f>
        <v>243.1639906</v>
      </c>
      <c r="P205" s="17"/>
      <c r="Q205" s="18">
        <f>HYPERLINK("https://docs.google.com/spreadsheets/d/1S4EU7hGLmADBspYVJuvX4tuJRna-t9BR", 131.082126041666)</f>
        <v>131.082126</v>
      </c>
      <c r="R205" s="17"/>
      <c r="S205" s="18">
        <f>HYPERLINK("https://docs.google.com/spreadsheets/d/1VuvHGz5QrXh_NQbq-6ANmPB6RVyLuoWI", 16.2845947916666)</f>
        <v>16.28459479</v>
      </c>
      <c r="T205" s="17"/>
      <c r="U205" s="18">
        <f>HYPERLINK("https://docs.google.com/spreadsheets/d/1WNI_9Gs2tt721HDihnKKYuhrcfg8aDxS", 69.8281395833333)</f>
        <v>69.82813958</v>
      </c>
      <c r="V205" s="18">
        <f>HYPERLINK("https://docs.google.com/spreadsheets/d/1tj7TT5MfMR19sR7z1HyQv4bB93AIFyJC", 10.4957791666666)</f>
        <v>10.49577917</v>
      </c>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c r="DE205" s="17"/>
      <c r="DF205" s="17"/>
      <c r="DG205" s="17"/>
      <c r="DH205" s="17"/>
      <c r="DI205" s="17"/>
      <c r="DJ205" s="17"/>
      <c r="DK205" s="17"/>
      <c r="DL205" s="17"/>
      <c r="DM205" s="17"/>
      <c r="DN205" s="17"/>
      <c r="DO205" s="17"/>
      <c r="DP205" s="17"/>
      <c r="DQ205" s="17"/>
      <c r="DR205" s="17"/>
      <c r="DS205" s="17"/>
      <c r="DT205" s="17"/>
      <c r="DU205" s="17"/>
      <c r="DV205" s="17"/>
      <c r="DW205" s="17"/>
      <c r="DX205" s="17"/>
      <c r="DY205" s="17"/>
      <c r="DZ205" s="17"/>
      <c r="EA205" s="17"/>
      <c r="EB205" s="17"/>
      <c r="EC205" s="17"/>
      <c r="ED205" s="17"/>
      <c r="EE205" s="17"/>
      <c r="EF205" s="17"/>
      <c r="EG205" s="17"/>
      <c r="EH205" s="17"/>
      <c r="EI205" s="17"/>
      <c r="EJ205" s="17"/>
      <c r="EK205" s="17"/>
      <c r="EL205" s="17"/>
      <c r="EM205" s="17"/>
      <c r="EN205" s="17"/>
      <c r="EO205" s="17"/>
      <c r="EP205" s="17"/>
      <c r="EQ205" s="17"/>
      <c r="ER205" s="17"/>
      <c r="ES205" s="17"/>
      <c r="ET205" s="17"/>
      <c r="EU205" s="17"/>
      <c r="EV205" s="17"/>
      <c r="EW205" s="17"/>
      <c r="EX205" s="17"/>
      <c r="EY205" s="17"/>
      <c r="EZ205" s="17"/>
      <c r="FA205" s="17"/>
      <c r="FB205" s="17"/>
      <c r="FC205" s="17"/>
      <c r="FD205" s="17"/>
      <c r="FE205" s="17"/>
      <c r="FF205" s="17"/>
      <c r="FG205" s="17"/>
      <c r="FH205" s="17"/>
    </row>
    <row r="206">
      <c r="A206" s="32" t="s">
        <v>7</v>
      </c>
      <c r="B206" s="32" t="s">
        <v>44</v>
      </c>
      <c r="C206" s="32" t="s">
        <v>11</v>
      </c>
      <c r="D206" s="16">
        <f t="shared" si="1"/>
        <v>0</v>
      </c>
      <c r="E206" s="17"/>
      <c r="F206" s="17"/>
      <c r="G206" s="18" t="str">
        <f>HYPERLINK("https://docs.google.com/spreadsheets/d/1S7mmAbAl2794KnGZTOclERl7z_OdO_7R", "RE-43.40225208333333")</f>
        <v>RE-43.40225208333333</v>
      </c>
      <c r="H206" s="17"/>
      <c r="I206" s="18" t="str">
        <f>HYPERLINK("https://docs.google.com/spreadsheets/d/1W-VoK2XLLRJ6RE1VQYOiwe3bwhiwnCmZ", "RE-5.815737499999999")</f>
        <v>RE-5.815737499999999</v>
      </c>
      <c r="J206" s="17"/>
      <c r="K206" s="18" t="str">
        <f>HYPERLINK("https://docs.google.com/spreadsheets/d/18z7YOvaKA0dSSnb755leMvici4Qu2S2n", "RE-184.3986364583333")</f>
        <v>RE-184.3986364583333</v>
      </c>
      <c r="L206" s="17"/>
      <c r="M206" s="18" t="str">
        <f>HYPERLINK("https://docs.google.com/spreadsheets/d/1Mf-5AzN7mJfeMFgpZEVwqYqJmbB1nCYO", "RE-41.95227083333332")</f>
        <v>RE-41.95227083333332</v>
      </c>
      <c r="N206" s="17"/>
      <c r="O206" s="18" t="str">
        <f>HYPERLINK("https://docs.google.com/spreadsheets/d/1wL4O3YdkWkkoWwfUSsMQ8_UFV9iUxj_Z", "RE-243.16399062499985")</f>
        <v>RE-243.16399062499985</v>
      </c>
      <c r="P206" s="17"/>
      <c r="Q206" s="18" t="str">
        <f>HYPERLINK("https://docs.google.com/spreadsheets/d/1S4EU7hGLmADBspYVJuvX4tuJRna-t9BR", "RE-131.08212604166678")</f>
        <v>RE-131.08212604166678</v>
      </c>
      <c r="R206" s="17"/>
      <c r="S206" s="18" t="str">
        <f>HYPERLINK("https://docs.google.com/spreadsheets/d/1VuvHGz5QrXh_NQbq-6ANmPB6RVyLuoWI", "RE-16.284594791666667")</f>
        <v>RE-16.284594791666667</v>
      </c>
      <c r="T206" s="17"/>
      <c r="U206" s="18" t="str">
        <f>HYPERLINK("https://docs.google.com/spreadsheets/d/1WNI_9Gs2tt721HDihnKKYuhrcfg8aDxS", "RE-69.82813958333331")</f>
        <v>RE-69.82813958333331</v>
      </c>
      <c r="V206" s="18" t="str">
        <f>HYPERLINK("https://docs.google.com/spreadsheets/d/1tj7TT5MfMR19sR7z1HyQv4bB93AIFyJC", "RE-10.495779166666663")</f>
        <v>RE-10.495779166666663</v>
      </c>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17"/>
      <c r="FD206" s="17"/>
      <c r="FE206" s="17"/>
      <c r="FF206" s="17"/>
      <c r="FG206" s="17"/>
      <c r="FH206" s="17"/>
    </row>
    <row r="207">
      <c r="A207" s="32" t="s">
        <v>7</v>
      </c>
      <c r="B207" s="32" t="s">
        <v>44</v>
      </c>
      <c r="C207" s="32" t="s">
        <v>12</v>
      </c>
      <c r="D207" s="16">
        <f t="shared" si="1"/>
        <v>1754.480996</v>
      </c>
      <c r="E207" s="17"/>
      <c r="F207" s="18" t="str">
        <f>HYPERLINK("https://docs.google.com/spreadsheets/d/1ht2E2KbpoUEi3gyhZh3bdR9Urzgt122z", "RE-535.9042874999993")</f>
        <v>RE-535.9042874999993</v>
      </c>
      <c r="G207" s="18" t="str">
        <f>HYPERLINK("https://docs.google.com/spreadsheets/d/1kpv4WDWQcohFhSWuFEqbGJmTE-txVeHE", "RE-2.9897875")</f>
        <v>RE-2.9897875</v>
      </c>
      <c r="H207" s="18" t="str">
        <f>HYPERLINK("https://docs.google.com/spreadsheets/d/1PrgrAuQY_4ljKvq5Kjeqj7_8rPBC3GPc", "RE-110.64660833333326")</f>
        <v>RE-110.64660833333326</v>
      </c>
      <c r="I207" s="18" t="str">
        <f>HYPERLINK("https://docs.google.com/spreadsheets/d/1IpRJWDt_OBQ2sCGvNgQDqYDWpo-2VfPY", "RE-0.0")</f>
        <v>RE-0.0</v>
      </c>
      <c r="J207" s="18" t="str">
        <f>HYPERLINK("https://docs.google.com/spreadsheets/d/1wOnyRR7UfKC4h4NsH2xQHoUU34_RNCw-", "RE-1686.2503968750016")</f>
        <v>RE-1686.2503968750016</v>
      </c>
      <c r="K207" s="18" t="str">
        <f>HYPERLINK("https://docs.google.com/spreadsheets/d/1onCjdpqEf4Q_XgmNTZ_qGkrBLjJIE4na", "RE-7.112795833333333")</f>
        <v>RE-7.112795833333333</v>
      </c>
      <c r="L207" s="18">
        <f>HYPERLINK("https://docs.google.com/spreadsheets/d/1gF_GWWaXfSg6BA0Fal2c4FYy_XGv2GXE", 590.845776041668)</f>
        <v>590.845776</v>
      </c>
      <c r="M207" s="18" t="str">
        <f>HYPERLINK("https://docs.google.com/spreadsheets/d/18hwzAkP0IOIWwRKWNunk1RKqOrWfy0Ah", "RE-10.119129166666665")</f>
        <v>RE-10.119129166666665</v>
      </c>
      <c r="N207" s="18" t="str">
        <f>HYPERLINK("https://docs.google.com/spreadsheets/d/1_zX8oLp1CxiSHnlqssvwgibwOQ9lBhAg", "RE-1312.594114583336")</f>
        <v>RE-1312.594114583336</v>
      </c>
      <c r="O207" s="18" t="str">
        <f>HYPERLINK("https://docs.google.com/spreadsheets/d/10uuVDOQEO7XApL2tqwxXXdgpmgwPOFov", "RE-26.156795833333334")</f>
        <v>RE-26.156795833333334</v>
      </c>
      <c r="P207" s="18">
        <f>HYPERLINK("https://docs.google.com/spreadsheets/d/1ANKVTH5BVvUsmo_7CoAYRAGvCxpXxsXD", 464.063070833333)</f>
        <v>464.0630708</v>
      </c>
      <c r="Q207" s="18" t="str">
        <f>HYPERLINK("https://docs.google.com/spreadsheets/d/1cmYp8NlxsRVvl7Gvlgtnsd_ZD749plzV", "RE-51.36569687499999")</f>
        <v>RE-51.36569687499999</v>
      </c>
      <c r="R207" s="18">
        <f>HYPERLINK("https://docs.google.com/spreadsheets/d/1px501UMYo_lhSguQ96O2iytEKw8C5ZnI", 98.00906875)</f>
        <v>98.00906875</v>
      </c>
      <c r="S207" s="18" t="str">
        <f>HYPERLINK("https://docs.google.com/spreadsheets/d/1f6IdO5vBr9I_5MxF8Q4sJIk3SNG96hB5", "RE-10.599401041666665")</f>
        <v>RE-10.599401041666665</v>
      </c>
      <c r="T207" s="18">
        <f>HYPERLINK("https://docs.google.com/spreadsheets/d/1lEy_99e1lTX0AP3YVwYWdaCbdtMw8JWt", 601.563080208332)</f>
        <v>601.5630802</v>
      </c>
      <c r="U207" s="18" t="str">
        <f>HYPERLINK("https://docs.google.com/spreadsheets/d/1PaZkToDxM4OaQ1SjorlLEg99ap9t1PH1", "RE-38.94382916666666")</f>
        <v>RE-38.94382916666666</v>
      </c>
      <c r="V207" s="18" t="str">
        <f>HYPERLINK("https://docs.google.com/spreadsheets/d/1Sg1M27Z7okAccnc6WN4g2fFQeym-A155", "RE-6.379320833333333")</f>
        <v>RE-6.379320833333333</v>
      </c>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c r="DN207" s="17"/>
      <c r="DO207" s="17"/>
      <c r="DP207" s="17"/>
      <c r="DQ207" s="17"/>
      <c r="DR207" s="17"/>
      <c r="DS207" s="17"/>
      <c r="DT207" s="17"/>
      <c r="DU207" s="17"/>
      <c r="DV207" s="17"/>
      <c r="DW207" s="17"/>
      <c r="DX207" s="17"/>
      <c r="DY207" s="17"/>
      <c r="DZ207" s="17"/>
      <c r="EA207" s="17"/>
      <c r="EB207" s="17"/>
      <c r="EC207" s="17"/>
      <c r="ED207" s="17"/>
      <c r="EE207" s="17"/>
      <c r="EF207" s="17"/>
      <c r="EG207" s="17"/>
      <c r="EH207" s="17"/>
      <c r="EI207" s="17"/>
      <c r="EJ207" s="17"/>
      <c r="EK207" s="17"/>
      <c r="EL207" s="17"/>
      <c r="EM207" s="17"/>
      <c r="EN207" s="17"/>
      <c r="EO207" s="17"/>
      <c r="EP207" s="17"/>
      <c r="EQ207" s="17"/>
      <c r="ER207" s="17"/>
      <c r="ES207" s="17"/>
      <c r="ET207" s="17"/>
      <c r="EU207" s="17"/>
      <c r="EV207" s="17"/>
      <c r="EW207" s="17"/>
      <c r="EX207" s="17"/>
      <c r="EY207" s="17"/>
      <c r="EZ207" s="17"/>
      <c r="FA207" s="17"/>
      <c r="FB207" s="17"/>
      <c r="FC207" s="17"/>
      <c r="FD207" s="17"/>
      <c r="FE207" s="17"/>
      <c r="FF207" s="17"/>
      <c r="FG207" s="17"/>
      <c r="FH207" s="17"/>
    </row>
    <row r="208">
      <c r="A208" s="32" t="s">
        <v>7</v>
      </c>
      <c r="B208" s="32" t="s">
        <v>44</v>
      </c>
      <c r="C208" s="32" t="s">
        <v>13</v>
      </c>
      <c r="D208" s="16">
        <f t="shared" si="1"/>
        <v>1678.8524</v>
      </c>
      <c r="E208" s="17"/>
      <c r="F208" s="18" t="str">
        <f>HYPERLINK("https://docs.google.com/spreadsheets/d/1IaSUf-8my2nK5iL3M5YFTAFxk1IL_amV?usp=share_link", "RE-522.301")</f>
        <v>RE-522.301</v>
      </c>
      <c r="G208" s="18" t="str">
        <f>HYPERLINK("https://docs.google.com/spreadsheets/d/1y0fZac5Eob4BPb93VrgMxnuR28J1lNbF?usp=share_link", "RE-2.9033")</f>
        <v>RE-2.9033</v>
      </c>
      <c r="H208" s="18" t="str">
        <f>HYPERLINK("https://docs.google.com/spreadsheets/d/1BdLOkJuG0_Gh4GBhN-nlsUN28y-Wdjzp?usp=share_link", "RE-108.496")</f>
        <v>RE-108.496</v>
      </c>
      <c r="I208" s="17"/>
      <c r="J208" s="18" t="str">
        <f>HYPERLINK("https://docs.google.com/spreadsheets/d/1q1kkp1GnCO79dJZN1ObRD6NeqRo5WsBD?usp=share_link", "RE-1630.3")</f>
        <v>RE-1630.3</v>
      </c>
      <c r="K208" s="18" t="str">
        <f>HYPERLINK("https://docs.google.com/spreadsheets/d/19OjLgqYOYjg3J4Lc2elLaHHaOZSegd5E?usp=share_link", "RE-6.54153")</f>
        <v>RE-6.54153</v>
      </c>
      <c r="L208" s="18">
        <f>HYPERLINK("https://docs.google.com/spreadsheets/d/1vLogf-yWpwNTfajImbs0px8bWHB0FGXS?usp=share_link", 563.481)</f>
        <v>563.481</v>
      </c>
      <c r="M208" s="18" t="str">
        <f>HYPERLINK("https://docs.google.com/spreadsheets/d/11GfvA4vM2nRM1Mv4sP5llt3yAbUKAhtl?usp=share_link", "RE-9.31288")</f>
        <v>RE-9.31288</v>
      </c>
      <c r="N208" s="18" t="str">
        <f>HYPERLINK("https://docs.google.com/spreadsheets/d/1zccqqnUL6x6vjiDFjzoxMKzZrAEW96q3?usp=share_link", "RE-1261.33")</f>
        <v>RE-1261.33</v>
      </c>
      <c r="O208" s="18" t="str">
        <f>HYPERLINK("https://docs.google.com/spreadsheets/d/1NNkIRBLaYywhh_Te8pwSli5YfH2GzRo-?usp=share_link", "RE-24.8096")</f>
        <v>RE-24.8096</v>
      </c>
      <c r="P208" s="18">
        <f>HYPERLINK("https://docs.google.com/spreadsheets/d/1feTNPx9koeTVXAkMWZj8xwSiifbfxxdx?usp=share_link", 442.864)</f>
        <v>442.864</v>
      </c>
      <c r="Q208" s="18" t="str">
        <f>HYPERLINK("https://docs.google.com/spreadsheets/d/1xUDRO5Sdpfmsp4WKBiDCYXoe6HBk0fkv?usp=share_link", "RE-49.1236")</f>
        <v>RE-49.1236</v>
      </c>
      <c r="R208" s="18">
        <f>HYPERLINK("https://docs.google.com/spreadsheets/d/1ScOZLoK7poZwkPpoI30gvz1aInXofWCa?usp=share_link", 94.6354)</f>
        <v>94.6354</v>
      </c>
      <c r="S208" s="18" t="str">
        <f>HYPERLINK("https://docs.google.com/spreadsheets/d/13zpRLZn8iB2Ktbo5P78hjSycjt8Ki0QS?usp=share_link", "RE-10.1511")</f>
        <v>RE-10.1511</v>
      </c>
      <c r="T208" s="18">
        <f>HYPERLINK("https://docs.google.com/spreadsheets/d/1Dvl-NZXMjfixbqvq5fSlkL48zTCCYSM5?usp=share_link", 577.872)</f>
        <v>577.872</v>
      </c>
      <c r="U208" s="18" t="str">
        <f>HYPERLINK("https://docs.google.com/spreadsheets/d/1p2cpRkNkaQWKJGsZgbTQJWNp-DY4chCv?usp=share_link", "RE-36.7652")</f>
        <v>RE-36.7652</v>
      </c>
      <c r="V208" s="18" t="str">
        <f>HYPERLINK("https://docs.google.com/spreadsheets/d/1THqvtp2pN8WErZQOIKaCYOCF6VLnIkyh?usp=share_link", "RE-5.8575")</f>
        <v>RE-5.8575</v>
      </c>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17"/>
      <c r="FB208" s="17"/>
      <c r="FC208" s="17"/>
      <c r="FD208" s="17"/>
      <c r="FE208" s="17"/>
      <c r="FF208" s="17"/>
      <c r="FG208" s="17"/>
      <c r="FH208" s="17"/>
    </row>
    <row r="209">
      <c r="A209" s="32" t="s">
        <v>7</v>
      </c>
      <c r="B209" s="32" t="s">
        <v>44</v>
      </c>
      <c r="C209" s="32" t="s">
        <v>14</v>
      </c>
      <c r="D209" s="16">
        <f t="shared" si="1"/>
        <v>1438.0219</v>
      </c>
      <c r="E209" s="17"/>
      <c r="F209" s="18" t="str">
        <f>HYPERLINK("https://docs.google.com/spreadsheets/d/1PDHJLQ4siQhJFk_kKnwKrHHB_aHhTBP1?usp=share_link", "RE-474.399")</f>
        <v>RE-474.399</v>
      </c>
      <c r="G209" s="18" t="str">
        <f>HYPERLINK("https://docs.google.com/spreadsheets/d/13Jd4ugGQqC322Vf5vS1XlxhGn3_M_pQ-?usp=share_link", "RE-2.9033")</f>
        <v>RE-2.9033</v>
      </c>
      <c r="H209" s="18" t="str">
        <f>HYPERLINK("https://docs.google.com/spreadsheets/d/129Uu__1eI5KzO3WfHiDjPtAw9rIEjG5n?usp=share_link", "RE-101.404")</f>
        <v>RE-101.404</v>
      </c>
      <c r="I209" s="17"/>
      <c r="J209" s="18" t="str">
        <f>HYPERLINK("https://docs.google.com/spreadsheets/d/1qumxDYK3rZCjS68PJkB1TvFF2QfZKlGt?usp=share_link", "RE-1511.06")</f>
        <v>RE-1511.06</v>
      </c>
      <c r="K209" s="18" t="str">
        <f>HYPERLINK("https://docs.google.com/spreadsheets/d/14GAzzuF7Ukj409Lo1f0XUh5qvQE9vqkD?usp=share_link", "RE-6.07498")</f>
        <v>RE-6.07498</v>
      </c>
      <c r="L209" s="18">
        <f>HYPERLINK("https://docs.google.com/spreadsheets/d/1GMVsYRRTu7nY8yJGWHHme1d0iP4usS5V?usp=share_link", 486.964)</f>
        <v>486.964</v>
      </c>
      <c r="M209" s="18" t="str">
        <f>HYPERLINK("https://docs.google.com/spreadsheets/d/1oLXTm3OF0i7jZ132PijVU09dMebN2cy2?usp=share_link", "RE-8.41817")</f>
        <v>RE-8.41817</v>
      </c>
      <c r="N209" s="18" t="str">
        <f>HYPERLINK("https://docs.google.com/spreadsheets/d/1D2HAJZPzgZb5uAlQdsP5qzWtSLqe9vv1?usp=share_link", "RE-1091.48")</f>
        <v>RE-1091.48</v>
      </c>
      <c r="O209" s="18" t="str">
        <f>HYPERLINK("https://docs.google.com/spreadsheets/d/1tpX6sSuiizfelFq1y3Kdqhco1CKsHRJO?usp=share_link", "RE-20.5571")</f>
        <v>RE-20.5571</v>
      </c>
      <c r="P209" s="18">
        <f>HYPERLINK("https://docs.google.com/spreadsheets/d/1hkCP8A0TScvC_nTUKmETSBHG1bZg_Nr1?usp=share_link", 376.112)</f>
        <v>376.112</v>
      </c>
      <c r="Q209" s="18" t="str">
        <f>HYPERLINK("https://docs.google.com/spreadsheets/d/10kds-qJd0zjAFsM0Sp4SCY80B_OV1Re9?usp=share_link", "RE-43.2279")</f>
        <v>RE-43.2279</v>
      </c>
      <c r="R209" s="18">
        <f>HYPERLINK("https://docs.google.com/spreadsheets/d/1rQB9-4cQLYg3lGJcQkbMGla6PyppGy0s?usp=share_link", 80.9409)</f>
        <v>80.9409</v>
      </c>
      <c r="S209" s="18" t="str">
        <f>HYPERLINK("https://docs.google.com/spreadsheets/d/1fo2hTrVqYJaO4IFKy75FV9Y2C5q1qwSp?usp=share_link", "RE-8.4617")</f>
        <v>RE-8.4617</v>
      </c>
      <c r="T209" s="18">
        <f>HYPERLINK("https://docs.google.com/spreadsheets/d/1Z99LpfuTWJ7uK-6YJRMgHQecHfnOtekW?usp=share_link", 494.005)</f>
        <v>494.005</v>
      </c>
      <c r="U209" s="18" t="str">
        <f>HYPERLINK("https://docs.google.com/spreadsheets/d/14X-c6pCHEm6_cwy0iMxum1fCuCUkpOkL?usp=share_link", "RE-33.3502")</f>
        <v>RE-33.3502</v>
      </c>
      <c r="V209" s="18" t="str">
        <f>HYPERLINK("https://docs.google.com/spreadsheets/d/1QdcgKC3OEnloE39_pLf9H8OYaDBy2JXJ?usp=share_link", "RE-5.76087")</f>
        <v>RE-5.76087</v>
      </c>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17"/>
      <c r="FB209" s="17"/>
      <c r="FC209" s="17"/>
      <c r="FD209" s="17"/>
      <c r="FE209" s="17"/>
      <c r="FF209" s="17"/>
      <c r="FG209" s="17"/>
      <c r="FH209" s="17"/>
    </row>
    <row r="210">
      <c r="A210" s="27" t="s">
        <v>7</v>
      </c>
      <c r="B210" s="27" t="s">
        <v>44</v>
      </c>
      <c r="C210" s="27" t="s">
        <v>15</v>
      </c>
      <c r="D210" s="28">
        <f t="shared" si="1"/>
        <v>1678.8524</v>
      </c>
      <c r="E210" s="33"/>
      <c r="F210" s="34" t="str">
        <f>HYPERLINK("https://docs.google.com/spreadsheets/d/1RHycUCSnx1YX4FWVPJYC-C_J7NEKC2xR?usp=share_link", "RE-521.614")</f>
        <v>RE-521.614</v>
      </c>
      <c r="G210" s="34" t="str">
        <f>HYPERLINK("https://docs.google.com/spreadsheets/d/1JNZDU8wmqerVvLTlx14y69H9s4kQJL67?usp=share_link", "RE-2.9033")</f>
        <v>RE-2.9033</v>
      </c>
      <c r="H210" s="34" t="str">
        <f>HYPERLINK("https://docs.google.com/spreadsheets/d/1PU1QdwpZBDe6KmkLusxmZzmO2_MjeU4z?usp=share_link", "RE-108.496")</f>
        <v>RE-108.496</v>
      </c>
      <c r="I210" s="33"/>
      <c r="J210" s="34" t="str">
        <f>HYPERLINK("https://docs.google.com/spreadsheets/d/1_NNOYPAu6sE-7W1VHtLcKO2gyipCznqh?usp=share_link", "RE-1630.3")</f>
        <v>RE-1630.3</v>
      </c>
      <c r="K210" s="34" t="str">
        <f>HYPERLINK("https://docs.google.com/spreadsheets/d/1KNB6e4QkoAggWc6D7wGSczsCBrGHN1o5?usp=share_link", "RE-6.54153")</f>
        <v>RE-6.54153</v>
      </c>
      <c r="L210" s="34">
        <f>HYPERLINK("https://docs.google.com/spreadsheets/d/1USiqEEziu5tlrBp2kIvKTLB1ZGdY16wF?usp=share_link", 563.481)</f>
        <v>563.481</v>
      </c>
      <c r="M210" s="34" t="str">
        <f>HYPERLINK("https://docs.google.com/spreadsheets/d/1LQJF-YtPu-o3AahBA6iBBl-wLCWFjqrS?usp=share_link", "RE-9.31288")</f>
        <v>RE-9.31288</v>
      </c>
      <c r="N210" s="34" t="str">
        <f>HYPERLINK("https://docs.google.com/spreadsheets/d/1SHTSDcsdyghUxNSeKUpNbTUIdcP0vWmP?usp=share_link", "RE-1261.33")</f>
        <v>RE-1261.33</v>
      </c>
      <c r="O210" s="34" t="str">
        <f>HYPERLINK("https://docs.google.com/spreadsheets/d/1WmYBYTTaSwOtR7-J0bMlRxSGXoVmsTpp?usp=share_link", "RE-24.8096")</f>
        <v>RE-24.8096</v>
      </c>
      <c r="P210" s="34">
        <f>HYPERLINK("https://docs.google.com/spreadsheets/d/1TcXnaifHn5ceewpwT7k7YjLjP9ueh0oy?usp=share_link", 442.864)</f>
        <v>442.864</v>
      </c>
      <c r="Q210" s="34" t="str">
        <f>HYPERLINK("https://docs.google.com/spreadsheets/d/1H0Vuz77k8xf0IkKUFcTYD3cm1CFt1Uuq?usp=share_link", "RE-49.1236")</f>
        <v>RE-49.1236</v>
      </c>
      <c r="R210" s="34">
        <f>HYPERLINK("https://docs.google.com/spreadsheets/d/1LPaZAh11W2PkVsb_aj0WJWDQuBW09-lN?usp=share_link", 94.6354)</f>
        <v>94.6354</v>
      </c>
      <c r="S210" s="34" t="str">
        <f>HYPERLINK("https://docs.google.com/spreadsheets/d/1dvyPOyOABGdGIR8AaGAF56tpCgRHer94?usp=share_link", "RE-10.1511")</f>
        <v>RE-10.1511</v>
      </c>
      <c r="T210" s="34">
        <f>HYPERLINK("https://docs.google.com/spreadsheets/d/1L2F2HaENgZDpU3oJFFsfrYCWTMrMgXDA?usp=share_link", 577.872)</f>
        <v>577.872</v>
      </c>
      <c r="U210" s="34" t="str">
        <f>HYPERLINK("https://docs.google.com/spreadsheets/d/15_-VmzIpYdEKb5NJIv4Ix06NfG-2LN6Y?usp=share_link", "RE-36.7652")</f>
        <v>RE-36.7652</v>
      </c>
      <c r="V210" s="34" t="str">
        <f>HYPERLINK("https://docs.google.com/spreadsheets/d/1AdbqRGSHBxXi8ZtmoSPeHPGUJCRJlHqB?usp=share_link", "RE-5.8575")</f>
        <v>RE-5.8575</v>
      </c>
      <c r="W210" s="33"/>
      <c r="X210" s="33"/>
      <c r="Y210" s="33"/>
      <c r="Z210" s="33"/>
      <c r="AA210" s="33"/>
      <c r="AB210" s="33"/>
      <c r="AC210" s="33"/>
      <c r="AD210" s="33"/>
      <c r="AE210" s="33"/>
      <c r="AF210" s="33"/>
      <c r="AG210" s="33"/>
      <c r="AH210" s="33"/>
      <c r="AI210" s="33"/>
      <c r="AJ210" s="33"/>
      <c r="AK210" s="33"/>
      <c r="AL210" s="33"/>
      <c r="AM210" s="33"/>
      <c r="AN210" s="33"/>
      <c r="AO210" s="33"/>
      <c r="AP210" s="33"/>
      <c r="AQ210" s="33"/>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c r="FG210" s="33"/>
      <c r="FH210" s="33"/>
    </row>
    <row r="211">
      <c r="A211" s="30" t="s">
        <v>45</v>
      </c>
      <c r="B211" s="30" t="s">
        <v>46</v>
      </c>
      <c r="C211" s="31" t="str">
        <f>HYPERLINK("https://docs.google.com/spreadsheets/d/1sjQvwBoJwCdQ2lHwICp5T49MthUetxkB/edit?usp=share_link&amp;ouid=106501987799020758802&amp;rtpof=true&amp;sd=true", "Raw Delivered")</f>
        <v>Raw Delivered</v>
      </c>
      <c r="D211" s="12">
        <f t="shared" si="1"/>
        <v>5567.598705</v>
      </c>
      <c r="E211" s="13"/>
      <c r="F211" s="14">
        <f>HYPERLINK("https://docs.google.com/spreadsheets/d/1DiXYMQ7T-ZBkWlt4jo9J87R2pHsm0Fuj", 416.534265624999)</f>
        <v>416.5342656</v>
      </c>
      <c r="G211" s="13"/>
      <c r="H211" s="14">
        <f>HYPERLINK("https://docs.google.com/spreadsheets/d/1GiHfjAKmCacohPxy6ia44mCw2cLxs7AW", 98.7248354166666)</f>
        <v>98.72483542</v>
      </c>
      <c r="I211" s="13"/>
      <c r="J211" s="14">
        <f>HYPERLINK("https://docs.google.com/spreadsheets/d/191Ka2sIS4e00Rcip_CqLOcxpFqIu2p5P", 126.170291666666)</f>
        <v>126.1702917</v>
      </c>
      <c r="K211" s="13"/>
      <c r="L211" s="14">
        <f t="shared" ref="L211:L212" si="106">HYPERLINK("https://docs.google.com/spreadsheets/d/18uoYhl3W55FZQiMQrkCP11CNpiki3m1C", 34.3876062499999)</f>
        <v>34.38760625</v>
      </c>
      <c r="M211" s="13"/>
      <c r="N211" s="14">
        <f>HYPERLINK("https://docs.google.com/spreadsheets/d/1RHKc3fcpinj1xjo11wdnFc6baDNyosps", 4085.875634375)</f>
        <v>4085.875634</v>
      </c>
      <c r="O211" s="13"/>
      <c r="P211" s="14">
        <f t="shared" ref="P211:P212" si="107">HYPERLINK("https://docs.google.com/spreadsheets/d/1yg-97T-tgCiqAYM3Y0a06K2G2f0U_Ogf", 41.2012145833333)</f>
        <v>41.20121458</v>
      </c>
      <c r="Q211" s="13"/>
      <c r="R211" s="14">
        <f t="shared" ref="R211:R212" si="108">HYPERLINK("https://docs.google.com/spreadsheets/d/11FTeeDIlW4Fk4QzL0g-shBudBRC4PiRz", 32.642584375)</f>
        <v>32.64258438</v>
      </c>
      <c r="S211" s="13"/>
      <c r="T211" s="14">
        <f t="shared" ref="T211:T212" si="109">HYPERLINK("https://docs.google.com/spreadsheets/d/1wjMe4M-d36DNH65y7ATJdYvlIyIr29BI", 732.062272916664)</f>
        <v>732.0622729</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row>
    <row r="212">
      <c r="A212" s="32" t="s">
        <v>45</v>
      </c>
      <c r="B212" s="32" t="s">
        <v>46</v>
      </c>
      <c r="C212" s="32" t="s">
        <v>9</v>
      </c>
      <c r="D212" s="16">
        <f t="shared" si="1"/>
        <v>840.2936781</v>
      </c>
      <c r="E212" s="17"/>
      <c r="F212" s="18" t="str">
        <f>HYPERLINK("https://docs.google.com/spreadsheets/d/1DiXYMQ7T-ZBkWlt4jo9J87R2pHsm0Fuj", "RE-416.53426562499965")</f>
        <v>RE-416.53426562499965</v>
      </c>
      <c r="G212" s="17"/>
      <c r="H212" s="18" t="str">
        <f>HYPERLINK("https://docs.google.com/spreadsheets/d/1GiHfjAKmCacohPxy6ia44mCw2cLxs7AW", "RE-98.72483541666662")</f>
        <v>RE-98.72483541666662</v>
      </c>
      <c r="I212" s="17"/>
      <c r="J212" s="18" t="str">
        <f>HYPERLINK("https://docs.google.com/spreadsheets/d/191Ka2sIS4e00Rcip_CqLOcxpFqIu2p5P", "RE-126.17029166666671")</f>
        <v>RE-126.17029166666671</v>
      </c>
      <c r="K212" s="17"/>
      <c r="L212" s="18">
        <f t="shared" si="106"/>
        <v>34.38760625</v>
      </c>
      <c r="M212" s="17"/>
      <c r="N212" s="18" t="str">
        <f>HYPERLINK("https://docs.google.com/spreadsheets/d/1RHKc3fcpinj1xjo11wdnFc6baDNyosps", "RE-4085.875634375002")</f>
        <v>RE-4085.875634375002</v>
      </c>
      <c r="O212" s="17"/>
      <c r="P212" s="18">
        <f t="shared" si="107"/>
        <v>41.20121458</v>
      </c>
      <c r="Q212" s="17"/>
      <c r="R212" s="18">
        <f t="shared" si="108"/>
        <v>32.64258438</v>
      </c>
      <c r="S212" s="17"/>
      <c r="T212" s="18">
        <f t="shared" si="109"/>
        <v>732.0622729</v>
      </c>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c r="DN212" s="17"/>
      <c r="DO212" s="17"/>
      <c r="DP212" s="17"/>
      <c r="DQ212" s="17"/>
      <c r="DR212" s="17"/>
      <c r="DS212" s="17"/>
      <c r="DT212" s="17"/>
      <c r="DU212" s="17"/>
      <c r="DV212" s="17"/>
      <c r="DW212" s="17"/>
      <c r="DX212" s="17"/>
      <c r="DY212" s="17"/>
      <c r="DZ212" s="17"/>
      <c r="EA212" s="17"/>
      <c r="EB212" s="17"/>
      <c r="EC212" s="17"/>
      <c r="ED212" s="17"/>
      <c r="EE212" s="17"/>
      <c r="EF212" s="17"/>
      <c r="EG212" s="17"/>
      <c r="EH212" s="17"/>
      <c r="EI212" s="17"/>
      <c r="EJ212" s="17"/>
      <c r="EK212" s="17"/>
      <c r="EL212" s="17"/>
      <c r="EM212" s="17"/>
      <c r="EN212" s="17"/>
      <c r="EO212" s="17"/>
      <c r="EP212" s="17"/>
      <c r="EQ212" s="17"/>
      <c r="ER212" s="17"/>
      <c r="ES212" s="17"/>
      <c r="ET212" s="17"/>
      <c r="EU212" s="17"/>
      <c r="EV212" s="17"/>
      <c r="EW212" s="17"/>
      <c r="EX212" s="17"/>
      <c r="EY212" s="17"/>
      <c r="EZ212" s="17"/>
      <c r="FA212" s="17"/>
      <c r="FB212" s="17"/>
      <c r="FC212" s="17"/>
      <c r="FD212" s="17"/>
      <c r="FE212" s="17"/>
      <c r="FF212" s="17"/>
      <c r="FG212" s="17"/>
      <c r="FH212" s="17"/>
    </row>
    <row r="213">
      <c r="A213" s="32" t="s">
        <v>45</v>
      </c>
      <c r="B213" s="32" t="s">
        <v>46</v>
      </c>
      <c r="C213" s="32" t="s">
        <v>10</v>
      </c>
      <c r="D213" s="16">
        <f t="shared" si="1"/>
        <v>930.0879187</v>
      </c>
      <c r="E213" s="17"/>
      <c r="F213" s="17"/>
      <c r="G213" s="18">
        <f>HYPERLINK("https://docs.google.com/spreadsheets/d/16XW-X_HU-H0VmRbmNmsX9ecGwic4CQ4M", 45.456615625)</f>
        <v>45.45661563</v>
      </c>
      <c r="H213" s="17"/>
      <c r="I213" s="18">
        <f>HYPERLINK("https://docs.google.com/spreadsheets/d/1LgdfZrarrjQLdl4fs8UsK4fvN2xGEU0N", 19.5704822916666)</f>
        <v>19.57048229</v>
      </c>
      <c r="J213" s="17"/>
      <c r="K213" s="18">
        <f>HYPERLINK("https://docs.google.com/spreadsheets/d/1UB5vRXlFp4GDmGJBtELldyTsG226IB6R", 9.795446875)</f>
        <v>9.795446875</v>
      </c>
      <c r="L213" s="17"/>
      <c r="M213" s="18">
        <f>HYPERLINK("https://docs.google.com/spreadsheets/d/1ClQK7yXXwqVhHSOGMseFib8McWPIoVCo", 3.04396041666666)</f>
        <v>3.043960417</v>
      </c>
      <c r="N213" s="17"/>
      <c r="O213" s="18">
        <f>HYPERLINK("https://docs.google.com/spreadsheets/d/1Ph6URbazULciuxP4ox-ZMnm95oKgYcjv", 625.691136458332)</f>
        <v>625.6911365</v>
      </c>
      <c r="P213" s="17"/>
      <c r="Q213" s="18">
        <f>HYPERLINK("https://docs.google.com/spreadsheets/d/1X0z5Mq35AuONGkRPWpEx9ARGy1ZhiGsT", 86.4763510416666)</f>
        <v>86.47635104</v>
      </c>
      <c r="R213" s="17"/>
      <c r="S213" s="18">
        <f>HYPERLINK("https://docs.google.com/spreadsheets/d/1rbs3Rb5B2lP4dUEr2fGJavdnPdGtHm85", 4.62717499999999)</f>
        <v>4.627175</v>
      </c>
      <c r="T213" s="17"/>
      <c r="U213" s="18">
        <f>HYPERLINK("https://docs.google.com/spreadsheets/d/1ugsDHOVYZoijVC6wqppWUy3CIsipiRyB", 62.819834375)</f>
        <v>62.81983438</v>
      </c>
      <c r="V213" s="18">
        <f>HYPERLINK("https://docs.google.com/spreadsheets/d/1kqdGZ6VaxWQcCMbqyMHO7SX53fYoNy5i", 72.6069166666666)</f>
        <v>72.60691667</v>
      </c>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c r="DE213" s="17"/>
      <c r="DF213" s="17"/>
      <c r="DG213" s="17"/>
      <c r="DH213" s="17"/>
      <c r="DI213" s="17"/>
      <c r="DJ213" s="17"/>
      <c r="DK213" s="17"/>
      <c r="DL213" s="17"/>
      <c r="DM213" s="17"/>
      <c r="DN213" s="17"/>
      <c r="DO213" s="17"/>
      <c r="DP213" s="17"/>
      <c r="DQ213" s="17"/>
      <c r="DR213" s="17"/>
      <c r="DS213" s="17"/>
      <c r="DT213" s="17"/>
      <c r="DU213" s="17"/>
      <c r="DV213" s="17"/>
      <c r="DW213" s="17"/>
      <c r="DX213" s="17"/>
      <c r="DY213" s="17"/>
      <c r="DZ213" s="17"/>
      <c r="EA213" s="17"/>
      <c r="EB213" s="17"/>
      <c r="EC213" s="17"/>
      <c r="ED213" s="17"/>
      <c r="EE213" s="17"/>
      <c r="EF213" s="17"/>
      <c r="EG213" s="17"/>
      <c r="EH213" s="17"/>
      <c r="EI213" s="17"/>
      <c r="EJ213" s="17"/>
      <c r="EK213" s="17"/>
      <c r="EL213" s="17"/>
      <c r="EM213" s="17"/>
      <c r="EN213" s="17"/>
      <c r="EO213" s="17"/>
      <c r="EP213" s="17"/>
      <c r="EQ213" s="17"/>
      <c r="ER213" s="17"/>
      <c r="ES213" s="17"/>
      <c r="ET213" s="17"/>
      <c r="EU213" s="17"/>
      <c r="EV213" s="17"/>
      <c r="EW213" s="17"/>
      <c r="EX213" s="17"/>
      <c r="EY213" s="17"/>
      <c r="EZ213" s="17"/>
      <c r="FA213" s="17"/>
      <c r="FB213" s="17"/>
      <c r="FC213" s="17"/>
      <c r="FD213" s="17"/>
      <c r="FE213" s="17"/>
      <c r="FF213" s="17"/>
      <c r="FG213" s="17"/>
      <c r="FH213" s="17"/>
    </row>
    <row r="214">
      <c r="A214" s="32" t="s">
        <v>45</v>
      </c>
      <c r="B214" s="32" t="s">
        <v>46</v>
      </c>
      <c r="C214" s="32" t="s">
        <v>11</v>
      </c>
      <c r="D214" s="16">
        <f t="shared" si="1"/>
        <v>0</v>
      </c>
      <c r="E214" s="17"/>
      <c r="F214" s="17"/>
      <c r="G214" s="18" t="str">
        <f>HYPERLINK("https://docs.google.com/spreadsheets/d/16XW-X_HU-H0VmRbmNmsX9ecGwic4CQ4M", "RE-45.456615625000005")</f>
        <v>RE-45.456615625000005</v>
      </c>
      <c r="H214" s="17"/>
      <c r="I214" s="18" t="str">
        <f>HYPERLINK("https://docs.google.com/spreadsheets/d/1LgdfZrarrjQLdl4fs8UsK4fvN2xGEU0N", "RE-19.570482291666668")</f>
        <v>RE-19.570482291666668</v>
      </c>
      <c r="J214" s="17"/>
      <c r="K214" s="18" t="str">
        <f>HYPERLINK("https://docs.google.com/spreadsheets/d/1UB5vRXlFp4GDmGJBtELldyTsG226IB6R", "RE-9.795446875")</f>
        <v>RE-9.795446875</v>
      </c>
      <c r="L214" s="17"/>
      <c r="M214" s="18" t="str">
        <f>HYPERLINK("https://docs.google.com/spreadsheets/d/1ClQK7yXXwqVhHSOGMseFib8McWPIoVCo", "RE-3.0439604166666663")</f>
        <v>RE-3.0439604166666663</v>
      </c>
      <c r="N214" s="17"/>
      <c r="O214" s="18" t="str">
        <f>HYPERLINK("https://docs.google.com/spreadsheets/d/1Ph6URbazULciuxP4ox-ZMnm95oKgYcjv", "RE-625.691136458332")</f>
        <v>RE-625.691136458332</v>
      </c>
      <c r="P214" s="17"/>
      <c r="Q214" s="18" t="str">
        <f>HYPERLINK("https://docs.google.com/spreadsheets/d/1X0z5Mq35AuONGkRPWpEx9ARGy1ZhiGsT", "RE-86.47635104166666")</f>
        <v>RE-86.47635104166666</v>
      </c>
      <c r="R214" s="17"/>
      <c r="S214" s="18" t="str">
        <f>HYPERLINK("https://docs.google.com/spreadsheets/d/1rbs3Rb5B2lP4dUEr2fGJavdnPdGtHm85", "RE-4.627174999999999")</f>
        <v>RE-4.627174999999999</v>
      </c>
      <c r="T214" s="17"/>
      <c r="U214" s="18" t="str">
        <f>HYPERLINK("https://docs.google.com/spreadsheets/d/1ugsDHOVYZoijVC6wqppWUy3CIsipiRyB", "RE-62.81983437500002")</f>
        <v>RE-62.81983437500002</v>
      </c>
      <c r="V214" s="18" t="str">
        <f>HYPERLINK("https://docs.google.com/spreadsheets/d/1kqdGZ6VaxWQcCMbqyMHO7SX53fYoNy5i", "RE-72.60691666666665")</f>
        <v>RE-72.60691666666665</v>
      </c>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c r="DN214" s="17"/>
      <c r="DO214" s="17"/>
      <c r="DP214" s="17"/>
      <c r="DQ214" s="17"/>
      <c r="DR214" s="17"/>
      <c r="DS214" s="17"/>
      <c r="DT214" s="17"/>
      <c r="DU214" s="17"/>
      <c r="DV214" s="17"/>
      <c r="DW214" s="17"/>
      <c r="DX214" s="17"/>
      <c r="DY214" s="17"/>
      <c r="DZ214" s="17"/>
      <c r="EA214" s="17"/>
      <c r="EB214" s="17"/>
      <c r="EC214" s="17"/>
      <c r="ED214" s="17"/>
      <c r="EE214" s="17"/>
      <c r="EF214" s="17"/>
      <c r="EG214" s="17"/>
      <c r="EH214" s="17"/>
      <c r="EI214" s="17"/>
      <c r="EJ214" s="17"/>
      <c r="EK214" s="17"/>
      <c r="EL214" s="17"/>
      <c r="EM214" s="17"/>
      <c r="EN214" s="17"/>
      <c r="EO214" s="17"/>
      <c r="EP214" s="17"/>
      <c r="EQ214" s="17"/>
      <c r="ER214" s="17"/>
      <c r="ES214" s="17"/>
      <c r="ET214" s="17"/>
      <c r="EU214" s="17"/>
      <c r="EV214" s="17"/>
      <c r="EW214" s="17"/>
      <c r="EX214" s="17"/>
      <c r="EY214" s="17"/>
      <c r="EZ214" s="17"/>
      <c r="FA214" s="17"/>
      <c r="FB214" s="17"/>
      <c r="FC214" s="17"/>
      <c r="FD214" s="17"/>
      <c r="FE214" s="17"/>
      <c r="FF214" s="17"/>
      <c r="FG214" s="17"/>
      <c r="FH214" s="17"/>
    </row>
    <row r="215">
      <c r="A215" s="32" t="s">
        <v>45</v>
      </c>
      <c r="B215" s="32" t="s">
        <v>46</v>
      </c>
      <c r="C215" s="32" t="s">
        <v>12</v>
      </c>
      <c r="D215" s="16">
        <f t="shared" si="1"/>
        <v>548.2215208</v>
      </c>
      <c r="E215" s="17"/>
      <c r="F215" s="18" t="str">
        <f>HYPERLINK("https://docs.google.com/spreadsheets/d/1PBd8JWaYveQJCd5GkO5WUrk82W0pIxZj", "RE-329.16416145833307")</f>
        <v>RE-329.16416145833307</v>
      </c>
      <c r="G215" s="18" t="str">
        <f>HYPERLINK("https://docs.google.com/spreadsheets/d/11AuPFzPWi5MSOxKwz6xVcw5LDxiO0coL", "RE-1.886875")</f>
        <v>RE-1.886875</v>
      </c>
      <c r="H215" s="18" t="str">
        <f>HYPERLINK("https://docs.google.com/spreadsheets/d/1ucDpRtLnkaaO-JtPyD4eXi7j7IjDwSoN", "RE-91.58634791666665")</f>
        <v>RE-91.58634791666665</v>
      </c>
      <c r="I215" s="18" t="str">
        <f>HYPERLINK("https://docs.google.com/spreadsheets/d/14a8kF_EayMyZE2JDg41q1dvpFQoQJrbI", "RE-0.33522708333333334")</f>
        <v>RE-0.33522708333333334</v>
      </c>
      <c r="J215" s="18" t="str">
        <f>HYPERLINK("https://docs.google.com/spreadsheets/d/1ImgHLcEYCrmamSJRKhnpz9MgWBIyOZXC", "RE-84.5215489583333")</f>
        <v>RE-84.5215489583333</v>
      </c>
      <c r="K215" s="18" t="str">
        <f>HYPERLINK("https://docs.google.com/spreadsheets/d/1hxoP2wAfT_P_848a-aaZH7S7fD5bAtSD", "RE-0.0")</f>
        <v>RE-0.0</v>
      </c>
      <c r="L215" s="18">
        <f>HYPERLINK("https://docs.google.com/spreadsheets/d/1RIKJTT0BWZKXh6oS2h6fPE-D_6bCduBN", 27.8328541666666)</f>
        <v>27.83285417</v>
      </c>
      <c r="M215" s="18" t="str">
        <f>HYPERLINK("https://docs.google.com/spreadsheets/d/1TNSmiWa_5bRPHD2fnRzfWyvlKbpPz8ZI", "RE-0.0")</f>
        <v>RE-0.0</v>
      </c>
      <c r="N215" s="18" t="str">
        <f>HYPERLINK("https://docs.google.com/spreadsheets/d/1f1nJJSH7qDFAfyL-8FIXTRaWkTbjCuPL", "RE-2581.314101041665")</f>
        <v>RE-2581.314101041665</v>
      </c>
      <c r="O215" s="18" t="str">
        <f>HYPERLINK("https://docs.google.com/spreadsheets/d/1ISi0kilYk5eZhDQEDXskqpQiFW_psymj", "RE-17.416153124999997")</f>
        <v>RE-17.416153124999997</v>
      </c>
      <c r="P215" s="18">
        <f>HYPERLINK("https://docs.google.com/spreadsheets/d/14KRjlFZJigtptqbJ51tJEz_qQ26-MxTq", 18.35488125)</f>
        <v>18.35488125</v>
      </c>
      <c r="Q215" s="18" t="str">
        <f>HYPERLINK("https://docs.google.com/spreadsheets/d/1j7ZVFUyQhrJGrVkJCcjDBhW1obrMaFme", "RE-12.877461458333334")</f>
        <v>RE-12.877461458333334</v>
      </c>
      <c r="R215" s="18">
        <f>HYPERLINK("https://docs.google.com/spreadsheets/d/1C_lttbSM8jyZhy7PXExDi9uvuIjj7aYk", 23.80218125)</f>
        <v>23.80218125</v>
      </c>
      <c r="S215" s="18" t="str">
        <f>HYPERLINK("https://docs.google.com/spreadsheets/d/1VKNevjozT7hqyxaAwW-J55x5_IB-k28C", "RE-0.3037604166666667")</f>
        <v>RE-0.3037604166666667</v>
      </c>
      <c r="T215" s="18">
        <f>HYPERLINK("https://docs.google.com/spreadsheets/d/1-RZGnwo7W9jchh0uiY3SbPu4y-ygB9gS", 478.231604166666)</f>
        <v>478.2316042</v>
      </c>
      <c r="U215" s="18" t="str">
        <f>HYPERLINK("https://docs.google.com/spreadsheets/d/1aDiCu4XMyXtTegc3kKgLVs3WXgzMjEct", "RE-20.094946875")</f>
        <v>RE-20.094946875</v>
      </c>
      <c r="V215" s="18" t="str">
        <f>HYPERLINK("https://docs.google.com/spreadsheets/d/1Q7ngIFgES1zN5ft38IJ9yWTKuylVVDt9", "RE-40.942528124999995")</f>
        <v>RE-40.942528124999995</v>
      </c>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c r="DP215" s="17"/>
      <c r="DQ215" s="17"/>
      <c r="DR215" s="17"/>
      <c r="DS215" s="17"/>
      <c r="DT215" s="17"/>
      <c r="DU215" s="17"/>
      <c r="DV215" s="17"/>
      <c r="DW215" s="17"/>
      <c r="DX215" s="17"/>
      <c r="DY215" s="17"/>
      <c r="DZ215" s="17"/>
      <c r="EA215" s="17"/>
      <c r="EB215" s="17"/>
      <c r="EC215" s="17"/>
      <c r="ED215" s="17"/>
      <c r="EE215" s="17"/>
      <c r="EF215" s="17"/>
      <c r="EG215" s="17"/>
      <c r="EH215" s="17"/>
      <c r="EI215" s="17"/>
      <c r="EJ215" s="17"/>
      <c r="EK215" s="17"/>
      <c r="EL215" s="17"/>
      <c r="EM215" s="17"/>
      <c r="EN215" s="17"/>
      <c r="EO215" s="17"/>
      <c r="EP215" s="17"/>
      <c r="EQ215" s="17"/>
      <c r="ER215" s="17"/>
      <c r="ES215" s="17"/>
      <c r="ET215" s="17"/>
      <c r="EU215" s="17"/>
      <c r="EV215" s="17"/>
      <c r="EW215" s="17"/>
      <c r="EX215" s="17"/>
      <c r="EY215" s="17"/>
      <c r="EZ215" s="17"/>
      <c r="FA215" s="17"/>
      <c r="FB215" s="17"/>
      <c r="FC215" s="17"/>
      <c r="FD215" s="17"/>
      <c r="FE215" s="17"/>
      <c r="FF215" s="17"/>
      <c r="FG215" s="17"/>
      <c r="FH215" s="17"/>
    </row>
    <row r="216">
      <c r="A216" s="32" t="s">
        <v>45</v>
      </c>
      <c r="B216" s="32" t="s">
        <v>46</v>
      </c>
      <c r="C216" s="32" t="s">
        <v>13</v>
      </c>
      <c r="D216" s="16">
        <f t="shared" si="1"/>
        <v>527.7807</v>
      </c>
      <c r="E216" s="17"/>
      <c r="F216" s="18" t="str">
        <f>HYPERLINK("https://docs.google.com/spreadsheets/d/1rSMjFK8un4fi3f1tFJQR_yPMIGdJ7HmL?usp=share_link", "RE-307.982")</f>
        <v>RE-307.982</v>
      </c>
      <c r="G216" s="18" t="str">
        <f>HYPERLINK("https://docs.google.com/spreadsheets/d/18CDFK1kVmxbfnuAuSSt6bT9tuTjLqXe1?usp=share_link", "RE-1.7884")</f>
        <v>RE-1.7884</v>
      </c>
      <c r="H216" s="18" t="str">
        <f>HYPERLINK("https://docs.google.com/spreadsheets/d/1H8LSiEmITKSnA85gHHa4EJSYd_BKjh_T?usp=share_link", "RE-88.0594")</f>
        <v>RE-88.0594</v>
      </c>
      <c r="I216" s="18" t="str">
        <f>HYPERLINK("https://docs.google.com/spreadsheets/d/1enAMBzv-vhb5R5WKDnC8XEuyXPxdIcT4?usp=share_link", "RE-0.3278")</f>
        <v>RE-0.3278</v>
      </c>
      <c r="J216" s="18" t="str">
        <f>HYPERLINK("https://docs.google.com/spreadsheets/d/1t-H2XLRYkmae1AnosH6AgjLUkejt0Jbq?usp=share_link", "RE-80.7099")</f>
        <v>RE-80.7099</v>
      </c>
      <c r="K216" s="17"/>
      <c r="L216" s="18">
        <f>HYPERLINK("https://docs.google.com/spreadsheets/d/1sF_c2iFZ2mEX-KmxL3GZHSATGd8uSMEk?usp=share_link", 26.1771)</f>
        <v>26.1771</v>
      </c>
      <c r="M216" s="17"/>
      <c r="N216" s="18" t="str">
        <f>HYPERLINK("https://docs.google.com/spreadsheets/d/1c6AbD1XlRFHi1ZwLX2Pom13_l-a_f-GV?usp=share_link", "RE-2459.29")</f>
        <v>RE-2459.29</v>
      </c>
      <c r="O216" s="18" t="str">
        <f>HYPERLINK("https://docs.google.com/spreadsheets/d/1KLRLs6wm1fqe2GrQuZbG7YjyhzLgQAIk?usp=share_link", "RE-16.5137")</f>
        <v>RE-16.5137</v>
      </c>
      <c r="P216" s="18">
        <f>HYPERLINK("https://docs.google.com/spreadsheets/d/190ar5PkTWKo_08bMSb6jZmUCDzwLBkuW?usp=share_link", 17.718)</f>
        <v>17.718</v>
      </c>
      <c r="Q216" s="18" t="str">
        <f>HYPERLINK("https://docs.google.com/spreadsheets/d/15p3phkPdAbo-jcfXJDo1dpaEg8vAlclo?usp=share_link", "RE-12.2771")</f>
        <v>RE-12.2771</v>
      </c>
      <c r="R216" s="18">
        <f>HYPERLINK("https://docs.google.com/spreadsheets/d/1u6rxhgZuE_8dKeIo59GQY1RU2nLVAebJ?usp=share_link", 23.1136)</f>
        <v>23.1136</v>
      </c>
      <c r="S216" s="18" t="str">
        <f>HYPERLINK("https://docs.google.com/spreadsheets/d/1eGrNlz_R7buTC2jSuafRuU4h4rC3GZGh?usp=share_link", "RE-0.303133")</f>
        <v>RE-0.303133</v>
      </c>
      <c r="T216" s="18">
        <f>HYPERLINK("https://docs.google.com/spreadsheets/d/1TdzClVb9dslBt21sNYwYXQu2hQ8be-i8?usp=share_link", 460.772)</f>
        <v>460.772</v>
      </c>
      <c r="U216" s="18" t="str">
        <f>HYPERLINK("https://docs.google.com/spreadsheets/d/1ItnhxSUylyN-b5CVd4OIboImGiomEn6i?usp=share_link", "RE-18.6682")</f>
        <v>RE-18.6682</v>
      </c>
      <c r="V216" s="18" t="str">
        <f>HYPERLINK("https://docs.google.com/spreadsheets/d/1e2P15XxKBRmHyXwLZQSHTIDGAXNyFWVx?usp=share_link", "RE-39.1376")</f>
        <v>RE-39.1376</v>
      </c>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c r="DN216" s="17"/>
      <c r="DO216" s="17"/>
      <c r="DP216" s="17"/>
      <c r="DQ216" s="17"/>
      <c r="DR216" s="17"/>
      <c r="DS216" s="17"/>
      <c r="DT216" s="17"/>
      <c r="DU216" s="17"/>
      <c r="DV216" s="17"/>
      <c r="DW216" s="17"/>
      <c r="DX216" s="17"/>
      <c r="DY216" s="17"/>
      <c r="DZ216" s="17"/>
      <c r="EA216" s="17"/>
      <c r="EB216" s="17"/>
      <c r="EC216" s="17"/>
      <c r="ED216" s="17"/>
      <c r="EE216" s="17"/>
      <c r="EF216" s="17"/>
      <c r="EG216" s="17"/>
      <c r="EH216" s="17"/>
      <c r="EI216" s="17"/>
      <c r="EJ216" s="17"/>
      <c r="EK216" s="17"/>
      <c r="EL216" s="17"/>
      <c r="EM216" s="17"/>
      <c r="EN216" s="17"/>
      <c r="EO216" s="17"/>
      <c r="EP216" s="17"/>
      <c r="EQ216" s="17"/>
      <c r="ER216" s="17"/>
      <c r="ES216" s="17"/>
      <c r="ET216" s="17"/>
      <c r="EU216" s="17"/>
      <c r="EV216" s="17"/>
      <c r="EW216" s="17"/>
      <c r="EX216" s="17"/>
      <c r="EY216" s="17"/>
      <c r="EZ216" s="17"/>
      <c r="FA216" s="17"/>
      <c r="FB216" s="17"/>
      <c r="FC216" s="17"/>
      <c r="FD216" s="17"/>
      <c r="FE216" s="17"/>
      <c r="FF216" s="17"/>
      <c r="FG216" s="17"/>
      <c r="FH216" s="17"/>
    </row>
    <row r="217">
      <c r="A217" s="32" t="s">
        <v>45</v>
      </c>
      <c r="B217" s="32" t="s">
        <v>46</v>
      </c>
      <c r="C217" s="32" t="s">
        <v>14</v>
      </c>
      <c r="D217" s="16">
        <f t="shared" si="1"/>
        <v>438.234</v>
      </c>
      <c r="E217" s="17"/>
      <c r="F217" s="18" t="str">
        <f>HYPERLINK("https://docs.google.com/spreadsheets/d/11pkaQnVmniBTynxuoBl3FDKo5lKzU1IX?usp=share_link", "RE-274.657")</f>
        <v>RE-274.657</v>
      </c>
      <c r="G217" s="18" t="str">
        <f>HYPERLINK("https://docs.google.com/spreadsheets/d/12LYwBTF7HaQWGOLfKRVRNJtQt0S5MNoe?usp=share_link", "RE-1.7884")</f>
        <v>RE-1.7884</v>
      </c>
      <c r="H217" s="18" t="str">
        <f>HYPERLINK("https://docs.google.com/spreadsheets/d/1stibTNS1tWRzDOGkNEhxLt0ka1qt-AgX?usp=share_link", "RE-82.3072")</f>
        <v>RE-82.3072</v>
      </c>
      <c r="I217" s="18" t="str">
        <f>HYPERLINK("https://docs.google.com/spreadsheets/d/13a4broLJwOGoKWefFjVCxsrTfzOz3Yk0?usp=share_link", "RE-0.3278")</f>
        <v>RE-0.3278</v>
      </c>
      <c r="J217" s="18" t="str">
        <f>HYPERLINK("https://docs.google.com/spreadsheets/d/1xpNjUFjWeCytxLJYEMYnkHFyxiiakUOO?usp=share_link", "RE-65.7246")</f>
        <v>RE-65.7246</v>
      </c>
      <c r="K217" s="17"/>
      <c r="L217" s="18">
        <f>HYPERLINK("https://docs.google.com/spreadsheets/d/1dQMaXfpGCeRhUVBzO_0rI-_weseHK9so?usp=share_link", 21.8386)</f>
        <v>21.8386</v>
      </c>
      <c r="M217" s="17"/>
      <c r="N217" s="18" t="str">
        <f>HYPERLINK("https://docs.google.com/spreadsheets/d/1ZDB6tMZZ5jXT7ej_GfN3QB-ilFtKx0G8?usp=share_link", "RE-2210.61")</f>
        <v>RE-2210.61</v>
      </c>
      <c r="O217" s="18" t="str">
        <f>HYPERLINK("https://docs.google.com/spreadsheets/d/1zt6GHzw9Jr3Hq_H7gT6M15g5BRpfo_v6?usp=share_link", "RE-15.0134")</f>
        <v>RE-15.0134</v>
      </c>
      <c r="P217" s="18">
        <f>HYPERLINK("https://docs.google.com/spreadsheets/d/1B2eiBGBElJo7A1CsrTsR8Roi26OZc9F2?usp=share_link", 13.5391)</f>
        <v>13.5391</v>
      </c>
      <c r="Q217" s="18" t="str">
        <f>HYPERLINK("https://docs.google.com/spreadsheets/d/1_syIlUMoYD11KYKuGCBhbu_jMAVC6_oS?usp=share_link", "RE-10.767")</f>
        <v>RE-10.767</v>
      </c>
      <c r="R217" s="18">
        <f>HYPERLINK("https://docs.google.com/spreadsheets/d/1mmQsekYZ0L6CexWvp94LlaLgUIiMEctF?usp=share_link", 19.1063)</f>
        <v>19.1063</v>
      </c>
      <c r="S217" s="18" t="str">
        <f>HYPERLINK("https://docs.google.com/spreadsheets/d/1RaBbQN5BCoar3u9WgV9QWVOSaLyds_Y6?usp=share_link", "RE-0.303133")</f>
        <v>RE-0.303133</v>
      </c>
      <c r="T217" s="18">
        <f>HYPERLINK("https://docs.google.com/spreadsheets/d/1_Cl8PktlxjattbGff8aec6wh4J_-ZnBq?usp=share_link", 383.75)</f>
        <v>383.75</v>
      </c>
      <c r="U217" s="18" t="str">
        <f>HYPERLINK("https://docs.google.com/spreadsheets/d/1j9B5NBAruSUMplIqEiDoul-2hEuyihAl?usp=share_link", "RE-13.5612")</f>
        <v>RE-13.5612</v>
      </c>
      <c r="V217" s="18" t="str">
        <f>HYPERLINK("https://docs.google.com/spreadsheets/d/1YP2hi-Rdcei5q9kpfc_Q9EiccP1q_fjQ?usp=share_link", "RE-35.8665")</f>
        <v>RE-35.8665</v>
      </c>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c r="DN217" s="17"/>
      <c r="DO217" s="17"/>
      <c r="DP217" s="17"/>
      <c r="DQ217" s="17"/>
      <c r="DR217" s="17"/>
      <c r="DS217" s="17"/>
      <c r="DT217" s="17"/>
      <c r="DU217" s="17"/>
      <c r="DV217" s="17"/>
      <c r="DW217" s="17"/>
      <c r="DX217" s="17"/>
      <c r="DY217" s="17"/>
      <c r="DZ217" s="17"/>
      <c r="EA217" s="17"/>
      <c r="EB217" s="17"/>
      <c r="EC217" s="17"/>
      <c r="ED217" s="17"/>
      <c r="EE217" s="17"/>
      <c r="EF217" s="17"/>
      <c r="EG217" s="17"/>
      <c r="EH217" s="17"/>
      <c r="EI217" s="17"/>
      <c r="EJ217" s="17"/>
      <c r="EK217" s="17"/>
      <c r="EL217" s="17"/>
      <c r="EM217" s="17"/>
      <c r="EN217" s="17"/>
      <c r="EO217" s="17"/>
      <c r="EP217" s="17"/>
      <c r="EQ217" s="17"/>
      <c r="ER217" s="17"/>
      <c r="ES217" s="17"/>
      <c r="ET217" s="17"/>
      <c r="EU217" s="17"/>
      <c r="EV217" s="17"/>
      <c r="EW217" s="17"/>
      <c r="EX217" s="17"/>
      <c r="EY217" s="17"/>
      <c r="EZ217" s="17"/>
      <c r="FA217" s="17"/>
      <c r="FB217" s="17"/>
      <c r="FC217" s="17"/>
      <c r="FD217" s="17"/>
      <c r="FE217" s="17"/>
      <c r="FF217" s="17"/>
      <c r="FG217" s="17"/>
      <c r="FH217" s="17"/>
    </row>
    <row r="218">
      <c r="A218" s="27" t="s">
        <v>45</v>
      </c>
      <c r="B218" s="27" t="s">
        <v>46</v>
      </c>
      <c r="C218" s="27" t="s">
        <v>15</v>
      </c>
      <c r="D218" s="28">
        <f t="shared" si="1"/>
        <v>527.7807</v>
      </c>
      <c r="E218" s="33"/>
      <c r="F218" s="34" t="str">
        <f>HYPERLINK("https://docs.google.com/spreadsheets/d/1yJClakkum9HRjUteGGtDuMfYprxWOqno?usp=share_link", "RE-307.982")</f>
        <v>RE-307.982</v>
      </c>
      <c r="G218" s="34" t="str">
        <f>HYPERLINK("https://docs.google.com/spreadsheets/d/1ZMzG6olVPaTu_dUykXIQHwmFFYUBPGHE?usp=share_link", "RE-1.7884")</f>
        <v>RE-1.7884</v>
      </c>
      <c r="H218" s="34" t="str">
        <f>HYPERLINK("https://docs.google.com/spreadsheets/d/1snRP8ywWLRoJ15HzPfvKvuwq5vSflvFm?usp=share_link", "RE-88.0594")</f>
        <v>RE-88.0594</v>
      </c>
      <c r="I218" s="34" t="str">
        <f>HYPERLINK("https://docs.google.com/spreadsheets/d/1Y6xTNtw5lj015WxV1anOi2-81ncPFQyX?usp=share_link", "RE-0.3278")</f>
        <v>RE-0.3278</v>
      </c>
      <c r="J218" s="34" t="str">
        <f>HYPERLINK("https://docs.google.com/spreadsheets/d/1ds8H8gOtEjKsoqsdKHwSz2s8hpIkJaud?usp=share_link", "RE-80.7099")</f>
        <v>RE-80.7099</v>
      </c>
      <c r="K218" s="33"/>
      <c r="L218" s="34">
        <f>HYPERLINK("https://docs.google.com/spreadsheets/d/1L-iTB_XCknHEWChEXTOkFVTWaz_xnNki?usp=share_link", 26.1771)</f>
        <v>26.1771</v>
      </c>
      <c r="M218" s="33"/>
      <c r="N218" s="34" t="str">
        <f>HYPERLINK("https://docs.google.com/spreadsheets/d/1_ObnJWEocsHBCim8jE0pPKMXG7ppLa6M?usp=share_link", "RE-2459.29")</f>
        <v>RE-2459.29</v>
      </c>
      <c r="O218" s="34" t="str">
        <f>HYPERLINK("https://docs.google.com/spreadsheets/d/1LVQ-aMWAdIr3Z46u-TJtk1Ekl2NUQaZy?usp=share_link", "RE-16.3786")</f>
        <v>RE-16.3786</v>
      </c>
      <c r="P218" s="34">
        <f>HYPERLINK("https://docs.google.com/spreadsheets/d/1FlF4GbjO1d4RW43RVDmkrx3VEC4FRQTX?usp=share_link", 17.718)</f>
        <v>17.718</v>
      </c>
      <c r="Q218" s="34" t="str">
        <f>HYPERLINK("https://docs.google.com/spreadsheets/d/1lj8r65w7H5Ce3pbvLOVWncZtuh75IvAQ?usp=share_link", "RE-12.2771")</f>
        <v>RE-12.2771</v>
      </c>
      <c r="R218" s="34">
        <f>HYPERLINK("https://docs.google.com/spreadsheets/d/1TZnRI5xeGyQE6KuwbKk1lAyEPPydNKR3?usp=share_link", 23.1136)</f>
        <v>23.1136</v>
      </c>
      <c r="S218" s="34" t="str">
        <f>HYPERLINK("https://docs.google.com/spreadsheets/d/1AjBLy1Pg4YMG4vracfzT0BiFrXmbh2Hk?usp=share_link", "RE-0.303133")</f>
        <v>RE-0.303133</v>
      </c>
      <c r="T218" s="34">
        <f>HYPERLINK("https://docs.google.com/spreadsheets/d/1rO_bAaZbcBaiGhqqZil1ELh9YGT8aYzX?usp=share_link", 460.772)</f>
        <v>460.772</v>
      </c>
      <c r="U218" s="34" t="str">
        <f>HYPERLINK("https://docs.google.com/spreadsheets/d/1DvoHfPsdzbuaiZzVdjdLSWRA9HZV0zsV?usp=share_link", "RE-18.4942")</f>
        <v>RE-18.4942</v>
      </c>
      <c r="V218" s="34" t="str">
        <f>HYPERLINK("https://docs.google.com/spreadsheets/d/1VkV--m-RVJwKaYj3aDMhn1hOD4ncWp_1?usp=share_link", "RE-39.1376")</f>
        <v>RE-39.1376</v>
      </c>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c r="FG218" s="33"/>
      <c r="FH218" s="33"/>
    </row>
    <row r="219">
      <c r="A219" s="30" t="s">
        <v>47</v>
      </c>
      <c r="B219" s="30" t="s">
        <v>48</v>
      </c>
      <c r="C219" s="31" t="str">
        <f>HYPERLINK("https://docs.google.com/spreadsheets/d/16A1DvICL5fl49l_SMDPwLmguriUou-Sq/edit?usp=sharing&amp;ouid=118279477453217743021&amp;rtpof=true&amp;sd=true", "Raw Delivered")</f>
        <v>Raw Delivered</v>
      </c>
      <c r="D219" s="12">
        <f t="shared" si="1"/>
        <v>7932.094532</v>
      </c>
      <c r="E219" s="13"/>
      <c r="F219" s="14">
        <f>HYPERLINK("https://docs.google.com/spreadsheets/d/10gOJgMEj0ycbzqCCh9lYXoWFElpdt572", 2082.53341874999)</f>
        <v>2082.533419</v>
      </c>
      <c r="G219" s="13"/>
      <c r="H219" s="14">
        <f>HYPERLINK("https://docs.google.com/spreadsheets/d/1baDkR9e4OJVF_NlhocQn24wfO2hOiR35", 213.213148958333)</f>
        <v>213.213149</v>
      </c>
      <c r="I219" s="13"/>
      <c r="J219" s="14">
        <f>HYPERLINK("https://docs.google.com/spreadsheets/d/1bag68s-D_yURd4eQEpFNZQGEEgTrvliE", 1644.48987395833)</f>
        <v>1644.489874</v>
      </c>
      <c r="K219" s="13"/>
      <c r="L219" s="14">
        <f t="shared" ref="L219:L220" si="110">HYPERLINK("https://docs.google.com/spreadsheets/d/16sUy3yVaunbnMCr71Brc1MLq5Wo6Nwi-", 2399.54144166666)</f>
        <v>2399.541442</v>
      </c>
      <c r="M219" s="13"/>
      <c r="N219" s="14">
        <f>HYPERLINK("https://docs.google.com/spreadsheets/d/16DEBqe0M_Zr2Rwnu3geJefmSpHmpmJDp", 294.490611458333)</f>
        <v>294.4906115</v>
      </c>
      <c r="O219" s="13"/>
      <c r="P219" s="14">
        <f t="shared" ref="P219:P220" si="111">HYPERLINK("https://docs.google.com/spreadsheets/d/1zHlJPnjtuRZVmK18bkTMRisO1vg22o75", 851.7923125)</f>
        <v>851.7923125</v>
      </c>
      <c r="Q219" s="13"/>
      <c r="R219" s="14">
        <f t="shared" ref="R219:R220" si="112">HYPERLINK("https://docs.google.com/spreadsheets/d/1_y-47VE5QsZWFKWyB23YPn_gEX-EltUB", 285.970022916666)</f>
        <v>285.9700229</v>
      </c>
      <c r="S219" s="13"/>
      <c r="T219" s="14">
        <f t="shared" ref="T219:T220" si="113">HYPERLINK("https://docs.google.com/spreadsheets/d/1TYY9HLrq-nHLS38ITVoRL6NY__3ykOPD", 160.063702083333)</f>
        <v>160.0637021</v>
      </c>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row>
    <row r="220">
      <c r="A220" s="32" t="s">
        <v>47</v>
      </c>
      <c r="B220" s="32" t="s">
        <v>48</v>
      </c>
      <c r="C220" s="32" t="s">
        <v>9</v>
      </c>
      <c r="D220" s="16">
        <f t="shared" si="1"/>
        <v>3697.367479</v>
      </c>
      <c r="E220" s="17"/>
      <c r="F220" s="18" t="str">
        <f>HYPERLINK("https://docs.google.com/spreadsheets/d/10gOJgMEj0ycbzqCCh9lYXoWFElpdt572", "RE-2082.533418749994")</f>
        <v>RE-2082.533418749994</v>
      </c>
      <c r="G220" s="17"/>
      <c r="H220" s="18" t="str">
        <f>HYPERLINK("https://docs.google.com/spreadsheets/d/1baDkR9e4OJVF_NlhocQn24wfO2hOiR35", "RE-213.21314895833336")</f>
        <v>RE-213.21314895833336</v>
      </c>
      <c r="I220" s="17"/>
      <c r="J220" s="18" t="str">
        <f>HYPERLINK("https://docs.google.com/spreadsheets/d/1bag68s-D_yURd4eQEpFNZQGEEgTrvliE", "RE-1644.4898739583339")</f>
        <v>RE-1644.4898739583339</v>
      </c>
      <c r="K220" s="17"/>
      <c r="L220" s="18">
        <f t="shared" si="110"/>
        <v>2399.541442</v>
      </c>
      <c r="M220" s="17"/>
      <c r="N220" s="18" t="str">
        <f>HYPERLINK("https://docs.google.com/spreadsheets/d/16DEBqe0M_Zr2Rwnu3geJefmSpHmpmJDp", "RE-294.4906114583331")</f>
        <v>RE-294.4906114583331</v>
      </c>
      <c r="O220" s="17"/>
      <c r="P220" s="18">
        <f t="shared" si="111"/>
        <v>851.7923125</v>
      </c>
      <c r="Q220" s="17"/>
      <c r="R220" s="18">
        <f t="shared" si="112"/>
        <v>285.9700229</v>
      </c>
      <c r="S220" s="17"/>
      <c r="T220" s="18">
        <f t="shared" si="113"/>
        <v>160.0637021</v>
      </c>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c r="DN220" s="17"/>
      <c r="DO220" s="17"/>
      <c r="DP220" s="17"/>
      <c r="DQ220" s="17"/>
      <c r="DR220" s="17"/>
      <c r="DS220" s="17"/>
      <c r="DT220" s="17"/>
      <c r="DU220" s="17"/>
      <c r="DV220" s="17"/>
      <c r="DW220" s="17"/>
      <c r="DX220" s="17"/>
      <c r="DY220" s="17"/>
      <c r="DZ220" s="17"/>
      <c r="EA220" s="17"/>
      <c r="EB220" s="17"/>
      <c r="EC220" s="17"/>
      <c r="ED220" s="17"/>
      <c r="EE220" s="17"/>
      <c r="EF220" s="17"/>
      <c r="EG220" s="17"/>
      <c r="EH220" s="17"/>
      <c r="EI220" s="17"/>
      <c r="EJ220" s="17"/>
      <c r="EK220" s="17"/>
      <c r="EL220" s="17"/>
      <c r="EM220" s="17"/>
      <c r="EN220" s="17"/>
      <c r="EO220" s="17"/>
      <c r="EP220" s="17"/>
      <c r="EQ220" s="17"/>
      <c r="ER220" s="17"/>
      <c r="ES220" s="17"/>
      <c r="ET220" s="17"/>
      <c r="EU220" s="17"/>
      <c r="EV220" s="17"/>
      <c r="EW220" s="17"/>
      <c r="EX220" s="17"/>
      <c r="EY220" s="17"/>
      <c r="EZ220" s="17"/>
      <c r="FA220" s="17"/>
      <c r="FB220" s="17"/>
      <c r="FC220" s="17"/>
      <c r="FD220" s="17"/>
      <c r="FE220" s="17"/>
      <c r="FF220" s="17"/>
      <c r="FG220" s="17"/>
      <c r="FH220" s="17"/>
    </row>
    <row r="221">
      <c r="A221" s="32" t="s">
        <v>47</v>
      </c>
      <c r="B221" s="32" t="s">
        <v>48</v>
      </c>
      <c r="C221" s="32" t="s">
        <v>10</v>
      </c>
      <c r="D221" s="16">
        <f t="shared" si="1"/>
        <v>547.1519937</v>
      </c>
      <c r="E221" s="17"/>
      <c r="F221" s="17"/>
      <c r="G221" s="18">
        <f>HYPERLINK("https://docs.google.com/spreadsheets/d/1d-31OFSXdUKWzpVmvTLPJ7QvGEBMIRLI", 166.452765624999)</f>
        <v>166.4527656</v>
      </c>
      <c r="H221" s="17"/>
      <c r="I221" s="18">
        <f>HYPERLINK("https://docs.google.com/spreadsheets/d/1KL8Q7cBh-pkioH13qdC6_9KRwGXICsJF", 15.9606708333333)</f>
        <v>15.96067083</v>
      </c>
      <c r="J221" s="17"/>
      <c r="K221" s="18">
        <f>HYPERLINK("https://docs.google.com/spreadsheets/d/129iowb5kdoPhnI6hYtdK5aI4zgEbIxwq", 93.5895197916666)</f>
        <v>93.58951979</v>
      </c>
      <c r="L221" s="17"/>
      <c r="M221" s="18">
        <f>HYPERLINK("https://docs.google.com/spreadsheets/d/1Oh_yHy9OyA4xn6TJWlovo2jUiImMtBCR", 103.718751041666)</f>
        <v>103.718751</v>
      </c>
      <c r="N221" s="17"/>
      <c r="O221" s="18">
        <f>HYPERLINK("https://docs.google.com/spreadsheets/d/13stkDRsEgzuV3MEVpHZ2K2JuR5zryjA2", 42.5985885416666)</f>
        <v>42.59858854</v>
      </c>
      <c r="P221" s="17"/>
      <c r="Q221" s="18">
        <f>HYPERLINK("https://docs.google.com/spreadsheets/d/1VXI_q54ZaedOE189iwDcF6LMELGqxvbp", 64.0633822916666)</f>
        <v>64.06338229</v>
      </c>
      <c r="R221" s="17"/>
      <c r="S221" s="18">
        <f>HYPERLINK("https://docs.google.com/spreadsheets/d/1NBSj04LS0d4iC1E_lzLWhl9fgX3tQ8n5", 36.2981145833333)</f>
        <v>36.29811458</v>
      </c>
      <c r="T221" s="17"/>
      <c r="U221" s="18">
        <f>HYPERLINK("https://docs.google.com/spreadsheets/d/1pwk9pYBJWMGI6vVE93rpg4-SLCyW8I40", 13.91615)</f>
        <v>13.91615</v>
      </c>
      <c r="V221" s="18">
        <f>HYPERLINK("https://docs.google.com/spreadsheets/d/1vu2ygKiSSo0tcDxKMvrAQIZS0I57H0qV", 10.5540510416666)</f>
        <v>10.55405104</v>
      </c>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c r="DE221" s="17"/>
      <c r="DF221" s="17"/>
      <c r="DG221" s="17"/>
      <c r="DH221" s="17"/>
      <c r="DI221" s="17"/>
      <c r="DJ221" s="17"/>
      <c r="DK221" s="17"/>
      <c r="DL221" s="17"/>
      <c r="DM221" s="17"/>
      <c r="DN221" s="17"/>
      <c r="DO221" s="17"/>
      <c r="DP221" s="17"/>
      <c r="DQ221" s="17"/>
      <c r="DR221" s="17"/>
      <c r="DS221" s="17"/>
      <c r="DT221" s="17"/>
      <c r="DU221" s="17"/>
      <c r="DV221" s="17"/>
      <c r="DW221" s="17"/>
      <c r="DX221" s="17"/>
      <c r="DY221" s="17"/>
      <c r="DZ221" s="17"/>
      <c r="EA221" s="17"/>
      <c r="EB221" s="17"/>
      <c r="EC221" s="17"/>
      <c r="ED221" s="17"/>
      <c r="EE221" s="17"/>
      <c r="EF221" s="17"/>
      <c r="EG221" s="17"/>
      <c r="EH221" s="17"/>
      <c r="EI221" s="17"/>
      <c r="EJ221" s="17"/>
      <c r="EK221" s="17"/>
      <c r="EL221" s="17"/>
      <c r="EM221" s="17"/>
      <c r="EN221" s="17"/>
      <c r="EO221" s="17"/>
      <c r="EP221" s="17"/>
      <c r="EQ221" s="17"/>
      <c r="ER221" s="17"/>
      <c r="ES221" s="17"/>
      <c r="ET221" s="17"/>
      <c r="EU221" s="17"/>
      <c r="EV221" s="17"/>
      <c r="EW221" s="17"/>
      <c r="EX221" s="17"/>
      <c r="EY221" s="17"/>
      <c r="EZ221" s="17"/>
      <c r="FA221" s="17"/>
      <c r="FB221" s="17"/>
      <c r="FC221" s="17"/>
      <c r="FD221" s="17"/>
      <c r="FE221" s="17"/>
      <c r="FF221" s="17"/>
      <c r="FG221" s="17"/>
      <c r="FH221" s="17"/>
    </row>
    <row r="222">
      <c r="A222" s="32" t="s">
        <v>47</v>
      </c>
      <c r="B222" s="32" t="s">
        <v>48</v>
      </c>
      <c r="C222" s="32" t="s">
        <v>11</v>
      </c>
      <c r="D222" s="16">
        <f t="shared" si="1"/>
        <v>0</v>
      </c>
      <c r="E222" s="17"/>
      <c r="F222" s="17"/>
      <c r="G222" s="18" t="str">
        <f>HYPERLINK("https://docs.google.com/spreadsheets/d/1d-31OFSXdUKWzpVmvTLPJ7QvGEBMIRLI", "RE-166.45276562499987")</f>
        <v>RE-166.45276562499987</v>
      </c>
      <c r="H222" s="17"/>
      <c r="I222" s="18" t="str">
        <f>HYPERLINK("https://docs.google.com/spreadsheets/d/1KL8Q7cBh-pkioH13qdC6_9KRwGXICsJF", "RE-15.960670833333332")</f>
        <v>RE-15.960670833333332</v>
      </c>
      <c r="J222" s="17"/>
      <c r="K222" s="18" t="str">
        <f>HYPERLINK("https://docs.google.com/spreadsheets/d/129iowb5kdoPhnI6hYtdK5aI4zgEbIxwq", "RE-93.58951979166663")</f>
        <v>RE-93.58951979166663</v>
      </c>
      <c r="L222" s="17"/>
      <c r="M222" s="18" t="str">
        <f>HYPERLINK("https://docs.google.com/spreadsheets/d/1Oh_yHy9OyA4xn6TJWlovo2jUiImMtBCR", "RE-103.71875104166661")</f>
        <v>RE-103.71875104166661</v>
      </c>
      <c r="N222" s="17"/>
      <c r="O222" s="18" t="str">
        <f>HYPERLINK("https://docs.google.com/spreadsheets/d/13stkDRsEgzuV3MEVpHZ2K2JuR5zryjA2", "RE-42.598588541666665")</f>
        <v>RE-42.598588541666665</v>
      </c>
      <c r="P222" s="17"/>
      <c r="Q222" s="18" t="str">
        <f>HYPERLINK("https://docs.google.com/spreadsheets/d/1VXI_q54ZaedOE189iwDcF6LMELGqxvbp", "RE-64.06338229166664")</f>
        <v>RE-64.06338229166664</v>
      </c>
      <c r="R222" s="17"/>
      <c r="S222" s="18" t="str">
        <f>HYPERLINK("https://docs.google.com/spreadsheets/d/1NBSj04LS0d4iC1E_lzLWhl9fgX3tQ8n5", "RE-36.29811458333332")</f>
        <v>RE-36.29811458333332</v>
      </c>
      <c r="T222" s="17"/>
      <c r="U222" s="18" t="str">
        <f>HYPERLINK("https://docs.google.com/spreadsheets/d/1pwk9pYBJWMGI6vVE93rpg4-SLCyW8I40", "RE-13.91615")</f>
        <v>RE-13.91615</v>
      </c>
      <c r="V222" s="18" t="str">
        <f>HYPERLINK("https://docs.google.com/spreadsheets/d/1vu2ygKiSSo0tcDxKMvrAQIZS0I57H0qV", "RE-10.554051041666664")</f>
        <v>RE-10.554051041666664</v>
      </c>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c r="DN222" s="17"/>
      <c r="DO222" s="17"/>
      <c r="DP222" s="17"/>
      <c r="DQ222" s="17"/>
      <c r="DR222" s="17"/>
      <c r="DS222" s="17"/>
      <c r="DT222" s="17"/>
      <c r="DU222" s="17"/>
      <c r="DV222" s="17"/>
      <c r="DW222" s="17"/>
      <c r="DX222" s="17"/>
      <c r="DY222" s="17"/>
      <c r="DZ222" s="17"/>
      <c r="EA222" s="17"/>
      <c r="EB222" s="17"/>
      <c r="EC222" s="17"/>
      <c r="ED222" s="17"/>
      <c r="EE222" s="17"/>
      <c r="EF222" s="17"/>
      <c r="EG222" s="17"/>
      <c r="EH222" s="17"/>
      <c r="EI222" s="17"/>
      <c r="EJ222" s="17"/>
      <c r="EK222" s="17"/>
      <c r="EL222" s="17"/>
      <c r="EM222" s="17"/>
      <c r="EN222" s="17"/>
      <c r="EO222" s="17"/>
      <c r="EP222" s="17"/>
      <c r="EQ222" s="17"/>
      <c r="ER222" s="17"/>
      <c r="ES222" s="17"/>
      <c r="ET222" s="17"/>
      <c r="EU222" s="17"/>
      <c r="EV222" s="17"/>
      <c r="EW222" s="17"/>
      <c r="EX222" s="17"/>
      <c r="EY222" s="17"/>
      <c r="EZ222" s="17"/>
      <c r="FA222" s="17"/>
      <c r="FB222" s="17"/>
      <c r="FC222" s="17"/>
      <c r="FD222" s="17"/>
      <c r="FE222" s="17"/>
      <c r="FF222" s="17"/>
      <c r="FG222" s="17"/>
      <c r="FH222" s="17"/>
    </row>
    <row r="223">
      <c r="A223" s="32" t="s">
        <v>47</v>
      </c>
      <c r="B223" s="32" t="s">
        <v>48</v>
      </c>
      <c r="C223" s="32" t="s">
        <v>12</v>
      </c>
      <c r="D223" s="16">
        <f t="shared" si="1"/>
        <v>3441.764912</v>
      </c>
      <c r="E223" s="17"/>
      <c r="F223" s="18" t="str">
        <f>HYPERLINK("https://docs.google.com/spreadsheets/d/1hJ60srI7A5wlfdjIN6K2suWyGodLtfB9", "RE-1699.03578854166")</f>
        <v>RE-1699.03578854166</v>
      </c>
      <c r="G223" s="18" t="str">
        <f>HYPERLINK("https://docs.google.com/spreadsheets/d/1eTh6lckX_aJdq9JmuF0VRqwyap-v_lg7", "RE-3.449414583333333")</f>
        <v>RE-3.449414583333333</v>
      </c>
      <c r="H223" s="18" t="str">
        <f>HYPERLINK("https://docs.google.com/spreadsheets/d/1QgpNX-4YzybAv0g3z23z34-qU8__GZZ9", "RE-196.31905312500012")</f>
        <v>RE-196.31905312500012</v>
      </c>
      <c r="I223" s="18" t="str">
        <f>HYPERLINK("https://docs.google.com/spreadsheets/d/1fr-oBf8g5gPSYV8TeqJaoOoQq1NIZp14", "RE-0.33301041666666664")</f>
        <v>RE-0.33301041666666664</v>
      </c>
      <c r="J223" s="18" t="str">
        <f>HYPERLINK("https://docs.google.com/spreadsheets/d/12IPbWRBSt6PjDD-MQf5NduW5dsXTZ4SO", "RE-1389.9946572916692")</f>
        <v>RE-1389.9946572916692</v>
      </c>
      <c r="K223" s="18" t="str">
        <f>HYPERLINK("https://docs.google.com/spreadsheets/d/1M9baiBcv1nNtU-tCQu2twL9ZvCBtgshc", "RE-7.409089583333331")</f>
        <v>RE-7.409089583333331</v>
      </c>
      <c r="L223" s="18">
        <f>HYPERLINK("https://docs.google.com/spreadsheets/d/1fPxohFhswnoRZyFPqpXs5Cgm4v_dO84Y", 2226.32192708332)</f>
        <v>2226.321927</v>
      </c>
      <c r="M223" s="18" t="str">
        <f>HYPERLINK("https://docs.google.com/spreadsheets/d/13O-6ERK4NpJjv0zWcCKPRqGvgm-K-pqG", "RE-15.321883333333336")</f>
        <v>RE-15.321883333333336</v>
      </c>
      <c r="N223" s="18" t="str">
        <f>HYPERLINK("https://docs.google.com/spreadsheets/d/1LFWpv98a4zp8iwAsRMYb1P-gTYCY0wNy", "RE-139.13774687500012")</f>
        <v>RE-139.13774687500012</v>
      </c>
      <c r="O223" s="18" t="str">
        <f>HYPERLINK("https://docs.google.com/spreadsheets/d/1mtVLAGkERRyQfYZC6L60f85dVXkz3bhv", "RE-5.302488541666666")</f>
        <v>RE-5.302488541666666</v>
      </c>
      <c r="P223" s="18">
        <f>HYPERLINK("https://docs.google.com/spreadsheets/d/1ZoRE9j0w6rOO8IwgGN-IGJQtMqSK_v9O", 808.957091666667)</f>
        <v>808.9570917</v>
      </c>
      <c r="Q223" s="18" t="str">
        <f>HYPERLINK("https://docs.google.com/spreadsheets/d/100KVcPAfxDLADwTE3BQUc-4sedTdG8oR", "RE-19.358692708333333")</f>
        <v>RE-19.358692708333333</v>
      </c>
      <c r="R223" s="18">
        <f>HYPERLINK("https://docs.google.com/spreadsheets/d/1vQyWyZqiqOg3YkbBYkG9A793_lslpUDY", 269.043031249999)</f>
        <v>269.0430312</v>
      </c>
      <c r="S223" s="18" t="str">
        <f>HYPERLINK("https://docs.google.com/spreadsheets/d/1EGi3eOzO0EqmHA7qWV4UPqeIGTZxpFO6", "RE-11.305304166666666")</f>
        <v>RE-11.305304166666666</v>
      </c>
      <c r="T223" s="18">
        <f>HYPERLINK("https://docs.google.com/spreadsheets/d/1XJWdiNPh8cMuTZooefjw1Vwg4m6juVfR", 137.4428625)</f>
        <v>137.4428625</v>
      </c>
      <c r="U223" s="18" t="str">
        <f>HYPERLINK("https://docs.google.com/spreadsheets/d/1hNXLjafKcBqCSVGbLaw6bCFn2GNl5S2r", "RE-6.537204166666667")</f>
        <v>RE-6.537204166666667</v>
      </c>
      <c r="V223" s="18" t="str">
        <f>HYPERLINK("https://docs.google.com/spreadsheets/d/1ZukIxav_57foRXmn3w4j71qU8WI_zV80", "RE-4.466278125")</f>
        <v>RE-4.466278125</v>
      </c>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c r="DE223" s="17"/>
      <c r="DF223" s="17"/>
      <c r="DG223" s="17"/>
      <c r="DH223" s="17"/>
      <c r="DI223" s="17"/>
      <c r="DJ223" s="17"/>
      <c r="DK223" s="17"/>
      <c r="DL223" s="17"/>
      <c r="DM223" s="17"/>
      <c r="DN223" s="17"/>
      <c r="DO223" s="17"/>
      <c r="DP223" s="17"/>
      <c r="DQ223" s="17"/>
      <c r="DR223" s="17"/>
      <c r="DS223" s="17"/>
      <c r="DT223" s="17"/>
      <c r="DU223" s="17"/>
      <c r="DV223" s="17"/>
      <c r="DW223" s="17"/>
      <c r="DX223" s="17"/>
      <c r="DY223" s="17"/>
      <c r="DZ223" s="17"/>
      <c r="EA223" s="17"/>
      <c r="EB223" s="17"/>
      <c r="EC223" s="17"/>
      <c r="ED223" s="17"/>
      <c r="EE223" s="17"/>
      <c r="EF223" s="17"/>
      <c r="EG223" s="17"/>
      <c r="EH223" s="17"/>
      <c r="EI223" s="17"/>
      <c r="EJ223" s="17"/>
      <c r="EK223" s="17"/>
      <c r="EL223" s="17"/>
      <c r="EM223" s="17"/>
      <c r="EN223" s="17"/>
      <c r="EO223" s="17"/>
      <c r="EP223" s="17"/>
      <c r="EQ223" s="17"/>
      <c r="ER223" s="17"/>
      <c r="ES223" s="17"/>
      <c r="ET223" s="17"/>
      <c r="EU223" s="17"/>
      <c r="EV223" s="17"/>
      <c r="EW223" s="17"/>
      <c r="EX223" s="17"/>
      <c r="EY223" s="17"/>
      <c r="EZ223" s="17"/>
      <c r="FA223" s="17"/>
      <c r="FB223" s="17"/>
      <c r="FC223" s="17"/>
      <c r="FD223" s="17"/>
      <c r="FE223" s="17"/>
      <c r="FF223" s="17"/>
      <c r="FG223" s="17"/>
      <c r="FH223" s="17"/>
    </row>
    <row r="224">
      <c r="A224" s="32" t="s">
        <v>47</v>
      </c>
      <c r="B224" s="32" t="s">
        <v>48</v>
      </c>
      <c r="C224" s="32" t="s">
        <v>13</v>
      </c>
      <c r="D224" s="16">
        <f t="shared" si="1"/>
        <v>3298.345</v>
      </c>
      <c r="E224" s="17"/>
      <c r="F224" s="18" t="str">
        <f>HYPERLINK("https://docs.google.com/spreadsheets/d/11iFLqqpEnjfAVTuJokD621mt1bwUxu1a?usp=share_link", "RE-1666.19")</f>
        <v>RE-1666.19</v>
      </c>
      <c r="G224" s="18" t="str">
        <f>HYPERLINK("https://docs.google.com/spreadsheets/d/1xe51_6bPpQBsyQoYDpRIbQ_w3n4JU7TA?usp=share_link", "RE-3.3585")</f>
        <v>RE-3.3585</v>
      </c>
      <c r="H224" s="18" t="str">
        <f>HYPERLINK("https://docs.google.com/spreadsheets/d/1kd8GyYgM0sbJQQWfu3sbnb3hBA0AAZz8?usp=share_link", "RE-192.867")</f>
        <v>RE-192.867</v>
      </c>
      <c r="I224" s="18" t="str">
        <f>HYPERLINK("https://docs.google.com/spreadsheets/d/1D7Lo-HOdeAHKflLCBGI2SFokdxNl_5Op?usp=share_link", "RE-0.332717")</f>
        <v>RE-0.332717</v>
      </c>
      <c r="J224" s="18" t="str">
        <f>HYPERLINK("https://docs.google.com/spreadsheets/d/1etulI3freAvH1Lzn_K7eOBJKDHGUeiI_?usp=share_link", "RE-1358.97")</f>
        <v>RE-1358.97</v>
      </c>
      <c r="K224" s="18" t="str">
        <f>HYPERLINK("https://docs.google.com/spreadsheets/d/1rFkiXPGBQMGtwIYNdB4sDrvJRHeepcts?usp=share_link", "RE-7.01325")</f>
        <v>RE-7.01325</v>
      </c>
      <c r="L224" s="18">
        <f>HYPERLINK("https://docs.google.com/spreadsheets/d/1UqsSCgyXdtxPeHtEiovUuVqjyK2ALNzT?usp=share_link", 2138.71)</f>
        <v>2138.71</v>
      </c>
      <c r="M224" s="18" t="str">
        <f>HYPERLINK("https://docs.google.com/spreadsheets/d/1mayIzj4Gf7goctNwkBjYC7aE6MmaaHv_?usp=share_link", "RE-14.7823")</f>
        <v>RE-14.7823</v>
      </c>
      <c r="N224" s="18" t="str">
        <f>HYPERLINK("https://docs.google.com/spreadsheets/d/1mjk5ZcvvFxTG_c8uMUOr6NR5lOlmn4Um?usp=share_link", "RE-133.85")</f>
        <v>RE-133.85</v>
      </c>
      <c r="O224" s="18" t="str">
        <f>HYPERLINK("https://docs.google.com/spreadsheets/d/15CSSl_tsymN0lKHXtkXMjsGSnHOtVPAO?usp=share_link", "RE-5.02073")</f>
        <v>RE-5.02073</v>
      </c>
      <c r="P224" s="18">
        <f>HYPERLINK("https://docs.google.com/spreadsheets/d/1SQPkSAzgzfGSF2bMsXXgH90_Mrfq8KX1?usp=share_link", 773.454)</f>
        <v>773.454</v>
      </c>
      <c r="Q224" s="18" t="str">
        <f>HYPERLINK("https://docs.google.com/spreadsheets/d/1pFuj8ul3Yir70zissGm1EhWyfl0XaC7K?usp=share_link", "RE-18.5543")</f>
        <v>RE-18.5543</v>
      </c>
      <c r="R224" s="18">
        <f>HYPERLINK("https://docs.google.com/spreadsheets/d/16Q3WmC7twe4FQuzTgY-u5ZXR7sj3eH4y?usp=share_link", 254.548)</f>
        <v>254.548</v>
      </c>
      <c r="S224" s="18" t="str">
        <f>HYPERLINK("https://docs.google.com/spreadsheets/d/1PzyuJT4yat12T39_lfCrOZwGLDtlawiO?usp=share_link", "RE-10.8466")</f>
        <v>RE-10.8466</v>
      </c>
      <c r="T224" s="18">
        <f>HYPERLINK("https://docs.google.com/spreadsheets/d/1QPyIrYQnMpDIq2b2I-MR8jOJFlgggikS?usp=share_link", 131.633)</f>
        <v>131.633</v>
      </c>
      <c r="U224" s="18" t="str">
        <f>HYPERLINK("https://docs.google.com/spreadsheets/d/1MFET2p2C7LOSW9ml0ey_RxhCB1SgPTy-?usp=share_link", "RE-6.16972")</f>
        <v>RE-6.16972</v>
      </c>
      <c r="V224" s="18" t="str">
        <f>HYPERLINK("https://docs.google.com/spreadsheets/d/1NjUi0IjfjEgwPOB1eJrkDzf5mwFbg-Zn?usp=share_link", "RE-4.07465")</f>
        <v>RE-4.07465</v>
      </c>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c r="DN224" s="17"/>
      <c r="DO224" s="17"/>
      <c r="DP224" s="17"/>
      <c r="DQ224" s="17"/>
      <c r="DR224" s="17"/>
      <c r="DS224" s="17"/>
      <c r="DT224" s="17"/>
      <c r="DU224" s="17"/>
      <c r="DV224" s="17"/>
      <c r="DW224" s="17"/>
      <c r="DX224" s="17"/>
      <c r="DY224" s="17"/>
      <c r="DZ224" s="17"/>
      <c r="EA224" s="17"/>
      <c r="EB224" s="17"/>
      <c r="EC224" s="17"/>
      <c r="ED224" s="17"/>
      <c r="EE224" s="17"/>
      <c r="EF224" s="17"/>
      <c r="EG224" s="17"/>
      <c r="EH224" s="17"/>
      <c r="EI224" s="17"/>
      <c r="EJ224" s="17"/>
      <c r="EK224" s="17"/>
      <c r="EL224" s="17"/>
      <c r="EM224" s="17"/>
      <c r="EN224" s="17"/>
      <c r="EO224" s="17"/>
      <c r="EP224" s="17"/>
      <c r="EQ224" s="17"/>
      <c r="ER224" s="17"/>
      <c r="ES224" s="17"/>
      <c r="ET224" s="17"/>
      <c r="EU224" s="17"/>
      <c r="EV224" s="17"/>
      <c r="EW224" s="17"/>
      <c r="EX224" s="17"/>
      <c r="EY224" s="17"/>
      <c r="EZ224" s="17"/>
      <c r="FA224" s="17"/>
      <c r="FB224" s="17"/>
      <c r="FC224" s="17"/>
      <c r="FD224" s="17"/>
      <c r="FE224" s="17"/>
      <c r="FF224" s="17"/>
      <c r="FG224" s="17"/>
      <c r="FH224" s="17"/>
    </row>
    <row r="225">
      <c r="A225" s="32" t="s">
        <v>47</v>
      </c>
      <c r="B225" s="32" t="s">
        <v>48</v>
      </c>
      <c r="C225" s="32" t="s">
        <v>14</v>
      </c>
      <c r="D225" s="16">
        <f t="shared" si="1"/>
        <v>2898.447</v>
      </c>
      <c r="E225" s="17"/>
      <c r="F225" s="18" t="str">
        <f>HYPERLINK("https://docs.google.com/spreadsheets/d/17i-l1MYViEPDE5L0IG8jbU0GV8Pc2vwI?usp=share_link", "RE-1487.05")</f>
        <v>RE-1487.05</v>
      </c>
      <c r="G225" s="18" t="str">
        <f>HYPERLINK("https://docs.google.com/spreadsheets/d/1DmPrtGPhHCxNzWp0ycStScyLogG09pfw?usp=share_link", "RE-3.09462")</f>
        <v>RE-3.09462</v>
      </c>
      <c r="H225" s="18" t="str">
        <f>HYPERLINK("https://docs.google.com/spreadsheets/d/1GYcauSCC0vQ9UIMpyBJew38OoIA0IoNF?usp=share_link", "RE-170.125")</f>
        <v>RE-170.125</v>
      </c>
      <c r="I225" s="18" t="str">
        <f>HYPERLINK("https://docs.google.com/spreadsheets/d/1jIpdFfD-ZvR6W1KnXnLe6T_UhAQKjED0?usp=share_link", "RE-0.332717")</f>
        <v>RE-0.332717</v>
      </c>
      <c r="J225" s="18" t="str">
        <f>HYPERLINK("https://docs.google.com/spreadsheets/d/1zJ0qaQuhRzVOu59KH8FpyzRHSG-EmEdW?usp=share_link", "RE-1251.77")</f>
        <v>RE-1251.77</v>
      </c>
      <c r="K225" s="18" t="str">
        <f>HYPERLINK("https://docs.google.com/spreadsheets/d/1CPXWOqxTRrDoMtKjvj0FQUP_84Dvz0AT?usp=share_link", "RE-5.74685")</f>
        <v>RE-5.74685</v>
      </c>
      <c r="L225" s="18">
        <f>HYPERLINK("https://docs.google.com/spreadsheets/d/1DyzFSCOAmb3O8CVL3spt7jCJeIMtAuVA?usp=share_link", 1907.19)</f>
        <v>1907.19</v>
      </c>
      <c r="M225" s="18" t="str">
        <f>HYPERLINK("https://docs.google.com/spreadsheets/d/1T2vDP-hJXZPqi4mYZRnPcDKxRBgUZn1y?usp=share_link", "RE-13.1153")</f>
        <v>RE-13.1153</v>
      </c>
      <c r="N225" s="18" t="str">
        <f>HYPERLINK("https://docs.google.com/spreadsheets/d/1gpJsDaOK2okxOtK12tezIl-fzTMhste8?usp=share_link", "RE-112.858")</f>
        <v>RE-112.858</v>
      </c>
      <c r="O225" s="18" t="str">
        <f>HYPERLINK("https://docs.google.com/spreadsheets/d/1vi5R8UW9Im2CVrD5CBhxPqy3rTvuGTaq?usp=share_link", "RE-5.02073")</f>
        <v>RE-5.02073</v>
      </c>
      <c r="P225" s="18">
        <f>HYPERLINK("https://docs.google.com/spreadsheets/d/1-eeD7oB0tM1SE4U2jf7pVHGchkOXdUpz?usp=share_link", 661.41)</f>
        <v>661.41</v>
      </c>
      <c r="Q225" s="18" t="str">
        <f>HYPERLINK("https://docs.google.com/spreadsheets/d/1Nc0qMkx2su8gR0BawDgp2aH0FIqDNFLh?usp=share_link", "RE-16.185")</f>
        <v>RE-16.185</v>
      </c>
      <c r="R225" s="18">
        <f>HYPERLINK("https://docs.google.com/spreadsheets/d/1YNfDNjAza9Tf74HNgx339hOAHn-KOY1A?usp=share_link", 216.793)</f>
        <v>216.793</v>
      </c>
      <c r="S225" s="18" t="str">
        <f>HYPERLINK("https://docs.google.com/spreadsheets/d/14RI2UIMGpjzHb53uX5xNBIqc8Wj5pHUW?usp=share_link", "RE-9.47378")</f>
        <v>RE-9.47378</v>
      </c>
      <c r="T225" s="18">
        <f>HYPERLINK("https://docs.google.com/spreadsheets/d/1yVyn55ZY_ikwOdByp9H6t1-71e31hw2P?usp=share_link", 113.054)</f>
        <v>113.054</v>
      </c>
      <c r="U225" s="18" t="str">
        <f>HYPERLINK("https://docs.google.com/spreadsheets/d/1riFFIUEMORd6Z08ukH9RaHovLDmEQfna?usp=share_link", "RE-5.06412")</f>
        <v>RE-5.06412</v>
      </c>
      <c r="V225" s="18" t="str">
        <f>HYPERLINK("https://docs.google.com/spreadsheets/d/1LzO-_XIj4XW3rE4m1iW_BOVyt3QPFrE4?usp=share_link", "RE-3.84168")</f>
        <v>RE-3.84168</v>
      </c>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c r="DE225" s="17"/>
      <c r="DF225" s="17"/>
      <c r="DG225" s="17"/>
      <c r="DH225" s="17"/>
      <c r="DI225" s="17"/>
      <c r="DJ225" s="17"/>
      <c r="DK225" s="17"/>
      <c r="DL225" s="17"/>
      <c r="DM225" s="17"/>
      <c r="DN225" s="17"/>
      <c r="DO225" s="17"/>
      <c r="DP225" s="17"/>
      <c r="DQ225" s="17"/>
      <c r="DR225" s="17"/>
      <c r="DS225" s="17"/>
      <c r="DT225" s="17"/>
      <c r="DU225" s="17"/>
      <c r="DV225" s="17"/>
      <c r="DW225" s="17"/>
      <c r="DX225" s="17"/>
      <c r="DY225" s="17"/>
      <c r="DZ225" s="17"/>
      <c r="EA225" s="17"/>
      <c r="EB225" s="17"/>
      <c r="EC225" s="17"/>
      <c r="ED225" s="17"/>
      <c r="EE225" s="17"/>
      <c r="EF225" s="17"/>
      <c r="EG225" s="17"/>
      <c r="EH225" s="17"/>
      <c r="EI225" s="17"/>
      <c r="EJ225" s="17"/>
      <c r="EK225" s="17"/>
      <c r="EL225" s="17"/>
      <c r="EM225" s="17"/>
      <c r="EN225" s="17"/>
      <c r="EO225" s="17"/>
      <c r="EP225" s="17"/>
      <c r="EQ225" s="17"/>
      <c r="ER225" s="17"/>
      <c r="ES225" s="17"/>
      <c r="ET225" s="17"/>
      <c r="EU225" s="17"/>
      <c r="EV225" s="17"/>
      <c r="EW225" s="17"/>
      <c r="EX225" s="17"/>
      <c r="EY225" s="17"/>
      <c r="EZ225" s="17"/>
      <c r="FA225" s="17"/>
      <c r="FB225" s="17"/>
      <c r="FC225" s="17"/>
      <c r="FD225" s="17"/>
      <c r="FE225" s="17"/>
      <c r="FF225" s="17"/>
      <c r="FG225" s="17"/>
      <c r="FH225" s="17"/>
    </row>
    <row r="226">
      <c r="A226" s="27" t="s">
        <v>47</v>
      </c>
      <c r="B226" s="27" t="s">
        <v>48</v>
      </c>
      <c r="C226" s="27" t="s">
        <v>15</v>
      </c>
      <c r="D226" s="28">
        <f t="shared" si="1"/>
        <v>3298.335</v>
      </c>
      <c r="E226" s="33"/>
      <c r="F226" s="34" t="str">
        <f>HYPERLINK("https://docs.google.com/spreadsheets/d/1eXCccK_tpuA_yqcEfJ1euOCEEp-WQQXh?usp=share_link", "RE-1666.18")</f>
        <v>RE-1666.18</v>
      </c>
      <c r="G226" s="34" t="str">
        <f>HYPERLINK("https://docs.google.com/spreadsheets/d/1q5cK657mTF3BeDNGKkV2ZqrLz0n46PAj?usp=share_link", "RE-3.3585")</f>
        <v>RE-3.3585</v>
      </c>
      <c r="H226" s="34" t="str">
        <f>HYPERLINK("https://docs.google.com/spreadsheets/d/1O4xQlWAtxFGy-HEelYx2CqKAM2xwUNcK?usp=share_link", "RE-192.867")</f>
        <v>RE-192.867</v>
      </c>
      <c r="I226" s="34" t="str">
        <f>HYPERLINK("https://docs.google.com/spreadsheets/d/1Gl47RQwq50XzQhymQUUzceNXrVpPwmkM?usp=share_link", "RE-0.332717")</f>
        <v>RE-0.332717</v>
      </c>
      <c r="J226" s="34" t="str">
        <f>HYPERLINK("https://docs.google.com/spreadsheets/d/1HsOe5zyxF777iVEoidt7l8_XhhAeCUvI?usp=share_link", "RE-1358.97")</f>
        <v>RE-1358.97</v>
      </c>
      <c r="K226" s="34" t="str">
        <f>HYPERLINK("https://docs.google.com/spreadsheets/d/1Clgeq27LfPHXKX_HT7WS7BnEH1cV-niC?usp=share_link", "RE-7.01325")</f>
        <v>RE-7.01325</v>
      </c>
      <c r="L226" s="34">
        <f>HYPERLINK("https://docs.google.com/spreadsheets/d/1VsR2tMOzaUaLI6LypcxH98mW8oqR8WO6?usp=share_link", 2138.71)</f>
        <v>2138.71</v>
      </c>
      <c r="M226" s="34" t="str">
        <f>HYPERLINK("https://docs.google.com/spreadsheets/d/1BNrsvKW6ntSXRLRiZMoAxLAuas6ThA8o?usp=share_link", "RE-14.7823")</f>
        <v>RE-14.7823</v>
      </c>
      <c r="N226" s="34" t="str">
        <f>HYPERLINK("https://docs.google.com/spreadsheets/d/1MJM5fu8lxdSxXE6x0DUQCA7lDMN3s1IB?usp=share_link", "RE-133.85")</f>
        <v>RE-133.85</v>
      </c>
      <c r="O226" s="34" t="str">
        <f>HYPERLINK("https://docs.google.com/spreadsheets/d/1BZ29l7lYEJ1XhEqcHgJ9a7YL75sM4rAh?usp=share_link", "RE-5.02073")</f>
        <v>RE-5.02073</v>
      </c>
      <c r="P226" s="34">
        <f>HYPERLINK("https://docs.google.com/spreadsheets/d/10v2-hnc8RsoL8bnnwxCmgAsecPuihrud?usp=share_link", 773.444)</f>
        <v>773.444</v>
      </c>
      <c r="Q226" s="34" t="str">
        <f>HYPERLINK("https://docs.google.com/spreadsheets/d/1bJCnToURO3deXWCp7mbBHX8eNIbwOQWf?usp=share_link", "RE-18.5543")</f>
        <v>RE-18.5543</v>
      </c>
      <c r="R226" s="34">
        <f>HYPERLINK("https://docs.google.com/spreadsheets/d/1uBhHjo5Fpsi7EyGCzeCPol8ObrFCQpdc?usp=share_link", 254.548)</f>
        <v>254.548</v>
      </c>
      <c r="S226" s="34" t="str">
        <f>HYPERLINK("https://docs.google.com/spreadsheets/d/1OeazWXlV0lIRWd72H2p6S4K1JOSDaXg0?usp=share_link", "RE-10.8466")</f>
        <v>RE-10.8466</v>
      </c>
      <c r="T226" s="34">
        <f>HYPERLINK("https://docs.google.com/spreadsheets/d/1U5t9pN5nTyrEF-Oydx0vUadTPD_jj1a2?usp=share_link", 131.633)</f>
        <v>131.633</v>
      </c>
      <c r="U226" s="34" t="str">
        <f>HYPERLINK("https://docs.google.com/spreadsheets/d/1g5UKr23trl_q-gijOOOXO20Ftje0pvGZ?usp=share_link", "RE-6.16972")</f>
        <v>RE-6.16972</v>
      </c>
      <c r="V226" s="34" t="str">
        <f>HYPERLINK("https://docs.google.com/spreadsheets/d/1WETBc9JgfVmEdkATo6O45lnyd_zPx-CA?usp=share_link", "RE-4.07465")</f>
        <v>RE-4.07465</v>
      </c>
      <c r="W226" s="33"/>
      <c r="X226" s="33"/>
      <c r="Y226" s="33"/>
      <c r="Z226" s="33"/>
      <c r="AA226" s="33"/>
      <c r="AB226" s="33"/>
      <c r="AC226" s="33"/>
      <c r="AD226" s="33"/>
      <c r="AE226" s="33"/>
      <c r="AF226" s="33"/>
      <c r="AG226" s="33"/>
      <c r="AH226" s="33"/>
      <c r="AI226" s="33"/>
      <c r="AJ226" s="33"/>
      <c r="AK226" s="33"/>
      <c r="AL226" s="33"/>
      <c r="AM226" s="33"/>
      <c r="AN226" s="33"/>
      <c r="AO226" s="33"/>
      <c r="AP226" s="33"/>
      <c r="AQ226" s="33"/>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c r="CM226" s="33"/>
      <c r="CN226" s="33"/>
      <c r="CO226" s="33"/>
      <c r="CP226" s="33"/>
      <c r="CQ226" s="33"/>
      <c r="CR226" s="33"/>
      <c r="CS226" s="33"/>
      <c r="CT226" s="33"/>
      <c r="CU226" s="33"/>
      <c r="CV226" s="33"/>
      <c r="CW226" s="33"/>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33"/>
      <c r="EP226" s="33"/>
      <c r="EQ226" s="33"/>
      <c r="ER226" s="33"/>
      <c r="ES226" s="33"/>
      <c r="ET226" s="33"/>
      <c r="EU226" s="33"/>
      <c r="EV226" s="33"/>
      <c r="EW226" s="33"/>
      <c r="EX226" s="33"/>
      <c r="EY226" s="33"/>
      <c r="EZ226" s="33"/>
      <c r="FA226" s="33"/>
      <c r="FB226" s="33"/>
      <c r="FC226" s="33"/>
      <c r="FD226" s="33"/>
      <c r="FE226" s="33"/>
      <c r="FF226" s="33"/>
      <c r="FG226" s="33"/>
      <c r="FH226" s="33"/>
    </row>
    <row r="227">
      <c r="A227" s="30" t="s">
        <v>47</v>
      </c>
      <c r="B227" s="30" t="s">
        <v>49</v>
      </c>
      <c r="C227" s="31" t="str">
        <f>HYPERLINK("https://docs.google.com/spreadsheets/d/1lAn9eA5VP0rsqyZmzX3XQKoMw2OggD_G/edit?usp=share_link&amp;ouid=118279477453217743021&amp;rtpof=true&amp;sd=true", "Raw Delivered")</f>
        <v>Raw Delivered</v>
      </c>
      <c r="D227" s="12">
        <f t="shared" si="1"/>
        <v>5774.619622</v>
      </c>
      <c r="E227" s="13"/>
      <c r="F227" s="14">
        <f>HYPERLINK("https://docs.google.com/spreadsheets/d/1sNySVE7WojYMAxFm4apKLjri7a73Z9p3", 847.960006250001)</f>
        <v>847.9600063</v>
      </c>
      <c r="G227" s="13"/>
      <c r="H227" s="14">
        <f>HYPERLINK("https://docs.google.com/spreadsheets/d/1kxiJMPGHOM3t1wXYgcqTK0kBKetf3HHs", 169.268845833333)</f>
        <v>169.2688458</v>
      </c>
      <c r="I227" s="13"/>
      <c r="J227" s="14">
        <f>HYPERLINK("https://docs.google.com/spreadsheets/d/1ZdXVThinVARXFZTylzLCIh55cuuCWloW", 1524.04883229165)</f>
        <v>1524.048832</v>
      </c>
      <c r="K227" s="13"/>
      <c r="L227" s="14">
        <f t="shared" ref="L227:L228" si="114">HYPERLINK("https://docs.google.com/spreadsheets/d/1EpxuD2CGz2_FF4dTqbX5Prcgn20HewXo", 2036.80184999999)</f>
        <v>2036.80185</v>
      </c>
      <c r="M227" s="13"/>
      <c r="N227" s="14">
        <f>HYPERLINK("https://docs.google.com/spreadsheets/d/1OOLdbxEaDicJNNt9Rmap7QiyEBEVW0gW", 197.679202083333)</f>
        <v>197.6792021</v>
      </c>
      <c r="O227" s="13"/>
      <c r="P227" s="14">
        <f t="shared" ref="P227:P228" si="115">HYPERLINK("https://docs.google.com/spreadsheets/d/1t_oUnLf9Ss6so7ZrM_QCJ16fLM0l_gmy", 635.068582291666)</f>
        <v>635.0685823</v>
      </c>
      <c r="Q227" s="13"/>
      <c r="R227" s="14">
        <f t="shared" ref="R227:R228" si="116">HYPERLINK("https://docs.google.com/spreadsheets/d/1lseLs5A3mT_xuFMrB4XFWO5m0JJZOyK1", 220.974388541666)</f>
        <v>220.9743885</v>
      </c>
      <c r="S227" s="13"/>
      <c r="T227" s="14">
        <f t="shared" ref="T227:T228" si="117">HYPERLINK("https://docs.google.com/spreadsheets/d/1bVDyjOOJ70AfyeIZ_8jMe0am_bdxki0C", 142.817914583333)</f>
        <v>142.8179146</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row>
    <row r="228">
      <c r="A228" s="32" t="s">
        <v>47</v>
      </c>
      <c r="B228" s="32" t="s">
        <v>49</v>
      </c>
      <c r="C228" s="32" t="s">
        <v>9</v>
      </c>
      <c r="D228" s="16">
        <f t="shared" si="1"/>
        <v>3035.662735</v>
      </c>
      <c r="E228" s="17"/>
      <c r="F228" s="18" t="str">
        <f>HYPERLINK("https://docs.google.com/spreadsheets/d/1sNySVE7WojYMAxFm4apKLjri7a73Z9p3", "RE-847.9600062500015")</f>
        <v>RE-847.9600062500015</v>
      </c>
      <c r="G228" s="17"/>
      <c r="H228" s="18" t="str">
        <f>HYPERLINK("https://docs.google.com/spreadsheets/d/1kxiJMPGHOM3t1wXYgcqTK0kBKetf3HHs", "RE-169.26884583333324")</f>
        <v>RE-169.26884583333324</v>
      </c>
      <c r="I228" s="17"/>
      <c r="J228" s="18" t="str">
        <f>HYPERLINK("https://docs.google.com/spreadsheets/d/1ZdXVThinVARXFZTylzLCIh55cuuCWloW", "RE-1524.0488322916594")</f>
        <v>RE-1524.0488322916594</v>
      </c>
      <c r="K228" s="17"/>
      <c r="L228" s="18">
        <f t="shared" si="114"/>
        <v>2036.80185</v>
      </c>
      <c r="M228" s="17"/>
      <c r="N228" s="18" t="str">
        <f>HYPERLINK("https://docs.google.com/spreadsheets/d/1OOLdbxEaDicJNNt9Rmap7QiyEBEVW0gW", "RE-197.67920208333354")</f>
        <v>RE-197.67920208333354</v>
      </c>
      <c r="O228" s="17"/>
      <c r="P228" s="18">
        <f t="shared" si="115"/>
        <v>635.0685823</v>
      </c>
      <c r="Q228" s="17"/>
      <c r="R228" s="18">
        <f t="shared" si="116"/>
        <v>220.9743885</v>
      </c>
      <c r="S228" s="17"/>
      <c r="T228" s="18">
        <f t="shared" si="117"/>
        <v>142.8179146</v>
      </c>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c r="DN228" s="17"/>
      <c r="DO228" s="17"/>
      <c r="DP228" s="17"/>
      <c r="DQ228" s="17"/>
      <c r="DR228" s="17"/>
      <c r="DS228" s="17"/>
      <c r="DT228" s="17"/>
      <c r="DU228" s="17"/>
      <c r="DV228" s="17"/>
      <c r="DW228" s="17"/>
      <c r="DX228" s="17"/>
      <c r="DY228" s="17"/>
      <c r="DZ228" s="17"/>
      <c r="EA228" s="17"/>
      <c r="EB228" s="17"/>
      <c r="EC228" s="17"/>
      <c r="ED228" s="17"/>
      <c r="EE228" s="17"/>
      <c r="EF228" s="17"/>
      <c r="EG228" s="17"/>
      <c r="EH228" s="17"/>
      <c r="EI228" s="17"/>
      <c r="EJ228" s="17"/>
      <c r="EK228" s="17"/>
      <c r="EL228" s="17"/>
      <c r="EM228" s="17"/>
      <c r="EN228" s="17"/>
      <c r="EO228" s="17"/>
      <c r="EP228" s="17"/>
      <c r="EQ228" s="17"/>
      <c r="ER228" s="17"/>
      <c r="ES228" s="17"/>
      <c r="ET228" s="17"/>
      <c r="EU228" s="17"/>
      <c r="EV228" s="17"/>
      <c r="EW228" s="17"/>
      <c r="EX228" s="17"/>
      <c r="EY228" s="17"/>
      <c r="EZ228" s="17"/>
      <c r="FA228" s="17"/>
      <c r="FB228" s="17"/>
      <c r="FC228" s="17"/>
      <c r="FD228" s="17"/>
      <c r="FE228" s="17"/>
      <c r="FF228" s="17"/>
      <c r="FG228" s="17"/>
      <c r="FH228" s="17"/>
    </row>
    <row r="229">
      <c r="A229" s="32" t="s">
        <v>47</v>
      </c>
      <c r="B229" s="32" t="s">
        <v>49</v>
      </c>
      <c r="C229" s="32" t="s">
        <v>10</v>
      </c>
      <c r="D229" s="16">
        <f t="shared" si="1"/>
        <v>428.3750417</v>
      </c>
      <c r="E229" s="17"/>
      <c r="F229" s="17"/>
      <c r="G229" s="18">
        <f>HYPERLINK("https://docs.google.com/spreadsheets/d/1ba-iDWXy4ggCbJkVDaaFRcy8xeqd9lgN", 72.5220114583333)</f>
        <v>72.52201146</v>
      </c>
      <c r="H229" s="17"/>
      <c r="I229" s="18">
        <f>HYPERLINK("https://docs.google.com/spreadsheets/d/1451Y8jSajliT-6glliSclrbv3Dq2-JZv", 10.8531125)</f>
        <v>10.8531125</v>
      </c>
      <c r="J229" s="17"/>
      <c r="K229" s="18">
        <f>HYPERLINK("https://docs.google.com/spreadsheets/d/1NVUP7wg_6BXX-igPYREVR0CGChxuPVjx", 138.686684375)</f>
        <v>138.6866844</v>
      </c>
      <c r="L229" s="17"/>
      <c r="M229" s="18">
        <f>HYPERLINK("https://docs.google.com/spreadsheets/d/1gWdOCKCxqoBXLL3NEvsOYDnUwOPYou1S", 88.3604072916666)</f>
        <v>88.36040729</v>
      </c>
      <c r="N229" s="17"/>
      <c r="O229" s="18">
        <f>HYPERLINK("https://docs.google.com/spreadsheets/d/1XYsT7sHCfKxnu0-GmOjSheQ8AQJODQou", 22.4116916666666)</f>
        <v>22.41169167</v>
      </c>
      <c r="P229" s="17"/>
      <c r="Q229" s="18">
        <f>HYPERLINK("https://docs.google.com/spreadsheets/d/1PwVO9UalYJOfXOiOgEGjaZBTdH2NW5d0", 58.1125406249999)</f>
        <v>58.11254062</v>
      </c>
      <c r="R229" s="17"/>
      <c r="S229" s="18">
        <f>HYPERLINK("https://docs.google.com/spreadsheets/d/15lHFYHArU8hiWrF4BAoTOH5vly8rfGeB", 19.1448020833333)</f>
        <v>19.14480208</v>
      </c>
      <c r="T229" s="17"/>
      <c r="U229" s="18">
        <f>HYPERLINK("https://docs.google.com/spreadsheets/d/1mZVDd65nb-pQiMjxYbTO8T3m6mgknFj5", 14.5520166666666)</f>
        <v>14.55201667</v>
      </c>
      <c r="V229" s="18">
        <f>HYPERLINK("https://docs.google.com/spreadsheets/d/18ofynwvIgOcAmEVC1NyBUAEIRr7zQ2v9", 3.731775)</f>
        <v>3.731775</v>
      </c>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c r="DE229" s="17"/>
      <c r="DF229" s="17"/>
      <c r="DG229" s="17"/>
      <c r="DH229" s="17"/>
      <c r="DI229" s="17"/>
      <c r="DJ229" s="17"/>
      <c r="DK229" s="17"/>
      <c r="DL229" s="17"/>
      <c r="DM229" s="17"/>
      <c r="DN229" s="17"/>
      <c r="DO229" s="17"/>
      <c r="DP229" s="17"/>
      <c r="DQ229" s="17"/>
      <c r="DR229" s="17"/>
      <c r="DS229" s="17"/>
      <c r="DT229" s="17"/>
      <c r="DU229" s="17"/>
      <c r="DV229" s="17"/>
      <c r="DW229" s="17"/>
      <c r="DX229" s="17"/>
      <c r="DY229" s="17"/>
      <c r="DZ229" s="17"/>
      <c r="EA229" s="17"/>
      <c r="EB229" s="17"/>
      <c r="EC229" s="17"/>
      <c r="ED229" s="17"/>
      <c r="EE229" s="17"/>
      <c r="EF229" s="17"/>
      <c r="EG229" s="17"/>
      <c r="EH229" s="17"/>
      <c r="EI229" s="17"/>
      <c r="EJ229" s="17"/>
      <c r="EK229" s="17"/>
      <c r="EL229" s="17"/>
      <c r="EM229" s="17"/>
      <c r="EN229" s="17"/>
      <c r="EO229" s="17"/>
      <c r="EP229" s="17"/>
      <c r="EQ229" s="17"/>
      <c r="ER229" s="17"/>
      <c r="ES229" s="17"/>
      <c r="ET229" s="17"/>
      <c r="EU229" s="17"/>
      <c r="EV229" s="17"/>
      <c r="EW229" s="17"/>
      <c r="EX229" s="17"/>
      <c r="EY229" s="17"/>
      <c r="EZ229" s="17"/>
      <c r="FA229" s="17"/>
      <c r="FB229" s="17"/>
      <c r="FC229" s="17"/>
      <c r="FD229" s="17"/>
      <c r="FE229" s="17"/>
      <c r="FF229" s="17"/>
      <c r="FG229" s="17"/>
      <c r="FH229" s="17"/>
    </row>
    <row r="230">
      <c r="A230" s="32" t="s">
        <v>47</v>
      </c>
      <c r="B230" s="32" t="s">
        <v>49</v>
      </c>
      <c r="C230" s="32" t="s">
        <v>11</v>
      </c>
      <c r="D230" s="16">
        <f t="shared" si="1"/>
        <v>0</v>
      </c>
      <c r="E230" s="17"/>
      <c r="F230" s="17"/>
      <c r="G230" s="18" t="str">
        <f>HYPERLINK("https://docs.google.com/spreadsheets/d/1ba-iDWXy4ggCbJkVDaaFRcy8xeqd9lgN", "RE-72.52201145833337")</f>
        <v>RE-72.52201145833337</v>
      </c>
      <c r="H230" s="17"/>
      <c r="I230" s="18" t="str">
        <f>HYPERLINK("https://docs.google.com/spreadsheets/d/1451Y8jSajliT-6glliSclrbv3Dq2-JZv", "RE-10.853112500000002")</f>
        <v>RE-10.853112500000002</v>
      </c>
      <c r="J230" s="17"/>
      <c r="K230" s="18" t="str">
        <f>HYPERLINK("https://docs.google.com/spreadsheets/d/1NVUP7wg_6BXX-igPYREVR0CGChxuPVjx", "RE-138.686684375")</f>
        <v>RE-138.686684375</v>
      </c>
      <c r="L230" s="17"/>
      <c r="M230" s="18" t="str">
        <f>HYPERLINK("https://docs.google.com/spreadsheets/d/1gWdOCKCxqoBXLL3NEvsOYDnUwOPYou1S", "RE-88.36040729166668")</f>
        <v>RE-88.36040729166668</v>
      </c>
      <c r="N230" s="17"/>
      <c r="O230" s="18" t="str">
        <f>HYPERLINK("https://docs.google.com/spreadsheets/d/1XYsT7sHCfKxnu0-GmOjSheQ8AQJODQou", "RE-22.41169166666667")</f>
        <v>RE-22.41169166666667</v>
      </c>
      <c r="P230" s="17"/>
      <c r="Q230" s="18" t="str">
        <f>HYPERLINK("https://docs.google.com/spreadsheets/d/1PwVO9UalYJOfXOiOgEGjaZBTdH2NW5d0", "RE-58.11254062499998")</f>
        <v>RE-58.11254062499998</v>
      </c>
      <c r="R230" s="17"/>
      <c r="S230" s="18" t="str">
        <f>HYPERLINK("https://docs.google.com/spreadsheets/d/15lHFYHArU8hiWrF4BAoTOH5vly8rfGeB", "RE-19.144802083333342")</f>
        <v>RE-19.144802083333342</v>
      </c>
      <c r="T230" s="17"/>
      <c r="U230" s="18" t="str">
        <f>HYPERLINK("https://docs.google.com/spreadsheets/d/1mZVDd65nb-pQiMjxYbTO8T3m6mgknFj5", "RE-14.552016666666667")</f>
        <v>RE-14.552016666666667</v>
      </c>
      <c r="V230" s="18" t="str">
        <f>HYPERLINK("https://docs.google.com/spreadsheets/d/18ofynwvIgOcAmEVC1NyBUAEIRr7zQ2v9", "RE-3.731775")</f>
        <v>RE-3.731775</v>
      </c>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c r="DN230" s="17"/>
      <c r="DO230" s="17"/>
      <c r="DP230" s="17"/>
      <c r="DQ230" s="17"/>
      <c r="DR230" s="17"/>
      <c r="DS230" s="17"/>
      <c r="DT230" s="17"/>
      <c r="DU230" s="17"/>
      <c r="DV230" s="17"/>
      <c r="DW230" s="17"/>
      <c r="DX230" s="17"/>
      <c r="DY230" s="17"/>
      <c r="DZ230" s="17"/>
      <c r="EA230" s="17"/>
      <c r="EB230" s="17"/>
      <c r="EC230" s="17"/>
      <c r="ED230" s="17"/>
      <c r="EE230" s="17"/>
      <c r="EF230" s="17"/>
      <c r="EG230" s="17"/>
      <c r="EH230" s="17"/>
      <c r="EI230" s="17"/>
      <c r="EJ230" s="17"/>
      <c r="EK230" s="17"/>
      <c r="EL230" s="17"/>
      <c r="EM230" s="17"/>
      <c r="EN230" s="17"/>
      <c r="EO230" s="17"/>
      <c r="EP230" s="17"/>
      <c r="EQ230" s="17"/>
      <c r="ER230" s="17"/>
      <c r="ES230" s="17"/>
      <c r="ET230" s="17"/>
      <c r="EU230" s="17"/>
      <c r="EV230" s="17"/>
      <c r="EW230" s="17"/>
      <c r="EX230" s="17"/>
      <c r="EY230" s="17"/>
      <c r="EZ230" s="17"/>
      <c r="FA230" s="17"/>
      <c r="FB230" s="17"/>
      <c r="FC230" s="17"/>
      <c r="FD230" s="17"/>
      <c r="FE230" s="17"/>
      <c r="FF230" s="17"/>
      <c r="FG230" s="17"/>
      <c r="FH230" s="17"/>
    </row>
    <row r="231">
      <c r="A231" s="32" t="s">
        <v>47</v>
      </c>
      <c r="B231" s="32" t="s">
        <v>49</v>
      </c>
      <c r="C231" s="32" t="s">
        <v>12</v>
      </c>
      <c r="D231" s="16">
        <f t="shared" si="1"/>
        <v>2792.994333</v>
      </c>
      <c r="E231" s="17"/>
      <c r="F231" s="18" t="str">
        <f>HYPERLINK("https://docs.google.com/spreadsheets/d/1JLeaWVofeL-EO0e8SgOiRWkrTQhxw0U2", "RE-647.8770145833325")</f>
        <v>RE-647.8770145833325</v>
      </c>
      <c r="G231" s="18" t="str">
        <f>HYPERLINK("https://docs.google.com/spreadsheets/d/1lZ1vSpPtgMQpJIYUIYsJ6ZNoAXdHlV3h", "RE-1.01223125")</f>
        <v>RE-1.01223125</v>
      </c>
      <c r="H231" s="18" t="str">
        <f>HYPERLINK("https://docs.google.com/spreadsheets/d/1iqDU3NZcNcf2Rcak59eat6hgtOIc2txW", "RE-154.2695749999999")</f>
        <v>RE-154.2695749999999</v>
      </c>
      <c r="I231" s="18" t="str">
        <f>HYPERLINK("https://docs.google.com/spreadsheets/d/1BKXvuz7RQ4RF0NehhRl_lDrYdfV5H-yZ", "RE-0.5328875")</f>
        <v>RE-0.5328875</v>
      </c>
      <c r="J231" s="18" t="str">
        <f>HYPERLINK("https://docs.google.com/spreadsheets/d/1MGC3ZeQOEk8cl2LCkvg81wJ2UhZ5tono", "RE-1202.6491947916656")</f>
        <v>RE-1202.6491947916656</v>
      </c>
      <c r="K231" s="18" t="str">
        <f>HYPERLINK("https://docs.google.com/spreadsheets/d/1JrMgfcbOcDdaJ2_mE8LZnmrSadXmlrNf", "RE-12.076881249999998")</f>
        <v>RE-12.076881249999998</v>
      </c>
      <c r="L231" s="18">
        <f>HYPERLINK("https://docs.google.com/spreadsheets/d/1tUks7apwh5OnUcRzLB58ql6_5kATaL98", 1881.33466145832)</f>
        <v>1881.334661</v>
      </c>
      <c r="M231" s="18" t="str">
        <f>HYPERLINK("https://docs.google.com/spreadsheets/d/13V-wKSnNazdH6r9MEMp_HLhklOEQI-qF", "RE-13.665625")</f>
        <v>RE-13.665625</v>
      </c>
      <c r="N231" s="18" t="str">
        <f>HYPERLINK("https://docs.google.com/spreadsheets/d/1IDZ3BGT6FFWddMBux5pzaYzlM0D_BZ9F", "RE-92.57059270833342")</f>
        <v>RE-92.57059270833342</v>
      </c>
      <c r="O231" s="18" t="str">
        <f>HYPERLINK("https://docs.google.com/spreadsheets/d/138FS_aebRx2EvrBU3c-B22Ux1prH6ujt", "RE-4.302865625")</f>
        <v>RE-4.302865625</v>
      </c>
      <c r="P231" s="18">
        <f>HYPERLINK("https://docs.google.com/spreadsheets/d/1oagl8KltzwRwEsFS_-IYuLsgwqg_tlf_", 580.915435416665)</f>
        <v>580.9154354</v>
      </c>
      <c r="Q231" s="18" t="str">
        <f>HYPERLINK("https://docs.google.com/spreadsheets/d/1C4-hE3S1NK-hziyeMYq9uNYQj7rvesUS", "RE-17.82647916666667")</f>
        <v>RE-17.82647916666667</v>
      </c>
      <c r="R231" s="18">
        <f>HYPERLINK("https://docs.google.com/spreadsheets/d/1VtCHa1VQU-tW3LAK_HRHdSh5pEE80JNO", 202.140734375)</f>
        <v>202.1407344</v>
      </c>
      <c r="S231" s="18" t="str">
        <f>HYPERLINK("https://docs.google.com/spreadsheets/d/1BX532s8UUvBw4Z_4M8kp6kTNid25qrwk", "RE-11.454483333333334")</f>
        <v>RE-11.454483333333334</v>
      </c>
      <c r="T231" s="18">
        <f>HYPERLINK("https://docs.google.com/spreadsheets/d/1hxDhTbTgTdr7u8HPPMB9l2a1mnTMVspk", 128.603502083333)</f>
        <v>128.6035021</v>
      </c>
      <c r="U231" s="18" t="str">
        <f>HYPERLINK("https://docs.google.com/spreadsheets/d/19bZE4un7YrpZl80tELunS_yHBQvxRbbQ", "RE-9.175488541666668")</f>
        <v>RE-9.175488541666668</v>
      </c>
      <c r="V231" s="18" t="str">
        <f>HYPERLINK("https://docs.google.com/spreadsheets/d/182VnJPxLzfNtquKHuCohafohAQ56K9Qt", "RE-3.4408145833333332")</f>
        <v>RE-3.4408145833333332</v>
      </c>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c r="DE231" s="17"/>
      <c r="DF231" s="17"/>
      <c r="DG231" s="17"/>
      <c r="DH231" s="17"/>
      <c r="DI231" s="17"/>
      <c r="DJ231" s="17"/>
      <c r="DK231" s="17"/>
      <c r="DL231" s="17"/>
      <c r="DM231" s="17"/>
      <c r="DN231" s="17"/>
      <c r="DO231" s="17"/>
      <c r="DP231" s="17"/>
      <c r="DQ231" s="17"/>
      <c r="DR231" s="17"/>
      <c r="DS231" s="17"/>
      <c r="DT231" s="17"/>
      <c r="DU231" s="17"/>
      <c r="DV231" s="17"/>
      <c r="DW231" s="17"/>
      <c r="DX231" s="17"/>
      <c r="DY231" s="17"/>
      <c r="DZ231" s="17"/>
      <c r="EA231" s="17"/>
      <c r="EB231" s="17"/>
      <c r="EC231" s="17"/>
      <c r="ED231" s="17"/>
      <c r="EE231" s="17"/>
      <c r="EF231" s="17"/>
      <c r="EG231" s="17"/>
      <c r="EH231" s="17"/>
      <c r="EI231" s="17"/>
      <c r="EJ231" s="17"/>
      <c r="EK231" s="17"/>
      <c r="EL231" s="17"/>
      <c r="EM231" s="17"/>
      <c r="EN231" s="17"/>
      <c r="EO231" s="17"/>
      <c r="EP231" s="17"/>
      <c r="EQ231" s="17"/>
      <c r="ER231" s="17"/>
      <c r="ES231" s="17"/>
      <c r="ET231" s="17"/>
      <c r="EU231" s="17"/>
      <c r="EV231" s="17"/>
      <c r="EW231" s="17"/>
      <c r="EX231" s="17"/>
      <c r="EY231" s="17"/>
      <c r="EZ231" s="17"/>
      <c r="FA231" s="17"/>
      <c r="FB231" s="17"/>
      <c r="FC231" s="17"/>
      <c r="FD231" s="17"/>
      <c r="FE231" s="17"/>
      <c r="FF231" s="17"/>
      <c r="FG231" s="17"/>
      <c r="FH231" s="17"/>
    </row>
    <row r="232">
      <c r="A232" s="32" t="s">
        <v>47</v>
      </c>
      <c r="B232" s="32" t="s">
        <v>49</v>
      </c>
      <c r="C232" s="32" t="s">
        <v>13</v>
      </c>
      <c r="D232" s="16">
        <f t="shared" si="1"/>
        <v>2676.104</v>
      </c>
      <c r="E232" s="17"/>
      <c r="F232" s="18" t="str">
        <f>HYPERLINK("https://docs.google.com/spreadsheets/d/1RdS9Bg3dKWGs827KpEt86SH1MT4XqMw8?usp=share_link", "RE-633.672")</f>
        <v>RE-633.672</v>
      </c>
      <c r="G232" s="18" t="str">
        <f>HYPERLINK("https://docs.google.com/spreadsheets/d/1a6idNPNRttkL1cPVr8a9jsj9C97wcwTZ?usp=share_link", "RE-0.966583")</f>
        <v>RE-0.966583</v>
      </c>
      <c r="H232" s="18" t="str">
        <f>HYPERLINK("https://docs.google.com/spreadsheets/d/1m1p_-rRYz3xEepj08tXhJcISnwcIwRAB?usp=share_link", "RE-152.08")</f>
        <v>RE-152.08</v>
      </c>
      <c r="I232" s="18" t="str">
        <f>HYPERLINK("https://docs.google.com/spreadsheets/d/1gZa9Lt8OegvSxEUML0hKEWCJ4ThpjBmb?usp=share_link", "RE-0.5317")</f>
        <v>RE-0.5317</v>
      </c>
      <c r="J232" s="18" t="str">
        <f>HYPERLINK("https://docs.google.com/spreadsheets/d/1u4zDSUaC9NEDFvbIC5MaOhL0ocnjuuXW?usp=share_link", "RE-1178.57")</f>
        <v>RE-1178.57</v>
      </c>
      <c r="K232" s="18" t="str">
        <f>HYPERLINK("https://docs.google.com/spreadsheets/d/1jhzyra0IEOb2yEAiVk4mrRsxUOMxnjFx?usp=share_link", "RE-11.7064")</f>
        <v>RE-11.7064</v>
      </c>
      <c r="L232" s="18">
        <f>HYPERLINK("https://docs.google.com/spreadsheets/d/1NNZ6A3bAOT0gy8x2TOVsoAt_coDdUqXi?usp=share_link", 1805.99)</f>
        <v>1805.99</v>
      </c>
      <c r="M232" s="18" t="str">
        <f>HYPERLINK("https://docs.google.com/spreadsheets/d/1iCO3xdmpHSbhLWgUecjJhDZsep1EKVEA?usp=share_link", "RE-13.233")</f>
        <v>RE-13.233</v>
      </c>
      <c r="N232" s="18" t="str">
        <f>HYPERLINK("https://docs.google.com/spreadsheets/d/14Ke0YiQttnwD4R0kOVO3hkGDirmoZPRP?usp=share_link", "RE-90.475")</f>
        <v>RE-90.475</v>
      </c>
      <c r="O232" s="18" t="str">
        <f>HYPERLINK("https://docs.google.com/spreadsheets/d/1kHsypnU5ImKn0RjGOC-8LBJPFpJLqa08?usp=share_link", "RE-3.97788")</f>
        <v>RE-3.97788</v>
      </c>
      <c r="P232" s="18">
        <f>HYPERLINK("https://docs.google.com/spreadsheets/d/1GIedi4MQnI-KtuwXQ3uf5UMlVn7H69eb?usp=share_link", 553.715)</f>
        <v>553.715</v>
      </c>
      <c r="Q232" s="18" t="str">
        <f>HYPERLINK("https://docs.google.com/spreadsheets/d/1oz1dv8d_St4c4Bq4sQ8jxZ930Ejkz3N_?usp=share_link", "RE-16.4564")</f>
        <v>RE-16.4564</v>
      </c>
      <c r="R232" s="18">
        <f>HYPERLINK("https://docs.google.com/spreadsheets/d/1PgK7krETF0JyuFCVur6f2HXxoUnU99FU?usp=share_link", 192.861)</f>
        <v>192.861</v>
      </c>
      <c r="S232" s="18" t="str">
        <f>HYPERLINK("https://docs.google.com/spreadsheets/d/1x3Vts5vYTV2usjvpOCdsLfdxUEW1QqXm?usp=share_link", "RE-10.7487")</f>
        <v>RE-10.7487</v>
      </c>
      <c r="T232" s="18">
        <f>HYPERLINK("https://docs.google.com/spreadsheets/d/1-83d6dFd2FyJ2tXKHQ_gMwFb9fQWE9YD?usp=share_link", 123.538)</f>
        <v>123.538</v>
      </c>
      <c r="U232" s="18" t="str">
        <f>HYPERLINK("https://docs.google.com/spreadsheets/d/1N4cwHuGs795aFLRlmU3r77hAauArv6Ub?usp=share_link", "RE-8.50892")</f>
        <v>RE-8.50892</v>
      </c>
      <c r="V232" s="18" t="str">
        <f>HYPERLINK("https://docs.google.com/spreadsheets/d/1NHh4y36QIjFMn4FdvKJ67ttUXQOcNMDL?usp=share_link", "RE-3.0356")</f>
        <v>RE-3.0356</v>
      </c>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c r="DE232" s="17"/>
      <c r="DF232" s="17"/>
      <c r="DG232" s="17"/>
      <c r="DH232" s="17"/>
      <c r="DI232" s="17"/>
      <c r="DJ232" s="17"/>
      <c r="DK232" s="17"/>
      <c r="DL232" s="17"/>
      <c r="DM232" s="17"/>
      <c r="DN232" s="17"/>
      <c r="DO232" s="17"/>
      <c r="DP232" s="17"/>
      <c r="DQ232" s="17"/>
      <c r="DR232" s="17"/>
      <c r="DS232" s="17"/>
      <c r="DT232" s="17"/>
      <c r="DU232" s="17"/>
      <c r="DV232" s="17"/>
      <c r="DW232" s="17"/>
      <c r="DX232" s="17"/>
      <c r="DY232" s="17"/>
      <c r="DZ232" s="17"/>
      <c r="EA232" s="17"/>
      <c r="EB232" s="17"/>
      <c r="EC232" s="17"/>
      <c r="ED232" s="17"/>
      <c r="EE232" s="17"/>
      <c r="EF232" s="17"/>
      <c r="EG232" s="17"/>
      <c r="EH232" s="17"/>
      <c r="EI232" s="17"/>
      <c r="EJ232" s="17"/>
      <c r="EK232" s="17"/>
      <c r="EL232" s="17"/>
      <c r="EM232" s="17"/>
      <c r="EN232" s="17"/>
      <c r="EO232" s="17"/>
      <c r="EP232" s="17"/>
      <c r="EQ232" s="17"/>
      <c r="ER232" s="17"/>
      <c r="ES232" s="17"/>
      <c r="ET232" s="17"/>
      <c r="EU232" s="17"/>
      <c r="EV232" s="17"/>
      <c r="EW232" s="17"/>
      <c r="EX232" s="17"/>
      <c r="EY232" s="17"/>
      <c r="EZ232" s="17"/>
      <c r="FA232" s="17"/>
      <c r="FB232" s="17"/>
      <c r="FC232" s="17"/>
      <c r="FD232" s="17"/>
      <c r="FE232" s="17"/>
      <c r="FF232" s="17"/>
      <c r="FG232" s="17"/>
      <c r="FH232" s="17"/>
    </row>
    <row r="233">
      <c r="A233" s="32" t="s">
        <v>47</v>
      </c>
      <c r="B233" s="32" t="s">
        <v>49</v>
      </c>
      <c r="C233" s="32" t="s">
        <v>14</v>
      </c>
      <c r="D233" s="16">
        <f t="shared" si="1"/>
        <v>2300.0754</v>
      </c>
      <c r="E233" s="17"/>
      <c r="F233" s="18" t="str">
        <f>HYPERLINK("https://docs.google.com/spreadsheets/d/1L1jq0J6yzrbco3JmrCll3KwGniEpVI2L?usp=share_link", "RE-577.104")</f>
        <v>RE-577.104</v>
      </c>
      <c r="G233" s="18" t="str">
        <f>HYPERLINK("https://docs.google.com/spreadsheets/d/17no7Xbc0QBXee7gsGJ2Sa5njIwrBnKqy?usp=share_link", "RE-0.966583")</f>
        <v>RE-0.966583</v>
      </c>
      <c r="H233" s="18" t="str">
        <f>HYPERLINK("https://docs.google.com/spreadsheets/d/1J_sE-kCXL1kO3xIoCewHD9tgr-yCOESX?usp=share_link", "RE-140.536")</f>
        <v>RE-140.536</v>
      </c>
      <c r="I233" s="18" t="str">
        <f>HYPERLINK("https://docs.google.com/spreadsheets/d/1d5tnLy0WGELaT_cS6zyMyGsbjfmlKdDS?usp=share_link", "RE-0.5317")</f>
        <v>RE-0.5317</v>
      </c>
      <c r="J233" s="18" t="str">
        <f>HYPERLINK("https://docs.google.com/spreadsheets/d/1BQwKnLzvPTbcex1W9wwxb-zh4JAwx76u?usp=share_link", "RE-1070.03")</f>
        <v>RE-1070.03</v>
      </c>
      <c r="K233" s="18" t="str">
        <f>HYPERLINK("https://docs.google.com/spreadsheets/d/1TM8Sh8WVIgAS1d0w5SKHSrPElxznuzxw?usp=share_link", "RE-10.1405")</f>
        <v>RE-10.1405</v>
      </c>
      <c r="L233" s="18">
        <f>HYPERLINK("https://docs.google.com/spreadsheets/d/1vE8nksYdtL66RYtFzw8Tgs68LdOLxQyI?usp=share_link", 1579.94)</f>
        <v>1579.94</v>
      </c>
      <c r="M233" s="18" t="str">
        <f>HYPERLINK("https://docs.google.com/spreadsheets/d/1AY9Wy8ggNtkw0t5Qa3WoGI6p8RupnUY9?usp=share_link", "RE-12.5236")</f>
        <v>RE-12.5236</v>
      </c>
      <c r="N233" s="18" t="str">
        <f>HYPERLINK("https://docs.google.com/spreadsheets/d/1k16Fk86ijj1iBYNey8W3gFbidCJE5kRY?usp=share_link", "RE-78.1134")</f>
        <v>RE-78.1134</v>
      </c>
      <c r="O233" s="18" t="str">
        <f>HYPERLINK("https://docs.google.com/spreadsheets/d/1ZJ731iZgiStVoL9B8QqdPiGT0xxhJXJp?usp=share_link", "RE-3.16722")</f>
        <v>RE-3.16722</v>
      </c>
      <c r="P233" s="18">
        <f>HYPERLINK("https://docs.google.com/spreadsheets/d/172lwHwdJPPgyyrjnn7xCiwypM99gbxJh?usp=share_link", 463.792)</f>
        <v>463.792</v>
      </c>
      <c r="Q233" s="18" t="str">
        <f>HYPERLINK("https://docs.google.com/spreadsheets/d/1dyoRGnJNw79DCSDtQWp3aEd5eGP8y6eM?usp=share_link", "RE-14.1588")</f>
        <v>RE-14.1588</v>
      </c>
      <c r="R233" s="18">
        <f>HYPERLINK("https://docs.google.com/spreadsheets/d/1bOM6bPZoSKQrsni6f05d7NSRqNtD8WGx?usp=share_link", 157.562)</f>
        <v>157.562</v>
      </c>
      <c r="S233" s="18" t="str">
        <f>HYPERLINK("https://docs.google.com/spreadsheets/d/1j2yQ2NkXWUAeo6STiplIMRpFisLM0EzE?usp=share_link", "RE-7.43328")</f>
        <v>RE-7.43328</v>
      </c>
      <c r="T233" s="18">
        <f>HYPERLINK("https://docs.google.com/spreadsheets/d/18PrwJBFJNk6-ojaDG7kQci2Sqcb_Fjh4?usp=share_link", 98.7814)</f>
        <v>98.7814</v>
      </c>
      <c r="U233" s="18" t="str">
        <f>HYPERLINK("https://docs.google.com/spreadsheets/d/1mY1ZxJC0YFbv8SccmMYi9tIGraSmd3_H?usp=share_link", "RE-7.86893")</f>
        <v>RE-7.86893</v>
      </c>
      <c r="V233" s="18" t="str">
        <f>HYPERLINK("https://docs.google.com/spreadsheets/d/1_fc7XeG79BKys7jyG8LX5Ohbv-2p5cAz?usp=share_link", "RE-2.69885")</f>
        <v>RE-2.69885</v>
      </c>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c r="DN233" s="17"/>
      <c r="DO233" s="17"/>
      <c r="DP233" s="17"/>
      <c r="DQ233" s="17"/>
      <c r="DR233" s="17"/>
      <c r="DS233" s="17"/>
      <c r="DT233" s="17"/>
      <c r="DU233" s="17"/>
      <c r="DV233" s="17"/>
      <c r="DW233" s="17"/>
      <c r="DX233" s="17"/>
      <c r="DY233" s="17"/>
      <c r="DZ233" s="17"/>
      <c r="EA233" s="17"/>
      <c r="EB233" s="17"/>
      <c r="EC233" s="17"/>
      <c r="ED233" s="17"/>
      <c r="EE233" s="17"/>
      <c r="EF233" s="17"/>
      <c r="EG233" s="17"/>
      <c r="EH233" s="17"/>
      <c r="EI233" s="17"/>
      <c r="EJ233" s="17"/>
      <c r="EK233" s="17"/>
      <c r="EL233" s="17"/>
      <c r="EM233" s="17"/>
      <c r="EN233" s="17"/>
      <c r="EO233" s="17"/>
      <c r="EP233" s="17"/>
      <c r="EQ233" s="17"/>
      <c r="ER233" s="17"/>
      <c r="ES233" s="17"/>
      <c r="ET233" s="17"/>
      <c r="EU233" s="17"/>
      <c r="EV233" s="17"/>
      <c r="EW233" s="17"/>
      <c r="EX233" s="17"/>
      <c r="EY233" s="17"/>
      <c r="EZ233" s="17"/>
      <c r="FA233" s="17"/>
      <c r="FB233" s="17"/>
      <c r="FC233" s="17"/>
      <c r="FD233" s="17"/>
      <c r="FE233" s="17"/>
      <c r="FF233" s="17"/>
      <c r="FG233" s="17"/>
      <c r="FH233" s="17"/>
    </row>
    <row r="234">
      <c r="A234" s="27" t="s">
        <v>47</v>
      </c>
      <c r="B234" s="27" t="s">
        <v>49</v>
      </c>
      <c r="C234" s="27" t="s">
        <v>15</v>
      </c>
      <c r="D234" s="28">
        <f t="shared" si="1"/>
        <v>2676.084</v>
      </c>
      <c r="E234" s="33"/>
      <c r="F234" s="34" t="str">
        <f>HYPERLINK("https://docs.google.com/spreadsheets/d/1RovMB2eL7DjSMg22GETuSdIMkI0kNJv-?usp=share_link", "RE-633.672")</f>
        <v>RE-633.672</v>
      </c>
      <c r="G234" s="34" t="str">
        <f>HYPERLINK("https://docs.google.com/spreadsheets/d/1aK4JLfMFRy6XgPQ67yTbJWWvYpNZFduA?usp=share_link", "RE-0.966583")</f>
        <v>RE-0.966583</v>
      </c>
      <c r="H234" s="34" t="str">
        <f>HYPERLINK("https://docs.google.com/spreadsheets/d/1qjIwyEw753D2-va6axDpo0yGcDT0hXO4?usp=share_link", "RE-152.08")</f>
        <v>RE-152.08</v>
      </c>
      <c r="I234" s="34" t="str">
        <f>HYPERLINK("https://docs.google.com/spreadsheets/d/1d1os6i9mRX0uNWKLc3DRp8tMjr2ciPgh?usp=share_link", "RE-0.5317")</f>
        <v>RE-0.5317</v>
      </c>
      <c r="J234" s="34" t="str">
        <f>HYPERLINK("https://docs.google.com/spreadsheets/d/1i3kfZzWdW3ePSpJukkhqJuIKlzgADHQ0?usp=share_link", "RE-1178.47")</f>
        <v>RE-1178.47</v>
      </c>
      <c r="K234" s="34" t="str">
        <f>HYPERLINK("https://docs.google.com/spreadsheets/d/1mn3u3Asvwr0v2iTpaA9BZqJAf8FQ40oQ?usp=share_link", "RE-11.7064")</f>
        <v>RE-11.7064</v>
      </c>
      <c r="L234" s="34">
        <f>HYPERLINK("https://docs.google.com/spreadsheets/d/1bH-t99IYjIxb5y1GQZRjZO8dEIH7oX2d?usp=share_link", 1805.97)</f>
        <v>1805.97</v>
      </c>
      <c r="M234" s="34" t="str">
        <f>HYPERLINK("https://docs.google.com/spreadsheets/d/1hQOEC4Iz3JR5dvJruDMnikl4Gmfy73sv?usp=share_link", "RE-13.233")</f>
        <v>RE-13.233</v>
      </c>
      <c r="N234" s="34" t="str">
        <f>HYPERLINK("https://docs.google.com/spreadsheets/d/1U8Jq0uFuBLv6S8Wb1qhwU6y3Bd64UNFx?usp=share_link", "RE-90.475")</f>
        <v>RE-90.475</v>
      </c>
      <c r="O234" s="34" t="str">
        <f>HYPERLINK("https://docs.google.com/spreadsheets/d/1AtsVcB1sNXG3lqNaYB80c1RkEFPWCVR6?usp=share_link", "RE-3.97788")</f>
        <v>RE-3.97788</v>
      </c>
      <c r="P234" s="34">
        <f>HYPERLINK("https://docs.google.com/spreadsheets/d/1-L0-AXzvhZ89T6izxv6CHEr3R21TNCCM?usp=share_link", 553.715)</f>
        <v>553.715</v>
      </c>
      <c r="Q234" s="34" t="str">
        <f>HYPERLINK("https://docs.google.com/spreadsheets/d/1qnkMzk6v2QnJsJXklq9uVkOZJ696gWfw?usp=share_link", "RE-16.4412")</f>
        <v>RE-16.4412</v>
      </c>
      <c r="R234" s="34">
        <f>HYPERLINK("https://docs.google.com/spreadsheets/d/1mTTMhuM4nYiV1ApGQyl6S1uQQ99uvonL?usp=share_link", 192.861)</f>
        <v>192.861</v>
      </c>
      <c r="S234" s="34" t="str">
        <f>HYPERLINK("https://docs.google.com/spreadsheets/d/1rE-6xxWlsiXwOy_AqNgJzp1q9nl_R9mE?usp=share_link", "RE-10.7487")</f>
        <v>RE-10.7487</v>
      </c>
      <c r="T234" s="34">
        <f>HYPERLINK("https://docs.google.com/spreadsheets/d/17x23WDPbHLN782nhWZKgYt65GzimRpoy?usp=share_link", 123.538)</f>
        <v>123.538</v>
      </c>
      <c r="U234" s="34" t="str">
        <f>HYPERLINK("https://docs.google.com/spreadsheets/d/1Sfopg1oNyxiZT5Ds2hG6f_kaT2gMWU8t?usp=share_link", "RE-8.50892")</f>
        <v>RE-8.50892</v>
      </c>
      <c r="V234" s="34" t="str">
        <f>HYPERLINK("https://docs.google.com/spreadsheets/d/1Asj6iIFRGJxjoGC3qkPDAjtluA9bnDE6?usp=share_link", "RE-3.0356")</f>
        <v>RE-3.0356</v>
      </c>
      <c r="W234" s="33"/>
      <c r="X234" s="33"/>
      <c r="Y234" s="33"/>
      <c r="Z234" s="33"/>
      <c r="AA234" s="33"/>
      <c r="AB234" s="33"/>
      <c r="AC234" s="33"/>
      <c r="AD234" s="33"/>
      <c r="AE234" s="33"/>
      <c r="AF234" s="33"/>
      <c r="AG234" s="33"/>
      <c r="AH234" s="33"/>
      <c r="AI234" s="33"/>
      <c r="AJ234" s="33"/>
      <c r="AK234" s="33"/>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c r="FF234" s="33"/>
      <c r="FG234" s="33"/>
      <c r="FH234" s="33"/>
    </row>
    <row r="235">
      <c r="A235" s="30" t="s">
        <v>47</v>
      </c>
      <c r="B235" s="30" t="s">
        <v>50</v>
      </c>
      <c r="C235" s="31" t="str">
        <f>HYPERLINK("https://docs.google.com/spreadsheets/d/1ML1i_4vArwhktGphgusa35DeHc7iW0G_/edit?usp=share_link&amp;ouid=118279477453217743021&amp;rtpof=true&amp;sd=true", "Raw Delivered")</f>
        <v>Raw Delivered</v>
      </c>
      <c r="D235" s="12">
        <f t="shared" si="1"/>
        <v>7356.927549</v>
      </c>
      <c r="E235" s="13"/>
      <c r="F235" s="14">
        <f>HYPERLINK("https://docs.google.com/spreadsheets/d/15RqjwIG9fTcJ9YmkKl4KWlJQemxttp8_", 1593.69993749999)</f>
        <v>1593.699937</v>
      </c>
      <c r="G235" s="13"/>
      <c r="H235" s="14">
        <f>HYPERLINK("https://docs.google.com/spreadsheets/d/1BGzV0UxR28MY4H1sm6rAjEHfqzc6vPnf", 257.981164583333)</f>
        <v>257.9811646</v>
      </c>
      <c r="I235" s="13"/>
      <c r="J235" s="14">
        <f>HYPERLINK("https://docs.google.com/spreadsheets/d/1VWojfcI-pyb_HF-7qC6efaXu4y8EBETi", 1304.08117395833)</f>
        <v>1304.081174</v>
      </c>
      <c r="K235" s="13"/>
      <c r="L235" s="14">
        <f t="shared" ref="L235:L236" si="118">HYPERLINK("https://docs.google.com/spreadsheets/d/12_C65e-C3IlMLOd4uaU1W0jE6E2uvJFd", 2383.09887291666)</f>
        <v>2383.098873</v>
      </c>
      <c r="M235" s="13"/>
      <c r="N235" s="14">
        <f>HYPERLINK("https://docs.google.com/spreadsheets/d/1qv0xh9_37kjxog69OTashVekf3f1_a7x", 310.272296874999)</f>
        <v>310.2722969</v>
      </c>
      <c r="O235" s="13"/>
      <c r="P235" s="14">
        <f t="shared" ref="P235:P236" si="119">HYPERLINK("https://docs.google.com/spreadsheets/d/1K36fJV3kiMrWFY4OXKr3xoRSQsbZIS-D", 1005.4064875)</f>
        <v>1005.406488</v>
      </c>
      <c r="Q235" s="13"/>
      <c r="R235" s="14">
        <f t="shared" ref="R235:R236" si="120">HYPERLINK("https://docs.google.com/spreadsheets/d/1EgRCd1raseDrw6GPv4qKIbkJj2jpfeQi", 264.18403125)</f>
        <v>264.1840313</v>
      </c>
      <c r="S235" s="13"/>
      <c r="T235" s="14">
        <f t="shared" ref="T235:T236" si="121">HYPERLINK("https://docs.google.com/spreadsheets/d/1krb-P_9IPDihbEc1X-JzBLA9AaJDBd2F", 238.203584375)</f>
        <v>238.2035844</v>
      </c>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row>
    <row r="236">
      <c r="A236" s="32" t="s">
        <v>47</v>
      </c>
      <c r="B236" s="32" t="s">
        <v>50</v>
      </c>
      <c r="C236" s="32" t="s">
        <v>9</v>
      </c>
      <c r="D236" s="16">
        <f t="shared" si="1"/>
        <v>3890.892976</v>
      </c>
      <c r="E236" s="17"/>
      <c r="F236" s="18" t="str">
        <f>HYPERLINK("https://docs.google.com/spreadsheets/d/15RqjwIG9fTcJ9YmkKl4KWlJQemxttp8_", "RE-1593.6999374999973")</f>
        <v>RE-1593.6999374999973</v>
      </c>
      <c r="G236" s="17"/>
      <c r="H236" s="18" t="str">
        <f>HYPERLINK("https://docs.google.com/spreadsheets/d/1BGzV0UxR28MY4H1sm6rAjEHfqzc6vPnf", "RE-257.9811645833335")</f>
        <v>RE-257.9811645833335</v>
      </c>
      <c r="I236" s="17"/>
      <c r="J236" s="18" t="str">
        <f>HYPERLINK("https://docs.google.com/spreadsheets/d/1VWojfcI-pyb_HF-7qC6efaXu4y8EBETi", "RE-1304.0811739583323")</f>
        <v>RE-1304.0811739583323</v>
      </c>
      <c r="K236" s="17"/>
      <c r="L236" s="18">
        <f t="shared" si="118"/>
        <v>2383.098873</v>
      </c>
      <c r="M236" s="17"/>
      <c r="N236" s="18" t="str">
        <f>HYPERLINK("https://docs.google.com/spreadsheets/d/1qv0xh9_37kjxog69OTashVekf3f1_a7x", "RE-310.2722968749998")</f>
        <v>RE-310.2722968749998</v>
      </c>
      <c r="O236" s="17"/>
      <c r="P236" s="18">
        <f t="shared" si="119"/>
        <v>1005.406488</v>
      </c>
      <c r="Q236" s="17"/>
      <c r="R236" s="18">
        <f t="shared" si="120"/>
        <v>264.1840313</v>
      </c>
      <c r="S236" s="17"/>
      <c r="T236" s="18">
        <f t="shared" si="121"/>
        <v>238.2035844</v>
      </c>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c r="DN236" s="17"/>
      <c r="DO236" s="17"/>
      <c r="DP236" s="17"/>
      <c r="DQ236" s="17"/>
      <c r="DR236" s="17"/>
      <c r="DS236" s="17"/>
      <c r="DT236" s="17"/>
      <c r="DU236" s="17"/>
      <c r="DV236" s="17"/>
      <c r="DW236" s="17"/>
      <c r="DX236" s="17"/>
      <c r="DY236" s="17"/>
      <c r="DZ236" s="17"/>
      <c r="EA236" s="17"/>
      <c r="EB236" s="17"/>
      <c r="EC236" s="17"/>
      <c r="ED236" s="17"/>
      <c r="EE236" s="17"/>
      <c r="EF236" s="17"/>
      <c r="EG236" s="17"/>
      <c r="EH236" s="17"/>
      <c r="EI236" s="17"/>
      <c r="EJ236" s="17"/>
      <c r="EK236" s="17"/>
      <c r="EL236" s="17"/>
      <c r="EM236" s="17"/>
      <c r="EN236" s="17"/>
      <c r="EO236" s="17"/>
      <c r="EP236" s="17"/>
      <c r="EQ236" s="17"/>
      <c r="ER236" s="17"/>
      <c r="ES236" s="17"/>
      <c r="ET236" s="17"/>
      <c r="EU236" s="17"/>
      <c r="EV236" s="17"/>
      <c r="EW236" s="17"/>
      <c r="EX236" s="17"/>
      <c r="EY236" s="17"/>
      <c r="EZ236" s="17"/>
      <c r="FA236" s="17"/>
      <c r="FB236" s="17"/>
      <c r="FC236" s="17"/>
      <c r="FD236" s="17"/>
      <c r="FE236" s="17"/>
      <c r="FF236" s="17"/>
      <c r="FG236" s="17"/>
      <c r="FH236" s="17"/>
    </row>
    <row r="237">
      <c r="A237" s="32" t="s">
        <v>47</v>
      </c>
      <c r="B237" s="32" t="s">
        <v>50</v>
      </c>
      <c r="C237" s="32" t="s">
        <v>10</v>
      </c>
      <c r="D237" s="16">
        <f t="shared" si="1"/>
        <v>555.8468937</v>
      </c>
      <c r="E237" s="17"/>
      <c r="F237" s="17"/>
      <c r="G237" s="18">
        <f>HYPERLINK("https://docs.google.com/spreadsheets/d/1QmPd7qc1u39h4_LQHSobYwdHn2-QLHA3", 143.433522916666)</f>
        <v>143.4335229</v>
      </c>
      <c r="H237" s="17"/>
      <c r="I237" s="18">
        <f>HYPERLINK("https://docs.google.com/spreadsheets/d/1pqnoXqW4HEiAiYiddFxCTag8NGGxyJHf", 29.6228625)</f>
        <v>29.6228625</v>
      </c>
      <c r="J237" s="17"/>
      <c r="K237" s="18">
        <f>HYPERLINK("https://docs.google.com/spreadsheets/d/1kXR3O5h7owSmvLLkv-4l1d1STIZxBwV6", 69.90194375)</f>
        <v>69.90194375</v>
      </c>
      <c r="L237" s="17"/>
      <c r="M237" s="18">
        <f>HYPERLINK("https://docs.google.com/spreadsheets/d/162S4YeHduhbrR1Pwbz-K4YSGxpfga_YT", 121.627040624999)</f>
        <v>121.6270406</v>
      </c>
      <c r="N237" s="17"/>
      <c r="O237" s="18">
        <f>HYPERLINK("https://docs.google.com/spreadsheets/d/1rGE6OxDYC8kfYYC0KRz9lzLbXSPGNz4v", 43.4550895833333)</f>
        <v>43.45508958</v>
      </c>
      <c r="P237" s="17"/>
      <c r="Q237" s="18">
        <f>HYPERLINK("https://docs.google.com/spreadsheets/d/1aENWWC89qkEhlqwLFG8f6sAFnpEsHS9l", 101.166840624999)</f>
        <v>101.1668406</v>
      </c>
      <c r="R237" s="17"/>
      <c r="S237" s="18">
        <f>HYPERLINK("https://docs.google.com/spreadsheets/d/1lvh3lq4IKuk2lDIvO6C2yxx-p31NXeUu", 27.0457354166666)</f>
        <v>27.04573542</v>
      </c>
      <c r="T237" s="17"/>
      <c r="U237" s="18">
        <f>HYPERLINK("https://docs.google.com/spreadsheets/d/1x-MsFO4O6u0Kl9fHW1KJ18ZJEERhwgxE", 15.23800625)</f>
        <v>15.23800625</v>
      </c>
      <c r="V237" s="18">
        <f>HYPERLINK("https://docs.google.com/spreadsheets/d/1Ajah2BnCvN2W4qvFKnLn4n2eL56elXaP", 4.35585208333333)</f>
        <v>4.355852083</v>
      </c>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c r="DE237" s="17"/>
      <c r="DF237" s="17"/>
      <c r="DG237" s="17"/>
      <c r="DH237" s="17"/>
      <c r="DI237" s="17"/>
      <c r="DJ237" s="17"/>
      <c r="DK237" s="17"/>
      <c r="DL237" s="17"/>
      <c r="DM237" s="17"/>
      <c r="DN237" s="17"/>
      <c r="DO237" s="17"/>
      <c r="DP237" s="17"/>
      <c r="DQ237" s="17"/>
      <c r="DR237" s="17"/>
      <c r="DS237" s="17"/>
      <c r="DT237" s="17"/>
      <c r="DU237" s="17"/>
      <c r="DV237" s="17"/>
      <c r="DW237" s="17"/>
      <c r="DX237" s="17"/>
      <c r="DY237" s="17"/>
      <c r="DZ237" s="17"/>
      <c r="EA237" s="17"/>
      <c r="EB237" s="17"/>
      <c r="EC237" s="17"/>
      <c r="ED237" s="17"/>
      <c r="EE237" s="17"/>
      <c r="EF237" s="17"/>
      <c r="EG237" s="17"/>
      <c r="EH237" s="17"/>
      <c r="EI237" s="17"/>
      <c r="EJ237" s="17"/>
      <c r="EK237" s="17"/>
      <c r="EL237" s="17"/>
      <c r="EM237" s="17"/>
      <c r="EN237" s="17"/>
      <c r="EO237" s="17"/>
      <c r="EP237" s="17"/>
      <c r="EQ237" s="17"/>
      <c r="ER237" s="17"/>
      <c r="ES237" s="17"/>
      <c r="ET237" s="17"/>
      <c r="EU237" s="17"/>
      <c r="EV237" s="17"/>
      <c r="EW237" s="17"/>
      <c r="EX237" s="17"/>
      <c r="EY237" s="17"/>
      <c r="EZ237" s="17"/>
      <c r="FA237" s="17"/>
      <c r="FB237" s="17"/>
      <c r="FC237" s="17"/>
      <c r="FD237" s="17"/>
      <c r="FE237" s="17"/>
      <c r="FF237" s="17"/>
      <c r="FG237" s="17"/>
      <c r="FH237" s="17"/>
    </row>
    <row r="238">
      <c r="A238" s="32" t="s">
        <v>47</v>
      </c>
      <c r="B238" s="32" t="s">
        <v>50</v>
      </c>
      <c r="C238" s="32" t="s">
        <v>11</v>
      </c>
      <c r="D238" s="16">
        <f t="shared" si="1"/>
        <v>0</v>
      </c>
      <c r="E238" s="17"/>
      <c r="F238" s="17"/>
      <c r="G238" s="18" t="str">
        <f>HYPERLINK("https://docs.google.com/spreadsheets/d/1QmPd7qc1u39h4_LQHSobYwdHn2-QLHA3", "RE-143.43352291666673")</f>
        <v>RE-143.43352291666673</v>
      </c>
      <c r="H238" s="17"/>
      <c r="I238" s="18" t="str">
        <f>HYPERLINK("https://docs.google.com/spreadsheets/d/1pqnoXqW4HEiAiYiddFxCTag8NGGxyJHf", "RE-29.6228625")</f>
        <v>RE-29.6228625</v>
      </c>
      <c r="J238" s="17"/>
      <c r="K238" s="18" t="str">
        <f>HYPERLINK("https://docs.google.com/spreadsheets/d/1kXR3O5h7owSmvLLkv-4l1d1STIZxBwV6", "RE-69.90194375000006")</f>
        <v>RE-69.90194375000006</v>
      </c>
      <c r="L238" s="17"/>
      <c r="M238" s="18" t="str">
        <f>HYPERLINK("https://docs.google.com/spreadsheets/d/162S4YeHduhbrR1Pwbz-K4YSGxpfga_YT", "RE-121.62704062499996")</f>
        <v>RE-121.62704062499996</v>
      </c>
      <c r="N238" s="17"/>
      <c r="O238" s="18" t="str">
        <f>HYPERLINK("https://docs.google.com/spreadsheets/d/1rGE6OxDYC8kfYYC0KRz9lzLbXSPGNz4v", "RE-43.455089583333354")</f>
        <v>RE-43.455089583333354</v>
      </c>
      <c r="P238" s="17"/>
      <c r="Q238" s="18" t="str">
        <f>HYPERLINK("https://docs.google.com/spreadsheets/d/1aENWWC89qkEhlqwLFG8f6sAFnpEsHS9l", "RE-101.16684062499998")</f>
        <v>RE-101.16684062499998</v>
      </c>
      <c r="R238" s="17"/>
      <c r="S238" s="18" t="str">
        <f>HYPERLINK("https://docs.google.com/spreadsheets/d/1lvh3lq4IKuk2lDIvO6C2yxx-p31NXeUu", "RE-27.04573541666667")</f>
        <v>RE-27.04573541666667</v>
      </c>
      <c r="T238" s="17"/>
      <c r="U238" s="18" t="str">
        <f>HYPERLINK("https://docs.google.com/spreadsheets/d/1x-MsFO4O6u0Kl9fHW1KJ18ZJEERhwgxE", "RE-15.23800625")</f>
        <v>RE-15.23800625</v>
      </c>
      <c r="V238" s="18" t="str">
        <f>HYPERLINK("https://docs.google.com/spreadsheets/d/1Ajah2BnCvN2W4qvFKnLn4n2eL56elXaP", "RE-4.355852083333334")</f>
        <v>RE-4.355852083333334</v>
      </c>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c r="DN238" s="17"/>
      <c r="DO238" s="17"/>
      <c r="DP238" s="17"/>
      <c r="DQ238" s="17"/>
      <c r="DR238" s="17"/>
      <c r="DS238" s="17"/>
      <c r="DT238" s="17"/>
      <c r="DU238" s="17"/>
      <c r="DV238" s="17"/>
      <c r="DW238" s="17"/>
      <c r="DX238" s="17"/>
      <c r="DY238" s="17"/>
      <c r="DZ238" s="17"/>
      <c r="EA238" s="17"/>
      <c r="EB238" s="17"/>
      <c r="EC238" s="17"/>
      <c r="ED238" s="17"/>
      <c r="EE238" s="17"/>
      <c r="EF238" s="17"/>
      <c r="EG238" s="17"/>
      <c r="EH238" s="17"/>
      <c r="EI238" s="17"/>
      <c r="EJ238" s="17"/>
      <c r="EK238" s="17"/>
      <c r="EL238" s="17"/>
      <c r="EM238" s="17"/>
      <c r="EN238" s="17"/>
      <c r="EO238" s="17"/>
      <c r="EP238" s="17"/>
      <c r="EQ238" s="17"/>
      <c r="ER238" s="17"/>
      <c r="ES238" s="17"/>
      <c r="ET238" s="17"/>
      <c r="EU238" s="17"/>
      <c r="EV238" s="17"/>
      <c r="EW238" s="17"/>
      <c r="EX238" s="17"/>
      <c r="EY238" s="17"/>
      <c r="EZ238" s="17"/>
      <c r="FA238" s="17"/>
      <c r="FB238" s="17"/>
      <c r="FC238" s="17"/>
      <c r="FD238" s="17"/>
      <c r="FE238" s="17"/>
      <c r="FF238" s="17"/>
      <c r="FG238" s="17"/>
      <c r="FH238" s="17"/>
    </row>
    <row r="239">
      <c r="A239" s="32" t="s">
        <v>47</v>
      </c>
      <c r="B239" s="32" t="s">
        <v>50</v>
      </c>
      <c r="C239" s="32" t="s">
        <v>12</v>
      </c>
      <c r="D239" s="16">
        <f t="shared" si="1"/>
        <v>3568.586768</v>
      </c>
      <c r="E239" s="17"/>
      <c r="F239" s="18" t="str">
        <f>HYPERLINK("https://docs.google.com/spreadsheets/d/1a7R9x4k5DS3lUNEqlUBpUK6NhBt643A2", "RE-1189.8577874999999")</f>
        <v>RE-1189.8577874999999</v>
      </c>
      <c r="G239" s="18" t="str">
        <f>HYPERLINK("https://docs.google.com/spreadsheets/d/1-SH318JYkL4cu9YccGPXQtP9Ckp8Zz-p", "RE-4.620172916666666")</f>
        <v>RE-4.620172916666666</v>
      </c>
      <c r="H239" s="18" t="str">
        <f>HYPERLINK("https://docs.google.com/spreadsheets/d/1lY5O3GFIAYj9PjI945GHh85TBED_gpW8", "RE-218.3034270833333")</f>
        <v>RE-218.3034270833333</v>
      </c>
      <c r="I239" s="18" t="str">
        <f>HYPERLINK("https://docs.google.com/spreadsheets/d/1dqBPb04SPr4H7-mRzDWKUlGCJ1swmok5", "RE-0.34201041666666665")</f>
        <v>RE-0.34201041666666665</v>
      </c>
      <c r="J239" s="18" t="str">
        <f>HYPERLINK("https://docs.google.com/spreadsheets/d/1U0qNffLhDSjE8m2FFOxH1MVd_NWWmYa7", "RE-1073.8153833333342")</f>
        <v>RE-1073.8153833333342</v>
      </c>
      <c r="K239" s="18" t="str">
        <f>HYPERLINK("https://docs.google.com/spreadsheets/d/18YvSCckIsLvghi94JDArG8YPaIC7p8Fi", "RE-2.3215666666666666")</f>
        <v>RE-2.3215666666666666</v>
      </c>
      <c r="L239" s="18">
        <f>HYPERLINK("https://docs.google.com/spreadsheets/d/1zpWFfFRVEOD7vnoPrAY6OWKts1jRHdQ2", 2181.10542604166)</f>
        <v>2181.105426</v>
      </c>
      <c r="M239" s="18" t="str">
        <f>HYPERLINK("https://docs.google.com/spreadsheets/d/1gP2JBii31VFPknIELMe9QSEToxd381Yw", "RE-11.908395833333335")</f>
        <v>RE-11.908395833333335</v>
      </c>
      <c r="N239" s="18" t="str">
        <f>HYPERLINK("https://docs.google.com/spreadsheets/d/1AvW-A5lrv7wBQ2CPNr05uwdahYYP_X76", "RE-138.33443854166663")</f>
        <v>RE-138.33443854166663</v>
      </c>
      <c r="O239" s="18" t="str">
        <f>HYPERLINK("https://docs.google.com/spreadsheets/d/1CicVYIqDgGHrK6nNLnu_CRRrBZLBreAo", "RE-7.458932291666668")</f>
        <v>RE-7.458932291666668</v>
      </c>
      <c r="P239" s="18">
        <f>HYPERLINK("https://docs.google.com/spreadsheets/d/18DVA_SCl3N1fiTDw_wgQEwr4_cwhSSbw", 923.241137500002)</f>
        <v>923.2411375</v>
      </c>
      <c r="Q239" s="18" t="str">
        <f>HYPERLINK("https://docs.google.com/spreadsheets/d/1-4QFndK-GVGos1VQHINckW6TJSzO4v8T", "RE-30.477402083333327")</f>
        <v>RE-30.477402083333327</v>
      </c>
      <c r="R239" s="18">
        <f>HYPERLINK("https://docs.google.com/spreadsheets/d/1gDIYcIgGcHTlW_aqgqpucb9BLQqPBKbg", 246.09403125)</f>
        <v>246.0940313</v>
      </c>
      <c r="S239" s="18" t="str">
        <f>HYPERLINK("https://docs.google.com/spreadsheets/d/12DzyeTCkrE2-MP9XByCG0R9LhrqQhiGR", "RE-13.307831249999998")</f>
        <v>RE-13.307831249999998</v>
      </c>
      <c r="T239" s="18">
        <f>HYPERLINK("https://docs.google.com/spreadsheets/d/1h84_eMO_lsJEJmXbTTmd5mYtQ_QOP0mt", 218.146172916666)</f>
        <v>218.1461729</v>
      </c>
      <c r="U239" s="18" t="str">
        <f>HYPERLINK("https://docs.google.com/spreadsheets/d/1TJHRzr4-Ay9J5Rjw2qALxZ4uBvJP06Mr", "RE-10.243266666666667")</f>
        <v>RE-10.243266666666667</v>
      </c>
      <c r="V239" s="18" t="str">
        <f>HYPERLINK("https://docs.google.com/spreadsheets/d/1F2B2upD9i7SRsSmG-6eFDzX0NtUVAoPK", "RE-3.716781249999999")</f>
        <v>RE-3.716781249999999</v>
      </c>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row>
    <row r="240">
      <c r="A240" s="32" t="s">
        <v>47</v>
      </c>
      <c r="B240" s="32" t="s">
        <v>50</v>
      </c>
      <c r="C240" s="32" t="s">
        <v>13</v>
      </c>
      <c r="D240" s="16">
        <f t="shared" si="1"/>
        <v>3412.901</v>
      </c>
      <c r="E240" s="17"/>
      <c r="F240" s="18" t="str">
        <f>HYPERLINK("https://docs.google.com/spreadsheets/d/1lsVmY-35abUwMlMZd1Ncp_jmbjuBDxzq?usp=share_link", "RE-1161.96")</f>
        <v>RE-1161.96</v>
      </c>
      <c r="G240" s="18" t="str">
        <f>HYPERLINK("https://docs.google.com/spreadsheets/d/1IxK1SAAGHo9O1f0kQyBuv9dmQ10jZuIv?usp=share_link", "RE-4.47963")</f>
        <v>RE-4.47963</v>
      </c>
      <c r="H240" s="18" t="str">
        <f>HYPERLINK("https://docs.google.com/spreadsheets/d/16Kls0sEmix92dJ6gpibOrGnDViHFKQcX?usp=share_link", "RE-213.737")</f>
        <v>RE-213.737</v>
      </c>
      <c r="I240" s="18" t="str">
        <f>HYPERLINK("https://docs.google.com/spreadsheets/d/1AVPChM2NUo3wjE5Bmb1uWIxLI7mDUdOA?usp=share_link", "RE-0.340867")</f>
        <v>RE-0.340867</v>
      </c>
      <c r="J240" s="18" t="str">
        <f>HYPERLINK("https://docs.google.com/spreadsheets/d/1fo20Yilv8Fz4wkBYKBv3shpZ1yer4ptL?usp=share_link", "RE-1053.63")</f>
        <v>RE-1053.63</v>
      </c>
      <c r="K240" s="18" t="str">
        <f>HYPERLINK("https://docs.google.com/spreadsheets/d/1zLYo8VOaunWY-IVBbkd2dkdwDYARiVJ1?usp=share_link", "RE-2.25928")</f>
        <v>RE-2.25928</v>
      </c>
      <c r="L240" s="18">
        <f>HYPERLINK("https://docs.google.com/spreadsheets/d/1Vd8nBmURN3ngqoc4BPr_V6wQErxTaYb1?usp=share_link", 2092.47)</f>
        <v>2092.47</v>
      </c>
      <c r="M240" s="18" t="str">
        <f>HYPERLINK("https://docs.google.com/spreadsheets/d/1CiboVb8MeVY6tJud6E0c5E0TPQ_fxvOi?usp=share_link", "RE-11.1929")</f>
        <v>RE-11.1929</v>
      </c>
      <c r="N240" s="18" t="str">
        <f>HYPERLINK("https://docs.google.com/spreadsheets/d/1dKVl45ciGvT_YeTU3NKzrEBsQ-LE-HBb?usp=share_link", "RE-134.113")</f>
        <v>RE-134.113</v>
      </c>
      <c r="O240" s="18" t="str">
        <f>HYPERLINK("https://docs.google.com/spreadsheets/d/1Smozz0YHCuRtb9EQJMR2AiGm5J8XpAOr?usp=share_link", "RE-7.05037")</f>
        <v>RE-7.05037</v>
      </c>
      <c r="P240" s="18">
        <f>HYPERLINK("https://docs.google.com/spreadsheets/d/1SETNUSxyhLQ0dStVIq1dhiV9mN-rwj3c?usp=share_link", 878.655)</f>
        <v>878.655</v>
      </c>
      <c r="Q240" s="18" t="str">
        <f>HYPERLINK("https://docs.google.com/spreadsheets/d/1fvVsG7mzeDJ8LGeD9Vpy1SZ8oxHddct9?usp=share_link", "RE-28.408")</f>
        <v>RE-28.408</v>
      </c>
      <c r="R240" s="18">
        <f>HYPERLINK("https://docs.google.com/spreadsheets/d/1Oucsk5-DfJILu448ngP7_-VtFgv3Ua-j?usp=share_link", 233.739)</f>
        <v>233.739</v>
      </c>
      <c r="S240" s="18" t="str">
        <f>HYPERLINK("https://docs.google.com/spreadsheets/d/1beHnkU-Lkxd8iXJVHKtruw_TaGb6yBkC?usp=share_link", "RE-12.5263")</f>
        <v>RE-12.5263</v>
      </c>
      <c r="T240" s="18">
        <f>HYPERLINK("https://docs.google.com/spreadsheets/d/1lxDlg1RbMeTrqRyNWbrXkgyAxtGXhwfX?usp=share_link", 208.037)</f>
        <v>208.037</v>
      </c>
      <c r="U240" s="18" t="str">
        <f>HYPERLINK("https://docs.google.com/spreadsheets/d/1-jwkHUrtJ_Yr74Dfhrz2lBQR4l08KrCi?usp=share_link", "RE-9.79912")</f>
        <v>RE-9.79912</v>
      </c>
      <c r="V240" s="18" t="str">
        <f>HYPERLINK("https://docs.google.com/spreadsheets/d/1nKg7bQVRC64Gpg1HDxdlrvxAmmP_6a6P?usp=share_link", "RE-3.56645")</f>
        <v>RE-3.56645</v>
      </c>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c r="DN240" s="17"/>
      <c r="DO240" s="17"/>
      <c r="DP240" s="17"/>
      <c r="DQ240" s="17"/>
      <c r="DR240" s="17"/>
      <c r="DS240" s="17"/>
      <c r="DT240" s="17"/>
      <c r="DU240" s="17"/>
      <c r="DV240" s="17"/>
      <c r="DW240" s="17"/>
      <c r="DX240" s="17"/>
      <c r="DY240" s="17"/>
      <c r="DZ240" s="17"/>
      <c r="EA240" s="17"/>
      <c r="EB240" s="17"/>
      <c r="EC240" s="17"/>
      <c r="ED240" s="17"/>
      <c r="EE240" s="17"/>
      <c r="EF240" s="17"/>
      <c r="EG240" s="17"/>
      <c r="EH240" s="17"/>
      <c r="EI240" s="17"/>
      <c r="EJ240" s="17"/>
      <c r="EK240" s="17"/>
      <c r="EL240" s="17"/>
      <c r="EM240" s="17"/>
      <c r="EN240" s="17"/>
      <c r="EO240" s="17"/>
      <c r="EP240" s="17"/>
      <c r="EQ240" s="17"/>
      <c r="ER240" s="17"/>
      <c r="ES240" s="17"/>
      <c r="ET240" s="17"/>
      <c r="EU240" s="17"/>
      <c r="EV240" s="17"/>
      <c r="EW240" s="17"/>
      <c r="EX240" s="17"/>
      <c r="EY240" s="17"/>
      <c r="EZ240" s="17"/>
      <c r="FA240" s="17"/>
      <c r="FB240" s="17"/>
      <c r="FC240" s="17"/>
      <c r="FD240" s="17"/>
      <c r="FE240" s="17"/>
      <c r="FF240" s="17"/>
      <c r="FG240" s="17"/>
      <c r="FH240" s="17"/>
    </row>
    <row r="241">
      <c r="A241" s="32" t="s">
        <v>47</v>
      </c>
      <c r="B241" s="32" t="s">
        <v>50</v>
      </c>
      <c r="C241" s="32" t="s">
        <v>14</v>
      </c>
      <c r="D241" s="16">
        <f t="shared" si="1"/>
        <v>2934.833</v>
      </c>
      <c r="E241" s="17"/>
      <c r="F241" s="18" t="str">
        <f>HYPERLINK("https://docs.google.com/spreadsheets/d/1PiD3k3UiJIxT1wusYm64mqQ2Znd0t6ee?usp=share_link", "RE-1019.78")</f>
        <v>RE-1019.78</v>
      </c>
      <c r="G241" s="18" t="str">
        <f>HYPERLINK("https://docs.google.com/spreadsheets/d/1V7_o32JbaUBxL_Fw2auZjKVAesa5As2W?usp=share_link", "RE-4.16652")</f>
        <v>RE-4.16652</v>
      </c>
      <c r="H241" s="18" t="str">
        <f>HYPERLINK("https://docs.google.com/spreadsheets/d/1W7_UWNWKkCtfqITGpbfj5fh8hmWeWa4h?usp=share_link", "RE-186.227")</f>
        <v>RE-186.227</v>
      </c>
      <c r="I241" s="18" t="str">
        <f>HYPERLINK("https://docs.google.com/spreadsheets/d/1bRLvDkX7vJ_dcFtZmvpmez2lEiRdoPkj?usp=share_link", "RE-0.340867")</f>
        <v>RE-0.340867</v>
      </c>
      <c r="J241" s="18" t="str">
        <f>HYPERLINK("https://docs.google.com/spreadsheets/d/17CDd50I6eoHAQTf-K1hKIWMYrqPUtoal?usp=share_link", "RE-948.278")</f>
        <v>RE-948.278</v>
      </c>
      <c r="K241" s="18" t="str">
        <f>HYPERLINK("https://docs.google.com/spreadsheets/d/1NS6M9h9uOvMJhFxXwVwOfUq7xm-DbvxE?usp=share_link", "RE-2.25928")</f>
        <v>RE-2.25928</v>
      </c>
      <c r="L241" s="18">
        <f>HYPERLINK("https://docs.google.com/spreadsheets/d/1WvDLExB4075z39jerhe2GSjN7Dlgq7yQ?usp=share_link", 1823.99)</f>
        <v>1823.99</v>
      </c>
      <c r="M241" s="18" t="str">
        <f>HYPERLINK("https://docs.google.com/spreadsheets/d/15YlIgtJnRHuF3kdCGKrRAUvZB_MxGofJ?usp=share_link", "RE-9.85832")</f>
        <v>RE-9.85832</v>
      </c>
      <c r="N241" s="18" t="str">
        <f>HYPERLINK("https://docs.google.com/spreadsheets/d/1nTClagAeS5pOi5XKRtI0BLM03ieVI67V?usp=share_link", "RE-112.814")</f>
        <v>RE-112.814</v>
      </c>
      <c r="O241" s="18" t="str">
        <f>HYPERLINK("https://docs.google.com/spreadsheets/d/1NL6SomoSVakYJzLPe7kxHCeZ7NqLtQj9?usp=share_link", "RE-5.09577")</f>
        <v>RE-5.09577</v>
      </c>
      <c r="P241" s="18">
        <f>HYPERLINK("https://docs.google.com/spreadsheets/d/1XgguUqsFcl29EKFCJfdQNmbp_V0zohaa?usp=share_link", 749.906)</f>
        <v>749.906</v>
      </c>
      <c r="Q241" s="18" t="str">
        <f>HYPERLINK("https://docs.google.com/spreadsheets/d/11_PsQf_2pWN6DDSmnemUjipCLpZcQRYt?usp=share_link", "RE-26.5367")</f>
        <v>RE-26.5367</v>
      </c>
      <c r="R241" s="18">
        <f>HYPERLINK("https://docs.google.com/spreadsheets/d/123HV7WMjT2Lg1qIvp2Q6-MkoOhTWpRlj?usp=share_link", 192.475)</f>
        <v>192.475</v>
      </c>
      <c r="S241" s="18" t="str">
        <f>HYPERLINK("https://docs.google.com/spreadsheets/d/1Uf4sYTfAEeWPoRkbVyq0SKiNE6vT_fK_?usp=share_link", "RE-10.503")</f>
        <v>RE-10.503</v>
      </c>
      <c r="T241" s="18">
        <f>HYPERLINK("https://docs.google.com/spreadsheets/d/1eYMgs7ORB0oo-6eKQEXrui4_aQyXhAFm?usp=share_link", 168.462)</f>
        <v>168.462</v>
      </c>
      <c r="U241" s="18" t="str">
        <f>HYPERLINK("https://docs.google.com/spreadsheets/d/1JDfkDDo3j3V1p2djRW6Dhuu6J01tihxA?usp=share_link", "RE-8.12595")</f>
        <v>RE-8.12595</v>
      </c>
      <c r="V241" s="18" t="str">
        <f>HYPERLINK("https://docs.google.com/spreadsheets/d/1gyOH0PToUCvajg4YQCxaxVAdA1kmMQRP?usp=share_link", "RE-3.56645")</f>
        <v>RE-3.56645</v>
      </c>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c r="DN241" s="17"/>
      <c r="DO241" s="17"/>
      <c r="DP241" s="17"/>
      <c r="DQ241" s="17"/>
      <c r="DR241" s="17"/>
      <c r="DS241" s="17"/>
      <c r="DT241" s="17"/>
      <c r="DU241" s="17"/>
      <c r="DV241" s="17"/>
      <c r="DW241" s="17"/>
      <c r="DX241" s="17"/>
      <c r="DY241" s="17"/>
      <c r="DZ241" s="17"/>
      <c r="EA241" s="17"/>
      <c r="EB241" s="17"/>
      <c r="EC241" s="17"/>
      <c r="ED241" s="17"/>
      <c r="EE241" s="17"/>
      <c r="EF241" s="17"/>
      <c r="EG241" s="17"/>
      <c r="EH241" s="17"/>
      <c r="EI241" s="17"/>
      <c r="EJ241" s="17"/>
      <c r="EK241" s="17"/>
      <c r="EL241" s="17"/>
      <c r="EM241" s="17"/>
      <c r="EN241" s="17"/>
      <c r="EO241" s="17"/>
      <c r="EP241" s="17"/>
      <c r="EQ241" s="17"/>
      <c r="ER241" s="17"/>
      <c r="ES241" s="17"/>
      <c r="ET241" s="17"/>
      <c r="EU241" s="17"/>
      <c r="EV241" s="17"/>
      <c r="EW241" s="17"/>
      <c r="EX241" s="17"/>
      <c r="EY241" s="17"/>
      <c r="EZ241" s="17"/>
      <c r="FA241" s="17"/>
      <c r="FB241" s="17"/>
      <c r="FC241" s="17"/>
      <c r="FD241" s="17"/>
      <c r="FE241" s="17"/>
      <c r="FF241" s="17"/>
      <c r="FG241" s="17"/>
      <c r="FH241" s="17"/>
    </row>
    <row r="242">
      <c r="A242" s="27" t="s">
        <v>47</v>
      </c>
      <c r="B242" s="27" t="s">
        <v>50</v>
      </c>
      <c r="C242" s="27" t="s">
        <v>15</v>
      </c>
      <c r="D242" s="28">
        <f t="shared" si="1"/>
        <v>3412.837</v>
      </c>
      <c r="E242" s="33"/>
      <c r="F242" s="34" t="str">
        <f>HYPERLINK("https://docs.google.com/spreadsheets/d/1rc8Rr0G5t0Fm5Cw5fcC-83zkT4_5ILPf?usp=share_link", "RE-1161.96")</f>
        <v>RE-1161.96</v>
      </c>
      <c r="G242" s="34" t="str">
        <f>HYPERLINK("https://docs.google.com/spreadsheets/d/1slK8GIYCGbn2-UdYKxgk10U585x_1Opb?usp=share_link", "RE-4.47963")</f>
        <v>RE-4.47963</v>
      </c>
      <c r="H242" s="34" t="str">
        <f>HYPERLINK("https://docs.google.com/spreadsheets/d/1M9hWN5g2wZfiOgboZcl3otb-Lqj6ltGv?usp=share_link", "RE-213.737")</f>
        <v>RE-213.737</v>
      </c>
      <c r="I242" s="34" t="str">
        <f>HYPERLINK("https://docs.google.com/spreadsheets/d/1fP4xhnhO6oDblaF2_Da8_Z_y0nfUvoob?usp=share_link", "RE-0.340867")</f>
        <v>RE-0.340867</v>
      </c>
      <c r="J242" s="34" t="str">
        <f>HYPERLINK("https://docs.google.com/spreadsheets/d/1i8W_X8tcieQ3uACd6PWpQYor1sDbiQgD?usp=share_link", "RE-1053.63")</f>
        <v>RE-1053.63</v>
      </c>
      <c r="K242" s="34" t="str">
        <f>HYPERLINK("https://docs.google.com/spreadsheets/d/11bJd9daWEgd0QcRkSyK79NRVUvv4DRSf?usp=share_link", "RE-2.25928")</f>
        <v>RE-2.25928</v>
      </c>
      <c r="L242" s="34">
        <f>HYPERLINK("https://docs.google.com/spreadsheets/d/1SvBMnYVd1D01tqF0XXOFLjt08dBnL7vL?usp=share_link", 2092.45)</f>
        <v>2092.45</v>
      </c>
      <c r="M242" s="34" t="str">
        <f>HYPERLINK("https://docs.google.com/spreadsheets/d/1u-jZ6ENRdS6zA6rUVJUZEsU6lKftu4Z_?usp=share_link", "RE-11.1929")</f>
        <v>RE-11.1929</v>
      </c>
      <c r="N242" s="34" t="str">
        <f>HYPERLINK("https://docs.google.com/spreadsheets/d/1HGx6EVAj0JJV7B9WEvY8DvNH-Eki-KxV?usp=share_link", "RE-134.113")</f>
        <v>RE-134.113</v>
      </c>
      <c r="O242" s="34" t="str">
        <f>HYPERLINK("https://docs.google.com/spreadsheets/d/1EpHPEr4WUAGbONBIsc3KPtVIMTK1R97K?usp=share_link", "RE-7.05037")</f>
        <v>RE-7.05037</v>
      </c>
      <c r="P242" s="34">
        <f>HYPERLINK("https://docs.google.com/spreadsheets/d/1lfQQzuWBHpUWJUx2fYfKI9EOk3NZtjZW?usp=share_link", 878.611)</f>
        <v>878.611</v>
      </c>
      <c r="Q242" s="34" t="str">
        <f>HYPERLINK("https://docs.google.com/spreadsheets/d/1w6OncxKhxFGYxPKRyapNPURBPiO1OAHW?usp=share_link", "RE-28.408")</f>
        <v>RE-28.408</v>
      </c>
      <c r="R242" s="34">
        <f>HYPERLINK("https://docs.google.com/spreadsheets/d/1mGOQbSBvJ3RDdrMZoJtQT8AMBx5WQxea?usp=share_link", 233.739)</f>
        <v>233.739</v>
      </c>
      <c r="S242" s="34" t="str">
        <f>HYPERLINK("https://docs.google.com/spreadsheets/d/14R7fGkJu9JWlVy1hLnD5pYazJQYfu9cJ?usp=share_link", "RE-12.5263")</f>
        <v>RE-12.5263</v>
      </c>
      <c r="T242" s="34">
        <f>HYPERLINK("https://docs.google.com/spreadsheets/d/1skiMRcQVZ9jBRaPkwuX10LSIY_Bf6KTF?usp=share_link", 208.037)</f>
        <v>208.037</v>
      </c>
      <c r="U242" s="34" t="str">
        <f>HYPERLINK("https://docs.google.com/spreadsheets/d/1bp52_UzKD6fSoR3PQClrHjSchJgXI_kh?usp=share_link", "RE-9.79912")</f>
        <v>RE-9.79912</v>
      </c>
      <c r="V242" s="34" t="str">
        <f>HYPERLINK("https://docs.google.com/spreadsheets/d/18TGH4Eom-FpZOC3jcgxYGRNsXFvv-ur9?usp=share_link", "RE-3.56645")</f>
        <v>RE-3.56645</v>
      </c>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c r="FF242" s="33"/>
      <c r="FG242" s="33"/>
      <c r="FH242" s="33"/>
    </row>
    <row r="243">
      <c r="A243" s="30" t="s">
        <v>47</v>
      </c>
      <c r="B243" s="30" t="s">
        <v>51</v>
      </c>
      <c r="C243" s="31" t="str">
        <f>HYPERLINK("https://docs.google.com/spreadsheets/d/1ZI6R62bTv2LFik8Yf4SmU8Uequ4Ye57M/edit?usp=share_link&amp;ouid=118279477453217743021&amp;rtpof=true&amp;sd=true", "Raw Delivered")</f>
        <v>Raw Delivered</v>
      </c>
      <c r="D243" s="12">
        <f t="shared" si="1"/>
        <v>4419.998652</v>
      </c>
      <c r="E243" s="13"/>
      <c r="F243" s="14">
        <f>HYPERLINK("https://docs.google.com/spreadsheets/d/13EKycOVtNSFKqDVPOVBJKXCaYGeixCbX", 963.348619791671)</f>
        <v>963.3486198</v>
      </c>
      <c r="G243" s="13"/>
      <c r="H243" s="14">
        <f>HYPERLINK("https://docs.google.com/spreadsheets/d/1pIqxFRrZsT4Z-bXFwiIdHeRYPStWmvU8", 169.184920833333)</f>
        <v>169.1849208</v>
      </c>
      <c r="I243" s="13"/>
      <c r="J243" s="14">
        <f>HYPERLINK("https://docs.google.com/spreadsheets/d/1OCBfklBh04n26Q8AENk0YUd8zAUDdK-j", 978.526706250001)</f>
        <v>978.5267063</v>
      </c>
      <c r="K243" s="13"/>
      <c r="L243" s="14">
        <f t="shared" ref="L243:L244" si="122">HYPERLINK("https://docs.google.com/spreadsheets/d/1iUpU9LqsNIb9LBd2hCYFPRh4ksXG792i", 1394.78931979166)</f>
        <v>1394.78932</v>
      </c>
      <c r="M243" s="13"/>
      <c r="N243" s="14">
        <f>HYPERLINK("https://docs.google.com/spreadsheets/d/1Ty3qMw5P_b__dfucYynsGYQMo2r6b9Jo", 203.892752083333)</f>
        <v>203.8927521</v>
      </c>
      <c r="O243" s="13"/>
      <c r="P243" s="14">
        <f t="shared" ref="P243:P244" si="123">HYPERLINK("https://docs.google.com/spreadsheets/d/1C6K4NHQesapODRMYJtUu6ffObfGQQDz7", 411.716714583333)</f>
        <v>411.7167146</v>
      </c>
      <c r="Q243" s="13"/>
      <c r="R243" s="14">
        <f t="shared" ref="R243:R244" si="124">HYPERLINK("https://docs.google.com/spreadsheets/d/133L8fVdVAv-V9rawfI3UHpwbYOzDUba9", 174.616913541666)</f>
        <v>174.6169135</v>
      </c>
      <c r="S243" s="13"/>
      <c r="T243" s="14">
        <f t="shared" ref="T243:T244" si="125">HYPERLINK("https://docs.google.com/spreadsheets/d/1CGx1eWq1JYgp63c_arAYDZYlFRunBN7P", 123.922705208333)</f>
        <v>123.9227052</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row>
    <row r="244">
      <c r="A244" s="32" t="s">
        <v>47</v>
      </c>
      <c r="B244" s="32" t="s">
        <v>51</v>
      </c>
      <c r="C244" s="32" t="s">
        <v>9</v>
      </c>
      <c r="D244" s="16">
        <f t="shared" si="1"/>
        <v>2105.045653</v>
      </c>
      <c r="E244" s="17"/>
      <c r="F244" s="18" t="str">
        <f>HYPERLINK("https://docs.google.com/spreadsheets/d/13EKycOVtNSFKqDVPOVBJKXCaYGeixCbX", "RE-963.3486197916717")</f>
        <v>RE-963.3486197916717</v>
      </c>
      <c r="G244" s="17"/>
      <c r="H244" s="18" t="str">
        <f>HYPERLINK("https://docs.google.com/spreadsheets/d/1pIqxFRrZsT4Z-bXFwiIdHeRYPStWmvU8", "RE-169.18492083333322")</f>
        <v>RE-169.18492083333322</v>
      </c>
      <c r="I244" s="17"/>
      <c r="J244" s="18" t="str">
        <f>HYPERLINK("https://docs.google.com/spreadsheets/d/1OCBfklBh04n26Q8AENk0YUd8zAUDdK-j", "RE-978.5267062500017")</f>
        <v>RE-978.5267062500017</v>
      </c>
      <c r="K244" s="17"/>
      <c r="L244" s="18">
        <f t="shared" si="122"/>
        <v>1394.78932</v>
      </c>
      <c r="M244" s="17"/>
      <c r="N244" s="18" t="str">
        <f>HYPERLINK("https://docs.google.com/spreadsheets/d/1Ty3qMw5P_b__dfucYynsGYQMo2r6b9Jo", "RE-203.89275208333345")</f>
        <v>RE-203.89275208333345</v>
      </c>
      <c r="O244" s="17"/>
      <c r="P244" s="18">
        <f t="shared" si="123"/>
        <v>411.7167146</v>
      </c>
      <c r="Q244" s="17"/>
      <c r="R244" s="18">
        <f t="shared" si="124"/>
        <v>174.6169135</v>
      </c>
      <c r="S244" s="17"/>
      <c r="T244" s="18">
        <f t="shared" si="125"/>
        <v>123.9227052</v>
      </c>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c r="DE244" s="17"/>
      <c r="DF244" s="17"/>
      <c r="DG244" s="17"/>
      <c r="DH244" s="17"/>
      <c r="DI244" s="17"/>
      <c r="DJ244" s="17"/>
      <c r="DK244" s="17"/>
      <c r="DL244" s="17"/>
      <c r="DM244" s="17"/>
      <c r="DN244" s="17"/>
      <c r="DO244" s="17"/>
      <c r="DP244" s="17"/>
      <c r="DQ244" s="17"/>
      <c r="DR244" s="17"/>
      <c r="DS244" s="17"/>
      <c r="DT244" s="17"/>
      <c r="DU244" s="17"/>
      <c r="DV244" s="17"/>
      <c r="DW244" s="17"/>
      <c r="DX244" s="17"/>
      <c r="DY244" s="17"/>
      <c r="DZ244" s="17"/>
      <c r="EA244" s="17"/>
      <c r="EB244" s="17"/>
      <c r="EC244" s="17"/>
      <c r="ED244" s="17"/>
      <c r="EE244" s="17"/>
      <c r="EF244" s="17"/>
      <c r="EG244" s="17"/>
      <c r="EH244" s="17"/>
      <c r="EI244" s="17"/>
      <c r="EJ244" s="17"/>
      <c r="EK244" s="17"/>
      <c r="EL244" s="17"/>
      <c r="EM244" s="17"/>
      <c r="EN244" s="17"/>
      <c r="EO244" s="17"/>
      <c r="EP244" s="17"/>
      <c r="EQ244" s="17"/>
      <c r="ER244" s="17"/>
      <c r="ES244" s="17"/>
      <c r="ET244" s="17"/>
      <c r="EU244" s="17"/>
      <c r="EV244" s="17"/>
      <c r="EW244" s="17"/>
      <c r="EX244" s="17"/>
      <c r="EY244" s="17"/>
      <c r="EZ244" s="17"/>
      <c r="FA244" s="17"/>
      <c r="FB244" s="17"/>
      <c r="FC244" s="17"/>
      <c r="FD244" s="17"/>
      <c r="FE244" s="17"/>
      <c r="FF244" s="17"/>
      <c r="FG244" s="17"/>
      <c r="FH244" s="17"/>
    </row>
    <row r="245">
      <c r="A245" s="32" t="s">
        <v>47</v>
      </c>
      <c r="B245" s="32" t="s">
        <v>51</v>
      </c>
      <c r="C245" s="32" t="s">
        <v>10</v>
      </c>
      <c r="D245" s="16">
        <f t="shared" si="1"/>
        <v>348.923076</v>
      </c>
      <c r="E245" s="17"/>
      <c r="F245" s="17"/>
      <c r="G245" s="18">
        <f>HYPERLINK("https://docs.google.com/spreadsheets/d/1rGL85Q4qiGzAawmY2r2GiXjAk_yh4inp", 109.537158333333)</f>
        <v>109.5371583</v>
      </c>
      <c r="H245" s="17"/>
      <c r="I245" s="18">
        <f>HYPERLINK("https://docs.google.com/spreadsheets/d/1T3kU5Ep7Z4Sq3OMeYbnJeVXZGSVhtPB3", 14.5327270833333)</f>
        <v>14.53272708</v>
      </c>
      <c r="J245" s="17"/>
      <c r="K245" s="18">
        <f>HYPERLINK("https://docs.google.com/spreadsheets/d/1Eta3COnAfGSI9LdHG20692kH3VRVCSm-", 67.1956489583333)</f>
        <v>67.19564896</v>
      </c>
      <c r="L245" s="17"/>
      <c r="M245" s="18">
        <f>HYPERLINK("https://docs.google.com/spreadsheets/d/1XXk2GeB-kcsON7Z1QV7om8h2B2TJ38nN", 57.1784604166666)</f>
        <v>57.17846042</v>
      </c>
      <c r="N245" s="17"/>
      <c r="O245" s="18">
        <f>HYPERLINK("https://docs.google.com/spreadsheets/d/1BNynTWKSnRvFbb8gBvOOlCD4Jr3U3MMz", 16.8523114583333)</f>
        <v>16.85231146</v>
      </c>
      <c r="P245" s="17"/>
      <c r="Q245" s="18">
        <f>HYPERLINK("https://docs.google.com/spreadsheets/d/1W1W5xroY__EsTWIDW9brq8jsBIUWWlwH", 44.6148677083333)</f>
        <v>44.61486771</v>
      </c>
      <c r="R245" s="17"/>
      <c r="S245" s="18">
        <f>HYPERLINK("https://docs.google.com/spreadsheets/d/1A9cOQzDVIlXFDgOn0y0wKtG_JJ2V8qP9", 23.2685270833333)</f>
        <v>23.26852708</v>
      </c>
      <c r="T245" s="17"/>
      <c r="U245" s="18">
        <f>HYPERLINK("https://docs.google.com/spreadsheets/d/1j3pzPEaLjaqHH5dZE0duPPOc9Yec6F0A", 9.12179374999999)</f>
        <v>9.12179375</v>
      </c>
      <c r="V245" s="18">
        <f>HYPERLINK("https://docs.google.com/spreadsheets/d/1ylW1i7STN-cDC1apiLuiWBCoizCiaY9Z", 6.62158125)</f>
        <v>6.62158125</v>
      </c>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c r="DE245" s="17"/>
      <c r="DF245" s="17"/>
      <c r="DG245" s="17"/>
      <c r="DH245" s="17"/>
      <c r="DI245" s="17"/>
      <c r="DJ245" s="17"/>
      <c r="DK245" s="17"/>
      <c r="DL245" s="17"/>
      <c r="DM245" s="17"/>
      <c r="DN245" s="17"/>
      <c r="DO245" s="17"/>
      <c r="DP245" s="17"/>
      <c r="DQ245" s="17"/>
      <c r="DR245" s="17"/>
      <c r="DS245" s="17"/>
      <c r="DT245" s="17"/>
      <c r="DU245" s="17"/>
      <c r="DV245" s="17"/>
      <c r="DW245" s="17"/>
      <c r="DX245" s="17"/>
      <c r="DY245" s="17"/>
      <c r="DZ245" s="17"/>
      <c r="EA245" s="17"/>
      <c r="EB245" s="17"/>
      <c r="EC245" s="17"/>
      <c r="ED245" s="17"/>
      <c r="EE245" s="17"/>
      <c r="EF245" s="17"/>
      <c r="EG245" s="17"/>
      <c r="EH245" s="17"/>
      <c r="EI245" s="17"/>
      <c r="EJ245" s="17"/>
      <c r="EK245" s="17"/>
      <c r="EL245" s="17"/>
      <c r="EM245" s="17"/>
      <c r="EN245" s="17"/>
      <c r="EO245" s="17"/>
      <c r="EP245" s="17"/>
      <c r="EQ245" s="17"/>
      <c r="ER245" s="17"/>
      <c r="ES245" s="17"/>
      <c r="ET245" s="17"/>
      <c r="EU245" s="17"/>
      <c r="EV245" s="17"/>
      <c r="EW245" s="17"/>
      <c r="EX245" s="17"/>
      <c r="EY245" s="17"/>
      <c r="EZ245" s="17"/>
      <c r="FA245" s="17"/>
      <c r="FB245" s="17"/>
      <c r="FC245" s="17"/>
      <c r="FD245" s="17"/>
      <c r="FE245" s="17"/>
      <c r="FF245" s="17"/>
      <c r="FG245" s="17"/>
      <c r="FH245" s="17"/>
    </row>
    <row r="246">
      <c r="A246" s="32" t="s">
        <v>47</v>
      </c>
      <c r="B246" s="32" t="s">
        <v>51</v>
      </c>
      <c r="C246" s="32" t="s">
        <v>11</v>
      </c>
      <c r="D246" s="16">
        <f t="shared" si="1"/>
        <v>0</v>
      </c>
      <c r="E246" s="17"/>
      <c r="F246" s="17"/>
      <c r="G246" s="18" t="str">
        <f>HYPERLINK("https://docs.google.com/spreadsheets/d/1rGL85Q4qiGzAawmY2r2GiXjAk_yh4inp", "RE-109.53715833333335")</f>
        <v>RE-109.53715833333335</v>
      </c>
      <c r="H246" s="17"/>
      <c r="I246" s="18" t="str">
        <f>HYPERLINK("https://docs.google.com/spreadsheets/d/1T3kU5Ep7Z4Sq3OMeYbnJeVXZGSVhtPB3", "RE-14.532727083333327")</f>
        <v>RE-14.532727083333327</v>
      </c>
      <c r="J246" s="17"/>
      <c r="K246" s="18" t="str">
        <f>HYPERLINK("https://docs.google.com/spreadsheets/d/1Eta3COnAfGSI9LdHG20692kH3VRVCSm-", "RE-67.19564895833338")</f>
        <v>RE-67.19564895833338</v>
      </c>
      <c r="L246" s="17"/>
      <c r="M246" s="18" t="str">
        <f>HYPERLINK("https://docs.google.com/spreadsheets/d/1XXk2GeB-kcsON7Z1QV7om8h2B2TJ38nN", "RE-57.178460416666674")</f>
        <v>RE-57.178460416666674</v>
      </c>
      <c r="N246" s="17"/>
      <c r="O246" s="18" t="str">
        <f>HYPERLINK("https://docs.google.com/spreadsheets/d/1BNynTWKSnRvFbb8gBvOOlCD4Jr3U3MMz", "RE-16.852311458333332")</f>
        <v>RE-16.852311458333332</v>
      </c>
      <c r="P246" s="17"/>
      <c r="Q246" s="18" t="str">
        <f>HYPERLINK("https://docs.google.com/spreadsheets/d/1W1W5xroY__EsTWIDW9brq8jsBIUWWlwH", "RE-44.61486770833333")</f>
        <v>RE-44.61486770833333</v>
      </c>
      <c r="R246" s="17"/>
      <c r="S246" s="18" t="str">
        <f>HYPERLINK("https://docs.google.com/spreadsheets/d/1A9cOQzDVIlXFDgOn0y0wKtG_JJ2V8qP9", "RE-23.268527083333325")</f>
        <v>RE-23.268527083333325</v>
      </c>
      <c r="T246" s="17"/>
      <c r="U246" s="18" t="str">
        <f>HYPERLINK("https://docs.google.com/spreadsheets/d/1j3pzPEaLjaqHH5dZE0duPPOc9Yec6F0A", "RE-9.121793749999998")</f>
        <v>RE-9.121793749999998</v>
      </c>
      <c r="V246" s="18" t="str">
        <f>HYPERLINK("https://docs.google.com/spreadsheets/d/1ylW1i7STN-cDC1apiLuiWBCoizCiaY9Z", "RE-6.621581250000001")</f>
        <v>RE-6.621581250000001</v>
      </c>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c r="DP246" s="17"/>
      <c r="DQ246" s="17"/>
      <c r="DR246" s="17"/>
      <c r="DS246" s="17"/>
      <c r="DT246" s="17"/>
      <c r="DU246" s="17"/>
      <c r="DV246" s="17"/>
      <c r="DW246" s="17"/>
      <c r="DX246" s="17"/>
      <c r="DY246" s="17"/>
      <c r="DZ246" s="17"/>
      <c r="EA246" s="17"/>
      <c r="EB246" s="17"/>
      <c r="EC246" s="17"/>
      <c r="ED246" s="17"/>
      <c r="EE246" s="17"/>
      <c r="EF246" s="17"/>
      <c r="EG246" s="17"/>
      <c r="EH246" s="17"/>
      <c r="EI246" s="17"/>
      <c r="EJ246" s="17"/>
      <c r="EK246" s="17"/>
      <c r="EL246" s="17"/>
      <c r="EM246" s="17"/>
      <c r="EN246" s="17"/>
      <c r="EO246" s="17"/>
      <c r="EP246" s="17"/>
      <c r="EQ246" s="17"/>
      <c r="ER246" s="17"/>
      <c r="ES246" s="17"/>
      <c r="ET246" s="17"/>
      <c r="EU246" s="17"/>
      <c r="EV246" s="17"/>
      <c r="EW246" s="17"/>
      <c r="EX246" s="17"/>
      <c r="EY246" s="17"/>
      <c r="EZ246" s="17"/>
      <c r="FA246" s="17"/>
      <c r="FB246" s="17"/>
      <c r="FC246" s="17"/>
      <c r="FD246" s="17"/>
      <c r="FE246" s="17"/>
      <c r="FF246" s="17"/>
      <c r="FG246" s="17"/>
      <c r="FH246" s="17"/>
    </row>
    <row r="247">
      <c r="A247" s="32" t="s">
        <v>47</v>
      </c>
      <c r="B247" s="32" t="s">
        <v>51</v>
      </c>
      <c r="C247" s="32" t="s">
        <v>12</v>
      </c>
      <c r="D247" s="16">
        <f t="shared" si="1"/>
        <v>1938.753532</v>
      </c>
      <c r="E247" s="17"/>
      <c r="F247" s="18" t="str">
        <f>HYPERLINK("https://docs.google.com/spreadsheets/d/1wdJU4fh-pVgglk44eCOYBZ_07YRUIaQf", "RE-703.4041895833341")</f>
        <v>RE-703.4041895833341</v>
      </c>
      <c r="G247" s="18" t="str">
        <f>HYPERLINK("https://docs.google.com/spreadsheets/d/1SmkKclWrHZg0AUguRtme4E8DTDnkhO97", "RE-2.997370833333333")</f>
        <v>RE-2.997370833333333</v>
      </c>
      <c r="H247" s="18" t="str">
        <f>HYPERLINK("https://docs.google.com/spreadsheets/d/1nDcc2yKx_eI4fqSpcCXM7wu46xSRRX2K", "RE-143.33286666666658")</f>
        <v>RE-143.33286666666658</v>
      </c>
      <c r="I247" s="18" t="str">
        <f>HYPERLINK("https://docs.google.com/spreadsheets/d/17XOLMpLSnxyBtWxXX2yeCm2gEvm4q5IP", "RE-0.6533104166666667")</f>
        <v>RE-0.6533104166666667</v>
      </c>
      <c r="J247" s="18" t="str">
        <f>HYPERLINK("https://docs.google.com/spreadsheets/d/1KReQrsUEvfJ1oLd6oqOtQUVUbSmxmIbW", "RE-792.6665302083359")</f>
        <v>RE-792.6665302083359</v>
      </c>
      <c r="K247" s="18" t="str">
        <f>HYPERLINK("https://docs.google.com/spreadsheets/d/1cjaBoNEcB-YjLXttfoScujoubGhwz4-5", "RE-6.647787499999999")</f>
        <v>RE-6.647787499999999</v>
      </c>
      <c r="L247" s="18">
        <f>HYPERLINK("https://docs.google.com/spreadsheets/d/10ykjveqBOR0aElU676-cEGDFlTXCV53k", 1290.65471770833)</f>
        <v>1290.654718</v>
      </c>
      <c r="M247" s="18" t="str">
        <f>HYPERLINK("https://docs.google.com/spreadsheets/d/15Yqwg0iOHuEjtXc35Vo6bwyZa-CiqOGI", "RE-8.4152")</f>
        <v>RE-8.4152</v>
      </c>
      <c r="N247" s="18" t="str">
        <f>HYPERLINK("https://docs.google.com/spreadsheets/d/1xwgAyOEFaZsG1wzzfNORWBEHzZtyIkfu", "RE-103.49486979166659")</f>
        <v>RE-103.49486979166659</v>
      </c>
      <c r="O247" s="18" t="str">
        <f>HYPERLINK("https://docs.google.com/spreadsheets/d/1bmTufWTok_sGTn-mIkHjMsTtOBT6MNF6", "RE-6.392864583333333")</f>
        <v>RE-6.392864583333333</v>
      </c>
      <c r="P247" s="18">
        <f>HYPERLINK("https://docs.google.com/spreadsheets/d/1FYIxJ9r3hKWSZXQi77xk9AuaVJ5P_QLB", 371.917495833333)</f>
        <v>371.9174958</v>
      </c>
      <c r="Q247" s="18" t="str">
        <f>HYPERLINK("https://docs.google.com/spreadsheets/d/197NFdMZkT5ntSUmTsIfjIvKj1iNIf_9h", "RE-16.581410416666667")</f>
        <v>RE-16.581410416666667</v>
      </c>
      <c r="R247" s="18">
        <f>HYPERLINK("https://docs.google.com/spreadsheets/d/1DRXVn3zJMAxMUcrXjLikYCO4NCSlz-Rp", 168.086061458333)</f>
        <v>168.0860615</v>
      </c>
      <c r="S247" s="18" t="str">
        <f>HYPERLINK("https://docs.google.com/spreadsheets/d/1MgrLsTg4BrIQstru8PBjXwSw3KxQ7130", "RE-12.688671875000002")</f>
        <v>RE-12.688671875000002</v>
      </c>
      <c r="T247" s="18">
        <f>HYPERLINK("https://docs.google.com/spreadsheets/d/1oa8uOZ6FpNyAygjgHjwg3XiGi89_y_Jo", 108.095257291666)</f>
        <v>108.0952573</v>
      </c>
      <c r="U247" s="18" t="str">
        <f>HYPERLINK("https://docs.google.com/spreadsheets/d/1-ODdgmMYd88GQWScWIAdj2Hlo8VS3OXK", "RE-4.206364583333333")</f>
        <v>RE-4.206364583333333</v>
      </c>
      <c r="V247" s="18" t="str">
        <f>HYPERLINK("https://docs.google.com/spreadsheets/d/1S31gieOenVuEVdbtYWhEdCJnjC9J4zwM", "RE-2.79434375")</f>
        <v>RE-2.79434375</v>
      </c>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c r="DN247" s="17"/>
      <c r="DO247" s="17"/>
      <c r="DP247" s="17"/>
      <c r="DQ247" s="17"/>
      <c r="DR247" s="17"/>
      <c r="DS247" s="17"/>
      <c r="DT247" s="17"/>
      <c r="DU247" s="17"/>
      <c r="DV247" s="17"/>
      <c r="DW247" s="17"/>
      <c r="DX247" s="17"/>
      <c r="DY247" s="17"/>
      <c r="DZ247" s="17"/>
      <c r="EA247" s="17"/>
      <c r="EB247" s="17"/>
      <c r="EC247" s="17"/>
      <c r="ED247" s="17"/>
      <c r="EE247" s="17"/>
      <c r="EF247" s="17"/>
      <c r="EG247" s="17"/>
      <c r="EH247" s="17"/>
      <c r="EI247" s="17"/>
      <c r="EJ247" s="17"/>
      <c r="EK247" s="17"/>
      <c r="EL247" s="17"/>
      <c r="EM247" s="17"/>
      <c r="EN247" s="17"/>
      <c r="EO247" s="17"/>
      <c r="EP247" s="17"/>
      <c r="EQ247" s="17"/>
      <c r="ER247" s="17"/>
      <c r="ES247" s="17"/>
      <c r="ET247" s="17"/>
      <c r="EU247" s="17"/>
      <c r="EV247" s="17"/>
      <c r="EW247" s="17"/>
      <c r="EX247" s="17"/>
      <c r="EY247" s="17"/>
      <c r="EZ247" s="17"/>
      <c r="FA247" s="17"/>
      <c r="FB247" s="17"/>
      <c r="FC247" s="17"/>
      <c r="FD247" s="17"/>
      <c r="FE247" s="17"/>
      <c r="FF247" s="17"/>
      <c r="FG247" s="17"/>
      <c r="FH247" s="17"/>
    </row>
    <row r="248">
      <c r="A248" s="32" t="s">
        <v>47</v>
      </c>
      <c r="B248" s="32" t="s">
        <v>51</v>
      </c>
      <c r="C248" s="32" t="s">
        <v>13</v>
      </c>
      <c r="D248" s="16">
        <f t="shared" si="1"/>
        <v>1858.635</v>
      </c>
      <c r="E248" s="17"/>
      <c r="F248" s="18" t="str">
        <f>HYPERLINK("https://docs.google.com/spreadsheets/d/1uwlfHDeFy7f4omzpVmkyE6w-1NY6cFKt?usp=share_link", "RE-691.282")</f>
        <v>RE-691.282</v>
      </c>
      <c r="G248" s="18" t="str">
        <f>HYPERLINK("https://docs.google.com/spreadsheets/d/1A3f7as17q038l7x37FGkzPByFoNOEFsv?usp=share_link", "RE-2.90195")</f>
        <v>RE-2.90195</v>
      </c>
      <c r="H248" s="18" t="str">
        <f>HYPERLINK("https://docs.google.com/spreadsheets/d/1FBC8Et74pUiZV0DDIwAbfIXon_PNjDbX?usp=share_link", "RE-141.251")</f>
        <v>RE-141.251</v>
      </c>
      <c r="I248" s="18" t="str">
        <f>HYPERLINK("https://docs.google.com/spreadsheets/d/1vMbAtHsmnXa-d7LHBqxQOEMNTixg3B-l?usp=share_link", "RE-0.6502")</f>
        <v>RE-0.6502</v>
      </c>
      <c r="J248" s="18" t="str">
        <f>HYPERLINK("https://docs.google.com/spreadsheets/d/1H0MytkAa6Q7dvVOnhZpseXETAbSkVnMj?usp=share_link", "RE-777.059")</f>
        <v>RE-777.059</v>
      </c>
      <c r="K248" s="18" t="str">
        <f>HYPERLINK("https://docs.google.com/spreadsheets/d/1N5BHvPUqcjfz9zki2nEfpLZa9QHtRZiv?usp=share_link", "RE-6.46795")</f>
        <v>RE-6.46795</v>
      </c>
      <c r="L248" s="18">
        <f>HYPERLINK("https://docs.google.com/spreadsheets/d/1rlHexTTj20eeZGSBlIWg9ct3d7R05HEi?usp=share_link", 1242.96)</f>
        <v>1242.96</v>
      </c>
      <c r="M248" s="18" t="str">
        <f>HYPERLINK("https://docs.google.com/spreadsheets/d/1rxPjBQ4zdqIeg7szIVTaGu5wobR4oBq6?usp=share_link", "RE-7.99942")</f>
        <v>RE-7.99942</v>
      </c>
      <c r="N248" s="18" t="str">
        <f>HYPERLINK("https://docs.google.com/spreadsheets/d/1l20CYjzHT9TMD_dzytrLW7fciMoDjcd0?usp=share_link", "RE-100.214")</f>
        <v>RE-100.214</v>
      </c>
      <c r="O248" s="18" t="str">
        <f>HYPERLINK("https://docs.google.com/spreadsheets/d/1Nvq40Dq31RBeTNESuraxFxQ_-Nl_DouW?usp=share_link", "RE-5.98188")</f>
        <v>RE-5.98188</v>
      </c>
      <c r="P248" s="18">
        <f>HYPERLINK("https://docs.google.com/spreadsheets/d/1wERxAYmXCQaEi3dxz_KiyEwd0uWDXuPz?usp=share_link", 352.759)</f>
        <v>352.759</v>
      </c>
      <c r="Q248" s="18" t="str">
        <f>HYPERLINK("https://docs.google.com/spreadsheets/d/1z0BdHHR6V7qyjzP0ktsqH4oXqvrAf6dD?usp=share_link", "RE-15.7481")</f>
        <v>RE-15.7481</v>
      </c>
      <c r="R248" s="18">
        <f>HYPERLINK("https://docs.google.com/spreadsheets/d/1RNNi3WrQe-Cy5p_n2lbc3TBagqTW6_jU?usp=share_link", 159.644)</f>
        <v>159.644</v>
      </c>
      <c r="S248" s="18" t="str">
        <f>HYPERLINK("https://docs.google.com/spreadsheets/d/1SzyDZFp5qhqAob1VEcmXGLCqx4JR6ADF?usp=share_link", "RE-11.9493")</f>
        <v>RE-11.9493</v>
      </c>
      <c r="T248" s="18">
        <f>HYPERLINK("https://docs.google.com/spreadsheets/d/1Mf1hQf-8-auWJXRmcfKpLkFoQcN9p3eK?usp=share_link", 103.272)</f>
        <v>103.272</v>
      </c>
      <c r="U248" s="18" t="str">
        <f>HYPERLINK("https://docs.google.com/spreadsheets/d/1gLerOR6tbBY2S7OfIaPxg63qwpdHXL64?usp=share_link", "RE-4.01465")</f>
        <v>RE-4.01465</v>
      </c>
      <c r="V248" s="18" t="str">
        <f>HYPERLINK("https://docs.google.com/spreadsheets/d/1aIjKrROFnrvyQE8HcC3G92Ii3mD_NIEV?usp=share_link", "RE-2.72435")</f>
        <v>RE-2.72435</v>
      </c>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c r="DE248" s="17"/>
      <c r="DF248" s="17"/>
      <c r="DG248" s="17"/>
      <c r="DH248" s="17"/>
      <c r="DI248" s="17"/>
      <c r="DJ248" s="17"/>
      <c r="DK248" s="17"/>
      <c r="DL248" s="17"/>
      <c r="DM248" s="17"/>
      <c r="DN248" s="17"/>
      <c r="DO248" s="17"/>
      <c r="DP248" s="17"/>
      <c r="DQ248" s="17"/>
      <c r="DR248" s="17"/>
      <c r="DS248" s="17"/>
      <c r="DT248" s="17"/>
      <c r="DU248" s="17"/>
      <c r="DV248" s="17"/>
      <c r="DW248" s="17"/>
      <c r="DX248" s="17"/>
      <c r="DY248" s="17"/>
      <c r="DZ248" s="17"/>
      <c r="EA248" s="17"/>
      <c r="EB248" s="17"/>
      <c r="EC248" s="17"/>
      <c r="ED248" s="17"/>
      <c r="EE248" s="17"/>
      <c r="EF248" s="17"/>
      <c r="EG248" s="17"/>
      <c r="EH248" s="17"/>
      <c r="EI248" s="17"/>
      <c r="EJ248" s="17"/>
      <c r="EK248" s="17"/>
      <c r="EL248" s="17"/>
      <c r="EM248" s="17"/>
      <c r="EN248" s="17"/>
      <c r="EO248" s="17"/>
      <c r="EP248" s="17"/>
      <c r="EQ248" s="17"/>
      <c r="ER248" s="17"/>
      <c r="ES248" s="17"/>
      <c r="ET248" s="17"/>
      <c r="EU248" s="17"/>
      <c r="EV248" s="17"/>
      <c r="EW248" s="17"/>
      <c r="EX248" s="17"/>
      <c r="EY248" s="17"/>
      <c r="EZ248" s="17"/>
      <c r="FA248" s="17"/>
      <c r="FB248" s="17"/>
      <c r="FC248" s="17"/>
      <c r="FD248" s="17"/>
      <c r="FE248" s="17"/>
      <c r="FF248" s="17"/>
      <c r="FG248" s="17"/>
      <c r="FH248" s="17"/>
    </row>
    <row r="249">
      <c r="A249" s="32" t="s">
        <v>47</v>
      </c>
      <c r="B249" s="32" t="s">
        <v>51</v>
      </c>
      <c r="C249" s="32" t="s">
        <v>14</v>
      </c>
      <c r="D249" s="16">
        <f t="shared" si="1"/>
        <v>1617.1657</v>
      </c>
      <c r="E249" s="17"/>
      <c r="F249" s="18" t="str">
        <f>HYPERLINK("https://docs.google.com/spreadsheets/d/1ZAXrebZith6iKlOSrsmiXNRwmfstySqs?usp=share_link", "RE-617.062")</f>
        <v>RE-617.062</v>
      </c>
      <c r="G249" s="18" t="str">
        <f>HYPERLINK("https://docs.google.com/spreadsheets/d/19T0ZoB8C_gJbnSrrx9urbrUDGmB3D1Ep?usp=share_link", "RE-2.71502")</f>
        <v>RE-2.71502</v>
      </c>
      <c r="H249" s="18" t="str">
        <f>HYPERLINK("https://docs.google.com/spreadsheets/d/1zcqg1y3u2mbQtMEIhmHp8HBPNYHBY8g0?usp=share_link", "RE-120.512")</f>
        <v>RE-120.512</v>
      </c>
      <c r="I249" s="18" t="str">
        <f>HYPERLINK("https://docs.google.com/spreadsheets/d/1qkPp1otKn3XlkmPMFb69KTa_5GhLg9WP?usp=share_link", "RE-0.6502")</f>
        <v>RE-0.6502</v>
      </c>
      <c r="J249" s="18" t="str">
        <f>HYPERLINK("https://docs.google.com/spreadsheets/d/1EaRCEeQFETqFRwRB_t40pxRhVhlPiDCV?usp=share_link", "RE-709.419")</f>
        <v>RE-709.419</v>
      </c>
      <c r="K249" s="18" t="str">
        <f>HYPERLINK("https://docs.google.com/spreadsheets/d/125DuCbhoXH80k4shQvE_2V1jC6PsNmWQ?usp=share_link", "RE-5.53278")</f>
        <v>RE-5.53278</v>
      </c>
      <c r="L249" s="18">
        <f>HYPERLINK("https://docs.google.com/spreadsheets/d/1tXzkj0rLZWFc3Ct3ftFkj8BJyox3U-lC?usp=share_link", 1088.39)</f>
        <v>1088.39</v>
      </c>
      <c r="M249" s="18" t="str">
        <f>HYPERLINK("https://docs.google.com/spreadsheets/d/1VzxoS5YwEgjV4g6w6okOCNOfsDZ8VfO9?usp=share_link", "RE-6.85142")</f>
        <v>RE-6.85142</v>
      </c>
      <c r="N249" s="18" t="str">
        <f>HYPERLINK("https://docs.google.com/spreadsheets/d/1IK4We146Ybbz-nitVpSzdK6AIlAMfd7k?usp=share_link", "RE-84.8024")</f>
        <v>RE-84.8024</v>
      </c>
      <c r="O249" s="18" t="str">
        <f>HYPERLINK("https://docs.google.com/spreadsheets/d/1AFXD_zouzPw2rhyyahwha8GgWJOeL56U?usp=share_link", "RE-5.1412")</f>
        <v>RE-5.1412</v>
      </c>
      <c r="P249" s="18">
        <f>HYPERLINK("https://docs.google.com/spreadsheets/d/1Q8sBq9umhA_TmozdwL-jCIsh2EDirDc0?usp=share_link", 306.688)</f>
        <v>306.688</v>
      </c>
      <c r="Q249" s="18" t="str">
        <f>HYPERLINK("https://docs.google.com/spreadsheets/d/1GozP3XsYyQbrD45GW6Fh-FtKFStuCP97?usp=share_link", "RE-13.228")</f>
        <v>RE-13.228</v>
      </c>
      <c r="R249" s="18">
        <f>HYPERLINK("https://docs.google.com/spreadsheets/d/1nk45lJXSoFrdlfoKUyDEn8sF_5oZ5upA?usp=share_link", 133.199)</f>
        <v>133.199</v>
      </c>
      <c r="S249" s="18" t="str">
        <f>HYPERLINK("https://docs.google.com/spreadsheets/d/1mSqbngtj13tMsKbC3s1uKFSCWJMfpxrH?usp=share_link", "RE-10.7153")</f>
        <v>RE-10.7153</v>
      </c>
      <c r="T249" s="18">
        <f>HYPERLINK("https://docs.google.com/spreadsheets/d/1_OdWuS1NNfo-qHnVF38G6XS14D5M_tkv?usp=share_link", 88.8887)</f>
        <v>88.8887</v>
      </c>
      <c r="U249" s="18" t="str">
        <f>HYPERLINK("https://docs.google.com/spreadsheets/d/15HM4nxBni0SdrXVB62Uq7Uhej6Ow8A0C?usp=share_link", "RE-3.5747")</f>
        <v>RE-3.5747</v>
      </c>
      <c r="V249" s="18" t="str">
        <f>HYPERLINK("https://docs.google.com/spreadsheets/d/1zVie3fJwvMtjhrmKJcsvzImInkOIkEEb?usp=share_link", "RE-2.30595")</f>
        <v>RE-2.30595</v>
      </c>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c r="DE249" s="17"/>
      <c r="DF249" s="17"/>
      <c r="DG249" s="17"/>
      <c r="DH249" s="17"/>
      <c r="DI249" s="17"/>
      <c r="DJ249" s="17"/>
      <c r="DK249" s="17"/>
      <c r="DL249" s="17"/>
      <c r="DM249" s="17"/>
      <c r="DN249" s="17"/>
      <c r="DO249" s="17"/>
      <c r="DP249" s="17"/>
      <c r="DQ249" s="17"/>
      <c r="DR249" s="17"/>
      <c r="DS249" s="17"/>
      <c r="DT249" s="17"/>
      <c r="DU249" s="17"/>
      <c r="DV249" s="17"/>
      <c r="DW249" s="17"/>
      <c r="DX249" s="17"/>
      <c r="DY249" s="17"/>
      <c r="DZ249" s="17"/>
      <c r="EA249" s="17"/>
      <c r="EB249" s="17"/>
      <c r="EC249" s="17"/>
      <c r="ED249" s="17"/>
      <c r="EE249" s="17"/>
      <c r="EF249" s="17"/>
      <c r="EG249" s="17"/>
      <c r="EH249" s="17"/>
      <c r="EI249" s="17"/>
      <c r="EJ249" s="17"/>
      <c r="EK249" s="17"/>
      <c r="EL249" s="17"/>
      <c r="EM249" s="17"/>
      <c r="EN249" s="17"/>
      <c r="EO249" s="17"/>
      <c r="EP249" s="17"/>
      <c r="EQ249" s="17"/>
      <c r="ER249" s="17"/>
      <c r="ES249" s="17"/>
      <c r="ET249" s="17"/>
      <c r="EU249" s="17"/>
      <c r="EV249" s="17"/>
      <c r="EW249" s="17"/>
      <c r="EX249" s="17"/>
      <c r="EY249" s="17"/>
      <c r="EZ249" s="17"/>
      <c r="FA249" s="17"/>
      <c r="FB249" s="17"/>
      <c r="FC249" s="17"/>
      <c r="FD249" s="17"/>
      <c r="FE249" s="17"/>
      <c r="FF249" s="17"/>
      <c r="FG249" s="17"/>
      <c r="FH249" s="17"/>
    </row>
    <row r="250">
      <c r="A250" s="27" t="s">
        <v>47</v>
      </c>
      <c r="B250" s="27" t="s">
        <v>51</v>
      </c>
      <c r="C250" s="27" t="s">
        <v>15</v>
      </c>
      <c r="D250" s="28">
        <f t="shared" si="1"/>
        <v>1858.615</v>
      </c>
      <c r="E250" s="33"/>
      <c r="F250" s="34" t="str">
        <f>HYPERLINK("https://docs.google.com/spreadsheets/d/1t6365Ba0k19irndl6fXi6a3ZNe6FnK07?usp=share_link", "RE-691.282")</f>
        <v>RE-691.282</v>
      </c>
      <c r="G250" s="34" t="str">
        <f>HYPERLINK("https://docs.google.com/spreadsheets/d/14FfEsiXQnXwiy1kObN4lO5mlx0ejwKwA?usp=share_link", "RE-2.90195")</f>
        <v>RE-2.90195</v>
      </c>
      <c r="H250" s="34" t="str">
        <f>HYPERLINK("https://docs.google.com/spreadsheets/d/1Mb_JMv2rH9hbLUIviCShWzzfaIzSksbv?usp=share_link", "RE-141.251")</f>
        <v>RE-141.251</v>
      </c>
      <c r="I250" s="34" t="str">
        <f>HYPERLINK("https://docs.google.com/spreadsheets/d/1hM77x-m93SNM_ndvJ8IexsIGuXAFiDZx?usp=share_link", "RE-0.6502")</f>
        <v>RE-0.6502</v>
      </c>
      <c r="J250" s="34" t="str">
        <f>HYPERLINK("https://docs.google.com/spreadsheets/d/1cdzU792lV41wYsJ1YAcJYjIre6DU82fr?usp=share_link", "RE-776.915")</f>
        <v>RE-776.915</v>
      </c>
      <c r="K250" s="34" t="str">
        <f>HYPERLINK("https://docs.google.com/spreadsheets/d/1CAAv5KXU7uGQKMzKCBWWdWfYTxeAUKML?usp=share_link", "RE-6.46795")</f>
        <v>RE-6.46795</v>
      </c>
      <c r="L250" s="34">
        <f>HYPERLINK("https://docs.google.com/spreadsheets/d/1NaI7YrtsCXap8-MHPNS5UQ2BMzHpHfXY?usp=share_link", 1242.94)</f>
        <v>1242.94</v>
      </c>
      <c r="M250" s="34" t="str">
        <f>HYPERLINK("https://docs.google.com/spreadsheets/d/1OY37jx7wo6cLIWiiaX4yAtUrD-9w_OR7?usp=share_link", "RE-7.99942")</f>
        <v>RE-7.99942</v>
      </c>
      <c r="N250" s="34" t="str">
        <f>HYPERLINK("https://docs.google.com/spreadsheets/d/17UrrAn8Nh09odZQolZ7yT5HbVradON3i?usp=share_link", "RE-100.214")</f>
        <v>RE-100.214</v>
      </c>
      <c r="O250" s="34" t="str">
        <f>HYPERLINK("https://docs.google.com/spreadsheets/d/1xPzrPIjt9Rpqmji_ViiEygww9OeBPwXs?usp=share_link", "RE-5.98188")</f>
        <v>RE-5.98188</v>
      </c>
      <c r="P250" s="34">
        <f>HYPERLINK("https://docs.google.com/spreadsheets/d/10JIcyUO9-BgpJ5-v9o8VrkTsJDrc7xF-?usp=share_link", 352.759)</f>
        <v>352.759</v>
      </c>
      <c r="Q250" s="34" t="str">
        <f>HYPERLINK("https://docs.google.com/spreadsheets/d/1cacGNtFKwuoYiyv-OCe3UQRNPHciHyIe?usp=share_link", "RE-15.7481")</f>
        <v>RE-15.7481</v>
      </c>
      <c r="R250" s="34">
        <f>HYPERLINK("https://docs.google.com/spreadsheets/d/1fc7aVp9vD3TlEpKqhbGtLSRxjyRFdAnZ?usp=share_link", 159.644)</f>
        <v>159.644</v>
      </c>
      <c r="S250" s="34" t="str">
        <f>HYPERLINK("https://docs.google.com/spreadsheets/d/13eccO4EKB7OgCbuoiueJmxgv--haSGEu?usp=share_link", "RE-11.9493")</f>
        <v>RE-11.9493</v>
      </c>
      <c r="T250" s="34">
        <f>HYPERLINK("https://docs.google.com/spreadsheets/d/1FA572SHvsVXZ0eI6ax4ivH8Xm0jUW3EP?usp=share_link", 103.272)</f>
        <v>103.272</v>
      </c>
      <c r="U250" s="34" t="str">
        <f>HYPERLINK("https://docs.google.com/spreadsheets/d/13J2x7942gqnfxuc65xElYBaxPPL-gcnu?usp=share_link", "RE-4.01465")</f>
        <v>RE-4.01465</v>
      </c>
      <c r="V250" s="34" t="str">
        <f>HYPERLINK("https://docs.google.com/spreadsheets/d/1FSvTLPhtYyUr5o-iYNoqgAokZXD0LBdZ?usp=share_link", "RE-2.72435")</f>
        <v>RE-2.72435</v>
      </c>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c r="CN250" s="33"/>
      <c r="CO250" s="33"/>
      <c r="CP250" s="33"/>
      <c r="CQ250" s="33"/>
      <c r="CR250" s="33"/>
      <c r="CS250" s="33"/>
      <c r="CT250" s="33"/>
      <c r="CU250" s="33"/>
      <c r="CV250" s="33"/>
      <c r="CW250" s="33"/>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c r="EB250" s="33"/>
      <c r="EC250" s="33"/>
      <c r="ED250" s="33"/>
      <c r="EE250" s="33"/>
      <c r="EF250" s="33"/>
      <c r="EG250" s="33"/>
      <c r="EH250" s="33"/>
      <c r="EI250" s="33"/>
      <c r="EJ250" s="33"/>
      <c r="EK250" s="33"/>
      <c r="EL250" s="33"/>
      <c r="EM250" s="33"/>
      <c r="EN250" s="33"/>
      <c r="EO250" s="33"/>
      <c r="EP250" s="33"/>
      <c r="EQ250" s="33"/>
      <c r="ER250" s="33"/>
      <c r="ES250" s="33"/>
      <c r="ET250" s="33"/>
      <c r="EU250" s="33"/>
      <c r="EV250" s="33"/>
      <c r="EW250" s="33"/>
      <c r="EX250" s="33"/>
      <c r="EY250" s="33"/>
      <c r="EZ250" s="33"/>
      <c r="FA250" s="33"/>
      <c r="FB250" s="33"/>
      <c r="FC250" s="33"/>
      <c r="FD250" s="33"/>
      <c r="FE250" s="33"/>
      <c r="FF250" s="33"/>
      <c r="FG250" s="33"/>
      <c r="FH250" s="33"/>
    </row>
    <row r="251">
      <c r="A251" s="30" t="s">
        <v>47</v>
      </c>
      <c r="B251" s="30" t="s">
        <v>52</v>
      </c>
      <c r="C251" s="31" t="str">
        <f>HYPERLINK("https://docs.google.com/spreadsheets/d/1WH0bUcHNNlmNP-7Pd6vP3-brZHb9JqPu/edit?usp=share_link&amp;ouid=118279477453217743021&amp;rtpof=true&amp;sd=true", "Raw Delivered")</f>
        <v>Raw Delivered</v>
      </c>
      <c r="D251" s="12">
        <f t="shared" si="1"/>
        <v>8599.49165</v>
      </c>
      <c r="E251" s="13"/>
      <c r="F251" s="14">
        <f>HYPERLINK("https://docs.google.com/spreadsheets/d/1rbZ0Cqr1Mwv5ulsXVTEx4PFc8RrV4f-u", 1945.46057916666)</f>
        <v>1945.460579</v>
      </c>
      <c r="G251" s="13"/>
      <c r="H251" s="14">
        <f>HYPERLINK("https://docs.google.com/spreadsheets/d/1xu3Tb-exDRT7APhwgejytkeGZqyCksZh", 318.358039583332)</f>
        <v>318.3580396</v>
      </c>
      <c r="I251" s="13"/>
      <c r="J251" s="14">
        <f>HYPERLINK("https://docs.google.com/spreadsheets/d/1sdxz1j4Pyj82XXXmLqia_CwyeOIySjR-", 767.975091666667)</f>
        <v>767.9750917</v>
      </c>
      <c r="K251" s="13"/>
      <c r="L251" s="14">
        <f t="shared" ref="L251:L252" si="126">HYPERLINK("https://docs.google.com/spreadsheets/d/1C2tMaSg7FjuZsvAvf2YS9SQ04gosRn0Q", 3061.07062812499)</f>
        <v>3061.070628</v>
      </c>
      <c r="M251" s="13"/>
      <c r="N251" s="14">
        <f>HYPERLINK("https://docs.google.com/spreadsheets/d/1w0uz8Imxxl0GhXC6dxSlP-lfvjBhl2Xl", 420.393717708334)</f>
        <v>420.3937177</v>
      </c>
      <c r="O251" s="13"/>
      <c r="P251" s="14">
        <f t="shared" ref="P251:P252" si="127">HYPERLINK("https://docs.google.com/spreadsheets/d/14_DYq6e46A-Z5qjnr-QRyFEnvTit6wE_", 1204.63441666666)</f>
        <v>1204.634417</v>
      </c>
      <c r="Q251" s="13"/>
      <c r="R251" s="14">
        <f t="shared" ref="R251:R252" si="128">HYPERLINK("https://docs.google.com/spreadsheets/d/1cROdH34auUOUNsKeMydZakCi7Yigu0q-", 542.681098958333)</f>
        <v>542.681099</v>
      </c>
      <c r="S251" s="13"/>
      <c r="T251" s="14">
        <f t="shared" ref="T251:T252" si="129">HYPERLINK("https://docs.google.com/spreadsheets/d/1R6PrvLFAVPhB2zjlr_PBNR3VSooTuURR", 338.918078124999)</f>
        <v>338.9180781</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row>
    <row r="252">
      <c r="A252" s="32" t="s">
        <v>47</v>
      </c>
      <c r="B252" s="32" t="s">
        <v>52</v>
      </c>
      <c r="C252" s="32" t="s">
        <v>9</v>
      </c>
      <c r="D252" s="16">
        <f t="shared" si="1"/>
        <v>5147.304222</v>
      </c>
      <c r="E252" s="17"/>
      <c r="F252" s="18" t="str">
        <f>HYPERLINK("https://docs.google.com/spreadsheets/d/1rbZ0Cqr1Mwv5ulsXVTEx4PFc8RrV4f-u", "RE-1945.460579166669")</f>
        <v>RE-1945.460579166669</v>
      </c>
      <c r="G252" s="17"/>
      <c r="H252" s="18" t="str">
        <f>HYPERLINK("https://docs.google.com/spreadsheets/d/1xu3Tb-exDRT7APhwgejytkeGZqyCksZh", "RE-318.3580395833327")</f>
        <v>RE-318.3580395833327</v>
      </c>
      <c r="I252" s="17"/>
      <c r="J252" s="18" t="str">
        <f>HYPERLINK("https://docs.google.com/spreadsheets/d/1sdxz1j4Pyj82XXXmLqia_CwyeOIySjR-", "RE-767.9750916666679")</f>
        <v>RE-767.9750916666679</v>
      </c>
      <c r="K252" s="17"/>
      <c r="L252" s="18">
        <f t="shared" si="126"/>
        <v>3061.070628</v>
      </c>
      <c r="M252" s="17"/>
      <c r="N252" s="18" t="str">
        <f>HYPERLINK("https://docs.google.com/spreadsheets/d/1w0uz8Imxxl0GhXC6dxSlP-lfvjBhl2Xl", "RE-420.3937177083341")</f>
        <v>RE-420.3937177083341</v>
      </c>
      <c r="O252" s="17"/>
      <c r="P252" s="18">
        <f t="shared" si="127"/>
        <v>1204.634417</v>
      </c>
      <c r="Q252" s="17"/>
      <c r="R252" s="18">
        <f t="shared" si="128"/>
        <v>542.681099</v>
      </c>
      <c r="S252" s="17"/>
      <c r="T252" s="18">
        <f t="shared" si="129"/>
        <v>338.9180781</v>
      </c>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c r="DN252" s="17"/>
      <c r="DO252" s="17"/>
      <c r="DP252" s="17"/>
      <c r="DQ252" s="17"/>
      <c r="DR252" s="17"/>
      <c r="DS252" s="17"/>
      <c r="DT252" s="17"/>
      <c r="DU252" s="17"/>
      <c r="DV252" s="17"/>
      <c r="DW252" s="17"/>
      <c r="DX252" s="17"/>
      <c r="DY252" s="17"/>
      <c r="DZ252" s="17"/>
      <c r="EA252" s="17"/>
      <c r="EB252" s="17"/>
      <c r="EC252" s="17"/>
      <c r="ED252" s="17"/>
      <c r="EE252" s="17"/>
      <c r="EF252" s="17"/>
      <c r="EG252" s="17"/>
      <c r="EH252" s="17"/>
      <c r="EI252" s="17"/>
      <c r="EJ252" s="17"/>
      <c r="EK252" s="17"/>
      <c r="EL252" s="17"/>
      <c r="EM252" s="17"/>
      <c r="EN252" s="17"/>
      <c r="EO252" s="17"/>
      <c r="EP252" s="17"/>
      <c r="EQ252" s="17"/>
      <c r="ER252" s="17"/>
      <c r="ES252" s="17"/>
      <c r="ET252" s="17"/>
      <c r="EU252" s="17"/>
      <c r="EV252" s="17"/>
      <c r="EW252" s="17"/>
      <c r="EX252" s="17"/>
      <c r="EY252" s="17"/>
      <c r="EZ252" s="17"/>
      <c r="FA252" s="17"/>
      <c r="FB252" s="17"/>
      <c r="FC252" s="17"/>
      <c r="FD252" s="17"/>
      <c r="FE252" s="17"/>
      <c r="FF252" s="17"/>
      <c r="FG252" s="17"/>
      <c r="FH252" s="17"/>
    </row>
    <row r="253">
      <c r="A253" s="32" t="s">
        <v>47</v>
      </c>
      <c r="B253" s="32" t="s">
        <v>52</v>
      </c>
      <c r="C253" s="32" t="s">
        <v>10</v>
      </c>
      <c r="D253" s="16">
        <f t="shared" si="1"/>
        <v>648.7422781</v>
      </c>
      <c r="E253" s="17"/>
      <c r="F253" s="17"/>
      <c r="G253" s="18">
        <f>HYPERLINK("https://docs.google.com/spreadsheets/d/1gmZmEySYACP_BgVvRrLO72GSL-c_WLHs", 175.061748958333)</f>
        <v>175.061749</v>
      </c>
      <c r="H253" s="17"/>
      <c r="I253" s="18">
        <f>HYPERLINK("https://docs.google.com/spreadsheets/d/1Y3ASnJFKaAtra8Wa5kmacI14vNz0U0aF", 25.8808854166666)</f>
        <v>25.88088542</v>
      </c>
      <c r="J253" s="17"/>
      <c r="K253" s="18">
        <f>HYPERLINK("https://docs.google.com/spreadsheets/d/1dBJFtDQMxZBxPqObMK3Fv-aVkcCqUOeI", 36.6980229166666)</f>
        <v>36.69802292</v>
      </c>
      <c r="L253" s="17"/>
      <c r="M253" s="18">
        <f>HYPERLINK("https://docs.google.com/spreadsheets/d/1AXCzyh73o52EKKgedbjbJlxu2wXyYv8v", 142.057930208333)</f>
        <v>142.0579302</v>
      </c>
      <c r="N253" s="17"/>
      <c r="O253" s="18">
        <f>HYPERLINK("https://docs.google.com/spreadsheets/d/1uk7Y05VgPmBgnY_-uco-OtIPKHuWOOuz", 69.996309375)</f>
        <v>69.99630938</v>
      </c>
      <c r="P253" s="17"/>
      <c r="Q253" s="18">
        <f>HYPERLINK("https://docs.google.com/spreadsheets/d/1r2BRdV4vMkDvQuX7ElBiHyPWdrtTyLD0", 103.623192708333)</f>
        <v>103.6231927</v>
      </c>
      <c r="R253" s="17"/>
      <c r="S253" s="18">
        <f>HYPERLINK("https://docs.google.com/spreadsheets/d/1h-DVRKCLnWw2q6uCB3zXEGuGb8VwHwMX", 57.0329020833333)</f>
        <v>57.03290208</v>
      </c>
      <c r="T253" s="17"/>
      <c r="U253" s="18">
        <f>HYPERLINK("https://docs.google.com/spreadsheets/d/1HdiD23_T4NET-2Nxna7VklThJ5sWpCcX", 34.0516385416666)</f>
        <v>34.05163854</v>
      </c>
      <c r="V253" s="18">
        <f>HYPERLINK("https://docs.google.com/spreadsheets/d/1CBMvxYm57BPmuDkMjpX50LI5hGSGowvb", 4.33964791666666)</f>
        <v>4.339647917</v>
      </c>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c r="DN253" s="17"/>
      <c r="DO253" s="17"/>
      <c r="DP253" s="17"/>
      <c r="DQ253" s="17"/>
      <c r="DR253" s="17"/>
      <c r="DS253" s="17"/>
      <c r="DT253" s="17"/>
      <c r="DU253" s="17"/>
      <c r="DV253" s="17"/>
      <c r="DW253" s="17"/>
      <c r="DX253" s="17"/>
      <c r="DY253" s="17"/>
      <c r="DZ253" s="17"/>
      <c r="EA253" s="17"/>
      <c r="EB253" s="17"/>
      <c r="EC253" s="17"/>
      <c r="ED253" s="17"/>
      <c r="EE253" s="17"/>
      <c r="EF253" s="17"/>
      <c r="EG253" s="17"/>
      <c r="EH253" s="17"/>
      <c r="EI253" s="17"/>
      <c r="EJ253" s="17"/>
      <c r="EK253" s="17"/>
      <c r="EL253" s="17"/>
      <c r="EM253" s="17"/>
      <c r="EN253" s="17"/>
      <c r="EO253" s="17"/>
      <c r="EP253" s="17"/>
      <c r="EQ253" s="17"/>
      <c r="ER253" s="17"/>
      <c r="ES253" s="17"/>
      <c r="ET253" s="17"/>
      <c r="EU253" s="17"/>
      <c r="EV253" s="17"/>
      <c r="EW253" s="17"/>
      <c r="EX253" s="17"/>
      <c r="EY253" s="17"/>
      <c r="EZ253" s="17"/>
      <c r="FA253" s="17"/>
      <c r="FB253" s="17"/>
      <c r="FC253" s="17"/>
      <c r="FD253" s="17"/>
      <c r="FE253" s="17"/>
      <c r="FF253" s="17"/>
      <c r="FG253" s="17"/>
      <c r="FH253" s="17"/>
    </row>
    <row r="254">
      <c r="A254" s="32" t="s">
        <v>47</v>
      </c>
      <c r="B254" s="32" t="s">
        <v>52</v>
      </c>
      <c r="C254" s="32" t="s">
        <v>11</v>
      </c>
      <c r="D254" s="16">
        <f t="shared" si="1"/>
        <v>0</v>
      </c>
      <c r="E254" s="17"/>
      <c r="F254" s="17"/>
      <c r="G254" s="18" t="str">
        <f>HYPERLINK("https://docs.google.com/spreadsheets/d/1gmZmEySYACP_BgVvRrLO72GSL-c_WLHs", "RE-175.06174895833334")</f>
        <v>RE-175.06174895833334</v>
      </c>
      <c r="H254" s="17"/>
      <c r="I254" s="18" t="str">
        <f>HYPERLINK("https://docs.google.com/spreadsheets/d/1Y3ASnJFKaAtra8Wa5kmacI14vNz0U0aF", "RE-25.88088541666667")</f>
        <v>RE-25.88088541666667</v>
      </c>
      <c r="J254" s="17"/>
      <c r="K254" s="18" t="str">
        <f>HYPERLINK("https://docs.google.com/spreadsheets/d/1dBJFtDQMxZBxPqObMK3Fv-aVkcCqUOeI", "RE-36.698022916666666")</f>
        <v>RE-36.698022916666666</v>
      </c>
      <c r="L254" s="17"/>
      <c r="M254" s="18" t="str">
        <f>HYPERLINK("https://docs.google.com/spreadsheets/d/1AXCzyh73o52EKKgedbjbJlxu2wXyYv8v", "RE-142.05793020833335")</f>
        <v>RE-142.05793020833335</v>
      </c>
      <c r="N254" s="17"/>
      <c r="O254" s="18" t="str">
        <f>HYPERLINK("https://docs.google.com/spreadsheets/d/1uk7Y05VgPmBgnY_-uco-OtIPKHuWOOuz", "RE-69.99630937500001")</f>
        <v>RE-69.99630937500001</v>
      </c>
      <c r="P254" s="17"/>
      <c r="Q254" s="18" t="str">
        <f>HYPERLINK("https://docs.google.com/spreadsheets/d/1r2BRdV4vMkDvQuX7ElBiHyPWdrtTyLD0", "RE-103.62319270833336")</f>
        <v>RE-103.62319270833336</v>
      </c>
      <c r="R254" s="17"/>
      <c r="S254" s="18" t="str">
        <f>HYPERLINK("https://docs.google.com/spreadsheets/d/1h-DVRKCLnWw2q6uCB3zXEGuGb8VwHwMX", "RE-57.03290208333332")</f>
        <v>RE-57.03290208333332</v>
      </c>
      <c r="T254" s="17"/>
      <c r="U254" s="18" t="str">
        <f>HYPERLINK("https://docs.google.com/spreadsheets/d/1HdiD23_T4NET-2Nxna7VklThJ5sWpCcX", "RE-34.05163854166667")</f>
        <v>RE-34.05163854166667</v>
      </c>
      <c r="V254" s="18" t="str">
        <f>HYPERLINK("https://docs.google.com/spreadsheets/d/1CBMvxYm57BPmuDkMjpX50LI5hGSGowvb", "RE-4.339647916666666")</f>
        <v>RE-4.339647916666666</v>
      </c>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c r="EJ254" s="17"/>
      <c r="EK254" s="17"/>
      <c r="EL254" s="17"/>
      <c r="EM254" s="17"/>
      <c r="EN254" s="17"/>
      <c r="EO254" s="17"/>
      <c r="EP254" s="17"/>
      <c r="EQ254" s="17"/>
      <c r="ER254" s="17"/>
      <c r="ES254" s="17"/>
      <c r="ET254" s="17"/>
      <c r="EU254" s="17"/>
      <c r="EV254" s="17"/>
      <c r="EW254" s="17"/>
      <c r="EX254" s="17"/>
      <c r="EY254" s="17"/>
      <c r="EZ254" s="17"/>
      <c r="FA254" s="17"/>
      <c r="FB254" s="17"/>
      <c r="FC254" s="17"/>
      <c r="FD254" s="17"/>
      <c r="FE254" s="17"/>
      <c r="FF254" s="17"/>
      <c r="FG254" s="17"/>
      <c r="FH254" s="17"/>
    </row>
    <row r="255">
      <c r="A255" s="32" t="s">
        <v>47</v>
      </c>
      <c r="B255" s="32" t="s">
        <v>52</v>
      </c>
      <c r="C255" s="32" t="s">
        <v>12</v>
      </c>
      <c r="D255" s="16">
        <f t="shared" si="1"/>
        <v>4612.3737</v>
      </c>
      <c r="E255" s="17"/>
      <c r="F255" s="18" t="str">
        <f>HYPERLINK("https://docs.google.com/spreadsheets/d/1pRS-SUxQpTWhNlndvM3CvrPLbdjQbFoE", "RE-1541.2187322916645")</f>
        <v>RE-1541.2187322916645</v>
      </c>
      <c r="G255" s="18" t="str">
        <f>HYPERLINK("https://docs.google.com/spreadsheets/d/1inguUwSj-RvTwifEpRsOM8_qscW3tCKo", "RE-3.213475")</f>
        <v>RE-3.213475</v>
      </c>
      <c r="H255" s="18" t="str">
        <f>HYPERLINK("https://docs.google.com/spreadsheets/d/16sPo9hCm1Ueb8Qb4bvT1Jf-XtqwNA0Gg", "RE-279.2519562499998")</f>
        <v>RE-279.2519562499998</v>
      </c>
      <c r="I255" s="18" t="str">
        <f>HYPERLINK("https://docs.google.com/spreadsheets/d/1rzN9H_jdj0dBFUC3PLVSqdnZQyQpjT9P", "RE-0.4106875")</f>
        <v>RE-0.4106875</v>
      </c>
      <c r="J255" s="18" t="str">
        <f>HYPERLINK("https://docs.google.com/spreadsheets/d/1mANH7fFgn0Rh91BRwGy_87wG3rQnl6EW", "RE-666.0480250000003")</f>
        <v>RE-666.0480250000003</v>
      </c>
      <c r="K255" s="18" t="str">
        <f>HYPERLINK("https://docs.google.com/spreadsheets/d/1x02BFjj_2S1fy0CLnwxWltL6yi5yo74g", "RE-3.7424479166666673")</f>
        <v>RE-3.7424479166666673</v>
      </c>
      <c r="L255" s="18">
        <f>HYPERLINK("https://docs.google.com/spreadsheets/d/1MEMk7-OJzXZEBvTIFj8_5djj0O9jnNj2", 2699.41528437499)</f>
        <v>2699.415284</v>
      </c>
      <c r="M255" s="18" t="str">
        <f>HYPERLINK("https://docs.google.com/spreadsheets/d/1ug6odEUlqVGKbAbAuafLOLKnnArOQzV8", "RE-10.005386458333337")</f>
        <v>RE-10.005386458333337</v>
      </c>
      <c r="N255" s="18" t="str">
        <f>HYPERLINK("https://docs.google.com/spreadsheets/d/1gE_zjoZJqOcPfue0nZhGsHS1NDe6zROh", "RE-195.4265989583334")</f>
        <v>RE-195.4265989583334</v>
      </c>
      <c r="O255" s="18" t="str">
        <f>HYPERLINK("https://docs.google.com/spreadsheets/d/1JYrvIfIFM24xLjM6t2tSy825xo8lrrZO", "RE-4.191370833333334")</f>
        <v>RE-4.191370833333334</v>
      </c>
      <c r="P255" s="18">
        <f>HYPERLINK("https://docs.google.com/spreadsheets/d/13ciuFgkPiExKhEwqPLbcOTeFyD5iMlGm", 1083.53273854166)</f>
        <v>1083.532739</v>
      </c>
      <c r="Q255" s="18" t="str">
        <f>HYPERLINK("https://docs.google.com/spreadsheets/d/1NLfqC5dUUSmdl6GMO8lPPiS9pe58Iei1", "RE-36.80626354166668")</f>
        <v>RE-36.80626354166668</v>
      </c>
      <c r="R255" s="18">
        <f>HYPERLINK("https://docs.google.com/spreadsheets/d/1Z9kd56P9kl-3Y8_QdZ9oL8X4pElY_Orw", 509.660894791666)</f>
        <v>509.6608948</v>
      </c>
      <c r="S255" s="18" t="str">
        <f>HYPERLINK("https://docs.google.com/spreadsheets/d/1VkwbO-FRFlwMeLWcVFaxtHSw_gdlhoDK", "RE-26.370111458333334")</f>
        <v>RE-26.370111458333334</v>
      </c>
      <c r="T255" s="18">
        <f>HYPERLINK("https://docs.google.com/spreadsheets/d/1y2qCjhoTHlfiYIXs1LlqvM8KRdJ8U7AT", 319.764782291666)</f>
        <v>319.7647823</v>
      </c>
      <c r="U255" s="18" t="str">
        <f>HYPERLINK("https://docs.google.com/spreadsheets/d/1B0p31U9ksjzEhDBXU3Rxz2mu8i9_6bBP", "RE-19.424590624999997")</f>
        <v>RE-19.424590624999997</v>
      </c>
      <c r="V255" s="18" t="str">
        <f>HYPERLINK("https://docs.google.com/spreadsheets/d/12fs9ADx821PmXb-n97srsQ93pHlmdIWV", "RE-2.4227125000000003")</f>
        <v>RE-2.4227125000000003</v>
      </c>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c r="DN255" s="17"/>
      <c r="DO255" s="17"/>
      <c r="DP255" s="17"/>
      <c r="DQ255" s="17"/>
      <c r="DR255" s="17"/>
      <c r="DS255" s="17"/>
      <c r="DT255" s="17"/>
      <c r="DU255" s="17"/>
      <c r="DV255" s="17"/>
      <c r="DW255" s="17"/>
      <c r="DX255" s="17"/>
      <c r="DY255" s="17"/>
      <c r="DZ255" s="17"/>
      <c r="EA255" s="17"/>
      <c r="EB255" s="17"/>
      <c r="EC255" s="17"/>
      <c r="ED255" s="17"/>
      <c r="EE255" s="17"/>
      <c r="EF255" s="17"/>
      <c r="EG255" s="17"/>
      <c r="EH255" s="17"/>
      <c r="EI255" s="17"/>
      <c r="EJ255" s="17"/>
      <c r="EK255" s="17"/>
      <c r="EL255" s="17"/>
      <c r="EM255" s="17"/>
      <c r="EN255" s="17"/>
      <c r="EO255" s="17"/>
      <c r="EP255" s="17"/>
      <c r="EQ255" s="17"/>
      <c r="ER255" s="17"/>
      <c r="ES255" s="17"/>
      <c r="ET255" s="17"/>
      <c r="EU255" s="17"/>
      <c r="EV255" s="17"/>
      <c r="EW255" s="17"/>
      <c r="EX255" s="17"/>
      <c r="EY255" s="17"/>
      <c r="EZ255" s="17"/>
      <c r="FA255" s="17"/>
      <c r="FB255" s="17"/>
      <c r="FC255" s="17"/>
      <c r="FD255" s="17"/>
      <c r="FE255" s="17"/>
      <c r="FF255" s="17"/>
      <c r="FG255" s="17"/>
      <c r="FH255" s="17"/>
    </row>
    <row r="256">
      <c r="A256" s="32" t="s">
        <v>47</v>
      </c>
      <c r="B256" s="32" t="s">
        <v>52</v>
      </c>
      <c r="C256" s="32" t="s">
        <v>13</v>
      </c>
      <c r="D256" s="16">
        <f t="shared" si="1"/>
        <v>4367.559</v>
      </c>
      <c r="E256" s="17"/>
      <c r="F256" s="18" t="str">
        <f>HYPERLINK("https://docs.google.com/spreadsheets/d/1zMm76XHBsF173N57Wk0OLXwLD_cWQ4MY?usp=share_link", "RE-1511.01")</f>
        <v>RE-1511.01</v>
      </c>
      <c r="G256" s="18" t="str">
        <f>HYPERLINK("https://docs.google.com/spreadsheets/d/1FMofi9EYKx0fH47A-cso-EiGXWqHWwJO?usp=share_link", "RE-3.12482")</f>
        <v>RE-3.12482</v>
      </c>
      <c r="H256" s="18" t="str">
        <f>HYPERLINK("https://docs.google.com/spreadsheets/d/1KC8tyke0c8yG83JYPmOw6MgAcVxqpyOW?usp=share_link", "RE-274.855")</f>
        <v>RE-274.855</v>
      </c>
      <c r="I256" s="18" t="str">
        <f>HYPERLINK("https://docs.google.com/spreadsheets/d/1bRWvBY8x8QBrudKfeyF1pCICWmF7ZjNW?usp=share_link", "RE-0.3451")</f>
        <v>RE-0.3451</v>
      </c>
      <c r="J256" s="18" t="str">
        <f>HYPERLINK("https://docs.google.com/spreadsheets/d/1v6gVGtAKQWIldNbhCz-7JOflBUQDBUbP?usp=share_link", "RE-655.324")</f>
        <v>RE-655.324</v>
      </c>
      <c r="K256" s="18" t="str">
        <f>HYPERLINK("https://docs.google.com/spreadsheets/d/1nbsZXeXIOI-1ma9v9u90elGhCGvvTz81?usp=share_link", "RE-3.57602")</f>
        <v>RE-3.57602</v>
      </c>
      <c r="L256" s="18">
        <f>HYPERLINK("https://docs.google.com/spreadsheets/d/1Wv0Ht3GaIG1MGPCnAqsW6QdiwCyI51_e?usp=share_link", 2556.08)</f>
        <v>2556.08</v>
      </c>
      <c r="M256" s="18" t="str">
        <f>HYPERLINK("https://docs.google.com/spreadsheets/d/1n7jNhZJysyVMlhjiVf6XAljSe1yNvovq?usp=share_link", "RE-9.51515")</f>
        <v>RE-9.51515</v>
      </c>
      <c r="N256" s="18" t="str">
        <f>HYPERLINK("https://docs.google.com/spreadsheets/d/1S98uNCOOoOtIk_u0gQzxlnCpTov2Y6uh?usp=share_link", "RE-187.424")</f>
        <v>RE-187.424</v>
      </c>
      <c r="O256" s="18" t="str">
        <f>HYPERLINK("https://docs.google.com/spreadsheets/d/1f5MygQ8vjIvExdSoG1gLUUh7yM2xrjw5?usp=share_link", "RE-3.98033")</f>
        <v>RE-3.98033</v>
      </c>
      <c r="P256" s="18">
        <f>HYPERLINK("https://docs.google.com/spreadsheets/d/1IVf6O-InfnL0NlIiYiDwxHgMh01CC-1q?usp=share_link", 1022.23)</f>
        <v>1022.23</v>
      </c>
      <c r="Q256" s="18" t="str">
        <f>HYPERLINK("https://docs.google.com/spreadsheets/d/183z9v6gVymd3QHl9xOQ6JbZA11cAo8Wb?usp=share_link", "RE-34.2454")</f>
        <v>RE-34.2454</v>
      </c>
      <c r="R256" s="18">
        <f>HYPERLINK("https://docs.google.com/spreadsheets/d/1xRY6j_dywKR7cklc1dxVU-dc9aSdEM01?usp=share_link", 482.746)</f>
        <v>482.746</v>
      </c>
      <c r="S256" s="18" t="str">
        <f>HYPERLINK("https://docs.google.com/spreadsheets/d/1uv4tL_Z4dposj_YTrgrwu9Jbk_mXalX0?usp=share_link", "RE-23.734")</f>
        <v>RE-23.734</v>
      </c>
      <c r="T256" s="18">
        <f>HYPERLINK("https://docs.google.com/spreadsheets/d/16G4pFR6pO_omqyNNxvgEx2qS5DGCfy1H?usp=share_link", 306.503)</f>
        <v>306.503</v>
      </c>
      <c r="U256" s="18" t="str">
        <f>HYPERLINK("https://docs.google.com/spreadsheets/d/14OcJmuu0USoLnNXaoYvU_UupOQIU-_Xc?usp=share_link", "RE-18.431")</f>
        <v>RE-18.431</v>
      </c>
      <c r="V256" s="18" t="str">
        <f>HYPERLINK("https://docs.google.com/spreadsheets/d/1V9Kchu2EiHmZ-BsK7Kl6vP-Ak6_DPELX?usp=share_link", "RE-2.30992")</f>
        <v>RE-2.30992</v>
      </c>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c r="DN256" s="17"/>
      <c r="DO256" s="17"/>
      <c r="DP256" s="17"/>
      <c r="DQ256" s="17"/>
      <c r="DR256" s="17"/>
      <c r="DS256" s="17"/>
      <c r="DT256" s="17"/>
      <c r="DU256" s="17"/>
      <c r="DV256" s="17"/>
      <c r="DW256" s="17"/>
      <c r="DX256" s="17"/>
      <c r="DY256" s="17"/>
      <c r="DZ256" s="17"/>
      <c r="EA256" s="17"/>
      <c r="EB256" s="17"/>
      <c r="EC256" s="17"/>
      <c r="ED256" s="17"/>
      <c r="EE256" s="17"/>
      <c r="EF256" s="17"/>
      <c r="EG256" s="17"/>
      <c r="EH256" s="17"/>
      <c r="EI256" s="17"/>
      <c r="EJ256" s="17"/>
      <c r="EK256" s="17"/>
      <c r="EL256" s="17"/>
      <c r="EM256" s="17"/>
      <c r="EN256" s="17"/>
      <c r="EO256" s="17"/>
      <c r="EP256" s="17"/>
      <c r="EQ256" s="17"/>
      <c r="ER256" s="17"/>
      <c r="ES256" s="17"/>
      <c r="ET256" s="17"/>
      <c r="EU256" s="17"/>
      <c r="EV256" s="17"/>
      <c r="EW256" s="17"/>
      <c r="EX256" s="17"/>
      <c r="EY256" s="17"/>
      <c r="EZ256" s="17"/>
      <c r="FA256" s="17"/>
      <c r="FB256" s="17"/>
      <c r="FC256" s="17"/>
      <c r="FD256" s="17"/>
      <c r="FE256" s="17"/>
      <c r="FF256" s="17"/>
      <c r="FG256" s="17"/>
      <c r="FH256" s="17"/>
    </row>
    <row r="257">
      <c r="A257" s="32" t="s">
        <v>47</v>
      </c>
      <c r="B257" s="32" t="s">
        <v>52</v>
      </c>
      <c r="C257" s="32" t="s">
        <v>14</v>
      </c>
      <c r="D257" s="16">
        <f t="shared" si="1"/>
        <v>3785.784</v>
      </c>
      <c r="E257" s="17"/>
      <c r="F257" s="18" t="str">
        <f>HYPERLINK("https://docs.google.com/spreadsheets/d/1ck3bbYYvyLleop9Be10xiQ7mzc2y0NhB?usp=share_link", "RE-1335.03")</f>
        <v>RE-1335.03</v>
      </c>
      <c r="G257" s="18" t="str">
        <f>HYPERLINK("https://docs.google.com/spreadsheets/d/1bAitPr4nBxbMibTDHVh5Sy4JkkVUwwFL?usp=share_link", "RE-2.97582")</f>
        <v>RE-2.97582</v>
      </c>
      <c r="H257" s="18" t="str">
        <f>HYPERLINK("https://docs.google.com/spreadsheets/d/1sB9GnB8odI73peH1vFDKIa3L1z2RaEIz?usp=share_link", "RE-231.086")</f>
        <v>RE-231.086</v>
      </c>
      <c r="I257" s="18" t="str">
        <f>HYPERLINK("https://docs.google.com/spreadsheets/d/1y2U_J441JkcgrepC3IcazJt-HgGLgO6F?usp=share_link", "RE-0.3451")</f>
        <v>RE-0.3451</v>
      </c>
      <c r="J257" s="18" t="str">
        <f>HYPERLINK("https://docs.google.com/spreadsheets/d/18olL8YnU_vrOsLsWBwAi37L9k9CGXd6S?usp=share_link", "RE-583.169")</f>
        <v>RE-583.169</v>
      </c>
      <c r="K257" s="18" t="str">
        <f>HYPERLINK("https://docs.google.com/spreadsheets/d/1a-T2J0EJUi9cW6Awtr3DW836Bl5JQccR?usp=share_link", "RE-3.13082")</f>
        <v>RE-3.13082</v>
      </c>
      <c r="L257" s="18">
        <f>HYPERLINK("https://docs.google.com/spreadsheets/d/1C--bW38roMVZZB9RL_to9Rz-2O0rHsT0?usp=share_link", 2253.54)</f>
        <v>2253.54</v>
      </c>
      <c r="M257" s="18" t="str">
        <f>HYPERLINK("https://docs.google.com/spreadsheets/d/1Dc_U1VefzWipoWQ3ZH0SxQUQrDmnW8Ts?usp=share_link", "RE-8.037")</f>
        <v>RE-8.037</v>
      </c>
      <c r="N257" s="18" t="str">
        <f>HYPERLINK("https://docs.google.com/spreadsheets/d/1MTAhSo1PooFRjyj4lEJ9OOfIqLgWe8ej?usp=share_link", "RE-153.582")</f>
        <v>RE-153.582</v>
      </c>
      <c r="O257" s="18" t="str">
        <f>HYPERLINK("https://docs.google.com/spreadsheets/d/1UXjx91GmWi2a1rMqyyZyz4ingW7FjA9p?usp=share_link", "RE-3.08")</f>
        <v>RE-3.08</v>
      </c>
      <c r="P257" s="18">
        <f>HYPERLINK("https://docs.google.com/spreadsheets/d/1HKTKsNeAACP69nTykZznMoGTiGyduNZZ?usp=share_link", 864.924)</f>
        <v>864.924</v>
      </c>
      <c r="Q257" s="18" t="str">
        <f>HYPERLINK("https://docs.google.com/spreadsheets/d/1i-Bbrz1wvY09mLyDYAiADI-rVjf64Amd?usp=share_link", "RE-29.0358")</f>
        <v>RE-29.0358</v>
      </c>
      <c r="R257" s="18">
        <f>HYPERLINK("https://docs.google.com/spreadsheets/d/156QBIacjWztmWfTHE3OKwVIzDbf5lcQq?usp=share_link", 405.668)</f>
        <v>405.668</v>
      </c>
      <c r="S257" s="18" t="str">
        <f>HYPERLINK("https://docs.google.com/spreadsheets/d/1oMaTcx3HMmRZkjMOWYzZJYA9CXvF0pGp?usp=share_link", "RE-21.949")</f>
        <v>RE-21.949</v>
      </c>
      <c r="T257" s="18">
        <f>HYPERLINK("https://docs.google.com/spreadsheets/d/1mrm3Yi2ZQHepVTFPqrqNzzH_lMUhMhym?usp=share_link", 261.652)</f>
        <v>261.652</v>
      </c>
      <c r="U257" s="18" t="str">
        <f>HYPERLINK("https://docs.google.com/spreadsheets/d/1veJCKfhHIRwDUWgOBus1wUwbuHtNc90S?usp=share_link", "RE-16.8359")</f>
        <v>RE-16.8359</v>
      </c>
      <c r="V257" s="18" t="str">
        <f>HYPERLINK("https://docs.google.com/spreadsheets/d/1jscf6mk-casdaVaqKRckYOYT65LlPW8T?usp=share_link", "RE-1.94262")</f>
        <v>RE-1.94262</v>
      </c>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7"/>
      <c r="DT257" s="17"/>
      <c r="DU257" s="17"/>
      <c r="DV257" s="17"/>
      <c r="DW257" s="17"/>
      <c r="DX257" s="17"/>
      <c r="DY257" s="17"/>
      <c r="DZ257" s="17"/>
      <c r="EA257" s="17"/>
      <c r="EB257" s="17"/>
      <c r="EC257" s="17"/>
      <c r="ED257" s="17"/>
      <c r="EE257" s="17"/>
      <c r="EF257" s="17"/>
      <c r="EG257" s="17"/>
      <c r="EH257" s="17"/>
      <c r="EI257" s="17"/>
      <c r="EJ257" s="17"/>
      <c r="EK257" s="17"/>
      <c r="EL257" s="17"/>
      <c r="EM257" s="17"/>
      <c r="EN257" s="17"/>
      <c r="EO257" s="17"/>
      <c r="EP257" s="17"/>
      <c r="EQ257" s="17"/>
      <c r="ER257" s="17"/>
      <c r="ES257" s="17"/>
      <c r="ET257" s="17"/>
      <c r="EU257" s="17"/>
      <c r="EV257" s="17"/>
      <c r="EW257" s="17"/>
      <c r="EX257" s="17"/>
      <c r="EY257" s="17"/>
      <c r="EZ257" s="17"/>
      <c r="FA257" s="17"/>
      <c r="FB257" s="17"/>
      <c r="FC257" s="17"/>
      <c r="FD257" s="17"/>
      <c r="FE257" s="17"/>
      <c r="FF257" s="17"/>
      <c r="FG257" s="17"/>
      <c r="FH257" s="17"/>
    </row>
    <row r="258">
      <c r="A258" s="27" t="s">
        <v>47</v>
      </c>
      <c r="B258" s="27" t="s">
        <v>52</v>
      </c>
      <c r="C258" s="27" t="s">
        <v>15</v>
      </c>
      <c r="D258" s="28">
        <f t="shared" si="1"/>
        <v>4367.469</v>
      </c>
      <c r="E258" s="33"/>
      <c r="F258" s="34" t="str">
        <f>HYPERLINK("https://docs.google.com/spreadsheets/d/1w5u_e_JQEDFYtdzEoJQaoxMOcGmFUPo5?usp=share_link", "RE-1511.01")</f>
        <v>RE-1511.01</v>
      </c>
      <c r="G258" s="34" t="str">
        <f>HYPERLINK("https://docs.google.com/spreadsheets/d/1C--pz7o5eD49F08cb5JeOiwxssQjKRXa?usp=share_link", "RE-3.12482")</f>
        <v>RE-3.12482</v>
      </c>
      <c r="H258" s="34" t="str">
        <f>HYPERLINK("https://docs.google.com/spreadsheets/d/14_i8xHf0tx9rqznsplUuFovNU1fNEFeo?usp=share_link", "RE-274.855")</f>
        <v>RE-274.855</v>
      </c>
      <c r="I258" s="34" t="str">
        <f>HYPERLINK("https://docs.google.com/spreadsheets/d/1NDlGipZUc2FP2uYmYPhkFid7jouzO92J?usp=share_link", "RE-0.3451")</f>
        <v>RE-0.3451</v>
      </c>
      <c r="J258" s="34" t="str">
        <f>HYPERLINK("https://docs.google.com/spreadsheets/d/1WEJRru3-RVHhj0tMMY1XCpDsfyaQoDtj?usp=share_link", "RE-655.324")</f>
        <v>RE-655.324</v>
      </c>
      <c r="K258" s="34" t="str">
        <f>HYPERLINK("https://docs.google.com/spreadsheets/d/1ODird_ulxSm730y9LHf_AuVn90Klcm4E?usp=share_link", "RE-3.57602")</f>
        <v>RE-3.57602</v>
      </c>
      <c r="L258" s="34">
        <f>HYPERLINK("https://docs.google.com/spreadsheets/d/1LgrTMd5iY-xXQQyAnflujLPJV-b3oV1C?usp=share_link", 2556.07)</f>
        <v>2556.07</v>
      </c>
      <c r="M258" s="34" t="str">
        <f>HYPERLINK("https://docs.google.com/spreadsheets/d/1PbE45s0fsLYvln6vtZjO5N4_bXxeNME7?usp=share_link", "RE-9.51515")</f>
        <v>RE-9.51515</v>
      </c>
      <c r="N258" s="34" t="str">
        <f>HYPERLINK("https://docs.google.com/spreadsheets/d/1ScpLNIGS3FYugZqvlFfTO5wd_Id4vfBN?usp=share_link", "RE-187.393")</f>
        <v>RE-187.393</v>
      </c>
      <c r="O258" s="34" t="str">
        <f>HYPERLINK("https://docs.google.com/spreadsheets/d/1X5oaONG6vT5hV0PryJvWSp3lM_GfP770?usp=share_link", "RE-3.98033")</f>
        <v>RE-3.98033</v>
      </c>
      <c r="P258" s="34">
        <f>HYPERLINK("https://docs.google.com/spreadsheets/d/1Jss_5PM5C3XastNKZbz9c8KnHSqOZccF?usp=share_link", 1022.15)</f>
        <v>1022.15</v>
      </c>
      <c r="Q258" s="34" t="str">
        <f>HYPERLINK("https://docs.google.com/spreadsheets/d/1bV4WRQW4aECe7FTRUnaO7fmnNXJLnk39?usp=share_link", "RE-34.2454")</f>
        <v>RE-34.2454</v>
      </c>
      <c r="R258" s="34">
        <f>HYPERLINK("https://docs.google.com/spreadsheets/d/1tpq4B2vqXOl2ELfTHYMwi_w3qTiWKcoY?usp=share_link", 482.746)</f>
        <v>482.746</v>
      </c>
      <c r="S258" s="34" t="str">
        <f>HYPERLINK("https://docs.google.com/spreadsheets/d/1g3qpInw9uQHg36bRP0KG0p3fqYw1M1Nn?usp=share_link", "RE-23.734")</f>
        <v>RE-23.734</v>
      </c>
      <c r="T258" s="34">
        <f>HYPERLINK("https://docs.google.com/spreadsheets/d/1S-IKb-eOOfhAlOqw-ETyy2BTeSk9T4Td?usp=share_link", 306.503)</f>
        <v>306.503</v>
      </c>
      <c r="U258" s="34" t="str">
        <f>HYPERLINK("https://docs.google.com/spreadsheets/d/154D9dKzxtdTJKaxcLvNfdZQWX2nuHDtw?usp=share_link", "RE-18.431")</f>
        <v>RE-18.431</v>
      </c>
      <c r="V258" s="34" t="str">
        <f>HYPERLINK("https://docs.google.com/spreadsheets/d/15Ab7WruntbLs3i0SZeMssz1ZEJvKJt8x?usp=share_link", "RE-2.30992")</f>
        <v>RE-2.30992</v>
      </c>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c r="BZ258" s="33"/>
      <c r="CA258" s="33"/>
      <c r="CB258" s="33"/>
      <c r="CC258" s="33"/>
      <c r="CD258" s="33"/>
      <c r="CE258" s="33"/>
      <c r="CF258" s="33"/>
      <c r="CG258" s="33"/>
      <c r="CH258" s="33"/>
      <c r="CI258" s="33"/>
      <c r="CJ258" s="33"/>
      <c r="CK258" s="33"/>
      <c r="CL258" s="33"/>
      <c r="CM258" s="33"/>
      <c r="CN258" s="33"/>
      <c r="CO258" s="33"/>
      <c r="CP258" s="33"/>
      <c r="CQ258" s="33"/>
      <c r="CR258" s="33"/>
      <c r="CS258" s="33"/>
      <c r="CT258" s="33"/>
      <c r="CU258" s="33"/>
      <c r="CV258" s="33"/>
      <c r="CW258" s="33"/>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33"/>
      <c r="EP258" s="33"/>
      <c r="EQ258" s="33"/>
      <c r="ER258" s="33"/>
      <c r="ES258" s="33"/>
      <c r="ET258" s="33"/>
      <c r="EU258" s="33"/>
      <c r="EV258" s="33"/>
      <c r="EW258" s="33"/>
      <c r="EX258" s="33"/>
      <c r="EY258" s="33"/>
      <c r="EZ258" s="33"/>
      <c r="FA258" s="33"/>
      <c r="FB258" s="33"/>
      <c r="FC258" s="33"/>
      <c r="FD258" s="33"/>
      <c r="FE258" s="33"/>
      <c r="FF258" s="33"/>
      <c r="FG258" s="33"/>
      <c r="FH258" s="33"/>
    </row>
    <row r="259">
      <c r="A259" s="30" t="s">
        <v>47</v>
      </c>
      <c r="B259" s="30" t="s">
        <v>53</v>
      </c>
      <c r="C259" s="31" t="str">
        <f>HYPERLINK("https://docs.google.com/spreadsheets/d/1zXTZ4SBUcGEO_piFXWhf7i5wyymCkt5P/edit?usp=share_link&amp;ouid=106501987799020758802&amp;rtpof=true&amp;sd=true", "Raw Delivered")</f>
        <v>Raw Delivered</v>
      </c>
      <c r="D259" s="12">
        <f t="shared" si="1"/>
        <v>4549.214147</v>
      </c>
      <c r="E259" s="13"/>
      <c r="F259" s="14">
        <f>HYPERLINK("https://docs.google.com/spreadsheets/d/1krITRccdh7i2tZhxWZwd7-vDEdkMxi2Z", 1275.95422708333)</f>
        <v>1275.954227</v>
      </c>
      <c r="G259" s="13"/>
      <c r="H259" s="14">
        <f>HYPERLINK("https://docs.google.com/spreadsheets/d/1CvanHrv_ohcjIRiHm7DtrD3uwj_QhIsJ", 320.9008125)</f>
        <v>320.9008125</v>
      </c>
      <c r="I259" s="13"/>
      <c r="J259" s="14">
        <f>HYPERLINK("https://docs.google.com/spreadsheets/d/1R_DCnTXueLc8haa6xv3YLAo8JPlJoQbi", 905.416152083331)</f>
        <v>905.4161521</v>
      </c>
      <c r="K259" s="13"/>
      <c r="L259" s="14">
        <f t="shared" ref="L259:L260" si="130">HYPERLINK("https://docs.google.com/spreadsheets/d/16Sk-b1E9xbd1T0x7LOEazi_nrnetAzw6", 1038.404740625)</f>
        <v>1038.404741</v>
      </c>
      <c r="M259" s="13"/>
      <c r="N259" s="14">
        <f>HYPERLINK("https://docs.google.com/spreadsheets/d/1uG7mttMK5x3fFdF-Gl8Dp6FBEHyKcul1", 162.488532291666)</f>
        <v>162.4885323</v>
      </c>
      <c r="O259" s="13"/>
      <c r="P259" s="14">
        <f t="shared" ref="P259:P260" si="131">HYPERLINK("https://docs.google.com/spreadsheets/d/1mF6BFmBw6YgaJYnBCtzsBO2zVepfroOZ", 379.329392708333)</f>
        <v>379.3293927</v>
      </c>
      <c r="Q259" s="13"/>
      <c r="R259" s="14">
        <f t="shared" ref="R259:R260" si="132">HYPERLINK("https://docs.google.com/spreadsheets/d/1NnOfQYIwu55bzKoBUUNdJmvCS1m-3qQI", 157.420515624999)</f>
        <v>157.4205156</v>
      </c>
      <c r="S259" s="13"/>
      <c r="T259" s="14">
        <f t="shared" ref="T259:T260" si="133">HYPERLINK("https://docs.google.com/spreadsheets/d/1vlAlDdlYMta8wgPrMceR2yBk11kaxMWT", 309.299773958332)</f>
        <v>309.299774</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row>
    <row r="260">
      <c r="A260" s="32" t="s">
        <v>47</v>
      </c>
      <c r="B260" s="32" t="s">
        <v>53</v>
      </c>
      <c r="C260" s="32" t="s">
        <v>9</v>
      </c>
      <c r="D260" s="16">
        <f t="shared" si="1"/>
        <v>1884.454423</v>
      </c>
      <c r="E260" s="17"/>
      <c r="F260" s="18" t="str">
        <f>HYPERLINK("https://docs.google.com/spreadsheets/d/1krITRccdh7i2tZhxWZwd7-vDEdkMxi2Z", "RE-1275.9542270833315")</f>
        <v>RE-1275.9542270833315</v>
      </c>
      <c r="G260" s="17"/>
      <c r="H260" s="18" t="str">
        <f>HYPERLINK("https://docs.google.com/spreadsheets/d/1CvanHrv_ohcjIRiHm7DtrD3uwj_QhIsJ", "RE-320.90081250000026")</f>
        <v>RE-320.90081250000026</v>
      </c>
      <c r="I260" s="17"/>
      <c r="J260" s="18" t="str">
        <f>HYPERLINK("https://docs.google.com/spreadsheets/d/1R_DCnTXueLc8haa6xv3YLAo8JPlJoQbi", "RE-905.4161520833318")</f>
        <v>RE-905.4161520833318</v>
      </c>
      <c r="K260" s="17"/>
      <c r="L260" s="18">
        <f t="shared" si="130"/>
        <v>1038.404741</v>
      </c>
      <c r="M260" s="17"/>
      <c r="N260" s="18" t="str">
        <f>HYPERLINK("https://docs.google.com/spreadsheets/d/1uG7mttMK5x3fFdF-Gl8Dp6FBEHyKcul1", "RE-162.4885322916668")</f>
        <v>RE-162.4885322916668</v>
      </c>
      <c r="O260" s="17"/>
      <c r="P260" s="18">
        <f t="shared" si="131"/>
        <v>379.3293927</v>
      </c>
      <c r="Q260" s="17"/>
      <c r="R260" s="18">
        <f t="shared" si="132"/>
        <v>157.4205156</v>
      </c>
      <c r="S260" s="17"/>
      <c r="T260" s="18">
        <f t="shared" si="133"/>
        <v>309.299774</v>
      </c>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c r="DN260" s="17"/>
      <c r="DO260" s="17"/>
      <c r="DP260" s="17"/>
      <c r="DQ260" s="17"/>
      <c r="DR260" s="17"/>
      <c r="DS260" s="17"/>
      <c r="DT260" s="17"/>
      <c r="DU260" s="17"/>
      <c r="DV260" s="17"/>
      <c r="DW260" s="17"/>
      <c r="DX260" s="17"/>
      <c r="DY260" s="17"/>
      <c r="DZ260" s="17"/>
      <c r="EA260" s="17"/>
      <c r="EB260" s="17"/>
      <c r="EC260" s="17"/>
      <c r="ED260" s="17"/>
      <c r="EE260" s="17"/>
      <c r="EF260" s="17"/>
      <c r="EG260" s="17"/>
      <c r="EH260" s="17"/>
      <c r="EI260" s="17"/>
      <c r="EJ260" s="17"/>
      <c r="EK260" s="17"/>
      <c r="EL260" s="17"/>
      <c r="EM260" s="17"/>
      <c r="EN260" s="17"/>
      <c r="EO260" s="17"/>
      <c r="EP260" s="17"/>
      <c r="EQ260" s="17"/>
      <c r="ER260" s="17"/>
      <c r="ES260" s="17"/>
      <c r="ET260" s="17"/>
      <c r="EU260" s="17"/>
      <c r="EV260" s="17"/>
      <c r="EW260" s="17"/>
      <c r="EX260" s="17"/>
      <c r="EY260" s="17"/>
      <c r="EZ260" s="17"/>
      <c r="FA260" s="17"/>
      <c r="FB260" s="17"/>
      <c r="FC260" s="17"/>
      <c r="FD260" s="17"/>
      <c r="FE260" s="17"/>
      <c r="FF260" s="17"/>
      <c r="FG260" s="17"/>
      <c r="FH260" s="17"/>
    </row>
    <row r="261">
      <c r="A261" s="32" t="s">
        <v>47</v>
      </c>
      <c r="B261" s="32" t="s">
        <v>53</v>
      </c>
      <c r="C261" s="32" t="s">
        <v>10</v>
      </c>
      <c r="D261" s="16">
        <f t="shared" si="1"/>
        <v>323.4046667</v>
      </c>
      <c r="E261" s="17"/>
      <c r="F261" s="17"/>
      <c r="G261" s="18">
        <f>HYPERLINK("https://docs.google.com/spreadsheets/d/1hi8wB8NtGqyKnLVcwwSiB9yZBCbLt43x", 120.525245833333)</f>
        <v>120.5252458</v>
      </c>
      <c r="H261" s="17"/>
      <c r="I261" s="18">
        <f>HYPERLINK("https://docs.google.com/spreadsheets/d/1Ke2J2OXZIqaZTVD6zJuEXLkHNJBjfwcI", 14.4888770833333)</f>
        <v>14.48887708</v>
      </c>
      <c r="J261" s="17"/>
      <c r="K261" s="18">
        <f>HYPERLINK("https://docs.google.com/spreadsheets/d/19BXnRMTk7GQ-Ii_QrVtAse0N9yYOSnx3", 45.1728104166666)</f>
        <v>45.17281042</v>
      </c>
      <c r="L261" s="17"/>
      <c r="M261" s="18">
        <f>HYPERLINK("https://docs.google.com/spreadsheets/d/1ashLs9yujKJp921rBT1zIdGTyT-Pt_SA", 51.88206875)</f>
        <v>51.88206875</v>
      </c>
      <c r="N261" s="17"/>
      <c r="O261" s="18">
        <f>HYPERLINK("https://docs.google.com/spreadsheets/d/1zf3EhaxNqyHuaXN1h5TAwEgzjD0Df07S", 22.7854322916666)</f>
        <v>22.78543229</v>
      </c>
      <c r="P261" s="17"/>
      <c r="Q261" s="18">
        <f>HYPERLINK("https://docs.google.com/spreadsheets/d/1YMK6bp2YIRUuiGK38HzjWYA1EHgJeruB", 24.0367906249999)</f>
        <v>24.03679062</v>
      </c>
      <c r="R261" s="17"/>
      <c r="S261" s="18">
        <f>HYPERLINK("https://docs.google.com/spreadsheets/d/1opw5PjYWP474V-s3OGF1cDnsGhjklIDu", 18.0597416666666)</f>
        <v>18.05974167</v>
      </c>
      <c r="T261" s="17"/>
      <c r="U261" s="18">
        <f>HYPERLINK("https://docs.google.com/spreadsheets/d/1h0CUtJDQiSInoVwo74sLwjptAbw2czRY", 21.5349833333333)</f>
        <v>21.53498333</v>
      </c>
      <c r="V261" s="18">
        <f>HYPERLINK("https://docs.google.com/spreadsheets/d/1YDBqhiSCGNU5G92WZY5-wvr5XSHBFi6V", 4.91871666666666)</f>
        <v>4.918716667</v>
      </c>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c r="DN261" s="17"/>
      <c r="DO261" s="17"/>
      <c r="DP261" s="17"/>
      <c r="DQ261" s="17"/>
      <c r="DR261" s="17"/>
      <c r="DS261" s="17"/>
      <c r="DT261" s="17"/>
      <c r="DU261" s="17"/>
      <c r="DV261" s="17"/>
      <c r="DW261" s="17"/>
      <c r="DX261" s="17"/>
      <c r="DY261" s="17"/>
      <c r="DZ261" s="17"/>
      <c r="EA261" s="17"/>
      <c r="EB261" s="17"/>
      <c r="EC261" s="17"/>
      <c r="ED261" s="17"/>
      <c r="EE261" s="17"/>
      <c r="EF261" s="17"/>
      <c r="EG261" s="17"/>
      <c r="EH261" s="17"/>
      <c r="EI261" s="17"/>
      <c r="EJ261" s="17"/>
      <c r="EK261" s="17"/>
      <c r="EL261" s="17"/>
      <c r="EM261" s="17"/>
      <c r="EN261" s="17"/>
      <c r="EO261" s="17"/>
      <c r="EP261" s="17"/>
      <c r="EQ261" s="17"/>
      <c r="ER261" s="17"/>
      <c r="ES261" s="17"/>
      <c r="ET261" s="17"/>
      <c r="EU261" s="17"/>
      <c r="EV261" s="17"/>
      <c r="EW261" s="17"/>
      <c r="EX261" s="17"/>
      <c r="EY261" s="17"/>
      <c r="EZ261" s="17"/>
      <c r="FA261" s="17"/>
      <c r="FB261" s="17"/>
      <c r="FC261" s="17"/>
      <c r="FD261" s="17"/>
      <c r="FE261" s="17"/>
      <c r="FF261" s="17"/>
      <c r="FG261" s="17"/>
      <c r="FH261" s="17"/>
    </row>
    <row r="262">
      <c r="A262" s="32" t="s">
        <v>47</v>
      </c>
      <c r="B262" s="32" t="s">
        <v>53</v>
      </c>
      <c r="C262" s="32" t="s">
        <v>11</v>
      </c>
      <c r="D262" s="16">
        <f t="shared" si="1"/>
        <v>0</v>
      </c>
      <c r="E262" s="17"/>
      <c r="F262" s="17"/>
      <c r="G262" s="18" t="str">
        <f>HYPERLINK("https://docs.google.com/spreadsheets/d/1hi8wB8NtGqyKnLVcwwSiB9yZBCbLt43x", "RE-120.52524583333341")</f>
        <v>RE-120.52524583333341</v>
      </c>
      <c r="H262" s="17"/>
      <c r="I262" s="18" t="str">
        <f>HYPERLINK("https://docs.google.com/spreadsheets/d/1Ke2J2OXZIqaZTVD6zJuEXLkHNJBjfwcI", "RE-14.488877083333335")</f>
        <v>RE-14.488877083333335</v>
      </c>
      <c r="J262" s="17"/>
      <c r="K262" s="18" t="str">
        <f>HYPERLINK("https://docs.google.com/spreadsheets/d/19BXnRMTk7GQ-Ii_QrVtAse0N9yYOSnx3", "RE-45.17281041666666")</f>
        <v>RE-45.17281041666666</v>
      </c>
      <c r="L262" s="17"/>
      <c r="M262" s="18" t="str">
        <f>HYPERLINK("https://docs.google.com/spreadsheets/d/1ashLs9yujKJp921rBT1zIdGTyT-Pt_SA", "RE-51.88206875000001")</f>
        <v>RE-51.88206875000001</v>
      </c>
      <c r="N262" s="17"/>
      <c r="O262" s="18" t="str">
        <f>HYPERLINK("https://docs.google.com/spreadsheets/d/1zf3EhaxNqyHuaXN1h5TAwEgzjD0Df07S", "RE-22.785432291666666")</f>
        <v>RE-22.785432291666666</v>
      </c>
      <c r="P262" s="17"/>
      <c r="Q262" s="18" t="str">
        <f>HYPERLINK("https://docs.google.com/spreadsheets/d/1YMK6bp2YIRUuiGK38HzjWYA1EHgJeruB", "RE-24.036790624999995")</f>
        <v>RE-24.036790624999995</v>
      </c>
      <c r="R262" s="17"/>
      <c r="S262" s="18" t="str">
        <f>HYPERLINK("https://docs.google.com/spreadsheets/d/1opw5PjYWP474V-s3OGF1cDnsGhjklIDu", "RE-18.05974166666667")</f>
        <v>RE-18.05974166666667</v>
      </c>
      <c r="T262" s="17"/>
      <c r="U262" s="18" t="str">
        <f>HYPERLINK("https://docs.google.com/spreadsheets/d/1h0CUtJDQiSInoVwo74sLwjptAbw2czRY", "RE-21.53498333333334")</f>
        <v>RE-21.53498333333334</v>
      </c>
      <c r="V262" s="18" t="str">
        <f>HYPERLINK("https://docs.google.com/spreadsheets/d/1YDBqhiSCGNU5G92WZY5-wvr5XSHBFi6V", "RE-4.918716666666667")</f>
        <v>RE-4.918716666666667</v>
      </c>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c r="EJ262" s="17"/>
      <c r="EK262" s="17"/>
      <c r="EL262" s="17"/>
      <c r="EM262" s="17"/>
      <c r="EN262" s="17"/>
      <c r="EO262" s="17"/>
      <c r="EP262" s="17"/>
      <c r="EQ262" s="17"/>
      <c r="ER262" s="17"/>
      <c r="ES262" s="17"/>
      <c r="ET262" s="17"/>
      <c r="EU262" s="17"/>
      <c r="EV262" s="17"/>
      <c r="EW262" s="17"/>
      <c r="EX262" s="17"/>
      <c r="EY262" s="17"/>
      <c r="EZ262" s="17"/>
      <c r="FA262" s="17"/>
      <c r="FB262" s="17"/>
      <c r="FC262" s="17"/>
      <c r="FD262" s="17"/>
      <c r="FE262" s="17"/>
      <c r="FF262" s="17"/>
      <c r="FG262" s="17"/>
      <c r="FH262" s="17"/>
    </row>
    <row r="263">
      <c r="A263" s="32" t="s">
        <v>47</v>
      </c>
      <c r="B263" s="32" t="s">
        <v>53</v>
      </c>
      <c r="C263" s="32" t="s">
        <v>12</v>
      </c>
      <c r="D263" s="16">
        <f t="shared" si="1"/>
        <v>1713.389368</v>
      </c>
      <c r="E263" s="17"/>
      <c r="F263" s="18" t="str">
        <f>HYPERLINK("https://docs.google.com/spreadsheets/d/1Z5ffko0AXwQ1jSfaekkCO1nr77tkpMcy", "RE-1042.6350958333298")</f>
        <v>RE-1042.6350958333298</v>
      </c>
      <c r="G263" s="18" t="str">
        <f>HYPERLINK("https://docs.google.com/spreadsheets/d/1ilBFq0owbH0KNKo7FICXaE1AXDYw3bre", "RE-3.430991666666667")</f>
        <v>RE-3.430991666666667</v>
      </c>
      <c r="H263" s="18" t="str">
        <f>HYPERLINK("https://docs.google.com/spreadsheets/d/1be36wmw18nm7DxgfK9ORCle0xwU-ubq8", "RE-291.4980416666666")</f>
        <v>RE-291.4980416666666</v>
      </c>
      <c r="I263" s="18" t="str">
        <f>HYPERLINK("https://docs.google.com/spreadsheets/d/15lazsYvoD1yxxzKbUp5cF6XuHMz0jesd", "RE-0.6281208333333334")</f>
        <v>RE-0.6281208333333334</v>
      </c>
      <c r="J263" s="18" t="str">
        <f>HYPERLINK("https://docs.google.com/spreadsheets/d/1056gNbOxBfOQVmU7hT6LYi8W7kyW2dxx", "RE-763.8861791666649")</f>
        <v>RE-763.8861791666649</v>
      </c>
      <c r="K263" s="18" t="str">
        <f>HYPERLINK("https://docs.google.com/spreadsheets/d/1wXuEHBByzW7IuvzWdTqJz68mftZIuZDP", "RE-1.7141135416666666")</f>
        <v>RE-1.7141135416666666</v>
      </c>
      <c r="L263" s="18">
        <f>HYPERLINK("https://docs.google.com/spreadsheets/d/1uhLUQRc2RexvDYUXgXUJlvBZfvNJaJO9", 939.564636458333)</f>
        <v>939.5646365</v>
      </c>
      <c r="M263" s="18" t="str">
        <f>HYPERLINK("https://docs.google.com/spreadsheets/d/1NnEDGn76lN7S_qE0txD_h87EjLEPKZTi", "RE-13.336293750000001")</f>
        <v>RE-13.336293750000001</v>
      </c>
      <c r="N263" s="18" t="str">
        <f>HYPERLINK("https://docs.google.com/spreadsheets/d/1ADDiQQ3x_tKYjLVKZ_JnvlpvERfY8iDP", "RE-79.96581979166666")</f>
        <v>RE-79.96581979166666</v>
      </c>
      <c r="O263" s="18" t="str">
        <f>HYPERLINK("https://docs.google.com/spreadsheets/d/1I3jpUryNN5Z2a8V0xkBLc5mb8hSxYV7e", "RE-4.327707291666667")</f>
        <v>RE-4.327707291666667</v>
      </c>
      <c r="P263" s="18">
        <f>HYPERLINK("https://docs.google.com/spreadsheets/d/1dvtJ-yuj91rmzkwzNsEeXiCVWW4mQHY0", 343.564195833333)</f>
        <v>343.5641958</v>
      </c>
      <c r="Q263" s="18" t="str">
        <f>HYPERLINK("https://docs.google.com/spreadsheets/d/1ftHUoMIgWbihM0TQxkt-kxi8ROM-9YEU", "RE-7.955293749999999")</f>
        <v>RE-7.955293749999999</v>
      </c>
      <c r="R263" s="18">
        <f>HYPERLINK("https://docs.google.com/spreadsheets/d/1ZkTkcoxIJbEOe1jAYAX_UAuKBT4VhAJG", 140.788544791666)</f>
        <v>140.7885448</v>
      </c>
      <c r="S263" s="18" t="str">
        <f>HYPERLINK("https://docs.google.com/spreadsheets/d/1o5nXaHN0NzdKkSf0wqAKCsTX2EU-08wB", "RE-8.3856625")</f>
        <v>RE-8.3856625</v>
      </c>
      <c r="T263" s="18">
        <f>HYPERLINK("https://docs.google.com/spreadsheets/d/1ApWLhDPeVTlhbCbg4Op_-y1jMaDzhpa5", 289.471990624999)</f>
        <v>289.4719906</v>
      </c>
      <c r="U263" s="18" t="str">
        <f>HYPERLINK("https://docs.google.com/spreadsheets/d/1272pB1e7j4SQ_fsgUyioX5Qjgl2xNECU", "RE-8.220735416666665")</f>
        <v>RE-8.220735416666665</v>
      </c>
      <c r="V263" s="18" t="str">
        <f>HYPERLINK("https://docs.google.com/spreadsheets/d/1N6tGPQAeeNM5edBeSPAHjNhRLRaWLfc3", "RE-3.9592520833333333")</f>
        <v>RE-3.9592520833333333</v>
      </c>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c r="DN263" s="17"/>
      <c r="DO263" s="17"/>
      <c r="DP263" s="17"/>
      <c r="DQ263" s="17"/>
      <c r="DR263" s="17"/>
      <c r="DS263" s="17"/>
      <c r="DT263" s="17"/>
      <c r="DU263" s="17"/>
      <c r="DV263" s="17"/>
      <c r="DW263" s="17"/>
      <c r="DX263" s="17"/>
      <c r="DY263" s="17"/>
      <c r="DZ263" s="17"/>
      <c r="EA263" s="17"/>
      <c r="EB263" s="17"/>
      <c r="EC263" s="17"/>
      <c r="ED263" s="17"/>
      <c r="EE263" s="17"/>
      <c r="EF263" s="17"/>
      <c r="EG263" s="17"/>
      <c r="EH263" s="17"/>
      <c r="EI263" s="17"/>
      <c r="EJ263" s="17"/>
      <c r="EK263" s="17"/>
      <c r="EL263" s="17"/>
      <c r="EM263" s="17"/>
      <c r="EN263" s="17"/>
      <c r="EO263" s="17"/>
      <c r="EP263" s="17"/>
      <c r="EQ263" s="17"/>
      <c r="ER263" s="17"/>
      <c r="ES263" s="17"/>
      <c r="ET263" s="17"/>
      <c r="EU263" s="17"/>
      <c r="EV263" s="17"/>
      <c r="EW263" s="17"/>
      <c r="EX263" s="17"/>
      <c r="EY263" s="17"/>
      <c r="EZ263" s="17"/>
      <c r="FA263" s="17"/>
      <c r="FB263" s="17"/>
      <c r="FC263" s="17"/>
      <c r="FD263" s="17"/>
      <c r="FE263" s="17"/>
      <c r="FF263" s="17"/>
      <c r="FG263" s="17"/>
      <c r="FH263" s="17"/>
    </row>
    <row r="264">
      <c r="A264" s="32" t="s">
        <v>47</v>
      </c>
      <c r="B264" s="32" t="s">
        <v>53</v>
      </c>
      <c r="C264" s="32" t="s">
        <v>13</v>
      </c>
      <c r="D264" s="16">
        <f t="shared" si="1"/>
        <v>1648.684</v>
      </c>
      <c r="E264" s="17"/>
      <c r="F264" s="18" t="str">
        <f>HYPERLINK("https://docs.google.com/spreadsheets/d/1mdAgIN-TrZvcVcSkEgDXfqHVWwGqtyz8?usp=share_link", "RE-1017.73")</f>
        <v>RE-1017.73</v>
      </c>
      <c r="G264" s="18" t="str">
        <f>HYPERLINK("https://docs.google.com/spreadsheets/d/1vcETZM7HFvuuJs8lpRIXtxWzLRWVV-x_?usp=share_link", "RE-3.24055")</f>
        <v>RE-3.24055</v>
      </c>
      <c r="H264" s="18" t="str">
        <f>HYPERLINK("https://docs.google.com/spreadsheets/d/1zr8B3-jS5B53Cp-BVuLDw-rT0vIDrx_P?usp=share_link", "RE-286.964")</f>
        <v>RE-286.964</v>
      </c>
      <c r="I264" s="18" t="str">
        <f>HYPERLINK("https://docs.google.com/spreadsheets/d/1lKu_a6NyVzsaDgGMCY5KHD7wJ0mqfsQH?usp=share_link", "RE-0.5668")</f>
        <v>RE-0.5668</v>
      </c>
      <c r="J264" s="18" t="str">
        <f>HYPERLINK("https://docs.google.com/spreadsheets/d/1953WLJeA_O4cYrl3eDXWKzW2456PErJ9?usp=share_link", "RE-752.787")</f>
        <v>RE-752.787</v>
      </c>
      <c r="K264" s="18" t="str">
        <f>HYPERLINK("https://docs.google.com/spreadsheets/d/1ruQyYoK9pIVaRx_WVAXh84BuFS1ltJ0l?usp=share_link", "RE-1.69182")</f>
        <v>RE-1.69182</v>
      </c>
      <c r="L264" s="18">
        <f>HYPERLINK("https://docs.google.com/spreadsheets/d/1C8Sb9acWeVwsGXNu2iuN6IOSyUAakXN8?usp=share_link", 907.734)</f>
        <v>907.734</v>
      </c>
      <c r="M264" s="18" t="str">
        <f>HYPERLINK("https://docs.google.com/spreadsheets/d/1IF3WvvpS2nHNoZ9U6D4L5tMC3ryjQ8P3?usp=share_link", "RE-12.57")</f>
        <v>RE-12.57</v>
      </c>
      <c r="N264" s="18" t="str">
        <f>HYPERLINK("https://docs.google.com/spreadsheets/d/1fM6b1LLTJtDyTQ09cmQ16ZvnAYTTeIXN?usp=share_link", "RE-76.9322")</f>
        <v>RE-76.9322</v>
      </c>
      <c r="O264" s="18" t="str">
        <f>HYPERLINK("https://docs.google.com/spreadsheets/d/1hldxpgwTc4hhtLk_aBm21aIadvpVnoBs?usp=share_link", "RE-4.01347")</f>
        <v>RE-4.01347</v>
      </c>
      <c r="P264" s="18">
        <f>HYPERLINK("https://docs.google.com/spreadsheets/d/1qrIwTKQZYQhTg96kHnIMmU74fqfCT47J?usp=share_link", 328.613)</f>
        <v>328.613</v>
      </c>
      <c r="Q264" s="18" t="str">
        <f>HYPERLINK("https://docs.google.com/spreadsheets/d/1g6RrAEvhliyTHLmnvetBgwKAdLPhPlst?usp=share_link", "RE-7.34828")</f>
        <v>RE-7.34828</v>
      </c>
      <c r="R264" s="18">
        <f>HYPERLINK("https://docs.google.com/spreadsheets/d/1EtKWBmQSW6kYF6PpZaHO_7yBOQscv5zb?usp=share_link", 135.732)</f>
        <v>135.732</v>
      </c>
      <c r="S264" s="18" t="str">
        <f>HYPERLINK("https://docs.google.com/spreadsheets/d/1qkvL5EhF9_1uTNSJQkXWm4W5dMKIq46Z?usp=share_link", "RE-7.83298")</f>
        <v>RE-7.83298</v>
      </c>
      <c r="T264" s="18">
        <f>HYPERLINK("https://docs.google.com/spreadsheets/d/1Hq-TEs9W3Tm8ovUfSPfpPFjxa4AdrWCG?usp=share_link", 276.605)</f>
        <v>276.605</v>
      </c>
      <c r="U264" s="18" t="str">
        <f>HYPERLINK("https://docs.google.com/spreadsheets/d/1qFVgjvvHmmJGIY7FnpkE0AgGyejuWJxp?usp=share_link", "RE-7.62333")</f>
        <v>RE-7.62333</v>
      </c>
      <c r="V264" s="18" t="str">
        <f>HYPERLINK("https://docs.google.com/spreadsheets/d/1HDxAOGWl8SXxOwhPzbsn4MTUPMIwy0Do?usp=share_link", "RE-3.70342")</f>
        <v>RE-3.70342</v>
      </c>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c r="DN264" s="17"/>
      <c r="DO264" s="17"/>
      <c r="DP264" s="17"/>
      <c r="DQ264" s="17"/>
      <c r="DR264" s="17"/>
      <c r="DS264" s="17"/>
      <c r="DT264" s="17"/>
      <c r="DU264" s="17"/>
      <c r="DV264" s="17"/>
      <c r="DW264" s="17"/>
      <c r="DX264" s="17"/>
      <c r="DY264" s="17"/>
      <c r="DZ264" s="17"/>
      <c r="EA264" s="17"/>
      <c r="EB264" s="17"/>
      <c r="EC264" s="17"/>
      <c r="ED264" s="17"/>
      <c r="EE264" s="17"/>
      <c r="EF264" s="17"/>
      <c r="EG264" s="17"/>
      <c r="EH264" s="17"/>
      <c r="EI264" s="17"/>
      <c r="EJ264" s="17"/>
      <c r="EK264" s="17"/>
      <c r="EL264" s="17"/>
      <c r="EM264" s="17"/>
      <c r="EN264" s="17"/>
      <c r="EO264" s="17"/>
      <c r="EP264" s="17"/>
      <c r="EQ264" s="17"/>
      <c r="ER264" s="17"/>
      <c r="ES264" s="17"/>
      <c r="ET264" s="17"/>
      <c r="EU264" s="17"/>
      <c r="EV264" s="17"/>
      <c r="EW264" s="17"/>
      <c r="EX264" s="17"/>
      <c r="EY264" s="17"/>
      <c r="EZ264" s="17"/>
      <c r="FA264" s="17"/>
      <c r="FB264" s="17"/>
      <c r="FC264" s="17"/>
      <c r="FD264" s="17"/>
      <c r="FE264" s="17"/>
      <c r="FF264" s="17"/>
      <c r="FG264" s="17"/>
      <c r="FH264" s="17"/>
    </row>
    <row r="265">
      <c r="A265" s="32" t="s">
        <v>47</v>
      </c>
      <c r="B265" s="32" t="s">
        <v>53</v>
      </c>
      <c r="C265" s="32" t="s">
        <v>14</v>
      </c>
      <c r="D265" s="16">
        <f t="shared" si="1"/>
        <v>1428.79</v>
      </c>
      <c r="E265" s="17"/>
      <c r="F265" s="18" t="str">
        <f>HYPERLINK("https://docs.google.com/spreadsheets/d/1AIlFbG1MW9yWJjiDsvJZu-VGY_Wqih11?usp=share_link", "RE-923.377")</f>
        <v>RE-923.377</v>
      </c>
      <c r="G265" s="18" t="str">
        <f>HYPERLINK("https://docs.google.com/spreadsheets/d/1viXBA7zMppvtFqfkrL2XPCYjCK5Eo43A?usp=share_link", "RE-2.98483")</f>
        <v>RE-2.98483</v>
      </c>
      <c r="H265" s="18" t="str">
        <f>HYPERLINK("https://docs.google.com/spreadsheets/d/1J4k7C_O6Hxk268LQos6D2Z0Ai85JAeIn?usp=share_link", "RE-257.827")</f>
        <v>RE-257.827</v>
      </c>
      <c r="I265" s="18" t="str">
        <f>HYPERLINK("https://docs.google.com/spreadsheets/d/1h89XO5SIVupi4OJnrzV95aBpyS8lsMDB?usp=share_link", "RE-0.5668")</f>
        <v>RE-0.5668</v>
      </c>
      <c r="J265" s="18" t="str">
        <f>HYPERLINK("https://docs.google.com/spreadsheets/d/1lQe3-twM16T9jjDa69qBDctH4Nxaktwo?usp=share_link", "RE-667.929")</f>
        <v>RE-667.929</v>
      </c>
      <c r="K265" s="18" t="str">
        <f>HYPERLINK("https://docs.google.com/spreadsheets/d/1NhKxFXoj4O74T5xKKhEpjqY_vNNF8rv2?usp=share_link", "RE-1.69182")</f>
        <v>RE-1.69182</v>
      </c>
      <c r="L265" s="18">
        <f>HYPERLINK("https://docs.google.com/spreadsheets/d/1zuOMKMj4KbzO9iSKMSEPITb4rOOPneFH?usp=share_link", 791.677)</f>
        <v>791.677</v>
      </c>
      <c r="M265" s="18" t="str">
        <f>HYPERLINK("https://docs.google.com/spreadsheets/d/1-3e8jVsynfRlXaOwY4QzzwCFoLHYCBpX?usp=share_link", "RE-11.1144")</f>
        <v>RE-11.1144</v>
      </c>
      <c r="N265" s="18" t="str">
        <f>HYPERLINK("https://docs.google.com/spreadsheets/d/1DNhf5WyfXi66Shaje_DONZFsolhjAHx_?usp=share_link", "RE-66.0506")</f>
        <v>RE-66.0506</v>
      </c>
      <c r="O265" s="18" t="str">
        <f>HYPERLINK("https://docs.google.com/spreadsheets/d/1qiBMepNtJQ7Pkm-cBwbV8xeQW4Y24Jp4?usp=share_link", "RE-3.45663")</f>
        <v>RE-3.45663</v>
      </c>
      <c r="P265" s="18">
        <f>HYPERLINK("https://docs.google.com/spreadsheets/d/1JBVjjGs5BX3TYQK4voQ68Q9WoyIV9AKh?usp=share_link", 282.563)</f>
        <v>282.563</v>
      </c>
      <c r="Q265" s="18" t="str">
        <f>HYPERLINK("https://docs.google.com/spreadsheets/d/1QmF_jyrmTbMfA8BxywOwlJfn5u_JNwXD?usp=share_link", "RE-7.18027")</f>
        <v>RE-7.18027</v>
      </c>
      <c r="R265" s="18">
        <f>HYPERLINK("https://docs.google.com/spreadsheets/d/1NFO68TL5UbqIYnMU8KwvkTOluZf8R9E2?usp=share_link", 112.858)</f>
        <v>112.858</v>
      </c>
      <c r="S265" s="18" t="str">
        <f>HYPERLINK("https://docs.google.com/spreadsheets/d/174yDJ-ISWihxWHHJMjGQO-SrjW3-XyJt?usp=share_link", "RE-5.88633")</f>
        <v>RE-5.88633</v>
      </c>
      <c r="T265" s="18">
        <f>HYPERLINK("https://docs.google.com/spreadsheets/d/1JnaqPC11pWYfxHN8ftkFXfYcr0kV6PJw?usp=share_link", 241.692)</f>
        <v>241.692</v>
      </c>
      <c r="U265" s="18" t="str">
        <f>HYPERLINK("https://docs.google.com/spreadsheets/d/1z7IkzjFZnr_uqlYCVnXMO28RS1zrVrDI?usp=share_link", "RE-6.50587")</f>
        <v>RE-6.50587</v>
      </c>
      <c r="V265" s="18" t="str">
        <f>HYPERLINK("https://docs.google.com/spreadsheets/d/1UaiZLzPnGzTQp8kc9ZrMAR9RzrRXbcoF?usp=share_link", "RE-2.4908")</f>
        <v>RE-2.4908</v>
      </c>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c r="DN265" s="17"/>
      <c r="DO265" s="17"/>
      <c r="DP265" s="17"/>
      <c r="DQ265" s="17"/>
      <c r="DR265" s="17"/>
      <c r="DS265" s="17"/>
      <c r="DT265" s="17"/>
      <c r="DU265" s="17"/>
      <c r="DV265" s="17"/>
      <c r="DW265" s="17"/>
      <c r="DX265" s="17"/>
      <c r="DY265" s="17"/>
      <c r="DZ265" s="17"/>
      <c r="EA265" s="17"/>
      <c r="EB265" s="17"/>
      <c r="EC265" s="17"/>
      <c r="ED265" s="17"/>
      <c r="EE265" s="17"/>
      <c r="EF265" s="17"/>
      <c r="EG265" s="17"/>
      <c r="EH265" s="17"/>
      <c r="EI265" s="17"/>
      <c r="EJ265" s="17"/>
      <c r="EK265" s="17"/>
      <c r="EL265" s="17"/>
      <c r="EM265" s="17"/>
      <c r="EN265" s="17"/>
      <c r="EO265" s="17"/>
      <c r="EP265" s="17"/>
      <c r="EQ265" s="17"/>
      <c r="ER265" s="17"/>
      <c r="ES265" s="17"/>
      <c r="ET265" s="17"/>
      <c r="EU265" s="17"/>
      <c r="EV265" s="17"/>
      <c r="EW265" s="17"/>
      <c r="EX265" s="17"/>
      <c r="EY265" s="17"/>
      <c r="EZ265" s="17"/>
      <c r="FA265" s="17"/>
      <c r="FB265" s="17"/>
      <c r="FC265" s="17"/>
      <c r="FD265" s="17"/>
      <c r="FE265" s="17"/>
      <c r="FF265" s="17"/>
      <c r="FG265" s="17"/>
      <c r="FH265" s="17"/>
    </row>
    <row r="266">
      <c r="A266" s="27" t="s">
        <v>47</v>
      </c>
      <c r="B266" s="27" t="s">
        <v>53</v>
      </c>
      <c r="C266" s="27" t="s">
        <v>15</v>
      </c>
      <c r="D266" s="28">
        <f t="shared" si="1"/>
        <v>1648.643</v>
      </c>
      <c r="E266" s="33"/>
      <c r="F266" s="34" t="str">
        <f>HYPERLINK("https://docs.google.com/spreadsheets/d/1g7YjvSXNqewe45LhbXO9cXIhGCwClHPA?usp=share_link", "RE-1017.73")</f>
        <v>RE-1017.73</v>
      </c>
      <c r="G266" s="34" t="str">
        <f>HYPERLINK("https://docs.google.com/spreadsheets/d/1tO-G2PUcsC24mhTi0rvKx2LDa0Mqy3ai?usp=share_link", "RE-3.24055")</f>
        <v>RE-3.24055</v>
      </c>
      <c r="H266" s="34" t="str">
        <f>HYPERLINK("https://docs.google.com/spreadsheets/d/1XCC9fkUIdrVFAIA85sU9PKaVp8c6H_Q-?usp=share_link", "RE-286.964")</f>
        <v>RE-286.964</v>
      </c>
      <c r="I266" s="34" t="str">
        <f>HYPERLINK("https://docs.google.com/spreadsheets/d/1pTH9_URI17O6gLuzcPZ_R7mJtAi0IHM_?usp=share_link", "RE-0.5668")</f>
        <v>RE-0.5668</v>
      </c>
      <c r="J266" s="34" t="str">
        <f>HYPERLINK("https://docs.google.com/spreadsheets/d/1hQfJcce9AZcqxBT3g4VRc0SRphh0etMJ?usp=share_link", "RE-752.787")</f>
        <v>RE-752.787</v>
      </c>
      <c r="K266" s="34" t="str">
        <f>HYPERLINK("https://docs.google.com/spreadsheets/d/1MzkYfK_6ss6crHnroYFcM2TnhxzMbDeD?usp=share_link", "RE-1.69182")</f>
        <v>RE-1.69182</v>
      </c>
      <c r="L266" s="34">
        <f>HYPERLINK("https://docs.google.com/spreadsheets/d/1eRbG6Tq1QqSdlpesGjwL0YG2xYBxvsJQ?usp=share_link", 907.734)</f>
        <v>907.734</v>
      </c>
      <c r="M266" s="34" t="str">
        <f>HYPERLINK("https://docs.google.com/spreadsheets/d/1Kp6Q1RBOR7F_OCKY2UvQGuevmlQ2H5HU?usp=share_link", "RE-12.57")</f>
        <v>RE-12.57</v>
      </c>
      <c r="N266" s="34" t="str">
        <f>HYPERLINK("https://docs.google.com/spreadsheets/d/1hCHpMb5fLjINNkNmMfqbBLe9r5Krg4VE?usp=share_link", "RE-76.9322")</f>
        <v>RE-76.9322</v>
      </c>
      <c r="O266" s="34" t="str">
        <f>HYPERLINK("https://docs.google.com/spreadsheets/d/1qxahArZPe651C_E8sFSBUg9jQgF111bT?usp=share_link", "RE-4.01347")</f>
        <v>RE-4.01347</v>
      </c>
      <c r="P266" s="34">
        <f>HYPERLINK("https://docs.google.com/spreadsheets/d/1I8o-h_c5yh0rXQJOVKZqTx9qb0ie6w7h?usp=share_link", 328.572)</f>
        <v>328.572</v>
      </c>
      <c r="Q266" s="34" t="str">
        <f>HYPERLINK("https://docs.google.com/spreadsheets/d/1s7dxqieN705OXtXKIrB57u4pQFWhhkcT?usp=share_link", "RE-7.34828")</f>
        <v>RE-7.34828</v>
      </c>
      <c r="R266" s="34">
        <f>HYPERLINK("https://docs.google.com/spreadsheets/d/1DqUp9Oil9x079j-a6WPqfcsW92modkv8?usp=share_link", 135.732)</f>
        <v>135.732</v>
      </c>
      <c r="S266" s="34" t="str">
        <f>HYPERLINK("https://docs.google.com/spreadsheets/d/1M6-VPmfOgw4cK58LJ9NvhLpOXnvR9myo?usp=share_link", "RE-7.83298")</f>
        <v>RE-7.83298</v>
      </c>
      <c r="T266" s="34">
        <f>HYPERLINK("https://docs.google.com/spreadsheets/d/12HzLG5AUAEvpG8BzHYGqUddibXFiprem?usp=share_link", 276.605)</f>
        <v>276.605</v>
      </c>
      <c r="U266" s="34" t="str">
        <f>HYPERLINK("https://docs.google.com/spreadsheets/d/1hIpO1Ohk9MZL5wDaoVe0uhBaknLnkvtO?usp=share_link", "RE-7.62333")</f>
        <v>RE-7.62333</v>
      </c>
      <c r="V266" s="34" t="str">
        <f>HYPERLINK("https://docs.google.com/spreadsheets/d/16r87abUjaXSz_kT4HQRjUwQMS367cHyi?usp=share_link", "RE-3.70342")</f>
        <v>RE-3.70342</v>
      </c>
      <c r="W266" s="33"/>
      <c r="X266" s="33"/>
      <c r="Y266" s="33"/>
      <c r="Z266" s="33"/>
      <c r="AA266" s="33"/>
      <c r="AB266" s="3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33"/>
      <c r="BX266" s="33"/>
      <c r="BY266" s="33"/>
      <c r="BZ266" s="33"/>
      <c r="CA266" s="33"/>
      <c r="CB266" s="33"/>
      <c r="CC266" s="33"/>
      <c r="CD266" s="33"/>
      <c r="CE266" s="33"/>
      <c r="CF266" s="33"/>
      <c r="CG266" s="33"/>
      <c r="CH266" s="33"/>
      <c r="CI266" s="33"/>
      <c r="CJ266" s="33"/>
      <c r="CK266" s="33"/>
      <c r="CL266" s="33"/>
      <c r="CM266" s="33"/>
      <c r="CN266" s="33"/>
      <c r="CO266" s="33"/>
      <c r="CP266" s="33"/>
      <c r="CQ266" s="33"/>
      <c r="CR266" s="33"/>
      <c r="CS266" s="33"/>
      <c r="CT266" s="33"/>
      <c r="CU266" s="33"/>
      <c r="CV266" s="33"/>
      <c r="CW266" s="33"/>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c r="EB266" s="33"/>
      <c r="EC266" s="33"/>
      <c r="ED266" s="33"/>
      <c r="EE266" s="33"/>
      <c r="EF266" s="33"/>
      <c r="EG266" s="33"/>
      <c r="EH266" s="33"/>
      <c r="EI266" s="33"/>
      <c r="EJ266" s="33"/>
      <c r="EK266" s="33"/>
      <c r="EL266" s="33"/>
      <c r="EM266" s="33"/>
      <c r="EN266" s="33"/>
      <c r="EO266" s="33"/>
      <c r="EP266" s="33"/>
      <c r="EQ266" s="33"/>
      <c r="ER266" s="33"/>
      <c r="ES266" s="33"/>
      <c r="ET266" s="33"/>
      <c r="EU266" s="33"/>
      <c r="EV266" s="33"/>
      <c r="EW266" s="33"/>
      <c r="EX266" s="33"/>
      <c r="EY266" s="33"/>
      <c r="EZ266" s="33"/>
      <c r="FA266" s="33"/>
      <c r="FB266" s="33"/>
      <c r="FC266" s="33"/>
      <c r="FD266" s="33"/>
      <c r="FE266" s="33"/>
      <c r="FF266" s="33"/>
      <c r="FG266" s="33"/>
      <c r="FH266" s="33"/>
    </row>
    <row r="267">
      <c r="A267" s="30" t="s">
        <v>54</v>
      </c>
      <c r="B267" s="30" t="s">
        <v>55</v>
      </c>
      <c r="C267" s="31" t="str">
        <f>HYPERLINK("https://docs.google.com/spreadsheets/d/1FX_eOsB2buJgfOR8cwHv-UgbJ4pAwP0W/edit?usp=share_link&amp;ouid=106501987799020758802&amp;rtpof=true&amp;sd=true", "Raw Delivered")</f>
        <v>Raw Delivered</v>
      </c>
      <c r="D267" s="12">
        <f t="shared" si="1"/>
        <v>4875.231018</v>
      </c>
      <c r="E267" s="13"/>
      <c r="F267" s="14">
        <f>HYPERLINK("https://docs.google.com/spreadsheets/d/1mxYpcN2eLwS3f8UBqBg_znLs9s8bL0n8", 929.604007291668)</f>
        <v>929.6040073</v>
      </c>
      <c r="G267" s="13"/>
      <c r="H267" s="14">
        <f>HYPERLINK("https://docs.google.com/spreadsheets/d/1QO0j9vajWA2DhgVao5L6iPMysaolioPD", 94.7366020833332)</f>
        <v>94.73660208</v>
      </c>
      <c r="I267" s="13"/>
      <c r="J267" s="14">
        <f>HYPERLINK("https://docs.google.com/spreadsheets/d/1PNFjjqjIGt_EzCY2OUqRHj5Eqe7NidBa", 787.280628124999)</f>
        <v>787.2806281</v>
      </c>
      <c r="K267" s="13"/>
      <c r="L267" s="14">
        <f t="shared" ref="L267:L268" si="134">HYPERLINK("https://docs.google.com/spreadsheets/d/1bz_cDRtibKqZtcyrwaaug8cByYQKHTkL", 996.934224999999)</f>
        <v>996.934225</v>
      </c>
      <c r="M267" s="13"/>
      <c r="N267" s="14">
        <f>HYPERLINK("https://docs.google.com/spreadsheets/d/1lbEEGLSy6edkP_rhFkzdMypeTmIoIWmt", 1596.97138854166)</f>
        <v>1596.971389</v>
      </c>
      <c r="O267" s="13"/>
      <c r="P267" s="14">
        <f t="shared" ref="P267:P268" si="135">HYPERLINK("https://docs.google.com/spreadsheets/d/1huPHDVxRz_Wvw5jbU-6SherZEhZbYbXW", 252.948478125)</f>
        <v>252.9484781</v>
      </c>
      <c r="Q267" s="13"/>
      <c r="R267" s="14">
        <f t="shared" ref="R267:R268" si="136">HYPERLINK("https://docs.google.com/spreadsheets/d/1PwUbDcYNyfdWFzWaPF3iAajZG-C4Q4f_", 41.423)</f>
        <v>41.423</v>
      </c>
      <c r="S267" s="13"/>
      <c r="T267" s="14">
        <f t="shared" ref="T267:T268" si="137">HYPERLINK("https://docs.google.com/spreadsheets/d/155rzT5UUJrYNwB-4hWSUSqFujIEQSFr5", 175.332688541666)</f>
        <v>175.3326885</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row>
    <row r="268">
      <c r="A268" s="32" t="s">
        <v>54</v>
      </c>
      <c r="B268" s="32" t="s">
        <v>55</v>
      </c>
      <c r="C268" s="32" t="s">
        <v>9</v>
      </c>
      <c r="D268" s="16">
        <f t="shared" si="1"/>
        <v>1466.638392</v>
      </c>
      <c r="E268" s="17"/>
      <c r="F268" s="18" t="str">
        <f>HYPERLINK("https://docs.google.com/spreadsheets/d/1mxYpcN2eLwS3f8UBqBg_znLs9s8bL0n8", "RE-929.6040072916688")</f>
        <v>RE-929.6040072916688</v>
      </c>
      <c r="G268" s="17"/>
      <c r="H268" s="18" t="str">
        <f>HYPERLINK("https://docs.google.com/spreadsheets/d/1QO0j9vajWA2DhgVao5L6iPMysaolioPD", "RE-94.73660208333328")</f>
        <v>RE-94.73660208333328</v>
      </c>
      <c r="I268" s="17"/>
      <c r="J268" s="18" t="str">
        <f>HYPERLINK("https://docs.google.com/spreadsheets/d/1PNFjjqjIGt_EzCY2OUqRHj5Eqe7NidBa", "RE-787.2806281249993")</f>
        <v>RE-787.2806281249993</v>
      </c>
      <c r="K268" s="17"/>
      <c r="L268" s="18">
        <f t="shared" si="134"/>
        <v>996.934225</v>
      </c>
      <c r="M268" s="17"/>
      <c r="N268" s="18" t="str">
        <f>HYPERLINK("https://docs.google.com/spreadsheets/d/1lbEEGLSy6edkP_rhFkzdMypeTmIoIWmt", "RE-1596.9713885416627")</f>
        <v>RE-1596.9713885416627</v>
      </c>
      <c r="O268" s="17"/>
      <c r="P268" s="18">
        <f t="shared" si="135"/>
        <v>252.9484781</v>
      </c>
      <c r="Q268" s="17"/>
      <c r="R268" s="18">
        <f t="shared" si="136"/>
        <v>41.423</v>
      </c>
      <c r="S268" s="17"/>
      <c r="T268" s="18">
        <f t="shared" si="137"/>
        <v>175.3326885</v>
      </c>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c r="DN268" s="17"/>
      <c r="DO268" s="17"/>
      <c r="DP268" s="17"/>
      <c r="DQ268" s="17"/>
      <c r="DR268" s="17"/>
      <c r="DS268" s="17"/>
      <c r="DT268" s="17"/>
      <c r="DU268" s="17"/>
      <c r="DV268" s="17"/>
      <c r="DW268" s="17"/>
      <c r="DX268" s="17"/>
      <c r="DY268" s="17"/>
      <c r="DZ268" s="17"/>
      <c r="EA268" s="17"/>
      <c r="EB268" s="17"/>
      <c r="EC268" s="17"/>
      <c r="ED268" s="17"/>
      <c r="EE268" s="17"/>
      <c r="EF268" s="17"/>
      <c r="EG268" s="17"/>
      <c r="EH268" s="17"/>
      <c r="EI268" s="17"/>
      <c r="EJ268" s="17"/>
      <c r="EK268" s="17"/>
      <c r="EL268" s="17"/>
      <c r="EM268" s="17"/>
      <c r="EN268" s="17"/>
      <c r="EO268" s="17"/>
      <c r="EP268" s="17"/>
      <c r="EQ268" s="17"/>
      <c r="ER268" s="17"/>
      <c r="ES268" s="17"/>
      <c r="ET268" s="17"/>
      <c r="EU268" s="17"/>
      <c r="EV268" s="17"/>
      <c r="EW268" s="17"/>
      <c r="EX268" s="17"/>
      <c r="EY268" s="17"/>
      <c r="EZ268" s="17"/>
      <c r="FA268" s="17"/>
      <c r="FB268" s="17"/>
      <c r="FC268" s="17"/>
      <c r="FD268" s="17"/>
      <c r="FE268" s="17"/>
      <c r="FF268" s="17"/>
      <c r="FG268" s="17"/>
      <c r="FH268" s="17"/>
    </row>
    <row r="269">
      <c r="A269" s="32" t="s">
        <v>54</v>
      </c>
      <c r="B269" s="32" t="s">
        <v>55</v>
      </c>
      <c r="C269" s="32" t="s">
        <v>10</v>
      </c>
      <c r="D269" s="16">
        <f t="shared" si="1"/>
        <v>482.3692531</v>
      </c>
      <c r="E269" s="17"/>
      <c r="F269" s="17"/>
      <c r="G269" s="18">
        <f>HYPERLINK("https://docs.google.com/spreadsheets/d/18nc158-dlOABEzUYm9gj4tIbZxR0npfy", 75.6018333333333)</f>
        <v>75.60183333</v>
      </c>
      <c r="H269" s="17"/>
      <c r="I269" s="18">
        <f>HYPERLINK("https://docs.google.com/spreadsheets/d/1jaCjEN0seRPNYjcbRnn0C6wk4xv5gK9j", 14.4398958333333)</f>
        <v>14.43989583</v>
      </c>
      <c r="J269" s="17"/>
      <c r="K269" s="18">
        <f>HYPERLINK("https://docs.google.com/spreadsheets/d/1bAH20tnLWUiPOULgeUJgequ7oKskdvru", 49.0332083333333)</f>
        <v>49.03320833</v>
      </c>
      <c r="L269" s="17"/>
      <c r="M269" s="18">
        <f>HYPERLINK("https://docs.google.com/spreadsheets/d/1v0IDQXOHiU6Eoxusr-yo5IPw_IG4cz4z", 42.6503645833333)</f>
        <v>42.65036458</v>
      </c>
      <c r="N269" s="17"/>
      <c r="O269" s="18">
        <f>HYPERLINK("https://docs.google.com/spreadsheets/d/18H9Bk0RNSJ7-tmf4o7DkAPyTjL4HsrXD", 185.023365625)</f>
        <v>185.0233656</v>
      </c>
      <c r="P269" s="17"/>
      <c r="Q269" s="18">
        <f>HYPERLINK("https://docs.google.com/spreadsheets/d/1F6euyIX0XBsWtIf8NBj_O6WhIaXvfCPw", 80.9958677083333)</f>
        <v>80.99586771</v>
      </c>
      <c r="R269" s="17"/>
      <c r="S269" s="18">
        <f>HYPERLINK("https://docs.google.com/spreadsheets/d/14nab4HOkSpQEf-p9Q9D7sWpDV9Cw2XJR", 13.4400427083333)</f>
        <v>13.44004271</v>
      </c>
      <c r="T269" s="17"/>
      <c r="U269" s="18">
        <f>HYPERLINK("https://docs.google.com/spreadsheets/d/117MdNC9FUFbRAROhPC4oxMBvwNh3WzBR", 13.6547729166666)</f>
        <v>13.65477292</v>
      </c>
      <c r="V269" s="18">
        <f>HYPERLINK("https://docs.google.com/spreadsheets/d/1jjs3407qNcuS0crLbvu4WNS-nWvLr4vH", 7.52990208333333)</f>
        <v>7.529902083</v>
      </c>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c r="DN269" s="17"/>
      <c r="DO269" s="17"/>
      <c r="DP269" s="17"/>
      <c r="DQ269" s="17"/>
      <c r="DR269" s="17"/>
      <c r="DS269" s="17"/>
      <c r="DT269" s="17"/>
      <c r="DU269" s="17"/>
      <c r="DV269" s="17"/>
      <c r="DW269" s="17"/>
      <c r="DX269" s="17"/>
      <c r="DY269" s="17"/>
      <c r="DZ269" s="17"/>
      <c r="EA269" s="17"/>
      <c r="EB269" s="17"/>
      <c r="EC269" s="17"/>
      <c r="ED269" s="17"/>
      <c r="EE269" s="17"/>
      <c r="EF269" s="17"/>
      <c r="EG269" s="17"/>
      <c r="EH269" s="17"/>
      <c r="EI269" s="17"/>
      <c r="EJ269" s="17"/>
      <c r="EK269" s="17"/>
      <c r="EL269" s="17"/>
      <c r="EM269" s="17"/>
      <c r="EN269" s="17"/>
      <c r="EO269" s="17"/>
      <c r="EP269" s="17"/>
      <c r="EQ269" s="17"/>
      <c r="ER269" s="17"/>
      <c r="ES269" s="17"/>
      <c r="ET269" s="17"/>
      <c r="EU269" s="17"/>
      <c r="EV269" s="17"/>
      <c r="EW269" s="17"/>
      <c r="EX269" s="17"/>
      <c r="EY269" s="17"/>
      <c r="EZ269" s="17"/>
      <c r="FA269" s="17"/>
      <c r="FB269" s="17"/>
      <c r="FC269" s="17"/>
      <c r="FD269" s="17"/>
      <c r="FE269" s="17"/>
      <c r="FF269" s="17"/>
      <c r="FG269" s="17"/>
      <c r="FH269" s="17"/>
    </row>
    <row r="270">
      <c r="A270" s="32" t="s">
        <v>54</v>
      </c>
      <c r="B270" s="32" t="s">
        <v>55</v>
      </c>
      <c r="C270" s="32" t="s">
        <v>11</v>
      </c>
      <c r="D270" s="16">
        <f t="shared" si="1"/>
        <v>0</v>
      </c>
      <c r="E270" s="17"/>
      <c r="F270" s="17"/>
      <c r="G270" s="18" t="str">
        <f>HYPERLINK("https://docs.google.com/spreadsheets/d/18nc158-dlOABEzUYm9gj4tIbZxR0npfy", "RE-75.6018333333333")</f>
        <v>RE-75.6018333333333</v>
      </c>
      <c r="H270" s="17"/>
      <c r="I270" s="18" t="str">
        <f>HYPERLINK("https://docs.google.com/spreadsheets/d/1jaCjEN0seRPNYjcbRnn0C6wk4xv5gK9j", "RE-14.439895833333331")</f>
        <v>RE-14.439895833333331</v>
      </c>
      <c r="J270" s="17"/>
      <c r="K270" s="18" t="str">
        <f>HYPERLINK("https://docs.google.com/spreadsheets/d/1bAH20tnLWUiPOULgeUJgequ7oKskdvru", "RE-49.03320833333332")</f>
        <v>RE-49.03320833333332</v>
      </c>
      <c r="L270" s="17"/>
      <c r="M270" s="18" t="str">
        <f>HYPERLINK("https://docs.google.com/spreadsheets/d/1v0IDQXOHiU6Eoxusr-yo5IPw_IG4cz4z", "RE-42.650364583333335")</f>
        <v>RE-42.650364583333335</v>
      </c>
      <c r="N270" s="17"/>
      <c r="O270" s="18" t="str">
        <f>HYPERLINK("https://docs.google.com/spreadsheets/d/18H9Bk0RNSJ7-tmf4o7DkAPyTjL4HsrXD", "RE-185.0233656250001")</f>
        <v>RE-185.0233656250001</v>
      </c>
      <c r="P270" s="17"/>
      <c r="Q270" s="18" t="str">
        <f>HYPERLINK("https://docs.google.com/spreadsheets/d/1F6euyIX0XBsWtIf8NBj_O6WhIaXvfCPw", "RE-80.99586770833331")</f>
        <v>RE-80.99586770833331</v>
      </c>
      <c r="R270" s="17"/>
      <c r="S270" s="18" t="str">
        <f>HYPERLINK("https://docs.google.com/spreadsheets/d/14nab4HOkSpQEf-p9Q9D7sWpDV9Cw2XJR", "RE-13.440042708333335")</f>
        <v>RE-13.440042708333335</v>
      </c>
      <c r="T270" s="17"/>
      <c r="U270" s="18" t="str">
        <f>HYPERLINK("https://docs.google.com/spreadsheets/d/117MdNC9FUFbRAROhPC4oxMBvwNh3WzBR", "RE-13.654772916666667")</f>
        <v>RE-13.654772916666667</v>
      </c>
      <c r="V270" s="18" t="str">
        <f>HYPERLINK("https://docs.google.com/spreadsheets/d/1jjs3407qNcuS0crLbvu4WNS-nWvLr4vH", "RE-7.529902083333334")</f>
        <v>RE-7.529902083333334</v>
      </c>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c r="EJ270" s="17"/>
      <c r="EK270" s="17"/>
      <c r="EL270" s="17"/>
      <c r="EM270" s="17"/>
      <c r="EN270" s="17"/>
      <c r="EO270" s="17"/>
      <c r="EP270" s="17"/>
      <c r="EQ270" s="17"/>
      <c r="ER270" s="17"/>
      <c r="ES270" s="17"/>
      <c r="ET270" s="17"/>
      <c r="EU270" s="17"/>
      <c r="EV270" s="17"/>
      <c r="EW270" s="17"/>
      <c r="EX270" s="17"/>
      <c r="EY270" s="17"/>
      <c r="EZ270" s="17"/>
      <c r="FA270" s="17"/>
      <c r="FB270" s="17"/>
      <c r="FC270" s="17"/>
      <c r="FD270" s="17"/>
      <c r="FE270" s="17"/>
      <c r="FF270" s="17"/>
      <c r="FG270" s="17"/>
      <c r="FH270" s="17"/>
    </row>
    <row r="271">
      <c r="A271" s="32" t="s">
        <v>54</v>
      </c>
      <c r="B271" s="32" t="s">
        <v>55</v>
      </c>
      <c r="C271" s="32" t="s">
        <v>12</v>
      </c>
      <c r="D271" s="16">
        <f t="shared" si="1"/>
        <v>1328.291729</v>
      </c>
      <c r="E271" s="17"/>
      <c r="F271" s="18" t="str">
        <f>HYPERLINK("https://docs.google.com/spreadsheets/d/11THnprV-9C0nXS4I-u3zwscsqYNKCjfX", "RE-735.1623302083349")</f>
        <v>RE-735.1623302083349</v>
      </c>
      <c r="G271" s="18" t="str">
        <f>HYPERLINK("https://docs.google.com/spreadsheets/d/1nNqly2SBRm28nEWf3SXJkPJkJauak7UX", "RE-3.9822812499999998")</f>
        <v>RE-3.9822812499999998</v>
      </c>
      <c r="H271" s="18" t="str">
        <f>HYPERLINK("https://docs.google.com/spreadsheets/d/1_csz9Dk-3BbZqbukyMFivSNHMg4JLxdr", "RE-81.8265041666666")</f>
        <v>RE-81.8265041666666</v>
      </c>
      <c r="I271" s="18" t="str">
        <f>HYPERLINK("https://docs.google.com/spreadsheets/d/1y54ZuByYq_MAYaJBS9HyMuTJgzBYj0PT", "RE-0.28049375")</f>
        <v>RE-0.28049375</v>
      </c>
      <c r="J271" s="18" t="str">
        <f>HYPERLINK("https://docs.google.com/spreadsheets/d/1qYiEu-Sjt0DGsRxQjiMUJ8tfodR6vr_N", "RE-612.621448958332")</f>
        <v>RE-612.621448958332</v>
      </c>
      <c r="K271" s="18" t="str">
        <f>HYPERLINK("https://docs.google.com/spreadsheets/d/1CZyIxuO60g3yVoj0YWS5xYZzjrrYuvUB", "RE-5.530893750000001")</f>
        <v>RE-5.530893750000001</v>
      </c>
      <c r="L271" s="18">
        <f>HYPERLINK("https://docs.google.com/spreadsheets/d/1Y_ROEacLV-2H_oqJkUKmmJTUBFtQ01HN", 919.656444791665)</f>
        <v>919.6564448</v>
      </c>
      <c r="M271" s="18" t="str">
        <f>HYPERLINK("https://docs.google.com/spreadsheets/d/15XWMVGO5OfE_m1P0C7YBfgmO4hkPyybC", "RE-7.508195833333333")</f>
        <v>RE-7.508195833333333</v>
      </c>
      <c r="N271" s="18" t="str">
        <f>HYPERLINK("https://docs.google.com/spreadsheets/d/1B9mwuGZMhy55TZZidBE-QDpsMnDTa0Br", "RE-1108.9999812499982")</f>
        <v>RE-1108.9999812499982</v>
      </c>
      <c r="O271" s="18" t="str">
        <f>HYPERLINK("https://docs.google.com/spreadsheets/d/19ZdGFBzZsPoND-grTJ1dGJ_fGGaienyj", "RE-13.622381250000002")</f>
        <v>RE-13.622381250000002</v>
      </c>
      <c r="P271" s="18">
        <f>HYPERLINK("https://docs.google.com/spreadsheets/d/1kHqjnPsr4Yt_Ab5Lv-BF_fT28ClmYn9O", 221.576845833333)</f>
        <v>221.5768458</v>
      </c>
      <c r="Q271" s="18" t="str">
        <f>HYPERLINK("https://docs.google.com/spreadsheets/d/1h2XfK_dq-_SqUQrSqv8nqI4luhvVXQr1", "RE-34.86988958333334")</f>
        <v>RE-34.86988958333334</v>
      </c>
      <c r="R271" s="18">
        <f>HYPERLINK("https://docs.google.com/spreadsheets/d/1frMSRD4ynZV5KBAaj5uwRu4GNtZfhIhV", 32.4043583333333)</f>
        <v>32.40435833</v>
      </c>
      <c r="S271" s="18" t="str">
        <f>HYPERLINK("https://docs.google.com/spreadsheets/d/1b9xWmgy57Lq-2kVkOc5uo7kGQanwLWF5", "RE-4.9291625")</f>
        <v>RE-4.9291625</v>
      </c>
      <c r="T271" s="18">
        <f>HYPERLINK("https://docs.google.com/spreadsheets/d/11KdKAY6KuVIQaW07T6Nh9uYEgyjcSewb", 154.654080208333)</f>
        <v>154.6540802</v>
      </c>
      <c r="U271" s="18" t="str">
        <f>HYPERLINK("https://docs.google.com/spreadsheets/d/1PJ_Me--8CGaImg2yLbis1b-M1m3Z6Emc", "RE-9.220354166666665")</f>
        <v>RE-9.220354166666665</v>
      </c>
      <c r="V271" s="18" t="str">
        <f>HYPERLINK("https://docs.google.com/spreadsheets/d/1YkLideEhoW3mz8sTDzOaMKDk0Dg16vB4", "RE-4.337231249999999")</f>
        <v>RE-4.337231249999999</v>
      </c>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c r="DN271" s="17"/>
      <c r="DO271" s="17"/>
      <c r="DP271" s="17"/>
      <c r="DQ271" s="17"/>
      <c r="DR271" s="17"/>
      <c r="DS271" s="17"/>
      <c r="DT271" s="17"/>
      <c r="DU271" s="17"/>
      <c r="DV271" s="17"/>
      <c r="DW271" s="17"/>
      <c r="DX271" s="17"/>
      <c r="DY271" s="17"/>
      <c r="DZ271" s="17"/>
      <c r="EA271" s="17"/>
      <c r="EB271" s="17"/>
      <c r="EC271" s="17"/>
      <c r="ED271" s="17"/>
      <c r="EE271" s="17"/>
      <c r="EF271" s="17"/>
      <c r="EG271" s="17"/>
      <c r="EH271" s="17"/>
      <c r="EI271" s="17"/>
      <c r="EJ271" s="17"/>
      <c r="EK271" s="17"/>
      <c r="EL271" s="17"/>
      <c r="EM271" s="17"/>
      <c r="EN271" s="17"/>
      <c r="EO271" s="17"/>
      <c r="EP271" s="17"/>
      <c r="EQ271" s="17"/>
      <c r="ER271" s="17"/>
      <c r="ES271" s="17"/>
      <c r="ET271" s="17"/>
      <c r="EU271" s="17"/>
      <c r="EV271" s="17"/>
      <c r="EW271" s="17"/>
      <c r="EX271" s="17"/>
      <c r="EY271" s="17"/>
      <c r="EZ271" s="17"/>
      <c r="FA271" s="17"/>
      <c r="FB271" s="17"/>
      <c r="FC271" s="17"/>
      <c r="FD271" s="17"/>
      <c r="FE271" s="17"/>
      <c r="FF271" s="17"/>
      <c r="FG271" s="17"/>
      <c r="FH271" s="17"/>
    </row>
    <row r="272">
      <c r="A272" s="32" t="s">
        <v>54</v>
      </c>
      <c r="B272" s="32" t="s">
        <v>55</v>
      </c>
      <c r="C272" s="32" t="s">
        <v>13</v>
      </c>
      <c r="D272" s="16">
        <f t="shared" si="1"/>
        <v>1273.624</v>
      </c>
      <c r="E272" s="17"/>
      <c r="F272" s="18" t="str">
        <f>HYPERLINK("https://docs.google.com/spreadsheets/d/1MQ3grOJXLfRjJylJoPh4_BVGNlgyfgVA?usp=share_link", "RE-723.827")</f>
        <v>RE-723.827</v>
      </c>
      <c r="G272" s="18" t="str">
        <f>HYPERLINK("https://docs.google.com/spreadsheets/d/17HnoBGs4LNELY-aJcB_hegxAJpa4LBqe?usp=share_link", "RE-3.87135")</f>
        <v>RE-3.87135</v>
      </c>
      <c r="H272" s="18" t="str">
        <f>HYPERLINK("https://docs.google.com/spreadsheets/d/1t70z373zn2irQ0bg1X2X1xbwzSaGg343?usp=share_link", "RE-80.9774")</f>
        <v>RE-80.9774</v>
      </c>
      <c r="I272" s="18" t="str">
        <f>HYPERLINK("https://docs.google.com/spreadsheets/d/1wM5kPr4RMlsElCDN8e_ML5KDCI_1PY0V?usp=share_link", "RE-0.278883")</f>
        <v>RE-0.278883</v>
      </c>
      <c r="J272" s="18" t="str">
        <f>HYPERLINK("https://docs.google.com/spreadsheets/d/1sAbAfN3hLUOnRJM3Xar9k3ZazDdUz4Ws?usp=share_link", "RE-597.336")</f>
        <v>RE-597.336</v>
      </c>
      <c r="K272" s="18" t="str">
        <f>HYPERLINK("https://docs.google.com/spreadsheets/d/1hbfv-QhldLPfi1fUbaCuLlk31sm643VM?usp=share_link", "RE-5.41272")</f>
        <v>RE-5.41272</v>
      </c>
      <c r="L272" s="18">
        <f>HYPERLINK("https://docs.google.com/spreadsheets/d/17h4EL9TPo-yJJWp96QOU6dH9foDP3ya-?usp=share_link", 883.252)</f>
        <v>883.252</v>
      </c>
      <c r="M272" s="18" t="str">
        <f>HYPERLINK("https://docs.google.com/spreadsheets/d/1yhXGWQ8JVyvcW_GQkVNMiVd2rMwZ9XDO?usp=share_link", "RE-7.12275")</f>
        <v>RE-7.12275</v>
      </c>
      <c r="N272" s="18" t="str">
        <f>HYPERLINK("https://docs.google.com/spreadsheets/d/1Eqs3BL_1m73rh2u81MsRzIRIRiu_uQfB?usp=share_link", "RE-1063.02")</f>
        <v>RE-1063.02</v>
      </c>
      <c r="O272" s="18" t="str">
        <f>HYPERLINK("https://docs.google.com/spreadsheets/d/1HAoxQlI1UG6ZvD6qIMUiVCBvL9mSB66Q?usp=share_link", "RE-12.9044")</f>
        <v>RE-12.9044</v>
      </c>
      <c r="P272" s="18">
        <f>HYPERLINK("https://docs.google.com/spreadsheets/d/1YlZrbDYsZ9ZdHjnRT7zmVtgiEOn28Q4_?usp=share_link", 210.547)</f>
        <v>210.547</v>
      </c>
      <c r="Q272" s="18" t="str">
        <f>HYPERLINK("https://docs.google.com/spreadsheets/d/1eVXTaW66R861-yWiSLslkwpYXYZ3mao9?usp=share_link", "RE-33.5626")</f>
        <v>RE-33.5626</v>
      </c>
      <c r="R272" s="18">
        <f>HYPERLINK("https://docs.google.com/spreadsheets/d/19VnJe2Np1OhdsiM8uEC2JgctK2PHsmVN?usp=share_link", 31.244)</f>
        <v>31.244</v>
      </c>
      <c r="S272" s="18" t="str">
        <f>HYPERLINK("https://docs.google.com/spreadsheets/d/1F-AqT7wHzSR9HoDgwSKTk5GOYmcdlSC8?usp=share_link", "RE-4.62733")</f>
        <v>RE-4.62733</v>
      </c>
      <c r="T272" s="18">
        <f>HYPERLINK("https://docs.google.com/spreadsheets/d/1xKrsIrsE90B4p3128RL7iqctPz0J5Kbb?usp=share_link", 148.581)</f>
        <v>148.581</v>
      </c>
      <c r="U272" s="18" t="str">
        <f>HYPERLINK("https://docs.google.com/spreadsheets/d/1_s6FMdX4tDSC6qBtGIPacSPO0PXj19w6?usp=share_link", "RE-8.77878")</f>
        <v>RE-8.77878</v>
      </c>
      <c r="V272" s="18" t="str">
        <f>HYPERLINK("https://docs.google.com/spreadsheets/d/1MSuzMhgYnXXd8rS6h90qcSEQ42C9j5q8?usp=share_link", "RE-4.13042")</f>
        <v>RE-4.13042</v>
      </c>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O272" s="17"/>
      <c r="DP272" s="17"/>
      <c r="DQ272" s="17"/>
      <c r="DR272" s="17"/>
      <c r="DS272" s="17"/>
      <c r="DT272" s="17"/>
      <c r="DU272" s="17"/>
      <c r="DV272" s="17"/>
      <c r="DW272" s="17"/>
      <c r="DX272" s="17"/>
      <c r="DY272" s="17"/>
      <c r="DZ272" s="17"/>
      <c r="EA272" s="17"/>
      <c r="EB272" s="17"/>
      <c r="EC272" s="17"/>
      <c r="ED272" s="17"/>
      <c r="EE272" s="17"/>
      <c r="EF272" s="17"/>
      <c r="EG272" s="17"/>
      <c r="EH272" s="17"/>
      <c r="EI272" s="17"/>
      <c r="EJ272" s="17"/>
      <c r="EK272" s="17"/>
      <c r="EL272" s="17"/>
      <c r="EM272" s="17"/>
      <c r="EN272" s="17"/>
      <c r="EO272" s="17"/>
      <c r="EP272" s="17"/>
      <c r="EQ272" s="17"/>
      <c r="ER272" s="17"/>
      <c r="ES272" s="17"/>
      <c r="ET272" s="17"/>
      <c r="EU272" s="17"/>
      <c r="EV272" s="17"/>
      <c r="EW272" s="17"/>
      <c r="EX272" s="17"/>
      <c r="EY272" s="17"/>
      <c r="EZ272" s="17"/>
      <c r="FA272" s="17"/>
      <c r="FB272" s="17"/>
      <c r="FC272" s="17"/>
      <c r="FD272" s="17"/>
      <c r="FE272" s="17"/>
      <c r="FF272" s="17"/>
      <c r="FG272" s="17"/>
      <c r="FH272" s="17"/>
    </row>
    <row r="273">
      <c r="A273" s="32" t="s">
        <v>54</v>
      </c>
      <c r="B273" s="32" t="s">
        <v>55</v>
      </c>
      <c r="C273" s="32" t="s">
        <v>14</v>
      </c>
      <c r="D273" s="16">
        <f t="shared" si="1"/>
        <v>1100.8763</v>
      </c>
      <c r="E273" s="17"/>
      <c r="F273" s="18" t="str">
        <f>HYPERLINK("https://docs.google.com/spreadsheets/d/1qoYPKDLxz4OdIZK3T0Y2MgDehp4tSRzW?usp=share_link", "RE-643.063")</f>
        <v>RE-643.063</v>
      </c>
      <c r="G273" s="18" t="str">
        <f>HYPERLINK("https://docs.google.com/spreadsheets/d/1rkCiuyzUxUTvO9HX3jNrmzelSjMxgNqw?usp=share_link", "RE-3.75617")</f>
        <v>RE-3.75617</v>
      </c>
      <c r="H273" s="18" t="str">
        <f>HYPERLINK("https://docs.google.com/spreadsheets/d/15Sqb2OmIui3FYfnbBKAWS9b1Dfkx5GCR?usp=share_link", "RE-74.7093")</f>
        <v>RE-74.7093</v>
      </c>
      <c r="I273" s="18" t="str">
        <f>HYPERLINK("https://docs.google.com/spreadsheets/d/1FLBmKIV6CmCGQg9BIAVnBi2ndIypUigZ?usp=share_link", "RE-0.278883")</f>
        <v>RE-0.278883</v>
      </c>
      <c r="J273" s="18" t="str">
        <f>HYPERLINK("https://docs.google.com/spreadsheets/d/1WcaxUz5hMD9NsR_CWCQZGhFs0YvYFW5A?usp=share_link", "RE-554.923")</f>
        <v>RE-554.923</v>
      </c>
      <c r="K273" s="18" t="str">
        <f>HYPERLINK("https://docs.google.com/spreadsheets/d/1LXvxM3OMtrU6_O42pc2wLYA0nTREyGJR?usp=share_link", "RE-4.97597")</f>
        <v>RE-4.97597</v>
      </c>
      <c r="L273" s="18">
        <f>HYPERLINK("https://docs.google.com/spreadsheets/d/1E8b3zN0v_XX0e3ZSO2zlNR8Dqx6uVXmi?usp=share_link", 773.235)</f>
        <v>773.235</v>
      </c>
      <c r="M273" s="18" t="str">
        <f>HYPERLINK("https://docs.google.com/spreadsheets/d/1pqONsrs45A_ZohDF4L7gf6yPaY64Tbt8?usp=share_link", "RE-6.82793")</f>
        <v>RE-6.82793</v>
      </c>
      <c r="N273" s="18" t="str">
        <f>HYPERLINK("https://docs.google.com/spreadsheets/d/1KWAL8J6XqskravaKPl9EN8HA0Kw3iWLJ?usp=share_link", "RE-933.785")</f>
        <v>RE-933.785</v>
      </c>
      <c r="O273" s="18" t="str">
        <f>HYPERLINK("https://docs.google.com/spreadsheets/d/1h7DhF5ttXEBS4gadCqqsK9vbHKQyf7pj?usp=share_link", "RE-11.0015")</f>
        <v>RE-11.0015</v>
      </c>
      <c r="P273" s="18">
        <f>HYPERLINK("https://docs.google.com/spreadsheets/d/1Csr9JmZgYqR1aARVs5i-ZLipqEqpidZN?usp=share_link", 179.966)</f>
        <v>179.966</v>
      </c>
      <c r="Q273" s="18" t="str">
        <f>HYPERLINK("https://docs.google.com/spreadsheets/d/1yWJ-8V6A-pkxV4_-HYF5qsHyigs8L1Cn?usp=share_link", "RE-26.9661")</f>
        <v>RE-26.9661</v>
      </c>
      <c r="R273" s="18">
        <f>HYPERLINK("https://docs.google.com/spreadsheets/d/1FO630FsrvWfLvL8qboy130yTE8I-lRe9?usp=share_link", 26.4363)</f>
        <v>26.4363</v>
      </c>
      <c r="S273" s="18" t="str">
        <f>HYPERLINK("https://docs.google.com/spreadsheets/d/1ko9QAxz-2a3nt5W2oPacccqmdWlOoJO9?usp=share_link", "RE-4.22348")</f>
        <v>RE-4.22348</v>
      </c>
      <c r="T273" s="18">
        <f>HYPERLINK("https://docs.google.com/spreadsheets/d/1r7GXA4lX0z7FBMClCwe6E61xPStW5HUZ?usp=share_link", 121.239)</f>
        <v>121.239</v>
      </c>
      <c r="U273" s="18" t="str">
        <f>HYPERLINK("https://docs.google.com/spreadsheets/d/1o1Yobh_vTeAwxwfgdsvCPig3Su4vHx34?usp=share_link", "RE-7.08185")</f>
        <v>RE-7.08185</v>
      </c>
      <c r="V273" s="18" t="str">
        <f>HYPERLINK("https://docs.google.com/spreadsheets/d/1lMUworIOY0Q5wJ_EiMPnVMbc7ZHOytZ3?usp=share_link", "RE-3.7425")</f>
        <v>RE-3.7425</v>
      </c>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c r="DN273" s="17"/>
      <c r="DO273" s="17"/>
      <c r="DP273" s="17"/>
      <c r="DQ273" s="17"/>
      <c r="DR273" s="17"/>
      <c r="DS273" s="17"/>
      <c r="DT273" s="17"/>
      <c r="DU273" s="17"/>
      <c r="DV273" s="17"/>
      <c r="DW273" s="17"/>
      <c r="DX273" s="17"/>
      <c r="DY273" s="17"/>
      <c r="DZ273" s="17"/>
      <c r="EA273" s="17"/>
      <c r="EB273" s="17"/>
      <c r="EC273" s="17"/>
      <c r="ED273" s="17"/>
      <c r="EE273" s="17"/>
      <c r="EF273" s="17"/>
      <c r="EG273" s="17"/>
      <c r="EH273" s="17"/>
      <c r="EI273" s="17"/>
      <c r="EJ273" s="17"/>
      <c r="EK273" s="17"/>
      <c r="EL273" s="17"/>
      <c r="EM273" s="17"/>
      <c r="EN273" s="17"/>
      <c r="EO273" s="17"/>
      <c r="EP273" s="17"/>
      <c r="EQ273" s="17"/>
      <c r="ER273" s="17"/>
      <c r="ES273" s="17"/>
      <c r="ET273" s="17"/>
      <c r="EU273" s="17"/>
      <c r="EV273" s="17"/>
      <c r="EW273" s="17"/>
      <c r="EX273" s="17"/>
      <c r="EY273" s="17"/>
      <c r="EZ273" s="17"/>
      <c r="FA273" s="17"/>
      <c r="FB273" s="17"/>
      <c r="FC273" s="17"/>
      <c r="FD273" s="17"/>
      <c r="FE273" s="17"/>
      <c r="FF273" s="17"/>
      <c r="FG273" s="17"/>
      <c r="FH273" s="17"/>
    </row>
    <row r="274">
      <c r="A274" s="27" t="s">
        <v>54</v>
      </c>
      <c r="B274" s="27" t="s">
        <v>55</v>
      </c>
      <c r="C274" s="27" t="s">
        <v>15</v>
      </c>
      <c r="D274" s="28">
        <f t="shared" si="1"/>
        <v>1273.624</v>
      </c>
      <c r="E274" s="33"/>
      <c r="F274" s="34" t="str">
        <f>HYPERLINK("https://docs.google.com/spreadsheets/d/1IioLfoi4qXA6u8v78jdVAjY1InszjuBA?usp=share_link", "RE-720.647")</f>
        <v>RE-720.647</v>
      </c>
      <c r="G274" s="34" t="str">
        <f>HYPERLINK("https://docs.google.com/spreadsheets/d/1P1OimjMTH3zSojBw8Sjugzau4soKuU8Y?usp=share_link", "RE-3.87135")</f>
        <v>RE-3.87135</v>
      </c>
      <c r="H274" s="34" t="str">
        <f>HYPERLINK("https://docs.google.com/spreadsheets/d/1VtD3e_RgJ6RIsFrVcrLyVymPfNB1SO_P?usp=share_link", "RE-80.9774")</f>
        <v>RE-80.9774</v>
      </c>
      <c r="I274" s="34" t="str">
        <f>HYPERLINK("https://docs.google.com/spreadsheets/d/1R5i2VWbuPQ510osamONVUM06fAGitUqX?usp=share_link", "RE-0.278883")</f>
        <v>RE-0.278883</v>
      </c>
      <c r="J274" s="34" t="str">
        <f>HYPERLINK("https://docs.google.com/spreadsheets/d/1eFGTYBgKjhO-gaj3_cArmLWfFevSMkPM?usp=share_link", "RE-597.218")</f>
        <v>RE-597.218</v>
      </c>
      <c r="K274" s="34" t="str">
        <f>HYPERLINK("https://docs.google.com/spreadsheets/d/15JiKN7YwCyb1Waci4VwhTdPZAoX1e6nE?usp=share_link", "RE-5.41272")</f>
        <v>RE-5.41272</v>
      </c>
      <c r="L274" s="34">
        <f>HYPERLINK("https://docs.google.com/spreadsheets/d/1vbvtFeZxJYEt_rUS0x4QULCXdiMpT6pZ?usp=share_link", 883.252)</f>
        <v>883.252</v>
      </c>
      <c r="M274" s="34" t="str">
        <f>HYPERLINK("https://docs.google.com/spreadsheets/d/1z5IgjEXMV4ZIxl-xSlWeYbZgkcQXGP2s?usp=share_link", "RE-7.12275")</f>
        <v>RE-7.12275</v>
      </c>
      <c r="N274" s="34" t="str">
        <f>HYPERLINK("https://docs.google.com/spreadsheets/d/1Q3o962uZRBXyi9Nak9H98UNn4rBGxqIe?usp=share_link", "RE-1063.02")</f>
        <v>RE-1063.02</v>
      </c>
      <c r="O274" s="34" t="str">
        <f>HYPERLINK("https://docs.google.com/spreadsheets/d/1JWoPHGE3hmWfBWBygqBbR8vR0rTDh1fn?usp=share_link", "RE-12.9044")</f>
        <v>RE-12.9044</v>
      </c>
      <c r="P274" s="34">
        <f>HYPERLINK("https://docs.google.com/spreadsheets/d/1lBgFZW3h7XYNWplyNBe5YbX3WGG5y04e?usp=share_link", 210.547)</f>
        <v>210.547</v>
      </c>
      <c r="Q274" s="34" t="str">
        <f>HYPERLINK("https://docs.google.com/spreadsheets/d/1MIR4sarZB9ceI1exFqpZ4K8aB2TWlvRG?usp=share_link", "RE-33.5626")</f>
        <v>RE-33.5626</v>
      </c>
      <c r="R274" s="34">
        <f>HYPERLINK("https://docs.google.com/spreadsheets/d/1ArkVlG0TfMxwVG31xyDzCV7YQM-ld5WN?usp=share_link", 31.244)</f>
        <v>31.244</v>
      </c>
      <c r="S274" s="34" t="str">
        <f>HYPERLINK("https://docs.google.com/spreadsheets/d/1SOiltJaVaPBnFJt2zherQ3fOQUyEszI9?usp=share_link", "RE-4.62733")</f>
        <v>RE-4.62733</v>
      </c>
      <c r="T274" s="34">
        <f>HYPERLINK("https://docs.google.com/spreadsheets/d/1_KK7Fjjj7YxU5hz-gnW3NW_y5wHR9tBH?usp=share_link", 148.581)</f>
        <v>148.581</v>
      </c>
      <c r="U274" s="34" t="str">
        <f>HYPERLINK("https://docs.google.com/spreadsheets/d/1T2c2nt_z3GS_ZQwPXSULZPyVNEstUu1O?usp=share_link", "RE-8.77878")</f>
        <v>RE-8.77878</v>
      </c>
      <c r="V274" s="34" t="str">
        <f>HYPERLINK("https://docs.google.com/spreadsheets/d/1NqxmjhI6ntXBpqjTlkPeny0g1Xa-Zkql?usp=share_link", "RE-4.13042")</f>
        <v>RE-4.13042</v>
      </c>
      <c r="W274" s="33"/>
      <c r="X274" s="33"/>
      <c r="Y274" s="33"/>
      <c r="Z274" s="33"/>
      <c r="AA274" s="33"/>
      <c r="AB274" s="3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c r="BA274" s="33"/>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c r="BZ274" s="33"/>
      <c r="CA274" s="33"/>
      <c r="CB274" s="33"/>
      <c r="CC274" s="33"/>
      <c r="CD274" s="33"/>
      <c r="CE274" s="33"/>
      <c r="CF274" s="33"/>
      <c r="CG274" s="33"/>
      <c r="CH274" s="33"/>
      <c r="CI274" s="33"/>
      <c r="CJ274" s="33"/>
      <c r="CK274" s="33"/>
      <c r="CL274" s="33"/>
      <c r="CM274" s="33"/>
      <c r="CN274" s="33"/>
      <c r="CO274" s="33"/>
      <c r="CP274" s="33"/>
      <c r="CQ274" s="33"/>
      <c r="CR274" s="33"/>
      <c r="CS274" s="33"/>
      <c r="CT274" s="33"/>
      <c r="CU274" s="33"/>
      <c r="CV274" s="33"/>
      <c r="CW274" s="33"/>
      <c r="CX274" s="33"/>
      <c r="CY274" s="33"/>
      <c r="CZ274" s="33"/>
      <c r="DA274" s="33"/>
      <c r="DB274" s="33"/>
      <c r="DC274" s="33"/>
      <c r="DD274" s="33"/>
      <c r="DE274" s="33"/>
      <c r="DF274" s="33"/>
      <c r="DG274" s="33"/>
      <c r="DH274" s="33"/>
      <c r="DI274" s="33"/>
      <c r="DJ274" s="33"/>
      <c r="DK274" s="33"/>
      <c r="DL274" s="33"/>
      <c r="DM274" s="33"/>
      <c r="DN274" s="33"/>
      <c r="DO274" s="33"/>
      <c r="DP274" s="33"/>
      <c r="DQ274" s="33"/>
      <c r="DR274" s="33"/>
      <c r="DS274" s="33"/>
      <c r="DT274" s="33"/>
      <c r="DU274" s="33"/>
      <c r="DV274" s="33"/>
      <c r="DW274" s="33"/>
      <c r="DX274" s="33"/>
      <c r="DY274" s="33"/>
      <c r="DZ274" s="33"/>
      <c r="EA274" s="33"/>
      <c r="EB274" s="33"/>
      <c r="EC274" s="33"/>
      <c r="ED274" s="33"/>
      <c r="EE274" s="33"/>
      <c r="EF274" s="33"/>
      <c r="EG274" s="33"/>
      <c r="EH274" s="33"/>
      <c r="EI274" s="33"/>
      <c r="EJ274" s="33"/>
      <c r="EK274" s="33"/>
      <c r="EL274" s="33"/>
      <c r="EM274" s="33"/>
      <c r="EN274" s="33"/>
      <c r="EO274" s="33"/>
      <c r="EP274" s="33"/>
      <c r="EQ274" s="33"/>
      <c r="ER274" s="33"/>
      <c r="ES274" s="33"/>
      <c r="ET274" s="33"/>
      <c r="EU274" s="33"/>
      <c r="EV274" s="33"/>
      <c r="EW274" s="33"/>
      <c r="EX274" s="33"/>
      <c r="EY274" s="33"/>
      <c r="EZ274" s="33"/>
      <c r="FA274" s="33"/>
      <c r="FB274" s="33"/>
      <c r="FC274" s="33"/>
      <c r="FD274" s="33"/>
      <c r="FE274" s="33"/>
      <c r="FF274" s="33"/>
      <c r="FG274" s="33"/>
      <c r="FH274" s="33"/>
    </row>
    <row r="275">
      <c r="A275" s="30" t="s">
        <v>54</v>
      </c>
      <c r="B275" s="30" t="s">
        <v>56</v>
      </c>
      <c r="C275" s="31" t="str">
        <f>HYPERLINK("https://docs.google.com/spreadsheets/d/18Tvr1DEtm-pw8DGuWk87CNSUxb-amf8Q/edit?usp=share_link&amp;ouid=106501987799020758802&amp;rtpof=true&amp;sd=true", "Raw Delivered")</f>
        <v>Raw Delivered</v>
      </c>
      <c r="D275" s="12">
        <f t="shared" si="1"/>
        <v>6125.160662</v>
      </c>
      <c r="E275" s="13"/>
      <c r="F275" s="14">
        <f>HYPERLINK("https://docs.google.com/spreadsheets/d/1gZRJRh8xkqaMH0zzLcZBsGiwwgHLIs6b", 2380.74158124999)</f>
        <v>2380.741581</v>
      </c>
      <c r="G275" s="13"/>
      <c r="H275" s="14">
        <f>HYPERLINK("https://docs.google.com/spreadsheets/d/1P3YGXaq9K5qwrZFGxb2PeLpaz7pfLCKb", 147.0132375)</f>
        <v>147.0132375</v>
      </c>
      <c r="I275" s="13"/>
      <c r="J275" s="14">
        <f>HYPERLINK("https://docs.google.com/spreadsheets/d/1ICsoQIwd4isAaa2XV2bh0KdlIlCc2IjF", 239.018720833333)</f>
        <v>239.0187208</v>
      </c>
      <c r="K275" s="13"/>
      <c r="L275" s="14">
        <f t="shared" ref="L275:L276" si="138">HYPERLINK("https://docs.google.com/spreadsheets/d/1zDPlmpXalw8MEEw2ovjFM1TyNXlZHOmF", 1155.29826041666)</f>
        <v>1155.29826</v>
      </c>
      <c r="M275" s="13"/>
      <c r="N275" s="14">
        <f>HYPERLINK("https://docs.google.com/spreadsheets/d/1-Lyl-TFUynDzCUR1OKlbxL59LsFFzKmM", 1722.73513645834)</f>
        <v>1722.735136</v>
      </c>
      <c r="O275" s="13"/>
      <c r="P275" s="14">
        <f t="shared" ref="P275:P276" si="139">HYPERLINK("https://docs.google.com/spreadsheets/d/1ayU9w-xTwWZ034Js4iXPwvk72HjHF2NR", 206.456924999999)</f>
        <v>206.456925</v>
      </c>
      <c r="Q275" s="13"/>
      <c r="R275" s="14">
        <f t="shared" ref="R275:R276" si="140">HYPERLINK("https://docs.google.com/spreadsheets/d/1D-rPJc67GrdMnaIU8Bg9dxLjC3WC7Rwh", 57.483265625)</f>
        <v>57.48326563</v>
      </c>
      <c r="S275" s="13"/>
      <c r="T275" s="14">
        <f t="shared" ref="T275:T276" si="141">HYPERLINK("https://docs.google.com/spreadsheets/d/18pI6lO59bAm75cjM4HRE1R2kwGf1nbdC", 216.413535416666)</f>
        <v>216.4135354</v>
      </c>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row>
    <row r="276">
      <c r="A276" s="32" t="s">
        <v>54</v>
      </c>
      <c r="B276" s="32" t="s">
        <v>56</v>
      </c>
      <c r="C276" s="32" t="s">
        <v>9</v>
      </c>
      <c r="D276" s="16">
        <f t="shared" si="1"/>
        <v>1635.651986</v>
      </c>
      <c r="E276" s="17"/>
      <c r="F276" s="18" t="str">
        <f>HYPERLINK("https://docs.google.com/spreadsheets/d/1gZRJRh8xkqaMH0zzLcZBsGiwwgHLIs6b", "RE-2380.7415812499958")</f>
        <v>RE-2380.7415812499958</v>
      </c>
      <c r="G276" s="17"/>
      <c r="H276" s="18" t="str">
        <f>HYPERLINK("https://docs.google.com/spreadsheets/d/1P3YGXaq9K5qwrZFGxb2PeLpaz7pfLCKb", "RE-147.01323750000017")</f>
        <v>RE-147.01323750000017</v>
      </c>
      <c r="I276" s="17"/>
      <c r="J276" s="18" t="str">
        <f>HYPERLINK("https://docs.google.com/spreadsheets/d/1ICsoQIwd4isAaa2XV2bh0KdlIlCc2IjF", "RE-239.01872083333345")</f>
        <v>RE-239.01872083333345</v>
      </c>
      <c r="K276" s="17"/>
      <c r="L276" s="18">
        <f t="shared" si="138"/>
        <v>1155.29826</v>
      </c>
      <c r="M276" s="17"/>
      <c r="N276" s="18" t="str">
        <f>HYPERLINK("https://docs.google.com/spreadsheets/d/1-Lyl-TFUynDzCUR1OKlbxL59LsFFzKmM", "RE-1722.735136458341")</f>
        <v>RE-1722.735136458341</v>
      </c>
      <c r="O276" s="17"/>
      <c r="P276" s="18">
        <f t="shared" si="139"/>
        <v>206.456925</v>
      </c>
      <c r="Q276" s="17"/>
      <c r="R276" s="18">
        <f t="shared" si="140"/>
        <v>57.48326563</v>
      </c>
      <c r="S276" s="17"/>
      <c r="T276" s="18">
        <f t="shared" si="141"/>
        <v>216.4135354</v>
      </c>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c r="DN276" s="17"/>
      <c r="DO276" s="17"/>
      <c r="DP276" s="17"/>
      <c r="DQ276" s="17"/>
      <c r="DR276" s="17"/>
      <c r="DS276" s="17"/>
      <c r="DT276" s="17"/>
      <c r="DU276" s="17"/>
      <c r="DV276" s="17"/>
      <c r="DW276" s="17"/>
      <c r="DX276" s="17"/>
      <c r="DY276" s="17"/>
      <c r="DZ276" s="17"/>
      <c r="EA276" s="17"/>
      <c r="EB276" s="17"/>
      <c r="EC276" s="17"/>
      <c r="ED276" s="17"/>
      <c r="EE276" s="17"/>
      <c r="EF276" s="17"/>
      <c r="EG276" s="17"/>
      <c r="EH276" s="17"/>
      <c r="EI276" s="17"/>
      <c r="EJ276" s="17"/>
      <c r="EK276" s="17"/>
      <c r="EL276" s="17"/>
      <c r="EM276" s="17"/>
      <c r="EN276" s="17"/>
      <c r="EO276" s="17"/>
      <c r="EP276" s="17"/>
      <c r="EQ276" s="17"/>
      <c r="ER276" s="17"/>
      <c r="ES276" s="17"/>
      <c r="ET276" s="17"/>
      <c r="EU276" s="17"/>
      <c r="EV276" s="17"/>
      <c r="EW276" s="17"/>
      <c r="EX276" s="17"/>
      <c r="EY276" s="17"/>
      <c r="EZ276" s="17"/>
      <c r="FA276" s="17"/>
      <c r="FB276" s="17"/>
      <c r="FC276" s="17"/>
      <c r="FD276" s="17"/>
      <c r="FE276" s="17"/>
      <c r="FF276" s="17"/>
      <c r="FG276" s="17"/>
      <c r="FH276" s="17"/>
    </row>
    <row r="277">
      <c r="A277" s="32" t="s">
        <v>54</v>
      </c>
      <c r="B277" s="32" t="s">
        <v>56</v>
      </c>
      <c r="C277" s="32" t="s">
        <v>10</v>
      </c>
      <c r="D277" s="16">
        <f t="shared" si="1"/>
        <v>599.8571833</v>
      </c>
      <c r="E277" s="17"/>
      <c r="F277" s="17"/>
      <c r="G277" s="18">
        <f>HYPERLINK("https://docs.google.com/spreadsheets/d/1YLRSlAFx79bCoVSf_oArzbbrzz1TIPSY", 234.1002375)</f>
        <v>234.1002375</v>
      </c>
      <c r="H277" s="17"/>
      <c r="I277" s="18">
        <f>HYPERLINK("https://docs.google.com/spreadsheets/d/1jtyTgG2gxS1UZ-C_Fv2NNpYlXPQlMksP", 17.6431052083333)</f>
        <v>17.64310521</v>
      </c>
      <c r="J277" s="17"/>
      <c r="K277" s="18">
        <f>HYPERLINK("https://docs.google.com/spreadsheets/d/1tUGYV1p6GQnFG1CtG4fWPRatvehPGVgG", 18.8447541666666)</f>
        <v>18.84475417</v>
      </c>
      <c r="L277" s="17"/>
      <c r="M277" s="18">
        <f>HYPERLINK("https://docs.google.com/spreadsheets/d/1CRWoifUptgc50cvBQVojgUdjCqyImbPy", 42.4904770833333)</f>
        <v>42.49047708</v>
      </c>
      <c r="N277" s="17"/>
      <c r="O277" s="18">
        <f>HYPERLINK("https://docs.google.com/spreadsheets/d/1gQLZWJLJDhCK_KWSIVD1UWhPgoBnXHqj", 214.459916666666)</f>
        <v>214.4599167</v>
      </c>
      <c r="P277" s="17"/>
      <c r="Q277" s="18">
        <f>HYPERLINK("https://docs.google.com/spreadsheets/d/1wFQTbvsyj4T6yfxbeQhHu5OcXP_TKOGc", 62.9608458333333)</f>
        <v>62.96084583</v>
      </c>
      <c r="R277" s="17"/>
      <c r="S277" s="18">
        <f>HYPERLINK("https://docs.google.com/spreadsheets/d/1UKaxco4zDfxGH4JQovKyYFEEfJro7djX", 1.23050833333333)</f>
        <v>1.230508333</v>
      </c>
      <c r="T277" s="17"/>
      <c r="U277" s="18">
        <f>HYPERLINK("https://docs.google.com/spreadsheets/d/1J4s3uiEnxE35kvZmEtgp-414oXQzSsMD", 7.34887395833333)</f>
        <v>7.348873958</v>
      </c>
      <c r="V277" s="18">
        <f>HYPERLINK("https://docs.google.com/spreadsheets/d/1F1hhBxvH9NTf5RHcJLGLCTDBVFhpJdHW", 0.778464583333333)</f>
        <v>0.7784645833</v>
      </c>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c r="DN277" s="17"/>
      <c r="DO277" s="17"/>
      <c r="DP277" s="17"/>
      <c r="DQ277" s="17"/>
      <c r="DR277" s="17"/>
      <c r="DS277" s="17"/>
      <c r="DT277" s="17"/>
      <c r="DU277" s="17"/>
      <c r="DV277" s="17"/>
      <c r="DW277" s="17"/>
      <c r="DX277" s="17"/>
      <c r="DY277" s="17"/>
      <c r="DZ277" s="17"/>
      <c r="EA277" s="17"/>
      <c r="EB277" s="17"/>
      <c r="EC277" s="17"/>
      <c r="ED277" s="17"/>
      <c r="EE277" s="17"/>
      <c r="EF277" s="17"/>
      <c r="EG277" s="17"/>
      <c r="EH277" s="17"/>
      <c r="EI277" s="17"/>
      <c r="EJ277" s="17"/>
      <c r="EK277" s="17"/>
      <c r="EL277" s="17"/>
      <c r="EM277" s="17"/>
      <c r="EN277" s="17"/>
      <c r="EO277" s="17"/>
      <c r="EP277" s="17"/>
      <c r="EQ277" s="17"/>
      <c r="ER277" s="17"/>
      <c r="ES277" s="17"/>
      <c r="ET277" s="17"/>
      <c r="EU277" s="17"/>
      <c r="EV277" s="17"/>
      <c r="EW277" s="17"/>
      <c r="EX277" s="17"/>
      <c r="EY277" s="17"/>
      <c r="EZ277" s="17"/>
      <c r="FA277" s="17"/>
      <c r="FB277" s="17"/>
      <c r="FC277" s="17"/>
      <c r="FD277" s="17"/>
      <c r="FE277" s="17"/>
      <c r="FF277" s="17"/>
      <c r="FG277" s="17"/>
      <c r="FH277" s="17"/>
    </row>
    <row r="278">
      <c r="A278" s="32" t="s">
        <v>54</v>
      </c>
      <c r="B278" s="32" t="s">
        <v>56</v>
      </c>
      <c r="C278" s="32" t="s">
        <v>11</v>
      </c>
      <c r="D278" s="16">
        <f t="shared" si="1"/>
        <v>0</v>
      </c>
      <c r="E278" s="17"/>
      <c r="F278" s="17"/>
      <c r="G278" s="18" t="str">
        <f>HYPERLINK("https://docs.google.com/spreadsheets/d/1YLRSlAFx79bCoVSf_oArzbbrzz1TIPSY", "RE-234.1002375000001")</f>
        <v>RE-234.1002375000001</v>
      </c>
      <c r="H278" s="17"/>
      <c r="I278" s="18" t="str">
        <f>HYPERLINK("https://docs.google.com/spreadsheets/d/1jtyTgG2gxS1UZ-C_Fv2NNpYlXPQlMksP", "RE-17.64310520833334")</f>
        <v>RE-17.64310520833334</v>
      </c>
      <c r="J278" s="17"/>
      <c r="K278" s="18" t="str">
        <f>HYPERLINK("https://docs.google.com/spreadsheets/d/1tUGYV1p6GQnFG1CtG4fWPRatvehPGVgG", "RE-18.844754166666668")</f>
        <v>RE-18.844754166666668</v>
      </c>
      <c r="L278" s="17"/>
      <c r="M278" s="18" t="str">
        <f>HYPERLINK("https://docs.google.com/spreadsheets/d/1CRWoifUptgc50cvBQVojgUdjCqyImbPy", "RE-42.490477083333325")</f>
        <v>RE-42.490477083333325</v>
      </c>
      <c r="N278" s="17"/>
      <c r="O278" s="18" t="str">
        <f>HYPERLINK("https://docs.google.com/spreadsheets/d/1gQLZWJLJDhCK_KWSIVD1UWhPgoBnXHqj", "RE-214.4599166666668")</f>
        <v>RE-214.4599166666668</v>
      </c>
      <c r="P278" s="17"/>
      <c r="Q278" s="18" t="str">
        <f>HYPERLINK("https://docs.google.com/spreadsheets/d/1wFQTbvsyj4T6yfxbeQhHu5OcXP_TKOGc", "RE-62.96084583333333")</f>
        <v>RE-62.96084583333333</v>
      </c>
      <c r="R278" s="17"/>
      <c r="S278" s="18" t="str">
        <f>HYPERLINK("https://docs.google.com/spreadsheets/d/1UKaxco4zDfxGH4JQovKyYFEEfJro7djX", "RE-1.2305083333333333")</f>
        <v>RE-1.2305083333333333</v>
      </c>
      <c r="T278" s="17"/>
      <c r="U278" s="18" t="str">
        <f>HYPERLINK("https://docs.google.com/spreadsheets/d/1J4s3uiEnxE35kvZmEtgp-414oXQzSsMD", "RE-7.348873958333335")</f>
        <v>RE-7.348873958333335</v>
      </c>
      <c r="V278" s="18" t="str">
        <f>HYPERLINK("https://docs.google.com/spreadsheets/d/1F1hhBxvH9NTf5RHcJLGLCTDBVFhpJdHW", "RE-0.7784645833333333")</f>
        <v>RE-0.7784645833333333</v>
      </c>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c r="EJ278" s="17"/>
      <c r="EK278" s="17"/>
      <c r="EL278" s="17"/>
      <c r="EM278" s="17"/>
      <c r="EN278" s="17"/>
      <c r="EO278" s="17"/>
      <c r="EP278" s="17"/>
      <c r="EQ278" s="17"/>
      <c r="ER278" s="17"/>
      <c r="ES278" s="17"/>
      <c r="ET278" s="17"/>
      <c r="EU278" s="17"/>
      <c r="EV278" s="17"/>
      <c r="EW278" s="17"/>
      <c r="EX278" s="17"/>
      <c r="EY278" s="17"/>
      <c r="EZ278" s="17"/>
      <c r="FA278" s="17"/>
      <c r="FB278" s="17"/>
      <c r="FC278" s="17"/>
      <c r="FD278" s="17"/>
      <c r="FE278" s="17"/>
      <c r="FF278" s="17"/>
      <c r="FG278" s="17"/>
      <c r="FH278" s="17"/>
    </row>
    <row r="279">
      <c r="A279" s="32" t="s">
        <v>54</v>
      </c>
      <c r="B279" s="32" t="s">
        <v>56</v>
      </c>
      <c r="C279" s="32" t="s">
        <v>12</v>
      </c>
      <c r="D279" s="16">
        <f t="shared" si="1"/>
        <v>1511.978936</v>
      </c>
      <c r="E279" s="17"/>
      <c r="F279" s="18" t="str">
        <f>HYPERLINK("https://docs.google.com/spreadsheets/d/1YjKRmOKt2qUKorzzzwJ3O0O3Y4WarIAg", "RE-1862.1855260416653")</f>
        <v>RE-1862.1855260416653</v>
      </c>
      <c r="G279" s="18" t="str">
        <f>HYPERLINK("https://docs.google.com/spreadsheets/d/1Dh8piTg_1G6pdYoawLa3HMU9k6Bnpp8e", "RE-7.937029166666667")</f>
        <v>RE-7.937029166666667</v>
      </c>
      <c r="H279" s="18" t="str">
        <f>HYPERLINK("https://docs.google.com/spreadsheets/d/1KkXGie_8a8yn1_3lcTY_KnZ2U2QfxE6a", "RE-132.62113125000005")</f>
        <v>RE-132.62113125000005</v>
      </c>
      <c r="I279" s="18" t="str">
        <f>HYPERLINK("https://docs.google.com/spreadsheets/d/1q1I0KAFoPMxnGNo98OUZld_KfTfOS6Qo", "RE-0.0")</f>
        <v>RE-0.0</v>
      </c>
      <c r="J279" s="18" t="str">
        <f>HYPERLINK("https://docs.google.com/spreadsheets/d/1np9kLWf_ZdZUZa4PiLkyAeHUfojXgIH6", "RE-183.2167937500002")</f>
        <v>RE-183.2167937500002</v>
      </c>
      <c r="K279" s="18" t="str">
        <f>HYPERLINK("https://docs.google.com/spreadsheets/d/1iXLwsMtokvyRHsej6TT9jo7POs6G5S2L", "RE-0.6888375")</f>
        <v>RE-0.6888375</v>
      </c>
      <c r="L279" s="18">
        <f>HYPERLINK("https://docs.google.com/spreadsheets/d/1WONoiJeqIsS7IwQzAJInfzVTvC9yv9ok", 1065.894296875)</f>
        <v>1065.894297</v>
      </c>
      <c r="M279" s="18" t="str">
        <f>HYPERLINK("https://docs.google.com/spreadsheets/d/1jyJeueclogtHt6Nl-9sNjZEkwrNlvLei", "RE-11.963875")</f>
        <v>RE-11.963875</v>
      </c>
      <c r="N279" s="18" t="str">
        <f>HYPERLINK("https://docs.google.com/spreadsheets/d/14H64fnoKEBSPNWt1us5V1uh5tun9Gbq3", "RE-1222.062434374996")</f>
        <v>RE-1222.062434374996</v>
      </c>
      <c r="O279" s="18" t="str">
        <f>HYPERLINK("https://docs.google.com/spreadsheets/d/1Q2wstNSr8Fst4QhCkSp92O0hHRXpKCSQ", "RE-14.531758333333336")</f>
        <v>RE-14.531758333333336</v>
      </c>
      <c r="P279" s="18">
        <f>HYPERLINK("https://docs.google.com/spreadsheets/d/1c0GKWHDdrOstme_Bia2yUfZxRDvMoQHu", 183.228763541666)</f>
        <v>183.2287635</v>
      </c>
      <c r="Q279" s="18" t="str">
        <f>HYPERLINK("https://docs.google.com/spreadsheets/d/1pRJTdPq0-3QaX-qF4pYSKdOZj0PMgAGq", "RE-29.05666666666667")</f>
        <v>RE-29.05666666666667</v>
      </c>
      <c r="R279" s="18">
        <f>HYPERLINK("https://docs.google.com/spreadsheets/d/1vIGZUL5slPhWSAi0rAG-K6vpJplUIyyO", 56.8648947916666)</f>
        <v>56.86489479</v>
      </c>
      <c r="S279" s="18" t="str">
        <f>HYPERLINK("https://docs.google.com/spreadsheets/d/1Cj-hghmCRf_7p78z-xlWjKSwt7zzrfsM", "RE-0.6121375")</f>
        <v>RE-0.6121375</v>
      </c>
      <c r="T279" s="18">
        <f>HYPERLINK("https://docs.google.com/spreadsheets/d/1ywIDly08Hdf30l5zjlpNVZ4EIm8-L5pt", 205.99098125)</f>
        <v>205.9909813</v>
      </c>
      <c r="U279" s="18" t="str">
        <f>HYPERLINK("https://docs.google.com/spreadsheets/d/1BfsMZndBswzyiWsvDGLzbxPTgIQdIW8f", "RE-4.873523958333333")</f>
        <v>RE-4.873523958333333</v>
      </c>
      <c r="V279" s="18" t="str">
        <f>HYPERLINK("https://docs.google.com/spreadsheets/d/1h_RJN9UtXpXhuG5pR9IsSrUG8JhMq_re", "RE-0.5663374999999999")</f>
        <v>RE-0.5663374999999999</v>
      </c>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O279" s="17"/>
      <c r="DP279" s="17"/>
      <c r="DQ279" s="17"/>
      <c r="DR279" s="17"/>
      <c r="DS279" s="17"/>
      <c r="DT279" s="17"/>
      <c r="DU279" s="17"/>
      <c r="DV279" s="17"/>
      <c r="DW279" s="17"/>
      <c r="DX279" s="17"/>
      <c r="DY279" s="17"/>
      <c r="DZ279" s="17"/>
      <c r="EA279" s="17"/>
      <c r="EB279" s="17"/>
      <c r="EC279" s="17"/>
      <c r="ED279" s="17"/>
      <c r="EE279" s="17"/>
      <c r="EF279" s="17"/>
      <c r="EG279" s="17"/>
      <c r="EH279" s="17"/>
      <c r="EI279" s="17"/>
      <c r="EJ279" s="17"/>
      <c r="EK279" s="17"/>
      <c r="EL279" s="17"/>
      <c r="EM279" s="17"/>
      <c r="EN279" s="17"/>
      <c r="EO279" s="17"/>
      <c r="EP279" s="17"/>
      <c r="EQ279" s="17"/>
      <c r="ER279" s="17"/>
      <c r="ES279" s="17"/>
      <c r="ET279" s="17"/>
      <c r="EU279" s="17"/>
      <c r="EV279" s="17"/>
      <c r="EW279" s="17"/>
      <c r="EX279" s="17"/>
      <c r="EY279" s="17"/>
      <c r="EZ279" s="17"/>
      <c r="FA279" s="17"/>
      <c r="FB279" s="17"/>
      <c r="FC279" s="17"/>
      <c r="FD279" s="17"/>
      <c r="FE279" s="17"/>
      <c r="FF279" s="17"/>
      <c r="FG279" s="17"/>
      <c r="FH279" s="17"/>
    </row>
    <row r="280">
      <c r="A280" s="32" t="s">
        <v>54</v>
      </c>
      <c r="B280" s="32" t="s">
        <v>56</v>
      </c>
      <c r="C280" s="32" t="s">
        <v>13</v>
      </c>
      <c r="D280" s="16">
        <f t="shared" si="1"/>
        <v>1446.4018</v>
      </c>
      <c r="E280" s="17"/>
      <c r="F280" s="18" t="str">
        <f>HYPERLINK("https://docs.google.com/spreadsheets/d/1e4li2sXMAxKZpT_7XhPeeh3Wz3S0YPix?usp=share_link", "RE-1815.56")</f>
        <v>RE-1815.56</v>
      </c>
      <c r="G280" s="18" t="str">
        <f>HYPERLINK("https://docs.google.com/spreadsheets/d/199F7D_xhtXc3WAg4HD34dvEVSVbzh6ii?usp=share_link", "RE-7.66995")</f>
        <v>RE-7.66995</v>
      </c>
      <c r="H280" s="18" t="str">
        <f>HYPERLINK("https://docs.google.com/spreadsheets/d/1ijQuys1-rXTIsVkr3HkoZX9g-BIrYHAY?usp=share_link", "RE-129.745")</f>
        <v>RE-129.745</v>
      </c>
      <c r="I280" s="17"/>
      <c r="J280" s="18" t="str">
        <f>HYPERLINK("https://docs.google.com/spreadsheets/d/1nvDJMnyA9I76xvJ7XsEwIkuTaD7zjUSE?usp=share_link", "RE-179.497")</f>
        <v>RE-179.497</v>
      </c>
      <c r="K280" s="18" t="str">
        <f>HYPERLINK("https://docs.google.com/spreadsheets/d/1khSrXNbPH7kegv_RcJb_2r88yIfZuyG_?usp=share_link", "RE-0.6781")</f>
        <v>RE-0.6781</v>
      </c>
      <c r="L280" s="18">
        <f>HYPERLINK("https://docs.google.com/spreadsheets/d/1XT_IrmjFujg7JnvzrxGR40XK3xaCNEc0?usp=share_link", 1019.31)</f>
        <v>1019.31</v>
      </c>
      <c r="M280" s="18" t="str">
        <f>HYPERLINK("https://docs.google.com/spreadsheets/d/1TwaoVh1dF1Vlcgn0d1iFfNSSd-bnGJev?usp=share_link", "RE-11.4575")</f>
        <v>RE-11.4575</v>
      </c>
      <c r="N280" s="18" t="str">
        <f>HYPERLINK("https://docs.google.com/spreadsheets/d/1PktEfdDJfcufCREnZETQsMr2lHAeDPGs?usp=share_link", "RE-1162.63")</f>
        <v>RE-1162.63</v>
      </c>
      <c r="O280" s="18" t="str">
        <f>HYPERLINK("https://docs.google.com/spreadsheets/d/1OY66XdK_r2ameH0u88Yj3dfgNvGy2vJL?usp=share_link", "RE-13.9718")</f>
        <v>RE-13.9718</v>
      </c>
      <c r="P280" s="18">
        <f>HYPERLINK("https://docs.google.com/spreadsheets/d/1Jfb301ZJgMYoxs-TGTAryD6Ta5dGTqn0?usp=share_link", 174.65)</f>
        <v>174.65</v>
      </c>
      <c r="Q280" s="18" t="str">
        <f>HYPERLINK("https://docs.google.com/spreadsheets/d/1wg4CwzaH8hO6I9MQTPzH2POcxmOuGLnL?usp=share_link", "RE-27.8319")</f>
        <v>RE-27.8319</v>
      </c>
      <c r="R280" s="18">
        <f>HYPERLINK("https://docs.google.com/spreadsheets/d/1uVItvzDGWWy7tZGSwd3Yj7LkDxOFQDoK?usp=share_link", 55.3008)</f>
        <v>55.3008</v>
      </c>
      <c r="S280" s="18" t="str">
        <f>HYPERLINK("https://docs.google.com/spreadsheets/d/1MiZPzMxaixUP_znZbIRV8qZ_18wnvcp9?usp=share_link", "RE-0.545217")</f>
        <v>RE-0.545217</v>
      </c>
      <c r="T280" s="18">
        <f>HYPERLINK("https://docs.google.com/spreadsheets/d/1oG1H2_hHAIUfpd_SuCV4kXHm_4_rnd5c?usp=share_link", 197.141)</f>
        <v>197.141</v>
      </c>
      <c r="U280" s="18" t="str">
        <f>HYPERLINK("https://docs.google.com/spreadsheets/d/18O_fNHyEpLwI3na5NXR3rRuJJLjIPadw?usp=share_link", "RE-4.66215")</f>
        <v>RE-4.66215</v>
      </c>
      <c r="V280" s="18" t="str">
        <f>HYPERLINK("https://docs.google.com/spreadsheets/d/1iuEtOBPIrqKNuL5HWAYbxEPPaHORP3RL?usp=share_link", "RE-0.547867")</f>
        <v>RE-0.547867</v>
      </c>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c r="DN280" s="17"/>
      <c r="DO280" s="17"/>
      <c r="DP280" s="17"/>
      <c r="DQ280" s="17"/>
      <c r="DR280" s="17"/>
      <c r="DS280" s="17"/>
      <c r="DT280" s="17"/>
      <c r="DU280" s="17"/>
      <c r="DV280" s="17"/>
      <c r="DW280" s="17"/>
      <c r="DX280" s="17"/>
      <c r="DY280" s="17"/>
      <c r="DZ280" s="17"/>
      <c r="EA280" s="17"/>
      <c r="EB280" s="17"/>
      <c r="EC280" s="17"/>
      <c r="ED280" s="17"/>
      <c r="EE280" s="17"/>
      <c r="EF280" s="17"/>
      <c r="EG280" s="17"/>
      <c r="EH280" s="17"/>
      <c r="EI280" s="17"/>
      <c r="EJ280" s="17"/>
      <c r="EK280" s="17"/>
      <c r="EL280" s="17"/>
      <c r="EM280" s="17"/>
      <c r="EN280" s="17"/>
      <c r="EO280" s="17"/>
      <c r="EP280" s="17"/>
      <c r="EQ280" s="17"/>
      <c r="ER280" s="17"/>
      <c r="ES280" s="17"/>
      <c r="ET280" s="17"/>
      <c r="EU280" s="17"/>
      <c r="EV280" s="17"/>
      <c r="EW280" s="17"/>
      <c r="EX280" s="17"/>
      <c r="EY280" s="17"/>
      <c r="EZ280" s="17"/>
      <c r="FA280" s="17"/>
      <c r="FB280" s="17"/>
      <c r="FC280" s="17"/>
      <c r="FD280" s="17"/>
      <c r="FE280" s="17"/>
      <c r="FF280" s="17"/>
      <c r="FG280" s="17"/>
      <c r="FH280" s="17"/>
    </row>
    <row r="281">
      <c r="A281" s="32" t="s">
        <v>54</v>
      </c>
      <c r="B281" s="32" t="s">
        <v>56</v>
      </c>
      <c r="C281" s="32" t="s">
        <v>14</v>
      </c>
      <c r="D281" s="16">
        <f t="shared" si="1"/>
        <v>1265.4226</v>
      </c>
      <c r="E281" s="17"/>
      <c r="F281" s="18" t="str">
        <f>HYPERLINK("https://docs.google.com/spreadsheets/d/1rtpoLcNSKpa-x3QJj-owckXCJmrE9RTH?usp=share_link", "RE-1685.17")</f>
        <v>RE-1685.17</v>
      </c>
      <c r="G281" s="18" t="str">
        <f>HYPERLINK("https://docs.google.com/spreadsheets/d/19MRMezT-juHqBBT1-zeIV-tI3r-uEq9N?usp=share_link", "RE-7.62607")</f>
        <v>RE-7.62607</v>
      </c>
      <c r="H281" s="18" t="str">
        <f>HYPERLINK("https://docs.google.com/spreadsheets/d/1qMynWCxONH9hwsQLqOxL1gR5l41lTtvC?usp=share_link", "RE-117.318")</f>
        <v>RE-117.318</v>
      </c>
      <c r="I281" s="17"/>
      <c r="J281" s="18" t="str">
        <f>HYPERLINK("https://docs.google.com/spreadsheets/d/1EJE8y2_dW28Yrk2DwjzPHMgSH61LeT51?usp=share_link", "RE-164.118")</f>
        <v>RE-164.118</v>
      </c>
      <c r="K281" s="18" t="str">
        <f>HYPERLINK("https://docs.google.com/spreadsheets/d/1SKWAqXNhf9uZ1r4LAuniMEt_VWx4BKGL?usp=share_link", "RE-0.537817")</f>
        <v>RE-0.537817</v>
      </c>
      <c r="L281" s="18">
        <f>HYPERLINK("https://docs.google.com/spreadsheets/d/1jx5nJ3TJ8WEwQusIVnneDCZvK8mbI6O4?usp=share_link", 901.827)</f>
        <v>901.827</v>
      </c>
      <c r="M281" s="18" t="str">
        <f>HYPERLINK("https://docs.google.com/spreadsheets/d/1nob9FL6SgqsejVpGnI84f9hoKoi1OUkd?usp=share_link", "RE-9.19952")</f>
        <v>RE-9.19952</v>
      </c>
      <c r="N281" s="18" t="str">
        <f>HYPERLINK("https://docs.google.com/spreadsheets/d/15H9PR2f8dadRbl8BlCqSQFzenSabQkST?usp=share_link", "RE-1024.35")</f>
        <v>RE-1024.35</v>
      </c>
      <c r="O281" s="18" t="str">
        <f>HYPERLINK("https://docs.google.com/spreadsheets/d/129CPbG9GkwnDacOig_GN0hSSh-RLizLe?usp=share_link", "RE-13.2197")</f>
        <v>RE-13.2197</v>
      </c>
      <c r="P281" s="18">
        <f>HYPERLINK("https://docs.google.com/spreadsheets/d/1ofKluGGarrkHIUPDBFu4I2l12dktWLhO?usp=share_link", 145.225)</f>
        <v>145.225</v>
      </c>
      <c r="Q281" s="18" t="str">
        <f>HYPERLINK("https://docs.google.com/spreadsheets/d/1OOn28wa22I73Z4vDi5qyw4Cvz9ckNcw1?usp=share_link", "RE-24.0417")</f>
        <v>RE-24.0417</v>
      </c>
      <c r="R281" s="18">
        <f>HYPERLINK("https://docs.google.com/spreadsheets/d/1f0_zIineuL0a-ECIfb5R6T5GCDqDBVxB?usp=share_link", 49.4006)</f>
        <v>49.4006</v>
      </c>
      <c r="S281" s="18" t="str">
        <f>HYPERLINK("https://docs.google.com/spreadsheets/d/14BcWzekfkrSLJo21DIp7K-FsA0Snl5kc?usp=share_link", "RE-0.545217")</f>
        <v>RE-0.545217</v>
      </c>
      <c r="T281" s="18">
        <f>HYPERLINK("https://docs.google.com/spreadsheets/d/1HrAu-csCrEr1V--M73hNyM7_g6Jlxyur?usp=share_link", 168.97)</f>
        <v>168.97</v>
      </c>
      <c r="U281" s="18" t="str">
        <f>HYPERLINK("https://docs.google.com/spreadsheets/d/1CIzdVPAPqY1kzNw5pLXTogF0TC69Wcjq?usp=share_link", "RE-4.15665")</f>
        <v>RE-4.15665</v>
      </c>
      <c r="V281" s="18" t="str">
        <f>HYPERLINK("https://docs.google.com/spreadsheets/d/1j1IOR2Rla-vpZqjcLBXXQElldwu4ykyq?usp=share_link", "RE-0.44005")</f>
        <v>RE-0.44005</v>
      </c>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c r="DN281" s="17"/>
      <c r="DO281" s="17"/>
      <c r="DP281" s="17"/>
      <c r="DQ281" s="17"/>
      <c r="DR281" s="17"/>
      <c r="DS281" s="17"/>
      <c r="DT281" s="17"/>
      <c r="DU281" s="17"/>
      <c r="DV281" s="17"/>
      <c r="DW281" s="17"/>
      <c r="DX281" s="17"/>
      <c r="DY281" s="17"/>
      <c r="DZ281" s="17"/>
      <c r="EA281" s="17"/>
      <c r="EB281" s="17"/>
      <c r="EC281" s="17"/>
      <c r="ED281" s="17"/>
      <c r="EE281" s="17"/>
      <c r="EF281" s="17"/>
      <c r="EG281" s="17"/>
      <c r="EH281" s="17"/>
      <c r="EI281" s="17"/>
      <c r="EJ281" s="17"/>
      <c r="EK281" s="17"/>
      <c r="EL281" s="17"/>
      <c r="EM281" s="17"/>
      <c r="EN281" s="17"/>
      <c r="EO281" s="17"/>
      <c r="EP281" s="17"/>
      <c r="EQ281" s="17"/>
      <c r="ER281" s="17"/>
      <c r="ES281" s="17"/>
      <c r="ET281" s="17"/>
      <c r="EU281" s="17"/>
      <c r="EV281" s="17"/>
      <c r="EW281" s="17"/>
      <c r="EX281" s="17"/>
      <c r="EY281" s="17"/>
      <c r="EZ281" s="17"/>
      <c r="FA281" s="17"/>
      <c r="FB281" s="17"/>
      <c r="FC281" s="17"/>
      <c r="FD281" s="17"/>
      <c r="FE281" s="17"/>
      <c r="FF281" s="17"/>
      <c r="FG281" s="17"/>
      <c r="FH281" s="17"/>
    </row>
    <row r="282">
      <c r="A282" s="27" t="s">
        <v>54</v>
      </c>
      <c r="B282" s="27" t="s">
        <v>56</v>
      </c>
      <c r="C282" s="27" t="s">
        <v>15</v>
      </c>
      <c r="D282" s="28">
        <f t="shared" si="1"/>
        <v>1446.153</v>
      </c>
      <c r="E282" s="33"/>
      <c r="F282" s="34" t="str">
        <f>HYPERLINK("https://docs.google.com/spreadsheets/d/1xkAlNU4WB1b0hQFTfij9AI9izRfK7HSY?usp=share_link", "RE-1815.26")</f>
        <v>RE-1815.26</v>
      </c>
      <c r="G282" s="34" t="str">
        <f>HYPERLINK("https://docs.google.com/spreadsheets/d/14z6wKgI4DaOvb892yjyKchAK5i0kwNZd?usp=share_link", "RE-7.66995")</f>
        <v>RE-7.66995</v>
      </c>
      <c r="H282" s="34" t="str">
        <f>HYPERLINK("https://docs.google.com/spreadsheets/d/1P35Kyb7VWzOVvNyOYkE3yNkU3diihr6P?usp=share_link", "RE-129.745")</f>
        <v>RE-129.745</v>
      </c>
      <c r="I282" s="33"/>
      <c r="J282" s="34" t="str">
        <f>HYPERLINK("https://docs.google.com/spreadsheets/d/1Qqr6PWX9v7MBLQd_nSCoB1ixl8zoQXyx?usp=share_link", "RE-179.497")</f>
        <v>RE-179.497</v>
      </c>
      <c r="K282" s="34" t="str">
        <f>HYPERLINK("https://docs.google.com/spreadsheets/d/1r0bCOvb91_jNA_Zbkrz556t2CPKDFRCo?usp=share_link", "RE-0.6781")</f>
        <v>RE-0.6781</v>
      </c>
      <c r="L282" s="34">
        <f>HYPERLINK("https://docs.google.com/spreadsheets/d/1tUMuCHY48R1hIS3_j-eWH6CpYq0jzYtU?usp=share_link", 1019.3)</f>
        <v>1019.3</v>
      </c>
      <c r="M282" s="34" t="str">
        <f>HYPERLINK("https://docs.google.com/spreadsheets/d/1QA-1t0CGv4eddvGcJmBImHZUTkL9YIJ3?usp=share_link", "RE-11.4575")</f>
        <v>RE-11.4575</v>
      </c>
      <c r="N282" s="34" t="str">
        <f>HYPERLINK("https://docs.google.com/spreadsheets/d/1hCWPci9Z2SLyAeZXhXT1yoSNyNuFzyVO?usp=share_link", "RE-1162.6")</f>
        <v>RE-1162.6</v>
      </c>
      <c r="O282" s="34" t="str">
        <f>HYPERLINK("https://docs.google.com/spreadsheets/d/1ApHLF0oEApYr0H0jY-GO4P-lyiMtLTUK?usp=share_link", "RE-13.9718")</f>
        <v>RE-13.9718</v>
      </c>
      <c r="P282" s="34">
        <f>HYPERLINK("https://docs.google.com/spreadsheets/d/1wXjE0Hzn-0hUunISqynSS7rb8HGnldL3?usp=share_link", 174.61)</f>
        <v>174.61</v>
      </c>
      <c r="Q282" s="34" t="str">
        <f>HYPERLINK("https://docs.google.com/spreadsheets/d/1AVCcRZc90aIwtiRlQ8aSA8VADCxk4UXC?usp=share_link", "RE-27.8319")</f>
        <v>RE-27.8319</v>
      </c>
      <c r="R282" s="34">
        <f>HYPERLINK("https://docs.google.com/spreadsheets/d/1Mf4kLbMmrj6xUmK0YkSiW3LWHjrbva4C?usp=share_link", 55.143)</f>
        <v>55.143</v>
      </c>
      <c r="S282" s="34" t="str">
        <f>HYPERLINK("https://docs.google.com/spreadsheets/d/18OulyaSEgnS0NLhHcU7P-J73fjWYLrxg?usp=share_link", "RE-0.545217")</f>
        <v>RE-0.545217</v>
      </c>
      <c r="T282" s="34">
        <f>HYPERLINK("https://docs.google.com/spreadsheets/d/1RPc3Aln52pV_jarVHg2tRYvmbMDO4I0J?usp=share_link", 197.1)</f>
        <v>197.1</v>
      </c>
      <c r="U282" s="34" t="str">
        <f>HYPERLINK("https://docs.google.com/spreadsheets/d/1Y0bvEQpjbkB1iovbmHvK5zRVZVNyOQJ7?usp=share_link", "RE-4.66215")</f>
        <v>RE-4.66215</v>
      </c>
      <c r="V282" s="34" t="str">
        <f>HYPERLINK("https://docs.google.com/spreadsheets/d/18meqgMfe8AokAJ5grg4GNVJuKoSPOqPc?usp=share_link", "RE-0.547867")</f>
        <v>RE-0.547867</v>
      </c>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c r="CN282" s="33"/>
      <c r="CO282" s="33"/>
      <c r="CP282" s="33"/>
      <c r="CQ282" s="33"/>
      <c r="CR282" s="33"/>
      <c r="CS282" s="33"/>
      <c r="CT282" s="33"/>
      <c r="CU282" s="33"/>
      <c r="CV282" s="33"/>
      <c r="CW282" s="33"/>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33"/>
      <c r="EP282" s="33"/>
      <c r="EQ282" s="33"/>
      <c r="ER282" s="33"/>
      <c r="ES282" s="33"/>
      <c r="ET282" s="33"/>
      <c r="EU282" s="33"/>
      <c r="EV282" s="33"/>
      <c r="EW282" s="33"/>
      <c r="EX282" s="33"/>
      <c r="EY282" s="33"/>
      <c r="EZ282" s="33"/>
      <c r="FA282" s="33"/>
      <c r="FB282" s="33"/>
      <c r="FC282" s="33"/>
      <c r="FD282" s="33"/>
      <c r="FE282" s="33"/>
      <c r="FF282" s="33"/>
      <c r="FG282" s="33"/>
      <c r="FH282" s="33"/>
    </row>
    <row r="283">
      <c r="A283" s="30" t="s">
        <v>38</v>
      </c>
      <c r="B283" s="30" t="s">
        <v>57</v>
      </c>
      <c r="C283" s="31" t="str">
        <f>HYPERLINK("https://docs.google.com/spreadsheets/d/110Bf4WdomCSJ_LSEGX6q_4U4mvVmuw68/edit?usp=share_link&amp;ouid=106501987799020758802&amp;rtpof=true&amp;sd=true", "Raw Delivered")</f>
        <v>Raw Delivered</v>
      </c>
      <c r="D283" s="12">
        <f t="shared" si="1"/>
        <v>7374.490855</v>
      </c>
      <c r="E283" s="13"/>
      <c r="F283" s="14">
        <f>HYPERLINK("https://docs.google.com/spreadsheets/d/16rf4_bo3Q_Udmlz_xD6odS_UlilHsrHN", 407.699996875)</f>
        <v>407.6999969</v>
      </c>
      <c r="G283" s="13"/>
      <c r="H283" s="14">
        <f>HYPERLINK("https://docs.google.com/spreadsheets/d/1rP4hstFmMB9nKwuStREyGPT8aGvLrMco", 90.1082479166666)</f>
        <v>90.10824792</v>
      </c>
      <c r="I283" s="13"/>
      <c r="J283" s="14">
        <f>HYPERLINK("https://docs.google.com/spreadsheets/d/137Wtv0qGV9KJRim4cwNycVvnezyZl97M", 774.312942708335)</f>
        <v>774.3129427</v>
      </c>
      <c r="K283" s="13"/>
      <c r="L283" s="14">
        <f t="shared" ref="L283:L284" si="142">HYPERLINK("https://docs.google.com/spreadsheets/d/1enHpUCNyaAGbOu_EUNHKB7XOl1DgUC5R", 1523.09731770832)</f>
        <v>1523.097318</v>
      </c>
      <c r="M283" s="13"/>
      <c r="N283" s="14">
        <f>HYPERLINK("https://docs.google.com/spreadsheets/d/1H0G7z1MLAE4c1Frbyn8DTpVewivX0NCW", 3223.37727708332)</f>
        <v>3223.377277</v>
      </c>
      <c r="O283" s="13"/>
      <c r="P283" s="14">
        <f t="shared" ref="P283:P284" si="143">HYPERLINK("https://docs.google.com/spreadsheets/d/19X88Lk2h4VCpNI2NukqjZCowHmjNAqBF", 673.489807291669)</f>
        <v>673.4898073</v>
      </c>
      <c r="Q283" s="13"/>
      <c r="R283" s="14">
        <f t="shared" ref="R283:R284" si="144">HYPERLINK("https://docs.google.com/spreadsheets/d/1aej_mpkS1Rk1i0v7ThhqOFjqPZRisxB0", 113.234446874999)</f>
        <v>113.2344469</v>
      </c>
      <c r="S283" s="13"/>
      <c r="T283" s="14">
        <f t="shared" ref="T283:T284" si="145">HYPERLINK("https://docs.google.com/spreadsheets/d/1uuv-E3mVTjQdbiC4oVZCGivbCjFQ_b1Z", 569.17081875)</f>
        <v>569.1708188</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row>
    <row r="284">
      <c r="A284" s="32" t="s">
        <v>38</v>
      </c>
      <c r="B284" s="32" t="s">
        <v>57</v>
      </c>
      <c r="C284" s="32" t="s">
        <v>9</v>
      </c>
      <c r="D284" s="16">
        <f t="shared" si="1"/>
        <v>2878.992391</v>
      </c>
      <c r="E284" s="17"/>
      <c r="F284" s="18" t="str">
        <f>HYPERLINK("https://docs.google.com/spreadsheets/d/16rf4_bo3Q_Udmlz_xD6odS_UlilHsrHN", "RE-407.69999687500035")</f>
        <v>RE-407.69999687500035</v>
      </c>
      <c r="G284" s="17"/>
      <c r="H284" s="18" t="str">
        <f>HYPERLINK("https://docs.google.com/spreadsheets/d/1rP4hstFmMB9nKwuStREyGPT8aGvLrMco", "RE-90.10824791666666")</f>
        <v>RE-90.10824791666666</v>
      </c>
      <c r="I284" s="17"/>
      <c r="J284" s="18" t="str">
        <f>HYPERLINK("https://docs.google.com/spreadsheets/d/137Wtv0qGV9KJRim4cwNycVvnezyZl97M", "RE-774.3129427083354")</f>
        <v>RE-774.3129427083354</v>
      </c>
      <c r="K284" s="17"/>
      <c r="L284" s="18">
        <f t="shared" si="142"/>
        <v>1523.097318</v>
      </c>
      <c r="M284" s="17"/>
      <c r="N284" s="18" t="str">
        <f>HYPERLINK("https://docs.google.com/spreadsheets/d/1H0G7z1MLAE4c1Frbyn8DTpVewivX0NCW", "RE-3223.377277083324")</f>
        <v>RE-3223.377277083324</v>
      </c>
      <c r="O284" s="17"/>
      <c r="P284" s="18">
        <f t="shared" si="143"/>
        <v>673.4898073</v>
      </c>
      <c r="Q284" s="17"/>
      <c r="R284" s="18">
        <f t="shared" si="144"/>
        <v>113.2344469</v>
      </c>
      <c r="S284" s="17"/>
      <c r="T284" s="18">
        <f t="shared" si="145"/>
        <v>569.1708188</v>
      </c>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c r="DN284" s="17"/>
      <c r="DO284" s="17"/>
      <c r="DP284" s="17"/>
      <c r="DQ284" s="17"/>
      <c r="DR284" s="17"/>
      <c r="DS284" s="17"/>
      <c r="DT284" s="17"/>
      <c r="DU284" s="17"/>
      <c r="DV284" s="17"/>
      <c r="DW284" s="17"/>
      <c r="DX284" s="17"/>
      <c r="DY284" s="17"/>
      <c r="DZ284" s="17"/>
      <c r="EA284" s="17"/>
      <c r="EB284" s="17"/>
      <c r="EC284" s="17"/>
      <c r="ED284" s="17"/>
      <c r="EE284" s="17"/>
      <c r="EF284" s="17"/>
      <c r="EG284" s="17"/>
      <c r="EH284" s="17"/>
      <c r="EI284" s="17"/>
      <c r="EJ284" s="17"/>
      <c r="EK284" s="17"/>
      <c r="EL284" s="17"/>
      <c r="EM284" s="17"/>
      <c r="EN284" s="17"/>
      <c r="EO284" s="17"/>
      <c r="EP284" s="17"/>
      <c r="EQ284" s="17"/>
      <c r="ER284" s="17"/>
      <c r="ES284" s="17"/>
      <c r="ET284" s="17"/>
      <c r="EU284" s="17"/>
      <c r="EV284" s="17"/>
      <c r="EW284" s="17"/>
      <c r="EX284" s="17"/>
      <c r="EY284" s="17"/>
      <c r="EZ284" s="17"/>
      <c r="FA284" s="17"/>
      <c r="FB284" s="17"/>
      <c r="FC284" s="17"/>
      <c r="FD284" s="17"/>
      <c r="FE284" s="17"/>
      <c r="FF284" s="17"/>
      <c r="FG284" s="17"/>
      <c r="FH284" s="17"/>
    </row>
    <row r="285">
      <c r="A285" s="32" t="s">
        <v>38</v>
      </c>
      <c r="B285" s="32" t="s">
        <v>57</v>
      </c>
      <c r="C285" s="32" t="s">
        <v>10</v>
      </c>
      <c r="D285" s="16">
        <f t="shared" si="1"/>
        <v>818.1377854</v>
      </c>
      <c r="E285" s="17"/>
      <c r="F285" s="17"/>
      <c r="G285" s="18">
        <f>HYPERLINK("https://docs.google.com/spreadsheets/d/1_-XZ0Z-3vd5uUvwRWvgsjWPgcaPj_zLQ", 44.8573499999999)</f>
        <v>44.85735</v>
      </c>
      <c r="H285" s="17"/>
      <c r="I285" s="18">
        <f>HYPERLINK("https://docs.google.com/spreadsheets/d/13g_g3NmXBoxkPlPERpknsP6Ov2re595g", 4.25603854166666)</f>
        <v>4.256038542</v>
      </c>
      <c r="J285" s="17"/>
      <c r="K285" s="18">
        <f>HYPERLINK("https://docs.google.com/spreadsheets/d/14mQxaIGcqEc31XKMXuRhvCFIy2vXV8zu", 63.5061781249999)</f>
        <v>63.50617812</v>
      </c>
      <c r="L285" s="17"/>
      <c r="M285" s="18">
        <f>HYPERLINK("https://docs.google.com/spreadsheets/d/1-87PiXyUcsUH6c3-2fvG41q869veG6sH", 64.6566708333333)</f>
        <v>64.65667083</v>
      </c>
      <c r="N285" s="17"/>
      <c r="O285" s="18">
        <f>HYPERLINK("https://docs.google.com/spreadsheets/d/1dbHb-iOZZfTtxDlu-Ovjw0QnGR1R4s2e", 437.541284374999)</f>
        <v>437.5412844</v>
      </c>
      <c r="P285" s="17"/>
      <c r="Q285" s="18">
        <f>HYPERLINK("https://docs.google.com/spreadsheets/d/1oncCOA1LkOPDbna-vL2DRLJYYuAoIwfZ", 97.6008614583333)</f>
        <v>97.60086146</v>
      </c>
      <c r="R285" s="17"/>
      <c r="S285" s="18">
        <f>HYPERLINK("https://docs.google.com/spreadsheets/d/1DeVPAh6s4YOFTuDJn1tEFzqaoxFJlwA6", 47.2953947916666)</f>
        <v>47.29539479</v>
      </c>
      <c r="T285" s="17"/>
      <c r="U285" s="18">
        <f>HYPERLINK("https://docs.google.com/spreadsheets/d/1wbcQq7vktatcBGnP0wmBX8ngtrY2-QWa", 48.444678125)</f>
        <v>48.44467813</v>
      </c>
      <c r="V285" s="18">
        <f>HYPERLINK("https://docs.google.com/spreadsheets/d/1o1ElaRaFGlHCxe8orr3wnC5MZUNJZl1P", 9.97932916666666)</f>
        <v>9.979329167</v>
      </c>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c r="DN285" s="17"/>
      <c r="DO285" s="17"/>
      <c r="DP285" s="17"/>
      <c r="DQ285" s="17"/>
      <c r="DR285" s="17"/>
      <c r="DS285" s="17"/>
      <c r="DT285" s="17"/>
      <c r="DU285" s="17"/>
      <c r="DV285" s="17"/>
      <c r="DW285" s="17"/>
      <c r="DX285" s="17"/>
      <c r="DY285" s="17"/>
      <c r="DZ285" s="17"/>
      <c r="EA285" s="17"/>
      <c r="EB285" s="17"/>
      <c r="EC285" s="17"/>
      <c r="ED285" s="17"/>
      <c r="EE285" s="17"/>
      <c r="EF285" s="17"/>
      <c r="EG285" s="17"/>
      <c r="EH285" s="17"/>
      <c r="EI285" s="17"/>
      <c r="EJ285" s="17"/>
      <c r="EK285" s="17"/>
      <c r="EL285" s="17"/>
      <c r="EM285" s="17"/>
      <c r="EN285" s="17"/>
      <c r="EO285" s="17"/>
      <c r="EP285" s="17"/>
      <c r="EQ285" s="17"/>
      <c r="ER285" s="17"/>
      <c r="ES285" s="17"/>
      <c r="ET285" s="17"/>
      <c r="EU285" s="17"/>
      <c r="EV285" s="17"/>
      <c r="EW285" s="17"/>
      <c r="EX285" s="17"/>
      <c r="EY285" s="17"/>
      <c r="EZ285" s="17"/>
      <c r="FA285" s="17"/>
      <c r="FB285" s="17"/>
      <c r="FC285" s="17"/>
      <c r="FD285" s="17"/>
      <c r="FE285" s="17"/>
      <c r="FF285" s="17"/>
      <c r="FG285" s="17"/>
      <c r="FH285" s="17"/>
    </row>
    <row r="286">
      <c r="A286" s="32" t="s">
        <v>38</v>
      </c>
      <c r="B286" s="32" t="s">
        <v>57</v>
      </c>
      <c r="C286" s="32" t="s">
        <v>11</v>
      </c>
      <c r="D286" s="16">
        <f t="shared" si="1"/>
        <v>0</v>
      </c>
      <c r="E286" s="17"/>
      <c r="F286" s="17"/>
      <c r="G286" s="18" t="str">
        <f>HYPERLINK("https://docs.google.com/spreadsheets/d/1_-XZ0Z-3vd5uUvwRWvgsjWPgcaPj_zLQ", "RE-44.85734999999999")</f>
        <v>RE-44.85734999999999</v>
      </c>
      <c r="H286" s="17"/>
      <c r="I286" s="18" t="str">
        <f>HYPERLINK("https://docs.google.com/spreadsheets/d/13g_g3NmXBoxkPlPERpknsP6Ov2re595g", "RE-4.256038541666666")</f>
        <v>RE-4.256038541666666</v>
      </c>
      <c r="J286" s="17"/>
      <c r="K286" s="18" t="str">
        <f>HYPERLINK("https://docs.google.com/spreadsheets/d/14mQxaIGcqEc31XKMXuRhvCFIy2vXV8zu", "RE-63.506178124999984")</f>
        <v>RE-63.506178124999984</v>
      </c>
      <c r="L286" s="17"/>
      <c r="M286" s="18" t="str">
        <f>HYPERLINK("https://docs.google.com/spreadsheets/d/1-87PiXyUcsUH6c3-2fvG41q869veG6sH", "RE-64.65667083333332")</f>
        <v>RE-64.65667083333332</v>
      </c>
      <c r="N286" s="17"/>
      <c r="O286" s="18" t="str">
        <f>HYPERLINK("https://docs.google.com/spreadsheets/d/1dbHb-iOZZfTtxDlu-Ovjw0QnGR1R4s2e", "RE-437.54128437499946")</f>
        <v>RE-437.54128437499946</v>
      </c>
      <c r="P286" s="17"/>
      <c r="Q286" s="18" t="str">
        <f>HYPERLINK("https://docs.google.com/spreadsheets/d/1oncCOA1LkOPDbna-vL2DRLJYYuAoIwfZ", "RE-97.60086145833336")</f>
        <v>RE-97.60086145833336</v>
      </c>
      <c r="R286" s="17"/>
      <c r="S286" s="18" t="str">
        <f>HYPERLINK("https://docs.google.com/spreadsheets/d/1DeVPAh6s4YOFTuDJn1tEFzqaoxFJlwA6", "RE-47.295394791666645")</f>
        <v>RE-47.295394791666645</v>
      </c>
      <c r="T286" s="17"/>
      <c r="U286" s="18" t="str">
        <f>HYPERLINK("https://docs.google.com/spreadsheets/d/1wbcQq7vktatcBGnP0wmBX8ngtrY2-QWa", "RE-48.44467812500001")</f>
        <v>RE-48.44467812500001</v>
      </c>
      <c r="V286" s="18" t="str">
        <f>HYPERLINK("https://docs.google.com/spreadsheets/d/1o1ElaRaFGlHCxe8orr3wnC5MZUNJZl1P", "RE-9.979329166666666")</f>
        <v>RE-9.979329166666666</v>
      </c>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c r="EJ286" s="17"/>
      <c r="EK286" s="17"/>
      <c r="EL286" s="17"/>
      <c r="EM286" s="17"/>
      <c r="EN286" s="17"/>
      <c r="EO286" s="17"/>
      <c r="EP286" s="17"/>
      <c r="EQ286" s="17"/>
      <c r="ER286" s="17"/>
      <c r="ES286" s="17"/>
      <c r="ET286" s="17"/>
      <c r="EU286" s="17"/>
      <c r="EV286" s="17"/>
      <c r="EW286" s="17"/>
      <c r="EX286" s="17"/>
      <c r="EY286" s="17"/>
      <c r="EZ286" s="17"/>
      <c r="FA286" s="17"/>
      <c r="FB286" s="17"/>
      <c r="FC286" s="17"/>
      <c r="FD286" s="17"/>
      <c r="FE286" s="17"/>
      <c r="FF286" s="17"/>
      <c r="FG286" s="17"/>
      <c r="FH286" s="17"/>
    </row>
    <row r="287">
      <c r="A287" s="32" t="s">
        <v>38</v>
      </c>
      <c r="B287" s="32" t="s">
        <v>57</v>
      </c>
      <c r="C287" s="32" t="s">
        <v>12</v>
      </c>
      <c r="D287" s="16">
        <f t="shared" si="1"/>
        <v>2665.696964</v>
      </c>
      <c r="E287" s="17"/>
      <c r="F287" s="18" t="str">
        <f>HYPERLINK("https://docs.google.com/spreadsheets/d/102pOt5sQmR6VJTAYUOXPl0br0Fx8o8rt", "RE-332.52409583333326")</f>
        <v>RE-332.52409583333326</v>
      </c>
      <c r="G287" s="18" t="str">
        <f>HYPERLINK("https://docs.google.com/spreadsheets/d/1nK5w70ESxfVwTQQk1VUgXcIyMiASNivC", "RE-1.3527083333333334")</f>
        <v>RE-1.3527083333333334</v>
      </c>
      <c r="H287" s="18" t="str">
        <f>HYPERLINK("https://docs.google.com/spreadsheets/d/1sdr55x29PcR-FWrClJi-8cqETLkjjfFn", "RE-85.83856874999996")</f>
        <v>RE-85.83856874999996</v>
      </c>
      <c r="I287" s="18" t="str">
        <f>HYPERLINK("https://docs.google.com/spreadsheets/d/1qed8tWD9dIK_GAtZTfYfShdfdDt1ynyJ", "RE-0.0")</f>
        <v>RE-0.0</v>
      </c>
      <c r="J287" s="18" t="str">
        <f>HYPERLINK("https://docs.google.com/spreadsheets/d/1hzBHWtllx5-krBVHZ4SnypW4nTVwx6bK", "RE-575.9226072916678")</f>
        <v>RE-575.9226072916678</v>
      </c>
      <c r="K287" s="18" t="str">
        <f>HYPERLINK("https://docs.google.com/spreadsheets/d/1ge8lkXRQT7F5iA0hs6Re8ryXE9tfCYzv", "RE-3.5954979166666665")</f>
        <v>RE-3.5954979166666665</v>
      </c>
      <c r="L287" s="18">
        <f>HYPERLINK("https://docs.google.com/spreadsheets/d/15OPKgkfVOsupyNDt_3BD2ec1krZ5rgpK", 1424.19643749999)</f>
        <v>1424.196437</v>
      </c>
      <c r="M287" s="18" t="str">
        <f>HYPERLINK("https://docs.google.com/spreadsheets/d/1XFf20jaburhnqGED-Qkle-5_2p8nhDDf", "RE-12.974473958333338")</f>
        <v>RE-12.974473958333338</v>
      </c>
      <c r="N287" s="18" t="str">
        <f>HYPERLINK("https://docs.google.com/spreadsheets/d/1vR8bSDK43LIyCXAlVR-YHY1Q87mLOYLg", "RE-2136.5491708333293")</f>
        <v>RE-2136.5491708333293</v>
      </c>
      <c r="O287" s="18" t="str">
        <f>HYPERLINK("https://docs.google.com/spreadsheets/d/1M6IRZq7uaHlIljiULZPrk0DnijRtjxeZ", "RE-11.62919375")</f>
        <v>RE-11.62919375</v>
      </c>
      <c r="P287" s="18">
        <f>HYPERLINK("https://docs.google.com/spreadsheets/d/13Y0fGscj7vGKSQna7KJGLzgQLHbeKs2_", 601.940975000001)</f>
        <v>601.940975</v>
      </c>
      <c r="Q287" s="18" t="str">
        <f>HYPERLINK("https://docs.google.com/spreadsheets/d/1jZjYz9E1vIL9teRF8rxGs2KifoNhiZ2t", "RE-30.42804166666667")</f>
        <v>RE-30.42804166666667</v>
      </c>
      <c r="R287" s="18">
        <f>HYPERLINK("https://docs.google.com/spreadsheets/d/1yQwx2LXexEQ_bszcYbp_sDQrhGfKGHvV", 100.977257291666)</f>
        <v>100.9772573</v>
      </c>
      <c r="S287" s="18" t="str">
        <f>HYPERLINK("https://docs.google.com/spreadsheets/d/1N5irXdgVn7Dh1TP2HnhURYN5qNEzYX4X", "RE-26.495377083333327")</f>
        <v>RE-26.495377083333327</v>
      </c>
      <c r="T287" s="18">
        <f>HYPERLINK("https://docs.google.com/spreadsheets/d/1J5LvrNdejOim7BPaXbHwapzIcVnvv_9k", 538.58229375)</f>
        <v>538.5822938</v>
      </c>
      <c r="U287" s="18" t="str">
        <f>HYPERLINK("https://docs.google.com/spreadsheets/d/1z188vKoX84PbTlhzq_3TgzTB0bXCGrnY", "RE-25.93572187500001")</f>
        <v>RE-25.93572187500001</v>
      </c>
      <c r="V287" s="18" t="str">
        <f>HYPERLINK("https://docs.google.com/spreadsheets/d/1nSVUrebeDNS9YTrCZ4ngZWZpZ2z5FbvB", "RE-4.388141666666666")</f>
        <v>RE-4.388141666666666</v>
      </c>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c r="DN287" s="17"/>
      <c r="DO287" s="17"/>
      <c r="DP287" s="17"/>
      <c r="DQ287" s="17"/>
      <c r="DR287" s="17"/>
      <c r="DS287" s="17"/>
      <c r="DT287" s="17"/>
      <c r="DU287" s="17"/>
      <c r="DV287" s="17"/>
      <c r="DW287" s="17"/>
      <c r="DX287" s="17"/>
      <c r="DY287" s="17"/>
      <c r="DZ287" s="17"/>
      <c r="EA287" s="17"/>
      <c r="EB287" s="17"/>
      <c r="EC287" s="17"/>
      <c r="ED287" s="17"/>
      <c r="EE287" s="17"/>
      <c r="EF287" s="17"/>
      <c r="EG287" s="17"/>
      <c r="EH287" s="17"/>
      <c r="EI287" s="17"/>
      <c r="EJ287" s="17"/>
      <c r="EK287" s="17"/>
      <c r="EL287" s="17"/>
      <c r="EM287" s="17"/>
      <c r="EN287" s="17"/>
      <c r="EO287" s="17"/>
      <c r="EP287" s="17"/>
      <c r="EQ287" s="17"/>
      <c r="ER287" s="17"/>
      <c r="ES287" s="17"/>
      <c r="ET287" s="17"/>
      <c r="EU287" s="17"/>
      <c r="EV287" s="17"/>
      <c r="EW287" s="17"/>
      <c r="EX287" s="17"/>
      <c r="EY287" s="17"/>
      <c r="EZ287" s="17"/>
      <c r="FA287" s="17"/>
      <c r="FB287" s="17"/>
      <c r="FC287" s="17"/>
      <c r="FD287" s="17"/>
      <c r="FE287" s="17"/>
      <c r="FF287" s="17"/>
      <c r="FG287" s="17"/>
      <c r="FH287" s="17"/>
    </row>
    <row r="288">
      <c r="A288" s="32" t="s">
        <v>38</v>
      </c>
      <c r="B288" s="32" t="s">
        <v>57</v>
      </c>
      <c r="C288" s="32" t="s">
        <v>13</v>
      </c>
      <c r="D288" s="16">
        <f t="shared" si="1"/>
        <v>2522.1894</v>
      </c>
      <c r="E288" s="17"/>
      <c r="F288" s="18" t="str">
        <f>HYPERLINK("https://docs.google.com/spreadsheets/d/1160WS07sEcdt8MIcz6e3bV9sc31KW50-?usp=share_link", "RE-321.535")</f>
        <v>RE-321.535</v>
      </c>
      <c r="G288" s="18" t="str">
        <f>HYPERLINK("https://docs.google.com/spreadsheets/d/1sBApSOXpv1reLpZGaoGXhBarOOaEjKzE?usp=share_link", "RE-1.24248")</f>
        <v>RE-1.24248</v>
      </c>
      <c r="H288" s="18" t="str">
        <f>HYPERLINK("https://docs.google.com/spreadsheets/d/1CCDjmCo0b1ZCXBkArs9cVAwbY5rT8Zfm?usp=share_link", "RE-83.1044")</f>
        <v>RE-83.1044</v>
      </c>
      <c r="I288" s="17"/>
      <c r="J288" s="18" t="str">
        <f>HYPERLINK("https://docs.google.com/spreadsheets/d/13xMeYgrBF3VVkLZQ1tlHwG-Q74ytKbGB?usp=share_link", "RE-554.704")</f>
        <v>RE-554.704</v>
      </c>
      <c r="K288" s="18" t="str">
        <f>HYPERLINK("https://docs.google.com/spreadsheets/d/1B7rtxt77n_4IHjE6Z6U3A1iGZKBL-8vY?usp=share_link", "RE-3.18342")</f>
        <v>RE-3.18342</v>
      </c>
      <c r="L288" s="18">
        <f>HYPERLINK("https://docs.google.com/spreadsheets/d/1l7o1JmzbY_JQ_BcaPjnMj6YXF7RY-hCx?usp=share_link", 1349.37)</f>
        <v>1349.37</v>
      </c>
      <c r="M288" s="18" t="str">
        <f>HYPERLINK("https://docs.google.com/spreadsheets/d/18zaOFNngsV1k399giG1KLwW1tch-Kc1Y?usp=share_link", "RE-11.7797")</f>
        <v>RE-11.7797</v>
      </c>
      <c r="N288" s="18" t="str">
        <f>HYPERLINK("https://docs.google.com/spreadsheets/d/10SHwDUb2zCHtLeol-oXG3MkLi-f9v_LL?usp=share_link", "RE-2052.8")</f>
        <v>RE-2052.8</v>
      </c>
      <c r="O288" s="18" t="str">
        <f>HYPERLINK("https://docs.google.com/spreadsheets/d/1pjvPa41esrWf-lGyb4X6ZsUIwSpKfXzh?usp=share_link", "RE-11.1012")</f>
        <v>RE-11.1012</v>
      </c>
      <c r="P288" s="18">
        <f>HYPERLINK("https://docs.google.com/spreadsheets/d/1ujdpjwuYhhwM5cF9sgDZTCprJo0Q2R7m?usp=share_link", 566.381)</f>
        <v>566.381</v>
      </c>
      <c r="Q288" s="18" t="str">
        <f>HYPERLINK("https://docs.google.com/spreadsheets/d/1KwgZkbr95EXqyFc12eyxqmAUtQtSGn6_?usp=share_link", "RE-28.6469")</f>
        <v>RE-28.6469</v>
      </c>
      <c r="R288" s="18">
        <f>HYPERLINK("https://docs.google.com/spreadsheets/d/1a9Gs-jBP6IT0phAW1DTRQigHSuk88Nru?usp=share_link", 95.5784)</f>
        <v>95.5784</v>
      </c>
      <c r="S288" s="18" t="str">
        <f>HYPERLINK("https://docs.google.com/spreadsheets/d/1aYclZ2UBaU5vPSxyuAAFJCZl08TCL2-Y?usp=share_link", "RE-24.7825")</f>
        <v>RE-24.7825</v>
      </c>
      <c r="T288" s="18">
        <f>HYPERLINK("https://docs.google.com/spreadsheets/d/16Izovhch_4nBmjMM2TlliWSZPlQLeTMa?usp=share_link", 510.86)</f>
        <v>510.86</v>
      </c>
      <c r="U288" s="18" t="str">
        <f>HYPERLINK("https://docs.google.com/spreadsheets/d/1GDolfYWzlc7_jJtJBOQKUt02d8Y5yB_O?usp=share_link", "RE-24.5067")</f>
        <v>RE-24.5067</v>
      </c>
      <c r="V288" s="18" t="str">
        <f>HYPERLINK("https://docs.google.com/spreadsheets/d/1SB5BX0pScYDTy4dfwwQWL3RV8zSS3gZG?usp=share_link", "RE-4.23203")</f>
        <v>RE-4.23203</v>
      </c>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c r="DN288" s="17"/>
      <c r="DO288" s="17"/>
      <c r="DP288" s="17"/>
      <c r="DQ288" s="17"/>
      <c r="DR288" s="17"/>
      <c r="DS288" s="17"/>
      <c r="DT288" s="17"/>
      <c r="DU288" s="17"/>
      <c r="DV288" s="17"/>
      <c r="DW288" s="17"/>
      <c r="DX288" s="17"/>
      <c r="DY288" s="17"/>
      <c r="DZ288" s="17"/>
      <c r="EA288" s="17"/>
      <c r="EB288" s="17"/>
      <c r="EC288" s="17"/>
      <c r="ED288" s="17"/>
      <c r="EE288" s="17"/>
      <c r="EF288" s="17"/>
      <c r="EG288" s="17"/>
      <c r="EH288" s="17"/>
      <c r="EI288" s="17"/>
      <c r="EJ288" s="17"/>
      <c r="EK288" s="17"/>
      <c r="EL288" s="17"/>
      <c r="EM288" s="17"/>
      <c r="EN288" s="17"/>
      <c r="EO288" s="17"/>
      <c r="EP288" s="17"/>
      <c r="EQ288" s="17"/>
      <c r="ER288" s="17"/>
      <c r="ES288" s="17"/>
      <c r="ET288" s="17"/>
      <c r="EU288" s="17"/>
      <c r="EV288" s="17"/>
      <c r="EW288" s="17"/>
      <c r="EX288" s="17"/>
      <c r="EY288" s="17"/>
      <c r="EZ288" s="17"/>
      <c r="FA288" s="17"/>
      <c r="FB288" s="17"/>
      <c r="FC288" s="17"/>
      <c r="FD288" s="17"/>
      <c r="FE288" s="17"/>
      <c r="FF288" s="17"/>
      <c r="FG288" s="17"/>
      <c r="FH288" s="17"/>
    </row>
    <row r="289">
      <c r="A289" s="32" t="s">
        <v>38</v>
      </c>
      <c r="B289" s="32" t="s">
        <v>57</v>
      </c>
      <c r="C289" s="32" t="s">
        <v>14</v>
      </c>
      <c r="D289" s="16">
        <f t="shared" si="1"/>
        <v>2185.3297</v>
      </c>
      <c r="E289" s="17"/>
      <c r="F289" s="18" t="str">
        <f>HYPERLINK("https://docs.google.com/spreadsheets/d/1Gm8u6_PiQPY5oSLzJa6yadpohADtMEA9?usp=share_link", "RE-278.891")</f>
        <v>RE-278.891</v>
      </c>
      <c r="G289" s="18" t="str">
        <f>HYPERLINK("https://docs.google.com/spreadsheets/d/1HMsG6eAs2UWwpS1qESQyBfDqQiJxNcFU?usp=share_link", "RE-1.24248")</f>
        <v>RE-1.24248</v>
      </c>
      <c r="H289" s="18" t="str">
        <f>HYPERLINK("https://docs.google.com/spreadsheets/d/1ZejE_0WBp6zr1gXZBKnWpOXHXev5TzzY?usp=share_link", "RE-77.1397")</f>
        <v>RE-77.1397</v>
      </c>
      <c r="I289" s="17"/>
      <c r="J289" s="18" t="str">
        <f>HYPERLINK("https://docs.google.com/spreadsheets/d/1ol9kli2DKi3T6PJhLqGDwfVqXpS-I83o?usp=share_link", "RE-505.679")</f>
        <v>RE-505.679</v>
      </c>
      <c r="K289" s="18" t="str">
        <f>HYPERLINK("https://docs.google.com/spreadsheets/d/1w5T741_7OoEV76X8SW6Kl7TZv_12B07r?usp=share_link", "RE-2.65287")</f>
        <v>RE-2.65287</v>
      </c>
      <c r="L289" s="18">
        <f>HYPERLINK("https://docs.google.com/spreadsheets/d/1OaeEDDZ88FfxSVPjoiwX-MJNw7IOCtsX?usp=share_link", 1187.98)</f>
        <v>1187.98</v>
      </c>
      <c r="M289" s="18" t="str">
        <f>HYPERLINK("https://docs.google.com/spreadsheets/d/1jBTOD4QDKN9110rzCJKxAqFsTYWif_wI?usp=share_link", "RE-9.34343")</f>
        <v>RE-9.34343</v>
      </c>
      <c r="N289" s="18" t="str">
        <f>HYPERLINK("https://docs.google.com/spreadsheets/d/1iN2ifHb1nFLJhOl5Sx6OWqidSqlGxmuj?usp=share_link", "RE-1819.64")</f>
        <v>RE-1819.64</v>
      </c>
      <c r="O289" s="18" t="str">
        <f>HYPERLINK("https://docs.google.com/spreadsheets/d/1iVwsuc8tXRX7wnTju7Xuaqf5M5x2K2m6?usp=share_link", "RE-9.96342")</f>
        <v>RE-9.96342</v>
      </c>
      <c r="P289" s="18">
        <f>HYPERLINK("https://docs.google.com/spreadsheets/d/1CetZFi4mvhypub99dyIKsN30Ybh4kTeN?usp=share_link", 486.98)</f>
        <v>486.98</v>
      </c>
      <c r="Q289" s="18" t="str">
        <f>HYPERLINK("https://docs.google.com/spreadsheets/d/1kDf_IGv4HVo3weCINRfKbHJvCt4mLsPA?usp=share_link", "RE-25.3185")</f>
        <v>RE-25.3185</v>
      </c>
      <c r="R289" s="18">
        <f>HYPERLINK("https://docs.google.com/spreadsheets/d/1Anr3z2Wr5jYuP596lW7cCdK1U40rqgjh?usp=share_link", 79.1017)</f>
        <v>79.1017</v>
      </c>
      <c r="S289" s="18" t="str">
        <f>HYPERLINK("https://docs.google.com/spreadsheets/d/1ocuqflNwDma6bdBUL7lteljxVJMp8Ruy?usp=share_link", "RE-22.5527")</f>
        <v>RE-22.5527</v>
      </c>
      <c r="T289" s="18">
        <f>HYPERLINK("https://docs.google.com/spreadsheets/d/1GrQmmsvVX1Bjr2LrGrWgtxFSnIFNqM-5?usp=share_link", 431.268)</f>
        <v>431.268</v>
      </c>
      <c r="U289" s="18" t="str">
        <f>HYPERLINK("https://docs.google.com/spreadsheets/d/1oHnO7MLsf3KQxuIVJxwH_YsHfMlt9WVe?usp=share_link", "RE-21.0555")</f>
        <v>RE-21.0555</v>
      </c>
      <c r="V289" s="18" t="str">
        <f>HYPERLINK("https://docs.google.com/spreadsheets/d/1x3KoRmVipnTJbUYf57Cj4sZiR0RnJkwv?usp=share_link", "RE-3.40622")</f>
        <v>RE-3.40622</v>
      </c>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c r="EJ289" s="17"/>
      <c r="EK289" s="17"/>
      <c r="EL289" s="17"/>
      <c r="EM289" s="17"/>
      <c r="EN289" s="17"/>
      <c r="EO289" s="17"/>
      <c r="EP289" s="17"/>
      <c r="EQ289" s="17"/>
      <c r="ER289" s="17"/>
      <c r="ES289" s="17"/>
      <c r="ET289" s="17"/>
      <c r="EU289" s="17"/>
      <c r="EV289" s="17"/>
      <c r="EW289" s="17"/>
      <c r="EX289" s="17"/>
      <c r="EY289" s="17"/>
      <c r="EZ289" s="17"/>
      <c r="FA289" s="17"/>
      <c r="FB289" s="17"/>
      <c r="FC289" s="17"/>
      <c r="FD289" s="17"/>
      <c r="FE289" s="17"/>
      <c r="FF289" s="17"/>
      <c r="FG289" s="17"/>
      <c r="FH289" s="17"/>
    </row>
    <row r="290">
      <c r="A290" s="27" t="s">
        <v>38</v>
      </c>
      <c r="B290" s="27" t="s">
        <v>57</v>
      </c>
      <c r="C290" s="27" t="s">
        <v>15</v>
      </c>
      <c r="D290" s="28">
        <f t="shared" si="1"/>
        <v>2521.8474</v>
      </c>
      <c r="E290" s="33"/>
      <c r="F290" s="34" t="str">
        <f>HYPERLINK("https://docs.google.com/spreadsheets/d/1bhNCPUsvURVtngRd8Ent1pRISNSvXaTm?usp=share_link", "RE-321.449")</f>
        <v>RE-321.449</v>
      </c>
      <c r="G290" s="34" t="str">
        <f>HYPERLINK("https://docs.google.com/spreadsheets/d/1F9s5J_gwWLMIecKszGEBfMaE2PBSExXC?usp=share_link", "RE-1.24248")</f>
        <v>RE-1.24248</v>
      </c>
      <c r="H290" s="34" t="str">
        <f>HYPERLINK("https://docs.google.com/spreadsheets/d/1ZMSWfV-Tzn-0JByKE-2zySRQ072lwuhH?usp=share_link", "RE-83.1044")</f>
        <v>RE-83.1044</v>
      </c>
      <c r="I290" s="33"/>
      <c r="J290" s="34" t="str">
        <f>HYPERLINK("https://docs.google.com/spreadsheets/d/1sBQ5iyfTGl5wMoFtmojjlR-oF6bIK7F-?usp=share_link", "RE-554.704")</f>
        <v>RE-554.704</v>
      </c>
      <c r="K290" s="34" t="str">
        <f>HYPERLINK("https://docs.google.com/spreadsheets/d/1HP0xZdclcmB-397L5Kd1cAzKdxSSGyYb?usp=share_link", "RE-3.18342")</f>
        <v>RE-3.18342</v>
      </c>
      <c r="L290" s="34">
        <f>HYPERLINK("https://docs.google.com/spreadsheets/d/1_DJHQRzlEB4g_2gUcOFJqGoQi-VNPjR2?usp=share_link", 1349.36)</f>
        <v>1349.36</v>
      </c>
      <c r="M290" s="34" t="str">
        <f>HYPERLINK("https://docs.google.com/spreadsheets/d/1To1y-Lo20sDaGtUBQ9l0WIDwjE_vXHSs?usp=share_link", "RE-11.7797")</f>
        <v>RE-11.7797</v>
      </c>
      <c r="N290" s="34" t="str">
        <f>HYPERLINK("https://docs.google.com/spreadsheets/d/1LRW8GowZlWNmfKG_e5zvciSbW0-n0Av-?usp=share_link", "RE-2052.64")</f>
        <v>RE-2052.64</v>
      </c>
      <c r="O290" s="34" t="str">
        <f>HYPERLINK("https://docs.google.com/spreadsheets/d/1Q_Wtcia2PmxWUzA-iNTQkkx11Ic3kvpC?usp=share_link", "RE-11.1012")</f>
        <v>RE-11.1012</v>
      </c>
      <c r="P290" s="34">
        <f>HYPERLINK("https://docs.google.com/spreadsheets/d/1T6ZAiACIzwWv7HwpshDVcfB5-q27r43I?usp=share_link", 566.074)</f>
        <v>566.074</v>
      </c>
      <c r="Q290" s="34" t="str">
        <f>HYPERLINK("https://docs.google.com/spreadsheets/d/1Gv0F0EmMngybc-ycIUZvfcLmFSJcBu48?usp=share_link", "RE-28.6469")</f>
        <v>RE-28.6469</v>
      </c>
      <c r="R290" s="34">
        <f>HYPERLINK("https://docs.google.com/spreadsheets/d/1AcZ2o1KkbVQpTr22tNNY5dq2zjTEkQeO?usp=share_link", 95.5784)</f>
        <v>95.5784</v>
      </c>
      <c r="S290" s="34" t="str">
        <f>HYPERLINK("https://docs.google.com/spreadsheets/d/1SzUFkmiYP11_OD8zStlUAgUbcLIgP-vP?usp=share_link", "RE-24.7825")</f>
        <v>RE-24.7825</v>
      </c>
      <c r="T290" s="34">
        <f>HYPERLINK("https://docs.google.com/spreadsheets/d/1fKvAzJTIIGnm7sSa2HWsj5vveqb2XdY8?usp=share_link", 510.835)</f>
        <v>510.835</v>
      </c>
      <c r="U290" s="34" t="str">
        <f>HYPERLINK("https://docs.google.com/spreadsheets/d/1DSgivQX-o5babAMpLiD0XPHLirha79_4?usp=share_link", "RE-24.5067")</f>
        <v>RE-24.5067</v>
      </c>
      <c r="V290" s="34" t="str">
        <f>HYPERLINK("https://docs.google.com/spreadsheets/d/1HFUT4UFY5D0Qk35eYTKRemzrIhk0SDE-?usp=share_link", "RE-4.23203")</f>
        <v>RE-4.23203</v>
      </c>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33"/>
      <c r="BX290" s="33"/>
      <c r="BY290" s="33"/>
      <c r="BZ290" s="33"/>
      <c r="CA290" s="33"/>
      <c r="CB290" s="33"/>
      <c r="CC290" s="33"/>
      <c r="CD290" s="33"/>
      <c r="CE290" s="33"/>
      <c r="CF290" s="33"/>
      <c r="CG290" s="33"/>
      <c r="CH290" s="33"/>
      <c r="CI290" s="33"/>
      <c r="CJ290" s="33"/>
      <c r="CK290" s="33"/>
      <c r="CL290" s="33"/>
      <c r="CM290" s="33"/>
      <c r="CN290" s="33"/>
      <c r="CO290" s="33"/>
      <c r="CP290" s="33"/>
      <c r="CQ290" s="33"/>
      <c r="CR290" s="33"/>
      <c r="CS290" s="33"/>
      <c r="CT290" s="33"/>
      <c r="CU290" s="33"/>
      <c r="CV290" s="33"/>
      <c r="CW290" s="33"/>
      <c r="CX290" s="33"/>
      <c r="CY290" s="33"/>
      <c r="CZ290" s="33"/>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33"/>
      <c r="EP290" s="33"/>
      <c r="EQ290" s="33"/>
      <c r="ER290" s="33"/>
      <c r="ES290" s="33"/>
      <c r="ET290" s="33"/>
      <c r="EU290" s="33"/>
      <c r="EV290" s="33"/>
      <c r="EW290" s="33"/>
      <c r="EX290" s="33"/>
      <c r="EY290" s="33"/>
      <c r="EZ290" s="33"/>
      <c r="FA290" s="33"/>
      <c r="FB290" s="33"/>
      <c r="FC290" s="33"/>
      <c r="FD290" s="33"/>
      <c r="FE290" s="33"/>
      <c r="FF290" s="33"/>
      <c r="FG290" s="33"/>
      <c r="FH290" s="33"/>
    </row>
    <row r="291">
      <c r="A291" s="30" t="s">
        <v>54</v>
      </c>
      <c r="B291" s="30" t="s">
        <v>58</v>
      </c>
      <c r="C291" s="31" t="str">
        <f>HYPERLINK("https://docs.google.com/spreadsheets/d/13QP1Vx9mn7YlBYVIY9b65hmr9L0k56CG/edit?usp=share_link&amp;ouid=106501987799020758802&amp;rtpof=true&amp;sd=true", "Raw Delivered")</f>
        <v>Raw Delivered</v>
      </c>
      <c r="D291" s="12">
        <f t="shared" si="1"/>
        <v>5934.866612</v>
      </c>
      <c r="E291" s="13"/>
      <c r="F291" s="14">
        <f>HYPERLINK("https://docs.google.com/spreadsheets/d/1IjBY1ZJQthTwgtInBzZEbI0pXC-cdUw7", 996.567384374998)</f>
        <v>996.5673844</v>
      </c>
      <c r="G291" s="13"/>
      <c r="H291" s="14">
        <f>HYPERLINK("https://docs.google.com/spreadsheets/d/10WRgkAu6pKxWjnxfU6iioXgZC0L36REu", 93.9551895833333)</f>
        <v>93.95518958</v>
      </c>
      <c r="I291" s="13"/>
      <c r="J291" s="14">
        <f>HYPERLINK("https://docs.google.com/spreadsheets/d/1w6k1c1xq25jV6ooenH86FS_Hq0rLl9xW", 1358.206459375)</f>
        <v>1358.206459</v>
      </c>
      <c r="K291" s="13"/>
      <c r="L291" s="14">
        <f t="shared" ref="L291:L292" si="146">HYPERLINK("https://docs.google.com/spreadsheets/d/1uSt8_pycLWo4y_ExLcRF_wuq4UQ7uvzy", 1237.19723749999)</f>
        <v>1237.197237</v>
      </c>
      <c r="M291" s="13"/>
      <c r="N291" s="14">
        <f>HYPERLINK("https://docs.google.com/spreadsheets/d/16FGaOQWpDhYJ17QEiy9xlvgpNf063yAG", 1012.00966354166)</f>
        <v>1012.009664</v>
      </c>
      <c r="O291" s="13"/>
      <c r="P291" s="14">
        <f t="shared" ref="P291:P292" si="147">HYPERLINK("https://docs.google.com/spreadsheets/d/1bfuSzisejUP6orZfxuapRnBlPc45Tjts", 895.565490625002)</f>
        <v>895.5654906</v>
      </c>
      <c r="Q291" s="13"/>
      <c r="R291" s="14">
        <f t="shared" ref="R291:R292" si="148">HYPERLINK("https://docs.google.com/spreadsheets/d/1v3wDqaoDtb9kYSsrhAaEoYvP8rVHKt0j", 81.266065625)</f>
        <v>81.26606563</v>
      </c>
      <c r="S291" s="13"/>
      <c r="T291" s="14">
        <f t="shared" ref="T291:T292" si="149">HYPERLINK("https://docs.google.com/spreadsheets/d/1yJ4UaDq6G2yPE7YHy3k-Co9kZBpl7-gf", 260.099121875)</f>
        <v>260.0991219</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row>
    <row r="292">
      <c r="A292" s="32" t="s">
        <v>54</v>
      </c>
      <c r="B292" s="32" t="s">
        <v>58</v>
      </c>
      <c r="C292" s="32" t="s">
        <v>9</v>
      </c>
      <c r="D292" s="16">
        <f t="shared" si="1"/>
        <v>2474.127916</v>
      </c>
      <c r="E292" s="17"/>
      <c r="F292" s="18" t="str">
        <f>HYPERLINK("https://docs.google.com/spreadsheets/d/1IjBY1ZJQthTwgtInBzZEbI0pXC-cdUw7", "RE-996.5673843749987")</f>
        <v>RE-996.5673843749987</v>
      </c>
      <c r="G292" s="17"/>
      <c r="H292" s="18" t="str">
        <f>HYPERLINK("https://docs.google.com/spreadsheets/d/10WRgkAu6pKxWjnxfU6iioXgZC0L36REu", "RE-93.95518958333331")</f>
        <v>RE-93.95518958333331</v>
      </c>
      <c r="I292" s="17"/>
      <c r="J292" s="18" t="str">
        <f>HYPERLINK("https://docs.google.com/spreadsheets/d/1w6k1c1xq25jV6ooenH86FS_Hq0rLl9xW", "RE-1358.206459375")</f>
        <v>RE-1358.206459375</v>
      </c>
      <c r="K292" s="17"/>
      <c r="L292" s="18">
        <f t="shared" si="146"/>
        <v>1237.197237</v>
      </c>
      <c r="M292" s="17"/>
      <c r="N292" s="18" t="str">
        <f>HYPERLINK("https://docs.google.com/spreadsheets/d/16FGaOQWpDhYJ17QEiy9xlvgpNf063yAG", "RE-1012.0096635416651")</f>
        <v>RE-1012.0096635416651</v>
      </c>
      <c r="O292" s="17"/>
      <c r="P292" s="18">
        <f t="shared" si="147"/>
        <v>895.5654906</v>
      </c>
      <c r="Q292" s="17"/>
      <c r="R292" s="18">
        <f t="shared" si="148"/>
        <v>81.26606563</v>
      </c>
      <c r="S292" s="17"/>
      <c r="T292" s="18">
        <f t="shared" si="149"/>
        <v>260.0991219</v>
      </c>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c r="DN292" s="17"/>
      <c r="DO292" s="17"/>
      <c r="DP292" s="17"/>
      <c r="DQ292" s="17"/>
      <c r="DR292" s="17"/>
      <c r="DS292" s="17"/>
      <c r="DT292" s="17"/>
      <c r="DU292" s="17"/>
      <c r="DV292" s="17"/>
      <c r="DW292" s="17"/>
      <c r="DX292" s="17"/>
      <c r="DY292" s="17"/>
      <c r="DZ292" s="17"/>
      <c r="EA292" s="17"/>
      <c r="EB292" s="17"/>
      <c r="EC292" s="17"/>
      <c r="ED292" s="17"/>
      <c r="EE292" s="17"/>
      <c r="EF292" s="17"/>
      <c r="EG292" s="17"/>
      <c r="EH292" s="17"/>
      <c r="EI292" s="17"/>
      <c r="EJ292" s="17"/>
      <c r="EK292" s="17"/>
      <c r="EL292" s="17"/>
      <c r="EM292" s="17"/>
      <c r="EN292" s="17"/>
      <c r="EO292" s="17"/>
      <c r="EP292" s="17"/>
      <c r="EQ292" s="17"/>
      <c r="ER292" s="17"/>
      <c r="ES292" s="17"/>
      <c r="ET292" s="17"/>
      <c r="EU292" s="17"/>
      <c r="EV292" s="17"/>
      <c r="EW292" s="17"/>
      <c r="EX292" s="17"/>
      <c r="EY292" s="17"/>
      <c r="EZ292" s="17"/>
      <c r="FA292" s="17"/>
      <c r="FB292" s="17"/>
      <c r="FC292" s="17"/>
      <c r="FD292" s="17"/>
      <c r="FE292" s="17"/>
      <c r="FF292" s="17"/>
      <c r="FG292" s="17"/>
      <c r="FH292" s="17"/>
    </row>
    <row r="293">
      <c r="A293" s="32" t="s">
        <v>54</v>
      </c>
      <c r="B293" s="32" t="s">
        <v>58</v>
      </c>
      <c r="C293" s="32" t="s">
        <v>10</v>
      </c>
      <c r="D293" s="16">
        <f t="shared" si="1"/>
        <v>473.0713052</v>
      </c>
      <c r="E293" s="17"/>
      <c r="F293" s="17"/>
      <c r="G293" s="18">
        <f>HYPERLINK("https://docs.google.com/spreadsheets/d/1ad3QqONdCzryalnD5tA_JWRw_i3jWz1Y", 71.4100010416666)</f>
        <v>71.41000104</v>
      </c>
      <c r="H293" s="17"/>
      <c r="I293" s="18">
        <f>HYPERLINK("https://docs.google.com/spreadsheets/d/1P7awMj5KDzPjt7yFPveLOv9iLChAbDXg", 5.10377916666666)</f>
        <v>5.103779167</v>
      </c>
      <c r="J293" s="17"/>
      <c r="K293" s="18">
        <f>HYPERLINK("https://docs.google.com/spreadsheets/d/1FwKCvfbo0-ap2adlGeNyS-cC9US0CxE7", 70.3958760416666)</f>
        <v>70.39587604</v>
      </c>
      <c r="L293" s="17"/>
      <c r="M293" s="18">
        <f>HYPERLINK("https://docs.google.com/spreadsheets/d/1c81XFxE0hohkKpPuhMPzbQVjJfpDazE8", 54.6223729166666)</f>
        <v>54.62237292</v>
      </c>
      <c r="N293" s="17"/>
      <c r="O293" s="18">
        <f>HYPERLINK("https://docs.google.com/spreadsheets/d/1qb7gTocq_MJRP0cRJsbpmd-fZvSjbDiP", 95.43725)</f>
        <v>95.43725</v>
      </c>
      <c r="P293" s="17"/>
      <c r="Q293" s="18">
        <f>HYPERLINK("https://docs.google.com/spreadsheets/d/1BiSvJJor_XX0Q86ifGFRQ0Qvc4hT-mPt", 122.767559375)</f>
        <v>122.7675594</v>
      </c>
      <c r="R293" s="17"/>
      <c r="S293" s="18">
        <f>HYPERLINK("https://docs.google.com/spreadsheets/d/1ZPb7ZPzmpuD2h1cD-YHDp3JCVpxV1nhD", 14.8140291666666)</f>
        <v>14.81402917</v>
      </c>
      <c r="T293" s="17"/>
      <c r="U293" s="18">
        <f>HYPERLINK("https://docs.google.com/spreadsheets/d/1CqoWEoBLnUtInA9h4bw0NJjhZfNJmKSF", 30.1834145833333)</f>
        <v>30.18341458</v>
      </c>
      <c r="V293" s="18">
        <f>HYPERLINK("https://docs.google.com/spreadsheets/d/1IJzhKDQytRkPDXSnk1mZecAI0DxyiyyQ", 8.33702291666666)</f>
        <v>8.337022917</v>
      </c>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c r="DN293" s="17"/>
      <c r="DO293" s="17"/>
      <c r="DP293" s="17"/>
      <c r="DQ293" s="17"/>
      <c r="DR293" s="17"/>
      <c r="DS293" s="17"/>
      <c r="DT293" s="17"/>
      <c r="DU293" s="17"/>
      <c r="DV293" s="17"/>
      <c r="DW293" s="17"/>
      <c r="DX293" s="17"/>
      <c r="DY293" s="17"/>
      <c r="DZ293" s="17"/>
      <c r="EA293" s="17"/>
      <c r="EB293" s="17"/>
      <c r="EC293" s="17"/>
      <c r="ED293" s="17"/>
      <c r="EE293" s="17"/>
      <c r="EF293" s="17"/>
      <c r="EG293" s="17"/>
      <c r="EH293" s="17"/>
      <c r="EI293" s="17"/>
      <c r="EJ293" s="17"/>
      <c r="EK293" s="17"/>
      <c r="EL293" s="17"/>
      <c r="EM293" s="17"/>
      <c r="EN293" s="17"/>
      <c r="EO293" s="17"/>
      <c r="EP293" s="17"/>
      <c r="EQ293" s="17"/>
      <c r="ER293" s="17"/>
      <c r="ES293" s="17"/>
      <c r="ET293" s="17"/>
      <c r="EU293" s="17"/>
      <c r="EV293" s="17"/>
      <c r="EW293" s="17"/>
      <c r="EX293" s="17"/>
      <c r="EY293" s="17"/>
      <c r="EZ293" s="17"/>
      <c r="FA293" s="17"/>
      <c r="FB293" s="17"/>
      <c r="FC293" s="17"/>
      <c r="FD293" s="17"/>
      <c r="FE293" s="17"/>
      <c r="FF293" s="17"/>
      <c r="FG293" s="17"/>
      <c r="FH293" s="17"/>
    </row>
    <row r="294">
      <c r="A294" s="32" t="s">
        <v>54</v>
      </c>
      <c r="B294" s="32" t="s">
        <v>58</v>
      </c>
      <c r="C294" s="32" t="s">
        <v>11</v>
      </c>
      <c r="D294" s="16">
        <f t="shared" si="1"/>
        <v>0</v>
      </c>
      <c r="E294" s="17"/>
      <c r="F294" s="17"/>
      <c r="G294" s="18" t="str">
        <f>HYPERLINK("https://docs.google.com/spreadsheets/d/1ad3QqONdCzryalnD5tA_JWRw_i3jWz1Y", "RE-71.41000104166669")</f>
        <v>RE-71.41000104166669</v>
      </c>
      <c r="H294" s="17"/>
      <c r="I294" s="18" t="str">
        <f>HYPERLINK("https://docs.google.com/spreadsheets/d/1P7awMj5KDzPjt7yFPveLOv9iLChAbDXg", "RE-5.103779166666667")</f>
        <v>RE-5.103779166666667</v>
      </c>
      <c r="J294" s="17"/>
      <c r="K294" s="18" t="str">
        <f>HYPERLINK("https://docs.google.com/spreadsheets/d/1FwKCvfbo0-ap2adlGeNyS-cC9US0CxE7", "RE-70.39587604166667")</f>
        <v>RE-70.39587604166667</v>
      </c>
      <c r="L294" s="17"/>
      <c r="M294" s="18" t="str">
        <f>HYPERLINK("https://docs.google.com/spreadsheets/d/1c81XFxE0hohkKpPuhMPzbQVjJfpDazE8", "RE-54.622372916666656")</f>
        <v>RE-54.622372916666656</v>
      </c>
      <c r="N294" s="17"/>
      <c r="O294" s="18" t="str">
        <f>HYPERLINK("https://docs.google.com/spreadsheets/d/1qb7gTocq_MJRP0cRJsbpmd-fZvSjbDiP", "RE-95.43725000000003")</f>
        <v>RE-95.43725000000003</v>
      </c>
      <c r="P294" s="17"/>
      <c r="Q294" s="18" t="str">
        <f>HYPERLINK("https://docs.google.com/spreadsheets/d/1BiSvJJor_XX0Q86ifGFRQ0Qvc4hT-mPt", "RE-122.76755937500002")</f>
        <v>RE-122.76755937500002</v>
      </c>
      <c r="R294" s="17"/>
      <c r="S294" s="18" t="str">
        <f>HYPERLINK("https://docs.google.com/spreadsheets/d/1ZPb7ZPzmpuD2h1cD-YHDp3JCVpxV1nhD", "RE-14.814029166666664")</f>
        <v>RE-14.814029166666664</v>
      </c>
      <c r="T294" s="17"/>
      <c r="U294" s="18" t="str">
        <f>HYPERLINK("https://docs.google.com/spreadsheets/d/1CqoWEoBLnUtInA9h4bw0NJjhZfNJmKSF", "RE-30.183414583333334")</f>
        <v>RE-30.183414583333334</v>
      </c>
      <c r="V294" s="18" t="str">
        <f>HYPERLINK("https://docs.google.com/spreadsheets/d/1IJzhKDQytRkPDXSnk1mZecAI0DxyiyyQ", "RE-8.337022916666667")</f>
        <v>RE-8.337022916666667</v>
      </c>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c r="EJ294" s="17"/>
      <c r="EK294" s="17"/>
      <c r="EL294" s="17"/>
      <c r="EM294" s="17"/>
      <c r="EN294" s="17"/>
      <c r="EO294" s="17"/>
      <c r="EP294" s="17"/>
      <c r="EQ294" s="17"/>
      <c r="ER294" s="17"/>
      <c r="ES294" s="17"/>
      <c r="ET294" s="17"/>
      <c r="EU294" s="17"/>
      <c r="EV294" s="17"/>
      <c r="EW294" s="17"/>
      <c r="EX294" s="17"/>
      <c r="EY294" s="17"/>
      <c r="EZ294" s="17"/>
      <c r="FA294" s="17"/>
      <c r="FB294" s="17"/>
      <c r="FC294" s="17"/>
      <c r="FD294" s="17"/>
      <c r="FE294" s="17"/>
      <c r="FF294" s="17"/>
      <c r="FG294" s="17"/>
      <c r="FH294" s="17"/>
    </row>
    <row r="295">
      <c r="A295" s="32" t="s">
        <v>54</v>
      </c>
      <c r="B295" s="32" t="s">
        <v>58</v>
      </c>
      <c r="C295" s="32" t="s">
        <v>12</v>
      </c>
      <c r="D295" s="16">
        <f t="shared" si="1"/>
        <v>2317.681518</v>
      </c>
      <c r="E295" s="17"/>
      <c r="F295" s="18" t="str">
        <f>HYPERLINK("https://docs.google.com/spreadsheets/d/1axJbLnUZ9h0-ysG6Scq-b0JmvVGwy7nk", "RE-850.6312885416669")</f>
        <v>RE-850.6312885416669</v>
      </c>
      <c r="G295" s="18" t="str">
        <f>HYPERLINK("https://docs.google.com/spreadsheets/d/1QvLFsil2GyRpkmwGvus5Qls0B2HqeB_4", "RE-1.6948635416666666")</f>
        <v>RE-1.6948635416666666</v>
      </c>
      <c r="H295" s="18" t="str">
        <f>HYPERLINK("https://docs.google.com/spreadsheets/d/1TF4ejiCTyHg-1uMdftS30daB5Bu2JWRA", "RE-77.60858958333334")</f>
        <v>RE-77.60858958333334</v>
      </c>
      <c r="I295" s="18" t="str">
        <f>HYPERLINK("https://docs.google.com/spreadsheets/d/14M5EnqXsZGSjAeP-33vT0QBp1NQ5YBOV", "RE-0.0")</f>
        <v>RE-0.0</v>
      </c>
      <c r="J295" s="18" t="str">
        <f>HYPERLINK("https://docs.google.com/spreadsheets/d/11bXGu2t-pmusSZtOvD2s1mYPG61xpfJS", "RE-1158.1732749999987")</f>
        <v>RE-1158.1732749999987</v>
      </c>
      <c r="K295" s="18" t="str">
        <f>HYPERLINK("https://docs.google.com/spreadsheets/d/1qpEHrv_miZyhTpHzDjon0dgIAFpMN5Wc", "RE-2.88030625")</f>
        <v>RE-2.88030625</v>
      </c>
      <c r="L295" s="18">
        <f>HYPERLINK("https://docs.google.com/spreadsheets/d/1ioTt1utSaIuiSnXiUrLhuXtlhf-abjAk", 1154.34378854166)</f>
        <v>1154.343789</v>
      </c>
      <c r="M295" s="18" t="str">
        <f>HYPERLINK("https://docs.google.com/spreadsheets/d/1cfZt954N16WOi9JkiZi45ysO0MS7wt5M", "RE-13.804283333333334")</f>
        <v>RE-13.804283333333334</v>
      </c>
      <c r="N295" s="18" t="str">
        <f>HYPERLINK("https://docs.google.com/spreadsheets/d/1qIzIZb2T1w58FzY0jqJ7f8V25FUvIgQN", "RE-608.997732291666")</f>
        <v>RE-608.997732291666</v>
      </c>
      <c r="O295" s="18" t="str">
        <f>HYPERLINK("https://docs.google.com/spreadsheets/d/1Y0p1QUPNxJqBaabNAVHpZUhTO7WvLpBT", "RE-15.384141666666666")</f>
        <v>RE-15.384141666666666</v>
      </c>
      <c r="P295" s="18">
        <f>HYPERLINK("https://docs.google.com/spreadsheets/d/1gg2GfCJBduEMsxutCKSyvQphKBo7EI_T", 851.449390625001)</f>
        <v>851.4493906</v>
      </c>
      <c r="Q295" s="18" t="str">
        <f>HYPERLINK("https://docs.google.com/spreadsheets/d/1gQUokaZisS-Uohsd7XaH2TY_qbI3YCcW", "RE-47.83663854166668")</f>
        <v>RE-47.83663854166668</v>
      </c>
      <c r="R295" s="18">
        <f>HYPERLINK("https://docs.google.com/spreadsheets/d/1qD29emJGh0q_f8C6Rlrjd5v08qIV8Cst", 71.6538145833333)</f>
        <v>71.65381458</v>
      </c>
      <c r="S295" s="18" t="str">
        <f>HYPERLINK("https://docs.google.com/spreadsheets/d/1PsBwoD9HmgAyNG0Yo_2sF3kfgidS25el", "RE-9.339495833333332")</f>
        <v>RE-9.339495833333332</v>
      </c>
      <c r="T295" s="18">
        <f>HYPERLINK("https://docs.google.com/spreadsheets/d/1s5VBvKuUmTCQ9_OSbTtKXfM5fNgOZNLI", 240.234523958333)</f>
        <v>240.234524</v>
      </c>
      <c r="U295" s="18" t="str">
        <f>HYPERLINK("https://docs.google.com/spreadsheets/d/1XQUy7oMXetGTCX1xSLhif-pJeUOG6jEr", "RE-18.076237499999998")</f>
        <v>RE-18.076237499999998</v>
      </c>
      <c r="V295" s="18" t="str">
        <f>HYPERLINK("https://docs.google.com/spreadsheets/d/1Q6vd1HI2zCZCxzNtCTDOVzFVZ0OPuO3P", "RE-4.190391666666666")</f>
        <v>RE-4.190391666666666</v>
      </c>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c r="DN295" s="17"/>
      <c r="DO295" s="17"/>
      <c r="DP295" s="17"/>
      <c r="DQ295" s="17"/>
      <c r="DR295" s="17"/>
      <c r="DS295" s="17"/>
      <c r="DT295" s="17"/>
      <c r="DU295" s="17"/>
      <c r="DV295" s="17"/>
      <c r="DW295" s="17"/>
      <c r="DX295" s="17"/>
      <c r="DY295" s="17"/>
      <c r="DZ295" s="17"/>
      <c r="EA295" s="17"/>
      <c r="EB295" s="17"/>
      <c r="EC295" s="17"/>
      <c r="ED295" s="17"/>
      <c r="EE295" s="17"/>
      <c r="EF295" s="17"/>
      <c r="EG295" s="17"/>
      <c r="EH295" s="17"/>
      <c r="EI295" s="17"/>
      <c r="EJ295" s="17"/>
      <c r="EK295" s="17"/>
      <c r="EL295" s="17"/>
      <c r="EM295" s="17"/>
      <c r="EN295" s="17"/>
      <c r="EO295" s="17"/>
      <c r="EP295" s="17"/>
      <c r="EQ295" s="17"/>
      <c r="ER295" s="17"/>
      <c r="ES295" s="17"/>
      <c r="ET295" s="17"/>
      <c r="EU295" s="17"/>
      <c r="EV295" s="17"/>
      <c r="EW295" s="17"/>
      <c r="EX295" s="17"/>
      <c r="EY295" s="17"/>
      <c r="EZ295" s="17"/>
      <c r="FA295" s="17"/>
      <c r="FB295" s="17"/>
      <c r="FC295" s="17"/>
      <c r="FD295" s="17"/>
      <c r="FE295" s="17"/>
      <c r="FF295" s="17"/>
      <c r="FG295" s="17"/>
      <c r="FH295" s="17"/>
    </row>
    <row r="296">
      <c r="A296" s="32" t="s">
        <v>54</v>
      </c>
      <c r="B296" s="32" t="s">
        <v>58</v>
      </c>
      <c r="C296" s="32" t="s">
        <v>13</v>
      </c>
      <c r="D296" s="16">
        <f t="shared" si="1"/>
        <v>2227.3201</v>
      </c>
      <c r="E296" s="17"/>
      <c r="F296" s="18" t="str">
        <f>HYPERLINK("https://docs.google.com/spreadsheets/d/1pz5Ow_0IIOBA60ykftKcnq3iKqzVeent?usp=share_link", "RE-837.279")</f>
        <v>RE-837.279</v>
      </c>
      <c r="G296" s="18" t="str">
        <f>HYPERLINK("https://docs.google.com/spreadsheets/d/1vvGWb8oTcOEolmokMzFkVZlFMhN-OkT4?usp=share_link", "RE-1.66013")</f>
        <v>RE-1.66013</v>
      </c>
      <c r="H296" s="18" t="str">
        <f>HYPERLINK("https://docs.google.com/spreadsheets/d/1_6xCj5_5Gp2RQXNTloCWYQJX9yjwNaLs?usp=share_link", "RE-76.1956")</f>
        <v>RE-76.1956</v>
      </c>
      <c r="I296" s="17"/>
      <c r="J296" s="18" t="str">
        <f>HYPERLINK("https://docs.google.com/spreadsheets/d/1WuQ_FAPTgPLoShAyJ5AgI06fhhB4G1e1?usp=share_link", "RE-1135.11")</f>
        <v>RE-1135.11</v>
      </c>
      <c r="K296" s="18" t="str">
        <f>HYPERLINK("https://docs.google.com/spreadsheets/d/17iztJ1Cjf6wmNgHALfSEsv_KrQfFIN38?usp=share_link", "RE-2.80837")</f>
        <v>RE-2.80837</v>
      </c>
      <c r="L296" s="18">
        <f>HYPERLINK("https://docs.google.com/spreadsheets/d/15JlNbazEPsI_c3k-q4lSscWptdBfrKqH?usp=share_link", 1112.02)</f>
        <v>1112.02</v>
      </c>
      <c r="M296" s="18" t="str">
        <f>HYPERLINK("https://docs.google.com/spreadsheets/d/1VBJUIsObVVG8uqjICPcdwX3kIQbjchDF?usp=share_link", "RE-13.4208")</f>
        <v>RE-13.4208</v>
      </c>
      <c r="N296" s="18" t="str">
        <f>HYPERLINK("https://docs.google.com/spreadsheets/d/19S-xw2sE0wt4H5-IGQt2ktejzbT0wn0o?usp=share_link", "RE-582.197")</f>
        <v>RE-582.197</v>
      </c>
      <c r="O296" s="18" t="str">
        <f>HYPERLINK("https://docs.google.com/spreadsheets/d/1PNLBYmgBgJnv-lgaScIySuaLPIet6P-I?usp=share_link", "RE-14.9479")</f>
        <v>RE-14.9479</v>
      </c>
      <c r="P296" s="18">
        <f>HYPERLINK("https://docs.google.com/spreadsheets/d/1mFukkXLoxt-uZThBmuqherAiwSMA6jZ1?usp=share_link", 814.789)</f>
        <v>814.789</v>
      </c>
      <c r="Q296" s="18" t="str">
        <f>HYPERLINK("https://docs.google.com/spreadsheets/d/1mmeynsPfpYC-eIBEXVMA-Nadc9IoviTX?usp=share_link", "RE-45.9127")</f>
        <v>RE-45.9127</v>
      </c>
      <c r="R296" s="18">
        <f>HYPERLINK("https://docs.google.com/spreadsheets/d/1PO2MXkiPRPyo4lJMDZYaEe8_4T5uBLYE?usp=share_link", 69.2661)</f>
        <v>69.2661</v>
      </c>
      <c r="S296" s="18" t="str">
        <f>HYPERLINK("https://docs.google.com/spreadsheets/d/1dJUtiCAxLPCTef9W5t3YJ7NgcLTARj_H?usp=share_link", "RE-8.93692")</f>
        <v>RE-8.93692</v>
      </c>
      <c r="T296" s="18">
        <f>HYPERLINK("https://docs.google.com/spreadsheets/d/1NhdiaGCJvNeYOukQkREldQcB0FHJUACh?usp=share_link", 231.245)</f>
        <v>231.245</v>
      </c>
      <c r="U296" s="18" t="str">
        <f>HYPERLINK("https://docs.google.com/spreadsheets/d/1gUlT6szVm6hvFtlNv0KvQyb5t2lQNHUc?usp=share_link", "RE-17.2044")</f>
        <v>RE-17.2044</v>
      </c>
      <c r="V296" s="18" t="str">
        <f>HYPERLINK("https://docs.google.com/spreadsheets/d/1XG9AX8gkO1JQjrybGGh2VLlhqzffEsB0?usp=share_link", "RE-3.94783")</f>
        <v>RE-3.94783</v>
      </c>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c r="DN296" s="17"/>
      <c r="DO296" s="17"/>
      <c r="DP296" s="17"/>
      <c r="DQ296" s="17"/>
      <c r="DR296" s="17"/>
      <c r="DS296" s="17"/>
      <c r="DT296" s="17"/>
      <c r="DU296" s="17"/>
      <c r="DV296" s="17"/>
      <c r="DW296" s="17"/>
      <c r="DX296" s="17"/>
      <c r="DY296" s="17"/>
      <c r="DZ296" s="17"/>
      <c r="EA296" s="17"/>
      <c r="EB296" s="17"/>
      <c r="EC296" s="17"/>
      <c r="ED296" s="17"/>
      <c r="EE296" s="17"/>
      <c r="EF296" s="17"/>
      <c r="EG296" s="17"/>
      <c r="EH296" s="17"/>
      <c r="EI296" s="17"/>
      <c r="EJ296" s="17"/>
      <c r="EK296" s="17"/>
      <c r="EL296" s="17"/>
      <c r="EM296" s="17"/>
      <c r="EN296" s="17"/>
      <c r="EO296" s="17"/>
      <c r="EP296" s="17"/>
      <c r="EQ296" s="17"/>
      <c r="ER296" s="17"/>
      <c r="ES296" s="17"/>
      <c r="ET296" s="17"/>
      <c r="EU296" s="17"/>
      <c r="EV296" s="17"/>
      <c r="EW296" s="17"/>
      <c r="EX296" s="17"/>
      <c r="EY296" s="17"/>
      <c r="EZ296" s="17"/>
      <c r="FA296" s="17"/>
      <c r="FB296" s="17"/>
      <c r="FC296" s="17"/>
      <c r="FD296" s="17"/>
      <c r="FE296" s="17"/>
      <c r="FF296" s="17"/>
      <c r="FG296" s="17"/>
      <c r="FH296" s="17"/>
    </row>
    <row r="297">
      <c r="A297" s="32" t="s">
        <v>54</v>
      </c>
      <c r="B297" s="32" t="s">
        <v>58</v>
      </c>
      <c r="C297" s="32" t="s">
        <v>14</v>
      </c>
      <c r="D297" s="16">
        <f t="shared" si="1"/>
        <v>1976.0424</v>
      </c>
      <c r="E297" s="17"/>
      <c r="F297" s="18" t="str">
        <f>HYPERLINK("https://docs.google.com/spreadsheets/d/1D2TJ-Ui6GaNb7aSanvBn293r8ABBsixc?usp=share_link", "RE-747.671")</f>
        <v>RE-747.671</v>
      </c>
      <c r="G297" s="18" t="str">
        <f>HYPERLINK("https://docs.google.com/spreadsheets/d/1jXKJzVo1hbTpIoG4GRpgRY9s4n90_rlA?usp=share_link", "RE-1.66013")</f>
        <v>RE-1.66013</v>
      </c>
      <c r="H297" s="18" t="str">
        <f>HYPERLINK("https://docs.google.com/spreadsheets/d/1Su2k8IL1gD50B02lHZ81gTBE9lggRxvm?usp=share_link", "RE-72.1661")</f>
        <v>RE-72.1661</v>
      </c>
      <c r="I297" s="17"/>
      <c r="J297" s="18" t="str">
        <f>HYPERLINK("https://docs.google.com/spreadsheets/d/1GR2h0GSkQDqkmyTPSTcu4S853XlI6aNs?usp=share_link", "RE-1060.48")</f>
        <v>RE-1060.48</v>
      </c>
      <c r="K297" s="18" t="str">
        <f>HYPERLINK("https://docs.google.com/spreadsheets/d/1UeUXioNEZxUHpHpHiRNl0A3uS3Zzi1Y5?usp=share_link", "RE-2.80837")</f>
        <v>RE-2.80837</v>
      </c>
      <c r="L297" s="18">
        <f>HYPERLINK("https://docs.google.com/spreadsheets/d/1A3uSbKt6JAHmmmypP1bzMbV9ihmNx9KU?usp=share_link", 988.177)</f>
        <v>988.177</v>
      </c>
      <c r="M297" s="18" t="str">
        <f>HYPERLINK("https://docs.google.com/spreadsheets/d/1uEnk0LYbnsH8-m8PRiUnX8SwqtcV_XMs?usp=share_link", "RE-11.8617")</f>
        <v>RE-11.8617</v>
      </c>
      <c r="N297" s="18" t="str">
        <f>HYPERLINK("https://docs.google.com/spreadsheets/d/1OuJGmlWWKBm372mUw9Phu6ErQVzhJkd7?usp=share_link", "RE-509.043")</f>
        <v>RE-509.043</v>
      </c>
      <c r="O297" s="18" t="str">
        <f>HYPERLINK("https://docs.google.com/spreadsheets/d/12gpFYKeC1Dc9uNdMzLF8CGs6sneREpaO?usp=share_link", "RE-12.6998")</f>
        <v>RE-12.6998</v>
      </c>
      <c r="P297" s="18">
        <f>HYPERLINK("https://docs.google.com/spreadsheets/d/117zr2yH0hzEZisxGeqStm-kRpmJzbCfP?usp=share_link", 727.784)</f>
        <v>727.784</v>
      </c>
      <c r="Q297" s="18" t="str">
        <f>HYPERLINK("https://docs.google.com/spreadsheets/d/15KKSTdjCnzJJihCpMl7z7PoiBd2n0WYO?usp=share_link", "RE-39.7174")</f>
        <v>RE-39.7174</v>
      </c>
      <c r="R297" s="18">
        <f>HYPERLINK("https://docs.google.com/spreadsheets/d/1rjyBFnydytj89QEI5K_aLpynW05W3IlI?usp=share_link", 58.3684)</f>
        <v>58.3684</v>
      </c>
      <c r="S297" s="18" t="str">
        <f>HYPERLINK("https://docs.google.com/spreadsheets/d/1wgQM3QqWWHNX0egq8III_J3AjzcRaYqK?usp=share_link", "RE-7.8939")</f>
        <v>RE-7.8939</v>
      </c>
      <c r="T297" s="18">
        <f>HYPERLINK("https://docs.google.com/spreadsheets/d/1IVlCKTM0PcMNs_V7NfhJ_BxcEHURsCbn?usp=share_link", 201.713)</f>
        <v>201.713</v>
      </c>
      <c r="U297" s="18" t="str">
        <f>HYPERLINK("https://docs.google.com/spreadsheets/d/1_6iNho5zRSe3w-0b0HtXhoMECbZrf-xf?usp=share_link", "RE-15.2336")</f>
        <v>RE-15.2336</v>
      </c>
      <c r="V297" s="18" t="str">
        <f>HYPERLINK("https://docs.google.com/spreadsheets/d/1j02fjSrGuPB7W34b3peV4DNliIW2m3-R?usp=share_link", "RE-3.80243")</f>
        <v>RE-3.80243</v>
      </c>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c r="DN297" s="17"/>
      <c r="DO297" s="17"/>
      <c r="DP297" s="17"/>
      <c r="DQ297" s="17"/>
      <c r="DR297" s="17"/>
      <c r="DS297" s="17"/>
      <c r="DT297" s="17"/>
      <c r="DU297" s="17"/>
      <c r="DV297" s="17"/>
      <c r="DW297" s="17"/>
      <c r="DX297" s="17"/>
      <c r="DY297" s="17"/>
      <c r="DZ297" s="17"/>
      <c r="EA297" s="17"/>
      <c r="EB297" s="17"/>
      <c r="EC297" s="17"/>
      <c r="ED297" s="17"/>
      <c r="EE297" s="17"/>
      <c r="EF297" s="17"/>
      <c r="EG297" s="17"/>
      <c r="EH297" s="17"/>
      <c r="EI297" s="17"/>
      <c r="EJ297" s="17"/>
      <c r="EK297" s="17"/>
      <c r="EL297" s="17"/>
      <c r="EM297" s="17"/>
      <c r="EN297" s="17"/>
      <c r="EO297" s="17"/>
      <c r="EP297" s="17"/>
      <c r="EQ297" s="17"/>
      <c r="ER297" s="17"/>
      <c r="ES297" s="17"/>
      <c r="ET297" s="17"/>
      <c r="EU297" s="17"/>
      <c r="EV297" s="17"/>
      <c r="EW297" s="17"/>
      <c r="EX297" s="17"/>
      <c r="EY297" s="17"/>
      <c r="EZ297" s="17"/>
      <c r="FA297" s="17"/>
      <c r="FB297" s="17"/>
      <c r="FC297" s="17"/>
      <c r="FD297" s="17"/>
      <c r="FE297" s="17"/>
      <c r="FF297" s="17"/>
      <c r="FG297" s="17"/>
      <c r="FH297" s="17"/>
    </row>
    <row r="298">
      <c r="A298" s="27" t="s">
        <v>54</v>
      </c>
      <c r="B298" s="27" t="s">
        <v>58</v>
      </c>
      <c r="C298" s="27" t="s">
        <v>15</v>
      </c>
      <c r="D298" s="28">
        <f t="shared" si="1"/>
        <v>2227.1015</v>
      </c>
      <c r="E298" s="33"/>
      <c r="F298" s="34" t="str">
        <f>HYPERLINK("https://docs.google.com/spreadsheets/d/1KhNCO1NLRuuIJDqqojM20VNYl0_piNJG?usp=share_link", "RE-836.715")</f>
        <v>RE-836.715</v>
      </c>
      <c r="G298" s="34" t="str">
        <f>HYPERLINK("https://docs.google.com/spreadsheets/d/1KM6eIeCVnD5dW2rWfuP5DRGIMCJ2ISai?usp=share_link", "RE-1.66013")</f>
        <v>RE-1.66013</v>
      </c>
      <c r="H298" s="34" t="str">
        <f>HYPERLINK("https://docs.google.com/spreadsheets/d/1IT9-9VpgGMpdgZGpdx6zolMmhIGctzCg?usp=share_link", "RE-76.1956")</f>
        <v>RE-76.1956</v>
      </c>
      <c r="I298" s="33"/>
      <c r="J298" s="34" t="str">
        <f>HYPERLINK("https://docs.google.com/spreadsheets/d/1R0-SYJg63ir1lXn1y8hxCP_Iw5Hc-7wm?usp=share_link", "RE-1135.11")</f>
        <v>RE-1135.11</v>
      </c>
      <c r="K298" s="34" t="str">
        <f>HYPERLINK("https://docs.google.com/spreadsheets/d/1hHV-Vt9huDP9lD-38xTi5QrvziU0RQcS?usp=share_link", "RE-2.80837")</f>
        <v>RE-2.80837</v>
      </c>
      <c r="L298" s="34">
        <f>HYPERLINK("https://docs.google.com/spreadsheets/d/17rtm2tlkaAF_4Cv2VAQDzJN9bzeYtYaT?usp=share_link", 1112.02)</f>
        <v>1112.02</v>
      </c>
      <c r="M298" s="34" t="str">
        <f>HYPERLINK("https://docs.google.com/spreadsheets/d/1J-dHn9VJNdwyY1Y__o-02yZOPamEP3Mp?usp=share_link", "RE-13.4208")</f>
        <v>RE-13.4208</v>
      </c>
      <c r="N298" s="34" t="str">
        <f>HYPERLINK("https://docs.google.com/spreadsheets/d/1f2vb2LGT7JePLIHZG8Wlmen_aJEzlHHH?usp=share_link", "RE-582.197")</f>
        <v>RE-582.197</v>
      </c>
      <c r="O298" s="34" t="str">
        <f>HYPERLINK("https://docs.google.com/spreadsheets/d/12XT0VadHB0MZkAA5SuM-DDUKQEBGFLwU?usp=share_link", "RE-14.9479")</f>
        <v>RE-14.9479</v>
      </c>
      <c r="P298" s="34">
        <f>HYPERLINK("https://docs.google.com/spreadsheets/d/1IvWCT6aaBQYuFRvdfKpri7nYTUdXBbs1?usp=share_link", 814.789)</f>
        <v>814.789</v>
      </c>
      <c r="Q298" s="34" t="str">
        <f>HYPERLINK("https://docs.google.com/spreadsheets/d/1HxZcagw6X8M-eequwxl0L9JSlX0DNbXs?usp=share_link", "RE-45.9127")</f>
        <v>RE-45.9127</v>
      </c>
      <c r="R298" s="34">
        <f>HYPERLINK("https://docs.google.com/spreadsheets/d/1EoVQ6ES2pMu_sgmsJxmExMiTDSRrl5i1?usp=share_link", 69.0475)</f>
        <v>69.0475</v>
      </c>
      <c r="S298" s="34" t="str">
        <f>HYPERLINK("https://docs.google.com/spreadsheets/d/1AxEvXRbDxM95C6lVUqk248oC8YTpGlwP?usp=share_link", "RE-8.93692")</f>
        <v>RE-8.93692</v>
      </c>
      <c r="T298" s="34">
        <f>HYPERLINK("https://docs.google.com/spreadsheets/d/1H4WdthBzK803GXwr_Dy0efY3UYEkQ7_l?usp=share_link", 231.245)</f>
        <v>231.245</v>
      </c>
      <c r="U298" s="34" t="str">
        <f>HYPERLINK("https://docs.google.com/spreadsheets/d/1O_doFKRH2r9zymr5FkbQQv_krtTSN7bs?usp=share_link", "RE-17.2044")</f>
        <v>RE-17.2044</v>
      </c>
      <c r="V298" s="34" t="str">
        <f>HYPERLINK("https://docs.google.com/spreadsheets/d/13genpyOYK0euVbM2tee5JU-A8ZidWZIj?usp=share_link", "RE-3.94783")</f>
        <v>RE-3.94783</v>
      </c>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c r="CM298" s="33"/>
      <c r="CN298" s="33"/>
      <c r="CO298" s="33"/>
      <c r="CP298" s="33"/>
      <c r="CQ298" s="33"/>
      <c r="CR298" s="33"/>
      <c r="CS298" s="33"/>
      <c r="CT298" s="33"/>
      <c r="CU298" s="33"/>
      <c r="CV298" s="33"/>
      <c r="CW298" s="33"/>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33"/>
      <c r="ER298" s="33"/>
      <c r="ES298" s="33"/>
      <c r="ET298" s="33"/>
      <c r="EU298" s="33"/>
      <c r="EV298" s="33"/>
      <c r="EW298" s="33"/>
      <c r="EX298" s="33"/>
      <c r="EY298" s="33"/>
      <c r="EZ298" s="33"/>
      <c r="FA298" s="33"/>
      <c r="FB298" s="33"/>
      <c r="FC298" s="33"/>
      <c r="FD298" s="33"/>
      <c r="FE298" s="33"/>
      <c r="FF298" s="33"/>
      <c r="FG298" s="33"/>
      <c r="FH298" s="33"/>
    </row>
    <row r="299">
      <c r="A299" s="30" t="s">
        <v>54</v>
      </c>
      <c r="B299" s="30" t="s">
        <v>59</v>
      </c>
      <c r="C299" s="31" t="str">
        <f>HYPERLINK("https://docs.google.com/spreadsheets/d/1CLq8_Z3hl1oYGL-ktfLc71Mhq36Qzwxc/edit?usp=share_link&amp;ouid=106501987799020758802&amp;rtpof=true&amp;sd=true", "Raw Delivered")</f>
        <v>Raw Delivered</v>
      </c>
      <c r="D299" s="12">
        <f t="shared" si="1"/>
        <v>4372.636381</v>
      </c>
      <c r="E299" s="13"/>
      <c r="F299" s="14">
        <f>HYPERLINK("https://docs.google.com/spreadsheets/d/1hXf0y1HDaZCrqN3d3tgOYz4Ojtxh9NQ9", 923.263957291666)</f>
        <v>923.2639573</v>
      </c>
      <c r="G299" s="13"/>
      <c r="H299" s="14">
        <f>HYPERLINK("https://docs.google.com/spreadsheets/d/13eeiNrSaTbTrDYqEMF22Yb6VbF9Euo7g", 71.1752)</f>
        <v>71.1752</v>
      </c>
      <c r="I299" s="13"/>
      <c r="J299" s="14">
        <f>HYPERLINK("https://docs.google.com/spreadsheets/d/1cHB_P_XiRxBLBJpz1hMqtTZScV_-zeHI", 289.6624625)</f>
        <v>289.6624625</v>
      </c>
      <c r="K299" s="13"/>
      <c r="L299" s="14">
        <f t="shared" ref="L299:L300" si="150">HYPERLINK("https://docs.google.com/spreadsheets/d/1b8L2X7mAury8xFyli04tFixY5PQEweL7", 999.850158333332)</f>
        <v>999.8501583</v>
      </c>
      <c r="M299" s="13"/>
      <c r="N299" s="14">
        <f>HYPERLINK("https://docs.google.com/spreadsheets/d/1h3UkuWilYnnK7uCNLaY7zdVjF0KL8Toz", 1455.983503125)</f>
        <v>1455.983503</v>
      </c>
      <c r="O299" s="13"/>
      <c r="P299" s="14">
        <f t="shared" ref="P299:P300" si="151">HYPERLINK("https://docs.google.com/spreadsheets/d/1RrJZ-HvfPcMuNZTSwXg5ZaMfcj0cS1Jh", 393.87314375)</f>
        <v>393.8731438</v>
      </c>
      <c r="Q299" s="13"/>
      <c r="R299" s="14">
        <f t="shared" ref="R299:R300" si="152">HYPERLINK("https://docs.google.com/spreadsheets/d/1A9xSQV6UPSKwLXTSZaFIDBXMrqODsTyL", 45.6853802083333)</f>
        <v>45.68538021</v>
      </c>
      <c r="S299" s="13"/>
      <c r="T299" s="14">
        <f t="shared" ref="T299:T300" si="153">HYPERLINK("https://docs.google.com/spreadsheets/d/1acoPYWooZb4uaahaWHOGQpwufNub5gu3", 193.142576041666)</f>
        <v>193.142576</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row>
    <row r="300">
      <c r="A300" s="32" t="s">
        <v>54</v>
      </c>
      <c r="B300" s="32" t="s">
        <v>59</v>
      </c>
      <c r="C300" s="32" t="s">
        <v>9</v>
      </c>
      <c r="D300" s="16">
        <f t="shared" si="1"/>
        <v>1632.551258</v>
      </c>
      <c r="E300" s="17"/>
      <c r="F300" s="18" t="str">
        <f>HYPERLINK("https://docs.google.com/spreadsheets/d/1hXf0y1HDaZCrqN3d3tgOYz4Ojtxh9NQ9", "RE-923.2639572916661")</f>
        <v>RE-923.2639572916661</v>
      </c>
      <c r="G300" s="17"/>
      <c r="H300" s="18" t="str">
        <f>HYPERLINK("https://docs.google.com/spreadsheets/d/13eeiNrSaTbTrDYqEMF22Yb6VbF9Euo7g", "RE-71.1752")</f>
        <v>RE-71.1752</v>
      </c>
      <c r="I300" s="17"/>
      <c r="J300" s="18" t="str">
        <f>HYPERLINK("https://docs.google.com/spreadsheets/d/1cHB_P_XiRxBLBJpz1hMqtTZScV_-zeHI", "RE-289.6624625000005")</f>
        <v>RE-289.6624625000005</v>
      </c>
      <c r="K300" s="17"/>
      <c r="L300" s="18">
        <f t="shared" si="150"/>
        <v>999.8501583</v>
      </c>
      <c r="M300" s="17"/>
      <c r="N300" s="18" t="str">
        <f>HYPERLINK("https://docs.google.com/spreadsheets/d/1h3UkuWilYnnK7uCNLaY7zdVjF0KL8Toz", "RE-1455.9835031250013")</f>
        <v>RE-1455.9835031250013</v>
      </c>
      <c r="O300" s="17"/>
      <c r="P300" s="18">
        <f t="shared" si="151"/>
        <v>393.8731438</v>
      </c>
      <c r="Q300" s="17"/>
      <c r="R300" s="18">
        <f t="shared" si="152"/>
        <v>45.68538021</v>
      </c>
      <c r="S300" s="17"/>
      <c r="T300" s="18">
        <f t="shared" si="153"/>
        <v>193.142576</v>
      </c>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O300" s="17"/>
      <c r="DP300" s="17"/>
      <c r="DQ300" s="17"/>
      <c r="DR300" s="17"/>
      <c r="DS300" s="17"/>
      <c r="DT300" s="17"/>
      <c r="DU300" s="17"/>
      <c r="DV300" s="17"/>
      <c r="DW300" s="17"/>
      <c r="DX300" s="17"/>
      <c r="DY300" s="17"/>
      <c r="DZ300" s="17"/>
      <c r="EA300" s="17"/>
      <c r="EB300" s="17"/>
      <c r="EC300" s="17"/>
      <c r="ED300" s="17"/>
      <c r="EE300" s="17"/>
      <c r="EF300" s="17"/>
      <c r="EG300" s="17"/>
      <c r="EH300" s="17"/>
      <c r="EI300" s="17"/>
      <c r="EJ300" s="17"/>
      <c r="EK300" s="17"/>
      <c r="EL300" s="17"/>
      <c r="EM300" s="17"/>
      <c r="EN300" s="17"/>
      <c r="EO300" s="17"/>
      <c r="EP300" s="17"/>
      <c r="EQ300" s="17"/>
      <c r="ER300" s="17"/>
      <c r="ES300" s="17"/>
      <c r="ET300" s="17"/>
      <c r="EU300" s="17"/>
      <c r="EV300" s="17"/>
      <c r="EW300" s="17"/>
      <c r="EX300" s="17"/>
      <c r="EY300" s="17"/>
      <c r="EZ300" s="17"/>
      <c r="FA300" s="17"/>
      <c r="FB300" s="17"/>
      <c r="FC300" s="17"/>
      <c r="FD300" s="17"/>
      <c r="FE300" s="17"/>
      <c r="FF300" s="17"/>
      <c r="FG300" s="17"/>
      <c r="FH300" s="17"/>
    </row>
    <row r="301">
      <c r="A301" s="32" t="s">
        <v>54</v>
      </c>
      <c r="B301" s="32" t="s">
        <v>59</v>
      </c>
      <c r="C301" s="32" t="s">
        <v>10</v>
      </c>
      <c r="D301" s="16">
        <f t="shared" si="1"/>
        <v>388.2154271</v>
      </c>
      <c r="E301" s="17"/>
      <c r="F301" s="17"/>
      <c r="G301" s="18">
        <f>HYPERLINK("https://docs.google.com/spreadsheets/d/1oWXi92W2MTq61bDiPYox5wxcO9pfbsxB", 71.8194781249999)</f>
        <v>71.81947812</v>
      </c>
      <c r="H301" s="17"/>
      <c r="I301" s="18">
        <f>HYPERLINK("https://docs.google.com/spreadsheets/d/1w3h9Og52ByKfpYrVJyCK-YBZetSZkTO2", 17.1838708333333)</f>
        <v>17.18387083</v>
      </c>
      <c r="J301" s="17"/>
      <c r="K301" s="18">
        <f>HYPERLINK("https://docs.google.com/spreadsheets/d/1BrBxY5pSW8nz0ZxumeGJEnsuMpulI9jB", 18.5738791666666)</f>
        <v>18.57387917</v>
      </c>
      <c r="L301" s="17"/>
      <c r="M301" s="18">
        <f>HYPERLINK("https://docs.google.com/spreadsheets/d/1v7DtWfYAVWDRgWGHnyOlgd2ADYlOgvD-", 32.7248979166666)</f>
        <v>32.72489792</v>
      </c>
      <c r="N301" s="17"/>
      <c r="O301" s="18">
        <f>HYPERLINK("https://docs.google.com/spreadsheets/d/1Vwfpj3qK-fq9uwZDyLv2ddYF28G3GMLf", 166.079480208333)</f>
        <v>166.0794802</v>
      </c>
      <c r="P301" s="17"/>
      <c r="Q301" s="18">
        <f>HYPERLINK("https://docs.google.com/spreadsheets/d/1h_NHdA46_U1CqTqKCDZRD4mVvYTjcWV8", 67.3826041666666)</f>
        <v>67.38260417</v>
      </c>
      <c r="R301" s="17"/>
      <c r="S301" s="18">
        <f>HYPERLINK("https://docs.google.com/spreadsheets/d/1UYHpLYpqNt-tpXmw74zQfO19rbQBsM37", 3.23882708333333)</f>
        <v>3.238827083</v>
      </c>
      <c r="T301" s="17"/>
      <c r="U301" s="18">
        <f>HYPERLINK("https://docs.google.com/spreadsheets/d/1lviOER3LnA5DrecDcniA42zxqD4MkSlk", 10.0162979166666)</f>
        <v>10.01629792</v>
      </c>
      <c r="V301" s="18">
        <f>HYPERLINK("https://docs.google.com/spreadsheets/d/19UcrC8f3Kdtr8_NJe2zdahMgrmWrrim3", 1.19609166666666)</f>
        <v>1.196091667</v>
      </c>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c r="DN301" s="17"/>
      <c r="DO301" s="17"/>
      <c r="DP301" s="17"/>
      <c r="DQ301" s="17"/>
      <c r="DR301" s="17"/>
      <c r="DS301" s="17"/>
      <c r="DT301" s="17"/>
      <c r="DU301" s="17"/>
      <c r="DV301" s="17"/>
      <c r="DW301" s="17"/>
      <c r="DX301" s="17"/>
      <c r="DY301" s="17"/>
      <c r="DZ301" s="17"/>
      <c r="EA301" s="17"/>
      <c r="EB301" s="17"/>
      <c r="EC301" s="17"/>
      <c r="ED301" s="17"/>
      <c r="EE301" s="17"/>
      <c r="EF301" s="17"/>
      <c r="EG301" s="17"/>
      <c r="EH301" s="17"/>
      <c r="EI301" s="17"/>
      <c r="EJ301" s="17"/>
      <c r="EK301" s="17"/>
      <c r="EL301" s="17"/>
      <c r="EM301" s="17"/>
      <c r="EN301" s="17"/>
      <c r="EO301" s="17"/>
      <c r="EP301" s="17"/>
      <c r="EQ301" s="17"/>
      <c r="ER301" s="17"/>
      <c r="ES301" s="17"/>
      <c r="ET301" s="17"/>
      <c r="EU301" s="17"/>
      <c r="EV301" s="17"/>
      <c r="EW301" s="17"/>
      <c r="EX301" s="17"/>
      <c r="EY301" s="17"/>
      <c r="EZ301" s="17"/>
      <c r="FA301" s="17"/>
      <c r="FB301" s="17"/>
      <c r="FC301" s="17"/>
      <c r="FD301" s="17"/>
      <c r="FE301" s="17"/>
      <c r="FF301" s="17"/>
      <c r="FG301" s="17"/>
      <c r="FH301" s="17"/>
    </row>
    <row r="302">
      <c r="A302" s="32" t="s">
        <v>54</v>
      </c>
      <c r="B302" s="32" t="s">
        <v>59</v>
      </c>
      <c r="C302" s="32" t="s">
        <v>11</v>
      </c>
      <c r="D302" s="16">
        <f t="shared" si="1"/>
        <v>0</v>
      </c>
      <c r="E302" s="17"/>
      <c r="F302" s="17"/>
      <c r="G302" s="18" t="str">
        <f>HYPERLINK("https://docs.google.com/spreadsheets/d/1oWXi92W2MTq61bDiPYox5wxcO9pfbsxB", "RE-71.81947812499999")</f>
        <v>RE-71.81947812499999</v>
      </c>
      <c r="H302" s="17"/>
      <c r="I302" s="18" t="str">
        <f>HYPERLINK("https://docs.google.com/spreadsheets/d/1w3h9Og52ByKfpYrVJyCK-YBZetSZkTO2", "RE-17.183870833333334")</f>
        <v>RE-17.183870833333334</v>
      </c>
      <c r="J302" s="17"/>
      <c r="K302" s="18" t="str">
        <f>HYPERLINK("https://docs.google.com/spreadsheets/d/1BrBxY5pSW8nz0ZxumeGJEnsuMpulI9jB", "RE-18.573879166666675")</f>
        <v>RE-18.573879166666675</v>
      </c>
      <c r="L302" s="17"/>
      <c r="M302" s="18" t="str">
        <f>HYPERLINK("https://docs.google.com/spreadsheets/d/1v7DtWfYAVWDRgWGHnyOlgd2ADYlOgvD-", "RE-32.72489791666668")</f>
        <v>RE-32.72489791666668</v>
      </c>
      <c r="N302" s="17"/>
      <c r="O302" s="18" t="str">
        <f>HYPERLINK("https://docs.google.com/spreadsheets/d/1Vwfpj3qK-fq9uwZDyLv2ddYF28G3GMLf", "RE-166.07948020833342")</f>
        <v>RE-166.07948020833342</v>
      </c>
      <c r="P302" s="17"/>
      <c r="Q302" s="18" t="str">
        <f>HYPERLINK("https://docs.google.com/spreadsheets/d/1h_NHdA46_U1CqTqKCDZRD4mVvYTjcWV8", "RE-67.38260416666668")</f>
        <v>RE-67.38260416666668</v>
      </c>
      <c r="R302" s="17"/>
      <c r="S302" s="18" t="str">
        <f>HYPERLINK("https://docs.google.com/spreadsheets/d/1UYHpLYpqNt-tpXmw74zQfO19rbQBsM37", "RE-3.2388270833333332")</f>
        <v>RE-3.2388270833333332</v>
      </c>
      <c r="T302" s="17"/>
      <c r="U302" s="18" t="str">
        <f>HYPERLINK("https://docs.google.com/spreadsheets/d/1lviOER3LnA5DrecDcniA42zxqD4MkSlk", "RE-10.016297916666668")</f>
        <v>RE-10.016297916666668</v>
      </c>
      <c r="V302" s="18" t="str">
        <f>HYPERLINK("https://docs.google.com/spreadsheets/d/19UcrC8f3Kdtr8_NJe2zdahMgrmWrrim3", "RE-1.1960916666666668")</f>
        <v>RE-1.1960916666666668</v>
      </c>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c r="DN302" s="17"/>
      <c r="DO302" s="17"/>
      <c r="DP302" s="17"/>
      <c r="DQ302" s="17"/>
      <c r="DR302" s="17"/>
      <c r="DS302" s="17"/>
      <c r="DT302" s="17"/>
      <c r="DU302" s="17"/>
      <c r="DV302" s="17"/>
      <c r="DW302" s="17"/>
      <c r="DX302" s="17"/>
      <c r="DY302" s="17"/>
      <c r="DZ302" s="17"/>
      <c r="EA302" s="17"/>
      <c r="EB302" s="17"/>
      <c r="EC302" s="17"/>
      <c r="ED302" s="17"/>
      <c r="EE302" s="17"/>
      <c r="EF302" s="17"/>
      <c r="EG302" s="17"/>
      <c r="EH302" s="17"/>
      <c r="EI302" s="17"/>
      <c r="EJ302" s="17"/>
      <c r="EK302" s="17"/>
      <c r="EL302" s="17"/>
      <c r="EM302" s="17"/>
      <c r="EN302" s="17"/>
      <c r="EO302" s="17"/>
      <c r="EP302" s="17"/>
      <c r="EQ302" s="17"/>
      <c r="ER302" s="17"/>
      <c r="ES302" s="17"/>
      <c r="ET302" s="17"/>
      <c r="EU302" s="17"/>
      <c r="EV302" s="17"/>
      <c r="EW302" s="17"/>
      <c r="EX302" s="17"/>
      <c r="EY302" s="17"/>
      <c r="EZ302" s="17"/>
      <c r="FA302" s="17"/>
      <c r="FB302" s="17"/>
      <c r="FC302" s="17"/>
      <c r="FD302" s="17"/>
      <c r="FE302" s="17"/>
      <c r="FF302" s="17"/>
      <c r="FG302" s="17"/>
      <c r="FH302" s="17"/>
    </row>
    <row r="303">
      <c r="A303" s="32" t="s">
        <v>54</v>
      </c>
      <c r="B303" s="32" t="s">
        <v>59</v>
      </c>
      <c r="C303" s="32" t="s">
        <v>12</v>
      </c>
      <c r="D303" s="16">
        <f t="shared" si="1"/>
        <v>1520.851209</v>
      </c>
      <c r="E303" s="17"/>
      <c r="F303" s="18" t="str">
        <f>HYPERLINK("https://docs.google.com/spreadsheets/d/1Wy6D5q1FeV9fRy4L0PQdlJ9W-GXssGmX", "RE-739.0505010416658")</f>
        <v>RE-739.0505010416658</v>
      </c>
      <c r="G303" s="18" t="str">
        <f>HYPERLINK("https://docs.google.com/spreadsheets/d/1gP7o7AwSl-216AjhrxdnVCQs3mt60h7S", "RE-4.452547916666666")</f>
        <v>RE-4.452547916666666</v>
      </c>
      <c r="H303" s="18" t="str">
        <f>HYPERLINK("https://docs.google.com/spreadsheets/d/1tijJ-D72pfT_P9XK2ws3z7qysIkoAbSR", "RE-60.818960416666656")</f>
        <v>RE-60.818960416666656</v>
      </c>
      <c r="I303" s="18" t="str">
        <f>HYPERLINK("https://docs.google.com/spreadsheets/d/1qPvmEE6j6jUJib_ZcbZr1xxnR3F7BRWV", "RE-0.33291041666666665")</f>
        <v>RE-0.33291041666666665</v>
      </c>
      <c r="J303" s="18" t="str">
        <f>HYPERLINK("https://docs.google.com/spreadsheets/d/1SXSKLuTBO0ewQFG0XMVEZ5vQR6JWoV-J", "RE-217.48821458333344")</f>
        <v>RE-217.48821458333344</v>
      </c>
      <c r="K303" s="18" t="str">
        <f>HYPERLINK("https://docs.google.com/spreadsheets/d/1-aMTbjZDx7P_xOIxZJ35scd__Hce7Qpk", "RE-2.0641958333333332")</f>
        <v>RE-2.0641958333333332</v>
      </c>
      <c r="L303" s="18">
        <f>HYPERLINK("https://docs.google.com/spreadsheets/d/13x9W1X1WoW7MvDYiZYfqBDv3wPBjhPjA", 941.062288541665)</f>
        <v>941.0622885</v>
      </c>
      <c r="M303" s="18" t="str">
        <f>HYPERLINK("https://docs.google.com/spreadsheets/d/17XC2IC0AszNFAI6G2gYc0kzj6JnaK2EU", "RE-7.773495833333332")</f>
        <v>RE-7.773495833333332</v>
      </c>
      <c r="N303" s="18" t="str">
        <f>HYPERLINK("https://docs.google.com/spreadsheets/d/1AA-mrJ9Mhew6QI_P19E57_u6x85P45q_", "RE-1001.7954499999977")</f>
        <v>RE-1001.7954499999977</v>
      </c>
      <c r="O303" s="18" t="str">
        <f>HYPERLINK("https://docs.google.com/spreadsheets/d/1LMWbOrfFQxOeh_tInwa6GL4p4IhwcFU5", "RE-12.462146874999998")</f>
        <v>RE-12.462146874999998</v>
      </c>
      <c r="P303" s="18">
        <f>HYPERLINK("https://docs.google.com/spreadsheets/d/1syAoNDENwcOaEunNaR8-RbU03wdvoF_O", 361.1373875)</f>
        <v>361.1373875</v>
      </c>
      <c r="Q303" s="18" t="str">
        <f>HYPERLINK("https://docs.google.com/spreadsheets/d/1oIodHEOkglk5CAJYA2b0t8tMk1FFv3PS", "RE-20.37526666666667")</f>
        <v>RE-20.37526666666667</v>
      </c>
      <c r="R303" s="18">
        <f>HYPERLINK("https://docs.google.com/spreadsheets/d/13MxN_M6qisdsybTW5FV6azBkWB6Ty4pF", 40.0519302083333)</f>
        <v>40.05193021</v>
      </c>
      <c r="S303" s="18" t="str">
        <f>HYPERLINK("https://docs.google.com/spreadsheets/d/1huU-ITlV3xLziTWz6GAPtKE4WkgKn-ye", "RE-1.6436583333333334")</f>
        <v>RE-1.6436583333333334</v>
      </c>
      <c r="T303" s="18">
        <f>HYPERLINK("https://docs.google.com/spreadsheets/d/178fNvHTs5Qu4lOTGL2rWgTOfqxCcI8EH", 178.599603125)</f>
        <v>178.5996031</v>
      </c>
      <c r="U303" s="18" t="str">
        <f>HYPERLINK("https://docs.google.com/spreadsheets/d/18cbBGENKJ4k1-vFTDvs9xrV6c-8ZU9eq", "RE-4.233764583333334")</f>
        <v>RE-4.233764583333334</v>
      </c>
      <c r="V303" s="18" t="str">
        <f>HYPERLINK("https://docs.google.com/spreadsheets/d/1feZinhxPeRU8Q6IMcds1in_GmuvgfgRi", "RE-0.5642875")</f>
        <v>RE-0.5642875</v>
      </c>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c r="DN303" s="17"/>
      <c r="DO303" s="17"/>
      <c r="DP303" s="17"/>
      <c r="DQ303" s="17"/>
      <c r="DR303" s="17"/>
      <c r="DS303" s="17"/>
      <c r="DT303" s="17"/>
      <c r="DU303" s="17"/>
      <c r="DV303" s="17"/>
      <c r="DW303" s="17"/>
      <c r="DX303" s="17"/>
      <c r="DY303" s="17"/>
      <c r="DZ303" s="17"/>
      <c r="EA303" s="17"/>
      <c r="EB303" s="17"/>
      <c r="EC303" s="17"/>
      <c r="ED303" s="17"/>
      <c r="EE303" s="17"/>
      <c r="EF303" s="17"/>
      <c r="EG303" s="17"/>
      <c r="EH303" s="17"/>
      <c r="EI303" s="17"/>
      <c r="EJ303" s="17"/>
      <c r="EK303" s="17"/>
      <c r="EL303" s="17"/>
      <c r="EM303" s="17"/>
      <c r="EN303" s="17"/>
      <c r="EO303" s="17"/>
      <c r="EP303" s="17"/>
      <c r="EQ303" s="17"/>
      <c r="ER303" s="17"/>
      <c r="ES303" s="17"/>
      <c r="ET303" s="17"/>
      <c r="EU303" s="17"/>
      <c r="EV303" s="17"/>
      <c r="EW303" s="17"/>
      <c r="EX303" s="17"/>
      <c r="EY303" s="17"/>
      <c r="EZ303" s="17"/>
      <c r="FA303" s="17"/>
      <c r="FB303" s="17"/>
      <c r="FC303" s="17"/>
      <c r="FD303" s="17"/>
      <c r="FE303" s="17"/>
      <c r="FF303" s="17"/>
      <c r="FG303" s="17"/>
      <c r="FH303" s="17"/>
    </row>
    <row r="304">
      <c r="A304" s="32" t="s">
        <v>54</v>
      </c>
      <c r="B304" s="32" t="s">
        <v>59</v>
      </c>
      <c r="C304" s="32" t="s">
        <v>13</v>
      </c>
      <c r="D304" s="16">
        <f t="shared" si="1"/>
        <v>1453.5696</v>
      </c>
      <c r="E304" s="17"/>
      <c r="F304" s="18" t="str">
        <f>HYPERLINK("https://docs.google.com/spreadsheets/d/1R-mc2PJ9jacsK5u9zy8XKtix6AFZ5yLE?usp=share_link", "RE-714.832")</f>
        <v>RE-714.832</v>
      </c>
      <c r="G304" s="18" t="str">
        <f>HYPERLINK("https://docs.google.com/spreadsheets/d/1EUaVjU4ojdRiKzWcLmfDqN52HDOSANQR?usp=share_link", "RE-4.14387")</f>
        <v>RE-4.14387</v>
      </c>
      <c r="H304" s="18" t="str">
        <f>HYPERLINK("https://docs.google.com/spreadsheets/d/1ctnZXcBYtZmPd_VCKEsmd9bWYlU-N6Ou?usp=share_link", "RE-59.9977")</f>
        <v>RE-59.9977</v>
      </c>
      <c r="I304" s="18" t="str">
        <f>HYPERLINK("https://docs.google.com/spreadsheets/d/16G6WqAh0Pw0iFwppkyfrBfjOLHm9iYib?usp=share_link", "RE-0.293983")</f>
        <v>RE-0.293983</v>
      </c>
      <c r="J304" s="18" t="str">
        <f>HYPERLINK("https://docs.google.com/spreadsheets/d/1-svQf2RW_bPMq3wvJW5w1QLwJSurSx5N?usp=share_link", "RE-212.683")</f>
        <v>RE-212.683</v>
      </c>
      <c r="K304" s="18" t="str">
        <f>HYPERLINK("https://docs.google.com/spreadsheets/d/1Mgl-OxDM4jHGkNHJSV3VB7W7mf5bBE0U?usp=share_link", "RE-2.01922")</f>
        <v>RE-2.01922</v>
      </c>
      <c r="L304" s="18">
        <f>HYPERLINK("https://docs.google.com/spreadsheets/d/1rsdeGuhv5lISc9oU8kI791WEt14NtI5Z?usp=share_link", 899.835)</f>
        <v>899.835</v>
      </c>
      <c r="M304" s="18" t="str">
        <f>HYPERLINK("https://docs.google.com/spreadsheets/d/1X8IvyuvsvQjar4hEvkWcGS1venO5FLde?usp=share_link", "RE-7.09687")</f>
        <v>RE-7.09687</v>
      </c>
      <c r="N304" s="18" t="str">
        <f>HYPERLINK("https://docs.google.com/spreadsheets/d/1IQnOXYQzGfGjwRkLmQwXbYfTTccHtZ4a?usp=share_link", "RE-958.368")</f>
        <v>RE-958.368</v>
      </c>
      <c r="O304" s="18" t="str">
        <f>HYPERLINK("https://docs.google.com/spreadsheets/d/1vyWEwqQ9boEQunKJ7xkIVGSYOIvqHYGo?usp=share_link", "RE-12.0369")</f>
        <v>RE-12.0369</v>
      </c>
      <c r="P304" s="18">
        <f>HYPERLINK("https://docs.google.com/spreadsheets/d/1A4XzuhglEd1nT4XPUUqNz4aRpQ03oq-l?usp=share_link", 344.886)</f>
        <v>344.886</v>
      </c>
      <c r="Q304" s="18" t="str">
        <f>HYPERLINK("https://docs.google.com/spreadsheets/d/1b_FOrqm2BpoYsdNWc6GIiHwjY1yT0nVX?usp=share_link", "RE-19.419")</f>
        <v>RE-19.419</v>
      </c>
      <c r="R304" s="18">
        <f>HYPERLINK("https://docs.google.com/spreadsheets/d/10jANF9geEM6yC7n87mj1LEXOrtLRNAmq?usp=share_link", 38.6916)</f>
        <v>38.6916</v>
      </c>
      <c r="S304" s="18" t="str">
        <f>HYPERLINK("https://docs.google.com/spreadsheets/d/1v8EkCUxvZWjIEqWtcI1vsTw_pm3rPXjR?usp=share_link", "RE-1.47417")</f>
        <v>RE-1.47417</v>
      </c>
      <c r="T304" s="18">
        <f>HYPERLINK("https://docs.google.com/spreadsheets/d/1B2tzxBgj_OgIkR4PW_rMUhdvOrGMT6Pr?usp=share_link", 170.157)</f>
        <v>170.157</v>
      </c>
      <c r="U304" s="18" t="str">
        <f>HYPERLINK("https://docs.google.com/spreadsheets/d/1dVcJOlJNn_MErA3voyW5DIL8a4wecH6_?usp=share_link", "RE-4.03452")</f>
        <v>RE-4.03452</v>
      </c>
      <c r="V304" s="18" t="str">
        <f>HYPERLINK("https://docs.google.com/spreadsheets/d/1y7Z69Avmwugto2C1JSFXCLytDCO0B2Nn?usp=share_link", "RE-0.504667")</f>
        <v>RE-0.504667</v>
      </c>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c r="DE304" s="17"/>
      <c r="DF304" s="17"/>
      <c r="DG304" s="17"/>
      <c r="DH304" s="17"/>
      <c r="DI304" s="17"/>
      <c r="DJ304" s="17"/>
      <c r="DK304" s="17"/>
      <c r="DL304" s="17"/>
      <c r="DM304" s="17"/>
      <c r="DN304" s="17"/>
      <c r="DO304" s="17"/>
      <c r="DP304" s="17"/>
      <c r="DQ304" s="17"/>
      <c r="DR304" s="17"/>
      <c r="DS304" s="17"/>
      <c r="DT304" s="17"/>
      <c r="DU304" s="17"/>
      <c r="DV304" s="17"/>
      <c r="DW304" s="17"/>
      <c r="DX304" s="17"/>
      <c r="DY304" s="17"/>
      <c r="DZ304" s="17"/>
      <c r="EA304" s="17"/>
      <c r="EB304" s="17"/>
      <c r="EC304" s="17"/>
      <c r="ED304" s="17"/>
      <c r="EE304" s="17"/>
      <c r="EF304" s="17"/>
      <c r="EG304" s="17"/>
      <c r="EH304" s="17"/>
      <c r="EI304" s="17"/>
      <c r="EJ304" s="17"/>
      <c r="EK304" s="17"/>
      <c r="EL304" s="17"/>
      <c r="EM304" s="17"/>
      <c r="EN304" s="17"/>
      <c r="EO304" s="17"/>
      <c r="EP304" s="17"/>
      <c r="EQ304" s="17"/>
      <c r="ER304" s="17"/>
      <c r="ES304" s="17"/>
      <c r="ET304" s="17"/>
      <c r="EU304" s="17"/>
      <c r="EV304" s="17"/>
      <c r="EW304" s="17"/>
      <c r="EX304" s="17"/>
      <c r="EY304" s="17"/>
      <c r="EZ304" s="17"/>
      <c r="FA304" s="17"/>
      <c r="FB304" s="17"/>
      <c r="FC304" s="17"/>
      <c r="FD304" s="17"/>
      <c r="FE304" s="17"/>
      <c r="FF304" s="17"/>
      <c r="FG304" s="17"/>
      <c r="FH304" s="17"/>
    </row>
    <row r="305">
      <c r="A305" s="32" t="s">
        <v>54</v>
      </c>
      <c r="B305" s="32" t="s">
        <v>59</v>
      </c>
      <c r="C305" s="32" t="s">
        <v>14</v>
      </c>
      <c r="D305" s="16">
        <f t="shared" si="1"/>
        <v>1274.7167</v>
      </c>
      <c r="E305" s="17"/>
      <c r="F305" s="18" t="str">
        <f>HYPERLINK("https://docs.google.com/spreadsheets/d/1rdzPNpLkBu9AHtQOBxd_w0XJ71LBFzPy?usp=share_link", "RE-646.828")</f>
        <v>RE-646.828</v>
      </c>
      <c r="G305" s="18" t="str">
        <f>HYPERLINK("https://docs.google.com/spreadsheets/d/1RX82vGxC0IiftWcUpUsSMS2RS2TugKSt?usp=share_link", "RE-3.82143")</f>
        <v>RE-3.82143</v>
      </c>
      <c r="H305" s="18" t="str">
        <f>HYPERLINK("https://docs.google.com/spreadsheets/d/1mfMlbiRdFVQI0K8rYooYkP1BrskVfRHy?usp=share_link", "RE-49.8792")</f>
        <v>RE-49.8792</v>
      </c>
      <c r="I305" s="18" t="str">
        <f>HYPERLINK("https://docs.google.com/spreadsheets/d/1scd264YMdptYCzg_VQBT-eI2h13MBdnn?usp=share_link", "RE-0.257583")</f>
        <v>RE-0.257583</v>
      </c>
      <c r="J305" s="18" t="str">
        <f>HYPERLINK("https://docs.google.com/spreadsheets/d/1GAwwWcldIIZE9POJnmiNTny5G9POzDCP?usp=share_link", "RE-200.998")</f>
        <v>RE-200.998</v>
      </c>
      <c r="K305" s="18" t="str">
        <f>HYPERLINK("https://docs.google.com/spreadsheets/d/1OOU5h7MG5-qFcuSF9qoYchcTaMvGnU61?usp=share_link", "RE-1.42507")</f>
        <v>RE-1.42507</v>
      </c>
      <c r="L305" s="18">
        <f>HYPERLINK("https://docs.google.com/spreadsheets/d/1a2wNcUVHDLO_MYsMcjyIi_cASDzCl6a0?usp=share_link", 793.152)</f>
        <v>793.152</v>
      </c>
      <c r="M305" s="18" t="str">
        <f>HYPERLINK("https://docs.google.com/spreadsheets/d/1IgfOA2P7GmHkoswJ44RAglVeizwmXWZ4?usp=share_link", "RE-4.97967")</f>
        <v>RE-4.97967</v>
      </c>
      <c r="N305" s="18" t="str">
        <f>HYPERLINK("https://docs.google.com/spreadsheets/d/1SXA7PbfZTjtWipNCyu_-5W5Bdjvz0PEa?usp=share_link", "RE-843.639")</f>
        <v>RE-843.639</v>
      </c>
      <c r="O305" s="18" t="str">
        <f>HYPERLINK("https://docs.google.com/spreadsheets/d/1a1epkbwOXVNLD-S8JPleVJXAZU_T4CQk?usp=share_link", "RE-10.8194")</f>
        <v>RE-10.8194</v>
      </c>
      <c r="P305" s="18">
        <f>HYPERLINK("https://docs.google.com/spreadsheets/d/1p6y4gbeVD6yDYajHqQ_171hJegZopvTI?usp=share_link", 303.4)</f>
        <v>303.4</v>
      </c>
      <c r="Q305" s="18" t="str">
        <f>HYPERLINK("https://docs.google.com/spreadsheets/d/1e6_I0trG0u96nxrWgrym1Now1ro2GfzC?usp=share_link", "RE-16.449")</f>
        <v>RE-16.449</v>
      </c>
      <c r="R305" s="18">
        <f>HYPERLINK("https://docs.google.com/spreadsheets/d/12M_w9JBX6DknkMCDAYOEp4-u0Rg_0gkj?usp=share_link", 33.9097)</f>
        <v>33.9097</v>
      </c>
      <c r="S305" s="18" t="str">
        <f>HYPERLINK("https://docs.google.com/spreadsheets/d/1PGKMG31dqfMHP09yASIuFnPM2ZcGjzli?usp=share_link", "RE-1.3825")</f>
        <v>RE-1.3825</v>
      </c>
      <c r="T305" s="18">
        <f>HYPERLINK("https://docs.google.com/spreadsheets/d/1fmec-E9m4LEUOGRU6QVgh1g2jIduTLyz?usp=share_link", 144.255)</f>
        <v>144.255</v>
      </c>
      <c r="U305" s="18" t="str">
        <f>HYPERLINK("https://docs.google.com/spreadsheets/d/1UcWCgs4BeRgHMNdleU_902JZiLUcstfL?usp=share_link", "RE-3.21202")</f>
        <v>RE-3.21202</v>
      </c>
      <c r="V305" s="18" t="str">
        <f>HYPERLINK("https://docs.google.com/spreadsheets/d/13gJaEt2cEit5Mip1nVLN_6GHLI7LD1nw?usp=share_link", "RE-0.504667")</f>
        <v>RE-0.504667</v>
      </c>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c r="DE305" s="17"/>
      <c r="DF305" s="17"/>
      <c r="DG305" s="17"/>
      <c r="DH305" s="17"/>
      <c r="DI305" s="17"/>
      <c r="DJ305" s="17"/>
      <c r="DK305" s="17"/>
      <c r="DL305" s="17"/>
      <c r="DM305" s="17"/>
      <c r="DN305" s="17"/>
      <c r="DO305" s="17"/>
      <c r="DP305" s="17"/>
      <c r="DQ305" s="17"/>
      <c r="DR305" s="17"/>
      <c r="DS305" s="17"/>
      <c r="DT305" s="17"/>
      <c r="DU305" s="17"/>
      <c r="DV305" s="17"/>
      <c r="DW305" s="17"/>
      <c r="DX305" s="17"/>
      <c r="DY305" s="17"/>
      <c r="DZ305" s="17"/>
      <c r="EA305" s="17"/>
      <c r="EB305" s="17"/>
      <c r="EC305" s="17"/>
      <c r="ED305" s="17"/>
      <c r="EE305" s="17"/>
      <c r="EF305" s="17"/>
      <c r="EG305" s="17"/>
      <c r="EH305" s="17"/>
      <c r="EI305" s="17"/>
      <c r="EJ305" s="17"/>
      <c r="EK305" s="17"/>
      <c r="EL305" s="17"/>
      <c r="EM305" s="17"/>
      <c r="EN305" s="17"/>
      <c r="EO305" s="17"/>
      <c r="EP305" s="17"/>
      <c r="EQ305" s="17"/>
      <c r="ER305" s="17"/>
      <c r="ES305" s="17"/>
      <c r="ET305" s="17"/>
      <c r="EU305" s="17"/>
      <c r="EV305" s="17"/>
      <c r="EW305" s="17"/>
      <c r="EX305" s="17"/>
      <c r="EY305" s="17"/>
      <c r="EZ305" s="17"/>
      <c r="FA305" s="17"/>
      <c r="FB305" s="17"/>
      <c r="FC305" s="17"/>
      <c r="FD305" s="17"/>
      <c r="FE305" s="17"/>
      <c r="FF305" s="17"/>
      <c r="FG305" s="17"/>
      <c r="FH305" s="17"/>
    </row>
    <row r="306">
      <c r="A306" s="27" t="s">
        <v>54</v>
      </c>
      <c r="B306" s="27" t="s">
        <v>59</v>
      </c>
      <c r="C306" s="27" t="s">
        <v>15</v>
      </c>
      <c r="D306" s="28">
        <f t="shared" si="1"/>
        <v>1453.208</v>
      </c>
      <c r="E306" s="33"/>
      <c r="F306" s="34" t="str">
        <f>HYPERLINK("https://docs.google.com/spreadsheets/d/1lBOGON2M4s8--h8uFsfVJLx9z6mxTKzx?usp=share_link", "RE-714.259")</f>
        <v>RE-714.259</v>
      </c>
      <c r="G306" s="34" t="str">
        <f>HYPERLINK("https://docs.google.com/spreadsheets/d/1jkNV1kO-ErGAZ8H9t5EOESqkn9CaIDW8?usp=share_link", "RE-4.14387")</f>
        <v>RE-4.14387</v>
      </c>
      <c r="H306" s="34" t="str">
        <f>HYPERLINK("https://docs.google.com/spreadsheets/d/1aelnLKEarm1poKL6tDbiI-ecGcRYRzz9?usp=share_link", "RE-59.9977")</f>
        <v>RE-59.9977</v>
      </c>
      <c r="I306" s="34" t="str">
        <f>HYPERLINK("https://docs.google.com/spreadsheets/d/19KcBsLQWVI76eiiRNeOT2Y_VQuqC7s58?usp=share_link", "RE-0.293983")</f>
        <v>RE-0.293983</v>
      </c>
      <c r="J306" s="34" t="str">
        <f>HYPERLINK("https://docs.google.com/spreadsheets/d/1lDZ7U-F8un_EC71-itxcY-LdqTFud6aR?usp=share_link", "RE-212.683")</f>
        <v>RE-212.683</v>
      </c>
      <c r="K306" s="34" t="str">
        <f>HYPERLINK("https://docs.google.com/spreadsheets/d/1DTNUl942kCg5WXBjvRoYES2QtI_9eUYE?usp=share_link", "RE-2.01922")</f>
        <v>RE-2.01922</v>
      </c>
      <c r="L306" s="34">
        <f>HYPERLINK("https://docs.google.com/spreadsheets/d/1mIUCH1RSGG7cHY4LrEe__gG_VdN2G92M?usp=share_link", 899.835)</f>
        <v>899.835</v>
      </c>
      <c r="M306" s="34" t="str">
        <f>HYPERLINK("https://docs.google.com/spreadsheets/d/1aaiaPx_V9lb8q6BdpY3MGtIeZEkbkLt5?usp=share_link", "RE-7.09687")</f>
        <v>RE-7.09687</v>
      </c>
      <c r="N306" s="34" t="str">
        <f>HYPERLINK("https://docs.google.com/spreadsheets/d/11Ax33Ut291KgsLbRd7uhcpmvn1-OgKSv?usp=share_link", "RE-958.279")</f>
        <v>RE-958.279</v>
      </c>
      <c r="O306" s="34" t="str">
        <f>HYPERLINK("https://docs.google.com/spreadsheets/d/1TYm7QnDKKQ1pbcV62VEbDVZfjYpuIJoU?usp=share_link", "RE-12.0369")</f>
        <v>RE-12.0369</v>
      </c>
      <c r="P306" s="34">
        <f>HYPERLINK("https://docs.google.com/spreadsheets/d/12DbgVsaEY14yhNKkdA0RZTONXu0RH_ve?usp=share_link", 344.778)</f>
        <v>344.778</v>
      </c>
      <c r="Q306" s="34" t="str">
        <f>HYPERLINK("https://docs.google.com/spreadsheets/d/1w9xZ8VrAGILSlrbc0NreAPLRwMcbPUHi?usp=share_link", "RE-19.419")</f>
        <v>RE-19.419</v>
      </c>
      <c r="R306" s="34">
        <f>HYPERLINK("https://docs.google.com/spreadsheets/d/1X0CPt9EHWnDuGkTGQK_ACBTMMfbaQ86u?usp=share_link", 38.438)</f>
        <v>38.438</v>
      </c>
      <c r="S306" s="34" t="str">
        <f>HYPERLINK("https://docs.google.com/spreadsheets/d/1AAOVCdUkh96j-c1-vbmDDfeDvVVR_WEf?usp=share_link", "RE-1.47417")</f>
        <v>RE-1.47417</v>
      </c>
      <c r="T306" s="34">
        <f>HYPERLINK("https://docs.google.com/spreadsheets/d/1LDUirEgLlmyvQoOQEqo4C45H1Ux-nSM1?usp=share_link", 170.157)</f>
        <v>170.157</v>
      </c>
      <c r="U306" s="34" t="str">
        <f>HYPERLINK("https://docs.google.com/spreadsheets/d/160aKpb2JBP2YC3Ve8d8EQTNdmw4P6F9-?usp=share_link", "RE-4.03452")</f>
        <v>RE-4.03452</v>
      </c>
      <c r="V306" s="34" t="str">
        <f>HYPERLINK("https://docs.google.com/spreadsheets/d/16BjzOQ2XjvFKwbf8aK8t2OM5riwGuERl?usp=share_link", "RE-0.504667")</f>
        <v>RE-0.504667</v>
      </c>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33"/>
      <c r="ER306" s="33"/>
      <c r="ES306" s="33"/>
      <c r="ET306" s="33"/>
      <c r="EU306" s="33"/>
      <c r="EV306" s="33"/>
      <c r="EW306" s="33"/>
      <c r="EX306" s="33"/>
      <c r="EY306" s="33"/>
      <c r="EZ306" s="33"/>
      <c r="FA306" s="33"/>
      <c r="FB306" s="33"/>
      <c r="FC306" s="33"/>
      <c r="FD306" s="33"/>
      <c r="FE306" s="33"/>
      <c r="FF306" s="33"/>
      <c r="FG306" s="33"/>
      <c r="FH306" s="33"/>
    </row>
    <row r="307">
      <c r="A307" s="30" t="s">
        <v>54</v>
      </c>
      <c r="B307" s="30" t="s">
        <v>60</v>
      </c>
      <c r="C307" s="31" t="str">
        <f>HYPERLINK("https://docs.google.com/spreadsheets/d/1SVJMtY3D4kRNYUsfizj4B-h2qzfqovvj/edit?usp=share_link&amp;ouid=106501987799020758802&amp;rtpof=true&amp;sd=true", "Raw Delivered")</f>
        <v>Raw Delivered</v>
      </c>
      <c r="D307" s="12">
        <f t="shared" si="1"/>
        <v>5605.497475</v>
      </c>
      <c r="E307" s="13"/>
      <c r="F307" s="14">
        <f>HYPERLINK("https://docs.google.com/spreadsheets/d/156D5ewvXx2tU7VTm9daOkifbBSZqPjhG", 250.802661458333)</f>
        <v>250.8026615</v>
      </c>
      <c r="G307" s="13"/>
      <c r="H307" s="14">
        <f>HYPERLINK("https://docs.google.com/spreadsheets/d/1XhSpL8xTMJcVEWBwDTcEiBAt4ac4_PMv", 35.4797479166666)</f>
        <v>35.47974792</v>
      </c>
      <c r="I307" s="13"/>
      <c r="J307" s="14">
        <f>HYPERLINK("https://docs.google.com/spreadsheets/d/1KqocZKrKN1mXEzljzqAOxLLVx7SeP5Sz", 465.675192708333)</f>
        <v>465.6751927</v>
      </c>
      <c r="K307" s="13"/>
      <c r="L307" s="14">
        <f t="shared" ref="L307:L308" si="154">HYPERLINK("https://docs.google.com/spreadsheets/d/14tBb6IeOkN5m89n5mGqsooo7xi7NEQRO", 1798.53933854166)</f>
        <v>1798.539339</v>
      </c>
      <c r="M307" s="13"/>
      <c r="N307" s="14">
        <f>HYPERLINK("https://docs.google.com/spreadsheets/d/15J6eIY8aS-KIhpYS73j79iDAWOTTdAto", 2317.40577499999)</f>
        <v>2317.405775</v>
      </c>
      <c r="O307" s="13"/>
      <c r="P307" s="14">
        <f t="shared" ref="P307:P308" si="155">HYPERLINK("https://docs.google.com/spreadsheets/d/14uUqeRboe3CVyhw_qsN6MM78p04_-40Q", 278.246613541667)</f>
        <v>278.2466135</v>
      </c>
      <c r="Q307" s="13"/>
      <c r="R307" s="14">
        <f t="shared" ref="R307:R308" si="156">HYPERLINK("https://docs.google.com/spreadsheets/d/1CyhHfwcaEd1Iae2eQjtnm7NeLekYDBTH", 117.331996874999)</f>
        <v>117.3319969</v>
      </c>
      <c r="S307" s="13"/>
      <c r="T307" s="14">
        <f t="shared" ref="T307:T308" si="157">HYPERLINK("https://docs.google.com/spreadsheets/d/12t12Jfv2cIUoiGij5-uGm-JL7u-P3u8j", 342.016148958333)</f>
        <v>342.016149</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row>
    <row r="308">
      <c r="A308" s="32" t="s">
        <v>54</v>
      </c>
      <c r="B308" s="32" t="s">
        <v>60</v>
      </c>
      <c r="C308" s="32" t="s">
        <v>9</v>
      </c>
      <c r="D308" s="16">
        <f t="shared" si="1"/>
        <v>2536.134098</v>
      </c>
      <c r="E308" s="17"/>
      <c r="F308" s="18" t="str">
        <f>HYPERLINK("https://docs.google.com/spreadsheets/d/156D5ewvXx2tU7VTm9daOkifbBSZqPjhG", "RE-250.8026614583332")</f>
        <v>RE-250.8026614583332</v>
      </c>
      <c r="G308" s="17"/>
      <c r="H308" s="18" t="str">
        <f>HYPERLINK("https://docs.google.com/spreadsheets/d/1XhSpL8xTMJcVEWBwDTcEiBAt4ac4_PMv", "RE-35.47974791666668")</f>
        <v>RE-35.47974791666668</v>
      </c>
      <c r="I308" s="17"/>
      <c r="J308" s="18" t="str">
        <f>HYPERLINK("https://docs.google.com/spreadsheets/d/1KqocZKrKN1mXEzljzqAOxLLVx7SeP5Sz", "RE-465.67519270833344")</f>
        <v>RE-465.67519270833344</v>
      </c>
      <c r="K308" s="17"/>
      <c r="L308" s="18">
        <f t="shared" si="154"/>
        <v>1798.539339</v>
      </c>
      <c r="M308" s="17"/>
      <c r="N308" s="18" t="str">
        <f>HYPERLINK("https://docs.google.com/spreadsheets/d/15J6eIY8aS-KIhpYS73j79iDAWOTTdAto", "RE-2317.4057749999934")</f>
        <v>RE-2317.4057749999934</v>
      </c>
      <c r="O308" s="17"/>
      <c r="P308" s="18">
        <f t="shared" si="155"/>
        <v>278.2466135</v>
      </c>
      <c r="Q308" s="17"/>
      <c r="R308" s="18">
        <f t="shared" si="156"/>
        <v>117.3319969</v>
      </c>
      <c r="S308" s="17"/>
      <c r="T308" s="18">
        <f t="shared" si="157"/>
        <v>342.016149</v>
      </c>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c r="DE308" s="17"/>
      <c r="DF308" s="17"/>
      <c r="DG308" s="17"/>
      <c r="DH308" s="17"/>
      <c r="DI308" s="17"/>
      <c r="DJ308" s="17"/>
      <c r="DK308" s="17"/>
      <c r="DL308" s="17"/>
      <c r="DM308" s="17"/>
      <c r="DN308" s="17"/>
      <c r="DO308" s="17"/>
      <c r="DP308" s="17"/>
      <c r="DQ308" s="17"/>
      <c r="DR308" s="17"/>
      <c r="DS308" s="17"/>
      <c r="DT308" s="17"/>
      <c r="DU308" s="17"/>
      <c r="DV308" s="17"/>
      <c r="DW308" s="17"/>
      <c r="DX308" s="17"/>
      <c r="DY308" s="17"/>
      <c r="DZ308" s="17"/>
      <c r="EA308" s="17"/>
      <c r="EB308" s="17"/>
      <c r="EC308" s="17"/>
      <c r="ED308" s="17"/>
      <c r="EE308" s="17"/>
      <c r="EF308" s="17"/>
      <c r="EG308" s="17"/>
      <c r="EH308" s="17"/>
      <c r="EI308" s="17"/>
      <c r="EJ308" s="17"/>
      <c r="EK308" s="17"/>
      <c r="EL308" s="17"/>
      <c r="EM308" s="17"/>
      <c r="EN308" s="17"/>
      <c r="EO308" s="17"/>
      <c r="EP308" s="17"/>
      <c r="EQ308" s="17"/>
      <c r="ER308" s="17"/>
      <c r="ES308" s="17"/>
      <c r="ET308" s="17"/>
      <c r="EU308" s="17"/>
      <c r="EV308" s="17"/>
      <c r="EW308" s="17"/>
      <c r="EX308" s="17"/>
      <c r="EY308" s="17"/>
      <c r="EZ308" s="17"/>
      <c r="FA308" s="17"/>
      <c r="FB308" s="17"/>
      <c r="FC308" s="17"/>
      <c r="FD308" s="17"/>
      <c r="FE308" s="17"/>
      <c r="FF308" s="17"/>
      <c r="FG308" s="17"/>
      <c r="FH308" s="17"/>
    </row>
    <row r="309">
      <c r="A309" s="32" t="s">
        <v>54</v>
      </c>
      <c r="B309" s="32" t="s">
        <v>60</v>
      </c>
      <c r="C309" s="32" t="s">
        <v>10</v>
      </c>
      <c r="D309" s="16">
        <f t="shared" si="1"/>
        <v>571.4007875</v>
      </c>
      <c r="E309" s="17"/>
      <c r="F309" s="17"/>
      <c r="G309" s="18">
        <f>HYPERLINK("https://docs.google.com/spreadsheets/d/1EdPskk6JtThiMY1gha3QUS0Y32bv9ij3", 23.4523604166666)</f>
        <v>23.45236042</v>
      </c>
      <c r="H309" s="17"/>
      <c r="I309" s="18">
        <f>HYPERLINK("https://docs.google.com/spreadsheets/d/1LV1KmAYE_Neskz-XTdhNHgydmCTw7BZc", 7.42536875)</f>
        <v>7.42536875</v>
      </c>
      <c r="J309" s="17"/>
      <c r="K309" s="18">
        <f>HYPERLINK("https://docs.google.com/spreadsheets/d/1dhU6Pwcucx3G2L0t44dwUFdMngttInzb", 28.9670145833333)</f>
        <v>28.96701458</v>
      </c>
      <c r="L309" s="17"/>
      <c r="M309" s="18">
        <f>HYPERLINK("https://docs.google.com/spreadsheets/d/1otXtUir1FdRdFy0mbSobtdiCJHFiyykB", 69.5736166666666)</f>
        <v>69.57361667</v>
      </c>
      <c r="N309" s="17"/>
      <c r="O309" s="18">
        <f>HYPERLINK("https://docs.google.com/spreadsheets/d/1ZN42AS1yziITgKDmVy4ACxHNFbct2kfX", 269.717009375)</f>
        <v>269.7170094</v>
      </c>
      <c r="P309" s="17"/>
      <c r="Q309" s="18">
        <f>HYPERLINK("https://docs.google.com/spreadsheets/d/1Xu3P6EmLfAnBwx-TVIIGf9KXA0GR6gJW", 117.634547916666)</f>
        <v>117.6345479</v>
      </c>
      <c r="R309" s="17"/>
      <c r="S309" s="18">
        <f>HYPERLINK("https://docs.google.com/spreadsheets/d/14lJO8aBbQOnWhHP10kclqx1LN8oV5nzc", 23.7442635416666)</f>
        <v>23.74426354</v>
      </c>
      <c r="T309" s="17"/>
      <c r="U309" s="18">
        <f>HYPERLINK("https://docs.google.com/spreadsheets/d/1K4I1i6pof1kNl87kPQmfrjVNSom4SXD4", 24.3599020833333)</f>
        <v>24.35990208</v>
      </c>
      <c r="V309" s="18">
        <f>HYPERLINK("https://docs.google.com/spreadsheets/d/1tgk4kQZK_yIOROLLU5tAqUTjHapGok0C", 6.52670416666666)</f>
        <v>6.526704167</v>
      </c>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c r="DE309" s="17"/>
      <c r="DF309" s="17"/>
      <c r="DG309" s="17"/>
      <c r="DH309" s="17"/>
      <c r="DI309" s="17"/>
      <c r="DJ309" s="17"/>
      <c r="DK309" s="17"/>
      <c r="DL309" s="17"/>
      <c r="DM309" s="17"/>
      <c r="DN309" s="17"/>
      <c r="DO309" s="17"/>
      <c r="DP309" s="17"/>
      <c r="DQ309" s="17"/>
      <c r="DR309" s="17"/>
      <c r="DS309" s="17"/>
      <c r="DT309" s="17"/>
      <c r="DU309" s="17"/>
      <c r="DV309" s="17"/>
      <c r="DW309" s="17"/>
      <c r="DX309" s="17"/>
      <c r="DY309" s="17"/>
      <c r="DZ309" s="17"/>
      <c r="EA309" s="17"/>
      <c r="EB309" s="17"/>
      <c r="EC309" s="17"/>
      <c r="ED309" s="17"/>
      <c r="EE309" s="17"/>
      <c r="EF309" s="17"/>
      <c r="EG309" s="17"/>
      <c r="EH309" s="17"/>
      <c r="EI309" s="17"/>
      <c r="EJ309" s="17"/>
      <c r="EK309" s="17"/>
      <c r="EL309" s="17"/>
      <c r="EM309" s="17"/>
      <c r="EN309" s="17"/>
      <c r="EO309" s="17"/>
      <c r="EP309" s="17"/>
      <c r="EQ309" s="17"/>
      <c r="ER309" s="17"/>
      <c r="ES309" s="17"/>
      <c r="ET309" s="17"/>
      <c r="EU309" s="17"/>
      <c r="EV309" s="17"/>
      <c r="EW309" s="17"/>
      <c r="EX309" s="17"/>
      <c r="EY309" s="17"/>
      <c r="EZ309" s="17"/>
      <c r="FA309" s="17"/>
      <c r="FB309" s="17"/>
      <c r="FC309" s="17"/>
      <c r="FD309" s="17"/>
      <c r="FE309" s="17"/>
      <c r="FF309" s="17"/>
      <c r="FG309" s="17"/>
      <c r="FH309" s="17"/>
    </row>
    <row r="310">
      <c r="A310" s="32" t="s">
        <v>54</v>
      </c>
      <c r="B310" s="32" t="s">
        <v>60</v>
      </c>
      <c r="C310" s="32" t="s">
        <v>11</v>
      </c>
      <c r="D310" s="16">
        <f t="shared" si="1"/>
        <v>0</v>
      </c>
      <c r="E310" s="17"/>
      <c r="F310" s="17"/>
      <c r="G310" s="18" t="str">
        <f>HYPERLINK("https://docs.google.com/spreadsheets/d/1EdPskk6JtThiMY1gha3QUS0Y32bv9ij3", "RE-23.452360416666668")</f>
        <v>RE-23.452360416666668</v>
      </c>
      <c r="H310" s="17"/>
      <c r="I310" s="18" t="str">
        <f>HYPERLINK("https://docs.google.com/spreadsheets/d/1LV1KmAYE_Neskz-XTdhNHgydmCTw7BZc", "RE-7.42536875")</f>
        <v>RE-7.42536875</v>
      </c>
      <c r="J310" s="17"/>
      <c r="K310" s="18" t="str">
        <f>HYPERLINK("https://docs.google.com/spreadsheets/d/1dhU6Pwcucx3G2L0t44dwUFdMngttInzb", "RE-28.967014583333327")</f>
        <v>RE-28.967014583333327</v>
      </c>
      <c r="L310" s="17"/>
      <c r="M310" s="18" t="str">
        <f>HYPERLINK("https://docs.google.com/spreadsheets/d/1otXtUir1FdRdFy0mbSobtdiCJHFiyykB", "RE-69.57361666666665")</f>
        <v>RE-69.57361666666665</v>
      </c>
      <c r="N310" s="17"/>
      <c r="O310" s="18" t="str">
        <f>HYPERLINK("https://docs.google.com/spreadsheets/d/1ZN42AS1yziITgKDmVy4ACxHNFbct2kfX", "RE-269.7170093750002")</f>
        <v>RE-269.7170093750002</v>
      </c>
      <c r="P310" s="17"/>
      <c r="Q310" s="18" t="str">
        <f>HYPERLINK("https://docs.google.com/spreadsheets/d/1Xu3P6EmLfAnBwx-TVIIGf9KXA0GR6gJW", "RE-117.63454791666663")</f>
        <v>RE-117.63454791666663</v>
      </c>
      <c r="R310" s="17"/>
      <c r="S310" s="18" t="str">
        <f>HYPERLINK("https://docs.google.com/spreadsheets/d/14lJO8aBbQOnWhHP10kclqx1LN8oV5nzc", "RE-23.74426354166666")</f>
        <v>RE-23.74426354166666</v>
      </c>
      <c r="T310" s="17"/>
      <c r="U310" s="18" t="str">
        <f>HYPERLINK("https://docs.google.com/spreadsheets/d/1K4I1i6pof1kNl87kPQmfrjVNSom4SXD4", "RE-24.35990208333333")</f>
        <v>RE-24.35990208333333</v>
      </c>
      <c r="V310" s="18" t="str">
        <f>HYPERLINK("https://docs.google.com/spreadsheets/d/1tgk4kQZK_yIOROLLU5tAqUTjHapGok0C", "RE-6.526704166666666")</f>
        <v>RE-6.526704166666666</v>
      </c>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c r="EJ310" s="17"/>
      <c r="EK310" s="17"/>
      <c r="EL310" s="17"/>
      <c r="EM310" s="17"/>
      <c r="EN310" s="17"/>
      <c r="EO310" s="17"/>
      <c r="EP310" s="17"/>
      <c r="EQ310" s="17"/>
      <c r="ER310" s="17"/>
      <c r="ES310" s="17"/>
      <c r="ET310" s="17"/>
      <c r="EU310" s="17"/>
      <c r="EV310" s="17"/>
      <c r="EW310" s="17"/>
      <c r="EX310" s="17"/>
      <c r="EY310" s="17"/>
      <c r="EZ310" s="17"/>
      <c r="FA310" s="17"/>
      <c r="FB310" s="17"/>
      <c r="FC310" s="17"/>
      <c r="FD310" s="17"/>
      <c r="FE310" s="17"/>
      <c r="FF310" s="17"/>
      <c r="FG310" s="17"/>
      <c r="FH310" s="17"/>
    </row>
    <row r="311">
      <c r="A311" s="32" t="s">
        <v>54</v>
      </c>
      <c r="B311" s="32" t="s">
        <v>60</v>
      </c>
      <c r="C311" s="32" t="s">
        <v>12</v>
      </c>
      <c r="D311" s="16">
        <f t="shared" si="1"/>
        <v>2343.274952</v>
      </c>
      <c r="E311" s="17"/>
      <c r="F311" s="18" t="str">
        <f>HYPERLINK("https://docs.google.com/spreadsheets/d/1hxt_1YN-10aNtRZUOjsy7MnKCG5AhHbE", "RE-197.27838229166667")</f>
        <v>RE-197.27838229166667</v>
      </c>
      <c r="G311" s="18" t="str">
        <f>HYPERLINK("https://docs.google.com/spreadsheets/d/1KPkS2nNGXpqGc2bB7zmWzLSMDO5g4rJS", "RE-0.34634375")</f>
        <v>RE-0.34634375</v>
      </c>
      <c r="H311" s="18" t="str">
        <f>HYPERLINK("https://docs.google.com/spreadsheets/d/1W4kTmzt3MHWzN5xBbw4MYmF0NZU2lpl0", "RE-29.708347916666664")</f>
        <v>RE-29.708347916666664</v>
      </c>
      <c r="I311" s="18" t="str">
        <f>HYPERLINK("https://docs.google.com/spreadsheets/d/12rYAdaY2kc-PRI00JLd9DaZgbz9tdPDt", "RE-0.0")</f>
        <v>RE-0.0</v>
      </c>
      <c r="J311" s="18" t="str">
        <f>HYPERLINK("https://docs.google.com/spreadsheets/d/13IRfWoK2F5ITXUBBWBn7tcdXw-vrv-6h", "RE-363.7406427083335")</f>
        <v>RE-363.7406427083335</v>
      </c>
      <c r="K311" s="18" t="str">
        <f>HYPERLINK("https://docs.google.com/spreadsheets/d/1ySRlnuAhyNiJ7sn4wrorW5I0-Id5ZADE", "RE-0.9737145833333334")</f>
        <v>RE-0.9737145833333334</v>
      </c>
      <c r="L311" s="18">
        <f>HYPERLINK("https://docs.google.com/spreadsheets/d/1z6es12j5zAIUDLjewJHT4X3XEGltpdIB", 1680.70568541666)</f>
        <v>1680.705685</v>
      </c>
      <c r="M311" s="18" t="str">
        <f>HYPERLINK("https://docs.google.com/spreadsheets/d/189r_QzKkaDkY_PgYPgE7j63Jyi5dTbSK", "RE-15.449068750000004")</f>
        <v>RE-15.449068750000004</v>
      </c>
      <c r="N311" s="18" t="str">
        <f>HYPERLINK("https://docs.google.com/spreadsheets/d/1Vj0QsHWrYRTVJflmWWdmnwTrSxgXWDC1", "RE-1600.8477927083302")</f>
        <v>RE-1600.8477927083302</v>
      </c>
      <c r="O311" s="18" t="str">
        <f>HYPERLINK("https://docs.google.com/spreadsheets/d/19hjPYtDeIMcaH6ySrJw3abQ9IN7_QiJA", "RE-16.352827083333327")</f>
        <v>RE-16.352827083333327</v>
      </c>
      <c r="P311" s="18">
        <f>HYPERLINK("https://docs.google.com/spreadsheets/d/1ZcaB6TEj2Deurari5aAL6DYFDMehNb1u", 240.256173958333)</f>
        <v>240.256174</v>
      </c>
      <c r="Q311" s="18" t="str">
        <f>HYPERLINK("https://docs.google.com/spreadsheets/d/1LNpsnRchtAXZ5_vdcykcZmDtEX7CJ-ny", "RE-45.672992708333354")</f>
        <v>RE-45.672992708333354</v>
      </c>
      <c r="R311" s="18">
        <f>HYPERLINK("https://docs.google.com/spreadsheets/d/1reQZNOwq0T6VG7SlxLy3tPSS3y_rSvrG", 100.881854166666)</f>
        <v>100.8818542</v>
      </c>
      <c r="S311" s="18" t="str">
        <f>HYPERLINK("https://docs.google.com/spreadsheets/d/17jce9dKAva6P9XDq7Ru8YD17dwKRU6E7", "RE-11.080528124999999")</f>
        <v>RE-11.080528124999999</v>
      </c>
      <c r="T311" s="18">
        <f>HYPERLINK("https://docs.google.com/spreadsheets/d/1mKcFBNwi99IGVSLByp2hdGLtIe5uxI3t", 321.431238541666)</f>
        <v>321.4312385</v>
      </c>
      <c r="U311" s="18" t="str">
        <f>HYPERLINK("https://docs.google.com/spreadsheets/d/1g5wJA7agbD70LXjZTyfe1R-Q2yzAGx1m", "RE-10.74188125")</f>
        <v>RE-10.74188125</v>
      </c>
      <c r="V311" s="18" t="str">
        <f>HYPERLINK("https://docs.google.com/spreadsheets/d/12WtzrNEqVPdJ33nMiXsN6SsABE-A-mpj", "RE-3.2260000000000004")</f>
        <v>RE-3.2260000000000004</v>
      </c>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c r="DE311" s="17"/>
      <c r="DF311" s="17"/>
      <c r="DG311" s="17"/>
      <c r="DH311" s="17"/>
      <c r="DI311" s="17"/>
      <c r="DJ311" s="17"/>
      <c r="DK311" s="17"/>
      <c r="DL311" s="17"/>
      <c r="DM311" s="17"/>
      <c r="DN311" s="17"/>
      <c r="DO311" s="17"/>
      <c r="DP311" s="17"/>
      <c r="DQ311" s="17"/>
      <c r="DR311" s="17"/>
      <c r="DS311" s="17"/>
      <c r="DT311" s="17"/>
      <c r="DU311" s="17"/>
      <c r="DV311" s="17"/>
      <c r="DW311" s="17"/>
      <c r="DX311" s="17"/>
      <c r="DY311" s="17"/>
      <c r="DZ311" s="17"/>
      <c r="EA311" s="17"/>
      <c r="EB311" s="17"/>
      <c r="EC311" s="17"/>
      <c r="ED311" s="17"/>
      <c r="EE311" s="17"/>
      <c r="EF311" s="17"/>
      <c r="EG311" s="17"/>
      <c r="EH311" s="17"/>
      <c r="EI311" s="17"/>
      <c r="EJ311" s="17"/>
      <c r="EK311" s="17"/>
      <c r="EL311" s="17"/>
      <c r="EM311" s="17"/>
      <c r="EN311" s="17"/>
      <c r="EO311" s="17"/>
      <c r="EP311" s="17"/>
      <c r="EQ311" s="17"/>
      <c r="ER311" s="17"/>
      <c r="ES311" s="17"/>
      <c r="ET311" s="17"/>
      <c r="EU311" s="17"/>
      <c r="EV311" s="17"/>
      <c r="EW311" s="17"/>
      <c r="EX311" s="17"/>
      <c r="EY311" s="17"/>
      <c r="EZ311" s="17"/>
      <c r="FA311" s="17"/>
      <c r="FB311" s="17"/>
      <c r="FC311" s="17"/>
      <c r="FD311" s="17"/>
      <c r="FE311" s="17"/>
      <c r="FF311" s="17"/>
      <c r="FG311" s="17"/>
      <c r="FH311" s="17"/>
    </row>
    <row r="312">
      <c r="A312" s="32" t="s">
        <v>54</v>
      </c>
      <c r="B312" s="32" t="s">
        <v>60</v>
      </c>
      <c r="C312" s="32" t="s">
        <v>13</v>
      </c>
      <c r="D312" s="16">
        <f t="shared" si="1"/>
        <v>2245.8653</v>
      </c>
      <c r="E312" s="17"/>
      <c r="F312" s="18" t="str">
        <f>HYPERLINK("https://docs.google.com/spreadsheets/d/1OtJyF1LomXggVtnfTd5aQuWUxl2KQVBg?usp=share_link", "RE-192.383")</f>
        <v>RE-192.383</v>
      </c>
      <c r="G312" s="18" t="str">
        <f>HYPERLINK("https://docs.google.com/spreadsheets/d/11hp5671LV-VBIg9YpKKEZLgdcEPy3pJh?usp=share_link", "RE-0.2922")</f>
        <v>RE-0.2922</v>
      </c>
      <c r="H312" s="18" t="str">
        <f>HYPERLINK("https://docs.google.com/spreadsheets/d/1yx4Hqw8o7oV9bQmlR_ViTAyCMJI3YXaG?usp=share_link", "RE-29.1821")</f>
        <v>RE-29.1821</v>
      </c>
      <c r="I312" s="17"/>
      <c r="J312" s="18" t="str">
        <f>HYPERLINK("https://docs.google.com/spreadsheets/d/1_6s_Sy5QxllMaZ8DNJX9_IAxlcZ3NZop?usp=share_link", "RE-352.607")</f>
        <v>RE-352.607</v>
      </c>
      <c r="K312" s="18" t="str">
        <f>HYPERLINK("https://docs.google.com/spreadsheets/d/1r-GrcKG3SWTQK1LQ8THH4glbQGPDaG6x?usp=share_link", "RE-0.9697")</f>
        <v>RE-0.9697</v>
      </c>
      <c r="L312" s="18">
        <f>HYPERLINK("https://docs.google.com/spreadsheets/d/1kDcVvj442gBK4R2nr5ICSkmF6xNsc5Cr?usp=share_link", 1609.46)</f>
        <v>1609.46</v>
      </c>
      <c r="M312" s="18" t="str">
        <f>HYPERLINK("https://docs.google.com/spreadsheets/d/1mhHwWr3_S_memalQZflL0YGPK-L0mxzt?usp=share_link", "RE-14.3477")</f>
        <v>RE-14.3477</v>
      </c>
      <c r="N312" s="18" t="str">
        <f>HYPERLINK("https://docs.google.com/spreadsheets/d/1M8U3AiTUmzxUOqGrmtCGVYn5c1SQxkpW?usp=share_link", "RE-1533.56")</f>
        <v>RE-1533.56</v>
      </c>
      <c r="O312" s="18" t="str">
        <f>HYPERLINK("https://docs.google.com/spreadsheets/d/17BUbtvPA6JqIlSYdZOckrM8xKYu9XGjc?usp=share_link", "RE-15.3235")</f>
        <v>RE-15.3235</v>
      </c>
      <c r="P312" s="18">
        <f>HYPERLINK("https://docs.google.com/spreadsheets/d/1c9gnAU39W_CcBgqUb9xT9njB8MZ3SIE-?usp=share_link", 227.627)</f>
        <v>227.627</v>
      </c>
      <c r="Q312" s="18" t="str">
        <f>HYPERLINK("https://docs.google.com/spreadsheets/d/1lldxpmhwcs2taR4Vnm9uuPauwoCcm3DI?usp=share_link", "RE-44.3949")</f>
        <v>RE-44.3949</v>
      </c>
      <c r="R312" s="18">
        <f>HYPERLINK("https://docs.google.com/spreadsheets/d/1igu296Htf3D6p_hwKoUVjQ6s6MmGzP7e?usp=share_link", 97.3953)</f>
        <v>97.3953</v>
      </c>
      <c r="S312" s="18" t="str">
        <f>HYPERLINK("https://docs.google.com/spreadsheets/d/1XuF8JAjtq4Nq9BzZysHg5OhOo4dxLtTX?usp=share_link", "RE-10.6879")</f>
        <v>RE-10.6879</v>
      </c>
      <c r="T312" s="18">
        <f>HYPERLINK("https://docs.google.com/spreadsheets/d/1vZlZanhyBIprZzKqeNDItHsWaXhkqiVG?usp=share_link", 311.383)</f>
        <v>311.383</v>
      </c>
      <c r="U312" s="18" t="str">
        <f>HYPERLINK("https://docs.google.com/spreadsheets/d/1Rt7ZXBkmGaolEMr_KZjVz6BLNHLLSpTX?usp=share_link", "RE-10.2358")</f>
        <v>RE-10.2358</v>
      </c>
      <c r="V312" s="18" t="str">
        <f>HYPERLINK("https://docs.google.com/spreadsheets/d/14ToEUCXm9OWLnpQf7O-WHuP3lcxVYfj8?usp=share_link", "RE-3.12208")</f>
        <v>RE-3.12208</v>
      </c>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c r="DE312" s="17"/>
      <c r="DF312" s="17"/>
      <c r="DG312" s="17"/>
      <c r="DH312" s="17"/>
      <c r="DI312" s="17"/>
      <c r="DJ312" s="17"/>
      <c r="DK312" s="17"/>
      <c r="DL312" s="17"/>
      <c r="DM312" s="17"/>
      <c r="DN312" s="17"/>
      <c r="DO312" s="17"/>
      <c r="DP312" s="17"/>
      <c r="DQ312" s="17"/>
      <c r="DR312" s="17"/>
      <c r="DS312" s="17"/>
      <c r="DT312" s="17"/>
      <c r="DU312" s="17"/>
      <c r="DV312" s="17"/>
      <c r="DW312" s="17"/>
      <c r="DX312" s="17"/>
      <c r="DY312" s="17"/>
      <c r="DZ312" s="17"/>
      <c r="EA312" s="17"/>
      <c r="EB312" s="17"/>
      <c r="EC312" s="17"/>
      <c r="ED312" s="17"/>
      <c r="EE312" s="17"/>
      <c r="EF312" s="17"/>
      <c r="EG312" s="17"/>
      <c r="EH312" s="17"/>
      <c r="EI312" s="17"/>
      <c r="EJ312" s="17"/>
      <c r="EK312" s="17"/>
      <c r="EL312" s="17"/>
      <c r="EM312" s="17"/>
      <c r="EN312" s="17"/>
      <c r="EO312" s="17"/>
      <c r="EP312" s="17"/>
      <c r="EQ312" s="17"/>
      <c r="ER312" s="17"/>
      <c r="ES312" s="17"/>
      <c r="ET312" s="17"/>
      <c r="EU312" s="17"/>
      <c r="EV312" s="17"/>
      <c r="EW312" s="17"/>
      <c r="EX312" s="17"/>
      <c r="EY312" s="17"/>
      <c r="EZ312" s="17"/>
      <c r="FA312" s="17"/>
      <c r="FB312" s="17"/>
      <c r="FC312" s="17"/>
      <c r="FD312" s="17"/>
      <c r="FE312" s="17"/>
      <c r="FF312" s="17"/>
      <c r="FG312" s="17"/>
      <c r="FH312" s="17"/>
    </row>
    <row r="313">
      <c r="A313" s="32" t="s">
        <v>54</v>
      </c>
      <c r="B313" s="32" t="s">
        <v>60</v>
      </c>
      <c r="C313" s="32" t="s">
        <v>14</v>
      </c>
      <c r="D313" s="16">
        <f t="shared" si="1"/>
        <v>1972.8135</v>
      </c>
      <c r="E313" s="17"/>
      <c r="F313" s="18" t="str">
        <f>HYPERLINK("https://docs.google.com/spreadsheets/d/15uOF-TZ4UdhnaAKQoVFhpmQPb7pEDPsC?usp=share_link", "RE-173.724")</f>
        <v>RE-173.724</v>
      </c>
      <c r="G313" s="18" t="str">
        <f>HYPERLINK("https://docs.google.com/spreadsheets/d/1SHWSY2Yf-CU-dHm7DQHCVQ2ALsop5341?usp=share_link", "RE-0.2922")</f>
        <v>RE-0.2922</v>
      </c>
      <c r="H313" s="18" t="str">
        <f>HYPERLINK("https://docs.google.com/spreadsheets/d/1tSqPTUnzL_taC1FS3RC9BLlXDuho5koV?usp=share_link", "RE-23.946")</f>
        <v>RE-23.946</v>
      </c>
      <c r="I313" s="17"/>
      <c r="J313" s="18" t="str">
        <f>HYPERLINK("https://docs.google.com/spreadsheets/d/1bnafoD2LOidIFULajiFX7j5tXOjOEoy9?usp=share_link", "RE-315.992")</f>
        <v>RE-315.992</v>
      </c>
      <c r="K313" s="18" t="str">
        <f>HYPERLINK("https://docs.google.com/spreadsheets/d/19q6oM31oTMW9in341AIzwuQrURytchdS?usp=share_link", "RE-0.9697")</f>
        <v>RE-0.9697</v>
      </c>
      <c r="L313" s="18">
        <f>HYPERLINK("https://docs.google.com/spreadsheets/d/1V59z1MVOmtbPstuNI1XhXolF_ytyFWEF?usp=share_link", 1433.46)</f>
        <v>1433.46</v>
      </c>
      <c r="M313" s="18" t="str">
        <f>HYPERLINK("https://docs.google.com/spreadsheets/d/13qD7IyTeVVyErlQPx3RvH0yiqA_ome9R?usp=share_link", "RE-12.4993")</f>
        <v>RE-12.4993</v>
      </c>
      <c r="N313" s="18" t="str">
        <f>HYPERLINK("https://docs.google.com/spreadsheets/d/1s0jFPgTmJ190D8RTrSPJI4Ctvso5Snj8?usp=share_link", "RE-1361.76")</f>
        <v>RE-1361.76</v>
      </c>
      <c r="O313" s="18" t="str">
        <f>HYPERLINK("https://docs.google.com/spreadsheets/d/1_EBo9bdsAH8ZxWMe3ejBMc8htCFrm4lc?usp=share_link", "RE-13.7903")</f>
        <v>RE-13.7903</v>
      </c>
      <c r="P313" s="18">
        <f>HYPERLINK("https://docs.google.com/spreadsheets/d/1iUGRjh03iAkoQlCJ2RrUMDjOgZJeVM7Q?usp=share_link", 193.178)</f>
        <v>193.178</v>
      </c>
      <c r="Q313" s="18" t="str">
        <f>HYPERLINK("https://docs.google.com/spreadsheets/d/1a4ATK_7OszA4Ow_zL2h0KIxwTFb8jM6l?usp=share_link", "RE-39.9743")</f>
        <v>RE-39.9743</v>
      </c>
      <c r="R313" s="18">
        <f>HYPERLINK("https://docs.google.com/spreadsheets/d/1xUWqIyg0fKREBbyurt8wcJK99PHC-PtG?usp=share_link", 82.8845)</f>
        <v>82.8845</v>
      </c>
      <c r="S313" s="18" t="str">
        <f>HYPERLINK("https://docs.google.com/spreadsheets/d/1CxzA9jC6g51O6J03U6It02VEFQkyJMWa?usp=share_link", "RE-9.61273")</f>
        <v>RE-9.61273</v>
      </c>
      <c r="T313" s="18">
        <f>HYPERLINK("https://docs.google.com/spreadsheets/d/1Ttrn00bpjMuQLNPsxMsC40OEjOPC2zcw?usp=share_link", 263.291)</f>
        <v>263.291</v>
      </c>
      <c r="U313" s="18" t="str">
        <f>HYPERLINK("https://docs.google.com/spreadsheets/d/1CAbXDcXiLWIMFUf6AnFTCGrenVThqH4p?usp=share_link", "RE-9.42468")</f>
        <v>RE-9.42468</v>
      </c>
      <c r="V313" s="18" t="str">
        <f>HYPERLINK("https://docs.google.com/spreadsheets/d/1PwoOxFmcdxTRjwkC0eJ8GAFH1_h1t6fK?usp=share_link", "RE-3.12208")</f>
        <v>RE-3.12208</v>
      </c>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c r="DE313" s="17"/>
      <c r="DF313" s="17"/>
      <c r="DG313" s="17"/>
      <c r="DH313" s="17"/>
      <c r="DI313" s="17"/>
      <c r="DJ313" s="17"/>
      <c r="DK313" s="17"/>
      <c r="DL313" s="17"/>
      <c r="DM313" s="17"/>
      <c r="DN313" s="17"/>
      <c r="DO313" s="17"/>
      <c r="DP313" s="17"/>
      <c r="DQ313" s="17"/>
      <c r="DR313" s="17"/>
      <c r="DS313" s="17"/>
      <c r="DT313" s="17"/>
      <c r="DU313" s="17"/>
      <c r="DV313" s="17"/>
      <c r="DW313" s="17"/>
      <c r="DX313" s="17"/>
      <c r="DY313" s="17"/>
      <c r="DZ313" s="17"/>
      <c r="EA313" s="17"/>
      <c r="EB313" s="17"/>
      <c r="EC313" s="17"/>
      <c r="ED313" s="17"/>
      <c r="EE313" s="17"/>
      <c r="EF313" s="17"/>
      <c r="EG313" s="17"/>
      <c r="EH313" s="17"/>
      <c r="EI313" s="17"/>
      <c r="EJ313" s="17"/>
      <c r="EK313" s="17"/>
      <c r="EL313" s="17"/>
      <c r="EM313" s="17"/>
      <c r="EN313" s="17"/>
      <c r="EO313" s="17"/>
      <c r="EP313" s="17"/>
      <c r="EQ313" s="17"/>
      <c r="ER313" s="17"/>
      <c r="ES313" s="17"/>
      <c r="ET313" s="17"/>
      <c r="EU313" s="17"/>
      <c r="EV313" s="17"/>
      <c r="EW313" s="17"/>
      <c r="EX313" s="17"/>
      <c r="EY313" s="17"/>
      <c r="EZ313" s="17"/>
      <c r="FA313" s="17"/>
      <c r="FB313" s="17"/>
      <c r="FC313" s="17"/>
      <c r="FD313" s="17"/>
      <c r="FE313" s="17"/>
      <c r="FF313" s="17"/>
      <c r="FG313" s="17"/>
      <c r="FH313" s="17"/>
    </row>
    <row r="314">
      <c r="A314" s="27" t="s">
        <v>54</v>
      </c>
      <c r="B314" s="27" t="s">
        <v>60</v>
      </c>
      <c r="C314" s="27" t="s">
        <v>15</v>
      </c>
      <c r="D314" s="28">
        <f t="shared" si="1"/>
        <v>2244.5203</v>
      </c>
      <c r="E314" s="33"/>
      <c r="F314" s="34" t="str">
        <f>HYPERLINK("https://docs.google.com/spreadsheets/d/18YpXPtU4pT8rSfJSIaE0E2SlMjQTjb4h?usp=share_link", "RE-192.291")</f>
        <v>RE-192.291</v>
      </c>
      <c r="G314" s="34" t="str">
        <f>HYPERLINK("https://docs.google.com/spreadsheets/d/1RnKPHPulqqMFAWFnaVVDk-uXcDhf_5Gs?usp=share_link", "RE-0.2922")</f>
        <v>RE-0.2922</v>
      </c>
      <c r="H314" s="34" t="str">
        <f>HYPERLINK("https://docs.google.com/spreadsheets/d/15TZlxzaKx3z1lxADH4HgAauElyRi1KMD?usp=share_link", "RE-29.1821")</f>
        <v>RE-29.1821</v>
      </c>
      <c r="I314" s="33"/>
      <c r="J314" s="34" t="str">
        <f>HYPERLINK("https://docs.google.com/spreadsheets/d/1ImdGppoLArlui7UlkQKYDGreS-3rDdkk?usp=share_link", "RE-352.607")</f>
        <v>RE-352.607</v>
      </c>
      <c r="K314" s="34" t="str">
        <f>HYPERLINK("https://docs.google.com/spreadsheets/d/19ZdoQl8SLF2Y_8gqksj42fbwtMaLqW1S?usp=share_link", "RE-0.9697")</f>
        <v>RE-0.9697</v>
      </c>
      <c r="L314" s="34">
        <f>HYPERLINK("https://docs.google.com/spreadsheets/d/1XtVgTKLnhbtDM3DEyHzk75rs2Obw8Cac?usp=share_link", 1609.46)</f>
        <v>1609.46</v>
      </c>
      <c r="M314" s="34" t="str">
        <f>HYPERLINK("https://docs.google.com/spreadsheets/d/19wXw-POiR-UOlOn4sH0FCKpnZ9TQ2MA6?usp=share_link", "RE-14.3477")</f>
        <v>RE-14.3477</v>
      </c>
      <c r="N314" s="34" t="str">
        <f>HYPERLINK("https://docs.google.com/spreadsheets/d/1sVFUBrIq-j_b1p0BdZzqUtJC7Cua7pFF?usp=share_link", "RE-1533.4")</f>
        <v>RE-1533.4</v>
      </c>
      <c r="O314" s="34" t="str">
        <f>HYPERLINK("https://docs.google.com/spreadsheets/d/1_nxwk60NTwXjVJC6XFHf9bcyAqMcRynd?usp=share_link", "RE-15.3235")</f>
        <v>RE-15.3235</v>
      </c>
      <c r="P314" s="34">
        <f>HYPERLINK("https://docs.google.com/spreadsheets/d/1X_bU2RIPjwCVhEKmIfFWEte8WpvUxrUV?usp=share_link", 226.282)</f>
        <v>226.282</v>
      </c>
      <c r="Q314" s="34" t="str">
        <f>HYPERLINK("https://docs.google.com/spreadsheets/d/1C0Dc2IxA_KCCN61XhBDnIlWy0ekE-zRT?usp=share_link", "RE-44.3949")</f>
        <v>RE-44.3949</v>
      </c>
      <c r="R314" s="34">
        <f>HYPERLINK("https://docs.google.com/spreadsheets/d/1oV9rNCGeG_nFDq41TGfBtICi4aLnE-kK?usp=share_link", 97.3953)</f>
        <v>97.3953</v>
      </c>
      <c r="S314" s="34" t="str">
        <f>HYPERLINK("https://docs.google.com/spreadsheets/d/1mzbdMy2E-JYFJWBTmpd-S1mcLixszJi0?usp=share_link", "RE-10.6879")</f>
        <v>RE-10.6879</v>
      </c>
      <c r="T314" s="34">
        <f>HYPERLINK("https://docs.google.com/spreadsheets/d/1r3VhNezsFmSRftNt04RFMvdIp4lSQ8Qy?usp=share_link", 311.383)</f>
        <v>311.383</v>
      </c>
      <c r="U314" s="34" t="str">
        <f>HYPERLINK("https://docs.google.com/spreadsheets/d/1J8Vqq338iqwqp7gyWU6UnilFPm8N0Syw?usp=share_link", "RE-10.2358")</f>
        <v>RE-10.2358</v>
      </c>
      <c r="V314" s="34" t="str">
        <f>HYPERLINK("https://docs.google.com/spreadsheets/d/1qNlUs6HsLQ16ubqYg7HwnllunlcOJee1?usp=share_link", "RE-3.12208")</f>
        <v>RE-3.12208</v>
      </c>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3"/>
      <c r="CT314" s="33"/>
      <c r="CU314" s="33"/>
      <c r="CV314" s="33"/>
      <c r="CW314" s="33"/>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33"/>
      <c r="ER314" s="33"/>
      <c r="ES314" s="33"/>
      <c r="ET314" s="33"/>
      <c r="EU314" s="33"/>
      <c r="EV314" s="33"/>
      <c r="EW314" s="33"/>
      <c r="EX314" s="33"/>
      <c r="EY314" s="33"/>
      <c r="EZ314" s="33"/>
      <c r="FA314" s="33"/>
      <c r="FB314" s="33"/>
      <c r="FC314" s="33"/>
      <c r="FD314" s="33"/>
      <c r="FE314" s="33"/>
      <c r="FF314" s="33"/>
      <c r="FG314" s="33"/>
      <c r="FH314" s="33"/>
    </row>
    <row r="315">
      <c r="A315" s="30" t="s">
        <v>38</v>
      </c>
      <c r="B315" s="30" t="s">
        <v>61</v>
      </c>
      <c r="C315" s="31" t="str">
        <f>HYPERLINK("https://docs.google.com/spreadsheets/d/1R8rK1O1oDonHCfq0v-ygqJY-66vJOb_j/edit#gid=1290202973", "Raw Delivered")</f>
        <v>Raw Delivered</v>
      </c>
      <c r="D315" s="12">
        <f t="shared" si="1"/>
        <v>5455.416133</v>
      </c>
      <c r="E315" s="13"/>
      <c r="F315" s="14">
        <f>HYPERLINK("https://docs.google.com/spreadsheets/d/1E94OROQZnW9yoA2u_B8C34ClP4O9y8PL", 1322.50289270833)</f>
        <v>1322.502893</v>
      </c>
      <c r="G315" s="13"/>
      <c r="H315" s="14">
        <f>HYPERLINK("https://docs.google.com/spreadsheets/d/1aGOi6Z1SjdmqtNfacIB2u_HOyssu7rVo", 184.617181249999)</f>
        <v>184.6171812</v>
      </c>
      <c r="I315" s="13"/>
      <c r="J315" s="14">
        <f>HYPERLINK("https://docs.google.com/spreadsheets/d/1BLymZl5GBxwN77E4FeADFhn1BeE1nHxB", 1263.38941875)</f>
        <v>1263.389419</v>
      </c>
      <c r="K315" s="13"/>
      <c r="L315" s="14">
        <f t="shared" ref="L315:L316" si="158">HYPERLINK("https://docs.google.com/spreadsheets/d/1y6It5fy7Fj8hifKlolX48JRfLxdmqbyT", 1079.59696145833)</f>
        <v>1079.596961</v>
      </c>
      <c r="M315" s="13"/>
      <c r="N315" s="14">
        <f>HYPERLINK("https://docs.google.com/spreadsheets/d/19bstqbeXc3-kSfwjv5m3LL65ecuUk5gd", 867.596670833331)</f>
        <v>867.5966708</v>
      </c>
      <c r="O315" s="13"/>
      <c r="P315" s="14">
        <f t="shared" ref="P315:P316" si="159">HYPERLINK("https://docs.google.com/spreadsheets/d/1cEVg2mXQJNTBr_BBj3w2Px0VHjyMJDOY", 391.428231249999)</f>
        <v>391.4282312</v>
      </c>
      <c r="Q315" s="13"/>
      <c r="R315" s="14">
        <f t="shared" ref="R315:R316" si="160">HYPERLINK("https://docs.google.com/spreadsheets/d/1RKoTjIum0od_lvKGmDibP4IpkyJZ6LvF", 68.08955)</f>
        <v>68.08955</v>
      </c>
      <c r="S315" s="13"/>
      <c r="T315" s="14">
        <f t="shared" ref="T315:T316" si="161">HYPERLINK("https://docs.google.com/spreadsheets/d/18HM_um6Bwl2Z6Ok8GwpeEd23J6LEsl1J", 278.195227083333)</f>
        <v>278.1952271</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row>
    <row r="316">
      <c r="A316" s="32" t="s">
        <v>38</v>
      </c>
      <c r="B316" s="32" t="s">
        <v>61</v>
      </c>
      <c r="C316" s="32" t="s">
        <v>9</v>
      </c>
      <c r="D316" s="16">
        <f t="shared" si="1"/>
        <v>1817.30997</v>
      </c>
      <c r="E316" s="17"/>
      <c r="F316" s="18" t="str">
        <f>HYPERLINK("https://docs.google.com/spreadsheets/d/1E94OROQZnW9yoA2u_B8C34ClP4O9y8PL", "RE-1322.5028927083322")</f>
        <v>RE-1322.5028927083322</v>
      </c>
      <c r="G316" s="17"/>
      <c r="H316" s="18" t="str">
        <f>HYPERLINK("https://docs.google.com/spreadsheets/d/1aGOi6Z1SjdmqtNfacIB2u_HOyssu7rVo", "RE-184.6171812499999")</f>
        <v>RE-184.6171812499999</v>
      </c>
      <c r="I316" s="17"/>
      <c r="J316" s="18" t="str">
        <f>HYPERLINK("https://docs.google.com/spreadsheets/d/1BLymZl5GBxwN77E4FeADFhn1BeE1nHxB", "RE-1263.38941875")</f>
        <v>RE-1263.38941875</v>
      </c>
      <c r="K316" s="17"/>
      <c r="L316" s="18">
        <f t="shared" si="158"/>
        <v>1079.596961</v>
      </c>
      <c r="M316" s="17"/>
      <c r="N316" s="18" t="str">
        <f>HYPERLINK("https://docs.google.com/spreadsheets/d/19bstqbeXc3-kSfwjv5m3LL65ecuUk5gd", "RE-867.5966708333316")</f>
        <v>RE-867.5966708333316</v>
      </c>
      <c r="O316" s="17"/>
      <c r="P316" s="18">
        <f t="shared" si="159"/>
        <v>391.4282312</v>
      </c>
      <c r="Q316" s="17"/>
      <c r="R316" s="18">
        <f t="shared" si="160"/>
        <v>68.08955</v>
      </c>
      <c r="S316" s="17"/>
      <c r="T316" s="18">
        <f t="shared" si="161"/>
        <v>278.1952271</v>
      </c>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c r="DE316" s="17"/>
      <c r="DF316" s="17"/>
      <c r="DG316" s="17"/>
      <c r="DH316" s="17"/>
      <c r="DI316" s="17"/>
      <c r="DJ316" s="17"/>
      <c r="DK316" s="17"/>
      <c r="DL316" s="17"/>
      <c r="DM316" s="17"/>
      <c r="DN316" s="17"/>
      <c r="DO316" s="17"/>
      <c r="DP316" s="17"/>
      <c r="DQ316" s="17"/>
      <c r="DR316" s="17"/>
      <c r="DS316" s="17"/>
      <c r="DT316" s="17"/>
      <c r="DU316" s="17"/>
      <c r="DV316" s="17"/>
      <c r="DW316" s="17"/>
      <c r="DX316" s="17"/>
      <c r="DY316" s="17"/>
      <c r="DZ316" s="17"/>
      <c r="EA316" s="17"/>
      <c r="EB316" s="17"/>
      <c r="EC316" s="17"/>
      <c r="ED316" s="17"/>
      <c r="EE316" s="17"/>
      <c r="EF316" s="17"/>
      <c r="EG316" s="17"/>
      <c r="EH316" s="17"/>
      <c r="EI316" s="17"/>
      <c r="EJ316" s="17"/>
      <c r="EK316" s="17"/>
      <c r="EL316" s="17"/>
      <c r="EM316" s="17"/>
      <c r="EN316" s="17"/>
      <c r="EO316" s="17"/>
      <c r="EP316" s="17"/>
      <c r="EQ316" s="17"/>
      <c r="ER316" s="17"/>
      <c r="ES316" s="17"/>
      <c r="ET316" s="17"/>
      <c r="EU316" s="17"/>
      <c r="EV316" s="17"/>
      <c r="EW316" s="17"/>
      <c r="EX316" s="17"/>
      <c r="EY316" s="17"/>
      <c r="EZ316" s="17"/>
      <c r="FA316" s="17"/>
      <c r="FB316" s="17"/>
      <c r="FC316" s="17"/>
      <c r="FD316" s="17"/>
      <c r="FE316" s="17"/>
      <c r="FF316" s="17"/>
      <c r="FG316" s="17"/>
      <c r="FH316" s="17"/>
    </row>
    <row r="317">
      <c r="A317" s="32" t="s">
        <v>38</v>
      </c>
      <c r="B317" s="32" t="s">
        <v>61</v>
      </c>
      <c r="C317" s="32" t="s">
        <v>10</v>
      </c>
      <c r="D317" s="16">
        <f t="shared" si="1"/>
        <v>643.2159521</v>
      </c>
      <c r="E317" s="17"/>
      <c r="F317" s="17"/>
      <c r="G317" s="18">
        <f>HYPERLINK("https://docs.google.com/spreadsheets/d/18KkPBI1_8WzRJBj70BXVq8j5z1WjkLyy", 176.587869791666)</f>
        <v>176.5878698</v>
      </c>
      <c r="H317" s="17"/>
      <c r="I317" s="18">
        <f>HYPERLINK("https://docs.google.com/spreadsheets/d/1WEFF4GVurt2Ie1RIr4BMXj2MUqjsQM8P", 24.3629604166666)</f>
        <v>24.36296042</v>
      </c>
      <c r="J317" s="17"/>
      <c r="K317" s="18">
        <f>HYPERLINK("https://docs.google.com/spreadsheets/d/15J9pVwuGls3oNBKOwJ_E9eMS2fcYs23Y", 100.060077083333)</f>
        <v>100.0600771</v>
      </c>
      <c r="L317" s="17"/>
      <c r="M317" s="18">
        <f>HYPERLINK("https://docs.google.com/spreadsheets/d/1IBxexd8ELREKRlwoKXOYWS9P77VmkEbl", 69.5813416666666)</f>
        <v>69.58134167</v>
      </c>
      <c r="N317" s="17"/>
      <c r="O317" s="18">
        <f>HYPERLINK("https://docs.google.com/spreadsheets/d/1MZGftV-1RH99p8tN8KPzDN3MJJ8iQgd5", 98.7370416666666)</f>
        <v>98.73704167</v>
      </c>
      <c r="P317" s="17"/>
      <c r="Q317" s="18">
        <f>HYPERLINK("https://docs.google.com/spreadsheets/d/1-hUsAxxLYY2oSuN8-o4089Chw-mHNkBz", 112.268722916666)</f>
        <v>112.2687229</v>
      </c>
      <c r="R317" s="17"/>
      <c r="S317" s="18">
        <f>HYPERLINK("https://docs.google.com/spreadsheets/d/1jTZDHgdXY5bs5_rX-kPNUiZHTSmfXjFZ", 23.16315625)</f>
        <v>23.16315625</v>
      </c>
      <c r="T317" s="17"/>
      <c r="U317" s="18">
        <f>HYPERLINK("https://docs.google.com/spreadsheets/d/1WmMxJ9mYThjUaZzzqsP_g9BXqMbg23eo", 27.0492968749999)</f>
        <v>27.04929687</v>
      </c>
      <c r="V317" s="18">
        <f>HYPERLINK("https://docs.google.com/spreadsheets/d/1qX5_mAdKrVqryAzIiIIyxYwLt2zkJQ50", 11.4054854166666)</f>
        <v>11.40548542</v>
      </c>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c r="DE317" s="17"/>
      <c r="DF317" s="17"/>
      <c r="DG317" s="17"/>
      <c r="DH317" s="17"/>
      <c r="DI317" s="17"/>
      <c r="DJ317" s="17"/>
      <c r="DK317" s="17"/>
      <c r="DL317" s="17"/>
      <c r="DM317" s="17"/>
      <c r="DN317" s="17"/>
      <c r="DO317" s="17"/>
      <c r="DP317" s="17"/>
      <c r="DQ317" s="17"/>
      <c r="DR317" s="17"/>
      <c r="DS317" s="17"/>
      <c r="DT317" s="17"/>
      <c r="DU317" s="17"/>
      <c r="DV317" s="17"/>
      <c r="DW317" s="17"/>
      <c r="DX317" s="17"/>
      <c r="DY317" s="17"/>
      <c r="DZ317" s="17"/>
      <c r="EA317" s="17"/>
      <c r="EB317" s="17"/>
      <c r="EC317" s="17"/>
      <c r="ED317" s="17"/>
      <c r="EE317" s="17"/>
      <c r="EF317" s="17"/>
      <c r="EG317" s="17"/>
      <c r="EH317" s="17"/>
      <c r="EI317" s="17"/>
      <c r="EJ317" s="17"/>
      <c r="EK317" s="17"/>
      <c r="EL317" s="17"/>
      <c r="EM317" s="17"/>
      <c r="EN317" s="17"/>
      <c r="EO317" s="17"/>
      <c r="EP317" s="17"/>
      <c r="EQ317" s="17"/>
      <c r="ER317" s="17"/>
      <c r="ES317" s="17"/>
      <c r="ET317" s="17"/>
      <c r="EU317" s="17"/>
      <c r="EV317" s="17"/>
      <c r="EW317" s="17"/>
      <c r="EX317" s="17"/>
      <c r="EY317" s="17"/>
      <c r="EZ317" s="17"/>
      <c r="FA317" s="17"/>
      <c r="FB317" s="17"/>
      <c r="FC317" s="17"/>
      <c r="FD317" s="17"/>
      <c r="FE317" s="17"/>
      <c r="FF317" s="17"/>
      <c r="FG317" s="17"/>
      <c r="FH317" s="17"/>
    </row>
    <row r="318">
      <c r="A318" s="32" t="s">
        <v>38</v>
      </c>
      <c r="B318" s="32" t="s">
        <v>61</v>
      </c>
      <c r="C318" s="32" t="s">
        <v>11</v>
      </c>
      <c r="D318" s="16">
        <f t="shared" si="1"/>
        <v>0</v>
      </c>
      <c r="E318" s="17"/>
      <c r="F318" s="17"/>
      <c r="G318" s="18" t="str">
        <f>HYPERLINK("https://docs.google.com/spreadsheets/d/18KkPBI1_8WzRJBj70BXVq8j5z1WjkLyy", "RE-176.5878697916668")</f>
        <v>RE-176.5878697916668</v>
      </c>
      <c r="H318" s="17"/>
      <c r="I318" s="18" t="str">
        <f>HYPERLINK("https://docs.google.com/spreadsheets/d/1WEFF4GVurt2Ie1RIr4BMXj2MUqjsQM8P", "RE-24.362960416666674")</f>
        <v>RE-24.362960416666674</v>
      </c>
      <c r="J318" s="17"/>
      <c r="K318" s="18" t="str">
        <f>HYPERLINK("https://docs.google.com/spreadsheets/d/15J9pVwuGls3oNBKOwJ_E9eMS2fcYs23Y", "RE-100.0600770833334")</f>
        <v>RE-100.0600770833334</v>
      </c>
      <c r="L318" s="17"/>
      <c r="M318" s="18" t="str">
        <f>HYPERLINK("https://docs.google.com/spreadsheets/d/1IBxexd8ELREKRlwoKXOYWS9P77VmkEbl", "RE-69.58134166666665")</f>
        <v>RE-69.58134166666665</v>
      </c>
      <c r="N318" s="17"/>
      <c r="O318" s="18" t="str">
        <f>HYPERLINK("https://docs.google.com/spreadsheets/d/1MZGftV-1RH99p8tN8KPzDN3MJJ8iQgd5", "RE-98.73704166666661")</f>
        <v>RE-98.73704166666661</v>
      </c>
      <c r="P318" s="17"/>
      <c r="Q318" s="18" t="str">
        <f>HYPERLINK("https://docs.google.com/spreadsheets/d/1-hUsAxxLYY2oSuN8-o4089Chw-mHNkBz", "RE-112.26872291666668")</f>
        <v>RE-112.26872291666668</v>
      </c>
      <c r="R318" s="17"/>
      <c r="S318" s="18" t="str">
        <f>HYPERLINK("https://docs.google.com/spreadsheets/d/1jTZDHgdXY5bs5_rX-kPNUiZHTSmfXjFZ", "RE-23.163156250000004")</f>
        <v>RE-23.163156250000004</v>
      </c>
      <c r="T318" s="17"/>
      <c r="U318" s="18" t="str">
        <f>HYPERLINK("https://docs.google.com/spreadsheets/d/1WmMxJ9mYThjUaZzzqsP_g9BXqMbg23eo", "RE-27.049296874999996")</f>
        <v>RE-27.049296874999996</v>
      </c>
      <c r="V318" s="18" t="str">
        <f>HYPERLINK("https://docs.google.com/spreadsheets/d/1qX5_mAdKrVqryAzIiIIyxYwLt2zkJQ50", "RE-11.40548541666667")</f>
        <v>RE-11.40548541666667</v>
      </c>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c r="DE318" s="17"/>
      <c r="DF318" s="17"/>
      <c r="DG318" s="17"/>
      <c r="DH318" s="17"/>
      <c r="DI318" s="17"/>
      <c r="DJ318" s="17"/>
      <c r="DK318" s="17"/>
      <c r="DL318" s="17"/>
      <c r="DM318" s="17"/>
      <c r="DN318" s="17"/>
      <c r="DO318" s="17"/>
      <c r="DP318" s="17"/>
      <c r="DQ318" s="17"/>
      <c r="DR318" s="17"/>
      <c r="DS318" s="17"/>
      <c r="DT318" s="17"/>
      <c r="DU318" s="17"/>
      <c r="DV318" s="17"/>
      <c r="DW318" s="17"/>
      <c r="DX318" s="17"/>
      <c r="DY318" s="17"/>
      <c r="DZ318" s="17"/>
      <c r="EA318" s="17"/>
      <c r="EB318" s="17"/>
      <c r="EC318" s="17"/>
      <c r="ED318" s="17"/>
      <c r="EE318" s="17"/>
      <c r="EF318" s="17"/>
      <c r="EG318" s="17"/>
      <c r="EH318" s="17"/>
      <c r="EI318" s="17"/>
      <c r="EJ318" s="17"/>
      <c r="EK318" s="17"/>
      <c r="EL318" s="17"/>
      <c r="EM318" s="17"/>
      <c r="EN318" s="17"/>
      <c r="EO318" s="17"/>
      <c r="EP318" s="17"/>
      <c r="EQ318" s="17"/>
      <c r="ER318" s="17"/>
      <c r="ES318" s="17"/>
      <c r="ET318" s="17"/>
      <c r="EU318" s="17"/>
      <c r="EV318" s="17"/>
      <c r="EW318" s="17"/>
      <c r="EX318" s="17"/>
      <c r="EY318" s="17"/>
      <c r="EZ318" s="17"/>
      <c r="FA318" s="17"/>
      <c r="FB318" s="17"/>
      <c r="FC318" s="17"/>
      <c r="FD318" s="17"/>
      <c r="FE318" s="17"/>
      <c r="FF318" s="17"/>
      <c r="FG318" s="17"/>
      <c r="FH318" s="17"/>
    </row>
    <row r="319">
      <c r="A319" s="32" t="s">
        <v>38</v>
      </c>
      <c r="B319" s="32" t="s">
        <v>61</v>
      </c>
      <c r="C319" s="32" t="s">
        <v>12</v>
      </c>
      <c r="D319" s="16">
        <f t="shared" si="1"/>
        <v>1625.291943</v>
      </c>
      <c r="E319" s="17"/>
      <c r="F319" s="18" t="str">
        <f>HYPERLINK("https://docs.google.com/spreadsheets/d/11PQs9kEX1vVmNPyTdf7IRIQiebN-JZI-", "RE-1056.2675406249994")</f>
        <v>RE-1056.2675406249994</v>
      </c>
      <c r="G319" s="18" t="str">
        <f>HYPERLINK("https://docs.google.com/spreadsheets/d/158L4L9I1_UXJ81taBNb69mOjt8yS5sjm", "RE-4.602439583333333")</f>
        <v>RE-4.602439583333333</v>
      </c>
      <c r="H319" s="18" t="str">
        <f>HYPERLINK("https://docs.google.com/spreadsheets/d/1nHDe25rZkvfvcVGsw79rLwqve-gbnnKX", "RE-161.4322958333332")</f>
        <v>RE-161.4322958333332</v>
      </c>
      <c r="I319" s="18" t="str">
        <f>HYPERLINK("https://docs.google.com/spreadsheets/d/1-DUQFipwzrko6HZCffT6dNEfXWOsfQrS", "RE-0.33701041666666665")</f>
        <v>RE-0.33701041666666665</v>
      </c>
      <c r="J319" s="18" t="str">
        <f>HYPERLINK("https://docs.google.com/spreadsheets/d/1MI700lmb99z4Z93AlT0Ofgy7-A5et8_0", "RE-1017.2015114583343")</f>
        <v>RE-1017.2015114583343</v>
      </c>
      <c r="K319" s="18" t="str">
        <f>HYPERLINK("https://docs.google.com/spreadsheets/d/1XJQZz8cWeoZG3CFKyUMpYEqnOrZKbuw8", "RE-2.1200124999999996")</f>
        <v>RE-2.1200124999999996</v>
      </c>
      <c r="L319" s="18">
        <f>HYPERLINK("https://docs.google.com/spreadsheets/d/1NeMArV9o-nmEIW6ANQpNBgqT5drj62L8", 994.584793749998)</f>
        <v>994.5847937</v>
      </c>
      <c r="M319" s="18" t="str">
        <f>HYPERLINK("https://docs.google.com/spreadsheets/d/1TIHoT5uVTjiAl35DFrfI4F8H4cfUFvri", "RE-16.156591666666674")</f>
        <v>RE-16.156591666666674</v>
      </c>
      <c r="N319" s="18" t="str">
        <f>HYPERLINK("https://docs.google.com/spreadsheets/d/19yjwvqJdpSmVErMus7-quPjLs9t0BiN9", "RE-515.9310947916673")</f>
        <v>RE-515.9310947916673</v>
      </c>
      <c r="O319" s="18" t="str">
        <f>HYPERLINK("https://docs.google.com/spreadsheets/d/180SjSGcFUWOcyaQCjOY50kS101HwXCVt", "RE-14.444287500000002")</f>
        <v>RE-14.444287500000002</v>
      </c>
      <c r="P319" s="18">
        <f>HYPERLINK("https://docs.google.com/spreadsheets/d/1kJdecuKNEKTGMMgZcoArceFh6whVYzLO", 323.404334374999)</f>
        <v>323.4043344</v>
      </c>
      <c r="Q319" s="18" t="str">
        <f>HYPERLINK("https://docs.google.com/spreadsheets/d/1FMdp_eROdbrTJMoo1B-2Y2U3fvp4OKH3", "RE-26.274036458333335")</f>
        <v>RE-26.274036458333335</v>
      </c>
      <c r="R319" s="18">
        <f>HYPERLINK("https://docs.google.com/spreadsheets/d/1HUHiRLrcd67LNSauHqYtZLjCuRSYlBQ6", 51.7116812499999)</f>
        <v>51.71168125</v>
      </c>
      <c r="S319" s="18" t="str">
        <f>HYPERLINK("https://docs.google.com/spreadsheets/d/1LmFdkWoMPXITEHBk8fZNJp78TrN_ER3A", "RE-11.524120833333333")</f>
        <v>RE-11.524120833333333</v>
      </c>
      <c r="T319" s="18">
        <f>HYPERLINK("https://docs.google.com/spreadsheets/d/1I6MSNF81Zj24u7528pSEEoac6NyMggwv", 255.591133333333)</f>
        <v>255.5911333</v>
      </c>
      <c r="U319" s="18" t="str">
        <f>HYPERLINK("https://docs.google.com/spreadsheets/d/1Vu9mH87qMEk9iUszxapPMui_FLa6EjIz", "RE-16.546164583333333")</f>
        <v>RE-16.546164583333333</v>
      </c>
      <c r="V319" s="18" t="str">
        <f>HYPERLINK("https://docs.google.com/spreadsheets/d/16FkGffYz-whPHkugsTRHq_Pt9ycQvEAU", "RE-0.6906208333333335")</f>
        <v>RE-0.6906208333333335</v>
      </c>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c r="DE319" s="17"/>
      <c r="DF319" s="17"/>
      <c r="DG319" s="17"/>
      <c r="DH319" s="17"/>
      <c r="DI319" s="17"/>
      <c r="DJ319" s="17"/>
      <c r="DK319" s="17"/>
      <c r="DL319" s="17"/>
      <c r="DM319" s="17"/>
      <c r="DN319" s="17"/>
      <c r="DO319" s="17"/>
      <c r="DP319" s="17"/>
      <c r="DQ319" s="17"/>
      <c r="DR319" s="17"/>
      <c r="DS319" s="17"/>
      <c r="DT319" s="17"/>
      <c r="DU319" s="17"/>
      <c r="DV319" s="17"/>
      <c r="DW319" s="17"/>
      <c r="DX319" s="17"/>
      <c r="DY319" s="17"/>
      <c r="DZ319" s="17"/>
      <c r="EA319" s="17"/>
      <c r="EB319" s="17"/>
      <c r="EC319" s="17"/>
      <c r="ED319" s="17"/>
      <c r="EE319" s="17"/>
      <c r="EF319" s="17"/>
      <c r="EG319" s="17"/>
      <c r="EH319" s="17"/>
      <c r="EI319" s="17"/>
      <c r="EJ319" s="17"/>
      <c r="EK319" s="17"/>
      <c r="EL319" s="17"/>
      <c r="EM319" s="17"/>
      <c r="EN319" s="17"/>
      <c r="EO319" s="17"/>
      <c r="EP319" s="17"/>
      <c r="EQ319" s="17"/>
      <c r="ER319" s="17"/>
      <c r="ES319" s="17"/>
      <c r="ET319" s="17"/>
      <c r="EU319" s="17"/>
      <c r="EV319" s="17"/>
      <c r="EW319" s="17"/>
      <c r="EX319" s="17"/>
      <c r="EY319" s="17"/>
      <c r="EZ319" s="17"/>
      <c r="FA319" s="17"/>
      <c r="FB319" s="17"/>
      <c r="FC319" s="17"/>
      <c r="FD319" s="17"/>
      <c r="FE319" s="17"/>
      <c r="FF319" s="17"/>
      <c r="FG319" s="17"/>
      <c r="FH319" s="17"/>
    </row>
    <row r="320">
      <c r="A320" s="32" t="s">
        <v>38</v>
      </c>
      <c r="B320" s="32" t="s">
        <v>61</v>
      </c>
      <c r="C320" s="32" t="s">
        <v>13</v>
      </c>
      <c r="D320" s="16">
        <f t="shared" si="1"/>
        <v>1541.615</v>
      </c>
      <c r="E320" s="17"/>
      <c r="F320" s="18" t="str">
        <f>HYPERLINK("https://docs.google.com/spreadsheets/d/1hmtMTnIu--wf2JmEM0k1FtVHzWhLf2h2?usp=share_link", "RE-1003.71")</f>
        <v>RE-1003.71</v>
      </c>
      <c r="G320" s="18" t="str">
        <f>HYPERLINK("https://docs.google.com/spreadsheets/d/1jVUF1wfD8y0QnnfeRp1XRhZ4tGT1Dn4J?usp=share_link", "RE-4.23015")</f>
        <v>RE-4.23015</v>
      </c>
      <c r="H320" s="18" t="str">
        <f>HYPERLINK("https://docs.google.com/spreadsheets/d/1OM9aPtzRvEsjm5HlLgIGC7CnsT6gFXYX?usp=share_link", "RE-155.638")</f>
        <v>RE-155.638</v>
      </c>
      <c r="I320" s="18" t="str">
        <f>HYPERLINK("https://docs.google.com/spreadsheets/d/1fRUKL4znBDQafCrkoKTwWoiIKlzHDs6q?usp=share_link", "RE-0.327917")</f>
        <v>RE-0.327917</v>
      </c>
      <c r="J320" s="18" t="str">
        <f>HYPERLINK("https://docs.google.com/spreadsheets/d/1JkKTMtiJ6kdAB66FsQry4l52sQ0tK7tn?usp=share_link", "RE-975.844")</f>
        <v>RE-975.844</v>
      </c>
      <c r="K320" s="18" t="str">
        <f>HYPERLINK("https://docs.google.com/spreadsheets/d/1cL1fTVFHeQPeu89k0c2TyFzl1aM4BBs_?usp=share_link", "RE-2.06213")</f>
        <v>RE-2.06213</v>
      </c>
      <c r="L320" s="18">
        <f>HYPERLINK("https://docs.google.com/spreadsheets/d/1NJfRQwebbJ8BkosWk04nBgZgNh_eI5g-?usp=share_link", 940.699)</f>
        <v>940.699</v>
      </c>
      <c r="M320" s="18" t="str">
        <f>HYPERLINK("https://docs.google.com/spreadsheets/d/1iFm7-B8uHBOV2T9ntQIBNsuBXawvYkcr?usp=share_link", "RE-15.0881")</f>
        <v>RE-15.0881</v>
      </c>
      <c r="N320" s="18" t="str">
        <f>HYPERLINK("https://docs.google.com/spreadsheets/d/1bVTheFUeDMBQm5G9aufTHvsxQ6eclu-E?usp=share_link", "RE-494.868")</f>
        <v>RE-494.868</v>
      </c>
      <c r="O320" s="18" t="str">
        <f>HYPERLINK("https://docs.google.com/spreadsheets/d/1SUR3sx5HWJlpRiYK-Algs6-ZMLVINFWW?usp=share_link", "RE-13.3583")</f>
        <v>RE-13.3583</v>
      </c>
      <c r="P320" s="18">
        <f>HYPERLINK("https://docs.google.com/spreadsheets/d/1JRFMq_12wmTYON5Qp0hn6zMpM_LHq-6S?usp=share_link", 305.942)</f>
        <v>305.942</v>
      </c>
      <c r="Q320" s="18" t="str">
        <f>HYPERLINK("https://docs.google.com/spreadsheets/d/1qh_uj1GbMjKxuaTCTT48q4-SlFJ9u4T8?usp=share_link", "RE-24.9228")</f>
        <v>RE-24.9228</v>
      </c>
      <c r="R320" s="18">
        <f>HYPERLINK("https://docs.google.com/spreadsheets/d/1lBNrOYEvo-yn-BeLnacKZAf53wjyFhmI?usp=share_link", 49.411)</f>
        <v>49.411</v>
      </c>
      <c r="S320" s="18" t="str">
        <f>HYPERLINK("https://docs.google.com/spreadsheets/d/1mKANzmJ2ef7QPjwYguRAcPktIgSPkwnP?usp=share_link", "RE-10.3826")</f>
        <v>RE-10.3826</v>
      </c>
      <c r="T320" s="18">
        <f>HYPERLINK("https://docs.google.com/spreadsheets/d/1gPsuKhDDFN2rd7KdjPWNqxEUMhZ-x2s_?usp=share_link", 245.563)</f>
        <v>245.563</v>
      </c>
      <c r="U320" s="18" t="str">
        <f>HYPERLINK("https://docs.google.com/spreadsheets/d/1SUcMAcUcDbtJgBBauyEXNkU9BJOqU5XS?usp=share_link", "RE-15.5377")</f>
        <v>RE-15.5377</v>
      </c>
      <c r="V320" s="18" t="str">
        <f>HYPERLINK("https://docs.google.com/spreadsheets/d/1-kOBUfQhkb0atZS8uitZlGvBwMTD7ocJ?usp=share_link", "RE-0.612267")</f>
        <v>RE-0.612267</v>
      </c>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c r="DE320" s="17"/>
      <c r="DF320" s="17"/>
      <c r="DG320" s="17"/>
      <c r="DH320" s="17"/>
      <c r="DI320" s="17"/>
      <c r="DJ320" s="17"/>
      <c r="DK320" s="17"/>
      <c r="DL320" s="17"/>
      <c r="DM320" s="17"/>
      <c r="DN320" s="17"/>
      <c r="DO320" s="17"/>
      <c r="DP320" s="17"/>
      <c r="DQ320" s="17"/>
      <c r="DR320" s="17"/>
      <c r="DS320" s="17"/>
      <c r="DT320" s="17"/>
      <c r="DU320" s="17"/>
      <c r="DV320" s="17"/>
      <c r="DW320" s="17"/>
      <c r="DX320" s="17"/>
      <c r="DY320" s="17"/>
      <c r="DZ320" s="17"/>
      <c r="EA320" s="17"/>
      <c r="EB320" s="17"/>
      <c r="EC320" s="17"/>
      <c r="ED320" s="17"/>
      <c r="EE320" s="17"/>
      <c r="EF320" s="17"/>
      <c r="EG320" s="17"/>
      <c r="EH320" s="17"/>
      <c r="EI320" s="17"/>
      <c r="EJ320" s="17"/>
      <c r="EK320" s="17"/>
      <c r="EL320" s="17"/>
      <c r="EM320" s="17"/>
      <c r="EN320" s="17"/>
      <c r="EO320" s="17"/>
      <c r="EP320" s="17"/>
      <c r="EQ320" s="17"/>
      <c r="ER320" s="17"/>
      <c r="ES320" s="17"/>
      <c r="ET320" s="17"/>
      <c r="EU320" s="17"/>
      <c r="EV320" s="17"/>
      <c r="EW320" s="17"/>
      <c r="EX320" s="17"/>
      <c r="EY320" s="17"/>
      <c r="EZ320" s="17"/>
      <c r="FA320" s="17"/>
      <c r="FB320" s="17"/>
      <c r="FC320" s="17"/>
      <c r="FD320" s="17"/>
      <c r="FE320" s="17"/>
      <c r="FF320" s="17"/>
      <c r="FG320" s="17"/>
      <c r="FH320" s="17"/>
    </row>
    <row r="321">
      <c r="A321" s="32" t="s">
        <v>38</v>
      </c>
      <c r="B321" s="32" t="s">
        <v>61</v>
      </c>
      <c r="C321" s="32" t="s">
        <v>14</v>
      </c>
      <c r="D321" s="16">
        <f t="shared" si="1"/>
        <v>1355.4702</v>
      </c>
      <c r="E321" s="17"/>
      <c r="F321" s="18" t="str">
        <f>HYPERLINK("https://docs.google.com/spreadsheets/d/1LMpA7vcMc5JVgdmlusbUn4cN2tnrr09T?usp=share_link", "RE-848.797")</f>
        <v>RE-848.797</v>
      </c>
      <c r="G321" s="18" t="str">
        <f>HYPERLINK("https://docs.google.com/spreadsheets/d/1-z8I1k3-nEKU4OIOKjYSkROWaHAw6Ty5?usp=share_link", "RE-4.17278")</f>
        <v>RE-4.17278</v>
      </c>
      <c r="H321" s="18" t="str">
        <f>HYPERLINK("https://docs.google.com/spreadsheets/d/1TbPeQxu5qBIzBxfpvnQShh7jePwqW89W?usp=share_link", "RE-135.655")</f>
        <v>RE-135.655</v>
      </c>
      <c r="I321" s="18" t="str">
        <f>HYPERLINK("https://docs.google.com/spreadsheets/d/1m4eQ7YfXC4kZzpvMdHxZdRl58BKPsa5_?usp=share_link", "RE-0.327917")</f>
        <v>RE-0.327917</v>
      </c>
      <c r="J321" s="18" t="str">
        <f>HYPERLINK("https://docs.google.com/spreadsheets/d/12lLm0rzVv_Gs39wCuXnmqHHlx8wDnvJU?usp=share_link", "RE-887.792")</f>
        <v>RE-887.792</v>
      </c>
      <c r="K321" s="18" t="str">
        <f>HYPERLINK("https://docs.google.com/spreadsheets/d/1hIUxiC6BLzMl9OdoLP6PRqg0kiYQIxKa?usp=share_link", "RE-1.84167")</f>
        <v>RE-1.84167</v>
      </c>
      <c r="L321" s="18">
        <f>HYPERLINK("https://docs.google.com/spreadsheets/d/1AXJaPUYyY1st0T5tDxSD5LpRkcTdLkiV?usp=share_link", 836.891)</f>
        <v>836.891</v>
      </c>
      <c r="M321" s="18" t="str">
        <f>HYPERLINK("https://docs.google.com/spreadsheets/d/1xE8jyK9gCJ4tDTZWNOvgxm-6Unbm6P5Y?usp=share_link", "RE-13.2528")</f>
        <v>RE-13.2528</v>
      </c>
      <c r="N321" s="18" t="str">
        <f>HYPERLINK("https://docs.google.com/spreadsheets/d/1EHgpHM154ZhjKodv4Hqhmhe1972Y77wl?usp=share_link", "RE-423.782")</f>
        <v>RE-423.782</v>
      </c>
      <c r="O321" s="18" t="str">
        <f>HYPERLINK("https://docs.google.com/spreadsheets/d/1FudkU1SGVQEFE9favzhavEqW99q0pYOD?usp=share_link", "RE-11.3789")</f>
        <v>RE-11.3789</v>
      </c>
      <c r="P321" s="18">
        <f>HYPERLINK("https://docs.google.com/spreadsheets/d/1YRkXvFIxEFr2ej-A5VH8CfLtfrGDGgCl?usp=share_link", 260.556)</f>
        <v>260.556</v>
      </c>
      <c r="Q321" s="18" t="str">
        <f>HYPERLINK("https://docs.google.com/spreadsheets/d/1Lj4-hRXxPDmC1CMnysOTdMjLYDL-rjpG?usp=share_link", "RE-23.5118")</f>
        <v>RE-23.5118</v>
      </c>
      <c r="R321" s="18">
        <f>HYPERLINK("https://docs.google.com/spreadsheets/d/17onj9Xz6rzLFCV7zz62_jQGx78mVR6VC?usp=share_link", 41.2672)</f>
        <v>41.2672</v>
      </c>
      <c r="S321" s="18" t="str">
        <f>HYPERLINK("https://docs.google.com/spreadsheets/d/1_uK3Re3VwX7rBseE7hRguudkD52raGTE?usp=share_link", "RE-8.91455")</f>
        <v>RE-8.91455</v>
      </c>
      <c r="T321" s="18">
        <f>HYPERLINK("https://docs.google.com/spreadsheets/d/176a0mlxyAT5l9yv47RuWSDieeOAdkXCN?usp=share_link", 216.756)</f>
        <v>216.756</v>
      </c>
      <c r="U321" s="18" t="str">
        <f>HYPERLINK("https://docs.google.com/spreadsheets/d/1KMzxKp-uasfvxZxXVSxB2cHGInyja8Ui?usp=share_link", "RE-14.6059")</f>
        <v>RE-14.6059</v>
      </c>
      <c r="V321" s="18" t="str">
        <f>HYPERLINK("https://docs.google.com/spreadsheets/d/1P0Ws2vK3k-AZrbCKHyeW4rYo6oPrRNTf?usp=share_link", "RE-0.612267")</f>
        <v>RE-0.612267</v>
      </c>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c r="DE321" s="17"/>
      <c r="DF321" s="17"/>
      <c r="DG321" s="17"/>
      <c r="DH321" s="17"/>
      <c r="DI321" s="17"/>
      <c r="DJ321" s="17"/>
      <c r="DK321" s="17"/>
      <c r="DL321" s="17"/>
      <c r="DM321" s="17"/>
      <c r="DN321" s="17"/>
      <c r="DO321" s="17"/>
      <c r="DP321" s="17"/>
      <c r="DQ321" s="17"/>
      <c r="DR321" s="17"/>
      <c r="DS321" s="17"/>
      <c r="DT321" s="17"/>
      <c r="DU321" s="17"/>
      <c r="DV321" s="17"/>
      <c r="DW321" s="17"/>
      <c r="DX321" s="17"/>
      <c r="DY321" s="17"/>
      <c r="DZ321" s="17"/>
      <c r="EA321" s="17"/>
      <c r="EB321" s="17"/>
      <c r="EC321" s="17"/>
      <c r="ED321" s="17"/>
      <c r="EE321" s="17"/>
      <c r="EF321" s="17"/>
      <c r="EG321" s="17"/>
      <c r="EH321" s="17"/>
      <c r="EI321" s="17"/>
      <c r="EJ321" s="17"/>
      <c r="EK321" s="17"/>
      <c r="EL321" s="17"/>
      <c r="EM321" s="17"/>
      <c r="EN321" s="17"/>
      <c r="EO321" s="17"/>
      <c r="EP321" s="17"/>
      <c r="EQ321" s="17"/>
      <c r="ER321" s="17"/>
      <c r="ES321" s="17"/>
      <c r="ET321" s="17"/>
      <c r="EU321" s="17"/>
      <c r="EV321" s="17"/>
      <c r="EW321" s="17"/>
      <c r="EX321" s="17"/>
      <c r="EY321" s="17"/>
      <c r="EZ321" s="17"/>
      <c r="FA321" s="17"/>
      <c r="FB321" s="17"/>
      <c r="FC321" s="17"/>
      <c r="FD321" s="17"/>
      <c r="FE321" s="17"/>
      <c r="FF321" s="17"/>
      <c r="FG321" s="17"/>
      <c r="FH321" s="17"/>
    </row>
    <row r="322">
      <c r="A322" s="27" t="s">
        <v>38</v>
      </c>
      <c r="B322" s="27" t="s">
        <v>61</v>
      </c>
      <c r="C322" s="27" t="s">
        <v>15</v>
      </c>
      <c r="D322" s="28">
        <f t="shared" si="1"/>
        <v>1541.528</v>
      </c>
      <c r="E322" s="33"/>
      <c r="F322" s="34" t="str">
        <f>HYPERLINK("https://docs.google.com/spreadsheets/d/1uSTuvyUIZy6kgUE23u7YfeS9BitHTauR?usp=share_link", "RE-1003.66")</f>
        <v>RE-1003.66</v>
      </c>
      <c r="G322" s="34" t="str">
        <f>HYPERLINK("https://docs.google.com/spreadsheets/d/1jU8K-lbG5sazz50ElS0aVBoiniLSU2Uf?usp=share_link", "RE-4.23015")</f>
        <v>RE-4.23015</v>
      </c>
      <c r="H322" s="34" t="str">
        <f>HYPERLINK("https://docs.google.com/spreadsheets/d/1tRusOfiUbySpE2NncQ65AoDPokiXlXEg?usp=share_link", "RE-155.638")</f>
        <v>RE-155.638</v>
      </c>
      <c r="I322" s="34" t="str">
        <f>HYPERLINK("https://docs.google.com/spreadsheets/d/1ImicIJfRU4CyWWG-6mI6nzUPIEPp6qFY?usp=share_link", "RE-0.327917")</f>
        <v>RE-0.327917</v>
      </c>
      <c r="J322" s="34" t="str">
        <f>HYPERLINK("https://docs.google.com/spreadsheets/d/1X9wXfJIQbpbasfPYDtlUwKmZC4wR4jBm?usp=share_link", "RE-975.844")</f>
        <v>RE-975.844</v>
      </c>
      <c r="K322" s="34" t="str">
        <f>HYPERLINK("https://docs.google.com/spreadsheets/d/1XP20nUSAr631nUeXHDSbzoDUzYe2YPcA?usp=share_link", "RE-1.84167")</f>
        <v>RE-1.84167</v>
      </c>
      <c r="L322" s="34">
        <f>HYPERLINK("https://docs.google.com/spreadsheets/d/1vByzurb0Eu38TziJTyVINvG1bRhcocHI?usp=share_link", 940.682)</f>
        <v>940.682</v>
      </c>
      <c r="M322" s="34" t="str">
        <f>HYPERLINK("https://docs.google.com/spreadsheets/d/1GxU4JBtrZxKBuFS0aE3bcHOWcWiVxQTv?usp=share_link", "RE-13.2528")</f>
        <v>RE-13.2528</v>
      </c>
      <c r="N322" s="34" t="str">
        <f>HYPERLINK("https://docs.google.com/spreadsheets/d/1iSwqfHT2uN7lO5TwPUC9ymf1-wact_Li?usp=share_link", "RE-494.868")</f>
        <v>RE-494.868</v>
      </c>
      <c r="O322" s="34" t="str">
        <f>HYPERLINK("https://docs.google.com/spreadsheets/d/1f5jPn-aQ8Uw1GCVbVMu6uwWN_71UOQqk?usp=share_link", "RE-11.3789")</f>
        <v>RE-11.3789</v>
      </c>
      <c r="P322" s="34">
        <f>HYPERLINK("https://docs.google.com/spreadsheets/d/1B6ZAbgs2RztjIu8xTPK6ZEcpy203_Y3i?usp=share_link", 305.872)</f>
        <v>305.872</v>
      </c>
      <c r="Q322" s="34" t="str">
        <f>HYPERLINK("https://docs.google.com/spreadsheets/d/1Eqf7a3KVSuGNihch2UmMNqZQjKVdukjl?usp=share_link", "RE-23.5118")</f>
        <v>RE-23.5118</v>
      </c>
      <c r="R322" s="34">
        <f>HYPERLINK("https://docs.google.com/spreadsheets/d/1fAeMs5LVyz2aUts-25S3qyU0WeVfiIwc?usp=share_link", 49.411)</f>
        <v>49.411</v>
      </c>
      <c r="S322" s="34" t="str">
        <f>HYPERLINK("https://docs.google.com/spreadsheets/d/16ViQhCQUdQblJ2UWEvh8F90oZbIXV5uS?usp=share_link", "RE-9.13052")</f>
        <v>RE-9.13052</v>
      </c>
      <c r="T322" s="34">
        <f>HYPERLINK("https://docs.google.com/spreadsheets/d/1991NCYq41c7eE2RRQtUfmbrMSgL9bG7g?usp=share_link", 245.563)</f>
        <v>245.563</v>
      </c>
      <c r="U322" s="34" t="str">
        <f>HYPERLINK("https://docs.google.com/spreadsheets/d/1fLCpzG9XSAgkTk-uoLrrvcKHmmZJw0cq?usp=share_link", "RE-14.6059")</f>
        <v>RE-14.6059</v>
      </c>
      <c r="V322" s="34" t="str">
        <f>HYPERLINK("https://docs.google.com/spreadsheets/d/1TzsvfGPx-BuLtPd3BR7AjNAqG4uDhNqO?usp=share_link", "RE-0.612267")</f>
        <v>RE-0.612267</v>
      </c>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33"/>
      <c r="ER322" s="33"/>
      <c r="ES322" s="33"/>
      <c r="ET322" s="33"/>
      <c r="EU322" s="33"/>
      <c r="EV322" s="33"/>
      <c r="EW322" s="33"/>
      <c r="EX322" s="33"/>
      <c r="EY322" s="33"/>
      <c r="EZ322" s="33"/>
      <c r="FA322" s="33"/>
      <c r="FB322" s="33"/>
      <c r="FC322" s="33"/>
      <c r="FD322" s="33"/>
      <c r="FE322" s="33"/>
      <c r="FF322" s="33"/>
      <c r="FG322" s="33"/>
      <c r="FH322" s="33"/>
    </row>
    <row r="323">
      <c r="A323" s="30" t="s">
        <v>54</v>
      </c>
      <c r="B323" s="30" t="s">
        <v>62</v>
      </c>
      <c r="C323" s="31" t="str">
        <f>HYPERLINK("https://docs.google.com/spreadsheets/d/15oYBGUX1143N7rziu9fyWtq-evoU7N7l/edit?usp=share_link&amp;ouid=106501987799020758802&amp;rtpof=true&amp;sd=true", "Raw Delivered")</f>
        <v>Raw Delivered</v>
      </c>
      <c r="D323" s="12">
        <f t="shared" si="1"/>
        <v>4813.914394</v>
      </c>
      <c r="E323" s="13"/>
      <c r="F323" s="14">
        <f>HYPERLINK("https://docs.google.com/spreadsheets/d/1IzN_eM_t7LbajxmSdwqK7m1uWqrNo428", 1245.0487)</f>
        <v>1245.0487</v>
      </c>
      <c r="G323" s="13"/>
      <c r="H323" s="14">
        <f>HYPERLINK("https://docs.google.com/spreadsheets/d/19uyNkmxO4c25zx5FJEg0W-UdwSrMDWFn", 169.387637499999)</f>
        <v>169.3876375</v>
      </c>
      <c r="I323" s="13"/>
      <c r="J323" s="14">
        <f>HYPERLINK("https://docs.google.com/spreadsheets/d/1BKcrB3eGHqb2oYR7qYRdnerD702iFytP", 989.273180208332)</f>
        <v>989.2731802</v>
      </c>
      <c r="K323" s="13"/>
      <c r="L323" s="14">
        <f t="shared" ref="L323:L324" si="162">HYPERLINK("https://docs.google.com/spreadsheets/d/1VoNGYkBErs5xwxJY5scPXGyDdz2vKlip", 1184.09664583333)</f>
        <v>1184.096646</v>
      </c>
      <c r="M323" s="13"/>
      <c r="N323" s="14">
        <f>HYPERLINK("https://docs.google.com/spreadsheets/d/1q2RvUKhK5pOudntAwjT4M_bxFW8kIEwI", 887.177789583332)</f>
        <v>887.1777896</v>
      </c>
      <c r="O323" s="13"/>
      <c r="P323" s="14">
        <f t="shared" ref="P323:P324" si="163">HYPERLINK("https://docs.google.com/spreadsheets/d/1xZCsUEiwnr3csTf1h8egbcgI5ErH6KbU", 140.964403124999)</f>
        <v>140.9644031</v>
      </c>
      <c r="Q323" s="13"/>
      <c r="R323" s="14">
        <f t="shared" ref="R323:R324" si="164">HYPERLINK("https://docs.google.com/spreadsheets/d/1YIQRv_VE0Wr0NxMa8uvyrwCR41rtaMdL", 29.7802979166666)</f>
        <v>29.78029792</v>
      </c>
      <c r="S323" s="13"/>
      <c r="T323" s="14">
        <f t="shared" ref="T323:T324" si="165">HYPERLINK("https://docs.google.com/spreadsheets/d/1g3QKREWrBmjzqW5GIZZ_PweY_a1aSdc_", 168.185739583333)</f>
        <v>168.1857396</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row>
    <row r="324">
      <c r="A324" s="32" t="s">
        <v>54</v>
      </c>
      <c r="B324" s="32" t="s">
        <v>62</v>
      </c>
      <c r="C324" s="32" t="s">
        <v>9</v>
      </c>
      <c r="D324" s="16">
        <f t="shared" si="1"/>
        <v>1523.027086</v>
      </c>
      <c r="E324" s="17"/>
      <c r="F324" s="18" t="str">
        <f>HYPERLINK("https://docs.google.com/spreadsheets/d/1IzN_eM_t7LbajxmSdwqK7m1uWqrNo428", "RE-1245.0487000000046")</f>
        <v>RE-1245.0487000000046</v>
      </c>
      <c r="G324" s="17"/>
      <c r="H324" s="18" t="str">
        <f>HYPERLINK("https://docs.google.com/spreadsheets/d/19uyNkmxO4c25zx5FJEg0W-UdwSrMDWFn", "RE-169.38763749999978")</f>
        <v>RE-169.38763749999978</v>
      </c>
      <c r="I324" s="17"/>
      <c r="J324" s="18" t="str">
        <f>HYPERLINK("https://docs.google.com/spreadsheets/d/1BKcrB3eGHqb2oYR7qYRdnerD702iFytP", "RE-989.2731802083323")</f>
        <v>RE-989.2731802083323</v>
      </c>
      <c r="K324" s="17"/>
      <c r="L324" s="18">
        <f t="shared" si="162"/>
        <v>1184.096646</v>
      </c>
      <c r="M324" s="17"/>
      <c r="N324" s="18" t="str">
        <f>HYPERLINK("https://docs.google.com/spreadsheets/d/1q2RvUKhK5pOudntAwjT4M_bxFW8kIEwI", "RE-887.1777895833324")</f>
        <v>RE-887.1777895833324</v>
      </c>
      <c r="O324" s="17"/>
      <c r="P324" s="18">
        <f t="shared" si="163"/>
        <v>140.9644031</v>
      </c>
      <c r="Q324" s="17"/>
      <c r="R324" s="18">
        <f t="shared" si="164"/>
        <v>29.78029792</v>
      </c>
      <c r="S324" s="17"/>
      <c r="T324" s="18">
        <f t="shared" si="165"/>
        <v>168.1857396</v>
      </c>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c r="DE324" s="17"/>
      <c r="DF324" s="17"/>
      <c r="DG324" s="17"/>
      <c r="DH324" s="17"/>
      <c r="DI324" s="17"/>
      <c r="DJ324" s="17"/>
      <c r="DK324" s="17"/>
      <c r="DL324" s="17"/>
      <c r="DM324" s="17"/>
      <c r="DN324" s="17"/>
      <c r="DO324" s="17"/>
      <c r="DP324" s="17"/>
      <c r="DQ324" s="17"/>
      <c r="DR324" s="17"/>
      <c r="DS324" s="17"/>
      <c r="DT324" s="17"/>
      <c r="DU324" s="17"/>
      <c r="DV324" s="17"/>
      <c r="DW324" s="17"/>
      <c r="DX324" s="17"/>
      <c r="DY324" s="17"/>
      <c r="DZ324" s="17"/>
      <c r="EA324" s="17"/>
      <c r="EB324" s="17"/>
      <c r="EC324" s="17"/>
      <c r="ED324" s="17"/>
      <c r="EE324" s="17"/>
      <c r="EF324" s="17"/>
      <c r="EG324" s="17"/>
      <c r="EH324" s="17"/>
      <c r="EI324" s="17"/>
      <c r="EJ324" s="17"/>
      <c r="EK324" s="17"/>
      <c r="EL324" s="17"/>
      <c r="EM324" s="17"/>
      <c r="EN324" s="17"/>
      <c r="EO324" s="17"/>
      <c r="EP324" s="17"/>
      <c r="EQ324" s="17"/>
      <c r="ER324" s="17"/>
      <c r="ES324" s="17"/>
      <c r="ET324" s="17"/>
      <c r="EU324" s="17"/>
      <c r="EV324" s="17"/>
      <c r="EW324" s="17"/>
      <c r="EX324" s="17"/>
      <c r="EY324" s="17"/>
      <c r="EZ324" s="17"/>
      <c r="FA324" s="17"/>
      <c r="FB324" s="17"/>
      <c r="FC324" s="17"/>
      <c r="FD324" s="17"/>
      <c r="FE324" s="17"/>
      <c r="FF324" s="17"/>
      <c r="FG324" s="17"/>
      <c r="FH324" s="17"/>
    </row>
    <row r="325">
      <c r="A325" s="32" t="s">
        <v>54</v>
      </c>
      <c r="B325" s="32" t="s">
        <v>62</v>
      </c>
      <c r="C325" s="32" t="s">
        <v>10</v>
      </c>
      <c r="D325" s="16">
        <f t="shared" si="1"/>
        <v>502.0861396</v>
      </c>
      <c r="E325" s="17"/>
      <c r="F325" s="17"/>
      <c r="G325" s="18">
        <f>HYPERLINK("https://docs.google.com/spreadsheets/d/1oYOLxTCWEQkKllMoweVO5so-2e-zXz86", 91.1186020833333)</f>
        <v>91.11860208</v>
      </c>
      <c r="H325" s="17"/>
      <c r="I325" s="18">
        <f>HYPERLINK("https://docs.google.com/spreadsheets/d/1EmyIo1uz-F1WsPhBuYDnm4ElliiCzv8j", 26.6872270833333)</f>
        <v>26.68722708</v>
      </c>
      <c r="J325" s="17"/>
      <c r="K325" s="18">
        <f>HYPERLINK("https://docs.google.com/spreadsheets/d/1ja-ovIwsfDqwQGOWKzUpfuLbdJWLA5E9", 77.626275)</f>
        <v>77.626275</v>
      </c>
      <c r="L325" s="17"/>
      <c r="M325" s="18">
        <f>HYPERLINK("https://docs.google.com/spreadsheets/d/1uW8D2kTDLO5q4vdti65Bi6S08NPDHY5B", 68.460484375)</f>
        <v>68.46048438</v>
      </c>
      <c r="N325" s="17"/>
      <c r="O325" s="18">
        <f>HYPERLINK("https://docs.google.com/spreadsheets/d/1AmQBLvCBpGoDXlntFHKH2sDeAd4n28DP", 89.9271937499999)</f>
        <v>89.92719375</v>
      </c>
      <c r="P325" s="17"/>
      <c r="Q325" s="18">
        <f>HYPERLINK("https://docs.google.com/spreadsheets/d/1FCVc9jHZ9MWJqbZ2XE1_Aix674xJrDY1", 127.206440625)</f>
        <v>127.2064406</v>
      </c>
      <c r="R325" s="17"/>
      <c r="S325" s="18">
        <f>HYPERLINK("https://docs.google.com/spreadsheets/d/1MxDTEkGtO9mAKaWm7DD44PzqbEow7oA-", 9.48818541666666)</f>
        <v>9.488185417</v>
      </c>
      <c r="T325" s="17"/>
      <c r="U325" s="18">
        <f>HYPERLINK("https://docs.google.com/spreadsheets/d/1jUw0vqtNLGe-E54pLYdb1_SQolDoXP-u", 5.75932708333333)</f>
        <v>5.759327083</v>
      </c>
      <c r="V325" s="18">
        <f>HYPERLINK("https://docs.google.com/spreadsheets/d/144wAlF2iSnLtr2iwDUTvlgvTdOO4Wwg3", 5.81240416666666)</f>
        <v>5.812404167</v>
      </c>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c r="DE325" s="17"/>
      <c r="DF325" s="17"/>
      <c r="DG325" s="17"/>
      <c r="DH325" s="17"/>
      <c r="DI325" s="17"/>
      <c r="DJ325" s="17"/>
      <c r="DK325" s="17"/>
      <c r="DL325" s="17"/>
      <c r="DM325" s="17"/>
      <c r="DN325" s="17"/>
      <c r="DO325" s="17"/>
      <c r="DP325" s="17"/>
      <c r="DQ325" s="17"/>
      <c r="DR325" s="17"/>
      <c r="DS325" s="17"/>
      <c r="DT325" s="17"/>
      <c r="DU325" s="17"/>
      <c r="DV325" s="17"/>
      <c r="DW325" s="17"/>
      <c r="DX325" s="17"/>
      <c r="DY325" s="17"/>
      <c r="DZ325" s="17"/>
      <c r="EA325" s="17"/>
      <c r="EB325" s="17"/>
      <c r="EC325" s="17"/>
      <c r="ED325" s="17"/>
      <c r="EE325" s="17"/>
      <c r="EF325" s="17"/>
      <c r="EG325" s="17"/>
      <c r="EH325" s="17"/>
      <c r="EI325" s="17"/>
      <c r="EJ325" s="17"/>
      <c r="EK325" s="17"/>
      <c r="EL325" s="17"/>
      <c r="EM325" s="17"/>
      <c r="EN325" s="17"/>
      <c r="EO325" s="17"/>
      <c r="EP325" s="17"/>
      <c r="EQ325" s="17"/>
      <c r="ER325" s="17"/>
      <c r="ES325" s="17"/>
      <c r="ET325" s="17"/>
      <c r="EU325" s="17"/>
      <c r="EV325" s="17"/>
      <c r="EW325" s="17"/>
      <c r="EX325" s="17"/>
      <c r="EY325" s="17"/>
      <c r="EZ325" s="17"/>
      <c r="FA325" s="17"/>
      <c r="FB325" s="17"/>
      <c r="FC325" s="17"/>
      <c r="FD325" s="17"/>
      <c r="FE325" s="17"/>
      <c r="FF325" s="17"/>
      <c r="FG325" s="17"/>
      <c r="FH325" s="17"/>
    </row>
    <row r="326">
      <c r="A326" s="32" t="s">
        <v>54</v>
      </c>
      <c r="B326" s="32" t="s">
        <v>62</v>
      </c>
      <c r="C326" s="32" t="s">
        <v>11</v>
      </c>
      <c r="D326" s="16">
        <f t="shared" si="1"/>
        <v>0</v>
      </c>
      <c r="E326" s="17"/>
      <c r="F326" s="17"/>
      <c r="G326" s="18" t="str">
        <f>HYPERLINK("https://docs.google.com/spreadsheets/d/1oYOLxTCWEQkKllMoweVO5so-2e-zXz86", "RE-91.1186020833333")</f>
        <v>RE-91.1186020833333</v>
      </c>
      <c r="H326" s="17"/>
      <c r="I326" s="18" t="str">
        <f>HYPERLINK("https://docs.google.com/spreadsheets/d/1EmyIo1uz-F1WsPhBuYDnm4ElliiCzv8j", "RE-26.687227083333333")</f>
        <v>RE-26.687227083333333</v>
      </c>
      <c r="J326" s="17"/>
      <c r="K326" s="18" t="str">
        <f>HYPERLINK("https://docs.google.com/spreadsheets/d/1ja-ovIwsfDqwQGOWKzUpfuLbdJWLA5E9", "RE-77.626275")</f>
        <v>RE-77.626275</v>
      </c>
      <c r="L326" s="17"/>
      <c r="M326" s="18" t="str">
        <f>HYPERLINK("https://docs.google.com/spreadsheets/d/1uW8D2kTDLO5q4vdti65Bi6S08NPDHY5B", "RE-68.460484375")</f>
        <v>RE-68.460484375</v>
      </c>
      <c r="N326" s="17"/>
      <c r="O326" s="18" t="str">
        <f>HYPERLINK("https://docs.google.com/spreadsheets/d/1AmQBLvCBpGoDXlntFHKH2sDeAd4n28DP", "RE-89.92719374999996")</f>
        <v>RE-89.92719374999996</v>
      </c>
      <c r="P326" s="17"/>
      <c r="Q326" s="18" t="str">
        <f>HYPERLINK("https://docs.google.com/spreadsheets/d/1FCVc9jHZ9MWJqbZ2XE1_Aix674xJrDY1", "RE-127.20644062500001")</f>
        <v>RE-127.20644062500001</v>
      </c>
      <c r="R326" s="17"/>
      <c r="S326" s="18" t="str">
        <f>HYPERLINK("https://docs.google.com/spreadsheets/d/1MxDTEkGtO9mAKaWm7DD44PzqbEow7oA-", "RE-9.488185416666663")</f>
        <v>RE-9.488185416666663</v>
      </c>
      <c r="T326" s="17"/>
      <c r="U326" s="18" t="str">
        <f>HYPERLINK("https://docs.google.com/spreadsheets/d/1jUw0vqtNLGe-E54pLYdb1_SQolDoXP-u", "RE-5.759327083333334")</f>
        <v>RE-5.759327083333334</v>
      </c>
      <c r="V326" s="18" t="str">
        <f>HYPERLINK("https://docs.google.com/spreadsheets/d/144wAlF2iSnLtr2iwDUTvlgvTdOO4Wwg3", "RE-5.812404166666667")</f>
        <v>RE-5.812404166666667</v>
      </c>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c r="EJ326" s="17"/>
      <c r="EK326" s="17"/>
      <c r="EL326" s="17"/>
      <c r="EM326" s="17"/>
      <c r="EN326" s="17"/>
      <c r="EO326" s="17"/>
      <c r="EP326" s="17"/>
      <c r="EQ326" s="17"/>
      <c r="ER326" s="17"/>
      <c r="ES326" s="17"/>
      <c r="ET326" s="17"/>
      <c r="EU326" s="17"/>
      <c r="EV326" s="17"/>
      <c r="EW326" s="17"/>
      <c r="EX326" s="17"/>
      <c r="EY326" s="17"/>
      <c r="EZ326" s="17"/>
      <c r="FA326" s="17"/>
      <c r="FB326" s="17"/>
      <c r="FC326" s="17"/>
      <c r="FD326" s="17"/>
      <c r="FE326" s="17"/>
      <c r="FF326" s="17"/>
      <c r="FG326" s="17"/>
      <c r="FH326" s="17"/>
    </row>
    <row r="327">
      <c r="A327" s="32" t="s">
        <v>54</v>
      </c>
      <c r="B327" s="32" t="s">
        <v>62</v>
      </c>
      <c r="C327" s="32" t="s">
        <v>12</v>
      </c>
      <c r="D327" s="16">
        <f t="shared" si="1"/>
        <v>1400.697155</v>
      </c>
      <c r="E327" s="17"/>
      <c r="F327" s="18" t="str">
        <f>HYPERLINK("https://docs.google.com/spreadsheets/d/1yGyhzr5WukzILyYlepPxx1ybQfA9qNLK", "RE-997.5984927083354")</f>
        <v>RE-997.5984927083354</v>
      </c>
      <c r="G327" s="18" t="str">
        <f>HYPERLINK("https://docs.google.com/spreadsheets/d/1jtAoemPKO-mHHLILprjEbG0W1Xj5ha_d", "RE-2.6390833333333332")</f>
        <v>RE-2.6390833333333332</v>
      </c>
      <c r="H327" s="18" t="str">
        <f>HYPERLINK("https://docs.google.com/spreadsheets/d/1E730FhWiCmBHRnm-deUKwByI1-VkorKW", "RE-144.2705916666665")</f>
        <v>RE-144.2705916666665</v>
      </c>
      <c r="I327" s="18" t="str">
        <f>HYPERLINK("https://docs.google.com/spreadsheets/d/1Md04A0fkSSpba3QKxCwkxwQfWIAltxUx", "RE-0.0")</f>
        <v>RE-0.0</v>
      </c>
      <c r="J327" s="18" t="str">
        <f>HYPERLINK("https://docs.google.com/spreadsheets/d/1D7HJUaZgqKnrzt9gAWRKPs0d4sD3C3k9", "RE-767.5342270833328")</f>
        <v>RE-767.5342270833328</v>
      </c>
      <c r="K327" s="18" t="str">
        <f>HYPERLINK("https://docs.google.com/spreadsheets/d/1tJACFXciOsW8cJZze_XnswOQLVEA-8bh", "RE-4.869552083333334")</f>
        <v>RE-4.869552083333334</v>
      </c>
      <c r="L327" s="18">
        <f>HYPERLINK("https://docs.google.com/spreadsheets/d/1QApC91rHZg7olPFAtQD3KeaZorS8xyaq", 1105.68209687499)</f>
        <v>1105.682097</v>
      </c>
      <c r="M327" s="18" t="str">
        <f>HYPERLINK("https://docs.google.com/spreadsheets/d/1Gsq4czJ0WRpl9jZ82hQDM-izxP9ergvo", "RE-20.167933333333334")</f>
        <v>RE-20.167933333333334</v>
      </c>
      <c r="N327" s="18" t="str">
        <f>HYPERLINK("https://docs.google.com/spreadsheets/d/1tPeLZMOvn1J8DXVQ2fBsVmp-ZkNEfxfd", "RE-495.76243333333423")</f>
        <v>RE-495.76243333333423</v>
      </c>
      <c r="O327" s="18" t="str">
        <f>HYPERLINK("https://docs.google.com/spreadsheets/d/1huD7HRe5q2ipx49KQsWruPy0829sHfJA", "RE-12.983253125000001")</f>
        <v>RE-12.983253125000001</v>
      </c>
      <c r="P327" s="18">
        <f>HYPERLINK("https://docs.google.com/spreadsheets/d/1hpEPELISRwU6px475dvkGo6c01BkAe4f", 116.922857291666)</f>
        <v>116.9228573</v>
      </c>
      <c r="Q327" s="18" t="str">
        <f>HYPERLINK("https://docs.google.com/spreadsheets/d/1OdbQ2yhXKOSSg_JWS6nyqITfY1py5cmS", "RE-47.56922708333333")</f>
        <v>RE-47.56922708333333</v>
      </c>
      <c r="R327" s="18">
        <f>HYPERLINK("https://docs.google.com/spreadsheets/d/11qdELpze7UixSEqpQXcagwP1rRuLCcrq", 26.5723187499999)</f>
        <v>26.57231875</v>
      </c>
      <c r="S327" s="18" t="str">
        <f>HYPERLINK("https://docs.google.com/spreadsheets/d/1h32cCUrXwxXKQMWGS44xQkWds82wdt1p", "RE-8.319693749999999")</f>
        <v>RE-8.319693749999999</v>
      </c>
      <c r="T327" s="18">
        <f>HYPERLINK("https://docs.google.com/spreadsheets/d/1wUJ5PLfRKRilSSTctA8_PcCtpA_PPUr3", 151.519882291666)</f>
        <v>151.5198823</v>
      </c>
      <c r="U327" s="18" t="str">
        <f>HYPERLINK("https://docs.google.com/spreadsheets/d/1iOix3KXbP4n3KBRvf_bKQAep81qme4Ej", "RE-2.4056395833333335")</f>
        <v>RE-2.4056395833333335</v>
      </c>
      <c r="V327" s="18" t="str">
        <f>HYPERLINK("https://docs.google.com/spreadsheets/d/1F0xCnXSpv3yr-uT1XPKyB4kGMlMd76iw", "RE-4.87715625")</f>
        <v>RE-4.87715625</v>
      </c>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c r="DE327" s="17"/>
      <c r="DF327" s="17"/>
      <c r="DG327" s="17"/>
      <c r="DH327" s="17"/>
      <c r="DI327" s="17"/>
      <c r="DJ327" s="17"/>
      <c r="DK327" s="17"/>
      <c r="DL327" s="17"/>
      <c r="DM327" s="17"/>
      <c r="DN327" s="17"/>
      <c r="DO327" s="17"/>
      <c r="DP327" s="17"/>
      <c r="DQ327" s="17"/>
      <c r="DR327" s="17"/>
      <c r="DS327" s="17"/>
      <c r="DT327" s="17"/>
      <c r="DU327" s="17"/>
      <c r="DV327" s="17"/>
      <c r="DW327" s="17"/>
      <c r="DX327" s="17"/>
      <c r="DY327" s="17"/>
      <c r="DZ327" s="17"/>
      <c r="EA327" s="17"/>
      <c r="EB327" s="17"/>
      <c r="EC327" s="17"/>
      <c r="ED327" s="17"/>
      <c r="EE327" s="17"/>
      <c r="EF327" s="17"/>
      <c r="EG327" s="17"/>
      <c r="EH327" s="17"/>
      <c r="EI327" s="17"/>
      <c r="EJ327" s="17"/>
      <c r="EK327" s="17"/>
      <c r="EL327" s="17"/>
      <c r="EM327" s="17"/>
      <c r="EN327" s="17"/>
      <c r="EO327" s="17"/>
      <c r="EP327" s="17"/>
      <c r="EQ327" s="17"/>
      <c r="ER327" s="17"/>
      <c r="ES327" s="17"/>
      <c r="ET327" s="17"/>
      <c r="EU327" s="17"/>
      <c r="EV327" s="17"/>
      <c r="EW327" s="17"/>
      <c r="EX327" s="17"/>
      <c r="EY327" s="17"/>
      <c r="EZ327" s="17"/>
      <c r="FA327" s="17"/>
      <c r="FB327" s="17"/>
      <c r="FC327" s="17"/>
      <c r="FD327" s="17"/>
      <c r="FE327" s="17"/>
      <c r="FF327" s="17"/>
      <c r="FG327" s="17"/>
      <c r="FH327" s="17"/>
    </row>
    <row r="328">
      <c r="A328" s="32" t="s">
        <v>54</v>
      </c>
      <c r="B328" s="32" t="s">
        <v>62</v>
      </c>
      <c r="C328" s="32" t="s">
        <v>13</v>
      </c>
      <c r="D328" s="16">
        <f t="shared" si="1"/>
        <v>1347.6664</v>
      </c>
      <c r="E328" s="17"/>
      <c r="F328" s="18" t="str">
        <f>HYPERLINK("https://docs.google.com/spreadsheets/d/1FefdZ1grsyNsrsmhmv57TUcrOkjcKPra?usp=share_link", "RE-974.271")</f>
        <v>RE-974.271</v>
      </c>
      <c r="G328" s="18" t="str">
        <f>HYPERLINK("https://docs.google.com/spreadsheets/d/1a47o17yCBk7ew0vdsD2OjSzSdyNqsncY?usp=share_link", "RE-2.54762")</f>
        <v>RE-2.54762</v>
      </c>
      <c r="H328" s="18" t="str">
        <f>HYPERLINK("https://docs.google.com/spreadsheets/d/1VIHHbRCXzgNcRe9ZdoPNr-asKq-5rTgk?usp=share_link", "RE-142.576")</f>
        <v>RE-142.576</v>
      </c>
      <c r="I328" s="17"/>
      <c r="J328" s="18" t="str">
        <f>HYPERLINK("https://docs.google.com/spreadsheets/d/1UFCSzrB6WBQz0Bp5JcLEgUtOTsC3iF3M?usp=share_link", "RE-746.754")</f>
        <v>RE-746.754</v>
      </c>
      <c r="K328" s="18" t="str">
        <f>HYPERLINK("https://docs.google.com/spreadsheets/d/12jzZq6nDQpU675p9GJCuDWppZH33SBxk?usp=share_link", "RE-4.74607")</f>
        <v>RE-4.74607</v>
      </c>
      <c r="L328" s="18">
        <f>HYPERLINK("https://docs.google.com/spreadsheets/d/1ve7BQmPRU0v8o5s0uaepGiRgs_uFHHZ0?usp=share_link", 1063)</f>
        <v>1063</v>
      </c>
      <c r="M328" s="18" t="str">
        <f>HYPERLINK("https://docs.google.com/spreadsheets/d/1QpQo4mcIJ-4XLp5V_yIlQ1TUVjrTkdbb?usp=share_link", "RE-19.3572")</f>
        <v>RE-19.3572</v>
      </c>
      <c r="N328" s="18" t="str">
        <f>HYPERLINK("https://docs.google.com/spreadsheets/d/1IGYz1Kfgm6roaXuzwqVll4W5VpWo1zio?usp=share_link", "RE-480.367")</f>
        <v>RE-480.367</v>
      </c>
      <c r="O328" s="18" t="str">
        <f>HYPERLINK("https://docs.google.com/spreadsheets/d/1hNqQyY1pU3m7P0kgCAAftP-onMWolBib?usp=share_link", "RE-12.2543")</f>
        <v>RE-12.2543</v>
      </c>
      <c r="P328" s="18">
        <f>HYPERLINK("https://docs.google.com/spreadsheets/d/1HqWSzW12bQsuU-65gtCzfoNy8GJ_tf1i?usp=share_link", 112.855)</f>
        <v>112.855</v>
      </c>
      <c r="Q328" s="18" t="str">
        <f>HYPERLINK("https://docs.google.com/spreadsheets/d/1A4eUP87hGHZ1ReWjhDLFU8MzXnG1jtth?usp=share_link", "RE-45.78")</f>
        <v>RE-45.78</v>
      </c>
      <c r="R328" s="18">
        <f>HYPERLINK("https://docs.google.com/spreadsheets/d/1i4srg9eM70zURxZxiMGtvBss_3ZpcBNU?usp=share_link", 25.8594)</f>
        <v>25.8594</v>
      </c>
      <c r="S328" s="18" t="str">
        <f>HYPERLINK("https://docs.google.com/spreadsheets/d/1o3HzF0GVVXbpr4eRuF6NnzTyMojY26Bl?usp=share_link", "RE-7.65832")</f>
        <v>RE-7.65832</v>
      </c>
      <c r="T328" s="18">
        <f>HYPERLINK("https://docs.google.com/spreadsheets/d/1QHmA_aT48h3bnyuFPNZkYAf_qc5yDeNE?usp=share_link", 145.952)</f>
        <v>145.952</v>
      </c>
      <c r="U328" s="18" t="str">
        <f>HYPERLINK("https://docs.google.com/spreadsheets/d/16DGtbuxv01aChnWaP-nlUP303Q5KOA-Y?usp=share_link", "RE-2.36402")</f>
        <v>RE-2.36402</v>
      </c>
      <c r="V328" s="18" t="str">
        <f>HYPERLINK("https://docs.google.com/spreadsheets/d/176HJFElOKizE2eOkeXVny8HqNIdkHsRf?usp=share_link", "RE-4.58595")</f>
        <v>RE-4.58595</v>
      </c>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O328" s="17"/>
      <c r="DP328" s="17"/>
      <c r="DQ328" s="17"/>
      <c r="DR328" s="17"/>
      <c r="DS328" s="17"/>
      <c r="DT328" s="17"/>
      <c r="DU328" s="17"/>
      <c r="DV328" s="17"/>
      <c r="DW328" s="17"/>
      <c r="DX328" s="17"/>
      <c r="DY328" s="17"/>
      <c r="DZ328" s="17"/>
      <c r="EA328" s="17"/>
      <c r="EB328" s="17"/>
      <c r="EC328" s="17"/>
      <c r="ED328" s="17"/>
      <c r="EE328" s="17"/>
      <c r="EF328" s="17"/>
      <c r="EG328" s="17"/>
      <c r="EH328" s="17"/>
      <c r="EI328" s="17"/>
      <c r="EJ328" s="17"/>
      <c r="EK328" s="17"/>
      <c r="EL328" s="17"/>
      <c r="EM328" s="17"/>
      <c r="EN328" s="17"/>
      <c r="EO328" s="17"/>
      <c r="EP328" s="17"/>
      <c r="EQ328" s="17"/>
      <c r="ER328" s="17"/>
      <c r="ES328" s="17"/>
      <c r="ET328" s="17"/>
      <c r="EU328" s="17"/>
      <c r="EV328" s="17"/>
      <c r="EW328" s="17"/>
      <c r="EX328" s="17"/>
      <c r="EY328" s="17"/>
      <c r="EZ328" s="17"/>
      <c r="FA328" s="17"/>
      <c r="FB328" s="17"/>
      <c r="FC328" s="17"/>
      <c r="FD328" s="17"/>
      <c r="FE328" s="17"/>
      <c r="FF328" s="17"/>
      <c r="FG328" s="17"/>
      <c r="FH328" s="17"/>
    </row>
    <row r="329">
      <c r="A329" s="32" t="s">
        <v>54</v>
      </c>
      <c r="B329" s="32" t="s">
        <v>62</v>
      </c>
      <c r="C329" s="32" t="s">
        <v>14</v>
      </c>
      <c r="D329" s="16">
        <f t="shared" si="1"/>
        <v>1194.2183</v>
      </c>
      <c r="E329" s="17"/>
      <c r="F329" s="18" t="str">
        <f>HYPERLINK("https://docs.google.com/spreadsheets/d/1aJvLT9nXEZNMagbdMSHXFoxv8olt3mg_?usp=share_link", "RE-905.199")</f>
        <v>RE-905.199</v>
      </c>
      <c r="G329" s="18" t="str">
        <f>HYPERLINK("https://docs.google.com/spreadsheets/d/1Fi5zufOGgI2F7gn6zt0-yJWfxZweev_O?usp=share_link", "RE-2.54762")</f>
        <v>RE-2.54762</v>
      </c>
      <c r="H329" s="18" t="str">
        <f>HYPERLINK("https://docs.google.com/spreadsheets/d/1Sfi15FcTxWxUoUb0yq3P31U4CR0Elhiv?usp=share_link", "RE-131.783")</f>
        <v>RE-131.783</v>
      </c>
      <c r="I329" s="17"/>
      <c r="J329" s="18" t="str">
        <f>HYPERLINK("https://docs.google.com/spreadsheets/d/1VlL6eROiGJgrVJCA_KsRjo9Kob7cfBv1?usp=share_link", "RE-696.963")</f>
        <v>RE-696.963</v>
      </c>
      <c r="K329" s="18" t="str">
        <f>HYPERLINK("https://docs.google.com/spreadsheets/d/12omhaC_sREwQ8P2LsgyrtQJ3x0sYWzG2?usp=share_link", "RE-4.38317")</f>
        <v>RE-4.38317</v>
      </c>
      <c r="L329" s="18">
        <f>HYPERLINK("https://docs.google.com/spreadsheets/d/1gVupbAYKoPpvqd4BuVEB54o8vI8AUVdK?usp=share_link", 950.567)</f>
        <v>950.567</v>
      </c>
      <c r="M329" s="18" t="str">
        <f>HYPERLINK("https://docs.google.com/spreadsheets/d/1pv_fZ6-Abm4mW6lOJozwMsq5patjcwxY?usp=share_link", "RE-16.9783")</f>
        <v>RE-16.9783</v>
      </c>
      <c r="N329" s="18" t="str">
        <f>HYPERLINK("https://docs.google.com/spreadsheets/d/1ltmFWBc30YE1gRVjlQxM37CbHzwO0fS6?usp=share_link", "RE-416")</f>
        <v>RE-416</v>
      </c>
      <c r="O329" s="18" t="str">
        <f>HYPERLINK("https://docs.google.com/spreadsheets/d/1vST_POTfgfvtgoFN4laCf6PI8_W2sWdo?usp=share_link", "RE-11.8211")</f>
        <v>RE-11.8211</v>
      </c>
      <c r="P329" s="18">
        <f>HYPERLINK("https://docs.google.com/spreadsheets/d/1Dm5c7BsLs73L_zDkie7eEN1QjC0AzQCq?usp=share_link", 95.7296)</f>
        <v>95.7296</v>
      </c>
      <c r="Q329" s="18" t="str">
        <f>HYPERLINK("https://docs.google.com/spreadsheets/d/1wCKQZIiuz-EWluJO_x6ONnPnDvt5BngX?usp=share_link", "RE-39.9286")</f>
        <v>RE-39.9286</v>
      </c>
      <c r="R329" s="18">
        <f>HYPERLINK("https://docs.google.com/spreadsheets/d/1t6MyKJiVsMc6i36-RxBHCjRiq8JIfqO9?usp=share_link", 21.7997)</f>
        <v>21.7997</v>
      </c>
      <c r="S329" s="18" t="str">
        <f>HYPERLINK("https://docs.google.com/spreadsheets/d/1RLVxjxVhZJ-cYvgxtrXPgS_9Q-pGrYBQ?usp=share_link", "RE-6.63235")</f>
        <v>RE-6.63235</v>
      </c>
      <c r="T329" s="18">
        <f>HYPERLINK("https://docs.google.com/spreadsheets/d/12MG6n0LoqUc1qscbGq5NScRCEBW5EUrV?usp=share_link", 126.122)</f>
        <v>126.122</v>
      </c>
      <c r="U329" s="18" t="str">
        <f>HYPERLINK("https://docs.google.com/spreadsheets/d/1lGSANtu_3KnF7VfQh-_rYpsP1RMQpD4a?usp=share_link", "RE-2.36402")</f>
        <v>RE-2.36402</v>
      </c>
      <c r="V329" s="18" t="str">
        <f>HYPERLINK("https://docs.google.com/spreadsheets/d/16bgL282vxlS6cjUuZerjFQl8yZY7biDi?usp=share_link", "RE-4.08583")</f>
        <v>RE-4.08583</v>
      </c>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c r="DE329" s="17"/>
      <c r="DF329" s="17"/>
      <c r="DG329" s="17"/>
      <c r="DH329" s="17"/>
      <c r="DI329" s="17"/>
      <c r="DJ329" s="17"/>
      <c r="DK329" s="17"/>
      <c r="DL329" s="17"/>
      <c r="DM329" s="17"/>
      <c r="DN329" s="17"/>
      <c r="DO329" s="17"/>
      <c r="DP329" s="17"/>
      <c r="DQ329" s="17"/>
      <c r="DR329" s="17"/>
      <c r="DS329" s="17"/>
      <c r="DT329" s="17"/>
      <c r="DU329" s="17"/>
      <c r="DV329" s="17"/>
      <c r="DW329" s="17"/>
      <c r="DX329" s="17"/>
      <c r="DY329" s="17"/>
      <c r="DZ329" s="17"/>
      <c r="EA329" s="17"/>
      <c r="EB329" s="17"/>
      <c r="EC329" s="17"/>
      <c r="ED329" s="17"/>
      <c r="EE329" s="17"/>
      <c r="EF329" s="17"/>
      <c r="EG329" s="17"/>
      <c r="EH329" s="17"/>
      <c r="EI329" s="17"/>
      <c r="EJ329" s="17"/>
      <c r="EK329" s="17"/>
      <c r="EL329" s="17"/>
      <c r="EM329" s="17"/>
      <c r="EN329" s="17"/>
      <c r="EO329" s="17"/>
      <c r="EP329" s="17"/>
      <c r="EQ329" s="17"/>
      <c r="ER329" s="17"/>
      <c r="ES329" s="17"/>
      <c r="ET329" s="17"/>
      <c r="EU329" s="17"/>
      <c r="EV329" s="17"/>
      <c r="EW329" s="17"/>
      <c r="EX329" s="17"/>
      <c r="EY329" s="17"/>
      <c r="EZ329" s="17"/>
      <c r="FA329" s="17"/>
      <c r="FB329" s="17"/>
      <c r="FC329" s="17"/>
      <c r="FD329" s="17"/>
      <c r="FE329" s="17"/>
      <c r="FF329" s="17"/>
      <c r="FG329" s="17"/>
      <c r="FH329" s="17"/>
    </row>
    <row r="330">
      <c r="A330" s="27" t="s">
        <v>54</v>
      </c>
      <c r="B330" s="27" t="s">
        <v>62</v>
      </c>
      <c r="C330" s="27" t="s">
        <v>15</v>
      </c>
      <c r="D330" s="28">
        <f t="shared" si="1"/>
        <v>1347.6664</v>
      </c>
      <c r="E330" s="33"/>
      <c r="F330" s="34" t="str">
        <f>HYPERLINK("https://docs.google.com/spreadsheets/d/1tA0uK5feItdPzqBIXv8w39UUDEY6ctLh?usp=share_link", "RE-973.951")</f>
        <v>RE-973.951</v>
      </c>
      <c r="G330" s="34" t="str">
        <f>HYPERLINK("https://docs.google.com/spreadsheets/d/1UbtWrGPubuudHrx98Pg3ueskxzk9Aw91?usp=share_link", "RE-2.54762")</f>
        <v>RE-2.54762</v>
      </c>
      <c r="H330" s="34" t="str">
        <f>HYPERLINK("https://docs.google.com/spreadsheets/d/1htJ2YS6dGi7IS_7C8w0l4WN4Y2c46AMm?usp=share_link", "RE-142.576")</f>
        <v>RE-142.576</v>
      </c>
      <c r="I330" s="33"/>
      <c r="J330" s="34" t="str">
        <f>HYPERLINK("https://docs.google.com/spreadsheets/d/1l-r3W1bbDJov2zARBm6jH2h20_Tjx10_?usp=share_link", "RE-746.754")</f>
        <v>RE-746.754</v>
      </c>
      <c r="K330" s="34" t="str">
        <f>HYPERLINK("https://docs.google.com/spreadsheets/d/1RPhxuZzBGOfiFAMgHbzJph1KrMRghvLv?usp=share_link", "RE-4.74607")</f>
        <v>RE-4.74607</v>
      </c>
      <c r="L330" s="34">
        <f>HYPERLINK("https://docs.google.com/spreadsheets/d/1Zr4Fb9_1N732wp6zswY2CW7m-_ZkTFby?usp=share_link", 1063)</f>
        <v>1063</v>
      </c>
      <c r="M330" s="34" t="str">
        <f>HYPERLINK("https://docs.google.com/spreadsheets/d/1BSuJ80ZpLSlpdj8Aw0V-RNE_jSMN-fL3?usp=share_link", "RE-19.3572")</f>
        <v>RE-19.3572</v>
      </c>
      <c r="N330" s="34" t="str">
        <f>HYPERLINK("https://docs.google.com/spreadsheets/d/1AgQIFnvHalnApz35r8vI1A0T0NnHHU9N?usp=share_link", "RE-480.353")</f>
        <v>RE-480.353</v>
      </c>
      <c r="O330" s="34" t="str">
        <f>HYPERLINK("https://docs.google.com/spreadsheets/d/1rH-olMuNmXG2vMZgCWxwjxLCKClmIYgl?usp=share_link", "RE-12.2543")</f>
        <v>RE-12.2543</v>
      </c>
      <c r="P330" s="34">
        <f>HYPERLINK("https://docs.google.com/spreadsheets/d/1Com7qOp5ZVmFkW8R1948J88QJJaTv_AZ?usp=share_link", 112.855)</f>
        <v>112.855</v>
      </c>
      <c r="Q330" s="34" t="str">
        <f>HYPERLINK("https://docs.google.com/spreadsheets/d/1NcJ1y41fdvm1-7NAIfgZvHiBESjOKGex?usp=share_link", "RE-45.78")</f>
        <v>RE-45.78</v>
      </c>
      <c r="R330" s="34">
        <f>HYPERLINK("https://docs.google.com/spreadsheets/d/1C86UjQUN2SiouFR3mDLHuaXICTiKzoWf?usp=share_link", 25.8594)</f>
        <v>25.8594</v>
      </c>
      <c r="S330" s="34" t="str">
        <f>HYPERLINK("https://docs.google.com/spreadsheets/d/1T1AvX1BjBpK0_K9fU9e2PLVNOuxCshCM?usp=share_link", "RE-7.65832")</f>
        <v>RE-7.65832</v>
      </c>
      <c r="T330" s="34">
        <f>HYPERLINK("https://docs.google.com/spreadsheets/d/1ZUQD3BfsEh2Gm-UrdigweNOdbrQHPe6f?usp=share_link", 145.952)</f>
        <v>145.952</v>
      </c>
      <c r="U330" s="34" t="str">
        <f>HYPERLINK("https://docs.google.com/spreadsheets/d/1HXBZYi6cQokDfP_vAmLa8EYHtDx1PvT0?usp=share_link", "RE-2.36402")</f>
        <v>RE-2.36402</v>
      </c>
      <c r="V330" s="34" t="str">
        <f>HYPERLINK("https://docs.google.com/spreadsheets/d/1HvVYhzPFQH1dX8puS2HDKAWrEH6Spvzk?usp=share_link", "RE-4.58595")</f>
        <v>RE-4.58595</v>
      </c>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c r="CN330" s="33"/>
      <c r="CO330" s="33"/>
      <c r="CP330" s="33"/>
      <c r="CQ330" s="33"/>
      <c r="CR330" s="33"/>
      <c r="CS330" s="33"/>
      <c r="CT330" s="33"/>
      <c r="CU330" s="33"/>
      <c r="CV330" s="33"/>
      <c r="CW330" s="33"/>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c r="EB330" s="33"/>
      <c r="EC330" s="33"/>
      <c r="ED330" s="33"/>
      <c r="EE330" s="33"/>
      <c r="EF330" s="33"/>
      <c r="EG330" s="33"/>
      <c r="EH330" s="33"/>
      <c r="EI330" s="33"/>
      <c r="EJ330" s="33"/>
      <c r="EK330" s="33"/>
      <c r="EL330" s="33"/>
      <c r="EM330" s="33"/>
      <c r="EN330" s="33"/>
      <c r="EO330" s="33"/>
      <c r="EP330" s="33"/>
      <c r="EQ330" s="33"/>
      <c r="ER330" s="33"/>
      <c r="ES330" s="33"/>
      <c r="ET330" s="33"/>
      <c r="EU330" s="33"/>
      <c r="EV330" s="33"/>
      <c r="EW330" s="33"/>
      <c r="EX330" s="33"/>
      <c r="EY330" s="33"/>
      <c r="EZ330" s="33"/>
      <c r="FA330" s="33"/>
      <c r="FB330" s="33"/>
      <c r="FC330" s="33"/>
      <c r="FD330" s="33"/>
      <c r="FE330" s="33"/>
      <c r="FF330" s="33"/>
      <c r="FG330" s="33"/>
      <c r="FH330" s="33"/>
    </row>
    <row r="331">
      <c r="A331" s="30" t="s">
        <v>54</v>
      </c>
      <c r="B331" s="30" t="s">
        <v>63</v>
      </c>
      <c r="C331" s="31" t="str">
        <f>HYPERLINK("https://docs.google.com/spreadsheets/d/1P4fT3awO51oRgxi16yhxNBVAMNNlDA0Y/edit?usp=share_link&amp;ouid=106501987799020758802&amp;rtpof=true&amp;sd=true", "Raw Delivered")</f>
        <v>Raw Delivered</v>
      </c>
      <c r="D331" s="12">
        <f t="shared" si="1"/>
        <v>5365.944358</v>
      </c>
      <c r="E331" s="13"/>
      <c r="F331" s="14">
        <f>HYPERLINK("https://docs.google.com/spreadsheets/d/1m9brivGOM_0C_Zml6NhqfN9Rb2ifo4C5", 572.146427083332)</f>
        <v>572.1464271</v>
      </c>
      <c r="G331" s="13"/>
      <c r="H331" s="14">
        <f>HYPERLINK("https://docs.google.com/spreadsheets/d/1o_GGr6bhO7TdUs6flacS6zsZo1BmFCi5", 47.0094729166666)</f>
        <v>47.00947292</v>
      </c>
      <c r="I331" s="13"/>
      <c r="J331" s="14">
        <f>HYPERLINK("https://docs.google.com/spreadsheets/d/1fZe0kASFN8n48QUy5H5EpnTxzrqhverE", 340.592583333333)</f>
        <v>340.5925833</v>
      </c>
      <c r="K331" s="13"/>
      <c r="L331" s="14">
        <f t="shared" ref="L331:L332" si="166">HYPERLINK("https://docs.google.com/spreadsheets/d/1FB_d8uC2PEGvufV6A0tX1jjtGQNY7bL2", 1614.19340833334)</f>
        <v>1614.193408</v>
      </c>
      <c r="M331" s="13"/>
      <c r="N331" s="14">
        <f>HYPERLINK("https://docs.google.com/spreadsheets/d/1Y8ijrq562bJVTsYvsFAOpkDZ_Rd8guws", 1878.22916770833)</f>
        <v>1878.229168</v>
      </c>
      <c r="O331" s="13"/>
      <c r="P331" s="14">
        <f t="shared" ref="P331:P332" si="167">HYPERLINK("https://docs.google.com/spreadsheets/d/1S0RZSEChJsLcbrDhLxpmrBReHYQKYKwA", 488.648591666665)</f>
        <v>488.6485917</v>
      </c>
      <c r="Q331" s="13"/>
      <c r="R331" s="14">
        <f t="shared" ref="R331:R332" si="168">HYPERLINK("https://docs.google.com/spreadsheets/d/1DfkQmc1WAZ2w1_f_t8Qp56SrZ70wKuS8", 75.7467583333333)</f>
        <v>75.74675833</v>
      </c>
      <c r="S331" s="13"/>
      <c r="T331" s="14">
        <f t="shared" ref="T331:T332" si="169">HYPERLINK("https://docs.google.com/spreadsheets/d/1IA-XdwAbTBGOrCGDB_bQQC6vl62THTiQ", 349.377948958333)</f>
        <v>349.377949</v>
      </c>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row>
    <row r="332">
      <c r="A332" s="32" t="s">
        <v>54</v>
      </c>
      <c r="B332" s="32" t="s">
        <v>63</v>
      </c>
      <c r="C332" s="32" t="s">
        <v>9</v>
      </c>
      <c r="D332" s="16">
        <f t="shared" si="1"/>
        <v>2527.966707</v>
      </c>
      <c r="E332" s="17"/>
      <c r="F332" s="18" t="str">
        <f>HYPERLINK("https://docs.google.com/spreadsheets/d/1m9brivGOM_0C_Zml6NhqfN9Rb2ifo4C5", "RE-572.1464270833327")</f>
        <v>RE-572.1464270833327</v>
      </c>
      <c r="G332" s="17"/>
      <c r="H332" s="18" t="str">
        <f>HYPERLINK("https://docs.google.com/spreadsheets/d/1o_GGr6bhO7TdUs6flacS6zsZo1BmFCi5", "RE-47.00947291666667")</f>
        <v>RE-47.00947291666667</v>
      </c>
      <c r="I332" s="17"/>
      <c r="J332" s="18" t="str">
        <f>HYPERLINK("https://docs.google.com/spreadsheets/d/1fZe0kASFN8n48QUy5H5EpnTxzrqhverE", "RE-340.59258333333344")</f>
        <v>RE-340.59258333333344</v>
      </c>
      <c r="K332" s="17"/>
      <c r="L332" s="18">
        <f t="shared" si="166"/>
        <v>1614.193408</v>
      </c>
      <c r="M332" s="17"/>
      <c r="N332" s="18" t="str">
        <f>HYPERLINK("https://docs.google.com/spreadsheets/d/1Y8ijrq562bJVTsYvsFAOpkDZ_Rd8guws", "RE-1878.2291677083333")</f>
        <v>RE-1878.2291677083333</v>
      </c>
      <c r="O332" s="17"/>
      <c r="P332" s="18">
        <f t="shared" si="167"/>
        <v>488.6485917</v>
      </c>
      <c r="Q332" s="17"/>
      <c r="R332" s="18">
        <f t="shared" si="168"/>
        <v>75.74675833</v>
      </c>
      <c r="S332" s="17"/>
      <c r="T332" s="18">
        <f t="shared" si="169"/>
        <v>349.377949</v>
      </c>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c r="DE332" s="17"/>
      <c r="DF332" s="17"/>
      <c r="DG332" s="17"/>
      <c r="DH332" s="17"/>
      <c r="DI332" s="17"/>
      <c r="DJ332" s="17"/>
      <c r="DK332" s="17"/>
      <c r="DL332" s="17"/>
      <c r="DM332" s="17"/>
      <c r="DN332" s="17"/>
      <c r="DO332" s="17"/>
      <c r="DP332" s="17"/>
      <c r="DQ332" s="17"/>
      <c r="DR332" s="17"/>
      <c r="DS332" s="17"/>
      <c r="DT332" s="17"/>
      <c r="DU332" s="17"/>
      <c r="DV332" s="17"/>
      <c r="DW332" s="17"/>
      <c r="DX332" s="17"/>
      <c r="DY332" s="17"/>
      <c r="DZ332" s="17"/>
      <c r="EA332" s="17"/>
      <c r="EB332" s="17"/>
      <c r="EC332" s="17"/>
      <c r="ED332" s="17"/>
      <c r="EE332" s="17"/>
      <c r="EF332" s="17"/>
      <c r="EG332" s="17"/>
      <c r="EH332" s="17"/>
      <c r="EI332" s="17"/>
      <c r="EJ332" s="17"/>
      <c r="EK332" s="17"/>
      <c r="EL332" s="17"/>
      <c r="EM332" s="17"/>
      <c r="EN332" s="17"/>
      <c r="EO332" s="17"/>
      <c r="EP332" s="17"/>
      <c r="EQ332" s="17"/>
      <c r="ER332" s="17"/>
      <c r="ES332" s="17"/>
      <c r="ET332" s="17"/>
      <c r="EU332" s="17"/>
      <c r="EV332" s="17"/>
      <c r="EW332" s="17"/>
      <c r="EX332" s="17"/>
      <c r="EY332" s="17"/>
      <c r="EZ332" s="17"/>
      <c r="FA332" s="17"/>
      <c r="FB332" s="17"/>
      <c r="FC332" s="17"/>
      <c r="FD332" s="17"/>
      <c r="FE332" s="17"/>
      <c r="FF332" s="17"/>
      <c r="FG332" s="17"/>
      <c r="FH332" s="17"/>
    </row>
    <row r="333">
      <c r="A333" s="32" t="s">
        <v>54</v>
      </c>
      <c r="B333" s="32" t="s">
        <v>63</v>
      </c>
      <c r="C333" s="32" t="s">
        <v>10</v>
      </c>
      <c r="D333" s="16">
        <f t="shared" si="1"/>
        <v>451.1327396</v>
      </c>
      <c r="E333" s="17"/>
      <c r="F333" s="17"/>
      <c r="G333" s="18">
        <f>HYPERLINK("https://docs.google.com/spreadsheets/d/1faybtPLotfqn8bVVPO1fF0Xv1E9X2bNX", 51.5359166666666)</f>
        <v>51.53591667</v>
      </c>
      <c r="H333" s="17"/>
      <c r="I333" s="18">
        <f>HYPERLINK("https://docs.google.com/spreadsheets/d/1erSye1_1iF9ckP_Hfn0zwtOpEEp8sSPw", 10.1125395833333)</f>
        <v>10.11253958</v>
      </c>
      <c r="J333" s="17"/>
      <c r="K333" s="18">
        <f>HYPERLINK("https://docs.google.com/spreadsheets/d/1QHpcu9TWObyZUPEk5RftOvBgnh8xdeQr", 20.11686875)</f>
        <v>20.11686875</v>
      </c>
      <c r="L333" s="17"/>
      <c r="M333" s="18">
        <f>HYPERLINK("https://docs.google.com/spreadsheets/d/1oQbr-zmp8PTiUhV1EKNPf_E6m4AUdxpi", 45.3023229166666)</f>
        <v>45.30232292</v>
      </c>
      <c r="N333" s="17"/>
      <c r="O333" s="18">
        <f>HYPERLINK("https://docs.google.com/spreadsheets/d/1TGXjN0E-vT3bggVz8aYpgehhgNFkRePZ", 202.709192708333)</f>
        <v>202.7091927</v>
      </c>
      <c r="P333" s="17"/>
      <c r="Q333" s="18">
        <f>HYPERLINK("https://docs.google.com/spreadsheets/d/1CBxkRIbliPolGWNRdH3JFdwJeW46KgJP", 88.8021135416666)</f>
        <v>88.80211354</v>
      </c>
      <c r="R333" s="17"/>
      <c r="S333" s="18">
        <f>HYPERLINK("https://docs.google.com/spreadsheets/d/11_v3W4a71ALic4NJSGWf41D_ct840nBo", 10.9587083333333)</f>
        <v>10.95870833</v>
      </c>
      <c r="T333" s="17"/>
      <c r="U333" s="18">
        <f>HYPERLINK("https://docs.google.com/spreadsheets/d/1eCjxQMxa2lRmJzfRLWc9bWVzDmfeFZMZ", 16.145075)</f>
        <v>16.145075</v>
      </c>
      <c r="V333" s="18">
        <f>HYPERLINK("https://docs.google.com/spreadsheets/d/1L0giX1ga8AvEiF56Ky07WDRbYWhKrNRQ", 5.45000208333333)</f>
        <v>5.450002083</v>
      </c>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c r="DE333" s="17"/>
      <c r="DF333" s="17"/>
      <c r="DG333" s="17"/>
      <c r="DH333" s="17"/>
      <c r="DI333" s="17"/>
      <c r="DJ333" s="17"/>
      <c r="DK333" s="17"/>
      <c r="DL333" s="17"/>
      <c r="DM333" s="17"/>
      <c r="DN333" s="17"/>
      <c r="DO333" s="17"/>
      <c r="DP333" s="17"/>
      <c r="DQ333" s="17"/>
      <c r="DR333" s="17"/>
      <c r="DS333" s="17"/>
      <c r="DT333" s="17"/>
      <c r="DU333" s="17"/>
      <c r="DV333" s="17"/>
      <c r="DW333" s="17"/>
      <c r="DX333" s="17"/>
      <c r="DY333" s="17"/>
      <c r="DZ333" s="17"/>
      <c r="EA333" s="17"/>
      <c r="EB333" s="17"/>
      <c r="EC333" s="17"/>
      <c r="ED333" s="17"/>
      <c r="EE333" s="17"/>
      <c r="EF333" s="17"/>
      <c r="EG333" s="17"/>
      <c r="EH333" s="17"/>
      <c r="EI333" s="17"/>
      <c r="EJ333" s="17"/>
      <c r="EK333" s="17"/>
      <c r="EL333" s="17"/>
      <c r="EM333" s="17"/>
      <c r="EN333" s="17"/>
      <c r="EO333" s="17"/>
      <c r="EP333" s="17"/>
      <c r="EQ333" s="17"/>
      <c r="ER333" s="17"/>
      <c r="ES333" s="17"/>
      <c r="ET333" s="17"/>
      <c r="EU333" s="17"/>
      <c r="EV333" s="17"/>
      <c r="EW333" s="17"/>
      <c r="EX333" s="17"/>
      <c r="EY333" s="17"/>
      <c r="EZ333" s="17"/>
      <c r="FA333" s="17"/>
      <c r="FB333" s="17"/>
      <c r="FC333" s="17"/>
      <c r="FD333" s="17"/>
      <c r="FE333" s="17"/>
      <c r="FF333" s="17"/>
      <c r="FG333" s="17"/>
      <c r="FH333" s="17"/>
    </row>
    <row r="334">
      <c r="A334" s="32" t="s">
        <v>54</v>
      </c>
      <c r="B334" s="32" t="s">
        <v>63</v>
      </c>
      <c r="C334" s="32" t="s">
        <v>11</v>
      </c>
      <c r="D334" s="16">
        <f t="shared" si="1"/>
        <v>0</v>
      </c>
      <c r="E334" s="17"/>
      <c r="F334" s="17"/>
      <c r="G334" s="18" t="str">
        <f>HYPERLINK("https://docs.google.com/spreadsheets/d/1faybtPLotfqn8bVVPO1fF0Xv1E9X2bNX", "RE-51.535916666666616")</f>
        <v>RE-51.535916666666616</v>
      </c>
      <c r="H334" s="17"/>
      <c r="I334" s="18" t="str">
        <f>HYPERLINK("https://docs.google.com/spreadsheets/d/1erSye1_1iF9ckP_Hfn0zwtOpEEp8sSPw", "RE-10.112539583333332")</f>
        <v>RE-10.112539583333332</v>
      </c>
      <c r="J334" s="17"/>
      <c r="K334" s="18" t="str">
        <f>HYPERLINK("https://docs.google.com/spreadsheets/d/1QHpcu9TWObyZUPEk5RftOvBgnh8xdeQr", "RE-20.116868750000005")</f>
        <v>RE-20.116868750000005</v>
      </c>
      <c r="L334" s="17"/>
      <c r="M334" s="18" t="str">
        <f>HYPERLINK("https://docs.google.com/spreadsheets/d/1oQbr-zmp8PTiUhV1EKNPf_E6m4AUdxpi", "RE-45.30232291666667")</f>
        <v>RE-45.30232291666667</v>
      </c>
      <c r="N334" s="17"/>
      <c r="O334" s="18" t="str">
        <f>HYPERLINK("https://docs.google.com/spreadsheets/d/1TGXjN0E-vT3bggVz8aYpgehhgNFkRePZ", "RE-202.70919270833312")</f>
        <v>RE-202.70919270833312</v>
      </c>
      <c r="P334" s="17"/>
      <c r="Q334" s="18" t="str">
        <f>HYPERLINK("https://docs.google.com/spreadsheets/d/1CBxkRIbliPolGWNRdH3JFdwJeW46KgJP", "RE-88.80211354166663")</f>
        <v>RE-88.80211354166663</v>
      </c>
      <c r="R334" s="17"/>
      <c r="S334" s="18" t="str">
        <f>HYPERLINK("https://docs.google.com/spreadsheets/d/11_v3W4a71ALic4NJSGWf41D_ct840nBo", "RE-10.958708333333336")</f>
        <v>RE-10.958708333333336</v>
      </c>
      <c r="T334" s="17"/>
      <c r="U334" s="18" t="str">
        <f>HYPERLINK("https://docs.google.com/spreadsheets/d/1eCjxQMxa2lRmJzfRLWc9bWVzDmfeFZMZ", "RE-16.145075")</f>
        <v>RE-16.145075</v>
      </c>
      <c r="V334" s="18" t="str">
        <f>HYPERLINK("https://docs.google.com/spreadsheets/d/1L0giX1ga8AvEiF56Ky07WDRbYWhKrNRQ", "RE-5.4500020833333345")</f>
        <v>RE-5.4500020833333345</v>
      </c>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c r="EJ334" s="17"/>
      <c r="EK334" s="17"/>
      <c r="EL334" s="17"/>
      <c r="EM334" s="17"/>
      <c r="EN334" s="17"/>
      <c r="EO334" s="17"/>
      <c r="EP334" s="17"/>
      <c r="EQ334" s="17"/>
      <c r="ER334" s="17"/>
      <c r="ES334" s="17"/>
      <c r="ET334" s="17"/>
      <c r="EU334" s="17"/>
      <c r="EV334" s="17"/>
      <c r="EW334" s="17"/>
      <c r="EX334" s="17"/>
      <c r="EY334" s="17"/>
      <c r="EZ334" s="17"/>
      <c r="FA334" s="17"/>
      <c r="FB334" s="17"/>
      <c r="FC334" s="17"/>
      <c r="FD334" s="17"/>
      <c r="FE334" s="17"/>
      <c r="FF334" s="17"/>
      <c r="FG334" s="17"/>
      <c r="FH334" s="17"/>
    </row>
    <row r="335">
      <c r="A335" s="32" t="s">
        <v>54</v>
      </c>
      <c r="B335" s="32" t="s">
        <v>63</v>
      </c>
      <c r="C335" s="32" t="s">
        <v>12</v>
      </c>
      <c r="D335" s="16">
        <f t="shared" si="1"/>
        <v>2374.705734</v>
      </c>
      <c r="E335" s="17"/>
      <c r="F335" s="18" t="str">
        <f>HYPERLINK("https://docs.google.com/spreadsheets/d/1KcIww1l6_UzF3K-vzIOEjG3teSadrV66", "RE-472.30395624999926")</f>
        <v>RE-472.30395624999926</v>
      </c>
      <c r="G335" s="18" t="str">
        <f>HYPERLINK("https://docs.google.com/spreadsheets/d/1npkfS0cipK5ALo2Iea_fIS8WLO8cHuSo", "RE-2.1988125")</f>
        <v>RE-2.1988125</v>
      </c>
      <c r="H335" s="18" t="str">
        <f>HYPERLINK("https://docs.google.com/spreadsheets/d/1T3cWFYq3fTLlbtaxTXTgUV1kEOekq3F6", "RE-37.665525")</f>
        <v>RE-37.665525</v>
      </c>
      <c r="I335" s="18" t="str">
        <f>HYPERLINK("https://docs.google.com/spreadsheets/d/1ZSRdEn-IFHDH9pb5IcWVzThVnYPpKUa9", "RE-0.3156666666666667")</f>
        <v>RE-0.3156666666666667</v>
      </c>
      <c r="J335" s="18" t="str">
        <f>HYPERLINK("https://docs.google.com/spreadsheets/d/1nrQ75TlyYIeNN0iUPx8LgNOcsfqZBrll", "RE-281.6956145833334")</f>
        <v>RE-281.6956145833334</v>
      </c>
      <c r="K335" s="18" t="str">
        <f>HYPERLINK("https://docs.google.com/spreadsheets/d/1WAxeQjKxL2tglGA96DMHbNvuecjFycIN", "RE-2.40500625")</f>
        <v>RE-2.40500625</v>
      </c>
      <c r="L335" s="18">
        <f>HYPERLINK("https://docs.google.com/spreadsheets/d/1ESnebpjE-DbFjgBWrOg4wLKRYzbT2aj8", 1516.81933854167)</f>
        <v>1516.819339</v>
      </c>
      <c r="M335" s="18" t="str">
        <f>HYPERLINK("https://docs.google.com/spreadsheets/d/1IO_AwENFLCccsq00Sc5UEfuY3PD2owHl", "RE-6.999814583333333")</f>
        <v>RE-6.999814583333333</v>
      </c>
      <c r="N335" s="18" t="str">
        <f>HYPERLINK("https://docs.google.com/spreadsheets/d/1oFbochBiH34Kzm7odufxxQzZv8wZn4tK", "RE-1289.0280656249995")</f>
        <v>RE-1289.0280656249995</v>
      </c>
      <c r="O335" s="18" t="str">
        <f>HYPERLINK("https://docs.google.com/spreadsheets/d/1PpCjkThwKdvGZPxyXklHSdyHzFwo2Kxr", "RE-13.33325520833333")</f>
        <v>RE-13.33325520833333</v>
      </c>
      <c r="P335" s="18">
        <f>HYPERLINK("https://docs.google.com/spreadsheets/d/1anL-oCNkUK7lQDwYwC7XhuBA98j6ElcF", 452.452951041665)</f>
        <v>452.452951</v>
      </c>
      <c r="Q335" s="18" t="str">
        <f>HYPERLINK("https://docs.google.com/spreadsheets/d/1mEDLDooqxnhj--yiRs3yApD1g6IMc3tO", "RE-38.61870833333333")</f>
        <v>RE-38.61870833333333</v>
      </c>
      <c r="R335" s="18">
        <f>HYPERLINK("https://docs.google.com/spreadsheets/d/1SsmcdCryiF-1AtTnPbtWfgnOs_x5IxzC", 73.21206875)</f>
        <v>73.21206875</v>
      </c>
      <c r="S335" s="18" t="str">
        <f>HYPERLINK("https://docs.google.com/spreadsheets/d/12jogrIidciE6P1I87ovtkbePcK3QMjex", "RE-9.215589583333333")</f>
        <v>RE-9.215589583333333</v>
      </c>
      <c r="T335" s="18">
        <f>HYPERLINK("https://docs.google.com/spreadsheets/d/1Of7lHhb0kvH25_W5ujq_pW8ad332dGjQ", 332.221376041667)</f>
        <v>332.221376</v>
      </c>
      <c r="U335" s="18" t="str">
        <f>HYPERLINK("https://docs.google.com/spreadsheets/d/11sJ0JBamQ7E1Adn2LgagjNY2FDdYqE9u", "RE-9.516658333333334")</f>
        <v>RE-9.516658333333334</v>
      </c>
      <c r="V335" s="18" t="str">
        <f>HYPERLINK("https://docs.google.com/spreadsheets/d/1j5cwdn8WnSv3EIIQvPGRqNUmoX1LsSnh", "RE-3.72834375")</f>
        <v>RE-3.72834375</v>
      </c>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O335" s="17"/>
      <c r="DP335" s="17"/>
      <c r="DQ335" s="17"/>
      <c r="DR335" s="17"/>
      <c r="DS335" s="17"/>
      <c r="DT335" s="17"/>
      <c r="DU335" s="17"/>
      <c r="DV335" s="17"/>
      <c r="DW335" s="17"/>
      <c r="DX335" s="17"/>
      <c r="DY335" s="17"/>
      <c r="DZ335" s="17"/>
      <c r="EA335" s="17"/>
      <c r="EB335" s="17"/>
      <c r="EC335" s="17"/>
      <c r="ED335" s="17"/>
      <c r="EE335" s="17"/>
      <c r="EF335" s="17"/>
      <c r="EG335" s="17"/>
      <c r="EH335" s="17"/>
      <c r="EI335" s="17"/>
      <c r="EJ335" s="17"/>
      <c r="EK335" s="17"/>
      <c r="EL335" s="17"/>
      <c r="EM335" s="17"/>
      <c r="EN335" s="17"/>
      <c r="EO335" s="17"/>
      <c r="EP335" s="17"/>
      <c r="EQ335" s="17"/>
      <c r="ER335" s="17"/>
      <c r="ES335" s="17"/>
      <c r="ET335" s="17"/>
      <c r="EU335" s="17"/>
      <c r="EV335" s="17"/>
      <c r="EW335" s="17"/>
      <c r="EX335" s="17"/>
      <c r="EY335" s="17"/>
      <c r="EZ335" s="17"/>
      <c r="FA335" s="17"/>
      <c r="FB335" s="17"/>
      <c r="FC335" s="17"/>
      <c r="FD335" s="17"/>
      <c r="FE335" s="17"/>
      <c r="FF335" s="17"/>
      <c r="FG335" s="17"/>
      <c r="FH335" s="17"/>
    </row>
    <row r="336">
      <c r="A336" s="32" t="s">
        <v>54</v>
      </c>
      <c r="B336" s="32" t="s">
        <v>63</v>
      </c>
      <c r="C336" s="32" t="s">
        <v>13</v>
      </c>
      <c r="D336" s="16">
        <f t="shared" si="1"/>
        <v>2269.5723</v>
      </c>
      <c r="E336" s="17"/>
      <c r="F336" s="18" t="str">
        <f>HYPERLINK("https://docs.google.com/spreadsheets/d/1eaXuORuEDz0ovaQZfJrjfhm7zCwm73C3?usp=share_link", "RE-461.279")</f>
        <v>RE-461.279</v>
      </c>
      <c r="G336" s="18" t="str">
        <f>HYPERLINK("https://docs.google.com/spreadsheets/d/1lqi95cITX-z4mpVR2nvxeCHw4Vp5oNMz?usp=share_link", "RE-2.15093")</f>
        <v>RE-2.15093</v>
      </c>
      <c r="H336" s="18" t="str">
        <f>HYPERLINK("https://docs.google.com/spreadsheets/d/1L5iCSY_THYyvHwyn6rgptYWnDT7l8adZ?usp=share_link", "RE-36.4927")</f>
        <v>RE-36.4927</v>
      </c>
      <c r="I336" s="18" t="str">
        <f>HYPERLINK("https://docs.google.com/spreadsheets/d/1K00Kt0Xgw1anoTkgvlVD4qlk_owpdHvj?usp=share_link", "RE-0.314333")</f>
        <v>RE-0.314333</v>
      </c>
      <c r="J336" s="18" t="str">
        <f>HYPERLINK("https://docs.google.com/spreadsheets/d/1phbwVwNa1ok2BOb0OgXRq2v9SlfTVPgy?usp=share_link", "RE-275.92")</f>
        <v>RE-275.92</v>
      </c>
      <c r="K336" s="18" t="str">
        <f>HYPERLINK("https://docs.google.com/spreadsheets/d/1LBtUWEme58qxH0HmKx6iBGwZYKq1nKco?usp=share_link", "RE-2.25383")</f>
        <v>RE-2.25383</v>
      </c>
      <c r="L336" s="18">
        <f>HYPERLINK("https://docs.google.com/spreadsheets/d/1BmKvAMmpk0sm7D97hZqs9leQSDZwAga4?usp=share_link", 1448.93)</f>
        <v>1448.93</v>
      </c>
      <c r="M336" s="18" t="str">
        <f>HYPERLINK("https://docs.google.com/spreadsheets/d/1FW3brx01yg6qIq511C-YjyipN-5s6QAe?usp=share_link", "RE-6.72933")</f>
        <v>RE-6.72933</v>
      </c>
      <c r="N336" s="18" t="str">
        <f>HYPERLINK("https://docs.google.com/spreadsheets/d/1CXvr-wV1OYsypAeYs0drw0H_X7wUntC6?usp=share_link", "RE-1227.36")</f>
        <v>RE-1227.36</v>
      </c>
      <c r="O336" s="18" t="str">
        <f>HYPERLINK("https://docs.google.com/spreadsheets/d/14dmdiERgq5zQ5BSzNyCcBjWgWFYVaXdS?usp=share_link", "RE-12.3476")</f>
        <v>RE-12.3476</v>
      </c>
      <c r="P336" s="18">
        <f>HYPERLINK("https://docs.google.com/spreadsheets/d/13Id2amxY5H_3mICsf5E7QwFqRNKsPXoK?usp=share_link", 431.44)</f>
        <v>431.44</v>
      </c>
      <c r="Q336" s="18" t="str">
        <f>HYPERLINK("https://docs.google.com/spreadsheets/d/1bFhlk24QZhQS0LN5JwCoSdYQeYzKPnUb?usp=share_link", "RE-37.0527")</f>
        <v>RE-37.0527</v>
      </c>
      <c r="R336" s="18">
        <f>HYPERLINK("https://docs.google.com/spreadsheets/d/1-o2s_evMVz--dQlnmos6Ci4BLaG99oYK?usp=share_link", 70.7053)</f>
        <v>70.7053</v>
      </c>
      <c r="S336" s="18" t="str">
        <f>HYPERLINK("https://docs.google.com/spreadsheets/d/1W1iPNfgOQdXawvhAgAcSqPTJvzYCeDuw?usp=share_link", "RE-8.74655")</f>
        <v>RE-8.74655</v>
      </c>
      <c r="T336" s="18">
        <f>HYPERLINK("https://docs.google.com/spreadsheets/d/1w3Skb3JcR_ELUbfDSCJSfE2pC9yuPBU-?usp=share_link", 318.497)</f>
        <v>318.497</v>
      </c>
      <c r="U336" s="18" t="str">
        <f>HYPERLINK("https://docs.google.com/spreadsheets/d/1nrEIfOIR4ZxHLJZRMZxelD1zfDRUjYv-?usp=share_link", "RE-9.1414")</f>
        <v>RE-9.1414</v>
      </c>
      <c r="V336" s="18" t="str">
        <f>HYPERLINK("https://docs.google.com/spreadsheets/d/1pzHEP4yeVuVmewpUURo-3a8tyS2ocxRq?usp=share_link", "RE-3.59145")</f>
        <v>RE-3.59145</v>
      </c>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c r="DE336" s="17"/>
      <c r="DF336" s="17"/>
      <c r="DG336" s="17"/>
      <c r="DH336" s="17"/>
      <c r="DI336" s="17"/>
      <c r="DJ336" s="17"/>
      <c r="DK336" s="17"/>
      <c r="DL336" s="17"/>
      <c r="DM336" s="17"/>
      <c r="DN336" s="17"/>
      <c r="DO336" s="17"/>
      <c r="DP336" s="17"/>
      <c r="DQ336" s="17"/>
      <c r="DR336" s="17"/>
      <c r="DS336" s="17"/>
      <c r="DT336" s="17"/>
      <c r="DU336" s="17"/>
      <c r="DV336" s="17"/>
      <c r="DW336" s="17"/>
      <c r="DX336" s="17"/>
      <c r="DY336" s="17"/>
      <c r="DZ336" s="17"/>
      <c r="EA336" s="17"/>
      <c r="EB336" s="17"/>
      <c r="EC336" s="17"/>
      <c r="ED336" s="17"/>
      <c r="EE336" s="17"/>
      <c r="EF336" s="17"/>
      <c r="EG336" s="17"/>
      <c r="EH336" s="17"/>
      <c r="EI336" s="17"/>
      <c r="EJ336" s="17"/>
      <c r="EK336" s="17"/>
      <c r="EL336" s="17"/>
      <c r="EM336" s="17"/>
      <c r="EN336" s="17"/>
      <c r="EO336" s="17"/>
      <c r="EP336" s="17"/>
      <c r="EQ336" s="17"/>
      <c r="ER336" s="17"/>
      <c r="ES336" s="17"/>
      <c r="ET336" s="17"/>
      <c r="EU336" s="17"/>
      <c r="EV336" s="17"/>
      <c r="EW336" s="17"/>
      <c r="EX336" s="17"/>
      <c r="EY336" s="17"/>
      <c r="EZ336" s="17"/>
      <c r="FA336" s="17"/>
      <c r="FB336" s="17"/>
      <c r="FC336" s="17"/>
      <c r="FD336" s="17"/>
      <c r="FE336" s="17"/>
      <c r="FF336" s="17"/>
      <c r="FG336" s="17"/>
      <c r="FH336" s="17"/>
    </row>
    <row r="337">
      <c r="A337" s="32" t="s">
        <v>54</v>
      </c>
      <c r="B337" s="32" t="s">
        <v>63</v>
      </c>
      <c r="C337" s="32" t="s">
        <v>14</v>
      </c>
      <c r="D337" s="16">
        <f t="shared" si="1"/>
        <v>2009.1408</v>
      </c>
      <c r="E337" s="17"/>
      <c r="F337" s="18" t="str">
        <f>HYPERLINK("https://docs.google.com/spreadsheets/d/1ajx2dbldiTKaqGg9rFAXuQcMgnt7EiIK?usp=share_link", "RE-419.545")</f>
        <v>RE-419.545</v>
      </c>
      <c r="G337" s="18" t="str">
        <f>HYPERLINK("https://docs.google.com/spreadsheets/d/1OcvFX7nO49FQBRbCXhIqWNa86L_u-Zdf?usp=share_link", "RE-2.04458")</f>
        <v>RE-2.04458</v>
      </c>
      <c r="H337" s="18" t="str">
        <f>HYPERLINK("https://docs.google.com/spreadsheets/d/16bPmini8uIilE-iyeI-SStVBaRSKBEbv?usp=share_link", "RE-32.6288")</f>
        <v>RE-32.6288</v>
      </c>
      <c r="I337" s="18" t="str">
        <f>HYPERLINK("https://docs.google.com/spreadsheets/d/1WtH8RnbJWqcTfugXdWbhpxCKCFlHVwOa?usp=share_link", "RE-0.314333")</f>
        <v>RE-0.314333</v>
      </c>
      <c r="J337" s="18" t="str">
        <f>HYPERLINK("https://docs.google.com/spreadsheets/d/1x8g1mnpcaYGPMg5-upNdjNMJ2OrKa0eN?usp=share_link", "RE-257.682")</f>
        <v>RE-257.682</v>
      </c>
      <c r="K337" s="18" t="str">
        <f>HYPERLINK("https://docs.google.com/spreadsheets/d/1cjAIufotfniXQAjBwyNOwuaedCCuzUIC?usp=share_link", "RE-1.96227")</f>
        <v>RE-1.96227</v>
      </c>
      <c r="L337" s="18">
        <f>HYPERLINK("https://docs.google.com/spreadsheets/d/1N7ysHTqGkDGZc-PTN7n8MjJUXHji7uPL?usp=share_link", 1300.41)</f>
        <v>1300.41</v>
      </c>
      <c r="M337" s="18" t="str">
        <f>HYPERLINK("https://docs.google.com/spreadsheets/d/1iKs6CcYMCFLNy5pCgk0lkC3Su3fOEBki?usp=share_link", "RE-5.8801")</f>
        <v>RE-5.8801</v>
      </c>
      <c r="N337" s="18" t="str">
        <f>HYPERLINK("https://docs.google.com/spreadsheets/d/121eG-kK_OtNJ0FOEWFX5XDMYqTJrYo2m?usp=share_link", "RE-1079.59")</f>
        <v>RE-1079.59</v>
      </c>
      <c r="O337" s="18" t="str">
        <f>HYPERLINK("https://docs.google.com/spreadsheets/d/18JdwLNcAfUoaAr8X-Bekv70i__afaWOS?usp=share_link", "RE-10.2308")</f>
        <v>RE-10.2308</v>
      </c>
      <c r="P337" s="18">
        <f>HYPERLINK("https://docs.google.com/spreadsheets/d/1izBCQiW4rdcpHF15Hv3DKAcNUIIHQ3EO?usp=share_link", 377.2)</f>
        <v>377.2</v>
      </c>
      <c r="Q337" s="18" t="str">
        <f>HYPERLINK("https://docs.google.com/spreadsheets/d/1V3Gh5x0dk4eGhaaJqgoU6trwdJw2F8eo?usp=share_link", "RE-34.1086")</f>
        <v>RE-34.1086</v>
      </c>
      <c r="R337" s="18">
        <f>HYPERLINK("https://docs.google.com/spreadsheets/d/1k7-pZnC-QY1z0y5uvBlGDxltwVz7nkVm?usp=share_link", 55.6948)</f>
        <v>55.6948</v>
      </c>
      <c r="S337" s="18" t="str">
        <f>HYPERLINK("https://docs.google.com/spreadsheets/d/1H1Li44HESrtfjUTS92QBvTCaXI1GwqXg?usp=share_link", "RE-6.07042")</f>
        <v>RE-6.07042</v>
      </c>
      <c r="T337" s="18">
        <f>HYPERLINK("https://docs.google.com/spreadsheets/d/1zCiWE8uraxCMEJ4_RT3_lFL_0ODNhbPe?usp=share_link", 275.836)</f>
        <v>275.836</v>
      </c>
      <c r="U337" s="18" t="str">
        <f>HYPERLINK("https://docs.google.com/spreadsheets/d/1l-lYwNFLnQik_otAeFs3QDjRXAgs4P9l?usp=share_link", "RE-7.77713")</f>
        <v>RE-7.77713</v>
      </c>
      <c r="V337" s="18" t="str">
        <f>HYPERLINK("https://docs.google.com/spreadsheets/d/1IhLu747qDa5-QG6e94f7m6uKzPNM6uRw?usp=share_link", "RE-3.4733")</f>
        <v>RE-3.4733</v>
      </c>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c r="DE337" s="17"/>
      <c r="DF337" s="17"/>
      <c r="DG337" s="17"/>
      <c r="DH337" s="17"/>
      <c r="DI337" s="17"/>
      <c r="DJ337" s="17"/>
      <c r="DK337" s="17"/>
      <c r="DL337" s="17"/>
      <c r="DM337" s="17"/>
      <c r="DN337" s="17"/>
      <c r="DO337" s="17"/>
      <c r="DP337" s="17"/>
      <c r="DQ337" s="17"/>
      <c r="DR337" s="17"/>
      <c r="DS337" s="17"/>
      <c r="DT337" s="17"/>
      <c r="DU337" s="17"/>
      <c r="DV337" s="17"/>
      <c r="DW337" s="17"/>
      <c r="DX337" s="17"/>
      <c r="DY337" s="17"/>
      <c r="DZ337" s="17"/>
      <c r="EA337" s="17"/>
      <c r="EB337" s="17"/>
      <c r="EC337" s="17"/>
      <c r="ED337" s="17"/>
      <c r="EE337" s="17"/>
      <c r="EF337" s="17"/>
      <c r="EG337" s="17"/>
      <c r="EH337" s="17"/>
      <c r="EI337" s="17"/>
      <c r="EJ337" s="17"/>
      <c r="EK337" s="17"/>
      <c r="EL337" s="17"/>
      <c r="EM337" s="17"/>
      <c r="EN337" s="17"/>
      <c r="EO337" s="17"/>
      <c r="EP337" s="17"/>
      <c r="EQ337" s="17"/>
      <c r="ER337" s="17"/>
      <c r="ES337" s="17"/>
      <c r="ET337" s="17"/>
      <c r="EU337" s="17"/>
      <c r="EV337" s="17"/>
      <c r="EW337" s="17"/>
      <c r="EX337" s="17"/>
      <c r="EY337" s="17"/>
      <c r="EZ337" s="17"/>
      <c r="FA337" s="17"/>
      <c r="FB337" s="17"/>
      <c r="FC337" s="17"/>
      <c r="FD337" s="17"/>
      <c r="FE337" s="17"/>
      <c r="FF337" s="17"/>
      <c r="FG337" s="17"/>
      <c r="FH337" s="17"/>
    </row>
    <row r="338">
      <c r="A338" s="27" t="s">
        <v>54</v>
      </c>
      <c r="B338" s="27" t="s">
        <v>63</v>
      </c>
      <c r="C338" s="27" t="s">
        <v>15</v>
      </c>
      <c r="D338" s="28">
        <f t="shared" si="1"/>
        <v>2269.3866</v>
      </c>
      <c r="E338" s="33"/>
      <c r="F338" s="34" t="str">
        <f>HYPERLINK("https://docs.google.com/spreadsheets/d/1PDZJj0Hyj0lo9gbim6SUN_U4BvaAeNeL?usp=share_link", "RE-460.827")</f>
        <v>RE-460.827</v>
      </c>
      <c r="G338" s="34" t="str">
        <f>HYPERLINK("https://docs.google.com/spreadsheets/d/1sSs0Jydq7k3a8a5Ul3fVnGKhrdqSASmC?usp=share_link", "RE-2.15093")</f>
        <v>RE-2.15093</v>
      </c>
      <c r="H338" s="34" t="str">
        <f>HYPERLINK("https://docs.google.com/spreadsheets/d/1KgnFulRMuaozWYri757JIdRoqq7NwW3y?usp=share_link", "RE-36.4185")</f>
        <v>RE-36.4185</v>
      </c>
      <c r="I338" s="34" t="str">
        <f>HYPERLINK("https://docs.google.com/spreadsheets/d/1K66JDIYDol39xllCuqpHM6HkVmmnqQAB?usp=share_link", "RE-0.314333")</f>
        <v>RE-0.314333</v>
      </c>
      <c r="J338" s="34" t="str">
        <f>HYPERLINK("https://docs.google.com/spreadsheets/d/1N1Fh3BecL7RtZHwbuwbgWvnqROTW9Ouh?usp=share_link", "RE-275.92")</f>
        <v>RE-275.92</v>
      </c>
      <c r="K338" s="34" t="str">
        <f>HYPERLINK("https://docs.google.com/spreadsheets/d/1g30N5oJ8cTkblFWN_Xaeu8LkW5MDYqRa?usp=share_link", "RE-2.25383")</f>
        <v>RE-2.25383</v>
      </c>
      <c r="L338" s="34">
        <f>HYPERLINK("https://docs.google.com/spreadsheets/d/16TEUBKTJ7tQ0NQncEfS-Y4N6chyVjdCP?usp=share_link", 1448.92)</f>
        <v>1448.92</v>
      </c>
      <c r="M338" s="34" t="str">
        <f>HYPERLINK("https://docs.google.com/spreadsheets/d/1rPRalHnNN5eR4Z-5XrDbhu23wNsTP4Mq?usp=share_link", "RE-6.72933")</f>
        <v>RE-6.72933</v>
      </c>
      <c r="N338" s="34" t="str">
        <f>HYPERLINK("https://docs.google.com/spreadsheets/d/1-g-lnS62YxRPFZEP7sNaId5LjRjonUzP?usp=share_link", "RE-1227.36")</f>
        <v>RE-1227.36</v>
      </c>
      <c r="O338" s="34" t="str">
        <f>HYPERLINK("https://docs.google.com/spreadsheets/d/1Rw7M4ySQN8cetzgGc2g3HMU5AMHtHMUL?usp=share_link", "RE-12.3476")</f>
        <v>RE-12.3476</v>
      </c>
      <c r="P338" s="34">
        <f>HYPERLINK("https://docs.google.com/spreadsheets/d/1BcdJ_I3dDVsscPuXalOFA1sRMYti3yzO?usp=share_link", 431.273)</f>
        <v>431.273</v>
      </c>
      <c r="Q338" s="34" t="str">
        <f>HYPERLINK("https://docs.google.com/spreadsheets/d/18_VC1VxuDrtZjm4Zsr_kXTGsTFOI7eP_?usp=share_link", "RE-37.0527")</f>
        <v>RE-37.0527</v>
      </c>
      <c r="R338" s="34">
        <f>HYPERLINK("https://docs.google.com/spreadsheets/d/1EAvrGFxWJPXbbw_Xa5YubITPpBETb0vv?usp=share_link", 70.6966)</f>
        <v>70.6966</v>
      </c>
      <c r="S338" s="34" t="str">
        <f>HYPERLINK("https://docs.google.com/spreadsheets/d/1YEVz4ec05FgYPbojfxIWls9AMOGHGSEW?usp=share_link", "RE-8.74655")</f>
        <v>RE-8.74655</v>
      </c>
      <c r="T338" s="34">
        <f>HYPERLINK("https://docs.google.com/spreadsheets/d/1Z-xloRfRxQuUC1mFAXp5NYCCI5D9kAFE?usp=share_link", 318.497)</f>
        <v>318.497</v>
      </c>
      <c r="U338" s="34" t="str">
        <f>HYPERLINK("https://docs.google.com/spreadsheets/d/1Sw2g57h-CJoxAd50ZQ5GKML0jKqo7rAd?usp=share_link", "RE-9.1414")</f>
        <v>RE-9.1414</v>
      </c>
      <c r="V338" s="34" t="str">
        <f>HYPERLINK("https://docs.google.com/spreadsheets/d/12dmLDKA6-kW0pg60KoteuoVaken2hALa?usp=share_link", "RE-3.59145")</f>
        <v>RE-3.59145</v>
      </c>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c r="BA338" s="33"/>
      <c r="BB338" s="33"/>
      <c r="BC338" s="33"/>
      <c r="BD338" s="33"/>
      <c r="BE338" s="33"/>
      <c r="BF338" s="33"/>
      <c r="BG338" s="33"/>
      <c r="BH338" s="33"/>
      <c r="BI338" s="33"/>
      <c r="BJ338" s="33"/>
      <c r="BK338" s="33"/>
      <c r="BL338" s="33"/>
      <c r="BM338" s="33"/>
      <c r="BN338" s="33"/>
      <c r="BO338" s="33"/>
      <c r="BP338" s="33"/>
      <c r="BQ338" s="33"/>
      <c r="BR338" s="33"/>
      <c r="BS338" s="33"/>
      <c r="BT338" s="33"/>
      <c r="BU338" s="33"/>
      <c r="BV338" s="33"/>
      <c r="BW338" s="33"/>
      <c r="BX338" s="33"/>
      <c r="BY338" s="33"/>
      <c r="BZ338" s="33"/>
      <c r="CA338" s="33"/>
      <c r="CB338" s="33"/>
      <c r="CC338" s="33"/>
      <c r="CD338" s="33"/>
      <c r="CE338" s="33"/>
      <c r="CF338" s="33"/>
      <c r="CG338" s="33"/>
      <c r="CH338" s="33"/>
      <c r="CI338" s="33"/>
      <c r="CJ338" s="33"/>
      <c r="CK338" s="33"/>
      <c r="CL338" s="33"/>
      <c r="CM338" s="33"/>
      <c r="CN338" s="33"/>
      <c r="CO338" s="33"/>
      <c r="CP338" s="33"/>
      <c r="CQ338" s="33"/>
      <c r="CR338" s="33"/>
      <c r="CS338" s="33"/>
      <c r="CT338" s="33"/>
      <c r="CU338" s="33"/>
      <c r="CV338" s="33"/>
      <c r="CW338" s="33"/>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c r="EB338" s="33"/>
      <c r="EC338" s="33"/>
      <c r="ED338" s="33"/>
      <c r="EE338" s="33"/>
      <c r="EF338" s="33"/>
      <c r="EG338" s="33"/>
      <c r="EH338" s="33"/>
      <c r="EI338" s="33"/>
      <c r="EJ338" s="33"/>
      <c r="EK338" s="33"/>
      <c r="EL338" s="33"/>
      <c r="EM338" s="33"/>
      <c r="EN338" s="33"/>
      <c r="EO338" s="33"/>
      <c r="EP338" s="33"/>
      <c r="EQ338" s="33"/>
      <c r="ER338" s="33"/>
      <c r="ES338" s="33"/>
      <c r="ET338" s="33"/>
      <c r="EU338" s="33"/>
      <c r="EV338" s="33"/>
      <c r="EW338" s="33"/>
      <c r="EX338" s="33"/>
      <c r="EY338" s="33"/>
      <c r="EZ338" s="33"/>
      <c r="FA338" s="33"/>
      <c r="FB338" s="33"/>
      <c r="FC338" s="33"/>
      <c r="FD338" s="33"/>
      <c r="FE338" s="33"/>
      <c r="FF338" s="33"/>
      <c r="FG338" s="33"/>
      <c r="FH338" s="33"/>
    </row>
    <row r="339">
      <c r="A339" s="30" t="s">
        <v>54</v>
      </c>
      <c r="B339" s="30" t="s">
        <v>64</v>
      </c>
      <c r="C339" s="31" t="str">
        <f>HYPERLINK("https://docs.google.com/spreadsheets/d/1FVNNDeiM30_azOvOAGthdwHhV8XRA3ya/edit?usp=share_link&amp;ouid=106501987799020758802&amp;rtpof=true&amp;sd=true", "Raw Delivered")</f>
        <v>Raw Delivered</v>
      </c>
      <c r="D339" s="12">
        <f t="shared" si="1"/>
        <v>5241.37617</v>
      </c>
      <c r="E339" s="13"/>
      <c r="F339" s="14">
        <f>HYPERLINK("https://docs.google.com/spreadsheets/d/1O3tXFZTbpXAdDfdOVzg9msiCK_DAdYg1", 518.146092708333)</f>
        <v>518.1460927</v>
      </c>
      <c r="G339" s="13"/>
      <c r="H339" s="14">
        <f>HYPERLINK("https://docs.google.com/spreadsheets/d/1m55z6XZc23_nB-ly5Z_KJMJZXOtNZHsw", 80.3677520833333)</f>
        <v>80.36775208</v>
      </c>
      <c r="I339" s="13"/>
      <c r="J339" s="14">
        <f>HYPERLINK("https://docs.google.com/spreadsheets/d/19xGgANXqg7_ZqFp9UNhzlT1BlD25qSDR", 799.89358125)</f>
        <v>799.8935813</v>
      </c>
      <c r="K339" s="13"/>
      <c r="L339" s="14">
        <f t="shared" ref="L339:L340" si="170">HYPERLINK("https://docs.google.com/spreadsheets/d/1MmtAxMFDTnzvFlvQdW6MUxTuoBAGZesC", 1126.07801249999)</f>
        <v>1126.078012</v>
      </c>
      <c r="M339" s="13"/>
      <c r="N339" s="14">
        <f>HYPERLINK("https://docs.google.com/spreadsheets/d/1zlt-vxt-e7-yQ8vGpOm4tVg0IcA838le", 2108.77344062499)</f>
        <v>2108.773441</v>
      </c>
      <c r="O339" s="13"/>
      <c r="P339" s="14">
        <f t="shared" ref="P339:P340" si="171">HYPERLINK("https://docs.google.com/spreadsheets/d/1qA1TLHfR5Cmau2z4jQXJrvcUtPwxa8U0", 241.631952083333)</f>
        <v>241.6319521</v>
      </c>
      <c r="Q339" s="13"/>
      <c r="R339" s="14">
        <f t="shared" ref="R339:R340" si="172">HYPERLINK("https://docs.google.com/spreadsheets/d/19ssKX1pZavUaZPAUUi4WJx9U6iJcCrax", 55.850534375)</f>
        <v>55.85053438</v>
      </c>
      <c r="S339" s="13"/>
      <c r="T339" s="14">
        <f t="shared" ref="T339:T340" si="173">HYPERLINK("https://docs.google.com/spreadsheets/d/1poyCq6mWrRmnzxNdsKv2V7LwrVeAYI_h", 310.634804166667)</f>
        <v>310.6348042</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row>
    <row r="340">
      <c r="A340" s="32" t="s">
        <v>54</v>
      </c>
      <c r="B340" s="32" t="s">
        <v>64</v>
      </c>
      <c r="C340" s="32" t="s">
        <v>9</v>
      </c>
      <c r="D340" s="16">
        <f t="shared" si="1"/>
        <v>1734.195303</v>
      </c>
      <c r="E340" s="17"/>
      <c r="F340" s="18" t="str">
        <f>HYPERLINK("https://docs.google.com/spreadsheets/d/1O3tXFZTbpXAdDfdOVzg9msiCK_DAdYg1", "RE-518.1460927083332")</f>
        <v>RE-518.1460927083332</v>
      </c>
      <c r="G340" s="17"/>
      <c r="H340" s="18" t="str">
        <f>HYPERLINK("https://docs.google.com/spreadsheets/d/1m55z6XZc23_nB-ly5Z_KJMJZXOtNZHsw", "RE-80.36775208333339")</f>
        <v>RE-80.36775208333339</v>
      </c>
      <c r="I340" s="17"/>
      <c r="J340" s="18" t="str">
        <f>HYPERLINK("https://docs.google.com/spreadsheets/d/19xGgANXqg7_ZqFp9UNhzlT1BlD25qSDR", "RE-799.8935812500008")</f>
        <v>RE-799.8935812500008</v>
      </c>
      <c r="K340" s="17"/>
      <c r="L340" s="18">
        <f t="shared" si="170"/>
        <v>1126.078012</v>
      </c>
      <c r="M340" s="17"/>
      <c r="N340" s="18" t="str">
        <f>HYPERLINK("https://docs.google.com/spreadsheets/d/1zlt-vxt-e7-yQ8vGpOm4tVg0IcA838le", "RE-2108.773440624997")</f>
        <v>RE-2108.773440624997</v>
      </c>
      <c r="O340" s="17"/>
      <c r="P340" s="18">
        <f t="shared" si="171"/>
        <v>241.6319521</v>
      </c>
      <c r="Q340" s="17"/>
      <c r="R340" s="18">
        <f t="shared" si="172"/>
        <v>55.85053438</v>
      </c>
      <c r="S340" s="17"/>
      <c r="T340" s="18">
        <f t="shared" si="173"/>
        <v>310.6348042</v>
      </c>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c r="DE340" s="17"/>
      <c r="DF340" s="17"/>
      <c r="DG340" s="17"/>
      <c r="DH340" s="17"/>
      <c r="DI340" s="17"/>
      <c r="DJ340" s="17"/>
      <c r="DK340" s="17"/>
      <c r="DL340" s="17"/>
      <c r="DM340" s="17"/>
      <c r="DN340" s="17"/>
      <c r="DO340" s="17"/>
      <c r="DP340" s="17"/>
      <c r="DQ340" s="17"/>
      <c r="DR340" s="17"/>
      <c r="DS340" s="17"/>
      <c r="DT340" s="17"/>
      <c r="DU340" s="17"/>
      <c r="DV340" s="17"/>
      <c r="DW340" s="17"/>
      <c r="DX340" s="17"/>
      <c r="DY340" s="17"/>
      <c r="DZ340" s="17"/>
      <c r="EA340" s="17"/>
      <c r="EB340" s="17"/>
      <c r="EC340" s="17"/>
      <c r="ED340" s="17"/>
      <c r="EE340" s="17"/>
      <c r="EF340" s="17"/>
      <c r="EG340" s="17"/>
      <c r="EH340" s="17"/>
      <c r="EI340" s="17"/>
      <c r="EJ340" s="17"/>
      <c r="EK340" s="17"/>
      <c r="EL340" s="17"/>
      <c r="EM340" s="17"/>
      <c r="EN340" s="17"/>
      <c r="EO340" s="17"/>
      <c r="EP340" s="17"/>
      <c r="EQ340" s="17"/>
      <c r="ER340" s="17"/>
      <c r="ES340" s="17"/>
      <c r="ET340" s="17"/>
      <c r="EU340" s="17"/>
      <c r="EV340" s="17"/>
      <c r="EW340" s="17"/>
      <c r="EX340" s="17"/>
      <c r="EY340" s="17"/>
      <c r="EZ340" s="17"/>
      <c r="FA340" s="17"/>
      <c r="FB340" s="17"/>
      <c r="FC340" s="17"/>
      <c r="FD340" s="17"/>
      <c r="FE340" s="17"/>
      <c r="FF340" s="17"/>
      <c r="FG340" s="17"/>
      <c r="FH340" s="17"/>
    </row>
    <row r="341">
      <c r="A341" s="32" t="s">
        <v>54</v>
      </c>
      <c r="B341" s="32" t="s">
        <v>64</v>
      </c>
      <c r="C341" s="32" t="s">
        <v>10</v>
      </c>
      <c r="D341" s="16">
        <f t="shared" si="1"/>
        <v>560.6579344</v>
      </c>
      <c r="E341" s="17"/>
      <c r="F341" s="17"/>
      <c r="G341" s="18">
        <f>HYPERLINK("https://docs.google.com/spreadsheets/d/1f5mtDGpvJjKMBIo498tPhyomfMMgTaqQ", 29.1380395833333)</f>
        <v>29.13803958</v>
      </c>
      <c r="H341" s="17"/>
      <c r="I341" s="18">
        <f>HYPERLINK("https://docs.google.com/spreadsheets/d/1PpSwqkUYvB1ZpLS1LcrPio6VL_v33Sy3", 4.29375208333333)</f>
        <v>4.293752083</v>
      </c>
      <c r="J341" s="17"/>
      <c r="K341" s="18">
        <f>HYPERLINK("https://docs.google.com/spreadsheets/d/1KMuAFGuW6Q9jgbmC7TYl-YIsal2DBMvf", 68.9924395833333)</f>
        <v>68.99243958</v>
      </c>
      <c r="L341" s="17"/>
      <c r="M341" s="18">
        <f>HYPERLINK("https://docs.google.com/spreadsheets/d/1YBWyaU496YsRV0kydNDlHadTbB3BOpnf", 42.0887364583333)</f>
        <v>42.08873646</v>
      </c>
      <c r="N341" s="17"/>
      <c r="O341" s="18">
        <f>HYPERLINK("https://docs.google.com/spreadsheets/d/1fhkzQov2Suhu2ZAFIUT-lOvcyD2U8LMn", 269.335061458333)</f>
        <v>269.3350615</v>
      </c>
      <c r="P341" s="17"/>
      <c r="Q341" s="18">
        <f>HYPERLINK("https://docs.google.com/spreadsheets/d/1MVXCIb_TPqnr0TTB1e5T7D0jrP-KK5H6", 118.4483875)</f>
        <v>118.4483875</v>
      </c>
      <c r="R341" s="17"/>
      <c r="S341" s="18">
        <f>HYPERLINK("https://docs.google.com/spreadsheets/d/1ieqF_lUg3ePl8wTlOcA822hM0FAecfS8", 2.78621770833333)</f>
        <v>2.786217708</v>
      </c>
      <c r="T341" s="17"/>
      <c r="U341" s="18">
        <f>HYPERLINK("https://docs.google.com/spreadsheets/d/1Ghcgo4EkORs5z5Vy_DuzO8cryLe2YSKL", 20.6667208333333)</f>
        <v>20.66672083</v>
      </c>
      <c r="V341" s="18">
        <f>HYPERLINK("https://docs.google.com/spreadsheets/d/1FMZea5HC2GZLttwF9Jz2GscG4TyFqxsE", 4.90857916666666)</f>
        <v>4.908579167</v>
      </c>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c r="DE341" s="17"/>
      <c r="DF341" s="17"/>
      <c r="DG341" s="17"/>
      <c r="DH341" s="17"/>
      <c r="DI341" s="17"/>
      <c r="DJ341" s="17"/>
      <c r="DK341" s="17"/>
      <c r="DL341" s="17"/>
      <c r="DM341" s="17"/>
      <c r="DN341" s="17"/>
      <c r="DO341" s="17"/>
      <c r="DP341" s="17"/>
      <c r="DQ341" s="17"/>
      <c r="DR341" s="17"/>
      <c r="DS341" s="17"/>
      <c r="DT341" s="17"/>
      <c r="DU341" s="17"/>
      <c r="DV341" s="17"/>
      <c r="DW341" s="17"/>
      <c r="DX341" s="17"/>
      <c r="DY341" s="17"/>
      <c r="DZ341" s="17"/>
      <c r="EA341" s="17"/>
      <c r="EB341" s="17"/>
      <c r="EC341" s="17"/>
      <c r="ED341" s="17"/>
      <c r="EE341" s="17"/>
      <c r="EF341" s="17"/>
      <c r="EG341" s="17"/>
      <c r="EH341" s="17"/>
      <c r="EI341" s="17"/>
      <c r="EJ341" s="17"/>
      <c r="EK341" s="17"/>
      <c r="EL341" s="17"/>
      <c r="EM341" s="17"/>
      <c r="EN341" s="17"/>
      <c r="EO341" s="17"/>
      <c r="EP341" s="17"/>
      <c r="EQ341" s="17"/>
      <c r="ER341" s="17"/>
      <c r="ES341" s="17"/>
      <c r="ET341" s="17"/>
      <c r="EU341" s="17"/>
      <c r="EV341" s="17"/>
      <c r="EW341" s="17"/>
      <c r="EX341" s="17"/>
      <c r="EY341" s="17"/>
      <c r="EZ341" s="17"/>
      <c r="FA341" s="17"/>
      <c r="FB341" s="17"/>
      <c r="FC341" s="17"/>
      <c r="FD341" s="17"/>
      <c r="FE341" s="17"/>
      <c r="FF341" s="17"/>
      <c r="FG341" s="17"/>
      <c r="FH341" s="17"/>
    </row>
    <row r="342">
      <c r="A342" s="32" t="s">
        <v>54</v>
      </c>
      <c r="B342" s="32" t="s">
        <v>64</v>
      </c>
      <c r="C342" s="32" t="s">
        <v>11</v>
      </c>
      <c r="D342" s="16">
        <f t="shared" si="1"/>
        <v>0</v>
      </c>
      <c r="E342" s="17"/>
      <c r="F342" s="17"/>
      <c r="G342" s="18" t="str">
        <f>HYPERLINK("https://docs.google.com/spreadsheets/d/1f5mtDGpvJjKMBIo498tPhyomfMMgTaqQ", "RE-29.138039583333335")</f>
        <v>RE-29.138039583333335</v>
      </c>
      <c r="H342" s="17"/>
      <c r="I342" s="18" t="str">
        <f>HYPERLINK("https://docs.google.com/spreadsheets/d/1PpSwqkUYvB1ZpLS1LcrPio6VL_v33Sy3", "RE-4.293752083333334")</f>
        <v>RE-4.293752083333334</v>
      </c>
      <c r="J342" s="17"/>
      <c r="K342" s="18" t="str">
        <f>HYPERLINK("https://docs.google.com/spreadsheets/d/1KMuAFGuW6Q9jgbmC7TYl-YIsal2DBMvf", "RE-68.99243958333332")</f>
        <v>RE-68.99243958333332</v>
      </c>
      <c r="L342" s="17"/>
      <c r="M342" s="18" t="str">
        <f>HYPERLINK("https://docs.google.com/spreadsheets/d/1YBWyaU496YsRV0kydNDlHadTbB3BOpnf", "RE-42.08873645833333")</f>
        <v>RE-42.08873645833333</v>
      </c>
      <c r="N342" s="17"/>
      <c r="O342" s="18" t="str">
        <f>HYPERLINK("https://docs.google.com/spreadsheets/d/1fhkzQov2Suhu2ZAFIUT-lOvcyD2U8LMn", "RE-269.33506145833354")</f>
        <v>RE-269.33506145833354</v>
      </c>
      <c r="P342" s="17"/>
      <c r="Q342" s="18" t="str">
        <f>HYPERLINK("https://docs.google.com/spreadsheets/d/1MVXCIb_TPqnr0TTB1e5T7D0jrP-KK5H6", "RE-118.44838750000011")</f>
        <v>RE-118.44838750000011</v>
      </c>
      <c r="R342" s="17"/>
      <c r="S342" s="18" t="str">
        <f>HYPERLINK("https://docs.google.com/spreadsheets/d/1ieqF_lUg3ePl8wTlOcA822hM0FAecfS8", "RE-2.7862177083333335")</f>
        <v>RE-2.7862177083333335</v>
      </c>
      <c r="T342" s="17"/>
      <c r="U342" s="18" t="str">
        <f>HYPERLINK("https://docs.google.com/spreadsheets/d/1Ghcgo4EkORs5z5Vy_DuzO8cryLe2YSKL", "RE-20.666720833333326")</f>
        <v>RE-20.666720833333326</v>
      </c>
      <c r="V342" s="18" t="str">
        <f>HYPERLINK("https://docs.google.com/spreadsheets/d/1FMZea5HC2GZLttwF9Jz2GscG4TyFqxsE", "RE-4.908579166666667")</f>
        <v>RE-4.908579166666667</v>
      </c>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c r="EJ342" s="17"/>
      <c r="EK342" s="17"/>
      <c r="EL342" s="17"/>
      <c r="EM342" s="17"/>
      <c r="EN342" s="17"/>
      <c r="EO342" s="17"/>
      <c r="EP342" s="17"/>
      <c r="EQ342" s="17"/>
      <c r="ER342" s="17"/>
      <c r="ES342" s="17"/>
      <c r="ET342" s="17"/>
      <c r="EU342" s="17"/>
      <c r="EV342" s="17"/>
      <c r="EW342" s="17"/>
      <c r="EX342" s="17"/>
      <c r="EY342" s="17"/>
      <c r="EZ342" s="17"/>
      <c r="FA342" s="17"/>
      <c r="FB342" s="17"/>
      <c r="FC342" s="17"/>
      <c r="FD342" s="17"/>
      <c r="FE342" s="17"/>
      <c r="FF342" s="17"/>
      <c r="FG342" s="17"/>
      <c r="FH342" s="17"/>
    </row>
    <row r="343">
      <c r="A343" s="32" t="s">
        <v>54</v>
      </c>
      <c r="B343" s="32" t="s">
        <v>64</v>
      </c>
      <c r="C343" s="32" t="s">
        <v>12</v>
      </c>
      <c r="D343" s="16">
        <f t="shared" si="1"/>
        <v>1628.54443</v>
      </c>
      <c r="E343" s="17"/>
      <c r="F343" s="18" t="str">
        <f>HYPERLINK("https://docs.google.com/spreadsheets/d/1jNBe60XZfNk6V87Jh_p5vB_b-0kF4F3p", "RE-440.4612520833334")</f>
        <v>RE-440.4612520833334</v>
      </c>
      <c r="G343" s="18" t="str">
        <f>HYPERLINK("https://docs.google.com/spreadsheets/d/15FfQSvYqyyhaSA7IS-ufmMgkV4kVRdQL", "RE-1.1157916666666665")</f>
        <v>RE-1.1157916666666665</v>
      </c>
      <c r="H343" s="18" t="str">
        <f>HYPERLINK("https://docs.google.com/spreadsheets/d/1KTRUOpFtLuz64YQ4SlRLpSTztAmFcxSQ", "RE-70.65081666666669")</f>
        <v>RE-70.65081666666669</v>
      </c>
      <c r="I343" s="18" t="str">
        <f>HYPERLINK("https://docs.google.com/spreadsheets/d/1Xeug-hv5Gqoq2bCifJo43YGecCcb3qUk", "RE-0.0")</f>
        <v>RE-0.0</v>
      </c>
      <c r="J343" s="18" t="str">
        <f>HYPERLINK("https://docs.google.com/spreadsheets/d/1OLAsPo9zdbUDaPe3vB_yjUcZiHLQygHy", "RE-662.7494104166668")</f>
        <v>RE-662.7494104166668</v>
      </c>
      <c r="K343" s="18" t="str">
        <f>HYPERLINK("https://docs.google.com/spreadsheets/d/1wf3mCB1F7N3dneoUKTM3f_YHB-MHp81x", "RE-3.2537104166666664")</f>
        <v>RE-3.2537104166666664</v>
      </c>
      <c r="L343" s="18">
        <f>HYPERLINK("https://docs.google.com/spreadsheets/d/1HK-H8hCXHBJcED6LGVslvGQiwEkTjEeB", 1053.80682916666)</f>
        <v>1053.806829</v>
      </c>
      <c r="M343" s="18" t="str">
        <f>HYPERLINK("https://docs.google.com/spreadsheets/d/1xxOfDY-Z-a9Pub8CuVroDqgTqARM_x9E", "RE-7.909283333333334")</f>
        <v>RE-7.909283333333334</v>
      </c>
      <c r="N343" s="18" t="str">
        <f>HYPERLINK("https://docs.google.com/spreadsheets/d/1QQrUGxRhJtkcoW5YZJR0mczr4UmOmT2_", "RE-1492.4721416666619")</f>
        <v>RE-1492.4721416666619</v>
      </c>
      <c r="O343" s="18" t="str">
        <f>HYPERLINK("https://docs.google.com/spreadsheets/d/1_j4K8WwrnrYLhF55Ot0VP1Pd-XwXNCuX", "RE-10.88733958333333")</f>
        <v>RE-10.88733958333333</v>
      </c>
      <c r="P343" s="18">
        <f>HYPERLINK("https://docs.google.com/spreadsheets/d/1HpFJp9wR16E-rgdVmuL5NCKPHkgTbE9t", 229.175362499999)</f>
        <v>229.1753625</v>
      </c>
      <c r="Q343" s="18" t="str">
        <f>HYPERLINK("https://docs.google.com/spreadsheets/d/11KPiVvEWBgD07ovUn3maiJQYSadSfONT", "RE-42.59101354166664")</f>
        <v>RE-42.59101354166664</v>
      </c>
      <c r="R343" s="18">
        <f>HYPERLINK("https://docs.google.com/spreadsheets/d/14H-buouSzuk_1T7fedPmKDQqb1MUcqQt", 49.8031614583333)</f>
        <v>49.80316146</v>
      </c>
      <c r="S343" s="18" t="str">
        <f>HYPERLINK("https://docs.google.com/spreadsheets/d/1kMblZHnA6ZyD1J_wyJ5exYkPwO_kFcW7", "RE-2.0749468749999997")</f>
        <v>RE-2.0749468749999997</v>
      </c>
      <c r="T343" s="18">
        <f>HYPERLINK("https://docs.google.com/spreadsheets/d/1icK5fWXvvfLb6K2taiuDkmuJQ081f4_J", 295.759077083333)</f>
        <v>295.7590771</v>
      </c>
      <c r="U343" s="18" t="str">
        <f>HYPERLINK("https://docs.google.com/spreadsheets/d/1hHYfX6d2WSPGrn5mWq4Oa-TQnxuc0dJR", "RE-12.104404166666667")</f>
        <v>RE-12.104404166666667</v>
      </c>
      <c r="V343" s="18" t="str">
        <f>HYPERLINK("https://docs.google.com/spreadsheets/d/1_9_4j4uL9ibzUQhL3xkuzHptHKIJeKZf", "RE-1.4987916666666665")</f>
        <v>RE-1.4987916666666665</v>
      </c>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c r="DE343" s="17"/>
      <c r="DF343" s="17"/>
      <c r="DG343" s="17"/>
      <c r="DH343" s="17"/>
      <c r="DI343" s="17"/>
      <c r="DJ343" s="17"/>
      <c r="DK343" s="17"/>
      <c r="DL343" s="17"/>
      <c r="DM343" s="17"/>
      <c r="DN343" s="17"/>
      <c r="DO343" s="17"/>
      <c r="DP343" s="17"/>
      <c r="DQ343" s="17"/>
      <c r="DR343" s="17"/>
      <c r="DS343" s="17"/>
      <c r="DT343" s="17"/>
      <c r="DU343" s="17"/>
      <c r="DV343" s="17"/>
      <c r="DW343" s="17"/>
      <c r="DX343" s="17"/>
      <c r="DY343" s="17"/>
      <c r="DZ343" s="17"/>
      <c r="EA343" s="17"/>
      <c r="EB343" s="17"/>
      <c r="EC343" s="17"/>
      <c r="ED343" s="17"/>
      <c r="EE343" s="17"/>
      <c r="EF343" s="17"/>
      <c r="EG343" s="17"/>
      <c r="EH343" s="17"/>
      <c r="EI343" s="17"/>
      <c r="EJ343" s="17"/>
      <c r="EK343" s="17"/>
      <c r="EL343" s="17"/>
      <c r="EM343" s="17"/>
      <c r="EN343" s="17"/>
      <c r="EO343" s="17"/>
      <c r="EP343" s="17"/>
      <c r="EQ343" s="17"/>
      <c r="ER343" s="17"/>
      <c r="ES343" s="17"/>
      <c r="ET343" s="17"/>
      <c r="EU343" s="17"/>
      <c r="EV343" s="17"/>
      <c r="EW343" s="17"/>
      <c r="EX343" s="17"/>
      <c r="EY343" s="17"/>
      <c r="EZ343" s="17"/>
      <c r="FA343" s="17"/>
      <c r="FB343" s="17"/>
      <c r="FC343" s="17"/>
      <c r="FD343" s="17"/>
      <c r="FE343" s="17"/>
      <c r="FF343" s="17"/>
      <c r="FG343" s="17"/>
      <c r="FH343" s="17"/>
    </row>
    <row r="344">
      <c r="A344" s="32" t="s">
        <v>54</v>
      </c>
      <c r="B344" s="32" t="s">
        <v>64</v>
      </c>
      <c r="C344" s="32" t="s">
        <v>13</v>
      </c>
      <c r="D344" s="16">
        <f t="shared" si="1"/>
        <v>1563.7592</v>
      </c>
      <c r="E344" s="17"/>
      <c r="F344" s="18" t="str">
        <f>HYPERLINK("https://docs.google.com/spreadsheets/d/1jSIhzgRBzDfQPYtoP8lfLdPgess5U5lm?usp=share_link", "RE-429.756")</f>
        <v>RE-429.756</v>
      </c>
      <c r="G344" s="18" t="str">
        <f>HYPERLINK("https://docs.google.com/spreadsheets/d/1ys20xB9d25G3m8b4TXTdxD0v1b9whP87?usp=share_link", "RE-1.1074")</f>
        <v>RE-1.1074</v>
      </c>
      <c r="H344" s="18" t="str">
        <f>HYPERLINK("https://docs.google.com/spreadsheets/d/1ONS3KJw-EMLcdTjVs0oyHuPKOPTKggmF?usp=share_link", "RE-68.8657")</f>
        <v>RE-68.8657</v>
      </c>
      <c r="I344" s="17"/>
      <c r="J344" s="18" t="str">
        <f>HYPERLINK("https://docs.google.com/spreadsheets/d/1hEkSEAXDzDg0HiSYoVudO7o8-w5_fG8o?usp=share_link", "RE-647.087")</f>
        <v>RE-647.087</v>
      </c>
      <c r="K344" s="18" t="str">
        <f>HYPERLINK("https://docs.google.com/spreadsheets/d/11wmYl6zFBhB5BsIyi0lYoll7FU8-gXGh?usp=share_link", "RE-3.18078")</f>
        <v>RE-3.18078</v>
      </c>
      <c r="L344" s="18">
        <f>HYPERLINK("https://docs.google.com/spreadsheets/d/1gxYnFn_I0pqJcKeJps1n4jBLp0rR6ft-?usp=share_link", 1012.65)</f>
        <v>1012.65</v>
      </c>
      <c r="M344" s="18" t="str">
        <f>HYPERLINK("https://docs.google.com/spreadsheets/d/1Rhn5LGQ7DhH5KnLP1_G-J3h4nq-fG_fM?usp=share_link", "RE-7.42752")</f>
        <v>RE-7.42752</v>
      </c>
      <c r="N344" s="18" t="str">
        <f>HYPERLINK("https://docs.google.com/spreadsheets/d/16zKClAhaji2lZGjyI0ZweQvNdrMb-JVa?usp=share_link", "RE-1435.01")</f>
        <v>RE-1435.01</v>
      </c>
      <c r="O344" s="18" t="str">
        <f>HYPERLINK("https://docs.google.com/spreadsheets/d/1zsTMJwRgehNi-e3CRksCDX7oA6VSuC7y?usp=share_link", "RE-10.4539")</f>
        <v>RE-10.4539</v>
      </c>
      <c r="P344" s="18">
        <f>HYPERLINK("https://docs.google.com/spreadsheets/d/1ODHWwHpI-eG7msOFt2DNHnyVhRBrkEDA?usp=share_link", 218.376)</f>
        <v>218.376</v>
      </c>
      <c r="Q344" s="18" t="str">
        <f>HYPERLINK("https://docs.google.com/spreadsheets/d/1LVVytzI2YKGEAVRJfcg4FqQIIcWpBabS?usp=share_link", "RE-40.9612")</f>
        <v>RE-40.9612</v>
      </c>
      <c r="R344" s="18">
        <f>HYPERLINK("https://docs.google.com/spreadsheets/d/1tRv4W2pgKdZsDmZdMNMKt9Exx3ov414G?usp=share_link", 47.7502)</f>
        <v>47.7502</v>
      </c>
      <c r="S344" s="18" t="str">
        <f>HYPERLINK("https://docs.google.com/spreadsheets/d/1BoQyC1a-0lXTu6ZTH3aRn8tyKpUzSdhS?usp=share_link", "RE-1.96402")</f>
        <v>RE-1.96402</v>
      </c>
      <c r="T344" s="18">
        <f>HYPERLINK("https://docs.google.com/spreadsheets/d/19y47Qn-PIGsKK_IRbAJjqki_hQoV5xOv?usp=share_link", 284.983)</f>
        <v>284.983</v>
      </c>
      <c r="U344" s="18" t="str">
        <f>HYPERLINK("https://docs.google.com/spreadsheets/d/1eZ6xRHYhKRattzcQXg7rIMl3gc-pD24R?usp=share_link", "RE-11.1642")</f>
        <v>RE-11.1642</v>
      </c>
      <c r="V344" s="18" t="str">
        <f>HYPERLINK("https://docs.google.com/spreadsheets/d/1sR6mtrHldFJ353okgEG6QpaRh402TWfg?usp=share_link", "RE-1.33173")</f>
        <v>RE-1.33173</v>
      </c>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c r="DE344" s="17"/>
      <c r="DF344" s="17"/>
      <c r="DG344" s="17"/>
      <c r="DH344" s="17"/>
      <c r="DI344" s="17"/>
      <c r="DJ344" s="17"/>
      <c r="DK344" s="17"/>
      <c r="DL344" s="17"/>
      <c r="DM344" s="17"/>
      <c r="DN344" s="17"/>
      <c r="DO344" s="17"/>
      <c r="DP344" s="17"/>
      <c r="DQ344" s="17"/>
      <c r="DR344" s="17"/>
      <c r="DS344" s="17"/>
      <c r="DT344" s="17"/>
      <c r="DU344" s="17"/>
      <c r="DV344" s="17"/>
      <c r="DW344" s="17"/>
      <c r="DX344" s="17"/>
      <c r="DY344" s="17"/>
      <c r="DZ344" s="17"/>
      <c r="EA344" s="17"/>
      <c r="EB344" s="17"/>
      <c r="EC344" s="17"/>
      <c r="ED344" s="17"/>
      <c r="EE344" s="17"/>
      <c r="EF344" s="17"/>
      <c r="EG344" s="17"/>
      <c r="EH344" s="17"/>
      <c r="EI344" s="17"/>
      <c r="EJ344" s="17"/>
      <c r="EK344" s="17"/>
      <c r="EL344" s="17"/>
      <c r="EM344" s="17"/>
      <c r="EN344" s="17"/>
      <c r="EO344" s="17"/>
      <c r="EP344" s="17"/>
      <c r="EQ344" s="17"/>
      <c r="ER344" s="17"/>
      <c r="ES344" s="17"/>
      <c r="ET344" s="17"/>
      <c r="EU344" s="17"/>
      <c r="EV344" s="17"/>
      <c r="EW344" s="17"/>
      <c r="EX344" s="17"/>
      <c r="EY344" s="17"/>
      <c r="EZ344" s="17"/>
      <c r="FA344" s="17"/>
      <c r="FB344" s="17"/>
      <c r="FC344" s="17"/>
      <c r="FD344" s="17"/>
      <c r="FE344" s="17"/>
      <c r="FF344" s="17"/>
      <c r="FG344" s="17"/>
      <c r="FH344" s="17"/>
    </row>
    <row r="345">
      <c r="A345" s="32" t="s">
        <v>54</v>
      </c>
      <c r="B345" s="32" t="s">
        <v>64</v>
      </c>
      <c r="C345" s="32" t="s">
        <v>14</v>
      </c>
      <c r="D345" s="16">
        <f t="shared" si="1"/>
        <v>1362.6266</v>
      </c>
      <c r="E345" s="17"/>
      <c r="F345" s="18" t="str">
        <f>HYPERLINK("https://docs.google.com/spreadsheets/d/1cXuGGxu9OmrEap1qXNoaFcNOrww-NhIA?usp=share_link", "RE-387.78")</f>
        <v>RE-387.78</v>
      </c>
      <c r="G345" s="18" t="str">
        <f>HYPERLINK("https://docs.google.com/spreadsheets/d/13y_RkEJf96trN-82vI31pLL-eFjhObg3?usp=share_link", "RE-1.1074")</f>
        <v>RE-1.1074</v>
      </c>
      <c r="H345" s="18" t="str">
        <f>HYPERLINK("https://docs.google.com/spreadsheets/d/1a52CRHBWk9kwO_CYhTcW4MqhV88nUmzw?usp=share_link", "RE-62.1997")</f>
        <v>RE-62.1997</v>
      </c>
      <c r="I345" s="17"/>
      <c r="J345" s="18" t="str">
        <f>HYPERLINK("https://docs.google.com/spreadsheets/d/1b4HVo7i6lNsdBjpIizYhGm7LvrPQQlLH?usp=share_link", "RE-589.52")</f>
        <v>RE-589.52</v>
      </c>
      <c r="K345" s="18" t="str">
        <f>HYPERLINK("https://docs.google.com/spreadsheets/d/17DFhDK4DjSL2ZhXcKhrPdhyh8O155CuN?usp=share_link", "RE-2.92757")</f>
        <v>RE-2.92757</v>
      </c>
      <c r="L345" s="18">
        <f>HYPERLINK("https://docs.google.com/spreadsheets/d/1JGMBE8QXGKRLGONi50HANcoAVmUZPF6u?usp=share_link", 896.578)</f>
        <v>896.578</v>
      </c>
      <c r="M345" s="18" t="str">
        <f>HYPERLINK("https://docs.google.com/spreadsheets/d/1AmAQUCpP_Dd7cN00KPUnP1LNLuyjsDdE?usp=share_link", "RE-6.89032")</f>
        <v>RE-6.89032</v>
      </c>
      <c r="N345" s="18" t="str">
        <f>HYPERLINK("https://docs.google.com/spreadsheets/d/1osQwuUlQvWartBSQvKkjaXzZSMbbSrgB?usp=share_link", "RE-1267.17")</f>
        <v>RE-1267.17</v>
      </c>
      <c r="O345" s="18" t="str">
        <f>HYPERLINK("https://docs.google.com/spreadsheets/d/1G37ANH4If8CMku65lxGk4MKptZDDlF0p?usp=share_link", "RE-9.4868")</f>
        <v>RE-9.4868</v>
      </c>
      <c r="P345" s="18">
        <f>HYPERLINK("https://docs.google.com/spreadsheets/d/1eXJ5P27fV0i-U1BKo0DymbP1kDyMEpFK?usp=share_link", 179.34)</f>
        <v>179.34</v>
      </c>
      <c r="Q345" s="18" t="str">
        <f>HYPERLINK("https://docs.google.com/spreadsheets/d/1FRD4WitGB-pqeAJrDJ0CaMuMaQjFh7ic?usp=share_link", "RE-34.1442")</f>
        <v>RE-34.1442</v>
      </c>
      <c r="R345" s="18">
        <f>HYPERLINK("https://docs.google.com/spreadsheets/d/1ej_GqK1PJfbHoQcSwt6KJ7QG3wBLPyB4?usp=share_link", 41.5926)</f>
        <v>41.5926</v>
      </c>
      <c r="S345" s="18" t="str">
        <f>HYPERLINK("https://docs.google.com/spreadsheets/d/1p6CthiUgxUJZOc_bM0T068HYxQ-CdS9t?usp=share_link", "RE-1.96402")</f>
        <v>RE-1.96402</v>
      </c>
      <c r="T345" s="18">
        <f>HYPERLINK("https://docs.google.com/spreadsheets/d/1fXKN1InoaI9bHdefb8fuMWHsuvmkkgl8?usp=share_link", 245.116)</f>
        <v>245.116</v>
      </c>
      <c r="U345" s="18" t="str">
        <f>HYPERLINK("https://docs.google.com/spreadsheets/d/1QRgl6X14KS6VcCW3r81BW8Asda5K-Vxu?usp=share_link", "RE-9.68568")</f>
        <v>RE-9.68568</v>
      </c>
      <c r="V345" s="18" t="str">
        <f>HYPERLINK("https://docs.google.com/spreadsheets/d/179jXLlZ_kiYnKMzWat851C9bxcPdlaA6?usp=share_link", "RE-1.33173")</f>
        <v>RE-1.33173</v>
      </c>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c r="DE345" s="17"/>
      <c r="DF345" s="17"/>
      <c r="DG345" s="17"/>
      <c r="DH345" s="17"/>
      <c r="DI345" s="17"/>
      <c r="DJ345" s="17"/>
      <c r="DK345" s="17"/>
      <c r="DL345" s="17"/>
      <c r="DM345" s="17"/>
      <c r="DN345" s="17"/>
      <c r="DO345" s="17"/>
      <c r="DP345" s="17"/>
      <c r="DQ345" s="17"/>
      <c r="DR345" s="17"/>
      <c r="DS345" s="17"/>
      <c r="DT345" s="17"/>
      <c r="DU345" s="17"/>
      <c r="DV345" s="17"/>
      <c r="DW345" s="17"/>
      <c r="DX345" s="17"/>
      <c r="DY345" s="17"/>
      <c r="DZ345" s="17"/>
      <c r="EA345" s="17"/>
      <c r="EB345" s="17"/>
      <c r="EC345" s="17"/>
      <c r="ED345" s="17"/>
      <c r="EE345" s="17"/>
      <c r="EF345" s="17"/>
      <c r="EG345" s="17"/>
      <c r="EH345" s="17"/>
      <c r="EI345" s="17"/>
      <c r="EJ345" s="17"/>
      <c r="EK345" s="17"/>
      <c r="EL345" s="17"/>
      <c r="EM345" s="17"/>
      <c r="EN345" s="17"/>
      <c r="EO345" s="17"/>
      <c r="EP345" s="17"/>
      <c r="EQ345" s="17"/>
      <c r="ER345" s="17"/>
      <c r="ES345" s="17"/>
      <c r="ET345" s="17"/>
      <c r="EU345" s="17"/>
      <c r="EV345" s="17"/>
      <c r="EW345" s="17"/>
      <c r="EX345" s="17"/>
      <c r="EY345" s="17"/>
      <c r="EZ345" s="17"/>
      <c r="FA345" s="17"/>
      <c r="FB345" s="17"/>
      <c r="FC345" s="17"/>
      <c r="FD345" s="17"/>
      <c r="FE345" s="17"/>
      <c r="FF345" s="17"/>
      <c r="FG345" s="17"/>
      <c r="FH345" s="17"/>
    </row>
    <row r="346">
      <c r="A346" s="27" t="s">
        <v>54</v>
      </c>
      <c r="B346" s="27" t="s">
        <v>64</v>
      </c>
      <c r="C346" s="27" t="s">
        <v>15</v>
      </c>
      <c r="D346" s="28">
        <f t="shared" si="1"/>
        <v>1563.7592</v>
      </c>
      <c r="E346" s="33"/>
      <c r="F346" s="34" t="str">
        <f>HYPERLINK("https://docs.google.com/spreadsheets/d/1nNb_k_86xiINaNWAPfAeZrPM6jc98YRN?usp=share_link", "RE-428.401")</f>
        <v>RE-428.401</v>
      </c>
      <c r="G346" s="34" t="str">
        <f>HYPERLINK("https://docs.google.com/spreadsheets/d/1yz8Blwbd0LBLTJE6GvQPfKvaiLE1Obsq?usp=share_link", "RE-1.1074")</f>
        <v>RE-1.1074</v>
      </c>
      <c r="H346" s="34" t="str">
        <f>HYPERLINK("https://docs.google.com/spreadsheets/d/1rw3enDMIP75hjyUHnCaeqdtVbg787uQn?usp=share_link", "RE-68.8657")</f>
        <v>RE-68.8657</v>
      </c>
      <c r="I346" s="33"/>
      <c r="J346" s="34" t="str">
        <f>HYPERLINK("https://docs.google.com/spreadsheets/d/1m6q_VsH3Bckj1D1lt5ReJcy2EfODmL0y?usp=share_link", "RE-647.087")</f>
        <v>RE-647.087</v>
      </c>
      <c r="K346" s="34" t="str">
        <f>HYPERLINK("https://docs.google.com/spreadsheets/d/1phiZPxbzTPOjkayVLK0F4uXGnNv54Rjw?usp=share_link", "RE-3.18078")</f>
        <v>RE-3.18078</v>
      </c>
      <c r="L346" s="34">
        <f>HYPERLINK("https://docs.google.com/spreadsheets/d/1g2f4Do--fDINDX6SNi2Nks3pvygUYCzM?usp=share_link", 1012.65)</f>
        <v>1012.65</v>
      </c>
      <c r="M346" s="34" t="str">
        <f>HYPERLINK("https://docs.google.com/spreadsheets/d/1DEozr5fDb_4JfbwBX3cDvrU4gPFAtDQw?usp=share_link", "RE-7.42752")</f>
        <v>RE-7.42752</v>
      </c>
      <c r="N346" s="34" t="str">
        <f>HYPERLINK("https://docs.google.com/spreadsheets/d/1pIRF1ni2KVpN7QP_B6gr6XF4Mh22oAf8?usp=share_link", "RE-1434.98")</f>
        <v>RE-1434.98</v>
      </c>
      <c r="O346" s="34" t="str">
        <f>HYPERLINK("https://docs.google.com/spreadsheets/d/1fNkSKrw8pmMjUocFjKoNyl5DL0n640r5?usp=share_link", "RE-10.4539")</f>
        <v>RE-10.4539</v>
      </c>
      <c r="P346" s="34">
        <f>HYPERLINK("https://docs.google.com/spreadsheets/d/1zRxMGmqL1vegw4tJ9jUSBawymWAM1haZ?usp=share_link", 218.376)</f>
        <v>218.376</v>
      </c>
      <c r="Q346" s="34" t="str">
        <f>HYPERLINK("https://docs.google.com/spreadsheets/d/17HYHTzaS8JXPDMk_d5bMi8vvCZpKT226?usp=share_link", "RE-40.9612")</f>
        <v>RE-40.9612</v>
      </c>
      <c r="R346" s="34">
        <f>HYPERLINK("https://docs.google.com/spreadsheets/d/1y7w67EZMBrPj_7keRDg0VUZPUSF36j3B?usp=share_link", 47.7502)</f>
        <v>47.7502</v>
      </c>
      <c r="S346" s="34" t="str">
        <f>HYPERLINK("https://docs.google.com/spreadsheets/d/1Djqcma-MwbSW60GSkBXY2yg8vjKvrm97?usp=share_link", "RE-1.96402")</f>
        <v>RE-1.96402</v>
      </c>
      <c r="T346" s="34">
        <f>HYPERLINK("https://docs.google.com/spreadsheets/d/1QQ12NqDq3x-UXEncPqUQxZyQUAPvxT5Q?usp=share_link", 284.983)</f>
        <v>284.983</v>
      </c>
      <c r="U346" s="34" t="str">
        <f>HYPERLINK("https://docs.google.com/spreadsheets/d/19IBXcVcmLdwU0uZ4RicAOVK1jwbR-ydM?usp=share_link", "RE-11.1642")</f>
        <v>RE-11.1642</v>
      </c>
      <c r="V346" s="34" t="str">
        <f>HYPERLINK("https://docs.google.com/spreadsheets/d/1Bm1EMYSVIfJvgN-vs0pHMFLkldaT1ci6?usp=share_link", "RE-1.33173")</f>
        <v>RE-1.33173</v>
      </c>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c r="BA346" s="33"/>
      <c r="BB346" s="33"/>
      <c r="BC346" s="33"/>
      <c r="BD346" s="33"/>
      <c r="BE346" s="33"/>
      <c r="BF346" s="33"/>
      <c r="BG346" s="33"/>
      <c r="BH346" s="33"/>
      <c r="BI346" s="33"/>
      <c r="BJ346" s="33"/>
      <c r="BK346" s="33"/>
      <c r="BL346" s="33"/>
      <c r="BM346" s="33"/>
      <c r="BN346" s="33"/>
      <c r="BO346" s="33"/>
      <c r="BP346" s="33"/>
      <c r="BQ346" s="33"/>
      <c r="BR346" s="33"/>
      <c r="BS346" s="33"/>
      <c r="BT346" s="33"/>
      <c r="BU346" s="33"/>
      <c r="BV346" s="33"/>
      <c r="BW346" s="33"/>
      <c r="BX346" s="33"/>
      <c r="BY346" s="33"/>
      <c r="BZ346" s="33"/>
      <c r="CA346" s="33"/>
      <c r="CB346" s="33"/>
      <c r="CC346" s="33"/>
      <c r="CD346" s="33"/>
      <c r="CE346" s="33"/>
      <c r="CF346" s="33"/>
      <c r="CG346" s="33"/>
      <c r="CH346" s="33"/>
      <c r="CI346" s="33"/>
      <c r="CJ346" s="33"/>
      <c r="CK346" s="33"/>
      <c r="CL346" s="33"/>
      <c r="CM346" s="33"/>
      <c r="CN346" s="33"/>
      <c r="CO346" s="33"/>
      <c r="CP346" s="33"/>
      <c r="CQ346" s="33"/>
      <c r="CR346" s="33"/>
      <c r="CS346" s="33"/>
      <c r="CT346" s="33"/>
      <c r="CU346" s="33"/>
      <c r="CV346" s="33"/>
      <c r="CW346" s="33"/>
      <c r="CX346" s="33"/>
      <c r="CY346" s="33"/>
      <c r="CZ346" s="33"/>
      <c r="DA346" s="33"/>
      <c r="DB346" s="33"/>
      <c r="DC346" s="33"/>
      <c r="DD346" s="33"/>
      <c r="DE346" s="33"/>
      <c r="DF346" s="33"/>
      <c r="DG346" s="33"/>
      <c r="DH346" s="33"/>
      <c r="DI346" s="33"/>
      <c r="DJ346" s="33"/>
      <c r="DK346" s="33"/>
      <c r="DL346" s="33"/>
      <c r="DM346" s="33"/>
      <c r="DN346" s="33"/>
      <c r="DO346" s="33"/>
      <c r="DP346" s="33"/>
      <c r="DQ346" s="33"/>
      <c r="DR346" s="33"/>
      <c r="DS346" s="33"/>
      <c r="DT346" s="33"/>
      <c r="DU346" s="33"/>
      <c r="DV346" s="33"/>
      <c r="DW346" s="33"/>
      <c r="DX346" s="33"/>
      <c r="DY346" s="33"/>
      <c r="DZ346" s="33"/>
      <c r="EA346" s="33"/>
      <c r="EB346" s="33"/>
      <c r="EC346" s="33"/>
      <c r="ED346" s="33"/>
      <c r="EE346" s="33"/>
      <c r="EF346" s="33"/>
      <c r="EG346" s="33"/>
      <c r="EH346" s="33"/>
      <c r="EI346" s="33"/>
      <c r="EJ346" s="33"/>
      <c r="EK346" s="33"/>
      <c r="EL346" s="33"/>
      <c r="EM346" s="33"/>
      <c r="EN346" s="33"/>
      <c r="EO346" s="33"/>
      <c r="EP346" s="33"/>
      <c r="EQ346" s="33"/>
      <c r="ER346" s="33"/>
      <c r="ES346" s="33"/>
      <c r="ET346" s="33"/>
      <c r="EU346" s="33"/>
      <c r="EV346" s="33"/>
      <c r="EW346" s="33"/>
      <c r="EX346" s="33"/>
      <c r="EY346" s="33"/>
      <c r="EZ346" s="33"/>
      <c r="FA346" s="33"/>
      <c r="FB346" s="33"/>
      <c r="FC346" s="33"/>
      <c r="FD346" s="33"/>
      <c r="FE346" s="33"/>
      <c r="FF346" s="33"/>
      <c r="FG346" s="33"/>
      <c r="FH346" s="33"/>
    </row>
    <row r="347">
      <c r="A347" s="30" t="s">
        <v>54</v>
      </c>
      <c r="B347" s="30" t="s">
        <v>65</v>
      </c>
      <c r="C347" s="31" t="str">
        <f>HYPERLINK("https://docs.google.com/spreadsheets/d/1ukv0_urm5BtiTnsm9GX2qnGYV1bNrbGI/edit?usp=share_link&amp;ouid=106501987799020758802&amp;rtpof=true&amp;sd=true", "Raw Delivered")</f>
        <v>Raw Delivered</v>
      </c>
      <c r="D347" s="12">
        <f t="shared" si="1"/>
        <v>4966.533109</v>
      </c>
      <c r="E347" s="13"/>
      <c r="F347" s="14">
        <f>HYPERLINK("https://docs.google.com/spreadsheets/d/1O2d6p5FtGnj4W9xurpvTBk-IEK3T1k8q", 789.873269791665)</f>
        <v>789.8732698</v>
      </c>
      <c r="G347" s="13"/>
      <c r="H347" s="14">
        <f>HYPERLINK("https://docs.google.com/spreadsheets/d/1darEc78JQ8gZ8vyTlLfIfmmoMs2iat3l", 24.8409520833333)</f>
        <v>24.84095208</v>
      </c>
      <c r="I347" s="13"/>
      <c r="J347" s="14">
        <f>HYPERLINK("https://docs.google.com/spreadsheets/d/1OvTBVtMDxPon4o0L3aJLKWC07J3llMln", 428.938155208334)</f>
        <v>428.9381552</v>
      </c>
      <c r="K347" s="13"/>
      <c r="L347" s="14">
        <f t="shared" ref="L347:L348" si="174">HYPERLINK("https://docs.google.com/spreadsheets/d/1vxUCg1hglNp22hhPV8FsMkaOnB9mJDLA", 1254.11208541666)</f>
        <v>1254.112085</v>
      </c>
      <c r="M347" s="13"/>
      <c r="N347" s="14">
        <f>HYPERLINK("https://docs.google.com/spreadsheets/d/1z4NTt8G30TEPwMrsLmvEAXJcsWFPDnZ1", 1863.19410104165)</f>
        <v>1863.194101</v>
      </c>
      <c r="O347" s="13"/>
      <c r="P347" s="14">
        <f t="shared" ref="P347:P348" si="175">HYPERLINK("https://docs.google.com/spreadsheets/d/1ZEIFguiZgHQCkZw6H-J8M0F_-8F06eHe", 356.281014583333)</f>
        <v>356.2810146</v>
      </c>
      <c r="Q347" s="13"/>
      <c r="R347" s="14">
        <f t="shared" ref="R347:R348" si="176">HYPERLINK("https://docs.google.com/spreadsheets/d/17H3F0YGPCJjEqmkJ5J4unGy1AEdJf8hd", 69.5457541666666)</f>
        <v>69.54575417</v>
      </c>
      <c r="S347" s="13"/>
      <c r="T347" s="14">
        <f t="shared" ref="T347:T348" si="177">HYPERLINK("https://docs.google.com/spreadsheets/d/1AQC6ldwpabw3QD6gztNzxMplGWgsV8P3", 179.747777083333)</f>
        <v>179.7477771</v>
      </c>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row>
    <row r="348">
      <c r="A348" s="32" t="s">
        <v>54</v>
      </c>
      <c r="B348" s="32" t="s">
        <v>65</v>
      </c>
      <c r="C348" s="32" t="s">
        <v>9</v>
      </c>
      <c r="D348" s="16">
        <f t="shared" si="1"/>
        <v>1859.686631</v>
      </c>
      <c r="E348" s="17"/>
      <c r="F348" s="18" t="str">
        <f>HYPERLINK("https://docs.google.com/spreadsheets/d/1O2d6p5FtGnj4W9xurpvTBk-IEK3T1k8q", "RE-789.8732697916658")</f>
        <v>RE-789.8732697916658</v>
      </c>
      <c r="G348" s="17"/>
      <c r="H348" s="18" t="str">
        <f>HYPERLINK("https://docs.google.com/spreadsheets/d/1darEc78JQ8gZ8vyTlLfIfmmoMs2iat3l", "RE-24.84095208333333")</f>
        <v>RE-24.84095208333333</v>
      </c>
      <c r="I348" s="17"/>
      <c r="J348" s="18" t="str">
        <f>HYPERLINK("https://docs.google.com/spreadsheets/d/1OvTBVtMDxPon4o0L3aJLKWC07J3llMln", "RE-428.9381552083341")</f>
        <v>RE-428.9381552083341</v>
      </c>
      <c r="K348" s="17"/>
      <c r="L348" s="18">
        <f t="shared" si="174"/>
        <v>1254.112085</v>
      </c>
      <c r="M348" s="17"/>
      <c r="N348" s="18" t="str">
        <f>HYPERLINK("https://docs.google.com/spreadsheets/d/1z4NTt8G30TEPwMrsLmvEAXJcsWFPDnZ1", "RE-1863.1941010416588")</f>
        <v>RE-1863.1941010416588</v>
      </c>
      <c r="O348" s="17"/>
      <c r="P348" s="18">
        <f t="shared" si="175"/>
        <v>356.2810146</v>
      </c>
      <c r="Q348" s="17"/>
      <c r="R348" s="18">
        <f t="shared" si="176"/>
        <v>69.54575417</v>
      </c>
      <c r="S348" s="17"/>
      <c r="T348" s="18">
        <f t="shared" si="177"/>
        <v>179.7477771</v>
      </c>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c r="DE348" s="17"/>
      <c r="DF348" s="17"/>
      <c r="DG348" s="17"/>
      <c r="DH348" s="17"/>
      <c r="DI348" s="17"/>
      <c r="DJ348" s="17"/>
      <c r="DK348" s="17"/>
      <c r="DL348" s="17"/>
      <c r="DM348" s="17"/>
      <c r="DN348" s="17"/>
      <c r="DO348" s="17"/>
      <c r="DP348" s="17"/>
      <c r="DQ348" s="17"/>
      <c r="DR348" s="17"/>
      <c r="DS348" s="17"/>
      <c r="DT348" s="17"/>
      <c r="DU348" s="17"/>
      <c r="DV348" s="17"/>
      <c r="DW348" s="17"/>
      <c r="DX348" s="17"/>
      <c r="DY348" s="17"/>
      <c r="DZ348" s="17"/>
      <c r="EA348" s="17"/>
      <c r="EB348" s="17"/>
      <c r="EC348" s="17"/>
      <c r="ED348" s="17"/>
      <c r="EE348" s="17"/>
      <c r="EF348" s="17"/>
      <c r="EG348" s="17"/>
      <c r="EH348" s="17"/>
      <c r="EI348" s="17"/>
      <c r="EJ348" s="17"/>
      <c r="EK348" s="17"/>
      <c r="EL348" s="17"/>
      <c r="EM348" s="17"/>
      <c r="EN348" s="17"/>
      <c r="EO348" s="17"/>
      <c r="EP348" s="17"/>
      <c r="EQ348" s="17"/>
      <c r="ER348" s="17"/>
      <c r="ES348" s="17"/>
      <c r="ET348" s="17"/>
      <c r="EU348" s="17"/>
      <c r="EV348" s="17"/>
      <c r="EW348" s="17"/>
      <c r="EX348" s="17"/>
      <c r="EY348" s="17"/>
      <c r="EZ348" s="17"/>
      <c r="FA348" s="17"/>
      <c r="FB348" s="17"/>
      <c r="FC348" s="17"/>
      <c r="FD348" s="17"/>
      <c r="FE348" s="17"/>
      <c r="FF348" s="17"/>
      <c r="FG348" s="17"/>
      <c r="FH348" s="17"/>
    </row>
    <row r="349">
      <c r="A349" s="32" t="s">
        <v>54</v>
      </c>
      <c r="B349" s="32" t="s">
        <v>65</v>
      </c>
      <c r="C349" s="32" t="s">
        <v>10</v>
      </c>
      <c r="D349" s="16">
        <f t="shared" si="1"/>
        <v>477.5081135</v>
      </c>
      <c r="E349" s="17"/>
      <c r="F349" s="17"/>
      <c r="G349" s="18">
        <f>HYPERLINK("https://docs.google.com/spreadsheets/d/1akVhacerpTSSQe6p-N9sSoxxKvn_IvVR", 62.3047458333333)</f>
        <v>62.30474583</v>
      </c>
      <c r="H349" s="17"/>
      <c r="I349" s="18">
        <f>HYPERLINK("https://docs.google.com/spreadsheets/d/1718E_K1S4L9wObBlhKgJXg5D6pwfL2rY", 13.5815604166666)</f>
        <v>13.58156042</v>
      </c>
      <c r="J349" s="17"/>
      <c r="K349" s="18">
        <f>HYPERLINK("https://docs.google.com/spreadsheets/d/1Lwn6mVQJQjqT9jPgflKbNJviZChUakWk", 25.9398416666666)</f>
        <v>25.93984167</v>
      </c>
      <c r="L349" s="17"/>
      <c r="M349" s="18">
        <f>HYPERLINK("https://docs.google.com/spreadsheets/d/1Kn18VUydhZNO_TKBJ2hdaWH3wPl3jLAH", 46.8166635416667)</f>
        <v>46.81666354</v>
      </c>
      <c r="N349" s="17"/>
      <c r="O349" s="18">
        <f>HYPERLINK("https://docs.google.com/spreadsheets/d/1Rx_lQHz0pUXY40H7oFw57z3EzxsIiFv8", 212.403376041666)</f>
        <v>212.403376</v>
      </c>
      <c r="P349" s="17"/>
      <c r="Q349" s="18">
        <f>HYPERLINK("https://docs.google.com/spreadsheets/d/1bk8GhlcV6QmwrTRUgi7wdAQUF3DFI7z0", 86.7209770833333)</f>
        <v>86.72097708</v>
      </c>
      <c r="R349" s="17"/>
      <c r="S349" s="18">
        <f>HYPERLINK("https://docs.google.com/spreadsheets/d/1NEAYrgrOvK-42laNg37x99G1vpmrlzmf", 17.0455354166666)</f>
        <v>17.04553542</v>
      </c>
      <c r="T349" s="17"/>
      <c r="U349" s="18">
        <f>HYPERLINK("https://docs.google.com/spreadsheets/d/1kLessCJZBwHlxGETqK17GUCPKcGrvatJ", 9.77600312499999)</f>
        <v>9.776003125</v>
      </c>
      <c r="V349" s="18">
        <f>HYPERLINK("https://docs.google.com/spreadsheets/d/1gXwwsQ747BM29UF5fiCrhmVl5YOcu_Sd", 2.91941041666666)</f>
        <v>2.919410417</v>
      </c>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O349" s="17"/>
      <c r="DP349" s="17"/>
      <c r="DQ349" s="17"/>
      <c r="DR349" s="17"/>
      <c r="DS349" s="17"/>
      <c r="DT349" s="17"/>
      <c r="DU349" s="17"/>
      <c r="DV349" s="17"/>
      <c r="DW349" s="17"/>
      <c r="DX349" s="17"/>
      <c r="DY349" s="17"/>
      <c r="DZ349" s="17"/>
      <c r="EA349" s="17"/>
      <c r="EB349" s="17"/>
      <c r="EC349" s="17"/>
      <c r="ED349" s="17"/>
      <c r="EE349" s="17"/>
      <c r="EF349" s="17"/>
      <c r="EG349" s="17"/>
      <c r="EH349" s="17"/>
      <c r="EI349" s="17"/>
      <c r="EJ349" s="17"/>
      <c r="EK349" s="17"/>
      <c r="EL349" s="17"/>
      <c r="EM349" s="17"/>
      <c r="EN349" s="17"/>
      <c r="EO349" s="17"/>
      <c r="EP349" s="17"/>
      <c r="EQ349" s="17"/>
      <c r="ER349" s="17"/>
      <c r="ES349" s="17"/>
      <c r="ET349" s="17"/>
      <c r="EU349" s="17"/>
      <c r="EV349" s="17"/>
      <c r="EW349" s="17"/>
      <c r="EX349" s="17"/>
      <c r="EY349" s="17"/>
      <c r="EZ349" s="17"/>
      <c r="FA349" s="17"/>
      <c r="FB349" s="17"/>
      <c r="FC349" s="17"/>
      <c r="FD349" s="17"/>
      <c r="FE349" s="17"/>
      <c r="FF349" s="17"/>
      <c r="FG349" s="17"/>
      <c r="FH349" s="17"/>
    </row>
    <row r="350">
      <c r="A350" s="32" t="s">
        <v>54</v>
      </c>
      <c r="B350" s="32" t="s">
        <v>65</v>
      </c>
      <c r="C350" s="32" t="s">
        <v>11</v>
      </c>
      <c r="D350" s="16">
        <f t="shared" si="1"/>
        <v>0</v>
      </c>
      <c r="E350" s="17"/>
      <c r="F350" s="17"/>
      <c r="G350" s="18" t="str">
        <f>HYPERLINK("https://docs.google.com/spreadsheets/d/1akVhacerpTSSQe6p-N9sSoxxKvn_IvVR", "RE-62.304745833333314")</f>
        <v>RE-62.304745833333314</v>
      </c>
      <c r="H350" s="17"/>
      <c r="I350" s="18" t="str">
        <f>HYPERLINK("https://docs.google.com/spreadsheets/d/1718E_K1S4L9wObBlhKgJXg5D6pwfL2rY", "RE-13.581560416666669")</f>
        <v>RE-13.581560416666669</v>
      </c>
      <c r="J350" s="17"/>
      <c r="K350" s="18" t="str">
        <f>HYPERLINK("https://docs.google.com/spreadsheets/d/1Lwn6mVQJQjqT9jPgflKbNJviZChUakWk", "RE-25.939841666666663")</f>
        <v>RE-25.939841666666663</v>
      </c>
      <c r="L350" s="17"/>
      <c r="M350" s="18" t="str">
        <f>HYPERLINK("https://docs.google.com/spreadsheets/d/1Kn18VUydhZNO_TKBJ2hdaWH3wPl3jLAH", "RE-46.816663541666706")</f>
        <v>RE-46.816663541666706</v>
      </c>
      <c r="N350" s="17"/>
      <c r="O350" s="18" t="str">
        <f>HYPERLINK("https://docs.google.com/spreadsheets/d/1Rx_lQHz0pUXY40H7oFw57z3EzxsIiFv8", "RE-212.4033760416668")</f>
        <v>RE-212.4033760416668</v>
      </c>
      <c r="P350" s="17"/>
      <c r="Q350" s="18" t="str">
        <f>HYPERLINK("https://docs.google.com/spreadsheets/d/1bk8GhlcV6QmwrTRUgi7wdAQUF3DFI7z0", "RE-86.72097708333335")</f>
        <v>RE-86.72097708333335</v>
      </c>
      <c r="R350" s="17"/>
      <c r="S350" s="18" t="str">
        <f>HYPERLINK("https://docs.google.com/spreadsheets/d/1NEAYrgrOvK-42laNg37x99G1vpmrlzmf", "RE-17.04553541666666")</f>
        <v>RE-17.04553541666666</v>
      </c>
      <c r="T350" s="17"/>
      <c r="U350" s="18" t="str">
        <f>HYPERLINK("https://docs.google.com/spreadsheets/d/1kLessCJZBwHlxGETqK17GUCPKcGrvatJ", "RE-9.776003124999999")</f>
        <v>RE-9.776003124999999</v>
      </c>
      <c r="V350" s="18" t="str">
        <f>HYPERLINK("https://docs.google.com/spreadsheets/d/1gXwwsQ747BM29UF5fiCrhmVl5YOcu_Sd", "RE-2.9194104166666666")</f>
        <v>RE-2.9194104166666666</v>
      </c>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c r="DE350" s="17"/>
      <c r="DF350" s="17"/>
      <c r="DG350" s="17"/>
      <c r="DH350" s="17"/>
      <c r="DI350" s="17"/>
      <c r="DJ350" s="17"/>
      <c r="DK350" s="17"/>
      <c r="DL350" s="17"/>
      <c r="DM350" s="17"/>
      <c r="DN350" s="17"/>
      <c r="DO350" s="17"/>
      <c r="DP350" s="17"/>
      <c r="DQ350" s="17"/>
      <c r="DR350" s="17"/>
      <c r="DS350" s="17"/>
      <c r="DT350" s="17"/>
      <c r="DU350" s="17"/>
      <c r="DV350" s="17"/>
      <c r="DW350" s="17"/>
      <c r="DX350" s="17"/>
      <c r="DY350" s="17"/>
      <c r="DZ350" s="17"/>
      <c r="EA350" s="17"/>
      <c r="EB350" s="17"/>
      <c r="EC350" s="17"/>
      <c r="ED350" s="17"/>
      <c r="EE350" s="17"/>
      <c r="EF350" s="17"/>
      <c r="EG350" s="17"/>
      <c r="EH350" s="17"/>
      <c r="EI350" s="17"/>
      <c r="EJ350" s="17"/>
      <c r="EK350" s="17"/>
      <c r="EL350" s="17"/>
      <c r="EM350" s="17"/>
      <c r="EN350" s="17"/>
      <c r="EO350" s="17"/>
      <c r="EP350" s="17"/>
      <c r="EQ350" s="17"/>
      <c r="ER350" s="17"/>
      <c r="ES350" s="17"/>
      <c r="ET350" s="17"/>
      <c r="EU350" s="17"/>
      <c r="EV350" s="17"/>
      <c r="EW350" s="17"/>
      <c r="EX350" s="17"/>
      <c r="EY350" s="17"/>
      <c r="EZ350" s="17"/>
      <c r="FA350" s="17"/>
      <c r="FB350" s="17"/>
      <c r="FC350" s="17"/>
      <c r="FD350" s="17"/>
      <c r="FE350" s="17"/>
      <c r="FF350" s="17"/>
      <c r="FG350" s="17"/>
      <c r="FH350" s="17"/>
    </row>
    <row r="351">
      <c r="A351" s="32" t="s">
        <v>54</v>
      </c>
      <c r="B351" s="32" t="s">
        <v>65</v>
      </c>
      <c r="C351" s="32" t="s">
        <v>12</v>
      </c>
      <c r="D351" s="16">
        <f t="shared" si="1"/>
        <v>1685.040786</v>
      </c>
      <c r="E351" s="17"/>
      <c r="F351" s="18" t="str">
        <f>HYPERLINK("https://docs.google.com/spreadsheets/d/1Y0KDSb5ntk3II5Ao3h-_a5DA5nb4KMeE", "RE-596.1976802083341")</f>
        <v>RE-596.1976802083341</v>
      </c>
      <c r="G351" s="18" t="str">
        <f>HYPERLINK("https://docs.google.com/spreadsheets/d/1nQ3kuWKICrAHZeU8O0rCpWN1HTPBQ8Ku", "RE-1.551575")</f>
        <v>RE-1.551575</v>
      </c>
      <c r="H351" s="18" t="str">
        <f>HYPERLINK("https://docs.google.com/spreadsheets/d/1hZIjjb2ZsSYvkP-jkT0vt3HwHxORBC0i", "RE-23.314650000000004")</f>
        <v>RE-23.314650000000004</v>
      </c>
      <c r="I351" s="18" t="str">
        <f>HYPERLINK("https://docs.google.com/spreadsheets/d/1IYcHAFu5PHdWUBRIZN-hxH1SCFjZH89h", "RE-0.0")</f>
        <v>RE-0.0</v>
      </c>
      <c r="J351" s="18" t="str">
        <f>HYPERLINK("https://docs.google.com/spreadsheets/d/1COAqKpyLECQJ_18oKQw5HhCDeC3JBrUZ", "RE-327.04156354166673")</f>
        <v>RE-327.04156354166673</v>
      </c>
      <c r="K351" s="18" t="str">
        <f>HYPERLINK("https://docs.google.com/spreadsheets/d/1Y2wd5xgmUXpoesOned-0GQp_I-uqlMIK", "RE-1.4832416666666668")</f>
        <v>RE-1.4832416666666668</v>
      </c>
      <c r="L351" s="18">
        <f>HYPERLINK("https://docs.google.com/spreadsheets/d/1Ype2XmGPrK9OrkEC1f2fWAlXL6PoMfIB", 1142.99774062499)</f>
        <v>1142.997741</v>
      </c>
      <c r="M351" s="18" t="str">
        <f>HYPERLINK("https://docs.google.com/spreadsheets/d/1QkS7i67exIFJ9C-27BTvIQmH-0FUkOj9", "RE-13.847491666666665")</f>
        <v>RE-13.847491666666665</v>
      </c>
      <c r="N351" s="18" t="str">
        <f>HYPERLINK("https://docs.google.com/spreadsheets/d/1YXJgKndy5-gJQVH8ECR6JvHT58f4VHDs", "RE-1267.3059093749985")</f>
        <v>RE-1267.3059093749985</v>
      </c>
      <c r="O351" s="18" t="str">
        <f>HYPERLINK("https://docs.google.com/spreadsheets/d/1gg0BRGmlKr07nT3qx9pXMXVjriRLhzb9", "RE-17.33767291666667")</f>
        <v>RE-17.33767291666667</v>
      </c>
      <c r="P351" s="18">
        <f>HYPERLINK("https://docs.google.com/spreadsheets/d/1HYgcT9rxYtzkUzAj_YvSYr1T86ek0eTi", 307.156893749999)</f>
        <v>307.1568937</v>
      </c>
      <c r="Q351" s="18" t="str">
        <f>HYPERLINK("https://docs.google.com/spreadsheets/d/1EGTBEGPGmT039QHv7laQAWZkwjHHnCjn", "RE-31.633451041666675")</f>
        <v>RE-31.633451041666675</v>
      </c>
      <c r="R351" s="18">
        <f>HYPERLINK("https://docs.google.com/spreadsheets/d/1WLcj8s1JmQdzhPO4QuZz1lSC3FyOLwVJ", 65.10353125)</f>
        <v>65.10353125</v>
      </c>
      <c r="S351" s="18" t="str">
        <f>HYPERLINK("https://docs.google.com/spreadsheets/d/1Q6RVCGP4gUagR_L-lLi4QLZN17tX16K4", "RE-11.547345833333331")</f>
        <v>RE-11.547345833333331</v>
      </c>
      <c r="T351" s="18">
        <f>HYPERLINK("https://docs.google.com/spreadsheets/d/1kt7-j-tJ52SEwQnvxIc9rwYS9cPNj-Tn", 169.782620833333)</f>
        <v>169.7826208</v>
      </c>
      <c r="U351" s="18" t="str">
        <f>HYPERLINK("https://docs.google.com/spreadsheets/d/1Ijm6VUgQm7VWa_83hXFEvZDg-aa4eHez", "RE-6.321282291666665")</f>
        <v>RE-6.321282291666665</v>
      </c>
      <c r="V351" s="18" t="str">
        <f>HYPERLINK("https://docs.google.com/spreadsheets/d/1o948n7Qglbr4RAr5dR1CbPWSjtqIzjy6", "RE-2.2718729166666667")</f>
        <v>RE-2.2718729166666667</v>
      </c>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c r="DE351" s="17"/>
      <c r="DF351" s="17"/>
      <c r="DG351" s="17"/>
      <c r="DH351" s="17"/>
      <c r="DI351" s="17"/>
      <c r="DJ351" s="17"/>
      <c r="DK351" s="17"/>
      <c r="DL351" s="17"/>
      <c r="DM351" s="17"/>
      <c r="DN351" s="17"/>
      <c r="DO351" s="17"/>
      <c r="DP351" s="17"/>
      <c r="DQ351" s="17"/>
      <c r="DR351" s="17"/>
      <c r="DS351" s="17"/>
      <c r="DT351" s="17"/>
      <c r="DU351" s="17"/>
      <c r="DV351" s="17"/>
      <c r="DW351" s="17"/>
      <c r="DX351" s="17"/>
      <c r="DY351" s="17"/>
      <c r="DZ351" s="17"/>
      <c r="EA351" s="17"/>
      <c r="EB351" s="17"/>
      <c r="EC351" s="17"/>
      <c r="ED351" s="17"/>
      <c r="EE351" s="17"/>
      <c r="EF351" s="17"/>
      <c r="EG351" s="17"/>
      <c r="EH351" s="17"/>
      <c r="EI351" s="17"/>
      <c r="EJ351" s="17"/>
      <c r="EK351" s="17"/>
      <c r="EL351" s="17"/>
      <c r="EM351" s="17"/>
      <c r="EN351" s="17"/>
      <c r="EO351" s="17"/>
      <c r="EP351" s="17"/>
      <c r="EQ351" s="17"/>
      <c r="ER351" s="17"/>
      <c r="ES351" s="17"/>
      <c r="ET351" s="17"/>
      <c r="EU351" s="17"/>
      <c r="EV351" s="17"/>
      <c r="EW351" s="17"/>
      <c r="EX351" s="17"/>
      <c r="EY351" s="17"/>
      <c r="EZ351" s="17"/>
      <c r="FA351" s="17"/>
      <c r="FB351" s="17"/>
      <c r="FC351" s="17"/>
      <c r="FD351" s="17"/>
      <c r="FE351" s="17"/>
      <c r="FF351" s="17"/>
      <c r="FG351" s="17"/>
      <c r="FH351" s="17"/>
    </row>
    <row r="352">
      <c r="A352" s="32" t="s">
        <v>54</v>
      </c>
      <c r="B352" s="32" t="s">
        <v>65</v>
      </c>
      <c r="C352" s="32" t="s">
        <v>13</v>
      </c>
      <c r="D352" s="16">
        <f t="shared" si="1"/>
        <v>1607.4159</v>
      </c>
      <c r="E352" s="17"/>
      <c r="F352" s="18" t="str">
        <f>HYPERLINK("https://docs.google.com/spreadsheets/d/1EWXiF4t8oN_DCc_0ZWs8Y-idZAvIW3-7?usp=share_link", "RE-583.774")</f>
        <v>RE-583.774</v>
      </c>
      <c r="G352" s="18" t="str">
        <f>HYPERLINK("https://docs.google.com/spreadsheets/d/1tCHvjBei2P_K60LX0HBaU1LI5nxuk0j5?usp=share_link", "RE-1.48815")</f>
        <v>RE-1.48815</v>
      </c>
      <c r="H352" s="18" t="str">
        <f>HYPERLINK("https://docs.google.com/spreadsheets/d/19zlo6Qx3QHC64ezpbso0T-0hklTTiuEG?usp=share_link", "RE-23.0037")</f>
        <v>RE-23.0037</v>
      </c>
      <c r="I352" s="17"/>
      <c r="J352" s="18" t="str">
        <f>HYPERLINK("https://docs.google.com/spreadsheets/d/1ANt-nmm_0lfPAYtrdcI6osKtKU5eKnIF?usp=share_link", "RE-317.906")</f>
        <v>RE-317.906</v>
      </c>
      <c r="K352" s="18" t="str">
        <f>HYPERLINK("https://docs.google.com/spreadsheets/d/1AijCx2ZpfqsqwbedCLXPNmu3spLEB-U_?usp=share_link", "RE-1.41058")</f>
        <v>RE-1.41058</v>
      </c>
      <c r="L352" s="18">
        <f>HYPERLINK("https://docs.google.com/spreadsheets/d/1y4y4_p28unDeptWVORIrMu2hkqofviTh?usp=share_link", 1090.39)</f>
        <v>1090.39</v>
      </c>
      <c r="M352" s="18" t="str">
        <f>HYPERLINK("https://docs.google.com/spreadsheets/d/1XE1M3zxCk8l8rrac_TrDGKcC5OVQNVjW?usp=share_link", "RE-13.2459")</f>
        <v>RE-13.2459</v>
      </c>
      <c r="N352" s="18" t="str">
        <f>HYPERLINK("https://docs.google.com/spreadsheets/d/1l7dbtmYM3QfLIjxv7pwGTlYcPEHqLXjO?usp=share_link", "RE-1196.79")</f>
        <v>RE-1196.79</v>
      </c>
      <c r="O352" s="18" t="str">
        <f>HYPERLINK("https://docs.google.com/spreadsheets/d/1pq85cN2JXD_xGAPcyuu-eMlKmAxXd6UR?usp=share_link", "RE-16.0882")</f>
        <v>RE-16.0882</v>
      </c>
      <c r="P352" s="18">
        <f>HYPERLINK("https://docs.google.com/spreadsheets/d/1C9sola2O2119C1vH1UybA55FUzv8EBRp?usp=share_link", 291.69)</f>
        <v>291.69</v>
      </c>
      <c r="Q352" s="18" t="str">
        <f>HYPERLINK("https://docs.google.com/spreadsheets/d/1IR1QJKxBBfpjdZyJx55vIqiikoVjUS3K?usp=share_link", "RE-30.0151")</f>
        <v>RE-30.0151</v>
      </c>
      <c r="R352" s="18">
        <f>HYPERLINK("https://docs.google.com/spreadsheets/d/1EOCkHXbpiX4awRadrgUt9lYP0ypLOG5E?usp=share_link", 62.8769)</f>
        <v>62.8769</v>
      </c>
      <c r="S352" s="18" t="str">
        <f>HYPERLINK("https://docs.google.com/spreadsheets/d/1houprx9LImyIb5uokWGvMX88HGtTPnGc?usp=share_link", "RE-10.9034")</f>
        <v>RE-10.9034</v>
      </c>
      <c r="T352" s="18">
        <f>HYPERLINK("https://docs.google.com/spreadsheets/d/1FPRGM2gAaTr-PQPJRGar-ypm3zL2BmbM?usp=share_link", 162.459)</f>
        <v>162.459</v>
      </c>
      <c r="U352" s="18" t="str">
        <f>HYPERLINK("https://docs.google.com/spreadsheets/d/1nFuucrtkYfWih028tVqQpMcZRMpDKSrX?usp=share_link", "RE-6.10707")</f>
        <v>RE-6.10707</v>
      </c>
      <c r="V352" s="18" t="str">
        <f>HYPERLINK("https://docs.google.com/spreadsheets/d/1X0YApU5hgFYdhFF3_C1zD-5cWOudUVwo?usp=share_link", "RE-2.20093")</f>
        <v>RE-2.20093</v>
      </c>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c r="DN352" s="17"/>
      <c r="DO352" s="17"/>
      <c r="DP352" s="17"/>
      <c r="DQ352" s="17"/>
      <c r="DR352" s="17"/>
      <c r="DS352" s="17"/>
      <c r="DT352" s="17"/>
      <c r="DU352" s="17"/>
      <c r="DV352" s="17"/>
      <c r="DW352" s="17"/>
      <c r="DX352" s="17"/>
      <c r="DY352" s="17"/>
      <c r="DZ352" s="17"/>
      <c r="EA352" s="17"/>
      <c r="EB352" s="17"/>
      <c r="EC352" s="17"/>
      <c r="ED352" s="17"/>
      <c r="EE352" s="17"/>
      <c r="EF352" s="17"/>
      <c r="EG352" s="17"/>
      <c r="EH352" s="17"/>
      <c r="EI352" s="17"/>
      <c r="EJ352" s="17"/>
      <c r="EK352" s="17"/>
      <c r="EL352" s="17"/>
      <c r="EM352" s="17"/>
      <c r="EN352" s="17"/>
      <c r="EO352" s="17"/>
      <c r="EP352" s="17"/>
      <c r="EQ352" s="17"/>
      <c r="ER352" s="17"/>
      <c r="ES352" s="17"/>
      <c r="ET352" s="17"/>
      <c r="EU352" s="17"/>
      <c r="EV352" s="17"/>
      <c r="EW352" s="17"/>
      <c r="EX352" s="17"/>
      <c r="EY352" s="17"/>
      <c r="EZ352" s="17"/>
      <c r="FA352" s="17"/>
      <c r="FB352" s="17"/>
      <c r="FC352" s="17"/>
      <c r="FD352" s="17"/>
      <c r="FE352" s="17"/>
      <c r="FF352" s="17"/>
      <c r="FG352" s="17"/>
      <c r="FH352" s="17"/>
    </row>
    <row r="353">
      <c r="A353" s="32" t="s">
        <v>54</v>
      </c>
      <c r="B353" s="32" t="s">
        <v>65</v>
      </c>
      <c r="C353" s="32" t="s">
        <v>14</v>
      </c>
      <c r="D353" s="16">
        <f t="shared" si="1"/>
        <v>1421.502</v>
      </c>
      <c r="E353" s="17"/>
      <c r="F353" s="18" t="str">
        <f>HYPERLINK("https://docs.google.com/spreadsheets/d/1asiFbWdPh_JLoy0eDgQSwIFCZ2Ml6edu?usp=share_link", "RE-534.037")</f>
        <v>RE-534.037</v>
      </c>
      <c r="G353" s="18" t="str">
        <f>HYPERLINK("https://docs.google.com/spreadsheets/d/19W17RjM3ulECMU8U0ObQChfdOHhUr_8N?usp=share_link", "RE-1.48815")</f>
        <v>RE-1.48815</v>
      </c>
      <c r="H353" s="18" t="str">
        <f>HYPERLINK("https://docs.google.com/spreadsheets/d/1_x3pyGrBZBpQBx4trqBhqr-4Ir0sgJV0?usp=share_link", "RE-21.5984")</f>
        <v>RE-21.5984</v>
      </c>
      <c r="I353" s="17"/>
      <c r="J353" s="18" t="str">
        <f>HYPERLINK("https://docs.google.com/spreadsheets/d/1uF90RXdgDWxfx3V3P6SprFhCn57IEnl6?usp=share_link", "RE-298.029")</f>
        <v>RE-298.029</v>
      </c>
      <c r="K353" s="18" t="str">
        <f>HYPERLINK("https://docs.google.com/spreadsheets/d/1Y7HlbN5AxxoMFNjsTW_haXCgoPNYnXB-?usp=share_link", "RE-1.41058")</f>
        <v>RE-1.41058</v>
      </c>
      <c r="L353" s="18">
        <f>HYPERLINK("https://docs.google.com/spreadsheets/d/15IqCET6hgEyXNPVsTS5im5piO1r9sf-O?usp=share_link", 972.616)</f>
        <v>972.616</v>
      </c>
      <c r="M353" s="18" t="str">
        <f>HYPERLINK("https://docs.google.com/spreadsheets/d/1-AYgeJsrn3_Gx0DKXvMBVdGf8slI2iAv?usp=share_link", "RE-12.5974")</f>
        <v>RE-12.5974</v>
      </c>
      <c r="N353" s="18" t="str">
        <f>HYPERLINK("https://docs.google.com/spreadsheets/d/1tFa5j3Z6k2lrFYfJ9f2kkUVHkP3_SilE?usp=share_link", "RE-1052.77")</f>
        <v>RE-1052.77</v>
      </c>
      <c r="O353" s="18" t="str">
        <f>HYPERLINK("https://docs.google.com/spreadsheets/d/1Qatdt2_XiU3AZ7JWD0FpbeZjFOyfvjB6?usp=share_link", "RE-14.4186")</f>
        <v>RE-14.4186</v>
      </c>
      <c r="P353" s="18">
        <f>HYPERLINK("https://docs.google.com/spreadsheets/d/112acK_6Lk0G37EJocMPjI1FEeLFUPyki?usp=share_link", 254.807)</f>
        <v>254.807</v>
      </c>
      <c r="Q353" s="18" t="str">
        <f>HYPERLINK("https://docs.google.com/spreadsheets/d/14sMx3af1mVrz9MICF-us-0Jyf3c0li_C?usp=share_link", "RE-28.2373")</f>
        <v>RE-28.2373</v>
      </c>
      <c r="R353" s="18">
        <f>HYPERLINK("https://docs.google.com/spreadsheets/d/1_b4gMN1W88dE3zWBKGr89Xh7QoaLnyE6?usp=share_link", 54.346)</f>
        <v>54.346</v>
      </c>
      <c r="S353" s="18" t="str">
        <f>HYPERLINK("https://docs.google.com/spreadsheets/d/12KBtn-fiQ5HPiZ5ap55ZNvsWSzJEIlMn?usp=share_link", "RE-9.97115")</f>
        <v>RE-9.97115</v>
      </c>
      <c r="T353" s="18">
        <f>HYPERLINK("https://docs.google.com/spreadsheets/d/11J-JXR50X5Uw14raCNrYScraJKmzmNRk?usp=share_link", 139.733)</f>
        <v>139.733</v>
      </c>
      <c r="U353" s="18" t="str">
        <f>HYPERLINK("https://docs.google.com/spreadsheets/d/1jdO3JXY3pnfCb5ZenJR6qxSQQruobVUm?usp=share_link", "RE-5.08418")</f>
        <v>RE-5.08418</v>
      </c>
      <c r="V353" s="18" t="str">
        <f>HYPERLINK("https://docs.google.com/spreadsheets/d/1lDoEId34M0CX3f83O3_KKngYHPqg6vmv?usp=share_link", "RE-2.20093")</f>
        <v>RE-2.20093</v>
      </c>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c r="DE353" s="17"/>
      <c r="DF353" s="17"/>
      <c r="DG353" s="17"/>
      <c r="DH353" s="17"/>
      <c r="DI353" s="17"/>
      <c r="DJ353" s="17"/>
      <c r="DK353" s="17"/>
      <c r="DL353" s="17"/>
      <c r="DM353" s="17"/>
      <c r="DN353" s="17"/>
      <c r="DO353" s="17"/>
      <c r="DP353" s="17"/>
      <c r="DQ353" s="17"/>
      <c r="DR353" s="17"/>
      <c r="DS353" s="17"/>
      <c r="DT353" s="17"/>
      <c r="DU353" s="17"/>
      <c r="DV353" s="17"/>
      <c r="DW353" s="17"/>
      <c r="DX353" s="17"/>
      <c r="DY353" s="17"/>
      <c r="DZ353" s="17"/>
      <c r="EA353" s="17"/>
      <c r="EB353" s="17"/>
      <c r="EC353" s="17"/>
      <c r="ED353" s="17"/>
      <c r="EE353" s="17"/>
      <c r="EF353" s="17"/>
      <c r="EG353" s="17"/>
      <c r="EH353" s="17"/>
      <c r="EI353" s="17"/>
      <c r="EJ353" s="17"/>
      <c r="EK353" s="17"/>
      <c r="EL353" s="17"/>
      <c r="EM353" s="17"/>
      <c r="EN353" s="17"/>
      <c r="EO353" s="17"/>
      <c r="EP353" s="17"/>
      <c r="EQ353" s="17"/>
      <c r="ER353" s="17"/>
      <c r="ES353" s="17"/>
      <c r="ET353" s="17"/>
      <c r="EU353" s="17"/>
      <c r="EV353" s="17"/>
      <c r="EW353" s="17"/>
      <c r="EX353" s="17"/>
      <c r="EY353" s="17"/>
      <c r="EZ353" s="17"/>
      <c r="FA353" s="17"/>
      <c r="FB353" s="17"/>
      <c r="FC353" s="17"/>
      <c r="FD353" s="17"/>
      <c r="FE353" s="17"/>
      <c r="FF353" s="17"/>
      <c r="FG353" s="17"/>
      <c r="FH353" s="17"/>
    </row>
    <row r="354">
      <c r="A354" s="27" t="s">
        <v>54</v>
      </c>
      <c r="B354" s="27" t="s">
        <v>65</v>
      </c>
      <c r="C354" s="27" t="s">
        <v>15</v>
      </c>
      <c r="D354" s="28">
        <f t="shared" si="1"/>
        <v>1607.1349</v>
      </c>
      <c r="E354" s="33"/>
      <c r="F354" s="34" t="str">
        <f>HYPERLINK("https://docs.google.com/spreadsheets/d/1acj01aHj1eYLQe-4K08QMhFjHcO1vVp1?usp=share_link", "RE-583.655")</f>
        <v>RE-583.655</v>
      </c>
      <c r="G354" s="34" t="str">
        <f>HYPERLINK("https://docs.google.com/spreadsheets/d/1aWeTh1zx6itEY-h5leg2DUNjskDK8_8s?usp=share_link", "RE-1.48815")</f>
        <v>RE-1.48815</v>
      </c>
      <c r="H354" s="34" t="str">
        <f>HYPERLINK("https://docs.google.com/spreadsheets/d/1KYN6wdCV7gknklJuvncn492Qawnt_6hR?usp=share_link", "RE-23.0037")</f>
        <v>RE-23.0037</v>
      </c>
      <c r="I354" s="33"/>
      <c r="J354" s="34" t="str">
        <f>HYPERLINK("https://docs.google.com/spreadsheets/d/1ToQN9jozD2usSiPktJQVd5sG9JXoitKA?usp=share_link", "RE-317.906")</f>
        <v>RE-317.906</v>
      </c>
      <c r="K354" s="34" t="str">
        <f>HYPERLINK("https://docs.google.com/spreadsheets/d/1qRmqZJF4KZMyyZMHHH8cBQkHjexi-av4?usp=share_link", "RE-1.41058")</f>
        <v>RE-1.41058</v>
      </c>
      <c r="L354" s="34">
        <f>HYPERLINK("https://docs.google.com/spreadsheets/d/1_n74dRQ9t8ptQK_nk0O8HyzyDHvWulQe?usp=share_link", 1090.39)</f>
        <v>1090.39</v>
      </c>
      <c r="M354" s="34" t="str">
        <f>HYPERLINK("https://docs.google.com/spreadsheets/d/1ZTpSJPHPv7qfNR9p7R8uDlPoiV5V4-Ju?usp=share_link", "RE-13.2459")</f>
        <v>RE-13.2459</v>
      </c>
      <c r="N354" s="34" t="str">
        <f>HYPERLINK("https://docs.google.com/spreadsheets/d/1PhtFEr5bnuGBCDarzzx7l7L23-cicLQz?usp=share_link", "RE-1196.73")</f>
        <v>RE-1196.73</v>
      </c>
      <c r="O354" s="34" t="str">
        <f>HYPERLINK("https://docs.google.com/spreadsheets/d/1L-GwcAkpcLcFGbgsbiZOL-890XANNdqu?usp=share_link", "RE-16.0882")</f>
        <v>RE-16.0882</v>
      </c>
      <c r="P354" s="34">
        <f>HYPERLINK("https://docs.google.com/spreadsheets/d/1PBg6hqSRj8untnFE1AhCFWLKl3k2kfuW?usp=share_link", 291.69)</f>
        <v>291.69</v>
      </c>
      <c r="Q354" s="34" t="str">
        <f>HYPERLINK("https://docs.google.com/spreadsheets/d/1NalFZT_sKa152ZOtwVKAxYIY1a2rrrwk?usp=share_link", "RE-30.0151")</f>
        <v>RE-30.0151</v>
      </c>
      <c r="R354" s="34">
        <f>HYPERLINK("https://docs.google.com/spreadsheets/d/1Nj6NWYpVFpaGoJ9GBpSSPEmUJX2HBTLV?usp=share_link", 62.8769)</f>
        <v>62.8769</v>
      </c>
      <c r="S354" s="34" t="str">
        <f>HYPERLINK("https://docs.google.com/spreadsheets/d/1v-f5TlxfAXQ6aYg8z7gxT0g3aqpuM0VW?usp=share_link", "RE-10.9034")</f>
        <v>RE-10.9034</v>
      </c>
      <c r="T354" s="34">
        <f>HYPERLINK("https://docs.google.com/spreadsheets/d/1Ax1dlEGvJX-vBszZYcjrBeQQNOUlsVT_?usp=share_link", 162.178)</f>
        <v>162.178</v>
      </c>
      <c r="U354" s="34" t="str">
        <f>HYPERLINK("https://docs.google.com/spreadsheets/d/1N1Blew94XZWrbos1BoSJfVRk_E6G9-Hg?usp=share_link", "RE-6.10707")</f>
        <v>RE-6.10707</v>
      </c>
      <c r="V354" s="34" t="str">
        <f>HYPERLINK("https://docs.google.com/spreadsheets/d/1QIHa9HDXJPhflKZ7WsfJyE7t_jhhPSJ1?usp=share_link", "RE-2.20093")</f>
        <v>RE-2.20093</v>
      </c>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c r="BA354" s="33"/>
      <c r="BB354" s="33"/>
      <c r="BC354" s="33"/>
      <c r="BD354" s="33"/>
      <c r="BE354" s="33"/>
      <c r="BF354" s="33"/>
      <c r="BG354" s="33"/>
      <c r="BH354" s="33"/>
      <c r="BI354" s="33"/>
      <c r="BJ354" s="33"/>
      <c r="BK354" s="33"/>
      <c r="BL354" s="33"/>
      <c r="BM354" s="33"/>
      <c r="BN354" s="33"/>
      <c r="BO354" s="33"/>
      <c r="BP354" s="33"/>
      <c r="BQ354" s="33"/>
      <c r="BR354" s="33"/>
      <c r="BS354" s="33"/>
      <c r="BT354" s="33"/>
      <c r="BU354" s="33"/>
      <c r="BV354" s="33"/>
      <c r="BW354" s="33"/>
      <c r="BX354" s="33"/>
      <c r="BY354" s="33"/>
      <c r="BZ354" s="33"/>
      <c r="CA354" s="33"/>
      <c r="CB354" s="33"/>
      <c r="CC354" s="33"/>
      <c r="CD354" s="33"/>
      <c r="CE354" s="33"/>
      <c r="CF354" s="33"/>
      <c r="CG354" s="33"/>
      <c r="CH354" s="33"/>
      <c r="CI354" s="33"/>
      <c r="CJ354" s="33"/>
      <c r="CK354" s="33"/>
      <c r="CL354" s="33"/>
      <c r="CM354" s="33"/>
      <c r="CN354" s="33"/>
      <c r="CO354" s="33"/>
      <c r="CP354" s="33"/>
      <c r="CQ354" s="33"/>
      <c r="CR354" s="33"/>
      <c r="CS354" s="33"/>
      <c r="CT354" s="33"/>
      <c r="CU354" s="33"/>
      <c r="CV354" s="33"/>
      <c r="CW354" s="33"/>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33"/>
      <c r="DY354" s="33"/>
      <c r="DZ354" s="33"/>
      <c r="EA354" s="33"/>
      <c r="EB354" s="33"/>
      <c r="EC354" s="33"/>
      <c r="ED354" s="33"/>
      <c r="EE354" s="33"/>
      <c r="EF354" s="33"/>
      <c r="EG354" s="33"/>
      <c r="EH354" s="33"/>
      <c r="EI354" s="33"/>
      <c r="EJ354" s="33"/>
      <c r="EK354" s="33"/>
      <c r="EL354" s="33"/>
      <c r="EM354" s="33"/>
      <c r="EN354" s="33"/>
      <c r="EO354" s="33"/>
      <c r="EP354" s="33"/>
      <c r="EQ354" s="33"/>
      <c r="ER354" s="33"/>
      <c r="ES354" s="33"/>
      <c r="ET354" s="33"/>
      <c r="EU354" s="33"/>
      <c r="EV354" s="33"/>
      <c r="EW354" s="33"/>
      <c r="EX354" s="33"/>
      <c r="EY354" s="33"/>
      <c r="EZ354" s="33"/>
      <c r="FA354" s="33"/>
      <c r="FB354" s="33"/>
      <c r="FC354" s="33"/>
      <c r="FD354" s="33"/>
      <c r="FE354" s="33"/>
      <c r="FF354" s="33"/>
      <c r="FG354" s="33"/>
      <c r="FH354" s="33"/>
    </row>
    <row r="355">
      <c r="A355" s="30" t="s">
        <v>54</v>
      </c>
      <c r="B355" s="30" t="s">
        <v>66</v>
      </c>
      <c r="C355" s="31" t="str">
        <f>HYPERLINK("https://docs.google.com/spreadsheets/d/1-BOPiCxFoppPs_ORi2KsNAU-DVmCrmVT/edit?usp=share_link&amp;ouid=118279477453217743021&amp;rtpof=true&amp;sd=true", "Raw Delivered")</f>
        <v>Raw Delivered</v>
      </c>
      <c r="D355" s="12">
        <f t="shared" si="1"/>
        <v>1998.144032</v>
      </c>
      <c r="E355" s="13"/>
      <c r="F355" s="14">
        <f>HYPERLINK("https://docs.google.com/spreadsheets/d/1Y1WHzPnsez_LN8T4GwhdZYSeMtCB_Ktx", 154.7838375)</f>
        <v>154.7838375</v>
      </c>
      <c r="G355" s="13"/>
      <c r="H355" s="14">
        <f>HYPERLINK("https://docs.google.com/spreadsheets/d/109gkHA5Ky2ixfWJPtTocrvIz6HWzuppV", 20.53485)</f>
        <v>20.53485</v>
      </c>
      <c r="I355" s="13"/>
      <c r="J355" s="14">
        <f>HYPERLINK("https://docs.google.com/spreadsheets/d/1evXvMvvlBaLHcxCYLlGw3-L0MIzJNw0E", 189.098528125)</f>
        <v>189.0985281</v>
      </c>
      <c r="K355" s="13"/>
      <c r="L355" s="14">
        <f t="shared" ref="L355:L356" si="178">HYPERLINK("https://docs.google.com/spreadsheets/d/18T7d29ylZR04TSJKoOq5wi6I4JGQQmwC", 743.16793333333)</f>
        <v>743.1679333</v>
      </c>
      <c r="M355" s="13"/>
      <c r="N355" s="14">
        <f>HYPERLINK("https://docs.google.com/spreadsheets/d/1ufe0A2DWIf2N4TyaSJMVbfs25VMrl6Je", 464.565636458332)</f>
        <v>464.5656365</v>
      </c>
      <c r="O355" s="13"/>
      <c r="P355" s="14">
        <f t="shared" ref="P355:P356" si="179">HYPERLINK("https://docs.google.com/spreadsheets/d/1-qzwOjL99vlIyeCkeuOFJQA4aBExybtk", 86.1083041666666)</f>
        <v>86.10830417</v>
      </c>
      <c r="Q355" s="13"/>
      <c r="R355" s="14">
        <f t="shared" ref="R355:R356" si="180">HYPERLINK("https://docs.google.com/spreadsheets/d/1J5oQq1UnFhS4trXpVYcDiXn41MXGQOMh", 65.2079104166667)</f>
        <v>65.20791042</v>
      </c>
      <c r="S355" s="13"/>
      <c r="T355" s="14">
        <f t="shared" ref="T355:T356" si="181">HYPERLINK("https://docs.google.com/spreadsheets/d/1PAdujdAkmol4gTNKh9O7B9w6Cg3HFten", 274.677032291666)</f>
        <v>274.6770323</v>
      </c>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row>
    <row r="356">
      <c r="A356" s="32" t="s">
        <v>54</v>
      </c>
      <c r="B356" s="32" t="s">
        <v>66</v>
      </c>
      <c r="C356" s="32" t="s">
        <v>9</v>
      </c>
      <c r="D356" s="16">
        <f t="shared" si="1"/>
        <v>1169.16118</v>
      </c>
      <c r="E356" s="17"/>
      <c r="F356" s="18" t="str">
        <f>HYPERLINK("https://docs.google.com/spreadsheets/d/1Y1WHzPnsez_LN8T4GwhdZYSeMtCB_Ktx", "RE-154.78383750000006")</f>
        <v>RE-154.78383750000006</v>
      </c>
      <c r="G356" s="17"/>
      <c r="H356" s="18" t="str">
        <f>HYPERLINK("https://docs.google.com/spreadsheets/d/109gkHA5Ky2ixfWJPtTocrvIz6HWzuppV", "RE-20.534850000000006")</f>
        <v>RE-20.534850000000006</v>
      </c>
      <c r="I356" s="17"/>
      <c r="J356" s="18" t="str">
        <f>HYPERLINK("https://docs.google.com/spreadsheets/d/1evXvMvvlBaLHcxCYLlGw3-L0MIzJNw0E", "RE-189.0985281250001")</f>
        <v>RE-189.0985281250001</v>
      </c>
      <c r="K356" s="17"/>
      <c r="L356" s="18">
        <f t="shared" si="178"/>
        <v>743.1679333</v>
      </c>
      <c r="M356" s="17"/>
      <c r="N356" s="18" t="str">
        <f>HYPERLINK("https://docs.google.com/spreadsheets/d/1ufe0A2DWIf2N4TyaSJMVbfs25VMrl6Je", "RE-464.5656364583329")</f>
        <v>RE-464.5656364583329</v>
      </c>
      <c r="O356" s="17"/>
      <c r="P356" s="18">
        <f t="shared" si="179"/>
        <v>86.10830417</v>
      </c>
      <c r="Q356" s="17"/>
      <c r="R356" s="18">
        <f t="shared" si="180"/>
        <v>65.20791042</v>
      </c>
      <c r="S356" s="17"/>
      <c r="T356" s="18">
        <f t="shared" si="181"/>
        <v>274.6770323</v>
      </c>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O356" s="17"/>
      <c r="DP356" s="17"/>
      <c r="DQ356" s="17"/>
      <c r="DR356" s="17"/>
      <c r="DS356" s="17"/>
      <c r="DT356" s="17"/>
      <c r="DU356" s="17"/>
      <c r="DV356" s="17"/>
      <c r="DW356" s="17"/>
      <c r="DX356" s="17"/>
      <c r="DY356" s="17"/>
      <c r="DZ356" s="17"/>
      <c r="EA356" s="17"/>
      <c r="EB356" s="17"/>
      <c r="EC356" s="17"/>
      <c r="ED356" s="17"/>
      <c r="EE356" s="17"/>
      <c r="EF356" s="17"/>
      <c r="EG356" s="17"/>
      <c r="EH356" s="17"/>
      <c r="EI356" s="17"/>
      <c r="EJ356" s="17"/>
      <c r="EK356" s="17"/>
      <c r="EL356" s="17"/>
      <c r="EM356" s="17"/>
      <c r="EN356" s="17"/>
      <c r="EO356" s="17"/>
      <c r="EP356" s="17"/>
      <c r="EQ356" s="17"/>
      <c r="ER356" s="17"/>
      <c r="ES356" s="17"/>
      <c r="ET356" s="17"/>
      <c r="EU356" s="17"/>
      <c r="EV356" s="17"/>
      <c r="EW356" s="17"/>
      <c r="EX356" s="17"/>
      <c r="EY356" s="17"/>
      <c r="EZ356" s="17"/>
      <c r="FA356" s="17"/>
      <c r="FB356" s="17"/>
      <c r="FC356" s="17"/>
      <c r="FD356" s="17"/>
      <c r="FE356" s="17"/>
      <c r="FF356" s="17"/>
      <c r="FG356" s="17"/>
      <c r="FH356" s="17"/>
    </row>
    <row r="357">
      <c r="A357" s="32" t="s">
        <v>54</v>
      </c>
      <c r="B357" s="32" t="s">
        <v>66</v>
      </c>
      <c r="C357" s="32" t="s">
        <v>10</v>
      </c>
      <c r="D357" s="16">
        <f t="shared" si="1"/>
        <v>177.6765719</v>
      </c>
      <c r="E357" s="17"/>
      <c r="F357" s="17"/>
      <c r="G357" s="18">
        <f>HYPERLINK("https://docs.google.com/spreadsheets/d/1l7eR5CmtdHk20bJjJBq87EPSATmc7b-s", 15.4096854166666)</f>
        <v>15.40968542</v>
      </c>
      <c r="H357" s="17"/>
      <c r="I357" s="18">
        <f>HYPERLINK("https://docs.google.com/spreadsheets/d/1LgMrWoJCTMzwTQl-2W8sfYccQn-4S64t", 0.603504166666666)</f>
        <v>0.6035041667</v>
      </c>
      <c r="J357" s="17"/>
      <c r="K357" s="18">
        <f>HYPERLINK("https://docs.google.com/spreadsheets/d/1m3nKpykxYYM4WDlopS7an6lboYUho5DQ", 13.7465541666666)</f>
        <v>13.74655417</v>
      </c>
      <c r="L357" s="17"/>
      <c r="M357" s="18">
        <f>HYPERLINK("https://docs.google.com/spreadsheets/d/1RlSbBWVyqw2ZBOBLW70YplXpY0kDgADP", 28.0730072916666)</f>
        <v>28.07300729</v>
      </c>
      <c r="N357" s="17"/>
      <c r="O357" s="18">
        <f>HYPERLINK("https://docs.google.com/spreadsheets/d/1NxmpZjGar-hc420_eH44WAiANQNJGEJQ", 43.02666875)</f>
        <v>43.02666875</v>
      </c>
      <c r="P357" s="17"/>
      <c r="Q357" s="18">
        <f>HYPERLINK("https://docs.google.com/spreadsheets/d/12_vgTFVIdqzo9kcE8MwiHCYpKr1IHmtJ", 52.69024375)</f>
        <v>52.69024375</v>
      </c>
      <c r="R357" s="17"/>
      <c r="S357" s="18">
        <f>HYPERLINK("https://docs.google.com/spreadsheets/d/1MBPF9fcf2fQxCZByDy40ZZiCMhdQ8Cdf", 4.29432291666666)</f>
        <v>4.294322917</v>
      </c>
      <c r="T357" s="17"/>
      <c r="U357" s="18">
        <f>HYPERLINK("https://docs.google.com/spreadsheets/d/1P0CxwWhvJOQOpU-_YbgQnkAX0lR21HuB", 19.8325854166666)</f>
        <v>19.83258542</v>
      </c>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c r="DE357" s="17"/>
      <c r="DF357" s="17"/>
      <c r="DG357" s="17"/>
      <c r="DH357" s="17"/>
      <c r="DI357" s="17"/>
      <c r="DJ357" s="17"/>
      <c r="DK357" s="17"/>
      <c r="DL357" s="17"/>
      <c r="DM357" s="17"/>
      <c r="DN357" s="17"/>
      <c r="DO357" s="17"/>
      <c r="DP357" s="17"/>
      <c r="DQ357" s="17"/>
      <c r="DR357" s="17"/>
      <c r="DS357" s="17"/>
      <c r="DT357" s="17"/>
      <c r="DU357" s="17"/>
      <c r="DV357" s="17"/>
      <c r="DW357" s="17"/>
      <c r="DX357" s="17"/>
      <c r="DY357" s="17"/>
      <c r="DZ357" s="17"/>
      <c r="EA357" s="17"/>
      <c r="EB357" s="17"/>
      <c r="EC357" s="17"/>
      <c r="ED357" s="17"/>
      <c r="EE357" s="17"/>
      <c r="EF357" s="17"/>
      <c r="EG357" s="17"/>
      <c r="EH357" s="17"/>
      <c r="EI357" s="17"/>
      <c r="EJ357" s="17"/>
      <c r="EK357" s="17"/>
      <c r="EL357" s="17"/>
      <c r="EM357" s="17"/>
      <c r="EN357" s="17"/>
      <c r="EO357" s="17"/>
      <c r="EP357" s="17"/>
      <c r="EQ357" s="17"/>
      <c r="ER357" s="17"/>
      <c r="ES357" s="17"/>
      <c r="ET357" s="17"/>
      <c r="EU357" s="17"/>
      <c r="EV357" s="17"/>
      <c r="EW357" s="17"/>
      <c r="EX357" s="17"/>
      <c r="EY357" s="17"/>
      <c r="EZ357" s="17"/>
      <c r="FA357" s="17"/>
      <c r="FB357" s="17"/>
      <c r="FC357" s="17"/>
      <c r="FD357" s="17"/>
      <c r="FE357" s="17"/>
      <c r="FF357" s="17"/>
      <c r="FG357" s="17"/>
      <c r="FH357" s="17"/>
    </row>
    <row r="358">
      <c r="A358" s="32" t="s">
        <v>54</v>
      </c>
      <c r="B358" s="32" t="s">
        <v>66</v>
      </c>
      <c r="C358" s="32" t="s">
        <v>11</v>
      </c>
      <c r="D358" s="16">
        <f t="shared" si="1"/>
        <v>0</v>
      </c>
      <c r="E358" s="17"/>
      <c r="F358" s="17"/>
      <c r="G358" s="18" t="str">
        <f>HYPERLINK("https://docs.google.com/spreadsheets/d/1l7eR5CmtdHk20bJjJBq87EPSATmc7b-s", "RE-15.409685416666669")</f>
        <v>RE-15.409685416666669</v>
      </c>
      <c r="H358" s="17"/>
      <c r="I358" s="18" t="str">
        <f>HYPERLINK("https://docs.google.com/spreadsheets/d/1LgMrWoJCTMzwTQl-2W8sfYccQn-4S64t", "RE-0.6035041666666667")</f>
        <v>RE-0.6035041666666667</v>
      </c>
      <c r="J358" s="17"/>
      <c r="K358" s="18" t="str">
        <f>HYPERLINK("https://docs.google.com/spreadsheets/d/1m3nKpykxYYM4WDlopS7an6lboYUho5DQ", "RE-13.746554166666668")</f>
        <v>RE-13.746554166666668</v>
      </c>
      <c r="L358" s="17"/>
      <c r="M358" s="18" t="str">
        <f>HYPERLINK("https://docs.google.com/spreadsheets/d/1RlSbBWVyqw2ZBOBLW70YplXpY0kDgADP", "RE-28.07300729166667")</f>
        <v>RE-28.07300729166667</v>
      </c>
      <c r="N358" s="17"/>
      <c r="O358" s="18" t="str">
        <f>HYPERLINK("https://docs.google.com/spreadsheets/d/1NxmpZjGar-hc420_eH44WAiANQNJGEJQ", "RE-43.02666875")</f>
        <v>RE-43.02666875</v>
      </c>
      <c r="P358" s="17"/>
      <c r="Q358" s="18" t="str">
        <f>HYPERLINK("https://docs.google.com/spreadsheets/d/12_vgTFVIdqzo9kcE8MwiHCYpKr1IHmtJ", "RE-52.69024375")</f>
        <v>RE-52.69024375</v>
      </c>
      <c r="R358" s="17"/>
      <c r="S358" s="18" t="str">
        <f>HYPERLINK("https://docs.google.com/spreadsheets/d/1MBPF9fcf2fQxCZByDy40ZZiCMhdQ8Cdf", "RE-4.294322916666667")</f>
        <v>RE-4.294322916666667</v>
      </c>
      <c r="T358" s="17"/>
      <c r="U358" s="18" t="str">
        <f>HYPERLINK("https://docs.google.com/spreadsheets/d/1P0CxwWhvJOQOpU-_YbgQnkAX0lR21HuB", "RE-19.832585416666657")</f>
        <v>RE-19.832585416666657</v>
      </c>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c r="EJ358" s="17"/>
      <c r="EK358" s="17"/>
      <c r="EL358" s="17"/>
      <c r="EM358" s="17"/>
      <c r="EN358" s="17"/>
      <c r="EO358" s="17"/>
      <c r="EP358" s="17"/>
      <c r="EQ358" s="17"/>
      <c r="ER358" s="17"/>
      <c r="ES358" s="17"/>
      <c r="ET358" s="17"/>
      <c r="EU358" s="17"/>
      <c r="EV358" s="17"/>
      <c r="EW358" s="17"/>
      <c r="EX358" s="17"/>
      <c r="EY358" s="17"/>
      <c r="EZ358" s="17"/>
      <c r="FA358" s="17"/>
      <c r="FB358" s="17"/>
      <c r="FC358" s="17"/>
      <c r="FD358" s="17"/>
      <c r="FE358" s="17"/>
      <c r="FF358" s="17"/>
      <c r="FG358" s="17"/>
      <c r="FH358" s="17"/>
    </row>
    <row r="359">
      <c r="A359" s="32" t="s">
        <v>54</v>
      </c>
      <c r="B359" s="32" t="s">
        <v>66</v>
      </c>
      <c r="C359" s="32" t="s">
        <v>12</v>
      </c>
      <c r="D359" s="16">
        <f t="shared" si="1"/>
        <v>1105.323613</v>
      </c>
      <c r="E359" s="17"/>
      <c r="F359" s="18" t="str">
        <f>HYPERLINK("https://docs.google.com/spreadsheets/d/11LZZAXes4elQ8kCy7yHs1yQmuMxg_PRE", "RE-120.78336250000001")</f>
        <v>RE-120.78336250000001</v>
      </c>
      <c r="G359" s="18" t="str">
        <f>HYPERLINK("https://docs.google.com/spreadsheets/d/1nbsLNt1wP_n4x90ktygtl2Ukq1WEPr0n", "RE-2.234022916666667")</f>
        <v>RE-2.234022916666667</v>
      </c>
      <c r="H359" s="18" t="str">
        <f>HYPERLINK("https://docs.google.com/spreadsheets/d/14GlFovdBIoz4xLQQddBw-y3gHeEU_OkB", "RE-19.778795833333334")</f>
        <v>RE-19.778795833333334</v>
      </c>
      <c r="I359" s="18" t="str">
        <f>HYPERLINK("https://docs.google.com/spreadsheets/d/1Rt8LRXf1SAeXA3P2COmKg-V2aMKfHl45", "RE-0.0")</f>
        <v>RE-0.0</v>
      </c>
      <c r="J359" s="18" t="str">
        <f>HYPERLINK("https://docs.google.com/spreadsheets/d/1dcu4T6NtDorVkZttYUKCWqRO0dFgQ1mf", "RE-141.79313854166654")</f>
        <v>RE-141.79313854166654</v>
      </c>
      <c r="K359" s="18" t="str">
        <f>HYPERLINK("https://docs.google.com/spreadsheets/d/1fPjd7dkHuic2rD7ugBI_HFVh7HdDbV3Z", "RE-2.49435")</f>
        <v>RE-2.49435</v>
      </c>
      <c r="L359" s="18">
        <f>HYPERLINK("https://docs.google.com/spreadsheets/d/1spwzvIPkGsDJ0qv2qkgvTu2-J6tUy5LK", 700.642296874997)</f>
        <v>700.6422969</v>
      </c>
      <c r="M359" s="18" t="str">
        <f>HYPERLINK("https://docs.google.com/spreadsheets/d/1yafiUyuJy_-rOdRnCV7YpIeY7PZko_0y", "RE-5.062628125000001")</f>
        <v>RE-5.062628125000001</v>
      </c>
      <c r="N359" s="18" t="str">
        <f>HYPERLINK("https://docs.google.com/spreadsheets/d/1Uua1ktaI5vZh06NVkbHJGem4DFpLrHwq", "RE-266.25686145833345")</f>
        <v>RE-266.25686145833345</v>
      </c>
      <c r="O359" s="18" t="str">
        <f>HYPERLINK("https://docs.google.com/spreadsheets/d/1IbGH_9xUjJYHD8oprvtX6QhUqe9JWGsG", "RE-4.536629166666667")</f>
        <v>RE-4.536629166666667</v>
      </c>
      <c r="P359" s="18">
        <f>HYPERLINK("https://docs.google.com/spreadsheets/d/1bv14PCDFDEB5jir2qBtVJ8X81mwSh88-", 78.81568125)</f>
        <v>78.81568125</v>
      </c>
      <c r="Q359" s="18" t="str">
        <f>HYPERLINK("https://docs.google.com/spreadsheets/d/1KxuSSoAq4VsrRteX395BJFVNemD_yZyK", "RE-29.075787499999993")</f>
        <v>RE-29.075787499999993</v>
      </c>
      <c r="R359" s="18">
        <f>HYPERLINK("https://docs.google.com/spreadsheets/d/1-S1CNd8ejRwo3XIx7c-xXi2SpyIw1Zqs", 56.4989083333333)</f>
        <v>56.49890833</v>
      </c>
      <c r="S359" s="18" t="str">
        <f>HYPERLINK("https://docs.google.com/spreadsheets/d/15_DJ7UaEcgMPdevBdn_iMrPOujwtPx6g", "RE-3.1751583333333335")</f>
        <v>RE-3.1751583333333335</v>
      </c>
      <c r="T359" s="18">
        <f>HYPERLINK("https://docs.google.com/spreadsheets/d/1y4Y3seDa-EhQJhDfMckMsva35XTM5cNw", 269.366726041666)</f>
        <v>269.366726</v>
      </c>
      <c r="U359" s="18" t="str">
        <f>HYPERLINK("https://docs.google.com/spreadsheets/d/1WYpJ9P5f84NkjO5fwDK45E4XumpRUHJu", "RE-9.1998625")</f>
        <v>RE-9.1998625</v>
      </c>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c r="DP359" s="17"/>
      <c r="DQ359" s="17"/>
      <c r="DR359" s="17"/>
      <c r="DS359" s="17"/>
      <c r="DT359" s="17"/>
      <c r="DU359" s="17"/>
      <c r="DV359" s="17"/>
      <c r="DW359" s="17"/>
      <c r="DX359" s="17"/>
      <c r="DY359" s="17"/>
      <c r="DZ359" s="17"/>
      <c r="EA359" s="17"/>
      <c r="EB359" s="17"/>
      <c r="EC359" s="17"/>
      <c r="ED359" s="17"/>
      <c r="EE359" s="17"/>
      <c r="EF359" s="17"/>
      <c r="EG359" s="17"/>
      <c r="EH359" s="17"/>
      <c r="EI359" s="17"/>
      <c r="EJ359" s="17"/>
      <c r="EK359" s="17"/>
      <c r="EL359" s="17"/>
      <c r="EM359" s="17"/>
      <c r="EN359" s="17"/>
      <c r="EO359" s="17"/>
      <c r="EP359" s="17"/>
      <c r="EQ359" s="17"/>
      <c r="ER359" s="17"/>
      <c r="ES359" s="17"/>
      <c r="ET359" s="17"/>
      <c r="EU359" s="17"/>
      <c r="EV359" s="17"/>
      <c r="EW359" s="17"/>
      <c r="EX359" s="17"/>
      <c r="EY359" s="17"/>
      <c r="EZ359" s="17"/>
      <c r="FA359" s="17"/>
      <c r="FB359" s="17"/>
      <c r="FC359" s="17"/>
      <c r="FD359" s="17"/>
      <c r="FE359" s="17"/>
      <c r="FF359" s="17"/>
      <c r="FG359" s="17"/>
      <c r="FH359" s="17"/>
    </row>
    <row r="360">
      <c r="A360" s="32" t="s">
        <v>54</v>
      </c>
      <c r="B360" s="32" t="s">
        <v>66</v>
      </c>
      <c r="C360" s="32" t="s">
        <v>13</v>
      </c>
      <c r="D360" s="16">
        <f t="shared" si="1"/>
        <v>1054.9925</v>
      </c>
      <c r="E360" s="17"/>
      <c r="F360" s="18" t="str">
        <f>HYPERLINK("https://docs.google.com/spreadsheets/d/1MTwlE-lctt588iHwoBJgZ5R2VwyCh-WI?usp=share_link", "RE-118.123")</f>
        <v>RE-118.123</v>
      </c>
      <c r="G360" s="18" t="str">
        <f>HYPERLINK("https://docs.google.com/spreadsheets/d/1QMFskQsR0OGHcoQKL2BKp43goXqRNg-E?usp=share_link", "RE-2.17862")</f>
        <v>RE-2.17862</v>
      </c>
      <c r="H360" s="18" t="str">
        <f>HYPERLINK("https://docs.google.com/spreadsheets/d/1Yo_v9x5DA3dmLVNK83LTE0i4VcmZYeN_?usp=share_link", "RE-19.5857")</f>
        <v>RE-19.5857</v>
      </c>
      <c r="I360" s="17"/>
      <c r="J360" s="18" t="str">
        <f>HYPERLINK("https://docs.google.com/spreadsheets/d/1s64BAcmo4WSngobegVVIuMR719nYUezY?usp=share_link", "RE-140.116")</f>
        <v>RE-140.116</v>
      </c>
      <c r="K360" s="18" t="str">
        <f>HYPERLINK("https://docs.google.com/spreadsheets/d/1V4W3UY-4W9uigpEEZJJv0QWWGDA-WYrI?usp=share_link", "RE-2.47798")</f>
        <v>RE-2.47798</v>
      </c>
      <c r="L360" s="18">
        <f>HYPERLINK("https://docs.google.com/spreadsheets/d/1yAMd902zFpVbiAZ-6bMy-HMUxelKKCwD?usp=share_link", 669.076)</f>
        <v>669.076</v>
      </c>
      <c r="M360" s="18" t="str">
        <f>HYPERLINK("https://docs.google.com/spreadsheets/d/1iJVU33z0s9Nq2ryd4qmyA6U0LIGCzfn9?usp=share_link", "RE-4.72008")</f>
        <v>RE-4.72008</v>
      </c>
      <c r="N360" s="18" t="str">
        <f>HYPERLINK("https://docs.google.com/spreadsheets/d/1HkFXG9SkdwNXeMfuSXs6Knd1MY0E26wD?usp=share_link", "RE-256.926")</f>
        <v>RE-256.926</v>
      </c>
      <c r="O360" s="18" t="str">
        <f>HYPERLINK("https://docs.google.com/spreadsheets/d/1txDPXvIzTLTquBSR6XbozeQmHmosWuxH?usp=share_link", "RE-4.23677")</f>
        <v>RE-4.23677</v>
      </c>
      <c r="P360" s="18">
        <f>HYPERLINK("https://docs.google.com/spreadsheets/d/1LW3yABe0gmGTI29pJE1S8gRsFCpjD1L9?usp=share_link", 74.1532)</f>
        <v>74.1532</v>
      </c>
      <c r="Q360" s="18" t="str">
        <f>HYPERLINK("https://docs.google.com/spreadsheets/d/1wS0H1sEZe7ajSMOj4kyWE6n0TySoOkOZ?usp=share_link", "RE-27.6114")</f>
        <v>RE-27.6114</v>
      </c>
      <c r="R360" s="18">
        <f>HYPERLINK("https://docs.google.com/spreadsheets/d/1yiXIat1sO4-QPtSVeaHU2jet_H6umefn?usp=share_link", 54.4583)</f>
        <v>54.4583</v>
      </c>
      <c r="S360" s="18" t="str">
        <f>HYPERLINK("https://docs.google.com/spreadsheets/d/1grCwOMfzAC_xwJb4Ho6kgIKIzd3iK5gY?usp=share_link", "RE-3.08795")</f>
        <v>RE-3.08795</v>
      </c>
      <c r="T360" s="18">
        <f>HYPERLINK("https://docs.google.com/spreadsheets/d/1d6t_bfp7ZfJaJAWzwUfoGY5Vawlr3GHG?usp=share_link", 257.305)</f>
        <v>257.305</v>
      </c>
      <c r="U360" s="18" t="str">
        <f>HYPERLINK("https://docs.google.com/spreadsheets/d/1Zpbecx0O4L8cZeQS6rj8QcihNrgbki5O?usp=share_link", "RE-8.67643")</f>
        <v>RE-8.67643</v>
      </c>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c r="DE360" s="17"/>
      <c r="DF360" s="17"/>
      <c r="DG360" s="17"/>
      <c r="DH360" s="17"/>
      <c r="DI360" s="17"/>
      <c r="DJ360" s="17"/>
      <c r="DK360" s="17"/>
      <c r="DL360" s="17"/>
      <c r="DM360" s="17"/>
      <c r="DN360" s="17"/>
      <c r="DO360" s="17"/>
      <c r="DP360" s="17"/>
      <c r="DQ360" s="17"/>
      <c r="DR360" s="17"/>
      <c r="DS360" s="17"/>
      <c r="DT360" s="17"/>
      <c r="DU360" s="17"/>
      <c r="DV360" s="17"/>
      <c r="DW360" s="17"/>
      <c r="DX360" s="17"/>
      <c r="DY360" s="17"/>
      <c r="DZ360" s="17"/>
      <c r="EA360" s="17"/>
      <c r="EB360" s="17"/>
      <c r="EC360" s="17"/>
      <c r="ED360" s="17"/>
      <c r="EE360" s="17"/>
      <c r="EF360" s="17"/>
      <c r="EG360" s="17"/>
      <c r="EH360" s="17"/>
      <c r="EI360" s="17"/>
      <c r="EJ360" s="17"/>
      <c r="EK360" s="17"/>
      <c r="EL360" s="17"/>
      <c r="EM360" s="17"/>
      <c r="EN360" s="17"/>
      <c r="EO360" s="17"/>
      <c r="EP360" s="17"/>
      <c r="EQ360" s="17"/>
      <c r="ER360" s="17"/>
      <c r="ES360" s="17"/>
      <c r="ET360" s="17"/>
      <c r="EU360" s="17"/>
      <c r="EV360" s="17"/>
      <c r="EW360" s="17"/>
      <c r="EX360" s="17"/>
      <c r="EY360" s="17"/>
      <c r="EZ360" s="17"/>
      <c r="FA360" s="17"/>
      <c r="FB360" s="17"/>
      <c r="FC360" s="17"/>
      <c r="FD360" s="17"/>
      <c r="FE360" s="17"/>
      <c r="FF360" s="17"/>
      <c r="FG360" s="17"/>
      <c r="FH360" s="17"/>
    </row>
    <row r="361">
      <c r="A361" s="32" t="s">
        <v>54</v>
      </c>
      <c r="B361" s="32" t="s">
        <v>66</v>
      </c>
      <c r="C361" s="32" t="s">
        <v>14</v>
      </c>
      <c r="D361" s="16">
        <f t="shared" si="1"/>
        <v>942.0182</v>
      </c>
      <c r="E361" s="17"/>
      <c r="F361" s="18" t="str">
        <f>HYPERLINK("https://docs.google.com/spreadsheets/d/1E9qdrSt1W_DFI-69WMMSyrqYq_u87dLs?usp=share_link", "RE-99.2875")</f>
        <v>RE-99.2875</v>
      </c>
      <c r="G361" s="18" t="str">
        <f>HYPERLINK("https://docs.google.com/spreadsheets/d/1lwOyaVF3OQ_IINMofcDaQTBbY_q967Rb?usp=share_link", "RE-1.97503")</f>
        <v>RE-1.97503</v>
      </c>
      <c r="H361" s="18" t="str">
        <f>HYPERLINK("https://docs.google.com/spreadsheets/d/1VY8N4aTF-v1S7j9VoXXe-3piyPY9MjmD?usp=share_link", "RE-18.0694")</f>
        <v>RE-18.0694</v>
      </c>
      <c r="I361" s="17"/>
      <c r="J361" s="18" t="str">
        <f>HYPERLINK("https://docs.google.com/spreadsheets/d/1b-cmr7YIQum5Grvx3jcfDI5QkUo4kqBG?usp=share_link", "RE-131.346")</f>
        <v>RE-131.346</v>
      </c>
      <c r="K361" s="18" t="str">
        <f>HYPERLINK("https://docs.google.com/spreadsheets/d/1tktX7t0ZIvgCr0t9s_LWZaDTCZNF--GO?usp=share_link", "RE-2.47798")</f>
        <v>RE-2.47798</v>
      </c>
      <c r="L361" s="18">
        <f>HYPERLINK("https://docs.google.com/spreadsheets/d/1twOiqc67jvuOa3lJvqI4k6e94PUOnJ8Y?usp=share_link", 602.14)</f>
        <v>602.14</v>
      </c>
      <c r="M361" s="18" t="str">
        <f>HYPERLINK("https://docs.google.com/spreadsheets/d/1Z72sAsgSEP66aKKPVuYUVGBMTSqBcAe-?usp=share_link", "RE-4.72008")</f>
        <v>RE-4.72008</v>
      </c>
      <c r="N361" s="18" t="str">
        <f>HYPERLINK("https://docs.google.com/spreadsheets/d/1Hy8A1Fexs2CPaOazYCuQMfXCy1gnSzYf?usp=share_link", "RE-225.9")</f>
        <v>RE-225.9</v>
      </c>
      <c r="O361" s="18" t="str">
        <f>HYPERLINK("https://docs.google.com/spreadsheets/d/1J6T50jVHKPr-sN4GAx4cpZqfBM1F0WqS?usp=share_link", "RE-4.08347")</f>
        <v>RE-4.08347</v>
      </c>
      <c r="P361" s="18">
        <f>HYPERLINK("https://docs.google.com/spreadsheets/d/1CbCJjApSbvkSPDu83eq1pVuErExLWpgT?usp=share_link", 63.3513)</f>
        <v>63.3513</v>
      </c>
      <c r="Q361" s="18" t="str">
        <f>HYPERLINK("https://docs.google.com/spreadsheets/d/1wlOsHTA-ScXnn0jDm0JArQRD3QZOAXEn?usp=share_link", "RE-24.6568")</f>
        <v>RE-24.6568</v>
      </c>
      <c r="R361" s="18">
        <f>HYPERLINK("https://docs.google.com/spreadsheets/d/1DHjm8he5XoKFhfHWNC8ijbHkyw2AEi-B?usp=share_link", 49.2369)</f>
        <v>49.2369</v>
      </c>
      <c r="S361" s="18" t="str">
        <f>HYPERLINK("https://docs.google.com/spreadsheets/d/149TpuClH1HjaI6LjD68jo4e4s2djLGxo?usp=share_link", "RE-2.68678")</f>
        <v>RE-2.68678</v>
      </c>
      <c r="T361" s="18">
        <f>HYPERLINK("https://docs.google.com/spreadsheets/d/1OLYnCFkomSijGJjQEhu2PVpLi-8mFdGP?usp=share_link", 227.29)</f>
        <v>227.29</v>
      </c>
      <c r="U361" s="18" t="str">
        <f>HYPERLINK("https://docs.google.com/spreadsheets/d/1_rGLgiPHc7nwfXWOH2Us-bpW3hPy7bTv?usp=share_link", "RE-7.79082")</f>
        <v>RE-7.79082</v>
      </c>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c r="DE361" s="17"/>
      <c r="DF361" s="17"/>
      <c r="DG361" s="17"/>
      <c r="DH361" s="17"/>
      <c r="DI361" s="17"/>
      <c r="DJ361" s="17"/>
      <c r="DK361" s="17"/>
      <c r="DL361" s="17"/>
      <c r="DM361" s="17"/>
      <c r="DN361" s="17"/>
      <c r="DO361" s="17"/>
      <c r="DP361" s="17"/>
      <c r="DQ361" s="17"/>
      <c r="DR361" s="17"/>
      <c r="DS361" s="17"/>
      <c r="DT361" s="17"/>
      <c r="DU361" s="17"/>
      <c r="DV361" s="17"/>
      <c r="DW361" s="17"/>
      <c r="DX361" s="17"/>
      <c r="DY361" s="17"/>
      <c r="DZ361" s="17"/>
      <c r="EA361" s="17"/>
      <c r="EB361" s="17"/>
      <c r="EC361" s="17"/>
      <c r="ED361" s="17"/>
      <c r="EE361" s="17"/>
      <c r="EF361" s="17"/>
      <c r="EG361" s="17"/>
      <c r="EH361" s="17"/>
      <c r="EI361" s="17"/>
      <c r="EJ361" s="17"/>
      <c r="EK361" s="17"/>
      <c r="EL361" s="17"/>
      <c r="EM361" s="17"/>
      <c r="EN361" s="17"/>
      <c r="EO361" s="17"/>
      <c r="EP361" s="17"/>
      <c r="EQ361" s="17"/>
      <c r="ER361" s="17"/>
      <c r="ES361" s="17"/>
      <c r="ET361" s="17"/>
      <c r="EU361" s="17"/>
      <c r="EV361" s="17"/>
      <c r="EW361" s="17"/>
      <c r="EX361" s="17"/>
      <c r="EY361" s="17"/>
      <c r="EZ361" s="17"/>
      <c r="FA361" s="17"/>
      <c r="FB361" s="17"/>
      <c r="FC361" s="17"/>
      <c r="FD361" s="17"/>
      <c r="FE361" s="17"/>
      <c r="FF361" s="17"/>
      <c r="FG361" s="17"/>
      <c r="FH361" s="17"/>
    </row>
    <row r="362">
      <c r="A362" s="27" t="s">
        <v>54</v>
      </c>
      <c r="B362" s="27" t="s">
        <v>66</v>
      </c>
      <c r="C362" s="27" t="s">
        <v>15</v>
      </c>
      <c r="D362" s="28">
        <f t="shared" si="1"/>
        <v>1054.8585</v>
      </c>
      <c r="E362" s="33"/>
      <c r="F362" s="34" t="str">
        <f>HYPERLINK("https://docs.google.com/spreadsheets/d/1R6Wj0p67ANHFGYizctHtD-DqOEQ_HLEX?usp=share_link", "RE-118.123")</f>
        <v>RE-118.123</v>
      </c>
      <c r="G362" s="34" t="str">
        <f>HYPERLINK("https://docs.google.com/spreadsheets/d/1X2FtbGJt3sTToSdm-AxYQpDveiTfgc9z?usp=share_link", "RE-2.17862")</f>
        <v>RE-2.17862</v>
      </c>
      <c r="H362" s="34" t="str">
        <f>HYPERLINK("https://docs.google.com/spreadsheets/d/13AnKmh5eA3gKxV5q1_wzItd7z4DiAbgG?usp=share_link", "RE-19.5857")</f>
        <v>RE-19.5857</v>
      </c>
      <c r="I362" s="33"/>
      <c r="J362" s="34" t="str">
        <f>HYPERLINK("https://docs.google.com/spreadsheets/d/1dPc1x0Ytll5W1ELvg55yUJ0jVgh2M6_M?usp=share_link", "RE-140.116")</f>
        <v>RE-140.116</v>
      </c>
      <c r="K362" s="34" t="str">
        <f>HYPERLINK("https://docs.google.com/spreadsheets/d/13EftDdHPmhPMgCiTMFXLiHyQulBoP0ZS?usp=share_link", "RE-2.47798")</f>
        <v>RE-2.47798</v>
      </c>
      <c r="L362" s="34">
        <f>HYPERLINK("https://docs.google.com/spreadsheets/d/19kZZ--pYJTkoXcb2b-H1o5RH1h2GtqfV?usp=share_link", 669.076)</f>
        <v>669.076</v>
      </c>
      <c r="M362" s="34" t="str">
        <f>HYPERLINK("https://docs.google.com/spreadsheets/d/1j2zx-6Ly3njFYpIsigvFt1w9fa5MC0FJ?usp=share_link", "RE-4.72008")</f>
        <v>RE-4.72008</v>
      </c>
      <c r="N362" s="34" t="str">
        <f>HYPERLINK("https://docs.google.com/spreadsheets/d/1x612iwH1hCpDoiGYa5LZ_LJFxfsaP8dX?usp=share_link", "RE-256.926")</f>
        <v>RE-256.926</v>
      </c>
      <c r="O362" s="34" t="str">
        <f>HYPERLINK("https://docs.google.com/spreadsheets/d/1o9iJdFTLll8urWrfweqkLGEb9ng6XTF1?usp=share_link", "RE-4.23677")</f>
        <v>RE-4.23677</v>
      </c>
      <c r="P362" s="34">
        <f>HYPERLINK("https://docs.google.com/spreadsheets/d/1qgBY5XyHt-cx6HqMwrtXD2AWRC6lwf5M?usp=share_link", 74.1397)</f>
        <v>74.1397</v>
      </c>
      <c r="Q362" s="34" t="str">
        <f>HYPERLINK("https://docs.google.com/spreadsheets/d/1uRBYMzcWgZXNKUUhAMBzECOyO4AZ9g_r?usp=share_link", "RE-27.6114")</f>
        <v>RE-27.6114</v>
      </c>
      <c r="R362" s="34">
        <f>HYPERLINK("https://docs.google.com/spreadsheets/d/1mtWox5we-Zt_n0RQuaFxO_TMOqqt2N4F?usp=share_link", 54.3378)</f>
        <v>54.3378</v>
      </c>
      <c r="S362" s="34" t="str">
        <f>HYPERLINK("https://docs.google.com/spreadsheets/d/1J1E-Bs852bIwzq4Ro2uJd2KqCG9L9c5z?usp=share_link", "RE-3.08795")</f>
        <v>RE-3.08795</v>
      </c>
      <c r="T362" s="34">
        <f>HYPERLINK("https://docs.google.com/spreadsheets/d/1PQo7_oErHpZsMAglhsMqtmPDE1lRYQAD?usp=share_link", 257.305)</f>
        <v>257.305</v>
      </c>
      <c r="U362" s="34" t="str">
        <f>HYPERLINK("https://docs.google.com/spreadsheets/d/1dM7AaFrEepLrh5BSnjZl56IaS6RMIbGw?usp=share_link", "RE-8.67643")</f>
        <v>RE-8.67643</v>
      </c>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c r="BA362" s="33"/>
      <c r="BB362" s="33"/>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c r="CG362" s="33"/>
      <c r="CH362" s="33"/>
      <c r="CI362" s="33"/>
      <c r="CJ362" s="33"/>
      <c r="CK362" s="33"/>
      <c r="CL362" s="33"/>
      <c r="CM362" s="33"/>
      <c r="CN362" s="33"/>
      <c r="CO362" s="33"/>
      <c r="CP362" s="33"/>
      <c r="CQ362" s="33"/>
      <c r="CR362" s="33"/>
      <c r="CS362" s="33"/>
      <c r="CT362" s="33"/>
      <c r="CU362" s="33"/>
      <c r="CV362" s="33"/>
      <c r="CW362" s="33"/>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c r="DT362" s="33"/>
      <c r="DU362" s="33"/>
      <c r="DV362" s="33"/>
      <c r="DW362" s="33"/>
      <c r="DX362" s="33"/>
      <c r="DY362" s="33"/>
      <c r="DZ362" s="33"/>
      <c r="EA362" s="33"/>
      <c r="EB362" s="33"/>
      <c r="EC362" s="33"/>
      <c r="ED362" s="33"/>
      <c r="EE362" s="33"/>
      <c r="EF362" s="33"/>
      <c r="EG362" s="33"/>
      <c r="EH362" s="33"/>
      <c r="EI362" s="33"/>
      <c r="EJ362" s="33"/>
      <c r="EK362" s="33"/>
      <c r="EL362" s="33"/>
      <c r="EM362" s="33"/>
      <c r="EN362" s="33"/>
      <c r="EO362" s="33"/>
      <c r="EP362" s="33"/>
      <c r="EQ362" s="33"/>
      <c r="ER362" s="33"/>
      <c r="ES362" s="33"/>
      <c r="ET362" s="33"/>
      <c r="EU362" s="33"/>
      <c r="EV362" s="33"/>
      <c r="EW362" s="33"/>
      <c r="EX362" s="33"/>
      <c r="EY362" s="33"/>
      <c r="EZ362" s="33"/>
      <c r="FA362" s="33"/>
      <c r="FB362" s="33"/>
      <c r="FC362" s="33"/>
      <c r="FD362" s="33"/>
      <c r="FE362" s="33"/>
      <c r="FF362" s="33"/>
      <c r="FG362" s="33"/>
      <c r="FH362" s="33"/>
    </row>
    <row r="363">
      <c r="A363" s="30" t="s">
        <v>67</v>
      </c>
      <c r="B363" s="30" t="s">
        <v>68</v>
      </c>
      <c r="C363" s="31" t="str">
        <f>HYPERLINK("https://docs.google.com/spreadsheets/d/1j7f4PQU_1iVOjLWBWjDknTCzpUY8ynrH/edit?usp=share_link&amp;ouid=106501987799020758802&amp;rtpof=true&amp;sd=true", "Raw Delivered")</f>
        <v>Raw Delivered</v>
      </c>
      <c r="D363" s="12">
        <f t="shared" si="1"/>
        <v>6188.12548</v>
      </c>
      <c r="E363" s="13"/>
      <c r="F363" s="14">
        <f>HYPERLINK("https://docs.google.com/spreadsheets/d/1k22QUi3nq28UZ8dgXxRb24Z8eEoEBkBD", 456.818239583333)</f>
        <v>456.8182396</v>
      </c>
      <c r="G363" s="13"/>
      <c r="H363" s="14">
        <f>HYPERLINK("https://docs.google.com/spreadsheets/d/1YCn6H1cTgrRoJLrvKKQ5WRGM8YJIMLYf", 44.88873125)</f>
        <v>44.88873125</v>
      </c>
      <c r="I363" s="13"/>
      <c r="J363" s="14">
        <f>HYPERLINK("https://docs.google.com/spreadsheets/d/1TC-ZmZXZgM41ZzDIWGpYcAAbvzUyYWXa", 2948.99995520833)</f>
        <v>2948.999955</v>
      </c>
      <c r="K363" s="13"/>
      <c r="L363" s="14">
        <f t="shared" ref="L363:L364" si="182">HYPERLINK("https://docs.google.com/spreadsheets/d/1p7O5wgUCEwZ_2nuSAj79MoOPeTCD0Xzf", 376.484516666666)</f>
        <v>376.4845167</v>
      </c>
      <c r="M363" s="13"/>
      <c r="N363" s="14">
        <f>HYPERLINK("https://docs.google.com/spreadsheets/d/1nc-iV0oRvr3Mt9S3FG8Jr7oFCa5aX4UY", 1251.931490625)</f>
        <v>1251.931491</v>
      </c>
      <c r="O363" s="13"/>
      <c r="P363" s="14">
        <f t="shared" ref="P363:P364" si="183">HYPERLINK("https://docs.google.com/spreadsheets/d/1rsBYqOtpB4DVp3Mj06HS32iRdz5q6C78", 651.349463541667)</f>
        <v>651.3494635</v>
      </c>
      <c r="Q363" s="13"/>
      <c r="R363" s="14">
        <f t="shared" ref="R363:R364" si="184">HYPERLINK("https://docs.google.com/spreadsheets/d/1XQi35LB2I-mVfs_-urnsT5VaiI-ujODm", 188.013703125)</f>
        <v>188.0137031</v>
      </c>
      <c r="S363" s="13"/>
      <c r="T363" s="14">
        <f t="shared" ref="T363:T364" si="185">HYPERLINK("https://docs.google.com/spreadsheets/d/1B7_sTDkgd2jCgv4DWthChdu4ScrG19Je", 269.639380208333)</f>
        <v>269.6393802</v>
      </c>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row>
    <row r="364">
      <c r="A364" s="32" t="s">
        <v>67</v>
      </c>
      <c r="B364" s="32" t="s">
        <v>68</v>
      </c>
      <c r="C364" s="32" t="s">
        <v>9</v>
      </c>
      <c r="D364" s="16">
        <f t="shared" si="1"/>
        <v>1485.487064</v>
      </c>
      <c r="E364" s="17"/>
      <c r="F364" s="18" t="str">
        <f>HYPERLINK("https://docs.google.com/spreadsheets/d/1k22QUi3nq28UZ8dgXxRb24Z8eEoEBkBD", "RE-456.8182395833335")</f>
        <v>RE-456.8182395833335</v>
      </c>
      <c r="G364" s="17"/>
      <c r="H364" s="18" t="str">
        <f>HYPERLINK("https://docs.google.com/spreadsheets/d/1YCn6H1cTgrRoJLrvKKQ5WRGM8YJIMLYf", "RE-44.888731250000006")</f>
        <v>RE-44.888731250000006</v>
      </c>
      <c r="I364" s="17"/>
      <c r="J364" s="18" t="str">
        <f>HYPERLINK("https://docs.google.com/spreadsheets/d/1TC-ZmZXZgM41ZzDIWGpYcAAbvzUyYWXa", "RE-2948.9999552083386")</f>
        <v>RE-2948.9999552083386</v>
      </c>
      <c r="K364" s="17"/>
      <c r="L364" s="18">
        <f t="shared" si="182"/>
        <v>376.4845167</v>
      </c>
      <c r="M364" s="17"/>
      <c r="N364" s="18" t="str">
        <f>HYPERLINK("https://docs.google.com/spreadsheets/d/1nc-iV0oRvr3Mt9S3FG8Jr7oFCa5aX4UY", "RE-1251.9314906250015")</f>
        <v>RE-1251.9314906250015</v>
      </c>
      <c r="O364" s="17"/>
      <c r="P364" s="18">
        <f t="shared" si="183"/>
        <v>651.3494635</v>
      </c>
      <c r="Q364" s="17"/>
      <c r="R364" s="18">
        <f t="shared" si="184"/>
        <v>188.0137031</v>
      </c>
      <c r="S364" s="17"/>
      <c r="T364" s="18">
        <f t="shared" si="185"/>
        <v>269.6393802</v>
      </c>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c r="DE364" s="17"/>
      <c r="DF364" s="17"/>
      <c r="DG364" s="17"/>
      <c r="DH364" s="17"/>
      <c r="DI364" s="17"/>
      <c r="DJ364" s="17"/>
      <c r="DK364" s="17"/>
      <c r="DL364" s="17"/>
      <c r="DM364" s="17"/>
      <c r="DN364" s="17"/>
      <c r="DO364" s="17"/>
      <c r="DP364" s="17"/>
      <c r="DQ364" s="17"/>
      <c r="DR364" s="17"/>
      <c r="DS364" s="17"/>
      <c r="DT364" s="17"/>
      <c r="DU364" s="17"/>
      <c r="DV364" s="17"/>
      <c r="DW364" s="17"/>
      <c r="DX364" s="17"/>
      <c r="DY364" s="17"/>
      <c r="DZ364" s="17"/>
      <c r="EA364" s="17"/>
      <c r="EB364" s="17"/>
      <c r="EC364" s="17"/>
      <c r="ED364" s="17"/>
      <c r="EE364" s="17"/>
      <c r="EF364" s="17"/>
      <c r="EG364" s="17"/>
      <c r="EH364" s="17"/>
      <c r="EI364" s="17"/>
      <c r="EJ364" s="17"/>
      <c r="EK364" s="17"/>
      <c r="EL364" s="17"/>
      <c r="EM364" s="17"/>
      <c r="EN364" s="17"/>
      <c r="EO364" s="17"/>
      <c r="EP364" s="17"/>
      <c r="EQ364" s="17"/>
      <c r="ER364" s="17"/>
      <c r="ES364" s="17"/>
      <c r="ET364" s="17"/>
      <c r="EU364" s="17"/>
      <c r="EV364" s="17"/>
      <c r="EW364" s="17"/>
      <c r="EX364" s="17"/>
      <c r="EY364" s="17"/>
      <c r="EZ364" s="17"/>
      <c r="FA364" s="17"/>
      <c r="FB364" s="17"/>
      <c r="FC364" s="17"/>
      <c r="FD364" s="17"/>
      <c r="FE364" s="17"/>
      <c r="FF364" s="17"/>
      <c r="FG364" s="17"/>
      <c r="FH364" s="17"/>
    </row>
    <row r="365">
      <c r="A365" s="32" t="s">
        <v>67</v>
      </c>
      <c r="B365" s="32" t="s">
        <v>68</v>
      </c>
      <c r="C365" s="32" t="s">
        <v>10</v>
      </c>
      <c r="D365" s="16">
        <f t="shared" si="1"/>
        <v>557.2926906</v>
      </c>
      <c r="E365" s="17"/>
      <c r="F365" s="17"/>
      <c r="G365" s="18">
        <f>HYPERLINK("https://docs.google.com/spreadsheets/d/1-wzpPyeC8gZvefnAnGSPEA9cKcCNl4-0", 49.1270760416666)</f>
        <v>49.12707604</v>
      </c>
      <c r="H365" s="17"/>
      <c r="I365" s="18">
        <f>HYPERLINK("https://docs.google.com/spreadsheets/d/1RpgdDoBnT5kAf6gFkqm9n4MRKUvB5qfd", 0.501570833333333)</f>
        <v>0.5015708333</v>
      </c>
      <c r="J365" s="17"/>
      <c r="K365" s="18">
        <f>HYPERLINK("https://docs.google.com/spreadsheets/d/11DL1J8yf_EE2S8URramop3r1SovZODbh", 223.198528125)</f>
        <v>223.1985281</v>
      </c>
      <c r="L365" s="17"/>
      <c r="M365" s="18">
        <f>HYPERLINK("https://docs.google.com/spreadsheets/d/13U6YN1kvB9YUG37CyiMf3-LdaTX5u9fD", 14.3660385416666)</f>
        <v>14.36603854</v>
      </c>
      <c r="N365" s="17"/>
      <c r="O365" s="18">
        <f>HYPERLINK("https://docs.google.com/spreadsheets/d/1U-4WbgHRY0VV7sPm2yOZCN4YxL6Oe7_b", 188.822184375)</f>
        <v>188.8221844</v>
      </c>
      <c r="P365" s="17"/>
      <c r="Q365" s="18">
        <f>HYPERLINK("https://docs.google.com/spreadsheets/d/1kUxwHSlv4T_G08gP5fREs-uqsjm81rfW", 61.0440802083333)</f>
        <v>61.04408021</v>
      </c>
      <c r="R365" s="17"/>
      <c r="S365" s="18">
        <f>HYPERLINK("https://docs.google.com/spreadsheets/d/1fBoXp0hSxsZgyisKpyxBKWb1MJ6v_rki", 1.39029791666666)</f>
        <v>1.390297917</v>
      </c>
      <c r="T365" s="17"/>
      <c r="U365" s="18">
        <f>HYPERLINK("https://docs.google.com/spreadsheets/d/1E0IeSaNn1gtHCwnXNrlAAlwfCE9P0cWp", 15.15795)</f>
        <v>15.15795</v>
      </c>
      <c r="V365" s="18">
        <f>HYPERLINK("https://docs.google.com/spreadsheets/d/1xQtIwFT1L38rmBZPvEzKHzc6WZVx5EZ_", 3.68496458333333)</f>
        <v>3.684964583</v>
      </c>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c r="DE365" s="17"/>
      <c r="DF365" s="17"/>
      <c r="DG365" s="17"/>
      <c r="DH365" s="17"/>
      <c r="DI365" s="17"/>
      <c r="DJ365" s="17"/>
      <c r="DK365" s="17"/>
      <c r="DL365" s="17"/>
      <c r="DM365" s="17"/>
      <c r="DN365" s="17"/>
      <c r="DO365" s="17"/>
      <c r="DP365" s="17"/>
      <c r="DQ365" s="17"/>
      <c r="DR365" s="17"/>
      <c r="DS365" s="17"/>
      <c r="DT365" s="17"/>
      <c r="DU365" s="17"/>
      <c r="DV365" s="17"/>
      <c r="DW365" s="17"/>
      <c r="DX365" s="17"/>
      <c r="DY365" s="17"/>
      <c r="DZ365" s="17"/>
      <c r="EA365" s="17"/>
      <c r="EB365" s="17"/>
      <c r="EC365" s="17"/>
      <c r="ED365" s="17"/>
      <c r="EE365" s="17"/>
      <c r="EF365" s="17"/>
      <c r="EG365" s="17"/>
      <c r="EH365" s="17"/>
      <c r="EI365" s="17"/>
      <c r="EJ365" s="17"/>
      <c r="EK365" s="17"/>
      <c r="EL365" s="17"/>
      <c r="EM365" s="17"/>
      <c r="EN365" s="17"/>
      <c r="EO365" s="17"/>
      <c r="EP365" s="17"/>
      <c r="EQ365" s="17"/>
      <c r="ER365" s="17"/>
      <c r="ES365" s="17"/>
      <c r="ET365" s="17"/>
      <c r="EU365" s="17"/>
      <c r="EV365" s="17"/>
      <c r="EW365" s="17"/>
      <c r="EX365" s="17"/>
      <c r="EY365" s="17"/>
      <c r="EZ365" s="17"/>
      <c r="FA365" s="17"/>
      <c r="FB365" s="17"/>
      <c r="FC365" s="17"/>
      <c r="FD365" s="17"/>
      <c r="FE365" s="17"/>
      <c r="FF365" s="17"/>
      <c r="FG365" s="17"/>
      <c r="FH365" s="17"/>
    </row>
    <row r="366">
      <c r="A366" s="32" t="s">
        <v>67</v>
      </c>
      <c r="B366" s="32" t="s">
        <v>68</v>
      </c>
      <c r="C366" s="32" t="s">
        <v>11</v>
      </c>
      <c r="D366" s="16">
        <f t="shared" si="1"/>
        <v>0</v>
      </c>
      <c r="E366" s="17"/>
      <c r="F366" s="17"/>
      <c r="G366" s="18" t="str">
        <f>HYPERLINK("https://docs.google.com/spreadsheets/d/1-wzpPyeC8gZvefnAnGSPEA9cKcCNl4-0", "RE-49.12707604166666")</f>
        <v>RE-49.12707604166666</v>
      </c>
      <c r="H366" s="17"/>
      <c r="I366" s="18" t="str">
        <f>HYPERLINK("https://docs.google.com/spreadsheets/d/1RpgdDoBnT5kAf6gFkqm9n4MRKUvB5qfd", "RE-0.5015708333333333")</f>
        <v>RE-0.5015708333333333</v>
      </c>
      <c r="J366" s="17"/>
      <c r="K366" s="18" t="str">
        <f>HYPERLINK("https://docs.google.com/spreadsheets/d/11DL1J8yf_EE2S8URramop3r1SovZODbh", "RE-223.19852812500002")</f>
        <v>RE-223.19852812500002</v>
      </c>
      <c r="L366" s="17"/>
      <c r="M366" s="18" t="str">
        <f>HYPERLINK("https://docs.google.com/spreadsheets/d/13U6YN1kvB9YUG37CyiMf3-LdaTX5u9fD", "RE-14.366038541666667")</f>
        <v>RE-14.366038541666667</v>
      </c>
      <c r="N366" s="17"/>
      <c r="O366" s="18" t="str">
        <f>HYPERLINK("https://docs.google.com/spreadsheets/d/1U-4WbgHRY0VV7sPm2yOZCN4YxL6Oe7_b", "RE-188.82218437500006")</f>
        <v>RE-188.82218437500006</v>
      </c>
      <c r="P366" s="17"/>
      <c r="Q366" s="18" t="str">
        <f>HYPERLINK("https://docs.google.com/spreadsheets/d/1kUxwHSlv4T_G08gP5fREs-uqsjm81rfW", "RE-61.04408020833334")</f>
        <v>RE-61.04408020833334</v>
      </c>
      <c r="R366" s="17"/>
      <c r="S366" s="18" t="str">
        <f>HYPERLINK("https://docs.google.com/spreadsheets/d/1fBoXp0hSxsZgyisKpyxBKWb1MJ6v_rki", "RE-1.390297916666667")</f>
        <v>RE-1.390297916666667</v>
      </c>
      <c r="T366" s="17"/>
      <c r="U366" s="18" t="str">
        <f>HYPERLINK("https://docs.google.com/spreadsheets/d/1E0IeSaNn1gtHCwnXNrlAAlwfCE9P0cWp", "RE-15.15795")</f>
        <v>RE-15.15795</v>
      </c>
      <c r="V366" s="18" t="str">
        <f>HYPERLINK("https://docs.google.com/spreadsheets/d/1xQtIwFT1L38rmBZPvEzKHzc6WZVx5EZ_", "RE-3.684964583333333")</f>
        <v>RE-3.684964583333333</v>
      </c>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c r="EJ366" s="17"/>
      <c r="EK366" s="17"/>
      <c r="EL366" s="17"/>
      <c r="EM366" s="17"/>
      <c r="EN366" s="17"/>
      <c r="EO366" s="17"/>
      <c r="EP366" s="17"/>
      <c r="EQ366" s="17"/>
      <c r="ER366" s="17"/>
      <c r="ES366" s="17"/>
      <c r="ET366" s="17"/>
      <c r="EU366" s="17"/>
      <c r="EV366" s="17"/>
      <c r="EW366" s="17"/>
      <c r="EX366" s="17"/>
      <c r="EY366" s="17"/>
      <c r="EZ366" s="17"/>
      <c r="FA366" s="17"/>
      <c r="FB366" s="17"/>
      <c r="FC366" s="17"/>
      <c r="FD366" s="17"/>
      <c r="FE366" s="17"/>
      <c r="FF366" s="17"/>
      <c r="FG366" s="17"/>
      <c r="FH366" s="17"/>
    </row>
    <row r="367">
      <c r="A367" s="32" t="s">
        <v>67</v>
      </c>
      <c r="B367" s="32" t="s">
        <v>68</v>
      </c>
      <c r="C367" s="32" t="s">
        <v>12</v>
      </c>
      <c r="D367" s="16">
        <f t="shared" si="1"/>
        <v>1430.990629</v>
      </c>
      <c r="E367" s="17"/>
      <c r="F367" s="18" t="str">
        <f>HYPERLINK("https://docs.google.com/spreadsheets/d/1Ctz8rYA_74kWBSmmCdjwk_GhDyqNjEpN", "RE-381.5132114583335")</f>
        <v>RE-381.5132114583335</v>
      </c>
      <c r="G367" s="18" t="str">
        <f>HYPERLINK("https://docs.google.com/spreadsheets/d/1IK96sCExvn7eNqPe2LW53Ceo_hU_oium", "RE-1.2153083333333334")</f>
        <v>RE-1.2153083333333334</v>
      </c>
      <c r="H367" s="18" t="str">
        <f>HYPERLINK("https://docs.google.com/spreadsheets/d/14vurWGbs7yEc_tY14yekqvcvSzZTJ363", "RE-43.90922291666667")</f>
        <v>RE-43.90922291666667</v>
      </c>
      <c r="I367" s="18" t="str">
        <f>HYPERLINK("https://docs.google.com/spreadsheets/d/1W2ZSX6YF8xJ50BtIPlcHcYTsmch5g2Bt", "RE-0.0")</f>
        <v>RE-0.0</v>
      </c>
      <c r="J367" s="18" t="str">
        <f>HYPERLINK("https://docs.google.com/spreadsheets/d/1n-IPVKPkCiP_Qq_3FjjYjidhMgLhPaIT", "RE-2536.37000625")</f>
        <v>RE-2536.37000625</v>
      </c>
      <c r="K367" s="18" t="str">
        <f>HYPERLINK("https://docs.google.com/spreadsheets/d/1Kz-Ja7JnhQfzNgktdBVWlms9axmE4bbC", "RE-8.198949999999998")</f>
        <v>RE-8.198949999999998</v>
      </c>
      <c r="L367" s="18">
        <f>HYPERLINK("https://docs.google.com/spreadsheets/d/1vkVqg5tib9q-uYEuIATY2FsCJe853A7O", 361.309593749999)</f>
        <v>361.3095937</v>
      </c>
      <c r="M367" s="18" t="str">
        <f>HYPERLINK("https://docs.google.com/spreadsheets/d/1YPLO9wVrkX2XGivyRdbyuSGWHI7aloIy", "RE-1.9475729166666664")</f>
        <v>RE-1.9475729166666664</v>
      </c>
      <c r="N367" s="18" t="str">
        <f>HYPERLINK("https://docs.google.com/spreadsheets/d/1QYn5fY6Bq30j1O2-tV7OMgfg6baroJFO", "RE-838.4121427083345")</f>
        <v>RE-838.4121427083345</v>
      </c>
      <c r="O367" s="18" t="str">
        <f>HYPERLINK("https://docs.google.com/spreadsheets/d/1KWPF3J3k2FoyGAL4FJCH732KATo3U181", "RE-7.987122916666666")</f>
        <v>RE-7.987122916666666</v>
      </c>
      <c r="P367" s="18">
        <f>HYPERLINK("https://docs.google.com/spreadsheets/d/1zNOsILiP4vaQRDs5i91v7rDu6KBMLTqJ", 628.1942625)</f>
        <v>628.1942625</v>
      </c>
      <c r="Q367" s="18" t="str">
        <f>HYPERLINK("https://docs.google.com/spreadsheets/d/15TYwEBOdAbBAcQ2gTXbU8Okhdbg-RH4d", "RE-14.950017708333338")</f>
        <v>RE-14.950017708333338</v>
      </c>
      <c r="R367" s="18">
        <f>HYPERLINK("https://docs.google.com/spreadsheets/d/1ffJvMFdkMvIOpttA0xeuimncKErk3Gwi", 182.074484375)</f>
        <v>182.0744844</v>
      </c>
      <c r="S367" s="18" t="str">
        <f>HYPERLINK("https://docs.google.com/spreadsheets/d/1wAmmlLVryaH7qsgysReJEGxgZtwRn8ct", "RE-0.6822041666666666")</f>
        <v>RE-0.6822041666666666</v>
      </c>
      <c r="T367" s="18">
        <f>HYPERLINK("https://docs.google.com/spreadsheets/d/1RijteDSMcfw79Ki_gTKO3a2GrdB8hDaB", 259.412288541666)</f>
        <v>259.4122885</v>
      </c>
      <c r="U367" s="18" t="str">
        <f>HYPERLINK("https://docs.google.com/spreadsheets/d/1k_WDtUxTWAsX9Os-SdVBeXh5wvgdV-DM", "RE-7.0260875")</f>
        <v>RE-7.0260875</v>
      </c>
      <c r="V367" s="18" t="str">
        <f>HYPERLINK("https://docs.google.com/spreadsheets/d/1zMaz2dyTmXuoEMRueusolL-aGfa-9bnl", "RE-2.7911333333333332")</f>
        <v>RE-2.7911333333333332</v>
      </c>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c r="DE367" s="17"/>
      <c r="DF367" s="17"/>
      <c r="DG367" s="17"/>
      <c r="DH367" s="17"/>
      <c r="DI367" s="17"/>
      <c r="DJ367" s="17"/>
      <c r="DK367" s="17"/>
      <c r="DL367" s="17"/>
      <c r="DM367" s="17"/>
      <c r="DN367" s="17"/>
      <c r="DO367" s="17"/>
      <c r="DP367" s="17"/>
      <c r="DQ367" s="17"/>
      <c r="DR367" s="17"/>
      <c r="DS367" s="17"/>
      <c r="DT367" s="17"/>
      <c r="DU367" s="17"/>
      <c r="DV367" s="17"/>
      <c r="DW367" s="17"/>
      <c r="DX367" s="17"/>
      <c r="DY367" s="17"/>
      <c r="DZ367" s="17"/>
      <c r="EA367" s="17"/>
      <c r="EB367" s="17"/>
      <c r="EC367" s="17"/>
      <c r="ED367" s="17"/>
      <c r="EE367" s="17"/>
      <c r="EF367" s="17"/>
      <c r="EG367" s="17"/>
      <c r="EH367" s="17"/>
      <c r="EI367" s="17"/>
      <c r="EJ367" s="17"/>
      <c r="EK367" s="17"/>
      <c r="EL367" s="17"/>
      <c r="EM367" s="17"/>
      <c r="EN367" s="17"/>
      <c r="EO367" s="17"/>
      <c r="EP367" s="17"/>
      <c r="EQ367" s="17"/>
      <c r="ER367" s="17"/>
      <c r="ES367" s="17"/>
      <c r="ET367" s="17"/>
      <c r="EU367" s="17"/>
      <c r="EV367" s="17"/>
      <c r="EW367" s="17"/>
      <c r="EX367" s="17"/>
      <c r="EY367" s="17"/>
      <c r="EZ367" s="17"/>
      <c r="FA367" s="17"/>
      <c r="FB367" s="17"/>
      <c r="FC367" s="17"/>
      <c r="FD367" s="17"/>
      <c r="FE367" s="17"/>
      <c r="FF367" s="17"/>
      <c r="FG367" s="17"/>
      <c r="FH367" s="17"/>
    </row>
    <row r="368">
      <c r="A368" s="32" t="s">
        <v>67</v>
      </c>
      <c r="B368" s="32" t="s">
        <v>68</v>
      </c>
      <c r="C368" s="32" t="s">
        <v>13</v>
      </c>
      <c r="D368" s="16">
        <f t="shared" si="1"/>
        <v>1375.192</v>
      </c>
      <c r="E368" s="17"/>
      <c r="F368" s="18" t="str">
        <f>HYPERLINK("https://docs.google.com/spreadsheets/d/1RE2KMHKl1eFq95z7VnhGaFfPIwtDuq6v?usp=share_link", "RE-368.754")</f>
        <v>RE-368.754</v>
      </c>
      <c r="G368" s="18" t="str">
        <f>HYPERLINK("https://docs.google.com/spreadsheets/d/1lOeNhG8YEKVZ3sQcJVdhwqFV4Qfp-2nK?usp=share_link", "RE-1.16322")</f>
        <v>RE-1.16322</v>
      </c>
      <c r="H368" s="18" t="str">
        <f>HYPERLINK("https://docs.google.com/spreadsheets/d/1frcBas5OzD1JHdu7_GOubsA49M8upcE0?usp=share_link", "RE-42.5859")</f>
        <v>RE-42.5859</v>
      </c>
      <c r="I368" s="17"/>
      <c r="J368" s="18" t="str">
        <f>HYPERLINK("https://docs.google.com/spreadsheets/d/1mZZfQXL9CYkwedFsqdUhCx341j0oOo7I?usp=share_link", "RE-2438.43")</f>
        <v>RE-2438.43</v>
      </c>
      <c r="K368" s="18" t="str">
        <f>HYPERLINK("https://docs.google.com/spreadsheets/d/1tHPFHqKBcXInb0WrmrnntTmhdxHncHgs?usp=share_link", "RE-7.98502")</f>
        <v>RE-7.98502</v>
      </c>
      <c r="L368" s="18">
        <f>HYPERLINK("https://docs.google.com/spreadsheets/d/1WrbEEygt6xxwhGlHgm543MC4HzGfWGTM?usp=share_link", 352.436)</f>
        <v>352.436</v>
      </c>
      <c r="M368" s="18" t="str">
        <f>HYPERLINK("https://docs.google.com/spreadsheets/d/1JYhtm11XJZbyiaFyMMa9nT3XZGzJhGMM?usp=share_link", "RE-1.86225")</f>
        <v>RE-1.86225</v>
      </c>
      <c r="N368" s="18" t="str">
        <f>HYPERLINK("https://docs.google.com/spreadsheets/d/1hHfTk2Zc9wu4PMrserfbvSgqqQ5ymvlV?usp=share_link", "RE-807.352")</f>
        <v>RE-807.352</v>
      </c>
      <c r="O368" s="18" t="str">
        <f>HYPERLINK("https://docs.google.com/spreadsheets/d/1dv1tZwNsSQqmEhYost9nhrih-_x-yU8N?usp=share_link", "RE-7.8175")</f>
        <v>RE-7.8175</v>
      </c>
      <c r="P368" s="18">
        <f>HYPERLINK("https://docs.google.com/spreadsheets/d/1A-hl4gEoLn0KqpVQimxrLE6cWx8I0qSq?usp=share_link", 596.592)</f>
        <v>596.592</v>
      </c>
      <c r="Q368" s="18" t="str">
        <f>HYPERLINK("https://docs.google.com/spreadsheets/d/1PS1PWkFNffy6NQYwTO1kWhryvn8sokwQ?usp=share_link", "RE-14.3699")</f>
        <v>RE-14.3699</v>
      </c>
      <c r="R368" s="18">
        <f>HYPERLINK("https://docs.google.com/spreadsheets/d/1H1nrfk8XprFbYjU-KK15L3i2SYIe17_S?usp=share_link", 176.449)</f>
        <v>176.449</v>
      </c>
      <c r="S368" s="18" t="str">
        <f>HYPERLINK("https://docs.google.com/spreadsheets/d/1nUFgKAmwo_gBQ2CmmKRyZLSg-M7jRA7c?usp=share_link", "RE-0.6616")</f>
        <v>RE-0.6616</v>
      </c>
      <c r="T368" s="18">
        <f>HYPERLINK("https://docs.google.com/spreadsheets/d/1_E6PWjm4yhsXFvfJKGoY7G8H6hizRa-s?usp=share_link", 249.715)</f>
        <v>249.715</v>
      </c>
      <c r="U368" s="18" t="str">
        <f>HYPERLINK("https://docs.google.com/spreadsheets/d/1Y55JWc48B4c9jUQvI1dcEAmEqDypaFlE?usp=share_link", "RE-6.66995")</f>
        <v>RE-6.66995</v>
      </c>
      <c r="V368" s="18" t="str">
        <f>HYPERLINK("https://docs.google.com/spreadsheets/d/1dFb2aqKAEIC6xAosL18KLGDsVA7_Z5Pw?usp=share_link", "RE-2.7359")</f>
        <v>RE-2.7359</v>
      </c>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c r="DE368" s="17"/>
      <c r="DF368" s="17"/>
      <c r="DG368" s="17"/>
      <c r="DH368" s="17"/>
      <c r="DI368" s="17"/>
      <c r="DJ368" s="17"/>
      <c r="DK368" s="17"/>
      <c r="DL368" s="17"/>
      <c r="DM368" s="17"/>
      <c r="DN368" s="17"/>
      <c r="DO368" s="17"/>
      <c r="DP368" s="17"/>
      <c r="DQ368" s="17"/>
      <c r="DR368" s="17"/>
      <c r="DS368" s="17"/>
      <c r="DT368" s="17"/>
      <c r="DU368" s="17"/>
      <c r="DV368" s="17"/>
      <c r="DW368" s="17"/>
      <c r="DX368" s="17"/>
      <c r="DY368" s="17"/>
      <c r="DZ368" s="17"/>
      <c r="EA368" s="17"/>
      <c r="EB368" s="17"/>
      <c r="EC368" s="17"/>
      <c r="ED368" s="17"/>
      <c r="EE368" s="17"/>
      <c r="EF368" s="17"/>
      <c r="EG368" s="17"/>
      <c r="EH368" s="17"/>
      <c r="EI368" s="17"/>
      <c r="EJ368" s="17"/>
      <c r="EK368" s="17"/>
      <c r="EL368" s="17"/>
      <c r="EM368" s="17"/>
      <c r="EN368" s="17"/>
      <c r="EO368" s="17"/>
      <c r="EP368" s="17"/>
      <c r="EQ368" s="17"/>
      <c r="ER368" s="17"/>
      <c r="ES368" s="17"/>
      <c r="ET368" s="17"/>
      <c r="EU368" s="17"/>
      <c r="EV368" s="17"/>
      <c r="EW368" s="17"/>
      <c r="EX368" s="17"/>
      <c r="EY368" s="17"/>
      <c r="EZ368" s="17"/>
      <c r="FA368" s="17"/>
      <c r="FB368" s="17"/>
      <c r="FC368" s="17"/>
      <c r="FD368" s="17"/>
      <c r="FE368" s="17"/>
      <c r="FF368" s="17"/>
      <c r="FG368" s="17"/>
      <c r="FH368" s="17"/>
    </row>
    <row r="369">
      <c r="A369" s="32" t="s">
        <v>67</v>
      </c>
      <c r="B369" s="32" t="s">
        <v>68</v>
      </c>
      <c r="C369" s="32" t="s">
        <v>14</v>
      </c>
      <c r="D369" s="16">
        <f t="shared" si="1"/>
        <v>1202.968</v>
      </c>
      <c r="E369" s="17"/>
      <c r="F369" s="18" t="str">
        <f>HYPERLINK("https://docs.google.com/spreadsheets/d/1nypd8TKlgdBjzWqkWJ_wFP6XM7MJRUQQ?usp=share_link", "RE-334.194")</f>
        <v>RE-334.194</v>
      </c>
      <c r="G369" s="18" t="str">
        <f>HYPERLINK("https://docs.google.com/spreadsheets/d/15Bk57xtwVG6W1VFSGDapT6MZnoPhYoqu?usp=share_link", "RE-1.04602")</f>
        <v>RE-1.04602</v>
      </c>
      <c r="H369" s="18" t="str">
        <f>HYPERLINK("https://docs.google.com/spreadsheets/d/1-cjFthBSAlKITT_JJCuGG6gJkHWkP3oY?usp=share_link", "RE-39.3504")</f>
        <v>RE-39.3504</v>
      </c>
      <c r="I369" s="17"/>
      <c r="J369" s="18" t="str">
        <f>HYPERLINK("https://docs.google.com/spreadsheets/d/1jiFn3x1FXbfz9VX4L1R8GuQht3adKg_A?usp=share_link", "RE-2266.79")</f>
        <v>RE-2266.79</v>
      </c>
      <c r="K369" s="18" t="str">
        <f>HYPERLINK("https://docs.google.com/spreadsheets/d/1tVjD88OiMnE9c5t48C8UdnnvuaYWwEgu?usp=share_link", "RE-7.40707")</f>
        <v>RE-7.40707</v>
      </c>
      <c r="L369" s="18">
        <f>HYPERLINK("https://docs.google.com/spreadsheets/d/16DjuziJ-XXfMUffPSnuKERaw9Ew0A6Ri?usp=share_link", 308.35)</f>
        <v>308.35</v>
      </c>
      <c r="M369" s="18" t="str">
        <f>HYPERLINK("https://docs.google.com/spreadsheets/d/1E6eOthN8wXKxqO1sYt5ZsGwOjbO0AJil?usp=share_link", "RE-1.43475")</f>
        <v>RE-1.43475</v>
      </c>
      <c r="N369" s="18" t="str">
        <f>HYPERLINK("https://docs.google.com/spreadsheets/d/1j5rN-Yy6Zr0M6qnsjHM79nNciURlcDCG?usp=share_link", "RE-716.892")</f>
        <v>RE-716.892</v>
      </c>
      <c r="O369" s="18" t="str">
        <f>HYPERLINK("https://docs.google.com/spreadsheets/d/1zqt2BaBPF8okZcy2U_tuhtl_bO9QyE2N?usp=share_link", "RE-6.91342")</f>
        <v>RE-6.91342</v>
      </c>
      <c r="P369" s="18">
        <f>HYPERLINK("https://docs.google.com/spreadsheets/d/1a-7geDvtUjtB-4Y0wNNzfCxJfmNT367d?usp=share_link", 534.28)</f>
        <v>534.28</v>
      </c>
      <c r="Q369" s="18" t="str">
        <f>HYPERLINK("https://docs.google.com/spreadsheets/d/1vzn5oj1Wbz1V0Cg4YcNZL_Xfii1m2jsu?usp=share_link", "RE-13.9286")</f>
        <v>RE-13.9286</v>
      </c>
      <c r="R369" s="18">
        <f>HYPERLINK("https://docs.google.com/spreadsheets/d/1W5bfnIVmNPV5ED5DbuXs2ACTMT7o8iYu?usp=share_link", 147.194)</f>
        <v>147.194</v>
      </c>
      <c r="S369" s="18" t="str">
        <f>HYPERLINK("https://docs.google.com/spreadsheets/d/1vr8iWNUP3gm6XW77N3z9HQ7CH4MthJ9c?usp=share_link", "RE-0.6616")</f>
        <v>RE-0.6616</v>
      </c>
      <c r="T369" s="18">
        <f>HYPERLINK("https://docs.google.com/spreadsheets/d/14NWXa_dfTiWjZyTbeCutkOdG84DHUfqE?usp=share_link", 213.144)</f>
        <v>213.144</v>
      </c>
      <c r="U369" s="18" t="str">
        <f>HYPERLINK("https://docs.google.com/spreadsheets/d/1MM6wbpZX697iRIrCQNqGVg6bvPL5wsiz?usp=share_link", "RE-6.2588")</f>
        <v>RE-6.2588</v>
      </c>
      <c r="V369" s="18" t="str">
        <f>HYPERLINK("https://docs.google.com/spreadsheets/d/1ADIzDcVEwoH53ImkM-XU1UNfUX7PYjGt?usp=share_link", "RE-2.19")</f>
        <v>RE-2.19</v>
      </c>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7"/>
      <c r="DQ369" s="17"/>
      <c r="DR369" s="17"/>
      <c r="DS369" s="17"/>
      <c r="DT369" s="17"/>
      <c r="DU369" s="17"/>
      <c r="DV369" s="17"/>
      <c r="DW369" s="17"/>
      <c r="DX369" s="17"/>
      <c r="DY369" s="17"/>
      <c r="DZ369" s="17"/>
      <c r="EA369" s="17"/>
      <c r="EB369" s="17"/>
      <c r="EC369" s="17"/>
      <c r="ED369" s="17"/>
      <c r="EE369" s="17"/>
      <c r="EF369" s="17"/>
      <c r="EG369" s="17"/>
      <c r="EH369" s="17"/>
      <c r="EI369" s="17"/>
      <c r="EJ369" s="17"/>
      <c r="EK369" s="17"/>
      <c r="EL369" s="17"/>
      <c r="EM369" s="17"/>
      <c r="EN369" s="17"/>
      <c r="EO369" s="17"/>
      <c r="EP369" s="17"/>
      <c r="EQ369" s="17"/>
      <c r="ER369" s="17"/>
      <c r="ES369" s="17"/>
      <c r="ET369" s="17"/>
      <c r="EU369" s="17"/>
      <c r="EV369" s="17"/>
      <c r="EW369" s="17"/>
      <c r="EX369" s="17"/>
      <c r="EY369" s="17"/>
      <c r="EZ369" s="17"/>
      <c r="FA369" s="17"/>
      <c r="FB369" s="17"/>
      <c r="FC369" s="17"/>
      <c r="FD369" s="17"/>
      <c r="FE369" s="17"/>
      <c r="FF369" s="17"/>
      <c r="FG369" s="17"/>
      <c r="FH369" s="17"/>
    </row>
    <row r="370">
      <c r="A370" s="27" t="s">
        <v>67</v>
      </c>
      <c r="B370" s="27" t="s">
        <v>68</v>
      </c>
      <c r="C370" s="27" t="s">
        <v>15</v>
      </c>
      <c r="D370" s="28">
        <f t="shared" si="1"/>
        <v>1375.192</v>
      </c>
      <c r="E370" s="33"/>
      <c r="F370" s="34" t="str">
        <f>HYPERLINK("https://docs.google.com/spreadsheets/d/1UDiqdeBsRti7NzQbKnA8gmhuID8pBLLB?usp=share_link", "RE-368.717")</f>
        <v>RE-368.717</v>
      </c>
      <c r="G370" s="34" t="str">
        <f>HYPERLINK("https://docs.google.com/spreadsheets/d/1qUEVJ8anfR-yJb-cz38atDmCcfarIMcT?usp=share_link", "RE-1.16322")</f>
        <v>RE-1.16322</v>
      </c>
      <c r="H370" s="34" t="str">
        <f>HYPERLINK("https://docs.google.com/spreadsheets/d/14Bph4pnm9CVLyuRKnHvImTWTNC9LJNND?usp=share_link", "RE-42.5859")</f>
        <v>RE-42.5859</v>
      </c>
      <c r="I370" s="33"/>
      <c r="J370" s="34" t="str">
        <f>HYPERLINK("https://docs.google.com/spreadsheets/d/1incdFwVy0pIfR22rdm3bgwtrpfbeKYmg?usp=share_link", "RE-2438.43")</f>
        <v>RE-2438.43</v>
      </c>
      <c r="K370" s="34" t="str">
        <f>HYPERLINK("https://docs.google.com/spreadsheets/d/1Es8G--Lb0eR5jG7FBAZrpxXA833dHWjo?usp=share_link", "RE-7.98502")</f>
        <v>RE-7.98502</v>
      </c>
      <c r="L370" s="34">
        <f>HYPERLINK("https://docs.google.com/spreadsheets/d/1CmdVbjquLyO6xXoRnveDyDBOu-CdHpDM?usp=share_link", 352.436)</f>
        <v>352.436</v>
      </c>
      <c r="M370" s="34" t="str">
        <f>HYPERLINK("https://docs.google.com/spreadsheets/d/1duXyhlqktoOez1g3IwihewFVBzaXUf-A?usp=share_link", "RE-1.86225")</f>
        <v>RE-1.86225</v>
      </c>
      <c r="N370" s="34" t="str">
        <f>HYPERLINK("https://docs.google.com/spreadsheets/d/1Cl5DIwjNBZcqa6zAsanW_cme-achuv1P?usp=share_link", "RE-807.352")</f>
        <v>RE-807.352</v>
      </c>
      <c r="O370" s="34" t="str">
        <f>HYPERLINK("https://docs.google.com/spreadsheets/d/1nzeTYduPWWxmL_40rYmPxHGu0HERsPva?usp=share_link", "RE-7.8175")</f>
        <v>RE-7.8175</v>
      </c>
      <c r="P370" s="34">
        <f>HYPERLINK("https://docs.google.com/spreadsheets/d/1gm7p71uAMowXJnoH1tMwfdHHlh8ToaaL?usp=share_link", 596.592)</f>
        <v>596.592</v>
      </c>
      <c r="Q370" s="34" t="str">
        <f>HYPERLINK("https://docs.google.com/spreadsheets/d/1uMy08aYJ3IMYUwIH_1WGKsmO7ZAJ-P0F?usp=share_link", "RE-14.3699")</f>
        <v>RE-14.3699</v>
      </c>
      <c r="R370" s="34">
        <f>HYPERLINK("https://docs.google.com/spreadsheets/d/1jMNa9weVhF9v5pPYHTteeZkGh69XHoaQ?usp=share_link", 176.449)</f>
        <v>176.449</v>
      </c>
      <c r="S370" s="34" t="str">
        <f>HYPERLINK("https://docs.google.com/spreadsheets/d/1r8Ka_0tXts2i4pr90JtTfOAEGIq2_oLp?usp=share_link", "RE-0.6616")</f>
        <v>RE-0.6616</v>
      </c>
      <c r="T370" s="34">
        <f>HYPERLINK("https://docs.google.com/spreadsheets/d/1lhxLvur_VkVCXEF3NOk2DaWXxsVsIGEp?usp=share_link", 249.715)</f>
        <v>249.715</v>
      </c>
      <c r="U370" s="34" t="str">
        <f>HYPERLINK("https://docs.google.com/spreadsheets/d/1vzL-_lXZ9BDtGU2J7XqeRvdrA10qkSzq?usp=share_link", "RE-6.66995")</f>
        <v>RE-6.66995</v>
      </c>
      <c r="V370" s="34" t="str">
        <f>HYPERLINK("https://docs.google.com/spreadsheets/d/12wN_95y3qJDtJ4YiWKA_LHKPHgRatBy_?usp=share_link", "RE-2.7359")</f>
        <v>RE-2.7359</v>
      </c>
      <c r="W370" s="33"/>
      <c r="X370" s="33"/>
      <c r="Y370" s="33"/>
      <c r="Z370" s="33"/>
      <c r="AA370" s="33"/>
      <c r="AB370" s="3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c r="BA370" s="33"/>
      <c r="BB370" s="33"/>
      <c r="BC370" s="33"/>
      <c r="BD370" s="33"/>
      <c r="BE370" s="33"/>
      <c r="BF370" s="33"/>
      <c r="BG370" s="33"/>
      <c r="BH370" s="33"/>
      <c r="BI370" s="33"/>
      <c r="BJ370" s="33"/>
      <c r="BK370" s="33"/>
      <c r="BL370" s="33"/>
      <c r="BM370" s="33"/>
      <c r="BN370" s="33"/>
      <c r="BO370" s="33"/>
      <c r="BP370" s="33"/>
      <c r="BQ370" s="33"/>
      <c r="BR370" s="33"/>
      <c r="BS370" s="33"/>
      <c r="BT370" s="33"/>
      <c r="BU370" s="33"/>
      <c r="BV370" s="33"/>
      <c r="BW370" s="33"/>
      <c r="BX370" s="33"/>
      <c r="BY370" s="33"/>
      <c r="BZ370" s="33"/>
      <c r="CA370" s="33"/>
      <c r="CB370" s="33"/>
      <c r="CC370" s="33"/>
      <c r="CD370" s="33"/>
      <c r="CE370" s="33"/>
      <c r="CF370" s="33"/>
      <c r="CG370" s="33"/>
      <c r="CH370" s="33"/>
      <c r="CI370" s="33"/>
      <c r="CJ370" s="33"/>
      <c r="CK370" s="33"/>
      <c r="CL370" s="33"/>
      <c r="CM370" s="33"/>
      <c r="CN370" s="33"/>
      <c r="CO370" s="33"/>
      <c r="CP370" s="33"/>
      <c r="CQ370" s="33"/>
      <c r="CR370" s="33"/>
      <c r="CS370" s="33"/>
      <c r="CT370" s="33"/>
      <c r="CU370" s="33"/>
      <c r="CV370" s="33"/>
      <c r="CW370" s="33"/>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c r="EI370" s="33"/>
      <c r="EJ370" s="33"/>
      <c r="EK370" s="33"/>
      <c r="EL370" s="33"/>
      <c r="EM370" s="33"/>
      <c r="EN370" s="33"/>
      <c r="EO370" s="33"/>
      <c r="EP370" s="33"/>
      <c r="EQ370" s="33"/>
      <c r="ER370" s="33"/>
      <c r="ES370" s="33"/>
      <c r="ET370" s="33"/>
      <c r="EU370" s="33"/>
      <c r="EV370" s="33"/>
      <c r="EW370" s="33"/>
      <c r="EX370" s="33"/>
      <c r="EY370" s="33"/>
      <c r="EZ370" s="33"/>
      <c r="FA370" s="33"/>
      <c r="FB370" s="33"/>
      <c r="FC370" s="33"/>
      <c r="FD370" s="33"/>
      <c r="FE370" s="33"/>
      <c r="FF370" s="33"/>
      <c r="FG370" s="33"/>
      <c r="FH370" s="33"/>
    </row>
    <row r="371">
      <c r="A371" s="30" t="s">
        <v>69</v>
      </c>
      <c r="B371" s="30" t="s">
        <v>70</v>
      </c>
      <c r="C371" s="31" t="str">
        <f>HYPERLINK("https://docs.google.com/spreadsheets/d/1mrZxelYvjyxg3kZoL16D8KcACchrYZWd/edit?usp=share_link&amp;ouid=106501987799020758802&amp;rtpof=true&amp;sd=true", "Raw Delivered")</f>
        <v>Raw Delivered</v>
      </c>
      <c r="D371" s="12">
        <f t="shared" si="1"/>
        <v>6705.415579</v>
      </c>
      <c r="E371" s="13"/>
      <c r="F371" s="14">
        <f>HYPERLINK("https://docs.google.com/spreadsheets/d/1reluJv3pTihABtONB30wzwfW7UlYpWVs", 994.882039583334)</f>
        <v>994.8820396</v>
      </c>
      <c r="G371" s="13"/>
      <c r="H371" s="14">
        <f>HYPERLINK("https://docs.google.com/spreadsheets/d/1UfnfozbiIgywpQ5WrMVsWCGmMD5u9rCu", 27.8449895833333)</f>
        <v>27.84498958</v>
      </c>
      <c r="I371" s="13"/>
      <c r="J371" s="14">
        <f>HYPERLINK("https://docs.google.com/spreadsheets/d/1-SdoroRoyF5Xv7umvvo-XWyfpjQpKf2b", 1233.43868229167)</f>
        <v>1233.438682</v>
      </c>
      <c r="K371" s="13"/>
      <c r="L371" s="14">
        <f t="shared" ref="L371:L372" si="186">HYPERLINK("https://docs.google.com/spreadsheets/d/1lGHVQWbiLdNCJnaYUAmWJCBCXFZqTsg1", 106.777103124999)</f>
        <v>106.7771031</v>
      </c>
      <c r="M371" s="13"/>
      <c r="N371" s="14">
        <f>HYPERLINK("https://docs.google.com/spreadsheets/d/12U67oRvcMPc3UCSUsp_l3YCcNXtHUJau", 3502.61246458333)</f>
        <v>3502.612465</v>
      </c>
      <c r="O371" s="13"/>
      <c r="P371" s="14">
        <f t="shared" ref="P371:P372" si="187">HYPERLINK("https://docs.google.com/spreadsheets/d/1B6Lryt2kPGEDd4morZTCECro0pvmumxc", 281.485640625)</f>
        <v>281.4856406</v>
      </c>
      <c r="Q371" s="13"/>
      <c r="R371" s="14">
        <f t="shared" ref="R371:R372" si="188">HYPERLINK("https://docs.google.com/spreadsheets/d/1QSrkLEFyCSznINmw4u9hr6N0-irIXy5J", 211.117795833333)</f>
        <v>211.1177958</v>
      </c>
      <c r="S371" s="13"/>
      <c r="T371" s="14">
        <f t="shared" ref="T371:T372" si="189">HYPERLINK("https://docs.google.com/spreadsheets/d/1_9D9LdQ0WNcY-_-g5spCG409ODA4COKl", 347.256863541666)</f>
        <v>347.2568635</v>
      </c>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row>
    <row r="372">
      <c r="A372" s="32" t="s">
        <v>69</v>
      </c>
      <c r="B372" s="32" t="s">
        <v>70</v>
      </c>
      <c r="C372" s="32" t="s">
        <v>9</v>
      </c>
      <c r="D372" s="16">
        <f t="shared" si="1"/>
        <v>946.6374031</v>
      </c>
      <c r="E372" s="17"/>
      <c r="F372" s="18" t="str">
        <f>HYPERLINK("https://docs.google.com/spreadsheets/d/1reluJv3pTihABtONB30wzwfW7UlYpWVs", "RE-994.882039583334")</f>
        <v>RE-994.882039583334</v>
      </c>
      <c r="G372" s="17"/>
      <c r="H372" s="18" t="str">
        <f>HYPERLINK("https://docs.google.com/spreadsheets/d/1UfnfozbiIgywpQ5WrMVsWCGmMD5u9rCu", "RE-27.844989583333337")</f>
        <v>RE-27.844989583333337</v>
      </c>
      <c r="I372" s="17"/>
      <c r="J372" s="18" t="str">
        <f>HYPERLINK("https://docs.google.com/spreadsheets/d/1-SdoroRoyF5Xv7umvvo-XWyfpjQpKf2b", "RE-1233.4386822916704")</f>
        <v>RE-1233.4386822916704</v>
      </c>
      <c r="K372" s="17"/>
      <c r="L372" s="18">
        <f t="shared" si="186"/>
        <v>106.7771031</v>
      </c>
      <c r="M372" s="17"/>
      <c r="N372" s="18" t="str">
        <f>HYPERLINK("https://docs.google.com/spreadsheets/d/12U67oRvcMPc3UCSUsp_l3YCcNXtHUJau", "RE-3502.6124645833347")</f>
        <v>RE-3502.6124645833347</v>
      </c>
      <c r="O372" s="17"/>
      <c r="P372" s="18">
        <f t="shared" si="187"/>
        <v>281.4856406</v>
      </c>
      <c r="Q372" s="17"/>
      <c r="R372" s="18">
        <f t="shared" si="188"/>
        <v>211.1177958</v>
      </c>
      <c r="S372" s="17"/>
      <c r="T372" s="18">
        <f t="shared" si="189"/>
        <v>347.2568635</v>
      </c>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c r="DE372" s="17"/>
      <c r="DF372" s="17"/>
      <c r="DG372" s="17"/>
      <c r="DH372" s="17"/>
      <c r="DI372" s="17"/>
      <c r="DJ372" s="17"/>
      <c r="DK372" s="17"/>
      <c r="DL372" s="17"/>
      <c r="DM372" s="17"/>
      <c r="DN372" s="17"/>
      <c r="DO372" s="17"/>
      <c r="DP372" s="17"/>
      <c r="DQ372" s="17"/>
      <c r="DR372" s="17"/>
      <c r="DS372" s="17"/>
      <c r="DT372" s="17"/>
      <c r="DU372" s="17"/>
      <c r="DV372" s="17"/>
      <c r="DW372" s="17"/>
      <c r="DX372" s="17"/>
      <c r="DY372" s="17"/>
      <c r="DZ372" s="17"/>
      <c r="EA372" s="17"/>
      <c r="EB372" s="17"/>
      <c r="EC372" s="17"/>
      <c r="ED372" s="17"/>
      <c r="EE372" s="17"/>
      <c r="EF372" s="17"/>
      <c r="EG372" s="17"/>
      <c r="EH372" s="17"/>
      <c r="EI372" s="17"/>
      <c r="EJ372" s="17"/>
      <c r="EK372" s="17"/>
      <c r="EL372" s="17"/>
      <c r="EM372" s="17"/>
      <c r="EN372" s="17"/>
      <c r="EO372" s="17"/>
      <c r="EP372" s="17"/>
      <c r="EQ372" s="17"/>
      <c r="ER372" s="17"/>
      <c r="ES372" s="17"/>
      <c r="ET372" s="17"/>
      <c r="EU372" s="17"/>
      <c r="EV372" s="17"/>
      <c r="EW372" s="17"/>
      <c r="EX372" s="17"/>
      <c r="EY372" s="17"/>
      <c r="EZ372" s="17"/>
      <c r="FA372" s="17"/>
      <c r="FB372" s="17"/>
      <c r="FC372" s="17"/>
      <c r="FD372" s="17"/>
      <c r="FE372" s="17"/>
      <c r="FF372" s="17"/>
      <c r="FG372" s="17"/>
      <c r="FH372" s="17"/>
    </row>
    <row r="373">
      <c r="A373" s="32" t="s">
        <v>69</v>
      </c>
      <c r="B373" s="32" t="s">
        <v>70</v>
      </c>
      <c r="C373" s="32" t="s">
        <v>10</v>
      </c>
      <c r="D373" s="16">
        <f t="shared" si="1"/>
        <v>1127.394831</v>
      </c>
      <c r="E373" s="17"/>
      <c r="F373" s="17"/>
      <c r="G373" s="18">
        <f>HYPERLINK("https://docs.google.com/spreadsheets/d/1E7FeQbJpcdnaFaMbEHmDIPHbEvvnVQv3", 120.702635416666)</f>
        <v>120.7026354</v>
      </c>
      <c r="H373" s="17"/>
      <c r="I373" s="18">
        <f>HYPERLINK("https://docs.google.com/spreadsheets/d/1kzsYygJB3HqwthbFjafJvJiw4z9idvIy", 6.66301458333333)</f>
        <v>6.663014583</v>
      </c>
      <c r="J373" s="17"/>
      <c r="K373" s="18">
        <f>HYPERLINK("https://docs.google.com/spreadsheets/d/1gQhzs2j3HwL11mp7t_-TxDIM-TXXT5Pd", 151.462063541666)</f>
        <v>151.4620635</v>
      </c>
      <c r="L373" s="17"/>
      <c r="M373" s="18">
        <f>HYPERLINK("https://docs.google.com/spreadsheets/d/1tuB3RL1wvaodh9POg0PYz7o6gkjn4ppH", 29.1531333333333)</f>
        <v>29.15313333</v>
      </c>
      <c r="N373" s="17"/>
      <c r="O373" s="18">
        <f>HYPERLINK("https://docs.google.com/spreadsheets/d/1CyrN5Eyy_99uTf8sU00MSqXJBDpReS3s", 550.237170833334)</f>
        <v>550.2371708</v>
      </c>
      <c r="P373" s="17"/>
      <c r="Q373" s="18">
        <f>HYPERLINK("https://docs.google.com/spreadsheets/d/1AtoqtzD2_VoOZcebVuAnmMPSbCVcJitu", 122.415170833333)</f>
        <v>122.4151708</v>
      </c>
      <c r="R373" s="17"/>
      <c r="S373" s="18">
        <f>HYPERLINK("https://docs.google.com/spreadsheets/d/10vY6t7NG6bhfg8WsvLS8L8KKpv6ILUEA", 45.4751479166666)</f>
        <v>45.47514792</v>
      </c>
      <c r="T373" s="17"/>
      <c r="U373" s="18">
        <f>HYPERLINK("https://docs.google.com/spreadsheets/d/1p0dAzubELV0Kt4gPpR6BbhLj1KCwvhDc", 85.7975364583333)</f>
        <v>85.79753646</v>
      </c>
      <c r="V373" s="18">
        <f>HYPERLINK("https://docs.google.com/spreadsheets/d/1mjh-ctSiRI8FX_CZidFgaZT_Fz-TSxzC", 15.4889583333333)</f>
        <v>15.48895833</v>
      </c>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c r="DE373" s="17"/>
      <c r="DF373" s="17"/>
      <c r="DG373" s="17"/>
      <c r="DH373" s="17"/>
      <c r="DI373" s="17"/>
      <c r="DJ373" s="17"/>
      <c r="DK373" s="17"/>
      <c r="DL373" s="17"/>
      <c r="DM373" s="17"/>
      <c r="DN373" s="17"/>
      <c r="DO373" s="17"/>
      <c r="DP373" s="17"/>
      <c r="DQ373" s="17"/>
      <c r="DR373" s="17"/>
      <c r="DS373" s="17"/>
      <c r="DT373" s="17"/>
      <c r="DU373" s="17"/>
      <c r="DV373" s="17"/>
      <c r="DW373" s="17"/>
      <c r="DX373" s="17"/>
      <c r="DY373" s="17"/>
      <c r="DZ373" s="17"/>
      <c r="EA373" s="17"/>
      <c r="EB373" s="17"/>
      <c r="EC373" s="17"/>
      <c r="ED373" s="17"/>
      <c r="EE373" s="17"/>
      <c r="EF373" s="17"/>
      <c r="EG373" s="17"/>
      <c r="EH373" s="17"/>
      <c r="EI373" s="17"/>
      <c r="EJ373" s="17"/>
      <c r="EK373" s="17"/>
      <c r="EL373" s="17"/>
      <c r="EM373" s="17"/>
      <c r="EN373" s="17"/>
      <c r="EO373" s="17"/>
      <c r="EP373" s="17"/>
      <c r="EQ373" s="17"/>
      <c r="ER373" s="17"/>
      <c r="ES373" s="17"/>
      <c r="ET373" s="17"/>
      <c r="EU373" s="17"/>
      <c r="EV373" s="17"/>
      <c r="EW373" s="17"/>
      <c r="EX373" s="17"/>
      <c r="EY373" s="17"/>
      <c r="EZ373" s="17"/>
      <c r="FA373" s="17"/>
      <c r="FB373" s="17"/>
      <c r="FC373" s="17"/>
      <c r="FD373" s="17"/>
      <c r="FE373" s="17"/>
      <c r="FF373" s="17"/>
      <c r="FG373" s="17"/>
      <c r="FH373" s="17"/>
    </row>
    <row r="374">
      <c r="A374" s="32" t="s">
        <v>69</v>
      </c>
      <c r="B374" s="32" t="s">
        <v>70</v>
      </c>
      <c r="C374" s="32" t="s">
        <v>11</v>
      </c>
      <c r="D374" s="16">
        <f t="shared" si="1"/>
        <v>0</v>
      </c>
      <c r="E374" s="17"/>
      <c r="F374" s="17"/>
      <c r="G374" s="18" t="str">
        <f>HYPERLINK("https://docs.google.com/spreadsheets/d/1E7FeQbJpcdnaFaMbEHmDIPHbEvvnVQv3", "RE-120.70263541666662")</f>
        <v>RE-120.70263541666662</v>
      </c>
      <c r="H374" s="17"/>
      <c r="I374" s="18" t="str">
        <f>HYPERLINK("https://docs.google.com/spreadsheets/d/1kzsYygJB3HqwthbFjafJvJiw4z9idvIy", "RE-6.663014583333332")</f>
        <v>RE-6.663014583333332</v>
      </c>
      <c r="J374" s="17"/>
      <c r="K374" s="18" t="str">
        <f>HYPERLINK("https://docs.google.com/spreadsheets/d/1gQhzs2j3HwL11mp7t_-TxDIM-TXXT5Pd", "RE-151.4620635416666")</f>
        <v>RE-151.4620635416666</v>
      </c>
      <c r="L374" s="17"/>
      <c r="M374" s="18" t="str">
        <f>HYPERLINK("https://docs.google.com/spreadsheets/d/1tuB3RL1wvaodh9POg0PYz7o6gkjn4ppH", "RE-29.15313333333334")</f>
        <v>RE-29.15313333333334</v>
      </c>
      <c r="N374" s="17"/>
      <c r="O374" s="18" t="str">
        <f>HYPERLINK("https://docs.google.com/spreadsheets/d/1CyrN5Eyy_99uTf8sU00MSqXJBDpReS3s", "RE-550.237170833334")</f>
        <v>RE-550.237170833334</v>
      </c>
      <c r="P374" s="17"/>
      <c r="Q374" s="18" t="str">
        <f>HYPERLINK("https://docs.google.com/spreadsheets/d/1AtoqtzD2_VoOZcebVuAnmMPSbCVcJitu", "RE-122.41517083333335")</f>
        <v>RE-122.41517083333335</v>
      </c>
      <c r="R374" s="17"/>
      <c r="S374" s="18" t="str">
        <f>HYPERLINK("https://docs.google.com/spreadsheets/d/10vY6t7NG6bhfg8WsvLS8L8KKpv6ILUEA", "RE-45.47514791666664")</f>
        <v>RE-45.47514791666664</v>
      </c>
      <c r="T374" s="17"/>
      <c r="U374" s="18" t="str">
        <f>HYPERLINK("https://docs.google.com/spreadsheets/d/1p0dAzubELV0Kt4gPpR6BbhLj1KCwvhDc", "RE-85.79753645833331")</f>
        <v>RE-85.79753645833331</v>
      </c>
      <c r="V374" s="18" t="str">
        <f>HYPERLINK("https://docs.google.com/spreadsheets/d/1mjh-ctSiRI8FX_CZidFgaZT_Fz-TSxzC", "RE-15.488958333333336")</f>
        <v>RE-15.488958333333336</v>
      </c>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c r="EJ374" s="17"/>
      <c r="EK374" s="17"/>
      <c r="EL374" s="17"/>
      <c r="EM374" s="17"/>
      <c r="EN374" s="17"/>
      <c r="EO374" s="17"/>
      <c r="EP374" s="17"/>
      <c r="EQ374" s="17"/>
      <c r="ER374" s="17"/>
      <c r="ES374" s="17"/>
      <c r="ET374" s="17"/>
      <c r="EU374" s="17"/>
      <c r="EV374" s="17"/>
      <c r="EW374" s="17"/>
      <c r="EX374" s="17"/>
      <c r="EY374" s="17"/>
      <c r="EZ374" s="17"/>
      <c r="FA374" s="17"/>
      <c r="FB374" s="17"/>
      <c r="FC374" s="17"/>
      <c r="FD374" s="17"/>
      <c r="FE374" s="17"/>
      <c r="FF374" s="17"/>
      <c r="FG374" s="17"/>
      <c r="FH374" s="17"/>
    </row>
    <row r="375">
      <c r="A375" s="32" t="s">
        <v>69</v>
      </c>
      <c r="B375" s="32" t="s">
        <v>70</v>
      </c>
      <c r="C375" s="32" t="s">
        <v>12</v>
      </c>
      <c r="D375" s="16">
        <f t="shared" si="1"/>
        <v>843.923249</v>
      </c>
      <c r="E375" s="17"/>
      <c r="F375" s="18" t="str">
        <f>HYPERLINK("https://docs.google.com/spreadsheets/d/1aMaDgqm4Ax0JI-tHKUWEneIpJSCHwtmA", "RE-748.0681427083335")</f>
        <v>RE-748.0681427083335</v>
      </c>
      <c r="G375" s="18" t="str">
        <f>HYPERLINK("https://docs.google.com/spreadsheets/d/1cIrhkfl586NHDd5jCMuRIOwVbkx9tWAd", "RE-4.650612499999999")</f>
        <v>RE-4.650612499999999</v>
      </c>
      <c r="H375" s="18" t="str">
        <f>HYPERLINK("https://docs.google.com/spreadsheets/d/1yUWOue7X-42sqG_LBcCNlyjqIufJx4J8", "RE-26.045454166666666")</f>
        <v>RE-26.045454166666666</v>
      </c>
      <c r="I375" s="18" t="str">
        <f>HYPERLINK("https://docs.google.com/spreadsheets/d/1qTZ9njkr8X1jaEYsJOmYBGJWExTdAFo3", "RE-0.0")</f>
        <v>RE-0.0</v>
      </c>
      <c r="J375" s="18" t="str">
        <f>HYPERLINK("https://docs.google.com/spreadsheets/d/12x61BzxL7Ikdsk2oNuk1pOFGxZQ0OoFU", "RE-958.606679166665")</f>
        <v>RE-958.606679166665</v>
      </c>
      <c r="K375" s="18" t="str">
        <f>HYPERLINK("https://docs.google.com/spreadsheets/d/170X296z9rPZciSdHR3aP542MMjtZKBvN", "RE-7.16756875")</f>
        <v>RE-7.16756875</v>
      </c>
      <c r="L375" s="18">
        <f>HYPERLINK("https://docs.google.com/spreadsheets/d/1Em2H68UKLKHlBXsv6an4j_Mip4X9RUvE", 89.1821270833333)</f>
        <v>89.18212708</v>
      </c>
      <c r="M375" s="18" t="str">
        <f>HYPERLINK("https://docs.google.com/spreadsheets/d/1kGeQIc1prvp1qdmdZP5F9S24ryYZgY4_", "RE-9.187502083333333")</f>
        <v>RE-9.187502083333333</v>
      </c>
      <c r="N375" s="18" t="str">
        <f>HYPERLINK("https://docs.google.com/spreadsheets/d/1GuCAaYUbF4LNYaBDThr4mATXPmu-_Npw", "RE-2516.441848958328")</f>
        <v>RE-2516.441848958328</v>
      </c>
      <c r="O375" s="18" t="str">
        <f>HYPERLINK("https://docs.google.com/spreadsheets/d/1FaHS_zVdBomU8Two53xdyv3GPu7H8VFp", "RE-62.67164062499999")</f>
        <v>RE-62.67164062499999</v>
      </c>
      <c r="P375" s="18">
        <f>HYPERLINK("https://docs.google.com/spreadsheets/d/1vXq7o2ZRaGiGgWqvTQNpQAD1SRXwp7g6", 249.866871874999)</f>
        <v>249.8668719</v>
      </c>
      <c r="Q375" s="18" t="str">
        <f>HYPERLINK("https://docs.google.com/spreadsheets/d/1w7jA2pA68RIgqiAOJToxCXIDk8WAT-rw", "RE-42.28545833333333")</f>
        <v>RE-42.28545833333333</v>
      </c>
      <c r="R375" s="18">
        <f>HYPERLINK("https://docs.google.com/spreadsheets/d/1X043i76Fila-T3AVJ-kJMfUGZrzSko2k", 194.211430208333)</f>
        <v>194.2114302</v>
      </c>
      <c r="S375" s="18" t="str">
        <f>HYPERLINK("https://docs.google.com/spreadsheets/d/1Tsu_P-iBCsHKxAxRTtu7aIPHLZ0FyAiH", "RE-24.10020416666667")</f>
        <v>RE-24.10020416666667</v>
      </c>
      <c r="T375" s="18">
        <f>HYPERLINK("https://docs.google.com/spreadsheets/d/1oD5KyX0hFyTLtjPAMVUFGK4wv9AjOhTs", 310.662819791666)</f>
        <v>310.6628198</v>
      </c>
      <c r="U375" s="18" t="str">
        <f>HYPERLINK("https://docs.google.com/spreadsheets/d/1zP7eq52KkhCDRcbSX058D2hIhDBZtsZw", "RE-46.687909375000025")</f>
        <v>RE-46.687909375000025</v>
      </c>
      <c r="V375" s="18" t="str">
        <f>HYPERLINK("https://docs.google.com/spreadsheets/d/1KS80OXbqxSb4ORLhp3zWwf1DqeJXfesP", "RE-13.27423541666667")</f>
        <v>RE-13.27423541666667</v>
      </c>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c r="DE375" s="17"/>
      <c r="DF375" s="17"/>
      <c r="DG375" s="17"/>
      <c r="DH375" s="17"/>
      <c r="DI375" s="17"/>
      <c r="DJ375" s="17"/>
      <c r="DK375" s="17"/>
      <c r="DL375" s="17"/>
      <c r="DM375" s="17"/>
      <c r="DN375" s="17"/>
      <c r="DO375" s="17"/>
      <c r="DP375" s="17"/>
      <c r="DQ375" s="17"/>
      <c r="DR375" s="17"/>
      <c r="DS375" s="17"/>
      <c r="DT375" s="17"/>
      <c r="DU375" s="17"/>
      <c r="DV375" s="17"/>
      <c r="DW375" s="17"/>
      <c r="DX375" s="17"/>
      <c r="DY375" s="17"/>
      <c r="DZ375" s="17"/>
      <c r="EA375" s="17"/>
      <c r="EB375" s="17"/>
      <c r="EC375" s="17"/>
      <c r="ED375" s="17"/>
      <c r="EE375" s="17"/>
      <c r="EF375" s="17"/>
      <c r="EG375" s="17"/>
      <c r="EH375" s="17"/>
      <c r="EI375" s="17"/>
      <c r="EJ375" s="17"/>
      <c r="EK375" s="17"/>
      <c r="EL375" s="17"/>
      <c r="EM375" s="17"/>
      <c r="EN375" s="17"/>
      <c r="EO375" s="17"/>
      <c r="EP375" s="17"/>
      <c r="EQ375" s="17"/>
      <c r="ER375" s="17"/>
      <c r="ES375" s="17"/>
      <c r="ET375" s="17"/>
      <c r="EU375" s="17"/>
      <c r="EV375" s="17"/>
      <c r="EW375" s="17"/>
      <c r="EX375" s="17"/>
      <c r="EY375" s="17"/>
      <c r="EZ375" s="17"/>
      <c r="FA375" s="17"/>
      <c r="FB375" s="17"/>
      <c r="FC375" s="17"/>
      <c r="FD375" s="17"/>
      <c r="FE375" s="17"/>
      <c r="FF375" s="17"/>
      <c r="FG375" s="17"/>
      <c r="FH375" s="17"/>
    </row>
    <row r="376">
      <c r="A376" s="32" t="s">
        <v>69</v>
      </c>
      <c r="B376" s="32" t="s">
        <v>70</v>
      </c>
      <c r="C376" s="32" t="s">
        <v>13</v>
      </c>
      <c r="D376" s="16">
        <f t="shared" si="1"/>
        <v>808.9623</v>
      </c>
      <c r="E376" s="17"/>
      <c r="F376" s="18" t="str">
        <f>HYPERLINK("https://docs.google.com/spreadsheets/d/13bIK7_IU41S2vjjuCfxe_pIKlJHGdwIR?usp=share_link", "RE-717.944")</f>
        <v>RE-717.944</v>
      </c>
      <c r="G376" s="18" t="str">
        <f>HYPERLINK("https://docs.google.com/spreadsheets/d/1RIzoIhP8QL1j6zR4o1nEC2MmhhHD3Bu3?usp=share_link", "RE-4.36872")</f>
        <v>RE-4.36872</v>
      </c>
      <c r="H376" s="18" t="str">
        <f>HYPERLINK("https://docs.google.com/spreadsheets/d/105mpuZGmY2GB3YawmCRwQz8-ZCJbz1ff?usp=share_link", "RE-25.6744")</f>
        <v>RE-25.6744</v>
      </c>
      <c r="I376" s="17"/>
      <c r="J376" s="18" t="str">
        <f>HYPERLINK("https://docs.google.com/spreadsheets/d/1p5JaO0P02Pr76yXpViCihEkGKU51oosX?usp=share_link", "RE-903.83")</f>
        <v>RE-903.83</v>
      </c>
      <c r="K376" s="18" t="str">
        <f>HYPERLINK("https://docs.google.com/spreadsheets/d/1HW0b51Msev37QL3ryqDDhiz7XaGLJ6fa?usp=share_link", "RE-6.67873")</f>
        <v>RE-6.67873</v>
      </c>
      <c r="L376" s="18">
        <f>HYPERLINK("https://docs.google.com/spreadsheets/d/1TRJ1nu0NlkuFNye1nxRbfS4JqlAhf_az?usp=share_link", 84.5093)</f>
        <v>84.5093</v>
      </c>
      <c r="M376" s="18" t="str">
        <f>HYPERLINK("https://docs.google.com/spreadsheets/d/1rQw2vOYa_-t-8QeRnyuxve5hLUlrTbOy?usp=share_link", "RE-8.76163")</f>
        <v>RE-8.76163</v>
      </c>
      <c r="N376" s="18" t="str">
        <f>HYPERLINK("https://docs.google.com/spreadsheets/d/1ezoTMbKg0-ht0q5rGbtmeuuPM_3R5yir?usp=share_link", "RE-2434.24")</f>
        <v>RE-2434.24</v>
      </c>
      <c r="O376" s="18" t="str">
        <f>HYPERLINK("https://docs.google.com/spreadsheets/d/1OJcOdq77NrudFV_lr4QunT73u7bCcoxA?usp=share_link", "RE-58.8463")</f>
        <v>RE-58.8463</v>
      </c>
      <c r="P376" s="18">
        <f>HYPERLINK("https://docs.google.com/spreadsheets/d/1r_8pAxT2zaiupN4YMKdDfgU-OGia0rN0?usp=share_link", 238.375)</f>
        <v>238.375</v>
      </c>
      <c r="Q376" s="18" t="str">
        <f>HYPERLINK("https://docs.google.com/spreadsheets/d/1Yo-3pcF2Jiy-dtzuH5jf5evhywKbWJSj?usp=share_link", "RE-39.9826")</f>
        <v>RE-39.9826</v>
      </c>
      <c r="R376" s="18">
        <f>HYPERLINK("https://docs.google.com/spreadsheets/d/1YNjFvCnm5_o91rl7IG-jHK1ossoc0X8f?usp=share_link", 186.975)</f>
        <v>186.975</v>
      </c>
      <c r="S376" s="18" t="str">
        <f>HYPERLINK("https://docs.google.com/spreadsheets/d/1r7mXo_akxwVd1Ka-FH_DQ5W2At7iPhUW?usp=share_link", "RE-21.9624")</f>
        <v>RE-21.9624</v>
      </c>
      <c r="T376" s="18">
        <f>HYPERLINK("https://docs.google.com/spreadsheets/d/1dgCdCxVtpOO93kOo7F60du4_p8Pq1YwM?usp=share_link", 299.103)</f>
        <v>299.103</v>
      </c>
      <c r="U376" s="18" t="str">
        <f>HYPERLINK("https://docs.google.com/spreadsheets/d/17MXxLHKWpz3E3TQug2_LsUsJ88yUQ-Lj?usp=share_link", "RE-44.0018")</f>
        <v>RE-44.0018</v>
      </c>
      <c r="V376" s="18" t="str">
        <f>HYPERLINK("https://docs.google.com/spreadsheets/d/1dZ6hxefxU5GEItjPgS32Fh87caH-YEIF?usp=share_link", "RE-12.7384")</f>
        <v>RE-12.7384</v>
      </c>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c r="DE376" s="17"/>
      <c r="DF376" s="17"/>
      <c r="DG376" s="17"/>
      <c r="DH376" s="17"/>
      <c r="DI376" s="17"/>
      <c r="DJ376" s="17"/>
      <c r="DK376" s="17"/>
      <c r="DL376" s="17"/>
      <c r="DM376" s="17"/>
      <c r="DN376" s="17"/>
      <c r="DO376" s="17"/>
      <c r="DP376" s="17"/>
      <c r="DQ376" s="17"/>
      <c r="DR376" s="17"/>
      <c r="DS376" s="17"/>
      <c r="DT376" s="17"/>
      <c r="DU376" s="17"/>
      <c r="DV376" s="17"/>
      <c r="DW376" s="17"/>
      <c r="DX376" s="17"/>
      <c r="DY376" s="17"/>
      <c r="DZ376" s="17"/>
      <c r="EA376" s="17"/>
      <c r="EB376" s="17"/>
      <c r="EC376" s="17"/>
      <c r="ED376" s="17"/>
      <c r="EE376" s="17"/>
      <c r="EF376" s="17"/>
      <c r="EG376" s="17"/>
      <c r="EH376" s="17"/>
      <c r="EI376" s="17"/>
      <c r="EJ376" s="17"/>
      <c r="EK376" s="17"/>
      <c r="EL376" s="17"/>
      <c r="EM376" s="17"/>
      <c r="EN376" s="17"/>
      <c r="EO376" s="17"/>
      <c r="EP376" s="17"/>
      <c r="EQ376" s="17"/>
      <c r="ER376" s="17"/>
      <c r="ES376" s="17"/>
      <c r="ET376" s="17"/>
      <c r="EU376" s="17"/>
      <c r="EV376" s="17"/>
      <c r="EW376" s="17"/>
      <c r="EX376" s="17"/>
      <c r="EY376" s="17"/>
      <c r="EZ376" s="17"/>
      <c r="FA376" s="17"/>
      <c r="FB376" s="17"/>
      <c r="FC376" s="17"/>
      <c r="FD376" s="17"/>
      <c r="FE376" s="17"/>
      <c r="FF376" s="17"/>
      <c r="FG376" s="17"/>
      <c r="FH376" s="17"/>
    </row>
    <row r="377">
      <c r="A377" s="32" t="s">
        <v>69</v>
      </c>
      <c r="B377" s="32" t="s">
        <v>70</v>
      </c>
      <c r="C377" s="32" t="s">
        <v>14</v>
      </c>
      <c r="D377" s="16">
        <f t="shared" si="1"/>
        <v>689.9352</v>
      </c>
      <c r="E377" s="17"/>
      <c r="F377" s="18" t="str">
        <f>HYPERLINK("https://docs.google.com/spreadsheets/d/1yjpxzK37eU0aI3ATh8ct1IBUFAqafwLI?usp=share_link", "RE-652.992")</f>
        <v>RE-652.992</v>
      </c>
      <c r="G377" s="18" t="str">
        <f>HYPERLINK("https://docs.google.com/spreadsheets/d/19cwM168vCwLyHT4_qOsFB42ZPGP5ZI1a?usp=share_link", "RE-4.36872")</f>
        <v>RE-4.36872</v>
      </c>
      <c r="H377" s="18" t="str">
        <f>HYPERLINK("https://docs.google.com/spreadsheets/d/17lFQhnAFIkEa3nubYl59om7OVNqZxkIU?usp=share_link", "RE-23.5477")</f>
        <v>RE-23.5477</v>
      </c>
      <c r="I377" s="17"/>
      <c r="J377" s="18" t="str">
        <f>HYPERLINK("https://docs.google.com/spreadsheets/d/1ghXTqK0NzLQOEsa2g79NkD9G9YNYFOOO?usp=share_link", "RE-834.033")</f>
        <v>RE-834.033</v>
      </c>
      <c r="K377" s="18" t="str">
        <f>HYPERLINK("https://docs.google.com/spreadsheets/d/1jq8eOM1xmUYmirVncsuty1In5GQ9eL1j?usp=share_link", "RE-6.02555")</f>
        <v>RE-6.02555</v>
      </c>
      <c r="L377" s="18">
        <f>HYPERLINK("https://docs.google.com/spreadsheets/d/18iCoBFvD-yI0BbYeRbME5_TE_HNeyx3v?usp=share_link", 72.2562)</f>
        <v>72.2562</v>
      </c>
      <c r="M377" s="18" t="str">
        <f>HYPERLINK("https://docs.google.com/spreadsheets/d/1ZwxtBDO6d45lTw3T8N9OUdkHHrk0q-yO?usp=share_link", "RE-7.57992")</f>
        <v>RE-7.57992</v>
      </c>
      <c r="N377" s="18" t="str">
        <f>HYPERLINK("https://docs.google.com/spreadsheets/d/1cSCwMncFtKN3Xe0DZwpbmcBYkJlNmv6M?usp=share_link", "RE-2184.46")</f>
        <v>RE-2184.46</v>
      </c>
      <c r="O377" s="18" t="str">
        <f>HYPERLINK("https://docs.google.com/spreadsheets/d/19kPtfwVuwFMPlok3m3nPfE0h3MuROJsa?usp=share_link", "RE-49.3332")</f>
        <v>RE-49.3332</v>
      </c>
      <c r="P377" s="18">
        <f>HYPERLINK("https://docs.google.com/spreadsheets/d/1MS2Siv1vnzkUBgID-DJwEBFEAQyyo3oO?usp=share_link", 208.235)</f>
        <v>208.235</v>
      </c>
      <c r="Q377" s="18" t="str">
        <f>HYPERLINK("https://docs.google.com/spreadsheets/d/1l-CKU0KIdMnQefKccKIXOCsYrMi7pKlS?usp=share_link", "RE-35.1726")</f>
        <v>RE-35.1726</v>
      </c>
      <c r="R377" s="18">
        <f>HYPERLINK("https://docs.google.com/spreadsheets/d/1N96um8lkkjXClTRxVitdjIm-rfeds0ei?usp=share_link", 156.051)</f>
        <v>156.051</v>
      </c>
      <c r="S377" s="18" t="str">
        <f>HYPERLINK("https://docs.google.com/spreadsheets/d/1evlvt8kMmWD1mPjy-V-E-PJCjdbX7_xT?usp=share_link", "RE-18.424")</f>
        <v>RE-18.424</v>
      </c>
      <c r="T377" s="18">
        <f>HYPERLINK("https://docs.google.com/spreadsheets/d/1d0mGGSEhNMKUaE6TEe4KrSu15rZ4OyTa?usp=share_link", 253.393)</f>
        <v>253.393</v>
      </c>
      <c r="U377" s="18" t="str">
        <f>HYPERLINK("https://docs.google.com/spreadsheets/d/1CkS6_7l7-mWt182NjcbMGhUU-xTnxrJV?usp=share_link", "RE-36.3369")</f>
        <v>RE-36.3369</v>
      </c>
      <c r="V377" s="18" t="str">
        <f>HYPERLINK("https://docs.google.com/spreadsheets/d/1Yo3taTEWpvDjVYDNicI_tHhzNc3jVEe6?usp=share_link", "RE-11.2606")</f>
        <v>RE-11.2606</v>
      </c>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O377" s="17"/>
      <c r="DP377" s="17"/>
      <c r="DQ377" s="17"/>
      <c r="DR377" s="17"/>
      <c r="DS377" s="17"/>
      <c r="DT377" s="17"/>
      <c r="DU377" s="17"/>
      <c r="DV377" s="17"/>
      <c r="DW377" s="17"/>
      <c r="DX377" s="17"/>
      <c r="DY377" s="17"/>
      <c r="DZ377" s="17"/>
      <c r="EA377" s="17"/>
      <c r="EB377" s="17"/>
      <c r="EC377" s="17"/>
      <c r="ED377" s="17"/>
      <c r="EE377" s="17"/>
      <c r="EF377" s="17"/>
      <c r="EG377" s="17"/>
      <c r="EH377" s="17"/>
      <c r="EI377" s="17"/>
      <c r="EJ377" s="17"/>
      <c r="EK377" s="17"/>
      <c r="EL377" s="17"/>
      <c r="EM377" s="17"/>
      <c r="EN377" s="17"/>
      <c r="EO377" s="17"/>
      <c r="EP377" s="17"/>
      <c r="EQ377" s="17"/>
      <c r="ER377" s="17"/>
      <c r="ES377" s="17"/>
      <c r="ET377" s="17"/>
      <c r="EU377" s="17"/>
      <c r="EV377" s="17"/>
      <c r="EW377" s="17"/>
      <c r="EX377" s="17"/>
      <c r="EY377" s="17"/>
      <c r="EZ377" s="17"/>
      <c r="FA377" s="17"/>
      <c r="FB377" s="17"/>
      <c r="FC377" s="17"/>
      <c r="FD377" s="17"/>
      <c r="FE377" s="17"/>
      <c r="FF377" s="17"/>
      <c r="FG377" s="17"/>
      <c r="FH377" s="17"/>
    </row>
    <row r="378">
      <c r="A378" s="27" t="s">
        <v>69</v>
      </c>
      <c r="B378" s="27" t="s">
        <v>70</v>
      </c>
      <c r="C378" s="27" t="s">
        <v>15</v>
      </c>
      <c r="D378" s="28">
        <f t="shared" si="1"/>
        <v>808.9623</v>
      </c>
      <c r="E378" s="33"/>
      <c r="F378" s="34" t="str">
        <f>HYPERLINK("https://docs.google.com/spreadsheets/d/1VzB7rR4qaNNb8xnI41rEkV-rLbb6jFv7?usp=share_link", "RE-717.927")</f>
        <v>RE-717.927</v>
      </c>
      <c r="G378" s="34" t="str">
        <f>HYPERLINK("https://docs.google.com/spreadsheets/d/1AUOt3OtuhBbcDFRxU7dULlx90R0clqQF?usp=share_link", "RE-4.36872")</f>
        <v>RE-4.36872</v>
      </c>
      <c r="H378" s="34" t="str">
        <f>HYPERLINK("https://docs.google.com/spreadsheets/d/18Ku0w8F6VePoPrEqJFrBqbBDX7Fcw5JC?usp=share_link", "RE-25.6744")</f>
        <v>RE-25.6744</v>
      </c>
      <c r="I378" s="33"/>
      <c r="J378" s="34" t="str">
        <f>HYPERLINK("https://docs.google.com/spreadsheets/d/1eeFMuUB95JGOQ0cJLjWP39M6V0zlyocN?usp=share_link", "RE-903.83")</f>
        <v>RE-903.83</v>
      </c>
      <c r="K378" s="34" t="str">
        <f>HYPERLINK("https://docs.google.com/spreadsheets/d/1cAgf0a5nYsifOXmxQXZ6eSad5_bu2pZw?usp=share_link", "RE-6.67873")</f>
        <v>RE-6.67873</v>
      </c>
      <c r="L378" s="34">
        <f>HYPERLINK("https://docs.google.com/spreadsheets/d/1V2OLDe9UHA09jV_mLVWUh1CIAhQLejUw?usp=share_link", 84.5093)</f>
        <v>84.5093</v>
      </c>
      <c r="M378" s="34" t="str">
        <f>HYPERLINK("https://docs.google.com/spreadsheets/d/1TQWPTeHnwatuwGngZ8wQ_7uUM7St-pDp?usp=share_link", "RE-8.76163")</f>
        <v>RE-8.76163</v>
      </c>
      <c r="N378" s="34" t="str">
        <f>HYPERLINK("https://docs.google.com/spreadsheets/d/14tdeHQVlceqXxQAjdxzPS6tMuGm7y16K?usp=share_link", "RE-2434.24")</f>
        <v>RE-2434.24</v>
      </c>
      <c r="O378" s="34" t="str">
        <f>HYPERLINK("https://docs.google.com/spreadsheets/d/1d-futto6rvRBXCkJrq3S2weKba9kbye9?usp=share_link", "RE-58.8463")</f>
        <v>RE-58.8463</v>
      </c>
      <c r="P378" s="34">
        <f>HYPERLINK("https://docs.google.com/spreadsheets/d/1ojCY1Ra8hXApsJZp6_9kAoehJD3O187q?usp=share_link", 238.375)</f>
        <v>238.375</v>
      </c>
      <c r="Q378" s="34" t="str">
        <f>HYPERLINK("https://docs.google.com/spreadsheets/d/15rRVX8UoHElYYeKWEooWTqOS1qwmyJRt?usp=share_link", "RE-39.9826")</f>
        <v>RE-39.9826</v>
      </c>
      <c r="R378" s="34">
        <f>HYPERLINK("https://docs.google.com/spreadsheets/d/1dWNVYX6PlIfxuuVXEUPtSoBdty3XTgO2?usp=share_link", 186.975)</f>
        <v>186.975</v>
      </c>
      <c r="S378" s="34" t="str">
        <f>HYPERLINK("https://docs.google.com/spreadsheets/d/1PiNtMQA4DzPsyQX2uP0ULOlZmNEE8a9l?usp=share_link", "RE-21.9624")</f>
        <v>RE-21.9624</v>
      </c>
      <c r="T378" s="34">
        <f>HYPERLINK("https://docs.google.com/spreadsheets/d/1c8j4IKjoUH6aB8rCBIBZl_xtp8_tB8Ed?usp=share_link", 299.103)</f>
        <v>299.103</v>
      </c>
      <c r="U378" s="34" t="str">
        <f>HYPERLINK("https://docs.google.com/spreadsheets/d/1I_k90DrSwdFTI9YUDNJxpN3ZbOVz0KZW?usp=share_link", "RE-44.0018")</f>
        <v>RE-44.0018</v>
      </c>
      <c r="V378" s="34" t="str">
        <f>HYPERLINK("https://docs.google.com/spreadsheets/d/10nzn07oH3_sJvpwMlqUItgCB4Clqe-6R?usp=share_link", "RE-12.7384")</f>
        <v>RE-12.7384</v>
      </c>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c r="BA378" s="33"/>
      <c r="BB378" s="33"/>
      <c r="BC378" s="33"/>
      <c r="BD378" s="33"/>
      <c r="BE378" s="33"/>
      <c r="BF378" s="33"/>
      <c r="BG378" s="33"/>
      <c r="BH378" s="33"/>
      <c r="BI378" s="33"/>
      <c r="BJ378" s="33"/>
      <c r="BK378" s="33"/>
      <c r="BL378" s="33"/>
      <c r="BM378" s="33"/>
      <c r="BN378" s="33"/>
      <c r="BO378" s="33"/>
      <c r="BP378" s="33"/>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33"/>
      <c r="EP378" s="33"/>
      <c r="EQ378" s="33"/>
      <c r="ER378" s="33"/>
      <c r="ES378" s="33"/>
      <c r="ET378" s="33"/>
      <c r="EU378" s="33"/>
      <c r="EV378" s="33"/>
      <c r="EW378" s="33"/>
      <c r="EX378" s="33"/>
      <c r="EY378" s="33"/>
      <c r="EZ378" s="33"/>
      <c r="FA378" s="33"/>
      <c r="FB378" s="33"/>
      <c r="FC378" s="33"/>
      <c r="FD378" s="33"/>
      <c r="FE378" s="33"/>
      <c r="FF378" s="33"/>
      <c r="FG378" s="33"/>
      <c r="FH378" s="33"/>
    </row>
    <row r="379">
      <c r="A379" s="30" t="s">
        <v>69</v>
      </c>
      <c r="B379" s="30" t="s">
        <v>71</v>
      </c>
      <c r="C379" s="31" t="str">
        <f>HYPERLINK("https://docs.google.com/spreadsheets/d/1YGtor32YHE9p1k358NazsrTDlo8o0vr4/edit?usp=share_link&amp;ouid=118279477453217743021&amp;rtpof=true&amp;sd=true", "Raw Delivered")</f>
        <v>Raw Delivered</v>
      </c>
      <c r="D379" s="12">
        <f t="shared" si="1"/>
        <v>5903.958334</v>
      </c>
      <c r="E379" s="13"/>
      <c r="F379" s="14">
        <f>HYPERLINK("https://docs.google.com/spreadsheets/d/1VA4dQdJMxLQzZ4uApyQ4u6kIbOnlXch-", 951.985504166668)</f>
        <v>951.9855042</v>
      </c>
      <c r="G379" s="13"/>
      <c r="H379" s="14">
        <f>HYPERLINK("https://docs.google.com/spreadsheets/d/1vF4gAeqTut-F7SJpuDYT67FMuJ3tfSri", 99.5662520833333)</f>
        <v>99.56625208</v>
      </c>
      <c r="I379" s="13"/>
      <c r="J379" s="14">
        <f>HYPERLINK("https://docs.google.com/spreadsheets/d/1SnJFSlfpNYbQw9FZejc2Zh9Wa3uq4kEs", 1006.87241979166)</f>
        <v>1006.87242</v>
      </c>
      <c r="K379" s="13"/>
      <c r="L379" s="14">
        <f t="shared" ref="L379:L380" si="190">HYPERLINK("https://docs.google.com/spreadsheets/d/1QxDrkvs7sb8CfaayuxdVVCnfpU3eDunF", 86.1762875)</f>
        <v>86.1762875</v>
      </c>
      <c r="M379" s="13"/>
      <c r="N379" s="14">
        <f>HYPERLINK("https://docs.google.com/spreadsheets/d/1awzckILIF8UJN-Av92N7UhxIhFastNHt", 3171.20403750001)</f>
        <v>3171.204038</v>
      </c>
      <c r="O379" s="13"/>
      <c r="P379" s="14">
        <f t="shared" ref="P379:P380" si="191">HYPERLINK("https://docs.google.com/spreadsheets/d/1gwfEqSMt5CKVvEswqvUO16pQD42746KG", 181.944777083333)</f>
        <v>181.9447771</v>
      </c>
      <c r="Q379" s="13"/>
      <c r="R379" s="14">
        <f t="shared" ref="R379:R380" si="192">HYPERLINK("https://docs.google.com/spreadsheets/d/1FyYHIH5JSivq_F4o6cI9hemDOu05EHwr", 145.27189375)</f>
        <v>145.2718938</v>
      </c>
      <c r="S379" s="13"/>
      <c r="T379" s="14">
        <f t="shared" ref="T379:T380" si="193">HYPERLINK("https://docs.google.com/spreadsheets/d/1FsYqd7OLPtBrvBXv0OI-SDWu45_zxDCe", 260.9371625)</f>
        <v>260.9371625</v>
      </c>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row>
    <row r="380">
      <c r="A380" s="32" t="s">
        <v>69</v>
      </c>
      <c r="B380" s="32" t="s">
        <v>71</v>
      </c>
      <c r="C380" s="32" t="s">
        <v>9</v>
      </c>
      <c r="D380" s="16">
        <f t="shared" si="1"/>
        <v>674.3301208</v>
      </c>
      <c r="E380" s="17"/>
      <c r="F380" s="18" t="str">
        <f>HYPERLINK("https://docs.google.com/spreadsheets/d/1VA4dQdJMxLQzZ4uApyQ4u6kIbOnlXch-", "RE-951.9855041666681")</f>
        <v>RE-951.9855041666681</v>
      </c>
      <c r="G380" s="17"/>
      <c r="H380" s="18" t="str">
        <f>HYPERLINK("https://docs.google.com/spreadsheets/d/1vF4gAeqTut-F7SJpuDYT67FMuJ3tfSri", "RE-99.56625208333331")</f>
        <v>RE-99.56625208333331</v>
      </c>
      <c r="I380" s="17"/>
      <c r="J380" s="18" t="str">
        <f>HYPERLINK("https://docs.google.com/spreadsheets/d/1SnJFSlfpNYbQw9FZejc2Zh9Wa3uq4kEs", "RE-1006.8724197916661")</f>
        <v>RE-1006.8724197916661</v>
      </c>
      <c r="K380" s="17"/>
      <c r="L380" s="18">
        <f t="shared" si="190"/>
        <v>86.1762875</v>
      </c>
      <c r="M380" s="17"/>
      <c r="N380" s="18" t="str">
        <f>HYPERLINK("https://docs.google.com/spreadsheets/d/1awzckILIF8UJN-Av92N7UhxIhFastNHt", "RE-3171.204037500012")</f>
        <v>RE-3171.204037500012</v>
      </c>
      <c r="O380" s="17"/>
      <c r="P380" s="18">
        <f t="shared" si="191"/>
        <v>181.9447771</v>
      </c>
      <c r="Q380" s="17"/>
      <c r="R380" s="18">
        <f t="shared" si="192"/>
        <v>145.2718938</v>
      </c>
      <c r="S380" s="17"/>
      <c r="T380" s="18">
        <f t="shared" si="193"/>
        <v>260.9371625</v>
      </c>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c r="DE380" s="17"/>
      <c r="DF380" s="17"/>
      <c r="DG380" s="17"/>
      <c r="DH380" s="17"/>
      <c r="DI380" s="17"/>
      <c r="DJ380" s="17"/>
      <c r="DK380" s="17"/>
      <c r="DL380" s="17"/>
      <c r="DM380" s="17"/>
      <c r="DN380" s="17"/>
      <c r="DO380" s="17"/>
      <c r="DP380" s="17"/>
      <c r="DQ380" s="17"/>
      <c r="DR380" s="17"/>
      <c r="DS380" s="17"/>
      <c r="DT380" s="17"/>
      <c r="DU380" s="17"/>
      <c r="DV380" s="17"/>
      <c r="DW380" s="17"/>
      <c r="DX380" s="17"/>
      <c r="DY380" s="17"/>
      <c r="DZ380" s="17"/>
      <c r="EA380" s="17"/>
      <c r="EB380" s="17"/>
      <c r="EC380" s="17"/>
      <c r="ED380" s="17"/>
      <c r="EE380" s="17"/>
      <c r="EF380" s="17"/>
      <c r="EG380" s="17"/>
      <c r="EH380" s="17"/>
      <c r="EI380" s="17"/>
      <c r="EJ380" s="17"/>
      <c r="EK380" s="17"/>
      <c r="EL380" s="17"/>
      <c r="EM380" s="17"/>
      <c r="EN380" s="17"/>
      <c r="EO380" s="17"/>
      <c r="EP380" s="17"/>
      <c r="EQ380" s="17"/>
      <c r="ER380" s="17"/>
      <c r="ES380" s="17"/>
      <c r="ET380" s="17"/>
      <c r="EU380" s="17"/>
      <c r="EV380" s="17"/>
      <c r="EW380" s="17"/>
      <c r="EX380" s="17"/>
      <c r="EY380" s="17"/>
      <c r="EZ380" s="17"/>
      <c r="FA380" s="17"/>
      <c r="FB380" s="17"/>
      <c r="FC380" s="17"/>
      <c r="FD380" s="17"/>
      <c r="FE380" s="17"/>
      <c r="FF380" s="17"/>
      <c r="FG380" s="17"/>
      <c r="FH380" s="17"/>
    </row>
    <row r="381">
      <c r="A381" s="32" t="s">
        <v>69</v>
      </c>
      <c r="B381" s="32" t="s">
        <v>71</v>
      </c>
      <c r="C381" s="32" t="s">
        <v>10</v>
      </c>
      <c r="D381" s="16">
        <f t="shared" si="1"/>
        <v>970.8309458</v>
      </c>
      <c r="E381" s="17"/>
      <c r="F381" s="17"/>
      <c r="G381" s="18">
        <f>HYPERLINK("https://docs.google.com/spreadsheets/d/1djZ0MJXi0M7IGpL1zxyB2U5871MsVDlv", 106.694857291666)</f>
        <v>106.6948573</v>
      </c>
      <c r="H381" s="17"/>
      <c r="I381" s="18">
        <f>HYPERLINK("https://docs.google.com/spreadsheets/d/1W8X-vSaUi64tTzCKkcvNVTNAoG7X93Fi", 6.1947875)</f>
        <v>6.1947875</v>
      </c>
      <c r="J381" s="17"/>
      <c r="K381" s="18">
        <f>HYPERLINK("https://docs.google.com/spreadsheets/d/1xIva9mIF4qkqu033bWk0aGFGNsxyHNxi", 135.982889583333)</f>
        <v>135.9828896</v>
      </c>
      <c r="L381" s="17"/>
      <c r="M381" s="18">
        <f>HYPERLINK("https://docs.google.com/spreadsheets/d/1Vz9VAGF5I3nENzAiEXBgj5fhzJKXU9mu", 14.1316125)</f>
        <v>14.1316125</v>
      </c>
      <c r="N381" s="17"/>
      <c r="O381" s="18">
        <f>HYPERLINK("https://docs.google.com/spreadsheets/d/1sigYauwFVayPETZl4Ty2B_WXuf3EUJ9w", 520.132552083333)</f>
        <v>520.1325521</v>
      </c>
      <c r="P381" s="17"/>
      <c r="Q381" s="18">
        <f>HYPERLINK("https://docs.google.com/spreadsheets/d/1lqNYZzS5m3Y3vwdnWI7Na7f7Z13JgmCD", 116.566055208333)</f>
        <v>116.5660552</v>
      </c>
      <c r="R381" s="17"/>
      <c r="S381" s="18">
        <f>HYPERLINK("https://docs.google.com/spreadsheets/d/1lAkECqurT7S3GYCoKmNIPse65TQLa0Im", 22.7916010416666)</f>
        <v>22.79160104</v>
      </c>
      <c r="T381" s="17"/>
      <c r="U381" s="18">
        <f>HYPERLINK("https://docs.google.com/spreadsheets/d/1OyqHAfrlzf404jybKBwun3QT_fcq3G-w", 41.4248489583333)</f>
        <v>41.42484896</v>
      </c>
      <c r="V381" s="18">
        <f>HYPERLINK("https://docs.google.com/spreadsheets/d/15uKegUMjhARQddntLlDUOmWFNGdd7fnj", 6.91174166666666)</f>
        <v>6.911741667</v>
      </c>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c r="DE381" s="17"/>
      <c r="DF381" s="17"/>
      <c r="DG381" s="17"/>
      <c r="DH381" s="17"/>
      <c r="DI381" s="17"/>
      <c r="DJ381" s="17"/>
      <c r="DK381" s="17"/>
      <c r="DL381" s="17"/>
      <c r="DM381" s="17"/>
      <c r="DN381" s="17"/>
      <c r="DO381" s="17"/>
      <c r="DP381" s="17"/>
      <c r="DQ381" s="17"/>
      <c r="DR381" s="17"/>
      <c r="DS381" s="17"/>
      <c r="DT381" s="17"/>
      <c r="DU381" s="17"/>
      <c r="DV381" s="17"/>
      <c r="DW381" s="17"/>
      <c r="DX381" s="17"/>
      <c r="DY381" s="17"/>
      <c r="DZ381" s="17"/>
      <c r="EA381" s="17"/>
      <c r="EB381" s="17"/>
      <c r="EC381" s="17"/>
      <c r="ED381" s="17"/>
      <c r="EE381" s="17"/>
      <c r="EF381" s="17"/>
      <c r="EG381" s="17"/>
      <c r="EH381" s="17"/>
      <c r="EI381" s="17"/>
      <c r="EJ381" s="17"/>
      <c r="EK381" s="17"/>
      <c r="EL381" s="17"/>
      <c r="EM381" s="17"/>
      <c r="EN381" s="17"/>
      <c r="EO381" s="17"/>
      <c r="EP381" s="17"/>
      <c r="EQ381" s="17"/>
      <c r="ER381" s="17"/>
      <c r="ES381" s="17"/>
      <c r="ET381" s="17"/>
      <c r="EU381" s="17"/>
      <c r="EV381" s="17"/>
      <c r="EW381" s="17"/>
      <c r="EX381" s="17"/>
      <c r="EY381" s="17"/>
      <c r="EZ381" s="17"/>
      <c r="FA381" s="17"/>
      <c r="FB381" s="17"/>
      <c r="FC381" s="17"/>
      <c r="FD381" s="17"/>
      <c r="FE381" s="17"/>
      <c r="FF381" s="17"/>
      <c r="FG381" s="17"/>
      <c r="FH381" s="17"/>
    </row>
    <row r="382">
      <c r="A382" s="32" t="s">
        <v>69</v>
      </c>
      <c r="B382" s="32" t="s">
        <v>71</v>
      </c>
      <c r="C382" s="32" t="s">
        <v>11</v>
      </c>
      <c r="D382" s="16">
        <f t="shared" si="1"/>
        <v>0</v>
      </c>
      <c r="E382" s="17"/>
      <c r="F382" s="17"/>
      <c r="G382" s="18" t="str">
        <f>HYPERLINK("https://docs.google.com/spreadsheets/d/1djZ0MJXi0M7IGpL1zxyB2U5871MsVDlv", "RE-106.6948572916666")</f>
        <v>RE-106.6948572916666</v>
      </c>
      <c r="H382" s="17"/>
      <c r="I382" s="18" t="str">
        <f>HYPERLINK("https://docs.google.com/spreadsheets/d/1W8X-vSaUi64tTzCKkcvNVTNAoG7X93Fi", "RE-6.1947875")</f>
        <v>RE-6.1947875</v>
      </c>
      <c r="J382" s="17"/>
      <c r="K382" s="18" t="str">
        <f>HYPERLINK("https://docs.google.com/spreadsheets/d/1xIva9mIF4qkqu033bWk0aGFGNsxyHNxi", "RE-135.98288958333345")</f>
        <v>RE-135.98288958333345</v>
      </c>
      <c r="L382" s="17"/>
      <c r="M382" s="18" t="str">
        <f>HYPERLINK("https://docs.google.com/spreadsheets/d/1Vz9VAGF5I3nENzAiEXBgj5fhzJKXU9mu", "RE-14.131612500000001")</f>
        <v>RE-14.131612500000001</v>
      </c>
      <c r="N382" s="17"/>
      <c r="O382" s="18" t="str">
        <f>HYPERLINK("https://docs.google.com/spreadsheets/d/1sigYauwFVayPETZl4Ty2B_WXuf3EUJ9w", "RE-520.1325520833332")</f>
        <v>RE-520.1325520833332</v>
      </c>
      <c r="P382" s="17"/>
      <c r="Q382" s="18" t="str">
        <f>HYPERLINK("https://docs.google.com/spreadsheets/d/1lqNYZzS5m3Y3vwdnWI7Na7f7Z13JgmCD", "RE-116.56605520833325")</f>
        <v>RE-116.56605520833325</v>
      </c>
      <c r="R382" s="17"/>
      <c r="S382" s="18" t="str">
        <f>HYPERLINK("https://docs.google.com/spreadsheets/d/1lAkECqurT7S3GYCoKmNIPse65TQLa0Im", "RE-22.791601041666663")</f>
        <v>RE-22.791601041666663</v>
      </c>
      <c r="T382" s="17"/>
      <c r="U382" s="18" t="str">
        <f>HYPERLINK("https://docs.google.com/spreadsheets/d/1OyqHAfrlzf404jybKBwun3QT_fcq3G-w", "RE-41.42484895833332")</f>
        <v>RE-41.42484895833332</v>
      </c>
      <c r="V382" s="18" t="str">
        <f>HYPERLINK("https://docs.google.com/spreadsheets/d/15uKegUMjhARQddntLlDUOmWFNGdd7fnj", "RE-6.911741666666663")</f>
        <v>RE-6.911741666666663</v>
      </c>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c r="EJ382" s="17"/>
      <c r="EK382" s="17"/>
      <c r="EL382" s="17"/>
      <c r="EM382" s="17"/>
      <c r="EN382" s="17"/>
      <c r="EO382" s="17"/>
      <c r="EP382" s="17"/>
      <c r="EQ382" s="17"/>
      <c r="ER382" s="17"/>
      <c r="ES382" s="17"/>
      <c r="ET382" s="17"/>
      <c r="EU382" s="17"/>
      <c r="EV382" s="17"/>
      <c r="EW382" s="17"/>
      <c r="EX382" s="17"/>
      <c r="EY382" s="17"/>
      <c r="EZ382" s="17"/>
      <c r="FA382" s="17"/>
      <c r="FB382" s="17"/>
      <c r="FC382" s="17"/>
      <c r="FD382" s="17"/>
      <c r="FE382" s="17"/>
      <c r="FF382" s="17"/>
      <c r="FG382" s="17"/>
      <c r="FH382" s="17"/>
    </row>
    <row r="383">
      <c r="A383" s="32" t="s">
        <v>69</v>
      </c>
      <c r="B383" s="32" t="s">
        <v>71</v>
      </c>
      <c r="C383" s="32" t="s">
        <v>12</v>
      </c>
      <c r="D383" s="16">
        <f t="shared" si="1"/>
        <v>623.7488781</v>
      </c>
      <c r="E383" s="17"/>
      <c r="F383" s="18" t="str">
        <f>HYPERLINK("https://docs.google.com/spreadsheets/d/1Sm_jofXzcxGuI6pnZgM4QIJRgP4xItWz", "RE-771.8587427083338")</f>
        <v>RE-771.8587427083338</v>
      </c>
      <c r="G383" s="18" t="str">
        <f>HYPERLINK("https://docs.google.com/spreadsheets/d/1iQJsQGxfex5YM9Mh6DdHFUDsu_QjNOz8", "RE-3.527814583333333")</f>
        <v>RE-3.527814583333333</v>
      </c>
      <c r="H383" s="18" t="str">
        <f>HYPERLINK("https://docs.google.com/spreadsheets/d/1C0QRzykssah_ObjGB5RONy2MpJKF4gMS", "RE-91.70961875000003")</f>
        <v>RE-91.70961875000003</v>
      </c>
      <c r="I383" s="18" t="str">
        <f>HYPERLINK("https://docs.google.com/spreadsheets/d/1N7bXSn-Ku1-an9lf2Wf3aLXQJEEkPhTF", "RE-0.0")</f>
        <v>RE-0.0</v>
      </c>
      <c r="J383" s="18" t="str">
        <f>HYPERLINK("https://docs.google.com/spreadsheets/d/14Z2n0v25W14PCdOlCGhb47bmGm7tt8gQ", "RE-753.8561447916668")</f>
        <v>RE-753.8561447916668</v>
      </c>
      <c r="K383" s="18" t="str">
        <f>HYPERLINK("https://docs.google.com/spreadsheets/d/1OetW8i8Gwmgft6zNEQ7E8U4djrXhu43j", "RE-5.417383333333333")</f>
        <v>RE-5.417383333333333</v>
      </c>
      <c r="L383" s="18">
        <f>HYPERLINK("https://docs.google.com/spreadsheets/d/1MblL8XUHx7_E0HryYjhO98HZabNaHQYy", 71.6327395833333)</f>
        <v>71.63273958</v>
      </c>
      <c r="M383" s="18" t="str">
        <f>HYPERLINK("https://docs.google.com/spreadsheets/d/18__x4oNAsSb0ZRq3NEQf91CdJOJbpd-N", "RE-3.2371208333333334")</f>
        <v>RE-3.2371208333333334</v>
      </c>
      <c r="N383" s="18" t="str">
        <f>HYPERLINK("https://docs.google.com/spreadsheets/d/1Thfi98jAU2bqXGTXfjmkuCZtQ14F0DiV", "RE-2242.544608333333")</f>
        <v>RE-2242.544608333333</v>
      </c>
      <c r="O383" s="18" t="str">
        <f>HYPERLINK("https://docs.google.com/spreadsheets/d/1Snqmwlps-Kap0CTl0mV7RNj7EJW81cVz", "RE-41.69307708333333")</f>
        <v>RE-41.69307708333333</v>
      </c>
      <c r="P383" s="18">
        <f>HYPERLINK("https://docs.google.com/spreadsheets/d/1AZk82M5Qq_5P7IjmbixeEfKdvwcEDEzw", 167.317480208333)</f>
        <v>167.3174802</v>
      </c>
      <c r="Q383" s="18" t="str">
        <f>HYPERLINK("https://docs.google.com/spreadsheets/d/1McF8yhNIjCmxHorasfrDvjJiJWht2QZ2", "RE-30.89453958333333")</f>
        <v>RE-30.89453958333333</v>
      </c>
      <c r="R383" s="18">
        <f>HYPERLINK("https://docs.google.com/spreadsheets/d/1uSbDuheLG6nBrCVq5vV6nqvo67UiHn4S", 139.0111375)</f>
        <v>139.0111375</v>
      </c>
      <c r="S383" s="18" t="str">
        <f>HYPERLINK("https://docs.google.com/spreadsheets/d/1q7idPqhZ6ocUyhfiBLebhvoBnwJS0lN8", "RE-11.32728125")</f>
        <v>RE-11.32728125</v>
      </c>
      <c r="T383" s="18">
        <f>HYPERLINK("https://docs.google.com/spreadsheets/d/1ViHDh0qgb71c06lUu3W3VvByENE83B1M", 245.787520833333)</f>
        <v>245.7875208</v>
      </c>
      <c r="U383" s="18" t="str">
        <f>HYPERLINK("https://docs.google.com/spreadsheets/d/1en2wXrtonSGsPMXmkRjhS6sTMXbSGG0Z", "RE-25.064048958333338")</f>
        <v>RE-25.064048958333338</v>
      </c>
      <c r="V383" s="18" t="str">
        <f>HYPERLINK("https://docs.google.com/spreadsheets/d/1i3Q-LR-WzEXUdkt5cEl5yoqRXlPPbbE_", "RE-3.215097916666667")</f>
        <v>RE-3.215097916666667</v>
      </c>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c r="DE383" s="17"/>
      <c r="DF383" s="17"/>
      <c r="DG383" s="17"/>
      <c r="DH383" s="17"/>
      <c r="DI383" s="17"/>
      <c r="DJ383" s="17"/>
      <c r="DK383" s="17"/>
      <c r="DL383" s="17"/>
      <c r="DM383" s="17"/>
      <c r="DN383" s="17"/>
      <c r="DO383" s="17"/>
      <c r="DP383" s="17"/>
      <c r="DQ383" s="17"/>
      <c r="DR383" s="17"/>
      <c r="DS383" s="17"/>
      <c r="DT383" s="17"/>
      <c r="DU383" s="17"/>
      <c r="DV383" s="17"/>
      <c r="DW383" s="17"/>
      <c r="DX383" s="17"/>
      <c r="DY383" s="17"/>
      <c r="DZ383" s="17"/>
      <c r="EA383" s="17"/>
      <c r="EB383" s="17"/>
      <c r="EC383" s="17"/>
      <c r="ED383" s="17"/>
      <c r="EE383" s="17"/>
      <c r="EF383" s="17"/>
      <c r="EG383" s="17"/>
      <c r="EH383" s="17"/>
      <c r="EI383" s="17"/>
      <c r="EJ383" s="17"/>
      <c r="EK383" s="17"/>
      <c r="EL383" s="17"/>
      <c r="EM383" s="17"/>
      <c r="EN383" s="17"/>
      <c r="EO383" s="17"/>
      <c r="EP383" s="17"/>
      <c r="EQ383" s="17"/>
      <c r="ER383" s="17"/>
      <c r="ES383" s="17"/>
      <c r="ET383" s="17"/>
      <c r="EU383" s="17"/>
      <c r="EV383" s="17"/>
      <c r="EW383" s="17"/>
      <c r="EX383" s="17"/>
      <c r="EY383" s="17"/>
      <c r="EZ383" s="17"/>
      <c r="FA383" s="17"/>
      <c r="FB383" s="17"/>
      <c r="FC383" s="17"/>
      <c r="FD383" s="17"/>
      <c r="FE383" s="17"/>
      <c r="FF383" s="17"/>
      <c r="FG383" s="17"/>
      <c r="FH383" s="17"/>
    </row>
    <row r="384">
      <c r="A384" s="32" t="s">
        <v>69</v>
      </c>
      <c r="B384" s="32" t="s">
        <v>71</v>
      </c>
      <c r="C384" s="32" t="s">
        <v>13</v>
      </c>
      <c r="D384" s="16">
        <f t="shared" si="1"/>
        <v>596.5375</v>
      </c>
      <c r="E384" s="17"/>
      <c r="F384" s="18" t="str">
        <f>HYPERLINK("https://docs.google.com/spreadsheets/d/1C8uiFQDxpJSHU-_Q5LAcC5-pkqo9mVLe?usp=share_link", "RE-743.975")</f>
        <v>RE-743.975</v>
      </c>
      <c r="G384" s="18" t="str">
        <f>HYPERLINK("https://docs.google.com/spreadsheets/d/13N7ggQzRWvXb4sUATS0pPF8ibPKRq3wI?usp=share_link", "RE-3.38895")</f>
        <v>RE-3.38895</v>
      </c>
      <c r="H384" s="18" t="str">
        <f>HYPERLINK("https://docs.google.com/spreadsheets/d/1cvfGXbipV4v8dfueyzxYExKF4C6u8wGj?usp=share_link", "RE-90.5863")</f>
        <v>RE-90.5863</v>
      </c>
      <c r="I384" s="17"/>
      <c r="J384" s="18" t="str">
        <f>HYPERLINK("https://docs.google.com/spreadsheets/d/1ekBnxqw96gSBaxcuAqH2JyDyb_quoXpv?usp=share_link", "RE-711.094")</f>
        <v>RE-711.094</v>
      </c>
      <c r="K384" s="18" t="str">
        <f>HYPERLINK("https://docs.google.com/spreadsheets/d/1xW19yv0aq-dwgf4zvzrXrMTzFcs7aVmf?usp=share_link", "RE-5.02687")</f>
        <v>RE-5.02687</v>
      </c>
      <c r="L384" s="18">
        <f>HYPERLINK("https://docs.google.com/spreadsheets/d/1mBzzeMg2Ly5vNZJzmiHt8X6wFKktCnxB?usp=share_link", 67.5015)</f>
        <v>67.5015</v>
      </c>
      <c r="M384" s="18" t="str">
        <f>HYPERLINK("https://docs.google.com/spreadsheets/d/1iGIucAy0p4HUF-reXDW7W9ZrJIROsuHA?usp=share_link", "RE-3.12067")</f>
        <v>RE-3.12067</v>
      </c>
      <c r="N384" s="18" t="str">
        <f>HYPERLINK("https://docs.google.com/spreadsheets/d/1U6PgmJKqAjg5CqS5G_Uf9WK5UpixfPpL?usp=share_link", "RE-2165.72")</f>
        <v>RE-2165.72</v>
      </c>
      <c r="O384" s="18" t="str">
        <f>HYPERLINK("https://docs.google.com/spreadsheets/d/1BIo3s5a5T_zb9RFQx5QD8eQ3eQA_PDB5?usp=share_link", "RE-39.2282")</f>
        <v>RE-39.2282</v>
      </c>
      <c r="P384" s="18">
        <f>HYPERLINK("https://docs.google.com/spreadsheets/d/19m3akyVEOcjx9fI8r7wGHCJfh_Yi-4gn?usp=share_link", 160.082)</f>
        <v>160.082</v>
      </c>
      <c r="Q384" s="18" t="str">
        <f>HYPERLINK("https://docs.google.com/spreadsheets/d/11iER9F6vZveMjeXn5xSv5Baqz3gOSMkG?usp=share_link", "RE-29.0676")</f>
        <v>RE-29.0676</v>
      </c>
      <c r="R384" s="18">
        <f>HYPERLINK("https://docs.google.com/spreadsheets/d/14CvhekGV6Az5bIgdupeegzVXhHXd0dPl?usp=share_link", 133.645)</f>
        <v>133.645</v>
      </c>
      <c r="S384" s="18" t="str">
        <f>HYPERLINK("https://docs.google.com/spreadsheets/d/1vzuL2F6duE2PM2h7SkwEyOEwpl3mChJV?usp=share_link", "RE-10.4969")</f>
        <v>RE-10.4969</v>
      </c>
      <c r="T384" s="18">
        <f>HYPERLINK("https://docs.google.com/spreadsheets/d/1K-VW6xCRWfEcVk0_ax0CzlEA_QBykcPa?usp=share_link", 235.309)</f>
        <v>235.309</v>
      </c>
      <c r="U384" s="18" t="str">
        <f>HYPERLINK("https://docs.google.com/spreadsheets/d/1aLMmqVaZis3Hp9f-txtO0KQoSJOyoTpS?usp=share_link", "RE-22.8508")</f>
        <v>RE-22.8508</v>
      </c>
      <c r="V384" s="18" t="str">
        <f>HYPERLINK("https://docs.google.com/spreadsheets/d/1iv56gJhOsZHlXrf7E7l0xJcxSx-E_vpn?usp=share_link", "RE-3.03492")</f>
        <v>RE-3.03492</v>
      </c>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c r="DE384" s="17"/>
      <c r="DF384" s="17"/>
      <c r="DG384" s="17"/>
      <c r="DH384" s="17"/>
      <c r="DI384" s="17"/>
      <c r="DJ384" s="17"/>
      <c r="DK384" s="17"/>
      <c r="DL384" s="17"/>
      <c r="DM384" s="17"/>
      <c r="DN384" s="17"/>
      <c r="DO384" s="17"/>
      <c r="DP384" s="17"/>
      <c r="DQ384" s="17"/>
      <c r="DR384" s="17"/>
      <c r="DS384" s="17"/>
      <c r="DT384" s="17"/>
      <c r="DU384" s="17"/>
      <c r="DV384" s="17"/>
      <c r="DW384" s="17"/>
      <c r="DX384" s="17"/>
      <c r="DY384" s="17"/>
      <c r="DZ384" s="17"/>
      <c r="EA384" s="17"/>
      <c r="EB384" s="17"/>
      <c r="EC384" s="17"/>
      <c r="ED384" s="17"/>
      <c r="EE384" s="17"/>
      <c r="EF384" s="17"/>
      <c r="EG384" s="17"/>
      <c r="EH384" s="17"/>
      <c r="EI384" s="17"/>
      <c r="EJ384" s="17"/>
      <c r="EK384" s="17"/>
      <c r="EL384" s="17"/>
      <c r="EM384" s="17"/>
      <c r="EN384" s="17"/>
      <c r="EO384" s="17"/>
      <c r="EP384" s="17"/>
      <c r="EQ384" s="17"/>
      <c r="ER384" s="17"/>
      <c r="ES384" s="17"/>
      <c r="ET384" s="17"/>
      <c r="EU384" s="17"/>
      <c r="EV384" s="17"/>
      <c r="EW384" s="17"/>
      <c r="EX384" s="17"/>
      <c r="EY384" s="17"/>
      <c r="EZ384" s="17"/>
      <c r="FA384" s="17"/>
      <c r="FB384" s="17"/>
      <c r="FC384" s="17"/>
      <c r="FD384" s="17"/>
      <c r="FE384" s="17"/>
      <c r="FF384" s="17"/>
      <c r="FG384" s="17"/>
      <c r="FH384" s="17"/>
    </row>
    <row r="385">
      <c r="A385" s="32" t="s">
        <v>69</v>
      </c>
      <c r="B385" s="32" t="s">
        <v>71</v>
      </c>
      <c r="C385" s="32" t="s">
        <v>14</v>
      </c>
      <c r="D385" s="16">
        <f t="shared" si="1"/>
        <v>501.2774</v>
      </c>
      <c r="E385" s="17"/>
      <c r="F385" s="18" t="str">
        <f>HYPERLINK("https://docs.google.com/spreadsheets/d/1kU0dktg-8xfo3Xi3948LZueaXlprYHLn?usp=share_link", "RE-670.301")</f>
        <v>RE-670.301</v>
      </c>
      <c r="G385" s="18" t="str">
        <f>HYPERLINK("https://docs.google.com/spreadsheets/d/18OWCyoV0uLZ5ZCm7PXR61zm4vYl4grF-?usp=share_link", "RE-3.06307")</f>
        <v>RE-3.06307</v>
      </c>
      <c r="H385" s="18" t="str">
        <f>HYPERLINK("https://docs.google.com/spreadsheets/d/1swHbrCyytRyWc-eS46mMwpoqRJF7kAaw?usp=share_link", "RE-84.9006")</f>
        <v>RE-84.9006</v>
      </c>
      <c r="I385" s="17"/>
      <c r="J385" s="18" t="str">
        <f>HYPERLINK("https://docs.google.com/spreadsheets/d/1RPFiWsMyyPqypQX6M-1MMXFkeX96FPwN?usp=share_link", "RE-642.435")</f>
        <v>RE-642.435</v>
      </c>
      <c r="K385" s="18" t="str">
        <f>HYPERLINK("https://docs.google.com/spreadsheets/d/1PryGcaazN5MS4jklAbl9hURQuEDFJgrp?usp=share_link", "RE-4.57548")</f>
        <v>RE-4.57548</v>
      </c>
      <c r="L385" s="18">
        <f>HYPERLINK("https://docs.google.com/spreadsheets/d/1L94y5tmCfBTBrkXc1cGqCzDpfWPc23xt?usp=share_link", 55.5864)</f>
        <v>55.5864</v>
      </c>
      <c r="M385" s="18" t="str">
        <f>HYPERLINK("https://docs.google.com/spreadsheets/d/10WzJN0Id-_WaHGnCA33IxYg8x_8HnKbQ?usp=share_link", "RE-3.12067")</f>
        <v>RE-3.12067</v>
      </c>
      <c r="N385" s="18" t="str">
        <f>HYPERLINK("https://docs.google.com/spreadsheets/d/1x6W8wsfFp5OI5yqLNc0i_t3cTHX1dF_l?usp=share_link", "RE-1936.18")</f>
        <v>RE-1936.18</v>
      </c>
      <c r="O385" s="18" t="str">
        <f>HYPERLINK("https://docs.google.com/spreadsheets/d/1I0kQo2h5P9KXIe8ke8LnSy746_1xH1j8?usp=share_link", "RE-32.3833")</f>
        <v>RE-32.3833</v>
      </c>
      <c r="P385" s="18">
        <f>HYPERLINK("https://docs.google.com/spreadsheets/d/1G4ZZueh5tJdFAx7Gxbp9Q_dTj-qf4O_X?usp=share_link", 138.518)</f>
        <v>138.518</v>
      </c>
      <c r="Q385" s="18" t="str">
        <f>HYPERLINK("https://docs.google.com/spreadsheets/d/1bbaPHRmgIhVLnAgHIklDhM_OOQpP2SvS?usp=share_link", "RE-24.157")</f>
        <v>RE-24.157</v>
      </c>
      <c r="R385" s="18">
        <f>HYPERLINK("https://docs.google.com/spreadsheets/d/1dKVii9VAinyXoPNK53ZRypKqCEyCGWaA?usp=share_link", 112.54)</f>
        <v>112.54</v>
      </c>
      <c r="S385" s="18" t="str">
        <f>HYPERLINK("https://docs.google.com/spreadsheets/d/1p8i1x9IGesx_gTkiP1e7mpGgFaf9LHuu?usp=share_link", "RE-8.69323")</f>
        <v>RE-8.69323</v>
      </c>
      <c r="T385" s="18">
        <f>HYPERLINK("https://docs.google.com/spreadsheets/d/1C2stdh_WZkhnPqvT3sU0wjT9xSzzCEQJ?usp=share_link", 194.633)</f>
        <v>194.633</v>
      </c>
      <c r="U385" s="18" t="str">
        <f>HYPERLINK("https://docs.google.com/spreadsheets/d/1urtg-_WAHJ_3bB9Tc-usLWOfJEkRbhYL?usp=share_link", "RE-17.1923")</f>
        <v>RE-17.1923</v>
      </c>
      <c r="V385" s="18" t="str">
        <f>HYPERLINK("https://docs.google.com/spreadsheets/d/1RrRrovcov0Rk8HjSWjZl9JjoJWYtbyZx?usp=share_link", "RE-3.03492")</f>
        <v>RE-3.03492</v>
      </c>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c r="DE385" s="17"/>
      <c r="DF385" s="17"/>
      <c r="DG385" s="17"/>
      <c r="DH385" s="17"/>
      <c r="DI385" s="17"/>
      <c r="DJ385" s="17"/>
      <c r="DK385" s="17"/>
      <c r="DL385" s="17"/>
      <c r="DM385" s="17"/>
      <c r="DN385" s="17"/>
      <c r="DO385" s="17"/>
      <c r="DP385" s="17"/>
      <c r="DQ385" s="17"/>
      <c r="DR385" s="17"/>
      <c r="DS385" s="17"/>
      <c r="DT385" s="17"/>
      <c r="DU385" s="17"/>
      <c r="DV385" s="17"/>
      <c r="DW385" s="17"/>
      <c r="DX385" s="17"/>
      <c r="DY385" s="17"/>
      <c r="DZ385" s="17"/>
      <c r="EA385" s="17"/>
      <c r="EB385" s="17"/>
      <c r="EC385" s="17"/>
      <c r="ED385" s="17"/>
      <c r="EE385" s="17"/>
      <c r="EF385" s="17"/>
      <c r="EG385" s="17"/>
      <c r="EH385" s="17"/>
      <c r="EI385" s="17"/>
      <c r="EJ385" s="17"/>
      <c r="EK385" s="17"/>
      <c r="EL385" s="17"/>
      <c r="EM385" s="17"/>
      <c r="EN385" s="17"/>
      <c r="EO385" s="17"/>
      <c r="EP385" s="17"/>
      <c r="EQ385" s="17"/>
      <c r="ER385" s="17"/>
      <c r="ES385" s="17"/>
      <c r="ET385" s="17"/>
      <c r="EU385" s="17"/>
      <c r="EV385" s="17"/>
      <c r="EW385" s="17"/>
      <c r="EX385" s="17"/>
      <c r="EY385" s="17"/>
      <c r="EZ385" s="17"/>
      <c r="FA385" s="17"/>
      <c r="FB385" s="17"/>
      <c r="FC385" s="17"/>
      <c r="FD385" s="17"/>
      <c r="FE385" s="17"/>
      <c r="FF385" s="17"/>
      <c r="FG385" s="17"/>
      <c r="FH385" s="17"/>
    </row>
    <row r="386">
      <c r="A386" s="27" t="s">
        <v>69</v>
      </c>
      <c r="B386" s="27" t="s">
        <v>71</v>
      </c>
      <c r="C386" s="27" t="s">
        <v>15</v>
      </c>
      <c r="D386" s="28">
        <f t="shared" si="1"/>
        <v>596.5375</v>
      </c>
      <c r="E386" s="33"/>
      <c r="F386" s="34" t="str">
        <f>HYPERLINK("https://docs.google.com/spreadsheets/d/1JdLdJOBtcGEJd50XYv1Eo8TRuZDqDeVJ?usp=share_link", "RE-743.975")</f>
        <v>RE-743.975</v>
      </c>
      <c r="G386" s="34" t="str">
        <f>HYPERLINK("https://docs.google.com/spreadsheets/d/18fWMyHIQ_M6IQJmm-UJiVTyW0Bk6aWpz?usp=share_link", "RE-3.38895")</f>
        <v>RE-3.38895</v>
      </c>
      <c r="H386" s="34" t="str">
        <f>HYPERLINK("https://docs.google.com/spreadsheets/d/1ZtYJTutVpQZGxSEVhZPy5fze8O6U6CWL?usp=share_link", "RE-90.5863")</f>
        <v>RE-90.5863</v>
      </c>
      <c r="I386" s="33"/>
      <c r="J386" s="34" t="str">
        <f>HYPERLINK("https://docs.google.com/spreadsheets/d/14qVZXBsB_78t8oweiUQaInlvH0xbxtGO?usp=share_link", "RE-711.094")</f>
        <v>RE-711.094</v>
      </c>
      <c r="K386" s="34" t="str">
        <f>HYPERLINK("https://docs.google.com/spreadsheets/d/1vWN0gshpahvIkk-ZAP3fgXeTIwh2leaA?usp=share_link", "RE-5.02687")</f>
        <v>RE-5.02687</v>
      </c>
      <c r="L386" s="34">
        <f>HYPERLINK("https://docs.google.com/spreadsheets/d/1-kocbJkg7z17jBzrrQDupOlWIPE1E89q?usp=share_link", 67.5015)</f>
        <v>67.5015</v>
      </c>
      <c r="M386" s="34" t="str">
        <f>HYPERLINK("https://docs.google.com/spreadsheets/d/1Egst-gD5lh4wAQRbqrzQ9pvqZLKu9VK-?usp=share_link", "RE-3.12067")</f>
        <v>RE-3.12067</v>
      </c>
      <c r="N386" s="34" t="str">
        <f>HYPERLINK("https://docs.google.com/spreadsheets/d/1UkAV02IAFkoob0nJ-J9ZQUZ9Y8HardTb?usp=share_link", "RE-2165.68")</f>
        <v>RE-2165.68</v>
      </c>
      <c r="O386" s="34" t="str">
        <f>HYPERLINK("https://docs.google.com/spreadsheets/d/1SA1Y6zmAxb2xhc6b6Gf0R6miypFrfCky?usp=share_link", "RE-39.2282")</f>
        <v>RE-39.2282</v>
      </c>
      <c r="P386" s="34">
        <f>HYPERLINK("https://docs.google.com/spreadsheets/d/1Z7bW6HeLar6QF8Jiz2gVAnMasR3gfD7L?usp=share_link", 160.082)</f>
        <v>160.082</v>
      </c>
      <c r="Q386" s="34" t="str">
        <f>HYPERLINK("https://docs.google.com/spreadsheets/d/1sKDSvhFoX2RQIW2AWnbcNEhiCduIjnqa?usp=share_link", "RE-29.0676")</f>
        <v>RE-29.0676</v>
      </c>
      <c r="R386" s="34">
        <f>HYPERLINK("https://docs.google.com/spreadsheets/d/1cOJVDqHSyuHA8CVNH2691eP8ATUwPN-q?usp=share_link", 133.645)</f>
        <v>133.645</v>
      </c>
      <c r="S386" s="34" t="str">
        <f>HYPERLINK("https://docs.google.com/spreadsheets/d/13tk5QbGdQDbpHMabBJzV-ALDetT758As?usp=share_link", "RE-10.4969")</f>
        <v>RE-10.4969</v>
      </c>
      <c r="T386" s="34">
        <f>HYPERLINK("https://docs.google.com/spreadsheets/d/1YwsYVeHHx9El_QXbtWjhKUDXGk770a-9?usp=share_link", 235.309)</f>
        <v>235.309</v>
      </c>
      <c r="U386" s="34" t="str">
        <f>HYPERLINK("https://docs.google.com/spreadsheets/d/1A2U1yn5Xhxc8ynNVbH5P6Pw29M-PZnLV?usp=share_link", "RE-22.8508")</f>
        <v>RE-22.8508</v>
      </c>
      <c r="V386" s="34" t="str">
        <f>HYPERLINK("https://docs.google.com/spreadsheets/d/1vEa04lbHxM6vxQWUiYd9a7LBm8xA89KF?usp=share_link", "RE-3.03492")</f>
        <v>RE-3.03492</v>
      </c>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c r="BA386" s="33"/>
      <c r="BB386" s="33"/>
      <c r="BC386" s="33"/>
      <c r="BD386" s="33"/>
      <c r="BE386" s="33"/>
      <c r="BF386" s="33"/>
      <c r="BG386" s="33"/>
      <c r="BH386" s="33"/>
      <c r="BI386" s="33"/>
      <c r="BJ386" s="33"/>
      <c r="BK386" s="33"/>
      <c r="BL386" s="33"/>
      <c r="BM386" s="33"/>
      <c r="BN386" s="33"/>
      <c r="BO386" s="33"/>
      <c r="BP386" s="33"/>
      <c r="BQ386" s="33"/>
      <c r="BR386" s="33"/>
      <c r="BS386" s="33"/>
      <c r="BT386" s="33"/>
      <c r="BU386" s="33"/>
      <c r="BV386" s="33"/>
      <c r="BW386" s="33"/>
      <c r="BX386" s="33"/>
      <c r="BY386" s="33"/>
      <c r="BZ386" s="33"/>
      <c r="CA386" s="33"/>
      <c r="CB386" s="33"/>
      <c r="CC386" s="33"/>
      <c r="CD386" s="33"/>
      <c r="CE386" s="33"/>
      <c r="CF386" s="33"/>
      <c r="CG386" s="33"/>
      <c r="CH386" s="33"/>
      <c r="CI386" s="33"/>
      <c r="CJ386" s="33"/>
      <c r="CK386" s="33"/>
      <c r="CL386" s="33"/>
      <c r="CM386" s="33"/>
      <c r="CN386" s="33"/>
      <c r="CO386" s="33"/>
      <c r="CP386" s="33"/>
      <c r="CQ386" s="33"/>
      <c r="CR386" s="33"/>
      <c r="CS386" s="33"/>
      <c r="CT386" s="33"/>
      <c r="CU386" s="33"/>
      <c r="CV386" s="33"/>
      <c r="CW386" s="33"/>
      <c r="CX386" s="33"/>
      <c r="CY386" s="33"/>
      <c r="CZ386" s="33"/>
      <c r="DA386" s="33"/>
      <c r="DB386" s="33"/>
      <c r="DC386" s="33"/>
      <c r="DD386" s="33"/>
      <c r="DE386" s="33"/>
      <c r="DF386" s="33"/>
      <c r="DG386" s="33"/>
      <c r="DH386" s="33"/>
      <c r="DI386" s="33"/>
      <c r="DJ386" s="33"/>
      <c r="DK386" s="33"/>
      <c r="DL386" s="33"/>
      <c r="DM386" s="33"/>
      <c r="DN386" s="33"/>
      <c r="DO386" s="33"/>
      <c r="DP386" s="33"/>
      <c r="DQ386" s="33"/>
      <c r="DR386" s="33"/>
      <c r="DS386" s="33"/>
      <c r="DT386" s="33"/>
      <c r="DU386" s="33"/>
      <c r="DV386" s="33"/>
      <c r="DW386" s="33"/>
      <c r="DX386" s="33"/>
      <c r="DY386" s="33"/>
      <c r="DZ386" s="33"/>
      <c r="EA386" s="33"/>
      <c r="EB386" s="33"/>
      <c r="EC386" s="33"/>
      <c r="ED386" s="33"/>
      <c r="EE386" s="33"/>
      <c r="EF386" s="33"/>
      <c r="EG386" s="33"/>
      <c r="EH386" s="33"/>
      <c r="EI386" s="33"/>
      <c r="EJ386" s="33"/>
      <c r="EK386" s="33"/>
      <c r="EL386" s="33"/>
      <c r="EM386" s="33"/>
      <c r="EN386" s="33"/>
      <c r="EO386" s="33"/>
      <c r="EP386" s="33"/>
      <c r="EQ386" s="33"/>
      <c r="ER386" s="33"/>
      <c r="ES386" s="33"/>
      <c r="ET386" s="33"/>
      <c r="EU386" s="33"/>
      <c r="EV386" s="33"/>
      <c r="EW386" s="33"/>
      <c r="EX386" s="33"/>
      <c r="EY386" s="33"/>
      <c r="EZ386" s="33"/>
      <c r="FA386" s="33"/>
      <c r="FB386" s="33"/>
      <c r="FC386" s="33"/>
      <c r="FD386" s="33"/>
      <c r="FE386" s="33"/>
      <c r="FF386" s="33"/>
      <c r="FG386" s="33"/>
      <c r="FH386" s="33"/>
    </row>
    <row r="387">
      <c r="A387" s="30" t="s">
        <v>35</v>
      </c>
      <c r="B387" s="30" t="s">
        <v>72</v>
      </c>
      <c r="C387" s="31" t="str">
        <f>HYPERLINK("https://docs.google.com/spreadsheets/d/1TcbmR3YYPqaL27EE3xEVY6pOO1Dw7sAo/edit?usp=share_link&amp;ouid=118279477453217743021&amp;rtpof=true&amp;sd=true", "Raw Delivered")</f>
        <v>Raw Delivered</v>
      </c>
      <c r="D387" s="12">
        <f t="shared" si="1"/>
        <v>5883.863712</v>
      </c>
      <c r="E387" s="13"/>
      <c r="F387" s="14">
        <f>HYPERLINK("https://docs.google.com/spreadsheets/d/1JM2LNK8BQ5FfIj2ywUlvGqV_LITdiL7M", 1202.71745104166)</f>
        <v>1202.717451</v>
      </c>
      <c r="G387" s="13"/>
      <c r="H387" s="14">
        <f>HYPERLINK("https://docs.google.com/spreadsheets/d/1hBbay0Ort8-Mr1kpiyiE9-kO9sHUIpai", 140.44851875)</f>
        <v>140.4485188</v>
      </c>
      <c r="I387" s="13"/>
      <c r="J387" s="14">
        <f>HYPERLINK("https://docs.google.com/spreadsheets/d/13wWL_kDydq7EOD1jHfyqXdJxZWQnry0N", 1575.19070104167)</f>
        <v>1575.190701</v>
      </c>
      <c r="K387" s="13"/>
      <c r="L387" s="14">
        <f t="shared" ref="L387:L388" si="194">HYPERLINK("https://docs.google.com/spreadsheets/d/1oWp_mj_I86-tCY-LH4SYF1DA-lL4cGxa", 1273.9504)</f>
        <v>1273.9504</v>
      </c>
      <c r="M387" s="13"/>
      <c r="N387" s="14">
        <f>HYPERLINK("https://docs.google.com/spreadsheets/d/1rLdZyuEU-CLUMycveudf0JRrp-FJb8Wi", 437.029889583332)</f>
        <v>437.0298896</v>
      </c>
      <c r="O387" s="13"/>
      <c r="P387" s="14">
        <f t="shared" ref="P387:P388" si="195">HYPERLINK("https://docs.google.com/spreadsheets/d/1p65PS8gl9En7J8SjIyrJRwM3gmq3ANaG", 224.441005208333)</f>
        <v>224.4410052</v>
      </c>
      <c r="Q387" s="13"/>
      <c r="R387" s="14">
        <f t="shared" ref="R387:R388" si="196">HYPERLINK("https://docs.google.com/spreadsheets/d/10y0MpvxcyMvAHzcJfLbU8EjEOqdWnLE6", 50.5438541666666)</f>
        <v>50.54385417</v>
      </c>
      <c r="S387" s="13"/>
      <c r="T387" s="14">
        <f t="shared" ref="T387:T388" si="197">HYPERLINK("https://docs.google.com/spreadsheets/d/1xECeeeuDq2BooAqYCKfNCFvTtZeijy79", 979.541892708333)</f>
        <v>979.5418927</v>
      </c>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c r="FH387" s="13"/>
    </row>
    <row r="388">
      <c r="A388" s="32" t="s">
        <v>35</v>
      </c>
      <c r="B388" s="32" t="s">
        <v>72</v>
      </c>
      <c r="C388" s="32" t="s">
        <v>9</v>
      </c>
      <c r="D388" s="16">
        <f t="shared" si="1"/>
        <v>2528.477152</v>
      </c>
      <c r="E388" s="17"/>
      <c r="F388" s="18" t="str">
        <f>HYPERLINK("https://docs.google.com/spreadsheets/d/1JM2LNK8BQ5FfIj2ywUlvGqV_LITdiL7M", "RE-1202.7174510416637")</f>
        <v>RE-1202.7174510416637</v>
      </c>
      <c r="G388" s="17"/>
      <c r="H388" s="18" t="str">
        <f>HYPERLINK("https://docs.google.com/spreadsheets/d/1hBbay0Ort8-Mr1kpiyiE9-kO9sHUIpai", "RE-140.44851875000003")</f>
        <v>RE-140.44851875000003</v>
      </c>
      <c r="I388" s="17"/>
      <c r="J388" s="18" t="str">
        <f>HYPERLINK("https://docs.google.com/spreadsheets/d/13wWL_kDydq7EOD1jHfyqXdJxZWQnry0N", "RE-1575.1907010416705")</f>
        <v>RE-1575.1907010416705</v>
      </c>
      <c r="K388" s="17"/>
      <c r="L388" s="18">
        <f t="shared" si="194"/>
        <v>1273.9504</v>
      </c>
      <c r="M388" s="17"/>
      <c r="N388" s="18" t="str">
        <f>HYPERLINK("https://docs.google.com/spreadsheets/d/1rLdZyuEU-CLUMycveudf0JRrp-FJb8Wi", "RE-437.02988958333276")</f>
        <v>RE-437.02988958333276</v>
      </c>
      <c r="O388" s="17"/>
      <c r="P388" s="18">
        <f t="shared" si="195"/>
        <v>224.4410052</v>
      </c>
      <c r="Q388" s="17"/>
      <c r="R388" s="18">
        <f t="shared" si="196"/>
        <v>50.54385417</v>
      </c>
      <c r="S388" s="17"/>
      <c r="T388" s="18">
        <f t="shared" si="197"/>
        <v>979.5418927</v>
      </c>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c r="DE388" s="17"/>
      <c r="DF388" s="17"/>
      <c r="DG388" s="17"/>
      <c r="DH388" s="17"/>
      <c r="DI388" s="17"/>
      <c r="DJ388" s="17"/>
      <c r="DK388" s="17"/>
      <c r="DL388" s="17"/>
      <c r="DM388" s="17"/>
      <c r="DN388" s="17"/>
      <c r="DO388" s="17"/>
      <c r="DP388" s="17"/>
      <c r="DQ388" s="17"/>
      <c r="DR388" s="17"/>
      <c r="DS388" s="17"/>
      <c r="DT388" s="17"/>
      <c r="DU388" s="17"/>
      <c r="DV388" s="17"/>
      <c r="DW388" s="17"/>
      <c r="DX388" s="17"/>
      <c r="DY388" s="17"/>
      <c r="DZ388" s="17"/>
      <c r="EA388" s="17"/>
      <c r="EB388" s="17"/>
      <c r="EC388" s="17"/>
      <c r="ED388" s="17"/>
      <c r="EE388" s="17"/>
      <c r="EF388" s="17"/>
      <c r="EG388" s="17"/>
      <c r="EH388" s="17"/>
      <c r="EI388" s="17"/>
      <c r="EJ388" s="17"/>
      <c r="EK388" s="17"/>
      <c r="EL388" s="17"/>
      <c r="EM388" s="17"/>
      <c r="EN388" s="17"/>
      <c r="EO388" s="17"/>
      <c r="EP388" s="17"/>
      <c r="EQ388" s="17"/>
      <c r="ER388" s="17"/>
      <c r="ES388" s="17"/>
      <c r="ET388" s="17"/>
      <c r="EU388" s="17"/>
      <c r="EV388" s="17"/>
      <c r="EW388" s="17"/>
      <c r="EX388" s="17"/>
      <c r="EY388" s="17"/>
      <c r="EZ388" s="17"/>
      <c r="FA388" s="17"/>
      <c r="FB388" s="17"/>
      <c r="FC388" s="17"/>
      <c r="FD388" s="17"/>
      <c r="FE388" s="17"/>
      <c r="FF388" s="17"/>
      <c r="FG388" s="17"/>
      <c r="FH388" s="17"/>
    </row>
    <row r="389">
      <c r="A389" s="32" t="s">
        <v>35</v>
      </c>
      <c r="B389" s="32" t="s">
        <v>72</v>
      </c>
      <c r="C389" s="32" t="s">
        <v>10</v>
      </c>
      <c r="D389" s="16">
        <f t="shared" si="1"/>
        <v>464.6788833</v>
      </c>
      <c r="E389" s="17"/>
      <c r="F389" s="17"/>
      <c r="G389" s="18">
        <f>HYPERLINK("https://docs.google.com/spreadsheets/d/1Cnkxt2S4t1ZEbtuaB5gMZnds1hvbPt87", 158.575697916666)</f>
        <v>158.5756979</v>
      </c>
      <c r="H389" s="17"/>
      <c r="I389" s="18">
        <f>HYPERLINK("https://docs.google.com/spreadsheets/d/1_4OrKhwSUzQEWmXbEr3om9H9D2MJfnfH", 18.26853125)</f>
        <v>18.26853125</v>
      </c>
      <c r="J389" s="17"/>
      <c r="K389" s="18">
        <f>HYPERLINK("https://docs.google.com/spreadsheets/d/13UP_Xb0ubHTbamO_ib2okYV8qDn-Ua1z", 101.045445833333)</f>
        <v>101.0454458</v>
      </c>
      <c r="L389" s="17"/>
      <c r="M389" s="18">
        <f>HYPERLINK("https://docs.google.com/spreadsheets/d/1koym40LlJdqjZLqpUV6QnJy_Qbyew_hR", 62.3055270833333)</f>
        <v>62.30552708</v>
      </c>
      <c r="N389" s="17"/>
      <c r="O389" s="18">
        <f>HYPERLINK("https://docs.google.com/spreadsheets/d/1lYZLDFVQ8ZI3k-SWOwtOfi8FJvHvx6rx", 39.2903791666666)</f>
        <v>39.29037917</v>
      </c>
      <c r="P389" s="17"/>
      <c r="Q389" s="18">
        <f>HYPERLINK("https://docs.google.com/spreadsheets/d/1pYNF-SeQAM1zV2PTiyh7A2kZSUOG4S0i", 16.9676999999999)</f>
        <v>16.9677</v>
      </c>
      <c r="R389" s="17"/>
      <c r="S389" s="18">
        <f>HYPERLINK("https://docs.google.com/spreadsheets/d/1rKH8ERQ3YcEEj2JPPrbxQpu8SuERSQXn", 4.12895416666666)</f>
        <v>4.128954167</v>
      </c>
      <c r="T389" s="17"/>
      <c r="U389" s="18">
        <f>HYPERLINK("https://docs.google.com/spreadsheets/d/1E3d-F-6FxbwVmGzbsuKaRWfarWBOHDBA", 43.6247145833333)</f>
        <v>43.62471458</v>
      </c>
      <c r="V389" s="18">
        <f>HYPERLINK("https://docs.google.com/spreadsheets/d/1-wYI1a_RjmLe3L6vh3_d9Q2xGhU5sOwX", 20.4719333333333)</f>
        <v>20.47193333</v>
      </c>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c r="DE389" s="17"/>
      <c r="DF389" s="17"/>
      <c r="DG389" s="17"/>
      <c r="DH389" s="17"/>
      <c r="DI389" s="17"/>
      <c r="DJ389" s="17"/>
      <c r="DK389" s="17"/>
      <c r="DL389" s="17"/>
      <c r="DM389" s="17"/>
      <c r="DN389" s="17"/>
      <c r="DO389" s="17"/>
      <c r="DP389" s="17"/>
      <c r="DQ389" s="17"/>
      <c r="DR389" s="17"/>
      <c r="DS389" s="17"/>
      <c r="DT389" s="17"/>
      <c r="DU389" s="17"/>
      <c r="DV389" s="17"/>
      <c r="DW389" s="17"/>
      <c r="DX389" s="17"/>
      <c r="DY389" s="17"/>
      <c r="DZ389" s="17"/>
      <c r="EA389" s="17"/>
      <c r="EB389" s="17"/>
      <c r="EC389" s="17"/>
      <c r="ED389" s="17"/>
      <c r="EE389" s="17"/>
      <c r="EF389" s="17"/>
      <c r="EG389" s="17"/>
      <c r="EH389" s="17"/>
      <c r="EI389" s="17"/>
      <c r="EJ389" s="17"/>
      <c r="EK389" s="17"/>
      <c r="EL389" s="17"/>
      <c r="EM389" s="17"/>
      <c r="EN389" s="17"/>
      <c r="EO389" s="17"/>
      <c r="EP389" s="17"/>
      <c r="EQ389" s="17"/>
      <c r="ER389" s="17"/>
      <c r="ES389" s="17"/>
      <c r="ET389" s="17"/>
      <c r="EU389" s="17"/>
      <c r="EV389" s="17"/>
      <c r="EW389" s="17"/>
      <c r="EX389" s="17"/>
      <c r="EY389" s="17"/>
      <c r="EZ389" s="17"/>
      <c r="FA389" s="17"/>
      <c r="FB389" s="17"/>
      <c r="FC389" s="17"/>
      <c r="FD389" s="17"/>
      <c r="FE389" s="17"/>
      <c r="FF389" s="17"/>
      <c r="FG389" s="17"/>
      <c r="FH389" s="17"/>
    </row>
    <row r="390">
      <c r="A390" s="32" t="s">
        <v>35</v>
      </c>
      <c r="B390" s="32" t="s">
        <v>72</v>
      </c>
      <c r="C390" s="32" t="s">
        <v>11</v>
      </c>
      <c r="D390" s="16">
        <f t="shared" si="1"/>
        <v>0</v>
      </c>
      <c r="E390" s="17"/>
      <c r="F390" s="17"/>
      <c r="G390" s="18" t="str">
        <f>HYPERLINK("https://docs.google.com/spreadsheets/d/1Cnkxt2S4t1ZEbtuaB5gMZnds1hvbPt87", "RE-158.57569791666654")</f>
        <v>RE-158.57569791666654</v>
      </c>
      <c r="H390" s="17"/>
      <c r="I390" s="18" t="str">
        <f>HYPERLINK("https://docs.google.com/spreadsheets/d/1_4OrKhwSUzQEWmXbEr3om9H9D2MJfnfH", "RE-18.268531250000002")</f>
        <v>RE-18.268531250000002</v>
      </c>
      <c r="J390" s="17"/>
      <c r="K390" s="18" t="str">
        <f>HYPERLINK("https://docs.google.com/spreadsheets/d/13UP_Xb0ubHTbamO_ib2okYV8qDn-Ua1z", "RE-101.04544583333323")</f>
        <v>RE-101.04544583333323</v>
      </c>
      <c r="L390" s="17"/>
      <c r="M390" s="18" t="str">
        <f>HYPERLINK("https://docs.google.com/spreadsheets/d/1koym40LlJdqjZLqpUV6QnJy_Qbyew_hR", "RE-62.30552708333336")</f>
        <v>RE-62.30552708333336</v>
      </c>
      <c r="N390" s="17"/>
      <c r="O390" s="18" t="str">
        <f>HYPERLINK("https://docs.google.com/spreadsheets/d/1lYZLDFVQ8ZI3k-SWOwtOfi8FJvHvx6rx", "RE-39.29037916666664")</f>
        <v>RE-39.29037916666664</v>
      </c>
      <c r="P390" s="17"/>
      <c r="Q390" s="18" t="str">
        <f>HYPERLINK("https://docs.google.com/spreadsheets/d/1pYNF-SeQAM1zV2PTiyh7A2kZSUOG4S0i", "RE-16.967699999999997")</f>
        <v>RE-16.967699999999997</v>
      </c>
      <c r="R390" s="17"/>
      <c r="S390" s="18" t="str">
        <f>HYPERLINK("https://docs.google.com/spreadsheets/d/1rKH8ERQ3YcEEj2JPPrbxQpu8SuERSQXn", "RE-4.128954166666667")</f>
        <v>RE-4.128954166666667</v>
      </c>
      <c r="T390" s="17"/>
      <c r="U390" s="18" t="str">
        <f>HYPERLINK("https://docs.google.com/spreadsheets/d/1E3d-F-6FxbwVmGzbsuKaRWfarWBOHDBA", "RE-43.62471458333336")</f>
        <v>RE-43.62471458333336</v>
      </c>
      <c r="V390" s="18" t="str">
        <f>HYPERLINK("https://docs.google.com/spreadsheets/d/1-wYI1a_RjmLe3L6vh3_d9Q2xGhU5sOwX", "RE-20.471933333333336")</f>
        <v>RE-20.471933333333336</v>
      </c>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c r="EJ390" s="17"/>
      <c r="EK390" s="17"/>
      <c r="EL390" s="17"/>
      <c r="EM390" s="17"/>
      <c r="EN390" s="17"/>
      <c r="EO390" s="17"/>
      <c r="EP390" s="17"/>
      <c r="EQ390" s="17"/>
      <c r="ER390" s="17"/>
      <c r="ES390" s="17"/>
      <c r="ET390" s="17"/>
      <c r="EU390" s="17"/>
      <c r="EV390" s="17"/>
      <c r="EW390" s="17"/>
      <c r="EX390" s="17"/>
      <c r="EY390" s="17"/>
      <c r="EZ390" s="17"/>
      <c r="FA390" s="17"/>
      <c r="FB390" s="17"/>
      <c r="FC390" s="17"/>
      <c r="FD390" s="17"/>
      <c r="FE390" s="17"/>
      <c r="FF390" s="17"/>
      <c r="FG390" s="17"/>
      <c r="FH390" s="17"/>
    </row>
    <row r="391">
      <c r="A391" s="32" t="s">
        <v>35</v>
      </c>
      <c r="B391" s="32" t="s">
        <v>72</v>
      </c>
      <c r="C391" s="32" t="s">
        <v>12</v>
      </c>
      <c r="D391" s="16">
        <f t="shared" si="1"/>
        <v>2303.404732</v>
      </c>
      <c r="E391" s="17"/>
      <c r="F391" s="18" t="str">
        <f>HYPERLINK("https://docs.google.com/spreadsheets/d/1dhNxc-AAiheOWSW3AyR5O8sP4ufqHSw1", "RE-902.9485156250028")</f>
        <v>RE-902.9485156250028</v>
      </c>
      <c r="G391" s="18" t="str">
        <f>HYPERLINK("https://docs.google.com/spreadsheets/d/1ZxJxbuKNyLXyxyp4hE2AD64gIIiYYk1x", "RE-3.72173125")</f>
        <v>RE-3.72173125</v>
      </c>
      <c r="H391" s="18" t="str">
        <f>HYPERLINK("https://docs.google.com/spreadsheets/d/1xgvAHRANmgHiTY4ZYWhN1fc5LprB3zm5", "RE-116.54373333333339")</f>
        <v>RE-116.54373333333339</v>
      </c>
      <c r="I391" s="18" t="str">
        <f>HYPERLINK("https://docs.google.com/spreadsheets/d/1z8YwFLo9kASmMBjh0Yn489gnK9VIjQRr", "RE-0.29191041666666667")</f>
        <v>RE-0.29191041666666667</v>
      </c>
      <c r="J391" s="18" t="str">
        <f>HYPERLINK("https://docs.google.com/spreadsheets/d/1xp2CDJOXYQs1Y2JTi0GUOT9lyvrS_mTZ", "RE-1335.8549020833377")</f>
        <v>RE-1335.8549020833377</v>
      </c>
      <c r="K391" s="18" t="str">
        <f>HYPERLINK("https://docs.google.com/spreadsheets/d/1PQDl67M84-yg2UG0csBAiiGmXIO8XCBA", "RE-7.310885416666667")</f>
        <v>RE-7.310885416666667</v>
      </c>
      <c r="L391" s="18">
        <f>HYPERLINK("https://docs.google.com/spreadsheets/d/1qDJxCR4ccve8Mcbc2aUrmdqk6zz6OcpE", 1171.82400833333)</f>
        <v>1171.824008</v>
      </c>
      <c r="M391" s="18" t="str">
        <f>HYPERLINK("https://docs.google.com/spreadsheets/d/1HzbR11RINeDYf6VlBspLAaZwJpgYoLh3", "RE-8.31960625")</f>
        <v>RE-8.31960625</v>
      </c>
      <c r="N391" s="18" t="str">
        <f>HYPERLINK("https://docs.google.com/spreadsheets/d/1k0eWrHkr893gNOIEHCG-pPf8ix8VDJMP", "RE-313.26399375000005")</f>
        <v>RE-313.26399375000005</v>
      </c>
      <c r="O391" s="18" t="str">
        <f>HYPERLINK("https://docs.google.com/spreadsheets/d/10yGRGNiJpi2D3u90y5pLoHmUwQ_MgTHa", "RE-3.927527083333333")</f>
        <v>RE-3.927527083333333</v>
      </c>
      <c r="P391" s="18">
        <f>HYPERLINK("https://docs.google.com/spreadsheets/d/dummy", 203.429416666666)</f>
        <v>203.4294167</v>
      </c>
      <c r="Q391" s="18" t="str">
        <f>HYPERLINK("https://docs.google.com/spreadsheets/d/1X6tS_pwOk3HE_zNPRsXl2lnD5cDO2oV_", "RE-4.964250000000001")</f>
        <v>RE-4.964250000000001</v>
      </c>
      <c r="R391" s="18">
        <f>HYPERLINK("https://docs.google.com/spreadsheets/d/1QZp3cQ0jO9k4xtUfnSpdEkgfeLa9C999", 47.0570770833333)</f>
        <v>47.05707708</v>
      </c>
      <c r="S391" s="18" t="str">
        <f>HYPERLINK("https://docs.google.com/spreadsheets/d/1LsWxa9sc3A8KE9Gz2CR7PyDoP7ZUTs21", "RE-2.737939583333334")</f>
        <v>RE-2.737939583333334</v>
      </c>
      <c r="T391" s="18">
        <f>HYPERLINK("https://docs.google.com/spreadsheets/d/1tFyVa9MotSfQhKc_uc4QNK-plkvPPITK", 881.094230208333)</f>
        <v>881.0942302</v>
      </c>
      <c r="U391" s="18" t="str">
        <f>HYPERLINK("https://docs.google.com/spreadsheets/d/1SVah93YcaO_THUIWYOYJhX_VyBYyJ0Hd", "RE-15.402859375")</f>
        <v>RE-15.402859375</v>
      </c>
      <c r="V391" s="18" t="str">
        <f>HYPERLINK("https://docs.google.com/spreadsheets/d/1z0ZYO7VSsS6ASzh0PFzACgVJqMd_MJeH", "RE-2.128979166666667")</f>
        <v>RE-2.128979166666667</v>
      </c>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O391" s="17"/>
      <c r="DP391" s="17"/>
      <c r="DQ391" s="17"/>
      <c r="DR391" s="17"/>
      <c r="DS391" s="17"/>
      <c r="DT391" s="17"/>
      <c r="DU391" s="17"/>
      <c r="DV391" s="17"/>
      <c r="DW391" s="17"/>
      <c r="DX391" s="17"/>
      <c r="DY391" s="17"/>
      <c r="DZ391" s="17"/>
      <c r="EA391" s="17"/>
      <c r="EB391" s="17"/>
      <c r="EC391" s="17"/>
      <c r="ED391" s="17"/>
      <c r="EE391" s="17"/>
      <c r="EF391" s="17"/>
      <c r="EG391" s="17"/>
      <c r="EH391" s="17"/>
      <c r="EI391" s="17"/>
      <c r="EJ391" s="17"/>
      <c r="EK391" s="17"/>
      <c r="EL391" s="17"/>
      <c r="EM391" s="17"/>
      <c r="EN391" s="17"/>
      <c r="EO391" s="17"/>
      <c r="EP391" s="17"/>
      <c r="EQ391" s="17"/>
      <c r="ER391" s="17"/>
      <c r="ES391" s="17"/>
      <c r="ET391" s="17"/>
      <c r="EU391" s="17"/>
      <c r="EV391" s="17"/>
      <c r="EW391" s="17"/>
      <c r="EX391" s="17"/>
      <c r="EY391" s="17"/>
      <c r="EZ391" s="17"/>
      <c r="FA391" s="17"/>
      <c r="FB391" s="17"/>
      <c r="FC391" s="17"/>
      <c r="FD391" s="17"/>
      <c r="FE391" s="17"/>
      <c r="FF391" s="17"/>
      <c r="FG391" s="17"/>
      <c r="FH391" s="17"/>
    </row>
    <row r="392">
      <c r="A392" s="32" t="s">
        <v>35</v>
      </c>
      <c r="B392" s="32" t="s">
        <v>72</v>
      </c>
      <c r="C392" s="32" t="s">
        <v>13</v>
      </c>
      <c r="D392" s="16">
        <f t="shared" si="1"/>
        <v>2225.9353</v>
      </c>
      <c r="E392" s="17"/>
      <c r="F392" s="18" t="str">
        <f>HYPERLINK("https://docs.google.com/spreadsheets/d/1BVyObA2DDwq-WFzQ-aVVbRJLYNWJwbsH?usp=share_link", "RE-881.322")</f>
        <v>RE-881.322</v>
      </c>
      <c r="G392" s="18" t="str">
        <f>HYPERLINK("https://docs.google.com/spreadsheets/d/1QTBKhCAgqSL1b1GRIiFt4gVxsSAeKQOF?usp=share_link", "RE-3.56375")</f>
        <v>RE-3.56375</v>
      </c>
      <c r="H392" s="18" t="str">
        <f>HYPERLINK("https://docs.google.com/spreadsheets/d/1GY4lEOqW1qmWv5-zNttdnlOpLuaR_0Ry?usp=share_link", "RE-114.73")</f>
        <v>RE-114.73</v>
      </c>
      <c r="I392" s="18" t="str">
        <f>HYPERLINK("https://docs.google.com/spreadsheets/d/1yKJXnJE_J_mq_dLMjxOV2z2sYwaEJ121?usp=share_link", "RE-0.290817")</f>
        <v>RE-0.290817</v>
      </c>
      <c r="J392" s="18" t="str">
        <f>HYPERLINK("https://docs.google.com/spreadsheets/d/1_souognTxZ_SkxNRQkz0wf9NPJV91WSV?usp=share_link", "RE-1304.17")</f>
        <v>RE-1304.17</v>
      </c>
      <c r="K392" s="18" t="str">
        <f>HYPERLINK("https://docs.google.com/spreadsheets/d/1goAU-00hExLi5DIXz9V6IuCk6NrHmsF6?usp=share_link", "RE-7.1319")</f>
        <v>RE-7.1319</v>
      </c>
      <c r="L392" s="18">
        <f>HYPERLINK("https://docs.google.com/spreadsheets/d/1pji6L2xU5upVObx9DPWB1cOwwZIYDIqO?usp=share_link", 1129.51)</f>
        <v>1129.51</v>
      </c>
      <c r="M392" s="18" t="str">
        <f>HYPERLINK("https://docs.google.com/spreadsheets/d/15rEPhW-kuHhQ_IphxaZ37Zg0nEMBDEDc?usp=share_link", "RE-7.93563")</f>
        <v>RE-7.93563</v>
      </c>
      <c r="N392" s="18" t="str">
        <f>HYPERLINK("https://docs.google.com/spreadsheets/d/1l8axZQUVPD-t51DBbOnBFbgpw4imyW3q?usp=share_link", "RE-303.374")</f>
        <v>RE-303.374</v>
      </c>
      <c r="O392" s="18" t="str">
        <f>HYPERLINK("https://docs.google.com/spreadsheets/d/1xCvYtcUy1ZjpNYNMJA_Tyuwtk8RlC2uI?usp=share_link", "RE-3.85823")</f>
        <v>RE-3.85823</v>
      </c>
      <c r="P392" s="18">
        <f>HYPERLINK("https://docs.google.com/spreadsheets/d/15QhIvd2cKcKezm1_6bu48XC8UfaZ2VbC?usp=share_link", 195.934)</f>
        <v>195.934</v>
      </c>
      <c r="Q392" s="18" t="str">
        <f>HYPERLINK("https://docs.google.com/spreadsheets/d/1P8IoxRfL4E_K2xBrxOztW_Zcd7ayblup?usp=share_link", "RE-4.75355")</f>
        <v>RE-4.75355</v>
      </c>
      <c r="R392" s="18">
        <f>HYPERLINK("https://docs.google.com/spreadsheets/d/1FUYGfN-o7b7of9zcmm9EPoKeIOgqT6vg?usp=share_link", 44.9683)</f>
        <v>44.9683</v>
      </c>
      <c r="S392" s="18" t="str">
        <f>HYPERLINK("https://docs.google.com/spreadsheets/d/1bN_rC5p395ErQCqp1oZB61qn1vcl_Nr3?usp=share_link", "RE-2.65547")</f>
        <v>RE-2.65547</v>
      </c>
      <c r="T392" s="18">
        <f>HYPERLINK("https://docs.google.com/spreadsheets/d/1JmNeJ1jI5xJ4UCSoqMe_37-468apglUa?usp=share_link", 855.523)</f>
        <v>855.523</v>
      </c>
      <c r="U392" s="18" t="str">
        <f>HYPERLINK("https://docs.google.com/spreadsheets/d/1pxfIz7f6DbYa-TI95-d4LvRLYilS8Czt?usp=share_link", "RE-14.8089")</f>
        <v>RE-14.8089</v>
      </c>
      <c r="V392" s="18" t="str">
        <f>HYPERLINK("https://docs.google.com/spreadsheets/d/16Vwgfh8JMuWE9bpsBJmSHvUPiGMakUuq?usp=share_link", "RE-2.06237")</f>
        <v>RE-2.06237</v>
      </c>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c r="DE392" s="17"/>
      <c r="DF392" s="17"/>
      <c r="DG392" s="17"/>
      <c r="DH392" s="17"/>
      <c r="DI392" s="17"/>
      <c r="DJ392" s="17"/>
      <c r="DK392" s="17"/>
      <c r="DL392" s="17"/>
      <c r="DM392" s="17"/>
      <c r="DN392" s="17"/>
      <c r="DO392" s="17"/>
      <c r="DP392" s="17"/>
      <c r="DQ392" s="17"/>
      <c r="DR392" s="17"/>
      <c r="DS392" s="17"/>
      <c r="DT392" s="17"/>
      <c r="DU392" s="17"/>
      <c r="DV392" s="17"/>
      <c r="DW392" s="17"/>
      <c r="DX392" s="17"/>
      <c r="DY392" s="17"/>
      <c r="DZ392" s="17"/>
      <c r="EA392" s="17"/>
      <c r="EB392" s="17"/>
      <c r="EC392" s="17"/>
      <c r="ED392" s="17"/>
      <c r="EE392" s="17"/>
      <c r="EF392" s="17"/>
      <c r="EG392" s="17"/>
      <c r="EH392" s="17"/>
      <c r="EI392" s="17"/>
      <c r="EJ392" s="17"/>
      <c r="EK392" s="17"/>
      <c r="EL392" s="17"/>
      <c r="EM392" s="17"/>
      <c r="EN392" s="17"/>
      <c r="EO392" s="17"/>
      <c r="EP392" s="17"/>
      <c r="EQ392" s="17"/>
      <c r="ER392" s="17"/>
      <c r="ES392" s="17"/>
      <c r="ET392" s="17"/>
      <c r="EU392" s="17"/>
      <c r="EV392" s="17"/>
      <c r="EW392" s="17"/>
      <c r="EX392" s="17"/>
      <c r="EY392" s="17"/>
      <c r="EZ392" s="17"/>
      <c r="FA392" s="17"/>
      <c r="FB392" s="17"/>
      <c r="FC392" s="17"/>
      <c r="FD392" s="17"/>
      <c r="FE392" s="17"/>
      <c r="FF392" s="17"/>
      <c r="FG392" s="17"/>
      <c r="FH392" s="17"/>
    </row>
    <row r="393">
      <c r="A393" s="32" t="s">
        <v>35</v>
      </c>
      <c r="B393" s="32" t="s">
        <v>72</v>
      </c>
      <c r="C393" s="32" t="s">
        <v>14</v>
      </c>
      <c r="D393" s="16">
        <f t="shared" si="1"/>
        <v>1954.3693</v>
      </c>
      <c r="E393" s="17"/>
      <c r="F393" s="18" t="str">
        <f>HYPERLINK("https://docs.google.com/spreadsheets/d/1eSlgB09MZbAfWwUoR-9fsTwdvQEamjDl?usp=share_link", "RE-796.078")</f>
        <v>RE-796.078</v>
      </c>
      <c r="G393" s="18" t="str">
        <f>HYPERLINK("https://docs.google.com/spreadsheets/d/1VzM6ouybOHHFCOpyDmJAOV4KulNsqNVM?usp=share_link", "RE-3.56375")</f>
        <v>RE-3.56375</v>
      </c>
      <c r="H393" s="18" t="str">
        <f>HYPERLINK("https://docs.google.com/spreadsheets/d/1Ir1RBIZzl-Pl0mJJb6iZ39Rk5kdpYqai?usp=share_link", "RE-104.629")</f>
        <v>RE-104.629</v>
      </c>
      <c r="I393" s="18" t="str">
        <f>HYPERLINK("https://docs.google.com/spreadsheets/d/1yfktQts_67WgEyJH1NMe2dgqLl-UsHUk?usp=share_link", "RE-0.290817")</f>
        <v>RE-0.290817</v>
      </c>
      <c r="J393" s="18" t="str">
        <f>HYPERLINK("https://docs.google.com/spreadsheets/d/1JGK8Ugz7AJ_4sDAW41Yxd3G8ENZY1vem?usp=share_link", "RE-1206.98")</f>
        <v>RE-1206.98</v>
      </c>
      <c r="K393" s="18" t="str">
        <f>HYPERLINK("https://docs.google.com/spreadsheets/d/1ht7zAxIg1PwS2rW9B3wpo1OkawP3DKz0?usp=share_link", "RE-6.92852")</f>
        <v>RE-6.92852</v>
      </c>
      <c r="L393" s="18">
        <f>HYPERLINK("https://docs.google.com/spreadsheets/d/1cp8rJylclC4u9zcHy-xH6aeT9apnwU1a?usp=share_link", 1011.85)</f>
        <v>1011.85</v>
      </c>
      <c r="M393" s="18" t="str">
        <f>HYPERLINK("https://docs.google.com/spreadsheets/d/1d4gqasYTD8iYgHHcqqaBt5XCEn5KCBba?usp=share_link", "RE-6.8994")</f>
        <v>RE-6.8994</v>
      </c>
      <c r="N393" s="18" t="str">
        <f>HYPERLINK("https://docs.google.com/spreadsheets/d/1Gpu-U8YNW3eBHmfHazvkLe2ezVTK6pFz?usp=share_link", "RE-258.11")</f>
        <v>RE-258.11</v>
      </c>
      <c r="O393" s="18" t="str">
        <f>HYPERLINK("https://docs.google.com/spreadsheets/d/1VRvnU0JozKY2dV8ntZ2p-rTeniK5CwCz?usp=share_link", "RE-3.16477")</f>
        <v>RE-3.16477</v>
      </c>
      <c r="P393" s="18">
        <f>HYPERLINK("https://docs.google.com/spreadsheets/d/1R7OqzrvrRaGBQ_tCZKjh_0Tga9uZAhc9?usp=share_link", 159.316)</f>
        <v>159.316</v>
      </c>
      <c r="Q393" s="18" t="str">
        <f>HYPERLINK("https://docs.google.com/spreadsheets/d/1tT4dtpt67IpMQL-w42gbtKuyejSMlXh1?usp=share_link", "RE-4.2427")</f>
        <v>RE-4.2427</v>
      </c>
      <c r="R393" s="18">
        <f>HYPERLINK("https://docs.google.com/spreadsheets/d/1za41_JYzBVYbkoYY1p7m9zqlgXhamwMM?usp=share_link", 34.8693)</f>
        <v>34.8693</v>
      </c>
      <c r="S393" s="18" t="str">
        <f>HYPERLINK("https://docs.google.com/spreadsheets/d/1oMWpAg6buN4HFtJR6g3zArbG8H6eHc83?usp=share_link", "RE-2.12863")</f>
        <v>RE-2.12863</v>
      </c>
      <c r="T393" s="18">
        <f>HYPERLINK("https://docs.google.com/spreadsheets/d/1Z-YHdzXKaN42BPRG0L9Ph9lUOmhCGgok?usp=share_link", 748.334)</f>
        <v>748.334</v>
      </c>
      <c r="U393" s="18" t="str">
        <f>HYPERLINK("https://docs.google.com/spreadsheets/d/1btXtMadGHm2_XRz2EhXdX8yQMXi4_wnr?usp=share_link", "RE-12.7253")</f>
        <v>RE-12.7253</v>
      </c>
      <c r="V393" s="18" t="str">
        <f>HYPERLINK("https://docs.google.com/spreadsheets/d/1G-l9BPTeEnekfaH9ZbB2ggawN5tTJwBF?usp=share_link", "RE-1.43083")</f>
        <v>RE-1.43083</v>
      </c>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c r="DE393" s="17"/>
      <c r="DF393" s="17"/>
      <c r="DG393" s="17"/>
      <c r="DH393" s="17"/>
      <c r="DI393" s="17"/>
      <c r="DJ393" s="17"/>
      <c r="DK393" s="17"/>
      <c r="DL393" s="17"/>
      <c r="DM393" s="17"/>
      <c r="DN393" s="17"/>
      <c r="DO393" s="17"/>
      <c r="DP393" s="17"/>
      <c r="DQ393" s="17"/>
      <c r="DR393" s="17"/>
      <c r="DS393" s="17"/>
      <c r="DT393" s="17"/>
      <c r="DU393" s="17"/>
      <c r="DV393" s="17"/>
      <c r="DW393" s="17"/>
      <c r="DX393" s="17"/>
      <c r="DY393" s="17"/>
      <c r="DZ393" s="17"/>
      <c r="EA393" s="17"/>
      <c r="EB393" s="17"/>
      <c r="EC393" s="17"/>
      <c r="ED393" s="17"/>
      <c r="EE393" s="17"/>
      <c r="EF393" s="17"/>
      <c r="EG393" s="17"/>
      <c r="EH393" s="17"/>
      <c r="EI393" s="17"/>
      <c r="EJ393" s="17"/>
      <c r="EK393" s="17"/>
      <c r="EL393" s="17"/>
      <c r="EM393" s="17"/>
      <c r="EN393" s="17"/>
      <c r="EO393" s="17"/>
      <c r="EP393" s="17"/>
      <c r="EQ393" s="17"/>
      <c r="ER393" s="17"/>
      <c r="ES393" s="17"/>
      <c r="ET393" s="17"/>
      <c r="EU393" s="17"/>
      <c r="EV393" s="17"/>
      <c r="EW393" s="17"/>
      <c r="EX393" s="17"/>
      <c r="EY393" s="17"/>
      <c r="EZ393" s="17"/>
      <c r="FA393" s="17"/>
      <c r="FB393" s="17"/>
      <c r="FC393" s="17"/>
      <c r="FD393" s="17"/>
      <c r="FE393" s="17"/>
      <c r="FF393" s="17"/>
      <c r="FG393" s="17"/>
      <c r="FH393" s="17"/>
    </row>
    <row r="394">
      <c r="A394" s="27" t="s">
        <v>35</v>
      </c>
      <c r="B394" s="27" t="s">
        <v>72</v>
      </c>
      <c r="C394" s="27" t="s">
        <v>15</v>
      </c>
      <c r="D394" s="28">
        <f t="shared" si="1"/>
        <v>2224.825</v>
      </c>
      <c r="E394" s="33"/>
      <c r="F394" s="34" t="str">
        <f>HYPERLINK("https://docs.google.com/spreadsheets/d/1t2vdThpZz2EPE_rKaS4fhj3P57GTRLzO?usp=share_link", "RE-881.322")</f>
        <v>RE-881.322</v>
      </c>
      <c r="G394" s="34" t="str">
        <f>HYPERLINK("https://docs.google.com/spreadsheets/d/1Jl2TrNuKOLZZ9YLhwRPf9KL5_7zajhEy?usp=share_link", "RE-3.56375")</f>
        <v>RE-3.56375</v>
      </c>
      <c r="H394" s="34" t="str">
        <f>HYPERLINK("https://docs.google.com/spreadsheets/d/1PfA3xULpxRmpqUxdxqDaRD5TTIv6KflK?usp=share_link", "RE-114.73")</f>
        <v>RE-114.73</v>
      </c>
      <c r="I394" s="34" t="str">
        <f>HYPERLINK("https://docs.google.com/spreadsheets/d/1UNo_tGT_yNEzz7-2kNKDLv7kieI2SiBx?usp=share_link", "RE-0.290817")</f>
        <v>RE-0.290817</v>
      </c>
      <c r="J394" s="34" t="str">
        <f>HYPERLINK("https://docs.google.com/spreadsheets/d/1SJ153_5KcCzfH4SLPSbEW0xbfptdYsDB?usp=share_link", "RE-1304.17")</f>
        <v>RE-1304.17</v>
      </c>
      <c r="K394" s="34" t="str">
        <f>HYPERLINK("https://docs.google.com/spreadsheets/d/17JVGkVJdsh2BLXuPLLGC-_jBqVPFsv1H?usp=share_link", "RE-7.1319")</f>
        <v>RE-7.1319</v>
      </c>
      <c r="L394" s="34">
        <f>HYPERLINK("https://docs.google.com/spreadsheets/d/1F7m3QKrNinOCRe6ei6o--4ilcBA1zytu?usp=share_link", 1128.63)</f>
        <v>1128.63</v>
      </c>
      <c r="M394" s="34" t="str">
        <f>HYPERLINK("https://docs.google.com/spreadsheets/d/10vVH1rLadTe8Lk3qEY6297I6ylrwiFuw?usp=share_link", "RE-7.93563")</f>
        <v>RE-7.93563</v>
      </c>
      <c r="N394" s="34" t="str">
        <f>HYPERLINK("https://docs.google.com/spreadsheets/d/1oXA7d2n2VQNA7_bKGbXpDnf8g-scekci?usp=share_link", "RE-303.374")</f>
        <v>RE-303.374</v>
      </c>
      <c r="O394" s="34" t="str">
        <f>HYPERLINK("https://docs.google.com/spreadsheets/d/1CUvv_1iAvoDfQ6Ng_Fqow3qAv4P-CTLm?usp=share_link", "RE-3.85823")</f>
        <v>RE-3.85823</v>
      </c>
      <c r="P394" s="34">
        <f>HYPERLINK("https://docs.google.com/spreadsheets/d/1NXEHQ7WATwmnTqlHuu1XbxAO9c6o4mBr?usp=share_link", 195.934)</f>
        <v>195.934</v>
      </c>
      <c r="Q394" s="34" t="str">
        <f>HYPERLINK("https://docs.google.com/spreadsheets/d/1iAEmbv-4aPwu3-fbXD1VHS0Gye1MRkKm?usp=share_link", "RE-4.75355")</f>
        <v>RE-4.75355</v>
      </c>
      <c r="R394" s="34">
        <f>HYPERLINK("https://docs.google.com/spreadsheets/d/1VnYWvCOXFwGhiTx_JgquQ-Ut-Lk_gUbo?usp=share_link", 44.738)</f>
        <v>44.738</v>
      </c>
      <c r="S394" s="34" t="str">
        <f>HYPERLINK("https://docs.google.com/spreadsheets/d/1hW8gbdXsR6nWvQXTsBJl8qxIBax9cvhD?usp=share_link", "RE-2.65547")</f>
        <v>RE-2.65547</v>
      </c>
      <c r="T394" s="34">
        <f>HYPERLINK("https://docs.google.com/spreadsheets/d/1HOYL5kN4FEZNbK2ohH9KWqXGg401Vs6G?usp=share_link", 855.523)</f>
        <v>855.523</v>
      </c>
      <c r="U394" s="34" t="str">
        <f>HYPERLINK("https://docs.google.com/spreadsheets/d/1fXMOqGVJFulECvgit262IDTFG7v9iDXM?usp=share_link", "RE-14.8089")</f>
        <v>RE-14.8089</v>
      </c>
      <c r="V394" s="34" t="str">
        <f>HYPERLINK("https://docs.google.com/spreadsheets/d/16U73DNwEDy7RGNNPQ68JKC1b3pkhaVDZ?usp=share_link", "RE-2.06237")</f>
        <v>RE-2.06237</v>
      </c>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33"/>
      <c r="BE394" s="33"/>
      <c r="BF394" s="33"/>
      <c r="BG394" s="33"/>
      <c r="BH394" s="33"/>
      <c r="BI394" s="33"/>
      <c r="BJ394" s="33"/>
      <c r="BK394" s="33"/>
      <c r="BL394" s="33"/>
      <c r="BM394" s="33"/>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33"/>
      <c r="DY394" s="33"/>
      <c r="DZ394" s="33"/>
      <c r="EA394" s="33"/>
      <c r="EB394" s="33"/>
      <c r="EC394" s="33"/>
      <c r="ED394" s="33"/>
      <c r="EE394" s="33"/>
      <c r="EF394" s="33"/>
      <c r="EG394" s="33"/>
      <c r="EH394" s="33"/>
      <c r="EI394" s="33"/>
      <c r="EJ394" s="33"/>
      <c r="EK394" s="33"/>
      <c r="EL394" s="33"/>
      <c r="EM394" s="33"/>
      <c r="EN394" s="33"/>
      <c r="EO394" s="33"/>
      <c r="EP394" s="33"/>
      <c r="EQ394" s="33"/>
      <c r="ER394" s="33"/>
      <c r="ES394" s="33"/>
      <c r="ET394" s="33"/>
      <c r="EU394" s="33"/>
      <c r="EV394" s="33"/>
      <c r="EW394" s="33"/>
      <c r="EX394" s="33"/>
      <c r="EY394" s="33"/>
      <c r="EZ394" s="33"/>
      <c r="FA394" s="33"/>
      <c r="FB394" s="33"/>
      <c r="FC394" s="33"/>
      <c r="FD394" s="33"/>
      <c r="FE394" s="33"/>
      <c r="FF394" s="33"/>
      <c r="FG394" s="33"/>
      <c r="FH394" s="33"/>
    </row>
    <row r="395">
      <c r="A395" s="30" t="s">
        <v>35</v>
      </c>
      <c r="B395" s="30" t="s">
        <v>73</v>
      </c>
      <c r="C395" s="31" t="str">
        <f>HYPERLINK("https://docs.google.com/spreadsheets/d/1m6-7wQOg9l-C70XauEFAEHkBRvZDXHLx/edit?usp=share_link&amp;ouid=106501987799020758802&amp;rtpof=true&amp;sd=true", "Raw Delivered")</f>
        <v>Raw Delivered</v>
      </c>
      <c r="D395" s="12">
        <f t="shared" si="1"/>
        <v>7324.481671</v>
      </c>
      <c r="E395" s="13"/>
      <c r="F395" s="14">
        <f>HYPERLINK("https://docs.google.com/spreadsheets/d/1ZnL0pxqe70CM4EbCN1hol3aqG62ZV9KP", 1058.29046041666)</f>
        <v>1058.29046</v>
      </c>
      <c r="G395" s="13"/>
      <c r="H395" s="14">
        <f>HYPERLINK("https://docs.google.com/spreadsheets/d/1Y7L9NiwqbasQJDKfyqbaJpmkkbgo2Aus", 171.542827083333)</f>
        <v>171.5428271</v>
      </c>
      <c r="I395" s="13"/>
      <c r="J395" s="14">
        <f>HYPERLINK("https://docs.google.com/spreadsheets/d/1RpaLhU2Qnt0sq9HrIrkGkZkgXzt_LaIr", 1925.07884479167)</f>
        <v>1925.078845</v>
      </c>
      <c r="K395" s="13"/>
      <c r="L395" s="14">
        <f t="shared" ref="L395:L396" si="198">HYPERLINK("https://docs.google.com/spreadsheets/d/1HdVyTaUJ4Tj0Af7H7Vok7xvTW0uDjIJ2", 1333.49544687499)</f>
        <v>1333.495447</v>
      </c>
      <c r="M395" s="13"/>
      <c r="N395" s="14">
        <f>HYPERLINK("https://docs.google.com/spreadsheets/d/1VSmdwdiAYydp4G5B_t4anJ3JizrYL40v", 818.463409374997)</f>
        <v>818.4634094</v>
      </c>
      <c r="O395" s="13"/>
      <c r="P395" s="14">
        <f t="shared" ref="P395:P396" si="199">HYPERLINK("https://docs.google.com/spreadsheets/d/1wl3PSYPBQ-fXnzT_aKPDCrtCwremswD7", 340.337638541667)</f>
        <v>340.3376385</v>
      </c>
      <c r="Q395" s="13"/>
      <c r="R395" s="14">
        <f t="shared" ref="R395:R396" si="200">HYPERLINK("https://docs.google.com/spreadsheets/d/1Wl_UowOX5aOkhCOGulUQOhJVkNKCoZtm", 65.4554208333333)</f>
        <v>65.45542083</v>
      </c>
      <c r="S395" s="13"/>
      <c r="T395" s="14">
        <f t="shared" ref="T395:T396" si="201">HYPERLINK("https://docs.google.com/spreadsheets/d/1S3xcfJtP7mDVEM9vf2SIC3glq-0Da-Hg", 1611.81762291666)</f>
        <v>1611.817623</v>
      </c>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c r="FH395" s="13"/>
    </row>
    <row r="396">
      <c r="A396" s="32" t="s">
        <v>35</v>
      </c>
      <c r="B396" s="32" t="s">
        <v>73</v>
      </c>
      <c r="C396" s="32" t="s">
        <v>9</v>
      </c>
      <c r="D396" s="16">
        <f t="shared" si="1"/>
        <v>3351.106129</v>
      </c>
      <c r="E396" s="17"/>
      <c r="F396" s="18" t="str">
        <f>HYPERLINK("https://docs.google.com/spreadsheets/d/1ZnL0pxqe70CM4EbCN1hol3aqG62ZV9KP", "RE-1058.2904604166665")</f>
        <v>RE-1058.2904604166665</v>
      </c>
      <c r="G396" s="17"/>
      <c r="H396" s="18" t="str">
        <f>HYPERLINK("https://docs.google.com/spreadsheets/d/1Y7L9NiwqbasQJDKfyqbaJpmkkbgo2Aus", "RE-171.54282708333332")</f>
        <v>RE-171.54282708333332</v>
      </c>
      <c r="I396" s="17"/>
      <c r="J396" s="18" t="str">
        <f>HYPERLINK("https://docs.google.com/spreadsheets/d/1RpaLhU2Qnt0sq9HrIrkGkZkgXzt_LaIr", "RE-1925.0788447916773")</f>
        <v>RE-1925.0788447916773</v>
      </c>
      <c r="K396" s="17"/>
      <c r="L396" s="18">
        <f t="shared" si="198"/>
        <v>1333.495447</v>
      </c>
      <c r="M396" s="17"/>
      <c r="N396" s="18" t="str">
        <f>HYPERLINK("https://docs.google.com/spreadsheets/d/1VSmdwdiAYydp4G5B_t4anJ3JizrYL40v", "RE-818.4634093749978")</f>
        <v>RE-818.4634093749978</v>
      </c>
      <c r="O396" s="17"/>
      <c r="P396" s="18">
        <f t="shared" si="199"/>
        <v>340.3376385</v>
      </c>
      <c r="Q396" s="17"/>
      <c r="R396" s="18">
        <f t="shared" si="200"/>
        <v>65.45542083</v>
      </c>
      <c r="S396" s="17"/>
      <c r="T396" s="18">
        <f t="shared" si="201"/>
        <v>1611.817623</v>
      </c>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c r="DE396" s="17"/>
      <c r="DF396" s="17"/>
      <c r="DG396" s="17"/>
      <c r="DH396" s="17"/>
      <c r="DI396" s="17"/>
      <c r="DJ396" s="17"/>
      <c r="DK396" s="17"/>
      <c r="DL396" s="17"/>
      <c r="DM396" s="17"/>
      <c r="DN396" s="17"/>
      <c r="DO396" s="17"/>
      <c r="DP396" s="17"/>
      <c r="DQ396" s="17"/>
      <c r="DR396" s="17"/>
      <c r="DS396" s="17"/>
      <c r="DT396" s="17"/>
      <c r="DU396" s="17"/>
      <c r="DV396" s="17"/>
      <c r="DW396" s="17"/>
      <c r="DX396" s="17"/>
      <c r="DY396" s="17"/>
      <c r="DZ396" s="17"/>
      <c r="EA396" s="17"/>
      <c r="EB396" s="17"/>
      <c r="EC396" s="17"/>
      <c r="ED396" s="17"/>
      <c r="EE396" s="17"/>
      <c r="EF396" s="17"/>
      <c r="EG396" s="17"/>
      <c r="EH396" s="17"/>
      <c r="EI396" s="17"/>
      <c r="EJ396" s="17"/>
      <c r="EK396" s="17"/>
      <c r="EL396" s="17"/>
      <c r="EM396" s="17"/>
      <c r="EN396" s="17"/>
      <c r="EO396" s="17"/>
      <c r="EP396" s="17"/>
      <c r="EQ396" s="17"/>
      <c r="ER396" s="17"/>
      <c r="ES396" s="17"/>
      <c r="ET396" s="17"/>
      <c r="EU396" s="17"/>
      <c r="EV396" s="17"/>
      <c r="EW396" s="17"/>
      <c r="EX396" s="17"/>
      <c r="EY396" s="17"/>
      <c r="EZ396" s="17"/>
      <c r="FA396" s="17"/>
      <c r="FB396" s="17"/>
      <c r="FC396" s="17"/>
      <c r="FD396" s="17"/>
      <c r="FE396" s="17"/>
      <c r="FF396" s="17"/>
      <c r="FG396" s="17"/>
      <c r="FH396" s="17"/>
    </row>
    <row r="397">
      <c r="A397" s="32" t="s">
        <v>35</v>
      </c>
      <c r="B397" s="32" t="s">
        <v>73</v>
      </c>
      <c r="C397" s="32" t="s">
        <v>10</v>
      </c>
      <c r="D397" s="16">
        <f t="shared" si="1"/>
        <v>522.6920698</v>
      </c>
      <c r="E397" s="17"/>
      <c r="F397" s="17"/>
      <c r="G397" s="18">
        <f>HYPERLINK("https://docs.google.com/spreadsheets/d/1P2OvIfXJs9OIrhIK51UOdTPFa9bK1ejc", 79.3461885416667)</f>
        <v>79.34618854</v>
      </c>
      <c r="H397" s="17"/>
      <c r="I397" s="18">
        <f>HYPERLINK("https://docs.google.com/spreadsheets/d/18Kv2_4HxVfomX9_yKpMGEJx0exiAJ3CJ", 14.07738125)</f>
        <v>14.07738125</v>
      </c>
      <c r="J397" s="17"/>
      <c r="K397" s="18">
        <f>HYPERLINK("https://docs.google.com/spreadsheets/d/1-z-TRlAka6XJuwdU23tlj3dfqUTrlsCx", 108.518702083333)</f>
        <v>108.5187021</v>
      </c>
      <c r="L397" s="17"/>
      <c r="M397" s="18">
        <f>HYPERLINK("https://docs.google.com/spreadsheets/d/1X27geiwfXgHr5XHjsT7tvgsScpX4hZgx", 78.42308125)</f>
        <v>78.42308125</v>
      </c>
      <c r="N397" s="17"/>
      <c r="O397" s="18">
        <f>HYPERLINK("https://docs.google.com/spreadsheets/d/1PVVk_HsYiM_D-e94LU-dv8k4TbQY61yi", 57.2740479166666)</f>
        <v>57.27404792</v>
      </c>
      <c r="P397" s="17"/>
      <c r="Q397" s="18">
        <f>HYPERLINK("https://docs.google.com/spreadsheets/d/1S6c28KmCTr1lWehh3Iw29LGFG7RGjiSD", 66.4409906249999)</f>
        <v>66.44099062</v>
      </c>
      <c r="R397" s="17"/>
      <c r="S397" s="18">
        <f>HYPERLINK("https://docs.google.com/spreadsheets/d/1oYHjO7d4fxtS6FQ7_zoFDmxBZYcPLAMl", 4.29421458333333)</f>
        <v>4.294214583</v>
      </c>
      <c r="T397" s="17"/>
      <c r="U397" s="18">
        <f>HYPERLINK("https://docs.google.com/spreadsheets/d/183L7UiXcsk-nVsXkTGciT5CJrauLZAmf", 98.772021875)</f>
        <v>98.77202188</v>
      </c>
      <c r="V397" s="18">
        <f>HYPERLINK("https://docs.google.com/spreadsheets/d/10o90kj8GpowAB-JQwNnaC34NiFeCQLLX", 15.5454416666666)</f>
        <v>15.54544167</v>
      </c>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c r="DE397" s="17"/>
      <c r="DF397" s="17"/>
      <c r="DG397" s="17"/>
      <c r="DH397" s="17"/>
      <c r="DI397" s="17"/>
      <c r="DJ397" s="17"/>
      <c r="DK397" s="17"/>
      <c r="DL397" s="17"/>
      <c r="DM397" s="17"/>
      <c r="DN397" s="17"/>
      <c r="DO397" s="17"/>
      <c r="DP397" s="17"/>
      <c r="DQ397" s="17"/>
      <c r="DR397" s="17"/>
      <c r="DS397" s="17"/>
      <c r="DT397" s="17"/>
      <c r="DU397" s="17"/>
      <c r="DV397" s="17"/>
      <c r="DW397" s="17"/>
      <c r="DX397" s="17"/>
      <c r="DY397" s="17"/>
      <c r="DZ397" s="17"/>
      <c r="EA397" s="17"/>
      <c r="EB397" s="17"/>
      <c r="EC397" s="17"/>
      <c r="ED397" s="17"/>
      <c r="EE397" s="17"/>
      <c r="EF397" s="17"/>
      <c r="EG397" s="17"/>
      <c r="EH397" s="17"/>
      <c r="EI397" s="17"/>
      <c r="EJ397" s="17"/>
      <c r="EK397" s="17"/>
      <c r="EL397" s="17"/>
      <c r="EM397" s="17"/>
      <c r="EN397" s="17"/>
      <c r="EO397" s="17"/>
      <c r="EP397" s="17"/>
      <c r="EQ397" s="17"/>
      <c r="ER397" s="17"/>
      <c r="ES397" s="17"/>
      <c r="ET397" s="17"/>
      <c r="EU397" s="17"/>
      <c r="EV397" s="17"/>
      <c r="EW397" s="17"/>
      <c r="EX397" s="17"/>
      <c r="EY397" s="17"/>
      <c r="EZ397" s="17"/>
      <c r="FA397" s="17"/>
      <c r="FB397" s="17"/>
      <c r="FC397" s="17"/>
      <c r="FD397" s="17"/>
      <c r="FE397" s="17"/>
      <c r="FF397" s="17"/>
      <c r="FG397" s="17"/>
      <c r="FH397" s="17"/>
    </row>
    <row r="398">
      <c r="A398" s="32" t="s">
        <v>35</v>
      </c>
      <c r="B398" s="32" t="s">
        <v>73</v>
      </c>
      <c r="C398" s="32" t="s">
        <v>11</v>
      </c>
      <c r="D398" s="16">
        <f t="shared" si="1"/>
        <v>0</v>
      </c>
      <c r="E398" s="17"/>
      <c r="F398" s="17"/>
      <c r="G398" s="18" t="str">
        <f>HYPERLINK("https://docs.google.com/spreadsheets/d/1P2OvIfXJs9OIrhIK51UOdTPFa9bK1ejc", "RE-79.3461885416667")</f>
        <v>RE-79.3461885416667</v>
      </c>
      <c r="H398" s="17"/>
      <c r="I398" s="18" t="str">
        <f>HYPERLINK("https://docs.google.com/spreadsheets/d/18Kv2_4HxVfomX9_yKpMGEJx0exiAJ3CJ", "RE-14.07738125")</f>
        <v>RE-14.07738125</v>
      </c>
      <c r="J398" s="17"/>
      <c r="K398" s="18" t="str">
        <f>HYPERLINK("https://docs.google.com/spreadsheets/d/1-z-TRlAka6XJuwdU23tlj3dfqUTrlsCx", "RE-108.51870208333342")</f>
        <v>RE-108.51870208333342</v>
      </c>
      <c r="L398" s="17"/>
      <c r="M398" s="18" t="str">
        <f>HYPERLINK("https://docs.google.com/spreadsheets/d/1X27geiwfXgHr5XHjsT7tvgsScpX4hZgx", "RE-78.42308125000002")</f>
        <v>RE-78.42308125000002</v>
      </c>
      <c r="N398" s="17"/>
      <c r="O398" s="18" t="str">
        <f>HYPERLINK("https://docs.google.com/spreadsheets/d/1PVVk_HsYiM_D-e94LU-dv8k4TbQY61yi", "RE-57.27404791666667")</f>
        <v>RE-57.27404791666667</v>
      </c>
      <c r="P398" s="17"/>
      <c r="Q398" s="18" t="str">
        <f>HYPERLINK("https://docs.google.com/spreadsheets/d/1S6c28KmCTr1lWehh3Iw29LGFG7RGjiSD", "RE-66.44099062499997")</f>
        <v>RE-66.44099062499997</v>
      </c>
      <c r="R398" s="17"/>
      <c r="S398" s="18" t="str">
        <f>HYPERLINK("https://docs.google.com/spreadsheets/d/1oYHjO7d4fxtS6FQ7_zoFDmxBZYcPLAMl", "RE-4.294214583333334")</f>
        <v>RE-4.294214583333334</v>
      </c>
      <c r="T398" s="17"/>
      <c r="U398" s="18" t="str">
        <f>HYPERLINK("https://docs.google.com/spreadsheets/d/183L7UiXcsk-nVsXkTGciT5CJrauLZAmf", "RE-98.77202187500004")</f>
        <v>RE-98.77202187500004</v>
      </c>
      <c r="V398" s="18" t="str">
        <f>HYPERLINK("https://docs.google.com/spreadsheets/d/10o90kj8GpowAB-JQwNnaC34NiFeCQLLX", "RE-15.54544166666667")</f>
        <v>RE-15.54544166666667</v>
      </c>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c r="DE398" s="17"/>
      <c r="DF398" s="17"/>
      <c r="DG398" s="17"/>
      <c r="DH398" s="17"/>
      <c r="DI398" s="17"/>
      <c r="DJ398" s="17"/>
      <c r="DK398" s="17"/>
      <c r="DL398" s="17"/>
      <c r="DM398" s="17"/>
      <c r="DN398" s="17"/>
      <c r="DO398" s="17"/>
      <c r="DP398" s="17"/>
      <c r="DQ398" s="17"/>
      <c r="DR398" s="17"/>
      <c r="DS398" s="17"/>
      <c r="DT398" s="17"/>
      <c r="DU398" s="17"/>
      <c r="DV398" s="17"/>
      <c r="DW398" s="17"/>
      <c r="DX398" s="17"/>
      <c r="DY398" s="17"/>
      <c r="DZ398" s="17"/>
      <c r="EA398" s="17"/>
      <c r="EB398" s="17"/>
      <c r="EC398" s="17"/>
      <c r="ED398" s="17"/>
      <c r="EE398" s="17"/>
      <c r="EF398" s="17"/>
      <c r="EG398" s="17"/>
      <c r="EH398" s="17"/>
      <c r="EI398" s="17"/>
      <c r="EJ398" s="17"/>
      <c r="EK398" s="17"/>
      <c r="EL398" s="17"/>
      <c r="EM398" s="17"/>
      <c r="EN398" s="17"/>
      <c r="EO398" s="17"/>
      <c r="EP398" s="17"/>
      <c r="EQ398" s="17"/>
      <c r="ER398" s="17"/>
      <c r="ES398" s="17"/>
      <c r="ET398" s="17"/>
      <c r="EU398" s="17"/>
      <c r="EV398" s="17"/>
      <c r="EW398" s="17"/>
      <c r="EX398" s="17"/>
      <c r="EY398" s="17"/>
      <c r="EZ398" s="17"/>
      <c r="FA398" s="17"/>
      <c r="FB398" s="17"/>
      <c r="FC398" s="17"/>
      <c r="FD398" s="17"/>
      <c r="FE398" s="17"/>
      <c r="FF398" s="17"/>
      <c r="FG398" s="17"/>
      <c r="FH398" s="17"/>
    </row>
    <row r="399">
      <c r="A399" s="32" t="s">
        <v>35</v>
      </c>
      <c r="B399" s="32" t="s">
        <v>73</v>
      </c>
      <c r="C399" s="32" t="s">
        <v>12</v>
      </c>
      <c r="D399" s="16">
        <f t="shared" si="1"/>
        <v>3102.771095</v>
      </c>
      <c r="E399" s="17"/>
      <c r="F399" s="18" t="str">
        <f>HYPERLINK("https://docs.google.com/spreadsheets/d/1FlAjxio1LcIJSsUjG3WwYp0Kiep4Xj4F", "RE-859.4052656250002")</f>
        <v>RE-859.4052656250002</v>
      </c>
      <c r="G399" s="18" t="str">
        <f>HYPERLINK("https://docs.google.com/spreadsheets/d/1R_klJRjnjyotoB5dPR22uRf8jcwP1PRa", "RE-3.9576249999999997")</f>
        <v>RE-3.9576249999999997</v>
      </c>
      <c r="H399" s="18" t="str">
        <f>HYPERLINK("https://docs.google.com/spreadsheets/d/1TDAEBRYToGDTXk4NPNOTWt4A7kyhIsF5", "RE-139.93687291666674")</f>
        <v>RE-139.93687291666674</v>
      </c>
      <c r="I399" s="18" t="str">
        <f>HYPERLINK("https://docs.google.com/spreadsheets/d/1lc7XS9dzAeIeAOizjeJKpitK_OPfSa1C", "RE-0.0")</f>
        <v>RE-0.0</v>
      </c>
      <c r="J399" s="18" t="str">
        <f>HYPERLINK("https://docs.google.com/spreadsheets/d/1easvdvYsXRX793YdN0ZkDCgBahkVKYtw", "RE-1629.4080239583404")</f>
        <v>RE-1629.4080239583404</v>
      </c>
      <c r="K399" s="18" t="str">
        <f>HYPERLINK("https://docs.google.com/spreadsheets/d/1t-pSyuyUSd521tkSSmqcFReZqu1UbeQz", "RE-6.058033333333333")</f>
        <v>RE-6.058033333333333</v>
      </c>
      <c r="L399" s="18">
        <f>HYPERLINK("https://docs.google.com/spreadsheets/d/1gvcKCO2r5GN-p0uMIklrD0wxeF3E2Yo6", 1184.817259375)</f>
        <v>1184.817259</v>
      </c>
      <c r="M399" s="18" t="str">
        <f>HYPERLINK("https://docs.google.com/spreadsheets/d/14exf5Sy-dXBQ7hwdK5XgnRXBqXnmmuA8", "RE-16.161506249999995")</f>
        <v>RE-16.161506249999995</v>
      </c>
      <c r="N399" s="18" t="str">
        <f>HYPERLINK("https://docs.google.com/spreadsheets/d/1Bg4-H3zaVTe9w4KwrYqDNirsifolNd8A", "RE-560.0489354166672")</f>
        <v>RE-560.0489354166672</v>
      </c>
      <c r="O399" s="18" t="str">
        <f>HYPERLINK("https://docs.google.com/spreadsheets/d/18_67DX5jPqu2QewjoH-F3rFlOkxOoD7h", "RE-8.06354375")</f>
        <v>RE-8.06354375</v>
      </c>
      <c r="P399" s="18">
        <f>HYPERLINK("https://docs.google.com/spreadsheets/d/12X2cL5YNqRKey8TwOSKZS0RNxGDrK6Nr", 309.733085416667)</f>
        <v>309.7330854</v>
      </c>
      <c r="Q399" s="18" t="str">
        <f>HYPERLINK("https://docs.google.com/spreadsheets/d/1rOGEbEKgGEvuJTR4ZeT1q2b8XP6b29KC", "RE-17.54834270833333")</f>
        <v>RE-17.54834270833333</v>
      </c>
      <c r="R399" s="18">
        <f>HYPERLINK("https://docs.google.com/spreadsheets/d/1pSQpUTHjoNBU9SOoKVq5RXwuc8OOKbJN", 61.9741125)</f>
        <v>61.9741125</v>
      </c>
      <c r="S399" s="18" t="str">
        <f>HYPERLINK("https://docs.google.com/spreadsheets/d/1Bntllun9mWenINWcAENguwcTDoBKw4lk", "RE-0.31825")</f>
        <v>RE-0.31825</v>
      </c>
      <c r="T399" s="18">
        <f>HYPERLINK("https://docs.google.com/spreadsheets/d/1OCGms8zHLwPuLfZ9UZYR5lgL4rvvY3vI", 1546.24663749999)</f>
        <v>1546.246637</v>
      </c>
      <c r="U399" s="18" t="str">
        <f>HYPERLINK("https://docs.google.com/spreadsheets/d/1Jwwb_98BGqBU2oRTlhvIl6uTL_LlGRIH", "RE-51.52825833333335")</f>
        <v>RE-51.52825833333335</v>
      </c>
      <c r="V399" s="18" t="str">
        <f>HYPERLINK("https://docs.google.com/spreadsheets/d/1IiXtkyOlgFSVnJ-h2xrSwPhV8l2ohvNs", "RE-1.7812187500000003")</f>
        <v>RE-1.7812187500000003</v>
      </c>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c r="DE399" s="17"/>
      <c r="DF399" s="17"/>
      <c r="DG399" s="17"/>
      <c r="DH399" s="17"/>
      <c r="DI399" s="17"/>
      <c r="DJ399" s="17"/>
      <c r="DK399" s="17"/>
      <c r="DL399" s="17"/>
      <c r="DM399" s="17"/>
      <c r="DN399" s="17"/>
      <c r="DO399" s="17"/>
      <c r="DP399" s="17"/>
      <c r="DQ399" s="17"/>
      <c r="DR399" s="17"/>
      <c r="DS399" s="17"/>
      <c r="DT399" s="17"/>
      <c r="DU399" s="17"/>
      <c r="DV399" s="17"/>
      <c r="DW399" s="17"/>
      <c r="DX399" s="17"/>
      <c r="DY399" s="17"/>
      <c r="DZ399" s="17"/>
      <c r="EA399" s="17"/>
      <c r="EB399" s="17"/>
      <c r="EC399" s="17"/>
      <c r="ED399" s="17"/>
      <c r="EE399" s="17"/>
      <c r="EF399" s="17"/>
      <c r="EG399" s="17"/>
      <c r="EH399" s="17"/>
      <c r="EI399" s="17"/>
      <c r="EJ399" s="17"/>
      <c r="EK399" s="17"/>
      <c r="EL399" s="17"/>
      <c r="EM399" s="17"/>
      <c r="EN399" s="17"/>
      <c r="EO399" s="17"/>
      <c r="EP399" s="17"/>
      <c r="EQ399" s="17"/>
      <c r="ER399" s="17"/>
      <c r="ES399" s="17"/>
      <c r="ET399" s="17"/>
      <c r="EU399" s="17"/>
      <c r="EV399" s="17"/>
      <c r="EW399" s="17"/>
      <c r="EX399" s="17"/>
      <c r="EY399" s="17"/>
      <c r="EZ399" s="17"/>
      <c r="FA399" s="17"/>
      <c r="FB399" s="17"/>
      <c r="FC399" s="17"/>
      <c r="FD399" s="17"/>
      <c r="FE399" s="17"/>
      <c r="FF399" s="17"/>
      <c r="FG399" s="17"/>
      <c r="FH399" s="17"/>
    </row>
    <row r="400">
      <c r="A400" s="32" t="s">
        <v>35</v>
      </c>
      <c r="B400" s="32" t="s">
        <v>73</v>
      </c>
      <c r="C400" s="32" t="s">
        <v>13</v>
      </c>
      <c r="D400" s="16">
        <f t="shared" si="1"/>
        <v>3012.1622</v>
      </c>
      <c r="E400" s="17"/>
      <c r="F400" s="18" t="str">
        <f>HYPERLINK("https://docs.google.com/spreadsheets/d/1h7CJyzsDilim7qAjZMN45soXCwt5Xu2M?usp=share_link", "RE-840.543")</f>
        <v>RE-840.543</v>
      </c>
      <c r="G400" s="18" t="str">
        <f>HYPERLINK("https://docs.google.com/spreadsheets/d/1vq9heARApJQFFYvZ6uocYaBt7ZvavuzD?usp=share_link", "RE-3.84633")</f>
        <v>RE-3.84633</v>
      </c>
      <c r="H400" s="18" t="str">
        <f>HYPERLINK("https://docs.google.com/spreadsheets/d/1d0h4s_iULenn_Eghfm5L2LmGNh8N6Pdd?usp=share_link", "RE-137.576")</f>
        <v>RE-137.576</v>
      </c>
      <c r="I400" s="17"/>
      <c r="J400" s="18" t="str">
        <f>HYPERLINK("https://docs.google.com/spreadsheets/d/1xh3v9tq5Dwk8Q2l7xxcC1DJHch7swptP?usp=share_link", "RE-1595.08")</f>
        <v>RE-1595.08</v>
      </c>
      <c r="K400" s="18" t="str">
        <f>HYPERLINK("https://docs.google.com/spreadsheets/d/1_5VR3ice9EVQrMBA5ik4io8YrZhe5gDL?usp=share_link", "RE-5.90592")</f>
        <v>RE-5.90592</v>
      </c>
      <c r="L400" s="18">
        <f>HYPERLINK("https://docs.google.com/spreadsheets/d/1Ol8eLuJphCHNxVp7LukF3vQC8KGgME-k?usp=share_link", 1154.17)</f>
        <v>1154.17</v>
      </c>
      <c r="M400" s="18" t="str">
        <f>HYPERLINK("https://docs.google.com/spreadsheets/d/1mslh2E0T2S-87G6x4yApLNf4G9M8KxRF?usp=share_link", "RE-15.624")</f>
        <v>RE-15.624</v>
      </c>
      <c r="N400" s="18" t="str">
        <f>HYPERLINK("https://docs.google.com/spreadsheets/d/1xAZiz6fmK1wu_FdKpf2ltsGKzbrHun7Y?usp=share_link", "RE-542.585")</f>
        <v>RE-542.585</v>
      </c>
      <c r="O400" s="18" t="str">
        <f>HYPERLINK("https://docs.google.com/spreadsheets/d/1ENC7WTDmgvLBu1dFzfH-u7dqT1yMikTA?usp=share_link", "RE-7.8211")</f>
        <v>RE-7.8211</v>
      </c>
      <c r="P400" s="18">
        <f>HYPERLINK("https://docs.google.com/spreadsheets/d/1vcczHtfOAvOlkUnXRCfYzbfeGhrP8Ocm?usp=share_link", 298.265)</f>
        <v>298.265</v>
      </c>
      <c r="Q400" s="18" t="str">
        <f>HYPERLINK("https://docs.google.com/spreadsheets/d/1Ivls0P5dG3mjEs7cAl2SR84zAhVnnTaQ?usp=share_link", "RE-16.6798")</f>
        <v>RE-16.6798</v>
      </c>
      <c r="R400" s="18">
        <f>HYPERLINK("https://docs.google.com/spreadsheets/d/19vcDM3pDts8zX3BreeQ84CrIqlx99Uei?usp=share_link", 59.7872)</f>
        <v>59.7872</v>
      </c>
      <c r="S400" s="18" t="str">
        <f>HYPERLINK("https://docs.google.com/spreadsheets/d/1GntJWdsyrUoED2YlBgWZHZq3r5SKesBc?usp=share_link", "RE-0.310883")</f>
        <v>RE-0.310883</v>
      </c>
      <c r="T400" s="18">
        <f>HYPERLINK("https://docs.google.com/spreadsheets/d/1FohxHniwMksMhXgzdtsSn1nlibd8_q0y?usp=share_link", 1499.94)</f>
        <v>1499.94</v>
      </c>
      <c r="U400" s="18" t="str">
        <f>HYPERLINK("https://docs.google.com/spreadsheets/d/1zEdSU_j4U1Mm94nEmsadO_rfFh72_q9t?usp=share_link", "RE-49.6613")</f>
        <v>RE-49.6613</v>
      </c>
      <c r="V400" s="18" t="str">
        <f>HYPERLINK("https://docs.google.com/spreadsheets/d/1qJnPT7DYF7W6Ss7ZrRDTdSgIOMxpm8RH?usp=share_link", "RE-1.65913")</f>
        <v>RE-1.65913</v>
      </c>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c r="DE400" s="17"/>
      <c r="DF400" s="17"/>
      <c r="DG400" s="17"/>
      <c r="DH400" s="17"/>
      <c r="DI400" s="17"/>
      <c r="DJ400" s="17"/>
      <c r="DK400" s="17"/>
      <c r="DL400" s="17"/>
      <c r="DM400" s="17"/>
      <c r="DN400" s="17"/>
      <c r="DO400" s="17"/>
      <c r="DP400" s="17"/>
      <c r="DQ400" s="17"/>
      <c r="DR400" s="17"/>
      <c r="DS400" s="17"/>
      <c r="DT400" s="17"/>
      <c r="DU400" s="17"/>
      <c r="DV400" s="17"/>
      <c r="DW400" s="17"/>
      <c r="DX400" s="17"/>
      <c r="DY400" s="17"/>
      <c r="DZ400" s="17"/>
      <c r="EA400" s="17"/>
      <c r="EB400" s="17"/>
      <c r="EC400" s="17"/>
      <c r="ED400" s="17"/>
      <c r="EE400" s="17"/>
      <c r="EF400" s="17"/>
      <c r="EG400" s="17"/>
      <c r="EH400" s="17"/>
      <c r="EI400" s="17"/>
      <c r="EJ400" s="17"/>
      <c r="EK400" s="17"/>
      <c r="EL400" s="17"/>
      <c r="EM400" s="17"/>
      <c r="EN400" s="17"/>
      <c r="EO400" s="17"/>
      <c r="EP400" s="17"/>
      <c r="EQ400" s="17"/>
      <c r="ER400" s="17"/>
      <c r="ES400" s="17"/>
      <c r="ET400" s="17"/>
      <c r="EU400" s="17"/>
      <c r="EV400" s="17"/>
      <c r="EW400" s="17"/>
      <c r="EX400" s="17"/>
      <c r="EY400" s="17"/>
      <c r="EZ400" s="17"/>
      <c r="FA400" s="17"/>
      <c r="FB400" s="17"/>
      <c r="FC400" s="17"/>
      <c r="FD400" s="17"/>
      <c r="FE400" s="17"/>
      <c r="FF400" s="17"/>
      <c r="FG400" s="17"/>
      <c r="FH400" s="17"/>
    </row>
    <row r="401">
      <c r="A401" s="32" t="s">
        <v>35</v>
      </c>
      <c r="B401" s="32" t="s">
        <v>73</v>
      </c>
      <c r="C401" s="32" t="s">
        <v>14</v>
      </c>
      <c r="D401" s="16">
        <f t="shared" si="1"/>
        <v>2635.4886</v>
      </c>
      <c r="E401" s="17"/>
      <c r="F401" s="18" t="str">
        <f>HYPERLINK("https://docs.google.com/spreadsheets/d/1fD1IQaXN8KADoRPCA_uI1UTPvwyJJXOG?usp=share_link", "RE-757.086")</f>
        <v>RE-757.086</v>
      </c>
      <c r="G401" s="18" t="str">
        <f>HYPERLINK("https://docs.google.com/spreadsheets/d/1CP_jzCpacVh44sWcfYMyBC_OTrfo_wF5?usp=share_link", "RE-3.84633")</f>
        <v>RE-3.84633</v>
      </c>
      <c r="H401" s="18" t="str">
        <f>HYPERLINK("https://docs.google.com/spreadsheets/d/1CayszNPEfVLzxwJeAqQ4a9BkeARIMdor?usp=share_link", "RE-128.524")</f>
        <v>RE-128.524</v>
      </c>
      <c r="I401" s="17"/>
      <c r="J401" s="18" t="str">
        <f>HYPERLINK("https://docs.google.com/spreadsheets/d/1YHJ4jxzDjZ-KnPLXniMe7ZNt7BDp6js6?usp=share_link", "RE-1451.14")</f>
        <v>RE-1451.14</v>
      </c>
      <c r="K401" s="18" t="str">
        <f>HYPERLINK("https://docs.google.com/spreadsheets/d/1mNH10nsorF8r7JGp4ByRjTvNwOat8Kpj?usp=share_link", "RE-4.99078")</f>
        <v>RE-4.99078</v>
      </c>
      <c r="L401" s="18">
        <f>HYPERLINK("https://docs.google.com/spreadsheets/d/1lg03SmlrXIlwt9MXeLuZAKNpi69npQIh?usp=share_link", 1016.13)</f>
        <v>1016.13</v>
      </c>
      <c r="M401" s="18" t="str">
        <f>HYPERLINK("https://docs.google.com/spreadsheets/d/1rLh23zAwDTA5oBAWwnCzeIRMk9nhbHFa?usp=share_link", "RE-14.5992")</f>
        <v>RE-14.5992</v>
      </c>
      <c r="N401" s="18" t="str">
        <f>HYPERLINK("https://docs.google.com/spreadsheets/d/1jbo7nMlax6jlWgYK-EKO9AI8VC6DPeBh?usp=share_link", "RE-457.66")</f>
        <v>RE-457.66</v>
      </c>
      <c r="O401" s="18" t="str">
        <f>HYPERLINK("https://docs.google.com/spreadsheets/d/18uMLr8_tWYaiYGI98SSsbYnoXNddoWOJ?usp=share_link", "RE-6.08878")</f>
        <v>RE-6.08878</v>
      </c>
      <c r="P401" s="18">
        <f>HYPERLINK("https://docs.google.com/spreadsheets/d/1WZ7vWpY2LSAt3g_oPOSkzV5ZfgkyHeOY?usp=share_link", 258.465)</f>
        <v>258.465</v>
      </c>
      <c r="Q401" s="18" t="str">
        <f>HYPERLINK("https://docs.google.com/spreadsheets/d/1ELjqM9u6aj_pMMVWSBfo6rm2JogL8ODn?usp=share_link", "RE-15.5503")</f>
        <v>RE-15.5503</v>
      </c>
      <c r="R401" s="18">
        <f>HYPERLINK("https://docs.google.com/spreadsheets/d/13E7aeevYDNlF8EKDLxVIK5r6kaVB6e-e?usp=share_link", 45.4836)</f>
        <v>45.4836</v>
      </c>
      <c r="S401" s="18" t="str">
        <f>HYPERLINK("https://docs.google.com/spreadsheets/d/1PsCOsaLh8JJ9bSjG5PC6s_IuTE5O99XH?usp=share_link", "RE-0.310883")</f>
        <v>RE-0.310883</v>
      </c>
      <c r="T401" s="18">
        <f>HYPERLINK("https://docs.google.com/spreadsheets/d/1NTKF-utwDMt-uoc4tIalJ7GRyIAOsy3H?usp=share_link", 1315.41)</f>
        <v>1315.41</v>
      </c>
      <c r="U401" s="18" t="str">
        <f>HYPERLINK("https://docs.google.com/spreadsheets/d/1PhvIb8mEtj7UJ92Jvg8sn_H-WS8FUrnO?usp=share_link", "RE-42.7717")</f>
        <v>RE-42.7717</v>
      </c>
      <c r="V401" s="18" t="str">
        <f>HYPERLINK("https://docs.google.com/spreadsheets/d/1hWUJeoOPT08-1GYsoPQloZrCw8nn7_Y5?usp=share_link", "RE-1.16508")</f>
        <v>RE-1.16508</v>
      </c>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c r="DE401" s="17"/>
      <c r="DF401" s="17"/>
      <c r="DG401" s="17"/>
      <c r="DH401" s="17"/>
      <c r="DI401" s="17"/>
      <c r="DJ401" s="17"/>
      <c r="DK401" s="17"/>
      <c r="DL401" s="17"/>
      <c r="DM401" s="17"/>
      <c r="DN401" s="17"/>
      <c r="DO401" s="17"/>
      <c r="DP401" s="17"/>
      <c r="DQ401" s="17"/>
      <c r="DR401" s="17"/>
      <c r="DS401" s="17"/>
      <c r="DT401" s="17"/>
      <c r="DU401" s="17"/>
      <c r="DV401" s="17"/>
      <c r="DW401" s="17"/>
      <c r="DX401" s="17"/>
      <c r="DY401" s="17"/>
      <c r="DZ401" s="17"/>
      <c r="EA401" s="17"/>
      <c r="EB401" s="17"/>
      <c r="EC401" s="17"/>
      <c r="ED401" s="17"/>
      <c r="EE401" s="17"/>
      <c r="EF401" s="17"/>
      <c r="EG401" s="17"/>
      <c r="EH401" s="17"/>
      <c r="EI401" s="17"/>
      <c r="EJ401" s="17"/>
      <c r="EK401" s="17"/>
      <c r="EL401" s="17"/>
      <c r="EM401" s="17"/>
      <c r="EN401" s="17"/>
      <c r="EO401" s="17"/>
      <c r="EP401" s="17"/>
      <c r="EQ401" s="17"/>
      <c r="ER401" s="17"/>
      <c r="ES401" s="17"/>
      <c r="ET401" s="17"/>
      <c r="EU401" s="17"/>
      <c r="EV401" s="17"/>
      <c r="EW401" s="17"/>
      <c r="EX401" s="17"/>
      <c r="EY401" s="17"/>
      <c r="EZ401" s="17"/>
      <c r="FA401" s="17"/>
      <c r="FB401" s="17"/>
      <c r="FC401" s="17"/>
      <c r="FD401" s="17"/>
      <c r="FE401" s="17"/>
      <c r="FF401" s="17"/>
      <c r="FG401" s="17"/>
      <c r="FH401" s="17"/>
    </row>
    <row r="402">
      <c r="A402" s="27" t="s">
        <v>35</v>
      </c>
      <c r="B402" s="27" t="s">
        <v>73</v>
      </c>
      <c r="C402" s="27" t="s">
        <v>15</v>
      </c>
      <c r="D402" s="28">
        <f t="shared" si="1"/>
        <v>3011.8292</v>
      </c>
      <c r="E402" s="33"/>
      <c r="F402" s="34" t="str">
        <f>HYPERLINK("https://docs.google.com/spreadsheets/d/1OzBcMJCP0rTk3UWU_1ilrBrm3pOYr9c8?usp=share_link", "RE-840.543")</f>
        <v>RE-840.543</v>
      </c>
      <c r="G402" s="34" t="str">
        <f>HYPERLINK("https://docs.google.com/spreadsheets/d/1hg5OejLOzGs6ffAZM7uoKNXbzzREf2LP?usp=share_link", "RE-3.84633")</f>
        <v>RE-3.84633</v>
      </c>
      <c r="H402" s="34" t="str">
        <f>HYPERLINK("https://docs.google.com/spreadsheets/d/1sDcs2VbvIuBMLfz0gWFzXSAZ8C9KWYnp?usp=share_link", "RE-137.576")</f>
        <v>RE-137.576</v>
      </c>
      <c r="I402" s="33"/>
      <c r="J402" s="34" t="str">
        <f>HYPERLINK("https://docs.google.com/spreadsheets/d/17p66OCbw1fJI2XnQCh50aL0BruuBq69S?usp=share_link", "RE-1595.08")</f>
        <v>RE-1595.08</v>
      </c>
      <c r="K402" s="34" t="str">
        <f>HYPERLINK("https://docs.google.com/spreadsheets/d/11JYyg9r9UR817aahOQ2HAbSENS7GKuEv?usp=share_link", "RE-5.90592")</f>
        <v>RE-5.90592</v>
      </c>
      <c r="L402" s="34">
        <f>HYPERLINK("https://docs.google.com/spreadsheets/d/1iYHKlJ_fi0q3PNXEGlwRxFDIsrvBQWEo?usp=share_link", 1154.17)</f>
        <v>1154.17</v>
      </c>
      <c r="M402" s="34" t="str">
        <f>HYPERLINK("https://docs.google.com/spreadsheets/d/1SvhuBMIY-5CDMlkRDtP5N2l1Obws-Kh5?usp=share_link", "RE-15.624")</f>
        <v>RE-15.624</v>
      </c>
      <c r="N402" s="34" t="str">
        <f>HYPERLINK("https://docs.google.com/spreadsheets/d/1b60vJzXIbSkSWUEZ5D0cya65DmHxlY8s?usp=share_link", "RE-542.585")</f>
        <v>RE-542.585</v>
      </c>
      <c r="O402" s="34" t="str">
        <f>HYPERLINK("https://docs.google.com/spreadsheets/d/1IXujarvU3kpY8E4hBkADL7JAzAIB3Frz?usp=share_link", "RE-7.8211")</f>
        <v>RE-7.8211</v>
      </c>
      <c r="P402" s="34">
        <f>HYPERLINK("https://docs.google.com/spreadsheets/d/16D_RrxlvSmDOYCnf8ZjmV9e8y_OY7BYM?usp=share_link", 298.102)</f>
        <v>298.102</v>
      </c>
      <c r="Q402" s="34" t="str">
        <f>HYPERLINK("https://docs.google.com/spreadsheets/d/1ayDUfKvscY_fp16OaMES7IA6en7-7lsQ?usp=share_link", "RE-16.6798")</f>
        <v>RE-16.6798</v>
      </c>
      <c r="R402" s="34">
        <f>HYPERLINK("https://docs.google.com/spreadsheets/d/1KnBVTa2ezKPAgvokKbYRXr8Y7YDjARFa?usp=share_link", 59.7872)</f>
        <v>59.7872</v>
      </c>
      <c r="S402" s="34" t="str">
        <f>HYPERLINK("https://docs.google.com/spreadsheets/d/1HAxr6pxBY7W66nYDyviUikOwXn4dNqn-?usp=share_link", "RE-0.310883")</f>
        <v>RE-0.310883</v>
      </c>
      <c r="T402" s="34">
        <f>HYPERLINK("https://docs.google.com/spreadsheets/d/1iPn-kkiJryaeseXjLu3vjWaPNUvzf0xB?usp=share_link", 1499.77)</f>
        <v>1499.77</v>
      </c>
      <c r="U402" s="34" t="str">
        <f>HYPERLINK("https://docs.google.com/spreadsheets/d/1Dq_778M7DwgbUqrB-z-Yxtcsnf7md64e?usp=share_link", "RE-49.6613")</f>
        <v>RE-49.6613</v>
      </c>
      <c r="V402" s="34" t="str">
        <f>HYPERLINK("https://docs.google.com/spreadsheets/d/1sYSJxrxCQPqX1N-jZpZtn8GY4nUERG9G?usp=share_link", "RE-1.65913")</f>
        <v>RE-1.65913</v>
      </c>
      <c r="W402" s="33"/>
      <c r="X402" s="33"/>
      <c r="Y402" s="33"/>
      <c r="Z402" s="33"/>
      <c r="AA402" s="33"/>
      <c r="AB402" s="3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c r="BA402" s="33"/>
      <c r="BB402" s="33"/>
      <c r="BC402" s="33"/>
      <c r="BD402" s="33"/>
      <c r="BE402" s="33"/>
      <c r="BF402" s="33"/>
      <c r="BG402" s="33"/>
      <c r="BH402" s="33"/>
      <c r="BI402" s="33"/>
      <c r="BJ402" s="33"/>
      <c r="BK402" s="33"/>
      <c r="BL402" s="33"/>
      <c r="BM402" s="33"/>
      <c r="BN402" s="33"/>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c r="EB402" s="33"/>
      <c r="EC402" s="33"/>
      <c r="ED402" s="33"/>
      <c r="EE402" s="33"/>
      <c r="EF402" s="33"/>
      <c r="EG402" s="33"/>
      <c r="EH402" s="33"/>
      <c r="EI402" s="33"/>
      <c r="EJ402" s="33"/>
      <c r="EK402" s="33"/>
      <c r="EL402" s="33"/>
      <c r="EM402" s="33"/>
      <c r="EN402" s="33"/>
      <c r="EO402" s="33"/>
      <c r="EP402" s="33"/>
      <c r="EQ402" s="33"/>
      <c r="ER402" s="33"/>
      <c r="ES402" s="33"/>
      <c r="ET402" s="33"/>
      <c r="EU402" s="33"/>
      <c r="EV402" s="33"/>
      <c r="EW402" s="33"/>
      <c r="EX402" s="33"/>
      <c r="EY402" s="33"/>
      <c r="EZ402" s="33"/>
      <c r="FA402" s="33"/>
      <c r="FB402" s="33"/>
      <c r="FC402" s="33"/>
      <c r="FD402" s="33"/>
      <c r="FE402" s="33"/>
      <c r="FF402" s="33"/>
      <c r="FG402" s="33"/>
      <c r="FH402" s="33"/>
    </row>
    <row r="403">
      <c r="A403" s="30" t="s">
        <v>35</v>
      </c>
      <c r="B403" s="30" t="s">
        <v>74</v>
      </c>
      <c r="C403" s="31" t="str">
        <f>HYPERLINK("https://docs.google.com/spreadsheets/d/1O4p3lQ7L3u8yTRLRkPm16K7kmx9-RMfX/edit?usp=share_link&amp;ouid=106501987799020758802&amp;rtpof=true&amp;sd=true", "Raw Delivered")</f>
        <v>Raw Delivered</v>
      </c>
      <c r="D403" s="12">
        <f t="shared" si="1"/>
        <v>5555.020225</v>
      </c>
      <c r="E403" s="13"/>
      <c r="F403" s="14">
        <f>HYPERLINK("https://docs.google.com/spreadsheets/d/1LilpcUZIYnVgPWs5fmMjMLnry9eqMU1L", 1022.95387499999)</f>
        <v>1022.953875</v>
      </c>
      <c r="G403" s="13"/>
      <c r="H403" s="14">
        <f>HYPERLINK("https://docs.google.com/spreadsheets/d/1vVFGpyW8u3S6uP6E3dz3oqP7XyeFD5h8", 155.480664583333)</f>
        <v>155.4806646</v>
      </c>
      <c r="I403" s="13"/>
      <c r="J403" s="14">
        <f>HYPERLINK("https://docs.google.com/spreadsheets/d/1JzZzxsEX-CDyPB-kbLFCZR1HXlTqDH6q", 1363.04206458333)</f>
        <v>1363.042065</v>
      </c>
      <c r="K403" s="13"/>
      <c r="L403" s="14">
        <f t="shared" ref="L403:L404" si="202">HYPERLINK("https://docs.google.com/spreadsheets/d/1p3KdFsyo07C1SkqitdAyODLe51L0-rlc", 1248.90356666666)</f>
        <v>1248.903567</v>
      </c>
      <c r="M403" s="13"/>
      <c r="N403" s="14">
        <f>HYPERLINK("https://docs.google.com/spreadsheets/d/1D6TXpsL6c_vVOWejJOZlEXnO-jq0qTF4", 383.007082291667)</f>
        <v>383.0070823</v>
      </c>
      <c r="O403" s="13"/>
      <c r="P403" s="14">
        <f t="shared" ref="P403:P404" si="203">HYPERLINK("https://docs.google.com/spreadsheets/d/1yLPCRwP6B6HZ_OCjsnPKP7i9iUbS9OFx", 268.039082291666)</f>
        <v>268.0390823</v>
      </c>
      <c r="Q403" s="13"/>
      <c r="R403" s="14">
        <f t="shared" ref="R403:R404" si="204">HYPERLINK("https://docs.google.com/spreadsheets/d/1uY0N9ReT-iL3Fiq3xjEnCff-gE0y9q1G", 51.9075208333333)</f>
        <v>51.90752083</v>
      </c>
      <c r="S403" s="13"/>
      <c r="T403" s="14">
        <f t="shared" ref="T403:T404" si="205">HYPERLINK("https://docs.google.com/spreadsheets/d/1sdgADPH6iPuuLmI1yYET0ZZcJDuahcmA", 1061.68636875)</f>
        <v>1061.686369</v>
      </c>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c r="FH403" s="13"/>
    </row>
    <row r="404">
      <c r="A404" s="32" t="s">
        <v>35</v>
      </c>
      <c r="B404" s="32" t="s">
        <v>74</v>
      </c>
      <c r="C404" s="32" t="s">
        <v>9</v>
      </c>
      <c r="D404" s="16">
        <f t="shared" si="1"/>
        <v>2630.536539</v>
      </c>
      <c r="E404" s="17"/>
      <c r="F404" s="18" t="str">
        <f>HYPERLINK("https://docs.google.com/spreadsheets/d/1LilpcUZIYnVgPWs5fmMjMLnry9eqMU1L", "RE-1022.9538749999997")</f>
        <v>RE-1022.9538749999997</v>
      </c>
      <c r="G404" s="17"/>
      <c r="H404" s="18" t="str">
        <f>HYPERLINK("https://docs.google.com/spreadsheets/d/1vVFGpyW8u3S6uP6E3dz3oqP7XyeFD5h8", "RE-155.48066458333352")</f>
        <v>RE-155.48066458333352</v>
      </c>
      <c r="I404" s="17"/>
      <c r="J404" s="18" t="str">
        <f>HYPERLINK("https://docs.google.com/spreadsheets/d/1JzZzxsEX-CDyPB-kbLFCZR1HXlTqDH6q", "RE-1363.0420645833353")</f>
        <v>RE-1363.0420645833353</v>
      </c>
      <c r="K404" s="17"/>
      <c r="L404" s="18">
        <f t="shared" si="202"/>
        <v>1248.903567</v>
      </c>
      <c r="M404" s="17"/>
      <c r="N404" s="18" t="str">
        <f>HYPERLINK("https://docs.google.com/spreadsheets/d/1D6TXpsL6c_vVOWejJOZlEXnO-jq0qTF4", "RE-383.0070822916672")</f>
        <v>RE-383.0070822916672</v>
      </c>
      <c r="O404" s="17"/>
      <c r="P404" s="18">
        <f t="shared" si="203"/>
        <v>268.0390823</v>
      </c>
      <c r="Q404" s="17"/>
      <c r="R404" s="18">
        <f t="shared" si="204"/>
        <v>51.90752083</v>
      </c>
      <c r="S404" s="17"/>
      <c r="T404" s="18">
        <f t="shared" si="205"/>
        <v>1061.686369</v>
      </c>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c r="DE404" s="17"/>
      <c r="DF404" s="17"/>
      <c r="DG404" s="17"/>
      <c r="DH404" s="17"/>
      <c r="DI404" s="17"/>
      <c r="DJ404" s="17"/>
      <c r="DK404" s="17"/>
      <c r="DL404" s="17"/>
      <c r="DM404" s="17"/>
      <c r="DN404" s="17"/>
      <c r="DO404" s="17"/>
      <c r="DP404" s="17"/>
      <c r="DQ404" s="17"/>
      <c r="DR404" s="17"/>
      <c r="DS404" s="17"/>
      <c r="DT404" s="17"/>
      <c r="DU404" s="17"/>
      <c r="DV404" s="17"/>
      <c r="DW404" s="17"/>
      <c r="DX404" s="17"/>
      <c r="DY404" s="17"/>
      <c r="DZ404" s="17"/>
      <c r="EA404" s="17"/>
      <c r="EB404" s="17"/>
      <c r="EC404" s="17"/>
      <c r="ED404" s="17"/>
      <c r="EE404" s="17"/>
      <c r="EF404" s="17"/>
      <c r="EG404" s="17"/>
      <c r="EH404" s="17"/>
      <c r="EI404" s="17"/>
      <c r="EJ404" s="17"/>
      <c r="EK404" s="17"/>
      <c r="EL404" s="17"/>
      <c r="EM404" s="17"/>
      <c r="EN404" s="17"/>
      <c r="EO404" s="17"/>
      <c r="EP404" s="17"/>
      <c r="EQ404" s="17"/>
      <c r="ER404" s="17"/>
      <c r="ES404" s="17"/>
      <c r="ET404" s="17"/>
      <c r="EU404" s="17"/>
      <c r="EV404" s="17"/>
      <c r="EW404" s="17"/>
      <c r="EX404" s="17"/>
      <c r="EY404" s="17"/>
      <c r="EZ404" s="17"/>
      <c r="FA404" s="17"/>
      <c r="FB404" s="17"/>
      <c r="FC404" s="17"/>
      <c r="FD404" s="17"/>
      <c r="FE404" s="17"/>
      <c r="FF404" s="17"/>
      <c r="FG404" s="17"/>
      <c r="FH404" s="17"/>
    </row>
    <row r="405">
      <c r="A405" s="32" t="s">
        <v>35</v>
      </c>
      <c r="B405" s="32" t="s">
        <v>74</v>
      </c>
      <c r="C405" s="32" t="s">
        <v>10</v>
      </c>
      <c r="D405" s="16">
        <f t="shared" si="1"/>
        <v>483.2522958</v>
      </c>
      <c r="E405" s="17"/>
      <c r="F405" s="17"/>
      <c r="G405" s="18">
        <f>HYPERLINK("https://docs.google.com/spreadsheets/d/1v8SGSCIVP9TjLVuzr7zEwPGqpEWtrKLG", 112.833290625)</f>
        <v>112.8332906</v>
      </c>
      <c r="H405" s="17"/>
      <c r="I405" s="18">
        <f>HYPERLINK("https://docs.google.com/spreadsheets/d/1cXrNiQ-uyqJUobaPluN91WptlbInUg0o", 11.81993125)</f>
        <v>11.81993125</v>
      </c>
      <c r="J405" s="17"/>
      <c r="K405" s="18">
        <f>HYPERLINK("https://docs.google.com/spreadsheets/d/1Ey63M9L0Rl8BCgaQ6uwVe-kdpskojrub", 119.159345833333)</f>
        <v>119.1593458</v>
      </c>
      <c r="L405" s="17"/>
      <c r="M405" s="18">
        <f>HYPERLINK("https://docs.google.com/spreadsheets/d/1bzvUTbP_ZB8MMKMtn9KQsszP0ehtFWaf", 97.3703052083333)</f>
        <v>97.37030521</v>
      </c>
      <c r="N405" s="17"/>
      <c r="O405" s="18">
        <f>HYPERLINK("https://docs.google.com/spreadsheets/d/1vi05cbIQzIHBUTYWSmLjpvK3Vdg4zzfc", 39.0805177083333)</f>
        <v>39.08051771</v>
      </c>
      <c r="P405" s="17"/>
      <c r="Q405" s="18">
        <f>HYPERLINK("https://docs.google.com/spreadsheets/d/1vmUrH4lfyZrIujNT9tytKCzE8r0QiyUL", 39.0834927083333)</f>
        <v>39.08349271</v>
      </c>
      <c r="R405" s="17"/>
      <c r="S405" s="18">
        <f>HYPERLINK("https://docs.google.com/spreadsheets/d/19Ne-2cxkbzl4F8iHqdTyKE3xGh4wfLVv", 1.00392083333333)</f>
        <v>1.003920833</v>
      </c>
      <c r="T405" s="17"/>
      <c r="U405" s="18">
        <f>HYPERLINK("https://docs.google.com/spreadsheets/d/1u-JlmllncF_5wPL_qRNxj41V-117y6fd", 42.0189416666666)</f>
        <v>42.01894167</v>
      </c>
      <c r="V405" s="18">
        <f>HYPERLINK("https://docs.google.com/spreadsheets/d/1fV9rAtoM_Wm2-oHfTy6Bjh8r2ahktPqU", 20.88255)</f>
        <v>20.88255</v>
      </c>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O405" s="17"/>
      <c r="DP405" s="17"/>
      <c r="DQ405" s="17"/>
      <c r="DR405" s="17"/>
      <c r="DS405" s="17"/>
      <c r="DT405" s="17"/>
      <c r="DU405" s="17"/>
      <c r="DV405" s="17"/>
      <c r="DW405" s="17"/>
      <c r="DX405" s="17"/>
      <c r="DY405" s="17"/>
      <c r="DZ405" s="17"/>
      <c r="EA405" s="17"/>
      <c r="EB405" s="17"/>
      <c r="EC405" s="17"/>
      <c r="ED405" s="17"/>
      <c r="EE405" s="17"/>
      <c r="EF405" s="17"/>
      <c r="EG405" s="17"/>
      <c r="EH405" s="17"/>
      <c r="EI405" s="17"/>
      <c r="EJ405" s="17"/>
      <c r="EK405" s="17"/>
      <c r="EL405" s="17"/>
      <c r="EM405" s="17"/>
      <c r="EN405" s="17"/>
      <c r="EO405" s="17"/>
      <c r="EP405" s="17"/>
      <c r="EQ405" s="17"/>
      <c r="ER405" s="17"/>
      <c r="ES405" s="17"/>
      <c r="ET405" s="17"/>
      <c r="EU405" s="17"/>
      <c r="EV405" s="17"/>
      <c r="EW405" s="17"/>
      <c r="EX405" s="17"/>
      <c r="EY405" s="17"/>
      <c r="EZ405" s="17"/>
      <c r="FA405" s="17"/>
      <c r="FB405" s="17"/>
      <c r="FC405" s="17"/>
      <c r="FD405" s="17"/>
      <c r="FE405" s="17"/>
      <c r="FF405" s="17"/>
      <c r="FG405" s="17"/>
      <c r="FH405" s="17"/>
    </row>
    <row r="406">
      <c r="A406" s="32" t="s">
        <v>35</v>
      </c>
      <c r="B406" s="32" t="s">
        <v>74</v>
      </c>
      <c r="C406" s="32" t="s">
        <v>11</v>
      </c>
      <c r="D406" s="16">
        <f t="shared" si="1"/>
        <v>0</v>
      </c>
      <c r="E406" s="17"/>
      <c r="F406" s="17"/>
      <c r="G406" s="18" t="str">
        <f>HYPERLINK("https://docs.google.com/spreadsheets/d/1v8SGSCIVP9TjLVuzr7zEwPGqpEWtrKLG", "RE-112.83329062500006")</f>
        <v>RE-112.83329062500006</v>
      </c>
      <c r="H406" s="17"/>
      <c r="I406" s="18" t="str">
        <f>HYPERLINK("https://docs.google.com/spreadsheets/d/1cXrNiQ-uyqJUobaPluN91WptlbInUg0o", "RE-11.81993125")</f>
        <v>RE-11.81993125</v>
      </c>
      <c r="J406" s="17"/>
      <c r="K406" s="18" t="str">
        <f>HYPERLINK("https://docs.google.com/spreadsheets/d/1Ey63M9L0Rl8BCgaQ6uwVe-kdpskojrub", "RE-119.15934583333336")</f>
        <v>RE-119.15934583333336</v>
      </c>
      <c r="L406" s="17"/>
      <c r="M406" s="18" t="str">
        <f>HYPERLINK("https://docs.google.com/spreadsheets/d/1bzvUTbP_ZB8MMKMtn9KQsszP0ehtFWaf", "RE-97.37030520833336")</f>
        <v>RE-97.37030520833336</v>
      </c>
      <c r="N406" s="17"/>
      <c r="O406" s="18" t="str">
        <f>HYPERLINK("https://docs.google.com/spreadsheets/d/1vi05cbIQzIHBUTYWSmLjpvK3Vdg4zzfc", "RE-39.08051770833333")</f>
        <v>RE-39.08051770833333</v>
      </c>
      <c r="P406" s="17"/>
      <c r="Q406" s="18" t="str">
        <f>HYPERLINK("https://docs.google.com/spreadsheets/d/1vmUrH4lfyZrIujNT9tytKCzE8r0QiyUL", "RE-39.083492708333324")</f>
        <v>RE-39.083492708333324</v>
      </c>
      <c r="R406" s="17"/>
      <c r="S406" s="18" t="str">
        <f>HYPERLINK("https://docs.google.com/spreadsheets/d/19Ne-2cxkbzl4F8iHqdTyKE3xGh4wfLVv", "RE-1.0039208333333332")</f>
        <v>RE-1.0039208333333332</v>
      </c>
      <c r="T406" s="17"/>
      <c r="U406" s="18" t="str">
        <f>HYPERLINK("https://docs.google.com/spreadsheets/d/1u-JlmllncF_5wPL_qRNxj41V-117y6fd", "RE-42.01894166666667")</f>
        <v>RE-42.01894166666667</v>
      </c>
      <c r="V406" s="18" t="str">
        <f>HYPERLINK("https://docs.google.com/spreadsheets/d/1fV9rAtoM_Wm2-oHfTy6Bjh8r2ahktPqU", "RE-20.88255")</f>
        <v>RE-20.88255</v>
      </c>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c r="EJ406" s="17"/>
      <c r="EK406" s="17"/>
      <c r="EL406" s="17"/>
      <c r="EM406" s="17"/>
      <c r="EN406" s="17"/>
      <c r="EO406" s="17"/>
      <c r="EP406" s="17"/>
      <c r="EQ406" s="17"/>
      <c r="ER406" s="17"/>
      <c r="ES406" s="17"/>
      <c r="ET406" s="17"/>
      <c r="EU406" s="17"/>
      <c r="EV406" s="17"/>
      <c r="EW406" s="17"/>
      <c r="EX406" s="17"/>
      <c r="EY406" s="17"/>
      <c r="EZ406" s="17"/>
      <c r="FA406" s="17"/>
      <c r="FB406" s="17"/>
      <c r="FC406" s="17"/>
      <c r="FD406" s="17"/>
      <c r="FE406" s="17"/>
      <c r="FF406" s="17"/>
      <c r="FG406" s="17"/>
      <c r="FH406" s="17"/>
    </row>
    <row r="407">
      <c r="A407" s="32" t="s">
        <v>35</v>
      </c>
      <c r="B407" s="32" t="s">
        <v>74</v>
      </c>
      <c r="C407" s="32" t="s">
        <v>12</v>
      </c>
      <c r="D407" s="16">
        <f t="shared" si="1"/>
        <v>2362.479094</v>
      </c>
      <c r="E407" s="17"/>
      <c r="F407" s="18" t="str">
        <f>HYPERLINK("https://docs.google.com/spreadsheets/d/1KuqUkrMyP37WzRCoWJNPVlnSsnegoc3-", "RE-794.3361385416664")</f>
        <v>RE-794.3361385416664</v>
      </c>
      <c r="G407" s="18" t="str">
        <f>HYPERLINK("https://docs.google.com/spreadsheets/d/1i3Iw9zbLZP4qq9Lb7alLQJ4gKIfLO6R9", "RE-5.380999999999999")</f>
        <v>RE-5.380999999999999</v>
      </c>
      <c r="H407" s="18" t="str">
        <f>HYPERLINK("https://docs.google.com/spreadsheets/d/1YuNzUUPvKJPZCPHmpMKFRvAWDRmjMETB", "RE-132.62888125000018")</f>
        <v>RE-132.62888125000018</v>
      </c>
      <c r="I407" s="18" t="str">
        <f>HYPERLINK("https://docs.google.com/spreadsheets/d/1uU03IRNbEAwHKkw9l5Hf6_e9rHglovpD", "RE-0.0")</f>
        <v>RE-0.0</v>
      </c>
      <c r="J407" s="18" t="str">
        <f>HYPERLINK("https://docs.google.com/spreadsheets/d/1pyCez4w1ScwrpkShblNMwrWt9lY15zcd", "RE-1048.2335791666665")</f>
        <v>RE-1048.2335791666665</v>
      </c>
      <c r="K407" s="18" t="str">
        <f>HYPERLINK("https://docs.google.com/spreadsheets/d/1xjef2v-lCesntpieUBwgAfq5ODPNW3XZ", "RE-14.070127083333336")</f>
        <v>RE-14.070127083333336</v>
      </c>
      <c r="L407" s="18">
        <f>HYPERLINK("https://docs.google.com/spreadsheets/d/1lwR4PgxgbUgCLNxm5bGSokGcaU-XZ_wx", 1100.10569270833)</f>
        <v>1100.105693</v>
      </c>
      <c r="M407" s="18" t="str">
        <f>HYPERLINK("https://docs.google.com/spreadsheets/d/1AOrH9ngNeScY8KjgZr6N1D91af9SJ__z", "RE-11.90740208333333")</f>
        <v>RE-11.90740208333333</v>
      </c>
      <c r="N407" s="18" t="str">
        <f>HYPERLINK("https://docs.google.com/spreadsheets/d/1g2QYAqvkgK2_zGoBQq_kt7lxSWm593mZ", "RE-249.6589583333333")</f>
        <v>RE-249.6589583333333</v>
      </c>
      <c r="O407" s="18" t="str">
        <f>HYPERLINK("https://docs.google.com/spreadsheets/d/18YFe0cHDnHzSp19ndGa66mpG8AlUgaXt", "RE-6.425048958333334")</f>
        <v>RE-6.425048958333334</v>
      </c>
      <c r="P407" s="18">
        <f>HYPERLINK("https://docs.google.com/spreadsheets/d/dummy", 240.5707625)</f>
        <v>240.5707625</v>
      </c>
      <c r="Q407" s="18" t="str">
        <f>HYPERLINK("https://docs.google.com/spreadsheets/d/120TAw_FEJzeyHFyWXZrW_y9lXqIPhMpb", "RE-11.929433333333334")</f>
        <v>RE-11.929433333333334</v>
      </c>
      <c r="R407" s="18">
        <f>HYPERLINK("https://docs.google.com/spreadsheets/d/1EYEEr50y2WpL6fO1AdQddO5pKLFEDQJR", 44.6039010416666)</f>
        <v>44.60390104</v>
      </c>
      <c r="S407" s="18" t="str">
        <f>HYPERLINK("https://docs.google.com/spreadsheets/d/1jIvEq9kt0PaWyMf2m_k_7NNBwdRwqrCt", "RE-0.65429375")</f>
        <v>RE-0.65429375</v>
      </c>
      <c r="T407" s="18">
        <f>HYPERLINK("https://docs.google.com/spreadsheets/d/1De0o-NWum0yy4myn-72cOf42XksjPfoW", 977.198737500001)</f>
        <v>977.1987375</v>
      </c>
      <c r="U407" s="18" t="str">
        <f>HYPERLINK("https://docs.google.com/spreadsheets/d/1T1PrGm70jlBJ8agOC5Vx7tXwRwOjpArc", "RE-19.788970833333337")</f>
        <v>RE-19.788970833333337</v>
      </c>
      <c r="V407" s="18" t="str">
        <f>HYPERLINK("https://docs.google.com/spreadsheets/d/1YRYg_7tDQNdRrjew_dEm4UvQfFDFBEis", "RE-2.1755124999999995")</f>
        <v>RE-2.1755124999999995</v>
      </c>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c r="EJ407" s="17"/>
      <c r="EK407" s="17"/>
      <c r="EL407" s="17"/>
      <c r="EM407" s="17"/>
      <c r="EN407" s="17"/>
      <c r="EO407" s="17"/>
      <c r="EP407" s="17"/>
      <c r="EQ407" s="17"/>
      <c r="ER407" s="17"/>
      <c r="ES407" s="17"/>
      <c r="ET407" s="17"/>
      <c r="EU407" s="17"/>
      <c r="EV407" s="17"/>
      <c r="EW407" s="17"/>
      <c r="EX407" s="17"/>
      <c r="EY407" s="17"/>
      <c r="EZ407" s="17"/>
      <c r="FA407" s="17"/>
      <c r="FB407" s="17"/>
      <c r="FC407" s="17"/>
      <c r="FD407" s="17"/>
      <c r="FE407" s="17"/>
      <c r="FF407" s="17"/>
      <c r="FG407" s="17"/>
      <c r="FH407" s="17"/>
    </row>
    <row r="408">
      <c r="A408" s="32" t="s">
        <v>35</v>
      </c>
      <c r="B408" s="32" t="s">
        <v>74</v>
      </c>
      <c r="C408" s="32" t="s">
        <v>13</v>
      </c>
      <c r="D408" s="16">
        <f t="shared" si="1"/>
        <v>2280.1233</v>
      </c>
      <c r="E408" s="17"/>
      <c r="F408" s="18" t="str">
        <f>HYPERLINK("https://docs.google.com/spreadsheets/d/1jEDha89GgSGbyoDBApSo7ThCIHLkQ3id?usp=share_link", "RE-775.651")</f>
        <v>RE-775.651</v>
      </c>
      <c r="G408" s="18" t="str">
        <f>HYPERLINK("https://docs.google.com/spreadsheets/d/1k-pWP3zaGlcpElxkX2P0ENCsfLZc-vIC?usp=share_link", "RE-5.2251")</f>
        <v>RE-5.2251</v>
      </c>
      <c r="H408" s="18" t="str">
        <f>HYPERLINK("https://docs.google.com/spreadsheets/d/1XtkPSuxfA1bzxgd5gOklU5LAuTku1mAm?usp=share_link", "RE-130.198")</f>
        <v>RE-130.198</v>
      </c>
      <c r="I408" s="17"/>
      <c r="J408" s="18" t="str">
        <f>HYPERLINK("https://docs.google.com/spreadsheets/d/1s-TX-AkikV3zwYUnZ-tFwS2gfH2HBc8N?usp=share_link", "RE-1025.57")</f>
        <v>RE-1025.57</v>
      </c>
      <c r="K408" s="18" t="str">
        <f>HYPERLINK("https://docs.google.com/spreadsheets/d/1LNICkml52Vdk21gaLde50WBpVsnJo18A?usp=share_link", "RE-13.4204")</f>
        <v>RE-13.4204</v>
      </c>
      <c r="L408" s="18">
        <f>HYPERLINK("https://docs.google.com/spreadsheets/d/1dWLqnTuPvB3ZkT6i5yhyoV9ux27gW9Oh?usp=share_link", 1061.86)</f>
        <v>1061.86</v>
      </c>
      <c r="M408" s="18" t="str">
        <f>HYPERLINK("https://docs.google.com/spreadsheets/d/1fLQ6O07dek79LBp_yqbKZh6rIytM-Tsu?usp=share_link", "RE-11.2783")</f>
        <v>RE-11.2783</v>
      </c>
      <c r="N408" s="18" t="str">
        <f>HYPERLINK("https://docs.google.com/spreadsheets/d/18ifn5Rj06dP7L6kwDl8UHGZgFz7sY72I?usp=share_link", "RE-240.306")</f>
        <v>RE-240.306</v>
      </c>
      <c r="O408" s="18" t="str">
        <f>HYPERLINK("https://docs.google.com/spreadsheets/d/125t_PbZYsdof-UnUJ0mccOi1wnYAZen_?usp=share_link", "RE-6.1198")</f>
        <v>RE-6.1198</v>
      </c>
      <c r="P408" s="18">
        <f>HYPERLINK("https://docs.google.com/spreadsheets/d/1phur_xASz8yNmWPpfTHaA-EjfpacPFod?usp=share_link", 232.181)</f>
        <v>232.181</v>
      </c>
      <c r="Q408" s="18" t="str">
        <f>HYPERLINK("https://docs.google.com/spreadsheets/d/1CxYknoYyiBalFDXg44MwhNBn9svPFN9c?usp=share_link", "RE-11.4561")</f>
        <v>RE-11.4561</v>
      </c>
      <c r="R408" s="18">
        <f>HYPERLINK("https://docs.google.com/spreadsheets/d/1aijAJJytCvh4LK070PNAHwMO2fjnEH_u?usp=share_link", 42.3673)</f>
        <v>42.3673</v>
      </c>
      <c r="S408" s="18" t="str">
        <f>HYPERLINK("https://docs.google.com/spreadsheets/d/1Vtazw61ARHeu86c-xR7GdB2U2BYNmyJO?usp=share_link", "RE-0.639383")</f>
        <v>RE-0.639383</v>
      </c>
      <c r="T408" s="18">
        <f>HYPERLINK("https://docs.google.com/spreadsheets/d/1nu4iqu4y2MvooFRremKu7MZBFZfUDIOR?usp=share_link", 943.715)</f>
        <v>943.715</v>
      </c>
      <c r="U408" s="18" t="str">
        <f>HYPERLINK("https://docs.google.com/spreadsheets/d/1QdRbgEJx4JSF30zgMLlUdHsoiDsZzu76?usp=share_link", "RE-19.2013")</f>
        <v>RE-19.2013</v>
      </c>
      <c r="V408" s="18" t="str">
        <f>HYPERLINK("https://docs.google.com/spreadsheets/d/1aIqbGzLQ9YuouNb85atP8waslCL8TOgx?usp=share_link", "RE-2.10168")</f>
        <v>RE-2.10168</v>
      </c>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c r="EJ408" s="17"/>
      <c r="EK408" s="17"/>
      <c r="EL408" s="17"/>
      <c r="EM408" s="17"/>
      <c r="EN408" s="17"/>
      <c r="EO408" s="17"/>
      <c r="EP408" s="17"/>
      <c r="EQ408" s="17"/>
      <c r="ER408" s="17"/>
      <c r="ES408" s="17"/>
      <c r="ET408" s="17"/>
      <c r="EU408" s="17"/>
      <c r="EV408" s="17"/>
      <c r="EW408" s="17"/>
      <c r="EX408" s="17"/>
      <c r="EY408" s="17"/>
      <c r="EZ408" s="17"/>
      <c r="FA408" s="17"/>
      <c r="FB408" s="17"/>
      <c r="FC408" s="17"/>
      <c r="FD408" s="17"/>
      <c r="FE408" s="17"/>
      <c r="FF408" s="17"/>
      <c r="FG408" s="17"/>
      <c r="FH408" s="17"/>
    </row>
    <row r="409">
      <c r="A409" s="32" t="s">
        <v>35</v>
      </c>
      <c r="B409" s="32" t="s">
        <v>74</v>
      </c>
      <c r="C409" s="32" t="s">
        <v>14</v>
      </c>
      <c r="D409" s="16">
        <f t="shared" si="1"/>
        <v>1970.6643</v>
      </c>
      <c r="E409" s="17"/>
      <c r="F409" s="18" t="str">
        <f>HYPERLINK("https://docs.google.com/spreadsheets/d/1JuJQM4KpH-Viq86QVY-b52J2DL4xT7CU?usp=share_link", "RE-683.37")</f>
        <v>RE-683.37</v>
      </c>
      <c r="G409" s="18" t="str">
        <f>HYPERLINK("https://docs.google.com/spreadsheets/d/1Ifwv9h9rqcfJKOt7z9tacioWxqlo-D_-?usp=share_link", "RE-4.67987")</f>
        <v>RE-4.67987</v>
      </c>
      <c r="H409" s="18" t="str">
        <f>HYPERLINK("https://docs.google.com/spreadsheets/d/1XEdUfn1uitMOUOqkOQ686PcUP6uKIOO-?usp=share_link", "RE-117.459")</f>
        <v>RE-117.459</v>
      </c>
      <c r="I409" s="17"/>
      <c r="J409" s="18" t="str">
        <f>HYPERLINK("https://docs.google.com/spreadsheets/d/12qtRgPUas8g1LxonSMNoAbFbth_ZuMQu?usp=share_link", "RE-931.468")</f>
        <v>RE-931.468</v>
      </c>
      <c r="K409" s="18" t="str">
        <f>HYPERLINK("https://docs.google.com/spreadsheets/d/14m-YUfTU7WuKNlcd-v_aP8YTv0LqCg-s?usp=share_link", "RE-12.5601")</f>
        <v>RE-12.5601</v>
      </c>
      <c r="L409" s="18">
        <f>HYPERLINK("https://docs.google.com/spreadsheets/d/1ylbIAxw8pgYE-D21-VwvN3ngDqeil725?usp=share_link", 925.204)</f>
        <v>925.204</v>
      </c>
      <c r="M409" s="18" t="str">
        <f>HYPERLINK("https://docs.google.com/spreadsheets/d/1tWE6BY60cyUv8GrfjhyoAJpNXdJ3zjxs?usp=share_link", "RE-10.2498")</f>
        <v>RE-10.2498</v>
      </c>
      <c r="N409" s="18" t="str">
        <f>HYPERLINK("https://docs.google.com/spreadsheets/d/1mspwxnfXpz9TqxjD7j4N_RNvkrfNCEpw?usp=share_link", "RE-203.358")</f>
        <v>RE-203.358</v>
      </c>
      <c r="O409" s="18" t="str">
        <f>HYPERLINK("https://docs.google.com/spreadsheets/d/1OxiwvGa9aGp2MLJxFSkSbFhfswI69V3v?usp=share_link", "RE-5.44735")</f>
        <v>RE-5.44735</v>
      </c>
      <c r="P409" s="18">
        <f>HYPERLINK("https://docs.google.com/spreadsheets/d/1t92dxW5LU24k6W-LDo0rt6MLwzSwoDdf?usp=share_link", 201.627)</f>
        <v>201.627</v>
      </c>
      <c r="Q409" s="18" t="str">
        <f>HYPERLINK("https://docs.google.com/spreadsheets/d/10UiqFOXY8JMS45KZyP3aPYWLL7pxfgCS?usp=share_link", "RE-9.89865")</f>
        <v>RE-9.89865</v>
      </c>
      <c r="R409" s="18">
        <f>HYPERLINK("https://docs.google.com/spreadsheets/d/1dlaf4scC80OfmOFlXkQ2VXOkEd-Js2HH?usp=share_link", 33.0393)</f>
        <v>33.0393</v>
      </c>
      <c r="S409" s="18" t="str">
        <f>HYPERLINK("https://docs.google.com/spreadsheets/d/1rl5lN2rcEb6cb6SptzzMCQzUT40vRMss?usp=share_link", "RE-0.639383")</f>
        <v>RE-0.639383</v>
      </c>
      <c r="T409" s="18">
        <f>HYPERLINK("https://docs.google.com/spreadsheets/d/18AOzWiJBeXifmyt7n-LWcl3mOlwBSet_?usp=share_link", 810.794)</f>
        <v>810.794</v>
      </c>
      <c r="U409" s="18" t="str">
        <f>HYPERLINK("https://docs.google.com/spreadsheets/d/1vOSrFIxmIngvbfOaqg5P3_Rmw6eyMywF?usp=share_link", "RE-16.1504")</f>
        <v>RE-16.1504</v>
      </c>
      <c r="V409" s="18" t="str">
        <f>HYPERLINK("https://docs.google.com/spreadsheets/d/1Kzh4CfdW-ceRNuBS2zJwBfLeMDP-0Z9M?usp=share_link", "RE-2.10168")</f>
        <v>RE-2.10168</v>
      </c>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c r="EJ409" s="17"/>
      <c r="EK409" s="17"/>
      <c r="EL409" s="17"/>
      <c r="EM409" s="17"/>
      <c r="EN409" s="17"/>
      <c r="EO409" s="17"/>
      <c r="EP409" s="17"/>
      <c r="EQ409" s="17"/>
      <c r="ER409" s="17"/>
      <c r="ES409" s="17"/>
      <c r="ET409" s="17"/>
      <c r="EU409" s="17"/>
      <c r="EV409" s="17"/>
      <c r="EW409" s="17"/>
      <c r="EX409" s="17"/>
      <c r="EY409" s="17"/>
      <c r="EZ409" s="17"/>
      <c r="FA409" s="17"/>
      <c r="FB409" s="17"/>
      <c r="FC409" s="17"/>
      <c r="FD409" s="17"/>
      <c r="FE409" s="17"/>
      <c r="FF409" s="17"/>
      <c r="FG409" s="17"/>
      <c r="FH409" s="17"/>
    </row>
    <row r="410">
      <c r="A410" s="27" t="s">
        <v>35</v>
      </c>
      <c r="B410" s="27" t="s">
        <v>74</v>
      </c>
      <c r="C410" s="27" t="s">
        <v>15</v>
      </c>
      <c r="D410" s="28">
        <f t="shared" si="1"/>
        <v>2278.1713</v>
      </c>
      <c r="E410" s="33"/>
      <c r="F410" s="34" t="str">
        <f>HYPERLINK("https://docs.google.com/spreadsheets/d/1URlqnBwfMdTaTfrKsJppuH4LvATUiWIH?usp=share_link", "RE-775.651")</f>
        <v>RE-775.651</v>
      </c>
      <c r="G410" s="34" t="str">
        <f>HYPERLINK("https://docs.google.com/spreadsheets/d/1M_zvi_DzWZILPC87dHbMi4XCILLQ6NMC?usp=share_link", "RE-5.2251")</f>
        <v>RE-5.2251</v>
      </c>
      <c r="H410" s="34" t="str">
        <f>HYPERLINK("https://docs.google.com/spreadsheets/d/15nFd08QBQxGKlmq4yBhby5vGuATEQghE?usp=share_link", "RE-130.198")</f>
        <v>RE-130.198</v>
      </c>
      <c r="I410" s="33"/>
      <c r="J410" s="34" t="str">
        <f>HYPERLINK("https://docs.google.com/spreadsheets/d/18rPylkU8BbADDjstvTgaJUHYI5BEJ13g?usp=share_link", "RE-1025.57")</f>
        <v>RE-1025.57</v>
      </c>
      <c r="K410" s="34" t="str">
        <f>HYPERLINK("https://docs.google.com/spreadsheets/d/1gJohwESuTmuSyBz9ukVt_ednCyW4Svr6?usp=share_link", "RE-13.3948")</f>
        <v>RE-13.3948</v>
      </c>
      <c r="L410" s="34">
        <f>HYPERLINK("https://docs.google.com/spreadsheets/d/1pEFtylBQ9lIciWtPVcBiwGYjTxThmudo?usp=share_link", 1060.25)</f>
        <v>1060.25</v>
      </c>
      <c r="M410" s="34" t="str">
        <f>HYPERLINK("https://docs.google.com/spreadsheets/d/1lZCfHN4chwbAwOez2xdcHu9QZhTrfm3m?usp=share_link", "RE-11.2783")</f>
        <v>RE-11.2783</v>
      </c>
      <c r="N410" s="34" t="str">
        <f>HYPERLINK("https://docs.google.com/spreadsheets/d/1REUb3sXf9CIrCcjRIvSP4HkOw9bpHkhd?usp=share_link", "RE-240.306")</f>
        <v>RE-240.306</v>
      </c>
      <c r="O410" s="34" t="str">
        <f>HYPERLINK("https://docs.google.com/spreadsheets/d/1fLqDWt3Mk345pNTaeE8LK0ojRKoOqhR5?usp=share_link", "RE-6.1198")</f>
        <v>RE-6.1198</v>
      </c>
      <c r="P410" s="34">
        <f>HYPERLINK("https://docs.google.com/spreadsheets/d/1ZP7yP9sVL6ggSwvwxwsXchtPzziYjWUE?usp=share_link", 231.857)</f>
        <v>231.857</v>
      </c>
      <c r="Q410" s="34" t="str">
        <f>HYPERLINK("https://docs.google.com/spreadsheets/d/1lOzVLPI5yTTOOOUl9jPiFRT7UII7I1Zp?usp=share_link", "RE-10.8255")</f>
        <v>RE-10.8255</v>
      </c>
      <c r="R410" s="34">
        <f>HYPERLINK("https://docs.google.com/spreadsheets/d/1DaSJ2AUPQx8D4HFPMOIFTL_DQEZF1mGq?usp=share_link", 42.3673)</f>
        <v>42.3673</v>
      </c>
      <c r="S410" s="34" t="str">
        <f>HYPERLINK("https://docs.google.com/spreadsheets/d/1skSJ-x87Dls-tzT7zuDyimlhaZRQyy92?usp=share_link", "RE-0.639383")</f>
        <v>RE-0.639383</v>
      </c>
      <c r="T410" s="34">
        <f>HYPERLINK("https://docs.google.com/spreadsheets/d/1y7macKB_AuzCfLsNtU6Bxha-RAID97Gx?usp=share_link", 943.697)</f>
        <v>943.697</v>
      </c>
      <c r="U410" s="34" t="str">
        <f>HYPERLINK("https://docs.google.com/spreadsheets/d/1fmvI5xD8OXVWVz4z-1YntrRnAI56ep9O?usp=share_link", "RE-19.2013")</f>
        <v>RE-19.2013</v>
      </c>
      <c r="V410" s="34" t="str">
        <f>HYPERLINK("https://docs.google.com/spreadsheets/d/1A-eq8T7FcZFNgRkuqZK8fLRUE1-WGJOF?usp=share_link", "RE-2.10168")</f>
        <v>RE-2.10168</v>
      </c>
      <c r="W410" s="33"/>
      <c r="X410" s="33"/>
      <c r="Y410" s="33"/>
      <c r="Z410" s="33"/>
      <c r="AA410" s="33"/>
      <c r="AB410" s="3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c r="BA410" s="33"/>
      <c r="BB410" s="33"/>
      <c r="BC410" s="33"/>
      <c r="BD410" s="33"/>
      <c r="BE410" s="33"/>
      <c r="BF410" s="33"/>
      <c r="BG410" s="33"/>
      <c r="BH410" s="33"/>
      <c r="BI410" s="33"/>
      <c r="BJ410" s="33"/>
      <c r="BK410" s="33"/>
      <c r="BL410" s="33"/>
      <c r="BM410" s="33"/>
      <c r="BN410" s="33"/>
      <c r="BO410" s="33"/>
      <c r="BP410" s="33"/>
      <c r="BQ410" s="33"/>
      <c r="BR410" s="33"/>
      <c r="BS410" s="33"/>
      <c r="BT410" s="33"/>
      <c r="BU410" s="33"/>
      <c r="BV410" s="33"/>
      <c r="BW410" s="33"/>
      <c r="BX410" s="33"/>
      <c r="BY410" s="33"/>
      <c r="BZ410" s="33"/>
      <c r="CA410" s="33"/>
      <c r="CB410" s="33"/>
      <c r="CC410" s="33"/>
      <c r="CD410" s="33"/>
      <c r="CE410" s="33"/>
      <c r="CF410" s="33"/>
      <c r="CG410" s="33"/>
      <c r="CH410" s="33"/>
      <c r="CI410" s="33"/>
      <c r="CJ410" s="33"/>
      <c r="CK410" s="33"/>
      <c r="CL410" s="33"/>
      <c r="CM410" s="33"/>
      <c r="CN410" s="33"/>
      <c r="CO410" s="33"/>
      <c r="CP410" s="33"/>
      <c r="CQ410" s="33"/>
      <c r="CR410" s="33"/>
      <c r="CS410" s="33"/>
      <c r="CT410" s="33"/>
      <c r="CU410" s="33"/>
      <c r="CV410" s="33"/>
      <c r="CW410" s="33"/>
      <c r="CX410" s="33"/>
      <c r="CY410" s="33"/>
      <c r="CZ410" s="33"/>
      <c r="DA410" s="33"/>
      <c r="DB410" s="33"/>
      <c r="DC410" s="33"/>
      <c r="DD410" s="33"/>
      <c r="DE410" s="33"/>
      <c r="DF410" s="33"/>
      <c r="DG410" s="33"/>
      <c r="DH410" s="33"/>
      <c r="DI410" s="33"/>
      <c r="DJ410" s="33"/>
      <c r="DK410" s="33"/>
      <c r="DL410" s="33"/>
      <c r="DM410" s="33"/>
      <c r="DN410" s="33"/>
      <c r="DO410" s="33"/>
      <c r="DP410" s="33"/>
      <c r="DQ410" s="33"/>
      <c r="DR410" s="33"/>
      <c r="DS410" s="33"/>
      <c r="DT410" s="33"/>
      <c r="DU410" s="33"/>
      <c r="DV410" s="33"/>
      <c r="DW410" s="33"/>
      <c r="DX410" s="33"/>
      <c r="DY410" s="33"/>
      <c r="DZ410" s="33"/>
      <c r="EA410" s="33"/>
      <c r="EB410" s="33"/>
      <c r="EC410" s="33"/>
      <c r="ED410" s="33"/>
      <c r="EE410" s="33"/>
      <c r="EF410" s="33"/>
      <c r="EG410" s="33"/>
      <c r="EH410" s="33"/>
      <c r="EI410" s="33"/>
      <c r="EJ410" s="33"/>
      <c r="EK410" s="33"/>
      <c r="EL410" s="33"/>
      <c r="EM410" s="33"/>
      <c r="EN410" s="33"/>
      <c r="EO410" s="33"/>
      <c r="EP410" s="33"/>
      <c r="EQ410" s="33"/>
      <c r="ER410" s="33"/>
      <c r="ES410" s="33"/>
      <c r="ET410" s="33"/>
      <c r="EU410" s="33"/>
      <c r="EV410" s="33"/>
      <c r="EW410" s="33"/>
      <c r="EX410" s="33"/>
      <c r="EY410" s="33"/>
      <c r="EZ410" s="33"/>
      <c r="FA410" s="33"/>
      <c r="FB410" s="33"/>
      <c r="FC410" s="33"/>
      <c r="FD410" s="33"/>
      <c r="FE410" s="33"/>
      <c r="FF410" s="33"/>
      <c r="FG410" s="33"/>
      <c r="FH410" s="33"/>
    </row>
    <row r="411">
      <c r="A411" s="30" t="s">
        <v>35</v>
      </c>
      <c r="B411" s="30" t="s">
        <v>75</v>
      </c>
      <c r="C411" s="31" t="str">
        <f>HYPERLINK("https://docs.google.com/spreadsheets/d/14bTvkw4_UMz8psXZHR7I4WWskMHdLotQ/edit?usp=share_link&amp;ouid=106501987799020758802&amp;rtpof=true&amp;sd=true", "Raw Delivered")</f>
        <v>Raw Delivered</v>
      </c>
      <c r="D411" s="12">
        <f t="shared" si="1"/>
        <v>5702.479612</v>
      </c>
      <c r="E411" s="13"/>
      <c r="F411" s="14">
        <f>HYPERLINK("https://docs.google.com/spreadsheets/d/1HrSEY-7JXZi9j_uRkO2G_i1N3xXwhEPE", 725.361392708332)</f>
        <v>725.3613927</v>
      </c>
      <c r="G411" s="13"/>
      <c r="H411" s="14">
        <f>HYPERLINK("https://docs.google.com/spreadsheets/d/1db-8tweLGktHy2pHT7GwjrKFKSz-VGfC", 194.787870833333)</f>
        <v>194.7878708</v>
      </c>
      <c r="I411" s="13"/>
      <c r="J411" s="14">
        <f>HYPERLINK("https://docs.google.com/spreadsheets/d/1AmyzNBGL9MEGa9Kr1urwgI3HSRHu41VD", 1587.81861458333)</f>
        <v>1587.818615</v>
      </c>
      <c r="K411" s="13"/>
      <c r="L411" s="14">
        <f t="shared" ref="L411:L412" si="206">HYPERLINK("https://docs.google.com/spreadsheets/d/1iC5c7EBSR_UbhODBuF5EGfWrJ3YGAlST", 1084.698209375)</f>
        <v>1084.698209</v>
      </c>
      <c r="M411" s="13"/>
      <c r="N411" s="14">
        <f>HYPERLINK("https://docs.google.com/spreadsheets/d/1kYpJJBbdAKPwYibMO7mfxiF5qiuBnh1N", 577.705088541665)</f>
        <v>577.7050885</v>
      </c>
      <c r="O411" s="13"/>
      <c r="P411" s="14">
        <f t="shared" ref="P411:P412" si="207">HYPERLINK("https://docs.google.com/spreadsheets/d/1s2tI28Hpvd9lCcWf084LsyDgSbe7w7k0", 287.5985375)</f>
        <v>287.5985375</v>
      </c>
      <c r="Q411" s="13"/>
      <c r="R411" s="14">
        <f t="shared" ref="R411:R412" si="208">HYPERLINK("https://docs.google.com/spreadsheets/d/1UOUGGCwR4a59L0CNT6-wsHRN_2-8_92w", 84.6889572916667)</f>
        <v>84.68895729</v>
      </c>
      <c r="S411" s="13"/>
      <c r="T411" s="14">
        <f t="shared" ref="T411:T412" si="209">HYPERLINK("https://docs.google.com/spreadsheets/d/1kyuKZirjiapVXuaDl78mlMmT-quw9FuS", 1159.82094166666)</f>
        <v>1159.820942</v>
      </c>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c r="FH411" s="13"/>
    </row>
    <row r="412">
      <c r="A412" s="32" t="s">
        <v>35</v>
      </c>
      <c r="B412" s="32" t="s">
        <v>75</v>
      </c>
      <c r="C412" s="32" t="s">
        <v>9</v>
      </c>
      <c r="D412" s="16">
        <f t="shared" si="1"/>
        <v>2616.806646</v>
      </c>
      <c r="E412" s="17"/>
      <c r="F412" s="18" t="str">
        <f>HYPERLINK("https://docs.google.com/spreadsheets/d/1HrSEY-7JXZi9j_uRkO2G_i1N3xXwhEPE", "RE-725.3613927083322")</f>
        <v>RE-725.3613927083322</v>
      </c>
      <c r="G412" s="17"/>
      <c r="H412" s="18" t="str">
        <f>HYPERLINK("https://docs.google.com/spreadsheets/d/1db-8tweLGktHy2pHT7GwjrKFKSz-VGfC", "RE-194.78787083333356")</f>
        <v>RE-194.78787083333356</v>
      </c>
      <c r="I412" s="17"/>
      <c r="J412" s="18" t="str">
        <f>HYPERLINK("https://docs.google.com/spreadsheets/d/1AmyzNBGL9MEGa9Kr1urwgI3HSRHu41VD", "RE-1587.8186145833358")</f>
        <v>RE-1587.8186145833358</v>
      </c>
      <c r="K412" s="17"/>
      <c r="L412" s="18">
        <f t="shared" si="206"/>
        <v>1084.698209</v>
      </c>
      <c r="M412" s="17"/>
      <c r="N412" s="18" t="str">
        <f>HYPERLINK("https://docs.google.com/spreadsheets/d/1kYpJJBbdAKPwYibMO7mfxiF5qiuBnh1N", "RE-577.7050885416655")</f>
        <v>RE-577.7050885416655</v>
      </c>
      <c r="O412" s="17"/>
      <c r="P412" s="18">
        <f t="shared" si="207"/>
        <v>287.5985375</v>
      </c>
      <c r="Q412" s="17"/>
      <c r="R412" s="18">
        <f t="shared" si="208"/>
        <v>84.68895729</v>
      </c>
      <c r="S412" s="17"/>
      <c r="T412" s="18">
        <f t="shared" si="209"/>
        <v>1159.820942</v>
      </c>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7"/>
      <c r="DT412" s="17"/>
      <c r="DU412" s="17"/>
      <c r="DV412" s="17"/>
      <c r="DW412" s="17"/>
      <c r="DX412" s="17"/>
      <c r="DY412" s="17"/>
      <c r="DZ412" s="17"/>
      <c r="EA412" s="17"/>
      <c r="EB412" s="17"/>
      <c r="EC412" s="17"/>
      <c r="ED412" s="17"/>
      <c r="EE412" s="17"/>
      <c r="EF412" s="17"/>
      <c r="EG412" s="17"/>
      <c r="EH412" s="17"/>
      <c r="EI412" s="17"/>
      <c r="EJ412" s="17"/>
      <c r="EK412" s="17"/>
      <c r="EL412" s="17"/>
      <c r="EM412" s="17"/>
      <c r="EN412" s="17"/>
      <c r="EO412" s="17"/>
      <c r="EP412" s="17"/>
      <c r="EQ412" s="17"/>
      <c r="ER412" s="17"/>
      <c r="ES412" s="17"/>
      <c r="ET412" s="17"/>
      <c r="EU412" s="17"/>
      <c r="EV412" s="17"/>
      <c r="EW412" s="17"/>
      <c r="EX412" s="17"/>
      <c r="EY412" s="17"/>
      <c r="EZ412" s="17"/>
      <c r="FA412" s="17"/>
      <c r="FB412" s="17"/>
      <c r="FC412" s="17"/>
      <c r="FD412" s="17"/>
      <c r="FE412" s="17"/>
      <c r="FF412" s="17"/>
      <c r="FG412" s="17"/>
      <c r="FH412" s="17"/>
    </row>
    <row r="413">
      <c r="A413" s="32" t="s">
        <v>35</v>
      </c>
      <c r="B413" s="32" t="s">
        <v>75</v>
      </c>
      <c r="C413" s="32" t="s">
        <v>10</v>
      </c>
      <c r="D413" s="16">
        <f t="shared" si="1"/>
        <v>488.9524375</v>
      </c>
      <c r="E413" s="17"/>
      <c r="F413" s="17"/>
      <c r="G413" s="18">
        <f>HYPERLINK("https://docs.google.com/spreadsheets/d/1aOdQJeFl-2agpTDPauOlLV7sGEkIyZYc", 87.68066875)</f>
        <v>87.68066875</v>
      </c>
      <c r="H413" s="17"/>
      <c r="I413" s="18">
        <f>HYPERLINK("https://docs.google.com/spreadsheets/d/1tGN3-aYIGrozRtwUXX7kp6EcKtituZ4y", 8.05677708333333)</f>
        <v>8.056777083</v>
      </c>
      <c r="J413" s="17"/>
      <c r="K413" s="18">
        <f>HYPERLINK("https://docs.google.com/spreadsheets/d/17eR07j5J7j9HH0qyVe0c9dnG_43iD6jt", 103.672959374999)</f>
        <v>103.6729594</v>
      </c>
      <c r="L413" s="17"/>
      <c r="M413" s="18">
        <f>HYPERLINK("https://docs.google.com/spreadsheets/d/1VdnBK1tRCCjsclDvz_85xFgOoyPrER82", 71.3299291666666)</f>
        <v>71.32992917</v>
      </c>
      <c r="N413" s="17"/>
      <c r="O413" s="18">
        <f>HYPERLINK("https://docs.google.com/spreadsheets/d/1FujIN3SF-AurbadN_yB786G5X8RRLfWB", 39.5754104166666)</f>
        <v>39.57541042</v>
      </c>
      <c r="P413" s="17"/>
      <c r="Q413" s="18">
        <f>HYPERLINK("https://docs.google.com/spreadsheets/d/16e1U021dom5RzIXl0qkFUdk8AC2PEEZt", 77.0148781249999)</f>
        <v>77.01487812</v>
      </c>
      <c r="R413" s="17"/>
      <c r="S413" s="18">
        <f>HYPERLINK("https://docs.google.com/spreadsheets/d/1o3QwrsAE8SUlxhwK7heFJ4ut1FhtzfTB", 8.134565625)</f>
        <v>8.134565625</v>
      </c>
      <c r="T413" s="17"/>
      <c r="U413" s="18">
        <f>HYPERLINK("https://docs.google.com/spreadsheets/d/15A3NcIjXIgSkVtUVretcC73kdvJ9P2XR", 82.241865625)</f>
        <v>82.24186563</v>
      </c>
      <c r="V413" s="18">
        <f>HYPERLINK("https://docs.google.com/spreadsheets/d/1WpB4O_VqNNkb1sgVfmtkkOcDxhHVI7tM", 11.2453833333333)</f>
        <v>11.24538333</v>
      </c>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7"/>
      <c r="DT413" s="17"/>
      <c r="DU413" s="17"/>
      <c r="DV413" s="17"/>
      <c r="DW413" s="17"/>
      <c r="DX413" s="17"/>
      <c r="DY413" s="17"/>
      <c r="DZ413" s="17"/>
      <c r="EA413" s="17"/>
      <c r="EB413" s="17"/>
      <c r="EC413" s="17"/>
      <c r="ED413" s="17"/>
      <c r="EE413" s="17"/>
      <c r="EF413" s="17"/>
      <c r="EG413" s="17"/>
      <c r="EH413" s="17"/>
      <c r="EI413" s="17"/>
      <c r="EJ413" s="17"/>
      <c r="EK413" s="17"/>
      <c r="EL413" s="17"/>
      <c r="EM413" s="17"/>
      <c r="EN413" s="17"/>
      <c r="EO413" s="17"/>
      <c r="EP413" s="17"/>
      <c r="EQ413" s="17"/>
      <c r="ER413" s="17"/>
      <c r="ES413" s="17"/>
      <c r="ET413" s="17"/>
      <c r="EU413" s="17"/>
      <c r="EV413" s="17"/>
      <c r="EW413" s="17"/>
      <c r="EX413" s="17"/>
      <c r="EY413" s="17"/>
      <c r="EZ413" s="17"/>
      <c r="FA413" s="17"/>
      <c r="FB413" s="17"/>
      <c r="FC413" s="17"/>
      <c r="FD413" s="17"/>
      <c r="FE413" s="17"/>
      <c r="FF413" s="17"/>
      <c r="FG413" s="17"/>
      <c r="FH413" s="17"/>
    </row>
    <row r="414">
      <c r="A414" s="32" t="s">
        <v>35</v>
      </c>
      <c r="B414" s="32" t="s">
        <v>75</v>
      </c>
      <c r="C414" s="32" t="s">
        <v>11</v>
      </c>
      <c r="D414" s="16">
        <f t="shared" si="1"/>
        <v>0</v>
      </c>
      <c r="E414" s="17"/>
      <c r="F414" s="17"/>
      <c r="G414" s="18" t="str">
        <f>HYPERLINK("https://docs.google.com/spreadsheets/d/1aOdQJeFl-2agpTDPauOlLV7sGEkIyZYc", "RE-87.68066875000008")</f>
        <v>RE-87.68066875000008</v>
      </c>
      <c r="H414" s="17"/>
      <c r="I414" s="18" t="str">
        <f>HYPERLINK("https://docs.google.com/spreadsheets/d/1tGN3-aYIGrozRtwUXX7kp6EcKtituZ4y", "RE-8.056777083333332")</f>
        <v>RE-8.056777083333332</v>
      </c>
      <c r="J414" s="17"/>
      <c r="K414" s="18" t="str">
        <f>HYPERLINK("https://docs.google.com/spreadsheets/d/17eR07j5J7j9HH0qyVe0c9dnG_43iD6jt", "RE-103.67295937499998")</f>
        <v>RE-103.67295937499998</v>
      </c>
      <c r="L414" s="17"/>
      <c r="M414" s="18" t="str">
        <f>HYPERLINK("https://docs.google.com/spreadsheets/d/1VdnBK1tRCCjsclDvz_85xFgOoyPrER82", "RE-71.32992916666666")</f>
        <v>RE-71.32992916666666</v>
      </c>
      <c r="N414" s="17"/>
      <c r="O414" s="18" t="str">
        <f>HYPERLINK("https://docs.google.com/spreadsheets/d/1FujIN3SF-AurbadN_yB786G5X8RRLfWB", "RE-39.57541041666668")</f>
        <v>RE-39.57541041666668</v>
      </c>
      <c r="P414" s="17"/>
      <c r="Q414" s="18" t="str">
        <f>HYPERLINK("https://docs.google.com/spreadsheets/d/16e1U021dom5RzIXl0qkFUdk8AC2PEEZt", "RE-77.01487812499998")</f>
        <v>RE-77.01487812499998</v>
      </c>
      <c r="R414" s="17"/>
      <c r="S414" s="18" t="str">
        <f>HYPERLINK("https://docs.google.com/spreadsheets/d/1o3QwrsAE8SUlxhwK7heFJ4ut1FhtzfTB", "RE-8.134565625")</f>
        <v>RE-8.134565625</v>
      </c>
      <c r="T414" s="17"/>
      <c r="U414" s="18" t="str">
        <f>HYPERLINK("https://docs.google.com/spreadsheets/d/15A3NcIjXIgSkVtUVretcC73kdvJ9P2XR", "RE-82.24186562500002")</f>
        <v>RE-82.24186562500002</v>
      </c>
      <c r="V414" s="18" t="str">
        <f>HYPERLINK("https://docs.google.com/spreadsheets/d/1WpB4O_VqNNkb1sgVfmtkkOcDxhHVI7tM", "RE-11.245383333333333")</f>
        <v>RE-11.245383333333333</v>
      </c>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c r="EJ414" s="17"/>
      <c r="EK414" s="17"/>
      <c r="EL414" s="17"/>
      <c r="EM414" s="17"/>
      <c r="EN414" s="17"/>
      <c r="EO414" s="17"/>
      <c r="EP414" s="17"/>
      <c r="EQ414" s="17"/>
      <c r="ER414" s="17"/>
      <c r="ES414" s="17"/>
      <c r="ET414" s="17"/>
      <c r="EU414" s="17"/>
      <c r="EV414" s="17"/>
      <c r="EW414" s="17"/>
      <c r="EX414" s="17"/>
      <c r="EY414" s="17"/>
      <c r="EZ414" s="17"/>
      <c r="FA414" s="17"/>
      <c r="FB414" s="17"/>
      <c r="FC414" s="17"/>
      <c r="FD414" s="17"/>
      <c r="FE414" s="17"/>
      <c r="FF414" s="17"/>
      <c r="FG414" s="17"/>
      <c r="FH414" s="17"/>
    </row>
    <row r="415">
      <c r="A415" s="32" t="s">
        <v>35</v>
      </c>
      <c r="B415" s="32" t="s">
        <v>75</v>
      </c>
      <c r="C415" s="32" t="s">
        <v>12</v>
      </c>
      <c r="D415" s="16">
        <f t="shared" si="1"/>
        <v>2406.969575</v>
      </c>
      <c r="E415" s="17"/>
      <c r="F415" s="18" t="str">
        <f>HYPERLINK("https://docs.google.com/spreadsheets/d/1FVcSTta32T3A0iWoMC9h9Plv46a5uvLi", "RE-551.5608906250002")</f>
        <v>RE-551.5608906250002</v>
      </c>
      <c r="G415" s="18" t="str">
        <f>HYPERLINK("https://docs.google.com/spreadsheets/d/1ZYDAjkwu9LZWCKMLNQ0FS9xH7Ubxx7Bs", "RE-1.4093083333333332")</f>
        <v>RE-1.4093083333333332</v>
      </c>
      <c r="H415" s="18" t="str">
        <f>HYPERLINK("https://docs.google.com/spreadsheets/d/1Lhd8u1sKy0w_ZJ4rBJQsNrB1ELR-n4Z2", "RE-161.91671666666673")</f>
        <v>RE-161.91671666666673</v>
      </c>
      <c r="I415" s="18" t="str">
        <f>HYPERLINK("https://docs.google.com/spreadsheets/d/1Khvlm5MhBdQBo0yY1iubkRbhALDXIqRQ", "RE-0.30761041666666666")</f>
        <v>RE-0.30761041666666666</v>
      </c>
      <c r="J415" s="18" t="str">
        <f>HYPERLINK("https://docs.google.com/spreadsheets/d/1VKmkv4-AX2Th382symkPEYCAREPvGpi5", "RE-1297.5374406250016")</f>
        <v>RE-1297.5374406250016</v>
      </c>
      <c r="K415" s="18" t="str">
        <f>HYPERLINK("https://docs.google.com/spreadsheets/d/1UQki_fKq_bOYPZand40Gf-fTQkP6Ov0B", "RE-5.976643750000002")</f>
        <v>RE-5.976643750000002</v>
      </c>
      <c r="L415" s="18">
        <f>HYPERLINK("https://docs.google.com/spreadsheets/d/1HZDBhXve2tP8Q4OHcVXHTRIlfZt6kVeY", 968.914492708336)</f>
        <v>968.9144927</v>
      </c>
      <c r="M415" s="18" t="str">
        <f>HYPERLINK("https://docs.google.com/spreadsheets/d/16SSh3ORMpOIJC7UErmi-Sw-1MaVndXiT", "RE-14.845435416666666")</f>
        <v>RE-14.845435416666666</v>
      </c>
      <c r="N415" s="18" t="str">
        <f>HYPERLINK("https://docs.google.com/spreadsheets/d/1k8JJtjlLH3MSLnHOdOs7IiRSGPn-p0eX", "RE-331.42627604166677")</f>
        <v>RE-331.42627604166677</v>
      </c>
      <c r="O415" s="18" t="str">
        <f>HYPERLINK("https://docs.google.com/spreadsheets/d/10i5CZGHELDAPeTalAlBoDXaXwKgEPgxL", "RE-7.711607291666667")</f>
        <v>RE-7.711607291666667</v>
      </c>
      <c r="P415" s="18">
        <f>HYPERLINK("https://docs.google.com/spreadsheets/d/dummy", 255.865351041666)</f>
        <v>255.865351</v>
      </c>
      <c r="Q415" s="18" t="str">
        <f>HYPERLINK("https://docs.google.com/spreadsheets/d/1PlDxbMEOAaq1c5QLSOhk6tnZNPVOc4Cr", "RE-23.154229166666664")</f>
        <v>RE-23.154229166666664</v>
      </c>
      <c r="R415" s="18">
        <f>HYPERLINK("https://docs.google.com/spreadsheets/d/1wGiIl-O-4ArZxutYayL7Ax-kyzhMgC8h", 74.28104375)</f>
        <v>74.28104375</v>
      </c>
      <c r="S415" s="18" t="str">
        <f>HYPERLINK("https://docs.google.com/spreadsheets/d/1JQ-W1a1mA61bw7wsDModIa7k8rqzJnOP", "RE-4.6297625")</f>
        <v>RE-4.6297625</v>
      </c>
      <c r="T415" s="18">
        <f>HYPERLINK("https://docs.google.com/spreadsheets/d/19TDRors8faRiGEdsytrlTQfKgw6n5Ucq", 1107.90868749999)</f>
        <v>1107.908687</v>
      </c>
      <c r="U415" s="18" t="str">
        <f>HYPERLINK("https://docs.google.com/spreadsheets/d/1pxA1whwzcZI3KGLbNd2RyqoyOUB7wUsY", "RE-40.826885416666656")</f>
        <v>RE-40.826885416666656</v>
      </c>
      <c r="V415" s="18" t="str">
        <f>HYPERLINK("https://docs.google.com/spreadsheets/d/1rVrWBX-hE7xlA_ojVh7eVlr-cR-HbafN", "RE-3.0106604166666666")</f>
        <v>RE-3.0106604166666666</v>
      </c>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c r="DE415" s="17"/>
      <c r="DF415" s="17"/>
      <c r="DG415" s="17"/>
      <c r="DH415" s="17"/>
      <c r="DI415" s="17"/>
      <c r="DJ415" s="17"/>
      <c r="DK415" s="17"/>
      <c r="DL415" s="17"/>
      <c r="DM415" s="17"/>
      <c r="DN415" s="17"/>
      <c r="DO415" s="17"/>
      <c r="DP415" s="17"/>
      <c r="DQ415" s="17"/>
      <c r="DR415" s="17"/>
      <c r="DS415" s="17"/>
      <c r="DT415" s="17"/>
      <c r="DU415" s="17"/>
      <c r="DV415" s="17"/>
      <c r="DW415" s="17"/>
      <c r="DX415" s="17"/>
      <c r="DY415" s="17"/>
      <c r="DZ415" s="17"/>
      <c r="EA415" s="17"/>
      <c r="EB415" s="17"/>
      <c r="EC415" s="17"/>
      <c r="ED415" s="17"/>
      <c r="EE415" s="17"/>
      <c r="EF415" s="17"/>
      <c r="EG415" s="17"/>
      <c r="EH415" s="17"/>
      <c r="EI415" s="17"/>
      <c r="EJ415" s="17"/>
      <c r="EK415" s="17"/>
      <c r="EL415" s="17"/>
      <c r="EM415" s="17"/>
      <c r="EN415" s="17"/>
      <c r="EO415" s="17"/>
      <c r="EP415" s="17"/>
      <c r="EQ415" s="17"/>
      <c r="ER415" s="17"/>
      <c r="ES415" s="17"/>
      <c r="ET415" s="17"/>
      <c r="EU415" s="17"/>
      <c r="EV415" s="17"/>
      <c r="EW415" s="17"/>
      <c r="EX415" s="17"/>
      <c r="EY415" s="17"/>
      <c r="EZ415" s="17"/>
      <c r="FA415" s="17"/>
      <c r="FB415" s="17"/>
      <c r="FC415" s="17"/>
      <c r="FD415" s="17"/>
      <c r="FE415" s="17"/>
      <c r="FF415" s="17"/>
      <c r="FG415" s="17"/>
      <c r="FH415" s="17"/>
    </row>
    <row r="416">
      <c r="A416" s="32" t="s">
        <v>35</v>
      </c>
      <c r="B416" s="32" t="s">
        <v>75</v>
      </c>
      <c r="C416" s="32" t="s">
        <v>13</v>
      </c>
      <c r="D416" s="16">
        <f t="shared" si="1"/>
        <v>2329.9687</v>
      </c>
      <c r="E416" s="17"/>
      <c r="F416" s="18" t="str">
        <f>HYPERLINK("https://docs.google.com/spreadsheets/d/1fOUmaiWc3OIF6W-KL0ybHjUc0-9Rsm9x?usp=share_link", "RE-542.556")</f>
        <v>RE-542.556</v>
      </c>
      <c r="G416" s="18" t="str">
        <f>HYPERLINK("https://docs.google.com/spreadsheets/d/1BX9dLs0MyrDQSJOXINUOQIOaRZY7c2lm?usp=share_link", "RE-1.34988")</f>
        <v>RE-1.34988</v>
      </c>
      <c r="H416" s="18" t="str">
        <f>HYPERLINK("https://docs.google.com/spreadsheets/d/1u_NIMOUaKpNpL2R9o0YTx9-4xWHrS75K?usp=share_link", "RE-159.684")</f>
        <v>RE-159.684</v>
      </c>
      <c r="I416" s="18" t="str">
        <f>HYPERLINK("https://docs.google.com/spreadsheets/d/1Gy09kv2Hin2x07-HsWI1EnqqlZYkhqEd?usp=share_link", "RE-0.287733")</f>
        <v>RE-0.287733</v>
      </c>
      <c r="J416" s="18" t="str">
        <f>HYPERLINK("https://docs.google.com/spreadsheets/d/1twqioHG4nmhzPhvvUcbqOW6tssq5aB3o?usp=share_link", "RE-1269.96")</f>
        <v>RE-1269.96</v>
      </c>
      <c r="K416" s="18" t="str">
        <f>HYPERLINK("https://docs.google.com/spreadsheets/d/1huSnWbkoYPiynpTTZwGULQ1DIRJDfxJQ?usp=share_link", "RE-5.80113")</f>
        <v>RE-5.80113</v>
      </c>
      <c r="L416" s="18">
        <f>HYPERLINK("https://docs.google.com/spreadsheets/d/1FIKFO4dQ_oG47PRR2o6AwMHHTmTLrLMk?usp=share_link", 941.527)</f>
        <v>941.527</v>
      </c>
      <c r="M416" s="18" t="str">
        <f>HYPERLINK("https://docs.google.com/spreadsheets/d/1xtZlzooEYweXLDFFeotBPbX0c9mPXqpu?usp=share_link", "RE-14.3849")</f>
        <v>RE-14.3849</v>
      </c>
      <c r="N416" s="18" t="str">
        <f>HYPERLINK("https://docs.google.com/spreadsheets/d/1i7EaeYBPV2a9nVWOmShtRvatpG9JALaa?usp=share_link", "RE-319.762")</f>
        <v>RE-319.762</v>
      </c>
      <c r="O416" s="18" t="str">
        <f>HYPERLINK("https://docs.google.com/spreadsheets/d/1mCNnPhKu-EfKcCPSQ7H_51Eq5fFJOYW5?usp=share_link", "RE-7.50907")</f>
        <v>RE-7.50907</v>
      </c>
      <c r="P416" s="18">
        <f>HYPERLINK("https://docs.google.com/spreadsheets/d/1lxLmMjavyFjpDhNTjXEIyKYIpfpowgzC?usp=share_link", 245.794)</f>
        <v>245.794</v>
      </c>
      <c r="Q416" s="18" t="str">
        <f>HYPERLINK("https://docs.google.com/spreadsheets/d/1MZYkS7KXD7Mi4teXO-3jLWMCuKtOsT00?usp=share_link", "RE-21.6597")</f>
        <v>RE-21.6597</v>
      </c>
      <c r="R416" s="18">
        <f>HYPERLINK("https://docs.google.com/spreadsheets/d/1Jh5LmSJnPQIRPepbswE3k2yUXGNWpMZg?usp=share_link", 70.8977)</f>
        <v>70.8977</v>
      </c>
      <c r="S416" s="18" t="str">
        <f>HYPERLINK("https://docs.google.com/spreadsheets/d/1D-09p6trYYYKxdYspUx5dYElEh87sekN?usp=share_link", "RE-4.47203")</f>
        <v>RE-4.47203</v>
      </c>
      <c r="T416" s="18">
        <f>HYPERLINK("https://docs.google.com/spreadsheets/d/1lxnOCV1PiXYil5DSAu6-a_EB-YHY9XTj?usp=share_link", 1071.75)</f>
        <v>1071.75</v>
      </c>
      <c r="U416" s="18" t="str">
        <f>HYPERLINK("https://docs.google.com/spreadsheets/d/1Az-yQO-5RO6LT1OrJAnouF_xGv2pBPK1?usp=share_link", "RE-38.5997")</f>
        <v>RE-38.5997</v>
      </c>
      <c r="V416" s="18" t="str">
        <f>HYPERLINK("https://docs.google.com/spreadsheets/d/1m4gVwRUMNZP766laUXsvVrPz20qK7rXS?usp=share_link", "RE-2.90355")</f>
        <v>RE-2.90355</v>
      </c>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c r="EJ416" s="17"/>
      <c r="EK416" s="17"/>
      <c r="EL416" s="17"/>
      <c r="EM416" s="17"/>
      <c r="EN416" s="17"/>
      <c r="EO416" s="17"/>
      <c r="EP416" s="17"/>
      <c r="EQ416" s="17"/>
      <c r="ER416" s="17"/>
      <c r="ES416" s="17"/>
      <c r="ET416" s="17"/>
      <c r="EU416" s="17"/>
      <c r="EV416" s="17"/>
      <c r="EW416" s="17"/>
      <c r="EX416" s="17"/>
      <c r="EY416" s="17"/>
      <c r="EZ416" s="17"/>
      <c r="FA416" s="17"/>
      <c r="FB416" s="17"/>
      <c r="FC416" s="17"/>
      <c r="FD416" s="17"/>
      <c r="FE416" s="17"/>
      <c r="FF416" s="17"/>
      <c r="FG416" s="17"/>
      <c r="FH416" s="17"/>
    </row>
    <row r="417">
      <c r="A417" s="32" t="s">
        <v>35</v>
      </c>
      <c r="B417" s="32" t="s">
        <v>75</v>
      </c>
      <c r="C417" s="32" t="s">
        <v>14</v>
      </c>
      <c r="D417" s="16">
        <f t="shared" si="1"/>
        <v>2007.1779</v>
      </c>
      <c r="E417" s="17"/>
      <c r="F417" s="18" t="str">
        <f>HYPERLINK("https://docs.google.com/spreadsheets/d/14yjMUzYL46j7ocpLHqjyGVX3HZAQTDcM?usp=share_link", "RE-491.277")</f>
        <v>RE-491.277</v>
      </c>
      <c r="G417" s="18" t="str">
        <f>HYPERLINK("https://docs.google.com/spreadsheets/d/1p-guwg5T-nQGSQIqKH5mfxOOD7OPzcyI?usp=share_link", "RE-1.34988")</f>
        <v>RE-1.34988</v>
      </c>
      <c r="H417" s="18" t="str">
        <f>HYPERLINK("https://docs.google.com/spreadsheets/d/1fBdpEcc-zRBA0trqtDBBEr5HGrwYDi3Z?usp=share_link", "RE-148.117")</f>
        <v>RE-148.117</v>
      </c>
      <c r="I417" s="18" t="str">
        <f>HYPERLINK("https://docs.google.com/spreadsheets/d/1fZW0cFj_uGAHG5bwI38dhYcgPd3upjHN?usp=share_link", "RE-0.287733")</f>
        <v>RE-0.287733</v>
      </c>
      <c r="J417" s="18" t="str">
        <f>HYPERLINK("https://docs.google.com/spreadsheets/d/1-TV9Ufw-brn0_4beOAcCzzIvO0gQ44ME?usp=share_link", "RE-1150.46")</f>
        <v>RE-1150.46</v>
      </c>
      <c r="K417" s="18" t="str">
        <f>HYPERLINK("https://docs.google.com/spreadsheets/d/1DhW_9v73zcNzN5D2Sqsdyyt3omshD511?usp=share_link", "RE-5.23823")</f>
        <v>RE-5.23823</v>
      </c>
      <c r="L417" s="18">
        <f>HYPERLINK("https://docs.google.com/spreadsheets/d/1TyCOAvPfSFVJbP7g6Gu2Ohle2tn3d1fT?usp=share_link", 828.573)</f>
        <v>828.573</v>
      </c>
      <c r="M417" s="18" t="str">
        <f>HYPERLINK("https://docs.google.com/spreadsheets/d/1Xa_UpwNBtK3nj5rL3J6P89138YH2iW4R?usp=share_link", "RE-13.3328")</f>
        <v>RE-13.3328</v>
      </c>
      <c r="N417" s="18" t="str">
        <f>HYPERLINK("https://docs.google.com/spreadsheets/d/1MVm6E10EbQkOWFk4Sq4_ml_DfinxS6ZJ?usp=share_link", "RE-265.241")</f>
        <v>RE-265.241</v>
      </c>
      <c r="O417" s="18" t="str">
        <f>HYPERLINK("https://docs.google.com/spreadsheets/d/103kE15QiMoSBr8R7QCWfExeqBKzjuI02?usp=share_link", "RE-5.97982")</f>
        <v>RE-5.97982</v>
      </c>
      <c r="P417" s="18">
        <f>HYPERLINK("https://docs.google.com/spreadsheets/d/1Uu_Xz-9b3duo_khz3UHTvE3rXMP2GCTJ?usp=share_link", 202.725)</f>
        <v>202.725</v>
      </c>
      <c r="Q417" s="18" t="str">
        <f>HYPERLINK("https://docs.google.com/spreadsheets/d/1ja05pOwlyd4QIUICFkr6CwcW-AwEmrfN?usp=share_link", "RE-18.1057")</f>
        <v>RE-18.1057</v>
      </c>
      <c r="R417" s="18">
        <f>HYPERLINK("https://docs.google.com/spreadsheets/d/16JtP2uby6k2gjctUnuVghCk2Kls2QejW?usp=share_link", 59.3499)</f>
        <v>59.3499</v>
      </c>
      <c r="S417" s="18" t="str">
        <f>HYPERLINK("https://docs.google.com/spreadsheets/d/12QL3fuLImYWJouAbYLCpTlz3w6J-L0cE?usp=share_link", "RE-3.1733")</f>
        <v>RE-3.1733</v>
      </c>
      <c r="T417" s="18">
        <f>HYPERLINK("https://docs.google.com/spreadsheets/d/1xv1Oep5r4olfkTiIg10m0jenQO-pCLWJ?usp=share_link", 916.53)</f>
        <v>916.53</v>
      </c>
      <c r="U417" s="18" t="str">
        <f>HYPERLINK("https://docs.google.com/spreadsheets/d/1qW7yfIiXSh3GrShqWu7ZsaA_E0vfqVJq?usp=share_link", "RE-33.2077")</f>
        <v>RE-33.2077</v>
      </c>
      <c r="V417" s="18" t="str">
        <f>HYPERLINK("https://docs.google.com/spreadsheets/d/1lZ8DknDbNgq28G-xbCuPSNQSLel7qEFu?usp=share_link", "RE-2.07252")</f>
        <v>RE-2.07252</v>
      </c>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c r="EJ417" s="17"/>
      <c r="EK417" s="17"/>
      <c r="EL417" s="17"/>
      <c r="EM417" s="17"/>
      <c r="EN417" s="17"/>
      <c r="EO417" s="17"/>
      <c r="EP417" s="17"/>
      <c r="EQ417" s="17"/>
      <c r="ER417" s="17"/>
      <c r="ES417" s="17"/>
      <c r="ET417" s="17"/>
      <c r="EU417" s="17"/>
      <c r="EV417" s="17"/>
      <c r="EW417" s="17"/>
      <c r="EX417" s="17"/>
      <c r="EY417" s="17"/>
      <c r="EZ417" s="17"/>
      <c r="FA417" s="17"/>
      <c r="FB417" s="17"/>
      <c r="FC417" s="17"/>
      <c r="FD417" s="17"/>
      <c r="FE417" s="17"/>
      <c r="FF417" s="17"/>
      <c r="FG417" s="17"/>
      <c r="FH417" s="17"/>
    </row>
    <row r="418">
      <c r="A418" s="27" t="s">
        <v>35</v>
      </c>
      <c r="B418" s="27" t="s">
        <v>75</v>
      </c>
      <c r="C418" s="27" t="s">
        <v>15</v>
      </c>
      <c r="D418" s="28">
        <f t="shared" si="1"/>
        <v>2329.6887</v>
      </c>
      <c r="E418" s="33"/>
      <c r="F418" s="34" t="str">
        <f>HYPERLINK("https://docs.google.com/spreadsheets/d/1wr0UumuVf_HRl9yQbeSqjZTKdkqcyp3l?usp=share_link", "RE-542.556")</f>
        <v>RE-542.556</v>
      </c>
      <c r="G418" s="34" t="str">
        <f>HYPERLINK("https://docs.google.com/spreadsheets/d/14v6lnJ8InV_zm5SM3QvalrZ349KhNdEw?usp=share_link", "RE-1.34988")</f>
        <v>RE-1.34988</v>
      </c>
      <c r="H418" s="34" t="str">
        <f>HYPERLINK("https://docs.google.com/spreadsheets/d/123vMaPqh4H_jLDkGO-KoDf8TrF9vtIsD?usp=share_link", "RE-159.684")</f>
        <v>RE-159.684</v>
      </c>
      <c r="I418" s="34" t="str">
        <f>HYPERLINK("https://docs.google.com/spreadsheets/d/1spRKoHdC3LX7rDuhWbwgyhCrrWHlTpGw?usp=share_link", "RE-0.287733")</f>
        <v>RE-0.287733</v>
      </c>
      <c r="J418" s="34" t="str">
        <f>HYPERLINK("https://docs.google.com/spreadsheets/d/1QNHlXcheFPNXV8Z82xl___Ut0HLFggjo?usp=share_link", "RE-1269.96")</f>
        <v>RE-1269.96</v>
      </c>
      <c r="K418" s="34" t="str">
        <f>HYPERLINK("https://docs.google.com/spreadsheets/d/1ZACw3pySLLZnPb4S7f9vLmmuMSUfiqdM?usp=share_link", "RE-5.80113")</f>
        <v>RE-5.80113</v>
      </c>
      <c r="L418" s="34">
        <f>HYPERLINK("https://docs.google.com/spreadsheets/d/1K-Dm7KF_-EP8b-qxV32ERbtNBFHw_AA5?usp=share_link", 941.527)</f>
        <v>941.527</v>
      </c>
      <c r="M418" s="34" t="str">
        <f>HYPERLINK("https://docs.google.com/spreadsheets/d/1xnoV0aHGkjZ3SrmfjNt_YAPlJzjDb2wX?usp=share_link", "RE-14.3849")</f>
        <v>RE-14.3849</v>
      </c>
      <c r="N418" s="34" t="str">
        <f>HYPERLINK("https://docs.google.com/spreadsheets/d/1lU2luXUWJk9iIoNsg8Oyiom8191CoZpS?usp=share_link", "RE-319.699")</f>
        <v>RE-319.699</v>
      </c>
      <c r="O418" s="34" t="str">
        <f>HYPERLINK("https://docs.google.com/spreadsheets/d/16wjY1HMhpfh2p7176kukyjB61a8MUnDw?usp=share_link", "RE-7.50907")</f>
        <v>RE-7.50907</v>
      </c>
      <c r="P418" s="34">
        <f>HYPERLINK("https://docs.google.com/spreadsheets/d/1kGIahema6Af56L0Y7s416OWTPErMb2KT?usp=share_link", 245.794)</f>
        <v>245.794</v>
      </c>
      <c r="Q418" s="34" t="str">
        <f>HYPERLINK("https://docs.google.com/spreadsheets/d/1bu13yvhV6y9aF4luFMfXfiuHLc4YRUxY?usp=share_link", "RE-21.6597")</f>
        <v>RE-21.6597</v>
      </c>
      <c r="R418" s="34">
        <f>HYPERLINK("https://docs.google.com/spreadsheets/d/1JFfpadUG9xGJ1CPy9sVBo-YXfYRaRcmh?usp=share_link", 70.8977)</f>
        <v>70.8977</v>
      </c>
      <c r="S418" s="34" t="str">
        <f>HYPERLINK("https://docs.google.com/spreadsheets/d/1n8IDa9TxJ1hJ4gBL3J44YfK5rfqOUXrH?usp=share_link", "RE-4.47203")</f>
        <v>RE-4.47203</v>
      </c>
      <c r="T418" s="34">
        <f>HYPERLINK("https://docs.google.com/spreadsheets/d/14qhpBFYHFKULN8abkt0h5OukXKfyDcrI?usp=share_link", 1071.47)</f>
        <v>1071.47</v>
      </c>
      <c r="U418" s="34" t="str">
        <f>HYPERLINK("https://docs.google.com/spreadsheets/d/1gov-9Pt7N_n9o2LYwdoBKdCpPVCwX5P8?usp=share_link", "RE-38.5997")</f>
        <v>RE-38.5997</v>
      </c>
      <c r="V418" s="34" t="str">
        <f>HYPERLINK("https://docs.google.com/spreadsheets/d/1vnngsCe165QpeNhlUESdhs8FnEDG9qFr?usp=share_link", "RE-2.90355")</f>
        <v>RE-2.90355</v>
      </c>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c r="BA418" s="33"/>
      <c r="BB418" s="33"/>
      <c r="BC418" s="33"/>
      <c r="BD418" s="33"/>
      <c r="BE418" s="33"/>
      <c r="BF418" s="33"/>
      <c r="BG418" s="33"/>
      <c r="BH418" s="33"/>
      <c r="BI418" s="33"/>
      <c r="BJ418" s="33"/>
      <c r="BK418" s="33"/>
      <c r="BL418" s="33"/>
      <c r="BM418" s="33"/>
      <c r="BN418" s="33"/>
      <c r="BO418" s="33"/>
      <c r="BP418" s="33"/>
      <c r="BQ418" s="33"/>
      <c r="BR418" s="33"/>
      <c r="BS418" s="33"/>
      <c r="BT418" s="33"/>
      <c r="BU418" s="33"/>
      <c r="BV418" s="33"/>
      <c r="BW418" s="33"/>
      <c r="BX418" s="33"/>
      <c r="BY418" s="33"/>
      <c r="BZ418" s="33"/>
      <c r="CA418" s="33"/>
      <c r="CB418" s="33"/>
      <c r="CC418" s="33"/>
      <c r="CD418" s="33"/>
      <c r="CE418" s="33"/>
      <c r="CF418" s="33"/>
      <c r="CG418" s="33"/>
      <c r="CH418" s="33"/>
      <c r="CI418" s="33"/>
      <c r="CJ418" s="33"/>
      <c r="CK418" s="33"/>
      <c r="CL418" s="33"/>
      <c r="CM418" s="33"/>
      <c r="CN418" s="33"/>
      <c r="CO418" s="33"/>
      <c r="CP418" s="33"/>
      <c r="CQ418" s="33"/>
      <c r="CR418" s="33"/>
      <c r="CS418" s="33"/>
      <c r="CT418" s="33"/>
      <c r="CU418" s="33"/>
      <c r="CV418" s="33"/>
      <c r="CW418" s="33"/>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c r="DT418" s="33"/>
      <c r="DU418" s="33"/>
      <c r="DV418" s="33"/>
      <c r="DW418" s="33"/>
      <c r="DX418" s="33"/>
      <c r="DY418" s="33"/>
      <c r="DZ418" s="33"/>
      <c r="EA418" s="33"/>
      <c r="EB418" s="33"/>
      <c r="EC418" s="33"/>
      <c r="ED418" s="33"/>
      <c r="EE418" s="33"/>
      <c r="EF418" s="33"/>
      <c r="EG418" s="33"/>
      <c r="EH418" s="33"/>
      <c r="EI418" s="33"/>
      <c r="EJ418" s="33"/>
      <c r="EK418" s="33"/>
      <c r="EL418" s="33"/>
      <c r="EM418" s="33"/>
      <c r="EN418" s="33"/>
      <c r="EO418" s="33"/>
      <c r="EP418" s="33"/>
      <c r="EQ418" s="33"/>
      <c r="ER418" s="33"/>
      <c r="ES418" s="33"/>
      <c r="ET418" s="33"/>
      <c r="EU418" s="33"/>
      <c r="EV418" s="33"/>
      <c r="EW418" s="33"/>
      <c r="EX418" s="33"/>
      <c r="EY418" s="33"/>
      <c r="EZ418" s="33"/>
      <c r="FA418" s="33"/>
      <c r="FB418" s="33"/>
      <c r="FC418" s="33"/>
      <c r="FD418" s="33"/>
      <c r="FE418" s="33"/>
      <c r="FF418" s="33"/>
      <c r="FG418" s="33"/>
      <c r="FH418" s="33"/>
    </row>
    <row r="419">
      <c r="A419" s="30" t="s">
        <v>35</v>
      </c>
      <c r="B419" s="30" t="s">
        <v>76</v>
      </c>
      <c r="C419" s="31" t="str">
        <f>HYPERLINK("https://docs.google.com/spreadsheets/d/16wssRDF0NW48bL2aLSj2NzpvC17cpi7h/edit?usp=share_link&amp;ouid=106501987799020758802&amp;rtpof=true&amp;sd=true", "Raw Delivered")</f>
        <v>Raw Delivered</v>
      </c>
      <c r="D419" s="12">
        <f t="shared" si="1"/>
        <v>5160.137666</v>
      </c>
      <c r="E419" s="13"/>
      <c r="F419" s="14">
        <f>HYPERLINK("https://docs.google.com/spreadsheets/d/1a6Z3M8Mqvj8bjweAge_cNqlVCWvcWXKi", 680.4163875)</f>
        <v>680.4163875</v>
      </c>
      <c r="G419" s="13"/>
      <c r="H419" s="14">
        <f>HYPERLINK("https://docs.google.com/spreadsheets/d/1ExhlEqIfGVCetIp9-S_z8lirZuq_JxwU", 245.03901875)</f>
        <v>245.0390188</v>
      </c>
      <c r="I419" s="13"/>
      <c r="J419" s="14">
        <f>HYPERLINK("https://docs.google.com/spreadsheets/d/1GHwFJ4Ud_KaR6Cfh_ViZwF9ZmGNBtCfA", 904.269051041667)</f>
        <v>904.269051</v>
      </c>
      <c r="K419" s="13"/>
      <c r="L419" s="14">
        <f t="shared" ref="L419:L420" si="210">HYPERLINK("https://docs.google.com/spreadsheets/d/1tOziCTQGUTtmr1Pg2iD8UF2rp52oGGca", 1156.290378125)</f>
        <v>1156.290378</v>
      </c>
      <c r="M419" s="13"/>
      <c r="N419" s="14">
        <f>HYPERLINK("https://docs.google.com/spreadsheets/d/1tT4UnG15SpIpnLK0yvVGxfp4a-tLUFmU", 554.176319791667)</f>
        <v>554.1763198</v>
      </c>
      <c r="O419" s="13"/>
      <c r="P419" s="14">
        <f t="shared" ref="P419:P420" si="211">HYPERLINK("https://docs.google.com/spreadsheets/d/1Z9fEU0pJ7t-YQs0Oelyjfr4yGcKMRD0_", 307.252837499999)</f>
        <v>307.2528375</v>
      </c>
      <c r="Q419" s="13"/>
      <c r="R419" s="14">
        <f t="shared" ref="R419:R420" si="212">HYPERLINK("https://docs.google.com/spreadsheets/d/1J5SrhaXsyvk7X7Nzv5M2iw1POkkxTPmy", 251.266926041666)</f>
        <v>251.266926</v>
      </c>
      <c r="S419" s="13"/>
      <c r="T419" s="14">
        <f t="shared" ref="T419:T420" si="213">HYPERLINK("https://docs.google.com/spreadsheets/d/1TCyprsCTUHAzY2FhCrORlFP9VcHs3VRE", 1061.42674687499)</f>
        <v>1061.426747</v>
      </c>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c r="FH419" s="13"/>
    </row>
    <row r="420">
      <c r="A420" s="32" t="s">
        <v>35</v>
      </c>
      <c r="B420" s="32" t="s">
        <v>76</v>
      </c>
      <c r="C420" s="32" t="s">
        <v>9</v>
      </c>
      <c r="D420" s="16">
        <f t="shared" si="1"/>
        <v>2776.236889</v>
      </c>
      <c r="E420" s="17"/>
      <c r="F420" s="18" t="str">
        <f>HYPERLINK("https://docs.google.com/spreadsheets/d/1a6Z3M8Mqvj8bjweAge_cNqlVCWvcWXKi", "RE-680.4163875000003")</f>
        <v>RE-680.4163875000003</v>
      </c>
      <c r="G420" s="17"/>
      <c r="H420" s="18" t="str">
        <f>HYPERLINK("https://docs.google.com/spreadsheets/d/1ExhlEqIfGVCetIp9-S_z8lirZuq_JxwU", "RE-245.03901875000005")</f>
        <v>RE-245.03901875000005</v>
      </c>
      <c r="I420" s="17"/>
      <c r="J420" s="18" t="str">
        <f>HYPERLINK("https://docs.google.com/spreadsheets/d/1GHwFJ4Ud_KaR6Cfh_ViZwF9ZmGNBtCfA", "RE-904.2690510416675")</f>
        <v>RE-904.2690510416675</v>
      </c>
      <c r="K420" s="17"/>
      <c r="L420" s="18">
        <f t="shared" si="210"/>
        <v>1156.290378</v>
      </c>
      <c r="M420" s="17"/>
      <c r="N420" s="18" t="str">
        <f>HYPERLINK("https://docs.google.com/spreadsheets/d/1tT4UnG15SpIpnLK0yvVGxfp4a-tLUFmU", "RE-554.176319791667")</f>
        <v>RE-554.176319791667</v>
      </c>
      <c r="O420" s="17"/>
      <c r="P420" s="18">
        <f t="shared" si="211"/>
        <v>307.2528375</v>
      </c>
      <c r="Q420" s="17"/>
      <c r="R420" s="18">
        <f t="shared" si="212"/>
        <v>251.266926</v>
      </c>
      <c r="S420" s="17"/>
      <c r="T420" s="18">
        <f t="shared" si="213"/>
        <v>1061.426747</v>
      </c>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7"/>
      <c r="EJ420" s="17"/>
      <c r="EK420" s="17"/>
      <c r="EL420" s="17"/>
      <c r="EM420" s="17"/>
      <c r="EN420" s="17"/>
      <c r="EO420" s="17"/>
      <c r="EP420" s="17"/>
      <c r="EQ420" s="17"/>
      <c r="ER420" s="17"/>
      <c r="ES420" s="17"/>
      <c r="ET420" s="17"/>
      <c r="EU420" s="17"/>
      <c r="EV420" s="17"/>
      <c r="EW420" s="17"/>
      <c r="EX420" s="17"/>
      <c r="EY420" s="17"/>
      <c r="EZ420" s="17"/>
      <c r="FA420" s="17"/>
      <c r="FB420" s="17"/>
      <c r="FC420" s="17"/>
      <c r="FD420" s="17"/>
      <c r="FE420" s="17"/>
      <c r="FF420" s="17"/>
      <c r="FG420" s="17"/>
      <c r="FH420" s="17"/>
    </row>
    <row r="421">
      <c r="A421" s="32" t="s">
        <v>35</v>
      </c>
      <c r="B421" s="32" t="s">
        <v>76</v>
      </c>
      <c r="C421" s="32" t="s">
        <v>10</v>
      </c>
      <c r="D421" s="16">
        <f t="shared" si="1"/>
        <v>380.2790354</v>
      </c>
      <c r="E421" s="17"/>
      <c r="F421" s="17"/>
      <c r="G421" s="18">
        <f>HYPERLINK("https://docs.google.com/spreadsheets/d/1r5nL7hEPaq5Ishempd72ZSgA8RU8pzXf", 76.6178635416667)</f>
        <v>76.61786354</v>
      </c>
      <c r="H421" s="17"/>
      <c r="I421" s="18">
        <f>HYPERLINK("https://docs.google.com/spreadsheets/d/1c3F52NfDasScAibONLzeFcHVjsPaceG-", 14.90851875)</f>
        <v>14.90851875</v>
      </c>
      <c r="J421" s="17"/>
      <c r="K421" s="18">
        <f>HYPERLINK("https://docs.google.com/spreadsheets/d/1BrX7HEarA5lLPWzLs3u8Rjcyp1h9NkO8", 55.2406260416666)</f>
        <v>55.24062604</v>
      </c>
      <c r="L421" s="17"/>
      <c r="M421" s="18">
        <f>HYPERLINK("https://docs.google.com/spreadsheets/d/1na-pAtpOqwlJA2jcDDMXrdttRU3QJ2ey", 70.4996760416666)</f>
        <v>70.49967604</v>
      </c>
      <c r="N421" s="17"/>
      <c r="O421" s="18">
        <f>HYPERLINK("https://docs.google.com/spreadsheets/d/1y7iXMOusT0TDLM9232BiaiXDs08ZTxMb", 46.9747062499999)</f>
        <v>46.97470625</v>
      </c>
      <c r="P421" s="17"/>
      <c r="Q421" s="18">
        <f>HYPERLINK("https://docs.google.com/spreadsheets/d/1Giar7JU9NmQ2q5AQPOjH26JEmJiWeRyX", 51.2013666666666)</f>
        <v>51.20136667</v>
      </c>
      <c r="R421" s="17"/>
      <c r="S421" s="18">
        <f>HYPERLINK("https://docs.google.com/spreadsheets/d/1-LEy88PAmsaPhtPDY59mWs9maIinHrFv", 11.0799260416666)</f>
        <v>11.07992604</v>
      </c>
      <c r="T421" s="17"/>
      <c r="U421" s="18">
        <f>HYPERLINK("https://docs.google.com/spreadsheets/d/1jQZ6Q2k-GXoQ7Y1HemTG92VwVgrMQZ2S", 49.8207041666666)</f>
        <v>49.82070417</v>
      </c>
      <c r="V421" s="18">
        <f>HYPERLINK("https://docs.google.com/spreadsheets/d/1WvYGdSM2E8D2AAD82X6BfVIQXH-uDF-2", 3.93564791666666)</f>
        <v>3.935647917</v>
      </c>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c r="DE421" s="17"/>
      <c r="DF421" s="17"/>
      <c r="DG421" s="17"/>
      <c r="DH421" s="17"/>
      <c r="DI421" s="17"/>
      <c r="DJ421" s="17"/>
      <c r="DK421" s="17"/>
      <c r="DL421" s="17"/>
      <c r="DM421" s="17"/>
      <c r="DN421" s="17"/>
      <c r="DO421" s="17"/>
      <c r="DP421" s="17"/>
      <c r="DQ421" s="17"/>
      <c r="DR421" s="17"/>
      <c r="DS421" s="17"/>
      <c r="DT421" s="17"/>
      <c r="DU421" s="17"/>
      <c r="DV421" s="17"/>
      <c r="DW421" s="17"/>
      <c r="DX421" s="17"/>
      <c r="DY421" s="17"/>
      <c r="DZ421" s="17"/>
      <c r="EA421" s="17"/>
      <c r="EB421" s="17"/>
      <c r="EC421" s="17"/>
      <c r="ED421" s="17"/>
      <c r="EE421" s="17"/>
      <c r="EF421" s="17"/>
      <c r="EG421" s="17"/>
      <c r="EH421" s="17"/>
      <c r="EI421" s="17"/>
      <c r="EJ421" s="17"/>
      <c r="EK421" s="17"/>
      <c r="EL421" s="17"/>
      <c r="EM421" s="17"/>
      <c r="EN421" s="17"/>
      <c r="EO421" s="17"/>
      <c r="EP421" s="17"/>
      <c r="EQ421" s="17"/>
      <c r="ER421" s="17"/>
      <c r="ES421" s="17"/>
      <c r="ET421" s="17"/>
      <c r="EU421" s="17"/>
      <c r="EV421" s="17"/>
      <c r="EW421" s="17"/>
      <c r="EX421" s="17"/>
      <c r="EY421" s="17"/>
      <c r="EZ421" s="17"/>
      <c r="FA421" s="17"/>
      <c r="FB421" s="17"/>
      <c r="FC421" s="17"/>
      <c r="FD421" s="17"/>
      <c r="FE421" s="17"/>
      <c r="FF421" s="17"/>
      <c r="FG421" s="17"/>
      <c r="FH421" s="17"/>
    </row>
    <row r="422">
      <c r="A422" s="32" t="s">
        <v>35</v>
      </c>
      <c r="B422" s="32" t="s">
        <v>76</v>
      </c>
      <c r="C422" s="32" t="s">
        <v>11</v>
      </c>
      <c r="D422" s="16">
        <f t="shared" si="1"/>
        <v>0</v>
      </c>
      <c r="E422" s="17"/>
      <c r="F422" s="17"/>
      <c r="G422" s="18" t="str">
        <f>HYPERLINK("https://docs.google.com/spreadsheets/d/1r5nL7hEPaq5Ishempd72ZSgA8RU8pzXf", "RE-76.61786354166671")</f>
        <v>RE-76.61786354166671</v>
      </c>
      <c r="H422" s="17"/>
      <c r="I422" s="18" t="str">
        <f>HYPERLINK("https://docs.google.com/spreadsheets/d/1c3F52NfDasScAibONLzeFcHVjsPaceG-", "RE-14.908518750000006")</f>
        <v>RE-14.908518750000006</v>
      </c>
      <c r="J422" s="17"/>
      <c r="K422" s="18" t="str">
        <f>HYPERLINK("https://docs.google.com/spreadsheets/d/1BrX7HEarA5lLPWzLs3u8Rjcyp1h9NkO8", "RE-55.240626041666665")</f>
        <v>RE-55.240626041666665</v>
      </c>
      <c r="L422" s="17"/>
      <c r="M422" s="18" t="str">
        <f>HYPERLINK("https://docs.google.com/spreadsheets/d/1na-pAtpOqwlJA2jcDDMXrdttRU3QJ2ey", "RE-70.49967604166666")</f>
        <v>RE-70.49967604166666</v>
      </c>
      <c r="N422" s="17"/>
      <c r="O422" s="18" t="str">
        <f>HYPERLINK("https://docs.google.com/spreadsheets/d/1y7iXMOusT0TDLM9232BiaiXDs08ZTxMb", "RE-46.97470624999998")</f>
        <v>RE-46.97470624999998</v>
      </c>
      <c r="P422" s="17"/>
      <c r="Q422" s="18" t="str">
        <f>HYPERLINK("https://docs.google.com/spreadsheets/d/1Giar7JU9NmQ2q5AQPOjH26JEmJiWeRyX", "RE-51.20136666666669")</f>
        <v>RE-51.20136666666669</v>
      </c>
      <c r="R422" s="17"/>
      <c r="S422" s="18" t="str">
        <f>HYPERLINK("https://docs.google.com/spreadsheets/d/1-LEy88PAmsaPhtPDY59mWs9maIinHrFv", "RE-11.079926041666665")</f>
        <v>RE-11.079926041666665</v>
      </c>
      <c r="T422" s="17"/>
      <c r="U422" s="18" t="str">
        <f>HYPERLINK("https://docs.google.com/spreadsheets/d/1jQZ6Q2k-GXoQ7Y1HemTG92VwVgrMQZ2S", "RE-49.820704166666665")</f>
        <v>RE-49.820704166666665</v>
      </c>
      <c r="V422" s="18" t="str">
        <f>HYPERLINK("https://docs.google.com/spreadsheets/d/1WvYGdSM2E8D2AAD82X6BfVIQXH-uDF-2", "RE-3.935647916666667")</f>
        <v>RE-3.935647916666667</v>
      </c>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7"/>
      <c r="FH422" s="17"/>
    </row>
    <row r="423">
      <c r="A423" s="32" t="s">
        <v>35</v>
      </c>
      <c r="B423" s="32" t="s">
        <v>76</v>
      </c>
      <c r="C423" s="32" t="s">
        <v>12</v>
      </c>
      <c r="D423" s="16">
        <f t="shared" si="1"/>
        <v>2577.467949</v>
      </c>
      <c r="E423" s="17"/>
      <c r="F423" s="18" t="str">
        <f>HYPERLINK("https://docs.google.com/spreadsheets/d/1PpDjKHcyyDXIbn5h566cwosXhUP31v2s", "RE-518.0955843749992")</f>
        <v>RE-518.0955843749992</v>
      </c>
      <c r="G423" s="18" t="str">
        <f>HYPERLINK("https://docs.google.com/spreadsheets/d/1MAm_YkyBoSu5zdSdT-05BpXRDyi7QgSy", "RE-2.905016666666667")</f>
        <v>RE-2.905016666666667</v>
      </c>
      <c r="H423" s="18" t="str">
        <f>HYPERLINK("https://docs.google.com/spreadsheets/d/1r95uPPI8PbK6vmhS5R2xjxnE23cBL_SB", "RE-214.76146041666684")</f>
        <v>RE-214.76146041666684</v>
      </c>
      <c r="I423" s="18" t="str">
        <f>HYPERLINK("https://docs.google.com/spreadsheets/d/1M5gCHyhN_6c3pTD08gRVOOqyyZb_baR1", "RE-0.6332875")</f>
        <v>RE-0.6332875</v>
      </c>
      <c r="J423" s="18" t="str">
        <f>HYPERLINK("https://docs.google.com/spreadsheets/d/1HKDg4OW6lUizVs8mPWcGON9pzVJl2Nb0", "RE-774.8388687500013")</f>
        <v>RE-774.8388687500013</v>
      </c>
      <c r="K423" s="18" t="str">
        <f>HYPERLINK("https://docs.google.com/spreadsheets/d/1rKrmEBE1P8Wqzv-kmtegVPecVjRWdAoi", "RE-3.90028125")</f>
        <v>RE-3.90028125</v>
      </c>
      <c r="L423" s="18">
        <f>HYPERLINK("https://docs.google.com/spreadsheets/d/167x2kmoEtlngyrdQVJtf0MfD_u20U70n", 1019.03073958333)</f>
        <v>1019.03074</v>
      </c>
      <c r="M423" s="18" t="str">
        <f>HYPERLINK("https://docs.google.com/spreadsheets/d/1Oq-dSQEvSMqQxyJsEJQ3Zik70aYDSnYV", "RE-7.492661458333333")</f>
        <v>RE-7.492661458333333</v>
      </c>
      <c r="N423" s="18" t="str">
        <f>HYPERLINK("https://docs.google.com/spreadsheets/d/1xNfEZZx6X9QUyWg29oJrue2b1Sup3p9C", "RE-336.6242281250003")</f>
        <v>RE-336.6242281250003</v>
      </c>
      <c r="O423" s="18" t="str">
        <f>HYPERLINK("https://docs.google.com/spreadsheets/d/1zyWEj1h-1zOGrGw8BTbpDfz7w8IGVTb_", "RE-3.108001041666667")</f>
        <v>RE-3.108001041666667</v>
      </c>
      <c r="P423" s="18">
        <f>HYPERLINK("https://docs.google.com/spreadsheets/d/dummy", 288.345015625)</f>
        <v>288.3450156</v>
      </c>
      <c r="Q423" s="18" t="str">
        <f>HYPERLINK("https://docs.google.com/spreadsheets/d/1n-Gyr0iCqYe-5lttz8ztDQDtniu8kli5", "RE-13.226791666666665")</f>
        <v>RE-13.226791666666665</v>
      </c>
      <c r="R423" s="18">
        <f>HYPERLINK("https://docs.google.com/spreadsheets/d/1DTdWS9IpmtoZRDe7F5c7xknyj9C4Kuq3", 237.908858333333)</f>
        <v>237.9088583</v>
      </c>
      <c r="S423" s="18" t="str">
        <f>HYPERLINK("https://docs.google.com/spreadsheets/d/1_6_LaHxp2Z0oqIVC5FHPTkZrZcASHPY6", "RE-4.51720625")</f>
        <v>RE-4.51720625</v>
      </c>
      <c r="T423" s="18">
        <f>HYPERLINK("https://docs.google.com/spreadsheets/d/125b6vQfOJodWCH0b4WSzRuPd7RtnyXY6", 1032.18333541666)</f>
        <v>1032.183335</v>
      </c>
      <c r="U423" s="18" t="str">
        <f>HYPERLINK("https://docs.google.com/spreadsheets/d/1guO6xxcuVJn4BPS7wC8lL_P4pj4XpmVt", "RE-21.55220104166667")</f>
        <v>RE-21.55220104166667</v>
      </c>
      <c r="V423" s="18" t="str">
        <f>HYPERLINK("https://docs.google.com/spreadsheets/d/1WfgEEFaEKrD7nbF4MqiUlHTyw7kAicgU", "RE-0.0")</f>
        <v>RE-0.0</v>
      </c>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c r="DE423" s="17"/>
      <c r="DF423" s="17"/>
      <c r="DG423" s="17"/>
      <c r="DH423" s="17"/>
      <c r="DI423" s="17"/>
      <c r="DJ423" s="17"/>
      <c r="DK423" s="17"/>
      <c r="DL423" s="17"/>
      <c r="DM423" s="17"/>
      <c r="DN423" s="17"/>
      <c r="DO423" s="17"/>
      <c r="DP423" s="17"/>
      <c r="DQ423" s="17"/>
      <c r="DR423" s="17"/>
      <c r="DS423" s="17"/>
      <c r="DT423" s="17"/>
      <c r="DU423" s="17"/>
      <c r="DV423" s="17"/>
      <c r="DW423" s="17"/>
      <c r="DX423" s="17"/>
      <c r="DY423" s="17"/>
      <c r="DZ423" s="17"/>
      <c r="EA423" s="17"/>
      <c r="EB423" s="17"/>
      <c r="EC423" s="17"/>
      <c r="ED423" s="17"/>
      <c r="EE423" s="17"/>
      <c r="EF423" s="17"/>
      <c r="EG423" s="17"/>
      <c r="EH423" s="17"/>
      <c r="EI423" s="17"/>
      <c r="EJ423" s="17"/>
      <c r="EK423" s="17"/>
      <c r="EL423" s="17"/>
      <c r="EM423" s="17"/>
      <c r="EN423" s="17"/>
      <c r="EO423" s="17"/>
      <c r="EP423" s="17"/>
      <c r="EQ423" s="17"/>
      <c r="ER423" s="17"/>
      <c r="ES423" s="17"/>
      <c r="ET423" s="17"/>
      <c r="EU423" s="17"/>
      <c r="EV423" s="17"/>
      <c r="EW423" s="17"/>
      <c r="EX423" s="17"/>
      <c r="EY423" s="17"/>
      <c r="EZ423" s="17"/>
      <c r="FA423" s="17"/>
      <c r="FB423" s="17"/>
      <c r="FC423" s="17"/>
      <c r="FD423" s="17"/>
      <c r="FE423" s="17"/>
      <c r="FF423" s="17"/>
      <c r="FG423" s="17"/>
      <c r="FH423" s="17"/>
    </row>
    <row r="424">
      <c r="A424" s="32" t="s">
        <v>35</v>
      </c>
      <c r="B424" s="32" t="s">
        <v>76</v>
      </c>
      <c r="C424" s="32" t="s">
        <v>13</v>
      </c>
      <c r="D424" s="16">
        <f t="shared" si="1"/>
        <v>2483.589</v>
      </c>
      <c r="E424" s="17"/>
      <c r="F424" s="18" t="str">
        <f>HYPERLINK("https://docs.google.com/spreadsheets/d/1SemPtRRcwmL4MVE5YzbrkwyQ08gZO7aP?usp=share_link", "RE-508.474")</f>
        <v>RE-508.474</v>
      </c>
      <c r="G424" s="18" t="str">
        <f>HYPERLINK("https://docs.google.com/spreadsheets/d/1o75Zg_xtuajJDgZeIvv_Vo-ncPqB2ZWz?usp=share_link", "RE-2.82835")</f>
        <v>RE-2.82835</v>
      </c>
      <c r="H424" s="18" t="str">
        <f>HYPERLINK("https://docs.google.com/spreadsheets/d/13_9ba8fwBxZJKsSiPXiBrfHfG8sVZ5qH?usp=share_link", "RE-212.233")</f>
        <v>RE-212.233</v>
      </c>
      <c r="I424" s="18" t="str">
        <f>HYPERLINK("https://docs.google.com/spreadsheets/d/1-1mNKtMoX71i4AnSSZHkKT9-PBDt79qo?usp=share_link", "RE-0.619867")</f>
        <v>RE-0.619867</v>
      </c>
      <c r="J424" s="18" t="str">
        <f>HYPERLINK("https://docs.google.com/spreadsheets/d/1tCs9G82TruFZ_5HsaRORzinUq0Rxllvj?usp=share_link", "RE-759.556")</f>
        <v>RE-759.556</v>
      </c>
      <c r="K424" s="18" t="str">
        <f>HYPERLINK("https://docs.google.com/spreadsheets/d/1PFV9-sYrPzZLhUO3yRnUHbyGwwdxTxN_?usp=share_link", "RE-3.85298")</f>
        <v>RE-3.85298</v>
      </c>
      <c r="L424" s="18">
        <f>HYPERLINK("https://docs.google.com/spreadsheets/d/13keFJFI5Ye9csZ-xpSwCRho0d4gU8zet?usp=share_link", 984.484)</f>
        <v>984.484</v>
      </c>
      <c r="M424" s="18" t="str">
        <f>HYPERLINK("https://docs.google.com/spreadsheets/d/1keJKe6N_6jNtXJRsgT2biRuT-uiz4hev?usp=share_link", "RE-7.20245")</f>
        <v>RE-7.20245</v>
      </c>
      <c r="N424" s="18" t="str">
        <f>HYPERLINK("https://docs.google.com/spreadsheets/d/1eeXjU3Abb5-SIx7RLVh2tF03kA-eDtuq?usp=share_link", "RE-327.674")</f>
        <v>RE-327.674</v>
      </c>
      <c r="O424" s="18" t="str">
        <f>HYPERLINK("https://docs.google.com/spreadsheets/d/1ptb8_kRQ0xLlW2zW_39Z5ED3mEzfsp5a?usp=share_link", "RE-2.99308")</f>
        <v>RE-2.99308</v>
      </c>
      <c r="P424" s="18">
        <f>HYPERLINK("https://docs.google.com/spreadsheets/d/1L7cAYzCgH18gAVMK3HDb81PPb1WBIjFB?usp=share_link", 274.142)</f>
        <v>274.142</v>
      </c>
      <c r="Q424" s="18" t="str">
        <f>HYPERLINK("https://docs.google.com/spreadsheets/d/17bh4RPPOHHMlUUHgZkBJZpazbkKvfZB6?usp=share_link", "RE-12.6832")</f>
        <v>RE-12.6832</v>
      </c>
      <c r="R424" s="18">
        <f>HYPERLINK("https://docs.google.com/spreadsheets/d/17Nki0AMX7nlZArg70rrh9FY51wAvV4D_?usp=share_link", 222.993)</f>
        <v>222.993</v>
      </c>
      <c r="S424" s="18" t="str">
        <f>HYPERLINK("https://docs.google.com/spreadsheets/d/1xBPHC-pf0S6xdf2ANNDP-4PUkmzOEsJa?usp=share_link", "RE-4.27682")</f>
        <v>RE-4.27682</v>
      </c>
      <c r="T424" s="18">
        <f>HYPERLINK("https://docs.google.com/spreadsheets/d/1mtCkBkNMo_A8lKmg-4NjVwCWZnVDfPat?usp=share_link", 1001.97)</f>
        <v>1001.97</v>
      </c>
      <c r="U424" s="18" t="str">
        <f>HYPERLINK("https://docs.google.com/spreadsheets/d/1mAPMB9PxpYy4Rx6-tQ_c-s0d14RNsICe?usp=share_link", "RE-20.5473")</f>
        <v>RE-20.5473</v>
      </c>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c r="DE424" s="17"/>
      <c r="DF424" s="17"/>
      <c r="DG424" s="17"/>
      <c r="DH424" s="17"/>
      <c r="DI424" s="17"/>
      <c r="DJ424" s="17"/>
      <c r="DK424" s="17"/>
      <c r="DL424" s="17"/>
      <c r="DM424" s="17"/>
      <c r="DN424" s="17"/>
      <c r="DO424" s="17"/>
      <c r="DP424" s="17"/>
      <c r="DQ424" s="17"/>
      <c r="DR424" s="17"/>
      <c r="DS424" s="17"/>
      <c r="DT424" s="17"/>
      <c r="DU424" s="17"/>
      <c r="DV424" s="17"/>
      <c r="DW424" s="17"/>
      <c r="DX424" s="17"/>
      <c r="DY424" s="17"/>
      <c r="DZ424" s="17"/>
      <c r="EA424" s="17"/>
      <c r="EB424" s="17"/>
      <c r="EC424" s="17"/>
      <c r="ED424" s="17"/>
      <c r="EE424" s="17"/>
      <c r="EF424" s="17"/>
      <c r="EG424" s="17"/>
      <c r="EH424" s="17"/>
      <c r="EI424" s="17"/>
      <c r="EJ424" s="17"/>
      <c r="EK424" s="17"/>
      <c r="EL424" s="17"/>
      <c r="EM424" s="17"/>
      <c r="EN424" s="17"/>
      <c r="EO424" s="17"/>
      <c r="EP424" s="17"/>
      <c r="EQ424" s="17"/>
      <c r="ER424" s="17"/>
      <c r="ES424" s="17"/>
      <c r="ET424" s="17"/>
      <c r="EU424" s="17"/>
      <c r="EV424" s="17"/>
      <c r="EW424" s="17"/>
      <c r="EX424" s="17"/>
      <c r="EY424" s="17"/>
      <c r="EZ424" s="17"/>
      <c r="FA424" s="17"/>
      <c r="FB424" s="17"/>
      <c r="FC424" s="17"/>
      <c r="FD424" s="17"/>
      <c r="FE424" s="17"/>
      <c r="FF424" s="17"/>
      <c r="FG424" s="17"/>
      <c r="FH424" s="17"/>
    </row>
    <row r="425">
      <c r="A425" s="32" t="s">
        <v>35</v>
      </c>
      <c r="B425" s="32" t="s">
        <v>76</v>
      </c>
      <c r="C425" s="32" t="s">
        <v>14</v>
      </c>
      <c r="D425" s="16">
        <f t="shared" si="1"/>
        <v>2140.879</v>
      </c>
      <c r="E425" s="17"/>
      <c r="F425" s="18" t="str">
        <f>HYPERLINK("https://docs.google.com/spreadsheets/d/1fP0gQu2EhFkthCWWcWDuhMj396LSiajy?usp=share_link", "RE-461.476")</f>
        <v>RE-461.476</v>
      </c>
      <c r="G425" s="18" t="str">
        <f>HYPERLINK("https://docs.google.com/spreadsheets/d/13LYfboATGzmS6IG4u-Oi9gvD1vAiMtgy?usp=share_link", "RE-2.52993")</f>
        <v>RE-2.52993</v>
      </c>
      <c r="H425" s="18" t="str">
        <f>HYPERLINK("https://docs.google.com/spreadsheets/d/1gm-U-_cJttCgWCpG55s1J4Q33XjonHLh?usp=share_link", "RE-191.977")</f>
        <v>RE-191.977</v>
      </c>
      <c r="I425" s="18" t="str">
        <f>HYPERLINK("https://docs.google.com/spreadsheets/d/1bcdUEtMV7tRlECmWrdmTJRB3dZImRxyd?usp=share_link", "RE-0.619867")</f>
        <v>RE-0.619867</v>
      </c>
      <c r="J425" s="18" t="str">
        <f>HYPERLINK("https://docs.google.com/spreadsheets/d/1koiNHaeMhgQkLRyiu3ZUHAyjJyNZ-AuA?usp=share_link", "RE-691.075")</f>
        <v>RE-691.075</v>
      </c>
      <c r="K425" s="18" t="str">
        <f>HYPERLINK("https://docs.google.com/spreadsheets/d/1OP5kB_ErIp-IsDR65f0m6C727gADkZ_F?usp=share_link", "RE-3.37157")</f>
        <v>RE-3.37157</v>
      </c>
      <c r="L425" s="18">
        <f>HYPERLINK("https://docs.google.com/spreadsheets/d/1B-x-yFcAo3bQdNoeU-z-FntU__GvhIfR?usp=share_link", 859.103)</f>
        <v>859.103</v>
      </c>
      <c r="M425" s="18" t="str">
        <f>HYPERLINK("https://docs.google.com/spreadsheets/d/1guvYcSvDTYNAAFnd6iPucT8EZ5PzAzsl?usp=share_link", "RE-6.67935")</f>
        <v>RE-6.67935</v>
      </c>
      <c r="N425" s="18" t="str">
        <f>HYPERLINK("https://docs.google.com/spreadsheets/d/17-ZxUrCbkVYnA7-uIde093ab3drNQRly?usp=share_link", "RE-273.419")</f>
        <v>RE-273.419</v>
      </c>
      <c r="O425" s="18" t="str">
        <f>HYPERLINK("https://docs.google.com/spreadsheets/d/10zpcz5FXBK_wRs4slaoVJ0R1G4FtU0Pk?usp=share_link", "RE-2.08337")</f>
        <v>RE-2.08337</v>
      </c>
      <c r="P425" s="18">
        <f>HYPERLINK("https://docs.google.com/spreadsheets/d/1o7mNc18CC3S-_iNPwD4bQq-MwdAz9kRM?usp=share_link", 235.444)</f>
        <v>235.444</v>
      </c>
      <c r="Q425" s="18" t="str">
        <f>HYPERLINK("https://docs.google.com/spreadsheets/d/1TqFGidHvh7DMbgzdaYihZ060jDXkyJbv?usp=share_link", "RE-10.5974")</f>
        <v>RE-10.5974</v>
      </c>
      <c r="R425" s="18">
        <f>HYPERLINK("https://docs.google.com/spreadsheets/d/1k2CzfIYCbf6mf5aMxn3Qx4WD4FDZKJiW?usp=share_link", 190.343)</f>
        <v>190.343</v>
      </c>
      <c r="S425" s="18" t="str">
        <f>HYPERLINK("https://docs.google.com/spreadsheets/d/1YwSbp2N0lfw-vaVtJ7e-ESfTlchLjwae?usp=share_link", "RE-3.81667")</f>
        <v>RE-3.81667</v>
      </c>
      <c r="T425" s="18">
        <f>HYPERLINK("https://docs.google.com/spreadsheets/d/1a9tSjq6vU4QBuhh-MWVwTWv0YD7dVI4P?usp=share_link", 855.989)</f>
        <v>855.989</v>
      </c>
      <c r="U425" s="18" t="str">
        <f>HYPERLINK("https://docs.google.com/spreadsheets/d/1yWoZoes00Qh0Yv5J6OSHRgbvVQjyu24C?usp=share_link", "RE-17.211")</f>
        <v>RE-17.211</v>
      </c>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c r="DE425" s="17"/>
      <c r="DF425" s="17"/>
      <c r="DG425" s="17"/>
      <c r="DH425" s="17"/>
      <c r="DI425" s="17"/>
      <c r="DJ425" s="17"/>
      <c r="DK425" s="17"/>
      <c r="DL425" s="17"/>
      <c r="DM425" s="17"/>
      <c r="DN425" s="17"/>
      <c r="DO425" s="17"/>
      <c r="DP425" s="17"/>
      <c r="DQ425" s="17"/>
      <c r="DR425" s="17"/>
      <c r="DS425" s="17"/>
      <c r="DT425" s="17"/>
      <c r="DU425" s="17"/>
      <c r="DV425" s="17"/>
      <c r="DW425" s="17"/>
      <c r="DX425" s="17"/>
      <c r="DY425" s="17"/>
      <c r="DZ425" s="17"/>
      <c r="EA425" s="17"/>
      <c r="EB425" s="17"/>
      <c r="EC425" s="17"/>
      <c r="ED425" s="17"/>
      <c r="EE425" s="17"/>
      <c r="EF425" s="17"/>
      <c r="EG425" s="17"/>
      <c r="EH425" s="17"/>
      <c r="EI425" s="17"/>
      <c r="EJ425" s="17"/>
      <c r="EK425" s="17"/>
      <c r="EL425" s="17"/>
      <c r="EM425" s="17"/>
      <c r="EN425" s="17"/>
      <c r="EO425" s="17"/>
      <c r="EP425" s="17"/>
      <c r="EQ425" s="17"/>
      <c r="ER425" s="17"/>
      <c r="ES425" s="17"/>
      <c r="ET425" s="17"/>
      <c r="EU425" s="17"/>
      <c r="EV425" s="17"/>
      <c r="EW425" s="17"/>
      <c r="EX425" s="17"/>
      <c r="EY425" s="17"/>
      <c r="EZ425" s="17"/>
      <c r="FA425" s="17"/>
      <c r="FB425" s="17"/>
      <c r="FC425" s="17"/>
      <c r="FD425" s="17"/>
      <c r="FE425" s="17"/>
      <c r="FF425" s="17"/>
      <c r="FG425" s="17"/>
      <c r="FH425" s="17"/>
    </row>
    <row r="426">
      <c r="A426" s="27" t="s">
        <v>35</v>
      </c>
      <c r="B426" s="27" t="s">
        <v>76</v>
      </c>
      <c r="C426" s="27" t="s">
        <v>15</v>
      </c>
      <c r="D426" s="28">
        <f t="shared" si="1"/>
        <v>2478.73</v>
      </c>
      <c r="E426" s="33"/>
      <c r="F426" s="34" t="str">
        <f>HYPERLINK("https://docs.google.com/spreadsheets/d/1J135gzG9EmVKhnvnJ-2l4c7csWEHZyQG?usp=share_link", "RE-508.474")</f>
        <v>RE-508.474</v>
      </c>
      <c r="G426" s="34" t="str">
        <f>HYPERLINK("https://docs.google.com/spreadsheets/d/1QsqVgjEE8DJIajtZttgNK3o9Cw7FHpbq?usp=share_link", "RE-2.82835")</f>
        <v>RE-2.82835</v>
      </c>
      <c r="H426" s="34" t="str">
        <f>HYPERLINK("https://docs.google.com/spreadsheets/d/1Km3XyMWx1Zas-sbQ7L12ICvI2St99hsS?usp=share_link", "RE-212.233")</f>
        <v>RE-212.233</v>
      </c>
      <c r="I426" s="34" t="str">
        <f>HYPERLINK("https://docs.google.com/spreadsheets/d/1Yn_XCLoeGx0E4zbnNFdzbhYHTUOYw-n-?usp=share_link", "RE-0.619867")</f>
        <v>RE-0.619867</v>
      </c>
      <c r="J426" s="34" t="str">
        <f>HYPERLINK("https://docs.google.com/spreadsheets/d/1FUON_s1fidxqeBh3B5XttVTT7mX9_lZG?usp=share_link", "RE-759.556")</f>
        <v>RE-759.556</v>
      </c>
      <c r="K426" s="34" t="str">
        <f>HYPERLINK("https://docs.google.com/spreadsheets/d/1k9WwDEL-Ve7gIkL8nKk9TSnvpB7iLsnf?usp=share_link", "RE-3.85298")</f>
        <v>RE-3.85298</v>
      </c>
      <c r="L426" s="34">
        <f>HYPERLINK("https://docs.google.com/spreadsheets/d/1iJYtfpQyYgHDVEKEDsbbwL6_sOweVdsh?usp=share_link", 979.801)</f>
        <v>979.801</v>
      </c>
      <c r="M426" s="34" t="str">
        <f>HYPERLINK("https://docs.google.com/spreadsheets/d/1-eNJet9dMLIkcQJKdNO52fDXwiCyUXJ7?usp=share_link", "RE-7.20245")</f>
        <v>RE-7.20245</v>
      </c>
      <c r="N426" s="34" t="str">
        <f>HYPERLINK("https://docs.google.com/spreadsheets/d/1H_PAylG77VkAihO9g3g2uXLRdoKABbFU?usp=share_link", "RE-327.144")</f>
        <v>RE-327.144</v>
      </c>
      <c r="O426" s="34" t="str">
        <f>HYPERLINK("https://docs.google.com/spreadsheets/d/1-i_Y7uaak4JzilHkyXsj-Ps-qwp3spi0?usp=share_link", "RE-2.99308")</f>
        <v>RE-2.99308</v>
      </c>
      <c r="P426" s="34">
        <f>HYPERLINK("https://docs.google.com/spreadsheets/d/19jxGevRl6DX1sELhVZVmxrZy5I3Jw3sv?usp=share_link", 274.142)</f>
        <v>274.142</v>
      </c>
      <c r="Q426" s="34" t="str">
        <f>HYPERLINK("https://docs.google.com/spreadsheets/d/1pVs8LoWJYCCfQJ8otW6Q4m2NfTkULzw9?usp=share_link", "RE-12.6832")</f>
        <v>RE-12.6832</v>
      </c>
      <c r="R426" s="34">
        <f>HYPERLINK("https://docs.google.com/spreadsheets/d/1sTdkMwiGhza--06IdvWKEFyYCu-Ohy4o?usp=share_link", 222.837)</f>
        <v>222.837</v>
      </c>
      <c r="S426" s="34" t="str">
        <f>HYPERLINK("https://docs.google.com/spreadsheets/d/1fFVr_KlyM-XJHoRm5LutXVcu1EVErI3G?usp=share_link", "RE-4.27682")</f>
        <v>RE-4.27682</v>
      </c>
      <c r="T426" s="34">
        <f>HYPERLINK("https://docs.google.com/spreadsheets/d/1esYEyU1WmqE7BCyI72xmALHPGJ0jZv63?usp=share_link", 1001.95)</f>
        <v>1001.95</v>
      </c>
      <c r="U426" s="34" t="str">
        <f>HYPERLINK("https://docs.google.com/spreadsheets/d/12yBMnFLmbqS0pfbV9goQLg21Tdswl6JI?usp=share_link", "RE-20.4337")</f>
        <v>RE-20.4337</v>
      </c>
      <c r="V426" s="33"/>
      <c r="W426" s="33"/>
      <c r="X426" s="33"/>
      <c r="Y426" s="33"/>
      <c r="Z426" s="33"/>
      <c r="AA426" s="33"/>
      <c r="AB426" s="3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c r="BA426" s="33"/>
      <c r="BB426" s="33"/>
      <c r="BC426" s="33"/>
      <c r="BD426" s="33"/>
      <c r="BE426" s="33"/>
      <c r="BF426" s="33"/>
      <c r="BG426" s="33"/>
      <c r="BH426" s="33"/>
      <c r="BI426" s="33"/>
      <c r="BJ426" s="33"/>
      <c r="BK426" s="33"/>
      <c r="BL426" s="33"/>
      <c r="BM426" s="33"/>
      <c r="BN426" s="33"/>
      <c r="BO426" s="33"/>
      <c r="BP426" s="33"/>
      <c r="BQ426" s="33"/>
      <c r="BR426" s="33"/>
      <c r="BS426" s="33"/>
      <c r="BT426" s="33"/>
      <c r="BU426" s="33"/>
      <c r="BV426" s="33"/>
      <c r="BW426" s="33"/>
      <c r="BX426" s="33"/>
      <c r="BY426" s="33"/>
      <c r="BZ426" s="33"/>
      <c r="CA426" s="33"/>
      <c r="CB426" s="33"/>
      <c r="CC426" s="33"/>
      <c r="CD426" s="33"/>
      <c r="CE426" s="33"/>
      <c r="CF426" s="33"/>
      <c r="CG426" s="33"/>
      <c r="CH426" s="33"/>
      <c r="CI426" s="33"/>
      <c r="CJ426" s="33"/>
      <c r="CK426" s="33"/>
      <c r="CL426" s="33"/>
      <c r="CM426" s="33"/>
      <c r="CN426" s="33"/>
      <c r="CO426" s="33"/>
      <c r="CP426" s="33"/>
      <c r="CQ426" s="33"/>
      <c r="CR426" s="33"/>
      <c r="CS426" s="33"/>
      <c r="CT426" s="33"/>
      <c r="CU426" s="33"/>
      <c r="CV426" s="33"/>
      <c r="CW426" s="33"/>
      <c r="CX426" s="33"/>
      <c r="CY426" s="33"/>
      <c r="CZ426" s="33"/>
      <c r="DA426" s="33"/>
      <c r="DB426" s="33"/>
      <c r="DC426" s="33"/>
      <c r="DD426" s="33"/>
      <c r="DE426" s="33"/>
      <c r="DF426" s="33"/>
      <c r="DG426" s="33"/>
      <c r="DH426" s="33"/>
      <c r="DI426" s="33"/>
      <c r="DJ426" s="33"/>
      <c r="DK426" s="33"/>
      <c r="DL426" s="33"/>
      <c r="DM426" s="33"/>
      <c r="DN426" s="33"/>
      <c r="DO426" s="33"/>
      <c r="DP426" s="33"/>
      <c r="DQ426" s="33"/>
      <c r="DR426" s="33"/>
      <c r="DS426" s="33"/>
      <c r="DT426" s="33"/>
      <c r="DU426" s="33"/>
      <c r="DV426" s="33"/>
      <c r="DW426" s="33"/>
      <c r="DX426" s="33"/>
      <c r="DY426" s="33"/>
      <c r="DZ426" s="33"/>
      <c r="EA426" s="33"/>
      <c r="EB426" s="33"/>
      <c r="EC426" s="33"/>
      <c r="ED426" s="33"/>
      <c r="EE426" s="33"/>
      <c r="EF426" s="33"/>
      <c r="EG426" s="33"/>
      <c r="EH426" s="33"/>
      <c r="EI426" s="33"/>
      <c r="EJ426" s="33"/>
      <c r="EK426" s="33"/>
      <c r="EL426" s="33"/>
      <c r="EM426" s="33"/>
      <c r="EN426" s="33"/>
      <c r="EO426" s="33"/>
      <c r="EP426" s="33"/>
      <c r="EQ426" s="33"/>
      <c r="ER426" s="33"/>
      <c r="ES426" s="33"/>
      <c r="ET426" s="33"/>
      <c r="EU426" s="33"/>
      <c r="EV426" s="33"/>
      <c r="EW426" s="33"/>
      <c r="EX426" s="33"/>
      <c r="EY426" s="33"/>
      <c r="EZ426" s="33"/>
      <c r="FA426" s="33"/>
      <c r="FB426" s="33"/>
      <c r="FC426" s="33"/>
      <c r="FD426" s="33"/>
      <c r="FE426" s="33"/>
      <c r="FF426" s="33"/>
      <c r="FG426" s="33"/>
      <c r="FH426" s="33"/>
    </row>
    <row r="427">
      <c r="A427" s="30" t="s">
        <v>77</v>
      </c>
      <c r="B427" s="30" t="s">
        <v>78</v>
      </c>
      <c r="C427" s="31" t="str">
        <f>HYPERLINK("https://docs.google.com/spreadsheets/d/1yTYSpseNawBbKr73aETA8G9nqWXs-5Wr/edit?usp=share_link&amp;ouid=118279477453217743021&amp;rtpof=true&amp;sd=true", "Raw Delivered")</f>
        <v>Raw Delivered</v>
      </c>
      <c r="D427" s="12">
        <f t="shared" si="1"/>
        <v>8431.217056</v>
      </c>
      <c r="E427" s="13"/>
      <c r="F427" s="14">
        <f>HYPERLINK("https://docs.google.com/spreadsheets/d/1efQXJW5Iryar_p8D6Kyc4irTzXp6XzQX", 2251.99146354166)</f>
        <v>2251.991464</v>
      </c>
      <c r="G427" s="13"/>
      <c r="H427" s="14">
        <f>HYPERLINK("https://docs.google.com/spreadsheets/d/1xj9lGY4HMocFZZB3r1MddEHfiYB4Zwie", 313.545774999999)</f>
        <v>313.545775</v>
      </c>
      <c r="I427" s="13"/>
      <c r="J427" s="14">
        <f>HYPERLINK("https://docs.google.com/spreadsheets/d/1_-9oB7Uzq5ImSn5V55gWpjQvtD9zlFUP", 597.420739583332)</f>
        <v>597.4207396</v>
      </c>
      <c r="K427" s="13"/>
      <c r="L427" s="14">
        <f t="shared" ref="L427:L428" si="214">HYPERLINK("https://docs.google.com/spreadsheets/d/1Ma7zCqUCLLDByQ4LY-upR_ry8KfMnYAG", 3018.68894791666)</f>
        <v>3018.688948</v>
      </c>
      <c r="M427" s="13"/>
      <c r="N427" s="14">
        <f>HYPERLINK("https://docs.google.com/spreadsheets/d/1EFrloTc7QxGjjwOO4gdfuYzdp66-0N2d", 355.741477083333)</f>
        <v>355.7414771</v>
      </c>
      <c r="O427" s="13"/>
      <c r="P427" s="14">
        <f t="shared" ref="P427:P428" si="215">HYPERLINK("https://docs.google.com/spreadsheets/d/1mXLRoYzCylmWV_tBSwCao-HeMnJn7J7-", 686.352081249999)</f>
        <v>686.3520812</v>
      </c>
      <c r="Q427" s="13"/>
      <c r="R427" s="14">
        <f t="shared" ref="R427:R428" si="216">HYPERLINK("https://docs.google.com/spreadsheets/d/1wOwrqImYeBTFOOHgp_Bh-uDrcp98vh0C", 808.217491666666)</f>
        <v>808.2174917</v>
      </c>
      <c r="S427" s="13"/>
      <c r="T427" s="14">
        <f t="shared" ref="T427:T428" si="217">HYPERLINK("https://docs.google.com/spreadsheets/d/1g0mpOnXv-D6JLNMQlXd7em6wQT5BoUq9", 399.259080208333)</f>
        <v>399.2590802</v>
      </c>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c r="FH427" s="13"/>
    </row>
    <row r="428">
      <c r="A428" s="32" t="s">
        <v>77</v>
      </c>
      <c r="B428" s="32" t="s">
        <v>78</v>
      </c>
      <c r="C428" s="32" t="s">
        <v>9</v>
      </c>
      <c r="D428" s="16">
        <f t="shared" si="1"/>
        <v>4912.517601</v>
      </c>
      <c r="E428" s="17"/>
      <c r="F428" s="18" t="str">
        <f>HYPERLINK("https://docs.google.com/spreadsheets/d/1efQXJW5Iryar_p8D6Kyc4irTzXp6XzQX", "RE-2251.9914635416685")</f>
        <v>RE-2251.9914635416685</v>
      </c>
      <c r="G428" s="17"/>
      <c r="H428" s="18" t="str">
        <f>HYPERLINK("https://docs.google.com/spreadsheets/d/1xj9lGY4HMocFZZB3r1MddEHfiYB4Zwie", "RE-313.5457749999998")</f>
        <v>RE-313.5457749999998</v>
      </c>
      <c r="I428" s="17"/>
      <c r="J428" s="18" t="str">
        <f>HYPERLINK("https://docs.google.com/spreadsheets/d/1_-9oB7Uzq5ImSn5V55gWpjQvtD9zlFUP", "RE-597.4207395833329")</f>
        <v>RE-597.4207395833329</v>
      </c>
      <c r="K428" s="17"/>
      <c r="L428" s="18">
        <f t="shared" si="214"/>
        <v>3018.688948</v>
      </c>
      <c r="M428" s="17"/>
      <c r="N428" s="18" t="str">
        <f>HYPERLINK("https://docs.google.com/spreadsheets/d/1EFrloTc7QxGjjwOO4gdfuYzdp66-0N2d", "RE-355.74147708333305")</f>
        <v>RE-355.74147708333305</v>
      </c>
      <c r="O428" s="17"/>
      <c r="P428" s="18">
        <f t="shared" si="215"/>
        <v>686.3520812</v>
      </c>
      <c r="Q428" s="17"/>
      <c r="R428" s="18">
        <f t="shared" si="216"/>
        <v>808.2174917</v>
      </c>
      <c r="S428" s="17"/>
      <c r="T428" s="18">
        <f t="shared" si="217"/>
        <v>399.2590802</v>
      </c>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c r="DE428" s="17"/>
      <c r="DF428" s="17"/>
      <c r="DG428" s="17"/>
      <c r="DH428" s="17"/>
      <c r="DI428" s="17"/>
      <c r="DJ428" s="17"/>
      <c r="DK428" s="17"/>
      <c r="DL428" s="17"/>
      <c r="DM428" s="17"/>
      <c r="DN428" s="17"/>
      <c r="DO428" s="17"/>
      <c r="DP428" s="17"/>
      <c r="DQ428" s="17"/>
      <c r="DR428" s="17"/>
      <c r="DS428" s="17"/>
      <c r="DT428" s="17"/>
      <c r="DU428" s="17"/>
      <c r="DV428" s="17"/>
      <c r="DW428" s="17"/>
      <c r="DX428" s="17"/>
      <c r="DY428" s="17"/>
      <c r="DZ428" s="17"/>
      <c r="EA428" s="17"/>
      <c r="EB428" s="17"/>
      <c r="EC428" s="17"/>
      <c r="ED428" s="17"/>
      <c r="EE428" s="17"/>
      <c r="EF428" s="17"/>
      <c r="EG428" s="17"/>
      <c r="EH428" s="17"/>
      <c r="EI428" s="17"/>
      <c r="EJ428" s="17"/>
      <c r="EK428" s="17"/>
      <c r="EL428" s="17"/>
      <c r="EM428" s="17"/>
      <c r="EN428" s="17"/>
      <c r="EO428" s="17"/>
      <c r="EP428" s="17"/>
      <c r="EQ428" s="17"/>
      <c r="ER428" s="17"/>
      <c r="ES428" s="17"/>
      <c r="ET428" s="17"/>
      <c r="EU428" s="17"/>
      <c r="EV428" s="17"/>
      <c r="EW428" s="17"/>
      <c r="EX428" s="17"/>
      <c r="EY428" s="17"/>
      <c r="EZ428" s="17"/>
      <c r="FA428" s="17"/>
      <c r="FB428" s="17"/>
      <c r="FC428" s="17"/>
      <c r="FD428" s="17"/>
      <c r="FE428" s="17"/>
      <c r="FF428" s="17"/>
      <c r="FG428" s="17"/>
      <c r="FH428" s="17"/>
    </row>
    <row r="429">
      <c r="A429" s="32" t="s">
        <v>77</v>
      </c>
      <c r="B429" s="32" t="s">
        <v>78</v>
      </c>
      <c r="C429" s="32" t="s">
        <v>10</v>
      </c>
      <c r="D429" s="16">
        <f t="shared" si="1"/>
        <v>524.6980969</v>
      </c>
      <c r="E429" s="17"/>
      <c r="F429" s="17"/>
      <c r="G429" s="18">
        <f>HYPERLINK("https://docs.google.com/spreadsheets/d/1O1O6OwQFykAyX_YDzqKnBb_gGKMb2KeY", 190.1575375)</f>
        <v>190.1575375</v>
      </c>
      <c r="H429" s="17"/>
      <c r="I429" s="18">
        <f>HYPERLINK("https://docs.google.com/spreadsheets/d/1rmaHdqVmnVE-E38Ic4-plAL_38hkTCJ3", 18.08495)</f>
        <v>18.08495</v>
      </c>
      <c r="J429" s="17"/>
      <c r="K429" s="18">
        <f>HYPERLINK("https://docs.google.com/spreadsheets/d/1VMUVUWEgAzUGBsN-ofA9PS1STXxuIF0p", 35.6702249999999)</f>
        <v>35.670225</v>
      </c>
      <c r="L429" s="17"/>
      <c r="M429" s="18">
        <f>HYPERLINK("https://docs.google.com/spreadsheets/d/1UMb9kTLBMeLjHXYBOliXvt_uzUOLIjK8", 96.7435802083333)</f>
        <v>96.74358021</v>
      </c>
      <c r="N429" s="17"/>
      <c r="O429" s="18">
        <f>HYPERLINK("https://docs.google.com/spreadsheets/d/1EVsY0FPYqJW2ujePOLv-MYie5jbOKPRo", 33.95225)</f>
        <v>33.95225</v>
      </c>
      <c r="P429" s="17"/>
      <c r="Q429" s="18">
        <f>HYPERLINK("https://docs.google.com/spreadsheets/d/1jybFI2ZauoN0Mx08g9Wu6ijt8wHgEiKM", 60.4616187499999)</f>
        <v>60.46161875</v>
      </c>
      <c r="R429" s="17"/>
      <c r="S429" s="18">
        <f>HYPERLINK("https://docs.google.com/spreadsheets/d/1Mk1lcXn_tfmFfP-JoNBDIbrTIW5MnyLd", 45.0656833333333)</f>
        <v>45.06568333</v>
      </c>
      <c r="T429" s="17"/>
      <c r="U429" s="18">
        <f>HYPERLINK("https://docs.google.com/spreadsheets/d/1UKUv8-73piXM3g92tSvxc2KWbR5roe0r", 37.3720541666666)</f>
        <v>37.37205417</v>
      </c>
      <c r="V429" s="18">
        <f>HYPERLINK("https://docs.google.com/spreadsheets/d/11A_euyJWU-2987XoeuXbm3Ku0V6t26lg", 7.19019791666666)</f>
        <v>7.190197917</v>
      </c>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c r="DE429" s="17"/>
      <c r="DF429" s="17"/>
      <c r="DG429" s="17"/>
      <c r="DH429" s="17"/>
      <c r="DI429" s="17"/>
      <c r="DJ429" s="17"/>
      <c r="DK429" s="17"/>
      <c r="DL429" s="17"/>
      <c r="DM429" s="17"/>
      <c r="DN429" s="17"/>
      <c r="DO429" s="17"/>
      <c r="DP429" s="17"/>
      <c r="DQ429" s="17"/>
      <c r="DR429" s="17"/>
      <c r="DS429" s="17"/>
      <c r="DT429" s="17"/>
      <c r="DU429" s="17"/>
      <c r="DV429" s="17"/>
      <c r="DW429" s="17"/>
      <c r="DX429" s="17"/>
      <c r="DY429" s="17"/>
      <c r="DZ429" s="17"/>
      <c r="EA429" s="17"/>
      <c r="EB429" s="17"/>
      <c r="EC429" s="17"/>
      <c r="ED429" s="17"/>
      <c r="EE429" s="17"/>
      <c r="EF429" s="17"/>
      <c r="EG429" s="17"/>
      <c r="EH429" s="17"/>
      <c r="EI429" s="17"/>
      <c r="EJ429" s="17"/>
      <c r="EK429" s="17"/>
      <c r="EL429" s="17"/>
      <c r="EM429" s="17"/>
      <c r="EN429" s="17"/>
      <c r="EO429" s="17"/>
      <c r="EP429" s="17"/>
      <c r="EQ429" s="17"/>
      <c r="ER429" s="17"/>
      <c r="ES429" s="17"/>
      <c r="ET429" s="17"/>
      <c r="EU429" s="17"/>
      <c r="EV429" s="17"/>
      <c r="EW429" s="17"/>
      <c r="EX429" s="17"/>
      <c r="EY429" s="17"/>
      <c r="EZ429" s="17"/>
      <c r="FA429" s="17"/>
      <c r="FB429" s="17"/>
      <c r="FC429" s="17"/>
      <c r="FD429" s="17"/>
      <c r="FE429" s="17"/>
      <c r="FF429" s="17"/>
      <c r="FG429" s="17"/>
      <c r="FH429" s="17"/>
    </row>
    <row r="430">
      <c r="A430" s="32" t="s">
        <v>77</v>
      </c>
      <c r="B430" s="32" t="s">
        <v>78</v>
      </c>
      <c r="C430" s="32" t="s">
        <v>11</v>
      </c>
      <c r="D430" s="16">
        <f t="shared" si="1"/>
        <v>0</v>
      </c>
      <c r="E430" s="17"/>
      <c r="F430" s="17"/>
      <c r="G430" s="18" t="str">
        <f>HYPERLINK("https://docs.google.com/spreadsheets/d/1O1O6OwQFykAyX_YDzqKnBb_gGKMb2KeY", "RE-190.15753750000025")</f>
        <v>RE-190.15753750000025</v>
      </c>
      <c r="H430" s="17"/>
      <c r="I430" s="18" t="str">
        <f>HYPERLINK("https://docs.google.com/spreadsheets/d/1rmaHdqVmnVE-E38Ic4-plAL_38hkTCJ3", "RE-18.08495")</f>
        <v>RE-18.08495</v>
      </c>
      <c r="J430" s="17"/>
      <c r="K430" s="18" t="str">
        <f>HYPERLINK("https://docs.google.com/spreadsheets/d/1VMUVUWEgAzUGBsN-ofA9PS1STXxuIF0p", "RE-35.670224999999995")</f>
        <v>RE-35.670224999999995</v>
      </c>
      <c r="L430" s="17"/>
      <c r="M430" s="18" t="str">
        <f>HYPERLINK("https://docs.google.com/spreadsheets/d/1UMb9kTLBMeLjHXYBOliXvt_uzUOLIjK8", "RE-96.7435802083333")</f>
        <v>RE-96.7435802083333</v>
      </c>
      <c r="N430" s="17"/>
      <c r="O430" s="18" t="str">
        <f>HYPERLINK("https://docs.google.com/spreadsheets/d/1EVsY0FPYqJW2ujePOLv-MYie5jbOKPRo", "RE-33.95225000000001")</f>
        <v>RE-33.95225000000001</v>
      </c>
      <c r="P430" s="17"/>
      <c r="Q430" s="18" t="str">
        <f>HYPERLINK("https://docs.google.com/spreadsheets/d/1jybFI2ZauoN0Mx08g9Wu6ijt8wHgEiKM", "RE-60.46161874999998")</f>
        <v>RE-60.46161874999998</v>
      </c>
      <c r="R430" s="17"/>
      <c r="S430" s="18" t="str">
        <f>HYPERLINK("https://docs.google.com/spreadsheets/d/1Mk1lcXn_tfmFfP-JoNBDIbrTIW5MnyLd", "RE-45.065683333333325")</f>
        <v>RE-45.065683333333325</v>
      </c>
      <c r="T430" s="17"/>
      <c r="U430" s="18" t="str">
        <f>HYPERLINK("https://docs.google.com/spreadsheets/d/1UKUv8-73piXM3g92tSvxc2KWbR5roe0r", "RE-37.37205416666668")</f>
        <v>RE-37.37205416666668</v>
      </c>
      <c r="V430" s="18" t="str">
        <f>HYPERLINK("https://docs.google.com/spreadsheets/d/11A_euyJWU-2987XoeuXbm3Ku0V6t26lg", "RE-7.190197916666666")</f>
        <v>RE-7.190197916666666</v>
      </c>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c r="EJ430" s="17"/>
      <c r="EK430" s="17"/>
      <c r="EL430" s="17"/>
      <c r="EM430" s="17"/>
      <c r="EN430" s="17"/>
      <c r="EO430" s="17"/>
      <c r="EP430" s="17"/>
      <c r="EQ430" s="17"/>
      <c r="ER430" s="17"/>
      <c r="ES430" s="17"/>
      <c r="ET430" s="17"/>
      <c r="EU430" s="17"/>
      <c r="EV430" s="17"/>
      <c r="EW430" s="17"/>
      <c r="EX430" s="17"/>
      <c r="EY430" s="17"/>
      <c r="EZ430" s="17"/>
      <c r="FA430" s="17"/>
      <c r="FB430" s="17"/>
      <c r="FC430" s="17"/>
      <c r="FD430" s="17"/>
      <c r="FE430" s="17"/>
      <c r="FF430" s="17"/>
      <c r="FG430" s="17"/>
      <c r="FH430" s="17"/>
    </row>
    <row r="431">
      <c r="A431" s="32" t="s">
        <v>77</v>
      </c>
      <c r="B431" s="32" t="s">
        <v>78</v>
      </c>
      <c r="C431" s="32" t="s">
        <v>12</v>
      </c>
      <c r="D431" s="16">
        <f t="shared" si="1"/>
        <v>4568.375446</v>
      </c>
      <c r="E431" s="17"/>
      <c r="F431" s="18" t="str">
        <f>HYPERLINK("https://docs.google.com/spreadsheets/d/1n16YPFNTKTTXEEV-pUqIo7LMV6QObD82", "RE-1811.846480208328")</f>
        <v>RE-1811.846480208328</v>
      </c>
      <c r="G431" s="18" t="str">
        <f>HYPERLINK("https://docs.google.com/spreadsheets/d/1gZteAwHr0o2hkicWUnPywCmOse26SaT3", "RE-4.865489583333334")</f>
        <v>RE-4.865489583333334</v>
      </c>
      <c r="H431" s="18" t="str">
        <f>HYPERLINK("https://docs.google.com/spreadsheets/d/1T6Dz1osXX3pAvp12qqhWtxn0p0NwNlze", "RE-271.95189375000024")</f>
        <v>RE-271.95189375000024</v>
      </c>
      <c r="I431" s="18" t="str">
        <f>HYPERLINK("https://docs.google.com/spreadsheets/d/1uDiyv6X1Kf5CqQ_HPykTRl-ZCZ688y4f", "RE-0.0")</f>
        <v>RE-0.0</v>
      </c>
      <c r="J431" s="18" t="str">
        <f>HYPERLINK("https://docs.google.com/spreadsheets/d/1tM3DFq7whDsZxlRQAWDeZNK_Mf-lmdHo", "RE-457.07081145833297")</f>
        <v>RE-457.07081145833297</v>
      </c>
      <c r="K431" s="18" t="str">
        <f>HYPERLINK("https://docs.google.com/spreadsheets/d/1EDQGpYPLzABQp5btxmrK5LOJXAAitZuP", "RE-2.6608666666666667")</f>
        <v>RE-2.6608666666666667</v>
      </c>
      <c r="L431" s="18">
        <f>HYPERLINK("https://docs.google.com/spreadsheets/d/1yJ0KOWr9HP12E26G71FrvVMnzgyE7WU3", 2811.40663854165)</f>
        <v>2811.406639</v>
      </c>
      <c r="M431" s="18" t="str">
        <f>HYPERLINK("https://docs.google.com/spreadsheets/d/1WR0KvlCVTmGGiohb-ivAh68E2FRiJ0aH", "RE-14.565192708333337")</f>
        <v>RE-14.565192708333337</v>
      </c>
      <c r="N431" s="18" t="str">
        <f>HYPERLINK("https://docs.google.com/spreadsheets/d/18zAzoJtg21vyuih1qXwqPbE7Gfv8cDZd", "RE-182.09652083333353")</f>
        <v>RE-182.09652083333353</v>
      </c>
      <c r="O431" s="18" t="str">
        <f>HYPERLINK("https://docs.google.com/spreadsheets/d/1ohucT5iEelzRJnMDtXhOxEh00IOYMGGf", "RE-1.5433520833333332")</f>
        <v>RE-1.5433520833333332</v>
      </c>
      <c r="P431" s="18">
        <f>HYPERLINK("https://docs.google.com/spreadsheets/d/1gtofNyHX4EW9KBwzRUOEkYYGjP8BYuex", 615.152486458333)</f>
        <v>615.1524865</v>
      </c>
      <c r="Q431" s="18" t="str">
        <f>HYPERLINK("https://docs.google.com/spreadsheets/d/1IdfUI4HftOSBag8msX6m86t4OD8j4Y1g", "RE-19.039122916666674")</f>
        <v>RE-19.039122916666674</v>
      </c>
      <c r="R431" s="18">
        <f>HYPERLINK("https://docs.google.com/spreadsheets/d/1ujuVQQQ4PYQgC3L8WTHTgtWcdTcoEXe_", 770.099780208333)</f>
        <v>770.0997802</v>
      </c>
      <c r="S431" s="18" t="str">
        <f>HYPERLINK("https://docs.google.com/spreadsheets/d/1skrZHR1xUniNVr8NI94dQglIhl0DcS0k", "RE-12.895276041666666")</f>
        <v>RE-12.895276041666666</v>
      </c>
      <c r="T431" s="18">
        <f>HYPERLINK("https://docs.google.com/spreadsheets/d/1Dw5PM7TOhgJSEaJxMtjETgIOygaZBJuK", 371.716540624999)</f>
        <v>371.7165406</v>
      </c>
      <c r="U431" s="18" t="str">
        <f>HYPERLINK("https://docs.google.com/spreadsheets/d/11WAvPLCvbP0EXWFwZ0Q-NzORs-wY-P1V", "RE-19.306100000000008")</f>
        <v>RE-19.306100000000008</v>
      </c>
      <c r="V431" s="18" t="str">
        <f>HYPERLINK("https://docs.google.com/spreadsheets/d/1YQesnWWxnf5NcqsocoNm5r0SoGsos16n", "RE-4.239675")</f>
        <v>RE-4.239675</v>
      </c>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c r="DE431" s="17"/>
      <c r="DF431" s="17"/>
      <c r="DG431" s="17"/>
      <c r="DH431" s="17"/>
      <c r="DI431" s="17"/>
      <c r="DJ431" s="17"/>
      <c r="DK431" s="17"/>
      <c r="DL431" s="17"/>
      <c r="DM431" s="17"/>
      <c r="DN431" s="17"/>
      <c r="DO431" s="17"/>
      <c r="DP431" s="17"/>
      <c r="DQ431" s="17"/>
      <c r="DR431" s="17"/>
      <c r="DS431" s="17"/>
      <c r="DT431" s="17"/>
      <c r="DU431" s="17"/>
      <c r="DV431" s="17"/>
      <c r="DW431" s="17"/>
      <c r="DX431" s="17"/>
      <c r="DY431" s="17"/>
      <c r="DZ431" s="17"/>
      <c r="EA431" s="17"/>
      <c r="EB431" s="17"/>
      <c r="EC431" s="17"/>
      <c r="ED431" s="17"/>
      <c r="EE431" s="17"/>
      <c r="EF431" s="17"/>
      <c r="EG431" s="17"/>
      <c r="EH431" s="17"/>
      <c r="EI431" s="17"/>
      <c r="EJ431" s="17"/>
      <c r="EK431" s="17"/>
      <c r="EL431" s="17"/>
      <c r="EM431" s="17"/>
      <c r="EN431" s="17"/>
      <c r="EO431" s="17"/>
      <c r="EP431" s="17"/>
      <c r="EQ431" s="17"/>
      <c r="ER431" s="17"/>
      <c r="ES431" s="17"/>
      <c r="ET431" s="17"/>
      <c r="EU431" s="17"/>
      <c r="EV431" s="17"/>
      <c r="EW431" s="17"/>
      <c r="EX431" s="17"/>
      <c r="EY431" s="17"/>
      <c r="EZ431" s="17"/>
      <c r="FA431" s="17"/>
      <c r="FB431" s="17"/>
      <c r="FC431" s="17"/>
      <c r="FD431" s="17"/>
      <c r="FE431" s="17"/>
      <c r="FF431" s="17"/>
      <c r="FG431" s="17"/>
      <c r="FH431" s="17"/>
    </row>
    <row r="432">
      <c r="A432" s="32" t="s">
        <v>77</v>
      </c>
      <c r="B432" s="32" t="s">
        <v>78</v>
      </c>
      <c r="C432" s="32" t="s">
        <v>13</v>
      </c>
      <c r="D432" s="16">
        <f t="shared" si="1"/>
        <v>4363.404</v>
      </c>
      <c r="E432" s="17"/>
      <c r="F432" s="18" t="str">
        <f>HYPERLINK("https://docs.google.com/spreadsheets/d/1StOGgxl6Pb1CcaBQkVLVZHAPolH6NbuE?usp=share_link", "RE-1774.03")</f>
        <v>RE-1774.03</v>
      </c>
      <c r="G432" s="18" t="str">
        <f>HYPERLINK("https://docs.google.com/spreadsheets/d/1qaf4AUY6XIs-pSfRiLLJcIk4gKGBDf0X?usp=share_link", "RE-4.69913")</f>
        <v>RE-4.69913</v>
      </c>
      <c r="H432" s="18" t="str">
        <f>HYPERLINK("https://docs.google.com/spreadsheets/d/1uMJ2aW1-DQESrX1L7wpKLefGV8InE-a2?usp=share_link", "RE-265.437")</f>
        <v>RE-265.437</v>
      </c>
      <c r="I432" s="17"/>
      <c r="J432" s="18" t="str">
        <f>HYPERLINK("https://docs.google.com/spreadsheets/d/1RCnMdx-_NVlx_CGZHT1guapdCU-h4V8I?usp=share_link", "RE-450.864")</f>
        <v>RE-450.864</v>
      </c>
      <c r="K432" s="18" t="str">
        <f>HYPERLINK("https://docs.google.com/spreadsheets/d/1IpWkMGj8sny_Nol-fyVI2gnD2FO671IY?usp=share_link", "RE-2.62005")</f>
        <v>RE-2.62005</v>
      </c>
      <c r="L432" s="18">
        <f>HYPERLINK("https://docs.google.com/spreadsheets/d/1mF2puE4TdZc2Ut1lRzvql6bB1Vc3v0Ke?usp=share_link", 2691.17)</f>
        <v>2691.17</v>
      </c>
      <c r="M432" s="18" t="str">
        <f>HYPERLINK("https://docs.google.com/spreadsheets/d/1CC2Z3QDtyQrqeY5xaXF0ILUL-W1imFid?usp=share_link", "RE-13.8484")</f>
        <v>RE-13.8484</v>
      </c>
      <c r="N432" s="18" t="str">
        <f>HYPERLINK("https://docs.google.com/spreadsheets/d/1QUK_06GNqMka7fWXJYesan_jxC-vZNDo?usp=share_link", "RE-176.387")</f>
        <v>RE-176.387</v>
      </c>
      <c r="O432" s="18" t="str">
        <f>HYPERLINK("https://docs.google.com/spreadsheets/d/1USMbwSU4BKvn2zxR01DvTLuLBiIKRiQd?usp=share_link", "RE-1.52063")</f>
        <v>RE-1.52063</v>
      </c>
      <c r="P432" s="18">
        <f>HYPERLINK("https://docs.google.com/spreadsheets/d/1tQ6KJ2RWLrGdgWFQ1MMzDEcK59-MSgEL?usp=share_link", 584.323)</f>
        <v>584.323</v>
      </c>
      <c r="Q432" s="18" t="str">
        <f>HYPERLINK("https://docs.google.com/spreadsheets/d/1iHFs7uB16HHx0qq_6PKzfj6yfv5q8Ca2?usp=share_link", "RE-17.4902")</f>
        <v>RE-17.4902</v>
      </c>
      <c r="R432" s="18">
        <f>HYPERLINK("https://docs.google.com/spreadsheets/d/1MeLhqpZJ0ODx8J53PPmXZ8QhCDYYRSRT?usp=share_link", 733.468)</f>
        <v>733.468</v>
      </c>
      <c r="S432" s="18" t="str">
        <f>HYPERLINK("https://docs.google.com/spreadsheets/d/17UZbLbxWTbMpvA7pkTvPuExs6Pz1Rz-Q?usp=share_link", "RE-12.0467")</f>
        <v>RE-12.0467</v>
      </c>
      <c r="T432" s="18">
        <f>HYPERLINK("https://docs.google.com/spreadsheets/d/1HBxZqQXPx9lCELKJNHwzU_DvPIflMC9s?usp=share_link", 354.443)</f>
        <v>354.443</v>
      </c>
      <c r="U432" s="18" t="str">
        <f>HYPERLINK("https://docs.google.com/spreadsheets/d/1L8YXqgMWnECa9QcOOPIvI7azWXg9OHo5?usp=share_link", "RE-17.4668")</f>
        <v>RE-17.4668</v>
      </c>
      <c r="V432" s="18" t="str">
        <f>HYPERLINK("https://docs.google.com/spreadsheets/d/14nHIrZ0AX8J5pJa8MG0wIJEDRT-rKcEp?usp=share_link", "RE-3.89788")</f>
        <v>RE-3.89788</v>
      </c>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c r="DE432" s="17"/>
      <c r="DF432" s="17"/>
      <c r="DG432" s="17"/>
      <c r="DH432" s="17"/>
      <c r="DI432" s="17"/>
      <c r="DJ432" s="17"/>
      <c r="DK432" s="17"/>
      <c r="DL432" s="17"/>
      <c r="DM432" s="17"/>
      <c r="DN432" s="17"/>
      <c r="DO432" s="17"/>
      <c r="DP432" s="17"/>
      <c r="DQ432" s="17"/>
      <c r="DR432" s="17"/>
      <c r="DS432" s="17"/>
      <c r="DT432" s="17"/>
      <c r="DU432" s="17"/>
      <c r="DV432" s="17"/>
      <c r="DW432" s="17"/>
      <c r="DX432" s="17"/>
      <c r="DY432" s="17"/>
      <c r="DZ432" s="17"/>
      <c r="EA432" s="17"/>
      <c r="EB432" s="17"/>
      <c r="EC432" s="17"/>
      <c r="ED432" s="17"/>
      <c r="EE432" s="17"/>
      <c r="EF432" s="17"/>
      <c r="EG432" s="17"/>
      <c r="EH432" s="17"/>
      <c r="EI432" s="17"/>
      <c r="EJ432" s="17"/>
      <c r="EK432" s="17"/>
      <c r="EL432" s="17"/>
      <c r="EM432" s="17"/>
      <c r="EN432" s="17"/>
      <c r="EO432" s="17"/>
      <c r="EP432" s="17"/>
      <c r="EQ432" s="17"/>
      <c r="ER432" s="17"/>
      <c r="ES432" s="17"/>
      <c r="ET432" s="17"/>
      <c r="EU432" s="17"/>
      <c r="EV432" s="17"/>
      <c r="EW432" s="17"/>
      <c r="EX432" s="17"/>
      <c r="EY432" s="17"/>
      <c r="EZ432" s="17"/>
      <c r="FA432" s="17"/>
      <c r="FB432" s="17"/>
      <c r="FC432" s="17"/>
      <c r="FD432" s="17"/>
      <c r="FE432" s="17"/>
      <c r="FF432" s="17"/>
      <c r="FG432" s="17"/>
      <c r="FH432" s="17"/>
    </row>
    <row r="433">
      <c r="A433" s="32" t="s">
        <v>77</v>
      </c>
      <c r="B433" s="32" t="s">
        <v>78</v>
      </c>
      <c r="C433" s="32" t="s">
        <v>14</v>
      </c>
      <c r="D433" s="16">
        <f t="shared" si="1"/>
        <v>3782.293</v>
      </c>
      <c r="E433" s="17"/>
      <c r="F433" s="18" t="str">
        <f>HYPERLINK("https://docs.google.com/spreadsheets/d/1SYkuXLPMygBSOIsf5Jn6VsVEpN5Efn5j?usp=share_link", "RE-1599.52")</f>
        <v>RE-1599.52</v>
      </c>
      <c r="G433" s="18" t="str">
        <f>HYPERLINK("https://docs.google.com/spreadsheets/d/1dtJ193uR5qCkB37B0XDtnQcs9ppk0XiA?usp=share_link", "RE-4.69913")</f>
        <v>RE-4.69913</v>
      </c>
      <c r="H433" s="18" t="str">
        <f>HYPERLINK("https://docs.google.com/spreadsheets/d/1mTIUT4q-3O3iwCi883Hr9Df1GziohqYF?usp=share_link", "RE-238.331")</f>
        <v>RE-238.331</v>
      </c>
      <c r="I433" s="17"/>
      <c r="J433" s="18" t="str">
        <f>HYPERLINK("https://docs.google.com/spreadsheets/d/11UUh9xn2uGDobFHFCS_6HFAMSWp-zKKL?usp=share_link", "RE-419.701")</f>
        <v>RE-419.701</v>
      </c>
      <c r="K433" s="18" t="str">
        <f>HYPERLINK("https://docs.google.com/spreadsheets/d/1IqoAvFKd3q3GCDQi3ThCmvBNJSSHyBKV?usp=share_link", "RE-2.62005")</f>
        <v>RE-2.62005</v>
      </c>
      <c r="L433" s="18">
        <f>HYPERLINK("https://docs.google.com/spreadsheets/d/1uKF9JqYvcp7DepEYR4Nje-NAk6TyvaGm?usp=share_link", 2366.94)</f>
        <v>2366.94</v>
      </c>
      <c r="M433" s="18" t="str">
        <f>HYPERLINK("https://docs.google.com/spreadsheets/d/1RTAtCtnX2DLuvCNkIJ1C7oLD_G265r4r?usp=share_link", "RE-12.7358")</f>
        <v>RE-12.7358</v>
      </c>
      <c r="N433" s="18" t="str">
        <f>HYPERLINK("https://docs.google.com/spreadsheets/d/1gJi70shp6N_IwuEHzxRXg2uALAQsTDcq?usp=share_link", "RE-151.209")</f>
        <v>RE-151.209</v>
      </c>
      <c r="O433" s="18" t="str">
        <f>HYPERLINK("https://docs.google.com/spreadsheets/d/1i_OcvUXsGmJ-kvEBW8nh5Z5rojVuk5nX?usp=share_link", "RE-1.52063")</f>
        <v>RE-1.52063</v>
      </c>
      <c r="P433" s="18">
        <f>HYPERLINK("https://docs.google.com/spreadsheets/d/1ObMNdxLdbi6PAjSFzW1eAhkqX4AK4XYQ?usp=share_link", 484.546)</f>
        <v>484.546</v>
      </c>
      <c r="Q433" s="18" t="str">
        <f>HYPERLINK("https://docs.google.com/spreadsheets/d/1AdlMr-GFiqhzW_7qYmMRlRYy0HY3ypV3?usp=share_link", "RE-14.7004")</f>
        <v>RE-14.7004</v>
      </c>
      <c r="R433" s="18">
        <f>HYPERLINK("https://docs.google.com/spreadsheets/d/1ie04eVBN5FT_LZxG7lxvjmNS0UGEFhoU?usp=share_link", 628.147)</f>
        <v>628.147</v>
      </c>
      <c r="S433" s="18" t="str">
        <f>HYPERLINK("https://docs.google.com/spreadsheets/d/1sofAgOH2EBuqSbZF3Ko4aV5N04-We8lB?usp=share_link", "RE-11.3154")</f>
        <v>RE-11.3154</v>
      </c>
      <c r="T433" s="18">
        <f>HYPERLINK("https://docs.google.com/spreadsheets/d/1nXZ4XoreJX68rLTvP1ehQ5h5DTrX6ud4?usp=share_link", 302.66)</f>
        <v>302.66</v>
      </c>
      <c r="U433" s="18" t="str">
        <f>HYPERLINK("https://docs.google.com/spreadsheets/d/19HaHfBTRwSqGuq5d2xsBJ6PHh1P21AQK?usp=share_link", "RE-14.9807")</f>
        <v>RE-14.9807</v>
      </c>
      <c r="V433" s="18" t="str">
        <f>HYPERLINK("https://docs.google.com/spreadsheets/d/1OE7Vhk78fR27d-O_DYEQcAw_bHlLMR09?usp=share_link", "RE-3.89788")</f>
        <v>RE-3.89788</v>
      </c>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c r="DE433" s="17"/>
      <c r="DF433" s="17"/>
      <c r="DG433" s="17"/>
      <c r="DH433" s="17"/>
      <c r="DI433" s="17"/>
      <c r="DJ433" s="17"/>
      <c r="DK433" s="17"/>
      <c r="DL433" s="17"/>
      <c r="DM433" s="17"/>
      <c r="DN433" s="17"/>
      <c r="DO433" s="17"/>
      <c r="DP433" s="17"/>
      <c r="DQ433" s="17"/>
      <c r="DR433" s="17"/>
      <c r="DS433" s="17"/>
      <c r="DT433" s="17"/>
      <c r="DU433" s="17"/>
      <c r="DV433" s="17"/>
      <c r="DW433" s="17"/>
      <c r="DX433" s="17"/>
      <c r="DY433" s="17"/>
      <c r="DZ433" s="17"/>
      <c r="EA433" s="17"/>
      <c r="EB433" s="17"/>
      <c r="EC433" s="17"/>
      <c r="ED433" s="17"/>
      <c r="EE433" s="17"/>
      <c r="EF433" s="17"/>
      <c r="EG433" s="17"/>
      <c r="EH433" s="17"/>
      <c r="EI433" s="17"/>
      <c r="EJ433" s="17"/>
      <c r="EK433" s="17"/>
      <c r="EL433" s="17"/>
      <c r="EM433" s="17"/>
      <c r="EN433" s="17"/>
      <c r="EO433" s="17"/>
      <c r="EP433" s="17"/>
      <c r="EQ433" s="17"/>
      <c r="ER433" s="17"/>
      <c r="ES433" s="17"/>
      <c r="ET433" s="17"/>
      <c r="EU433" s="17"/>
      <c r="EV433" s="17"/>
      <c r="EW433" s="17"/>
      <c r="EX433" s="17"/>
      <c r="EY433" s="17"/>
      <c r="EZ433" s="17"/>
      <c r="FA433" s="17"/>
      <c r="FB433" s="17"/>
      <c r="FC433" s="17"/>
      <c r="FD433" s="17"/>
      <c r="FE433" s="17"/>
      <c r="FF433" s="17"/>
      <c r="FG433" s="17"/>
      <c r="FH433" s="17"/>
    </row>
    <row r="434">
      <c r="A434" s="27" t="s">
        <v>77</v>
      </c>
      <c r="B434" s="27" t="s">
        <v>78</v>
      </c>
      <c r="C434" s="27" t="s">
        <v>15</v>
      </c>
      <c r="D434" s="28">
        <f t="shared" si="1"/>
        <v>4363.169</v>
      </c>
      <c r="E434" s="33"/>
      <c r="F434" s="34" t="str">
        <f>HYPERLINK("https://docs.google.com/spreadsheets/d/1dY0LGaiS-KOaHkv4wek8wXd557b-gep5?usp=share_link", "RE-1774.03")</f>
        <v>RE-1774.03</v>
      </c>
      <c r="G434" s="34" t="str">
        <f>HYPERLINK("https://docs.google.com/spreadsheets/d/1fTRzxkO2sGbvm6kYAQn0yeryMD8Qpq3x?usp=share_link", "RE-4.69913")</f>
        <v>RE-4.69913</v>
      </c>
      <c r="H434" s="34" t="str">
        <f>HYPERLINK("https://docs.google.com/spreadsheets/d/1kFFG40heHqCV0wvYGN6qCCy6vVz52p0V?usp=share_link", "RE-265.437")</f>
        <v>RE-265.437</v>
      </c>
      <c r="I434" s="33"/>
      <c r="J434" s="34" t="str">
        <f>HYPERLINK("https://docs.google.com/spreadsheets/d/1aMRGlOdWvg1D_haeUuXf_0guM_lU8Z38?usp=share_link", "RE-450.864")</f>
        <v>RE-450.864</v>
      </c>
      <c r="K434" s="34" t="str">
        <f>HYPERLINK("https://docs.google.com/spreadsheets/d/1Xl4osHQJKGxpD87X1_oPU-2VbL6Z9jjJ?usp=share_link", "RE-2.62005")</f>
        <v>RE-2.62005</v>
      </c>
      <c r="L434" s="34">
        <f>HYPERLINK("https://docs.google.com/spreadsheets/d/1BiXaZ_X57ipIngmPHtj3P8TUgR0fxqvI?usp=share_link", 2690.99)</f>
        <v>2690.99</v>
      </c>
      <c r="M434" s="34" t="str">
        <f>HYPERLINK("https://docs.google.com/spreadsheets/d/1kd6DnOr5zOe6oCJZlVbfZvq4gYlGtvvL?usp=share_link", "RE-13.8484")</f>
        <v>RE-13.8484</v>
      </c>
      <c r="N434" s="34" t="str">
        <f>HYPERLINK("https://docs.google.com/spreadsheets/d/1tNBpos0-pGHRsY7bEeB1P-TXP9tCfmmY?usp=share_link", "RE-176.354")</f>
        <v>RE-176.354</v>
      </c>
      <c r="O434" s="34" t="str">
        <f>HYPERLINK("https://docs.google.com/spreadsheets/d/1mR0oUzbcOXTnVtcNjrsTbgdi7vWTHWhd?usp=share_link", "RE-1.52063")</f>
        <v>RE-1.52063</v>
      </c>
      <c r="P434" s="34">
        <f>HYPERLINK("https://docs.google.com/spreadsheets/d/1FxUEH1g0IwJRj4sjKaC24uolqyCZ3XtB?usp=share_link", 584.298)</f>
        <v>584.298</v>
      </c>
      <c r="Q434" s="34" t="str">
        <f>HYPERLINK("https://docs.google.com/spreadsheets/d/1taEpEhNwxy9GMGaRHmnNjNR_5eg7DmHS?usp=share_link", "RE-17.4902")</f>
        <v>RE-17.4902</v>
      </c>
      <c r="R434" s="34">
        <f>HYPERLINK("https://docs.google.com/spreadsheets/d/1qQGczkQzR8GrGg9Xfsa9JinuVYXzpc7U?usp=share_link", 733.468)</f>
        <v>733.468</v>
      </c>
      <c r="S434" s="34" t="str">
        <f>HYPERLINK("https://docs.google.com/spreadsheets/d/19VKzBh0xKtRxUNFXUP11hF5QH1trucIc?usp=share_link", "RE-12.0364")</f>
        <v>RE-12.0364</v>
      </c>
      <c r="T434" s="34">
        <f>HYPERLINK("https://docs.google.com/spreadsheets/d/1aFqCHxopM-03XmSI6QAOyHeUI2yP1zxV?usp=share_link", 354.413)</f>
        <v>354.413</v>
      </c>
      <c r="U434" s="34" t="str">
        <f>HYPERLINK("https://docs.google.com/spreadsheets/d/1FSH1ZsZLh_B55qSQC4y2PRpTst9OsxDU?usp=share_link", "RE-17.4668")</f>
        <v>RE-17.4668</v>
      </c>
      <c r="V434" s="34" t="str">
        <f>HYPERLINK("https://docs.google.com/spreadsheets/d/1OV2OaSqlx72sgcdyqcG5XtCIYjXZVMEi?usp=share_link", "RE-3.89788")</f>
        <v>RE-3.89788</v>
      </c>
      <c r="W434" s="33"/>
      <c r="X434" s="33"/>
      <c r="Y434" s="33"/>
      <c r="Z434" s="33"/>
      <c r="AA434" s="33"/>
      <c r="AB434" s="3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c r="BA434" s="33"/>
      <c r="BB434" s="33"/>
      <c r="BC434" s="33"/>
      <c r="BD434" s="33"/>
      <c r="BE434" s="33"/>
      <c r="BF434" s="33"/>
      <c r="BG434" s="33"/>
      <c r="BH434" s="33"/>
      <c r="BI434" s="33"/>
      <c r="BJ434" s="33"/>
      <c r="BK434" s="33"/>
      <c r="BL434" s="33"/>
      <c r="BM434" s="33"/>
      <c r="BN434" s="33"/>
      <c r="BO434" s="33"/>
      <c r="BP434" s="33"/>
      <c r="BQ434" s="33"/>
      <c r="BR434" s="33"/>
      <c r="BS434" s="33"/>
      <c r="BT434" s="33"/>
      <c r="BU434" s="33"/>
      <c r="BV434" s="33"/>
      <c r="BW434" s="33"/>
      <c r="BX434" s="33"/>
      <c r="BY434" s="33"/>
      <c r="BZ434" s="33"/>
      <c r="CA434" s="33"/>
      <c r="CB434" s="33"/>
      <c r="CC434" s="33"/>
      <c r="CD434" s="33"/>
      <c r="CE434" s="33"/>
      <c r="CF434" s="33"/>
      <c r="CG434" s="33"/>
      <c r="CH434" s="33"/>
      <c r="CI434" s="33"/>
      <c r="CJ434" s="33"/>
      <c r="CK434" s="33"/>
      <c r="CL434" s="33"/>
      <c r="CM434" s="33"/>
      <c r="CN434" s="33"/>
      <c r="CO434" s="33"/>
      <c r="CP434" s="33"/>
      <c r="CQ434" s="33"/>
      <c r="CR434" s="33"/>
      <c r="CS434" s="33"/>
      <c r="CT434" s="33"/>
      <c r="CU434" s="33"/>
      <c r="CV434" s="33"/>
      <c r="CW434" s="33"/>
      <c r="CX434" s="33"/>
      <c r="CY434" s="33"/>
      <c r="CZ434" s="33"/>
      <c r="DA434" s="33"/>
      <c r="DB434" s="33"/>
      <c r="DC434" s="33"/>
      <c r="DD434" s="33"/>
      <c r="DE434" s="33"/>
      <c r="DF434" s="33"/>
      <c r="DG434" s="33"/>
      <c r="DH434" s="33"/>
      <c r="DI434" s="33"/>
      <c r="DJ434" s="33"/>
      <c r="DK434" s="33"/>
      <c r="DL434" s="33"/>
      <c r="DM434" s="33"/>
      <c r="DN434" s="33"/>
      <c r="DO434" s="33"/>
      <c r="DP434" s="33"/>
      <c r="DQ434" s="33"/>
      <c r="DR434" s="33"/>
      <c r="DS434" s="33"/>
      <c r="DT434" s="33"/>
      <c r="DU434" s="33"/>
      <c r="DV434" s="33"/>
      <c r="DW434" s="33"/>
      <c r="DX434" s="33"/>
      <c r="DY434" s="33"/>
      <c r="DZ434" s="33"/>
      <c r="EA434" s="33"/>
      <c r="EB434" s="33"/>
      <c r="EC434" s="33"/>
      <c r="ED434" s="33"/>
      <c r="EE434" s="33"/>
      <c r="EF434" s="33"/>
      <c r="EG434" s="33"/>
      <c r="EH434" s="33"/>
      <c r="EI434" s="33"/>
      <c r="EJ434" s="33"/>
      <c r="EK434" s="33"/>
      <c r="EL434" s="33"/>
      <c r="EM434" s="33"/>
      <c r="EN434" s="33"/>
      <c r="EO434" s="33"/>
      <c r="EP434" s="33"/>
      <c r="EQ434" s="33"/>
      <c r="ER434" s="33"/>
      <c r="ES434" s="33"/>
      <c r="ET434" s="33"/>
      <c r="EU434" s="33"/>
      <c r="EV434" s="33"/>
      <c r="EW434" s="33"/>
      <c r="EX434" s="33"/>
      <c r="EY434" s="33"/>
      <c r="EZ434" s="33"/>
      <c r="FA434" s="33"/>
      <c r="FB434" s="33"/>
      <c r="FC434" s="33"/>
      <c r="FD434" s="33"/>
      <c r="FE434" s="33"/>
      <c r="FF434" s="33"/>
      <c r="FG434" s="33"/>
      <c r="FH434" s="33"/>
    </row>
    <row r="435">
      <c r="A435" s="30" t="s">
        <v>17</v>
      </c>
      <c r="B435" s="30" t="s">
        <v>79</v>
      </c>
      <c r="C435" s="31" t="str">
        <f>HYPERLINK("https://docs.google.com/spreadsheets/d/1J4iOhAuwObNbPc7g7_bN2rjcLmfFDINX/edit?usp=share_link&amp;ouid=118279477453217743021&amp;rtpof=true&amp;sd=true", "Raw Delivered")</f>
        <v>Raw Delivered</v>
      </c>
      <c r="D435" s="12">
        <f t="shared" si="1"/>
        <v>5774.775479</v>
      </c>
      <c r="E435" s="13"/>
      <c r="F435" s="14">
        <f>HYPERLINK("https://docs.google.com/spreadsheets/d/1ohIMvuUgFJpKxpGRNuxusny06eMcj_F1", 223.380735416666)</f>
        <v>223.3807354</v>
      </c>
      <c r="G435" s="13"/>
      <c r="H435" s="14">
        <f>HYPERLINK("https://docs.google.com/spreadsheets/d/1lnTyHMrjJSktG911rIKlV_o-kRd-IKk2", 32.3879145833333)</f>
        <v>32.38791458</v>
      </c>
      <c r="I435" s="13"/>
      <c r="J435" s="14">
        <f>HYPERLINK("https://docs.google.com/spreadsheets/d/1BnkYgujxW5wxe-1pTR7AlxTiwzdmz-EB", 441.618502083333)</f>
        <v>441.6185021</v>
      </c>
      <c r="K435" s="13"/>
      <c r="L435" s="14">
        <f t="shared" ref="L435:L436" si="218">HYPERLINK("https://docs.google.com/spreadsheets/d/1JNiQPyRFdE6I1tMjAv15qTK1mAUOLrYL", 522.458845833333)</f>
        <v>522.4588458</v>
      </c>
      <c r="M435" s="13"/>
      <c r="N435" s="14">
        <f>HYPERLINK("https://docs.google.com/spreadsheets/d/1Cb66MM1vnB_gJXVg_I7UHjanG4R_IgD5", 3301.03852395834)</f>
        <v>3301.038524</v>
      </c>
      <c r="O435" s="13"/>
      <c r="P435" s="14">
        <f t="shared" ref="P435:P436" si="219">HYPERLINK("https://docs.google.com/spreadsheets/d/17FE8g207nP_NBFNs6Y2a2pgOguzA9m9r", 237.366754166666)</f>
        <v>237.3667542</v>
      </c>
      <c r="Q435" s="13"/>
      <c r="R435" s="14">
        <f t="shared" ref="R435:R436" si="220">HYPERLINK("https://docs.google.com/spreadsheets/d/1-rPrxCfT2fsEMZyhawByQaX5BK8A_v2U", 638.747589583334)</f>
        <v>638.7475896</v>
      </c>
      <c r="S435" s="13"/>
      <c r="T435" s="14">
        <f t="shared" ref="T435:T436" si="221">HYPERLINK("https://docs.google.com/spreadsheets/d/1RwuhM69_TSp2XXttwvMyOfq7EUEblJDk", 377.776613541666)</f>
        <v>377.7766135</v>
      </c>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row>
    <row r="436">
      <c r="A436" s="32" t="s">
        <v>17</v>
      </c>
      <c r="B436" s="32" t="s">
        <v>79</v>
      </c>
      <c r="C436" s="32" t="s">
        <v>9</v>
      </c>
      <c r="D436" s="16">
        <f t="shared" si="1"/>
        <v>1776.349803</v>
      </c>
      <c r="E436" s="17"/>
      <c r="F436" s="18" t="str">
        <f>HYPERLINK("https://docs.google.com/spreadsheets/d/1ohIMvuUgFJpKxpGRNuxusny06eMcj_F1", "RE-223.3807354166665")</f>
        <v>RE-223.3807354166665</v>
      </c>
      <c r="G436" s="17"/>
      <c r="H436" s="18" t="str">
        <f>HYPERLINK("https://docs.google.com/spreadsheets/d/1lnTyHMrjJSktG911rIKlV_o-kRd-IKk2", "RE-32.38791458333333")</f>
        <v>RE-32.38791458333333</v>
      </c>
      <c r="I436" s="17"/>
      <c r="J436" s="18" t="str">
        <f>HYPERLINK("https://docs.google.com/spreadsheets/d/1BnkYgujxW5wxe-1pTR7AlxTiwzdmz-EB", "RE-441.6185020833333")</f>
        <v>RE-441.6185020833333</v>
      </c>
      <c r="K436" s="17"/>
      <c r="L436" s="18">
        <f t="shared" si="218"/>
        <v>522.4588458</v>
      </c>
      <c r="M436" s="17"/>
      <c r="N436" s="18" t="str">
        <f>HYPERLINK("https://docs.google.com/spreadsheets/d/1Cb66MM1vnB_gJXVg_I7UHjanG4R_IgD5", "RE-3301.0385239583456")</f>
        <v>RE-3301.0385239583456</v>
      </c>
      <c r="O436" s="17"/>
      <c r="P436" s="18">
        <f t="shared" si="219"/>
        <v>237.3667542</v>
      </c>
      <c r="Q436" s="17"/>
      <c r="R436" s="18">
        <f t="shared" si="220"/>
        <v>638.7475896</v>
      </c>
      <c r="S436" s="17"/>
      <c r="T436" s="18">
        <f t="shared" si="221"/>
        <v>377.7766135</v>
      </c>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row>
    <row r="437">
      <c r="A437" s="32" t="s">
        <v>17</v>
      </c>
      <c r="B437" s="32" t="s">
        <v>79</v>
      </c>
      <c r="C437" s="32" t="s">
        <v>10</v>
      </c>
      <c r="D437" s="16">
        <f t="shared" si="1"/>
        <v>577.0282521</v>
      </c>
      <c r="E437" s="17"/>
      <c r="F437" s="17"/>
      <c r="G437" s="18">
        <f>HYPERLINK("https://docs.google.com/spreadsheets/d/1PcQ4L6TFq08UYQxVUYzkZ3NqExtvmfDj", 20.8956749999999)</f>
        <v>20.895675</v>
      </c>
      <c r="H437" s="17"/>
      <c r="I437" s="18">
        <f>HYPERLINK("https://docs.google.com/spreadsheets/d/1Ajb9vDtn1MaFWsKAebbbgnpNVCMm6c67", 2.29899583333333)</f>
        <v>2.298995833</v>
      </c>
      <c r="J437" s="17"/>
      <c r="K437" s="18">
        <f>HYPERLINK("https://docs.google.com/spreadsheets/d/1hD3ALRD8uit71xnC_SajQ1KNWeuY77py", 9.33547916666666)</f>
        <v>9.335479167</v>
      </c>
      <c r="L437" s="17"/>
      <c r="M437" s="18">
        <f>HYPERLINK("https://docs.google.com/spreadsheets/d/124BoZe84-VuzSmKrBgEiaMS38wuUakSG", 12.6336197916666)</f>
        <v>12.63361979</v>
      </c>
      <c r="N437" s="17"/>
      <c r="O437" s="18">
        <f>HYPERLINK("https://docs.google.com/spreadsheets/d/1s4OV85yWfrEu3tyu3dD8GoEJCDg8FT81", 446.52329375)</f>
        <v>446.5232938</v>
      </c>
      <c r="P437" s="17"/>
      <c r="Q437" s="18">
        <f>HYPERLINK("https://docs.google.com/spreadsheets/d/1_AU2TZFiSKWFAo6ns_LrhXHq8PtVI589", 27.25110625)</f>
        <v>27.25110625</v>
      </c>
      <c r="R437" s="17"/>
      <c r="S437" s="18">
        <f>HYPERLINK("https://docs.google.com/spreadsheets/d/1ZpheeUp1SCj3C-KJkvCebXqGFX7KehCz", 26.9039822916666)</f>
        <v>26.90398229</v>
      </c>
      <c r="T437" s="17"/>
      <c r="U437" s="18">
        <f>HYPERLINK("https://docs.google.com/spreadsheets/d/1J6abCyWc7E1zDRRUOrnDwmGKkvQzsDOm", 27.3992395833333)</f>
        <v>27.39923958</v>
      </c>
      <c r="V437" s="18">
        <f>HYPERLINK("https://docs.google.com/spreadsheets/d/1EPi3_xC6KXywfATfNfGi6Q5yUtVkihsG", 3.78686041666666)</f>
        <v>3.786860417</v>
      </c>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row>
    <row r="438">
      <c r="A438" s="32" t="s">
        <v>17</v>
      </c>
      <c r="B438" s="32" t="s">
        <v>79</v>
      </c>
      <c r="C438" s="32" t="s">
        <v>11</v>
      </c>
      <c r="D438" s="16">
        <f t="shared" si="1"/>
        <v>0</v>
      </c>
      <c r="E438" s="17"/>
      <c r="F438" s="17"/>
      <c r="G438" s="18" t="str">
        <f>HYPERLINK("https://docs.google.com/spreadsheets/d/1PcQ4L6TFq08UYQxVUYzkZ3NqExtvmfDj", "RE-20.895674999999997")</f>
        <v>RE-20.895674999999997</v>
      </c>
      <c r="H438" s="17"/>
      <c r="I438" s="18" t="str">
        <f>HYPERLINK("https://docs.google.com/spreadsheets/d/1Ajb9vDtn1MaFWsKAebbbgnpNVCMm6c67", "RE-2.2989958333333336")</f>
        <v>RE-2.2989958333333336</v>
      </c>
      <c r="J438" s="17"/>
      <c r="K438" s="18" t="str">
        <f>HYPERLINK("https://docs.google.com/spreadsheets/d/1hD3ALRD8uit71xnC_SajQ1KNWeuY77py", "RE-9.335479166666667")</f>
        <v>RE-9.335479166666667</v>
      </c>
      <c r="L438" s="17"/>
      <c r="M438" s="18" t="str">
        <f>HYPERLINK("https://docs.google.com/spreadsheets/d/124BoZe84-VuzSmKrBgEiaMS38wuUakSG", "RE-12.633619791666666")</f>
        <v>RE-12.633619791666666</v>
      </c>
      <c r="N438" s="17"/>
      <c r="O438" s="18" t="str">
        <f>HYPERLINK("https://docs.google.com/spreadsheets/d/1s4OV85yWfrEu3tyu3dD8GoEJCDg8FT81", "RE-446.5232937500008")</f>
        <v>RE-446.5232937500008</v>
      </c>
      <c r="P438" s="17"/>
      <c r="Q438" s="18" t="str">
        <f>HYPERLINK("https://docs.google.com/spreadsheets/d/1_AU2TZFiSKWFAo6ns_LrhXHq8PtVI589", "RE-27.251106250000003")</f>
        <v>RE-27.251106250000003</v>
      </c>
      <c r="R438" s="17"/>
      <c r="S438" s="18" t="str">
        <f>HYPERLINK("https://docs.google.com/spreadsheets/d/1ZpheeUp1SCj3C-KJkvCebXqGFX7KehCz", "RE-26.903982291666672")</f>
        <v>RE-26.903982291666672</v>
      </c>
      <c r="T438" s="17"/>
      <c r="U438" s="18" t="str">
        <f>HYPERLINK("https://docs.google.com/spreadsheets/d/1J6abCyWc7E1zDRRUOrnDwmGKkvQzsDOm", "RE-27.39923958333333")</f>
        <v>RE-27.39923958333333</v>
      </c>
      <c r="V438" s="18" t="str">
        <f>HYPERLINK("https://docs.google.com/spreadsheets/d/1EPi3_xC6KXywfATfNfGi6Q5yUtVkihsG", "RE-3.786860416666667")</f>
        <v>RE-3.786860416666667</v>
      </c>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row>
    <row r="439">
      <c r="A439" s="32" t="s">
        <v>17</v>
      </c>
      <c r="B439" s="32" t="s">
        <v>79</v>
      </c>
      <c r="C439" s="32" t="s">
        <v>12</v>
      </c>
      <c r="D439" s="16">
        <f t="shared" si="1"/>
        <v>1667.501779</v>
      </c>
      <c r="E439" s="17"/>
      <c r="F439" s="18" t="str">
        <f>HYPERLINK("https://docs.google.com/spreadsheets/d/1Sel-iNI0biGZZ2DEAsS2KzgH8iCkioWk", "RE-188.95679791666646")</f>
        <v>RE-188.95679791666646</v>
      </c>
      <c r="G439" s="18" t="str">
        <f>HYPERLINK("https://docs.google.com/spreadsheets/d/1rg_quOXBZhCtVtD1KDmzHRTFU1RQm6TP", "RE-1.4668187500000003")</f>
        <v>RE-1.4668187500000003</v>
      </c>
      <c r="H439" s="18" t="str">
        <f>HYPERLINK("https://docs.google.com/spreadsheets/d/1WtUZq9YPrDvvrdNCRjnYyQNyiMShe8Y3", "RE-29.556252083333334")</f>
        <v>RE-29.556252083333334</v>
      </c>
      <c r="I439" s="18" t="str">
        <f>HYPERLINK("https://docs.google.com/spreadsheets/d/104TYACFhavd70LyiZAK95i76fNrLLhTT", "RE-0.0")</f>
        <v>RE-0.0</v>
      </c>
      <c r="J439" s="18" t="str">
        <f>HYPERLINK("https://docs.google.com/spreadsheets/d/1fa0GCP4sOGjTn0vg7bT-E3J_aJXH1ikV", "RE-405.8907625")</f>
        <v>RE-405.8907625</v>
      </c>
      <c r="K439" s="18" t="str">
        <f>HYPERLINK("https://docs.google.com/spreadsheets/d/10YfhT19Rap8pLqPsG17yXmgQSrip3_LJ", "RE-1.218925")</f>
        <v>RE-1.218925</v>
      </c>
      <c r="L439" s="18">
        <f>HYPERLINK("https://docs.google.com/spreadsheets/d/1y6ZMSSh68VtxAEqrxcffEVXtAf7rHjRU", 489.664970833332)</f>
        <v>489.6649708</v>
      </c>
      <c r="M439" s="18" t="str">
        <f>HYPERLINK("https://docs.google.com/spreadsheets/d/1iLZim4T5BcX82N-7lkBzjIEnPUMtCTTr", "RE-2.498066666666667")</f>
        <v>RE-2.498066666666667</v>
      </c>
      <c r="N439" s="18" t="str">
        <f>HYPERLINK("https://docs.google.com/spreadsheets/d/192lSoQGDtoTMQv50wKCe6Lp8ZhsufgG5", "RE-2468.1720270833275")</f>
        <v>RE-2468.1720270833275</v>
      </c>
      <c r="O439" s="18" t="str">
        <f>HYPERLINK("https://docs.google.com/spreadsheets/d/1LzA_DECDlEAnljcMyXFlw6L6RDVdW8UI", "RE-6.895287499999999")</f>
        <v>RE-6.895287499999999</v>
      </c>
      <c r="P439" s="18">
        <f>HYPERLINK("https://docs.google.com/spreadsheets/d/dummy", 218.280912499999)</f>
        <v>218.2809125</v>
      </c>
      <c r="Q439" s="18" t="str">
        <f>HYPERLINK("https://docs.google.com/spreadsheets/d/14WqOQkcLpymuuDHZEQIatNW-wKbh3eWT", "RE-8.428418749999999")</f>
        <v>RE-8.428418749999999</v>
      </c>
      <c r="R439" s="18">
        <f>HYPERLINK("https://docs.google.com/spreadsheets/d/1znCdsIzkulN8HMoQfNluECqgWuD4dKuV", 604.531756250001)</f>
        <v>604.5317563</v>
      </c>
      <c r="S439" s="18" t="str">
        <f>HYPERLINK("https://docs.google.com/spreadsheets/d/1pftekFVSOqETUciUc9mynq1-F-Hx34rz", "RE-12.225805208333334")</f>
        <v>RE-12.225805208333334</v>
      </c>
      <c r="T439" s="18">
        <f>HYPERLINK("https://docs.google.com/spreadsheets/d/1-nSTxjlTcIpL-c8bviiiNJJwufUqjfES", 355.024139583332)</f>
        <v>355.0241396</v>
      </c>
      <c r="U439" s="18" t="str">
        <f>HYPERLINK("https://docs.google.com/spreadsheets/d/1-T0OyWZkNmK2t4o6udeGKajDZNHwm0GD", "RE-11.78194375")</f>
        <v>RE-11.78194375</v>
      </c>
      <c r="V439" s="18" t="str">
        <f>HYPERLINK("https://docs.google.com/spreadsheets/d/1wQL1zLQ-SyzUjbaJqtZCwN3qRlF8owMO", "RE-2.2391020833333335")</f>
        <v>RE-2.2391020833333335</v>
      </c>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row>
    <row r="440">
      <c r="A440" s="32" t="s">
        <v>17</v>
      </c>
      <c r="B440" s="32" t="s">
        <v>79</v>
      </c>
      <c r="C440" s="32" t="s">
        <v>13</v>
      </c>
      <c r="D440" s="16">
        <f t="shared" si="1"/>
        <v>1602.963</v>
      </c>
      <c r="E440" s="17"/>
      <c r="F440" s="18" t="str">
        <f>HYPERLINK("https://docs.google.com/spreadsheets/d/1sN04yMAP_Po77QtGbklru93AJOVoOsmn?usp=share_link", "RE-179.103")</f>
        <v>RE-179.103</v>
      </c>
      <c r="G440" s="18" t="str">
        <f>HYPERLINK("https://docs.google.com/spreadsheets/d/1rLSe0CfzcsZPLMt9WmNYIxeVrgnA_G2E?usp=share_link", "RE-1.40035")</f>
        <v>RE-1.40035</v>
      </c>
      <c r="H440" s="18" t="str">
        <f>HYPERLINK("https://docs.google.com/spreadsheets/d/1cJLjaib-3PMT4-yvO-t8sXwPCsCIyso1?usp=share_link", "RE-27.1197")</f>
        <v>RE-27.1197</v>
      </c>
      <c r="I440" s="17"/>
      <c r="J440" s="18" t="str">
        <f>HYPERLINK("https://docs.google.com/spreadsheets/d/1jnCo-MrGGeVolTadzobFu6merzdw6XVT?usp=share_link", "RE-401.507")</f>
        <v>RE-401.507</v>
      </c>
      <c r="K440" s="18" t="str">
        <f>HYPERLINK("https://docs.google.com/spreadsheets/d/1oeV-EjtnWmN5VfUctbibyhsjdYo2Do7t?usp=share_link", "RE-1.16672")</f>
        <v>RE-1.16672</v>
      </c>
      <c r="L440" s="18">
        <f>HYPERLINK("https://docs.google.com/spreadsheets/d/1xSy8VR0guV3UnBs3eqntYdfq7fsROiJ2?usp=share_link", 472.491)</f>
        <v>472.491</v>
      </c>
      <c r="M440" s="18" t="str">
        <f>HYPERLINK("https://docs.google.com/spreadsheets/d/1ELqG19qorpwf1EGDXLyV-gMVIgpLPn6T?usp=share_link", "RE-2.16158")</f>
        <v>RE-2.16158</v>
      </c>
      <c r="N440" s="18" t="str">
        <f>HYPERLINK("https://docs.google.com/spreadsheets/d/1AIUG2TjtAuaRkPvydWiel1kDJ_XZvh7g?usp=share_link", "RE-2388.52")</f>
        <v>RE-2388.52</v>
      </c>
      <c r="O440" s="18" t="str">
        <f>HYPERLINK("https://docs.google.com/spreadsheets/d/1r4tGT3m9s4L_QHTgtinvn-9TSx2lLvHd?usp=share_link", "RE-6.52713")</f>
        <v>RE-6.52713</v>
      </c>
      <c r="P440" s="18">
        <f>HYPERLINK("https://docs.google.com/spreadsheets/d/1OepNQodG77DqVGTzj6RptsiGmqEWaX06?usp=share_link", 208.86)</f>
        <v>208.86</v>
      </c>
      <c r="Q440" s="18" t="str">
        <f>HYPERLINK("https://docs.google.com/spreadsheets/d/16PFvSeyqacN3ZX6hb-tqL8tdTBn3ydtf?usp=share_link", "RE-7.28452")</f>
        <v>RE-7.28452</v>
      </c>
      <c r="R440" s="18">
        <f>HYPERLINK("https://docs.google.com/spreadsheets/d/1LVozHZR7281nmGmnv0EmzfPb1lPvfqL-?usp=share_link", 579.459)</f>
        <v>579.459</v>
      </c>
      <c r="S440" s="18" t="str">
        <f>HYPERLINK("https://docs.google.com/spreadsheets/d/1Ik1ko3I-XQHveVFV4mXpE6AljuQmo3pa?usp=share_link", "RE-11.4473")</f>
        <v>RE-11.4473</v>
      </c>
      <c r="T440" s="18">
        <f>HYPERLINK("https://docs.google.com/spreadsheets/d/1_KLcQLqfNH6buhNahAAot2IfO8GVYHnM?usp=share_link", 342.153)</f>
        <v>342.153</v>
      </c>
      <c r="U440" s="18" t="str">
        <f>HYPERLINK("https://docs.google.com/spreadsheets/d/1HUnujWLGsfWyghxLC6wPjegQj0jMm8em?usp=share_link", "RE-11.205")</f>
        <v>RE-11.205</v>
      </c>
      <c r="V440" s="18" t="str">
        <f>HYPERLINK("https://docs.google.com/spreadsheets/d/1AP2ANc1tN7p6SJwRegvz5Ob4yE3v7INq?usp=share_link", "RE-2.14795")</f>
        <v>RE-2.14795</v>
      </c>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row>
    <row r="441">
      <c r="A441" s="32" t="s">
        <v>17</v>
      </c>
      <c r="B441" s="32" t="s">
        <v>79</v>
      </c>
      <c r="C441" s="32" t="s">
        <v>14</v>
      </c>
      <c r="D441" s="16">
        <f t="shared" si="1"/>
        <v>1363.078</v>
      </c>
      <c r="E441" s="17"/>
      <c r="F441" s="18" t="str">
        <f>HYPERLINK("https://docs.google.com/spreadsheets/d/1miICYv_8H3M2tkIlKQ-B_JDYNOxWGesY?usp=share_link", "RE-158.603")</f>
        <v>RE-158.603</v>
      </c>
      <c r="G441" s="18" t="str">
        <f>HYPERLINK("https://docs.google.com/spreadsheets/d/1AhtPoAX_HIVFH_gpwVBXqjCK2vB6vs1-?usp=share_link", "RE-1.40035")</f>
        <v>RE-1.40035</v>
      </c>
      <c r="H441" s="18" t="str">
        <f>HYPERLINK("https://docs.google.com/spreadsheets/d/1WXJzvFeM_k31z9dH4JXHEtxRiIOfs-Au?usp=share_link", "RE-20.9996")</f>
        <v>RE-20.9996</v>
      </c>
      <c r="I441" s="17"/>
      <c r="J441" s="18" t="str">
        <f>HYPERLINK("https://docs.google.com/spreadsheets/d/1dvXX17AQZSo8F-cIisBfhHitA-VzPCBW?usp=share_link", "RE-376.363")</f>
        <v>RE-376.363</v>
      </c>
      <c r="K441" s="18" t="str">
        <f>HYPERLINK("https://docs.google.com/spreadsheets/d/10gH0VNEQWPQqBo-aAcqUtekP-lK_99HL?usp=share_link", "RE-1.16672")</f>
        <v>RE-1.16672</v>
      </c>
      <c r="L441" s="18">
        <f>HYPERLINK("https://docs.google.com/spreadsheets/d/1O5svXTfQT_yErA5FHk3rxf6hfT_xzsy6?usp=share_link", 406.94)</f>
        <v>406.94</v>
      </c>
      <c r="M441" s="18" t="str">
        <f>HYPERLINK("https://docs.google.com/spreadsheets/d/1QEW1cY4_qXOTM1daTCGxo8Ra9gTYdXDL?usp=share_link", "RE-1.78038")</f>
        <v>RE-1.78038</v>
      </c>
      <c r="N441" s="18" t="str">
        <f>HYPERLINK("https://docs.google.com/spreadsheets/d/10kip4DllaPOLySpbJj3cA1zdPkCMsG3L?usp=share_link", "RE-2130.75")</f>
        <v>RE-2130.75</v>
      </c>
      <c r="O441" s="18" t="str">
        <f>HYPERLINK("https://docs.google.com/spreadsheets/d/1efFwstsiGiRFlG_DFulHfR0capfltcLf?usp=share_link", "RE-6.43357")</f>
        <v>RE-6.43357</v>
      </c>
      <c r="P441" s="18">
        <f>HYPERLINK("https://docs.google.com/spreadsheets/d/1ip1V0Ebz_39kZJ1s66RFg3qcukpW3124?usp=share_link", 176.029)</f>
        <v>176.029</v>
      </c>
      <c r="Q441" s="18" t="str">
        <f>HYPERLINK("https://docs.google.com/spreadsheets/d/1Oh0lX7EdNCH0rdp2fuF-uXApbC_WGA5z?usp=share_link", "RE-6.17533")</f>
        <v>RE-6.17533</v>
      </c>
      <c r="R441" s="18">
        <f>HYPERLINK("https://docs.google.com/spreadsheets/d/1Bj7IXKVoaJiqgswxMX2X2ZuoYLZu8FZz?usp=share_link", 494.094)</f>
        <v>494.094</v>
      </c>
      <c r="S441" s="18" t="str">
        <f>HYPERLINK("https://docs.google.com/spreadsheets/d/1FPMS8EChDSWukgPiKhjSUUvqopxDNlKe?usp=share_link", "RE-10.8125")</f>
        <v>RE-10.8125</v>
      </c>
      <c r="T441" s="18">
        <f>HYPERLINK("https://docs.google.com/spreadsheets/d/1wwSOKFwt45ZviInLUXtDLAm2STMlhsg7?usp=share_link", 286.015)</f>
        <v>286.015</v>
      </c>
      <c r="U441" s="18" t="str">
        <f>HYPERLINK("https://docs.google.com/spreadsheets/d/1iafn0c8BjxeQ_fW4E5Nav3qkljevLYe4?usp=share_link", "RE-10.5227")</f>
        <v>RE-10.5227</v>
      </c>
      <c r="V441" s="18" t="str">
        <f>HYPERLINK("https://docs.google.com/spreadsheets/d/12uT-Lp8G72-1vIh8kcj4h3JwCwAwomnp?usp=share_link", "RE-2.14795")</f>
        <v>RE-2.14795</v>
      </c>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c r="DE441" s="17"/>
      <c r="DF441" s="17"/>
      <c r="DG441" s="17"/>
      <c r="DH441" s="17"/>
      <c r="DI441" s="17"/>
      <c r="DJ441" s="17"/>
      <c r="DK441" s="17"/>
      <c r="DL441" s="17"/>
      <c r="DM441" s="17"/>
      <c r="DN441" s="17"/>
      <c r="DO441" s="17"/>
      <c r="DP441" s="17"/>
      <c r="DQ441" s="17"/>
      <c r="DR441" s="17"/>
      <c r="DS441" s="17"/>
      <c r="DT441" s="17"/>
      <c r="DU441" s="17"/>
      <c r="DV441" s="17"/>
      <c r="DW441" s="17"/>
      <c r="DX441" s="17"/>
      <c r="DY441" s="17"/>
      <c r="DZ441" s="17"/>
      <c r="EA441" s="17"/>
      <c r="EB441" s="17"/>
      <c r="EC441" s="17"/>
      <c r="ED441" s="17"/>
      <c r="EE441" s="17"/>
      <c r="EF441" s="17"/>
      <c r="EG441" s="17"/>
      <c r="EH441" s="17"/>
      <c r="EI441" s="17"/>
      <c r="EJ441" s="17"/>
      <c r="EK441" s="17"/>
      <c r="EL441" s="17"/>
      <c r="EM441" s="17"/>
      <c r="EN441" s="17"/>
      <c r="EO441" s="17"/>
      <c r="EP441" s="17"/>
      <c r="EQ441" s="17"/>
      <c r="ER441" s="17"/>
      <c r="ES441" s="17"/>
      <c r="ET441" s="17"/>
      <c r="EU441" s="17"/>
      <c r="EV441" s="17"/>
      <c r="EW441" s="17"/>
      <c r="EX441" s="17"/>
      <c r="EY441" s="17"/>
      <c r="EZ441" s="17"/>
      <c r="FA441" s="17"/>
      <c r="FB441" s="17"/>
      <c r="FC441" s="17"/>
      <c r="FD441" s="17"/>
      <c r="FE441" s="17"/>
      <c r="FF441" s="17"/>
      <c r="FG441" s="17"/>
      <c r="FH441" s="17"/>
    </row>
    <row r="442">
      <c r="A442" s="27" t="s">
        <v>17</v>
      </c>
      <c r="B442" s="27" t="s">
        <v>79</v>
      </c>
      <c r="C442" s="27" t="s">
        <v>15</v>
      </c>
      <c r="D442" s="28">
        <f t="shared" si="1"/>
        <v>1602.963</v>
      </c>
      <c r="E442" s="33"/>
      <c r="F442" s="34" t="str">
        <f>HYPERLINK("https://docs.google.com/spreadsheets/d/11263Ht5S89QHqDNCLMyXqhCgXWE3X8vM?usp=share_link", "RE-179.103")</f>
        <v>RE-179.103</v>
      </c>
      <c r="G442" s="34" t="str">
        <f>HYPERLINK("https://docs.google.com/spreadsheets/d/12vbRb3_44l2b49Gb-9dAoZiQI9TsPpoY?usp=share_link", "RE-1.40035")</f>
        <v>RE-1.40035</v>
      </c>
      <c r="H442" s="34" t="str">
        <f>HYPERLINK("https://docs.google.com/spreadsheets/d/1dLoEgabGYEK6zMsQXHU5H15DDnah4Akh?usp=share_link", "RE-27.1197")</f>
        <v>RE-27.1197</v>
      </c>
      <c r="I442" s="33"/>
      <c r="J442" s="34" t="str">
        <f>HYPERLINK("https://docs.google.com/spreadsheets/d/1fWrR1DFGgEsJv_ee0B_qjJl55_J2D6Q9?usp=share_link", "RE-401.507")</f>
        <v>RE-401.507</v>
      </c>
      <c r="K442" s="34" t="str">
        <f>HYPERLINK("https://docs.google.com/spreadsheets/d/1TLpRtbiVuNYZ-gMJXb3L3TIf90WFJ78F?usp=share_link", "RE-1.16672")</f>
        <v>RE-1.16672</v>
      </c>
      <c r="L442" s="34">
        <f>HYPERLINK("https://docs.google.com/spreadsheets/d/1IxccICfI3QQz2HOCGsNWC-qIxC34E5mz?usp=share_link", 472.491)</f>
        <v>472.491</v>
      </c>
      <c r="M442" s="34" t="str">
        <f>HYPERLINK("https://docs.google.com/spreadsheets/d/1Ha3VvJxbAEpTbU0uOh1M_5lm256xJV5v?usp=share_link", "RE-2.16158")</f>
        <v>RE-2.16158</v>
      </c>
      <c r="N442" s="34" t="str">
        <f>HYPERLINK("https://docs.google.com/spreadsheets/d/1h-r1rLZNdvscct6rK2TkEy-JyxyAttuF?usp=share_link", "RE-2388.4")</f>
        <v>RE-2388.4</v>
      </c>
      <c r="O442" s="34" t="str">
        <f>HYPERLINK("https://docs.google.com/spreadsheets/d/1lMXa0tr3lP5h0g_zCCsJnLVP-YlTSOr2?usp=share_link", "RE-6.52713")</f>
        <v>RE-6.52713</v>
      </c>
      <c r="P442" s="34">
        <f>HYPERLINK("https://docs.google.com/spreadsheets/d/1vyb6m_knDF2IiF7jebL-1ikYb5y0Tq21?usp=share_link", 208.86)</f>
        <v>208.86</v>
      </c>
      <c r="Q442" s="34" t="str">
        <f>HYPERLINK("https://docs.google.com/spreadsheets/d/1MV3u_Bxki7UAX6TKTqJn7m_GpnRlOIbr?usp=share_link", "RE-7.28452")</f>
        <v>RE-7.28452</v>
      </c>
      <c r="R442" s="34">
        <f>HYPERLINK("https://docs.google.com/spreadsheets/d/1M0-Y11iuDH0D8tcIuDPk51vd4YKQ8h3E?usp=share_link", 579.459)</f>
        <v>579.459</v>
      </c>
      <c r="S442" s="34" t="str">
        <f>HYPERLINK("https://docs.google.com/spreadsheets/d/1vUJGgBDsWpceh_dwiF7CiKOlpsIs7YCg?usp=share_link", "RE-11.4473")</f>
        <v>RE-11.4473</v>
      </c>
      <c r="T442" s="34">
        <f>HYPERLINK("https://docs.google.com/spreadsheets/d/13Xy2KLJ2sSMunft04n-tN2-Xu22ao9a_?usp=share_link", 342.153)</f>
        <v>342.153</v>
      </c>
      <c r="U442" s="34" t="str">
        <f>HYPERLINK("https://docs.google.com/spreadsheets/d/1wJ8ntLAlSz-K27w0fi_QtjWKjxv0fAm6?usp=share_link", "RE-11.205")</f>
        <v>RE-11.205</v>
      </c>
      <c r="V442" s="34" t="str">
        <f>HYPERLINK("https://docs.google.com/spreadsheets/d/1QcfpyJYqgQENzDDg4GOcDZVH8W51Hy9b?usp=share_link", "RE-2.14795")</f>
        <v>RE-2.14795</v>
      </c>
      <c r="W442" s="33"/>
      <c r="X442" s="33"/>
      <c r="Y442" s="33"/>
      <c r="Z442" s="33"/>
      <c r="AA442" s="33"/>
      <c r="AB442" s="3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c r="BA442" s="33"/>
      <c r="BB442" s="33"/>
      <c r="BC442" s="33"/>
      <c r="BD442" s="33"/>
      <c r="BE442" s="33"/>
      <c r="BF442" s="33"/>
      <c r="BG442" s="33"/>
      <c r="BH442" s="33"/>
      <c r="BI442" s="33"/>
      <c r="BJ442" s="33"/>
      <c r="BK442" s="33"/>
      <c r="BL442" s="33"/>
      <c r="BM442" s="33"/>
      <c r="BN442" s="33"/>
      <c r="BO442" s="33"/>
      <c r="BP442" s="33"/>
      <c r="BQ442" s="33"/>
      <c r="BR442" s="33"/>
      <c r="BS442" s="33"/>
      <c r="BT442" s="33"/>
      <c r="BU442" s="33"/>
      <c r="BV442" s="33"/>
      <c r="BW442" s="33"/>
      <c r="BX442" s="33"/>
      <c r="BY442" s="33"/>
      <c r="BZ442" s="33"/>
      <c r="CA442" s="33"/>
      <c r="CB442" s="33"/>
      <c r="CC442" s="33"/>
      <c r="CD442" s="33"/>
      <c r="CE442" s="33"/>
      <c r="CF442" s="33"/>
      <c r="CG442" s="33"/>
      <c r="CH442" s="33"/>
      <c r="CI442" s="33"/>
      <c r="CJ442" s="33"/>
      <c r="CK442" s="33"/>
      <c r="CL442" s="33"/>
      <c r="CM442" s="33"/>
      <c r="CN442" s="33"/>
      <c r="CO442" s="33"/>
      <c r="CP442" s="33"/>
      <c r="CQ442" s="33"/>
      <c r="CR442" s="33"/>
      <c r="CS442" s="33"/>
      <c r="CT442" s="33"/>
      <c r="CU442" s="33"/>
      <c r="CV442" s="33"/>
      <c r="CW442" s="33"/>
      <c r="CX442" s="33"/>
      <c r="CY442" s="33"/>
      <c r="CZ442" s="33"/>
      <c r="DA442" s="33"/>
      <c r="DB442" s="33"/>
      <c r="DC442" s="33"/>
      <c r="DD442" s="33"/>
      <c r="DE442" s="33"/>
      <c r="DF442" s="33"/>
      <c r="DG442" s="33"/>
      <c r="DH442" s="33"/>
      <c r="DI442" s="33"/>
      <c r="DJ442" s="33"/>
      <c r="DK442" s="33"/>
      <c r="DL442" s="33"/>
      <c r="DM442" s="33"/>
      <c r="DN442" s="33"/>
      <c r="DO442" s="33"/>
      <c r="DP442" s="33"/>
      <c r="DQ442" s="33"/>
      <c r="DR442" s="33"/>
      <c r="DS442" s="33"/>
      <c r="DT442" s="33"/>
      <c r="DU442" s="33"/>
      <c r="DV442" s="33"/>
      <c r="DW442" s="33"/>
      <c r="DX442" s="33"/>
      <c r="DY442" s="33"/>
      <c r="DZ442" s="33"/>
      <c r="EA442" s="33"/>
      <c r="EB442" s="33"/>
      <c r="EC442" s="33"/>
      <c r="ED442" s="33"/>
      <c r="EE442" s="33"/>
      <c r="EF442" s="33"/>
      <c r="EG442" s="33"/>
      <c r="EH442" s="33"/>
      <c r="EI442" s="33"/>
      <c r="EJ442" s="33"/>
      <c r="EK442" s="33"/>
      <c r="EL442" s="33"/>
      <c r="EM442" s="33"/>
      <c r="EN442" s="33"/>
      <c r="EO442" s="33"/>
      <c r="EP442" s="33"/>
      <c r="EQ442" s="33"/>
      <c r="ER442" s="33"/>
      <c r="ES442" s="33"/>
      <c r="ET442" s="33"/>
      <c r="EU442" s="33"/>
      <c r="EV442" s="33"/>
      <c r="EW442" s="33"/>
      <c r="EX442" s="33"/>
      <c r="EY442" s="33"/>
      <c r="EZ442" s="33"/>
      <c r="FA442" s="33"/>
      <c r="FB442" s="33"/>
      <c r="FC442" s="33"/>
      <c r="FD442" s="33"/>
      <c r="FE442" s="33"/>
      <c r="FF442" s="33"/>
      <c r="FG442" s="33"/>
      <c r="FH442" s="33"/>
    </row>
    <row r="443">
      <c r="A443" s="30" t="s">
        <v>35</v>
      </c>
      <c r="B443" s="30" t="s">
        <v>80</v>
      </c>
      <c r="C443" s="31" t="str">
        <f>HYPERLINK("https://docs.google.com/spreadsheets/d/1WzAVm7d_26EAijQrg_MQPQOAb6YqF57N/edit?usp=share_link&amp;ouid=106501987799020758802&amp;rtpof=true&amp;sd=true", "Raw Delivered")</f>
        <v>Raw Delivered</v>
      </c>
      <c r="D443" s="12">
        <f t="shared" si="1"/>
        <v>5143.650814</v>
      </c>
      <c r="E443" s="13"/>
      <c r="F443" s="14">
        <f>HYPERLINK("https://docs.google.com/spreadsheets/d/1pFbA6DNG1B4ZJCI1MSesoodVEsNBkJSx", 537.059342708333)</f>
        <v>537.0593427</v>
      </c>
      <c r="G443" s="13"/>
      <c r="H443" s="14">
        <f>HYPERLINK("https://docs.google.com/spreadsheets/d/1Ho5rJS8GfQJ_VIfKbunXWGP_5nX_Jgu9", 40.8169)</f>
        <v>40.8169</v>
      </c>
      <c r="I443" s="13"/>
      <c r="J443" s="14">
        <f>HYPERLINK("https://docs.google.com/spreadsheets/d/1AfG5Je9nylcBCUJVxgqFc-tCqTtG2fGo", 1112.80943020833)</f>
        <v>1112.80943</v>
      </c>
      <c r="K443" s="13"/>
      <c r="L443" s="14">
        <f t="shared" ref="L443:L444" si="222">HYPERLINK("https://docs.google.com/spreadsheets/d/1K4AXRIEEq5wrRcn0ISn9Ss0ytTuYxDln", 1237.19766145833)</f>
        <v>1237.197661</v>
      </c>
      <c r="M443" s="13"/>
      <c r="N443" s="14">
        <f>HYPERLINK("https://docs.google.com/spreadsheets/d/1Qvcn5VWrWgEKOGlEwvwbqk0s2sSldan7", 728.544802083333)</f>
        <v>728.5448021</v>
      </c>
      <c r="O443" s="13"/>
      <c r="P443" s="14">
        <f t="shared" ref="P443:P444" si="223">HYPERLINK("https://docs.google.com/spreadsheets/d/1rSKqdbBNiOjOVxHT8eZkYgk09_fmg7wK", 351.547575)</f>
        <v>351.547575</v>
      </c>
      <c r="Q443" s="13"/>
      <c r="R443" s="14">
        <f t="shared" ref="R443:R444" si="224">HYPERLINK("https://docs.google.com/spreadsheets/d/1r5XZOMVkFnsLniHXKiMaDyW5utEQDqBg", 50.5508489583333)</f>
        <v>50.55084896</v>
      </c>
      <c r="S443" s="13"/>
      <c r="T443" s="14">
        <f t="shared" ref="T443:T444" si="225">HYPERLINK("https://docs.google.com/spreadsheets/d/1IgtpjQp3dUlEuGMgyI2wEgi5PRKcAhX5", 1085.12425312499)</f>
        <v>1085.124253</v>
      </c>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c r="FH443" s="13"/>
    </row>
    <row r="444">
      <c r="A444" s="32" t="s">
        <v>35</v>
      </c>
      <c r="B444" s="32" t="s">
        <v>80</v>
      </c>
      <c r="C444" s="32" t="s">
        <v>9</v>
      </c>
      <c r="D444" s="16">
        <f t="shared" si="1"/>
        <v>2724.420339</v>
      </c>
      <c r="E444" s="17"/>
      <c r="F444" s="18" t="str">
        <f>HYPERLINK("https://docs.google.com/spreadsheets/d/1pFbA6DNG1B4ZJCI1MSesoodVEsNBkJSx", "RE-537.0593427083331")</f>
        <v>RE-537.0593427083331</v>
      </c>
      <c r="G444" s="17"/>
      <c r="H444" s="18" t="str">
        <f>HYPERLINK("https://docs.google.com/spreadsheets/d/1Ho5rJS8GfQJ_VIfKbunXWGP_5nX_Jgu9", "RE-40.816900000000004")</f>
        <v>RE-40.816900000000004</v>
      </c>
      <c r="I444" s="17"/>
      <c r="J444" s="18" t="str">
        <f>HYPERLINK("https://docs.google.com/spreadsheets/d/1AfG5Je9nylcBCUJVxgqFc-tCqTtG2fGo", "RE-1112.8094302083343")</f>
        <v>RE-1112.8094302083343</v>
      </c>
      <c r="K444" s="17"/>
      <c r="L444" s="18">
        <f t="shared" si="222"/>
        <v>1237.197661</v>
      </c>
      <c r="M444" s="17"/>
      <c r="N444" s="18" t="str">
        <f>HYPERLINK("https://docs.google.com/spreadsheets/d/1Qvcn5VWrWgEKOGlEwvwbqk0s2sSldan7", "RE-728.5448020833333")</f>
        <v>RE-728.5448020833333</v>
      </c>
      <c r="O444" s="17"/>
      <c r="P444" s="18">
        <f t="shared" si="223"/>
        <v>351.547575</v>
      </c>
      <c r="Q444" s="17"/>
      <c r="R444" s="18">
        <f t="shared" si="224"/>
        <v>50.55084896</v>
      </c>
      <c r="S444" s="17"/>
      <c r="T444" s="18">
        <f t="shared" si="225"/>
        <v>1085.124253</v>
      </c>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c r="DE444" s="17"/>
      <c r="DF444" s="17"/>
      <c r="DG444" s="17"/>
      <c r="DH444" s="17"/>
      <c r="DI444" s="17"/>
      <c r="DJ444" s="17"/>
      <c r="DK444" s="17"/>
      <c r="DL444" s="17"/>
      <c r="DM444" s="17"/>
      <c r="DN444" s="17"/>
      <c r="DO444" s="17"/>
      <c r="DP444" s="17"/>
      <c r="DQ444" s="17"/>
      <c r="DR444" s="17"/>
      <c r="DS444" s="17"/>
      <c r="DT444" s="17"/>
      <c r="DU444" s="17"/>
      <c r="DV444" s="17"/>
      <c r="DW444" s="17"/>
      <c r="DX444" s="17"/>
      <c r="DY444" s="17"/>
      <c r="DZ444" s="17"/>
      <c r="EA444" s="17"/>
      <c r="EB444" s="17"/>
      <c r="EC444" s="17"/>
      <c r="ED444" s="17"/>
      <c r="EE444" s="17"/>
      <c r="EF444" s="17"/>
      <c r="EG444" s="17"/>
      <c r="EH444" s="17"/>
      <c r="EI444" s="17"/>
      <c r="EJ444" s="17"/>
      <c r="EK444" s="17"/>
      <c r="EL444" s="17"/>
      <c r="EM444" s="17"/>
      <c r="EN444" s="17"/>
      <c r="EO444" s="17"/>
      <c r="EP444" s="17"/>
      <c r="EQ444" s="17"/>
      <c r="ER444" s="17"/>
      <c r="ES444" s="17"/>
      <c r="ET444" s="17"/>
      <c r="EU444" s="17"/>
      <c r="EV444" s="17"/>
      <c r="EW444" s="17"/>
      <c r="EX444" s="17"/>
      <c r="EY444" s="17"/>
      <c r="EZ444" s="17"/>
      <c r="FA444" s="17"/>
      <c r="FB444" s="17"/>
      <c r="FC444" s="17"/>
      <c r="FD444" s="17"/>
      <c r="FE444" s="17"/>
      <c r="FF444" s="17"/>
      <c r="FG444" s="17"/>
      <c r="FH444" s="17"/>
    </row>
    <row r="445">
      <c r="A445" s="32" t="s">
        <v>35</v>
      </c>
      <c r="B445" s="32" t="s">
        <v>80</v>
      </c>
      <c r="C445" s="32" t="s">
        <v>10</v>
      </c>
      <c r="D445" s="16">
        <f t="shared" si="1"/>
        <v>353.8947938</v>
      </c>
      <c r="E445" s="17"/>
      <c r="F445" s="17"/>
      <c r="G445" s="18">
        <f>HYPERLINK("https://docs.google.com/spreadsheets/d/1yxQGyfMUBT3fPrSjM7kPSo6A0h6KtyJ8", 68.9585697916667)</f>
        <v>68.95856979</v>
      </c>
      <c r="H445" s="17"/>
      <c r="I445" s="18">
        <f>HYPERLINK("https://docs.google.com/spreadsheets/d/13JiAkzz3M0iCC4xG58uAuDwRi1QXb1BI", 2.62351666666666)</f>
        <v>2.623516667</v>
      </c>
      <c r="J445" s="17"/>
      <c r="K445" s="18">
        <f>HYPERLINK("https://docs.google.com/spreadsheets/d/1dEQm-4JMqbDE9wualtWceNj_Gi3qAIAF", 72.3684395833333)</f>
        <v>72.36843958</v>
      </c>
      <c r="L445" s="17"/>
      <c r="M445" s="18">
        <f>HYPERLINK("https://docs.google.com/spreadsheets/d/1udMvA-Kqd1TqT_SOdRYt1es_wvH72F9K", 47.0911354166666)</f>
        <v>47.09113542</v>
      </c>
      <c r="N445" s="17"/>
      <c r="O445" s="18">
        <f>HYPERLINK("https://docs.google.com/spreadsheets/d/1W73dB3N5aNoMM6BAKJvnQgFz4jVwvwKy", 34.6029666666666)</f>
        <v>34.60296667</v>
      </c>
      <c r="P445" s="17"/>
      <c r="Q445" s="18">
        <f>HYPERLINK("https://docs.google.com/spreadsheets/d/1L2MYdApnGVac5P_5nwHzKnNR6gAITVFB", 50.4964645833333)</f>
        <v>50.49646458</v>
      </c>
      <c r="R445" s="17"/>
      <c r="S445" s="18">
        <f>HYPERLINK("https://docs.google.com/spreadsheets/d/1u5P_EWIe3Wgu20XW_joviKpV5ZwzAVa7", 3.44231666666666)</f>
        <v>3.442316667</v>
      </c>
      <c r="T445" s="17"/>
      <c r="U445" s="18">
        <f>HYPERLINK("https://docs.google.com/spreadsheets/d/14rfb1np3z0UPgwsbbpKcOL5kGfyezF4I", 54.5419052083333)</f>
        <v>54.54190521</v>
      </c>
      <c r="V445" s="18">
        <f>HYPERLINK("https://docs.google.com/spreadsheets/d/1E__UcQHF5InqOP-XLkbPMQ0bdVDV6yvD", 19.7694791666666)</f>
        <v>19.76947917</v>
      </c>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c r="DE445" s="17"/>
      <c r="DF445" s="17"/>
      <c r="DG445" s="17"/>
      <c r="DH445" s="17"/>
      <c r="DI445" s="17"/>
      <c r="DJ445" s="17"/>
      <c r="DK445" s="17"/>
      <c r="DL445" s="17"/>
      <c r="DM445" s="17"/>
      <c r="DN445" s="17"/>
      <c r="DO445" s="17"/>
      <c r="DP445" s="17"/>
      <c r="DQ445" s="17"/>
      <c r="DR445" s="17"/>
      <c r="DS445" s="17"/>
      <c r="DT445" s="17"/>
      <c r="DU445" s="17"/>
      <c r="DV445" s="17"/>
      <c r="DW445" s="17"/>
      <c r="DX445" s="17"/>
      <c r="DY445" s="17"/>
      <c r="DZ445" s="17"/>
      <c r="EA445" s="17"/>
      <c r="EB445" s="17"/>
      <c r="EC445" s="17"/>
      <c r="ED445" s="17"/>
      <c r="EE445" s="17"/>
      <c r="EF445" s="17"/>
      <c r="EG445" s="17"/>
      <c r="EH445" s="17"/>
      <c r="EI445" s="17"/>
      <c r="EJ445" s="17"/>
      <c r="EK445" s="17"/>
      <c r="EL445" s="17"/>
      <c r="EM445" s="17"/>
      <c r="EN445" s="17"/>
      <c r="EO445" s="17"/>
      <c r="EP445" s="17"/>
      <c r="EQ445" s="17"/>
      <c r="ER445" s="17"/>
      <c r="ES445" s="17"/>
      <c r="ET445" s="17"/>
      <c r="EU445" s="17"/>
      <c r="EV445" s="17"/>
      <c r="EW445" s="17"/>
      <c r="EX445" s="17"/>
      <c r="EY445" s="17"/>
      <c r="EZ445" s="17"/>
      <c r="FA445" s="17"/>
      <c r="FB445" s="17"/>
      <c r="FC445" s="17"/>
      <c r="FD445" s="17"/>
      <c r="FE445" s="17"/>
      <c r="FF445" s="17"/>
      <c r="FG445" s="17"/>
      <c r="FH445" s="17"/>
    </row>
    <row r="446">
      <c r="A446" s="32" t="s">
        <v>35</v>
      </c>
      <c r="B446" s="32" t="s">
        <v>80</v>
      </c>
      <c r="C446" s="32" t="s">
        <v>11</v>
      </c>
      <c r="D446" s="16">
        <f t="shared" si="1"/>
        <v>0</v>
      </c>
      <c r="E446" s="17"/>
      <c r="F446" s="17"/>
      <c r="G446" s="18" t="str">
        <f>HYPERLINK("https://docs.google.com/spreadsheets/d/1yxQGyfMUBT3fPrSjM7kPSo6A0h6KtyJ8", "RE-68.95856979166673")</f>
        <v>RE-68.95856979166673</v>
      </c>
      <c r="H446" s="17"/>
      <c r="I446" s="18" t="str">
        <f>HYPERLINK("https://docs.google.com/spreadsheets/d/13JiAkzz3M0iCC4xG58uAuDwRi1QXb1BI", "RE-2.6235166666666667")</f>
        <v>RE-2.6235166666666667</v>
      </c>
      <c r="J446" s="17"/>
      <c r="K446" s="18" t="str">
        <f>HYPERLINK("https://docs.google.com/spreadsheets/d/1dEQm-4JMqbDE9wualtWceNj_Gi3qAIAF", "RE-72.36843958333337")</f>
        <v>RE-72.36843958333337</v>
      </c>
      <c r="L446" s="17"/>
      <c r="M446" s="18" t="str">
        <f>HYPERLINK("https://docs.google.com/spreadsheets/d/1udMvA-Kqd1TqT_SOdRYt1es_wvH72F9K", "RE-47.09113541666667")</f>
        <v>RE-47.09113541666667</v>
      </c>
      <c r="N446" s="17"/>
      <c r="O446" s="18" t="str">
        <f>HYPERLINK("https://docs.google.com/spreadsheets/d/1W73dB3N5aNoMM6BAKJvnQgFz4jVwvwKy", "RE-34.602966666666674")</f>
        <v>RE-34.602966666666674</v>
      </c>
      <c r="P446" s="17"/>
      <c r="Q446" s="18" t="str">
        <f>HYPERLINK("https://docs.google.com/spreadsheets/d/1L2MYdApnGVac5P_5nwHzKnNR6gAITVFB", "RE-50.49646458333334")</f>
        <v>RE-50.49646458333334</v>
      </c>
      <c r="R446" s="17"/>
      <c r="S446" s="18" t="str">
        <f>HYPERLINK("https://docs.google.com/spreadsheets/d/1u5P_EWIe3Wgu20XW_joviKpV5ZwzAVa7", "RE-3.4423166666666662")</f>
        <v>RE-3.4423166666666662</v>
      </c>
      <c r="T446" s="17"/>
      <c r="U446" s="18" t="str">
        <f>HYPERLINK("https://docs.google.com/spreadsheets/d/14rfb1np3z0UPgwsbbpKcOL5kGfyezF4I", "RE-54.54190520833331")</f>
        <v>RE-54.54190520833331</v>
      </c>
      <c r="V446" s="18" t="str">
        <f>HYPERLINK("https://docs.google.com/spreadsheets/d/1E__UcQHF5InqOP-XLkbPMQ0bdVDV6yvD", "RE-19.769479166666663")</f>
        <v>RE-19.769479166666663</v>
      </c>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c r="EJ446" s="17"/>
      <c r="EK446" s="17"/>
      <c r="EL446" s="17"/>
      <c r="EM446" s="17"/>
      <c r="EN446" s="17"/>
      <c r="EO446" s="17"/>
      <c r="EP446" s="17"/>
      <c r="EQ446" s="17"/>
      <c r="ER446" s="17"/>
      <c r="ES446" s="17"/>
      <c r="ET446" s="17"/>
      <c r="EU446" s="17"/>
      <c r="EV446" s="17"/>
      <c r="EW446" s="17"/>
      <c r="EX446" s="17"/>
      <c r="EY446" s="17"/>
      <c r="EZ446" s="17"/>
      <c r="FA446" s="17"/>
      <c r="FB446" s="17"/>
      <c r="FC446" s="17"/>
      <c r="FD446" s="17"/>
      <c r="FE446" s="17"/>
      <c r="FF446" s="17"/>
      <c r="FG446" s="17"/>
      <c r="FH446" s="17"/>
    </row>
    <row r="447">
      <c r="A447" s="32" t="s">
        <v>35</v>
      </c>
      <c r="B447" s="32" t="s">
        <v>80</v>
      </c>
      <c r="C447" s="32" t="s">
        <v>12</v>
      </c>
      <c r="D447" s="16">
        <f t="shared" si="1"/>
        <v>2508.191225</v>
      </c>
      <c r="E447" s="17"/>
      <c r="F447" s="18" t="str">
        <f>HYPERLINK("https://docs.google.com/spreadsheets/d/17JKsxlY9B7I7AxrtYn6OTB6TfPglVS0x", "RE-437.87964791666667")</f>
        <v>RE-437.87964791666667</v>
      </c>
      <c r="G447" s="18" t="str">
        <f>HYPERLINK("https://docs.google.com/spreadsheets/d/12J5_KGoYTr3A-sVUhY2594eIj40QDR8_", "RE-1.6196020833333333")</f>
        <v>RE-1.6196020833333333</v>
      </c>
      <c r="H447" s="18" t="str">
        <f>HYPERLINK("https://docs.google.com/spreadsheets/d/10uYIWU9AE4bX9Rl8uqdU9rF9hzOH38yR", "RE-31.71847083333333")</f>
        <v>RE-31.71847083333333</v>
      </c>
      <c r="I447" s="18" t="str">
        <f>HYPERLINK("https://docs.google.com/spreadsheets/d/1z77QxkZ0zXE3Ayrss4rM8f-jcrH6rxep", "RE-0.0")</f>
        <v>RE-0.0</v>
      </c>
      <c r="J447" s="18" t="str">
        <f>HYPERLINK("https://docs.google.com/spreadsheets/d/1tZoohrZQkqNjxY2cPi6qtWGYFoHNsE7m", "RE-926.9413843749996")</f>
        <v>RE-926.9413843749996</v>
      </c>
      <c r="K447" s="18" t="str">
        <f>HYPERLINK("https://docs.google.com/spreadsheets/d/1T_qLfen2IQyRL4frdLtMTo7ogDI6HV2d", "RE-4.372552083333334")</f>
        <v>RE-4.372552083333334</v>
      </c>
      <c r="L447" s="18">
        <f>HYPERLINK("https://docs.google.com/spreadsheets/d/1cvowyCYdZQpGRPVl64KT7lgnChQ1eFHc", 1131.61398125)</f>
        <v>1131.613981</v>
      </c>
      <c r="M447" s="18" t="str">
        <f>HYPERLINK("https://docs.google.com/spreadsheets/d/1LwAL_me5jkJ0LyuBqKOQMG4gF_Bi5aHM", "RE-5.483549999999999")</f>
        <v>RE-5.483549999999999</v>
      </c>
      <c r="N447" s="18" t="str">
        <f>HYPERLINK("https://docs.google.com/spreadsheets/d/1vbzdIQ7CLD59Lg0QHdk2-fUTQfi5U6Wk", "RE-530.9657979166667")</f>
        <v>RE-530.9657979166667</v>
      </c>
      <c r="O447" s="18" t="str">
        <f>HYPERLINK("https://docs.google.com/spreadsheets/d/1CCu7EbsmRRA7oSAHxxJgu4wSP1d1X0BA", "RE-2.31640625")</f>
        <v>RE-2.31640625</v>
      </c>
      <c r="P447" s="18">
        <f>HYPERLINK("https://docs.google.com/spreadsheets/d/dummy", 314.823422916666)</f>
        <v>314.8234229</v>
      </c>
      <c r="Q447" s="18" t="str">
        <f>HYPERLINK("https://docs.google.com/spreadsheets/d/1bRfB9j8yHRfZtYMzLue2gHNUVabucPsw", "RE-22.630073958333337")</f>
        <v>RE-22.630073958333337</v>
      </c>
      <c r="R447" s="18">
        <f>HYPERLINK("https://docs.google.com/spreadsheets/d/1_aGa9PyVbhB5kmCr0kyxEwIR3XL4Tbfw", 46.7744322916666)</f>
        <v>46.77443229</v>
      </c>
      <c r="S447" s="18" t="str">
        <f>HYPERLINK("https://docs.google.com/spreadsheets/d/14rIJ_bocFSTN8LXaKfCxUfm4hMwtO9O6", "RE-2.7261395833333335")</f>
        <v>RE-2.7261395833333335</v>
      </c>
      <c r="T447" s="18">
        <f>HYPERLINK("https://docs.google.com/spreadsheets/d/1YrDQ73IyKJFq_KNUgtRPuDsyqZ5eTECg", 1014.97938854166)</f>
        <v>1014.979389</v>
      </c>
      <c r="U447" s="18" t="str">
        <f>HYPERLINK("https://docs.google.com/spreadsheets/d/1Oi0HFLBAn2Xp8j90WjhjziNt7oD_0zUI", "RE-27.16328958333334")</f>
        <v>RE-27.16328958333334</v>
      </c>
      <c r="V447" s="18" t="str">
        <f>HYPERLINK("https://docs.google.com/spreadsheets/d/1vmkwrifc9DEGuzl796-HehL1g6P9yiyn", "RE-6.819285416666668")</f>
        <v>RE-6.819285416666668</v>
      </c>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7"/>
      <c r="DT447" s="17"/>
      <c r="DU447" s="17"/>
      <c r="DV447" s="17"/>
      <c r="DW447" s="17"/>
      <c r="DX447" s="17"/>
      <c r="DY447" s="17"/>
      <c r="DZ447" s="17"/>
      <c r="EA447" s="17"/>
      <c r="EB447" s="17"/>
      <c r="EC447" s="17"/>
      <c r="ED447" s="17"/>
      <c r="EE447" s="17"/>
      <c r="EF447" s="17"/>
      <c r="EG447" s="17"/>
      <c r="EH447" s="17"/>
      <c r="EI447" s="17"/>
      <c r="EJ447" s="17"/>
      <c r="EK447" s="17"/>
      <c r="EL447" s="17"/>
      <c r="EM447" s="17"/>
      <c r="EN447" s="17"/>
      <c r="EO447" s="17"/>
      <c r="EP447" s="17"/>
      <c r="EQ447" s="17"/>
      <c r="ER447" s="17"/>
      <c r="ES447" s="17"/>
      <c r="ET447" s="17"/>
      <c r="EU447" s="17"/>
      <c r="EV447" s="17"/>
      <c r="EW447" s="17"/>
      <c r="EX447" s="17"/>
      <c r="EY447" s="17"/>
      <c r="EZ447" s="17"/>
      <c r="FA447" s="17"/>
      <c r="FB447" s="17"/>
      <c r="FC447" s="17"/>
      <c r="FD447" s="17"/>
      <c r="FE447" s="17"/>
      <c r="FF447" s="17"/>
      <c r="FG447" s="17"/>
      <c r="FH447" s="17"/>
    </row>
    <row r="448">
      <c r="A448" s="32" t="s">
        <v>35</v>
      </c>
      <c r="B448" s="32" t="s">
        <v>80</v>
      </c>
      <c r="C448" s="32" t="s">
        <v>13</v>
      </c>
      <c r="D448" s="16">
        <f t="shared" si="1"/>
        <v>2434.6935</v>
      </c>
      <c r="E448" s="17"/>
      <c r="F448" s="18" t="str">
        <f>HYPERLINK("https://docs.google.com/spreadsheets/d/1i3aRtsrWJuXO8UmzoWu_ne1LyNjn46BI?usp=share_link", "RE-429.127")</f>
        <v>RE-429.127</v>
      </c>
      <c r="G448" s="18" t="str">
        <f>HYPERLINK("https://docs.google.com/spreadsheets/d/1vbkyDCKFEMHKB5koHx-dhaTFKfApkHnJ?usp=share_link", "RE-1.53772")</f>
        <v>RE-1.53772</v>
      </c>
      <c r="H448" s="18" t="str">
        <f>HYPERLINK("https://docs.google.com/spreadsheets/d/15S9QSmQKVD99qAaPlL-uYyCkUrP4nVMI?usp=share_link", "RE-30.7817")</f>
        <v>RE-30.7817</v>
      </c>
      <c r="I448" s="17"/>
      <c r="J448" s="18" t="str">
        <f>HYPERLINK("https://docs.google.com/spreadsheets/d/1FXQMrDIZ6VPCVFDXmgyDX8KSo5JANCNK?usp=share_link", "RE-905.269")</f>
        <v>RE-905.269</v>
      </c>
      <c r="K448" s="18" t="str">
        <f>HYPERLINK("https://docs.google.com/spreadsheets/d/14dZ9xOCL3iQT7TYWuwDCQpEuZIPBeBDp?usp=share_link", "RE-4.2755")</f>
        <v>RE-4.2755</v>
      </c>
      <c r="L448" s="18">
        <f>HYPERLINK("https://docs.google.com/spreadsheets/d/1wasCxwXpGQ684BgADo_e91nvF7zIfVNv?usp=share_link", 1101.68)</f>
        <v>1101.68</v>
      </c>
      <c r="M448" s="18" t="str">
        <f>HYPERLINK("https://docs.google.com/spreadsheets/d/1PiA9-h3nstu2hPzRWf7x3vnpVA2wU3BA?usp=share_link", "RE-5.288")</f>
        <v>RE-5.288</v>
      </c>
      <c r="N448" s="18" t="str">
        <f>HYPERLINK("https://docs.google.com/spreadsheets/d/1RVAcqW2lOlBL_HqMyF_NvBxeZYfWDprt?usp=share_link", "RE-516.767")</f>
        <v>RE-516.767</v>
      </c>
      <c r="O448" s="18" t="str">
        <f>HYPERLINK("https://docs.google.com/spreadsheets/d/1ceQaUiQ6eIS4BRUWDsYEgR0Q42_esqmE?usp=share_link", "RE-2.28252")</f>
        <v>RE-2.28252</v>
      </c>
      <c r="P448" s="18">
        <f>HYPERLINK("https://docs.google.com/spreadsheets/d/1TUfBpeyUIo-sJXSQDYRLGkYivqi9BKSW?usp=share_link", 303.684)</f>
        <v>303.684</v>
      </c>
      <c r="Q448" s="18" t="str">
        <f>HYPERLINK("https://docs.google.com/spreadsheets/d/1YDC5THxWrUQUl6dPphEGDjuOpH7vSyzU?usp=share_link", "RE-20.8778")</f>
        <v>RE-20.8778</v>
      </c>
      <c r="R448" s="18">
        <f>HYPERLINK("https://docs.google.com/spreadsheets/d/1Jr7uFuwgZL3Hb7y6mITtdcffBkuerVK-?usp=share_link", 45.0485)</f>
        <v>45.0485</v>
      </c>
      <c r="S448" s="18" t="str">
        <f>HYPERLINK("https://docs.google.com/spreadsheets/d/1vGEe47eJFKB5UzpoP3U4d4pR_UL9k3AT?usp=share_link", "RE-2.64593")</f>
        <v>RE-2.64593</v>
      </c>
      <c r="T448" s="18">
        <f>HYPERLINK("https://docs.google.com/spreadsheets/d/152c58JJwiP0mVEw7aJash_m97wFKUD4W?usp=share_link", 984.281)</f>
        <v>984.281</v>
      </c>
      <c r="U448" s="18" t="str">
        <f>HYPERLINK("https://docs.google.com/spreadsheets/d/1xAWBbadJsB5MOApNn4HtUgORppP4tPYv?usp=share_link", "RE-26.1441")</f>
        <v>RE-26.1441</v>
      </c>
      <c r="V448" s="18" t="str">
        <f>HYPERLINK("https://docs.google.com/spreadsheets/d/1n0jBudsiNSHaNPhA9_I5GwpsNJgfZC4F?usp=share_link", "RE-6.54005")</f>
        <v>RE-6.54005</v>
      </c>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c r="DE448" s="17"/>
      <c r="DF448" s="17"/>
      <c r="DG448" s="17"/>
      <c r="DH448" s="17"/>
      <c r="DI448" s="17"/>
      <c r="DJ448" s="17"/>
      <c r="DK448" s="17"/>
      <c r="DL448" s="17"/>
      <c r="DM448" s="17"/>
      <c r="DN448" s="17"/>
      <c r="DO448" s="17"/>
      <c r="DP448" s="17"/>
      <c r="DQ448" s="17"/>
      <c r="DR448" s="17"/>
      <c r="DS448" s="17"/>
      <c r="DT448" s="17"/>
      <c r="DU448" s="17"/>
      <c r="DV448" s="17"/>
      <c r="DW448" s="17"/>
      <c r="DX448" s="17"/>
      <c r="DY448" s="17"/>
      <c r="DZ448" s="17"/>
      <c r="EA448" s="17"/>
      <c r="EB448" s="17"/>
      <c r="EC448" s="17"/>
      <c r="ED448" s="17"/>
      <c r="EE448" s="17"/>
      <c r="EF448" s="17"/>
      <c r="EG448" s="17"/>
      <c r="EH448" s="17"/>
      <c r="EI448" s="17"/>
      <c r="EJ448" s="17"/>
      <c r="EK448" s="17"/>
      <c r="EL448" s="17"/>
      <c r="EM448" s="17"/>
      <c r="EN448" s="17"/>
      <c r="EO448" s="17"/>
      <c r="EP448" s="17"/>
      <c r="EQ448" s="17"/>
      <c r="ER448" s="17"/>
      <c r="ES448" s="17"/>
      <c r="ET448" s="17"/>
      <c r="EU448" s="17"/>
      <c r="EV448" s="17"/>
      <c r="EW448" s="17"/>
      <c r="EX448" s="17"/>
      <c r="EY448" s="17"/>
      <c r="EZ448" s="17"/>
      <c r="FA448" s="17"/>
      <c r="FB448" s="17"/>
      <c r="FC448" s="17"/>
      <c r="FD448" s="17"/>
      <c r="FE448" s="17"/>
      <c r="FF448" s="17"/>
      <c r="FG448" s="17"/>
      <c r="FH448" s="17"/>
    </row>
    <row r="449">
      <c r="A449" s="32" t="s">
        <v>35</v>
      </c>
      <c r="B449" s="32" t="s">
        <v>80</v>
      </c>
      <c r="C449" s="32" t="s">
        <v>14</v>
      </c>
      <c r="D449" s="16">
        <f t="shared" si="1"/>
        <v>2138.25</v>
      </c>
      <c r="E449" s="17"/>
      <c r="F449" s="18" t="str">
        <f>HYPERLINK("https://docs.google.com/spreadsheets/d/16HUCJC3m8bpGjrzX8f3-02YQ_-BCJQ5X?usp=share_link", "RE-391.495")</f>
        <v>RE-391.495</v>
      </c>
      <c r="G449" s="18" t="str">
        <f>HYPERLINK("https://docs.google.com/spreadsheets/d/1JNFZr9DRMDSWiHRl8-kvivTn8sjFcdWh?usp=share_link", "RE-1.53772")</f>
        <v>RE-1.53772</v>
      </c>
      <c r="H449" s="18" t="str">
        <f>HYPERLINK("https://docs.google.com/spreadsheets/d/1R1C8i_SOyKzSqz4NXXkpjvacxTLFzDpu?usp=share_link", "RE-27.6476")</f>
        <v>RE-27.6476</v>
      </c>
      <c r="I449" s="17"/>
      <c r="J449" s="18" t="str">
        <f>HYPERLINK("https://docs.google.com/spreadsheets/d/1Gcaq2bNqLgxkCyYkoYw3FbhPtXvoO6qh?usp=share_link", "RE-836.474")</f>
        <v>RE-836.474</v>
      </c>
      <c r="K449" s="18" t="str">
        <f>HYPERLINK("https://docs.google.com/spreadsheets/d/1QWZLE7jg_bxhgk5gpoE5t29MEX7Wir2g?usp=share_link", "RE-3.94307")</f>
        <v>RE-3.94307</v>
      </c>
      <c r="L449" s="18">
        <f>HYPERLINK("https://docs.google.com/spreadsheets/d/1zmJ1HfP_5i_O-ZAG2w08LfWy6HP2arn_?usp=share_link", 976.953)</f>
        <v>976.953</v>
      </c>
      <c r="M449" s="18" t="str">
        <f>HYPERLINK("https://docs.google.com/spreadsheets/d/12EnuGVta3Yv_p1J4B4JRc8EglMS9ZC8M?usp=share_link", "RE-4.6012")</f>
        <v>RE-4.6012</v>
      </c>
      <c r="N449" s="18" t="str">
        <f>HYPERLINK("https://docs.google.com/spreadsheets/d/1geQxmbRqj_jeLk2OISoeyVwdmZca9vtT?usp=share_link", "RE-443.719")</f>
        <v>RE-443.719</v>
      </c>
      <c r="O449" s="18" t="str">
        <f>HYPERLINK("https://docs.google.com/spreadsheets/d/1rTpHLcUxkw3lm4FAku4gPtgxzgwrb0lO?usp=share_link", "RE-2.28252")</f>
        <v>RE-2.28252</v>
      </c>
      <c r="P449" s="18">
        <f>HYPERLINK("https://docs.google.com/spreadsheets/d/1k9MWCI6jDT3DQiMvvO3jj32nyWulX3v4?usp=share_link", 260.971)</f>
        <v>260.971</v>
      </c>
      <c r="Q449" s="18" t="str">
        <f>HYPERLINK("https://docs.google.com/spreadsheets/d/1yCPm26oYh6F2C-651yVHtiuuaul81Etc?usp=share_link", "RE-16.7938")</f>
        <v>RE-16.7938</v>
      </c>
      <c r="R449" s="18">
        <f>HYPERLINK("https://docs.google.com/spreadsheets/d/1C79lQpbYDHRirgwfgLeqGLjAA8DiD0z_?usp=share_link", 37.62)</f>
        <v>37.62</v>
      </c>
      <c r="S449" s="18" t="str">
        <f>HYPERLINK("https://docs.google.com/spreadsheets/d/1ChzoERtGZT_ZK1Wgd33K-w3V62xh2zpD?usp=share_link", "RE-2.45358")</f>
        <v>RE-2.45358</v>
      </c>
      <c r="T449" s="18">
        <f>HYPERLINK("https://docs.google.com/spreadsheets/d/1ym-HP7eGUpVf1GpRBB9COHayEoRfv2bR?usp=share_link", 862.706)</f>
        <v>862.706</v>
      </c>
      <c r="U449" s="18" t="str">
        <f>HYPERLINK("https://docs.google.com/spreadsheets/d/1mE4w0xcWPsdLfxcDTDyK-ZGd3ltxssNa?usp=share_link", "RE-21.2478")</f>
        <v>RE-21.2478</v>
      </c>
      <c r="V449" s="18" t="str">
        <f>HYPERLINK("https://docs.google.com/spreadsheets/d/10-9Io_Gy_iPbmKMvunXCcXy8Z12DHphk?usp=share_link", "RE-5.28688")</f>
        <v>RE-5.28688</v>
      </c>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c r="DE449" s="17"/>
      <c r="DF449" s="17"/>
      <c r="DG449" s="17"/>
      <c r="DH449" s="17"/>
      <c r="DI449" s="17"/>
      <c r="DJ449" s="17"/>
      <c r="DK449" s="17"/>
      <c r="DL449" s="17"/>
      <c r="DM449" s="17"/>
      <c r="DN449" s="17"/>
      <c r="DO449" s="17"/>
      <c r="DP449" s="17"/>
      <c r="DQ449" s="17"/>
      <c r="DR449" s="17"/>
      <c r="DS449" s="17"/>
      <c r="DT449" s="17"/>
      <c r="DU449" s="17"/>
      <c r="DV449" s="17"/>
      <c r="DW449" s="17"/>
      <c r="DX449" s="17"/>
      <c r="DY449" s="17"/>
      <c r="DZ449" s="17"/>
      <c r="EA449" s="17"/>
      <c r="EB449" s="17"/>
      <c r="EC449" s="17"/>
      <c r="ED449" s="17"/>
      <c r="EE449" s="17"/>
      <c r="EF449" s="17"/>
      <c r="EG449" s="17"/>
      <c r="EH449" s="17"/>
      <c r="EI449" s="17"/>
      <c r="EJ449" s="17"/>
      <c r="EK449" s="17"/>
      <c r="EL449" s="17"/>
      <c r="EM449" s="17"/>
      <c r="EN449" s="17"/>
      <c r="EO449" s="17"/>
      <c r="EP449" s="17"/>
      <c r="EQ449" s="17"/>
      <c r="ER449" s="17"/>
      <c r="ES449" s="17"/>
      <c r="ET449" s="17"/>
      <c r="EU449" s="17"/>
      <c r="EV449" s="17"/>
      <c r="EW449" s="17"/>
      <c r="EX449" s="17"/>
      <c r="EY449" s="17"/>
      <c r="EZ449" s="17"/>
      <c r="FA449" s="17"/>
      <c r="FB449" s="17"/>
      <c r="FC449" s="17"/>
      <c r="FD449" s="17"/>
      <c r="FE449" s="17"/>
      <c r="FF449" s="17"/>
      <c r="FG449" s="17"/>
      <c r="FH449" s="17"/>
    </row>
    <row r="450">
      <c r="A450" s="27" t="s">
        <v>35</v>
      </c>
      <c r="B450" s="27" t="s">
        <v>80</v>
      </c>
      <c r="C450" s="27" t="s">
        <v>15</v>
      </c>
      <c r="D450" s="28">
        <f t="shared" si="1"/>
        <v>2434.3835</v>
      </c>
      <c r="E450" s="33"/>
      <c r="F450" s="34" t="str">
        <f>HYPERLINK("https://docs.google.com/spreadsheets/d/1a2K706z5dguGNwg9HRgndFFlOf7OThdn?usp=share_link", "RE-429.127")</f>
        <v>RE-429.127</v>
      </c>
      <c r="G450" s="34" t="str">
        <f>HYPERLINK("https://docs.google.com/spreadsheets/d/1mIU7-NmRL0JLVo7Y_5870ORSwcpHk6Q5?usp=share_link", "RE-1.53772")</f>
        <v>RE-1.53772</v>
      </c>
      <c r="H450" s="34" t="str">
        <f>HYPERLINK("https://docs.google.com/spreadsheets/d/1_O3xL1ClG-xao1foUAeUzgIrul2sYWEa?usp=share_link", "RE-30.7817")</f>
        <v>RE-30.7817</v>
      </c>
      <c r="I450" s="33"/>
      <c r="J450" s="34" t="str">
        <f>HYPERLINK("https://docs.google.com/spreadsheets/d/1J-sYEa6pu_fOr03USW93xotVWNVmHcHA?usp=share_link", "RE-905.269")</f>
        <v>RE-905.269</v>
      </c>
      <c r="K450" s="34" t="str">
        <f>HYPERLINK("https://docs.google.com/spreadsheets/d/1L2RbZdPJDnxl0VcivUkeP8W4VM8RltJv?usp=share_link", "RE-4.2755")</f>
        <v>RE-4.2755</v>
      </c>
      <c r="L450" s="34">
        <f>HYPERLINK("https://docs.google.com/spreadsheets/d/1WZkB4IaXzksiHEJ4LfgiqSuW-7Ae1HS-?usp=share_link", 1101.37)</f>
        <v>1101.37</v>
      </c>
      <c r="M450" s="34" t="str">
        <f>HYPERLINK("https://docs.google.com/spreadsheets/d/1SCD4hGKILCjqMOYhoxYzW8DgKtr_kJFs?usp=share_link", "RE-5.288")</f>
        <v>RE-5.288</v>
      </c>
      <c r="N450" s="34" t="str">
        <f>HYPERLINK("https://docs.google.com/spreadsheets/d/1KvIZ0lAICXe7wt8fEtE8JDpRpeu5hKP8?usp=share_link", "RE-516.757")</f>
        <v>RE-516.757</v>
      </c>
      <c r="O450" s="34" t="str">
        <f>HYPERLINK("https://docs.google.com/spreadsheets/d/18UI1j6RqlXKvlND14ThPcW34DupPOj7H?usp=share_link", "RE-2.28252")</f>
        <v>RE-2.28252</v>
      </c>
      <c r="P450" s="34">
        <f>HYPERLINK("https://docs.google.com/spreadsheets/d/1NJ5mEJydZhqTA_--4srjH8lE9iKwBehv?usp=share_link", 303.684)</f>
        <v>303.684</v>
      </c>
      <c r="Q450" s="34" t="str">
        <f>HYPERLINK("https://docs.google.com/spreadsheets/d/1UyCtZD9IkKO1qJ85LgvsQzAyEwEMC0Jv?usp=share_link", "RE-20.8778")</f>
        <v>RE-20.8778</v>
      </c>
      <c r="R450" s="34">
        <f>HYPERLINK("https://docs.google.com/spreadsheets/d/1cBulJlFFgC2BgANo6giXgXwIWCP8ycki?usp=share_link", 45.0485)</f>
        <v>45.0485</v>
      </c>
      <c r="S450" s="34" t="str">
        <f>HYPERLINK("https://docs.google.com/spreadsheets/d/1yyvxZqytuY8HoHP0otfBrVBr1jRi9ycv?usp=share_link", "RE-2.64593")</f>
        <v>RE-2.64593</v>
      </c>
      <c r="T450" s="34">
        <f>HYPERLINK("https://docs.google.com/spreadsheets/d/1SJYn1nH54LK_qg4UnqB-q6hUf8GANza8?usp=share_link", 984.281)</f>
        <v>984.281</v>
      </c>
      <c r="U450" s="34" t="str">
        <f>HYPERLINK("https://docs.google.com/spreadsheets/d/1xEFtYGwfVkWGWCOWuzWc1Jmmf6NxmBTj?usp=share_link", "RE-26.1441")</f>
        <v>RE-26.1441</v>
      </c>
      <c r="V450" s="34" t="str">
        <f>HYPERLINK("https://docs.google.com/spreadsheets/d/1hp3eWTLg2Oti4Yvb20TRFpbOItbsrY4o?usp=share_link", "RE-6.54005")</f>
        <v>RE-6.54005</v>
      </c>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c r="BA450" s="33"/>
      <c r="BB450" s="33"/>
      <c r="BC450" s="33"/>
      <c r="BD450" s="33"/>
      <c r="BE450" s="33"/>
      <c r="BF450" s="33"/>
      <c r="BG450" s="33"/>
      <c r="BH450" s="33"/>
      <c r="BI450" s="33"/>
      <c r="BJ450" s="33"/>
      <c r="BK450" s="33"/>
      <c r="BL450" s="33"/>
      <c r="BM450" s="33"/>
      <c r="BN450" s="33"/>
      <c r="BO450" s="33"/>
      <c r="BP450" s="33"/>
      <c r="BQ450" s="33"/>
      <c r="BR450" s="33"/>
      <c r="BS450" s="33"/>
      <c r="BT450" s="33"/>
      <c r="BU450" s="33"/>
      <c r="BV450" s="33"/>
      <c r="BW450" s="33"/>
      <c r="BX450" s="33"/>
      <c r="BY450" s="33"/>
      <c r="BZ450" s="33"/>
      <c r="CA450" s="33"/>
      <c r="CB450" s="33"/>
      <c r="CC450" s="33"/>
      <c r="CD450" s="33"/>
      <c r="CE450" s="33"/>
      <c r="CF450" s="33"/>
      <c r="CG450" s="33"/>
      <c r="CH450" s="33"/>
      <c r="CI450" s="33"/>
      <c r="CJ450" s="33"/>
      <c r="CK450" s="33"/>
      <c r="CL450" s="33"/>
      <c r="CM450" s="33"/>
      <c r="CN450" s="33"/>
      <c r="CO450" s="33"/>
      <c r="CP450" s="33"/>
      <c r="CQ450" s="33"/>
      <c r="CR450" s="33"/>
      <c r="CS450" s="33"/>
      <c r="CT450" s="33"/>
      <c r="CU450" s="33"/>
      <c r="CV450" s="33"/>
      <c r="CW450" s="33"/>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33"/>
      <c r="EP450" s="33"/>
      <c r="EQ450" s="33"/>
      <c r="ER450" s="33"/>
      <c r="ES450" s="33"/>
      <c r="ET450" s="33"/>
      <c r="EU450" s="33"/>
      <c r="EV450" s="33"/>
      <c r="EW450" s="33"/>
      <c r="EX450" s="33"/>
      <c r="EY450" s="33"/>
      <c r="EZ450" s="33"/>
      <c r="FA450" s="33"/>
      <c r="FB450" s="33"/>
      <c r="FC450" s="33"/>
      <c r="FD450" s="33"/>
      <c r="FE450" s="33"/>
      <c r="FF450" s="33"/>
      <c r="FG450" s="33"/>
      <c r="FH450" s="33"/>
    </row>
    <row r="451">
      <c r="A451" s="30" t="s">
        <v>28</v>
      </c>
      <c r="B451" s="30" t="s">
        <v>81</v>
      </c>
      <c r="C451" s="31" t="str">
        <f>HYPERLINK("https://docs.google.com/spreadsheets/d/1h-7EhCz1QWm7oau-k9ZLL2hIV9gab08y/edit?usp=share_link&amp;ouid=106501987799020758802&amp;rtpof=true&amp;sd=true", "Raw Delivered")</f>
        <v>Raw Delivered</v>
      </c>
      <c r="D451" s="12">
        <f t="shared" si="1"/>
        <v>5575.050744</v>
      </c>
      <c r="E451" s="13"/>
      <c r="F451" s="14">
        <f>HYPERLINK("https://docs.google.com/spreadsheets/d/1FZQJ331APDiRhYEB2r1I4whNGGb0GuC-", 703.863414583333)</f>
        <v>703.8634146</v>
      </c>
      <c r="G451" s="13"/>
      <c r="H451" s="14">
        <f>HYPERLINK("https://docs.google.com/spreadsheets/d/1pA02GbPtze2VlZfu4oGslF4buNN3cJz2", 346.290310416666)</f>
        <v>346.2903104</v>
      </c>
      <c r="I451" s="13"/>
      <c r="J451" s="14">
        <f>HYPERLINK("https://docs.google.com/spreadsheets/d/1w--V0BJbpM1vax_HAruO1wtV0swuBkvv", 67.7200604166666)</f>
        <v>67.72006042</v>
      </c>
      <c r="K451" s="13"/>
      <c r="L451" s="14">
        <f t="shared" ref="L451:L452" si="226">HYPERLINK("https://docs.google.com/spreadsheets/d/1Y-sduyIeLgvtOeRTR7MhAFfoORdXGJiM", 518.938343749999)</f>
        <v>518.9383437</v>
      </c>
      <c r="M451" s="13"/>
      <c r="N451" s="14">
        <f>HYPERLINK("https://docs.google.com/spreadsheets/d/1JgcEuNmonGrevjhla6VTzBNKoriBoafu", 1388.24146354166)</f>
        <v>1388.241464</v>
      </c>
      <c r="O451" s="13"/>
      <c r="P451" s="14">
        <f t="shared" ref="P451:P452" si="227">HYPERLINK("https://docs.google.com/spreadsheets/d/11ggsHfGzwtNQp7cfQJyHyV7op_WmqfLy", 1361.47288229166)</f>
        <v>1361.472882</v>
      </c>
      <c r="Q451" s="13"/>
      <c r="R451" s="14">
        <f t="shared" ref="R451:R452" si="228">HYPERLINK("https://docs.google.com/spreadsheets/d/1e33v_I3NERu6wWrvrYkuETjRShBS9ng3", 773.653628124999)</f>
        <v>773.6536281</v>
      </c>
      <c r="S451" s="13"/>
      <c r="T451" s="14">
        <f t="shared" ref="T451:T452" si="229">HYPERLINK("https://docs.google.com/spreadsheets/d/1HC_RDdjFiaI9xuNgc0hzB9DdOh4O5KJB", 414.870640624998)</f>
        <v>414.8706406</v>
      </c>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row>
    <row r="452">
      <c r="A452" s="32" t="s">
        <v>28</v>
      </c>
      <c r="B452" s="32" t="s">
        <v>81</v>
      </c>
      <c r="C452" s="32" t="s">
        <v>9</v>
      </c>
      <c r="D452" s="16">
        <f t="shared" si="1"/>
        <v>3068.935495</v>
      </c>
      <c r="E452" s="17"/>
      <c r="F452" s="18" t="str">
        <f>HYPERLINK("https://docs.google.com/spreadsheets/d/1FZQJ331APDiRhYEB2r1I4whNGGb0GuC-", "RE-703.8634145833333")</f>
        <v>RE-703.8634145833333</v>
      </c>
      <c r="G452" s="17"/>
      <c r="H452" s="18" t="str">
        <f>HYPERLINK("https://docs.google.com/spreadsheets/d/1pA02GbPtze2VlZfu4oGslF4buNN3cJz2", "RE-346.2903104166665")</f>
        <v>RE-346.2903104166665</v>
      </c>
      <c r="I452" s="17"/>
      <c r="J452" s="18" t="str">
        <f>HYPERLINK("https://docs.google.com/spreadsheets/d/1w--V0BJbpM1vax_HAruO1wtV0swuBkvv", "RE-67.72006041666666")</f>
        <v>RE-67.72006041666666</v>
      </c>
      <c r="K452" s="17"/>
      <c r="L452" s="18">
        <f t="shared" si="226"/>
        <v>518.9383437</v>
      </c>
      <c r="M452" s="17"/>
      <c r="N452" s="18" t="str">
        <f>HYPERLINK("https://docs.google.com/spreadsheets/d/1JgcEuNmonGrevjhla6VTzBNKoriBoafu", "RE-1388.2414635416644")</f>
        <v>RE-1388.2414635416644</v>
      </c>
      <c r="O452" s="17"/>
      <c r="P452" s="18">
        <f t="shared" si="227"/>
        <v>1361.472882</v>
      </c>
      <c r="Q452" s="17"/>
      <c r="R452" s="18">
        <f t="shared" si="228"/>
        <v>773.6536281</v>
      </c>
      <c r="S452" s="17"/>
      <c r="T452" s="18">
        <f t="shared" si="229"/>
        <v>414.8706406</v>
      </c>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c r="DE452" s="17"/>
      <c r="DF452" s="17"/>
      <c r="DG452" s="17"/>
      <c r="DH452" s="17"/>
      <c r="DI452" s="17"/>
      <c r="DJ452" s="17"/>
      <c r="DK452" s="17"/>
      <c r="DL452" s="17"/>
      <c r="DM452" s="17"/>
      <c r="DN452" s="17"/>
      <c r="DO452" s="17"/>
      <c r="DP452" s="17"/>
      <c r="DQ452" s="17"/>
      <c r="DR452" s="17"/>
      <c r="DS452" s="17"/>
      <c r="DT452" s="17"/>
      <c r="DU452" s="17"/>
      <c r="DV452" s="17"/>
      <c r="DW452" s="17"/>
      <c r="DX452" s="17"/>
      <c r="DY452" s="17"/>
      <c r="DZ452" s="17"/>
      <c r="EA452" s="17"/>
      <c r="EB452" s="17"/>
      <c r="EC452" s="17"/>
      <c r="ED452" s="17"/>
      <c r="EE452" s="17"/>
      <c r="EF452" s="17"/>
      <c r="EG452" s="17"/>
      <c r="EH452" s="17"/>
      <c r="EI452" s="17"/>
      <c r="EJ452" s="17"/>
      <c r="EK452" s="17"/>
      <c r="EL452" s="17"/>
      <c r="EM452" s="17"/>
      <c r="EN452" s="17"/>
      <c r="EO452" s="17"/>
      <c r="EP452" s="17"/>
      <c r="EQ452" s="17"/>
      <c r="ER452" s="17"/>
      <c r="ES452" s="17"/>
      <c r="ET452" s="17"/>
      <c r="EU452" s="17"/>
      <c r="EV452" s="17"/>
      <c r="EW452" s="17"/>
      <c r="EX452" s="17"/>
      <c r="EY452" s="17"/>
      <c r="EZ452" s="17"/>
      <c r="FA452" s="17"/>
      <c r="FB452" s="17"/>
      <c r="FC452" s="17"/>
      <c r="FD452" s="17"/>
      <c r="FE452" s="17"/>
      <c r="FF452" s="17"/>
      <c r="FG452" s="17"/>
      <c r="FH452" s="17"/>
    </row>
    <row r="453">
      <c r="A453" s="32" t="s">
        <v>28</v>
      </c>
      <c r="B453" s="32" t="s">
        <v>81</v>
      </c>
      <c r="C453" s="32" t="s">
        <v>10</v>
      </c>
      <c r="D453" s="16">
        <f t="shared" si="1"/>
        <v>674.0485677</v>
      </c>
      <c r="E453" s="17"/>
      <c r="F453" s="17"/>
      <c r="G453" s="18">
        <f>HYPERLINK("https://docs.google.com/spreadsheets/d/1uoqlyALaOJv8Ftiu9BB1lSFIAM4OTMDD", 98.4986802083333)</f>
        <v>98.49868021</v>
      </c>
      <c r="H453" s="17"/>
      <c r="I453" s="18">
        <f>HYPERLINK("https://docs.google.com/spreadsheets/d/1mrsSZWqhy8Lvieejk-LApmPgZdHtpO3z", 33.1661958333333)</f>
        <v>33.16619583</v>
      </c>
      <c r="J453" s="17"/>
      <c r="K453" s="18">
        <f>HYPERLINK("https://docs.google.com/spreadsheets/d/1RCZTzEnLfkMu6XB2MAj2MtNYqQUzevcJ", 12.4491249999999)</f>
        <v>12.449125</v>
      </c>
      <c r="L453" s="17"/>
      <c r="M453" s="18">
        <f>HYPERLINK("https://docs.google.com/spreadsheets/d/1v68pcVpuc_zo2eeUCj-glGjUIqrnFjOA", 16.8036041666666)</f>
        <v>16.80360417</v>
      </c>
      <c r="N453" s="17"/>
      <c r="O453" s="18">
        <f>HYPERLINK("https://docs.google.com/spreadsheets/d/1nA1zbXXHlsv3oqwmSDYX7rm2V_1cGFbf", 180.44916875)</f>
        <v>180.4491688</v>
      </c>
      <c r="P453" s="17"/>
      <c r="Q453" s="18">
        <f>HYPERLINK("https://docs.google.com/spreadsheets/d/1JehA3_o72VARx6QLlXj0Jr3_1dD9soj7", 189.386738541666)</f>
        <v>189.3867385</v>
      </c>
      <c r="R453" s="17"/>
      <c r="S453" s="18">
        <f>HYPERLINK("https://docs.google.com/spreadsheets/d/1YGIxUAIJfR4hL2U0uf8jiIV15ExAev1Y", 63.881559375)</f>
        <v>63.88155938</v>
      </c>
      <c r="T453" s="17"/>
      <c r="U453" s="18">
        <f>HYPERLINK("https://docs.google.com/spreadsheets/d/1gRoER5zqZzReBQ_3PW114JVUxMqRvDxE", 69.9668145833333)</f>
        <v>69.96681458</v>
      </c>
      <c r="V453" s="18">
        <f>HYPERLINK("https://docs.google.com/spreadsheets/d/1iKSRF099o5zdpFm9IpGdka-4ueGN0yaL", 9.44668125)</f>
        <v>9.44668125</v>
      </c>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c r="DE453" s="17"/>
      <c r="DF453" s="17"/>
      <c r="DG453" s="17"/>
      <c r="DH453" s="17"/>
      <c r="DI453" s="17"/>
      <c r="DJ453" s="17"/>
      <c r="DK453" s="17"/>
      <c r="DL453" s="17"/>
      <c r="DM453" s="17"/>
      <c r="DN453" s="17"/>
      <c r="DO453" s="17"/>
      <c r="DP453" s="17"/>
      <c r="DQ453" s="17"/>
      <c r="DR453" s="17"/>
      <c r="DS453" s="17"/>
      <c r="DT453" s="17"/>
      <c r="DU453" s="17"/>
      <c r="DV453" s="17"/>
      <c r="DW453" s="17"/>
      <c r="DX453" s="17"/>
      <c r="DY453" s="17"/>
      <c r="DZ453" s="17"/>
      <c r="EA453" s="17"/>
      <c r="EB453" s="17"/>
      <c r="EC453" s="17"/>
      <c r="ED453" s="17"/>
      <c r="EE453" s="17"/>
      <c r="EF453" s="17"/>
      <c r="EG453" s="17"/>
      <c r="EH453" s="17"/>
      <c r="EI453" s="17"/>
      <c r="EJ453" s="17"/>
      <c r="EK453" s="17"/>
      <c r="EL453" s="17"/>
      <c r="EM453" s="17"/>
      <c r="EN453" s="17"/>
      <c r="EO453" s="17"/>
      <c r="EP453" s="17"/>
      <c r="EQ453" s="17"/>
      <c r="ER453" s="17"/>
      <c r="ES453" s="17"/>
      <c r="ET453" s="17"/>
      <c r="EU453" s="17"/>
      <c r="EV453" s="17"/>
      <c r="EW453" s="17"/>
      <c r="EX453" s="17"/>
      <c r="EY453" s="17"/>
      <c r="EZ453" s="17"/>
      <c r="FA453" s="17"/>
      <c r="FB453" s="17"/>
      <c r="FC453" s="17"/>
      <c r="FD453" s="17"/>
      <c r="FE453" s="17"/>
      <c r="FF453" s="17"/>
      <c r="FG453" s="17"/>
      <c r="FH453" s="17"/>
    </row>
    <row r="454">
      <c r="A454" s="32" t="s">
        <v>28</v>
      </c>
      <c r="B454" s="32" t="s">
        <v>81</v>
      </c>
      <c r="C454" s="32" t="s">
        <v>11</v>
      </c>
      <c r="D454" s="16">
        <f t="shared" si="1"/>
        <v>0</v>
      </c>
      <c r="E454" s="17"/>
      <c r="F454" s="17"/>
      <c r="G454" s="18" t="str">
        <f>HYPERLINK("https://docs.google.com/spreadsheets/d/1uoqlyALaOJv8Ftiu9BB1lSFIAM4OTMDD", "RE-98.49868020833337")</f>
        <v>RE-98.49868020833337</v>
      </c>
      <c r="H454" s="17"/>
      <c r="I454" s="18" t="str">
        <f>HYPERLINK("https://docs.google.com/spreadsheets/d/1mrsSZWqhy8Lvieejk-LApmPgZdHtpO3z", "RE-33.16619583333333")</f>
        <v>RE-33.16619583333333</v>
      </c>
      <c r="J454" s="17"/>
      <c r="K454" s="18" t="str">
        <f>HYPERLINK("https://docs.google.com/spreadsheets/d/1RCZTzEnLfkMu6XB2MAj2MtNYqQUzevcJ", "RE-12.449124999999999")</f>
        <v>RE-12.449124999999999</v>
      </c>
      <c r="L454" s="17"/>
      <c r="M454" s="18" t="str">
        <f>HYPERLINK("https://docs.google.com/spreadsheets/d/1v68pcVpuc_zo2eeUCj-glGjUIqrnFjOA", "RE-16.80360416666667")</f>
        <v>RE-16.80360416666667</v>
      </c>
      <c r="N454" s="17"/>
      <c r="O454" s="18" t="str">
        <f>HYPERLINK("https://docs.google.com/spreadsheets/d/1nA1zbXXHlsv3oqwmSDYX7rm2V_1cGFbf", "RE-180.44916875000018")</f>
        <v>RE-180.44916875000018</v>
      </c>
      <c r="P454" s="17"/>
      <c r="Q454" s="18" t="str">
        <f>HYPERLINK("https://docs.google.com/spreadsheets/d/1JehA3_o72VARx6QLlXj0Jr3_1dD9soj7", "RE-189.38673854166655")</f>
        <v>RE-189.38673854166655</v>
      </c>
      <c r="R454" s="17"/>
      <c r="S454" s="18" t="str">
        <f>HYPERLINK("https://docs.google.com/spreadsheets/d/1YGIxUAIJfR4hL2U0uf8jiIV15ExAev1Y", "RE-63.88155937500003")</f>
        <v>RE-63.88155937500003</v>
      </c>
      <c r="T454" s="17"/>
      <c r="U454" s="18" t="str">
        <f>HYPERLINK("https://docs.google.com/spreadsheets/d/1gRoER5zqZzReBQ_3PW114JVUxMqRvDxE", "RE-69.96681458333335")</f>
        <v>RE-69.96681458333335</v>
      </c>
      <c r="V454" s="18" t="str">
        <f>HYPERLINK("https://docs.google.com/spreadsheets/d/1iKSRF099o5zdpFm9IpGdka-4ueGN0yaL", "RE-9.44668125")</f>
        <v>RE-9.44668125</v>
      </c>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7"/>
      <c r="EJ454" s="17"/>
      <c r="EK454" s="17"/>
      <c r="EL454" s="17"/>
      <c r="EM454" s="17"/>
      <c r="EN454" s="17"/>
      <c r="EO454" s="17"/>
      <c r="EP454" s="17"/>
      <c r="EQ454" s="17"/>
      <c r="ER454" s="17"/>
      <c r="ES454" s="17"/>
      <c r="ET454" s="17"/>
      <c r="EU454" s="17"/>
      <c r="EV454" s="17"/>
      <c r="EW454" s="17"/>
      <c r="EX454" s="17"/>
      <c r="EY454" s="17"/>
      <c r="EZ454" s="17"/>
      <c r="FA454" s="17"/>
      <c r="FB454" s="17"/>
      <c r="FC454" s="17"/>
      <c r="FD454" s="17"/>
      <c r="FE454" s="17"/>
      <c r="FF454" s="17"/>
      <c r="FG454" s="17"/>
      <c r="FH454" s="17"/>
    </row>
    <row r="455">
      <c r="A455" s="32" t="s">
        <v>28</v>
      </c>
      <c r="B455" s="32" t="s">
        <v>81</v>
      </c>
      <c r="C455" s="32" t="s">
        <v>12</v>
      </c>
      <c r="D455" s="16">
        <f t="shared" si="1"/>
        <v>2870.964949</v>
      </c>
      <c r="E455" s="17"/>
      <c r="F455" s="18" t="str">
        <f>HYPERLINK("https://docs.google.com/spreadsheets/d/1saOYRPLZPT4uSkFtxqnUIsi6cYyzLcG-", "RE-517.7056552083338")</f>
        <v>RE-517.7056552083338</v>
      </c>
      <c r="G455" s="18" t="str">
        <f>HYPERLINK("https://docs.google.com/spreadsheets/d/1Y-e9Or62W4ev_zwTNIY2hDo5-F6XPAKg", "RE-2.03570625")</f>
        <v>RE-2.03570625</v>
      </c>
      <c r="H455" s="18" t="str">
        <f>HYPERLINK("https://docs.google.com/spreadsheets/d/1t605yS9GJWo1hQcpvjclrItZ4anaAJPb", "RE-304.86612500000007")</f>
        <v>RE-304.86612500000007</v>
      </c>
      <c r="I455" s="18" t="str">
        <f>HYPERLINK("https://docs.google.com/spreadsheets/d/1MoZaWdBwmZVCRbEE_vpYLSJXuU2wbyqg", "RE-0.21494375000000002")</f>
        <v>RE-0.21494375000000002</v>
      </c>
      <c r="J455" s="18" t="str">
        <f>HYPERLINK("https://docs.google.com/spreadsheets/d/1F8ajj0J8YXCYWoEadslgsGL-aFxsHACP", "RE-37.67475416666666")</f>
        <v>RE-37.67475416666666</v>
      </c>
      <c r="K455" s="18" t="str">
        <f>HYPERLINK("https://docs.google.com/spreadsheets/d/18oVbprODs4H0fRXVNbJZ3xumZMpTyh7G", "RE-0.5800041666666668")</f>
        <v>RE-0.5800041666666668</v>
      </c>
      <c r="L455" s="18">
        <f>HYPERLINK("https://docs.google.com/spreadsheets/d/1iOJ1CY0ungHqxqHKQkoEL0RC60roR5oS", 482.736182291666)</f>
        <v>482.7361823</v>
      </c>
      <c r="M455" s="18" t="str">
        <f>HYPERLINK("https://docs.google.com/spreadsheets/d/1OCtGp9R_-ScOb0Wyao5OY39Fq1L32Je1", "RE-0.32677708333333333")</f>
        <v>RE-0.32677708333333333</v>
      </c>
      <c r="N455" s="18" t="str">
        <f>HYPERLINK("https://docs.google.com/spreadsheets/d/1Ts36LBiE2YOnQYafxN_evHuN3yhtqhQi", "RE-729.9651906250017")</f>
        <v>RE-729.9651906250017</v>
      </c>
      <c r="O455" s="18" t="str">
        <f>HYPERLINK("https://docs.google.com/spreadsheets/d/1uaYuj8lbNvG_cN6lprdv6vDXYBUXsNXo", "RE-14.918102083333334")</f>
        <v>RE-14.918102083333334</v>
      </c>
      <c r="P455" s="18">
        <f>HYPERLINK("https://docs.google.com/spreadsheets/d/1efHCytOkGQCMf39qfHgoR8BbO2POFxOq", 1270.35142916666)</f>
        <v>1270.351429</v>
      </c>
      <c r="Q455" s="18" t="str">
        <f>HYPERLINK("https://docs.google.com/spreadsheets/d/1jtyrsVn4NmNhl0sVFb4rpRXi9jQkZome", "RE-52.75416666666668")</f>
        <v>RE-52.75416666666668</v>
      </c>
      <c r="R455" s="18">
        <f>HYPERLINK("https://docs.google.com/spreadsheets/d/1CHRH0VCOTjx0jbgu9P7mUP9sZVxd71AQ", 734.978523958333)</f>
        <v>734.978524</v>
      </c>
      <c r="S455" s="18" t="str">
        <f>HYPERLINK("https://docs.google.com/spreadsheets/d/1k89gng_QRYicPqUNvNVe00QVdjZ560L2", "RE-30.71644791666666")</f>
        <v>RE-30.71644791666666</v>
      </c>
      <c r="T455" s="18">
        <f>HYPERLINK("https://docs.google.com/spreadsheets/d/1mvy2Uugza5HBENmTTJxEmursgeF3RfKm", 382.898813541666)</f>
        <v>382.8988135</v>
      </c>
      <c r="U455" s="18" t="str">
        <f>HYPERLINK("https://docs.google.com/spreadsheets/d/1H0jSKVtRnU8t0qVLNMnwFf2DyYMvgt9y", "RE-31.079249999999995")</f>
        <v>RE-31.079249999999995</v>
      </c>
      <c r="V455" s="18" t="str">
        <f>HYPERLINK("https://docs.google.com/spreadsheets/d/1ErPUoddv4any8X1Bfa3QBtnRTVqFtM9P", "RE-4.976474999999999")</f>
        <v>RE-4.976474999999999</v>
      </c>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c r="DE455" s="17"/>
      <c r="DF455" s="17"/>
      <c r="DG455" s="17"/>
      <c r="DH455" s="17"/>
      <c r="DI455" s="17"/>
      <c r="DJ455" s="17"/>
      <c r="DK455" s="17"/>
      <c r="DL455" s="17"/>
      <c r="DM455" s="17"/>
      <c r="DN455" s="17"/>
      <c r="DO455" s="17"/>
      <c r="DP455" s="17"/>
      <c r="DQ455" s="17"/>
      <c r="DR455" s="17"/>
      <c r="DS455" s="17"/>
      <c r="DT455" s="17"/>
      <c r="DU455" s="17"/>
      <c r="DV455" s="17"/>
      <c r="DW455" s="17"/>
      <c r="DX455" s="17"/>
      <c r="DY455" s="17"/>
      <c r="DZ455" s="17"/>
      <c r="EA455" s="17"/>
      <c r="EB455" s="17"/>
      <c r="EC455" s="17"/>
      <c r="ED455" s="17"/>
      <c r="EE455" s="17"/>
      <c r="EF455" s="17"/>
      <c r="EG455" s="17"/>
      <c r="EH455" s="17"/>
      <c r="EI455" s="17"/>
      <c r="EJ455" s="17"/>
      <c r="EK455" s="17"/>
      <c r="EL455" s="17"/>
      <c r="EM455" s="17"/>
      <c r="EN455" s="17"/>
      <c r="EO455" s="17"/>
      <c r="EP455" s="17"/>
      <c r="EQ455" s="17"/>
      <c r="ER455" s="17"/>
      <c r="ES455" s="17"/>
      <c r="ET455" s="17"/>
      <c r="EU455" s="17"/>
      <c r="EV455" s="17"/>
      <c r="EW455" s="17"/>
      <c r="EX455" s="17"/>
      <c r="EY455" s="17"/>
      <c r="EZ455" s="17"/>
      <c r="FA455" s="17"/>
      <c r="FB455" s="17"/>
      <c r="FC455" s="17"/>
      <c r="FD455" s="17"/>
      <c r="FE455" s="17"/>
      <c r="FF455" s="17"/>
      <c r="FG455" s="17"/>
      <c r="FH455" s="17"/>
    </row>
    <row r="456">
      <c r="A456" s="32" t="s">
        <v>28</v>
      </c>
      <c r="B456" s="32" t="s">
        <v>81</v>
      </c>
      <c r="C456" s="32" t="s">
        <v>13</v>
      </c>
      <c r="D456" s="16">
        <f t="shared" si="1"/>
        <v>2727.618</v>
      </c>
      <c r="E456" s="17"/>
      <c r="F456" s="18" t="str">
        <f>HYPERLINK("https://docs.google.com/spreadsheets/d/1MnAnMuixaCDMzC0tqbfXoUYIzMFmMoSc?usp=share_link", "RE-490.387")</f>
        <v>RE-490.387</v>
      </c>
      <c r="G456" s="18" t="str">
        <f>HYPERLINK("https://docs.google.com/spreadsheets/d/1JkfhYDNqy9S6JI92JXbMBoFO5ykKxjMN?usp=share_link", "RE-1.88042")</f>
        <v>RE-1.88042</v>
      </c>
      <c r="H456" s="18" t="str">
        <f>HYPERLINK("https://docs.google.com/spreadsheets/d/1vbLyHGwb_2kUlgdcrG8-nokxjxEjPIRz?usp=share_link", "RE-291.981")</f>
        <v>RE-291.981</v>
      </c>
      <c r="I456" s="18" t="str">
        <f>HYPERLINK("https://docs.google.com/spreadsheets/d/14FMsVkL1PBFneHU0Y-3atUCbXTI1Z9f6?usp=share_link", "RE-0.208133")</f>
        <v>RE-0.208133</v>
      </c>
      <c r="J456" s="18" t="str">
        <f>HYPERLINK("https://docs.google.com/spreadsheets/d/1R0ji-CwDZNgE-ApgNCzLIyBVsEYaryUS?usp=share_link", "RE-36.2978")</f>
        <v>RE-36.2978</v>
      </c>
      <c r="K456" s="18" t="str">
        <f>HYPERLINK("https://docs.google.com/spreadsheets/d/15nBKu0NnbysApt2WNLh8y9QChJEqSzwX?usp=share_link", "RE-0.547667")</f>
        <v>RE-0.547667</v>
      </c>
      <c r="L456" s="18">
        <f>HYPERLINK("https://docs.google.com/spreadsheets/d/1cyIHnsGGJCc9v6b71UGGn2e0w_-BR2CA?usp=share_link", 461.541)</f>
        <v>461.541</v>
      </c>
      <c r="M456" s="18" t="str">
        <f>HYPERLINK("https://docs.google.com/spreadsheets/d/1XC112mK8tgFTgIAq1kEIre5V7u-pYesV?usp=share_link", "RE-0.312467")</f>
        <v>RE-0.312467</v>
      </c>
      <c r="N456" s="18" t="str">
        <f>HYPERLINK("https://docs.google.com/spreadsheets/d/1DgrA1FEb1MeEtN15Cd3Q6UY8GnlQG0Fm?usp=share_link", "RE-701.702")</f>
        <v>RE-701.702</v>
      </c>
      <c r="O456" s="18" t="str">
        <f>HYPERLINK("https://docs.google.com/spreadsheets/d/1JOm_KtNzljfqd8QuLMd0xK9tjHqTtlBc?usp=share_link", "RE-13.991")</f>
        <v>RE-13.991</v>
      </c>
      <c r="P456" s="18">
        <f>HYPERLINK("https://docs.google.com/spreadsheets/d/1kGiMQlzOFvGa2RgvufEC75TFJbDnXVpY?usp=share_link", 1204.6)</f>
        <v>1204.6</v>
      </c>
      <c r="Q456" s="18" t="str">
        <f>HYPERLINK("https://docs.google.com/spreadsheets/d/1WSfT4ZQBBzB1L1euy4OUyaSgFRIj2v_S?usp=share_link", "RE-49.9358")</f>
        <v>RE-49.9358</v>
      </c>
      <c r="R456" s="18">
        <f>HYPERLINK("https://docs.google.com/spreadsheets/d/1tURq_SiMQUTBgDKjEKIXLunY9UPwIxQ6?usp=share_link", 698.67)</f>
        <v>698.67</v>
      </c>
      <c r="S456" s="18" t="str">
        <f>HYPERLINK("https://docs.google.com/spreadsheets/d/1Phr4V0Cblw1cHpKlRXB25sImT5I5BDeX?usp=share_link", "RE-28.0498")</f>
        <v>RE-28.0498</v>
      </c>
      <c r="T456" s="18">
        <f>HYPERLINK("https://docs.google.com/spreadsheets/d/1GHW1MdW0-wDwe7PTQMVSJaefVMECIoiI?usp=share_link", 362.807)</f>
        <v>362.807</v>
      </c>
      <c r="U456" s="18" t="str">
        <f>HYPERLINK("https://docs.google.com/spreadsheets/d/1UxK-25pz_4VJzhMt4ABl9LJCYFJirdws?usp=share_link", "RE-29.2736")</f>
        <v>RE-29.2736</v>
      </c>
      <c r="V456" s="18" t="str">
        <f>HYPERLINK("https://docs.google.com/spreadsheets/d/1egj2VXyHmsinLmTFhA2lRoK95DNxnwbY?usp=share_link", "RE-4.6024")</f>
        <v>RE-4.6024</v>
      </c>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c r="DE456" s="17"/>
      <c r="DF456" s="17"/>
      <c r="DG456" s="17"/>
      <c r="DH456" s="17"/>
      <c r="DI456" s="17"/>
      <c r="DJ456" s="17"/>
      <c r="DK456" s="17"/>
      <c r="DL456" s="17"/>
      <c r="DM456" s="17"/>
      <c r="DN456" s="17"/>
      <c r="DO456" s="17"/>
      <c r="DP456" s="17"/>
      <c r="DQ456" s="17"/>
      <c r="DR456" s="17"/>
      <c r="DS456" s="17"/>
      <c r="DT456" s="17"/>
      <c r="DU456" s="17"/>
      <c r="DV456" s="17"/>
      <c r="DW456" s="17"/>
      <c r="DX456" s="17"/>
      <c r="DY456" s="17"/>
      <c r="DZ456" s="17"/>
      <c r="EA456" s="17"/>
      <c r="EB456" s="17"/>
      <c r="EC456" s="17"/>
      <c r="ED456" s="17"/>
      <c r="EE456" s="17"/>
      <c r="EF456" s="17"/>
      <c r="EG456" s="17"/>
      <c r="EH456" s="17"/>
      <c r="EI456" s="17"/>
      <c r="EJ456" s="17"/>
      <c r="EK456" s="17"/>
      <c r="EL456" s="17"/>
      <c r="EM456" s="17"/>
      <c r="EN456" s="17"/>
      <c r="EO456" s="17"/>
      <c r="EP456" s="17"/>
      <c r="EQ456" s="17"/>
      <c r="ER456" s="17"/>
      <c r="ES456" s="17"/>
      <c r="ET456" s="17"/>
      <c r="EU456" s="17"/>
      <c r="EV456" s="17"/>
      <c r="EW456" s="17"/>
      <c r="EX456" s="17"/>
      <c r="EY456" s="17"/>
      <c r="EZ456" s="17"/>
      <c r="FA456" s="17"/>
      <c r="FB456" s="17"/>
      <c r="FC456" s="17"/>
      <c r="FD456" s="17"/>
      <c r="FE456" s="17"/>
      <c r="FF456" s="17"/>
      <c r="FG456" s="17"/>
      <c r="FH456" s="17"/>
    </row>
    <row r="457">
      <c r="A457" s="32" t="s">
        <v>28</v>
      </c>
      <c r="B457" s="32" t="s">
        <v>81</v>
      </c>
      <c r="C457" s="32" t="s">
        <v>14</v>
      </c>
      <c r="D457" s="16">
        <f t="shared" si="1"/>
        <v>2337.687</v>
      </c>
      <c r="E457" s="17"/>
      <c r="F457" s="18" t="str">
        <f>HYPERLINK("https://docs.google.com/spreadsheets/d/1iruci40uW6QGulXvpvtl5S4dkdKb2O_B?usp=share_link", "RE-435.11")</f>
        <v>RE-435.11</v>
      </c>
      <c r="G457" s="18" t="str">
        <f>HYPERLINK("https://docs.google.com/spreadsheets/d/1g5qyt1WHaKC1aJEHye8KZLtJ0Ge14sSu?usp=share_link", "RE-1.88042")</f>
        <v>RE-1.88042</v>
      </c>
      <c r="H457" s="18" t="str">
        <f>HYPERLINK("https://docs.google.com/spreadsheets/d/1eShIKwkVQFkgHCJdXgmqTAiDRfoN5if8?usp=share_link", "RE-269.947")</f>
        <v>RE-269.947</v>
      </c>
      <c r="I457" s="18" t="str">
        <f>HYPERLINK("https://docs.google.com/spreadsheets/d/1QVxL1RcrSZ0qMDaKWO7W1iWeJ615py6R?usp=share_link", "RE-0.208133")</f>
        <v>RE-0.208133</v>
      </c>
      <c r="J457" s="18" t="str">
        <f>HYPERLINK("https://docs.google.com/spreadsheets/d/1jrZWWvqwQBj84ERCtVo2rYnKLlmyOoJ1?usp=share_link", "RE-34.7941")</f>
        <v>RE-34.7941</v>
      </c>
      <c r="K457" s="18" t="str">
        <f>HYPERLINK("https://docs.google.com/spreadsheets/d/1ZK-jckZA0reqU7apGA15EnJhdGGjn9Vr?usp=share_link", "RE-0.547667")</f>
        <v>RE-0.547667</v>
      </c>
      <c r="L457" s="18">
        <f>HYPERLINK("https://docs.google.com/spreadsheets/d/1kqHo2O_Y9mS_jltqd2jpBx9DIEkB4mcq?usp=share_link", 391.91)</f>
        <v>391.91</v>
      </c>
      <c r="M457" s="18" t="str">
        <f>HYPERLINK("https://docs.google.com/spreadsheets/d/1glTHW0N6F5VUTVpG-8onHWYpoHAnlaST?usp=share_link", "RE-0.312467")</f>
        <v>RE-0.312467</v>
      </c>
      <c r="N457" s="18" t="str">
        <f>HYPERLINK("https://docs.google.com/spreadsheets/d/1h7345pVc8cxT_hKN3rFp58FLSNV6YyYb?usp=share_link", "RE-601.681")</f>
        <v>RE-601.681</v>
      </c>
      <c r="O457" s="18" t="str">
        <f>HYPERLINK("https://docs.google.com/spreadsheets/d/1hp-gH9jWYbG2JN8cAp8Szd1vtMaxmFLp?usp=share_link", "RE-10.2147")</f>
        <v>RE-10.2147</v>
      </c>
      <c r="P457" s="18">
        <f>HYPERLINK("https://docs.google.com/spreadsheets/d/14bJ6ApFNrBMJHUPUsaRRV0E5PiGfWT1-?usp=share_link", 1049.56)</f>
        <v>1049.56</v>
      </c>
      <c r="Q457" s="18" t="str">
        <f>HYPERLINK("https://docs.google.com/spreadsheets/d/1hWbAXqQ3T6mH4-Viw8TtQhkIfj0RA29u?usp=share_link", "RE-42.207")</f>
        <v>RE-42.207</v>
      </c>
      <c r="R457" s="18">
        <f>HYPERLINK("https://docs.google.com/spreadsheets/d/1jw8MI4-TyavRb7IVB_3jewE7I_pNMTtK?usp=share_link", 589.067)</f>
        <v>589.067</v>
      </c>
      <c r="S457" s="18" t="str">
        <f>HYPERLINK("https://docs.google.com/spreadsheets/d/1VRQNmzOhbl0pmc9EKp5wnNgf7uKWvA_M?usp=share_link", "RE-21.9614")</f>
        <v>RE-21.9614</v>
      </c>
      <c r="T457" s="18">
        <f>HYPERLINK("https://docs.google.com/spreadsheets/d/1SHa7t5DEbeAW3q6pWgD5-KPPic4UHFum?usp=share_link", 307.15)</f>
        <v>307.15</v>
      </c>
      <c r="U457" s="18" t="str">
        <f>HYPERLINK("https://docs.google.com/spreadsheets/d/1Mk3m-d05Az4WTU1loF71cHrgSTWRgZ8w?usp=share_link", "RE-27.4557")</f>
        <v>RE-27.4557</v>
      </c>
      <c r="V457" s="18" t="str">
        <f>HYPERLINK("https://docs.google.com/spreadsheets/d/1ELYHAyU4ZiH_1fSy38kiA0tdRRqoEm7R?usp=share_link", "RE-4.6024")</f>
        <v>RE-4.6024</v>
      </c>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c r="DE457" s="17"/>
      <c r="DF457" s="17"/>
      <c r="DG457" s="17"/>
      <c r="DH457" s="17"/>
      <c r="DI457" s="17"/>
      <c r="DJ457" s="17"/>
      <c r="DK457" s="17"/>
      <c r="DL457" s="17"/>
      <c r="DM457" s="17"/>
      <c r="DN457" s="17"/>
      <c r="DO457" s="17"/>
      <c r="DP457" s="17"/>
      <c r="DQ457" s="17"/>
      <c r="DR457" s="17"/>
      <c r="DS457" s="17"/>
      <c r="DT457" s="17"/>
      <c r="DU457" s="17"/>
      <c r="DV457" s="17"/>
      <c r="DW457" s="17"/>
      <c r="DX457" s="17"/>
      <c r="DY457" s="17"/>
      <c r="DZ457" s="17"/>
      <c r="EA457" s="17"/>
      <c r="EB457" s="17"/>
      <c r="EC457" s="17"/>
      <c r="ED457" s="17"/>
      <c r="EE457" s="17"/>
      <c r="EF457" s="17"/>
      <c r="EG457" s="17"/>
      <c r="EH457" s="17"/>
      <c r="EI457" s="17"/>
      <c r="EJ457" s="17"/>
      <c r="EK457" s="17"/>
      <c r="EL457" s="17"/>
      <c r="EM457" s="17"/>
      <c r="EN457" s="17"/>
      <c r="EO457" s="17"/>
      <c r="EP457" s="17"/>
      <c r="EQ457" s="17"/>
      <c r="ER457" s="17"/>
      <c r="ES457" s="17"/>
      <c r="ET457" s="17"/>
      <c r="EU457" s="17"/>
      <c r="EV457" s="17"/>
      <c r="EW457" s="17"/>
      <c r="EX457" s="17"/>
      <c r="EY457" s="17"/>
      <c r="EZ457" s="17"/>
      <c r="FA457" s="17"/>
      <c r="FB457" s="17"/>
      <c r="FC457" s="17"/>
      <c r="FD457" s="17"/>
      <c r="FE457" s="17"/>
      <c r="FF457" s="17"/>
      <c r="FG457" s="17"/>
      <c r="FH457" s="17"/>
    </row>
    <row r="458">
      <c r="A458" s="27" t="s">
        <v>28</v>
      </c>
      <c r="B458" s="27" t="s">
        <v>81</v>
      </c>
      <c r="C458" s="27" t="s">
        <v>15</v>
      </c>
      <c r="D458" s="28">
        <f t="shared" si="1"/>
        <v>2727.608</v>
      </c>
      <c r="E458" s="33"/>
      <c r="F458" s="34" t="str">
        <f>HYPERLINK("https://docs.google.com/spreadsheets/d/1cale1VrC_OfpzCJHmC3yEmjUrSKzRf_P?usp=share_link", "RE-490.387")</f>
        <v>RE-490.387</v>
      </c>
      <c r="G458" s="34" t="str">
        <f>HYPERLINK("https://docs.google.com/spreadsheets/d/1djnxN9eLdsWoU4eAsL3Hb8z2o8Pm6xZ3?usp=share_link", "RE-1.88042")</f>
        <v>RE-1.88042</v>
      </c>
      <c r="H458" s="34" t="str">
        <f>HYPERLINK("https://docs.google.com/spreadsheets/d/1jPdFAwZW8mSFGH7NyQWZoU6WxCv-cuLN?usp=share_link", "RE-291.981")</f>
        <v>RE-291.981</v>
      </c>
      <c r="I458" s="34" t="str">
        <f>HYPERLINK("https://docs.google.com/spreadsheets/d/1EwIvDF8piRRyhxnE08brNwmQLbFDd0oM?usp=share_link", "RE-0.208133")</f>
        <v>RE-0.208133</v>
      </c>
      <c r="J458" s="34" t="str">
        <f>HYPERLINK("https://docs.google.com/spreadsheets/d/1nDXbfXO5qblbq3JAqo7P9yqIWA3m-aGe?usp=share_link", "RE-36.2978")</f>
        <v>RE-36.2978</v>
      </c>
      <c r="K458" s="34" t="str">
        <f>HYPERLINK("https://docs.google.com/spreadsheets/d/1ID05UWyIEwkir00het3MPlmEJ1v0b1Il?usp=share_link", "RE-0.547667")</f>
        <v>RE-0.547667</v>
      </c>
      <c r="L458" s="34">
        <f>HYPERLINK("https://docs.google.com/spreadsheets/d/1zssFYNx3dvtV49e77aTfWiL6dtuGRuY8?usp=share_link", 461.541)</f>
        <v>461.541</v>
      </c>
      <c r="M458" s="34" t="str">
        <f>HYPERLINK("https://docs.google.com/spreadsheets/d/1qeaKAj4N6htDFbz_WmQ2dV81fFIJo09j?usp=share_link", "RE-0.312467")</f>
        <v>RE-0.312467</v>
      </c>
      <c r="N458" s="34" t="str">
        <f>HYPERLINK("https://docs.google.com/spreadsheets/d/1lvv8dEg4gT6_1y-Lnkn65PzHLVkFQeAF?usp=share_link", "RE-701.702")</f>
        <v>RE-701.702</v>
      </c>
      <c r="O458" s="34" t="str">
        <f>HYPERLINK("https://docs.google.com/spreadsheets/d/1bwWlIOUnhIlPC2o5bklyy8577dSWsqE6?usp=share_link", "RE-13.991")</f>
        <v>RE-13.991</v>
      </c>
      <c r="P458" s="34">
        <f>HYPERLINK("https://docs.google.com/spreadsheets/d/1ArLLpNJJkWghcsrzP8zbEQmDUXjAp07Z?usp=share_link", 1204.59)</f>
        <v>1204.59</v>
      </c>
      <c r="Q458" s="34" t="str">
        <f>HYPERLINK("https://docs.google.com/spreadsheets/d/1nv3Eh0ILSaV5Rajg9rt96wY8Id8F3LFg?usp=share_link", "RE-49.9358")</f>
        <v>RE-49.9358</v>
      </c>
      <c r="R458" s="34">
        <f>HYPERLINK("https://docs.google.com/spreadsheets/d/1-XJ2LACnE6ta2wDU0Vp8rH9Xml2YSb-R?usp=share_link", 698.67)</f>
        <v>698.67</v>
      </c>
      <c r="S458" s="34" t="str">
        <f>HYPERLINK("https://docs.google.com/spreadsheets/d/1KV4oc60A1G0JzcPu3BWAlEorDHMSCmW3?usp=share_link", "RE-28.0498")</f>
        <v>RE-28.0498</v>
      </c>
      <c r="T458" s="34">
        <f>HYPERLINK("https://docs.google.com/spreadsheets/d/1-nTUHOq6Q3pYVZQyns2SCHLiaF5Xp1pB?usp=share_link", 362.807)</f>
        <v>362.807</v>
      </c>
      <c r="U458" s="34" t="str">
        <f>HYPERLINK("https://docs.google.com/spreadsheets/d/1quA96JfUk9wqZIMxmClQQvjvf0rewzxW?usp=share_link", "RE-29.2736")</f>
        <v>RE-29.2736</v>
      </c>
      <c r="V458" s="34" t="str">
        <f>HYPERLINK("https://docs.google.com/spreadsheets/d/11M7tAB1Uuk8PWjnqUd5YedZ8Ler2jkgX?usp=share_link", "RE-4.6024")</f>
        <v>RE-4.6024</v>
      </c>
      <c r="W458" s="33"/>
      <c r="X458" s="33"/>
      <c r="Y458" s="33"/>
      <c r="Z458" s="33"/>
      <c r="AA458" s="33"/>
      <c r="AB458" s="3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c r="BA458" s="33"/>
      <c r="BB458" s="33"/>
      <c r="BC458" s="33"/>
      <c r="BD458" s="33"/>
      <c r="BE458" s="33"/>
      <c r="BF458" s="33"/>
      <c r="BG458" s="33"/>
      <c r="BH458" s="33"/>
      <c r="BI458" s="33"/>
      <c r="BJ458" s="33"/>
      <c r="BK458" s="33"/>
      <c r="BL458" s="33"/>
      <c r="BM458" s="33"/>
      <c r="BN458" s="33"/>
      <c r="BO458" s="33"/>
      <c r="BP458" s="33"/>
      <c r="BQ458" s="33"/>
      <c r="BR458" s="33"/>
      <c r="BS458" s="33"/>
      <c r="BT458" s="33"/>
      <c r="BU458" s="33"/>
      <c r="BV458" s="33"/>
      <c r="BW458" s="33"/>
      <c r="BX458" s="33"/>
      <c r="BY458" s="33"/>
      <c r="BZ458" s="33"/>
      <c r="CA458" s="33"/>
      <c r="CB458" s="33"/>
      <c r="CC458" s="33"/>
      <c r="CD458" s="33"/>
      <c r="CE458" s="33"/>
      <c r="CF458" s="33"/>
      <c r="CG458" s="33"/>
      <c r="CH458" s="33"/>
      <c r="CI458" s="33"/>
      <c r="CJ458" s="33"/>
      <c r="CK458" s="33"/>
      <c r="CL458" s="33"/>
      <c r="CM458" s="33"/>
      <c r="CN458" s="33"/>
      <c r="CO458" s="33"/>
      <c r="CP458" s="33"/>
      <c r="CQ458" s="33"/>
      <c r="CR458" s="33"/>
      <c r="CS458" s="33"/>
      <c r="CT458" s="33"/>
      <c r="CU458" s="33"/>
      <c r="CV458" s="33"/>
      <c r="CW458" s="33"/>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33"/>
      <c r="EP458" s="33"/>
      <c r="EQ458" s="33"/>
      <c r="ER458" s="33"/>
      <c r="ES458" s="33"/>
      <c r="ET458" s="33"/>
      <c r="EU458" s="33"/>
      <c r="EV458" s="33"/>
      <c r="EW458" s="33"/>
      <c r="EX458" s="33"/>
      <c r="EY458" s="33"/>
      <c r="EZ458" s="33"/>
      <c r="FA458" s="33"/>
      <c r="FB458" s="33"/>
      <c r="FC458" s="33"/>
      <c r="FD458" s="33"/>
      <c r="FE458" s="33"/>
      <c r="FF458" s="33"/>
      <c r="FG458" s="33"/>
      <c r="FH458" s="33"/>
    </row>
    <row r="459">
      <c r="A459" s="30" t="s">
        <v>35</v>
      </c>
      <c r="B459" s="30" t="s">
        <v>82</v>
      </c>
      <c r="C459" s="31" t="str">
        <f>HYPERLINK("https://docs.google.com/spreadsheets/d/1-7GD4m0BuPjVzvBpiY7kFVUAqFMXR27v/edit?usp=share_link&amp;ouid=106501987799020758802&amp;rtpof=true&amp;sd=true", "Raw Delivered")</f>
        <v>Raw Delivered</v>
      </c>
      <c r="D459" s="12">
        <f t="shared" si="1"/>
        <v>7128.571386</v>
      </c>
      <c r="E459" s="13"/>
      <c r="F459" s="14">
        <f>HYPERLINK("https://docs.google.com/spreadsheets/d/1rraKuX2yC0kVcxibPNw84s-YQ1EiZw8b", 1147.25033437499)</f>
        <v>1147.250334</v>
      </c>
      <c r="G459" s="13"/>
      <c r="H459" s="14">
        <f>HYPERLINK("https://docs.google.com/spreadsheets/d/1qiVBfbuAhL8ogMT7RgoSJAbMCHKJMgCW", 305.689866666666)</f>
        <v>305.6898667</v>
      </c>
      <c r="I459" s="13"/>
      <c r="J459" s="14">
        <f>HYPERLINK("https://docs.google.com/spreadsheets/d/1yc4Vk5gRWsoH0_8ulIlnc1n__n_egWk4", 1902.78890520833)</f>
        <v>1902.788905</v>
      </c>
      <c r="K459" s="13"/>
      <c r="L459" s="14">
        <f t="shared" ref="L459:L460" si="230">HYPERLINK("https://docs.google.com/spreadsheets/d/18SCaeqAO9NhTjz_tbBGYFCmZn7PuGR4Q", 1110.31008645833)</f>
        <v>1110.310086</v>
      </c>
      <c r="M459" s="13"/>
      <c r="N459" s="14">
        <f>HYPERLINK("https://docs.google.com/spreadsheets/d/1U9HrERnMwgCbPmIJmytHKdN1O4lVLfDK", 566.027010416666)</f>
        <v>566.0270104</v>
      </c>
      <c r="O459" s="13"/>
      <c r="P459" s="14">
        <f t="shared" ref="P459:P460" si="231">HYPERLINK("https://docs.google.com/spreadsheets/d/1mbmroE0tyxJXj-1YYy9fDc9YjlPLT8OZ", 348.150401041666)</f>
        <v>348.150401</v>
      </c>
      <c r="Q459" s="13"/>
      <c r="R459" s="14">
        <f t="shared" ref="R459:R460" si="232">HYPERLINK("https://docs.google.com/spreadsheets/d/1J0uMci-RXEdVWt33B-5BkeHYtGtp3hQM", 61.9164375)</f>
        <v>61.9164375</v>
      </c>
      <c r="S459" s="13"/>
      <c r="T459" s="14">
        <f t="shared" ref="T459:T460" si="233">HYPERLINK("https://docs.google.com/spreadsheets/d/1RIonRmsBfAlj35j9mV4EK9GuTDa7I8HA", 1686.43834479166)</f>
        <v>1686.438345</v>
      </c>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c r="FH459" s="13"/>
    </row>
    <row r="460">
      <c r="A460" s="32" t="s">
        <v>35</v>
      </c>
      <c r="B460" s="32" t="s">
        <v>82</v>
      </c>
      <c r="C460" s="32" t="s">
        <v>9</v>
      </c>
      <c r="D460" s="16">
        <f t="shared" si="1"/>
        <v>3206.81527</v>
      </c>
      <c r="E460" s="17"/>
      <c r="F460" s="18" t="str">
        <f>HYPERLINK("https://docs.google.com/spreadsheets/d/1rraKuX2yC0kVcxibPNw84s-YQ1EiZw8b", "RE-1147.2503343749997")</f>
        <v>RE-1147.2503343749997</v>
      </c>
      <c r="G460" s="17"/>
      <c r="H460" s="18" t="str">
        <f>HYPERLINK("https://docs.google.com/spreadsheets/d/1qiVBfbuAhL8ogMT7RgoSJAbMCHKJMgCW", "RE-305.6898666666667")</f>
        <v>RE-305.6898666666667</v>
      </c>
      <c r="I460" s="17"/>
      <c r="J460" s="18" t="str">
        <f>HYPERLINK("https://docs.google.com/spreadsheets/d/1yc4Vk5gRWsoH0_8ulIlnc1n__n_egWk4", "RE-1902.7889052083335")</f>
        <v>RE-1902.7889052083335</v>
      </c>
      <c r="K460" s="17"/>
      <c r="L460" s="18">
        <f t="shared" si="230"/>
        <v>1110.310086</v>
      </c>
      <c r="M460" s="17"/>
      <c r="N460" s="18" t="str">
        <f>HYPERLINK("https://docs.google.com/spreadsheets/d/1U9HrERnMwgCbPmIJmytHKdN1O4lVLfDK", "RE-566.0270104166667")</f>
        <v>RE-566.0270104166667</v>
      </c>
      <c r="O460" s="17"/>
      <c r="P460" s="18">
        <f t="shared" si="231"/>
        <v>348.150401</v>
      </c>
      <c r="Q460" s="17"/>
      <c r="R460" s="18">
        <f t="shared" si="232"/>
        <v>61.9164375</v>
      </c>
      <c r="S460" s="17"/>
      <c r="T460" s="18">
        <f t="shared" si="233"/>
        <v>1686.438345</v>
      </c>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c r="DE460" s="17"/>
      <c r="DF460" s="17"/>
      <c r="DG460" s="17"/>
      <c r="DH460" s="17"/>
      <c r="DI460" s="17"/>
      <c r="DJ460" s="17"/>
      <c r="DK460" s="17"/>
      <c r="DL460" s="17"/>
      <c r="DM460" s="17"/>
      <c r="DN460" s="17"/>
      <c r="DO460" s="17"/>
      <c r="DP460" s="17"/>
      <c r="DQ460" s="17"/>
      <c r="DR460" s="17"/>
      <c r="DS460" s="17"/>
      <c r="DT460" s="17"/>
      <c r="DU460" s="17"/>
      <c r="DV460" s="17"/>
      <c r="DW460" s="17"/>
      <c r="DX460" s="17"/>
      <c r="DY460" s="17"/>
      <c r="DZ460" s="17"/>
      <c r="EA460" s="17"/>
      <c r="EB460" s="17"/>
      <c r="EC460" s="17"/>
      <c r="ED460" s="17"/>
      <c r="EE460" s="17"/>
      <c r="EF460" s="17"/>
      <c r="EG460" s="17"/>
      <c r="EH460" s="17"/>
      <c r="EI460" s="17"/>
      <c r="EJ460" s="17"/>
      <c r="EK460" s="17"/>
      <c r="EL460" s="17"/>
      <c r="EM460" s="17"/>
      <c r="EN460" s="17"/>
      <c r="EO460" s="17"/>
      <c r="EP460" s="17"/>
      <c r="EQ460" s="17"/>
      <c r="ER460" s="17"/>
      <c r="ES460" s="17"/>
      <c r="ET460" s="17"/>
      <c r="EU460" s="17"/>
      <c r="EV460" s="17"/>
      <c r="EW460" s="17"/>
      <c r="EX460" s="17"/>
      <c r="EY460" s="17"/>
      <c r="EZ460" s="17"/>
      <c r="FA460" s="17"/>
      <c r="FB460" s="17"/>
      <c r="FC460" s="17"/>
      <c r="FD460" s="17"/>
      <c r="FE460" s="17"/>
      <c r="FF460" s="17"/>
      <c r="FG460" s="17"/>
      <c r="FH460" s="17"/>
    </row>
    <row r="461">
      <c r="A461" s="32" t="s">
        <v>35</v>
      </c>
      <c r="B461" s="32" t="s">
        <v>82</v>
      </c>
      <c r="C461" s="32" t="s">
        <v>10</v>
      </c>
      <c r="D461" s="16">
        <f t="shared" si="1"/>
        <v>498.225001</v>
      </c>
      <c r="E461" s="17"/>
      <c r="F461" s="17"/>
      <c r="G461" s="18">
        <f>HYPERLINK("https://docs.google.com/spreadsheets/d/1VacU3aV2Vq8DPqi_ooZC035-PYuuPjw2", 99.8707604166666)</f>
        <v>99.87076042</v>
      </c>
      <c r="H461" s="17"/>
      <c r="I461" s="18">
        <f>HYPERLINK("https://docs.google.com/spreadsheets/d/1IsBoNVO7-HohUnh_wHRJmLmkVdMAcg6C", 26.6101875)</f>
        <v>26.6101875</v>
      </c>
      <c r="J461" s="17"/>
      <c r="K461" s="18">
        <f>HYPERLINK("https://docs.google.com/spreadsheets/d/1J1bDkcZhV30RM1qwsQnSEr_M4CrCQoHu", 113.247094791666)</f>
        <v>113.2470948</v>
      </c>
      <c r="L461" s="17"/>
      <c r="M461" s="18">
        <f>HYPERLINK("https://docs.google.com/spreadsheets/d/1_R9E3JQBblyvzWOz_x3V_TdkNEcIf1LH", 53.8067197916667)</f>
        <v>53.80671979</v>
      </c>
      <c r="N461" s="17"/>
      <c r="O461" s="18">
        <f>HYPERLINK("https://docs.google.com/spreadsheets/d/1ijfHU7C-uHfemHP--ENnZDf8Y1N6Q7O0", 32.8947458333333)</f>
        <v>32.89474583</v>
      </c>
      <c r="P461" s="17"/>
      <c r="Q461" s="18">
        <f>HYPERLINK("https://docs.google.com/spreadsheets/d/1c31TRn8pERXBcJ1jJ5qohPm1vZB1fthb", 71.8454187499999)</f>
        <v>71.84541875</v>
      </c>
      <c r="R461" s="17"/>
      <c r="S461" s="18">
        <f>HYPERLINK("https://docs.google.com/spreadsheets/d/1eetEhuR8NFsBHvFG8FtVupy-BTUs8dw2", 9.4201875)</f>
        <v>9.4201875</v>
      </c>
      <c r="T461" s="17"/>
      <c r="U461" s="18">
        <f>HYPERLINK("https://docs.google.com/spreadsheets/d/1eZC-XVp3wEsdM_CAYAz9IDfu2pGWApBg", 72.6937677083333)</f>
        <v>72.69376771</v>
      </c>
      <c r="V461" s="18">
        <f>HYPERLINK("https://docs.google.com/spreadsheets/d/1DFYtD5qXovT6iH48LQ805NZKEkQF_Zus", 17.83611875)</f>
        <v>17.83611875</v>
      </c>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c r="DE461" s="17"/>
      <c r="DF461" s="17"/>
      <c r="DG461" s="17"/>
      <c r="DH461" s="17"/>
      <c r="DI461" s="17"/>
      <c r="DJ461" s="17"/>
      <c r="DK461" s="17"/>
      <c r="DL461" s="17"/>
      <c r="DM461" s="17"/>
      <c r="DN461" s="17"/>
      <c r="DO461" s="17"/>
      <c r="DP461" s="17"/>
      <c r="DQ461" s="17"/>
      <c r="DR461" s="17"/>
      <c r="DS461" s="17"/>
      <c r="DT461" s="17"/>
      <c r="DU461" s="17"/>
      <c r="DV461" s="17"/>
      <c r="DW461" s="17"/>
      <c r="DX461" s="17"/>
      <c r="DY461" s="17"/>
      <c r="DZ461" s="17"/>
      <c r="EA461" s="17"/>
      <c r="EB461" s="17"/>
      <c r="EC461" s="17"/>
      <c r="ED461" s="17"/>
      <c r="EE461" s="17"/>
      <c r="EF461" s="17"/>
      <c r="EG461" s="17"/>
      <c r="EH461" s="17"/>
      <c r="EI461" s="17"/>
      <c r="EJ461" s="17"/>
      <c r="EK461" s="17"/>
      <c r="EL461" s="17"/>
      <c r="EM461" s="17"/>
      <c r="EN461" s="17"/>
      <c r="EO461" s="17"/>
      <c r="EP461" s="17"/>
      <c r="EQ461" s="17"/>
      <c r="ER461" s="17"/>
      <c r="ES461" s="17"/>
      <c r="ET461" s="17"/>
      <c r="EU461" s="17"/>
      <c r="EV461" s="17"/>
      <c r="EW461" s="17"/>
      <c r="EX461" s="17"/>
      <c r="EY461" s="17"/>
      <c r="EZ461" s="17"/>
      <c r="FA461" s="17"/>
      <c r="FB461" s="17"/>
      <c r="FC461" s="17"/>
      <c r="FD461" s="17"/>
      <c r="FE461" s="17"/>
      <c r="FF461" s="17"/>
      <c r="FG461" s="17"/>
      <c r="FH461" s="17"/>
    </row>
    <row r="462">
      <c r="A462" s="32" t="s">
        <v>35</v>
      </c>
      <c r="B462" s="32" t="s">
        <v>82</v>
      </c>
      <c r="C462" s="32" t="s">
        <v>11</v>
      </c>
      <c r="D462" s="16">
        <f t="shared" si="1"/>
        <v>0</v>
      </c>
      <c r="E462" s="17"/>
      <c r="F462" s="17"/>
      <c r="G462" s="18" t="str">
        <f>HYPERLINK("https://docs.google.com/spreadsheets/d/1VacU3aV2Vq8DPqi_ooZC035-PYuuPjw2", "RE-99.87076041666663")</f>
        <v>RE-99.87076041666663</v>
      </c>
      <c r="H462" s="17"/>
      <c r="I462" s="18" t="str">
        <f>HYPERLINK("https://docs.google.com/spreadsheets/d/1IsBoNVO7-HohUnh_wHRJmLmkVdMAcg6C", "RE-26.61018750000001")</f>
        <v>RE-26.61018750000001</v>
      </c>
      <c r="J462" s="17"/>
      <c r="K462" s="18" t="str">
        <f>HYPERLINK("https://docs.google.com/spreadsheets/d/1J1bDkcZhV30RM1qwsQnSEr_M4CrCQoHu", "RE-113.24709479166674")</f>
        <v>RE-113.24709479166674</v>
      </c>
      <c r="L462" s="17"/>
      <c r="M462" s="18" t="str">
        <f>HYPERLINK("https://docs.google.com/spreadsheets/d/1_R9E3JQBblyvzWOz_x3V_TdkNEcIf1LH", "RE-53.8067197916667")</f>
        <v>RE-53.8067197916667</v>
      </c>
      <c r="N462" s="17"/>
      <c r="O462" s="18" t="str">
        <f>HYPERLINK("https://docs.google.com/spreadsheets/d/1ijfHU7C-uHfemHP--ENnZDf8Y1N6Q7O0", "RE-32.894745833333324")</f>
        <v>RE-32.894745833333324</v>
      </c>
      <c r="P462" s="17"/>
      <c r="Q462" s="18" t="str">
        <f>HYPERLINK("https://docs.google.com/spreadsheets/d/1c31TRn8pERXBcJ1jJ5qohPm1vZB1fthb", "RE-71.84541874999995")</f>
        <v>RE-71.84541874999995</v>
      </c>
      <c r="R462" s="17"/>
      <c r="S462" s="18" t="str">
        <f>HYPERLINK("https://docs.google.com/spreadsheets/d/1eetEhuR8NFsBHvFG8FtVupy-BTUs8dw2", "RE-9.4201875")</f>
        <v>RE-9.4201875</v>
      </c>
      <c r="T462" s="17"/>
      <c r="U462" s="18" t="str">
        <f>HYPERLINK("https://docs.google.com/spreadsheets/d/1eZC-XVp3wEsdM_CAYAz9IDfu2pGWApBg", "RE-72.69376770833338")</f>
        <v>RE-72.69376770833338</v>
      </c>
      <c r="V462" s="18" t="str">
        <f>HYPERLINK("https://docs.google.com/spreadsheets/d/1DFYtD5qXovT6iH48LQ805NZKEkQF_Zus", "RE-17.83611875")</f>
        <v>RE-17.83611875</v>
      </c>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c r="DE462" s="17"/>
      <c r="DF462" s="17"/>
      <c r="DG462" s="17"/>
      <c r="DH462" s="17"/>
      <c r="DI462" s="17"/>
      <c r="DJ462" s="17"/>
      <c r="DK462" s="17"/>
      <c r="DL462" s="17"/>
      <c r="DM462" s="17"/>
      <c r="DN462" s="17"/>
      <c r="DO462" s="17"/>
      <c r="DP462" s="17"/>
      <c r="DQ462" s="17"/>
      <c r="DR462" s="17"/>
      <c r="DS462" s="17"/>
      <c r="DT462" s="17"/>
      <c r="DU462" s="17"/>
      <c r="DV462" s="17"/>
      <c r="DW462" s="17"/>
      <c r="DX462" s="17"/>
      <c r="DY462" s="17"/>
      <c r="DZ462" s="17"/>
      <c r="EA462" s="17"/>
      <c r="EB462" s="17"/>
      <c r="EC462" s="17"/>
      <c r="ED462" s="17"/>
      <c r="EE462" s="17"/>
      <c r="EF462" s="17"/>
      <c r="EG462" s="17"/>
      <c r="EH462" s="17"/>
      <c r="EI462" s="17"/>
      <c r="EJ462" s="17"/>
      <c r="EK462" s="17"/>
      <c r="EL462" s="17"/>
      <c r="EM462" s="17"/>
      <c r="EN462" s="17"/>
      <c r="EO462" s="17"/>
      <c r="EP462" s="17"/>
      <c r="EQ462" s="17"/>
      <c r="ER462" s="17"/>
      <c r="ES462" s="17"/>
      <c r="ET462" s="17"/>
      <c r="EU462" s="17"/>
      <c r="EV462" s="17"/>
      <c r="EW462" s="17"/>
      <c r="EX462" s="17"/>
      <c r="EY462" s="17"/>
      <c r="EZ462" s="17"/>
      <c r="FA462" s="17"/>
      <c r="FB462" s="17"/>
      <c r="FC462" s="17"/>
      <c r="FD462" s="17"/>
      <c r="FE462" s="17"/>
      <c r="FF462" s="17"/>
      <c r="FG462" s="17"/>
      <c r="FH462" s="17"/>
    </row>
    <row r="463">
      <c r="A463" s="32" t="s">
        <v>35</v>
      </c>
      <c r="B463" s="32" t="s">
        <v>82</v>
      </c>
      <c r="C463" s="32" t="s">
        <v>12</v>
      </c>
      <c r="D463" s="16">
        <f t="shared" si="1"/>
        <v>2994.87228</v>
      </c>
      <c r="E463" s="17"/>
      <c r="F463" s="18" t="str">
        <f>HYPERLINK("https://docs.google.com/spreadsheets/d/1sQN7t9Y_CNM2HsNRNPAgkJ7mjvb3sfPS", "RE-901.8155427083312")</f>
        <v>RE-901.8155427083312</v>
      </c>
      <c r="G463" s="18" t="str">
        <f>HYPERLINK("https://docs.google.com/spreadsheets/d/13YIgDGd70ycFoaue45UcfnuHEEmj-wov", "RE-2.883710416666667")</f>
        <v>RE-2.883710416666667</v>
      </c>
      <c r="H463" s="18" t="str">
        <f>HYPERLINK("https://docs.google.com/spreadsheets/d/15kkpW3IpEfAzM-s1TGJy1xtPsxE65C7Y", "RE-263.6697")</f>
        <v>RE-263.6697</v>
      </c>
      <c r="I463" s="18" t="str">
        <f>HYPERLINK("https://docs.google.com/spreadsheets/d/16LRAtG6wTPsdwoBOuKfhJcmGkzx71MT2", "RE-0.3080104166666667")</f>
        <v>RE-0.3080104166666667</v>
      </c>
      <c r="J463" s="18" t="str">
        <f>HYPERLINK("https://docs.google.com/spreadsheets/d/1BwFbWznjAFovHxpH-W356BuFka3TCX37", "RE-1592.0279395833352")</f>
        <v>RE-1592.0279395833352</v>
      </c>
      <c r="K463" s="18" t="str">
        <f>HYPERLINK("https://docs.google.com/spreadsheets/d/1IsD7VS0YiUtAEKVbKI6qge7znUIi27Ew", "RE-11.516565624999998")</f>
        <v>RE-11.516565624999998</v>
      </c>
      <c r="L463" s="18">
        <f>HYPERLINK("https://docs.google.com/spreadsheets/d/1nW5WhlX3AkTh3gVq4BDSh7sKCO5JoU_n", 1010.087625)</f>
        <v>1010.087625</v>
      </c>
      <c r="M463" s="18" t="str">
        <f>HYPERLINK("https://docs.google.com/spreadsheets/d/15kbCKgu6fjwQI1ONseK9lU_T96G7HZdn", "RE-7.083718749999999")</f>
        <v>RE-7.083718749999999</v>
      </c>
      <c r="N463" s="18" t="str">
        <f>HYPERLINK("https://docs.google.com/spreadsheets/d/1NhLD-PQ6qL5AzmFGA8XLhJPFkgJlwMtN", "RE-352.20769999999976")</f>
        <v>RE-352.20769999999976</v>
      </c>
      <c r="O463" s="18" t="str">
        <f>HYPERLINK("https://docs.google.com/spreadsheets/d/1RNFXUhAb6hu6ZgpRKiUG3kRhqkMKuf7H", "RE-1.6657854166666664")</f>
        <v>RE-1.6657854166666664</v>
      </c>
      <c r="P463" s="18">
        <f>HYPERLINK("https://docs.google.com/spreadsheets/d/1JfTdpliJyqHi8NwHO8F4FDkYpNNZKuzR", 323.727203125)</f>
        <v>323.7272031</v>
      </c>
      <c r="Q463" s="18" t="str">
        <f>HYPERLINK("https://docs.google.com/spreadsheets/d/1Mdoh5DvbHCBPzWtr7ZqOgLeNyFsypA1a", "RE-25.847711458333343")</f>
        <v>RE-25.847711458333343</v>
      </c>
      <c r="R463" s="18">
        <f>HYPERLINK("https://docs.google.com/spreadsheets/d/1JG4dTMhP0NZy67ePhCTACZ9Hl_kBbgYR", 58.4411416666666)</f>
        <v>58.44114167</v>
      </c>
      <c r="S463" s="18" t="str">
        <f>HYPERLINK("https://docs.google.com/spreadsheets/d/1Qca7hXVekqsFfMQmm6orXCK5zNlV4ltc", "RE-3.4866270833333335")</f>
        <v>RE-3.4866270833333335</v>
      </c>
      <c r="T463" s="18">
        <f>HYPERLINK("https://docs.google.com/spreadsheets/d/1Asfyynhz-wlTwQmICZV-FoNBfH6g44F1", 1602.61631041666)</f>
        <v>1602.61631</v>
      </c>
      <c r="U463" s="18" t="str">
        <f>HYPERLINK("https://docs.google.com/spreadsheets/d/1Ov9Gcc-czM6bV2mhqVs3_eZ_M-RcombM", "RE-34.26662708333332")</f>
        <v>RE-34.26662708333332</v>
      </c>
      <c r="V463" s="18" t="str">
        <f>HYPERLINK("https://docs.google.com/spreadsheets/d/1_6kwpl7A-YJerI6_bFDYJ4EnlmTz5_A8", "RE-1.7315125")</f>
        <v>RE-1.7315125</v>
      </c>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c r="DE463" s="17"/>
      <c r="DF463" s="17"/>
      <c r="DG463" s="17"/>
      <c r="DH463" s="17"/>
      <c r="DI463" s="17"/>
      <c r="DJ463" s="17"/>
      <c r="DK463" s="17"/>
      <c r="DL463" s="17"/>
      <c r="DM463" s="17"/>
      <c r="DN463" s="17"/>
      <c r="DO463" s="17"/>
      <c r="DP463" s="17"/>
      <c r="DQ463" s="17"/>
      <c r="DR463" s="17"/>
      <c r="DS463" s="17"/>
      <c r="DT463" s="17"/>
      <c r="DU463" s="17"/>
      <c r="DV463" s="17"/>
      <c r="DW463" s="17"/>
      <c r="DX463" s="17"/>
      <c r="DY463" s="17"/>
      <c r="DZ463" s="17"/>
      <c r="EA463" s="17"/>
      <c r="EB463" s="17"/>
      <c r="EC463" s="17"/>
      <c r="ED463" s="17"/>
      <c r="EE463" s="17"/>
      <c r="EF463" s="17"/>
      <c r="EG463" s="17"/>
      <c r="EH463" s="17"/>
      <c r="EI463" s="17"/>
      <c r="EJ463" s="17"/>
      <c r="EK463" s="17"/>
      <c r="EL463" s="17"/>
      <c r="EM463" s="17"/>
      <c r="EN463" s="17"/>
      <c r="EO463" s="17"/>
      <c r="EP463" s="17"/>
      <c r="EQ463" s="17"/>
      <c r="ER463" s="17"/>
      <c r="ES463" s="17"/>
      <c r="ET463" s="17"/>
      <c r="EU463" s="17"/>
      <c r="EV463" s="17"/>
      <c r="EW463" s="17"/>
      <c r="EX463" s="17"/>
      <c r="EY463" s="17"/>
      <c r="EZ463" s="17"/>
      <c r="FA463" s="17"/>
      <c r="FB463" s="17"/>
      <c r="FC463" s="17"/>
      <c r="FD463" s="17"/>
      <c r="FE463" s="17"/>
      <c r="FF463" s="17"/>
      <c r="FG463" s="17"/>
      <c r="FH463" s="17"/>
    </row>
    <row r="464">
      <c r="A464" s="32" t="s">
        <v>35</v>
      </c>
      <c r="B464" s="32" t="s">
        <v>82</v>
      </c>
      <c r="C464" s="32" t="s">
        <v>13</v>
      </c>
      <c r="D464" s="16">
        <f t="shared" si="1"/>
        <v>2897.326</v>
      </c>
      <c r="E464" s="17"/>
      <c r="F464" s="18" t="str">
        <f>HYPERLINK("https://docs.google.com/spreadsheets/d/1sYO1UdVS2bx7L5aq4R5y8zYHye4Kfb1r?usp=share_link", "RE-885.678")</f>
        <v>RE-885.678</v>
      </c>
      <c r="G464" s="18" t="str">
        <f>HYPERLINK("https://docs.google.com/spreadsheets/d/1NKWJBlySPX_ayVQ8cc8qM-Hjcv5pKyYX?usp=share_link", "RE-2.82807")</f>
        <v>RE-2.82807</v>
      </c>
      <c r="H464" s="18" t="str">
        <f>HYPERLINK("https://docs.google.com/spreadsheets/d/19n4mXoQ6Vc3O_v0a4EYDoRkBL9bmJv19?usp=share_link", "RE-259.48")</f>
        <v>RE-259.48</v>
      </c>
      <c r="I464" s="18" t="str">
        <f>HYPERLINK("https://docs.google.com/spreadsheets/d/1ZOuo3PbZQaAR3MCnptln7Yt2s8aqXT0E?usp=share_link", "RE-0.302217")</f>
        <v>RE-0.302217</v>
      </c>
      <c r="J464" s="18" t="str">
        <f>HYPERLINK("https://docs.google.com/spreadsheets/d/14F8jh0qqjhgyEMBwmcrLJ07vq7IckJbp?usp=share_link", "RE-1561.84")</f>
        <v>RE-1561.84</v>
      </c>
      <c r="K464" s="18" t="str">
        <f>HYPERLINK("https://docs.google.com/spreadsheets/d/1hMX932IJn-muN9_baCEvpdSqLZlImzAB?usp=share_link", "RE-11.2161")</f>
        <v>RE-11.2161</v>
      </c>
      <c r="L464" s="18">
        <f>HYPERLINK("https://docs.google.com/spreadsheets/d/1PMMuCRyCrOM4dvUS6fK08P4UOISO3KXt?usp=share_link", 976.666)</f>
        <v>976.666</v>
      </c>
      <c r="M464" s="18" t="str">
        <f>HYPERLINK("https://docs.google.com/spreadsheets/d/1PgsSEvwOxbBJdZUrBvvvmaZWe6oymss7?usp=share_link", "RE-6.93405")</f>
        <v>RE-6.93405</v>
      </c>
      <c r="N464" s="18" t="str">
        <f>HYPERLINK("https://docs.google.com/spreadsheets/d/1IuBdlnC-viNt49VzHmO3wtA1jNZdRn_m?usp=share_link", "RE-339.914")</f>
        <v>RE-339.914</v>
      </c>
      <c r="O464" s="18" t="str">
        <f>HYPERLINK("https://docs.google.com/spreadsheets/d/1kXH3t68_T_ZekUSlVZ_qS1A9HfIQ6qjr?usp=share_link", "RE-1.62853")</f>
        <v>RE-1.62853</v>
      </c>
      <c r="P464" s="18">
        <f>HYPERLINK("https://docs.google.com/spreadsheets/d/1qe4de8zouJhRepvZc8fec47lMS0mk3Sr?usp=share_link", 310.838)</f>
        <v>310.838</v>
      </c>
      <c r="Q464" s="18" t="str">
        <f>HYPERLINK("https://docs.google.com/spreadsheets/d/1xL4pF3k46k04ePdii3xglGNwFhbb1DBy?usp=share_link", "RE-24.6763")</f>
        <v>RE-24.6763</v>
      </c>
      <c r="R464" s="18">
        <f>HYPERLINK("https://docs.google.com/spreadsheets/d/1H47VbxBVwT8SZ8EbxPDFwKtXwd05ghdo?usp=share_link", 56.302)</f>
        <v>56.302</v>
      </c>
      <c r="S464" s="18" t="str">
        <f>HYPERLINK("https://docs.google.com/spreadsheets/d/1N8vP_LWjACnEBuxs5s402Qw4vTkCTjPi?usp=share_link", "RE-3.30503")</f>
        <v>RE-3.30503</v>
      </c>
      <c r="T464" s="18">
        <f>HYPERLINK("https://docs.google.com/spreadsheets/d/106uZmuSY4ChOrn68naCQgo50XzyMKwAn?usp=share_link", 1553.52)</f>
        <v>1553.52</v>
      </c>
      <c r="U464" s="18" t="str">
        <f>HYPERLINK("https://docs.google.com/spreadsheets/d/1qPCpxJJUdEIhDJl_X1T288B8YzMpm9i2?usp=share_link", "RE-32.7139")</f>
        <v>RE-32.7139</v>
      </c>
      <c r="V464" s="18" t="str">
        <f>HYPERLINK("https://docs.google.com/spreadsheets/d/14ARnJ35mlKlBe11jTT7iNtJnf5fbJZFl?usp=share_link", "RE-1.63717")</f>
        <v>RE-1.63717</v>
      </c>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c r="DE464" s="17"/>
      <c r="DF464" s="17"/>
      <c r="DG464" s="17"/>
      <c r="DH464" s="17"/>
      <c r="DI464" s="17"/>
      <c r="DJ464" s="17"/>
      <c r="DK464" s="17"/>
      <c r="DL464" s="17"/>
      <c r="DM464" s="17"/>
      <c r="DN464" s="17"/>
      <c r="DO464" s="17"/>
      <c r="DP464" s="17"/>
      <c r="DQ464" s="17"/>
      <c r="DR464" s="17"/>
      <c r="DS464" s="17"/>
      <c r="DT464" s="17"/>
      <c r="DU464" s="17"/>
      <c r="DV464" s="17"/>
      <c r="DW464" s="17"/>
      <c r="DX464" s="17"/>
      <c r="DY464" s="17"/>
      <c r="DZ464" s="17"/>
      <c r="EA464" s="17"/>
      <c r="EB464" s="17"/>
      <c r="EC464" s="17"/>
      <c r="ED464" s="17"/>
      <c r="EE464" s="17"/>
      <c r="EF464" s="17"/>
      <c r="EG464" s="17"/>
      <c r="EH464" s="17"/>
      <c r="EI464" s="17"/>
      <c r="EJ464" s="17"/>
      <c r="EK464" s="17"/>
      <c r="EL464" s="17"/>
      <c r="EM464" s="17"/>
      <c r="EN464" s="17"/>
      <c r="EO464" s="17"/>
      <c r="EP464" s="17"/>
      <c r="EQ464" s="17"/>
      <c r="ER464" s="17"/>
      <c r="ES464" s="17"/>
      <c r="ET464" s="17"/>
      <c r="EU464" s="17"/>
      <c r="EV464" s="17"/>
      <c r="EW464" s="17"/>
      <c r="EX464" s="17"/>
      <c r="EY464" s="17"/>
      <c r="EZ464" s="17"/>
      <c r="FA464" s="17"/>
      <c r="FB464" s="17"/>
      <c r="FC464" s="17"/>
      <c r="FD464" s="17"/>
      <c r="FE464" s="17"/>
      <c r="FF464" s="17"/>
      <c r="FG464" s="17"/>
      <c r="FH464" s="17"/>
    </row>
    <row r="465">
      <c r="A465" s="32" t="s">
        <v>35</v>
      </c>
      <c r="B465" s="32" t="s">
        <v>82</v>
      </c>
      <c r="C465" s="32" t="s">
        <v>14</v>
      </c>
      <c r="D465" s="16">
        <f t="shared" si="1"/>
        <v>2503.2029</v>
      </c>
      <c r="E465" s="17"/>
      <c r="F465" s="18" t="str">
        <f>HYPERLINK("https://docs.google.com/spreadsheets/d/1YYIRU7frlPJsCAkHzGyPKSFI8J_VMoce?usp=share_link", "RE-788.926")</f>
        <v>RE-788.926</v>
      </c>
      <c r="G465" s="18" t="str">
        <f>HYPERLINK("https://docs.google.com/spreadsheets/d/10y5KAWfwH9xNJ0BwdPhUQ0_Yun9ZT-g8?usp=share_link", "RE-2.63112")</f>
        <v>RE-2.63112</v>
      </c>
      <c r="H465" s="18" t="str">
        <f>HYPERLINK("https://docs.google.com/spreadsheets/d/1XnJxLJu6Nyud99yOSguH-Rj9zLgJJcgp?usp=share_link", "RE-234.372")</f>
        <v>RE-234.372</v>
      </c>
      <c r="I465" s="18" t="str">
        <f>HYPERLINK("https://docs.google.com/spreadsheets/d/1J_jnoJweTC4ugRKv_DuSniWxnwEho35H?usp=share_link", "RE-0.302217")</f>
        <v>RE-0.302217</v>
      </c>
      <c r="J465" s="18" t="str">
        <f>HYPERLINK("https://docs.google.com/spreadsheets/d/11O3xhps9bseh9JIU2SAmn0dRCcBHt0mJ?usp=share_link", "RE-1428.89")</f>
        <v>RE-1428.89</v>
      </c>
      <c r="K465" s="18" t="str">
        <f>HYPERLINK("https://docs.google.com/spreadsheets/d/1Q-YaM3t4Dx_oUplkWgBVutex3YFVZbFk?usp=share_link", "RE-9.70855")</f>
        <v>RE-9.70855</v>
      </c>
      <c r="L465" s="18">
        <f>HYPERLINK("https://docs.google.com/spreadsheets/d/1aBVblk3dYK2Xufpry3zxDZKCNdRFQ0DT?usp=share_link", 849.813)</f>
        <v>849.813</v>
      </c>
      <c r="M465" s="18" t="str">
        <f>HYPERLINK("https://docs.google.com/spreadsheets/d/1tyeTLE1eaMKzEsdkJSiA4rFYA7JXyfYD?usp=share_link", "RE-6.40758")</f>
        <v>RE-6.40758</v>
      </c>
      <c r="N465" s="18" t="str">
        <f>HYPERLINK("https://docs.google.com/spreadsheets/d/1DCFjufx9T2in2WwCJexL_EUEx3s6cdT_?usp=share_link", "RE-287.193")</f>
        <v>RE-287.193</v>
      </c>
      <c r="O465" s="18" t="str">
        <f>HYPERLINK("https://docs.google.com/spreadsheets/d/1y2Du8X_etgRI5hzkdp5q3Cs6D592EqcY?usp=share_link", "RE-1.62853")</f>
        <v>RE-1.62853</v>
      </c>
      <c r="P465" s="18">
        <f>HYPERLINK("https://docs.google.com/spreadsheets/d/1pQhKErjsB-blBN4Wm9DfmoyqXy2Ualjz?usp=share_link", 267.819)</f>
        <v>267.819</v>
      </c>
      <c r="Q465" s="18" t="str">
        <f>HYPERLINK("https://docs.google.com/spreadsheets/d/1NfqZ0SKfhc5L49qKtVOuyxN5lLNBRHTs?usp=share_link", "RE-22.346")</f>
        <v>RE-22.346</v>
      </c>
      <c r="R465" s="18">
        <f>HYPERLINK("https://docs.google.com/spreadsheets/d/1Gzt2dsFqgy-kIeYN0_6sGZK7N5glGM6y?usp=share_link", 45.5709)</f>
        <v>45.5709</v>
      </c>
      <c r="S465" s="18" t="str">
        <f>HYPERLINK("https://docs.google.com/spreadsheets/d/16VWHD82myXkuBJkjQo0C24K5_8cG2UiA?usp=share_link", "RE-2.74383")</f>
        <v>RE-2.74383</v>
      </c>
      <c r="T465" s="18">
        <f>HYPERLINK("https://docs.google.com/spreadsheets/d/1tf4jXA5ZWfk7PaA_4Vbjoma9EpkR5TqC?usp=share_link", 1340)</f>
        <v>1340</v>
      </c>
      <c r="U465" s="18" t="str">
        <f>HYPERLINK("https://docs.google.com/spreadsheets/d/1PBoTT4rvhQbIaGXUmqhQ_1GqT33AVvZ0?usp=share_link", "RE-26.6938")</f>
        <v>RE-26.6938</v>
      </c>
      <c r="V465" s="18" t="str">
        <f>HYPERLINK("https://docs.google.com/spreadsheets/d/1UfcJluBzmP39JeqxBiGWzfzUhQ6tpK3R?usp=share_link", "RE-1.63717")</f>
        <v>RE-1.63717</v>
      </c>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c r="DE465" s="17"/>
      <c r="DF465" s="17"/>
      <c r="DG465" s="17"/>
      <c r="DH465" s="17"/>
      <c r="DI465" s="17"/>
      <c r="DJ465" s="17"/>
      <c r="DK465" s="17"/>
      <c r="DL465" s="17"/>
      <c r="DM465" s="17"/>
      <c r="DN465" s="17"/>
      <c r="DO465" s="17"/>
      <c r="DP465" s="17"/>
      <c r="DQ465" s="17"/>
      <c r="DR465" s="17"/>
      <c r="DS465" s="17"/>
      <c r="DT465" s="17"/>
      <c r="DU465" s="17"/>
      <c r="DV465" s="17"/>
      <c r="DW465" s="17"/>
      <c r="DX465" s="17"/>
      <c r="DY465" s="17"/>
      <c r="DZ465" s="17"/>
      <c r="EA465" s="17"/>
      <c r="EB465" s="17"/>
      <c r="EC465" s="17"/>
      <c r="ED465" s="17"/>
      <c r="EE465" s="17"/>
      <c r="EF465" s="17"/>
      <c r="EG465" s="17"/>
      <c r="EH465" s="17"/>
      <c r="EI465" s="17"/>
      <c r="EJ465" s="17"/>
      <c r="EK465" s="17"/>
      <c r="EL465" s="17"/>
      <c r="EM465" s="17"/>
      <c r="EN465" s="17"/>
      <c r="EO465" s="17"/>
      <c r="EP465" s="17"/>
      <c r="EQ465" s="17"/>
      <c r="ER465" s="17"/>
      <c r="ES465" s="17"/>
      <c r="ET465" s="17"/>
      <c r="EU465" s="17"/>
      <c r="EV465" s="17"/>
      <c r="EW465" s="17"/>
      <c r="EX465" s="17"/>
      <c r="EY465" s="17"/>
      <c r="EZ465" s="17"/>
      <c r="FA465" s="17"/>
      <c r="FB465" s="17"/>
      <c r="FC465" s="17"/>
      <c r="FD465" s="17"/>
      <c r="FE465" s="17"/>
      <c r="FF465" s="17"/>
      <c r="FG465" s="17"/>
      <c r="FH465" s="17"/>
    </row>
    <row r="466">
      <c r="A466" s="27" t="s">
        <v>35</v>
      </c>
      <c r="B466" s="27" t="s">
        <v>82</v>
      </c>
      <c r="C466" s="27" t="s">
        <v>15</v>
      </c>
      <c r="D466" s="28">
        <f t="shared" si="1"/>
        <v>2897.326</v>
      </c>
      <c r="E466" s="33"/>
      <c r="F466" s="34" t="str">
        <f>HYPERLINK("https://docs.google.com/spreadsheets/d/1Rk7q1nX2A8ZabVcw2BMAtq5bSEOGcvs5?usp=share_link", "RE-885.545")</f>
        <v>RE-885.545</v>
      </c>
      <c r="G466" s="34" t="str">
        <f>HYPERLINK("https://docs.google.com/spreadsheets/d/1zSKqT2CYr6rV_SAsrnigv9YY7VykmflD?usp=share_link", "RE-2.82807")</f>
        <v>RE-2.82807</v>
      </c>
      <c r="H466" s="34" t="str">
        <f>HYPERLINK("https://docs.google.com/spreadsheets/d/1QuBRNtbfB7pWQh4eFhe9090sixhCLCdo?usp=share_link", "RE-259.48")</f>
        <v>RE-259.48</v>
      </c>
      <c r="I466" s="34" t="str">
        <f>HYPERLINK("https://docs.google.com/spreadsheets/d/1QRwdLJfBXBDkdxgjZ1I1xLcNZTieo4f9?usp=share_link", "RE-0.302217")</f>
        <v>RE-0.302217</v>
      </c>
      <c r="J466" s="34" t="str">
        <f>HYPERLINK("https://docs.google.com/spreadsheets/d/1eK-CJc27Ngq_xqnDY6gq9STAXXyOIj0U?usp=share_link", "RE-1561.84")</f>
        <v>RE-1561.84</v>
      </c>
      <c r="K466" s="34" t="str">
        <f>HYPERLINK("https://docs.google.com/spreadsheets/d/1VJZ8SAkWF8femDF6O79XoJ_HOkT9w2vv?usp=share_link", "RE-11.2161")</f>
        <v>RE-11.2161</v>
      </c>
      <c r="L466" s="34">
        <f>HYPERLINK("https://docs.google.com/spreadsheets/d/1tJ1aeMWiYjrdaKskPjXd6U9HGUYXyvs5?usp=share_link", 976.666)</f>
        <v>976.666</v>
      </c>
      <c r="M466" s="34" t="str">
        <f>HYPERLINK("https://docs.google.com/spreadsheets/d/1FIckiu3RRCJ__z7V9mwg1Iu9i4ZLqv4o?usp=share_link", "RE-6.93405")</f>
        <v>RE-6.93405</v>
      </c>
      <c r="N466" s="34" t="str">
        <f>HYPERLINK("https://docs.google.com/spreadsheets/d/17TnO97QqMPVDvm6I5VDHFEQuH63weQGE?usp=share_link", "RE-339.878")</f>
        <v>RE-339.878</v>
      </c>
      <c r="O466" s="34" t="str">
        <f>HYPERLINK("https://docs.google.com/spreadsheets/d/1TLGjeLRUAfjZ4rZzjlWW5w5VhHYJMXtx?usp=share_link", "RE-1.62853")</f>
        <v>RE-1.62853</v>
      </c>
      <c r="P466" s="34">
        <f>HYPERLINK("https://docs.google.com/spreadsheets/d/15jHL6u71eh3HZvrrw_NitM2k5N7c_nU2?usp=share_link", 310.838)</f>
        <v>310.838</v>
      </c>
      <c r="Q466" s="34" t="str">
        <f>HYPERLINK("https://docs.google.com/spreadsheets/d/1YjRTI5fJ6O0hzJ_XIL-FEt59Y_-g6R4e?usp=share_link", "RE-24.6763")</f>
        <v>RE-24.6763</v>
      </c>
      <c r="R466" s="34">
        <f>HYPERLINK("https://docs.google.com/spreadsheets/d/1Ofq7c77Vehta5eWwI6npyNMwwaQvaAJw?usp=share_link", 56.302)</f>
        <v>56.302</v>
      </c>
      <c r="S466" s="34" t="str">
        <f>HYPERLINK("https://docs.google.com/spreadsheets/d/1-mDBwEeQW-k3BuurO2jzaUOOUlpRAGnx?usp=share_link", "RE-3.30503")</f>
        <v>RE-3.30503</v>
      </c>
      <c r="T466" s="34">
        <f>HYPERLINK("https://docs.google.com/spreadsheets/d/1qutKTTxQd2515s9TSI6lJHndXny8q16y?usp=share_link", 1553.52)</f>
        <v>1553.52</v>
      </c>
      <c r="U466" s="34" t="str">
        <f>HYPERLINK("https://docs.google.com/spreadsheets/d/1jFo5HmpoPEpKVb0PXimcSxMS_WNK5M5O?usp=share_link", "RE-32.7139")</f>
        <v>RE-32.7139</v>
      </c>
      <c r="V466" s="34" t="str">
        <f>HYPERLINK("https://docs.google.com/spreadsheets/d/10IFIHCNVZXeAPGkKaQK5WQPveR_PVDWQ?usp=share_link", "RE-1.63717")</f>
        <v>RE-1.63717</v>
      </c>
      <c r="W466" s="33"/>
      <c r="X466" s="33"/>
      <c r="Y466" s="33"/>
      <c r="Z466" s="33"/>
      <c r="AA466" s="33"/>
      <c r="AB466" s="3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c r="BA466" s="33"/>
      <c r="BB466" s="33"/>
      <c r="BC466" s="33"/>
      <c r="BD466" s="33"/>
      <c r="BE466" s="33"/>
      <c r="BF466" s="33"/>
      <c r="BG466" s="33"/>
      <c r="BH466" s="33"/>
      <c r="BI466" s="33"/>
      <c r="BJ466" s="33"/>
      <c r="BK466" s="33"/>
      <c r="BL466" s="33"/>
      <c r="BM466" s="33"/>
      <c r="BN466" s="33"/>
      <c r="BO466" s="33"/>
      <c r="BP466" s="33"/>
      <c r="BQ466" s="33"/>
      <c r="BR466" s="33"/>
      <c r="BS466" s="33"/>
      <c r="BT466" s="33"/>
      <c r="BU466" s="33"/>
      <c r="BV466" s="33"/>
      <c r="BW466" s="33"/>
      <c r="BX466" s="33"/>
      <c r="BY466" s="33"/>
      <c r="BZ466" s="33"/>
      <c r="CA466" s="33"/>
      <c r="CB466" s="33"/>
      <c r="CC466" s="33"/>
      <c r="CD466" s="33"/>
      <c r="CE466" s="33"/>
      <c r="CF466" s="33"/>
      <c r="CG466" s="33"/>
      <c r="CH466" s="33"/>
      <c r="CI466" s="33"/>
      <c r="CJ466" s="33"/>
      <c r="CK466" s="33"/>
      <c r="CL466" s="33"/>
      <c r="CM466" s="33"/>
      <c r="CN466" s="33"/>
      <c r="CO466" s="33"/>
      <c r="CP466" s="33"/>
      <c r="CQ466" s="33"/>
      <c r="CR466" s="33"/>
      <c r="CS466" s="33"/>
      <c r="CT466" s="33"/>
      <c r="CU466" s="33"/>
      <c r="CV466" s="33"/>
      <c r="CW466" s="33"/>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33"/>
      <c r="EP466" s="33"/>
      <c r="EQ466" s="33"/>
      <c r="ER466" s="33"/>
      <c r="ES466" s="33"/>
      <c r="ET466" s="33"/>
      <c r="EU466" s="33"/>
      <c r="EV466" s="33"/>
      <c r="EW466" s="33"/>
      <c r="EX466" s="33"/>
      <c r="EY466" s="33"/>
      <c r="EZ466" s="33"/>
      <c r="FA466" s="33"/>
      <c r="FB466" s="33"/>
      <c r="FC466" s="33"/>
      <c r="FD466" s="33"/>
      <c r="FE466" s="33"/>
      <c r="FF466" s="33"/>
      <c r="FG466" s="33"/>
      <c r="FH466" s="33"/>
    </row>
    <row r="467">
      <c r="A467" s="30" t="s">
        <v>35</v>
      </c>
      <c r="B467" s="30" t="s">
        <v>83</v>
      </c>
      <c r="C467" s="31" t="str">
        <f>HYPERLINK("https://docs.google.com/spreadsheets/d/1FeIfR7Ur0m-DNJDoMMPcIkhXkY0W_12L/edit?usp=share_link&amp;ouid=106501987799020758802&amp;rtpof=true&amp;sd=true", "Raw Delivered")</f>
        <v>Raw Delivered</v>
      </c>
      <c r="D467" s="12">
        <f t="shared" si="1"/>
        <v>6439.649648</v>
      </c>
      <c r="E467" s="13"/>
      <c r="F467" s="14">
        <f>HYPERLINK("https://docs.google.com/spreadsheets/d/1frZGOT5ijIpsWnMhNRV8KlD8XtCtLcAD", 1037.24558125)</f>
        <v>1037.245581</v>
      </c>
      <c r="G467" s="13"/>
      <c r="H467" s="14">
        <f>HYPERLINK("https://docs.google.com/spreadsheets/d/1RQMbHQTzj1Yl9U_iSCcXJ8WKLU42Wr9G", 136.400991666666)</f>
        <v>136.4009917</v>
      </c>
      <c r="I467" s="13"/>
      <c r="J467" s="14">
        <f>HYPERLINK("https://docs.google.com/spreadsheets/d/19gBqYsnJNADiMu6wyuZ7OkIFkMkBrQSQ", 1753.52699375)</f>
        <v>1753.526994</v>
      </c>
      <c r="K467" s="13"/>
      <c r="L467" s="14">
        <f t="shared" ref="L467:L468" si="234">HYPERLINK("https://docs.google.com/spreadsheets/d/1G8pSYBwDgYZPMZRjswNaTXPlGdBu4Irk", 996.514376041667)</f>
        <v>996.514376</v>
      </c>
      <c r="M467" s="13"/>
      <c r="N467" s="14">
        <f>HYPERLINK("https://docs.google.com/spreadsheets/d/1eA28j9P5yKVtMeb0j1t4CgDgdnTOJaNs", 755.383240625)</f>
        <v>755.3832406</v>
      </c>
      <c r="O467" s="13"/>
      <c r="P467" s="14">
        <f t="shared" ref="P467:P468" si="235">HYPERLINK("https://docs.google.com/spreadsheets/d/1dJu7_sZ4y9gx-qtLNA2Js3UqHcBSfVWq", 336.735040624999)</f>
        <v>336.7350406</v>
      </c>
      <c r="Q467" s="13"/>
      <c r="R467" s="14">
        <f t="shared" ref="R467:R468" si="236">HYPERLINK("https://docs.google.com/spreadsheets/d/1MKoEVkuaYavyd3VBKVa9vU5owSH-3h3z", 61.96864375)</f>
        <v>61.96864375</v>
      </c>
      <c r="S467" s="13"/>
      <c r="T467" s="14">
        <f t="shared" ref="T467:T468" si="237">HYPERLINK("https://docs.google.com/spreadsheets/d/1j-0QACEiMGvVBUixVGKaZAARQ7zfRaR1", 1361.87478020833)</f>
        <v>1361.87478</v>
      </c>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row>
    <row r="468">
      <c r="A468" s="32" t="s">
        <v>35</v>
      </c>
      <c r="B468" s="32" t="s">
        <v>83</v>
      </c>
      <c r="C468" s="32" t="s">
        <v>9</v>
      </c>
      <c r="D468" s="16">
        <f t="shared" si="1"/>
        <v>2757.092841</v>
      </c>
      <c r="E468" s="17"/>
      <c r="F468" s="18" t="str">
        <f>HYPERLINK("https://docs.google.com/spreadsheets/d/1frZGOT5ijIpsWnMhNRV8KlD8XtCtLcAD", "RE-1037.24558125")</f>
        <v>RE-1037.24558125</v>
      </c>
      <c r="G468" s="17"/>
      <c r="H468" s="18" t="str">
        <f>HYPERLINK("https://docs.google.com/spreadsheets/d/1RQMbHQTzj1Yl9U_iSCcXJ8WKLU42Wr9G", "RE-136.40099166666678")</f>
        <v>RE-136.40099166666678</v>
      </c>
      <c r="I468" s="17"/>
      <c r="J468" s="18" t="str">
        <f>HYPERLINK("https://docs.google.com/spreadsheets/d/19gBqYsnJNADiMu6wyuZ7OkIFkMkBrQSQ", "RE-1753.52699375")</f>
        <v>RE-1753.52699375</v>
      </c>
      <c r="K468" s="17"/>
      <c r="L468" s="18">
        <f t="shared" si="234"/>
        <v>996.514376</v>
      </c>
      <c r="M468" s="17"/>
      <c r="N468" s="18" t="str">
        <f>HYPERLINK("https://docs.google.com/spreadsheets/d/1eA28j9P5yKVtMeb0j1t4CgDgdnTOJaNs", "RE-755.3832406250002")</f>
        <v>RE-755.3832406250002</v>
      </c>
      <c r="O468" s="17"/>
      <c r="P468" s="18">
        <f t="shared" si="235"/>
        <v>336.7350406</v>
      </c>
      <c r="Q468" s="17"/>
      <c r="R468" s="18">
        <f t="shared" si="236"/>
        <v>61.96864375</v>
      </c>
      <c r="S468" s="17"/>
      <c r="T468" s="18">
        <f t="shared" si="237"/>
        <v>1361.87478</v>
      </c>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c r="DE468" s="17"/>
      <c r="DF468" s="17"/>
      <c r="DG468" s="17"/>
      <c r="DH468" s="17"/>
      <c r="DI468" s="17"/>
      <c r="DJ468" s="17"/>
      <c r="DK468" s="17"/>
      <c r="DL468" s="17"/>
      <c r="DM468" s="17"/>
      <c r="DN468" s="17"/>
      <c r="DO468" s="17"/>
      <c r="DP468" s="17"/>
      <c r="DQ468" s="17"/>
      <c r="DR468" s="17"/>
      <c r="DS468" s="17"/>
      <c r="DT468" s="17"/>
      <c r="DU468" s="17"/>
      <c r="DV468" s="17"/>
      <c r="DW468" s="17"/>
      <c r="DX468" s="17"/>
      <c r="DY468" s="17"/>
      <c r="DZ468" s="17"/>
      <c r="EA468" s="17"/>
      <c r="EB468" s="17"/>
      <c r="EC468" s="17"/>
      <c r="ED468" s="17"/>
      <c r="EE468" s="17"/>
      <c r="EF468" s="17"/>
      <c r="EG468" s="17"/>
      <c r="EH468" s="17"/>
      <c r="EI468" s="17"/>
      <c r="EJ468" s="17"/>
      <c r="EK468" s="17"/>
      <c r="EL468" s="17"/>
      <c r="EM468" s="17"/>
      <c r="EN468" s="17"/>
      <c r="EO468" s="17"/>
      <c r="EP468" s="17"/>
      <c r="EQ468" s="17"/>
      <c r="ER468" s="17"/>
      <c r="ES468" s="17"/>
      <c r="ET468" s="17"/>
      <c r="EU468" s="17"/>
      <c r="EV468" s="17"/>
      <c r="EW468" s="17"/>
      <c r="EX468" s="17"/>
      <c r="EY468" s="17"/>
      <c r="EZ468" s="17"/>
      <c r="FA468" s="17"/>
      <c r="FB468" s="17"/>
      <c r="FC468" s="17"/>
      <c r="FD468" s="17"/>
      <c r="FE468" s="17"/>
      <c r="FF468" s="17"/>
      <c r="FG468" s="17"/>
      <c r="FH468" s="17"/>
    </row>
    <row r="469">
      <c r="A469" s="32" t="s">
        <v>35</v>
      </c>
      <c r="B469" s="32" t="s">
        <v>83</v>
      </c>
      <c r="C469" s="32" t="s">
        <v>10</v>
      </c>
      <c r="D469" s="16">
        <f t="shared" si="1"/>
        <v>503.1765948</v>
      </c>
      <c r="E469" s="17"/>
      <c r="F469" s="17"/>
      <c r="G469" s="18">
        <f>HYPERLINK("https://docs.google.com/spreadsheets/d/13-UPtBxSDzEE-16_dy-WTF6eh0DwcWtN", 133.261077083333)</f>
        <v>133.2610771</v>
      </c>
      <c r="H469" s="17"/>
      <c r="I469" s="18">
        <f>HYPERLINK("https://docs.google.com/spreadsheets/d/1lTKc0xHdMAzzek7jwvVo3H8kUMVIimiB", 16.6508458333333)</f>
        <v>16.65084583</v>
      </c>
      <c r="J469" s="17"/>
      <c r="K469" s="18">
        <f>HYPERLINK("https://docs.google.com/spreadsheets/d/1QUN9LwqIeSNUm56Sf4mMxmRN8EHrfxU2", 104.733679166666)</f>
        <v>104.7336792</v>
      </c>
      <c r="L469" s="17"/>
      <c r="M469" s="18">
        <f>HYPERLINK("https://docs.google.com/spreadsheets/d/1viuANiDj1hS56QCqHOO7-WcYGSrxc6Dd", 62.5474333333333)</f>
        <v>62.54743333</v>
      </c>
      <c r="N469" s="17"/>
      <c r="O469" s="18">
        <f>HYPERLINK("https://docs.google.com/spreadsheets/d/1d7-wbMhxlIwWb4qqagXoYg4PD8L45aVX", 57.4731260416666)</f>
        <v>57.47312604</v>
      </c>
      <c r="P469" s="17"/>
      <c r="Q469" s="18">
        <f>HYPERLINK("https://docs.google.com/spreadsheets/d/1eGete2qNeB3pK1zZ2_atzoiSNfN9Rv5F", 51.5052791666666)</f>
        <v>51.50527917</v>
      </c>
      <c r="R469" s="17"/>
      <c r="S469" s="18">
        <f>HYPERLINK("https://docs.google.com/spreadsheets/d/1er7DOxcxsUaa33cQ76DM-Saw6hAnNaj9", 0.332477083333333)</f>
        <v>0.3324770833</v>
      </c>
      <c r="T469" s="17"/>
      <c r="U469" s="18">
        <f>HYPERLINK("https://docs.google.com/spreadsheets/d/1iom_zz07lZm3cy14JKsgRnjMINhy9DkH", 69.0304479166666)</f>
        <v>69.03044792</v>
      </c>
      <c r="V469" s="18">
        <f>HYPERLINK("https://docs.google.com/spreadsheets/d/1haPhDR7dNDfIFLOniCvFmHcw8Cl7FmHm", 7.64222916666666)</f>
        <v>7.642229167</v>
      </c>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c r="DE469" s="17"/>
      <c r="DF469" s="17"/>
      <c r="DG469" s="17"/>
      <c r="DH469" s="17"/>
      <c r="DI469" s="17"/>
      <c r="DJ469" s="17"/>
      <c r="DK469" s="17"/>
      <c r="DL469" s="17"/>
      <c r="DM469" s="17"/>
      <c r="DN469" s="17"/>
      <c r="DO469" s="17"/>
      <c r="DP469" s="17"/>
      <c r="DQ469" s="17"/>
      <c r="DR469" s="17"/>
      <c r="DS469" s="17"/>
      <c r="DT469" s="17"/>
      <c r="DU469" s="17"/>
      <c r="DV469" s="17"/>
      <c r="DW469" s="17"/>
      <c r="DX469" s="17"/>
      <c r="DY469" s="17"/>
      <c r="DZ469" s="17"/>
      <c r="EA469" s="17"/>
      <c r="EB469" s="17"/>
      <c r="EC469" s="17"/>
      <c r="ED469" s="17"/>
      <c r="EE469" s="17"/>
      <c r="EF469" s="17"/>
      <c r="EG469" s="17"/>
      <c r="EH469" s="17"/>
      <c r="EI469" s="17"/>
      <c r="EJ469" s="17"/>
      <c r="EK469" s="17"/>
      <c r="EL469" s="17"/>
      <c r="EM469" s="17"/>
      <c r="EN469" s="17"/>
      <c r="EO469" s="17"/>
      <c r="EP469" s="17"/>
      <c r="EQ469" s="17"/>
      <c r="ER469" s="17"/>
      <c r="ES469" s="17"/>
      <c r="ET469" s="17"/>
      <c r="EU469" s="17"/>
      <c r="EV469" s="17"/>
      <c r="EW469" s="17"/>
      <c r="EX469" s="17"/>
      <c r="EY469" s="17"/>
      <c r="EZ469" s="17"/>
      <c r="FA469" s="17"/>
      <c r="FB469" s="17"/>
      <c r="FC469" s="17"/>
      <c r="FD469" s="17"/>
      <c r="FE469" s="17"/>
      <c r="FF469" s="17"/>
      <c r="FG469" s="17"/>
      <c r="FH469" s="17"/>
    </row>
    <row r="470">
      <c r="A470" s="32" t="s">
        <v>35</v>
      </c>
      <c r="B470" s="32" t="s">
        <v>83</v>
      </c>
      <c r="C470" s="32" t="s">
        <v>11</v>
      </c>
      <c r="D470" s="16">
        <f t="shared" si="1"/>
        <v>0</v>
      </c>
      <c r="E470" s="17"/>
      <c r="F470" s="17"/>
      <c r="G470" s="18" t="str">
        <f>HYPERLINK("https://docs.google.com/spreadsheets/d/13-UPtBxSDzEE-16_dy-WTF6eh0DwcWtN", "RE-133.2610770833334")</f>
        <v>RE-133.2610770833334</v>
      </c>
      <c r="H470" s="17"/>
      <c r="I470" s="18" t="str">
        <f>HYPERLINK("https://docs.google.com/spreadsheets/d/1lTKc0xHdMAzzek7jwvVo3H8kUMVIimiB", "RE-16.65084583333333")</f>
        <v>RE-16.65084583333333</v>
      </c>
      <c r="J470" s="17"/>
      <c r="K470" s="18" t="str">
        <f>HYPERLINK("https://docs.google.com/spreadsheets/d/1QUN9LwqIeSNUm56Sf4mMxmRN8EHrfxU2", "RE-104.73367916666663")</f>
        <v>RE-104.73367916666663</v>
      </c>
      <c r="L470" s="17"/>
      <c r="M470" s="18" t="str">
        <f>HYPERLINK("https://docs.google.com/spreadsheets/d/1viuANiDj1hS56QCqHOO7-WcYGSrxc6Dd", "RE-62.54743333333332")</f>
        <v>RE-62.54743333333332</v>
      </c>
      <c r="N470" s="17"/>
      <c r="O470" s="18" t="str">
        <f>HYPERLINK("https://docs.google.com/spreadsheets/d/1d7-wbMhxlIwWb4qqagXoYg4PD8L45aVX", "RE-57.47312604166665")</f>
        <v>RE-57.47312604166665</v>
      </c>
      <c r="P470" s="17"/>
      <c r="Q470" s="18" t="str">
        <f>HYPERLINK("https://docs.google.com/spreadsheets/d/1eGete2qNeB3pK1zZ2_atzoiSNfN9Rv5F", "RE-51.50527916666668")</f>
        <v>RE-51.50527916666668</v>
      </c>
      <c r="R470" s="17"/>
      <c r="S470" s="18" t="str">
        <f>HYPERLINK("https://docs.google.com/spreadsheets/d/1er7DOxcxsUaa33cQ76DM-Saw6hAnNaj9", "RE-0.3324770833333333")</f>
        <v>RE-0.3324770833333333</v>
      </c>
      <c r="T470" s="17"/>
      <c r="U470" s="18" t="str">
        <f>HYPERLINK("https://docs.google.com/spreadsheets/d/1iom_zz07lZm3cy14JKsgRnjMINhy9DkH", "RE-69.03044791666666")</f>
        <v>RE-69.03044791666666</v>
      </c>
      <c r="V470" s="18" t="str">
        <f>HYPERLINK("https://docs.google.com/spreadsheets/d/1haPhDR7dNDfIFLOniCvFmHcw8Cl7FmHm", "RE-7.6422291666666675")</f>
        <v>RE-7.6422291666666675</v>
      </c>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c r="DE470" s="17"/>
      <c r="DF470" s="17"/>
      <c r="DG470" s="17"/>
      <c r="DH470" s="17"/>
      <c r="DI470" s="17"/>
      <c r="DJ470" s="17"/>
      <c r="DK470" s="17"/>
      <c r="DL470" s="17"/>
      <c r="DM470" s="17"/>
      <c r="DN470" s="17"/>
      <c r="DO470" s="17"/>
      <c r="DP470" s="17"/>
      <c r="DQ470" s="17"/>
      <c r="DR470" s="17"/>
      <c r="DS470" s="17"/>
      <c r="DT470" s="17"/>
      <c r="DU470" s="17"/>
      <c r="DV470" s="17"/>
      <c r="DW470" s="17"/>
      <c r="DX470" s="17"/>
      <c r="DY470" s="17"/>
      <c r="DZ470" s="17"/>
      <c r="EA470" s="17"/>
      <c r="EB470" s="17"/>
      <c r="EC470" s="17"/>
      <c r="ED470" s="17"/>
      <c r="EE470" s="17"/>
      <c r="EF470" s="17"/>
      <c r="EG470" s="17"/>
      <c r="EH470" s="17"/>
      <c r="EI470" s="17"/>
      <c r="EJ470" s="17"/>
      <c r="EK470" s="17"/>
      <c r="EL470" s="17"/>
      <c r="EM470" s="17"/>
      <c r="EN470" s="17"/>
      <c r="EO470" s="17"/>
      <c r="EP470" s="17"/>
      <c r="EQ470" s="17"/>
      <c r="ER470" s="17"/>
      <c r="ES470" s="17"/>
      <c r="ET470" s="17"/>
      <c r="EU470" s="17"/>
      <c r="EV470" s="17"/>
      <c r="EW470" s="17"/>
      <c r="EX470" s="17"/>
      <c r="EY470" s="17"/>
      <c r="EZ470" s="17"/>
      <c r="FA470" s="17"/>
      <c r="FB470" s="17"/>
      <c r="FC470" s="17"/>
      <c r="FD470" s="17"/>
      <c r="FE470" s="17"/>
      <c r="FF470" s="17"/>
      <c r="FG470" s="17"/>
      <c r="FH470" s="17"/>
    </row>
    <row r="471">
      <c r="A471" s="32" t="s">
        <v>35</v>
      </c>
      <c r="B471" s="32" t="s">
        <v>83</v>
      </c>
      <c r="C471" s="32" t="s">
        <v>12</v>
      </c>
      <c r="D471" s="16">
        <f t="shared" si="1"/>
        <v>2570.382702</v>
      </c>
      <c r="E471" s="17"/>
      <c r="F471" s="18" t="str">
        <f>HYPERLINK("https://docs.google.com/spreadsheets/d/1Ve4uJLkDdUDA9gi8xhMfKe0UXxvcJjVR", "RE-768.3624541666666")</f>
        <v>RE-768.3624541666666</v>
      </c>
      <c r="G471" s="18" t="str">
        <f>HYPERLINK("https://docs.google.com/spreadsheets/d/1_sDsEvScq2eHHJUI5WLcmzQfJ4A60ktq", "RE-4.217124999999999")</f>
        <v>RE-4.217124999999999</v>
      </c>
      <c r="H471" s="18" t="str">
        <f>HYPERLINK("https://docs.google.com/spreadsheets/d/17ul0P9za9hEsuiqQsxc1meH40D2V6c-g", "RE-113.02193958333338")</f>
        <v>RE-113.02193958333338</v>
      </c>
      <c r="I471" s="18" t="str">
        <f>HYPERLINK("https://docs.google.com/spreadsheets/d/1ii9YQoFO2ts3bIMR46NK5vY9-Ut-9V_w", "RE-1.1195916666666668")</f>
        <v>RE-1.1195916666666668</v>
      </c>
      <c r="J471" s="18" t="str">
        <f>HYPERLINK("https://docs.google.com/spreadsheets/d/1Wm98jnqe8tVAR7Apd4QChf_zoF81wJ0e", "RE-1454.4245843750011")</f>
        <v>RE-1454.4245843750011</v>
      </c>
      <c r="K471" s="18" t="str">
        <f>HYPERLINK("https://docs.google.com/spreadsheets/d/1KLB_tFe8VloF9-qNsPYq5Lt2H8BAyUh_", "RE-4.376118750000001")</f>
        <v>RE-4.376118750000001</v>
      </c>
      <c r="L471" s="18">
        <f>HYPERLINK("https://docs.google.com/spreadsheets/d/1MP0dC8OGbGwGNlB8AXm0-G0kxFtdDfc-", 888.074369791666)</f>
        <v>888.0743698</v>
      </c>
      <c r="M471" s="18" t="str">
        <f>HYPERLINK("https://docs.google.com/spreadsheets/d/160uuXP2zVcMqpKMFoU3h35O71tcgUJJn", "RE-6.670641666666665")</f>
        <v>RE-6.670641666666665</v>
      </c>
      <c r="N471" s="18" t="str">
        <f>HYPERLINK("https://docs.google.com/spreadsheets/d/11zH9RBF5tpcfAdD296mQKGestApNWwTA", "RE-541.957373958333")</f>
        <v>RE-541.957373958333</v>
      </c>
      <c r="O471" s="18" t="str">
        <f>HYPERLINK("https://docs.google.com/spreadsheets/d/1_KA8nt9pEKuxSIjUXGPltym06VlwsIDz", "RE-3.3068114583333332")</f>
        <v>RE-3.3068114583333332</v>
      </c>
      <c r="P471" s="18">
        <f>HYPERLINK("https://docs.google.com/spreadsheets/d/dummy", 310.42280625)</f>
        <v>310.4228063</v>
      </c>
      <c r="Q471" s="18" t="str">
        <f>HYPERLINK("https://docs.google.com/spreadsheets/d/1e6G8-8wR1UYnVZ9dBtXbI-r3X-zjv6cJ", "RE-23.017671875")</f>
        <v>RE-23.017671875</v>
      </c>
      <c r="R471" s="18">
        <f>HYPERLINK("https://docs.google.com/spreadsheets/d/1UCOERuXLdY5RQXjcYpLp5TBJTDznRA4a", 53.2091729166666)</f>
        <v>53.20917292</v>
      </c>
      <c r="S471" s="18" t="str">
        <f>HYPERLINK("https://docs.google.com/spreadsheets/d/1LgpEEOeEOls-KlT3IUt-Le-ZvufezoQC", "RE-0.0")</f>
        <v>RE-0.0</v>
      </c>
      <c r="T471" s="18">
        <f>HYPERLINK("https://docs.google.com/spreadsheets/d/1Z7u4dYgGIpCXR0HthRCjot_Jkg_dyEYp", 1318.67635312499)</f>
        <v>1318.676353</v>
      </c>
      <c r="U471" s="18" t="str">
        <f>HYPERLINK("https://docs.google.com/spreadsheets/d/1T52p94d58PNm3US3MNknTGLm-0ZipZgI", "RE-37.39640208333333")</f>
        <v>RE-37.39640208333333</v>
      </c>
      <c r="V471" s="18" t="str">
        <f>HYPERLINK("https://docs.google.com/spreadsheets/d/12kMxGsnitJFV0lZeu3qEabvzSez0YhYf", "RE-2.6340500000000002")</f>
        <v>RE-2.6340500000000002</v>
      </c>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c r="DE471" s="17"/>
      <c r="DF471" s="17"/>
      <c r="DG471" s="17"/>
      <c r="DH471" s="17"/>
      <c r="DI471" s="17"/>
      <c r="DJ471" s="17"/>
      <c r="DK471" s="17"/>
      <c r="DL471" s="17"/>
      <c r="DM471" s="17"/>
      <c r="DN471" s="17"/>
      <c r="DO471" s="17"/>
      <c r="DP471" s="17"/>
      <c r="DQ471" s="17"/>
      <c r="DR471" s="17"/>
      <c r="DS471" s="17"/>
      <c r="DT471" s="17"/>
      <c r="DU471" s="17"/>
      <c r="DV471" s="17"/>
      <c r="DW471" s="17"/>
      <c r="DX471" s="17"/>
      <c r="DY471" s="17"/>
      <c r="DZ471" s="17"/>
      <c r="EA471" s="17"/>
      <c r="EB471" s="17"/>
      <c r="EC471" s="17"/>
      <c r="ED471" s="17"/>
      <c r="EE471" s="17"/>
      <c r="EF471" s="17"/>
      <c r="EG471" s="17"/>
      <c r="EH471" s="17"/>
      <c r="EI471" s="17"/>
      <c r="EJ471" s="17"/>
      <c r="EK471" s="17"/>
      <c r="EL471" s="17"/>
      <c r="EM471" s="17"/>
      <c r="EN471" s="17"/>
      <c r="EO471" s="17"/>
      <c r="EP471" s="17"/>
      <c r="EQ471" s="17"/>
      <c r="ER471" s="17"/>
      <c r="ES471" s="17"/>
      <c r="ET471" s="17"/>
      <c r="EU471" s="17"/>
      <c r="EV471" s="17"/>
      <c r="EW471" s="17"/>
      <c r="EX471" s="17"/>
      <c r="EY471" s="17"/>
      <c r="EZ471" s="17"/>
      <c r="FA471" s="17"/>
      <c r="FB471" s="17"/>
      <c r="FC471" s="17"/>
      <c r="FD471" s="17"/>
      <c r="FE471" s="17"/>
      <c r="FF471" s="17"/>
      <c r="FG471" s="17"/>
      <c r="FH471" s="17"/>
    </row>
    <row r="472">
      <c r="A472" s="32" t="s">
        <v>35</v>
      </c>
      <c r="B472" s="32" t="s">
        <v>83</v>
      </c>
      <c r="C472" s="32" t="s">
        <v>13</v>
      </c>
      <c r="D472" s="16">
        <f t="shared" si="1"/>
        <v>2491.9175</v>
      </c>
      <c r="E472" s="17"/>
      <c r="F472" s="18" t="str">
        <f>HYPERLINK("https://docs.google.com/spreadsheets/d/1BWm1aULySZpSoK1s5Jf6zjEYC06xizeP?usp=share_link", "RE-754.359")</f>
        <v>RE-754.359</v>
      </c>
      <c r="G472" s="18" t="str">
        <f>HYPERLINK("https://docs.google.com/spreadsheets/d/1xqZWG0NMUPEYW2s1bvo6RIaLohaadeMi?usp=share_link", "RE-4.05672")</f>
        <v>RE-4.05672</v>
      </c>
      <c r="H472" s="18" t="str">
        <f>HYPERLINK("https://docs.google.com/spreadsheets/d/1xCEXgKJE6LaCj013F8JcdAUVnPgEBWUp?usp=share_link", "RE-111.153")</f>
        <v>RE-111.153</v>
      </c>
      <c r="I472" s="18" t="str">
        <f>HYPERLINK("https://docs.google.com/spreadsheets/d/1iL3HMXThiCBEvDql1h4bQcfoSFJHwboK?usp=share_link", "RE-1.10748")</f>
        <v>RE-1.10748</v>
      </c>
      <c r="J472" s="18" t="str">
        <f>HYPERLINK("https://docs.google.com/spreadsheets/d/1xPOM7VfqfCruycUt0wMGVqyq96RL7_KF?usp=share_link", "RE-1427.56")</f>
        <v>RE-1427.56</v>
      </c>
      <c r="K472" s="18" t="str">
        <f>HYPERLINK("https://docs.google.com/spreadsheets/d/1S3g8WwkLCFaZ6m2dhyY0JdSEd6tb2Oaq?usp=share_link", "RE-4.32097")</f>
        <v>RE-4.32097</v>
      </c>
      <c r="L472" s="18">
        <f>HYPERLINK("https://docs.google.com/spreadsheets/d/1-yRgDyaf4_HYNVDUPBTbhhhQffdZufBr?usp=share_link", 863.784)</f>
        <v>863.784</v>
      </c>
      <c r="M472" s="18" t="str">
        <f>HYPERLINK("https://docs.google.com/spreadsheets/d/1my9bKkhBBe5iVGm4nAjCOYlSfM96esoz?usp=share_link", "RE-6.56892")</f>
        <v>RE-6.56892</v>
      </c>
      <c r="N472" s="18" t="str">
        <f>HYPERLINK("https://docs.google.com/spreadsheets/d/11hjZpPOKHr_ephFN_X_0I0BCFdjk16Fb?usp=share_link", "RE-524.836")</f>
        <v>RE-524.836</v>
      </c>
      <c r="O472" s="18" t="str">
        <f>HYPERLINK("https://docs.google.com/spreadsheets/d/1-xBxZgOgNk8_ASlk_16wuCoz6CUBw1gA?usp=share_link", "RE-2.97297")</f>
        <v>RE-2.97297</v>
      </c>
      <c r="P472" s="18">
        <f>HYPERLINK("https://docs.google.com/spreadsheets/d/1XLa4_ugFjlB9JHen28bfFuEDEFM_u9hS?usp=share_link", 299.86)</f>
        <v>299.86</v>
      </c>
      <c r="Q472" s="18" t="str">
        <f>HYPERLINK("https://docs.google.com/spreadsheets/d/1JnFy_KoCOa2mgR79lUKAWjTYNWjX_O4j?usp=share_link", "RE-22.2255")</f>
        <v>RE-22.2255</v>
      </c>
      <c r="R472" s="18">
        <f>HYPERLINK("https://docs.google.com/spreadsheets/d/15eNBsdlztiqbJ5sq5QfSXyJTXY7Non3-?usp=share_link", 49.7735)</f>
        <v>49.7735</v>
      </c>
      <c r="S472" s="17"/>
      <c r="T472" s="18">
        <f>HYPERLINK("https://docs.google.com/spreadsheets/d/1iDsGSrrszo_6qUmIPGISKYrDCxceq0UL?usp=share_link", 1278.5)</f>
        <v>1278.5</v>
      </c>
      <c r="U472" s="18" t="str">
        <f>HYPERLINK("https://docs.google.com/spreadsheets/d/1442zZjvN6bfBPFeNGYQYby5iz0oFvrjX?usp=share_link", "RE-35.3863")</f>
        <v>RE-35.3863</v>
      </c>
      <c r="V472" s="18" t="str">
        <f>HYPERLINK("https://docs.google.com/spreadsheets/d/11Lfu2iWowRQ9n2prCtYkeqpqaRosCJ1j?usp=share_link", "RE-2.52662")</f>
        <v>RE-2.52662</v>
      </c>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c r="DE472" s="17"/>
      <c r="DF472" s="17"/>
      <c r="DG472" s="17"/>
      <c r="DH472" s="17"/>
      <c r="DI472" s="17"/>
      <c r="DJ472" s="17"/>
      <c r="DK472" s="17"/>
      <c r="DL472" s="17"/>
      <c r="DM472" s="17"/>
      <c r="DN472" s="17"/>
      <c r="DO472" s="17"/>
      <c r="DP472" s="17"/>
      <c r="DQ472" s="17"/>
      <c r="DR472" s="17"/>
      <c r="DS472" s="17"/>
      <c r="DT472" s="17"/>
      <c r="DU472" s="17"/>
      <c r="DV472" s="17"/>
      <c r="DW472" s="17"/>
      <c r="DX472" s="17"/>
      <c r="DY472" s="17"/>
      <c r="DZ472" s="17"/>
      <c r="EA472" s="17"/>
      <c r="EB472" s="17"/>
      <c r="EC472" s="17"/>
      <c r="ED472" s="17"/>
      <c r="EE472" s="17"/>
      <c r="EF472" s="17"/>
      <c r="EG472" s="17"/>
      <c r="EH472" s="17"/>
      <c r="EI472" s="17"/>
      <c r="EJ472" s="17"/>
      <c r="EK472" s="17"/>
      <c r="EL472" s="17"/>
      <c r="EM472" s="17"/>
      <c r="EN472" s="17"/>
      <c r="EO472" s="17"/>
      <c r="EP472" s="17"/>
      <c r="EQ472" s="17"/>
      <c r="ER472" s="17"/>
      <c r="ES472" s="17"/>
      <c r="ET472" s="17"/>
      <c r="EU472" s="17"/>
      <c r="EV472" s="17"/>
      <c r="EW472" s="17"/>
      <c r="EX472" s="17"/>
      <c r="EY472" s="17"/>
      <c r="EZ472" s="17"/>
      <c r="FA472" s="17"/>
      <c r="FB472" s="17"/>
      <c r="FC472" s="17"/>
      <c r="FD472" s="17"/>
      <c r="FE472" s="17"/>
      <c r="FF472" s="17"/>
      <c r="FG472" s="17"/>
      <c r="FH472" s="17"/>
    </row>
    <row r="473">
      <c r="A473" s="32" t="s">
        <v>35</v>
      </c>
      <c r="B473" s="32" t="s">
        <v>83</v>
      </c>
      <c r="C473" s="32" t="s">
        <v>14</v>
      </c>
      <c r="D473" s="16">
        <f t="shared" si="1"/>
        <v>2167.0194</v>
      </c>
      <c r="E473" s="17"/>
      <c r="F473" s="18" t="str">
        <f>HYPERLINK("https://docs.google.com/spreadsheets/d/143DPl9MmqnTHejhAMF3U8Hy9qlM5_J9J?usp=share_link", "RE-673.79")</f>
        <v>RE-673.79</v>
      </c>
      <c r="G473" s="18" t="str">
        <f>HYPERLINK("https://docs.google.com/spreadsheets/d/1n7lT7oYP4Xz95JhwVT_CD_nRCA2dIA7s?usp=share_link", "RE-3.8892")</f>
        <v>RE-3.8892</v>
      </c>
      <c r="H473" s="18" t="str">
        <f>HYPERLINK("https://docs.google.com/spreadsheets/d/1XS8IMCzy7Oexnx_vHiG_au1tNwFP95HV?usp=share_link", "RE-102.209")</f>
        <v>RE-102.209</v>
      </c>
      <c r="I473" s="18" t="str">
        <f>HYPERLINK("https://docs.google.com/spreadsheets/d/1mw2p1Vc9v-k-ZjuDHS__vDpsspUlAOmH?usp=share_link", "RE-1.10748")</f>
        <v>RE-1.10748</v>
      </c>
      <c r="J473" s="18" t="str">
        <f>HYPERLINK("https://docs.google.com/spreadsheets/d/1ksXv7mpOSdEye0vViObnpXx8AFWlYPLO?usp=share_link", "RE-1296.69")</f>
        <v>RE-1296.69</v>
      </c>
      <c r="K473" s="18" t="str">
        <f>HYPERLINK("https://docs.google.com/spreadsheets/d/1FkQIugFxDdcC2__4awaSoK8L-c0gD_7v?usp=share_link", "RE-4.2067")</f>
        <v>RE-4.2067</v>
      </c>
      <c r="L473" s="18">
        <f>HYPERLINK("https://docs.google.com/spreadsheets/d/19N-PHIdSr-Eus9cBC1i_-TjzrudAFlL0?usp=share_link", 753.864)</f>
        <v>753.864</v>
      </c>
      <c r="M473" s="18" t="str">
        <f>HYPERLINK("https://docs.google.com/spreadsheets/d/1pRIhaNQI4D8UohJjcUcr8eG5c4GAVgSv?usp=share_link", "RE-6.33048")</f>
        <v>RE-6.33048</v>
      </c>
      <c r="N473" s="18" t="str">
        <f>HYPERLINK("https://docs.google.com/spreadsheets/d/1Ac3J249C8OHBFydL_b8ySy8DQSoGEGBB?usp=share_link", "RE-452.323")</f>
        <v>RE-452.323</v>
      </c>
      <c r="O473" s="18" t="str">
        <f>HYPERLINK("https://docs.google.com/spreadsheets/d/1LXDICpgM6zZa3OlGSn_Kf4tWJBm9vbGO?usp=share_link", "RE-2.50967")</f>
        <v>RE-2.50967</v>
      </c>
      <c r="P473" s="18">
        <f>HYPERLINK("https://docs.google.com/spreadsheets/d/1VPtb110KHVlUeXhvhK3koz3LdVUo33gL?usp=share_link", 259.727)</f>
        <v>259.727</v>
      </c>
      <c r="Q473" s="18" t="str">
        <f>HYPERLINK("https://docs.google.com/spreadsheets/d/1ES0moTC5YrghoARZy-KWtjj9mqbvp7Yw?usp=share_link", "RE-17.5158")</f>
        <v>RE-17.5158</v>
      </c>
      <c r="R473" s="18">
        <f>HYPERLINK("https://docs.google.com/spreadsheets/d/1FBBQS-9yjCcOvl-jvETwWmt3RNpwbcJ9?usp=share_link", 39.8884)</f>
        <v>39.8884</v>
      </c>
      <c r="S473" s="17"/>
      <c r="T473" s="18">
        <f>HYPERLINK("https://docs.google.com/spreadsheets/d/1-LhIf9vn6-4YjBAF37-aPcDkxBrYSdH_?usp=share_link", 1113.54)</f>
        <v>1113.54</v>
      </c>
      <c r="U473" s="18" t="str">
        <f>HYPERLINK("https://docs.google.com/spreadsheets/d/1Z548_8oTrP3GSyvY-m8BZU2Fn7lwkGWt?usp=share_link", "RE-28.3091")</f>
        <v>RE-28.3091</v>
      </c>
      <c r="V473" s="18" t="str">
        <f>HYPERLINK("https://docs.google.com/spreadsheets/d/1NBDUgvRtcYE6HVFq1YFU5KYrTrr-Wd_k?usp=share_link", "RE-2.06962")</f>
        <v>RE-2.06962</v>
      </c>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c r="DE473" s="17"/>
      <c r="DF473" s="17"/>
      <c r="DG473" s="17"/>
      <c r="DH473" s="17"/>
      <c r="DI473" s="17"/>
      <c r="DJ473" s="17"/>
      <c r="DK473" s="17"/>
      <c r="DL473" s="17"/>
      <c r="DM473" s="17"/>
      <c r="DN473" s="17"/>
      <c r="DO473" s="17"/>
      <c r="DP473" s="17"/>
      <c r="DQ473" s="17"/>
      <c r="DR473" s="17"/>
      <c r="DS473" s="17"/>
      <c r="DT473" s="17"/>
      <c r="DU473" s="17"/>
      <c r="DV473" s="17"/>
      <c r="DW473" s="17"/>
      <c r="DX473" s="17"/>
      <c r="DY473" s="17"/>
      <c r="DZ473" s="17"/>
      <c r="EA473" s="17"/>
      <c r="EB473" s="17"/>
      <c r="EC473" s="17"/>
      <c r="ED473" s="17"/>
      <c r="EE473" s="17"/>
      <c r="EF473" s="17"/>
      <c r="EG473" s="17"/>
      <c r="EH473" s="17"/>
      <c r="EI473" s="17"/>
      <c r="EJ473" s="17"/>
      <c r="EK473" s="17"/>
      <c r="EL473" s="17"/>
      <c r="EM473" s="17"/>
      <c r="EN473" s="17"/>
      <c r="EO473" s="17"/>
      <c r="EP473" s="17"/>
      <c r="EQ473" s="17"/>
      <c r="ER473" s="17"/>
      <c r="ES473" s="17"/>
      <c r="ET473" s="17"/>
      <c r="EU473" s="17"/>
      <c r="EV473" s="17"/>
      <c r="EW473" s="17"/>
      <c r="EX473" s="17"/>
      <c r="EY473" s="17"/>
      <c r="EZ473" s="17"/>
      <c r="FA473" s="17"/>
      <c r="FB473" s="17"/>
      <c r="FC473" s="17"/>
      <c r="FD473" s="17"/>
      <c r="FE473" s="17"/>
      <c r="FF473" s="17"/>
      <c r="FG473" s="17"/>
      <c r="FH473" s="17"/>
    </row>
    <row r="474">
      <c r="A474" s="27" t="s">
        <v>35</v>
      </c>
      <c r="B474" s="27" t="s">
        <v>83</v>
      </c>
      <c r="C474" s="27" t="s">
        <v>15</v>
      </c>
      <c r="D474" s="28">
        <f t="shared" si="1"/>
        <v>2491.426</v>
      </c>
      <c r="E474" s="33"/>
      <c r="F474" s="34" t="str">
        <f>HYPERLINK("https://docs.google.com/spreadsheets/d/1uj0fAM3hEykL_MJv-TxXgYogWdj2byCI?usp=share_link", "RE-754.359")</f>
        <v>RE-754.359</v>
      </c>
      <c r="G474" s="34" t="str">
        <f>HYPERLINK("https://docs.google.com/spreadsheets/d/1s8AgyGT5LXocwy055_jfkuG_V_G7xxVR?usp=share_link", "RE-4.05672")</f>
        <v>RE-4.05672</v>
      </c>
      <c r="H474" s="34" t="str">
        <f>HYPERLINK("https://docs.google.com/spreadsheets/d/1vpjtpK0iGsrJRbsvOKpWtDT7cSDnquC9?usp=share_link", "RE-111.128")</f>
        <v>RE-111.128</v>
      </c>
      <c r="I474" s="34" t="str">
        <f>HYPERLINK("https://docs.google.com/spreadsheets/d/1-potoHeFFg_bFh3WSm49zwJ9cF_dtA6R?usp=share_link", "RE-1.10748")</f>
        <v>RE-1.10748</v>
      </c>
      <c r="J474" s="34" t="str">
        <f>HYPERLINK("https://docs.google.com/spreadsheets/d/1BxbHGyvLWTId1wB8-Tg61d4mycZIoSp4?usp=share_link", "RE-1427.56")</f>
        <v>RE-1427.56</v>
      </c>
      <c r="K474" s="34" t="str">
        <f>HYPERLINK("https://docs.google.com/spreadsheets/d/1P0ZB0JXir09Ltu9Di11uKqEItZ1dC-ON?usp=share_link", "RE-4.32097")</f>
        <v>RE-4.32097</v>
      </c>
      <c r="L474" s="34">
        <f>HYPERLINK("https://docs.google.com/spreadsheets/d/1DWjM2r2ajLtM1s84-NC1EDdBf8_wnA2B?usp=share_link", 863.784)</f>
        <v>863.784</v>
      </c>
      <c r="M474" s="34" t="str">
        <f>HYPERLINK("https://docs.google.com/spreadsheets/d/1fvCHluX4UvctaKF7d5mnGOglrzBdNBYk?usp=share_link", "RE-6.56892")</f>
        <v>RE-6.56892</v>
      </c>
      <c r="N474" s="34" t="str">
        <f>HYPERLINK("https://docs.google.com/spreadsheets/d/1WlsG3Sjwv5SvMCHgGwJpTp-6FIPHE6v4?usp=share_link", "RE-524.836")</f>
        <v>RE-524.836</v>
      </c>
      <c r="O474" s="34" t="str">
        <f>HYPERLINK("https://docs.google.com/spreadsheets/d/11JHP7XcTtUkBO_w8s8R8dlK1sUTfdI_k?usp=share_link", "RE-2.97297")</f>
        <v>RE-2.97297</v>
      </c>
      <c r="P474" s="34">
        <f>HYPERLINK("https://docs.google.com/spreadsheets/d/1BR_A--725pTE-2E4Vkhb2SUeg2F7EtZg?usp=share_link", 299.691)</f>
        <v>299.691</v>
      </c>
      <c r="Q474" s="34" t="str">
        <f>HYPERLINK("https://docs.google.com/spreadsheets/d/16EDxNvLabi_F-uqgZFAW7MgM20J1BJzU?usp=share_link", "RE-22.2255")</f>
        <v>RE-22.2255</v>
      </c>
      <c r="R474" s="34">
        <f>HYPERLINK("https://docs.google.com/spreadsheets/d/1fHGAe9Io0d0XXKHulxSWzDEx1H2-w0Ml?usp=share_link", 49.451)</f>
        <v>49.451</v>
      </c>
      <c r="S474" s="33"/>
      <c r="T474" s="34">
        <f>HYPERLINK("https://docs.google.com/spreadsheets/d/1zC-pGp-8YYlCe4LxiNJd8UozVMHSeK2m?usp=share_link", 1278.5)</f>
        <v>1278.5</v>
      </c>
      <c r="U474" s="34" t="str">
        <f>HYPERLINK("https://docs.google.com/spreadsheets/d/1P4Pw8pNH7LpYSRpFdSQE36zR8TI7DWKm?usp=share_link", "RE-35.3863")</f>
        <v>RE-35.3863</v>
      </c>
      <c r="V474" s="34" t="str">
        <f>HYPERLINK("https://docs.google.com/spreadsheets/d/1va3E5hRW6mvrUZjQaKwT2O8weIbJ_OSF?usp=share_link", "RE-2.52662")</f>
        <v>RE-2.52662</v>
      </c>
      <c r="W474" s="33"/>
      <c r="X474" s="33"/>
      <c r="Y474" s="33"/>
      <c r="Z474" s="33"/>
      <c r="AA474" s="33"/>
      <c r="AB474" s="33"/>
      <c r="AC474" s="33"/>
      <c r="AD474" s="33"/>
      <c r="AE474" s="33"/>
      <c r="AF474" s="33"/>
      <c r="AG474" s="33"/>
      <c r="AH474" s="33"/>
      <c r="AI474" s="33"/>
      <c r="AJ474" s="33"/>
      <c r="AK474" s="33"/>
      <c r="AL474" s="33"/>
      <c r="AM474" s="33"/>
      <c r="AN474" s="33"/>
      <c r="AO474" s="33"/>
      <c r="AP474" s="33"/>
      <c r="AQ474" s="33"/>
      <c r="AR474" s="33"/>
      <c r="AS474" s="33"/>
      <c r="AT474" s="33"/>
      <c r="AU474" s="33"/>
      <c r="AV474" s="33"/>
      <c r="AW474" s="33"/>
      <c r="AX474" s="33"/>
      <c r="AY474" s="33"/>
      <c r="AZ474" s="33"/>
      <c r="BA474" s="33"/>
      <c r="BB474" s="33"/>
      <c r="BC474" s="33"/>
      <c r="BD474" s="33"/>
      <c r="BE474" s="33"/>
      <c r="BF474" s="33"/>
      <c r="BG474" s="33"/>
      <c r="BH474" s="33"/>
      <c r="BI474" s="33"/>
      <c r="BJ474" s="33"/>
      <c r="BK474" s="33"/>
      <c r="BL474" s="33"/>
      <c r="BM474" s="33"/>
      <c r="BN474" s="33"/>
      <c r="BO474" s="33"/>
      <c r="BP474" s="33"/>
      <c r="BQ474" s="33"/>
      <c r="BR474" s="33"/>
      <c r="BS474" s="33"/>
      <c r="BT474" s="33"/>
      <c r="BU474" s="33"/>
      <c r="BV474" s="33"/>
      <c r="BW474" s="33"/>
      <c r="BX474" s="33"/>
      <c r="BY474" s="33"/>
      <c r="BZ474" s="33"/>
      <c r="CA474" s="33"/>
      <c r="CB474" s="33"/>
      <c r="CC474" s="33"/>
      <c r="CD474" s="33"/>
      <c r="CE474" s="33"/>
      <c r="CF474" s="33"/>
      <c r="CG474" s="33"/>
      <c r="CH474" s="33"/>
      <c r="CI474" s="33"/>
      <c r="CJ474" s="33"/>
      <c r="CK474" s="33"/>
      <c r="CL474" s="33"/>
      <c r="CM474" s="33"/>
      <c r="CN474" s="33"/>
      <c r="CO474" s="33"/>
      <c r="CP474" s="33"/>
      <c r="CQ474" s="33"/>
      <c r="CR474" s="33"/>
      <c r="CS474" s="33"/>
      <c r="CT474" s="33"/>
      <c r="CU474" s="33"/>
      <c r="CV474" s="33"/>
      <c r="CW474" s="33"/>
      <c r="CX474" s="33"/>
      <c r="CY474" s="33"/>
      <c r="CZ474" s="33"/>
      <c r="DA474" s="33"/>
      <c r="DB474" s="33"/>
      <c r="DC474" s="33"/>
      <c r="DD474" s="33"/>
      <c r="DE474" s="33"/>
      <c r="DF474" s="33"/>
      <c r="DG474" s="33"/>
      <c r="DH474" s="33"/>
      <c r="DI474" s="33"/>
      <c r="DJ474" s="33"/>
      <c r="DK474" s="33"/>
      <c r="DL474" s="33"/>
      <c r="DM474" s="33"/>
      <c r="DN474" s="33"/>
      <c r="DO474" s="33"/>
      <c r="DP474" s="33"/>
      <c r="DQ474" s="33"/>
      <c r="DR474" s="33"/>
      <c r="DS474" s="33"/>
      <c r="DT474" s="33"/>
      <c r="DU474" s="33"/>
      <c r="DV474" s="33"/>
      <c r="DW474" s="33"/>
      <c r="DX474" s="33"/>
      <c r="DY474" s="33"/>
      <c r="DZ474" s="33"/>
      <c r="EA474" s="33"/>
      <c r="EB474" s="33"/>
      <c r="EC474" s="33"/>
      <c r="ED474" s="33"/>
      <c r="EE474" s="33"/>
      <c r="EF474" s="33"/>
      <c r="EG474" s="33"/>
      <c r="EH474" s="33"/>
      <c r="EI474" s="33"/>
      <c r="EJ474" s="33"/>
      <c r="EK474" s="33"/>
      <c r="EL474" s="33"/>
      <c r="EM474" s="33"/>
      <c r="EN474" s="33"/>
      <c r="EO474" s="33"/>
      <c r="EP474" s="33"/>
      <c r="EQ474" s="33"/>
      <c r="ER474" s="33"/>
      <c r="ES474" s="33"/>
      <c r="ET474" s="33"/>
      <c r="EU474" s="33"/>
      <c r="EV474" s="33"/>
      <c r="EW474" s="33"/>
      <c r="EX474" s="33"/>
      <c r="EY474" s="33"/>
      <c r="EZ474" s="33"/>
      <c r="FA474" s="33"/>
      <c r="FB474" s="33"/>
      <c r="FC474" s="33"/>
      <c r="FD474" s="33"/>
      <c r="FE474" s="33"/>
      <c r="FF474" s="33"/>
      <c r="FG474" s="33"/>
      <c r="FH474" s="33"/>
    </row>
    <row r="475">
      <c r="A475" s="30" t="s">
        <v>17</v>
      </c>
      <c r="B475" s="30" t="s">
        <v>84</v>
      </c>
      <c r="C475" s="31" t="str">
        <f>HYPERLINK("https://docs.google.com/spreadsheets/d/1UcPX-asEDBu276P090a29fvabKwfGnYC/edit?usp=share_link&amp;ouid=106501987799020758802&amp;rtpof=true&amp;sd=true", "Raw Delivered")</f>
        <v>Raw Delivered</v>
      </c>
      <c r="D475" s="12">
        <f t="shared" si="1"/>
        <v>5336.763684</v>
      </c>
      <c r="E475" s="13"/>
      <c r="F475" s="14">
        <f>HYPERLINK("https://docs.google.com/spreadsheets/d/1MQ-ToVXl6GoxVTRzgzQJF28lsN4aeq2L", 1070.97861979166)</f>
        <v>1070.97862</v>
      </c>
      <c r="G475" s="13"/>
      <c r="H475" s="14">
        <f>HYPERLINK("https://docs.google.com/spreadsheets/d/1SyeHB-XHtDI5GfDogd07IOFm9ciVyew4", 189.075695833333)</f>
        <v>189.0756958</v>
      </c>
      <c r="I475" s="13"/>
      <c r="J475" s="14">
        <f>HYPERLINK("https://docs.google.com/spreadsheets/d/1ml5YPwWhFlbl05HaeF-l0DUT6saUZuGb", 340.381706249999)</f>
        <v>340.3817062</v>
      </c>
      <c r="K475" s="13"/>
      <c r="L475" s="14">
        <f t="shared" ref="L475:L476" si="238">HYPERLINK("https://docs.google.com/spreadsheets/d/1PCo-naVqMP9pe8tmWB4TocpO07lyD33R", 530.394089583332)</f>
        <v>530.3940896</v>
      </c>
      <c r="M475" s="13"/>
      <c r="N475" s="14">
        <f>HYPERLINK("https://docs.google.com/spreadsheets/d/1LYpL6TYnwfEezPfClZgUCYY4QT1SwZKc", 2285.678228125)</f>
        <v>2285.678228</v>
      </c>
      <c r="O475" s="13"/>
      <c r="P475" s="14">
        <f t="shared" ref="P475:P476" si="239">HYPERLINK("https://docs.google.com/spreadsheets/d/1v_MioTyflI67Oxf6eRQunCM2bRe26f-s", 287.772)</f>
        <v>287.772</v>
      </c>
      <c r="Q475" s="13"/>
      <c r="R475" s="14">
        <f t="shared" ref="R475:R476" si="240">HYPERLINK("https://docs.google.com/spreadsheets/d/12VKhZ-KHhml6F9Z5NnHEoThFEO92vZaW", 351.272626041666)</f>
        <v>351.272626</v>
      </c>
      <c r="S475" s="13"/>
      <c r="T475" s="14">
        <f t="shared" ref="T475:T476" si="241">HYPERLINK("https://docs.google.com/spreadsheets/d/1zjsX45uw3pac4XxZ9CO02ZebFXMyx2YS", 281.21071875)</f>
        <v>281.2107188</v>
      </c>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row>
    <row r="476">
      <c r="A476" s="32" t="s">
        <v>17</v>
      </c>
      <c r="B476" s="32" t="s">
        <v>84</v>
      </c>
      <c r="C476" s="32" t="s">
        <v>9</v>
      </c>
      <c r="D476" s="16">
        <f t="shared" si="1"/>
        <v>1450.649434</v>
      </c>
      <c r="E476" s="17"/>
      <c r="F476" s="18" t="str">
        <f>HYPERLINK("https://docs.google.com/spreadsheets/d/1MQ-ToVXl6GoxVTRzgzQJF28lsN4aeq2L", "RE-1070.9786197916649")</f>
        <v>RE-1070.9786197916649</v>
      </c>
      <c r="G476" s="17"/>
      <c r="H476" s="18" t="str">
        <f>HYPERLINK("https://docs.google.com/spreadsheets/d/1SyeHB-XHtDI5GfDogd07IOFm9ciVyew4", "RE-189.07569583333324")</f>
        <v>RE-189.07569583333324</v>
      </c>
      <c r="I476" s="17"/>
      <c r="J476" s="18" t="str">
        <f>HYPERLINK("https://docs.google.com/spreadsheets/d/1ml5YPwWhFlbl05HaeF-l0DUT6saUZuGb", "RE-340.38170624999964")</f>
        <v>RE-340.38170624999964</v>
      </c>
      <c r="K476" s="17"/>
      <c r="L476" s="18">
        <f t="shared" si="238"/>
        <v>530.3940896</v>
      </c>
      <c r="M476" s="17"/>
      <c r="N476" s="18" t="str">
        <f>HYPERLINK("https://docs.google.com/spreadsheets/d/1LYpL6TYnwfEezPfClZgUCYY4QT1SwZKc", "RE-2285.678228125003")</f>
        <v>RE-2285.678228125003</v>
      </c>
      <c r="O476" s="17"/>
      <c r="P476" s="18">
        <f t="shared" si="239"/>
        <v>287.772</v>
      </c>
      <c r="Q476" s="17"/>
      <c r="R476" s="18">
        <f t="shared" si="240"/>
        <v>351.272626</v>
      </c>
      <c r="S476" s="17"/>
      <c r="T476" s="18">
        <f t="shared" si="241"/>
        <v>281.2107188</v>
      </c>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c r="DE476" s="17"/>
      <c r="DF476" s="17"/>
      <c r="DG476" s="17"/>
      <c r="DH476" s="17"/>
      <c r="DI476" s="17"/>
      <c r="DJ476" s="17"/>
      <c r="DK476" s="17"/>
      <c r="DL476" s="17"/>
      <c r="DM476" s="17"/>
      <c r="DN476" s="17"/>
      <c r="DO476" s="17"/>
      <c r="DP476" s="17"/>
      <c r="DQ476" s="17"/>
      <c r="DR476" s="17"/>
      <c r="DS476" s="17"/>
      <c r="DT476" s="17"/>
      <c r="DU476" s="17"/>
      <c r="DV476" s="17"/>
      <c r="DW476" s="17"/>
      <c r="DX476" s="17"/>
      <c r="DY476" s="17"/>
      <c r="DZ476" s="17"/>
      <c r="EA476" s="17"/>
      <c r="EB476" s="17"/>
      <c r="EC476" s="17"/>
      <c r="ED476" s="17"/>
      <c r="EE476" s="17"/>
      <c r="EF476" s="17"/>
      <c r="EG476" s="17"/>
      <c r="EH476" s="17"/>
      <c r="EI476" s="17"/>
      <c r="EJ476" s="17"/>
      <c r="EK476" s="17"/>
      <c r="EL476" s="17"/>
      <c r="EM476" s="17"/>
      <c r="EN476" s="17"/>
      <c r="EO476" s="17"/>
      <c r="EP476" s="17"/>
      <c r="EQ476" s="17"/>
      <c r="ER476" s="17"/>
      <c r="ES476" s="17"/>
      <c r="ET476" s="17"/>
      <c r="EU476" s="17"/>
      <c r="EV476" s="17"/>
      <c r="EW476" s="17"/>
      <c r="EX476" s="17"/>
      <c r="EY476" s="17"/>
      <c r="EZ476" s="17"/>
      <c r="FA476" s="17"/>
      <c r="FB476" s="17"/>
      <c r="FC476" s="17"/>
      <c r="FD476" s="17"/>
      <c r="FE476" s="17"/>
      <c r="FF476" s="17"/>
      <c r="FG476" s="17"/>
      <c r="FH476" s="17"/>
    </row>
    <row r="477">
      <c r="A477" s="32" t="s">
        <v>17</v>
      </c>
      <c r="B477" s="32" t="s">
        <v>84</v>
      </c>
      <c r="C477" s="32" t="s">
        <v>10</v>
      </c>
      <c r="D477" s="16">
        <f t="shared" si="1"/>
        <v>566.7641437</v>
      </c>
      <c r="E477" s="17"/>
      <c r="F477" s="17"/>
      <c r="G477" s="18">
        <f>HYPERLINK("https://docs.google.com/spreadsheets/d/1Da-pDV101LVqxkcRGrj3gpDH-c4C20v6", 140.169004166666)</f>
        <v>140.1690042</v>
      </c>
      <c r="H477" s="17"/>
      <c r="I477" s="18">
        <f>HYPERLINK("https://docs.google.com/spreadsheets/d/1j_1ZJ6AuJvTsB8IY6Xxj5eZmLuVeLEv7", 13.9134854166666)</f>
        <v>13.91348542</v>
      </c>
      <c r="J477" s="17"/>
      <c r="K477" s="18">
        <f>HYPERLINK("https://docs.google.com/spreadsheets/d/1zshe5_gk40FFibUnBy4CCLkRl6jRSrx9", 19.18278125)</f>
        <v>19.18278125</v>
      </c>
      <c r="L477" s="17"/>
      <c r="M477" s="18">
        <f>HYPERLINK("https://docs.google.com/spreadsheets/d/1srpCLBKqVikf_sqgaQRiAt1YbiR8if7Z", 15.0928927083333)</f>
        <v>15.09289271</v>
      </c>
      <c r="N477" s="17"/>
      <c r="O477" s="18">
        <f>HYPERLINK("https://docs.google.com/spreadsheets/d/1K0jb3ov-OVYQjyqcE-BAQQP_j5UlJRDw", 290.997714583333)</f>
        <v>290.9977146</v>
      </c>
      <c r="P477" s="17"/>
      <c r="Q477" s="18">
        <f>HYPERLINK("https://docs.google.com/spreadsheets/d/1ap1YWZDWnyZsY3zOFv9KjmJ5OWYYGyvV", 50.5589791666666)</f>
        <v>50.55897917</v>
      </c>
      <c r="R477" s="17"/>
      <c r="S477" s="18">
        <f>HYPERLINK("https://docs.google.com/spreadsheets/d/1xdnE9K-Ee57A_geNL_2AYLP1nNIn7j3n", 12.7746197916666)</f>
        <v>12.77461979</v>
      </c>
      <c r="T477" s="17"/>
      <c r="U477" s="18">
        <f>HYPERLINK("https://docs.google.com/spreadsheets/d/1VSggikVXSMpMjeKeZDfq8fs7FTcHfwrh", 18.2188041666666)</f>
        <v>18.21880417</v>
      </c>
      <c r="V477" s="18">
        <f>HYPERLINK("https://docs.google.com/spreadsheets/d/18ruwI35d3llZl9jezk93uhWFf4uO4XRM", 5.8558625)</f>
        <v>5.8558625</v>
      </c>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c r="DE477" s="17"/>
      <c r="DF477" s="17"/>
      <c r="DG477" s="17"/>
      <c r="DH477" s="17"/>
      <c r="DI477" s="17"/>
      <c r="DJ477" s="17"/>
      <c r="DK477" s="17"/>
      <c r="DL477" s="17"/>
      <c r="DM477" s="17"/>
      <c r="DN477" s="17"/>
      <c r="DO477" s="17"/>
      <c r="DP477" s="17"/>
      <c r="DQ477" s="17"/>
      <c r="DR477" s="17"/>
      <c r="DS477" s="17"/>
      <c r="DT477" s="17"/>
      <c r="DU477" s="17"/>
      <c r="DV477" s="17"/>
      <c r="DW477" s="17"/>
      <c r="DX477" s="17"/>
      <c r="DY477" s="17"/>
      <c r="DZ477" s="17"/>
      <c r="EA477" s="17"/>
      <c r="EB477" s="17"/>
      <c r="EC477" s="17"/>
      <c r="ED477" s="17"/>
      <c r="EE477" s="17"/>
      <c r="EF477" s="17"/>
      <c r="EG477" s="17"/>
      <c r="EH477" s="17"/>
      <c r="EI477" s="17"/>
      <c r="EJ477" s="17"/>
      <c r="EK477" s="17"/>
      <c r="EL477" s="17"/>
      <c r="EM477" s="17"/>
      <c r="EN477" s="17"/>
      <c r="EO477" s="17"/>
      <c r="EP477" s="17"/>
      <c r="EQ477" s="17"/>
      <c r="ER477" s="17"/>
      <c r="ES477" s="17"/>
      <c r="ET477" s="17"/>
      <c r="EU477" s="17"/>
      <c r="EV477" s="17"/>
      <c r="EW477" s="17"/>
      <c r="EX477" s="17"/>
      <c r="EY477" s="17"/>
      <c r="EZ477" s="17"/>
      <c r="FA477" s="17"/>
      <c r="FB477" s="17"/>
      <c r="FC477" s="17"/>
      <c r="FD477" s="17"/>
      <c r="FE477" s="17"/>
      <c r="FF477" s="17"/>
      <c r="FG477" s="17"/>
      <c r="FH477" s="17"/>
    </row>
    <row r="478">
      <c r="A478" s="32" t="s">
        <v>17</v>
      </c>
      <c r="B478" s="32" t="s">
        <v>84</v>
      </c>
      <c r="C478" s="32" t="s">
        <v>11</v>
      </c>
      <c r="D478" s="16">
        <f t="shared" si="1"/>
        <v>0</v>
      </c>
      <c r="E478" s="17"/>
      <c r="F478" s="17"/>
      <c r="G478" s="18" t="str">
        <f>HYPERLINK("https://docs.google.com/spreadsheets/d/1Da-pDV101LVqxkcRGrj3gpDH-c4C20v6", "RE-140.16900416666658")</f>
        <v>RE-140.16900416666658</v>
      </c>
      <c r="H478" s="17"/>
      <c r="I478" s="18" t="str">
        <f>HYPERLINK("https://docs.google.com/spreadsheets/d/1j_1ZJ6AuJvTsB8IY6Xxj5eZmLuVeLEv7", "RE-13.913485416666663")</f>
        <v>RE-13.913485416666663</v>
      </c>
      <c r="J478" s="17"/>
      <c r="K478" s="18" t="str">
        <f>HYPERLINK("https://docs.google.com/spreadsheets/d/1zshe5_gk40FFibUnBy4CCLkRl6jRSrx9", "RE-19.182781250000005")</f>
        <v>RE-19.182781250000005</v>
      </c>
      <c r="L478" s="17"/>
      <c r="M478" s="18" t="str">
        <f>HYPERLINK("https://docs.google.com/spreadsheets/d/1srpCLBKqVikf_sqgaQRiAt1YbiR8if7Z", "RE-15.092892708333334")</f>
        <v>RE-15.092892708333334</v>
      </c>
      <c r="N478" s="17"/>
      <c r="O478" s="18" t="str">
        <f>HYPERLINK("https://docs.google.com/spreadsheets/d/1K0jb3ov-OVYQjyqcE-BAQQP_j5UlJRDw", "RE-290.9977145833336")</f>
        <v>RE-290.9977145833336</v>
      </c>
      <c r="P478" s="17"/>
      <c r="Q478" s="18" t="str">
        <f>HYPERLINK("https://docs.google.com/spreadsheets/d/1ap1YWZDWnyZsY3zOFv9KjmJ5OWYYGyvV", "RE-50.55897916666667")</f>
        <v>RE-50.55897916666667</v>
      </c>
      <c r="R478" s="17"/>
      <c r="S478" s="18" t="str">
        <f>HYPERLINK("https://docs.google.com/spreadsheets/d/1xdnE9K-Ee57A_geNL_2AYLP1nNIn7j3n", "RE-12.774619791666668")</f>
        <v>RE-12.774619791666668</v>
      </c>
      <c r="T478" s="17"/>
      <c r="U478" s="18" t="str">
        <f>HYPERLINK("https://docs.google.com/spreadsheets/d/1VSggikVXSMpMjeKeZDfq8fs7FTcHfwrh", "RE-18.21880416666667")</f>
        <v>RE-18.21880416666667</v>
      </c>
      <c r="V478" s="18" t="str">
        <f>HYPERLINK("https://docs.google.com/spreadsheets/d/18ruwI35d3llZl9jezk93uhWFf4uO4XRM", "RE-5.8558625")</f>
        <v>RE-5.8558625</v>
      </c>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c r="DE478" s="17"/>
      <c r="DF478" s="17"/>
      <c r="DG478" s="17"/>
      <c r="DH478" s="17"/>
      <c r="DI478" s="17"/>
      <c r="DJ478" s="17"/>
      <c r="DK478" s="17"/>
      <c r="DL478" s="17"/>
      <c r="DM478" s="17"/>
      <c r="DN478" s="17"/>
      <c r="DO478" s="17"/>
      <c r="DP478" s="17"/>
      <c r="DQ478" s="17"/>
      <c r="DR478" s="17"/>
      <c r="DS478" s="17"/>
      <c r="DT478" s="17"/>
      <c r="DU478" s="17"/>
      <c r="DV478" s="17"/>
      <c r="DW478" s="17"/>
      <c r="DX478" s="17"/>
      <c r="DY478" s="17"/>
      <c r="DZ478" s="17"/>
      <c r="EA478" s="17"/>
      <c r="EB478" s="17"/>
      <c r="EC478" s="17"/>
      <c r="ED478" s="17"/>
      <c r="EE478" s="17"/>
      <c r="EF478" s="17"/>
      <c r="EG478" s="17"/>
      <c r="EH478" s="17"/>
      <c r="EI478" s="17"/>
      <c r="EJ478" s="17"/>
      <c r="EK478" s="17"/>
      <c r="EL478" s="17"/>
      <c r="EM478" s="17"/>
      <c r="EN478" s="17"/>
      <c r="EO478" s="17"/>
      <c r="EP478" s="17"/>
      <c r="EQ478" s="17"/>
      <c r="ER478" s="17"/>
      <c r="ES478" s="17"/>
      <c r="ET478" s="17"/>
      <c r="EU478" s="17"/>
      <c r="EV478" s="17"/>
      <c r="EW478" s="17"/>
      <c r="EX478" s="17"/>
      <c r="EY478" s="17"/>
      <c r="EZ478" s="17"/>
      <c r="FA478" s="17"/>
      <c r="FB478" s="17"/>
      <c r="FC478" s="17"/>
      <c r="FD478" s="17"/>
      <c r="FE478" s="17"/>
      <c r="FF478" s="17"/>
      <c r="FG478" s="17"/>
      <c r="FH478" s="17"/>
    </row>
    <row r="479">
      <c r="A479" s="32" t="s">
        <v>17</v>
      </c>
      <c r="B479" s="32" t="s">
        <v>84</v>
      </c>
      <c r="C479" s="32" t="s">
        <v>12</v>
      </c>
      <c r="D479" s="16">
        <f t="shared" si="1"/>
        <v>1354.275855</v>
      </c>
      <c r="E479" s="17"/>
      <c r="F479" s="18" t="str">
        <f>HYPERLINK("https://docs.google.com/spreadsheets/d/1sLPSuLDRB23Q8i0_utqMz6vuDh6QmOWU", "RE-848.7898749999997")</f>
        <v>RE-848.7898749999997</v>
      </c>
      <c r="G479" s="18" t="str">
        <f>HYPERLINK("https://docs.google.com/spreadsheets/d/1dDxXBkHhP8RrqE6oiPVHbz92IuO70V2n", "RE-5.862820833333333")</f>
        <v>RE-5.862820833333333</v>
      </c>
      <c r="H479" s="18" t="str">
        <f>HYPERLINK("https://docs.google.com/spreadsheets/d/16zpL8tJpu45vTJWsLLGcL9avlM5KpS4Y", "RE-168.4609416666666")</f>
        <v>RE-168.4609416666666</v>
      </c>
      <c r="I479" s="18" t="str">
        <f>HYPERLINK("https://docs.google.com/spreadsheets/d/1Qmf6AALC88s1CRWunfunYMv78X6ka107", "RE-0.0")</f>
        <v>RE-0.0</v>
      </c>
      <c r="J479" s="18" t="str">
        <f>HYPERLINK("https://docs.google.com/spreadsheets/d/1E_MU0pIPYYbMYqMoQnXJj6IW-g_zIurd", "RE-273.9624416666666")</f>
        <v>RE-273.9624416666666</v>
      </c>
      <c r="K479" s="18" t="str">
        <f>HYPERLINK("https://docs.google.com/spreadsheets/d/1VjfdV4hUiJuFRgJMVQImaSDPx_mqM5u6", "RE-1.8736625000000005")</f>
        <v>RE-1.8736625000000005</v>
      </c>
      <c r="L479" s="18">
        <f>HYPERLINK("https://docs.google.com/spreadsheets/d/1Eqp8ktjqd_02DPCxX3-aXIdNIwwoHTgp", 496.140031249999)</f>
        <v>496.1400312</v>
      </c>
      <c r="M479" s="18" t="str">
        <f>HYPERLINK("https://docs.google.com/spreadsheets/d/1FCVH6FOquQX9FBBzSAEHSTsnbc4viqS-", "RE-6.151704166666666")</f>
        <v>RE-6.151704166666666</v>
      </c>
      <c r="N479" s="18" t="str">
        <f>HYPERLINK("https://docs.google.com/spreadsheets/d/1ixewrUpVIXyyRWfH6Y0i75eKkl8ukoLL", "RE-1672.5868041666718")</f>
        <v>RE-1672.5868041666718</v>
      </c>
      <c r="O479" s="18" t="str">
        <f>HYPERLINK("https://docs.google.com/spreadsheets/d/1TxgiBjVY6Uf-cjH1d-6b83VnCuLpSpzq", "RE-11.922877083333333")</f>
        <v>RE-11.922877083333333</v>
      </c>
      <c r="P479" s="18">
        <f>HYPERLINK("https://docs.google.com/spreadsheets/d/dummy", 261.61145625)</f>
        <v>261.6114563</v>
      </c>
      <c r="Q479" s="18" t="str">
        <f>HYPERLINK("https://docs.google.com/spreadsheets/d/1AOrEE_dGctkJiAuHU4V7O_WyLJGfYBd_", "RE-17.827781249999997")</f>
        <v>RE-17.827781249999997</v>
      </c>
      <c r="R479" s="18">
        <f>HYPERLINK("https://docs.google.com/spreadsheets/d/1FUwzqB_8-wwEj4HMZOJxrPVw-hQh2ryz", 339.446203124999)</f>
        <v>339.4462031</v>
      </c>
      <c r="S479" s="18" t="str">
        <f>HYPERLINK("https://docs.google.com/spreadsheets/d/16UWstv_6OQ6dkySVaD1QnUVWTYwaATL9", "RE-5.955588541666667")</f>
        <v>RE-5.955588541666667</v>
      </c>
      <c r="T479" s="18">
        <f>HYPERLINK("https://docs.google.com/spreadsheets/d/1qQ6u71u5LRnr4G_Q9O-sNwMQ_W0Bh6ib", 257.078164583333)</f>
        <v>257.0781646</v>
      </c>
      <c r="U479" s="18" t="str">
        <f>HYPERLINK("https://docs.google.com/spreadsheets/d/1kSA9mjZ5UmQ_D467fSIpe439S42vkJ1o", "RE-8.367445833333333")</f>
        <v>RE-8.367445833333333</v>
      </c>
      <c r="V479" s="18" t="str">
        <f>HYPERLINK("https://docs.google.com/spreadsheets/d/1_OFMq7VeHwKJfiCRHodPQJiIQ0SRvsTt", "RE-4.808764583333333")</f>
        <v>RE-4.808764583333333</v>
      </c>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c r="DE479" s="17"/>
      <c r="DF479" s="17"/>
      <c r="DG479" s="17"/>
      <c r="DH479" s="17"/>
      <c r="DI479" s="17"/>
      <c r="DJ479" s="17"/>
      <c r="DK479" s="17"/>
      <c r="DL479" s="17"/>
      <c r="DM479" s="17"/>
      <c r="DN479" s="17"/>
      <c r="DO479" s="17"/>
      <c r="DP479" s="17"/>
      <c r="DQ479" s="17"/>
      <c r="DR479" s="17"/>
      <c r="DS479" s="17"/>
      <c r="DT479" s="17"/>
      <c r="DU479" s="17"/>
      <c r="DV479" s="17"/>
      <c r="DW479" s="17"/>
      <c r="DX479" s="17"/>
      <c r="DY479" s="17"/>
      <c r="DZ479" s="17"/>
      <c r="EA479" s="17"/>
      <c r="EB479" s="17"/>
      <c r="EC479" s="17"/>
      <c r="ED479" s="17"/>
      <c r="EE479" s="17"/>
      <c r="EF479" s="17"/>
      <c r="EG479" s="17"/>
      <c r="EH479" s="17"/>
      <c r="EI479" s="17"/>
      <c r="EJ479" s="17"/>
      <c r="EK479" s="17"/>
      <c r="EL479" s="17"/>
      <c r="EM479" s="17"/>
      <c r="EN479" s="17"/>
      <c r="EO479" s="17"/>
      <c r="EP479" s="17"/>
      <c r="EQ479" s="17"/>
      <c r="ER479" s="17"/>
      <c r="ES479" s="17"/>
      <c r="ET479" s="17"/>
      <c r="EU479" s="17"/>
      <c r="EV479" s="17"/>
      <c r="EW479" s="17"/>
      <c r="EX479" s="17"/>
      <c r="EY479" s="17"/>
      <c r="EZ479" s="17"/>
      <c r="FA479" s="17"/>
      <c r="FB479" s="17"/>
      <c r="FC479" s="17"/>
      <c r="FD479" s="17"/>
      <c r="FE479" s="17"/>
      <c r="FF479" s="17"/>
      <c r="FG479" s="17"/>
      <c r="FH479" s="17"/>
    </row>
    <row r="480">
      <c r="A480" s="32" t="s">
        <v>17</v>
      </c>
      <c r="B480" s="32" t="s">
        <v>84</v>
      </c>
      <c r="C480" s="32" t="s">
        <v>13</v>
      </c>
      <c r="D480" s="16">
        <f t="shared" si="1"/>
        <v>1303.205</v>
      </c>
      <c r="E480" s="17"/>
      <c r="F480" s="18" t="str">
        <f>HYPERLINK("https://docs.google.com/spreadsheets/d/1ZKDNAAWe-57xP9RQGVVYlQmXS1emlSEN?usp=share_link", "RE-806.164")</f>
        <v>RE-806.164</v>
      </c>
      <c r="G480" s="18" t="str">
        <f>HYPERLINK("https://docs.google.com/spreadsheets/d/1npUGSvSCVIoag17LAwDWdNLz6oU16Wuu?usp=share_link", "RE-5.40252")</f>
        <v>RE-5.40252</v>
      </c>
      <c r="H480" s="18" t="str">
        <f>HYPERLINK("https://docs.google.com/spreadsheets/d/1SWvgl6Q5Cmw8I9PR2Oqd9Hbzu3kJvCyz?usp=share_link", "RE-161.081")</f>
        <v>RE-161.081</v>
      </c>
      <c r="I480" s="17"/>
      <c r="J480" s="18" t="str">
        <f>HYPERLINK("https://docs.google.com/spreadsheets/d/1ZP2dVDzdp6CvvbTvCY1xoGNZezzMUSkS?usp=share_link", "RE-268.717")</f>
        <v>RE-268.717</v>
      </c>
      <c r="K480" s="18" t="str">
        <f>HYPERLINK("https://docs.google.com/spreadsheets/d/1mC9Q5U5AakJM7dQYSboDM61ZswYA6uoo?usp=share_link", "RE-1.79457")</f>
        <v>RE-1.79457</v>
      </c>
      <c r="L480" s="18">
        <f>HYPERLINK("https://docs.google.com/spreadsheets/d/1uZOXXqShzgnnGSSTHwE4CpCb6dsnJzzp?usp=share_link", 477.41)</f>
        <v>477.41</v>
      </c>
      <c r="M480" s="18" t="str">
        <f>HYPERLINK("https://docs.google.com/spreadsheets/d/1J6y0gJk8QGyVDK2cts8h7fr2PEZ6vRfk?usp=share_link", "RE-5.84398")</f>
        <v>RE-5.84398</v>
      </c>
      <c r="N480" s="18" t="str">
        <f>HYPERLINK("https://docs.google.com/spreadsheets/d/1Y7fEQsdIndsSw4eHrLUWOZTH8MB0NWJY?usp=share_link", "RE-1617.92")</f>
        <v>RE-1617.92</v>
      </c>
      <c r="O480" s="18" t="str">
        <f>HYPERLINK("https://docs.google.com/spreadsheets/d/1jtakTeYGGvqZ0_igXhsV7Cclnfw3DIck?usp=share_link", "RE-11.3259")</f>
        <v>RE-11.3259</v>
      </c>
      <c r="P480" s="18">
        <f>HYPERLINK("https://docs.google.com/spreadsheets/d/1rxQPoNCFrcRNNvFLrc_-5n0-f7LWnwyN?usp=share_link", 251.331)</f>
        <v>251.331</v>
      </c>
      <c r="Q480" s="18" t="str">
        <f>HYPERLINK("https://docs.google.com/spreadsheets/d/1Qr0UDboxT3bOy6lXB-AiRwIJGj9BWXN5?usp=share_link", "RE-16.7889")</f>
        <v>RE-16.7889</v>
      </c>
      <c r="R480" s="18">
        <f>HYPERLINK("https://docs.google.com/spreadsheets/d/1eLTZs5i2TNx4WH9CoU9ZzJs7DZ1KeGOT?usp=share_link", 326.288)</f>
        <v>326.288</v>
      </c>
      <c r="S480" s="18" t="str">
        <f>HYPERLINK("https://docs.google.com/spreadsheets/d/1rC6FsLJCca9yNlGrwhSqi-YBtKBjbzjE?usp=share_link", "RE-5.35")</f>
        <v>RE-5.35</v>
      </c>
      <c r="T480" s="18">
        <f>HYPERLINK("https://docs.google.com/spreadsheets/d/198wmG_vnaJkxxd2cUSPX0o2Aux3FEI2_?usp=share_link", 248.176)</f>
        <v>248.176</v>
      </c>
      <c r="U480" s="18" t="str">
        <f>HYPERLINK("https://docs.google.com/spreadsheets/d/1Mlf78W4EdL3NQHnENzV4dcwOmSvW52bC?usp=share_link", "RE-7.92933")</f>
        <v>RE-7.92933</v>
      </c>
      <c r="V480" s="18" t="str">
        <f>HYPERLINK("https://docs.google.com/spreadsheets/d/1548XO-v-XUxk6DQITX4UeSR3w06zpgrv?usp=share_link", "RE-4.55227")</f>
        <v>RE-4.55227</v>
      </c>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c r="EJ480" s="17"/>
      <c r="EK480" s="17"/>
      <c r="EL480" s="17"/>
      <c r="EM480" s="17"/>
      <c r="EN480" s="17"/>
      <c r="EO480" s="17"/>
      <c r="EP480" s="17"/>
      <c r="EQ480" s="17"/>
      <c r="ER480" s="17"/>
      <c r="ES480" s="17"/>
      <c r="ET480" s="17"/>
      <c r="EU480" s="17"/>
      <c r="EV480" s="17"/>
      <c r="EW480" s="17"/>
      <c r="EX480" s="17"/>
      <c r="EY480" s="17"/>
      <c r="EZ480" s="17"/>
      <c r="FA480" s="17"/>
      <c r="FB480" s="17"/>
      <c r="FC480" s="17"/>
      <c r="FD480" s="17"/>
      <c r="FE480" s="17"/>
      <c r="FF480" s="17"/>
      <c r="FG480" s="17"/>
      <c r="FH480" s="17"/>
    </row>
    <row r="481">
      <c r="A481" s="32" t="s">
        <v>17</v>
      </c>
      <c r="B481" s="32" t="s">
        <v>84</v>
      </c>
      <c r="C481" s="32" t="s">
        <v>14</v>
      </c>
      <c r="D481" s="16">
        <f t="shared" si="1"/>
        <v>1095.77</v>
      </c>
      <c r="E481" s="17"/>
      <c r="F481" s="18" t="str">
        <f>HYPERLINK("https://docs.google.com/spreadsheets/d/1FkWANf8iH-YLsdhvNc4uOPWqrejXeS0s?usp=share_link", "RE-716.301")</f>
        <v>RE-716.301</v>
      </c>
      <c r="G481" s="18" t="str">
        <f>HYPERLINK("https://docs.google.com/spreadsheets/d/1myuZARwzE-B4N6ExrZ5rzq0AwijndLUa?usp=share_link", "RE-4.90322")</f>
        <v>RE-4.90322</v>
      </c>
      <c r="H481" s="18" t="str">
        <f>HYPERLINK("https://docs.google.com/spreadsheets/d/1WZ1DanpXu2aOu-qD6AgIWATyu6J0HL2B?usp=share_link", "RE-145.668")</f>
        <v>RE-145.668</v>
      </c>
      <c r="I481" s="17"/>
      <c r="J481" s="18" t="str">
        <f>HYPERLINK("https://docs.google.com/spreadsheets/d/1XYznuIENllWx6EdN8YGluatD1DAzob0h?usp=share_link", "RE-219.789")</f>
        <v>RE-219.789</v>
      </c>
      <c r="K481" s="18" t="str">
        <f>HYPERLINK("https://docs.google.com/spreadsheets/d/1KSE_6eLmtqEkaI4WnTcvBGdyXDJ9MO2s?usp=share_link", "RE-1.79457")</f>
        <v>RE-1.79457</v>
      </c>
      <c r="L481" s="18">
        <f>HYPERLINK("https://docs.google.com/spreadsheets/d/15N8GXzTXBRUR-ifZ9KIu2rs5pAFLOdJF?usp=share_link", 410.799)</f>
        <v>410.799</v>
      </c>
      <c r="M481" s="18" t="str">
        <f>HYPERLINK("https://docs.google.com/spreadsheets/d/1mGZLLCARzokeJfjIoMnoUH9kwMN6M44T?usp=share_link", "RE-4.90845")</f>
        <v>RE-4.90845</v>
      </c>
      <c r="N481" s="18" t="str">
        <f>HYPERLINK("https://docs.google.com/spreadsheets/d/1iKt0_1FHYr0q9uAZSgASXhfltJaYeLXc?usp=share_link", "RE-1421.76")</f>
        <v>RE-1421.76</v>
      </c>
      <c r="O481" s="18" t="str">
        <f>HYPERLINK("https://docs.google.com/spreadsheets/d/1UwRZdjnFr44INbfUNAaOF7VfQPo8FKg-?usp=share_link", "RE-10.8554")</f>
        <v>RE-10.8554</v>
      </c>
      <c r="P481" s="18">
        <f>HYPERLINK("https://docs.google.com/spreadsheets/d/1FElUcCp1gdXqLTKBrlJPXjzOlO_HRp-Z?usp=share_link", 208.172)</f>
        <v>208.172</v>
      </c>
      <c r="Q481" s="18" t="str">
        <f>HYPERLINK("https://docs.google.com/spreadsheets/d/1K9p0qOFWJQz3eLwahOEnrWeH-7FgHid5?usp=share_link", "RE-14.5326")</f>
        <v>RE-14.5326</v>
      </c>
      <c r="R481" s="18">
        <f>HYPERLINK("https://docs.google.com/spreadsheets/d/12wtkm1tYa8YFjYDJRqg7jgPgZ9WQ8h9F?usp=share_link", 275.233)</f>
        <v>275.233</v>
      </c>
      <c r="S481" s="18" t="str">
        <f>HYPERLINK("https://docs.google.com/spreadsheets/d/1FQ7blL1hFzCxDh3NCnnQQRiTCFeXlRPl?usp=share_link", "RE-5.2277")</f>
        <v>RE-5.2277</v>
      </c>
      <c r="T481" s="18">
        <f>HYPERLINK("https://docs.google.com/spreadsheets/d/1A2H1_UiSnTa0UUb_b7S9b2_KmE3p897n?usp=share_link", 201.566)</f>
        <v>201.566</v>
      </c>
      <c r="U481" s="18" t="str">
        <f>HYPERLINK("https://docs.google.com/spreadsheets/d/1uI36b38uSR8jwUv1D-lju63UQxbnyQzQ?usp=share_link", "RE-6.4211")</f>
        <v>RE-6.4211</v>
      </c>
      <c r="V481" s="18" t="str">
        <f>HYPERLINK("https://docs.google.com/spreadsheets/d/1HV_dpilsGgXTcjpaZgnMrt35ORQK-do3?usp=share_link", "RE-3.32682")</f>
        <v>RE-3.32682</v>
      </c>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c r="EJ481" s="17"/>
      <c r="EK481" s="17"/>
      <c r="EL481" s="17"/>
      <c r="EM481" s="17"/>
      <c r="EN481" s="17"/>
      <c r="EO481" s="17"/>
      <c r="EP481" s="17"/>
      <c r="EQ481" s="17"/>
      <c r="ER481" s="17"/>
      <c r="ES481" s="17"/>
      <c r="ET481" s="17"/>
      <c r="EU481" s="17"/>
      <c r="EV481" s="17"/>
      <c r="EW481" s="17"/>
      <c r="EX481" s="17"/>
      <c r="EY481" s="17"/>
      <c r="EZ481" s="17"/>
      <c r="FA481" s="17"/>
      <c r="FB481" s="17"/>
      <c r="FC481" s="17"/>
      <c r="FD481" s="17"/>
      <c r="FE481" s="17"/>
      <c r="FF481" s="17"/>
      <c r="FG481" s="17"/>
      <c r="FH481" s="17"/>
    </row>
    <row r="482">
      <c r="A482" s="27" t="s">
        <v>17</v>
      </c>
      <c r="B482" s="27" t="s">
        <v>84</v>
      </c>
      <c r="C482" s="27" t="s">
        <v>15</v>
      </c>
      <c r="D482" s="28">
        <f t="shared" si="1"/>
        <v>1303.119</v>
      </c>
      <c r="E482" s="33"/>
      <c r="F482" s="34" t="str">
        <f>HYPERLINK("https://docs.google.com/spreadsheets/d/1uOh_J7f0WoZgc5wUCqX5uD25a7_eqgRO?usp=share_link", "RE-806.164")</f>
        <v>RE-806.164</v>
      </c>
      <c r="G482" s="34" t="str">
        <f>HYPERLINK("https://docs.google.com/spreadsheets/d/1hifN7MmY9Qgr7MiOYIvQxXCkqlUc5o4s?usp=share_link", "RE-5.40252")</f>
        <v>RE-5.40252</v>
      </c>
      <c r="H482" s="34" t="str">
        <f>HYPERLINK("https://docs.google.com/spreadsheets/d/1qlm3kIxwO7d6PKZVCygBWOKhAUX-gFW6?usp=share_link", "RE-161.081")</f>
        <v>RE-161.081</v>
      </c>
      <c r="I482" s="33"/>
      <c r="J482" s="34" t="str">
        <f>HYPERLINK("https://docs.google.com/spreadsheets/d/1DBZyr-g7lwQ6UUQ7hlj5UCCUYBTQR2jK?usp=share_link", "RE-268.717")</f>
        <v>RE-268.717</v>
      </c>
      <c r="K482" s="34" t="str">
        <f>HYPERLINK("https://docs.google.com/spreadsheets/d/1y7hl87ttmpRMCzWCN17RcvsxSkqlDeWb?usp=share_link", "RE-1.79457")</f>
        <v>RE-1.79457</v>
      </c>
      <c r="L482" s="34">
        <f>HYPERLINK("https://docs.google.com/spreadsheets/d/1V9YFThUlyXPgtZsat5m0rwNJqSvI6Jk1?usp=share_link", 477.324)</f>
        <v>477.324</v>
      </c>
      <c r="M482" s="34" t="str">
        <f>HYPERLINK("https://docs.google.com/spreadsheets/d/11QqUtQhJAiIXEvID_tMdEwfPENn1bc9S?usp=share_link", "RE-5.84398")</f>
        <v>RE-5.84398</v>
      </c>
      <c r="N482" s="34" t="str">
        <f>HYPERLINK("https://docs.google.com/spreadsheets/d/16xIzwJdRenwhienpiKz5pQK2uvAC7XD0?usp=share_link", "RE-1617.92")</f>
        <v>RE-1617.92</v>
      </c>
      <c r="O482" s="34" t="str">
        <f>HYPERLINK("https://docs.google.com/spreadsheets/d/1Y1F0V8-kjhSfzOS-7R9eiE6dWMCL28du?usp=share_link", "RE-11.3259")</f>
        <v>RE-11.3259</v>
      </c>
      <c r="P482" s="34">
        <f>HYPERLINK("https://docs.google.com/spreadsheets/d/11EfQdaXGRQkHULrZToSMlSVsIHbxtWLu?usp=share_link", 251.331)</f>
        <v>251.331</v>
      </c>
      <c r="Q482" s="34" t="str">
        <f>HYPERLINK("https://docs.google.com/spreadsheets/d/1RzarC8tFXt3SEUBOrKtf1vPAixDPobg6?usp=share_link", "RE-16.7889")</f>
        <v>RE-16.7889</v>
      </c>
      <c r="R482" s="34">
        <f>HYPERLINK("https://docs.google.com/spreadsheets/d/1slc_SAD5AARYzuLZHjTJeJgsAUl3DdJ2?usp=share_link", 326.288)</f>
        <v>326.288</v>
      </c>
      <c r="S482" s="34" t="str">
        <f>HYPERLINK("https://docs.google.com/spreadsheets/d/1awvw1a2o5AH1cyIbttDLTzl6jXqG6BEv?usp=share_link", "RE-5.35")</f>
        <v>RE-5.35</v>
      </c>
      <c r="T482" s="34">
        <f>HYPERLINK("https://docs.google.com/spreadsheets/d/15Da8cndAKwacoVaUvixIMuLAeHMUSE6A?usp=share_link", 248.176)</f>
        <v>248.176</v>
      </c>
      <c r="U482" s="34" t="str">
        <f>HYPERLINK("https://docs.google.com/spreadsheets/d/1Dds0A54vc46EnJPimMkX8GEN1ExEdKpJ?usp=share_link", "RE-7.92933")</f>
        <v>RE-7.92933</v>
      </c>
      <c r="V482" s="34" t="str">
        <f>HYPERLINK("https://docs.google.com/spreadsheets/d/1JRZI9DaWZdJOhoi5mSkIBY7UyD3-VroI?usp=share_link", "RE-4.55227")</f>
        <v>RE-4.55227</v>
      </c>
      <c r="W482" s="33"/>
      <c r="X482" s="33"/>
      <c r="Y482" s="33"/>
      <c r="Z482" s="33"/>
      <c r="AA482" s="33"/>
      <c r="AB482" s="3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c r="BA482" s="33"/>
      <c r="BB482" s="33"/>
      <c r="BC482" s="33"/>
      <c r="BD482" s="33"/>
      <c r="BE482" s="33"/>
      <c r="BF482" s="33"/>
      <c r="BG482" s="33"/>
      <c r="BH482" s="33"/>
      <c r="BI482" s="33"/>
      <c r="BJ482" s="33"/>
      <c r="BK482" s="33"/>
      <c r="BL482" s="33"/>
      <c r="BM482" s="33"/>
      <c r="BN482" s="33"/>
      <c r="BO482" s="33"/>
      <c r="BP482" s="33"/>
      <c r="BQ482" s="33"/>
      <c r="BR482" s="33"/>
      <c r="BS482" s="33"/>
      <c r="BT482" s="33"/>
      <c r="BU482" s="33"/>
      <c r="BV482" s="33"/>
      <c r="BW482" s="33"/>
      <c r="BX482" s="33"/>
      <c r="BY482" s="33"/>
      <c r="BZ482" s="33"/>
      <c r="CA482" s="33"/>
      <c r="CB482" s="33"/>
      <c r="CC482" s="33"/>
      <c r="CD482" s="33"/>
      <c r="CE482" s="33"/>
      <c r="CF482" s="33"/>
      <c r="CG482" s="33"/>
      <c r="CH482" s="33"/>
      <c r="CI482" s="33"/>
      <c r="CJ482" s="33"/>
      <c r="CK482" s="33"/>
      <c r="CL482" s="33"/>
      <c r="CM482" s="33"/>
      <c r="CN482" s="33"/>
      <c r="CO482" s="33"/>
      <c r="CP482" s="33"/>
      <c r="CQ482" s="33"/>
      <c r="CR482" s="33"/>
      <c r="CS482" s="33"/>
      <c r="CT482" s="33"/>
      <c r="CU482" s="33"/>
      <c r="CV482" s="33"/>
      <c r="CW482" s="33"/>
      <c r="CX482" s="33"/>
      <c r="CY482" s="33"/>
      <c r="CZ482" s="33"/>
      <c r="DA482" s="33"/>
      <c r="DB482" s="33"/>
      <c r="DC482" s="33"/>
      <c r="DD482" s="33"/>
      <c r="DE482" s="33"/>
      <c r="DF482" s="33"/>
      <c r="DG482" s="33"/>
      <c r="DH482" s="33"/>
      <c r="DI482" s="33"/>
      <c r="DJ482" s="33"/>
      <c r="DK482" s="33"/>
      <c r="DL482" s="33"/>
      <c r="DM482" s="33"/>
      <c r="DN482" s="33"/>
      <c r="DO482" s="33"/>
      <c r="DP482" s="33"/>
      <c r="DQ482" s="33"/>
      <c r="DR482" s="33"/>
      <c r="DS482" s="33"/>
      <c r="DT482" s="33"/>
      <c r="DU482" s="33"/>
      <c r="DV482" s="33"/>
      <c r="DW482" s="33"/>
      <c r="DX482" s="33"/>
      <c r="DY482" s="33"/>
      <c r="DZ482" s="33"/>
      <c r="EA482" s="33"/>
      <c r="EB482" s="33"/>
      <c r="EC482" s="33"/>
      <c r="ED482" s="33"/>
      <c r="EE482" s="33"/>
      <c r="EF482" s="33"/>
      <c r="EG482" s="33"/>
      <c r="EH482" s="33"/>
      <c r="EI482" s="33"/>
      <c r="EJ482" s="33"/>
      <c r="EK482" s="33"/>
      <c r="EL482" s="33"/>
      <c r="EM482" s="33"/>
      <c r="EN482" s="33"/>
      <c r="EO482" s="33"/>
      <c r="EP482" s="33"/>
      <c r="EQ482" s="33"/>
      <c r="ER482" s="33"/>
      <c r="ES482" s="33"/>
      <c r="ET482" s="33"/>
      <c r="EU482" s="33"/>
      <c r="EV482" s="33"/>
      <c r="EW482" s="33"/>
      <c r="EX482" s="33"/>
      <c r="EY482" s="33"/>
      <c r="EZ482" s="33"/>
      <c r="FA482" s="33"/>
      <c r="FB482" s="33"/>
      <c r="FC482" s="33"/>
      <c r="FD482" s="33"/>
      <c r="FE482" s="33"/>
      <c r="FF482" s="33"/>
      <c r="FG482" s="33"/>
      <c r="FH482" s="33"/>
    </row>
    <row r="483">
      <c r="A483" s="30" t="s">
        <v>17</v>
      </c>
      <c r="B483" s="30" t="s">
        <v>85</v>
      </c>
      <c r="C483" s="31" t="str">
        <f>HYPERLINK("https://docs.google.com/spreadsheets/d/19A9Fo3srlMks7SGCOehN7GSghEdrtOro/edit?usp=share_link&amp;ouid=106501987799020758802&amp;rtpof=true&amp;sd=true", "Raw Delivered")</f>
        <v>Raw Delivered</v>
      </c>
      <c r="D483" s="12">
        <f t="shared" si="1"/>
        <v>5259.311985</v>
      </c>
      <c r="E483" s="13"/>
      <c r="F483" s="14">
        <f>HYPERLINK("https://docs.google.com/spreadsheets/d/10GpGuq78U6xj8XepG1HnvvyxuvWjJkcO", 420.668139583332)</f>
        <v>420.6681396</v>
      </c>
      <c r="G483" s="13"/>
      <c r="H483" s="14">
        <f>HYPERLINK("https://docs.google.com/spreadsheets/d/1Qy8TcbDGiCo3KsozeTgPNSxsYczllciE", 115.404272916666)</f>
        <v>115.4042729</v>
      </c>
      <c r="I483" s="13"/>
      <c r="J483" s="14">
        <f>HYPERLINK("https://docs.google.com/spreadsheets/d/1ClQivStGHmL3esg7S4-rtvHLCu6LtIws", 924.243816666668)</f>
        <v>924.2438167</v>
      </c>
      <c r="K483" s="13"/>
      <c r="L483" s="14">
        <f t="shared" ref="L483:L484" si="242">HYPERLINK("https://docs.google.com/spreadsheets/d/11Xf9CqZ6AjqrH3Q80nVH-W0VgxBWC0rx", 356.22824375)</f>
        <v>356.2282438</v>
      </c>
      <c r="M483" s="13"/>
      <c r="N483" s="14">
        <f>HYPERLINK("https://docs.google.com/spreadsheets/d/1kTa6g-rFTqxvmR3O7-kqde5k03-WMIUI", 2435.11503020832)</f>
        <v>2435.11503</v>
      </c>
      <c r="O483" s="13"/>
      <c r="P483" s="14">
        <f t="shared" ref="P483:P484" si="243">HYPERLINK("https://docs.google.com/spreadsheets/d/1SxpV8JjAOcBHwr43SKilU6d8StnqysWM", 160.446756249999)</f>
        <v>160.4467562</v>
      </c>
      <c r="Q483" s="13"/>
      <c r="R483" s="14">
        <f t="shared" ref="R483:R484" si="244">HYPERLINK("https://docs.google.com/spreadsheets/d/1ut7HX6JG7CBr9emeLIEyRhb81TpTk31Q", 485.629179166667)</f>
        <v>485.6291792</v>
      </c>
      <c r="S483" s="13"/>
      <c r="T483" s="14">
        <f t="shared" ref="T483:T484" si="245">HYPERLINK("https://docs.google.com/spreadsheets/d/1P7m8mN02hU1a7x9JXyO9aQgQVJfxxgoI", 361.576546875)</f>
        <v>361.5765469</v>
      </c>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c r="FH483" s="13"/>
    </row>
    <row r="484">
      <c r="A484" s="32" t="s">
        <v>17</v>
      </c>
      <c r="B484" s="32" t="s">
        <v>85</v>
      </c>
      <c r="C484" s="32" t="s">
        <v>9</v>
      </c>
      <c r="D484" s="16">
        <f t="shared" si="1"/>
        <v>1363.880726</v>
      </c>
      <c r="E484" s="17"/>
      <c r="F484" s="18" t="str">
        <f>HYPERLINK("https://docs.google.com/spreadsheets/d/10GpGuq78U6xj8XepG1HnvvyxuvWjJkcO", "RE-420.66813958333216")</f>
        <v>RE-420.66813958333216</v>
      </c>
      <c r="G484" s="17"/>
      <c r="H484" s="18" t="str">
        <f>HYPERLINK("https://docs.google.com/spreadsheets/d/1Qy8TcbDGiCo3KsozeTgPNSxsYczllciE", "RE-115.40427291666667")</f>
        <v>RE-115.40427291666667</v>
      </c>
      <c r="I484" s="17"/>
      <c r="J484" s="18" t="str">
        <f>HYPERLINK("https://docs.google.com/spreadsheets/d/1ClQivStGHmL3esg7S4-rtvHLCu6LtIws", "RE-924.2438166666684")</f>
        <v>RE-924.2438166666684</v>
      </c>
      <c r="K484" s="17"/>
      <c r="L484" s="18">
        <f t="shared" si="242"/>
        <v>356.2282438</v>
      </c>
      <c r="M484" s="17"/>
      <c r="N484" s="18" t="str">
        <f>HYPERLINK("https://docs.google.com/spreadsheets/d/1kTa6g-rFTqxvmR3O7-kqde5k03-WMIUI", "RE-2435.1150302083265")</f>
        <v>RE-2435.1150302083265</v>
      </c>
      <c r="O484" s="17"/>
      <c r="P484" s="18">
        <f t="shared" si="243"/>
        <v>160.4467562</v>
      </c>
      <c r="Q484" s="17"/>
      <c r="R484" s="18">
        <f t="shared" si="244"/>
        <v>485.6291792</v>
      </c>
      <c r="S484" s="17"/>
      <c r="T484" s="18">
        <f t="shared" si="245"/>
        <v>361.5765469</v>
      </c>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c r="EJ484" s="17"/>
      <c r="EK484" s="17"/>
      <c r="EL484" s="17"/>
      <c r="EM484" s="17"/>
      <c r="EN484" s="17"/>
      <c r="EO484" s="17"/>
      <c r="EP484" s="17"/>
      <c r="EQ484" s="17"/>
      <c r="ER484" s="17"/>
      <c r="ES484" s="17"/>
      <c r="ET484" s="17"/>
      <c r="EU484" s="17"/>
      <c r="EV484" s="17"/>
      <c r="EW484" s="17"/>
      <c r="EX484" s="17"/>
      <c r="EY484" s="17"/>
      <c r="EZ484" s="17"/>
      <c r="FA484" s="17"/>
      <c r="FB484" s="17"/>
      <c r="FC484" s="17"/>
      <c r="FD484" s="17"/>
      <c r="FE484" s="17"/>
      <c r="FF484" s="17"/>
      <c r="FG484" s="17"/>
      <c r="FH484" s="17"/>
    </row>
    <row r="485">
      <c r="A485" s="32" t="s">
        <v>17</v>
      </c>
      <c r="B485" s="32" t="s">
        <v>85</v>
      </c>
      <c r="C485" s="32" t="s">
        <v>10</v>
      </c>
      <c r="D485" s="16">
        <f t="shared" si="1"/>
        <v>505.5324948</v>
      </c>
      <c r="E485" s="17"/>
      <c r="F485" s="17"/>
      <c r="G485" s="18">
        <f>HYPERLINK("https://docs.google.com/spreadsheets/d/18xEqVZHuayLg8jXmsiNqiZmr94Yul3jQ", 25.1169208333333)</f>
        <v>25.11692083</v>
      </c>
      <c r="H485" s="17"/>
      <c r="I485" s="18">
        <f>HYPERLINK("https://docs.google.com/spreadsheets/d/1tpCrc-s4NIZDUXH7lqRcUf4hguK7yC46", 1.22584166666666)</f>
        <v>1.225841667</v>
      </c>
      <c r="J485" s="17"/>
      <c r="K485" s="18">
        <f>HYPERLINK("https://docs.google.com/spreadsheets/d/10rbR-qbDETbgCbnNKiA7iE8ZwsGTOnXx", 46.0394979166666)</f>
        <v>46.03949792</v>
      </c>
      <c r="L485" s="17"/>
      <c r="M485" s="18">
        <f>HYPERLINK("https://docs.google.com/spreadsheets/d/1-VprOIxkj35fe2rETu_00Cs64m_QJWc5", 20.1228854166666)</f>
        <v>20.12288542</v>
      </c>
      <c r="N485" s="17"/>
      <c r="O485" s="18">
        <f>HYPERLINK("https://docs.google.com/spreadsheets/d/1fiWCPYH4-5P1p0kmn0EY5ttiFxwR8acX", 309.272726041666)</f>
        <v>309.272726</v>
      </c>
      <c r="P485" s="17"/>
      <c r="Q485" s="18">
        <f>HYPERLINK("https://docs.google.com/spreadsheets/d/18DZsOQSeqL7-BHKFITkkwI72nvZtL3T7", 36.71885)</f>
        <v>36.71885</v>
      </c>
      <c r="R485" s="17"/>
      <c r="S485" s="18">
        <f>HYPERLINK("https://docs.google.com/spreadsheets/d/1Rk2WTU120q4xUNm3kMHzQzKhQxb_PDvB", 29.5078437499999)</f>
        <v>29.50784375</v>
      </c>
      <c r="T485" s="17"/>
      <c r="U485" s="18">
        <f>HYPERLINK("https://docs.google.com/spreadsheets/d/1nqnzY8uy-S5LFsq5Zijn_P6R0rJeZEnQ", 31.465675)</f>
        <v>31.465675</v>
      </c>
      <c r="V485" s="18">
        <f>HYPERLINK("https://docs.google.com/spreadsheets/d/1pcz_mrO2ble2tsGplZDNOcrOJB7lD2Df", 6.06225416666666)</f>
        <v>6.062254167</v>
      </c>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c r="EJ485" s="17"/>
      <c r="EK485" s="17"/>
      <c r="EL485" s="17"/>
      <c r="EM485" s="17"/>
      <c r="EN485" s="17"/>
      <c r="EO485" s="17"/>
      <c r="EP485" s="17"/>
      <c r="EQ485" s="17"/>
      <c r="ER485" s="17"/>
      <c r="ES485" s="17"/>
      <c r="ET485" s="17"/>
      <c r="EU485" s="17"/>
      <c r="EV485" s="17"/>
      <c r="EW485" s="17"/>
      <c r="EX485" s="17"/>
      <c r="EY485" s="17"/>
      <c r="EZ485" s="17"/>
      <c r="FA485" s="17"/>
      <c r="FB485" s="17"/>
      <c r="FC485" s="17"/>
      <c r="FD485" s="17"/>
      <c r="FE485" s="17"/>
      <c r="FF485" s="17"/>
      <c r="FG485" s="17"/>
      <c r="FH485" s="17"/>
    </row>
    <row r="486">
      <c r="A486" s="32" t="s">
        <v>17</v>
      </c>
      <c r="B486" s="32" t="s">
        <v>85</v>
      </c>
      <c r="C486" s="32" t="s">
        <v>11</v>
      </c>
      <c r="D486" s="16">
        <f t="shared" si="1"/>
        <v>0</v>
      </c>
      <c r="E486" s="17"/>
      <c r="F486" s="17"/>
      <c r="G486" s="18" t="str">
        <f>HYPERLINK("https://docs.google.com/spreadsheets/d/18xEqVZHuayLg8jXmsiNqiZmr94Yul3jQ", "RE-25.11692083333333")</f>
        <v>RE-25.11692083333333</v>
      </c>
      <c r="H486" s="17"/>
      <c r="I486" s="18" t="str">
        <f>HYPERLINK("https://docs.google.com/spreadsheets/d/1tpCrc-s4NIZDUXH7lqRcUf4hguK7yC46", "RE-1.2258416666666667")</f>
        <v>RE-1.2258416666666667</v>
      </c>
      <c r="J486" s="17"/>
      <c r="K486" s="18" t="str">
        <f>HYPERLINK("https://docs.google.com/spreadsheets/d/10rbR-qbDETbgCbnNKiA7iE8ZwsGTOnXx", "RE-46.03949791666665")</f>
        <v>RE-46.03949791666665</v>
      </c>
      <c r="L486" s="17"/>
      <c r="M486" s="18" t="str">
        <f>HYPERLINK("https://docs.google.com/spreadsheets/d/1-VprOIxkj35fe2rETu_00Cs64m_QJWc5", "RE-20.122885416666666")</f>
        <v>RE-20.122885416666666</v>
      </c>
      <c r="N486" s="17"/>
      <c r="O486" s="18" t="str">
        <f>HYPERLINK("https://docs.google.com/spreadsheets/d/1fiWCPYH4-5P1p0kmn0EY5ttiFxwR8acX", "RE-309.27272604166694")</f>
        <v>RE-309.27272604166694</v>
      </c>
      <c r="P486" s="17"/>
      <c r="Q486" s="18" t="str">
        <f>HYPERLINK("https://docs.google.com/spreadsheets/d/18DZsOQSeqL7-BHKFITkkwI72nvZtL3T7", "RE-36.71885")</f>
        <v>RE-36.71885</v>
      </c>
      <c r="R486" s="17"/>
      <c r="S486" s="18" t="str">
        <f>HYPERLINK("https://docs.google.com/spreadsheets/d/1Rk2WTU120q4xUNm3kMHzQzKhQxb_PDvB", "RE-29.507843749999992")</f>
        <v>RE-29.507843749999992</v>
      </c>
      <c r="T486" s="17"/>
      <c r="U486" s="18" t="str">
        <f>HYPERLINK("https://docs.google.com/spreadsheets/d/1nqnzY8uy-S5LFsq5Zijn_P6R0rJeZEnQ", "RE-31.465675")</f>
        <v>RE-31.465675</v>
      </c>
      <c r="V486" s="18" t="str">
        <f>HYPERLINK("https://docs.google.com/spreadsheets/d/1pcz_mrO2ble2tsGplZDNOcrOJB7lD2Df", "RE-6.0622541666666665")</f>
        <v>RE-6.0622541666666665</v>
      </c>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7"/>
      <c r="EJ486" s="17"/>
      <c r="EK486" s="17"/>
      <c r="EL486" s="17"/>
      <c r="EM486" s="17"/>
      <c r="EN486" s="17"/>
      <c r="EO486" s="17"/>
      <c r="EP486" s="17"/>
      <c r="EQ486" s="17"/>
      <c r="ER486" s="17"/>
      <c r="ES486" s="17"/>
      <c r="ET486" s="17"/>
      <c r="EU486" s="17"/>
      <c r="EV486" s="17"/>
      <c r="EW486" s="17"/>
      <c r="EX486" s="17"/>
      <c r="EY486" s="17"/>
      <c r="EZ486" s="17"/>
      <c r="FA486" s="17"/>
      <c r="FB486" s="17"/>
      <c r="FC486" s="17"/>
      <c r="FD486" s="17"/>
      <c r="FE486" s="17"/>
      <c r="FF486" s="17"/>
      <c r="FG486" s="17"/>
      <c r="FH486" s="17"/>
    </row>
    <row r="487">
      <c r="A487" s="32" t="s">
        <v>17</v>
      </c>
      <c r="B487" s="32" t="s">
        <v>85</v>
      </c>
      <c r="C487" s="32" t="s">
        <v>12</v>
      </c>
      <c r="D487" s="16">
        <f t="shared" si="1"/>
        <v>1275.116421</v>
      </c>
      <c r="E487" s="17"/>
      <c r="F487" s="18" t="str">
        <f>HYPERLINK("https://docs.google.com/spreadsheets/d/1CUkN4aO2Vq0XUszgqJ3Iy6AcPp4lyfIu", "RE-358.46727499999946")</f>
        <v>RE-358.46727499999946</v>
      </c>
      <c r="G487" s="18" t="str">
        <f>HYPERLINK("https://docs.google.com/spreadsheets/d/1fLHDRL-LOxaSXWd2GqA_JbZYE_iERwbe", "RE-0.8360875")</f>
        <v>RE-0.8360875</v>
      </c>
      <c r="H487" s="18" t="str">
        <f>HYPERLINK("https://docs.google.com/spreadsheets/d/1UjoSyWExOlCdgXbYS66OruhZvOsgbqfC", "RE-111.2333375")</f>
        <v>RE-111.2333375</v>
      </c>
      <c r="I487" s="18" t="str">
        <f>HYPERLINK("https://docs.google.com/spreadsheets/d/1DLA9kbe0mUqh51I4j4k30K2aSDZa75rC", "RE-0.0")</f>
        <v>RE-0.0</v>
      </c>
      <c r="J487" s="18" t="str">
        <f>HYPERLINK("https://docs.google.com/spreadsheets/d/1LLxeB_S-BNiwl-R0WoM_njE_DMjePP9n", "RE-763.8558875000019")</f>
        <v>RE-763.8558875000019</v>
      </c>
      <c r="K487" s="18" t="str">
        <f>HYPERLINK("https://docs.google.com/spreadsheets/d/1auQ2VztSEetHKp_HAA6e-OKemh5jzAdm", "RE-1.6651291666666665")</f>
        <v>RE-1.6651291666666665</v>
      </c>
      <c r="L487" s="18">
        <f>HYPERLINK("https://docs.google.com/spreadsheets/d/16aMZML8tp8NEjZVoL2dExaTUYzGO_Rbm", 320.425165625)</f>
        <v>320.4251656</v>
      </c>
      <c r="M487" s="18" t="str">
        <f>HYPERLINK("https://docs.google.com/spreadsheets/d/1ts9YRDz-QqZW2erJ18qgZvnPiYq_Tznt", "RE-6.859029166666668")</f>
        <v>RE-6.859029166666668</v>
      </c>
      <c r="N487" s="18" t="str">
        <f>HYPERLINK("https://docs.google.com/spreadsheets/d/119qH4wt6zISeQ6MY1pBVPsZRv-OHMEMJ", "RE-1819.38901875")</f>
        <v>RE-1819.38901875</v>
      </c>
      <c r="O487" s="18" t="str">
        <f>HYPERLINK("https://docs.google.com/spreadsheets/d/1lj1Oeo8zWDZb-dMrDQhmYb0wdW9ciu_i", "RE-6.9122")</f>
        <v>RE-6.9122</v>
      </c>
      <c r="P487" s="18">
        <f>HYPERLINK("https://docs.google.com/spreadsheets/d/dummy", 150.853489583333)</f>
        <v>150.8534896</v>
      </c>
      <c r="Q487" s="18" t="str">
        <f>HYPERLINK("https://docs.google.com/spreadsheets/d/1k7-kE9u6kbt3RxwvZ2m4NF4jrQBJdJ5r", "RE-12.447712499999996")</f>
        <v>RE-12.447712499999996</v>
      </c>
      <c r="R487" s="18">
        <f>HYPERLINK("https://docs.google.com/spreadsheets/d/1UBch39Dh3rTZJ2jXSIGXd7ZznEqD8GSF", 457.033861458333)</f>
        <v>457.0338615</v>
      </c>
      <c r="S487" s="18" t="str">
        <f>HYPERLINK("https://docs.google.com/spreadsheets/d/14HDou9OFBUVw-UE7Se_ieeAD-94AnKBh", "RE-14.44112291666667")</f>
        <v>RE-14.44112291666667</v>
      </c>
      <c r="T487" s="18">
        <f>HYPERLINK("https://docs.google.com/spreadsheets/d/1iA7Mk4ITBgIUbEwCYLG-6oJZHHD6ezPW", 346.803904166666)</f>
        <v>346.8039042</v>
      </c>
      <c r="U487" s="18" t="str">
        <f>HYPERLINK("https://docs.google.com/spreadsheets/d/1Fh6hgQSV6lUaXLeEF7002XTpcwYEygqg", "RE-14.868895833333333")</f>
        <v>RE-14.868895833333333</v>
      </c>
      <c r="V487" s="18" t="str">
        <f>HYPERLINK("https://docs.google.com/spreadsheets/d/14u65snNDWepx_PHo4eVevRvBDQWa95gY", "RE-5.117989583333334")</f>
        <v>RE-5.117989583333334</v>
      </c>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c r="EJ487" s="17"/>
      <c r="EK487" s="17"/>
      <c r="EL487" s="17"/>
      <c r="EM487" s="17"/>
      <c r="EN487" s="17"/>
      <c r="EO487" s="17"/>
      <c r="EP487" s="17"/>
      <c r="EQ487" s="17"/>
      <c r="ER487" s="17"/>
      <c r="ES487" s="17"/>
      <c r="ET487" s="17"/>
      <c r="EU487" s="17"/>
      <c r="EV487" s="17"/>
      <c r="EW487" s="17"/>
      <c r="EX487" s="17"/>
      <c r="EY487" s="17"/>
      <c r="EZ487" s="17"/>
      <c r="FA487" s="17"/>
      <c r="FB487" s="17"/>
      <c r="FC487" s="17"/>
      <c r="FD487" s="17"/>
      <c r="FE487" s="17"/>
      <c r="FF487" s="17"/>
      <c r="FG487" s="17"/>
      <c r="FH487" s="17"/>
    </row>
    <row r="488">
      <c r="A488" s="32" t="s">
        <v>17</v>
      </c>
      <c r="B488" s="32" t="s">
        <v>85</v>
      </c>
      <c r="C488" s="32" t="s">
        <v>13</v>
      </c>
      <c r="D488" s="16">
        <f t="shared" si="1"/>
        <v>1219.199</v>
      </c>
      <c r="E488" s="17"/>
      <c r="F488" s="18" t="str">
        <f>HYPERLINK("https://docs.google.com/spreadsheets/d/1UtuamweukUKjIKVVhNddEaU79ZnNISWh?usp=share_link", "RE-353.352")</f>
        <v>RE-353.352</v>
      </c>
      <c r="G488" s="18" t="str">
        <f>HYPERLINK("https://docs.google.com/spreadsheets/d/1CfyE7EDSd5o_nsZbFi3s1fGp-8vPanSq?usp=share_link", "RE-0.834617")</f>
        <v>RE-0.834617</v>
      </c>
      <c r="H488" s="18" t="str">
        <f>HYPERLINK("https://docs.google.com/spreadsheets/d/1EnTo2o6YRkJk14Yd_FM39-SAts7QtMGs?usp=share_link", "RE-109.906")</f>
        <v>RE-109.906</v>
      </c>
      <c r="I488" s="17"/>
      <c r="J488" s="18" t="str">
        <f>HYPERLINK("https://docs.google.com/spreadsheets/d/15jAiXUm7BcsAnYTqnLxIfufGnWU-zhRp?usp=share_link", "RE-757.679")</f>
        <v>RE-757.679</v>
      </c>
      <c r="K488" s="18" t="str">
        <f>HYPERLINK("https://docs.google.com/spreadsheets/d/1-p87LUN8xVP23snmU-CA8e1RdrebXIRP?usp=share_link", "RE-1.6533")</f>
        <v>RE-1.6533</v>
      </c>
      <c r="L488" s="18">
        <f>HYPERLINK("https://docs.google.com/spreadsheets/d/1pthwf-XZP-Wl_HsRXFJlDuk1uSNUn18t?usp=share_link", 308.078)</f>
        <v>308.078</v>
      </c>
      <c r="M488" s="18" t="str">
        <f>HYPERLINK("https://docs.google.com/spreadsheets/d/1gZ84RCNM8YkjB35rV4FP-TXOngMoHvbi?usp=share_link", "RE-6.54847")</f>
        <v>RE-6.54847</v>
      </c>
      <c r="N488" s="18" t="str">
        <f>HYPERLINK("https://docs.google.com/spreadsheets/d/1_kk6-SDKziZfQVy1n4uzlgHmQLWa9j6A?usp=share_link", "RE-1756.45")</f>
        <v>RE-1756.45</v>
      </c>
      <c r="O488" s="18" t="str">
        <f>HYPERLINK("https://docs.google.com/spreadsheets/d/1znrS9hg-7PHt9KRZWKNAieCvf69jF3Zs?usp=share_link", "RE-6.66532")</f>
        <v>RE-6.66532</v>
      </c>
      <c r="P488" s="18">
        <f>HYPERLINK("https://docs.google.com/spreadsheets/d/1Y95wmS7MneYvCopB5v3VWl39JFUncN8s?usp=share_link", 144.479)</f>
        <v>144.479</v>
      </c>
      <c r="Q488" s="18" t="str">
        <f>HYPERLINK("https://docs.google.com/spreadsheets/d/1ze_TRFV-X6l-W8XdY6IIWHCrmTXnAtWq?usp=share_link", "RE-12.012")</f>
        <v>RE-12.012</v>
      </c>
      <c r="R488" s="18">
        <f>HYPERLINK("https://docs.google.com/spreadsheets/d/1DqMuysc-F01YSjeOgb0UPmw_HX0FsYf_?usp=share_link", 433.751)</f>
        <v>433.751</v>
      </c>
      <c r="S488" s="18" t="str">
        <f>HYPERLINK("https://docs.google.com/spreadsheets/d/1-PnIrAo3gjf8U3Now6o7b3-JdqSZ-A1V?usp=share_link", "RE-13.9254")</f>
        <v>RE-13.9254</v>
      </c>
      <c r="T488" s="18">
        <f>HYPERLINK("https://docs.google.com/spreadsheets/d/1XBFQv_ICrHX6NdEuGlvfrKO3rB6hjr_l?usp=share_link", 332.891)</f>
        <v>332.891</v>
      </c>
      <c r="U488" s="18" t="str">
        <f>HYPERLINK("https://docs.google.com/spreadsheets/d/1_-swiOKDzXkO1WueETUBydFPIOaXI8J9?usp=share_link", "RE-14.0586")</f>
        <v>RE-14.0586</v>
      </c>
      <c r="V488" s="18" t="str">
        <f>HYPERLINK("https://docs.google.com/spreadsheets/d/1m5Vsk9CQglJiD7_g6tEf5Cp1oTL1_Hkd?usp=share_link", "RE-4.84497")</f>
        <v>RE-4.84497</v>
      </c>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c r="EJ488" s="17"/>
      <c r="EK488" s="17"/>
      <c r="EL488" s="17"/>
      <c r="EM488" s="17"/>
      <c r="EN488" s="17"/>
      <c r="EO488" s="17"/>
      <c r="EP488" s="17"/>
      <c r="EQ488" s="17"/>
      <c r="ER488" s="17"/>
      <c r="ES488" s="17"/>
      <c r="ET488" s="17"/>
      <c r="EU488" s="17"/>
      <c r="EV488" s="17"/>
      <c r="EW488" s="17"/>
      <c r="EX488" s="17"/>
      <c r="EY488" s="17"/>
      <c r="EZ488" s="17"/>
      <c r="FA488" s="17"/>
      <c r="FB488" s="17"/>
      <c r="FC488" s="17"/>
      <c r="FD488" s="17"/>
      <c r="FE488" s="17"/>
      <c r="FF488" s="17"/>
      <c r="FG488" s="17"/>
      <c r="FH488" s="17"/>
    </row>
    <row r="489">
      <c r="A489" s="32" t="s">
        <v>17</v>
      </c>
      <c r="B489" s="32" t="s">
        <v>85</v>
      </c>
      <c r="C489" s="32" t="s">
        <v>14</v>
      </c>
      <c r="D489" s="16">
        <f t="shared" si="1"/>
        <v>1041.282</v>
      </c>
      <c r="E489" s="17"/>
      <c r="F489" s="18" t="str">
        <f>HYPERLINK("https://docs.google.com/spreadsheets/d/1o20eeLu5YzZyVd051u9Fs-PEEQTXKd4h?usp=share_link", "RE-319.188")</f>
        <v>RE-319.188</v>
      </c>
      <c r="G489" s="18" t="str">
        <f>HYPERLINK("https://docs.google.com/spreadsheets/d/161MFu5tX_23hzCAPf-9BOPeCzRPmzzWk?usp=share_link", "RE-0.834617")</f>
        <v>RE-0.834617</v>
      </c>
      <c r="H489" s="18" t="str">
        <f>HYPERLINK("https://docs.google.com/spreadsheets/d/1CneWQw-JBqFLo9qsCtZsSVop9AIp-_Vy?usp=share_link", "RE-94.978")</f>
        <v>RE-94.978</v>
      </c>
      <c r="I489" s="17"/>
      <c r="J489" s="18" t="str">
        <f>HYPERLINK("https://docs.google.com/spreadsheets/d/1YP6-TjSZ0rREs4gwk4Zi8YzAOyrXB_4z?usp=share_link", "RE-678.394")</f>
        <v>RE-678.394</v>
      </c>
      <c r="K489" s="18" t="str">
        <f>HYPERLINK("https://docs.google.com/spreadsheets/d/1FEJC9uXhMrmu50f8Wme1wF9NOnQk0N3x?usp=share_link", "RE-1.6533")</f>
        <v>RE-1.6533</v>
      </c>
      <c r="L489" s="18">
        <f>HYPERLINK("https://docs.google.com/spreadsheets/d/1Cy2b-Sy0uciDiFc3Tmf4fWfQN-H8VhHd?usp=share_link", 269.162)</f>
        <v>269.162</v>
      </c>
      <c r="M489" s="18" t="str">
        <f>HYPERLINK("https://docs.google.com/spreadsheets/d/1OtZBOS5JQg1CxjLchYS8W-4IxgxxWUvG?usp=share_link", "RE-5.703")</f>
        <v>RE-5.703</v>
      </c>
      <c r="N489" s="18" t="str">
        <f>HYPERLINK("https://docs.google.com/spreadsheets/d/1Nblf1hHrajqVnffL5qrGq5erI836ed0z?usp=share_link", "RE-1531.66")</f>
        <v>RE-1531.66</v>
      </c>
      <c r="O489" s="18" t="str">
        <f>HYPERLINK("https://docs.google.com/spreadsheets/d/1DB-7BSjD9JwhNfSgBVq7fEDAD8dGiVgv?usp=share_link", "RE-5.73827")</f>
        <v>RE-5.73827</v>
      </c>
      <c r="P489" s="18">
        <f>HYPERLINK("https://docs.google.com/spreadsheets/d/1uLbmV0s9wlzyzyawXPBQT3tz59xemiCK?usp=share_link", 122.63)</f>
        <v>122.63</v>
      </c>
      <c r="Q489" s="18" t="str">
        <f>HYPERLINK("https://docs.google.com/spreadsheets/d/1cm8uHqKCsU5UinLjR2JeOE-Sc33DXC1P?usp=share_link", "RE-10.8537")</f>
        <v>RE-10.8537</v>
      </c>
      <c r="R489" s="18">
        <f>HYPERLINK("https://docs.google.com/spreadsheets/d/1r3jLJW8nV9poHWzqGxCZN7W3jZU479sD?usp=share_link", 369.87)</f>
        <v>369.87</v>
      </c>
      <c r="S489" s="18" t="str">
        <f>HYPERLINK("https://docs.google.com/spreadsheets/d/1onlRlxlWjywUuLLhRhpn_ERd3CGnQpdy?usp=share_link", "RE-11.5462")</f>
        <v>RE-11.5462</v>
      </c>
      <c r="T489" s="18">
        <f>HYPERLINK("https://docs.google.com/spreadsheets/d/1zjmpcNeiADEpzX8-vy6hSirAh5uGWGzb?usp=share_link", 279.62)</f>
        <v>279.62</v>
      </c>
      <c r="U489" s="18" t="str">
        <f>HYPERLINK("https://docs.google.com/spreadsheets/d/15WDbOyaN4Lw2qpgHOl1k1gajcS7VOFx7?usp=share_link", "RE-12.3487")</f>
        <v>RE-12.3487</v>
      </c>
      <c r="V489" s="18" t="str">
        <f>HYPERLINK("https://docs.google.com/spreadsheets/d/12e-tOqa_YbsNEkNMt3yOoIQ49Aw2RWR0?usp=share_link", "RE-3.72498")</f>
        <v>RE-3.72498</v>
      </c>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c r="DE489" s="17"/>
      <c r="DF489" s="17"/>
      <c r="DG489" s="17"/>
      <c r="DH489" s="17"/>
      <c r="DI489" s="17"/>
      <c r="DJ489" s="17"/>
      <c r="DK489" s="17"/>
      <c r="DL489" s="17"/>
      <c r="DM489" s="17"/>
      <c r="DN489" s="17"/>
      <c r="DO489" s="17"/>
      <c r="DP489" s="17"/>
      <c r="DQ489" s="17"/>
      <c r="DR489" s="17"/>
      <c r="DS489" s="17"/>
      <c r="DT489" s="17"/>
      <c r="DU489" s="17"/>
      <c r="DV489" s="17"/>
      <c r="DW489" s="17"/>
      <c r="DX489" s="17"/>
      <c r="DY489" s="17"/>
      <c r="DZ489" s="17"/>
      <c r="EA489" s="17"/>
      <c r="EB489" s="17"/>
      <c r="EC489" s="17"/>
      <c r="ED489" s="17"/>
      <c r="EE489" s="17"/>
      <c r="EF489" s="17"/>
      <c r="EG489" s="17"/>
      <c r="EH489" s="17"/>
      <c r="EI489" s="17"/>
      <c r="EJ489" s="17"/>
      <c r="EK489" s="17"/>
      <c r="EL489" s="17"/>
      <c r="EM489" s="17"/>
      <c r="EN489" s="17"/>
      <c r="EO489" s="17"/>
      <c r="EP489" s="17"/>
      <c r="EQ489" s="17"/>
      <c r="ER489" s="17"/>
      <c r="ES489" s="17"/>
      <c r="ET489" s="17"/>
      <c r="EU489" s="17"/>
      <c r="EV489" s="17"/>
      <c r="EW489" s="17"/>
      <c r="EX489" s="17"/>
      <c r="EY489" s="17"/>
      <c r="EZ489" s="17"/>
      <c r="FA489" s="17"/>
      <c r="FB489" s="17"/>
      <c r="FC489" s="17"/>
      <c r="FD489" s="17"/>
      <c r="FE489" s="17"/>
      <c r="FF489" s="17"/>
      <c r="FG489" s="17"/>
      <c r="FH489" s="17"/>
    </row>
    <row r="490">
      <c r="A490" s="27" t="s">
        <v>17</v>
      </c>
      <c r="B490" s="27" t="s">
        <v>85</v>
      </c>
      <c r="C490" s="27" t="s">
        <v>15</v>
      </c>
      <c r="D490" s="28">
        <f t="shared" si="1"/>
        <v>1219.199</v>
      </c>
      <c r="E490" s="33"/>
      <c r="F490" s="34" t="str">
        <f>HYPERLINK("https://docs.google.com/spreadsheets/d/1_x6woqIkqBy7PC7vVwfcu1KvHRFAnmWe?usp=share_link", "RE-353.352")</f>
        <v>RE-353.352</v>
      </c>
      <c r="G490" s="34" t="str">
        <f>HYPERLINK("https://docs.google.com/spreadsheets/d/1ugS2FthkRQTASsgBAAlXmZvLy60F_4Sl?usp=share_link", "RE-0.834617")</f>
        <v>RE-0.834617</v>
      </c>
      <c r="H490" s="34" t="str">
        <f>HYPERLINK("https://docs.google.com/spreadsheets/d/1x8UsgmjaeecPE2keMeaeOJtYrsnsOI2K?usp=share_link", "RE-109.906")</f>
        <v>RE-109.906</v>
      </c>
      <c r="I490" s="33"/>
      <c r="J490" s="34" t="str">
        <f>HYPERLINK("https://docs.google.com/spreadsheets/d/1RhZB4CQncXr7XEjG_4pQCqYhcfXlJIW4?usp=share_link", "RE-742.392")</f>
        <v>RE-742.392</v>
      </c>
      <c r="K490" s="34" t="str">
        <f>HYPERLINK("https://docs.google.com/spreadsheets/d/13oVjdVziQIGCTwybXqd0k_C0EJZ7-Yqq?usp=share_link", "RE-1.6533")</f>
        <v>RE-1.6533</v>
      </c>
      <c r="L490" s="34">
        <f>HYPERLINK("https://docs.google.com/spreadsheets/d/1RY8d3TZQMU_yOS-X6F57M_0yz5pu9y0h?usp=share_link", 308.078)</f>
        <v>308.078</v>
      </c>
      <c r="M490" s="34" t="str">
        <f>HYPERLINK("https://docs.google.com/spreadsheets/d/1upxTMDmmiz0Q8wUMOw6CN39BIBYPBndZ?usp=share_link", "RE-6.54847")</f>
        <v>RE-6.54847</v>
      </c>
      <c r="N490" s="34" t="str">
        <f>HYPERLINK("https://docs.google.com/spreadsheets/d/1p9aOMN8GS9fUGvEsAJg4-xYLJ7pJ8c3H?usp=share_link", "RE-1754.57")</f>
        <v>RE-1754.57</v>
      </c>
      <c r="O490" s="34" t="str">
        <f>HYPERLINK("https://docs.google.com/spreadsheets/d/1YEwakc3qXAiEFGHyaCn4_IyKRQic_16x?usp=share_link", "RE-6.66532")</f>
        <v>RE-6.66532</v>
      </c>
      <c r="P490" s="34">
        <f>HYPERLINK("https://docs.google.com/spreadsheets/d/1eHo169Oc8bFJxPIo-xjACiMOmo7EQPJ2?usp=share_link", 144.479)</f>
        <v>144.479</v>
      </c>
      <c r="Q490" s="34" t="str">
        <f>HYPERLINK("https://docs.google.com/spreadsheets/d/18Vkz-PgCXD8yFMmhiCC94nB_BlqDJ2id?usp=share_link", "RE-12.012")</f>
        <v>RE-12.012</v>
      </c>
      <c r="R490" s="34">
        <f>HYPERLINK("https://docs.google.com/spreadsheets/d/1E5etcg5cxhlQzLTq1zvEXDWlEqizExBP?usp=share_link", 433.751)</f>
        <v>433.751</v>
      </c>
      <c r="S490" s="34" t="str">
        <f>HYPERLINK("https://docs.google.com/spreadsheets/d/1pujBfWlif5CeX5mUMIkBSDZKmnYeAta2?usp=share_link", "RE-13.9254")</f>
        <v>RE-13.9254</v>
      </c>
      <c r="T490" s="34">
        <f>HYPERLINK("https://docs.google.com/spreadsheets/d/1ZRKzBL-ccyHDMjllqFDbKm_1Zuq20QMd?usp=share_link", 332.891)</f>
        <v>332.891</v>
      </c>
      <c r="U490" s="34" t="str">
        <f>HYPERLINK("https://docs.google.com/spreadsheets/d/1hlwW4GWYmpcycthg1471azmmdODkHoHh?usp=share_link", "RE-14.0586")</f>
        <v>RE-14.0586</v>
      </c>
      <c r="V490" s="34" t="str">
        <f>HYPERLINK("https://docs.google.com/spreadsheets/d/1Jt1umPHfmia8LYvE9mVObBqfxH7IYolj?usp=share_link", "RE-4.84497")</f>
        <v>RE-4.84497</v>
      </c>
      <c r="W490" s="33"/>
      <c r="X490" s="33"/>
      <c r="Y490" s="33"/>
      <c r="Z490" s="33"/>
      <c r="AA490" s="33"/>
      <c r="AB490" s="3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c r="BA490" s="33"/>
      <c r="BB490" s="33"/>
      <c r="BC490" s="33"/>
      <c r="BD490" s="33"/>
      <c r="BE490" s="33"/>
      <c r="BF490" s="33"/>
      <c r="BG490" s="33"/>
      <c r="BH490" s="33"/>
      <c r="BI490" s="33"/>
      <c r="BJ490" s="33"/>
      <c r="BK490" s="33"/>
      <c r="BL490" s="33"/>
      <c r="BM490" s="33"/>
      <c r="BN490" s="33"/>
      <c r="BO490" s="33"/>
      <c r="BP490" s="33"/>
      <c r="BQ490" s="33"/>
      <c r="BR490" s="33"/>
      <c r="BS490" s="33"/>
      <c r="BT490" s="33"/>
      <c r="BU490" s="33"/>
      <c r="BV490" s="33"/>
      <c r="BW490" s="33"/>
      <c r="BX490" s="33"/>
      <c r="BY490" s="33"/>
      <c r="BZ490" s="33"/>
      <c r="CA490" s="33"/>
      <c r="CB490" s="33"/>
      <c r="CC490" s="33"/>
      <c r="CD490" s="33"/>
      <c r="CE490" s="33"/>
      <c r="CF490" s="33"/>
      <c r="CG490" s="33"/>
      <c r="CH490" s="33"/>
      <c r="CI490" s="33"/>
      <c r="CJ490" s="33"/>
      <c r="CK490" s="33"/>
      <c r="CL490" s="33"/>
      <c r="CM490" s="33"/>
      <c r="CN490" s="33"/>
      <c r="CO490" s="33"/>
      <c r="CP490" s="33"/>
      <c r="CQ490" s="33"/>
      <c r="CR490" s="33"/>
      <c r="CS490" s="33"/>
      <c r="CT490" s="33"/>
      <c r="CU490" s="33"/>
      <c r="CV490" s="33"/>
      <c r="CW490" s="33"/>
      <c r="CX490" s="33"/>
      <c r="CY490" s="33"/>
      <c r="CZ490" s="33"/>
      <c r="DA490" s="33"/>
      <c r="DB490" s="33"/>
      <c r="DC490" s="33"/>
      <c r="DD490" s="33"/>
      <c r="DE490" s="33"/>
      <c r="DF490" s="33"/>
      <c r="DG490" s="33"/>
      <c r="DH490" s="33"/>
      <c r="DI490" s="33"/>
      <c r="DJ490" s="33"/>
      <c r="DK490" s="33"/>
      <c r="DL490" s="33"/>
      <c r="DM490" s="33"/>
      <c r="DN490" s="33"/>
      <c r="DO490" s="33"/>
      <c r="DP490" s="33"/>
      <c r="DQ490" s="33"/>
      <c r="DR490" s="33"/>
      <c r="DS490" s="33"/>
      <c r="DT490" s="33"/>
      <c r="DU490" s="33"/>
      <c r="DV490" s="33"/>
      <c r="DW490" s="33"/>
      <c r="DX490" s="33"/>
      <c r="DY490" s="33"/>
      <c r="DZ490" s="33"/>
      <c r="EA490" s="33"/>
      <c r="EB490" s="33"/>
      <c r="EC490" s="33"/>
      <c r="ED490" s="33"/>
      <c r="EE490" s="33"/>
      <c r="EF490" s="33"/>
      <c r="EG490" s="33"/>
      <c r="EH490" s="33"/>
      <c r="EI490" s="33"/>
      <c r="EJ490" s="33"/>
      <c r="EK490" s="33"/>
      <c r="EL490" s="33"/>
      <c r="EM490" s="33"/>
      <c r="EN490" s="33"/>
      <c r="EO490" s="33"/>
      <c r="EP490" s="33"/>
      <c r="EQ490" s="33"/>
      <c r="ER490" s="33"/>
      <c r="ES490" s="33"/>
      <c r="ET490" s="33"/>
      <c r="EU490" s="33"/>
      <c r="EV490" s="33"/>
      <c r="EW490" s="33"/>
      <c r="EX490" s="33"/>
      <c r="EY490" s="33"/>
      <c r="EZ490" s="33"/>
      <c r="FA490" s="33"/>
      <c r="FB490" s="33"/>
      <c r="FC490" s="33"/>
      <c r="FD490" s="33"/>
      <c r="FE490" s="33"/>
      <c r="FF490" s="33"/>
      <c r="FG490" s="33"/>
      <c r="FH490" s="33"/>
    </row>
    <row r="491">
      <c r="A491" s="30" t="s">
        <v>17</v>
      </c>
      <c r="B491" s="30" t="s">
        <v>86</v>
      </c>
      <c r="C491" s="31" t="str">
        <f>HYPERLINK("https://docs.google.com/spreadsheets/d/1CJNuqSygj-kDuVYOtYFRFoo4_HIZ3Tlw/edit?usp=share_link&amp;ouid=118279477453217743021&amp;rtpof=true&amp;sd=true", "Raw Delivered")</f>
        <v>Raw Delivered</v>
      </c>
      <c r="D491" s="12">
        <f t="shared" si="1"/>
        <v>5230.490544</v>
      </c>
      <c r="E491" s="13"/>
      <c r="F491" s="14">
        <f>HYPERLINK("https://docs.google.com/spreadsheets/d/1Jbv7u244NmiUNBNQhSbrjzVpq4S5aSYR", 320.632155208333)</f>
        <v>320.6321552</v>
      </c>
      <c r="G491" s="13"/>
      <c r="H491" s="14">
        <f>HYPERLINK("https://docs.google.com/spreadsheets/d/1PjIsoTohvyD3fTWvrswwTv_9p7uwb53D", 46.6952583333333)</f>
        <v>46.69525833</v>
      </c>
      <c r="I491" s="13"/>
      <c r="J491" s="14">
        <f>HYPERLINK("https://docs.google.com/spreadsheets/d/1D6rnA6e3NVu_EaxRGyf5sIRuvKscdXy0", 154.617404166666)</f>
        <v>154.6174042</v>
      </c>
      <c r="K491" s="13"/>
      <c r="L491" s="14">
        <f t="shared" ref="L491:L492" si="246">HYPERLINK("https://docs.google.com/spreadsheets/d/1dL7-KesFyNjFXrK5I_1Ftq_ZWIB2Cofs", 388.930541666667)</f>
        <v>388.9305417</v>
      </c>
      <c r="M491" s="13"/>
      <c r="N491" s="14">
        <f>HYPERLINK("https://docs.google.com/spreadsheets/d/1vajkU_80B2C6kNX4dTV7gHRRMqXcBqUd", 3354.31604583332)</f>
        <v>3354.316046</v>
      </c>
      <c r="O491" s="13"/>
      <c r="P491" s="14">
        <f t="shared" ref="P491:P492" si="247">HYPERLINK("https://docs.google.com/spreadsheets/d/1fVGrewCkj8HXjoYzJtYA2PZacqRqGw10", 202.338634375)</f>
        <v>202.3386344</v>
      </c>
      <c r="Q491" s="13"/>
      <c r="R491" s="14">
        <f t="shared" ref="R491:R492" si="248">HYPERLINK("https://docs.google.com/spreadsheets/d/1Tshdp9jv0EKHOmTAvOE3fAWHOFEvv-zS", 463.098733333334)</f>
        <v>463.0987333</v>
      </c>
      <c r="S491" s="13"/>
      <c r="T491" s="14">
        <f t="shared" ref="T491:T492" si="249">HYPERLINK("https://docs.google.com/spreadsheets/d/1_2ydRNh3G5JTlcy6PuCZHJyl3zdQ_vp_", 299.861770833334)</f>
        <v>299.8617708</v>
      </c>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c r="FH491" s="13"/>
    </row>
    <row r="492">
      <c r="A492" s="32" t="s">
        <v>17</v>
      </c>
      <c r="B492" s="32" t="s">
        <v>86</v>
      </c>
      <c r="C492" s="32" t="s">
        <v>9</v>
      </c>
      <c r="D492" s="16">
        <f t="shared" si="1"/>
        <v>1354.22968</v>
      </c>
      <c r="E492" s="17"/>
      <c r="F492" s="18" t="str">
        <f>HYPERLINK("https://docs.google.com/spreadsheets/d/1Jbv7u244NmiUNBNQhSbrjzVpq4S5aSYR", "RE-320.6321552083337")</f>
        <v>RE-320.6321552083337</v>
      </c>
      <c r="G492" s="17"/>
      <c r="H492" s="18" t="str">
        <f>HYPERLINK("https://docs.google.com/spreadsheets/d/1PjIsoTohvyD3fTWvrswwTv_9p7uwb53D", "RE-46.69525833333331")</f>
        <v>RE-46.69525833333331</v>
      </c>
      <c r="I492" s="17"/>
      <c r="J492" s="18" t="str">
        <f>HYPERLINK("https://docs.google.com/spreadsheets/d/1D6rnA6e3NVu_EaxRGyf5sIRuvKscdXy0", "RE-154.6174041666665")</f>
        <v>RE-154.6174041666665</v>
      </c>
      <c r="K492" s="17"/>
      <c r="L492" s="18">
        <f t="shared" si="246"/>
        <v>388.9305417</v>
      </c>
      <c r="M492" s="17"/>
      <c r="N492" s="18" t="str">
        <f>HYPERLINK("https://docs.google.com/spreadsheets/d/1vajkU_80B2C6kNX4dTV7gHRRMqXcBqUd", "RE-3354.316045833323")</f>
        <v>RE-3354.316045833323</v>
      </c>
      <c r="O492" s="17"/>
      <c r="P492" s="18">
        <f t="shared" si="247"/>
        <v>202.3386344</v>
      </c>
      <c r="Q492" s="17"/>
      <c r="R492" s="18">
        <f t="shared" si="248"/>
        <v>463.0987333</v>
      </c>
      <c r="S492" s="17"/>
      <c r="T492" s="18">
        <f t="shared" si="249"/>
        <v>299.8617708</v>
      </c>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c r="DE492" s="17"/>
      <c r="DF492" s="17"/>
      <c r="DG492" s="17"/>
      <c r="DH492" s="17"/>
      <c r="DI492" s="17"/>
      <c r="DJ492" s="17"/>
      <c r="DK492" s="17"/>
      <c r="DL492" s="17"/>
      <c r="DM492" s="17"/>
      <c r="DN492" s="17"/>
      <c r="DO492" s="17"/>
      <c r="DP492" s="17"/>
      <c r="DQ492" s="17"/>
      <c r="DR492" s="17"/>
      <c r="DS492" s="17"/>
      <c r="DT492" s="17"/>
      <c r="DU492" s="17"/>
      <c r="DV492" s="17"/>
      <c r="DW492" s="17"/>
      <c r="DX492" s="17"/>
      <c r="DY492" s="17"/>
      <c r="DZ492" s="17"/>
      <c r="EA492" s="17"/>
      <c r="EB492" s="17"/>
      <c r="EC492" s="17"/>
      <c r="ED492" s="17"/>
      <c r="EE492" s="17"/>
      <c r="EF492" s="17"/>
      <c r="EG492" s="17"/>
      <c r="EH492" s="17"/>
      <c r="EI492" s="17"/>
      <c r="EJ492" s="17"/>
      <c r="EK492" s="17"/>
      <c r="EL492" s="17"/>
      <c r="EM492" s="17"/>
      <c r="EN492" s="17"/>
      <c r="EO492" s="17"/>
      <c r="EP492" s="17"/>
      <c r="EQ492" s="17"/>
      <c r="ER492" s="17"/>
      <c r="ES492" s="17"/>
      <c r="ET492" s="17"/>
      <c r="EU492" s="17"/>
      <c r="EV492" s="17"/>
      <c r="EW492" s="17"/>
      <c r="EX492" s="17"/>
      <c r="EY492" s="17"/>
      <c r="EZ492" s="17"/>
      <c r="FA492" s="17"/>
      <c r="FB492" s="17"/>
      <c r="FC492" s="17"/>
      <c r="FD492" s="17"/>
      <c r="FE492" s="17"/>
      <c r="FF492" s="17"/>
      <c r="FG492" s="17"/>
      <c r="FH492" s="17"/>
    </row>
    <row r="493">
      <c r="A493" s="32" t="s">
        <v>17</v>
      </c>
      <c r="B493" s="32" t="s">
        <v>86</v>
      </c>
      <c r="C493" s="32" t="s">
        <v>10</v>
      </c>
      <c r="D493" s="16">
        <f t="shared" si="1"/>
        <v>603.7635458</v>
      </c>
      <c r="E493" s="17"/>
      <c r="F493" s="17"/>
      <c r="G493" s="18">
        <f>HYPERLINK("https://docs.google.com/spreadsheets/d/1mBd5JCOYDtgi8ivCrbPMxF4JSdlxKBey", 52.6788593749999)</f>
        <v>52.67885937</v>
      </c>
      <c r="H493" s="17"/>
      <c r="I493" s="18">
        <f>HYPERLINK("https://docs.google.com/spreadsheets/d/1xll6UMWoYDrHDAi0yzxLZmQzyg0cJhST", 1.70404583333333)</f>
        <v>1.704045833</v>
      </c>
      <c r="J493" s="17"/>
      <c r="K493" s="18">
        <f>HYPERLINK("https://docs.google.com/spreadsheets/d/1UxaMpFOmLg0WZJGuTflNTe0Ed98lObso", 5.18871249999999)</f>
        <v>5.1887125</v>
      </c>
      <c r="L493" s="17"/>
      <c r="M493" s="18">
        <f>HYPERLINK("https://docs.google.com/spreadsheets/d/156Z9kFTCiUq-o38q9p8e08wvHi_f6SJ-", 8.02999479166666)</f>
        <v>8.029994792</v>
      </c>
      <c r="N493" s="17"/>
      <c r="O493" s="18">
        <f>HYPERLINK("https://docs.google.com/spreadsheets/d/1ZQVsdQoLwHhWEwUJfi_C1qC9I-Rf9XQJ", 453.189478125)</f>
        <v>453.1894781</v>
      </c>
      <c r="P493" s="17"/>
      <c r="Q493" s="18">
        <f>HYPERLINK("https://docs.google.com/spreadsheets/d/1z74E0kT8_sLi8SywoHN0TL9PAXh2oeaX", 27.461159375)</f>
        <v>27.46115938</v>
      </c>
      <c r="R493" s="17"/>
      <c r="S493" s="18">
        <f>HYPERLINK("https://docs.google.com/spreadsheets/d/1syaT3vyxbFMn5rxE5u9Bxb-fnfATg13O", 29.5231135416666)</f>
        <v>29.52311354</v>
      </c>
      <c r="T493" s="17"/>
      <c r="U493" s="18">
        <f>HYPERLINK("https://docs.google.com/spreadsheets/d/1QDP9KY0tqo920XjjsSx3RMRc2jUzrF9o", 18.6196114583333)</f>
        <v>18.61961146</v>
      </c>
      <c r="V493" s="18">
        <f>HYPERLINK("https://docs.google.com/spreadsheets/d/1Ahj3gTzfGe1jXWQCOEzus6OW5lvb0kg6", 7.36857083333333)</f>
        <v>7.368570833</v>
      </c>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c r="DE493" s="17"/>
      <c r="DF493" s="17"/>
      <c r="DG493" s="17"/>
      <c r="DH493" s="17"/>
      <c r="DI493" s="17"/>
      <c r="DJ493" s="17"/>
      <c r="DK493" s="17"/>
      <c r="DL493" s="17"/>
      <c r="DM493" s="17"/>
      <c r="DN493" s="17"/>
      <c r="DO493" s="17"/>
      <c r="DP493" s="17"/>
      <c r="DQ493" s="17"/>
      <c r="DR493" s="17"/>
      <c r="DS493" s="17"/>
      <c r="DT493" s="17"/>
      <c r="DU493" s="17"/>
      <c r="DV493" s="17"/>
      <c r="DW493" s="17"/>
      <c r="DX493" s="17"/>
      <c r="DY493" s="17"/>
      <c r="DZ493" s="17"/>
      <c r="EA493" s="17"/>
      <c r="EB493" s="17"/>
      <c r="EC493" s="17"/>
      <c r="ED493" s="17"/>
      <c r="EE493" s="17"/>
      <c r="EF493" s="17"/>
      <c r="EG493" s="17"/>
      <c r="EH493" s="17"/>
      <c r="EI493" s="17"/>
      <c r="EJ493" s="17"/>
      <c r="EK493" s="17"/>
      <c r="EL493" s="17"/>
      <c r="EM493" s="17"/>
      <c r="EN493" s="17"/>
      <c r="EO493" s="17"/>
      <c r="EP493" s="17"/>
      <c r="EQ493" s="17"/>
      <c r="ER493" s="17"/>
      <c r="ES493" s="17"/>
      <c r="ET493" s="17"/>
      <c r="EU493" s="17"/>
      <c r="EV493" s="17"/>
      <c r="EW493" s="17"/>
      <c r="EX493" s="17"/>
      <c r="EY493" s="17"/>
      <c r="EZ493" s="17"/>
      <c r="FA493" s="17"/>
      <c r="FB493" s="17"/>
      <c r="FC493" s="17"/>
      <c r="FD493" s="17"/>
      <c r="FE493" s="17"/>
      <c r="FF493" s="17"/>
      <c r="FG493" s="17"/>
      <c r="FH493" s="17"/>
    </row>
    <row r="494">
      <c r="A494" s="32" t="s">
        <v>17</v>
      </c>
      <c r="B494" s="32" t="s">
        <v>86</v>
      </c>
      <c r="C494" s="32" t="s">
        <v>11</v>
      </c>
      <c r="D494" s="16">
        <f t="shared" si="1"/>
        <v>0</v>
      </c>
      <c r="E494" s="17"/>
      <c r="F494" s="17"/>
      <c r="G494" s="18" t="str">
        <f>HYPERLINK("https://docs.google.com/spreadsheets/d/1mBd5JCOYDtgi8ivCrbPMxF4JSdlxKBey", "RE-52.678859374999995")</f>
        <v>RE-52.678859374999995</v>
      </c>
      <c r="H494" s="17"/>
      <c r="I494" s="18" t="str">
        <f>HYPERLINK("https://docs.google.com/spreadsheets/d/1xll6UMWoYDrHDAi0yzxLZmQzyg0cJhST", "RE-1.7040458333333333")</f>
        <v>RE-1.7040458333333333</v>
      </c>
      <c r="J494" s="17"/>
      <c r="K494" s="18" t="str">
        <f>HYPERLINK("https://docs.google.com/spreadsheets/d/1UxaMpFOmLg0WZJGuTflNTe0Ed98lObso", "RE-5.188712499999999")</f>
        <v>RE-5.188712499999999</v>
      </c>
      <c r="L494" s="17"/>
      <c r="M494" s="18" t="str">
        <f>HYPERLINK("https://docs.google.com/spreadsheets/d/156Z9kFTCiUq-o38q9p8e08wvHi_f6SJ-", "RE-8.029994791666665")</f>
        <v>RE-8.029994791666665</v>
      </c>
      <c r="N494" s="17"/>
      <c r="O494" s="18" t="str">
        <f>HYPERLINK("https://docs.google.com/spreadsheets/d/1ZQVsdQoLwHhWEwUJfi_C1qC9I-Rf9XQJ", "RE-453.18947812500016")</f>
        <v>RE-453.18947812500016</v>
      </c>
      <c r="P494" s="17"/>
      <c r="Q494" s="18" t="str">
        <f>HYPERLINK("https://docs.google.com/spreadsheets/d/1z74E0kT8_sLi8SywoHN0TL9PAXh2oeaX", "RE-27.461159375000005")</f>
        <v>RE-27.461159375000005</v>
      </c>
      <c r="R494" s="17"/>
      <c r="S494" s="18" t="str">
        <f>HYPERLINK("https://docs.google.com/spreadsheets/d/1syaT3vyxbFMn5rxE5u9Bxb-fnfATg13O", "RE-29.52311354166666")</f>
        <v>RE-29.52311354166666</v>
      </c>
      <c r="T494" s="17"/>
      <c r="U494" s="18" t="str">
        <f>HYPERLINK("https://docs.google.com/spreadsheets/d/1QDP9KY0tqo920XjjsSx3RMRc2jUzrF9o", "RE-18.619611458333335")</f>
        <v>RE-18.619611458333335</v>
      </c>
      <c r="V494" s="18" t="str">
        <f>HYPERLINK("https://docs.google.com/spreadsheets/d/1Ahj3gTzfGe1jXWQCOEzus6OW5lvb0kg6", "RE-7.368570833333333")</f>
        <v>RE-7.368570833333333</v>
      </c>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c r="DE494" s="17"/>
      <c r="DF494" s="17"/>
      <c r="DG494" s="17"/>
      <c r="DH494" s="17"/>
      <c r="DI494" s="17"/>
      <c r="DJ494" s="17"/>
      <c r="DK494" s="17"/>
      <c r="DL494" s="17"/>
      <c r="DM494" s="17"/>
      <c r="DN494" s="17"/>
      <c r="DO494" s="17"/>
      <c r="DP494" s="17"/>
      <c r="DQ494" s="17"/>
      <c r="DR494" s="17"/>
      <c r="DS494" s="17"/>
      <c r="DT494" s="17"/>
      <c r="DU494" s="17"/>
      <c r="DV494" s="17"/>
      <c r="DW494" s="17"/>
      <c r="DX494" s="17"/>
      <c r="DY494" s="17"/>
      <c r="DZ494" s="17"/>
      <c r="EA494" s="17"/>
      <c r="EB494" s="17"/>
      <c r="EC494" s="17"/>
      <c r="ED494" s="17"/>
      <c r="EE494" s="17"/>
      <c r="EF494" s="17"/>
      <c r="EG494" s="17"/>
      <c r="EH494" s="17"/>
      <c r="EI494" s="17"/>
      <c r="EJ494" s="17"/>
      <c r="EK494" s="17"/>
      <c r="EL494" s="17"/>
      <c r="EM494" s="17"/>
      <c r="EN494" s="17"/>
      <c r="EO494" s="17"/>
      <c r="EP494" s="17"/>
      <c r="EQ494" s="17"/>
      <c r="ER494" s="17"/>
      <c r="ES494" s="17"/>
      <c r="ET494" s="17"/>
      <c r="EU494" s="17"/>
      <c r="EV494" s="17"/>
      <c r="EW494" s="17"/>
      <c r="EX494" s="17"/>
      <c r="EY494" s="17"/>
      <c r="EZ494" s="17"/>
      <c r="FA494" s="17"/>
      <c r="FB494" s="17"/>
      <c r="FC494" s="17"/>
      <c r="FD494" s="17"/>
      <c r="FE494" s="17"/>
      <c r="FF494" s="17"/>
      <c r="FG494" s="17"/>
      <c r="FH494" s="17"/>
    </row>
    <row r="495">
      <c r="A495" s="32" t="s">
        <v>17</v>
      </c>
      <c r="B495" s="32" t="s">
        <v>86</v>
      </c>
      <c r="C495" s="32" t="s">
        <v>12</v>
      </c>
      <c r="D495" s="16">
        <f t="shared" si="1"/>
        <v>1271.547547</v>
      </c>
      <c r="E495" s="17"/>
      <c r="F495" s="18" t="str">
        <f>HYPERLINK("https://docs.google.com/spreadsheets/d/1VrJ-5uQxmozAuzbq7gMxRGvhLLqc_3Tk", "RE-242.49283750000012")</f>
        <v>RE-242.49283750000012</v>
      </c>
      <c r="G495" s="18" t="str">
        <f>HYPERLINK("https://docs.google.com/spreadsheets/d/1yvQLXcDA1PT5IDP1Yg8i7MYSNrqPchGK", "RE-1.54531875")</f>
        <v>RE-1.54531875</v>
      </c>
      <c r="H495" s="18" t="str">
        <f>HYPERLINK("https://docs.google.com/spreadsheets/d/1SKGHKaVCsfNOqqXvD50QqPolB_KZxINd", "RE-43.89017708333332")</f>
        <v>RE-43.89017708333332</v>
      </c>
      <c r="I495" s="18" t="str">
        <f>HYPERLINK("https://docs.google.com/spreadsheets/d/19LfyZOQKnDBwPq0tb7yN_1R7KDRzOMtt", "RE-0.0")</f>
        <v>RE-0.0</v>
      </c>
      <c r="J495" s="18" t="str">
        <f>HYPERLINK("https://docs.google.com/spreadsheets/d/1VxKCiJ5W3rBpKxza7kuQVKjkbL_DS8XQ", "RE-139.16861666666654")</f>
        <v>RE-139.16861666666654</v>
      </c>
      <c r="K495" s="18" t="str">
        <f>HYPERLINK("https://docs.google.com/spreadsheets/d/1fYnwEx8Gi--Fy-JXrbvtzMlf34AiibwC", "RE-0.91439375")</f>
        <v>RE-0.91439375</v>
      </c>
      <c r="L495" s="18">
        <f>HYPERLINK("https://docs.google.com/spreadsheets/d/1_M8ekdmsf9UR3mNzaGY0QkCCEK2eVf4W", 355.641357291667)</f>
        <v>355.6413573</v>
      </c>
      <c r="M495" s="18" t="str">
        <f>HYPERLINK("https://docs.google.com/spreadsheets/d/1WBd0C46mk3SvNneUB2aKaMoufapH58lx", "RE-0.33264375")</f>
        <v>RE-0.33264375</v>
      </c>
      <c r="N495" s="18" t="str">
        <f>HYPERLINK("https://docs.google.com/spreadsheets/d/1hn4yDhzXzzpqw452yue993_SbvLq-eat", "RE-2502.3995385416606")</f>
        <v>RE-2502.3995385416606</v>
      </c>
      <c r="O495" s="18" t="str">
        <f>HYPERLINK("https://docs.google.com/spreadsheets/d/1TdSfrjT4gTHIjiE3PG4KVjnXdoJCNcPZ", "RE-10.566727083333335")</f>
        <v>RE-10.566727083333335</v>
      </c>
      <c r="P495" s="18">
        <f>HYPERLINK("https://docs.google.com/spreadsheets/d/dummy", 192.231880208333)</f>
        <v>192.2318802</v>
      </c>
      <c r="Q495" s="18" t="str">
        <f>HYPERLINK("https://docs.google.com/spreadsheets/d/1Gevg6J-zNuD_7Mz4kDa7_-XEI1t_MUjT", "RE-1.3783583333333334")</f>
        <v>RE-1.3783583333333334</v>
      </c>
      <c r="R495" s="18">
        <f>HYPERLINK("https://docs.google.com/spreadsheets/d/1FkIO2rY2DWivVc3BDKZqmrrZ4aD4xzz6", 442.534575)</f>
        <v>442.534575</v>
      </c>
      <c r="S495" s="18" t="str">
        <f>HYPERLINK("https://docs.google.com/spreadsheets/d/1wtQ6aaLa07cyWFJ3wTWbHni2zf_eLKiC", "RE-12.140343749999996")</f>
        <v>RE-12.140343749999996</v>
      </c>
      <c r="T495" s="18">
        <f>HYPERLINK("https://docs.google.com/spreadsheets/d/1O7vkKhSXzoRsjF24ykWI9CdFb1KV066g", 281.139734375)</f>
        <v>281.1397344</v>
      </c>
      <c r="U495" s="18" t="str">
        <f>HYPERLINK("https://docs.google.com/spreadsheets/d/1Vt6t81_TtIJUXQUICerXGnM5DuyiteBb", "RE-11.654359375")</f>
        <v>RE-11.654359375</v>
      </c>
      <c r="V495" s="18" t="str">
        <f>HYPERLINK("https://docs.google.com/spreadsheets/d/13b5o8fNd6RUCHpSteBHDhtdgml2vq0yu", "RE-5.093823958333333")</f>
        <v>RE-5.093823958333333</v>
      </c>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c r="DE495" s="17"/>
      <c r="DF495" s="17"/>
      <c r="DG495" s="17"/>
      <c r="DH495" s="17"/>
      <c r="DI495" s="17"/>
      <c r="DJ495" s="17"/>
      <c r="DK495" s="17"/>
      <c r="DL495" s="17"/>
      <c r="DM495" s="17"/>
      <c r="DN495" s="17"/>
      <c r="DO495" s="17"/>
      <c r="DP495" s="17"/>
      <c r="DQ495" s="17"/>
      <c r="DR495" s="17"/>
      <c r="DS495" s="17"/>
      <c r="DT495" s="17"/>
      <c r="DU495" s="17"/>
      <c r="DV495" s="17"/>
      <c r="DW495" s="17"/>
      <c r="DX495" s="17"/>
      <c r="DY495" s="17"/>
      <c r="DZ495" s="17"/>
      <c r="EA495" s="17"/>
      <c r="EB495" s="17"/>
      <c r="EC495" s="17"/>
      <c r="ED495" s="17"/>
      <c r="EE495" s="17"/>
      <c r="EF495" s="17"/>
      <c r="EG495" s="17"/>
      <c r="EH495" s="17"/>
      <c r="EI495" s="17"/>
      <c r="EJ495" s="17"/>
      <c r="EK495" s="17"/>
      <c r="EL495" s="17"/>
      <c r="EM495" s="17"/>
      <c r="EN495" s="17"/>
      <c r="EO495" s="17"/>
      <c r="EP495" s="17"/>
      <c r="EQ495" s="17"/>
      <c r="ER495" s="17"/>
      <c r="ES495" s="17"/>
      <c r="ET495" s="17"/>
      <c r="EU495" s="17"/>
      <c r="EV495" s="17"/>
      <c r="EW495" s="17"/>
      <c r="EX495" s="17"/>
      <c r="EY495" s="17"/>
      <c r="EZ495" s="17"/>
      <c r="FA495" s="17"/>
      <c r="FB495" s="17"/>
      <c r="FC495" s="17"/>
      <c r="FD495" s="17"/>
      <c r="FE495" s="17"/>
      <c r="FF495" s="17"/>
      <c r="FG495" s="17"/>
      <c r="FH495" s="17"/>
    </row>
    <row r="496">
      <c r="A496" s="32" t="s">
        <v>17</v>
      </c>
      <c r="B496" s="32" t="s">
        <v>86</v>
      </c>
      <c r="C496" s="32" t="s">
        <v>13</v>
      </c>
      <c r="D496" s="16">
        <f t="shared" si="1"/>
        <v>1219.127</v>
      </c>
      <c r="E496" s="17"/>
      <c r="F496" s="18" t="str">
        <f>HYPERLINK("https://docs.google.com/spreadsheets/d/11n1v1SYf39fTChg5oNxxwDGxbQ1m0Oyj?usp=share_link", "RE-235.875")</f>
        <v>RE-235.875</v>
      </c>
      <c r="G496" s="18" t="str">
        <f>HYPERLINK("https://docs.google.com/spreadsheets/d/134s5Druu9HPZsAUXMf4GfsnfvzAAlMWw?usp=share_link", "RE-1.51733")</f>
        <v>RE-1.51733</v>
      </c>
      <c r="H496" s="18" t="str">
        <f>HYPERLINK("https://docs.google.com/spreadsheets/d/11aYf4Wx4vIyeZCVIFMUgFocRqoh8UVLm?usp=share_link", "RE-42.6447")</f>
        <v>RE-42.6447</v>
      </c>
      <c r="I496" s="17"/>
      <c r="J496" s="18" t="str">
        <f>HYPERLINK("https://docs.google.com/spreadsheets/d/1ZJeM3KkOQuIJc0R14IQSaGgtY6cQA5G4?usp=share_link", "RE-137.374")</f>
        <v>RE-137.374</v>
      </c>
      <c r="K496" s="18" t="str">
        <f>HYPERLINK("https://docs.google.com/spreadsheets/d/1iJ-V4-1vkDEzarSn1YfzaeAnwHvmCe-E?usp=share_link", "RE-0.812733")</f>
        <v>RE-0.812733</v>
      </c>
      <c r="L496" s="18">
        <f>HYPERLINK("https://docs.google.com/spreadsheets/d/1tLccLIP6PQBNgtoHJIpc32AkqTPUgQ1e?usp=share_link", 341.979)</f>
        <v>341.979</v>
      </c>
      <c r="M496" s="18" t="str">
        <f>HYPERLINK("https://docs.google.com/spreadsheets/d/1zsOjLqWbL8q9xnw6thXDpm3mcfzTGbgb?usp=share_link", "RE-0.300417")</f>
        <v>RE-0.300417</v>
      </c>
      <c r="N496" s="18" t="str">
        <f>HYPERLINK("https://docs.google.com/spreadsheets/d/1hWi2hz_Z8qNUyZIxFuucljdzNni62j1m?usp=share_link", "RE-2418.58")</f>
        <v>RE-2418.58</v>
      </c>
      <c r="O496" s="18" t="str">
        <f>HYPERLINK("https://docs.google.com/spreadsheets/d/1W8RoPl8WqzDvDvbe1u9Ssfd3crFlAiok?usp=share_link", "RE-10.0506")</f>
        <v>RE-10.0506</v>
      </c>
      <c r="P496" s="18">
        <f>HYPERLINK("https://docs.google.com/spreadsheets/d/1hoR1uq4Cs3e5PbJK61nCmi-fgTZmpfM_?usp=share_link", 183.946)</f>
        <v>183.946</v>
      </c>
      <c r="Q496" s="18" t="str">
        <f>HYPERLINK("https://docs.google.com/spreadsheets/d/14jq30xPJ8Gu6XLIWwr1uNkso_qUTH7g3?usp=share_link", "RE-1.3401")</f>
        <v>RE-1.3401</v>
      </c>
      <c r="R496" s="18">
        <f>HYPERLINK("https://docs.google.com/spreadsheets/d/1XdeHsr6r3C5psLM28UAa8oZ_Cv5sRxz5?usp=share_link", 422.569)</f>
        <v>422.569</v>
      </c>
      <c r="S496" s="18" t="str">
        <f>HYPERLINK("https://docs.google.com/spreadsheets/d/1-TCTuekcD8RLalXGdRi_n9edVBdqt8No?usp=share_link", "RE-11.689")</f>
        <v>RE-11.689</v>
      </c>
      <c r="T496" s="18">
        <f>HYPERLINK("https://docs.google.com/spreadsheets/d/1C-mSekY8YqgDWKpkgHwPm-anXzMP_v81?usp=share_link", 270.633)</f>
        <v>270.633</v>
      </c>
      <c r="U496" s="18" t="str">
        <f>HYPERLINK("https://docs.google.com/spreadsheets/d/1V2WQEkK-hIg5OgtVKUFQRxs2zo410UeM?usp=share_link", "RE-11.2384")</f>
        <v>RE-11.2384</v>
      </c>
      <c r="V496" s="18" t="str">
        <f>HYPERLINK("https://docs.google.com/spreadsheets/d/1pqKeOUvzcx89T0fbIDvUFFS86tDJSZNT?usp=share_link", "RE-4.8256")</f>
        <v>RE-4.8256</v>
      </c>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c r="DE496" s="17"/>
      <c r="DF496" s="17"/>
      <c r="DG496" s="17"/>
      <c r="DH496" s="17"/>
      <c r="DI496" s="17"/>
      <c r="DJ496" s="17"/>
      <c r="DK496" s="17"/>
      <c r="DL496" s="17"/>
      <c r="DM496" s="17"/>
      <c r="DN496" s="17"/>
      <c r="DO496" s="17"/>
      <c r="DP496" s="17"/>
      <c r="DQ496" s="17"/>
      <c r="DR496" s="17"/>
      <c r="DS496" s="17"/>
      <c r="DT496" s="17"/>
      <c r="DU496" s="17"/>
      <c r="DV496" s="17"/>
      <c r="DW496" s="17"/>
      <c r="DX496" s="17"/>
      <c r="DY496" s="17"/>
      <c r="DZ496" s="17"/>
      <c r="EA496" s="17"/>
      <c r="EB496" s="17"/>
      <c r="EC496" s="17"/>
      <c r="ED496" s="17"/>
      <c r="EE496" s="17"/>
      <c r="EF496" s="17"/>
      <c r="EG496" s="17"/>
      <c r="EH496" s="17"/>
      <c r="EI496" s="17"/>
      <c r="EJ496" s="17"/>
      <c r="EK496" s="17"/>
      <c r="EL496" s="17"/>
      <c r="EM496" s="17"/>
      <c r="EN496" s="17"/>
      <c r="EO496" s="17"/>
      <c r="EP496" s="17"/>
      <c r="EQ496" s="17"/>
      <c r="ER496" s="17"/>
      <c r="ES496" s="17"/>
      <c r="ET496" s="17"/>
      <c r="EU496" s="17"/>
      <c r="EV496" s="17"/>
      <c r="EW496" s="17"/>
      <c r="EX496" s="17"/>
      <c r="EY496" s="17"/>
      <c r="EZ496" s="17"/>
      <c r="FA496" s="17"/>
      <c r="FB496" s="17"/>
      <c r="FC496" s="17"/>
      <c r="FD496" s="17"/>
      <c r="FE496" s="17"/>
      <c r="FF496" s="17"/>
      <c r="FG496" s="17"/>
      <c r="FH496" s="17"/>
    </row>
    <row r="497">
      <c r="A497" s="32" t="s">
        <v>17</v>
      </c>
      <c r="B497" s="32" t="s">
        <v>86</v>
      </c>
      <c r="C497" s="32" t="s">
        <v>14</v>
      </c>
      <c r="D497" s="16">
        <f t="shared" si="1"/>
        <v>1029.605</v>
      </c>
      <c r="E497" s="17"/>
      <c r="F497" s="18" t="str">
        <f>HYPERLINK("https://docs.google.com/spreadsheets/d/1HsGjH_n8MBPskiyaA657DdNKE1NJBocL?usp=share_link", "RE-211.282")</f>
        <v>RE-211.282</v>
      </c>
      <c r="G497" s="18" t="str">
        <f>HYPERLINK("https://docs.google.com/spreadsheets/d/1PrTcmqLOOiKjS3IjPiWAqT613vd46u4D?usp=share_link", "RE-1.51733")</f>
        <v>RE-1.51733</v>
      </c>
      <c r="H497" s="18" t="str">
        <f>HYPERLINK("https://docs.google.com/spreadsheets/d/1fdeqJea27HCByOFRlDaYlJ8wqgT643hX?usp=share_link", "RE-36.2168")</f>
        <v>RE-36.2168</v>
      </c>
      <c r="I497" s="17"/>
      <c r="J497" s="18" t="str">
        <f>HYPERLINK("https://docs.google.com/spreadsheets/d/11Vy-U85locHHhBaDxNh88WOdaWa-IrwM?usp=share_link", "RE-126.678")</f>
        <v>RE-126.678</v>
      </c>
      <c r="K497" s="18" t="str">
        <f>HYPERLINK("https://docs.google.com/spreadsheets/d/13KKtCvaTPhZaKqj4rQLJZ-LwgszJXPOI?usp=share_link", "RE-0.812733")</f>
        <v>RE-0.812733</v>
      </c>
      <c r="L497" s="18">
        <f>HYPERLINK("https://docs.google.com/spreadsheets/d/14tHY77nNTjXcco7Tq2s4ov-2GixaRe1D?usp=share_link", 290.348)</f>
        <v>290.348</v>
      </c>
      <c r="M497" s="18" t="str">
        <f>HYPERLINK("https://docs.google.com/spreadsheets/d/1APUJBxXCKQzPAHSOz5JJ5Ue-MdSUpMS9?usp=share_link", "RE-0.300417")</f>
        <v>RE-0.300417</v>
      </c>
      <c r="N497" s="18" t="str">
        <f>HYPERLINK("https://docs.google.com/spreadsheets/d/1z3oj0Pu9JTTba5GNUmqapQdBGhcfpE4P?usp=share_link", "RE-2160.77")</f>
        <v>RE-2160.77</v>
      </c>
      <c r="O497" s="18" t="str">
        <f>HYPERLINK("https://docs.google.com/spreadsheets/d/1otyzTCpgyBpH12ubjA9hmoftnHW0_k3W?usp=share_link", "RE-9.2424")</f>
        <v>RE-9.2424</v>
      </c>
      <c r="P497" s="18">
        <f>HYPERLINK("https://docs.google.com/spreadsheets/d/1KPQ6PsHx3lOc6WblNuip1XFEV7yUKMES?usp=share_link", 152.19)</f>
        <v>152.19</v>
      </c>
      <c r="Q497" s="18" t="str">
        <f>HYPERLINK("https://docs.google.com/spreadsheets/d/1f-5qaIJ2ERiN8xeVDo-Yqup1WeKG1Mhr?usp=share_link", "RE-0.795767")</f>
        <v>RE-0.795767</v>
      </c>
      <c r="R497" s="18">
        <f>HYPERLINK("https://docs.google.com/spreadsheets/d/1GNhdtQidxiRYsQG_XFLrx2Ai5DdvVeti?usp=share_link", 358.753)</f>
        <v>358.753</v>
      </c>
      <c r="S497" s="18" t="str">
        <f>HYPERLINK("https://docs.google.com/spreadsheets/d/1VEj5RNQD4tP0jbAK3OrtM4FGugM1-5JZ?usp=share_link", "RE-9.00947")</f>
        <v>RE-9.00947</v>
      </c>
      <c r="T497" s="18">
        <f>HYPERLINK("https://docs.google.com/spreadsheets/d/1383H-2efQpR6SYVYanjFylxjdgy4BzmV?usp=share_link", 228.314)</f>
        <v>228.314</v>
      </c>
      <c r="U497" s="18" t="str">
        <f>HYPERLINK("https://docs.google.com/spreadsheets/d/1VUfmig7JkXq2-EOFcxPNQa3gGzCvXDxG?usp=share_link", "RE-7.96217")</f>
        <v>RE-7.96217</v>
      </c>
      <c r="V497" s="18" t="str">
        <f>HYPERLINK("https://docs.google.com/spreadsheets/d/1W3sPM0bLgdoDT8MsFMm5P3L6kJoQJtxj?usp=share_link", "RE-4.04213")</f>
        <v>RE-4.04213</v>
      </c>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c r="DE497" s="17"/>
      <c r="DF497" s="17"/>
      <c r="DG497" s="17"/>
      <c r="DH497" s="17"/>
      <c r="DI497" s="17"/>
      <c r="DJ497" s="17"/>
      <c r="DK497" s="17"/>
      <c r="DL497" s="17"/>
      <c r="DM497" s="17"/>
      <c r="DN497" s="17"/>
      <c r="DO497" s="17"/>
      <c r="DP497" s="17"/>
      <c r="DQ497" s="17"/>
      <c r="DR497" s="17"/>
      <c r="DS497" s="17"/>
      <c r="DT497" s="17"/>
      <c r="DU497" s="17"/>
      <c r="DV497" s="17"/>
      <c r="DW497" s="17"/>
      <c r="DX497" s="17"/>
      <c r="DY497" s="17"/>
      <c r="DZ497" s="17"/>
      <c r="EA497" s="17"/>
      <c r="EB497" s="17"/>
      <c r="EC497" s="17"/>
      <c r="ED497" s="17"/>
      <c r="EE497" s="17"/>
      <c r="EF497" s="17"/>
      <c r="EG497" s="17"/>
      <c r="EH497" s="17"/>
      <c r="EI497" s="17"/>
      <c r="EJ497" s="17"/>
      <c r="EK497" s="17"/>
      <c r="EL497" s="17"/>
      <c r="EM497" s="17"/>
      <c r="EN497" s="17"/>
      <c r="EO497" s="17"/>
      <c r="EP497" s="17"/>
      <c r="EQ497" s="17"/>
      <c r="ER497" s="17"/>
      <c r="ES497" s="17"/>
      <c r="ET497" s="17"/>
      <c r="EU497" s="17"/>
      <c r="EV497" s="17"/>
      <c r="EW497" s="17"/>
      <c r="EX497" s="17"/>
      <c r="EY497" s="17"/>
      <c r="EZ497" s="17"/>
      <c r="FA497" s="17"/>
      <c r="FB497" s="17"/>
      <c r="FC497" s="17"/>
      <c r="FD497" s="17"/>
      <c r="FE497" s="17"/>
      <c r="FF497" s="17"/>
      <c r="FG497" s="17"/>
      <c r="FH497" s="17"/>
    </row>
    <row r="498">
      <c r="A498" s="27" t="s">
        <v>17</v>
      </c>
      <c r="B498" s="27" t="s">
        <v>86</v>
      </c>
      <c r="C498" s="27" t="s">
        <v>15</v>
      </c>
      <c r="D498" s="28">
        <f t="shared" si="1"/>
        <v>1219.127</v>
      </c>
      <c r="E498" s="33"/>
      <c r="F498" s="34" t="str">
        <f>HYPERLINK("https://docs.google.com/spreadsheets/d/1oSAS4YQPlhttFiETMP2ww198VaYdS7ND?usp=share_link", "RE-235.875")</f>
        <v>RE-235.875</v>
      </c>
      <c r="G498" s="34" t="str">
        <f>HYPERLINK("https://docs.google.com/spreadsheets/d/1AxTkeFD8hxgTsf2kZea0ZJ_6DHUOpmtp?usp=share_link", "RE-1.51733")</f>
        <v>RE-1.51733</v>
      </c>
      <c r="H498" s="34" t="str">
        <f>HYPERLINK("https://docs.google.com/spreadsheets/d/1CgXONnx206a5iVQp0LgTCPyDz0sxhrS4?usp=share_link", "RE-42.6447")</f>
        <v>RE-42.6447</v>
      </c>
      <c r="I498" s="33"/>
      <c r="J498" s="34" t="str">
        <f>HYPERLINK("https://docs.google.com/spreadsheets/d/1s1sSDydm-leIGuddP2x2HhfhR-7aaDpS?usp=share_link", "RE-137.374")</f>
        <v>RE-137.374</v>
      </c>
      <c r="K498" s="34" t="str">
        <f>HYPERLINK("https://docs.google.com/spreadsheets/d/16mLF2JsWK9dN5lQVGMomHykMDGbwlMpv?usp=share_link", "RE-0.812733")</f>
        <v>RE-0.812733</v>
      </c>
      <c r="L498" s="34">
        <f>HYPERLINK("https://docs.google.com/spreadsheets/d/1XZdtzaQ0lnLEzDR4beuRxQpmv9NirnMc?usp=share_link", 341.979)</f>
        <v>341.979</v>
      </c>
      <c r="M498" s="34" t="str">
        <f>HYPERLINK("https://docs.google.com/spreadsheets/d/1tfl8wkDcicD7aqpFPx76zmroFaPBRXic?usp=share_link", "RE-0.300417")</f>
        <v>RE-0.300417</v>
      </c>
      <c r="N498" s="34" t="str">
        <f>HYPERLINK("https://docs.google.com/spreadsheets/d/1A0kQ9BAasaQsiGocFPOeiNZAeI_YcIlo?usp=share_link", "RE-2418.03")</f>
        <v>RE-2418.03</v>
      </c>
      <c r="O498" s="34" t="str">
        <f>HYPERLINK("https://docs.google.com/spreadsheets/d/1S_GdFlyCw8wteyXHsskgcDZ2gZ0qm2oz?usp=share_link", "RE-10.0506")</f>
        <v>RE-10.0506</v>
      </c>
      <c r="P498" s="34">
        <f>HYPERLINK("https://docs.google.com/spreadsheets/d/1HvT2X8XRBtfWlUcWwoNED-9mvfLElqFr?usp=share_link", 183.946)</f>
        <v>183.946</v>
      </c>
      <c r="Q498" s="34" t="str">
        <f>HYPERLINK("https://docs.google.com/spreadsheets/d/1XxYwenex5ezDoVGzVn0Oskq516VPEdrP?usp=share_link", "RE-1.3401")</f>
        <v>RE-1.3401</v>
      </c>
      <c r="R498" s="34">
        <f>HYPERLINK("https://docs.google.com/spreadsheets/d/1m_qlWw9l21SWIOhxcZrLM6_rT6Zw9KN4?usp=share_link", 422.569)</f>
        <v>422.569</v>
      </c>
      <c r="S498" s="34" t="str">
        <f>HYPERLINK("https://docs.google.com/spreadsheets/d/1yauaka1cmY0ldVMMnNTErDGyVsuYK8Dz?usp=share_link", "RE-11.689")</f>
        <v>RE-11.689</v>
      </c>
      <c r="T498" s="34">
        <f>HYPERLINK("https://docs.google.com/spreadsheets/d/1zyXDZXnHp20xvNDIn-D0_Y7KeQSa6gWJ?usp=share_link", 270.633)</f>
        <v>270.633</v>
      </c>
      <c r="U498" s="34" t="str">
        <f>HYPERLINK("https://docs.google.com/spreadsheets/d/1l088FhyLSAX9s0juf02Hb1B_JgEfOy2_?usp=share_link", "RE-11.2384")</f>
        <v>RE-11.2384</v>
      </c>
      <c r="V498" s="34" t="str">
        <f>HYPERLINK("https://docs.google.com/spreadsheets/d/1yOs9nQ0fBX148bseJekxcQmjMyNIWcN2?usp=share_link", "RE-4.8256")</f>
        <v>RE-4.8256</v>
      </c>
      <c r="W498" s="33"/>
      <c r="X498" s="33"/>
      <c r="Y498" s="33"/>
      <c r="Z498" s="33"/>
      <c r="AA498" s="33"/>
      <c r="AB498" s="33"/>
      <c r="AC498" s="33"/>
      <c r="AD498" s="33"/>
      <c r="AE498" s="33"/>
      <c r="AF498" s="33"/>
      <c r="AG498" s="33"/>
      <c r="AH498" s="33"/>
      <c r="AI498" s="33"/>
      <c r="AJ498" s="33"/>
      <c r="AK498" s="33"/>
      <c r="AL498" s="33"/>
      <c r="AM498" s="33"/>
      <c r="AN498" s="33"/>
      <c r="AO498" s="33"/>
      <c r="AP498" s="33"/>
      <c r="AQ498" s="33"/>
      <c r="AR498" s="33"/>
      <c r="AS498" s="33"/>
      <c r="AT498" s="33"/>
      <c r="AU498" s="33"/>
      <c r="AV498" s="33"/>
      <c r="AW498" s="33"/>
      <c r="AX498" s="33"/>
      <c r="AY498" s="33"/>
      <c r="AZ498" s="33"/>
      <c r="BA498" s="33"/>
      <c r="BB498" s="33"/>
      <c r="BC498" s="33"/>
      <c r="BD498" s="33"/>
      <c r="BE498" s="33"/>
      <c r="BF498" s="33"/>
      <c r="BG498" s="33"/>
      <c r="BH498" s="33"/>
      <c r="BI498" s="33"/>
      <c r="BJ498" s="33"/>
      <c r="BK498" s="33"/>
      <c r="BL498" s="33"/>
      <c r="BM498" s="33"/>
      <c r="BN498" s="33"/>
      <c r="BO498" s="33"/>
      <c r="BP498" s="33"/>
      <c r="BQ498" s="33"/>
      <c r="BR498" s="33"/>
      <c r="BS498" s="33"/>
      <c r="BT498" s="33"/>
      <c r="BU498" s="33"/>
      <c r="BV498" s="33"/>
      <c r="BW498" s="33"/>
      <c r="BX498" s="33"/>
      <c r="BY498" s="33"/>
      <c r="BZ498" s="33"/>
      <c r="CA498" s="33"/>
      <c r="CB498" s="33"/>
      <c r="CC498" s="33"/>
      <c r="CD498" s="33"/>
      <c r="CE498" s="33"/>
      <c r="CF498" s="33"/>
      <c r="CG498" s="33"/>
      <c r="CH498" s="33"/>
      <c r="CI498" s="33"/>
      <c r="CJ498" s="33"/>
      <c r="CK498" s="33"/>
      <c r="CL498" s="33"/>
      <c r="CM498" s="33"/>
      <c r="CN498" s="33"/>
      <c r="CO498" s="33"/>
      <c r="CP498" s="33"/>
      <c r="CQ498" s="33"/>
      <c r="CR498" s="33"/>
      <c r="CS498" s="33"/>
      <c r="CT498" s="33"/>
      <c r="CU498" s="33"/>
      <c r="CV498" s="33"/>
      <c r="CW498" s="33"/>
      <c r="CX498" s="33"/>
      <c r="CY498" s="33"/>
      <c r="CZ498" s="33"/>
      <c r="DA498" s="33"/>
      <c r="DB498" s="33"/>
      <c r="DC498" s="33"/>
      <c r="DD498" s="33"/>
      <c r="DE498" s="33"/>
      <c r="DF498" s="33"/>
      <c r="DG498" s="33"/>
      <c r="DH498" s="33"/>
      <c r="DI498" s="33"/>
      <c r="DJ498" s="33"/>
      <c r="DK498" s="33"/>
      <c r="DL498" s="33"/>
      <c r="DM498" s="33"/>
      <c r="DN498" s="33"/>
      <c r="DO498" s="33"/>
      <c r="DP498" s="33"/>
      <c r="DQ498" s="33"/>
      <c r="DR498" s="33"/>
      <c r="DS498" s="33"/>
      <c r="DT498" s="33"/>
      <c r="DU498" s="33"/>
      <c r="DV498" s="33"/>
      <c r="DW498" s="33"/>
      <c r="DX498" s="33"/>
      <c r="DY498" s="33"/>
      <c r="DZ498" s="33"/>
      <c r="EA498" s="33"/>
      <c r="EB498" s="33"/>
      <c r="EC498" s="33"/>
      <c r="ED498" s="33"/>
      <c r="EE498" s="33"/>
      <c r="EF498" s="33"/>
      <c r="EG498" s="33"/>
      <c r="EH498" s="33"/>
      <c r="EI498" s="33"/>
      <c r="EJ498" s="33"/>
      <c r="EK498" s="33"/>
      <c r="EL498" s="33"/>
      <c r="EM498" s="33"/>
      <c r="EN498" s="33"/>
      <c r="EO498" s="33"/>
      <c r="EP498" s="33"/>
      <c r="EQ498" s="33"/>
      <c r="ER498" s="33"/>
      <c r="ES498" s="33"/>
      <c r="ET498" s="33"/>
      <c r="EU498" s="33"/>
      <c r="EV498" s="33"/>
      <c r="EW498" s="33"/>
      <c r="EX498" s="33"/>
      <c r="EY498" s="33"/>
      <c r="EZ498" s="33"/>
      <c r="FA498" s="33"/>
      <c r="FB498" s="33"/>
      <c r="FC498" s="33"/>
      <c r="FD498" s="33"/>
      <c r="FE498" s="33"/>
      <c r="FF498" s="33"/>
      <c r="FG498" s="33"/>
      <c r="FH498" s="33"/>
    </row>
    <row r="499">
      <c r="A499" s="30" t="s">
        <v>17</v>
      </c>
      <c r="B499" s="30" t="s">
        <v>87</v>
      </c>
      <c r="C499" s="31" t="str">
        <f>HYPERLINK("https://docs.google.com/spreadsheets/d/161G0k2VA8DGpDKfAaw9DLT0ztqKxGAi8/edit?usp=share_link&amp;ouid=106501987799020758802&amp;rtpof=true&amp;sd=true", "Raw Delivered")</f>
        <v>Raw Delivered</v>
      </c>
      <c r="D499" s="12">
        <f t="shared" si="1"/>
        <v>5951.054751</v>
      </c>
      <c r="E499" s="13"/>
      <c r="F499" s="14">
        <f>HYPERLINK("https://docs.google.com/spreadsheets/d/12T20FXeNprw4d4qDfQAJTMuB_ei1wbdZ", 1016.45114791666)</f>
        <v>1016.451148</v>
      </c>
      <c r="G499" s="13"/>
      <c r="H499" s="14">
        <f>HYPERLINK("https://docs.google.com/spreadsheets/d/1hYyrhD-21QQjkCfJyJm3f9cpCLU2_nrE", 168.877077083333)</f>
        <v>168.8770771</v>
      </c>
      <c r="I499" s="13"/>
      <c r="J499" s="14">
        <f>HYPERLINK("https://docs.google.com/spreadsheets/d/1rGrWUyFx_uZvTm2UzA-DlcrjZeGpbH4n", 1086.64767708333)</f>
        <v>1086.647677</v>
      </c>
      <c r="K499" s="13"/>
      <c r="L499" s="14">
        <f t="shared" ref="L499:L500" si="250">HYPERLINK("https://docs.google.com/spreadsheets/d/1j0X0UluVzfx1OfdQl5vd2tob4BZ3dZDM", 357.211696875)</f>
        <v>357.2116969</v>
      </c>
      <c r="M499" s="13"/>
      <c r="N499" s="14">
        <f>HYPERLINK("https://docs.google.com/spreadsheets/d/1PptYKIeZOWviYiQFZdfIsDHrdJuzlZ4x", 2351.90539270834)</f>
        <v>2351.905393</v>
      </c>
      <c r="O499" s="13"/>
      <c r="P499" s="14">
        <f t="shared" ref="P499:P500" si="251">HYPERLINK("https://docs.google.com/spreadsheets/d/19ZHX1f4-A9afM2H7qQihVwTGWLiZl1MA", 289.010109374999)</f>
        <v>289.0101094</v>
      </c>
      <c r="Q499" s="13"/>
      <c r="R499" s="14">
        <f t="shared" ref="R499:R500" si="252">HYPERLINK("https://docs.google.com/spreadsheets/d/1kyE7GlvRlpITEFaG3hUMpt47X3dqFgK5", 416.84470625)</f>
        <v>416.8447063</v>
      </c>
      <c r="S499" s="13"/>
      <c r="T499" s="14">
        <f t="shared" ref="T499:T500" si="253">HYPERLINK("https://docs.google.com/spreadsheets/d/1kmD77aLkgXola9WEaWOd2LG5FWt5T4hr", 264.10694375)</f>
        <v>264.1069438</v>
      </c>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c r="EE499" s="13"/>
      <c r="EF499" s="13"/>
      <c r="EG499" s="13"/>
      <c r="EH499" s="13"/>
      <c r="EI499" s="13"/>
      <c r="EJ499" s="13"/>
      <c r="EK499" s="13"/>
      <c r="EL499" s="13"/>
      <c r="EM499" s="13"/>
      <c r="EN499" s="13"/>
      <c r="EO499" s="13"/>
      <c r="EP499" s="13"/>
      <c r="EQ499" s="13"/>
      <c r="ER499" s="13"/>
      <c r="ES499" s="13"/>
      <c r="ET499" s="13"/>
      <c r="EU499" s="13"/>
      <c r="EV499" s="13"/>
      <c r="EW499" s="13"/>
      <c r="EX499" s="13"/>
      <c r="EY499" s="13"/>
      <c r="EZ499" s="13"/>
      <c r="FA499" s="13"/>
      <c r="FB499" s="13"/>
      <c r="FC499" s="13"/>
      <c r="FD499" s="13"/>
      <c r="FE499" s="13"/>
      <c r="FF499" s="13"/>
      <c r="FG499" s="13"/>
      <c r="FH499" s="13"/>
    </row>
    <row r="500">
      <c r="A500" s="32" t="s">
        <v>17</v>
      </c>
      <c r="B500" s="32" t="s">
        <v>87</v>
      </c>
      <c r="C500" s="32" t="s">
        <v>9</v>
      </c>
      <c r="D500" s="16">
        <f t="shared" si="1"/>
        <v>1327.173456</v>
      </c>
      <c r="E500" s="17"/>
      <c r="F500" s="18" t="str">
        <f>HYPERLINK("https://docs.google.com/spreadsheets/d/12T20FXeNprw4d4qDfQAJTMuB_ei1wbdZ", "RE-1016.4511479166686")</f>
        <v>RE-1016.4511479166686</v>
      </c>
      <c r="G500" s="17"/>
      <c r="H500" s="18" t="str">
        <f>HYPERLINK("https://docs.google.com/spreadsheets/d/1hYyrhD-21QQjkCfJyJm3f9cpCLU2_nrE", "RE-168.87707708333335")</f>
        <v>RE-168.87707708333335</v>
      </c>
      <c r="I500" s="17"/>
      <c r="J500" s="18" t="str">
        <f>HYPERLINK("https://docs.google.com/spreadsheets/d/1rGrWUyFx_uZvTm2UzA-DlcrjZeGpbH4n", "RE-1086.6476770833349")</f>
        <v>RE-1086.6476770833349</v>
      </c>
      <c r="K500" s="17"/>
      <c r="L500" s="18">
        <f t="shared" si="250"/>
        <v>357.2116969</v>
      </c>
      <c r="M500" s="17"/>
      <c r="N500" s="18" t="str">
        <f>HYPERLINK("https://docs.google.com/spreadsheets/d/1PptYKIeZOWviYiQFZdfIsDHrdJuzlZ4x", "RE-2351.905392708341")</f>
        <v>RE-2351.905392708341</v>
      </c>
      <c r="O500" s="17"/>
      <c r="P500" s="18">
        <f t="shared" si="251"/>
        <v>289.0101094</v>
      </c>
      <c r="Q500" s="17"/>
      <c r="R500" s="18">
        <f t="shared" si="252"/>
        <v>416.8447063</v>
      </c>
      <c r="S500" s="17"/>
      <c r="T500" s="18">
        <f t="shared" si="253"/>
        <v>264.1069438</v>
      </c>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c r="DE500" s="17"/>
      <c r="DF500" s="17"/>
      <c r="DG500" s="17"/>
      <c r="DH500" s="17"/>
      <c r="DI500" s="17"/>
      <c r="DJ500" s="17"/>
      <c r="DK500" s="17"/>
      <c r="DL500" s="17"/>
      <c r="DM500" s="17"/>
      <c r="DN500" s="17"/>
      <c r="DO500" s="17"/>
      <c r="DP500" s="17"/>
      <c r="DQ500" s="17"/>
      <c r="DR500" s="17"/>
      <c r="DS500" s="17"/>
      <c r="DT500" s="17"/>
      <c r="DU500" s="17"/>
      <c r="DV500" s="17"/>
      <c r="DW500" s="17"/>
      <c r="DX500" s="17"/>
      <c r="DY500" s="17"/>
      <c r="DZ500" s="17"/>
      <c r="EA500" s="17"/>
      <c r="EB500" s="17"/>
      <c r="EC500" s="17"/>
      <c r="ED500" s="17"/>
      <c r="EE500" s="17"/>
      <c r="EF500" s="17"/>
      <c r="EG500" s="17"/>
      <c r="EH500" s="17"/>
      <c r="EI500" s="17"/>
      <c r="EJ500" s="17"/>
      <c r="EK500" s="17"/>
      <c r="EL500" s="17"/>
      <c r="EM500" s="17"/>
      <c r="EN500" s="17"/>
      <c r="EO500" s="17"/>
      <c r="EP500" s="17"/>
      <c r="EQ500" s="17"/>
      <c r="ER500" s="17"/>
      <c r="ES500" s="17"/>
      <c r="ET500" s="17"/>
      <c r="EU500" s="17"/>
      <c r="EV500" s="17"/>
      <c r="EW500" s="17"/>
      <c r="EX500" s="17"/>
      <c r="EY500" s="17"/>
      <c r="EZ500" s="17"/>
      <c r="FA500" s="17"/>
      <c r="FB500" s="17"/>
      <c r="FC500" s="17"/>
      <c r="FD500" s="17"/>
      <c r="FE500" s="17"/>
      <c r="FF500" s="17"/>
      <c r="FG500" s="17"/>
      <c r="FH500" s="17"/>
    </row>
    <row r="501">
      <c r="A501" s="32" t="s">
        <v>17</v>
      </c>
      <c r="B501" s="32" t="s">
        <v>87</v>
      </c>
      <c r="C501" s="32" t="s">
        <v>10</v>
      </c>
      <c r="D501" s="16">
        <f t="shared" si="1"/>
        <v>550.0583427</v>
      </c>
      <c r="E501" s="17"/>
      <c r="F501" s="17"/>
      <c r="G501" s="18">
        <f>HYPERLINK("https://docs.google.com/spreadsheets/d/1fAsjPmCX-JjXkJZwAh_KB-fdTUhxFR2q", 48.8318395833333)</f>
        <v>48.83183958</v>
      </c>
      <c r="H501" s="17"/>
      <c r="I501" s="18">
        <f>HYPERLINK("https://docs.google.com/spreadsheets/d/1UG8Ts_rC3CZkh9uqNLqdIVpEsczXgwDL", 7.76741249999999)</f>
        <v>7.7674125</v>
      </c>
      <c r="J501" s="17"/>
      <c r="K501" s="18">
        <f>HYPERLINK("https://docs.google.com/spreadsheets/d/1-m9ZClcIXmJz2dXqJrHQkddUJaHemuTO", 56.2255)</f>
        <v>56.2255</v>
      </c>
      <c r="L501" s="17"/>
      <c r="M501" s="18">
        <f>HYPERLINK("https://docs.google.com/spreadsheets/d/1T6v9FHhop-NmYcbetfu601kjE7Do3kSp", 17.5905)</f>
        <v>17.5905</v>
      </c>
      <c r="N501" s="17"/>
      <c r="O501" s="18">
        <f>HYPERLINK("https://docs.google.com/spreadsheets/d/1iYbuXCSwiNnWvxXAwb_wDRt6rXJlzDRe", 356.245751041666)</f>
        <v>356.245751</v>
      </c>
      <c r="P501" s="17"/>
      <c r="Q501" s="18">
        <f>HYPERLINK("https://docs.google.com/spreadsheets/d/19AvhgzGEXkkwC0POUex9JgzoNLFEDd9c", 29.0219499999999)</f>
        <v>29.02195</v>
      </c>
      <c r="R501" s="17"/>
      <c r="S501" s="18">
        <f>HYPERLINK("https://docs.google.com/spreadsheets/d/19W19tOKYAVzSMIvXJJAPsLGOkdY1k2gQ", 19.9806354166666)</f>
        <v>19.98063542</v>
      </c>
      <c r="T501" s="17"/>
      <c r="U501" s="18">
        <f>HYPERLINK("https://docs.google.com/spreadsheets/d/1814Y3jMs2wyL9pZO6hrO9o-poZW_A6Es", 14.2339374999999)</f>
        <v>14.2339375</v>
      </c>
      <c r="V501" s="18">
        <f>HYPERLINK("https://docs.google.com/spreadsheets/d/1j2d4TdF3dATTnFNADd_FdHMvL5Cy2CsY", 0.160816666666666)</f>
        <v>0.1608166667</v>
      </c>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c r="DE501" s="17"/>
      <c r="DF501" s="17"/>
      <c r="DG501" s="17"/>
      <c r="DH501" s="17"/>
      <c r="DI501" s="17"/>
      <c r="DJ501" s="17"/>
      <c r="DK501" s="17"/>
      <c r="DL501" s="17"/>
      <c r="DM501" s="17"/>
      <c r="DN501" s="17"/>
      <c r="DO501" s="17"/>
      <c r="DP501" s="17"/>
      <c r="DQ501" s="17"/>
      <c r="DR501" s="17"/>
      <c r="DS501" s="17"/>
      <c r="DT501" s="17"/>
      <c r="DU501" s="17"/>
      <c r="DV501" s="17"/>
      <c r="DW501" s="17"/>
      <c r="DX501" s="17"/>
      <c r="DY501" s="17"/>
      <c r="DZ501" s="17"/>
      <c r="EA501" s="17"/>
      <c r="EB501" s="17"/>
      <c r="EC501" s="17"/>
      <c r="ED501" s="17"/>
      <c r="EE501" s="17"/>
      <c r="EF501" s="17"/>
      <c r="EG501" s="17"/>
      <c r="EH501" s="17"/>
      <c r="EI501" s="17"/>
      <c r="EJ501" s="17"/>
      <c r="EK501" s="17"/>
      <c r="EL501" s="17"/>
      <c r="EM501" s="17"/>
      <c r="EN501" s="17"/>
      <c r="EO501" s="17"/>
      <c r="EP501" s="17"/>
      <c r="EQ501" s="17"/>
      <c r="ER501" s="17"/>
      <c r="ES501" s="17"/>
      <c r="ET501" s="17"/>
      <c r="EU501" s="17"/>
      <c r="EV501" s="17"/>
      <c r="EW501" s="17"/>
      <c r="EX501" s="17"/>
      <c r="EY501" s="17"/>
      <c r="EZ501" s="17"/>
      <c r="FA501" s="17"/>
      <c r="FB501" s="17"/>
      <c r="FC501" s="17"/>
      <c r="FD501" s="17"/>
      <c r="FE501" s="17"/>
      <c r="FF501" s="17"/>
      <c r="FG501" s="17"/>
      <c r="FH501" s="17"/>
    </row>
    <row r="502">
      <c r="A502" s="32" t="s">
        <v>17</v>
      </c>
      <c r="B502" s="32" t="s">
        <v>87</v>
      </c>
      <c r="C502" s="32" t="s">
        <v>11</v>
      </c>
      <c r="D502" s="16">
        <f t="shared" si="1"/>
        <v>0</v>
      </c>
      <c r="E502" s="17"/>
      <c r="F502" s="17"/>
      <c r="G502" s="18" t="str">
        <f>HYPERLINK("https://docs.google.com/spreadsheets/d/1fAsjPmCX-JjXkJZwAh_KB-fdTUhxFR2q", "RE-48.83183958333332")</f>
        <v>RE-48.83183958333332</v>
      </c>
      <c r="H502" s="17"/>
      <c r="I502" s="18" t="str">
        <f>HYPERLINK("https://docs.google.com/spreadsheets/d/1UG8Ts_rC3CZkh9uqNLqdIVpEsczXgwDL", "RE-7.767412499999998")</f>
        <v>RE-7.767412499999998</v>
      </c>
      <c r="J502" s="17"/>
      <c r="K502" s="18" t="str">
        <f>HYPERLINK("https://docs.google.com/spreadsheets/d/1-m9ZClcIXmJz2dXqJrHQkddUJaHemuTO", "RE-56.22550000000002")</f>
        <v>RE-56.22550000000002</v>
      </c>
      <c r="L502" s="17"/>
      <c r="M502" s="18" t="str">
        <f>HYPERLINK("https://docs.google.com/spreadsheets/d/1T6v9FHhop-NmYcbetfu601kjE7Do3kSp", "RE-17.590500000000002")</f>
        <v>RE-17.590500000000002</v>
      </c>
      <c r="N502" s="17"/>
      <c r="O502" s="18" t="str">
        <f>HYPERLINK("https://docs.google.com/spreadsheets/d/1iYbuXCSwiNnWvxXAwb_wDRt6rXJlzDRe", "RE-356.24575104166667")</f>
        <v>RE-356.24575104166667</v>
      </c>
      <c r="P502" s="17"/>
      <c r="Q502" s="18" t="str">
        <f>HYPERLINK("https://docs.google.com/spreadsheets/d/19AvhgzGEXkkwC0POUex9JgzoNLFEDd9c", "RE-29.021949999999993")</f>
        <v>RE-29.021949999999993</v>
      </c>
      <c r="R502" s="17"/>
      <c r="S502" s="18" t="str">
        <f>HYPERLINK("https://docs.google.com/spreadsheets/d/19W19tOKYAVzSMIvXJJAPsLGOkdY1k2gQ", "RE-19.980635416666676")</f>
        <v>RE-19.980635416666676</v>
      </c>
      <c r="T502" s="17"/>
      <c r="U502" s="18" t="str">
        <f>HYPERLINK("https://docs.google.com/spreadsheets/d/1814Y3jMs2wyL9pZO6hrO9o-poZW_A6Es", "RE-14.233937499999998")</f>
        <v>RE-14.233937499999998</v>
      </c>
      <c r="V502" s="18" t="str">
        <f>HYPERLINK("https://docs.google.com/spreadsheets/d/1j2d4TdF3dATTnFNADd_FdHMvL5Cy2CsY", "RE-0.16081666666666666")</f>
        <v>RE-0.16081666666666666</v>
      </c>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c r="DE502" s="17"/>
      <c r="DF502" s="17"/>
      <c r="DG502" s="17"/>
      <c r="DH502" s="17"/>
      <c r="DI502" s="17"/>
      <c r="DJ502" s="17"/>
      <c r="DK502" s="17"/>
      <c r="DL502" s="17"/>
      <c r="DM502" s="17"/>
      <c r="DN502" s="17"/>
      <c r="DO502" s="17"/>
      <c r="DP502" s="17"/>
      <c r="DQ502" s="17"/>
      <c r="DR502" s="17"/>
      <c r="DS502" s="17"/>
      <c r="DT502" s="17"/>
      <c r="DU502" s="17"/>
      <c r="DV502" s="17"/>
      <c r="DW502" s="17"/>
      <c r="DX502" s="17"/>
      <c r="DY502" s="17"/>
      <c r="DZ502" s="17"/>
      <c r="EA502" s="17"/>
      <c r="EB502" s="17"/>
      <c r="EC502" s="17"/>
      <c r="ED502" s="17"/>
      <c r="EE502" s="17"/>
      <c r="EF502" s="17"/>
      <c r="EG502" s="17"/>
      <c r="EH502" s="17"/>
      <c r="EI502" s="17"/>
      <c r="EJ502" s="17"/>
      <c r="EK502" s="17"/>
      <c r="EL502" s="17"/>
      <c r="EM502" s="17"/>
      <c r="EN502" s="17"/>
      <c r="EO502" s="17"/>
      <c r="EP502" s="17"/>
      <c r="EQ502" s="17"/>
      <c r="ER502" s="17"/>
      <c r="ES502" s="17"/>
      <c r="ET502" s="17"/>
      <c r="EU502" s="17"/>
      <c r="EV502" s="17"/>
      <c r="EW502" s="17"/>
      <c r="EX502" s="17"/>
      <c r="EY502" s="17"/>
      <c r="EZ502" s="17"/>
      <c r="FA502" s="17"/>
      <c r="FB502" s="17"/>
      <c r="FC502" s="17"/>
      <c r="FD502" s="17"/>
      <c r="FE502" s="17"/>
      <c r="FF502" s="17"/>
      <c r="FG502" s="17"/>
      <c r="FH502" s="17"/>
    </row>
    <row r="503">
      <c r="A503" s="32" t="s">
        <v>17</v>
      </c>
      <c r="B503" s="32" t="s">
        <v>87</v>
      </c>
      <c r="C503" s="32" t="s">
        <v>12</v>
      </c>
      <c r="D503" s="16">
        <f t="shared" si="1"/>
        <v>1267.849608</v>
      </c>
      <c r="E503" s="17"/>
      <c r="F503" s="18" t="str">
        <f>HYPERLINK("https://docs.google.com/spreadsheets/d/1UZjOxVI-HeHrjmKBxLuA42j7lwExL8yA", "RE-885.3078875000022")</f>
        <v>RE-885.3078875000022</v>
      </c>
      <c r="G503" s="18" t="str">
        <f>HYPERLINK("https://docs.google.com/spreadsheets/d/1um7U9RxcscahUBzjp4Qbw5fhdnEaJCLN", "RE-2.95205")</f>
        <v>RE-2.95205</v>
      </c>
      <c r="H503" s="18" t="str">
        <f>HYPERLINK("https://docs.google.com/spreadsheets/d/10EOPTOeW-AQ4GcLJnou5YxuDP9bI-EMk", "RE-154.27072083333334")</f>
        <v>RE-154.27072083333334</v>
      </c>
      <c r="I503" s="18" t="str">
        <f>HYPERLINK("https://docs.google.com/spreadsheets/d/17f7ozOpdYMtQd9DuehSgyNeb6s7bXW3d", "RE-0.0")</f>
        <v>RE-0.0</v>
      </c>
      <c r="J503" s="18" t="str">
        <f>HYPERLINK("https://docs.google.com/spreadsheets/d/1SJTBMMfER0HE6004HP8mHMIkThDi8WmZ", "RE-917.9892854166686")</f>
        <v>RE-917.9892854166686</v>
      </c>
      <c r="K503" s="18" t="str">
        <f>HYPERLINK("https://docs.google.com/spreadsheets/d/15awaNYUKsrAf4rYglZN5iviDWn89UgHj", "RE-1.06418125")</f>
        <v>RE-1.06418125</v>
      </c>
      <c r="L503" s="18">
        <f>HYPERLINK("https://docs.google.com/spreadsheets/d/1HIenicYHJYGszKJZ0JVL53RpTkkZbvmd", 341.849814583333)</f>
        <v>341.8498146</v>
      </c>
      <c r="M503" s="18" t="str">
        <f>HYPERLINK("https://docs.google.com/spreadsheets/d/1iF1FpS8fDNDWEyDlZZAk_2rFckvPs4m8", "RE-2.0304010416666665")</f>
        <v>RE-2.0304010416666665</v>
      </c>
      <c r="N503" s="18" t="str">
        <f>HYPERLINK("https://docs.google.com/spreadsheets/d/1CYRNXM-HOqlWOtkXmIm9OkxcZ0uYXg3V", "RE-1747.6490447916658")</f>
        <v>RE-1747.6490447916658</v>
      </c>
      <c r="O503" s="18" t="str">
        <f>HYPERLINK("https://docs.google.com/spreadsheets/d/1Cf8jggxg9fKz4XIe1jz6lzSwPVNa9AQJ", "RE-3.506283333333333")</f>
        <v>RE-3.506283333333333</v>
      </c>
      <c r="P503" s="18">
        <f>HYPERLINK("https://docs.google.com/spreadsheets/d/dummy", 271.115441666666)</f>
        <v>271.1154417</v>
      </c>
      <c r="Q503" s="18" t="str">
        <f>HYPERLINK("https://docs.google.com/spreadsheets/d/1EgLzXEc58wITNqJmrAaTlRPyPTEsSzi7", "RE-12.412616666666661")</f>
        <v>RE-12.412616666666661</v>
      </c>
      <c r="R503" s="18">
        <f>HYPERLINK("https://docs.google.com/spreadsheets/d/1JKuhY-3bhmZFXB19CGHmeoW1o4fYMoPf", 396.332222916666)</f>
        <v>396.3322229</v>
      </c>
      <c r="S503" s="18" t="str">
        <f>HYPERLINK("https://docs.google.com/spreadsheets/d/1dAnzeAdbvX7j4xPRPuWqpKvWpjRjaf3m", "RE-5.181977083333334")</f>
        <v>RE-5.181977083333334</v>
      </c>
      <c r="T503" s="18">
        <f>HYPERLINK("https://docs.google.com/spreadsheets/d/1c3MOtUWOv4b6NqSMLO0KA-kiUJtLaO5l", 258.552129166666)</f>
        <v>258.5521292</v>
      </c>
      <c r="U503" s="18" t="str">
        <f>HYPERLINK("https://docs.google.com/spreadsheets/d/1shBmDWHg5UTusTXsstX-gwXwvynKw0v5", "RE-6.08833125")</f>
        <v>RE-6.08833125</v>
      </c>
      <c r="V503" s="18" t="str">
        <f>HYPERLINK("https://docs.google.com/spreadsheets/d/1eFoDMz16VMFfUu1ElMcAwh3KgruOfiHj", "RE-0.16081666666666666")</f>
        <v>RE-0.16081666666666666</v>
      </c>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c r="DE503" s="17"/>
      <c r="DF503" s="17"/>
      <c r="DG503" s="17"/>
      <c r="DH503" s="17"/>
      <c r="DI503" s="17"/>
      <c r="DJ503" s="17"/>
      <c r="DK503" s="17"/>
      <c r="DL503" s="17"/>
      <c r="DM503" s="17"/>
      <c r="DN503" s="17"/>
      <c r="DO503" s="17"/>
      <c r="DP503" s="17"/>
      <c r="DQ503" s="17"/>
      <c r="DR503" s="17"/>
      <c r="DS503" s="17"/>
      <c r="DT503" s="17"/>
      <c r="DU503" s="17"/>
      <c r="DV503" s="17"/>
      <c r="DW503" s="17"/>
      <c r="DX503" s="17"/>
      <c r="DY503" s="17"/>
      <c r="DZ503" s="17"/>
      <c r="EA503" s="17"/>
      <c r="EB503" s="17"/>
      <c r="EC503" s="17"/>
      <c r="ED503" s="17"/>
      <c r="EE503" s="17"/>
      <c r="EF503" s="17"/>
      <c r="EG503" s="17"/>
      <c r="EH503" s="17"/>
      <c r="EI503" s="17"/>
      <c r="EJ503" s="17"/>
      <c r="EK503" s="17"/>
      <c r="EL503" s="17"/>
      <c r="EM503" s="17"/>
      <c r="EN503" s="17"/>
      <c r="EO503" s="17"/>
      <c r="EP503" s="17"/>
      <c r="EQ503" s="17"/>
      <c r="ER503" s="17"/>
      <c r="ES503" s="17"/>
      <c r="ET503" s="17"/>
      <c r="EU503" s="17"/>
      <c r="EV503" s="17"/>
      <c r="EW503" s="17"/>
      <c r="EX503" s="17"/>
      <c r="EY503" s="17"/>
      <c r="EZ503" s="17"/>
      <c r="FA503" s="17"/>
      <c r="FB503" s="17"/>
      <c r="FC503" s="17"/>
      <c r="FD503" s="17"/>
      <c r="FE503" s="17"/>
      <c r="FF503" s="17"/>
      <c r="FG503" s="17"/>
      <c r="FH503" s="17"/>
    </row>
    <row r="504">
      <c r="A504" s="32" t="s">
        <v>17</v>
      </c>
      <c r="B504" s="32" t="s">
        <v>87</v>
      </c>
      <c r="C504" s="32" t="s">
        <v>13</v>
      </c>
      <c r="D504" s="16">
        <f t="shared" si="1"/>
        <v>1215.665</v>
      </c>
      <c r="E504" s="17"/>
      <c r="F504" s="18" t="str">
        <f>HYPERLINK("https://docs.google.com/spreadsheets/d/1GUT1GvS1R9X6rCpuK3CU8ul9viqbZb6D?usp=share_link", "RE-867.563")</f>
        <v>RE-867.563</v>
      </c>
      <c r="G504" s="18" t="str">
        <f>HYPERLINK("https://docs.google.com/spreadsheets/d/1urF_eoJ6ggHYFd_wrmevK3AL1BcRZLEn?usp=share_link", "RE-2.88712")</f>
        <v>RE-2.88712</v>
      </c>
      <c r="H504" s="18" t="str">
        <f>HYPERLINK("https://docs.google.com/spreadsheets/d/1qc9QbfQzJDf8wI1HaTyxaYjeqn-IyXSk?usp=share_link", "RE-151.306")</f>
        <v>RE-151.306</v>
      </c>
      <c r="I504" s="17"/>
      <c r="J504" s="18" t="str">
        <f>HYPERLINK("https://docs.google.com/spreadsheets/d/1YZqYRPxegyqFnZdu4P0rqXSI_ScS_rxb?usp=share_link", "RE-905.369")</f>
        <v>RE-905.369</v>
      </c>
      <c r="K504" s="18" t="str">
        <f>HYPERLINK("https://docs.google.com/spreadsheets/d/16rEPFVuSGld1qnYvFs8aP3NQjKGgqq6X?usp=share_link", "RE-1.06082")</f>
        <v>RE-1.06082</v>
      </c>
      <c r="L504" s="18">
        <f>HYPERLINK("https://docs.google.com/spreadsheets/d/18_sb0g_GF_4bsrW1NhgJDFFmVVueDNDH?usp=share_link", 328.554)</f>
        <v>328.554</v>
      </c>
      <c r="M504" s="18" t="str">
        <f>HYPERLINK("https://docs.google.com/spreadsheets/d/1mozMSxSkE3R1gXCmYtaro27K8Rtxxaa0?usp=share_link", "RE-1.95627")</f>
        <v>RE-1.95627</v>
      </c>
      <c r="N504" s="18" t="str">
        <f>HYPERLINK("https://docs.google.com/spreadsheets/d/1Yp_HOV1IQZFT3QRWEEPfkNhyLk6kOdtT?usp=share_link", "RE-1692.32")</f>
        <v>RE-1692.32</v>
      </c>
      <c r="O504" s="18" t="str">
        <f>HYPERLINK("https://docs.google.com/spreadsheets/d/1l_IoUWFAJPD9rxdHqhbhMKA4AWYkxi8w?usp=share_link", "RE-3.41295")</f>
        <v>RE-3.41295</v>
      </c>
      <c r="P504" s="18">
        <f>HYPERLINK("https://docs.google.com/spreadsheets/d/1f0N6WORasxoeNXM4a2vOnZ5Sa7LqpCb6?usp=share_link", 259.466)</f>
        <v>259.466</v>
      </c>
      <c r="Q504" s="18" t="str">
        <f>HYPERLINK("https://docs.google.com/spreadsheets/d/1J5VJ3T4CXvY5ervLVzw7LMjPxKE1V5YX?usp=share_link", "RE-11.9446")</f>
        <v>RE-11.9446</v>
      </c>
      <c r="R504" s="18">
        <f>HYPERLINK("https://docs.google.com/spreadsheets/d/1dLbxzkOAhAMB9WOzqNxfdkiYJhABdssr?usp=share_link", 378.085)</f>
        <v>378.085</v>
      </c>
      <c r="S504" s="18" t="str">
        <f>HYPERLINK("https://docs.google.com/spreadsheets/d/1dFTHZACTT4QUIGhbboo7NPyKWTW1T4XU?usp=share_link", "RE-4.86028")</f>
        <v>RE-4.86028</v>
      </c>
      <c r="T504" s="18">
        <f>HYPERLINK("https://docs.google.com/spreadsheets/d/1VWEjRcdvV5Yy-Yn69r3AI_UE2ZSIULq-?usp=share_link", 249.56)</f>
        <v>249.56</v>
      </c>
      <c r="U504" s="18" t="str">
        <f>HYPERLINK("https://docs.google.com/spreadsheets/d/1GTs2WBu51UCm-l9u1D4sr8K-4sEomslI?usp=share_link", "RE-5.58223")</f>
        <v>RE-5.58223</v>
      </c>
      <c r="V504" s="18" t="str">
        <f>HYPERLINK("https://docs.google.com/spreadsheets/d/1EGV0vjuTTfLL838XshZu6kG7hSnKarsB?usp=share_link", "RE-0.159617")</f>
        <v>RE-0.159617</v>
      </c>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c r="DE504" s="17"/>
      <c r="DF504" s="17"/>
      <c r="DG504" s="17"/>
      <c r="DH504" s="17"/>
      <c r="DI504" s="17"/>
      <c r="DJ504" s="17"/>
      <c r="DK504" s="17"/>
      <c r="DL504" s="17"/>
      <c r="DM504" s="17"/>
      <c r="DN504" s="17"/>
      <c r="DO504" s="17"/>
      <c r="DP504" s="17"/>
      <c r="DQ504" s="17"/>
      <c r="DR504" s="17"/>
      <c r="DS504" s="17"/>
      <c r="DT504" s="17"/>
      <c r="DU504" s="17"/>
      <c r="DV504" s="17"/>
      <c r="DW504" s="17"/>
      <c r="DX504" s="17"/>
      <c r="DY504" s="17"/>
      <c r="DZ504" s="17"/>
      <c r="EA504" s="17"/>
      <c r="EB504" s="17"/>
      <c r="EC504" s="17"/>
      <c r="ED504" s="17"/>
      <c r="EE504" s="17"/>
      <c r="EF504" s="17"/>
      <c r="EG504" s="17"/>
      <c r="EH504" s="17"/>
      <c r="EI504" s="17"/>
      <c r="EJ504" s="17"/>
      <c r="EK504" s="17"/>
      <c r="EL504" s="17"/>
      <c r="EM504" s="17"/>
      <c r="EN504" s="17"/>
      <c r="EO504" s="17"/>
      <c r="EP504" s="17"/>
      <c r="EQ504" s="17"/>
      <c r="ER504" s="17"/>
      <c r="ES504" s="17"/>
      <c r="ET504" s="17"/>
      <c r="EU504" s="17"/>
      <c r="EV504" s="17"/>
      <c r="EW504" s="17"/>
      <c r="EX504" s="17"/>
      <c r="EY504" s="17"/>
      <c r="EZ504" s="17"/>
      <c r="FA504" s="17"/>
      <c r="FB504" s="17"/>
      <c r="FC504" s="17"/>
      <c r="FD504" s="17"/>
      <c r="FE504" s="17"/>
      <c r="FF504" s="17"/>
      <c r="FG504" s="17"/>
      <c r="FH504" s="17"/>
    </row>
    <row r="505">
      <c r="A505" s="32" t="s">
        <v>17</v>
      </c>
      <c r="B505" s="32" t="s">
        <v>87</v>
      </c>
      <c r="C505" s="32" t="s">
        <v>14</v>
      </c>
      <c r="D505" s="16">
        <f t="shared" si="1"/>
        <v>1033.502</v>
      </c>
      <c r="E505" s="17"/>
      <c r="F505" s="18" t="str">
        <f>HYPERLINK("https://docs.google.com/spreadsheets/d/1Z7FZZCT5wB9ZbzEYVWGtXqihfi_IEQ1O?usp=share_link", "RE-747.171")</f>
        <v>RE-747.171</v>
      </c>
      <c r="G505" s="18" t="str">
        <f>HYPERLINK("https://docs.google.com/spreadsheets/d/1tgteZioEP79n2m0xoFvYtw6AynDThK4s?usp=share_link", "RE-2.88712")</f>
        <v>RE-2.88712</v>
      </c>
      <c r="H505" s="18" t="str">
        <f>HYPERLINK("https://docs.google.com/spreadsheets/d/1SFEfUPp9Y4ZtmLSqixL3yy06-Z0sjPsD?usp=share_link", "RE-127.731")</f>
        <v>RE-127.731</v>
      </c>
      <c r="I505" s="17"/>
      <c r="J505" s="18" t="str">
        <f>HYPERLINK("https://docs.google.com/spreadsheets/d/16X64EyUFS1vmNtpy-G4efRYC0U8cEKQH?usp=share_link", "RE-829.304")</f>
        <v>RE-829.304</v>
      </c>
      <c r="K505" s="18" t="str">
        <f>HYPERLINK("https://docs.google.com/spreadsheets/d/1xI63FSzaFZQ1_q3DzPs9Gv8qUqWax8fo?usp=share_link", "RE-1.06082")</f>
        <v>RE-1.06082</v>
      </c>
      <c r="L505" s="18">
        <f>HYPERLINK("https://docs.google.com/spreadsheets/d/1m_XYtdKfhxjEhfr05NBuN6RIJ__xAVDQ?usp=share_link", 277.889)</f>
        <v>277.889</v>
      </c>
      <c r="M505" s="18" t="str">
        <f>HYPERLINK("https://docs.google.com/spreadsheets/d/1hd6iJaufIvEaNN7L9kFfSRyJa0l4nJQ5?usp=share_link", "RE-1.95627")</f>
        <v>RE-1.95627</v>
      </c>
      <c r="N505" s="18" t="str">
        <f>HYPERLINK("https://docs.google.com/spreadsheets/d/1J4jf9wy9f9PVIIBWrFw6x9hZO2P_gTGd?usp=share_link", "RE-1502.46")</f>
        <v>RE-1502.46</v>
      </c>
      <c r="O505" s="18" t="str">
        <f>HYPERLINK("https://docs.google.com/spreadsheets/d/1HQXFAs9DxMOe3X4Rts2wrEemP_J8n15X?usp=share_link", "RE-3.41295")</f>
        <v>RE-3.41295</v>
      </c>
      <c r="P505" s="18">
        <f>HYPERLINK("https://docs.google.com/spreadsheets/d/1Vo4ZqE7XbQqpSN3VBI7s5XQ6LDg-7Iac?usp=share_link", 220.103)</f>
        <v>220.103</v>
      </c>
      <c r="Q505" s="18" t="str">
        <f>HYPERLINK("https://docs.google.com/spreadsheets/d/1p-tPg3JpK0t23wiqJGoJJflHYUn_MbFy?usp=share_link", "RE-11.4669")</f>
        <v>RE-11.4669</v>
      </c>
      <c r="R505" s="18">
        <f>HYPERLINK("https://docs.google.com/spreadsheets/d/1egdURe6gF7pwf1avbZpDnpqJv-0Dw5Ir?usp=share_link", 324.297)</f>
        <v>324.297</v>
      </c>
      <c r="S505" s="18" t="str">
        <f>HYPERLINK("https://docs.google.com/spreadsheets/d/18OVVZiWOAOAD6mo9lB-rcrC2ToTOcl3E?usp=share_link", "RE-4.40298")</f>
        <v>RE-4.40298</v>
      </c>
      <c r="T505" s="18">
        <f>HYPERLINK("https://docs.google.com/spreadsheets/d/1hopdD9YC5hLTmQhsr7Ag7HqcehiPgOrG?usp=share_link", 211.213)</f>
        <v>211.213</v>
      </c>
      <c r="U505" s="18" t="str">
        <f>HYPERLINK("https://docs.google.com/spreadsheets/d/12QC8gp5uXMwY4nn1NGcbzny2Au24fQQD?usp=share_link", "RE-4.98457")</f>
        <v>RE-4.98457</v>
      </c>
      <c r="V505" s="18" t="str">
        <f>HYPERLINK("https://docs.google.com/spreadsheets/d/1gcTTYkqMhwey4eVDgKA9lV6PcQDphDcK?usp=share_link", "RE-0.159617")</f>
        <v>RE-0.159617</v>
      </c>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c r="DE505" s="17"/>
      <c r="DF505" s="17"/>
      <c r="DG505" s="17"/>
      <c r="DH505" s="17"/>
      <c r="DI505" s="17"/>
      <c r="DJ505" s="17"/>
      <c r="DK505" s="17"/>
      <c r="DL505" s="17"/>
      <c r="DM505" s="17"/>
      <c r="DN505" s="17"/>
      <c r="DO505" s="17"/>
      <c r="DP505" s="17"/>
      <c r="DQ505" s="17"/>
      <c r="DR505" s="17"/>
      <c r="DS505" s="17"/>
      <c r="DT505" s="17"/>
      <c r="DU505" s="17"/>
      <c r="DV505" s="17"/>
      <c r="DW505" s="17"/>
      <c r="DX505" s="17"/>
      <c r="DY505" s="17"/>
      <c r="DZ505" s="17"/>
      <c r="EA505" s="17"/>
      <c r="EB505" s="17"/>
      <c r="EC505" s="17"/>
      <c r="ED505" s="17"/>
      <c r="EE505" s="17"/>
      <c r="EF505" s="17"/>
      <c r="EG505" s="17"/>
      <c r="EH505" s="17"/>
      <c r="EI505" s="17"/>
      <c r="EJ505" s="17"/>
      <c r="EK505" s="17"/>
      <c r="EL505" s="17"/>
      <c r="EM505" s="17"/>
      <c r="EN505" s="17"/>
      <c r="EO505" s="17"/>
      <c r="EP505" s="17"/>
      <c r="EQ505" s="17"/>
      <c r="ER505" s="17"/>
      <c r="ES505" s="17"/>
      <c r="ET505" s="17"/>
      <c r="EU505" s="17"/>
      <c r="EV505" s="17"/>
      <c r="EW505" s="17"/>
      <c r="EX505" s="17"/>
      <c r="EY505" s="17"/>
      <c r="EZ505" s="17"/>
      <c r="FA505" s="17"/>
      <c r="FB505" s="17"/>
      <c r="FC505" s="17"/>
      <c r="FD505" s="17"/>
      <c r="FE505" s="17"/>
      <c r="FF505" s="17"/>
      <c r="FG505" s="17"/>
      <c r="FH505" s="17"/>
    </row>
    <row r="506">
      <c r="A506" s="27" t="s">
        <v>17</v>
      </c>
      <c r="B506" s="27" t="s">
        <v>87</v>
      </c>
      <c r="C506" s="27" t="s">
        <v>15</v>
      </c>
      <c r="D506" s="28">
        <f t="shared" si="1"/>
        <v>1215.284</v>
      </c>
      <c r="E506" s="33"/>
      <c r="F506" s="34" t="str">
        <f>HYPERLINK("https://docs.google.com/spreadsheets/d/1dITu8MO4mzgSprzMIN8aDN7b-oHkk4LF?usp=share_link", "RE-867.563")</f>
        <v>RE-867.563</v>
      </c>
      <c r="G506" s="34" t="str">
        <f>HYPERLINK("https://docs.google.com/spreadsheets/d/1syvv9ZkfCbgL7EnjSj7DWCJH0dGX_24B?usp=share_link", "RE-2.88712")</f>
        <v>RE-2.88712</v>
      </c>
      <c r="H506" s="34" t="str">
        <f>HYPERLINK("https://docs.google.com/spreadsheets/d/1IMxqu1baZmHKlcSTqe5KPfYSdZSgQ26P?usp=share_link", "RE-151.306")</f>
        <v>RE-151.306</v>
      </c>
      <c r="I506" s="33"/>
      <c r="J506" s="34" t="str">
        <f>HYPERLINK("https://docs.google.com/spreadsheets/d/1qTXp9ziHfS8nmH3xxxZQFnA1TAtPbYDo?usp=share_link", "RE-905.369")</f>
        <v>RE-905.369</v>
      </c>
      <c r="K506" s="34" t="str">
        <f>HYPERLINK("https://docs.google.com/spreadsheets/d/1I65YkRm3rpJR93W6FR-xNiYJhCptg60m?usp=share_link", "RE-1.06082")</f>
        <v>RE-1.06082</v>
      </c>
      <c r="L506" s="34">
        <f>HYPERLINK("https://docs.google.com/spreadsheets/d/1CY48VCYzE4FOIymbuPfdloSYOcihqB-i?usp=share_link", 328.554)</f>
        <v>328.554</v>
      </c>
      <c r="M506" s="34" t="str">
        <f>HYPERLINK("https://docs.google.com/spreadsheets/d/1LGwfyehcE0C-cQdCKWW7EjBWByh6K3tt?usp=share_link", "RE-1.95627")</f>
        <v>RE-1.95627</v>
      </c>
      <c r="N506" s="34" t="str">
        <f>HYPERLINK("https://docs.google.com/spreadsheets/d/1VOYjNDVdh9_i43QVWMEXGYbaf8gNkHEI?usp=share_link", "RE-1692.32")</f>
        <v>RE-1692.32</v>
      </c>
      <c r="O506" s="34" t="str">
        <f>HYPERLINK("https://docs.google.com/spreadsheets/d/1ybOPPkaOA933TNw3u97CSdIK4xNJ9njk?usp=share_link", "RE-3.41295")</f>
        <v>RE-3.41295</v>
      </c>
      <c r="P506" s="34">
        <f>HYPERLINK("https://docs.google.com/spreadsheets/d/1Mayno7T-_MgO0zbDbI8_g2nKyMp-1RxN?usp=share_link", 259.466)</f>
        <v>259.466</v>
      </c>
      <c r="Q506" s="34" t="str">
        <f>HYPERLINK("https://docs.google.com/spreadsheets/d/18u4h4W-KJ282v_MhPkpA5MC_NZmcOCkv?usp=share_link", "RE-11.9446")</f>
        <v>RE-11.9446</v>
      </c>
      <c r="R506" s="34">
        <f>HYPERLINK("https://docs.google.com/spreadsheets/d/126db6rl2g-aCBfZ_M5knUFCU4YLoucJz?usp=share_link", 377.704)</f>
        <v>377.704</v>
      </c>
      <c r="S506" s="34" t="str">
        <f>HYPERLINK("https://docs.google.com/spreadsheets/d/1G0fy6Fj6ll1_RN4kRRwB44LStvYZk97n?usp=share_link", "RE-4.86028")</f>
        <v>RE-4.86028</v>
      </c>
      <c r="T506" s="34">
        <f>HYPERLINK("https://docs.google.com/spreadsheets/d/1B3FIKr5u2cfrJIqJCW9fycQqnI9FqF5M?usp=share_link", 249.56)</f>
        <v>249.56</v>
      </c>
      <c r="U506" s="34" t="str">
        <f>HYPERLINK("https://docs.google.com/spreadsheets/d/1NyNd89picYePo-7WMQv7XebdUS7fdlU8?usp=share_link", "RE-5.58223")</f>
        <v>RE-5.58223</v>
      </c>
      <c r="V506" s="34" t="str">
        <f>HYPERLINK("https://docs.google.com/spreadsheets/d/1hHRqZi6K-zWZQJsEIExWldxVRklQsrYa?usp=share_link", "RE-0.159617")</f>
        <v>RE-0.159617</v>
      </c>
      <c r="W506" s="33"/>
      <c r="X506" s="33"/>
      <c r="Y506" s="33"/>
      <c r="Z506" s="33"/>
      <c r="AA506" s="33"/>
      <c r="AB506" s="33"/>
      <c r="AC506" s="33"/>
      <c r="AD506" s="33"/>
      <c r="AE506" s="33"/>
      <c r="AF506" s="33"/>
      <c r="AG506" s="33"/>
      <c r="AH506" s="33"/>
      <c r="AI506" s="33"/>
      <c r="AJ506" s="33"/>
      <c r="AK506" s="33"/>
      <c r="AL506" s="33"/>
      <c r="AM506" s="33"/>
      <c r="AN506" s="33"/>
      <c r="AO506" s="33"/>
      <c r="AP506" s="33"/>
      <c r="AQ506" s="33"/>
      <c r="AR506" s="33"/>
      <c r="AS506" s="33"/>
      <c r="AT506" s="33"/>
      <c r="AU506" s="33"/>
      <c r="AV506" s="33"/>
      <c r="AW506" s="33"/>
      <c r="AX506" s="33"/>
      <c r="AY506" s="33"/>
      <c r="AZ506" s="33"/>
      <c r="BA506" s="33"/>
      <c r="BB506" s="33"/>
      <c r="BC506" s="33"/>
      <c r="BD506" s="33"/>
      <c r="BE506" s="33"/>
      <c r="BF506" s="33"/>
      <c r="BG506" s="33"/>
      <c r="BH506" s="33"/>
      <c r="BI506" s="33"/>
      <c r="BJ506" s="33"/>
      <c r="BK506" s="33"/>
      <c r="BL506" s="33"/>
      <c r="BM506" s="33"/>
      <c r="BN506" s="33"/>
      <c r="BO506" s="33"/>
      <c r="BP506" s="33"/>
      <c r="BQ506" s="33"/>
      <c r="BR506" s="33"/>
      <c r="BS506" s="33"/>
      <c r="BT506" s="33"/>
      <c r="BU506" s="33"/>
      <c r="BV506" s="33"/>
      <c r="BW506" s="33"/>
      <c r="BX506" s="33"/>
      <c r="BY506" s="33"/>
      <c r="BZ506" s="33"/>
      <c r="CA506" s="33"/>
      <c r="CB506" s="33"/>
      <c r="CC506" s="33"/>
      <c r="CD506" s="33"/>
      <c r="CE506" s="33"/>
      <c r="CF506" s="33"/>
      <c r="CG506" s="33"/>
      <c r="CH506" s="33"/>
      <c r="CI506" s="33"/>
      <c r="CJ506" s="33"/>
      <c r="CK506" s="33"/>
      <c r="CL506" s="33"/>
      <c r="CM506" s="33"/>
      <c r="CN506" s="33"/>
      <c r="CO506" s="33"/>
      <c r="CP506" s="33"/>
      <c r="CQ506" s="33"/>
      <c r="CR506" s="33"/>
      <c r="CS506" s="33"/>
      <c r="CT506" s="33"/>
      <c r="CU506" s="33"/>
      <c r="CV506" s="33"/>
      <c r="CW506" s="33"/>
      <c r="CX506" s="33"/>
      <c r="CY506" s="33"/>
      <c r="CZ506" s="33"/>
      <c r="DA506" s="33"/>
      <c r="DB506" s="33"/>
      <c r="DC506" s="33"/>
      <c r="DD506" s="33"/>
      <c r="DE506" s="33"/>
      <c r="DF506" s="33"/>
      <c r="DG506" s="33"/>
      <c r="DH506" s="33"/>
      <c r="DI506" s="33"/>
      <c r="DJ506" s="33"/>
      <c r="DK506" s="33"/>
      <c r="DL506" s="33"/>
      <c r="DM506" s="33"/>
      <c r="DN506" s="33"/>
      <c r="DO506" s="33"/>
      <c r="DP506" s="33"/>
      <c r="DQ506" s="33"/>
      <c r="DR506" s="33"/>
      <c r="DS506" s="33"/>
      <c r="DT506" s="33"/>
      <c r="DU506" s="33"/>
      <c r="DV506" s="33"/>
      <c r="DW506" s="33"/>
      <c r="DX506" s="33"/>
      <c r="DY506" s="33"/>
      <c r="DZ506" s="33"/>
      <c r="EA506" s="33"/>
      <c r="EB506" s="33"/>
      <c r="EC506" s="33"/>
      <c r="ED506" s="33"/>
      <c r="EE506" s="33"/>
      <c r="EF506" s="33"/>
      <c r="EG506" s="33"/>
      <c r="EH506" s="33"/>
      <c r="EI506" s="33"/>
      <c r="EJ506" s="33"/>
      <c r="EK506" s="33"/>
      <c r="EL506" s="33"/>
      <c r="EM506" s="33"/>
      <c r="EN506" s="33"/>
      <c r="EO506" s="33"/>
      <c r="EP506" s="33"/>
      <c r="EQ506" s="33"/>
      <c r="ER506" s="33"/>
      <c r="ES506" s="33"/>
      <c r="ET506" s="33"/>
      <c r="EU506" s="33"/>
      <c r="EV506" s="33"/>
      <c r="EW506" s="33"/>
      <c r="EX506" s="33"/>
      <c r="EY506" s="33"/>
      <c r="EZ506" s="33"/>
      <c r="FA506" s="33"/>
      <c r="FB506" s="33"/>
      <c r="FC506" s="33"/>
      <c r="FD506" s="33"/>
      <c r="FE506" s="33"/>
      <c r="FF506" s="33"/>
      <c r="FG506" s="33"/>
      <c r="FH506" s="33"/>
    </row>
    <row r="507">
      <c r="A507" s="30" t="s">
        <v>88</v>
      </c>
      <c r="B507" s="30" t="s">
        <v>89</v>
      </c>
      <c r="C507" s="31" t="str">
        <f>HYPERLINK("https://docs.google.com/spreadsheets/d/1qpq-Q09IN6upp0GQtxDokjlCQGfDY5i3/edit?usp=share_link&amp;ouid=106501987799020758802&amp;rtpof=true&amp;sd=true", "Raw Delivered")</f>
        <v>Raw Delivered</v>
      </c>
      <c r="D507" s="12">
        <f t="shared" si="1"/>
        <v>5659.137423</v>
      </c>
      <c r="E507" s="13"/>
      <c r="F507" s="14">
        <f>HYPERLINK("https://docs.google.com/spreadsheets/d/1_0A-L0-NOxjewA4PnuUXRv8yP8RMoXB0", 867.1098)</f>
        <v>867.1098</v>
      </c>
      <c r="G507" s="13"/>
      <c r="H507" s="14">
        <f>HYPERLINK("https://docs.google.com/spreadsheets/d/1-h6Z8nvWynzLU6mB6ljqqr8sxpx2b2vk", 37.6625875)</f>
        <v>37.6625875</v>
      </c>
      <c r="I507" s="13"/>
      <c r="J507" s="14">
        <f>HYPERLINK("https://docs.google.com/spreadsheets/d/1g2yCBaB6Db_wuvi0wTeinX_osr-IO4vQ", 469.190045833334)</f>
        <v>469.1900458</v>
      </c>
      <c r="K507" s="13"/>
      <c r="L507" s="14">
        <f t="shared" ref="L507:L508" si="254">HYPERLINK("https://docs.google.com/spreadsheets/d/1TFkWrOUY--pUobzeSq2ct1xokSb3aLbS", 373.395064583334)</f>
        <v>373.3950646</v>
      </c>
      <c r="M507" s="13"/>
      <c r="N507" s="14">
        <f>HYPERLINK("https://docs.google.com/spreadsheets/d/15ZcBxlqNPzyxH3LR7xJDdSTxiNzBTaW5", 1222.98887083333)</f>
        <v>1222.988871</v>
      </c>
      <c r="O507" s="13"/>
      <c r="P507" s="14">
        <f t="shared" ref="P507:P508" si="255">HYPERLINK("https://docs.google.com/spreadsheets/d/11S_KrDe-diSR9z-ahRpXKYUAdsb8Rd1r", 1132.88297395833)</f>
        <v>1132.882974</v>
      </c>
      <c r="Q507" s="13"/>
      <c r="R507" s="14">
        <f t="shared" ref="R507:R508" si="256">HYPERLINK("https://docs.google.com/spreadsheets/d/1Xo5gAUn5NfYKZ9JsyNFbewIvCaPmhCkj", 565.435323958332)</f>
        <v>565.435324</v>
      </c>
      <c r="S507" s="13"/>
      <c r="T507" s="14">
        <f t="shared" ref="T507:T508" si="257">HYPERLINK("https://docs.google.com/spreadsheets/d/1yCUn9lfYTAYTCwK0uIojP9afoLpCNUJe", 990.47275625)</f>
        <v>990.4727563</v>
      </c>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c r="FH507" s="13"/>
    </row>
    <row r="508">
      <c r="A508" s="32" t="s">
        <v>88</v>
      </c>
      <c r="B508" s="32" t="s">
        <v>89</v>
      </c>
      <c r="C508" s="32" t="s">
        <v>9</v>
      </c>
      <c r="D508" s="16">
        <f t="shared" si="1"/>
        <v>3062.186119</v>
      </c>
      <c r="E508" s="17"/>
      <c r="F508" s="18" t="str">
        <f>HYPERLINK("https://docs.google.com/spreadsheets/d/1_0A-L0-NOxjewA4PnuUXRv8yP8RMoXB0", "RE-867.1098000000001")</f>
        <v>RE-867.1098000000001</v>
      </c>
      <c r="G508" s="17"/>
      <c r="H508" s="18" t="str">
        <f>HYPERLINK("https://docs.google.com/spreadsheets/d/1-h6Z8nvWynzLU6mB6ljqqr8sxpx2b2vk", "RE-37.66258750000001")</f>
        <v>RE-37.66258750000001</v>
      </c>
      <c r="I508" s="17"/>
      <c r="J508" s="18" t="str">
        <f>HYPERLINK("https://docs.google.com/spreadsheets/d/1g2yCBaB6Db_wuvi0wTeinX_osr-IO4vQ", "RE-469.1900458333341")</f>
        <v>RE-469.1900458333341</v>
      </c>
      <c r="K508" s="17"/>
      <c r="L508" s="18">
        <f t="shared" si="254"/>
        <v>373.3950646</v>
      </c>
      <c r="M508" s="17"/>
      <c r="N508" s="18" t="str">
        <f>HYPERLINK("https://docs.google.com/spreadsheets/d/15ZcBxlqNPzyxH3LR7xJDdSTxiNzBTaW5", "RE-1222.9888708333324")</f>
        <v>RE-1222.9888708333324</v>
      </c>
      <c r="O508" s="17"/>
      <c r="P508" s="18">
        <f t="shared" si="255"/>
        <v>1132.882974</v>
      </c>
      <c r="Q508" s="17"/>
      <c r="R508" s="18">
        <f t="shared" si="256"/>
        <v>565.435324</v>
      </c>
      <c r="S508" s="17"/>
      <c r="T508" s="18">
        <f t="shared" si="257"/>
        <v>990.4727563</v>
      </c>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c r="DE508" s="17"/>
      <c r="DF508" s="17"/>
      <c r="DG508" s="17"/>
      <c r="DH508" s="17"/>
      <c r="DI508" s="17"/>
      <c r="DJ508" s="17"/>
      <c r="DK508" s="17"/>
      <c r="DL508" s="17"/>
      <c r="DM508" s="17"/>
      <c r="DN508" s="17"/>
      <c r="DO508" s="17"/>
      <c r="DP508" s="17"/>
      <c r="DQ508" s="17"/>
      <c r="DR508" s="17"/>
      <c r="DS508" s="17"/>
      <c r="DT508" s="17"/>
      <c r="DU508" s="17"/>
      <c r="DV508" s="17"/>
      <c r="DW508" s="17"/>
      <c r="DX508" s="17"/>
      <c r="DY508" s="17"/>
      <c r="DZ508" s="17"/>
      <c r="EA508" s="17"/>
      <c r="EB508" s="17"/>
      <c r="EC508" s="17"/>
      <c r="ED508" s="17"/>
      <c r="EE508" s="17"/>
      <c r="EF508" s="17"/>
      <c r="EG508" s="17"/>
      <c r="EH508" s="17"/>
      <c r="EI508" s="17"/>
      <c r="EJ508" s="17"/>
      <c r="EK508" s="17"/>
      <c r="EL508" s="17"/>
      <c r="EM508" s="17"/>
      <c r="EN508" s="17"/>
      <c r="EO508" s="17"/>
      <c r="EP508" s="17"/>
      <c r="EQ508" s="17"/>
      <c r="ER508" s="17"/>
      <c r="ES508" s="17"/>
      <c r="ET508" s="17"/>
      <c r="EU508" s="17"/>
      <c r="EV508" s="17"/>
      <c r="EW508" s="17"/>
      <c r="EX508" s="17"/>
      <c r="EY508" s="17"/>
      <c r="EZ508" s="17"/>
      <c r="FA508" s="17"/>
      <c r="FB508" s="17"/>
      <c r="FC508" s="17"/>
      <c r="FD508" s="17"/>
      <c r="FE508" s="17"/>
      <c r="FF508" s="17"/>
      <c r="FG508" s="17"/>
      <c r="FH508" s="17"/>
    </row>
    <row r="509">
      <c r="A509" s="32" t="s">
        <v>88</v>
      </c>
      <c r="B509" s="32" t="s">
        <v>89</v>
      </c>
      <c r="C509" s="32" t="s">
        <v>10</v>
      </c>
      <c r="D509" s="16">
        <f t="shared" si="1"/>
        <v>551.5374937</v>
      </c>
      <c r="E509" s="17"/>
      <c r="F509" s="17"/>
      <c r="G509" s="18">
        <f>HYPERLINK("https://docs.google.com/spreadsheets/d/1iaSpv35edp7LdVd-0RgJY50Ok9Um9nyt", 73.4052583333333)</f>
        <v>73.40525833</v>
      </c>
      <c r="H509" s="17"/>
      <c r="I509" s="18">
        <f>HYPERLINK("https://docs.google.com/spreadsheets/d/1TaPYCGh1DrtVb1DoE8J1Jai-YqphNrv5", 16.1690895833333)</f>
        <v>16.16908958</v>
      </c>
      <c r="J509" s="17"/>
      <c r="K509" s="18">
        <f>HYPERLINK("https://docs.google.com/spreadsheets/d/1qbLgjKGhG7HT_dlghlYDWQmHeRCFL99h", 41.0133395833333)</f>
        <v>41.01333958</v>
      </c>
      <c r="L509" s="17"/>
      <c r="M509" s="18">
        <f>HYPERLINK("https://docs.google.com/spreadsheets/d/1p6_P7-Mz7WFWdFhfCRI_I6aq0zHIIumi", 28.2547864583333)</f>
        <v>28.25478646</v>
      </c>
      <c r="N509" s="17"/>
      <c r="O509" s="18">
        <f>HYPERLINK("https://docs.google.com/spreadsheets/d/1RJvaAVAv_SwPTft4_NkORkQI2LYBreap", 163.196254166666)</f>
        <v>163.1962542</v>
      </c>
      <c r="P509" s="17"/>
      <c r="Q509" s="18">
        <f>HYPERLINK("https://docs.google.com/spreadsheets/d/1DWkNzwn1GS7rL3XienTBJ3MMtDMzjbav", 69.6184052083333)</f>
        <v>69.61840521</v>
      </c>
      <c r="R509" s="17"/>
      <c r="S509" s="18">
        <f>HYPERLINK("https://docs.google.com/spreadsheets/d/1F1Zp-D73z9uE1v6SiksKmZWuyBU4fdF4", 50.5167812499999)</f>
        <v>50.51678125</v>
      </c>
      <c r="T509" s="17"/>
      <c r="U509" s="18">
        <f>HYPERLINK("https://docs.google.com/spreadsheets/d/1EzEgUTMVl3H7XIibboSX7AAbDV3MTV3e", 107.096132291666)</f>
        <v>107.0961323</v>
      </c>
      <c r="V509" s="18">
        <f>HYPERLINK("https://docs.google.com/spreadsheets/d/1g23D-0J8qH7w_a1aK-ef959EtgGWAzzr", 2.26744687499999)</f>
        <v>2.267446875</v>
      </c>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c r="DE509" s="17"/>
      <c r="DF509" s="17"/>
      <c r="DG509" s="17"/>
      <c r="DH509" s="17"/>
      <c r="DI509" s="17"/>
      <c r="DJ509" s="17"/>
      <c r="DK509" s="17"/>
      <c r="DL509" s="17"/>
      <c r="DM509" s="17"/>
      <c r="DN509" s="17"/>
      <c r="DO509" s="17"/>
      <c r="DP509" s="17"/>
      <c r="DQ509" s="17"/>
      <c r="DR509" s="17"/>
      <c r="DS509" s="17"/>
      <c r="DT509" s="17"/>
      <c r="DU509" s="17"/>
      <c r="DV509" s="17"/>
      <c r="DW509" s="17"/>
      <c r="DX509" s="17"/>
      <c r="DY509" s="17"/>
      <c r="DZ509" s="17"/>
      <c r="EA509" s="17"/>
      <c r="EB509" s="17"/>
      <c r="EC509" s="17"/>
      <c r="ED509" s="17"/>
      <c r="EE509" s="17"/>
      <c r="EF509" s="17"/>
      <c r="EG509" s="17"/>
      <c r="EH509" s="17"/>
      <c r="EI509" s="17"/>
      <c r="EJ509" s="17"/>
      <c r="EK509" s="17"/>
      <c r="EL509" s="17"/>
      <c r="EM509" s="17"/>
      <c r="EN509" s="17"/>
      <c r="EO509" s="17"/>
      <c r="EP509" s="17"/>
      <c r="EQ509" s="17"/>
      <c r="ER509" s="17"/>
      <c r="ES509" s="17"/>
      <c r="ET509" s="17"/>
      <c r="EU509" s="17"/>
      <c r="EV509" s="17"/>
      <c r="EW509" s="17"/>
      <c r="EX509" s="17"/>
      <c r="EY509" s="17"/>
      <c r="EZ509" s="17"/>
      <c r="FA509" s="17"/>
      <c r="FB509" s="17"/>
      <c r="FC509" s="17"/>
      <c r="FD509" s="17"/>
      <c r="FE509" s="17"/>
      <c r="FF509" s="17"/>
      <c r="FG509" s="17"/>
      <c r="FH509" s="17"/>
    </row>
    <row r="510">
      <c r="A510" s="32" t="s">
        <v>88</v>
      </c>
      <c r="B510" s="32" t="s">
        <v>89</v>
      </c>
      <c r="C510" s="32" t="s">
        <v>11</v>
      </c>
      <c r="D510" s="16">
        <f t="shared" si="1"/>
        <v>0</v>
      </c>
      <c r="E510" s="17"/>
      <c r="F510" s="17"/>
      <c r="G510" s="18" t="str">
        <f>HYPERLINK("https://docs.google.com/spreadsheets/d/1iaSpv35edp7LdVd-0RgJY50Ok9Um9nyt", "RE-73.4052583333333")</f>
        <v>RE-73.4052583333333</v>
      </c>
      <c r="H510" s="17"/>
      <c r="I510" s="18" t="str">
        <f>HYPERLINK("https://docs.google.com/spreadsheets/d/1TaPYCGh1DrtVb1DoE8J1Jai-YqphNrv5", "RE-16.16908958333333")</f>
        <v>RE-16.16908958333333</v>
      </c>
      <c r="J510" s="17"/>
      <c r="K510" s="18" t="str">
        <f>HYPERLINK("https://docs.google.com/spreadsheets/d/1qbLgjKGhG7HT_dlghlYDWQmHeRCFL99h", "RE-41.01333958333332")</f>
        <v>RE-41.01333958333332</v>
      </c>
      <c r="L510" s="17"/>
      <c r="M510" s="18" t="str">
        <f>HYPERLINK("https://docs.google.com/spreadsheets/d/1p6_P7-Mz7WFWdFhfCRI_I6aq0zHIIumi", "RE-28.254786458333328")</f>
        <v>RE-28.254786458333328</v>
      </c>
      <c r="N510" s="17"/>
      <c r="O510" s="18" t="str">
        <f>HYPERLINK("https://docs.google.com/spreadsheets/d/1RJvaAVAv_SwPTft4_NkORkQI2LYBreap", "RE-163.1962541666667")</f>
        <v>RE-163.1962541666667</v>
      </c>
      <c r="P510" s="17"/>
      <c r="Q510" s="18" t="str">
        <f>HYPERLINK("https://docs.google.com/spreadsheets/d/1DWkNzwn1GS7rL3XienTBJ3MMtDMzjbav", "RE-69.61840520833333")</f>
        <v>RE-69.61840520833333</v>
      </c>
      <c r="R510" s="17"/>
      <c r="S510" s="18" t="str">
        <f>HYPERLINK("https://docs.google.com/spreadsheets/d/1F1Zp-D73z9uE1v6SiksKmZWuyBU4fdF4", "RE-50.51678124999998")</f>
        <v>RE-50.51678124999998</v>
      </c>
      <c r="T510" s="17"/>
      <c r="U510" s="18" t="str">
        <f>HYPERLINK("https://docs.google.com/spreadsheets/d/1EzEgUTMVl3H7XIibboSX7AAbDV3MTV3e", "RE-107.09613229166659")</f>
        <v>RE-107.09613229166659</v>
      </c>
      <c r="V510" s="18" t="str">
        <f>HYPERLINK("https://docs.google.com/spreadsheets/d/1g23D-0J8qH7w_a1aK-ef959EtgGWAzzr", "RE-2.2674468749999996")</f>
        <v>RE-2.2674468749999996</v>
      </c>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c r="DE510" s="17"/>
      <c r="DF510" s="17"/>
      <c r="DG510" s="17"/>
      <c r="DH510" s="17"/>
      <c r="DI510" s="17"/>
      <c r="DJ510" s="17"/>
      <c r="DK510" s="17"/>
      <c r="DL510" s="17"/>
      <c r="DM510" s="17"/>
      <c r="DN510" s="17"/>
      <c r="DO510" s="17"/>
      <c r="DP510" s="17"/>
      <c r="DQ510" s="17"/>
      <c r="DR510" s="17"/>
      <c r="DS510" s="17"/>
      <c r="DT510" s="17"/>
      <c r="DU510" s="17"/>
      <c r="DV510" s="17"/>
      <c r="DW510" s="17"/>
      <c r="DX510" s="17"/>
      <c r="DY510" s="17"/>
      <c r="DZ510" s="17"/>
      <c r="EA510" s="17"/>
      <c r="EB510" s="17"/>
      <c r="EC510" s="17"/>
      <c r="ED510" s="17"/>
      <c r="EE510" s="17"/>
      <c r="EF510" s="17"/>
      <c r="EG510" s="17"/>
      <c r="EH510" s="17"/>
      <c r="EI510" s="17"/>
      <c r="EJ510" s="17"/>
      <c r="EK510" s="17"/>
      <c r="EL510" s="17"/>
      <c r="EM510" s="17"/>
      <c r="EN510" s="17"/>
      <c r="EO510" s="17"/>
      <c r="EP510" s="17"/>
      <c r="EQ510" s="17"/>
      <c r="ER510" s="17"/>
      <c r="ES510" s="17"/>
      <c r="ET510" s="17"/>
      <c r="EU510" s="17"/>
      <c r="EV510" s="17"/>
      <c r="EW510" s="17"/>
      <c r="EX510" s="17"/>
      <c r="EY510" s="17"/>
      <c r="EZ510" s="17"/>
      <c r="FA510" s="17"/>
      <c r="FB510" s="17"/>
      <c r="FC510" s="17"/>
      <c r="FD510" s="17"/>
      <c r="FE510" s="17"/>
      <c r="FF510" s="17"/>
      <c r="FG510" s="17"/>
      <c r="FH510" s="17"/>
    </row>
    <row r="511">
      <c r="A511" s="32" t="s">
        <v>88</v>
      </c>
      <c r="B511" s="32" t="s">
        <v>89</v>
      </c>
      <c r="C511" s="32" t="s">
        <v>12</v>
      </c>
      <c r="D511" s="16">
        <f t="shared" si="1"/>
        <v>2886.840233</v>
      </c>
      <c r="E511" s="17"/>
      <c r="F511" s="18" t="str">
        <f>HYPERLINK("https://docs.google.com/spreadsheets/d/1v-MiIKQhCLMBiTrwA7s_JNdNgy6U-8I1", "RE-715.089489583334")</f>
        <v>RE-715.089489583334</v>
      </c>
      <c r="G511" s="18" t="str">
        <f>HYPERLINK("https://docs.google.com/spreadsheets/d/12JiSAiyEnTH66ull2t2JHVlPeN7E0xh6", "RE-3.4149312500000004")</f>
        <v>RE-3.4149312500000004</v>
      </c>
      <c r="H511" s="18" t="str">
        <f>HYPERLINK("https://docs.google.com/spreadsheets/d/1CRgoIu3nDwPJmPkDWnG1U-LN6FzDCYRK", "RE-35.692895833333324")</f>
        <v>RE-35.692895833333324</v>
      </c>
      <c r="I511" s="18" t="str">
        <f>HYPERLINK("https://docs.google.com/spreadsheets/d/1O22Lg7Zx2H0YR9zWNWaxiMQVxC11zoX4", "RE-0.0")</f>
        <v>RE-0.0</v>
      </c>
      <c r="J511" s="18" t="str">
        <f>HYPERLINK("https://docs.google.com/spreadsheets/d/1FMIRv9FsVxTcQDpeYGQMLW3x6Ds7wVRV", "RE-355.752925")</f>
        <v>RE-355.752925</v>
      </c>
      <c r="K511" s="18" t="str">
        <f>HYPERLINK("https://docs.google.com/spreadsheets/d/1yunWJPmBNDGIM-nXbcBdv4LIXixw858R", "RE-1.1232250000000001")</f>
        <v>RE-1.1232250000000001</v>
      </c>
      <c r="L511" s="18">
        <f>HYPERLINK("https://docs.google.com/spreadsheets/d/1e-tbVQK51GCgwgb3a1JmSyGiaePATrmN", 344.540264583334)</f>
        <v>344.5402646</v>
      </c>
      <c r="M511" s="18" t="str">
        <f>HYPERLINK("https://docs.google.com/spreadsheets/d/1w09Ei3o0rPpPrCTAgrp630ce-CgAqc-X", "RE-9.832072916666664")</f>
        <v>RE-9.832072916666664</v>
      </c>
      <c r="N511" s="18" t="str">
        <f>HYPERLINK("https://docs.google.com/spreadsheets/d/1G_timbKZWXP4t6S-dGXLEBbqLVvW1Quu", "RE-693.291183333333")</f>
        <v>RE-693.291183333333</v>
      </c>
      <c r="O511" s="18" t="str">
        <f>HYPERLINK("https://docs.google.com/spreadsheets/d/1E_WqD92VEDxGjSEcREOXwbQ-1yr0i4XG", "RE-1.8830020833333334")</f>
        <v>RE-1.8830020833333334</v>
      </c>
      <c r="P511" s="18">
        <f>HYPERLINK("https://docs.google.com/spreadsheets/d/1v0YRZ9ZB1VzCfY-N6scPt1WBZPOrVjUN", 1060.00540104166)</f>
        <v>1060.005401</v>
      </c>
      <c r="Q511" s="18" t="str">
        <f>HYPERLINK("https://docs.google.com/spreadsheets/d/1JUtQ5OJ-owM8UzrfMn-Bc4IV2nySVdAu", "RE-14.698541666666664")</f>
        <v>RE-14.698541666666664</v>
      </c>
      <c r="R511" s="18">
        <f>HYPERLINK("https://docs.google.com/spreadsheets/d/1NI58un4pj_pVINVtEcJOdGwFbNQ1VO2H", 518.876497916665)</f>
        <v>518.8764979</v>
      </c>
      <c r="S511" s="18" t="str">
        <f>HYPERLINK("https://docs.google.com/spreadsheets/d/1RGaIJ9fxoEZaC7HaS6CjjFqoF9FwkAZM", "RE-22.417103124999997")</f>
        <v>RE-22.417103124999997</v>
      </c>
      <c r="T511" s="18">
        <f>HYPERLINK("https://docs.google.com/spreadsheets/d/1EGl46agB-2oqCVF5wb8hteXxsQ30E3l5", 963.418069791667)</f>
        <v>963.4180698</v>
      </c>
      <c r="U511" s="18" t="str">
        <f>HYPERLINK("https://docs.google.com/spreadsheets/d/1FtBsCeVm3Z3o3JdZBymjORHi0JfLQgrp", "RE-36.63896041666667")</f>
        <v>RE-36.63896041666667</v>
      </c>
      <c r="V511" s="18" t="str">
        <f>HYPERLINK("https://docs.google.com/spreadsheets/d/1lJsJwDMdkoxLtdeCNvoOVQW9Qb6Z3rde", "RE-0.8243822916666667")</f>
        <v>RE-0.8243822916666667</v>
      </c>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c r="DE511" s="17"/>
      <c r="DF511" s="17"/>
      <c r="DG511" s="17"/>
      <c r="DH511" s="17"/>
      <c r="DI511" s="17"/>
      <c r="DJ511" s="17"/>
      <c r="DK511" s="17"/>
      <c r="DL511" s="17"/>
      <c r="DM511" s="17"/>
      <c r="DN511" s="17"/>
      <c r="DO511" s="17"/>
      <c r="DP511" s="17"/>
      <c r="DQ511" s="17"/>
      <c r="DR511" s="17"/>
      <c r="DS511" s="17"/>
      <c r="DT511" s="17"/>
      <c r="DU511" s="17"/>
      <c r="DV511" s="17"/>
      <c r="DW511" s="17"/>
      <c r="DX511" s="17"/>
      <c r="DY511" s="17"/>
      <c r="DZ511" s="17"/>
      <c r="EA511" s="17"/>
      <c r="EB511" s="17"/>
      <c r="EC511" s="17"/>
      <c r="ED511" s="17"/>
      <c r="EE511" s="17"/>
      <c r="EF511" s="17"/>
      <c r="EG511" s="17"/>
      <c r="EH511" s="17"/>
      <c r="EI511" s="17"/>
      <c r="EJ511" s="17"/>
      <c r="EK511" s="17"/>
      <c r="EL511" s="17"/>
      <c r="EM511" s="17"/>
      <c r="EN511" s="17"/>
      <c r="EO511" s="17"/>
      <c r="EP511" s="17"/>
      <c r="EQ511" s="17"/>
      <c r="ER511" s="17"/>
      <c r="ES511" s="17"/>
      <c r="ET511" s="17"/>
      <c r="EU511" s="17"/>
      <c r="EV511" s="17"/>
      <c r="EW511" s="17"/>
      <c r="EX511" s="17"/>
      <c r="EY511" s="17"/>
      <c r="EZ511" s="17"/>
      <c r="FA511" s="17"/>
      <c r="FB511" s="17"/>
      <c r="FC511" s="17"/>
      <c r="FD511" s="17"/>
      <c r="FE511" s="17"/>
      <c r="FF511" s="17"/>
      <c r="FG511" s="17"/>
      <c r="FH511" s="17"/>
    </row>
    <row r="512">
      <c r="A512" s="32" t="s">
        <v>88</v>
      </c>
      <c r="B512" s="32" t="s">
        <v>89</v>
      </c>
      <c r="C512" s="32" t="s">
        <v>13</v>
      </c>
      <c r="D512" s="16">
        <f t="shared" si="1"/>
        <v>2758.818</v>
      </c>
      <c r="E512" s="17"/>
      <c r="F512" s="18" t="str">
        <f>HYPERLINK("https://docs.google.com/spreadsheets/d/1OC5oMEawyyf8BrqzjMLwex8uinZJkmC0?usp=share_link", "RE-684.963")</f>
        <v>RE-684.963</v>
      </c>
      <c r="G512" s="18" t="str">
        <f>HYPERLINK("https://docs.google.com/spreadsheets/d/161BOVDAvvuWGvXxhKChNynbaNlyPCl_L?usp=share_link", "RE-3.28562")</f>
        <v>RE-3.28562</v>
      </c>
      <c r="H512" s="18" t="str">
        <f>HYPERLINK("https://docs.google.com/spreadsheets/d/1ZJRxWWkVox1pVEFFdxG6c9E5EZxWx6zj?usp=share_link", "RE-35.2947")</f>
        <v>RE-35.2947</v>
      </c>
      <c r="I512" s="17"/>
      <c r="J512" s="18" t="str">
        <f>HYPERLINK("https://docs.google.com/spreadsheets/d/1OzoH_h6c0FJpO9j6zR20Vs-_7g0BA3Mc?usp=share_link", "RE-340.454")</f>
        <v>RE-340.454</v>
      </c>
      <c r="K512" s="18" t="str">
        <f>HYPERLINK("https://docs.google.com/spreadsheets/d/1pP4fyMGddOaTdCW3GyEk4ynx_ZAbHs8w?usp=share_link", "RE-1.05537")</f>
        <v>RE-1.05537</v>
      </c>
      <c r="L512" s="18">
        <f>HYPERLINK("https://docs.google.com/spreadsheets/d/1hOmoNa6GqZj-2Mf2vWRDLjn9ostWGpGz?usp=share_link", 327.502)</f>
        <v>327.502</v>
      </c>
      <c r="M512" s="18" t="str">
        <f>HYPERLINK("https://docs.google.com/spreadsheets/d/1pTA_ap6LWCvIib66A0WGqTCU_Dy6Otd8?usp=share_link", "RE-9.03915")</f>
        <v>RE-9.03915</v>
      </c>
      <c r="N512" s="18" t="str">
        <f>HYPERLINK("https://docs.google.com/spreadsheets/d/12fef5l-5s9AdRhMzSGK1iRvUVV9vp7z0?usp=share_link", "RE-666.954")</f>
        <v>RE-666.954</v>
      </c>
      <c r="O512" s="18" t="str">
        <f>HYPERLINK("https://docs.google.com/spreadsheets/d/15HhMRY0-_goGsvjUyJ0JrdsX1EfpsmMR?usp=share_link", "RE-1.62568")</f>
        <v>RE-1.62568</v>
      </c>
      <c r="P512" s="18">
        <f>HYPERLINK("https://docs.google.com/spreadsheets/d/1IEeE6nQ9CrSi0_OFcYeyqwdcBM2M6NB5?usp=share_link", 1013.66)</f>
        <v>1013.66</v>
      </c>
      <c r="Q512" s="18" t="str">
        <f>HYPERLINK("https://docs.google.com/spreadsheets/d/12noF61iv2jm0zAR_bacQOBBZzyXjQRhN?usp=share_link", "RE-13.9534")</f>
        <v>RE-13.9534</v>
      </c>
      <c r="R512" s="18">
        <f>HYPERLINK("https://docs.google.com/spreadsheets/d/162R1fXwh5J79jBKIw63J0frrgsmZfAau?usp=share_link", 495.726)</f>
        <v>495.726</v>
      </c>
      <c r="S512" s="18" t="str">
        <f>HYPERLINK("https://docs.google.com/spreadsheets/d/1H14DMpkAdMxx2ZvvK3G9QDi_xz_c74tM?usp=share_link", "RE-20.9432")</f>
        <v>RE-20.9432</v>
      </c>
      <c r="T512" s="18">
        <f>HYPERLINK("https://docs.google.com/spreadsheets/d/1hLmzCI2HCOFn38RHtOYX1okUGErw5IUD?usp=share_link", 921.93)</f>
        <v>921.93</v>
      </c>
      <c r="U512" s="18" t="str">
        <f>HYPERLINK("https://docs.google.com/spreadsheets/d/1-HD-fJdklx9PYXk7xL_oMepJYyj8e1w-?usp=share_link", "RE-34.6714")</f>
        <v>RE-34.6714</v>
      </c>
      <c r="V512" s="18" t="str">
        <f>HYPERLINK("https://docs.google.com/spreadsheets/d/1JWg04ApcTDQ1l6uaY-4nZYT4zLtEVmmQ?usp=share_link", "RE-0.787283")</f>
        <v>RE-0.787283</v>
      </c>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c r="DE512" s="17"/>
      <c r="DF512" s="17"/>
      <c r="DG512" s="17"/>
      <c r="DH512" s="17"/>
      <c r="DI512" s="17"/>
      <c r="DJ512" s="17"/>
      <c r="DK512" s="17"/>
      <c r="DL512" s="17"/>
      <c r="DM512" s="17"/>
      <c r="DN512" s="17"/>
      <c r="DO512" s="17"/>
      <c r="DP512" s="17"/>
      <c r="DQ512" s="17"/>
      <c r="DR512" s="17"/>
      <c r="DS512" s="17"/>
      <c r="DT512" s="17"/>
      <c r="DU512" s="17"/>
      <c r="DV512" s="17"/>
      <c r="DW512" s="17"/>
      <c r="DX512" s="17"/>
      <c r="DY512" s="17"/>
      <c r="DZ512" s="17"/>
      <c r="EA512" s="17"/>
      <c r="EB512" s="17"/>
      <c r="EC512" s="17"/>
      <c r="ED512" s="17"/>
      <c r="EE512" s="17"/>
      <c r="EF512" s="17"/>
      <c r="EG512" s="17"/>
      <c r="EH512" s="17"/>
      <c r="EI512" s="17"/>
      <c r="EJ512" s="17"/>
      <c r="EK512" s="17"/>
      <c r="EL512" s="17"/>
      <c r="EM512" s="17"/>
      <c r="EN512" s="17"/>
      <c r="EO512" s="17"/>
      <c r="EP512" s="17"/>
      <c r="EQ512" s="17"/>
      <c r="ER512" s="17"/>
      <c r="ES512" s="17"/>
      <c r="ET512" s="17"/>
      <c r="EU512" s="17"/>
      <c r="EV512" s="17"/>
      <c r="EW512" s="17"/>
      <c r="EX512" s="17"/>
      <c r="EY512" s="17"/>
      <c r="EZ512" s="17"/>
      <c r="FA512" s="17"/>
      <c r="FB512" s="17"/>
      <c r="FC512" s="17"/>
      <c r="FD512" s="17"/>
      <c r="FE512" s="17"/>
      <c r="FF512" s="17"/>
      <c r="FG512" s="17"/>
      <c r="FH512" s="17"/>
    </row>
    <row r="513">
      <c r="A513" s="32" t="s">
        <v>88</v>
      </c>
      <c r="B513" s="32" t="s">
        <v>89</v>
      </c>
      <c r="C513" s="32" t="s">
        <v>14</v>
      </c>
      <c r="D513" s="16">
        <f t="shared" si="1"/>
        <v>2423.086</v>
      </c>
      <c r="E513" s="17"/>
      <c r="F513" s="18" t="str">
        <f>HYPERLINK("https://docs.google.com/spreadsheets/d/1tig5Ma6q_s82aAlW6xfGVq8mDqSDWFyQ?usp=share_link", "RE-588.754")</f>
        <v>RE-588.754</v>
      </c>
      <c r="G513" s="18" t="str">
        <f>HYPERLINK("https://docs.google.com/spreadsheets/d/1OzFES3iWVknP7vUCLW8YSBFp2sVFg2g0?usp=share_link", "RE-3.1079")</f>
        <v>RE-3.1079</v>
      </c>
      <c r="H513" s="18" t="str">
        <f>HYPERLINK("https://docs.google.com/spreadsheets/d/1qK4K1Y9UbHUDf3957XamojkLtKfL7_na?usp=share_link", "RE-32.5438")</f>
        <v>RE-32.5438</v>
      </c>
      <c r="I513" s="17"/>
      <c r="J513" s="18" t="str">
        <f>HYPERLINK("https://docs.google.com/spreadsheets/d/1ejfk6M4JD7_Kv67jhBKHQxpElp2jr_QK?usp=share_link", "RE-318.397")</f>
        <v>RE-318.397</v>
      </c>
      <c r="K513" s="18" t="str">
        <f>HYPERLINK("https://docs.google.com/spreadsheets/d/1rjG9bLdG7YJLgWI4rXjqg3Pnr7xrvemm?usp=share_link", "RE-1.05537")</f>
        <v>RE-1.05537</v>
      </c>
      <c r="L513" s="18">
        <f>HYPERLINK("https://docs.google.com/spreadsheets/d/1Cc_hKqAhXMIUzzkl47sPK4RN5p-FLqiJ?usp=share_link", 282.351)</f>
        <v>282.351</v>
      </c>
      <c r="M513" s="18" t="str">
        <f>HYPERLINK("https://docs.google.com/spreadsheets/d/1hb08q86dnIV_tqnS22agmVgsMrjFPCB6?usp=share_link", "RE-7.3638")</f>
        <v>RE-7.3638</v>
      </c>
      <c r="N513" s="18" t="str">
        <f>HYPERLINK("https://docs.google.com/spreadsheets/d/1TrfBKVl6Fj9jTN4jV83YCG9KVxbw2rJj?usp=share_link", "RE-568.337")</f>
        <v>RE-568.337</v>
      </c>
      <c r="O513" s="18" t="str">
        <f>HYPERLINK("https://docs.google.com/spreadsheets/d/1wYMH0syWpcmCKyqAA1pAT8HGhpWd4o8b?usp=share_link", "RE-1.62568")</f>
        <v>RE-1.62568</v>
      </c>
      <c r="P513" s="18">
        <f>HYPERLINK("https://docs.google.com/spreadsheets/d/1IvVNGOxMCEO5BR44v-moB5vGBwAyG5cd?usp=share_link", 906.976)</f>
        <v>906.976</v>
      </c>
      <c r="Q513" s="18" t="str">
        <f>HYPERLINK("https://docs.google.com/spreadsheets/d/1RJukX_eXEo_aLHkbJytSDXjH9RikPnjD?usp=share_link", "RE-12.6429")</f>
        <v>RE-12.6429</v>
      </c>
      <c r="R513" s="18">
        <f>HYPERLINK("https://docs.google.com/spreadsheets/d/1wxXMS5qzg43CIbr6FtrdBokPUzkgV4D3?usp=share_link", 429.344)</f>
        <v>429.344</v>
      </c>
      <c r="S513" s="18" t="str">
        <f>HYPERLINK("https://docs.google.com/spreadsheets/d/1mlvU6kFYKWXTXVUmComw_UZuXYQNhNg3?usp=share_link", "RE-19.0417")</f>
        <v>RE-19.0417</v>
      </c>
      <c r="T513" s="18">
        <f>HYPERLINK("https://docs.google.com/spreadsheets/d/1FfHK6BD8k_BGMX3H1Dei8yon2BYx8czk?usp=share_link", 804.415)</f>
        <v>804.415</v>
      </c>
      <c r="U513" s="18" t="str">
        <f>HYPERLINK("https://docs.google.com/spreadsheets/d/1A5v_GIz9A6FkJNvOmjjHHQXwUIa9f4Pj?usp=share_link", "RE-31.2839")</f>
        <v>RE-31.2839</v>
      </c>
      <c r="V513" s="18" t="str">
        <f>HYPERLINK("https://docs.google.com/spreadsheets/d/1VC_KfXFpkXc6z65NK1VmdWBS_mKLpF6t?usp=share_link", "RE-0.787283")</f>
        <v>RE-0.787283</v>
      </c>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c r="DE513" s="17"/>
      <c r="DF513" s="17"/>
      <c r="DG513" s="17"/>
      <c r="DH513" s="17"/>
      <c r="DI513" s="17"/>
      <c r="DJ513" s="17"/>
      <c r="DK513" s="17"/>
      <c r="DL513" s="17"/>
      <c r="DM513" s="17"/>
      <c r="DN513" s="17"/>
      <c r="DO513" s="17"/>
      <c r="DP513" s="17"/>
      <c r="DQ513" s="17"/>
      <c r="DR513" s="17"/>
      <c r="DS513" s="17"/>
      <c r="DT513" s="17"/>
      <c r="DU513" s="17"/>
      <c r="DV513" s="17"/>
      <c r="DW513" s="17"/>
      <c r="DX513" s="17"/>
      <c r="DY513" s="17"/>
      <c r="DZ513" s="17"/>
      <c r="EA513" s="17"/>
      <c r="EB513" s="17"/>
      <c r="EC513" s="17"/>
      <c r="ED513" s="17"/>
      <c r="EE513" s="17"/>
      <c r="EF513" s="17"/>
      <c r="EG513" s="17"/>
      <c r="EH513" s="17"/>
      <c r="EI513" s="17"/>
      <c r="EJ513" s="17"/>
      <c r="EK513" s="17"/>
      <c r="EL513" s="17"/>
      <c r="EM513" s="17"/>
      <c r="EN513" s="17"/>
      <c r="EO513" s="17"/>
      <c r="EP513" s="17"/>
      <c r="EQ513" s="17"/>
      <c r="ER513" s="17"/>
      <c r="ES513" s="17"/>
      <c r="ET513" s="17"/>
      <c r="EU513" s="17"/>
      <c r="EV513" s="17"/>
      <c r="EW513" s="17"/>
      <c r="EX513" s="17"/>
      <c r="EY513" s="17"/>
      <c r="EZ513" s="17"/>
      <c r="FA513" s="17"/>
      <c r="FB513" s="17"/>
      <c r="FC513" s="17"/>
      <c r="FD513" s="17"/>
      <c r="FE513" s="17"/>
      <c r="FF513" s="17"/>
      <c r="FG513" s="17"/>
      <c r="FH513" s="17"/>
    </row>
    <row r="514">
      <c r="A514" s="27" t="s">
        <v>88</v>
      </c>
      <c r="B514" s="27" t="s">
        <v>89</v>
      </c>
      <c r="C514" s="27" t="s">
        <v>15</v>
      </c>
      <c r="D514" s="28">
        <f t="shared" si="1"/>
        <v>2758.747</v>
      </c>
      <c r="E514" s="33"/>
      <c r="F514" s="34" t="str">
        <f>HYPERLINK("https://docs.google.com/spreadsheets/d/14ArWDTtY1vFd4TyZYvUUl6TzyGlEZkwv?usp=share_link", "RE-684.963")</f>
        <v>RE-684.963</v>
      </c>
      <c r="G514" s="34" t="str">
        <f>HYPERLINK("https://docs.google.com/spreadsheets/d/1k0JeECy6GHDrzrDjUTMabX3gPmaaUJl2?usp=share_link", "RE-3.1079")</f>
        <v>RE-3.1079</v>
      </c>
      <c r="H514" s="34" t="str">
        <f>HYPERLINK("https://docs.google.com/spreadsheets/d/1t1kimtG_7kyl3PNrtZpc4ePYIosuPv9h?usp=share_link", "RE-35.2947")</f>
        <v>RE-35.2947</v>
      </c>
      <c r="I514" s="33"/>
      <c r="J514" s="34" t="str">
        <f>HYPERLINK("https://docs.google.com/spreadsheets/d/1irNmNaD0LGS8yVrA-6EbwgpZmbZ9Tatt?usp=share_link", "RE-340.454")</f>
        <v>RE-340.454</v>
      </c>
      <c r="K514" s="34" t="str">
        <f>HYPERLINK("https://docs.google.com/spreadsheets/d/1IX7ClxDi75LEEmiztcgjbgLylynqsvdM?usp=share_link", "RE-1.05537")</f>
        <v>RE-1.05537</v>
      </c>
      <c r="L514" s="34">
        <f>HYPERLINK("https://docs.google.com/spreadsheets/d/17-RorylKq1zmCpDGztq9ok8cssjRqkry?usp=share_link", 327.502)</f>
        <v>327.502</v>
      </c>
      <c r="M514" s="34" t="str">
        <f>HYPERLINK("https://docs.google.com/spreadsheets/d/1jmeW5ypXcFeznecVjy4paagL73x97pP-?usp=share_link", "RE-9.03915")</f>
        <v>RE-9.03915</v>
      </c>
      <c r="N514" s="34" t="str">
        <f>HYPERLINK("https://docs.google.com/spreadsheets/d/1yP1L5hDoRIcwZJmIwRmWLzwP0KD5zZZR?usp=share_link", "RE-666.954")</f>
        <v>RE-666.954</v>
      </c>
      <c r="O514" s="34" t="str">
        <f>HYPERLINK("https://docs.google.com/spreadsheets/d/1sHIE-5fTCCfUAKFLGvHhOf9iMjF2b_bg?usp=share_link", "RE-1.62568")</f>
        <v>RE-1.62568</v>
      </c>
      <c r="P514" s="34">
        <f>HYPERLINK("https://docs.google.com/spreadsheets/d/11z9z4K1-qtqcAICUF1dk4fDcn0LHQhNL?usp=share_link", 1013.66)</f>
        <v>1013.66</v>
      </c>
      <c r="Q514" s="34" t="str">
        <f>HYPERLINK("https://docs.google.com/spreadsheets/d/1OLdaAVGxCCZ4wbgrt8pF6k_AKz5HLy82?usp=share_link", "RE-13.9534")</f>
        <v>RE-13.9534</v>
      </c>
      <c r="R514" s="34">
        <f>HYPERLINK("https://docs.google.com/spreadsheets/d/1krVyebE5D9GOTrBXl-Zg929x866S51Y0?usp=share_link", 495.726)</f>
        <v>495.726</v>
      </c>
      <c r="S514" s="34" t="str">
        <f>HYPERLINK("https://docs.google.com/spreadsheets/d/1kK2s2rsZ8_VookFQWmVp-yOYxAuIRJZl?usp=share_link", "RE-20.9432")</f>
        <v>RE-20.9432</v>
      </c>
      <c r="T514" s="34">
        <f>HYPERLINK("https://docs.google.com/spreadsheets/d/16HTdfRz7vAyvkSq_zvlw26s8Np1VTrb_?usp=share_link", 921.859)</f>
        <v>921.859</v>
      </c>
      <c r="U514" s="34" t="str">
        <f>HYPERLINK("https://docs.google.com/spreadsheets/d/1cVxfpzhXU2TahDj7BMp6NDGmvYgI-H8R?usp=share_link", "RE-34.6714")</f>
        <v>RE-34.6714</v>
      </c>
      <c r="V514" s="34" t="str">
        <f>HYPERLINK("https://docs.google.com/spreadsheets/d/1m5_ZKY8urKOHq1FF27WGUNcaoagXxaNu?usp=share_link", "RE-0.787283")</f>
        <v>RE-0.787283</v>
      </c>
      <c r="W514" s="33"/>
      <c r="X514" s="33"/>
      <c r="Y514" s="33"/>
      <c r="Z514" s="33"/>
      <c r="AA514" s="33"/>
      <c r="AB514" s="33"/>
      <c r="AC514" s="33"/>
      <c r="AD514" s="33"/>
      <c r="AE514" s="33"/>
      <c r="AF514" s="33"/>
      <c r="AG514" s="33"/>
      <c r="AH514" s="33"/>
      <c r="AI514" s="33"/>
      <c r="AJ514" s="33"/>
      <c r="AK514" s="33"/>
      <c r="AL514" s="33"/>
      <c r="AM514" s="33"/>
      <c r="AN514" s="33"/>
      <c r="AO514" s="33"/>
      <c r="AP514" s="33"/>
      <c r="AQ514" s="33"/>
      <c r="AR514" s="33"/>
      <c r="AS514" s="33"/>
      <c r="AT514" s="33"/>
      <c r="AU514" s="33"/>
      <c r="AV514" s="33"/>
      <c r="AW514" s="33"/>
      <c r="AX514" s="33"/>
      <c r="AY514" s="33"/>
      <c r="AZ514" s="33"/>
      <c r="BA514" s="33"/>
      <c r="BB514" s="33"/>
      <c r="BC514" s="33"/>
      <c r="BD514" s="33"/>
      <c r="BE514" s="33"/>
      <c r="BF514" s="33"/>
      <c r="BG514" s="33"/>
      <c r="BH514" s="33"/>
      <c r="BI514" s="33"/>
      <c r="BJ514" s="33"/>
      <c r="BK514" s="33"/>
      <c r="BL514" s="33"/>
      <c r="BM514" s="33"/>
      <c r="BN514" s="33"/>
      <c r="BO514" s="33"/>
      <c r="BP514" s="33"/>
      <c r="BQ514" s="33"/>
      <c r="BR514" s="33"/>
      <c r="BS514" s="33"/>
      <c r="BT514" s="33"/>
      <c r="BU514" s="33"/>
      <c r="BV514" s="33"/>
      <c r="BW514" s="33"/>
      <c r="BX514" s="33"/>
      <c r="BY514" s="33"/>
      <c r="BZ514" s="33"/>
      <c r="CA514" s="33"/>
      <c r="CB514" s="33"/>
      <c r="CC514" s="33"/>
      <c r="CD514" s="33"/>
      <c r="CE514" s="33"/>
      <c r="CF514" s="33"/>
      <c r="CG514" s="33"/>
      <c r="CH514" s="33"/>
      <c r="CI514" s="33"/>
      <c r="CJ514" s="33"/>
      <c r="CK514" s="33"/>
      <c r="CL514" s="33"/>
      <c r="CM514" s="33"/>
      <c r="CN514" s="33"/>
      <c r="CO514" s="33"/>
      <c r="CP514" s="33"/>
      <c r="CQ514" s="33"/>
      <c r="CR514" s="33"/>
      <c r="CS514" s="33"/>
      <c r="CT514" s="33"/>
      <c r="CU514" s="33"/>
      <c r="CV514" s="33"/>
      <c r="CW514" s="33"/>
      <c r="CX514" s="33"/>
      <c r="CY514" s="33"/>
      <c r="CZ514" s="33"/>
      <c r="DA514" s="33"/>
      <c r="DB514" s="33"/>
      <c r="DC514" s="33"/>
      <c r="DD514" s="33"/>
      <c r="DE514" s="33"/>
      <c r="DF514" s="33"/>
      <c r="DG514" s="33"/>
      <c r="DH514" s="33"/>
      <c r="DI514" s="33"/>
      <c r="DJ514" s="33"/>
      <c r="DK514" s="33"/>
      <c r="DL514" s="33"/>
      <c r="DM514" s="33"/>
      <c r="DN514" s="33"/>
      <c r="DO514" s="33"/>
      <c r="DP514" s="33"/>
      <c r="DQ514" s="33"/>
      <c r="DR514" s="33"/>
      <c r="DS514" s="33"/>
      <c r="DT514" s="33"/>
      <c r="DU514" s="33"/>
      <c r="DV514" s="33"/>
      <c r="DW514" s="33"/>
      <c r="DX514" s="33"/>
      <c r="DY514" s="33"/>
      <c r="DZ514" s="33"/>
      <c r="EA514" s="33"/>
      <c r="EB514" s="33"/>
      <c r="EC514" s="33"/>
      <c r="ED514" s="33"/>
      <c r="EE514" s="33"/>
      <c r="EF514" s="33"/>
      <c r="EG514" s="33"/>
      <c r="EH514" s="33"/>
      <c r="EI514" s="33"/>
      <c r="EJ514" s="33"/>
      <c r="EK514" s="33"/>
      <c r="EL514" s="33"/>
      <c r="EM514" s="33"/>
      <c r="EN514" s="33"/>
      <c r="EO514" s="33"/>
      <c r="EP514" s="33"/>
      <c r="EQ514" s="33"/>
      <c r="ER514" s="33"/>
      <c r="ES514" s="33"/>
      <c r="ET514" s="33"/>
      <c r="EU514" s="33"/>
      <c r="EV514" s="33"/>
      <c r="EW514" s="33"/>
      <c r="EX514" s="33"/>
      <c r="EY514" s="33"/>
      <c r="EZ514" s="33"/>
      <c r="FA514" s="33"/>
      <c r="FB514" s="33"/>
      <c r="FC514" s="33"/>
      <c r="FD514" s="33"/>
      <c r="FE514" s="33"/>
      <c r="FF514" s="33"/>
      <c r="FG514" s="33"/>
      <c r="FH514" s="33"/>
    </row>
    <row r="515">
      <c r="A515" s="30" t="s">
        <v>88</v>
      </c>
      <c r="B515" s="30" t="s">
        <v>90</v>
      </c>
      <c r="C515" s="31" t="str">
        <f>HYPERLINK("https://docs.google.com/spreadsheets/d/1dB9GPIF1i9biFddaoupCDAv4-b0V2K-p/edit?usp=share_link&amp;ouid=106501987799020758802&amp;rtpof=true&amp;sd=true", "Raw Delivered")</f>
        <v>Raw Delivered</v>
      </c>
      <c r="D515" s="12">
        <f t="shared" si="1"/>
        <v>5946.98302</v>
      </c>
      <c r="E515" s="13"/>
      <c r="F515" s="14">
        <f>HYPERLINK("https://docs.google.com/spreadsheets/d/1MPgDGQVhcHoGYQapmNjcWZ6EbKeVs6AF", 902.477543749997)</f>
        <v>902.4775437</v>
      </c>
      <c r="G515" s="13"/>
      <c r="H515" s="14">
        <f>HYPERLINK("https://docs.google.com/spreadsheets/d/127gUG2rAJeS_BgB4X97Twn2dEZFqSos4", 15.8255208333333)</f>
        <v>15.82552083</v>
      </c>
      <c r="I515" s="13"/>
      <c r="J515" s="14">
        <f>HYPERLINK("https://docs.google.com/spreadsheets/d/1FTz7uGcTMom5H8xfEZAnqE8p-Bhr0ZAH", 294.240866666666)</f>
        <v>294.2408667</v>
      </c>
      <c r="K515" s="13"/>
      <c r="L515" s="14">
        <f t="shared" ref="L515:L516" si="258">HYPERLINK("https://docs.google.com/spreadsheets/d/1Mwp4mULAejJYd3aZ24hRj33ol_y2Ex0m", 347.8420375)</f>
        <v>347.8420375</v>
      </c>
      <c r="M515" s="13"/>
      <c r="N515" s="14">
        <f>HYPERLINK("https://docs.google.com/spreadsheets/d/1OE7_WClSeVz_wfunm8MUfRVosh_cr1BB", 1520.51713749999)</f>
        <v>1520.517137</v>
      </c>
      <c r="O515" s="13"/>
      <c r="P515" s="14">
        <f t="shared" ref="P515:P516" si="259">HYPERLINK("https://docs.google.com/spreadsheets/d/13y2HiHL1xiIIR7IdTPlQ02fnW-2BbZTO", 986.095764583331)</f>
        <v>986.0957646</v>
      </c>
      <c r="Q515" s="13"/>
      <c r="R515" s="14">
        <f t="shared" ref="R515:R516" si="260">HYPERLINK("https://docs.google.com/spreadsheets/d/1uUfChZBFQJK5BBe2gCg7O6GsDcx_V2f6", 747.941555208333)</f>
        <v>747.9415552</v>
      </c>
      <c r="S515" s="13"/>
      <c r="T515" s="14">
        <f t="shared" ref="T515:T516" si="261">HYPERLINK("https://docs.google.com/spreadsheets/d/1xExOeEZ5c02eYc6CrkkntcAE3sALaZ-H", 1132.04259374999)</f>
        <v>1132.042594</v>
      </c>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c r="FH515" s="13"/>
    </row>
    <row r="516">
      <c r="A516" s="32" t="s">
        <v>88</v>
      </c>
      <c r="B516" s="32" t="s">
        <v>90</v>
      </c>
      <c r="C516" s="32" t="s">
        <v>9</v>
      </c>
      <c r="D516" s="16">
        <f t="shared" si="1"/>
        <v>3213.921951</v>
      </c>
      <c r="E516" s="17"/>
      <c r="F516" s="18" t="str">
        <f>HYPERLINK("https://docs.google.com/spreadsheets/d/1MPgDGQVhcHoGYQapmNjcWZ6EbKeVs6AF", "RE-902.4775437499974")</f>
        <v>RE-902.4775437499974</v>
      </c>
      <c r="G516" s="17"/>
      <c r="H516" s="18" t="str">
        <f>HYPERLINK("https://docs.google.com/spreadsheets/d/127gUG2rAJeS_BgB4X97Twn2dEZFqSos4", "RE-15.825520833333332")</f>
        <v>RE-15.825520833333332</v>
      </c>
      <c r="I516" s="17"/>
      <c r="J516" s="18" t="str">
        <f>HYPERLINK("https://docs.google.com/spreadsheets/d/1FTz7uGcTMom5H8xfEZAnqE8p-Bhr0ZAH", "RE-294.24086666666636")</f>
        <v>RE-294.24086666666636</v>
      </c>
      <c r="K516" s="17"/>
      <c r="L516" s="18">
        <f t="shared" si="258"/>
        <v>347.8420375</v>
      </c>
      <c r="M516" s="17"/>
      <c r="N516" s="18" t="str">
        <f>HYPERLINK("https://docs.google.com/spreadsheets/d/1OE7_WClSeVz_wfunm8MUfRVosh_cr1BB", "RE-1520.5171374999995")</f>
        <v>RE-1520.5171374999995</v>
      </c>
      <c r="O516" s="17"/>
      <c r="P516" s="18">
        <f t="shared" si="259"/>
        <v>986.0957646</v>
      </c>
      <c r="Q516" s="17"/>
      <c r="R516" s="18">
        <f t="shared" si="260"/>
        <v>747.9415552</v>
      </c>
      <c r="S516" s="17"/>
      <c r="T516" s="18">
        <f t="shared" si="261"/>
        <v>1132.042594</v>
      </c>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c r="DE516" s="17"/>
      <c r="DF516" s="17"/>
      <c r="DG516" s="17"/>
      <c r="DH516" s="17"/>
      <c r="DI516" s="17"/>
      <c r="DJ516" s="17"/>
      <c r="DK516" s="17"/>
      <c r="DL516" s="17"/>
      <c r="DM516" s="17"/>
      <c r="DN516" s="17"/>
      <c r="DO516" s="17"/>
      <c r="DP516" s="17"/>
      <c r="DQ516" s="17"/>
      <c r="DR516" s="17"/>
      <c r="DS516" s="17"/>
      <c r="DT516" s="17"/>
      <c r="DU516" s="17"/>
      <c r="DV516" s="17"/>
      <c r="DW516" s="17"/>
      <c r="DX516" s="17"/>
      <c r="DY516" s="17"/>
      <c r="DZ516" s="17"/>
      <c r="EA516" s="17"/>
      <c r="EB516" s="17"/>
      <c r="EC516" s="17"/>
      <c r="ED516" s="17"/>
      <c r="EE516" s="17"/>
      <c r="EF516" s="17"/>
      <c r="EG516" s="17"/>
      <c r="EH516" s="17"/>
      <c r="EI516" s="17"/>
      <c r="EJ516" s="17"/>
      <c r="EK516" s="17"/>
      <c r="EL516" s="17"/>
      <c r="EM516" s="17"/>
      <c r="EN516" s="17"/>
      <c r="EO516" s="17"/>
      <c r="EP516" s="17"/>
      <c r="EQ516" s="17"/>
      <c r="ER516" s="17"/>
      <c r="ES516" s="17"/>
      <c r="ET516" s="17"/>
      <c r="EU516" s="17"/>
      <c r="EV516" s="17"/>
      <c r="EW516" s="17"/>
      <c r="EX516" s="17"/>
      <c r="EY516" s="17"/>
      <c r="EZ516" s="17"/>
      <c r="FA516" s="17"/>
      <c r="FB516" s="17"/>
      <c r="FC516" s="17"/>
      <c r="FD516" s="17"/>
      <c r="FE516" s="17"/>
      <c r="FF516" s="17"/>
      <c r="FG516" s="17"/>
      <c r="FH516" s="17"/>
    </row>
    <row r="517">
      <c r="A517" s="32" t="s">
        <v>88</v>
      </c>
      <c r="B517" s="32" t="s">
        <v>90</v>
      </c>
      <c r="C517" s="32" t="s">
        <v>10</v>
      </c>
      <c r="D517" s="16">
        <f t="shared" si="1"/>
        <v>613.3368687</v>
      </c>
      <c r="E517" s="17"/>
      <c r="F517" s="17"/>
      <c r="G517" s="18">
        <f>HYPERLINK("https://docs.google.com/spreadsheets/d/1RT5OuUZ6n7bJ6V8YKIfEdzA1oH-AdGmV", 108.94898125)</f>
        <v>108.9489813</v>
      </c>
      <c r="H517" s="17"/>
      <c r="I517" s="18">
        <f>HYPERLINK("https://docs.google.com/spreadsheets/d/1DHg9YqjXig1zdh77Mvx0ZvcPZfCkHs6b", 6.91660625)</f>
        <v>6.91660625</v>
      </c>
      <c r="J517" s="17"/>
      <c r="K517" s="18">
        <f>HYPERLINK("https://docs.google.com/spreadsheets/d/13eE0toRSrM_lBVIhuK-0bnFYNnhgPPyp", 26.8285208333333)</f>
        <v>26.82852083</v>
      </c>
      <c r="L517" s="17"/>
      <c r="M517" s="18">
        <f>HYPERLINK("https://docs.google.com/spreadsheets/d/1Iet6UGiDe1tbs9t2NanuapWL1UXn4cQH", 9.67070833333333)</f>
        <v>9.670708333</v>
      </c>
      <c r="N517" s="17"/>
      <c r="O517" s="18">
        <f>HYPERLINK("https://docs.google.com/spreadsheets/d/1zCrZvLoDlATeBQ-1752itXi54GUWmXV0", 189.589022916666)</f>
        <v>189.5890229</v>
      </c>
      <c r="P517" s="17"/>
      <c r="Q517" s="18">
        <f>HYPERLINK("https://docs.google.com/spreadsheets/d/193uKl2645VOSWn1q9bFvGbV217C7BchA", 72.8764072916666)</f>
        <v>72.87640729</v>
      </c>
      <c r="R517" s="17"/>
      <c r="S517" s="18">
        <f>HYPERLINK("https://docs.google.com/spreadsheets/d/1h_0p1p3oInrnRsBTqwR9FykJ1gpjZ4r5", 77.1852739583333)</f>
        <v>77.18527396</v>
      </c>
      <c r="T517" s="17"/>
      <c r="U517" s="18">
        <f>HYPERLINK("https://docs.google.com/spreadsheets/d/1eTyr0ll5XbVFSIOzjTlH8TfzVsRTvLK2", 116.597229166666)</f>
        <v>116.5972292</v>
      </c>
      <c r="V517" s="18">
        <f>HYPERLINK("https://docs.google.com/spreadsheets/d/18Bv41CUiUD2rUKLDF-JE6lkvtFQ_aJGM", 4.72411875)</f>
        <v>4.72411875</v>
      </c>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c r="DE517" s="17"/>
      <c r="DF517" s="17"/>
      <c r="DG517" s="17"/>
      <c r="DH517" s="17"/>
      <c r="DI517" s="17"/>
      <c r="DJ517" s="17"/>
      <c r="DK517" s="17"/>
      <c r="DL517" s="17"/>
      <c r="DM517" s="17"/>
      <c r="DN517" s="17"/>
      <c r="DO517" s="17"/>
      <c r="DP517" s="17"/>
      <c r="DQ517" s="17"/>
      <c r="DR517" s="17"/>
      <c r="DS517" s="17"/>
      <c r="DT517" s="17"/>
      <c r="DU517" s="17"/>
      <c r="DV517" s="17"/>
      <c r="DW517" s="17"/>
      <c r="DX517" s="17"/>
      <c r="DY517" s="17"/>
      <c r="DZ517" s="17"/>
      <c r="EA517" s="17"/>
      <c r="EB517" s="17"/>
      <c r="EC517" s="17"/>
      <c r="ED517" s="17"/>
      <c r="EE517" s="17"/>
      <c r="EF517" s="17"/>
      <c r="EG517" s="17"/>
      <c r="EH517" s="17"/>
      <c r="EI517" s="17"/>
      <c r="EJ517" s="17"/>
      <c r="EK517" s="17"/>
      <c r="EL517" s="17"/>
      <c r="EM517" s="17"/>
      <c r="EN517" s="17"/>
      <c r="EO517" s="17"/>
      <c r="EP517" s="17"/>
      <c r="EQ517" s="17"/>
      <c r="ER517" s="17"/>
      <c r="ES517" s="17"/>
      <c r="ET517" s="17"/>
      <c r="EU517" s="17"/>
      <c r="EV517" s="17"/>
      <c r="EW517" s="17"/>
      <c r="EX517" s="17"/>
      <c r="EY517" s="17"/>
      <c r="EZ517" s="17"/>
      <c r="FA517" s="17"/>
      <c r="FB517" s="17"/>
      <c r="FC517" s="17"/>
      <c r="FD517" s="17"/>
      <c r="FE517" s="17"/>
      <c r="FF517" s="17"/>
      <c r="FG517" s="17"/>
      <c r="FH517" s="17"/>
    </row>
    <row r="518">
      <c r="A518" s="32" t="s">
        <v>88</v>
      </c>
      <c r="B518" s="32" t="s">
        <v>90</v>
      </c>
      <c r="C518" s="32" t="s">
        <v>11</v>
      </c>
      <c r="D518" s="16">
        <f t="shared" si="1"/>
        <v>0</v>
      </c>
      <c r="E518" s="17"/>
      <c r="F518" s="17"/>
      <c r="G518" s="18" t="str">
        <f>HYPERLINK("https://docs.google.com/spreadsheets/d/1RT5OuUZ6n7bJ6V8YKIfEdzA1oH-AdGmV", "RE-108.94898125000009")</f>
        <v>RE-108.94898125000009</v>
      </c>
      <c r="H518" s="17"/>
      <c r="I518" s="18" t="str">
        <f>HYPERLINK("https://docs.google.com/spreadsheets/d/1DHg9YqjXig1zdh77Mvx0ZvcPZfCkHs6b", "RE-6.916606250000002")</f>
        <v>RE-6.916606250000002</v>
      </c>
      <c r="J518" s="17"/>
      <c r="K518" s="18" t="str">
        <f>HYPERLINK("https://docs.google.com/spreadsheets/d/13eE0toRSrM_lBVIhuK-0bnFYNnhgPPyp", "RE-26.828520833333318")</f>
        <v>RE-26.828520833333318</v>
      </c>
      <c r="L518" s="17"/>
      <c r="M518" s="18" t="str">
        <f>HYPERLINK("https://docs.google.com/spreadsheets/d/1Iet6UGiDe1tbs9t2NanuapWL1UXn4cQH", "RE-9.670708333333334")</f>
        <v>RE-9.670708333333334</v>
      </c>
      <c r="N518" s="17"/>
      <c r="O518" s="18" t="str">
        <f>HYPERLINK("https://docs.google.com/spreadsheets/d/1zCrZvLoDlATeBQ-1752itXi54GUWmXV0", "RE-189.5890229166666")</f>
        <v>RE-189.5890229166666</v>
      </c>
      <c r="P518" s="17"/>
      <c r="Q518" s="18" t="str">
        <f>HYPERLINK("https://docs.google.com/spreadsheets/d/193uKl2645VOSWn1q9bFvGbV217C7BchA", "RE-72.87640729166668")</f>
        <v>RE-72.87640729166668</v>
      </c>
      <c r="R518" s="17"/>
      <c r="S518" s="18" t="str">
        <f>HYPERLINK("https://docs.google.com/spreadsheets/d/1h_0p1p3oInrnRsBTqwR9FykJ1gpjZ4r5", "RE-77.18527395833334")</f>
        <v>RE-77.18527395833334</v>
      </c>
      <c r="T518" s="17"/>
      <c r="U518" s="18" t="str">
        <f>HYPERLINK("https://docs.google.com/spreadsheets/d/1eTyr0ll5XbVFSIOzjTlH8TfzVsRTvLK2", "RE-116.59722916666661")</f>
        <v>RE-116.59722916666661</v>
      </c>
      <c r="V518" s="18" t="str">
        <f>HYPERLINK("https://docs.google.com/spreadsheets/d/18Bv41CUiUD2rUKLDF-JE6lkvtFQ_aJGM", "RE-4.72411875")</f>
        <v>RE-4.72411875</v>
      </c>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c r="DE518" s="17"/>
      <c r="DF518" s="17"/>
      <c r="DG518" s="17"/>
      <c r="DH518" s="17"/>
      <c r="DI518" s="17"/>
      <c r="DJ518" s="17"/>
      <c r="DK518" s="17"/>
      <c r="DL518" s="17"/>
      <c r="DM518" s="17"/>
      <c r="DN518" s="17"/>
      <c r="DO518" s="17"/>
      <c r="DP518" s="17"/>
      <c r="DQ518" s="17"/>
      <c r="DR518" s="17"/>
      <c r="DS518" s="17"/>
      <c r="DT518" s="17"/>
      <c r="DU518" s="17"/>
      <c r="DV518" s="17"/>
      <c r="DW518" s="17"/>
      <c r="DX518" s="17"/>
      <c r="DY518" s="17"/>
      <c r="DZ518" s="17"/>
      <c r="EA518" s="17"/>
      <c r="EB518" s="17"/>
      <c r="EC518" s="17"/>
      <c r="ED518" s="17"/>
      <c r="EE518" s="17"/>
      <c r="EF518" s="17"/>
      <c r="EG518" s="17"/>
      <c r="EH518" s="17"/>
      <c r="EI518" s="17"/>
      <c r="EJ518" s="17"/>
      <c r="EK518" s="17"/>
      <c r="EL518" s="17"/>
      <c r="EM518" s="17"/>
      <c r="EN518" s="17"/>
      <c r="EO518" s="17"/>
      <c r="EP518" s="17"/>
      <c r="EQ518" s="17"/>
      <c r="ER518" s="17"/>
      <c r="ES518" s="17"/>
      <c r="ET518" s="17"/>
      <c r="EU518" s="17"/>
      <c r="EV518" s="17"/>
      <c r="EW518" s="17"/>
      <c r="EX518" s="17"/>
      <c r="EY518" s="17"/>
      <c r="EZ518" s="17"/>
      <c r="FA518" s="17"/>
      <c r="FB518" s="17"/>
      <c r="FC518" s="17"/>
      <c r="FD518" s="17"/>
      <c r="FE518" s="17"/>
      <c r="FF518" s="17"/>
      <c r="FG518" s="17"/>
      <c r="FH518" s="17"/>
    </row>
    <row r="519">
      <c r="A519" s="32" t="s">
        <v>88</v>
      </c>
      <c r="B519" s="32" t="s">
        <v>90</v>
      </c>
      <c r="C519" s="32" t="s">
        <v>12</v>
      </c>
      <c r="D519" s="16">
        <f t="shared" si="1"/>
        <v>3044.712772</v>
      </c>
      <c r="E519" s="17"/>
      <c r="F519" s="18" t="str">
        <f>HYPERLINK("https://docs.google.com/spreadsheets/d/1QWH6XUI4f8bWmuIzogyuPAEeg5kzQ_nr", "RE-715.9442999999977")</f>
        <v>RE-715.9442999999977</v>
      </c>
      <c r="G519" s="18" t="str">
        <f>HYPERLINK("https://docs.google.com/spreadsheets/d/12YphK5dItMRqVNi6HYLobPW4xz0p4I6I", "RE-1.9655458333333335")</f>
        <v>RE-1.9655458333333335</v>
      </c>
      <c r="H519" s="18" t="str">
        <f>HYPERLINK("https://docs.google.com/spreadsheets/d/12dv5pnWnVQNWWFHTQQp6TCR9SH1YIHJi", "RE-13.708497916666666")</f>
        <v>RE-13.708497916666666</v>
      </c>
      <c r="I519" s="18" t="str">
        <f>HYPERLINK("https://docs.google.com/spreadsheets/d/1N2EVr1c4RHAw6gvh2f2slflpyDhAX3Ef", "RE-0.0")</f>
        <v>RE-0.0</v>
      </c>
      <c r="J519" s="18" t="str">
        <f>HYPERLINK("https://docs.google.com/spreadsheets/d/11LqgCXhJnItgoKvTz1WDZWhnGtGr_wDK", "RE-220.82725416666653")</f>
        <v>RE-220.82725416666653</v>
      </c>
      <c r="K519" s="18" t="str">
        <f>HYPERLINK("https://docs.google.com/spreadsheets/d/1MDziLOyZfXezrqtFigB5CyPJyNWRI1wQ", "RE-0.2053104166666667")</f>
        <v>RE-0.2053104166666667</v>
      </c>
      <c r="L519" s="18">
        <f>HYPERLINK("https://docs.google.com/spreadsheets/d/1G8S4JHc7LW1uYWO5_dH6Z3WrdboNBlDf", 313.102571875)</f>
        <v>313.1025719</v>
      </c>
      <c r="M519" s="18" t="str">
        <f>HYPERLINK("https://docs.google.com/spreadsheets/d/1c_iU-EPzsrjPsKjKxFJNnzefSKXp0qSh", "RE-0.6943979166666667")</f>
        <v>RE-0.6943979166666667</v>
      </c>
      <c r="N519" s="18" t="str">
        <f>HYPERLINK("https://docs.google.com/spreadsheets/d/1z7EJ6iiLL1dVaSZd2S7cfsWQse7kgY1y", "RE-878.7234260416686")</f>
        <v>RE-878.7234260416686</v>
      </c>
      <c r="O519" s="18" t="str">
        <f>HYPERLINK("https://docs.google.com/spreadsheets/d/1RP9CoYQgWTQIuVmqTwk2OymDfb8cImyq", "RE-6.838212499999999")</f>
        <v>RE-6.838212499999999</v>
      </c>
      <c r="P519" s="18">
        <f>HYPERLINK("https://docs.google.com/spreadsheets/d/1VRD0q0Bg-75XCiTfrdIpvoCoqBWLK2P0", 918.643490624998)</f>
        <v>918.6434906</v>
      </c>
      <c r="Q519" s="18" t="str">
        <f>HYPERLINK("https://docs.google.com/spreadsheets/d/1O_r7VW3M7vEjFiFR5ZvZ0wq1DhUwL7xU", "RE-17.02534375")</f>
        <v>RE-17.02534375</v>
      </c>
      <c r="R519" s="18">
        <f>HYPERLINK("https://docs.google.com/spreadsheets/d/187dFq5BTuhr3Mg-XIqyZfv6rXupC3Hqt", 724.684663541666)</f>
        <v>724.6846635</v>
      </c>
      <c r="S519" s="18" t="str">
        <f>HYPERLINK("https://docs.google.com/spreadsheets/d/1sbnLMB4MDQPmt0zWNdIdtj5Ot2GNhlhK", "RE-29.620760416666666")</f>
        <v>RE-29.620760416666666</v>
      </c>
      <c r="T519" s="18">
        <f>HYPERLINK("https://docs.google.com/spreadsheets/d/1fdcRFxP0AitifGEXMXf-A4PKckKFCzxj", 1088.28204583333)</f>
        <v>1088.282046</v>
      </c>
      <c r="U519" s="18" t="str">
        <f>HYPERLINK("https://docs.google.com/spreadsheets/d/19w5PDVnTQp-vQDuMmSR_0T_2KuZtS26W", "RE-49.79734791666668")</f>
        <v>RE-49.79734791666668</v>
      </c>
      <c r="V519" s="18" t="str">
        <f>HYPERLINK("https://docs.google.com/spreadsheets/d/10N9KnOZ2mqjOIHyZi4PieancJZMwuaAR", "RE-2.5367395833333335")</f>
        <v>RE-2.5367395833333335</v>
      </c>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c r="DE519" s="17"/>
      <c r="DF519" s="17"/>
      <c r="DG519" s="17"/>
      <c r="DH519" s="17"/>
      <c r="DI519" s="17"/>
      <c r="DJ519" s="17"/>
      <c r="DK519" s="17"/>
      <c r="DL519" s="17"/>
      <c r="DM519" s="17"/>
      <c r="DN519" s="17"/>
      <c r="DO519" s="17"/>
      <c r="DP519" s="17"/>
      <c r="DQ519" s="17"/>
      <c r="DR519" s="17"/>
      <c r="DS519" s="17"/>
      <c r="DT519" s="17"/>
      <c r="DU519" s="17"/>
      <c r="DV519" s="17"/>
      <c r="DW519" s="17"/>
      <c r="DX519" s="17"/>
      <c r="DY519" s="17"/>
      <c r="DZ519" s="17"/>
      <c r="EA519" s="17"/>
      <c r="EB519" s="17"/>
      <c r="EC519" s="17"/>
      <c r="ED519" s="17"/>
      <c r="EE519" s="17"/>
      <c r="EF519" s="17"/>
      <c r="EG519" s="17"/>
      <c r="EH519" s="17"/>
      <c r="EI519" s="17"/>
      <c r="EJ519" s="17"/>
      <c r="EK519" s="17"/>
      <c r="EL519" s="17"/>
      <c r="EM519" s="17"/>
      <c r="EN519" s="17"/>
      <c r="EO519" s="17"/>
      <c r="EP519" s="17"/>
      <c r="EQ519" s="17"/>
      <c r="ER519" s="17"/>
      <c r="ES519" s="17"/>
      <c r="ET519" s="17"/>
      <c r="EU519" s="17"/>
      <c r="EV519" s="17"/>
      <c r="EW519" s="17"/>
      <c r="EX519" s="17"/>
      <c r="EY519" s="17"/>
      <c r="EZ519" s="17"/>
      <c r="FA519" s="17"/>
      <c r="FB519" s="17"/>
      <c r="FC519" s="17"/>
      <c r="FD519" s="17"/>
      <c r="FE519" s="17"/>
      <c r="FF519" s="17"/>
      <c r="FG519" s="17"/>
      <c r="FH519" s="17"/>
    </row>
    <row r="520">
      <c r="A520" s="32" t="s">
        <v>88</v>
      </c>
      <c r="B520" s="32" t="s">
        <v>90</v>
      </c>
      <c r="C520" s="32" t="s">
        <v>13</v>
      </c>
      <c r="D520" s="16">
        <f t="shared" si="1"/>
        <v>2915.996</v>
      </c>
      <c r="E520" s="17"/>
      <c r="F520" s="18" t="str">
        <f>HYPERLINK("https://docs.google.com/spreadsheets/d/13o8Bu8fh-ucucaBTCMXckxJJ2uZrI9j2?usp=share_link", "RE-684.119")</f>
        <v>RE-684.119</v>
      </c>
      <c r="G520" s="18" t="str">
        <f>HYPERLINK("https://docs.google.com/spreadsheets/d/1DdILgzah_reUcGkUIVxKHpa9aKmTkx-c?usp=share_link", "RE-1.76098")</f>
        <v>RE-1.76098</v>
      </c>
      <c r="H520" s="18" t="str">
        <f>HYPERLINK("https://docs.google.com/spreadsheets/d/15FVWxDbCqFTzWbaLrVq0AR0MffEEVGld?usp=share_link", "RE-12.6506")</f>
        <v>RE-12.6506</v>
      </c>
      <c r="I520" s="17"/>
      <c r="J520" s="18" t="str">
        <f>HYPERLINK("https://docs.google.com/spreadsheets/d/1zG6joeQOe2JQnhiV7iHTbSXmbr9HtEUb?usp=share_link", "RE-209.347")</f>
        <v>RE-209.347</v>
      </c>
      <c r="K520" s="18" t="str">
        <f>HYPERLINK("https://docs.google.com/spreadsheets/d/1vhGwh2FE7Ng-SfEL1ilUIDl1c9u6fEM2?usp=share_link", "RE-0.203633")</f>
        <v>RE-0.203633</v>
      </c>
      <c r="L520" s="18">
        <f>HYPERLINK("https://docs.google.com/spreadsheets/d/1MxTn9KzR4TpsQ1Kq2QIx5QWMS-mo0jqq?usp=share_link", 295.268)</f>
        <v>295.268</v>
      </c>
      <c r="M520" s="18" t="str">
        <f>HYPERLINK("https://docs.google.com/spreadsheets/d/1AP_d7YYIfCabbnC_aQZEhSoTiG5_CiiE?usp=share_link", "RE-0.644067")</f>
        <v>RE-0.644067</v>
      </c>
      <c r="N520" s="18" t="str">
        <f>HYPERLINK("https://docs.google.com/spreadsheets/d/113ylyUYOOt_e9gOD62Ap6J96Ejwp8Tey?usp=share_link", "RE-840.778")</f>
        <v>RE-840.778</v>
      </c>
      <c r="O520" s="18" t="str">
        <f>HYPERLINK("https://docs.google.com/spreadsheets/d/1CGlFgnE8rzwU98llwiKVT4N3eiZZYkV_?usp=share_link", "RE-6.47982")</f>
        <v>RE-6.47982</v>
      </c>
      <c r="P520" s="18">
        <f>HYPERLINK("https://docs.google.com/spreadsheets/d/1SZMh_l8d8yybWoZQzwX7RiP6oKSkLICt?usp=share_link", 876.136)</f>
        <v>876.136</v>
      </c>
      <c r="Q520" s="18" t="str">
        <f>HYPERLINK("https://docs.google.com/spreadsheets/d/1bHvmVOM6jsxPE8mqf7tRHM5SI9Fs5zZj?usp=share_link", "RE-15.9754")</f>
        <v>RE-15.9754</v>
      </c>
      <c r="R520" s="18">
        <f>HYPERLINK("https://docs.google.com/spreadsheets/d/15wzTVZsERYCJpexjYsmrCxTObqjIiSNc?usp=share_link", 692.972)</f>
        <v>692.972</v>
      </c>
      <c r="S520" s="18" t="str">
        <f>HYPERLINK("https://docs.google.com/spreadsheets/d/1e8lKr_BQeJ3BJRAnuvBnJsNqTXAbmXJQ?usp=share_link", "RE-27.7851")</f>
        <v>RE-27.7851</v>
      </c>
      <c r="T520" s="18">
        <f>HYPERLINK("https://docs.google.com/spreadsheets/d/1314VvTkZtLYhAtJJ1r9sPO6hIWklJ5bA?usp=share_link", 1051.62)</f>
        <v>1051.62</v>
      </c>
      <c r="U520" s="18" t="str">
        <f>HYPERLINK("https://docs.google.com/spreadsheets/d/1q0HpU5Cpga2vb-rnh357UuRQXwvnMYI7?usp=share_link", "RE-47.012")</f>
        <v>RE-47.012</v>
      </c>
      <c r="V520" s="18" t="str">
        <f>HYPERLINK("https://docs.google.com/spreadsheets/d/1LkDDIT767afYc9CL0ZdxdyFCCJCbLJ1v?usp=share_link", "RE-2.23613")</f>
        <v>RE-2.23613</v>
      </c>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c r="DE520" s="17"/>
      <c r="DF520" s="17"/>
      <c r="DG520" s="17"/>
      <c r="DH520" s="17"/>
      <c r="DI520" s="17"/>
      <c r="DJ520" s="17"/>
      <c r="DK520" s="17"/>
      <c r="DL520" s="17"/>
      <c r="DM520" s="17"/>
      <c r="DN520" s="17"/>
      <c r="DO520" s="17"/>
      <c r="DP520" s="17"/>
      <c r="DQ520" s="17"/>
      <c r="DR520" s="17"/>
      <c r="DS520" s="17"/>
      <c r="DT520" s="17"/>
      <c r="DU520" s="17"/>
      <c r="DV520" s="17"/>
      <c r="DW520" s="17"/>
      <c r="DX520" s="17"/>
      <c r="DY520" s="17"/>
      <c r="DZ520" s="17"/>
      <c r="EA520" s="17"/>
      <c r="EB520" s="17"/>
      <c r="EC520" s="17"/>
      <c r="ED520" s="17"/>
      <c r="EE520" s="17"/>
      <c r="EF520" s="17"/>
      <c r="EG520" s="17"/>
      <c r="EH520" s="17"/>
      <c r="EI520" s="17"/>
      <c r="EJ520" s="17"/>
      <c r="EK520" s="17"/>
      <c r="EL520" s="17"/>
      <c r="EM520" s="17"/>
      <c r="EN520" s="17"/>
      <c r="EO520" s="17"/>
      <c r="EP520" s="17"/>
      <c r="EQ520" s="17"/>
      <c r="ER520" s="17"/>
      <c r="ES520" s="17"/>
      <c r="ET520" s="17"/>
      <c r="EU520" s="17"/>
      <c r="EV520" s="17"/>
      <c r="EW520" s="17"/>
      <c r="EX520" s="17"/>
      <c r="EY520" s="17"/>
      <c r="EZ520" s="17"/>
      <c r="FA520" s="17"/>
      <c r="FB520" s="17"/>
      <c r="FC520" s="17"/>
      <c r="FD520" s="17"/>
      <c r="FE520" s="17"/>
      <c r="FF520" s="17"/>
      <c r="FG520" s="17"/>
      <c r="FH520" s="17"/>
    </row>
    <row r="521">
      <c r="A521" s="32" t="s">
        <v>88</v>
      </c>
      <c r="B521" s="32" t="s">
        <v>90</v>
      </c>
      <c r="C521" s="32" t="s">
        <v>14</v>
      </c>
      <c r="D521" s="16">
        <f t="shared" si="1"/>
        <v>2522.924</v>
      </c>
      <c r="E521" s="17"/>
      <c r="F521" s="18" t="str">
        <f>HYPERLINK("https://docs.google.com/spreadsheets/d/1HCuG_Tz-oNB27H6OrS528Rd5CFGQ8NtR?usp=share_link", "RE-614.393")</f>
        <v>RE-614.393</v>
      </c>
      <c r="G521" s="18" t="str">
        <f>HYPERLINK("https://docs.google.com/spreadsheets/d/1sAvvrrJRC-ayuUmBnY5w5yb85goeI3OC?usp=share_link", "RE-1.43382")</f>
        <v>RE-1.43382</v>
      </c>
      <c r="H521" s="18" t="str">
        <f>HYPERLINK("https://docs.google.com/spreadsheets/d/1gyTORHrkABGTYchZvO075pSsJQ1_bWHn?usp=share_link", "RE-11.1316")</f>
        <v>RE-11.1316</v>
      </c>
      <c r="I521" s="17"/>
      <c r="J521" s="18" t="str">
        <f>HYPERLINK("https://docs.google.com/spreadsheets/d/1nfSKB1sCvz44BkR3mrUP0i71q0PnKcXI?usp=share_link", "RE-192.998")</f>
        <v>RE-192.998</v>
      </c>
      <c r="K521" s="18" t="str">
        <f>HYPERLINK("https://docs.google.com/spreadsheets/d/1QiwSOaqBZIm8NAWVNwEKHoS7U0NSunmu?usp=share_link", "RE-0.203633")</f>
        <v>RE-0.203633</v>
      </c>
      <c r="L521" s="18">
        <f>HYPERLINK("https://docs.google.com/spreadsheets/d/1vLN6B0m6ZnSWG90_q_cJig5-k-_5bGnZ?usp=share_link", 254.136)</f>
        <v>254.136</v>
      </c>
      <c r="M521" s="18" t="str">
        <f>HYPERLINK("https://docs.google.com/spreadsheets/d/1ckbbI1eS_bhsRxu8x5dZxlMqEV6zWRDd?usp=share_link", "RE-0.644067")</f>
        <v>RE-0.644067</v>
      </c>
      <c r="N521" s="18" t="str">
        <f>HYPERLINK("https://docs.google.com/spreadsheets/d/1KDg3OowkjC12ebJZQW7DmFNEdFPKzyYh?usp=share_link", "RE-724.555")</f>
        <v>RE-724.555</v>
      </c>
      <c r="O521" s="18" t="str">
        <f>HYPERLINK("https://docs.google.com/spreadsheets/d/12xX8J3G5aQ5m3GGBPb3PcBsM94We3r1x?usp=share_link", "RE-5.5667")</f>
        <v>RE-5.5667</v>
      </c>
      <c r="P521" s="18">
        <f>HYPERLINK("https://docs.google.com/spreadsheets/d/1qruOQ6v29I1S1zbuxFKuYTM-OYCBb1EY?usp=share_link", 761.147)</f>
        <v>761.147</v>
      </c>
      <c r="Q521" s="18" t="str">
        <f>HYPERLINK("https://docs.google.com/spreadsheets/d/1bx_Du6hGfsQdODfUtfoR5qTljulfTxzh?usp=share_link", "RE-12.5739")</f>
        <v>RE-12.5739</v>
      </c>
      <c r="R521" s="18">
        <f>HYPERLINK("https://docs.google.com/spreadsheets/d/1GJ6hVrWNtQShdlrCitbSm2Lhc-vMatYa?usp=share_link", 591.474)</f>
        <v>591.474</v>
      </c>
      <c r="S521" s="18" t="str">
        <f>HYPERLINK("https://docs.google.com/spreadsheets/d/1w42oxkS8QDk7trXMR-KMhGlUGCm-sz3m?usp=share_link", "RE-24.4423")</f>
        <v>RE-24.4423</v>
      </c>
      <c r="T521" s="18">
        <f>HYPERLINK("https://docs.google.com/spreadsheets/d/1wbXllzyrumjcPGKRqz2afXpZCTdATIoW?usp=share_link", 916.167)</f>
        <v>916.167</v>
      </c>
      <c r="U521" s="18" t="str">
        <f>HYPERLINK("https://docs.google.com/spreadsheets/d/1nDsSiQhXQdFviTszPG2yMC4N3eCMDNXT?usp=share_link", "RE-38.5179")</f>
        <v>RE-38.5179</v>
      </c>
      <c r="V521" s="18" t="str">
        <f>HYPERLINK("https://docs.google.com/spreadsheets/d/1952SSHa1dvW6Fhxmdjk7mXeTCDgbyM9i?usp=share_link", "RE-1.77195")</f>
        <v>RE-1.77195</v>
      </c>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c r="DE521" s="17"/>
      <c r="DF521" s="17"/>
      <c r="DG521" s="17"/>
      <c r="DH521" s="17"/>
      <c r="DI521" s="17"/>
      <c r="DJ521" s="17"/>
      <c r="DK521" s="17"/>
      <c r="DL521" s="17"/>
      <c r="DM521" s="17"/>
      <c r="DN521" s="17"/>
      <c r="DO521" s="17"/>
      <c r="DP521" s="17"/>
      <c r="DQ521" s="17"/>
      <c r="DR521" s="17"/>
      <c r="DS521" s="17"/>
      <c r="DT521" s="17"/>
      <c r="DU521" s="17"/>
      <c r="DV521" s="17"/>
      <c r="DW521" s="17"/>
      <c r="DX521" s="17"/>
      <c r="DY521" s="17"/>
      <c r="DZ521" s="17"/>
      <c r="EA521" s="17"/>
      <c r="EB521" s="17"/>
      <c r="EC521" s="17"/>
      <c r="ED521" s="17"/>
      <c r="EE521" s="17"/>
      <c r="EF521" s="17"/>
      <c r="EG521" s="17"/>
      <c r="EH521" s="17"/>
      <c r="EI521" s="17"/>
      <c r="EJ521" s="17"/>
      <c r="EK521" s="17"/>
      <c r="EL521" s="17"/>
      <c r="EM521" s="17"/>
      <c r="EN521" s="17"/>
      <c r="EO521" s="17"/>
      <c r="EP521" s="17"/>
      <c r="EQ521" s="17"/>
      <c r="ER521" s="17"/>
      <c r="ES521" s="17"/>
      <c r="ET521" s="17"/>
      <c r="EU521" s="17"/>
      <c r="EV521" s="17"/>
      <c r="EW521" s="17"/>
      <c r="EX521" s="17"/>
      <c r="EY521" s="17"/>
      <c r="EZ521" s="17"/>
      <c r="FA521" s="17"/>
      <c r="FB521" s="17"/>
      <c r="FC521" s="17"/>
      <c r="FD521" s="17"/>
      <c r="FE521" s="17"/>
      <c r="FF521" s="17"/>
      <c r="FG521" s="17"/>
      <c r="FH521" s="17"/>
    </row>
    <row r="522">
      <c r="A522" s="27" t="s">
        <v>88</v>
      </c>
      <c r="B522" s="27" t="s">
        <v>90</v>
      </c>
      <c r="C522" s="27" t="s">
        <v>15</v>
      </c>
      <c r="D522" s="28">
        <f t="shared" si="1"/>
        <v>2915.954</v>
      </c>
      <c r="E522" s="33"/>
      <c r="F522" s="34" t="str">
        <f>HYPERLINK("https://docs.google.com/spreadsheets/d/1Pv-4IuNUkPezRdLFTBHp9iVqV8iMETmc?usp=share_link", "RE-684.119")</f>
        <v>RE-684.119</v>
      </c>
      <c r="G522" s="34" t="str">
        <f>HYPERLINK("https://docs.google.com/spreadsheets/d/1CSEsC0Ag1JPuUHE9XQZiA39kKxUfYmyZ?usp=share_link", "RE-1.76098")</f>
        <v>RE-1.76098</v>
      </c>
      <c r="H522" s="34" t="str">
        <f>HYPERLINK("https://docs.google.com/spreadsheets/d/17HqXb2xLEhLXo1voP8sxM2Q841dbrULg?usp=share_link", "RE-12.6506")</f>
        <v>RE-12.6506</v>
      </c>
      <c r="I522" s="33"/>
      <c r="J522" s="34" t="str">
        <f>HYPERLINK("https://docs.google.com/spreadsheets/d/17HYxoGCl6Kvpe8KM6F0tynRxinpI6Sd5?usp=share_link", "RE-209.347")</f>
        <v>RE-209.347</v>
      </c>
      <c r="K522" s="34" t="str">
        <f>HYPERLINK("https://docs.google.com/spreadsheets/d/1nYoZflto41gaot8RGwKJAnf0CO7P2Oc5?usp=share_link", "RE-0.203633")</f>
        <v>RE-0.203633</v>
      </c>
      <c r="L522" s="34">
        <f>HYPERLINK("https://docs.google.com/spreadsheets/d/1qcL6spx7_k5EipXGNEMkc3zH4RLnLq83?usp=share_link", 295.268)</f>
        <v>295.268</v>
      </c>
      <c r="M522" s="34" t="str">
        <f>HYPERLINK("https://docs.google.com/spreadsheets/d/1buP8ws7fQRbFgQyJQoZIEETNboZmIDtG?usp=share_link", "RE-0.644067")</f>
        <v>RE-0.644067</v>
      </c>
      <c r="N522" s="34" t="str">
        <f>HYPERLINK("https://docs.google.com/spreadsheets/d/1-J81aeVdb-XJS1PDnaon40AF7TmgJ9xW?usp=share_link", "RE-840.778")</f>
        <v>RE-840.778</v>
      </c>
      <c r="O522" s="34" t="str">
        <f>HYPERLINK("https://docs.google.com/spreadsheets/d/1lu2IY7_0YCHwSkT54YMnHLrVdyxbWDxr?usp=share_link", "RE-6.47982")</f>
        <v>RE-6.47982</v>
      </c>
      <c r="P522" s="34">
        <f>HYPERLINK("https://docs.google.com/spreadsheets/d/1egSJy33he0A_n4CwzO2EXKq9TSfwOttp?usp=share_link", 876.094)</f>
        <v>876.094</v>
      </c>
      <c r="Q522" s="34" t="str">
        <f>HYPERLINK("https://docs.google.com/spreadsheets/d/1cmRnFfHuFuMV-p9aL--c2KzaBaKBYaJ_?usp=share_link", "RE-15.9754")</f>
        <v>RE-15.9754</v>
      </c>
      <c r="R522" s="34">
        <f>HYPERLINK("https://docs.google.com/spreadsheets/d/19spTxR41ZTmWUtOC-36wLXUf-yaaZ3_Q?usp=share_link", 692.972)</f>
        <v>692.972</v>
      </c>
      <c r="S522" s="34" t="str">
        <f>HYPERLINK("https://docs.google.com/spreadsheets/d/1l70wqRLmypGxFp9_0fhAm1OzMLVNV483?usp=share_link", "RE-27.7851")</f>
        <v>RE-27.7851</v>
      </c>
      <c r="T522" s="34">
        <f>HYPERLINK("https://docs.google.com/spreadsheets/d/1BA6zsPatXQo-z2hxUIdU7e0wZY_Dh43Z?usp=share_link", 1051.62)</f>
        <v>1051.62</v>
      </c>
      <c r="U522" s="34" t="str">
        <f>HYPERLINK("https://docs.google.com/spreadsheets/d/1X06LRBLE8K8mQwZx4Q1cS_xFuILhc1Gj?usp=share_link", "RE-47.012")</f>
        <v>RE-47.012</v>
      </c>
      <c r="V522" s="34" t="str">
        <f>HYPERLINK("https://docs.google.com/spreadsheets/d/1a4yLKezxAg4tNCW4zZJOvR52rZrDlsYP?usp=share_link", "RE-2.23613")</f>
        <v>RE-2.23613</v>
      </c>
      <c r="W522" s="33"/>
      <c r="X522" s="33"/>
      <c r="Y522" s="33"/>
      <c r="Z522" s="33"/>
      <c r="AA522" s="33"/>
      <c r="AB522" s="33"/>
      <c r="AC522" s="33"/>
      <c r="AD522" s="33"/>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c r="BA522" s="33"/>
      <c r="BB522" s="33"/>
      <c r="BC522" s="33"/>
      <c r="BD522" s="33"/>
      <c r="BE522" s="33"/>
      <c r="BF522" s="33"/>
      <c r="BG522" s="33"/>
      <c r="BH522" s="33"/>
      <c r="BI522" s="33"/>
      <c r="BJ522" s="33"/>
      <c r="BK522" s="33"/>
      <c r="BL522" s="33"/>
      <c r="BM522" s="33"/>
      <c r="BN522" s="33"/>
      <c r="BO522" s="33"/>
      <c r="BP522" s="33"/>
      <c r="BQ522" s="33"/>
      <c r="BR522" s="33"/>
      <c r="BS522" s="33"/>
      <c r="BT522" s="33"/>
      <c r="BU522" s="33"/>
      <c r="BV522" s="33"/>
      <c r="BW522" s="33"/>
      <c r="BX522" s="33"/>
      <c r="BY522" s="33"/>
      <c r="BZ522" s="33"/>
      <c r="CA522" s="33"/>
      <c r="CB522" s="33"/>
      <c r="CC522" s="33"/>
      <c r="CD522" s="33"/>
      <c r="CE522" s="33"/>
      <c r="CF522" s="33"/>
      <c r="CG522" s="33"/>
      <c r="CH522" s="33"/>
      <c r="CI522" s="33"/>
      <c r="CJ522" s="33"/>
      <c r="CK522" s="33"/>
      <c r="CL522" s="33"/>
      <c r="CM522" s="33"/>
      <c r="CN522" s="33"/>
      <c r="CO522" s="33"/>
      <c r="CP522" s="33"/>
      <c r="CQ522" s="33"/>
      <c r="CR522" s="33"/>
      <c r="CS522" s="33"/>
      <c r="CT522" s="33"/>
      <c r="CU522" s="33"/>
      <c r="CV522" s="33"/>
      <c r="CW522" s="33"/>
      <c r="CX522" s="33"/>
      <c r="CY522" s="33"/>
      <c r="CZ522" s="33"/>
      <c r="DA522" s="33"/>
      <c r="DB522" s="33"/>
      <c r="DC522" s="33"/>
      <c r="DD522" s="33"/>
      <c r="DE522" s="33"/>
      <c r="DF522" s="33"/>
      <c r="DG522" s="33"/>
      <c r="DH522" s="33"/>
      <c r="DI522" s="33"/>
      <c r="DJ522" s="33"/>
      <c r="DK522" s="33"/>
      <c r="DL522" s="33"/>
      <c r="DM522" s="33"/>
      <c r="DN522" s="33"/>
      <c r="DO522" s="33"/>
      <c r="DP522" s="33"/>
      <c r="DQ522" s="33"/>
      <c r="DR522" s="33"/>
      <c r="DS522" s="33"/>
      <c r="DT522" s="33"/>
      <c r="DU522" s="33"/>
      <c r="DV522" s="33"/>
      <c r="DW522" s="33"/>
      <c r="DX522" s="33"/>
      <c r="DY522" s="33"/>
      <c r="DZ522" s="33"/>
      <c r="EA522" s="33"/>
      <c r="EB522" s="33"/>
      <c r="EC522" s="33"/>
      <c r="ED522" s="33"/>
      <c r="EE522" s="33"/>
      <c r="EF522" s="33"/>
      <c r="EG522" s="33"/>
      <c r="EH522" s="33"/>
      <c r="EI522" s="33"/>
      <c r="EJ522" s="33"/>
      <c r="EK522" s="33"/>
      <c r="EL522" s="33"/>
      <c r="EM522" s="33"/>
      <c r="EN522" s="33"/>
      <c r="EO522" s="33"/>
      <c r="EP522" s="33"/>
      <c r="EQ522" s="33"/>
      <c r="ER522" s="33"/>
      <c r="ES522" s="33"/>
      <c r="ET522" s="33"/>
      <c r="EU522" s="33"/>
      <c r="EV522" s="33"/>
      <c r="EW522" s="33"/>
      <c r="EX522" s="33"/>
      <c r="EY522" s="33"/>
      <c r="EZ522" s="33"/>
      <c r="FA522" s="33"/>
      <c r="FB522" s="33"/>
      <c r="FC522" s="33"/>
      <c r="FD522" s="33"/>
      <c r="FE522" s="33"/>
      <c r="FF522" s="33"/>
      <c r="FG522" s="33"/>
      <c r="FH522" s="33"/>
    </row>
    <row r="523">
      <c r="A523" s="30" t="s">
        <v>77</v>
      </c>
      <c r="B523" s="30" t="s">
        <v>91</v>
      </c>
      <c r="C523" s="31" t="str">
        <f>HYPERLINK("https://docs.google.com/spreadsheets/d/1nwHraYoctUrhPrKtgmWWd1EbPvw6BKQA/edit?usp=share_link&amp;ouid=118279477453217743021&amp;rtpof=true&amp;sd=true", "Raw Delivered")</f>
        <v>Raw Delivered</v>
      </c>
      <c r="D523" s="12">
        <f t="shared" si="1"/>
        <v>7188.913593</v>
      </c>
      <c r="E523" s="13"/>
      <c r="F523" s="14">
        <f>HYPERLINK("https://docs.google.com/spreadsheets/d/1SUo56N0tpYQ0_54J-gqh3aNe9uDLQK04", 2183.859065625)</f>
        <v>2183.859066</v>
      </c>
      <c r="G523" s="13"/>
      <c r="H523" s="14">
        <f>HYPERLINK("https://docs.google.com/spreadsheets/d/1DnqExOnDXK_VtlnvzzhTNt0nhecbgg6n", 349.850269791666)</f>
        <v>349.8502698</v>
      </c>
      <c r="I523" s="13"/>
      <c r="J523" s="14">
        <f>HYPERLINK("https://docs.google.com/spreadsheets/d/1xS-Vpon_iCgDOgAYelhswLjeetS3ljXP", 318.3778125)</f>
        <v>318.3778125</v>
      </c>
      <c r="K523" s="13"/>
      <c r="L523" s="14">
        <f t="shared" ref="L523:L524" si="262">HYPERLINK("https://docs.google.com/spreadsheets/d/1uUQOdW_4VCTmEsuDDCIFu3i4G8E_Uklj", 1999.66434374999)</f>
        <v>1999.664344</v>
      </c>
      <c r="M523" s="13"/>
      <c r="N523" s="14">
        <f>HYPERLINK("https://docs.google.com/spreadsheets/d/1ECLVp9qnGBRVblXoNL55r5nSQuK_gji1", 328.039157291667)</f>
        <v>328.0391573</v>
      </c>
      <c r="O523" s="13"/>
      <c r="P523" s="14">
        <f t="shared" ref="P523:P524" si="263">HYPERLINK("https://docs.google.com/spreadsheets/d/1RZCzHakh8e9xN9A_mulKNFex3CIp6Gun", 646.675065624999)</f>
        <v>646.6750656</v>
      </c>
      <c r="Q523" s="13"/>
      <c r="R523" s="14">
        <f t="shared" ref="R523:R524" si="264">HYPERLINK("https://docs.google.com/spreadsheets/d/1EVjuAHMSyAjfxyYY6-U82Q-V97cKwhJt", 1203.55584583333)</f>
        <v>1203.555846</v>
      </c>
      <c r="S523" s="13"/>
      <c r="T523" s="14">
        <f t="shared" ref="T523:T524" si="265">HYPERLINK("https://docs.google.com/spreadsheets/d/1jbLq6KDTNIAdzG6_g8lL6q2MSpkVvQBQ", 158.892032291666)</f>
        <v>158.8920323</v>
      </c>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c r="DV523" s="13"/>
      <c r="DW523" s="13"/>
      <c r="DX523" s="13"/>
      <c r="DY523" s="13"/>
      <c r="DZ523" s="13"/>
      <c r="EA523" s="13"/>
      <c r="EB523" s="13"/>
      <c r="EC523" s="13"/>
      <c r="ED523" s="13"/>
      <c r="EE523" s="13"/>
      <c r="EF523" s="13"/>
      <c r="EG523" s="13"/>
      <c r="EH523" s="13"/>
      <c r="EI523" s="13"/>
      <c r="EJ523" s="13"/>
      <c r="EK523" s="13"/>
      <c r="EL523" s="13"/>
      <c r="EM523" s="13"/>
      <c r="EN523" s="13"/>
      <c r="EO523" s="13"/>
      <c r="EP523" s="13"/>
      <c r="EQ523" s="13"/>
      <c r="ER523" s="13"/>
      <c r="ES523" s="13"/>
      <c r="ET523" s="13"/>
      <c r="EU523" s="13"/>
      <c r="EV523" s="13"/>
      <c r="EW523" s="13"/>
      <c r="EX523" s="13"/>
      <c r="EY523" s="13"/>
      <c r="EZ523" s="13"/>
      <c r="FA523" s="13"/>
      <c r="FB523" s="13"/>
      <c r="FC523" s="13"/>
      <c r="FD523" s="13"/>
      <c r="FE523" s="13"/>
      <c r="FF523" s="13"/>
      <c r="FG523" s="13"/>
      <c r="FH523" s="13"/>
    </row>
    <row r="524">
      <c r="A524" s="32" t="s">
        <v>77</v>
      </c>
      <c r="B524" s="32" t="s">
        <v>91</v>
      </c>
      <c r="C524" s="32" t="s">
        <v>9</v>
      </c>
      <c r="D524" s="16">
        <f t="shared" si="1"/>
        <v>4008.787287</v>
      </c>
      <c r="E524" s="17"/>
      <c r="F524" s="18" t="str">
        <f>HYPERLINK("https://docs.google.com/spreadsheets/d/1SUo56N0tpYQ0_54J-gqh3aNe9uDLQK04", "RE-2183.8590656250008")</f>
        <v>RE-2183.8590656250008</v>
      </c>
      <c r="G524" s="17"/>
      <c r="H524" s="18" t="str">
        <f>HYPERLINK("https://docs.google.com/spreadsheets/d/1DnqExOnDXK_VtlnvzzhTNt0nhecbgg6n", "RE-349.85026979166645")</f>
        <v>RE-349.85026979166645</v>
      </c>
      <c r="I524" s="17"/>
      <c r="J524" s="18" t="str">
        <f>HYPERLINK("https://docs.google.com/spreadsheets/d/1xS-Vpon_iCgDOgAYelhswLjeetS3ljXP", "RE-318.37781250000046")</f>
        <v>RE-318.37781250000046</v>
      </c>
      <c r="K524" s="17"/>
      <c r="L524" s="18">
        <f t="shared" si="262"/>
        <v>1999.664344</v>
      </c>
      <c r="M524" s="17"/>
      <c r="N524" s="18" t="str">
        <f>HYPERLINK("https://docs.google.com/spreadsheets/d/1ECLVp9qnGBRVblXoNL55r5nSQuK_gji1", "RE-328.03915729166715")</f>
        <v>RE-328.03915729166715</v>
      </c>
      <c r="O524" s="17"/>
      <c r="P524" s="18">
        <f t="shared" si="263"/>
        <v>646.6750656</v>
      </c>
      <c r="Q524" s="17"/>
      <c r="R524" s="18">
        <f t="shared" si="264"/>
        <v>1203.555846</v>
      </c>
      <c r="S524" s="17"/>
      <c r="T524" s="18">
        <f t="shared" si="265"/>
        <v>158.8920323</v>
      </c>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c r="DE524" s="17"/>
      <c r="DF524" s="17"/>
      <c r="DG524" s="17"/>
      <c r="DH524" s="17"/>
      <c r="DI524" s="17"/>
      <c r="DJ524" s="17"/>
      <c r="DK524" s="17"/>
      <c r="DL524" s="17"/>
      <c r="DM524" s="17"/>
      <c r="DN524" s="17"/>
      <c r="DO524" s="17"/>
      <c r="DP524" s="17"/>
      <c r="DQ524" s="17"/>
      <c r="DR524" s="17"/>
      <c r="DS524" s="17"/>
      <c r="DT524" s="17"/>
      <c r="DU524" s="17"/>
      <c r="DV524" s="17"/>
      <c r="DW524" s="17"/>
      <c r="DX524" s="17"/>
      <c r="DY524" s="17"/>
      <c r="DZ524" s="17"/>
      <c r="EA524" s="17"/>
      <c r="EB524" s="17"/>
      <c r="EC524" s="17"/>
      <c r="ED524" s="17"/>
      <c r="EE524" s="17"/>
      <c r="EF524" s="17"/>
      <c r="EG524" s="17"/>
      <c r="EH524" s="17"/>
      <c r="EI524" s="17"/>
      <c r="EJ524" s="17"/>
      <c r="EK524" s="17"/>
      <c r="EL524" s="17"/>
      <c r="EM524" s="17"/>
      <c r="EN524" s="17"/>
      <c r="EO524" s="17"/>
      <c r="EP524" s="17"/>
      <c r="EQ524" s="17"/>
      <c r="ER524" s="17"/>
      <c r="ES524" s="17"/>
      <c r="ET524" s="17"/>
      <c r="EU524" s="17"/>
      <c r="EV524" s="17"/>
      <c r="EW524" s="17"/>
      <c r="EX524" s="17"/>
      <c r="EY524" s="17"/>
      <c r="EZ524" s="17"/>
      <c r="FA524" s="17"/>
      <c r="FB524" s="17"/>
      <c r="FC524" s="17"/>
      <c r="FD524" s="17"/>
      <c r="FE524" s="17"/>
      <c r="FF524" s="17"/>
      <c r="FG524" s="17"/>
      <c r="FH524" s="17"/>
    </row>
    <row r="525">
      <c r="A525" s="32" t="s">
        <v>77</v>
      </c>
      <c r="B525" s="32" t="s">
        <v>91</v>
      </c>
      <c r="C525" s="32" t="s">
        <v>10</v>
      </c>
      <c r="D525" s="16">
        <f t="shared" si="1"/>
        <v>578.9960708</v>
      </c>
      <c r="E525" s="17"/>
      <c r="F525" s="17"/>
      <c r="G525" s="18">
        <f>HYPERLINK("https://docs.google.com/spreadsheets/d/15T1wBt1PrmYqoClVQNVXQ0PRwZ4O1MiM", 226.426416666666)</f>
        <v>226.4264167</v>
      </c>
      <c r="H525" s="17"/>
      <c r="I525" s="18">
        <f>HYPERLINK("https://docs.google.com/spreadsheets/d/1OV-FzMYsifiVcZVC98cHlAURbF-dzebw", 14.7259770833333)</f>
        <v>14.72597708</v>
      </c>
      <c r="J525" s="17"/>
      <c r="K525" s="18">
        <f>HYPERLINK("https://docs.google.com/spreadsheets/d/1duibVZ4EtdH-0DFnHvP382QQ6x5PYJ6r", 32.3849666666666)</f>
        <v>32.38496667</v>
      </c>
      <c r="L525" s="17"/>
      <c r="M525" s="18">
        <f>HYPERLINK("https://docs.google.com/spreadsheets/d/154A4C161hEsn9ttJ6-sDr0AkSUH1GCax", 87.999828125)</f>
        <v>87.99982813</v>
      </c>
      <c r="N525" s="17"/>
      <c r="O525" s="18">
        <f>HYPERLINK("https://docs.google.com/spreadsheets/d/19RSjTRqufH2_yAgpmlgVkUfat72M2WQ9", 19.2690697916666)</f>
        <v>19.26906979</v>
      </c>
      <c r="P525" s="17"/>
      <c r="Q525" s="18">
        <f>HYPERLINK("https://docs.google.com/spreadsheets/d/1gvro_Vax19IVT1TC0SnnFLTz_tRiV5za", 60.4581812499999)</f>
        <v>60.45818125</v>
      </c>
      <c r="R525" s="17"/>
      <c r="S525" s="18">
        <f>HYPERLINK("https://docs.google.com/spreadsheets/d/1TRAXYuwuJ4IFH-IVRqdX10UKKKSzX5UV", 103.035530208333)</f>
        <v>103.0355302</v>
      </c>
      <c r="T525" s="17"/>
      <c r="U525" s="18">
        <f>HYPERLINK("https://docs.google.com/spreadsheets/d/1ioMTUFKTTM40WJvy06uY32ptUpVEaf8Q", 34.358790625)</f>
        <v>34.35879063</v>
      </c>
      <c r="V525" s="18">
        <f>HYPERLINK("https://docs.google.com/spreadsheets/d/1jJPzOt6D9r2oAT86fXqajMKhEPxoSbFj", 0.337310416666666)</f>
        <v>0.3373104167</v>
      </c>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c r="DE525" s="17"/>
      <c r="DF525" s="17"/>
      <c r="DG525" s="17"/>
      <c r="DH525" s="17"/>
      <c r="DI525" s="17"/>
      <c r="DJ525" s="17"/>
      <c r="DK525" s="17"/>
      <c r="DL525" s="17"/>
      <c r="DM525" s="17"/>
      <c r="DN525" s="17"/>
      <c r="DO525" s="17"/>
      <c r="DP525" s="17"/>
      <c r="DQ525" s="17"/>
      <c r="DR525" s="17"/>
      <c r="DS525" s="17"/>
      <c r="DT525" s="17"/>
      <c r="DU525" s="17"/>
      <c r="DV525" s="17"/>
      <c r="DW525" s="17"/>
      <c r="DX525" s="17"/>
      <c r="DY525" s="17"/>
      <c r="DZ525" s="17"/>
      <c r="EA525" s="17"/>
      <c r="EB525" s="17"/>
      <c r="EC525" s="17"/>
      <c r="ED525" s="17"/>
      <c r="EE525" s="17"/>
      <c r="EF525" s="17"/>
      <c r="EG525" s="17"/>
      <c r="EH525" s="17"/>
      <c r="EI525" s="17"/>
      <c r="EJ525" s="17"/>
      <c r="EK525" s="17"/>
      <c r="EL525" s="17"/>
      <c r="EM525" s="17"/>
      <c r="EN525" s="17"/>
      <c r="EO525" s="17"/>
      <c r="EP525" s="17"/>
      <c r="EQ525" s="17"/>
      <c r="ER525" s="17"/>
      <c r="ES525" s="17"/>
      <c r="ET525" s="17"/>
      <c r="EU525" s="17"/>
      <c r="EV525" s="17"/>
      <c r="EW525" s="17"/>
      <c r="EX525" s="17"/>
      <c r="EY525" s="17"/>
      <c r="EZ525" s="17"/>
      <c r="FA525" s="17"/>
      <c r="FB525" s="17"/>
      <c r="FC525" s="17"/>
      <c r="FD525" s="17"/>
      <c r="FE525" s="17"/>
      <c r="FF525" s="17"/>
      <c r="FG525" s="17"/>
      <c r="FH525" s="17"/>
    </row>
    <row r="526">
      <c r="A526" s="32" t="s">
        <v>77</v>
      </c>
      <c r="B526" s="32" t="s">
        <v>91</v>
      </c>
      <c r="C526" s="32" t="s">
        <v>11</v>
      </c>
      <c r="D526" s="16">
        <f t="shared" si="1"/>
        <v>0</v>
      </c>
      <c r="E526" s="17"/>
      <c r="F526" s="17"/>
      <c r="G526" s="18" t="str">
        <f>HYPERLINK("https://docs.google.com/spreadsheets/d/15T1wBt1PrmYqoClVQNVXQ0PRwZ4O1MiM", "RE-226.42641666666663")</f>
        <v>RE-226.42641666666663</v>
      </c>
      <c r="H526" s="17"/>
      <c r="I526" s="18" t="str">
        <f>HYPERLINK("https://docs.google.com/spreadsheets/d/1OV-FzMYsifiVcZVC98cHlAURbF-dzebw", "RE-14.725977083333332")</f>
        <v>RE-14.725977083333332</v>
      </c>
      <c r="J526" s="17"/>
      <c r="K526" s="18" t="str">
        <f>HYPERLINK("https://docs.google.com/spreadsheets/d/1duibVZ4EtdH-0DFnHvP382QQ6x5PYJ6r", "RE-32.38496666666667")</f>
        <v>RE-32.38496666666667</v>
      </c>
      <c r="L526" s="17"/>
      <c r="M526" s="18" t="str">
        <f>HYPERLINK("https://docs.google.com/spreadsheets/d/154A4C161hEsn9ttJ6-sDr0AkSUH1GCax", "RE-87.999828125")</f>
        <v>RE-87.999828125</v>
      </c>
      <c r="N526" s="17"/>
      <c r="O526" s="18" t="str">
        <f>HYPERLINK("https://docs.google.com/spreadsheets/d/19RSjTRqufH2_yAgpmlgVkUfat72M2WQ9", "RE-19.269069791666666")</f>
        <v>RE-19.269069791666666</v>
      </c>
      <c r="P526" s="17"/>
      <c r="Q526" s="18" t="str">
        <f>HYPERLINK("https://docs.google.com/spreadsheets/d/1gvro_Vax19IVT1TC0SnnFLTz_tRiV5za", "RE-60.45818124999996")</f>
        <v>RE-60.45818124999996</v>
      </c>
      <c r="R526" s="17"/>
      <c r="S526" s="18" t="str">
        <f>HYPERLINK("https://docs.google.com/spreadsheets/d/1TRAXYuwuJ4IFH-IVRqdX10UKKKSzX5UV", "RE-103.03553020833327")</f>
        <v>RE-103.03553020833327</v>
      </c>
      <c r="T526" s="17"/>
      <c r="U526" s="18" t="str">
        <f>HYPERLINK("https://docs.google.com/spreadsheets/d/1ioMTUFKTTM40WJvy06uY32ptUpVEaf8Q", "RE-34.35879062500001")</f>
        <v>RE-34.35879062500001</v>
      </c>
      <c r="V526" s="18" t="str">
        <f>HYPERLINK("https://docs.google.com/spreadsheets/d/1jJPzOt6D9r2oAT86fXqajMKhEPxoSbFj", "RE-0.33731041666666667")</f>
        <v>RE-0.33731041666666667</v>
      </c>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c r="DE526" s="17"/>
      <c r="DF526" s="17"/>
      <c r="DG526" s="17"/>
      <c r="DH526" s="17"/>
      <c r="DI526" s="17"/>
      <c r="DJ526" s="17"/>
      <c r="DK526" s="17"/>
      <c r="DL526" s="17"/>
      <c r="DM526" s="17"/>
      <c r="DN526" s="17"/>
      <c r="DO526" s="17"/>
      <c r="DP526" s="17"/>
      <c r="DQ526" s="17"/>
      <c r="DR526" s="17"/>
      <c r="DS526" s="17"/>
      <c r="DT526" s="17"/>
      <c r="DU526" s="17"/>
      <c r="DV526" s="17"/>
      <c r="DW526" s="17"/>
      <c r="DX526" s="17"/>
      <c r="DY526" s="17"/>
      <c r="DZ526" s="17"/>
      <c r="EA526" s="17"/>
      <c r="EB526" s="17"/>
      <c r="EC526" s="17"/>
      <c r="ED526" s="17"/>
      <c r="EE526" s="17"/>
      <c r="EF526" s="17"/>
      <c r="EG526" s="17"/>
      <c r="EH526" s="17"/>
      <c r="EI526" s="17"/>
      <c r="EJ526" s="17"/>
      <c r="EK526" s="17"/>
      <c r="EL526" s="17"/>
      <c r="EM526" s="17"/>
      <c r="EN526" s="17"/>
      <c r="EO526" s="17"/>
      <c r="EP526" s="17"/>
      <c r="EQ526" s="17"/>
      <c r="ER526" s="17"/>
      <c r="ES526" s="17"/>
      <c r="ET526" s="17"/>
      <c r="EU526" s="17"/>
      <c r="EV526" s="17"/>
      <c r="EW526" s="17"/>
      <c r="EX526" s="17"/>
      <c r="EY526" s="17"/>
      <c r="EZ526" s="17"/>
      <c r="FA526" s="17"/>
      <c r="FB526" s="17"/>
      <c r="FC526" s="17"/>
      <c r="FD526" s="17"/>
      <c r="FE526" s="17"/>
      <c r="FF526" s="17"/>
      <c r="FG526" s="17"/>
      <c r="FH526" s="17"/>
    </row>
    <row r="527">
      <c r="A527" s="32" t="s">
        <v>77</v>
      </c>
      <c r="B527" s="32" t="s">
        <v>91</v>
      </c>
      <c r="C527" s="32" t="s">
        <v>12</v>
      </c>
      <c r="D527" s="16">
        <f t="shared" si="1"/>
        <v>3721.536696</v>
      </c>
      <c r="E527" s="17"/>
      <c r="F527" s="18" t="str">
        <f>HYPERLINK("https://docs.google.com/spreadsheets/d/1-HzZxpBsDyuAlyihk8Vo-eu5td6O20OY", "RE-1727.7259760416623")</f>
        <v>RE-1727.7259760416623</v>
      </c>
      <c r="G527" s="18" t="str">
        <f>HYPERLINK("https://docs.google.com/spreadsheets/d/1TWb_vzXm4AEYQI-PYdp4FEy7BvWF9fwx", "RE-7.626054166666666")</f>
        <v>RE-7.626054166666666</v>
      </c>
      <c r="H527" s="18" t="str">
        <f>HYPERLINK("https://docs.google.com/spreadsheets/d/15FWybZNXNZIp3zVhiWxRn08bb5bCp5To", "RE-311.93818437499993")</f>
        <v>RE-311.93818437499993</v>
      </c>
      <c r="I527" s="18" t="str">
        <f>HYPERLINK("https://docs.google.com/spreadsheets/d/13xcXcr4HPTTJa7yjJginnsNmskmZiwzX", "RE-0.9712374999999999")</f>
        <v>RE-0.9712374999999999</v>
      </c>
      <c r="J527" s="18" t="str">
        <f>HYPERLINK("https://docs.google.com/spreadsheets/d/1brOaD9M_VGDPHDtzBMvHia4LRLX3W8f7", "RE-230.89366458333325")</f>
        <v>RE-230.89366458333325</v>
      </c>
      <c r="K527" s="18" t="str">
        <f>HYPERLINK("https://docs.google.com/spreadsheets/d/1j59F2oPGgD4rDvaVgStv46LuOgDzcf7_", "RE-1.2786312499999999")</f>
        <v>RE-1.2786312499999999</v>
      </c>
      <c r="L527" s="18">
        <f>HYPERLINK("https://docs.google.com/spreadsheets/d/1uZ8xq7TZW4jthaxzgitjtRNt2aCOqTu3", 1831.40049687499)</f>
        <v>1831.400497</v>
      </c>
      <c r="M527" s="18" t="str">
        <f>HYPERLINK("https://docs.google.com/spreadsheets/d/13HEfkgB_DSjdqa2TnTah2hG5JplSYumX", "RE-21.80902916666667")</f>
        <v>RE-21.80902916666667</v>
      </c>
      <c r="N527" s="18" t="str">
        <f>HYPERLINK("https://docs.google.com/spreadsheets/d/1qHx-Oylhwb4NV6svIpijaqPgnkyG9ra8", "RE-166.8701979166667")</f>
        <v>RE-166.8701979166667</v>
      </c>
      <c r="O527" s="18" t="str">
        <f>HYPERLINK("https://docs.google.com/spreadsheets/d/10kwE-jZRy6Mm3XKpm_1WM1VsaywgVI-q", "RE-5.748712499999998")</f>
        <v>RE-5.748712499999998</v>
      </c>
      <c r="P527" s="18">
        <f>HYPERLINK("https://docs.google.com/spreadsheets/d/11bDvP8oC-t1iT0mQ0WlwroF8i6eHR80e", 590.716045833333)</f>
        <v>590.7160458</v>
      </c>
      <c r="Q527" s="18" t="str">
        <f>HYPERLINK("https://docs.google.com/spreadsheets/d/1qErb30D2sZp59rjMUPbkuMmm0v0efWxt", "RE-25.466596874999993")</f>
        <v>RE-25.466596874999993</v>
      </c>
      <c r="R527" s="18">
        <f>HYPERLINK("https://docs.google.com/spreadsheets/d/1kLn-SmtvvA-C2fbUlyMnLKD7E5zW2CAV", 1146.96658125)</f>
        <v>1146.966581</v>
      </c>
      <c r="S527" s="18" t="str">
        <f>HYPERLINK("https://docs.google.com/spreadsheets/d/1KGjNVB_w7Gi6LRKvUUaRcFjdTOCIiV7K", "RE-45.71307604166666")</f>
        <v>RE-45.71307604166666</v>
      </c>
      <c r="T527" s="18">
        <f>HYPERLINK("https://docs.google.com/spreadsheets/d/1xoeczlptcFbq8YL1o3rveJ9XLeAk-AWo", 152.453571874999)</f>
        <v>152.4535719</v>
      </c>
      <c r="U527" s="18" t="str">
        <f>HYPERLINK("https://docs.google.com/spreadsheets/d/1Rjuhb74IahduyJbe-0J8bGoK_eHFXQit", "RE-16.436929166666665")</f>
        <v>RE-16.436929166666665</v>
      </c>
      <c r="V527" s="18" t="str">
        <f>HYPERLINK("https://docs.google.com/spreadsheets/d/1L3fDxX1whNJixakaIltUwyaoah4N6ZPH", "RE-0.33731041666666667")</f>
        <v>RE-0.33731041666666667</v>
      </c>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c r="DE527" s="17"/>
      <c r="DF527" s="17"/>
      <c r="DG527" s="17"/>
      <c r="DH527" s="17"/>
      <c r="DI527" s="17"/>
      <c r="DJ527" s="17"/>
      <c r="DK527" s="17"/>
      <c r="DL527" s="17"/>
      <c r="DM527" s="17"/>
      <c r="DN527" s="17"/>
      <c r="DO527" s="17"/>
      <c r="DP527" s="17"/>
      <c r="DQ527" s="17"/>
      <c r="DR527" s="17"/>
      <c r="DS527" s="17"/>
      <c r="DT527" s="17"/>
      <c r="DU527" s="17"/>
      <c r="DV527" s="17"/>
      <c r="DW527" s="17"/>
      <c r="DX527" s="17"/>
      <c r="DY527" s="17"/>
      <c r="DZ527" s="17"/>
      <c r="EA527" s="17"/>
      <c r="EB527" s="17"/>
      <c r="EC527" s="17"/>
      <c r="ED527" s="17"/>
      <c r="EE527" s="17"/>
      <c r="EF527" s="17"/>
      <c r="EG527" s="17"/>
      <c r="EH527" s="17"/>
      <c r="EI527" s="17"/>
      <c r="EJ527" s="17"/>
      <c r="EK527" s="17"/>
      <c r="EL527" s="17"/>
      <c r="EM527" s="17"/>
      <c r="EN527" s="17"/>
      <c r="EO527" s="17"/>
      <c r="EP527" s="17"/>
      <c r="EQ527" s="17"/>
      <c r="ER527" s="17"/>
      <c r="ES527" s="17"/>
      <c r="ET527" s="17"/>
      <c r="EU527" s="17"/>
      <c r="EV527" s="17"/>
      <c r="EW527" s="17"/>
      <c r="EX527" s="17"/>
      <c r="EY527" s="17"/>
      <c r="EZ527" s="17"/>
      <c r="FA527" s="17"/>
      <c r="FB527" s="17"/>
      <c r="FC527" s="17"/>
      <c r="FD527" s="17"/>
      <c r="FE527" s="17"/>
      <c r="FF527" s="17"/>
      <c r="FG527" s="17"/>
      <c r="FH527" s="17"/>
    </row>
    <row r="528">
      <c r="A528" s="32" t="s">
        <v>77</v>
      </c>
      <c r="B528" s="32" t="s">
        <v>91</v>
      </c>
      <c r="C528" s="32" t="s">
        <v>13</v>
      </c>
      <c r="D528" s="16">
        <f t="shared" si="1"/>
        <v>3550.316</v>
      </c>
      <c r="E528" s="17"/>
      <c r="F528" s="18" t="str">
        <f>HYPERLINK("https://docs.google.com/spreadsheets/d/11x3bYn3p2eroRESQHhf5aN3NGOq2Y-FN?usp=share_link", "RE-1683.31")</f>
        <v>RE-1683.31</v>
      </c>
      <c r="G528" s="18" t="str">
        <f>HYPERLINK("https://docs.google.com/spreadsheets/d/1zf2672lQejCdGNwHa65PKV2x9YUPSF6s?usp=share_link", "RE-7.25582")</f>
        <v>RE-7.25582</v>
      </c>
      <c r="H528" s="18" t="str">
        <f>HYPERLINK("https://docs.google.com/spreadsheets/d/19_NwXb7GdyxuTNeEsUNz1xPURHLg6FJL?usp=share_link", "RE-303.844")</f>
        <v>RE-303.844</v>
      </c>
      <c r="I528" s="18" t="str">
        <f>HYPERLINK("https://docs.google.com/spreadsheets/d/1EFd5Xdx4y5cBleZrSk_UjtS5UyaTLWyf?usp=share_link", "RE-0.9326")</f>
        <v>RE-0.9326</v>
      </c>
      <c r="J528" s="18" t="str">
        <f>HYPERLINK("https://docs.google.com/spreadsheets/d/143hgoUrHWc5U3eiNhA_afnSsF5BhjBPl?usp=share_link", "RE-222.978")</f>
        <v>RE-222.978</v>
      </c>
      <c r="K528" s="18" t="str">
        <f>HYPERLINK("https://docs.google.com/spreadsheets/d/1LgSGoF3UpIhNIHRASXg7gnOiJ9OROuqF?usp=share_link", "RE-1.26148")</f>
        <v>RE-1.26148</v>
      </c>
      <c r="L528" s="18">
        <f>HYPERLINK("https://docs.google.com/spreadsheets/d/1dR6HJSq_Gb1fO9aI7LpNXc0nLRwo2Mui?usp=share_link", 1757.05)</f>
        <v>1757.05</v>
      </c>
      <c r="M528" s="18" t="str">
        <f>HYPERLINK("https://docs.google.com/spreadsheets/d/1T7dXZW92qHc47Ghc4hipiprVJmzYG0Gi?usp=share_link", "RE-20.8956")</f>
        <v>RE-20.8956</v>
      </c>
      <c r="N528" s="18" t="str">
        <f>HYPERLINK("https://docs.google.com/spreadsheets/d/1i_yqabyJtnnQXIW3vc1J6a-jWsh93PyN?usp=share_link", "RE-162.45")</f>
        <v>RE-162.45</v>
      </c>
      <c r="O528" s="18" t="str">
        <f>HYPERLINK("https://docs.google.com/spreadsheets/d/10hkJ1mFafDoikPoDYufP2mrZiwi2Fhl0?usp=share_link", "RE-5.56758")</f>
        <v>RE-5.56758</v>
      </c>
      <c r="P528" s="18">
        <f>HYPERLINK("https://docs.google.com/spreadsheets/d/1UzPy6KdL_RGo0moJnUn10J_P6UHY_ZZp?usp=share_link", 557.852)</f>
        <v>557.852</v>
      </c>
      <c r="Q528" s="18" t="str">
        <f>HYPERLINK("https://docs.google.com/spreadsheets/d/1d8JXDzfCQ-hSiFE6Q1Co2Bynk5EgWvnv?usp=share_link", "RE-23.444")</f>
        <v>RE-23.444</v>
      </c>
      <c r="R528" s="18">
        <f>HYPERLINK("https://docs.google.com/spreadsheets/d/1TdwajJ5s5FkznOB-W2DQosZWI54Me5_5?usp=share_link", 1088.9)</f>
        <v>1088.9</v>
      </c>
      <c r="S528" s="18" t="str">
        <f>HYPERLINK("https://docs.google.com/spreadsheets/d/1-uPWB7r9_M2bdQKbPOrV8uk7f44rvB6l?usp=share_link", "RE-42.8316")</f>
        <v>RE-42.8316</v>
      </c>
      <c r="T528" s="18">
        <f>HYPERLINK("https://docs.google.com/spreadsheets/d/1qntyofgIM23hLUv0MiYCimd1LTrYxKuA?usp=share_link", 146.514)</f>
        <v>146.514</v>
      </c>
      <c r="U528" s="18" t="str">
        <f>HYPERLINK("https://docs.google.com/spreadsheets/d/1iFabtAbSKlpKICnczOYBygo27TpqNxCl?usp=share_link", "RE-15.5501")</f>
        <v>RE-15.5501</v>
      </c>
      <c r="V528" s="18" t="str">
        <f>HYPERLINK("https://docs.google.com/spreadsheets/d/1TYjslv4aE5TfHh75QOLXI98Bt92BHC6E?usp=share_link", "RE-0.30245")</f>
        <v>RE-0.30245</v>
      </c>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c r="DE528" s="17"/>
      <c r="DF528" s="17"/>
      <c r="DG528" s="17"/>
      <c r="DH528" s="17"/>
      <c r="DI528" s="17"/>
      <c r="DJ528" s="17"/>
      <c r="DK528" s="17"/>
      <c r="DL528" s="17"/>
      <c r="DM528" s="17"/>
      <c r="DN528" s="17"/>
      <c r="DO528" s="17"/>
      <c r="DP528" s="17"/>
      <c r="DQ528" s="17"/>
      <c r="DR528" s="17"/>
      <c r="DS528" s="17"/>
      <c r="DT528" s="17"/>
      <c r="DU528" s="17"/>
      <c r="DV528" s="17"/>
      <c r="DW528" s="17"/>
      <c r="DX528" s="17"/>
      <c r="DY528" s="17"/>
      <c r="DZ528" s="17"/>
      <c r="EA528" s="17"/>
      <c r="EB528" s="17"/>
      <c r="EC528" s="17"/>
      <c r="ED528" s="17"/>
      <c r="EE528" s="17"/>
      <c r="EF528" s="17"/>
      <c r="EG528" s="17"/>
      <c r="EH528" s="17"/>
      <c r="EI528" s="17"/>
      <c r="EJ528" s="17"/>
      <c r="EK528" s="17"/>
      <c r="EL528" s="17"/>
      <c r="EM528" s="17"/>
      <c r="EN528" s="17"/>
      <c r="EO528" s="17"/>
      <c r="EP528" s="17"/>
      <c r="EQ528" s="17"/>
      <c r="ER528" s="17"/>
      <c r="ES528" s="17"/>
      <c r="ET528" s="17"/>
      <c r="EU528" s="17"/>
      <c r="EV528" s="17"/>
      <c r="EW528" s="17"/>
      <c r="EX528" s="17"/>
      <c r="EY528" s="17"/>
      <c r="EZ528" s="17"/>
      <c r="FA528" s="17"/>
      <c r="FB528" s="17"/>
      <c r="FC528" s="17"/>
      <c r="FD528" s="17"/>
      <c r="FE528" s="17"/>
      <c r="FF528" s="17"/>
      <c r="FG528" s="17"/>
      <c r="FH528" s="17"/>
    </row>
    <row r="529">
      <c r="A529" s="32" t="s">
        <v>77</v>
      </c>
      <c r="B529" s="32" t="s">
        <v>91</v>
      </c>
      <c r="C529" s="32" t="s">
        <v>14</v>
      </c>
      <c r="D529" s="16">
        <f t="shared" si="1"/>
        <v>3089.701</v>
      </c>
      <c r="E529" s="17"/>
      <c r="F529" s="18" t="str">
        <f>HYPERLINK("https://docs.google.com/spreadsheets/d/1CAn1GcRcclvZSk9c4ilE_BeW0E0dylOV?usp=share_link", "RE-1486.71")</f>
        <v>RE-1486.71</v>
      </c>
      <c r="G529" s="18" t="str">
        <f>HYPERLINK("https://docs.google.com/spreadsheets/d/10BRJOwniENMRgNRwJyMB23AonucoTWGY?usp=share_link", "RE-6.7634")</f>
        <v>RE-6.7634</v>
      </c>
      <c r="H529" s="18" t="str">
        <f>HYPERLINK("https://docs.google.com/spreadsheets/d/1K7V6NuPX6N0LYVxJPPhb8l5RyF_MnQxQ?usp=share_link", "RE-256.073")</f>
        <v>RE-256.073</v>
      </c>
      <c r="I529" s="18" t="str">
        <f>HYPERLINK("https://docs.google.com/spreadsheets/d/1mTMdCZ5oDtIhtLKgy_Oa5zChMfAfKEsJ?usp=share_link", "RE-0.9326")</f>
        <v>RE-0.9326</v>
      </c>
      <c r="J529" s="18" t="str">
        <f>HYPERLINK("https://docs.google.com/spreadsheets/d/1xO0SrRk-CWhJ2Ys1tkJUUjDJKf3iVbEm?usp=share_link", "RE-206.498")</f>
        <v>RE-206.498</v>
      </c>
      <c r="K529" s="18" t="str">
        <f>HYPERLINK("https://docs.google.com/spreadsheets/d/1AbvHGlF9H1dzmwM3vmciPweoaAuli8Tt?usp=share_link", "RE-1.10688")</f>
        <v>RE-1.10688</v>
      </c>
      <c r="L529" s="18">
        <f>HYPERLINK("https://docs.google.com/spreadsheets/d/1pD8yyuOuUCkL4N_C7uCry6ycbB5TZ0QO?usp=share_link", 1542.56)</f>
        <v>1542.56</v>
      </c>
      <c r="M529" s="18" t="str">
        <f>HYPERLINK("https://docs.google.com/spreadsheets/d/1eLFDWVKk4XpVAFvx-B72SJJR26oeUDco?usp=share_link", "RE-17.7335")</f>
        <v>RE-17.7335</v>
      </c>
      <c r="N529" s="18" t="str">
        <f>HYPERLINK("https://docs.google.com/spreadsheets/d/1H148sF1mADQwH56qEB02G5QthxtRt4Xh?usp=share_link", "RE-140.788")</f>
        <v>RE-140.788</v>
      </c>
      <c r="O529" s="18" t="str">
        <f>HYPERLINK("https://docs.google.com/spreadsheets/d/16EUYgSG89dM1ovLKogJm1OcjDFLTpBVx?usp=share_link", "RE-5.08395")</f>
        <v>RE-5.08395</v>
      </c>
      <c r="P529" s="18">
        <f>HYPERLINK("https://docs.google.com/spreadsheets/d/1R1kJxjvbTLhuhjpbeM_-LVd8OBnMyWkO?usp=share_link", 470.64)</f>
        <v>470.64</v>
      </c>
      <c r="Q529" s="18" t="str">
        <f>HYPERLINK("https://docs.google.com/spreadsheets/d/1ZHp635S0Bfk9iVNrfmpipmbq0HZ89qPP?usp=share_link", "RE-19.6764")</f>
        <v>RE-19.6764</v>
      </c>
      <c r="R529" s="18">
        <f>HYPERLINK("https://docs.google.com/spreadsheets/d/19kB3AtNkQL6zQuR5vANZJ38oJhvs0Ose?usp=share_link", 951.986)</f>
        <v>951.986</v>
      </c>
      <c r="S529" s="18" t="str">
        <f>HYPERLINK("https://docs.google.com/spreadsheets/d/1JW3NNiIBd7JWpYwbTGXMqkMIWhTcWxuD?usp=share_link", "RE-33.1037")</f>
        <v>RE-33.1037</v>
      </c>
      <c r="T529" s="18">
        <f>HYPERLINK("https://docs.google.com/spreadsheets/d/1eXSJv5GGYC_AFbuR58YBQ2_t5qc-t_MQ?usp=share_link", 124.515)</f>
        <v>124.515</v>
      </c>
      <c r="U529" s="18" t="str">
        <f>HYPERLINK("https://docs.google.com/spreadsheets/d/1MXmk8QtYtM4m2eiNNy1zS2MTXFfP14Ai?usp=share_link", "RE-13.4228")</f>
        <v>RE-13.4228</v>
      </c>
      <c r="V529" s="18" t="str">
        <f>HYPERLINK("https://docs.google.com/spreadsheets/d/1u1BMYx0teVAzfrnn5tNC-iGnMv2ytqFc?usp=share_link", "RE-0.30245")</f>
        <v>RE-0.30245</v>
      </c>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c r="DE529" s="17"/>
      <c r="DF529" s="17"/>
      <c r="DG529" s="17"/>
      <c r="DH529" s="17"/>
      <c r="DI529" s="17"/>
      <c r="DJ529" s="17"/>
      <c r="DK529" s="17"/>
      <c r="DL529" s="17"/>
      <c r="DM529" s="17"/>
      <c r="DN529" s="17"/>
      <c r="DO529" s="17"/>
      <c r="DP529" s="17"/>
      <c r="DQ529" s="17"/>
      <c r="DR529" s="17"/>
      <c r="DS529" s="17"/>
      <c r="DT529" s="17"/>
      <c r="DU529" s="17"/>
      <c r="DV529" s="17"/>
      <c r="DW529" s="17"/>
      <c r="DX529" s="17"/>
      <c r="DY529" s="17"/>
      <c r="DZ529" s="17"/>
      <c r="EA529" s="17"/>
      <c r="EB529" s="17"/>
      <c r="EC529" s="17"/>
      <c r="ED529" s="17"/>
      <c r="EE529" s="17"/>
      <c r="EF529" s="17"/>
      <c r="EG529" s="17"/>
      <c r="EH529" s="17"/>
      <c r="EI529" s="17"/>
      <c r="EJ529" s="17"/>
      <c r="EK529" s="17"/>
      <c r="EL529" s="17"/>
      <c r="EM529" s="17"/>
      <c r="EN529" s="17"/>
      <c r="EO529" s="17"/>
      <c r="EP529" s="17"/>
      <c r="EQ529" s="17"/>
      <c r="ER529" s="17"/>
      <c r="ES529" s="17"/>
      <c r="ET529" s="17"/>
      <c r="EU529" s="17"/>
      <c r="EV529" s="17"/>
      <c r="EW529" s="17"/>
      <c r="EX529" s="17"/>
      <c r="EY529" s="17"/>
      <c r="EZ529" s="17"/>
      <c r="FA529" s="17"/>
      <c r="FB529" s="17"/>
      <c r="FC529" s="17"/>
      <c r="FD529" s="17"/>
      <c r="FE529" s="17"/>
      <c r="FF529" s="17"/>
      <c r="FG529" s="17"/>
      <c r="FH529" s="17"/>
    </row>
    <row r="530">
      <c r="A530" s="27" t="s">
        <v>77</v>
      </c>
      <c r="B530" s="27" t="s">
        <v>91</v>
      </c>
      <c r="C530" s="27" t="s">
        <v>15</v>
      </c>
      <c r="D530" s="28">
        <f t="shared" si="1"/>
        <v>3550.246</v>
      </c>
      <c r="E530" s="33"/>
      <c r="F530" s="34" t="str">
        <f>HYPERLINK("https://docs.google.com/spreadsheets/d/1Uc5AiAtScQLPgulRsqcHrLcUzG48hFfl?usp=share_link", "RE-1683.31")</f>
        <v>RE-1683.31</v>
      </c>
      <c r="G530" s="34" t="str">
        <f>HYPERLINK("https://docs.google.com/spreadsheets/d/1Iec1A07HFVpVluZF5v1zMnnOsiaV4IJE?usp=share_link", "RE-7.25582")</f>
        <v>RE-7.25582</v>
      </c>
      <c r="H530" s="34" t="str">
        <f>HYPERLINK("https://docs.google.com/spreadsheets/d/11Ia1o-wxFhsBEMczPW_ZsT4enjClYcRn?usp=share_link", "RE-303.844")</f>
        <v>RE-303.844</v>
      </c>
      <c r="I530" s="34" t="str">
        <f>HYPERLINK("https://docs.google.com/spreadsheets/d/1dNwUjO3ObB4jwisP1vuRYjK9Ebh1fTYm?usp=share_link", "RE-0.9326")</f>
        <v>RE-0.9326</v>
      </c>
      <c r="J530" s="34" t="str">
        <f>HYPERLINK("https://docs.google.com/spreadsheets/d/1t30db6RJNixEU9oQP0dVqpzH72s6Bc73?usp=share_link", "RE-222.978")</f>
        <v>RE-222.978</v>
      </c>
      <c r="K530" s="34" t="str">
        <f>HYPERLINK("https://docs.google.com/spreadsheets/d/1VexAkn2tGKbOAiL8bclF-Yja69E4zjhk?usp=share_link", "RE-1.26148")</f>
        <v>RE-1.26148</v>
      </c>
      <c r="L530" s="34">
        <f>HYPERLINK("https://docs.google.com/spreadsheets/d/1CQY9J5TsZylpjLEnaK4Qee98GlNmVvwT?usp=share_link", 1756.98)</f>
        <v>1756.98</v>
      </c>
      <c r="M530" s="34" t="str">
        <f>HYPERLINK("https://docs.google.com/spreadsheets/d/1lG0rX93rZYxj3bjqG5yLYI2TorX4tExA?usp=share_link", "RE-20.8956")</f>
        <v>RE-20.8956</v>
      </c>
      <c r="N530" s="34" t="str">
        <f>HYPERLINK("https://docs.google.com/spreadsheets/d/1o-YQ0zNjS90-b3I9PCXrd6Y1_25FE6ur?usp=share_link", "RE-162.45")</f>
        <v>RE-162.45</v>
      </c>
      <c r="O530" s="34" t="str">
        <f>HYPERLINK("https://docs.google.com/spreadsheets/d/18QltDqabmuIQ8uKsuSG7SoivqYfdrkq2?usp=share_link", "RE-5.56758")</f>
        <v>RE-5.56758</v>
      </c>
      <c r="P530" s="34">
        <f>HYPERLINK("https://docs.google.com/spreadsheets/d/1N2XTV_ZHUpvx35aqAANPCpzM3-EL3tRN?usp=share_link", 557.852)</f>
        <v>557.852</v>
      </c>
      <c r="Q530" s="34" t="str">
        <f>HYPERLINK("https://docs.google.com/spreadsheets/d/10rLsWOLUQgSCxpapy3AcIWR6U0jtMm5s?usp=share_link", "RE-23.444")</f>
        <v>RE-23.444</v>
      </c>
      <c r="R530" s="34">
        <f>HYPERLINK("https://docs.google.com/spreadsheets/d/16Yq2PkzW6UIa2q_thmhtMQeRSHkqBsQ3?usp=share_link", 1088.9)</f>
        <v>1088.9</v>
      </c>
      <c r="S530" s="34" t="str">
        <f>HYPERLINK("https://docs.google.com/spreadsheets/d/1hrTF_Baa2PIzyGBCfjpfj1vku_YFfFTg?usp=share_link", "RE-42.8316")</f>
        <v>RE-42.8316</v>
      </c>
      <c r="T530" s="34">
        <f>HYPERLINK("https://docs.google.com/spreadsheets/d/12lVmGcdzUbebvX1B5k2lC32czSF2Iwue?usp=share_link", 146.514)</f>
        <v>146.514</v>
      </c>
      <c r="U530" s="34" t="str">
        <f>HYPERLINK("https://docs.google.com/spreadsheets/d/12irbmw_9Ypqv1L3GdwDPzP8urB8L63iV?usp=share_link", "RE-15.5501")</f>
        <v>RE-15.5501</v>
      </c>
      <c r="V530" s="34" t="str">
        <f>HYPERLINK("https://docs.google.com/spreadsheets/d/1ZLxCtXrd0DCfcxfqFOXqWMNLbQihl3tG?usp=share_link", "RE-0.30245")</f>
        <v>RE-0.30245</v>
      </c>
      <c r="W530" s="33"/>
      <c r="X530" s="33"/>
      <c r="Y530" s="33"/>
      <c r="Z530" s="33"/>
      <c r="AA530" s="33"/>
      <c r="AB530" s="33"/>
      <c r="AC530" s="33"/>
      <c r="AD530" s="33"/>
      <c r="AE530" s="33"/>
      <c r="AF530" s="33"/>
      <c r="AG530" s="33"/>
      <c r="AH530" s="33"/>
      <c r="AI530" s="33"/>
      <c r="AJ530" s="33"/>
      <c r="AK530" s="33"/>
      <c r="AL530" s="33"/>
      <c r="AM530" s="33"/>
      <c r="AN530" s="33"/>
      <c r="AO530" s="33"/>
      <c r="AP530" s="33"/>
      <c r="AQ530" s="33"/>
      <c r="AR530" s="33"/>
      <c r="AS530" s="33"/>
      <c r="AT530" s="33"/>
      <c r="AU530" s="33"/>
      <c r="AV530" s="33"/>
      <c r="AW530" s="33"/>
      <c r="AX530" s="33"/>
      <c r="AY530" s="33"/>
      <c r="AZ530" s="33"/>
      <c r="BA530" s="33"/>
      <c r="BB530" s="33"/>
      <c r="BC530" s="33"/>
      <c r="BD530" s="33"/>
      <c r="BE530" s="33"/>
      <c r="BF530" s="33"/>
      <c r="BG530" s="33"/>
      <c r="BH530" s="33"/>
      <c r="BI530" s="33"/>
      <c r="BJ530" s="33"/>
      <c r="BK530" s="33"/>
      <c r="BL530" s="33"/>
      <c r="BM530" s="33"/>
      <c r="BN530" s="33"/>
      <c r="BO530" s="33"/>
      <c r="BP530" s="33"/>
      <c r="BQ530" s="33"/>
      <c r="BR530" s="33"/>
      <c r="BS530" s="33"/>
      <c r="BT530" s="33"/>
      <c r="BU530" s="33"/>
      <c r="BV530" s="33"/>
      <c r="BW530" s="33"/>
      <c r="BX530" s="33"/>
      <c r="BY530" s="33"/>
      <c r="BZ530" s="33"/>
      <c r="CA530" s="33"/>
      <c r="CB530" s="33"/>
      <c r="CC530" s="33"/>
      <c r="CD530" s="33"/>
      <c r="CE530" s="33"/>
      <c r="CF530" s="33"/>
      <c r="CG530" s="33"/>
      <c r="CH530" s="33"/>
      <c r="CI530" s="33"/>
      <c r="CJ530" s="33"/>
      <c r="CK530" s="33"/>
      <c r="CL530" s="33"/>
      <c r="CM530" s="33"/>
      <c r="CN530" s="33"/>
      <c r="CO530" s="33"/>
      <c r="CP530" s="33"/>
      <c r="CQ530" s="33"/>
      <c r="CR530" s="33"/>
      <c r="CS530" s="33"/>
      <c r="CT530" s="33"/>
      <c r="CU530" s="33"/>
      <c r="CV530" s="33"/>
      <c r="CW530" s="33"/>
      <c r="CX530" s="33"/>
      <c r="CY530" s="33"/>
      <c r="CZ530" s="33"/>
      <c r="DA530" s="33"/>
      <c r="DB530" s="33"/>
      <c r="DC530" s="33"/>
      <c r="DD530" s="33"/>
      <c r="DE530" s="33"/>
      <c r="DF530" s="33"/>
      <c r="DG530" s="33"/>
      <c r="DH530" s="33"/>
      <c r="DI530" s="33"/>
      <c r="DJ530" s="33"/>
      <c r="DK530" s="33"/>
      <c r="DL530" s="33"/>
      <c r="DM530" s="33"/>
      <c r="DN530" s="33"/>
      <c r="DO530" s="33"/>
      <c r="DP530" s="33"/>
      <c r="DQ530" s="33"/>
      <c r="DR530" s="33"/>
      <c r="DS530" s="33"/>
      <c r="DT530" s="33"/>
      <c r="DU530" s="33"/>
      <c r="DV530" s="33"/>
      <c r="DW530" s="33"/>
      <c r="DX530" s="33"/>
      <c r="DY530" s="33"/>
      <c r="DZ530" s="33"/>
      <c r="EA530" s="33"/>
      <c r="EB530" s="33"/>
      <c r="EC530" s="33"/>
      <c r="ED530" s="33"/>
      <c r="EE530" s="33"/>
      <c r="EF530" s="33"/>
      <c r="EG530" s="33"/>
      <c r="EH530" s="33"/>
      <c r="EI530" s="33"/>
      <c r="EJ530" s="33"/>
      <c r="EK530" s="33"/>
      <c r="EL530" s="33"/>
      <c r="EM530" s="33"/>
      <c r="EN530" s="33"/>
      <c r="EO530" s="33"/>
      <c r="EP530" s="33"/>
      <c r="EQ530" s="33"/>
      <c r="ER530" s="33"/>
      <c r="ES530" s="33"/>
      <c r="ET530" s="33"/>
      <c r="EU530" s="33"/>
      <c r="EV530" s="33"/>
      <c r="EW530" s="33"/>
      <c r="EX530" s="33"/>
      <c r="EY530" s="33"/>
      <c r="EZ530" s="33"/>
      <c r="FA530" s="33"/>
      <c r="FB530" s="33"/>
      <c r="FC530" s="33"/>
      <c r="FD530" s="33"/>
      <c r="FE530" s="33"/>
      <c r="FF530" s="33"/>
      <c r="FG530" s="33"/>
      <c r="FH530" s="33"/>
    </row>
    <row r="531">
      <c r="A531" s="30" t="s">
        <v>38</v>
      </c>
      <c r="B531" s="30" t="s">
        <v>92</v>
      </c>
      <c r="C531" s="31" t="str">
        <f>HYPERLINK("https://docs.google.com/spreadsheets/d/1X1UX9pmhu6UgvzX0WtB6BQPH9IoI9Diu/edit?usp=share_link&amp;ouid=106501987799020758802&amp;rtpof=true&amp;sd=true", "Raw Delivered")</f>
        <v>Raw Delivered</v>
      </c>
      <c r="D531" s="12">
        <f t="shared" si="1"/>
        <v>5299.281908</v>
      </c>
      <c r="E531" s="13"/>
      <c r="F531" s="14">
        <f>HYPERLINK("https://docs.google.com/spreadsheets/d/1T3Wm6rUX49oPRnNGJSDSIPFj2ntKaVyZ", 1309.72033541667)</f>
        <v>1309.720335</v>
      </c>
      <c r="G531" s="13"/>
      <c r="H531" s="14">
        <f>HYPERLINK("https://docs.google.com/spreadsheets/d/1OBrRRi3dd6owDov9_UYJCGlnEwkZY7CK", 37.0680416666666)</f>
        <v>37.06804167</v>
      </c>
      <c r="I531" s="13"/>
      <c r="J531" s="14">
        <f>HYPERLINK("https://docs.google.com/spreadsheets/d/1EMyCVXsZ1Kj7tcFYm0FT9zfPEcAEvrAH", 724.251198958333)</f>
        <v>724.251199</v>
      </c>
      <c r="K531" s="13"/>
      <c r="L531" s="14">
        <f t="shared" ref="L531:L532" si="266">HYPERLINK("https://docs.google.com/spreadsheets/d/1uWFdCf2XEIp2VtRiHP2i4KjWrNk8lE-I", 753.281812499998)</f>
        <v>753.2818125</v>
      </c>
      <c r="M531" s="13"/>
      <c r="N531" s="14">
        <f>HYPERLINK("https://docs.google.com/spreadsheets/d/1IurnD6fwYX3KOcrUli7arOl9Ttzzd6QE", 1945.01413958333)</f>
        <v>1945.01414</v>
      </c>
      <c r="O531" s="13"/>
      <c r="P531" s="14">
        <f t="shared" ref="P531:P532" si="267">HYPERLINK("https://docs.google.com/spreadsheets/d/1ncXV3S6E6KGGajxcPx45u6HEGlZEBoRL", 282.296514583333)</f>
        <v>282.2965146</v>
      </c>
      <c r="Q531" s="13"/>
      <c r="R531" s="14">
        <f t="shared" ref="R531:R532" si="268">HYPERLINK("https://docs.google.com/spreadsheets/d/1n1zEHfXCqllxJIvto3yudyjdgU8t-RoT", 46.2973124999999)</f>
        <v>46.2973125</v>
      </c>
      <c r="S531" s="13"/>
      <c r="T531" s="14">
        <f t="shared" ref="T531:T532" si="269">HYPERLINK("https://docs.google.com/spreadsheets/d/1r9nq0EOotI5LUABcQznxocZUKWvWflYd", 201.352553124999)</f>
        <v>201.3525531</v>
      </c>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c r="DV531" s="13"/>
      <c r="DW531" s="13"/>
      <c r="DX531" s="13"/>
      <c r="DY531" s="13"/>
      <c r="DZ531" s="13"/>
      <c r="EA531" s="13"/>
      <c r="EB531" s="13"/>
      <c r="EC531" s="13"/>
      <c r="ED531" s="13"/>
      <c r="EE531" s="13"/>
      <c r="EF531" s="13"/>
      <c r="EG531" s="13"/>
      <c r="EH531" s="13"/>
      <c r="EI531" s="13"/>
      <c r="EJ531" s="13"/>
      <c r="EK531" s="13"/>
      <c r="EL531" s="13"/>
      <c r="EM531" s="13"/>
      <c r="EN531" s="13"/>
      <c r="EO531" s="13"/>
      <c r="EP531" s="13"/>
      <c r="EQ531" s="13"/>
      <c r="ER531" s="13"/>
      <c r="ES531" s="13"/>
      <c r="ET531" s="13"/>
      <c r="EU531" s="13"/>
      <c r="EV531" s="13"/>
      <c r="EW531" s="13"/>
      <c r="EX531" s="13"/>
      <c r="EY531" s="13"/>
      <c r="EZ531" s="13"/>
      <c r="FA531" s="13"/>
      <c r="FB531" s="13"/>
      <c r="FC531" s="13"/>
      <c r="FD531" s="13"/>
      <c r="FE531" s="13"/>
      <c r="FF531" s="13"/>
      <c r="FG531" s="13"/>
      <c r="FH531" s="13"/>
    </row>
    <row r="532">
      <c r="A532" s="32" t="s">
        <v>38</v>
      </c>
      <c r="B532" s="32" t="s">
        <v>92</v>
      </c>
      <c r="C532" s="32" t="s">
        <v>9</v>
      </c>
      <c r="D532" s="16">
        <f t="shared" si="1"/>
        <v>1283.228193</v>
      </c>
      <c r="E532" s="17"/>
      <c r="F532" s="18" t="str">
        <f>HYPERLINK("https://docs.google.com/spreadsheets/d/1T3Wm6rUX49oPRnNGJSDSIPFj2ntKaVyZ", "RE-1309.72033541667")</f>
        <v>RE-1309.72033541667</v>
      </c>
      <c r="G532" s="17"/>
      <c r="H532" s="18" t="str">
        <f>HYPERLINK("https://docs.google.com/spreadsheets/d/1OBrRRi3dd6owDov9_UYJCGlnEwkZY7CK", "RE-37.06804166666667")</f>
        <v>RE-37.06804166666667</v>
      </c>
      <c r="I532" s="17"/>
      <c r="J532" s="18" t="str">
        <f>HYPERLINK("https://docs.google.com/spreadsheets/d/1EMyCVXsZ1Kj7tcFYm0FT9zfPEcAEvrAH", "RE-724.2511989583339")</f>
        <v>RE-724.2511989583339</v>
      </c>
      <c r="K532" s="17"/>
      <c r="L532" s="18">
        <f t="shared" si="266"/>
        <v>753.2818125</v>
      </c>
      <c r="M532" s="17"/>
      <c r="N532" s="18" t="str">
        <f>HYPERLINK("https://docs.google.com/spreadsheets/d/1IurnD6fwYX3KOcrUli7arOl9Ttzzd6QE", "RE-1945.014139583334")</f>
        <v>RE-1945.014139583334</v>
      </c>
      <c r="O532" s="17"/>
      <c r="P532" s="18">
        <f t="shared" si="267"/>
        <v>282.2965146</v>
      </c>
      <c r="Q532" s="17"/>
      <c r="R532" s="18">
        <f t="shared" si="268"/>
        <v>46.2973125</v>
      </c>
      <c r="S532" s="17"/>
      <c r="T532" s="18">
        <f t="shared" si="269"/>
        <v>201.3525531</v>
      </c>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c r="DE532" s="17"/>
      <c r="DF532" s="17"/>
      <c r="DG532" s="17"/>
      <c r="DH532" s="17"/>
      <c r="DI532" s="17"/>
      <c r="DJ532" s="17"/>
      <c r="DK532" s="17"/>
      <c r="DL532" s="17"/>
      <c r="DM532" s="17"/>
      <c r="DN532" s="17"/>
      <c r="DO532" s="17"/>
      <c r="DP532" s="17"/>
      <c r="DQ532" s="17"/>
      <c r="DR532" s="17"/>
      <c r="DS532" s="17"/>
      <c r="DT532" s="17"/>
      <c r="DU532" s="17"/>
      <c r="DV532" s="17"/>
      <c r="DW532" s="17"/>
      <c r="DX532" s="17"/>
      <c r="DY532" s="17"/>
      <c r="DZ532" s="17"/>
      <c r="EA532" s="17"/>
      <c r="EB532" s="17"/>
      <c r="EC532" s="17"/>
      <c r="ED532" s="17"/>
      <c r="EE532" s="17"/>
      <c r="EF532" s="17"/>
      <c r="EG532" s="17"/>
      <c r="EH532" s="17"/>
      <c r="EI532" s="17"/>
      <c r="EJ532" s="17"/>
      <c r="EK532" s="17"/>
      <c r="EL532" s="17"/>
      <c r="EM532" s="17"/>
      <c r="EN532" s="17"/>
      <c r="EO532" s="17"/>
      <c r="EP532" s="17"/>
      <c r="EQ532" s="17"/>
      <c r="ER532" s="17"/>
      <c r="ES532" s="17"/>
      <c r="ET532" s="17"/>
      <c r="EU532" s="17"/>
      <c r="EV532" s="17"/>
      <c r="EW532" s="17"/>
      <c r="EX532" s="17"/>
      <c r="EY532" s="17"/>
      <c r="EZ532" s="17"/>
      <c r="FA532" s="17"/>
      <c r="FB532" s="17"/>
      <c r="FC532" s="17"/>
      <c r="FD532" s="17"/>
      <c r="FE532" s="17"/>
      <c r="FF532" s="17"/>
      <c r="FG532" s="17"/>
      <c r="FH532" s="17"/>
    </row>
    <row r="533">
      <c r="A533" s="32" t="s">
        <v>38</v>
      </c>
      <c r="B533" s="32" t="s">
        <v>92</v>
      </c>
      <c r="C533" s="32" t="s">
        <v>10</v>
      </c>
      <c r="D533" s="16">
        <f t="shared" si="1"/>
        <v>610.0129979</v>
      </c>
      <c r="E533" s="17"/>
      <c r="F533" s="17"/>
      <c r="G533" s="18">
        <f>HYPERLINK("https://docs.google.com/spreadsheets/d/1tBbR5wc6JW57Ex1WbxWaTELiLhiUeg35", 106.177683333333)</f>
        <v>106.1776833</v>
      </c>
      <c r="H533" s="17"/>
      <c r="I533" s="18">
        <f>HYPERLINK("https://docs.google.com/spreadsheets/d/1dlul4vXR-4IbSrmnXVHw3P30OnZ-Nn-p", 48.637684375)</f>
        <v>48.63768438</v>
      </c>
      <c r="J533" s="17"/>
      <c r="K533" s="18">
        <f>HYPERLINK("https://docs.google.com/spreadsheets/d/1XfMod0dkMrX6jDHtN2FWiUst3MkrOG6L", 61.6111624999999)</f>
        <v>61.6111625</v>
      </c>
      <c r="L533" s="17"/>
      <c r="M533" s="18">
        <f>HYPERLINK("https://docs.google.com/spreadsheets/d/1AXEf0lP0-6NfCXQMS4zA43pYt0WYxYLE", 43.886409375)</f>
        <v>43.88640938</v>
      </c>
      <c r="N533" s="17"/>
      <c r="O533" s="18">
        <f>HYPERLINK("https://docs.google.com/spreadsheets/d/16e0G72Y6_p9CWVCoC_jjvyKpH77RkT3p", 224.067639583333)</f>
        <v>224.0676396</v>
      </c>
      <c r="P533" s="17"/>
      <c r="Q533" s="18">
        <f>HYPERLINK("https://docs.google.com/spreadsheets/d/1y_9rZQPkC4tef4RaW59bV1r7JapEYgPH", 86.2812385416667)</f>
        <v>86.28123854</v>
      </c>
      <c r="R533" s="17"/>
      <c r="S533" s="18">
        <f>HYPERLINK("https://docs.google.com/spreadsheets/d/10OLWe5vfd44Gur3rLaS_rgoFksX1KnQ-", 14.629978125)</f>
        <v>14.62997813</v>
      </c>
      <c r="T533" s="17"/>
      <c r="U533" s="18">
        <f>HYPERLINK("https://docs.google.com/spreadsheets/d/1os_9o8YMD5HuoGA9XUvHW1HXipKZzO06", 20.8019270833333)</f>
        <v>20.80192708</v>
      </c>
      <c r="V533" s="18">
        <f>HYPERLINK("https://docs.google.com/spreadsheets/d/17IG5aSKmYGARFhh-XJSZFjofnyegtXek", 3.919275)</f>
        <v>3.919275</v>
      </c>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c r="DE533" s="17"/>
      <c r="DF533" s="17"/>
      <c r="DG533" s="17"/>
      <c r="DH533" s="17"/>
      <c r="DI533" s="17"/>
      <c r="DJ533" s="17"/>
      <c r="DK533" s="17"/>
      <c r="DL533" s="17"/>
      <c r="DM533" s="17"/>
      <c r="DN533" s="17"/>
      <c r="DO533" s="17"/>
      <c r="DP533" s="17"/>
      <c r="DQ533" s="17"/>
      <c r="DR533" s="17"/>
      <c r="DS533" s="17"/>
      <c r="DT533" s="17"/>
      <c r="DU533" s="17"/>
      <c r="DV533" s="17"/>
      <c r="DW533" s="17"/>
      <c r="DX533" s="17"/>
      <c r="DY533" s="17"/>
      <c r="DZ533" s="17"/>
      <c r="EA533" s="17"/>
      <c r="EB533" s="17"/>
      <c r="EC533" s="17"/>
      <c r="ED533" s="17"/>
      <c r="EE533" s="17"/>
      <c r="EF533" s="17"/>
      <c r="EG533" s="17"/>
      <c r="EH533" s="17"/>
      <c r="EI533" s="17"/>
      <c r="EJ533" s="17"/>
      <c r="EK533" s="17"/>
      <c r="EL533" s="17"/>
      <c r="EM533" s="17"/>
      <c r="EN533" s="17"/>
      <c r="EO533" s="17"/>
      <c r="EP533" s="17"/>
      <c r="EQ533" s="17"/>
      <c r="ER533" s="17"/>
      <c r="ES533" s="17"/>
      <c r="ET533" s="17"/>
      <c r="EU533" s="17"/>
      <c r="EV533" s="17"/>
      <c r="EW533" s="17"/>
      <c r="EX533" s="17"/>
      <c r="EY533" s="17"/>
      <c r="EZ533" s="17"/>
      <c r="FA533" s="17"/>
      <c r="FB533" s="17"/>
      <c r="FC533" s="17"/>
      <c r="FD533" s="17"/>
      <c r="FE533" s="17"/>
      <c r="FF533" s="17"/>
      <c r="FG533" s="17"/>
      <c r="FH533" s="17"/>
    </row>
    <row r="534">
      <c r="A534" s="32" t="s">
        <v>38</v>
      </c>
      <c r="B534" s="32" t="s">
        <v>92</v>
      </c>
      <c r="C534" s="32" t="s">
        <v>11</v>
      </c>
      <c r="D534" s="16">
        <f t="shared" si="1"/>
        <v>0</v>
      </c>
      <c r="E534" s="17"/>
      <c r="F534" s="17"/>
      <c r="G534" s="18" t="str">
        <f>HYPERLINK("https://docs.google.com/spreadsheets/d/1tBbR5wc6JW57Ex1WbxWaTELiLhiUeg35", "RE-106.17768333333328")</f>
        <v>RE-106.17768333333328</v>
      </c>
      <c r="H534" s="17"/>
      <c r="I534" s="18" t="str">
        <f>HYPERLINK("https://docs.google.com/spreadsheets/d/1dlul4vXR-4IbSrmnXVHw3P30OnZ-Nn-p", "RE-48.637684375")</f>
        <v>RE-48.637684375</v>
      </c>
      <c r="J534" s="17"/>
      <c r="K534" s="18" t="str">
        <f>HYPERLINK("https://docs.google.com/spreadsheets/d/1XfMod0dkMrX6jDHtN2FWiUst3MkrOG6L", "RE-61.61116249999999")</f>
        <v>RE-61.61116249999999</v>
      </c>
      <c r="L534" s="17"/>
      <c r="M534" s="18" t="str">
        <f>HYPERLINK("https://docs.google.com/spreadsheets/d/1AXEf0lP0-6NfCXQMS4zA43pYt0WYxYLE", "RE-43.886409375")</f>
        <v>RE-43.886409375</v>
      </c>
      <c r="N534" s="17"/>
      <c r="O534" s="18" t="str">
        <f>HYPERLINK("https://docs.google.com/spreadsheets/d/16e0G72Y6_p9CWVCoC_jjvyKpH77RkT3p", "RE-224.06763958333312")</f>
        <v>RE-224.06763958333312</v>
      </c>
      <c r="P534" s="17"/>
      <c r="Q534" s="18" t="str">
        <f>HYPERLINK("https://docs.google.com/spreadsheets/d/1y_9rZQPkC4tef4RaW59bV1r7JapEYgPH", "RE-86.2812385416667")</f>
        <v>RE-86.2812385416667</v>
      </c>
      <c r="R534" s="17"/>
      <c r="S534" s="18" t="str">
        <f>HYPERLINK("https://docs.google.com/spreadsheets/d/10OLWe5vfd44Gur3rLaS_rgoFksX1KnQ-", "RE-14.629978125")</f>
        <v>RE-14.629978125</v>
      </c>
      <c r="T534" s="17"/>
      <c r="U534" s="18" t="str">
        <f>HYPERLINK("https://docs.google.com/spreadsheets/d/1os_9o8YMD5HuoGA9XUvHW1HXipKZzO06", "RE-20.801927083333336")</f>
        <v>RE-20.801927083333336</v>
      </c>
      <c r="V534" s="18" t="str">
        <f>HYPERLINK("https://docs.google.com/spreadsheets/d/17IG5aSKmYGARFhh-XJSZFjofnyegtXek", "RE-3.919275")</f>
        <v>RE-3.919275</v>
      </c>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c r="DE534" s="17"/>
      <c r="DF534" s="17"/>
      <c r="DG534" s="17"/>
      <c r="DH534" s="17"/>
      <c r="DI534" s="17"/>
      <c r="DJ534" s="17"/>
      <c r="DK534" s="17"/>
      <c r="DL534" s="17"/>
      <c r="DM534" s="17"/>
      <c r="DN534" s="17"/>
      <c r="DO534" s="17"/>
      <c r="DP534" s="17"/>
      <c r="DQ534" s="17"/>
      <c r="DR534" s="17"/>
      <c r="DS534" s="17"/>
      <c r="DT534" s="17"/>
      <c r="DU534" s="17"/>
      <c r="DV534" s="17"/>
      <c r="DW534" s="17"/>
      <c r="DX534" s="17"/>
      <c r="DY534" s="17"/>
      <c r="DZ534" s="17"/>
      <c r="EA534" s="17"/>
      <c r="EB534" s="17"/>
      <c r="EC534" s="17"/>
      <c r="ED534" s="17"/>
      <c r="EE534" s="17"/>
      <c r="EF534" s="17"/>
      <c r="EG534" s="17"/>
      <c r="EH534" s="17"/>
      <c r="EI534" s="17"/>
      <c r="EJ534" s="17"/>
      <c r="EK534" s="17"/>
      <c r="EL534" s="17"/>
      <c r="EM534" s="17"/>
      <c r="EN534" s="17"/>
      <c r="EO534" s="17"/>
      <c r="EP534" s="17"/>
      <c r="EQ534" s="17"/>
      <c r="ER534" s="17"/>
      <c r="ES534" s="17"/>
      <c r="ET534" s="17"/>
      <c r="EU534" s="17"/>
      <c r="EV534" s="17"/>
      <c r="EW534" s="17"/>
      <c r="EX534" s="17"/>
      <c r="EY534" s="17"/>
      <c r="EZ534" s="17"/>
      <c r="FA534" s="17"/>
      <c r="FB534" s="17"/>
      <c r="FC534" s="17"/>
      <c r="FD534" s="17"/>
      <c r="FE534" s="17"/>
      <c r="FF534" s="17"/>
      <c r="FG534" s="17"/>
      <c r="FH534" s="17"/>
    </row>
    <row r="535">
      <c r="A535" s="32" t="s">
        <v>38</v>
      </c>
      <c r="B535" s="32" t="s">
        <v>92</v>
      </c>
      <c r="C535" s="32" t="s">
        <v>12</v>
      </c>
      <c r="D535" s="16">
        <f t="shared" si="1"/>
        <v>1172.65956</v>
      </c>
      <c r="E535" s="17"/>
      <c r="F535" s="18" t="str">
        <f>HYPERLINK("https://docs.google.com/spreadsheets/d/19JjWBHLeBsXOfYUnE0CViL6jEPzqhS6S", "RE-1051.288296875001")</f>
        <v>RE-1051.288296875001</v>
      </c>
      <c r="G535" s="18" t="str">
        <f>HYPERLINK("https://docs.google.com/spreadsheets/d/1V_YP_cGCUCQr4bAct9uW8DYJ3-5gSFg2", "RE-7.595950000000001")</f>
        <v>RE-7.595950000000001</v>
      </c>
      <c r="H535" s="18" t="str">
        <f>HYPERLINK("https://docs.google.com/spreadsheets/d/1OUKFBnhGauV8c9jj7jLcFwSjXmAe-HUT", "RE-31.77901875")</f>
        <v>RE-31.77901875</v>
      </c>
      <c r="I535" s="18" t="str">
        <f>HYPERLINK("https://docs.google.com/spreadsheets/d/1d4mEAxnDd3rFMNSRzXUicMhlIpTCXwA4", "RE-0.0")</f>
        <v>RE-0.0</v>
      </c>
      <c r="J535" s="18" t="str">
        <f>HYPERLINK("https://docs.google.com/spreadsheets/d/1n0FI-f4K8I08ZvRHmJXnA_FCGT6rywHn", "RE-578.2790364583338")</f>
        <v>RE-578.2790364583338</v>
      </c>
      <c r="K535" s="18" t="str">
        <f>HYPERLINK("https://docs.google.com/spreadsheets/d/1Z4i_U0ie_paAqXx6LjWGS5I5oVA-sEhG", "RE-4.03118125")</f>
        <v>RE-4.03118125</v>
      </c>
      <c r="L535" s="18">
        <f>HYPERLINK("https://docs.google.com/spreadsheets/d/19Uk5ciSBwRg8D0bl5wlts5LxqMdm5n3Z", 704.190463541666)</f>
        <v>704.1904635</v>
      </c>
      <c r="M535" s="18" t="str">
        <f>HYPERLINK("https://docs.google.com/spreadsheets/d/1PHuACe1Wpykchgwr52vl1lxFYiqQotMs", "RE-6.391658333333334")</f>
        <v>RE-6.391658333333334</v>
      </c>
      <c r="N535" s="18" t="str">
        <f>HYPERLINK("https://docs.google.com/spreadsheets/d/1Ej6unJwL72fookRp9hgWdadHCF67q4Ut", "RE-1405.3308958333341")</f>
        <v>RE-1405.3308958333341</v>
      </c>
      <c r="O535" s="18" t="str">
        <f>HYPERLINK("https://docs.google.com/spreadsheets/d/1LbomW-YwhyW18UJp6o2_R9zn5NgPO1Sk", "RE-12.075141666666669")</f>
        <v>RE-12.075141666666669</v>
      </c>
      <c r="P535" s="18">
        <f>HYPERLINK("https://docs.google.com/spreadsheets/d/1i75gvbWmA8EUH0C06D7gefoYGc7EHQwK", 237.45225625)</f>
        <v>237.4522563</v>
      </c>
      <c r="Q535" s="18" t="str">
        <f>HYPERLINK("https://docs.google.com/spreadsheets/d/1-PybwjCvb9g93bSNeS-_M_ZDisBpKltj", "RE-22.404803124999994")</f>
        <v>RE-22.404803124999994</v>
      </c>
      <c r="R535" s="18">
        <f>HYPERLINK("https://docs.google.com/spreadsheets/d/1uu59At_Os0bIYq8J0ditfOkjP94FzB0u", 37.3126)</f>
        <v>37.3126</v>
      </c>
      <c r="S535" s="18" t="str">
        <f>HYPERLINK("https://docs.google.com/spreadsheets/d/1uA0s0oQDfjNsw_RIbCuh9gE3xg3tScWq", "RE-3.877253125")</f>
        <v>RE-3.877253125</v>
      </c>
      <c r="T535" s="18">
        <f>HYPERLINK("https://docs.google.com/spreadsheets/d/1D3rQIOgX9ERHTNRLEwwKhFkW3XrLxAQs", 193.704240624999)</f>
        <v>193.7042406</v>
      </c>
      <c r="U535" s="18" t="str">
        <f>HYPERLINK("https://docs.google.com/spreadsheets/d/1WmfeV9t4IhLaKl38U5iAs6QSYiFi3Cq-", "RE-12.546193750000002")</f>
        <v>RE-12.546193750000002</v>
      </c>
      <c r="V535" s="18" t="str">
        <f>HYPERLINK("https://docs.google.com/spreadsheets/d/1s0nIux9vKbIxnsoDNugWSZ4oyRfF_X-p", "RE-3.2839875")</f>
        <v>RE-3.2839875</v>
      </c>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c r="DE535" s="17"/>
      <c r="DF535" s="17"/>
      <c r="DG535" s="17"/>
      <c r="DH535" s="17"/>
      <c r="DI535" s="17"/>
      <c r="DJ535" s="17"/>
      <c r="DK535" s="17"/>
      <c r="DL535" s="17"/>
      <c r="DM535" s="17"/>
      <c r="DN535" s="17"/>
      <c r="DO535" s="17"/>
      <c r="DP535" s="17"/>
      <c r="DQ535" s="17"/>
      <c r="DR535" s="17"/>
      <c r="DS535" s="17"/>
      <c r="DT535" s="17"/>
      <c r="DU535" s="17"/>
      <c r="DV535" s="17"/>
      <c r="DW535" s="17"/>
      <c r="DX535" s="17"/>
      <c r="DY535" s="17"/>
      <c r="DZ535" s="17"/>
      <c r="EA535" s="17"/>
      <c r="EB535" s="17"/>
      <c r="EC535" s="17"/>
      <c r="ED535" s="17"/>
      <c r="EE535" s="17"/>
      <c r="EF535" s="17"/>
      <c r="EG535" s="17"/>
      <c r="EH535" s="17"/>
      <c r="EI535" s="17"/>
      <c r="EJ535" s="17"/>
      <c r="EK535" s="17"/>
      <c r="EL535" s="17"/>
      <c r="EM535" s="17"/>
      <c r="EN535" s="17"/>
      <c r="EO535" s="17"/>
      <c r="EP535" s="17"/>
      <c r="EQ535" s="17"/>
      <c r="ER535" s="17"/>
      <c r="ES535" s="17"/>
      <c r="ET535" s="17"/>
      <c r="EU535" s="17"/>
      <c r="EV535" s="17"/>
      <c r="EW535" s="17"/>
      <c r="EX535" s="17"/>
      <c r="EY535" s="17"/>
      <c r="EZ535" s="17"/>
      <c r="FA535" s="17"/>
      <c r="FB535" s="17"/>
      <c r="FC535" s="17"/>
      <c r="FD535" s="17"/>
      <c r="FE535" s="17"/>
      <c r="FF535" s="17"/>
      <c r="FG535" s="17"/>
      <c r="FH535" s="17"/>
    </row>
    <row r="536">
      <c r="A536" s="32" t="s">
        <v>38</v>
      </c>
      <c r="B536" s="32" t="s">
        <v>92</v>
      </c>
      <c r="C536" s="32" t="s">
        <v>13</v>
      </c>
      <c r="D536" s="16">
        <f t="shared" si="1"/>
        <v>1117.6368</v>
      </c>
      <c r="E536" s="17"/>
      <c r="F536" s="18" t="str">
        <f>HYPERLINK("https://docs.google.com/spreadsheets/d/1bCGUKT1Fc4skIS3hYk1D2QHA6JUcdITe?usp=share_link", "RE-1008.64")</f>
        <v>RE-1008.64</v>
      </c>
      <c r="G536" s="18" t="str">
        <f>HYPERLINK("https://docs.google.com/spreadsheets/d/1BCIVQOjJCBHQUjYu5UEzke3NN2bTY8hp?usp=share_link", "RE-7.27608")</f>
        <v>RE-7.27608</v>
      </c>
      <c r="H536" s="18" t="str">
        <f>HYPERLINK("https://docs.google.com/spreadsheets/d/1WlHocT6aGN7sP20AdxUfesLDUOjmsRsg?usp=share_link", "RE-30.4155")</f>
        <v>RE-30.4155</v>
      </c>
      <c r="I536" s="17"/>
      <c r="J536" s="18" t="str">
        <f>HYPERLINK("https://docs.google.com/spreadsheets/d/1zi_F6mc6gjGWdkOEZoxKLSZFVEdU2GSt?usp=share_link", "RE-553.028")</f>
        <v>RE-553.028</v>
      </c>
      <c r="K536" s="18" t="str">
        <f>HYPERLINK("https://docs.google.com/spreadsheets/d/11uD9K9TJWFavKJIcPQjDwQeJUJwteXVl?usp=share_link", "RE-3.68588")</f>
        <v>RE-3.68588</v>
      </c>
      <c r="L536" s="18">
        <f>HYPERLINK("https://docs.google.com/spreadsheets/d/17uSEnBznw8X1l0_gQdkmjg2ayURsSwY_?usp=share_link", 672.37)</f>
        <v>672.37</v>
      </c>
      <c r="M536" s="18" t="str">
        <f>HYPERLINK("https://docs.google.com/spreadsheets/d/17Tkb2x-xTtZti2fXQMlQDUcdiYflxciv?usp=share_link", "RE-5.96608")</f>
        <v>RE-5.96608</v>
      </c>
      <c r="N536" s="18" t="str">
        <f>HYPERLINK("https://docs.google.com/spreadsheets/d/1mWA_t6HXd0tYLQgxiZIoi1MgOk3y5Q05?usp=share_link", "RE-1349.28")</f>
        <v>RE-1349.28</v>
      </c>
      <c r="O536" s="18" t="str">
        <f>HYPERLINK("https://docs.google.com/spreadsheets/d/1k1VB934oTwKa3hK-0srrpyzuNfie60fA?usp=share_link", "RE-11.4909")</f>
        <v>RE-11.4909</v>
      </c>
      <c r="P536" s="18">
        <f>HYPERLINK("https://docs.google.com/spreadsheets/d/1_wYRLDy2wLFehGe1ERutnbB_ipKsIs-8?usp=share_link", 224.409)</f>
        <v>224.409</v>
      </c>
      <c r="Q536" s="18" t="str">
        <f>HYPERLINK("https://docs.google.com/spreadsheets/d/1DmQVTr5ya1Zs9RGuIrsNQxRGyDmdm15o?usp=share_link", "RE-21.3437")</f>
        <v>RE-21.3437</v>
      </c>
      <c r="R536" s="18">
        <f>HYPERLINK("https://docs.google.com/spreadsheets/d/1o60YG9DitnWWm239_2OkOmNA3MTyCreN?usp=share_link", 35.8298)</f>
        <v>35.8298</v>
      </c>
      <c r="S536" s="18" t="str">
        <f>HYPERLINK("https://docs.google.com/spreadsheets/d/1NFdzI5SwVsJovWE-St5AfLltgOwhh_wH?usp=share_link", "RE-3.61702")</f>
        <v>RE-3.61702</v>
      </c>
      <c r="T536" s="18">
        <f>HYPERLINK("https://docs.google.com/spreadsheets/d/1MqE5-OI4DeSEuPvzd4gmFYlT62GDYJyR?usp=share_link", 185.028)</f>
        <v>185.028</v>
      </c>
      <c r="U536" s="18" t="str">
        <f>HYPERLINK("https://docs.google.com/spreadsheets/d/1W5XOjJUdeCinFWHS1tlIy7LgKywvQ5fm?usp=share_link", "RE-11.7718")</f>
        <v>RE-11.7718</v>
      </c>
      <c r="V536" s="18" t="str">
        <f>HYPERLINK("https://docs.google.com/spreadsheets/d/1QX2XBWpK3bNlR9Ki2NyIYtg2y7GwvK5N?usp=share_link", "RE-3.03488")</f>
        <v>RE-3.03488</v>
      </c>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c r="DE536" s="17"/>
      <c r="DF536" s="17"/>
      <c r="DG536" s="17"/>
      <c r="DH536" s="17"/>
      <c r="DI536" s="17"/>
      <c r="DJ536" s="17"/>
      <c r="DK536" s="17"/>
      <c r="DL536" s="17"/>
      <c r="DM536" s="17"/>
      <c r="DN536" s="17"/>
      <c r="DO536" s="17"/>
      <c r="DP536" s="17"/>
      <c r="DQ536" s="17"/>
      <c r="DR536" s="17"/>
      <c r="DS536" s="17"/>
      <c r="DT536" s="17"/>
      <c r="DU536" s="17"/>
      <c r="DV536" s="17"/>
      <c r="DW536" s="17"/>
      <c r="DX536" s="17"/>
      <c r="DY536" s="17"/>
      <c r="DZ536" s="17"/>
      <c r="EA536" s="17"/>
      <c r="EB536" s="17"/>
      <c r="EC536" s="17"/>
      <c r="ED536" s="17"/>
      <c r="EE536" s="17"/>
      <c r="EF536" s="17"/>
      <c r="EG536" s="17"/>
      <c r="EH536" s="17"/>
      <c r="EI536" s="17"/>
      <c r="EJ536" s="17"/>
      <c r="EK536" s="17"/>
      <c r="EL536" s="17"/>
      <c r="EM536" s="17"/>
      <c r="EN536" s="17"/>
      <c r="EO536" s="17"/>
      <c r="EP536" s="17"/>
      <c r="EQ536" s="17"/>
      <c r="ER536" s="17"/>
      <c r="ES536" s="17"/>
      <c r="ET536" s="17"/>
      <c r="EU536" s="17"/>
      <c r="EV536" s="17"/>
      <c r="EW536" s="17"/>
      <c r="EX536" s="17"/>
      <c r="EY536" s="17"/>
      <c r="EZ536" s="17"/>
      <c r="FA536" s="17"/>
      <c r="FB536" s="17"/>
      <c r="FC536" s="17"/>
      <c r="FD536" s="17"/>
      <c r="FE536" s="17"/>
      <c r="FF536" s="17"/>
      <c r="FG536" s="17"/>
      <c r="FH536" s="17"/>
    </row>
    <row r="537">
      <c r="A537" s="32" t="s">
        <v>38</v>
      </c>
      <c r="B537" s="32" t="s">
        <v>92</v>
      </c>
      <c r="C537" s="32" t="s">
        <v>14</v>
      </c>
      <c r="D537" s="16">
        <f t="shared" si="1"/>
        <v>959.6497</v>
      </c>
      <c r="E537" s="17"/>
      <c r="F537" s="18" t="str">
        <f>HYPERLINK("https://docs.google.com/spreadsheets/d/1TzT3o3ZYVvpFNYY3Az2ybOaOC5Vaz5Gy?usp=share_link", "RE-911.645")</f>
        <v>RE-911.645</v>
      </c>
      <c r="G537" s="18" t="str">
        <f>HYPERLINK("https://docs.google.com/spreadsheets/d/1UxYUmYT2GG45tLZ0JTQJArTfFU6BI32B?usp=share_link", "RE-7.1027")</f>
        <v>RE-7.1027</v>
      </c>
      <c r="H537" s="18" t="str">
        <f>HYPERLINK("https://docs.google.com/spreadsheets/d/1fBy8hh47kuyEzdG7iy7S011pWbuE7dQM?usp=share_link", "RE-27.9692")</f>
        <v>RE-27.9692</v>
      </c>
      <c r="I537" s="17"/>
      <c r="J537" s="18" t="str">
        <f>HYPERLINK("https://docs.google.com/spreadsheets/d/1nw9xVdtIdRwJJOp8KU3lS-F9OG3jh-pP?usp=share_link", "RE-498.874")</f>
        <v>RE-498.874</v>
      </c>
      <c r="K537" s="18" t="str">
        <f>HYPERLINK("https://docs.google.com/spreadsheets/d/1cVWXR0zjQFtK2DOzuNGEQrq-WUC4BQ0x?usp=share_link", "RE-3.03367")</f>
        <v>RE-3.03367</v>
      </c>
      <c r="L537" s="18">
        <f>HYPERLINK("https://docs.google.com/spreadsheets/d/1hFuvYvlNohbL8hgg6F67QQwVu_DUT_6a?usp=share_link", 590.742)</f>
        <v>590.742</v>
      </c>
      <c r="M537" s="18" t="str">
        <f>HYPERLINK("https://docs.google.com/spreadsheets/d/1C2qGytKJSGij72mb6-shhYFs82cFEEWk?usp=share_link", "RE-5.58202")</f>
        <v>RE-5.58202</v>
      </c>
      <c r="N537" s="18" t="str">
        <f>HYPERLINK("https://docs.google.com/spreadsheets/d/1rY1VVUI6hXTTbcAx20-Cp8UJ-jw9RygW?usp=share_link", "RE-1204.31")</f>
        <v>RE-1204.31</v>
      </c>
      <c r="O537" s="18" t="str">
        <f>HYPERLINK("https://docs.google.com/spreadsheets/d/1AwaCeBL9szO0oXL0X7ryuRK8qi5fbTzr?usp=share_link", "RE-10.6207")</f>
        <v>RE-10.6207</v>
      </c>
      <c r="P537" s="18">
        <f>HYPERLINK("https://docs.google.com/spreadsheets/d/1chLQgT5z2M1nOF3MGUkNsD9UHXDd5HoS?usp=share_link", 190.822)</f>
        <v>190.822</v>
      </c>
      <c r="Q537" s="18" t="str">
        <f>HYPERLINK("https://docs.google.com/spreadsheets/d/1BUVgPZBRZ74bcXEtBCxOo1Q7omSE9E4z?usp=share_link", "RE-20.546")</f>
        <v>RE-20.546</v>
      </c>
      <c r="R537" s="18">
        <f>HYPERLINK("https://docs.google.com/spreadsheets/d/1uZEhaNgdLfxQ9H97XBPuEYkM-RmJvfTU?usp=share_link", 29.2287)</f>
        <v>29.2287</v>
      </c>
      <c r="S537" s="18" t="str">
        <f>HYPERLINK("https://docs.google.com/spreadsheets/d/1DjutsOK6wniLXwjTgUQqKsDWlr7r93rX?usp=share_link", "RE-3.13702")</f>
        <v>RE-3.13702</v>
      </c>
      <c r="T537" s="18">
        <f>HYPERLINK("https://docs.google.com/spreadsheets/d/1We92e00aR_cqL2a2R4OjVSDUpYdJ_VnG?usp=share_link", 148.857)</f>
        <v>148.857</v>
      </c>
      <c r="U537" s="18" t="str">
        <f>HYPERLINK("https://docs.google.com/spreadsheets/d/1m2r7kuz6LM624gYt74oP7Brjulv8leYz?usp=share_link", "RE-9.98053")</f>
        <v>RE-9.98053</v>
      </c>
      <c r="V537" s="18" t="str">
        <f>HYPERLINK("https://docs.google.com/spreadsheets/d/1Vjfua_UVa5hLTeumsCSdVcuxf_nTi1t5?usp=share_link", "RE-2.68802")</f>
        <v>RE-2.68802</v>
      </c>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c r="DE537" s="17"/>
      <c r="DF537" s="17"/>
      <c r="DG537" s="17"/>
      <c r="DH537" s="17"/>
      <c r="DI537" s="17"/>
      <c r="DJ537" s="17"/>
      <c r="DK537" s="17"/>
      <c r="DL537" s="17"/>
      <c r="DM537" s="17"/>
      <c r="DN537" s="17"/>
      <c r="DO537" s="17"/>
      <c r="DP537" s="17"/>
      <c r="DQ537" s="17"/>
      <c r="DR537" s="17"/>
      <c r="DS537" s="17"/>
      <c r="DT537" s="17"/>
      <c r="DU537" s="17"/>
      <c r="DV537" s="17"/>
      <c r="DW537" s="17"/>
      <c r="DX537" s="17"/>
      <c r="DY537" s="17"/>
      <c r="DZ537" s="17"/>
      <c r="EA537" s="17"/>
      <c r="EB537" s="17"/>
      <c r="EC537" s="17"/>
      <c r="ED537" s="17"/>
      <c r="EE537" s="17"/>
      <c r="EF537" s="17"/>
      <c r="EG537" s="17"/>
      <c r="EH537" s="17"/>
      <c r="EI537" s="17"/>
      <c r="EJ537" s="17"/>
      <c r="EK537" s="17"/>
      <c r="EL537" s="17"/>
      <c r="EM537" s="17"/>
      <c r="EN537" s="17"/>
      <c r="EO537" s="17"/>
      <c r="EP537" s="17"/>
      <c r="EQ537" s="17"/>
      <c r="ER537" s="17"/>
      <c r="ES537" s="17"/>
      <c r="ET537" s="17"/>
      <c r="EU537" s="17"/>
      <c r="EV537" s="17"/>
      <c r="EW537" s="17"/>
      <c r="EX537" s="17"/>
      <c r="EY537" s="17"/>
      <c r="EZ537" s="17"/>
      <c r="FA537" s="17"/>
      <c r="FB537" s="17"/>
      <c r="FC537" s="17"/>
      <c r="FD537" s="17"/>
      <c r="FE537" s="17"/>
      <c r="FF537" s="17"/>
      <c r="FG537" s="17"/>
      <c r="FH537" s="17"/>
    </row>
    <row r="538">
      <c r="A538" s="27" t="s">
        <v>38</v>
      </c>
      <c r="B538" s="27" t="s">
        <v>92</v>
      </c>
      <c r="C538" s="27" t="s">
        <v>15</v>
      </c>
      <c r="D538" s="28">
        <f t="shared" si="1"/>
        <v>1117.6368</v>
      </c>
      <c r="E538" s="33"/>
      <c r="F538" s="34" t="str">
        <f>HYPERLINK("https://docs.google.com/spreadsheets/d/1wMFB8mMxz0drW5wDgX1Nd6LTZOoh19Vj?usp=share_link", "RE-1008.26")</f>
        <v>RE-1008.26</v>
      </c>
      <c r="G538" s="34" t="str">
        <f>HYPERLINK("https://docs.google.com/spreadsheets/d/113Ob-PFK7FhUxYQHQ_7V6alFk9qNfvSv?usp=share_link", "RE-7.27608")</f>
        <v>RE-7.27608</v>
      </c>
      <c r="H538" s="34" t="str">
        <f>HYPERLINK("https://docs.google.com/spreadsheets/d/14Qbb4ND0e164xOHX2B18Y0333qYnCAyP?usp=share_link", "RE-30.4155")</f>
        <v>RE-30.4155</v>
      </c>
      <c r="I538" s="33"/>
      <c r="J538" s="34" t="str">
        <f>HYPERLINK("https://docs.google.com/spreadsheets/d/1imaOdLjbRUkXXynkAYqRjn6v1xI_UpmT?usp=share_link", "RE-553.028")</f>
        <v>RE-553.028</v>
      </c>
      <c r="K538" s="34" t="str">
        <f>HYPERLINK("https://docs.google.com/spreadsheets/d/1bEoE7vLzVTyiMDQIlrFyZNxdB9XuRSqe?usp=share_link", "RE-3.68588")</f>
        <v>RE-3.68588</v>
      </c>
      <c r="L538" s="34">
        <f>HYPERLINK("https://docs.google.com/spreadsheets/d/1OnPhw1gbnOabhf0tQeVCh9k6hY1-KN7V?usp=share_link", 672.37)</f>
        <v>672.37</v>
      </c>
      <c r="M538" s="34" t="str">
        <f>HYPERLINK("https://docs.google.com/spreadsheets/d/168mtkeOhhdMcguFtJUbHYU7Eg0D_YGQL?usp=share_link", "RE-5.96608")</f>
        <v>RE-5.96608</v>
      </c>
      <c r="N538" s="34" t="str">
        <f>HYPERLINK("https://docs.google.com/spreadsheets/d/1bbTOz6r0Kb4M29BidROVaNDhCfGFAURg?usp=share_link", "RE-1349.28")</f>
        <v>RE-1349.28</v>
      </c>
      <c r="O538" s="34" t="str">
        <f>HYPERLINK("https://docs.google.com/spreadsheets/d/1Y0NpKeb7uzsWS10_dE1l-mdoNVpd4jwf?usp=share_link", "RE-11.4909")</f>
        <v>RE-11.4909</v>
      </c>
      <c r="P538" s="34">
        <f>HYPERLINK("https://docs.google.com/spreadsheets/d/1Rv2Gs3j8UXU-FST6DhGfqCG6YuQWllQx?usp=share_link", 224.409)</f>
        <v>224.409</v>
      </c>
      <c r="Q538" s="34" t="str">
        <f>HYPERLINK("https://docs.google.com/spreadsheets/d/1VdjptGp-0WC5IHYOvDUDxKXXhzJU9GS7?usp=share_link", "RE-21.3437")</f>
        <v>RE-21.3437</v>
      </c>
      <c r="R538" s="34">
        <f>HYPERLINK("https://docs.google.com/spreadsheets/d/1lvXmHFf-zP2GZ9ods1hS9kHT7HXG75g1?usp=share_link", 35.8298)</f>
        <v>35.8298</v>
      </c>
      <c r="S538" s="34" t="str">
        <f>HYPERLINK("https://docs.google.com/spreadsheets/d/1TGf3amKDDOCMuz00E_FwWcUM2X_jWDNH?usp=share_link", "RE-3.61702")</f>
        <v>RE-3.61702</v>
      </c>
      <c r="T538" s="34">
        <f>HYPERLINK("https://docs.google.com/spreadsheets/d/1Bia-_M46Uc5iXi4diHhoXNVA-BHAqBa3?usp=share_link", 185.028)</f>
        <v>185.028</v>
      </c>
      <c r="U538" s="34" t="str">
        <f>HYPERLINK("https://docs.google.com/spreadsheets/d/1gHYOBG9iUifJWjdcRmTngFb6w7dsh39Z?usp=share_link", "RE-11.7718")</f>
        <v>RE-11.7718</v>
      </c>
      <c r="V538" s="34" t="str">
        <f>HYPERLINK("https://docs.google.com/spreadsheets/d/1ux8OQy4YjFpU6SwxLFjyJgY2plcEAB15?usp=share_link", "RE-3.03488")</f>
        <v>RE-3.03488</v>
      </c>
      <c r="W538" s="33"/>
      <c r="X538" s="33"/>
      <c r="Y538" s="33"/>
      <c r="Z538" s="33"/>
      <c r="AA538" s="33"/>
      <c r="AB538" s="33"/>
      <c r="AC538" s="33"/>
      <c r="AD538" s="33"/>
      <c r="AE538" s="33"/>
      <c r="AF538" s="33"/>
      <c r="AG538" s="33"/>
      <c r="AH538" s="33"/>
      <c r="AI538" s="33"/>
      <c r="AJ538" s="33"/>
      <c r="AK538" s="33"/>
      <c r="AL538" s="33"/>
      <c r="AM538" s="33"/>
      <c r="AN538" s="33"/>
      <c r="AO538" s="33"/>
      <c r="AP538" s="33"/>
      <c r="AQ538" s="33"/>
      <c r="AR538" s="33"/>
      <c r="AS538" s="33"/>
      <c r="AT538" s="33"/>
      <c r="AU538" s="33"/>
      <c r="AV538" s="33"/>
      <c r="AW538" s="33"/>
      <c r="AX538" s="33"/>
      <c r="AY538" s="33"/>
      <c r="AZ538" s="33"/>
      <c r="BA538" s="33"/>
      <c r="BB538" s="33"/>
      <c r="BC538" s="33"/>
      <c r="BD538" s="33"/>
      <c r="BE538" s="33"/>
      <c r="BF538" s="33"/>
      <c r="BG538" s="33"/>
      <c r="BH538" s="33"/>
      <c r="BI538" s="33"/>
      <c r="BJ538" s="33"/>
      <c r="BK538" s="33"/>
      <c r="BL538" s="33"/>
      <c r="BM538" s="33"/>
      <c r="BN538" s="33"/>
      <c r="BO538" s="33"/>
      <c r="BP538" s="33"/>
      <c r="BQ538" s="33"/>
      <c r="BR538" s="33"/>
      <c r="BS538" s="33"/>
      <c r="BT538" s="33"/>
      <c r="BU538" s="33"/>
      <c r="BV538" s="33"/>
      <c r="BW538" s="33"/>
      <c r="BX538" s="33"/>
      <c r="BY538" s="33"/>
      <c r="BZ538" s="33"/>
      <c r="CA538" s="33"/>
      <c r="CB538" s="33"/>
      <c r="CC538" s="33"/>
      <c r="CD538" s="33"/>
      <c r="CE538" s="33"/>
      <c r="CF538" s="33"/>
      <c r="CG538" s="33"/>
      <c r="CH538" s="33"/>
      <c r="CI538" s="33"/>
      <c r="CJ538" s="33"/>
      <c r="CK538" s="33"/>
      <c r="CL538" s="33"/>
      <c r="CM538" s="33"/>
      <c r="CN538" s="33"/>
      <c r="CO538" s="33"/>
      <c r="CP538" s="33"/>
      <c r="CQ538" s="33"/>
      <c r="CR538" s="33"/>
      <c r="CS538" s="33"/>
      <c r="CT538" s="33"/>
      <c r="CU538" s="33"/>
      <c r="CV538" s="33"/>
      <c r="CW538" s="33"/>
      <c r="CX538" s="33"/>
      <c r="CY538" s="33"/>
      <c r="CZ538" s="33"/>
      <c r="DA538" s="33"/>
      <c r="DB538" s="33"/>
      <c r="DC538" s="33"/>
      <c r="DD538" s="33"/>
      <c r="DE538" s="33"/>
      <c r="DF538" s="33"/>
      <c r="DG538" s="33"/>
      <c r="DH538" s="33"/>
      <c r="DI538" s="33"/>
      <c r="DJ538" s="33"/>
      <c r="DK538" s="33"/>
      <c r="DL538" s="33"/>
      <c r="DM538" s="33"/>
      <c r="DN538" s="33"/>
      <c r="DO538" s="33"/>
      <c r="DP538" s="33"/>
      <c r="DQ538" s="33"/>
      <c r="DR538" s="33"/>
      <c r="DS538" s="33"/>
      <c r="DT538" s="33"/>
      <c r="DU538" s="33"/>
      <c r="DV538" s="33"/>
      <c r="DW538" s="33"/>
      <c r="DX538" s="33"/>
      <c r="DY538" s="33"/>
      <c r="DZ538" s="33"/>
      <c r="EA538" s="33"/>
      <c r="EB538" s="33"/>
      <c r="EC538" s="33"/>
      <c r="ED538" s="33"/>
      <c r="EE538" s="33"/>
      <c r="EF538" s="33"/>
      <c r="EG538" s="33"/>
      <c r="EH538" s="33"/>
      <c r="EI538" s="33"/>
      <c r="EJ538" s="33"/>
      <c r="EK538" s="33"/>
      <c r="EL538" s="33"/>
      <c r="EM538" s="33"/>
      <c r="EN538" s="33"/>
      <c r="EO538" s="33"/>
      <c r="EP538" s="33"/>
      <c r="EQ538" s="33"/>
      <c r="ER538" s="33"/>
      <c r="ES538" s="33"/>
      <c r="ET538" s="33"/>
      <c r="EU538" s="33"/>
      <c r="EV538" s="33"/>
      <c r="EW538" s="33"/>
      <c r="EX538" s="33"/>
      <c r="EY538" s="33"/>
      <c r="EZ538" s="33"/>
      <c r="FA538" s="33"/>
      <c r="FB538" s="33"/>
      <c r="FC538" s="33"/>
      <c r="FD538" s="33"/>
      <c r="FE538" s="33"/>
      <c r="FF538" s="33"/>
      <c r="FG538" s="33"/>
      <c r="FH538" s="33"/>
    </row>
    <row r="539">
      <c r="A539" s="30" t="s">
        <v>67</v>
      </c>
      <c r="B539" s="30" t="s">
        <v>93</v>
      </c>
      <c r="C539" s="31" t="str">
        <f>HYPERLINK("https://docs.google.com/spreadsheets/d/1geaxvUBnm0a3CxX-pmQ98KwmEeg67X_E/edit?usp=share_link&amp;ouid=106501987799020758802&amp;rtpof=true&amp;sd=true", "Raw Delivered")</f>
        <v>Raw Delivered</v>
      </c>
      <c r="D539" s="12">
        <f t="shared" si="1"/>
        <v>5908.111198</v>
      </c>
      <c r="E539" s="13"/>
      <c r="F539" s="14">
        <f>HYPERLINK("https://docs.google.com/spreadsheets/d/1ZYTB0ZNVloG3pU9ywksv_E698snkhiIw", 446.732222916667)</f>
        <v>446.7322229</v>
      </c>
      <c r="G539" s="13"/>
      <c r="H539" s="14">
        <f>HYPERLINK("https://docs.google.com/spreadsheets/d/1_xCfUvV5SMEEMkarSSwZsDrQpsVJScWx", 120.9647375)</f>
        <v>120.9647375</v>
      </c>
      <c r="I539" s="13"/>
      <c r="J539" s="14">
        <f>HYPERLINK("https://docs.google.com/spreadsheets/d/1tzuToEYb3e4K9O3toE9YiMyt5cGI1xe0", 3025.64571666667)</f>
        <v>3025.645717</v>
      </c>
      <c r="K539" s="13"/>
      <c r="L539" s="14">
        <f t="shared" ref="L539:L540" si="270">HYPERLINK("https://docs.google.com/spreadsheets/d/18rqtyfWmxJhy8-C5vg0WPZqlwt_m9Gis", 111.666327083333)</f>
        <v>111.6663271</v>
      </c>
      <c r="M539" s="13"/>
      <c r="N539" s="14">
        <f>HYPERLINK("https://docs.google.com/spreadsheets/d/1oViGZtoHfQmGGi0iTXx6-eufOUnqGhBP", 1328.90290833333)</f>
        <v>1328.902908</v>
      </c>
      <c r="O539" s="13"/>
      <c r="P539" s="14">
        <f t="shared" ref="P539:P540" si="271">HYPERLINK("https://docs.google.com/spreadsheets/d/1-Z3ndy1zzJGT9ahLa7jZOTlwj-366OuQ", 374.491123958333)</f>
        <v>374.491124</v>
      </c>
      <c r="Q539" s="13"/>
      <c r="R539" s="14">
        <f t="shared" ref="R539:R540" si="272">HYPERLINK("https://docs.google.com/spreadsheets/d/1OMfLjTRGSNqXeNnKZitEbv_y4P_Q_h09", 161.059402083333)</f>
        <v>161.0594021</v>
      </c>
      <c r="S539" s="13"/>
      <c r="T539" s="14">
        <f t="shared" ref="T539:T540" si="273">HYPERLINK("https://docs.google.com/spreadsheets/d/1xH3Pfng1_RoHFRD6YJ8e8tTymrbvl1EX", 338.648759375)</f>
        <v>338.6487594</v>
      </c>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c r="DV539" s="13"/>
      <c r="DW539" s="13"/>
      <c r="DX539" s="13"/>
      <c r="DY539" s="13"/>
      <c r="DZ539" s="13"/>
      <c r="EA539" s="13"/>
      <c r="EB539" s="13"/>
      <c r="EC539" s="13"/>
      <c r="ED539" s="13"/>
      <c r="EE539" s="13"/>
      <c r="EF539" s="13"/>
      <c r="EG539" s="13"/>
      <c r="EH539" s="13"/>
      <c r="EI539" s="13"/>
      <c r="EJ539" s="13"/>
      <c r="EK539" s="13"/>
      <c r="EL539" s="13"/>
      <c r="EM539" s="13"/>
      <c r="EN539" s="13"/>
      <c r="EO539" s="13"/>
      <c r="EP539" s="13"/>
      <c r="EQ539" s="13"/>
      <c r="ER539" s="13"/>
      <c r="ES539" s="13"/>
      <c r="ET539" s="13"/>
      <c r="EU539" s="13"/>
      <c r="EV539" s="13"/>
      <c r="EW539" s="13"/>
      <c r="EX539" s="13"/>
      <c r="EY539" s="13"/>
      <c r="EZ539" s="13"/>
      <c r="FA539" s="13"/>
      <c r="FB539" s="13"/>
      <c r="FC539" s="13"/>
      <c r="FD539" s="13"/>
      <c r="FE539" s="13"/>
      <c r="FF539" s="13"/>
      <c r="FG539" s="13"/>
      <c r="FH539" s="13"/>
    </row>
    <row r="540">
      <c r="A540" s="32" t="s">
        <v>67</v>
      </c>
      <c r="B540" s="32" t="s">
        <v>93</v>
      </c>
      <c r="C540" s="32" t="s">
        <v>9</v>
      </c>
      <c r="D540" s="16">
        <f t="shared" si="1"/>
        <v>985.8656125</v>
      </c>
      <c r="E540" s="17"/>
      <c r="F540" s="18" t="str">
        <f>HYPERLINK("https://docs.google.com/spreadsheets/d/1ZYTB0ZNVloG3pU9ywksv_E698snkhiIw", "RE-446.7322229166671")</f>
        <v>RE-446.7322229166671</v>
      </c>
      <c r="G540" s="17"/>
      <c r="H540" s="18" t="str">
        <f>HYPERLINK("https://docs.google.com/spreadsheets/d/1_xCfUvV5SMEEMkarSSwZsDrQpsVJScWx", "RE-120.96473750000006")</f>
        <v>RE-120.96473750000006</v>
      </c>
      <c r="I540" s="17"/>
      <c r="J540" s="18" t="str">
        <f>HYPERLINK("https://docs.google.com/spreadsheets/d/1tzuToEYb3e4K9O3toE9YiMyt5cGI1xe0", "RE-3025.6457166666787")</f>
        <v>RE-3025.6457166666787</v>
      </c>
      <c r="K540" s="17"/>
      <c r="L540" s="18">
        <f t="shared" si="270"/>
        <v>111.6663271</v>
      </c>
      <c r="M540" s="17"/>
      <c r="N540" s="18" t="str">
        <f>HYPERLINK("https://docs.google.com/spreadsheets/d/1oViGZtoHfQmGGi0iTXx6-eufOUnqGhBP", "RE-1328.9029083333326")</f>
        <v>RE-1328.9029083333326</v>
      </c>
      <c r="O540" s="17"/>
      <c r="P540" s="18">
        <f t="shared" si="271"/>
        <v>374.491124</v>
      </c>
      <c r="Q540" s="17"/>
      <c r="R540" s="18">
        <f t="shared" si="272"/>
        <v>161.0594021</v>
      </c>
      <c r="S540" s="17"/>
      <c r="T540" s="18">
        <f t="shared" si="273"/>
        <v>338.6487594</v>
      </c>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c r="DE540" s="17"/>
      <c r="DF540" s="17"/>
      <c r="DG540" s="17"/>
      <c r="DH540" s="17"/>
      <c r="DI540" s="17"/>
      <c r="DJ540" s="17"/>
      <c r="DK540" s="17"/>
      <c r="DL540" s="17"/>
      <c r="DM540" s="17"/>
      <c r="DN540" s="17"/>
      <c r="DO540" s="17"/>
      <c r="DP540" s="17"/>
      <c r="DQ540" s="17"/>
      <c r="DR540" s="17"/>
      <c r="DS540" s="17"/>
      <c r="DT540" s="17"/>
      <c r="DU540" s="17"/>
      <c r="DV540" s="17"/>
      <c r="DW540" s="17"/>
      <c r="DX540" s="17"/>
      <c r="DY540" s="17"/>
      <c r="DZ540" s="17"/>
      <c r="EA540" s="17"/>
      <c r="EB540" s="17"/>
      <c r="EC540" s="17"/>
      <c r="ED540" s="17"/>
      <c r="EE540" s="17"/>
      <c r="EF540" s="17"/>
      <c r="EG540" s="17"/>
      <c r="EH540" s="17"/>
      <c r="EI540" s="17"/>
      <c r="EJ540" s="17"/>
      <c r="EK540" s="17"/>
      <c r="EL540" s="17"/>
      <c r="EM540" s="17"/>
      <c r="EN540" s="17"/>
      <c r="EO540" s="17"/>
      <c r="EP540" s="17"/>
      <c r="EQ540" s="17"/>
      <c r="ER540" s="17"/>
      <c r="ES540" s="17"/>
      <c r="ET540" s="17"/>
      <c r="EU540" s="17"/>
      <c r="EV540" s="17"/>
      <c r="EW540" s="17"/>
      <c r="EX540" s="17"/>
      <c r="EY540" s="17"/>
      <c r="EZ540" s="17"/>
      <c r="FA540" s="17"/>
      <c r="FB540" s="17"/>
      <c r="FC540" s="17"/>
      <c r="FD540" s="17"/>
      <c r="FE540" s="17"/>
      <c r="FF540" s="17"/>
      <c r="FG540" s="17"/>
      <c r="FH540" s="17"/>
    </row>
    <row r="541">
      <c r="A541" s="32" t="s">
        <v>67</v>
      </c>
      <c r="B541" s="32" t="s">
        <v>93</v>
      </c>
      <c r="C541" s="32" t="s">
        <v>10</v>
      </c>
      <c r="D541" s="16">
        <f t="shared" si="1"/>
        <v>636.0477885</v>
      </c>
      <c r="E541" s="17"/>
      <c r="F541" s="17"/>
      <c r="G541" s="18">
        <f>HYPERLINK("https://docs.google.com/spreadsheets/d/1G5D7h4rv7FSZ-dDZZ7PWpTPtLFXGDKRX", 33.7351416666666)</f>
        <v>33.73514167</v>
      </c>
      <c r="H541" s="17"/>
      <c r="I541" s="18">
        <f>HYPERLINK("https://docs.google.com/spreadsheets/d/1Ox038JyMbpww9wXqubuIOZv-hP4m0kG5", 5.75577708333333)</f>
        <v>5.755777083</v>
      </c>
      <c r="J541" s="17"/>
      <c r="K541" s="18">
        <f>HYPERLINK("https://docs.google.com/spreadsheets/d/1AdV5OOt2HjFBZ-7PQd_CpD_qiZBmJ_KV", 269.766687499999)</f>
        <v>269.7666875</v>
      </c>
      <c r="L541" s="17"/>
      <c r="M541" s="18">
        <f>HYPERLINK("https://docs.google.com/spreadsheets/d/1ohzpMOn-BuR3q_39OfiUiLZHJZWa_-U6", 16.4647375)</f>
        <v>16.4647375</v>
      </c>
      <c r="N541" s="17"/>
      <c r="O541" s="18">
        <f>HYPERLINK("https://docs.google.com/spreadsheets/d/1fRRHrEXVusUBdFwBP7Ye9dSqKaUOHv_L", 207.55220625)</f>
        <v>207.5522063</v>
      </c>
      <c r="P541" s="17"/>
      <c r="Q541" s="18">
        <f>HYPERLINK("https://docs.google.com/spreadsheets/d/1HwR1BJr_9Ac3Je90kX2xsgmgPLA91gfB", 64.0230708333333)</f>
        <v>64.02307083</v>
      </c>
      <c r="R541" s="17"/>
      <c r="S541" s="18">
        <f>HYPERLINK("https://docs.google.com/spreadsheets/d/1jHPDXbjImttI20QSJOCRC1ZR_uglgIvZ", 14.7718145833333)</f>
        <v>14.77181458</v>
      </c>
      <c r="T541" s="17"/>
      <c r="U541" s="18">
        <f>HYPERLINK("https://docs.google.com/spreadsheets/d/1t4Ad4NI1GDfukSlwnpStHAu1jpHw8xL2", 22.0588010416666)</f>
        <v>22.05880104</v>
      </c>
      <c r="V541" s="18">
        <f>HYPERLINK("https://docs.google.com/spreadsheets/d/1OjXHmXK3RODJ4ow9mTM_ekSrJm-lSdgI", 1.91955208333333)</f>
        <v>1.919552083</v>
      </c>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c r="DE541" s="17"/>
      <c r="DF541" s="17"/>
      <c r="DG541" s="17"/>
      <c r="DH541" s="17"/>
      <c r="DI541" s="17"/>
      <c r="DJ541" s="17"/>
      <c r="DK541" s="17"/>
      <c r="DL541" s="17"/>
      <c r="DM541" s="17"/>
      <c r="DN541" s="17"/>
      <c r="DO541" s="17"/>
      <c r="DP541" s="17"/>
      <c r="DQ541" s="17"/>
      <c r="DR541" s="17"/>
      <c r="DS541" s="17"/>
      <c r="DT541" s="17"/>
      <c r="DU541" s="17"/>
      <c r="DV541" s="17"/>
      <c r="DW541" s="17"/>
      <c r="DX541" s="17"/>
      <c r="DY541" s="17"/>
      <c r="DZ541" s="17"/>
      <c r="EA541" s="17"/>
      <c r="EB541" s="17"/>
      <c r="EC541" s="17"/>
      <c r="ED541" s="17"/>
      <c r="EE541" s="17"/>
      <c r="EF541" s="17"/>
      <c r="EG541" s="17"/>
      <c r="EH541" s="17"/>
      <c r="EI541" s="17"/>
      <c r="EJ541" s="17"/>
      <c r="EK541" s="17"/>
      <c r="EL541" s="17"/>
      <c r="EM541" s="17"/>
      <c r="EN541" s="17"/>
      <c r="EO541" s="17"/>
      <c r="EP541" s="17"/>
      <c r="EQ541" s="17"/>
      <c r="ER541" s="17"/>
      <c r="ES541" s="17"/>
      <c r="ET541" s="17"/>
      <c r="EU541" s="17"/>
      <c r="EV541" s="17"/>
      <c r="EW541" s="17"/>
      <c r="EX541" s="17"/>
      <c r="EY541" s="17"/>
      <c r="EZ541" s="17"/>
      <c r="FA541" s="17"/>
      <c r="FB541" s="17"/>
      <c r="FC541" s="17"/>
      <c r="FD541" s="17"/>
      <c r="FE541" s="17"/>
      <c r="FF541" s="17"/>
      <c r="FG541" s="17"/>
      <c r="FH541" s="17"/>
    </row>
    <row r="542">
      <c r="A542" s="32" t="s">
        <v>67</v>
      </c>
      <c r="B542" s="32" t="s">
        <v>93</v>
      </c>
      <c r="C542" s="32" t="s">
        <v>11</v>
      </c>
      <c r="D542" s="16">
        <f t="shared" si="1"/>
        <v>0</v>
      </c>
      <c r="E542" s="17"/>
      <c r="F542" s="17"/>
      <c r="G542" s="18" t="str">
        <f>HYPERLINK("https://docs.google.com/spreadsheets/d/1G5D7h4rv7FSZ-dDZZ7PWpTPtLFXGDKRX", "RE-33.73514166666667")</f>
        <v>RE-33.73514166666667</v>
      </c>
      <c r="H542" s="17"/>
      <c r="I542" s="18" t="str">
        <f>HYPERLINK("https://docs.google.com/spreadsheets/d/1Ox038JyMbpww9wXqubuIOZv-hP4m0kG5", "RE-5.755777083333332")</f>
        <v>RE-5.755777083333332</v>
      </c>
      <c r="J542" s="17"/>
      <c r="K542" s="18" t="str">
        <f>HYPERLINK("https://docs.google.com/spreadsheets/d/1AdV5OOt2HjFBZ-7PQd_CpD_qiZBmJ_KV", "RE-269.7666874999997")</f>
        <v>RE-269.7666874999997</v>
      </c>
      <c r="L542" s="17"/>
      <c r="M542" s="18" t="str">
        <f>HYPERLINK("https://docs.google.com/spreadsheets/d/1ohzpMOn-BuR3q_39OfiUiLZHJZWa_-U6", "RE-16.4647375")</f>
        <v>RE-16.4647375</v>
      </c>
      <c r="N542" s="17"/>
      <c r="O542" s="18" t="str">
        <f>HYPERLINK("https://docs.google.com/spreadsheets/d/1fRRHrEXVusUBdFwBP7Ye9dSqKaUOHv_L", "RE-207.55220625000007")</f>
        <v>RE-207.55220625000007</v>
      </c>
      <c r="P542" s="17"/>
      <c r="Q542" s="18" t="str">
        <f>HYPERLINK("https://docs.google.com/spreadsheets/d/1HwR1BJr_9Ac3Je90kX2xsgmgPLA91gfB", "RE-64.02307083333334")</f>
        <v>RE-64.02307083333334</v>
      </c>
      <c r="R542" s="17"/>
      <c r="S542" s="18" t="str">
        <f>HYPERLINK("https://docs.google.com/spreadsheets/d/1jHPDXbjImttI20QSJOCRC1ZR_uglgIvZ", "RE-14.771814583333335")</f>
        <v>RE-14.771814583333335</v>
      </c>
      <c r="T542" s="17"/>
      <c r="U542" s="18" t="str">
        <f>HYPERLINK("https://docs.google.com/spreadsheets/d/1t4Ad4NI1GDfukSlwnpStHAu1jpHw8xL2", "RE-22.058801041666673")</f>
        <v>RE-22.058801041666673</v>
      </c>
      <c r="V542" s="18" t="str">
        <f>HYPERLINK("https://docs.google.com/spreadsheets/d/1OjXHmXK3RODJ4ow9mTM_ekSrJm-lSdgI", "RE-1.9195520833333335")</f>
        <v>RE-1.9195520833333335</v>
      </c>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c r="DE542" s="17"/>
      <c r="DF542" s="17"/>
      <c r="DG542" s="17"/>
      <c r="DH542" s="17"/>
      <c r="DI542" s="17"/>
      <c r="DJ542" s="17"/>
      <c r="DK542" s="17"/>
      <c r="DL542" s="17"/>
      <c r="DM542" s="17"/>
      <c r="DN542" s="17"/>
      <c r="DO542" s="17"/>
      <c r="DP542" s="17"/>
      <c r="DQ542" s="17"/>
      <c r="DR542" s="17"/>
      <c r="DS542" s="17"/>
      <c r="DT542" s="17"/>
      <c r="DU542" s="17"/>
      <c r="DV542" s="17"/>
      <c r="DW542" s="17"/>
      <c r="DX542" s="17"/>
      <c r="DY542" s="17"/>
      <c r="DZ542" s="17"/>
      <c r="EA542" s="17"/>
      <c r="EB542" s="17"/>
      <c r="EC542" s="17"/>
      <c r="ED542" s="17"/>
      <c r="EE542" s="17"/>
      <c r="EF542" s="17"/>
      <c r="EG542" s="17"/>
      <c r="EH542" s="17"/>
      <c r="EI542" s="17"/>
      <c r="EJ542" s="17"/>
      <c r="EK542" s="17"/>
      <c r="EL542" s="17"/>
      <c r="EM542" s="17"/>
      <c r="EN542" s="17"/>
      <c r="EO542" s="17"/>
      <c r="EP542" s="17"/>
      <c r="EQ542" s="17"/>
      <c r="ER542" s="17"/>
      <c r="ES542" s="17"/>
      <c r="ET542" s="17"/>
      <c r="EU542" s="17"/>
      <c r="EV542" s="17"/>
      <c r="EW542" s="17"/>
      <c r="EX542" s="17"/>
      <c r="EY542" s="17"/>
      <c r="EZ542" s="17"/>
      <c r="FA542" s="17"/>
      <c r="FB542" s="17"/>
      <c r="FC542" s="17"/>
      <c r="FD542" s="17"/>
      <c r="FE542" s="17"/>
      <c r="FF542" s="17"/>
      <c r="FG542" s="17"/>
      <c r="FH542" s="17"/>
    </row>
    <row r="543">
      <c r="A543" s="32" t="s">
        <v>67</v>
      </c>
      <c r="B543" s="32" t="s">
        <v>93</v>
      </c>
      <c r="C543" s="32" t="s">
        <v>12</v>
      </c>
      <c r="D543" s="16">
        <f t="shared" si="1"/>
        <v>936.9477448</v>
      </c>
      <c r="E543" s="17"/>
      <c r="F543" s="18" t="str">
        <f>HYPERLINK("https://docs.google.com/spreadsheets/d/1M44YScX2JX4d7NnIAojwP-Gn3pyVtyJr", "RE-395.1380208333337")</f>
        <v>RE-395.1380208333337</v>
      </c>
      <c r="G543" s="18" t="str">
        <f>HYPERLINK("https://docs.google.com/spreadsheets/d/1iCLoJNQ3Cq2-ch9Y9PF-4j9T_w9sD-kC", "RE-2.839377083333333")</f>
        <v>RE-2.839377083333333</v>
      </c>
      <c r="H543" s="18" t="str">
        <f>HYPERLINK("https://docs.google.com/spreadsheets/d/1qI1Jc89KELL2zMRFLJ3YUQRxn7-chOIz", "RE-113.50024583333334")</f>
        <v>RE-113.50024583333334</v>
      </c>
      <c r="I543" s="18" t="str">
        <f>HYPERLINK("https://docs.google.com/spreadsheets/d/11fPRpj0kap62NYAnYGrWxLdNifuA6q0x", "RE-0.214")</f>
        <v>RE-0.214</v>
      </c>
      <c r="J543" s="18" t="str">
        <f>HYPERLINK("https://docs.google.com/spreadsheets/d/1G9mNAz-ct3uREy0xRKOCT1U4X-10FFJf", "RE-2552.4375229166685")</f>
        <v>RE-2552.4375229166685</v>
      </c>
      <c r="K543" s="18" t="str">
        <f>HYPERLINK("https://docs.google.com/spreadsheets/d/1Q6apRWmy91a39Rur5Y4F75sOqKopG_9v", "RE-8.851314583333334")</f>
        <v>RE-8.851314583333334</v>
      </c>
      <c r="L543" s="18">
        <f>HYPERLINK("https://docs.google.com/spreadsheets/d/1i0H1s9b-QwXXl6DQ5Hx3VBIGEa23aa4r", 107.140940625)</f>
        <v>107.1409406</v>
      </c>
      <c r="M543" s="18" t="str">
        <f>HYPERLINK("https://docs.google.com/spreadsheets/d/1Aw7QJhhjv342xXwoPzv1H7neEvCY2gtQ", "RE-0.33731041666666667")</f>
        <v>RE-0.33731041666666667</v>
      </c>
      <c r="N543" s="18" t="str">
        <f>HYPERLINK("https://docs.google.com/spreadsheets/d/1yKEdpdKMYZncOs4UyuZFLH25jpw_5GWD", "RE-917.9638322916671")</f>
        <v>RE-917.9638322916671</v>
      </c>
      <c r="O543" s="18" t="str">
        <f>HYPERLINK("https://docs.google.com/spreadsheets/d/12PpckVn0zbibZrWs5lyPgcOYDr8V7_2X", "RE-4.464752083333333")</f>
        <v>RE-4.464752083333333</v>
      </c>
      <c r="P543" s="18">
        <f>HYPERLINK("https://docs.google.com/spreadsheets/d/17NyL_QQzmh5UGCgygOV37XhQbQKkkfmJ", 348.606877083333)</f>
        <v>348.6068771</v>
      </c>
      <c r="Q543" s="18" t="str">
        <f>HYPERLINK("https://docs.google.com/spreadsheets/d/1V7x7sq7ZIGBHmcRp_iyBf9qdDkNXp7dG", "RE-22.36654791666667")</f>
        <v>RE-22.36654791666667</v>
      </c>
      <c r="R543" s="18">
        <f>HYPERLINK("https://docs.google.com/spreadsheets/d/1M_ju7hvGDhh7Ib8H67s6aLdxJioMyUlV", 157.588464583333)</f>
        <v>157.5884646</v>
      </c>
      <c r="S543" s="18" t="str">
        <f>HYPERLINK("https://docs.google.com/spreadsheets/d/1jEyMx66MGIrLh2wEe77kapbqZ1_8pa1D", "RE-12.77748541666667")</f>
        <v>RE-12.77748541666667</v>
      </c>
      <c r="T543" s="18">
        <f>HYPERLINK("https://docs.google.com/spreadsheets/d/12iOHuaoKb2hqZuJZZZknKaw_CmIhUU9e", 323.6114625)</f>
        <v>323.6114625</v>
      </c>
      <c r="U543" s="18" t="str">
        <f>HYPERLINK("https://docs.google.com/spreadsheets/d/15rc-EBiogTwCcrB97wjOt6ibor_48Nv9", "RE-13.525445833333329")</f>
        <v>RE-13.525445833333329</v>
      </c>
      <c r="V543" s="18" t="str">
        <f>HYPERLINK("https://docs.google.com/spreadsheets/d/1oDoebPYRBTuJ0u8g1Z0kKAP9yQiIooKB", "RE-1.588575")</f>
        <v>RE-1.588575</v>
      </c>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c r="DE543" s="17"/>
      <c r="DF543" s="17"/>
      <c r="DG543" s="17"/>
      <c r="DH543" s="17"/>
      <c r="DI543" s="17"/>
      <c r="DJ543" s="17"/>
      <c r="DK543" s="17"/>
      <c r="DL543" s="17"/>
      <c r="DM543" s="17"/>
      <c r="DN543" s="17"/>
      <c r="DO543" s="17"/>
      <c r="DP543" s="17"/>
      <c r="DQ543" s="17"/>
      <c r="DR543" s="17"/>
      <c r="DS543" s="17"/>
      <c r="DT543" s="17"/>
      <c r="DU543" s="17"/>
      <c r="DV543" s="17"/>
      <c r="DW543" s="17"/>
      <c r="DX543" s="17"/>
      <c r="DY543" s="17"/>
      <c r="DZ543" s="17"/>
      <c r="EA543" s="17"/>
      <c r="EB543" s="17"/>
      <c r="EC543" s="17"/>
      <c r="ED543" s="17"/>
      <c r="EE543" s="17"/>
      <c r="EF543" s="17"/>
      <c r="EG543" s="17"/>
      <c r="EH543" s="17"/>
      <c r="EI543" s="17"/>
      <c r="EJ543" s="17"/>
      <c r="EK543" s="17"/>
      <c r="EL543" s="17"/>
      <c r="EM543" s="17"/>
      <c r="EN543" s="17"/>
      <c r="EO543" s="17"/>
      <c r="EP543" s="17"/>
      <c r="EQ543" s="17"/>
      <c r="ER543" s="17"/>
      <c r="ES543" s="17"/>
      <c r="ET543" s="17"/>
      <c r="EU543" s="17"/>
      <c r="EV543" s="17"/>
      <c r="EW543" s="17"/>
      <c r="EX543" s="17"/>
      <c r="EY543" s="17"/>
      <c r="EZ543" s="17"/>
      <c r="FA543" s="17"/>
      <c r="FB543" s="17"/>
      <c r="FC543" s="17"/>
      <c r="FD543" s="17"/>
      <c r="FE543" s="17"/>
      <c r="FF543" s="17"/>
      <c r="FG543" s="17"/>
      <c r="FH543" s="17"/>
    </row>
    <row r="544">
      <c r="A544" s="32" t="s">
        <v>67</v>
      </c>
      <c r="B544" s="32" t="s">
        <v>93</v>
      </c>
      <c r="C544" s="32" t="s">
        <v>13</v>
      </c>
      <c r="D544" s="16">
        <f t="shared" si="1"/>
        <v>899.884</v>
      </c>
      <c r="E544" s="17"/>
      <c r="F544" s="18" t="str">
        <f>HYPERLINK("https://docs.google.com/spreadsheets/d/1bn77J6Yh9zvlnV7gcifX21RthwmBQ5zV?usp=share_link", "RE-382.029")</f>
        <v>RE-382.029</v>
      </c>
      <c r="G544" s="18" t="str">
        <f>HYPERLINK("https://docs.google.com/spreadsheets/d/1wzsRaKyHcfRBYRW-NHHNw8QgXQ04vdUa?usp=share_link", "RE-2.67038")</f>
        <v>RE-2.67038</v>
      </c>
      <c r="H544" s="18" t="str">
        <f>HYPERLINK("https://docs.google.com/spreadsheets/d/1f3gGIGAibUyV_H3L6ioGhqn6a-pPOiRV?usp=share_link", "RE-109.601")</f>
        <v>RE-109.601</v>
      </c>
      <c r="I544" s="18" t="str">
        <f>HYPERLINK("https://docs.google.com/spreadsheets/d/192kSBqLgO0fNdIyUoGjy03mK932YNWDB?usp=share_link", "RE-0.21325")</f>
        <v>RE-0.21325</v>
      </c>
      <c r="J544" s="18" t="str">
        <f>HYPERLINK("https://docs.google.com/spreadsheets/d/1BxN9rhIXKjikr8waRHsGHcAeMvgq7Mj8?usp=share_link", "RE-2445.72")</f>
        <v>RE-2445.72</v>
      </c>
      <c r="K544" s="18" t="str">
        <f>HYPERLINK("https://docs.google.com/spreadsheets/d/1FgjUziiOZ6KyCF9T4QhOUWVnNZILENSi?usp=share_link", "RE-8.48323")</f>
        <v>RE-8.48323</v>
      </c>
      <c r="L544" s="18">
        <f>HYPERLINK("https://docs.google.com/spreadsheets/d/1Rvyxqx0xiKhtCGCB60pFYVqmAEj19wd5?usp=share_link", 104.287)</f>
        <v>104.287</v>
      </c>
      <c r="M544" s="18" t="str">
        <f>HYPERLINK("https://docs.google.com/spreadsheets/d/1fuUTzPRAN0gmH3dYGxDD83mQUJ7uvoqe?usp=share_link", "RE-0.321267")</f>
        <v>RE-0.321267</v>
      </c>
      <c r="N544" s="18" t="str">
        <f>HYPERLINK("https://docs.google.com/spreadsheets/d/1zIXMcatkc1WBOhsYG4SEzOp8O5OfsKIU?usp=share_link", "RE-883.968")</f>
        <v>RE-883.968</v>
      </c>
      <c r="O544" s="18" t="str">
        <f>HYPERLINK("https://docs.google.com/spreadsheets/d/1d4EQzDNcgx__ymEGykIJtl2MPsKVMpFz?usp=share_link", "RE-4.25818")</f>
        <v>RE-4.25818</v>
      </c>
      <c r="P544" s="18">
        <f>HYPERLINK("https://docs.google.com/spreadsheets/d/1PK6XEU3aveY40c4ZmawLYgNvNcSUVfAP?usp=share_link", 333.643)</f>
        <v>333.643</v>
      </c>
      <c r="Q544" s="18" t="str">
        <f>HYPERLINK("https://docs.google.com/spreadsheets/d/1NUsuGYq9Acf-YiCOP7EZoWnk2nKfqSgn?usp=share_link", "RE-21.4402")</f>
        <v>RE-21.4402</v>
      </c>
      <c r="R544" s="18">
        <f>HYPERLINK("https://docs.google.com/spreadsheets/d/11LVe5dZsJxSRWl91aO4Mj3q2hQM5ZDNR?usp=share_link", 151.471)</f>
        <v>151.471</v>
      </c>
      <c r="S544" s="18" t="str">
        <f>HYPERLINK("https://docs.google.com/spreadsheets/d/1sP1C1JVo1oSos_GxwfRmM_nKRElqhoBy?usp=share_link", "RE-11.9896")</f>
        <v>RE-11.9896</v>
      </c>
      <c r="T544" s="18">
        <f>HYPERLINK("https://docs.google.com/spreadsheets/d/1atDrsKjiI-cYC1qw-ppw2JEaWahsyShV?usp=share_link", 310.483)</f>
        <v>310.483</v>
      </c>
      <c r="U544" s="18" t="str">
        <f>HYPERLINK("https://docs.google.com/spreadsheets/d/1bW9DKPZwvo8aX4qaPjcDdwBsTuQOWU3U?usp=share_link", "RE-13.071")</f>
        <v>RE-13.071</v>
      </c>
      <c r="V544" s="18" t="str">
        <f>HYPERLINK("https://docs.google.com/spreadsheets/d/15pCyiKejzj3qlujhTs7BS4mbMTqjBway?usp=share_link", "RE-1.46007")</f>
        <v>RE-1.46007</v>
      </c>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c r="DE544" s="17"/>
      <c r="DF544" s="17"/>
      <c r="DG544" s="17"/>
      <c r="DH544" s="17"/>
      <c r="DI544" s="17"/>
      <c r="DJ544" s="17"/>
      <c r="DK544" s="17"/>
      <c r="DL544" s="17"/>
      <c r="DM544" s="17"/>
      <c r="DN544" s="17"/>
      <c r="DO544" s="17"/>
      <c r="DP544" s="17"/>
      <c r="DQ544" s="17"/>
      <c r="DR544" s="17"/>
      <c r="DS544" s="17"/>
      <c r="DT544" s="17"/>
      <c r="DU544" s="17"/>
      <c r="DV544" s="17"/>
      <c r="DW544" s="17"/>
      <c r="DX544" s="17"/>
      <c r="DY544" s="17"/>
      <c r="DZ544" s="17"/>
      <c r="EA544" s="17"/>
      <c r="EB544" s="17"/>
      <c r="EC544" s="17"/>
      <c r="ED544" s="17"/>
      <c r="EE544" s="17"/>
      <c r="EF544" s="17"/>
      <c r="EG544" s="17"/>
      <c r="EH544" s="17"/>
      <c r="EI544" s="17"/>
      <c r="EJ544" s="17"/>
      <c r="EK544" s="17"/>
      <c r="EL544" s="17"/>
      <c r="EM544" s="17"/>
      <c r="EN544" s="17"/>
      <c r="EO544" s="17"/>
      <c r="EP544" s="17"/>
      <c r="EQ544" s="17"/>
      <c r="ER544" s="17"/>
      <c r="ES544" s="17"/>
      <c r="ET544" s="17"/>
      <c r="EU544" s="17"/>
      <c r="EV544" s="17"/>
      <c r="EW544" s="17"/>
      <c r="EX544" s="17"/>
      <c r="EY544" s="17"/>
      <c r="EZ544" s="17"/>
      <c r="FA544" s="17"/>
      <c r="FB544" s="17"/>
      <c r="FC544" s="17"/>
      <c r="FD544" s="17"/>
      <c r="FE544" s="17"/>
      <c r="FF544" s="17"/>
      <c r="FG544" s="17"/>
      <c r="FH544" s="17"/>
    </row>
    <row r="545">
      <c r="A545" s="32" t="s">
        <v>67</v>
      </c>
      <c r="B545" s="32" t="s">
        <v>93</v>
      </c>
      <c r="C545" s="32" t="s">
        <v>14</v>
      </c>
      <c r="D545" s="16">
        <f t="shared" si="1"/>
        <v>775.4954</v>
      </c>
      <c r="E545" s="17"/>
      <c r="F545" s="18" t="str">
        <f>HYPERLINK("https://docs.google.com/spreadsheets/d/1MU_Q6ICuzHnzLY7kAG-suJZ4LXhfBWKU?usp=share_link", "RE-344.284")</f>
        <v>RE-344.284</v>
      </c>
      <c r="G545" s="18" t="str">
        <f>HYPERLINK("https://docs.google.com/spreadsheets/d/1Jo4c9CpVRLzkZ9G7rlmSNwkvspXo6Elj?usp=share_link", "RE-2.21137")</f>
        <v>RE-2.21137</v>
      </c>
      <c r="H545" s="18" t="str">
        <f>HYPERLINK("https://docs.google.com/spreadsheets/d/1sVUiGKhnFPPTDfaE7H0-Y1z8tKKMNtU6?usp=share_link", "RE-98.6687")</f>
        <v>RE-98.6687</v>
      </c>
      <c r="I545" s="18" t="str">
        <f>HYPERLINK("https://docs.google.com/spreadsheets/d/1Jti0g9I_15GSqA1GSTX1JCZLCRzgIwzu?usp=share_link", "RE-0.21325")</f>
        <v>RE-0.21325</v>
      </c>
      <c r="J545" s="18" t="str">
        <f>HYPERLINK("https://docs.google.com/spreadsheets/d/15PQZxlPrplhxOOn3p_cpPzdkA8CKM0kM?usp=share_link", "RE-2258.37")</f>
        <v>RE-2258.37</v>
      </c>
      <c r="K545" s="18" t="str">
        <f>HYPERLINK("https://docs.google.com/spreadsheets/d/1xvRu04khYGaUaE8y729kkCspvdT7Gzgw?usp=share_link", "RE-8.07667")</f>
        <v>RE-8.07667</v>
      </c>
      <c r="L545" s="18">
        <f>HYPERLINK("https://docs.google.com/spreadsheets/d/1uCjn4yss6qD6Qhg6qeqpekyOHIDrb6-0?usp=share_link", 91.4164)</f>
        <v>91.4164</v>
      </c>
      <c r="M545" s="18" t="str">
        <f>HYPERLINK("https://docs.google.com/spreadsheets/d/1n5w-jAPb4v3Jd-OTFK4PUcHGtEIHZ6yy?usp=share_link", "RE-0.321267")</f>
        <v>RE-0.321267</v>
      </c>
      <c r="N545" s="18" t="str">
        <f>HYPERLINK("https://docs.google.com/spreadsheets/d/1hG2cWayoQcQighHh534In5fe1i7SQpz9?usp=share_link", "RE-782.572")</f>
        <v>RE-782.572</v>
      </c>
      <c r="O545" s="18" t="str">
        <f>HYPERLINK("https://docs.google.com/spreadsheets/d/1iKwAwB5dITvC2sO9_A0HeVaExAzQyi5V?usp=share_link", "RE-4.25818")</f>
        <v>RE-4.25818</v>
      </c>
      <c r="P545" s="18">
        <f>HYPERLINK("https://docs.google.com/spreadsheets/d/1esWcMe6j5njhCyJI364vkZYfilnezMh3?usp=share_link", 287.383)</f>
        <v>287.383</v>
      </c>
      <c r="Q545" s="18" t="str">
        <f>HYPERLINK("https://docs.google.com/spreadsheets/d/1OsYuPM9w1oGQbf7ffYbcvxrNBOp5N1g2?usp=share_link", "RE-19.2675")</f>
        <v>RE-19.2675</v>
      </c>
      <c r="R545" s="18">
        <f>HYPERLINK("https://docs.google.com/spreadsheets/d/1bCq5Mra_0k9e_C9x1H8M3ldfg3b9iTsK?usp=share_link", 128.016)</f>
        <v>128.016</v>
      </c>
      <c r="S545" s="18" t="str">
        <f>HYPERLINK("https://docs.google.com/spreadsheets/d/1vgrAizDyn6X_TSNl0whvdVxDOfj4bKbx?usp=share_link", "RE-10.6563")</f>
        <v>RE-10.6563</v>
      </c>
      <c r="T545" s="18">
        <f>HYPERLINK("https://docs.google.com/spreadsheets/d/1C0LNb-rvw5yN9qDgSWRGUUknvfmQq9bv?usp=share_link", 268.68)</f>
        <v>268.68</v>
      </c>
      <c r="U545" s="18" t="str">
        <f>HYPERLINK("https://docs.google.com/spreadsheets/d/1GbwrQIHdDsH5lMJoA3wT401VXVqbYzXe?usp=share_link", "RE-10.9731")</f>
        <v>RE-10.9731</v>
      </c>
      <c r="V545" s="18" t="str">
        <f>HYPERLINK("https://docs.google.com/spreadsheets/d/1sAiMkKAshpZhRC7UUTpYKstKttwQ6qN0?usp=share_link", "RE-1.46007")</f>
        <v>RE-1.46007</v>
      </c>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c r="DE545" s="17"/>
      <c r="DF545" s="17"/>
      <c r="DG545" s="17"/>
      <c r="DH545" s="17"/>
      <c r="DI545" s="17"/>
      <c r="DJ545" s="17"/>
      <c r="DK545" s="17"/>
      <c r="DL545" s="17"/>
      <c r="DM545" s="17"/>
      <c r="DN545" s="17"/>
      <c r="DO545" s="17"/>
      <c r="DP545" s="17"/>
      <c r="DQ545" s="17"/>
      <c r="DR545" s="17"/>
      <c r="DS545" s="17"/>
      <c r="DT545" s="17"/>
      <c r="DU545" s="17"/>
      <c r="DV545" s="17"/>
      <c r="DW545" s="17"/>
      <c r="DX545" s="17"/>
      <c r="DY545" s="17"/>
      <c r="DZ545" s="17"/>
      <c r="EA545" s="17"/>
      <c r="EB545" s="17"/>
      <c r="EC545" s="17"/>
      <c r="ED545" s="17"/>
      <c r="EE545" s="17"/>
      <c r="EF545" s="17"/>
      <c r="EG545" s="17"/>
      <c r="EH545" s="17"/>
      <c r="EI545" s="17"/>
      <c r="EJ545" s="17"/>
      <c r="EK545" s="17"/>
      <c r="EL545" s="17"/>
      <c r="EM545" s="17"/>
      <c r="EN545" s="17"/>
      <c r="EO545" s="17"/>
      <c r="EP545" s="17"/>
      <c r="EQ545" s="17"/>
      <c r="ER545" s="17"/>
      <c r="ES545" s="17"/>
      <c r="ET545" s="17"/>
      <c r="EU545" s="17"/>
      <c r="EV545" s="17"/>
      <c r="EW545" s="17"/>
      <c r="EX545" s="17"/>
      <c r="EY545" s="17"/>
      <c r="EZ545" s="17"/>
      <c r="FA545" s="17"/>
      <c r="FB545" s="17"/>
      <c r="FC545" s="17"/>
      <c r="FD545" s="17"/>
      <c r="FE545" s="17"/>
      <c r="FF545" s="17"/>
      <c r="FG545" s="17"/>
      <c r="FH545" s="17"/>
    </row>
    <row r="546">
      <c r="A546" s="27" t="s">
        <v>67</v>
      </c>
      <c r="B546" s="27" t="s">
        <v>93</v>
      </c>
      <c r="C546" s="27" t="s">
        <v>15</v>
      </c>
      <c r="D546" s="28">
        <f t="shared" si="1"/>
        <v>899.866</v>
      </c>
      <c r="E546" s="33"/>
      <c r="F546" s="34" t="str">
        <f>HYPERLINK("https://docs.google.com/spreadsheets/d/14PTXUN-7w6xTPF0oh7vz-r2uIxu56bL2?usp=share_link", "RE-382.029")</f>
        <v>RE-382.029</v>
      </c>
      <c r="G546" s="34" t="str">
        <f>HYPERLINK("https://docs.google.com/spreadsheets/d/1PV2zxwc4cUoao8xrqtrDY3lnYSjzeAqB?usp=share_link", "RE-2.67038")</f>
        <v>RE-2.67038</v>
      </c>
      <c r="H546" s="34" t="str">
        <f>HYPERLINK("https://docs.google.com/spreadsheets/d/1GglD8iRbgNYrzAdR8zHzX9fpZr-qrYZO?usp=share_link", "RE-109.601")</f>
        <v>RE-109.601</v>
      </c>
      <c r="I546" s="34" t="str">
        <f>HYPERLINK("https://docs.google.com/spreadsheets/d/1sUMtteDiO7dMkkG8O0Wa4vfZ7z5jKeqS?usp=share_link", "RE-0.21325")</f>
        <v>RE-0.21325</v>
      </c>
      <c r="J546" s="34" t="str">
        <f>HYPERLINK("https://docs.google.com/spreadsheets/d/1A5L9Q5E43olS_MbLhC6KVSWTT2Aysy5s?usp=share_link", "RE-2445.72")</f>
        <v>RE-2445.72</v>
      </c>
      <c r="K546" s="34" t="str">
        <f>HYPERLINK("https://docs.google.com/spreadsheets/d/1F-ao5yUU2ED5M_5j4ZpcosaFzfN6Te8t?usp=share_link", "RE-8.48323")</f>
        <v>RE-8.48323</v>
      </c>
      <c r="L546" s="34">
        <f>HYPERLINK("https://docs.google.com/spreadsheets/d/1yz256otN1MMp_647-8Qi834dpBs1aIxT?usp=share_link", 104.287)</f>
        <v>104.287</v>
      </c>
      <c r="M546" s="34" t="str">
        <f>HYPERLINK("https://docs.google.com/spreadsheets/d/1Ep0la18a2uyXlMEmHpX6sDdcUwzz5voA?usp=share_link", "RE-0.321267")</f>
        <v>RE-0.321267</v>
      </c>
      <c r="N546" s="34" t="str">
        <f>HYPERLINK("https://docs.google.com/spreadsheets/d/1xZRcedefkBZ-qkXuwgowcumweoK5YVJy?usp=share_link", "RE-883.968")</f>
        <v>RE-883.968</v>
      </c>
      <c r="O546" s="34" t="str">
        <f>HYPERLINK("https://docs.google.com/spreadsheets/d/1224QAEwq_HbwhCfVylO8C6AX62dQc938?usp=share_link", "RE-4.25818")</f>
        <v>RE-4.25818</v>
      </c>
      <c r="P546" s="34">
        <f>HYPERLINK("https://docs.google.com/spreadsheets/d/1U4xTiH8G6ghOBtOjhNW6_HjZoNq-muZj?usp=share_link", 333.625)</f>
        <v>333.625</v>
      </c>
      <c r="Q546" s="34" t="str">
        <f>HYPERLINK("https://docs.google.com/spreadsheets/d/1vQAlyamncq6pstKSo9--Fp84Aee8tVH4?usp=share_link", "RE-21.4402")</f>
        <v>RE-21.4402</v>
      </c>
      <c r="R546" s="34">
        <f>HYPERLINK("https://docs.google.com/spreadsheets/d/1PoJYO_c0CMYGcURk1x_QwWXHV_ej_Fxd?usp=share_link", 151.471)</f>
        <v>151.471</v>
      </c>
      <c r="S546" s="34" t="str">
        <f>HYPERLINK("https://docs.google.com/spreadsheets/d/11pNGMy2j13mh4p14UqK3NYDUZQA52323?usp=share_link", "RE-11.9896")</f>
        <v>RE-11.9896</v>
      </c>
      <c r="T546" s="34">
        <f>HYPERLINK("https://docs.google.com/spreadsheets/d/1HWAX9g07yEz3mtUqEXYE1VCdkhG3diSD?usp=share_link", 310.483)</f>
        <v>310.483</v>
      </c>
      <c r="U546" s="34" t="str">
        <f>HYPERLINK("https://docs.google.com/spreadsheets/d/10Hj-x686NzAFEeYfne__HQqSVnp-Vf4A?usp=share_link", "RE-13.071")</f>
        <v>RE-13.071</v>
      </c>
      <c r="V546" s="34" t="str">
        <f>HYPERLINK("https://docs.google.com/spreadsheets/d/1hGyEmtLqnsn-dOoHLNgh9wOS9ibjmVn6?usp=share_link", "RE-1.46007")</f>
        <v>RE-1.46007</v>
      </c>
      <c r="W546" s="33"/>
      <c r="X546" s="33"/>
      <c r="Y546" s="33"/>
      <c r="Z546" s="33"/>
      <c r="AA546" s="33"/>
      <c r="AB546" s="33"/>
      <c r="AC546" s="33"/>
      <c r="AD546" s="33"/>
      <c r="AE546" s="33"/>
      <c r="AF546" s="33"/>
      <c r="AG546" s="33"/>
      <c r="AH546" s="33"/>
      <c r="AI546" s="33"/>
      <c r="AJ546" s="33"/>
      <c r="AK546" s="33"/>
      <c r="AL546" s="33"/>
      <c r="AM546" s="33"/>
      <c r="AN546" s="33"/>
      <c r="AO546" s="33"/>
      <c r="AP546" s="33"/>
      <c r="AQ546" s="33"/>
      <c r="AR546" s="33"/>
      <c r="AS546" s="33"/>
      <c r="AT546" s="33"/>
      <c r="AU546" s="33"/>
      <c r="AV546" s="33"/>
      <c r="AW546" s="33"/>
      <c r="AX546" s="33"/>
      <c r="AY546" s="33"/>
      <c r="AZ546" s="33"/>
      <c r="BA546" s="33"/>
      <c r="BB546" s="33"/>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c r="CN546" s="33"/>
      <c r="CO546" s="33"/>
      <c r="CP546" s="33"/>
      <c r="CQ546" s="33"/>
      <c r="CR546" s="33"/>
      <c r="CS546" s="33"/>
      <c r="CT546" s="33"/>
      <c r="CU546" s="33"/>
      <c r="CV546" s="33"/>
      <c r="CW546" s="33"/>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33"/>
      <c r="EP546" s="33"/>
      <c r="EQ546" s="33"/>
      <c r="ER546" s="33"/>
      <c r="ES546" s="33"/>
      <c r="ET546" s="33"/>
      <c r="EU546" s="33"/>
      <c r="EV546" s="33"/>
      <c r="EW546" s="33"/>
      <c r="EX546" s="33"/>
      <c r="EY546" s="33"/>
      <c r="EZ546" s="33"/>
      <c r="FA546" s="33"/>
      <c r="FB546" s="33"/>
      <c r="FC546" s="33"/>
      <c r="FD546" s="33"/>
      <c r="FE546" s="33"/>
      <c r="FF546" s="33"/>
      <c r="FG546" s="33"/>
      <c r="FH546" s="33"/>
    </row>
    <row r="547">
      <c r="A547" s="30" t="s">
        <v>38</v>
      </c>
      <c r="B547" s="30" t="s">
        <v>94</v>
      </c>
      <c r="C547" s="31" t="str">
        <f>HYPERLINK("https://docs.google.com/spreadsheets/d/1CKPdxVZwQZ7qxdzK8diquJWdgEd4Zm75/edit?usp=share_link&amp;ouid=106501987799020758802&amp;rtpof=true&amp;sd=true", "Raw Delivered")</f>
        <v>Raw Delivered</v>
      </c>
      <c r="D547" s="12">
        <f t="shared" si="1"/>
        <v>6463.184494</v>
      </c>
      <c r="E547" s="13"/>
      <c r="F547" s="14">
        <f>HYPERLINK("https://docs.google.com/spreadsheets/d/1TL0mYOhJBkmyyfDc3Z5cG3WjPUCivPe7", 332.562929166666)</f>
        <v>332.5629292</v>
      </c>
      <c r="G547" s="13"/>
      <c r="H547" s="14">
        <f>HYPERLINK("https://docs.google.com/spreadsheets/d/1SVYCTHPdDI7CbefjEONekg8gHSbVlcXs", 84.40689375)</f>
        <v>84.40689375</v>
      </c>
      <c r="I547" s="13"/>
      <c r="J547" s="14">
        <f>HYPERLINK("https://docs.google.com/spreadsheets/d/1ByzEFS5QuG9OHv7LEZVF3VHb9JqxhxDM", 734.027996875)</f>
        <v>734.0279969</v>
      </c>
      <c r="K547" s="13"/>
      <c r="L547" s="14">
        <f t="shared" ref="L547:L548" si="274">HYPERLINK("https://docs.google.com/spreadsheets/d/1xsRzZVxxu2m_akg7X5qepWpmGcvzIx8A", 900.743169791667)</f>
        <v>900.7431698</v>
      </c>
      <c r="M547" s="13"/>
      <c r="N547" s="14">
        <f>HYPERLINK("https://docs.google.com/spreadsheets/d/1tBDlmV9IdjCPm-c3C2mOiu5IWubAYTs-", 3256.75584270831)</f>
        <v>3256.755843</v>
      </c>
      <c r="O547" s="13"/>
      <c r="P547" s="14">
        <f t="shared" ref="P547:P548" si="275">HYPERLINK("https://docs.google.com/spreadsheets/d/1xo0so7O-NT0bv0kbmO-UVLNa3U0elNiT", 515.870602083333)</f>
        <v>515.8706021</v>
      </c>
      <c r="Q547" s="13"/>
      <c r="R547" s="14">
        <f t="shared" ref="R547:R548" si="276">HYPERLINK("https://docs.google.com/spreadsheets/d/1vPxFNiHIySTTuR-sLJctschzLNJYfK5T", 135.50321875)</f>
        <v>135.5032188</v>
      </c>
      <c r="S547" s="13"/>
      <c r="T547" s="14">
        <f t="shared" ref="T547:T548" si="277">HYPERLINK("https://docs.google.com/spreadsheets/d/19NqhdpJRO0kUyuKrGtylUOxVw8Wp_DCF", 503.313840624999)</f>
        <v>503.3138406</v>
      </c>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c r="DV547" s="13"/>
      <c r="DW547" s="13"/>
      <c r="DX547" s="13"/>
      <c r="DY547" s="13"/>
      <c r="DZ547" s="13"/>
      <c r="EA547" s="13"/>
      <c r="EB547" s="13"/>
      <c r="EC547" s="13"/>
      <c r="ED547" s="13"/>
      <c r="EE547" s="13"/>
      <c r="EF547" s="13"/>
      <c r="EG547" s="13"/>
      <c r="EH547" s="13"/>
      <c r="EI547" s="13"/>
      <c r="EJ547" s="13"/>
      <c r="EK547" s="13"/>
      <c r="EL547" s="13"/>
      <c r="EM547" s="13"/>
      <c r="EN547" s="13"/>
      <c r="EO547" s="13"/>
      <c r="EP547" s="13"/>
      <c r="EQ547" s="13"/>
      <c r="ER547" s="13"/>
      <c r="ES547" s="13"/>
      <c r="ET547" s="13"/>
      <c r="EU547" s="13"/>
      <c r="EV547" s="13"/>
      <c r="EW547" s="13"/>
      <c r="EX547" s="13"/>
      <c r="EY547" s="13"/>
      <c r="EZ547" s="13"/>
      <c r="FA547" s="13"/>
      <c r="FB547" s="13"/>
      <c r="FC547" s="13"/>
      <c r="FD547" s="13"/>
      <c r="FE547" s="13"/>
      <c r="FF547" s="13"/>
      <c r="FG547" s="13"/>
      <c r="FH547" s="13"/>
    </row>
    <row r="548">
      <c r="A548" s="32" t="s">
        <v>38</v>
      </c>
      <c r="B548" s="32" t="s">
        <v>94</v>
      </c>
      <c r="C548" s="32" t="s">
        <v>9</v>
      </c>
      <c r="D548" s="16">
        <f t="shared" si="1"/>
        <v>2055.430831</v>
      </c>
      <c r="E548" s="17"/>
      <c r="F548" s="18" t="str">
        <f>HYPERLINK("https://docs.google.com/spreadsheets/d/1TL0mYOhJBkmyyfDc3Z5cG3WjPUCivPe7", "RE-332.5629291666667")</f>
        <v>RE-332.5629291666667</v>
      </c>
      <c r="G548" s="17"/>
      <c r="H548" s="18" t="str">
        <f>HYPERLINK("https://docs.google.com/spreadsheets/d/1SVYCTHPdDI7CbefjEONekg8gHSbVlcXs", "RE-84.40689375000004")</f>
        <v>RE-84.40689375000004</v>
      </c>
      <c r="I548" s="17"/>
      <c r="J548" s="18" t="str">
        <f>HYPERLINK("https://docs.google.com/spreadsheets/d/1ByzEFS5QuG9OHv7LEZVF3VHb9JqxhxDM", "RE-734.0279968750009")</f>
        <v>RE-734.0279968750009</v>
      </c>
      <c r="K548" s="17"/>
      <c r="L548" s="18">
        <f t="shared" si="274"/>
        <v>900.7431698</v>
      </c>
      <c r="M548" s="17"/>
      <c r="N548" s="18" t="str">
        <f>HYPERLINK("https://docs.google.com/spreadsheets/d/1tBDlmV9IdjCPm-c3C2mOiu5IWubAYTs-", "RE-3256.755842708312")</f>
        <v>RE-3256.755842708312</v>
      </c>
      <c r="O548" s="17"/>
      <c r="P548" s="18">
        <f t="shared" si="275"/>
        <v>515.8706021</v>
      </c>
      <c r="Q548" s="17"/>
      <c r="R548" s="18">
        <f t="shared" si="276"/>
        <v>135.5032188</v>
      </c>
      <c r="S548" s="17"/>
      <c r="T548" s="18">
        <f t="shared" si="277"/>
        <v>503.3138406</v>
      </c>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c r="DE548" s="17"/>
      <c r="DF548" s="17"/>
      <c r="DG548" s="17"/>
      <c r="DH548" s="17"/>
      <c r="DI548" s="17"/>
      <c r="DJ548" s="17"/>
      <c r="DK548" s="17"/>
      <c r="DL548" s="17"/>
      <c r="DM548" s="17"/>
      <c r="DN548" s="17"/>
      <c r="DO548" s="17"/>
      <c r="DP548" s="17"/>
      <c r="DQ548" s="17"/>
      <c r="DR548" s="17"/>
      <c r="DS548" s="17"/>
      <c r="DT548" s="17"/>
      <c r="DU548" s="17"/>
      <c r="DV548" s="17"/>
      <c r="DW548" s="17"/>
      <c r="DX548" s="17"/>
      <c r="DY548" s="17"/>
      <c r="DZ548" s="17"/>
      <c r="EA548" s="17"/>
      <c r="EB548" s="17"/>
      <c r="EC548" s="17"/>
      <c r="ED548" s="17"/>
      <c r="EE548" s="17"/>
      <c r="EF548" s="17"/>
      <c r="EG548" s="17"/>
      <c r="EH548" s="17"/>
      <c r="EI548" s="17"/>
      <c r="EJ548" s="17"/>
      <c r="EK548" s="17"/>
      <c r="EL548" s="17"/>
      <c r="EM548" s="17"/>
      <c r="EN548" s="17"/>
      <c r="EO548" s="17"/>
      <c r="EP548" s="17"/>
      <c r="EQ548" s="17"/>
      <c r="ER548" s="17"/>
      <c r="ES548" s="17"/>
      <c r="ET548" s="17"/>
      <c r="EU548" s="17"/>
      <c r="EV548" s="17"/>
      <c r="EW548" s="17"/>
      <c r="EX548" s="17"/>
      <c r="EY548" s="17"/>
      <c r="EZ548" s="17"/>
      <c r="FA548" s="17"/>
      <c r="FB548" s="17"/>
      <c r="FC548" s="17"/>
      <c r="FD548" s="17"/>
      <c r="FE548" s="17"/>
      <c r="FF548" s="17"/>
      <c r="FG548" s="17"/>
      <c r="FH548" s="17"/>
    </row>
    <row r="549">
      <c r="A549" s="32" t="s">
        <v>38</v>
      </c>
      <c r="B549" s="32" t="s">
        <v>94</v>
      </c>
      <c r="C549" s="32" t="s">
        <v>10</v>
      </c>
      <c r="D549" s="16">
        <f t="shared" si="1"/>
        <v>826.8137906</v>
      </c>
      <c r="E549" s="17"/>
      <c r="F549" s="17"/>
      <c r="G549" s="18">
        <f>HYPERLINK("https://docs.google.com/spreadsheets/d/1g7KOPrSPU4I9KdGvMr0QQLG-NizdFSHG", 36.6880958333333)</f>
        <v>36.68809583</v>
      </c>
      <c r="H549" s="17"/>
      <c r="I549" s="18">
        <f>HYPERLINK("https://docs.google.com/spreadsheets/d/1qfGAoEQUj5zrL4t0U-pO5CEWCO3uTBxe", 12.1574291666666)</f>
        <v>12.15742917</v>
      </c>
      <c r="J549" s="17"/>
      <c r="K549" s="18">
        <f>HYPERLINK("https://docs.google.com/spreadsheets/d/1SvZ79OHUa8Umd6Bx3ZeKM6n_i8Rp6Li1", 54.17964375)</f>
        <v>54.17964375</v>
      </c>
      <c r="L549" s="17"/>
      <c r="M549" s="18">
        <f>HYPERLINK("https://docs.google.com/spreadsheets/d/19ywy330Kp1giAvp9NZR4JTjFl0uORSVe", 53.401896875)</f>
        <v>53.40189688</v>
      </c>
      <c r="N549" s="17"/>
      <c r="O549" s="18">
        <f>HYPERLINK("https://docs.google.com/spreadsheets/d/1hJXkl5hCmug2yrAq3x7G3-lw-JBEYd7k", 477.948042708334)</f>
        <v>477.9480427</v>
      </c>
      <c r="P549" s="17"/>
      <c r="Q549" s="18">
        <f>HYPERLINK("https://docs.google.com/spreadsheets/d/1kRLaFYnovOARs4u0vMCbpx6659e20Fhp", 110.219870833333)</f>
        <v>110.2198708</v>
      </c>
      <c r="R549" s="17"/>
      <c r="S549" s="18">
        <f>HYPERLINK("https://docs.google.com/spreadsheets/d/1Cb4Fn1Q5MECTcAWGPfO6S-rU07qP27H8", 26.7876041666666)</f>
        <v>26.78760417</v>
      </c>
      <c r="T549" s="17"/>
      <c r="U549" s="18">
        <f>HYPERLINK("https://docs.google.com/spreadsheets/d/1pt72zgIm3vs6d4XYB__kC1Sn12dRoIcN", 43.1551531249999)</f>
        <v>43.15515312</v>
      </c>
      <c r="V549" s="18">
        <f>HYPERLINK("https://docs.google.com/spreadsheets/d/1Y3w6f6CU-cZWc8KL4I1D4RLS9poSRSvm", 12.2760541666666)</f>
        <v>12.27605417</v>
      </c>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c r="DE549" s="17"/>
      <c r="DF549" s="17"/>
      <c r="DG549" s="17"/>
      <c r="DH549" s="17"/>
      <c r="DI549" s="17"/>
      <c r="DJ549" s="17"/>
      <c r="DK549" s="17"/>
      <c r="DL549" s="17"/>
      <c r="DM549" s="17"/>
      <c r="DN549" s="17"/>
      <c r="DO549" s="17"/>
      <c r="DP549" s="17"/>
      <c r="DQ549" s="17"/>
      <c r="DR549" s="17"/>
      <c r="DS549" s="17"/>
      <c r="DT549" s="17"/>
      <c r="DU549" s="17"/>
      <c r="DV549" s="17"/>
      <c r="DW549" s="17"/>
      <c r="DX549" s="17"/>
      <c r="DY549" s="17"/>
      <c r="DZ549" s="17"/>
      <c r="EA549" s="17"/>
      <c r="EB549" s="17"/>
      <c r="EC549" s="17"/>
      <c r="ED549" s="17"/>
      <c r="EE549" s="17"/>
      <c r="EF549" s="17"/>
      <c r="EG549" s="17"/>
      <c r="EH549" s="17"/>
      <c r="EI549" s="17"/>
      <c r="EJ549" s="17"/>
      <c r="EK549" s="17"/>
      <c r="EL549" s="17"/>
      <c r="EM549" s="17"/>
      <c r="EN549" s="17"/>
      <c r="EO549" s="17"/>
      <c r="EP549" s="17"/>
      <c r="EQ549" s="17"/>
      <c r="ER549" s="17"/>
      <c r="ES549" s="17"/>
      <c r="ET549" s="17"/>
      <c r="EU549" s="17"/>
      <c r="EV549" s="17"/>
      <c r="EW549" s="17"/>
      <c r="EX549" s="17"/>
      <c r="EY549" s="17"/>
      <c r="EZ549" s="17"/>
      <c r="FA549" s="17"/>
      <c r="FB549" s="17"/>
      <c r="FC549" s="17"/>
      <c r="FD549" s="17"/>
      <c r="FE549" s="17"/>
      <c r="FF549" s="17"/>
      <c r="FG549" s="17"/>
      <c r="FH549" s="17"/>
    </row>
    <row r="550">
      <c r="A550" s="32" t="s">
        <v>38</v>
      </c>
      <c r="B550" s="32" t="s">
        <v>94</v>
      </c>
      <c r="C550" s="32" t="s">
        <v>11</v>
      </c>
      <c r="D550" s="16">
        <f t="shared" si="1"/>
        <v>0</v>
      </c>
      <c r="E550" s="17"/>
      <c r="F550" s="17"/>
      <c r="G550" s="18" t="str">
        <f>HYPERLINK("https://docs.google.com/spreadsheets/d/1g7KOPrSPU4I9KdGvMr0QQLG-NizdFSHG", "RE-36.68809583333333")</f>
        <v>RE-36.68809583333333</v>
      </c>
      <c r="H550" s="17"/>
      <c r="I550" s="18" t="str">
        <f>HYPERLINK("https://docs.google.com/spreadsheets/d/1qfGAoEQUj5zrL4t0U-pO5CEWCO3uTBxe", "RE-12.157429166666667")</f>
        <v>RE-12.157429166666667</v>
      </c>
      <c r="J550" s="17"/>
      <c r="K550" s="18" t="str">
        <f>HYPERLINK("https://docs.google.com/spreadsheets/d/1SvZ79OHUa8Umd6Bx3ZeKM6n_i8Rp6Li1", "RE-54.17964375")</f>
        <v>RE-54.17964375</v>
      </c>
      <c r="L550" s="17"/>
      <c r="M550" s="18" t="str">
        <f>HYPERLINK("https://docs.google.com/spreadsheets/d/19ywy330Kp1giAvp9NZR4JTjFl0uORSVe", "RE-53.401896875000006")</f>
        <v>RE-53.401896875000006</v>
      </c>
      <c r="N550" s="17"/>
      <c r="O550" s="18" t="str">
        <f>HYPERLINK("https://docs.google.com/spreadsheets/d/1hJXkl5hCmug2yrAq3x7G3-lw-JBEYd7k", "RE-477.94804270833475")</f>
        <v>RE-477.94804270833475</v>
      </c>
      <c r="P550" s="17"/>
      <c r="Q550" s="18" t="str">
        <f>HYPERLINK("https://docs.google.com/spreadsheets/d/1kRLaFYnovOARs4u0vMCbpx6659e20Fhp", "RE-110.21987083333323")</f>
        <v>RE-110.21987083333323</v>
      </c>
      <c r="R550" s="17"/>
      <c r="S550" s="18" t="str">
        <f>HYPERLINK("https://docs.google.com/spreadsheets/d/1Cb4Fn1Q5MECTcAWGPfO6S-rU07qP27H8", "RE-26.787604166666675")</f>
        <v>RE-26.787604166666675</v>
      </c>
      <c r="T550" s="17"/>
      <c r="U550" s="18" t="str">
        <f>HYPERLINK("https://docs.google.com/spreadsheets/d/1pt72zgIm3vs6d4XYB__kC1Sn12dRoIcN", "RE-43.15515312499999")</f>
        <v>RE-43.15515312499999</v>
      </c>
      <c r="V550" s="18" t="str">
        <f>HYPERLINK("https://docs.google.com/spreadsheets/d/1Y3w6f6CU-cZWc8KL4I1D4RLS9poSRSvm", "RE-12.276054166666665")</f>
        <v>RE-12.276054166666665</v>
      </c>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c r="DE550" s="17"/>
      <c r="DF550" s="17"/>
      <c r="DG550" s="17"/>
      <c r="DH550" s="17"/>
      <c r="DI550" s="17"/>
      <c r="DJ550" s="17"/>
      <c r="DK550" s="17"/>
      <c r="DL550" s="17"/>
      <c r="DM550" s="17"/>
      <c r="DN550" s="17"/>
      <c r="DO550" s="17"/>
      <c r="DP550" s="17"/>
      <c r="DQ550" s="17"/>
      <c r="DR550" s="17"/>
      <c r="DS550" s="17"/>
      <c r="DT550" s="17"/>
      <c r="DU550" s="17"/>
      <c r="DV550" s="17"/>
      <c r="DW550" s="17"/>
      <c r="DX550" s="17"/>
      <c r="DY550" s="17"/>
      <c r="DZ550" s="17"/>
      <c r="EA550" s="17"/>
      <c r="EB550" s="17"/>
      <c r="EC550" s="17"/>
      <c r="ED550" s="17"/>
      <c r="EE550" s="17"/>
      <c r="EF550" s="17"/>
      <c r="EG550" s="17"/>
      <c r="EH550" s="17"/>
      <c r="EI550" s="17"/>
      <c r="EJ550" s="17"/>
      <c r="EK550" s="17"/>
      <c r="EL550" s="17"/>
      <c r="EM550" s="17"/>
      <c r="EN550" s="17"/>
      <c r="EO550" s="17"/>
      <c r="EP550" s="17"/>
      <c r="EQ550" s="17"/>
      <c r="ER550" s="17"/>
      <c r="ES550" s="17"/>
      <c r="ET550" s="17"/>
      <c r="EU550" s="17"/>
      <c r="EV550" s="17"/>
      <c r="EW550" s="17"/>
      <c r="EX550" s="17"/>
      <c r="EY550" s="17"/>
      <c r="EZ550" s="17"/>
      <c r="FA550" s="17"/>
      <c r="FB550" s="17"/>
      <c r="FC550" s="17"/>
      <c r="FD550" s="17"/>
      <c r="FE550" s="17"/>
      <c r="FF550" s="17"/>
      <c r="FG550" s="17"/>
      <c r="FH550" s="17"/>
    </row>
    <row r="551">
      <c r="A551" s="32" t="s">
        <v>38</v>
      </c>
      <c r="B551" s="32" t="s">
        <v>94</v>
      </c>
      <c r="C551" s="32" t="s">
        <v>12</v>
      </c>
      <c r="D551" s="16">
        <f t="shared" si="1"/>
        <v>1905.690421</v>
      </c>
      <c r="E551" s="17"/>
      <c r="F551" s="18" t="str">
        <f>HYPERLINK("https://docs.google.com/spreadsheets/d/1QkaHadafCvCWFeQ7cqj1mBRhoONvtUDB", "RE-252.04360416666665")</f>
        <v>RE-252.04360416666665</v>
      </c>
      <c r="G551" s="18" t="str">
        <f>HYPERLINK("https://docs.google.com/spreadsheets/d/1059z0oC9vhnsu8wtbfS28WAZf_a-x_LO", "RE-1.7639291666666665")</f>
        <v>RE-1.7639291666666665</v>
      </c>
      <c r="H551" s="18" t="str">
        <f>HYPERLINK("https://docs.google.com/spreadsheets/d/1YYbfI2GkIyrbJYLjrBQKxeEWOpIVECGO", "RE-72.59978750000003")</f>
        <v>RE-72.59978750000003</v>
      </c>
      <c r="I551" s="18" t="str">
        <f>HYPERLINK("https://docs.google.com/spreadsheets/d/1V1Stx5WCefsJK13Bi6jUxMjwjg2E1KAx", "RE-0.28301041666666665")</f>
        <v>RE-0.28301041666666665</v>
      </c>
      <c r="J551" s="18" t="str">
        <f>HYPERLINK("https://docs.google.com/spreadsheets/d/1mWTkQqU5HrHWFN7JbtOAjwkIVlLOKyxF", "RE-545.0007885416675")</f>
        <v>RE-545.0007885416675</v>
      </c>
      <c r="K551" s="18" t="str">
        <f>HYPERLINK("https://docs.google.com/spreadsheets/d/1cQsvHIrebwTwg6d0cTwOigDXlJnZn8yw", "RE-2.68984375")</f>
        <v>RE-2.68984375</v>
      </c>
      <c r="L551" s="18">
        <f>HYPERLINK("https://docs.google.com/spreadsheets/d/1CDx0rfw5vmbJZR7c3r8zqb2dAG5Kz7MH", 831.059021875001)</f>
        <v>831.0590219</v>
      </c>
      <c r="M551" s="18" t="str">
        <f>HYPERLINK("https://docs.google.com/spreadsheets/d/1Q6ntLGOHPOZPSioPOmGdim6Yofy0GJEe", "RE-15.66431354166667")</f>
        <v>RE-15.66431354166667</v>
      </c>
      <c r="N551" s="18" t="str">
        <f>HYPERLINK("https://docs.google.com/spreadsheets/d/1FbdM51L7n3QTZPSqvzq3GSftPEZgkDwe", "RE-2258.4289791666606")</f>
        <v>RE-2258.4289791666606</v>
      </c>
      <c r="O551" s="18" t="str">
        <f>HYPERLINK("https://docs.google.com/spreadsheets/d/1unH3s5VwU6uPZ9fh8wjwkM76i1NNLhJJ", "RE-14.779340625")</f>
        <v>RE-14.779340625</v>
      </c>
      <c r="P551" s="18">
        <f>HYPERLINK("https://docs.google.com/spreadsheets/d/1qLoUYfwniG1VDgrASRPxnUlAd4zErpBe", 470.651358333333)</f>
        <v>470.6513583</v>
      </c>
      <c r="Q551" s="18" t="str">
        <f>HYPERLINK("https://docs.google.com/spreadsheets/d/11zDCK3Sc6lFej9Gm9tpD9K5JkhHAfSBE", "RE-30.412932291666667")</f>
        <v>RE-30.412932291666667</v>
      </c>
      <c r="R551" s="18">
        <f>HYPERLINK("https://docs.google.com/spreadsheets/d/138Xxe8Xr-0hFYlTwSgKsuxxSrUzmsbp3", 133.950260416666)</f>
        <v>133.9502604</v>
      </c>
      <c r="S551" s="18" t="str">
        <f>HYPERLINK("https://docs.google.com/spreadsheets/d/1pg0VffsMc_EOBGm5QiFYy2Ynnim5HhZt", "RE-16.151770833333334")</f>
        <v>RE-16.151770833333334</v>
      </c>
      <c r="T551" s="18">
        <f>HYPERLINK("https://docs.google.com/spreadsheets/d/12ab3SeK_PWJe7FvvlDHqpjz_rSgadz-T", 470.029780208332)</f>
        <v>470.0297802</v>
      </c>
      <c r="U551" s="18" t="str">
        <f>HYPERLINK("https://docs.google.com/spreadsheets/d/1ObJHKg7d9w8WSYe_hkR_BAvYcj1yf9e8", "RE-13.20158020833333")</f>
        <v>RE-13.20158020833333</v>
      </c>
      <c r="V551" s="18" t="str">
        <f>HYPERLINK("https://docs.google.com/spreadsheets/d/1ElpWZXgRYKkN_I_JP1yau9bfN4ysLMwA", "RE-7.530068750000002")</f>
        <v>RE-7.530068750000002</v>
      </c>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c r="DE551" s="17"/>
      <c r="DF551" s="17"/>
      <c r="DG551" s="17"/>
      <c r="DH551" s="17"/>
      <c r="DI551" s="17"/>
      <c r="DJ551" s="17"/>
      <c r="DK551" s="17"/>
      <c r="DL551" s="17"/>
      <c r="DM551" s="17"/>
      <c r="DN551" s="17"/>
      <c r="DO551" s="17"/>
      <c r="DP551" s="17"/>
      <c r="DQ551" s="17"/>
      <c r="DR551" s="17"/>
      <c r="DS551" s="17"/>
      <c r="DT551" s="17"/>
      <c r="DU551" s="17"/>
      <c r="DV551" s="17"/>
      <c r="DW551" s="17"/>
      <c r="DX551" s="17"/>
      <c r="DY551" s="17"/>
      <c r="DZ551" s="17"/>
      <c r="EA551" s="17"/>
      <c r="EB551" s="17"/>
      <c r="EC551" s="17"/>
      <c r="ED551" s="17"/>
      <c r="EE551" s="17"/>
      <c r="EF551" s="17"/>
      <c r="EG551" s="17"/>
      <c r="EH551" s="17"/>
      <c r="EI551" s="17"/>
      <c r="EJ551" s="17"/>
      <c r="EK551" s="17"/>
      <c r="EL551" s="17"/>
      <c r="EM551" s="17"/>
      <c r="EN551" s="17"/>
      <c r="EO551" s="17"/>
      <c r="EP551" s="17"/>
      <c r="EQ551" s="17"/>
      <c r="ER551" s="17"/>
      <c r="ES551" s="17"/>
      <c r="ET551" s="17"/>
      <c r="EU551" s="17"/>
      <c r="EV551" s="17"/>
      <c r="EW551" s="17"/>
      <c r="EX551" s="17"/>
      <c r="EY551" s="17"/>
      <c r="EZ551" s="17"/>
      <c r="FA551" s="17"/>
      <c r="FB551" s="17"/>
      <c r="FC551" s="17"/>
      <c r="FD551" s="17"/>
      <c r="FE551" s="17"/>
      <c r="FF551" s="17"/>
      <c r="FG551" s="17"/>
      <c r="FH551" s="17"/>
    </row>
    <row r="552">
      <c r="A552" s="32" t="s">
        <v>38</v>
      </c>
      <c r="B552" s="32" t="s">
        <v>94</v>
      </c>
      <c r="C552" s="32" t="s">
        <v>13</v>
      </c>
      <c r="D552" s="16">
        <f t="shared" si="1"/>
        <v>1816.043</v>
      </c>
      <c r="E552" s="17"/>
      <c r="F552" s="18" t="str">
        <f>HYPERLINK("https://docs.google.com/spreadsheets/d/1P6GxOXGYruLzCXBDwGWcW-ycWLABt-wc?usp=share_link", "RE-243.809")</f>
        <v>RE-243.809</v>
      </c>
      <c r="G552" s="18" t="str">
        <f>HYPERLINK("https://docs.google.com/spreadsheets/d/1HhF6OHUCGn0N9i6lAQrei9pvKyHzpsSe?usp=share_link", "RE-1.71565")</f>
        <v>RE-1.71565</v>
      </c>
      <c r="H552" s="18" t="str">
        <f>HYPERLINK("https://docs.google.com/spreadsheets/d/12AKm_IuY04RMmqVt0qvJUGIW0tAWLtuB?usp=share_link", "RE-70.061")</f>
        <v>RE-70.061</v>
      </c>
      <c r="I552" s="18" t="str">
        <f>HYPERLINK("https://docs.google.com/spreadsheets/d/1iXS5qW0BlAtPUXGoeyNNsLASnR8CZw2P?usp=share_link", "RE-0.272983")</f>
        <v>RE-0.272983</v>
      </c>
      <c r="J552" s="18" t="str">
        <f>HYPERLINK("https://docs.google.com/spreadsheets/d/1Rr5ByR0L-NuNiVgIhzJzMRJRWUa57jBU?usp=share_link", "RE-528.754")</f>
        <v>RE-528.754</v>
      </c>
      <c r="K552" s="18" t="str">
        <f>HYPERLINK("https://docs.google.com/spreadsheets/d/15PZKYQHXZvSV3fv73TRxeSliGlZb8AaI?usp=share_link", "RE-2.62062")</f>
        <v>RE-2.62062</v>
      </c>
      <c r="L552" s="18">
        <f>HYPERLINK("https://docs.google.com/spreadsheets/d/142cFE6QJQoK_OysHsSrcVDGDH8uRKZPV?usp=share_link", 792.175)</f>
        <v>792.175</v>
      </c>
      <c r="M552" s="18" t="str">
        <f>HYPERLINK("https://docs.google.com/spreadsheets/d/1SAQd0AWf3L-jWgwA6cRhgUwaYvCzgLxI?usp=share_link", "RE-14.8703")</f>
        <v>RE-14.8703</v>
      </c>
      <c r="N552" s="18" t="str">
        <f>HYPERLINK("https://docs.google.com/spreadsheets/d/1V_IzLeKJP8Nkfwp5JmSxJTFl0Z0KLVEc?usp=share_link", "RE-2167.61")</f>
        <v>RE-2167.61</v>
      </c>
      <c r="O552" s="18" t="str">
        <f>HYPERLINK("https://docs.google.com/spreadsheets/d/12lZZ7NtxxyjgFdvk9HA9MWIpUECToIjS?usp=share_link", "RE-14.0513")</f>
        <v>RE-14.0513</v>
      </c>
      <c r="P552" s="18">
        <f>HYPERLINK("https://docs.google.com/spreadsheets/d/1VQSnbMgVNal1wl20cjGgzkvNB0OlXRPb?usp=share_link", 446.33)</f>
        <v>446.33</v>
      </c>
      <c r="Q552" s="18" t="str">
        <f>HYPERLINK("https://docs.google.com/spreadsheets/d/1OXEGbYxKBgOIUvpSM_cDZ4iMJ9pBD74f?usp=share_link", "RE-27.8935")</f>
        <v>RE-27.8935</v>
      </c>
      <c r="R552" s="18">
        <f>HYPERLINK("https://docs.google.com/spreadsheets/d/1KSLWdAgP6AvHnL19-acP4BIgu8E0cFfk?usp=share_link", 128.875)</f>
        <v>128.875</v>
      </c>
      <c r="S552" s="18" t="str">
        <f>HYPERLINK("https://docs.google.com/spreadsheets/d/11z-4ZHzhHoUfuPtgIkXJyTfAPZzWyKyh?usp=share_link", "RE-15.3304")</f>
        <v>RE-15.3304</v>
      </c>
      <c r="T552" s="18">
        <f>HYPERLINK("https://docs.google.com/spreadsheets/d/1rU_1zRsb5fzdlTx0BRMAKXCkB-JwC4gO?usp=share_link", 448.663)</f>
        <v>448.663</v>
      </c>
      <c r="U552" s="18" t="str">
        <f>HYPERLINK("https://docs.google.com/spreadsheets/d/1uxbC4p1nqTfkSyAnIJpsM34svBQCAxap?usp=share_link", "RE-12.6106")</f>
        <v>RE-12.6106</v>
      </c>
      <c r="V552" s="18" t="str">
        <f>HYPERLINK("https://docs.google.com/spreadsheets/d/1n4HbHLsmgvvwlFub15GG4s8JasktNCex?usp=share_link", "RE-7.17653")</f>
        <v>RE-7.17653</v>
      </c>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c r="DE552" s="17"/>
      <c r="DF552" s="17"/>
      <c r="DG552" s="17"/>
      <c r="DH552" s="17"/>
      <c r="DI552" s="17"/>
      <c r="DJ552" s="17"/>
      <c r="DK552" s="17"/>
      <c r="DL552" s="17"/>
      <c r="DM552" s="17"/>
      <c r="DN552" s="17"/>
      <c r="DO552" s="17"/>
      <c r="DP552" s="17"/>
      <c r="DQ552" s="17"/>
      <c r="DR552" s="17"/>
      <c r="DS552" s="17"/>
      <c r="DT552" s="17"/>
      <c r="DU552" s="17"/>
      <c r="DV552" s="17"/>
      <c r="DW552" s="17"/>
      <c r="DX552" s="17"/>
      <c r="DY552" s="17"/>
      <c r="DZ552" s="17"/>
      <c r="EA552" s="17"/>
      <c r="EB552" s="17"/>
      <c r="EC552" s="17"/>
      <c r="ED552" s="17"/>
      <c r="EE552" s="17"/>
      <c r="EF552" s="17"/>
      <c r="EG552" s="17"/>
      <c r="EH552" s="17"/>
      <c r="EI552" s="17"/>
      <c r="EJ552" s="17"/>
      <c r="EK552" s="17"/>
      <c r="EL552" s="17"/>
      <c r="EM552" s="17"/>
      <c r="EN552" s="17"/>
      <c r="EO552" s="17"/>
      <c r="EP552" s="17"/>
      <c r="EQ552" s="17"/>
      <c r="ER552" s="17"/>
      <c r="ES552" s="17"/>
      <c r="ET552" s="17"/>
      <c r="EU552" s="17"/>
      <c r="EV552" s="17"/>
      <c r="EW552" s="17"/>
      <c r="EX552" s="17"/>
      <c r="EY552" s="17"/>
      <c r="EZ552" s="17"/>
      <c r="FA552" s="17"/>
      <c r="FB552" s="17"/>
      <c r="FC552" s="17"/>
      <c r="FD552" s="17"/>
      <c r="FE552" s="17"/>
      <c r="FF552" s="17"/>
      <c r="FG552" s="17"/>
      <c r="FH552" s="17"/>
    </row>
    <row r="553">
      <c r="A553" s="32" t="s">
        <v>38</v>
      </c>
      <c r="B553" s="32" t="s">
        <v>94</v>
      </c>
      <c r="C553" s="32" t="s">
        <v>14</v>
      </c>
      <c r="D553" s="16">
        <f t="shared" si="1"/>
        <v>1586.17</v>
      </c>
      <c r="E553" s="17"/>
      <c r="F553" s="18" t="str">
        <f>HYPERLINK("https://docs.google.com/spreadsheets/d/1J4nLGGJfotcwLAjhdQ1XNNoXnFEyr8G5?usp=share_link", "RE-208.464")</f>
        <v>RE-208.464</v>
      </c>
      <c r="G553" s="18" t="str">
        <f>HYPERLINK("https://docs.google.com/spreadsheets/d/1p84S4pETzCElkN54iDUrwNfov9lpCest?usp=share_link", "RE-1.71565")</f>
        <v>RE-1.71565</v>
      </c>
      <c r="H553" s="18" t="str">
        <f>HYPERLINK("https://docs.google.com/spreadsheets/d/1-XhETMem9zuCzLMAai8NJC0mWP2UwLGF?usp=share_link", "RE-62.6094")</f>
        <v>RE-62.6094</v>
      </c>
      <c r="I553" s="18" t="str">
        <f>HYPERLINK("https://docs.google.com/spreadsheets/d/18bBDap8gTzNfnUCpF4UFJ6QIChTX5fQY?usp=share_link", "RE-0.272983")</f>
        <v>RE-0.272983</v>
      </c>
      <c r="J553" s="18" t="str">
        <f>HYPERLINK("https://docs.google.com/spreadsheets/d/1FzxcuLYCkL7PVPtMeg_6TDa2lP7VlSfd?usp=share_link", "RE-473.437")</f>
        <v>RE-473.437</v>
      </c>
      <c r="K553" s="18" t="str">
        <f>HYPERLINK("https://docs.google.com/spreadsheets/d/1A6_hRVv0i4q0xiiDchmDPmUEQnzzsz50?usp=share_link", "RE-2.40768")</f>
        <v>RE-2.40768</v>
      </c>
      <c r="L553" s="18">
        <f>HYPERLINK("https://docs.google.com/spreadsheets/d/15GapljQD9voEWVv7IPS0Pi1QQfGyUNqy?usp=share_link", 702.741)</f>
        <v>702.741</v>
      </c>
      <c r="M553" s="18" t="str">
        <f>HYPERLINK("https://docs.google.com/spreadsheets/d/1sI6G6Ula2hcx6Iea80UsrUGrAkktnUIf?usp=share_link", "RE-13.467")</f>
        <v>RE-13.467</v>
      </c>
      <c r="N553" s="18" t="str">
        <f>HYPERLINK("https://docs.google.com/spreadsheets/d/1CgoUkQ-qaTAyIpUGcleD1aOcyQ_ods0t?usp=share_link", "RE-1930.35")</f>
        <v>RE-1930.35</v>
      </c>
      <c r="O553" s="18" t="str">
        <f>HYPERLINK("https://docs.google.com/spreadsheets/d/1Ib0yxjhD9Mu2lLEDJR-36-82Z069HkAg?usp=share_link", "RE-12.8737")</f>
        <v>RE-12.8737</v>
      </c>
      <c r="P553" s="18">
        <f>HYPERLINK("https://docs.google.com/spreadsheets/d/19lmDx1bVieYRXU_6nw1RzHxPolJaAe5n?usp=share_link", 388.634)</f>
        <v>388.634</v>
      </c>
      <c r="Q553" s="18" t="str">
        <f>HYPERLINK("https://docs.google.com/spreadsheets/d/1TriG5xH_uVoF37wvLTEpRu3Digqg-88N?usp=share_link", "RE-24.479")</f>
        <v>RE-24.479</v>
      </c>
      <c r="R553" s="18">
        <f>HYPERLINK("https://docs.google.com/spreadsheets/d/1r2Rf_fAQ4du46NzMikcunWA_Z26HkvZo?usp=share_link", 109.981)</f>
        <v>109.981</v>
      </c>
      <c r="S553" s="18" t="str">
        <f>HYPERLINK("https://docs.google.com/spreadsheets/d/1VnfGB_PcSSoZzeDXxfvxxF7c8mIaEwJa?usp=share_link", "RE-12.7415")</f>
        <v>RE-12.7415</v>
      </c>
      <c r="T553" s="18">
        <f>HYPERLINK("https://docs.google.com/spreadsheets/d/1Nl2S9ZCKlIVLyggwUKReS9d4YqmwfAKS?usp=share_link", 384.814)</f>
        <v>384.814</v>
      </c>
      <c r="U553" s="18" t="str">
        <f>HYPERLINK("https://docs.google.com/spreadsheets/d/1xIkXndD4PRgFGdwzKcci92xJQmxn7sAa?usp=share_link", "RE-10.8787")</f>
        <v>RE-10.8787</v>
      </c>
      <c r="V553" s="18" t="str">
        <f>HYPERLINK("https://docs.google.com/spreadsheets/d/1xR_LYtc5m2GfPk4yF_yE8tjfsT3lK9HG?usp=share_link", "RE-6.4513")</f>
        <v>RE-6.4513</v>
      </c>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c r="DE553" s="17"/>
      <c r="DF553" s="17"/>
      <c r="DG553" s="17"/>
      <c r="DH553" s="17"/>
      <c r="DI553" s="17"/>
      <c r="DJ553" s="17"/>
      <c r="DK553" s="17"/>
      <c r="DL553" s="17"/>
      <c r="DM553" s="17"/>
      <c r="DN553" s="17"/>
      <c r="DO553" s="17"/>
      <c r="DP553" s="17"/>
      <c r="DQ553" s="17"/>
      <c r="DR553" s="17"/>
      <c r="DS553" s="17"/>
      <c r="DT553" s="17"/>
      <c r="DU553" s="17"/>
      <c r="DV553" s="17"/>
      <c r="DW553" s="17"/>
      <c r="DX553" s="17"/>
      <c r="DY553" s="17"/>
      <c r="DZ553" s="17"/>
      <c r="EA553" s="17"/>
      <c r="EB553" s="17"/>
      <c r="EC553" s="17"/>
      <c r="ED553" s="17"/>
      <c r="EE553" s="17"/>
      <c r="EF553" s="17"/>
      <c r="EG553" s="17"/>
      <c r="EH553" s="17"/>
      <c r="EI553" s="17"/>
      <c r="EJ553" s="17"/>
      <c r="EK553" s="17"/>
      <c r="EL553" s="17"/>
      <c r="EM553" s="17"/>
      <c r="EN553" s="17"/>
      <c r="EO553" s="17"/>
      <c r="EP553" s="17"/>
      <c r="EQ553" s="17"/>
      <c r="ER553" s="17"/>
      <c r="ES553" s="17"/>
      <c r="ET553" s="17"/>
      <c r="EU553" s="17"/>
      <c r="EV553" s="17"/>
      <c r="EW553" s="17"/>
      <c r="EX553" s="17"/>
      <c r="EY553" s="17"/>
      <c r="EZ553" s="17"/>
      <c r="FA553" s="17"/>
      <c r="FB553" s="17"/>
      <c r="FC553" s="17"/>
      <c r="FD553" s="17"/>
      <c r="FE553" s="17"/>
      <c r="FF553" s="17"/>
      <c r="FG553" s="17"/>
      <c r="FH553" s="17"/>
    </row>
    <row r="554">
      <c r="A554" s="27" t="s">
        <v>38</v>
      </c>
      <c r="B554" s="27" t="s">
        <v>94</v>
      </c>
      <c r="C554" s="27" t="s">
        <v>15</v>
      </c>
      <c r="D554" s="28">
        <f t="shared" si="1"/>
        <v>1815.467</v>
      </c>
      <c r="E554" s="33"/>
      <c r="F554" s="34" t="str">
        <f>HYPERLINK("https://docs.google.com/spreadsheets/d/13M7y7z15yzENXI1Ma3401LF1tWDZmSuN?usp=share_link", "RE-243.809")</f>
        <v>RE-243.809</v>
      </c>
      <c r="G554" s="34" t="str">
        <f>HYPERLINK("https://docs.google.com/spreadsheets/d/19JtLOLV-lG7XlEMGu3FDoaVJmDC6ZGYl?usp=share_link", "RE-1.71565")</f>
        <v>RE-1.71565</v>
      </c>
      <c r="H554" s="34" t="str">
        <f>HYPERLINK("https://docs.google.com/spreadsheets/d/1WJ__wceSjBfA_su4EwEkY5sPmykGKd0d?usp=share_link", "RE-70.061")</f>
        <v>RE-70.061</v>
      </c>
      <c r="I554" s="34" t="str">
        <f>HYPERLINK("https://docs.google.com/spreadsheets/d/1Pyo2nUKkfzxCkcpQOeyhcYlC7tsguNuy?usp=share_link", "RE-0.272983")</f>
        <v>RE-0.272983</v>
      </c>
      <c r="J554" s="34" t="str">
        <f>HYPERLINK("https://docs.google.com/spreadsheets/d/12TbzfbzZAZLzaChIhelcLFrZgS2hY4xN?usp=share_link", "RE-528.397")</f>
        <v>RE-528.397</v>
      </c>
      <c r="K554" s="34" t="str">
        <f>HYPERLINK("https://docs.google.com/spreadsheets/d/1qHEFlGyCjOEUHESyXreI2TanE0mDEYoY?usp=share_link", "RE-2.62062")</f>
        <v>RE-2.62062</v>
      </c>
      <c r="L554" s="34">
        <f>HYPERLINK("https://docs.google.com/spreadsheets/d/1u-JNP_F-_ydhLaQO_mefZU0sAqGcIEjW?usp=share_link", 792.175)</f>
        <v>792.175</v>
      </c>
      <c r="M554" s="34" t="str">
        <f>HYPERLINK("https://docs.google.com/spreadsheets/d/1A3EaEd3F2UCaF6kinjXiVmFoIK8t18ug?usp=share_link", "RE-14.8703")</f>
        <v>RE-14.8703</v>
      </c>
      <c r="N554" s="34" t="str">
        <f>HYPERLINK("https://docs.google.com/spreadsheets/d/1caYpZU3Heieh_lPyLVc4XNxphyPdx8um?usp=share_link", "RE-2167.59")</f>
        <v>RE-2167.59</v>
      </c>
      <c r="O554" s="34" t="str">
        <f>HYPERLINK("https://docs.google.com/spreadsheets/d/1_4CJhEOrcDE7_QcG88JYRYzAD34buaYO?usp=share_link", "RE-14.0513")</f>
        <v>RE-14.0513</v>
      </c>
      <c r="P554" s="34">
        <f>HYPERLINK("https://docs.google.com/spreadsheets/d/13ZZudXFTmtScTwjAiPf4KUjfThvQhUhX?usp=share_link", 446.279)</f>
        <v>446.279</v>
      </c>
      <c r="Q554" s="34" t="str">
        <f>HYPERLINK("https://docs.google.com/spreadsheets/d/1i3mMaq-mWxeUc7RTq0XB5EXELFYeMr8P?usp=share_link", "RE-27.8935")</f>
        <v>RE-27.8935</v>
      </c>
      <c r="R554" s="34">
        <f>HYPERLINK("https://docs.google.com/spreadsheets/d/1jWpk6nEfQLa2-icsDSbBn5_-Zqg1jPC9?usp=share_link", 128.363)</f>
        <v>128.363</v>
      </c>
      <c r="S554" s="34" t="str">
        <f>HYPERLINK("https://docs.google.com/spreadsheets/d/1I_NbV-ByNZf86Bqzs77LaXVrM7dhbsz3?usp=share_link", "RE-14.9211")</f>
        <v>RE-14.9211</v>
      </c>
      <c r="T554" s="34">
        <f>HYPERLINK("https://docs.google.com/spreadsheets/d/1-HBearf9kGIE9VkIHeUYIR1gRFz6R9eX?usp=share_link", 448.65)</f>
        <v>448.65</v>
      </c>
      <c r="U554" s="34" t="str">
        <f>HYPERLINK("https://docs.google.com/spreadsheets/d/16OlS1NjwCeYLQPE08FaeCRhqisTqJxry?usp=share_link", "RE-12.6106")</f>
        <v>RE-12.6106</v>
      </c>
      <c r="V554" s="34" t="str">
        <f>HYPERLINK("https://docs.google.com/spreadsheets/d/1UA3Q8tURYgs40oYz0HFPFuhe4yUUeKVG?usp=share_link", "RE-7.1062")</f>
        <v>RE-7.1062</v>
      </c>
      <c r="W554" s="33"/>
      <c r="X554" s="33"/>
      <c r="Y554" s="33"/>
      <c r="Z554" s="33"/>
      <c r="AA554" s="33"/>
      <c r="AB554" s="33"/>
      <c r="AC554" s="33"/>
      <c r="AD554" s="33"/>
      <c r="AE554" s="33"/>
      <c r="AF554" s="33"/>
      <c r="AG554" s="33"/>
      <c r="AH554" s="33"/>
      <c r="AI554" s="33"/>
      <c r="AJ554" s="33"/>
      <c r="AK554" s="33"/>
      <c r="AL554" s="33"/>
      <c r="AM554" s="33"/>
      <c r="AN554" s="33"/>
      <c r="AO554" s="33"/>
      <c r="AP554" s="33"/>
      <c r="AQ554" s="33"/>
      <c r="AR554" s="33"/>
      <c r="AS554" s="33"/>
      <c r="AT554" s="33"/>
      <c r="AU554" s="33"/>
      <c r="AV554" s="33"/>
      <c r="AW554" s="33"/>
      <c r="AX554" s="33"/>
      <c r="AY554" s="33"/>
      <c r="AZ554" s="33"/>
      <c r="BA554" s="33"/>
      <c r="BB554" s="33"/>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c r="CN554" s="33"/>
      <c r="CO554" s="33"/>
      <c r="CP554" s="33"/>
      <c r="CQ554" s="33"/>
      <c r="CR554" s="33"/>
      <c r="CS554" s="33"/>
      <c r="CT554" s="33"/>
      <c r="CU554" s="33"/>
      <c r="CV554" s="33"/>
      <c r="CW554" s="33"/>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33"/>
      <c r="EP554" s="33"/>
      <c r="EQ554" s="33"/>
      <c r="ER554" s="33"/>
      <c r="ES554" s="33"/>
      <c r="ET554" s="33"/>
      <c r="EU554" s="33"/>
      <c r="EV554" s="33"/>
      <c r="EW554" s="33"/>
      <c r="EX554" s="33"/>
      <c r="EY554" s="33"/>
      <c r="EZ554" s="33"/>
      <c r="FA554" s="33"/>
      <c r="FB554" s="33"/>
      <c r="FC554" s="33"/>
      <c r="FD554" s="33"/>
      <c r="FE554" s="33"/>
      <c r="FF554" s="33"/>
      <c r="FG554" s="33"/>
      <c r="FH554" s="33"/>
    </row>
    <row r="555">
      <c r="A555" s="30" t="s">
        <v>38</v>
      </c>
      <c r="B555" s="30" t="s">
        <v>95</v>
      </c>
      <c r="C555" s="31" t="str">
        <f>HYPERLINK("https://docs.google.com/spreadsheets/d/1lc6yQ8V9c19DzcyDCVX9kB9Q8q2UE1G7/edit?usp=share_link&amp;ouid=106501987799020758802&amp;rtpof=true&amp;sd=true", "Raw Delivered")</f>
        <v>Raw Delivered</v>
      </c>
      <c r="D555" s="12">
        <f t="shared" si="1"/>
        <v>5804.927489</v>
      </c>
      <c r="E555" s="13"/>
      <c r="F555" s="14">
        <f>HYPERLINK("https://docs.google.com/spreadsheets/d/1iapqgIufTF8FYRdQe3CpJsOmVItN2sPp", 838.967753124997)</f>
        <v>838.9677531</v>
      </c>
      <c r="G555" s="13"/>
      <c r="H555" s="14">
        <f>HYPERLINK("https://docs.google.com/spreadsheets/d/11e4we9ZFbzrgsTG19i9aQpVVFaW8IgRg", 74.1308895833333)</f>
        <v>74.13088958</v>
      </c>
      <c r="I555" s="13"/>
      <c r="J555" s="14">
        <f>HYPERLINK("https://docs.google.com/spreadsheets/d/1c-lBh4RuG2LplmhcMW5FIKyfunxW9OL3", 1597.432428125)</f>
        <v>1597.432428</v>
      </c>
      <c r="K555" s="13"/>
      <c r="L555" s="14">
        <f t="shared" ref="L555:L556" si="278">HYPERLINK("https://docs.google.com/spreadsheets/d/1ZD96K42f4l6YrYj620CreXCEdI6Uq-_g", 743.107501041666)</f>
        <v>743.107501</v>
      </c>
      <c r="M555" s="13"/>
      <c r="N555" s="14">
        <f>HYPERLINK("https://docs.google.com/spreadsheets/d/1Yuo34mUGlGSubgghqnCQl46QNFalbgjF", 1218.82401041666)</f>
        <v>1218.82401</v>
      </c>
      <c r="O555" s="13"/>
      <c r="P555" s="14">
        <f t="shared" ref="P555:P556" si="279">HYPERLINK("https://docs.google.com/spreadsheets/d/1NyaJVLiTV4_BBNdvp_yw6HzLoGriTMN5", 993.946847916664)</f>
        <v>993.9468479</v>
      </c>
      <c r="Q555" s="13"/>
      <c r="R555" s="14">
        <f t="shared" ref="R555:R556" si="280">HYPERLINK("https://docs.google.com/spreadsheets/d/1gdBt6-HFlKY8O-uRhujDEvIsWH3sALzw", 77.5301510416666)</f>
        <v>77.53015104</v>
      </c>
      <c r="S555" s="13"/>
      <c r="T555" s="14">
        <f t="shared" ref="T555:T556" si="281">HYPERLINK("https://docs.google.com/spreadsheets/d/1kfkf5ce8eGGJTxa7GbY61JNQ3_KdKxKM", 260.987907291666)</f>
        <v>260.9879073</v>
      </c>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c r="DV555" s="13"/>
      <c r="DW555" s="13"/>
      <c r="DX555" s="13"/>
      <c r="DY555" s="13"/>
      <c r="DZ555" s="13"/>
      <c r="EA555" s="13"/>
      <c r="EB555" s="13"/>
      <c r="EC555" s="13"/>
      <c r="ED555" s="13"/>
      <c r="EE555" s="13"/>
      <c r="EF555" s="13"/>
      <c r="EG555" s="13"/>
      <c r="EH555" s="13"/>
      <c r="EI555" s="13"/>
      <c r="EJ555" s="13"/>
      <c r="EK555" s="13"/>
      <c r="EL555" s="13"/>
      <c r="EM555" s="13"/>
      <c r="EN555" s="13"/>
      <c r="EO555" s="13"/>
      <c r="EP555" s="13"/>
      <c r="EQ555" s="13"/>
      <c r="ER555" s="13"/>
      <c r="ES555" s="13"/>
      <c r="ET555" s="13"/>
      <c r="EU555" s="13"/>
      <c r="EV555" s="13"/>
      <c r="EW555" s="13"/>
      <c r="EX555" s="13"/>
      <c r="EY555" s="13"/>
      <c r="EZ555" s="13"/>
      <c r="FA555" s="13"/>
      <c r="FB555" s="13"/>
      <c r="FC555" s="13"/>
      <c r="FD555" s="13"/>
      <c r="FE555" s="13"/>
      <c r="FF555" s="13"/>
      <c r="FG555" s="13"/>
      <c r="FH555" s="13"/>
    </row>
    <row r="556">
      <c r="A556" s="32" t="s">
        <v>38</v>
      </c>
      <c r="B556" s="32" t="s">
        <v>95</v>
      </c>
      <c r="C556" s="32" t="s">
        <v>9</v>
      </c>
      <c r="D556" s="16">
        <f t="shared" si="1"/>
        <v>2075.572407</v>
      </c>
      <c r="E556" s="17"/>
      <c r="F556" s="18" t="str">
        <f>HYPERLINK("https://docs.google.com/spreadsheets/d/1iapqgIufTF8FYRdQe3CpJsOmVItN2sPp", "RE-838.9677531249978")</f>
        <v>RE-838.9677531249978</v>
      </c>
      <c r="G556" s="17"/>
      <c r="H556" s="18" t="str">
        <f>HYPERLINK("https://docs.google.com/spreadsheets/d/11e4we9ZFbzrgsTG19i9aQpVVFaW8IgRg", "RE-74.13088958333333")</f>
        <v>RE-74.13088958333333</v>
      </c>
      <c r="I556" s="17"/>
      <c r="J556" s="18" t="str">
        <f>HYPERLINK("https://docs.google.com/spreadsheets/d/1c-lBh4RuG2LplmhcMW5FIKyfunxW9OL3", "RE-1597.4324281250042")</f>
        <v>RE-1597.4324281250042</v>
      </c>
      <c r="K556" s="17"/>
      <c r="L556" s="18">
        <f t="shared" si="278"/>
        <v>743.107501</v>
      </c>
      <c r="M556" s="17"/>
      <c r="N556" s="18" t="str">
        <f>HYPERLINK("https://docs.google.com/spreadsheets/d/1Yuo34mUGlGSubgghqnCQl46QNFalbgjF", "RE-1218.8240104166662")</f>
        <v>RE-1218.8240104166662</v>
      </c>
      <c r="O556" s="17"/>
      <c r="P556" s="18">
        <f t="shared" si="279"/>
        <v>993.9468479</v>
      </c>
      <c r="Q556" s="17"/>
      <c r="R556" s="18">
        <f t="shared" si="280"/>
        <v>77.53015104</v>
      </c>
      <c r="S556" s="17"/>
      <c r="T556" s="18">
        <f t="shared" si="281"/>
        <v>260.9879073</v>
      </c>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c r="DE556" s="17"/>
      <c r="DF556" s="17"/>
      <c r="DG556" s="17"/>
      <c r="DH556" s="17"/>
      <c r="DI556" s="17"/>
      <c r="DJ556" s="17"/>
      <c r="DK556" s="17"/>
      <c r="DL556" s="17"/>
      <c r="DM556" s="17"/>
      <c r="DN556" s="17"/>
      <c r="DO556" s="17"/>
      <c r="DP556" s="17"/>
      <c r="DQ556" s="17"/>
      <c r="DR556" s="17"/>
      <c r="DS556" s="17"/>
      <c r="DT556" s="17"/>
      <c r="DU556" s="17"/>
      <c r="DV556" s="17"/>
      <c r="DW556" s="17"/>
      <c r="DX556" s="17"/>
      <c r="DY556" s="17"/>
      <c r="DZ556" s="17"/>
      <c r="EA556" s="17"/>
      <c r="EB556" s="17"/>
      <c r="EC556" s="17"/>
      <c r="ED556" s="17"/>
      <c r="EE556" s="17"/>
      <c r="EF556" s="17"/>
      <c r="EG556" s="17"/>
      <c r="EH556" s="17"/>
      <c r="EI556" s="17"/>
      <c r="EJ556" s="17"/>
      <c r="EK556" s="17"/>
      <c r="EL556" s="17"/>
      <c r="EM556" s="17"/>
      <c r="EN556" s="17"/>
      <c r="EO556" s="17"/>
      <c r="EP556" s="17"/>
      <c r="EQ556" s="17"/>
      <c r="ER556" s="17"/>
      <c r="ES556" s="17"/>
      <c r="ET556" s="17"/>
      <c r="EU556" s="17"/>
      <c r="EV556" s="17"/>
      <c r="EW556" s="17"/>
      <c r="EX556" s="17"/>
      <c r="EY556" s="17"/>
      <c r="EZ556" s="17"/>
      <c r="FA556" s="17"/>
      <c r="FB556" s="17"/>
      <c r="FC556" s="17"/>
      <c r="FD556" s="17"/>
      <c r="FE556" s="17"/>
      <c r="FF556" s="17"/>
      <c r="FG556" s="17"/>
      <c r="FH556" s="17"/>
    </row>
    <row r="557">
      <c r="A557" s="32" t="s">
        <v>38</v>
      </c>
      <c r="B557" s="32" t="s">
        <v>95</v>
      </c>
      <c r="C557" s="32" t="s">
        <v>10</v>
      </c>
      <c r="D557" s="16">
        <f t="shared" si="1"/>
        <v>676.276576</v>
      </c>
      <c r="E557" s="17"/>
      <c r="F557" s="17"/>
      <c r="G557" s="18">
        <f>HYPERLINK("https://docs.google.com/spreadsheets/d/1wX2qJLyLgZ0eTCibrYRum3EyNf7J7Zan", 85.2425208333333)</f>
        <v>85.24252083</v>
      </c>
      <c r="H557" s="17"/>
      <c r="I557" s="18">
        <f>HYPERLINK("https://docs.google.com/spreadsheets/d/1aFx_fOeixFP4iFH7nQjGKB_Ij9Ah3pSP", 8.03132291666666)</f>
        <v>8.031322917</v>
      </c>
      <c r="J557" s="17"/>
      <c r="K557" s="18">
        <f>HYPERLINK("https://docs.google.com/spreadsheets/d/1XV72QWrQIHWP-7WM_K38J6AyucgoDl97", 168.555433333333)</f>
        <v>168.5554333</v>
      </c>
      <c r="L557" s="17"/>
      <c r="M557" s="18">
        <f>HYPERLINK("https://docs.google.com/spreadsheets/d/1AqxJRL50o84JMVPbYvOM7kkf5JTF-sdC", 58.0709020833333)</f>
        <v>58.07090208</v>
      </c>
      <c r="N557" s="17"/>
      <c r="O557" s="18">
        <f>HYPERLINK("https://docs.google.com/spreadsheets/d/1neErM5iWjp53-09uU2LM4q3_PqnMO6sA", 179.271409375)</f>
        <v>179.2714094</v>
      </c>
      <c r="P557" s="17"/>
      <c r="Q557" s="18">
        <f>HYPERLINK("https://docs.google.com/spreadsheets/d/1XmmFpUx6jgCNb3lWl46ChiiK-nCMG29e", 108.319645833333)</f>
        <v>108.3196458</v>
      </c>
      <c r="R557" s="17"/>
      <c r="S557" s="18">
        <f>HYPERLINK("https://docs.google.com/spreadsheets/d/1B5XyLcVmQ7Y3iGWc7CQN0TCfMwvFx4Wf", 37.6228249999999)</f>
        <v>37.622825</v>
      </c>
      <c r="T557" s="17"/>
      <c r="U557" s="18">
        <f>HYPERLINK("https://docs.google.com/spreadsheets/d/1wy-2fq2pmJUKAwauoFbmuab6adBwFSRS", 23.4974708333333)</f>
        <v>23.49747083</v>
      </c>
      <c r="V557" s="18">
        <f>HYPERLINK("https://docs.google.com/spreadsheets/d/10uI3YETfQaf1q7-FKNGUgOWRjIZ32a-9", 7.66504583333333)</f>
        <v>7.665045833</v>
      </c>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c r="DE557" s="17"/>
      <c r="DF557" s="17"/>
      <c r="DG557" s="17"/>
      <c r="DH557" s="17"/>
      <c r="DI557" s="17"/>
      <c r="DJ557" s="17"/>
      <c r="DK557" s="17"/>
      <c r="DL557" s="17"/>
      <c r="DM557" s="17"/>
      <c r="DN557" s="17"/>
      <c r="DO557" s="17"/>
      <c r="DP557" s="17"/>
      <c r="DQ557" s="17"/>
      <c r="DR557" s="17"/>
      <c r="DS557" s="17"/>
      <c r="DT557" s="17"/>
      <c r="DU557" s="17"/>
      <c r="DV557" s="17"/>
      <c r="DW557" s="17"/>
      <c r="DX557" s="17"/>
      <c r="DY557" s="17"/>
      <c r="DZ557" s="17"/>
      <c r="EA557" s="17"/>
      <c r="EB557" s="17"/>
      <c r="EC557" s="17"/>
      <c r="ED557" s="17"/>
      <c r="EE557" s="17"/>
      <c r="EF557" s="17"/>
      <c r="EG557" s="17"/>
      <c r="EH557" s="17"/>
      <c r="EI557" s="17"/>
      <c r="EJ557" s="17"/>
      <c r="EK557" s="17"/>
      <c r="EL557" s="17"/>
      <c r="EM557" s="17"/>
      <c r="EN557" s="17"/>
      <c r="EO557" s="17"/>
      <c r="EP557" s="17"/>
      <c r="EQ557" s="17"/>
      <c r="ER557" s="17"/>
      <c r="ES557" s="17"/>
      <c r="ET557" s="17"/>
      <c r="EU557" s="17"/>
      <c r="EV557" s="17"/>
      <c r="EW557" s="17"/>
      <c r="EX557" s="17"/>
      <c r="EY557" s="17"/>
      <c r="EZ557" s="17"/>
      <c r="FA557" s="17"/>
      <c r="FB557" s="17"/>
      <c r="FC557" s="17"/>
      <c r="FD557" s="17"/>
      <c r="FE557" s="17"/>
      <c r="FF557" s="17"/>
      <c r="FG557" s="17"/>
      <c r="FH557" s="17"/>
    </row>
    <row r="558">
      <c r="A558" s="32" t="s">
        <v>38</v>
      </c>
      <c r="B558" s="32" t="s">
        <v>95</v>
      </c>
      <c r="C558" s="32" t="s">
        <v>11</v>
      </c>
      <c r="D558" s="16">
        <f t="shared" si="1"/>
        <v>0</v>
      </c>
      <c r="E558" s="17"/>
      <c r="F558" s="17"/>
      <c r="G558" s="18" t="str">
        <f>HYPERLINK("https://docs.google.com/spreadsheets/d/1wX2qJLyLgZ0eTCibrYRum3EyNf7J7Zan", "RE-85.24252083333333")</f>
        <v>RE-85.24252083333333</v>
      </c>
      <c r="H558" s="17"/>
      <c r="I558" s="18" t="str">
        <f>HYPERLINK("https://docs.google.com/spreadsheets/d/1aFx_fOeixFP4iFH7nQjGKB_Ij9Ah3pSP", "RE-8.031322916666666")</f>
        <v>RE-8.031322916666666</v>
      </c>
      <c r="J558" s="17"/>
      <c r="K558" s="18" t="str">
        <f>HYPERLINK("https://docs.google.com/spreadsheets/d/1XV72QWrQIHWP-7WM_K38J6AyucgoDl97", "RE-168.55543333333318")</f>
        <v>RE-168.55543333333318</v>
      </c>
      <c r="L558" s="17"/>
      <c r="M558" s="18" t="str">
        <f>HYPERLINK("https://docs.google.com/spreadsheets/d/1AqxJRL50o84JMVPbYvOM7kkf5JTF-sdC", "RE-58.07090208333333")</f>
        <v>RE-58.07090208333333</v>
      </c>
      <c r="N558" s="17"/>
      <c r="O558" s="18" t="str">
        <f>HYPERLINK("https://docs.google.com/spreadsheets/d/1neErM5iWjp53-09uU2LM4q3_PqnMO6sA", "RE-179.27140937500002")</f>
        <v>RE-179.27140937500002</v>
      </c>
      <c r="P558" s="17"/>
      <c r="Q558" s="18" t="str">
        <f>HYPERLINK("https://docs.google.com/spreadsheets/d/1XmmFpUx6jgCNb3lWl46ChiiK-nCMG29e", "RE-108.31964583333342")</f>
        <v>RE-108.31964583333342</v>
      </c>
      <c r="R558" s="17"/>
      <c r="S558" s="18" t="str">
        <f>HYPERLINK("https://docs.google.com/spreadsheets/d/1B5XyLcVmQ7Y3iGWc7CQN0TCfMwvFx4Wf", "RE-37.62282499999999")</f>
        <v>RE-37.62282499999999</v>
      </c>
      <c r="T558" s="17"/>
      <c r="U558" s="18" t="str">
        <f>HYPERLINK("https://docs.google.com/spreadsheets/d/1wy-2fq2pmJUKAwauoFbmuab6adBwFSRS", "RE-23.497470833333335")</f>
        <v>RE-23.497470833333335</v>
      </c>
      <c r="V558" s="18" t="str">
        <f>HYPERLINK("https://docs.google.com/spreadsheets/d/10uI3YETfQaf1q7-FKNGUgOWRjIZ32a-9", "RE-7.665045833333332")</f>
        <v>RE-7.665045833333332</v>
      </c>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c r="DE558" s="17"/>
      <c r="DF558" s="17"/>
      <c r="DG558" s="17"/>
      <c r="DH558" s="17"/>
      <c r="DI558" s="17"/>
      <c r="DJ558" s="17"/>
      <c r="DK558" s="17"/>
      <c r="DL558" s="17"/>
      <c r="DM558" s="17"/>
      <c r="DN558" s="17"/>
      <c r="DO558" s="17"/>
      <c r="DP558" s="17"/>
      <c r="DQ558" s="17"/>
      <c r="DR558" s="17"/>
      <c r="DS558" s="17"/>
      <c r="DT558" s="17"/>
      <c r="DU558" s="17"/>
      <c r="DV558" s="17"/>
      <c r="DW558" s="17"/>
      <c r="DX558" s="17"/>
      <c r="DY558" s="17"/>
      <c r="DZ558" s="17"/>
      <c r="EA558" s="17"/>
      <c r="EB558" s="17"/>
      <c r="EC558" s="17"/>
      <c r="ED558" s="17"/>
      <c r="EE558" s="17"/>
      <c r="EF558" s="17"/>
      <c r="EG558" s="17"/>
      <c r="EH558" s="17"/>
      <c r="EI558" s="17"/>
      <c r="EJ558" s="17"/>
      <c r="EK558" s="17"/>
      <c r="EL558" s="17"/>
      <c r="EM558" s="17"/>
      <c r="EN558" s="17"/>
      <c r="EO558" s="17"/>
      <c r="EP558" s="17"/>
      <c r="EQ558" s="17"/>
      <c r="ER558" s="17"/>
      <c r="ES558" s="17"/>
      <c r="ET558" s="17"/>
      <c r="EU558" s="17"/>
      <c r="EV558" s="17"/>
      <c r="EW558" s="17"/>
      <c r="EX558" s="17"/>
      <c r="EY558" s="17"/>
      <c r="EZ558" s="17"/>
      <c r="FA558" s="17"/>
      <c r="FB558" s="17"/>
      <c r="FC558" s="17"/>
      <c r="FD558" s="17"/>
      <c r="FE558" s="17"/>
      <c r="FF558" s="17"/>
      <c r="FG558" s="17"/>
      <c r="FH558" s="17"/>
    </row>
    <row r="559">
      <c r="A559" s="32" t="s">
        <v>38</v>
      </c>
      <c r="B559" s="32" t="s">
        <v>95</v>
      </c>
      <c r="C559" s="32" t="s">
        <v>12</v>
      </c>
      <c r="D559" s="16">
        <f t="shared" si="1"/>
        <v>1862.102016</v>
      </c>
      <c r="E559" s="17"/>
      <c r="F559" s="18" t="str">
        <f>HYPERLINK("https://docs.google.com/spreadsheets/d/1hrIoahH_-4PeDd0on5SGiSpQsXJeDgtP", "RE-674.2423927083312")</f>
        <v>RE-674.2423927083312</v>
      </c>
      <c r="G559" s="18" t="str">
        <f>HYPERLINK("https://docs.google.com/spreadsheets/d/1it6Y8lk57wJZY2cMvmCF9Vfp2nXGSuzF", "RE-4.9174750000000005")</f>
        <v>RE-4.9174750000000005</v>
      </c>
      <c r="H559" s="18" t="str">
        <f>HYPERLINK("https://docs.google.com/spreadsheets/d/1Hbz35IbiEhbsqhjx16nHFQRenj0JdTAE", "RE-62.87604583333338")</f>
        <v>RE-62.87604583333338</v>
      </c>
      <c r="I559" s="18" t="str">
        <f>HYPERLINK("https://docs.google.com/spreadsheets/d/1O1PvNYatvynSBQkgfyb0mvxJnrYZ6QUB", "RE-0.0")</f>
        <v>RE-0.0</v>
      </c>
      <c r="J559" s="18" t="str">
        <f>HYPERLINK("https://docs.google.com/spreadsheets/d/1iEDdrFdgPqWs9RQpLZaEhM9ozsrX9IKV", "RE-1256.9652447916683")</f>
        <v>RE-1256.9652447916683</v>
      </c>
      <c r="K559" s="18" t="str">
        <f>HYPERLINK("https://docs.google.com/spreadsheets/d/1ol-PPHBnU3pMgtc5MYcNSvAPTbm7R0sZ", "RE-13.484268750000002")</f>
        <v>RE-13.484268750000002</v>
      </c>
      <c r="L559" s="18">
        <f>HYPERLINK("https://docs.google.com/spreadsheets/d/1JrsaCc7DCaKDRuD4P2Z1GtpJY6Wce1wy", 674.773181250001)</f>
        <v>674.7731813</v>
      </c>
      <c r="M559" s="18" t="str">
        <f>HYPERLINK("https://docs.google.com/spreadsheets/d/1xGBnfNOw2SWv6X5HC-iEmtllQvC_XaLf", "RE-17.377910416666662")</f>
        <v>RE-17.377910416666662</v>
      </c>
      <c r="N559" s="18" t="str">
        <f>HYPERLINK("https://docs.google.com/spreadsheets/d/1u8siaSSP-_wpRBpNVLTvTSQFJMUBVmHY", "RE-801.6201052083311")</f>
        <v>RE-801.6201052083311</v>
      </c>
      <c r="O559" s="18" t="str">
        <f>HYPERLINK("https://docs.google.com/spreadsheets/d/1Z5pJPlsQHT19KuZqDoTyCAIL5R3KEQ1j", "RE-6.64905625")</f>
        <v>RE-6.64905625</v>
      </c>
      <c r="P559" s="18">
        <f>HYPERLINK("https://docs.google.com/spreadsheets/d/13qbFzkHnicEy4mbP_HE25bnjXiC93l4N", 883.282511458332)</f>
        <v>883.2825115</v>
      </c>
      <c r="Q559" s="18" t="str">
        <f>HYPERLINK("https://docs.google.com/spreadsheets/d/1jdwOcxqVjZHApNIzhAQFf6CpswUEqhBF", "RE-33.78993645833332")</f>
        <v>RE-33.78993645833332</v>
      </c>
      <c r="R559" s="18">
        <f>HYPERLINK("https://docs.google.com/spreadsheets/d/1kM3Jp9TZPM0OqRbpHQKKnrtPRKh8sYC0", 71.784878125)</f>
        <v>71.78487813</v>
      </c>
      <c r="S559" s="18" t="str">
        <f>HYPERLINK("https://docs.google.com/spreadsheets/d/1CnLYZ6qIQfUSmSdeDTB-AzvMt0FndG-c", "RE-24.876672916666664")</f>
        <v>RE-24.876672916666664</v>
      </c>
      <c r="T559" s="18">
        <f>HYPERLINK("https://docs.google.com/spreadsheets/d/1a4MlSx4PkUr9liyv9K55-SIkE9fEaAnN", 232.261444791666)</f>
        <v>232.2614448</v>
      </c>
      <c r="U559" s="18" t="str">
        <f>HYPERLINK("https://docs.google.com/spreadsheets/d/1wfK0fj49VYeOzRuSKfxtGYFwK7Z_kc0u", "RE-8.321564583333332")</f>
        <v>RE-8.321564583333332</v>
      </c>
      <c r="V559" s="18" t="str">
        <f>HYPERLINK("https://docs.google.com/spreadsheets/d/1lRkS0MWW9Bcwhmz67lS7gj1kIIUP18RN", "RE-3.560264583333333")</f>
        <v>RE-3.560264583333333</v>
      </c>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c r="DE559" s="17"/>
      <c r="DF559" s="17"/>
      <c r="DG559" s="17"/>
      <c r="DH559" s="17"/>
      <c r="DI559" s="17"/>
      <c r="DJ559" s="17"/>
      <c r="DK559" s="17"/>
      <c r="DL559" s="17"/>
      <c r="DM559" s="17"/>
      <c r="DN559" s="17"/>
      <c r="DO559" s="17"/>
      <c r="DP559" s="17"/>
      <c r="DQ559" s="17"/>
      <c r="DR559" s="17"/>
      <c r="DS559" s="17"/>
      <c r="DT559" s="17"/>
      <c r="DU559" s="17"/>
      <c r="DV559" s="17"/>
      <c r="DW559" s="17"/>
      <c r="DX559" s="17"/>
      <c r="DY559" s="17"/>
      <c r="DZ559" s="17"/>
      <c r="EA559" s="17"/>
      <c r="EB559" s="17"/>
      <c r="EC559" s="17"/>
      <c r="ED559" s="17"/>
      <c r="EE559" s="17"/>
      <c r="EF559" s="17"/>
      <c r="EG559" s="17"/>
      <c r="EH559" s="17"/>
      <c r="EI559" s="17"/>
      <c r="EJ559" s="17"/>
      <c r="EK559" s="17"/>
      <c r="EL559" s="17"/>
      <c r="EM559" s="17"/>
      <c r="EN559" s="17"/>
      <c r="EO559" s="17"/>
      <c r="EP559" s="17"/>
      <c r="EQ559" s="17"/>
      <c r="ER559" s="17"/>
      <c r="ES559" s="17"/>
      <c r="ET559" s="17"/>
      <c r="EU559" s="17"/>
      <c r="EV559" s="17"/>
      <c r="EW559" s="17"/>
      <c r="EX559" s="17"/>
      <c r="EY559" s="17"/>
      <c r="EZ559" s="17"/>
      <c r="FA559" s="17"/>
      <c r="FB559" s="17"/>
      <c r="FC559" s="17"/>
      <c r="FD559" s="17"/>
      <c r="FE559" s="17"/>
      <c r="FF559" s="17"/>
      <c r="FG559" s="17"/>
      <c r="FH559" s="17"/>
    </row>
    <row r="560">
      <c r="A560" s="32" t="s">
        <v>38</v>
      </c>
      <c r="B560" s="32" t="s">
        <v>95</v>
      </c>
      <c r="C560" s="32" t="s">
        <v>13</v>
      </c>
      <c r="D560" s="16">
        <f t="shared" si="1"/>
        <v>1781.3456</v>
      </c>
      <c r="E560" s="17"/>
      <c r="F560" s="18" t="str">
        <f>HYPERLINK("https://docs.google.com/spreadsheets/d/1MonXBc60Jjw-_RzaQp8KyiZphM99lCsV?usp=share_link", "RE-655.369")</f>
        <v>RE-655.369</v>
      </c>
      <c r="G560" s="18" t="str">
        <f>HYPERLINK("https://docs.google.com/spreadsheets/d/14hKRzK7vCxpQ4aoNZGEq-cDqc6bbJLn0?usp=share_link", "RE-4.74602")</f>
        <v>RE-4.74602</v>
      </c>
      <c r="H560" s="18" t="str">
        <f>HYPERLINK("https://docs.google.com/spreadsheets/d/1fGTilTf7Zszwy_JpZzXMVeM904koeNUY?usp=share_link", "RE-61.4755")</f>
        <v>RE-61.4755</v>
      </c>
      <c r="I560" s="17"/>
      <c r="J560" s="18" t="str">
        <f>HYPERLINK("https://docs.google.com/spreadsheets/d/1RqtScB5IYCAN-c3KwWq6wmJhT15Yz3mF?usp=share_link", "RE-1222.17")</f>
        <v>RE-1222.17</v>
      </c>
      <c r="K560" s="18" t="str">
        <f>HYPERLINK("https://docs.google.com/spreadsheets/d/153QsI3faH93drancSVjkc4p6mO-F7dgu?usp=share_link", "RE-12.7246")</f>
        <v>RE-12.7246</v>
      </c>
      <c r="L560" s="18">
        <f>HYPERLINK("https://docs.google.com/spreadsheets/d/1sgqD8KL1cfln389R4J84n55RNSWfADJ1?usp=share_link", 644.739)</f>
        <v>644.739</v>
      </c>
      <c r="M560" s="18" t="str">
        <f>HYPERLINK("https://docs.google.com/spreadsheets/d/12odeG4P9buXIqhHr-EG0pt8o-hPrazvV?usp=share_link", "RE-16.8462")</f>
        <v>RE-16.8462</v>
      </c>
      <c r="N560" s="18" t="str">
        <f>HYPERLINK("https://docs.google.com/spreadsheets/d/1R2WGmijt8e1XMHruCKQn1iQCCM0quBiK?usp=share_link", "RE-768.58")</f>
        <v>RE-768.58</v>
      </c>
      <c r="O560" s="18" t="str">
        <f>HYPERLINK("https://docs.google.com/spreadsheets/d/1Px0G3MASOF1lPv8HeH8XbbY6aTG7L70Y?usp=share_link", "RE-6.2549")</f>
        <v>RE-6.2549</v>
      </c>
      <c r="P560" s="18">
        <f>HYPERLINK("https://docs.google.com/spreadsheets/d/1s8DNIuUyBAACFAu-DgvKSMnxQPqkG8FZ?usp=share_link", 844.33)</f>
        <v>844.33</v>
      </c>
      <c r="Q560" s="18" t="str">
        <f>HYPERLINK("https://docs.google.com/spreadsheets/d/1fQ1qiLRxfCmB7dfdRY-n9I5kSN901xST?usp=share_link", "RE-32.5744")</f>
        <v>RE-32.5744</v>
      </c>
      <c r="R560" s="18">
        <f>HYPERLINK("https://docs.google.com/spreadsheets/d/1lLi1N0sPUaQljm09aWrE09sTa7cSJs94?usp=share_link", 68.7256)</f>
        <v>68.7256</v>
      </c>
      <c r="S560" s="18" t="str">
        <f>HYPERLINK("https://docs.google.com/spreadsheets/d/1_H_5ObNRaBvc_eZOQVa8Gh4NClTM30iP?usp=share_link", "RE-23.5537")</f>
        <v>RE-23.5537</v>
      </c>
      <c r="T560" s="18">
        <f>HYPERLINK("https://docs.google.com/spreadsheets/d/1vz8di0ZdBJcAR8yrGAATU1UCvUBtACA_?usp=share_link", 223.551)</f>
        <v>223.551</v>
      </c>
      <c r="U560" s="18" t="str">
        <f>HYPERLINK("https://docs.google.com/spreadsheets/d/1z3V2wkbdYmfJ9TcPhwB-NzXoLWFkGWoi?usp=share_link", "RE-8.05387")</f>
        <v>RE-8.05387</v>
      </c>
      <c r="V560" s="18" t="str">
        <f>HYPERLINK("https://docs.google.com/spreadsheets/d/1v70DQzgkPxkQLKIeF-alLfE1o6ZNxvNO?usp=share_link", "RE-3.28592")</f>
        <v>RE-3.28592</v>
      </c>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c r="DE560" s="17"/>
      <c r="DF560" s="17"/>
      <c r="DG560" s="17"/>
      <c r="DH560" s="17"/>
      <c r="DI560" s="17"/>
      <c r="DJ560" s="17"/>
      <c r="DK560" s="17"/>
      <c r="DL560" s="17"/>
      <c r="DM560" s="17"/>
      <c r="DN560" s="17"/>
      <c r="DO560" s="17"/>
      <c r="DP560" s="17"/>
      <c r="DQ560" s="17"/>
      <c r="DR560" s="17"/>
      <c r="DS560" s="17"/>
      <c r="DT560" s="17"/>
      <c r="DU560" s="17"/>
      <c r="DV560" s="17"/>
      <c r="DW560" s="17"/>
      <c r="DX560" s="17"/>
      <c r="DY560" s="17"/>
      <c r="DZ560" s="17"/>
      <c r="EA560" s="17"/>
      <c r="EB560" s="17"/>
      <c r="EC560" s="17"/>
      <c r="ED560" s="17"/>
      <c r="EE560" s="17"/>
      <c r="EF560" s="17"/>
      <c r="EG560" s="17"/>
      <c r="EH560" s="17"/>
      <c r="EI560" s="17"/>
      <c r="EJ560" s="17"/>
      <c r="EK560" s="17"/>
      <c r="EL560" s="17"/>
      <c r="EM560" s="17"/>
      <c r="EN560" s="17"/>
      <c r="EO560" s="17"/>
      <c r="EP560" s="17"/>
      <c r="EQ560" s="17"/>
      <c r="ER560" s="17"/>
      <c r="ES560" s="17"/>
      <c r="ET560" s="17"/>
      <c r="EU560" s="17"/>
      <c r="EV560" s="17"/>
      <c r="EW560" s="17"/>
      <c r="EX560" s="17"/>
      <c r="EY560" s="17"/>
      <c r="EZ560" s="17"/>
      <c r="FA560" s="17"/>
      <c r="FB560" s="17"/>
      <c r="FC560" s="17"/>
      <c r="FD560" s="17"/>
      <c r="FE560" s="17"/>
      <c r="FF560" s="17"/>
      <c r="FG560" s="17"/>
      <c r="FH560" s="17"/>
    </row>
    <row r="561">
      <c r="A561" s="32" t="s">
        <v>38</v>
      </c>
      <c r="B561" s="32" t="s">
        <v>95</v>
      </c>
      <c r="C561" s="32" t="s">
        <v>14</v>
      </c>
      <c r="D561" s="16">
        <f t="shared" si="1"/>
        <v>1572.1622</v>
      </c>
      <c r="E561" s="17"/>
      <c r="F561" s="18" t="str">
        <f>HYPERLINK("https://docs.google.com/spreadsheets/d/1QYBEgyE2OXntQMWHbCYqCxJx_weJpgT6?usp=share_link", "RE-598.259")</f>
        <v>RE-598.259</v>
      </c>
      <c r="G561" s="18" t="str">
        <f>HYPERLINK("https://docs.google.com/spreadsheets/d/12TbYxLryjOG5lPdFbG_fKKMUq95b1Xif?usp=share_link", "RE-4.74602")</f>
        <v>RE-4.74602</v>
      </c>
      <c r="H561" s="18" t="str">
        <f>HYPERLINK("https://docs.google.com/spreadsheets/d/1yPBLAHCyTP2eGE2qPO3UCiLqBA5_8rEY?usp=share_link", "RE-55.4968")</f>
        <v>RE-55.4968</v>
      </c>
      <c r="I561" s="17"/>
      <c r="J561" s="18" t="str">
        <f>HYPERLINK("https://docs.google.com/spreadsheets/d/13yCCFdnPPSvr842dFcnxguukoiGUXoyj?usp=share_link", "RE-1137.3")</f>
        <v>RE-1137.3</v>
      </c>
      <c r="K561" s="18" t="str">
        <f>HYPERLINK("https://docs.google.com/spreadsheets/d/1FUpSF0NvZ8RVgkqugko5pEd3GlA_vkPx?usp=share_link", "RE-11.417")</f>
        <v>RE-11.417</v>
      </c>
      <c r="L561" s="18">
        <f>HYPERLINK("https://docs.google.com/spreadsheets/d/1CFcxvDAAz9N8GQfSVOBWPqt1Eb3UcJDl?usp=share_link", 574.104)</f>
        <v>574.104</v>
      </c>
      <c r="M561" s="18" t="str">
        <f>HYPERLINK("https://docs.google.com/spreadsheets/d/1mdb6KoibEJqzNVg5mEPQsBJ-CIP8rBtE?usp=share_link", "RE-14.9961")</f>
        <v>RE-14.9961</v>
      </c>
      <c r="N561" s="18" t="str">
        <f>HYPERLINK("https://docs.google.com/spreadsheets/d/1UVn8hMBtIyn-_WDmXSUCswMVzmhoAhPU?usp=share_link", "RE-687.385")</f>
        <v>RE-687.385</v>
      </c>
      <c r="O561" s="18" t="str">
        <f>HYPERLINK("https://docs.google.com/spreadsheets/d/1oD8kvbWYYGvPEUoTSLvMN-Vx6qc4McTq?usp=share_link", "RE-5.17222")</f>
        <v>RE-5.17222</v>
      </c>
      <c r="P561" s="18">
        <f>HYPERLINK("https://docs.google.com/spreadsheets/d/1CKIZu4ZAdyrHQ_vMVCaBmknu3irbwHde?usp=share_link", 747.382)</f>
        <v>747.382</v>
      </c>
      <c r="Q561" s="18" t="str">
        <f>HYPERLINK("https://docs.google.com/spreadsheets/d/1cLSlnunPd-FRuxWB9GzNkZ3zsamep31w?usp=share_link", "RE-28.6501")</f>
        <v>RE-28.6501</v>
      </c>
      <c r="R561" s="18">
        <f>HYPERLINK("https://docs.google.com/spreadsheets/d/1pDkHjf_xh5_YHEZN-Yi3UuU2iJ7HHGXw?usp=share_link", 57.7422)</f>
        <v>57.7422</v>
      </c>
      <c r="S561" s="18" t="str">
        <f>HYPERLINK("https://docs.google.com/spreadsheets/d/1m-lleqdLGFvVzX2EYY33z6-2DS3CSlkt?usp=share_link", "RE-20.3278")</f>
        <v>RE-20.3278</v>
      </c>
      <c r="T561" s="18">
        <f>HYPERLINK("https://docs.google.com/spreadsheets/d/1xZ9z8UDwJnaYvJWewoC4MeB22sYC_ITm?usp=share_link", 192.934)</f>
        <v>192.934</v>
      </c>
      <c r="U561" s="18" t="str">
        <f>HYPERLINK("https://docs.google.com/spreadsheets/d/1FjcHA2qROxgLZgkXt2MFs1a9Ky3toDOJ?usp=share_link", "RE-7.41175")</f>
        <v>RE-7.41175</v>
      </c>
      <c r="V561" s="18" t="str">
        <f>HYPERLINK("https://docs.google.com/spreadsheets/d/15fzOV1xF50iwuWzzJAhg6PqwkW9DwcJF?usp=share_link", "RE-3.28592")</f>
        <v>RE-3.28592</v>
      </c>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c r="DE561" s="17"/>
      <c r="DF561" s="17"/>
      <c r="DG561" s="17"/>
      <c r="DH561" s="17"/>
      <c r="DI561" s="17"/>
      <c r="DJ561" s="17"/>
      <c r="DK561" s="17"/>
      <c r="DL561" s="17"/>
      <c r="DM561" s="17"/>
      <c r="DN561" s="17"/>
      <c r="DO561" s="17"/>
      <c r="DP561" s="17"/>
      <c r="DQ561" s="17"/>
      <c r="DR561" s="17"/>
      <c r="DS561" s="17"/>
      <c r="DT561" s="17"/>
      <c r="DU561" s="17"/>
      <c r="DV561" s="17"/>
      <c r="DW561" s="17"/>
      <c r="DX561" s="17"/>
      <c r="DY561" s="17"/>
      <c r="DZ561" s="17"/>
      <c r="EA561" s="17"/>
      <c r="EB561" s="17"/>
      <c r="EC561" s="17"/>
      <c r="ED561" s="17"/>
      <c r="EE561" s="17"/>
      <c r="EF561" s="17"/>
      <c r="EG561" s="17"/>
      <c r="EH561" s="17"/>
      <c r="EI561" s="17"/>
      <c r="EJ561" s="17"/>
      <c r="EK561" s="17"/>
      <c r="EL561" s="17"/>
      <c r="EM561" s="17"/>
      <c r="EN561" s="17"/>
      <c r="EO561" s="17"/>
      <c r="EP561" s="17"/>
      <c r="EQ561" s="17"/>
      <c r="ER561" s="17"/>
      <c r="ES561" s="17"/>
      <c r="ET561" s="17"/>
      <c r="EU561" s="17"/>
      <c r="EV561" s="17"/>
      <c r="EW561" s="17"/>
      <c r="EX561" s="17"/>
      <c r="EY561" s="17"/>
      <c r="EZ561" s="17"/>
      <c r="FA561" s="17"/>
      <c r="FB561" s="17"/>
      <c r="FC561" s="17"/>
      <c r="FD561" s="17"/>
      <c r="FE561" s="17"/>
      <c r="FF561" s="17"/>
      <c r="FG561" s="17"/>
      <c r="FH561" s="17"/>
    </row>
    <row r="562">
      <c r="A562" s="35" t="s">
        <v>38</v>
      </c>
      <c r="B562" s="35" t="s">
        <v>95</v>
      </c>
      <c r="C562" s="35" t="s">
        <v>15</v>
      </c>
      <c r="D562" s="36">
        <f t="shared" si="1"/>
        <v>1778.8576</v>
      </c>
      <c r="E562" s="36"/>
      <c r="F562" s="37" t="str">
        <f>HYPERLINK("https://docs.google.com/spreadsheets/d/1F7U6ZegWO5122k8IWj-a2wzDFlpKOhr5?usp=share_link", "RE-655.35")</f>
        <v>RE-655.35</v>
      </c>
      <c r="G562" s="37" t="str">
        <f>HYPERLINK("https://docs.google.com/spreadsheets/d/1ATZi0tnfD7qTNAlDiKuKOHkyhu05vqaQ?usp=share_link", "RE-4.74602")</f>
        <v>RE-4.74602</v>
      </c>
      <c r="H562" s="37" t="str">
        <f>HYPERLINK("https://docs.google.com/spreadsheets/d/1Ezi79aL34e2WkYQRvUuVP08N59QGySMz?usp=share_link", "RE-61.4755")</f>
        <v>RE-61.4755</v>
      </c>
      <c r="I562" s="36"/>
      <c r="J562" s="37" t="str">
        <f>HYPERLINK("https://docs.google.com/spreadsheets/d/1Rc8_tU4oCA9EFQHeDtfmnSXyJPrKsB2A?usp=share_link", "RE-1222.04")</f>
        <v>RE-1222.04</v>
      </c>
      <c r="K562" s="37" t="str">
        <f>HYPERLINK("https://docs.google.com/spreadsheets/d/1I-g9r8a6ocFdm9DtQVbuQlLIeChiJ8W_?usp=share_link", "RE-12.7246")</f>
        <v>RE-12.7246</v>
      </c>
      <c r="L562" s="37">
        <f>HYPERLINK("https://docs.google.com/spreadsheets/d/1V7VK9HyWnCt9qTp9KhRbg5w4ytLB2v6L?usp=share_link", 642.261)</f>
        <v>642.261</v>
      </c>
      <c r="M562" s="37" t="str">
        <f>HYPERLINK("https://docs.google.com/spreadsheets/d/1eo1P2tBY8exCCHyxMhDPurcRu5C9pBiJ?usp=share_link", "RE-16.7683")</f>
        <v>RE-16.7683</v>
      </c>
      <c r="N562" s="37" t="str">
        <f>HYPERLINK("https://docs.google.com/spreadsheets/d/1E4ZxuNViIT5HMwz8jDVGjO437dNiTBRK?usp=share_link", "RE-768.529")</f>
        <v>RE-768.529</v>
      </c>
      <c r="O562" s="37" t="str">
        <f>HYPERLINK("https://docs.google.com/spreadsheets/d/1gxbLBKOjfs8UjYf9Gb_ifS32alh5fLPM?usp=share_link", "RE-6.2549")</f>
        <v>RE-6.2549</v>
      </c>
      <c r="P562" s="37">
        <f>HYPERLINK("https://docs.google.com/spreadsheets/d/1UQjn0uHgSHZQVsLuh8CMl_s2MU_mRbve?usp=share_link", 844.32)</f>
        <v>844.32</v>
      </c>
      <c r="Q562" s="37" t="str">
        <f>HYPERLINK("https://docs.google.com/spreadsheets/d/1VgBE-U4q5hLkoF8Qo2ox4hPfxwq1IQ2Y?usp=share_link", "RE-32.5744")</f>
        <v>RE-32.5744</v>
      </c>
      <c r="R562" s="37">
        <f>HYPERLINK("https://docs.google.com/spreadsheets/d/1yzExQZFGDrnspApiZHHIptGWXzMQiHLQ?usp=share_link", 68.7256)</f>
        <v>68.7256</v>
      </c>
      <c r="S562" s="37" t="str">
        <f>HYPERLINK("https://docs.google.com/spreadsheets/d/1v-fkbbXbo9v2U2RW6d9VD9B7ybr4XRv6?usp=share_link", "RE-23.5537")</f>
        <v>RE-23.5537</v>
      </c>
      <c r="T562" s="37">
        <f>HYPERLINK("https://docs.google.com/spreadsheets/d/1uEHksCciPnCawKsANC0rds2HPMF5tG6n?usp=share_link", 223.551)</f>
        <v>223.551</v>
      </c>
      <c r="U562" s="37" t="str">
        <f>HYPERLINK("https://docs.google.com/spreadsheets/d/1i_JcLl5zykHeUxhVlT2yZjwGLvRYJxm4?usp=share_link", "RE-8.05387")</f>
        <v>RE-8.05387</v>
      </c>
      <c r="V562" s="37" t="str">
        <f>HYPERLINK("https://docs.google.com/spreadsheets/d/1bOi8p4gI4UBlGdMcBByEkDLRN6McYD2j?usp=share_link", "RE-3.28592")</f>
        <v>RE-3.28592</v>
      </c>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6"/>
      <c r="AZ562" s="36"/>
      <c r="BA562" s="36"/>
      <c r="BB562" s="36"/>
      <c r="BC562" s="36"/>
      <c r="BD562" s="36"/>
      <c r="BE562" s="36"/>
      <c r="BF562" s="36"/>
      <c r="BG562" s="36"/>
      <c r="BH562" s="36"/>
      <c r="BI562" s="36"/>
      <c r="BJ562" s="36"/>
      <c r="BK562" s="36"/>
      <c r="BL562" s="36"/>
      <c r="BM562" s="36"/>
      <c r="BN562" s="36"/>
      <c r="BO562" s="36"/>
      <c r="BP562" s="36"/>
      <c r="BQ562" s="36"/>
      <c r="BR562" s="36"/>
      <c r="BS562" s="36"/>
      <c r="BT562" s="36"/>
      <c r="BU562" s="36"/>
      <c r="BV562" s="36"/>
      <c r="BW562" s="36"/>
      <c r="BX562" s="36"/>
      <c r="BY562" s="36"/>
      <c r="BZ562" s="36"/>
      <c r="CA562" s="36"/>
      <c r="CB562" s="36"/>
      <c r="CC562" s="36"/>
      <c r="CD562" s="36"/>
      <c r="CE562" s="36"/>
      <c r="CF562" s="36"/>
      <c r="CG562" s="36"/>
      <c r="CH562" s="36"/>
      <c r="CI562" s="36"/>
      <c r="CJ562" s="36"/>
      <c r="CK562" s="36"/>
      <c r="CL562" s="36"/>
      <c r="CM562" s="36"/>
      <c r="CN562" s="36"/>
      <c r="CO562" s="36"/>
      <c r="CP562" s="36"/>
      <c r="CQ562" s="36"/>
      <c r="CR562" s="36"/>
      <c r="CS562" s="36"/>
      <c r="CT562" s="36"/>
      <c r="CU562" s="36"/>
      <c r="CV562" s="36"/>
      <c r="CW562" s="36"/>
      <c r="CX562" s="36"/>
      <c r="CY562" s="36"/>
      <c r="CZ562" s="36"/>
      <c r="DA562" s="36"/>
      <c r="DB562" s="36"/>
      <c r="DC562" s="36"/>
      <c r="DD562" s="36"/>
      <c r="DE562" s="36"/>
      <c r="DF562" s="36"/>
      <c r="DG562" s="36"/>
      <c r="DH562" s="36"/>
      <c r="DI562" s="36"/>
      <c r="DJ562" s="36"/>
      <c r="DK562" s="36"/>
      <c r="DL562" s="36"/>
      <c r="DM562" s="36"/>
      <c r="DN562" s="36"/>
      <c r="DO562" s="36"/>
      <c r="DP562" s="36"/>
      <c r="DQ562" s="36"/>
      <c r="DR562" s="36"/>
      <c r="DS562" s="36"/>
      <c r="DT562" s="36"/>
      <c r="DU562" s="36"/>
      <c r="DV562" s="36"/>
      <c r="DW562" s="36"/>
      <c r="DX562" s="36"/>
      <c r="DY562" s="36"/>
      <c r="DZ562" s="36"/>
      <c r="EA562" s="36"/>
      <c r="EB562" s="36"/>
      <c r="EC562" s="36"/>
      <c r="ED562" s="36"/>
      <c r="EE562" s="36"/>
      <c r="EF562" s="36"/>
      <c r="EG562" s="36"/>
      <c r="EH562" s="36"/>
      <c r="EI562" s="36"/>
      <c r="EJ562" s="36"/>
      <c r="EK562" s="36"/>
      <c r="EL562" s="36"/>
      <c r="EM562" s="36"/>
      <c r="EN562" s="36"/>
      <c r="EO562" s="36"/>
      <c r="EP562" s="36"/>
      <c r="EQ562" s="36"/>
      <c r="ER562" s="36"/>
      <c r="ES562" s="36"/>
      <c r="ET562" s="36"/>
      <c r="EU562" s="36"/>
      <c r="EV562" s="36"/>
      <c r="EW562" s="36"/>
      <c r="EX562" s="36"/>
      <c r="EY562" s="36"/>
      <c r="EZ562" s="36"/>
      <c r="FA562" s="36"/>
      <c r="FB562" s="36"/>
      <c r="FC562" s="36"/>
      <c r="FD562" s="36"/>
      <c r="FE562" s="36"/>
      <c r="FF562" s="36"/>
      <c r="FG562" s="36"/>
      <c r="FH562" s="36"/>
    </row>
    <row r="563">
      <c r="A563" s="38" t="s">
        <v>38</v>
      </c>
      <c r="B563" s="38" t="s">
        <v>96</v>
      </c>
      <c r="C563" s="39" t="str">
        <f>HYPERLINK("https://docs.google.com/spreadsheets/d/1HjMJRMVtXIqGv5kbxBJtJ6bcA4oel2ST/edit?usp=share_link&amp;ouid=106501987799020758802&amp;rtpof=true&amp;sd=true", "Raw Delivered")</f>
        <v>Raw Delivered</v>
      </c>
      <c r="D563" s="40">
        <f t="shared" si="1"/>
        <v>6878.526978</v>
      </c>
      <c r="E563" s="40"/>
      <c r="F563" s="41">
        <f>HYPERLINK("https://docs.google.com/spreadsheets/d/1Vw41AMZwhh37uAff26pW90a4vPI5Apv0", 276.005319791666)</f>
        <v>276.0053198</v>
      </c>
      <c r="G563" s="40"/>
      <c r="H563" s="41">
        <f>HYPERLINK("https://docs.google.com/spreadsheets/d/1uglY5HOaF_K-xIP9GVWdrtDf0BauLtVZ", 15.1083229166666)</f>
        <v>15.10832292</v>
      </c>
      <c r="I563" s="40"/>
      <c r="J563" s="41">
        <f>HYPERLINK("https://docs.google.com/spreadsheets/d/1_q-2YviaZR8vMvN7Lu3ZU-CicxMYswDm", 484.007246874999)</f>
        <v>484.0072469</v>
      </c>
      <c r="K563" s="40"/>
      <c r="L563" s="41">
        <f t="shared" ref="L563:L564" si="282">HYPERLINK("https://docs.google.com/spreadsheets/d/1PdaxxtZRLX7o5zMMydfbsc7Upct58XeY", 1287.27751145833)</f>
        <v>1287.277511</v>
      </c>
      <c r="M563" s="40"/>
      <c r="N563" s="41">
        <f>HYPERLINK("https://docs.google.com/spreadsheets/d/1K5uBOqbvFIKAMVqcVaEA-gF19M_VkGtS", 3722.67723125001)</f>
        <v>3722.677231</v>
      </c>
      <c r="O563" s="40"/>
      <c r="P563" s="41">
        <f t="shared" ref="P563:P564" si="283">HYPERLINK("https://docs.google.com/spreadsheets/d/1QxjivHhPERGJWlZvtiAjxd1HFmx6ez-P", 531.692733333333)</f>
        <v>531.6927333</v>
      </c>
      <c r="Q563" s="40"/>
      <c r="R563" s="41">
        <f t="shared" ref="R563:R564" si="284">HYPERLINK("https://docs.google.com/spreadsheets/d/14uk8DtA8U0tUZ8DCjCjaidMfM__ynnzi", 84.6426374999999)</f>
        <v>84.6426375</v>
      </c>
      <c r="S563" s="40"/>
      <c r="T563" s="41">
        <f t="shared" ref="T563:T564" si="285">HYPERLINK("https://docs.google.com/spreadsheets/d/1KjBTD88QyHcAZo8kt5KtI8GlbfYXLN5g", 477.115975)</f>
        <v>477.115975</v>
      </c>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0"/>
      <c r="FG563" s="40"/>
      <c r="FH563" s="40"/>
    </row>
    <row r="564">
      <c r="A564" s="42" t="s">
        <v>38</v>
      </c>
      <c r="B564" s="42" t="s">
        <v>96</v>
      </c>
      <c r="C564" s="42" t="s">
        <v>9</v>
      </c>
      <c r="D564" s="43">
        <f t="shared" si="1"/>
        <v>2380.728857</v>
      </c>
      <c r="E564" s="43"/>
      <c r="F564" s="44" t="str">
        <f>HYPERLINK("https://docs.google.com/spreadsheets/d/1Vw41AMZwhh37uAff26pW90a4vPI5Apv0", "RE-276.0053197916668")</f>
        <v>RE-276.0053197916668</v>
      </c>
      <c r="G564" s="43"/>
      <c r="H564" s="44" t="str">
        <f>HYPERLINK("https://docs.google.com/spreadsheets/d/1uglY5HOaF_K-xIP9GVWdrtDf0BauLtVZ", "RE-15.10832291666667")</f>
        <v>RE-15.10832291666667</v>
      </c>
      <c r="I564" s="43"/>
      <c r="J564" s="44" t="str">
        <f>HYPERLINK("https://docs.google.com/spreadsheets/d/1_q-2YviaZR8vMvN7Lu3ZU-CicxMYswDm", "RE-484.00724687499945")</f>
        <v>RE-484.00724687499945</v>
      </c>
      <c r="K564" s="43"/>
      <c r="L564" s="44">
        <f t="shared" si="282"/>
        <v>1287.277511</v>
      </c>
      <c r="M564" s="43"/>
      <c r="N564" s="44" t="str">
        <f>HYPERLINK("https://docs.google.com/spreadsheets/d/1K5uBOqbvFIKAMVqcVaEA-gF19M_VkGtS", "RE-3722.677231250015")</f>
        <v>RE-3722.677231250015</v>
      </c>
      <c r="O564" s="43"/>
      <c r="P564" s="44">
        <f t="shared" si="283"/>
        <v>531.6927333</v>
      </c>
      <c r="Q564" s="43"/>
      <c r="R564" s="44">
        <f t="shared" si="284"/>
        <v>84.6426375</v>
      </c>
      <c r="S564" s="43"/>
      <c r="T564" s="44">
        <f t="shared" si="285"/>
        <v>477.115975</v>
      </c>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43"/>
      <c r="BR564" s="43"/>
      <c r="BS564" s="43"/>
      <c r="BT564" s="43"/>
      <c r="BU564" s="43"/>
      <c r="BV564" s="43"/>
      <c r="BW564" s="43"/>
      <c r="BX564" s="43"/>
      <c r="BY564" s="43"/>
      <c r="BZ564" s="43"/>
      <c r="CA564" s="43"/>
      <c r="CB564" s="43"/>
      <c r="CC564" s="43"/>
      <c r="CD564" s="43"/>
      <c r="CE564" s="43"/>
      <c r="CF564" s="43"/>
      <c r="CG564" s="43"/>
      <c r="CH564" s="43"/>
      <c r="CI564" s="43"/>
      <c r="CJ564" s="43"/>
      <c r="CK564" s="43"/>
      <c r="CL564" s="43"/>
      <c r="CM564" s="43"/>
      <c r="CN564" s="43"/>
      <c r="CO564" s="43"/>
      <c r="CP564" s="43"/>
      <c r="CQ564" s="43"/>
      <c r="CR564" s="43"/>
      <c r="CS564" s="43"/>
      <c r="CT564" s="43"/>
      <c r="CU564" s="43"/>
      <c r="CV564" s="43"/>
      <c r="CW564" s="43"/>
      <c r="CX564" s="43"/>
      <c r="CY564" s="43"/>
      <c r="CZ564" s="43"/>
      <c r="DA564" s="43"/>
      <c r="DB564" s="43"/>
      <c r="DC564" s="43"/>
      <c r="DD564" s="43"/>
      <c r="DE564" s="43"/>
      <c r="DF564" s="43"/>
      <c r="DG564" s="43"/>
      <c r="DH564" s="43"/>
      <c r="DI564" s="43"/>
      <c r="DJ564" s="43"/>
      <c r="DK564" s="43"/>
      <c r="DL564" s="43"/>
      <c r="DM564" s="43"/>
      <c r="DN564" s="43"/>
      <c r="DO564" s="43"/>
      <c r="DP564" s="43"/>
      <c r="DQ564" s="43"/>
      <c r="DR564" s="43"/>
      <c r="DS564" s="43"/>
      <c r="DT564" s="43"/>
      <c r="DU564" s="43"/>
      <c r="DV564" s="43"/>
      <c r="DW564" s="43"/>
      <c r="DX564" s="43"/>
      <c r="DY564" s="43"/>
      <c r="DZ564" s="43"/>
      <c r="EA564" s="43"/>
      <c r="EB564" s="43"/>
      <c r="EC564" s="43"/>
      <c r="ED564" s="43"/>
      <c r="EE564" s="43"/>
      <c r="EF564" s="43"/>
      <c r="EG564" s="43"/>
      <c r="EH564" s="43"/>
      <c r="EI564" s="43"/>
      <c r="EJ564" s="43"/>
      <c r="EK564" s="43"/>
      <c r="EL564" s="43"/>
      <c r="EM564" s="43"/>
      <c r="EN564" s="43"/>
      <c r="EO564" s="43"/>
      <c r="EP564" s="43"/>
      <c r="EQ564" s="43"/>
      <c r="ER564" s="43"/>
      <c r="ES564" s="43"/>
      <c r="ET564" s="43"/>
      <c r="EU564" s="43"/>
      <c r="EV564" s="43"/>
      <c r="EW564" s="43"/>
      <c r="EX564" s="43"/>
      <c r="EY564" s="43"/>
      <c r="EZ564" s="43"/>
      <c r="FA564" s="43"/>
      <c r="FB564" s="43"/>
      <c r="FC564" s="43"/>
      <c r="FD564" s="43"/>
      <c r="FE564" s="43"/>
      <c r="FF564" s="43"/>
      <c r="FG564" s="43"/>
      <c r="FH564" s="43"/>
    </row>
    <row r="565">
      <c r="A565" s="42" t="s">
        <v>38</v>
      </c>
      <c r="B565" s="42" t="s">
        <v>96</v>
      </c>
      <c r="C565" s="42" t="s">
        <v>10</v>
      </c>
      <c r="D565" s="43">
        <f t="shared" si="1"/>
        <v>919.4425531</v>
      </c>
      <c r="E565" s="43"/>
      <c r="F565" s="43"/>
      <c r="G565" s="44">
        <f>HYPERLINK("https://docs.google.com/spreadsheets/d/1D1x_iD9AD_SGhcqOdzf8q1XUgUmu7dWp", 38.1347135416666)</f>
        <v>38.13471354</v>
      </c>
      <c r="H565" s="43"/>
      <c r="I565" s="43"/>
      <c r="J565" s="43"/>
      <c r="K565" s="44">
        <f>HYPERLINK("https://docs.google.com/spreadsheets/d/1rW_FsefSIhHYWWYnZFag0H-DW194KN5R", 53.2817291666666)</f>
        <v>53.28172917</v>
      </c>
      <c r="L565" s="43"/>
      <c r="M565" s="44">
        <f>HYPERLINK("https://docs.google.com/spreadsheets/d/1_oBCiV5XfgQLDzThupMT7XZQWOJbvWva", 46.1691197916666)</f>
        <v>46.16911979</v>
      </c>
      <c r="N565" s="43"/>
      <c r="O565" s="44">
        <f>HYPERLINK("https://docs.google.com/spreadsheets/d/1sSZTFO7KRKdgxiE64hDkY5DfdOVLZlar", 580.447784375)</f>
        <v>580.4477844</v>
      </c>
      <c r="P565" s="43"/>
      <c r="Q565" s="44">
        <f>HYPERLINK("https://docs.google.com/spreadsheets/d/1aiXSaWVRMghLOmy1kb2vzEHKuQhJwEBv", 117.916075)</f>
        <v>117.916075</v>
      </c>
      <c r="R565" s="43"/>
      <c r="S565" s="44">
        <f>HYPERLINK("https://docs.google.com/spreadsheets/d/1X2bEElunyorDrqic_Nz9kaXjJPSgB-58", 19.7844593749999)</f>
        <v>19.78445937</v>
      </c>
      <c r="T565" s="43"/>
      <c r="U565" s="44">
        <f>HYPERLINK("https://docs.google.com/spreadsheets/d/1MK8jjBimuukaps6UN5jD9TYDvLEPVEgP", 61.0704114583333)</f>
        <v>61.07041146</v>
      </c>
      <c r="V565" s="44">
        <f>HYPERLINK("https://docs.google.com/spreadsheets/d/19Cj--xxwPg2UyJ1EjoCJn6RuuWj8QGQ3", 2.63826041666666)</f>
        <v>2.638260417</v>
      </c>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43"/>
      <c r="BR565" s="43"/>
      <c r="BS565" s="43"/>
      <c r="BT565" s="43"/>
      <c r="BU565" s="43"/>
      <c r="BV565" s="43"/>
      <c r="BW565" s="43"/>
      <c r="BX565" s="43"/>
      <c r="BY565" s="43"/>
      <c r="BZ565" s="43"/>
      <c r="CA565" s="43"/>
      <c r="CB565" s="43"/>
      <c r="CC565" s="43"/>
      <c r="CD565" s="43"/>
      <c r="CE565" s="43"/>
      <c r="CF565" s="43"/>
      <c r="CG565" s="43"/>
      <c r="CH565" s="43"/>
      <c r="CI565" s="43"/>
      <c r="CJ565" s="43"/>
      <c r="CK565" s="43"/>
      <c r="CL565" s="43"/>
      <c r="CM565" s="43"/>
      <c r="CN565" s="43"/>
      <c r="CO565" s="43"/>
      <c r="CP565" s="43"/>
      <c r="CQ565" s="43"/>
      <c r="CR565" s="43"/>
      <c r="CS565" s="43"/>
      <c r="CT565" s="43"/>
      <c r="CU565" s="43"/>
      <c r="CV565" s="43"/>
      <c r="CW565" s="43"/>
      <c r="CX565" s="43"/>
      <c r="CY565" s="43"/>
      <c r="CZ565" s="43"/>
      <c r="DA565" s="43"/>
      <c r="DB565" s="43"/>
      <c r="DC565" s="43"/>
      <c r="DD565" s="43"/>
      <c r="DE565" s="43"/>
      <c r="DF565" s="43"/>
      <c r="DG565" s="43"/>
      <c r="DH565" s="43"/>
      <c r="DI565" s="43"/>
      <c r="DJ565" s="43"/>
      <c r="DK565" s="43"/>
      <c r="DL565" s="43"/>
      <c r="DM565" s="43"/>
      <c r="DN565" s="43"/>
      <c r="DO565" s="43"/>
      <c r="DP565" s="43"/>
      <c r="DQ565" s="43"/>
      <c r="DR565" s="43"/>
      <c r="DS565" s="43"/>
      <c r="DT565" s="43"/>
      <c r="DU565" s="43"/>
      <c r="DV565" s="43"/>
      <c r="DW565" s="43"/>
      <c r="DX565" s="43"/>
      <c r="DY565" s="43"/>
      <c r="DZ565" s="43"/>
      <c r="EA565" s="43"/>
      <c r="EB565" s="43"/>
      <c r="EC565" s="43"/>
      <c r="ED565" s="43"/>
      <c r="EE565" s="43"/>
      <c r="EF565" s="43"/>
      <c r="EG565" s="43"/>
      <c r="EH565" s="43"/>
      <c r="EI565" s="43"/>
      <c r="EJ565" s="43"/>
      <c r="EK565" s="43"/>
      <c r="EL565" s="43"/>
      <c r="EM565" s="43"/>
      <c r="EN565" s="43"/>
      <c r="EO565" s="43"/>
      <c r="EP565" s="43"/>
      <c r="EQ565" s="43"/>
      <c r="ER565" s="43"/>
      <c r="ES565" s="43"/>
      <c r="ET565" s="43"/>
      <c r="EU565" s="43"/>
      <c r="EV565" s="43"/>
      <c r="EW565" s="43"/>
      <c r="EX565" s="43"/>
      <c r="EY565" s="43"/>
      <c r="EZ565" s="43"/>
      <c r="FA565" s="43"/>
      <c r="FB565" s="43"/>
      <c r="FC565" s="43"/>
      <c r="FD565" s="43"/>
      <c r="FE565" s="43"/>
      <c r="FF565" s="43"/>
      <c r="FG565" s="43"/>
      <c r="FH565" s="43"/>
    </row>
    <row r="566">
      <c r="A566" s="42" t="s">
        <v>38</v>
      </c>
      <c r="B566" s="42" t="s">
        <v>96</v>
      </c>
      <c r="C566" s="42" t="s">
        <v>11</v>
      </c>
      <c r="D566" s="43">
        <f t="shared" si="1"/>
        <v>0</v>
      </c>
      <c r="E566" s="43"/>
      <c r="F566" s="43"/>
      <c r="G566" s="44" t="str">
        <f>HYPERLINK("https://docs.google.com/spreadsheets/d/1D1x_iD9AD_SGhcqOdzf8q1XUgUmu7dWp", "RE-38.13471354166667")</f>
        <v>RE-38.13471354166667</v>
      </c>
      <c r="H566" s="43"/>
      <c r="I566" s="43"/>
      <c r="J566" s="43"/>
      <c r="K566" s="44" t="str">
        <f>HYPERLINK("https://docs.google.com/spreadsheets/d/1rW_FsefSIhHYWWYnZFag0H-DW194KN5R", "RE-53.28172916666665")</f>
        <v>RE-53.28172916666665</v>
      </c>
      <c r="L566" s="43"/>
      <c r="M566" s="44" t="str">
        <f>HYPERLINK("https://docs.google.com/spreadsheets/d/1_oBCiV5XfgQLDzThupMT7XZQWOJbvWva", "RE-46.16911979166665")</f>
        <v>RE-46.16911979166665</v>
      </c>
      <c r="N566" s="43"/>
      <c r="O566" s="44" t="str">
        <f>HYPERLINK("https://docs.google.com/spreadsheets/d/1sSZTFO7KRKdgxiE64hDkY5DfdOVLZlar", "RE-580.4477843750004")</f>
        <v>RE-580.4477843750004</v>
      </c>
      <c r="P566" s="43"/>
      <c r="Q566" s="44" t="str">
        <f>HYPERLINK("https://docs.google.com/spreadsheets/d/1aiXSaWVRMghLOmy1kb2vzEHKuQhJwEBv", "RE-117.91607500000006")</f>
        <v>RE-117.91607500000006</v>
      </c>
      <c r="R566" s="43"/>
      <c r="S566" s="44" t="str">
        <f>HYPERLINK("https://docs.google.com/spreadsheets/d/1X2bEElunyorDrqic_Nz9kaXjJPSgB-58", "RE-19.784459374999997")</f>
        <v>RE-19.784459374999997</v>
      </c>
      <c r="T566" s="43"/>
      <c r="U566" s="44" t="str">
        <f>HYPERLINK("https://docs.google.com/spreadsheets/d/1MK8jjBimuukaps6UN5jD9TYDvLEPVEgP", "RE-61.07041145833334")</f>
        <v>RE-61.07041145833334</v>
      </c>
      <c r="V566" s="44" t="str">
        <f>HYPERLINK("https://docs.google.com/spreadsheets/d/19Cj--xxwPg2UyJ1EjoCJn6RuuWj8QGQ3", "RE-2.6382604166666668")</f>
        <v>RE-2.6382604166666668</v>
      </c>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43"/>
      <c r="BR566" s="43"/>
      <c r="BS566" s="43"/>
      <c r="BT566" s="43"/>
      <c r="BU566" s="43"/>
      <c r="BV566" s="43"/>
      <c r="BW566" s="43"/>
      <c r="BX566" s="43"/>
      <c r="BY566" s="43"/>
      <c r="BZ566" s="43"/>
      <c r="CA566" s="43"/>
      <c r="CB566" s="43"/>
      <c r="CC566" s="43"/>
      <c r="CD566" s="43"/>
      <c r="CE566" s="43"/>
      <c r="CF566" s="43"/>
      <c r="CG566" s="43"/>
      <c r="CH566" s="43"/>
      <c r="CI566" s="43"/>
      <c r="CJ566" s="43"/>
      <c r="CK566" s="43"/>
      <c r="CL566" s="43"/>
      <c r="CM566" s="43"/>
      <c r="CN566" s="43"/>
      <c r="CO566" s="43"/>
      <c r="CP566" s="43"/>
      <c r="CQ566" s="43"/>
      <c r="CR566" s="43"/>
      <c r="CS566" s="43"/>
      <c r="CT566" s="43"/>
      <c r="CU566" s="43"/>
      <c r="CV566" s="43"/>
      <c r="CW566" s="43"/>
      <c r="CX566" s="43"/>
      <c r="CY566" s="43"/>
      <c r="CZ566" s="43"/>
      <c r="DA566" s="43"/>
      <c r="DB566" s="43"/>
      <c r="DC566" s="43"/>
      <c r="DD566" s="43"/>
      <c r="DE566" s="43"/>
      <c r="DF566" s="43"/>
      <c r="DG566" s="43"/>
      <c r="DH566" s="43"/>
      <c r="DI566" s="43"/>
      <c r="DJ566" s="43"/>
      <c r="DK566" s="43"/>
      <c r="DL566" s="43"/>
      <c r="DM566" s="43"/>
      <c r="DN566" s="43"/>
      <c r="DO566" s="43"/>
      <c r="DP566" s="43"/>
      <c r="DQ566" s="43"/>
      <c r="DR566" s="43"/>
      <c r="DS566" s="43"/>
      <c r="DT566" s="43"/>
      <c r="DU566" s="43"/>
      <c r="DV566" s="43"/>
      <c r="DW566" s="43"/>
      <c r="DX566" s="43"/>
      <c r="DY566" s="43"/>
      <c r="DZ566" s="43"/>
      <c r="EA566" s="43"/>
      <c r="EB566" s="43"/>
      <c r="EC566" s="43"/>
      <c r="ED566" s="43"/>
      <c r="EE566" s="43"/>
      <c r="EF566" s="43"/>
      <c r="EG566" s="43"/>
      <c r="EH566" s="43"/>
      <c r="EI566" s="43"/>
      <c r="EJ566" s="43"/>
      <c r="EK566" s="43"/>
      <c r="EL566" s="43"/>
      <c r="EM566" s="43"/>
      <c r="EN566" s="43"/>
      <c r="EO566" s="43"/>
      <c r="EP566" s="43"/>
      <c r="EQ566" s="43"/>
      <c r="ER566" s="43"/>
      <c r="ES566" s="43"/>
      <c r="ET566" s="43"/>
      <c r="EU566" s="43"/>
      <c r="EV566" s="43"/>
      <c r="EW566" s="43"/>
      <c r="EX566" s="43"/>
      <c r="EY566" s="43"/>
      <c r="EZ566" s="43"/>
      <c r="FA566" s="43"/>
      <c r="FB566" s="43"/>
      <c r="FC566" s="43"/>
      <c r="FD566" s="43"/>
      <c r="FE566" s="43"/>
      <c r="FF566" s="43"/>
      <c r="FG566" s="43"/>
      <c r="FH566" s="43"/>
    </row>
    <row r="567">
      <c r="A567" s="42" t="s">
        <v>38</v>
      </c>
      <c r="B567" s="42" t="s">
        <v>96</v>
      </c>
      <c r="C567" s="42" t="s">
        <v>12</v>
      </c>
      <c r="D567" s="43">
        <f t="shared" si="1"/>
        <v>2135.675124</v>
      </c>
      <c r="E567" s="43"/>
      <c r="F567" s="44" t="str">
        <f>HYPERLINK("https://docs.google.com/spreadsheets/d/1UA5WAKpkk3OQ_gMbZtFsDX1LhPqOfwEX", "RE-228.46856875000006")</f>
        <v>RE-228.46856875000006</v>
      </c>
      <c r="G567" s="44" t="str">
        <f>HYPERLINK("https://docs.google.com/spreadsheets/d/1-6QnyS-XCPj6kFD7czZ8hkL0Uc2OdStc", "RE-1.63521875")</f>
        <v>RE-1.63521875</v>
      </c>
      <c r="H567" s="44" t="str">
        <f>HYPERLINK("https://docs.google.com/spreadsheets/d/1ewcM5J4B0CcE4dVMMJ4bzw1_dyOd1JnJ", "RE-15.10832291666667")</f>
        <v>RE-15.10832291666667</v>
      </c>
      <c r="I567" s="43"/>
      <c r="J567" s="44" t="str">
        <f>HYPERLINK("https://docs.google.com/spreadsheets/d/1S8WVNvHJ7tX9d-lFdyEhSSpNHz_GRhtF", "RE-354.50007812499973")</f>
        <v>RE-354.50007812499973</v>
      </c>
      <c r="K567" s="44" t="str">
        <f>HYPERLINK("https://docs.google.com/spreadsheets/d/1YNrgAuBWkvuCqMT_DsjQcIBlgT19jQBE", "RE-2.3900937499999997")</f>
        <v>RE-2.3900937499999997</v>
      </c>
      <c r="L567" s="44">
        <f>HYPERLINK("https://docs.google.com/spreadsheets/d/17cH6CDTaAowPBG6YXuTNjNMJoPRGyOtQ", 1178.12370729166)</f>
        <v>1178.123707</v>
      </c>
      <c r="M567" s="44" t="str">
        <f>HYPERLINK("https://docs.google.com/spreadsheets/d/1GyzyBSlBLDTMtsUbG4-OIY8W2Tk9LUBE", "RE-6.063977083333335")</f>
        <v>RE-6.063977083333335</v>
      </c>
      <c r="N567" s="44" t="str">
        <f>HYPERLINK("https://docs.google.com/spreadsheets/d/1aqnof_kAqmUpwffJUg5eZBx9MpXxvgw3", "RE-2521.993332291665")</f>
        <v>RE-2521.993332291665</v>
      </c>
      <c r="O567" s="44" t="str">
        <f>HYPERLINK("https://docs.google.com/spreadsheets/d/1nF1NksvIKgKpWAc1qe4HPLdEKMSVObm1", "RE-26.756446874999998")</f>
        <v>RE-26.756446874999998</v>
      </c>
      <c r="P567" s="44">
        <f>HYPERLINK("https://docs.google.com/spreadsheets/d/1EoEb9XKgcu6LL7GEomzCMI-GW7yfCwU-", 438.0918125)</f>
        <v>438.0918125</v>
      </c>
      <c r="Q567" s="44" t="str">
        <f>HYPERLINK("https://docs.google.com/spreadsheets/d/1Ou-lUAHyCk7LUZI2KuEDJ6ki_8W4VS_S", "RE-29.056454166666672")</f>
        <v>RE-29.056454166666672</v>
      </c>
      <c r="R567" s="44">
        <f>HYPERLINK("https://docs.google.com/spreadsheets/d/1DmodCaJENNO6gkYgDy_sAPynP531898I", 62.5300666666666)</f>
        <v>62.53006667</v>
      </c>
      <c r="S567" s="44" t="str">
        <f>HYPERLINK("https://docs.google.com/spreadsheets/d/142UAe135TgTu4GOpEMaP5yFJQpZ40Hyy", "RE-11.223871875000004")</f>
        <v>RE-11.223871875000004</v>
      </c>
      <c r="T567" s="44">
        <f>HYPERLINK("https://docs.google.com/spreadsheets/d/1ybJKqzQktZ_njwp-v1fiFGun1EWr0veK", 456.9295375)</f>
        <v>456.9295375</v>
      </c>
      <c r="U567" s="44" t="str">
        <f>HYPERLINK("https://docs.google.com/spreadsheets/d/1eOypAMq4_vX5NajvIfQ8fQtKcfWET2S2", "RE-31.495468749999997")</f>
        <v>RE-31.495468749999997</v>
      </c>
      <c r="V567" s="44" t="str">
        <f>HYPERLINK("https://docs.google.com/spreadsheets/d/1vXE5ATKF4TzzroLKzGSgg7BwjEeYaZIj", "RE-2.3422833333333335")</f>
        <v>RE-2.3422833333333335</v>
      </c>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43"/>
      <c r="BR567" s="43"/>
      <c r="BS567" s="43"/>
      <c r="BT567" s="43"/>
      <c r="BU567" s="43"/>
      <c r="BV567" s="43"/>
      <c r="BW567" s="43"/>
      <c r="BX567" s="43"/>
      <c r="BY567" s="43"/>
      <c r="BZ567" s="43"/>
      <c r="CA567" s="43"/>
      <c r="CB567" s="43"/>
      <c r="CC567" s="43"/>
      <c r="CD567" s="43"/>
      <c r="CE567" s="43"/>
      <c r="CF567" s="43"/>
      <c r="CG567" s="43"/>
      <c r="CH567" s="43"/>
      <c r="CI567" s="43"/>
      <c r="CJ567" s="43"/>
      <c r="CK567" s="43"/>
      <c r="CL567" s="43"/>
      <c r="CM567" s="43"/>
      <c r="CN567" s="43"/>
      <c r="CO567" s="43"/>
      <c r="CP567" s="43"/>
      <c r="CQ567" s="43"/>
      <c r="CR567" s="43"/>
      <c r="CS567" s="43"/>
      <c r="CT567" s="43"/>
      <c r="CU567" s="43"/>
      <c r="CV567" s="43"/>
      <c r="CW567" s="43"/>
      <c r="CX567" s="43"/>
      <c r="CY567" s="43"/>
      <c r="CZ567" s="43"/>
      <c r="DA567" s="43"/>
      <c r="DB567" s="43"/>
      <c r="DC567" s="43"/>
      <c r="DD567" s="43"/>
      <c r="DE567" s="43"/>
      <c r="DF567" s="43"/>
      <c r="DG567" s="43"/>
      <c r="DH567" s="43"/>
      <c r="DI567" s="43"/>
      <c r="DJ567" s="43"/>
      <c r="DK567" s="43"/>
      <c r="DL567" s="43"/>
      <c r="DM567" s="43"/>
      <c r="DN567" s="43"/>
      <c r="DO567" s="43"/>
      <c r="DP567" s="43"/>
      <c r="DQ567" s="43"/>
      <c r="DR567" s="43"/>
      <c r="DS567" s="43"/>
      <c r="DT567" s="43"/>
      <c r="DU567" s="43"/>
      <c r="DV567" s="43"/>
      <c r="DW567" s="43"/>
      <c r="DX567" s="43"/>
      <c r="DY567" s="43"/>
      <c r="DZ567" s="43"/>
      <c r="EA567" s="43"/>
      <c r="EB567" s="43"/>
      <c r="EC567" s="43"/>
      <c r="ED567" s="43"/>
      <c r="EE567" s="43"/>
      <c r="EF567" s="43"/>
      <c r="EG567" s="43"/>
      <c r="EH567" s="43"/>
      <c r="EI567" s="43"/>
      <c r="EJ567" s="43"/>
      <c r="EK567" s="43"/>
      <c r="EL567" s="43"/>
      <c r="EM567" s="43"/>
      <c r="EN567" s="43"/>
      <c r="EO567" s="43"/>
      <c r="EP567" s="43"/>
      <c r="EQ567" s="43"/>
      <c r="ER567" s="43"/>
      <c r="ES567" s="43"/>
      <c r="ET567" s="43"/>
      <c r="EU567" s="43"/>
      <c r="EV567" s="43"/>
      <c r="EW567" s="43"/>
      <c r="EX567" s="43"/>
      <c r="EY567" s="43"/>
      <c r="EZ567" s="43"/>
      <c r="FA567" s="43"/>
      <c r="FB567" s="43"/>
      <c r="FC567" s="43"/>
      <c r="FD567" s="43"/>
      <c r="FE567" s="43"/>
      <c r="FF567" s="43"/>
      <c r="FG567" s="43"/>
      <c r="FH567" s="43"/>
    </row>
    <row r="568">
      <c r="A568" s="42" t="s">
        <v>38</v>
      </c>
      <c r="B568" s="42" t="s">
        <v>96</v>
      </c>
      <c r="C568" s="42" t="s">
        <v>13</v>
      </c>
      <c r="D568" s="43">
        <f t="shared" si="1"/>
        <v>2024.8068</v>
      </c>
      <c r="E568" s="43"/>
      <c r="F568" s="44" t="str">
        <f>HYPERLINK("https://docs.google.com/spreadsheets/d/1Bj60_Db6zxAzITI53uPdU3_CLORqbkNV?usp=share_link", "RE-216.919")</f>
        <v>RE-216.919</v>
      </c>
      <c r="G568" s="44" t="str">
        <f>HYPERLINK("https://docs.google.com/spreadsheets/d/1vhITy7TCjzjp3VZoxaHJOfxvD89bCk3I?usp=share_link", "RE-1.57223")</f>
        <v>RE-1.57223</v>
      </c>
      <c r="H568" s="44" t="str">
        <f>HYPERLINK("https://docs.google.com/spreadsheets/d/1ts0xFJJd3QTBHJhuvWyLBFABAMJtThTb?usp=share_link", "RE-14.3971")</f>
        <v>RE-14.3971</v>
      </c>
      <c r="I568" s="43"/>
      <c r="J568" s="44" t="str">
        <f>HYPERLINK("https://docs.google.com/spreadsheets/d/1SAcEgRhRQEnOcVm7zlgrAiRGcFADNoGr?usp=share_link", "RE-340.293")</f>
        <v>RE-340.293</v>
      </c>
      <c r="K568" s="44" t="str">
        <f>HYPERLINK("https://docs.google.com/spreadsheets/d/1GV24KndjziD_Huu0vBM45ovGczjj88jE?usp=share_link", "RE-2.15872")</f>
        <v>RE-2.15872</v>
      </c>
      <c r="L568" s="44">
        <f>HYPERLINK("https://docs.google.com/spreadsheets/d/1KGsiaaxZ-1Y32JAjXXnsUysGkzydqrbO?usp=share_link", 1116.35)</f>
        <v>1116.35</v>
      </c>
      <c r="M568" s="44" t="str">
        <f>HYPERLINK("https://docs.google.com/spreadsheets/d/1BghQtPulx7d135hlcv2nRdvbGv4kXX6E?usp=share_link", "RE-5.49443")</f>
        <v>RE-5.49443</v>
      </c>
      <c r="N568" s="44" t="str">
        <f>HYPERLINK("https://docs.google.com/spreadsheets/d/19eQ-MJQunDJ6LMwykfP8-FHIy7NTwCzX?usp=share_link", "RE-2420.28")</f>
        <v>RE-2420.28</v>
      </c>
      <c r="O568" s="44" t="str">
        <f>HYPERLINK("https://docs.google.com/spreadsheets/d/1E0lfCqEH1rI7jZDT-_fcSBypfzUzoPiL?usp=share_link", "RE-25.496")</f>
        <v>RE-25.496</v>
      </c>
      <c r="P568" s="44">
        <f>HYPERLINK("https://docs.google.com/spreadsheets/d/1AT8ZCkWxgh3vPAS18dvs9Pelwy9_Z5To?usp=share_link", 413.766)</f>
        <v>413.766</v>
      </c>
      <c r="Q568" s="44" t="str">
        <f>HYPERLINK("https://docs.google.com/spreadsheets/d/1YNl7bpGEA429jBGnajRdnZ2T6JPCGDKV?usp=share_link", "RE-27.2884")</f>
        <v>RE-27.2884</v>
      </c>
      <c r="R568" s="44">
        <f>HYPERLINK("https://docs.google.com/spreadsheets/d/1Y0iVy03exIzWoNmfqY4oWZvaQUJ5DTAc?usp=share_link", 60.1498)</f>
        <v>60.1498</v>
      </c>
      <c r="S568" s="44" t="str">
        <f>HYPERLINK("https://docs.google.com/spreadsheets/d/1ErRXNNzkc6TuLZM3sulFUJBMVAtb52aU?usp=share_link", "RE-10.3636")</f>
        <v>RE-10.3636</v>
      </c>
      <c r="T568" s="44">
        <f>HYPERLINK("https://docs.google.com/spreadsheets/d/10L5d-TNc4oxjTOeN0TL_3lG5v4vctsi-?usp=share_link", 434.541)</f>
        <v>434.541</v>
      </c>
      <c r="U568" s="44" t="str">
        <f>HYPERLINK("https://docs.google.com/spreadsheets/d/1aWH4NwFgk5PMV5A5IRl47oGdbT3VsiXX?usp=share_link", "RE-29.3558")</f>
        <v>RE-29.3558</v>
      </c>
      <c r="V568" s="44" t="str">
        <f>HYPERLINK("https://docs.google.com/spreadsheets/d/1ouIAAR45svhWgQgmWQcNr7S03zjiMHoD?usp=share_link", "RE-2.09725")</f>
        <v>RE-2.09725</v>
      </c>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43"/>
      <c r="BR568" s="43"/>
      <c r="BS568" s="43"/>
      <c r="BT568" s="43"/>
      <c r="BU568" s="43"/>
      <c r="BV568" s="43"/>
      <c r="BW568" s="43"/>
      <c r="BX568" s="43"/>
      <c r="BY568" s="43"/>
      <c r="BZ568" s="43"/>
      <c r="CA568" s="43"/>
      <c r="CB568" s="43"/>
      <c r="CC568" s="43"/>
      <c r="CD568" s="43"/>
      <c r="CE568" s="43"/>
      <c r="CF568" s="43"/>
      <c r="CG568" s="43"/>
      <c r="CH568" s="43"/>
      <c r="CI568" s="43"/>
      <c r="CJ568" s="43"/>
      <c r="CK568" s="43"/>
      <c r="CL568" s="43"/>
      <c r="CM568" s="43"/>
      <c r="CN568" s="43"/>
      <c r="CO568" s="43"/>
      <c r="CP568" s="43"/>
      <c r="CQ568" s="43"/>
      <c r="CR568" s="43"/>
      <c r="CS568" s="43"/>
      <c r="CT568" s="43"/>
      <c r="CU568" s="43"/>
      <c r="CV568" s="43"/>
      <c r="CW568" s="43"/>
      <c r="CX568" s="43"/>
      <c r="CY568" s="43"/>
      <c r="CZ568" s="43"/>
      <c r="DA568" s="43"/>
      <c r="DB568" s="43"/>
      <c r="DC568" s="43"/>
      <c r="DD568" s="43"/>
      <c r="DE568" s="43"/>
      <c r="DF568" s="43"/>
      <c r="DG568" s="43"/>
      <c r="DH568" s="43"/>
      <c r="DI568" s="43"/>
      <c r="DJ568" s="43"/>
      <c r="DK568" s="43"/>
      <c r="DL568" s="43"/>
      <c r="DM568" s="43"/>
      <c r="DN568" s="43"/>
      <c r="DO568" s="43"/>
      <c r="DP568" s="43"/>
      <c r="DQ568" s="43"/>
      <c r="DR568" s="43"/>
      <c r="DS568" s="43"/>
      <c r="DT568" s="43"/>
      <c r="DU568" s="43"/>
      <c r="DV568" s="43"/>
      <c r="DW568" s="43"/>
      <c r="DX568" s="43"/>
      <c r="DY568" s="43"/>
      <c r="DZ568" s="43"/>
      <c r="EA568" s="43"/>
      <c r="EB568" s="43"/>
      <c r="EC568" s="43"/>
      <c r="ED568" s="43"/>
      <c r="EE568" s="43"/>
      <c r="EF568" s="43"/>
      <c r="EG568" s="43"/>
      <c r="EH568" s="43"/>
      <c r="EI568" s="43"/>
      <c r="EJ568" s="43"/>
      <c r="EK568" s="43"/>
      <c r="EL568" s="43"/>
      <c r="EM568" s="43"/>
      <c r="EN568" s="43"/>
      <c r="EO568" s="43"/>
      <c r="EP568" s="43"/>
      <c r="EQ568" s="43"/>
      <c r="ER568" s="43"/>
      <c r="ES568" s="43"/>
      <c r="ET568" s="43"/>
      <c r="EU568" s="43"/>
      <c r="EV568" s="43"/>
      <c r="EW568" s="43"/>
      <c r="EX568" s="43"/>
      <c r="EY568" s="43"/>
      <c r="EZ568" s="43"/>
      <c r="FA568" s="43"/>
      <c r="FB568" s="43"/>
      <c r="FC568" s="43"/>
      <c r="FD568" s="43"/>
      <c r="FE568" s="43"/>
      <c r="FF568" s="43"/>
      <c r="FG568" s="43"/>
      <c r="FH568" s="43"/>
    </row>
    <row r="569">
      <c r="A569" s="42" t="s">
        <v>38</v>
      </c>
      <c r="B569" s="42" t="s">
        <v>96</v>
      </c>
      <c r="C569" s="42" t="s">
        <v>14</v>
      </c>
      <c r="D569" s="43">
        <f t="shared" si="1"/>
        <v>1771.6037</v>
      </c>
      <c r="E569" s="43"/>
      <c r="F569" s="44" t="str">
        <f>HYPERLINK("https://docs.google.com/spreadsheets/d/1l5mAcHOm4EAVuk_XToNbHe_hgEti9EqT?usp=share_link", "RE-194.414")</f>
        <v>RE-194.414</v>
      </c>
      <c r="G569" s="44" t="str">
        <f>HYPERLINK("https://docs.google.com/spreadsheets/d/163JXYsaGFOboOHCGhKsSZfJ31cRcUTzU?usp=share_link", "RE-1.57223")</f>
        <v>RE-1.57223</v>
      </c>
      <c r="H569" s="44" t="str">
        <f>HYPERLINK("https://docs.google.com/spreadsheets/d/1BlSVE3SK6ChbfslLQj9oserJEWGMLlPl?usp=share_link", "RE-8.28317")</f>
        <v>RE-8.28317</v>
      </c>
      <c r="I569" s="43"/>
      <c r="J569" s="44" t="str">
        <f>HYPERLINK("https://docs.google.com/spreadsheets/d/1n_TrpqcTNZoHxhLmSyzmIl5DylfmUKcn?usp=share_link", "RE-314.782")</f>
        <v>RE-314.782</v>
      </c>
      <c r="K569" s="44" t="str">
        <f>HYPERLINK("https://docs.google.com/spreadsheets/d/1Qw80LRi39_o-Sh1YnxZLOMlDzoq49NPJ?usp=share_link", "RE-2.0818")</f>
        <v>RE-2.0818</v>
      </c>
      <c r="L569" s="44">
        <f>HYPERLINK("https://docs.google.com/spreadsheets/d/1pxpR6bAEEFFGn_JGQj19Uv8N7qvsWSjs?usp=share_link", 990.293)</f>
        <v>990.293</v>
      </c>
      <c r="M569" s="44" t="str">
        <f>HYPERLINK("https://docs.google.com/spreadsheets/d/1TMIgiEy72i1FEwHaySUtiW1rysXve7os?usp=share_link", "RE-4.61417")</f>
        <v>RE-4.61417</v>
      </c>
      <c r="N569" s="44" t="str">
        <f>HYPERLINK("https://docs.google.com/spreadsheets/d/1hBu6HKYaucaOdSqmeXYSkorvN0IKhQVu?usp=share_link", "RE-2172.76")</f>
        <v>RE-2172.76</v>
      </c>
      <c r="O569" s="44" t="str">
        <f>HYPERLINK("https://docs.google.com/spreadsheets/d/1KAlq9grGAbh3W3_G11n1K8t-nXHWYWD0?usp=share_link", "RE-23.474")</f>
        <v>RE-23.474</v>
      </c>
      <c r="P569" s="44">
        <f>HYPERLINK("https://docs.google.com/spreadsheets/d/1XeJBt4rD9B67zEd-Ul30H7NcIC9SkRK-?usp=share_link", 355.906)</f>
        <v>355.906</v>
      </c>
      <c r="Q569" s="44" t="str">
        <f>HYPERLINK("https://docs.google.com/spreadsheets/d/12TAd_goA7q6eQrhIM26mY4GP7n8znfkY?usp=share_link", "RE-23.2924")</f>
        <v>RE-23.2924</v>
      </c>
      <c r="R569" s="44">
        <f>HYPERLINK("https://docs.google.com/spreadsheets/d/1Z-ZNBGXbwtYaeEcUiTQi1MkIvDpzjnGT?usp=share_link", 51.4017)</f>
        <v>51.4017</v>
      </c>
      <c r="S569" s="44" t="str">
        <f>HYPERLINK("https://docs.google.com/spreadsheets/d/1iC2liNL3JhLnvuUcka_A4s_8YFzBB48K?usp=share_link", "RE-9.18395")</f>
        <v>RE-9.18395</v>
      </c>
      <c r="T569" s="44">
        <f>HYPERLINK("https://docs.google.com/spreadsheets/d/16Xqj2TbIGgIgp4-dNHkP1v1aX2-CvzHt?usp=share_link", 374.003)</f>
        <v>374.003</v>
      </c>
      <c r="U569" s="44" t="str">
        <f>HYPERLINK("https://docs.google.com/spreadsheets/d/1Pbtbfx0AJx7ommUhiNOcvfPBadTFp6ks?usp=share_link", "RE-26.1504")</f>
        <v>RE-26.1504</v>
      </c>
      <c r="V569" s="44" t="str">
        <f>HYPERLINK("https://docs.google.com/spreadsheets/d/1W_tp4y8c6Vf7VIuDOJakLFSIITo9_kUn?usp=share_link", "RE-1.58782")</f>
        <v>RE-1.58782</v>
      </c>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43"/>
      <c r="BR569" s="43"/>
      <c r="BS569" s="43"/>
      <c r="BT569" s="43"/>
      <c r="BU569" s="43"/>
      <c r="BV569" s="43"/>
      <c r="BW569" s="43"/>
      <c r="BX569" s="43"/>
      <c r="BY569" s="43"/>
      <c r="BZ569" s="43"/>
      <c r="CA569" s="43"/>
      <c r="CB569" s="43"/>
      <c r="CC569" s="43"/>
      <c r="CD569" s="43"/>
      <c r="CE569" s="43"/>
      <c r="CF569" s="43"/>
      <c r="CG569" s="43"/>
      <c r="CH569" s="43"/>
      <c r="CI569" s="43"/>
      <c r="CJ569" s="43"/>
      <c r="CK569" s="43"/>
      <c r="CL569" s="43"/>
      <c r="CM569" s="43"/>
      <c r="CN569" s="43"/>
      <c r="CO569" s="43"/>
      <c r="CP569" s="43"/>
      <c r="CQ569" s="43"/>
      <c r="CR569" s="43"/>
      <c r="CS569" s="4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c r="DP569" s="43"/>
      <c r="DQ569" s="43"/>
      <c r="DR569" s="43"/>
      <c r="DS569" s="43"/>
      <c r="DT569" s="43"/>
      <c r="DU569" s="43"/>
      <c r="DV569" s="43"/>
      <c r="DW569" s="43"/>
      <c r="DX569" s="43"/>
      <c r="DY569" s="43"/>
      <c r="DZ569" s="43"/>
      <c r="EA569" s="43"/>
      <c r="EB569" s="43"/>
      <c r="EC569" s="43"/>
      <c r="ED569" s="43"/>
      <c r="EE569" s="43"/>
      <c r="EF569" s="43"/>
      <c r="EG569" s="43"/>
      <c r="EH569" s="43"/>
      <c r="EI569" s="43"/>
      <c r="EJ569" s="43"/>
      <c r="EK569" s="43"/>
      <c r="EL569" s="43"/>
      <c r="EM569" s="43"/>
      <c r="EN569" s="43"/>
      <c r="EO569" s="43"/>
      <c r="EP569" s="43"/>
      <c r="EQ569" s="43"/>
      <c r="ER569" s="43"/>
      <c r="ES569" s="43"/>
      <c r="ET569" s="43"/>
      <c r="EU569" s="43"/>
      <c r="EV569" s="43"/>
      <c r="EW569" s="43"/>
      <c r="EX569" s="43"/>
      <c r="EY569" s="43"/>
      <c r="EZ569" s="43"/>
      <c r="FA569" s="43"/>
      <c r="FB569" s="43"/>
      <c r="FC569" s="43"/>
      <c r="FD569" s="43"/>
      <c r="FE569" s="43"/>
      <c r="FF569" s="43"/>
      <c r="FG569" s="43"/>
      <c r="FH569" s="43"/>
    </row>
    <row r="570">
      <c r="A570" s="35" t="s">
        <v>38</v>
      </c>
      <c r="B570" s="35" t="s">
        <v>96</v>
      </c>
      <c r="C570" s="35" t="s">
        <v>15</v>
      </c>
      <c r="D570" s="36">
        <f t="shared" si="1"/>
        <v>2020.2568</v>
      </c>
      <c r="E570" s="36"/>
      <c r="F570" s="37" t="str">
        <f>HYPERLINK("https://docs.google.com/spreadsheets/d/18xdf8Pwb21s2YIacD4Xs5ldKd_XdFusL?usp=share_link", "RE-216.894")</f>
        <v>RE-216.894</v>
      </c>
      <c r="G570" s="37" t="str">
        <f>HYPERLINK("https://docs.google.com/spreadsheets/d/1Nb7ezbCOBaqv4PQiYPcy4k1QbNL56b_C?usp=share_link", "RE-1.57223")</f>
        <v>RE-1.57223</v>
      </c>
      <c r="H570" s="37" t="str">
        <f>HYPERLINK("https://docs.google.com/spreadsheets/d/1Afx3wcfFACFO6MWZLwqJZGOba7V6W4ab?usp=share_link", "RE-14.3971")</f>
        <v>RE-14.3971</v>
      </c>
      <c r="I570" s="36"/>
      <c r="J570" s="37" t="str">
        <f>HYPERLINK("https://docs.google.com/spreadsheets/d/11wTiZbDj5MuSXXMH2O_eUtX0sUmf8wVB?usp=share_link", "RE-340.293")</f>
        <v>RE-340.293</v>
      </c>
      <c r="K570" s="37" t="str">
        <f>HYPERLINK("https://docs.google.com/spreadsheets/d/16Gk_bo6RCT3CGPBuqx-Ui-dzZehcywHL?usp=share_link", "RE-2.0818")</f>
        <v>RE-2.0818</v>
      </c>
      <c r="L570" s="37">
        <f>HYPERLINK("https://docs.google.com/spreadsheets/d/1rvqiHy_fbRIam0nIh9tgR2yZ702cuahy?usp=share_link", 1112.19)</f>
        <v>1112.19</v>
      </c>
      <c r="M570" s="37" t="str">
        <f>HYPERLINK("https://docs.google.com/spreadsheets/d/1j5htl3w1owl7e74V14d-twK8ySY8sdan?usp=share_link", "RE-5.49443")</f>
        <v>RE-5.49443</v>
      </c>
      <c r="N570" s="37" t="str">
        <f>HYPERLINK("https://docs.google.com/spreadsheets/d/1O4Wi1rLZ00vvGQ7goIJFBIf_3jrDTz3_?usp=share_link", "RE-2420.28")</f>
        <v>RE-2420.28</v>
      </c>
      <c r="O570" s="37" t="str">
        <f>HYPERLINK("https://docs.google.com/spreadsheets/d/1OEyxskShVh-TZCrxIAhrHrbsLz7uQSNG?usp=share_link", "RE-25.496")</f>
        <v>RE-25.496</v>
      </c>
      <c r="P570" s="37">
        <f>HYPERLINK("https://docs.google.com/spreadsheets/d/1_V1ZJHZ1ooEvyUgL8VM3UnyhGHo3fM_M?usp=share_link", 413.461)</f>
        <v>413.461</v>
      </c>
      <c r="Q570" s="37" t="str">
        <f>HYPERLINK("https://docs.google.com/spreadsheets/d/1G-GyaYu5xlG0fI8xPGq2_UaCR5KvQxEW?usp=share_link", "RE-27.2369")</f>
        <v>RE-27.2369</v>
      </c>
      <c r="R570" s="37">
        <f>HYPERLINK("https://docs.google.com/spreadsheets/d/1K2ON4_f5pz3UUH2P1lwXZVwBRNvJUVgI?usp=share_link", 60.1498)</f>
        <v>60.1498</v>
      </c>
      <c r="S570" s="37" t="str">
        <f>HYPERLINK("https://docs.google.com/spreadsheets/d/16-xJ0QVGUlOvE6jCpl_fJRBycllGC7Me?usp=share_link", "RE-10.2157")</f>
        <v>RE-10.2157</v>
      </c>
      <c r="T570" s="37">
        <f>HYPERLINK("https://docs.google.com/spreadsheets/d/12LrYLJ1wrD2H3aR7C0dsfFa1n9P7_wvX?usp=share_link", 434.456)</f>
        <v>434.456</v>
      </c>
      <c r="U570" s="37" t="str">
        <f>HYPERLINK("https://docs.google.com/spreadsheets/d/1EjzBjgHB66yHMQHce51NXtDyA_Z8RMH8?usp=share_link", "RE-29.0177")</f>
        <v>RE-29.0177</v>
      </c>
      <c r="V570" s="37" t="str">
        <f>HYPERLINK("https://docs.google.com/spreadsheets/d/1vtVhlo6JaptzKENswttRMoDEerq25v9D?usp=share_link", "RE-2.09725")</f>
        <v>RE-2.09725</v>
      </c>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6"/>
      <c r="AZ570" s="36"/>
      <c r="BA570" s="36"/>
      <c r="BB570" s="36"/>
      <c r="BC570" s="36"/>
      <c r="BD570" s="36"/>
      <c r="BE570" s="36"/>
      <c r="BF570" s="36"/>
      <c r="BG570" s="36"/>
      <c r="BH570" s="36"/>
      <c r="BI570" s="36"/>
      <c r="BJ570" s="36"/>
      <c r="BK570" s="36"/>
      <c r="BL570" s="36"/>
      <c r="BM570" s="36"/>
      <c r="BN570" s="36"/>
      <c r="BO570" s="36"/>
      <c r="BP570" s="36"/>
      <c r="BQ570" s="36"/>
      <c r="BR570" s="36"/>
      <c r="BS570" s="36"/>
      <c r="BT570" s="36"/>
      <c r="BU570" s="36"/>
      <c r="BV570" s="36"/>
      <c r="BW570" s="36"/>
      <c r="BX570" s="36"/>
      <c r="BY570" s="36"/>
      <c r="BZ570" s="36"/>
      <c r="CA570" s="36"/>
      <c r="CB570" s="36"/>
      <c r="CC570" s="36"/>
      <c r="CD570" s="36"/>
      <c r="CE570" s="36"/>
      <c r="CF570" s="36"/>
      <c r="CG570" s="36"/>
      <c r="CH570" s="36"/>
      <c r="CI570" s="36"/>
      <c r="CJ570" s="36"/>
      <c r="CK570" s="36"/>
      <c r="CL570" s="36"/>
      <c r="CM570" s="36"/>
      <c r="CN570" s="36"/>
      <c r="CO570" s="36"/>
      <c r="CP570" s="36"/>
      <c r="CQ570" s="36"/>
      <c r="CR570" s="36"/>
      <c r="CS570" s="36"/>
      <c r="CT570" s="36"/>
      <c r="CU570" s="36"/>
      <c r="CV570" s="36"/>
      <c r="CW570" s="36"/>
      <c r="CX570" s="36"/>
      <c r="CY570" s="36"/>
      <c r="CZ570" s="36"/>
      <c r="DA570" s="36"/>
      <c r="DB570" s="36"/>
      <c r="DC570" s="36"/>
      <c r="DD570" s="36"/>
      <c r="DE570" s="36"/>
      <c r="DF570" s="36"/>
      <c r="DG570" s="36"/>
      <c r="DH570" s="36"/>
      <c r="DI570" s="36"/>
      <c r="DJ570" s="36"/>
      <c r="DK570" s="36"/>
      <c r="DL570" s="36"/>
      <c r="DM570" s="36"/>
      <c r="DN570" s="36"/>
      <c r="DO570" s="36"/>
      <c r="DP570" s="36"/>
      <c r="DQ570" s="36"/>
      <c r="DR570" s="36"/>
      <c r="DS570" s="36"/>
      <c r="DT570" s="36"/>
      <c r="DU570" s="36"/>
      <c r="DV570" s="36"/>
      <c r="DW570" s="36"/>
      <c r="DX570" s="36"/>
      <c r="DY570" s="36"/>
      <c r="DZ570" s="36"/>
      <c r="EA570" s="36"/>
      <c r="EB570" s="36"/>
      <c r="EC570" s="36"/>
      <c r="ED570" s="36"/>
      <c r="EE570" s="36"/>
      <c r="EF570" s="36"/>
      <c r="EG570" s="36"/>
      <c r="EH570" s="36"/>
      <c r="EI570" s="36"/>
      <c r="EJ570" s="36"/>
      <c r="EK570" s="36"/>
      <c r="EL570" s="36"/>
      <c r="EM570" s="36"/>
      <c r="EN570" s="36"/>
      <c r="EO570" s="36"/>
      <c r="EP570" s="36"/>
      <c r="EQ570" s="36"/>
      <c r="ER570" s="36"/>
      <c r="ES570" s="36"/>
      <c r="ET570" s="36"/>
      <c r="EU570" s="36"/>
      <c r="EV570" s="36"/>
      <c r="EW570" s="36"/>
      <c r="EX570" s="36"/>
      <c r="EY570" s="36"/>
      <c r="EZ570" s="36"/>
      <c r="FA570" s="36"/>
      <c r="FB570" s="36"/>
      <c r="FC570" s="36"/>
      <c r="FD570" s="36"/>
      <c r="FE570" s="36"/>
      <c r="FF570" s="36"/>
      <c r="FG570" s="36"/>
      <c r="FH570" s="36"/>
    </row>
    <row r="571">
      <c r="A571" s="45" t="s">
        <v>38</v>
      </c>
      <c r="B571" s="45" t="s">
        <v>97</v>
      </c>
      <c r="C571" s="46" t="str">
        <f>HYPERLINK("https://docs.google.com/spreadsheets/d/1PBNCsr3G7uHwmgSql34tGQpZ3Vu9IehH/edit?usp=share_link&amp;ouid=106501987799020758802&amp;rtpof=true&amp;sd=true", "Raw Delivered")</f>
        <v>Raw Delivered</v>
      </c>
      <c r="D571" s="40">
        <f t="shared" si="1"/>
        <v>5945.482132</v>
      </c>
      <c r="E571" s="40"/>
      <c r="F571" s="41">
        <f>HYPERLINK("https://docs.google.com/spreadsheets/d/17U6aztoK7rNhulWp77v28VAz8GWpSENE", 1227.81565624999)</f>
        <v>1227.815656</v>
      </c>
      <c r="G571" s="40"/>
      <c r="H571" s="41">
        <f>HYPERLINK("https://docs.google.com/spreadsheets/d/1higEYsd3cgX30UmwPpkpqxghkFWLAyaD", 71.1955375)</f>
        <v>71.1955375</v>
      </c>
      <c r="I571" s="40"/>
      <c r="J571" s="41">
        <f>HYPERLINK("https://docs.google.com/spreadsheets/d/1eZ52IedDtsOiyIbHnNGT8KoQLWqVH3ne", 1169.316421875)</f>
        <v>1169.316422</v>
      </c>
      <c r="K571" s="40"/>
      <c r="L571" s="41">
        <f t="shared" ref="L571:L572" si="286">HYPERLINK("https://docs.google.com/spreadsheets/d/16DnHLU6RTEruzQ2-fTAekFJz9PezZYRL", 821.432991666664)</f>
        <v>821.4329917</v>
      </c>
      <c r="M571" s="40"/>
      <c r="N571" s="41">
        <f>HYPERLINK("https://docs.google.com/spreadsheets/d/1K6ofkuSEctOzPBgMqiLqfQ4KgwpJjqQI", 1817.15538541667)</f>
        <v>1817.155385</v>
      </c>
      <c r="O571" s="40"/>
      <c r="P571" s="41">
        <f t="shared" ref="P571:P572" si="287">HYPERLINK("https://docs.google.com/spreadsheets/d/1F4Yw_N_gYZxJx8tZ_QL1wfmEx3Y7KkQZ", 504.957894791666)</f>
        <v>504.9578948</v>
      </c>
      <c r="Q571" s="40"/>
      <c r="R571" s="41">
        <f t="shared" ref="R571:R572" si="288">HYPERLINK("https://docs.google.com/spreadsheets/d/1Kf9J_GtZu0nRtrvHCpg82urHuFsnl8ZV", 71.9369906249999)</f>
        <v>71.93699062</v>
      </c>
      <c r="S571" s="40"/>
      <c r="T571" s="41">
        <f t="shared" ref="T571:T572" si="289">HYPERLINK("https://docs.google.com/spreadsheets/d/1elQAYy4WiVmpWTHvUHO-7jsuv4sNPNss", 261.671254166666)</f>
        <v>261.6712542</v>
      </c>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0"/>
      <c r="FG571" s="40"/>
      <c r="FH571" s="40"/>
    </row>
    <row r="572">
      <c r="A572" s="47" t="s">
        <v>38</v>
      </c>
      <c r="B572" s="47" t="s">
        <v>97</v>
      </c>
      <c r="C572" s="47" t="s">
        <v>9</v>
      </c>
      <c r="D572" s="43">
        <f t="shared" si="1"/>
        <v>1659.999131</v>
      </c>
      <c r="E572" s="43"/>
      <c r="F572" s="44" t="str">
        <f>HYPERLINK("https://docs.google.com/spreadsheets/d/17U6aztoK7rNhulWp77v28VAz8GWpSENE", "RE-1227.8156562499994")</f>
        <v>RE-1227.8156562499994</v>
      </c>
      <c r="G572" s="43"/>
      <c r="H572" s="44" t="str">
        <f>HYPERLINK("https://docs.google.com/spreadsheets/d/1higEYsd3cgX30UmwPpkpqxghkFWLAyaD", "RE-71.19553750000004")</f>
        <v>RE-71.19553750000004</v>
      </c>
      <c r="I572" s="43"/>
      <c r="J572" s="44" t="str">
        <f>HYPERLINK("https://docs.google.com/spreadsheets/d/1eZ52IedDtsOiyIbHnNGT8KoQLWqVH3ne", "RE-1169.3164218750014")</f>
        <v>RE-1169.3164218750014</v>
      </c>
      <c r="K572" s="43"/>
      <c r="L572" s="44">
        <f t="shared" si="286"/>
        <v>821.4329917</v>
      </c>
      <c r="M572" s="43"/>
      <c r="N572" s="44" t="str">
        <f>HYPERLINK("https://docs.google.com/spreadsheets/d/1K6ofkuSEctOzPBgMqiLqfQ4KgwpJjqQI", "RE-1817.1553854166732")</f>
        <v>RE-1817.1553854166732</v>
      </c>
      <c r="O572" s="43"/>
      <c r="P572" s="44">
        <f t="shared" si="287"/>
        <v>504.9578948</v>
      </c>
      <c r="Q572" s="43"/>
      <c r="R572" s="44">
        <f t="shared" si="288"/>
        <v>71.93699062</v>
      </c>
      <c r="S572" s="43"/>
      <c r="T572" s="44">
        <f t="shared" si="289"/>
        <v>261.6712542</v>
      </c>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c r="BO572" s="43"/>
      <c r="BP572" s="43"/>
      <c r="BQ572" s="43"/>
      <c r="BR572" s="43"/>
      <c r="BS572" s="43"/>
      <c r="BT572" s="43"/>
      <c r="BU572" s="43"/>
      <c r="BV572" s="43"/>
      <c r="BW572" s="43"/>
      <c r="BX572" s="43"/>
      <c r="BY572" s="43"/>
      <c r="BZ572" s="43"/>
      <c r="CA572" s="43"/>
      <c r="CB572" s="43"/>
      <c r="CC572" s="43"/>
      <c r="CD572" s="43"/>
      <c r="CE572" s="43"/>
      <c r="CF572" s="43"/>
      <c r="CG572" s="43"/>
      <c r="CH572" s="43"/>
      <c r="CI572" s="43"/>
      <c r="CJ572" s="43"/>
      <c r="CK572" s="43"/>
      <c r="CL572" s="43"/>
      <c r="CM572" s="43"/>
      <c r="CN572" s="43"/>
      <c r="CO572" s="43"/>
      <c r="CP572" s="43"/>
      <c r="CQ572" s="43"/>
      <c r="CR572" s="43"/>
      <c r="CS572" s="43"/>
      <c r="CT572" s="43"/>
      <c r="CU572" s="43"/>
      <c r="CV572" s="43"/>
      <c r="CW572" s="43"/>
      <c r="CX572" s="43"/>
      <c r="CY572" s="43"/>
      <c r="CZ572" s="43"/>
      <c r="DA572" s="43"/>
      <c r="DB572" s="43"/>
      <c r="DC572" s="43"/>
      <c r="DD572" s="43"/>
      <c r="DE572" s="43"/>
      <c r="DF572" s="43"/>
      <c r="DG572" s="43"/>
      <c r="DH572" s="43"/>
      <c r="DI572" s="43"/>
      <c r="DJ572" s="43"/>
      <c r="DK572" s="43"/>
      <c r="DL572" s="43"/>
      <c r="DM572" s="43"/>
      <c r="DN572" s="43"/>
      <c r="DO572" s="43"/>
      <c r="DP572" s="43"/>
      <c r="DQ572" s="43"/>
      <c r="DR572" s="43"/>
      <c r="DS572" s="43"/>
      <c r="DT572" s="43"/>
      <c r="DU572" s="43"/>
      <c r="DV572" s="43"/>
      <c r="DW572" s="43"/>
      <c r="DX572" s="43"/>
      <c r="DY572" s="43"/>
      <c r="DZ572" s="43"/>
      <c r="EA572" s="43"/>
      <c r="EB572" s="43"/>
      <c r="EC572" s="43"/>
      <c r="ED572" s="43"/>
      <c r="EE572" s="43"/>
      <c r="EF572" s="43"/>
      <c r="EG572" s="43"/>
      <c r="EH572" s="43"/>
      <c r="EI572" s="43"/>
      <c r="EJ572" s="43"/>
      <c r="EK572" s="43"/>
      <c r="EL572" s="43"/>
      <c r="EM572" s="43"/>
      <c r="EN572" s="43"/>
      <c r="EO572" s="43"/>
      <c r="EP572" s="43"/>
      <c r="EQ572" s="43"/>
      <c r="ER572" s="43"/>
      <c r="ES572" s="43"/>
      <c r="ET572" s="43"/>
      <c r="EU572" s="43"/>
      <c r="EV572" s="43"/>
      <c r="EW572" s="43"/>
      <c r="EX572" s="43"/>
      <c r="EY572" s="43"/>
      <c r="EZ572" s="43"/>
      <c r="FA572" s="43"/>
      <c r="FB572" s="43"/>
      <c r="FC572" s="43"/>
      <c r="FD572" s="43"/>
      <c r="FE572" s="43"/>
      <c r="FF572" s="43"/>
      <c r="FG572" s="43"/>
      <c r="FH572" s="43"/>
    </row>
    <row r="573">
      <c r="A573" s="47" t="s">
        <v>38</v>
      </c>
      <c r="B573" s="47" t="s">
        <v>97</v>
      </c>
      <c r="C573" s="47" t="s">
        <v>10</v>
      </c>
      <c r="D573" s="43">
        <f t="shared" si="1"/>
        <v>699.5506406</v>
      </c>
      <c r="E573" s="43"/>
      <c r="F573" s="43"/>
      <c r="G573" s="44">
        <f>HYPERLINK("https://docs.google.com/spreadsheets/d/1zJyNtql2tJGEsn-PlMUYqhns1kIVtnYM", 145.817657291666)</f>
        <v>145.8176573</v>
      </c>
      <c r="H573" s="43"/>
      <c r="I573" s="44">
        <f>HYPERLINK("https://docs.google.com/spreadsheets/d/1xgIMKcObz0eT2uXME9-eduykvAP8pfeH", 15.6132416666666)</f>
        <v>15.61324167</v>
      </c>
      <c r="J573" s="43"/>
      <c r="K573" s="44">
        <f>HYPERLINK("https://docs.google.com/spreadsheets/d/1t3-oVAHr5UR3B2M4m2RGFNqAhv5qRyo9", 109.177561458333)</f>
        <v>109.1775615</v>
      </c>
      <c r="L573" s="43"/>
      <c r="M573" s="44">
        <f>HYPERLINK("https://docs.google.com/spreadsheets/d/1iPJ3kYp0lMm_Hn37g94yk1BtoB-mzb-L", 46.3976125)</f>
        <v>46.3976125</v>
      </c>
      <c r="N573" s="43"/>
      <c r="O573" s="44">
        <f>HYPERLINK("https://docs.google.com/spreadsheets/d/1uDiMWTR-uf28zAK2n2Wq_koK-bnGtoTo", 251.931991666666)</f>
        <v>251.9319917</v>
      </c>
      <c r="P573" s="43"/>
      <c r="Q573" s="44">
        <f>HYPERLINK("https://docs.google.com/spreadsheets/d/1TtkyvDrpDACjK5wcFtREUNn3br5G1ELM", 84.8228999999999)</f>
        <v>84.8229</v>
      </c>
      <c r="R573" s="43"/>
      <c r="S573" s="44">
        <f>HYPERLINK("https://docs.google.com/spreadsheets/d/17zxvDFt_nzzuZOQHvlLS4QRysDkizQnb", 15.5430416666666)</f>
        <v>15.54304167</v>
      </c>
      <c r="T573" s="43"/>
      <c r="U573" s="44">
        <f>HYPERLINK("https://docs.google.com/spreadsheets/d/1ZkQ505Zbyk4E0Gb5qkl-BHezcAsbapa4", 26.2448135416666)</f>
        <v>26.24481354</v>
      </c>
      <c r="V573" s="44">
        <f>HYPERLINK("https://docs.google.com/spreadsheets/d/1EC7IxwnLVXzAd2ZNwGqqc-IM2PgIPlFL", 4.00182083333333)</f>
        <v>4.001820833</v>
      </c>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c r="BO573" s="43"/>
      <c r="BP573" s="43"/>
      <c r="BQ573" s="43"/>
      <c r="BR573" s="43"/>
      <c r="BS573" s="43"/>
      <c r="BT573" s="43"/>
      <c r="BU573" s="43"/>
      <c r="BV573" s="43"/>
      <c r="BW573" s="43"/>
      <c r="BX573" s="43"/>
      <c r="BY573" s="43"/>
      <c r="BZ573" s="43"/>
      <c r="CA573" s="43"/>
      <c r="CB573" s="43"/>
      <c r="CC573" s="43"/>
      <c r="CD573" s="43"/>
      <c r="CE573" s="43"/>
      <c r="CF573" s="43"/>
      <c r="CG573" s="43"/>
      <c r="CH573" s="43"/>
      <c r="CI573" s="43"/>
      <c r="CJ573" s="43"/>
      <c r="CK573" s="43"/>
      <c r="CL573" s="43"/>
      <c r="CM573" s="43"/>
      <c r="CN573" s="43"/>
      <c r="CO573" s="43"/>
      <c r="CP573" s="43"/>
      <c r="CQ573" s="43"/>
      <c r="CR573" s="43"/>
      <c r="CS573" s="43"/>
      <c r="CT573" s="43"/>
      <c r="CU573" s="43"/>
      <c r="CV573" s="43"/>
      <c r="CW573" s="43"/>
      <c r="CX573" s="43"/>
      <c r="CY573" s="43"/>
      <c r="CZ573" s="43"/>
      <c r="DA573" s="43"/>
      <c r="DB573" s="43"/>
      <c r="DC573" s="43"/>
      <c r="DD573" s="43"/>
      <c r="DE573" s="43"/>
      <c r="DF573" s="43"/>
      <c r="DG573" s="43"/>
      <c r="DH573" s="43"/>
      <c r="DI573" s="43"/>
      <c r="DJ573" s="43"/>
      <c r="DK573" s="43"/>
      <c r="DL573" s="43"/>
      <c r="DM573" s="43"/>
      <c r="DN573" s="43"/>
      <c r="DO573" s="43"/>
      <c r="DP573" s="43"/>
      <c r="DQ573" s="43"/>
      <c r="DR573" s="43"/>
      <c r="DS573" s="43"/>
      <c r="DT573" s="43"/>
      <c r="DU573" s="43"/>
      <c r="DV573" s="43"/>
      <c r="DW573" s="43"/>
      <c r="DX573" s="43"/>
      <c r="DY573" s="43"/>
      <c r="DZ573" s="43"/>
      <c r="EA573" s="43"/>
      <c r="EB573" s="43"/>
      <c r="EC573" s="43"/>
      <c r="ED573" s="43"/>
      <c r="EE573" s="43"/>
      <c r="EF573" s="43"/>
      <c r="EG573" s="43"/>
      <c r="EH573" s="43"/>
      <c r="EI573" s="43"/>
      <c r="EJ573" s="43"/>
      <c r="EK573" s="43"/>
      <c r="EL573" s="43"/>
      <c r="EM573" s="43"/>
      <c r="EN573" s="43"/>
      <c r="EO573" s="43"/>
      <c r="EP573" s="43"/>
      <c r="EQ573" s="43"/>
      <c r="ER573" s="43"/>
      <c r="ES573" s="43"/>
      <c r="ET573" s="43"/>
      <c r="EU573" s="43"/>
      <c r="EV573" s="43"/>
      <c r="EW573" s="43"/>
      <c r="EX573" s="43"/>
      <c r="EY573" s="43"/>
      <c r="EZ573" s="43"/>
      <c r="FA573" s="43"/>
      <c r="FB573" s="43"/>
      <c r="FC573" s="43"/>
      <c r="FD573" s="43"/>
      <c r="FE573" s="43"/>
      <c r="FF573" s="43"/>
      <c r="FG573" s="43"/>
      <c r="FH573" s="43"/>
    </row>
    <row r="574">
      <c r="A574" s="47" t="s">
        <v>38</v>
      </c>
      <c r="B574" s="47" t="s">
        <v>97</v>
      </c>
      <c r="C574" s="47" t="s">
        <v>11</v>
      </c>
      <c r="D574" s="43">
        <f t="shared" si="1"/>
        <v>0</v>
      </c>
      <c r="E574" s="43"/>
      <c r="F574" s="43"/>
      <c r="G574" s="44" t="str">
        <f>HYPERLINK("https://docs.google.com/spreadsheets/d/1zJyNtql2tJGEsn-PlMUYqhns1kIVtnYM", "RE-145.81765729166668")</f>
        <v>RE-145.81765729166668</v>
      </c>
      <c r="H574" s="43"/>
      <c r="I574" s="44" t="str">
        <f>HYPERLINK("https://docs.google.com/spreadsheets/d/1xgIMKcObz0eT2uXME9-eduykvAP8pfeH", "RE-15.613241666666665")</f>
        <v>RE-15.613241666666665</v>
      </c>
      <c r="J574" s="43"/>
      <c r="K574" s="44" t="str">
        <f>HYPERLINK("https://docs.google.com/spreadsheets/d/1t3-oVAHr5UR3B2M4m2RGFNqAhv5qRyo9", "RE-109.17756145833337")</f>
        <v>RE-109.17756145833337</v>
      </c>
      <c r="L574" s="43"/>
      <c r="M574" s="44" t="str">
        <f>HYPERLINK("https://docs.google.com/spreadsheets/d/1iPJ3kYp0lMm_Hn37g94yk1BtoB-mzb-L", "RE-46.39761250000001")</f>
        <v>RE-46.39761250000001</v>
      </c>
      <c r="N574" s="43"/>
      <c r="O574" s="44" t="str">
        <f>HYPERLINK("https://docs.google.com/spreadsheets/d/1uDiMWTR-uf28zAK2n2Wq_koK-bnGtoTo", "RE-251.93199166666665")</f>
        <v>RE-251.93199166666665</v>
      </c>
      <c r="P574" s="43"/>
      <c r="Q574" s="44" t="str">
        <f>HYPERLINK("https://docs.google.com/spreadsheets/d/1TtkyvDrpDACjK5wcFtREUNn3br5G1ELM", "RE-84.82289999999999")</f>
        <v>RE-84.82289999999999</v>
      </c>
      <c r="R574" s="43"/>
      <c r="S574" s="44" t="str">
        <f>HYPERLINK("https://docs.google.com/spreadsheets/d/17zxvDFt_nzzuZOQHvlLS4QRysDkizQnb", "RE-15.543041666666666")</f>
        <v>RE-15.543041666666666</v>
      </c>
      <c r="T574" s="43"/>
      <c r="U574" s="44" t="str">
        <f>HYPERLINK("https://docs.google.com/spreadsheets/d/1ZkQ505Zbyk4E0Gb5qkl-BHezcAsbapa4", "RE-26.244813541666662")</f>
        <v>RE-26.244813541666662</v>
      </c>
      <c r="V574" s="44" t="str">
        <f>HYPERLINK("https://docs.google.com/spreadsheets/d/1EC7IxwnLVXzAd2ZNwGqqc-IM2PgIPlFL", "RE-4.001820833333333")</f>
        <v>RE-4.001820833333333</v>
      </c>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c r="BO574" s="43"/>
      <c r="BP574" s="43"/>
      <c r="BQ574" s="43"/>
      <c r="BR574" s="43"/>
      <c r="BS574" s="43"/>
      <c r="BT574" s="43"/>
      <c r="BU574" s="43"/>
      <c r="BV574" s="43"/>
      <c r="BW574" s="43"/>
      <c r="BX574" s="43"/>
      <c r="BY574" s="43"/>
      <c r="BZ574" s="43"/>
      <c r="CA574" s="43"/>
      <c r="CB574" s="43"/>
      <c r="CC574" s="43"/>
      <c r="CD574" s="43"/>
      <c r="CE574" s="43"/>
      <c r="CF574" s="43"/>
      <c r="CG574" s="43"/>
      <c r="CH574" s="43"/>
      <c r="CI574" s="43"/>
      <c r="CJ574" s="43"/>
      <c r="CK574" s="43"/>
      <c r="CL574" s="43"/>
      <c r="CM574" s="43"/>
      <c r="CN574" s="43"/>
      <c r="CO574" s="43"/>
      <c r="CP574" s="43"/>
      <c r="CQ574" s="43"/>
      <c r="CR574" s="43"/>
      <c r="CS574" s="43"/>
      <c r="CT574" s="43"/>
      <c r="CU574" s="43"/>
      <c r="CV574" s="43"/>
      <c r="CW574" s="43"/>
      <c r="CX574" s="43"/>
      <c r="CY574" s="43"/>
      <c r="CZ574" s="43"/>
      <c r="DA574" s="43"/>
      <c r="DB574" s="43"/>
      <c r="DC574" s="43"/>
      <c r="DD574" s="43"/>
      <c r="DE574" s="43"/>
      <c r="DF574" s="43"/>
      <c r="DG574" s="43"/>
      <c r="DH574" s="43"/>
      <c r="DI574" s="43"/>
      <c r="DJ574" s="43"/>
      <c r="DK574" s="43"/>
      <c r="DL574" s="43"/>
      <c r="DM574" s="43"/>
      <c r="DN574" s="43"/>
      <c r="DO574" s="43"/>
      <c r="DP574" s="43"/>
      <c r="DQ574" s="43"/>
      <c r="DR574" s="43"/>
      <c r="DS574" s="43"/>
      <c r="DT574" s="43"/>
      <c r="DU574" s="43"/>
      <c r="DV574" s="43"/>
      <c r="DW574" s="43"/>
      <c r="DX574" s="43"/>
      <c r="DY574" s="43"/>
      <c r="DZ574" s="43"/>
      <c r="EA574" s="43"/>
      <c r="EB574" s="43"/>
      <c r="EC574" s="43"/>
      <c r="ED574" s="43"/>
      <c r="EE574" s="43"/>
      <c r="EF574" s="43"/>
      <c r="EG574" s="43"/>
      <c r="EH574" s="43"/>
      <c r="EI574" s="43"/>
      <c r="EJ574" s="43"/>
      <c r="EK574" s="43"/>
      <c r="EL574" s="43"/>
      <c r="EM574" s="43"/>
      <c r="EN574" s="43"/>
      <c r="EO574" s="43"/>
      <c r="EP574" s="43"/>
      <c r="EQ574" s="43"/>
      <c r="ER574" s="43"/>
      <c r="ES574" s="43"/>
      <c r="ET574" s="43"/>
      <c r="EU574" s="43"/>
      <c r="EV574" s="43"/>
      <c r="EW574" s="43"/>
      <c r="EX574" s="43"/>
      <c r="EY574" s="43"/>
      <c r="EZ574" s="43"/>
      <c r="FA574" s="43"/>
      <c r="FB574" s="43"/>
      <c r="FC574" s="43"/>
      <c r="FD574" s="43"/>
      <c r="FE574" s="43"/>
      <c r="FF574" s="43"/>
      <c r="FG574" s="43"/>
      <c r="FH574" s="43"/>
    </row>
    <row r="575">
      <c r="A575" s="47" t="s">
        <v>38</v>
      </c>
      <c r="B575" s="47" t="s">
        <v>97</v>
      </c>
      <c r="C575" s="47" t="s">
        <v>12</v>
      </c>
      <c r="D575" s="43">
        <f t="shared" si="1"/>
        <v>1511.055576</v>
      </c>
      <c r="E575" s="43"/>
      <c r="F575" s="44" t="str">
        <f>HYPERLINK("https://docs.google.com/spreadsheets/d/1FysU48Wi1ez_BhIdzNk3i7EiWUJ3_lLW", "RE-943.1518906249987")</f>
        <v>RE-943.1518906249987</v>
      </c>
      <c r="G575" s="44" t="str">
        <f>HYPERLINK("https://docs.google.com/spreadsheets/d/1fDjeeeoA7PmBEI0J2wC4YNDNCoRoqwno", "RE-8.496166666666666")</f>
        <v>RE-8.496166666666666</v>
      </c>
      <c r="H575" s="44" t="str">
        <f>HYPERLINK("https://docs.google.com/spreadsheets/d/1zgM470a370-dMga7zSTsTlNEmsKr_xED", "RE-64.94640625000002")</f>
        <v>RE-64.94640625000002</v>
      </c>
      <c r="I575" s="44" t="str">
        <f>HYPERLINK("https://docs.google.com/spreadsheets/d/1TiFGCwn9u0O8AU2mUyAK2_2BeLYtgNNf", "RE-0.0")</f>
        <v>RE-0.0</v>
      </c>
      <c r="J575" s="44" t="str">
        <f>HYPERLINK("https://docs.google.com/spreadsheets/d/1db9EZb4F6bM8zi-X10s8fSISYD3na6pc", "RE-943.7167874999994")</f>
        <v>RE-943.7167874999994</v>
      </c>
      <c r="K575" s="44" t="str">
        <f>HYPERLINK("https://docs.google.com/spreadsheets/d/1cepRyxo5-sPnyQ7upSe-hiQ9xsQ8XDGB", "RE-7.870666666666667")</f>
        <v>RE-7.870666666666667</v>
      </c>
      <c r="L575" s="44">
        <f>HYPERLINK("https://docs.google.com/spreadsheets/d/1kkgQgTtcu30MMgHarRgY42dK1AFAWNQE", 762.624810416665)</f>
        <v>762.6248104</v>
      </c>
      <c r="M575" s="44" t="str">
        <f>HYPERLINK("https://docs.google.com/spreadsheets/d/1mZLEzKv644loq3E32r3rJ-puyseMD7qZ", "RE-13.927620833333329")</f>
        <v>RE-13.927620833333329</v>
      </c>
      <c r="N575" s="44" t="str">
        <f>HYPERLINK("https://docs.google.com/spreadsheets/d/1C1SUK2qeDXeVknHztGhULyA8_-LpT-I4", "RE-1268.6674750000013")</f>
        <v>RE-1268.6674750000013</v>
      </c>
      <c r="O575" s="44" t="str">
        <f>HYPERLINK("https://docs.google.com/spreadsheets/d/1G559_XT2droFCfr82votpd_jrhZSS63S", "RE-12.953824999999998")</f>
        <v>RE-12.953824999999998</v>
      </c>
      <c r="P575" s="44">
        <f>HYPERLINK("https://docs.google.com/spreadsheets/d/1CYAVR9FEDf_GIC_-a4Rieul8Ar59Rh4U", 456.390984375)</f>
        <v>456.3909844</v>
      </c>
      <c r="Q575" s="44" t="str">
        <f>HYPERLINK("https://docs.google.com/spreadsheets/d/1GIqHl6QwNck6sC-ZohiwFf_rjnwGVLz3", "RE-29.434349999999995")</f>
        <v>RE-29.434349999999995</v>
      </c>
      <c r="R575" s="44">
        <f>HYPERLINK("https://docs.google.com/spreadsheets/d/1cPxocMRPnfi4LDviwY1we5cuifcBpL7C", 52.9904458333333)</f>
        <v>52.99044583</v>
      </c>
      <c r="S575" s="44" t="str">
        <f>HYPERLINK("https://docs.google.com/spreadsheets/d/1CFvx81Qx3wkm6VxaX_z0q3gRpkkrvnzm", "RE-12.197641666666666")</f>
        <v>RE-12.197641666666666</v>
      </c>
      <c r="T575" s="44">
        <f>HYPERLINK("https://docs.google.com/spreadsheets/d/1X6jaFy0bHvtQMmwz7nNcx3PM0fnPqJL5", 239.049335416666)</f>
        <v>239.0493354</v>
      </c>
      <c r="U575" s="44" t="str">
        <f>HYPERLINK("https://docs.google.com/spreadsheets/d/1Gyz2uTgxTIMHq93DK-38u6LgqXGfrGxX", "RE-11.313967708333333")</f>
        <v>RE-11.313967708333333</v>
      </c>
      <c r="V575" s="44" t="str">
        <f>HYPERLINK("https://docs.google.com/spreadsheets/d/1qOkiHYZw-L6PmH2b2nrcyDSX-g8ahJci", "RE-2.66805625")</f>
        <v>RE-2.66805625</v>
      </c>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43"/>
      <c r="BR575" s="43"/>
      <c r="BS575" s="43"/>
      <c r="BT575" s="43"/>
      <c r="BU575" s="43"/>
      <c r="BV575" s="43"/>
      <c r="BW575" s="43"/>
      <c r="BX575" s="43"/>
      <c r="BY575" s="43"/>
      <c r="BZ575" s="43"/>
      <c r="CA575" s="43"/>
      <c r="CB575" s="43"/>
      <c r="CC575" s="43"/>
      <c r="CD575" s="43"/>
      <c r="CE575" s="43"/>
      <c r="CF575" s="43"/>
      <c r="CG575" s="43"/>
      <c r="CH575" s="43"/>
      <c r="CI575" s="43"/>
      <c r="CJ575" s="43"/>
      <c r="CK575" s="43"/>
      <c r="CL575" s="43"/>
      <c r="CM575" s="43"/>
      <c r="CN575" s="43"/>
      <c r="CO575" s="43"/>
      <c r="CP575" s="43"/>
      <c r="CQ575" s="43"/>
      <c r="CR575" s="43"/>
      <c r="CS575" s="43"/>
      <c r="CT575" s="43"/>
      <c r="CU575" s="43"/>
      <c r="CV575" s="43"/>
      <c r="CW575" s="43"/>
      <c r="CX575" s="43"/>
      <c r="CY575" s="43"/>
      <c r="CZ575" s="43"/>
      <c r="DA575" s="43"/>
      <c r="DB575" s="43"/>
      <c r="DC575" s="43"/>
      <c r="DD575" s="43"/>
      <c r="DE575" s="43"/>
      <c r="DF575" s="43"/>
      <c r="DG575" s="43"/>
      <c r="DH575" s="43"/>
      <c r="DI575" s="43"/>
      <c r="DJ575" s="43"/>
      <c r="DK575" s="43"/>
      <c r="DL575" s="43"/>
      <c r="DM575" s="43"/>
      <c r="DN575" s="43"/>
      <c r="DO575" s="43"/>
      <c r="DP575" s="43"/>
      <c r="DQ575" s="43"/>
      <c r="DR575" s="43"/>
      <c r="DS575" s="43"/>
      <c r="DT575" s="43"/>
      <c r="DU575" s="43"/>
      <c r="DV575" s="43"/>
      <c r="DW575" s="43"/>
      <c r="DX575" s="43"/>
      <c r="DY575" s="43"/>
      <c r="DZ575" s="43"/>
      <c r="EA575" s="43"/>
      <c r="EB575" s="43"/>
      <c r="EC575" s="43"/>
      <c r="ED575" s="43"/>
      <c r="EE575" s="43"/>
      <c r="EF575" s="43"/>
      <c r="EG575" s="43"/>
      <c r="EH575" s="43"/>
      <c r="EI575" s="43"/>
      <c r="EJ575" s="43"/>
      <c r="EK575" s="43"/>
      <c r="EL575" s="43"/>
      <c r="EM575" s="43"/>
      <c r="EN575" s="43"/>
      <c r="EO575" s="43"/>
      <c r="EP575" s="43"/>
      <c r="EQ575" s="43"/>
      <c r="ER575" s="43"/>
      <c r="ES575" s="43"/>
      <c r="ET575" s="43"/>
      <c r="EU575" s="43"/>
      <c r="EV575" s="43"/>
      <c r="EW575" s="43"/>
      <c r="EX575" s="43"/>
      <c r="EY575" s="43"/>
      <c r="EZ575" s="43"/>
      <c r="FA575" s="43"/>
      <c r="FB575" s="43"/>
      <c r="FC575" s="43"/>
      <c r="FD575" s="43"/>
      <c r="FE575" s="43"/>
      <c r="FF575" s="43"/>
      <c r="FG575" s="43"/>
      <c r="FH575" s="43"/>
    </row>
    <row r="576">
      <c r="A576" s="47" t="s">
        <v>38</v>
      </c>
      <c r="B576" s="47" t="s">
        <v>97</v>
      </c>
      <c r="C576" s="47" t="s">
        <v>13</v>
      </c>
      <c r="D576" s="43">
        <f t="shared" si="1"/>
        <v>1442.0179</v>
      </c>
      <c r="E576" s="43"/>
      <c r="F576" s="44" t="str">
        <f>HYPERLINK("https://docs.google.com/spreadsheets/d/1qGCbDY0wZIvhFAT3gIicVdSlQF9lMtk9?usp=share_link", "RE-906.355")</f>
        <v>RE-906.355</v>
      </c>
      <c r="G576" s="44" t="str">
        <f>HYPERLINK("https://docs.google.com/spreadsheets/d/1kOJWXrh7X_fyhTko8Ld1xDw9IAwnwF4j?usp=share_link", "RE-8.15045")</f>
        <v>RE-8.15045</v>
      </c>
      <c r="H576" s="44" t="str">
        <f>HYPERLINK("https://docs.google.com/spreadsheets/d/1cnpbazAzzjIuQRdPSn-F-NzBBMqVfEVG?usp=share_link", "RE-62.9228")</f>
        <v>RE-62.9228</v>
      </c>
      <c r="I576" s="43"/>
      <c r="J576" s="44" t="str">
        <f>HYPERLINK("https://docs.google.com/spreadsheets/d/1_gJUhXzlbhV3GPpK5TLcxN0-xaGnvQXg?usp=share_link", "RE-910.291")</f>
        <v>RE-910.291</v>
      </c>
      <c r="K576" s="44" t="str">
        <f>HYPERLINK("https://docs.google.com/spreadsheets/d/1fe9svNwxQdl2Y18Tv03qutuAXWD2q5HA?usp=share_link", "RE-7.58948")</f>
        <v>RE-7.58948</v>
      </c>
      <c r="L576" s="44">
        <f>HYPERLINK("https://docs.google.com/spreadsheets/d/1AvxOvzW8a9JB1wN2aP4tovMbsEmoT_dI?usp=share_link", 726.646)</f>
        <v>726.646</v>
      </c>
      <c r="M576" s="44" t="str">
        <f>HYPERLINK("https://docs.google.com/spreadsheets/d/1HQIsAvVQghYUhyPfbeSNen6lhygErF2v?usp=share_link", "RE-12.7052")</f>
        <v>RE-12.7052</v>
      </c>
      <c r="N576" s="44" t="str">
        <f>HYPERLINK("https://docs.google.com/spreadsheets/d/1Xjtv21-RbxlrcLshyKfx7RtFbdH9w6Wc?usp=share_link", "RE-1219.03")</f>
        <v>RE-1219.03</v>
      </c>
      <c r="O576" s="44" t="str">
        <f>HYPERLINK("https://docs.google.com/spreadsheets/d/1bshboOW1_XKHJnJG8L6YoJk5JxDTlEKM?usp=share_link", "RE-12.4538")</f>
        <v>RE-12.4538</v>
      </c>
      <c r="P576" s="44">
        <f>HYPERLINK("https://docs.google.com/spreadsheets/d/10wDE7OpbStVOG-wB7sY3Pn8C9BZIFqjK?usp=share_link", 435.662)</f>
        <v>435.662</v>
      </c>
      <c r="Q576" s="44" t="str">
        <f>HYPERLINK("https://docs.google.com/spreadsheets/d/1nb3M2hXEYA7HCSKFUlPC9UXIURJvrSjh?usp=share_link", "RE-27.8058")</f>
        <v>RE-27.8058</v>
      </c>
      <c r="R576" s="44">
        <f>HYPERLINK("https://docs.google.com/spreadsheets/d/1dmC3fZAj_Q1dYC3L7qxxosjX5z3IFYbH?usp=share_link", 51.0039)</f>
        <v>51.0039</v>
      </c>
      <c r="S576" s="44" t="str">
        <f>HYPERLINK("https://docs.google.com/spreadsheets/d/1ba-AJI66RY89NYYNVy8UGETNHjm0l841?usp=share_link", "RE-11.3768")</f>
        <v>RE-11.3768</v>
      </c>
      <c r="T576" s="44">
        <f>HYPERLINK("https://docs.google.com/spreadsheets/d/1hnPYkriWRePbUwOO2sBL2RP0ETvq7T6E?usp=share_link", 228.706)</f>
        <v>228.706</v>
      </c>
      <c r="U576" s="44" t="str">
        <f>HYPERLINK("https://docs.google.com/spreadsheets/d/1eD51yMFNBL1WM9rEiYmNZUSBu0fY8I_m?usp=share_link", "RE-10.4511")</f>
        <v>RE-10.4511</v>
      </c>
      <c r="V576" s="44" t="str">
        <f>HYPERLINK("https://docs.google.com/spreadsheets/d/1PFMCNuOJ8cZfWrPIbrL_mLQhJVPVkjip?usp=share_link", "RE-2.52437")</f>
        <v>RE-2.52437</v>
      </c>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43"/>
      <c r="BR576" s="43"/>
      <c r="BS576" s="43"/>
      <c r="BT576" s="43"/>
      <c r="BU576" s="43"/>
      <c r="BV576" s="43"/>
      <c r="BW576" s="43"/>
      <c r="BX576" s="43"/>
      <c r="BY576" s="43"/>
      <c r="BZ576" s="43"/>
      <c r="CA576" s="43"/>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c r="DP576" s="43"/>
      <c r="DQ576" s="43"/>
      <c r="DR576" s="43"/>
      <c r="DS576" s="43"/>
      <c r="DT576" s="43"/>
      <c r="DU576" s="43"/>
      <c r="DV576" s="43"/>
      <c r="DW576" s="43"/>
      <c r="DX576" s="43"/>
      <c r="DY576" s="43"/>
      <c r="DZ576" s="43"/>
      <c r="EA576" s="43"/>
      <c r="EB576" s="43"/>
      <c r="EC576" s="43"/>
      <c r="ED576" s="43"/>
      <c r="EE576" s="43"/>
      <c r="EF576" s="43"/>
      <c r="EG576" s="43"/>
      <c r="EH576" s="43"/>
      <c r="EI576" s="43"/>
      <c r="EJ576" s="43"/>
      <c r="EK576" s="43"/>
      <c r="EL576" s="43"/>
      <c r="EM576" s="43"/>
      <c r="EN576" s="43"/>
      <c r="EO576" s="43"/>
      <c r="EP576" s="43"/>
      <c r="EQ576" s="43"/>
      <c r="ER576" s="43"/>
      <c r="ES576" s="43"/>
      <c r="ET576" s="43"/>
      <c r="EU576" s="43"/>
      <c r="EV576" s="43"/>
      <c r="EW576" s="43"/>
      <c r="EX576" s="43"/>
      <c r="EY576" s="43"/>
      <c r="EZ576" s="43"/>
      <c r="FA576" s="43"/>
      <c r="FB576" s="43"/>
      <c r="FC576" s="43"/>
      <c r="FD576" s="43"/>
      <c r="FE576" s="43"/>
      <c r="FF576" s="43"/>
      <c r="FG576" s="43"/>
      <c r="FH576" s="43"/>
    </row>
    <row r="577">
      <c r="A577" s="47" t="s">
        <v>38</v>
      </c>
      <c r="B577" s="47" t="s">
        <v>97</v>
      </c>
      <c r="C577" s="47" t="s">
        <v>14</v>
      </c>
      <c r="D577" s="43">
        <f t="shared" si="1"/>
        <v>1258.4055</v>
      </c>
      <c r="E577" s="43"/>
      <c r="F577" s="44" t="str">
        <f>HYPERLINK("https://docs.google.com/spreadsheets/d/1g0EwTGAQlWM0OyBcTGubEOjsl90hsSo_?usp=share_link", "RE-809.362")</f>
        <v>RE-809.362</v>
      </c>
      <c r="G577" s="44" t="str">
        <f>HYPERLINK("https://docs.google.com/spreadsheets/d/1a7jOAaHGoAjxcXb31TbNL3bi7fsOaLsA?usp=share_link", "RE-7.81368")</f>
        <v>RE-7.81368</v>
      </c>
      <c r="H577" s="44" t="str">
        <f>HYPERLINK("https://docs.google.com/spreadsheets/d/15zF70f9Ibm5Yd4ktnbihAVl39QcVZGfO?usp=share_link", "RE-57.273")</f>
        <v>RE-57.273</v>
      </c>
      <c r="I577" s="43"/>
      <c r="J577" s="44" t="str">
        <f>HYPERLINK("https://docs.google.com/spreadsheets/d/1_uJnCc5Pdh6DAVcHNlI_Cr-O3gApZBAu?usp=share_link", "RE-846.003")</f>
        <v>RE-846.003</v>
      </c>
      <c r="K577" s="44" t="str">
        <f>HYPERLINK("https://docs.google.com/spreadsheets/d/1JroRlMP_r0gt1xdzmF0UDgw0asNBENml?usp=share_link", "RE-6.55502")</f>
        <v>RE-6.55502</v>
      </c>
      <c r="L577" s="44">
        <f>HYPERLINK("https://docs.google.com/spreadsheets/d/1f_Mc446jF7XYpYYDr1_iY382pQD1Bvnc?usp=share_link", 647.623)</f>
        <v>647.623</v>
      </c>
      <c r="M577" s="44" t="str">
        <f>HYPERLINK("https://docs.google.com/spreadsheets/d/1Vaj-IsC2zKfe-oO1Hfyk56Mh2uTRruK8?usp=share_link", "RE-10.4116")</f>
        <v>RE-10.4116</v>
      </c>
      <c r="N577" s="44" t="str">
        <f>HYPERLINK("https://docs.google.com/spreadsheets/d/1FYfWRRqPO_RlYALmKgVNH-vIU_5v2PM1?usp=share_link", "RE-1074.38")</f>
        <v>RE-1074.38</v>
      </c>
      <c r="O577" s="44" t="str">
        <f>HYPERLINK("https://docs.google.com/spreadsheets/d/1TkQtzTfEpnrrJt8-O_bszV8QmNiiCnMa?usp=share_link", "RE-11.4761")</f>
        <v>RE-11.4761</v>
      </c>
      <c r="P577" s="44">
        <f>HYPERLINK("https://docs.google.com/spreadsheets/d/16-iktkNd3KxTxL4zih_BY2i5siUcPSeJ?usp=share_link", 375.972)</f>
        <v>375.972</v>
      </c>
      <c r="Q577" s="44" t="str">
        <f>HYPERLINK("https://docs.google.com/spreadsheets/d/1bx6Z9ebTwpYjeXqpJzhKQhQWKymomDBQ?usp=share_link", "RE-26.2586")</f>
        <v>RE-26.2586</v>
      </c>
      <c r="R577" s="44">
        <f>HYPERLINK("https://docs.google.com/spreadsheets/d/1-_DIRBDpSM9lNLorWukH0RfiU6smLrWU?usp=share_link", 42.4325)</f>
        <v>42.4325</v>
      </c>
      <c r="S577" s="44" t="str">
        <f>HYPERLINK("https://docs.google.com/spreadsheets/d/1vKIOjUqu13dSpXAlTAxVVGPqeQknK5az?usp=share_link", "RE-10.5378")</f>
        <v>RE-10.5378</v>
      </c>
      <c r="T577" s="44">
        <f>HYPERLINK("https://docs.google.com/spreadsheets/d/1ho88qvNquUM5Io9svyw8MLfaAg_hl5ut?usp=share_link", 192.378)</f>
        <v>192.378</v>
      </c>
      <c r="U577" s="44" t="str">
        <f>HYPERLINK("https://docs.google.com/spreadsheets/d/1oIcpIOYnUzlQqiEf2_ziTHsRW8oiMii8?usp=share_link", "RE-9.28012")</f>
        <v>RE-9.28012</v>
      </c>
      <c r="V577" s="44" t="str">
        <f>HYPERLINK("https://docs.google.com/spreadsheets/d/1S6706sKU28Z2meVx2XkkLcXWKU9E7Qz8?usp=share_link", "RE-2.52437")</f>
        <v>RE-2.52437</v>
      </c>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43"/>
      <c r="BR577" s="43"/>
      <c r="BS577" s="43"/>
      <c r="BT577" s="43"/>
      <c r="BU577" s="43"/>
      <c r="BV577" s="43"/>
      <c r="BW577" s="43"/>
      <c r="BX577" s="43"/>
      <c r="BY577" s="43"/>
      <c r="BZ577" s="43"/>
      <c r="CA577" s="43"/>
      <c r="CB577" s="43"/>
      <c r="CC577" s="43"/>
      <c r="CD577" s="43"/>
      <c r="CE577" s="43"/>
      <c r="CF577" s="43"/>
      <c r="CG577" s="43"/>
      <c r="CH577" s="43"/>
      <c r="CI577" s="43"/>
      <c r="CJ577" s="43"/>
      <c r="CK577" s="43"/>
      <c r="CL577" s="43"/>
      <c r="CM577" s="43"/>
      <c r="CN577" s="43"/>
      <c r="CO577" s="43"/>
      <c r="CP577" s="43"/>
      <c r="CQ577" s="43"/>
      <c r="CR577" s="43"/>
      <c r="CS577" s="43"/>
      <c r="CT577" s="43"/>
      <c r="CU577" s="43"/>
      <c r="CV577" s="43"/>
      <c r="CW577" s="43"/>
      <c r="CX577" s="43"/>
      <c r="CY577" s="43"/>
      <c r="CZ577" s="43"/>
      <c r="DA577" s="43"/>
      <c r="DB577" s="43"/>
      <c r="DC577" s="43"/>
      <c r="DD577" s="43"/>
      <c r="DE577" s="43"/>
      <c r="DF577" s="43"/>
      <c r="DG577" s="43"/>
      <c r="DH577" s="43"/>
      <c r="DI577" s="43"/>
      <c r="DJ577" s="43"/>
      <c r="DK577" s="43"/>
      <c r="DL577" s="43"/>
      <c r="DM577" s="43"/>
      <c r="DN577" s="43"/>
      <c r="DO577" s="43"/>
      <c r="DP577" s="43"/>
      <c r="DQ577" s="43"/>
      <c r="DR577" s="43"/>
      <c r="DS577" s="43"/>
      <c r="DT577" s="43"/>
      <c r="DU577" s="43"/>
      <c r="DV577" s="43"/>
      <c r="DW577" s="43"/>
      <c r="DX577" s="43"/>
      <c r="DY577" s="43"/>
      <c r="DZ577" s="43"/>
      <c r="EA577" s="43"/>
      <c r="EB577" s="43"/>
      <c r="EC577" s="43"/>
      <c r="ED577" s="43"/>
      <c r="EE577" s="43"/>
      <c r="EF577" s="43"/>
      <c r="EG577" s="43"/>
      <c r="EH577" s="43"/>
      <c r="EI577" s="43"/>
      <c r="EJ577" s="43"/>
      <c r="EK577" s="43"/>
      <c r="EL577" s="43"/>
      <c r="EM577" s="43"/>
      <c r="EN577" s="43"/>
      <c r="EO577" s="43"/>
      <c r="EP577" s="43"/>
      <c r="EQ577" s="43"/>
      <c r="ER577" s="43"/>
      <c r="ES577" s="43"/>
      <c r="ET577" s="43"/>
      <c r="EU577" s="43"/>
      <c r="EV577" s="43"/>
      <c r="EW577" s="43"/>
      <c r="EX577" s="43"/>
      <c r="EY577" s="43"/>
      <c r="EZ577" s="43"/>
      <c r="FA577" s="43"/>
      <c r="FB577" s="43"/>
      <c r="FC577" s="43"/>
      <c r="FD577" s="43"/>
      <c r="FE577" s="43"/>
      <c r="FF577" s="43"/>
      <c r="FG577" s="43"/>
      <c r="FH577" s="43"/>
    </row>
    <row r="578">
      <c r="A578" s="48" t="s">
        <v>38</v>
      </c>
      <c r="B578" s="48" t="s">
        <v>97</v>
      </c>
      <c r="C578" s="48" t="s">
        <v>15</v>
      </c>
      <c r="D578" s="36">
        <f t="shared" si="1"/>
        <v>1440.8377</v>
      </c>
      <c r="E578" s="36"/>
      <c r="F578" s="37" t="str">
        <f>HYPERLINK("https://docs.google.com/spreadsheets/d/10GUxkvczHDbvSEDZNs1ShMbCxtTTeUgr?usp=share_link", "RE-906.215")</f>
        <v>RE-906.215</v>
      </c>
      <c r="G578" s="37" t="str">
        <f>HYPERLINK("https://docs.google.com/spreadsheets/d/1hO00V4odHlT83HSf8zU_HAdEB-ZWRR-C?usp=share_link", "RE-8.15045")</f>
        <v>RE-8.15045</v>
      </c>
      <c r="H578" s="37" t="str">
        <f>HYPERLINK("https://docs.google.com/spreadsheets/d/1xCVz1xdn3dQp4YPxAi39beWKp4p4c5Uh?usp=share_link", "RE-62.9228")</f>
        <v>RE-62.9228</v>
      </c>
      <c r="I578" s="36"/>
      <c r="J578" s="37" t="str">
        <f>HYPERLINK("https://docs.google.com/spreadsheets/d/1YSP5cIPWcdEfwmr_ptVGzsIVj-0epaDZ?usp=share_link", "RE-910.291")</f>
        <v>RE-910.291</v>
      </c>
      <c r="K578" s="37" t="str">
        <f>HYPERLINK("https://docs.google.com/spreadsheets/d/1GfY6XjL9xYjXsfy9uXnvVF1ZlhiVHdbt?usp=share_link", "RE-7.58948")</f>
        <v>RE-7.58948</v>
      </c>
      <c r="L578" s="37">
        <f>HYPERLINK("https://docs.google.com/spreadsheets/d/1lU3iME1uY3LgvWy_d0Hu44F1hPQQgUcX?usp=share_link", 726.464)</f>
        <v>726.464</v>
      </c>
      <c r="M578" s="37" t="str">
        <f>HYPERLINK("https://docs.google.com/spreadsheets/d/1uR0W0TNHogzZr9Ke3UHDXXWvcFWQub4u?usp=share_link", "RE-12.7052")</f>
        <v>RE-12.7052</v>
      </c>
      <c r="N578" s="37" t="str">
        <f>HYPERLINK("https://docs.google.com/spreadsheets/d/12JRzOTKLmmlpBZs85eOLcxZu-_pzTmtx?usp=share_link", "RE-1218.79")</f>
        <v>RE-1218.79</v>
      </c>
      <c r="O578" s="37" t="str">
        <f>HYPERLINK("https://docs.google.com/spreadsheets/d/11VVkwFEtlxOHd2agef6PPt4uoewWu0nv?usp=share_link", "RE-12.4538")</f>
        <v>RE-12.4538</v>
      </c>
      <c r="P578" s="37">
        <f>HYPERLINK("https://docs.google.com/spreadsheets/d/149M_fYkIpyMO62SHGjxNBiZzv3NkP7FD?usp=share_link", 435.306)</f>
        <v>435.306</v>
      </c>
      <c r="Q578" s="37" t="str">
        <f>HYPERLINK("https://docs.google.com/spreadsheets/d/1DucoHgId8rFw0aXibsv3p2q-drPOAvr-?usp=share_link", "RE-27.8058")</f>
        <v>RE-27.8058</v>
      </c>
      <c r="R578" s="37">
        <f>HYPERLINK("https://docs.google.com/spreadsheets/d/1lJhhN1Vmagp8rqExluuIHqDJsUABn3I_?usp=share_link", 50.6597)</f>
        <v>50.6597</v>
      </c>
      <c r="S578" s="37" t="str">
        <f>HYPERLINK("https://docs.google.com/spreadsheets/d/1WVBlweCNm2rijEdJdPt9ISgzWYJXJz8g?usp=share_link", "RE-11.3768")</f>
        <v>RE-11.3768</v>
      </c>
      <c r="T578" s="37">
        <f>HYPERLINK("https://docs.google.com/spreadsheets/d/1rF9aQj2bPjj8RhuocNKWaZlyyVqQ_avm?usp=share_link", 228.408)</f>
        <v>228.408</v>
      </c>
      <c r="U578" s="37" t="str">
        <f>HYPERLINK("https://docs.google.com/spreadsheets/d/1e13zUYRK8CX6v0EIaWrECBY04mOKKCly?usp=share_link", "RE-10.4511")</f>
        <v>RE-10.4511</v>
      </c>
      <c r="V578" s="37" t="str">
        <f>HYPERLINK("https://docs.google.com/spreadsheets/d/1sTQ8AgcqwdUjFBb9KkQW9byQTvLVnF7i?usp=share_link", "RE-2.52437")</f>
        <v>RE-2.52437</v>
      </c>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c r="BA578" s="36"/>
      <c r="BB578" s="36"/>
      <c r="BC578" s="36"/>
      <c r="BD578" s="36"/>
      <c r="BE578" s="36"/>
      <c r="BF578" s="36"/>
      <c r="BG578" s="36"/>
      <c r="BH578" s="36"/>
      <c r="BI578" s="36"/>
      <c r="BJ578" s="36"/>
      <c r="BK578" s="36"/>
      <c r="BL578" s="36"/>
      <c r="BM578" s="36"/>
      <c r="BN578" s="36"/>
      <c r="BO578" s="36"/>
      <c r="BP578" s="36"/>
      <c r="BQ578" s="36"/>
      <c r="BR578" s="36"/>
      <c r="BS578" s="36"/>
      <c r="BT578" s="36"/>
      <c r="BU578" s="36"/>
      <c r="BV578" s="36"/>
      <c r="BW578" s="36"/>
      <c r="BX578" s="36"/>
      <c r="BY578" s="36"/>
      <c r="BZ578" s="36"/>
      <c r="CA578" s="36"/>
      <c r="CB578" s="36"/>
      <c r="CC578" s="36"/>
      <c r="CD578" s="36"/>
      <c r="CE578" s="36"/>
      <c r="CF578" s="36"/>
      <c r="CG578" s="36"/>
      <c r="CH578" s="36"/>
      <c r="CI578" s="36"/>
      <c r="CJ578" s="36"/>
      <c r="CK578" s="36"/>
      <c r="CL578" s="36"/>
      <c r="CM578" s="36"/>
      <c r="CN578" s="36"/>
      <c r="CO578" s="36"/>
      <c r="CP578" s="36"/>
      <c r="CQ578" s="36"/>
      <c r="CR578" s="36"/>
      <c r="CS578" s="36"/>
      <c r="CT578" s="36"/>
      <c r="CU578" s="36"/>
      <c r="CV578" s="36"/>
      <c r="CW578" s="36"/>
      <c r="CX578" s="36"/>
      <c r="CY578" s="36"/>
      <c r="CZ578" s="36"/>
      <c r="DA578" s="36"/>
      <c r="DB578" s="36"/>
      <c r="DC578" s="36"/>
      <c r="DD578" s="36"/>
      <c r="DE578" s="36"/>
      <c r="DF578" s="36"/>
      <c r="DG578" s="36"/>
      <c r="DH578" s="36"/>
      <c r="DI578" s="36"/>
      <c r="DJ578" s="36"/>
      <c r="DK578" s="36"/>
      <c r="DL578" s="36"/>
      <c r="DM578" s="36"/>
      <c r="DN578" s="36"/>
      <c r="DO578" s="36"/>
      <c r="DP578" s="36"/>
      <c r="DQ578" s="36"/>
      <c r="DR578" s="36"/>
      <c r="DS578" s="36"/>
      <c r="DT578" s="36"/>
      <c r="DU578" s="36"/>
      <c r="DV578" s="36"/>
      <c r="DW578" s="36"/>
      <c r="DX578" s="36"/>
      <c r="DY578" s="36"/>
      <c r="DZ578" s="36"/>
      <c r="EA578" s="36"/>
      <c r="EB578" s="36"/>
      <c r="EC578" s="36"/>
      <c r="ED578" s="36"/>
      <c r="EE578" s="36"/>
      <c r="EF578" s="36"/>
      <c r="EG578" s="36"/>
      <c r="EH578" s="36"/>
      <c r="EI578" s="36"/>
      <c r="EJ578" s="36"/>
      <c r="EK578" s="36"/>
      <c r="EL578" s="36"/>
      <c r="EM578" s="36"/>
      <c r="EN578" s="36"/>
      <c r="EO578" s="36"/>
      <c r="EP578" s="36"/>
      <c r="EQ578" s="36"/>
      <c r="ER578" s="36"/>
      <c r="ES578" s="36"/>
      <c r="ET578" s="36"/>
      <c r="EU578" s="36"/>
      <c r="EV578" s="36"/>
      <c r="EW578" s="36"/>
      <c r="EX578" s="36"/>
      <c r="EY578" s="36"/>
      <c r="EZ578" s="36"/>
      <c r="FA578" s="36"/>
      <c r="FB578" s="36"/>
      <c r="FC578" s="36"/>
      <c r="FD578" s="36"/>
      <c r="FE578" s="36"/>
      <c r="FF578" s="36"/>
      <c r="FG578" s="36"/>
      <c r="FH578" s="36"/>
    </row>
    <row r="579">
      <c r="A579" s="45" t="s">
        <v>38</v>
      </c>
      <c r="B579" s="45" t="s">
        <v>98</v>
      </c>
      <c r="C579" s="46" t="str">
        <f>HYPERLINK("https://docs.google.com/spreadsheets/d/1HTwhD1jwfB_cg8NYfAMT3m1WYxDVifZk/edit?usp=share_link&amp;ouid=106501987799020758802&amp;rtpof=true&amp;sd=true", "Raw Delivered")</f>
        <v>Raw Delivered</v>
      </c>
      <c r="D579" s="40">
        <f t="shared" si="1"/>
        <v>8596.117297</v>
      </c>
      <c r="E579" s="40"/>
      <c r="F579" s="41">
        <f>HYPERLINK("https://docs.google.com/spreadsheets/d/1CLRvVGMF301yAlZkitKyLOwPWywz42TS", 436.161772916666)</f>
        <v>436.1617729</v>
      </c>
      <c r="G579" s="40"/>
      <c r="H579" s="41">
        <f>HYPERLINK("https://docs.google.com/spreadsheets/d/1TnyADF6XD5L2d7N6rxRc31Kw90Qghh40", 82.1574395833333)</f>
        <v>82.15743958</v>
      </c>
      <c r="I579" s="40"/>
      <c r="J579" s="41">
        <f>HYPERLINK("https://docs.google.com/spreadsheets/d/1cK6z5BPnlOxfAcQqf6py7RZiBW-ZKxcA", 707.271753124999)</f>
        <v>707.2717531</v>
      </c>
      <c r="K579" s="40"/>
      <c r="L579" s="41">
        <f t="shared" ref="L579:L580" si="290">HYPERLINK("https://docs.google.com/spreadsheets/d/1WYbP_nCk8ithCCGW4tyvymt5vHeZ-Q8S", 1916.66125416666)</f>
        <v>1916.661254</v>
      </c>
      <c r="M579" s="40"/>
      <c r="N579" s="41">
        <f>HYPERLINK("https://docs.google.com/spreadsheets/d/11mpDLwQpSZ5hUDLygQj74YL0GA5WOr07", 4128.803984375)</f>
        <v>4128.803984</v>
      </c>
      <c r="O579" s="40"/>
      <c r="P579" s="41">
        <f t="shared" ref="P579:P580" si="291">HYPERLINK("https://docs.google.com/spreadsheets/d/1YKk1OsUjZj7onFcPfMUxg9LS-Gs0gPxn", 599.635091666666)</f>
        <v>599.6350917</v>
      </c>
      <c r="Q579" s="40"/>
      <c r="R579" s="41">
        <f t="shared" ref="R579:R580" si="292">HYPERLINK("https://docs.google.com/spreadsheets/d/1ZxxON3CyRB66nIAsg0XraYj0Wfcx3KBO", 152.262666666666)</f>
        <v>152.2626667</v>
      </c>
      <c r="S579" s="40"/>
      <c r="T579" s="41">
        <f t="shared" ref="T579:T580" si="293">HYPERLINK("https://docs.google.com/spreadsheets/d/1ROtIBvbqFSG9HrlAXhgsroAae8tmigY9", 573.163334374999)</f>
        <v>573.1633344</v>
      </c>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0"/>
      <c r="FG579" s="40"/>
      <c r="FH579" s="40"/>
    </row>
    <row r="580">
      <c r="A580" s="47" t="s">
        <v>38</v>
      </c>
      <c r="B580" s="47" t="s">
        <v>98</v>
      </c>
      <c r="C580" s="47" t="s">
        <v>9</v>
      </c>
      <c r="D580" s="43">
        <f t="shared" si="1"/>
        <v>3241.722347</v>
      </c>
      <c r="E580" s="43"/>
      <c r="F580" s="44" t="str">
        <f>HYPERLINK("https://docs.google.com/spreadsheets/d/1CLRvVGMF301yAlZkitKyLOwPWywz42TS", "RE-436.16177291666645")</f>
        <v>RE-436.16177291666645</v>
      </c>
      <c r="G580" s="43"/>
      <c r="H580" s="44" t="str">
        <f>HYPERLINK("https://docs.google.com/spreadsheets/d/1TnyADF6XD5L2d7N6rxRc31Kw90Qghh40", "RE-82.15743958333334")</f>
        <v>RE-82.15743958333334</v>
      </c>
      <c r="I580" s="43"/>
      <c r="J580" s="44" t="str">
        <f>HYPERLINK("https://docs.google.com/spreadsheets/d/1cK6z5BPnlOxfAcQqf6py7RZiBW-ZKxcA", "RE-707.2717531249993")</f>
        <v>RE-707.2717531249993</v>
      </c>
      <c r="K580" s="43"/>
      <c r="L580" s="44">
        <f t="shared" si="290"/>
        <v>1916.661254</v>
      </c>
      <c r="M580" s="43"/>
      <c r="N580" s="44" t="str">
        <f>HYPERLINK("https://docs.google.com/spreadsheets/d/11mpDLwQpSZ5hUDLygQj74YL0GA5WOr07", "RE-4128.8039843750075")</f>
        <v>RE-4128.8039843750075</v>
      </c>
      <c r="O580" s="43"/>
      <c r="P580" s="44">
        <f t="shared" si="291"/>
        <v>599.6350917</v>
      </c>
      <c r="Q580" s="43"/>
      <c r="R580" s="44">
        <f t="shared" si="292"/>
        <v>152.2626667</v>
      </c>
      <c r="S580" s="43"/>
      <c r="T580" s="44">
        <f t="shared" si="293"/>
        <v>573.1633344</v>
      </c>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c r="BO580" s="43"/>
      <c r="BP580" s="43"/>
      <c r="BQ580" s="43"/>
      <c r="BR580" s="43"/>
      <c r="BS580" s="43"/>
      <c r="BT580" s="43"/>
      <c r="BU580" s="43"/>
      <c r="BV580" s="43"/>
      <c r="BW580" s="43"/>
      <c r="BX580" s="43"/>
      <c r="BY580" s="43"/>
      <c r="BZ580" s="43"/>
      <c r="CA580" s="43"/>
      <c r="CB580" s="43"/>
      <c r="CC580" s="43"/>
      <c r="CD580" s="43"/>
      <c r="CE580" s="43"/>
      <c r="CF580" s="43"/>
      <c r="CG580" s="43"/>
      <c r="CH580" s="43"/>
      <c r="CI580" s="43"/>
      <c r="CJ580" s="43"/>
      <c r="CK580" s="43"/>
      <c r="CL580" s="43"/>
      <c r="CM580" s="43"/>
      <c r="CN580" s="43"/>
      <c r="CO580" s="43"/>
      <c r="CP580" s="43"/>
      <c r="CQ580" s="43"/>
      <c r="CR580" s="43"/>
      <c r="CS580" s="43"/>
      <c r="CT580" s="43"/>
      <c r="CU580" s="43"/>
      <c r="CV580" s="43"/>
      <c r="CW580" s="43"/>
      <c r="CX580" s="43"/>
      <c r="CY580" s="43"/>
      <c r="CZ580" s="43"/>
      <c r="DA580" s="43"/>
      <c r="DB580" s="43"/>
      <c r="DC580" s="43"/>
      <c r="DD580" s="43"/>
      <c r="DE580" s="43"/>
      <c r="DF580" s="43"/>
      <c r="DG580" s="43"/>
      <c r="DH580" s="43"/>
      <c r="DI580" s="43"/>
      <c r="DJ580" s="43"/>
      <c r="DK580" s="43"/>
      <c r="DL580" s="43"/>
      <c r="DM580" s="43"/>
      <c r="DN580" s="43"/>
      <c r="DO580" s="43"/>
      <c r="DP580" s="43"/>
      <c r="DQ580" s="43"/>
      <c r="DR580" s="43"/>
      <c r="DS580" s="43"/>
      <c r="DT580" s="43"/>
      <c r="DU580" s="43"/>
      <c r="DV580" s="43"/>
      <c r="DW580" s="43"/>
      <c r="DX580" s="43"/>
      <c r="DY580" s="43"/>
      <c r="DZ580" s="43"/>
      <c r="EA580" s="43"/>
      <c r="EB580" s="43"/>
      <c r="EC580" s="43"/>
      <c r="ED580" s="43"/>
      <c r="EE580" s="43"/>
      <c r="EF580" s="43"/>
      <c r="EG580" s="43"/>
      <c r="EH580" s="43"/>
      <c r="EI580" s="43"/>
      <c r="EJ580" s="43"/>
      <c r="EK580" s="43"/>
      <c r="EL580" s="43"/>
      <c r="EM580" s="43"/>
      <c r="EN580" s="43"/>
      <c r="EO580" s="43"/>
      <c r="EP580" s="43"/>
      <c r="EQ580" s="43"/>
      <c r="ER580" s="43"/>
      <c r="ES580" s="43"/>
      <c r="ET580" s="43"/>
      <c r="EU580" s="43"/>
      <c r="EV580" s="43"/>
      <c r="EW580" s="43"/>
      <c r="EX580" s="43"/>
      <c r="EY580" s="43"/>
      <c r="EZ580" s="43"/>
      <c r="FA580" s="43"/>
      <c r="FB580" s="43"/>
      <c r="FC580" s="43"/>
      <c r="FD580" s="43"/>
      <c r="FE580" s="43"/>
      <c r="FF580" s="43"/>
      <c r="FG580" s="43"/>
      <c r="FH580" s="43"/>
    </row>
    <row r="581">
      <c r="A581" s="47" t="s">
        <v>38</v>
      </c>
      <c r="B581" s="47" t="s">
        <v>98</v>
      </c>
      <c r="C581" s="47" t="s">
        <v>10</v>
      </c>
      <c r="D581" s="43">
        <f t="shared" si="1"/>
        <v>993.3686875</v>
      </c>
      <c r="E581" s="43"/>
      <c r="F581" s="43"/>
      <c r="G581" s="44">
        <f>HYPERLINK("https://docs.google.com/spreadsheets/d/1tPNaQhgf9sEJ-ERTVj0Fpt72DCko0YQS", 41.3955041666666)</f>
        <v>41.39550417</v>
      </c>
      <c r="H581" s="43"/>
      <c r="I581" s="44">
        <f>HYPERLINK("https://docs.google.com/spreadsheets/d/1ArIAfeDnorqI0Nza5SUQNLT4x_R2ESxA", 8.961575)</f>
        <v>8.961575</v>
      </c>
      <c r="J581" s="43"/>
      <c r="K581" s="44">
        <f>HYPERLINK("https://docs.google.com/spreadsheets/d/11cSNNfFfaqpRqsdaXqsg7K_GLrDmc2Bv", 64.140078125)</f>
        <v>64.14007813</v>
      </c>
      <c r="L581" s="43"/>
      <c r="M581" s="44">
        <f>HYPERLINK("https://docs.google.com/spreadsheets/d/1w3cjJ-AT8a9qfrDmtBZgWuL0hhO4pjfY", 55.0703916666666)</f>
        <v>55.07039167</v>
      </c>
      <c r="N581" s="43"/>
      <c r="O581" s="44">
        <f>HYPERLINK("https://docs.google.com/spreadsheets/d/1Gweb2y9Vw8W9HSwKWjMq9r9NjEMiQhDa", 599.522861458333)</f>
        <v>599.5228615</v>
      </c>
      <c r="P581" s="43"/>
      <c r="Q581" s="44">
        <f>HYPERLINK("https://docs.google.com/spreadsheets/d/1_0RMvokOQ40z8dpChj-JUSvSrD-5GDfh", 125.809226041666)</f>
        <v>125.809226</v>
      </c>
      <c r="R581" s="43"/>
      <c r="S581" s="44">
        <f>HYPERLINK("https://docs.google.com/spreadsheets/d/17bqb6kqlZN6Q3YFp4_VYN8sdhm3iW-C0", 30.1994406249999)</f>
        <v>30.19944062</v>
      </c>
      <c r="T581" s="43"/>
      <c r="U581" s="44">
        <f>HYPERLINK("https://docs.google.com/spreadsheets/d/1kEhs0_wrXiHXfR7-2t5Huz5aF2yjn1qU", 56.7971052083333)</f>
        <v>56.79710521</v>
      </c>
      <c r="V581" s="44">
        <f>HYPERLINK("https://docs.google.com/spreadsheets/d/1qwOR9fm3116MDDnbxIO9QbgaogHNCXev", 11.4725052083333)</f>
        <v>11.47250521</v>
      </c>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c r="BO581" s="43"/>
      <c r="BP581" s="43"/>
      <c r="BQ581" s="43"/>
      <c r="BR581" s="43"/>
      <c r="BS581" s="43"/>
      <c r="BT581" s="43"/>
      <c r="BU581" s="43"/>
      <c r="BV581" s="43"/>
      <c r="BW581" s="43"/>
      <c r="BX581" s="43"/>
      <c r="BY581" s="43"/>
      <c r="BZ581" s="43"/>
      <c r="CA581" s="43"/>
      <c r="CB581" s="43"/>
      <c r="CC581" s="43"/>
      <c r="CD581" s="43"/>
      <c r="CE581" s="43"/>
      <c r="CF581" s="43"/>
      <c r="CG581" s="43"/>
      <c r="CH581" s="43"/>
      <c r="CI581" s="43"/>
      <c r="CJ581" s="43"/>
      <c r="CK581" s="43"/>
      <c r="CL581" s="43"/>
      <c r="CM581" s="43"/>
      <c r="CN581" s="43"/>
      <c r="CO581" s="43"/>
      <c r="CP581" s="43"/>
      <c r="CQ581" s="43"/>
      <c r="CR581" s="43"/>
      <c r="CS581" s="43"/>
      <c r="CT581" s="43"/>
      <c r="CU581" s="43"/>
      <c r="CV581" s="43"/>
      <c r="CW581" s="43"/>
      <c r="CX581" s="43"/>
      <c r="CY581" s="43"/>
      <c r="CZ581" s="43"/>
      <c r="DA581" s="43"/>
      <c r="DB581" s="43"/>
      <c r="DC581" s="43"/>
      <c r="DD581" s="43"/>
      <c r="DE581" s="43"/>
      <c r="DF581" s="43"/>
      <c r="DG581" s="43"/>
      <c r="DH581" s="43"/>
      <c r="DI581" s="43"/>
      <c r="DJ581" s="43"/>
      <c r="DK581" s="43"/>
      <c r="DL581" s="43"/>
      <c r="DM581" s="43"/>
      <c r="DN581" s="43"/>
      <c r="DO581" s="43"/>
      <c r="DP581" s="43"/>
      <c r="DQ581" s="43"/>
      <c r="DR581" s="43"/>
      <c r="DS581" s="43"/>
      <c r="DT581" s="43"/>
      <c r="DU581" s="43"/>
      <c r="DV581" s="43"/>
      <c r="DW581" s="43"/>
      <c r="DX581" s="43"/>
      <c r="DY581" s="43"/>
      <c r="DZ581" s="43"/>
      <c r="EA581" s="43"/>
      <c r="EB581" s="43"/>
      <c r="EC581" s="43"/>
      <c r="ED581" s="43"/>
      <c r="EE581" s="43"/>
      <c r="EF581" s="43"/>
      <c r="EG581" s="43"/>
      <c r="EH581" s="43"/>
      <c r="EI581" s="43"/>
      <c r="EJ581" s="43"/>
      <c r="EK581" s="43"/>
      <c r="EL581" s="43"/>
      <c r="EM581" s="43"/>
      <c r="EN581" s="43"/>
      <c r="EO581" s="43"/>
      <c r="EP581" s="43"/>
      <c r="EQ581" s="43"/>
      <c r="ER581" s="43"/>
      <c r="ES581" s="43"/>
      <c r="ET581" s="43"/>
      <c r="EU581" s="43"/>
      <c r="EV581" s="43"/>
      <c r="EW581" s="43"/>
      <c r="EX581" s="43"/>
      <c r="EY581" s="43"/>
      <c r="EZ581" s="43"/>
      <c r="FA581" s="43"/>
      <c r="FB581" s="43"/>
      <c r="FC581" s="43"/>
      <c r="FD581" s="43"/>
      <c r="FE581" s="43"/>
      <c r="FF581" s="43"/>
      <c r="FG581" s="43"/>
      <c r="FH581" s="43"/>
    </row>
    <row r="582">
      <c r="A582" s="47" t="s">
        <v>38</v>
      </c>
      <c r="B582" s="47" t="s">
        <v>98</v>
      </c>
      <c r="C582" s="47" t="s">
        <v>11</v>
      </c>
      <c r="D582" s="43">
        <f t="shared" si="1"/>
        <v>0</v>
      </c>
      <c r="E582" s="43"/>
      <c r="F582" s="43"/>
      <c r="G582" s="44" t="str">
        <f>HYPERLINK("https://docs.google.com/spreadsheets/d/1tPNaQhgf9sEJ-ERTVj0Fpt72DCko0YQS", "RE-41.39550416666666")</f>
        <v>RE-41.39550416666666</v>
      </c>
      <c r="H582" s="43"/>
      <c r="I582" s="44" t="str">
        <f>HYPERLINK("https://docs.google.com/spreadsheets/d/1ArIAfeDnorqI0Nza5SUQNLT4x_R2ESxA", "RE-8.961575")</f>
        <v>RE-8.961575</v>
      </c>
      <c r="J582" s="43"/>
      <c r="K582" s="44" t="str">
        <f>HYPERLINK("https://docs.google.com/spreadsheets/d/11cSNNfFfaqpRqsdaXqsg7K_GLrDmc2Bv", "RE-64.14007812500002")</f>
        <v>RE-64.14007812500002</v>
      </c>
      <c r="L582" s="43"/>
      <c r="M582" s="44" t="str">
        <f>HYPERLINK("https://docs.google.com/spreadsheets/d/1w3cjJ-AT8a9qfrDmtBZgWuL0hhO4pjfY", "RE-55.07039166666668")</f>
        <v>RE-55.07039166666668</v>
      </c>
      <c r="N582" s="43"/>
      <c r="O582" s="44" t="str">
        <f>HYPERLINK("https://docs.google.com/spreadsheets/d/1Gweb2y9Vw8W9HSwKWjMq9r9NjEMiQhDa", "RE-599.5228614583334")</f>
        <v>RE-599.5228614583334</v>
      </c>
      <c r="P582" s="43"/>
      <c r="Q582" s="44" t="str">
        <f>HYPERLINK("https://docs.google.com/spreadsheets/d/1_0RMvokOQ40z8dpChj-JUSvSrD-5GDfh", "RE-125.8092260416666")</f>
        <v>RE-125.8092260416666</v>
      </c>
      <c r="R582" s="43"/>
      <c r="S582" s="44" t="str">
        <f>HYPERLINK("https://docs.google.com/spreadsheets/d/17bqb6kqlZN6Q3YFp4_VYN8sdhm3iW-C0", "RE-30.199440624999983")</f>
        <v>RE-30.199440624999983</v>
      </c>
      <c r="T582" s="43"/>
      <c r="U582" s="44" t="str">
        <f>HYPERLINK("https://docs.google.com/spreadsheets/d/1kEhs0_wrXiHXfR7-2t5Huz5aF2yjn1qU", "RE-56.79710520833333")</f>
        <v>RE-56.79710520833333</v>
      </c>
      <c r="V582" s="44" t="str">
        <f>HYPERLINK("https://docs.google.com/spreadsheets/d/1qwOR9fm3116MDDnbxIO9QbgaogHNCXev", "RE-11.472505208333333")</f>
        <v>RE-11.472505208333333</v>
      </c>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c r="BO582" s="43"/>
      <c r="BP582" s="43"/>
      <c r="BQ582" s="43"/>
      <c r="BR582" s="43"/>
      <c r="BS582" s="43"/>
      <c r="BT582" s="43"/>
      <c r="BU582" s="43"/>
      <c r="BV582" s="43"/>
      <c r="BW582" s="43"/>
      <c r="BX582" s="43"/>
      <c r="BY582" s="43"/>
      <c r="BZ582" s="43"/>
      <c r="CA582" s="43"/>
      <c r="CB582" s="43"/>
      <c r="CC582" s="43"/>
      <c r="CD582" s="43"/>
      <c r="CE582" s="43"/>
      <c r="CF582" s="43"/>
      <c r="CG582" s="43"/>
      <c r="CH582" s="43"/>
      <c r="CI582" s="43"/>
      <c r="CJ582" s="43"/>
      <c r="CK582" s="43"/>
      <c r="CL582" s="43"/>
      <c r="CM582" s="43"/>
      <c r="CN582" s="43"/>
      <c r="CO582" s="43"/>
      <c r="CP582" s="43"/>
      <c r="CQ582" s="43"/>
      <c r="CR582" s="43"/>
      <c r="CS582" s="43"/>
      <c r="CT582" s="43"/>
      <c r="CU582" s="43"/>
      <c r="CV582" s="43"/>
      <c r="CW582" s="43"/>
      <c r="CX582" s="43"/>
      <c r="CY582" s="43"/>
      <c r="CZ582" s="43"/>
      <c r="DA582" s="43"/>
      <c r="DB582" s="43"/>
      <c r="DC582" s="43"/>
      <c r="DD582" s="43"/>
      <c r="DE582" s="43"/>
      <c r="DF582" s="43"/>
      <c r="DG582" s="43"/>
      <c r="DH582" s="43"/>
      <c r="DI582" s="43"/>
      <c r="DJ582" s="43"/>
      <c r="DK582" s="43"/>
      <c r="DL582" s="43"/>
      <c r="DM582" s="43"/>
      <c r="DN582" s="43"/>
      <c r="DO582" s="43"/>
      <c r="DP582" s="43"/>
      <c r="DQ582" s="43"/>
      <c r="DR582" s="43"/>
      <c r="DS582" s="43"/>
      <c r="DT582" s="43"/>
      <c r="DU582" s="43"/>
      <c r="DV582" s="43"/>
      <c r="DW582" s="43"/>
      <c r="DX582" s="43"/>
      <c r="DY582" s="43"/>
      <c r="DZ582" s="43"/>
      <c r="EA582" s="43"/>
      <c r="EB582" s="43"/>
      <c r="EC582" s="43"/>
      <c r="ED582" s="43"/>
      <c r="EE582" s="43"/>
      <c r="EF582" s="43"/>
      <c r="EG582" s="43"/>
      <c r="EH582" s="43"/>
      <c r="EI582" s="43"/>
      <c r="EJ582" s="43"/>
      <c r="EK582" s="43"/>
      <c r="EL582" s="43"/>
      <c r="EM582" s="43"/>
      <c r="EN582" s="43"/>
      <c r="EO582" s="43"/>
      <c r="EP582" s="43"/>
      <c r="EQ582" s="43"/>
      <c r="ER582" s="43"/>
      <c r="ES582" s="43"/>
      <c r="ET582" s="43"/>
      <c r="EU582" s="43"/>
      <c r="EV582" s="43"/>
      <c r="EW582" s="43"/>
      <c r="EX582" s="43"/>
      <c r="EY582" s="43"/>
      <c r="EZ582" s="43"/>
      <c r="FA582" s="43"/>
      <c r="FB582" s="43"/>
      <c r="FC582" s="43"/>
      <c r="FD582" s="43"/>
      <c r="FE582" s="43"/>
      <c r="FF582" s="43"/>
      <c r="FG582" s="43"/>
      <c r="FH582" s="43"/>
    </row>
    <row r="583">
      <c r="A583" s="47" t="s">
        <v>38</v>
      </c>
      <c r="B583" s="47" t="s">
        <v>98</v>
      </c>
      <c r="C583" s="47" t="s">
        <v>12</v>
      </c>
      <c r="D583" s="43">
        <f t="shared" si="1"/>
        <v>2997.206686</v>
      </c>
      <c r="E583" s="43"/>
      <c r="F583" s="44" t="str">
        <f>HYPERLINK("https://docs.google.com/spreadsheets/d/1G6YU9iHMrLe_nspiT9rblqfbruE00y8P", "RE-358.29182916666673")</f>
        <v>RE-358.29182916666673</v>
      </c>
      <c r="G583" s="44" t="str">
        <f>HYPERLINK("https://docs.google.com/spreadsheets/d/1bMPiQi5kqfGAMspfaplUN8SUVPz6mpaQ", "RE-0.9701979166666668")</f>
        <v>RE-0.9701979166666668</v>
      </c>
      <c r="H583" s="44" t="str">
        <f>HYPERLINK("https://docs.google.com/spreadsheets/d/1CdwdJkVlIjjMtz70HFpkvl3u2IzbkjQQ", "RE-74.50706041666666")</f>
        <v>RE-74.50706041666666</v>
      </c>
      <c r="I583" s="44" t="str">
        <f>HYPERLINK("https://docs.google.com/spreadsheets/d/18vRTnUUFRX-5af-QtsRz-236qYCKrc4i", "RE-0.0")</f>
        <v>RE-0.0</v>
      </c>
      <c r="J583" s="44" t="str">
        <f>HYPERLINK("https://docs.google.com/spreadsheets/d/1e0OPU7THjKxiPD8tUkA6Z70c5SgEuhwJ", "RE-568.9267197916674")</f>
        <v>RE-568.9267197916674</v>
      </c>
      <c r="K583" s="44" t="str">
        <f>HYPERLINK("https://docs.google.com/spreadsheets/d/1R4bZtGk64JZ2CikPRrzy0pWLM72wTcLA", "RE-4.328308333333333")</f>
        <v>RE-4.328308333333333</v>
      </c>
      <c r="L583" s="44">
        <f>HYPERLINK("https://docs.google.com/spreadsheets/d/1JyZqY6XOF63TbmtLdjJv2C-ibdwdHiWf", 1810.95318437499)</f>
        <v>1810.953184</v>
      </c>
      <c r="M583" s="44" t="str">
        <f>HYPERLINK("https://docs.google.com/spreadsheets/d/1a0n8NRXnfbOd_amOpNI7H31UzADc5Pfg", "RE-3.240580208333333")</f>
        <v>RE-3.240580208333333</v>
      </c>
      <c r="N583" s="44" t="str">
        <f>HYPERLINK("https://docs.google.com/spreadsheets/d/13zftZRr0xnaUE0kmkHBhlOzEEQt2o36M", "RE-2821.4479312500075")</f>
        <v>RE-2821.4479312500075</v>
      </c>
      <c r="O583" s="44" t="str">
        <f>HYPERLINK("https://docs.google.com/spreadsheets/d/17Ts_S1iRLyw04SEwZ3fcr1K4-LFl02AX", "RE-19.89269791666667")</f>
        <v>RE-19.89269791666667</v>
      </c>
      <c r="P583" s="44">
        <f>HYPERLINK("https://docs.google.com/spreadsheets/d/1RorfB21fENt0CecTWJ26pVkAFdpAMOKd", 522.979635416667)</f>
        <v>522.9796354</v>
      </c>
      <c r="Q583" s="44" t="str">
        <f>HYPERLINK("https://docs.google.com/spreadsheets/d/1LMOIYgLPYOv4yTQ9j1kous1i2cUTJe6D", "RE-36.32513125000001")</f>
        <v>RE-36.32513125000001</v>
      </c>
      <c r="R583" s="44">
        <f>HYPERLINK("https://docs.google.com/spreadsheets/d/1NnEDj0rB3920uVgZ_odlfczwUaAdrkko", 131.380669791666)</f>
        <v>131.3806698</v>
      </c>
      <c r="S583" s="44" t="str">
        <f>HYPERLINK("https://docs.google.com/spreadsheets/d/1gLXRZOGKUEMu9hKfzqc7PY_9a39aqxZF", "RE-14.888616666666667")</f>
        <v>RE-14.888616666666667</v>
      </c>
      <c r="T583" s="44">
        <f>HYPERLINK("https://docs.google.com/spreadsheets/d/1xSvEDPt9Z97iwaMA5rOKOKYJUmGhbonZ", 531.893196874999)</f>
        <v>531.8931969</v>
      </c>
      <c r="U583" s="44" t="str">
        <f>HYPERLINK("https://docs.google.com/spreadsheets/d/1PQ16MnvbaXDWOXYgy2ca3-ptef1p-HCK", "RE-26.591200000000004")</f>
        <v>RE-26.591200000000004</v>
      </c>
      <c r="V583" s="44" t="str">
        <f>HYPERLINK("https://docs.google.com/spreadsheets/d/1UsbvH0C3Mu839BAL3mJYc-nBPCCrdoWw", "RE-9.226692708333333")</f>
        <v>RE-9.226692708333333</v>
      </c>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c r="BO583" s="43"/>
      <c r="BP583" s="43"/>
      <c r="BQ583" s="43"/>
      <c r="BR583" s="43"/>
      <c r="BS583" s="43"/>
      <c r="BT583" s="43"/>
      <c r="BU583" s="43"/>
      <c r="BV583" s="43"/>
      <c r="BW583" s="43"/>
      <c r="BX583" s="43"/>
      <c r="BY583" s="43"/>
      <c r="BZ583" s="43"/>
      <c r="CA583" s="43"/>
      <c r="CB583" s="43"/>
      <c r="CC583" s="43"/>
      <c r="CD583" s="43"/>
      <c r="CE583" s="43"/>
      <c r="CF583" s="43"/>
      <c r="CG583" s="43"/>
      <c r="CH583" s="43"/>
      <c r="CI583" s="43"/>
      <c r="CJ583" s="43"/>
      <c r="CK583" s="43"/>
      <c r="CL583" s="43"/>
      <c r="CM583" s="43"/>
      <c r="CN583" s="43"/>
      <c r="CO583" s="43"/>
      <c r="CP583" s="43"/>
      <c r="CQ583" s="43"/>
      <c r="CR583" s="43"/>
      <c r="CS583" s="43"/>
      <c r="CT583" s="43"/>
      <c r="CU583" s="43"/>
      <c r="CV583" s="43"/>
      <c r="CW583" s="43"/>
      <c r="CX583" s="43"/>
      <c r="CY583" s="43"/>
      <c r="CZ583" s="43"/>
      <c r="DA583" s="43"/>
      <c r="DB583" s="43"/>
      <c r="DC583" s="43"/>
      <c r="DD583" s="43"/>
      <c r="DE583" s="43"/>
      <c r="DF583" s="43"/>
      <c r="DG583" s="43"/>
      <c r="DH583" s="43"/>
      <c r="DI583" s="43"/>
      <c r="DJ583" s="43"/>
      <c r="DK583" s="43"/>
      <c r="DL583" s="43"/>
      <c r="DM583" s="43"/>
      <c r="DN583" s="43"/>
      <c r="DO583" s="43"/>
      <c r="DP583" s="43"/>
      <c r="DQ583" s="43"/>
      <c r="DR583" s="43"/>
      <c r="DS583" s="43"/>
      <c r="DT583" s="43"/>
      <c r="DU583" s="43"/>
      <c r="DV583" s="43"/>
      <c r="DW583" s="43"/>
      <c r="DX583" s="43"/>
      <c r="DY583" s="43"/>
      <c r="DZ583" s="43"/>
      <c r="EA583" s="43"/>
      <c r="EB583" s="43"/>
      <c r="EC583" s="43"/>
      <c r="ED583" s="43"/>
      <c r="EE583" s="43"/>
      <c r="EF583" s="43"/>
      <c r="EG583" s="43"/>
      <c r="EH583" s="43"/>
      <c r="EI583" s="43"/>
      <c r="EJ583" s="43"/>
      <c r="EK583" s="43"/>
      <c r="EL583" s="43"/>
      <c r="EM583" s="43"/>
      <c r="EN583" s="43"/>
      <c r="EO583" s="43"/>
      <c r="EP583" s="43"/>
      <c r="EQ583" s="43"/>
      <c r="ER583" s="43"/>
      <c r="ES583" s="43"/>
      <c r="ET583" s="43"/>
      <c r="EU583" s="43"/>
      <c r="EV583" s="43"/>
      <c r="EW583" s="43"/>
      <c r="EX583" s="43"/>
      <c r="EY583" s="43"/>
      <c r="EZ583" s="43"/>
      <c r="FA583" s="43"/>
      <c r="FB583" s="43"/>
      <c r="FC583" s="43"/>
      <c r="FD583" s="43"/>
      <c r="FE583" s="43"/>
      <c r="FF583" s="43"/>
      <c r="FG583" s="43"/>
      <c r="FH583" s="43"/>
    </row>
    <row r="584">
      <c r="A584" s="47" t="s">
        <v>38</v>
      </c>
      <c r="B584" s="47" t="s">
        <v>98</v>
      </c>
      <c r="C584" s="47" t="s">
        <v>13</v>
      </c>
      <c r="D584" s="43">
        <f t="shared" si="1"/>
        <v>2848.543</v>
      </c>
      <c r="E584" s="43"/>
      <c r="F584" s="44" t="str">
        <f>HYPERLINK("https://docs.google.com/spreadsheets/d/1lH-Jnn0sjjVD6ep_ChvY-uNYwBbPwAtB?usp=share_link", "RE-347.765")</f>
        <v>RE-347.765</v>
      </c>
      <c r="G584" s="44" t="str">
        <f>HYPERLINK("https://docs.google.com/spreadsheets/d/1Tm-4NLEiDjiF7i1AEyvcoyB7VCe4V_mQ?usp=share_link", "RE-0.955783")</f>
        <v>RE-0.955783</v>
      </c>
      <c r="H584" s="44" t="str">
        <f>HYPERLINK("https://docs.google.com/spreadsheets/d/1NZbgJid33eG4hO7x29gtkSXHZwl5AJAb?usp=share_link", "RE-72.4614")</f>
        <v>RE-72.4614</v>
      </c>
      <c r="I584" s="43"/>
      <c r="J584" s="44" t="str">
        <f>HYPERLINK("https://docs.google.com/spreadsheets/d/1hFI9Cn1-lddTuXexu3rMfOJa49t6iGI8?usp=share_link", "RE-548.089")</f>
        <v>RE-548.089</v>
      </c>
      <c r="K584" s="44" t="str">
        <f>HYPERLINK("https://docs.google.com/spreadsheets/d/1_wPAvlb4rnwoUBAyf8ptJnfTWGWdsGfG?usp=share_link", "RE-4.16")</f>
        <v>RE-4.16</v>
      </c>
      <c r="L584" s="44">
        <f>HYPERLINK("https://docs.google.com/spreadsheets/d/1bjlF263XAiCcCkV305rOeQcTebrVbI1L?usp=share_link", 1721.3)</f>
        <v>1721.3</v>
      </c>
      <c r="M584" s="44" t="str">
        <f>HYPERLINK("https://docs.google.com/spreadsheets/d/1i2jgDJ28cZoVNZdwDJdwCKm1D8LvBBlj?usp=share_link", "RE-3.0549")</f>
        <v>RE-3.0549</v>
      </c>
      <c r="N584" s="44" t="str">
        <f>HYPERLINK("https://docs.google.com/spreadsheets/d/1eIv_hZ5OAwEHOZygqiUv0AHDUpnK8Oqi?usp=share_link", "RE-2715.32")</f>
        <v>RE-2715.32</v>
      </c>
      <c r="O584" s="44" t="str">
        <f>HYPERLINK("https://docs.google.com/spreadsheets/d/1p6ZVyiCHuyvYqEitJw1jTtlKT7MXuai4?usp=share_link", "RE-18.8903")</f>
        <v>RE-18.8903</v>
      </c>
      <c r="P584" s="44">
        <f>HYPERLINK("https://docs.google.com/spreadsheets/d/1gACjE-js_IdmN7yfDwjFEBnFlDCnsBk2?usp=share_link", 494.014)</f>
        <v>494.014</v>
      </c>
      <c r="Q584" s="44" t="str">
        <f>HYPERLINK("https://docs.google.com/spreadsheets/d/1_9ZMqwOTVhDyZrUiuGgLX2DgY8HWqLpQ?usp=share_link", "RE-34.4185")</f>
        <v>RE-34.4185</v>
      </c>
      <c r="R584" s="44">
        <f>HYPERLINK("https://docs.google.com/spreadsheets/d/1JjRxLCaoQ0GU_0z_vFfJqjAAM5dJ7OJu?usp=share_link", 125.242)</f>
        <v>125.242</v>
      </c>
      <c r="S584" s="44" t="str">
        <f>HYPERLINK("https://docs.google.com/spreadsheets/d/1pvEPVj69EGPs2uCvpYBss2S08V0wlPj6?usp=share_link", "RE-14.0149")</f>
        <v>RE-14.0149</v>
      </c>
      <c r="T584" s="44">
        <f>HYPERLINK("https://docs.google.com/spreadsheets/d/11-Ne0JLqHyxWhafdFS2wkPZnQRONqX2I?usp=share_link", 507.987)</f>
        <v>507.987</v>
      </c>
      <c r="U584" s="44" t="str">
        <f>HYPERLINK("https://docs.google.com/spreadsheets/d/11GLf0Ad5upzS8IP1Czm9o7VVEuJufQTR?usp=share_link", "RE-25.0243")</f>
        <v>RE-25.0243</v>
      </c>
      <c r="V584" s="44" t="str">
        <f>HYPERLINK("https://docs.google.com/spreadsheets/d/1gu8XV7VEtVQBgbumcZx8Ypad45-ZypLr?usp=share_link", "RE-8.70277")</f>
        <v>RE-8.70277</v>
      </c>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c r="BO584" s="43"/>
      <c r="BP584" s="43"/>
      <c r="BQ584" s="43"/>
      <c r="BR584" s="43"/>
      <c r="BS584" s="43"/>
      <c r="BT584" s="43"/>
      <c r="BU584" s="43"/>
      <c r="BV584" s="43"/>
      <c r="BW584" s="43"/>
      <c r="BX584" s="43"/>
      <c r="BY584" s="43"/>
      <c r="BZ584" s="43"/>
      <c r="CA584" s="43"/>
      <c r="CB584" s="43"/>
      <c r="CC584" s="43"/>
      <c r="CD584" s="43"/>
      <c r="CE584" s="43"/>
      <c r="CF584" s="43"/>
      <c r="CG584" s="43"/>
      <c r="CH584" s="43"/>
      <c r="CI584" s="43"/>
      <c r="CJ584" s="43"/>
      <c r="CK584" s="43"/>
      <c r="CL584" s="43"/>
      <c r="CM584" s="43"/>
      <c r="CN584" s="43"/>
      <c r="CO584" s="43"/>
      <c r="CP584" s="43"/>
      <c r="CQ584" s="43"/>
      <c r="CR584" s="43"/>
      <c r="CS584" s="43"/>
      <c r="CT584" s="43"/>
      <c r="CU584" s="43"/>
      <c r="CV584" s="43"/>
      <c r="CW584" s="43"/>
      <c r="CX584" s="43"/>
      <c r="CY584" s="43"/>
      <c r="CZ584" s="43"/>
      <c r="DA584" s="43"/>
      <c r="DB584" s="43"/>
      <c r="DC584" s="43"/>
      <c r="DD584" s="43"/>
      <c r="DE584" s="43"/>
      <c r="DF584" s="43"/>
      <c r="DG584" s="43"/>
      <c r="DH584" s="43"/>
      <c r="DI584" s="43"/>
      <c r="DJ584" s="43"/>
      <c r="DK584" s="43"/>
      <c r="DL584" s="43"/>
      <c r="DM584" s="43"/>
      <c r="DN584" s="43"/>
      <c r="DO584" s="43"/>
      <c r="DP584" s="43"/>
      <c r="DQ584" s="43"/>
      <c r="DR584" s="43"/>
      <c r="DS584" s="43"/>
      <c r="DT584" s="43"/>
      <c r="DU584" s="43"/>
      <c r="DV584" s="43"/>
      <c r="DW584" s="43"/>
      <c r="DX584" s="43"/>
      <c r="DY584" s="43"/>
      <c r="DZ584" s="43"/>
      <c r="EA584" s="43"/>
      <c r="EB584" s="43"/>
      <c r="EC584" s="43"/>
      <c r="ED584" s="43"/>
      <c r="EE584" s="43"/>
      <c r="EF584" s="43"/>
      <c r="EG584" s="43"/>
      <c r="EH584" s="43"/>
      <c r="EI584" s="43"/>
      <c r="EJ584" s="43"/>
      <c r="EK584" s="43"/>
      <c r="EL584" s="43"/>
      <c r="EM584" s="43"/>
      <c r="EN584" s="43"/>
      <c r="EO584" s="43"/>
      <c r="EP584" s="43"/>
      <c r="EQ584" s="43"/>
      <c r="ER584" s="43"/>
      <c r="ES584" s="43"/>
      <c r="ET584" s="43"/>
      <c r="EU584" s="43"/>
      <c r="EV584" s="43"/>
      <c r="EW584" s="43"/>
      <c r="EX584" s="43"/>
      <c r="EY584" s="43"/>
      <c r="EZ584" s="43"/>
      <c r="FA584" s="43"/>
      <c r="FB584" s="43"/>
      <c r="FC584" s="43"/>
      <c r="FD584" s="43"/>
      <c r="FE584" s="43"/>
      <c r="FF584" s="43"/>
      <c r="FG584" s="43"/>
      <c r="FH584" s="43"/>
    </row>
    <row r="585">
      <c r="A585" s="47" t="s">
        <v>38</v>
      </c>
      <c r="B585" s="47" t="s">
        <v>98</v>
      </c>
      <c r="C585" s="47" t="s">
        <v>14</v>
      </c>
      <c r="D585" s="43">
        <f t="shared" si="1"/>
        <v>2496.412</v>
      </c>
      <c r="E585" s="43"/>
      <c r="F585" s="44" t="str">
        <f>HYPERLINK("https://docs.google.com/spreadsheets/d/1uGeJR7Dn2U7KY1A_DexSEQ0bfnRaHBbH?usp=share_link", "RE-315.979")</f>
        <v>RE-315.979</v>
      </c>
      <c r="G585" s="44" t="str">
        <f>HYPERLINK("https://docs.google.com/spreadsheets/d/1bfOUGI81ADQk9YyLex2qCuLKVpPUWhF6?usp=share_link", "RE-0.955783")</f>
        <v>RE-0.955783</v>
      </c>
      <c r="H585" s="44" t="str">
        <f>HYPERLINK("https://docs.google.com/spreadsheets/d/18zwI4hJ3_AhaRyeMoG9svo1Rb35Vttrk?usp=share_link", "RE-66.4633")</f>
        <v>RE-66.4633</v>
      </c>
      <c r="I585" s="43"/>
      <c r="J585" s="44" t="str">
        <f>HYPERLINK("https://docs.google.com/spreadsheets/d/1pKGHXqiJIX4XfRUHafs7iYbFr21b0ftL?usp=share_link", "RE-505.098")</f>
        <v>RE-505.098</v>
      </c>
      <c r="K585" s="44" t="str">
        <f>HYPERLINK("https://docs.google.com/spreadsheets/d/1QmLewFl9-thE5mPSUqlZd1NTZqaD5V3m?usp=share_link", "RE-3.71235")</f>
        <v>RE-3.71235</v>
      </c>
      <c r="L585" s="44">
        <f>HYPERLINK("https://docs.google.com/spreadsheets/d/1-U-N4PDhmTGrEnbmh0CFZLmKqCKp3rU0?usp=share_link", 1537.78)</f>
        <v>1537.78</v>
      </c>
      <c r="M585" s="44" t="str">
        <f>HYPERLINK("https://docs.google.com/spreadsheets/d/1uMipNHrMCTSKJSzOUW4DNyosL7euS9gG?usp=share_link", "RE-2.74502")</f>
        <v>RE-2.74502</v>
      </c>
      <c r="N585" s="44" t="str">
        <f>HYPERLINK("https://docs.google.com/spreadsheets/d/1IbZabZYimytZr-FQGYk_Ss8xDYrqlCoq?usp=share_link", "RE-2424.18")</f>
        <v>RE-2424.18</v>
      </c>
      <c r="O585" s="44" t="str">
        <f>HYPERLINK("https://docs.google.com/spreadsheets/d/18mzceRlD302DsFAHon-6Ib4JWw_h6nPQ?usp=share_link", "RE-17.5381")</f>
        <v>RE-17.5381</v>
      </c>
      <c r="P585" s="44">
        <f>HYPERLINK("https://docs.google.com/spreadsheets/d/1wGzdnAW-TpUE6OVVJk8CdAuRRlCalt8P?usp=share_link", 423.756)</f>
        <v>423.756</v>
      </c>
      <c r="Q585" s="44" t="str">
        <f>HYPERLINK("https://docs.google.com/spreadsheets/d/1HDBU06-fwU3Rh8QWUsBkKnw17aaemYRh?usp=share_link", "RE-29.9209")</f>
        <v>RE-29.9209</v>
      </c>
      <c r="R585" s="44">
        <f>HYPERLINK("https://docs.google.com/spreadsheets/d/1dooKIyKUrmwv44enodJ-DZUk-qqriJnk?usp=share_link", 105.99)</f>
        <v>105.99</v>
      </c>
      <c r="S585" s="44" t="str">
        <f>HYPERLINK("https://docs.google.com/spreadsheets/d/1u22W1WHpvsDSvQBiHkRclor2tRHqwmdJ?usp=share_link", "RE-13.0991")</f>
        <v>RE-13.0991</v>
      </c>
      <c r="T585" s="44">
        <f>HYPERLINK("https://docs.google.com/spreadsheets/d/1n4_3UEyRD8_u1Cde1QQb4dAb1u3adZ_F?usp=share_link", 428.886)</f>
        <v>428.886</v>
      </c>
      <c r="U585" s="44" t="str">
        <f>HYPERLINK("https://docs.google.com/spreadsheets/d/1etu_iTJfqOVO9rwTTiDIIHn7ufvEpBPj?usp=share_link", "RE-22.7426")</f>
        <v>RE-22.7426</v>
      </c>
      <c r="V585" s="44" t="str">
        <f>HYPERLINK("https://docs.google.com/spreadsheets/d/1QLJnBiInHZ5x8YkG0hPBqo1CMu_4SWCD?usp=share_link", "RE-7.17895")</f>
        <v>RE-7.17895</v>
      </c>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3"/>
      <c r="CJ585" s="43"/>
      <c r="CK585" s="43"/>
      <c r="CL585" s="43"/>
      <c r="CM585" s="43"/>
      <c r="CN585" s="43"/>
      <c r="CO585" s="43"/>
      <c r="CP585" s="43"/>
      <c r="CQ585" s="43"/>
      <c r="CR585" s="43"/>
      <c r="CS585" s="43"/>
      <c r="CT585" s="43"/>
      <c r="CU585" s="43"/>
      <c r="CV585" s="43"/>
      <c r="CW585" s="43"/>
      <c r="CX585" s="43"/>
      <c r="CY585" s="43"/>
      <c r="CZ585" s="43"/>
      <c r="DA585" s="43"/>
      <c r="DB585" s="43"/>
      <c r="DC585" s="43"/>
      <c r="DD585" s="43"/>
      <c r="DE585" s="43"/>
      <c r="DF585" s="43"/>
      <c r="DG585" s="43"/>
      <c r="DH585" s="43"/>
      <c r="DI585" s="43"/>
      <c r="DJ585" s="43"/>
      <c r="DK585" s="43"/>
      <c r="DL585" s="43"/>
      <c r="DM585" s="43"/>
      <c r="DN585" s="43"/>
      <c r="DO585" s="43"/>
      <c r="DP585" s="43"/>
      <c r="DQ585" s="43"/>
      <c r="DR585" s="43"/>
      <c r="DS585" s="43"/>
      <c r="DT585" s="43"/>
      <c r="DU585" s="43"/>
      <c r="DV585" s="43"/>
      <c r="DW585" s="43"/>
      <c r="DX585" s="43"/>
      <c r="DY585" s="43"/>
      <c r="DZ585" s="43"/>
      <c r="EA585" s="43"/>
      <c r="EB585" s="43"/>
      <c r="EC585" s="43"/>
      <c r="ED585" s="43"/>
      <c r="EE585" s="43"/>
      <c r="EF585" s="43"/>
      <c r="EG585" s="43"/>
      <c r="EH585" s="43"/>
      <c r="EI585" s="43"/>
      <c r="EJ585" s="43"/>
      <c r="EK585" s="43"/>
      <c r="EL585" s="43"/>
      <c r="EM585" s="43"/>
      <c r="EN585" s="43"/>
      <c r="EO585" s="43"/>
      <c r="EP585" s="43"/>
      <c r="EQ585" s="43"/>
      <c r="ER585" s="43"/>
      <c r="ES585" s="43"/>
      <c r="ET585" s="43"/>
      <c r="EU585" s="43"/>
      <c r="EV585" s="43"/>
      <c r="EW585" s="43"/>
      <c r="EX585" s="43"/>
      <c r="EY585" s="43"/>
      <c r="EZ585" s="43"/>
      <c r="FA585" s="43"/>
      <c r="FB585" s="43"/>
      <c r="FC585" s="43"/>
      <c r="FD585" s="43"/>
      <c r="FE585" s="43"/>
      <c r="FF585" s="43"/>
      <c r="FG585" s="43"/>
      <c r="FH585" s="43"/>
    </row>
    <row r="586">
      <c r="A586" s="48" t="s">
        <v>38</v>
      </c>
      <c r="B586" s="48" t="s">
        <v>98</v>
      </c>
      <c r="C586" s="48" t="s">
        <v>15</v>
      </c>
      <c r="D586" s="36">
        <f t="shared" si="1"/>
        <v>2848.497</v>
      </c>
      <c r="E586" s="36"/>
      <c r="F586" s="37" t="str">
        <f>HYPERLINK("https://docs.google.com/spreadsheets/d/1GPGR3Dr50t6SWHHd7Ve-XqlLR0cK0x9O?usp=share_link", "RE-347.683")</f>
        <v>RE-347.683</v>
      </c>
      <c r="G586" s="37" t="str">
        <f>HYPERLINK("https://docs.google.com/spreadsheets/d/13MBlwMMutEU_4sCCnQtY0H2plO6qwe5E?usp=share_link", "RE-0.955783")</f>
        <v>RE-0.955783</v>
      </c>
      <c r="H586" s="37" t="str">
        <f>HYPERLINK("https://docs.google.com/spreadsheets/d/1am5yD8YbowN6nce0yVVz_O2iodes5zV6?usp=share_link", "RE-72.4614")</f>
        <v>RE-72.4614</v>
      </c>
      <c r="I586" s="36"/>
      <c r="J586" s="37" t="str">
        <f>HYPERLINK("https://docs.google.com/spreadsheets/d/1FSaxAmxBp4ebbcGQArIKJ2wx7beUEsgT?usp=share_link", "RE-548")</f>
        <v>RE-548</v>
      </c>
      <c r="K586" s="37" t="str">
        <f>HYPERLINK("https://docs.google.com/spreadsheets/d/1QbsFmRk_X6KXLjmlavCr1ObPVx2FGv_l?usp=share_link", "RE-4.16")</f>
        <v>RE-4.16</v>
      </c>
      <c r="L586" s="37">
        <f>HYPERLINK("https://docs.google.com/spreadsheets/d/1VMmDFqB-yaPThTHqbyc0Y_VwEighNJ2q?usp=share_link", 1721.3)</f>
        <v>1721.3</v>
      </c>
      <c r="M586" s="37" t="str">
        <f>HYPERLINK("https://docs.google.com/spreadsheets/d/1-WxqmxsCAJgWVZtoDg1qOgHPPYb_XPkq?usp=share_link", "RE-3.0549")</f>
        <v>RE-3.0549</v>
      </c>
      <c r="N586" s="37" t="str">
        <f>HYPERLINK("https://docs.google.com/spreadsheets/d/12e9_mX0GydBPN3iEa9xSOqkoMHzPtHq7?usp=share_link", "RE-2715.13")</f>
        <v>RE-2715.13</v>
      </c>
      <c r="O586" s="37" t="str">
        <f>HYPERLINK("https://docs.google.com/spreadsheets/d/1QJOQes0DCKZR_kkTA3YjdxLnSer9Pi0h?usp=share_link", "RE-18.8903")</f>
        <v>RE-18.8903</v>
      </c>
      <c r="P586" s="37">
        <f>HYPERLINK("https://docs.google.com/spreadsheets/d/1OzuDONSgyQS9x0-7TSinNmOFPG-0F_BQ?usp=share_link", 494.014)</f>
        <v>494.014</v>
      </c>
      <c r="Q586" s="37" t="str">
        <f>HYPERLINK("https://docs.google.com/spreadsheets/d/1q7ChpYeQ82kxi_P9yIr62p_cn40jr4xr?usp=share_link", "RE-34.4185")</f>
        <v>RE-34.4185</v>
      </c>
      <c r="R586" s="37">
        <f>HYPERLINK("https://docs.google.com/spreadsheets/d/18CPSzBjHi2VFhK4l07oZBs8bPnnqg3gZ?usp=share_link", 125.242)</f>
        <v>125.242</v>
      </c>
      <c r="S586" s="37" t="str">
        <f>HYPERLINK("https://docs.google.com/spreadsheets/d/1zLlX1JnEQrjv5vCB_oPwOIl28IhAx_BL?usp=share_link", "RE-14.0149")</f>
        <v>RE-14.0149</v>
      </c>
      <c r="T586" s="37">
        <f>HYPERLINK("https://docs.google.com/spreadsheets/d/1i2PTs_AxnKgCjKfEF_OVALSPwzjqSzA_?usp=share_link", 507.941)</f>
        <v>507.941</v>
      </c>
      <c r="U586" s="37" t="str">
        <f>HYPERLINK("https://docs.google.com/spreadsheets/d/1r1k49W28feNFHJUAu3aZHWCD6En3VLLo?usp=share_link", "RE-25.0243")</f>
        <v>RE-25.0243</v>
      </c>
      <c r="V586" s="37" t="str">
        <f>HYPERLINK("https://docs.google.com/spreadsheets/d/1sgpdytzujh63nyKSjkhNUbp_urnyLrvH?usp=share_link", "RE-8.70277")</f>
        <v>RE-8.70277</v>
      </c>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6"/>
      <c r="AZ586" s="36"/>
      <c r="BA586" s="36"/>
      <c r="BB586" s="36"/>
      <c r="BC586" s="36"/>
      <c r="BD586" s="36"/>
      <c r="BE586" s="36"/>
      <c r="BF586" s="36"/>
      <c r="BG586" s="36"/>
      <c r="BH586" s="36"/>
      <c r="BI586" s="36"/>
      <c r="BJ586" s="36"/>
      <c r="BK586" s="36"/>
      <c r="BL586" s="36"/>
      <c r="BM586" s="36"/>
      <c r="BN586" s="36"/>
      <c r="BO586" s="36"/>
      <c r="BP586" s="36"/>
      <c r="BQ586" s="36"/>
      <c r="BR586" s="36"/>
      <c r="BS586" s="36"/>
      <c r="BT586" s="36"/>
      <c r="BU586" s="36"/>
      <c r="BV586" s="36"/>
      <c r="BW586" s="36"/>
      <c r="BX586" s="36"/>
      <c r="BY586" s="36"/>
      <c r="BZ586" s="36"/>
      <c r="CA586" s="36"/>
      <c r="CB586" s="36"/>
      <c r="CC586" s="36"/>
      <c r="CD586" s="36"/>
      <c r="CE586" s="36"/>
      <c r="CF586" s="36"/>
      <c r="CG586" s="36"/>
      <c r="CH586" s="36"/>
      <c r="CI586" s="36"/>
      <c r="CJ586" s="36"/>
      <c r="CK586" s="36"/>
      <c r="CL586" s="36"/>
      <c r="CM586" s="36"/>
      <c r="CN586" s="36"/>
      <c r="CO586" s="36"/>
      <c r="CP586" s="36"/>
      <c r="CQ586" s="36"/>
      <c r="CR586" s="36"/>
      <c r="CS586" s="36"/>
      <c r="CT586" s="36"/>
      <c r="CU586" s="36"/>
      <c r="CV586" s="36"/>
      <c r="CW586" s="36"/>
      <c r="CX586" s="36"/>
      <c r="CY586" s="36"/>
      <c r="CZ586" s="36"/>
      <c r="DA586" s="36"/>
      <c r="DB586" s="36"/>
      <c r="DC586" s="36"/>
      <c r="DD586" s="36"/>
      <c r="DE586" s="36"/>
      <c r="DF586" s="36"/>
      <c r="DG586" s="36"/>
      <c r="DH586" s="36"/>
      <c r="DI586" s="36"/>
      <c r="DJ586" s="36"/>
      <c r="DK586" s="36"/>
      <c r="DL586" s="36"/>
      <c r="DM586" s="36"/>
      <c r="DN586" s="36"/>
      <c r="DO586" s="36"/>
      <c r="DP586" s="36"/>
      <c r="DQ586" s="36"/>
      <c r="DR586" s="36"/>
      <c r="DS586" s="36"/>
      <c r="DT586" s="36"/>
      <c r="DU586" s="36"/>
      <c r="DV586" s="36"/>
      <c r="DW586" s="36"/>
      <c r="DX586" s="36"/>
      <c r="DY586" s="36"/>
      <c r="DZ586" s="36"/>
      <c r="EA586" s="36"/>
      <c r="EB586" s="36"/>
      <c r="EC586" s="36"/>
      <c r="ED586" s="36"/>
      <c r="EE586" s="36"/>
      <c r="EF586" s="36"/>
      <c r="EG586" s="36"/>
      <c r="EH586" s="36"/>
      <c r="EI586" s="36"/>
      <c r="EJ586" s="36"/>
      <c r="EK586" s="36"/>
      <c r="EL586" s="36"/>
      <c r="EM586" s="36"/>
      <c r="EN586" s="36"/>
      <c r="EO586" s="36"/>
      <c r="EP586" s="36"/>
      <c r="EQ586" s="36"/>
      <c r="ER586" s="36"/>
      <c r="ES586" s="36"/>
      <c r="ET586" s="36"/>
      <c r="EU586" s="36"/>
      <c r="EV586" s="36"/>
      <c r="EW586" s="36"/>
      <c r="EX586" s="36"/>
      <c r="EY586" s="36"/>
      <c r="EZ586" s="36"/>
      <c r="FA586" s="36"/>
      <c r="FB586" s="36"/>
      <c r="FC586" s="36"/>
      <c r="FD586" s="36"/>
      <c r="FE586" s="36"/>
      <c r="FF586" s="36"/>
      <c r="FG586" s="36"/>
      <c r="FH586" s="36"/>
    </row>
    <row r="587">
      <c r="A587" s="45" t="s">
        <v>38</v>
      </c>
      <c r="B587" s="45" t="s">
        <v>99</v>
      </c>
      <c r="C587" s="46" t="str">
        <f>HYPERLINK("https://docs.google.com/spreadsheets/d/1OukOZnr-lta2BOWbWTT0Z8949yezBp01/edit?usp=share_link&amp;ouid=106501987799020758802&amp;rtpof=true&amp;sd=true", "Raw Delivered")</f>
        <v>Raw Delivered</v>
      </c>
      <c r="D587" s="40">
        <f t="shared" si="1"/>
        <v>5992.482109</v>
      </c>
      <c r="E587" s="40"/>
      <c r="F587" s="41">
        <f>HYPERLINK("https://docs.google.com/spreadsheets/d/1ZdPqdK_qhu_t07EfAw6jnkXetwdg2hj7", 1204.72109895833)</f>
        <v>1204.721099</v>
      </c>
      <c r="G587" s="40"/>
      <c r="H587" s="41">
        <f>HYPERLINK("https://docs.google.com/spreadsheets/d/1lA8ltRe7mkrAikNqgXqAp1bJZBBiFHxF", 321.208813541666)</f>
        <v>321.2088135</v>
      </c>
      <c r="I587" s="40"/>
      <c r="J587" s="41">
        <f>HYPERLINK("https://docs.google.com/spreadsheets/d/1etAV1TQG2rZj8zqUuYZEkbK1snK6mc1z", 780.773253124999)</f>
        <v>780.7732531</v>
      </c>
      <c r="K587" s="40"/>
      <c r="L587" s="41">
        <f t="shared" ref="L587:L588" si="294">HYPERLINK("https://docs.google.com/spreadsheets/d/1dnZOiDQi95_dyThjBFQ9pIdsJ0ykbzjV", 944.260903125)</f>
        <v>944.2609031</v>
      </c>
      <c r="M587" s="40"/>
      <c r="N587" s="41">
        <f>HYPERLINK("https://docs.google.com/spreadsheets/d/12Dav7b_PXyVta9S_hUA8IDDf0q7ufylA", 1608.69258541667)</f>
        <v>1608.692585</v>
      </c>
      <c r="O587" s="40"/>
      <c r="P587" s="41">
        <f t="shared" ref="P587:P588" si="295">HYPERLINK("https://docs.google.com/spreadsheets/d/1RfB0Eg61IPe4K7QwbJwNKN0-7uuKePnC", 752.678102083333)</f>
        <v>752.6781021</v>
      </c>
      <c r="Q587" s="40"/>
      <c r="R587" s="41">
        <f t="shared" ref="R587:R588" si="296">HYPERLINK("https://docs.google.com/spreadsheets/d/1eHocFVpg3nkKIcmDHxM_FAaWFNc5ZsXf", 90.3642416666666)</f>
        <v>90.36424167</v>
      </c>
      <c r="S587" s="40"/>
      <c r="T587" s="41">
        <f t="shared" ref="T587:T588" si="297">HYPERLINK("https://docs.google.com/spreadsheets/d/1491Mf0zn4CECMkSOYSznaPbJFMpo6l39", 289.783111458333)</f>
        <v>289.7831115</v>
      </c>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0"/>
      <c r="FG587" s="40"/>
      <c r="FH587" s="40"/>
    </row>
    <row r="588">
      <c r="A588" s="47" t="s">
        <v>38</v>
      </c>
      <c r="B588" s="47" t="s">
        <v>99</v>
      </c>
      <c r="C588" s="47" t="s">
        <v>9</v>
      </c>
      <c r="D588" s="43">
        <f t="shared" si="1"/>
        <v>2077.086358</v>
      </c>
      <c r="E588" s="43"/>
      <c r="F588" s="44" t="str">
        <f>HYPERLINK("https://docs.google.com/spreadsheets/d/1ZdPqdK_qhu_t07EfAw6jnkXetwdg2hj7", "RE-1204.7210989583332")</f>
        <v>RE-1204.7210989583332</v>
      </c>
      <c r="G588" s="43"/>
      <c r="H588" s="44" t="str">
        <f>HYPERLINK("https://docs.google.com/spreadsheets/d/1lA8ltRe7mkrAikNqgXqAp1bJZBBiFHxF", "RE-321.208813541666")</f>
        <v>RE-321.208813541666</v>
      </c>
      <c r="I588" s="43"/>
      <c r="J588" s="44" t="str">
        <f>HYPERLINK("https://docs.google.com/spreadsheets/d/1etAV1TQG2rZj8zqUuYZEkbK1snK6mc1z", "RE-780.7732531249993")</f>
        <v>RE-780.7732531249993</v>
      </c>
      <c r="K588" s="43"/>
      <c r="L588" s="44">
        <f t="shared" si="294"/>
        <v>944.2609031</v>
      </c>
      <c r="M588" s="43"/>
      <c r="N588" s="44" t="str">
        <f>HYPERLINK("https://docs.google.com/spreadsheets/d/12Dav7b_PXyVta9S_hUA8IDDf0q7ufylA", "RE-1608.6925854166707")</f>
        <v>RE-1608.6925854166707</v>
      </c>
      <c r="O588" s="43"/>
      <c r="P588" s="44">
        <f t="shared" si="295"/>
        <v>752.6781021</v>
      </c>
      <c r="Q588" s="43"/>
      <c r="R588" s="44">
        <f t="shared" si="296"/>
        <v>90.36424167</v>
      </c>
      <c r="S588" s="43"/>
      <c r="T588" s="44">
        <f t="shared" si="297"/>
        <v>289.7831115</v>
      </c>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c r="BO588" s="43"/>
      <c r="BP588" s="43"/>
      <c r="BQ588" s="43"/>
      <c r="BR588" s="43"/>
      <c r="BS588" s="43"/>
      <c r="BT588" s="43"/>
      <c r="BU588" s="43"/>
      <c r="BV588" s="43"/>
      <c r="BW588" s="43"/>
      <c r="BX588" s="43"/>
      <c r="BY588" s="43"/>
      <c r="BZ588" s="43"/>
      <c r="CA588" s="43"/>
      <c r="CB588" s="43"/>
      <c r="CC588" s="43"/>
      <c r="CD588" s="43"/>
      <c r="CE588" s="43"/>
      <c r="CF588" s="43"/>
      <c r="CG588" s="43"/>
      <c r="CH588" s="43"/>
      <c r="CI588" s="43"/>
      <c r="CJ588" s="43"/>
      <c r="CK588" s="43"/>
      <c r="CL588" s="43"/>
      <c r="CM588" s="43"/>
      <c r="CN588" s="43"/>
      <c r="CO588" s="43"/>
      <c r="CP588" s="43"/>
      <c r="CQ588" s="43"/>
      <c r="CR588" s="43"/>
      <c r="CS588" s="43"/>
      <c r="CT588" s="43"/>
      <c r="CU588" s="43"/>
      <c r="CV588" s="43"/>
      <c r="CW588" s="43"/>
      <c r="CX588" s="43"/>
      <c r="CY588" s="43"/>
      <c r="CZ588" s="43"/>
      <c r="DA588" s="43"/>
      <c r="DB588" s="43"/>
      <c r="DC588" s="43"/>
      <c r="DD588" s="43"/>
      <c r="DE588" s="43"/>
      <c r="DF588" s="43"/>
      <c r="DG588" s="43"/>
      <c r="DH588" s="43"/>
      <c r="DI588" s="43"/>
      <c r="DJ588" s="43"/>
      <c r="DK588" s="43"/>
      <c r="DL588" s="43"/>
      <c r="DM588" s="43"/>
      <c r="DN588" s="43"/>
      <c r="DO588" s="43"/>
      <c r="DP588" s="43"/>
      <c r="DQ588" s="43"/>
      <c r="DR588" s="43"/>
      <c r="DS588" s="43"/>
      <c r="DT588" s="43"/>
      <c r="DU588" s="43"/>
      <c r="DV588" s="43"/>
      <c r="DW588" s="43"/>
      <c r="DX588" s="43"/>
      <c r="DY588" s="43"/>
      <c r="DZ588" s="43"/>
      <c r="EA588" s="43"/>
      <c r="EB588" s="43"/>
      <c r="EC588" s="43"/>
      <c r="ED588" s="43"/>
      <c r="EE588" s="43"/>
      <c r="EF588" s="43"/>
      <c r="EG588" s="43"/>
      <c r="EH588" s="43"/>
      <c r="EI588" s="43"/>
      <c r="EJ588" s="43"/>
      <c r="EK588" s="43"/>
      <c r="EL588" s="43"/>
      <c r="EM588" s="43"/>
      <c r="EN588" s="43"/>
      <c r="EO588" s="43"/>
      <c r="EP588" s="43"/>
      <c r="EQ588" s="43"/>
      <c r="ER588" s="43"/>
      <c r="ES588" s="43"/>
      <c r="ET588" s="43"/>
      <c r="EU588" s="43"/>
      <c r="EV588" s="43"/>
      <c r="EW588" s="43"/>
      <c r="EX588" s="43"/>
      <c r="EY588" s="43"/>
      <c r="EZ588" s="43"/>
      <c r="FA588" s="43"/>
      <c r="FB588" s="43"/>
      <c r="FC588" s="43"/>
      <c r="FD588" s="43"/>
      <c r="FE588" s="43"/>
      <c r="FF588" s="43"/>
      <c r="FG588" s="43"/>
      <c r="FH588" s="43"/>
    </row>
    <row r="589">
      <c r="A589" s="47" t="s">
        <v>38</v>
      </c>
      <c r="B589" s="47" t="s">
        <v>99</v>
      </c>
      <c r="C589" s="47" t="s">
        <v>10</v>
      </c>
      <c r="D589" s="43">
        <f t="shared" si="1"/>
        <v>602.4644208</v>
      </c>
      <c r="E589" s="43"/>
      <c r="F589" s="43"/>
      <c r="G589" s="44">
        <f>HYPERLINK("https://docs.google.com/spreadsheets/d/1i5MpJbCxtfA2QzQ1FYfFN2Od_czktOmF", 113.267749999999)</f>
        <v>113.26775</v>
      </c>
      <c r="H589" s="43"/>
      <c r="I589" s="44">
        <f>HYPERLINK("https://docs.google.com/spreadsheets/d/1fFCbd3BsGwfb-yDjCOEUbRepE_ZnGXm_", 13.710403125)</f>
        <v>13.71040313</v>
      </c>
      <c r="J589" s="43"/>
      <c r="K589" s="44">
        <f>HYPERLINK("https://docs.google.com/spreadsheets/d/1XQr2hvIpaUyWiRgGiC3X0ioYXKeEMS5P", 62.9364947916666)</f>
        <v>62.93649479</v>
      </c>
      <c r="L589" s="43"/>
      <c r="M589" s="44">
        <f>HYPERLINK("https://docs.google.com/spreadsheets/d/1skItl98PmwoAUpLs435qtstVKzz6ptVc", 37.8542302083333)</f>
        <v>37.85423021</v>
      </c>
      <c r="N589" s="43"/>
      <c r="O589" s="44">
        <f>HYPERLINK("https://docs.google.com/spreadsheets/d/1nIFHstobmJknBCCZboyWcaE2iCP5zahh", 232.001437499999)</f>
        <v>232.0014375</v>
      </c>
      <c r="P589" s="43"/>
      <c r="Q589" s="44">
        <f>HYPERLINK("https://docs.google.com/spreadsheets/d/1pao1u3D6DI8-YrqdglVGPS5d2L2EoZuK", 97.4907625)</f>
        <v>97.4907625</v>
      </c>
      <c r="R589" s="43"/>
      <c r="S589" s="44">
        <f>HYPERLINK("https://docs.google.com/spreadsheets/d/1CJrppXojZmDPMw9eXCDad18O033v5uZc", 24.3355093749999)</f>
        <v>24.33550937</v>
      </c>
      <c r="T589" s="43"/>
      <c r="U589" s="44">
        <f>HYPERLINK("https://docs.google.com/spreadsheets/d/1Lv_QVJCOg2h9qY74PiGDnpE-Mg0c1fkK", 16.5479875)</f>
        <v>16.5479875</v>
      </c>
      <c r="V589" s="44">
        <f>HYPERLINK("https://docs.google.com/spreadsheets/d/1I0LsZlcBOWp2pO7KHnSWbDD8PJPP_XDr", 4.31984583333333)</f>
        <v>4.319845833</v>
      </c>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c r="BO589" s="43"/>
      <c r="BP589" s="43"/>
      <c r="BQ589" s="43"/>
      <c r="BR589" s="43"/>
      <c r="BS589" s="43"/>
      <c r="BT589" s="43"/>
      <c r="BU589" s="43"/>
      <c r="BV589" s="43"/>
      <c r="BW589" s="43"/>
      <c r="BX589" s="43"/>
      <c r="BY589" s="43"/>
      <c r="BZ589" s="43"/>
      <c r="CA589" s="43"/>
      <c r="CB589" s="43"/>
      <c r="CC589" s="43"/>
      <c r="CD589" s="43"/>
      <c r="CE589" s="43"/>
      <c r="CF589" s="43"/>
      <c r="CG589" s="43"/>
      <c r="CH589" s="43"/>
      <c r="CI589" s="43"/>
      <c r="CJ589" s="43"/>
      <c r="CK589" s="43"/>
      <c r="CL589" s="43"/>
      <c r="CM589" s="43"/>
      <c r="CN589" s="43"/>
      <c r="CO589" s="43"/>
      <c r="CP589" s="43"/>
      <c r="CQ589" s="43"/>
      <c r="CR589" s="43"/>
      <c r="CS589" s="43"/>
      <c r="CT589" s="43"/>
      <c r="CU589" s="43"/>
      <c r="CV589" s="43"/>
      <c r="CW589" s="43"/>
      <c r="CX589" s="43"/>
      <c r="CY589" s="43"/>
      <c r="CZ589" s="43"/>
      <c r="DA589" s="43"/>
      <c r="DB589" s="43"/>
      <c r="DC589" s="43"/>
      <c r="DD589" s="43"/>
      <c r="DE589" s="43"/>
      <c r="DF589" s="43"/>
      <c r="DG589" s="43"/>
      <c r="DH589" s="43"/>
      <c r="DI589" s="43"/>
      <c r="DJ589" s="43"/>
      <c r="DK589" s="43"/>
      <c r="DL589" s="43"/>
      <c r="DM589" s="43"/>
      <c r="DN589" s="43"/>
      <c r="DO589" s="43"/>
      <c r="DP589" s="43"/>
      <c r="DQ589" s="43"/>
      <c r="DR589" s="43"/>
      <c r="DS589" s="43"/>
      <c r="DT589" s="43"/>
      <c r="DU589" s="43"/>
      <c r="DV589" s="43"/>
      <c r="DW589" s="43"/>
      <c r="DX589" s="43"/>
      <c r="DY589" s="43"/>
      <c r="DZ589" s="43"/>
      <c r="EA589" s="43"/>
      <c r="EB589" s="43"/>
      <c r="EC589" s="43"/>
      <c r="ED589" s="43"/>
      <c r="EE589" s="43"/>
      <c r="EF589" s="43"/>
      <c r="EG589" s="43"/>
      <c r="EH589" s="43"/>
      <c r="EI589" s="43"/>
      <c r="EJ589" s="43"/>
      <c r="EK589" s="43"/>
      <c r="EL589" s="43"/>
      <c r="EM589" s="43"/>
      <c r="EN589" s="43"/>
      <c r="EO589" s="43"/>
      <c r="EP589" s="43"/>
      <c r="EQ589" s="43"/>
      <c r="ER589" s="43"/>
      <c r="ES589" s="43"/>
      <c r="ET589" s="43"/>
      <c r="EU589" s="43"/>
      <c r="EV589" s="43"/>
      <c r="EW589" s="43"/>
      <c r="EX589" s="43"/>
      <c r="EY589" s="43"/>
      <c r="EZ589" s="43"/>
      <c r="FA589" s="43"/>
      <c r="FB589" s="43"/>
      <c r="FC589" s="43"/>
      <c r="FD589" s="43"/>
      <c r="FE589" s="43"/>
      <c r="FF589" s="43"/>
      <c r="FG589" s="43"/>
      <c r="FH589" s="43"/>
    </row>
    <row r="590">
      <c r="A590" s="47" t="s">
        <v>38</v>
      </c>
      <c r="B590" s="47" t="s">
        <v>99</v>
      </c>
      <c r="C590" s="47" t="s">
        <v>11</v>
      </c>
      <c r="D590" s="43">
        <f t="shared" si="1"/>
        <v>0</v>
      </c>
      <c r="E590" s="43"/>
      <c r="F590" s="43"/>
      <c r="G590" s="44" t="str">
        <f>HYPERLINK("https://docs.google.com/spreadsheets/d/1i5MpJbCxtfA2QzQ1FYfFN2Od_czktOmF", "RE-113.26774999999995")</f>
        <v>RE-113.26774999999995</v>
      </c>
      <c r="H590" s="43"/>
      <c r="I590" s="44" t="str">
        <f>HYPERLINK("https://docs.google.com/spreadsheets/d/1fFCbd3BsGwfb-yDjCOEUbRepE_ZnGXm_", "RE-13.710403125000003")</f>
        <v>RE-13.710403125000003</v>
      </c>
      <c r="J590" s="43"/>
      <c r="K590" s="44" t="str">
        <f>HYPERLINK("https://docs.google.com/spreadsheets/d/1XQr2hvIpaUyWiRgGiC3X0ioYXKeEMS5P", "RE-62.93649479166667")</f>
        <v>RE-62.93649479166667</v>
      </c>
      <c r="L590" s="43"/>
      <c r="M590" s="44" t="str">
        <f>HYPERLINK("https://docs.google.com/spreadsheets/d/1skItl98PmwoAUpLs435qtstVKzz6ptVc", "RE-37.85423020833333")</f>
        <v>RE-37.85423020833333</v>
      </c>
      <c r="N590" s="43"/>
      <c r="O590" s="44" t="str">
        <f>HYPERLINK("https://docs.google.com/spreadsheets/d/1nIFHstobmJknBCCZboyWcaE2iCP5zahh", "RE-232.0014374999998")</f>
        <v>RE-232.0014374999998</v>
      </c>
      <c r="P590" s="43"/>
      <c r="Q590" s="44" t="str">
        <f>HYPERLINK("https://docs.google.com/spreadsheets/d/1pao1u3D6DI8-YrqdglVGPS5d2L2EoZuK", "RE-97.49076250000002")</f>
        <v>RE-97.49076250000002</v>
      </c>
      <c r="R590" s="43"/>
      <c r="S590" s="44" t="str">
        <f>HYPERLINK("https://docs.google.com/spreadsheets/d/1CJrppXojZmDPMw9eXCDad18O033v5uZc", "RE-24.335509374999994")</f>
        <v>RE-24.335509374999994</v>
      </c>
      <c r="T590" s="43"/>
      <c r="U590" s="44" t="str">
        <f>HYPERLINK("https://docs.google.com/spreadsheets/d/1Lv_QVJCOg2h9qY74PiGDnpE-Mg0c1fkK", "RE-16.5479875")</f>
        <v>RE-16.5479875</v>
      </c>
      <c r="V590" s="44" t="str">
        <f>HYPERLINK("https://docs.google.com/spreadsheets/d/1I0LsZlcBOWp2pO7KHnSWbDD8PJPP_XDr", "RE-4.319845833333334")</f>
        <v>RE-4.319845833333334</v>
      </c>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c r="BO590" s="43"/>
      <c r="BP590" s="43"/>
      <c r="BQ590" s="43"/>
      <c r="BR590" s="43"/>
      <c r="BS590" s="43"/>
      <c r="BT590" s="43"/>
      <c r="BU590" s="43"/>
      <c r="BV590" s="43"/>
      <c r="BW590" s="43"/>
      <c r="BX590" s="43"/>
      <c r="BY590" s="43"/>
      <c r="BZ590" s="43"/>
      <c r="CA590" s="43"/>
      <c r="CB590" s="43"/>
      <c r="CC590" s="43"/>
      <c r="CD590" s="43"/>
      <c r="CE590" s="43"/>
      <c r="CF590" s="43"/>
      <c r="CG590" s="43"/>
      <c r="CH590" s="43"/>
      <c r="CI590" s="43"/>
      <c r="CJ590" s="43"/>
      <c r="CK590" s="43"/>
      <c r="CL590" s="43"/>
      <c r="CM590" s="43"/>
      <c r="CN590" s="43"/>
      <c r="CO590" s="43"/>
      <c r="CP590" s="43"/>
      <c r="CQ590" s="43"/>
      <c r="CR590" s="43"/>
      <c r="CS590" s="43"/>
      <c r="CT590" s="43"/>
      <c r="CU590" s="43"/>
      <c r="CV590" s="43"/>
      <c r="CW590" s="43"/>
      <c r="CX590" s="43"/>
      <c r="CY590" s="43"/>
      <c r="CZ590" s="43"/>
      <c r="DA590" s="43"/>
      <c r="DB590" s="43"/>
      <c r="DC590" s="43"/>
      <c r="DD590" s="43"/>
      <c r="DE590" s="43"/>
      <c r="DF590" s="43"/>
      <c r="DG590" s="43"/>
      <c r="DH590" s="43"/>
      <c r="DI590" s="43"/>
      <c r="DJ590" s="43"/>
      <c r="DK590" s="43"/>
      <c r="DL590" s="43"/>
      <c r="DM590" s="43"/>
      <c r="DN590" s="43"/>
      <c r="DO590" s="43"/>
      <c r="DP590" s="43"/>
      <c r="DQ590" s="43"/>
      <c r="DR590" s="43"/>
      <c r="DS590" s="43"/>
      <c r="DT590" s="43"/>
      <c r="DU590" s="43"/>
      <c r="DV590" s="43"/>
      <c r="DW590" s="43"/>
      <c r="DX590" s="43"/>
      <c r="DY590" s="43"/>
      <c r="DZ590" s="43"/>
      <c r="EA590" s="43"/>
      <c r="EB590" s="43"/>
      <c r="EC590" s="43"/>
      <c r="ED590" s="43"/>
      <c r="EE590" s="43"/>
      <c r="EF590" s="43"/>
      <c r="EG590" s="43"/>
      <c r="EH590" s="43"/>
      <c r="EI590" s="43"/>
      <c r="EJ590" s="43"/>
      <c r="EK590" s="43"/>
      <c r="EL590" s="43"/>
      <c r="EM590" s="43"/>
      <c r="EN590" s="43"/>
      <c r="EO590" s="43"/>
      <c r="EP590" s="43"/>
      <c r="EQ590" s="43"/>
      <c r="ER590" s="43"/>
      <c r="ES590" s="43"/>
      <c r="ET590" s="43"/>
      <c r="EU590" s="43"/>
      <c r="EV590" s="43"/>
      <c r="EW590" s="43"/>
      <c r="EX590" s="43"/>
      <c r="EY590" s="43"/>
      <c r="EZ590" s="43"/>
      <c r="FA590" s="43"/>
      <c r="FB590" s="43"/>
      <c r="FC590" s="43"/>
      <c r="FD590" s="43"/>
      <c r="FE590" s="43"/>
      <c r="FF590" s="43"/>
      <c r="FG590" s="43"/>
      <c r="FH590" s="43"/>
    </row>
    <row r="591">
      <c r="A591" s="47" t="s">
        <v>38</v>
      </c>
      <c r="B591" s="47" t="s">
        <v>99</v>
      </c>
      <c r="C591" s="47" t="s">
        <v>12</v>
      </c>
      <c r="D591" s="43">
        <f t="shared" si="1"/>
        <v>1926.361097</v>
      </c>
      <c r="E591" s="43"/>
      <c r="F591" s="44" t="str">
        <f>HYPERLINK("https://docs.google.com/spreadsheets/d/1PLmf10OHOOTXD67FFcWsAI768mUOkoLu", "RE-1017.3700291666653")</f>
        <v>RE-1017.3700291666653</v>
      </c>
      <c r="G591" s="44" t="str">
        <f>HYPERLINK("https://docs.google.com/spreadsheets/d/1LUHBH5EyuaFMcpNKlHFtsSwW3WfQAjSZ", "RE-2.3089895833333336")</f>
        <v>RE-2.3089895833333336</v>
      </c>
      <c r="H591" s="44" t="str">
        <f>HYPERLINK("https://docs.google.com/spreadsheets/d/1rprXZzauS5DMMNGtZBRkfSUSlt7wnxFm", "RE-284.4045927083331")</f>
        <v>RE-284.4045927083331</v>
      </c>
      <c r="I591" s="44" t="str">
        <f>HYPERLINK("https://docs.google.com/spreadsheets/d/1YdJbqWMSuiJLj56baX7-PyTITgitMMST", "RE-0.6095708333333333")</f>
        <v>RE-0.6095708333333333</v>
      </c>
      <c r="J591" s="44" t="str">
        <f>HYPERLINK("https://docs.google.com/spreadsheets/d/1nQEzoFMtJ9R9swM45Mc3hGDV7yYJoZOo", "RE-618.7914020833338")</f>
        <v>RE-618.7914020833338</v>
      </c>
      <c r="K591" s="44" t="str">
        <f>HYPERLINK("https://docs.google.com/spreadsheets/d/13QkjFRXkgvdwl3ZAMWz8r4U6BFob8SFN", "RE-3.4292145833333327")</f>
        <v>RE-3.4292145833333327</v>
      </c>
      <c r="L591" s="44">
        <f>HYPERLINK("https://docs.google.com/spreadsheets/d/1PEAN8v8B6rkFLjN6_DS_FJV3YtyTpWV9", 890.181982291666)</f>
        <v>890.1819823</v>
      </c>
      <c r="M591" s="44" t="str">
        <f>HYPERLINK("https://docs.google.com/spreadsheets/d/1ah6zL2XUm4RsJHHerhLNZ6DGM2pihai7", "RE-9.684529166666666")</f>
        <v>RE-9.684529166666666</v>
      </c>
      <c r="N591" s="44" t="str">
        <f>HYPERLINK("https://docs.google.com/spreadsheets/d/16_iqpp0LKQL-OLvzO1Fi8FgnWl9-GSSY", "RE-1036.8574062500052")</f>
        <v>RE-1036.8574062500052</v>
      </c>
      <c r="O591" s="44" t="str">
        <f>HYPERLINK("https://docs.google.com/spreadsheets/d/1WRaC0TZj9_yplHj3PNJDwPqAtdEdDLlu", "RE-8.479254166666667")</f>
        <v>RE-8.479254166666667</v>
      </c>
      <c r="P591" s="44">
        <f>HYPERLINK("https://docs.google.com/spreadsheets/d/1YzY8NoDuwLvfzMOWIpa_PS1VwTQPHCx4", 670.737780208333)</f>
        <v>670.7377802</v>
      </c>
      <c r="Q591" s="44" t="str">
        <f>HYPERLINK("https://docs.google.com/spreadsheets/d/1b7nZ5QPP_x1jO_Kau5zaA3XZ7ddWXTbl", "RE-30.040446875000008")</f>
        <v>RE-30.040446875000008</v>
      </c>
      <c r="R591" s="44">
        <f>HYPERLINK("https://docs.google.com/spreadsheets/d/1h0j-klo4JcCaEKpUIwkbx6Z3H_gX5Ojy", 89.4636208333333)</f>
        <v>89.46362083</v>
      </c>
      <c r="S591" s="44" t="str">
        <f>HYPERLINK("https://docs.google.com/spreadsheets/d/1VHeES0uY42HDX10RYBG_i6HQBb0JOS9g", "RE-16.960731250000006")</f>
        <v>RE-16.960731250000006</v>
      </c>
      <c r="T591" s="44">
        <f>HYPERLINK("https://docs.google.com/spreadsheets/d/1CtPSJYrCdq1pUI5QQVbuRGYKABKIwK6E", 275.977713541666)</f>
        <v>275.9777135</v>
      </c>
      <c r="U591" s="44" t="str">
        <f>HYPERLINK("https://docs.google.com/spreadsheets/d/1jrp354e8ezynLETTORl9lbhQWsN8N8Gc", "RE-10.335789583333332")</f>
        <v>RE-10.335789583333332</v>
      </c>
      <c r="V591" s="44" t="str">
        <f>HYPERLINK("https://docs.google.com/spreadsheets/d/1w2NskSANRtrGIx7buz9N7uXZpugtHBKJ", "RE-3.7500750000000007")</f>
        <v>RE-3.7500750000000007</v>
      </c>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3"/>
      <c r="CJ591" s="43"/>
      <c r="CK591" s="43"/>
      <c r="CL591" s="43"/>
      <c r="CM591" s="43"/>
      <c r="CN591" s="43"/>
      <c r="CO591" s="43"/>
      <c r="CP591" s="43"/>
      <c r="CQ591" s="43"/>
      <c r="CR591" s="43"/>
      <c r="CS591" s="43"/>
      <c r="CT591" s="43"/>
      <c r="CU591" s="43"/>
      <c r="CV591" s="43"/>
      <c r="CW591" s="43"/>
      <c r="CX591" s="43"/>
      <c r="CY591" s="43"/>
      <c r="CZ591" s="43"/>
      <c r="DA591" s="43"/>
      <c r="DB591" s="43"/>
      <c r="DC591" s="43"/>
      <c r="DD591" s="43"/>
      <c r="DE591" s="43"/>
      <c r="DF591" s="43"/>
      <c r="DG591" s="43"/>
      <c r="DH591" s="43"/>
      <c r="DI591" s="43"/>
      <c r="DJ591" s="43"/>
      <c r="DK591" s="43"/>
      <c r="DL591" s="43"/>
      <c r="DM591" s="43"/>
      <c r="DN591" s="43"/>
      <c r="DO591" s="43"/>
      <c r="DP591" s="43"/>
      <c r="DQ591" s="43"/>
      <c r="DR591" s="43"/>
      <c r="DS591" s="43"/>
      <c r="DT591" s="43"/>
      <c r="DU591" s="43"/>
      <c r="DV591" s="43"/>
      <c r="DW591" s="43"/>
      <c r="DX591" s="43"/>
      <c r="DY591" s="43"/>
      <c r="DZ591" s="43"/>
      <c r="EA591" s="43"/>
      <c r="EB591" s="43"/>
      <c r="EC591" s="43"/>
      <c r="ED591" s="43"/>
      <c r="EE591" s="43"/>
      <c r="EF591" s="43"/>
      <c r="EG591" s="43"/>
      <c r="EH591" s="43"/>
      <c r="EI591" s="43"/>
      <c r="EJ591" s="43"/>
      <c r="EK591" s="43"/>
      <c r="EL591" s="43"/>
      <c r="EM591" s="43"/>
      <c r="EN591" s="43"/>
      <c r="EO591" s="43"/>
      <c r="EP591" s="43"/>
      <c r="EQ591" s="43"/>
      <c r="ER591" s="43"/>
      <c r="ES591" s="43"/>
      <c r="ET591" s="43"/>
      <c r="EU591" s="43"/>
      <c r="EV591" s="43"/>
      <c r="EW591" s="43"/>
      <c r="EX591" s="43"/>
      <c r="EY591" s="43"/>
      <c r="EZ591" s="43"/>
      <c r="FA591" s="43"/>
      <c r="FB591" s="43"/>
      <c r="FC591" s="43"/>
      <c r="FD591" s="43"/>
      <c r="FE591" s="43"/>
      <c r="FF591" s="43"/>
      <c r="FG591" s="43"/>
      <c r="FH591" s="43"/>
    </row>
    <row r="592">
      <c r="A592" s="47" t="s">
        <v>38</v>
      </c>
      <c r="B592" s="47" t="s">
        <v>99</v>
      </c>
      <c r="C592" s="47" t="s">
        <v>13</v>
      </c>
      <c r="D592" s="43">
        <f t="shared" si="1"/>
        <v>1818.8907</v>
      </c>
      <c r="E592" s="43"/>
      <c r="F592" s="44" t="str">
        <f>HYPERLINK("https://docs.google.com/spreadsheets/d/1bUoDIxZdwkuvGC6Nxd2Plgt4Zo474Gfw?usp=share_link", "RE-981.374")</f>
        <v>RE-981.374</v>
      </c>
      <c r="G592" s="44" t="str">
        <f>HYPERLINK("https://docs.google.com/spreadsheets/d/1Q5ME69j8tZl45g_8dw-R1H0oc7x-36Jm?usp=share_link", "RE-2.20183")</f>
        <v>RE-2.20183</v>
      </c>
      <c r="H592" s="44" t="str">
        <f>HYPERLINK("https://docs.google.com/spreadsheets/d/118AZSU1Rb1456OVJhoq0WvdMgvpComtt?usp=share_link", "RE-277.248")</f>
        <v>RE-277.248</v>
      </c>
      <c r="I592" s="44" t="str">
        <f>HYPERLINK("https://docs.google.com/spreadsheets/d/1n2FmXTKsISdLVPIkjOLUgdVdtgiDk3Pn?usp=share_link", "RE-0.572017")</f>
        <v>RE-0.572017</v>
      </c>
      <c r="J592" s="44" t="str">
        <f>HYPERLINK("https://docs.google.com/spreadsheets/d/1rRY2mWHod1isf2_YcELTGQJ8uyatCjhW?usp=share_link", "RE-595.731")</f>
        <v>RE-595.731</v>
      </c>
      <c r="K592" s="44" t="str">
        <f>HYPERLINK("https://docs.google.com/spreadsheets/d/1d95FllO_4hsBs-Xyt2FRuo6PRX-Nt8os?usp=share_link", "RE-3.26372")</f>
        <v>RE-3.26372</v>
      </c>
      <c r="L592" s="44">
        <f>HYPERLINK("https://docs.google.com/spreadsheets/d/1KuOIJ9modWN_kAyuXAgzyqi-JETpdYmK?usp=share_link", 838.033)</f>
        <v>838.033</v>
      </c>
      <c r="M592" s="44" t="str">
        <f>HYPERLINK("https://docs.google.com/spreadsheets/d/19KCNya4mhF1DQVquHAbeJZGZ52uMuq5Z?usp=share_link", "RE-8.93572")</f>
        <v>RE-8.93572</v>
      </c>
      <c r="N592" s="44" t="str">
        <f>HYPERLINK("https://docs.google.com/spreadsheets/d/1vkAqa2Ox6gOzVE78hDxvR3C-duvOs_MF?usp=share_link", "RE-992.765")</f>
        <v>RE-992.765</v>
      </c>
      <c r="O592" s="44" t="str">
        <f>HYPERLINK("https://docs.google.com/spreadsheets/d/1xue1bw1WfLE4xQXrG_sAXV30Kdj-oswK?usp=share_link", "RE-7.65353")</f>
        <v>RE-7.65353</v>
      </c>
      <c r="P592" s="44">
        <f>HYPERLINK("https://docs.google.com/spreadsheets/d/1aOPqpy1MguIqLOmrd-Z4h1cwcYjvQzRh?usp=share_link", 632.495)</f>
        <v>632.495</v>
      </c>
      <c r="Q592" s="44" t="str">
        <f>HYPERLINK("https://docs.google.com/spreadsheets/d/1JLSYNAr4M2OJvm7tQj7vu4aCgtD4McDo?usp=share_link", "RE-28.4748")</f>
        <v>RE-28.4748</v>
      </c>
      <c r="R592" s="44">
        <f>HYPERLINK("https://docs.google.com/spreadsheets/d/1o9EyOq7RKFn9yXi1WCuBJAuIG19MdGAE?usp=share_link", 85.9397)</f>
        <v>85.9397</v>
      </c>
      <c r="S592" s="44" t="str">
        <f>HYPERLINK("https://docs.google.com/spreadsheets/d/1yE5vo3DAG37L_pL8CPqxbGnIXsyLfOZK?usp=share_link", "RE-15.8677")</f>
        <v>RE-15.8677</v>
      </c>
      <c r="T592" s="44">
        <f>HYPERLINK("https://docs.google.com/spreadsheets/d/18i-kIp7MDGrkE7r1PLTIrXuqu3mAP4l-?usp=share_link", 262.423)</f>
        <v>262.423</v>
      </c>
      <c r="U592" s="44" t="str">
        <f>HYPERLINK("https://docs.google.com/spreadsheets/d/1wXyFudhJY1QZJ0JkCR_Gn7-3rOW4OdjL?usp=share_link", "RE-9.73705")</f>
        <v>RE-9.73705</v>
      </c>
      <c r="V592" s="44" t="str">
        <f>HYPERLINK("https://docs.google.com/spreadsheets/d/1Kh9gKCMYfz_RwJoeyWGr-WQstijsQb28?usp=share_link", "RE-3.47078")</f>
        <v>RE-3.47078</v>
      </c>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c r="BO592" s="43"/>
      <c r="BP592" s="43"/>
      <c r="BQ592" s="43"/>
      <c r="BR592" s="43"/>
      <c r="BS592" s="43"/>
      <c r="BT592" s="43"/>
      <c r="BU592" s="43"/>
      <c r="BV592" s="43"/>
      <c r="BW592" s="43"/>
      <c r="BX592" s="43"/>
      <c r="BY592" s="43"/>
      <c r="BZ592" s="43"/>
      <c r="CA592" s="43"/>
      <c r="CB592" s="43"/>
      <c r="CC592" s="43"/>
      <c r="CD592" s="43"/>
      <c r="CE592" s="43"/>
      <c r="CF592" s="43"/>
      <c r="CG592" s="43"/>
      <c r="CH592" s="43"/>
      <c r="CI592" s="43"/>
      <c r="CJ592" s="43"/>
      <c r="CK592" s="43"/>
      <c r="CL592" s="43"/>
      <c r="CM592" s="43"/>
      <c r="CN592" s="43"/>
      <c r="CO592" s="43"/>
      <c r="CP592" s="43"/>
      <c r="CQ592" s="43"/>
      <c r="CR592" s="43"/>
      <c r="CS592" s="43"/>
      <c r="CT592" s="43"/>
      <c r="CU592" s="43"/>
      <c r="CV592" s="43"/>
      <c r="CW592" s="43"/>
      <c r="CX592" s="43"/>
      <c r="CY592" s="43"/>
      <c r="CZ592" s="43"/>
      <c r="DA592" s="43"/>
      <c r="DB592" s="43"/>
      <c r="DC592" s="43"/>
      <c r="DD592" s="43"/>
      <c r="DE592" s="43"/>
      <c r="DF592" s="43"/>
      <c r="DG592" s="43"/>
      <c r="DH592" s="43"/>
      <c r="DI592" s="43"/>
      <c r="DJ592" s="43"/>
      <c r="DK592" s="43"/>
      <c r="DL592" s="43"/>
      <c r="DM592" s="43"/>
      <c r="DN592" s="43"/>
      <c r="DO592" s="43"/>
      <c r="DP592" s="43"/>
      <c r="DQ592" s="43"/>
      <c r="DR592" s="43"/>
      <c r="DS592" s="43"/>
      <c r="DT592" s="43"/>
      <c r="DU592" s="43"/>
      <c r="DV592" s="43"/>
      <c r="DW592" s="43"/>
      <c r="DX592" s="43"/>
      <c r="DY592" s="43"/>
      <c r="DZ592" s="43"/>
      <c r="EA592" s="43"/>
      <c r="EB592" s="43"/>
      <c r="EC592" s="43"/>
      <c r="ED592" s="43"/>
      <c r="EE592" s="43"/>
      <c r="EF592" s="43"/>
      <c r="EG592" s="43"/>
      <c r="EH592" s="43"/>
      <c r="EI592" s="43"/>
      <c r="EJ592" s="43"/>
      <c r="EK592" s="43"/>
      <c r="EL592" s="43"/>
      <c r="EM592" s="43"/>
      <c r="EN592" s="43"/>
      <c r="EO592" s="43"/>
      <c r="EP592" s="43"/>
      <c r="EQ592" s="43"/>
      <c r="ER592" s="43"/>
      <c r="ES592" s="43"/>
      <c r="ET592" s="43"/>
      <c r="EU592" s="43"/>
      <c r="EV592" s="43"/>
      <c r="EW592" s="43"/>
      <c r="EX592" s="43"/>
      <c r="EY592" s="43"/>
      <c r="EZ592" s="43"/>
      <c r="FA592" s="43"/>
      <c r="FB592" s="43"/>
      <c r="FC592" s="43"/>
      <c r="FD592" s="43"/>
      <c r="FE592" s="43"/>
      <c r="FF592" s="43"/>
      <c r="FG592" s="43"/>
      <c r="FH592" s="43"/>
    </row>
    <row r="593">
      <c r="A593" s="47" t="s">
        <v>38</v>
      </c>
      <c r="B593" s="47" t="s">
        <v>99</v>
      </c>
      <c r="C593" s="47" t="s">
        <v>14</v>
      </c>
      <c r="D593" s="43">
        <f t="shared" si="1"/>
        <v>1573.9466</v>
      </c>
      <c r="E593" s="43"/>
      <c r="F593" s="44" t="str">
        <f>HYPERLINK("https://docs.google.com/spreadsheets/d/1j3RnGtZBNtbCcP8gaevJBGJxSs90dE04?usp=share_link", "RE-851.772")</f>
        <v>RE-851.772</v>
      </c>
      <c r="G593" s="44" t="str">
        <f>HYPERLINK("https://docs.google.com/spreadsheets/d/16TgXnA6kd5IRlaJS3gd1PYo2Zej5VB5z?usp=share_link", "RE-1.8673")</f>
        <v>RE-1.8673</v>
      </c>
      <c r="H593" s="44" t="str">
        <f>HYPERLINK("https://docs.google.com/spreadsheets/d/1P9dwI3OlTCAqZqgc0r65Rm6uQFr-SeEN?usp=share_link", "RE-246.192")</f>
        <v>RE-246.192</v>
      </c>
      <c r="I593" s="44" t="str">
        <f>HYPERLINK("https://docs.google.com/spreadsheets/d/1CYzmvsEdNe-0RMwCDpJ_siyqf58SGBEH?usp=share_link", "RE-0.572017")</f>
        <v>RE-0.572017</v>
      </c>
      <c r="J593" s="44" t="str">
        <f>HYPERLINK("https://docs.google.com/spreadsheets/d/1po2G3teMxjmZqvtKxIr0jHvbYnKLki3m?usp=share_link", "RE-548.462")</f>
        <v>RE-548.462</v>
      </c>
      <c r="K593" s="44" t="str">
        <f>HYPERLINK("https://docs.google.com/spreadsheets/d/10iMZATf7IaCw7lWMoqMwOj3O78OWPO4W?usp=share_link", "RE-3.26372")</f>
        <v>RE-3.26372</v>
      </c>
      <c r="L593" s="44">
        <f>HYPERLINK("https://docs.google.com/spreadsheets/d/1QS1VD-gG4ocKF5OfCLYE3iFK8UrWODks?usp=share_link", 730.488)</f>
        <v>730.488</v>
      </c>
      <c r="M593" s="44" t="str">
        <f>HYPERLINK("https://docs.google.com/spreadsheets/d/18E9qMSfe0QMaUS2r8M6OMC4QDbXGY8Ak?usp=share_link", "RE-7.63527")</f>
        <v>RE-7.63527</v>
      </c>
      <c r="N593" s="44" t="str">
        <f>HYPERLINK("https://docs.google.com/spreadsheets/d/1mTMvr4bUC2a7guUtCFoG6fbnJ7TD6z3_?usp=share_link", "RE-880.523")</f>
        <v>RE-880.523</v>
      </c>
      <c r="O593" s="44" t="str">
        <f>HYPERLINK("https://docs.google.com/spreadsheets/d/1zypOyqEWQZfOoA1anrVYi2mUdpS9ewKx?usp=share_link", "RE-7.16378")</f>
        <v>RE-7.16378</v>
      </c>
      <c r="P593" s="44">
        <f>HYPERLINK("https://docs.google.com/spreadsheets/d/1Nf1BlXHpD6alzR0UqY4FQk1wvVAU9gSr?usp=share_link", 546.23)</f>
        <v>546.23</v>
      </c>
      <c r="Q593" s="44" t="str">
        <f>HYPERLINK("https://docs.google.com/spreadsheets/d/1sePdxr_B6TcWc5mjRYj9MvKiYaJWA8Cm?usp=share_link", "RE-24.5619")</f>
        <v>RE-24.5619</v>
      </c>
      <c r="R593" s="44">
        <f>HYPERLINK("https://docs.google.com/spreadsheets/d/11Asl00WViDgjqAj80hH7etrqdUPEjriW?usp=share_link", 71.3576)</f>
        <v>71.3576</v>
      </c>
      <c r="S593" s="44" t="str">
        <f>HYPERLINK("https://docs.google.com/spreadsheets/d/18Ej1KA_9txb3IdcRMDMBdTEJ3XAoOc7N?usp=share_link", "RE-13.3866")</f>
        <v>RE-13.3866</v>
      </c>
      <c r="T593" s="44">
        <f>HYPERLINK("https://docs.google.com/spreadsheets/d/1qRq4siGE-clqSbuoLxknRF4onJebnE1T?usp=share_link", 225.871)</f>
        <v>225.871</v>
      </c>
      <c r="U593" s="44" t="str">
        <f>HYPERLINK("https://docs.google.com/spreadsheets/d/1dGoJdhv7a47OY1fTUdV9dIsIVJie2ADQ?usp=share_link", "RE-7.96525")</f>
        <v>RE-7.96525</v>
      </c>
      <c r="V593" s="44" t="str">
        <f>HYPERLINK("https://docs.google.com/spreadsheets/d/1XdH3fhxx3aaV3Z6GXrCPLUjjtRXaZ7FD?usp=share_link", "RE-3.47078")</f>
        <v>RE-3.47078</v>
      </c>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3"/>
      <c r="CJ593" s="43"/>
      <c r="CK593" s="43"/>
      <c r="CL593" s="43"/>
      <c r="CM593" s="43"/>
      <c r="CN593" s="43"/>
      <c r="CO593" s="43"/>
      <c r="CP593" s="43"/>
      <c r="CQ593" s="43"/>
      <c r="CR593" s="43"/>
      <c r="CS593" s="43"/>
      <c r="CT593" s="43"/>
      <c r="CU593" s="43"/>
      <c r="CV593" s="43"/>
      <c r="CW593" s="43"/>
      <c r="CX593" s="43"/>
      <c r="CY593" s="43"/>
      <c r="CZ593" s="43"/>
      <c r="DA593" s="43"/>
      <c r="DB593" s="43"/>
      <c r="DC593" s="43"/>
      <c r="DD593" s="43"/>
      <c r="DE593" s="43"/>
      <c r="DF593" s="43"/>
      <c r="DG593" s="43"/>
      <c r="DH593" s="43"/>
      <c r="DI593" s="43"/>
      <c r="DJ593" s="43"/>
      <c r="DK593" s="43"/>
      <c r="DL593" s="43"/>
      <c r="DM593" s="43"/>
      <c r="DN593" s="43"/>
      <c r="DO593" s="43"/>
      <c r="DP593" s="43"/>
      <c r="DQ593" s="43"/>
      <c r="DR593" s="43"/>
      <c r="DS593" s="43"/>
      <c r="DT593" s="43"/>
      <c r="DU593" s="43"/>
      <c r="DV593" s="43"/>
      <c r="DW593" s="43"/>
      <c r="DX593" s="43"/>
      <c r="DY593" s="43"/>
      <c r="DZ593" s="43"/>
      <c r="EA593" s="43"/>
      <c r="EB593" s="43"/>
      <c r="EC593" s="43"/>
      <c r="ED593" s="43"/>
      <c r="EE593" s="43"/>
      <c r="EF593" s="43"/>
      <c r="EG593" s="43"/>
      <c r="EH593" s="43"/>
      <c r="EI593" s="43"/>
      <c r="EJ593" s="43"/>
      <c r="EK593" s="43"/>
      <c r="EL593" s="43"/>
      <c r="EM593" s="43"/>
      <c r="EN593" s="43"/>
      <c r="EO593" s="43"/>
      <c r="EP593" s="43"/>
      <c r="EQ593" s="43"/>
      <c r="ER593" s="43"/>
      <c r="ES593" s="43"/>
      <c r="ET593" s="43"/>
      <c r="EU593" s="43"/>
      <c r="EV593" s="43"/>
      <c r="EW593" s="43"/>
      <c r="EX593" s="43"/>
      <c r="EY593" s="43"/>
      <c r="EZ593" s="43"/>
      <c r="FA593" s="43"/>
      <c r="FB593" s="43"/>
      <c r="FC593" s="43"/>
      <c r="FD593" s="43"/>
      <c r="FE593" s="43"/>
      <c r="FF593" s="43"/>
      <c r="FG593" s="43"/>
      <c r="FH593" s="43"/>
    </row>
    <row r="594">
      <c r="A594" s="48" t="s">
        <v>38</v>
      </c>
      <c r="B594" s="48" t="s">
        <v>99</v>
      </c>
      <c r="C594" s="48" t="s">
        <v>15</v>
      </c>
      <c r="D594" s="36">
        <f t="shared" si="1"/>
        <v>1817.5388</v>
      </c>
      <c r="E594" s="36"/>
      <c r="F594" s="37" t="str">
        <f>HYPERLINK("https://docs.google.com/spreadsheets/d/1Zk0p6nsyhtSPuiJGcKP2EqRbIa9UZf7p?usp=share_link", "RE-981.337")</f>
        <v>RE-981.337</v>
      </c>
      <c r="G594" s="37" t="str">
        <f>HYPERLINK("https://docs.google.com/spreadsheets/d/1koFwtqwg4gd6Ai829msBLn3DMXAiOBSB?usp=share_link", "RE-2.20183")</f>
        <v>RE-2.20183</v>
      </c>
      <c r="H594" s="37" t="str">
        <f>HYPERLINK("https://docs.google.com/spreadsheets/d/1RVsrrVYibI9ItNI6HWAFA6pL-jYf7P03?usp=share_link", "RE-276.696")</f>
        <v>RE-276.696</v>
      </c>
      <c r="I594" s="37" t="str">
        <f>HYPERLINK("https://docs.google.com/spreadsheets/d/1JGTQo3CVPs7toWtWCUdc0oKt-r5HZdTE?usp=share_link", "RE-0.572017")</f>
        <v>RE-0.572017</v>
      </c>
      <c r="J594" s="37" t="str">
        <f>HYPERLINK("https://docs.google.com/spreadsheets/d/1OBgIsnDjZ4UDs2MDl-O-JFcixiBvnHNz?usp=share_link", "RE-595.731")</f>
        <v>RE-595.731</v>
      </c>
      <c r="K594" s="37" t="str">
        <f>HYPERLINK("https://docs.google.com/spreadsheets/d/1TJe2r8-LiE0vWOLpmcdT-1-9Hb77iGVm?usp=share_link", "RE-3.26372")</f>
        <v>RE-3.26372</v>
      </c>
      <c r="L594" s="37">
        <f>HYPERLINK("https://docs.google.com/spreadsheets/d/1uQcE0zmmxh5IHLhUpzl2gk6YKDLwV87o?usp=share_link", 838.033)</f>
        <v>838.033</v>
      </c>
      <c r="M594" s="37" t="str">
        <f>HYPERLINK("https://docs.google.com/spreadsheets/d/1FL-Z39pFJiOGyCIFyq7hMF71e-ahuL9u?usp=share_link", "RE-8.93572")</f>
        <v>RE-8.93572</v>
      </c>
      <c r="N594" s="37" t="str">
        <f>HYPERLINK("https://docs.google.com/spreadsheets/d/1n88KZQBAfjFKwNCDZ5HqsisX0ojwL9yz?usp=share_link", "RE-992.765")</f>
        <v>RE-992.765</v>
      </c>
      <c r="O594" s="37" t="str">
        <f>HYPERLINK("https://docs.google.com/spreadsheets/d/1OZaNxCRHTusbN8S6uTbijvD1KZqZ48oG?usp=share_link", "RE-7.65353")</f>
        <v>RE-7.65353</v>
      </c>
      <c r="P594" s="37">
        <f>HYPERLINK("https://docs.google.com/spreadsheets/d/1uFXBh-ol8hmmLx6uYkDTP5NePfgLC0hp?usp=share_link", 632.436)</f>
        <v>632.436</v>
      </c>
      <c r="Q594" s="37" t="str">
        <f>HYPERLINK("https://docs.google.com/spreadsheets/d/1-bE1ZMW1Nplt9RCH_w98KmdoD2v5ntvk?usp=share_link", "RE-28.4748")</f>
        <v>RE-28.4748</v>
      </c>
      <c r="R594" s="37">
        <f>HYPERLINK("https://docs.google.com/spreadsheets/d/1-OoHN6uiz1MezZ-5YQOqyHe34MmKfZqi?usp=share_link", 85.6768)</f>
        <v>85.6768</v>
      </c>
      <c r="S594" s="37" t="str">
        <f>HYPERLINK("https://docs.google.com/spreadsheets/d/1X6YNAZ1AKTIh_yeeZs6ZjFHtz0qoSA3Y?usp=share_link", "RE-15.8677")</f>
        <v>RE-15.8677</v>
      </c>
      <c r="T594" s="37">
        <f>HYPERLINK("https://docs.google.com/spreadsheets/d/1HSEEG1tw-1wD1rIKHEFdXh1lSlfDdHnV?usp=share_link", 261.393)</f>
        <v>261.393</v>
      </c>
      <c r="U594" s="37" t="str">
        <f>HYPERLINK("https://docs.google.com/spreadsheets/d/19EcLBveDooX_FcGwGbG2a9ijgXywju9y?usp=share_link", "RE-9.73705")</f>
        <v>RE-9.73705</v>
      </c>
      <c r="V594" s="37" t="str">
        <f>HYPERLINK("https://docs.google.com/spreadsheets/d/1tSk53TAN33zdbF0T2kjwXpDiUxNr0pqw?usp=share_link", "RE-3.47078")</f>
        <v>RE-3.47078</v>
      </c>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6"/>
      <c r="AZ594" s="36"/>
      <c r="BA594" s="36"/>
      <c r="BB594" s="36"/>
      <c r="BC594" s="36"/>
      <c r="BD594" s="36"/>
      <c r="BE594" s="36"/>
      <c r="BF594" s="36"/>
      <c r="BG594" s="36"/>
      <c r="BH594" s="36"/>
      <c r="BI594" s="36"/>
      <c r="BJ594" s="36"/>
      <c r="BK594" s="36"/>
      <c r="BL594" s="36"/>
      <c r="BM594" s="36"/>
      <c r="BN594" s="36"/>
      <c r="BO594" s="36"/>
      <c r="BP594" s="36"/>
      <c r="BQ594" s="36"/>
      <c r="BR594" s="36"/>
      <c r="BS594" s="36"/>
      <c r="BT594" s="36"/>
      <c r="BU594" s="36"/>
      <c r="BV594" s="36"/>
      <c r="BW594" s="36"/>
      <c r="BX594" s="36"/>
      <c r="BY594" s="36"/>
      <c r="BZ594" s="36"/>
      <c r="CA594" s="36"/>
      <c r="CB594" s="36"/>
      <c r="CC594" s="36"/>
      <c r="CD594" s="36"/>
      <c r="CE594" s="36"/>
      <c r="CF594" s="36"/>
      <c r="CG594" s="36"/>
      <c r="CH594" s="36"/>
      <c r="CI594" s="36"/>
      <c r="CJ594" s="36"/>
      <c r="CK594" s="36"/>
      <c r="CL594" s="36"/>
      <c r="CM594" s="36"/>
      <c r="CN594" s="36"/>
      <c r="CO594" s="36"/>
      <c r="CP594" s="36"/>
      <c r="CQ594" s="36"/>
      <c r="CR594" s="36"/>
      <c r="CS594" s="36"/>
      <c r="CT594" s="36"/>
      <c r="CU594" s="36"/>
      <c r="CV594" s="36"/>
      <c r="CW594" s="36"/>
      <c r="CX594" s="36"/>
      <c r="CY594" s="36"/>
      <c r="CZ594" s="36"/>
      <c r="DA594" s="36"/>
      <c r="DB594" s="36"/>
      <c r="DC594" s="36"/>
      <c r="DD594" s="36"/>
      <c r="DE594" s="36"/>
      <c r="DF594" s="36"/>
      <c r="DG594" s="36"/>
      <c r="DH594" s="36"/>
      <c r="DI594" s="36"/>
      <c r="DJ594" s="36"/>
      <c r="DK594" s="36"/>
      <c r="DL594" s="36"/>
      <c r="DM594" s="36"/>
      <c r="DN594" s="36"/>
      <c r="DO594" s="36"/>
      <c r="DP594" s="36"/>
      <c r="DQ594" s="36"/>
      <c r="DR594" s="36"/>
      <c r="DS594" s="36"/>
      <c r="DT594" s="36"/>
      <c r="DU594" s="36"/>
      <c r="DV594" s="36"/>
      <c r="DW594" s="36"/>
      <c r="DX594" s="36"/>
      <c r="DY594" s="36"/>
      <c r="DZ594" s="36"/>
      <c r="EA594" s="36"/>
      <c r="EB594" s="36"/>
      <c r="EC594" s="36"/>
      <c r="ED594" s="36"/>
      <c r="EE594" s="36"/>
      <c r="EF594" s="36"/>
      <c r="EG594" s="36"/>
      <c r="EH594" s="36"/>
      <c r="EI594" s="36"/>
      <c r="EJ594" s="36"/>
      <c r="EK594" s="36"/>
      <c r="EL594" s="36"/>
      <c r="EM594" s="36"/>
      <c r="EN594" s="36"/>
      <c r="EO594" s="36"/>
      <c r="EP594" s="36"/>
      <c r="EQ594" s="36"/>
      <c r="ER594" s="36"/>
      <c r="ES594" s="36"/>
      <c r="ET594" s="36"/>
      <c r="EU594" s="36"/>
      <c r="EV594" s="36"/>
      <c r="EW594" s="36"/>
      <c r="EX594" s="36"/>
      <c r="EY594" s="36"/>
      <c r="EZ594" s="36"/>
      <c r="FA594" s="36"/>
      <c r="FB594" s="36"/>
      <c r="FC594" s="36"/>
      <c r="FD594" s="36"/>
      <c r="FE594" s="36"/>
      <c r="FF594" s="36"/>
      <c r="FG594" s="36"/>
      <c r="FH594" s="36"/>
    </row>
    <row r="595">
      <c r="A595" s="45" t="s">
        <v>28</v>
      </c>
      <c r="B595" s="45" t="s">
        <v>100</v>
      </c>
      <c r="C595" s="46" t="str">
        <f>HYPERLINK("https://docs.google.com/spreadsheets/d/1Zzv0IvFr_K0xvmGP6mdakPUpZwt6YNUu/edit?usp=share_link&amp;ouid=106501987799020758802&amp;rtpof=true&amp;sd=true", "Raw Delivered")</f>
        <v>Raw Delivered</v>
      </c>
      <c r="D595" s="40">
        <f t="shared" si="1"/>
        <v>6005.50782</v>
      </c>
      <c r="E595" s="40"/>
      <c r="F595" s="41">
        <f>HYPERLINK("https://docs.google.com/spreadsheets/d/1pHPCgJWd79BJQuzYLJRwLoBgKjSf7v-U", 309.545827083333)</f>
        <v>309.5458271</v>
      </c>
      <c r="G595" s="40"/>
      <c r="H595" s="41">
        <f>HYPERLINK("https://docs.google.com/spreadsheets/d/16gZ8ZAncnqVCZmQiOgG9vnP5_jXguyJR", 92.2747583333333)</f>
        <v>92.27475833</v>
      </c>
      <c r="I595" s="40"/>
      <c r="J595" s="41">
        <f>HYPERLINK("https://docs.google.com/spreadsheets/d/109zmNj3cQrbncufFPU0nxqjVh2X1d-34", 88.4553229166667)</f>
        <v>88.45532292</v>
      </c>
      <c r="K595" s="40"/>
      <c r="L595" s="41">
        <f t="shared" ref="L595:L596" si="298">HYPERLINK("https://docs.google.com/spreadsheets/d/1dIJ5bAgy6uvZXHM9VXFAnpargs7zbZzl", 573.446597916667)</f>
        <v>573.4465979</v>
      </c>
      <c r="M595" s="40"/>
      <c r="N595" s="41">
        <f>HYPERLINK("https://docs.google.com/spreadsheets/d/1-ZSZBquAOPhuNGroMbKz3O2-jq5z3ci9", 1883.78905937499)</f>
        <v>1883.789059</v>
      </c>
      <c r="O595" s="40"/>
      <c r="P595" s="41">
        <f t="shared" ref="P595:P596" si="299">HYPERLINK("https://docs.google.com/spreadsheets/d/1dJ8QEjprgYtUu_1LZYU5eA1vH0Jg9jTU", 1256.73606041666)</f>
        <v>1256.73606</v>
      </c>
      <c r="Q595" s="40"/>
      <c r="R595" s="41">
        <f t="shared" ref="R595:R596" si="300">HYPERLINK("https://docs.google.com/spreadsheets/d/1XwoB7mzPkGUBpTdYafuAAZ_elbLjVV3w", 1238.60393333333)</f>
        <v>1238.603933</v>
      </c>
      <c r="S595" s="40"/>
      <c r="T595" s="41">
        <f t="shared" ref="T595:T596" si="301">HYPERLINK("https://docs.google.com/spreadsheets/d/1Xbd9cTWjM2b66LaxpGFvgSKnfFkzouRC", 562.656260416665)</f>
        <v>562.6562604</v>
      </c>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0"/>
      <c r="FG595" s="40"/>
      <c r="FH595" s="40"/>
    </row>
    <row r="596">
      <c r="A596" s="47" t="s">
        <v>28</v>
      </c>
      <c r="B596" s="47" t="s">
        <v>100</v>
      </c>
      <c r="C596" s="47" t="s">
        <v>9</v>
      </c>
      <c r="D596" s="43">
        <f t="shared" si="1"/>
        <v>3631.442852</v>
      </c>
      <c r="E596" s="43"/>
      <c r="F596" s="44" t="str">
        <f>HYPERLINK("https://docs.google.com/spreadsheets/d/1pHPCgJWd79BJQuzYLJRwLoBgKjSf7v-U", "RE-309.5458270833334")</f>
        <v>RE-309.5458270833334</v>
      </c>
      <c r="G596" s="43"/>
      <c r="H596" s="44" t="str">
        <f>HYPERLINK("https://docs.google.com/spreadsheets/d/16gZ8ZAncnqVCZmQiOgG9vnP5_jXguyJR", "RE-92.27475833333337")</f>
        <v>RE-92.27475833333337</v>
      </c>
      <c r="I596" s="43"/>
      <c r="J596" s="44" t="str">
        <f>HYPERLINK("https://docs.google.com/spreadsheets/d/109zmNj3cQrbncufFPU0nxqjVh2X1d-34", "RE-88.45532291666672")</f>
        <v>RE-88.45532291666672</v>
      </c>
      <c r="K596" s="43"/>
      <c r="L596" s="44">
        <f t="shared" si="298"/>
        <v>573.4465979</v>
      </c>
      <c r="M596" s="43"/>
      <c r="N596" s="44" t="str">
        <f>HYPERLINK("https://docs.google.com/spreadsheets/d/1-ZSZBquAOPhuNGroMbKz3O2-jq5z3ci9", "RE-1883.7890593749967")</f>
        <v>RE-1883.7890593749967</v>
      </c>
      <c r="O596" s="43"/>
      <c r="P596" s="44">
        <f t="shared" si="299"/>
        <v>1256.73606</v>
      </c>
      <c r="Q596" s="43"/>
      <c r="R596" s="44">
        <f t="shared" si="300"/>
        <v>1238.603933</v>
      </c>
      <c r="S596" s="43"/>
      <c r="T596" s="44">
        <f t="shared" si="301"/>
        <v>562.6562604</v>
      </c>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c r="BO596" s="43"/>
      <c r="BP596" s="43"/>
      <c r="BQ596" s="43"/>
      <c r="BR596" s="43"/>
      <c r="BS596" s="43"/>
      <c r="BT596" s="43"/>
      <c r="BU596" s="43"/>
      <c r="BV596" s="43"/>
      <c r="BW596" s="43"/>
      <c r="BX596" s="43"/>
      <c r="BY596" s="43"/>
      <c r="BZ596" s="43"/>
      <c r="CA596" s="43"/>
      <c r="CB596" s="43"/>
      <c r="CC596" s="43"/>
      <c r="CD596" s="43"/>
      <c r="CE596" s="43"/>
      <c r="CF596" s="43"/>
      <c r="CG596" s="43"/>
      <c r="CH596" s="43"/>
      <c r="CI596" s="43"/>
      <c r="CJ596" s="43"/>
      <c r="CK596" s="43"/>
      <c r="CL596" s="43"/>
      <c r="CM596" s="43"/>
      <c r="CN596" s="43"/>
      <c r="CO596" s="43"/>
      <c r="CP596" s="43"/>
      <c r="CQ596" s="43"/>
      <c r="CR596" s="43"/>
      <c r="CS596" s="43"/>
      <c r="CT596" s="43"/>
      <c r="CU596" s="43"/>
      <c r="CV596" s="43"/>
      <c r="CW596" s="43"/>
      <c r="CX596" s="43"/>
      <c r="CY596" s="43"/>
      <c r="CZ596" s="43"/>
      <c r="DA596" s="43"/>
      <c r="DB596" s="43"/>
      <c r="DC596" s="43"/>
      <c r="DD596" s="43"/>
      <c r="DE596" s="43"/>
      <c r="DF596" s="43"/>
      <c r="DG596" s="43"/>
      <c r="DH596" s="43"/>
      <c r="DI596" s="43"/>
      <c r="DJ596" s="43"/>
      <c r="DK596" s="43"/>
      <c r="DL596" s="43"/>
      <c r="DM596" s="43"/>
      <c r="DN596" s="43"/>
      <c r="DO596" s="43"/>
      <c r="DP596" s="43"/>
      <c r="DQ596" s="43"/>
      <c r="DR596" s="43"/>
      <c r="DS596" s="43"/>
      <c r="DT596" s="43"/>
      <c r="DU596" s="43"/>
      <c r="DV596" s="43"/>
      <c r="DW596" s="43"/>
      <c r="DX596" s="43"/>
      <c r="DY596" s="43"/>
      <c r="DZ596" s="43"/>
      <c r="EA596" s="43"/>
      <c r="EB596" s="43"/>
      <c r="EC596" s="43"/>
      <c r="ED596" s="43"/>
      <c r="EE596" s="43"/>
      <c r="EF596" s="43"/>
      <c r="EG596" s="43"/>
      <c r="EH596" s="43"/>
      <c r="EI596" s="43"/>
      <c r="EJ596" s="43"/>
      <c r="EK596" s="43"/>
      <c r="EL596" s="43"/>
      <c r="EM596" s="43"/>
      <c r="EN596" s="43"/>
      <c r="EO596" s="43"/>
      <c r="EP596" s="43"/>
      <c r="EQ596" s="43"/>
      <c r="ER596" s="43"/>
      <c r="ES596" s="43"/>
      <c r="ET596" s="43"/>
      <c r="EU596" s="43"/>
      <c r="EV596" s="43"/>
      <c r="EW596" s="43"/>
      <c r="EX596" s="43"/>
      <c r="EY596" s="43"/>
      <c r="EZ596" s="43"/>
      <c r="FA596" s="43"/>
      <c r="FB596" s="43"/>
      <c r="FC596" s="43"/>
      <c r="FD596" s="43"/>
      <c r="FE596" s="43"/>
      <c r="FF596" s="43"/>
      <c r="FG596" s="43"/>
      <c r="FH596" s="43"/>
    </row>
    <row r="597">
      <c r="A597" s="47" t="s">
        <v>28</v>
      </c>
      <c r="B597" s="47" t="s">
        <v>100</v>
      </c>
      <c r="C597" s="47" t="s">
        <v>10</v>
      </c>
      <c r="D597" s="43">
        <f t="shared" si="1"/>
        <v>736.3052198</v>
      </c>
      <c r="E597" s="43"/>
      <c r="F597" s="43"/>
      <c r="G597" s="44">
        <f>HYPERLINK("https://docs.google.com/spreadsheets/d/1lyE0tKz7RLVjUDaxCIeAaSz9yc1ir364", 54.6007604166666)</f>
        <v>54.60076042</v>
      </c>
      <c r="H597" s="43"/>
      <c r="I597" s="44">
        <f>HYPERLINK("https://docs.google.com/spreadsheets/d/1s0TwrlpMOC02twZ1urDqFPREM3DBg19F", 15.6926895833333)</f>
        <v>15.69268958</v>
      </c>
      <c r="J597" s="43"/>
      <c r="K597" s="44">
        <f>HYPERLINK("https://docs.google.com/spreadsheets/d/1whXGXOzNAODwP4FTjuswYDMuUJtQJ-yD", 7.69126666666666)</f>
        <v>7.691266667</v>
      </c>
      <c r="L597" s="43"/>
      <c r="M597" s="44">
        <f>HYPERLINK("https://docs.google.com/spreadsheets/d/1EdPdrQ-dBRLKN2QLTBHrga_DfWYkU2WW", 20.7569562499999)</f>
        <v>20.75695625</v>
      </c>
      <c r="N597" s="43"/>
      <c r="O597" s="44">
        <f>HYPERLINK("https://docs.google.com/spreadsheets/d/1zv6KYdXwm4r0OwUjUordPokD3tuguz4U", 241.725884374999)</f>
        <v>241.7258844</v>
      </c>
      <c r="P597" s="43"/>
      <c r="Q597" s="44">
        <f>HYPERLINK("https://docs.google.com/spreadsheets/d/1jrqh2tQLXmle26HEZ5nicIfTyGxSzYCr", 185.866719791666)</f>
        <v>185.8667198</v>
      </c>
      <c r="R597" s="43"/>
      <c r="S597" s="44">
        <f>HYPERLINK("https://docs.google.com/spreadsheets/d/1w4znEN3_Gh16Jq_xdrhPD84vYXN80gNG", 97.1347416666666)</f>
        <v>97.13474167</v>
      </c>
      <c r="T597" s="43"/>
      <c r="U597" s="44">
        <f>HYPERLINK("https://docs.google.com/spreadsheets/d/1CpX7PqGYDcUtAqzPIeTSoyMAcJQCgV_D", 89.9115145833332)</f>
        <v>89.91151458</v>
      </c>
      <c r="V597" s="44">
        <f>HYPERLINK("https://docs.google.com/spreadsheets/d/1fDAbcHXtJ0F2qlYs8HYDkU5S3P0NttHO", 22.9246864583333)</f>
        <v>22.92468646</v>
      </c>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c r="CS597" s="43"/>
      <c r="CT597" s="43"/>
      <c r="CU597" s="43"/>
      <c r="CV597" s="43"/>
      <c r="CW597" s="43"/>
      <c r="CX597" s="43"/>
      <c r="CY597" s="43"/>
      <c r="CZ597" s="43"/>
      <c r="DA597" s="43"/>
      <c r="DB597" s="43"/>
      <c r="DC597" s="43"/>
      <c r="DD597" s="43"/>
      <c r="DE597" s="43"/>
      <c r="DF597" s="43"/>
      <c r="DG597" s="43"/>
      <c r="DH597" s="43"/>
      <c r="DI597" s="43"/>
      <c r="DJ597" s="43"/>
      <c r="DK597" s="43"/>
      <c r="DL597" s="43"/>
      <c r="DM597" s="43"/>
      <c r="DN597" s="43"/>
      <c r="DO597" s="43"/>
      <c r="DP597" s="43"/>
      <c r="DQ597" s="43"/>
      <c r="DR597" s="43"/>
      <c r="DS597" s="43"/>
      <c r="DT597" s="43"/>
      <c r="DU597" s="43"/>
      <c r="DV597" s="43"/>
      <c r="DW597" s="43"/>
      <c r="DX597" s="43"/>
      <c r="DY597" s="43"/>
      <c r="DZ597" s="43"/>
      <c r="EA597" s="43"/>
      <c r="EB597" s="43"/>
      <c r="EC597" s="43"/>
      <c r="ED597" s="43"/>
      <c r="EE597" s="43"/>
      <c r="EF597" s="43"/>
      <c r="EG597" s="43"/>
      <c r="EH597" s="43"/>
      <c r="EI597" s="43"/>
      <c r="EJ597" s="43"/>
      <c r="EK597" s="43"/>
      <c r="EL597" s="43"/>
      <c r="EM597" s="43"/>
      <c r="EN597" s="43"/>
      <c r="EO597" s="43"/>
      <c r="EP597" s="43"/>
      <c r="EQ597" s="43"/>
      <c r="ER597" s="43"/>
      <c r="ES597" s="43"/>
      <c r="ET597" s="43"/>
      <c r="EU597" s="43"/>
      <c r="EV597" s="43"/>
      <c r="EW597" s="43"/>
      <c r="EX597" s="43"/>
      <c r="EY597" s="43"/>
      <c r="EZ597" s="43"/>
      <c r="FA597" s="43"/>
      <c r="FB597" s="43"/>
      <c r="FC597" s="43"/>
      <c r="FD597" s="43"/>
      <c r="FE597" s="43"/>
      <c r="FF597" s="43"/>
      <c r="FG597" s="43"/>
      <c r="FH597" s="43"/>
    </row>
    <row r="598">
      <c r="A598" s="47" t="s">
        <v>28</v>
      </c>
      <c r="B598" s="47" t="s">
        <v>100</v>
      </c>
      <c r="C598" s="47" t="s">
        <v>11</v>
      </c>
      <c r="D598" s="43">
        <f t="shared" si="1"/>
        <v>0</v>
      </c>
      <c r="E598" s="43"/>
      <c r="F598" s="43"/>
      <c r="G598" s="44" t="str">
        <f>HYPERLINK("https://docs.google.com/spreadsheets/d/1lyE0tKz7RLVjUDaxCIeAaSz9yc1ir364", "RE-54.60076041666668")</f>
        <v>RE-54.60076041666668</v>
      </c>
      <c r="H598" s="43"/>
      <c r="I598" s="44" t="str">
        <f>HYPERLINK("https://docs.google.com/spreadsheets/d/1s0TwrlpMOC02twZ1urDqFPREM3DBg19F", "RE-15.692689583333337")</f>
        <v>RE-15.692689583333337</v>
      </c>
      <c r="J598" s="43"/>
      <c r="K598" s="44" t="str">
        <f>HYPERLINK("https://docs.google.com/spreadsheets/d/1whXGXOzNAODwP4FTjuswYDMuUJtQJ-yD", "RE-7.691266666666666")</f>
        <v>RE-7.691266666666666</v>
      </c>
      <c r="L598" s="43"/>
      <c r="M598" s="44" t="str">
        <f>HYPERLINK("https://docs.google.com/spreadsheets/d/1EdPdrQ-dBRLKN2QLTBHrga_DfWYkU2WW", "RE-20.756956249999998")</f>
        <v>RE-20.756956249999998</v>
      </c>
      <c r="N598" s="43"/>
      <c r="O598" s="44" t="str">
        <f>HYPERLINK("https://docs.google.com/spreadsheets/d/1zv6KYdXwm4r0OwUjUordPokD3tuguz4U", "RE-241.7258843749997")</f>
        <v>RE-241.7258843749997</v>
      </c>
      <c r="P598" s="43"/>
      <c r="Q598" s="44" t="str">
        <f>HYPERLINK("https://docs.google.com/spreadsheets/d/1jrqh2tQLXmle26HEZ5nicIfTyGxSzYCr", "RE-185.8667197916666")</f>
        <v>RE-185.8667197916666</v>
      </c>
      <c r="R598" s="43"/>
      <c r="S598" s="44" t="str">
        <f>HYPERLINK("https://docs.google.com/spreadsheets/d/1w4znEN3_Gh16Jq_xdrhPD84vYXN80gNG", "RE-97.13474166666667")</f>
        <v>RE-97.13474166666667</v>
      </c>
      <c r="T598" s="43"/>
      <c r="U598" s="44" t="str">
        <f>HYPERLINK("https://docs.google.com/spreadsheets/d/1CpX7PqGYDcUtAqzPIeTSoyMAcJQCgV_D", "RE-89.91151458333329")</f>
        <v>RE-89.91151458333329</v>
      </c>
      <c r="V598" s="44" t="str">
        <f>HYPERLINK("https://docs.google.com/spreadsheets/d/1fDAbcHXtJ0F2qlYs8HYDkU5S3P0NttHO", "RE-22.92468645833334")</f>
        <v>RE-22.92468645833334</v>
      </c>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c r="BO598" s="43"/>
      <c r="BP598" s="43"/>
      <c r="BQ598" s="43"/>
      <c r="BR598" s="43"/>
      <c r="BS598" s="43"/>
      <c r="BT598" s="43"/>
      <c r="BU598" s="43"/>
      <c r="BV598" s="43"/>
      <c r="BW598" s="43"/>
      <c r="BX598" s="43"/>
      <c r="BY598" s="43"/>
      <c r="BZ598" s="43"/>
      <c r="CA598" s="43"/>
      <c r="CB598" s="43"/>
      <c r="CC598" s="43"/>
      <c r="CD598" s="43"/>
      <c r="CE598" s="43"/>
      <c r="CF598" s="43"/>
      <c r="CG598" s="43"/>
      <c r="CH598" s="43"/>
      <c r="CI598" s="43"/>
      <c r="CJ598" s="43"/>
      <c r="CK598" s="43"/>
      <c r="CL598" s="43"/>
      <c r="CM598" s="43"/>
      <c r="CN598" s="43"/>
      <c r="CO598" s="43"/>
      <c r="CP598" s="43"/>
      <c r="CQ598" s="43"/>
      <c r="CR598" s="43"/>
      <c r="CS598" s="43"/>
      <c r="CT598" s="43"/>
      <c r="CU598" s="43"/>
      <c r="CV598" s="43"/>
      <c r="CW598" s="43"/>
      <c r="CX598" s="43"/>
      <c r="CY598" s="43"/>
      <c r="CZ598" s="43"/>
      <c r="DA598" s="43"/>
      <c r="DB598" s="43"/>
      <c r="DC598" s="43"/>
      <c r="DD598" s="43"/>
      <c r="DE598" s="43"/>
      <c r="DF598" s="43"/>
      <c r="DG598" s="43"/>
      <c r="DH598" s="43"/>
      <c r="DI598" s="43"/>
      <c r="DJ598" s="43"/>
      <c r="DK598" s="43"/>
      <c r="DL598" s="43"/>
      <c r="DM598" s="43"/>
      <c r="DN598" s="43"/>
      <c r="DO598" s="43"/>
      <c r="DP598" s="43"/>
      <c r="DQ598" s="43"/>
      <c r="DR598" s="43"/>
      <c r="DS598" s="43"/>
      <c r="DT598" s="43"/>
      <c r="DU598" s="43"/>
      <c r="DV598" s="43"/>
      <c r="DW598" s="43"/>
      <c r="DX598" s="43"/>
      <c r="DY598" s="43"/>
      <c r="DZ598" s="43"/>
      <c r="EA598" s="43"/>
      <c r="EB598" s="43"/>
      <c r="EC598" s="43"/>
      <c r="ED598" s="43"/>
      <c r="EE598" s="43"/>
      <c r="EF598" s="43"/>
      <c r="EG598" s="43"/>
      <c r="EH598" s="43"/>
      <c r="EI598" s="43"/>
      <c r="EJ598" s="43"/>
      <c r="EK598" s="43"/>
      <c r="EL598" s="43"/>
      <c r="EM598" s="43"/>
      <c r="EN598" s="43"/>
      <c r="EO598" s="43"/>
      <c r="EP598" s="43"/>
      <c r="EQ598" s="43"/>
      <c r="ER598" s="43"/>
      <c r="ES598" s="43"/>
      <c r="ET598" s="43"/>
      <c r="EU598" s="43"/>
      <c r="EV598" s="43"/>
      <c r="EW598" s="43"/>
      <c r="EX598" s="43"/>
      <c r="EY598" s="43"/>
      <c r="EZ598" s="43"/>
      <c r="FA598" s="43"/>
      <c r="FB598" s="43"/>
      <c r="FC598" s="43"/>
      <c r="FD598" s="43"/>
      <c r="FE598" s="43"/>
      <c r="FF598" s="43"/>
      <c r="FG598" s="43"/>
      <c r="FH598" s="43"/>
    </row>
    <row r="599">
      <c r="A599" s="47" t="s">
        <v>28</v>
      </c>
      <c r="B599" s="47" t="s">
        <v>100</v>
      </c>
      <c r="C599" s="47" t="s">
        <v>12</v>
      </c>
      <c r="D599" s="43">
        <f t="shared" si="1"/>
        <v>3378.837607</v>
      </c>
      <c r="E599" s="43"/>
      <c r="F599" s="44" t="str">
        <f>HYPERLINK("https://docs.google.com/spreadsheets/d/15rIgi6HVQRaLOute_HoRdeY-IDzhTBJM", "RE-218.6346708333336")</f>
        <v>RE-218.6346708333336</v>
      </c>
      <c r="G599" s="44" t="str">
        <f>HYPERLINK("https://docs.google.com/spreadsheets/d/1qzYGI1-6E3alklwu7-HUfR9JC5iDs0OX", "RE-1.0216479166666665")</f>
        <v>RE-1.0216479166666665</v>
      </c>
      <c r="H599" s="44" t="str">
        <f>HYPERLINK("https://docs.google.com/spreadsheets/d/11UyLjTyFT0YNCkc6_jYFpsLD2ngbYYjw", "RE-81.59420833333336")</f>
        <v>RE-81.59420833333336</v>
      </c>
      <c r="I599" s="44" t="str">
        <f>HYPERLINK("https://docs.google.com/spreadsheets/d/13pnGX4AN6ag5ebvvxAebJB4eszovsDJb", "RE-0.3302104166666667")</f>
        <v>RE-0.3302104166666667</v>
      </c>
      <c r="J599" s="44" t="str">
        <f>HYPERLINK("https://docs.google.com/spreadsheets/d/1X-H2-k0rjcuOMDVPGwyFtRMv4E3wNrzG", "RE-63.85889999999999")</f>
        <v>RE-63.85889999999999</v>
      </c>
      <c r="K599" s="44" t="str">
        <f>HYPERLINK("https://docs.google.com/spreadsheets/d/1lg_RsDZEsibu5RwzOTdmh_H-ZvYbli8M", "RE-0.0")</f>
        <v>RE-0.0</v>
      </c>
      <c r="L599" s="44">
        <f>HYPERLINK("https://docs.google.com/spreadsheets/d/1EPgxcCDeZVLrQbODPicHtZe2d0_8Zd3J", 532.569336458334)</f>
        <v>532.5693365</v>
      </c>
      <c r="M599" s="44" t="str">
        <f>HYPERLINK("https://docs.google.com/spreadsheets/d/1UJfjGbdNbuhBO5p3UK4aAnGH3qtver1t", "RE-3.1787666666666667")</f>
        <v>RE-3.1787666666666667</v>
      </c>
      <c r="N599" s="44" t="str">
        <f>HYPERLINK("https://docs.google.com/spreadsheets/d/1arabN340AJr8Jt-c0-L0F4W-17ZrxD-Z", "RE-1078.8833499999955")</f>
        <v>RE-1078.8833499999955</v>
      </c>
      <c r="O599" s="44" t="str">
        <f>HYPERLINK("https://docs.google.com/spreadsheets/d/1zXVQ_l3ep7dleyALB7fODcBPNBSWlGDA", "RE-3.8845083333333332")</f>
        <v>RE-3.8845083333333332</v>
      </c>
      <c r="P599" s="44">
        <f>HYPERLINK("https://docs.google.com/spreadsheets/d/1Rg8chvNYrlxZRHl4i2ir8vaTLJvfaOrO", 1147.71901979166)</f>
        <v>1147.71902</v>
      </c>
      <c r="Q599" s="44" t="str">
        <f>HYPERLINK("https://docs.google.com/spreadsheets/d/1f5je9MRZxL3ZVQja_nJTKPKcYa6qNUVn", "RE-58.670140624999995")</f>
        <v>RE-58.670140624999995</v>
      </c>
      <c r="R599" s="44">
        <f>HYPERLINK("https://docs.google.com/spreadsheets/d/1h7nREKY261earF3PKNBDqDVfUVOXxiie", 1179.73166666666)</f>
        <v>1179.731667</v>
      </c>
      <c r="S599" s="44" t="str">
        <f>HYPERLINK("https://docs.google.com/spreadsheets/d/1geqZwlET6W_ROeECatypEg3clgrB6Ifo", "RE-35.89270416666668")</f>
        <v>RE-35.89270416666668</v>
      </c>
      <c r="T599" s="44">
        <f>HYPERLINK("https://docs.google.com/spreadsheets/d/1m1BtSood5z6h9e4wkIhNj-53ZrMIL_FG", 518.817584374999)</f>
        <v>518.8175844</v>
      </c>
      <c r="U599" s="44" t="str">
        <f>HYPERLINK("https://docs.google.com/spreadsheets/d/1m64qlMye51S_IlQC4oOp4MdSeYAPCBM_", "RE-42.07707708333334")</f>
        <v>RE-42.07707708333334</v>
      </c>
      <c r="V599" s="44" t="str">
        <f>HYPERLINK("https://docs.google.com/spreadsheets/d/13GUBT-eqQSFeL5bzjTomA6VQDPMU9iVA", "RE-18.62234479166667")</f>
        <v>RE-18.62234479166667</v>
      </c>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3"/>
      <c r="CJ599" s="43"/>
      <c r="CK599" s="43"/>
      <c r="CL599" s="43"/>
      <c r="CM599" s="43"/>
      <c r="CN599" s="43"/>
      <c r="CO599" s="43"/>
      <c r="CP599" s="43"/>
      <c r="CQ599" s="43"/>
      <c r="CR599" s="43"/>
      <c r="CS599" s="43"/>
      <c r="CT599" s="43"/>
      <c r="CU599" s="43"/>
      <c r="CV599" s="43"/>
      <c r="CW599" s="43"/>
      <c r="CX599" s="43"/>
      <c r="CY599" s="43"/>
      <c r="CZ599" s="43"/>
      <c r="DA599" s="43"/>
      <c r="DB599" s="43"/>
      <c r="DC599" s="43"/>
      <c r="DD599" s="43"/>
      <c r="DE599" s="43"/>
      <c r="DF599" s="43"/>
      <c r="DG599" s="43"/>
      <c r="DH599" s="43"/>
      <c r="DI599" s="43"/>
      <c r="DJ599" s="43"/>
      <c r="DK599" s="43"/>
      <c r="DL599" s="43"/>
      <c r="DM599" s="43"/>
      <c r="DN599" s="43"/>
      <c r="DO599" s="43"/>
      <c r="DP599" s="43"/>
      <c r="DQ599" s="43"/>
      <c r="DR599" s="43"/>
      <c r="DS599" s="43"/>
      <c r="DT599" s="43"/>
      <c r="DU599" s="43"/>
      <c r="DV599" s="43"/>
      <c r="DW599" s="43"/>
      <c r="DX599" s="43"/>
      <c r="DY599" s="43"/>
      <c r="DZ599" s="43"/>
      <c r="EA599" s="43"/>
      <c r="EB599" s="43"/>
      <c r="EC599" s="43"/>
      <c r="ED599" s="43"/>
      <c r="EE599" s="43"/>
      <c r="EF599" s="43"/>
      <c r="EG599" s="43"/>
      <c r="EH599" s="43"/>
      <c r="EI599" s="43"/>
      <c r="EJ599" s="43"/>
      <c r="EK599" s="43"/>
      <c r="EL599" s="43"/>
      <c r="EM599" s="43"/>
      <c r="EN599" s="43"/>
      <c r="EO599" s="43"/>
      <c r="EP599" s="43"/>
      <c r="EQ599" s="43"/>
      <c r="ER599" s="43"/>
      <c r="ES599" s="43"/>
      <c r="ET599" s="43"/>
      <c r="EU599" s="43"/>
      <c r="EV599" s="43"/>
      <c r="EW599" s="43"/>
      <c r="EX599" s="43"/>
      <c r="EY599" s="43"/>
      <c r="EZ599" s="43"/>
      <c r="FA599" s="43"/>
      <c r="FB599" s="43"/>
      <c r="FC599" s="43"/>
      <c r="FD599" s="43"/>
      <c r="FE599" s="43"/>
      <c r="FF599" s="43"/>
      <c r="FG599" s="43"/>
      <c r="FH599" s="43"/>
    </row>
    <row r="600">
      <c r="A600" s="47" t="s">
        <v>28</v>
      </c>
      <c r="B600" s="47" t="s">
        <v>100</v>
      </c>
      <c r="C600" s="47" t="s">
        <v>13</v>
      </c>
      <c r="D600" s="43">
        <f t="shared" si="1"/>
        <v>3214.365</v>
      </c>
      <c r="E600" s="43"/>
      <c r="F600" s="44" t="str">
        <f>HYPERLINK("https://docs.google.com/spreadsheets/d/1HqW-u5psDCpd2HCqvAEulP1fuychdJnR?usp=share_link", "RE-209.42")</f>
        <v>RE-209.42</v>
      </c>
      <c r="G600" s="44" t="str">
        <f>HYPERLINK("https://docs.google.com/spreadsheets/d/1Li0tFqwhYarHfGBMqLFo8zF0WuPzW-cc?usp=share_link", "RE-0.96895")</f>
        <v>RE-0.96895</v>
      </c>
      <c r="H600" s="44" t="str">
        <f>HYPERLINK("https://docs.google.com/spreadsheets/d/18l6HIcoA687D0FsAwjqSdj7i1Rq6C0JS?usp=share_link", "RE-78.2193")</f>
        <v>RE-78.2193</v>
      </c>
      <c r="I600" s="44" t="str">
        <f>HYPERLINK("https://docs.google.com/spreadsheets/d/1my1z6DFEkV3jgmoNo6GsPLQNtgz_Y945?usp=share_link", "RE-0.318283")</f>
        <v>RE-0.318283</v>
      </c>
      <c r="J600" s="44" t="str">
        <f>HYPERLINK("https://docs.google.com/spreadsheets/d/1PXgmJD-dnZBMmxAJ6mA9QhcRtbaksmA0?usp=share_link", "RE-61.4754")</f>
        <v>RE-61.4754</v>
      </c>
      <c r="K600" s="43"/>
      <c r="L600" s="44">
        <f>HYPERLINK("https://docs.google.com/spreadsheets/d/1JpfNgGiQbADav0SYp_nJg-vT4l184Kzk?usp=share_link", 510.878)</f>
        <v>510.878</v>
      </c>
      <c r="M600" s="44" t="str">
        <f>HYPERLINK("https://docs.google.com/spreadsheets/d/1zdurqSu7WkPlzUNYGOFfU7X-WHaLpayf?usp=share_link", "RE-2.88418")</f>
        <v>RE-2.88418</v>
      </c>
      <c r="N600" s="44" t="str">
        <f>HYPERLINK("https://docs.google.com/spreadsheets/d/1R9T-TKLt7msUBIAAYdawGoWiua4NhYvZ?usp=share_link", "RE-1037.75")</f>
        <v>RE-1037.75</v>
      </c>
      <c r="O600" s="44" t="str">
        <f>HYPERLINK("https://docs.google.com/spreadsheets/d/1tGtNd8ZraIk4mh_QyehlZj5pLFwopyC2?usp=share_link", "RE-3.68332")</f>
        <v>RE-3.68332</v>
      </c>
      <c r="P600" s="44">
        <f>HYPERLINK("https://docs.google.com/spreadsheets/d/1K3fpll6vxAiErL2cxuJlFH_lS5FBuGeW?usp=share_link", 1088.2)</f>
        <v>1088.2</v>
      </c>
      <c r="Q600" s="44" t="str">
        <f>HYPERLINK("https://docs.google.com/spreadsheets/d/1BU4yCf90UFHCLNAsSBNamcFKHydQv0AZ?usp=share_link", "RE-56.4659")</f>
        <v>RE-56.4659</v>
      </c>
      <c r="R600" s="44">
        <f>HYPERLINK("https://docs.google.com/spreadsheets/d/1ieglcUGoejWTu6pAzTNkszbvs61TjD-O?usp=share_link", 1123.64)</f>
        <v>1123.64</v>
      </c>
      <c r="S600" s="44" t="str">
        <f>HYPERLINK("https://docs.google.com/spreadsheets/d/1Ri0XEvaA5l5NLNnNlacSSdbT4AAI-fuh?usp=share_link", "RE-34.0471")</f>
        <v>RE-34.0471</v>
      </c>
      <c r="T600" s="44">
        <f>HYPERLINK("https://docs.google.com/spreadsheets/d/1DEIhaam4dYD31RGTtYygogJosQPp2A0e?usp=share_link", 491.647)</f>
        <v>491.647</v>
      </c>
      <c r="U600" s="44" t="str">
        <f>HYPERLINK("https://docs.google.com/spreadsheets/d/1zVAIa2v2x_TWxqdw1oQUnS6x1vcJ5hVf?usp=share_link", "RE-40.0507")</f>
        <v>RE-40.0507</v>
      </c>
      <c r="V600" s="44" t="str">
        <f>HYPERLINK("https://docs.google.com/spreadsheets/d/1ezs_SZBu8z8oDOVXX7-De4-QTdE79sSu?usp=share_link", "RE-17.6449")</f>
        <v>RE-17.6449</v>
      </c>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3"/>
      <c r="CJ600" s="43"/>
      <c r="CK600" s="43"/>
      <c r="CL600" s="43"/>
      <c r="CM600" s="43"/>
      <c r="CN600" s="43"/>
      <c r="CO600" s="43"/>
      <c r="CP600" s="43"/>
      <c r="CQ600" s="43"/>
      <c r="CR600" s="43"/>
      <c r="CS600" s="43"/>
      <c r="CT600" s="43"/>
      <c r="CU600" s="43"/>
      <c r="CV600" s="43"/>
      <c r="CW600" s="43"/>
      <c r="CX600" s="43"/>
      <c r="CY600" s="43"/>
      <c r="CZ600" s="43"/>
      <c r="DA600" s="43"/>
      <c r="DB600" s="43"/>
      <c r="DC600" s="43"/>
      <c r="DD600" s="43"/>
      <c r="DE600" s="43"/>
      <c r="DF600" s="43"/>
      <c r="DG600" s="43"/>
      <c r="DH600" s="43"/>
      <c r="DI600" s="43"/>
      <c r="DJ600" s="43"/>
      <c r="DK600" s="43"/>
      <c r="DL600" s="43"/>
      <c r="DM600" s="43"/>
      <c r="DN600" s="43"/>
      <c r="DO600" s="43"/>
      <c r="DP600" s="43"/>
      <c r="DQ600" s="43"/>
      <c r="DR600" s="43"/>
      <c r="DS600" s="43"/>
      <c r="DT600" s="43"/>
      <c r="DU600" s="43"/>
      <c r="DV600" s="43"/>
      <c r="DW600" s="43"/>
      <c r="DX600" s="43"/>
      <c r="DY600" s="43"/>
      <c r="DZ600" s="43"/>
      <c r="EA600" s="43"/>
      <c r="EB600" s="43"/>
      <c r="EC600" s="43"/>
      <c r="ED600" s="43"/>
      <c r="EE600" s="43"/>
      <c r="EF600" s="43"/>
      <c r="EG600" s="43"/>
      <c r="EH600" s="43"/>
      <c r="EI600" s="43"/>
      <c r="EJ600" s="43"/>
      <c r="EK600" s="43"/>
      <c r="EL600" s="43"/>
      <c r="EM600" s="43"/>
      <c r="EN600" s="43"/>
      <c r="EO600" s="43"/>
      <c r="EP600" s="43"/>
      <c r="EQ600" s="43"/>
      <c r="ER600" s="43"/>
      <c r="ES600" s="43"/>
      <c r="ET600" s="43"/>
      <c r="EU600" s="43"/>
      <c r="EV600" s="43"/>
      <c r="EW600" s="43"/>
      <c r="EX600" s="43"/>
      <c r="EY600" s="43"/>
      <c r="EZ600" s="43"/>
      <c r="FA600" s="43"/>
      <c r="FB600" s="43"/>
      <c r="FC600" s="43"/>
      <c r="FD600" s="43"/>
      <c r="FE600" s="43"/>
      <c r="FF600" s="43"/>
      <c r="FG600" s="43"/>
      <c r="FH600" s="43"/>
    </row>
    <row r="601">
      <c r="A601" s="47" t="s">
        <v>28</v>
      </c>
      <c r="B601" s="47" t="s">
        <v>100</v>
      </c>
      <c r="C601" s="47" t="s">
        <v>14</v>
      </c>
      <c r="D601" s="43">
        <f t="shared" si="1"/>
        <v>2753.072</v>
      </c>
      <c r="E601" s="43"/>
      <c r="F601" s="44" t="str">
        <f>HYPERLINK("https://docs.google.com/spreadsheets/d/15ousQ8rRmJwMFy1_g7IOO3Sh4Jh7c-Ro?usp=share_link", "RE-188.038")</f>
        <v>RE-188.038</v>
      </c>
      <c r="G601" s="44" t="str">
        <f>HYPERLINK("https://docs.google.com/spreadsheets/d/1qrYZtPPUMCbAFU33TAmwfj1nD4laPHRc?usp=share_link", "RE-0.814367")</f>
        <v>RE-0.814367</v>
      </c>
      <c r="H601" s="44" t="str">
        <f>HYPERLINK("https://docs.google.com/spreadsheets/d/1vf0_I7VBuk8f0zt3F_pPbg10guOJ-yD8?usp=share_link", "RE-73.0933")</f>
        <v>RE-73.0933</v>
      </c>
      <c r="I601" s="44" t="str">
        <f>HYPERLINK("https://docs.google.com/spreadsheets/d/1uKHog7nWaZ2m6xRzgdama8Y1uNaV2uCC?usp=share_link", "RE-0.318283")</f>
        <v>RE-0.318283</v>
      </c>
      <c r="J601" s="44" t="str">
        <f>HYPERLINK("https://docs.google.com/spreadsheets/d/1ku_pXpr0tCm8iHpmOWNPOSB5bhByyDiF?usp=share_link", "RE-58.1223")</f>
        <v>RE-58.1223</v>
      </c>
      <c r="K601" s="43"/>
      <c r="L601" s="44">
        <f>HYPERLINK("https://docs.google.com/spreadsheets/d/1ZYhq1oA19iPKVHWRrNHVfq2p2dhdJPmH?usp=share_link", 445.577)</f>
        <v>445.577</v>
      </c>
      <c r="M601" s="44" t="str">
        <f>HYPERLINK("https://docs.google.com/spreadsheets/d/1V9sGHjBlCc2yv00J4HiYchp6Wxe6SVUn?usp=share_link", "RE-2.19033")</f>
        <v>RE-2.19033</v>
      </c>
      <c r="N601" s="44" t="str">
        <f>HYPERLINK("https://docs.google.com/spreadsheets/d/1W8gm5eEZD8qpJVD1TMq3E30B8QGE3xwp?usp=share_link", "RE-911.669")</f>
        <v>RE-911.669</v>
      </c>
      <c r="O601" s="44" t="str">
        <f>HYPERLINK("https://docs.google.com/spreadsheets/d/1FnAdd7f9ZYuu-c7idUIkDH5f2aclAkDG?usp=share_link", "RE-3.68332")</f>
        <v>RE-3.68332</v>
      </c>
      <c r="P601" s="44">
        <f>HYPERLINK("https://docs.google.com/spreadsheets/d/1MYoj2LLc3hQT5MEP7_Nhb_0hM54dMf1k?usp=share_link", 937.766)</f>
        <v>937.766</v>
      </c>
      <c r="Q601" s="44" t="str">
        <f>HYPERLINK("https://docs.google.com/spreadsheets/d/1UPNrZuYHLUMAXjVdZPgwgX13ypIcGvey?usp=share_link", "RE-49.8958")</f>
        <v>RE-49.8958</v>
      </c>
      <c r="R601" s="44">
        <f>HYPERLINK("https://docs.google.com/spreadsheets/d/1y0whMYPK4UwvL498DRX8scUIpYI9dWlU?usp=share_link", 961.034)</f>
        <v>961.034</v>
      </c>
      <c r="S601" s="44" t="str">
        <f>HYPERLINK("https://docs.google.com/spreadsheets/d/15CHbCKNAbXS6iZcgYouH3fYJrBKnKB4e?usp=share_link", "RE-29.5958")</f>
        <v>RE-29.5958</v>
      </c>
      <c r="T601" s="44">
        <f>HYPERLINK("https://docs.google.com/spreadsheets/d/1S_ma3Gzj4thx4Rvl9x1B_Ik007dDmn4u?usp=share_link", 408.695)</f>
        <v>408.695</v>
      </c>
      <c r="U601" s="44" t="str">
        <f>HYPERLINK("https://docs.google.com/spreadsheets/d/1LXNhllfSaU3N97yv5aXYZdOiKhr8mOzz?usp=share_link", "RE-32.671")</f>
        <v>RE-32.671</v>
      </c>
      <c r="V601" s="44" t="str">
        <f>HYPERLINK("https://docs.google.com/spreadsheets/d/1CX8Z9bqJ1EeJm6AVO-gwH9XyCs-b2uR6?usp=share_link", "RE-14.0935")</f>
        <v>RE-14.0935</v>
      </c>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3"/>
      <c r="CJ601" s="43"/>
      <c r="CK601" s="43"/>
      <c r="CL601" s="43"/>
      <c r="CM601" s="43"/>
      <c r="CN601" s="43"/>
      <c r="CO601" s="43"/>
      <c r="CP601" s="43"/>
      <c r="CQ601" s="43"/>
      <c r="CR601" s="43"/>
      <c r="CS601" s="43"/>
      <c r="CT601" s="43"/>
      <c r="CU601" s="43"/>
      <c r="CV601" s="43"/>
      <c r="CW601" s="43"/>
      <c r="CX601" s="43"/>
      <c r="CY601" s="43"/>
      <c r="CZ601" s="43"/>
      <c r="DA601" s="43"/>
      <c r="DB601" s="43"/>
      <c r="DC601" s="43"/>
      <c r="DD601" s="43"/>
      <c r="DE601" s="43"/>
      <c r="DF601" s="43"/>
      <c r="DG601" s="43"/>
      <c r="DH601" s="43"/>
      <c r="DI601" s="43"/>
      <c r="DJ601" s="43"/>
      <c r="DK601" s="43"/>
      <c r="DL601" s="43"/>
      <c r="DM601" s="43"/>
      <c r="DN601" s="43"/>
      <c r="DO601" s="43"/>
      <c r="DP601" s="43"/>
      <c r="DQ601" s="43"/>
      <c r="DR601" s="43"/>
      <c r="DS601" s="43"/>
      <c r="DT601" s="43"/>
      <c r="DU601" s="43"/>
      <c r="DV601" s="43"/>
      <c r="DW601" s="43"/>
      <c r="DX601" s="43"/>
      <c r="DY601" s="43"/>
      <c r="DZ601" s="43"/>
      <c r="EA601" s="43"/>
      <c r="EB601" s="43"/>
      <c r="EC601" s="43"/>
      <c r="ED601" s="43"/>
      <c r="EE601" s="43"/>
      <c r="EF601" s="43"/>
      <c r="EG601" s="43"/>
      <c r="EH601" s="43"/>
      <c r="EI601" s="43"/>
      <c r="EJ601" s="43"/>
      <c r="EK601" s="43"/>
      <c r="EL601" s="43"/>
      <c r="EM601" s="43"/>
      <c r="EN601" s="43"/>
      <c r="EO601" s="43"/>
      <c r="EP601" s="43"/>
      <c r="EQ601" s="43"/>
      <c r="ER601" s="43"/>
      <c r="ES601" s="43"/>
      <c r="ET601" s="43"/>
      <c r="EU601" s="43"/>
      <c r="EV601" s="43"/>
      <c r="EW601" s="43"/>
      <c r="EX601" s="43"/>
      <c r="EY601" s="43"/>
      <c r="EZ601" s="43"/>
      <c r="FA601" s="43"/>
      <c r="FB601" s="43"/>
      <c r="FC601" s="43"/>
      <c r="FD601" s="43"/>
      <c r="FE601" s="43"/>
      <c r="FF601" s="43"/>
      <c r="FG601" s="43"/>
      <c r="FH601" s="43"/>
    </row>
    <row r="602">
      <c r="A602" s="48" t="s">
        <v>28</v>
      </c>
      <c r="B602" s="48" t="s">
        <v>100</v>
      </c>
      <c r="C602" s="48" t="s">
        <v>15</v>
      </c>
      <c r="D602" s="36">
        <f t="shared" si="1"/>
        <v>3214.275</v>
      </c>
      <c r="E602" s="36"/>
      <c r="F602" s="37" t="str">
        <f>HYPERLINK("https://docs.google.com/spreadsheets/d/1BqIj2sX-fKtpkM_--qBNijpmRyXf5E3s?usp=share_link", "RE-209.42")</f>
        <v>RE-209.42</v>
      </c>
      <c r="G602" s="37" t="str">
        <f>HYPERLINK("https://docs.google.com/spreadsheets/d/10fmtByKwNuJ4WvM8bBiNfQjqjvCSQiDq?usp=share_link", "RE-0.96895")</f>
        <v>RE-0.96895</v>
      </c>
      <c r="H602" s="37" t="str">
        <f>HYPERLINK("https://docs.google.com/spreadsheets/d/1GWYvIF3nLXW9XaQEL8Sfmk76eUGzNPLI?usp=share_link", "RE-78.2193")</f>
        <v>RE-78.2193</v>
      </c>
      <c r="I602" s="37" t="str">
        <f>HYPERLINK("https://docs.google.com/spreadsheets/d/1GoMwEWYkhqxBimp1G7MEfPTklupeugIX?usp=share_link", "RE-0.318283")</f>
        <v>RE-0.318283</v>
      </c>
      <c r="J602" s="37" t="str">
        <f>HYPERLINK("https://docs.google.com/spreadsheets/d/1eiOvGqIB4Fml3oSeb3ZVvdlcHAqZXv0z?usp=share_link", "RE-61.4754")</f>
        <v>RE-61.4754</v>
      </c>
      <c r="K602" s="36"/>
      <c r="L602" s="37">
        <f>HYPERLINK("https://docs.google.com/spreadsheets/d/128yh3t6G-WDqH1KpQZpL4TXPv7y4z_Bv?usp=share_link", 510.878)</f>
        <v>510.878</v>
      </c>
      <c r="M602" s="37" t="str">
        <f>HYPERLINK("https://docs.google.com/spreadsheets/d/1-LzaIC5ad_ztSWvb8m0pQmGhPoMhygev?usp=share_link", "RE-2.88418")</f>
        <v>RE-2.88418</v>
      </c>
      <c r="N602" s="37" t="str">
        <f>HYPERLINK("https://docs.google.com/spreadsheets/d/18crCJaoHVzNKBffDoF_CtGEdxsiBnR4W?usp=share_link", "RE-1037.75")</f>
        <v>RE-1037.75</v>
      </c>
      <c r="O602" s="37" t="str">
        <f>HYPERLINK("https://docs.google.com/spreadsheets/d/17IUEFoaQlXdQT-OpicJM9OqMsaQzPCZ2?usp=share_link", "RE-3.68332")</f>
        <v>RE-3.68332</v>
      </c>
      <c r="P602" s="37">
        <f>HYPERLINK("https://docs.google.com/spreadsheets/d/1FTnE9zCPcKCioArpU_AeJaSO27QMJRlr?usp=share_link", 1088.2)</f>
        <v>1088.2</v>
      </c>
      <c r="Q602" s="37" t="str">
        <f>HYPERLINK("https://docs.google.com/spreadsheets/d/1tchVFrUJ0xnnrGFbR311IaWj2HvhZxDl?usp=share_link", "RE-56.4659")</f>
        <v>RE-56.4659</v>
      </c>
      <c r="R602" s="37">
        <f>HYPERLINK("https://docs.google.com/spreadsheets/d/1IfCFKYzvJ5QBpBT3oS1K5oa6COioq16I?usp=share_link", 1123.55)</f>
        <v>1123.55</v>
      </c>
      <c r="S602" s="37" t="str">
        <f>HYPERLINK("https://docs.google.com/spreadsheets/d/1ZJiCFgMH97ixgzi8rT-4wzG7TsRmj3zV?usp=share_link", "RE-34.0471")</f>
        <v>RE-34.0471</v>
      </c>
      <c r="T602" s="37">
        <f>HYPERLINK("https://docs.google.com/spreadsheets/d/1g0xRZPb9rgCdajOXUn2KdQwTF0A01BAO?usp=share_link", 491.647)</f>
        <v>491.647</v>
      </c>
      <c r="U602" s="37" t="str">
        <f>HYPERLINK("https://docs.google.com/spreadsheets/d/16ZNQIMzFa66VdYWbmrS4CU1lC5MtBpOU?usp=share_link", "RE-40.0507")</f>
        <v>RE-40.0507</v>
      </c>
      <c r="V602" s="37" t="str">
        <f>HYPERLINK("https://docs.google.com/spreadsheets/d/1h9YUqrbm0BKevrp13RwvQva7yYhPppsC?usp=share_link", "RE-17.6449")</f>
        <v>RE-17.6449</v>
      </c>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c r="AY602" s="36"/>
      <c r="AZ602" s="36"/>
      <c r="BA602" s="36"/>
      <c r="BB602" s="36"/>
      <c r="BC602" s="36"/>
      <c r="BD602" s="36"/>
      <c r="BE602" s="36"/>
      <c r="BF602" s="36"/>
      <c r="BG602" s="36"/>
      <c r="BH602" s="36"/>
      <c r="BI602" s="36"/>
      <c r="BJ602" s="36"/>
      <c r="BK602" s="36"/>
      <c r="BL602" s="36"/>
      <c r="BM602" s="36"/>
      <c r="BN602" s="36"/>
      <c r="BO602" s="36"/>
      <c r="BP602" s="36"/>
      <c r="BQ602" s="36"/>
      <c r="BR602" s="36"/>
      <c r="BS602" s="36"/>
      <c r="BT602" s="36"/>
      <c r="BU602" s="36"/>
      <c r="BV602" s="36"/>
      <c r="BW602" s="36"/>
      <c r="BX602" s="36"/>
      <c r="BY602" s="36"/>
      <c r="BZ602" s="36"/>
      <c r="CA602" s="36"/>
      <c r="CB602" s="36"/>
      <c r="CC602" s="36"/>
      <c r="CD602" s="36"/>
      <c r="CE602" s="36"/>
      <c r="CF602" s="36"/>
      <c r="CG602" s="36"/>
      <c r="CH602" s="36"/>
      <c r="CI602" s="36"/>
      <c r="CJ602" s="36"/>
      <c r="CK602" s="36"/>
      <c r="CL602" s="36"/>
      <c r="CM602" s="36"/>
      <c r="CN602" s="36"/>
      <c r="CO602" s="36"/>
      <c r="CP602" s="36"/>
      <c r="CQ602" s="36"/>
      <c r="CR602" s="36"/>
      <c r="CS602" s="36"/>
      <c r="CT602" s="36"/>
      <c r="CU602" s="36"/>
      <c r="CV602" s="36"/>
      <c r="CW602" s="36"/>
      <c r="CX602" s="36"/>
      <c r="CY602" s="36"/>
      <c r="CZ602" s="36"/>
      <c r="DA602" s="36"/>
      <c r="DB602" s="36"/>
      <c r="DC602" s="36"/>
      <c r="DD602" s="36"/>
      <c r="DE602" s="36"/>
      <c r="DF602" s="36"/>
      <c r="DG602" s="36"/>
      <c r="DH602" s="36"/>
      <c r="DI602" s="36"/>
      <c r="DJ602" s="36"/>
      <c r="DK602" s="36"/>
      <c r="DL602" s="36"/>
      <c r="DM602" s="36"/>
      <c r="DN602" s="36"/>
      <c r="DO602" s="36"/>
      <c r="DP602" s="36"/>
      <c r="DQ602" s="36"/>
      <c r="DR602" s="36"/>
      <c r="DS602" s="36"/>
      <c r="DT602" s="36"/>
      <c r="DU602" s="36"/>
      <c r="DV602" s="36"/>
      <c r="DW602" s="36"/>
      <c r="DX602" s="36"/>
      <c r="DY602" s="36"/>
      <c r="DZ602" s="36"/>
      <c r="EA602" s="36"/>
      <c r="EB602" s="36"/>
      <c r="EC602" s="36"/>
      <c r="ED602" s="36"/>
      <c r="EE602" s="36"/>
      <c r="EF602" s="36"/>
      <c r="EG602" s="36"/>
      <c r="EH602" s="36"/>
      <c r="EI602" s="36"/>
      <c r="EJ602" s="36"/>
      <c r="EK602" s="36"/>
      <c r="EL602" s="36"/>
      <c r="EM602" s="36"/>
      <c r="EN602" s="36"/>
      <c r="EO602" s="36"/>
      <c r="EP602" s="36"/>
      <c r="EQ602" s="36"/>
      <c r="ER602" s="36"/>
      <c r="ES602" s="36"/>
      <c r="ET602" s="36"/>
      <c r="EU602" s="36"/>
      <c r="EV602" s="36"/>
      <c r="EW602" s="36"/>
      <c r="EX602" s="36"/>
      <c r="EY602" s="36"/>
      <c r="EZ602" s="36"/>
      <c r="FA602" s="36"/>
      <c r="FB602" s="36"/>
      <c r="FC602" s="36"/>
      <c r="FD602" s="36"/>
      <c r="FE602" s="36"/>
      <c r="FF602" s="36"/>
      <c r="FG602" s="36"/>
      <c r="FH602" s="36"/>
    </row>
    <row r="603">
      <c r="A603" s="45" t="s">
        <v>28</v>
      </c>
      <c r="B603" s="45" t="s">
        <v>101</v>
      </c>
      <c r="C603" s="46" t="str">
        <f>HYPERLINK("https://docs.google.com/spreadsheets/d/11ZbSd4QLvEkiXZtmkjNqBXdCwGNlrqPI/edit?usp=share_link&amp;ouid=106501987799020758802&amp;rtpof=true&amp;sd=true", "Raw Delivered")</f>
        <v>Raw Delivered</v>
      </c>
      <c r="D603" s="40">
        <f t="shared" si="1"/>
        <v>6005.126709</v>
      </c>
      <c r="E603" s="40"/>
      <c r="F603" s="41">
        <f>HYPERLINK("https://docs.google.com/spreadsheets/d/1A8GMbN08Pv47uUs8aAvE9ilVQne6DAt4", 308.713070833333)</f>
        <v>308.7130708</v>
      </c>
      <c r="G603" s="40"/>
      <c r="H603" s="41">
        <f>HYPERLINK("https://docs.google.com/spreadsheets/d/1FRyIl4wYPBQ_mecKP8fG3CgPu4nM7KZl", 99.5422166666665)</f>
        <v>99.54221667</v>
      </c>
      <c r="I603" s="40"/>
      <c r="J603" s="41">
        <f>HYPERLINK("https://docs.google.com/spreadsheets/d/1gkW3dQTNhLv50InXpqjieMNjUt-qilSp", 461.672721874999)</f>
        <v>461.6727219</v>
      </c>
      <c r="K603" s="40"/>
      <c r="L603" s="41">
        <f t="shared" ref="L603:L604" si="302">HYPERLINK("https://docs.google.com/spreadsheets/d/1Ic6bFC5jfkJiJFw36d-UDdnOJvaOF5yL", 687.27824375)</f>
        <v>687.2782438</v>
      </c>
      <c r="M603" s="40"/>
      <c r="N603" s="41">
        <f>HYPERLINK("https://docs.google.com/spreadsheets/d/1t7FyeIa_yufUka_-G7cwXJSbvkaJwfqa", 1534.24979583333)</f>
        <v>1534.249796</v>
      </c>
      <c r="O603" s="40"/>
      <c r="P603" s="41">
        <f t="shared" ref="P603:P604" si="303">HYPERLINK("https://docs.google.com/spreadsheets/d/1aXuAsVho7YsUM8fkqg0OlztqZmqSAiQf", 1106.175534375)</f>
        <v>1106.175534</v>
      </c>
      <c r="Q603" s="40"/>
      <c r="R603" s="41">
        <f t="shared" ref="R603:R604" si="304">HYPERLINK("https://docs.google.com/spreadsheets/d/1LOEeUGmPbYAQ3RozE3XJTPvBdSGU7189", 1220.04410625)</f>
        <v>1220.044106</v>
      </c>
      <c r="S603" s="40"/>
      <c r="T603" s="41">
        <f t="shared" ref="T603:T604" si="305">HYPERLINK("https://docs.google.com/spreadsheets/d/112WD9x1YXrXAueK7lQl84opU2_--nxo8", 587.451019791667)</f>
        <v>587.4510198</v>
      </c>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0"/>
      <c r="FG603" s="40"/>
      <c r="FH603" s="40"/>
    </row>
    <row r="604">
      <c r="A604" s="47" t="s">
        <v>28</v>
      </c>
      <c r="B604" s="47" t="s">
        <v>101</v>
      </c>
      <c r="C604" s="47" t="s">
        <v>9</v>
      </c>
      <c r="D604" s="43">
        <f t="shared" si="1"/>
        <v>3600.948904</v>
      </c>
      <c r="E604" s="43"/>
      <c r="F604" s="44" t="str">
        <f>HYPERLINK("https://docs.google.com/spreadsheets/d/1A8GMbN08Pv47uUs8aAvE9ilVQne6DAt4", "RE-308.7130708333333")</f>
        <v>RE-308.7130708333333</v>
      </c>
      <c r="G604" s="43"/>
      <c r="H604" s="44" t="str">
        <f>HYPERLINK("https://docs.google.com/spreadsheets/d/1FRyIl4wYPBQ_mecKP8fG3CgPu4nM7KZl", "RE-99.54221666666659")</f>
        <v>RE-99.54221666666659</v>
      </c>
      <c r="I604" s="43"/>
      <c r="J604" s="44" t="str">
        <f>HYPERLINK("https://docs.google.com/spreadsheets/d/1gkW3dQTNhLv50InXpqjieMNjUt-qilSp", "RE-461.6727218749999")</f>
        <v>RE-461.6727218749999</v>
      </c>
      <c r="K604" s="43"/>
      <c r="L604" s="44">
        <f t="shared" si="302"/>
        <v>687.2782438</v>
      </c>
      <c r="M604" s="43"/>
      <c r="N604" s="44" t="str">
        <f>HYPERLINK("https://docs.google.com/spreadsheets/d/1t7FyeIa_yufUka_-G7cwXJSbvkaJwfqa", "RE-1534.2497958333306")</f>
        <v>RE-1534.2497958333306</v>
      </c>
      <c r="O604" s="43"/>
      <c r="P604" s="44">
        <f t="shared" si="303"/>
        <v>1106.175534</v>
      </c>
      <c r="Q604" s="43"/>
      <c r="R604" s="44">
        <f t="shared" si="304"/>
        <v>1220.044106</v>
      </c>
      <c r="S604" s="43"/>
      <c r="T604" s="44">
        <f t="shared" si="305"/>
        <v>587.4510198</v>
      </c>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c r="BO604" s="43"/>
      <c r="BP604" s="43"/>
      <c r="BQ604" s="43"/>
      <c r="BR604" s="43"/>
      <c r="BS604" s="43"/>
      <c r="BT604" s="43"/>
      <c r="BU604" s="43"/>
      <c r="BV604" s="43"/>
      <c r="BW604" s="43"/>
      <c r="BX604" s="43"/>
      <c r="BY604" s="43"/>
      <c r="BZ604" s="43"/>
      <c r="CA604" s="43"/>
      <c r="CB604" s="43"/>
      <c r="CC604" s="43"/>
      <c r="CD604" s="43"/>
      <c r="CE604" s="43"/>
      <c r="CF604" s="43"/>
      <c r="CG604" s="43"/>
      <c r="CH604" s="43"/>
      <c r="CI604" s="43"/>
      <c r="CJ604" s="43"/>
      <c r="CK604" s="43"/>
      <c r="CL604" s="43"/>
      <c r="CM604" s="43"/>
      <c r="CN604" s="43"/>
      <c r="CO604" s="43"/>
      <c r="CP604" s="43"/>
      <c r="CQ604" s="43"/>
      <c r="CR604" s="43"/>
      <c r="CS604" s="43"/>
      <c r="CT604" s="43"/>
      <c r="CU604" s="43"/>
      <c r="CV604" s="43"/>
      <c r="CW604" s="43"/>
      <c r="CX604" s="43"/>
      <c r="CY604" s="43"/>
      <c r="CZ604" s="43"/>
      <c r="DA604" s="43"/>
      <c r="DB604" s="43"/>
      <c r="DC604" s="43"/>
      <c r="DD604" s="43"/>
      <c r="DE604" s="43"/>
      <c r="DF604" s="43"/>
      <c r="DG604" s="43"/>
      <c r="DH604" s="43"/>
      <c r="DI604" s="43"/>
      <c r="DJ604" s="43"/>
      <c r="DK604" s="43"/>
      <c r="DL604" s="43"/>
      <c r="DM604" s="43"/>
      <c r="DN604" s="43"/>
      <c r="DO604" s="43"/>
      <c r="DP604" s="43"/>
      <c r="DQ604" s="43"/>
      <c r="DR604" s="43"/>
      <c r="DS604" s="43"/>
      <c r="DT604" s="43"/>
      <c r="DU604" s="43"/>
      <c r="DV604" s="43"/>
      <c r="DW604" s="43"/>
      <c r="DX604" s="43"/>
      <c r="DY604" s="43"/>
      <c r="DZ604" s="43"/>
      <c r="EA604" s="43"/>
      <c r="EB604" s="43"/>
      <c r="EC604" s="43"/>
      <c r="ED604" s="43"/>
      <c r="EE604" s="43"/>
      <c r="EF604" s="43"/>
      <c r="EG604" s="43"/>
      <c r="EH604" s="43"/>
      <c r="EI604" s="43"/>
      <c r="EJ604" s="43"/>
      <c r="EK604" s="43"/>
      <c r="EL604" s="43"/>
      <c r="EM604" s="43"/>
      <c r="EN604" s="43"/>
      <c r="EO604" s="43"/>
      <c r="EP604" s="43"/>
      <c r="EQ604" s="43"/>
      <c r="ER604" s="43"/>
      <c r="ES604" s="43"/>
      <c r="ET604" s="43"/>
      <c r="EU604" s="43"/>
      <c r="EV604" s="43"/>
      <c r="EW604" s="43"/>
      <c r="EX604" s="43"/>
      <c r="EY604" s="43"/>
      <c r="EZ604" s="43"/>
      <c r="FA604" s="43"/>
      <c r="FB604" s="43"/>
      <c r="FC604" s="43"/>
      <c r="FD604" s="43"/>
      <c r="FE604" s="43"/>
      <c r="FF604" s="43"/>
      <c r="FG604" s="43"/>
      <c r="FH604" s="43"/>
    </row>
    <row r="605">
      <c r="A605" s="47" t="s">
        <v>28</v>
      </c>
      <c r="B605" s="47" t="s">
        <v>101</v>
      </c>
      <c r="C605" s="47" t="s">
        <v>10</v>
      </c>
      <c r="D605" s="43">
        <f t="shared" si="1"/>
        <v>655.4563917</v>
      </c>
      <c r="E605" s="43"/>
      <c r="F605" s="43"/>
      <c r="G605" s="44">
        <f>HYPERLINK("https://docs.google.com/spreadsheets/d/1otvxmmqJJwHwZ2cnxkKgt9v_HUnRoAp-", 40.6919124999999)</f>
        <v>40.6919125</v>
      </c>
      <c r="H605" s="43"/>
      <c r="I605" s="44">
        <f>HYPERLINK("https://docs.google.com/spreadsheets/d/1XLpu96odYRZN5Ibt58ReksZjhokdpqQu", 9.84730833333333)</f>
        <v>9.847308333</v>
      </c>
      <c r="J605" s="43"/>
      <c r="K605" s="44">
        <f>HYPERLINK("https://docs.google.com/spreadsheets/d/1ULED_FzotSdSa9vkigEJA9gapJApSmK8", 59.17008125)</f>
        <v>59.17008125</v>
      </c>
      <c r="L605" s="43"/>
      <c r="M605" s="44">
        <f>HYPERLINK("https://docs.google.com/spreadsheets/d/1A3IT1l4iFM18dtVVxnlphyZsoUrnX8iY", 40.5672447916666)</f>
        <v>40.56724479</v>
      </c>
      <c r="N605" s="43"/>
      <c r="O605" s="44">
        <f>HYPERLINK("https://docs.google.com/spreadsheets/d/1TtWGv-_dc0xV67m5Xi1vPd0BOXyCKDRw", 152.989132291666)</f>
        <v>152.9891323</v>
      </c>
      <c r="P605" s="43"/>
      <c r="Q605" s="44">
        <f>HYPERLINK("https://docs.google.com/spreadsheets/d/1Hr-TwpCCmmMxkInt0HWhf66Hnk0ZD1x1", 103.785944791666)</f>
        <v>103.7859448</v>
      </c>
      <c r="R605" s="43"/>
      <c r="S605" s="44">
        <f>HYPERLINK("https://docs.google.com/spreadsheets/d/1jQPWf1CK25kH5nnk-sfDuXOoxi5EU1ZN", 111.672658333333)</f>
        <v>111.6726583</v>
      </c>
      <c r="T605" s="43"/>
      <c r="U605" s="44">
        <f>HYPERLINK("https://docs.google.com/spreadsheets/d/18wOYoKJsr2ArpxPIxMS97I6CNh_JDTbB", 106.733713541666)</f>
        <v>106.7337135</v>
      </c>
      <c r="V605" s="44">
        <f>HYPERLINK("https://docs.google.com/spreadsheets/d/1Uz6sI7tTNiLPCvF95YxH3_xQGK8Htpih", 29.9983958333333)</f>
        <v>29.99839583</v>
      </c>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c r="BO605" s="43"/>
      <c r="BP605" s="43"/>
      <c r="BQ605" s="43"/>
      <c r="BR605" s="43"/>
      <c r="BS605" s="43"/>
      <c r="BT605" s="43"/>
      <c r="BU605" s="43"/>
      <c r="BV605" s="43"/>
      <c r="BW605" s="43"/>
      <c r="BX605" s="43"/>
      <c r="BY605" s="43"/>
      <c r="BZ605" s="43"/>
      <c r="CA605" s="43"/>
      <c r="CB605" s="43"/>
      <c r="CC605" s="43"/>
      <c r="CD605" s="43"/>
      <c r="CE605" s="43"/>
      <c r="CF605" s="43"/>
      <c r="CG605" s="43"/>
      <c r="CH605" s="43"/>
      <c r="CI605" s="43"/>
      <c r="CJ605" s="43"/>
      <c r="CK605" s="43"/>
      <c r="CL605" s="43"/>
      <c r="CM605" s="43"/>
      <c r="CN605" s="43"/>
      <c r="CO605" s="43"/>
      <c r="CP605" s="43"/>
      <c r="CQ605" s="43"/>
      <c r="CR605" s="43"/>
      <c r="CS605" s="43"/>
      <c r="CT605" s="43"/>
      <c r="CU605" s="43"/>
      <c r="CV605" s="43"/>
      <c r="CW605" s="43"/>
      <c r="CX605" s="43"/>
      <c r="CY605" s="43"/>
      <c r="CZ605" s="43"/>
      <c r="DA605" s="43"/>
      <c r="DB605" s="43"/>
      <c r="DC605" s="43"/>
      <c r="DD605" s="43"/>
      <c r="DE605" s="43"/>
      <c r="DF605" s="43"/>
      <c r="DG605" s="43"/>
      <c r="DH605" s="43"/>
      <c r="DI605" s="43"/>
      <c r="DJ605" s="43"/>
      <c r="DK605" s="43"/>
      <c r="DL605" s="43"/>
      <c r="DM605" s="43"/>
      <c r="DN605" s="43"/>
      <c r="DO605" s="43"/>
      <c r="DP605" s="43"/>
      <c r="DQ605" s="43"/>
      <c r="DR605" s="43"/>
      <c r="DS605" s="43"/>
      <c r="DT605" s="43"/>
      <c r="DU605" s="43"/>
      <c r="DV605" s="43"/>
      <c r="DW605" s="43"/>
      <c r="DX605" s="43"/>
      <c r="DY605" s="43"/>
      <c r="DZ605" s="43"/>
      <c r="EA605" s="43"/>
      <c r="EB605" s="43"/>
      <c r="EC605" s="43"/>
      <c r="ED605" s="43"/>
      <c r="EE605" s="43"/>
      <c r="EF605" s="43"/>
      <c r="EG605" s="43"/>
      <c r="EH605" s="43"/>
      <c r="EI605" s="43"/>
      <c r="EJ605" s="43"/>
      <c r="EK605" s="43"/>
      <c r="EL605" s="43"/>
      <c r="EM605" s="43"/>
      <c r="EN605" s="43"/>
      <c r="EO605" s="43"/>
      <c r="EP605" s="43"/>
      <c r="EQ605" s="43"/>
      <c r="ER605" s="43"/>
      <c r="ES605" s="43"/>
      <c r="ET605" s="43"/>
      <c r="EU605" s="43"/>
      <c r="EV605" s="43"/>
      <c r="EW605" s="43"/>
      <c r="EX605" s="43"/>
      <c r="EY605" s="43"/>
      <c r="EZ605" s="43"/>
      <c r="FA605" s="43"/>
      <c r="FB605" s="43"/>
      <c r="FC605" s="43"/>
      <c r="FD605" s="43"/>
      <c r="FE605" s="43"/>
      <c r="FF605" s="43"/>
      <c r="FG605" s="43"/>
      <c r="FH605" s="43"/>
    </row>
    <row r="606">
      <c r="A606" s="47" t="s">
        <v>28</v>
      </c>
      <c r="B606" s="47" t="s">
        <v>101</v>
      </c>
      <c r="C606" s="47" t="s">
        <v>11</v>
      </c>
      <c r="D606" s="43">
        <f t="shared" si="1"/>
        <v>0</v>
      </c>
      <c r="E606" s="43"/>
      <c r="F606" s="43"/>
      <c r="G606" s="44" t="str">
        <f>HYPERLINK("https://docs.google.com/spreadsheets/d/1otvxmmqJJwHwZ2cnxkKgt9v_HUnRoAp-", "RE-40.69191249999999")</f>
        <v>RE-40.69191249999999</v>
      </c>
      <c r="H606" s="43"/>
      <c r="I606" s="44" t="str">
        <f>HYPERLINK("https://docs.google.com/spreadsheets/d/1XLpu96odYRZN5Ibt58ReksZjhokdpqQu", "RE-9.847308333333332")</f>
        <v>RE-9.847308333333332</v>
      </c>
      <c r="J606" s="43"/>
      <c r="K606" s="44" t="str">
        <f>HYPERLINK("https://docs.google.com/spreadsheets/d/1ULED_FzotSdSa9vkigEJA9gapJApSmK8", "RE-59.17008125")</f>
        <v>RE-59.17008125</v>
      </c>
      <c r="L606" s="43"/>
      <c r="M606" s="44" t="str">
        <f>HYPERLINK("https://docs.google.com/spreadsheets/d/1A3IT1l4iFM18dtVVxnlphyZsoUrnX8iY", "RE-40.567244791666674")</f>
        <v>RE-40.567244791666674</v>
      </c>
      <c r="N606" s="43"/>
      <c r="O606" s="44" t="str">
        <f>HYPERLINK("https://docs.google.com/spreadsheets/d/1TtWGv-_dc0xV67m5Xi1vPd0BOXyCKDRw", "RE-152.98913229166675")</f>
        <v>RE-152.98913229166675</v>
      </c>
      <c r="P606" s="43"/>
      <c r="Q606" s="44" t="str">
        <f>HYPERLINK("https://docs.google.com/spreadsheets/d/1Hr-TwpCCmmMxkInt0HWhf66Hnk0ZD1x1", "RE-103.78594479166661")</f>
        <v>RE-103.78594479166661</v>
      </c>
      <c r="R606" s="43"/>
      <c r="S606" s="44" t="str">
        <f>HYPERLINK("https://docs.google.com/spreadsheets/d/1jQPWf1CK25kH5nnk-sfDuXOoxi5EU1ZN", "RE-111.67265833333323")</f>
        <v>RE-111.67265833333323</v>
      </c>
      <c r="T606" s="43"/>
      <c r="U606" s="44" t="str">
        <f>HYPERLINK("https://docs.google.com/spreadsheets/d/18wOYoKJsr2ArpxPIxMS97I6CNh_JDTbB", "RE-106.7337135416667")</f>
        <v>RE-106.7337135416667</v>
      </c>
      <c r="V606" s="44" t="str">
        <f>HYPERLINK("https://docs.google.com/spreadsheets/d/1Uz6sI7tTNiLPCvF95YxH3_xQGK8Htpih", "RE-29.99839583333333")</f>
        <v>RE-29.99839583333333</v>
      </c>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3"/>
      <c r="CJ606" s="43"/>
      <c r="CK606" s="43"/>
      <c r="CL606" s="43"/>
      <c r="CM606" s="43"/>
      <c r="CN606" s="43"/>
      <c r="CO606" s="43"/>
      <c r="CP606" s="43"/>
      <c r="CQ606" s="43"/>
      <c r="CR606" s="43"/>
      <c r="CS606" s="43"/>
      <c r="CT606" s="43"/>
      <c r="CU606" s="43"/>
      <c r="CV606" s="43"/>
      <c r="CW606" s="43"/>
      <c r="CX606" s="43"/>
      <c r="CY606" s="43"/>
      <c r="CZ606" s="43"/>
      <c r="DA606" s="43"/>
      <c r="DB606" s="43"/>
      <c r="DC606" s="43"/>
      <c r="DD606" s="43"/>
      <c r="DE606" s="43"/>
      <c r="DF606" s="43"/>
      <c r="DG606" s="43"/>
      <c r="DH606" s="43"/>
      <c r="DI606" s="43"/>
      <c r="DJ606" s="43"/>
      <c r="DK606" s="43"/>
      <c r="DL606" s="43"/>
      <c r="DM606" s="43"/>
      <c r="DN606" s="43"/>
      <c r="DO606" s="43"/>
      <c r="DP606" s="43"/>
      <c r="DQ606" s="43"/>
      <c r="DR606" s="43"/>
      <c r="DS606" s="43"/>
      <c r="DT606" s="43"/>
      <c r="DU606" s="43"/>
      <c r="DV606" s="43"/>
      <c r="DW606" s="43"/>
      <c r="DX606" s="43"/>
      <c r="DY606" s="43"/>
      <c r="DZ606" s="43"/>
      <c r="EA606" s="43"/>
      <c r="EB606" s="43"/>
      <c r="EC606" s="43"/>
      <c r="ED606" s="43"/>
      <c r="EE606" s="43"/>
      <c r="EF606" s="43"/>
      <c r="EG606" s="43"/>
      <c r="EH606" s="43"/>
      <c r="EI606" s="43"/>
      <c r="EJ606" s="43"/>
      <c r="EK606" s="43"/>
      <c r="EL606" s="43"/>
      <c r="EM606" s="43"/>
      <c r="EN606" s="43"/>
      <c r="EO606" s="43"/>
      <c r="EP606" s="43"/>
      <c r="EQ606" s="43"/>
      <c r="ER606" s="43"/>
      <c r="ES606" s="43"/>
      <c r="ET606" s="43"/>
      <c r="EU606" s="43"/>
      <c r="EV606" s="43"/>
      <c r="EW606" s="43"/>
      <c r="EX606" s="43"/>
      <c r="EY606" s="43"/>
      <c r="EZ606" s="43"/>
      <c r="FA606" s="43"/>
      <c r="FB606" s="43"/>
      <c r="FC606" s="43"/>
      <c r="FD606" s="43"/>
      <c r="FE606" s="43"/>
      <c r="FF606" s="43"/>
      <c r="FG606" s="43"/>
      <c r="FH606" s="43"/>
    </row>
    <row r="607">
      <c r="A607" s="47" t="s">
        <v>28</v>
      </c>
      <c r="B607" s="47" t="s">
        <v>101</v>
      </c>
      <c r="C607" s="47" t="s">
        <v>12</v>
      </c>
      <c r="D607" s="43">
        <f t="shared" si="1"/>
        <v>3296.947485</v>
      </c>
      <c r="E607" s="43"/>
      <c r="F607" s="44" t="str">
        <f>HYPERLINK("https://docs.google.com/spreadsheets/d/1elYaGUv74hB8our46UDtnl6QeuLZN6q9", "RE-243.63345416666613")</f>
        <v>RE-243.63345416666613</v>
      </c>
      <c r="G607" s="44" t="str">
        <f>HYPERLINK("https://docs.google.com/spreadsheets/d/1ucfVbYJUulnkf7UVVdlD2dSnHZEOiqPI", "RE-1.0037145833333334")</f>
        <v>RE-1.0037145833333334</v>
      </c>
      <c r="H607" s="44" t="str">
        <f>HYPERLINK("https://docs.google.com/spreadsheets/d/1W0eMF6toGVELGwz16or7NsMQDHnxOIeH", "RE-91.18887708333325")</f>
        <v>RE-91.18887708333325</v>
      </c>
      <c r="I607" s="44" t="str">
        <f>HYPERLINK("https://docs.google.com/spreadsheets/d/1F15b4j9WSOFSZnsjEQZzCXeckiWzxcxS", "RE-1.0356645833333333")</f>
        <v>RE-1.0356645833333333</v>
      </c>
      <c r="J607" s="44" t="str">
        <f>HYPERLINK("https://docs.google.com/spreadsheets/d/1610s1Kt82h5T8Ft_IMQk-Lsaj-k_TMZd", "RE-313.3506635416665")</f>
        <v>RE-313.3506635416665</v>
      </c>
      <c r="K607" s="44" t="str">
        <f>HYPERLINK("https://docs.google.com/spreadsheets/d/1JQms-T7e5qshdF_waGssa4OcjAFyXuim", "RE-2.6726833333333335")</f>
        <v>RE-2.6726833333333335</v>
      </c>
      <c r="L607" s="44">
        <f>HYPERLINK("https://docs.google.com/spreadsheets/d/1XKhOCo3JxeRZl3OIiRBqQNP6LM8MQ561", 651.614555208332)</f>
        <v>651.6145552</v>
      </c>
      <c r="M607" s="44" t="str">
        <f>HYPERLINK("https://docs.google.com/spreadsheets/d/1ewE5NYpaQK3Se-kNTNimSs1OcUmtCaSx", "RE-7.319058333333332")</f>
        <v>RE-7.319058333333332</v>
      </c>
      <c r="N607" s="44" t="str">
        <f>HYPERLINK("https://docs.google.com/spreadsheets/d/1_BsqLUoBYt1h4jQZm3t3M_aMK6hzoAKX", "RE-990.0132958333327")</f>
        <v>RE-990.0132958333327</v>
      </c>
      <c r="O607" s="44" t="str">
        <f>HYPERLINK("https://docs.google.com/spreadsheets/d/1xRG22l8GBH8PzM3ljVUD2bAUwSLvJtKE", "RE-1.9662958333333336")</f>
        <v>RE-1.9662958333333336</v>
      </c>
      <c r="P607" s="44">
        <f>HYPERLINK("https://docs.google.com/spreadsheets/d/1GJ7iCHTSQIJa8QRrBq8WIBzIMyTfNdI4", 987.640430208332)</f>
        <v>987.6404302</v>
      </c>
      <c r="Q607" s="44" t="str">
        <f>HYPERLINK("https://docs.google.com/spreadsheets/d/1U_WJ9sk5qWnYe1aplhT810Hpl1M9tpmc", "RE-36.81993541666666")</f>
        <v>RE-36.81993541666666</v>
      </c>
      <c r="R607" s="44">
        <f>HYPERLINK("https://docs.google.com/spreadsheets/d/1rBnTJTe27flU7BoLoaaWs8WoaqbVqyp6", 1145.40645312499)</f>
        <v>1145.406453</v>
      </c>
      <c r="S607" s="44" t="str">
        <f>HYPERLINK("https://docs.google.com/spreadsheets/d/1dxwV2EgvsxYoxaNkz0X0xYGYcteZjqSJ", "RE-46.38763958333333")</f>
        <v>RE-46.38763958333333</v>
      </c>
      <c r="T607" s="44">
        <f>HYPERLINK("https://docs.google.com/spreadsheets/d/1m8WfiA5TyJ5iMKX0Ed5FqZNzUyPPR9P7", 512.286046874999)</f>
        <v>512.2860469</v>
      </c>
      <c r="U607" s="44" t="str">
        <f>HYPERLINK("https://docs.google.com/spreadsheets/d/1LnlDPSCFMgEb6IuaEAZR1Y9dOe_VqjNt", "RE-54.89756874999998")</f>
        <v>RE-54.89756874999998</v>
      </c>
      <c r="V607" s="44" t="str">
        <f>HYPERLINK("https://docs.google.com/spreadsheets/d/1-Q_MmC4fZOPrNV2TfxULpGEYoLCD-M3f", "RE-19.20586666666667")</f>
        <v>RE-19.20586666666667</v>
      </c>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c r="BO607" s="43"/>
      <c r="BP607" s="43"/>
      <c r="BQ607" s="43"/>
      <c r="BR607" s="43"/>
      <c r="BS607" s="43"/>
      <c r="BT607" s="43"/>
      <c r="BU607" s="43"/>
      <c r="BV607" s="43"/>
      <c r="BW607" s="43"/>
      <c r="BX607" s="43"/>
      <c r="BY607" s="43"/>
      <c r="BZ607" s="43"/>
      <c r="CA607" s="43"/>
      <c r="CB607" s="43"/>
      <c r="CC607" s="43"/>
      <c r="CD607" s="43"/>
      <c r="CE607" s="43"/>
      <c r="CF607" s="43"/>
      <c r="CG607" s="43"/>
      <c r="CH607" s="43"/>
      <c r="CI607" s="43"/>
      <c r="CJ607" s="43"/>
      <c r="CK607" s="43"/>
      <c r="CL607" s="43"/>
      <c r="CM607" s="43"/>
      <c r="CN607" s="43"/>
      <c r="CO607" s="43"/>
      <c r="CP607" s="43"/>
      <c r="CQ607" s="43"/>
      <c r="CR607" s="43"/>
      <c r="CS607" s="43"/>
      <c r="CT607" s="43"/>
      <c r="CU607" s="43"/>
      <c r="CV607" s="43"/>
      <c r="CW607" s="43"/>
      <c r="CX607" s="43"/>
      <c r="CY607" s="43"/>
      <c r="CZ607" s="43"/>
      <c r="DA607" s="43"/>
      <c r="DB607" s="43"/>
      <c r="DC607" s="43"/>
      <c r="DD607" s="43"/>
      <c r="DE607" s="43"/>
      <c r="DF607" s="43"/>
      <c r="DG607" s="43"/>
      <c r="DH607" s="43"/>
      <c r="DI607" s="43"/>
      <c r="DJ607" s="43"/>
      <c r="DK607" s="43"/>
      <c r="DL607" s="43"/>
      <c r="DM607" s="43"/>
      <c r="DN607" s="43"/>
      <c r="DO607" s="43"/>
      <c r="DP607" s="43"/>
      <c r="DQ607" s="43"/>
      <c r="DR607" s="43"/>
      <c r="DS607" s="43"/>
      <c r="DT607" s="43"/>
      <c r="DU607" s="43"/>
      <c r="DV607" s="43"/>
      <c r="DW607" s="43"/>
      <c r="DX607" s="43"/>
      <c r="DY607" s="43"/>
      <c r="DZ607" s="43"/>
      <c r="EA607" s="43"/>
      <c r="EB607" s="43"/>
      <c r="EC607" s="43"/>
      <c r="ED607" s="43"/>
      <c r="EE607" s="43"/>
      <c r="EF607" s="43"/>
      <c r="EG607" s="43"/>
      <c r="EH607" s="43"/>
      <c r="EI607" s="43"/>
      <c r="EJ607" s="43"/>
      <c r="EK607" s="43"/>
      <c r="EL607" s="43"/>
      <c r="EM607" s="43"/>
      <c r="EN607" s="43"/>
      <c r="EO607" s="43"/>
      <c r="EP607" s="43"/>
      <c r="EQ607" s="43"/>
      <c r="ER607" s="43"/>
      <c r="ES607" s="43"/>
      <c r="ET607" s="43"/>
      <c r="EU607" s="43"/>
      <c r="EV607" s="43"/>
      <c r="EW607" s="43"/>
      <c r="EX607" s="43"/>
      <c r="EY607" s="43"/>
      <c r="EZ607" s="43"/>
      <c r="FA607" s="43"/>
      <c r="FB607" s="43"/>
      <c r="FC607" s="43"/>
      <c r="FD607" s="43"/>
      <c r="FE607" s="43"/>
      <c r="FF607" s="43"/>
      <c r="FG607" s="43"/>
      <c r="FH607" s="43"/>
    </row>
    <row r="608">
      <c r="A608" s="47" t="s">
        <v>28</v>
      </c>
      <c r="B608" s="47" t="s">
        <v>101</v>
      </c>
      <c r="C608" s="47" t="s">
        <v>13</v>
      </c>
      <c r="D608" s="43">
        <f t="shared" si="1"/>
        <v>3140.379</v>
      </c>
      <c r="E608" s="43"/>
      <c r="F608" s="44" t="str">
        <f>HYPERLINK("https://docs.google.com/spreadsheets/d/1xjappDsUbX_dq1VBK8DPewmzGHF0Av-D?usp=share_link", "RE-232.345")</f>
        <v>RE-232.345</v>
      </c>
      <c r="G608" s="44" t="str">
        <f>HYPERLINK("https://docs.google.com/spreadsheets/d/1oVBT6C2oxrLnatZhHl-YdiXmpkncnnUP?usp=share_link", "RE-0.971833")</f>
        <v>RE-0.971833</v>
      </c>
      <c r="H608" s="44" t="str">
        <f>HYPERLINK("https://docs.google.com/spreadsheets/d/1TU35LS0XHxU_OaFbUF-EASKLNAIqHMpP?usp=share_link", "RE-87.2216")</f>
        <v>RE-87.2216</v>
      </c>
      <c r="I608" s="44" t="str">
        <f>HYPERLINK("https://docs.google.com/spreadsheets/d/1jrCZPFzHfioOnLCA7iWwxehKWMivcwpT?usp=share_link", "RE-1.0157")</f>
        <v>RE-1.0157</v>
      </c>
      <c r="J608" s="44" t="str">
        <f>HYPERLINK("https://docs.google.com/spreadsheets/d/18VPUVVBw91kdT-UlesggDTtVZLi7xsdX?usp=share_link", "RE-298.359")</f>
        <v>RE-298.359</v>
      </c>
      <c r="K608" s="44" t="str">
        <f>HYPERLINK("https://docs.google.com/spreadsheets/d/1JaMJhB6OSRqmR5kdSd86Uib2EDkeTa32?usp=share_link", "RE-2.583")</f>
        <v>RE-2.583</v>
      </c>
      <c r="L608" s="44">
        <f>HYPERLINK("https://docs.google.com/spreadsheets/d/1MHPtDX4NucXW_dx-RNUX9Idw8hpAA0gD?usp=share_link", 623.004)</f>
        <v>623.004</v>
      </c>
      <c r="M608" s="44" t="str">
        <f>HYPERLINK("https://docs.google.com/spreadsheets/d/1YsgXm_lTpkW2CUMDhfebIHq-aBXrFWZC?usp=share_link", "RE-6.80402")</f>
        <v>RE-6.80402</v>
      </c>
      <c r="N608" s="44" t="str">
        <f>HYPERLINK("https://docs.google.com/spreadsheets/d/1QM4WaBGWv94uSHrp0pDHQMihnN4gfHvy?usp=share_link", "RE-956.837")</f>
        <v>RE-956.837</v>
      </c>
      <c r="O608" s="44" t="str">
        <f>HYPERLINK("https://docs.google.com/spreadsheets/d/1rARxnpmIBAHQrYh9ITysyiqBBVWI4snZ?usp=share_link", "RE-1.88145")</f>
        <v>RE-1.88145</v>
      </c>
      <c r="P608" s="44">
        <f>HYPERLINK("https://docs.google.com/spreadsheets/d/1cL48HwC-pHg2J50U3dgXlt1b8nSgpJ-8?usp=share_link", 939.328)</f>
        <v>939.328</v>
      </c>
      <c r="Q608" s="44" t="str">
        <f>HYPERLINK("https://docs.google.com/spreadsheets/d/1ys6muh_-jRYQ38ZqhxFaQ4RQDo7HuM1F?usp=share_link", "RE-33.729")</f>
        <v>RE-33.729</v>
      </c>
      <c r="R608" s="44">
        <f>HYPERLINK("https://docs.google.com/spreadsheets/d/1aQ8VNqIIfFV7601EXzcG-n4C_ZIFJedd?usp=share_link", 1090.64)</f>
        <v>1090.64</v>
      </c>
      <c r="S608" s="44" t="str">
        <f>HYPERLINK("https://docs.google.com/spreadsheets/d/1y0_bvDOMLkxrEm7Tu4Fykt7DX7lL1Qfi?usp=share_link", "RE-43.3707")</f>
        <v>RE-43.3707</v>
      </c>
      <c r="T608" s="44">
        <f>HYPERLINK("https://docs.google.com/spreadsheets/d/1YddCW3tquyIdw7JaNyhJVALWTPR0X9cp?usp=share_link", 487.407)</f>
        <v>487.407</v>
      </c>
      <c r="U608" s="44" t="str">
        <f>HYPERLINK("https://docs.google.com/spreadsheets/d/1iXZoPZrOLnnuQY1QMXM3oQ6Bw0njNmaz?usp=share_link", "RE-52.634")</f>
        <v>RE-52.634</v>
      </c>
      <c r="V608" s="44" t="str">
        <f>HYPERLINK("https://docs.google.com/spreadsheets/d/1PqWv5c7qti501SWFmebR6ZKpdsSiCdO0?usp=share_link", "RE-18.2582")</f>
        <v>RE-18.2582</v>
      </c>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s="43"/>
      <c r="BM608" s="43"/>
      <c r="BN608" s="43"/>
      <c r="BO608" s="43"/>
      <c r="BP608" s="43"/>
      <c r="BQ608" s="43"/>
      <c r="BR608" s="43"/>
      <c r="BS608" s="43"/>
      <c r="BT608" s="43"/>
      <c r="BU608" s="43"/>
      <c r="BV608" s="43"/>
      <c r="BW608" s="43"/>
      <c r="BX608" s="43"/>
      <c r="BY608" s="43"/>
      <c r="BZ608" s="43"/>
      <c r="CA608" s="43"/>
      <c r="CB608" s="43"/>
      <c r="CC608" s="43"/>
      <c r="CD608" s="43"/>
      <c r="CE608" s="43"/>
      <c r="CF608" s="43"/>
      <c r="CG608" s="43"/>
      <c r="CH608" s="43"/>
      <c r="CI608" s="43"/>
      <c r="CJ608" s="43"/>
      <c r="CK608" s="43"/>
      <c r="CL608" s="43"/>
      <c r="CM608" s="43"/>
      <c r="CN608" s="43"/>
      <c r="CO608" s="43"/>
      <c r="CP608" s="43"/>
      <c r="CQ608" s="43"/>
      <c r="CR608" s="43"/>
      <c r="CS608" s="43"/>
      <c r="CT608" s="43"/>
      <c r="CU608" s="43"/>
      <c r="CV608" s="43"/>
      <c r="CW608" s="43"/>
      <c r="CX608" s="43"/>
      <c r="CY608" s="43"/>
      <c r="CZ608" s="43"/>
      <c r="DA608" s="43"/>
      <c r="DB608" s="43"/>
      <c r="DC608" s="43"/>
      <c r="DD608" s="43"/>
      <c r="DE608" s="43"/>
      <c r="DF608" s="43"/>
      <c r="DG608" s="43"/>
      <c r="DH608" s="43"/>
      <c r="DI608" s="43"/>
      <c r="DJ608" s="43"/>
      <c r="DK608" s="43"/>
      <c r="DL608" s="43"/>
      <c r="DM608" s="43"/>
      <c r="DN608" s="43"/>
      <c r="DO608" s="43"/>
      <c r="DP608" s="43"/>
      <c r="DQ608" s="43"/>
      <c r="DR608" s="43"/>
      <c r="DS608" s="43"/>
      <c r="DT608" s="43"/>
      <c r="DU608" s="43"/>
      <c r="DV608" s="43"/>
      <c r="DW608" s="43"/>
      <c r="DX608" s="43"/>
      <c r="DY608" s="43"/>
      <c r="DZ608" s="43"/>
      <c r="EA608" s="43"/>
      <c r="EB608" s="43"/>
      <c r="EC608" s="43"/>
      <c r="ED608" s="43"/>
      <c r="EE608" s="43"/>
      <c r="EF608" s="43"/>
      <c r="EG608" s="43"/>
      <c r="EH608" s="43"/>
      <c r="EI608" s="43"/>
      <c r="EJ608" s="43"/>
      <c r="EK608" s="43"/>
      <c r="EL608" s="43"/>
      <c r="EM608" s="43"/>
      <c r="EN608" s="43"/>
      <c r="EO608" s="43"/>
      <c r="EP608" s="43"/>
      <c r="EQ608" s="43"/>
      <c r="ER608" s="43"/>
      <c r="ES608" s="43"/>
      <c r="ET608" s="43"/>
      <c r="EU608" s="43"/>
      <c r="EV608" s="43"/>
      <c r="EW608" s="43"/>
      <c r="EX608" s="43"/>
      <c r="EY608" s="43"/>
      <c r="EZ608" s="43"/>
      <c r="FA608" s="43"/>
      <c r="FB608" s="43"/>
      <c r="FC608" s="43"/>
      <c r="FD608" s="43"/>
      <c r="FE608" s="43"/>
      <c r="FF608" s="43"/>
      <c r="FG608" s="43"/>
      <c r="FH608" s="43"/>
    </row>
    <row r="609">
      <c r="A609" s="47" t="s">
        <v>28</v>
      </c>
      <c r="B609" s="47" t="s">
        <v>101</v>
      </c>
      <c r="C609" s="47" t="s">
        <v>14</v>
      </c>
      <c r="D609" s="43">
        <f t="shared" si="1"/>
        <v>2724.26</v>
      </c>
      <c r="E609" s="43"/>
      <c r="F609" s="44" t="str">
        <f>HYPERLINK("https://docs.google.com/spreadsheets/d/1wHJU-Tlvz-rffVoCEfMb4R__kyGxud-L?usp=share_link", "RE-209.267")</f>
        <v>RE-209.267</v>
      </c>
      <c r="G609" s="44" t="str">
        <f>HYPERLINK("https://docs.google.com/spreadsheets/d/1sFydxiRYv3nNJcqk0L9I-1zRrPZUpITm?usp=share_link", "RE-0.971833")</f>
        <v>RE-0.971833</v>
      </c>
      <c r="H609" s="44" t="str">
        <f>HYPERLINK("https://docs.google.com/spreadsheets/d/146bqOW9DnmBB4GFiKbR1V6iKIcCkhwyB?usp=share_link", "RE-77.6166")</f>
        <v>RE-77.6166</v>
      </c>
      <c r="I609" s="44" t="str">
        <f>HYPERLINK("https://docs.google.com/spreadsheets/d/188kZ3GIo49FXMlv9dl2d5aLxTKGiP9a_?usp=share_link", "RE-1.0157")</f>
        <v>RE-1.0157</v>
      </c>
      <c r="J609" s="44" t="str">
        <f>HYPERLINK("https://docs.google.com/spreadsheets/d/1tDfyE-Iz6A0hpOkqw2E5FoQcDkaVGKyq?usp=share_link", "RE-274.19")</f>
        <v>RE-274.19</v>
      </c>
      <c r="K609" s="44" t="str">
        <f>HYPERLINK("https://docs.google.com/spreadsheets/d/1_w7cHvDMTDrL_K0uW1YMX5QAIaZhELXs?usp=share_link", "RE-2.583")</f>
        <v>RE-2.583</v>
      </c>
      <c r="L609" s="44">
        <f>HYPERLINK("https://docs.google.com/spreadsheets/d/1rsyVdFtGIyyvgVMtb9gNGFLrqWNDZAMp?usp=share_link", 548.548)</f>
        <v>548.548</v>
      </c>
      <c r="M609" s="44" t="str">
        <f>HYPERLINK("https://docs.google.com/spreadsheets/d/1sgnDwQs6kvobAibnO2-P_X_8rYM7JPfG?usp=share_link", "RE-6.2977")</f>
        <v>RE-6.2977</v>
      </c>
      <c r="N609" s="44" t="str">
        <f>HYPERLINK("https://docs.google.com/spreadsheets/d/1lsbYy0IunTVE24J0DrAIMCtaDlt01Us4?usp=share_link", "RE-840.625")</f>
        <v>RE-840.625</v>
      </c>
      <c r="O609" s="44" t="str">
        <f>HYPERLINK("https://docs.google.com/spreadsheets/d/1ZxKgSDG8IrQivojllDLLk8UlW9OqwoyF?usp=share_link", "RE-1.88145")</f>
        <v>RE-1.88145</v>
      </c>
      <c r="P609" s="44">
        <f>HYPERLINK("https://docs.google.com/spreadsheets/d/1kMgK9UreML-DEGa4ikyruF9LeZo8_t_4?usp=share_link", 816.474)</f>
        <v>816.474</v>
      </c>
      <c r="Q609" s="44" t="str">
        <f>HYPERLINK("https://docs.google.com/spreadsheets/d/1W9aVqFalLG0n6HK_XhzXhXT4gHcDopv9?usp=share_link", "RE-27.8109")</f>
        <v>RE-27.8109</v>
      </c>
      <c r="R609" s="44">
        <f>HYPERLINK("https://docs.google.com/spreadsheets/d/1PP2INO-yfuJclVAl9r_2wVXvLOddNTRp?usp=share_link", 942.61)</f>
        <v>942.61</v>
      </c>
      <c r="S609" s="44" t="str">
        <f>HYPERLINK("https://docs.google.com/spreadsheets/d/1x_CfeG-pB-LtdwAa6u8tPLhm3lpzgWeF?usp=share_link", "RE-35.9034")</f>
        <v>RE-35.9034</v>
      </c>
      <c r="T609" s="44">
        <f>HYPERLINK("https://docs.google.com/spreadsheets/d/1bYT150NfmWJ9WMcfxOfQSwaGa5UV0kEI?usp=share_link", 416.628)</f>
        <v>416.628</v>
      </c>
      <c r="U609" s="44" t="str">
        <f>HYPERLINK("https://docs.google.com/spreadsheets/d/1KSVeqhzZPfKoZxg5JorjHn3Sx-tlRb5c?usp=share_link", "RE-44.0387")</f>
        <v>RE-44.0387</v>
      </c>
      <c r="V609" s="44" t="str">
        <f>HYPERLINK("https://docs.google.com/spreadsheets/d/12ctI4hiF0w_C9WeoyIpEi8T0La03Fps6?usp=share_link", "RE-15.2092")</f>
        <v>RE-15.2092</v>
      </c>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s="43"/>
      <c r="BM609" s="43"/>
      <c r="BN609" s="43"/>
      <c r="BO609" s="43"/>
      <c r="BP609" s="43"/>
      <c r="BQ609" s="43"/>
      <c r="BR609" s="43"/>
      <c r="BS609" s="43"/>
      <c r="BT609" s="43"/>
      <c r="BU609" s="43"/>
      <c r="BV609" s="43"/>
      <c r="BW609" s="43"/>
      <c r="BX609" s="43"/>
      <c r="BY609" s="43"/>
      <c r="BZ609" s="43"/>
      <c r="CA609" s="43"/>
      <c r="CB609" s="43"/>
      <c r="CC609" s="43"/>
      <c r="CD609" s="43"/>
      <c r="CE609" s="43"/>
      <c r="CF609" s="43"/>
      <c r="CG609" s="43"/>
      <c r="CH609" s="43"/>
      <c r="CI609" s="43"/>
      <c r="CJ609" s="43"/>
      <c r="CK609" s="43"/>
      <c r="CL609" s="43"/>
      <c r="CM609" s="43"/>
      <c r="CN609" s="43"/>
      <c r="CO609" s="43"/>
      <c r="CP609" s="43"/>
      <c r="CQ609" s="43"/>
      <c r="CR609" s="43"/>
      <c r="CS609" s="43"/>
      <c r="CT609" s="43"/>
      <c r="CU609" s="43"/>
      <c r="CV609" s="43"/>
      <c r="CW609" s="43"/>
      <c r="CX609" s="43"/>
      <c r="CY609" s="43"/>
      <c r="CZ609" s="43"/>
      <c r="DA609" s="43"/>
      <c r="DB609" s="43"/>
      <c r="DC609" s="43"/>
      <c r="DD609" s="43"/>
      <c r="DE609" s="43"/>
      <c r="DF609" s="43"/>
      <c r="DG609" s="43"/>
      <c r="DH609" s="43"/>
      <c r="DI609" s="43"/>
      <c r="DJ609" s="43"/>
      <c r="DK609" s="43"/>
      <c r="DL609" s="43"/>
      <c r="DM609" s="43"/>
      <c r="DN609" s="43"/>
      <c r="DO609" s="43"/>
      <c r="DP609" s="43"/>
      <c r="DQ609" s="43"/>
      <c r="DR609" s="43"/>
      <c r="DS609" s="43"/>
      <c r="DT609" s="43"/>
      <c r="DU609" s="43"/>
      <c r="DV609" s="43"/>
      <c r="DW609" s="43"/>
      <c r="DX609" s="43"/>
      <c r="DY609" s="43"/>
      <c r="DZ609" s="43"/>
      <c r="EA609" s="43"/>
      <c r="EB609" s="43"/>
      <c r="EC609" s="43"/>
      <c r="ED609" s="43"/>
      <c r="EE609" s="43"/>
      <c r="EF609" s="43"/>
      <c r="EG609" s="43"/>
      <c r="EH609" s="43"/>
      <c r="EI609" s="43"/>
      <c r="EJ609" s="43"/>
      <c r="EK609" s="43"/>
      <c r="EL609" s="43"/>
      <c r="EM609" s="43"/>
      <c r="EN609" s="43"/>
      <c r="EO609" s="43"/>
      <c r="EP609" s="43"/>
      <c r="EQ609" s="43"/>
      <c r="ER609" s="43"/>
      <c r="ES609" s="43"/>
      <c r="ET609" s="43"/>
      <c r="EU609" s="43"/>
      <c r="EV609" s="43"/>
      <c r="EW609" s="43"/>
      <c r="EX609" s="43"/>
      <c r="EY609" s="43"/>
      <c r="EZ609" s="43"/>
      <c r="FA609" s="43"/>
      <c r="FB609" s="43"/>
      <c r="FC609" s="43"/>
      <c r="FD609" s="43"/>
      <c r="FE609" s="43"/>
      <c r="FF609" s="43"/>
      <c r="FG609" s="43"/>
      <c r="FH609" s="43"/>
    </row>
    <row r="610">
      <c r="A610" s="48" t="s">
        <v>28</v>
      </c>
      <c r="B610" s="48" t="s">
        <v>101</v>
      </c>
      <c r="C610" s="48" t="s">
        <v>15</v>
      </c>
      <c r="D610" s="36">
        <f t="shared" si="1"/>
        <v>3140.379</v>
      </c>
      <c r="E610" s="36"/>
      <c r="F610" s="37" t="str">
        <f>HYPERLINK("https://docs.google.com/spreadsheets/d/1O2jJfLgnuzkq62UIcTt0zqeEivKEem7t?usp=share_link", "RE-232.345")</f>
        <v>RE-232.345</v>
      </c>
      <c r="G610" s="37" t="str">
        <f>HYPERLINK("https://docs.google.com/spreadsheets/d/1GJbsyKN9we_UKe_gfMS0LS4Jj3RMMggx?usp=share_link", "RE-0.971833")</f>
        <v>RE-0.971833</v>
      </c>
      <c r="H610" s="37" t="str">
        <f>HYPERLINK("https://docs.google.com/spreadsheets/d/1wa9oMMvspIaAMSnTuF5tTcnjcAr80etz?usp=share_link", "RE-87.2216")</f>
        <v>RE-87.2216</v>
      </c>
      <c r="I610" s="37" t="str">
        <f>HYPERLINK("https://docs.google.com/spreadsheets/d/1iJ4g9q8MpB5Em0mVDpD3q5g8JD5Umh97?usp=share_link", "RE-1.0157")</f>
        <v>RE-1.0157</v>
      </c>
      <c r="J610" s="37" t="str">
        <f>HYPERLINK("https://docs.google.com/spreadsheets/d/1UwDa4vqFFC_h8tjXmvqZaCEdzoc-0DI8?usp=share_link", "RE-298.359")</f>
        <v>RE-298.359</v>
      </c>
      <c r="K610" s="37" t="str">
        <f>HYPERLINK("https://docs.google.com/spreadsheets/d/126OQ4bO-uaQGHYPkN3622yab7qx3ii60?usp=share_link", "RE-2.583")</f>
        <v>RE-2.583</v>
      </c>
      <c r="L610" s="37">
        <f>HYPERLINK("https://docs.google.com/spreadsheets/d/19RhJXD7Qa7n0ydhkWfBtVlrytBXFZCyC?usp=share_link", 623.004)</f>
        <v>623.004</v>
      </c>
      <c r="M610" s="37" t="str">
        <f>HYPERLINK("https://docs.google.com/spreadsheets/d/1txcHGmdeREyk2xxI-t4dzTtGuDhAeZbd?usp=share_link", "RE-6.80402")</f>
        <v>RE-6.80402</v>
      </c>
      <c r="N610" s="37" t="str">
        <f>HYPERLINK("https://docs.google.com/spreadsheets/d/1BZDLCVNOm_XTnPuBGdTBLbp78xg4tSeV?usp=share_link", "RE-956.837")</f>
        <v>RE-956.837</v>
      </c>
      <c r="O610" s="37" t="str">
        <f>HYPERLINK("https://docs.google.com/spreadsheets/d/1pOQQ3slM447OI_9btWcKcf47xgCwwQA7?usp=share_link", "RE-1.88145")</f>
        <v>RE-1.88145</v>
      </c>
      <c r="P610" s="37">
        <f>HYPERLINK("https://docs.google.com/spreadsheets/d/1Br-Wh1ZaeoAHt863teVbn9iCaiSeexm5?usp=share_link", 939.328)</f>
        <v>939.328</v>
      </c>
      <c r="Q610" s="37" t="str">
        <f>HYPERLINK("https://docs.google.com/spreadsheets/d/1oQr_zzpciYLgGB_IqSV02_K0uboisf4s?usp=share_link", "RE-33.729")</f>
        <v>RE-33.729</v>
      </c>
      <c r="R610" s="37">
        <f>HYPERLINK("https://docs.google.com/spreadsheets/d/1UuAKPWix2muM6soeHIHjKR6G6r-I8mtP?usp=share_link", 1090.64)</f>
        <v>1090.64</v>
      </c>
      <c r="S610" s="37" t="str">
        <f>HYPERLINK("https://docs.google.com/spreadsheets/d/1npVOvJl0a-L1wAyeS1NXvxGiJ_IDwUzM?usp=share_link", "RE-43.3707")</f>
        <v>RE-43.3707</v>
      </c>
      <c r="T610" s="37">
        <f>HYPERLINK("https://docs.google.com/spreadsheets/d/1YM4fj2iPWYU9MNbJDgmzPSnN1HMJR5cH?usp=share_link", 487.407)</f>
        <v>487.407</v>
      </c>
      <c r="U610" s="37" t="str">
        <f>HYPERLINK("https://docs.google.com/spreadsheets/d/1oLz-MtJ9HVY2819JwbqvsOmm4lYNjbEX?usp=share_link", "RE-52.634")</f>
        <v>RE-52.634</v>
      </c>
      <c r="V610" s="37" t="str">
        <f>HYPERLINK("https://docs.google.com/spreadsheets/d/1VDJdaVR2AUjJ6aAN5NIXiKL0N0HDOXSS?usp=share_link", "RE-18.2582")</f>
        <v>RE-18.2582</v>
      </c>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c r="AY610" s="36"/>
      <c r="AZ610" s="36"/>
      <c r="BA610" s="36"/>
      <c r="BB610" s="36"/>
      <c r="BC610" s="36"/>
      <c r="BD610" s="36"/>
      <c r="BE610" s="36"/>
      <c r="BF610" s="36"/>
      <c r="BG610" s="36"/>
      <c r="BH610" s="36"/>
      <c r="BI610" s="36"/>
      <c r="BJ610" s="36"/>
      <c r="BK610" s="36"/>
      <c r="BL610" s="36"/>
      <c r="BM610" s="36"/>
      <c r="BN610" s="36"/>
      <c r="BO610" s="36"/>
      <c r="BP610" s="36"/>
      <c r="BQ610" s="36"/>
      <c r="BR610" s="36"/>
      <c r="BS610" s="36"/>
      <c r="BT610" s="36"/>
      <c r="BU610" s="36"/>
      <c r="BV610" s="36"/>
      <c r="BW610" s="36"/>
      <c r="BX610" s="36"/>
      <c r="BY610" s="36"/>
      <c r="BZ610" s="36"/>
      <c r="CA610" s="36"/>
      <c r="CB610" s="36"/>
      <c r="CC610" s="36"/>
      <c r="CD610" s="36"/>
      <c r="CE610" s="36"/>
      <c r="CF610" s="36"/>
      <c r="CG610" s="36"/>
      <c r="CH610" s="36"/>
      <c r="CI610" s="36"/>
      <c r="CJ610" s="36"/>
      <c r="CK610" s="36"/>
      <c r="CL610" s="36"/>
      <c r="CM610" s="36"/>
      <c r="CN610" s="36"/>
      <c r="CO610" s="36"/>
      <c r="CP610" s="36"/>
      <c r="CQ610" s="36"/>
      <c r="CR610" s="36"/>
      <c r="CS610" s="36"/>
      <c r="CT610" s="36"/>
      <c r="CU610" s="36"/>
      <c r="CV610" s="36"/>
      <c r="CW610" s="36"/>
      <c r="CX610" s="36"/>
      <c r="CY610" s="36"/>
      <c r="CZ610" s="36"/>
      <c r="DA610" s="36"/>
      <c r="DB610" s="36"/>
      <c r="DC610" s="36"/>
      <c r="DD610" s="36"/>
      <c r="DE610" s="36"/>
      <c r="DF610" s="36"/>
      <c r="DG610" s="36"/>
      <c r="DH610" s="36"/>
      <c r="DI610" s="36"/>
      <c r="DJ610" s="36"/>
      <c r="DK610" s="36"/>
      <c r="DL610" s="36"/>
      <c r="DM610" s="36"/>
      <c r="DN610" s="36"/>
      <c r="DO610" s="36"/>
      <c r="DP610" s="36"/>
      <c r="DQ610" s="36"/>
      <c r="DR610" s="36"/>
      <c r="DS610" s="36"/>
      <c r="DT610" s="36"/>
      <c r="DU610" s="36"/>
      <c r="DV610" s="36"/>
      <c r="DW610" s="36"/>
      <c r="DX610" s="36"/>
      <c r="DY610" s="36"/>
      <c r="DZ610" s="36"/>
      <c r="EA610" s="36"/>
      <c r="EB610" s="36"/>
      <c r="EC610" s="36"/>
      <c r="ED610" s="36"/>
      <c r="EE610" s="36"/>
      <c r="EF610" s="36"/>
      <c r="EG610" s="36"/>
      <c r="EH610" s="36"/>
      <c r="EI610" s="36"/>
      <c r="EJ610" s="36"/>
      <c r="EK610" s="36"/>
      <c r="EL610" s="36"/>
      <c r="EM610" s="36"/>
      <c r="EN610" s="36"/>
      <c r="EO610" s="36"/>
      <c r="EP610" s="36"/>
      <c r="EQ610" s="36"/>
      <c r="ER610" s="36"/>
      <c r="ES610" s="36"/>
      <c r="ET610" s="36"/>
      <c r="EU610" s="36"/>
      <c r="EV610" s="36"/>
      <c r="EW610" s="36"/>
      <c r="EX610" s="36"/>
      <c r="EY610" s="36"/>
      <c r="EZ610" s="36"/>
      <c r="FA610" s="36"/>
      <c r="FB610" s="36"/>
      <c r="FC610" s="36"/>
      <c r="FD610" s="36"/>
      <c r="FE610" s="36"/>
      <c r="FF610" s="36"/>
      <c r="FG610" s="36"/>
      <c r="FH610" s="36"/>
    </row>
    <row r="611">
      <c r="A611" s="45" t="s">
        <v>28</v>
      </c>
      <c r="B611" s="45" t="s">
        <v>102</v>
      </c>
      <c r="C611" s="46" t="str">
        <f>HYPERLINK("https://docs.google.com/spreadsheets/d/1luLojkx2TNO4-6H-rne2PK9oXk9Xvepx/edit?usp=share_link&amp;ouid=106501987799020758802&amp;rtpof=true&amp;sd=true", "Raw Delivered")</f>
        <v>Raw Delivered</v>
      </c>
      <c r="D611" s="40">
        <f t="shared" si="1"/>
        <v>4565.319005</v>
      </c>
      <c r="E611" s="40"/>
      <c r="F611" s="41">
        <f>HYPERLINK("https://docs.google.com/spreadsheets/d/1sDQwKceValHTnabklokSvGqVQgWkHjms", 206.442184375)</f>
        <v>206.4421844</v>
      </c>
      <c r="G611" s="40"/>
      <c r="H611" s="41">
        <f>HYPERLINK("https://docs.google.com/spreadsheets/d/1qxdjd7yJh1zDqr3UMfNso5Vd7wC0IZSR", 50.2354645833333)</f>
        <v>50.23546458</v>
      </c>
      <c r="I611" s="40"/>
      <c r="J611" s="41">
        <f>HYPERLINK("https://docs.google.com/spreadsheets/d/1LNXf2vbpZhx63OBQV08UzZjB99g7p_N3", 24.40833125)</f>
        <v>24.40833125</v>
      </c>
      <c r="K611" s="40"/>
      <c r="L611" s="41">
        <f t="shared" ref="L611:L612" si="306">HYPERLINK("https://docs.google.com/spreadsheets/d/1BqhSXUdwJwwybnpyJYaLH-v9qAlaSXl2", 623.139373958333)</f>
        <v>623.139374</v>
      </c>
      <c r="M611" s="40"/>
      <c r="N611" s="41">
        <f>HYPERLINK("https://docs.google.com/spreadsheets/d/194rmchcJ8E5acT1G-pVQZGzaynPv2Q6p", 1332.734878125)</f>
        <v>1332.734878</v>
      </c>
      <c r="O611" s="40"/>
      <c r="P611" s="41">
        <f t="shared" ref="P611:P612" si="307">HYPERLINK("https://docs.google.com/spreadsheets/d/1OHGe_mwzt1Fal8VH7t7A5XapXEbypg-F", 972.489469791664)</f>
        <v>972.4894698</v>
      </c>
      <c r="Q611" s="40"/>
      <c r="R611" s="41">
        <f t="shared" ref="R611:R612" si="308">HYPERLINK("https://docs.google.com/spreadsheets/d/1-dD6G5yOVvVnOsperHD3CJRegSBh8Oku", 923.663861458334)</f>
        <v>923.6638615</v>
      </c>
      <c r="S611" s="40"/>
      <c r="T611" s="41">
        <f t="shared" ref="T611:T612" si="309">HYPERLINK("https://docs.google.com/spreadsheets/d/1FhpvoT55uqdI0n3xHhf02D8ZGmcOjbN8", 432.205441666667)</f>
        <v>432.2054417</v>
      </c>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0"/>
      <c r="FG611" s="40"/>
      <c r="FH611" s="40"/>
    </row>
    <row r="612">
      <c r="A612" s="47" t="s">
        <v>28</v>
      </c>
      <c r="B612" s="47" t="s">
        <v>102</v>
      </c>
      <c r="C612" s="47" t="s">
        <v>9</v>
      </c>
      <c r="D612" s="43">
        <f t="shared" si="1"/>
        <v>2951.498147</v>
      </c>
      <c r="E612" s="43"/>
      <c r="F612" s="44" t="str">
        <f>HYPERLINK("https://docs.google.com/spreadsheets/d/1sDQwKceValHTnabklokSvGqVQgWkHjms", "RE-206.44218437500015")</f>
        <v>RE-206.44218437500015</v>
      </c>
      <c r="G612" s="43"/>
      <c r="H612" s="44" t="str">
        <f>HYPERLINK("https://docs.google.com/spreadsheets/d/1qxdjd7yJh1zDqr3UMfNso5Vd7wC0IZSR", "RE-50.23546458333332")</f>
        <v>RE-50.23546458333332</v>
      </c>
      <c r="I612" s="43"/>
      <c r="J612" s="44" t="str">
        <f>HYPERLINK("https://docs.google.com/spreadsheets/d/1LNXf2vbpZhx63OBQV08UzZjB99g7p_N3", "RE-24.40833125000001")</f>
        <v>RE-24.40833125000001</v>
      </c>
      <c r="K612" s="43"/>
      <c r="L612" s="44">
        <f t="shared" si="306"/>
        <v>623.139374</v>
      </c>
      <c r="M612" s="43"/>
      <c r="N612" s="44" t="str">
        <f>HYPERLINK("https://docs.google.com/spreadsheets/d/194rmchcJ8E5acT1G-pVQZGzaynPv2Q6p", "RE-1332.7348781250053")</f>
        <v>RE-1332.7348781250053</v>
      </c>
      <c r="O612" s="43"/>
      <c r="P612" s="44">
        <f t="shared" si="307"/>
        <v>972.4894698</v>
      </c>
      <c r="Q612" s="43"/>
      <c r="R612" s="44">
        <f t="shared" si="308"/>
        <v>923.6638615</v>
      </c>
      <c r="S612" s="43"/>
      <c r="T612" s="44">
        <f t="shared" si="309"/>
        <v>432.2054417</v>
      </c>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c r="BO612" s="43"/>
      <c r="BP612" s="43"/>
      <c r="BQ612" s="43"/>
      <c r="BR612" s="43"/>
      <c r="BS612" s="43"/>
      <c r="BT612" s="43"/>
      <c r="BU612" s="43"/>
      <c r="BV612" s="43"/>
      <c r="BW612" s="43"/>
      <c r="BX612" s="43"/>
      <c r="BY612" s="43"/>
      <c r="BZ612" s="43"/>
      <c r="CA612" s="43"/>
      <c r="CB612" s="43"/>
      <c r="CC612" s="43"/>
      <c r="CD612" s="43"/>
      <c r="CE612" s="43"/>
      <c r="CF612" s="43"/>
      <c r="CG612" s="43"/>
      <c r="CH612" s="43"/>
      <c r="CI612" s="43"/>
      <c r="CJ612" s="43"/>
      <c r="CK612" s="43"/>
      <c r="CL612" s="43"/>
      <c r="CM612" s="43"/>
      <c r="CN612" s="43"/>
      <c r="CO612" s="43"/>
      <c r="CP612" s="43"/>
      <c r="CQ612" s="43"/>
      <c r="CR612" s="43"/>
      <c r="CS612" s="43"/>
      <c r="CT612" s="43"/>
      <c r="CU612" s="43"/>
      <c r="CV612" s="43"/>
      <c r="CW612" s="43"/>
      <c r="CX612" s="43"/>
      <c r="CY612" s="43"/>
      <c r="CZ612" s="43"/>
      <c r="DA612" s="43"/>
      <c r="DB612" s="43"/>
      <c r="DC612" s="43"/>
      <c r="DD612" s="43"/>
      <c r="DE612" s="43"/>
      <c r="DF612" s="43"/>
      <c r="DG612" s="43"/>
      <c r="DH612" s="43"/>
      <c r="DI612" s="43"/>
      <c r="DJ612" s="43"/>
      <c r="DK612" s="43"/>
      <c r="DL612" s="43"/>
      <c r="DM612" s="43"/>
      <c r="DN612" s="43"/>
      <c r="DO612" s="43"/>
      <c r="DP612" s="43"/>
      <c r="DQ612" s="43"/>
      <c r="DR612" s="43"/>
      <c r="DS612" s="43"/>
      <c r="DT612" s="43"/>
      <c r="DU612" s="43"/>
      <c r="DV612" s="43"/>
      <c r="DW612" s="43"/>
      <c r="DX612" s="43"/>
      <c r="DY612" s="43"/>
      <c r="DZ612" s="43"/>
      <c r="EA612" s="43"/>
      <c r="EB612" s="43"/>
      <c r="EC612" s="43"/>
      <c r="ED612" s="43"/>
      <c r="EE612" s="43"/>
      <c r="EF612" s="43"/>
      <c r="EG612" s="43"/>
      <c r="EH612" s="43"/>
      <c r="EI612" s="43"/>
      <c r="EJ612" s="43"/>
      <c r="EK612" s="43"/>
      <c r="EL612" s="43"/>
      <c r="EM612" s="43"/>
      <c r="EN612" s="43"/>
      <c r="EO612" s="43"/>
      <c r="EP612" s="43"/>
      <c r="EQ612" s="43"/>
      <c r="ER612" s="43"/>
      <c r="ES612" s="43"/>
      <c r="ET612" s="43"/>
      <c r="EU612" s="43"/>
      <c r="EV612" s="43"/>
      <c r="EW612" s="43"/>
      <c r="EX612" s="43"/>
      <c r="EY612" s="43"/>
      <c r="EZ612" s="43"/>
      <c r="FA612" s="43"/>
      <c r="FB612" s="43"/>
      <c r="FC612" s="43"/>
      <c r="FD612" s="43"/>
      <c r="FE612" s="43"/>
      <c r="FF612" s="43"/>
      <c r="FG612" s="43"/>
      <c r="FH612" s="43"/>
    </row>
    <row r="613">
      <c r="A613" s="47" t="s">
        <v>28</v>
      </c>
      <c r="B613" s="47" t="s">
        <v>102</v>
      </c>
      <c r="C613" s="47" t="s">
        <v>10</v>
      </c>
      <c r="D613" s="43">
        <f t="shared" si="1"/>
        <v>430.8388948</v>
      </c>
      <c r="E613" s="43"/>
      <c r="F613" s="43"/>
      <c r="G613" s="44">
        <f>HYPERLINK("https://docs.google.com/spreadsheets/d/1V-NUXLUlD3-CohF35xB-zeQg4_6NuTDS", 26.6542645833333)</f>
        <v>26.65426458</v>
      </c>
      <c r="H613" s="43"/>
      <c r="I613" s="44">
        <f>HYPERLINK("https://docs.google.com/spreadsheets/d/10AEyYwO-HmHeUfiT8c_EM4V7vMSEoWrD", 13.3457270833333)</f>
        <v>13.34572708</v>
      </c>
      <c r="J613" s="43"/>
      <c r="K613" s="44">
        <f>HYPERLINK("https://docs.google.com/spreadsheets/d/14AY73jRYzZROnxNPn8xz8pwqVgo9uTrQ", 5.14634583333333)</f>
        <v>5.146345833</v>
      </c>
      <c r="L613" s="43"/>
      <c r="M613" s="44">
        <f>HYPERLINK("https://docs.google.com/spreadsheets/d/1vc2tyEVFqFCkzlyu_JRfKmQMmc0VMWwA", 9.19780833333333)</f>
        <v>9.197808333</v>
      </c>
      <c r="N613" s="43"/>
      <c r="O613" s="44">
        <f>HYPERLINK("https://docs.google.com/spreadsheets/d/1_Z-IfaoZE0ODgWJYA02XlfXQ_jZ-FvRF", 158.88541875)</f>
        <v>158.8854188</v>
      </c>
      <c r="P613" s="43"/>
      <c r="Q613" s="44">
        <f>HYPERLINK("https://docs.google.com/spreadsheets/d/1XBXtzRq_CEEDY4TBAm-DAfxW7yS0oJUS", 96.1399604166666)</f>
        <v>96.13996042</v>
      </c>
      <c r="R613" s="43"/>
      <c r="S613" s="44">
        <f>HYPERLINK("https://docs.google.com/spreadsheets/d/1KmptjNL57bkTKyz9RwI5dR1w6yiDc3vw", 54.0203645833333)</f>
        <v>54.02036458</v>
      </c>
      <c r="T613" s="43"/>
      <c r="U613" s="44">
        <f>HYPERLINK("https://docs.google.com/spreadsheets/d/1hFr2q0gTcgJkZXaauU6edhCtYIQvEj7j", 56.5378947916666)</f>
        <v>56.53789479</v>
      </c>
      <c r="V613" s="44">
        <f>HYPERLINK("https://docs.google.com/spreadsheets/d/1GxhbzPUlLJrqWsxKP49LlveNK472FJhx", 10.9111104166666)</f>
        <v>10.91111042</v>
      </c>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s="43"/>
      <c r="BM613" s="43"/>
      <c r="BN613" s="43"/>
      <c r="BO613" s="43"/>
      <c r="BP613" s="43"/>
      <c r="BQ613" s="43"/>
      <c r="BR613" s="43"/>
      <c r="BS613" s="43"/>
      <c r="BT613" s="43"/>
      <c r="BU613" s="43"/>
      <c r="BV613" s="43"/>
      <c r="BW613" s="43"/>
      <c r="BX613" s="43"/>
      <c r="BY613" s="43"/>
      <c r="BZ613" s="43"/>
      <c r="CA613" s="43"/>
      <c r="CB613" s="43"/>
      <c r="CC613" s="43"/>
      <c r="CD613" s="43"/>
      <c r="CE613" s="43"/>
      <c r="CF613" s="43"/>
      <c r="CG613" s="43"/>
      <c r="CH613" s="43"/>
      <c r="CI613" s="43"/>
      <c r="CJ613" s="43"/>
      <c r="CK613" s="43"/>
      <c r="CL613" s="43"/>
      <c r="CM613" s="43"/>
      <c r="CN613" s="43"/>
      <c r="CO613" s="43"/>
      <c r="CP613" s="43"/>
      <c r="CQ613" s="43"/>
      <c r="CR613" s="43"/>
      <c r="CS613" s="43"/>
      <c r="CT613" s="43"/>
      <c r="CU613" s="43"/>
      <c r="CV613" s="43"/>
      <c r="CW613" s="43"/>
      <c r="CX613" s="43"/>
      <c r="CY613" s="43"/>
      <c r="CZ613" s="43"/>
      <c r="DA613" s="43"/>
      <c r="DB613" s="43"/>
      <c r="DC613" s="43"/>
      <c r="DD613" s="43"/>
      <c r="DE613" s="43"/>
      <c r="DF613" s="43"/>
      <c r="DG613" s="43"/>
      <c r="DH613" s="43"/>
      <c r="DI613" s="43"/>
      <c r="DJ613" s="43"/>
      <c r="DK613" s="43"/>
      <c r="DL613" s="43"/>
      <c r="DM613" s="43"/>
      <c r="DN613" s="43"/>
      <c r="DO613" s="43"/>
      <c r="DP613" s="43"/>
      <c r="DQ613" s="43"/>
      <c r="DR613" s="43"/>
      <c r="DS613" s="43"/>
      <c r="DT613" s="43"/>
      <c r="DU613" s="43"/>
      <c r="DV613" s="43"/>
      <c r="DW613" s="43"/>
      <c r="DX613" s="43"/>
      <c r="DY613" s="43"/>
      <c r="DZ613" s="43"/>
      <c r="EA613" s="43"/>
      <c r="EB613" s="43"/>
      <c r="EC613" s="43"/>
      <c r="ED613" s="43"/>
      <c r="EE613" s="43"/>
      <c r="EF613" s="43"/>
      <c r="EG613" s="43"/>
      <c r="EH613" s="43"/>
      <c r="EI613" s="43"/>
      <c r="EJ613" s="43"/>
      <c r="EK613" s="43"/>
      <c r="EL613" s="43"/>
      <c r="EM613" s="43"/>
      <c r="EN613" s="43"/>
      <c r="EO613" s="43"/>
      <c r="EP613" s="43"/>
      <c r="EQ613" s="43"/>
      <c r="ER613" s="43"/>
      <c r="ES613" s="43"/>
      <c r="ET613" s="43"/>
      <c r="EU613" s="43"/>
      <c r="EV613" s="43"/>
      <c r="EW613" s="43"/>
      <c r="EX613" s="43"/>
      <c r="EY613" s="43"/>
      <c r="EZ613" s="43"/>
      <c r="FA613" s="43"/>
      <c r="FB613" s="43"/>
      <c r="FC613" s="43"/>
      <c r="FD613" s="43"/>
      <c r="FE613" s="43"/>
      <c r="FF613" s="43"/>
      <c r="FG613" s="43"/>
      <c r="FH613" s="43"/>
    </row>
    <row r="614">
      <c r="A614" s="47" t="s">
        <v>28</v>
      </c>
      <c r="B614" s="47" t="s">
        <v>102</v>
      </c>
      <c r="C614" s="47" t="s">
        <v>11</v>
      </c>
      <c r="D614" s="43">
        <f t="shared" si="1"/>
        <v>0</v>
      </c>
      <c r="E614" s="43"/>
      <c r="F614" s="43"/>
      <c r="G614" s="44" t="str">
        <f>HYPERLINK("https://docs.google.com/spreadsheets/d/1V-NUXLUlD3-CohF35xB-zeQg4_6NuTDS", "RE-26.654264583333337")</f>
        <v>RE-26.654264583333337</v>
      </c>
      <c r="H614" s="43"/>
      <c r="I614" s="44" t="str">
        <f>HYPERLINK("https://docs.google.com/spreadsheets/d/10AEyYwO-HmHeUfiT8c_EM4V7vMSEoWrD", "RE-13.345727083333335")</f>
        <v>RE-13.345727083333335</v>
      </c>
      <c r="J614" s="43"/>
      <c r="K614" s="44" t="str">
        <f>HYPERLINK("https://docs.google.com/spreadsheets/d/14AY73jRYzZROnxNPn8xz8pwqVgo9uTrQ", "RE-5.146345833333333")</f>
        <v>RE-5.146345833333333</v>
      </c>
      <c r="L614" s="43"/>
      <c r="M614" s="44" t="str">
        <f>HYPERLINK("https://docs.google.com/spreadsheets/d/1vc2tyEVFqFCkzlyu_JRfKmQMmc0VMWwA", "RE-9.197808333333331")</f>
        <v>RE-9.197808333333331</v>
      </c>
      <c r="N614" s="43"/>
      <c r="O614" s="44" t="str">
        <f>HYPERLINK("https://docs.google.com/spreadsheets/d/1_Z-IfaoZE0ODgWJYA02XlfXQ_jZ-FvRF", "RE-158.8854187500001")</f>
        <v>RE-158.8854187500001</v>
      </c>
      <c r="P614" s="43"/>
      <c r="Q614" s="44" t="str">
        <f>HYPERLINK("https://docs.google.com/spreadsheets/d/1XBXtzRq_CEEDY4TBAm-DAfxW7yS0oJUS", "RE-96.13996041666665")</f>
        <v>RE-96.13996041666665</v>
      </c>
      <c r="R614" s="43"/>
      <c r="S614" s="44" t="str">
        <f>HYPERLINK("https://docs.google.com/spreadsheets/d/1KmptjNL57bkTKyz9RwI5dR1w6yiDc3vw", "RE-54.02036458333331")</f>
        <v>RE-54.02036458333331</v>
      </c>
      <c r="T614" s="43"/>
      <c r="U614" s="44" t="str">
        <f>HYPERLINK("https://docs.google.com/spreadsheets/d/1hFr2q0gTcgJkZXaauU6edhCtYIQvEj7j", "RE-56.53789479166668")</f>
        <v>RE-56.53789479166668</v>
      </c>
      <c r="V614" s="44" t="str">
        <f>HYPERLINK("https://docs.google.com/spreadsheets/d/1GxhbzPUlLJrqWsxKP49LlveNK472FJhx", "RE-10.911110416666668")</f>
        <v>RE-10.911110416666668</v>
      </c>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c r="BO614" s="43"/>
      <c r="BP614" s="43"/>
      <c r="BQ614" s="43"/>
      <c r="BR614" s="43"/>
      <c r="BS614" s="43"/>
      <c r="BT614" s="43"/>
      <c r="BU614" s="43"/>
      <c r="BV614" s="43"/>
      <c r="BW614" s="43"/>
      <c r="BX614" s="43"/>
      <c r="BY614" s="43"/>
      <c r="BZ614" s="43"/>
      <c r="CA614" s="43"/>
      <c r="CB614" s="43"/>
      <c r="CC614" s="43"/>
      <c r="CD614" s="43"/>
      <c r="CE614" s="43"/>
      <c r="CF614" s="43"/>
      <c r="CG614" s="43"/>
      <c r="CH614" s="43"/>
      <c r="CI614" s="43"/>
      <c r="CJ614" s="43"/>
      <c r="CK614" s="43"/>
      <c r="CL614" s="43"/>
      <c r="CM614" s="43"/>
      <c r="CN614" s="43"/>
      <c r="CO614" s="43"/>
      <c r="CP614" s="43"/>
      <c r="CQ614" s="43"/>
      <c r="CR614" s="43"/>
      <c r="CS614" s="43"/>
      <c r="CT614" s="43"/>
      <c r="CU614" s="43"/>
      <c r="CV614" s="43"/>
      <c r="CW614" s="43"/>
      <c r="CX614" s="43"/>
      <c r="CY614" s="43"/>
      <c r="CZ614" s="43"/>
      <c r="DA614" s="43"/>
      <c r="DB614" s="43"/>
      <c r="DC614" s="43"/>
      <c r="DD614" s="43"/>
      <c r="DE614" s="43"/>
      <c r="DF614" s="43"/>
      <c r="DG614" s="43"/>
      <c r="DH614" s="43"/>
      <c r="DI614" s="43"/>
      <c r="DJ614" s="43"/>
      <c r="DK614" s="43"/>
      <c r="DL614" s="43"/>
      <c r="DM614" s="43"/>
      <c r="DN614" s="43"/>
      <c r="DO614" s="43"/>
      <c r="DP614" s="43"/>
      <c r="DQ614" s="43"/>
      <c r="DR614" s="43"/>
      <c r="DS614" s="43"/>
      <c r="DT614" s="43"/>
      <c r="DU614" s="43"/>
      <c r="DV614" s="43"/>
      <c r="DW614" s="43"/>
      <c r="DX614" s="43"/>
      <c r="DY614" s="43"/>
      <c r="DZ614" s="43"/>
      <c r="EA614" s="43"/>
      <c r="EB614" s="43"/>
      <c r="EC614" s="43"/>
      <c r="ED614" s="43"/>
      <c r="EE614" s="43"/>
      <c r="EF614" s="43"/>
      <c r="EG614" s="43"/>
      <c r="EH614" s="43"/>
      <c r="EI614" s="43"/>
      <c r="EJ614" s="43"/>
      <c r="EK614" s="43"/>
      <c r="EL614" s="43"/>
      <c r="EM614" s="43"/>
      <c r="EN614" s="43"/>
      <c r="EO614" s="43"/>
      <c r="EP614" s="43"/>
      <c r="EQ614" s="43"/>
      <c r="ER614" s="43"/>
      <c r="ES614" s="43"/>
      <c r="ET614" s="43"/>
      <c r="EU614" s="43"/>
      <c r="EV614" s="43"/>
      <c r="EW614" s="43"/>
      <c r="EX614" s="43"/>
      <c r="EY614" s="43"/>
      <c r="EZ614" s="43"/>
      <c r="FA614" s="43"/>
      <c r="FB614" s="43"/>
      <c r="FC614" s="43"/>
      <c r="FD614" s="43"/>
      <c r="FE614" s="43"/>
      <c r="FF614" s="43"/>
      <c r="FG614" s="43"/>
      <c r="FH614" s="43"/>
    </row>
    <row r="615">
      <c r="A615" s="47" t="s">
        <v>28</v>
      </c>
      <c r="B615" s="47" t="s">
        <v>102</v>
      </c>
      <c r="C615" s="47" t="s">
        <v>12</v>
      </c>
      <c r="D615" s="43">
        <f t="shared" si="1"/>
        <v>2737.14137</v>
      </c>
      <c r="E615" s="43"/>
      <c r="F615" s="44" t="str">
        <f>HYPERLINK("https://docs.google.com/spreadsheets/d/1Q-qsrNloqH-03ltbRJUwo1tgS9oqXtOW", "RE-153.720628125")</f>
        <v>RE-153.720628125</v>
      </c>
      <c r="G615" s="44" t="str">
        <f>HYPERLINK("https://docs.google.com/spreadsheets/d/1bnSmIF8Eo1pZdMSBDhJxefpthoh3QujZ", "RE-0.8988375000000001")</f>
        <v>RE-0.8988375000000001</v>
      </c>
      <c r="H615" s="44" t="str">
        <f>HYPERLINK("https://docs.google.com/spreadsheets/d/10kfGJoDmGxTJnLm6_WOZ2nQy5yFO4Fif", "RE-32.787435416666675")</f>
        <v>RE-32.787435416666675</v>
      </c>
      <c r="I615" s="44" t="str">
        <f>HYPERLINK("https://docs.google.com/spreadsheets/d/1Fw2pn4bXfkNAu1azEp9Zay0BettJnbcD", "RE-0.0")</f>
        <v>RE-0.0</v>
      </c>
      <c r="J615" s="44" t="str">
        <f>HYPERLINK("https://docs.google.com/spreadsheets/d/1LvN-yWp7TT20B9yBM6H0jfNywSUSi4gH", "RE-13.777508333333332")</f>
        <v>RE-13.777508333333332</v>
      </c>
      <c r="K615" s="44" t="str">
        <f>HYPERLINK("https://docs.google.com/spreadsheets/d/1lldrCbuIupoPVNXhuzy7Su9_ckbtZn5s", "RE-0.0")</f>
        <v>RE-0.0</v>
      </c>
      <c r="L615" s="44">
        <f>HYPERLINK("https://docs.google.com/spreadsheets/d/1ZKu1gTwngySbUZybdzP4I6bJMNd9LNgd", 585.285067708333)</f>
        <v>585.2850677</v>
      </c>
      <c r="M615" s="44" t="str">
        <f>HYPERLINK("https://docs.google.com/spreadsheets/d/14UYApydSIguL40TJuocWnlNFTQ2tekxT", "RE-1.3797020833333336")</f>
        <v>RE-1.3797020833333336</v>
      </c>
      <c r="N615" s="44" t="str">
        <f>HYPERLINK("https://docs.google.com/spreadsheets/d/1vKYKPYFoOv0phuaO7yri3FgxgzCCPlpo", "RE-765.6942208333335")</f>
        <v>RE-765.6942208333335</v>
      </c>
      <c r="O615" s="44" t="str">
        <f>HYPERLINK("https://docs.google.com/spreadsheets/d/10IZlVTOjADA_8ouZVd_e7I_PmvAGHvX6", "RE-3.8006875000000004")</f>
        <v>RE-3.8006875000000004</v>
      </c>
      <c r="P615" s="44">
        <f>HYPERLINK("https://docs.google.com/spreadsheets/d/1nT5xqBMA_zSQP7E5mZ0vTz9iLTyEGPWt", 870.686104166666)</f>
        <v>870.6861042</v>
      </c>
      <c r="Q615" s="44" t="str">
        <f>HYPERLINK("https://docs.google.com/spreadsheets/d/1m2eZ90pXz-wvUAFFAGCwg-0nq4PR-ZpS", "RE-26.23371249999999")</f>
        <v>RE-26.23371249999999</v>
      </c>
      <c r="R615" s="44">
        <f>HYPERLINK("https://docs.google.com/spreadsheets/d/1HOyDzSGaatLRt-KGV1c38psQpRDUJbMy", 882.507672916667)</f>
        <v>882.5076729</v>
      </c>
      <c r="S615" s="44" t="str">
        <f>HYPERLINK("https://docs.google.com/spreadsheets/d/1-GYq4Ja09PxfG8cQzYHxtb8reGyUUOVQ", "RE-15.674094791666667")</f>
        <v>RE-15.674094791666667</v>
      </c>
      <c r="T615" s="44">
        <f>HYPERLINK("https://docs.google.com/spreadsheets/d/1kgIwkj-HtUo4y9HyWIyS2MFTdYN1COWv", 398.662525)</f>
        <v>398.662525</v>
      </c>
      <c r="U615" s="44" t="str">
        <f>HYPERLINK("https://docs.google.com/spreadsheets/d/1XAwDZ8-gdS4JsriN1xFCB2qcBd9lGkHL", "RE-33.048773958333314")</f>
        <v>RE-33.048773958333314</v>
      </c>
      <c r="V615" s="44" t="str">
        <f>HYPERLINK("https://docs.google.com/spreadsheets/d/13o7LhW0DhyKvXlyfF9bYdXavN0sSZzFY", "RE-7.847733333333334")</f>
        <v>RE-7.847733333333334</v>
      </c>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s="43"/>
      <c r="BM615" s="43"/>
      <c r="BN615" s="43"/>
      <c r="BO615" s="43"/>
      <c r="BP615" s="43"/>
      <c r="BQ615" s="43"/>
      <c r="BR615" s="43"/>
      <c r="BS615" s="43"/>
      <c r="BT615" s="43"/>
      <c r="BU615" s="43"/>
      <c r="BV615" s="43"/>
      <c r="BW615" s="43"/>
      <c r="BX615" s="43"/>
      <c r="BY615" s="43"/>
      <c r="BZ615" s="43"/>
      <c r="CA615" s="43"/>
      <c r="CB615" s="43"/>
      <c r="CC615" s="43"/>
      <c r="CD615" s="43"/>
      <c r="CE615" s="43"/>
      <c r="CF615" s="43"/>
      <c r="CG615" s="43"/>
      <c r="CH615" s="43"/>
      <c r="CI615" s="43"/>
      <c r="CJ615" s="43"/>
      <c r="CK615" s="43"/>
      <c r="CL615" s="43"/>
      <c r="CM615" s="43"/>
      <c r="CN615" s="43"/>
      <c r="CO615" s="43"/>
      <c r="CP615" s="43"/>
      <c r="CQ615" s="43"/>
      <c r="CR615" s="43"/>
      <c r="CS615" s="43"/>
      <c r="CT615" s="43"/>
      <c r="CU615" s="43"/>
      <c r="CV615" s="43"/>
      <c r="CW615" s="43"/>
      <c r="CX615" s="43"/>
      <c r="CY615" s="43"/>
      <c r="CZ615" s="43"/>
      <c r="DA615" s="43"/>
      <c r="DB615" s="43"/>
      <c r="DC615" s="43"/>
      <c r="DD615" s="43"/>
      <c r="DE615" s="43"/>
      <c r="DF615" s="43"/>
      <c r="DG615" s="43"/>
      <c r="DH615" s="43"/>
      <c r="DI615" s="43"/>
      <c r="DJ615" s="43"/>
      <c r="DK615" s="43"/>
      <c r="DL615" s="43"/>
      <c r="DM615" s="43"/>
      <c r="DN615" s="43"/>
      <c r="DO615" s="43"/>
      <c r="DP615" s="43"/>
      <c r="DQ615" s="43"/>
      <c r="DR615" s="43"/>
      <c r="DS615" s="43"/>
      <c r="DT615" s="43"/>
      <c r="DU615" s="43"/>
      <c r="DV615" s="43"/>
      <c r="DW615" s="43"/>
      <c r="DX615" s="43"/>
      <c r="DY615" s="43"/>
      <c r="DZ615" s="43"/>
      <c r="EA615" s="43"/>
      <c r="EB615" s="43"/>
      <c r="EC615" s="43"/>
      <c r="ED615" s="43"/>
      <c r="EE615" s="43"/>
      <c r="EF615" s="43"/>
      <c r="EG615" s="43"/>
      <c r="EH615" s="43"/>
      <c r="EI615" s="43"/>
      <c r="EJ615" s="43"/>
      <c r="EK615" s="43"/>
      <c r="EL615" s="43"/>
      <c r="EM615" s="43"/>
      <c r="EN615" s="43"/>
      <c r="EO615" s="43"/>
      <c r="EP615" s="43"/>
      <c r="EQ615" s="43"/>
      <c r="ER615" s="43"/>
      <c r="ES615" s="43"/>
      <c r="ET615" s="43"/>
      <c r="EU615" s="43"/>
      <c r="EV615" s="43"/>
      <c r="EW615" s="43"/>
      <c r="EX615" s="43"/>
      <c r="EY615" s="43"/>
      <c r="EZ615" s="43"/>
      <c r="FA615" s="43"/>
      <c r="FB615" s="43"/>
      <c r="FC615" s="43"/>
      <c r="FD615" s="43"/>
      <c r="FE615" s="43"/>
      <c r="FF615" s="43"/>
      <c r="FG615" s="43"/>
      <c r="FH615" s="43"/>
    </row>
    <row r="616">
      <c r="A616" s="47" t="s">
        <v>28</v>
      </c>
      <c r="B616" s="47" t="s">
        <v>102</v>
      </c>
      <c r="C616" s="47" t="s">
        <v>13</v>
      </c>
      <c r="D616" s="43">
        <f t="shared" si="1"/>
        <v>2608.496</v>
      </c>
      <c r="E616" s="43"/>
      <c r="F616" s="44" t="str">
        <f>HYPERLINK("https://docs.google.com/spreadsheets/d/1LQygm-tmUX-d3wUYZERqSt4DqaEaNDiR?usp=share_link", "RE-147.61")</f>
        <v>RE-147.61</v>
      </c>
      <c r="G616" s="44" t="str">
        <f>HYPERLINK("https://docs.google.com/spreadsheets/d/13hvutbdNFn-G8GDq3CRmNw2kdaUy1lFw?usp=share_link", "RE-0.85975")</f>
        <v>RE-0.85975</v>
      </c>
      <c r="H616" s="44" t="str">
        <f>HYPERLINK("https://docs.google.com/spreadsheets/d/1R9x_u04FFVMnN0_2A92XhumZ4ZBVAi5R?usp=share_link", "RE-30.9385")</f>
        <v>RE-30.9385</v>
      </c>
      <c r="I616" s="43"/>
      <c r="J616" s="44" t="str">
        <f>HYPERLINK("https://docs.google.com/spreadsheets/d/1a1c0W31ie4Xs8SuzBkTPXRwOtTZ1bYnO?usp=share_link", "RE-13.4091")</f>
        <v>RE-13.4091</v>
      </c>
      <c r="K616" s="43"/>
      <c r="L616" s="44">
        <f>HYPERLINK("https://docs.google.com/spreadsheets/d/1Rq-n8VCH36Pe2JFL7TFFUkwxie5RyMMB?usp=share_link", 563.235)</f>
        <v>563.235</v>
      </c>
      <c r="M616" s="44" t="str">
        <f>HYPERLINK("https://docs.google.com/spreadsheets/d/156CDlfF23STTfolj4V4faM6JLf73ni8x?usp=share_link", "RE-1.29142")</f>
        <v>RE-1.29142</v>
      </c>
      <c r="N616" s="44" t="str">
        <f>HYPERLINK("https://docs.google.com/spreadsheets/d/1RLcQHFs8vzrytgEaX9nHD8LLqHBffeZy?usp=share_link", "RE-738.097")</f>
        <v>RE-738.097</v>
      </c>
      <c r="O616" s="44" t="str">
        <f>HYPERLINK("https://docs.google.com/spreadsheets/d/1C9tDkJJ4O6L32NnGTnX_9JNvmQtBVMY5?usp=share_link", "RE-3.6076")</f>
        <v>RE-3.6076</v>
      </c>
      <c r="P616" s="44">
        <f>HYPERLINK("https://docs.google.com/spreadsheets/d/1KK-5mwPFYaR6aPNK3Sng2bwPg-sqvVBO?usp=share_link", 827.158)</f>
        <v>827.158</v>
      </c>
      <c r="Q616" s="44" t="str">
        <f>HYPERLINK("https://docs.google.com/spreadsheets/d/15MeGo_shqfpUV478FCypzfiz7iZDOGGB?usp=share_link", "RE-24.9988")</f>
        <v>RE-24.9988</v>
      </c>
      <c r="R616" s="44">
        <f>HYPERLINK("https://docs.google.com/spreadsheets/d/1106fre_NW5fhRH_ZgzIryKD4JIVuvVqU?usp=share_link", 840.634)</f>
        <v>840.634</v>
      </c>
      <c r="S616" s="44" t="str">
        <f>HYPERLINK("https://docs.google.com/spreadsheets/d/1J38h4QwQWqMxC6CB2SOWofwmhDF3M4M6?usp=share_link", "RE-14.8379")</f>
        <v>RE-14.8379</v>
      </c>
      <c r="T616" s="44">
        <f>HYPERLINK("https://docs.google.com/spreadsheets/d/14KesS20hfVfI9XA39S08x3LXyZSrMZau?usp=share_link", 377.469)</f>
        <v>377.469</v>
      </c>
      <c r="U616" s="44" t="str">
        <f>HYPERLINK("https://docs.google.com/spreadsheets/d/175p6gtLqzVsjOsNs41TnK4Chz_HrOtnk?usp=share_link", "RE-30.8656")</f>
        <v>RE-30.8656</v>
      </c>
      <c r="V616" s="44" t="str">
        <f>HYPERLINK("https://docs.google.com/spreadsheets/d/1tmE8-JrVWXfCBY2XwIbVPxS9x4wmCVS6?usp=share_link", "RE-7.36078")</f>
        <v>RE-7.36078</v>
      </c>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s="43"/>
      <c r="BM616" s="43"/>
      <c r="BN616" s="43"/>
      <c r="BO616" s="43"/>
      <c r="BP616" s="43"/>
      <c r="BQ616" s="43"/>
      <c r="BR616" s="43"/>
      <c r="BS616" s="43"/>
      <c r="BT616" s="43"/>
      <c r="BU616" s="43"/>
      <c r="BV616" s="43"/>
      <c r="BW616" s="43"/>
      <c r="BX616" s="43"/>
      <c r="BY616" s="43"/>
      <c r="BZ616" s="43"/>
      <c r="CA616" s="43"/>
      <c r="CB616" s="43"/>
      <c r="CC616" s="43"/>
      <c r="CD616" s="43"/>
      <c r="CE616" s="43"/>
      <c r="CF616" s="43"/>
      <c r="CG616" s="43"/>
      <c r="CH616" s="43"/>
      <c r="CI616" s="43"/>
      <c r="CJ616" s="43"/>
      <c r="CK616" s="43"/>
      <c r="CL616" s="43"/>
      <c r="CM616" s="43"/>
      <c r="CN616" s="43"/>
      <c r="CO616" s="43"/>
      <c r="CP616" s="43"/>
      <c r="CQ616" s="43"/>
      <c r="CR616" s="43"/>
      <c r="CS616" s="43"/>
      <c r="CT616" s="43"/>
      <c r="CU616" s="43"/>
      <c r="CV616" s="43"/>
      <c r="CW616" s="43"/>
      <c r="CX616" s="43"/>
      <c r="CY616" s="43"/>
      <c r="CZ616" s="43"/>
      <c r="DA616" s="43"/>
      <c r="DB616" s="43"/>
      <c r="DC616" s="43"/>
      <c r="DD616" s="43"/>
      <c r="DE616" s="43"/>
      <c r="DF616" s="43"/>
      <c r="DG616" s="43"/>
      <c r="DH616" s="43"/>
      <c r="DI616" s="43"/>
      <c r="DJ616" s="43"/>
      <c r="DK616" s="43"/>
      <c r="DL616" s="43"/>
      <c r="DM616" s="43"/>
      <c r="DN616" s="43"/>
      <c r="DO616" s="43"/>
      <c r="DP616" s="43"/>
      <c r="DQ616" s="43"/>
      <c r="DR616" s="43"/>
      <c r="DS616" s="43"/>
      <c r="DT616" s="43"/>
      <c r="DU616" s="43"/>
      <c r="DV616" s="43"/>
      <c r="DW616" s="43"/>
      <c r="DX616" s="43"/>
      <c r="DY616" s="43"/>
      <c r="DZ616" s="43"/>
      <c r="EA616" s="43"/>
      <c r="EB616" s="43"/>
      <c r="EC616" s="43"/>
      <c r="ED616" s="43"/>
      <c r="EE616" s="43"/>
      <c r="EF616" s="43"/>
      <c r="EG616" s="43"/>
      <c r="EH616" s="43"/>
      <c r="EI616" s="43"/>
      <c r="EJ616" s="43"/>
      <c r="EK616" s="43"/>
      <c r="EL616" s="43"/>
      <c r="EM616" s="43"/>
      <c r="EN616" s="43"/>
      <c r="EO616" s="43"/>
      <c r="EP616" s="43"/>
      <c r="EQ616" s="43"/>
      <c r="ER616" s="43"/>
      <c r="ES616" s="43"/>
      <c r="ET616" s="43"/>
      <c r="EU616" s="43"/>
      <c r="EV616" s="43"/>
      <c r="EW616" s="43"/>
      <c r="EX616" s="43"/>
      <c r="EY616" s="43"/>
      <c r="EZ616" s="43"/>
      <c r="FA616" s="43"/>
      <c r="FB616" s="43"/>
      <c r="FC616" s="43"/>
      <c r="FD616" s="43"/>
      <c r="FE616" s="43"/>
      <c r="FF616" s="43"/>
      <c r="FG616" s="43"/>
      <c r="FH616" s="43"/>
    </row>
    <row r="617">
      <c r="A617" s="47" t="s">
        <v>28</v>
      </c>
      <c r="B617" s="47" t="s">
        <v>102</v>
      </c>
      <c r="C617" s="47" t="s">
        <v>14</v>
      </c>
      <c r="D617" s="43">
        <f t="shared" si="1"/>
        <v>2266.87</v>
      </c>
      <c r="E617" s="43"/>
      <c r="F617" s="44" t="str">
        <f>HYPERLINK("https://docs.google.com/spreadsheets/d/1OVz7IBhohOQuEblABt5R-0LGU9mEdCsv?usp=share_link", "RE-137.303")</f>
        <v>RE-137.303</v>
      </c>
      <c r="G617" s="44" t="str">
        <f>HYPERLINK("https://docs.google.com/spreadsheets/d/1goRwK8PkVq_rjwoXIi3woBkLJMGHfLX_?usp=share_link", "RE-0.85975")</f>
        <v>RE-0.85975</v>
      </c>
      <c r="H617" s="44" t="str">
        <f>HYPERLINK("https://docs.google.com/spreadsheets/d/1MDNXVQuE4lwMlJO6XJr86vLzKJ_ku42D?usp=share_link", "RE-25.2215")</f>
        <v>RE-25.2215</v>
      </c>
      <c r="I617" s="43"/>
      <c r="J617" s="44" t="str">
        <f>HYPERLINK("https://docs.google.com/spreadsheets/d/1WVquqvmKz6jEYkw23rjjZrAF00PZB53c?usp=share_link", "RE-12.5155")</f>
        <v>RE-12.5155</v>
      </c>
      <c r="K617" s="43"/>
      <c r="L617" s="44">
        <f>HYPERLINK("https://docs.google.com/spreadsheets/d/1c73bERp1t3e6gOhoEPonRQBiqMtvDvri?usp=share_link", 489.236)</f>
        <v>489.236</v>
      </c>
      <c r="M617" s="44" t="str">
        <f>HYPERLINK("https://docs.google.com/spreadsheets/d/1JdTDTiyDih5sn4PNsnA1nyXWROe8RNxI?usp=share_link", "RE-1.29142")</f>
        <v>RE-1.29142</v>
      </c>
      <c r="N617" s="44" t="str">
        <f>HYPERLINK("https://docs.google.com/spreadsheets/d/1eES91yFp2Mi2kWWU5lr6ZJDJUCPdMUB7?usp=share_link", "RE-642.279")</f>
        <v>RE-642.279</v>
      </c>
      <c r="O617" s="44" t="str">
        <f>HYPERLINK("https://docs.google.com/spreadsheets/d/1_TtSaU6w5fUSH--sqhJZxaLbHn3oGehW?usp=share_link", "RE-3.6076")</f>
        <v>RE-3.6076</v>
      </c>
      <c r="P617" s="44">
        <f>HYPERLINK("https://docs.google.com/spreadsheets/d/152WNYdCJxsY0UNv9T2CeC8_BywhOJEG8?usp=share_link", 722.105)</f>
        <v>722.105</v>
      </c>
      <c r="Q617" s="44" t="str">
        <f>HYPERLINK("https://docs.google.com/spreadsheets/d/12wtQnO571D6V8dYTnEUD_lm4gzF7BFms?usp=share_link", "RE-22.5164")</f>
        <v>RE-22.5164</v>
      </c>
      <c r="R617" s="44">
        <f>HYPERLINK("https://docs.google.com/spreadsheets/d/1GSjRH5ZS_5IbvL2wKyZwj6yfFow1G7-h?usp=share_link", 729.981)</f>
        <v>729.981</v>
      </c>
      <c r="S617" s="44" t="str">
        <f>HYPERLINK("https://docs.google.com/spreadsheets/d/1Sk9dMY-4_On6WI77HM4Ct3QKgF7Rbroi?usp=share_link", "RE-12.7685")</f>
        <v>RE-12.7685</v>
      </c>
      <c r="T617" s="44">
        <f>HYPERLINK("https://docs.google.com/spreadsheets/d/1YIc5LnxHG_PGhr95pPAFIRz8DhHZglxX?usp=share_link", 325.548)</f>
        <v>325.548</v>
      </c>
      <c r="U617" s="44" t="str">
        <f>HYPERLINK("https://docs.google.com/spreadsheets/d/1mbCvWZAlvEY789fnAr3x6gaPk1i2kTR7?usp=share_link", "RE-27.9057")</f>
        <v>RE-27.9057</v>
      </c>
      <c r="V617" s="44" t="str">
        <f>HYPERLINK("https://docs.google.com/spreadsheets/d/1E6Es_BwQ1uZu1Yy90TA1mDjkN6xopHlZ?usp=share_link", "RE-5.91825")</f>
        <v>RE-5.91825</v>
      </c>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s="43"/>
      <c r="BM617" s="43"/>
      <c r="BN617" s="43"/>
      <c r="BO617" s="43"/>
      <c r="BP617" s="43"/>
      <c r="BQ617" s="43"/>
      <c r="BR617" s="43"/>
      <c r="BS617" s="43"/>
      <c r="BT617" s="43"/>
      <c r="BU617" s="43"/>
      <c r="BV617" s="43"/>
      <c r="BW617" s="43"/>
      <c r="BX617" s="43"/>
      <c r="BY617" s="43"/>
      <c r="BZ617" s="43"/>
      <c r="CA617" s="43"/>
      <c r="CB617" s="43"/>
      <c r="CC617" s="43"/>
      <c r="CD617" s="43"/>
      <c r="CE617" s="43"/>
      <c r="CF617" s="43"/>
      <c r="CG617" s="43"/>
      <c r="CH617" s="43"/>
      <c r="CI617" s="43"/>
      <c r="CJ617" s="43"/>
      <c r="CK617" s="43"/>
      <c r="CL617" s="43"/>
      <c r="CM617" s="43"/>
      <c r="CN617" s="43"/>
      <c r="CO617" s="43"/>
      <c r="CP617" s="43"/>
      <c r="CQ617" s="43"/>
      <c r="CR617" s="43"/>
      <c r="CS617" s="43"/>
      <c r="CT617" s="43"/>
      <c r="CU617" s="43"/>
      <c r="CV617" s="43"/>
      <c r="CW617" s="43"/>
      <c r="CX617" s="43"/>
      <c r="CY617" s="43"/>
      <c r="CZ617" s="43"/>
      <c r="DA617" s="43"/>
      <c r="DB617" s="43"/>
      <c r="DC617" s="43"/>
      <c r="DD617" s="43"/>
      <c r="DE617" s="43"/>
      <c r="DF617" s="43"/>
      <c r="DG617" s="43"/>
      <c r="DH617" s="43"/>
      <c r="DI617" s="43"/>
      <c r="DJ617" s="43"/>
      <c r="DK617" s="43"/>
      <c r="DL617" s="43"/>
      <c r="DM617" s="43"/>
      <c r="DN617" s="43"/>
      <c r="DO617" s="43"/>
      <c r="DP617" s="43"/>
      <c r="DQ617" s="43"/>
      <c r="DR617" s="43"/>
      <c r="DS617" s="43"/>
      <c r="DT617" s="43"/>
      <c r="DU617" s="43"/>
      <c r="DV617" s="43"/>
      <c r="DW617" s="43"/>
      <c r="DX617" s="43"/>
      <c r="DY617" s="43"/>
      <c r="DZ617" s="43"/>
      <c r="EA617" s="43"/>
      <c r="EB617" s="43"/>
      <c r="EC617" s="43"/>
      <c r="ED617" s="43"/>
      <c r="EE617" s="43"/>
      <c r="EF617" s="43"/>
      <c r="EG617" s="43"/>
      <c r="EH617" s="43"/>
      <c r="EI617" s="43"/>
      <c r="EJ617" s="43"/>
      <c r="EK617" s="43"/>
      <c r="EL617" s="43"/>
      <c r="EM617" s="43"/>
      <c r="EN617" s="43"/>
      <c r="EO617" s="43"/>
      <c r="EP617" s="43"/>
      <c r="EQ617" s="43"/>
      <c r="ER617" s="43"/>
      <c r="ES617" s="43"/>
      <c r="ET617" s="43"/>
      <c r="EU617" s="43"/>
      <c r="EV617" s="43"/>
      <c r="EW617" s="43"/>
      <c r="EX617" s="43"/>
      <c r="EY617" s="43"/>
      <c r="EZ617" s="43"/>
      <c r="FA617" s="43"/>
      <c r="FB617" s="43"/>
      <c r="FC617" s="43"/>
      <c r="FD617" s="43"/>
      <c r="FE617" s="43"/>
      <c r="FF617" s="43"/>
      <c r="FG617" s="43"/>
      <c r="FH617" s="43"/>
    </row>
    <row r="618">
      <c r="A618" s="48" t="s">
        <v>28</v>
      </c>
      <c r="B618" s="48" t="s">
        <v>102</v>
      </c>
      <c r="C618" s="48" t="s">
        <v>15</v>
      </c>
      <c r="D618" s="36">
        <f t="shared" si="1"/>
        <v>2608.421</v>
      </c>
      <c r="E618" s="36"/>
      <c r="F618" s="37" t="str">
        <f>HYPERLINK("https://docs.google.com/spreadsheets/d/1xrIIz63IzP2JXd1hywYLAIbN36a-WGGc?usp=share_link", "RE-147.61")</f>
        <v>RE-147.61</v>
      </c>
      <c r="G618" s="37" t="str">
        <f>HYPERLINK("https://docs.google.com/spreadsheets/d/1dzf9F-S212uy8xNujfrgCVLgy_WyDVmq?usp=share_link", "RE-0.85975")</f>
        <v>RE-0.85975</v>
      </c>
      <c r="H618" s="37" t="str">
        <f>HYPERLINK("https://docs.google.com/spreadsheets/d/1MG6-0I4oQLmaBOWtJ3iKtQbcgw65DKeS?usp=share_link", "RE-30.9385")</f>
        <v>RE-30.9385</v>
      </c>
      <c r="I618" s="36"/>
      <c r="J618" s="37" t="str">
        <f>HYPERLINK("https://docs.google.com/spreadsheets/d/1kaC5Q097J3AySO6a2qc33pC6SRoHKGtP?usp=share_link", "RE-13.4091")</f>
        <v>RE-13.4091</v>
      </c>
      <c r="K618" s="36"/>
      <c r="L618" s="37">
        <f>HYPERLINK("https://docs.google.com/spreadsheets/d/1jb0nNi1EE-hPXz_y_HpOeIMebbgPcJBG?usp=share_link", 563.235)</f>
        <v>563.235</v>
      </c>
      <c r="M618" s="37" t="str">
        <f>HYPERLINK("https://docs.google.com/spreadsheets/d/1m3V5VIeCFfEKdxIeBXd5OXwv1ZLMaLss?usp=share_link", "RE-1.29142")</f>
        <v>RE-1.29142</v>
      </c>
      <c r="N618" s="37" t="str">
        <f>HYPERLINK("https://docs.google.com/spreadsheets/d/1_0D1JNTiijVeAJV1rfLumJ_KuVkcxhoR?usp=share_link", "RE-738.097")</f>
        <v>RE-738.097</v>
      </c>
      <c r="O618" s="37" t="str">
        <f>HYPERLINK("https://docs.google.com/spreadsheets/d/1tebk9ScXEt8EECFzwg174_fu28rALBGY?usp=share_link", "RE-3.6076")</f>
        <v>RE-3.6076</v>
      </c>
      <c r="P618" s="37">
        <f>HYPERLINK("https://docs.google.com/spreadsheets/d/1ZjCoJI6lCcRN1BE8cYhOJriF2xba0HYE?usp=share_link", 827.083)</f>
        <v>827.083</v>
      </c>
      <c r="Q618" s="37" t="str">
        <f>HYPERLINK("https://docs.google.com/spreadsheets/d/17jBgEVpOGVqoBeRoo3MrBEjoDa_ZExsl?usp=share_link", "RE-24.9988")</f>
        <v>RE-24.9988</v>
      </c>
      <c r="R618" s="37">
        <f>HYPERLINK("https://docs.google.com/spreadsheets/d/1k6blmNmVp51ns_okIlLbLgYeBkIqGqBF?usp=share_link", 840.634)</f>
        <v>840.634</v>
      </c>
      <c r="S618" s="37" t="str">
        <f>HYPERLINK("https://docs.google.com/spreadsheets/d/1v2G9IfAwEO9JWfVJ9yol_64QEEk67jp3?usp=share_link", "RE-14.8379")</f>
        <v>RE-14.8379</v>
      </c>
      <c r="T618" s="37">
        <f>HYPERLINK("https://docs.google.com/spreadsheets/d/19HKPwXK3fGY7b7mazOzN7lfHiPp0wUcd?usp=share_link", 377.469)</f>
        <v>377.469</v>
      </c>
      <c r="U618" s="37" t="str">
        <f>HYPERLINK("https://docs.google.com/spreadsheets/d/1z9_-FsrIcu6DU08PTByt2rMEsZQD7ihR?usp=share_link", "RE-30.8656")</f>
        <v>RE-30.8656</v>
      </c>
      <c r="V618" s="37" t="str">
        <f>HYPERLINK("https://docs.google.com/spreadsheets/d/1BrONPLGeAf3OQ6RiHfVZNR8Dvwr7Y_lA?usp=share_link", "RE-7.36078")</f>
        <v>RE-7.36078</v>
      </c>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6"/>
      <c r="AZ618" s="36"/>
      <c r="BA618" s="36"/>
      <c r="BB618" s="36"/>
      <c r="BC618" s="36"/>
      <c r="BD618" s="36"/>
      <c r="BE618" s="36"/>
      <c r="BF618" s="36"/>
      <c r="BG618" s="36"/>
      <c r="BH618" s="36"/>
      <c r="BI618" s="36"/>
      <c r="BJ618" s="36"/>
      <c r="BK618" s="36"/>
      <c r="BL618" s="36"/>
      <c r="BM618" s="36"/>
      <c r="BN618" s="36"/>
      <c r="BO618" s="36"/>
      <c r="BP618" s="36"/>
      <c r="BQ618" s="36"/>
      <c r="BR618" s="36"/>
      <c r="BS618" s="36"/>
      <c r="BT618" s="36"/>
      <c r="BU618" s="36"/>
      <c r="BV618" s="36"/>
      <c r="BW618" s="36"/>
      <c r="BX618" s="36"/>
      <c r="BY618" s="36"/>
      <c r="BZ618" s="36"/>
      <c r="CA618" s="36"/>
      <c r="CB618" s="36"/>
      <c r="CC618" s="36"/>
      <c r="CD618" s="36"/>
      <c r="CE618" s="36"/>
      <c r="CF618" s="36"/>
      <c r="CG618" s="36"/>
      <c r="CH618" s="36"/>
      <c r="CI618" s="36"/>
      <c r="CJ618" s="36"/>
      <c r="CK618" s="36"/>
      <c r="CL618" s="36"/>
      <c r="CM618" s="36"/>
      <c r="CN618" s="36"/>
      <c r="CO618" s="36"/>
      <c r="CP618" s="36"/>
      <c r="CQ618" s="36"/>
      <c r="CR618" s="36"/>
      <c r="CS618" s="36"/>
      <c r="CT618" s="36"/>
      <c r="CU618" s="36"/>
      <c r="CV618" s="36"/>
      <c r="CW618" s="36"/>
      <c r="CX618" s="36"/>
      <c r="CY618" s="36"/>
      <c r="CZ618" s="36"/>
      <c r="DA618" s="36"/>
      <c r="DB618" s="36"/>
      <c r="DC618" s="36"/>
      <c r="DD618" s="36"/>
      <c r="DE618" s="36"/>
      <c r="DF618" s="36"/>
      <c r="DG618" s="36"/>
      <c r="DH618" s="36"/>
      <c r="DI618" s="36"/>
      <c r="DJ618" s="36"/>
      <c r="DK618" s="36"/>
      <c r="DL618" s="36"/>
      <c r="DM618" s="36"/>
      <c r="DN618" s="36"/>
      <c r="DO618" s="36"/>
      <c r="DP618" s="36"/>
      <c r="DQ618" s="36"/>
      <c r="DR618" s="36"/>
      <c r="DS618" s="36"/>
      <c r="DT618" s="36"/>
      <c r="DU618" s="36"/>
      <c r="DV618" s="36"/>
      <c r="DW618" s="36"/>
      <c r="DX618" s="36"/>
      <c r="DY618" s="36"/>
      <c r="DZ618" s="36"/>
      <c r="EA618" s="36"/>
      <c r="EB618" s="36"/>
      <c r="EC618" s="36"/>
      <c r="ED618" s="36"/>
      <c r="EE618" s="36"/>
      <c r="EF618" s="36"/>
      <c r="EG618" s="36"/>
      <c r="EH618" s="36"/>
      <c r="EI618" s="36"/>
      <c r="EJ618" s="36"/>
      <c r="EK618" s="36"/>
      <c r="EL618" s="36"/>
      <c r="EM618" s="36"/>
      <c r="EN618" s="36"/>
      <c r="EO618" s="36"/>
      <c r="EP618" s="36"/>
      <c r="EQ618" s="36"/>
      <c r="ER618" s="36"/>
      <c r="ES618" s="36"/>
      <c r="ET618" s="36"/>
      <c r="EU618" s="36"/>
      <c r="EV618" s="36"/>
      <c r="EW618" s="36"/>
      <c r="EX618" s="36"/>
      <c r="EY618" s="36"/>
      <c r="EZ618" s="36"/>
      <c r="FA618" s="36"/>
      <c r="FB618" s="36"/>
      <c r="FC618" s="36"/>
      <c r="FD618" s="36"/>
      <c r="FE618" s="36"/>
      <c r="FF618" s="36"/>
      <c r="FG618" s="36"/>
      <c r="FH618" s="36"/>
    </row>
    <row r="619">
      <c r="A619" s="45" t="s">
        <v>28</v>
      </c>
      <c r="B619" s="45" t="s">
        <v>103</v>
      </c>
      <c r="C619" s="46" t="str">
        <f>HYPERLINK("https://docs.google.com/spreadsheets/d/1vm4zG12xB8leM2dsyYiXcjhXoReCnPkJ/edit?usp=share_link&amp;ouid=106501987799020758802&amp;rtpof=true&amp;sd=true", "Raw Delivered")</f>
        <v>Raw Delivered</v>
      </c>
      <c r="D619" s="40">
        <f t="shared" si="1"/>
        <v>6630.79341</v>
      </c>
      <c r="E619" s="40"/>
      <c r="F619" s="41">
        <f>HYPERLINK("https://docs.google.com/spreadsheets/d/1-sifBMr-piM0qWoJxKs7xY6GAofc5zBk", 514.856720833332)</f>
        <v>514.8567208</v>
      </c>
      <c r="G619" s="40"/>
      <c r="H619" s="41">
        <f>HYPERLINK("https://docs.google.com/spreadsheets/d/1ObqQOlYiqL_ozAigdb-5JqYck-51P6_f", 204.252395833333)</f>
        <v>204.2523958</v>
      </c>
      <c r="I619" s="40"/>
      <c r="J619" s="41">
        <f>HYPERLINK("https://docs.google.com/spreadsheets/d/1nPiLdQXP7mvFmvK8MfRZtCnaqHYh5v1C", 23.9971166666666)</f>
        <v>23.99711667</v>
      </c>
      <c r="K619" s="40"/>
      <c r="L619" s="41">
        <f t="shared" ref="L619:L620" si="310">HYPERLINK("https://docs.google.com/spreadsheets/d/1OcOsV30GceJYkC8UCmaEbC-iNnvR7zri", 725.793251041667)</f>
        <v>725.793251</v>
      </c>
      <c r="M619" s="40"/>
      <c r="N619" s="41">
        <f>HYPERLINK("https://docs.google.com/spreadsheets/d/1LEPg9W1Fq1UyFqMUN5COxCk1lVDE5-u5", 1970.43982187499)</f>
        <v>1970.439822</v>
      </c>
      <c r="O619" s="40"/>
      <c r="P619" s="41">
        <f t="shared" ref="P619:P620" si="311">HYPERLINK("https://docs.google.com/spreadsheets/d/1hZbGOAIcwD8oMwfZD4j969EDCIdRIq72", 1291.0340625)</f>
        <v>1291.034063</v>
      </c>
      <c r="Q619" s="40"/>
      <c r="R619" s="41">
        <f t="shared" ref="R619:R620" si="312">HYPERLINK("https://docs.google.com/spreadsheets/d/1gKapTCw31pybIkNZAzX6a8qLMW-jrKDA", 1350.26842916666)</f>
        <v>1350.268429</v>
      </c>
      <c r="S619" s="40"/>
      <c r="T619" s="41">
        <f t="shared" ref="T619:T620" si="313">HYPERLINK("https://docs.google.com/spreadsheets/d/1cdX0s13o8yST0GTgFGWBsfz1bsQXy9yU", 550.151612499999)</f>
        <v>550.1516125</v>
      </c>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0"/>
      <c r="FG619" s="40"/>
      <c r="FH619" s="40"/>
    </row>
    <row r="620">
      <c r="A620" s="47" t="s">
        <v>28</v>
      </c>
      <c r="B620" s="47" t="s">
        <v>103</v>
      </c>
      <c r="C620" s="47" t="s">
        <v>9</v>
      </c>
      <c r="D620" s="43">
        <f t="shared" si="1"/>
        <v>3917.247355</v>
      </c>
      <c r="E620" s="43"/>
      <c r="F620" s="44" t="str">
        <f>HYPERLINK("https://docs.google.com/spreadsheets/d/1-sifBMr-piM0qWoJxKs7xY6GAofc5zBk", "RE-514.8567208333329")</f>
        <v>RE-514.8567208333329</v>
      </c>
      <c r="G620" s="43"/>
      <c r="H620" s="44" t="str">
        <f>HYPERLINK("https://docs.google.com/spreadsheets/d/1ObqQOlYiqL_ozAigdb-5JqYck-51P6_f", "RE-204.2523958333336")</f>
        <v>RE-204.2523958333336</v>
      </c>
      <c r="I620" s="43"/>
      <c r="J620" s="44" t="str">
        <f>HYPERLINK("https://docs.google.com/spreadsheets/d/1nPiLdQXP7mvFmvK8MfRZtCnaqHYh5v1C", "RE-23.99711666666666")</f>
        <v>RE-23.99711666666666</v>
      </c>
      <c r="K620" s="43"/>
      <c r="L620" s="44">
        <f t="shared" si="310"/>
        <v>725.793251</v>
      </c>
      <c r="M620" s="43"/>
      <c r="N620" s="44" t="str">
        <f>HYPERLINK("https://docs.google.com/spreadsheets/d/1LEPg9W1Fq1UyFqMUN5COxCk1lVDE5-u5", "RE-1970.4398218749982")</f>
        <v>RE-1970.4398218749982</v>
      </c>
      <c r="O620" s="43"/>
      <c r="P620" s="44">
        <f t="shared" si="311"/>
        <v>1291.034063</v>
      </c>
      <c r="Q620" s="43"/>
      <c r="R620" s="44">
        <f t="shared" si="312"/>
        <v>1350.268429</v>
      </c>
      <c r="S620" s="43"/>
      <c r="T620" s="44">
        <f t="shared" si="313"/>
        <v>550.1516125</v>
      </c>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s="43"/>
      <c r="BM620" s="43"/>
      <c r="BN620" s="43"/>
      <c r="BO620" s="43"/>
      <c r="BP620" s="43"/>
      <c r="BQ620" s="43"/>
      <c r="BR620" s="43"/>
      <c r="BS620" s="43"/>
      <c r="BT620" s="43"/>
      <c r="BU620" s="43"/>
      <c r="BV620" s="43"/>
      <c r="BW620" s="43"/>
      <c r="BX620" s="43"/>
      <c r="BY620" s="43"/>
      <c r="BZ620" s="43"/>
      <c r="CA620" s="43"/>
      <c r="CB620" s="43"/>
      <c r="CC620" s="43"/>
      <c r="CD620" s="43"/>
      <c r="CE620" s="43"/>
      <c r="CF620" s="43"/>
      <c r="CG620" s="43"/>
      <c r="CH620" s="43"/>
      <c r="CI620" s="43"/>
      <c r="CJ620" s="43"/>
      <c r="CK620" s="43"/>
      <c r="CL620" s="43"/>
      <c r="CM620" s="43"/>
      <c r="CN620" s="43"/>
      <c r="CO620" s="43"/>
      <c r="CP620" s="43"/>
      <c r="CQ620" s="43"/>
      <c r="CR620" s="43"/>
      <c r="CS620" s="43"/>
      <c r="CT620" s="43"/>
      <c r="CU620" s="43"/>
      <c r="CV620" s="43"/>
      <c r="CW620" s="43"/>
      <c r="CX620" s="43"/>
      <c r="CY620" s="43"/>
      <c r="CZ620" s="43"/>
      <c r="DA620" s="43"/>
      <c r="DB620" s="43"/>
      <c r="DC620" s="43"/>
      <c r="DD620" s="43"/>
      <c r="DE620" s="43"/>
      <c r="DF620" s="43"/>
      <c r="DG620" s="43"/>
      <c r="DH620" s="43"/>
      <c r="DI620" s="43"/>
      <c r="DJ620" s="43"/>
      <c r="DK620" s="43"/>
      <c r="DL620" s="43"/>
      <c r="DM620" s="43"/>
      <c r="DN620" s="43"/>
      <c r="DO620" s="43"/>
      <c r="DP620" s="43"/>
      <c r="DQ620" s="43"/>
      <c r="DR620" s="43"/>
      <c r="DS620" s="43"/>
      <c r="DT620" s="43"/>
      <c r="DU620" s="43"/>
      <c r="DV620" s="43"/>
      <c r="DW620" s="43"/>
      <c r="DX620" s="43"/>
      <c r="DY620" s="43"/>
      <c r="DZ620" s="43"/>
      <c r="EA620" s="43"/>
      <c r="EB620" s="43"/>
      <c r="EC620" s="43"/>
      <c r="ED620" s="43"/>
      <c r="EE620" s="43"/>
      <c r="EF620" s="43"/>
      <c r="EG620" s="43"/>
      <c r="EH620" s="43"/>
      <c r="EI620" s="43"/>
      <c r="EJ620" s="43"/>
      <c r="EK620" s="43"/>
      <c r="EL620" s="43"/>
      <c r="EM620" s="43"/>
      <c r="EN620" s="43"/>
      <c r="EO620" s="43"/>
      <c r="EP620" s="43"/>
      <c r="EQ620" s="43"/>
      <c r="ER620" s="43"/>
      <c r="ES620" s="43"/>
      <c r="ET620" s="43"/>
      <c r="EU620" s="43"/>
      <c r="EV620" s="43"/>
      <c r="EW620" s="43"/>
      <c r="EX620" s="43"/>
      <c r="EY620" s="43"/>
      <c r="EZ620" s="43"/>
      <c r="FA620" s="43"/>
      <c r="FB620" s="43"/>
      <c r="FC620" s="43"/>
      <c r="FD620" s="43"/>
      <c r="FE620" s="43"/>
      <c r="FF620" s="43"/>
      <c r="FG620" s="43"/>
      <c r="FH620" s="43"/>
    </row>
    <row r="621">
      <c r="A621" s="47" t="s">
        <v>28</v>
      </c>
      <c r="B621" s="47" t="s">
        <v>103</v>
      </c>
      <c r="C621" s="47" t="s">
        <v>10</v>
      </c>
      <c r="D621" s="43">
        <f t="shared" si="1"/>
        <v>699.6081396</v>
      </c>
      <c r="E621" s="43"/>
      <c r="F621" s="43"/>
      <c r="G621" s="44">
        <f>HYPERLINK("https://docs.google.com/spreadsheets/d/1wUb4yjhMrq7_Embq0B-6Hh0X7JmDIaHw", 72.8595625)</f>
        <v>72.8595625</v>
      </c>
      <c r="H621" s="43"/>
      <c r="I621" s="44">
        <f>HYPERLINK("https://docs.google.com/spreadsheets/d/1_OQQrn66L65w97PlHpqjnYuyxCUH2AHR", 8.05028333333333)</f>
        <v>8.050283333</v>
      </c>
      <c r="J621" s="43"/>
      <c r="K621" s="44">
        <f>HYPERLINK("https://docs.google.com/spreadsheets/d/1wAZ1KdV-hZ4Hc5nynU1vdGSkHeVByEWv", 1.94459583333333)</f>
        <v>1.944595833</v>
      </c>
      <c r="L621" s="43"/>
      <c r="M621" s="44">
        <f>HYPERLINK("https://docs.google.com/spreadsheets/d/1FDSUJkOy6ev9FFvejUyN2hjwbWaJ1MI-", 11.5194479166666)</f>
        <v>11.51944792</v>
      </c>
      <c r="N621" s="43"/>
      <c r="O621" s="44">
        <f>HYPERLINK("https://docs.google.com/spreadsheets/d/1SR4Qg_fVgJhiN4AlHLFeqnCwBHKC_vBp", 206.717383333333)</f>
        <v>206.7173833</v>
      </c>
      <c r="P621" s="43"/>
      <c r="Q621" s="44">
        <f>HYPERLINK("https://docs.google.com/spreadsheets/d/1TP9oJy8aQLrurXMuFOZlEkVuyRPhp-KB", 132.138091666666)</f>
        <v>132.1380917</v>
      </c>
      <c r="R621" s="43"/>
      <c r="S621" s="44">
        <f>HYPERLINK("https://docs.google.com/spreadsheets/d/1WJjsaF3ChPk3_vYXPblVEmRZCw9MFn-0", 134.880992708333)</f>
        <v>134.8809927</v>
      </c>
      <c r="T621" s="43"/>
      <c r="U621" s="44">
        <f>HYPERLINK("https://docs.google.com/spreadsheets/d/15Ra0FW3zTofc0QfncDSxw9czexT1C90U", 116.371844791666)</f>
        <v>116.3718448</v>
      </c>
      <c r="V621" s="44">
        <f>HYPERLINK("https://docs.google.com/spreadsheets/d/1Te22DQCh2ES9JCViFyivhegXJexntTld", 15.1259375)</f>
        <v>15.1259375</v>
      </c>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c r="BO621" s="43"/>
      <c r="BP621" s="43"/>
      <c r="BQ621" s="43"/>
      <c r="BR621" s="43"/>
      <c r="BS621" s="43"/>
      <c r="BT621" s="43"/>
      <c r="BU621" s="43"/>
      <c r="BV621" s="43"/>
      <c r="BW621" s="43"/>
      <c r="BX621" s="43"/>
      <c r="BY621" s="43"/>
      <c r="BZ621" s="43"/>
      <c r="CA621" s="43"/>
      <c r="CB621" s="43"/>
      <c r="CC621" s="43"/>
      <c r="CD621" s="43"/>
      <c r="CE621" s="43"/>
      <c r="CF621" s="43"/>
      <c r="CG621" s="43"/>
      <c r="CH621" s="43"/>
      <c r="CI621" s="43"/>
      <c r="CJ621" s="43"/>
      <c r="CK621" s="43"/>
      <c r="CL621" s="43"/>
      <c r="CM621" s="43"/>
      <c r="CN621" s="43"/>
      <c r="CO621" s="43"/>
      <c r="CP621" s="43"/>
      <c r="CQ621" s="43"/>
      <c r="CR621" s="43"/>
      <c r="CS621" s="43"/>
      <c r="CT621" s="43"/>
      <c r="CU621" s="43"/>
      <c r="CV621" s="43"/>
      <c r="CW621" s="43"/>
      <c r="CX621" s="43"/>
      <c r="CY621" s="43"/>
      <c r="CZ621" s="43"/>
      <c r="DA621" s="43"/>
      <c r="DB621" s="43"/>
      <c r="DC621" s="43"/>
      <c r="DD621" s="43"/>
      <c r="DE621" s="43"/>
      <c r="DF621" s="43"/>
      <c r="DG621" s="43"/>
      <c r="DH621" s="43"/>
      <c r="DI621" s="43"/>
      <c r="DJ621" s="43"/>
      <c r="DK621" s="43"/>
      <c r="DL621" s="43"/>
      <c r="DM621" s="43"/>
      <c r="DN621" s="43"/>
      <c r="DO621" s="43"/>
      <c r="DP621" s="43"/>
      <c r="DQ621" s="43"/>
      <c r="DR621" s="43"/>
      <c r="DS621" s="43"/>
      <c r="DT621" s="43"/>
      <c r="DU621" s="43"/>
      <c r="DV621" s="43"/>
      <c r="DW621" s="43"/>
      <c r="DX621" s="43"/>
      <c r="DY621" s="43"/>
      <c r="DZ621" s="43"/>
      <c r="EA621" s="43"/>
      <c r="EB621" s="43"/>
      <c r="EC621" s="43"/>
      <c r="ED621" s="43"/>
      <c r="EE621" s="43"/>
      <c r="EF621" s="43"/>
      <c r="EG621" s="43"/>
      <c r="EH621" s="43"/>
      <c r="EI621" s="43"/>
      <c r="EJ621" s="43"/>
      <c r="EK621" s="43"/>
      <c r="EL621" s="43"/>
      <c r="EM621" s="43"/>
      <c r="EN621" s="43"/>
      <c r="EO621" s="43"/>
      <c r="EP621" s="43"/>
      <c r="EQ621" s="43"/>
      <c r="ER621" s="43"/>
      <c r="ES621" s="43"/>
      <c r="ET621" s="43"/>
      <c r="EU621" s="43"/>
      <c r="EV621" s="43"/>
      <c r="EW621" s="43"/>
      <c r="EX621" s="43"/>
      <c r="EY621" s="43"/>
      <c r="EZ621" s="43"/>
      <c r="FA621" s="43"/>
      <c r="FB621" s="43"/>
      <c r="FC621" s="43"/>
      <c r="FD621" s="43"/>
      <c r="FE621" s="43"/>
      <c r="FF621" s="43"/>
      <c r="FG621" s="43"/>
      <c r="FH621" s="43"/>
    </row>
    <row r="622">
      <c r="A622" s="47" t="s">
        <v>28</v>
      </c>
      <c r="B622" s="47" t="s">
        <v>103</v>
      </c>
      <c r="C622" s="47" t="s">
        <v>11</v>
      </c>
      <c r="D622" s="43">
        <f t="shared" si="1"/>
        <v>0</v>
      </c>
      <c r="E622" s="43"/>
      <c r="F622" s="43"/>
      <c r="G622" s="44" t="str">
        <f>HYPERLINK("https://docs.google.com/spreadsheets/d/1wUb4yjhMrq7_Embq0B-6Hh0X7JmDIaHw", "RE-72.85956250000001")</f>
        <v>RE-72.85956250000001</v>
      </c>
      <c r="H622" s="43"/>
      <c r="I622" s="44" t="str">
        <f>HYPERLINK("https://docs.google.com/spreadsheets/d/1_OQQrn66L65w97PlHpqjnYuyxCUH2AHR", "RE-8.050283333333335")</f>
        <v>RE-8.050283333333335</v>
      </c>
      <c r="J622" s="43"/>
      <c r="K622" s="44" t="str">
        <f>HYPERLINK("https://docs.google.com/spreadsheets/d/1wAZ1KdV-hZ4Hc5nynU1vdGSkHeVByEWv", "RE-1.9445958333333333")</f>
        <v>RE-1.9445958333333333</v>
      </c>
      <c r="L622" s="43"/>
      <c r="M622" s="44" t="str">
        <f>HYPERLINK("https://docs.google.com/spreadsheets/d/1FDSUJkOy6ev9FFvejUyN2hjwbWaJ1MI-", "RE-11.519447916666666")</f>
        <v>RE-11.519447916666666</v>
      </c>
      <c r="N622" s="43"/>
      <c r="O622" s="44" t="str">
        <f>HYPERLINK("https://docs.google.com/spreadsheets/d/1SR4Qg_fVgJhiN4AlHLFeqnCwBHKC_vBp", "RE-206.71738333333334")</f>
        <v>RE-206.71738333333334</v>
      </c>
      <c r="P622" s="43"/>
      <c r="Q622" s="44" t="str">
        <f>HYPERLINK("https://docs.google.com/spreadsheets/d/1TP9oJy8aQLrurXMuFOZlEkVuyRPhp-KB", "RE-132.13809166666655")</f>
        <v>RE-132.13809166666655</v>
      </c>
      <c r="R622" s="43"/>
      <c r="S622" s="44" t="str">
        <f>HYPERLINK("https://docs.google.com/spreadsheets/d/1WJjsaF3ChPk3_vYXPblVEmRZCw9MFn-0", "RE-134.88099270833334")</f>
        <v>RE-134.88099270833334</v>
      </c>
      <c r="T622" s="43"/>
      <c r="U622" s="44" t="str">
        <f>HYPERLINK("https://docs.google.com/spreadsheets/d/15Ra0FW3zTofc0QfncDSxw9czexT1C90U", "RE-116.37184479166663")</f>
        <v>RE-116.37184479166663</v>
      </c>
      <c r="V622" s="44" t="str">
        <f>HYPERLINK("https://docs.google.com/spreadsheets/d/1Te22DQCh2ES9JCViFyivhegXJexntTld", "RE-15.125937500000003")</f>
        <v>RE-15.125937500000003</v>
      </c>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c r="BO622" s="43"/>
      <c r="BP622" s="43"/>
      <c r="BQ622" s="43"/>
      <c r="BR622" s="43"/>
      <c r="BS622" s="43"/>
      <c r="BT622" s="43"/>
      <c r="BU622" s="43"/>
      <c r="BV622" s="43"/>
      <c r="BW622" s="43"/>
      <c r="BX622" s="43"/>
      <c r="BY622" s="43"/>
      <c r="BZ622" s="43"/>
      <c r="CA622" s="43"/>
      <c r="CB622" s="43"/>
      <c r="CC622" s="43"/>
      <c r="CD622" s="43"/>
      <c r="CE622" s="43"/>
      <c r="CF622" s="43"/>
      <c r="CG622" s="43"/>
      <c r="CH622" s="43"/>
      <c r="CI622" s="43"/>
      <c r="CJ622" s="43"/>
      <c r="CK622" s="43"/>
      <c r="CL622" s="43"/>
      <c r="CM622" s="43"/>
      <c r="CN622" s="43"/>
      <c r="CO622" s="43"/>
      <c r="CP622" s="43"/>
      <c r="CQ622" s="43"/>
      <c r="CR622" s="43"/>
      <c r="CS622" s="43"/>
      <c r="CT622" s="43"/>
      <c r="CU622" s="43"/>
      <c r="CV622" s="43"/>
      <c r="CW622" s="43"/>
      <c r="CX622" s="43"/>
      <c r="CY622" s="43"/>
      <c r="CZ622" s="43"/>
      <c r="DA622" s="43"/>
      <c r="DB622" s="43"/>
      <c r="DC622" s="43"/>
      <c r="DD622" s="43"/>
      <c r="DE622" s="43"/>
      <c r="DF622" s="43"/>
      <c r="DG622" s="43"/>
      <c r="DH622" s="43"/>
      <c r="DI622" s="43"/>
      <c r="DJ622" s="43"/>
      <c r="DK622" s="43"/>
      <c r="DL622" s="43"/>
      <c r="DM622" s="43"/>
      <c r="DN622" s="43"/>
      <c r="DO622" s="43"/>
      <c r="DP622" s="43"/>
      <c r="DQ622" s="43"/>
      <c r="DR622" s="43"/>
      <c r="DS622" s="43"/>
      <c r="DT622" s="43"/>
      <c r="DU622" s="43"/>
      <c r="DV622" s="43"/>
      <c r="DW622" s="43"/>
      <c r="DX622" s="43"/>
      <c r="DY622" s="43"/>
      <c r="DZ622" s="43"/>
      <c r="EA622" s="43"/>
      <c r="EB622" s="43"/>
      <c r="EC622" s="43"/>
      <c r="ED622" s="43"/>
      <c r="EE622" s="43"/>
      <c r="EF622" s="43"/>
      <c r="EG622" s="43"/>
      <c r="EH622" s="43"/>
      <c r="EI622" s="43"/>
      <c r="EJ622" s="43"/>
      <c r="EK622" s="43"/>
      <c r="EL622" s="43"/>
      <c r="EM622" s="43"/>
      <c r="EN622" s="43"/>
      <c r="EO622" s="43"/>
      <c r="EP622" s="43"/>
      <c r="EQ622" s="43"/>
      <c r="ER622" s="43"/>
      <c r="ES622" s="43"/>
      <c r="ET622" s="43"/>
      <c r="EU622" s="43"/>
      <c r="EV622" s="43"/>
      <c r="EW622" s="43"/>
      <c r="EX622" s="43"/>
      <c r="EY622" s="43"/>
      <c r="EZ622" s="43"/>
      <c r="FA622" s="43"/>
      <c r="FB622" s="43"/>
      <c r="FC622" s="43"/>
      <c r="FD622" s="43"/>
      <c r="FE622" s="43"/>
      <c r="FF622" s="43"/>
      <c r="FG622" s="43"/>
      <c r="FH622" s="43"/>
    </row>
    <row r="623">
      <c r="A623" s="47" t="s">
        <v>28</v>
      </c>
      <c r="B623" s="47" t="s">
        <v>103</v>
      </c>
      <c r="C623" s="47" t="s">
        <v>12</v>
      </c>
      <c r="D623" s="43">
        <f t="shared" si="1"/>
        <v>3629.062578</v>
      </c>
      <c r="E623" s="43"/>
      <c r="F623" s="44" t="str">
        <f>HYPERLINK("https://docs.google.com/spreadsheets/d/1_3HHrfYJbzVlJywRwJS8FKr5lsRnnfkM", "RE-392.9788729166668")</f>
        <v>RE-392.9788729166668</v>
      </c>
      <c r="G623" s="44" t="str">
        <f>HYPERLINK("https://docs.google.com/spreadsheets/d/1islkPyzHopWTIoxg0-dM3HQOr3kS3pGt", "RE-2.2964624999999996")</f>
        <v>RE-2.2964624999999996</v>
      </c>
      <c r="H623" s="44" t="str">
        <f>HYPERLINK("https://docs.google.com/spreadsheets/d/1zVjvfT6RpbwvYn6yWpuAddSDRlAINAtw", "RE-185.77807916666688")</f>
        <v>RE-185.77807916666688</v>
      </c>
      <c r="I623" s="44" t="str">
        <f>HYPERLINK("https://docs.google.com/spreadsheets/d/1ewYLB7mtvq5fAKMbAsl3sWPxvnH2wxIC", "RE-0.0")</f>
        <v>RE-0.0</v>
      </c>
      <c r="J623" s="44" t="str">
        <f>HYPERLINK("https://docs.google.com/spreadsheets/d/1fzRqa8h0YRCu-ovDMJX4WBbpjLMfzGWI", "RE-13.339133333333333")</f>
        <v>RE-13.339133333333333</v>
      </c>
      <c r="K623" s="44" t="str">
        <f>HYPERLINK("https://docs.google.com/spreadsheets/d/1K6vsnNStcKP2S40xNaYAm51KbvxwemIB", "RE-0.0")</f>
        <v>RE-0.0</v>
      </c>
      <c r="L623" s="44">
        <f>HYPERLINK("https://docs.google.com/spreadsheets/d/1iAWa94SoORPGqoo6NShJzxeVuGf_Hu5Z", 663.907876041665)</f>
        <v>663.907876</v>
      </c>
      <c r="M623" s="44" t="str">
        <f>HYPERLINK("https://docs.google.com/spreadsheets/d/1L9is9sCgkfECXj5TB0KVKX1JMd0Ev4yn", "RE-0.6492875")</f>
        <v>RE-0.6492875</v>
      </c>
      <c r="N623" s="44" t="str">
        <f>HYPERLINK("https://docs.google.com/spreadsheets/d/1HLX-eSu_BJQqgQ53LrkKSCQhY6EHsa90", "RE-1203.819568749998")</f>
        <v>RE-1203.819568749998</v>
      </c>
      <c r="O623" s="44" t="str">
        <f>HYPERLINK("https://docs.google.com/spreadsheets/d/1H32vq_aAl02KR7Nn_ZL1wuH1zCS5sEkN", "RE-6.970397916666668")</f>
        <v>RE-6.970397916666668</v>
      </c>
      <c r="P623" s="44">
        <f>HYPERLINK("https://docs.google.com/spreadsheets/d/1hJu_BkRJdhb8LMag4FSHxE94Df-Of-hN", 1184.99898645833)</f>
        <v>1184.998986</v>
      </c>
      <c r="Q623" s="44" t="str">
        <f>HYPERLINK("https://docs.google.com/spreadsheets/d/1PreUyD3h2uj-Z5T0xeRdeH_XsMKKZnj6", "RE-44.38380104166665")</f>
        <v>RE-44.38380104166665</v>
      </c>
      <c r="R623" s="44">
        <f>HYPERLINK("https://docs.google.com/spreadsheets/d/1bMNs-E5_oDJEv0yoCkIatmT_llkszQgY", 1265.42316770833)</f>
        <v>1265.423168</v>
      </c>
      <c r="S623" s="44" t="str">
        <f>HYPERLINK("https://docs.google.com/spreadsheets/d/1maaSONfyYTGspPVG5YuvJ4QDRow957Df", "RE-54.91045")</f>
        <v>RE-54.91045</v>
      </c>
      <c r="T623" s="44">
        <f>HYPERLINK("https://docs.google.com/spreadsheets/d/1ZUPwcWMQuo6GGLg7bEn9ltrObEkq54Ae", 514.732547916666)</f>
        <v>514.7325479</v>
      </c>
      <c r="U623" s="44" t="str">
        <f>HYPERLINK("https://docs.google.com/spreadsheets/d/1l4oJWfPSwq_I7H4H9LiVxUPDFqrQT0l8", "RE-50.64243749999999")</f>
        <v>RE-50.64243749999999</v>
      </c>
      <c r="V623" s="44" t="str">
        <f>HYPERLINK("https://docs.google.com/spreadsheets/d/1dAcroqJxufkeAzCRQMv6Ygrz5PH66g3L", "RE-12.060427083333334")</f>
        <v>RE-12.060427083333334</v>
      </c>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c r="BO623" s="43"/>
      <c r="BP623" s="43"/>
      <c r="BQ623" s="43"/>
      <c r="BR623" s="43"/>
      <c r="BS623" s="43"/>
      <c r="BT623" s="43"/>
      <c r="BU623" s="43"/>
      <c r="BV623" s="43"/>
      <c r="BW623" s="43"/>
      <c r="BX623" s="43"/>
      <c r="BY623" s="43"/>
      <c r="BZ623" s="43"/>
      <c r="CA623" s="43"/>
      <c r="CB623" s="43"/>
      <c r="CC623" s="43"/>
      <c r="CD623" s="43"/>
      <c r="CE623" s="43"/>
      <c r="CF623" s="43"/>
      <c r="CG623" s="43"/>
      <c r="CH623" s="43"/>
      <c r="CI623" s="43"/>
      <c r="CJ623" s="43"/>
      <c r="CK623" s="43"/>
      <c r="CL623" s="43"/>
      <c r="CM623" s="43"/>
      <c r="CN623" s="43"/>
      <c r="CO623" s="43"/>
      <c r="CP623" s="43"/>
      <c r="CQ623" s="43"/>
      <c r="CR623" s="43"/>
      <c r="CS623" s="43"/>
      <c r="CT623" s="43"/>
      <c r="CU623" s="43"/>
      <c r="CV623" s="43"/>
      <c r="CW623" s="43"/>
      <c r="CX623" s="43"/>
      <c r="CY623" s="43"/>
      <c r="CZ623" s="43"/>
      <c r="DA623" s="43"/>
      <c r="DB623" s="43"/>
      <c r="DC623" s="43"/>
      <c r="DD623" s="43"/>
      <c r="DE623" s="43"/>
      <c r="DF623" s="43"/>
      <c r="DG623" s="43"/>
      <c r="DH623" s="43"/>
      <c r="DI623" s="43"/>
      <c r="DJ623" s="43"/>
      <c r="DK623" s="43"/>
      <c r="DL623" s="43"/>
      <c r="DM623" s="43"/>
      <c r="DN623" s="43"/>
      <c r="DO623" s="43"/>
      <c r="DP623" s="43"/>
      <c r="DQ623" s="43"/>
      <c r="DR623" s="43"/>
      <c r="DS623" s="43"/>
      <c r="DT623" s="43"/>
      <c r="DU623" s="43"/>
      <c r="DV623" s="43"/>
      <c r="DW623" s="43"/>
      <c r="DX623" s="43"/>
      <c r="DY623" s="43"/>
      <c r="DZ623" s="43"/>
      <c r="EA623" s="43"/>
      <c r="EB623" s="43"/>
      <c r="EC623" s="43"/>
      <c r="ED623" s="43"/>
      <c r="EE623" s="43"/>
      <c r="EF623" s="43"/>
      <c r="EG623" s="43"/>
      <c r="EH623" s="43"/>
      <c r="EI623" s="43"/>
      <c r="EJ623" s="43"/>
      <c r="EK623" s="43"/>
      <c r="EL623" s="43"/>
      <c r="EM623" s="43"/>
      <c r="EN623" s="43"/>
      <c r="EO623" s="43"/>
      <c r="EP623" s="43"/>
      <c r="EQ623" s="43"/>
      <c r="ER623" s="43"/>
      <c r="ES623" s="43"/>
      <c r="ET623" s="43"/>
      <c r="EU623" s="43"/>
      <c r="EV623" s="43"/>
      <c r="EW623" s="43"/>
      <c r="EX623" s="43"/>
      <c r="EY623" s="43"/>
      <c r="EZ623" s="43"/>
      <c r="FA623" s="43"/>
      <c r="FB623" s="43"/>
      <c r="FC623" s="43"/>
      <c r="FD623" s="43"/>
      <c r="FE623" s="43"/>
      <c r="FF623" s="43"/>
      <c r="FG623" s="43"/>
      <c r="FH623" s="43"/>
    </row>
    <row r="624">
      <c r="A624" s="47" t="s">
        <v>28</v>
      </c>
      <c r="B624" s="47" t="s">
        <v>103</v>
      </c>
      <c r="C624" s="47" t="s">
        <v>13</v>
      </c>
      <c r="D624" s="43">
        <f t="shared" si="1"/>
        <v>3463.31</v>
      </c>
      <c r="E624" s="43"/>
      <c r="F624" s="44" t="str">
        <f>HYPERLINK("https://docs.google.com/spreadsheets/d/1Edy_k8iV3uKaEsRcNz4pbTcVQBAPZrhJ?usp=share_link", "RE-375.328")</f>
        <v>RE-375.328</v>
      </c>
      <c r="G624" s="44" t="str">
        <f>HYPERLINK("https://docs.google.com/spreadsheets/d/1mCBIri-v9Z5m1q8nnh9cbgO1BhuMVDiW?usp=share_link", "RE-2.20213")</f>
        <v>RE-2.20213</v>
      </c>
      <c r="H624" s="44" t="str">
        <f>HYPERLINK("https://docs.google.com/spreadsheets/d/16gdqWlnMvYk1wJDWXGGujVYqMwKF5Vsp?usp=share_link", "RE-177.848")</f>
        <v>RE-177.848</v>
      </c>
      <c r="I624" s="43"/>
      <c r="J624" s="44" t="str">
        <f>HYPERLINK("https://docs.google.com/spreadsheets/d/1thzNcFBtCSNJZyULAHLqoAnXeoWTFVhM?usp=share_link", "RE-12.7381")</f>
        <v>RE-12.7381</v>
      </c>
      <c r="K624" s="43"/>
      <c r="L624" s="44">
        <f>HYPERLINK("https://docs.google.com/spreadsheets/d/1lJT0L3m0RJeNHqRpN6Zpviyxdlg8-Fsc?usp=share_link", 642.315)</f>
        <v>642.315</v>
      </c>
      <c r="M624" s="44" t="str">
        <f>HYPERLINK("https://docs.google.com/spreadsheets/d/17aCjYnwa4cXngi1QTMiCXMPo0dgEeCL5?usp=share_link", "RE-0.5916")</f>
        <v>RE-0.5916</v>
      </c>
      <c r="N624" s="44" t="str">
        <f>HYPERLINK("https://docs.google.com/spreadsheets/d/166Ga0EvhheyTOFO7b3MaNLeA_m4QCZRz?usp=share_link", "RE-1162.41")</f>
        <v>RE-1162.41</v>
      </c>
      <c r="O624" s="44" t="str">
        <f>HYPERLINK("https://docs.google.com/spreadsheets/d/1ZBsVXcS-o9oRVaYsWA2G6nNMJoJFCwmU?usp=share_link", "RE-6.69882")</f>
        <v>RE-6.69882</v>
      </c>
      <c r="P624" s="44">
        <f>HYPERLINK("https://docs.google.com/spreadsheets/d/15QMMF_wY6Z2T27LX8H-dL1YKZo2kjpdo?usp=share_link", 1127.03)</f>
        <v>1127.03</v>
      </c>
      <c r="Q624" s="44" t="str">
        <f>HYPERLINK("https://docs.google.com/spreadsheets/d/1j1IK8wwIoXoKFgspykiWJ31t6ccZDqir?usp=share_link", "RE-41.9509")</f>
        <v>RE-41.9509</v>
      </c>
      <c r="R624" s="44">
        <f>HYPERLINK("https://docs.google.com/spreadsheets/d/1cRCtC5StGLC8CNPupkF1kOB27_r2J3C0?usp=share_link", 1205.05)</f>
        <v>1205.05</v>
      </c>
      <c r="S624" s="44" t="str">
        <f>HYPERLINK("https://docs.google.com/spreadsheets/d/1uj0aMhdjkUWaoJuijiHcKX1tnC_L3i9f?usp=share_link", "RE-51.9287")</f>
        <v>RE-51.9287</v>
      </c>
      <c r="T624" s="44">
        <f>HYPERLINK("https://docs.google.com/spreadsheets/d/1pTPK6bJ0LOEsbjhlucpSNVXGnnvASlle?usp=share_link", 488.915)</f>
        <v>488.915</v>
      </c>
      <c r="U624" s="44" t="str">
        <f>HYPERLINK("https://docs.google.com/spreadsheets/d/1KFSdBXootVt_GVFY0spXme2wtslbeeD6?usp=share_link", "RE-47.737")</f>
        <v>RE-47.737</v>
      </c>
      <c r="V624" s="44" t="str">
        <f>HYPERLINK("https://docs.google.com/spreadsheets/d/18Frfe8nKMB_qKPt06edlP9SIbPp6A8qp?usp=share_link", "RE-11.4364")</f>
        <v>RE-11.4364</v>
      </c>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c r="BO624" s="43"/>
      <c r="BP624" s="43"/>
      <c r="BQ624" s="43"/>
      <c r="BR624" s="43"/>
      <c r="BS624" s="43"/>
      <c r="BT624" s="43"/>
      <c r="BU624" s="43"/>
      <c r="BV624" s="43"/>
      <c r="BW624" s="43"/>
      <c r="BX624" s="43"/>
      <c r="BY624" s="43"/>
      <c r="BZ624" s="43"/>
      <c r="CA624" s="43"/>
      <c r="CB624" s="43"/>
      <c r="CC624" s="43"/>
      <c r="CD624" s="43"/>
      <c r="CE624" s="43"/>
      <c r="CF624" s="43"/>
      <c r="CG624" s="43"/>
      <c r="CH624" s="43"/>
      <c r="CI624" s="43"/>
      <c r="CJ624" s="43"/>
      <c r="CK624" s="43"/>
      <c r="CL624" s="43"/>
      <c r="CM624" s="43"/>
      <c r="CN624" s="43"/>
      <c r="CO624" s="43"/>
      <c r="CP624" s="43"/>
      <c r="CQ624" s="43"/>
      <c r="CR624" s="43"/>
      <c r="CS624" s="43"/>
      <c r="CT624" s="43"/>
      <c r="CU624" s="43"/>
      <c r="CV624" s="43"/>
      <c r="CW624" s="43"/>
      <c r="CX624" s="43"/>
      <c r="CY624" s="43"/>
      <c r="CZ624" s="43"/>
      <c r="DA624" s="43"/>
      <c r="DB624" s="43"/>
      <c r="DC624" s="43"/>
      <c r="DD624" s="43"/>
      <c r="DE624" s="43"/>
      <c r="DF624" s="43"/>
      <c r="DG624" s="43"/>
      <c r="DH624" s="43"/>
      <c r="DI624" s="43"/>
      <c r="DJ624" s="43"/>
      <c r="DK624" s="43"/>
      <c r="DL624" s="43"/>
      <c r="DM624" s="43"/>
      <c r="DN624" s="43"/>
      <c r="DO624" s="43"/>
      <c r="DP624" s="43"/>
      <c r="DQ624" s="43"/>
      <c r="DR624" s="43"/>
      <c r="DS624" s="43"/>
      <c r="DT624" s="43"/>
      <c r="DU624" s="43"/>
      <c r="DV624" s="43"/>
      <c r="DW624" s="43"/>
      <c r="DX624" s="43"/>
      <c r="DY624" s="43"/>
      <c r="DZ624" s="43"/>
      <c r="EA624" s="43"/>
      <c r="EB624" s="43"/>
      <c r="EC624" s="43"/>
      <c r="ED624" s="43"/>
      <c r="EE624" s="43"/>
      <c r="EF624" s="43"/>
      <c r="EG624" s="43"/>
      <c r="EH624" s="43"/>
      <c r="EI624" s="43"/>
      <c r="EJ624" s="43"/>
      <c r="EK624" s="43"/>
      <c r="EL624" s="43"/>
      <c r="EM624" s="43"/>
      <c r="EN624" s="43"/>
      <c r="EO624" s="43"/>
      <c r="EP624" s="43"/>
      <c r="EQ624" s="43"/>
      <c r="ER624" s="43"/>
      <c r="ES624" s="43"/>
      <c r="ET624" s="43"/>
      <c r="EU624" s="43"/>
      <c r="EV624" s="43"/>
      <c r="EW624" s="43"/>
      <c r="EX624" s="43"/>
      <c r="EY624" s="43"/>
      <c r="EZ624" s="43"/>
      <c r="FA624" s="43"/>
      <c r="FB624" s="43"/>
      <c r="FC624" s="43"/>
      <c r="FD624" s="43"/>
      <c r="FE624" s="43"/>
      <c r="FF624" s="43"/>
      <c r="FG624" s="43"/>
      <c r="FH624" s="43"/>
    </row>
    <row r="625">
      <c r="A625" s="47" t="s">
        <v>28</v>
      </c>
      <c r="B625" s="47" t="s">
        <v>103</v>
      </c>
      <c r="C625" s="47" t="s">
        <v>14</v>
      </c>
      <c r="D625" s="43">
        <f t="shared" si="1"/>
        <v>2998.846</v>
      </c>
      <c r="E625" s="43"/>
      <c r="F625" s="44" t="str">
        <f>HYPERLINK("https://docs.google.com/spreadsheets/d/1_3710Q8JVtQUA1tBpS3hMSqgt4nG-Jho?usp=share_link", "RE-336.596")</f>
        <v>RE-336.596</v>
      </c>
      <c r="G625" s="44" t="str">
        <f>HYPERLINK("https://docs.google.com/spreadsheets/d/1Gl_oe8f81dHEXBeZu9YR3BXbHc9mv9Me?usp=share_link", "RE-2.20213")</f>
        <v>RE-2.20213</v>
      </c>
      <c r="H625" s="44" t="str">
        <f>HYPERLINK("https://docs.google.com/spreadsheets/d/1Dup6-tXdeJjt6Z1xEOuxYh4NmtZdO7zY?usp=share_link", "RE-166.459")</f>
        <v>RE-166.459</v>
      </c>
      <c r="I625" s="43"/>
      <c r="J625" s="44" t="str">
        <f>HYPERLINK("https://docs.google.com/spreadsheets/d/1LycNGj4QN4hvgogGP1_2mVW6GGWr00BG?usp=share_link", "RE-12.1026")</f>
        <v>RE-12.1026</v>
      </c>
      <c r="K625" s="43"/>
      <c r="L625" s="44">
        <f>HYPERLINK("https://docs.google.com/spreadsheets/d/1pMVz6985YV_m-mfL2pby2K56kYmMrW9_?usp=share_link", 558.837)</f>
        <v>558.837</v>
      </c>
      <c r="M625" s="44" t="str">
        <f>HYPERLINK("https://docs.google.com/spreadsheets/d/1z9H0r2Late9rwZBfUcYWhPWqGKWlSOHH?usp=share_link", "RE-0.5916")</f>
        <v>RE-0.5916</v>
      </c>
      <c r="N625" s="44" t="str">
        <f>HYPERLINK("https://docs.google.com/spreadsheets/d/1UJxXQ9SDXykWcbJ5CZlTVCUI4d2KTH9s?usp=share_link", "RE-1017.15")</f>
        <v>RE-1017.15</v>
      </c>
      <c r="O625" s="44" t="str">
        <f>HYPERLINK("https://docs.google.com/spreadsheets/d/1kkjHzLN6gg6z55Yw7lXvI40XeivWZnrW?usp=share_link", "RE-6.06437")</f>
        <v>RE-6.06437</v>
      </c>
      <c r="P625" s="44">
        <f>HYPERLINK("https://docs.google.com/spreadsheets/d/1olhVgNslTjMysTZ2zHFBV1QYVl6LoSz9?usp=share_link", 977.76)</f>
        <v>977.76</v>
      </c>
      <c r="Q625" s="44" t="str">
        <f>HYPERLINK("https://docs.google.com/spreadsheets/d/1h1uszMCVaLGTxie7P3lmBp-zaSnCpYe-?usp=share_link", "RE-35.8607")</f>
        <v>RE-35.8607</v>
      </c>
      <c r="R625" s="44">
        <f>HYPERLINK("https://docs.google.com/spreadsheets/d/16Rz49rnO7Ufjf0fpDmBkO3sCac8IE098?usp=share_link", 1046.04)</f>
        <v>1046.04</v>
      </c>
      <c r="S625" s="44" t="str">
        <f>HYPERLINK("https://docs.google.com/spreadsheets/d/1ug2P4NpxTYcwCcXcUBmkffdIm5yemnTk?usp=share_link", "RE-45.7754")</f>
        <v>RE-45.7754</v>
      </c>
      <c r="T625" s="44">
        <f>HYPERLINK("https://docs.google.com/spreadsheets/d/1JWhPfuqpe-xxZoarF_3Zhu_qBl7GSAZx?usp=share_link", 416.209)</f>
        <v>416.209</v>
      </c>
      <c r="U625" s="44" t="str">
        <f>HYPERLINK("https://docs.google.com/spreadsheets/d/1ZXkuqZgC8kCm0B-2CsAr4qxMuMUGJbbM?usp=share_link", "RE-42.773")</f>
        <v>RE-42.773</v>
      </c>
      <c r="V625" s="44" t="str">
        <f>HYPERLINK("https://docs.google.com/spreadsheets/d/1TM9T34iMRutO-nEtyUlQkTANx50gNW1v?usp=share_link", "RE-7.74248")</f>
        <v>RE-7.74248</v>
      </c>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c r="BO625" s="43"/>
      <c r="BP625" s="43"/>
      <c r="BQ625" s="43"/>
      <c r="BR625" s="43"/>
      <c r="BS625" s="43"/>
      <c r="BT625" s="43"/>
      <c r="BU625" s="43"/>
      <c r="BV625" s="43"/>
      <c r="BW625" s="43"/>
      <c r="BX625" s="43"/>
      <c r="BY625" s="43"/>
      <c r="BZ625" s="43"/>
      <c r="CA625" s="43"/>
      <c r="CB625" s="43"/>
      <c r="CC625" s="43"/>
      <c r="CD625" s="43"/>
      <c r="CE625" s="43"/>
      <c r="CF625" s="43"/>
      <c r="CG625" s="43"/>
      <c r="CH625" s="43"/>
      <c r="CI625" s="43"/>
      <c r="CJ625" s="43"/>
      <c r="CK625" s="43"/>
      <c r="CL625" s="43"/>
      <c r="CM625" s="43"/>
      <c r="CN625" s="43"/>
      <c r="CO625" s="43"/>
      <c r="CP625" s="43"/>
      <c r="CQ625" s="43"/>
      <c r="CR625" s="43"/>
      <c r="CS625" s="43"/>
      <c r="CT625" s="43"/>
      <c r="CU625" s="43"/>
      <c r="CV625" s="43"/>
      <c r="CW625" s="43"/>
      <c r="CX625" s="43"/>
      <c r="CY625" s="43"/>
      <c r="CZ625" s="43"/>
      <c r="DA625" s="43"/>
      <c r="DB625" s="43"/>
      <c r="DC625" s="43"/>
      <c r="DD625" s="43"/>
      <c r="DE625" s="43"/>
      <c r="DF625" s="43"/>
      <c r="DG625" s="43"/>
      <c r="DH625" s="43"/>
      <c r="DI625" s="43"/>
      <c r="DJ625" s="43"/>
      <c r="DK625" s="43"/>
      <c r="DL625" s="43"/>
      <c r="DM625" s="43"/>
      <c r="DN625" s="43"/>
      <c r="DO625" s="43"/>
      <c r="DP625" s="43"/>
      <c r="DQ625" s="43"/>
      <c r="DR625" s="43"/>
      <c r="DS625" s="43"/>
      <c r="DT625" s="43"/>
      <c r="DU625" s="43"/>
      <c r="DV625" s="43"/>
      <c r="DW625" s="43"/>
      <c r="DX625" s="43"/>
      <c r="DY625" s="43"/>
      <c r="DZ625" s="43"/>
      <c r="EA625" s="43"/>
      <c r="EB625" s="43"/>
      <c r="EC625" s="43"/>
      <c r="ED625" s="43"/>
      <c r="EE625" s="43"/>
      <c r="EF625" s="43"/>
      <c r="EG625" s="43"/>
      <c r="EH625" s="43"/>
      <c r="EI625" s="43"/>
      <c r="EJ625" s="43"/>
      <c r="EK625" s="43"/>
      <c r="EL625" s="43"/>
      <c r="EM625" s="43"/>
      <c r="EN625" s="43"/>
      <c r="EO625" s="43"/>
      <c r="EP625" s="43"/>
      <c r="EQ625" s="43"/>
      <c r="ER625" s="43"/>
      <c r="ES625" s="43"/>
      <c r="ET625" s="43"/>
      <c r="EU625" s="43"/>
      <c r="EV625" s="43"/>
      <c r="EW625" s="43"/>
      <c r="EX625" s="43"/>
      <c r="EY625" s="43"/>
      <c r="EZ625" s="43"/>
      <c r="FA625" s="43"/>
      <c r="FB625" s="43"/>
      <c r="FC625" s="43"/>
      <c r="FD625" s="43"/>
      <c r="FE625" s="43"/>
      <c r="FF625" s="43"/>
      <c r="FG625" s="43"/>
      <c r="FH625" s="43"/>
    </row>
    <row r="626">
      <c r="A626" s="48" t="s">
        <v>28</v>
      </c>
      <c r="B626" s="48" t="s">
        <v>103</v>
      </c>
      <c r="C626" s="48" t="s">
        <v>15</v>
      </c>
      <c r="D626" s="36">
        <f t="shared" si="1"/>
        <v>3463.31</v>
      </c>
      <c r="E626" s="36"/>
      <c r="F626" s="37" t="str">
        <f>HYPERLINK("https://docs.google.com/spreadsheets/d/1TykBC368cXIkisthpqOBCHqzqZYpOlo2?usp=share_link", "RE-375.328")</f>
        <v>RE-375.328</v>
      </c>
      <c r="G626" s="37" t="str">
        <f>HYPERLINK("https://docs.google.com/spreadsheets/d/1_9NW_G2QjbDdHDObqAeFhb7A3fCjyVBD?usp=share_link", "RE-2.20213")</f>
        <v>RE-2.20213</v>
      </c>
      <c r="H626" s="37" t="str">
        <f>HYPERLINK("https://docs.google.com/spreadsheets/d/1YtZvcVjM7TIsfanr7R5CRkXDTE7-4cR5?usp=share_link", "RE-177.848")</f>
        <v>RE-177.848</v>
      </c>
      <c r="I626" s="36"/>
      <c r="J626" s="37" t="str">
        <f>HYPERLINK("https://docs.google.com/spreadsheets/d/1c4Mt9ihVf2vRa6gtfnMDTJUz1CCfS2M9?usp=share_link", "RE-12.7381")</f>
        <v>RE-12.7381</v>
      </c>
      <c r="K626" s="36"/>
      <c r="L626" s="37">
        <f>HYPERLINK("https://docs.google.com/spreadsheets/d/1BJGH6LYSxkJxBl2WRVcbAI4ymHGxErsW?usp=share_link", 642.315)</f>
        <v>642.315</v>
      </c>
      <c r="M626" s="37" t="str">
        <f>HYPERLINK("https://docs.google.com/spreadsheets/d/1yKp_N1_uXwj4_G00tdAKTOXeaEIxFwlL?usp=share_link", "RE-0.5916")</f>
        <v>RE-0.5916</v>
      </c>
      <c r="N626" s="37" t="str">
        <f>HYPERLINK("https://docs.google.com/spreadsheets/d/1Phgo1wZ4HYyTvkQ2I9zNwekReMPD4x95?usp=share_link", "RE-1162.41")</f>
        <v>RE-1162.41</v>
      </c>
      <c r="O626" s="37" t="str">
        <f>HYPERLINK("https://docs.google.com/spreadsheets/d/1sWHjFn__eYj0m_eoURKZH-ch2Z9SIx52?usp=share_link", "RE-6.69882")</f>
        <v>RE-6.69882</v>
      </c>
      <c r="P626" s="37">
        <f>HYPERLINK("https://docs.google.com/spreadsheets/d/19NHts5xuWXki9mKfpvETFA0rM8qSY_u2?usp=share_link", 1127.03)</f>
        <v>1127.03</v>
      </c>
      <c r="Q626" s="37" t="str">
        <f>HYPERLINK("https://docs.google.com/spreadsheets/d/1sFF9Dlta1Pja59LIXu3nblzNP1cl4oN5?usp=share_link", "RE-41.9509")</f>
        <v>RE-41.9509</v>
      </c>
      <c r="R626" s="37">
        <f>HYPERLINK("https://docs.google.com/spreadsheets/d/1UbU2woyVffBtFCLTZ4Iu0zsijwR0m9Se?usp=share_link", 1205.05)</f>
        <v>1205.05</v>
      </c>
      <c r="S626" s="37" t="str">
        <f>HYPERLINK("https://docs.google.com/spreadsheets/d/1ShzwgqZuvXslwwAGYJgASumR2FF67fFH?usp=share_link", "RE-51.9287")</f>
        <v>RE-51.9287</v>
      </c>
      <c r="T626" s="37">
        <f>HYPERLINK("https://docs.google.com/spreadsheets/d/1DQjllGvSDc5G14Lmt6ajYxknL9GC3EgW?usp=share_link", 488.915)</f>
        <v>488.915</v>
      </c>
      <c r="U626" s="37" t="str">
        <f>HYPERLINK("https://docs.google.com/spreadsheets/d/1_G8RsZCsM2JXSKN1V9DC3-9dE-J6riu9?usp=share_link", "RE-47.737")</f>
        <v>RE-47.737</v>
      </c>
      <c r="V626" s="37" t="str">
        <f>HYPERLINK("https://docs.google.com/spreadsheets/d/1LfV9cZZs-okMMM70o6IovQ1bWkEbNm8l?usp=share_link", "RE-11.4364")</f>
        <v>RE-11.4364</v>
      </c>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6"/>
      <c r="AZ626" s="36"/>
      <c r="BA626" s="36"/>
      <c r="BB626" s="36"/>
      <c r="BC626" s="36"/>
      <c r="BD626" s="36"/>
      <c r="BE626" s="36"/>
      <c r="BF626" s="36"/>
      <c r="BG626" s="36"/>
      <c r="BH626" s="36"/>
      <c r="BI626" s="36"/>
      <c r="BJ626" s="36"/>
      <c r="BK626" s="36"/>
      <c r="BL626" s="36"/>
      <c r="BM626" s="36"/>
      <c r="BN626" s="36"/>
      <c r="BO626" s="36"/>
      <c r="BP626" s="36"/>
      <c r="BQ626" s="36"/>
      <c r="BR626" s="36"/>
      <c r="BS626" s="36"/>
      <c r="BT626" s="36"/>
      <c r="BU626" s="36"/>
      <c r="BV626" s="36"/>
      <c r="BW626" s="36"/>
      <c r="BX626" s="36"/>
      <c r="BY626" s="36"/>
      <c r="BZ626" s="36"/>
      <c r="CA626" s="36"/>
      <c r="CB626" s="36"/>
      <c r="CC626" s="36"/>
      <c r="CD626" s="36"/>
      <c r="CE626" s="36"/>
      <c r="CF626" s="36"/>
      <c r="CG626" s="36"/>
      <c r="CH626" s="36"/>
      <c r="CI626" s="36"/>
      <c r="CJ626" s="36"/>
      <c r="CK626" s="36"/>
      <c r="CL626" s="36"/>
      <c r="CM626" s="36"/>
      <c r="CN626" s="36"/>
      <c r="CO626" s="36"/>
      <c r="CP626" s="36"/>
      <c r="CQ626" s="36"/>
      <c r="CR626" s="36"/>
      <c r="CS626" s="36"/>
      <c r="CT626" s="36"/>
      <c r="CU626" s="36"/>
      <c r="CV626" s="36"/>
      <c r="CW626" s="36"/>
      <c r="CX626" s="36"/>
      <c r="CY626" s="36"/>
      <c r="CZ626" s="36"/>
      <c r="DA626" s="36"/>
      <c r="DB626" s="36"/>
      <c r="DC626" s="36"/>
      <c r="DD626" s="36"/>
      <c r="DE626" s="36"/>
      <c r="DF626" s="36"/>
      <c r="DG626" s="36"/>
      <c r="DH626" s="36"/>
      <c r="DI626" s="36"/>
      <c r="DJ626" s="36"/>
      <c r="DK626" s="36"/>
      <c r="DL626" s="36"/>
      <c r="DM626" s="36"/>
      <c r="DN626" s="36"/>
      <c r="DO626" s="36"/>
      <c r="DP626" s="36"/>
      <c r="DQ626" s="36"/>
      <c r="DR626" s="36"/>
      <c r="DS626" s="36"/>
      <c r="DT626" s="36"/>
      <c r="DU626" s="36"/>
      <c r="DV626" s="36"/>
      <c r="DW626" s="36"/>
      <c r="DX626" s="36"/>
      <c r="DY626" s="36"/>
      <c r="DZ626" s="36"/>
      <c r="EA626" s="36"/>
      <c r="EB626" s="36"/>
      <c r="EC626" s="36"/>
      <c r="ED626" s="36"/>
      <c r="EE626" s="36"/>
      <c r="EF626" s="36"/>
      <c r="EG626" s="36"/>
      <c r="EH626" s="36"/>
      <c r="EI626" s="36"/>
      <c r="EJ626" s="36"/>
      <c r="EK626" s="36"/>
      <c r="EL626" s="36"/>
      <c r="EM626" s="36"/>
      <c r="EN626" s="36"/>
      <c r="EO626" s="36"/>
      <c r="EP626" s="36"/>
      <c r="EQ626" s="36"/>
      <c r="ER626" s="36"/>
      <c r="ES626" s="36"/>
      <c r="ET626" s="36"/>
      <c r="EU626" s="36"/>
      <c r="EV626" s="36"/>
      <c r="EW626" s="36"/>
      <c r="EX626" s="36"/>
      <c r="EY626" s="36"/>
      <c r="EZ626" s="36"/>
      <c r="FA626" s="36"/>
      <c r="FB626" s="36"/>
      <c r="FC626" s="36"/>
      <c r="FD626" s="36"/>
      <c r="FE626" s="36"/>
      <c r="FF626" s="36"/>
      <c r="FG626" s="36"/>
      <c r="FH626" s="36"/>
    </row>
    <row r="627">
      <c r="A627" s="45" t="s">
        <v>28</v>
      </c>
      <c r="B627" s="45" t="s">
        <v>104</v>
      </c>
      <c r="C627" s="46" t="str">
        <f>HYPERLINK("https://docs.google.com/spreadsheets/d/1Vi1CQAVCpOgbjUsYqIZgEzxZB8EaG2nq/edit?usp=share_link&amp;ouid=106501987799020758802&amp;rtpof=true&amp;sd=true", "Raw Delivered")</f>
        <v>Raw Delivered</v>
      </c>
      <c r="D627" s="40">
        <f t="shared" si="1"/>
        <v>5345.362279</v>
      </c>
      <c r="E627" s="40"/>
      <c r="F627" s="41">
        <f>HYPERLINK("https://docs.google.com/spreadsheets/d/1VGhRRb1MxL4OaxilBwtvSlMA_B7I4EMH", 777.268113541668)</f>
        <v>777.2681135</v>
      </c>
      <c r="G627" s="40"/>
      <c r="H627" s="41">
        <f>HYPERLINK("https://docs.google.com/spreadsheets/d/1vTXQgR8Qcd23YIYC8lnjvTrKlnsVFoTx", 233.525918749999)</f>
        <v>233.5259187</v>
      </c>
      <c r="I627" s="40"/>
      <c r="J627" s="41">
        <f>HYPERLINK("https://docs.google.com/spreadsheets/d/1_SVUXbYDIiCH4Ogj7UHVvVZhW7NWfOQk", 80.1726520833333)</f>
        <v>80.17265208</v>
      </c>
      <c r="K627" s="40"/>
      <c r="L627" s="41">
        <f t="shared" ref="L627:L628" si="314">HYPERLINK("https://docs.google.com/spreadsheets/d/1h9luPwZ8uN9bzEHoT5EuddqeH0L_TAuD", 621.724585416667)</f>
        <v>621.7245854</v>
      </c>
      <c r="M627" s="40"/>
      <c r="N627" s="41">
        <f>HYPERLINK("https://docs.google.com/spreadsheets/d/1VzO2CDAVf71Lq811KiIz5bFkjfcMWVCc", 1316.17940416666)</f>
        <v>1316.179404</v>
      </c>
      <c r="O627" s="40"/>
      <c r="P627" s="41">
        <f t="shared" ref="P627:P628" si="315">HYPERLINK("https://docs.google.com/spreadsheets/d/1kOo56Er8DtwgLVkiORbNMuurc4HfrPhQ", 1117.109771875)</f>
        <v>1117.109772</v>
      </c>
      <c r="Q627" s="40"/>
      <c r="R627" s="41">
        <f t="shared" ref="R627:R628" si="316">HYPERLINK("https://docs.google.com/spreadsheets/d/1qH6uJ5EogEZHS-QnKjEe-0QvWmd1WefI", 809.303740625)</f>
        <v>809.3037406</v>
      </c>
      <c r="S627" s="40"/>
      <c r="T627" s="41">
        <f t="shared" ref="T627:T628" si="317">HYPERLINK("https://docs.google.com/spreadsheets/d/1C9QnN661NeG-CxKO3ocbkdcDzAH-iTpT", 390.078092708334)</f>
        <v>390.0780927</v>
      </c>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0"/>
      <c r="FG627" s="40"/>
      <c r="FH627" s="40"/>
    </row>
    <row r="628">
      <c r="A628" s="47" t="s">
        <v>28</v>
      </c>
      <c r="B628" s="47" t="s">
        <v>104</v>
      </c>
      <c r="C628" s="47" t="s">
        <v>9</v>
      </c>
      <c r="D628" s="43">
        <f t="shared" si="1"/>
        <v>2938.216191</v>
      </c>
      <c r="E628" s="43"/>
      <c r="F628" s="44" t="str">
        <f>HYPERLINK("https://docs.google.com/spreadsheets/d/1VGhRRb1MxL4OaxilBwtvSlMA_B7I4EMH", "RE-777.2681135416684")</f>
        <v>RE-777.2681135416684</v>
      </c>
      <c r="G628" s="43"/>
      <c r="H628" s="44" t="str">
        <f>HYPERLINK("https://docs.google.com/spreadsheets/d/1vTXQgR8Qcd23YIYC8lnjvTrKlnsVFoTx", "RE-233.52591874999973")</f>
        <v>RE-233.52591874999973</v>
      </c>
      <c r="I628" s="43"/>
      <c r="J628" s="44" t="str">
        <f>HYPERLINK("https://docs.google.com/spreadsheets/d/1_SVUXbYDIiCH4Ogj7UHVvVZhW7NWfOQk", "RE-80.17265208333335")</f>
        <v>RE-80.17265208333335</v>
      </c>
      <c r="K628" s="43"/>
      <c r="L628" s="44">
        <f t="shared" si="314"/>
        <v>621.7245854</v>
      </c>
      <c r="M628" s="43"/>
      <c r="N628" s="44" t="str">
        <f>HYPERLINK("https://docs.google.com/spreadsheets/d/1VzO2CDAVf71Lq811KiIz5bFkjfcMWVCc", "RE-1316.179404166669")</f>
        <v>RE-1316.179404166669</v>
      </c>
      <c r="O628" s="43"/>
      <c r="P628" s="44">
        <f t="shared" si="315"/>
        <v>1117.109772</v>
      </c>
      <c r="Q628" s="43"/>
      <c r="R628" s="44">
        <f t="shared" si="316"/>
        <v>809.3037406</v>
      </c>
      <c r="S628" s="43"/>
      <c r="T628" s="44">
        <f t="shared" si="317"/>
        <v>390.0780927</v>
      </c>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c r="BO628" s="43"/>
      <c r="BP628" s="43"/>
      <c r="BQ628" s="43"/>
      <c r="BR628" s="43"/>
      <c r="BS628" s="43"/>
      <c r="BT628" s="43"/>
      <c r="BU628" s="43"/>
      <c r="BV628" s="43"/>
      <c r="BW628" s="43"/>
      <c r="BX628" s="43"/>
      <c r="BY628" s="43"/>
      <c r="BZ628" s="43"/>
      <c r="CA628" s="43"/>
      <c r="CB628" s="43"/>
      <c r="CC628" s="43"/>
      <c r="CD628" s="43"/>
      <c r="CE628" s="43"/>
      <c r="CF628" s="43"/>
      <c r="CG628" s="43"/>
      <c r="CH628" s="43"/>
      <c r="CI628" s="43"/>
      <c r="CJ628" s="43"/>
      <c r="CK628" s="43"/>
      <c r="CL628" s="43"/>
      <c r="CM628" s="43"/>
      <c r="CN628" s="43"/>
      <c r="CO628" s="43"/>
      <c r="CP628" s="43"/>
      <c r="CQ628" s="43"/>
      <c r="CR628" s="43"/>
      <c r="CS628" s="43"/>
      <c r="CT628" s="43"/>
      <c r="CU628" s="43"/>
      <c r="CV628" s="43"/>
      <c r="CW628" s="43"/>
      <c r="CX628" s="43"/>
      <c r="CY628" s="43"/>
      <c r="CZ628" s="43"/>
      <c r="DA628" s="43"/>
      <c r="DB628" s="43"/>
      <c r="DC628" s="43"/>
      <c r="DD628" s="43"/>
      <c r="DE628" s="43"/>
      <c r="DF628" s="43"/>
      <c r="DG628" s="43"/>
      <c r="DH628" s="43"/>
      <c r="DI628" s="43"/>
      <c r="DJ628" s="43"/>
      <c r="DK628" s="43"/>
      <c r="DL628" s="43"/>
      <c r="DM628" s="43"/>
      <c r="DN628" s="43"/>
      <c r="DO628" s="43"/>
      <c r="DP628" s="43"/>
      <c r="DQ628" s="43"/>
      <c r="DR628" s="43"/>
      <c r="DS628" s="43"/>
      <c r="DT628" s="43"/>
      <c r="DU628" s="43"/>
      <c r="DV628" s="43"/>
      <c r="DW628" s="43"/>
      <c r="DX628" s="43"/>
      <c r="DY628" s="43"/>
      <c r="DZ628" s="43"/>
      <c r="EA628" s="43"/>
      <c r="EB628" s="43"/>
      <c r="EC628" s="43"/>
      <c r="ED628" s="43"/>
      <c r="EE628" s="43"/>
      <c r="EF628" s="43"/>
      <c r="EG628" s="43"/>
      <c r="EH628" s="43"/>
      <c r="EI628" s="43"/>
      <c r="EJ628" s="43"/>
      <c r="EK628" s="43"/>
      <c r="EL628" s="43"/>
      <c r="EM628" s="43"/>
      <c r="EN628" s="43"/>
      <c r="EO628" s="43"/>
      <c r="EP628" s="43"/>
      <c r="EQ628" s="43"/>
      <c r="ER628" s="43"/>
      <c r="ES628" s="43"/>
      <c r="ET628" s="43"/>
      <c r="EU628" s="43"/>
      <c r="EV628" s="43"/>
      <c r="EW628" s="43"/>
      <c r="EX628" s="43"/>
      <c r="EY628" s="43"/>
      <c r="EZ628" s="43"/>
      <c r="FA628" s="43"/>
      <c r="FB628" s="43"/>
      <c r="FC628" s="43"/>
      <c r="FD628" s="43"/>
      <c r="FE628" s="43"/>
      <c r="FF628" s="43"/>
      <c r="FG628" s="43"/>
      <c r="FH628" s="43"/>
    </row>
    <row r="629">
      <c r="A629" s="47" t="s">
        <v>28</v>
      </c>
      <c r="B629" s="47" t="s">
        <v>104</v>
      </c>
      <c r="C629" s="47" t="s">
        <v>10</v>
      </c>
      <c r="D629" s="43">
        <f t="shared" si="1"/>
        <v>505.5514437</v>
      </c>
      <c r="E629" s="43"/>
      <c r="F629" s="43"/>
      <c r="G629" s="44">
        <f>HYPERLINK("https://docs.google.com/spreadsheets/d/11x5jYAMUVO30T8MGw3Apw2vAQIroZj6y", 96.8331604166666)</f>
        <v>96.83316042</v>
      </c>
      <c r="H629" s="43"/>
      <c r="I629" s="44">
        <f>HYPERLINK("https://docs.google.com/spreadsheets/d/1cZ45QZZMokPQjlE2lOH-oTqrTV3L9FTk", 23.2713291666666)</f>
        <v>23.27132917</v>
      </c>
      <c r="J629" s="43"/>
      <c r="K629" s="44">
        <f>HYPERLINK("https://docs.google.com/spreadsheets/d/17bo752huNLTSJItf4h7DKfldGk6_ivTg", 11.9194895833333)</f>
        <v>11.91948958</v>
      </c>
      <c r="L629" s="43"/>
      <c r="M629" s="44">
        <f>HYPERLINK("https://docs.google.com/spreadsheets/d/10N6VAvZziyl-wRIJRge-nyiMi2sFldym", 16.93976875)</f>
        <v>16.93976875</v>
      </c>
      <c r="N629" s="43"/>
      <c r="O629" s="44">
        <f>HYPERLINK("https://docs.google.com/spreadsheets/d/1kh19_W-ry1IaGv13dw5SLXjYqwitKmph", 115.605536458333)</f>
        <v>115.6055365</v>
      </c>
      <c r="P629" s="43"/>
      <c r="Q629" s="44">
        <f>HYPERLINK("https://docs.google.com/spreadsheets/d/1bM9MZQU200tW94D8Xuzk5VhzHUODLInT", 125.009780208333)</f>
        <v>125.0097802</v>
      </c>
      <c r="R629" s="43"/>
      <c r="S629" s="44">
        <f>HYPERLINK("https://docs.google.com/spreadsheets/d/16T5m1IBx7M4dcUqLxc6J7v3PE_8_9GYO", 63.772171875)</f>
        <v>63.77217188</v>
      </c>
      <c r="T629" s="43"/>
      <c r="U629" s="44">
        <f>HYPERLINK("https://docs.google.com/spreadsheets/d/1x3D_1eqrwD935J3E97dPeGgpMbtMnyNZ", 44.6078114583333)</f>
        <v>44.60781146</v>
      </c>
      <c r="V629" s="44">
        <f>HYPERLINK("https://docs.google.com/spreadsheets/d/1KdwA2740CRGiPDWC9CrpdRaxIhlbxfip", 7.59239583333333)</f>
        <v>7.592395833</v>
      </c>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c r="BO629" s="43"/>
      <c r="BP629" s="43"/>
      <c r="BQ629" s="43"/>
      <c r="BR629" s="43"/>
      <c r="BS629" s="43"/>
      <c r="BT629" s="43"/>
      <c r="BU629" s="43"/>
      <c r="BV629" s="43"/>
      <c r="BW629" s="43"/>
      <c r="BX629" s="43"/>
      <c r="BY629" s="43"/>
      <c r="BZ629" s="43"/>
      <c r="CA629" s="43"/>
      <c r="CB629" s="43"/>
      <c r="CC629" s="43"/>
      <c r="CD629" s="43"/>
      <c r="CE629" s="43"/>
      <c r="CF629" s="43"/>
      <c r="CG629" s="43"/>
      <c r="CH629" s="43"/>
      <c r="CI629" s="43"/>
      <c r="CJ629" s="43"/>
      <c r="CK629" s="43"/>
      <c r="CL629" s="43"/>
      <c r="CM629" s="43"/>
      <c r="CN629" s="43"/>
      <c r="CO629" s="43"/>
      <c r="CP629" s="43"/>
      <c r="CQ629" s="43"/>
      <c r="CR629" s="43"/>
      <c r="CS629" s="43"/>
      <c r="CT629" s="43"/>
      <c r="CU629" s="43"/>
      <c r="CV629" s="43"/>
      <c r="CW629" s="43"/>
      <c r="CX629" s="43"/>
      <c r="CY629" s="43"/>
      <c r="CZ629" s="43"/>
      <c r="DA629" s="43"/>
      <c r="DB629" s="43"/>
      <c r="DC629" s="43"/>
      <c r="DD629" s="43"/>
      <c r="DE629" s="43"/>
      <c r="DF629" s="43"/>
      <c r="DG629" s="43"/>
      <c r="DH629" s="43"/>
      <c r="DI629" s="43"/>
      <c r="DJ629" s="43"/>
      <c r="DK629" s="43"/>
      <c r="DL629" s="43"/>
      <c r="DM629" s="43"/>
      <c r="DN629" s="43"/>
      <c r="DO629" s="43"/>
      <c r="DP629" s="43"/>
      <c r="DQ629" s="43"/>
      <c r="DR629" s="43"/>
      <c r="DS629" s="43"/>
      <c r="DT629" s="43"/>
      <c r="DU629" s="43"/>
      <c r="DV629" s="43"/>
      <c r="DW629" s="43"/>
      <c r="DX629" s="43"/>
      <c r="DY629" s="43"/>
      <c r="DZ629" s="43"/>
      <c r="EA629" s="43"/>
      <c r="EB629" s="43"/>
      <c r="EC629" s="43"/>
      <c r="ED629" s="43"/>
      <c r="EE629" s="43"/>
      <c r="EF629" s="43"/>
      <c r="EG629" s="43"/>
      <c r="EH629" s="43"/>
      <c r="EI629" s="43"/>
      <c r="EJ629" s="43"/>
      <c r="EK629" s="43"/>
      <c r="EL629" s="43"/>
      <c r="EM629" s="43"/>
      <c r="EN629" s="43"/>
      <c r="EO629" s="43"/>
      <c r="EP629" s="43"/>
      <c r="EQ629" s="43"/>
      <c r="ER629" s="43"/>
      <c r="ES629" s="43"/>
      <c r="ET629" s="43"/>
      <c r="EU629" s="43"/>
      <c r="EV629" s="43"/>
      <c r="EW629" s="43"/>
      <c r="EX629" s="43"/>
      <c r="EY629" s="43"/>
      <c r="EZ629" s="43"/>
      <c r="FA629" s="43"/>
      <c r="FB629" s="43"/>
      <c r="FC629" s="43"/>
      <c r="FD629" s="43"/>
      <c r="FE629" s="43"/>
      <c r="FF629" s="43"/>
      <c r="FG629" s="43"/>
      <c r="FH629" s="43"/>
    </row>
    <row r="630">
      <c r="A630" s="47" t="s">
        <v>28</v>
      </c>
      <c r="B630" s="47" t="s">
        <v>104</v>
      </c>
      <c r="C630" s="47" t="s">
        <v>11</v>
      </c>
      <c r="D630" s="43">
        <f t="shared" si="1"/>
        <v>0</v>
      </c>
      <c r="E630" s="43"/>
      <c r="F630" s="43"/>
      <c r="G630" s="44" t="str">
        <f>HYPERLINK("https://docs.google.com/spreadsheets/d/11x5jYAMUVO30T8MGw3Apw2vAQIroZj6y", "RE-96.83316041666667")</f>
        <v>RE-96.83316041666667</v>
      </c>
      <c r="H630" s="43"/>
      <c r="I630" s="44" t="str">
        <f>HYPERLINK("https://docs.google.com/spreadsheets/d/1cZ45QZZMokPQjlE2lOH-oTqrTV3L9FTk", "RE-23.27132916666666")</f>
        <v>RE-23.27132916666666</v>
      </c>
      <c r="J630" s="43"/>
      <c r="K630" s="44" t="str">
        <f>HYPERLINK("https://docs.google.com/spreadsheets/d/17bo752huNLTSJItf4h7DKfldGk6_ivTg", "RE-11.919489583333332")</f>
        <v>RE-11.919489583333332</v>
      </c>
      <c r="L630" s="43"/>
      <c r="M630" s="44" t="str">
        <f>HYPERLINK("https://docs.google.com/spreadsheets/d/10N6VAvZziyl-wRIJRge-nyiMi2sFldym", "RE-16.93976875")</f>
        <v>RE-16.93976875</v>
      </c>
      <c r="N630" s="43"/>
      <c r="O630" s="44" t="str">
        <f>HYPERLINK("https://docs.google.com/spreadsheets/d/1kh19_W-ry1IaGv13dw5SLXjYqwitKmph", "RE-115.60553645833336")</f>
        <v>RE-115.60553645833336</v>
      </c>
      <c r="P630" s="43"/>
      <c r="Q630" s="44" t="str">
        <f>HYPERLINK("https://docs.google.com/spreadsheets/d/1bM9MZQU200tW94D8Xuzk5VhzHUODLInT", "RE-125.00978020833321")</f>
        <v>RE-125.00978020833321</v>
      </c>
      <c r="R630" s="43"/>
      <c r="S630" s="44" t="str">
        <f>HYPERLINK("https://docs.google.com/spreadsheets/d/16T5m1IBx7M4dcUqLxc6J7v3PE_8_9GYO", "RE-63.772171875")</f>
        <v>RE-63.772171875</v>
      </c>
      <c r="T630" s="43"/>
      <c r="U630" s="44" t="str">
        <f>HYPERLINK("https://docs.google.com/spreadsheets/d/1x3D_1eqrwD935J3E97dPeGgpMbtMnyNZ", "RE-44.607811458333344")</f>
        <v>RE-44.607811458333344</v>
      </c>
      <c r="V630" s="44" t="str">
        <f>HYPERLINK("https://docs.google.com/spreadsheets/d/1KdwA2740CRGiPDWC9CrpdRaxIhlbxfip", "RE-7.592395833333331")</f>
        <v>RE-7.592395833333331</v>
      </c>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c r="BO630" s="43"/>
      <c r="BP630" s="43"/>
      <c r="BQ630" s="43"/>
      <c r="BR630" s="43"/>
      <c r="BS630" s="43"/>
      <c r="BT630" s="43"/>
      <c r="BU630" s="43"/>
      <c r="BV630" s="43"/>
      <c r="BW630" s="43"/>
      <c r="BX630" s="43"/>
      <c r="BY630" s="43"/>
      <c r="BZ630" s="43"/>
      <c r="CA630" s="43"/>
      <c r="CB630" s="43"/>
      <c r="CC630" s="43"/>
      <c r="CD630" s="43"/>
      <c r="CE630" s="43"/>
      <c r="CF630" s="43"/>
      <c r="CG630" s="43"/>
      <c r="CH630" s="43"/>
      <c r="CI630" s="43"/>
      <c r="CJ630" s="43"/>
      <c r="CK630" s="43"/>
      <c r="CL630" s="43"/>
      <c r="CM630" s="43"/>
      <c r="CN630" s="43"/>
      <c r="CO630" s="43"/>
      <c r="CP630" s="43"/>
      <c r="CQ630" s="43"/>
      <c r="CR630" s="43"/>
      <c r="CS630" s="43"/>
      <c r="CT630" s="43"/>
      <c r="CU630" s="43"/>
      <c r="CV630" s="43"/>
      <c r="CW630" s="43"/>
      <c r="CX630" s="43"/>
      <c r="CY630" s="43"/>
      <c r="CZ630" s="43"/>
      <c r="DA630" s="43"/>
      <c r="DB630" s="43"/>
      <c r="DC630" s="43"/>
      <c r="DD630" s="43"/>
      <c r="DE630" s="43"/>
      <c r="DF630" s="43"/>
      <c r="DG630" s="43"/>
      <c r="DH630" s="43"/>
      <c r="DI630" s="43"/>
      <c r="DJ630" s="43"/>
      <c r="DK630" s="43"/>
      <c r="DL630" s="43"/>
      <c r="DM630" s="43"/>
      <c r="DN630" s="43"/>
      <c r="DO630" s="43"/>
      <c r="DP630" s="43"/>
      <c r="DQ630" s="43"/>
      <c r="DR630" s="43"/>
      <c r="DS630" s="43"/>
      <c r="DT630" s="43"/>
      <c r="DU630" s="43"/>
      <c r="DV630" s="43"/>
      <c r="DW630" s="43"/>
      <c r="DX630" s="43"/>
      <c r="DY630" s="43"/>
      <c r="DZ630" s="43"/>
      <c r="EA630" s="43"/>
      <c r="EB630" s="43"/>
      <c r="EC630" s="43"/>
      <c r="ED630" s="43"/>
      <c r="EE630" s="43"/>
      <c r="EF630" s="43"/>
      <c r="EG630" s="43"/>
      <c r="EH630" s="43"/>
      <c r="EI630" s="43"/>
      <c r="EJ630" s="43"/>
      <c r="EK630" s="43"/>
      <c r="EL630" s="43"/>
      <c r="EM630" s="43"/>
      <c r="EN630" s="43"/>
      <c r="EO630" s="43"/>
      <c r="EP630" s="43"/>
      <c r="EQ630" s="43"/>
      <c r="ER630" s="43"/>
      <c r="ES630" s="43"/>
      <c r="ET630" s="43"/>
      <c r="EU630" s="43"/>
      <c r="EV630" s="43"/>
      <c r="EW630" s="43"/>
      <c r="EX630" s="43"/>
      <c r="EY630" s="43"/>
      <c r="EZ630" s="43"/>
      <c r="FA630" s="43"/>
      <c r="FB630" s="43"/>
      <c r="FC630" s="43"/>
      <c r="FD630" s="43"/>
      <c r="FE630" s="43"/>
      <c r="FF630" s="43"/>
      <c r="FG630" s="43"/>
      <c r="FH630" s="43"/>
    </row>
    <row r="631">
      <c r="A631" s="47" t="s">
        <v>28</v>
      </c>
      <c r="B631" s="47" t="s">
        <v>104</v>
      </c>
      <c r="C631" s="47" t="s">
        <v>12</v>
      </c>
      <c r="D631" s="43">
        <f t="shared" si="1"/>
        <v>2731.305563</v>
      </c>
      <c r="E631" s="43"/>
      <c r="F631" s="44" t="str">
        <f>HYPERLINK("https://docs.google.com/spreadsheets/d/1tZHeXrYFVP7r8J8Locqi7RaPg5yYNWNG", "RE-617.5131739583347")</f>
        <v>RE-617.5131739583347</v>
      </c>
      <c r="G631" s="44" t="str">
        <f>HYPERLINK("https://docs.google.com/spreadsheets/d/1cm-SSmBTqtWdwQghpTAAyfQw1oQrCbDO", "RE-3.621354166666667")</f>
        <v>RE-3.621354166666667</v>
      </c>
      <c r="H631" s="44" t="str">
        <f>HYPERLINK("https://docs.google.com/spreadsheets/d/1KW7lzs5KMqE_JTsp4y3c6dwiJoqY7TJo", "RE-186.7136229166667")</f>
        <v>RE-186.7136229166667</v>
      </c>
      <c r="I631" s="44" t="str">
        <f>HYPERLINK("https://docs.google.com/spreadsheets/d/16y4CThAMBAth3pxeYwTrX6BMwHMHimpY", "RE-1.2048479166666666")</f>
        <v>RE-1.2048479166666666</v>
      </c>
      <c r="J631" s="44" t="str">
        <f>HYPERLINK("https://docs.google.com/spreadsheets/d/1z2tJmgSBl0VYn4sp7bEtuQThCpGPBOI8", "RE-53.95188541666669")</f>
        <v>RE-53.95188541666669</v>
      </c>
      <c r="K631" s="44" t="str">
        <f>HYPERLINK("https://docs.google.com/spreadsheets/d/1T-VrGIoOhjn-F-LDFaUqRGWomlJzDfDP", "RE-0.7344479166666666")</f>
        <v>RE-0.7344479166666666</v>
      </c>
      <c r="L631" s="44">
        <f>HYPERLINK("https://docs.google.com/spreadsheets/d/1aCG3de3zco84VncIfCtnlK7vleTL5Hwt", 569.864951041666)</f>
        <v>569.864951</v>
      </c>
      <c r="M631" s="44" t="str">
        <f>HYPERLINK("https://docs.google.com/spreadsheets/d/1p3hwGF-f4XSEN0O21zrEYQkti6UyPp8M", "RE-4.772589583333333")</f>
        <v>RE-4.772589583333333</v>
      </c>
      <c r="N631" s="44" t="str">
        <f>HYPERLINK("https://docs.google.com/spreadsheets/d/121vIDdLlIPdjUmuNVIHsSI4ckzEeKM_3", "RE-819.6562291666671")</f>
        <v>RE-819.6562291666671</v>
      </c>
      <c r="O631" s="44" t="str">
        <f>HYPERLINK("https://docs.google.com/spreadsheets/d/1dr23-RDAG-mf2D_XrEjmjXjKJftAtI9h", "RE-14.68985625")</f>
        <v>RE-14.68985625</v>
      </c>
      <c r="P631" s="44">
        <f>HYPERLINK("https://docs.google.com/spreadsheets/d/1KkaOzOjK_x6qB5hLSpnSW-d6acq3ZBkJ", 1016.759834375)</f>
        <v>1016.759834</v>
      </c>
      <c r="Q631" s="44" t="str">
        <f>HYPERLINK("https://docs.google.com/spreadsheets/d/1XHIh5ddwypzQpCCPDvHxZ4SU52Iolb7m", "RE-45.119377083333326")</f>
        <v>RE-45.119377083333326</v>
      </c>
      <c r="R631" s="44">
        <f>HYPERLINK("https://docs.google.com/spreadsheets/d/1yi2bk27R06AW5Sq7ZT6k7sGaRyLQkEvf", 778.939759375)</f>
        <v>778.9397594</v>
      </c>
      <c r="S631" s="44" t="str">
        <f>HYPERLINK("https://docs.google.com/spreadsheets/d/1KBeSF_LiNTiihLGc3NCgjRkdSIEUp15e", "RE-29.477014583333336")</f>
        <v>RE-29.477014583333336</v>
      </c>
      <c r="T631" s="44">
        <f>HYPERLINK("https://docs.google.com/spreadsheets/d/1F_pLjyzmDmEhbgf1zfVQsFyvgpwOYxL2", 365.741017708333)</f>
        <v>365.7410177</v>
      </c>
      <c r="U631" s="44" t="str">
        <f>HYPERLINK("https://docs.google.com/spreadsheets/d/1dI61tixPZEOhpytn1SLjJAsR_yNdlkTh", "RE-26.349186458333353")</f>
        <v>RE-26.349186458333353</v>
      </c>
      <c r="V631" s="44" t="str">
        <f>HYPERLINK("https://docs.google.com/spreadsheets/d/10K3Me6BiUYKFiDLuJPO61jqEkj9IoOGI", "RE-7.259652083333331")</f>
        <v>RE-7.259652083333331</v>
      </c>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c r="BO631" s="43"/>
      <c r="BP631" s="43"/>
      <c r="BQ631" s="43"/>
      <c r="BR631" s="43"/>
      <c r="BS631" s="43"/>
      <c r="BT631" s="43"/>
      <c r="BU631" s="43"/>
      <c r="BV631" s="43"/>
      <c r="BW631" s="43"/>
      <c r="BX631" s="43"/>
      <c r="BY631" s="43"/>
      <c r="BZ631" s="43"/>
      <c r="CA631" s="43"/>
      <c r="CB631" s="43"/>
      <c r="CC631" s="43"/>
      <c r="CD631" s="43"/>
      <c r="CE631" s="43"/>
      <c r="CF631" s="43"/>
      <c r="CG631" s="43"/>
      <c r="CH631" s="43"/>
      <c r="CI631" s="43"/>
      <c r="CJ631" s="43"/>
      <c r="CK631" s="43"/>
      <c r="CL631" s="43"/>
      <c r="CM631" s="43"/>
      <c r="CN631" s="43"/>
      <c r="CO631" s="43"/>
      <c r="CP631" s="43"/>
      <c r="CQ631" s="43"/>
      <c r="CR631" s="43"/>
      <c r="CS631" s="43"/>
      <c r="CT631" s="43"/>
      <c r="CU631" s="43"/>
      <c r="CV631" s="43"/>
      <c r="CW631" s="43"/>
      <c r="CX631" s="43"/>
      <c r="CY631" s="43"/>
      <c r="CZ631" s="43"/>
      <c r="DA631" s="43"/>
      <c r="DB631" s="43"/>
      <c r="DC631" s="43"/>
      <c r="DD631" s="43"/>
      <c r="DE631" s="43"/>
      <c r="DF631" s="43"/>
      <c r="DG631" s="43"/>
      <c r="DH631" s="43"/>
      <c r="DI631" s="43"/>
      <c r="DJ631" s="43"/>
      <c r="DK631" s="43"/>
      <c r="DL631" s="43"/>
      <c r="DM631" s="43"/>
      <c r="DN631" s="43"/>
      <c r="DO631" s="43"/>
      <c r="DP631" s="43"/>
      <c r="DQ631" s="43"/>
      <c r="DR631" s="43"/>
      <c r="DS631" s="43"/>
      <c r="DT631" s="43"/>
      <c r="DU631" s="43"/>
      <c r="DV631" s="43"/>
      <c r="DW631" s="43"/>
      <c r="DX631" s="43"/>
      <c r="DY631" s="43"/>
      <c r="DZ631" s="43"/>
      <c r="EA631" s="43"/>
      <c r="EB631" s="43"/>
      <c r="EC631" s="43"/>
      <c r="ED631" s="43"/>
      <c r="EE631" s="43"/>
      <c r="EF631" s="43"/>
      <c r="EG631" s="43"/>
      <c r="EH631" s="43"/>
      <c r="EI631" s="43"/>
      <c r="EJ631" s="43"/>
      <c r="EK631" s="43"/>
      <c r="EL631" s="43"/>
      <c r="EM631" s="43"/>
      <c r="EN631" s="43"/>
      <c r="EO631" s="43"/>
      <c r="EP631" s="43"/>
      <c r="EQ631" s="43"/>
      <c r="ER631" s="43"/>
      <c r="ES631" s="43"/>
      <c r="ET631" s="43"/>
      <c r="EU631" s="43"/>
      <c r="EV631" s="43"/>
      <c r="EW631" s="43"/>
      <c r="EX631" s="43"/>
      <c r="EY631" s="43"/>
      <c r="EZ631" s="43"/>
      <c r="FA631" s="43"/>
      <c r="FB631" s="43"/>
      <c r="FC631" s="43"/>
      <c r="FD631" s="43"/>
      <c r="FE631" s="43"/>
      <c r="FF631" s="43"/>
      <c r="FG631" s="43"/>
      <c r="FH631" s="43"/>
    </row>
    <row r="632">
      <c r="A632" s="47" t="s">
        <v>28</v>
      </c>
      <c r="B632" s="47" t="s">
        <v>104</v>
      </c>
      <c r="C632" s="47" t="s">
        <v>13</v>
      </c>
      <c r="D632" s="43">
        <f t="shared" si="1"/>
        <v>2605.548</v>
      </c>
      <c r="E632" s="43"/>
      <c r="F632" s="44" t="str">
        <f>HYPERLINK("https://docs.google.com/spreadsheets/d/1BY7Xoqe6O_lVtJ57y6jwGhFjfXMhVa0M?usp=share_link", "RE-581.992")</f>
        <v>RE-581.992</v>
      </c>
      <c r="G632" s="44" t="str">
        <f>HYPERLINK("https://docs.google.com/spreadsheets/d/1qlic0tbLpAwuWIodkKxCbzf14elgfi3V?usp=share_link", "RE-3.40537")</f>
        <v>RE-3.40537</v>
      </c>
      <c r="H632" s="44" t="str">
        <f>HYPERLINK("https://docs.google.com/spreadsheets/d/1__DxWq2eYH6QVePskQhBseVZMzL0jzMt?usp=share_link", "RE-176.966")</f>
        <v>RE-176.966</v>
      </c>
      <c r="I632" s="44" t="str">
        <f>HYPERLINK("https://docs.google.com/spreadsheets/d/1BVhPVB_6cMyWV_KM4vH9qgLZRMHGUwMt?usp=share_link", "RE-1.1527")</f>
        <v>RE-1.1527</v>
      </c>
      <c r="J632" s="44" t="str">
        <f>HYPERLINK("https://docs.google.com/spreadsheets/d/11dgI4ZbjJiO_TE5hj1x1vk1ZvfFyjnKE?usp=share_link", "RE-51.8801")</f>
        <v>RE-51.8801</v>
      </c>
      <c r="K632" s="44" t="str">
        <f>HYPERLINK("https://docs.google.com/spreadsheets/d/1v_11nIhc0YuIKZZYoO50AieONFpJCLdr?usp=share_link", "RE-0.707067")</f>
        <v>RE-0.707067</v>
      </c>
      <c r="L632" s="44">
        <f>HYPERLINK("https://docs.google.com/spreadsheets/d/1ZxUHWIwc-V6w_hiMszI600q-QLawn0e7?usp=share_link", 547.559)</f>
        <v>547.559</v>
      </c>
      <c r="M632" s="44" t="str">
        <f>HYPERLINK("https://docs.google.com/spreadsheets/d/1yA422xbGHJu3iN_lo8558Mm2Av96ZNjd?usp=share_link", "RE-4.48765")</f>
        <v>RE-4.48765</v>
      </c>
      <c r="N632" s="44" t="str">
        <f>HYPERLINK("https://docs.google.com/spreadsheets/d/1hDqBDVtUn4rNum6otBA9BYAxwtKz8dbV?usp=share_link", "RE-788.529")</f>
        <v>RE-788.529</v>
      </c>
      <c r="O632" s="44" t="str">
        <f>HYPERLINK("https://docs.google.com/spreadsheets/d/1N_iyYxnBKh7bH2V2Nl_9t6RJFyom8oUt?usp=share_link", "RE-13.8248")</f>
        <v>RE-13.8248</v>
      </c>
      <c r="P632" s="44">
        <f>HYPERLINK("https://docs.google.com/spreadsheets/d/1V3kUACissiIE88mmUelbtXMBhKpa_I38?usp=share_link", 967.921)</f>
        <v>967.921</v>
      </c>
      <c r="Q632" s="44" t="str">
        <f>HYPERLINK("https://docs.google.com/spreadsheets/d/1Wkd3CCAK97p0Pold45YGBEmXIOQEv3ZW?usp=share_link", "RE-42.1169")</f>
        <v>RE-42.1169</v>
      </c>
      <c r="R632" s="44">
        <f>HYPERLINK("https://docs.google.com/spreadsheets/d/1znncVybcVCj2tCmjcNUd-98zyVCjkI_B?usp=share_link", 742.076)</f>
        <v>742.076</v>
      </c>
      <c r="S632" s="44" t="str">
        <f>HYPERLINK("https://docs.google.com/spreadsheets/d/1Fi7808Mq2RWVcf7Z7RFWZ0KdojpWFduB?usp=share_link", "RE-27.6534")</f>
        <v>RE-27.6534</v>
      </c>
      <c r="T632" s="44">
        <f>HYPERLINK("https://docs.google.com/spreadsheets/d/1x_3YVIgXUjqFyS0U7DVIxi50BirLle-L?usp=share_link", 347.992)</f>
        <v>347.992</v>
      </c>
      <c r="U632" s="44" t="str">
        <f>HYPERLINK("https://docs.google.com/spreadsheets/d/1UKwWI0kSe4BuWlruLQGBFTnTbG-TqVWx?usp=share_link", "RE-25.2321")</f>
        <v>RE-25.2321</v>
      </c>
      <c r="V632" s="44" t="str">
        <f>HYPERLINK("https://docs.google.com/spreadsheets/d/1p3UL1Tk0Ptwt1T1gp_etCy-WY7mVb13T?usp=share_link", "RE-6.91168")</f>
        <v>RE-6.91168</v>
      </c>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c r="BO632" s="43"/>
      <c r="BP632" s="43"/>
      <c r="BQ632" s="43"/>
      <c r="BR632" s="43"/>
      <c r="BS632" s="43"/>
      <c r="BT632" s="43"/>
      <c r="BU632" s="43"/>
      <c r="BV632" s="43"/>
      <c r="BW632" s="43"/>
      <c r="BX632" s="43"/>
      <c r="BY632" s="43"/>
      <c r="BZ632" s="43"/>
      <c r="CA632" s="43"/>
      <c r="CB632" s="43"/>
      <c r="CC632" s="43"/>
      <c r="CD632" s="43"/>
      <c r="CE632" s="43"/>
      <c r="CF632" s="43"/>
      <c r="CG632" s="43"/>
      <c r="CH632" s="43"/>
      <c r="CI632" s="43"/>
      <c r="CJ632" s="43"/>
      <c r="CK632" s="43"/>
      <c r="CL632" s="43"/>
      <c r="CM632" s="43"/>
      <c r="CN632" s="43"/>
      <c r="CO632" s="43"/>
      <c r="CP632" s="43"/>
      <c r="CQ632" s="43"/>
      <c r="CR632" s="43"/>
      <c r="CS632" s="43"/>
      <c r="CT632" s="43"/>
      <c r="CU632" s="43"/>
      <c r="CV632" s="43"/>
      <c r="CW632" s="43"/>
      <c r="CX632" s="43"/>
      <c r="CY632" s="43"/>
      <c r="CZ632" s="43"/>
      <c r="DA632" s="43"/>
      <c r="DB632" s="43"/>
      <c r="DC632" s="43"/>
      <c r="DD632" s="43"/>
      <c r="DE632" s="43"/>
      <c r="DF632" s="43"/>
      <c r="DG632" s="43"/>
      <c r="DH632" s="43"/>
      <c r="DI632" s="43"/>
      <c r="DJ632" s="43"/>
      <c r="DK632" s="43"/>
      <c r="DL632" s="43"/>
      <c r="DM632" s="43"/>
      <c r="DN632" s="43"/>
      <c r="DO632" s="43"/>
      <c r="DP632" s="43"/>
      <c r="DQ632" s="43"/>
      <c r="DR632" s="43"/>
      <c r="DS632" s="43"/>
      <c r="DT632" s="43"/>
      <c r="DU632" s="43"/>
      <c r="DV632" s="43"/>
      <c r="DW632" s="43"/>
      <c r="DX632" s="43"/>
      <c r="DY632" s="43"/>
      <c r="DZ632" s="43"/>
      <c r="EA632" s="43"/>
      <c r="EB632" s="43"/>
      <c r="EC632" s="43"/>
      <c r="ED632" s="43"/>
      <c r="EE632" s="43"/>
      <c r="EF632" s="43"/>
      <c r="EG632" s="43"/>
      <c r="EH632" s="43"/>
      <c r="EI632" s="43"/>
      <c r="EJ632" s="43"/>
      <c r="EK632" s="43"/>
      <c r="EL632" s="43"/>
      <c r="EM632" s="43"/>
      <c r="EN632" s="43"/>
      <c r="EO632" s="43"/>
      <c r="EP632" s="43"/>
      <c r="EQ632" s="43"/>
      <c r="ER632" s="43"/>
      <c r="ES632" s="43"/>
      <c r="ET632" s="43"/>
      <c r="EU632" s="43"/>
      <c r="EV632" s="43"/>
      <c r="EW632" s="43"/>
      <c r="EX632" s="43"/>
      <c r="EY632" s="43"/>
      <c r="EZ632" s="43"/>
      <c r="FA632" s="43"/>
      <c r="FB632" s="43"/>
      <c r="FC632" s="43"/>
      <c r="FD632" s="43"/>
      <c r="FE632" s="43"/>
      <c r="FF632" s="43"/>
      <c r="FG632" s="43"/>
      <c r="FH632" s="43"/>
    </row>
    <row r="633">
      <c r="A633" s="47" t="s">
        <v>28</v>
      </c>
      <c r="B633" s="47" t="s">
        <v>104</v>
      </c>
      <c r="C633" s="47" t="s">
        <v>14</v>
      </c>
      <c r="D633" s="43">
        <f t="shared" si="1"/>
        <v>2232.482</v>
      </c>
      <c r="E633" s="43"/>
      <c r="F633" s="44" t="str">
        <f>HYPERLINK("https://docs.google.com/spreadsheets/d/1ZfzNHv5fYOmlNnII_oaYJUOqMUq6VsrK?usp=share_link", "RE-497.409")</f>
        <v>RE-497.409</v>
      </c>
      <c r="G633" s="44" t="str">
        <f>HYPERLINK("https://docs.google.com/spreadsheets/d/1MfF1X3ABSbohBJ9q0s-NDym2ACiZTX7P?usp=share_link", "RE-2.99068")</f>
        <v>RE-2.99068</v>
      </c>
      <c r="H633" s="44" t="str">
        <f>HYPERLINK("https://docs.google.com/spreadsheets/d/1fczq-Y1OuZ0PmkUv_dD2tRyqFQAvWxxl?usp=share_link", "RE-158.345")</f>
        <v>RE-158.345</v>
      </c>
      <c r="I633" s="44" t="str">
        <f>HYPERLINK("https://docs.google.com/spreadsheets/d/1wHJXXm9WjIdrjWcp0nfzOCdeKW8rWIq7?usp=share_link", "RE-1.0735")</f>
        <v>RE-1.0735</v>
      </c>
      <c r="J633" s="44" t="str">
        <f>HYPERLINK("https://docs.google.com/spreadsheets/d/1732WfN0G53ENDM2cEKcgFL5ZDZJOfKNu?usp=share_link", "RE-49.6788")</f>
        <v>RE-49.6788</v>
      </c>
      <c r="K633" s="44" t="str">
        <f>HYPERLINK("https://docs.google.com/spreadsheets/d/1bT5MifRuSbJ7TlZWizkQTUNcwCD1rPpT?usp=share_link", "RE-0.707067")</f>
        <v>RE-0.707067</v>
      </c>
      <c r="L633" s="44">
        <f>HYPERLINK("https://docs.google.com/spreadsheets/d/1gaDU7YeurUekUYVV1yDb74d-hoR-OVHf?usp=share_link", 474.751)</f>
        <v>474.751</v>
      </c>
      <c r="M633" s="44" t="str">
        <f>HYPERLINK("https://docs.google.com/spreadsheets/d/1fM5081dNssOBqqL6WwoIv5HCezG2n4nW?usp=share_link", "RE-3.71502")</f>
        <v>RE-3.71502</v>
      </c>
      <c r="N633" s="44" t="str">
        <f>HYPERLINK("https://docs.google.com/spreadsheets/d/1jchMU0jfJPLfCkMProAXedHpUX8urmTB?usp=share_link", "RE-683.025")</f>
        <v>RE-683.025</v>
      </c>
      <c r="O633" s="44" t="str">
        <f>HYPERLINK("https://docs.google.com/spreadsheets/d/1wb3fwyCvAiVNXlXAVlzGtN96p61k3xLI?usp=share_link", "RE-11.0263")</f>
        <v>RE-11.0263</v>
      </c>
      <c r="P633" s="44">
        <f>HYPERLINK("https://docs.google.com/spreadsheets/d/13RNikOEpSfR2LDWHmTZHGti4S9kn3voi?usp=share_link", 835.005)</f>
        <v>835.005</v>
      </c>
      <c r="Q633" s="44" t="str">
        <f>HYPERLINK("https://docs.google.com/spreadsheets/d/10boCbRs29QRmWb7hT71otLW5BlNvtd3K?usp=share_link", "RE-38.13")</f>
        <v>RE-38.13</v>
      </c>
      <c r="R633" s="44">
        <f>HYPERLINK("https://docs.google.com/spreadsheets/d/15c6bwkXVf_QDo-456CXMBCBp84Ouyq0V?usp=share_link", 624.689)</f>
        <v>624.689</v>
      </c>
      <c r="S633" s="44" t="str">
        <f>HYPERLINK("https://docs.google.com/spreadsheets/d/1YrW1f8w-SPWPl_pQFxgimiXSx3cvX3kq?usp=share_link", "RE-24.4794")</f>
        <v>RE-24.4794</v>
      </c>
      <c r="T633" s="44">
        <f>HYPERLINK("https://docs.google.com/spreadsheets/d/1x6QXUXvQcAH8TTG6-twZy0Bo97HPaAez?usp=share_link", 298.037)</f>
        <v>298.037</v>
      </c>
      <c r="U633" s="44" t="str">
        <f>HYPERLINK("https://docs.google.com/spreadsheets/d/1uUsF46VhCPUFBznt96Qmga_0KaFDKY9k?usp=share_link", "RE-21.6075")</f>
        <v>RE-21.6075</v>
      </c>
      <c r="V633" s="44" t="str">
        <f>HYPERLINK("https://docs.google.com/spreadsheets/d/1k7fNLJaDxQG36HzLirVu4VhQW3JhsETF?usp=share_link", "RE-6.12208")</f>
        <v>RE-6.12208</v>
      </c>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c r="BO633" s="43"/>
      <c r="BP633" s="43"/>
      <c r="BQ633" s="43"/>
      <c r="BR633" s="43"/>
      <c r="BS633" s="43"/>
      <c r="BT633" s="43"/>
      <c r="BU633" s="43"/>
      <c r="BV633" s="43"/>
      <c r="BW633" s="43"/>
      <c r="BX633" s="43"/>
      <c r="BY633" s="43"/>
      <c r="BZ633" s="43"/>
      <c r="CA633" s="43"/>
      <c r="CB633" s="43"/>
      <c r="CC633" s="43"/>
      <c r="CD633" s="43"/>
      <c r="CE633" s="43"/>
      <c r="CF633" s="43"/>
      <c r="CG633" s="43"/>
      <c r="CH633" s="43"/>
      <c r="CI633" s="43"/>
      <c r="CJ633" s="43"/>
      <c r="CK633" s="43"/>
      <c r="CL633" s="43"/>
      <c r="CM633" s="43"/>
      <c r="CN633" s="43"/>
      <c r="CO633" s="43"/>
      <c r="CP633" s="43"/>
      <c r="CQ633" s="43"/>
      <c r="CR633" s="43"/>
      <c r="CS633" s="43"/>
      <c r="CT633" s="43"/>
      <c r="CU633" s="43"/>
      <c r="CV633" s="43"/>
      <c r="CW633" s="43"/>
      <c r="CX633" s="43"/>
      <c r="CY633" s="43"/>
      <c r="CZ633" s="43"/>
      <c r="DA633" s="43"/>
      <c r="DB633" s="43"/>
      <c r="DC633" s="43"/>
      <c r="DD633" s="43"/>
      <c r="DE633" s="43"/>
      <c r="DF633" s="43"/>
      <c r="DG633" s="43"/>
      <c r="DH633" s="43"/>
      <c r="DI633" s="43"/>
      <c r="DJ633" s="43"/>
      <c r="DK633" s="43"/>
      <c r="DL633" s="43"/>
      <c r="DM633" s="43"/>
      <c r="DN633" s="43"/>
      <c r="DO633" s="43"/>
      <c r="DP633" s="43"/>
      <c r="DQ633" s="43"/>
      <c r="DR633" s="43"/>
      <c r="DS633" s="43"/>
      <c r="DT633" s="43"/>
      <c r="DU633" s="43"/>
      <c r="DV633" s="43"/>
      <c r="DW633" s="43"/>
      <c r="DX633" s="43"/>
      <c r="DY633" s="43"/>
      <c r="DZ633" s="43"/>
      <c r="EA633" s="43"/>
      <c r="EB633" s="43"/>
      <c r="EC633" s="43"/>
      <c r="ED633" s="43"/>
      <c r="EE633" s="43"/>
      <c r="EF633" s="43"/>
      <c r="EG633" s="43"/>
      <c r="EH633" s="43"/>
      <c r="EI633" s="43"/>
      <c r="EJ633" s="43"/>
      <c r="EK633" s="43"/>
      <c r="EL633" s="43"/>
      <c r="EM633" s="43"/>
      <c r="EN633" s="43"/>
      <c r="EO633" s="43"/>
      <c r="EP633" s="43"/>
      <c r="EQ633" s="43"/>
      <c r="ER633" s="43"/>
      <c r="ES633" s="43"/>
      <c r="ET633" s="43"/>
      <c r="EU633" s="43"/>
      <c r="EV633" s="43"/>
      <c r="EW633" s="43"/>
      <c r="EX633" s="43"/>
      <c r="EY633" s="43"/>
      <c r="EZ633" s="43"/>
      <c r="FA633" s="43"/>
      <c r="FB633" s="43"/>
      <c r="FC633" s="43"/>
      <c r="FD633" s="43"/>
      <c r="FE633" s="43"/>
      <c r="FF633" s="43"/>
      <c r="FG633" s="43"/>
      <c r="FH633" s="43"/>
    </row>
    <row r="634">
      <c r="A634" s="48" t="s">
        <v>28</v>
      </c>
      <c r="B634" s="48" t="s">
        <v>104</v>
      </c>
      <c r="C634" s="48" t="s">
        <v>15</v>
      </c>
      <c r="D634" s="36">
        <f t="shared" si="1"/>
        <v>2605.548</v>
      </c>
      <c r="E634" s="36"/>
      <c r="F634" s="37" t="str">
        <f>HYPERLINK("https://docs.google.com/spreadsheets/d/1kvCayK7rOR872Ty4sltlpKrCBjmaf_4c?usp=share_link", "RE-581.992")</f>
        <v>RE-581.992</v>
      </c>
      <c r="G634" s="37" t="str">
        <f>HYPERLINK("https://docs.google.com/spreadsheets/d/1NNwRMEeJtllek0zCAQZXzMBfEp8Ur-EO?usp=share_link", "RE-3.40537")</f>
        <v>RE-3.40537</v>
      </c>
      <c r="H634" s="37" t="str">
        <f>HYPERLINK("https://docs.google.com/spreadsheets/d/11HQSOVDWVGnIwwRFLjQasdyzF9raOfq-?usp=share_link", "RE-176.966")</f>
        <v>RE-176.966</v>
      </c>
      <c r="I634" s="37" t="str">
        <f>HYPERLINK("https://docs.google.com/spreadsheets/d/1LFKHM5WBAXAs1c5T_cz5JaWSsJnd_n9D?usp=share_link", "RE-1.1527")</f>
        <v>RE-1.1527</v>
      </c>
      <c r="J634" s="37" t="str">
        <f>HYPERLINK("https://docs.google.com/spreadsheets/d/15VOSTgqzIWPRfbqtHAVFo7ha5reO2C9e?usp=share_link", "RE-51.8801")</f>
        <v>RE-51.8801</v>
      </c>
      <c r="K634" s="37" t="str">
        <f>HYPERLINK("https://docs.google.com/spreadsheets/d/1Tj5PmlT4Kww_H2U76tA46MMdSLB5llcM?usp=share_link", "RE-0.707067")</f>
        <v>RE-0.707067</v>
      </c>
      <c r="L634" s="37">
        <f>HYPERLINK("https://docs.google.com/spreadsheets/d/1Uqt3aDmBVL7YHhr1J_VOBzBdpwFO3hoQ?usp=share_link", 547.559)</f>
        <v>547.559</v>
      </c>
      <c r="M634" s="37" t="str">
        <f>HYPERLINK("https://docs.google.com/spreadsheets/d/1kInjTN6VWImcwsklSRbhwDqQvV3nDzxW?usp=share_link", "RE-4.48765")</f>
        <v>RE-4.48765</v>
      </c>
      <c r="N634" s="37" t="str">
        <f>HYPERLINK("https://docs.google.com/spreadsheets/d/1wKkEWgOSKPhKqWTQILLJbNvCEEsD8gJY?usp=share_link", "RE-788.529")</f>
        <v>RE-788.529</v>
      </c>
      <c r="O634" s="37" t="str">
        <f>HYPERLINK("https://docs.google.com/spreadsheets/d/12S-4PEhJPU4l41sqCCxYUEbwbX_ubcqg?usp=share_link", "RE-13.8248")</f>
        <v>RE-13.8248</v>
      </c>
      <c r="P634" s="37">
        <f>HYPERLINK("https://docs.google.com/spreadsheets/d/1zZaQfverelZhYPyB59VQzUgQM37AYGn8?usp=share_link", 967.921)</f>
        <v>967.921</v>
      </c>
      <c r="Q634" s="37" t="str">
        <f>HYPERLINK("https://docs.google.com/spreadsheets/d/1bEJ-0l6TSxpFZdsyqNWFXuzuMHn_nnZE?usp=share_link", "RE-42.1169")</f>
        <v>RE-42.1169</v>
      </c>
      <c r="R634" s="37">
        <f>HYPERLINK("https://docs.google.com/spreadsheets/d/1nVd7EISApr7hSfZuaJlY6sfA4KBUD_p4?usp=share_link", 742.076)</f>
        <v>742.076</v>
      </c>
      <c r="S634" s="37" t="str">
        <f>HYPERLINK("https://docs.google.com/spreadsheets/d/1Lh_aoLTOhLhxKVI18-Wl0Z7Ju6qPHtTd?usp=share_link", "RE-27.6534")</f>
        <v>RE-27.6534</v>
      </c>
      <c r="T634" s="37">
        <f>HYPERLINK("https://docs.google.com/spreadsheets/d/1E0NtLnEvcVNQBMR49M_D5x4bu-nXUQS3?usp=share_link", 347.992)</f>
        <v>347.992</v>
      </c>
      <c r="U634" s="37" t="str">
        <f>HYPERLINK("https://docs.google.com/spreadsheets/d/1LD6K-2Nrr55Ys44bhqD5Bf4Q2KW6oSpX?usp=share_link", "RE-25.2321")</f>
        <v>RE-25.2321</v>
      </c>
      <c r="V634" s="37" t="str">
        <f>HYPERLINK("https://docs.google.com/spreadsheets/d/1A5SMewio_I9W_2zBDj3DfA8uUMKXHTgp?usp=share_link", "RE-6.91168")</f>
        <v>RE-6.91168</v>
      </c>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6"/>
      <c r="AZ634" s="36"/>
      <c r="BA634" s="36"/>
      <c r="BB634" s="36"/>
      <c r="BC634" s="36"/>
      <c r="BD634" s="36"/>
      <c r="BE634" s="36"/>
      <c r="BF634" s="36"/>
      <c r="BG634" s="36"/>
      <c r="BH634" s="36"/>
      <c r="BI634" s="36"/>
      <c r="BJ634" s="36"/>
      <c r="BK634" s="36"/>
      <c r="BL634" s="36"/>
      <c r="BM634" s="36"/>
      <c r="BN634" s="36"/>
      <c r="BO634" s="36"/>
      <c r="BP634" s="36"/>
      <c r="BQ634" s="36"/>
      <c r="BR634" s="36"/>
      <c r="BS634" s="36"/>
      <c r="BT634" s="36"/>
      <c r="BU634" s="36"/>
      <c r="BV634" s="36"/>
      <c r="BW634" s="36"/>
      <c r="BX634" s="36"/>
      <c r="BY634" s="36"/>
      <c r="BZ634" s="36"/>
      <c r="CA634" s="36"/>
      <c r="CB634" s="36"/>
      <c r="CC634" s="36"/>
      <c r="CD634" s="36"/>
      <c r="CE634" s="36"/>
      <c r="CF634" s="36"/>
      <c r="CG634" s="36"/>
      <c r="CH634" s="36"/>
      <c r="CI634" s="36"/>
      <c r="CJ634" s="36"/>
      <c r="CK634" s="36"/>
      <c r="CL634" s="36"/>
      <c r="CM634" s="36"/>
      <c r="CN634" s="36"/>
      <c r="CO634" s="36"/>
      <c r="CP634" s="36"/>
      <c r="CQ634" s="36"/>
      <c r="CR634" s="36"/>
      <c r="CS634" s="36"/>
      <c r="CT634" s="36"/>
      <c r="CU634" s="36"/>
      <c r="CV634" s="36"/>
      <c r="CW634" s="36"/>
      <c r="CX634" s="36"/>
      <c r="CY634" s="36"/>
      <c r="CZ634" s="36"/>
      <c r="DA634" s="36"/>
      <c r="DB634" s="36"/>
      <c r="DC634" s="36"/>
      <c r="DD634" s="36"/>
      <c r="DE634" s="36"/>
      <c r="DF634" s="36"/>
      <c r="DG634" s="36"/>
      <c r="DH634" s="36"/>
      <c r="DI634" s="36"/>
      <c r="DJ634" s="36"/>
      <c r="DK634" s="36"/>
      <c r="DL634" s="36"/>
      <c r="DM634" s="36"/>
      <c r="DN634" s="36"/>
      <c r="DO634" s="36"/>
      <c r="DP634" s="36"/>
      <c r="DQ634" s="36"/>
      <c r="DR634" s="36"/>
      <c r="DS634" s="36"/>
      <c r="DT634" s="36"/>
      <c r="DU634" s="36"/>
      <c r="DV634" s="36"/>
      <c r="DW634" s="36"/>
      <c r="DX634" s="36"/>
      <c r="DY634" s="36"/>
      <c r="DZ634" s="36"/>
      <c r="EA634" s="36"/>
      <c r="EB634" s="36"/>
      <c r="EC634" s="36"/>
      <c r="ED634" s="36"/>
      <c r="EE634" s="36"/>
      <c r="EF634" s="36"/>
      <c r="EG634" s="36"/>
      <c r="EH634" s="36"/>
      <c r="EI634" s="36"/>
      <c r="EJ634" s="36"/>
      <c r="EK634" s="36"/>
      <c r="EL634" s="36"/>
      <c r="EM634" s="36"/>
      <c r="EN634" s="36"/>
      <c r="EO634" s="36"/>
      <c r="EP634" s="36"/>
      <c r="EQ634" s="36"/>
      <c r="ER634" s="36"/>
      <c r="ES634" s="36"/>
      <c r="ET634" s="36"/>
      <c r="EU634" s="36"/>
      <c r="EV634" s="36"/>
      <c r="EW634" s="36"/>
      <c r="EX634" s="36"/>
      <c r="EY634" s="36"/>
      <c r="EZ634" s="36"/>
      <c r="FA634" s="36"/>
      <c r="FB634" s="36"/>
      <c r="FC634" s="36"/>
      <c r="FD634" s="36"/>
      <c r="FE634" s="36"/>
      <c r="FF634" s="36"/>
      <c r="FG634" s="36"/>
      <c r="FH634" s="36"/>
    </row>
    <row r="635">
      <c r="A635" s="45" t="s">
        <v>28</v>
      </c>
      <c r="B635" s="45" t="s">
        <v>105</v>
      </c>
      <c r="C635" s="46" t="str">
        <f>HYPERLINK("https://docs.google.com/spreadsheets/d/1lY4Bdc8gzIOq_LAnGTYYRUygrk_dhAho/edit?usp=share_link&amp;ouid=106501987799020758802&amp;rtpof=true&amp;sd=true", "Raw Delivered")</f>
        <v>Raw Delivered</v>
      </c>
      <c r="D635" s="40">
        <f t="shared" si="1"/>
        <v>5736.144979</v>
      </c>
      <c r="E635" s="40"/>
      <c r="F635" s="41">
        <f>HYPERLINK("https://docs.google.com/spreadsheets/d/1pEBw6j8jurh3ccwEoa3ey7iistgj7Qme", 544.703545833333)</f>
        <v>544.7035458</v>
      </c>
      <c r="G635" s="40"/>
      <c r="H635" s="41">
        <f>HYPERLINK("https://docs.google.com/spreadsheets/d/1fKiNZJPfLiDkHwqKIj57qntBbYdurVuw", 129.754006249999)</f>
        <v>129.7540062</v>
      </c>
      <c r="I635" s="40"/>
      <c r="J635" s="41">
        <f>HYPERLINK("https://docs.google.com/spreadsheets/d/1JkdW_WXqXuyZO0sUDcgizi3S5UQ7LB20", 5.53568541666666)</f>
        <v>5.535685417</v>
      </c>
      <c r="K635" s="40"/>
      <c r="L635" s="41">
        <f t="shared" ref="L635:L636" si="318">HYPERLINK("https://docs.google.com/spreadsheets/d/1MZJoVyVN2YxCPWtSDR_8sodnHCHCBg9o", 739.478528124999)</f>
        <v>739.4785281</v>
      </c>
      <c r="M635" s="40"/>
      <c r="N635" s="41">
        <f>HYPERLINK("https://docs.google.com/spreadsheets/d/1usA4FEVA99SzdomR_GaDdGwet4BO5tQG", 1668.24601666666)</f>
        <v>1668.246017</v>
      </c>
      <c r="O635" s="40"/>
      <c r="P635" s="41">
        <f t="shared" ref="P635:P636" si="319">HYPERLINK("https://docs.google.com/spreadsheets/d/1YzKDFvNU8Vp7IF_MEjET1XhhUqACYIhW", 1141.163128125)</f>
        <v>1141.163128</v>
      </c>
      <c r="Q635" s="40"/>
      <c r="R635" s="41">
        <f t="shared" ref="R635:R636" si="320">HYPERLINK("https://docs.google.com/spreadsheets/d/12QGDy4xHlg4w_CR93EE-lfyIGuCsfXns", 1026.67950208333)</f>
        <v>1026.679502</v>
      </c>
      <c r="S635" s="40"/>
      <c r="T635" s="41">
        <f t="shared" ref="T635:T636" si="321">HYPERLINK("https://docs.google.com/spreadsheets/d/1kF4fC6pd6g3l2pF4G7kkuc1cZjWYnvVr", 480.584566666667)</f>
        <v>480.5845667</v>
      </c>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0"/>
      <c r="FG635" s="40"/>
      <c r="FH635" s="40"/>
    </row>
    <row r="636">
      <c r="A636" s="47" t="s">
        <v>28</v>
      </c>
      <c r="B636" s="47" t="s">
        <v>105</v>
      </c>
      <c r="C636" s="47" t="s">
        <v>9</v>
      </c>
      <c r="D636" s="43">
        <f t="shared" si="1"/>
        <v>3387.905725</v>
      </c>
      <c r="E636" s="43"/>
      <c r="F636" s="44" t="str">
        <f>HYPERLINK("https://docs.google.com/spreadsheets/d/1pEBw6j8jurh3ccwEoa3ey7iistgj7Qme", "RE-544.703545833333")</f>
        <v>RE-544.703545833333</v>
      </c>
      <c r="G636" s="43"/>
      <c r="H636" s="44" t="str">
        <f>HYPERLINK("https://docs.google.com/spreadsheets/d/1fKiNZJPfLiDkHwqKIj57qntBbYdurVuw", "RE-129.7540062499999")</f>
        <v>RE-129.7540062499999</v>
      </c>
      <c r="I636" s="43"/>
      <c r="J636" s="44" t="str">
        <f>HYPERLINK("https://docs.google.com/spreadsheets/d/1JkdW_WXqXuyZO0sUDcgizi3S5UQ7LB20", "RE-5.5356854166666665")</f>
        <v>RE-5.5356854166666665</v>
      </c>
      <c r="K636" s="43"/>
      <c r="L636" s="44">
        <f t="shared" si="318"/>
        <v>739.4785281</v>
      </c>
      <c r="M636" s="43"/>
      <c r="N636" s="44" t="str">
        <f>HYPERLINK("https://docs.google.com/spreadsheets/d/1usA4FEVA99SzdomR_GaDdGwet4BO5tQG", "RE-1668.2460166666683")</f>
        <v>RE-1668.2460166666683</v>
      </c>
      <c r="O636" s="43"/>
      <c r="P636" s="44">
        <f t="shared" si="319"/>
        <v>1141.163128</v>
      </c>
      <c r="Q636" s="43"/>
      <c r="R636" s="44">
        <f t="shared" si="320"/>
        <v>1026.679502</v>
      </c>
      <c r="S636" s="43"/>
      <c r="T636" s="44">
        <f t="shared" si="321"/>
        <v>480.5845667</v>
      </c>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c r="BO636" s="43"/>
      <c r="BP636" s="43"/>
      <c r="BQ636" s="43"/>
      <c r="BR636" s="43"/>
      <c r="BS636" s="43"/>
      <c r="BT636" s="43"/>
      <c r="BU636" s="43"/>
      <c r="BV636" s="43"/>
      <c r="BW636" s="43"/>
      <c r="BX636" s="43"/>
      <c r="BY636" s="43"/>
      <c r="BZ636" s="43"/>
      <c r="CA636" s="43"/>
      <c r="CB636" s="43"/>
      <c r="CC636" s="43"/>
      <c r="CD636" s="43"/>
      <c r="CE636" s="43"/>
      <c r="CF636" s="43"/>
      <c r="CG636" s="43"/>
      <c r="CH636" s="43"/>
      <c r="CI636" s="43"/>
      <c r="CJ636" s="43"/>
      <c r="CK636" s="43"/>
      <c r="CL636" s="43"/>
      <c r="CM636" s="43"/>
      <c r="CN636" s="43"/>
      <c r="CO636" s="43"/>
      <c r="CP636" s="43"/>
      <c r="CQ636" s="43"/>
      <c r="CR636" s="43"/>
      <c r="CS636" s="43"/>
      <c r="CT636" s="43"/>
      <c r="CU636" s="43"/>
      <c r="CV636" s="43"/>
      <c r="CW636" s="43"/>
      <c r="CX636" s="43"/>
      <c r="CY636" s="43"/>
      <c r="CZ636" s="43"/>
      <c r="DA636" s="43"/>
      <c r="DB636" s="43"/>
      <c r="DC636" s="43"/>
      <c r="DD636" s="43"/>
      <c r="DE636" s="43"/>
      <c r="DF636" s="43"/>
      <c r="DG636" s="43"/>
      <c r="DH636" s="43"/>
      <c r="DI636" s="43"/>
      <c r="DJ636" s="43"/>
      <c r="DK636" s="43"/>
      <c r="DL636" s="43"/>
      <c r="DM636" s="43"/>
      <c r="DN636" s="43"/>
      <c r="DO636" s="43"/>
      <c r="DP636" s="43"/>
      <c r="DQ636" s="43"/>
      <c r="DR636" s="43"/>
      <c r="DS636" s="43"/>
      <c r="DT636" s="43"/>
      <c r="DU636" s="43"/>
      <c r="DV636" s="43"/>
      <c r="DW636" s="43"/>
      <c r="DX636" s="43"/>
      <c r="DY636" s="43"/>
      <c r="DZ636" s="43"/>
      <c r="EA636" s="43"/>
      <c r="EB636" s="43"/>
      <c r="EC636" s="43"/>
      <c r="ED636" s="43"/>
      <c r="EE636" s="43"/>
      <c r="EF636" s="43"/>
      <c r="EG636" s="43"/>
      <c r="EH636" s="43"/>
      <c r="EI636" s="43"/>
      <c r="EJ636" s="43"/>
      <c r="EK636" s="43"/>
      <c r="EL636" s="43"/>
      <c r="EM636" s="43"/>
      <c r="EN636" s="43"/>
      <c r="EO636" s="43"/>
      <c r="EP636" s="43"/>
      <c r="EQ636" s="43"/>
      <c r="ER636" s="43"/>
      <c r="ES636" s="43"/>
      <c r="ET636" s="43"/>
      <c r="EU636" s="43"/>
      <c r="EV636" s="43"/>
      <c r="EW636" s="43"/>
      <c r="EX636" s="43"/>
      <c r="EY636" s="43"/>
      <c r="EZ636" s="43"/>
      <c r="FA636" s="43"/>
      <c r="FB636" s="43"/>
      <c r="FC636" s="43"/>
      <c r="FD636" s="43"/>
      <c r="FE636" s="43"/>
      <c r="FF636" s="43"/>
      <c r="FG636" s="43"/>
      <c r="FH636" s="43"/>
    </row>
    <row r="637">
      <c r="A637" s="47" t="s">
        <v>28</v>
      </c>
      <c r="B637" s="47" t="s">
        <v>105</v>
      </c>
      <c r="C637" s="47" t="s">
        <v>10</v>
      </c>
      <c r="D637" s="43">
        <f t="shared" si="1"/>
        <v>516.2416844</v>
      </c>
      <c r="E637" s="43"/>
      <c r="F637" s="43"/>
      <c r="G637" s="44">
        <f>HYPERLINK("https://docs.google.com/spreadsheets/d/1e0OxDVuSSzjEQozZg6KazE0P8hiyNRnm", 73.8600791666666)</f>
        <v>73.86007917</v>
      </c>
      <c r="H637" s="43"/>
      <c r="I637" s="44">
        <f>HYPERLINK("https://docs.google.com/spreadsheets/d/1lTZwkjrKio4dJ3_J__49yzuWvGySibZn", 16.3023395833333)</f>
        <v>16.30233958</v>
      </c>
      <c r="J637" s="43"/>
      <c r="K637" s="44">
        <f>HYPERLINK("https://docs.google.com/spreadsheets/d/11GaIY5QEGcBaZ1ZrUFNE4LF6qpXDcMmP", 3.2076875)</f>
        <v>3.2076875</v>
      </c>
      <c r="L637" s="43"/>
      <c r="M637" s="44">
        <f>HYPERLINK("https://docs.google.com/spreadsheets/d/1s7H58Y7PZX7fRD7hoTr4dbWLr4vGa8al", 10.8367458333333)</f>
        <v>10.83674583</v>
      </c>
      <c r="N637" s="43"/>
      <c r="O637" s="44">
        <f>HYPERLINK("https://docs.google.com/spreadsheets/d/1jaRlwXM9wjcn0xZTVE1rjionSNLufzWu", 142.100979166666)</f>
        <v>142.1009792</v>
      </c>
      <c r="P637" s="43"/>
      <c r="Q637" s="44">
        <f>HYPERLINK("https://docs.google.com/spreadsheets/d/1LtqItx6G_57Xc2o2HmYam_UjecXT7mC2", 89.9343062499999)</f>
        <v>89.93430625</v>
      </c>
      <c r="R637" s="43"/>
      <c r="S637" s="44">
        <f>HYPERLINK("https://docs.google.com/spreadsheets/d/1Y0Q_3SCnXOElcf1_hzqZaGOgo8dOWfrX", 79.5301093749999)</f>
        <v>79.53010937</v>
      </c>
      <c r="T637" s="43"/>
      <c r="U637" s="44">
        <f>HYPERLINK("https://docs.google.com/spreadsheets/d/1QYTHRjl50EgARr1VjiX5B2WLT_f8dhks", 89.7189166666666)</f>
        <v>89.71891667</v>
      </c>
      <c r="V637" s="44">
        <f>HYPERLINK("https://docs.google.com/spreadsheets/d/14Xb_moRkTfungO88k8Ht7FWfjk4UHsXL", 10.7505208333333)</f>
        <v>10.75052083</v>
      </c>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c r="BO637" s="43"/>
      <c r="BP637" s="43"/>
      <c r="BQ637" s="43"/>
      <c r="BR637" s="43"/>
      <c r="BS637" s="43"/>
      <c r="BT637" s="43"/>
      <c r="BU637" s="43"/>
      <c r="BV637" s="43"/>
      <c r="BW637" s="43"/>
      <c r="BX637" s="43"/>
      <c r="BY637" s="43"/>
      <c r="BZ637" s="43"/>
      <c r="CA637" s="43"/>
      <c r="CB637" s="43"/>
      <c r="CC637" s="43"/>
      <c r="CD637" s="43"/>
      <c r="CE637" s="43"/>
      <c r="CF637" s="43"/>
      <c r="CG637" s="43"/>
      <c r="CH637" s="43"/>
      <c r="CI637" s="43"/>
      <c r="CJ637" s="43"/>
      <c r="CK637" s="43"/>
      <c r="CL637" s="43"/>
      <c r="CM637" s="43"/>
      <c r="CN637" s="43"/>
      <c r="CO637" s="43"/>
      <c r="CP637" s="43"/>
      <c r="CQ637" s="43"/>
      <c r="CR637" s="43"/>
      <c r="CS637" s="43"/>
      <c r="CT637" s="43"/>
      <c r="CU637" s="43"/>
      <c r="CV637" s="43"/>
      <c r="CW637" s="43"/>
      <c r="CX637" s="43"/>
      <c r="CY637" s="43"/>
      <c r="CZ637" s="43"/>
      <c r="DA637" s="43"/>
      <c r="DB637" s="43"/>
      <c r="DC637" s="43"/>
      <c r="DD637" s="43"/>
      <c r="DE637" s="43"/>
      <c r="DF637" s="43"/>
      <c r="DG637" s="43"/>
      <c r="DH637" s="43"/>
      <c r="DI637" s="43"/>
      <c r="DJ637" s="43"/>
      <c r="DK637" s="43"/>
      <c r="DL637" s="43"/>
      <c r="DM637" s="43"/>
      <c r="DN637" s="43"/>
      <c r="DO637" s="43"/>
      <c r="DP637" s="43"/>
      <c r="DQ637" s="43"/>
      <c r="DR637" s="43"/>
      <c r="DS637" s="43"/>
      <c r="DT637" s="43"/>
      <c r="DU637" s="43"/>
      <c r="DV637" s="43"/>
      <c r="DW637" s="43"/>
      <c r="DX637" s="43"/>
      <c r="DY637" s="43"/>
      <c r="DZ637" s="43"/>
      <c r="EA637" s="43"/>
      <c r="EB637" s="43"/>
      <c r="EC637" s="43"/>
      <c r="ED637" s="43"/>
      <c r="EE637" s="43"/>
      <c r="EF637" s="43"/>
      <c r="EG637" s="43"/>
      <c r="EH637" s="43"/>
      <c r="EI637" s="43"/>
      <c r="EJ637" s="43"/>
      <c r="EK637" s="43"/>
      <c r="EL637" s="43"/>
      <c r="EM637" s="43"/>
      <c r="EN637" s="43"/>
      <c r="EO637" s="43"/>
      <c r="EP637" s="43"/>
      <c r="EQ637" s="43"/>
      <c r="ER637" s="43"/>
      <c r="ES637" s="43"/>
      <c r="ET637" s="43"/>
      <c r="EU637" s="43"/>
      <c r="EV637" s="43"/>
      <c r="EW637" s="43"/>
      <c r="EX637" s="43"/>
      <c r="EY637" s="43"/>
      <c r="EZ637" s="43"/>
      <c r="FA637" s="43"/>
      <c r="FB637" s="43"/>
      <c r="FC637" s="43"/>
      <c r="FD637" s="43"/>
      <c r="FE637" s="43"/>
      <c r="FF637" s="43"/>
      <c r="FG637" s="43"/>
      <c r="FH637" s="43"/>
    </row>
    <row r="638">
      <c r="A638" s="47" t="s">
        <v>28</v>
      </c>
      <c r="B638" s="47" t="s">
        <v>105</v>
      </c>
      <c r="C638" s="47" t="s">
        <v>11</v>
      </c>
      <c r="D638" s="43">
        <f t="shared" si="1"/>
        <v>0</v>
      </c>
      <c r="E638" s="43"/>
      <c r="F638" s="43"/>
      <c r="G638" s="44" t="str">
        <f>HYPERLINK("https://docs.google.com/spreadsheets/d/1e0OxDVuSSzjEQozZg6KazE0P8hiyNRnm", "RE-73.86007916666667")</f>
        <v>RE-73.86007916666667</v>
      </c>
      <c r="H638" s="43"/>
      <c r="I638" s="44" t="str">
        <f>HYPERLINK("https://docs.google.com/spreadsheets/d/1lTZwkjrKio4dJ3_J__49yzuWvGySibZn", "RE-16.30233958333333")</f>
        <v>RE-16.30233958333333</v>
      </c>
      <c r="J638" s="43"/>
      <c r="K638" s="44" t="str">
        <f>HYPERLINK("https://docs.google.com/spreadsheets/d/11GaIY5QEGcBaZ1ZrUFNE4LF6qpXDcMmP", "RE-3.2076875")</f>
        <v>RE-3.2076875</v>
      </c>
      <c r="L638" s="43"/>
      <c r="M638" s="44" t="str">
        <f>HYPERLINK("https://docs.google.com/spreadsheets/d/1s7H58Y7PZX7fRD7hoTr4dbWLr4vGa8al", "RE-10.836745833333332")</f>
        <v>RE-10.836745833333332</v>
      </c>
      <c r="N638" s="43"/>
      <c r="O638" s="44" t="str">
        <f>HYPERLINK("https://docs.google.com/spreadsheets/d/1jaRlwXM9wjcn0xZTVE1rjionSNLufzWu", "RE-142.10097916666672")</f>
        <v>RE-142.10097916666672</v>
      </c>
      <c r="P638" s="43"/>
      <c r="Q638" s="44" t="str">
        <f>HYPERLINK("https://docs.google.com/spreadsheets/d/1LtqItx6G_57Xc2o2HmYam_UjecXT7mC2", "RE-89.93430624999999")</f>
        <v>RE-89.93430624999999</v>
      </c>
      <c r="R638" s="43"/>
      <c r="S638" s="44" t="str">
        <f>HYPERLINK("https://docs.google.com/spreadsheets/d/1Y0Q_3SCnXOElcf1_hzqZaGOgo8dOWfrX", "RE-79.53010937499997")</f>
        <v>RE-79.53010937499997</v>
      </c>
      <c r="T638" s="43"/>
      <c r="U638" s="44" t="str">
        <f>HYPERLINK("https://docs.google.com/spreadsheets/d/1QYTHRjl50EgARr1VjiX5B2WLT_f8dhks", "RE-89.71891666666664")</f>
        <v>RE-89.71891666666664</v>
      </c>
      <c r="V638" s="44" t="str">
        <f>HYPERLINK("https://docs.google.com/spreadsheets/d/14Xb_moRkTfungO88k8Ht7FWfjk4UHsXL", "RE-10.750520833333333")</f>
        <v>RE-10.750520833333333</v>
      </c>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c r="BO638" s="43"/>
      <c r="BP638" s="43"/>
      <c r="BQ638" s="43"/>
      <c r="BR638" s="43"/>
      <c r="BS638" s="43"/>
      <c r="BT638" s="43"/>
      <c r="BU638" s="43"/>
      <c r="BV638" s="43"/>
      <c r="BW638" s="43"/>
      <c r="BX638" s="43"/>
      <c r="BY638" s="43"/>
      <c r="BZ638" s="43"/>
      <c r="CA638" s="43"/>
      <c r="CB638" s="43"/>
      <c r="CC638" s="43"/>
      <c r="CD638" s="43"/>
      <c r="CE638" s="43"/>
      <c r="CF638" s="43"/>
      <c r="CG638" s="43"/>
      <c r="CH638" s="43"/>
      <c r="CI638" s="43"/>
      <c r="CJ638" s="43"/>
      <c r="CK638" s="43"/>
      <c r="CL638" s="43"/>
      <c r="CM638" s="43"/>
      <c r="CN638" s="43"/>
      <c r="CO638" s="43"/>
      <c r="CP638" s="43"/>
      <c r="CQ638" s="43"/>
      <c r="CR638" s="43"/>
      <c r="CS638" s="43"/>
      <c r="CT638" s="43"/>
      <c r="CU638" s="43"/>
      <c r="CV638" s="43"/>
      <c r="CW638" s="43"/>
      <c r="CX638" s="43"/>
      <c r="CY638" s="43"/>
      <c r="CZ638" s="43"/>
      <c r="DA638" s="43"/>
      <c r="DB638" s="43"/>
      <c r="DC638" s="43"/>
      <c r="DD638" s="43"/>
      <c r="DE638" s="43"/>
      <c r="DF638" s="43"/>
      <c r="DG638" s="43"/>
      <c r="DH638" s="43"/>
      <c r="DI638" s="43"/>
      <c r="DJ638" s="43"/>
      <c r="DK638" s="43"/>
      <c r="DL638" s="43"/>
      <c r="DM638" s="43"/>
      <c r="DN638" s="43"/>
      <c r="DO638" s="43"/>
      <c r="DP638" s="43"/>
      <c r="DQ638" s="43"/>
      <c r="DR638" s="43"/>
      <c r="DS638" s="43"/>
      <c r="DT638" s="43"/>
      <c r="DU638" s="43"/>
      <c r="DV638" s="43"/>
      <c r="DW638" s="43"/>
      <c r="DX638" s="43"/>
      <c r="DY638" s="43"/>
      <c r="DZ638" s="43"/>
      <c r="EA638" s="43"/>
      <c r="EB638" s="43"/>
      <c r="EC638" s="43"/>
      <c r="ED638" s="43"/>
      <c r="EE638" s="43"/>
      <c r="EF638" s="43"/>
      <c r="EG638" s="43"/>
      <c r="EH638" s="43"/>
      <c r="EI638" s="43"/>
      <c r="EJ638" s="43"/>
      <c r="EK638" s="43"/>
      <c r="EL638" s="43"/>
      <c r="EM638" s="43"/>
      <c r="EN638" s="43"/>
      <c r="EO638" s="43"/>
      <c r="EP638" s="43"/>
      <c r="EQ638" s="43"/>
      <c r="ER638" s="43"/>
      <c r="ES638" s="43"/>
      <c r="ET638" s="43"/>
      <c r="EU638" s="43"/>
      <c r="EV638" s="43"/>
      <c r="EW638" s="43"/>
      <c r="EX638" s="43"/>
      <c r="EY638" s="43"/>
      <c r="EZ638" s="43"/>
      <c r="FA638" s="43"/>
      <c r="FB638" s="43"/>
      <c r="FC638" s="43"/>
      <c r="FD638" s="43"/>
      <c r="FE638" s="43"/>
      <c r="FF638" s="43"/>
      <c r="FG638" s="43"/>
      <c r="FH638" s="43"/>
    </row>
    <row r="639">
      <c r="A639" s="47" t="s">
        <v>28</v>
      </c>
      <c r="B639" s="47" t="s">
        <v>105</v>
      </c>
      <c r="C639" s="47" t="s">
        <v>12</v>
      </c>
      <c r="D639" s="43">
        <f t="shared" si="1"/>
        <v>3185.760919</v>
      </c>
      <c r="E639" s="43"/>
      <c r="F639" s="44" t="str">
        <f>HYPERLINK("https://docs.google.com/spreadsheets/d/1abosZth47KYlgI6zJwqaoqSCTlhm3VGK", "RE-431.96988541666667")</f>
        <v>RE-431.96988541666667</v>
      </c>
      <c r="G639" s="44" t="str">
        <f>HYPERLINK("https://docs.google.com/spreadsheets/d/1zgXhr8C2plBtSJLc4od0GxDmY2Y4sRwp", "RE-2.661983333333333")</f>
        <v>RE-2.661983333333333</v>
      </c>
      <c r="H639" s="44" t="str">
        <f>HYPERLINK("https://docs.google.com/spreadsheets/d/1W9D3ZoUJU-JNHKwe7AZOHI1MhsHHyukv", "RE-113.00737916666661")</f>
        <v>RE-113.00737916666661</v>
      </c>
      <c r="I639" s="44" t="str">
        <f>HYPERLINK("https://docs.google.com/spreadsheets/d/1Xgno9A2dNbrThw9TlX_O89mli24D1I0T", "RE-0.0")</f>
        <v>RE-0.0</v>
      </c>
      <c r="J639" s="44" t="str">
        <f>HYPERLINK("https://docs.google.com/spreadsheets/d/1ekk87j2KCxWaue7rKtydMqPdb5EK6peS", "RE-5.26976875")</f>
        <v>RE-5.26976875</v>
      </c>
      <c r="K639" s="44" t="str">
        <f>HYPERLINK("https://docs.google.com/spreadsheets/d/11wUHStjly2mUzuFHPV84axmoeWDkcXI8", "RE-0.0")</f>
        <v>RE-0.0</v>
      </c>
      <c r="L639" s="44">
        <f>HYPERLINK("https://docs.google.com/spreadsheets/d/1s7n5ZBSI9DzjtzQvlrXSXY8ZwEof0wJp", 690.689755208332)</f>
        <v>690.6897552</v>
      </c>
      <c r="M639" s="44" t="str">
        <f>HYPERLINK("https://docs.google.com/spreadsheets/d/13n4UoTbozLvzVKIVUtuF88ShRoY7CCMY", "RE-0.35664375")</f>
        <v>RE-0.35664375</v>
      </c>
      <c r="N639" s="44" t="str">
        <f>HYPERLINK("https://docs.google.com/spreadsheets/d/1zT5qxTJ5Pnri4JHDRGMIZ1BExKTJVlxM", "RE-1046.267490624999")</f>
        <v>RE-1046.267490624999</v>
      </c>
      <c r="O639" s="44" t="str">
        <f>HYPERLINK("https://docs.google.com/spreadsheets/d/1RqJaQTDorf2kR98s3lhFJwLcrkhnMdFg", "RE-2.8268104166666665")</f>
        <v>RE-2.8268104166666665</v>
      </c>
      <c r="P639" s="44">
        <f>HYPERLINK("https://docs.google.com/spreadsheets/d/1GupChPZWNFCZxJOiluAks7NiR29JbD_D", 1060.27974895833)</f>
        <v>1060.279749</v>
      </c>
      <c r="Q639" s="44" t="str">
        <f>HYPERLINK("https://docs.google.com/spreadsheets/d/1qYx158D0NLSddx0m0IBWMB-994o8QnEN", "RE-26.817908333333328")</f>
        <v>RE-26.817908333333328</v>
      </c>
      <c r="R639" s="44">
        <f>HYPERLINK("https://docs.google.com/spreadsheets/d/1huWxzCW3l8QFg9hqTpAwiPJTHPHAJQgr", 981.876831249999)</f>
        <v>981.8768312</v>
      </c>
      <c r="S639" s="44" t="str">
        <f>HYPERLINK("https://docs.google.com/spreadsheets/d/1s3KHVvOxsLnd3mHmEMZP_WyAb1bdInMW", "RE-31.429090624999994")</f>
        <v>RE-31.429090624999994</v>
      </c>
      <c r="T639" s="44">
        <f>HYPERLINK("https://docs.google.com/spreadsheets/d/1GWJLsPhhyD392vjKCgRlrHVRx0J1EviO", 452.914583333333)</f>
        <v>452.9145833</v>
      </c>
      <c r="U639" s="44" t="str">
        <f>HYPERLINK("https://docs.google.com/spreadsheets/d/1Ibzy6BF559aMvM8LVLdcU-7c9W9RTrOc", "RE-36.69775208333335")</f>
        <v>RE-36.69775208333335</v>
      </c>
      <c r="V639" s="44" t="str">
        <f>HYPERLINK("https://docs.google.com/spreadsheets/d/1SoakKKtsooLdH-gereMMXFqc4C_9l_Tb", "RE-6.828885416666666")</f>
        <v>RE-6.828885416666666</v>
      </c>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c r="BO639" s="43"/>
      <c r="BP639" s="43"/>
      <c r="BQ639" s="43"/>
      <c r="BR639" s="43"/>
      <c r="BS639" s="43"/>
      <c r="BT639" s="43"/>
      <c r="BU639" s="43"/>
      <c r="BV639" s="43"/>
      <c r="BW639" s="43"/>
      <c r="BX639" s="43"/>
      <c r="BY639" s="43"/>
      <c r="BZ639" s="43"/>
      <c r="CA639" s="43"/>
      <c r="CB639" s="43"/>
      <c r="CC639" s="43"/>
      <c r="CD639" s="43"/>
      <c r="CE639" s="43"/>
      <c r="CF639" s="43"/>
      <c r="CG639" s="43"/>
      <c r="CH639" s="43"/>
      <c r="CI639" s="43"/>
      <c r="CJ639" s="43"/>
      <c r="CK639" s="43"/>
      <c r="CL639" s="43"/>
      <c r="CM639" s="43"/>
      <c r="CN639" s="43"/>
      <c r="CO639" s="43"/>
      <c r="CP639" s="43"/>
      <c r="CQ639" s="43"/>
      <c r="CR639" s="43"/>
      <c r="CS639" s="43"/>
      <c r="CT639" s="43"/>
      <c r="CU639" s="43"/>
      <c r="CV639" s="43"/>
      <c r="CW639" s="43"/>
      <c r="CX639" s="43"/>
      <c r="CY639" s="43"/>
      <c r="CZ639" s="43"/>
      <c r="DA639" s="43"/>
      <c r="DB639" s="43"/>
      <c r="DC639" s="43"/>
      <c r="DD639" s="43"/>
      <c r="DE639" s="43"/>
      <c r="DF639" s="43"/>
      <c r="DG639" s="43"/>
      <c r="DH639" s="43"/>
      <c r="DI639" s="43"/>
      <c r="DJ639" s="43"/>
      <c r="DK639" s="43"/>
      <c r="DL639" s="43"/>
      <c r="DM639" s="43"/>
      <c r="DN639" s="43"/>
      <c r="DO639" s="43"/>
      <c r="DP639" s="43"/>
      <c r="DQ639" s="43"/>
      <c r="DR639" s="43"/>
      <c r="DS639" s="43"/>
      <c r="DT639" s="43"/>
      <c r="DU639" s="43"/>
      <c r="DV639" s="43"/>
      <c r="DW639" s="43"/>
      <c r="DX639" s="43"/>
      <c r="DY639" s="43"/>
      <c r="DZ639" s="43"/>
      <c r="EA639" s="43"/>
      <c r="EB639" s="43"/>
      <c r="EC639" s="43"/>
      <c r="ED639" s="43"/>
      <c r="EE639" s="43"/>
      <c r="EF639" s="43"/>
      <c r="EG639" s="43"/>
      <c r="EH639" s="43"/>
      <c r="EI639" s="43"/>
      <c r="EJ639" s="43"/>
      <c r="EK639" s="43"/>
      <c r="EL639" s="43"/>
      <c r="EM639" s="43"/>
      <c r="EN639" s="43"/>
      <c r="EO639" s="43"/>
      <c r="EP639" s="43"/>
      <c r="EQ639" s="43"/>
      <c r="ER639" s="43"/>
      <c r="ES639" s="43"/>
      <c r="ET639" s="43"/>
      <c r="EU639" s="43"/>
      <c r="EV639" s="43"/>
      <c r="EW639" s="43"/>
      <c r="EX639" s="43"/>
      <c r="EY639" s="43"/>
      <c r="EZ639" s="43"/>
      <c r="FA639" s="43"/>
      <c r="FB639" s="43"/>
      <c r="FC639" s="43"/>
      <c r="FD639" s="43"/>
      <c r="FE639" s="43"/>
      <c r="FF639" s="43"/>
      <c r="FG639" s="43"/>
      <c r="FH639" s="43"/>
    </row>
    <row r="640">
      <c r="A640" s="47" t="s">
        <v>28</v>
      </c>
      <c r="B640" s="47" t="s">
        <v>105</v>
      </c>
      <c r="C640" s="47" t="s">
        <v>13</v>
      </c>
      <c r="D640" s="43">
        <f t="shared" si="1"/>
        <v>3037.122</v>
      </c>
      <c r="E640" s="43"/>
      <c r="F640" s="44" t="str">
        <f>HYPERLINK("https://docs.google.com/spreadsheets/d/12t2FZNOhRLA8lB4UUJupzdPWiiif10cx?usp=share_link", "RE-402.406")</f>
        <v>RE-402.406</v>
      </c>
      <c r="G640" s="44" t="str">
        <f>HYPERLINK("https://docs.google.com/spreadsheets/d/1XpIK_082skJq-sk-Sz4Vxu9t-ic99iqZ?usp=share_link", "RE-2.32075")</f>
        <v>RE-2.32075</v>
      </c>
      <c r="H640" s="44" t="str">
        <f>HYPERLINK("https://docs.google.com/spreadsheets/d/1Dm998tHZCjp-FOTYFSRC8qQiIDRK3bH1?usp=share_link", "RE-107.072")</f>
        <v>RE-107.072</v>
      </c>
      <c r="I640" s="43"/>
      <c r="J640" s="44" t="str">
        <f>HYPERLINK("https://docs.google.com/spreadsheets/d/102fpMMPWoL4auT1a8QAPUMs8cp2MLriF?usp=share_link", "RE-5.02983")</f>
        <v>RE-5.02983</v>
      </c>
      <c r="K640" s="43"/>
      <c r="L640" s="44">
        <f>HYPERLINK("https://docs.google.com/spreadsheets/d/1XX3D2QowGoOwtIQnSub4yVThj5XeaZ5e?usp=share_link", 665.314)</f>
        <v>665.314</v>
      </c>
      <c r="M640" s="44" t="str">
        <f>HYPERLINK("https://docs.google.com/spreadsheets/d/1lLcEIUsC_4PzaSyARLGqZXufLwmqVE_U?usp=share_link", "RE-0.3286")</f>
        <v>RE-0.3286</v>
      </c>
      <c r="N640" s="44" t="str">
        <f>HYPERLINK("https://docs.google.com/spreadsheets/d/1HWusFNqOkMCHsLdGby-RMYisxHyA3FUK?usp=share_link", "RE-1005.7")</f>
        <v>RE-1005.7</v>
      </c>
      <c r="O640" s="44" t="str">
        <f>HYPERLINK("https://docs.google.com/spreadsheets/d/1FNAk8mJo5hyULa-oPG2URy_5dvEjCXAK?usp=share_link", "RE-2.68932")</f>
        <v>RE-2.68932</v>
      </c>
      <c r="P640" s="44">
        <f>HYPERLINK("https://docs.google.com/spreadsheets/d/1zh5XrvS-CDCw_WUAlVpYUdVyHm6e4Slu?usp=share_link", 1006.68)</f>
        <v>1006.68</v>
      </c>
      <c r="Q640" s="44" t="str">
        <f>HYPERLINK("https://docs.google.com/spreadsheets/d/1KWWMcISuIxm78F7bDxiu-qB_QmHIG_EB?usp=share_link", "RE-25.2569")</f>
        <v>RE-25.2569</v>
      </c>
      <c r="R640" s="44">
        <f>HYPERLINK("https://docs.google.com/spreadsheets/d/1aWYJBvDEH7KXf8zzMhB9wmYtd-KyNZ_H?usp=share_link", 934.171)</f>
        <v>934.171</v>
      </c>
      <c r="S640" s="44" t="str">
        <f>HYPERLINK("https://docs.google.com/spreadsheets/d/1JPKuD7Y46UuYpqXzlHY-Dm35uIeIy-T0?usp=share_link", "RE-29.3083")</f>
        <v>RE-29.3083</v>
      </c>
      <c r="T640" s="44">
        <f>HYPERLINK("https://docs.google.com/spreadsheets/d/1uzxQc8OTkACuSPFT3YVtgsE9odPRxKxD?usp=share_link", 430.957)</f>
        <v>430.957</v>
      </c>
      <c r="U640" s="44" t="str">
        <f>HYPERLINK("https://docs.google.com/spreadsheets/d/1lxGuNz5Gf5kuYmKKe2IWIL39-TYqYK3b?usp=share_link", "RE-35.1431")</f>
        <v>RE-35.1431</v>
      </c>
      <c r="V640" s="44" t="str">
        <f>HYPERLINK("https://docs.google.com/spreadsheets/d/1PRYgUWTrFspuJ5g62cQuEHSLVyhngAiJ?usp=share_link", "RE-6.44748")</f>
        <v>RE-6.44748</v>
      </c>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c r="BO640" s="43"/>
      <c r="BP640" s="43"/>
      <c r="BQ640" s="43"/>
      <c r="BR640" s="43"/>
      <c r="BS640" s="43"/>
      <c r="BT640" s="43"/>
      <c r="BU640" s="43"/>
      <c r="BV640" s="43"/>
      <c r="BW640" s="43"/>
      <c r="BX640" s="43"/>
      <c r="BY640" s="43"/>
      <c r="BZ640" s="43"/>
      <c r="CA640" s="43"/>
      <c r="CB640" s="43"/>
      <c r="CC640" s="43"/>
      <c r="CD640" s="43"/>
      <c r="CE640" s="43"/>
      <c r="CF640" s="43"/>
      <c r="CG640" s="43"/>
      <c r="CH640" s="43"/>
      <c r="CI640" s="43"/>
      <c r="CJ640" s="43"/>
      <c r="CK640" s="43"/>
      <c r="CL640" s="43"/>
      <c r="CM640" s="43"/>
      <c r="CN640" s="43"/>
      <c r="CO640" s="43"/>
      <c r="CP640" s="43"/>
      <c r="CQ640" s="43"/>
      <c r="CR640" s="43"/>
      <c r="CS640" s="43"/>
      <c r="CT640" s="43"/>
      <c r="CU640" s="43"/>
      <c r="CV640" s="43"/>
      <c r="CW640" s="43"/>
      <c r="CX640" s="43"/>
      <c r="CY640" s="43"/>
      <c r="CZ640" s="43"/>
      <c r="DA640" s="43"/>
      <c r="DB640" s="43"/>
      <c r="DC640" s="43"/>
      <c r="DD640" s="43"/>
      <c r="DE640" s="43"/>
      <c r="DF640" s="43"/>
      <c r="DG640" s="43"/>
      <c r="DH640" s="43"/>
      <c r="DI640" s="43"/>
      <c r="DJ640" s="43"/>
      <c r="DK640" s="43"/>
      <c r="DL640" s="43"/>
      <c r="DM640" s="43"/>
      <c r="DN640" s="43"/>
      <c r="DO640" s="43"/>
      <c r="DP640" s="43"/>
      <c r="DQ640" s="43"/>
      <c r="DR640" s="43"/>
      <c r="DS640" s="43"/>
      <c r="DT640" s="43"/>
      <c r="DU640" s="43"/>
      <c r="DV640" s="43"/>
      <c r="DW640" s="43"/>
      <c r="DX640" s="43"/>
      <c r="DY640" s="43"/>
      <c r="DZ640" s="43"/>
      <c r="EA640" s="43"/>
      <c r="EB640" s="43"/>
      <c r="EC640" s="43"/>
      <c r="ED640" s="43"/>
      <c r="EE640" s="43"/>
      <c r="EF640" s="43"/>
      <c r="EG640" s="43"/>
      <c r="EH640" s="43"/>
      <c r="EI640" s="43"/>
      <c r="EJ640" s="43"/>
      <c r="EK640" s="43"/>
      <c r="EL640" s="43"/>
      <c r="EM640" s="43"/>
      <c r="EN640" s="43"/>
      <c r="EO640" s="43"/>
      <c r="EP640" s="43"/>
      <c r="EQ640" s="43"/>
      <c r="ER640" s="43"/>
      <c r="ES640" s="43"/>
      <c r="ET640" s="43"/>
      <c r="EU640" s="43"/>
      <c r="EV640" s="43"/>
      <c r="EW640" s="43"/>
      <c r="EX640" s="43"/>
      <c r="EY640" s="43"/>
      <c r="EZ640" s="43"/>
      <c r="FA640" s="43"/>
      <c r="FB640" s="43"/>
      <c r="FC640" s="43"/>
      <c r="FD640" s="43"/>
      <c r="FE640" s="43"/>
      <c r="FF640" s="43"/>
      <c r="FG640" s="43"/>
      <c r="FH640" s="43"/>
    </row>
    <row r="641">
      <c r="A641" s="47" t="s">
        <v>28</v>
      </c>
      <c r="B641" s="47" t="s">
        <v>105</v>
      </c>
      <c r="C641" s="47" t="s">
        <v>14</v>
      </c>
      <c r="D641" s="43">
        <f t="shared" si="1"/>
        <v>2615.538</v>
      </c>
      <c r="E641" s="43"/>
      <c r="F641" s="44" t="str">
        <f>HYPERLINK("https://docs.google.com/spreadsheets/d/1dOS14gyGvX7Hy06_oCtAruWsUMw3mKhR?usp=share_link", "RE-359.935")</f>
        <v>RE-359.935</v>
      </c>
      <c r="G641" s="44" t="str">
        <f>HYPERLINK("https://docs.google.com/spreadsheets/d/18MRZ1r3T0AsdA7AODpd2GoQOo3aqPDez?usp=share_link", "RE-1.99035")</f>
        <v>RE-1.99035</v>
      </c>
      <c r="H641" s="44" t="str">
        <f>HYPERLINK("https://docs.google.com/spreadsheets/d/1dpjla-CZs0pEwfMjH0rVnLC3W7Lhzfb_?usp=share_link", "RE-99.0086")</f>
        <v>RE-99.0086</v>
      </c>
      <c r="I641" s="43"/>
      <c r="J641" s="44" t="str">
        <f>HYPERLINK("https://docs.google.com/spreadsheets/d/1CcYslAmq33VumIybeOMePwPIQj6XJBAj?usp=share_link", "RE-4.82493")</f>
        <v>RE-4.82493</v>
      </c>
      <c r="K641" s="43"/>
      <c r="L641" s="44">
        <f>HYPERLINK("https://docs.google.com/spreadsheets/d/13wmVm-NVg6HkQroFHnb-gkEe8ZHGfUNm?usp=share_link", 583.432)</f>
        <v>583.432</v>
      </c>
      <c r="M641" s="44" t="str">
        <f>HYPERLINK("https://docs.google.com/spreadsheets/d/1WdY31hx-Vf8uETAUtb-ctWnkjAF7u5mV?usp=share_link", "RE-0.3286")</f>
        <v>RE-0.3286</v>
      </c>
      <c r="N641" s="44" t="str">
        <f>HYPERLINK("https://docs.google.com/spreadsheets/d/1cUDytqNX1KhRh_39w0qLhMZxgfnHnF09?usp=share_link", "RE-867.288")</f>
        <v>RE-867.288</v>
      </c>
      <c r="O641" s="44" t="str">
        <f>HYPERLINK("https://docs.google.com/spreadsheets/d/1NMfhooRys8pgwSK7Ic7lTGbHy0Ibz_3o?usp=share_link", "RE-2.48948")</f>
        <v>RE-2.48948</v>
      </c>
      <c r="P641" s="44">
        <f>HYPERLINK("https://docs.google.com/spreadsheets/d/1OGAcjSSGahGqdmSfl8mHZM47gzbfdgCM?usp=share_link", 870.593)</f>
        <v>870.593</v>
      </c>
      <c r="Q641" s="44" t="str">
        <f>HYPERLINK("https://docs.google.com/spreadsheets/d/1AgZOv2BBazivDLrP_4lfr91j62RAM8hv?usp=share_link", "RE-21.9203")</f>
        <v>RE-21.9203</v>
      </c>
      <c r="R641" s="44">
        <f>HYPERLINK("https://docs.google.com/spreadsheets/d/1gzPEwDO7SkIwdgxCIcxGEi6bnXF7RnkA?usp=share_link", 800.107)</f>
        <v>800.107</v>
      </c>
      <c r="S641" s="44" t="str">
        <f>HYPERLINK("https://docs.google.com/spreadsheets/d/1VmZI7kJM8T65MFTAfKQnIG4eHyW4Yc0b?usp=share_link", "RE-26.5179")</f>
        <v>RE-26.5179</v>
      </c>
      <c r="T641" s="44">
        <f>HYPERLINK("https://docs.google.com/spreadsheets/d/1BWM_Rh4qDZhm268ftjJ7y-hsULPmfeG-?usp=share_link", 361.406)</f>
        <v>361.406</v>
      </c>
      <c r="U641" s="44" t="str">
        <f>HYPERLINK("https://docs.google.com/spreadsheets/d/1DGLOg1xdZc-9T8z915s_U2u1F8jTFjyu?usp=share_link", "RE-33.0039")</f>
        <v>RE-33.0039</v>
      </c>
      <c r="V641" s="44" t="str">
        <f>HYPERLINK("https://docs.google.com/spreadsheets/d/1tl5qV1sUNgYhe2WQ5ONCjCOBv7rmMk9y?usp=share_link", "RE-5.39323")</f>
        <v>RE-5.39323</v>
      </c>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c r="BO641" s="43"/>
      <c r="BP641" s="43"/>
      <c r="BQ641" s="43"/>
      <c r="BR641" s="43"/>
      <c r="BS641" s="43"/>
      <c r="BT641" s="43"/>
      <c r="BU641" s="43"/>
      <c r="BV641" s="43"/>
      <c r="BW641" s="43"/>
      <c r="BX641" s="43"/>
      <c r="BY641" s="43"/>
      <c r="BZ641" s="43"/>
      <c r="CA641" s="43"/>
      <c r="CB641" s="43"/>
      <c r="CC641" s="43"/>
      <c r="CD641" s="43"/>
      <c r="CE641" s="43"/>
      <c r="CF641" s="43"/>
      <c r="CG641" s="43"/>
      <c r="CH641" s="43"/>
      <c r="CI641" s="43"/>
      <c r="CJ641" s="43"/>
      <c r="CK641" s="43"/>
      <c r="CL641" s="43"/>
      <c r="CM641" s="43"/>
      <c r="CN641" s="43"/>
      <c r="CO641" s="43"/>
      <c r="CP641" s="43"/>
      <c r="CQ641" s="43"/>
      <c r="CR641" s="43"/>
      <c r="CS641" s="43"/>
      <c r="CT641" s="43"/>
      <c r="CU641" s="43"/>
      <c r="CV641" s="43"/>
      <c r="CW641" s="43"/>
      <c r="CX641" s="43"/>
      <c r="CY641" s="43"/>
      <c r="CZ641" s="43"/>
      <c r="DA641" s="43"/>
      <c r="DB641" s="43"/>
      <c r="DC641" s="43"/>
      <c r="DD641" s="43"/>
      <c r="DE641" s="43"/>
      <c r="DF641" s="43"/>
      <c r="DG641" s="43"/>
      <c r="DH641" s="43"/>
      <c r="DI641" s="43"/>
      <c r="DJ641" s="43"/>
      <c r="DK641" s="43"/>
      <c r="DL641" s="43"/>
      <c r="DM641" s="43"/>
      <c r="DN641" s="43"/>
      <c r="DO641" s="43"/>
      <c r="DP641" s="43"/>
      <c r="DQ641" s="43"/>
      <c r="DR641" s="43"/>
      <c r="DS641" s="43"/>
      <c r="DT641" s="43"/>
      <c r="DU641" s="43"/>
      <c r="DV641" s="43"/>
      <c r="DW641" s="43"/>
      <c r="DX641" s="43"/>
      <c r="DY641" s="43"/>
      <c r="DZ641" s="43"/>
      <c r="EA641" s="43"/>
      <c r="EB641" s="43"/>
      <c r="EC641" s="43"/>
      <c r="ED641" s="43"/>
      <c r="EE641" s="43"/>
      <c r="EF641" s="43"/>
      <c r="EG641" s="43"/>
      <c r="EH641" s="43"/>
      <c r="EI641" s="43"/>
      <c r="EJ641" s="43"/>
      <c r="EK641" s="43"/>
      <c r="EL641" s="43"/>
      <c r="EM641" s="43"/>
      <c r="EN641" s="43"/>
      <c r="EO641" s="43"/>
      <c r="EP641" s="43"/>
      <c r="EQ641" s="43"/>
      <c r="ER641" s="43"/>
      <c r="ES641" s="43"/>
      <c r="ET641" s="43"/>
      <c r="EU641" s="43"/>
      <c r="EV641" s="43"/>
      <c r="EW641" s="43"/>
      <c r="EX641" s="43"/>
      <c r="EY641" s="43"/>
      <c r="EZ641" s="43"/>
      <c r="FA641" s="43"/>
      <c r="FB641" s="43"/>
      <c r="FC641" s="43"/>
      <c r="FD641" s="43"/>
      <c r="FE641" s="43"/>
      <c r="FF641" s="43"/>
      <c r="FG641" s="43"/>
      <c r="FH641" s="43"/>
    </row>
    <row r="642">
      <c r="A642" s="48" t="s">
        <v>28</v>
      </c>
      <c r="B642" s="48" t="s">
        <v>105</v>
      </c>
      <c r="C642" s="48" t="s">
        <v>15</v>
      </c>
      <c r="D642" s="36">
        <f t="shared" si="1"/>
        <v>3037.122</v>
      </c>
      <c r="E642" s="36"/>
      <c r="F642" s="37" t="str">
        <f>HYPERLINK("https://docs.google.com/spreadsheets/d/1Q31hRrpy9rwPib3NHwZXGpu5QZkiX1kS?usp=share_link", "RE-402.406")</f>
        <v>RE-402.406</v>
      </c>
      <c r="G642" s="37" t="str">
        <f>HYPERLINK("https://docs.google.com/spreadsheets/d/1mwWmHB6VVu-jlVM4wVUA0DIsEXJ5U0_K?usp=share_link", "RE-2.32075")</f>
        <v>RE-2.32075</v>
      </c>
      <c r="H642" s="37" t="str">
        <f>HYPERLINK("https://docs.google.com/spreadsheets/d/1IttesJexZA6CicDZqOjVuejyB0MKksHq?usp=share_link", "RE-107.072")</f>
        <v>RE-107.072</v>
      </c>
      <c r="I642" s="36"/>
      <c r="J642" s="37" t="str">
        <f>HYPERLINK("https://docs.google.com/spreadsheets/d/1o0Z5Ta-JkZwdOFoAAHX-xFFiK_E-jqj7?usp=share_link", "RE-5.02983")</f>
        <v>RE-5.02983</v>
      </c>
      <c r="K642" s="36"/>
      <c r="L642" s="37">
        <f>HYPERLINK("https://docs.google.com/spreadsheets/d/1Ldd5Npt9t5DqaOsFT6Egy9rMvjW2Q5A3?usp=share_link", 665.314)</f>
        <v>665.314</v>
      </c>
      <c r="M642" s="37" t="str">
        <f>HYPERLINK("https://docs.google.com/spreadsheets/d/1EkdW3NU1jnhfvZp_Jx2aULoPPOzx8FYc?usp=share_link", "RE-0.3286")</f>
        <v>RE-0.3286</v>
      </c>
      <c r="N642" s="37" t="str">
        <f>HYPERLINK("https://docs.google.com/spreadsheets/d/1ZH9BaEvO-H6KYtn_JLnfLrZ3kLpEZMi-?usp=share_link", "RE-1005.7")</f>
        <v>RE-1005.7</v>
      </c>
      <c r="O642" s="37" t="str">
        <f>HYPERLINK("https://docs.google.com/spreadsheets/d/1xXVqAFpkB1zua6Qax5qYaZlBcSu98qTX?usp=share_link", "RE-2.68932")</f>
        <v>RE-2.68932</v>
      </c>
      <c r="P642" s="37">
        <f>HYPERLINK("https://docs.google.com/spreadsheets/d/12dyvOYRz06PQK6x6tEGdg9gl9turTrAb?usp=share_link", 1006.68)</f>
        <v>1006.68</v>
      </c>
      <c r="Q642" s="37" t="str">
        <f>HYPERLINK("https://docs.google.com/spreadsheets/d/1ExFfyt7IavmsLIK1eWpTl43v-aZ9BG8E?usp=share_link", "RE-25.2569")</f>
        <v>RE-25.2569</v>
      </c>
      <c r="R642" s="37">
        <f>HYPERLINK("https://docs.google.com/spreadsheets/d/1uIeuq8uPTyU3EnCGbGecJGOuaeEnK6u8?usp=share_link", 934.171)</f>
        <v>934.171</v>
      </c>
      <c r="S642" s="37" t="str">
        <f>HYPERLINK("https://docs.google.com/spreadsheets/d/1k3S9yRh4irQdroc14E4ObfArBqz7WNJD?usp=share_link", "RE-29.3083")</f>
        <v>RE-29.3083</v>
      </c>
      <c r="T642" s="37">
        <f>HYPERLINK("https://docs.google.com/spreadsheets/d/1QMOiwBC4kZ5IGA8jZI-Kdd2mPTAW66wi?usp=share_link", 430.957)</f>
        <v>430.957</v>
      </c>
      <c r="U642" s="37" t="str">
        <f>HYPERLINK("https://docs.google.com/spreadsheets/d/111RDWT_sBYkEkEgwZEUP-CycJb9m9H4E?usp=share_link", "RE-35.1431")</f>
        <v>RE-35.1431</v>
      </c>
      <c r="V642" s="37" t="str">
        <f>HYPERLINK("https://docs.google.com/spreadsheets/d/1mIpSh9mDuQOPUyikLE3VaWTABJpqMzw8?usp=share_link", "RE-6.44748")</f>
        <v>RE-6.44748</v>
      </c>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6"/>
      <c r="AZ642" s="36"/>
      <c r="BA642" s="36"/>
      <c r="BB642" s="36"/>
      <c r="BC642" s="36"/>
      <c r="BD642" s="36"/>
      <c r="BE642" s="36"/>
      <c r="BF642" s="36"/>
      <c r="BG642" s="36"/>
      <c r="BH642" s="36"/>
      <c r="BI642" s="36"/>
      <c r="BJ642" s="36"/>
      <c r="BK642" s="36"/>
      <c r="BL642" s="36"/>
      <c r="BM642" s="36"/>
      <c r="BN642" s="36"/>
      <c r="BO642" s="36"/>
      <c r="BP642" s="36"/>
      <c r="BQ642" s="36"/>
      <c r="BR642" s="36"/>
      <c r="BS642" s="36"/>
      <c r="BT642" s="36"/>
      <c r="BU642" s="36"/>
      <c r="BV642" s="36"/>
      <c r="BW642" s="36"/>
      <c r="BX642" s="36"/>
      <c r="BY642" s="36"/>
      <c r="BZ642" s="36"/>
      <c r="CA642" s="36"/>
      <c r="CB642" s="36"/>
      <c r="CC642" s="36"/>
      <c r="CD642" s="36"/>
      <c r="CE642" s="36"/>
      <c r="CF642" s="36"/>
      <c r="CG642" s="36"/>
      <c r="CH642" s="36"/>
      <c r="CI642" s="36"/>
      <c r="CJ642" s="36"/>
      <c r="CK642" s="36"/>
      <c r="CL642" s="36"/>
      <c r="CM642" s="36"/>
      <c r="CN642" s="36"/>
      <c r="CO642" s="36"/>
      <c r="CP642" s="36"/>
      <c r="CQ642" s="36"/>
      <c r="CR642" s="36"/>
      <c r="CS642" s="36"/>
      <c r="CT642" s="36"/>
      <c r="CU642" s="36"/>
      <c r="CV642" s="36"/>
      <c r="CW642" s="36"/>
      <c r="CX642" s="36"/>
      <c r="CY642" s="36"/>
      <c r="CZ642" s="36"/>
      <c r="DA642" s="36"/>
      <c r="DB642" s="36"/>
      <c r="DC642" s="36"/>
      <c r="DD642" s="36"/>
      <c r="DE642" s="36"/>
      <c r="DF642" s="36"/>
      <c r="DG642" s="36"/>
      <c r="DH642" s="36"/>
      <c r="DI642" s="36"/>
      <c r="DJ642" s="36"/>
      <c r="DK642" s="36"/>
      <c r="DL642" s="36"/>
      <c r="DM642" s="36"/>
      <c r="DN642" s="36"/>
      <c r="DO642" s="36"/>
      <c r="DP642" s="36"/>
      <c r="DQ642" s="36"/>
      <c r="DR642" s="36"/>
      <c r="DS642" s="36"/>
      <c r="DT642" s="36"/>
      <c r="DU642" s="36"/>
      <c r="DV642" s="36"/>
      <c r="DW642" s="36"/>
      <c r="DX642" s="36"/>
      <c r="DY642" s="36"/>
      <c r="DZ642" s="36"/>
      <c r="EA642" s="36"/>
      <c r="EB642" s="36"/>
      <c r="EC642" s="36"/>
      <c r="ED642" s="36"/>
      <c r="EE642" s="36"/>
      <c r="EF642" s="36"/>
      <c r="EG642" s="36"/>
      <c r="EH642" s="36"/>
      <c r="EI642" s="36"/>
      <c r="EJ642" s="36"/>
      <c r="EK642" s="36"/>
      <c r="EL642" s="36"/>
      <c r="EM642" s="36"/>
      <c r="EN642" s="36"/>
      <c r="EO642" s="36"/>
      <c r="EP642" s="36"/>
      <c r="EQ642" s="36"/>
      <c r="ER642" s="36"/>
      <c r="ES642" s="36"/>
      <c r="ET642" s="36"/>
      <c r="EU642" s="36"/>
      <c r="EV642" s="36"/>
      <c r="EW642" s="36"/>
      <c r="EX642" s="36"/>
      <c r="EY642" s="36"/>
      <c r="EZ642" s="36"/>
      <c r="FA642" s="36"/>
      <c r="FB642" s="36"/>
      <c r="FC642" s="36"/>
      <c r="FD642" s="36"/>
      <c r="FE642" s="36"/>
      <c r="FF642" s="36"/>
      <c r="FG642" s="36"/>
      <c r="FH642" s="36"/>
    </row>
    <row r="643">
      <c r="A643" s="43"/>
      <c r="B643" s="43"/>
      <c r="C643" s="43"/>
      <c r="D643" s="43">
        <f t="shared" si="1"/>
        <v>0</v>
      </c>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c r="BO643" s="43"/>
      <c r="BP643" s="43"/>
      <c r="BQ643" s="43"/>
      <c r="BR643" s="43"/>
      <c r="BS643" s="43"/>
      <c r="BT643" s="43"/>
      <c r="BU643" s="43"/>
      <c r="BV643" s="43"/>
      <c r="BW643" s="43"/>
      <c r="BX643" s="43"/>
      <c r="BY643" s="43"/>
      <c r="BZ643" s="43"/>
      <c r="CA643" s="43"/>
      <c r="CB643" s="43"/>
      <c r="CC643" s="43"/>
      <c r="CD643" s="43"/>
      <c r="CE643" s="43"/>
      <c r="CF643" s="43"/>
      <c r="CG643" s="43"/>
      <c r="CH643" s="43"/>
      <c r="CI643" s="43"/>
      <c r="CJ643" s="43"/>
      <c r="CK643" s="43"/>
      <c r="CL643" s="43"/>
      <c r="CM643" s="43"/>
      <c r="CN643" s="43"/>
      <c r="CO643" s="43"/>
      <c r="CP643" s="43"/>
      <c r="CQ643" s="43"/>
      <c r="CR643" s="43"/>
      <c r="CS643" s="43"/>
      <c r="CT643" s="43"/>
      <c r="CU643" s="43"/>
      <c r="CV643" s="43"/>
      <c r="CW643" s="43"/>
      <c r="CX643" s="43"/>
      <c r="CY643" s="43"/>
      <c r="CZ643" s="43"/>
      <c r="DA643" s="43"/>
      <c r="DB643" s="43"/>
      <c r="DC643" s="43"/>
      <c r="DD643" s="43"/>
      <c r="DE643" s="43"/>
      <c r="DF643" s="43"/>
      <c r="DG643" s="43"/>
      <c r="DH643" s="43"/>
      <c r="DI643" s="43"/>
      <c r="DJ643" s="43"/>
      <c r="DK643" s="43"/>
      <c r="DL643" s="43"/>
      <c r="DM643" s="43"/>
      <c r="DN643" s="43"/>
      <c r="DO643" s="43"/>
      <c r="DP643" s="43"/>
      <c r="DQ643" s="43"/>
      <c r="DR643" s="43"/>
      <c r="DS643" s="43"/>
      <c r="DT643" s="43"/>
      <c r="DU643" s="43"/>
      <c r="DV643" s="43"/>
      <c r="DW643" s="43"/>
      <c r="DX643" s="43"/>
      <c r="DY643" s="43"/>
      <c r="DZ643" s="43"/>
      <c r="EA643" s="43"/>
      <c r="EB643" s="43"/>
      <c r="EC643" s="43"/>
      <c r="ED643" s="43"/>
      <c r="EE643" s="43"/>
      <c r="EF643" s="43"/>
      <c r="EG643" s="43"/>
      <c r="EH643" s="43"/>
      <c r="EI643" s="43"/>
      <c r="EJ643" s="43"/>
      <c r="EK643" s="43"/>
      <c r="EL643" s="43"/>
      <c r="EM643" s="43"/>
      <c r="EN643" s="43"/>
      <c r="EO643" s="43"/>
      <c r="EP643" s="43"/>
      <c r="EQ643" s="43"/>
      <c r="ER643" s="43"/>
      <c r="ES643" s="43"/>
      <c r="ET643" s="43"/>
      <c r="EU643" s="43"/>
      <c r="EV643" s="43"/>
      <c r="EW643" s="43"/>
      <c r="EX643" s="43"/>
      <c r="EY643" s="43"/>
      <c r="EZ643" s="43"/>
      <c r="FA643" s="43"/>
      <c r="FB643" s="43"/>
      <c r="FC643" s="43"/>
      <c r="FD643" s="43"/>
      <c r="FE643" s="43"/>
      <c r="FF643" s="43"/>
      <c r="FG643" s="43"/>
      <c r="FH643" s="43"/>
    </row>
    <row r="644">
      <c r="A644" s="43"/>
      <c r="B644" s="43"/>
      <c r="C644" s="43"/>
      <c r="D644" s="43">
        <f t="shared" si="1"/>
        <v>0</v>
      </c>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c r="BO644" s="43"/>
      <c r="BP644" s="43"/>
      <c r="BQ644" s="43"/>
      <c r="BR644" s="43"/>
      <c r="BS644" s="43"/>
      <c r="BT644" s="43"/>
      <c r="BU644" s="43"/>
      <c r="BV644" s="43"/>
      <c r="BW644" s="43"/>
      <c r="BX644" s="43"/>
      <c r="BY644" s="43"/>
      <c r="BZ644" s="43"/>
      <c r="CA644" s="43"/>
      <c r="CB644" s="43"/>
      <c r="CC644" s="43"/>
      <c r="CD644" s="43"/>
      <c r="CE644" s="43"/>
      <c r="CF644" s="43"/>
      <c r="CG644" s="43"/>
      <c r="CH644" s="43"/>
      <c r="CI644" s="43"/>
      <c r="CJ644" s="43"/>
      <c r="CK644" s="43"/>
      <c r="CL644" s="43"/>
      <c r="CM644" s="43"/>
      <c r="CN644" s="43"/>
      <c r="CO644" s="43"/>
      <c r="CP644" s="43"/>
      <c r="CQ644" s="43"/>
      <c r="CR644" s="43"/>
      <c r="CS644" s="43"/>
      <c r="CT644" s="43"/>
      <c r="CU644" s="43"/>
      <c r="CV644" s="43"/>
      <c r="CW644" s="43"/>
      <c r="CX644" s="43"/>
      <c r="CY644" s="43"/>
      <c r="CZ644" s="43"/>
      <c r="DA644" s="43"/>
      <c r="DB644" s="43"/>
      <c r="DC644" s="43"/>
      <c r="DD644" s="43"/>
      <c r="DE644" s="43"/>
      <c r="DF644" s="43"/>
      <c r="DG644" s="43"/>
      <c r="DH644" s="43"/>
      <c r="DI644" s="43"/>
      <c r="DJ644" s="43"/>
      <c r="DK644" s="43"/>
      <c r="DL644" s="43"/>
      <c r="DM644" s="43"/>
      <c r="DN644" s="43"/>
      <c r="DO644" s="43"/>
      <c r="DP644" s="43"/>
      <c r="DQ644" s="43"/>
      <c r="DR644" s="43"/>
      <c r="DS644" s="43"/>
      <c r="DT644" s="43"/>
      <c r="DU644" s="43"/>
      <c r="DV644" s="43"/>
      <c r="DW644" s="43"/>
      <c r="DX644" s="43"/>
      <c r="DY644" s="43"/>
      <c r="DZ644" s="43"/>
      <c r="EA644" s="43"/>
      <c r="EB644" s="43"/>
      <c r="EC644" s="43"/>
      <c r="ED644" s="43"/>
      <c r="EE644" s="43"/>
      <c r="EF644" s="43"/>
      <c r="EG644" s="43"/>
      <c r="EH644" s="43"/>
      <c r="EI644" s="43"/>
      <c r="EJ644" s="43"/>
      <c r="EK644" s="43"/>
      <c r="EL644" s="43"/>
      <c r="EM644" s="43"/>
      <c r="EN644" s="43"/>
      <c r="EO644" s="43"/>
      <c r="EP644" s="43"/>
      <c r="EQ644" s="43"/>
      <c r="ER644" s="43"/>
      <c r="ES644" s="43"/>
      <c r="ET644" s="43"/>
      <c r="EU644" s="43"/>
      <c r="EV644" s="43"/>
      <c r="EW644" s="43"/>
      <c r="EX644" s="43"/>
      <c r="EY644" s="43"/>
      <c r="EZ644" s="43"/>
      <c r="FA644" s="43"/>
      <c r="FB644" s="43"/>
      <c r="FC644" s="43"/>
      <c r="FD644" s="43"/>
      <c r="FE644" s="43"/>
      <c r="FF644" s="43"/>
      <c r="FG644" s="43"/>
      <c r="FH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c r="BO645" s="43"/>
      <c r="BP645" s="43"/>
      <c r="BQ645" s="43"/>
      <c r="BR645" s="43"/>
      <c r="BS645" s="43"/>
      <c r="BT645" s="43"/>
      <c r="BU645" s="43"/>
      <c r="BV645" s="43"/>
      <c r="BW645" s="43"/>
      <c r="BX645" s="43"/>
      <c r="BY645" s="43"/>
      <c r="BZ645" s="43"/>
      <c r="CA645" s="43"/>
      <c r="CB645" s="43"/>
      <c r="CC645" s="43"/>
      <c r="CD645" s="43"/>
      <c r="CE645" s="43"/>
      <c r="CF645" s="43"/>
      <c r="CG645" s="43"/>
      <c r="CH645" s="43"/>
      <c r="CI645" s="43"/>
      <c r="CJ645" s="43"/>
      <c r="CK645" s="43"/>
      <c r="CL645" s="43"/>
      <c r="CM645" s="43"/>
      <c r="CN645" s="43"/>
      <c r="CO645" s="43"/>
      <c r="CP645" s="43"/>
      <c r="CQ645" s="43"/>
      <c r="CR645" s="43"/>
      <c r="CS645" s="43"/>
      <c r="CT645" s="43"/>
      <c r="CU645" s="43"/>
      <c r="CV645" s="43"/>
      <c r="CW645" s="43"/>
      <c r="CX645" s="43"/>
      <c r="CY645" s="43"/>
      <c r="CZ645" s="43"/>
      <c r="DA645" s="43"/>
      <c r="DB645" s="43"/>
      <c r="DC645" s="43"/>
      <c r="DD645" s="43"/>
      <c r="DE645" s="43"/>
      <c r="DF645" s="43"/>
      <c r="DG645" s="43"/>
      <c r="DH645" s="43"/>
      <c r="DI645" s="43"/>
      <c r="DJ645" s="43"/>
      <c r="DK645" s="43"/>
      <c r="DL645" s="43"/>
      <c r="DM645" s="43"/>
      <c r="DN645" s="43"/>
      <c r="DO645" s="43"/>
      <c r="DP645" s="43"/>
      <c r="DQ645" s="43"/>
      <c r="DR645" s="43"/>
      <c r="DS645" s="43"/>
      <c r="DT645" s="43"/>
      <c r="DU645" s="43"/>
      <c r="DV645" s="43"/>
      <c r="DW645" s="43"/>
      <c r="DX645" s="43"/>
      <c r="DY645" s="43"/>
      <c r="DZ645" s="43"/>
      <c r="EA645" s="43"/>
      <c r="EB645" s="43"/>
      <c r="EC645" s="43"/>
      <c r="ED645" s="43"/>
      <c r="EE645" s="43"/>
      <c r="EF645" s="43"/>
      <c r="EG645" s="43"/>
      <c r="EH645" s="43"/>
      <c r="EI645" s="43"/>
      <c r="EJ645" s="43"/>
      <c r="EK645" s="43"/>
      <c r="EL645" s="43"/>
      <c r="EM645" s="43"/>
      <c r="EN645" s="43"/>
      <c r="EO645" s="43"/>
      <c r="EP645" s="43"/>
      <c r="EQ645" s="43"/>
      <c r="ER645" s="43"/>
      <c r="ES645" s="43"/>
      <c r="ET645" s="43"/>
      <c r="EU645" s="43"/>
      <c r="EV645" s="43"/>
      <c r="EW645" s="43"/>
      <c r="EX645" s="43"/>
      <c r="EY645" s="43"/>
      <c r="EZ645" s="43"/>
      <c r="FA645" s="43"/>
      <c r="FB645" s="43"/>
      <c r="FC645" s="43"/>
      <c r="FD645" s="43"/>
      <c r="FE645" s="43"/>
      <c r="FF645" s="43"/>
      <c r="FG645" s="43"/>
      <c r="FH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c r="BO646" s="43"/>
      <c r="BP646" s="43"/>
      <c r="BQ646" s="43"/>
      <c r="BR646" s="43"/>
      <c r="BS646" s="43"/>
      <c r="BT646" s="43"/>
      <c r="BU646" s="43"/>
      <c r="BV646" s="43"/>
      <c r="BW646" s="43"/>
      <c r="BX646" s="43"/>
      <c r="BY646" s="43"/>
      <c r="BZ646" s="43"/>
      <c r="CA646" s="43"/>
      <c r="CB646" s="43"/>
      <c r="CC646" s="43"/>
      <c r="CD646" s="43"/>
      <c r="CE646" s="43"/>
      <c r="CF646" s="43"/>
      <c r="CG646" s="43"/>
      <c r="CH646" s="43"/>
      <c r="CI646" s="43"/>
      <c r="CJ646" s="43"/>
      <c r="CK646" s="43"/>
      <c r="CL646" s="43"/>
      <c r="CM646" s="43"/>
      <c r="CN646" s="43"/>
      <c r="CO646" s="43"/>
      <c r="CP646" s="43"/>
      <c r="CQ646" s="43"/>
      <c r="CR646" s="43"/>
      <c r="CS646" s="43"/>
      <c r="CT646" s="43"/>
      <c r="CU646" s="43"/>
      <c r="CV646" s="43"/>
      <c r="CW646" s="43"/>
      <c r="CX646" s="43"/>
      <c r="CY646" s="43"/>
      <c r="CZ646" s="43"/>
      <c r="DA646" s="43"/>
      <c r="DB646" s="43"/>
      <c r="DC646" s="43"/>
      <c r="DD646" s="43"/>
      <c r="DE646" s="43"/>
      <c r="DF646" s="43"/>
      <c r="DG646" s="43"/>
      <c r="DH646" s="43"/>
      <c r="DI646" s="43"/>
      <c r="DJ646" s="43"/>
      <c r="DK646" s="43"/>
      <c r="DL646" s="43"/>
      <c r="DM646" s="43"/>
      <c r="DN646" s="43"/>
      <c r="DO646" s="43"/>
      <c r="DP646" s="43"/>
      <c r="DQ646" s="43"/>
      <c r="DR646" s="43"/>
      <c r="DS646" s="43"/>
      <c r="DT646" s="43"/>
      <c r="DU646" s="43"/>
      <c r="DV646" s="43"/>
      <c r="DW646" s="43"/>
      <c r="DX646" s="43"/>
      <c r="DY646" s="43"/>
      <c r="DZ646" s="43"/>
      <c r="EA646" s="43"/>
      <c r="EB646" s="43"/>
      <c r="EC646" s="43"/>
      <c r="ED646" s="43"/>
      <c r="EE646" s="43"/>
      <c r="EF646" s="43"/>
      <c r="EG646" s="43"/>
      <c r="EH646" s="43"/>
      <c r="EI646" s="43"/>
      <c r="EJ646" s="43"/>
      <c r="EK646" s="43"/>
      <c r="EL646" s="43"/>
      <c r="EM646" s="43"/>
      <c r="EN646" s="43"/>
      <c r="EO646" s="43"/>
      <c r="EP646" s="43"/>
      <c r="EQ646" s="43"/>
      <c r="ER646" s="43"/>
      <c r="ES646" s="43"/>
      <c r="ET646" s="43"/>
      <c r="EU646" s="43"/>
      <c r="EV646" s="43"/>
      <c r="EW646" s="43"/>
      <c r="EX646" s="43"/>
      <c r="EY646" s="43"/>
      <c r="EZ646" s="43"/>
      <c r="FA646" s="43"/>
      <c r="FB646" s="43"/>
      <c r="FC646" s="43"/>
      <c r="FD646" s="43"/>
      <c r="FE646" s="43"/>
      <c r="FF646" s="43"/>
      <c r="FG646" s="43"/>
      <c r="FH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c r="BO647" s="43"/>
      <c r="BP647" s="43"/>
      <c r="BQ647" s="43"/>
      <c r="BR647" s="43"/>
      <c r="BS647" s="43"/>
      <c r="BT647" s="43"/>
      <c r="BU647" s="43"/>
      <c r="BV647" s="43"/>
      <c r="BW647" s="43"/>
      <c r="BX647" s="43"/>
      <c r="BY647" s="43"/>
      <c r="BZ647" s="43"/>
      <c r="CA647" s="43"/>
      <c r="CB647" s="43"/>
      <c r="CC647" s="43"/>
      <c r="CD647" s="43"/>
      <c r="CE647" s="43"/>
      <c r="CF647" s="43"/>
      <c r="CG647" s="43"/>
      <c r="CH647" s="43"/>
      <c r="CI647" s="43"/>
      <c r="CJ647" s="43"/>
      <c r="CK647" s="43"/>
      <c r="CL647" s="43"/>
      <c r="CM647" s="43"/>
      <c r="CN647" s="43"/>
      <c r="CO647" s="43"/>
      <c r="CP647" s="43"/>
      <c r="CQ647" s="43"/>
      <c r="CR647" s="43"/>
      <c r="CS647" s="43"/>
      <c r="CT647" s="43"/>
      <c r="CU647" s="43"/>
      <c r="CV647" s="43"/>
      <c r="CW647" s="43"/>
      <c r="CX647" s="43"/>
      <c r="CY647" s="43"/>
      <c r="CZ647" s="43"/>
      <c r="DA647" s="43"/>
      <c r="DB647" s="43"/>
      <c r="DC647" s="43"/>
      <c r="DD647" s="43"/>
      <c r="DE647" s="43"/>
      <c r="DF647" s="43"/>
      <c r="DG647" s="43"/>
      <c r="DH647" s="43"/>
      <c r="DI647" s="43"/>
      <c r="DJ647" s="43"/>
      <c r="DK647" s="43"/>
      <c r="DL647" s="43"/>
      <c r="DM647" s="43"/>
      <c r="DN647" s="43"/>
      <c r="DO647" s="43"/>
      <c r="DP647" s="43"/>
      <c r="DQ647" s="43"/>
      <c r="DR647" s="43"/>
      <c r="DS647" s="43"/>
      <c r="DT647" s="43"/>
      <c r="DU647" s="43"/>
      <c r="DV647" s="43"/>
      <c r="DW647" s="43"/>
      <c r="DX647" s="43"/>
      <c r="DY647" s="43"/>
      <c r="DZ647" s="43"/>
      <c r="EA647" s="43"/>
      <c r="EB647" s="43"/>
      <c r="EC647" s="43"/>
      <c r="ED647" s="43"/>
      <c r="EE647" s="43"/>
      <c r="EF647" s="43"/>
      <c r="EG647" s="43"/>
      <c r="EH647" s="43"/>
      <c r="EI647" s="43"/>
      <c r="EJ647" s="43"/>
      <c r="EK647" s="43"/>
      <c r="EL647" s="43"/>
      <c r="EM647" s="43"/>
      <c r="EN647" s="43"/>
      <c r="EO647" s="43"/>
      <c r="EP647" s="43"/>
      <c r="EQ647" s="43"/>
      <c r="ER647" s="43"/>
      <c r="ES647" s="43"/>
      <c r="ET647" s="43"/>
      <c r="EU647" s="43"/>
      <c r="EV647" s="43"/>
      <c r="EW647" s="43"/>
      <c r="EX647" s="43"/>
      <c r="EY647" s="43"/>
      <c r="EZ647" s="43"/>
      <c r="FA647" s="43"/>
      <c r="FB647" s="43"/>
      <c r="FC647" s="43"/>
      <c r="FD647" s="43"/>
      <c r="FE647" s="43"/>
      <c r="FF647" s="43"/>
      <c r="FG647" s="43"/>
      <c r="FH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c r="BO648" s="43"/>
      <c r="BP648" s="43"/>
      <c r="BQ648" s="43"/>
      <c r="BR648" s="43"/>
      <c r="BS648" s="43"/>
      <c r="BT648" s="43"/>
      <c r="BU648" s="43"/>
      <c r="BV648" s="43"/>
      <c r="BW648" s="43"/>
      <c r="BX648" s="43"/>
      <c r="BY648" s="43"/>
      <c r="BZ648" s="43"/>
      <c r="CA648" s="43"/>
      <c r="CB648" s="43"/>
      <c r="CC648" s="43"/>
      <c r="CD648" s="43"/>
      <c r="CE648" s="43"/>
      <c r="CF648" s="43"/>
      <c r="CG648" s="43"/>
      <c r="CH648" s="43"/>
      <c r="CI648" s="43"/>
      <c r="CJ648" s="43"/>
      <c r="CK648" s="43"/>
      <c r="CL648" s="43"/>
      <c r="CM648" s="43"/>
      <c r="CN648" s="43"/>
      <c r="CO648" s="43"/>
      <c r="CP648" s="43"/>
      <c r="CQ648" s="43"/>
      <c r="CR648" s="43"/>
      <c r="CS648" s="43"/>
      <c r="CT648" s="43"/>
      <c r="CU648" s="43"/>
      <c r="CV648" s="43"/>
      <c r="CW648" s="43"/>
      <c r="CX648" s="43"/>
      <c r="CY648" s="43"/>
      <c r="CZ648" s="43"/>
      <c r="DA648" s="43"/>
      <c r="DB648" s="43"/>
      <c r="DC648" s="43"/>
      <c r="DD648" s="43"/>
      <c r="DE648" s="43"/>
      <c r="DF648" s="43"/>
      <c r="DG648" s="43"/>
      <c r="DH648" s="43"/>
      <c r="DI648" s="43"/>
      <c r="DJ648" s="43"/>
      <c r="DK648" s="43"/>
      <c r="DL648" s="43"/>
      <c r="DM648" s="43"/>
      <c r="DN648" s="43"/>
      <c r="DO648" s="43"/>
      <c r="DP648" s="43"/>
      <c r="DQ648" s="43"/>
      <c r="DR648" s="43"/>
      <c r="DS648" s="43"/>
      <c r="DT648" s="43"/>
      <c r="DU648" s="43"/>
      <c r="DV648" s="43"/>
      <c r="DW648" s="43"/>
      <c r="DX648" s="43"/>
      <c r="DY648" s="43"/>
      <c r="DZ648" s="43"/>
      <c r="EA648" s="43"/>
      <c r="EB648" s="43"/>
      <c r="EC648" s="43"/>
      <c r="ED648" s="43"/>
      <c r="EE648" s="43"/>
      <c r="EF648" s="43"/>
      <c r="EG648" s="43"/>
      <c r="EH648" s="43"/>
      <c r="EI648" s="43"/>
      <c r="EJ648" s="43"/>
      <c r="EK648" s="43"/>
      <c r="EL648" s="43"/>
      <c r="EM648" s="43"/>
      <c r="EN648" s="43"/>
      <c r="EO648" s="43"/>
      <c r="EP648" s="43"/>
      <c r="EQ648" s="43"/>
      <c r="ER648" s="43"/>
      <c r="ES648" s="43"/>
      <c r="ET648" s="43"/>
      <c r="EU648" s="43"/>
      <c r="EV648" s="43"/>
      <c r="EW648" s="43"/>
      <c r="EX648" s="43"/>
      <c r="EY648" s="43"/>
      <c r="EZ648" s="43"/>
      <c r="FA648" s="43"/>
      <c r="FB648" s="43"/>
      <c r="FC648" s="43"/>
      <c r="FD648" s="43"/>
      <c r="FE648" s="43"/>
      <c r="FF648" s="43"/>
      <c r="FG648" s="43"/>
      <c r="FH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c r="BO649" s="43"/>
      <c r="BP649" s="43"/>
      <c r="BQ649" s="43"/>
      <c r="BR649" s="43"/>
      <c r="BS649" s="43"/>
      <c r="BT649" s="43"/>
      <c r="BU649" s="43"/>
      <c r="BV649" s="43"/>
      <c r="BW649" s="43"/>
      <c r="BX649" s="43"/>
      <c r="BY649" s="43"/>
      <c r="BZ649" s="43"/>
      <c r="CA649" s="43"/>
      <c r="CB649" s="43"/>
      <c r="CC649" s="43"/>
      <c r="CD649" s="43"/>
      <c r="CE649" s="43"/>
      <c r="CF649" s="43"/>
      <c r="CG649" s="43"/>
      <c r="CH649" s="43"/>
      <c r="CI649" s="43"/>
      <c r="CJ649" s="43"/>
      <c r="CK649" s="43"/>
      <c r="CL649" s="43"/>
      <c r="CM649" s="43"/>
      <c r="CN649" s="43"/>
      <c r="CO649" s="43"/>
      <c r="CP649" s="43"/>
      <c r="CQ649" s="43"/>
      <c r="CR649" s="43"/>
      <c r="CS649" s="43"/>
      <c r="CT649" s="43"/>
      <c r="CU649" s="43"/>
      <c r="CV649" s="43"/>
      <c r="CW649" s="43"/>
      <c r="CX649" s="43"/>
      <c r="CY649" s="43"/>
      <c r="CZ649" s="43"/>
      <c r="DA649" s="43"/>
      <c r="DB649" s="43"/>
      <c r="DC649" s="43"/>
      <c r="DD649" s="43"/>
      <c r="DE649" s="43"/>
      <c r="DF649" s="43"/>
      <c r="DG649" s="43"/>
      <c r="DH649" s="43"/>
      <c r="DI649" s="43"/>
      <c r="DJ649" s="43"/>
      <c r="DK649" s="43"/>
      <c r="DL649" s="43"/>
      <c r="DM649" s="43"/>
      <c r="DN649" s="43"/>
      <c r="DO649" s="43"/>
      <c r="DP649" s="43"/>
      <c r="DQ649" s="43"/>
      <c r="DR649" s="43"/>
      <c r="DS649" s="43"/>
      <c r="DT649" s="43"/>
      <c r="DU649" s="43"/>
      <c r="DV649" s="43"/>
      <c r="DW649" s="43"/>
      <c r="DX649" s="43"/>
      <c r="DY649" s="43"/>
      <c r="DZ649" s="43"/>
      <c r="EA649" s="43"/>
      <c r="EB649" s="43"/>
      <c r="EC649" s="43"/>
      <c r="ED649" s="43"/>
      <c r="EE649" s="43"/>
      <c r="EF649" s="43"/>
      <c r="EG649" s="43"/>
      <c r="EH649" s="43"/>
      <c r="EI649" s="43"/>
      <c r="EJ649" s="43"/>
      <c r="EK649" s="43"/>
      <c r="EL649" s="43"/>
      <c r="EM649" s="43"/>
      <c r="EN649" s="43"/>
      <c r="EO649" s="43"/>
      <c r="EP649" s="43"/>
      <c r="EQ649" s="43"/>
      <c r="ER649" s="43"/>
      <c r="ES649" s="43"/>
      <c r="ET649" s="43"/>
      <c r="EU649" s="43"/>
      <c r="EV649" s="43"/>
      <c r="EW649" s="43"/>
      <c r="EX649" s="43"/>
      <c r="EY649" s="43"/>
      <c r="EZ649" s="43"/>
      <c r="FA649" s="43"/>
      <c r="FB649" s="43"/>
      <c r="FC649" s="43"/>
      <c r="FD649" s="43"/>
      <c r="FE649" s="43"/>
      <c r="FF649" s="43"/>
      <c r="FG649" s="43"/>
      <c r="FH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c r="BO650" s="43"/>
      <c r="BP650" s="43"/>
      <c r="BQ650" s="43"/>
      <c r="BR650" s="43"/>
      <c r="BS650" s="43"/>
      <c r="BT650" s="43"/>
      <c r="BU650" s="43"/>
      <c r="BV650" s="43"/>
      <c r="BW650" s="43"/>
      <c r="BX650" s="43"/>
      <c r="BY650" s="43"/>
      <c r="BZ650" s="43"/>
      <c r="CA650" s="43"/>
      <c r="CB650" s="43"/>
      <c r="CC650" s="43"/>
      <c r="CD650" s="43"/>
      <c r="CE650" s="43"/>
      <c r="CF650" s="43"/>
      <c r="CG650" s="43"/>
      <c r="CH650" s="43"/>
      <c r="CI650" s="43"/>
      <c r="CJ650" s="43"/>
      <c r="CK650" s="43"/>
      <c r="CL650" s="43"/>
      <c r="CM650" s="43"/>
      <c r="CN650" s="43"/>
      <c r="CO650" s="43"/>
      <c r="CP650" s="43"/>
      <c r="CQ650" s="43"/>
      <c r="CR650" s="43"/>
      <c r="CS650" s="43"/>
      <c r="CT650" s="43"/>
      <c r="CU650" s="43"/>
      <c r="CV650" s="43"/>
      <c r="CW650" s="43"/>
      <c r="CX650" s="43"/>
      <c r="CY650" s="43"/>
      <c r="CZ650" s="43"/>
      <c r="DA650" s="43"/>
      <c r="DB650" s="43"/>
      <c r="DC650" s="43"/>
      <c r="DD650" s="43"/>
      <c r="DE650" s="43"/>
      <c r="DF650" s="43"/>
      <c r="DG650" s="43"/>
      <c r="DH650" s="43"/>
      <c r="DI650" s="43"/>
      <c r="DJ650" s="43"/>
      <c r="DK650" s="43"/>
      <c r="DL650" s="43"/>
      <c r="DM650" s="43"/>
      <c r="DN650" s="43"/>
      <c r="DO650" s="43"/>
      <c r="DP650" s="43"/>
      <c r="DQ650" s="43"/>
      <c r="DR650" s="43"/>
      <c r="DS650" s="43"/>
      <c r="DT650" s="43"/>
      <c r="DU650" s="43"/>
      <c r="DV650" s="43"/>
      <c r="DW650" s="43"/>
      <c r="DX650" s="43"/>
      <c r="DY650" s="43"/>
      <c r="DZ650" s="43"/>
      <c r="EA650" s="43"/>
      <c r="EB650" s="43"/>
      <c r="EC650" s="43"/>
      <c r="ED650" s="43"/>
      <c r="EE650" s="43"/>
      <c r="EF650" s="43"/>
      <c r="EG650" s="43"/>
      <c r="EH650" s="43"/>
      <c r="EI650" s="43"/>
      <c r="EJ650" s="43"/>
      <c r="EK650" s="43"/>
      <c r="EL650" s="43"/>
      <c r="EM650" s="43"/>
      <c r="EN650" s="43"/>
      <c r="EO650" s="43"/>
      <c r="EP650" s="43"/>
      <c r="EQ650" s="43"/>
      <c r="ER650" s="43"/>
      <c r="ES650" s="43"/>
      <c r="ET650" s="43"/>
      <c r="EU650" s="43"/>
      <c r="EV650" s="43"/>
      <c r="EW650" s="43"/>
      <c r="EX650" s="43"/>
      <c r="EY650" s="43"/>
      <c r="EZ650" s="43"/>
      <c r="FA650" s="43"/>
      <c r="FB650" s="43"/>
      <c r="FC650" s="43"/>
      <c r="FD650" s="43"/>
      <c r="FE650" s="43"/>
      <c r="FF650" s="43"/>
      <c r="FG650" s="43"/>
      <c r="FH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c r="BO651" s="43"/>
      <c r="BP651" s="43"/>
      <c r="BQ651" s="43"/>
      <c r="BR651" s="43"/>
      <c r="BS651" s="43"/>
      <c r="BT651" s="43"/>
      <c r="BU651" s="43"/>
      <c r="BV651" s="43"/>
      <c r="BW651" s="43"/>
      <c r="BX651" s="43"/>
      <c r="BY651" s="43"/>
      <c r="BZ651" s="43"/>
      <c r="CA651" s="43"/>
      <c r="CB651" s="43"/>
      <c r="CC651" s="43"/>
      <c r="CD651" s="43"/>
      <c r="CE651" s="43"/>
      <c r="CF651" s="43"/>
      <c r="CG651" s="43"/>
      <c r="CH651" s="43"/>
      <c r="CI651" s="43"/>
      <c r="CJ651" s="43"/>
      <c r="CK651" s="43"/>
      <c r="CL651" s="43"/>
      <c r="CM651" s="43"/>
      <c r="CN651" s="43"/>
      <c r="CO651" s="43"/>
      <c r="CP651" s="43"/>
      <c r="CQ651" s="43"/>
      <c r="CR651" s="43"/>
      <c r="CS651" s="43"/>
      <c r="CT651" s="43"/>
      <c r="CU651" s="43"/>
      <c r="CV651" s="43"/>
      <c r="CW651" s="43"/>
      <c r="CX651" s="43"/>
      <c r="CY651" s="43"/>
      <c r="CZ651" s="43"/>
      <c r="DA651" s="43"/>
      <c r="DB651" s="43"/>
      <c r="DC651" s="43"/>
      <c r="DD651" s="43"/>
      <c r="DE651" s="43"/>
      <c r="DF651" s="43"/>
      <c r="DG651" s="43"/>
      <c r="DH651" s="43"/>
      <c r="DI651" s="43"/>
      <c r="DJ651" s="43"/>
      <c r="DK651" s="43"/>
      <c r="DL651" s="43"/>
      <c r="DM651" s="43"/>
      <c r="DN651" s="43"/>
      <c r="DO651" s="43"/>
      <c r="DP651" s="43"/>
      <c r="DQ651" s="43"/>
      <c r="DR651" s="43"/>
      <c r="DS651" s="43"/>
      <c r="DT651" s="43"/>
      <c r="DU651" s="43"/>
      <c r="DV651" s="43"/>
      <c r="DW651" s="43"/>
      <c r="DX651" s="43"/>
      <c r="DY651" s="43"/>
      <c r="DZ651" s="43"/>
      <c r="EA651" s="43"/>
      <c r="EB651" s="43"/>
      <c r="EC651" s="43"/>
      <c r="ED651" s="43"/>
      <c r="EE651" s="43"/>
      <c r="EF651" s="43"/>
      <c r="EG651" s="43"/>
      <c r="EH651" s="43"/>
      <c r="EI651" s="43"/>
      <c r="EJ651" s="43"/>
      <c r="EK651" s="43"/>
      <c r="EL651" s="43"/>
      <c r="EM651" s="43"/>
      <c r="EN651" s="43"/>
      <c r="EO651" s="43"/>
      <c r="EP651" s="43"/>
      <c r="EQ651" s="43"/>
      <c r="ER651" s="43"/>
      <c r="ES651" s="43"/>
      <c r="ET651" s="43"/>
      <c r="EU651" s="43"/>
      <c r="EV651" s="43"/>
      <c r="EW651" s="43"/>
      <c r="EX651" s="43"/>
      <c r="EY651" s="43"/>
      <c r="EZ651" s="43"/>
      <c r="FA651" s="43"/>
      <c r="FB651" s="43"/>
      <c r="FC651" s="43"/>
      <c r="FD651" s="43"/>
      <c r="FE651" s="43"/>
      <c r="FF651" s="43"/>
      <c r="FG651" s="43"/>
      <c r="FH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c r="BO652" s="43"/>
      <c r="BP652" s="43"/>
      <c r="BQ652" s="43"/>
      <c r="BR652" s="43"/>
      <c r="BS652" s="43"/>
      <c r="BT652" s="43"/>
      <c r="BU652" s="43"/>
      <c r="BV652" s="43"/>
      <c r="BW652" s="43"/>
      <c r="BX652" s="43"/>
      <c r="BY652" s="43"/>
      <c r="BZ652" s="43"/>
      <c r="CA652" s="43"/>
      <c r="CB652" s="43"/>
      <c r="CC652" s="43"/>
      <c r="CD652" s="43"/>
      <c r="CE652" s="43"/>
      <c r="CF652" s="43"/>
      <c r="CG652" s="43"/>
      <c r="CH652" s="43"/>
      <c r="CI652" s="43"/>
      <c r="CJ652" s="43"/>
      <c r="CK652" s="43"/>
      <c r="CL652" s="43"/>
      <c r="CM652" s="43"/>
      <c r="CN652" s="43"/>
      <c r="CO652" s="43"/>
      <c r="CP652" s="43"/>
      <c r="CQ652" s="43"/>
      <c r="CR652" s="43"/>
      <c r="CS652" s="43"/>
      <c r="CT652" s="43"/>
      <c r="CU652" s="43"/>
      <c r="CV652" s="43"/>
      <c r="CW652" s="43"/>
      <c r="CX652" s="43"/>
      <c r="CY652" s="43"/>
      <c r="CZ652" s="43"/>
      <c r="DA652" s="43"/>
      <c r="DB652" s="43"/>
      <c r="DC652" s="43"/>
      <c r="DD652" s="43"/>
      <c r="DE652" s="43"/>
      <c r="DF652" s="43"/>
      <c r="DG652" s="43"/>
      <c r="DH652" s="43"/>
      <c r="DI652" s="43"/>
      <c r="DJ652" s="43"/>
      <c r="DK652" s="43"/>
      <c r="DL652" s="43"/>
      <c r="DM652" s="43"/>
      <c r="DN652" s="43"/>
      <c r="DO652" s="43"/>
      <c r="DP652" s="43"/>
      <c r="DQ652" s="43"/>
      <c r="DR652" s="43"/>
      <c r="DS652" s="43"/>
      <c r="DT652" s="43"/>
      <c r="DU652" s="43"/>
      <c r="DV652" s="43"/>
      <c r="DW652" s="43"/>
      <c r="DX652" s="43"/>
      <c r="DY652" s="43"/>
      <c r="DZ652" s="43"/>
      <c r="EA652" s="43"/>
      <c r="EB652" s="43"/>
      <c r="EC652" s="43"/>
      <c r="ED652" s="43"/>
      <c r="EE652" s="43"/>
      <c r="EF652" s="43"/>
      <c r="EG652" s="43"/>
      <c r="EH652" s="43"/>
      <c r="EI652" s="43"/>
      <c r="EJ652" s="43"/>
      <c r="EK652" s="43"/>
      <c r="EL652" s="43"/>
      <c r="EM652" s="43"/>
      <c r="EN652" s="43"/>
      <c r="EO652" s="43"/>
      <c r="EP652" s="43"/>
      <c r="EQ652" s="43"/>
      <c r="ER652" s="43"/>
      <c r="ES652" s="43"/>
      <c r="ET652" s="43"/>
      <c r="EU652" s="43"/>
      <c r="EV652" s="43"/>
      <c r="EW652" s="43"/>
      <c r="EX652" s="43"/>
      <c r="EY652" s="43"/>
      <c r="EZ652" s="43"/>
      <c r="FA652" s="43"/>
      <c r="FB652" s="43"/>
      <c r="FC652" s="43"/>
      <c r="FD652" s="43"/>
      <c r="FE652" s="43"/>
      <c r="FF652" s="43"/>
      <c r="FG652" s="43"/>
      <c r="FH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c r="BU653" s="43"/>
      <c r="BV653" s="43"/>
      <c r="BW653" s="43"/>
      <c r="BX653" s="43"/>
      <c r="BY653" s="43"/>
      <c r="BZ653" s="43"/>
      <c r="CA653" s="43"/>
      <c r="CB653" s="43"/>
      <c r="CC653" s="43"/>
      <c r="CD653" s="43"/>
      <c r="CE653" s="43"/>
      <c r="CF653" s="43"/>
      <c r="CG653" s="43"/>
      <c r="CH653" s="43"/>
      <c r="CI653" s="43"/>
      <c r="CJ653" s="43"/>
      <c r="CK653" s="43"/>
      <c r="CL653" s="43"/>
      <c r="CM653" s="43"/>
      <c r="CN653" s="43"/>
      <c r="CO653" s="43"/>
      <c r="CP653" s="43"/>
      <c r="CQ653" s="43"/>
      <c r="CR653" s="43"/>
      <c r="CS653" s="43"/>
      <c r="CT653" s="43"/>
      <c r="CU653" s="43"/>
      <c r="CV653" s="43"/>
      <c r="CW653" s="43"/>
      <c r="CX653" s="43"/>
      <c r="CY653" s="43"/>
      <c r="CZ653" s="43"/>
      <c r="DA653" s="43"/>
      <c r="DB653" s="43"/>
      <c r="DC653" s="43"/>
      <c r="DD653" s="43"/>
      <c r="DE653" s="43"/>
      <c r="DF653" s="43"/>
      <c r="DG653" s="43"/>
      <c r="DH653" s="43"/>
      <c r="DI653" s="43"/>
      <c r="DJ653" s="43"/>
      <c r="DK653" s="43"/>
      <c r="DL653" s="43"/>
      <c r="DM653" s="43"/>
      <c r="DN653" s="43"/>
      <c r="DO653" s="43"/>
      <c r="DP653" s="43"/>
      <c r="DQ653" s="43"/>
      <c r="DR653" s="43"/>
      <c r="DS653" s="43"/>
      <c r="DT653" s="43"/>
      <c r="DU653" s="43"/>
      <c r="DV653" s="43"/>
      <c r="DW653" s="43"/>
      <c r="DX653" s="43"/>
      <c r="DY653" s="43"/>
      <c r="DZ653" s="43"/>
      <c r="EA653" s="43"/>
      <c r="EB653" s="43"/>
      <c r="EC653" s="43"/>
      <c r="ED653" s="43"/>
      <c r="EE653" s="43"/>
      <c r="EF653" s="43"/>
      <c r="EG653" s="43"/>
      <c r="EH653" s="43"/>
      <c r="EI653" s="43"/>
      <c r="EJ653" s="43"/>
      <c r="EK653" s="43"/>
      <c r="EL653" s="43"/>
      <c r="EM653" s="43"/>
      <c r="EN653" s="43"/>
      <c r="EO653" s="43"/>
      <c r="EP653" s="43"/>
      <c r="EQ653" s="43"/>
      <c r="ER653" s="43"/>
      <c r="ES653" s="43"/>
      <c r="ET653" s="43"/>
      <c r="EU653" s="43"/>
      <c r="EV653" s="43"/>
      <c r="EW653" s="43"/>
      <c r="EX653" s="43"/>
      <c r="EY653" s="43"/>
      <c r="EZ653" s="43"/>
      <c r="FA653" s="43"/>
      <c r="FB653" s="43"/>
      <c r="FC653" s="43"/>
      <c r="FD653" s="43"/>
      <c r="FE653" s="43"/>
      <c r="FF653" s="43"/>
      <c r="FG653" s="43"/>
      <c r="FH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Q654" s="43"/>
      <c r="BR654" s="43"/>
      <c r="BS654" s="43"/>
      <c r="BT654" s="43"/>
      <c r="BU654" s="43"/>
      <c r="BV654" s="43"/>
      <c r="BW654" s="43"/>
      <c r="BX654" s="43"/>
      <c r="BY654" s="43"/>
      <c r="BZ654" s="43"/>
      <c r="CA654" s="43"/>
      <c r="CB654" s="43"/>
      <c r="CC654" s="43"/>
      <c r="CD654" s="43"/>
      <c r="CE654" s="43"/>
      <c r="CF654" s="43"/>
      <c r="CG654" s="43"/>
      <c r="CH654" s="43"/>
      <c r="CI654" s="43"/>
      <c r="CJ654" s="43"/>
      <c r="CK654" s="43"/>
      <c r="CL654" s="43"/>
      <c r="CM654" s="43"/>
      <c r="CN654" s="43"/>
      <c r="CO654" s="43"/>
      <c r="CP654" s="43"/>
      <c r="CQ654" s="43"/>
      <c r="CR654" s="43"/>
      <c r="CS654" s="43"/>
      <c r="CT654" s="43"/>
      <c r="CU654" s="43"/>
      <c r="CV654" s="43"/>
      <c r="CW654" s="43"/>
      <c r="CX654" s="43"/>
      <c r="CY654" s="43"/>
      <c r="CZ654" s="43"/>
      <c r="DA654" s="43"/>
      <c r="DB654" s="43"/>
      <c r="DC654" s="43"/>
      <c r="DD654" s="43"/>
      <c r="DE654" s="43"/>
      <c r="DF654" s="43"/>
      <c r="DG654" s="43"/>
      <c r="DH654" s="43"/>
      <c r="DI654" s="43"/>
      <c r="DJ654" s="43"/>
      <c r="DK654" s="43"/>
      <c r="DL654" s="43"/>
      <c r="DM654" s="43"/>
      <c r="DN654" s="43"/>
      <c r="DO654" s="43"/>
      <c r="DP654" s="43"/>
      <c r="DQ654" s="43"/>
      <c r="DR654" s="43"/>
      <c r="DS654" s="43"/>
      <c r="DT654" s="43"/>
      <c r="DU654" s="43"/>
      <c r="DV654" s="43"/>
      <c r="DW654" s="43"/>
      <c r="DX654" s="43"/>
      <c r="DY654" s="43"/>
      <c r="DZ654" s="43"/>
      <c r="EA654" s="43"/>
      <c r="EB654" s="43"/>
      <c r="EC654" s="43"/>
      <c r="ED654" s="43"/>
      <c r="EE654" s="43"/>
      <c r="EF654" s="43"/>
      <c r="EG654" s="43"/>
      <c r="EH654" s="43"/>
      <c r="EI654" s="43"/>
      <c r="EJ654" s="43"/>
      <c r="EK654" s="43"/>
      <c r="EL654" s="43"/>
      <c r="EM654" s="43"/>
      <c r="EN654" s="43"/>
      <c r="EO654" s="43"/>
      <c r="EP654" s="43"/>
      <c r="EQ654" s="43"/>
      <c r="ER654" s="43"/>
      <c r="ES654" s="43"/>
      <c r="ET654" s="43"/>
      <c r="EU654" s="43"/>
      <c r="EV654" s="43"/>
      <c r="EW654" s="43"/>
      <c r="EX654" s="43"/>
      <c r="EY654" s="43"/>
      <c r="EZ654" s="43"/>
      <c r="FA654" s="43"/>
      <c r="FB654" s="43"/>
      <c r="FC654" s="43"/>
      <c r="FD654" s="43"/>
      <c r="FE654" s="43"/>
      <c r="FF654" s="43"/>
      <c r="FG654" s="43"/>
      <c r="FH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Q655" s="43"/>
      <c r="BR655" s="43"/>
      <c r="BS655" s="43"/>
      <c r="BT655" s="43"/>
      <c r="BU655" s="43"/>
      <c r="BV655" s="43"/>
      <c r="BW655" s="43"/>
      <c r="BX655" s="43"/>
      <c r="BY655" s="43"/>
      <c r="BZ655" s="43"/>
      <c r="CA655" s="43"/>
      <c r="CB655" s="43"/>
      <c r="CC655" s="43"/>
      <c r="CD655" s="43"/>
      <c r="CE655" s="43"/>
      <c r="CF655" s="43"/>
      <c r="CG655" s="43"/>
      <c r="CH655" s="43"/>
      <c r="CI655" s="43"/>
      <c r="CJ655" s="43"/>
      <c r="CK655" s="43"/>
      <c r="CL655" s="43"/>
      <c r="CM655" s="43"/>
      <c r="CN655" s="43"/>
      <c r="CO655" s="43"/>
      <c r="CP655" s="43"/>
      <c r="CQ655" s="43"/>
      <c r="CR655" s="43"/>
      <c r="CS655" s="43"/>
      <c r="CT655" s="43"/>
      <c r="CU655" s="43"/>
      <c r="CV655" s="43"/>
      <c r="CW655" s="43"/>
      <c r="CX655" s="43"/>
      <c r="CY655" s="43"/>
      <c r="CZ655" s="43"/>
      <c r="DA655" s="43"/>
      <c r="DB655" s="43"/>
      <c r="DC655" s="43"/>
      <c r="DD655" s="43"/>
      <c r="DE655" s="43"/>
      <c r="DF655" s="43"/>
      <c r="DG655" s="43"/>
      <c r="DH655" s="43"/>
      <c r="DI655" s="43"/>
      <c r="DJ655" s="43"/>
      <c r="DK655" s="43"/>
      <c r="DL655" s="43"/>
      <c r="DM655" s="43"/>
      <c r="DN655" s="43"/>
      <c r="DO655" s="43"/>
      <c r="DP655" s="43"/>
      <c r="DQ655" s="43"/>
      <c r="DR655" s="43"/>
      <c r="DS655" s="43"/>
      <c r="DT655" s="43"/>
      <c r="DU655" s="43"/>
      <c r="DV655" s="43"/>
      <c r="DW655" s="43"/>
      <c r="DX655" s="43"/>
      <c r="DY655" s="43"/>
      <c r="DZ655" s="43"/>
      <c r="EA655" s="43"/>
      <c r="EB655" s="43"/>
      <c r="EC655" s="43"/>
      <c r="ED655" s="43"/>
      <c r="EE655" s="43"/>
      <c r="EF655" s="43"/>
      <c r="EG655" s="43"/>
      <c r="EH655" s="43"/>
      <c r="EI655" s="43"/>
      <c r="EJ655" s="43"/>
      <c r="EK655" s="43"/>
      <c r="EL655" s="43"/>
      <c r="EM655" s="43"/>
      <c r="EN655" s="43"/>
      <c r="EO655" s="43"/>
      <c r="EP655" s="43"/>
      <c r="EQ655" s="43"/>
      <c r="ER655" s="43"/>
      <c r="ES655" s="43"/>
      <c r="ET655" s="43"/>
      <c r="EU655" s="43"/>
      <c r="EV655" s="43"/>
      <c r="EW655" s="43"/>
      <c r="EX655" s="43"/>
      <c r="EY655" s="43"/>
      <c r="EZ655" s="43"/>
      <c r="FA655" s="43"/>
      <c r="FB655" s="43"/>
      <c r="FC655" s="43"/>
      <c r="FD655" s="43"/>
      <c r="FE655" s="43"/>
      <c r="FF655" s="43"/>
      <c r="FG655" s="43"/>
      <c r="FH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Q656" s="43"/>
      <c r="BR656" s="43"/>
      <c r="BS656" s="43"/>
      <c r="BT656" s="43"/>
      <c r="BU656" s="43"/>
      <c r="BV656" s="43"/>
      <c r="BW656" s="43"/>
      <c r="BX656" s="43"/>
      <c r="BY656" s="43"/>
      <c r="BZ656" s="43"/>
      <c r="CA656" s="43"/>
      <c r="CB656" s="43"/>
      <c r="CC656" s="43"/>
      <c r="CD656" s="43"/>
      <c r="CE656" s="43"/>
      <c r="CF656" s="43"/>
      <c r="CG656" s="43"/>
      <c r="CH656" s="43"/>
      <c r="CI656" s="43"/>
      <c r="CJ656" s="43"/>
      <c r="CK656" s="43"/>
      <c r="CL656" s="43"/>
      <c r="CM656" s="43"/>
      <c r="CN656" s="43"/>
      <c r="CO656" s="43"/>
      <c r="CP656" s="43"/>
      <c r="CQ656" s="43"/>
      <c r="CR656" s="43"/>
      <c r="CS656" s="43"/>
      <c r="CT656" s="43"/>
      <c r="CU656" s="43"/>
      <c r="CV656" s="43"/>
      <c r="CW656" s="43"/>
      <c r="CX656" s="43"/>
      <c r="CY656" s="43"/>
      <c r="CZ656" s="43"/>
      <c r="DA656" s="43"/>
      <c r="DB656" s="43"/>
      <c r="DC656" s="43"/>
      <c r="DD656" s="43"/>
      <c r="DE656" s="43"/>
      <c r="DF656" s="43"/>
      <c r="DG656" s="43"/>
      <c r="DH656" s="43"/>
      <c r="DI656" s="43"/>
      <c r="DJ656" s="43"/>
      <c r="DK656" s="43"/>
      <c r="DL656" s="43"/>
      <c r="DM656" s="43"/>
      <c r="DN656" s="43"/>
      <c r="DO656" s="43"/>
      <c r="DP656" s="43"/>
      <c r="DQ656" s="43"/>
      <c r="DR656" s="43"/>
      <c r="DS656" s="43"/>
      <c r="DT656" s="43"/>
      <c r="DU656" s="43"/>
      <c r="DV656" s="43"/>
      <c r="DW656" s="43"/>
      <c r="DX656" s="43"/>
      <c r="DY656" s="43"/>
      <c r="DZ656" s="43"/>
      <c r="EA656" s="43"/>
      <c r="EB656" s="43"/>
      <c r="EC656" s="43"/>
      <c r="ED656" s="43"/>
      <c r="EE656" s="43"/>
      <c r="EF656" s="43"/>
      <c r="EG656" s="43"/>
      <c r="EH656" s="43"/>
      <c r="EI656" s="43"/>
      <c r="EJ656" s="43"/>
      <c r="EK656" s="43"/>
      <c r="EL656" s="43"/>
      <c r="EM656" s="43"/>
      <c r="EN656" s="43"/>
      <c r="EO656" s="43"/>
      <c r="EP656" s="43"/>
      <c r="EQ656" s="43"/>
      <c r="ER656" s="43"/>
      <c r="ES656" s="43"/>
      <c r="ET656" s="43"/>
      <c r="EU656" s="43"/>
      <c r="EV656" s="43"/>
      <c r="EW656" s="43"/>
      <c r="EX656" s="43"/>
      <c r="EY656" s="43"/>
      <c r="EZ656" s="43"/>
      <c r="FA656" s="43"/>
      <c r="FB656" s="43"/>
      <c r="FC656" s="43"/>
      <c r="FD656" s="43"/>
      <c r="FE656" s="43"/>
      <c r="FF656" s="43"/>
      <c r="FG656" s="43"/>
      <c r="FH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Q657" s="43"/>
      <c r="BR657" s="43"/>
      <c r="BS657" s="43"/>
      <c r="BT657" s="43"/>
      <c r="BU657" s="43"/>
      <c r="BV657" s="43"/>
      <c r="BW657" s="43"/>
      <c r="BX657" s="43"/>
      <c r="BY657" s="43"/>
      <c r="BZ657" s="43"/>
      <c r="CA657" s="43"/>
      <c r="CB657" s="43"/>
      <c r="CC657" s="43"/>
      <c r="CD657" s="43"/>
      <c r="CE657" s="43"/>
      <c r="CF657" s="43"/>
      <c r="CG657" s="43"/>
      <c r="CH657" s="43"/>
      <c r="CI657" s="43"/>
      <c r="CJ657" s="43"/>
      <c r="CK657" s="43"/>
      <c r="CL657" s="43"/>
      <c r="CM657" s="43"/>
      <c r="CN657" s="43"/>
      <c r="CO657" s="43"/>
      <c r="CP657" s="43"/>
      <c r="CQ657" s="43"/>
      <c r="CR657" s="43"/>
      <c r="CS657" s="43"/>
      <c r="CT657" s="43"/>
      <c r="CU657" s="43"/>
      <c r="CV657" s="43"/>
      <c r="CW657" s="43"/>
      <c r="CX657" s="43"/>
      <c r="CY657" s="43"/>
      <c r="CZ657" s="43"/>
      <c r="DA657" s="43"/>
      <c r="DB657" s="43"/>
      <c r="DC657" s="43"/>
      <c r="DD657" s="43"/>
      <c r="DE657" s="43"/>
      <c r="DF657" s="43"/>
      <c r="DG657" s="43"/>
      <c r="DH657" s="43"/>
      <c r="DI657" s="43"/>
      <c r="DJ657" s="43"/>
      <c r="DK657" s="43"/>
      <c r="DL657" s="43"/>
      <c r="DM657" s="43"/>
      <c r="DN657" s="43"/>
      <c r="DO657" s="43"/>
      <c r="DP657" s="43"/>
      <c r="DQ657" s="43"/>
      <c r="DR657" s="43"/>
      <c r="DS657" s="43"/>
      <c r="DT657" s="43"/>
      <c r="DU657" s="43"/>
      <c r="DV657" s="43"/>
      <c r="DW657" s="43"/>
      <c r="DX657" s="43"/>
      <c r="DY657" s="43"/>
      <c r="DZ657" s="43"/>
      <c r="EA657" s="43"/>
      <c r="EB657" s="43"/>
      <c r="EC657" s="43"/>
      <c r="ED657" s="43"/>
      <c r="EE657" s="43"/>
      <c r="EF657" s="43"/>
      <c r="EG657" s="43"/>
      <c r="EH657" s="43"/>
      <c r="EI657" s="43"/>
      <c r="EJ657" s="43"/>
      <c r="EK657" s="43"/>
      <c r="EL657" s="43"/>
      <c r="EM657" s="43"/>
      <c r="EN657" s="43"/>
      <c r="EO657" s="43"/>
      <c r="EP657" s="43"/>
      <c r="EQ657" s="43"/>
      <c r="ER657" s="43"/>
      <c r="ES657" s="43"/>
      <c r="ET657" s="43"/>
      <c r="EU657" s="43"/>
      <c r="EV657" s="43"/>
      <c r="EW657" s="43"/>
      <c r="EX657" s="43"/>
      <c r="EY657" s="43"/>
      <c r="EZ657" s="43"/>
      <c r="FA657" s="43"/>
      <c r="FB657" s="43"/>
      <c r="FC657" s="43"/>
      <c r="FD657" s="43"/>
      <c r="FE657" s="43"/>
      <c r="FF657" s="43"/>
      <c r="FG657" s="43"/>
      <c r="FH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Q658" s="43"/>
      <c r="BR658" s="43"/>
      <c r="BS658" s="43"/>
      <c r="BT658" s="43"/>
      <c r="BU658" s="43"/>
      <c r="BV658" s="43"/>
      <c r="BW658" s="43"/>
      <c r="BX658" s="43"/>
      <c r="BY658" s="43"/>
      <c r="BZ658" s="43"/>
      <c r="CA658" s="43"/>
      <c r="CB658" s="43"/>
      <c r="CC658" s="43"/>
      <c r="CD658" s="43"/>
      <c r="CE658" s="43"/>
      <c r="CF658" s="43"/>
      <c r="CG658" s="43"/>
      <c r="CH658" s="43"/>
      <c r="CI658" s="43"/>
      <c r="CJ658" s="43"/>
      <c r="CK658" s="43"/>
      <c r="CL658" s="43"/>
      <c r="CM658" s="43"/>
      <c r="CN658" s="43"/>
      <c r="CO658" s="43"/>
      <c r="CP658" s="43"/>
      <c r="CQ658" s="43"/>
      <c r="CR658" s="43"/>
      <c r="CS658" s="43"/>
      <c r="CT658" s="43"/>
      <c r="CU658" s="43"/>
      <c r="CV658" s="43"/>
      <c r="CW658" s="43"/>
      <c r="CX658" s="43"/>
      <c r="CY658" s="43"/>
      <c r="CZ658" s="43"/>
      <c r="DA658" s="43"/>
      <c r="DB658" s="43"/>
      <c r="DC658" s="43"/>
      <c r="DD658" s="43"/>
      <c r="DE658" s="43"/>
      <c r="DF658" s="43"/>
      <c r="DG658" s="43"/>
      <c r="DH658" s="43"/>
      <c r="DI658" s="43"/>
      <c r="DJ658" s="43"/>
      <c r="DK658" s="43"/>
      <c r="DL658" s="43"/>
      <c r="DM658" s="43"/>
      <c r="DN658" s="43"/>
      <c r="DO658" s="43"/>
      <c r="DP658" s="43"/>
      <c r="DQ658" s="43"/>
      <c r="DR658" s="43"/>
      <c r="DS658" s="43"/>
      <c r="DT658" s="43"/>
      <c r="DU658" s="43"/>
      <c r="DV658" s="43"/>
      <c r="DW658" s="43"/>
      <c r="DX658" s="43"/>
      <c r="DY658" s="43"/>
      <c r="DZ658" s="43"/>
      <c r="EA658" s="43"/>
      <c r="EB658" s="43"/>
      <c r="EC658" s="43"/>
      <c r="ED658" s="43"/>
      <c r="EE658" s="43"/>
      <c r="EF658" s="43"/>
      <c r="EG658" s="43"/>
      <c r="EH658" s="43"/>
      <c r="EI658" s="43"/>
      <c r="EJ658" s="43"/>
      <c r="EK658" s="43"/>
      <c r="EL658" s="43"/>
      <c r="EM658" s="43"/>
      <c r="EN658" s="43"/>
      <c r="EO658" s="43"/>
      <c r="EP658" s="43"/>
      <c r="EQ658" s="43"/>
      <c r="ER658" s="43"/>
      <c r="ES658" s="43"/>
      <c r="ET658" s="43"/>
      <c r="EU658" s="43"/>
      <c r="EV658" s="43"/>
      <c r="EW658" s="43"/>
      <c r="EX658" s="43"/>
      <c r="EY658" s="43"/>
      <c r="EZ658" s="43"/>
      <c r="FA658" s="43"/>
      <c r="FB658" s="43"/>
      <c r="FC658" s="43"/>
      <c r="FD658" s="43"/>
      <c r="FE658" s="43"/>
      <c r="FF658" s="43"/>
      <c r="FG658" s="43"/>
      <c r="FH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Q659" s="43"/>
      <c r="BR659" s="43"/>
      <c r="BS659" s="43"/>
      <c r="BT659" s="43"/>
      <c r="BU659" s="43"/>
      <c r="BV659" s="43"/>
      <c r="BW659" s="43"/>
      <c r="BX659" s="43"/>
      <c r="BY659" s="43"/>
      <c r="BZ659" s="43"/>
      <c r="CA659" s="43"/>
      <c r="CB659" s="43"/>
      <c r="CC659" s="43"/>
      <c r="CD659" s="43"/>
      <c r="CE659" s="43"/>
      <c r="CF659" s="43"/>
      <c r="CG659" s="43"/>
      <c r="CH659" s="43"/>
      <c r="CI659" s="43"/>
      <c r="CJ659" s="43"/>
      <c r="CK659" s="43"/>
      <c r="CL659" s="43"/>
      <c r="CM659" s="43"/>
      <c r="CN659" s="43"/>
      <c r="CO659" s="43"/>
      <c r="CP659" s="43"/>
      <c r="CQ659" s="43"/>
      <c r="CR659" s="43"/>
      <c r="CS659" s="43"/>
      <c r="CT659" s="43"/>
      <c r="CU659" s="43"/>
      <c r="CV659" s="43"/>
      <c r="CW659" s="43"/>
      <c r="CX659" s="43"/>
      <c r="CY659" s="43"/>
      <c r="CZ659" s="43"/>
      <c r="DA659" s="43"/>
      <c r="DB659" s="43"/>
      <c r="DC659" s="43"/>
      <c r="DD659" s="43"/>
      <c r="DE659" s="43"/>
      <c r="DF659" s="43"/>
      <c r="DG659" s="43"/>
      <c r="DH659" s="43"/>
      <c r="DI659" s="43"/>
      <c r="DJ659" s="43"/>
      <c r="DK659" s="43"/>
      <c r="DL659" s="43"/>
      <c r="DM659" s="43"/>
      <c r="DN659" s="43"/>
      <c r="DO659" s="43"/>
      <c r="DP659" s="43"/>
      <c r="DQ659" s="43"/>
      <c r="DR659" s="43"/>
      <c r="DS659" s="43"/>
      <c r="DT659" s="43"/>
      <c r="DU659" s="43"/>
      <c r="DV659" s="43"/>
      <c r="DW659" s="43"/>
      <c r="DX659" s="43"/>
      <c r="DY659" s="43"/>
      <c r="DZ659" s="43"/>
      <c r="EA659" s="43"/>
      <c r="EB659" s="43"/>
      <c r="EC659" s="43"/>
      <c r="ED659" s="43"/>
      <c r="EE659" s="43"/>
      <c r="EF659" s="43"/>
      <c r="EG659" s="43"/>
      <c r="EH659" s="43"/>
      <c r="EI659" s="43"/>
      <c r="EJ659" s="43"/>
      <c r="EK659" s="43"/>
      <c r="EL659" s="43"/>
      <c r="EM659" s="43"/>
      <c r="EN659" s="43"/>
      <c r="EO659" s="43"/>
      <c r="EP659" s="43"/>
      <c r="EQ659" s="43"/>
      <c r="ER659" s="43"/>
      <c r="ES659" s="43"/>
      <c r="ET659" s="43"/>
      <c r="EU659" s="43"/>
      <c r="EV659" s="43"/>
      <c r="EW659" s="43"/>
      <c r="EX659" s="43"/>
      <c r="EY659" s="43"/>
      <c r="EZ659" s="43"/>
      <c r="FA659" s="43"/>
      <c r="FB659" s="43"/>
      <c r="FC659" s="43"/>
      <c r="FD659" s="43"/>
      <c r="FE659" s="43"/>
      <c r="FF659" s="43"/>
      <c r="FG659" s="43"/>
      <c r="FH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Q660" s="43"/>
      <c r="BR660" s="43"/>
      <c r="BS660" s="43"/>
      <c r="BT660" s="43"/>
      <c r="BU660" s="43"/>
      <c r="BV660" s="43"/>
      <c r="BW660" s="43"/>
      <c r="BX660" s="43"/>
      <c r="BY660" s="43"/>
      <c r="BZ660" s="43"/>
      <c r="CA660" s="43"/>
      <c r="CB660" s="43"/>
      <c r="CC660" s="43"/>
      <c r="CD660" s="43"/>
      <c r="CE660" s="43"/>
      <c r="CF660" s="43"/>
      <c r="CG660" s="43"/>
      <c r="CH660" s="43"/>
      <c r="CI660" s="43"/>
      <c r="CJ660" s="43"/>
      <c r="CK660" s="43"/>
      <c r="CL660" s="43"/>
      <c r="CM660" s="43"/>
      <c r="CN660" s="43"/>
      <c r="CO660" s="43"/>
      <c r="CP660" s="43"/>
      <c r="CQ660" s="43"/>
      <c r="CR660" s="43"/>
      <c r="CS660" s="43"/>
      <c r="CT660" s="43"/>
      <c r="CU660" s="43"/>
      <c r="CV660" s="43"/>
      <c r="CW660" s="43"/>
      <c r="CX660" s="43"/>
      <c r="CY660" s="43"/>
      <c r="CZ660" s="43"/>
      <c r="DA660" s="43"/>
      <c r="DB660" s="43"/>
      <c r="DC660" s="43"/>
      <c r="DD660" s="43"/>
      <c r="DE660" s="43"/>
      <c r="DF660" s="43"/>
      <c r="DG660" s="43"/>
      <c r="DH660" s="43"/>
      <c r="DI660" s="43"/>
      <c r="DJ660" s="43"/>
      <c r="DK660" s="43"/>
      <c r="DL660" s="43"/>
      <c r="DM660" s="43"/>
      <c r="DN660" s="43"/>
      <c r="DO660" s="43"/>
      <c r="DP660" s="43"/>
      <c r="DQ660" s="43"/>
      <c r="DR660" s="43"/>
      <c r="DS660" s="43"/>
      <c r="DT660" s="43"/>
      <c r="DU660" s="43"/>
      <c r="DV660" s="43"/>
      <c r="DW660" s="43"/>
      <c r="DX660" s="43"/>
      <c r="DY660" s="43"/>
      <c r="DZ660" s="43"/>
      <c r="EA660" s="43"/>
      <c r="EB660" s="43"/>
      <c r="EC660" s="43"/>
      <c r="ED660" s="43"/>
      <c r="EE660" s="43"/>
      <c r="EF660" s="43"/>
      <c r="EG660" s="43"/>
      <c r="EH660" s="43"/>
      <c r="EI660" s="43"/>
      <c r="EJ660" s="43"/>
      <c r="EK660" s="43"/>
      <c r="EL660" s="43"/>
      <c r="EM660" s="43"/>
      <c r="EN660" s="43"/>
      <c r="EO660" s="43"/>
      <c r="EP660" s="43"/>
      <c r="EQ660" s="43"/>
      <c r="ER660" s="43"/>
      <c r="ES660" s="43"/>
      <c r="ET660" s="43"/>
      <c r="EU660" s="43"/>
      <c r="EV660" s="43"/>
      <c r="EW660" s="43"/>
      <c r="EX660" s="43"/>
      <c r="EY660" s="43"/>
      <c r="EZ660" s="43"/>
      <c r="FA660" s="43"/>
      <c r="FB660" s="43"/>
      <c r="FC660" s="43"/>
      <c r="FD660" s="43"/>
      <c r="FE660" s="43"/>
      <c r="FF660" s="43"/>
      <c r="FG660" s="43"/>
      <c r="FH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Q661" s="43"/>
      <c r="BR661" s="43"/>
      <c r="BS661" s="43"/>
      <c r="BT661" s="43"/>
      <c r="BU661" s="43"/>
      <c r="BV661" s="43"/>
      <c r="BW661" s="43"/>
      <c r="BX661" s="43"/>
      <c r="BY661" s="43"/>
      <c r="BZ661" s="43"/>
      <c r="CA661" s="43"/>
      <c r="CB661" s="43"/>
      <c r="CC661" s="43"/>
      <c r="CD661" s="43"/>
      <c r="CE661" s="43"/>
      <c r="CF661" s="43"/>
      <c r="CG661" s="43"/>
      <c r="CH661" s="43"/>
      <c r="CI661" s="43"/>
      <c r="CJ661" s="43"/>
      <c r="CK661" s="43"/>
      <c r="CL661" s="43"/>
      <c r="CM661" s="43"/>
      <c r="CN661" s="43"/>
      <c r="CO661" s="43"/>
      <c r="CP661" s="43"/>
      <c r="CQ661" s="43"/>
      <c r="CR661" s="43"/>
      <c r="CS661" s="43"/>
      <c r="CT661" s="43"/>
      <c r="CU661" s="43"/>
      <c r="CV661" s="43"/>
      <c r="CW661" s="43"/>
      <c r="CX661" s="43"/>
      <c r="CY661" s="43"/>
      <c r="CZ661" s="43"/>
      <c r="DA661" s="43"/>
      <c r="DB661" s="43"/>
      <c r="DC661" s="43"/>
      <c r="DD661" s="43"/>
      <c r="DE661" s="43"/>
      <c r="DF661" s="43"/>
      <c r="DG661" s="43"/>
      <c r="DH661" s="43"/>
      <c r="DI661" s="43"/>
      <c r="DJ661" s="43"/>
      <c r="DK661" s="43"/>
      <c r="DL661" s="43"/>
      <c r="DM661" s="43"/>
      <c r="DN661" s="43"/>
      <c r="DO661" s="43"/>
      <c r="DP661" s="43"/>
      <c r="DQ661" s="43"/>
      <c r="DR661" s="43"/>
      <c r="DS661" s="43"/>
      <c r="DT661" s="43"/>
      <c r="DU661" s="43"/>
      <c r="DV661" s="43"/>
      <c r="DW661" s="43"/>
      <c r="DX661" s="43"/>
      <c r="DY661" s="43"/>
      <c r="DZ661" s="43"/>
      <c r="EA661" s="43"/>
      <c r="EB661" s="43"/>
      <c r="EC661" s="43"/>
      <c r="ED661" s="43"/>
      <c r="EE661" s="43"/>
      <c r="EF661" s="43"/>
      <c r="EG661" s="43"/>
      <c r="EH661" s="43"/>
      <c r="EI661" s="43"/>
      <c r="EJ661" s="43"/>
      <c r="EK661" s="43"/>
      <c r="EL661" s="43"/>
      <c r="EM661" s="43"/>
      <c r="EN661" s="43"/>
      <c r="EO661" s="43"/>
      <c r="EP661" s="43"/>
      <c r="EQ661" s="43"/>
      <c r="ER661" s="43"/>
      <c r="ES661" s="43"/>
      <c r="ET661" s="43"/>
      <c r="EU661" s="43"/>
      <c r="EV661" s="43"/>
      <c r="EW661" s="43"/>
      <c r="EX661" s="43"/>
      <c r="EY661" s="43"/>
      <c r="EZ661" s="43"/>
      <c r="FA661" s="43"/>
      <c r="FB661" s="43"/>
      <c r="FC661" s="43"/>
      <c r="FD661" s="43"/>
      <c r="FE661" s="43"/>
      <c r="FF661" s="43"/>
      <c r="FG661" s="43"/>
      <c r="FH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Q662" s="43"/>
      <c r="BR662" s="43"/>
      <c r="BS662" s="43"/>
      <c r="BT662" s="43"/>
      <c r="BU662" s="43"/>
      <c r="BV662" s="43"/>
      <c r="BW662" s="43"/>
      <c r="BX662" s="43"/>
      <c r="BY662" s="43"/>
      <c r="BZ662" s="43"/>
      <c r="CA662" s="43"/>
      <c r="CB662" s="43"/>
      <c r="CC662" s="43"/>
      <c r="CD662" s="43"/>
      <c r="CE662" s="43"/>
      <c r="CF662" s="43"/>
      <c r="CG662" s="43"/>
      <c r="CH662" s="43"/>
      <c r="CI662" s="43"/>
      <c r="CJ662" s="43"/>
      <c r="CK662" s="43"/>
      <c r="CL662" s="43"/>
      <c r="CM662" s="43"/>
      <c r="CN662" s="43"/>
      <c r="CO662" s="43"/>
      <c r="CP662" s="43"/>
      <c r="CQ662" s="43"/>
      <c r="CR662" s="43"/>
      <c r="CS662" s="43"/>
      <c r="CT662" s="43"/>
      <c r="CU662" s="43"/>
      <c r="CV662" s="43"/>
      <c r="CW662" s="43"/>
      <c r="CX662" s="43"/>
      <c r="CY662" s="43"/>
      <c r="CZ662" s="43"/>
      <c r="DA662" s="43"/>
      <c r="DB662" s="43"/>
      <c r="DC662" s="43"/>
      <c r="DD662" s="43"/>
      <c r="DE662" s="43"/>
      <c r="DF662" s="43"/>
      <c r="DG662" s="43"/>
      <c r="DH662" s="43"/>
      <c r="DI662" s="43"/>
      <c r="DJ662" s="43"/>
      <c r="DK662" s="43"/>
      <c r="DL662" s="43"/>
      <c r="DM662" s="43"/>
      <c r="DN662" s="43"/>
      <c r="DO662" s="43"/>
      <c r="DP662" s="43"/>
      <c r="DQ662" s="43"/>
      <c r="DR662" s="43"/>
      <c r="DS662" s="43"/>
      <c r="DT662" s="43"/>
      <c r="DU662" s="43"/>
      <c r="DV662" s="43"/>
      <c r="DW662" s="43"/>
      <c r="DX662" s="43"/>
      <c r="DY662" s="43"/>
      <c r="DZ662" s="43"/>
      <c r="EA662" s="43"/>
      <c r="EB662" s="43"/>
      <c r="EC662" s="43"/>
      <c r="ED662" s="43"/>
      <c r="EE662" s="43"/>
      <c r="EF662" s="43"/>
      <c r="EG662" s="43"/>
      <c r="EH662" s="43"/>
      <c r="EI662" s="43"/>
      <c r="EJ662" s="43"/>
      <c r="EK662" s="43"/>
      <c r="EL662" s="43"/>
      <c r="EM662" s="43"/>
      <c r="EN662" s="43"/>
      <c r="EO662" s="43"/>
      <c r="EP662" s="43"/>
      <c r="EQ662" s="43"/>
      <c r="ER662" s="43"/>
      <c r="ES662" s="43"/>
      <c r="ET662" s="43"/>
      <c r="EU662" s="43"/>
      <c r="EV662" s="43"/>
      <c r="EW662" s="43"/>
      <c r="EX662" s="43"/>
      <c r="EY662" s="43"/>
      <c r="EZ662" s="43"/>
      <c r="FA662" s="43"/>
      <c r="FB662" s="43"/>
      <c r="FC662" s="43"/>
      <c r="FD662" s="43"/>
      <c r="FE662" s="43"/>
      <c r="FF662" s="43"/>
      <c r="FG662" s="43"/>
      <c r="FH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Q663" s="43"/>
      <c r="BR663" s="43"/>
      <c r="BS663" s="43"/>
      <c r="BT663" s="43"/>
      <c r="BU663" s="43"/>
      <c r="BV663" s="43"/>
      <c r="BW663" s="43"/>
      <c r="BX663" s="43"/>
      <c r="BY663" s="43"/>
      <c r="BZ663" s="43"/>
      <c r="CA663" s="43"/>
      <c r="CB663" s="43"/>
      <c r="CC663" s="43"/>
      <c r="CD663" s="43"/>
      <c r="CE663" s="43"/>
      <c r="CF663" s="43"/>
      <c r="CG663" s="43"/>
      <c r="CH663" s="43"/>
      <c r="CI663" s="43"/>
      <c r="CJ663" s="43"/>
      <c r="CK663" s="43"/>
      <c r="CL663" s="43"/>
      <c r="CM663" s="43"/>
      <c r="CN663" s="43"/>
      <c r="CO663" s="43"/>
      <c r="CP663" s="43"/>
      <c r="CQ663" s="43"/>
      <c r="CR663" s="43"/>
      <c r="CS663" s="43"/>
      <c r="CT663" s="43"/>
      <c r="CU663" s="43"/>
      <c r="CV663" s="43"/>
      <c r="CW663" s="43"/>
      <c r="CX663" s="43"/>
      <c r="CY663" s="43"/>
      <c r="CZ663" s="43"/>
      <c r="DA663" s="43"/>
      <c r="DB663" s="43"/>
      <c r="DC663" s="43"/>
      <c r="DD663" s="43"/>
      <c r="DE663" s="43"/>
      <c r="DF663" s="43"/>
      <c r="DG663" s="43"/>
      <c r="DH663" s="43"/>
      <c r="DI663" s="43"/>
      <c r="DJ663" s="43"/>
      <c r="DK663" s="43"/>
      <c r="DL663" s="43"/>
      <c r="DM663" s="43"/>
      <c r="DN663" s="43"/>
      <c r="DO663" s="43"/>
      <c r="DP663" s="43"/>
      <c r="DQ663" s="43"/>
      <c r="DR663" s="43"/>
      <c r="DS663" s="43"/>
      <c r="DT663" s="43"/>
      <c r="DU663" s="43"/>
      <c r="DV663" s="43"/>
      <c r="DW663" s="43"/>
      <c r="DX663" s="43"/>
      <c r="DY663" s="43"/>
      <c r="DZ663" s="43"/>
      <c r="EA663" s="43"/>
      <c r="EB663" s="43"/>
      <c r="EC663" s="43"/>
      <c r="ED663" s="43"/>
      <c r="EE663" s="43"/>
      <c r="EF663" s="43"/>
      <c r="EG663" s="43"/>
      <c r="EH663" s="43"/>
      <c r="EI663" s="43"/>
      <c r="EJ663" s="43"/>
      <c r="EK663" s="43"/>
      <c r="EL663" s="43"/>
      <c r="EM663" s="43"/>
      <c r="EN663" s="43"/>
      <c r="EO663" s="43"/>
      <c r="EP663" s="43"/>
      <c r="EQ663" s="43"/>
      <c r="ER663" s="43"/>
      <c r="ES663" s="43"/>
      <c r="ET663" s="43"/>
      <c r="EU663" s="43"/>
      <c r="EV663" s="43"/>
      <c r="EW663" s="43"/>
      <c r="EX663" s="43"/>
      <c r="EY663" s="43"/>
      <c r="EZ663" s="43"/>
      <c r="FA663" s="43"/>
      <c r="FB663" s="43"/>
      <c r="FC663" s="43"/>
      <c r="FD663" s="43"/>
      <c r="FE663" s="43"/>
      <c r="FF663" s="43"/>
      <c r="FG663" s="43"/>
      <c r="FH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Q664" s="43"/>
      <c r="BR664" s="43"/>
      <c r="BS664" s="43"/>
      <c r="BT664" s="43"/>
      <c r="BU664" s="43"/>
      <c r="BV664" s="43"/>
      <c r="BW664" s="43"/>
      <c r="BX664" s="43"/>
      <c r="BY664" s="43"/>
      <c r="BZ664" s="43"/>
      <c r="CA664" s="43"/>
      <c r="CB664" s="43"/>
      <c r="CC664" s="43"/>
      <c r="CD664" s="43"/>
      <c r="CE664" s="43"/>
      <c r="CF664" s="43"/>
      <c r="CG664" s="43"/>
      <c r="CH664" s="43"/>
      <c r="CI664" s="43"/>
      <c r="CJ664" s="43"/>
      <c r="CK664" s="43"/>
      <c r="CL664" s="43"/>
      <c r="CM664" s="43"/>
      <c r="CN664" s="43"/>
      <c r="CO664" s="43"/>
      <c r="CP664" s="43"/>
      <c r="CQ664" s="43"/>
      <c r="CR664" s="43"/>
      <c r="CS664" s="43"/>
      <c r="CT664" s="43"/>
      <c r="CU664" s="43"/>
      <c r="CV664" s="43"/>
      <c r="CW664" s="43"/>
      <c r="CX664" s="43"/>
      <c r="CY664" s="43"/>
      <c r="CZ664" s="43"/>
      <c r="DA664" s="43"/>
      <c r="DB664" s="43"/>
      <c r="DC664" s="43"/>
      <c r="DD664" s="43"/>
      <c r="DE664" s="43"/>
      <c r="DF664" s="43"/>
      <c r="DG664" s="43"/>
      <c r="DH664" s="43"/>
      <c r="DI664" s="43"/>
      <c r="DJ664" s="43"/>
      <c r="DK664" s="43"/>
      <c r="DL664" s="43"/>
      <c r="DM664" s="43"/>
      <c r="DN664" s="43"/>
      <c r="DO664" s="43"/>
      <c r="DP664" s="43"/>
      <c r="DQ664" s="43"/>
      <c r="DR664" s="43"/>
      <c r="DS664" s="43"/>
      <c r="DT664" s="43"/>
      <c r="DU664" s="43"/>
      <c r="DV664" s="43"/>
      <c r="DW664" s="43"/>
      <c r="DX664" s="43"/>
      <c r="DY664" s="43"/>
      <c r="DZ664" s="43"/>
      <c r="EA664" s="43"/>
      <c r="EB664" s="43"/>
      <c r="EC664" s="43"/>
      <c r="ED664" s="43"/>
      <c r="EE664" s="43"/>
      <c r="EF664" s="43"/>
      <c r="EG664" s="43"/>
      <c r="EH664" s="43"/>
      <c r="EI664" s="43"/>
      <c r="EJ664" s="43"/>
      <c r="EK664" s="43"/>
      <c r="EL664" s="43"/>
      <c r="EM664" s="43"/>
      <c r="EN664" s="43"/>
      <c r="EO664" s="43"/>
      <c r="EP664" s="43"/>
      <c r="EQ664" s="43"/>
      <c r="ER664" s="43"/>
      <c r="ES664" s="43"/>
      <c r="ET664" s="43"/>
      <c r="EU664" s="43"/>
      <c r="EV664" s="43"/>
      <c r="EW664" s="43"/>
      <c r="EX664" s="43"/>
      <c r="EY664" s="43"/>
      <c r="EZ664" s="43"/>
      <c r="FA664" s="43"/>
      <c r="FB664" s="43"/>
      <c r="FC664" s="43"/>
      <c r="FD664" s="43"/>
      <c r="FE664" s="43"/>
      <c r="FF664" s="43"/>
      <c r="FG664" s="43"/>
      <c r="FH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Q665" s="43"/>
      <c r="BR665" s="43"/>
      <c r="BS665" s="43"/>
      <c r="BT665" s="43"/>
      <c r="BU665" s="43"/>
      <c r="BV665" s="43"/>
      <c r="BW665" s="43"/>
      <c r="BX665" s="43"/>
      <c r="BY665" s="43"/>
      <c r="BZ665" s="43"/>
      <c r="CA665" s="43"/>
      <c r="CB665" s="43"/>
      <c r="CC665" s="43"/>
      <c r="CD665" s="43"/>
      <c r="CE665" s="43"/>
      <c r="CF665" s="43"/>
      <c r="CG665" s="43"/>
      <c r="CH665" s="43"/>
      <c r="CI665" s="43"/>
      <c r="CJ665" s="43"/>
      <c r="CK665" s="43"/>
      <c r="CL665" s="43"/>
      <c r="CM665" s="43"/>
      <c r="CN665" s="43"/>
      <c r="CO665" s="43"/>
      <c r="CP665" s="43"/>
      <c r="CQ665" s="43"/>
      <c r="CR665" s="43"/>
      <c r="CS665" s="43"/>
      <c r="CT665" s="43"/>
      <c r="CU665" s="43"/>
      <c r="CV665" s="43"/>
      <c r="CW665" s="43"/>
      <c r="CX665" s="43"/>
      <c r="CY665" s="43"/>
      <c r="CZ665" s="43"/>
      <c r="DA665" s="43"/>
      <c r="DB665" s="43"/>
      <c r="DC665" s="43"/>
      <c r="DD665" s="43"/>
      <c r="DE665" s="43"/>
      <c r="DF665" s="43"/>
      <c r="DG665" s="43"/>
      <c r="DH665" s="43"/>
      <c r="DI665" s="43"/>
      <c r="DJ665" s="43"/>
      <c r="DK665" s="43"/>
      <c r="DL665" s="43"/>
      <c r="DM665" s="43"/>
      <c r="DN665" s="43"/>
      <c r="DO665" s="43"/>
      <c r="DP665" s="43"/>
      <c r="DQ665" s="43"/>
      <c r="DR665" s="43"/>
      <c r="DS665" s="43"/>
      <c r="DT665" s="43"/>
      <c r="DU665" s="43"/>
      <c r="DV665" s="43"/>
      <c r="DW665" s="43"/>
      <c r="DX665" s="43"/>
      <c r="DY665" s="43"/>
      <c r="DZ665" s="43"/>
      <c r="EA665" s="43"/>
      <c r="EB665" s="43"/>
      <c r="EC665" s="43"/>
      <c r="ED665" s="43"/>
      <c r="EE665" s="43"/>
      <c r="EF665" s="43"/>
      <c r="EG665" s="43"/>
      <c r="EH665" s="43"/>
      <c r="EI665" s="43"/>
      <c r="EJ665" s="43"/>
      <c r="EK665" s="43"/>
      <c r="EL665" s="43"/>
      <c r="EM665" s="43"/>
      <c r="EN665" s="43"/>
      <c r="EO665" s="43"/>
      <c r="EP665" s="43"/>
      <c r="EQ665" s="43"/>
      <c r="ER665" s="43"/>
      <c r="ES665" s="43"/>
      <c r="ET665" s="43"/>
      <c r="EU665" s="43"/>
      <c r="EV665" s="43"/>
      <c r="EW665" s="43"/>
      <c r="EX665" s="43"/>
      <c r="EY665" s="43"/>
      <c r="EZ665" s="43"/>
      <c r="FA665" s="43"/>
      <c r="FB665" s="43"/>
      <c r="FC665" s="43"/>
      <c r="FD665" s="43"/>
      <c r="FE665" s="43"/>
      <c r="FF665" s="43"/>
      <c r="FG665" s="43"/>
      <c r="FH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c r="BO666" s="43"/>
      <c r="BP666" s="43"/>
      <c r="BQ666" s="43"/>
      <c r="BR666" s="43"/>
      <c r="BS666" s="43"/>
      <c r="BT666" s="43"/>
      <c r="BU666" s="43"/>
      <c r="BV666" s="43"/>
      <c r="BW666" s="43"/>
      <c r="BX666" s="43"/>
      <c r="BY666" s="43"/>
      <c r="BZ666" s="43"/>
      <c r="CA666" s="43"/>
      <c r="CB666" s="43"/>
      <c r="CC666" s="43"/>
      <c r="CD666" s="43"/>
      <c r="CE666" s="43"/>
      <c r="CF666" s="43"/>
      <c r="CG666" s="43"/>
      <c r="CH666" s="43"/>
      <c r="CI666" s="43"/>
      <c r="CJ666" s="43"/>
      <c r="CK666" s="43"/>
      <c r="CL666" s="43"/>
      <c r="CM666" s="43"/>
      <c r="CN666" s="43"/>
      <c r="CO666" s="43"/>
      <c r="CP666" s="43"/>
      <c r="CQ666" s="43"/>
      <c r="CR666" s="43"/>
      <c r="CS666" s="43"/>
      <c r="CT666" s="43"/>
      <c r="CU666" s="43"/>
      <c r="CV666" s="43"/>
      <c r="CW666" s="43"/>
      <c r="CX666" s="43"/>
      <c r="CY666" s="43"/>
      <c r="CZ666" s="43"/>
      <c r="DA666" s="43"/>
      <c r="DB666" s="43"/>
      <c r="DC666" s="43"/>
      <c r="DD666" s="43"/>
      <c r="DE666" s="43"/>
      <c r="DF666" s="43"/>
      <c r="DG666" s="43"/>
      <c r="DH666" s="43"/>
      <c r="DI666" s="43"/>
      <c r="DJ666" s="43"/>
      <c r="DK666" s="43"/>
      <c r="DL666" s="43"/>
      <c r="DM666" s="43"/>
      <c r="DN666" s="43"/>
      <c r="DO666" s="43"/>
      <c r="DP666" s="43"/>
      <c r="DQ666" s="43"/>
      <c r="DR666" s="43"/>
      <c r="DS666" s="43"/>
      <c r="DT666" s="43"/>
      <c r="DU666" s="43"/>
      <c r="DV666" s="43"/>
      <c r="DW666" s="43"/>
      <c r="DX666" s="43"/>
      <c r="DY666" s="43"/>
      <c r="DZ666" s="43"/>
      <c r="EA666" s="43"/>
      <c r="EB666" s="43"/>
      <c r="EC666" s="43"/>
      <c r="ED666" s="43"/>
      <c r="EE666" s="43"/>
      <c r="EF666" s="43"/>
      <c r="EG666" s="43"/>
      <c r="EH666" s="43"/>
      <c r="EI666" s="43"/>
      <c r="EJ666" s="43"/>
      <c r="EK666" s="43"/>
      <c r="EL666" s="43"/>
      <c r="EM666" s="43"/>
      <c r="EN666" s="43"/>
      <c r="EO666" s="43"/>
      <c r="EP666" s="43"/>
      <c r="EQ666" s="43"/>
      <c r="ER666" s="43"/>
      <c r="ES666" s="43"/>
      <c r="ET666" s="43"/>
      <c r="EU666" s="43"/>
      <c r="EV666" s="43"/>
      <c r="EW666" s="43"/>
      <c r="EX666" s="43"/>
      <c r="EY666" s="43"/>
      <c r="EZ666" s="43"/>
      <c r="FA666" s="43"/>
      <c r="FB666" s="43"/>
      <c r="FC666" s="43"/>
      <c r="FD666" s="43"/>
      <c r="FE666" s="43"/>
      <c r="FF666" s="43"/>
      <c r="FG666" s="43"/>
      <c r="FH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c r="BO667" s="43"/>
      <c r="BP667" s="43"/>
      <c r="BQ667" s="43"/>
      <c r="BR667" s="43"/>
      <c r="BS667" s="43"/>
      <c r="BT667" s="43"/>
      <c r="BU667" s="43"/>
      <c r="BV667" s="43"/>
      <c r="BW667" s="43"/>
      <c r="BX667" s="43"/>
      <c r="BY667" s="43"/>
      <c r="BZ667" s="43"/>
      <c r="CA667" s="43"/>
      <c r="CB667" s="43"/>
      <c r="CC667" s="43"/>
      <c r="CD667" s="43"/>
      <c r="CE667" s="43"/>
      <c r="CF667" s="43"/>
      <c r="CG667" s="43"/>
      <c r="CH667" s="43"/>
      <c r="CI667" s="43"/>
      <c r="CJ667" s="43"/>
      <c r="CK667" s="43"/>
      <c r="CL667" s="43"/>
      <c r="CM667" s="43"/>
      <c r="CN667" s="43"/>
      <c r="CO667" s="43"/>
      <c r="CP667" s="43"/>
      <c r="CQ667" s="43"/>
      <c r="CR667" s="43"/>
      <c r="CS667" s="43"/>
      <c r="CT667" s="43"/>
      <c r="CU667" s="43"/>
      <c r="CV667" s="43"/>
      <c r="CW667" s="43"/>
      <c r="CX667" s="43"/>
      <c r="CY667" s="43"/>
      <c r="CZ667" s="43"/>
      <c r="DA667" s="43"/>
      <c r="DB667" s="43"/>
      <c r="DC667" s="43"/>
      <c r="DD667" s="43"/>
      <c r="DE667" s="43"/>
      <c r="DF667" s="43"/>
      <c r="DG667" s="43"/>
      <c r="DH667" s="43"/>
      <c r="DI667" s="43"/>
      <c r="DJ667" s="43"/>
      <c r="DK667" s="43"/>
      <c r="DL667" s="43"/>
      <c r="DM667" s="43"/>
      <c r="DN667" s="43"/>
      <c r="DO667" s="43"/>
      <c r="DP667" s="43"/>
      <c r="DQ667" s="43"/>
      <c r="DR667" s="43"/>
      <c r="DS667" s="43"/>
      <c r="DT667" s="43"/>
      <c r="DU667" s="43"/>
      <c r="DV667" s="43"/>
      <c r="DW667" s="43"/>
      <c r="DX667" s="43"/>
      <c r="DY667" s="43"/>
      <c r="DZ667" s="43"/>
      <c r="EA667" s="43"/>
      <c r="EB667" s="43"/>
      <c r="EC667" s="43"/>
      <c r="ED667" s="43"/>
      <c r="EE667" s="43"/>
      <c r="EF667" s="43"/>
      <c r="EG667" s="43"/>
      <c r="EH667" s="43"/>
      <c r="EI667" s="43"/>
      <c r="EJ667" s="43"/>
      <c r="EK667" s="43"/>
      <c r="EL667" s="43"/>
      <c r="EM667" s="43"/>
      <c r="EN667" s="43"/>
      <c r="EO667" s="43"/>
      <c r="EP667" s="43"/>
      <c r="EQ667" s="43"/>
      <c r="ER667" s="43"/>
      <c r="ES667" s="43"/>
      <c r="ET667" s="43"/>
      <c r="EU667" s="43"/>
      <c r="EV667" s="43"/>
      <c r="EW667" s="43"/>
      <c r="EX667" s="43"/>
      <c r="EY667" s="43"/>
      <c r="EZ667" s="43"/>
      <c r="FA667" s="43"/>
      <c r="FB667" s="43"/>
      <c r="FC667" s="43"/>
      <c r="FD667" s="43"/>
      <c r="FE667" s="43"/>
      <c r="FF667" s="43"/>
      <c r="FG667" s="43"/>
      <c r="FH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c r="BO668" s="43"/>
      <c r="BP668" s="43"/>
      <c r="BQ668" s="43"/>
      <c r="BR668" s="43"/>
      <c r="BS668" s="43"/>
      <c r="BT668" s="43"/>
      <c r="BU668" s="43"/>
      <c r="BV668" s="43"/>
      <c r="BW668" s="43"/>
      <c r="BX668" s="43"/>
      <c r="BY668" s="43"/>
      <c r="BZ668" s="43"/>
      <c r="CA668" s="43"/>
      <c r="CB668" s="43"/>
      <c r="CC668" s="43"/>
      <c r="CD668" s="43"/>
      <c r="CE668" s="43"/>
      <c r="CF668" s="43"/>
      <c r="CG668" s="43"/>
      <c r="CH668" s="43"/>
      <c r="CI668" s="43"/>
      <c r="CJ668" s="43"/>
      <c r="CK668" s="43"/>
      <c r="CL668" s="43"/>
      <c r="CM668" s="43"/>
      <c r="CN668" s="43"/>
      <c r="CO668" s="43"/>
      <c r="CP668" s="43"/>
      <c r="CQ668" s="43"/>
      <c r="CR668" s="43"/>
      <c r="CS668" s="43"/>
      <c r="CT668" s="43"/>
      <c r="CU668" s="43"/>
      <c r="CV668" s="43"/>
      <c r="CW668" s="43"/>
      <c r="CX668" s="43"/>
      <c r="CY668" s="43"/>
      <c r="CZ668" s="43"/>
      <c r="DA668" s="43"/>
      <c r="DB668" s="43"/>
      <c r="DC668" s="43"/>
      <c r="DD668" s="43"/>
      <c r="DE668" s="43"/>
      <c r="DF668" s="43"/>
      <c r="DG668" s="43"/>
      <c r="DH668" s="43"/>
      <c r="DI668" s="43"/>
      <c r="DJ668" s="43"/>
      <c r="DK668" s="43"/>
      <c r="DL668" s="43"/>
      <c r="DM668" s="43"/>
      <c r="DN668" s="43"/>
      <c r="DO668" s="43"/>
      <c r="DP668" s="43"/>
      <c r="DQ668" s="43"/>
      <c r="DR668" s="43"/>
      <c r="DS668" s="43"/>
      <c r="DT668" s="43"/>
      <c r="DU668" s="43"/>
      <c r="DV668" s="43"/>
      <c r="DW668" s="43"/>
      <c r="DX668" s="43"/>
      <c r="DY668" s="43"/>
      <c r="DZ668" s="43"/>
      <c r="EA668" s="43"/>
      <c r="EB668" s="43"/>
      <c r="EC668" s="43"/>
      <c r="ED668" s="43"/>
      <c r="EE668" s="43"/>
      <c r="EF668" s="43"/>
      <c r="EG668" s="43"/>
      <c r="EH668" s="43"/>
      <c r="EI668" s="43"/>
      <c r="EJ668" s="43"/>
      <c r="EK668" s="43"/>
      <c r="EL668" s="43"/>
      <c r="EM668" s="43"/>
      <c r="EN668" s="43"/>
      <c r="EO668" s="43"/>
      <c r="EP668" s="43"/>
      <c r="EQ668" s="43"/>
      <c r="ER668" s="43"/>
      <c r="ES668" s="43"/>
      <c r="ET668" s="43"/>
      <c r="EU668" s="43"/>
      <c r="EV668" s="43"/>
      <c r="EW668" s="43"/>
      <c r="EX668" s="43"/>
      <c r="EY668" s="43"/>
      <c r="EZ668" s="43"/>
      <c r="FA668" s="43"/>
      <c r="FB668" s="43"/>
      <c r="FC668" s="43"/>
      <c r="FD668" s="43"/>
      <c r="FE668" s="43"/>
      <c r="FF668" s="43"/>
      <c r="FG668" s="43"/>
      <c r="FH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c r="BO669" s="43"/>
      <c r="BP669" s="43"/>
      <c r="BQ669" s="43"/>
      <c r="BR669" s="43"/>
      <c r="BS669" s="43"/>
      <c r="BT669" s="43"/>
      <c r="BU669" s="43"/>
      <c r="BV669" s="43"/>
      <c r="BW669" s="43"/>
      <c r="BX669" s="43"/>
      <c r="BY669" s="43"/>
      <c r="BZ669" s="43"/>
      <c r="CA669" s="43"/>
      <c r="CB669" s="43"/>
      <c r="CC669" s="43"/>
      <c r="CD669" s="43"/>
      <c r="CE669" s="43"/>
      <c r="CF669" s="43"/>
      <c r="CG669" s="43"/>
      <c r="CH669" s="43"/>
      <c r="CI669" s="43"/>
      <c r="CJ669" s="43"/>
      <c r="CK669" s="43"/>
      <c r="CL669" s="43"/>
      <c r="CM669" s="43"/>
      <c r="CN669" s="43"/>
      <c r="CO669" s="43"/>
      <c r="CP669" s="43"/>
      <c r="CQ669" s="43"/>
      <c r="CR669" s="43"/>
      <c r="CS669" s="43"/>
      <c r="CT669" s="43"/>
      <c r="CU669" s="43"/>
      <c r="CV669" s="43"/>
      <c r="CW669" s="43"/>
      <c r="CX669" s="43"/>
      <c r="CY669" s="43"/>
      <c r="CZ669" s="43"/>
      <c r="DA669" s="43"/>
      <c r="DB669" s="43"/>
      <c r="DC669" s="43"/>
      <c r="DD669" s="43"/>
      <c r="DE669" s="43"/>
      <c r="DF669" s="43"/>
      <c r="DG669" s="43"/>
      <c r="DH669" s="43"/>
      <c r="DI669" s="43"/>
      <c r="DJ669" s="43"/>
      <c r="DK669" s="43"/>
      <c r="DL669" s="43"/>
      <c r="DM669" s="43"/>
      <c r="DN669" s="43"/>
      <c r="DO669" s="43"/>
      <c r="DP669" s="43"/>
      <c r="DQ669" s="43"/>
      <c r="DR669" s="43"/>
      <c r="DS669" s="43"/>
      <c r="DT669" s="43"/>
      <c r="DU669" s="43"/>
      <c r="DV669" s="43"/>
      <c r="DW669" s="43"/>
      <c r="DX669" s="43"/>
      <c r="DY669" s="43"/>
      <c r="DZ669" s="43"/>
      <c r="EA669" s="43"/>
      <c r="EB669" s="43"/>
      <c r="EC669" s="43"/>
      <c r="ED669" s="43"/>
      <c r="EE669" s="43"/>
      <c r="EF669" s="43"/>
      <c r="EG669" s="43"/>
      <c r="EH669" s="43"/>
      <c r="EI669" s="43"/>
      <c r="EJ669" s="43"/>
      <c r="EK669" s="43"/>
      <c r="EL669" s="43"/>
      <c r="EM669" s="43"/>
      <c r="EN669" s="43"/>
      <c r="EO669" s="43"/>
      <c r="EP669" s="43"/>
      <c r="EQ669" s="43"/>
      <c r="ER669" s="43"/>
      <c r="ES669" s="43"/>
      <c r="ET669" s="43"/>
      <c r="EU669" s="43"/>
      <c r="EV669" s="43"/>
      <c r="EW669" s="43"/>
      <c r="EX669" s="43"/>
      <c r="EY669" s="43"/>
      <c r="EZ669" s="43"/>
      <c r="FA669" s="43"/>
      <c r="FB669" s="43"/>
      <c r="FC669" s="43"/>
      <c r="FD669" s="43"/>
      <c r="FE669" s="43"/>
      <c r="FF669" s="43"/>
      <c r="FG669" s="43"/>
      <c r="FH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c r="BO670" s="43"/>
      <c r="BP670" s="43"/>
      <c r="BQ670" s="43"/>
      <c r="BR670" s="43"/>
      <c r="BS670" s="43"/>
      <c r="BT670" s="43"/>
      <c r="BU670" s="43"/>
      <c r="BV670" s="43"/>
      <c r="BW670" s="43"/>
      <c r="BX670" s="43"/>
      <c r="BY670" s="43"/>
      <c r="BZ670" s="43"/>
      <c r="CA670" s="43"/>
      <c r="CB670" s="43"/>
      <c r="CC670" s="43"/>
      <c r="CD670" s="43"/>
      <c r="CE670" s="43"/>
      <c r="CF670" s="43"/>
      <c r="CG670" s="43"/>
      <c r="CH670" s="43"/>
      <c r="CI670" s="43"/>
      <c r="CJ670" s="43"/>
      <c r="CK670" s="43"/>
      <c r="CL670" s="43"/>
      <c r="CM670" s="43"/>
      <c r="CN670" s="43"/>
      <c r="CO670" s="43"/>
      <c r="CP670" s="43"/>
      <c r="CQ670" s="43"/>
      <c r="CR670" s="43"/>
      <c r="CS670" s="43"/>
      <c r="CT670" s="43"/>
      <c r="CU670" s="43"/>
      <c r="CV670" s="43"/>
      <c r="CW670" s="43"/>
      <c r="CX670" s="43"/>
      <c r="CY670" s="43"/>
      <c r="CZ670" s="43"/>
      <c r="DA670" s="43"/>
      <c r="DB670" s="43"/>
      <c r="DC670" s="43"/>
      <c r="DD670" s="43"/>
      <c r="DE670" s="43"/>
      <c r="DF670" s="43"/>
      <c r="DG670" s="43"/>
      <c r="DH670" s="43"/>
      <c r="DI670" s="43"/>
      <c r="DJ670" s="43"/>
      <c r="DK670" s="43"/>
      <c r="DL670" s="43"/>
      <c r="DM670" s="43"/>
      <c r="DN670" s="43"/>
      <c r="DO670" s="43"/>
      <c r="DP670" s="43"/>
      <c r="DQ670" s="43"/>
      <c r="DR670" s="43"/>
      <c r="DS670" s="43"/>
      <c r="DT670" s="43"/>
      <c r="DU670" s="43"/>
      <c r="DV670" s="43"/>
      <c r="DW670" s="43"/>
      <c r="DX670" s="43"/>
      <c r="DY670" s="43"/>
      <c r="DZ670" s="43"/>
      <c r="EA670" s="43"/>
      <c r="EB670" s="43"/>
      <c r="EC670" s="43"/>
      <c r="ED670" s="43"/>
      <c r="EE670" s="43"/>
      <c r="EF670" s="43"/>
      <c r="EG670" s="43"/>
      <c r="EH670" s="43"/>
      <c r="EI670" s="43"/>
      <c r="EJ670" s="43"/>
      <c r="EK670" s="43"/>
      <c r="EL670" s="43"/>
      <c r="EM670" s="43"/>
      <c r="EN670" s="43"/>
      <c r="EO670" s="43"/>
      <c r="EP670" s="43"/>
      <c r="EQ670" s="43"/>
      <c r="ER670" s="43"/>
      <c r="ES670" s="43"/>
      <c r="ET670" s="43"/>
      <c r="EU670" s="43"/>
      <c r="EV670" s="43"/>
      <c r="EW670" s="43"/>
      <c r="EX670" s="43"/>
      <c r="EY670" s="43"/>
      <c r="EZ670" s="43"/>
      <c r="FA670" s="43"/>
      <c r="FB670" s="43"/>
      <c r="FC670" s="43"/>
      <c r="FD670" s="43"/>
      <c r="FE670" s="43"/>
      <c r="FF670" s="43"/>
      <c r="FG670" s="43"/>
      <c r="FH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c r="BO671" s="43"/>
      <c r="BP671" s="43"/>
      <c r="BQ671" s="43"/>
      <c r="BR671" s="43"/>
      <c r="BS671" s="43"/>
      <c r="BT671" s="43"/>
      <c r="BU671" s="43"/>
      <c r="BV671" s="43"/>
      <c r="BW671" s="43"/>
      <c r="BX671" s="43"/>
      <c r="BY671" s="43"/>
      <c r="BZ671" s="43"/>
      <c r="CA671" s="43"/>
      <c r="CB671" s="43"/>
      <c r="CC671" s="43"/>
      <c r="CD671" s="43"/>
      <c r="CE671" s="43"/>
      <c r="CF671" s="43"/>
      <c r="CG671" s="43"/>
      <c r="CH671" s="43"/>
      <c r="CI671" s="43"/>
      <c r="CJ671" s="43"/>
      <c r="CK671" s="43"/>
      <c r="CL671" s="43"/>
      <c r="CM671" s="43"/>
      <c r="CN671" s="43"/>
      <c r="CO671" s="43"/>
      <c r="CP671" s="43"/>
      <c r="CQ671" s="43"/>
      <c r="CR671" s="43"/>
      <c r="CS671" s="43"/>
      <c r="CT671" s="43"/>
      <c r="CU671" s="43"/>
      <c r="CV671" s="43"/>
      <c r="CW671" s="43"/>
      <c r="CX671" s="43"/>
      <c r="CY671" s="43"/>
      <c r="CZ671" s="43"/>
      <c r="DA671" s="43"/>
      <c r="DB671" s="43"/>
      <c r="DC671" s="43"/>
      <c r="DD671" s="43"/>
      <c r="DE671" s="43"/>
      <c r="DF671" s="43"/>
      <c r="DG671" s="43"/>
      <c r="DH671" s="43"/>
      <c r="DI671" s="43"/>
      <c r="DJ671" s="43"/>
      <c r="DK671" s="43"/>
      <c r="DL671" s="43"/>
      <c r="DM671" s="43"/>
      <c r="DN671" s="43"/>
      <c r="DO671" s="43"/>
      <c r="DP671" s="43"/>
      <c r="DQ671" s="43"/>
      <c r="DR671" s="43"/>
      <c r="DS671" s="43"/>
      <c r="DT671" s="43"/>
      <c r="DU671" s="43"/>
      <c r="DV671" s="43"/>
      <c r="DW671" s="43"/>
      <c r="DX671" s="43"/>
      <c r="DY671" s="43"/>
      <c r="DZ671" s="43"/>
      <c r="EA671" s="43"/>
      <c r="EB671" s="43"/>
      <c r="EC671" s="43"/>
      <c r="ED671" s="43"/>
      <c r="EE671" s="43"/>
      <c r="EF671" s="43"/>
      <c r="EG671" s="43"/>
      <c r="EH671" s="43"/>
      <c r="EI671" s="43"/>
      <c r="EJ671" s="43"/>
      <c r="EK671" s="43"/>
      <c r="EL671" s="43"/>
      <c r="EM671" s="43"/>
      <c r="EN671" s="43"/>
      <c r="EO671" s="43"/>
      <c r="EP671" s="43"/>
      <c r="EQ671" s="43"/>
      <c r="ER671" s="43"/>
      <c r="ES671" s="43"/>
      <c r="ET671" s="43"/>
      <c r="EU671" s="43"/>
      <c r="EV671" s="43"/>
      <c r="EW671" s="43"/>
      <c r="EX671" s="43"/>
      <c r="EY671" s="43"/>
      <c r="EZ671" s="43"/>
      <c r="FA671" s="43"/>
      <c r="FB671" s="43"/>
      <c r="FC671" s="43"/>
      <c r="FD671" s="43"/>
      <c r="FE671" s="43"/>
      <c r="FF671" s="43"/>
      <c r="FG671" s="43"/>
      <c r="FH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c r="BO672" s="43"/>
      <c r="BP672" s="43"/>
      <c r="BQ672" s="43"/>
      <c r="BR672" s="43"/>
      <c r="BS672" s="43"/>
      <c r="BT672" s="43"/>
      <c r="BU672" s="43"/>
      <c r="BV672" s="43"/>
      <c r="BW672" s="43"/>
      <c r="BX672" s="43"/>
      <c r="BY672" s="43"/>
      <c r="BZ672" s="43"/>
      <c r="CA672" s="43"/>
      <c r="CB672" s="43"/>
      <c r="CC672" s="43"/>
      <c r="CD672" s="43"/>
      <c r="CE672" s="43"/>
      <c r="CF672" s="43"/>
      <c r="CG672" s="43"/>
      <c r="CH672" s="43"/>
      <c r="CI672" s="43"/>
      <c r="CJ672" s="43"/>
      <c r="CK672" s="43"/>
      <c r="CL672" s="43"/>
      <c r="CM672" s="43"/>
      <c r="CN672" s="43"/>
      <c r="CO672" s="43"/>
      <c r="CP672" s="43"/>
      <c r="CQ672" s="43"/>
      <c r="CR672" s="43"/>
      <c r="CS672" s="43"/>
      <c r="CT672" s="43"/>
      <c r="CU672" s="43"/>
      <c r="CV672" s="43"/>
      <c r="CW672" s="43"/>
      <c r="CX672" s="43"/>
      <c r="CY672" s="43"/>
      <c r="CZ672" s="43"/>
      <c r="DA672" s="43"/>
      <c r="DB672" s="43"/>
      <c r="DC672" s="43"/>
      <c r="DD672" s="43"/>
      <c r="DE672" s="43"/>
      <c r="DF672" s="43"/>
      <c r="DG672" s="43"/>
      <c r="DH672" s="43"/>
      <c r="DI672" s="43"/>
      <c r="DJ672" s="43"/>
      <c r="DK672" s="43"/>
      <c r="DL672" s="43"/>
      <c r="DM672" s="43"/>
      <c r="DN672" s="43"/>
      <c r="DO672" s="43"/>
      <c r="DP672" s="43"/>
      <c r="DQ672" s="43"/>
      <c r="DR672" s="43"/>
      <c r="DS672" s="43"/>
      <c r="DT672" s="43"/>
      <c r="DU672" s="43"/>
      <c r="DV672" s="43"/>
      <c r="DW672" s="43"/>
      <c r="DX672" s="43"/>
      <c r="DY672" s="43"/>
      <c r="DZ672" s="43"/>
      <c r="EA672" s="43"/>
      <c r="EB672" s="43"/>
      <c r="EC672" s="43"/>
      <c r="ED672" s="43"/>
      <c r="EE672" s="43"/>
      <c r="EF672" s="43"/>
      <c r="EG672" s="43"/>
      <c r="EH672" s="43"/>
      <c r="EI672" s="43"/>
      <c r="EJ672" s="43"/>
      <c r="EK672" s="43"/>
      <c r="EL672" s="43"/>
      <c r="EM672" s="43"/>
      <c r="EN672" s="43"/>
      <c r="EO672" s="43"/>
      <c r="EP672" s="43"/>
      <c r="EQ672" s="43"/>
      <c r="ER672" s="43"/>
      <c r="ES672" s="43"/>
      <c r="ET672" s="43"/>
      <c r="EU672" s="43"/>
      <c r="EV672" s="43"/>
      <c r="EW672" s="43"/>
      <c r="EX672" s="43"/>
      <c r="EY672" s="43"/>
      <c r="EZ672" s="43"/>
      <c r="FA672" s="43"/>
      <c r="FB672" s="43"/>
      <c r="FC672" s="43"/>
      <c r="FD672" s="43"/>
      <c r="FE672" s="43"/>
      <c r="FF672" s="43"/>
      <c r="FG672" s="43"/>
      <c r="FH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43"/>
      <c r="BP673" s="43"/>
      <c r="BQ673" s="43"/>
      <c r="BR673" s="43"/>
      <c r="BS673" s="43"/>
      <c r="BT673" s="43"/>
      <c r="BU673" s="43"/>
      <c r="BV673" s="43"/>
      <c r="BW673" s="43"/>
      <c r="BX673" s="43"/>
      <c r="BY673" s="43"/>
      <c r="BZ673" s="43"/>
      <c r="CA673" s="43"/>
      <c r="CB673" s="43"/>
      <c r="CC673" s="43"/>
      <c r="CD673" s="43"/>
      <c r="CE673" s="43"/>
      <c r="CF673" s="43"/>
      <c r="CG673" s="43"/>
      <c r="CH673" s="43"/>
      <c r="CI673" s="43"/>
      <c r="CJ673" s="43"/>
      <c r="CK673" s="43"/>
      <c r="CL673" s="43"/>
      <c r="CM673" s="43"/>
      <c r="CN673" s="43"/>
      <c r="CO673" s="43"/>
      <c r="CP673" s="43"/>
      <c r="CQ673" s="43"/>
      <c r="CR673" s="43"/>
      <c r="CS673" s="43"/>
      <c r="CT673" s="43"/>
      <c r="CU673" s="43"/>
      <c r="CV673" s="43"/>
      <c r="CW673" s="43"/>
      <c r="CX673" s="43"/>
      <c r="CY673" s="43"/>
      <c r="CZ673" s="43"/>
      <c r="DA673" s="43"/>
      <c r="DB673" s="43"/>
      <c r="DC673" s="43"/>
      <c r="DD673" s="43"/>
      <c r="DE673" s="43"/>
      <c r="DF673" s="43"/>
      <c r="DG673" s="43"/>
      <c r="DH673" s="43"/>
      <c r="DI673" s="43"/>
      <c r="DJ673" s="43"/>
      <c r="DK673" s="43"/>
      <c r="DL673" s="43"/>
      <c r="DM673" s="43"/>
      <c r="DN673" s="43"/>
      <c r="DO673" s="43"/>
      <c r="DP673" s="43"/>
      <c r="DQ673" s="43"/>
      <c r="DR673" s="43"/>
      <c r="DS673" s="43"/>
      <c r="DT673" s="43"/>
      <c r="DU673" s="43"/>
      <c r="DV673" s="43"/>
      <c r="DW673" s="43"/>
      <c r="DX673" s="43"/>
      <c r="DY673" s="43"/>
      <c r="DZ673" s="43"/>
      <c r="EA673" s="43"/>
      <c r="EB673" s="43"/>
      <c r="EC673" s="43"/>
      <c r="ED673" s="43"/>
      <c r="EE673" s="43"/>
      <c r="EF673" s="43"/>
      <c r="EG673" s="43"/>
      <c r="EH673" s="43"/>
      <c r="EI673" s="43"/>
      <c r="EJ673" s="43"/>
      <c r="EK673" s="43"/>
      <c r="EL673" s="43"/>
      <c r="EM673" s="43"/>
      <c r="EN673" s="43"/>
      <c r="EO673" s="43"/>
      <c r="EP673" s="43"/>
      <c r="EQ673" s="43"/>
      <c r="ER673" s="43"/>
      <c r="ES673" s="43"/>
      <c r="ET673" s="43"/>
      <c r="EU673" s="43"/>
      <c r="EV673" s="43"/>
      <c r="EW673" s="43"/>
      <c r="EX673" s="43"/>
      <c r="EY673" s="43"/>
      <c r="EZ673" s="43"/>
      <c r="FA673" s="43"/>
      <c r="FB673" s="43"/>
      <c r="FC673" s="43"/>
      <c r="FD673" s="43"/>
      <c r="FE673" s="43"/>
      <c r="FF673" s="43"/>
      <c r="FG673" s="43"/>
      <c r="FH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43"/>
      <c r="BP674" s="43"/>
      <c r="BQ674" s="43"/>
      <c r="BR674" s="43"/>
      <c r="BS674" s="43"/>
      <c r="BT674" s="43"/>
      <c r="BU674" s="43"/>
      <c r="BV674" s="43"/>
      <c r="BW674" s="43"/>
      <c r="BX674" s="43"/>
      <c r="BY674" s="43"/>
      <c r="BZ674" s="43"/>
      <c r="CA674" s="43"/>
      <c r="CB674" s="43"/>
      <c r="CC674" s="43"/>
      <c r="CD674" s="43"/>
      <c r="CE674" s="43"/>
      <c r="CF674" s="43"/>
      <c r="CG674" s="43"/>
      <c r="CH674" s="43"/>
      <c r="CI674" s="43"/>
      <c r="CJ674" s="43"/>
      <c r="CK674" s="43"/>
      <c r="CL674" s="43"/>
      <c r="CM674" s="43"/>
      <c r="CN674" s="43"/>
      <c r="CO674" s="43"/>
      <c r="CP674" s="43"/>
      <c r="CQ674" s="43"/>
      <c r="CR674" s="43"/>
      <c r="CS674" s="43"/>
      <c r="CT674" s="43"/>
      <c r="CU674" s="43"/>
      <c r="CV674" s="43"/>
      <c r="CW674" s="43"/>
      <c r="CX674" s="43"/>
      <c r="CY674" s="43"/>
      <c r="CZ674" s="43"/>
      <c r="DA674" s="43"/>
      <c r="DB674" s="43"/>
      <c r="DC674" s="43"/>
      <c r="DD674" s="43"/>
      <c r="DE674" s="43"/>
      <c r="DF674" s="43"/>
      <c r="DG674" s="43"/>
      <c r="DH674" s="43"/>
      <c r="DI674" s="43"/>
      <c r="DJ674" s="43"/>
      <c r="DK674" s="43"/>
      <c r="DL674" s="43"/>
      <c r="DM674" s="43"/>
      <c r="DN674" s="43"/>
      <c r="DO674" s="43"/>
      <c r="DP674" s="43"/>
      <c r="DQ674" s="43"/>
      <c r="DR674" s="43"/>
      <c r="DS674" s="43"/>
      <c r="DT674" s="43"/>
      <c r="DU674" s="43"/>
      <c r="DV674" s="43"/>
      <c r="DW674" s="43"/>
      <c r="DX674" s="43"/>
      <c r="DY674" s="43"/>
      <c r="DZ674" s="43"/>
      <c r="EA674" s="43"/>
      <c r="EB674" s="43"/>
      <c r="EC674" s="43"/>
      <c r="ED674" s="43"/>
      <c r="EE674" s="43"/>
      <c r="EF674" s="43"/>
      <c r="EG674" s="43"/>
      <c r="EH674" s="43"/>
      <c r="EI674" s="43"/>
      <c r="EJ674" s="43"/>
      <c r="EK674" s="43"/>
      <c r="EL674" s="43"/>
      <c r="EM674" s="43"/>
      <c r="EN674" s="43"/>
      <c r="EO674" s="43"/>
      <c r="EP674" s="43"/>
      <c r="EQ674" s="43"/>
      <c r="ER674" s="43"/>
      <c r="ES674" s="43"/>
      <c r="ET674" s="43"/>
      <c r="EU674" s="43"/>
      <c r="EV674" s="43"/>
      <c r="EW674" s="43"/>
      <c r="EX674" s="43"/>
      <c r="EY674" s="43"/>
      <c r="EZ674" s="43"/>
      <c r="FA674" s="43"/>
      <c r="FB674" s="43"/>
      <c r="FC674" s="43"/>
      <c r="FD674" s="43"/>
      <c r="FE674" s="43"/>
      <c r="FF674" s="43"/>
      <c r="FG674" s="43"/>
      <c r="FH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43"/>
      <c r="BP675" s="43"/>
      <c r="BQ675" s="43"/>
      <c r="BR675" s="43"/>
      <c r="BS675" s="43"/>
      <c r="BT675" s="43"/>
      <c r="BU675" s="43"/>
      <c r="BV675" s="43"/>
      <c r="BW675" s="43"/>
      <c r="BX675" s="43"/>
      <c r="BY675" s="43"/>
      <c r="BZ675" s="43"/>
      <c r="CA675" s="43"/>
      <c r="CB675" s="43"/>
      <c r="CC675" s="43"/>
      <c r="CD675" s="43"/>
      <c r="CE675" s="43"/>
      <c r="CF675" s="43"/>
      <c r="CG675" s="43"/>
      <c r="CH675" s="43"/>
      <c r="CI675" s="43"/>
      <c r="CJ675" s="43"/>
      <c r="CK675" s="43"/>
      <c r="CL675" s="43"/>
      <c r="CM675" s="43"/>
      <c r="CN675" s="43"/>
      <c r="CO675" s="43"/>
      <c r="CP675" s="43"/>
      <c r="CQ675" s="43"/>
      <c r="CR675" s="43"/>
      <c r="CS675" s="43"/>
      <c r="CT675" s="43"/>
      <c r="CU675" s="43"/>
      <c r="CV675" s="43"/>
      <c r="CW675" s="43"/>
      <c r="CX675" s="43"/>
      <c r="CY675" s="43"/>
      <c r="CZ675" s="43"/>
      <c r="DA675" s="43"/>
      <c r="DB675" s="43"/>
      <c r="DC675" s="43"/>
      <c r="DD675" s="43"/>
      <c r="DE675" s="43"/>
      <c r="DF675" s="43"/>
      <c r="DG675" s="43"/>
      <c r="DH675" s="43"/>
      <c r="DI675" s="43"/>
      <c r="DJ675" s="43"/>
      <c r="DK675" s="43"/>
      <c r="DL675" s="43"/>
      <c r="DM675" s="43"/>
      <c r="DN675" s="43"/>
      <c r="DO675" s="43"/>
      <c r="DP675" s="43"/>
      <c r="DQ675" s="43"/>
      <c r="DR675" s="43"/>
      <c r="DS675" s="43"/>
      <c r="DT675" s="43"/>
      <c r="DU675" s="43"/>
      <c r="DV675" s="43"/>
      <c r="DW675" s="43"/>
      <c r="DX675" s="43"/>
      <c r="DY675" s="43"/>
      <c r="DZ675" s="43"/>
      <c r="EA675" s="43"/>
      <c r="EB675" s="43"/>
      <c r="EC675" s="43"/>
      <c r="ED675" s="43"/>
      <c r="EE675" s="43"/>
      <c r="EF675" s="43"/>
      <c r="EG675" s="43"/>
      <c r="EH675" s="43"/>
      <c r="EI675" s="43"/>
      <c r="EJ675" s="43"/>
      <c r="EK675" s="43"/>
      <c r="EL675" s="43"/>
      <c r="EM675" s="43"/>
      <c r="EN675" s="43"/>
      <c r="EO675" s="43"/>
      <c r="EP675" s="43"/>
      <c r="EQ675" s="43"/>
      <c r="ER675" s="43"/>
      <c r="ES675" s="43"/>
      <c r="ET675" s="43"/>
      <c r="EU675" s="43"/>
      <c r="EV675" s="43"/>
      <c r="EW675" s="43"/>
      <c r="EX675" s="43"/>
      <c r="EY675" s="43"/>
      <c r="EZ675" s="43"/>
      <c r="FA675" s="43"/>
      <c r="FB675" s="43"/>
      <c r="FC675" s="43"/>
      <c r="FD675" s="43"/>
      <c r="FE675" s="43"/>
      <c r="FF675" s="43"/>
      <c r="FG675" s="43"/>
      <c r="FH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43"/>
      <c r="BP676" s="43"/>
      <c r="BQ676" s="43"/>
      <c r="BR676" s="43"/>
      <c r="BS676" s="43"/>
      <c r="BT676" s="43"/>
      <c r="BU676" s="43"/>
      <c r="BV676" s="43"/>
      <c r="BW676" s="43"/>
      <c r="BX676" s="43"/>
      <c r="BY676" s="43"/>
      <c r="BZ676" s="43"/>
      <c r="CA676" s="43"/>
      <c r="CB676" s="43"/>
      <c r="CC676" s="43"/>
      <c r="CD676" s="43"/>
      <c r="CE676" s="43"/>
      <c r="CF676" s="43"/>
      <c r="CG676" s="43"/>
      <c r="CH676" s="43"/>
      <c r="CI676" s="43"/>
      <c r="CJ676" s="43"/>
      <c r="CK676" s="43"/>
      <c r="CL676" s="43"/>
      <c r="CM676" s="43"/>
      <c r="CN676" s="43"/>
      <c r="CO676" s="43"/>
      <c r="CP676" s="43"/>
      <c r="CQ676" s="43"/>
      <c r="CR676" s="43"/>
      <c r="CS676" s="43"/>
      <c r="CT676" s="43"/>
      <c r="CU676" s="43"/>
      <c r="CV676" s="43"/>
      <c r="CW676" s="43"/>
      <c r="CX676" s="43"/>
      <c r="CY676" s="43"/>
      <c r="CZ676" s="43"/>
      <c r="DA676" s="43"/>
      <c r="DB676" s="43"/>
      <c r="DC676" s="43"/>
      <c r="DD676" s="43"/>
      <c r="DE676" s="43"/>
      <c r="DF676" s="43"/>
      <c r="DG676" s="43"/>
      <c r="DH676" s="43"/>
      <c r="DI676" s="43"/>
      <c r="DJ676" s="43"/>
      <c r="DK676" s="43"/>
      <c r="DL676" s="43"/>
      <c r="DM676" s="43"/>
      <c r="DN676" s="43"/>
      <c r="DO676" s="43"/>
      <c r="DP676" s="43"/>
      <c r="DQ676" s="43"/>
      <c r="DR676" s="43"/>
      <c r="DS676" s="43"/>
      <c r="DT676" s="43"/>
      <c r="DU676" s="43"/>
      <c r="DV676" s="43"/>
      <c r="DW676" s="43"/>
      <c r="DX676" s="43"/>
      <c r="DY676" s="43"/>
      <c r="DZ676" s="43"/>
      <c r="EA676" s="43"/>
      <c r="EB676" s="43"/>
      <c r="EC676" s="43"/>
      <c r="ED676" s="43"/>
      <c r="EE676" s="43"/>
      <c r="EF676" s="43"/>
      <c r="EG676" s="43"/>
      <c r="EH676" s="43"/>
      <c r="EI676" s="43"/>
      <c r="EJ676" s="43"/>
      <c r="EK676" s="43"/>
      <c r="EL676" s="43"/>
      <c r="EM676" s="43"/>
      <c r="EN676" s="43"/>
      <c r="EO676" s="43"/>
      <c r="EP676" s="43"/>
      <c r="EQ676" s="43"/>
      <c r="ER676" s="43"/>
      <c r="ES676" s="43"/>
      <c r="ET676" s="43"/>
      <c r="EU676" s="43"/>
      <c r="EV676" s="43"/>
      <c r="EW676" s="43"/>
      <c r="EX676" s="43"/>
      <c r="EY676" s="43"/>
      <c r="EZ676" s="43"/>
      <c r="FA676" s="43"/>
      <c r="FB676" s="43"/>
      <c r="FC676" s="43"/>
      <c r="FD676" s="43"/>
      <c r="FE676" s="43"/>
      <c r="FF676" s="43"/>
      <c r="FG676" s="43"/>
      <c r="FH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c r="BO677" s="43"/>
      <c r="BP677" s="43"/>
      <c r="BQ677" s="43"/>
      <c r="BR677" s="43"/>
      <c r="BS677" s="43"/>
      <c r="BT677" s="43"/>
      <c r="BU677" s="43"/>
      <c r="BV677" s="43"/>
      <c r="BW677" s="43"/>
      <c r="BX677" s="43"/>
      <c r="BY677" s="43"/>
      <c r="BZ677" s="43"/>
      <c r="CA677" s="43"/>
      <c r="CB677" s="43"/>
      <c r="CC677" s="43"/>
      <c r="CD677" s="43"/>
      <c r="CE677" s="43"/>
      <c r="CF677" s="43"/>
      <c r="CG677" s="43"/>
      <c r="CH677" s="43"/>
      <c r="CI677" s="43"/>
      <c r="CJ677" s="43"/>
      <c r="CK677" s="43"/>
      <c r="CL677" s="43"/>
      <c r="CM677" s="43"/>
      <c r="CN677" s="43"/>
      <c r="CO677" s="43"/>
      <c r="CP677" s="43"/>
      <c r="CQ677" s="43"/>
      <c r="CR677" s="43"/>
      <c r="CS677" s="43"/>
      <c r="CT677" s="43"/>
      <c r="CU677" s="43"/>
      <c r="CV677" s="43"/>
      <c r="CW677" s="43"/>
      <c r="CX677" s="43"/>
      <c r="CY677" s="43"/>
      <c r="CZ677" s="43"/>
      <c r="DA677" s="43"/>
      <c r="DB677" s="43"/>
      <c r="DC677" s="43"/>
      <c r="DD677" s="43"/>
      <c r="DE677" s="43"/>
      <c r="DF677" s="43"/>
      <c r="DG677" s="43"/>
      <c r="DH677" s="43"/>
      <c r="DI677" s="43"/>
      <c r="DJ677" s="43"/>
      <c r="DK677" s="43"/>
      <c r="DL677" s="43"/>
      <c r="DM677" s="43"/>
      <c r="DN677" s="43"/>
      <c r="DO677" s="43"/>
      <c r="DP677" s="43"/>
      <c r="DQ677" s="43"/>
      <c r="DR677" s="43"/>
      <c r="DS677" s="43"/>
      <c r="DT677" s="43"/>
      <c r="DU677" s="43"/>
      <c r="DV677" s="43"/>
      <c r="DW677" s="43"/>
      <c r="DX677" s="43"/>
      <c r="DY677" s="43"/>
      <c r="DZ677" s="43"/>
      <c r="EA677" s="43"/>
      <c r="EB677" s="43"/>
      <c r="EC677" s="43"/>
      <c r="ED677" s="43"/>
      <c r="EE677" s="43"/>
      <c r="EF677" s="43"/>
      <c r="EG677" s="43"/>
      <c r="EH677" s="43"/>
      <c r="EI677" s="43"/>
      <c r="EJ677" s="43"/>
      <c r="EK677" s="43"/>
      <c r="EL677" s="43"/>
      <c r="EM677" s="43"/>
      <c r="EN677" s="43"/>
      <c r="EO677" s="43"/>
      <c r="EP677" s="43"/>
      <c r="EQ677" s="43"/>
      <c r="ER677" s="43"/>
      <c r="ES677" s="43"/>
      <c r="ET677" s="43"/>
      <c r="EU677" s="43"/>
      <c r="EV677" s="43"/>
      <c r="EW677" s="43"/>
      <c r="EX677" s="43"/>
      <c r="EY677" s="43"/>
      <c r="EZ677" s="43"/>
      <c r="FA677" s="43"/>
      <c r="FB677" s="43"/>
      <c r="FC677" s="43"/>
      <c r="FD677" s="43"/>
      <c r="FE677" s="43"/>
      <c r="FF677" s="43"/>
      <c r="FG677" s="43"/>
      <c r="FH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3"/>
      <c r="CJ678" s="43"/>
      <c r="CK678" s="43"/>
      <c r="CL678" s="43"/>
      <c r="CM678" s="43"/>
      <c r="CN678" s="43"/>
      <c r="CO678" s="43"/>
      <c r="CP678" s="43"/>
      <c r="CQ678" s="43"/>
      <c r="CR678" s="43"/>
      <c r="CS678" s="43"/>
      <c r="CT678" s="43"/>
      <c r="CU678" s="43"/>
      <c r="CV678" s="43"/>
      <c r="CW678" s="43"/>
      <c r="CX678" s="43"/>
      <c r="CY678" s="43"/>
      <c r="CZ678" s="43"/>
      <c r="DA678" s="43"/>
      <c r="DB678" s="43"/>
      <c r="DC678" s="43"/>
      <c r="DD678" s="43"/>
      <c r="DE678" s="43"/>
      <c r="DF678" s="43"/>
      <c r="DG678" s="43"/>
      <c r="DH678" s="43"/>
      <c r="DI678" s="43"/>
      <c r="DJ678" s="43"/>
      <c r="DK678" s="43"/>
      <c r="DL678" s="43"/>
      <c r="DM678" s="43"/>
      <c r="DN678" s="43"/>
      <c r="DO678" s="43"/>
      <c r="DP678" s="43"/>
      <c r="DQ678" s="43"/>
      <c r="DR678" s="43"/>
      <c r="DS678" s="43"/>
      <c r="DT678" s="43"/>
      <c r="DU678" s="43"/>
      <c r="DV678" s="43"/>
      <c r="DW678" s="43"/>
      <c r="DX678" s="43"/>
      <c r="DY678" s="43"/>
      <c r="DZ678" s="43"/>
      <c r="EA678" s="43"/>
      <c r="EB678" s="43"/>
      <c r="EC678" s="43"/>
      <c r="ED678" s="43"/>
      <c r="EE678" s="43"/>
      <c r="EF678" s="43"/>
      <c r="EG678" s="43"/>
      <c r="EH678" s="43"/>
      <c r="EI678" s="43"/>
      <c r="EJ678" s="43"/>
      <c r="EK678" s="43"/>
      <c r="EL678" s="43"/>
      <c r="EM678" s="43"/>
      <c r="EN678" s="43"/>
      <c r="EO678" s="43"/>
      <c r="EP678" s="43"/>
      <c r="EQ678" s="43"/>
      <c r="ER678" s="43"/>
      <c r="ES678" s="43"/>
      <c r="ET678" s="43"/>
      <c r="EU678" s="43"/>
      <c r="EV678" s="43"/>
      <c r="EW678" s="43"/>
      <c r="EX678" s="43"/>
      <c r="EY678" s="43"/>
      <c r="EZ678" s="43"/>
      <c r="FA678" s="43"/>
      <c r="FB678" s="43"/>
      <c r="FC678" s="43"/>
      <c r="FD678" s="43"/>
      <c r="FE678" s="43"/>
      <c r="FF678" s="43"/>
      <c r="FG678" s="43"/>
      <c r="FH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43"/>
      <c r="BP679" s="43"/>
      <c r="BQ679" s="43"/>
      <c r="BR679" s="43"/>
      <c r="BS679" s="43"/>
      <c r="BT679" s="43"/>
      <c r="BU679" s="43"/>
      <c r="BV679" s="43"/>
      <c r="BW679" s="43"/>
      <c r="BX679" s="43"/>
      <c r="BY679" s="43"/>
      <c r="BZ679" s="43"/>
      <c r="CA679" s="43"/>
      <c r="CB679" s="43"/>
      <c r="CC679" s="43"/>
      <c r="CD679" s="43"/>
      <c r="CE679" s="43"/>
      <c r="CF679" s="43"/>
      <c r="CG679" s="43"/>
      <c r="CH679" s="43"/>
      <c r="CI679" s="43"/>
      <c r="CJ679" s="43"/>
      <c r="CK679" s="43"/>
      <c r="CL679" s="43"/>
      <c r="CM679" s="43"/>
      <c r="CN679" s="43"/>
      <c r="CO679" s="43"/>
      <c r="CP679" s="43"/>
      <c r="CQ679" s="43"/>
      <c r="CR679" s="43"/>
      <c r="CS679" s="43"/>
      <c r="CT679" s="43"/>
      <c r="CU679" s="43"/>
      <c r="CV679" s="43"/>
      <c r="CW679" s="43"/>
      <c r="CX679" s="43"/>
      <c r="CY679" s="43"/>
      <c r="CZ679" s="43"/>
      <c r="DA679" s="43"/>
      <c r="DB679" s="43"/>
      <c r="DC679" s="43"/>
      <c r="DD679" s="43"/>
      <c r="DE679" s="43"/>
      <c r="DF679" s="43"/>
      <c r="DG679" s="43"/>
      <c r="DH679" s="43"/>
      <c r="DI679" s="43"/>
      <c r="DJ679" s="43"/>
      <c r="DK679" s="43"/>
      <c r="DL679" s="43"/>
      <c r="DM679" s="43"/>
      <c r="DN679" s="43"/>
      <c r="DO679" s="43"/>
      <c r="DP679" s="43"/>
      <c r="DQ679" s="43"/>
      <c r="DR679" s="43"/>
      <c r="DS679" s="43"/>
      <c r="DT679" s="43"/>
      <c r="DU679" s="43"/>
      <c r="DV679" s="43"/>
      <c r="DW679" s="43"/>
      <c r="DX679" s="43"/>
      <c r="DY679" s="43"/>
      <c r="DZ679" s="43"/>
      <c r="EA679" s="43"/>
      <c r="EB679" s="43"/>
      <c r="EC679" s="43"/>
      <c r="ED679" s="43"/>
      <c r="EE679" s="43"/>
      <c r="EF679" s="43"/>
      <c r="EG679" s="43"/>
      <c r="EH679" s="43"/>
      <c r="EI679" s="43"/>
      <c r="EJ679" s="43"/>
      <c r="EK679" s="43"/>
      <c r="EL679" s="43"/>
      <c r="EM679" s="43"/>
      <c r="EN679" s="43"/>
      <c r="EO679" s="43"/>
      <c r="EP679" s="43"/>
      <c r="EQ679" s="43"/>
      <c r="ER679" s="43"/>
      <c r="ES679" s="43"/>
      <c r="ET679" s="43"/>
      <c r="EU679" s="43"/>
      <c r="EV679" s="43"/>
      <c r="EW679" s="43"/>
      <c r="EX679" s="43"/>
      <c r="EY679" s="43"/>
      <c r="EZ679" s="43"/>
      <c r="FA679" s="43"/>
      <c r="FB679" s="43"/>
      <c r="FC679" s="43"/>
      <c r="FD679" s="43"/>
      <c r="FE679" s="43"/>
      <c r="FF679" s="43"/>
      <c r="FG679" s="43"/>
      <c r="FH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43"/>
      <c r="BP680" s="43"/>
      <c r="BQ680" s="43"/>
      <c r="BR680" s="43"/>
      <c r="BS680" s="43"/>
      <c r="BT680" s="43"/>
      <c r="BU680" s="43"/>
      <c r="BV680" s="43"/>
      <c r="BW680" s="43"/>
      <c r="BX680" s="43"/>
      <c r="BY680" s="43"/>
      <c r="BZ680" s="43"/>
      <c r="CA680" s="43"/>
      <c r="CB680" s="43"/>
      <c r="CC680" s="43"/>
      <c r="CD680" s="43"/>
      <c r="CE680" s="43"/>
      <c r="CF680" s="43"/>
      <c r="CG680" s="43"/>
      <c r="CH680" s="43"/>
      <c r="CI680" s="43"/>
      <c r="CJ680" s="43"/>
      <c r="CK680" s="43"/>
      <c r="CL680" s="43"/>
      <c r="CM680" s="43"/>
      <c r="CN680" s="43"/>
      <c r="CO680" s="43"/>
      <c r="CP680" s="43"/>
      <c r="CQ680" s="43"/>
      <c r="CR680" s="43"/>
      <c r="CS680" s="43"/>
      <c r="CT680" s="43"/>
      <c r="CU680" s="43"/>
      <c r="CV680" s="43"/>
      <c r="CW680" s="43"/>
      <c r="CX680" s="43"/>
      <c r="CY680" s="43"/>
      <c r="CZ680" s="43"/>
      <c r="DA680" s="43"/>
      <c r="DB680" s="43"/>
      <c r="DC680" s="43"/>
      <c r="DD680" s="43"/>
      <c r="DE680" s="43"/>
      <c r="DF680" s="43"/>
      <c r="DG680" s="43"/>
      <c r="DH680" s="43"/>
      <c r="DI680" s="43"/>
      <c r="DJ680" s="43"/>
      <c r="DK680" s="43"/>
      <c r="DL680" s="43"/>
      <c r="DM680" s="43"/>
      <c r="DN680" s="43"/>
      <c r="DO680" s="43"/>
      <c r="DP680" s="43"/>
      <c r="DQ680" s="43"/>
      <c r="DR680" s="43"/>
      <c r="DS680" s="43"/>
      <c r="DT680" s="43"/>
      <c r="DU680" s="43"/>
      <c r="DV680" s="43"/>
      <c r="DW680" s="43"/>
      <c r="DX680" s="43"/>
      <c r="DY680" s="43"/>
      <c r="DZ680" s="43"/>
      <c r="EA680" s="43"/>
      <c r="EB680" s="43"/>
      <c r="EC680" s="43"/>
      <c r="ED680" s="43"/>
      <c r="EE680" s="43"/>
      <c r="EF680" s="43"/>
      <c r="EG680" s="43"/>
      <c r="EH680" s="43"/>
      <c r="EI680" s="43"/>
      <c r="EJ680" s="43"/>
      <c r="EK680" s="43"/>
      <c r="EL680" s="43"/>
      <c r="EM680" s="43"/>
      <c r="EN680" s="43"/>
      <c r="EO680" s="43"/>
      <c r="EP680" s="43"/>
      <c r="EQ680" s="43"/>
      <c r="ER680" s="43"/>
      <c r="ES680" s="43"/>
      <c r="ET680" s="43"/>
      <c r="EU680" s="43"/>
      <c r="EV680" s="43"/>
      <c r="EW680" s="43"/>
      <c r="EX680" s="43"/>
      <c r="EY680" s="43"/>
      <c r="EZ680" s="43"/>
      <c r="FA680" s="43"/>
      <c r="FB680" s="43"/>
      <c r="FC680" s="43"/>
      <c r="FD680" s="43"/>
      <c r="FE680" s="43"/>
      <c r="FF680" s="43"/>
      <c r="FG680" s="43"/>
      <c r="FH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c r="BO681" s="43"/>
      <c r="BP681" s="43"/>
      <c r="BQ681" s="43"/>
      <c r="BR681" s="43"/>
      <c r="BS681" s="43"/>
      <c r="BT681" s="43"/>
      <c r="BU681" s="43"/>
      <c r="BV681" s="43"/>
      <c r="BW681" s="43"/>
      <c r="BX681" s="43"/>
      <c r="BY681" s="43"/>
      <c r="BZ681" s="43"/>
      <c r="CA681" s="43"/>
      <c r="CB681" s="43"/>
      <c r="CC681" s="43"/>
      <c r="CD681" s="43"/>
      <c r="CE681" s="43"/>
      <c r="CF681" s="43"/>
      <c r="CG681" s="43"/>
      <c r="CH681" s="43"/>
      <c r="CI681" s="43"/>
      <c r="CJ681" s="43"/>
      <c r="CK681" s="43"/>
      <c r="CL681" s="43"/>
      <c r="CM681" s="43"/>
      <c r="CN681" s="43"/>
      <c r="CO681" s="43"/>
      <c r="CP681" s="43"/>
      <c r="CQ681" s="43"/>
      <c r="CR681" s="43"/>
      <c r="CS681" s="43"/>
      <c r="CT681" s="43"/>
      <c r="CU681" s="43"/>
      <c r="CV681" s="43"/>
      <c r="CW681" s="43"/>
      <c r="CX681" s="43"/>
      <c r="CY681" s="43"/>
      <c r="CZ681" s="43"/>
      <c r="DA681" s="43"/>
      <c r="DB681" s="43"/>
      <c r="DC681" s="43"/>
      <c r="DD681" s="43"/>
      <c r="DE681" s="43"/>
      <c r="DF681" s="43"/>
      <c r="DG681" s="43"/>
      <c r="DH681" s="43"/>
      <c r="DI681" s="43"/>
      <c r="DJ681" s="43"/>
      <c r="DK681" s="43"/>
      <c r="DL681" s="43"/>
      <c r="DM681" s="43"/>
      <c r="DN681" s="43"/>
      <c r="DO681" s="43"/>
      <c r="DP681" s="43"/>
      <c r="DQ681" s="43"/>
      <c r="DR681" s="43"/>
      <c r="DS681" s="43"/>
      <c r="DT681" s="43"/>
      <c r="DU681" s="43"/>
      <c r="DV681" s="43"/>
      <c r="DW681" s="43"/>
      <c r="DX681" s="43"/>
      <c r="DY681" s="43"/>
      <c r="DZ681" s="43"/>
      <c r="EA681" s="43"/>
      <c r="EB681" s="43"/>
      <c r="EC681" s="43"/>
      <c r="ED681" s="43"/>
      <c r="EE681" s="43"/>
      <c r="EF681" s="43"/>
      <c r="EG681" s="43"/>
      <c r="EH681" s="43"/>
      <c r="EI681" s="43"/>
      <c r="EJ681" s="43"/>
      <c r="EK681" s="43"/>
      <c r="EL681" s="43"/>
      <c r="EM681" s="43"/>
      <c r="EN681" s="43"/>
      <c r="EO681" s="43"/>
      <c r="EP681" s="43"/>
      <c r="EQ681" s="43"/>
      <c r="ER681" s="43"/>
      <c r="ES681" s="43"/>
      <c r="ET681" s="43"/>
      <c r="EU681" s="43"/>
      <c r="EV681" s="43"/>
      <c r="EW681" s="43"/>
      <c r="EX681" s="43"/>
      <c r="EY681" s="43"/>
      <c r="EZ681" s="43"/>
      <c r="FA681" s="43"/>
      <c r="FB681" s="43"/>
      <c r="FC681" s="43"/>
      <c r="FD681" s="43"/>
      <c r="FE681" s="43"/>
      <c r="FF681" s="43"/>
      <c r="FG681" s="43"/>
      <c r="FH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c r="BO682" s="43"/>
      <c r="BP682" s="43"/>
      <c r="BQ682" s="43"/>
      <c r="BR682" s="43"/>
      <c r="BS682" s="43"/>
      <c r="BT682" s="43"/>
      <c r="BU682" s="43"/>
      <c r="BV682" s="43"/>
      <c r="BW682" s="43"/>
      <c r="BX682" s="43"/>
      <c r="BY682" s="43"/>
      <c r="BZ682" s="43"/>
      <c r="CA682" s="43"/>
      <c r="CB682" s="43"/>
      <c r="CC682" s="43"/>
      <c r="CD682" s="43"/>
      <c r="CE682" s="43"/>
      <c r="CF682" s="43"/>
      <c r="CG682" s="43"/>
      <c r="CH682" s="43"/>
      <c r="CI682" s="43"/>
      <c r="CJ682" s="43"/>
      <c r="CK682" s="43"/>
      <c r="CL682" s="43"/>
      <c r="CM682" s="43"/>
      <c r="CN682" s="43"/>
      <c r="CO682" s="43"/>
      <c r="CP682" s="43"/>
      <c r="CQ682" s="43"/>
      <c r="CR682" s="43"/>
      <c r="CS682" s="43"/>
      <c r="CT682" s="43"/>
      <c r="CU682" s="43"/>
      <c r="CV682" s="43"/>
      <c r="CW682" s="43"/>
      <c r="CX682" s="43"/>
      <c r="CY682" s="43"/>
      <c r="CZ682" s="43"/>
      <c r="DA682" s="43"/>
      <c r="DB682" s="43"/>
      <c r="DC682" s="43"/>
      <c r="DD682" s="43"/>
      <c r="DE682" s="43"/>
      <c r="DF682" s="43"/>
      <c r="DG682" s="43"/>
      <c r="DH682" s="43"/>
      <c r="DI682" s="43"/>
      <c r="DJ682" s="43"/>
      <c r="DK682" s="43"/>
      <c r="DL682" s="43"/>
      <c r="DM682" s="43"/>
      <c r="DN682" s="43"/>
      <c r="DO682" s="43"/>
      <c r="DP682" s="43"/>
      <c r="DQ682" s="43"/>
      <c r="DR682" s="43"/>
      <c r="DS682" s="43"/>
      <c r="DT682" s="43"/>
      <c r="DU682" s="43"/>
      <c r="DV682" s="43"/>
      <c r="DW682" s="43"/>
      <c r="DX682" s="43"/>
      <c r="DY682" s="43"/>
      <c r="DZ682" s="43"/>
      <c r="EA682" s="43"/>
      <c r="EB682" s="43"/>
      <c r="EC682" s="43"/>
      <c r="ED682" s="43"/>
      <c r="EE682" s="43"/>
      <c r="EF682" s="43"/>
      <c r="EG682" s="43"/>
      <c r="EH682" s="43"/>
      <c r="EI682" s="43"/>
      <c r="EJ682" s="43"/>
      <c r="EK682" s="43"/>
      <c r="EL682" s="43"/>
      <c r="EM682" s="43"/>
      <c r="EN682" s="43"/>
      <c r="EO682" s="43"/>
      <c r="EP682" s="43"/>
      <c r="EQ682" s="43"/>
      <c r="ER682" s="43"/>
      <c r="ES682" s="43"/>
      <c r="ET682" s="43"/>
      <c r="EU682" s="43"/>
      <c r="EV682" s="43"/>
      <c r="EW682" s="43"/>
      <c r="EX682" s="43"/>
      <c r="EY682" s="43"/>
      <c r="EZ682" s="43"/>
      <c r="FA682" s="43"/>
      <c r="FB682" s="43"/>
      <c r="FC682" s="43"/>
      <c r="FD682" s="43"/>
      <c r="FE682" s="43"/>
      <c r="FF682" s="43"/>
      <c r="FG682" s="43"/>
      <c r="FH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c r="BO683" s="43"/>
      <c r="BP683" s="43"/>
      <c r="BQ683" s="43"/>
      <c r="BR683" s="43"/>
      <c r="BS683" s="43"/>
      <c r="BT683" s="43"/>
      <c r="BU683" s="43"/>
      <c r="BV683" s="43"/>
      <c r="BW683" s="43"/>
      <c r="BX683" s="43"/>
      <c r="BY683" s="43"/>
      <c r="BZ683" s="43"/>
      <c r="CA683" s="43"/>
      <c r="CB683" s="43"/>
      <c r="CC683" s="43"/>
      <c r="CD683" s="43"/>
      <c r="CE683" s="43"/>
      <c r="CF683" s="43"/>
      <c r="CG683" s="43"/>
      <c r="CH683" s="43"/>
      <c r="CI683" s="43"/>
      <c r="CJ683" s="43"/>
      <c r="CK683" s="43"/>
      <c r="CL683" s="43"/>
      <c r="CM683" s="43"/>
      <c r="CN683" s="43"/>
      <c r="CO683" s="43"/>
      <c r="CP683" s="43"/>
      <c r="CQ683" s="43"/>
      <c r="CR683" s="43"/>
      <c r="CS683" s="43"/>
      <c r="CT683" s="43"/>
      <c r="CU683" s="43"/>
      <c r="CV683" s="43"/>
      <c r="CW683" s="43"/>
      <c r="CX683" s="43"/>
      <c r="CY683" s="43"/>
      <c r="CZ683" s="43"/>
      <c r="DA683" s="43"/>
      <c r="DB683" s="43"/>
      <c r="DC683" s="43"/>
      <c r="DD683" s="43"/>
      <c r="DE683" s="43"/>
      <c r="DF683" s="43"/>
      <c r="DG683" s="43"/>
      <c r="DH683" s="43"/>
      <c r="DI683" s="43"/>
      <c r="DJ683" s="43"/>
      <c r="DK683" s="43"/>
      <c r="DL683" s="43"/>
      <c r="DM683" s="43"/>
      <c r="DN683" s="43"/>
      <c r="DO683" s="43"/>
      <c r="DP683" s="43"/>
      <c r="DQ683" s="43"/>
      <c r="DR683" s="43"/>
      <c r="DS683" s="43"/>
      <c r="DT683" s="43"/>
      <c r="DU683" s="43"/>
      <c r="DV683" s="43"/>
      <c r="DW683" s="43"/>
      <c r="DX683" s="43"/>
      <c r="DY683" s="43"/>
      <c r="DZ683" s="43"/>
      <c r="EA683" s="43"/>
      <c r="EB683" s="43"/>
      <c r="EC683" s="43"/>
      <c r="ED683" s="43"/>
      <c r="EE683" s="43"/>
      <c r="EF683" s="43"/>
      <c r="EG683" s="43"/>
      <c r="EH683" s="43"/>
      <c r="EI683" s="43"/>
      <c r="EJ683" s="43"/>
      <c r="EK683" s="43"/>
      <c r="EL683" s="43"/>
      <c r="EM683" s="43"/>
      <c r="EN683" s="43"/>
      <c r="EO683" s="43"/>
      <c r="EP683" s="43"/>
      <c r="EQ683" s="43"/>
      <c r="ER683" s="43"/>
      <c r="ES683" s="43"/>
      <c r="ET683" s="43"/>
      <c r="EU683" s="43"/>
      <c r="EV683" s="43"/>
      <c r="EW683" s="43"/>
      <c r="EX683" s="43"/>
      <c r="EY683" s="43"/>
      <c r="EZ683" s="43"/>
      <c r="FA683" s="43"/>
      <c r="FB683" s="43"/>
      <c r="FC683" s="43"/>
      <c r="FD683" s="43"/>
      <c r="FE683" s="43"/>
      <c r="FF683" s="43"/>
      <c r="FG683" s="43"/>
      <c r="FH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43"/>
      <c r="DV684" s="43"/>
      <c r="DW684" s="43"/>
      <c r="DX684" s="43"/>
      <c r="DY684" s="43"/>
      <c r="DZ684" s="43"/>
      <c r="EA684" s="43"/>
      <c r="EB684" s="43"/>
      <c r="EC684" s="43"/>
      <c r="ED684" s="43"/>
      <c r="EE684" s="43"/>
      <c r="EF684" s="43"/>
      <c r="EG684" s="43"/>
      <c r="EH684" s="43"/>
      <c r="EI684" s="43"/>
      <c r="EJ684" s="43"/>
      <c r="EK684" s="43"/>
      <c r="EL684" s="43"/>
      <c r="EM684" s="43"/>
      <c r="EN684" s="43"/>
      <c r="EO684" s="43"/>
      <c r="EP684" s="43"/>
      <c r="EQ684" s="43"/>
      <c r="ER684" s="43"/>
      <c r="ES684" s="43"/>
      <c r="ET684" s="43"/>
      <c r="EU684" s="43"/>
      <c r="EV684" s="43"/>
      <c r="EW684" s="43"/>
      <c r="EX684" s="43"/>
      <c r="EY684" s="43"/>
      <c r="EZ684" s="43"/>
      <c r="FA684" s="43"/>
      <c r="FB684" s="43"/>
      <c r="FC684" s="43"/>
      <c r="FD684" s="43"/>
      <c r="FE684" s="43"/>
      <c r="FF684" s="43"/>
      <c r="FG684" s="43"/>
      <c r="FH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43"/>
      <c r="BP685" s="43"/>
      <c r="BQ685" s="43"/>
      <c r="BR685" s="43"/>
      <c r="BS685" s="43"/>
      <c r="BT685" s="43"/>
      <c r="BU685" s="43"/>
      <c r="BV685" s="43"/>
      <c r="BW685" s="43"/>
      <c r="BX685" s="43"/>
      <c r="BY685" s="43"/>
      <c r="BZ685" s="43"/>
      <c r="CA685" s="43"/>
      <c r="CB685" s="43"/>
      <c r="CC685" s="43"/>
      <c r="CD685" s="43"/>
      <c r="CE685" s="43"/>
      <c r="CF685" s="43"/>
      <c r="CG685" s="43"/>
      <c r="CH685" s="43"/>
      <c r="CI685" s="43"/>
      <c r="CJ685" s="43"/>
      <c r="CK685" s="43"/>
      <c r="CL685" s="43"/>
      <c r="CM685" s="43"/>
      <c r="CN685" s="43"/>
      <c r="CO685" s="43"/>
      <c r="CP685" s="43"/>
      <c r="CQ685" s="43"/>
      <c r="CR685" s="43"/>
      <c r="CS685" s="43"/>
      <c r="CT685" s="43"/>
      <c r="CU685" s="43"/>
      <c r="CV685" s="43"/>
      <c r="CW685" s="43"/>
      <c r="CX685" s="43"/>
      <c r="CY685" s="43"/>
      <c r="CZ685" s="43"/>
      <c r="DA685" s="43"/>
      <c r="DB685" s="43"/>
      <c r="DC685" s="43"/>
      <c r="DD685" s="43"/>
      <c r="DE685" s="43"/>
      <c r="DF685" s="43"/>
      <c r="DG685" s="43"/>
      <c r="DH685" s="43"/>
      <c r="DI685" s="43"/>
      <c r="DJ685" s="43"/>
      <c r="DK685" s="43"/>
      <c r="DL685" s="43"/>
      <c r="DM685" s="43"/>
      <c r="DN685" s="43"/>
      <c r="DO685" s="43"/>
      <c r="DP685" s="43"/>
      <c r="DQ685" s="43"/>
      <c r="DR685" s="43"/>
      <c r="DS685" s="43"/>
      <c r="DT685" s="43"/>
      <c r="DU685" s="43"/>
      <c r="DV685" s="43"/>
      <c r="DW685" s="43"/>
      <c r="DX685" s="43"/>
      <c r="DY685" s="43"/>
      <c r="DZ685" s="43"/>
      <c r="EA685" s="43"/>
      <c r="EB685" s="43"/>
      <c r="EC685" s="43"/>
      <c r="ED685" s="43"/>
      <c r="EE685" s="43"/>
      <c r="EF685" s="43"/>
      <c r="EG685" s="43"/>
      <c r="EH685" s="43"/>
      <c r="EI685" s="43"/>
      <c r="EJ685" s="43"/>
      <c r="EK685" s="43"/>
      <c r="EL685" s="43"/>
      <c r="EM685" s="43"/>
      <c r="EN685" s="43"/>
      <c r="EO685" s="43"/>
      <c r="EP685" s="43"/>
      <c r="EQ685" s="43"/>
      <c r="ER685" s="43"/>
      <c r="ES685" s="43"/>
      <c r="ET685" s="43"/>
      <c r="EU685" s="43"/>
      <c r="EV685" s="43"/>
      <c r="EW685" s="43"/>
      <c r="EX685" s="43"/>
      <c r="EY685" s="43"/>
      <c r="EZ685" s="43"/>
      <c r="FA685" s="43"/>
      <c r="FB685" s="43"/>
      <c r="FC685" s="43"/>
      <c r="FD685" s="43"/>
      <c r="FE685" s="43"/>
      <c r="FF685" s="43"/>
      <c r="FG685" s="43"/>
      <c r="FH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43"/>
      <c r="BP686" s="43"/>
      <c r="BQ686" s="43"/>
      <c r="BR686" s="43"/>
      <c r="BS686" s="43"/>
      <c r="BT686" s="43"/>
      <c r="BU686" s="43"/>
      <c r="BV686" s="43"/>
      <c r="BW686" s="43"/>
      <c r="BX686" s="43"/>
      <c r="BY686" s="43"/>
      <c r="BZ686" s="43"/>
      <c r="CA686" s="43"/>
      <c r="CB686" s="43"/>
      <c r="CC686" s="43"/>
      <c r="CD686" s="43"/>
      <c r="CE686" s="43"/>
      <c r="CF686" s="43"/>
      <c r="CG686" s="43"/>
      <c r="CH686" s="43"/>
      <c r="CI686" s="43"/>
      <c r="CJ686" s="43"/>
      <c r="CK686" s="43"/>
      <c r="CL686" s="43"/>
      <c r="CM686" s="43"/>
      <c r="CN686" s="43"/>
      <c r="CO686" s="43"/>
      <c r="CP686" s="43"/>
      <c r="CQ686" s="43"/>
      <c r="CR686" s="43"/>
      <c r="CS686" s="43"/>
      <c r="CT686" s="43"/>
      <c r="CU686" s="43"/>
      <c r="CV686" s="43"/>
      <c r="CW686" s="43"/>
      <c r="CX686" s="43"/>
      <c r="CY686" s="43"/>
      <c r="CZ686" s="43"/>
      <c r="DA686" s="43"/>
      <c r="DB686" s="43"/>
      <c r="DC686" s="43"/>
      <c r="DD686" s="43"/>
      <c r="DE686" s="43"/>
      <c r="DF686" s="43"/>
      <c r="DG686" s="43"/>
      <c r="DH686" s="43"/>
      <c r="DI686" s="43"/>
      <c r="DJ686" s="43"/>
      <c r="DK686" s="43"/>
      <c r="DL686" s="43"/>
      <c r="DM686" s="43"/>
      <c r="DN686" s="43"/>
      <c r="DO686" s="43"/>
      <c r="DP686" s="43"/>
      <c r="DQ686" s="43"/>
      <c r="DR686" s="43"/>
      <c r="DS686" s="43"/>
      <c r="DT686" s="43"/>
      <c r="DU686" s="43"/>
      <c r="DV686" s="43"/>
      <c r="DW686" s="43"/>
      <c r="DX686" s="43"/>
      <c r="DY686" s="43"/>
      <c r="DZ686" s="43"/>
      <c r="EA686" s="43"/>
      <c r="EB686" s="43"/>
      <c r="EC686" s="43"/>
      <c r="ED686" s="43"/>
      <c r="EE686" s="43"/>
      <c r="EF686" s="43"/>
      <c r="EG686" s="43"/>
      <c r="EH686" s="43"/>
      <c r="EI686" s="43"/>
      <c r="EJ686" s="43"/>
      <c r="EK686" s="43"/>
      <c r="EL686" s="43"/>
      <c r="EM686" s="43"/>
      <c r="EN686" s="43"/>
      <c r="EO686" s="43"/>
      <c r="EP686" s="43"/>
      <c r="EQ686" s="43"/>
      <c r="ER686" s="43"/>
      <c r="ES686" s="43"/>
      <c r="ET686" s="43"/>
      <c r="EU686" s="43"/>
      <c r="EV686" s="43"/>
      <c r="EW686" s="43"/>
      <c r="EX686" s="43"/>
      <c r="EY686" s="43"/>
      <c r="EZ686" s="43"/>
      <c r="FA686" s="43"/>
      <c r="FB686" s="43"/>
      <c r="FC686" s="43"/>
      <c r="FD686" s="43"/>
      <c r="FE686" s="43"/>
      <c r="FF686" s="43"/>
      <c r="FG686" s="43"/>
      <c r="FH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43"/>
      <c r="BP687" s="43"/>
      <c r="BQ687" s="43"/>
      <c r="BR687" s="43"/>
      <c r="BS687" s="43"/>
      <c r="BT687" s="43"/>
      <c r="BU687" s="43"/>
      <c r="BV687" s="43"/>
      <c r="BW687" s="43"/>
      <c r="BX687" s="43"/>
      <c r="BY687" s="43"/>
      <c r="BZ687" s="43"/>
      <c r="CA687" s="43"/>
      <c r="CB687" s="43"/>
      <c r="CC687" s="43"/>
      <c r="CD687" s="43"/>
      <c r="CE687" s="43"/>
      <c r="CF687" s="43"/>
      <c r="CG687" s="43"/>
      <c r="CH687" s="43"/>
      <c r="CI687" s="43"/>
      <c r="CJ687" s="43"/>
      <c r="CK687" s="43"/>
      <c r="CL687" s="43"/>
      <c r="CM687" s="43"/>
      <c r="CN687" s="43"/>
      <c r="CO687" s="43"/>
      <c r="CP687" s="43"/>
      <c r="CQ687" s="43"/>
      <c r="CR687" s="43"/>
      <c r="CS687" s="43"/>
      <c r="CT687" s="43"/>
      <c r="CU687" s="43"/>
      <c r="CV687" s="43"/>
      <c r="CW687" s="43"/>
      <c r="CX687" s="43"/>
      <c r="CY687" s="43"/>
      <c r="CZ687" s="43"/>
      <c r="DA687" s="43"/>
      <c r="DB687" s="43"/>
      <c r="DC687" s="43"/>
      <c r="DD687" s="43"/>
      <c r="DE687" s="43"/>
      <c r="DF687" s="43"/>
      <c r="DG687" s="43"/>
      <c r="DH687" s="43"/>
      <c r="DI687" s="43"/>
      <c r="DJ687" s="43"/>
      <c r="DK687" s="43"/>
      <c r="DL687" s="43"/>
      <c r="DM687" s="43"/>
      <c r="DN687" s="43"/>
      <c r="DO687" s="43"/>
      <c r="DP687" s="43"/>
      <c r="DQ687" s="43"/>
      <c r="DR687" s="43"/>
      <c r="DS687" s="43"/>
      <c r="DT687" s="43"/>
      <c r="DU687" s="43"/>
      <c r="DV687" s="43"/>
      <c r="DW687" s="43"/>
      <c r="DX687" s="43"/>
      <c r="DY687" s="43"/>
      <c r="DZ687" s="43"/>
      <c r="EA687" s="43"/>
      <c r="EB687" s="43"/>
      <c r="EC687" s="43"/>
      <c r="ED687" s="43"/>
      <c r="EE687" s="43"/>
      <c r="EF687" s="43"/>
      <c r="EG687" s="43"/>
      <c r="EH687" s="43"/>
      <c r="EI687" s="43"/>
      <c r="EJ687" s="43"/>
      <c r="EK687" s="43"/>
      <c r="EL687" s="43"/>
      <c r="EM687" s="43"/>
      <c r="EN687" s="43"/>
      <c r="EO687" s="43"/>
      <c r="EP687" s="43"/>
      <c r="EQ687" s="43"/>
      <c r="ER687" s="43"/>
      <c r="ES687" s="43"/>
      <c r="ET687" s="43"/>
      <c r="EU687" s="43"/>
      <c r="EV687" s="43"/>
      <c r="EW687" s="43"/>
      <c r="EX687" s="43"/>
      <c r="EY687" s="43"/>
      <c r="EZ687" s="43"/>
      <c r="FA687" s="43"/>
      <c r="FB687" s="43"/>
      <c r="FC687" s="43"/>
      <c r="FD687" s="43"/>
      <c r="FE687" s="43"/>
      <c r="FF687" s="43"/>
      <c r="FG687" s="43"/>
      <c r="FH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c r="BO688" s="43"/>
      <c r="BP688" s="43"/>
      <c r="BQ688" s="43"/>
      <c r="BR688" s="43"/>
      <c r="BS688" s="43"/>
      <c r="BT688" s="43"/>
      <c r="BU688" s="43"/>
      <c r="BV688" s="43"/>
      <c r="BW688" s="43"/>
      <c r="BX688" s="43"/>
      <c r="BY688" s="43"/>
      <c r="BZ688" s="43"/>
      <c r="CA688" s="43"/>
      <c r="CB688" s="43"/>
      <c r="CC688" s="43"/>
      <c r="CD688" s="43"/>
      <c r="CE688" s="43"/>
      <c r="CF688" s="43"/>
      <c r="CG688" s="43"/>
      <c r="CH688" s="43"/>
      <c r="CI688" s="43"/>
      <c r="CJ688" s="43"/>
      <c r="CK688" s="43"/>
      <c r="CL688" s="43"/>
      <c r="CM688" s="43"/>
      <c r="CN688" s="43"/>
      <c r="CO688" s="43"/>
      <c r="CP688" s="43"/>
      <c r="CQ688" s="43"/>
      <c r="CR688" s="43"/>
      <c r="CS688" s="43"/>
      <c r="CT688" s="43"/>
      <c r="CU688" s="43"/>
      <c r="CV688" s="43"/>
      <c r="CW688" s="43"/>
      <c r="CX688" s="43"/>
      <c r="CY688" s="43"/>
      <c r="CZ688" s="43"/>
      <c r="DA688" s="43"/>
      <c r="DB688" s="43"/>
      <c r="DC688" s="43"/>
      <c r="DD688" s="43"/>
      <c r="DE688" s="43"/>
      <c r="DF688" s="43"/>
      <c r="DG688" s="43"/>
      <c r="DH688" s="43"/>
      <c r="DI688" s="43"/>
      <c r="DJ688" s="43"/>
      <c r="DK688" s="43"/>
      <c r="DL688" s="43"/>
      <c r="DM688" s="43"/>
      <c r="DN688" s="43"/>
      <c r="DO688" s="43"/>
      <c r="DP688" s="43"/>
      <c r="DQ688" s="43"/>
      <c r="DR688" s="43"/>
      <c r="DS688" s="43"/>
      <c r="DT688" s="43"/>
      <c r="DU688" s="43"/>
      <c r="DV688" s="43"/>
      <c r="DW688" s="43"/>
      <c r="DX688" s="43"/>
      <c r="DY688" s="43"/>
      <c r="DZ688" s="43"/>
      <c r="EA688" s="43"/>
      <c r="EB688" s="43"/>
      <c r="EC688" s="43"/>
      <c r="ED688" s="43"/>
      <c r="EE688" s="43"/>
      <c r="EF688" s="43"/>
      <c r="EG688" s="43"/>
      <c r="EH688" s="43"/>
      <c r="EI688" s="43"/>
      <c r="EJ688" s="43"/>
      <c r="EK688" s="43"/>
      <c r="EL688" s="43"/>
      <c r="EM688" s="43"/>
      <c r="EN688" s="43"/>
      <c r="EO688" s="43"/>
      <c r="EP688" s="43"/>
      <c r="EQ688" s="43"/>
      <c r="ER688" s="43"/>
      <c r="ES688" s="43"/>
      <c r="ET688" s="43"/>
      <c r="EU688" s="43"/>
      <c r="EV688" s="43"/>
      <c r="EW688" s="43"/>
      <c r="EX688" s="43"/>
      <c r="EY688" s="43"/>
      <c r="EZ688" s="43"/>
      <c r="FA688" s="43"/>
      <c r="FB688" s="43"/>
      <c r="FC688" s="43"/>
      <c r="FD688" s="43"/>
      <c r="FE688" s="43"/>
      <c r="FF688" s="43"/>
      <c r="FG688" s="43"/>
      <c r="FH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43"/>
      <c r="BP689" s="43"/>
      <c r="BQ689" s="43"/>
      <c r="BR689" s="43"/>
      <c r="BS689" s="43"/>
      <c r="BT689" s="43"/>
      <c r="BU689" s="43"/>
      <c r="BV689" s="43"/>
      <c r="BW689" s="43"/>
      <c r="BX689" s="43"/>
      <c r="BY689" s="43"/>
      <c r="BZ689" s="43"/>
      <c r="CA689" s="43"/>
      <c r="CB689" s="43"/>
      <c r="CC689" s="43"/>
      <c r="CD689" s="43"/>
      <c r="CE689" s="43"/>
      <c r="CF689" s="43"/>
      <c r="CG689" s="43"/>
      <c r="CH689" s="43"/>
      <c r="CI689" s="43"/>
      <c r="CJ689" s="43"/>
      <c r="CK689" s="43"/>
      <c r="CL689" s="43"/>
      <c r="CM689" s="43"/>
      <c r="CN689" s="43"/>
      <c r="CO689" s="43"/>
      <c r="CP689" s="43"/>
      <c r="CQ689" s="43"/>
      <c r="CR689" s="43"/>
      <c r="CS689" s="43"/>
      <c r="CT689" s="43"/>
      <c r="CU689" s="43"/>
      <c r="CV689" s="43"/>
      <c r="CW689" s="43"/>
      <c r="CX689" s="43"/>
      <c r="CY689" s="43"/>
      <c r="CZ689" s="43"/>
      <c r="DA689" s="43"/>
      <c r="DB689" s="43"/>
      <c r="DC689" s="43"/>
      <c r="DD689" s="43"/>
      <c r="DE689" s="43"/>
      <c r="DF689" s="43"/>
      <c r="DG689" s="43"/>
      <c r="DH689" s="43"/>
      <c r="DI689" s="43"/>
      <c r="DJ689" s="43"/>
      <c r="DK689" s="43"/>
      <c r="DL689" s="43"/>
      <c r="DM689" s="43"/>
      <c r="DN689" s="43"/>
      <c r="DO689" s="43"/>
      <c r="DP689" s="43"/>
      <c r="DQ689" s="43"/>
      <c r="DR689" s="43"/>
      <c r="DS689" s="43"/>
      <c r="DT689" s="43"/>
      <c r="DU689" s="43"/>
      <c r="DV689" s="43"/>
      <c r="DW689" s="43"/>
      <c r="DX689" s="43"/>
      <c r="DY689" s="43"/>
      <c r="DZ689" s="43"/>
      <c r="EA689" s="43"/>
      <c r="EB689" s="43"/>
      <c r="EC689" s="43"/>
      <c r="ED689" s="43"/>
      <c r="EE689" s="43"/>
      <c r="EF689" s="43"/>
      <c r="EG689" s="43"/>
      <c r="EH689" s="43"/>
      <c r="EI689" s="43"/>
      <c r="EJ689" s="43"/>
      <c r="EK689" s="43"/>
      <c r="EL689" s="43"/>
      <c r="EM689" s="43"/>
      <c r="EN689" s="43"/>
      <c r="EO689" s="43"/>
      <c r="EP689" s="43"/>
      <c r="EQ689" s="43"/>
      <c r="ER689" s="43"/>
      <c r="ES689" s="43"/>
      <c r="ET689" s="43"/>
      <c r="EU689" s="43"/>
      <c r="EV689" s="43"/>
      <c r="EW689" s="43"/>
      <c r="EX689" s="43"/>
      <c r="EY689" s="43"/>
      <c r="EZ689" s="43"/>
      <c r="FA689" s="43"/>
      <c r="FB689" s="43"/>
      <c r="FC689" s="43"/>
      <c r="FD689" s="43"/>
      <c r="FE689" s="43"/>
      <c r="FF689" s="43"/>
      <c r="FG689" s="43"/>
      <c r="FH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c r="BO690" s="43"/>
      <c r="BP690" s="43"/>
      <c r="BQ690" s="43"/>
      <c r="BR690" s="43"/>
      <c r="BS690" s="43"/>
      <c r="BT690" s="43"/>
      <c r="BU690" s="43"/>
      <c r="BV690" s="43"/>
      <c r="BW690" s="43"/>
      <c r="BX690" s="43"/>
      <c r="BY690" s="43"/>
      <c r="BZ690" s="43"/>
      <c r="CA690" s="43"/>
      <c r="CB690" s="43"/>
      <c r="CC690" s="43"/>
      <c r="CD690" s="43"/>
      <c r="CE690" s="43"/>
      <c r="CF690" s="43"/>
      <c r="CG690" s="43"/>
      <c r="CH690" s="43"/>
      <c r="CI690" s="43"/>
      <c r="CJ690" s="43"/>
      <c r="CK690" s="43"/>
      <c r="CL690" s="43"/>
      <c r="CM690" s="43"/>
      <c r="CN690" s="43"/>
      <c r="CO690" s="43"/>
      <c r="CP690" s="43"/>
      <c r="CQ690" s="43"/>
      <c r="CR690" s="43"/>
      <c r="CS690" s="43"/>
      <c r="CT690" s="43"/>
      <c r="CU690" s="43"/>
      <c r="CV690" s="43"/>
      <c r="CW690" s="43"/>
      <c r="CX690" s="43"/>
      <c r="CY690" s="43"/>
      <c r="CZ690" s="43"/>
      <c r="DA690" s="43"/>
      <c r="DB690" s="43"/>
      <c r="DC690" s="43"/>
      <c r="DD690" s="43"/>
      <c r="DE690" s="43"/>
      <c r="DF690" s="43"/>
      <c r="DG690" s="43"/>
      <c r="DH690" s="43"/>
      <c r="DI690" s="43"/>
      <c r="DJ690" s="43"/>
      <c r="DK690" s="43"/>
      <c r="DL690" s="43"/>
      <c r="DM690" s="43"/>
      <c r="DN690" s="43"/>
      <c r="DO690" s="43"/>
      <c r="DP690" s="43"/>
      <c r="DQ690" s="43"/>
      <c r="DR690" s="43"/>
      <c r="DS690" s="43"/>
      <c r="DT690" s="43"/>
      <c r="DU690" s="43"/>
      <c r="DV690" s="43"/>
      <c r="DW690" s="43"/>
      <c r="DX690" s="43"/>
      <c r="DY690" s="43"/>
      <c r="DZ690" s="43"/>
      <c r="EA690" s="43"/>
      <c r="EB690" s="43"/>
      <c r="EC690" s="43"/>
      <c r="ED690" s="43"/>
      <c r="EE690" s="43"/>
      <c r="EF690" s="43"/>
      <c r="EG690" s="43"/>
      <c r="EH690" s="43"/>
      <c r="EI690" s="43"/>
      <c r="EJ690" s="43"/>
      <c r="EK690" s="43"/>
      <c r="EL690" s="43"/>
      <c r="EM690" s="43"/>
      <c r="EN690" s="43"/>
      <c r="EO690" s="43"/>
      <c r="EP690" s="43"/>
      <c r="EQ690" s="43"/>
      <c r="ER690" s="43"/>
      <c r="ES690" s="43"/>
      <c r="ET690" s="43"/>
      <c r="EU690" s="43"/>
      <c r="EV690" s="43"/>
      <c r="EW690" s="43"/>
      <c r="EX690" s="43"/>
      <c r="EY690" s="43"/>
      <c r="EZ690" s="43"/>
      <c r="FA690" s="43"/>
      <c r="FB690" s="43"/>
      <c r="FC690" s="43"/>
      <c r="FD690" s="43"/>
      <c r="FE690" s="43"/>
      <c r="FF690" s="43"/>
      <c r="FG690" s="43"/>
      <c r="FH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c r="BO691" s="43"/>
      <c r="BP691" s="43"/>
      <c r="BQ691" s="43"/>
      <c r="BR691" s="43"/>
      <c r="BS691" s="43"/>
      <c r="BT691" s="43"/>
      <c r="BU691" s="43"/>
      <c r="BV691" s="43"/>
      <c r="BW691" s="43"/>
      <c r="BX691" s="43"/>
      <c r="BY691" s="43"/>
      <c r="BZ691" s="43"/>
      <c r="CA691" s="43"/>
      <c r="CB691" s="43"/>
      <c r="CC691" s="43"/>
      <c r="CD691" s="43"/>
      <c r="CE691" s="43"/>
      <c r="CF691" s="43"/>
      <c r="CG691" s="43"/>
      <c r="CH691" s="43"/>
      <c r="CI691" s="43"/>
      <c r="CJ691" s="43"/>
      <c r="CK691" s="43"/>
      <c r="CL691" s="43"/>
      <c r="CM691" s="43"/>
      <c r="CN691" s="43"/>
      <c r="CO691" s="43"/>
      <c r="CP691" s="43"/>
      <c r="CQ691" s="43"/>
      <c r="CR691" s="43"/>
      <c r="CS691" s="43"/>
      <c r="CT691" s="43"/>
      <c r="CU691" s="43"/>
      <c r="CV691" s="43"/>
      <c r="CW691" s="43"/>
      <c r="CX691" s="43"/>
      <c r="CY691" s="43"/>
      <c r="CZ691" s="43"/>
      <c r="DA691" s="43"/>
      <c r="DB691" s="43"/>
      <c r="DC691" s="43"/>
      <c r="DD691" s="43"/>
      <c r="DE691" s="43"/>
      <c r="DF691" s="43"/>
      <c r="DG691" s="43"/>
      <c r="DH691" s="43"/>
      <c r="DI691" s="43"/>
      <c r="DJ691" s="43"/>
      <c r="DK691" s="43"/>
      <c r="DL691" s="43"/>
      <c r="DM691" s="43"/>
      <c r="DN691" s="43"/>
      <c r="DO691" s="43"/>
      <c r="DP691" s="43"/>
      <c r="DQ691" s="43"/>
      <c r="DR691" s="43"/>
      <c r="DS691" s="43"/>
      <c r="DT691" s="43"/>
      <c r="DU691" s="43"/>
      <c r="DV691" s="43"/>
      <c r="DW691" s="43"/>
      <c r="DX691" s="43"/>
      <c r="DY691" s="43"/>
      <c r="DZ691" s="43"/>
      <c r="EA691" s="43"/>
      <c r="EB691" s="43"/>
      <c r="EC691" s="43"/>
      <c r="ED691" s="43"/>
      <c r="EE691" s="43"/>
      <c r="EF691" s="43"/>
      <c r="EG691" s="43"/>
      <c r="EH691" s="43"/>
      <c r="EI691" s="43"/>
      <c r="EJ691" s="43"/>
      <c r="EK691" s="43"/>
      <c r="EL691" s="43"/>
      <c r="EM691" s="43"/>
      <c r="EN691" s="43"/>
      <c r="EO691" s="43"/>
      <c r="EP691" s="43"/>
      <c r="EQ691" s="43"/>
      <c r="ER691" s="43"/>
      <c r="ES691" s="43"/>
      <c r="ET691" s="43"/>
      <c r="EU691" s="43"/>
      <c r="EV691" s="43"/>
      <c r="EW691" s="43"/>
      <c r="EX691" s="43"/>
      <c r="EY691" s="43"/>
      <c r="EZ691" s="43"/>
      <c r="FA691" s="43"/>
      <c r="FB691" s="43"/>
      <c r="FC691" s="43"/>
      <c r="FD691" s="43"/>
      <c r="FE691" s="43"/>
      <c r="FF691" s="43"/>
      <c r="FG691" s="43"/>
      <c r="FH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43"/>
      <c r="BP692" s="43"/>
      <c r="BQ692" s="43"/>
      <c r="BR692" s="43"/>
      <c r="BS692" s="43"/>
      <c r="BT692" s="43"/>
      <c r="BU692" s="43"/>
      <c r="BV692" s="43"/>
      <c r="BW692" s="43"/>
      <c r="BX692" s="43"/>
      <c r="BY692" s="43"/>
      <c r="BZ692" s="43"/>
      <c r="CA692" s="43"/>
      <c r="CB692" s="43"/>
      <c r="CC692" s="43"/>
      <c r="CD692" s="43"/>
      <c r="CE692" s="43"/>
      <c r="CF692" s="43"/>
      <c r="CG692" s="43"/>
      <c r="CH692" s="43"/>
      <c r="CI692" s="43"/>
      <c r="CJ692" s="43"/>
      <c r="CK692" s="43"/>
      <c r="CL692" s="43"/>
      <c r="CM692" s="43"/>
      <c r="CN692" s="43"/>
      <c r="CO692" s="43"/>
      <c r="CP692" s="43"/>
      <c r="CQ692" s="43"/>
      <c r="CR692" s="43"/>
      <c r="CS692" s="43"/>
      <c r="CT692" s="43"/>
      <c r="CU692" s="43"/>
      <c r="CV692" s="43"/>
      <c r="CW692" s="43"/>
      <c r="CX692" s="43"/>
      <c r="CY692" s="43"/>
      <c r="CZ692" s="43"/>
      <c r="DA692" s="43"/>
      <c r="DB692" s="43"/>
      <c r="DC692" s="43"/>
      <c r="DD692" s="43"/>
      <c r="DE692" s="43"/>
      <c r="DF692" s="43"/>
      <c r="DG692" s="43"/>
      <c r="DH692" s="43"/>
      <c r="DI692" s="43"/>
      <c r="DJ692" s="43"/>
      <c r="DK692" s="43"/>
      <c r="DL692" s="43"/>
      <c r="DM692" s="43"/>
      <c r="DN692" s="43"/>
      <c r="DO692" s="43"/>
      <c r="DP692" s="43"/>
      <c r="DQ692" s="43"/>
      <c r="DR692" s="43"/>
      <c r="DS692" s="43"/>
      <c r="DT692" s="43"/>
      <c r="DU692" s="43"/>
      <c r="DV692" s="43"/>
      <c r="DW692" s="43"/>
      <c r="DX692" s="43"/>
      <c r="DY692" s="43"/>
      <c r="DZ692" s="43"/>
      <c r="EA692" s="43"/>
      <c r="EB692" s="43"/>
      <c r="EC692" s="43"/>
      <c r="ED692" s="43"/>
      <c r="EE692" s="43"/>
      <c r="EF692" s="43"/>
      <c r="EG692" s="43"/>
      <c r="EH692" s="43"/>
      <c r="EI692" s="43"/>
      <c r="EJ692" s="43"/>
      <c r="EK692" s="43"/>
      <c r="EL692" s="43"/>
      <c r="EM692" s="43"/>
      <c r="EN692" s="43"/>
      <c r="EO692" s="43"/>
      <c r="EP692" s="43"/>
      <c r="EQ692" s="43"/>
      <c r="ER692" s="43"/>
      <c r="ES692" s="43"/>
      <c r="ET692" s="43"/>
      <c r="EU692" s="43"/>
      <c r="EV692" s="43"/>
      <c r="EW692" s="43"/>
      <c r="EX692" s="43"/>
      <c r="EY692" s="43"/>
      <c r="EZ692" s="43"/>
      <c r="FA692" s="43"/>
      <c r="FB692" s="43"/>
      <c r="FC692" s="43"/>
      <c r="FD692" s="43"/>
      <c r="FE692" s="43"/>
      <c r="FF692" s="43"/>
      <c r="FG692" s="43"/>
      <c r="FH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c r="BO693" s="43"/>
      <c r="BP693" s="43"/>
      <c r="BQ693" s="43"/>
      <c r="BR693" s="43"/>
      <c r="BS693" s="43"/>
      <c r="BT693" s="43"/>
      <c r="BU693" s="43"/>
      <c r="BV693" s="43"/>
      <c r="BW693" s="43"/>
      <c r="BX693" s="43"/>
      <c r="BY693" s="43"/>
      <c r="BZ693" s="43"/>
      <c r="CA693" s="43"/>
      <c r="CB693" s="43"/>
      <c r="CC693" s="43"/>
      <c r="CD693" s="43"/>
      <c r="CE693" s="43"/>
      <c r="CF693" s="43"/>
      <c r="CG693" s="43"/>
      <c r="CH693" s="43"/>
      <c r="CI693" s="43"/>
      <c r="CJ693" s="43"/>
      <c r="CK693" s="43"/>
      <c r="CL693" s="43"/>
      <c r="CM693" s="43"/>
      <c r="CN693" s="43"/>
      <c r="CO693" s="43"/>
      <c r="CP693" s="43"/>
      <c r="CQ693" s="43"/>
      <c r="CR693" s="43"/>
      <c r="CS693" s="43"/>
      <c r="CT693" s="43"/>
      <c r="CU693" s="43"/>
      <c r="CV693" s="43"/>
      <c r="CW693" s="43"/>
      <c r="CX693" s="43"/>
      <c r="CY693" s="43"/>
      <c r="CZ693" s="43"/>
      <c r="DA693" s="43"/>
      <c r="DB693" s="43"/>
      <c r="DC693" s="43"/>
      <c r="DD693" s="43"/>
      <c r="DE693" s="43"/>
      <c r="DF693" s="43"/>
      <c r="DG693" s="43"/>
      <c r="DH693" s="43"/>
      <c r="DI693" s="43"/>
      <c r="DJ693" s="43"/>
      <c r="DK693" s="43"/>
      <c r="DL693" s="43"/>
      <c r="DM693" s="43"/>
      <c r="DN693" s="43"/>
      <c r="DO693" s="43"/>
      <c r="DP693" s="43"/>
      <c r="DQ693" s="43"/>
      <c r="DR693" s="43"/>
      <c r="DS693" s="43"/>
      <c r="DT693" s="43"/>
      <c r="DU693" s="43"/>
      <c r="DV693" s="43"/>
      <c r="DW693" s="43"/>
      <c r="DX693" s="43"/>
      <c r="DY693" s="43"/>
      <c r="DZ693" s="43"/>
      <c r="EA693" s="43"/>
      <c r="EB693" s="43"/>
      <c r="EC693" s="43"/>
      <c r="ED693" s="43"/>
      <c r="EE693" s="43"/>
      <c r="EF693" s="43"/>
      <c r="EG693" s="43"/>
      <c r="EH693" s="43"/>
      <c r="EI693" s="43"/>
      <c r="EJ693" s="43"/>
      <c r="EK693" s="43"/>
      <c r="EL693" s="43"/>
      <c r="EM693" s="43"/>
      <c r="EN693" s="43"/>
      <c r="EO693" s="43"/>
      <c r="EP693" s="43"/>
      <c r="EQ693" s="43"/>
      <c r="ER693" s="43"/>
      <c r="ES693" s="43"/>
      <c r="ET693" s="43"/>
      <c r="EU693" s="43"/>
      <c r="EV693" s="43"/>
      <c r="EW693" s="43"/>
      <c r="EX693" s="43"/>
      <c r="EY693" s="43"/>
      <c r="EZ693" s="43"/>
      <c r="FA693" s="43"/>
      <c r="FB693" s="43"/>
      <c r="FC693" s="43"/>
      <c r="FD693" s="43"/>
      <c r="FE693" s="43"/>
      <c r="FF693" s="43"/>
      <c r="FG693" s="43"/>
      <c r="FH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43"/>
      <c r="BP694" s="43"/>
      <c r="BQ694" s="43"/>
      <c r="BR694" s="43"/>
      <c r="BS694" s="43"/>
      <c r="BT694" s="43"/>
      <c r="BU694" s="43"/>
      <c r="BV694" s="43"/>
      <c r="BW694" s="43"/>
      <c r="BX694" s="43"/>
      <c r="BY694" s="43"/>
      <c r="BZ694" s="43"/>
      <c r="CA694" s="43"/>
      <c r="CB694" s="43"/>
      <c r="CC694" s="43"/>
      <c r="CD694" s="43"/>
      <c r="CE694" s="43"/>
      <c r="CF694" s="43"/>
      <c r="CG694" s="43"/>
      <c r="CH694" s="43"/>
      <c r="CI694" s="43"/>
      <c r="CJ694" s="43"/>
      <c r="CK694" s="43"/>
      <c r="CL694" s="43"/>
      <c r="CM694" s="43"/>
      <c r="CN694" s="43"/>
      <c r="CO694" s="43"/>
      <c r="CP694" s="43"/>
      <c r="CQ694" s="43"/>
      <c r="CR694" s="43"/>
      <c r="CS694" s="43"/>
      <c r="CT694" s="43"/>
      <c r="CU694" s="43"/>
      <c r="CV694" s="43"/>
      <c r="CW694" s="43"/>
      <c r="CX694" s="43"/>
      <c r="CY694" s="43"/>
      <c r="CZ694" s="43"/>
      <c r="DA694" s="43"/>
      <c r="DB694" s="43"/>
      <c r="DC694" s="43"/>
      <c r="DD694" s="43"/>
      <c r="DE694" s="43"/>
      <c r="DF694" s="43"/>
      <c r="DG694" s="43"/>
      <c r="DH694" s="43"/>
      <c r="DI694" s="43"/>
      <c r="DJ694" s="43"/>
      <c r="DK694" s="43"/>
      <c r="DL694" s="43"/>
      <c r="DM694" s="43"/>
      <c r="DN694" s="43"/>
      <c r="DO694" s="43"/>
      <c r="DP694" s="43"/>
      <c r="DQ694" s="43"/>
      <c r="DR694" s="43"/>
      <c r="DS694" s="43"/>
      <c r="DT694" s="43"/>
      <c r="DU694" s="43"/>
      <c r="DV694" s="43"/>
      <c r="DW694" s="43"/>
      <c r="DX694" s="43"/>
      <c r="DY694" s="43"/>
      <c r="DZ694" s="43"/>
      <c r="EA694" s="43"/>
      <c r="EB694" s="43"/>
      <c r="EC694" s="43"/>
      <c r="ED694" s="43"/>
      <c r="EE694" s="43"/>
      <c r="EF694" s="43"/>
      <c r="EG694" s="43"/>
      <c r="EH694" s="43"/>
      <c r="EI694" s="43"/>
      <c r="EJ694" s="43"/>
      <c r="EK694" s="43"/>
      <c r="EL694" s="43"/>
      <c r="EM694" s="43"/>
      <c r="EN694" s="43"/>
      <c r="EO694" s="43"/>
      <c r="EP694" s="43"/>
      <c r="EQ694" s="43"/>
      <c r="ER694" s="43"/>
      <c r="ES694" s="43"/>
      <c r="ET694" s="43"/>
      <c r="EU694" s="43"/>
      <c r="EV694" s="43"/>
      <c r="EW694" s="43"/>
      <c r="EX694" s="43"/>
      <c r="EY694" s="43"/>
      <c r="EZ694" s="43"/>
      <c r="FA694" s="43"/>
      <c r="FB694" s="43"/>
      <c r="FC694" s="43"/>
      <c r="FD694" s="43"/>
      <c r="FE694" s="43"/>
      <c r="FF694" s="43"/>
      <c r="FG694" s="43"/>
      <c r="FH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c r="BO695" s="43"/>
      <c r="BP695" s="43"/>
      <c r="BQ695" s="43"/>
      <c r="BR695" s="43"/>
      <c r="BS695" s="43"/>
      <c r="BT695" s="43"/>
      <c r="BU695" s="43"/>
      <c r="BV695" s="43"/>
      <c r="BW695" s="43"/>
      <c r="BX695" s="43"/>
      <c r="BY695" s="43"/>
      <c r="BZ695" s="43"/>
      <c r="CA695" s="43"/>
      <c r="CB695" s="43"/>
      <c r="CC695" s="43"/>
      <c r="CD695" s="43"/>
      <c r="CE695" s="43"/>
      <c r="CF695" s="43"/>
      <c r="CG695" s="43"/>
      <c r="CH695" s="43"/>
      <c r="CI695" s="43"/>
      <c r="CJ695" s="43"/>
      <c r="CK695" s="43"/>
      <c r="CL695" s="43"/>
      <c r="CM695" s="43"/>
      <c r="CN695" s="43"/>
      <c r="CO695" s="43"/>
      <c r="CP695" s="43"/>
      <c r="CQ695" s="43"/>
      <c r="CR695" s="43"/>
      <c r="CS695" s="43"/>
      <c r="CT695" s="43"/>
      <c r="CU695" s="43"/>
      <c r="CV695" s="43"/>
      <c r="CW695" s="43"/>
      <c r="CX695" s="43"/>
      <c r="CY695" s="43"/>
      <c r="CZ695" s="43"/>
      <c r="DA695" s="43"/>
      <c r="DB695" s="43"/>
      <c r="DC695" s="43"/>
      <c r="DD695" s="43"/>
      <c r="DE695" s="43"/>
      <c r="DF695" s="43"/>
      <c r="DG695" s="43"/>
      <c r="DH695" s="43"/>
      <c r="DI695" s="43"/>
      <c r="DJ695" s="43"/>
      <c r="DK695" s="43"/>
      <c r="DL695" s="43"/>
      <c r="DM695" s="43"/>
      <c r="DN695" s="43"/>
      <c r="DO695" s="43"/>
      <c r="DP695" s="43"/>
      <c r="DQ695" s="43"/>
      <c r="DR695" s="43"/>
      <c r="DS695" s="43"/>
      <c r="DT695" s="43"/>
      <c r="DU695" s="43"/>
      <c r="DV695" s="43"/>
      <c r="DW695" s="43"/>
      <c r="DX695" s="43"/>
      <c r="DY695" s="43"/>
      <c r="DZ695" s="43"/>
      <c r="EA695" s="43"/>
      <c r="EB695" s="43"/>
      <c r="EC695" s="43"/>
      <c r="ED695" s="43"/>
      <c r="EE695" s="43"/>
      <c r="EF695" s="43"/>
      <c r="EG695" s="43"/>
      <c r="EH695" s="43"/>
      <c r="EI695" s="43"/>
      <c r="EJ695" s="43"/>
      <c r="EK695" s="43"/>
      <c r="EL695" s="43"/>
      <c r="EM695" s="43"/>
      <c r="EN695" s="43"/>
      <c r="EO695" s="43"/>
      <c r="EP695" s="43"/>
      <c r="EQ695" s="43"/>
      <c r="ER695" s="43"/>
      <c r="ES695" s="43"/>
      <c r="ET695" s="43"/>
      <c r="EU695" s="43"/>
      <c r="EV695" s="43"/>
      <c r="EW695" s="43"/>
      <c r="EX695" s="43"/>
      <c r="EY695" s="43"/>
      <c r="EZ695" s="43"/>
      <c r="FA695" s="43"/>
      <c r="FB695" s="43"/>
      <c r="FC695" s="43"/>
      <c r="FD695" s="43"/>
      <c r="FE695" s="43"/>
      <c r="FF695" s="43"/>
      <c r="FG695" s="43"/>
      <c r="FH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43"/>
      <c r="BP696" s="43"/>
      <c r="BQ696" s="43"/>
      <c r="BR696" s="43"/>
      <c r="BS696" s="43"/>
      <c r="BT696" s="43"/>
      <c r="BU696" s="43"/>
      <c r="BV696" s="43"/>
      <c r="BW696" s="43"/>
      <c r="BX696" s="43"/>
      <c r="BY696" s="43"/>
      <c r="BZ696" s="43"/>
      <c r="CA696" s="43"/>
      <c r="CB696" s="43"/>
      <c r="CC696" s="43"/>
      <c r="CD696" s="43"/>
      <c r="CE696" s="43"/>
      <c r="CF696" s="43"/>
      <c r="CG696" s="43"/>
      <c r="CH696" s="43"/>
      <c r="CI696" s="43"/>
      <c r="CJ696" s="43"/>
      <c r="CK696" s="43"/>
      <c r="CL696" s="43"/>
      <c r="CM696" s="43"/>
      <c r="CN696" s="43"/>
      <c r="CO696" s="43"/>
      <c r="CP696" s="43"/>
      <c r="CQ696" s="43"/>
      <c r="CR696" s="43"/>
      <c r="CS696" s="43"/>
      <c r="CT696" s="43"/>
      <c r="CU696" s="43"/>
      <c r="CV696" s="43"/>
      <c r="CW696" s="43"/>
      <c r="CX696" s="43"/>
      <c r="CY696" s="43"/>
      <c r="CZ696" s="43"/>
      <c r="DA696" s="43"/>
      <c r="DB696" s="43"/>
      <c r="DC696" s="43"/>
      <c r="DD696" s="43"/>
      <c r="DE696" s="43"/>
      <c r="DF696" s="43"/>
      <c r="DG696" s="43"/>
      <c r="DH696" s="43"/>
      <c r="DI696" s="43"/>
      <c r="DJ696" s="43"/>
      <c r="DK696" s="43"/>
      <c r="DL696" s="43"/>
      <c r="DM696" s="43"/>
      <c r="DN696" s="43"/>
      <c r="DO696" s="43"/>
      <c r="DP696" s="43"/>
      <c r="DQ696" s="43"/>
      <c r="DR696" s="43"/>
      <c r="DS696" s="43"/>
      <c r="DT696" s="43"/>
      <c r="DU696" s="43"/>
      <c r="DV696" s="43"/>
      <c r="DW696" s="43"/>
      <c r="DX696" s="43"/>
      <c r="DY696" s="43"/>
      <c r="DZ696" s="43"/>
      <c r="EA696" s="43"/>
      <c r="EB696" s="43"/>
      <c r="EC696" s="43"/>
      <c r="ED696" s="43"/>
      <c r="EE696" s="43"/>
      <c r="EF696" s="43"/>
      <c r="EG696" s="43"/>
      <c r="EH696" s="43"/>
      <c r="EI696" s="43"/>
      <c r="EJ696" s="43"/>
      <c r="EK696" s="43"/>
      <c r="EL696" s="43"/>
      <c r="EM696" s="43"/>
      <c r="EN696" s="43"/>
      <c r="EO696" s="43"/>
      <c r="EP696" s="43"/>
      <c r="EQ696" s="43"/>
      <c r="ER696" s="43"/>
      <c r="ES696" s="43"/>
      <c r="ET696" s="43"/>
      <c r="EU696" s="43"/>
      <c r="EV696" s="43"/>
      <c r="EW696" s="43"/>
      <c r="EX696" s="43"/>
      <c r="EY696" s="43"/>
      <c r="EZ696" s="43"/>
      <c r="FA696" s="43"/>
      <c r="FB696" s="43"/>
      <c r="FC696" s="43"/>
      <c r="FD696" s="43"/>
      <c r="FE696" s="43"/>
      <c r="FF696" s="43"/>
      <c r="FG696" s="43"/>
      <c r="FH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43"/>
      <c r="BP697" s="43"/>
      <c r="BQ697" s="43"/>
      <c r="BR697" s="43"/>
      <c r="BS697" s="43"/>
      <c r="BT697" s="43"/>
      <c r="BU697" s="43"/>
      <c r="BV697" s="43"/>
      <c r="BW697" s="43"/>
      <c r="BX697" s="43"/>
      <c r="BY697" s="43"/>
      <c r="BZ697" s="43"/>
      <c r="CA697" s="43"/>
      <c r="CB697" s="43"/>
      <c r="CC697" s="43"/>
      <c r="CD697" s="43"/>
      <c r="CE697" s="43"/>
      <c r="CF697" s="43"/>
      <c r="CG697" s="43"/>
      <c r="CH697" s="43"/>
      <c r="CI697" s="43"/>
      <c r="CJ697" s="43"/>
      <c r="CK697" s="43"/>
      <c r="CL697" s="43"/>
      <c r="CM697" s="43"/>
      <c r="CN697" s="43"/>
      <c r="CO697" s="43"/>
      <c r="CP697" s="43"/>
      <c r="CQ697" s="43"/>
      <c r="CR697" s="43"/>
      <c r="CS697" s="43"/>
      <c r="CT697" s="43"/>
      <c r="CU697" s="43"/>
      <c r="CV697" s="43"/>
      <c r="CW697" s="43"/>
      <c r="CX697" s="43"/>
      <c r="CY697" s="43"/>
      <c r="CZ697" s="43"/>
      <c r="DA697" s="43"/>
      <c r="DB697" s="43"/>
      <c r="DC697" s="43"/>
      <c r="DD697" s="43"/>
      <c r="DE697" s="43"/>
      <c r="DF697" s="43"/>
      <c r="DG697" s="43"/>
      <c r="DH697" s="43"/>
      <c r="DI697" s="43"/>
      <c r="DJ697" s="43"/>
      <c r="DK697" s="43"/>
      <c r="DL697" s="43"/>
      <c r="DM697" s="43"/>
      <c r="DN697" s="43"/>
      <c r="DO697" s="43"/>
      <c r="DP697" s="43"/>
      <c r="DQ697" s="43"/>
      <c r="DR697" s="43"/>
      <c r="DS697" s="43"/>
      <c r="DT697" s="43"/>
      <c r="DU697" s="43"/>
      <c r="DV697" s="43"/>
      <c r="DW697" s="43"/>
      <c r="DX697" s="43"/>
      <c r="DY697" s="43"/>
      <c r="DZ697" s="43"/>
      <c r="EA697" s="43"/>
      <c r="EB697" s="43"/>
      <c r="EC697" s="43"/>
      <c r="ED697" s="43"/>
      <c r="EE697" s="43"/>
      <c r="EF697" s="43"/>
      <c r="EG697" s="43"/>
      <c r="EH697" s="43"/>
      <c r="EI697" s="43"/>
      <c r="EJ697" s="43"/>
      <c r="EK697" s="43"/>
      <c r="EL697" s="43"/>
      <c r="EM697" s="43"/>
      <c r="EN697" s="43"/>
      <c r="EO697" s="43"/>
      <c r="EP697" s="43"/>
      <c r="EQ697" s="43"/>
      <c r="ER697" s="43"/>
      <c r="ES697" s="43"/>
      <c r="ET697" s="43"/>
      <c r="EU697" s="43"/>
      <c r="EV697" s="43"/>
      <c r="EW697" s="43"/>
      <c r="EX697" s="43"/>
      <c r="EY697" s="43"/>
      <c r="EZ697" s="43"/>
      <c r="FA697" s="43"/>
      <c r="FB697" s="43"/>
      <c r="FC697" s="43"/>
      <c r="FD697" s="43"/>
      <c r="FE697" s="43"/>
      <c r="FF697" s="43"/>
      <c r="FG697" s="43"/>
      <c r="FH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43"/>
      <c r="BP698" s="43"/>
      <c r="BQ698" s="43"/>
      <c r="BR698" s="43"/>
      <c r="BS698" s="43"/>
      <c r="BT698" s="43"/>
      <c r="BU698" s="43"/>
      <c r="BV698" s="43"/>
      <c r="BW698" s="43"/>
      <c r="BX698" s="43"/>
      <c r="BY698" s="43"/>
      <c r="BZ698" s="43"/>
      <c r="CA698" s="43"/>
      <c r="CB698" s="43"/>
      <c r="CC698" s="43"/>
      <c r="CD698" s="43"/>
      <c r="CE698" s="43"/>
      <c r="CF698" s="43"/>
      <c r="CG698" s="43"/>
      <c r="CH698" s="43"/>
      <c r="CI698" s="43"/>
      <c r="CJ698" s="43"/>
      <c r="CK698" s="43"/>
      <c r="CL698" s="43"/>
      <c r="CM698" s="43"/>
      <c r="CN698" s="43"/>
      <c r="CO698" s="43"/>
      <c r="CP698" s="43"/>
      <c r="CQ698" s="43"/>
      <c r="CR698" s="43"/>
      <c r="CS698" s="43"/>
      <c r="CT698" s="43"/>
      <c r="CU698" s="43"/>
      <c r="CV698" s="43"/>
      <c r="CW698" s="43"/>
      <c r="CX698" s="43"/>
      <c r="CY698" s="43"/>
      <c r="CZ698" s="43"/>
      <c r="DA698" s="43"/>
      <c r="DB698" s="43"/>
      <c r="DC698" s="43"/>
      <c r="DD698" s="43"/>
      <c r="DE698" s="43"/>
      <c r="DF698" s="43"/>
      <c r="DG698" s="43"/>
      <c r="DH698" s="43"/>
      <c r="DI698" s="43"/>
      <c r="DJ698" s="43"/>
      <c r="DK698" s="43"/>
      <c r="DL698" s="43"/>
      <c r="DM698" s="43"/>
      <c r="DN698" s="43"/>
      <c r="DO698" s="43"/>
      <c r="DP698" s="43"/>
      <c r="DQ698" s="43"/>
      <c r="DR698" s="43"/>
      <c r="DS698" s="43"/>
      <c r="DT698" s="43"/>
      <c r="DU698" s="43"/>
      <c r="DV698" s="43"/>
      <c r="DW698" s="43"/>
      <c r="DX698" s="43"/>
      <c r="DY698" s="43"/>
      <c r="DZ698" s="43"/>
      <c r="EA698" s="43"/>
      <c r="EB698" s="43"/>
      <c r="EC698" s="43"/>
      <c r="ED698" s="43"/>
      <c r="EE698" s="43"/>
      <c r="EF698" s="43"/>
      <c r="EG698" s="43"/>
      <c r="EH698" s="43"/>
      <c r="EI698" s="43"/>
      <c r="EJ698" s="43"/>
      <c r="EK698" s="43"/>
      <c r="EL698" s="43"/>
      <c r="EM698" s="43"/>
      <c r="EN698" s="43"/>
      <c r="EO698" s="43"/>
      <c r="EP698" s="43"/>
      <c r="EQ698" s="43"/>
      <c r="ER698" s="43"/>
      <c r="ES698" s="43"/>
      <c r="ET698" s="43"/>
      <c r="EU698" s="43"/>
      <c r="EV698" s="43"/>
      <c r="EW698" s="43"/>
      <c r="EX698" s="43"/>
      <c r="EY698" s="43"/>
      <c r="EZ698" s="43"/>
      <c r="FA698" s="43"/>
      <c r="FB698" s="43"/>
      <c r="FC698" s="43"/>
      <c r="FD698" s="43"/>
      <c r="FE698" s="43"/>
      <c r="FF698" s="43"/>
      <c r="FG698" s="43"/>
      <c r="FH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c r="BO699" s="43"/>
      <c r="BP699" s="43"/>
      <c r="BQ699" s="43"/>
      <c r="BR699" s="43"/>
      <c r="BS699" s="43"/>
      <c r="BT699" s="43"/>
      <c r="BU699" s="43"/>
      <c r="BV699" s="43"/>
      <c r="BW699" s="43"/>
      <c r="BX699" s="43"/>
      <c r="BY699" s="43"/>
      <c r="BZ699" s="43"/>
      <c r="CA699" s="43"/>
      <c r="CB699" s="43"/>
      <c r="CC699" s="43"/>
      <c r="CD699" s="43"/>
      <c r="CE699" s="43"/>
      <c r="CF699" s="43"/>
      <c r="CG699" s="43"/>
      <c r="CH699" s="43"/>
      <c r="CI699" s="43"/>
      <c r="CJ699" s="43"/>
      <c r="CK699" s="43"/>
      <c r="CL699" s="43"/>
      <c r="CM699" s="43"/>
      <c r="CN699" s="43"/>
      <c r="CO699" s="43"/>
      <c r="CP699" s="43"/>
      <c r="CQ699" s="43"/>
      <c r="CR699" s="43"/>
      <c r="CS699" s="43"/>
      <c r="CT699" s="43"/>
      <c r="CU699" s="43"/>
      <c r="CV699" s="43"/>
      <c r="CW699" s="43"/>
      <c r="CX699" s="43"/>
      <c r="CY699" s="43"/>
      <c r="CZ699" s="43"/>
      <c r="DA699" s="43"/>
      <c r="DB699" s="43"/>
      <c r="DC699" s="43"/>
      <c r="DD699" s="43"/>
      <c r="DE699" s="43"/>
      <c r="DF699" s="43"/>
      <c r="DG699" s="43"/>
      <c r="DH699" s="43"/>
      <c r="DI699" s="43"/>
      <c r="DJ699" s="43"/>
      <c r="DK699" s="43"/>
      <c r="DL699" s="43"/>
      <c r="DM699" s="43"/>
      <c r="DN699" s="43"/>
      <c r="DO699" s="43"/>
      <c r="DP699" s="43"/>
      <c r="DQ699" s="43"/>
      <c r="DR699" s="43"/>
      <c r="DS699" s="43"/>
      <c r="DT699" s="43"/>
      <c r="DU699" s="43"/>
      <c r="DV699" s="43"/>
      <c r="DW699" s="43"/>
      <c r="DX699" s="43"/>
      <c r="DY699" s="43"/>
      <c r="DZ699" s="43"/>
      <c r="EA699" s="43"/>
      <c r="EB699" s="43"/>
      <c r="EC699" s="43"/>
      <c r="ED699" s="43"/>
      <c r="EE699" s="43"/>
      <c r="EF699" s="43"/>
      <c r="EG699" s="43"/>
      <c r="EH699" s="43"/>
      <c r="EI699" s="43"/>
      <c r="EJ699" s="43"/>
      <c r="EK699" s="43"/>
      <c r="EL699" s="43"/>
      <c r="EM699" s="43"/>
      <c r="EN699" s="43"/>
      <c r="EO699" s="43"/>
      <c r="EP699" s="43"/>
      <c r="EQ699" s="43"/>
      <c r="ER699" s="43"/>
      <c r="ES699" s="43"/>
      <c r="ET699" s="43"/>
      <c r="EU699" s="43"/>
      <c r="EV699" s="43"/>
      <c r="EW699" s="43"/>
      <c r="EX699" s="43"/>
      <c r="EY699" s="43"/>
      <c r="EZ699" s="43"/>
      <c r="FA699" s="43"/>
      <c r="FB699" s="43"/>
      <c r="FC699" s="43"/>
      <c r="FD699" s="43"/>
      <c r="FE699" s="43"/>
      <c r="FF699" s="43"/>
      <c r="FG699" s="43"/>
      <c r="FH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43"/>
      <c r="BP700" s="43"/>
      <c r="BQ700" s="43"/>
      <c r="BR700" s="43"/>
      <c r="BS700" s="43"/>
      <c r="BT700" s="43"/>
      <c r="BU700" s="43"/>
      <c r="BV700" s="43"/>
      <c r="BW700" s="43"/>
      <c r="BX700" s="43"/>
      <c r="BY700" s="43"/>
      <c r="BZ700" s="43"/>
      <c r="CA700" s="43"/>
      <c r="CB700" s="43"/>
      <c r="CC700" s="43"/>
      <c r="CD700" s="43"/>
      <c r="CE700" s="43"/>
      <c r="CF700" s="43"/>
      <c r="CG700" s="43"/>
      <c r="CH700" s="43"/>
      <c r="CI700" s="43"/>
      <c r="CJ700" s="43"/>
      <c r="CK700" s="43"/>
      <c r="CL700" s="43"/>
      <c r="CM700" s="43"/>
      <c r="CN700" s="43"/>
      <c r="CO700" s="43"/>
      <c r="CP700" s="43"/>
      <c r="CQ700" s="43"/>
      <c r="CR700" s="43"/>
      <c r="CS700" s="43"/>
      <c r="CT700" s="43"/>
      <c r="CU700" s="43"/>
      <c r="CV700" s="43"/>
      <c r="CW700" s="43"/>
      <c r="CX700" s="43"/>
      <c r="CY700" s="43"/>
      <c r="CZ700" s="43"/>
      <c r="DA700" s="43"/>
      <c r="DB700" s="43"/>
      <c r="DC700" s="43"/>
      <c r="DD700" s="43"/>
      <c r="DE700" s="43"/>
      <c r="DF700" s="43"/>
      <c r="DG700" s="43"/>
      <c r="DH700" s="43"/>
      <c r="DI700" s="43"/>
      <c r="DJ700" s="43"/>
      <c r="DK700" s="43"/>
      <c r="DL700" s="43"/>
      <c r="DM700" s="43"/>
      <c r="DN700" s="43"/>
      <c r="DO700" s="43"/>
      <c r="DP700" s="43"/>
      <c r="DQ700" s="43"/>
      <c r="DR700" s="43"/>
      <c r="DS700" s="43"/>
      <c r="DT700" s="43"/>
      <c r="DU700" s="43"/>
      <c r="DV700" s="43"/>
      <c r="DW700" s="43"/>
      <c r="DX700" s="43"/>
      <c r="DY700" s="43"/>
      <c r="DZ700" s="43"/>
      <c r="EA700" s="43"/>
      <c r="EB700" s="43"/>
      <c r="EC700" s="43"/>
      <c r="ED700" s="43"/>
      <c r="EE700" s="43"/>
      <c r="EF700" s="43"/>
      <c r="EG700" s="43"/>
      <c r="EH700" s="43"/>
      <c r="EI700" s="43"/>
      <c r="EJ700" s="43"/>
      <c r="EK700" s="43"/>
      <c r="EL700" s="43"/>
      <c r="EM700" s="43"/>
      <c r="EN700" s="43"/>
      <c r="EO700" s="43"/>
      <c r="EP700" s="43"/>
      <c r="EQ700" s="43"/>
      <c r="ER700" s="43"/>
      <c r="ES700" s="43"/>
      <c r="ET700" s="43"/>
      <c r="EU700" s="43"/>
      <c r="EV700" s="43"/>
      <c r="EW700" s="43"/>
      <c r="EX700" s="43"/>
      <c r="EY700" s="43"/>
      <c r="EZ700" s="43"/>
      <c r="FA700" s="43"/>
      <c r="FB700" s="43"/>
      <c r="FC700" s="43"/>
      <c r="FD700" s="43"/>
      <c r="FE700" s="43"/>
      <c r="FF700" s="43"/>
      <c r="FG700" s="43"/>
      <c r="FH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43"/>
      <c r="BP701" s="43"/>
      <c r="BQ701" s="43"/>
      <c r="BR701" s="43"/>
      <c r="BS701" s="43"/>
      <c r="BT701" s="43"/>
      <c r="BU701" s="43"/>
      <c r="BV701" s="43"/>
      <c r="BW701" s="43"/>
      <c r="BX701" s="43"/>
      <c r="BY701" s="43"/>
      <c r="BZ701" s="43"/>
      <c r="CA701" s="43"/>
      <c r="CB701" s="43"/>
      <c r="CC701" s="43"/>
      <c r="CD701" s="43"/>
      <c r="CE701" s="43"/>
      <c r="CF701" s="43"/>
      <c r="CG701" s="43"/>
      <c r="CH701" s="43"/>
      <c r="CI701" s="43"/>
      <c r="CJ701" s="43"/>
      <c r="CK701" s="43"/>
      <c r="CL701" s="43"/>
      <c r="CM701" s="43"/>
      <c r="CN701" s="43"/>
      <c r="CO701" s="43"/>
      <c r="CP701" s="43"/>
      <c r="CQ701" s="43"/>
      <c r="CR701" s="43"/>
      <c r="CS701" s="43"/>
      <c r="CT701" s="43"/>
      <c r="CU701" s="43"/>
      <c r="CV701" s="43"/>
      <c r="CW701" s="43"/>
      <c r="CX701" s="43"/>
      <c r="CY701" s="43"/>
      <c r="CZ701" s="43"/>
      <c r="DA701" s="43"/>
      <c r="DB701" s="43"/>
      <c r="DC701" s="43"/>
      <c r="DD701" s="43"/>
      <c r="DE701" s="43"/>
      <c r="DF701" s="43"/>
      <c r="DG701" s="43"/>
      <c r="DH701" s="43"/>
      <c r="DI701" s="43"/>
      <c r="DJ701" s="43"/>
      <c r="DK701" s="43"/>
      <c r="DL701" s="43"/>
      <c r="DM701" s="43"/>
      <c r="DN701" s="43"/>
      <c r="DO701" s="43"/>
      <c r="DP701" s="43"/>
      <c r="DQ701" s="43"/>
      <c r="DR701" s="43"/>
      <c r="DS701" s="43"/>
      <c r="DT701" s="43"/>
      <c r="DU701" s="43"/>
      <c r="DV701" s="43"/>
      <c r="DW701" s="43"/>
      <c r="DX701" s="43"/>
      <c r="DY701" s="43"/>
      <c r="DZ701" s="43"/>
      <c r="EA701" s="43"/>
      <c r="EB701" s="43"/>
      <c r="EC701" s="43"/>
      <c r="ED701" s="43"/>
      <c r="EE701" s="43"/>
      <c r="EF701" s="43"/>
      <c r="EG701" s="43"/>
      <c r="EH701" s="43"/>
      <c r="EI701" s="43"/>
      <c r="EJ701" s="43"/>
      <c r="EK701" s="43"/>
      <c r="EL701" s="43"/>
      <c r="EM701" s="43"/>
      <c r="EN701" s="43"/>
      <c r="EO701" s="43"/>
      <c r="EP701" s="43"/>
      <c r="EQ701" s="43"/>
      <c r="ER701" s="43"/>
      <c r="ES701" s="43"/>
      <c r="ET701" s="43"/>
      <c r="EU701" s="43"/>
      <c r="EV701" s="43"/>
      <c r="EW701" s="43"/>
      <c r="EX701" s="43"/>
      <c r="EY701" s="43"/>
      <c r="EZ701" s="43"/>
      <c r="FA701" s="43"/>
      <c r="FB701" s="43"/>
      <c r="FC701" s="43"/>
      <c r="FD701" s="43"/>
      <c r="FE701" s="43"/>
      <c r="FF701" s="43"/>
      <c r="FG701" s="43"/>
      <c r="FH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c r="BO702" s="43"/>
      <c r="BP702" s="43"/>
      <c r="BQ702" s="43"/>
      <c r="BR702" s="43"/>
      <c r="BS702" s="43"/>
      <c r="BT702" s="43"/>
      <c r="BU702" s="43"/>
      <c r="BV702" s="43"/>
      <c r="BW702" s="43"/>
      <c r="BX702" s="43"/>
      <c r="BY702" s="43"/>
      <c r="BZ702" s="43"/>
      <c r="CA702" s="43"/>
      <c r="CB702" s="43"/>
      <c r="CC702" s="43"/>
      <c r="CD702" s="43"/>
      <c r="CE702" s="43"/>
      <c r="CF702" s="43"/>
      <c r="CG702" s="43"/>
      <c r="CH702" s="43"/>
      <c r="CI702" s="43"/>
      <c r="CJ702" s="43"/>
      <c r="CK702" s="43"/>
      <c r="CL702" s="43"/>
      <c r="CM702" s="43"/>
      <c r="CN702" s="43"/>
      <c r="CO702" s="43"/>
      <c r="CP702" s="43"/>
      <c r="CQ702" s="43"/>
      <c r="CR702" s="43"/>
      <c r="CS702" s="43"/>
      <c r="CT702" s="43"/>
      <c r="CU702" s="43"/>
      <c r="CV702" s="43"/>
      <c r="CW702" s="43"/>
      <c r="CX702" s="43"/>
      <c r="CY702" s="43"/>
      <c r="CZ702" s="43"/>
      <c r="DA702" s="43"/>
      <c r="DB702" s="43"/>
      <c r="DC702" s="43"/>
      <c r="DD702" s="43"/>
      <c r="DE702" s="43"/>
      <c r="DF702" s="43"/>
      <c r="DG702" s="43"/>
      <c r="DH702" s="43"/>
      <c r="DI702" s="43"/>
      <c r="DJ702" s="43"/>
      <c r="DK702" s="43"/>
      <c r="DL702" s="43"/>
      <c r="DM702" s="43"/>
      <c r="DN702" s="43"/>
      <c r="DO702" s="43"/>
      <c r="DP702" s="43"/>
      <c r="DQ702" s="43"/>
      <c r="DR702" s="43"/>
      <c r="DS702" s="43"/>
      <c r="DT702" s="43"/>
      <c r="DU702" s="43"/>
      <c r="DV702" s="43"/>
      <c r="DW702" s="43"/>
      <c r="DX702" s="43"/>
      <c r="DY702" s="43"/>
      <c r="DZ702" s="43"/>
      <c r="EA702" s="43"/>
      <c r="EB702" s="43"/>
      <c r="EC702" s="43"/>
      <c r="ED702" s="43"/>
      <c r="EE702" s="43"/>
      <c r="EF702" s="43"/>
      <c r="EG702" s="43"/>
      <c r="EH702" s="43"/>
      <c r="EI702" s="43"/>
      <c r="EJ702" s="43"/>
      <c r="EK702" s="43"/>
      <c r="EL702" s="43"/>
      <c r="EM702" s="43"/>
      <c r="EN702" s="43"/>
      <c r="EO702" s="43"/>
      <c r="EP702" s="43"/>
      <c r="EQ702" s="43"/>
      <c r="ER702" s="43"/>
      <c r="ES702" s="43"/>
      <c r="ET702" s="43"/>
      <c r="EU702" s="43"/>
      <c r="EV702" s="43"/>
      <c r="EW702" s="43"/>
      <c r="EX702" s="43"/>
      <c r="EY702" s="43"/>
      <c r="EZ702" s="43"/>
      <c r="FA702" s="43"/>
      <c r="FB702" s="43"/>
      <c r="FC702" s="43"/>
      <c r="FD702" s="43"/>
      <c r="FE702" s="43"/>
      <c r="FF702" s="43"/>
      <c r="FG702" s="43"/>
      <c r="FH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43"/>
      <c r="BP703" s="43"/>
      <c r="BQ703" s="43"/>
      <c r="BR703" s="43"/>
      <c r="BS703" s="43"/>
      <c r="BT703" s="43"/>
      <c r="BU703" s="43"/>
      <c r="BV703" s="43"/>
      <c r="BW703" s="43"/>
      <c r="BX703" s="43"/>
      <c r="BY703" s="43"/>
      <c r="BZ703" s="43"/>
      <c r="CA703" s="43"/>
      <c r="CB703" s="43"/>
      <c r="CC703" s="43"/>
      <c r="CD703" s="43"/>
      <c r="CE703" s="43"/>
      <c r="CF703" s="43"/>
      <c r="CG703" s="43"/>
      <c r="CH703" s="43"/>
      <c r="CI703" s="43"/>
      <c r="CJ703" s="43"/>
      <c r="CK703" s="43"/>
      <c r="CL703" s="43"/>
      <c r="CM703" s="43"/>
      <c r="CN703" s="43"/>
      <c r="CO703" s="43"/>
      <c r="CP703" s="43"/>
      <c r="CQ703" s="43"/>
      <c r="CR703" s="43"/>
      <c r="CS703" s="43"/>
      <c r="CT703" s="43"/>
      <c r="CU703" s="43"/>
      <c r="CV703" s="43"/>
      <c r="CW703" s="43"/>
      <c r="CX703" s="43"/>
      <c r="CY703" s="43"/>
      <c r="CZ703" s="43"/>
      <c r="DA703" s="43"/>
      <c r="DB703" s="43"/>
      <c r="DC703" s="43"/>
      <c r="DD703" s="43"/>
      <c r="DE703" s="43"/>
      <c r="DF703" s="43"/>
      <c r="DG703" s="43"/>
      <c r="DH703" s="43"/>
      <c r="DI703" s="43"/>
      <c r="DJ703" s="43"/>
      <c r="DK703" s="43"/>
      <c r="DL703" s="43"/>
      <c r="DM703" s="43"/>
      <c r="DN703" s="43"/>
      <c r="DO703" s="43"/>
      <c r="DP703" s="43"/>
      <c r="DQ703" s="43"/>
      <c r="DR703" s="43"/>
      <c r="DS703" s="43"/>
      <c r="DT703" s="43"/>
      <c r="DU703" s="43"/>
      <c r="DV703" s="43"/>
      <c r="DW703" s="43"/>
      <c r="DX703" s="43"/>
      <c r="DY703" s="43"/>
      <c r="DZ703" s="43"/>
      <c r="EA703" s="43"/>
      <c r="EB703" s="43"/>
      <c r="EC703" s="43"/>
      <c r="ED703" s="43"/>
      <c r="EE703" s="43"/>
      <c r="EF703" s="43"/>
      <c r="EG703" s="43"/>
      <c r="EH703" s="43"/>
      <c r="EI703" s="43"/>
      <c r="EJ703" s="43"/>
      <c r="EK703" s="43"/>
      <c r="EL703" s="43"/>
      <c r="EM703" s="43"/>
      <c r="EN703" s="43"/>
      <c r="EO703" s="43"/>
      <c r="EP703" s="43"/>
      <c r="EQ703" s="43"/>
      <c r="ER703" s="43"/>
      <c r="ES703" s="43"/>
      <c r="ET703" s="43"/>
      <c r="EU703" s="43"/>
      <c r="EV703" s="43"/>
      <c r="EW703" s="43"/>
      <c r="EX703" s="43"/>
      <c r="EY703" s="43"/>
      <c r="EZ703" s="43"/>
      <c r="FA703" s="43"/>
      <c r="FB703" s="43"/>
      <c r="FC703" s="43"/>
      <c r="FD703" s="43"/>
      <c r="FE703" s="43"/>
      <c r="FF703" s="43"/>
      <c r="FG703" s="43"/>
      <c r="FH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43"/>
      <c r="BP704" s="43"/>
      <c r="BQ704" s="43"/>
      <c r="BR704" s="43"/>
      <c r="BS704" s="43"/>
      <c r="BT704" s="43"/>
      <c r="BU704" s="43"/>
      <c r="BV704" s="43"/>
      <c r="BW704" s="43"/>
      <c r="BX704" s="43"/>
      <c r="BY704" s="43"/>
      <c r="BZ704" s="43"/>
      <c r="CA704" s="43"/>
      <c r="CB704" s="43"/>
      <c r="CC704" s="43"/>
      <c r="CD704" s="43"/>
      <c r="CE704" s="43"/>
      <c r="CF704" s="43"/>
      <c r="CG704" s="43"/>
      <c r="CH704" s="43"/>
      <c r="CI704" s="43"/>
      <c r="CJ704" s="43"/>
      <c r="CK704" s="43"/>
      <c r="CL704" s="43"/>
      <c r="CM704" s="43"/>
      <c r="CN704" s="43"/>
      <c r="CO704" s="43"/>
      <c r="CP704" s="43"/>
      <c r="CQ704" s="43"/>
      <c r="CR704" s="43"/>
      <c r="CS704" s="43"/>
      <c r="CT704" s="43"/>
      <c r="CU704" s="43"/>
      <c r="CV704" s="43"/>
      <c r="CW704" s="43"/>
      <c r="CX704" s="43"/>
      <c r="CY704" s="43"/>
      <c r="CZ704" s="43"/>
      <c r="DA704" s="43"/>
      <c r="DB704" s="43"/>
      <c r="DC704" s="43"/>
      <c r="DD704" s="43"/>
      <c r="DE704" s="43"/>
      <c r="DF704" s="43"/>
      <c r="DG704" s="43"/>
      <c r="DH704" s="43"/>
      <c r="DI704" s="43"/>
      <c r="DJ704" s="43"/>
      <c r="DK704" s="43"/>
      <c r="DL704" s="43"/>
      <c r="DM704" s="43"/>
      <c r="DN704" s="43"/>
      <c r="DO704" s="43"/>
      <c r="DP704" s="43"/>
      <c r="DQ704" s="43"/>
      <c r="DR704" s="43"/>
      <c r="DS704" s="43"/>
      <c r="DT704" s="43"/>
      <c r="DU704" s="43"/>
      <c r="DV704" s="43"/>
      <c r="DW704" s="43"/>
      <c r="DX704" s="43"/>
      <c r="DY704" s="43"/>
      <c r="DZ704" s="43"/>
      <c r="EA704" s="43"/>
      <c r="EB704" s="43"/>
      <c r="EC704" s="43"/>
      <c r="ED704" s="43"/>
      <c r="EE704" s="43"/>
      <c r="EF704" s="43"/>
      <c r="EG704" s="43"/>
      <c r="EH704" s="43"/>
      <c r="EI704" s="43"/>
      <c r="EJ704" s="43"/>
      <c r="EK704" s="43"/>
      <c r="EL704" s="43"/>
      <c r="EM704" s="43"/>
      <c r="EN704" s="43"/>
      <c r="EO704" s="43"/>
      <c r="EP704" s="43"/>
      <c r="EQ704" s="43"/>
      <c r="ER704" s="43"/>
      <c r="ES704" s="43"/>
      <c r="ET704" s="43"/>
      <c r="EU704" s="43"/>
      <c r="EV704" s="43"/>
      <c r="EW704" s="43"/>
      <c r="EX704" s="43"/>
      <c r="EY704" s="43"/>
      <c r="EZ704" s="43"/>
      <c r="FA704" s="43"/>
      <c r="FB704" s="43"/>
      <c r="FC704" s="43"/>
      <c r="FD704" s="43"/>
      <c r="FE704" s="43"/>
      <c r="FF704" s="43"/>
      <c r="FG704" s="43"/>
      <c r="FH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43"/>
      <c r="BP705" s="43"/>
      <c r="BQ705" s="43"/>
      <c r="BR705" s="43"/>
      <c r="BS705" s="43"/>
      <c r="BT705" s="43"/>
      <c r="BU705" s="43"/>
      <c r="BV705" s="43"/>
      <c r="BW705" s="43"/>
      <c r="BX705" s="43"/>
      <c r="BY705" s="43"/>
      <c r="BZ705" s="43"/>
      <c r="CA705" s="43"/>
      <c r="CB705" s="43"/>
      <c r="CC705" s="43"/>
      <c r="CD705" s="43"/>
      <c r="CE705" s="43"/>
      <c r="CF705" s="43"/>
      <c r="CG705" s="43"/>
      <c r="CH705" s="43"/>
      <c r="CI705" s="43"/>
      <c r="CJ705" s="43"/>
      <c r="CK705" s="43"/>
      <c r="CL705" s="43"/>
      <c r="CM705" s="43"/>
      <c r="CN705" s="43"/>
      <c r="CO705" s="43"/>
      <c r="CP705" s="43"/>
      <c r="CQ705" s="43"/>
      <c r="CR705" s="43"/>
      <c r="CS705" s="43"/>
      <c r="CT705" s="43"/>
      <c r="CU705" s="43"/>
      <c r="CV705" s="43"/>
      <c r="CW705" s="43"/>
      <c r="CX705" s="43"/>
      <c r="CY705" s="43"/>
      <c r="CZ705" s="43"/>
      <c r="DA705" s="43"/>
      <c r="DB705" s="43"/>
      <c r="DC705" s="43"/>
      <c r="DD705" s="43"/>
      <c r="DE705" s="43"/>
      <c r="DF705" s="43"/>
      <c r="DG705" s="43"/>
      <c r="DH705" s="43"/>
      <c r="DI705" s="43"/>
      <c r="DJ705" s="43"/>
      <c r="DK705" s="43"/>
      <c r="DL705" s="43"/>
      <c r="DM705" s="43"/>
      <c r="DN705" s="43"/>
      <c r="DO705" s="43"/>
      <c r="DP705" s="43"/>
      <c r="DQ705" s="43"/>
      <c r="DR705" s="43"/>
      <c r="DS705" s="43"/>
      <c r="DT705" s="43"/>
      <c r="DU705" s="43"/>
      <c r="DV705" s="43"/>
      <c r="DW705" s="43"/>
      <c r="DX705" s="43"/>
      <c r="DY705" s="43"/>
      <c r="DZ705" s="43"/>
      <c r="EA705" s="43"/>
      <c r="EB705" s="43"/>
      <c r="EC705" s="43"/>
      <c r="ED705" s="43"/>
      <c r="EE705" s="43"/>
      <c r="EF705" s="43"/>
      <c r="EG705" s="43"/>
      <c r="EH705" s="43"/>
      <c r="EI705" s="43"/>
      <c r="EJ705" s="43"/>
      <c r="EK705" s="43"/>
      <c r="EL705" s="43"/>
      <c r="EM705" s="43"/>
      <c r="EN705" s="43"/>
      <c r="EO705" s="43"/>
      <c r="EP705" s="43"/>
      <c r="EQ705" s="43"/>
      <c r="ER705" s="43"/>
      <c r="ES705" s="43"/>
      <c r="ET705" s="43"/>
      <c r="EU705" s="43"/>
      <c r="EV705" s="43"/>
      <c r="EW705" s="43"/>
      <c r="EX705" s="43"/>
      <c r="EY705" s="43"/>
      <c r="EZ705" s="43"/>
      <c r="FA705" s="43"/>
      <c r="FB705" s="43"/>
      <c r="FC705" s="43"/>
      <c r="FD705" s="43"/>
      <c r="FE705" s="43"/>
      <c r="FF705" s="43"/>
      <c r="FG705" s="43"/>
      <c r="FH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43"/>
      <c r="BP706" s="43"/>
      <c r="BQ706" s="43"/>
      <c r="BR706" s="43"/>
      <c r="BS706" s="43"/>
      <c r="BT706" s="43"/>
      <c r="BU706" s="43"/>
      <c r="BV706" s="43"/>
      <c r="BW706" s="43"/>
      <c r="BX706" s="43"/>
      <c r="BY706" s="43"/>
      <c r="BZ706" s="43"/>
      <c r="CA706" s="43"/>
      <c r="CB706" s="43"/>
      <c r="CC706" s="43"/>
      <c r="CD706" s="43"/>
      <c r="CE706" s="43"/>
      <c r="CF706" s="43"/>
      <c r="CG706" s="43"/>
      <c r="CH706" s="43"/>
      <c r="CI706" s="43"/>
      <c r="CJ706" s="43"/>
      <c r="CK706" s="43"/>
      <c r="CL706" s="43"/>
      <c r="CM706" s="43"/>
      <c r="CN706" s="43"/>
      <c r="CO706" s="43"/>
      <c r="CP706" s="43"/>
      <c r="CQ706" s="43"/>
      <c r="CR706" s="43"/>
      <c r="CS706" s="43"/>
      <c r="CT706" s="43"/>
      <c r="CU706" s="43"/>
      <c r="CV706" s="43"/>
      <c r="CW706" s="43"/>
      <c r="CX706" s="43"/>
      <c r="CY706" s="43"/>
      <c r="CZ706" s="43"/>
      <c r="DA706" s="43"/>
      <c r="DB706" s="43"/>
      <c r="DC706" s="43"/>
      <c r="DD706" s="43"/>
      <c r="DE706" s="43"/>
      <c r="DF706" s="43"/>
      <c r="DG706" s="43"/>
      <c r="DH706" s="43"/>
      <c r="DI706" s="43"/>
      <c r="DJ706" s="43"/>
      <c r="DK706" s="43"/>
      <c r="DL706" s="43"/>
      <c r="DM706" s="43"/>
      <c r="DN706" s="43"/>
      <c r="DO706" s="43"/>
      <c r="DP706" s="43"/>
      <c r="DQ706" s="43"/>
      <c r="DR706" s="43"/>
      <c r="DS706" s="43"/>
      <c r="DT706" s="43"/>
      <c r="DU706" s="43"/>
      <c r="DV706" s="43"/>
      <c r="DW706" s="43"/>
      <c r="DX706" s="43"/>
      <c r="DY706" s="43"/>
      <c r="DZ706" s="43"/>
      <c r="EA706" s="43"/>
      <c r="EB706" s="43"/>
      <c r="EC706" s="43"/>
      <c r="ED706" s="43"/>
      <c r="EE706" s="43"/>
      <c r="EF706" s="43"/>
      <c r="EG706" s="43"/>
      <c r="EH706" s="43"/>
      <c r="EI706" s="43"/>
      <c r="EJ706" s="43"/>
      <c r="EK706" s="43"/>
      <c r="EL706" s="43"/>
      <c r="EM706" s="43"/>
      <c r="EN706" s="43"/>
      <c r="EO706" s="43"/>
      <c r="EP706" s="43"/>
      <c r="EQ706" s="43"/>
      <c r="ER706" s="43"/>
      <c r="ES706" s="43"/>
      <c r="ET706" s="43"/>
      <c r="EU706" s="43"/>
      <c r="EV706" s="43"/>
      <c r="EW706" s="43"/>
      <c r="EX706" s="43"/>
      <c r="EY706" s="43"/>
      <c r="EZ706" s="43"/>
      <c r="FA706" s="43"/>
      <c r="FB706" s="43"/>
      <c r="FC706" s="43"/>
      <c r="FD706" s="43"/>
      <c r="FE706" s="43"/>
      <c r="FF706" s="43"/>
      <c r="FG706" s="43"/>
      <c r="FH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43"/>
      <c r="BP707" s="43"/>
      <c r="BQ707" s="43"/>
      <c r="BR707" s="43"/>
      <c r="BS707" s="43"/>
      <c r="BT707" s="43"/>
      <c r="BU707" s="43"/>
      <c r="BV707" s="43"/>
      <c r="BW707" s="43"/>
      <c r="BX707" s="43"/>
      <c r="BY707" s="43"/>
      <c r="BZ707" s="43"/>
      <c r="CA707" s="43"/>
      <c r="CB707" s="43"/>
      <c r="CC707" s="43"/>
      <c r="CD707" s="43"/>
      <c r="CE707" s="43"/>
      <c r="CF707" s="43"/>
      <c r="CG707" s="43"/>
      <c r="CH707" s="43"/>
      <c r="CI707" s="43"/>
      <c r="CJ707" s="43"/>
      <c r="CK707" s="43"/>
      <c r="CL707" s="43"/>
      <c r="CM707" s="43"/>
      <c r="CN707" s="43"/>
      <c r="CO707" s="43"/>
      <c r="CP707" s="43"/>
      <c r="CQ707" s="43"/>
      <c r="CR707" s="43"/>
      <c r="CS707" s="43"/>
      <c r="CT707" s="43"/>
      <c r="CU707" s="43"/>
      <c r="CV707" s="43"/>
      <c r="CW707" s="43"/>
      <c r="CX707" s="43"/>
      <c r="CY707" s="43"/>
      <c r="CZ707" s="43"/>
      <c r="DA707" s="43"/>
      <c r="DB707" s="43"/>
      <c r="DC707" s="43"/>
      <c r="DD707" s="43"/>
      <c r="DE707" s="43"/>
      <c r="DF707" s="43"/>
      <c r="DG707" s="43"/>
      <c r="DH707" s="43"/>
      <c r="DI707" s="43"/>
      <c r="DJ707" s="43"/>
      <c r="DK707" s="43"/>
      <c r="DL707" s="43"/>
      <c r="DM707" s="43"/>
      <c r="DN707" s="43"/>
      <c r="DO707" s="43"/>
      <c r="DP707" s="43"/>
      <c r="DQ707" s="43"/>
      <c r="DR707" s="43"/>
      <c r="DS707" s="43"/>
      <c r="DT707" s="43"/>
      <c r="DU707" s="43"/>
      <c r="DV707" s="43"/>
      <c r="DW707" s="43"/>
      <c r="DX707" s="43"/>
      <c r="DY707" s="43"/>
      <c r="DZ707" s="43"/>
      <c r="EA707" s="43"/>
      <c r="EB707" s="43"/>
      <c r="EC707" s="43"/>
      <c r="ED707" s="43"/>
      <c r="EE707" s="43"/>
      <c r="EF707" s="43"/>
      <c r="EG707" s="43"/>
      <c r="EH707" s="43"/>
      <c r="EI707" s="43"/>
      <c r="EJ707" s="43"/>
      <c r="EK707" s="43"/>
      <c r="EL707" s="43"/>
      <c r="EM707" s="43"/>
      <c r="EN707" s="43"/>
      <c r="EO707" s="43"/>
      <c r="EP707" s="43"/>
      <c r="EQ707" s="43"/>
      <c r="ER707" s="43"/>
      <c r="ES707" s="43"/>
      <c r="ET707" s="43"/>
      <c r="EU707" s="43"/>
      <c r="EV707" s="43"/>
      <c r="EW707" s="43"/>
      <c r="EX707" s="43"/>
      <c r="EY707" s="43"/>
      <c r="EZ707" s="43"/>
      <c r="FA707" s="43"/>
      <c r="FB707" s="43"/>
      <c r="FC707" s="43"/>
      <c r="FD707" s="43"/>
      <c r="FE707" s="43"/>
      <c r="FF707" s="43"/>
      <c r="FG707" s="43"/>
      <c r="FH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43"/>
      <c r="BP708" s="43"/>
      <c r="BQ708" s="43"/>
      <c r="BR708" s="43"/>
      <c r="BS708" s="43"/>
      <c r="BT708" s="43"/>
      <c r="BU708" s="43"/>
      <c r="BV708" s="43"/>
      <c r="BW708" s="43"/>
      <c r="BX708" s="43"/>
      <c r="BY708" s="43"/>
      <c r="BZ708" s="43"/>
      <c r="CA708" s="43"/>
      <c r="CB708" s="43"/>
      <c r="CC708" s="43"/>
      <c r="CD708" s="43"/>
      <c r="CE708" s="43"/>
      <c r="CF708" s="43"/>
      <c r="CG708" s="43"/>
      <c r="CH708" s="43"/>
      <c r="CI708" s="43"/>
      <c r="CJ708" s="43"/>
      <c r="CK708" s="43"/>
      <c r="CL708" s="43"/>
      <c r="CM708" s="43"/>
      <c r="CN708" s="43"/>
      <c r="CO708" s="43"/>
      <c r="CP708" s="43"/>
      <c r="CQ708" s="43"/>
      <c r="CR708" s="43"/>
      <c r="CS708" s="43"/>
      <c r="CT708" s="43"/>
      <c r="CU708" s="43"/>
      <c r="CV708" s="43"/>
      <c r="CW708" s="43"/>
      <c r="CX708" s="43"/>
      <c r="CY708" s="43"/>
      <c r="CZ708" s="43"/>
      <c r="DA708" s="43"/>
      <c r="DB708" s="43"/>
      <c r="DC708" s="43"/>
      <c r="DD708" s="43"/>
      <c r="DE708" s="43"/>
      <c r="DF708" s="43"/>
      <c r="DG708" s="43"/>
      <c r="DH708" s="43"/>
      <c r="DI708" s="43"/>
      <c r="DJ708" s="43"/>
      <c r="DK708" s="43"/>
      <c r="DL708" s="43"/>
      <c r="DM708" s="43"/>
      <c r="DN708" s="43"/>
      <c r="DO708" s="43"/>
      <c r="DP708" s="43"/>
      <c r="DQ708" s="43"/>
      <c r="DR708" s="43"/>
      <c r="DS708" s="43"/>
      <c r="DT708" s="43"/>
      <c r="DU708" s="43"/>
      <c r="DV708" s="43"/>
      <c r="DW708" s="43"/>
      <c r="DX708" s="43"/>
      <c r="DY708" s="43"/>
      <c r="DZ708" s="43"/>
      <c r="EA708" s="43"/>
      <c r="EB708" s="43"/>
      <c r="EC708" s="43"/>
      <c r="ED708" s="43"/>
      <c r="EE708" s="43"/>
      <c r="EF708" s="43"/>
      <c r="EG708" s="43"/>
      <c r="EH708" s="43"/>
      <c r="EI708" s="43"/>
      <c r="EJ708" s="43"/>
      <c r="EK708" s="43"/>
      <c r="EL708" s="43"/>
      <c r="EM708" s="43"/>
      <c r="EN708" s="43"/>
      <c r="EO708" s="43"/>
      <c r="EP708" s="43"/>
      <c r="EQ708" s="43"/>
      <c r="ER708" s="43"/>
      <c r="ES708" s="43"/>
      <c r="ET708" s="43"/>
      <c r="EU708" s="43"/>
      <c r="EV708" s="43"/>
      <c r="EW708" s="43"/>
      <c r="EX708" s="43"/>
      <c r="EY708" s="43"/>
      <c r="EZ708" s="43"/>
      <c r="FA708" s="43"/>
      <c r="FB708" s="43"/>
      <c r="FC708" s="43"/>
      <c r="FD708" s="43"/>
      <c r="FE708" s="43"/>
      <c r="FF708" s="43"/>
      <c r="FG708" s="43"/>
      <c r="FH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43"/>
      <c r="BP709" s="43"/>
      <c r="BQ709" s="43"/>
      <c r="BR709" s="43"/>
      <c r="BS709" s="43"/>
      <c r="BT709" s="43"/>
      <c r="BU709" s="43"/>
      <c r="BV709" s="43"/>
      <c r="BW709" s="43"/>
      <c r="BX709" s="43"/>
      <c r="BY709" s="43"/>
      <c r="BZ709" s="43"/>
      <c r="CA709" s="43"/>
      <c r="CB709" s="43"/>
      <c r="CC709" s="43"/>
      <c r="CD709" s="43"/>
      <c r="CE709" s="43"/>
      <c r="CF709" s="43"/>
      <c r="CG709" s="43"/>
      <c r="CH709" s="43"/>
      <c r="CI709" s="43"/>
      <c r="CJ709" s="43"/>
      <c r="CK709" s="43"/>
      <c r="CL709" s="43"/>
      <c r="CM709" s="43"/>
      <c r="CN709" s="43"/>
      <c r="CO709" s="43"/>
      <c r="CP709" s="43"/>
      <c r="CQ709" s="43"/>
      <c r="CR709" s="43"/>
      <c r="CS709" s="43"/>
      <c r="CT709" s="43"/>
      <c r="CU709" s="43"/>
      <c r="CV709" s="43"/>
      <c r="CW709" s="43"/>
      <c r="CX709" s="43"/>
      <c r="CY709" s="43"/>
      <c r="CZ709" s="43"/>
      <c r="DA709" s="43"/>
      <c r="DB709" s="43"/>
      <c r="DC709" s="43"/>
      <c r="DD709" s="43"/>
      <c r="DE709" s="43"/>
      <c r="DF709" s="43"/>
      <c r="DG709" s="43"/>
      <c r="DH709" s="43"/>
      <c r="DI709" s="43"/>
      <c r="DJ709" s="43"/>
      <c r="DK709" s="43"/>
      <c r="DL709" s="43"/>
      <c r="DM709" s="43"/>
      <c r="DN709" s="43"/>
      <c r="DO709" s="43"/>
      <c r="DP709" s="43"/>
      <c r="DQ709" s="43"/>
      <c r="DR709" s="43"/>
      <c r="DS709" s="43"/>
      <c r="DT709" s="43"/>
      <c r="DU709" s="43"/>
      <c r="DV709" s="43"/>
      <c r="DW709" s="43"/>
      <c r="DX709" s="43"/>
      <c r="DY709" s="43"/>
      <c r="DZ709" s="43"/>
      <c r="EA709" s="43"/>
      <c r="EB709" s="43"/>
      <c r="EC709" s="43"/>
      <c r="ED709" s="43"/>
      <c r="EE709" s="43"/>
      <c r="EF709" s="43"/>
      <c r="EG709" s="43"/>
      <c r="EH709" s="43"/>
      <c r="EI709" s="43"/>
      <c r="EJ709" s="43"/>
      <c r="EK709" s="43"/>
      <c r="EL709" s="43"/>
      <c r="EM709" s="43"/>
      <c r="EN709" s="43"/>
      <c r="EO709" s="43"/>
      <c r="EP709" s="43"/>
      <c r="EQ709" s="43"/>
      <c r="ER709" s="43"/>
      <c r="ES709" s="43"/>
      <c r="ET709" s="43"/>
      <c r="EU709" s="43"/>
      <c r="EV709" s="43"/>
      <c r="EW709" s="43"/>
      <c r="EX709" s="43"/>
      <c r="EY709" s="43"/>
      <c r="EZ709" s="43"/>
      <c r="FA709" s="43"/>
      <c r="FB709" s="43"/>
      <c r="FC709" s="43"/>
      <c r="FD709" s="43"/>
      <c r="FE709" s="43"/>
      <c r="FF709" s="43"/>
      <c r="FG709" s="43"/>
      <c r="FH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43"/>
      <c r="BP710" s="43"/>
      <c r="BQ710" s="43"/>
      <c r="BR710" s="43"/>
      <c r="BS710" s="43"/>
      <c r="BT710" s="43"/>
      <c r="BU710" s="43"/>
      <c r="BV710" s="43"/>
      <c r="BW710" s="43"/>
      <c r="BX710" s="43"/>
      <c r="BY710" s="43"/>
      <c r="BZ710" s="43"/>
      <c r="CA710" s="43"/>
      <c r="CB710" s="43"/>
      <c r="CC710" s="43"/>
      <c r="CD710" s="43"/>
      <c r="CE710" s="43"/>
      <c r="CF710" s="43"/>
      <c r="CG710" s="43"/>
      <c r="CH710" s="43"/>
      <c r="CI710" s="43"/>
      <c r="CJ710" s="43"/>
      <c r="CK710" s="43"/>
      <c r="CL710" s="43"/>
      <c r="CM710" s="43"/>
      <c r="CN710" s="43"/>
      <c r="CO710" s="43"/>
      <c r="CP710" s="43"/>
      <c r="CQ710" s="43"/>
      <c r="CR710" s="43"/>
      <c r="CS710" s="43"/>
      <c r="CT710" s="43"/>
      <c r="CU710" s="43"/>
      <c r="CV710" s="43"/>
      <c r="CW710" s="43"/>
      <c r="CX710" s="43"/>
      <c r="CY710" s="43"/>
      <c r="CZ710" s="43"/>
      <c r="DA710" s="43"/>
      <c r="DB710" s="43"/>
      <c r="DC710" s="43"/>
      <c r="DD710" s="43"/>
      <c r="DE710" s="43"/>
      <c r="DF710" s="43"/>
      <c r="DG710" s="43"/>
      <c r="DH710" s="43"/>
      <c r="DI710" s="43"/>
      <c r="DJ710" s="43"/>
      <c r="DK710" s="43"/>
      <c r="DL710" s="43"/>
      <c r="DM710" s="43"/>
      <c r="DN710" s="43"/>
      <c r="DO710" s="43"/>
      <c r="DP710" s="43"/>
      <c r="DQ710" s="43"/>
      <c r="DR710" s="43"/>
      <c r="DS710" s="43"/>
      <c r="DT710" s="43"/>
      <c r="DU710" s="43"/>
      <c r="DV710" s="43"/>
      <c r="DW710" s="43"/>
      <c r="DX710" s="43"/>
      <c r="DY710" s="43"/>
      <c r="DZ710" s="43"/>
      <c r="EA710" s="43"/>
      <c r="EB710" s="43"/>
      <c r="EC710" s="43"/>
      <c r="ED710" s="43"/>
      <c r="EE710" s="43"/>
      <c r="EF710" s="43"/>
      <c r="EG710" s="43"/>
      <c r="EH710" s="43"/>
      <c r="EI710" s="43"/>
      <c r="EJ710" s="43"/>
      <c r="EK710" s="43"/>
      <c r="EL710" s="43"/>
      <c r="EM710" s="43"/>
      <c r="EN710" s="43"/>
      <c r="EO710" s="43"/>
      <c r="EP710" s="43"/>
      <c r="EQ710" s="43"/>
      <c r="ER710" s="43"/>
      <c r="ES710" s="43"/>
      <c r="ET710" s="43"/>
      <c r="EU710" s="43"/>
      <c r="EV710" s="43"/>
      <c r="EW710" s="43"/>
      <c r="EX710" s="43"/>
      <c r="EY710" s="43"/>
      <c r="EZ710" s="43"/>
      <c r="FA710" s="43"/>
      <c r="FB710" s="43"/>
      <c r="FC710" s="43"/>
      <c r="FD710" s="43"/>
      <c r="FE710" s="43"/>
      <c r="FF710" s="43"/>
      <c r="FG710" s="43"/>
      <c r="FH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43"/>
      <c r="BP711" s="43"/>
      <c r="BQ711" s="43"/>
      <c r="BR711" s="43"/>
      <c r="BS711" s="43"/>
      <c r="BT711" s="43"/>
      <c r="BU711" s="43"/>
      <c r="BV711" s="43"/>
      <c r="BW711" s="43"/>
      <c r="BX711" s="43"/>
      <c r="BY711" s="43"/>
      <c r="BZ711" s="43"/>
      <c r="CA711" s="43"/>
      <c r="CB711" s="43"/>
      <c r="CC711" s="43"/>
      <c r="CD711" s="43"/>
      <c r="CE711" s="43"/>
      <c r="CF711" s="43"/>
      <c r="CG711" s="43"/>
      <c r="CH711" s="43"/>
      <c r="CI711" s="43"/>
      <c r="CJ711" s="43"/>
      <c r="CK711" s="43"/>
      <c r="CL711" s="43"/>
      <c r="CM711" s="43"/>
      <c r="CN711" s="43"/>
      <c r="CO711" s="43"/>
      <c r="CP711" s="43"/>
      <c r="CQ711" s="43"/>
      <c r="CR711" s="43"/>
      <c r="CS711" s="43"/>
      <c r="CT711" s="43"/>
      <c r="CU711" s="43"/>
      <c r="CV711" s="43"/>
      <c r="CW711" s="43"/>
      <c r="CX711" s="43"/>
      <c r="CY711" s="43"/>
      <c r="CZ711" s="43"/>
      <c r="DA711" s="43"/>
      <c r="DB711" s="43"/>
      <c r="DC711" s="43"/>
      <c r="DD711" s="43"/>
      <c r="DE711" s="43"/>
      <c r="DF711" s="43"/>
      <c r="DG711" s="43"/>
      <c r="DH711" s="43"/>
      <c r="DI711" s="43"/>
      <c r="DJ711" s="43"/>
      <c r="DK711" s="43"/>
      <c r="DL711" s="43"/>
      <c r="DM711" s="43"/>
      <c r="DN711" s="43"/>
      <c r="DO711" s="43"/>
      <c r="DP711" s="43"/>
      <c r="DQ711" s="43"/>
      <c r="DR711" s="43"/>
      <c r="DS711" s="43"/>
      <c r="DT711" s="43"/>
      <c r="DU711" s="43"/>
      <c r="DV711" s="43"/>
      <c r="DW711" s="43"/>
      <c r="DX711" s="43"/>
      <c r="DY711" s="43"/>
      <c r="DZ711" s="43"/>
      <c r="EA711" s="43"/>
      <c r="EB711" s="43"/>
      <c r="EC711" s="43"/>
      <c r="ED711" s="43"/>
      <c r="EE711" s="43"/>
      <c r="EF711" s="43"/>
      <c r="EG711" s="43"/>
      <c r="EH711" s="43"/>
      <c r="EI711" s="43"/>
      <c r="EJ711" s="43"/>
      <c r="EK711" s="43"/>
      <c r="EL711" s="43"/>
      <c r="EM711" s="43"/>
      <c r="EN711" s="43"/>
      <c r="EO711" s="43"/>
      <c r="EP711" s="43"/>
      <c r="EQ711" s="43"/>
      <c r="ER711" s="43"/>
      <c r="ES711" s="43"/>
      <c r="ET711" s="43"/>
      <c r="EU711" s="43"/>
      <c r="EV711" s="43"/>
      <c r="EW711" s="43"/>
      <c r="EX711" s="43"/>
      <c r="EY711" s="43"/>
      <c r="EZ711" s="43"/>
      <c r="FA711" s="43"/>
      <c r="FB711" s="43"/>
      <c r="FC711" s="43"/>
      <c r="FD711" s="43"/>
      <c r="FE711" s="43"/>
      <c r="FF711" s="43"/>
      <c r="FG711" s="43"/>
      <c r="FH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43"/>
      <c r="BP712" s="43"/>
      <c r="BQ712" s="43"/>
      <c r="BR712" s="43"/>
      <c r="BS712" s="43"/>
      <c r="BT712" s="43"/>
      <c r="BU712" s="43"/>
      <c r="BV712" s="43"/>
      <c r="BW712" s="43"/>
      <c r="BX712" s="43"/>
      <c r="BY712" s="43"/>
      <c r="BZ712" s="43"/>
      <c r="CA712" s="43"/>
      <c r="CB712" s="43"/>
      <c r="CC712" s="43"/>
      <c r="CD712" s="43"/>
      <c r="CE712" s="43"/>
      <c r="CF712" s="43"/>
      <c r="CG712" s="43"/>
      <c r="CH712" s="43"/>
      <c r="CI712" s="43"/>
      <c r="CJ712" s="43"/>
      <c r="CK712" s="43"/>
      <c r="CL712" s="43"/>
      <c r="CM712" s="43"/>
      <c r="CN712" s="43"/>
      <c r="CO712" s="43"/>
      <c r="CP712" s="43"/>
      <c r="CQ712" s="43"/>
      <c r="CR712" s="43"/>
      <c r="CS712" s="43"/>
      <c r="CT712" s="43"/>
      <c r="CU712" s="43"/>
      <c r="CV712" s="43"/>
      <c r="CW712" s="43"/>
      <c r="CX712" s="43"/>
      <c r="CY712" s="43"/>
      <c r="CZ712" s="43"/>
      <c r="DA712" s="43"/>
      <c r="DB712" s="43"/>
      <c r="DC712" s="43"/>
      <c r="DD712" s="43"/>
      <c r="DE712" s="43"/>
      <c r="DF712" s="43"/>
      <c r="DG712" s="43"/>
      <c r="DH712" s="43"/>
      <c r="DI712" s="43"/>
      <c r="DJ712" s="43"/>
      <c r="DK712" s="43"/>
      <c r="DL712" s="43"/>
      <c r="DM712" s="43"/>
      <c r="DN712" s="43"/>
      <c r="DO712" s="43"/>
      <c r="DP712" s="43"/>
      <c r="DQ712" s="43"/>
      <c r="DR712" s="43"/>
      <c r="DS712" s="43"/>
      <c r="DT712" s="43"/>
      <c r="DU712" s="43"/>
      <c r="DV712" s="43"/>
      <c r="DW712" s="43"/>
      <c r="DX712" s="43"/>
      <c r="DY712" s="43"/>
      <c r="DZ712" s="43"/>
      <c r="EA712" s="43"/>
      <c r="EB712" s="43"/>
      <c r="EC712" s="43"/>
      <c r="ED712" s="43"/>
      <c r="EE712" s="43"/>
      <c r="EF712" s="43"/>
      <c r="EG712" s="43"/>
      <c r="EH712" s="43"/>
      <c r="EI712" s="43"/>
      <c r="EJ712" s="43"/>
      <c r="EK712" s="43"/>
      <c r="EL712" s="43"/>
      <c r="EM712" s="43"/>
      <c r="EN712" s="43"/>
      <c r="EO712" s="43"/>
      <c r="EP712" s="43"/>
      <c r="EQ712" s="43"/>
      <c r="ER712" s="43"/>
      <c r="ES712" s="43"/>
      <c r="ET712" s="43"/>
      <c r="EU712" s="43"/>
      <c r="EV712" s="43"/>
      <c r="EW712" s="43"/>
      <c r="EX712" s="43"/>
      <c r="EY712" s="43"/>
      <c r="EZ712" s="43"/>
      <c r="FA712" s="43"/>
      <c r="FB712" s="43"/>
      <c r="FC712" s="43"/>
      <c r="FD712" s="43"/>
      <c r="FE712" s="43"/>
      <c r="FF712" s="43"/>
      <c r="FG712" s="43"/>
      <c r="FH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43"/>
      <c r="BP713" s="43"/>
      <c r="BQ713" s="43"/>
      <c r="BR713" s="43"/>
      <c r="BS713" s="43"/>
      <c r="BT713" s="43"/>
      <c r="BU713" s="43"/>
      <c r="BV713" s="43"/>
      <c r="BW713" s="43"/>
      <c r="BX713" s="43"/>
      <c r="BY713" s="43"/>
      <c r="BZ713" s="43"/>
      <c r="CA713" s="43"/>
      <c r="CB713" s="43"/>
      <c r="CC713" s="43"/>
      <c r="CD713" s="43"/>
      <c r="CE713" s="43"/>
      <c r="CF713" s="43"/>
      <c r="CG713" s="43"/>
      <c r="CH713" s="43"/>
      <c r="CI713" s="43"/>
      <c r="CJ713" s="43"/>
      <c r="CK713" s="43"/>
      <c r="CL713" s="43"/>
      <c r="CM713" s="43"/>
      <c r="CN713" s="43"/>
      <c r="CO713" s="43"/>
      <c r="CP713" s="43"/>
      <c r="CQ713" s="43"/>
      <c r="CR713" s="43"/>
      <c r="CS713" s="43"/>
      <c r="CT713" s="43"/>
      <c r="CU713" s="43"/>
      <c r="CV713" s="43"/>
      <c r="CW713" s="43"/>
      <c r="CX713" s="43"/>
      <c r="CY713" s="43"/>
      <c r="CZ713" s="43"/>
      <c r="DA713" s="43"/>
      <c r="DB713" s="43"/>
      <c r="DC713" s="43"/>
      <c r="DD713" s="43"/>
      <c r="DE713" s="43"/>
      <c r="DF713" s="43"/>
      <c r="DG713" s="43"/>
      <c r="DH713" s="43"/>
      <c r="DI713" s="43"/>
      <c r="DJ713" s="43"/>
      <c r="DK713" s="43"/>
      <c r="DL713" s="43"/>
      <c r="DM713" s="43"/>
      <c r="DN713" s="43"/>
      <c r="DO713" s="43"/>
      <c r="DP713" s="43"/>
      <c r="DQ713" s="43"/>
      <c r="DR713" s="43"/>
      <c r="DS713" s="43"/>
      <c r="DT713" s="43"/>
      <c r="DU713" s="43"/>
      <c r="DV713" s="43"/>
      <c r="DW713" s="43"/>
      <c r="DX713" s="43"/>
      <c r="DY713" s="43"/>
      <c r="DZ713" s="43"/>
      <c r="EA713" s="43"/>
      <c r="EB713" s="43"/>
      <c r="EC713" s="43"/>
      <c r="ED713" s="43"/>
      <c r="EE713" s="43"/>
      <c r="EF713" s="43"/>
      <c r="EG713" s="43"/>
      <c r="EH713" s="43"/>
      <c r="EI713" s="43"/>
      <c r="EJ713" s="43"/>
      <c r="EK713" s="43"/>
      <c r="EL713" s="43"/>
      <c r="EM713" s="43"/>
      <c r="EN713" s="43"/>
      <c r="EO713" s="43"/>
      <c r="EP713" s="43"/>
      <c r="EQ713" s="43"/>
      <c r="ER713" s="43"/>
      <c r="ES713" s="43"/>
      <c r="ET713" s="43"/>
      <c r="EU713" s="43"/>
      <c r="EV713" s="43"/>
      <c r="EW713" s="43"/>
      <c r="EX713" s="43"/>
      <c r="EY713" s="43"/>
      <c r="EZ713" s="43"/>
      <c r="FA713" s="43"/>
      <c r="FB713" s="43"/>
      <c r="FC713" s="43"/>
      <c r="FD713" s="43"/>
      <c r="FE713" s="43"/>
      <c r="FF713" s="43"/>
      <c r="FG713" s="43"/>
      <c r="FH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43"/>
      <c r="BP714" s="43"/>
      <c r="BQ714" s="43"/>
      <c r="BR714" s="43"/>
      <c r="BS714" s="43"/>
      <c r="BT714" s="43"/>
      <c r="BU714" s="43"/>
      <c r="BV714" s="43"/>
      <c r="BW714" s="43"/>
      <c r="BX714" s="43"/>
      <c r="BY714" s="43"/>
      <c r="BZ714" s="43"/>
      <c r="CA714" s="43"/>
      <c r="CB714" s="43"/>
      <c r="CC714" s="43"/>
      <c r="CD714" s="43"/>
      <c r="CE714" s="43"/>
      <c r="CF714" s="43"/>
      <c r="CG714" s="43"/>
      <c r="CH714" s="43"/>
      <c r="CI714" s="43"/>
      <c r="CJ714" s="43"/>
      <c r="CK714" s="43"/>
      <c r="CL714" s="43"/>
      <c r="CM714" s="43"/>
      <c r="CN714" s="43"/>
      <c r="CO714" s="43"/>
      <c r="CP714" s="43"/>
      <c r="CQ714" s="43"/>
      <c r="CR714" s="43"/>
      <c r="CS714" s="43"/>
      <c r="CT714" s="43"/>
      <c r="CU714" s="43"/>
      <c r="CV714" s="43"/>
      <c r="CW714" s="43"/>
      <c r="CX714" s="43"/>
      <c r="CY714" s="43"/>
      <c r="CZ714" s="43"/>
      <c r="DA714" s="43"/>
      <c r="DB714" s="43"/>
      <c r="DC714" s="43"/>
      <c r="DD714" s="43"/>
      <c r="DE714" s="43"/>
      <c r="DF714" s="43"/>
      <c r="DG714" s="43"/>
      <c r="DH714" s="43"/>
      <c r="DI714" s="43"/>
      <c r="DJ714" s="43"/>
      <c r="DK714" s="43"/>
      <c r="DL714" s="43"/>
      <c r="DM714" s="43"/>
      <c r="DN714" s="43"/>
      <c r="DO714" s="43"/>
      <c r="DP714" s="43"/>
      <c r="DQ714" s="43"/>
      <c r="DR714" s="43"/>
      <c r="DS714" s="43"/>
      <c r="DT714" s="43"/>
      <c r="DU714" s="43"/>
      <c r="DV714" s="43"/>
      <c r="DW714" s="43"/>
      <c r="DX714" s="43"/>
      <c r="DY714" s="43"/>
      <c r="DZ714" s="43"/>
      <c r="EA714" s="43"/>
      <c r="EB714" s="43"/>
      <c r="EC714" s="43"/>
      <c r="ED714" s="43"/>
      <c r="EE714" s="43"/>
      <c r="EF714" s="43"/>
      <c r="EG714" s="43"/>
      <c r="EH714" s="43"/>
      <c r="EI714" s="43"/>
      <c r="EJ714" s="43"/>
      <c r="EK714" s="43"/>
      <c r="EL714" s="43"/>
      <c r="EM714" s="43"/>
      <c r="EN714" s="43"/>
      <c r="EO714" s="43"/>
      <c r="EP714" s="43"/>
      <c r="EQ714" s="43"/>
      <c r="ER714" s="43"/>
      <c r="ES714" s="43"/>
      <c r="ET714" s="43"/>
      <c r="EU714" s="43"/>
      <c r="EV714" s="43"/>
      <c r="EW714" s="43"/>
      <c r="EX714" s="43"/>
      <c r="EY714" s="43"/>
      <c r="EZ714" s="43"/>
      <c r="FA714" s="43"/>
      <c r="FB714" s="43"/>
      <c r="FC714" s="43"/>
      <c r="FD714" s="43"/>
      <c r="FE714" s="43"/>
      <c r="FF714" s="43"/>
      <c r="FG714" s="43"/>
      <c r="FH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c r="BO715" s="43"/>
      <c r="BP715" s="43"/>
      <c r="BQ715" s="43"/>
      <c r="BR715" s="43"/>
      <c r="BS715" s="43"/>
      <c r="BT715" s="43"/>
      <c r="BU715" s="43"/>
      <c r="BV715" s="43"/>
      <c r="BW715" s="43"/>
      <c r="BX715" s="43"/>
      <c r="BY715" s="43"/>
      <c r="BZ715" s="43"/>
      <c r="CA715" s="43"/>
      <c r="CB715" s="43"/>
      <c r="CC715" s="43"/>
      <c r="CD715" s="43"/>
      <c r="CE715" s="43"/>
      <c r="CF715" s="43"/>
      <c r="CG715" s="43"/>
      <c r="CH715" s="43"/>
      <c r="CI715" s="43"/>
      <c r="CJ715" s="43"/>
      <c r="CK715" s="43"/>
      <c r="CL715" s="43"/>
      <c r="CM715" s="43"/>
      <c r="CN715" s="43"/>
      <c r="CO715" s="43"/>
      <c r="CP715" s="43"/>
      <c r="CQ715" s="43"/>
      <c r="CR715" s="43"/>
      <c r="CS715" s="43"/>
      <c r="CT715" s="43"/>
      <c r="CU715" s="43"/>
      <c r="CV715" s="43"/>
      <c r="CW715" s="43"/>
      <c r="CX715" s="43"/>
      <c r="CY715" s="43"/>
      <c r="CZ715" s="43"/>
      <c r="DA715" s="43"/>
      <c r="DB715" s="43"/>
      <c r="DC715" s="43"/>
      <c r="DD715" s="43"/>
      <c r="DE715" s="43"/>
      <c r="DF715" s="43"/>
      <c r="DG715" s="43"/>
      <c r="DH715" s="43"/>
      <c r="DI715" s="43"/>
      <c r="DJ715" s="43"/>
      <c r="DK715" s="43"/>
      <c r="DL715" s="43"/>
      <c r="DM715" s="43"/>
      <c r="DN715" s="43"/>
      <c r="DO715" s="43"/>
      <c r="DP715" s="43"/>
      <c r="DQ715" s="43"/>
      <c r="DR715" s="43"/>
      <c r="DS715" s="43"/>
      <c r="DT715" s="43"/>
      <c r="DU715" s="43"/>
      <c r="DV715" s="43"/>
      <c r="DW715" s="43"/>
      <c r="DX715" s="43"/>
      <c r="DY715" s="43"/>
      <c r="DZ715" s="43"/>
      <c r="EA715" s="43"/>
      <c r="EB715" s="43"/>
      <c r="EC715" s="43"/>
      <c r="ED715" s="43"/>
      <c r="EE715" s="43"/>
      <c r="EF715" s="43"/>
      <c r="EG715" s="43"/>
      <c r="EH715" s="43"/>
      <c r="EI715" s="43"/>
      <c r="EJ715" s="43"/>
      <c r="EK715" s="43"/>
      <c r="EL715" s="43"/>
      <c r="EM715" s="43"/>
      <c r="EN715" s="43"/>
      <c r="EO715" s="43"/>
      <c r="EP715" s="43"/>
      <c r="EQ715" s="43"/>
      <c r="ER715" s="43"/>
      <c r="ES715" s="43"/>
      <c r="ET715" s="43"/>
      <c r="EU715" s="43"/>
      <c r="EV715" s="43"/>
      <c r="EW715" s="43"/>
      <c r="EX715" s="43"/>
      <c r="EY715" s="43"/>
      <c r="EZ715" s="43"/>
      <c r="FA715" s="43"/>
      <c r="FB715" s="43"/>
      <c r="FC715" s="43"/>
      <c r="FD715" s="43"/>
      <c r="FE715" s="43"/>
      <c r="FF715" s="43"/>
      <c r="FG715" s="43"/>
      <c r="FH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c r="BO716" s="43"/>
      <c r="BP716" s="43"/>
      <c r="BQ716" s="43"/>
      <c r="BR716" s="43"/>
      <c r="BS716" s="43"/>
      <c r="BT716" s="43"/>
      <c r="BU716" s="43"/>
      <c r="BV716" s="43"/>
      <c r="BW716" s="43"/>
      <c r="BX716" s="43"/>
      <c r="BY716" s="43"/>
      <c r="BZ716" s="43"/>
      <c r="CA716" s="43"/>
      <c r="CB716" s="43"/>
      <c r="CC716" s="43"/>
      <c r="CD716" s="43"/>
      <c r="CE716" s="43"/>
      <c r="CF716" s="43"/>
      <c r="CG716" s="43"/>
      <c r="CH716" s="43"/>
      <c r="CI716" s="43"/>
      <c r="CJ716" s="43"/>
      <c r="CK716" s="43"/>
      <c r="CL716" s="43"/>
      <c r="CM716" s="43"/>
      <c r="CN716" s="43"/>
      <c r="CO716" s="43"/>
      <c r="CP716" s="43"/>
      <c r="CQ716" s="43"/>
      <c r="CR716" s="43"/>
      <c r="CS716" s="43"/>
      <c r="CT716" s="43"/>
      <c r="CU716" s="43"/>
      <c r="CV716" s="43"/>
      <c r="CW716" s="43"/>
      <c r="CX716" s="43"/>
      <c r="CY716" s="43"/>
      <c r="CZ716" s="43"/>
      <c r="DA716" s="43"/>
      <c r="DB716" s="43"/>
      <c r="DC716" s="43"/>
      <c r="DD716" s="43"/>
      <c r="DE716" s="43"/>
      <c r="DF716" s="43"/>
      <c r="DG716" s="43"/>
      <c r="DH716" s="43"/>
      <c r="DI716" s="43"/>
      <c r="DJ716" s="43"/>
      <c r="DK716" s="43"/>
      <c r="DL716" s="43"/>
      <c r="DM716" s="43"/>
      <c r="DN716" s="43"/>
      <c r="DO716" s="43"/>
      <c r="DP716" s="43"/>
      <c r="DQ716" s="43"/>
      <c r="DR716" s="43"/>
      <c r="DS716" s="43"/>
      <c r="DT716" s="43"/>
      <c r="DU716" s="43"/>
      <c r="DV716" s="43"/>
      <c r="DW716" s="43"/>
      <c r="DX716" s="43"/>
      <c r="DY716" s="43"/>
      <c r="DZ716" s="43"/>
      <c r="EA716" s="43"/>
      <c r="EB716" s="43"/>
      <c r="EC716" s="43"/>
      <c r="ED716" s="43"/>
      <c r="EE716" s="43"/>
      <c r="EF716" s="43"/>
      <c r="EG716" s="43"/>
      <c r="EH716" s="43"/>
      <c r="EI716" s="43"/>
      <c r="EJ716" s="43"/>
      <c r="EK716" s="43"/>
      <c r="EL716" s="43"/>
      <c r="EM716" s="43"/>
      <c r="EN716" s="43"/>
      <c r="EO716" s="43"/>
      <c r="EP716" s="43"/>
      <c r="EQ716" s="43"/>
      <c r="ER716" s="43"/>
      <c r="ES716" s="43"/>
      <c r="ET716" s="43"/>
      <c r="EU716" s="43"/>
      <c r="EV716" s="43"/>
      <c r="EW716" s="43"/>
      <c r="EX716" s="43"/>
      <c r="EY716" s="43"/>
      <c r="EZ716" s="43"/>
      <c r="FA716" s="43"/>
      <c r="FB716" s="43"/>
      <c r="FC716" s="43"/>
      <c r="FD716" s="43"/>
      <c r="FE716" s="43"/>
      <c r="FF716" s="43"/>
      <c r="FG716" s="43"/>
      <c r="FH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c r="BO717" s="43"/>
      <c r="BP717" s="43"/>
      <c r="BQ717" s="43"/>
      <c r="BR717" s="43"/>
      <c r="BS717" s="43"/>
      <c r="BT717" s="43"/>
      <c r="BU717" s="43"/>
      <c r="BV717" s="43"/>
      <c r="BW717" s="43"/>
      <c r="BX717" s="43"/>
      <c r="BY717" s="43"/>
      <c r="BZ717" s="43"/>
      <c r="CA717" s="43"/>
      <c r="CB717" s="43"/>
      <c r="CC717" s="43"/>
      <c r="CD717" s="43"/>
      <c r="CE717" s="43"/>
      <c r="CF717" s="43"/>
      <c r="CG717" s="43"/>
      <c r="CH717" s="43"/>
      <c r="CI717" s="43"/>
      <c r="CJ717" s="43"/>
      <c r="CK717" s="43"/>
      <c r="CL717" s="43"/>
      <c r="CM717" s="43"/>
      <c r="CN717" s="43"/>
      <c r="CO717" s="43"/>
      <c r="CP717" s="43"/>
      <c r="CQ717" s="43"/>
      <c r="CR717" s="43"/>
      <c r="CS717" s="43"/>
      <c r="CT717" s="43"/>
      <c r="CU717" s="43"/>
      <c r="CV717" s="43"/>
      <c r="CW717" s="43"/>
      <c r="CX717" s="43"/>
      <c r="CY717" s="43"/>
      <c r="CZ717" s="43"/>
      <c r="DA717" s="43"/>
      <c r="DB717" s="43"/>
      <c r="DC717" s="43"/>
      <c r="DD717" s="43"/>
      <c r="DE717" s="43"/>
      <c r="DF717" s="43"/>
      <c r="DG717" s="43"/>
      <c r="DH717" s="43"/>
      <c r="DI717" s="43"/>
      <c r="DJ717" s="43"/>
      <c r="DK717" s="43"/>
      <c r="DL717" s="43"/>
      <c r="DM717" s="43"/>
      <c r="DN717" s="43"/>
      <c r="DO717" s="43"/>
      <c r="DP717" s="43"/>
      <c r="DQ717" s="43"/>
      <c r="DR717" s="43"/>
      <c r="DS717" s="43"/>
      <c r="DT717" s="43"/>
      <c r="DU717" s="43"/>
      <c r="DV717" s="43"/>
      <c r="DW717" s="43"/>
      <c r="DX717" s="43"/>
      <c r="DY717" s="43"/>
      <c r="DZ717" s="43"/>
      <c r="EA717" s="43"/>
      <c r="EB717" s="43"/>
      <c r="EC717" s="43"/>
      <c r="ED717" s="43"/>
      <c r="EE717" s="43"/>
      <c r="EF717" s="43"/>
      <c r="EG717" s="43"/>
      <c r="EH717" s="43"/>
      <c r="EI717" s="43"/>
      <c r="EJ717" s="43"/>
      <c r="EK717" s="43"/>
      <c r="EL717" s="43"/>
      <c r="EM717" s="43"/>
      <c r="EN717" s="43"/>
      <c r="EO717" s="43"/>
      <c r="EP717" s="43"/>
      <c r="EQ717" s="43"/>
      <c r="ER717" s="43"/>
      <c r="ES717" s="43"/>
      <c r="ET717" s="43"/>
      <c r="EU717" s="43"/>
      <c r="EV717" s="43"/>
      <c r="EW717" s="43"/>
      <c r="EX717" s="43"/>
      <c r="EY717" s="43"/>
      <c r="EZ717" s="43"/>
      <c r="FA717" s="43"/>
      <c r="FB717" s="43"/>
      <c r="FC717" s="43"/>
      <c r="FD717" s="43"/>
      <c r="FE717" s="43"/>
      <c r="FF717" s="43"/>
      <c r="FG717" s="43"/>
      <c r="FH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c r="BO718" s="43"/>
      <c r="BP718" s="43"/>
      <c r="BQ718" s="43"/>
      <c r="BR718" s="43"/>
      <c r="BS718" s="43"/>
      <c r="BT718" s="43"/>
      <c r="BU718" s="43"/>
      <c r="BV718" s="43"/>
      <c r="BW718" s="43"/>
      <c r="BX718" s="43"/>
      <c r="BY718" s="43"/>
      <c r="BZ718" s="43"/>
      <c r="CA718" s="43"/>
      <c r="CB718" s="43"/>
      <c r="CC718" s="43"/>
      <c r="CD718" s="43"/>
      <c r="CE718" s="43"/>
      <c r="CF718" s="43"/>
      <c r="CG718" s="43"/>
      <c r="CH718" s="43"/>
      <c r="CI718" s="43"/>
      <c r="CJ718" s="43"/>
      <c r="CK718" s="43"/>
      <c r="CL718" s="43"/>
      <c r="CM718" s="43"/>
      <c r="CN718" s="43"/>
      <c r="CO718" s="43"/>
      <c r="CP718" s="43"/>
      <c r="CQ718" s="43"/>
      <c r="CR718" s="43"/>
      <c r="CS718" s="43"/>
      <c r="CT718" s="43"/>
      <c r="CU718" s="43"/>
      <c r="CV718" s="43"/>
      <c r="CW718" s="43"/>
      <c r="CX718" s="43"/>
      <c r="CY718" s="43"/>
      <c r="CZ718" s="43"/>
      <c r="DA718" s="43"/>
      <c r="DB718" s="43"/>
      <c r="DC718" s="43"/>
      <c r="DD718" s="43"/>
      <c r="DE718" s="43"/>
      <c r="DF718" s="43"/>
      <c r="DG718" s="43"/>
      <c r="DH718" s="43"/>
      <c r="DI718" s="43"/>
      <c r="DJ718" s="43"/>
      <c r="DK718" s="43"/>
      <c r="DL718" s="43"/>
      <c r="DM718" s="43"/>
      <c r="DN718" s="43"/>
      <c r="DO718" s="43"/>
      <c r="DP718" s="43"/>
      <c r="DQ718" s="43"/>
      <c r="DR718" s="43"/>
      <c r="DS718" s="43"/>
      <c r="DT718" s="43"/>
      <c r="DU718" s="43"/>
      <c r="DV718" s="43"/>
      <c r="DW718" s="43"/>
      <c r="DX718" s="43"/>
      <c r="DY718" s="43"/>
      <c r="DZ718" s="43"/>
      <c r="EA718" s="43"/>
      <c r="EB718" s="43"/>
      <c r="EC718" s="43"/>
      <c r="ED718" s="43"/>
      <c r="EE718" s="43"/>
      <c r="EF718" s="43"/>
      <c r="EG718" s="43"/>
      <c r="EH718" s="43"/>
      <c r="EI718" s="43"/>
      <c r="EJ718" s="43"/>
      <c r="EK718" s="43"/>
      <c r="EL718" s="43"/>
      <c r="EM718" s="43"/>
      <c r="EN718" s="43"/>
      <c r="EO718" s="43"/>
      <c r="EP718" s="43"/>
      <c r="EQ718" s="43"/>
      <c r="ER718" s="43"/>
      <c r="ES718" s="43"/>
      <c r="ET718" s="43"/>
      <c r="EU718" s="43"/>
      <c r="EV718" s="43"/>
      <c r="EW718" s="43"/>
      <c r="EX718" s="43"/>
      <c r="EY718" s="43"/>
      <c r="EZ718" s="43"/>
      <c r="FA718" s="43"/>
      <c r="FB718" s="43"/>
      <c r="FC718" s="43"/>
      <c r="FD718" s="43"/>
      <c r="FE718" s="43"/>
      <c r="FF718" s="43"/>
      <c r="FG718" s="43"/>
      <c r="FH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c r="BO719" s="43"/>
      <c r="BP719" s="43"/>
      <c r="BQ719" s="43"/>
      <c r="BR719" s="43"/>
      <c r="BS719" s="43"/>
      <c r="BT719" s="43"/>
      <c r="BU719" s="43"/>
      <c r="BV719" s="43"/>
      <c r="BW719" s="43"/>
      <c r="BX719" s="43"/>
      <c r="BY719" s="43"/>
      <c r="BZ719" s="43"/>
      <c r="CA719" s="43"/>
      <c r="CB719" s="43"/>
      <c r="CC719" s="43"/>
      <c r="CD719" s="43"/>
      <c r="CE719" s="43"/>
      <c r="CF719" s="43"/>
      <c r="CG719" s="43"/>
      <c r="CH719" s="43"/>
      <c r="CI719" s="43"/>
      <c r="CJ719" s="43"/>
      <c r="CK719" s="43"/>
      <c r="CL719" s="43"/>
      <c r="CM719" s="43"/>
      <c r="CN719" s="43"/>
      <c r="CO719" s="43"/>
      <c r="CP719" s="43"/>
      <c r="CQ719" s="43"/>
      <c r="CR719" s="43"/>
      <c r="CS719" s="43"/>
      <c r="CT719" s="43"/>
      <c r="CU719" s="43"/>
      <c r="CV719" s="43"/>
      <c r="CW719" s="43"/>
      <c r="CX719" s="43"/>
      <c r="CY719" s="43"/>
      <c r="CZ719" s="43"/>
      <c r="DA719" s="43"/>
      <c r="DB719" s="43"/>
      <c r="DC719" s="43"/>
      <c r="DD719" s="43"/>
      <c r="DE719" s="43"/>
      <c r="DF719" s="43"/>
      <c r="DG719" s="43"/>
      <c r="DH719" s="43"/>
      <c r="DI719" s="43"/>
      <c r="DJ719" s="43"/>
      <c r="DK719" s="43"/>
      <c r="DL719" s="43"/>
      <c r="DM719" s="43"/>
      <c r="DN719" s="43"/>
      <c r="DO719" s="43"/>
      <c r="DP719" s="43"/>
      <c r="DQ719" s="43"/>
      <c r="DR719" s="43"/>
      <c r="DS719" s="43"/>
      <c r="DT719" s="43"/>
      <c r="DU719" s="43"/>
      <c r="DV719" s="43"/>
      <c r="DW719" s="43"/>
      <c r="DX719" s="43"/>
      <c r="DY719" s="43"/>
      <c r="DZ719" s="43"/>
      <c r="EA719" s="43"/>
      <c r="EB719" s="43"/>
      <c r="EC719" s="43"/>
      <c r="ED719" s="43"/>
      <c r="EE719" s="43"/>
      <c r="EF719" s="43"/>
      <c r="EG719" s="43"/>
      <c r="EH719" s="43"/>
      <c r="EI719" s="43"/>
      <c r="EJ719" s="43"/>
      <c r="EK719" s="43"/>
      <c r="EL719" s="43"/>
      <c r="EM719" s="43"/>
      <c r="EN719" s="43"/>
      <c r="EO719" s="43"/>
      <c r="EP719" s="43"/>
      <c r="EQ719" s="43"/>
      <c r="ER719" s="43"/>
      <c r="ES719" s="43"/>
      <c r="ET719" s="43"/>
      <c r="EU719" s="43"/>
      <c r="EV719" s="43"/>
      <c r="EW719" s="43"/>
      <c r="EX719" s="43"/>
      <c r="EY719" s="43"/>
      <c r="EZ719" s="43"/>
      <c r="FA719" s="43"/>
      <c r="FB719" s="43"/>
      <c r="FC719" s="43"/>
      <c r="FD719" s="43"/>
      <c r="FE719" s="43"/>
      <c r="FF719" s="43"/>
      <c r="FG719" s="43"/>
      <c r="FH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43"/>
      <c r="BP720" s="43"/>
      <c r="BQ720" s="43"/>
      <c r="BR720" s="43"/>
      <c r="BS720" s="43"/>
      <c r="BT720" s="43"/>
      <c r="BU720" s="43"/>
      <c r="BV720" s="43"/>
      <c r="BW720" s="43"/>
      <c r="BX720" s="43"/>
      <c r="BY720" s="43"/>
      <c r="BZ720" s="43"/>
      <c r="CA720" s="43"/>
      <c r="CB720" s="43"/>
      <c r="CC720" s="43"/>
      <c r="CD720" s="43"/>
      <c r="CE720" s="43"/>
      <c r="CF720" s="43"/>
      <c r="CG720" s="43"/>
      <c r="CH720" s="43"/>
      <c r="CI720" s="43"/>
      <c r="CJ720" s="43"/>
      <c r="CK720" s="43"/>
      <c r="CL720" s="43"/>
      <c r="CM720" s="43"/>
      <c r="CN720" s="43"/>
      <c r="CO720" s="43"/>
      <c r="CP720" s="43"/>
      <c r="CQ720" s="43"/>
      <c r="CR720" s="43"/>
      <c r="CS720" s="43"/>
      <c r="CT720" s="43"/>
      <c r="CU720" s="43"/>
      <c r="CV720" s="43"/>
      <c r="CW720" s="43"/>
      <c r="CX720" s="43"/>
      <c r="CY720" s="43"/>
      <c r="CZ720" s="43"/>
      <c r="DA720" s="43"/>
      <c r="DB720" s="43"/>
      <c r="DC720" s="43"/>
      <c r="DD720" s="43"/>
      <c r="DE720" s="43"/>
      <c r="DF720" s="43"/>
      <c r="DG720" s="43"/>
      <c r="DH720" s="43"/>
      <c r="DI720" s="43"/>
      <c r="DJ720" s="43"/>
      <c r="DK720" s="43"/>
      <c r="DL720" s="43"/>
      <c r="DM720" s="43"/>
      <c r="DN720" s="43"/>
      <c r="DO720" s="43"/>
      <c r="DP720" s="43"/>
      <c r="DQ720" s="43"/>
      <c r="DR720" s="43"/>
      <c r="DS720" s="43"/>
      <c r="DT720" s="43"/>
      <c r="DU720" s="43"/>
      <c r="DV720" s="43"/>
      <c r="DW720" s="43"/>
      <c r="DX720" s="43"/>
      <c r="DY720" s="43"/>
      <c r="DZ720" s="43"/>
      <c r="EA720" s="43"/>
      <c r="EB720" s="43"/>
      <c r="EC720" s="43"/>
      <c r="ED720" s="43"/>
      <c r="EE720" s="43"/>
      <c r="EF720" s="43"/>
      <c r="EG720" s="43"/>
      <c r="EH720" s="43"/>
      <c r="EI720" s="43"/>
      <c r="EJ720" s="43"/>
      <c r="EK720" s="43"/>
      <c r="EL720" s="43"/>
      <c r="EM720" s="43"/>
      <c r="EN720" s="43"/>
      <c r="EO720" s="43"/>
      <c r="EP720" s="43"/>
      <c r="EQ720" s="43"/>
      <c r="ER720" s="43"/>
      <c r="ES720" s="43"/>
      <c r="ET720" s="43"/>
      <c r="EU720" s="43"/>
      <c r="EV720" s="43"/>
      <c r="EW720" s="43"/>
      <c r="EX720" s="43"/>
      <c r="EY720" s="43"/>
      <c r="EZ720" s="43"/>
      <c r="FA720" s="43"/>
      <c r="FB720" s="43"/>
      <c r="FC720" s="43"/>
      <c r="FD720" s="43"/>
      <c r="FE720" s="43"/>
      <c r="FF720" s="43"/>
      <c r="FG720" s="43"/>
      <c r="FH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43"/>
      <c r="BP721" s="43"/>
      <c r="BQ721" s="43"/>
      <c r="BR721" s="43"/>
      <c r="BS721" s="43"/>
      <c r="BT721" s="43"/>
      <c r="BU721" s="43"/>
      <c r="BV721" s="43"/>
      <c r="BW721" s="43"/>
      <c r="BX721" s="43"/>
      <c r="BY721" s="43"/>
      <c r="BZ721" s="43"/>
      <c r="CA721" s="43"/>
      <c r="CB721" s="43"/>
      <c r="CC721" s="43"/>
      <c r="CD721" s="43"/>
      <c r="CE721" s="43"/>
      <c r="CF721" s="43"/>
      <c r="CG721" s="43"/>
      <c r="CH721" s="43"/>
      <c r="CI721" s="43"/>
      <c r="CJ721" s="43"/>
      <c r="CK721" s="43"/>
      <c r="CL721" s="43"/>
      <c r="CM721" s="43"/>
      <c r="CN721" s="43"/>
      <c r="CO721" s="43"/>
      <c r="CP721" s="43"/>
      <c r="CQ721" s="43"/>
      <c r="CR721" s="43"/>
      <c r="CS721" s="43"/>
      <c r="CT721" s="43"/>
      <c r="CU721" s="43"/>
      <c r="CV721" s="43"/>
      <c r="CW721" s="43"/>
      <c r="CX721" s="43"/>
      <c r="CY721" s="43"/>
      <c r="CZ721" s="43"/>
      <c r="DA721" s="43"/>
      <c r="DB721" s="43"/>
      <c r="DC721" s="43"/>
      <c r="DD721" s="43"/>
      <c r="DE721" s="43"/>
      <c r="DF721" s="43"/>
      <c r="DG721" s="43"/>
      <c r="DH721" s="43"/>
      <c r="DI721" s="43"/>
      <c r="DJ721" s="43"/>
      <c r="DK721" s="43"/>
      <c r="DL721" s="43"/>
      <c r="DM721" s="43"/>
      <c r="DN721" s="43"/>
      <c r="DO721" s="43"/>
      <c r="DP721" s="43"/>
      <c r="DQ721" s="43"/>
      <c r="DR721" s="43"/>
      <c r="DS721" s="43"/>
      <c r="DT721" s="43"/>
      <c r="DU721" s="43"/>
      <c r="DV721" s="43"/>
      <c r="DW721" s="43"/>
      <c r="DX721" s="43"/>
      <c r="DY721" s="43"/>
      <c r="DZ721" s="43"/>
      <c r="EA721" s="43"/>
      <c r="EB721" s="43"/>
      <c r="EC721" s="43"/>
      <c r="ED721" s="43"/>
      <c r="EE721" s="43"/>
      <c r="EF721" s="43"/>
      <c r="EG721" s="43"/>
      <c r="EH721" s="43"/>
      <c r="EI721" s="43"/>
      <c r="EJ721" s="43"/>
      <c r="EK721" s="43"/>
      <c r="EL721" s="43"/>
      <c r="EM721" s="43"/>
      <c r="EN721" s="43"/>
      <c r="EO721" s="43"/>
      <c r="EP721" s="43"/>
      <c r="EQ721" s="43"/>
      <c r="ER721" s="43"/>
      <c r="ES721" s="43"/>
      <c r="ET721" s="43"/>
      <c r="EU721" s="43"/>
      <c r="EV721" s="43"/>
      <c r="EW721" s="43"/>
      <c r="EX721" s="43"/>
      <c r="EY721" s="43"/>
      <c r="EZ721" s="43"/>
      <c r="FA721" s="43"/>
      <c r="FB721" s="43"/>
      <c r="FC721" s="43"/>
      <c r="FD721" s="43"/>
      <c r="FE721" s="43"/>
      <c r="FF721" s="43"/>
      <c r="FG721" s="43"/>
      <c r="FH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43"/>
      <c r="BP722" s="43"/>
      <c r="BQ722" s="43"/>
      <c r="BR722" s="43"/>
      <c r="BS722" s="43"/>
      <c r="BT722" s="43"/>
      <c r="BU722" s="43"/>
      <c r="BV722" s="43"/>
      <c r="BW722" s="43"/>
      <c r="BX722" s="43"/>
      <c r="BY722" s="43"/>
      <c r="BZ722" s="43"/>
      <c r="CA722" s="43"/>
      <c r="CB722" s="43"/>
      <c r="CC722" s="43"/>
      <c r="CD722" s="43"/>
      <c r="CE722" s="43"/>
      <c r="CF722" s="43"/>
      <c r="CG722" s="43"/>
      <c r="CH722" s="43"/>
      <c r="CI722" s="43"/>
      <c r="CJ722" s="43"/>
      <c r="CK722" s="43"/>
      <c r="CL722" s="43"/>
      <c r="CM722" s="43"/>
      <c r="CN722" s="43"/>
      <c r="CO722" s="43"/>
      <c r="CP722" s="43"/>
      <c r="CQ722" s="43"/>
      <c r="CR722" s="43"/>
      <c r="CS722" s="43"/>
      <c r="CT722" s="43"/>
      <c r="CU722" s="43"/>
      <c r="CV722" s="43"/>
      <c r="CW722" s="43"/>
      <c r="CX722" s="43"/>
      <c r="CY722" s="43"/>
      <c r="CZ722" s="43"/>
      <c r="DA722" s="43"/>
      <c r="DB722" s="43"/>
      <c r="DC722" s="43"/>
      <c r="DD722" s="43"/>
      <c r="DE722" s="43"/>
      <c r="DF722" s="43"/>
      <c r="DG722" s="43"/>
      <c r="DH722" s="43"/>
      <c r="DI722" s="43"/>
      <c r="DJ722" s="43"/>
      <c r="DK722" s="43"/>
      <c r="DL722" s="43"/>
      <c r="DM722" s="43"/>
      <c r="DN722" s="43"/>
      <c r="DO722" s="43"/>
      <c r="DP722" s="43"/>
      <c r="DQ722" s="43"/>
      <c r="DR722" s="43"/>
      <c r="DS722" s="43"/>
      <c r="DT722" s="43"/>
      <c r="DU722" s="43"/>
      <c r="DV722" s="43"/>
      <c r="DW722" s="43"/>
      <c r="DX722" s="43"/>
      <c r="DY722" s="43"/>
      <c r="DZ722" s="43"/>
      <c r="EA722" s="43"/>
      <c r="EB722" s="43"/>
      <c r="EC722" s="43"/>
      <c r="ED722" s="43"/>
      <c r="EE722" s="43"/>
      <c r="EF722" s="43"/>
      <c r="EG722" s="43"/>
      <c r="EH722" s="43"/>
      <c r="EI722" s="43"/>
      <c r="EJ722" s="43"/>
      <c r="EK722" s="43"/>
      <c r="EL722" s="43"/>
      <c r="EM722" s="43"/>
      <c r="EN722" s="43"/>
      <c r="EO722" s="43"/>
      <c r="EP722" s="43"/>
      <c r="EQ722" s="43"/>
      <c r="ER722" s="43"/>
      <c r="ES722" s="43"/>
      <c r="ET722" s="43"/>
      <c r="EU722" s="43"/>
      <c r="EV722" s="43"/>
      <c r="EW722" s="43"/>
      <c r="EX722" s="43"/>
      <c r="EY722" s="43"/>
      <c r="EZ722" s="43"/>
      <c r="FA722" s="43"/>
      <c r="FB722" s="43"/>
      <c r="FC722" s="43"/>
      <c r="FD722" s="43"/>
      <c r="FE722" s="43"/>
      <c r="FF722" s="43"/>
      <c r="FG722" s="43"/>
      <c r="FH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c r="BO723" s="43"/>
      <c r="BP723" s="43"/>
      <c r="BQ723" s="43"/>
      <c r="BR723" s="43"/>
      <c r="BS723" s="43"/>
      <c r="BT723" s="43"/>
      <c r="BU723" s="43"/>
      <c r="BV723" s="43"/>
      <c r="BW723" s="43"/>
      <c r="BX723" s="43"/>
      <c r="BY723" s="43"/>
      <c r="BZ723" s="43"/>
      <c r="CA723" s="43"/>
      <c r="CB723" s="43"/>
      <c r="CC723" s="43"/>
      <c r="CD723" s="43"/>
      <c r="CE723" s="43"/>
      <c r="CF723" s="43"/>
      <c r="CG723" s="43"/>
      <c r="CH723" s="43"/>
      <c r="CI723" s="43"/>
      <c r="CJ723" s="43"/>
      <c r="CK723" s="43"/>
      <c r="CL723" s="43"/>
      <c r="CM723" s="43"/>
      <c r="CN723" s="43"/>
      <c r="CO723" s="43"/>
      <c r="CP723" s="43"/>
      <c r="CQ723" s="43"/>
      <c r="CR723" s="43"/>
      <c r="CS723" s="43"/>
      <c r="CT723" s="43"/>
      <c r="CU723" s="43"/>
      <c r="CV723" s="43"/>
      <c r="CW723" s="43"/>
      <c r="CX723" s="43"/>
      <c r="CY723" s="43"/>
      <c r="CZ723" s="43"/>
      <c r="DA723" s="43"/>
      <c r="DB723" s="43"/>
      <c r="DC723" s="43"/>
      <c r="DD723" s="43"/>
      <c r="DE723" s="43"/>
      <c r="DF723" s="43"/>
      <c r="DG723" s="43"/>
      <c r="DH723" s="43"/>
      <c r="DI723" s="43"/>
      <c r="DJ723" s="43"/>
      <c r="DK723" s="43"/>
      <c r="DL723" s="43"/>
      <c r="DM723" s="43"/>
      <c r="DN723" s="43"/>
      <c r="DO723" s="43"/>
      <c r="DP723" s="43"/>
      <c r="DQ723" s="43"/>
      <c r="DR723" s="43"/>
      <c r="DS723" s="43"/>
      <c r="DT723" s="43"/>
      <c r="DU723" s="43"/>
      <c r="DV723" s="43"/>
      <c r="DW723" s="43"/>
      <c r="DX723" s="43"/>
      <c r="DY723" s="43"/>
      <c r="DZ723" s="43"/>
      <c r="EA723" s="43"/>
      <c r="EB723" s="43"/>
      <c r="EC723" s="43"/>
      <c r="ED723" s="43"/>
      <c r="EE723" s="43"/>
      <c r="EF723" s="43"/>
      <c r="EG723" s="43"/>
      <c r="EH723" s="43"/>
      <c r="EI723" s="43"/>
      <c r="EJ723" s="43"/>
      <c r="EK723" s="43"/>
      <c r="EL723" s="43"/>
      <c r="EM723" s="43"/>
      <c r="EN723" s="43"/>
      <c r="EO723" s="43"/>
      <c r="EP723" s="43"/>
      <c r="EQ723" s="43"/>
      <c r="ER723" s="43"/>
      <c r="ES723" s="43"/>
      <c r="ET723" s="43"/>
      <c r="EU723" s="43"/>
      <c r="EV723" s="43"/>
      <c r="EW723" s="43"/>
      <c r="EX723" s="43"/>
      <c r="EY723" s="43"/>
      <c r="EZ723" s="43"/>
      <c r="FA723" s="43"/>
      <c r="FB723" s="43"/>
      <c r="FC723" s="43"/>
      <c r="FD723" s="43"/>
      <c r="FE723" s="43"/>
      <c r="FF723" s="43"/>
      <c r="FG723" s="43"/>
      <c r="FH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43"/>
      <c r="BP724" s="43"/>
      <c r="BQ724" s="43"/>
      <c r="BR724" s="43"/>
      <c r="BS724" s="43"/>
      <c r="BT724" s="43"/>
      <c r="BU724" s="43"/>
      <c r="BV724" s="43"/>
      <c r="BW724" s="43"/>
      <c r="BX724" s="43"/>
      <c r="BY724" s="43"/>
      <c r="BZ724" s="43"/>
      <c r="CA724" s="43"/>
      <c r="CB724" s="43"/>
      <c r="CC724" s="43"/>
      <c r="CD724" s="43"/>
      <c r="CE724" s="43"/>
      <c r="CF724" s="43"/>
      <c r="CG724" s="43"/>
      <c r="CH724" s="43"/>
      <c r="CI724" s="43"/>
      <c r="CJ724" s="43"/>
      <c r="CK724" s="43"/>
      <c r="CL724" s="43"/>
      <c r="CM724" s="43"/>
      <c r="CN724" s="43"/>
      <c r="CO724" s="43"/>
      <c r="CP724" s="43"/>
      <c r="CQ724" s="43"/>
      <c r="CR724" s="43"/>
      <c r="CS724" s="43"/>
      <c r="CT724" s="43"/>
      <c r="CU724" s="43"/>
      <c r="CV724" s="43"/>
      <c r="CW724" s="43"/>
      <c r="CX724" s="43"/>
      <c r="CY724" s="43"/>
      <c r="CZ724" s="43"/>
      <c r="DA724" s="43"/>
      <c r="DB724" s="43"/>
      <c r="DC724" s="43"/>
      <c r="DD724" s="43"/>
      <c r="DE724" s="43"/>
      <c r="DF724" s="43"/>
      <c r="DG724" s="43"/>
      <c r="DH724" s="43"/>
      <c r="DI724" s="43"/>
      <c r="DJ724" s="43"/>
      <c r="DK724" s="43"/>
      <c r="DL724" s="43"/>
      <c r="DM724" s="43"/>
      <c r="DN724" s="43"/>
      <c r="DO724" s="43"/>
      <c r="DP724" s="43"/>
      <c r="DQ724" s="43"/>
      <c r="DR724" s="43"/>
      <c r="DS724" s="43"/>
      <c r="DT724" s="43"/>
      <c r="DU724" s="43"/>
      <c r="DV724" s="43"/>
      <c r="DW724" s="43"/>
      <c r="DX724" s="43"/>
      <c r="DY724" s="43"/>
      <c r="DZ724" s="43"/>
      <c r="EA724" s="43"/>
      <c r="EB724" s="43"/>
      <c r="EC724" s="43"/>
      <c r="ED724" s="43"/>
      <c r="EE724" s="43"/>
      <c r="EF724" s="43"/>
      <c r="EG724" s="43"/>
      <c r="EH724" s="43"/>
      <c r="EI724" s="43"/>
      <c r="EJ724" s="43"/>
      <c r="EK724" s="43"/>
      <c r="EL724" s="43"/>
      <c r="EM724" s="43"/>
      <c r="EN724" s="43"/>
      <c r="EO724" s="43"/>
      <c r="EP724" s="43"/>
      <c r="EQ724" s="43"/>
      <c r="ER724" s="43"/>
      <c r="ES724" s="43"/>
      <c r="ET724" s="43"/>
      <c r="EU724" s="43"/>
      <c r="EV724" s="43"/>
      <c r="EW724" s="43"/>
      <c r="EX724" s="43"/>
      <c r="EY724" s="43"/>
      <c r="EZ724" s="43"/>
      <c r="FA724" s="43"/>
      <c r="FB724" s="43"/>
      <c r="FC724" s="43"/>
      <c r="FD724" s="43"/>
      <c r="FE724" s="43"/>
      <c r="FF724" s="43"/>
      <c r="FG724" s="43"/>
      <c r="FH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43"/>
      <c r="BP725" s="43"/>
      <c r="BQ725" s="43"/>
      <c r="BR725" s="43"/>
      <c r="BS725" s="43"/>
      <c r="BT725" s="43"/>
      <c r="BU725" s="43"/>
      <c r="BV725" s="43"/>
      <c r="BW725" s="43"/>
      <c r="BX725" s="43"/>
      <c r="BY725" s="43"/>
      <c r="BZ725" s="43"/>
      <c r="CA725" s="43"/>
      <c r="CB725" s="43"/>
      <c r="CC725" s="43"/>
      <c r="CD725" s="43"/>
      <c r="CE725" s="43"/>
      <c r="CF725" s="43"/>
      <c r="CG725" s="43"/>
      <c r="CH725" s="43"/>
      <c r="CI725" s="43"/>
      <c r="CJ725" s="43"/>
      <c r="CK725" s="43"/>
      <c r="CL725" s="43"/>
      <c r="CM725" s="43"/>
      <c r="CN725" s="43"/>
      <c r="CO725" s="43"/>
      <c r="CP725" s="43"/>
      <c r="CQ725" s="43"/>
      <c r="CR725" s="43"/>
      <c r="CS725" s="43"/>
      <c r="CT725" s="43"/>
      <c r="CU725" s="43"/>
      <c r="CV725" s="43"/>
      <c r="CW725" s="43"/>
      <c r="CX725" s="43"/>
      <c r="CY725" s="43"/>
      <c r="CZ725" s="43"/>
      <c r="DA725" s="43"/>
      <c r="DB725" s="43"/>
      <c r="DC725" s="43"/>
      <c r="DD725" s="43"/>
      <c r="DE725" s="43"/>
      <c r="DF725" s="43"/>
      <c r="DG725" s="43"/>
      <c r="DH725" s="43"/>
      <c r="DI725" s="43"/>
      <c r="DJ725" s="43"/>
      <c r="DK725" s="43"/>
      <c r="DL725" s="43"/>
      <c r="DM725" s="43"/>
      <c r="DN725" s="43"/>
      <c r="DO725" s="43"/>
      <c r="DP725" s="43"/>
      <c r="DQ725" s="43"/>
      <c r="DR725" s="43"/>
      <c r="DS725" s="43"/>
      <c r="DT725" s="43"/>
      <c r="DU725" s="43"/>
      <c r="DV725" s="43"/>
      <c r="DW725" s="43"/>
      <c r="DX725" s="43"/>
      <c r="DY725" s="43"/>
      <c r="DZ725" s="43"/>
      <c r="EA725" s="43"/>
      <c r="EB725" s="43"/>
      <c r="EC725" s="43"/>
      <c r="ED725" s="43"/>
      <c r="EE725" s="43"/>
      <c r="EF725" s="43"/>
      <c r="EG725" s="43"/>
      <c r="EH725" s="43"/>
      <c r="EI725" s="43"/>
      <c r="EJ725" s="43"/>
      <c r="EK725" s="43"/>
      <c r="EL725" s="43"/>
      <c r="EM725" s="43"/>
      <c r="EN725" s="43"/>
      <c r="EO725" s="43"/>
      <c r="EP725" s="43"/>
      <c r="EQ725" s="43"/>
      <c r="ER725" s="43"/>
      <c r="ES725" s="43"/>
      <c r="ET725" s="43"/>
      <c r="EU725" s="43"/>
      <c r="EV725" s="43"/>
      <c r="EW725" s="43"/>
      <c r="EX725" s="43"/>
      <c r="EY725" s="43"/>
      <c r="EZ725" s="43"/>
      <c r="FA725" s="43"/>
      <c r="FB725" s="43"/>
      <c r="FC725" s="43"/>
      <c r="FD725" s="43"/>
      <c r="FE725" s="43"/>
      <c r="FF725" s="43"/>
      <c r="FG725" s="43"/>
      <c r="FH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43"/>
      <c r="BP726" s="43"/>
      <c r="BQ726" s="43"/>
      <c r="BR726" s="43"/>
      <c r="BS726" s="43"/>
      <c r="BT726" s="43"/>
      <c r="BU726" s="43"/>
      <c r="BV726" s="43"/>
      <c r="BW726" s="43"/>
      <c r="BX726" s="43"/>
      <c r="BY726" s="43"/>
      <c r="BZ726" s="43"/>
      <c r="CA726" s="43"/>
      <c r="CB726" s="43"/>
      <c r="CC726" s="43"/>
      <c r="CD726" s="43"/>
      <c r="CE726" s="43"/>
      <c r="CF726" s="43"/>
      <c r="CG726" s="43"/>
      <c r="CH726" s="43"/>
      <c r="CI726" s="43"/>
      <c r="CJ726" s="43"/>
      <c r="CK726" s="43"/>
      <c r="CL726" s="43"/>
      <c r="CM726" s="43"/>
      <c r="CN726" s="43"/>
      <c r="CO726" s="43"/>
      <c r="CP726" s="43"/>
      <c r="CQ726" s="43"/>
      <c r="CR726" s="43"/>
      <c r="CS726" s="43"/>
      <c r="CT726" s="43"/>
      <c r="CU726" s="43"/>
      <c r="CV726" s="43"/>
      <c r="CW726" s="43"/>
      <c r="CX726" s="43"/>
      <c r="CY726" s="43"/>
      <c r="CZ726" s="43"/>
      <c r="DA726" s="43"/>
      <c r="DB726" s="43"/>
      <c r="DC726" s="43"/>
      <c r="DD726" s="43"/>
      <c r="DE726" s="43"/>
      <c r="DF726" s="43"/>
      <c r="DG726" s="43"/>
      <c r="DH726" s="43"/>
      <c r="DI726" s="43"/>
      <c r="DJ726" s="43"/>
      <c r="DK726" s="43"/>
      <c r="DL726" s="43"/>
      <c r="DM726" s="43"/>
      <c r="DN726" s="43"/>
      <c r="DO726" s="43"/>
      <c r="DP726" s="43"/>
      <c r="DQ726" s="43"/>
      <c r="DR726" s="43"/>
      <c r="DS726" s="43"/>
      <c r="DT726" s="43"/>
      <c r="DU726" s="43"/>
      <c r="DV726" s="43"/>
      <c r="DW726" s="43"/>
      <c r="DX726" s="43"/>
      <c r="DY726" s="43"/>
      <c r="DZ726" s="43"/>
      <c r="EA726" s="43"/>
      <c r="EB726" s="43"/>
      <c r="EC726" s="43"/>
      <c r="ED726" s="43"/>
      <c r="EE726" s="43"/>
      <c r="EF726" s="43"/>
      <c r="EG726" s="43"/>
      <c r="EH726" s="43"/>
      <c r="EI726" s="43"/>
      <c r="EJ726" s="43"/>
      <c r="EK726" s="43"/>
      <c r="EL726" s="43"/>
      <c r="EM726" s="43"/>
      <c r="EN726" s="43"/>
      <c r="EO726" s="43"/>
      <c r="EP726" s="43"/>
      <c r="EQ726" s="43"/>
      <c r="ER726" s="43"/>
      <c r="ES726" s="43"/>
      <c r="ET726" s="43"/>
      <c r="EU726" s="43"/>
      <c r="EV726" s="43"/>
      <c r="EW726" s="43"/>
      <c r="EX726" s="43"/>
      <c r="EY726" s="43"/>
      <c r="EZ726" s="43"/>
      <c r="FA726" s="43"/>
      <c r="FB726" s="43"/>
      <c r="FC726" s="43"/>
      <c r="FD726" s="43"/>
      <c r="FE726" s="43"/>
      <c r="FF726" s="43"/>
      <c r="FG726" s="43"/>
      <c r="FH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43"/>
      <c r="BP727" s="43"/>
      <c r="BQ727" s="43"/>
      <c r="BR727" s="43"/>
      <c r="BS727" s="43"/>
      <c r="BT727" s="43"/>
      <c r="BU727" s="43"/>
      <c r="BV727" s="43"/>
      <c r="BW727" s="43"/>
      <c r="BX727" s="43"/>
      <c r="BY727" s="43"/>
      <c r="BZ727" s="43"/>
      <c r="CA727" s="43"/>
      <c r="CB727" s="43"/>
      <c r="CC727" s="43"/>
      <c r="CD727" s="43"/>
      <c r="CE727" s="43"/>
      <c r="CF727" s="43"/>
      <c r="CG727" s="43"/>
      <c r="CH727" s="43"/>
      <c r="CI727" s="43"/>
      <c r="CJ727" s="43"/>
      <c r="CK727" s="43"/>
      <c r="CL727" s="43"/>
      <c r="CM727" s="43"/>
      <c r="CN727" s="43"/>
      <c r="CO727" s="43"/>
      <c r="CP727" s="43"/>
      <c r="CQ727" s="43"/>
      <c r="CR727" s="43"/>
      <c r="CS727" s="43"/>
      <c r="CT727" s="43"/>
      <c r="CU727" s="43"/>
      <c r="CV727" s="43"/>
      <c r="CW727" s="43"/>
      <c r="CX727" s="43"/>
      <c r="CY727" s="43"/>
      <c r="CZ727" s="43"/>
      <c r="DA727" s="43"/>
      <c r="DB727" s="43"/>
      <c r="DC727" s="43"/>
      <c r="DD727" s="43"/>
      <c r="DE727" s="43"/>
      <c r="DF727" s="43"/>
      <c r="DG727" s="43"/>
      <c r="DH727" s="43"/>
      <c r="DI727" s="43"/>
      <c r="DJ727" s="43"/>
      <c r="DK727" s="43"/>
      <c r="DL727" s="43"/>
      <c r="DM727" s="43"/>
      <c r="DN727" s="43"/>
      <c r="DO727" s="43"/>
      <c r="DP727" s="43"/>
      <c r="DQ727" s="43"/>
      <c r="DR727" s="43"/>
      <c r="DS727" s="43"/>
      <c r="DT727" s="43"/>
      <c r="DU727" s="43"/>
      <c r="DV727" s="43"/>
      <c r="DW727" s="43"/>
      <c r="DX727" s="43"/>
      <c r="DY727" s="43"/>
      <c r="DZ727" s="43"/>
      <c r="EA727" s="43"/>
      <c r="EB727" s="43"/>
      <c r="EC727" s="43"/>
      <c r="ED727" s="43"/>
      <c r="EE727" s="43"/>
      <c r="EF727" s="43"/>
      <c r="EG727" s="43"/>
      <c r="EH727" s="43"/>
      <c r="EI727" s="43"/>
      <c r="EJ727" s="43"/>
      <c r="EK727" s="43"/>
      <c r="EL727" s="43"/>
      <c r="EM727" s="43"/>
      <c r="EN727" s="43"/>
      <c r="EO727" s="43"/>
      <c r="EP727" s="43"/>
      <c r="EQ727" s="43"/>
      <c r="ER727" s="43"/>
      <c r="ES727" s="43"/>
      <c r="ET727" s="43"/>
      <c r="EU727" s="43"/>
      <c r="EV727" s="43"/>
      <c r="EW727" s="43"/>
      <c r="EX727" s="43"/>
      <c r="EY727" s="43"/>
      <c r="EZ727" s="43"/>
      <c r="FA727" s="43"/>
      <c r="FB727" s="43"/>
      <c r="FC727" s="43"/>
      <c r="FD727" s="43"/>
      <c r="FE727" s="43"/>
      <c r="FF727" s="43"/>
      <c r="FG727" s="43"/>
      <c r="FH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43"/>
      <c r="BP728" s="43"/>
      <c r="BQ728" s="43"/>
      <c r="BR728" s="43"/>
      <c r="BS728" s="43"/>
      <c r="BT728" s="43"/>
      <c r="BU728" s="43"/>
      <c r="BV728" s="43"/>
      <c r="BW728" s="43"/>
      <c r="BX728" s="43"/>
      <c r="BY728" s="43"/>
      <c r="BZ728" s="43"/>
      <c r="CA728" s="43"/>
      <c r="CB728" s="43"/>
      <c r="CC728" s="43"/>
      <c r="CD728" s="43"/>
      <c r="CE728" s="43"/>
      <c r="CF728" s="43"/>
      <c r="CG728" s="43"/>
      <c r="CH728" s="43"/>
      <c r="CI728" s="43"/>
      <c r="CJ728" s="43"/>
      <c r="CK728" s="43"/>
      <c r="CL728" s="43"/>
      <c r="CM728" s="43"/>
      <c r="CN728" s="43"/>
      <c r="CO728" s="43"/>
      <c r="CP728" s="43"/>
      <c r="CQ728" s="43"/>
      <c r="CR728" s="43"/>
      <c r="CS728" s="43"/>
      <c r="CT728" s="43"/>
      <c r="CU728" s="43"/>
      <c r="CV728" s="43"/>
      <c r="CW728" s="43"/>
      <c r="CX728" s="43"/>
      <c r="CY728" s="43"/>
      <c r="CZ728" s="43"/>
      <c r="DA728" s="43"/>
      <c r="DB728" s="43"/>
      <c r="DC728" s="43"/>
      <c r="DD728" s="43"/>
      <c r="DE728" s="43"/>
      <c r="DF728" s="43"/>
      <c r="DG728" s="43"/>
      <c r="DH728" s="43"/>
      <c r="DI728" s="43"/>
      <c r="DJ728" s="43"/>
      <c r="DK728" s="43"/>
      <c r="DL728" s="43"/>
      <c r="DM728" s="43"/>
      <c r="DN728" s="43"/>
      <c r="DO728" s="43"/>
      <c r="DP728" s="43"/>
      <c r="DQ728" s="43"/>
      <c r="DR728" s="43"/>
      <c r="DS728" s="43"/>
      <c r="DT728" s="43"/>
      <c r="DU728" s="43"/>
      <c r="DV728" s="43"/>
      <c r="DW728" s="43"/>
      <c r="DX728" s="43"/>
      <c r="DY728" s="43"/>
      <c r="DZ728" s="43"/>
      <c r="EA728" s="43"/>
      <c r="EB728" s="43"/>
      <c r="EC728" s="43"/>
      <c r="ED728" s="43"/>
      <c r="EE728" s="43"/>
      <c r="EF728" s="43"/>
      <c r="EG728" s="43"/>
      <c r="EH728" s="43"/>
      <c r="EI728" s="43"/>
      <c r="EJ728" s="43"/>
      <c r="EK728" s="43"/>
      <c r="EL728" s="43"/>
      <c r="EM728" s="43"/>
      <c r="EN728" s="43"/>
      <c r="EO728" s="43"/>
      <c r="EP728" s="43"/>
      <c r="EQ728" s="43"/>
      <c r="ER728" s="43"/>
      <c r="ES728" s="43"/>
      <c r="ET728" s="43"/>
      <c r="EU728" s="43"/>
      <c r="EV728" s="43"/>
      <c r="EW728" s="43"/>
      <c r="EX728" s="43"/>
      <c r="EY728" s="43"/>
      <c r="EZ728" s="43"/>
      <c r="FA728" s="43"/>
      <c r="FB728" s="43"/>
      <c r="FC728" s="43"/>
      <c r="FD728" s="43"/>
      <c r="FE728" s="43"/>
      <c r="FF728" s="43"/>
      <c r="FG728" s="43"/>
      <c r="FH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43"/>
      <c r="BP729" s="43"/>
      <c r="BQ729" s="43"/>
      <c r="BR729" s="43"/>
      <c r="BS729" s="43"/>
      <c r="BT729" s="43"/>
      <c r="BU729" s="43"/>
      <c r="BV729" s="43"/>
      <c r="BW729" s="43"/>
      <c r="BX729" s="43"/>
      <c r="BY729" s="43"/>
      <c r="BZ729" s="43"/>
      <c r="CA729" s="43"/>
      <c r="CB729" s="43"/>
      <c r="CC729" s="43"/>
      <c r="CD729" s="43"/>
      <c r="CE729" s="43"/>
      <c r="CF729" s="43"/>
      <c r="CG729" s="43"/>
      <c r="CH729" s="43"/>
      <c r="CI729" s="43"/>
      <c r="CJ729" s="43"/>
      <c r="CK729" s="43"/>
      <c r="CL729" s="43"/>
      <c r="CM729" s="43"/>
      <c r="CN729" s="43"/>
      <c r="CO729" s="43"/>
      <c r="CP729" s="43"/>
      <c r="CQ729" s="43"/>
      <c r="CR729" s="43"/>
      <c r="CS729" s="43"/>
      <c r="CT729" s="43"/>
      <c r="CU729" s="43"/>
      <c r="CV729" s="43"/>
      <c r="CW729" s="43"/>
      <c r="CX729" s="43"/>
      <c r="CY729" s="43"/>
      <c r="CZ729" s="43"/>
      <c r="DA729" s="43"/>
      <c r="DB729" s="43"/>
      <c r="DC729" s="43"/>
      <c r="DD729" s="43"/>
      <c r="DE729" s="43"/>
      <c r="DF729" s="43"/>
      <c r="DG729" s="43"/>
      <c r="DH729" s="43"/>
      <c r="DI729" s="43"/>
      <c r="DJ729" s="43"/>
      <c r="DK729" s="43"/>
      <c r="DL729" s="43"/>
      <c r="DM729" s="43"/>
      <c r="DN729" s="43"/>
      <c r="DO729" s="43"/>
      <c r="DP729" s="43"/>
      <c r="DQ729" s="43"/>
      <c r="DR729" s="43"/>
      <c r="DS729" s="43"/>
      <c r="DT729" s="43"/>
      <c r="DU729" s="43"/>
      <c r="DV729" s="43"/>
      <c r="DW729" s="43"/>
      <c r="DX729" s="43"/>
      <c r="DY729" s="43"/>
      <c r="DZ729" s="43"/>
      <c r="EA729" s="43"/>
      <c r="EB729" s="43"/>
      <c r="EC729" s="43"/>
      <c r="ED729" s="43"/>
      <c r="EE729" s="43"/>
      <c r="EF729" s="43"/>
      <c r="EG729" s="43"/>
      <c r="EH729" s="43"/>
      <c r="EI729" s="43"/>
      <c r="EJ729" s="43"/>
      <c r="EK729" s="43"/>
      <c r="EL729" s="43"/>
      <c r="EM729" s="43"/>
      <c r="EN729" s="43"/>
      <c r="EO729" s="43"/>
      <c r="EP729" s="43"/>
      <c r="EQ729" s="43"/>
      <c r="ER729" s="43"/>
      <c r="ES729" s="43"/>
      <c r="ET729" s="43"/>
      <c r="EU729" s="43"/>
      <c r="EV729" s="43"/>
      <c r="EW729" s="43"/>
      <c r="EX729" s="43"/>
      <c r="EY729" s="43"/>
      <c r="EZ729" s="43"/>
      <c r="FA729" s="43"/>
      <c r="FB729" s="43"/>
      <c r="FC729" s="43"/>
      <c r="FD729" s="43"/>
      <c r="FE729" s="43"/>
      <c r="FF729" s="43"/>
      <c r="FG729" s="43"/>
      <c r="FH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43"/>
      <c r="BP730" s="43"/>
      <c r="BQ730" s="43"/>
      <c r="BR730" s="43"/>
      <c r="BS730" s="43"/>
      <c r="BT730" s="43"/>
      <c r="BU730" s="43"/>
      <c r="BV730" s="43"/>
      <c r="BW730" s="43"/>
      <c r="BX730" s="43"/>
      <c r="BY730" s="43"/>
      <c r="BZ730" s="43"/>
      <c r="CA730" s="43"/>
      <c r="CB730" s="43"/>
      <c r="CC730" s="43"/>
      <c r="CD730" s="43"/>
      <c r="CE730" s="43"/>
      <c r="CF730" s="43"/>
      <c r="CG730" s="43"/>
      <c r="CH730" s="43"/>
      <c r="CI730" s="43"/>
      <c r="CJ730" s="43"/>
      <c r="CK730" s="43"/>
      <c r="CL730" s="43"/>
      <c r="CM730" s="43"/>
      <c r="CN730" s="43"/>
      <c r="CO730" s="43"/>
      <c r="CP730" s="43"/>
      <c r="CQ730" s="43"/>
      <c r="CR730" s="43"/>
      <c r="CS730" s="43"/>
      <c r="CT730" s="43"/>
      <c r="CU730" s="43"/>
      <c r="CV730" s="43"/>
      <c r="CW730" s="43"/>
      <c r="CX730" s="43"/>
      <c r="CY730" s="43"/>
      <c r="CZ730" s="43"/>
      <c r="DA730" s="43"/>
      <c r="DB730" s="43"/>
      <c r="DC730" s="43"/>
      <c r="DD730" s="43"/>
      <c r="DE730" s="43"/>
      <c r="DF730" s="43"/>
      <c r="DG730" s="43"/>
      <c r="DH730" s="43"/>
      <c r="DI730" s="43"/>
      <c r="DJ730" s="43"/>
      <c r="DK730" s="43"/>
      <c r="DL730" s="43"/>
      <c r="DM730" s="43"/>
      <c r="DN730" s="43"/>
      <c r="DO730" s="43"/>
      <c r="DP730" s="43"/>
      <c r="DQ730" s="43"/>
      <c r="DR730" s="43"/>
      <c r="DS730" s="43"/>
      <c r="DT730" s="43"/>
      <c r="DU730" s="43"/>
      <c r="DV730" s="43"/>
      <c r="DW730" s="43"/>
      <c r="DX730" s="43"/>
      <c r="DY730" s="43"/>
      <c r="DZ730" s="43"/>
      <c r="EA730" s="43"/>
      <c r="EB730" s="43"/>
      <c r="EC730" s="43"/>
      <c r="ED730" s="43"/>
      <c r="EE730" s="43"/>
      <c r="EF730" s="43"/>
      <c r="EG730" s="43"/>
      <c r="EH730" s="43"/>
      <c r="EI730" s="43"/>
      <c r="EJ730" s="43"/>
      <c r="EK730" s="43"/>
      <c r="EL730" s="43"/>
      <c r="EM730" s="43"/>
      <c r="EN730" s="43"/>
      <c r="EO730" s="43"/>
      <c r="EP730" s="43"/>
      <c r="EQ730" s="43"/>
      <c r="ER730" s="43"/>
      <c r="ES730" s="43"/>
      <c r="ET730" s="43"/>
      <c r="EU730" s="43"/>
      <c r="EV730" s="43"/>
      <c r="EW730" s="43"/>
      <c r="EX730" s="43"/>
      <c r="EY730" s="43"/>
      <c r="EZ730" s="43"/>
      <c r="FA730" s="43"/>
      <c r="FB730" s="43"/>
      <c r="FC730" s="43"/>
      <c r="FD730" s="43"/>
      <c r="FE730" s="43"/>
      <c r="FF730" s="43"/>
      <c r="FG730" s="43"/>
      <c r="FH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43"/>
      <c r="BP731" s="43"/>
      <c r="BQ731" s="43"/>
      <c r="BR731" s="43"/>
      <c r="BS731" s="43"/>
      <c r="BT731" s="43"/>
      <c r="BU731" s="43"/>
      <c r="BV731" s="43"/>
      <c r="BW731" s="43"/>
      <c r="BX731" s="43"/>
      <c r="BY731" s="43"/>
      <c r="BZ731" s="43"/>
      <c r="CA731" s="43"/>
      <c r="CB731" s="43"/>
      <c r="CC731" s="43"/>
      <c r="CD731" s="43"/>
      <c r="CE731" s="43"/>
      <c r="CF731" s="43"/>
      <c r="CG731" s="43"/>
      <c r="CH731" s="43"/>
      <c r="CI731" s="43"/>
      <c r="CJ731" s="43"/>
      <c r="CK731" s="43"/>
      <c r="CL731" s="43"/>
      <c r="CM731" s="43"/>
      <c r="CN731" s="43"/>
      <c r="CO731" s="43"/>
      <c r="CP731" s="43"/>
      <c r="CQ731" s="43"/>
      <c r="CR731" s="43"/>
      <c r="CS731" s="43"/>
      <c r="CT731" s="43"/>
      <c r="CU731" s="43"/>
      <c r="CV731" s="43"/>
      <c r="CW731" s="43"/>
      <c r="CX731" s="43"/>
      <c r="CY731" s="43"/>
      <c r="CZ731" s="43"/>
      <c r="DA731" s="43"/>
      <c r="DB731" s="43"/>
      <c r="DC731" s="43"/>
      <c r="DD731" s="43"/>
      <c r="DE731" s="43"/>
      <c r="DF731" s="43"/>
      <c r="DG731" s="43"/>
      <c r="DH731" s="43"/>
      <c r="DI731" s="43"/>
      <c r="DJ731" s="43"/>
      <c r="DK731" s="43"/>
      <c r="DL731" s="43"/>
      <c r="DM731" s="43"/>
      <c r="DN731" s="43"/>
      <c r="DO731" s="43"/>
      <c r="DP731" s="43"/>
      <c r="DQ731" s="43"/>
      <c r="DR731" s="43"/>
      <c r="DS731" s="43"/>
      <c r="DT731" s="43"/>
      <c r="DU731" s="43"/>
      <c r="DV731" s="43"/>
      <c r="DW731" s="43"/>
      <c r="DX731" s="43"/>
      <c r="DY731" s="43"/>
      <c r="DZ731" s="43"/>
      <c r="EA731" s="43"/>
      <c r="EB731" s="43"/>
      <c r="EC731" s="43"/>
      <c r="ED731" s="43"/>
      <c r="EE731" s="43"/>
      <c r="EF731" s="43"/>
      <c r="EG731" s="43"/>
      <c r="EH731" s="43"/>
      <c r="EI731" s="43"/>
      <c r="EJ731" s="43"/>
      <c r="EK731" s="43"/>
      <c r="EL731" s="43"/>
      <c r="EM731" s="43"/>
      <c r="EN731" s="43"/>
      <c r="EO731" s="43"/>
      <c r="EP731" s="43"/>
      <c r="EQ731" s="43"/>
      <c r="ER731" s="43"/>
      <c r="ES731" s="43"/>
      <c r="ET731" s="43"/>
      <c r="EU731" s="43"/>
      <c r="EV731" s="43"/>
      <c r="EW731" s="43"/>
      <c r="EX731" s="43"/>
      <c r="EY731" s="43"/>
      <c r="EZ731" s="43"/>
      <c r="FA731" s="43"/>
      <c r="FB731" s="43"/>
      <c r="FC731" s="43"/>
      <c r="FD731" s="43"/>
      <c r="FE731" s="43"/>
      <c r="FF731" s="43"/>
      <c r="FG731" s="43"/>
      <c r="FH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43"/>
      <c r="BP732" s="43"/>
      <c r="BQ732" s="43"/>
      <c r="BR732" s="43"/>
      <c r="BS732" s="43"/>
      <c r="BT732" s="43"/>
      <c r="BU732" s="43"/>
      <c r="BV732" s="43"/>
      <c r="BW732" s="43"/>
      <c r="BX732" s="43"/>
      <c r="BY732" s="43"/>
      <c r="BZ732" s="43"/>
      <c r="CA732" s="43"/>
      <c r="CB732" s="43"/>
      <c r="CC732" s="43"/>
      <c r="CD732" s="43"/>
      <c r="CE732" s="43"/>
      <c r="CF732" s="43"/>
      <c r="CG732" s="43"/>
      <c r="CH732" s="43"/>
      <c r="CI732" s="43"/>
      <c r="CJ732" s="43"/>
      <c r="CK732" s="43"/>
      <c r="CL732" s="43"/>
      <c r="CM732" s="43"/>
      <c r="CN732" s="43"/>
      <c r="CO732" s="43"/>
      <c r="CP732" s="43"/>
      <c r="CQ732" s="43"/>
      <c r="CR732" s="43"/>
      <c r="CS732" s="43"/>
      <c r="CT732" s="43"/>
      <c r="CU732" s="43"/>
      <c r="CV732" s="43"/>
      <c r="CW732" s="43"/>
      <c r="CX732" s="43"/>
      <c r="CY732" s="43"/>
      <c r="CZ732" s="43"/>
      <c r="DA732" s="43"/>
      <c r="DB732" s="43"/>
      <c r="DC732" s="43"/>
      <c r="DD732" s="43"/>
      <c r="DE732" s="43"/>
      <c r="DF732" s="43"/>
      <c r="DG732" s="43"/>
      <c r="DH732" s="43"/>
      <c r="DI732" s="43"/>
      <c r="DJ732" s="43"/>
      <c r="DK732" s="43"/>
      <c r="DL732" s="43"/>
      <c r="DM732" s="43"/>
      <c r="DN732" s="43"/>
      <c r="DO732" s="43"/>
      <c r="DP732" s="43"/>
      <c r="DQ732" s="43"/>
      <c r="DR732" s="43"/>
      <c r="DS732" s="43"/>
      <c r="DT732" s="43"/>
      <c r="DU732" s="43"/>
      <c r="DV732" s="43"/>
      <c r="DW732" s="43"/>
      <c r="DX732" s="43"/>
      <c r="DY732" s="43"/>
      <c r="DZ732" s="43"/>
      <c r="EA732" s="43"/>
      <c r="EB732" s="43"/>
      <c r="EC732" s="43"/>
      <c r="ED732" s="43"/>
      <c r="EE732" s="43"/>
      <c r="EF732" s="43"/>
      <c r="EG732" s="43"/>
      <c r="EH732" s="43"/>
      <c r="EI732" s="43"/>
      <c r="EJ732" s="43"/>
      <c r="EK732" s="43"/>
      <c r="EL732" s="43"/>
      <c r="EM732" s="43"/>
      <c r="EN732" s="43"/>
      <c r="EO732" s="43"/>
      <c r="EP732" s="43"/>
      <c r="EQ732" s="43"/>
      <c r="ER732" s="43"/>
      <c r="ES732" s="43"/>
      <c r="ET732" s="43"/>
      <c r="EU732" s="43"/>
      <c r="EV732" s="43"/>
      <c r="EW732" s="43"/>
      <c r="EX732" s="43"/>
      <c r="EY732" s="43"/>
      <c r="EZ732" s="43"/>
      <c r="FA732" s="43"/>
      <c r="FB732" s="43"/>
      <c r="FC732" s="43"/>
      <c r="FD732" s="43"/>
      <c r="FE732" s="43"/>
      <c r="FF732" s="43"/>
      <c r="FG732" s="43"/>
      <c r="FH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43"/>
      <c r="BP733" s="43"/>
      <c r="BQ733" s="43"/>
      <c r="BR733" s="43"/>
      <c r="BS733" s="43"/>
      <c r="BT733" s="43"/>
      <c r="BU733" s="43"/>
      <c r="BV733" s="43"/>
      <c r="BW733" s="43"/>
      <c r="BX733" s="43"/>
      <c r="BY733" s="43"/>
      <c r="BZ733" s="43"/>
      <c r="CA733" s="43"/>
      <c r="CB733" s="43"/>
      <c r="CC733" s="43"/>
      <c r="CD733" s="43"/>
      <c r="CE733" s="43"/>
      <c r="CF733" s="43"/>
      <c r="CG733" s="43"/>
      <c r="CH733" s="43"/>
      <c r="CI733" s="43"/>
      <c r="CJ733" s="43"/>
      <c r="CK733" s="43"/>
      <c r="CL733" s="43"/>
      <c r="CM733" s="43"/>
      <c r="CN733" s="43"/>
      <c r="CO733" s="43"/>
      <c r="CP733" s="43"/>
      <c r="CQ733" s="43"/>
      <c r="CR733" s="43"/>
      <c r="CS733" s="43"/>
      <c r="CT733" s="43"/>
      <c r="CU733" s="43"/>
      <c r="CV733" s="43"/>
      <c r="CW733" s="43"/>
      <c r="CX733" s="43"/>
      <c r="CY733" s="43"/>
      <c r="CZ733" s="43"/>
      <c r="DA733" s="43"/>
      <c r="DB733" s="43"/>
      <c r="DC733" s="43"/>
      <c r="DD733" s="43"/>
      <c r="DE733" s="43"/>
      <c r="DF733" s="43"/>
      <c r="DG733" s="43"/>
      <c r="DH733" s="43"/>
      <c r="DI733" s="43"/>
      <c r="DJ733" s="43"/>
      <c r="DK733" s="43"/>
      <c r="DL733" s="43"/>
      <c r="DM733" s="43"/>
      <c r="DN733" s="43"/>
      <c r="DO733" s="43"/>
      <c r="DP733" s="43"/>
      <c r="DQ733" s="43"/>
      <c r="DR733" s="43"/>
      <c r="DS733" s="43"/>
      <c r="DT733" s="43"/>
      <c r="DU733" s="43"/>
      <c r="DV733" s="43"/>
      <c r="DW733" s="43"/>
      <c r="DX733" s="43"/>
      <c r="DY733" s="43"/>
      <c r="DZ733" s="43"/>
      <c r="EA733" s="43"/>
      <c r="EB733" s="43"/>
      <c r="EC733" s="43"/>
      <c r="ED733" s="43"/>
      <c r="EE733" s="43"/>
      <c r="EF733" s="43"/>
      <c r="EG733" s="43"/>
      <c r="EH733" s="43"/>
      <c r="EI733" s="43"/>
      <c r="EJ733" s="43"/>
      <c r="EK733" s="43"/>
      <c r="EL733" s="43"/>
      <c r="EM733" s="43"/>
      <c r="EN733" s="43"/>
      <c r="EO733" s="43"/>
      <c r="EP733" s="43"/>
      <c r="EQ733" s="43"/>
      <c r="ER733" s="43"/>
      <c r="ES733" s="43"/>
      <c r="ET733" s="43"/>
      <c r="EU733" s="43"/>
      <c r="EV733" s="43"/>
      <c r="EW733" s="43"/>
      <c r="EX733" s="43"/>
      <c r="EY733" s="43"/>
      <c r="EZ733" s="43"/>
      <c r="FA733" s="43"/>
      <c r="FB733" s="43"/>
      <c r="FC733" s="43"/>
      <c r="FD733" s="43"/>
      <c r="FE733" s="43"/>
      <c r="FF733" s="43"/>
      <c r="FG733" s="43"/>
      <c r="FH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43"/>
      <c r="BP734" s="43"/>
      <c r="BQ734" s="43"/>
      <c r="BR734" s="43"/>
      <c r="BS734" s="43"/>
      <c r="BT734" s="43"/>
      <c r="BU734" s="43"/>
      <c r="BV734" s="43"/>
      <c r="BW734" s="43"/>
      <c r="BX734" s="43"/>
      <c r="BY734" s="43"/>
      <c r="BZ734" s="43"/>
      <c r="CA734" s="43"/>
      <c r="CB734" s="43"/>
      <c r="CC734" s="43"/>
      <c r="CD734" s="43"/>
      <c r="CE734" s="43"/>
      <c r="CF734" s="43"/>
      <c r="CG734" s="43"/>
      <c r="CH734" s="43"/>
      <c r="CI734" s="43"/>
      <c r="CJ734" s="43"/>
      <c r="CK734" s="43"/>
      <c r="CL734" s="43"/>
      <c r="CM734" s="43"/>
      <c r="CN734" s="43"/>
      <c r="CO734" s="43"/>
      <c r="CP734" s="43"/>
      <c r="CQ734" s="43"/>
      <c r="CR734" s="43"/>
      <c r="CS734" s="43"/>
      <c r="CT734" s="43"/>
      <c r="CU734" s="43"/>
      <c r="CV734" s="43"/>
      <c r="CW734" s="43"/>
      <c r="CX734" s="43"/>
      <c r="CY734" s="43"/>
      <c r="CZ734" s="43"/>
      <c r="DA734" s="43"/>
      <c r="DB734" s="43"/>
      <c r="DC734" s="43"/>
      <c r="DD734" s="43"/>
      <c r="DE734" s="43"/>
      <c r="DF734" s="43"/>
      <c r="DG734" s="43"/>
      <c r="DH734" s="43"/>
      <c r="DI734" s="43"/>
      <c r="DJ734" s="43"/>
      <c r="DK734" s="43"/>
      <c r="DL734" s="43"/>
      <c r="DM734" s="43"/>
      <c r="DN734" s="43"/>
      <c r="DO734" s="43"/>
      <c r="DP734" s="43"/>
      <c r="DQ734" s="43"/>
      <c r="DR734" s="43"/>
      <c r="DS734" s="43"/>
      <c r="DT734" s="43"/>
      <c r="DU734" s="43"/>
      <c r="DV734" s="43"/>
      <c r="DW734" s="43"/>
      <c r="DX734" s="43"/>
      <c r="DY734" s="43"/>
      <c r="DZ734" s="43"/>
      <c r="EA734" s="43"/>
      <c r="EB734" s="43"/>
      <c r="EC734" s="43"/>
      <c r="ED734" s="43"/>
      <c r="EE734" s="43"/>
      <c r="EF734" s="43"/>
      <c r="EG734" s="43"/>
      <c r="EH734" s="43"/>
      <c r="EI734" s="43"/>
      <c r="EJ734" s="43"/>
      <c r="EK734" s="43"/>
      <c r="EL734" s="43"/>
      <c r="EM734" s="43"/>
      <c r="EN734" s="43"/>
      <c r="EO734" s="43"/>
      <c r="EP734" s="43"/>
      <c r="EQ734" s="43"/>
      <c r="ER734" s="43"/>
      <c r="ES734" s="43"/>
      <c r="ET734" s="43"/>
      <c r="EU734" s="43"/>
      <c r="EV734" s="43"/>
      <c r="EW734" s="43"/>
      <c r="EX734" s="43"/>
      <c r="EY734" s="43"/>
      <c r="EZ734" s="43"/>
      <c r="FA734" s="43"/>
      <c r="FB734" s="43"/>
      <c r="FC734" s="43"/>
      <c r="FD734" s="43"/>
      <c r="FE734" s="43"/>
      <c r="FF734" s="43"/>
      <c r="FG734" s="43"/>
      <c r="FH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43"/>
      <c r="BP735" s="43"/>
      <c r="BQ735" s="43"/>
      <c r="BR735" s="43"/>
      <c r="BS735" s="43"/>
      <c r="BT735" s="43"/>
      <c r="BU735" s="43"/>
      <c r="BV735" s="43"/>
      <c r="BW735" s="43"/>
      <c r="BX735" s="43"/>
      <c r="BY735" s="43"/>
      <c r="BZ735" s="43"/>
      <c r="CA735" s="43"/>
      <c r="CB735" s="43"/>
      <c r="CC735" s="43"/>
      <c r="CD735" s="43"/>
      <c r="CE735" s="43"/>
      <c r="CF735" s="43"/>
      <c r="CG735" s="43"/>
      <c r="CH735" s="43"/>
      <c r="CI735" s="43"/>
      <c r="CJ735" s="43"/>
      <c r="CK735" s="43"/>
      <c r="CL735" s="43"/>
      <c r="CM735" s="43"/>
      <c r="CN735" s="43"/>
      <c r="CO735" s="43"/>
      <c r="CP735" s="43"/>
      <c r="CQ735" s="43"/>
      <c r="CR735" s="43"/>
      <c r="CS735" s="43"/>
      <c r="CT735" s="43"/>
      <c r="CU735" s="43"/>
      <c r="CV735" s="43"/>
      <c r="CW735" s="43"/>
      <c r="CX735" s="43"/>
      <c r="CY735" s="43"/>
      <c r="CZ735" s="43"/>
      <c r="DA735" s="43"/>
      <c r="DB735" s="43"/>
      <c r="DC735" s="43"/>
      <c r="DD735" s="43"/>
      <c r="DE735" s="43"/>
      <c r="DF735" s="43"/>
      <c r="DG735" s="43"/>
      <c r="DH735" s="43"/>
      <c r="DI735" s="43"/>
      <c r="DJ735" s="43"/>
      <c r="DK735" s="43"/>
      <c r="DL735" s="43"/>
      <c r="DM735" s="43"/>
      <c r="DN735" s="43"/>
      <c r="DO735" s="43"/>
      <c r="DP735" s="43"/>
      <c r="DQ735" s="43"/>
      <c r="DR735" s="43"/>
      <c r="DS735" s="43"/>
      <c r="DT735" s="43"/>
      <c r="DU735" s="43"/>
      <c r="DV735" s="43"/>
      <c r="DW735" s="43"/>
      <c r="DX735" s="43"/>
      <c r="DY735" s="43"/>
      <c r="DZ735" s="43"/>
      <c r="EA735" s="43"/>
      <c r="EB735" s="43"/>
      <c r="EC735" s="43"/>
      <c r="ED735" s="43"/>
      <c r="EE735" s="43"/>
      <c r="EF735" s="43"/>
      <c r="EG735" s="43"/>
      <c r="EH735" s="43"/>
      <c r="EI735" s="43"/>
      <c r="EJ735" s="43"/>
      <c r="EK735" s="43"/>
      <c r="EL735" s="43"/>
      <c r="EM735" s="43"/>
      <c r="EN735" s="43"/>
      <c r="EO735" s="43"/>
      <c r="EP735" s="43"/>
      <c r="EQ735" s="43"/>
      <c r="ER735" s="43"/>
      <c r="ES735" s="43"/>
      <c r="ET735" s="43"/>
      <c r="EU735" s="43"/>
      <c r="EV735" s="43"/>
      <c r="EW735" s="43"/>
      <c r="EX735" s="43"/>
      <c r="EY735" s="43"/>
      <c r="EZ735" s="43"/>
      <c r="FA735" s="43"/>
      <c r="FB735" s="43"/>
      <c r="FC735" s="43"/>
      <c r="FD735" s="43"/>
      <c r="FE735" s="43"/>
      <c r="FF735" s="43"/>
      <c r="FG735" s="43"/>
      <c r="FH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43"/>
      <c r="BP736" s="43"/>
      <c r="BQ736" s="43"/>
      <c r="BR736" s="43"/>
      <c r="BS736" s="43"/>
      <c r="BT736" s="43"/>
      <c r="BU736" s="43"/>
      <c r="BV736" s="43"/>
      <c r="BW736" s="43"/>
      <c r="BX736" s="43"/>
      <c r="BY736" s="43"/>
      <c r="BZ736" s="43"/>
      <c r="CA736" s="43"/>
      <c r="CB736" s="43"/>
      <c r="CC736" s="43"/>
      <c r="CD736" s="43"/>
      <c r="CE736" s="43"/>
      <c r="CF736" s="43"/>
      <c r="CG736" s="43"/>
      <c r="CH736" s="43"/>
      <c r="CI736" s="43"/>
      <c r="CJ736" s="43"/>
      <c r="CK736" s="43"/>
      <c r="CL736" s="43"/>
      <c r="CM736" s="43"/>
      <c r="CN736" s="43"/>
      <c r="CO736" s="43"/>
      <c r="CP736" s="43"/>
      <c r="CQ736" s="43"/>
      <c r="CR736" s="43"/>
      <c r="CS736" s="43"/>
      <c r="CT736" s="43"/>
      <c r="CU736" s="43"/>
      <c r="CV736" s="43"/>
      <c r="CW736" s="43"/>
      <c r="CX736" s="43"/>
      <c r="CY736" s="43"/>
      <c r="CZ736" s="43"/>
      <c r="DA736" s="43"/>
      <c r="DB736" s="43"/>
      <c r="DC736" s="43"/>
      <c r="DD736" s="43"/>
      <c r="DE736" s="43"/>
      <c r="DF736" s="43"/>
      <c r="DG736" s="43"/>
      <c r="DH736" s="43"/>
      <c r="DI736" s="43"/>
      <c r="DJ736" s="43"/>
      <c r="DK736" s="43"/>
      <c r="DL736" s="43"/>
      <c r="DM736" s="43"/>
      <c r="DN736" s="43"/>
      <c r="DO736" s="43"/>
      <c r="DP736" s="43"/>
      <c r="DQ736" s="43"/>
      <c r="DR736" s="43"/>
      <c r="DS736" s="43"/>
      <c r="DT736" s="43"/>
      <c r="DU736" s="43"/>
      <c r="DV736" s="43"/>
      <c r="DW736" s="43"/>
      <c r="DX736" s="43"/>
      <c r="DY736" s="43"/>
      <c r="DZ736" s="43"/>
      <c r="EA736" s="43"/>
      <c r="EB736" s="43"/>
      <c r="EC736" s="43"/>
      <c r="ED736" s="43"/>
      <c r="EE736" s="43"/>
      <c r="EF736" s="43"/>
      <c r="EG736" s="43"/>
      <c r="EH736" s="43"/>
      <c r="EI736" s="43"/>
      <c r="EJ736" s="43"/>
      <c r="EK736" s="43"/>
      <c r="EL736" s="43"/>
      <c r="EM736" s="43"/>
      <c r="EN736" s="43"/>
      <c r="EO736" s="43"/>
      <c r="EP736" s="43"/>
      <c r="EQ736" s="43"/>
      <c r="ER736" s="43"/>
      <c r="ES736" s="43"/>
      <c r="ET736" s="43"/>
      <c r="EU736" s="43"/>
      <c r="EV736" s="43"/>
      <c r="EW736" s="43"/>
      <c r="EX736" s="43"/>
      <c r="EY736" s="43"/>
      <c r="EZ736" s="43"/>
      <c r="FA736" s="43"/>
      <c r="FB736" s="43"/>
      <c r="FC736" s="43"/>
      <c r="FD736" s="43"/>
      <c r="FE736" s="43"/>
      <c r="FF736" s="43"/>
      <c r="FG736" s="43"/>
      <c r="FH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43"/>
      <c r="BP737" s="43"/>
      <c r="BQ737" s="43"/>
      <c r="BR737" s="43"/>
      <c r="BS737" s="43"/>
      <c r="BT737" s="43"/>
      <c r="BU737" s="43"/>
      <c r="BV737" s="43"/>
      <c r="BW737" s="43"/>
      <c r="BX737" s="43"/>
      <c r="BY737" s="43"/>
      <c r="BZ737" s="43"/>
      <c r="CA737" s="43"/>
      <c r="CB737" s="43"/>
      <c r="CC737" s="43"/>
      <c r="CD737" s="43"/>
      <c r="CE737" s="43"/>
      <c r="CF737" s="43"/>
      <c r="CG737" s="43"/>
      <c r="CH737" s="43"/>
      <c r="CI737" s="43"/>
      <c r="CJ737" s="43"/>
      <c r="CK737" s="43"/>
      <c r="CL737" s="43"/>
      <c r="CM737" s="43"/>
      <c r="CN737" s="43"/>
      <c r="CO737" s="43"/>
      <c r="CP737" s="43"/>
      <c r="CQ737" s="43"/>
      <c r="CR737" s="43"/>
      <c r="CS737" s="43"/>
      <c r="CT737" s="43"/>
      <c r="CU737" s="43"/>
      <c r="CV737" s="43"/>
      <c r="CW737" s="43"/>
      <c r="CX737" s="43"/>
      <c r="CY737" s="43"/>
      <c r="CZ737" s="43"/>
      <c r="DA737" s="43"/>
      <c r="DB737" s="43"/>
      <c r="DC737" s="43"/>
      <c r="DD737" s="43"/>
      <c r="DE737" s="43"/>
      <c r="DF737" s="43"/>
      <c r="DG737" s="43"/>
      <c r="DH737" s="43"/>
      <c r="DI737" s="43"/>
      <c r="DJ737" s="43"/>
      <c r="DK737" s="43"/>
      <c r="DL737" s="43"/>
      <c r="DM737" s="43"/>
      <c r="DN737" s="43"/>
      <c r="DO737" s="43"/>
      <c r="DP737" s="43"/>
      <c r="DQ737" s="43"/>
      <c r="DR737" s="43"/>
      <c r="DS737" s="43"/>
      <c r="DT737" s="43"/>
      <c r="DU737" s="43"/>
      <c r="DV737" s="43"/>
      <c r="DW737" s="43"/>
      <c r="DX737" s="43"/>
      <c r="DY737" s="43"/>
      <c r="DZ737" s="43"/>
      <c r="EA737" s="43"/>
      <c r="EB737" s="43"/>
      <c r="EC737" s="43"/>
      <c r="ED737" s="43"/>
      <c r="EE737" s="43"/>
      <c r="EF737" s="43"/>
      <c r="EG737" s="43"/>
      <c r="EH737" s="43"/>
      <c r="EI737" s="43"/>
      <c r="EJ737" s="43"/>
      <c r="EK737" s="43"/>
      <c r="EL737" s="43"/>
      <c r="EM737" s="43"/>
      <c r="EN737" s="43"/>
      <c r="EO737" s="43"/>
      <c r="EP737" s="43"/>
      <c r="EQ737" s="43"/>
      <c r="ER737" s="43"/>
      <c r="ES737" s="43"/>
      <c r="ET737" s="43"/>
      <c r="EU737" s="43"/>
      <c r="EV737" s="43"/>
      <c r="EW737" s="43"/>
      <c r="EX737" s="43"/>
      <c r="EY737" s="43"/>
      <c r="EZ737" s="43"/>
      <c r="FA737" s="43"/>
      <c r="FB737" s="43"/>
      <c r="FC737" s="43"/>
      <c r="FD737" s="43"/>
      <c r="FE737" s="43"/>
      <c r="FF737" s="43"/>
      <c r="FG737" s="43"/>
      <c r="FH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43"/>
      <c r="BP738" s="43"/>
      <c r="BQ738" s="43"/>
      <c r="BR738" s="43"/>
      <c r="BS738" s="43"/>
      <c r="BT738" s="43"/>
      <c r="BU738" s="43"/>
      <c r="BV738" s="43"/>
      <c r="BW738" s="43"/>
      <c r="BX738" s="43"/>
      <c r="BY738" s="43"/>
      <c r="BZ738" s="43"/>
      <c r="CA738" s="43"/>
      <c r="CB738" s="43"/>
      <c r="CC738" s="43"/>
      <c r="CD738" s="43"/>
      <c r="CE738" s="43"/>
      <c r="CF738" s="43"/>
      <c r="CG738" s="43"/>
      <c r="CH738" s="43"/>
      <c r="CI738" s="43"/>
      <c r="CJ738" s="43"/>
      <c r="CK738" s="43"/>
      <c r="CL738" s="43"/>
      <c r="CM738" s="43"/>
      <c r="CN738" s="43"/>
      <c r="CO738" s="43"/>
      <c r="CP738" s="43"/>
      <c r="CQ738" s="43"/>
      <c r="CR738" s="43"/>
      <c r="CS738" s="43"/>
      <c r="CT738" s="43"/>
      <c r="CU738" s="43"/>
      <c r="CV738" s="43"/>
      <c r="CW738" s="43"/>
      <c r="CX738" s="43"/>
      <c r="CY738" s="43"/>
      <c r="CZ738" s="43"/>
      <c r="DA738" s="43"/>
      <c r="DB738" s="43"/>
      <c r="DC738" s="43"/>
      <c r="DD738" s="43"/>
      <c r="DE738" s="43"/>
      <c r="DF738" s="43"/>
      <c r="DG738" s="43"/>
      <c r="DH738" s="43"/>
      <c r="DI738" s="43"/>
      <c r="DJ738" s="43"/>
      <c r="DK738" s="43"/>
      <c r="DL738" s="43"/>
      <c r="DM738" s="43"/>
      <c r="DN738" s="43"/>
      <c r="DO738" s="43"/>
      <c r="DP738" s="43"/>
      <c r="DQ738" s="43"/>
      <c r="DR738" s="43"/>
      <c r="DS738" s="43"/>
      <c r="DT738" s="43"/>
      <c r="DU738" s="43"/>
      <c r="DV738" s="43"/>
      <c r="DW738" s="43"/>
      <c r="DX738" s="43"/>
      <c r="DY738" s="43"/>
      <c r="DZ738" s="43"/>
      <c r="EA738" s="43"/>
      <c r="EB738" s="43"/>
      <c r="EC738" s="43"/>
      <c r="ED738" s="43"/>
      <c r="EE738" s="43"/>
      <c r="EF738" s="43"/>
      <c r="EG738" s="43"/>
      <c r="EH738" s="43"/>
      <c r="EI738" s="43"/>
      <c r="EJ738" s="43"/>
      <c r="EK738" s="43"/>
      <c r="EL738" s="43"/>
      <c r="EM738" s="43"/>
      <c r="EN738" s="43"/>
      <c r="EO738" s="43"/>
      <c r="EP738" s="43"/>
      <c r="EQ738" s="43"/>
      <c r="ER738" s="43"/>
      <c r="ES738" s="43"/>
      <c r="ET738" s="43"/>
      <c r="EU738" s="43"/>
      <c r="EV738" s="43"/>
      <c r="EW738" s="43"/>
      <c r="EX738" s="43"/>
      <c r="EY738" s="43"/>
      <c r="EZ738" s="43"/>
      <c r="FA738" s="43"/>
      <c r="FB738" s="43"/>
      <c r="FC738" s="43"/>
      <c r="FD738" s="43"/>
      <c r="FE738" s="43"/>
      <c r="FF738" s="43"/>
      <c r="FG738" s="43"/>
      <c r="FH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43"/>
      <c r="BP739" s="43"/>
      <c r="BQ739" s="43"/>
      <c r="BR739" s="43"/>
      <c r="BS739" s="43"/>
      <c r="BT739" s="43"/>
      <c r="BU739" s="43"/>
      <c r="BV739" s="43"/>
      <c r="BW739" s="43"/>
      <c r="BX739" s="43"/>
      <c r="BY739" s="43"/>
      <c r="BZ739" s="43"/>
      <c r="CA739" s="43"/>
      <c r="CB739" s="43"/>
      <c r="CC739" s="43"/>
      <c r="CD739" s="43"/>
      <c r="CE739" s="43"/>
      <c r="CF739" s="43"/>
      <c r="CG739" s="43"/>
      <c r="CH739" s="43"/>
      <c r="CI739" s="43"/>
      <c r="CJ739" s="43"/>
      <c r="CK739" s="43"/>
      <c r="CL739" s="43"/>
      <c r="CM739" s="43"/>
      <c r="CN739" s="43"/>
      <c r="CO739" s="43"/>
      <c r="CP739" s="43"/>
      <c r="CQ739" s="43"/>
      <c r="CR739" s="43"/>
      <c r="CS739" s="43"/>
      <c r="CT739" s="43"/>
      <c r="CU739" s="43"/>
      <c r="CV739" s="43"/>
      <c r="CW739" s="43"/>
      <c r="CX739" s="43"/>
      <c r="CY739" s="43"/>
      <c r="CZ739" s="43"/>
      <c r="DA739" s="43"/>
      <c r="DB739" s="43"/>
      <c r="DC739" s="43"/>
      <c r="DD739" s="43"/>
      <c r="DE739" s="43"/>
      <c r="DF739" s="43"/>
      <c r="DG739" s="43"/>
      <c r="DH739" s="43"/>
      <c r="DI739" s="43"/>
      <c r="DJ739" s="43"/>
      <c r="DK739" s="43"/>
      <c r="DL739" s="43"/>
      <c r="DM739" s="43"/>
      <c r="DN739" s="43"/>
      <c r="DO739" s="43"/>
      <c r="DP739" s="43"/>
      <c r="DQ739" s="43"/>
      <c r="DR739" s="43"/>
      <c r="DS739" s="43"/>
      <c r="DT739" s="43"/>
      <c r="DU739" s="43"/>
      <c r="DV739" s="43"/>
      <c r="DW739" s="43"/>
      <c r="DX739" s="43"/>
      <c r="DY739" s="43"/>
      <c r="DZ739" s="43"/>
      <c r="EA739" s="43"/>
      <c r="EB739" s="43"/>
      <c r="EC739" s="43"/>
      <c r="ED739" s="43"/>
      <c r="EE739" s="43"/>
      <c r="EF739" s="43"/>
      <c r="EG739" s="43"/>
      <c r="EH739" s="43"/>
      <c r="EI739" s="43"/>
      <c r="EJ739" s="43"/>
      <c r="EK739" s="43"/>
      <c r="EL739" s="43"/>
      <c r="EM739" s="43"/>
      <c r="EN739" s="43"/>
      <c r="EO739" s="43"/>
      <c r="EP739" s="43"/>
      <c r="EQ739" s="43"/>
      <c r="ER739" s="43"/>
      <c r="ES739" s="43"/>
      <c r="ET739" s="43"/>
      <c r="EU739" s="43"/>
      <c r="EV739" s="43"/>
      <c r="EW739" s="43"/>
      <c r="EX739" s="43"/>
      <c r="EY739" s="43"/>
      <c r="EZ739" s="43"/>
      <c r="FA739" s="43"/>
      <c r="FB739" s="43"/>
      <c r="FC739" s="43"/>
      <c r="FD739" s="43"/>
      <c r="FE739" s="43"/>
      <c r="FF739" s="43"/>
      <c r="FG739" s="43"/>
      <c r="FH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43"/>
      <c r="BP740" s="43"/>
      <c r="BQ740" s="43"/>
      <c r="BR740" s="43"/>
      <c r="BS740" s="43"/>
      <c r="BT740" s="43"/>
      <c r="BU740" s="43"/>
      <c r="BV740" s="43"/>
      <c r="BW740" s="43"/>
      <c r="BX740" s="43"/>
      <c r="BY740" s="43"/>
      <c r="BZ740" s="43"/>
      <c r="CA740" s="43"/>
      <c r="CB740" s="43"/>
      <c r="CC740" s="43"/>
      <c r="CD740" s="43"/>
      <c r="CE740" s="43"/>
      <c r="CF740" s="43"/>
      <c r="CG740" s="43"/>
      <c r="CH740" s="43"/>
      <c r="CI740" s="43"/>
      <c r="CJ740" s="43"/>
      <c r="CK740" s="43"/>
      <c r="CL740" s="43"/>
      <c r="CM740" s="43"/>
      <c r="CN740" s="43"/>
      <c r="CO740" s="43"/>
      <c r="CP740" s="43"/>
      <c r="CQ740" s="43"/>
      <c r="CR740" s="43"/>
      <c r="CS740" s="43"/>
      <c r="CT740" s="43"/>
      <c r="CU740" s="43"/>
      <c r="CV740" s="43"/>
      <c r="CW740" s="43"/>
      <c r="CX740" s="43"/>
      <c r="CY740" s="43"/>
      <c r="CZ740" s="43"/>
      <c r="DA740" s="43"/>
      <c r="DB740" s="43"/>
      <c r="DC740" s="43"/>
      <c r="DD740" s="43"/>
      <c r="DE740" s="43"/>
      <c r="DF740" s="43"/>
      <c r="DG740" s="43"/>
      <c r="DH740" s="43"/>
      <c r="DI740" s="43"/>
      <c r="DJ740" s="43"/>
      <c r="DK740" s="43"/>
      <c r="DL740" s="43"/>
      <c r="DM740" s="43"/>
      <c r="DN740" s="43"/>
      <c r="DO740" s="43"/>
      <c r="DP740" s="43"/>
      <c r="DQ740" s="43"/>
      <c r="DR740" s="43"/>
      <c r="DS740" s="43"/>
      <c r="DT740" s="43"/>
      <c r="DU740" s="43"/>
      <c r="DV740" s="43"/>
      <c r="DW740" s="43"/>
      <c r="DX740" s="43"/>
      <c r="DY740" s="43"/>
      <c r="DZ740" s="43"/>
      <c r="EA740" s="43"/>
      <c r="EB740" s="43"/>
      <c r="EC740" s="43"/>
      <c r="ED740" s="43"/>
      <c r="EE740" s="43"/>
      <c r="EF740" s="43"/>
      <c r="EG740" s="43"/>
      <c r="EH740" s="43"/>
      <c r="EI740" s="43"/>
      <c r="EJ740" s="43"/>
      <c r="EK740" s="43"/>
      <c r="EL740" s="43"/>
      <c r="EM740" s="43"/>
      <c r="EN740" s="43"/>
      <c r="EO740" s="43"/>
      <c r="EP740" s="43"/>
      <c r="EQ740" s="43"/>
      <c r="ER740" s="43"/>
      <c r="ES740" s="43"/>
      <c r="ET740" s="43"/>
      <c r="EU740" s="43"/>
      <c r="EV740" s="43"/>
      <c r="EW740" s="43"/>
      <c r="EX740" s="43"/>
      <c r="EY740" s="43"/>
      <c r="EZ740" s="43"/>
      <c r="FA740" s="43"/>
      <c r="FB740" s="43"/>
      <c r="FC740" s="43"/>
      <c r="FD740" s="43"/>
      <c r="FE740" s="43"/>
      <c r="FF740" s="43"/>
      <c r="FG740" s="43"/>
      <c r="FH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43"/>
      <c r="BP741" s="43"/>
      <c r="BQ741" s="43"/>
      <c r="BR741" s="43"/>
      <c r="BS741" s="43"/>
      <c r="BT741" s="43"/>
      <c r="BU741" s="43"/>
      <c r="BV741" s="43"/>
      <c r="BW741" s="43"/>
      <c r="BX741" s="43"/>
      <c r="BY741" s="43"/>
      <c r="BZ741" s="43"/>
      <c r="CA741" s="43"/>
      <c r="CB741" s="43"/>
      <c r="CC741" s="43"/>
      <c r="CD741" s="43"/>
      <c r="CE741" s="43"/>
      <c r="CF741" s="43"/>
      <c r="CG741" s="43"/>
      <c r="CH741" s="43"/>
      <c r="CI741" s="43"/>
      <c r="CJ741" s="43"/>
      <c r="CK741" s="43"/>
      <c r="CL741" s="43"/>
      <c r="CM741" s="43"/>
      <c r="CN741" s="43"/>
      <c r="CO741" s="43"/>
      <c r="CP741" s="43"/>
      <c r="CQ741" s="43"/>
      <c r="CR741" s="43"/>
      <c r="CS741" s="43"/>
      <c r="CT741" s="43"/>
      <c r="CU741" s="43"/>
      <c r="CV741" s="43"/>
      <c r="CW741" s="43"/>
      <c r="CX741" s="43"/>
      <c r="CY741" s="43"/>
      <c r="CZ741" s="43"/>
      <c r="DA741" s="43"/>
      <c r="DB741" s="43"/>
      <c r="DC741" s="43"/>
      <c r="DD741" s="43"/>
      <c r="DE741" s="43"/>
      <c r="DF741" s="43"/>
      <c r="DG741" s="43"/>
      <c r="DH741" s="43"/>
      <c r="DI741" s="43"/>
      <c r="DJ741" s="43"/>
      <c r="DK741" s="43"/>
      <c r="DL741" s="43"/>
      <c r="DM741" s="43"/>
      <c r="DN741" s="43"/>
      <c r="DO741" s="43"/>
      <c r="DP741" s="43"/>
      <c r="DQ741" s="43"/>
      <c r="DR741" s="43"/>
      <c r="DS741" s="43"/>
      <c r="DT741" s="43"/>
      <c r="DU741" s="43"/>
      <c r="DV741" s="43"/>
      <c r="DW741" s="43"/>
      <c r="DX741" s="43"/>
      <c r="DY741" s="43"/>
      <c r="DZ741" s="43"/>
      <c r="EA741" s="43"/>
      <c r="EB741" s="43"/>
      <c r="EC741" s="43"/>
      <c r="ED741" s="43"/>
      <c r="EE741" s="43"/>
      <c r="EF741" s="43"/>
      <c r="EG741" s="43"/>
      <c r="EH741" s="43"/>
      <c r="EI741" s="43"/>
      <c r="EJ741" s="43"/>
      <c r="EK741" s="43"/>
      <c r="EL741" s="43"/>
      <c r="EM741" s="43"/>
      <c r="EN741" s="43"/>
      <c r="EO741" s="43"/>
      <c r="EP741" s="43"/>
      <c r="EQ741" s="43"/>
      <c r="ER741" s="43"/>
      <c r="ES741" s="43"/>
      <c r="ET741" s="43"/>
      <c r="EU741" s="43"/>
      <c r="EV741" s="43"/>
      <c r="EW741" s="43"/>
      <c r="EX741" s="43"/>
      <c r="EY741" s="43"/>
      <c r="EZ741" s="43"/>
      <c r="FA741" s="43"/>
      <c r="FB741" s="43"/>
      <c r="FC741" s="43"/>
      <c r="FD741" s="43"/>
      <c r="FE741" s="43"/>
      <c r="FF741" s="43"/>
      <c r="FG741" s="43"/>
      <c r="FH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43"/>
      <c r="BP742" s="43"/>
      <c r="BQ742" s="43"/>
      <c r="BR742" s="43"/>
      <c r="BS742" s="43"/>
      <c r="BT742" s="43"/>
      <c r="BU742" s="43"/>
      <c r="BV742" s="43"/>
      <c r="BW742" s="43"/>
      <c r="BX742" s="43"/>
      <c r="BY742" s="43"/>
      <c r="BZ742" s="43"/>
      <c r="CA742" s="43"/>
      <c r="CB742" s="43"/>
      <c r="CC742" s="43"/>
      <c r="CD742" s="43"/>
      <c r="CE742" s="43"/>
      <c r="CF742" s="43"/>
      <c r="CG742" s="43"/>
      <c r="CH742" s="43"/>
      <c r="CI742" s="43"/>
      <c r="CJ742" s="43"/>
      <c r="CK742" s="43"/>
      <c r="CL742" s="43"/>
      <c r="CM742" s="43"/>
      <c r="CN742" s="43"/>
      <c r="CO742" s="43"/>
      <c r="CP742" s="43"/>
      <c r="CQ742" s="43"/>
      <c r="CR742" s="43"/>
      <c r="CS742" s="43"/>
      <c r="CT742" s="43"/>
      <c r="CU742" s="43"/>
      <c r="CV742" s="43"/>
      <c r="CW742" s="43"/>
      <c r="CX742" s="43"/>
      <c r="CY742" s="43"/>
      <c r="CZ742" s="43"/>
      <c r="DA742" s="43"/>
      <c r="DB742" s="43"/>
      <c r="DC742" s="43"/>
      <c r="DD742" s="43"/>
      <c r="DE742" s="43"/>
      <c r="DF742" s="43"/>
      <c r="DG742" s="43"/>
      <c r="DH742" s="43"/>
      <c r="DI742" s="43"/>
      <c r="DJ742" s="43"/>
      <c r="DK742" s="43"/>
      <c r="DL742" s="43"/>
      <c r="DM742" s="43"/>
      <c r="DN742" s="43"/>
      <c r="DO742" s="43"/>
      <c r="DP742" s="43"/>
      <c r="DQ742" s="43"/>
      <c r="DR742" s="43"/>
      <c r="DS742" s="43"/>
      <c r="DT742" s="43"/>
      <c r="DU742" s="43"/>
      <c r="DV742" s="43"/>
      <c r="DW742" s="43"/>
      <c r="DX742" s="43"/>
      <c r="DY742" s="43"/>
      <c r="DZ742" s="43"/>
      <c r="EA742" s="43"/>
      <c r="EB742" s="43"/>
      <c r="EC742" s="43"/>
      <c r="ED742" s="43"/>
      <c r="EE742" s="43"/>
      <c r="EF742" s="43"/>
      <c r="EG742" s="43"/>
      <c r="EH742" s="43"/>
      <c r="EI742" s="43"/>
      <c r="EJ742" s="43"/>
      <c r="EK742" s="43"/>
      <c r="EL742" s="43"/>
      <c r="EM742" s="43"/>
      <c r="EN742" s="43"/>
      <c r="EO742" s="43"/>
      <c r="EP742" s="43"/>
      <c r="EQ742" s="43"/>
      <c r="ER742" s="43"/>
      <c r="ES742" s="43"/>
      <c r="ET742" s="43"/>
      <c r="EU742" s="43"/>
      <c r="EV742" s="43"/>
      <c r="EW742" s="43"/>
      <c r="EX742" s="43"/>
      <c r="EY742" s="43"/>
      <c r="EZ742" s="43"/>
      <c r="FA742" s="43"/>
      <c r="FB742" s="43"/>
      <c r="FC742" s="43"/>
      <c r="FD742" s="43"/>
      <c r="FE742" s="43"/>
      <c r="FF742" s="43"/>
      <c r="FG742" s="43"/>
      <c r="FH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43"/>
      <c r="BP743" s="43"/>
      <c r="BQ743" s="43"/>
      <c r="BR743" s="43"/>
      <c r="BS743" s="43"/>
      <c r="BT743" s="43"/>
      <c r="BU743" s="43"/>
      <c r="BV743" s="43"/>
      <c r="BW743" s="43"/>
      <c r="BX743" s="43"/>
      <c r="BY743" s="43"/>
      <c r="BZ743" s="43"/>
      <c r="CA743" s="43"/>
      <c r="CB743" s="43"/>
      <c r="CC743" s="43"/>
      <c r="CD743" s="43"/>
      <c r="CE743" s="43"/>
      <c r="CF743" s="43"/>
      <c r="CG743" s="43"/>
      <c r="CH743" s="43"/>
      <c r="CI743" s="43"/>
      <c r="CJ743" s="43"/>
      <c r="CK743" s="43"/>
      <c r="CL743" s="43"/>
      <c r="CM743" s="43"/>
      <c r="CN743" s="43"/>
      <c r="CO743" s="43"/>
      <c r="CP743" s="43"/>
      <c r="CQ743" s="43"/>
      <c r="CR743" s="43"/>
      <c r="CS743" s="43"/>
      <c r="CT743" s="43"/>
      <c r="CU743" s="43"/>
      <c r="CV743" s="43"/>
      <c r="CW743" s="43"/>
      <c r="CX743" s="43"/>
      <c r="CY743" s="43"/>
      <c r="CZ743" s="43"/>
      <c r="DA743" s="43"/>
      <c r="DB743" s="43"/>
      <c r="DC743" s="43"/>
      <c r="DD743" s="43"/>
      <c r="DE743" s="43"/>
      <c r="DF743" s="43"/>
      <c r="DG743" s="43"/>
      <c r="DH743" s="43"/>
      <c r="DI743" s="43"/>
      <c r="DJ743" s="43"/>
      <c r="DK743" s="43"/>
      <c r="DL743" s="43"/>
      <c r="DM743" s="43"/>
      <c r="DN743" s="43"/>
      <c r="DO743" s="43"/>
      <c r="DP743" s="43"/>
      <c r="DQ743" s="43"/>
      <c r="DR743" s="43"/>
      <c r="DS743" s="43"/>
      <c r="DT743" s="43"/>
      <c r="DU743" s="43"/>
      <c r="DV743" s="43"/>
      <c r="DW743" s="43"/>
      <c r="DX743" s="43"/>
      <c r="DY743" s="43"/>
      <c r="DZ743" s="43"/>
      <c r="EA743" s="43"/>
      <c r="EB743" s="43"/>
      <c r="EC743" s="43"/>
      <c r="ED743" s="43"/>
      <c r="EE743" s="43"/>
      <c r="EF743" s="43"/>
      <c r="EG743" s="43"/>
      <c r="EH743" s="43"/>
      <c r="EI743" s="43"/>
      <c r="EJ743" s="43"/>
      <c r="EK743" s="43"/>
      <c r="EL743" s="43"/>
      <c r="EM743" s="43"/>
      <c r="EN743" s="43"/>
      <c r="EO743" s="43"/>
      <c r="EP743" s="43"/>
      <c r="EQ743" s="43"/>
      <c r="ER743" s="43"/>
      <c r="ES743" s="43"/>
      <c r="ET743" s="43"/>
      <c r="EU743" s="43"/>
      <c r="EV743" s="43"/>
      <c r="EW743" s="43"/>
      <c r="EX743" s="43"/>
      <c r="EY743" s="43"/>
      <c r="EZ743" s="43"/>
      <c r="FA743" s="43"/>
      <c r="FB743" s="43"/>
      <c r="FC743" s="43"/>
      <c r="FD743" s="43"/>
      <c r="FE743" s="43"/>
      <c r="FF743" s="43"/>
      <c r="FG743" s="43"/>
      <c r="FH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43"/>
      <c r="BP744" s="43"/>
      <c r="BQ744" s="43"/>
      <c r="BR744" s="43"/>
      <c r="BS744" s="43"/>
      <c r="BT744" s="43"/>
      <c r="BU744" s="43"/>
      <c r="BV744" s="43"/>
      <c r="BW744" s="43"/>
      <c r="BX744" s="43"/>
      <c r="BY744" s="43"/>
      <c r="BZ744" s="43"/>
      <c r="CA744" s="43"/>
      <c r="CB744" s="43"/>
      <c r="CC744" s="43"/>
      <c r="CD744" s="43"/>
      <c r="CE744" s="43"/>
      <c r="CF744" s="43"/>
      <c r="CG744" s="43"/>
      <c r="CH744" s="43"/>
      <c r="CI744" s="43"/>
      <c r="CJ744" s="43"/>
      <c r="CK744" s="43"/>
      <c r="CL744" s="43"/>
      <c r="CM744" s="43"/>
      <c r="CN744" s="43"/>
      <c r="CO744" s="43"/>
      <c r="CP744" s="43"/>
      <c r="CQ744" s="43"/>
      <c r="CR744" s="43"/>
      <c r="CS744" s="43"/>
      <c r="CT744" s="43"/>
      <c r="CU744" s="43"/>
      <c r="CV744" s="43"/>
      <c r="CW744" s="43"/>
      <c r="CX744" s="43"/>
      <c r="CY744" s="43"/>
      <c r="CZ744" s="43"/>
      <c r="DA744" s="43"/>
      <c r="DB744" s="43"/>
      <c r="DC744" s="43"/>
      <c r="DD744" s="43"/>
      <c r="DE744" s="43"/>
      <c r="DF744" s="43"/>
      <c r="DG744" s="43"/>
      <c r="DH744" s="43"/>
      <c r="DI744" s="43"/>
      <c r="DJ744" s="43"/>
      <c r="DK744" s="43"/>
      <c r="DL744" s="43"/>
      <c r="DM744" s="43"/>
      <c r="DN744" s="43"/>
      <c r="DO744" s="43"/>
      <c r="DP744" s="43"/>
      <c r="DQ744" s="43"/>
      <c r="DR744" s="43"/>
      <c r="DS744" s="43"/>
      <c r="DT744" s="43"/>
      <c r="DU744" s="43"/>
      <c r="DV744" s="43"/>
      <c r="DW744" s="43"/>
      <c r="DX744" s="43"/>
      <c r="DY744" s="43"/>
      <c r="DZ744" s="43"/>
      <c r="EA744" s="43"/>
      <c r="EB744" s="43"/>
      <c r="EC744" s="43"/>
      <c r="ED744" s="43"/>
      <c r="EE744" s="43"/>
      <c r="EF744" s="43"/>
      <c r="EG744" s="43"/>
      <c r="EH744" s="43"/>
      <c r="EI744" s="43"/>
      <c r="EJ744" s="43"/>
      <c r="EK744" s="43"/>
      <c r="EL744" s="43"/>
      <c r="EM744" s="43"/>
      <c r="EN744" s="43"/>
      <c r="EO744" s="43"/>
      <c r="EP744" s="43"/>
      <c r="EQ744" s="43"/>
      <c r="ER744" s="43"/>
      <c r="ES744" s="43"/>
      <c r="ET744" s="43"/>
      <c r="EU744" s="43"/>
      <c r="EV744" s="43"/>
      <c r="EW744" s="43"/>
      <c r="EX744" s="43"/>
      <c r="EY744" s="43"/>
      <c r="EZ744" s="43"/>
      <c r="FA744" s="43"/>
      <c r="FB744" s="43"/>
      <c r="FC744" s="43"/>
      <c r="FD744" s="43"/>
      <c r="FE744" s="43"/>
      <c r="FF744" s="43"/>
      <c r="FG744" s="43"/>
      <c r="FH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43"/>
      <c r="BP745" s="43"/>
      <c r="BQ745" s="43"/>
      <c r="BR745" s="43"/>
      <c r="BS745" s="43"/>
      <c r="BT745" s="43"/>
      <c r="BU745" s="43"/>
      <c r="BV745" s="43"/>
      <c r="BW745" s="43"/>
      <c r="BX745" s="43"/>
      <c r="BY745" s="43"/>
      <c r="BZ745" s="43"/>
      <c r="CA745" s="43"/>
      <c r="CB745" s="43"/>
      <c r="CC745" s="43"/>
      <c r="CD745" s="43"/>
      <c r="CE745" s="43"/>
      <c r="CF745" s="43"/>
      <c r="CG745" s="43"/>
      <c r="CH745" s="43"/>
      <c r="CI745" s="43"/>
      <c r="CJ745" s="43"/>
      <c r="CK745" s="43"/>
      <c r="CL745" s="43"/>
      <c r="CM745" s="43"/>
      <c r="CN745" s="43"/>
      <c r="CO745" s="43"/>
      <c r="CP745" s="43"/>
      <c r="CQ745" s="43"/>
      <c r="CR745" s="43"/>
      <c r="CS745" s="43"/>
      <c r="CT745" s="43"/>
      <c r="CU745" s="43"/>
      <c r="CV745" s="43"/>
      <c r="CW745" s="43"/>
      <c r="CX745" s="43"/>
      <c r="CY745" s="43"/>
      <c r="CZ745" s="43"/>
      <c r="DA745" s="43"/>
      <c r="DB745" s="43"/>
      <c r="DC745" s="43"/>
      <c r="DD745" s="43"/>
      <c r="DE745" s="43"/>
      <c r="DF745" s="43"/>
      <c r="DG745" s="43"/>
      <c r="DH745" s="43"/>
      <c r="DI745" s="43"/>
      <c r="DJ745" s="43"/>
      <c r="DK745" s="43"/>
      <c r="DL745" s="43"/>
      <c r="DM745" s="43"/>
      <c r="DN745" s="43"/>
      <c r="DO745" s="43"/>
      <c r="DP745" s="43"/>
      <c r="DQ745" s="43"/>
      <c r="DR745" s="43"/>
      <c r="DS745" s="43"/>
      <c r="DT745" s="43"/>
      <c r="DU745" s="43"/>
      <c r="DV745" s="43"/>
      <c r="DW745" s="43"/>
      <c r="DX745" s="43"/>
      <c r="DY745" s="43"/>
      <c r="DZ745" s="43"/>
      <c r="EA745" s="43"/>
      <c r="EB745" s="43"/>
      <c r="EC745" s="43"/>
      <c r="ED745" s="43"/>
      <c r="EE745" s="43"/>
      <c r="EF745" s="43"/>
      <c r="EG745" s="43"/>
      <c r="EH745" s="43"/>
      <c r="EI745" s="43"/>
      <c r="EJ745" s="43"/>
      <c r="EK745" s="43"/>
      <c r="EL745" s="43"/>
      <c r="EM745" s="43"/>
      <c r="EN745" s="43"/>
      <c r="EO745" s="43"/>
      <c r="EP745" s="43"/>
      <c r="EQ745" s="43"/>
      <c r="ER745" s="43"/>
      <c r="ES745" s="43"/>
      <c r="ET745" s="43"/>
      <c r="EU745" s="43"/>
      <c r="EV745" s="43"/>
      <c r="EW745" s="43"/>
      <c r="EX745" s="43"/>
      <c r="EY745" s="43"/>
      <c r="EZ745" s="43"/>
      <c r="FA745" s="43"/>
      <c r="FB745" s="43"/>
      <c r="FC745" s="43"/>
      <c r="FD745" s="43"/>
      <c r="FE745" s="43"/>
      <c r="FF745" s="43"/>
      <c r="FG745" s="43"/>
      <c r="FH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43"/>
      <c r="BP746" s="43"/>
      <c r="BQ746" s="43"/>
      <c r="BR746" s="43"/>
      <c r="BS746" s="43"/>
      <c r="BT746" s="43"/>
      <c r="BU746" s="43"/>
      <c r="BV746" s="43"/>
      <c r="BW746" s="43"/>
      <c r="BX746" s="43"/>
      <c r="BY746" s="43"/>
      <c r="BZ746" s="43"/>
      <c r="CA746" s="43"/>
      <c r="CB746" s="43"/>
      <c r="CC746" s="43"/>
      <c r="CD746" s="43"/>
      <c r="CE746" s="43"/>
      <c r="CF746" s="43"/>
      <c r="CG746" s="43"/>
      <c r="CH746" s="43"/>
      <c r="CI746" s="43"/>
      <c r="CJ746" s="43"/>
      <c r="CK746" s="43"/>
      <c r="CL746" s="43"/>
      <c r="CM746" s="43"/>
      <c r="CN746" s="43"/>
      <c r="CO746" s="43"/>
      <c r="CP746" s="43"/>
      <c r="CQ746" s="43"/>
      <c r="CR746" s="43"/>
      <c r="CS746" s="43"/>
      <c r="CT746" s="43"/>
      <c r="CU746" s="43"/>
      <c r="CV746" s="43"/>
      <c r="CW746" s="43"/>
      <c r="CX746" s="43"/>
      <c r="CY746" s="43"/>
      <c r="CZ746" s="43"/>
      <c r="DA746" s="43"/>
      <c r="DB746" s="43"/>
      <c r="DC746" s="43"/>
      <c r="DD746" s="43"/>
      <c r="DE746" s="43"/>
      <c r="DF746" s="43"/>
      <c r="DG746" s="43"/>
      <c r="DH746" s="43"/>
      <c r="DI746" s="43"/>
      <c r="DJ746" s="43"/>
      <c r="DK746" s="43"/>
      <c r="DL746" s="43"/>
      <c r="DM746" s="43"/>
      <c r="DN746" s="43"/>
      <c r="DO746" s="43"/>
      <c r="DP746" s="43"/>
      <c r="DQ746" s="43"/>
      <c r="DR746" s="43"/>
      <c r="DS746" s="43"/>
      <c r="DT746" s="43"/>
      <c r="DU746" s="43"/>
      <c r="DV746" s="43"/>
      <c r="DW746" s="43"/>
      <c r="DX746" s="43"/>
      <c r="DY746" s="43"/>
      <c r="DZ746" s="43"/>
      <c r="EA746" s="43"/>
      <c r="EB746" s="43"/>
      <c r="EC746" s="43"/>
      <c r="ED746" s="43"/>
      <c r="EE746" s="43"/>
      <c r="EF746" s="43"/>
      <c r="EG746" s="43"/>
      <c r="EH746" s="43"/>
      <c r="EI746" s="43"/>
      <c r="EJ746" s="43"/>
      <c r="EK746" s="43"/>
      <c r="EL746" s="43"/>
      <c r="EM746" s="43"/>
      <c r="EN746" s="43"/>
      <c r="EO746" s="43"/>
      <c r="EP746" s="43"/>
      <c r="EQ746" s="43"/>
      <c r="ER746" s="43"/>
      <c r="ES746" s="43"/>
      <c r="ET746" s="43"/>
      <c r="EU746" s="43"/>
      <c r="EV746" s="43"/>
      <c r="EW746" s="43"/>
      <c r="EX746" s="43"/>
      <c r="EY746" s="43"/>
      <c r="EZ746" s="43"/>
      <c r="FA746" s="43"/>
      <c r="FB746" s="43"/>
      <c r="FC746" s="43"/>
      <c r="FD746" s="43"/>
      <c r="FE746" s="43"/>
      <c r="FF746" s="43"/>
      <c r="FG746" s="43"/>
      <c r="FH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43"/>
      <c r="BP747" s="43"/>
      <c r="BQ747" s="43"/>
      <c r="BR747" s="43"/>
      <c r="BS747" s="43"/>
      <c r="BT747" s="43"/>
      <c r="BU747" s="43"/>
      <c r="BV747" s="43"/>
      <c r="BW747" s="43"/>
      <c r="BX747" s="43"/>
      <c r="BY747" s="43"/>
      <c r="BZ747" s="43"/>
      <c r="CA747" s="43"/>
      <c r="CB747" s="43"/>
      <c r="CC747" s="43"/>
      <c r="CD747" s="43"/>
      <c r="CE747" s="43"/>
      <c r="CF747" s="43"/>
      <c r="CG747" s="43"/>
      <c r="CH747" s="43"/>
      <c r="CI747" s="43"/>
      <c r="CJ747" s="43"/>
      <c r="CK747" s="43"/>
      <c r="CL747" s="43"/>
      <c r="CM747" s="43"/>
      <c r="CN747" s="43"/>
      <c r="CO747" s="43"/>
      <c r="CP747" s="43"/>
      <c r="CQ747" s="43"/>
      <c r="CR747" s="43"/>
      <c r="CS747" s="43"/>
      <c r="CT747" s="43"/>
      <c r="CU747" s="43"/>
      <c r="CV747" s="43"/>
      <c r="CW747" s="43"/>
      <c r="CX747" s="43"/>
      <c r="CY747" s="43"/>
      <c r="CZ747" s="43"/>
      <c r="DA747" s="43"/>
      <c r="DB747" s="43"/>
      <c r="DC747" s="43"/>
      <c r="DD747" s="43"/>
      <c r="DE747" s="43"/>
      <c r="DF747" s="43"/>
      <c r="DG747" s="43"/>
      <c r="DH747" s="43"/>
      <c r="DI747" s="43"/>
      <c r="DJ747" s="43"/>
      <c r="DK747" s="43"/>
      <c r="DL747" s="43"/>
      <c r="DM747" s="43"/>
      <c r="DN747" s="43"/>
      <c r="DO747" s="43"/>
      <c r="DP747" s="43"/>
      <c r="DQ747" s="43"/>
      <c r="DR747" s="43"/>
      <c r="DS747" s="43"/>
      <c r="DT747" s="43"/>
      <c r="DU747" s="43"/>
      <c r="DV747" s="43"/>
      <c r="DW747" s="43"/>
      <c r="DX747" s="43"/>
      <c r="DY747" s="43"/>
      <c r="DZ747" s="43"/>
      <c r="EA747" s="43"/>
      <c r="EB747" s="43"/>
      <c r="EC747" s="43"/>
      <c r="ED747" s="43"/>
      <c r="EE747" s="43"/>
      <c r="EF747" s="43"/>
      <c r="EG747" s="43"/>
      <c r="EH747" s="43"/>
      <c r="EI747" s="43"/>
      <c r="EJ747" s="43"/>
      <c r="EK747" s="43"/>
      <c r="EL747" s="43"/>
      <c r="EM747" s="43"/>
      <c r="EN747" s="43"/>
      <c r="EO747" s="43"/>
      <c r="EP747" s="43"/>
      <c r="EQ747" s="43"/>
      <c r="ER747" s="43"/>
      <c r="ES747" s="43"/>
      <c r="ET747" s="43"/>
      <c r="EU747" s="43"/>
      <c r="EV747" s="43"/>
      <c r="EW747" s="43"/>
      <c r="EX747" s="43"/>
      <c r="EY747" s="43"/>
      <c r="EZ747" s="43"/>
      <c r="FA747" s="43"/>
      <c r="FB747" s="43"/>
      <c r="FC747" s="43"/>
      <c r="FD747" s="43"/>
      <c r="FE747" s="43"/>
      <c r="FF747" s="43"/>
      <c r="FG747" s="43"/>
      <c r="FH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43"/>
      <c r="BP748" s="43"/>
      <c r="BQ748" s="43"/>
      <c r="BR748" s="43"/>
      <c r="BS748" s="43"/>
      <c r="BT748" s="43"/>
      <c r="BU748" s="43"/>
      <c r="BV748" s="43"/>
      <c r="BW748" s="43"/>
      <c r="BX748" s="43"/>
      <c r="BY748" s="43"/>
      <c r="BZ748" s="43"/>
      <c r="CA748" s="43"/>
      <c r="CB748" s="43"/>
      <c r="CC748" s="43"/>
      <c r="CD748" s="43"/>
      <c r="CE748" s="43"/>
      <c r="CF748" s="43"/>
      <c r="CG748" s="43"/>
      <c r="CH748" s="43"/>
      <c r="CI748" s="43"/>
      <c r="CJ748" s="43"/>
      <c r="CK748" s="43"/>
      <c r="CL748" s="43"/>
      <c r="CM748" s="43"/>
      <c r="CN748" s="43"/>
      <c r="CO748" s="43"/>
      <c r="CP748" s="43"/>
      <c r="CQ748" s="43"/>
      <c r="CR748" s="43"/>
      <c r="CS748" s="43"/>
      <c r="CT748" s="43"/>
      <c r="CU748" s="43"/>
      <c r="CV748" s="43"/>
      <c r="CW748" s="43"/>
      <c r="CX748" s="43"/>
      <c r="CY748" s="43"/>
      <c r="CZ748" s="43"/>
      <c r="DA748" s="43"/>
      <c r="DB748" s="43"/>
      <c r="DC748" s="43"/>
      <c r="DD748" s="43"/>
      <c r="DE748" s="43"/>
      <c r="DF748" s="43"/>
      <c r="DG748" s="43"/>
      <c r="DH748" s="43"/>
      <c r="DI748" s="43"/>
      <c r="DJ748" s="43"/>
      <c r="DK748" s="43"/>
      <c r="DL748" s="43"/>
      <c r="DM748" s="43"/>
      <c r="DN748" s="43"/>
      <c r="DO748" s="43"/>
      <c r="DP748" s="43"/>
      <c r="DQ748" s="43"/>
      <c r="DR748" s="43"/>
      <c r="DS748" s="43"/>
      <c r="DT748" s="43"/>
      <c r="DU748" s="43"/>
      <c r="DV748" s="43"/>
      <c r="DW748" s="43"/>
      <c r="DX748" s="43"/>
      <c r="DY748" s="43"/>
      <c r="DZ748" s="43"/>
      <c r="EA748" s="43"/>
      <c r="EB748" s="43"/>
      <c r="EC748" s="43"/>
      <c r="ED748" s="43"/>
      <c r="EE748" s="43"/>
      <c r="EF748" s="43"/>
      <c r="EG748" s="43"/>
      <c r="EH748" s="43"/>
      <c r="EI748" s="43"/>
      <c r="EJ748" s="43"/>
      <c r="EK748" s="43"/>
      <c r="EL748" s="43"/>
      <c r="EM748" s="43"/>
      <c r="EN748" s="43"/>
      <c r="EO748" s="43"/>
      <c r="EP748" s="43"/>
      <c r="EQ748" s="43"/>
      <c r="ER748" s="43"/>
      <c r="ES748" s="43"/>
      <c r="ET748" s="43"/>
      <c r="EU748" s="43"/>
      <c r="EV748" s="43"/>
      <c r="EW748" s="43"/>
      <c r="EX748" s="43"/>
      <c r="EY748" s="43"/>
      <c r="EZ748" s="43"/>
      <c r="FA748" s="43"/>
      <c r="FB748" s="43"/>
      <c r="FC748" s="43"/>
      <c r="FD748" s="43"/>
      <c r="FE748" s="43"/>
      <c r="FF748" s="43"/>
      <c r="FG748" s="43"/>
      <c r="FH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43"/>
      <c r="BP749" s="43"/>
      <c r="BQ749" s="43"/>
      <c r="BR749" s="43"/>
      <c r="BS749" s="43"/>
      <c r="BT749" s="43"/>
      <c r="BU749" s="43"/>
      <c r="BV749" s="43"/>
      <c r="BW749" s="43"/>
      <c r="BX749" s="43"/>
      <c r="BY749" s="43"/>
      <c r="BZ749" s="43"/>
      <c r="CA749" s="43"/>
      <c r="CB749" s="43"/>
      <c r="CC749" s="43"/>
      <c r="CD749" s="43"/>
      <c r="CE749" s="43"/>
      <c r="CF749" s="43"/>
      <c r="CG749" s="43"/>
      <c r="CH749" s="43"/>
      <c r="CI749" s="43"/>
      <c r="CJ749" s="43"/>
      <c r="CK749" s="43"/>
      <c r="CL749" s="43"/>
      <c r="CM749" s="43"/>
      <c r="CN749" s="43"/>
      <c r="CO749" s="43"/>
      <c r="CP749" s="43"/>
      <c r="CQ749" s="43"/>
      <c r="CR749" s="43"/>
      <c r="CS749" s="43"/>
      <c r="CT749" s="43"/>
      <c r="CU749" s="43"/>
      <c r="CV749" s="43"/>
      <c r="CW749" s="43"/>
      <c r="CX749" s="43"/>
      <c r="CY749" s="43"/>
      <c r="CZ749" s="43"/>
      <c r="DA749" s="43"/>
      <c r="DB749" s="43"/>
      <c r="DC749" s="43"/>
      <c r="DD749" s="43"/>
      <c r="DE749" s="43"/>
      <c r="DF749" s="43"/>
      <c r="DG749" s="43"/>
      <c r="DH749" s="43"/>
      <c r="DI749" s="43"/>
      <c r="DJ749" s="43"/>
      <c r="DK749" s="43"/>
      <c r="DL749" s="43"/>
      <c r="DM749" s="43"/>
      <c r="DN749" s="43"/>
      <c r="DO749" s="43"/>
      <c r="DP749" s="43"/>
      <c r="DQ749" s="43"/>
      <c r="DR749" s="43"/>
      <c r="DS749" s="43"/>
      <c r="DT749" s="43"/>
      <c r="DU749" s="43"/>
      <c r="DV749" s="43"/>
      <c r="DW749" s="43"/>
      <c r="DX749" s="43"/>
      <c r="DY749" s="43"/>
      <c r="DZ749" s="43"/>
      <c r="EA749" s="43"/>
      <c r="EB749" s="43"/>
      <c r="EC749" s="43"/>
      <c r="ED749" s="43"/>
      <c r="EE749" s="43"/>
      <c r="EF749" s="43"/>
      <c r="EG749" s="43"/>
      <c r="EH749" s="43"/>
      <c r="EI749" s="43"/>
      <c r="EJ749" s="43"/>
      <c r="EK749" s="43"/>
      <c r="EL749" s="43"/>
      <c r="EM749" s="43"/>
      <c r="EN749" s="43"/>
      <c r="EO749" s="43"/>
      <c r="EP749" s="43"/>
      <c r="EQ749" s="43"/>
      <c r="ER749" s="43"/>
      <c r="ES749" s="43"/>
      <c r="ET749" s="43"/>
      <c r="EU749" s="43"/>
      <c r="EV749" s="43"/>
      <c r="EW749" s="43"/>
      <c r="EX749" s="43"/>
      <c r="EY749" s="43"/>
      <c r="EZ749" s="43"/>
      <c r="FA749" s="43"/>
      <c r="FB749" s="43"/>
      <c r="FC749" s="43"/>
      <c r="FD749" s="43"/>
      <c r="FE749" s="43"/>
      <c r="FF749" s="43"/>
      <c r="FG749" s="43"/>
      <c r="FH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43"/>
      <c r="BP750" s="43"/>
      <c r="BQ750" s="43"/>
      <c r="BR750" s="43"/>
      <c r="BS750" s="43"/>
      <c r="BT750" s="43"/>
      <c r="BU750" s="43"/>
      <c r="BV750" s="43"/>
      <c r="BW750" s="43"/>
      <c r="BX750" s="43"/>
      <c r="BY750" s="43"/>
      <c r="BZ750" s="43"/>
      <c r="CA750" s="43"/>
      <c r="CB750" s="43"/>
      <c r="CC750" s="43"/>
      <c r="CD750" s="43"/>
      <c r="CE750" s="43"/>
      <c r="CF750" s="43"/>
      <c r="CG750" s="43"/>
      <c r="CH750" s="43"/>
      <c r="CI750" s="43"/>
      <c r="CJ750" s="43"/>
      <c r="CK750" s="43"/>
      <c r="CL750" s="43"/>
      <c r="CM750" s="43"/>
      <c r="CN750" s="43"/>
      <c r="CO750" s="43"/>
      <c r="CP750" s="43"/>
      <c r="CQ750" s="43"/>
      <c r="CR750" s="43"/>
      <c r="CS750" s="43"/>
      <c r="CT750" s="43"/>
      <c r="CU750" s="43"/>
      <c r="CV750" s="43"/>
      <c r="CW750" s="43"/>
      <c r="CX750" s="43"/>
      <c r="CY750" s="43"/>
      <c r="CZ750" s="43"/>
      <c r="DA750" s="43"/>
      <c r="DB750" s="43"/>
      <c r="DC750" s="43"/>
      <c r="DD750" s="43"/>
      <c r="DE750" s="43"/>
      <c r="DF750" s="43"/>
      <c r="DG750" s="43"/>
      <c r="DH750" s="43"/>
      <c r="DI750" s="43"/>
      <c r="DJ750" s="43"/>
      <c r="DK750" s="43"/>
      <c r="DL750" s="43"/>
      <c r="DM750" s="43"/>
      <c r="DN750" s="43"/>
      <c r="DO750" s="43"/>
      <c r="DP750" s="43"/>
      <c r="DQ750" s="43"/>
      <c r="DR750" s="43"/>
      <c r="DS750" s="43"/>
      <c r="DT750" s="43"/>
      <c r="DU750" s="43"/>
      <c r="DV750" s="43"/>
      <c r="DW750" s="43"/>
      <c r="DX750" s="43"/>
      <c r="DY750" s="43"/>
      <c r="DZ750" s="43"/>
      <c r="EA750" s="43"/>
      <c r="EB750" s="43"/>
      <c r="EC750" s="43"/>
      <c r="ED750" s="43"/>
      <c r="EE750" s="43"/>
      <c r="EF750" s="43"/>
      <c r="EG750" s="43"/>
      <c r="EH750" s="43"/>
      <c r="EI750" s="43"/>
      <c r="EJ750" s="43"/>
      <c r="EK750" s="43"/>
      <c r="EL750" s="43"/>
      <c r="EM750" s="43"/>
      <c r="EN750" s="43"/>
      <c r="EO750" s="43"/>
      <c r="EP750" s="43"/>
      <c r="EQ750" s="43"/>
      <c r="ER750" s="43"/>
      <c r="ES750" s="43"/>
      <c r="ET750" s="43"/>
      <c r="EU750" s="43"/>
      <c r="EV750" s="43"/>
      <c r="EW750" s="43"/>
      <c r="EX750" s="43"/>
      <c r="EY750" s="43"/>
      <c r="EZ750" s="43"/>
      <c r="FA750" s="43"/>
      <c r="FB750" s="43"/>
      <c r="FC750" s="43"/>
      <c r="FD750" s="43"/>
      <c r="FE750" s="43"/>
      <c r="FF750" s="43"/>
      <c r="FG750" s="43"/>
      <c r="FH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43"/>
      <c r="BP751" s="43"/>
      <c r="BQ751" s="43"/>
      <c r="BR751" s="43"/>
      <c r="BS751" s="43"/>
      <c r="BT751" s="43"/>
      <c r="BU751" s="43"/>
      <c r="BV751" s="43"/>
      <c r="BW751" s="43"/>
      <c r="BX751" s="43"/>
      <c r="BY751" s="43"/>
      <c r="BZ751" s="43"/>
      <c r="CA751" s="43"/>
      <c r="CB751" s="43"/>
      <c r="CC751" s="43"/>
      <c r="CD751" s="43"/>
      <c r="CE751" s="43"/>
      <c r="CF751" s="43"/>
      <c r="CG751" s="43"/>
      <c r="CH751" s="43"/>
      <c r="CI751" s="43"/>
      <c r="CJ751" s="43"/>
      <c r="CK751" s="43"/>
      <c r="CL751" s="43"/>
      <c r="CM751" s="43"/>
      <c r="CN751" s="43"/>
      <c r="CO751" s="43"/>
      <c r="CP751" s="43"/>
      <c r="CQ751" s="43"/>
      <c r="CR751" s="43"/>
      <c r="CS751" s="43"/>
      <c r="CT751" s="43"/>
      <c r="CU751" s="43"/>
      <c r="CV751" s="43"/>
      <c r="CW751" s="43"/>
      <c r="CX751" s="43"/>
      <c r="CY751" s="43"/>
      <c r="CZ751" s="43"/>
      <c r="DA751" s="43"/>
      <c r="DB751" s="43"/>
      <c r="DC751" s="43"/>
      <c r="DD751" s="43"/>
      <c r="DE751" s="43"/>
      <c r="DF751" s="43"/>
      <c r="DG751" s="43"/>
      <c r="DH751" s="43"/>
      <c r="DI751" s="43"/>
      <c r="DJ751" s="43"/>
      <c r="DK751" s="43"/>
      <c r="DL751" s="43"/>
      <c r="DM751" s="43"/>
      <c r="DN751" s="43"/>
      <c r="DO751" s="43"/>
      <c r="DP751" s="43"/>
      <c r="DQ751" s="43"/>
      <c r="DR751" s="43"/>
      <c r="DS751" s="43"/>
      <c r="DT751" s="43"/>
      <c r="DU751" s="43"/>
      <c r="DV751" s="43"/>
      <c r="DW751" s="43"/>
      <c r="DX751" s="43"/>
      <c r="DY751" s="43"/>
      <c r="DZ751" s="43"/>
      <c r="EA751" s="43"/>
      <c r="EB751" s="43"/>
      <c r="EC751" s="43"/>
      <c r="ED751" s="43"/>
      <c r="EE751" s="43"/>
      <c r="EF751" s="43"/>
      <c r="EG751" s="43"/>
      <c r="EH751" s="43"/>
      <c r="EI751" s="43"/>
      <c r="EJ751" s="43"/>
      <c r="EK751" s="43"/>
      <c r="EL751" s="43"/>
      <c r="EM751" s="43"/>
      <c r="EN751" s="43"/>
      <c r="EO751" s="43"/>
      <c r="EP751" s="43"/>
      <c r="EQ751" s="43"/>
      <c r="ER751" s="43"/>
      <c r="ES751" s="43"/>
      <c r="ET751" s="43"/>
      <c r="EU751" s="43"/>
      <c r="EV751" s="43"/>
      <c r="EW751" s="43"/>
      <c r="EX751" s="43"/>
      <c r="EY751" s="43"/>
      <c r="EZ751" s="43"/>
      <c r="FA751" s="43"/>
      <c r="FB751" s="43"/>
      <c r="FC751" s="43"/>
      <c r="FD751" s="43"/>
      <c r="FE751" s="43"/>
      <c r="FF751" s="43"/>
      <c r="FG751" s="43"/>
      <c r="FH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43"/>
      <c r="BP752" s="43"/>
      <c r="BQ752" s="43"/>
      <c r="BR752" s="43"/>
      <c r="BS752" s="43"/>
      <c r="BT752" s="43"/>
      <c r="BU752" s="43"/>
      <c r="BV752" s="43"/>
      <c r="BW752" s="43"/>
      <c r="BX752" s="43"/>
      <c r="BY752" s="43"/>
      <c r="BZ752" s="43"/>
      <c r="CA752" s="43"/>
      <c r="CB752" s="43"/>
      <c r="CC752" s="43"/>
      <c r="CD752" s="43"/>
      <c r="CE752" s="43"/>
      <c r="CF752" s="43"/>
      <c r="CG752" s="43"/>
      <c r="CH752" s="43"/>
      <c r="CI752" s="43"/>
      <c r="CJ752" s="43"/>
      <c r="CK752" s="43"/>
      <c r="CL752" s="43"/>
      <c r="CM752" s="43"/>
      <c r="CN752" s="43"/>
      <c r="CO752" s="43"/>
      <c r="CP752" s="43"/>
      <c r="CQ752" s="43"/>
      <c r="CR752" s="43"/>
      <c r="CS752" s="43"/>
      <c r="CT752" s="43"/>
      <c r="CU752" s="43"/>
      <c r="CV752" s="43"/>
      <c r="CW752" s="43"/>
      <c r="CX752" s="43"/>
      <c r="CY752" s="43"/>
      <c r="CZ752" s="43"/>
      <c r="DA752" s="43"/>
      <c r="DB752" s="43"/>
      <c r="DC752" s="43"/>
      <c r="DD752" s="43"/>
      <c r="DE752" s="43"/>
      <c r="DF752" s="43"/>
      <c r="DG752" s="43"/>
      <c r="DH752" s="43"/>
      <c r="DI752" s="43"/>
      <c r="DJ752" s="43"/>
      <c r="DK752" s="43"/>
      <c r="DL752" s="43"/>
      <c r="DM752" s="43"/>
      <c r="DN752" s="43"/>
      <c r="DO752" s="43"/>
      <c r="DP752" s="43"/>
      <c r="DQ752" s="43"/>
      <c r="DR752" s="43"/>
      <c r="DS752" s="43"/>
      <c r="DT752" s="43"/>
      <c r="DU752" s="43"/>
      <c r="DV752" s="43"/>
      <c r="DW752" s="43"/>
      <c r="DX752" s="43"/>
      <c r="DY752" s="43"/>
      <c r="DZ752" s="43"/>
      <c r="EA752" s="43"/>
      <c r="EB752" s="43"/>
      <c r="EC752" s="43"/>
      <c r="ED752" s="43"/>
      <c r="EE752" s="43"/>
      <c r="EF752" s="43"/>
      <c r="EG752" s="43"/>
      <c r="EH752" s="43"/>
      <c r="EI752" s="43"/>
      <c r="EJ752" s="43"/>
      <c r="EK752" s="43"/>
      <c r="EL752" s="43"/>
      <c r="EM752" s="43"/>
      <c r="EN752" s="43"/>
      <c r="EO752" s="43"/>
      <c r="EP752" s="43"/>
      <c r="EQ752" s="43"/>
      <c r="ER752" s="43"/>
      <c r="ES752" s="43"/>
      <c r="ET752" s="43"/>
      <c r="EU752" s="43"/>
      <c r="EV752" s="43"/>
      <c r="EW752" s="43"/>
      <c r="EX752" s="43"/>
      <c r="EY752" s="43"/>
      <c r="EZ752" s="43"/>
      <c r="FA752" s="43"/>
      <c r="FB752" s="43"/>
      <c r="FC752" s="43"/>
      <c r="FD752" s="43"/>
      <c r="FE752" s="43"/>
      <c r="FF752" s="43"/>
      <c r="FG752" s="43"/>
      <c r="FH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43"/>
      <c r="BP753" s="43"/>
      <c r="BQ753" s="43"/>
      <c r="BR753" s="43"/>
      <c r="BS753" s="43"/>
      <c r="BT753" s="43"/>
      <c r="BU753" s="43"/>
      <c r="BV753" s="43"/>
      <c r="BW753" s="43"/>
      <c r="BX753" s="43"/>
      <c r="BY753" s="43"/>
      <c r="BZ753" s="43"/>
      <c r="CA753" s="43"/>
      <c r="CB753" s="43"/>
      <c r="CC753" s="43"/>
      <c r="CD753" s="43"/>
      <c r="CE753" s="43"/>
      <c r="CF753" s="43"/>
      <c r="CG753" s="43"/>
      <c r="CH753" s="43"/>
      <c r="CI753" s="43"/>
      <c r="CJ753" s="43"/>
      <c r="CK753" s="43"/>
      <c r="CL753" s="43"/>
      <c r="CM753" s="43"/>
      <c r="CN753" s="43"/>
      <c r="CO753" s="43"/>
      <c r="CP753" s="43"/>
      <c r="CQ753" s="43"/>
      <c r="CR753" s="43"/>
      <c r="CS753" s="43"/>
      <c r="CT753" s="43"/>
      <c r="CU753" s="43"/>
      <c r="CV753" s="43"/>
      <c r="CW753" s="43"/>
      <c r="CX753" s="43"/>
      <c r="CY753" s="43"/>
      <c r="CZ753" s="43"/>
      <c r="DA753" s="43"/>
      <c r="DB753" s="43"/>
      <c r="DC753" s="43"/>
      <c r="DD753" s="43"/>
      <c r="DE753" s="43"/>
      <c r="DF753" s="43"/>
      <c r="DG753" s="43"/>
      <c r="DH753" s="43"/>
      <c r="DI753" s="43"/>
      <c r="DJ753" s="43"/>
      <c r="DK753" s="43"/>
      <c r="DL753" s="43"/>
      <c r="DM753" s="43"/>
      <c r="DN753" s="43"/>
      <c r="DO753" s="43"/>
      <c r="DP753" s="43"/>
      <c r="DQ753" s="43"/>
      <c r="DR753" s="43"/>
      <c r="DS753" s="43"/>
      <c r="DT753" s="43"/>
      <c r="DU753" s="43"/>
      <c r="DV753" s="43"/>
      <c r="DW753" s="43"/>
      <c r="DX753" s="43"/>
      <c r="DY753" s="43"/>
      <c r="DZ753" s="43"/>
      <c r="EA753" s="43"/>
      <c r="EB753" s="43"/>
      <c r="EC753" s="43"/>
      <c r="ED753" s="43"/>
      <c r="EE753" s="43"/>
      <c r="EF753" s="43"/>
      <c r="EG753" s="43"/>
      <c r="EH753" s="43"/>
      <c r="EI753" s="43"/>
      <c r="EJ753" s="43"/>
      <c r="EK753" s="43"/>
      <c r="EL753" s="43"/>
      <c r="EM753" s="43"/>
      <c r="EN753" s="43"/>
      <c r="EO753" s="43"/>
      <c r="EP753" s="43"/>
      <c r="EQ753" s="43"/>
      <c r="ER753" s="43"/>
      <c r="ES753" s="43"/>
      <c r="ET753" s="43"/>
      <c r="EU753" s="43"/>
      <c r="EV753" s="43"/>
      <c r="EW753" s="43"/>
      <c r="EX753" s="43"/>
      <c r="EY753" s="43"/>
      <c r="EZ753" s="43"/>
      <c r="FA753" s="43"/>
      <c r="FB753" s="43"/>
      <c r="FC753" s="43"/>
      <c r="FD753" s="43"/>
      <c r="FE753" s="43"/>
      <c r="FF753" s="43"/>
      <c r="FG753" s="43"/>
      <c r="FH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43"/>
      <c r="BP754" s="43"/>
      <c r="BQ754" s="43"/>
      <c r="BR754" s="43"/>
      <c r="BS754" s="43"/>
      <c r="BT754" s="43"/>
      <c r="BU754" s="43"/>
      <c r="BV754" s="43"/>
      <c r="BW754" s="43"/>
      <c r="BX754" s="43"/>
      <c r="BY754" s="43"/>
      <c r="BZ754" s="43"/>
      <c r="CA754" s="43"/>
      <c r="CB754" s="43"/>
      <c r="CC754" s="43"/>
      <c r="CD754" s="43"/>
      <c r="CE754" s="43"/>
      <c r="CF754" s="43"/>
      <c r="CG754" s="43"/>
      <c r="CH754" s="43"/>
      <c r="CI754" s="43"/>
      <c r="CJ754" s="43"/>
      <c r="CK754" s="43"/>
      <c r="CL754" s="43"/>
      <c r="CM754" s="43"/>
      <c r="CN754" s="43"/>
      <c r="CO754" s="43"/>
      <c r="CP754" s="43"/>
      <c r="CQ754" s="43"/>
      <c r="CR754" s="43"/>
      <c r="CS754" s="43"/>
      <c r="CT754" s="43"/>
      <c r="CU754" s="43"/>
      <c r="CV754" s="43"/>
      <c r="CW754" s="43"/>
      <c r="CX754" s="43"/>
      <c r="CY754" s="43"/>
      <c r="CZ754" s="43"/>
      <c r="DA754" s="43"/>
      <c r="DB754" s="43"/>
      <c r="DC754" s="43"/>
      <c r="DD754" s="43"/>
      <c r="DE754" s="43"/>
      <c r="DF754" s="43"/>
      <c r="DG754" s="43"/>
      <c r="DH754" s="43"/>
      <c r="DI754" s="43"/>
      <c r="DJ754" s="43"/>
      <c r="DK754" s="43"/>
      <c r="DL754" s="43"/>
      <c r="DM754" s="43"/>
      <c r="DN754" s="43"/>
      <c r="DO754" s="43"/>
      <c r="DP754" s="43"/>
      <c r="DQ754" s="43"/>
      <c r="DR754" s="43"/>
      <c r="DS754" s="43"/>
      <c r="DT754" s="43"/>
      <c r="DU754" s="43"/>
      <c r="DV754" s="43"/>
      <c r="DW754" s="43"/>
      <c r="DX754" s="43"/>
      <c r="DY754" s="43"/>
      <c r="DZ754" s="43"/>
      <c r="EA754" s="43"/>
      <c r="EB754" s="43"/>
      <c r="EC754" s="43"/>
      <c r="ED754" s="43"/>
      <c r="EE754" s="43"/>
      <c r="EF754" s="43"/>
      <c r="EG754" s="43"/>
      <c r="EH754" s="43"/>
      <c r="EI754" s="43"/>
      <c r="EJ754" s="43"/>
      <c r="EK754" s="43"/>
      <c r="EL754" s="43"/>
      <c r="EM754" s="43"/>
      <c r="EN754" s="43"/>
      <c r="EO754" s="43"/>
      <c r="EP754" s="43"/>
      <c r="EQ754" s="43"/>
      <c r="ER754" s="43"/>
      <c r="ES754" s="43"/>
      <c r="ET754" s="43"/>
      <c r="EU754" s="43"/>
      <c r="EV754" s="43"/>
      <c r="EW754" s="43"/>
      <c r="EX754" s="43"/>
      <c r="EY754" s="43"/>
      <c r="EZ754" s="43"/>
      <c r="FA754" s="43"/>
      <c r="FB754" s="43"/>
      <c r="FC754" s="43"/>
      <c r="FD754" s="43"/>
      <c r="FE754" s="43"/>
      <c r="FF754" s="43"/>
      <c r="FG754" s="43"/>
      <c r="FH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43"/>
      <c r="BP755" s="43"/>
      <c r="BQ755" s="43"/>
      <c r="BR755" s="43"/>
      <c r="BS755" s="43"/>
      <c r="BT755" s="43"/>
      <c r="BU755" s="43"/>
      <c r="BV755" s="43"/>
      <c r="BW755" s="43"/>
      <c r="BX755" s="43"/>
      <c r="BY755" s="43"/>
      <c r="BZ755" s="43"/>
      <c r="CA755" s="43"/>
      <c r="CB755" s="43"/>
      <c r="CC755" s="43"/>
      <c r="CD755" s="43"/>
      <c r="CE755" s="43"/>
      <c r="CF755" s="43"/>
      <c r="CG755" s="43"/>
      <c r="CH755" s="43"/>
      <c r="CI755" s="43"/>
      <c r="CJ755" s="43"/>
      <c r="CK755" s="43"/>
      <c r="CL755" s="43"/>
      <c r="CM755" s="43"/>
      <c r="CN755" s="43"/>
      <c r="CO755" s="43"/>
      <c r="CP755" s="43"/>
      <c r="CQ755" s="43"/>
      <c r="CR755" s="43"/>
      <c r="CS755" s="43"/>
      <c r="CT755" s="43"/>
      <c r="CU755" s="43"/>
      <c r="CV755" s="43"/>
      <c r="CW755" s="43"/>
      <c r="CX755" s="43"/>
      <c r="CY755" s="43"/>
      <c r="CZ755" s="43"/>
      <c r="DA755" s="43"/>
      <c r="DB755" s="43"/>
      <c r="DC755" s="43"/>
      <c r="DD755" s="43"/>
      <c r="DE755" s="43"/>
      <c r="DF755" s="43"/>
      <c r="DG755" s="43"/>
      <c r="DH755" s="43"/>
      <c r="DI755" s="43"/>
      <c r="DJ755" s="43"/>
      <c r="DK755" s="43"/>
      <c r="DL755" s="43"/>
      <c r="DM755" s="43"/>
      <c r="DN755" s="43"/>
      <c r="DO755" s="43"/>
      <c r="DP755" s="43"/>
      <c r="DQ755" s="43"/>
      <c r="DR755" s="43"/>
      <c r="DS755" s="43"/>
      <c r="DT755" s="43"/>
      <c r="DU755" s="43"/>
      <c r="DV755" s="43"/>
      <c r="DW755" s="43"/>
      <c r="DX755" s="43"/>
      <c r="DY755" s="43"/>
      <c r="DZ755" s="43"/>
      <c r="EA755" s="43"/>
      <c r="EB755" s="43"/>
      <c r="EC755" s="43"/>
      <c r="ED755" s="43"/>
      <c r="EE755" s="43"/>
      <c r="EF755" s="43"/>
      <c r="EG755" s="43"/>
      <c r="EH755" s="43"/>
      <c r="EI755" s="43"/>
      <c r="EJ755" s="43"/>
      <c r="EK755" s="43"/>
      <c r="EL755" s="43"/>
      <c r="EM755" s="43"/>
      <c r="EN755" s="43"/>
      <c r="EO755" s="43"/>
      <c r="EP755" s="43"/>
      <c r="EQ755" s="43"/>
      <c r="ER755" s="43"/>
      <c r="ES755" s="43"/>
      <c r="ET755" s="43"/>
      <c r="EU755" s="43"/>
      <c r="EV755" s="43"/>
      <c r="EW755" s="43"/>
      <c r="EX755" s="43"/>
      <c r="EY755" s="43"/>
      <c r="EZ755" s="43"/>
      <c r="FA755" s="43"/>
      <c r="FB755" s="43"/>
      <c r="FC755" s="43"/>
      <c r="FD755" s="43"/>
      <c r="FE755" s="43"/>
      <c r="FF755" s="43"/>
      <c r="FG755" s="43"/>
      <c r="FH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43"/>
      <c r="BP756" s="43"/>
      <c r="BQ756" s="43"/>
      <c r="BR756" s="43"/>
      <c r="BS756" s="43"/>
      <c r="BT756" s="43"/>
      <c r="BU756" s="43"/>
      <c r="BV756" s="43"/>
      <c r="BW756" s="43"/>
      <c r="BX756" s="43"/>
      <c r="BY756" s="43"/>
      <c r="BZ756" s="43"/>
      <c r="CA756" s="43"/>
      <c r="CB756" s="43"/>
      <c r="CC756" s="43"/>
      <c r="CD756" s="43"/>
      <c r="CE756" s="43"/>
      <c r="CF756" s="43"/>
      <c r="CG756" s="43"/>
      <c r="CH756" s="43"/>
      <c r="CI756" s="43"/>
      <c r="CJ756" s="43"/>
      <c r="CK756" s="43"/>
      <c r="CL756" s="43"/>
      <c r="CM756" s="43"/>
      <c r="CN756" s="43"/>
      <c r="CO756" s="43"/>
      <c r="CP756" s="43"/>
      <c r="CQ756" s="43"/>
      <c r="CR756" s="43"/>
      <c r="CS756" s="43"/>
      <c r="CT756" s="43"/>
      <c r="CU756" s="43"/>
      <c r="CV756" s="43"/>
      <c r="CW756" s="43"/>
      <c r="CX756" s="43"/>
      <c r="CY756" s="43"/>
      <c r="CZ756" s="43"/>
      <c r="DA756" s="43"/>
      <c r="DB756" s="43"/>
      <c r="DC756" s="43"/>
      <c r="DD756" s="43"/>
      <c r="DE756" s="43"/>
      <c r="DF756" s="43"/>
      <c r="DG756" s="43"/>
      <c r="DH756" s="43"/>
      <c r="DI756" s="43"/>
      <c r="DJ756" s="43"/>
      <c r="DK756" s="43"/>
      <c r="DL756" s="43"/>
      <c r="DM756" s="43"/>
      <c r="DN756" s="43"/>
      <c r="DO756" s="43"/>
      <c r="DP756" s="43"/>
      <c r="DQ756" s="43"/>
      <c r="DR756" s="43"/>
      <c r="DS756" s="43"/>
      <c r="DT756" s="43"/>
      <c r="DU756" s="43"/>
      <c r="DV756" s="43"/>
      <c r="DW756" s="43"/>
      <c r="DX756" s="43"/>
      <c r="DY756" s="43"/>
      <c r="DZ756" s="43"/>
      <c r="EA756" s="43"/>
      <c r="EB756" s="43"/>
      <c r="EC756" s="43"/>
      <c r="ED756" s="43"/>
      <c r="EE756" s="43"/>
      <c r="EF756" s="43"/>
      <c r="EG756" s="43"/>
      <c r="EH756" s="43"/>
      <c r="EI756" s="43"/>
      <c r="EJ756" s="43"/>
      <c r="EK756" s="43"/>
      <c r="EL756" s="43"/>
      <c r="EM756" s="43"/>
      <c r="EN756" s="43"/>
      <c r="EO756" s="43"/>
      <c r="EP756" s="43"/>
      <c r="EQ756" s="43"/>
      <c r="ER756" s="43"/>
      <c r="ES756" s="43"/>
      <c r="ET756" s="43"/>
      <c r="EU756" s="43"/>
      <c r="EV756" s="43"/>
      <c r="EW756" s="43"/>
      <c r="EX756" s="43"/>
      <c r="EY756" s="43"/>
      <c r="EZ756" s="43"/>
      <c r="FA756" s="43"/>
      <c r="FB756" s="43"/>
      <c r="FC756" s="43"/>
      <c r="FD756" s="43"/>
      <c r="FE756" s="43"/>
      <c r="FF756" s="43"/>
      <c r="FG756" s="43"/>
      <c r="FH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43"/>
      <c r="BP757" s="43"/>
      <c r="BQ757" s="43"/>
      <c r="BR757" s="43"/>
      <c r="BS757" s="43"/>
      <c r="BT757" s="43"/>
      <c r="BU757" s="43"/>
      <c r="BV757" s="43"/>
      <c r="BW757" s="43"/>
      <c r="BX757" s="43"/>
      <c r="BY757" s="43"/>
      <c r="BZ757" s="43"/>
      <c r="CA757" s="43"/>
      <c r="CB757" s="43"/>
      <c r="CC757" s="43"/>
      <c r="CD757" s="43"/>
      <c r="CE757" s="43"/>
      <c r="CF757" s="43"/>
      <c r="CG757" s="43"/>
      <c r="CH757" s="43"/>
      <c r="CI757" s="43"/>
      <c r="CJ757" s="43"/>
      <c r="CK757" s="43"/>
      <c r="CL757" s="43"/>
      <c r="CM757" s="43"/>
      <c r="CN757" s="43"/>
      <c r="CO757" s="43"/>
      <c r="CP757" s="43"/>
      <c r="CQ757" s="43"/>
      <c r="CR757" s="43"/>
      <c r="CS757" s="43"/>
      <c r="CT757" s="43"/>
      <c r="CU757" s="43"/>
      <c r="CV757" s="43"/>
      <c r="CW757" s="43"/>
      <c r="CX757" s="43"/>
      <c r="CY757" s="43"/>
      <c r="CZ757" s="43"/>
      <c r="DA757" s="43"/>
      <c r="DB757" s="43"/>
      <c r="DC757" s="43"/>
      <c r="DD757" s="43"/>
      <c r="DE757" s="43"/>
      <c r="DF757" s="43"/>
      <c r="DG757" s="43"/>
      <c r="DH757" s="43"/>
      <c r="DI757" s="43"/>
      <c r="DJ757" s="43"/>
      <c r="DK757" s="43"/>
      <c r="DL757" s="43"/>
      <c r="DM757" s="43"/>
      <c r="DN757" s="43"/>
      <c r="DO757" s="43"/>
      <c r="DP757" s="43"/>
      <c r="DQ757" s="43"/>
      <c r="DR757" s="43"/>
      <c r="DS757" s="43"/>
      <c r="DT757" s="43"/>
      <c r="DU757" s="43"/>
      <c r="DV757" s="43"/>
      <c r="DW757" s="43"/>
      <c r="DX757" s="43"/>
      <c r="DY757" s="43"/>
      <c r="DZ757" s="43"/>
      <c r="EA757" s="43"/>
      <c r="EB757" s="43"/>
      <c r="EC757" s="43"/>
      <c r="ED757" s="43"/>
      <c r="EE757" s="43"/>
      <c r="EF757" s="43"/>
      <c r="EG757" s="43"/>
      <c r="EH757" s="43"/>
      <c r="EI757" s="43"/>
      <c r="EJ757" s="43"/>
      <c r="EK757" s="43"/>
      <c r="EL757" s="43"/>
      <c r="EM757" s="43"/>
      <c r="EN757" s="43"/>
      <c r="EO757" s="43"/>
      <c r="EP757" s="43"/>
      <c r="EQ757" s="43"/>
      <c r="ER757" s="43"/>
      <c r="ES757" s="43"/>
      <c r="ET757" s="43"/>
      <c r="EU757" s="43"/>
      <c r="EV757" s="43"/>
      <c r="EW757" s="43"/>
      <c r="EX757" s="43"/>
      <c r="EY757" s="43"/>
      <c r="EZ757" s="43"/>
      <c r="FA757" s="43"/>
      <c r="FB757" s="43"/>
      <c r="FC757" s="43"/>
      <c r="FD757" s="43"/>
      <c r="FE757" s="43"/>
      <c r="FF757" s="43"/>
      <c r="FG757" s="43"/>
      <c r="FH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43"/>
      <c r="BP758" s="43"/>
      <c r="BQ758" s="43"/>
      <c r="BR758" s="43"/>
      <c r="BS758" s="43"/>
      <c r="BT758" s="43"/>
      <c r="BU758" s="43"/>
      <c r="BV758" s="43"/>
      <c r="BW758" s="43"/>
      <c r="BX758" s="43"/>
      <c r="BY758" s="43"/>
      <c r="BZ758" s="43"/>
      <c r="CA758" s="43"/>
      <c r="CB758" s="43"/>
      <c r="CC758" s="43"/>
      <c r="CD758" s="43"/>
      <c r="CE758" s="43"/>
      <c r="CF758" s="43"/>
      <c r="CG758" s="43"/>
      <c r="CH758" s="43"/>
      <c r="CI758" s="43"/>
      <c r="CJ758" s="43"/>
      <c r="CK758" s="43"/>
      <c r="CL758" s="43"/>
      <c r="CM758" s="43"/>
      <c r="CN758" s="43"/>
      <c r="CO758" s="43"/>
      <c r="CP758" s="43"/>
      <c r="CQ758" s="43"/>
      <c r="CR758" s="43"/>
      <c r="CS758" s="43"/>
      <c r="CT758" s="43"/>
      <c r="CU758" s="43"/>
      <c r="CV758" s="43"/>
      <c r="CW758" s="43"/>
      <c r="CX758" s="43"/>
      <c r="CY758" s="43"/>
      <c r="CZ758" s="43"/>
      <c r="DA758" s="43"/>
      <c r="DB758" s="43"/>
      <c r="DC758" s="43"/>
      <c r="DD758" s="43"/>
      <c r="DE758" s="43"/>
      <c r="DF758" s="43"/>
      <c r="DG758" s="43"/>
      <c r="DH758" s="43"/>
      <c r="DI758" s="43"/>
      <c r="DJ758" s="43"/>
      <c r="DK758" s="43"/>
      <c r="DL758" s="43"/>
      <c r="DM758" s="43"/>
      <c r="DN758" s="43"/>
      <c r="DO758" s="43"/>
      <c r="DP758" s="43"/>
      <c r="DQ758" s="43"/>
      <c r="DR758" s="43"/>
      <c r="DS758" s="43"/>
      <c r="DT758" s="43"/>
      <c r="DU758" s="43"/>
      <c r="DV758" s="43"/>
      <c r="DW758" s="43"/>
      <c r="DX758" s="43"/>
      <c r="DY758" s="43"/>
      <c r="DZ758" s="43"/>
      <c r="EA758" s="43"/>
      <c r="EB758" s="43"/>
      <c r="EC758" s="43"/>
      <c r="ED758" s="43"/>
      <c r="EE758" s="43"/>
      <c r="EF758" s="43"/>
      <c r="EG758" s="43"/>
      <c r="EH758" s="43"/>
      <c r="EI758" s="43"/>
      <c r="EJ758" s="43"/>
      <c r="EK758" s="43"/>
      <c r="EL758" s="43"/>
      <c r="EM758" s="43"/>
      <c r="EN758" s="43"/>
      <c r="EO758" s="43"/>
      <c r="EP758" s="43"/>
      <c r="EQ758" s="43"/>
      <c r="ER758" s="43"/>
      <c r="ES758" s="43"/>
      <c r="ET758" s="43"/>
      <c r="EU758" s="43"/>
      <c r="EV758" s="43"/>
      <c r="EW758" s="43"/>
      <c r="EX758" s="43"/>
      <c r="EY758" s="43"/>
      <c r="EZ758" s="43"/>
      <c r="FA758" s="43"/>
      <c r="FB758" s="43"/>
      <c r="FC758" s="43"/>
      <c r="FD758" s="43"/>
      <c r="FE758" s="43"/>
      <c r="FF758" s="43"/>
      <c r="FG758" s="43"/>
      <c r="FH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43"/>
      <c r="BP759" s="43"/>
      <c r="BQ759" s="43"/>
      <c r="BR759" s="43"/>
      <c r="BS759" s="43"/>
      <c r="BT759" s="43"/>
      <c r="BU759" s="43"/>
      <c r="BV759" s="43"/>
      <c r="BW759" s="43"/>
      <c r="BX759" s="43"/>
      <c r="BY759" s="43"/>
      <c r="BZ759" s="43"/>
      <c r="CA759" s="43"/>
      <c r="CB759" s="43"/>
      <c r="CC759" s="43"/>
      <c r="CD759" s="43"/>
      <c r="CE759" s="43"/>
      <c r="CF759" s="43"/>
      <c r="CG759" s="43"/>
      <c r="CH759" s="43"/>
      <c r="CI759" s="43"/>
      <c r="CJ759" s="43"/>
      <c r="CK759" s="43"/>
      <c r="CL759" s="43"/>
      <c r="CM759" s="43"/>
      <c r="CN759" s="43"/>
      <c r="CO759" s="43"/>
      <c r="CP759" s="43"/>
      <c r="CQ759" s="43"/>
      <c r="CR759" s="43"/>
      <c r="CS759" s="43"/>
      <c r="CT759" s="43"/>
      <c r="CU759" s="43"/>
      <c r="CV759" s="43"/>
      <c r="CW759" s="43"/>
      <c r="CX759" s="43"/>
      <c r="CY759" s="43"/>
      <c r="CZ759" s="43"/>
      <c r="DA759" s="43"/>
      <c r="DB759" s="43"/>
      <c r="DC759" s="43"/>
      <c r="DD759" s="43"/>
      <c r="DE759" s="43"/>
      <c r="DF759" s="43"/>
      <c r="DG759" s="43"/>
      <c r="DH759" s="43"/>
      <c r="DI759" s="43"/>
      <c r="DJ759" s="43"/>
      <c r="DK759" s="43"/>
      <c r="DL759" s="43"/>
      <c r="DM759" s="43"/>
      <c r="DN759" s="43"/>
      <c r="DO759" s="43"/>
      <c r="DP759" s="43"/>
      <c r="DQ759" s="43"/>
      <c r="DR759" s="43"/>
      <c r="DS759" s="43"/>
      <c r="DT759" s="43"/>
      <c r="DU759" s="43"/>
      <c r="DV759" s="43"/>
      <c r="DW759" s="43"/>
      <c r="DX759" s="43"/>
      <c r="DY759" s="43"/>
      <c r="DZ759" s="43"/>
      <c r="EA759" s="43"/>
      <c r="EB759" s="43"/>
      <c r="EC759" s="43"/>
      <c r="ED759" s="43"/>
      <c r="EE759" s="43"/>
      <c r="EF759" s="43"/>
      <c r="EG759" s="43"/>
      <c r="EH759" s="43"/>
      <c r="EI759" s="43"/>
      <c r="EJ759" s="43"/>
      <c r="EK759" s="43"/>
      <c r="EL759" s="43"/>
      <c r="EM759" s="43"/>
      <c r="EN759" s="43"/>
      <c r="EO759" s="43"/>
      <c r="EP759" s="43"/>
      <c r="EQ759" s="43"/>
      <c r="ER759" s="43"/>
      <c r="ES759" s="43"/>
      <c r="ET759" s="43"/>
      <c r="EU759" s="43"/>
      <c r="EV759" s="43"/>
      <c r="EW759" s="43"/>
      <c r="EX759" s="43"/>
      <c r="EY759" s="43"/>
      <c r="EZ759" s="43"/>
      <c r="FA759" s="43"/>
      <c r="FB759" s="43"/>
      <c r="FC759" s="43"/>
      <c r="FD759" s="43"/>
      <c r="FE759" s="43"/>
      <c r="FF759" s="43"/>
      <c r="FG759" s="43"/>
      <c r="FH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43"/>
      <c r="BP760" s="43"/>
      <c r="BQ760" s="43"/>
      <c r="BR760" s="43"/>
      <c r="BS760" s="43"/>
      <c r="BT760" s="43"/>
      <c r="BU760" s="43"/>
      <c r="BV760" s="43"/>
      <c r="BW760" s="43"/>
      <c r="BX760" s="43"/>
      <c r="BY760" s="43"/>
      <c r="BZ760" s="43"/>
      <c r="CA760" s="43"/>
      <c r="CB760" s="43"/>
      <c r="CC760" s="43"/>
      <c r="CD760" s="43"/>
      <c r="CE760" s="43"/>
      <c r="CF760" s="43"/>
      <c r="CG760" s="43"/>
      <c r="CH760" s="43"/>
      <c r="CI760" s="43"/>
      <c r="CJ760" s="43"/>
      <c r="CK760" s="43"/>
      <c r="CL760" s="43"/>
      <c r="CM760" s="43"/>
      <c r="CN760" s="43"/>
      <c r="CO760" s="43"/>
      <c r="CP760" s="43"/>
      <c r="CQ760" s="43"/>
      <c r="CR760" s="43"/>
      <c r="CS760" s="43"/>
      <c r="CT760" s="43"/>
      <c r="CU760" s="43"/>
      <c r="CV760" s="43"/>
      <c r="CW760" s="43"/>
      <c r="CX760" s="43"/>
      <c r="CY760" s="43"/>
      <c r="CZ760" s="43"/>
      <c r="DA760" s="43"/>
      <c r="DB760" s="43"/>
      <c r="DC760" s="43"/>
      <c r="DD760" s="43"/>
      <c r="DE760" s="43"/>
      <c r="DF760" s="43"/>
      <c r="DG760" s="43"/>
      <c r="DH760" s="43"/>
      <c r="DI760" s="43"/>
      <c r="DJ760" s="43"/>
      <c r="DK760" s="43"/>
      <c r="DL760" s="43"/>
      <c r="DM760" s="43"/>
      <c r="DN760" s="43"/>
      <c r="DO760" s="43"/>
      <c r="DP760" s="43"/>
      <c r="DQ760" s="43"/>
      <c r="DR760" s="43"/>
      <c r="DS760" s="43"/>
      <c r="DT760" s="43"/>
      <c r="DU760" s="43"/>
      <c r="DV760" s="43"/>
      <c r="DW760" s="43"/>
      <c r="DX760" s="43"/>
      <c r="DY760" s="43"/>
      <c r="DZ760" s="43"/>
      <c r="EA760" s="43"/>
      <c r="EB760" s="43"/>
      <c r="EC760" s="43"/>
      <c r="ED760" s="43"/>
      <c r="EE760" s="43"/>
      <c r="EF760" s="43"/>
      <c r="EG760" s="43"/>
      <c r="EH760" s="43"/>
      <c r="EI760" s="43"/>
      <c r="EJ760" s="43"/>
      <c r="EK760" s="43"/>
      <c r="EL760" s="43"/>
      <c r="EM760" s="43"/>
      <c r="EN760" s="43"/>
      <c r="EO760" s="43"/>
      <c r="EP760" s="43"/>
      <c r="EQ760" s="43"/>
      <c r="ER760" s="43"/>
      <c r="ES760" s="43"/>
      <c r="ET760" s="43"/>
      <c r="EU760" s="43"/>
      <c r="EV760" s="43"/>
      <c r="EW760" s="43"/>
      <c r="EX760" s="43"/>
      <c r="EY760" s="43"/>
      <c r="EZ760" s="43"/>
      <c r="FA760" s="43"/>
      <c r="FB760" s="43"/>
      <c r="FC760" s="43"/>
      <c r="FD760" s="43"/>
      <c r="FE760" s="43"/>
      <c r="FF760" s="43"/>
      <c r="FG760" s="43"/>
      <c r="FH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43"/>
      <c r="BP761" s="43"/>
      <c r="BQ761" s="43"/>
      <c r="BR761" s="43"/>
      <c r="BS761" s="43"/>
      <c r="BT761" s="43"/>
      <c r="BU761" s="43"/>
      <c r="BV761" s="43"/>
      <c r="BW761" s="43"/>
      <c r="BX761" s="43"/>
      <c r="BY761" s="43"/>
      <c r="BZ761" s="43"/>
      <c r="CA761" s="43"/>
      <c r="CB761" s="43"/>
      <c r="CC761" s="43"/>
      <c r="CD761" s="43"/>
      <c r="CE761" s="43"/>
      <c r="CF761" s="43"/>
      <c r="CG761" s="43"/>
      <c r="CH761" s="43"/>
      <c r="CI761" s="43"/>
      <c r="CJ761" s="43"/>
      <c r="CK761" s="43"/>
      <c r="CL761" s="43"/>
      <c r="CM761" s="43"/>
      <c r="CN761" s="43"/>
      <c r="CO761" s="43"/>
      <c r="CP761" s="43"/>
      <c r="CQ761" s="43"/>
      <c r="CR761" s="43"/>
      <c r="CS761" s="43"/>
      <c r="CT761" s="43"/>
      <c r="CU761" s="43"/>
      <c r="CV761" s="43"/>
      <c r="CW761" s="43"/>
      <c r="CX761" s="43"/>
      <c r="CY761" s="43"/>
      <c r="CZ761" s="43"/>
      <c r="DA761" s="43"/>
      <c r="DB761" s="43"/>
      <c r="DC761" s="43"/>
      <c r="DD761" s="43"/>
      <c r="DE761" s="43"/>
      <c r="DF761" s="43"/>
      <c r="DG761" s="43"/>
      <c r="DH761" s="43"/>
      <c r="DI761" s="43"/>
      <c r="DJ761" s="43"/>
      <c r="DK761" s="43"/>
      <c r="DL761" s="43"/>
      <c r="DM761" s="43"/>
      <c r="DN761" s="43"/>
      <c r="DO761" s="43"/>
      <c r="DP761" s="43"/>
      <c r="DQ761" s="43"/>
      <c r="DR761" s="43"/>
      <c r="DS761" s="43"/>
      <c r="DT761" s="43"/>
      <c r="DU761" s="43"/>
      <c r="DV761" s="43"/>
      <c r="DW761" s="43"/>
      <c r="DX761" s="43"/>
      <c r="DY761" s="43"/>
      <c r="DZ761" s="43"/>
      <c r="EA761" s="43"/>
      <c r="EB761" s="43"/>
      <c r="EC761" s="43"/>
      <c r="ED761" s="43"/>
      <c r="EE761" s="43"/>
      <c r="EF761" s="43"/>
      <c r="EG761" s="43"/>
      <c r="EH761" s="43"/>
      <c r="EI761" s="43"/>
      <c r="EJ761" s="43"/>
      <c r="EK761" s="43"/>
      <c r="EL761" s="43"/>
      <c r="EM761" s="43"/>
      <c r="EN761" s="43"/>
      <c r="EO761" s="43"/>
      <c r="EP761" s="43"/>
      <c r="EQ761" s="43"/>
      <c r="ER761" s="43"/>
      <c r="ES761" s="43"/>
      <c r="ET761" s="43"/>
      <c r="EU761" s="43"/>
      <c r="EV761" s="43"/>
      <c r="EW761" s="43"/>
      <c r="EX761" s="43"/>
      <c r="EY761" s="43"/>
      <c r="EZ761" s="43"/>
      <c r="FA761" s="43"/>
      <c r="FB761" s="43"/>
      <c r="FC761" s="43"/>
      <c r="FD761" s="43"/>
      <c r="FE761" s="43"/>
      <c r="FF761" s="43"/>
      <c r="FG761" s="43"/>
      <c r="FH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43"/>
      <c r="BP762" s="43"/>
      <c r="BQ762" s="43"/>
      <c r="BR762" s="43"/>
      <c r="BS762" s="43"/>
      <c r="BT762" s="43"/>
      <c r="BU762" s="43"/>
      <c r="BV762" s="43"/>
      <c r="BW762" s="43"/>
      <c r="BX762" s="43"/>
      <c r="BY762" s="43"/>
      <c r="BZ762" s="43"/>
      <c r="CA762" s="43"/>
      <c r="CB762" s="43"/>
      <c r="CC762" s="43"/>
      <c r="CD762" s="43"/>
      <c r="CE762" s="43"/>
      <c r="CF762" s="43"/>
      <c r="CG762" s="43"/>
      <c r="CH762" s="43"/>
      <c r="CI762" s="43"/>
      <c r="CJ762" s="43"/>
      <c r="CK762" s="43"/>
      <c r="CL762" s="43"/>
      <c r="CM762" s="43"/>
      <c r="CN762" s="43"/>
      <c r="CO762" s="43"/>
      <c r="CP762" s="43"/>
      <c r="CQ762" s="43"/>
      <c r="CR762" s="43"/>
      <c r="CS762" s="43"/>
      <c r="CT762" s="43"/>
      <c r="CU762" s="43"/>
      <c r="CV762" s="43"/>
      <c r="CW762" s="43"/>
      <c r="CX762" s="43"/>
      <c r="CY762" s="43"/>
      <c r="CZ762" s="43"/>
      <c r="DA762" s="43"/>
      <c r="DB762" s="43"/>
      <c r="DC762" s="43"/>
      <c r="DD762" s="43"/>
      <c r="DE762" s="43"/>
      <c r="DF762" s="43"/>
      <c r="DG762" s="43"/>
      <c r="DH762" s="43"/>
      <c r="DI762" s="43"/>
      <c r="DJ762" s="43"/>
      <c r="DK762" s="43"/>
      <c r="DL762" s="43"/>
      <c r="DM762" s="43"/>
      <c r="DN762" s="43"/>
      <c r="DO762" s="43"/>
      <c r="DP762" s="43"/>
      <c r="DQ762" s="43"/>
      <c r="DR762" s="43"/>
      <c r="DS762" s="43"/>
      <c r="DT762" s="43"/>
      <c r="DU762" s="43"/>
      <c r="DV762" s="43"/>
      <c r="DW762" s="43"/>
      <c r="DX762" s="43"/>
      <c r="DY762" s="43"/>
      <c r="DZ762" s="43"/>
      <c r="EA762" s="43"/>
      <c r="EB762" s="43"/>
      <c r="EC762" s="43"/>
      <c r="ED762" s="43"/>
      <c r="EE762" s="43"/>
      <c r="EF762" s="43"/>
      <c r="EG762" s="43"/>
      <c r="EH762" s="43"/>
      <c r="EI762" s="43"/>
      <c r="EJ762" s="43"/>
      <c r="EK762" s="43"/>
      <c r="EL762" s="43"/>
      <c r="EM762" s="43"/>
      <c r="EN762" s="43"/>
      <c r="EO762" s="43"/>
      <c r="EP762" s="43"/>
      <c r="EQ762" s="43"/>
      <c r="ER762" s="43"/>
      <c r="ES762" s="43"/>
      <c r="ET762" s="43"/>
      <c r="EU762" s="43"/>
      <c r="EV762" s="43"/>
      <c r="EW762" s="43"/>
      <c r="EX762" s="43"/>
      <c r="EY762" s="43"/>
      <c r="EZ762" s="43"/>
      <c r="FA762" s="43"/>
      <c r="FB762" s="43"/>
      <c r="FC762" s="43"/>
      <c r="FD762" s="43"/>
      <c r="FE762" s="43"/>
      <c r="FF762" s="43"/>
      <c r="FG762" s="43"/>
      <c r="FH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43"/>
      <c r="BP763" s="43"/>
      <c r="BQ763" s="43"/>
      <c r="BR763" s="43"/>
      <c r="BS763" s="43"/>
      <c r="BT763" s="43"/>
      <c r="BU763" s="43"/>
      <c r="BV763" s="43"/>
      <c r="BW763" s="43"/>
      <c r="BX763" s="43"/>
      <c r="BY763" s="43"/>
      <c r="BZ763" s="43"/>
      <c r="CA763" s="43"/>
      <c r="CB763" s="43"/>
      <c r="CC763" s="43"/>
      <c r="CD763" s="43"/>
      <c r="CE763" s="43"/>
      <c r="CF763" s="43"/>
      <c r="CG763" s="43"/>
      <c r="CH763" s="43"/>
      <c r="CI763" s="43"/>
      <c r="CJ763" s="43"/>
      <c r="CK763" s="43"/>
      <c r="CL763" s="43"/>
      <c r="CM763" s="43"/>
      <c r="CN763" s="43"/>
      <c r="CO763" s="43"/>
      <c r="CP763" s="43"/>
      <c r="CQ763" s="43"/>
      <c r="CR763" s="43"/>
      <c r="CS763" s="43"/>
      <c r="CT763" s="43"/>
      <c r="CU763" s="43"/>
      <c r="CV763" s="43"/>
      <c r="CW763" s="43"/>
      <c r="CX763" s="43"/>
      <c r="CY763" s="43"/>
      <c r="CZ763" s="43"/>
      <c r="DA763" s="43"/>
      <c r="DB763" s="43"/>
      <c r="DC763" s="43"/>
      <c r="DD763" s="43"/>
      <c r="DE763" s="43"/>
      <c r="DF763" s="43"/>
      <c r="DG763" s="43"/>
      <c r="DH763" s="43"/>
      <c r="DI763" s="43"/>
      <c r="DJ763" s="43"/>
      <c r="DK763" s="43"/>
      <c r="DL763" s="43"/>
      <c r="DM763" s="43"/>
      <c r="DN763" s="43"/>
      <c r="DO763" s="43"/>
      <c r="DP763" s="43"/>
      <c r="DQ763" s="43"/>
      <c r="DR763" s="43"/>
      <c r="DS763" s="43"/>
      <c r="DT763" s="43"/>
      <c r="DU763" s="43"/>
      <c r="DV763" s="43"/>
      <c r="DW763" s="43"/>
      <c r="DX763" s="43"/>
      <c r="DY763" s="43"/>
      <c r="DZ763" s="43"/>
      <c r="EA763" s="43"/>
      <c r="EB763" s="43"/>
      <c r="EC763" s="43"/>
      <c r="ED763" s="43"/>
      <c r="EE763" s="43"/>
      <c r="EF763" s="43"/>
      <c r="EG763" s="43"/>
      <c r="EH763" s="43"/>
      <c r="EI763" s="43"/>
      <c r="EJ763" s="43"/>
      <c r="EK763" s="43"/>
      <c r="EL763" s="43"/>
      <c r="EM763" s="43"/>
      <c r="EN763" s="43"/>
      <c r="EO763" s="43"/>
      <c r="EP763" s="43"/>
      <c r="EQ763" s="43"/>
      <c r="ER763" s="43"/>
      <c r="ES763" s="43"/>
      <c r="ET763" s="43"/>
      <c r="EU763" s="43"/>
      <c r="EV763" s="43"/>
      <c r="EW763" s="43"/>
      <c r="EX763" s="43"/>
      <c r="EY763" s="43"/>
      <c r="EZ763" s="43"/>
      <c r="FA763" s="43"/>
      <c r="FB763" s="43"/>
      <c r="FC763" s="43"/>
      <c r="FD763" s="43"/>
      <c r="FE763" s="43"/>
      <c r="FF763" s="43"/>
      <c r="FG763" s="43"/>
      <c r="FH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43"/>
      <c r="BP764" s="43"/>
      <c r="BQ764" s="43"/>
      <c r="BR764" s="43"/>
      <c r="BS764" s="43"/>
      <c r="BT764" s="43"/>
      <c r="BU764" s="43"/>
      <c r="BV764" s="43"/>
      <c r="BW764" s="43"/>
      <c r="BX764" s="43"/>
      <c r="BY764" s="43"/>
      <c r="BZ764" s="43"/>
      <c r="CA764" s="43"/>
      <c r="CB764" s="43"/>
      <c r="CC764" s="43"/>
      <c r="CD764" s="43"/>
      <c r="CE764" s="43"/>
      <c r="CF764" s="43"/>
      <c r="CG764" s="43"/>
      <c r="CH764" s="43"/>
      <c r="CI764" s="43"/>
      <c r="CJ764" s="43"/>
      <c r="CK764" s="43"/>
      <c r="CL764" s="43"/>
      <c r="CM764" s="43"/>
      <c r="CN764" s="43"/>
      <c r="CO764" s="43"/>
      <c r="CP764" s="43"/>
      <c r="CQ764" s="43"/>
      <c r="CR764" s="43"/>
      <c r="CS764" s="43"/>
      <c r="CT764" s="43"/>
      <c r="CU764" s="43"/>
      <c r="CV764" s="43"/>
      <c r="CW764" s="43"/>
      <c r="CX764" s="43"/>
      <c r="CY764" s="43"/>
      <c r="CZ764" s="43"/>
      <c r="DA764" s="43"/>
      <c r="DB764" s="43"/>
      <c r="DC764" s="43"/>
      <c r="DD764" s="43"/>
      <c r="DE764" s="43"/>
      <c r="DF764" s="43"/>
      <c r="DG764" s="43"/>
      <c r="DH764" s="43"/>
      <c r="DI764" s="43"/>
      <c r="DJ764" s="43"/>
      <c r="DK764" s="43"/>
      <c r="DL764" s="43"/>
      <c r="DM764" s="43"/>
      <c r="DN764" s="43"/>
      <c r="DO764" s="43"/>
      <c r="DP764" s="43"/>
      <c r="DQ764" s="43"/>
      <c r="DR764" s="43"/>
      <c r="DS764" s="43"/>
      <c r="DT764" s="43"/>
      <c r="DU764" s="43"/>
      <c r="DV764" s="43"/>
      <c r="DW764" s="43"/>
      <c r="DX764" s="43"/>
      <c r="DY764" s="43"/>
      <c r="DZ764" s="43"/>
      <c r="EA764" s="43"/>
      <c r="EB764" s="43"/>
      <c r="EC764" s="43"/>
      <c r="ED764" s="43"/>
      <c r="EE764" s="43"/>
      <c r="EF764" s="43"/>
      <c r="EG764" s="43"/>
      <c r="EH764" s="43"/>
      <c r="EI764" s="43"/>
      <c r="EJ764" s="43"/>
      <c r="EK764" s="43"/>
      <c r="EL764" s="43"/>
      <c r="EM764" s="43"/>
      <c r="EN764" s="43"/>
      <c r="EO764" s="43"/>
      <c r="EP764" s="43"/>
      <c r="EQ764" s="43"/>
      <c r="ER764" s="43"/>
      <c r="ES764" s="43"/>
      <c r="ET764" s="43"/>
      <c r="EU764" s="43"/>
      <c r="EV764" s="43"/>
      <c r="EW764" s="43"/>
      <c r="EX764" s="43"/>
      <c r="EY764" s="43"/>
      <c r="EZ764" s="43"/>
      <c r="FA764" s="43"/>
      <c r="FB764" s="43"/>
      <c r="FC764" s="43"/>
      <c r="FD764" s="43"/>
      <c r="FE764" s="43"/>
      <c r="FF764" s="43"/>
      <c r="FG764" s="43"/>
      <c r="FH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43"/>
      <c r="BP765" s="43"/>
      <c r="BQ765" s="43"/>
      <c r="BR765" s="43"/>
      <c r="BS765" s="43"/>
      <c r="BT765" s="43"/>
      <c r="BU765" s="43"/>
      <c r="BV765" s="43"/>
      <c r="BW765" s="43"/>
      <c r="BX765" s="43"/>
      <c r="BY765" s="43"/>
      <c r="BZ765" s="43"/>
      <c r="CA765" s="43"/>
      <c r="CB765" s="43"/>
      <c r="CC765" s="43"/>
      <c r="CD765" s="43"/>
      <c r="CE765" s="43"/>
      <c r="CF765" s="43"/>
      <c r="CG765" s="43"/>
      <c r="CH765" s="43"/>
      <c r="CI765" s="43"/>
      <c r="CJ765" s="43"/>
      <c r="CK765" s="43"/>
      <c r="CL765" s="43"/>
      <c r="CM765" s="43"/>
      <c r="CN765" s="43"/>
      <c r="CO765" s="43"/>
      <c r="CP765" s="43"/>
      <c r="CQ765" s="43"/>
      <c r="CR765" s="43"/>
      <c r="CS765" s="43"/>
      <c r="CT765" s="43"/>
      <c r="CU765" s="43"/>
      <c r="CV765" s="43"/>
      <c r="CW765" s="43"/>
      <c r="CX765" s="43"/>
      <c r="CY765" s="43"/>
      <c r="CZ765" s="43"/>
      <c r="DA765" s="43"/>
      <c r="DB765" s="43"/>
      <c r="DC765" s="43"/>
      <c r="DD765" s="43"/>
      <c r="DE765" s="43"/>
      <c r="DF765" s="43"/>
      <c r="DG765" s="43"/>
      <c r="DH765" s="43"/>
      <c r="DI765" s="43"/>
      <c r="DJ765" s="43"/>
      <c r="DK765" s="43"/>
      <c r="DL765" s="43"/>
      <c r="DM765" s="43"/>
      <c r="DN765" s="43"/>
      <c r="DO765" s="43"/>
      <c r="DP765" s="43"/>
      <c r="DQ765" s="43"/>
      <c r="DR765" s="43"/>
      <c r="DS765" s="43"/>
      <c r="DT765" s="43"/>
      <c r="DU765" s="43"/>
      <c r="DV765" s="43"/>
      <c r="DW765" s="43"/>
      <c r="DX765" s="43"/>
      <c r="DY765" s="43"/>
      <c r="DZ765" s="43"/>
      <c r="EA765" s="43"/>
      <c r="EB765" s="43"/>
      <c r="EC765" s="43"/>
      <c r="ED765" s="43"/>
      <c r="EE765" s="43"/>
      <c r="EF765" s="43"/>
      <c r="EG765" s="43"/>
      <c r="EH765" s="43"/>
      <c r="EI765" s="43"/>
      <c r="EJ765" s="43"/>
      <c r="EK765" s="43"/>
      <c r="EL765" s="43"/>
      <c r="EM765" s="43"/>
      <c r="EN765" s="43"/>
      <c r="EO765" s="43"/>
      <c r="EP765" s="43"/>
      <c r="EQ765" s="43"/>
      <c r="ER765" s="43"/>
      <c r="ES765" s="43"/>
      <c r="ET765" s="43"/>
      <c r="EU765" s="43"/>
      <c r="EV765" s="43"/>
      <c r="EW765" s="43"/>
      <c r="EX765" s="43"/>
      <c r="EY765" s="43"/>
      <c r="EZ765" s="43"/>
      <c r="FA765" s="43"/>
      <c r="FB765" s="43"/>
      <c r="FC765" s="43"/>
      <c r="FD765" s="43"/>
      <c r="FE765" s="43"/>
      <c r="FF765" s="43"/>
      <c r="FG765" s="43"/>
      <c r="FH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43"/>
      <c r="BP766" s="43"/>
      <c r="BQ766" s="43"/>
      <c r="BR766" s="43"/>
      <c r="BS766" s="43"/>
      <c r="BT766" s="43"/>
      <c r="BU766" s="43"/>
      <c r="BV766" s="43"/>
      <c r="BW766" s="43"/>
      <c r="BX766" s="43"/>
      <c r="BY766" s="43"/>
      <c r="BZ766" s="43"/>
      <c r="CA766" s="43"/>
      <c r="CB766" s="43"/>
      <c r="CC766" s="43"/>
      <c r="CD766" s="43"/>
      <c r="CE766" s="43"/>
      <c r="CF766" s="43"/>
      <c r="CG766" s="43"/>
      <c r="CH766" s="43"/>
      <c r="CI766" s="43"/>
      <c r="CJ766" s="43"/>
      <c r="CK766" s="43"/>
      <c r="CL766" s="43"/>
      <c r="CM766" s="43"/>
      <c r="CN766" s="43"/>
      <c r="CO766" s="43"/>
      <c r="CP766" s="43"/>
      <c r="CQ766" s="43"/>
      <c r="CR766" s="43"/>
      <c r="CS766" s="43"/>
      <c r="CT766" s="43"/>
      <c r="CU766" s="43"/>
      <c r="CV766" s="43"/>
      <c r="CW766" s="43"/>
      <c r="CX766" s="43"/>
      <c r="CY766" s="43"/>
      <c r="CZ766" s="43"/>
      <c r="DA766" s="43"/>
      <c r="DB766" s="43"/>
      <c r="DC766" s="43"/>
      <c r="DD766" s="43"/>
      <c r="DE766" s="43"/>
      <c r="DF766" s="43"/>
      <c r="DG766" s="43"/>
      <c r="DH766" s="43"/>
      <c r="DI766" s="43"/>
      <c r="DJ766" s="43"/>
      <c r="DK766" s="43"/>
      <c r="DL766" s="43"/>
      <c r="DM766" s="43"/>
      <c r="DN766" s="43"/>
      <c r="DO766" s="43"/>
      <c r="DP766" s="43"/>
      <c r="DQ766" s="43"/>
      <c r="DR766" s="43"/>
      <c r="DS766" s="43"/>
      <c r="DT766" s="43"/>
      <c r="DU766" s="43"/>
      <c r="DV766" s="43"/>
      <c r="DW766" s="43"/>
      <c r="DX766" s="43"/>
      <c r="DY766" s="43"/>
      <c r="DZ766" s="43"/>
      <c r="EA766" s="43"/>
      <c r="EB766" s="43"/>
      <c r="EC766" s="43"/>
      <c r="ED766" s="43"/>
      <c r="EE766" s="43"/>
      <c r="EF766" s="43"/>
      <c r="EG766" s="43"/>
      <c r="EH766" s="43"/>
      <c r="EI766" s="43"/>
      <c r="EJ766" s="43"/>
      <c r="EK766" s="43"/>
      <c r="EL766" s="43"/>
      <c r="EM766" s="43"/>
      <c r="EN766" s="43"/>
      <c r="EO766" s="43"/>
      <c r="EP766" s="43"/>
      <c r="EQ766" s="43"/>
      <c r="ER766" s="43"/>
      <c r="ES766" s="43"/>
      <c r="ET766" s="43"/>
      <c r="EU766" s="43"/>
      <c r="EV766" s="43"/>
      <c r="EW766" s="43"/>
      <c r="EX766" s="43"/>
      <c r="EY766" s="43"/>
      <c r="EZ766" s="43"/>
      <c r="FA766" s="43"/>
      <c r="FB766" s="43"/>
      <c r="FC766" s="43"/>
      <c r="FD766" s="43"/>
      <c r="FE766" s="43"/>
      <c r="FF766" s="43"/>
      <c r="FG766" s="43"/>
      <c r="FH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43"/>
      <c r="BP767" s="43"/>
      <c r="BQ767" s="43"/>
      <c r="BR767" s="43"/>
      <c r="BS767" s="43"/>
      <c r="BT767" s="43"/>
      <c r="BU767" s="43"/>
      <c r="BV767" s="43"/>
      <c r="BW767" s="43"/>
      <c r="BX767" s="43"/>
      <c r="BY767" s="43"/>
      <c r="BZ767" s="43"/>
      <c r="CA767" s="43"/>
      <c r="CB767" s="43"/>
      <c r="CC767" s="43"/>
      <c r="CD767" s="43"/>
      <c r="CE767" s="43"/>
      <c r="CF767" s="43"/>
      <c r="CG767" s="43"/>
      <c r="CH767" s="43"/>
      <c r="CI767" s="43"/>
      <c r="CJ767" s="43"/>
      <c r="CK767" s="43"/>
      <c r="CL767" s="43"/>
      <c r="CM767" s="43"/>
      <c r="CN767" s="43"/>
      <c r="CO767" s="43"/>
      <c r="CP767" s="43"/>
      <c r="CQ767" s="43"/>
      <c r="CR767" s="43"/>
      <c r="CS767" s="43"/>
      <c r="CT767" s="43"/>
      <c r="CU767" s="43"/>
      <c r="CV767" s="43"/>
      <c r="CW767" s="43"/>
      <c r="CX767" s="43"/>
      <c r="CY767" s="43"/>
      <c r="CZ767" s="43"/>
      <c r="DA767" s="43"/>
      <c r="DB767" s="43"/>
      <c r="DC767" s="43"/>
      <c r="DD767" s="43"/>
      <c r="DE767" s="43"/>
      <c r="DF767" s="43"/>
      <c r="DG767" s="43"/>
      <c r="DH767" s="43"/>
      <c r="DI767" s="43"/>
      <c r="DJ767" s="43"/>
      <c r="DK767" s="43"/>
      <c r="DL767" s="43"/>
      <c r="DM767" s="43"/>
      <c r="DN767" s="43"/>
      <c r="DO767" s="43"/>
      <c r="DP767" s="43"/>
      <c r="DQ767" s="43"/>
      <c r="DR767" s="43"/>
      <c r="DS767" s="43"/>
      <c r="DT767" s="43"/>
      <c r="DU767" s="43"/>
      <c r="DV767" s="43"/>
      <c r="DW767" s="43"/>
      <c r="DX767" s="43"/>
      <c r="DY767" s="43"/>
      <c r="DZ767" s="43"/>
      <c r="EA767" s="43"/>
      <c r="EB767" s="43"/>
      <c r="EC767" s="43"/>
      <c r="ED767" s="43"/>
      <c r="EE767" s="43"/>
      <c r="EF767" s="43"/>
      <c r="EG767" s="43"/>
      <c r="EH767" s="43"/>
      <c r="EI767" s="43"/>
      <c r="EJ767" s="43"/>
      <c r="EK767" s="43"/>
      <c r="EL767" s="43"/>
      <c r="EM767" s="43"/>
      <c r="EN767" s="43"/>
      <c r="EO767" s="43"/>
      <c r="EP767" s="43"/>
      <c r="EQ767" s="43"/>
      <c r="ER767" s="43"/>
      <c r="ES767" s="43"/>
      <c r="ET767" s="43"/>
      <c r="EU767" s="43"/>
      <c r="EV767" s="43"/>
      <c r="EW767" s="43"/>
      <c r="EX767" s="43"/>
      <c r="EY767" s="43"/>
      <c r="EZ767" s="43"/>
      <c r="FA767" s="43"/>
      <c r="FB767" s="43"/>
      <c r="FC767" s="43"/>
      <c r="FD767" s="43"/>
      <c r="FE767" s="43"/>
      <c r="FF767" s="43"/>
      <c r="FG767" s="43"/>
      <c r="FH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43"/>
      <c r="BP768" s="43"/>
      <c r="BQ768" s="43"/>
      <c r="BR768" s="43"/>
      <c r="BS768" s="43"/>
      <c r="BT768" s="43"/>
      <c r="BU768" s="43"/>
      <c r="BV768" s="43"/>
      <c r="BW768" s="43"/>
      <c r="BX768" s="43"/>
      <c r="BY768" s="43"/>
      <c r="BZ768" s="43"/>
      <c r="CA768" s="43"/>
      <c r="CB768" s="43"/>
      <c r="CC768" s="43"/>
      <c r="CD768" s="43"/>
      <c r="CE768" s="43"/>
      <c r="CF768" s="43"/>
      <c r="CG768" s="43"/>
      <c r="CH768" s="43"/>
      <c r="CI768" s="43"/>
      <c r="CJ768" s="43"/>
      <c r="CK768" s="43"/>
      <c r="CL768" s="43"/>
      <c r="CM768" s="43"/>
      <c r="CN768" s="43"/>
      <c r="CO768" s="43"/>
      <c r="CP768" s="43"/>
      <c r="CQ768" s="43"/>
      <c r="CR768" s="43"/>
      <c r="CS768" s="43"/>
      <c r="CT768" s="43"/>
      <c r="CU768" s="43"/>
      <c r="CV768" s="43"/>
      <c r="CW768" s="43"/>
      <c r="CX768" s="43"/>
      <c r="CY768" s="43"/>
      <c r="CZ768" s="43"/>
      <c r="DA768" s="43"/>
      <c r="DB768" s="43"/>
      <c r="DC768" s="43"/>
      <c r="DD768" s="43"/>
      <c r="DE768" s="43"/>
      <c r="DF768" s="43"/>
      <c r="DG768" s="43"/>
      <c r="DH768" s="43"/>
      <c r="DI768" s="43"/>
      <c r="DJ768" s="43"/>
      <c r="DK768" s="43"/>
      <c r="DL768" s="43"/>
      <c r="DM768" s="43"/>
      <c r="DN768" s="43"/>
      <c r="DO768" s="43"/>
      <c r="DP768" s="43"/>
      <c r="DQ768" s="43"/>
      <c r="DR768" s="43"/>
      <c r="DS768" s="43"/>
      <c r="DT768" s="43"/>
      <c r="DU768" s="43"/>
      <c r="DV768" s="43"/>
      <c r="DW768" s="43"/>
      <c r="DX768" s="43"/>
      <c r="DY768" s="43"/>
      <c r="DZ768" s="43"/>
      <c r="EA768" s="43"/>
      <c r="EB768" s="43"/>
      <c r="EC768" s="43"/>
      <c r="ED768" s="43"/>
      <c r="EE768" s="43"/>
      <c r="EF768" s="43"/>
      <c r="EG768" s="43"/>
      <c r="EH768" s="43"/>
      <c r="EI768" s="43"/>
      <c r="EJ768" s="43"/>
      <c r="EK768" s="43"/>
      <c r="EL768" s="43"/>
      <c r="EM768" s="43"/>
      <c r="EN768" s="43"/>
      <c r="EO768" s="43"/>
      <c r="EP768" s="43"/>
      <c r="EQ768" s="43"/>
      <c r="ER768" s="43"/>
      <c r="ES768" s="43"/>
      <c r="ET768" s="43"/>
      <c r="EU768" s="43"/>
      <c r="EV768" s="43"/>
      <c r="EW768" s="43"/>
      <c r="EX768" s="43"/>
      <c r="EY768" s="43"/>
      <c r="EZ768" s="43"/>
      <c r="FA768" s="43"/>
      <c r="FB768" s="43"/>
      <c r="FC768" s="43"/>
      <c r="FD768" s="43"/>
      <c r="FE768" s="43"/>
      <c r="FF768" s="43"/>
      <c r="FG768" s="43"/>
      <c r="FH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43"/>
      <c r="BP769" s="43"/>
      <c r="BQ769" s="43"/>
      <c r="BR769" s="43"/>
      <c r="BS769" s="43"/>
      <c r="BT769" s="43"/>
      <c r="BU769" s="43"/>
      <c r="BV769" s="43"/>
      <c r="BW769" s="43"/>
      <c r="BX769" s="43"/>
      <c r="BY769" s="43"/>
      <c r="BZ769" s="43"/>
      <c r="CA769" s="43"/>
      <c r="CB769" s="43"/>
      <c r="CC769" s="43"/>
      <c r="CD769" s="43"/>
      <c r="CE769" s="43"/>
      <c r="CF769" s="43"/>
      <c r="CG769" s="43"/>
      <c r="CH769" s="43"/>
      <c r="CI769" s="43"/>
      <c r="CJ769" s="43"/>
      <c r="CK769" s="43"/>
      <c r="CL769" s="43"/>
      <c r="CM769" s="43"/>
      <c r="CN769" s="43"/>
      <c r="CO769" s="43"/>
      <c r="CP769" s="43"/>
      <c r="CQ769" s="43"/>
      <c r="CR769" s="43"/>
      <c r="CS769" s="43"/>
      <c r="CT769" s="43"/>
      <c r="CU769" s="43"/>
      <c r="CV769" s="43"/>
      <c r="CW769" s="43"/>
      <c r="CX769" s="43"/>
      <c r="CY769" s="43"/>
      <c r="CZ769" s="43"/>
      <c r="DA769" s="43"/>
      <c r="DB769" s="43"/>
      <c r="DC769" s="43"/>
      <c r="DD769" s="43"/>
      <c r="DE769" s="43"/>
      <c r="DF769" s="43"/>
      <c r="DG769" s="43"/>
      <c r="DH769" s="43"/>
      <c r="DI769" s="43"/>
      <c r="DJ769" s="43"/>
      <c r="DK769" s="43"/>
      <c r="DL769" s="43"/>
      <c r="DM769" s="43"/>
      <c r="DN769" s="43"/>
      <c r="DO769" s="43"/>
      <c r="DP769" s="43"/>
      <c r="DQ769" s="43"/>
      <c r="DR769" s="43"/>
      <c r="DS769" s="43"/>
      <c r="DT769" s="43"/>
      <c r="DU769" s="43"/>
      <c r="DV769" s="43"/>
      <c r="DW769" s="43"/>
      <c r="DX769" s="43"/>
      <c r="DY769" s="43"/>
      <c r="DZ769" s="43"/>
      <c r="EA769" s="43"/>
      <c r="EB769" s="43"/>
      <c r="EC769" s="43"/>
      <c r="ED769" s="43"/>
      <c r="EE769" s="43"/>
      <c r="EF769" s="43"/>
      <c r="EG769" s="43"/>
      <c r="EH769" s="43"/>
      <c r="EI769" s="43"/>
      <c r="EJ769" s="43"/>
      <c r="EK769" s="43"/>
      <c r="EL769" s="43"/>
      <c r="EM769" s="43"/>
      <c r="EN769" s="43"/>
      <c r="EO769" s="43"/>
      <c r="EP769" s="43"/>
      <c r="EQ769" s="43"/>
      <c r="ER769" s="43"/>
      <c r="ES769" s="43"/>
      <c r="ET769" s="43"/>
      <c r="EU769" s="43"/>
      <c r="EV769" s="43"/>
      <c r="EW769" s="43"/>
      <c r="EX769" s="43"/>
      <c r="EY769" s="43"/>
      <c r="EZ769" s="43"/>
      <c r="FA769" s="43"/>
      <c r="FB769" s="43"/>
      <c r="FC769" s="43"/>
      <c r="FD769" s="43"/>
      <c r="FE769" s="43"/>
      <c r="FF769" s="43"/>
      <c r="FG769" s="43"/>
      <c r="FH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43"/>
      <c r="BP770" s="43"/>
      <c r="BQ770" s="43"/>
      <c r="BR770" s="43"/>
      <c r="BS770" s="43"/>
      <c r="BT770" s="43"/>
      <c r="BU770" s="43"/>
      <c r="BV770" s="43"/>
      <c r="BW770" s="43"/>
      <c r="BX770" s="43"/>
      <c r="BY770" s="43"/>
      <c r="BZ770" s="43"/>
      <c r="CA770" s="43"/>
      <c r="CB770" s="43"/>
      <c r="CC770" s="43"/>
      <c r="CD770" s="43"/>
      <c r="CE770" s="43"/>
      <c r="CF770" s="43"/>
      <c r="CG770" s="43"/>
      <c r="CH770" s="43"/>
      <c r="CI770" s="43"/>
      <c r="CJ770" s="43"/>
      <c r="CK770" s="43"/>
      <c r="CL770" s="43"/>
      <c r="CM770" s="43"/>
      <c r="CN770" s="43"/>
      <c r="CO770" s="43"/>
      <c r="CP770" s="43"/>
      <c r="CQ770" s="43"/>
      <c r="CR770" s="43"/>
      <c r="CS770" s="43"/>
      <c r="CT770" s="43"/>
      <c r="CU770" s="43"/>
      <c r="CV770" s="43"/>
      <c r="CW770" s="43"/>
      <c r="CX770" s="43"/>
      <c r="CY770" s="43"/>
      <c r="CZ770" s="43"/>
      <c r="DA770" s="43"/>
      <c r="DB770" s="43"/>
      <c r="DC770" s="43"/>
      <c r="DD770" s="43"/>
      <c r="DE770" s="43"/>
      <c r="DF770" s="43"/>
      <c r="DG770" s="43"/>
      <c r="DH770" s="43"/>
      <c r="DI770" s="43"/>
      <c r="DJ770" s="43"/>
      <c r="DK770" s="43"/>
      <c r="DL770" s="43"/>
      <c r="DM770" s="43"/>
      <c r="DN770" s="43"/>
      <c r="DO770" s="43"/>
      <c r="DP770" s="43"/>
      <c r="DQ770" s="43"/>
      <c r="DR770" s="43"/>
      <c r="DS770" s="43"/>
      <c r="DT770" s="43"/>
      <c r="DU770" s="43"/>
      <c r="DV770" s="43"/>
      <c r="DW770" s="43"/>
      <c r="DX770" s="43"/>
      <c r="DY770" s="43"/>
      <c r="DZ770" s="43"/>
      <c r="EA770" s="43"/>
      <c r="EB770" s="43"/>
      <c r="EC770" s="43"/>
      <c r="ED770" s="43"/>
      <c r="EE770" s="43"/>
      <c r="EF770" s="43"/>
      <c r="EG770" s="43"/>
      <c r="EH770" s="43"/>
      <c r="EI770" s="43"/>
      <c r="EJ770" s="43"/>
      <c r="EK770" s="43"/>
      <c r="EL770" s="43"/>
      <c r="EM770" s="43"/>
      <c r="EN770" s="43"/>
      <c r="EO770" s="43"/>
      <c r="EP770" s="43"/>
      <c r="EQ770" s="43"/>
      <c r="ER770" s="43"/>
      <c r="ES770" s="43"/>
      <c r="ET770" s="43"/>
      <c r="EU770" s="43"/>
      <c r="EV770" s="43"/>
      <c r="EW770" s="43"/>
      <c r="EX770" s="43"/>
      <c r="EY770" s="43"/>
      <c r="EZ770" s="43"/>
      <c r="FA770" s="43"/>
      <c r="FB770" s="43"/>
      <c r="FC770" s="43"/>
      <c r="FD770" s="43"/>
      <c r="FE770" s="43"/>
      <c r="FF770" s="43"/>
      <c r="FG770" s="43"/>
      <c r="FH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43"/>
      <c r="BP771" s="43"/>
      <c r="BQ771" s="43"/>
      <c r="BR771" s="43"/>
      <c r="BS771" s="43"/>
      <c r="BT771" s="43"/>
      <c r="BU771" s="43"/>
      <c r="BV771" s="43"/>
      <c r="BW771" s="43"/>
      <c r="BX771" s="43"/>
      <c r="BY771" s="43"/>
      <c r="BZ771" s="43"/>
      <c r="CA771" s="43"/>
      <c r="CB771" s="43"/>
      <c r="CC771" s="43"/>
      <c r="CD771" s="43"/>
      <c r="CE771" s="43"/>
      <c r="CF771" s="43"/>
      <c r="CG771" s="43"/>
      <c r="CH771" s="43"/>
      <c r="CI771" s="43"/>
      <c r="CJ771" s="43"/>
      <c r="CK771" s="43"/>
      <c r="CL771" s="43"/>
      <c r="CM771" s="43"/>
      <c r="CN771" s="43"/>
      <c r="CO771" s="43"/>
      <c r="CP771" s="43"/>
      <c r="CQ771" s="43"/>
      <c r="CR771" s="43"/>
      <c r="CS771" s="43"/>
      <c r="CT771" s="43"/>
      <c r="CU771" s="43"/>
      <c r="CV771" s="43"/>
      <c r="CW771" s="43"/>
      <c r="CX771" s="43"/>
      <c r="CY771" s="43"/>
      <c r="CZ771" s="43"/>
      <c r="DA771" s="43"/>
      <c r="DB771" s="43"/>
      <c r="DC771" s="43"/>
      <c r="DD771" s="43"/>
      <c r="DE771" s="43"/>
      <c r="DF771" s="43"/>
      <c r="DG771" s="43"/>
      <c r="DH771" s="43"/>
      <c r="DI771" s="43"/>
      <c r="DJ771" s="43"/>
      <c r="DK771" s="43"/>
      <c r="DL771" s="43"/>
      <c r="DM771" s="43"/>
      <c r="DN771" s="43"/>
      <c r="DO771" s="43"/>
      <c r="DP771" s="43"/>
      <c r="DQ771" s="43"/>
      <c r="DR771" s="43"/>
      <c r="DS771" s="43"/>
      <c r="DT771" s="43"/>
      <c r="DU771" s="43"/>
      <c r="DV771" s="43"/>
      <c r="DW771" s="43"/>
      <c r="DX771" s="43"/>
      <c r="DY771" s="43"/>
      <c r="DZ771" s="43"/>
      <c r="EA771" s="43"/>
      <c r="EB771" s="43"/>
      <c r="EC771" s="43"/>
      <c r="ED771" s="43"/>
      <c r="EE771" s="43"/>
      <c r="EF771" s="43"/>
      <c r="EG771" s="43"/>
      <c r="EH771" s="43"/>
      <c r="EI771" s="43"/>
      <c r="EJ771" s="43"/>
      <c r="EK771" s="43"/>
      <c r="EL771" s="43"/>
      <c r="EM771" s="43"/>
      <c r="EN771" s="43"/>
      <c r="EO771" s="43"/>
      <c r="EP771" s="43"/>
      <c r="EQ771" s="43"/>
      <c r="ER771" s="43"/>
      <c r="ES771" s="43"/>
      <c r="ET771" s="43"/>
      <c r="EU771" s="43"/>
      <c r="EV771" s="43"/>
      <c r="EW771" s="43"/>
      <c r="EX771" s="43"/>
      <c r="EY771" s="43"/>
      <c r="EZ771" s="43"/>
      <c r="FA771" s="43"/>
      <c r="FB771" s="43"/>
      <c r="FC771" s="43"/>
      <c r="FD771" s="43"/>
      <c r="FE771" s="43"/>
      <c r="FF771" s="43"/>
      <c r="FG771" s="43"/>
      <c r="FH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43"/>
      <c r="BP772" s="43"/>
      <c r="BQ772" s="43"/>
      <c r="BR772" s="43"/>
      <c r="BS772" s="43"/>
      <c r="BT772" s="43"/>
      <c r="BU772" s="43"/>
      <c r="BV772" s="43"/>
      <c r="BW772" s="43"/>
      <c r="BX772" s="43"/>
      <c r="BY772" s="43"/>
      <c r="BZ772" s="43"/>
      <c r="CA772" s="43"/>
      <c r="CB772" s="43"/>
      <c r="CC772" s="43"/>
      <c r="CD772" s="43"/>
      <c r="CE772" s="43"/>
      <c r="CF772" s="43"/>
      <c r="CG772" s="43"/>
      <c r="CH772" s="43"/>
      <c r="CI772" s="43"/>
      <c r="CJ772" s="43"/>
      <c r="CK772" s="43"/>
      <c r="CL772" s="43"/>
      <c r="CM772" s="43"/>
      <c r="CN772" s="43"/>
      <c r="CO772" s="43"/>
      <c r="CP772" s="43"/>
      <c r="CQ772" s="43"/>
      <c r="CR772" s="43"/>
      <c r="CS772" s="43"/>
      <c r="CT772" s="43"/>
      <c r="CU772" s="43"/>
      <c r="CV772" s="43"/>
      <c r="CW772" s="43"/>
      <c r="CX772" s="43"/>
      <c r="CY772" s="43"/>
      <c r="CZ772" s="43"/>
      <c r="DA772" s="43"/>
      <c r="DB772" s="43"/>
      <c r="DC772" s="43"/>
      <c r="DD772" s="43"/>
      <c r="DE772" s="43"/>
      <c r="DF772" s="43"/>
      <c r="DG772" s="43"/>
      <c r="DH772" s="43"/>
      <c r="DI772" s="43"/>
      <c r="DJ772" s="43"/>
      <c r="DK772" s="43"/>
      <c r="DL772" s="43"/>
      <c r="DM772" s="43"/>
      <c r="DN772" s="43"/>
      <c r="DO772" s="43"/>
      <c r="DP772" s="43"/>
      <c r="DQ772" s="43"/>
      <c r="DR772" s="43"/>
      <c r="DS772" s="43"/>
      <c r="DT772" s="43"/>
      <c r="DU772" s="43"/>
      <c r="DV772" s="43"/>
      <c r="DW772" s="43"/>
      <c r="DX772" s="43"/>
      <c r="DY772" s="43"/>
      <c r="DZ772" s="43"/>
      <c r="EA772" s="43"/>
      <c r="EB772" s="43"/>
      <c r="EC772" s="43"/>
      <c r="ED772" s="43"/>
      <c r="EE772" s="43"/>
      <c r="EF772" s="43"/>
      <c r="EG772" s="43"/>
      <c r="EH772" s="43"/>
      <c r="EI772" s="43"/>
      <c r="EJ772" s="43"/>
      <c r="EK772" s="43"/>
      <c r="EL772" s="43"/>
      <c r="EM772" s="43"/>
      <c r="EN772" s="43"/>
      <c r="EO772" s="43"/>
      <c r="EP772" s="43"/>
      <c r="EQ772" s="43"/>
      <c r="ER772" s="43"/>
      <c r="ES772" s="43"/>
      <c r="ET772" s="43"/>
      <c r="EU772" s="43"/>
      <c r="EV772" s="43"/>
      <c r="EW772" s="43"/>
      <c r="EX772" s="43"/>
      <c r="EY772" s="43"/>
      <c r="EZ772" s="43"/>
      <c r="FA772" s="43"/>
      <c r="FB772" s="43"/>
      <c r="FC772" s="43"/>
      <c r="FD772" s="43"/>
      <c r="FE772" s="43"/>
      <c r="FF772" s="43"/>
      <c r="FG772" s="43"/>
      <c r="FH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43"/>
      <c r="BP773" s="43"/>
      <c r="BQ773" s="43"/>
      <c r="BR773" s="43"/>
      <c r="BS773" s="43"/>
      <c r="BT773" s="43"/>
      <c r="BU773" s="43"/>
      <c r="BV773" s="43"/>
      <c r="BW773" s="43"/>
      <c r="BX773" s="43"/>
      <c r="BY773" s="43"/>
      <c r="BZ773" s="43"/>
      <c r="CA773" s="43"/>
      <c r="CB773" s="43"/>
      <c r="CC773" s="43"/>
      <c r="CD773" s="43"/>
      <c r="CE773" s="43"/>
      <c r="CF773" s="43"/>
      <c r="CG773" s="43"/>
      <c r="CH773" s="43"/>
      <c r="CI773" s="43"/>
      <c r="CJ773" s="43"/>
      <c r="CK773" s="43"/>
      <c r="CL773" s="43"/>
      <c r="CM773" s="43"/>
      <c r="CN773" s="43"/>
      <c r="CO773" s="43"/>
      <c r="CP773" s="43"/>
      <c r="CQ773" s="43"/>
      <c r="CR773" s="43"/>
      <c r="CS773" s="43"/>
      <c r="CT773" s="43"/>
      <c r="CU773" s="43"/>
      <c r="CV773" s="43"/>
      <c r="CW773" s="43"/>
      <c r="CX773" s="43"/>
      <c r="CY773" s="43"/>
      <c r="CZ773" s="43"/>
      <c r="DA773" s="43"/>
      <c r="DB773" s="43"/>
      <c r="DC773" s="43"/>
      <c r="DD773" s="43"/>
      <c r="DE773" s="43"/>
      <c r="DF773" s="43"/>
      <c r="DG773" s="43"/>
      <c r="DH773" s="43"/>
      <c r="DI773" s="43"/>
      <c r="DJ773" s="43"/>
      <c r="DK773" s="43"/>
      <c r="DL773" s="43"/>
      <c r="DM773" s="43"/>
      <c r="DN773" s="43"/>
      <c r="DO773" s="43"/>
      <c r="DP773" s="43"/>
      <c r="DQ773" s="43"/>
      <c r="DR773" s="43"/>
      <c r="DS773" s="43"/>
      <c r="DT773" s="43"/>
      <c r="DU773" s="43"/>
      <c r="DV773" s="43"/>
      <c r="DW773" s="43"/>
      <c r="DX773" s="43"/>
      <c r="DY773" s="43"/>
      <c r="DZ773" s="43"/>
      <c r="EA773" s="43"/>
      <c r="EB773" s="43"/>
      <c r="EC773" s="43"/>
      <c r="ED773" s="43"/>
      <c r="EE773" s="43"/>
      <c r="EF773" s="43"/>
      <c r="EG773" s="43"/>
      <c r="EH773" s="43"/>
      <c r="EI773" s="43"/>
      <c r="EJ773" s="43"/>
      <c r="EK773" s="43"/>
      <c r="EL773" s="43"/>
      <c r="EM773" s="43"/>
      <c r="EN773" s="43"/>
      <c r="EO773" s="43"/>
      <c r="EP773" s="43"/>
      <c r="EQ773" s="43"/>
      <c r="ER773" s="43"/>
      <c r="ES773" s="43"/>
      <c r="ET773" s="43"/>
      <c r="EU773" s="43"/>
      <c r="EV773" s="43"/>
      <c r="EW773" s="43"/>
      <c r="EX773" s="43"/>
      <c r="EY773" s="43"/>
      <c r="EZ773" s="43"/>
      <c r="FA773" s="43"/>
      <c r="FB773" s="43"/>
      <c r="FC773" s="43"/>
      <c r="FD773" s="43"/>
      <c r="FE773" s="43"/>
      <c r="FF773" s="43"/>
      <c r="FG773" s="43"/>
      <c r="FH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43"/>
      <c r="BP774" s="43"/>
      <c r="BQ774" s="43"/>
      <c r="BR774" s="43"/>
      <c r="BS774" s="43"/>
      <c r="BT774" s="43"/>
      <c r="BU774" s="43"/>
      <c r="BV774" s="43"/>
      <c r="BW774" s="43"/>
      <c r="BX774" s="43"/>
      <c r="BY774" s="43"/>
      <c r="BZ774" s="43"/>
      <c r="CA774" s="43"/>
      <c r="CB774" s="43"/>
      <c r="CC774" s="43"/>
      <c r="CD774" s="43"/>
      <c r="CE774" s="43"/>
      <c r="CF774" s="43"/>
      <c r="CG774" s="43"/>
      <c r="CH774" s="43"/>
      <c r="CI774" s="43"/>
      <c r="CJ774" s="43"/>
      <c r="CK774" s="43"/>
      <c r="CL774" s="43"/>
      <c r="CM774" s="43"/>
      <c r="CN774" s="43"/>
      <c r="CO774" s="43"/>
      <c r="CP774" s="43"/>
      <c r="CQ774" s="43"/>
      <c r="CR774" s="43"/>
      <c r="CS774" s="43"/>
      <c r="CT774" s="43"/>
      <c r="CU774" s="43"/>
      <c r="CV774" s="43"/>
      <c r="CW774" s="43"/>
      <c r="CX774" s="43"/>
      <c r="CY774" s="43"/>
      <c r="CZ774" s="43"/>
      <c r="DA774" s="43"/>
      <c r="DB774" s="43"/>
      <c r="DC774" s="43"/>
      <c r="DD774" s="43"/>
      <c r="DE774" s="43"/>
      <c r="DF774" s="43"/>
      <c r="DG774" s="43"/>
      <c r="DH774" s="43"/>
      <c r="DI774" s="43"/>
      <c r="DJ774" s="43"/>
      <c r="DK774" s="43"/>
      <c r="DL774" s="43"/>
      <c r="DM774" s="43"/>
      <c r="DN774" s="43"/>
      <c r="DO774" s="43"/>
      <c r="DP774" s="43"/>
      <c r="DQ774" s="43"/>
      <c r="DR774" s="43"/>
      <c r="DS774" s="43"/>
      <c r="DT774" s="43"/>
      <c r="DU774" s="43"/>
      <c r="DV774" s="43"/>
      <c r="DW774" s="43"/>
      <c r="DX774" s="43"/>
      <c r="DY774" s="43"/>
      <c r="DZ774" s="43"/>
      <c r="EA774" s="43"/>
      <c r="EB774" s="43"/>
      <c r="EC774" s="43"/>
      <c r="ED774" s="43"/>
      <c r="EE774" s="43"/>
      <c r="EF774" s="43"/>
      <c r="EG774" s="43"/>
      <c r="EH774" s="43"/>
      <c r="EI774" s="43"/>
      <c r="EJ774" s="43"/>
      <c r="EK774" s="43"/>
      <c r="EL774" s="43"/>
      <c r="EM774" s="43"/>
      <c r="EN774" s="43"/>
      <c r="EO774" s="43"/>
      <c r="EP774" s="43"/>
      <c r="EQ774" s="43"/>
      <c r="ER774" s="43"/>
      <c r="ES774" s="43"/>
      <c r="ET774" s="43"/>
      <c r="EU774" s="43"/>
      <c r="EV774" s="43"/>
      <c r="EW774" s="43"/>
      <c r="EX774" s="43"/>
      <c r="EY774" s="43"/>
      <c r="EZ774" s="43"/>
      <c r="FA774" s="43"/>
      <c r="FB774" s="43"/>
      <c r="FC774" s="43"/>
      <c r="FD774" s="43"/>
      <c r="FE774" s="43"/>
      <c r="FF774" s="43"/>
      <c r="FG774" s="43"/>
      <c r="FH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43"/>
      <c r="BP775" s="43"/>
      <c r="BQ775" s="43"/>
      <c r="BR775" s="43"/>
      <c r="BS775" s="43"/>
      <c r="BT775" s="43"/>
      <c r="BU775" s="43"/>
      <c r="BV775" s="43"/>
      <c r="BW775" s="43"/>
      <c r="BX775" s="43"/>
      <c r="BY775" s="43"/>
      <c r="BZ775" s="43"/>
      <c r="CA775" s="43"/>
      <c r="CB775" s="43"/>
      <c r="CC775" s="43"/>
      <c r="CD775" s="43"/>
      <c r="CE775" s="43"/>
      <c r="CF775" s="43"/>
      <c r="CG775" s="43"/>
      <c r="CH775" s="43"/>
      <c r="CI775" s="43"/>
      <c r="CJ775" s="43"/>
      <c r="CK775" s="43"/>
      <c r="CL775" s="43"/>
      <c r="CM775" s="43"/>
      <c r="CN775" s="43"/>
      <c r="CO775" s="43"/>
      <c r="CP775" s="43"/>
      <c r="CQ775" s="43"/>
      <c r="CR775" s="43"/>
      <c r="CS775" s="43"/>
      <c r="CT775" s="43"/>
      <c r="CU775" s="43"/>
      <c r="CV775" s="43"/>
      <c r="CW775" s="43"/>
      <c r="CX775" s="43"/>
      <c r="CY775" s="43"/>
      <c r="CZ775" s="43"/>
      <c r="DA775" s="43"/>
      <c r="DB775" s="43"/>
      <c r="DC775" s="43"/>
      <c r="DD775" s="43"/>
      <c r="DE775" s="43"/>
      <c r="DF775" s="43"/>
      <c r="DG775" s="43"/>
      <c r="DH775" s="43"/>
      <c r="DI775" s="43"/>
      <c r="DJ775" s="43"/>
      <c r="DK775" s="43"/>
      <c r="DL775" s="43"/>
      <c r="DM775" s="43"/>
      <c r="DN775" s="43"/>
      <c r="DO775" s="43"/>
      <c r="DP775" s="43"/>
      <c r="DQ775" s="43"/>
      <c r="DR775" s="43"/>
      <c r="DS775" s="43"/>
      <c r="DT775" s="43"/>
      <c r="DU775" s="43"/>
      <c r="DV775" s="43"/>
      <c r="DW775" s="43"/>
      <c r="DX775" s="43"/>
      <c r="DY775" s="43"/>
      <c r="DZ775" s="43"/>
      <c r="EA775" s="43"/>
      <c r="EB775" s="43"/>
      <c r="EC775" s="43"/>
      <c r="ED775" s="43"/>
      <c r="EE775" s="43"/>
      <c r="EF775" s="43"/>
      <c r="EG775" s="43"/>
      <c r="EH775" s="43"/>
      <c r="EI775" s="43"/>
      <c r="EJ775" s="43"/>
      <c r="EK775" s="43"/>
      <c r="EL775" s="43"/>
      <c r="EM775" s="43"/>
      <c r="EN775" s="43"/>
      <c r="EO775" s="43"/>
      <c r="EP775" s="43"/>
      <c r="EQ775" s="43"/>
      <c r="ER775" s="43"/>
      <c r="ES775" s="43"/>
      <c r="ET775" s="43"/>
      <c r="EU775" s="43"/>
      <c r="EV775" s="43"/>
      <c r="EW775" s="43"/>
      <c r="EX775" s="43"/>
      <c r="EY775" s="43"/>
      <c r="EZ775" s="43"/>
      <c r="FA775" s="43"/>
      <c r="FB775" s="43"/>
      <c r="FC775" s="43"/>
      <c r="FD775" s="43"/>
      <c r="FE775" s="43"/>
      <c r="FF775" s="43"/>
      <c r="FG775" s="43"/>
      <c r="FH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43"/>
      <c r="BP776" s="43"/>
      <c r="BQ776" s="43"/>
      <c r="BR776" s="43"/>
      <c r="BS776" s="43"/>
      <c r="BT776" s="43"/>
      <c r="BU776" s="43"/>
      <c r="BV776" s="43"/>
      <c r="BW776" s="43"/>
      <c r="BX776" s="43"/>
      <c r="BY776" s="43"/>
      <c r="BZ776" s="43"/>
      <c r="CA776" s="43"/>
      <c r="CB776" s="43"/>
      <c r="CC776" s="43"/>
      <c r="CD776" s="43"/>
      <c r="CE776" s="43"/>
      <c r="CF776" s="43"/>
      <c r="CG776" s="43"/>
      <c r="CH776" s="43"/>
      <c r="CI776" s="43"/>
      <c r="CJ776" s="43"/>
      <c r="CK776" s="43"/>
      <c r="CL776" s="43"/>
      <c r="CM776" s="43"/>
      <c r="CN776" s="43"/>
      <c r="CO776" s="43"/>
      <c r="CP776" s="43"/>
      <c r="CQ776" s="43"/>
      <c r="CR776" s="43"/>
      <c r="CS776" s="43"/>
      <c r="CT776" s="43"/>
      <c r="CU776" s="43"/>
      <c r="CV776" s="43"/>
      <c r="CW776" s="43"/>
      <c r="CX776" s="43"/>
      <c r="CY776" s="43"/>
      <c r="CZ776" s="43"/>
      <c r="DA776" s="43"/>
      <c r="DB776" s="43"/>
      <c r="DC776" s="43"/>
      <c r="DD776" s="43"/>
      <c r="DE776" s="43"/>
      <c r="DF776" s="43"/>
      <c r="DG776" s="43"/>
      <c r="DH776" s="43"/>
      <c r="DI776" s="43"/>
      <c r="DJ776" s="43"/>
      <c r="DK776" s="43"/>
      <c r="DL776" s="43"/>
      <c r="DM776" s="43"/>
      <c r="DN776" s="43"/>
      <c r="DO776" s="43"/>
      <c r="DP776" s="43"/>
      <c r="DQ776" s="43"/>
      <c r="DR776" s="43"/>
      <c r="DS776" s="43"/>
      <c r="DT776" s="43"/>
      <c r="DU776" s="43"/>
      <c r="DV776" s="43"/>
      <c r="DW776" s="43"/>
      <c r="DX776" s="43"/>
      <c r="DY776" s="43"/>
      <c r="DZ776" s="43"/>
      <c r="EA776" s="43"/>
      <c r="EB776" s="43"/>
      <c r="EC776" s="43"/>
      <c r="ED776" s="43"/>
      <c r="EE776" s="43"/>
      <c r="EF776" s="43"/>
      <c r="EG776" s="43"/>
      <c r="EH776" s="43"/>
      <c r="EI776" s="43"/>
      <c r="EJ776" s="43"/>
      <c r="EK776" s="43"/>
      <c r="EL776" s="43"/>
      <c r="EM776" s="43"/>
      <c r="EN776" s="43"/>
      <c r="EO776" s="43"/>
      <c r="EP776" s="43"/>
      <c r="EQ776" s="43"/>
      <c r="ER776" s="43"/>
      <c r="ES776" s="43"/>
      <c r="ET776" s="43"/>
      <c r="EU776" s="43"/>
      <c r="EV776" s="43"/>
      <c r="EW776" s="43"/>
      <c r="EX776" s="43"/>
      <c r="EY776" s="43"/>
      <c r="EZ776" s="43"/>
      <c r="FA776" s="43"/>
      <c r="FB776" s="43"/>
      <c r="FC776" s="43"/>
      <c r="FD776" s="43"/>
      <c r="FE776" s="43"/>
      <c r="FF776" s="43"/>
      <c r="FG776" s="43"/>
      <c r="FH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43"/>
      <c r="BP777" s="43"/>
      <c r="BQ777" s="43"/>
      <c r="BR777" s="43"/>
      <c r="BS777" s="43"/>
      <c r="BT777" s="43"/>
      <c r="BU777" s="43"/>
      <c r="BV777" s="43"/>
      <c r="BW777" s="43"/>
      <c r="BX777" s="43"/>
      <c r="BY777" s="43"/>
      <c r="BZ777" s="43"/>
      <c r="CA777" s="43"/>
      <c r="CB777" s="43"/>
      <c r="CC777" s="43"/>
      <c r="CD777" s="43"/>
      <c r="CE777" s="43"/>
      <c r="CF777" s="43"/>
      <c r="CG777" s="43"/>
      <c r="CH777" s="43"/>
      <c r="CI777" s="43"/>
      <c r="CJ777" s="43"/>
      <c r="CK777" s="43"/>
      <c r="CL777" s="43"/>
      <c r="CM777" s="43"/>
      <c r="CN777" s="43"/>
      <c r="CO777" s="43"/>
      <c r="CP777" s="43"/>
      <c r="CQ777" s="43"/>
      <c r="CR777" s="43"/>
      <c r="CS777" s="43"/>
      <c r="CT777" s="43"/>
      <c r="CU777" s="43"/>
      <c r="CV777" s="43"/>
      <c r="CW777" s="43"/>
      <c r="CX777" s="43"/>
      <c r="CY777" s="43"/>
      <c r="CZ777" s="43"/>
      <c r="DA777" s="43"/>
      <c r="DB777" s="43"/>
      <c r="DC777" s="43"/>
      <c r="DD777" s="43"/>
      <c r="DE777" s="43"/>
      <c r="DF777" s="43"/>
      <c r="DG777" s="43"/>
      <c r="DH777" s="43"/>
      <c r="DI777" s="43"/>
      <c r="DJ777" s="43"/>
      <c r="DK777" s="43"/>
      <c r="DL777" s="43"/>
      <c r="DM777" s="43"/>
      <c r="DN777" s="43"/>
      <c r="DO777" s="43"/>
      <c r="DP777" s="43"/>
      <c r="DQ777" s="43"/>
      <c r="DR777" s="43"/>
      <c r="DS777" s="43"/>
      <c r="DT777" s="43"/>
      <c r="DU777" s="43"/>
      <c r="DV777" s="43"/>
      <c r="DW777" s="43"/>
      <c r="DX777" s="43"/>
      <c r="DY777" s="43"/>
      <c r="DZ777" s="43"/>
      <c r="EA777" s="43"/>
      <c r="EB777" s="43"/>
      <c r="EC777" s="43"/>
      <c r="ED777" s="43"/>
      <c r="EE777" s="43"/>
      <c r="EF777" s="43"/>
      <c r="EG777" s="43"/>
      <c r="EH777" s="43"/>
      <c r="EI777" s="43"/>
      <c r="EJ777" s="43"/>
      <c r="EK777" s="43"/>
      <c r="EL777" s="43"/>
      <c r="EM777" s="43"/>
      <c r="EN777" s="43"/>
      <c r="EO777" s="43"/>
      <c r="EP777" s="43"/>
      <c r="EQ777" s="43"/>
      <c r="ER777" s="43"/>
      <c r="ES777" s="43"/>
      <c r="ET777" s="43"/>
      <c r="EU777" s="43"/>
      <c r="EV777" s="43"/>
      <c r="EW777" s="43"/>
      <c r="EX777" s="43"/>
      <c r="EY777" s="43"/>
      <c r="EZ777" s="43"/>
      <c r="FA777" s="43"/>
      <c r="FB777" s="43"/>
      <c r="FC777" s="43"/>
      <c r="FD777" s="43"/>
      <c r="FE777" s="43"/>
      <c r="FF777" s="43"/>
      <c r="FG777" s="43"/>
      <c r="FH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43"/>
      <c r="BP778" s="43"/>
      <c r="BQ778" s="43"/>
      <c r="BR778" s="43"/>
      <c r="BS778" s="43"/>
      <c r="BT778" s="43"/>
      <c r="BU778" s="43"/>
      <c r="BV778" s="43"/>
      <c r="BW778" s="43"/>
      <c r="BX778" s="43"/>
      <c r="BY778" s="43"/>
      <c r="BZ778" s="43"/>
      <c r="CA778" s="43"/>
      <c r="CB778" s="43"/>
      <c r="CC778" s="43"/>
      <c r="CD778" s="43"/>
      <c r="CE778" s="43"/>
      <c r="CF778" s="43"/>
      <c r="CG778" s="43"/>
      <c r="CH778" s="43"/>
      <c r="CI778" s="43"/>
      <c r="CJ778" s="43"/>
      <c r="CK778" s="43"/>
      <c r="CL778" s="43"/>
      <c r="CM778" s="43"/>
      <c r="CN778" s="43"/>
      <c r="CO778" s="43"/>
      <c r="CP778" s="43"/>
      <c r="CQ778" s="43"/>
      <c r="CR778" s="43"/>
      <c r="CS778" s="43"/>
      <c r="CT778" s="43"/>
      <c r="CU778" s="43"/>
      <c r="CV778" s="43"/>
      <c r="CW778" s="43"/>
      <c r="CX778" s="43"/>
      <c r="CY778" s="43"/>
      <c r="CZ778" s="43"/>
      <c r="DA778" s="43"/>
      <c r="DB778" s="43"/>
      <c r="DC778" s="43"/>
      <c r="DD778" s="43"/>
      <c r="DE778" s="43"/>
      <c r="DF778" s="43"/>
      <c r="DG778" s="43"/>
      <c r="DH778" s="43"/>
      <c r="DI778" s="43"/>
      <c r="DJ778" s="43"/>
      <c r="DK778" s="43"/>
      <c r="DL778" s="43"/>
      <c r="DM778" s="43"/>
      <c r="DN778" s="43"/>
      <c r="DO778" s="43"/>
      <c r="DP778" s="43"/>
      <c r="DQ778" s="43"/>
      <c r="DR778" s="43"/>
      <c r="DS778" s="43"/>
      <c r="DT778" s="43"/>
      <c r="DU778" s="43"/>
      <c r="DV778" s="43"/>
      <c r="DW778" s="43"/>
      <c r="DX778" s="43"/>
      <c r="DY778" s="43"/>
      <c r="DZ778" s="43"/>
      <c r="EA778" s="43"/>
      <c r="EB778" s="43"/>
      <c r="EC778" s="43"/>
      <c r="ED778" s="43"/>
      <c r="EE778" s="43"/>
      <c r="EF778" s="43"/>
      <c r="EG778" s="43"/>
      <c r="EH778" s="43"/>
      <c r="EI778" s="43"/>
      <c r="EJ778" s="43"/>
      <c r="EK778" s="43"/>
      <c r="EL778" s="43"/>
      <c r="EM778" s="43"/>
      <c r="EN778" s="43"/>
      <c r="EO778" s="43"/>
      <c r="EP778" s="43"/>
      <c r="EQ778" s="43"/>
      <c r="ER778" s="43"/>
      <c r="ES778" s="43"/>
      <c r="ET778" s="43"/>
      <c r="EU778" s="43"/>
      <c r="EV778" s="43"/>
      <c r="EW778" s="43"/>
      <c r="EX778" s="43"/>
      <c r="EY778" s="43"/>
      <c r="EZ778" s="43"/>
      <c r="FA778" s="43"/>
      <c r="FB778" s="43"/>
      <c r="FC778" s="43"/>
      <c r="FD778" s="43"/>
      <c r="FE778" s="43"/>
      <c r="FF778" s="43"/>
      <c r="FG778" s="43"/>
      <c r="FH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43"/>
      <c r="BP779" s="43"/>
      <c r="BQ779" s="43"/>
      <c r="BR779" s="43"/>
      <c r="BS779" s="43"/>
      <c r="BT779" s="43"/>
      <c r="BU779" s="43"/>
      <c r="BV779" s="43"/>
      <c r="BW779" s="43"/>
      <c r="BX779" s="43"/>
      <c r="BY779" s="43"/>
      <c r="BZ779" s="43"/>
      <c r="CA779" s="43"/>
      <c r="CB779" s="43"/>
      <c r="CC779" s="43"/>
      <c r="CD779" s="43"/>
      <c r="CE779" s="43"/>
      <c r="CF779" s="43"/>
      <c r="CG779" s="43"/>
      <c r="CH779" s="43"/>
      <c r="CI779" s="43"/>
      <c r="CJ779" s="43"/>
      <c r="CK779" s="43"/>
      <c r="CL779" s="43"/>
      <c r="CM779" s="43"/>
      <c r="CN779" s="43"/>
      <c r="CO779" s="43"/>
      <c r="CP779" s="43"/>
      <c r="CQ779" s="43"/>
      <c r="CR779" s="43"/>
      <c r="CS779" s="43"/>
      <c r="CT779" s="43"/>
      <c r="CU779" s="43"/>
      <c r="CV779" s="43"/>
      <c r="CW779" s="43"/>
      <c r="CX779" s="43"/>
      <c r="CY779" s="43"/>
      <c r="CZ779" s="43"/>
      <c r="DA779" s="43"/>
      <c r="DB779" s="43"/>
      <c r="DC779" s="43"/>
      <c r="DD779" s="43"/>
      <c r="DE779" s="43"/>
      <c r="DF779" s="43"/>
      <c r="DG779" s="43"/>
      <c r="DH779" s="43"/>
      <c r="DI779" s="43"/>
      <c r="DJ779" s="43"/>
      <c r="DK779" s="43"/>
      <c r="DL779" s="43"/>
      <c r="DM779" s="43"/>
      <c r="DN779" s="43"/>
      <c r="DO779" s="43"/>
      <c r="DP779" s="43"/>
      <c r="DQ779" s="43"/>
      <c r="DR779" s="43"/>
      <c r="DS779" s="43"/>
      <c r="DT779" s="43"/>
      <c r="DU779" s="43"/>
      <c r="DV779" s="43"/>
      <c r="DW779" s="43"/>
      <c r="DX779" s="43"/>
      <c r="DY779" s="43"/>
      <c r="DZ779" s="43"/>
      <c r="EA779" s="43"/>
      <c r="EB779" s="43"/>
      <c r="EC779" s="43"/>
      <c r="ED779" s="43"/>
      <c r="EE779" s="43"/>
      <c r="EF779" s="43"/>
      <c r="EG779" s="43"/>
      <c r="EH779" s="43"/>
      <c r="EI779" s="43"/>
      <c r="EJ779" s="43"/>
      <c r="EK779" s="43"/>
      <c r="EL779" s="43"/>
      <c r="EM779" s="43"/>
      <c r="EN779" s="43"/>
      <c r="EO779" s="43"/>
      <c r="EP779" s="43"/>
      <c r="EQ779" s="43"/>
      <c r="ER779" s="43"/>
      <c r="ES779" s="43"/>
      <c r="ET779" s="43"/>
      <c r="EU779" s="43"/>
      <c r="EV779" s="43"/>
      <c r="EW779" s="43"/>
      <c r="EX779" s="43"/>
      <c r="EY779" s="43"/>
      <c r="EZ779" s="43"/>
      <c r="FA779" s="43"/>
      <c r="FB779" s="43"/>
      <c r="FC779" s="43"/>
      <c r="FD779" s="43"/>
      <c r="FE779" s="43"/>
      <c r="FF779" s="43"/>
      <c r="FG779" s="43"/>
      <c r="FH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43"/>
      <c r="BP780" s="43"/>
      <c r="BQ780" s="43"/>
      <c r="BR780" s="43"/>
      <c r="BS780" s="43"/>
      <c r="BT780" s="43"/>
      <c r="BU780" s="43"/>
      <c r="BV780" s="43"/>
      <c r="BW780" s="43"/>
      <c r="BX780" s="43"/>
      <c r="BY780" s="43"/>
      <c r="BZ780" s="43"/>
      <c r="CA780" s="43"/>
      <c r="CB780" s="43"/>
      <c r="CC780" s="43"/>
      <c r="CD780" s="43"/>
      <c r="CE780" s="43"/>
      <c r="CF780" s="43"/>
      <c r="CG780" s="43"/>
      <c r="CH780" s="43"/>
      <c r="CI780" s="43"/>
      <c r="CJ780" s="43"/>
      <c r="CK780" s="43"/>
      <c r="CL780" s="43"/>
      <c r="CM780" s="43"/>
      <c r="CN780" s="43"/>
      <c r="CO780" s="43"/>
      <c r="CP780" s="43"/>
      <c r="CQ780" s="43"/>
      <c r="CR780" s="43"/>
      <c r="CS780" s="43"/>
      <c r="CT780" s="43"/>
      <c r="CU780" s="43"/>
      <c r="CV780" s="43"/>
      <c r="CW780" s="43"/>
      <c r="CX780" s="43"/>
      <c r="CY780" s="43"/>
      <c r="CZ780" s="43"/>
      <c r="DA780" s="43"/>
      <c r="DB780" s="43"/>
      <c r="DC780" s="43"/>
      <c r="DD780" s="43"/>
      <c r="DE780" s="43"/>
      <c r="DF780" s="43"/>
      <c r="DG780" s="43"/>
      <c r="DH780" s="43"/>
      <c r="DI780" s="43"/>
      <c r="DJ780" s="43"/>
      <c r="DK780" s="43"/>
      <c r="DL780" s="43"/>
      <c r="DM780" s="43"/>
      <c r="DN780" s="43"/>
      <c r="DO780" s="43"/>
      <c r="DP780" s="43"/>
      <c r="DQ780" s="43"/>
      <c r="DR780" s="43"/>
      <c r="DS780" s="43"/>
      <c r="DT780" s="43"/>
      <c r="DU780" s="43"/>
      <c r="DV780" s="43"/>
      <c r="DW780" s="43"/>
      <c r="DX780" s="43"/>
      <c r="DY780" s="43"/>
      <c r="DZ780" s="43"/>
      <c r="EA780" s="43"/>
      <c r="EB780" s="43"/>
      <c r="EC780" s="43"/>
      <c r="ED780" s="43"/>
      <c r="EE780" s="43"/>
      <c r="EF780" s="43"/>
      <c r="EG780" s="43"/>
      <c r="EH780" s="43"/>
      <c r="EI780" s="43"/>
      <c r="EJ780" s="43"/>
      <c r="EK780" s="43"/>
      <c r="EL780" s="43"/>
      <c r="EM780" s="43"/>
      <c r="EN780" s="43"/>
      <c r="EO780" s="43"/>
      <c r="EP780" s="43"/>
      <c r="EQ780" s="43"/>
      <c r="ER780" s="43"/>
      <c r="ES780" s="43"/>
      <c r="ET780" s="43"/>
      <c r="EU780" s="43"/>
      <c r="EV780" s="43"/>
      <c r="EW780" s="43"/>
      <c r="EX780" s="43"/>
      <c r="EY780" s="43"/>
      <c r="EZ780" s="43"/>
      <c r="FA780" s="43"/>
      <c r="FB780" s="43"/>
      <c r="FC780" s="43"/>
      <c r="FD780" s="43"/>
      <c r="FE780" s="43"/>
      <c r="FF780" s="43"/>
      <c r="FG780" s="43"/>
      <c r="FH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43"/>
      <c r="BP781" s="43"/>
      <c r="BQ781" s="43"/>
      <c r="BR781" s="43"/>
      <c r="BS781" s="43"/>
      <c r="BT781" s="43"/>
      <c r="BU781" s="43"/>
      <c r="BV781" s="43"/>
      <c r="BW781" s="43"/>
      <c r="BX781" s="43"/>
      <c r="BY781" s="43"/>
      <c r="BZ781" s="43"/>
      <c r="CA781" s="43"/>
      <c r="CB781" s="43"/>
      <c r="CC781" s="43"/>
      <c r="CD781" s="43"/>
      <c r="CE781" s="43"/>
      <c r="CF781" s="43"/>
      <c r="CG781" s="43"/>
      <c r="CH781" s="43"/>
      <c r="CI781" s="43"/>
      <c r="CJ781" s="43"/>
      <c r="CK781" s="43"/>
      <c r="CL781" s="43"/>
      <c r="CM781" s="43"/>
      <c r="CN781" s="43"/>
      <c r="CO781" s="43"/>
      <c r="CP781" s="43"/>
      <c r="CQ781" s="43"/>
      <c r="CR781" s="43"/>
      <c r="CS781" s="43"/>
      <c r="CT781" s="43"/>
      <c r="CU781" s="43"/>
      <c r="CV781" s="43"/>
      <c r="CW781" s="43"/>
      <c r="CX781" s="43"/>
      <c r="CY781" s="43"/>
      <c r="CZ781" s="43"/>
      <c r="DA781" s="43"/>
      <c r="DB781" s="43"/>
      <c r="DC781" s="43"/>
      <c r="DD781" s="43"/>
      <c r="DE781" s="43"/>
      <c r="DF781" s="43"/>
      <c r="DG781" s="43"/>
      <c r="DH781" s="43"/>
      <c r="DI781" s="43"/>
      <c r="DJ781" s="43"/>
      <c r="DK781" s="43"/>
      <c r="DL781" s="43"/>
      <c r="DM781" s="43"/>
      <c r="DN781" s="43"/>
      <c r="DO781" s="43"/>
      <c r="DP781" s="43"/>
      <c r="DQ781" s="43"/>
      <c r="DR781" s="43"/>
      <c r="DS781" s="43"/>
      <c r="DT781" s="43"/>
      <c r="DU781" s="43"/>
      <c r="DV781" s="43"/>
      <c r="DW781" s="43"/>
      <c r="DX781" s="43"/>
      <c r="DY781" s="43"/>
      <c r="DZ781" s="43"/>
      <c r="EA781" s="43"/>
      <c r="EB781" s="43"/>
      <c r="EC781" s="43"/>
      <c r="ED781" s="43"/>
      <c r="EE781" s="43"/>
      <c r="EF781" s="43"/>
      <c r="EG781" s="43"/>
      <c r="EH781" s="43"/>
      <c r="EI781" s="43"/>
      <c r="EJ781" s="43"/>
      <c r="EK781" s="43"/>
      <c r="EL781" s="43"/>
      <c r="EM781" s="43"/>
      <c r="EN781" s="43"/>
      <c r="EO781" s="43"/>
      <c r="EP781" s="43"/>
      <c r="EQ781" s="43"/>
      <c r="ER781" s="43"/>
      <c r="ES781" s="43"/>
      <c r="ET781" s="43"/>
      <c r="EU781" s="43"/>
      <c r="EV781" s="43"/>
      <c r="EW781" s="43"/>
      <c r="EX781" s="43"/>
      <c r="EY781" s="43"/>
      <c r="EZ781" s="43"/>
      <c r="FA781" s="43"/>
      <c r="FB781" s="43"/>
      <c r="FC781" s="43"/>
      <c r="FD781" s="43"/>
      <c r="FE781" s="43"/>
      <c r="FF781" s="43"/>
      <c r="FG781" s="43"/>
      <c r="FH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43"/>
      <c r="BP782" s="43"/>
      <c r="BQ782" s="43"/>
      <c r="BR782" s="43"/>
      <c r="BS782" s="43"/>
      <c r="BT782" s="43"/>
      <c r="BU782" s="43"/>
      <c r="BV782" s="43"/>
      <c r="BW782" s="43"/>
      <c r="BX782" s="43"/>
      <c r="BY782" s="43"/>
      <c r="BZ782" s="43"/>
      <c r="CA782" s="43"/>
      <c r="CB782" s="43"/>
      <c r="CC782" s="43"/>
      <c r="CD782" s="43"/>
      <c r="CE782" s="43"/>
      <c r="CF782" s="43"/>
      <c r="CG782" s="43"/>
      <c r="CH782" s="43"/>
      <c r="CI782" s="43"/>
      <c r="CJ782" s="43"/>
      <c r="CK782" s="43"/>
      <c r="CL782" s="43"/>
      <c r="CM782" s="43"/>
      <c r="CN782" s="43"/>
      <c r="CO782" s="43"/>
      <c r="CP782" s="43"/>
      <c r="CQ782" s="43"/>
      <c r="CR782" s="43"/>
      <c r="CS782" s="43"/>
      <c r="CT782" s="43"/>
      <c r="CU782" s="43"/>
      <c r="CV782" s="43"/>
      <c r="CW782" s="43"/>
      <c r="CX782" s="43"/>
      <c r="CY782" s="43"/>
      <c r="CZ782" s="43"/>
      <c r="DA782" s="43"/>
      <c r="DB782" s="43"/>
      <c r="DC782" s="43"/>
      <c r="DD782" s="43"/>
      <c r="DE782" s="43"/>
      <c r="DF782" s="43"/>
      <c r="DG782" s="43"/>
      <c r="DH782" s="43"/>
      <c r="DI782" s="43"/>
      <c r="DJ782" s="43"/>
      <c r="DK782" s="43"/>
      <c r="DL782" s="43"/>
      <c r="DM782" s="43"/>
      <c r="DN782" s="43"/>
      <c r="DO782" s="43"/>
      <c r="DP782" s="43"/>
      <c r="DQ782" s="43"/>
      <c r="DR782" s="43"/>
      <c r="DS782" s="43"/>
      <c r="DT782" s="43"/>
      <c r="DU782" s="43"/>
      <c r="DV782" s="43"/>
      <c r="DW782" s="43"/>
      <c r="DX782" s="43"/>
      <c r="DY782" s="43"/>
      <c r="DZ782" s="43"/>
      <c r="EA782" s="43"/>
      <c r="EB782" s="43"/>
      <c r="EC782" s="43"/>
      <c r="ED782" s="43"/>
      <c r="EE782" s="43"/>
      <c r="EF782" s="43"/>
      <c r="EG782" s="43"/>
      <c r="EH782" s="43"/>
      <c r="EI782" s="43"/>
      <c r="EJ782" s="43"/>
      <c r="EK782" s="43"/>
      <c r="EL782" s="43"/>
      <c r="EM782" s="43"/>
      <c r="EN782" s="43"/>
      <c r="EO782" s="43"/>
      <c r="EP782" s="43"/>
      <c r="EQ782" s="43"/>
      <c r="ER782" s="43"/>
      <c r="ES782" s="43"/>
      <c r="ET782" s="43"/>
      <c r="EU782" s="43"/>
      <c r="EV782" s="43"/>
      <c r="EW782" s="43"/>
      <c r="EX782" s="43"/>
      <c r="EY782" s="43"/>
      <c r="EZ782" s="43"/>
      <c r="FA782" s="43"/>
      <c r="FB782" s="43"/>
      <c r="FC782" s="43"/>
      <c r="FD782" s="43"/>
      <c r="FE782" s="43"/>
      <c r="FF782" s="43"/>
      <c r="FG782" s="43"/>
      <c r="FH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43"/>
      <c r="BP783" s="43"/>
      <c r="BQ783" s="43"/>
      <c r="BR783" s="43"/>
      <c r="BS783" s="43"/>
      <c r="BT783" s="43"/>
      <c r="BU783" s="43"/>
      <c r="BV783" s="43"/>
      <c r="BW783" s="43"/>
      <c r="BX783" s="43"/>
      <c r="BY783" s="43"/>
      <c r="BZ783" s="43"/>
      <c r="CA783" s="43"/>
      <c r="CB783" s="43"/>
      <c r="CC783" s="43"/>
      <c r="CD783" s="43"/>
      <c r="CE783" s="43"/>
      <c r="CF783" s="43"/>
      <c r="CG783" s="43"/>
      <c r="CH783" s="43"/>
      <c r="CI783" s="43"/>
      <c r="CJ783" s="43"/>
      <c r="CK783" s="43"/>
      <c r="CL783" s="43"/>
      <c r="CM783" s="43"/>
      <c r="CN783" s="43"/>
      <c r="CO783" s="43"/>
      <c r="CP783" s="43"/>
      <c r="CQ783" s="43"/>
      <c r="CR783" s="43"/>
      <c r="CS783" s="43"/>
      <c r="CT783" s="43"/>
      <c r="CU783" s="43"/>
      <c r="CV783" s="43"/>
      <c r="CW783" s="43"/>
      <c r="CX783" s="43"/>
      <c r="CY783" s="43"/>
      <c r="CZ783" s="43"/>
      <c r="DA783" s="43"/>
      <c r="DB783" s="43"/>
      <c r="DC783" s="43"/>
      <c r="DD783" s="43"/>
      <c r="DE783" s="43"/>
      <c r="DF783" s="43"/>
      <c r="DG783" s="43"/>
      <c r="DH783" s="43"/>
      <c r="DI783" s="43"/>
      <c r="DJ783" s="43"/>
      <c r="DK783" s="43"/>
      <c r="DL783" s="43"/>
      <c r="DM783" s="43"/>
      <c r="DN783" s="43"/>
      <c r="DO783" s="43"/>
      <c r="DP783" s="43"/>
      <c r="DQ783" s="43"/>
      <c r="DR783" s="43"/>
      <c r="DS783" s="43"/>
      <c r="DT783" s="43"/>
      <c r="DU783" s="43"/>
      <c r="DV783" s="43"/>
      <c r="DW783" s="43"/>
      <c r="DX783" s="43"/>
      <c r="DY783" s="43"/>
      <c r="DZ783" s="43"/>
      <c r="EA783" s="43"/>
      <c r="EB783" s="43"/>
      <c r="EC783" s="43"/>
      <c r="ED783" s="43"/>
      <c r="EE783" s="43"/>
      <c r="EF783" s="43"/>
      <c r="EG783" s="43"/>
      <c r="EH783" s="43"/>
      <c r="EI783" s="43"/>
      <c r="EJ783" s="43"/>
      <c r="EK783" s="43"/>
      <c r="EL783" s="43"/>
      <c r="EM783" s="43"/>
      <c r="EN783" s="43"/>
      <c r="EO783" s="43"/>
      <c r="EP783" s="43"/>
      <c r="EQ783" s="43"/>
      <c r="ER783" s="43"/>
      <c r="ES783" s="43"/>
      <c r="ET783" s="43"/>
      <c r="EU783" s="43"/>
      <c r="EV783" s="43"/>
      <c r="EW783" s="43"/>
      <c r="EX783" s="43"/>
      <c r="EY783" s="43"/>
      <c r="EZ783" s="43"/>
      <c r="FA783" s="43"/>
      <c r="FB783" s="43"/>
      <c r="FC783" s="43"/>
      <c r="FD783" s="43"/>
      <c r="FE783" s="43"/>
      <c r="FF783" s="43"/>
      <c r="FG783" s="43"/>
      <c r="FH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43"/>
      <c r="BP784" s="43"/>
      <c r="BQ784" s="43"/>
      <c r="BR784" s="43"/>
      <c r="BS784" s="43"/>
      <c r="BT784" s="43"/>
      <c r="BU784" s="43"/>
      <c r="BV784" s="43"/>
      <c r="BW784" s="43"/>
      <c r="BX784" s="43"/>
      <c r="BY784" s="43"/>
      <c r="BZ784" s="43"/>
      <c r="CA784" s="43"/>
      <c r="CB784" s="43"/>
      <c r="CC784" s="43"/>
      <c r="CD784" s="43"/>
      <c r="CE784" s="43"/>
      <c r="CF784" s="43"/>
      <c r="CG784" s="43"/>
      <c r="CH784" s="43"/>
      <c r="CI784" s="43"/>
      <c r="CJ784" s="43"/>
      <c r="CK784" s="43"/>
      <c r="CL784" s="43"/>
      <c r="CM784" s="43"/>
      <c r="CN784" s="43"/>
      <c r="CO784" s="43"/>
      <c r="CP784" s="43"/>
      <c r="CQ784" s="43"/>
      <c r="CR784" s="43"/>
      <c r="CS784" s="43"/>
      <c r="CT784" s="43"/>
      <c r="CU784" s="43"/>
      <c r="CV784" s="43"/>
      <c r="CW784" s="43"/>
      <c r="CX784" s="43"/>
      <c r="CY784" s="43"/>
      <c r="CZ784" s="43"/>
      <c r="DA784" s="43"/>
      <c r="DB784" s="43"/>
      <c r="DC784" s="43"/>
      <c r="DD784" s="43"/>
      <c r="DE784" s="43"/>
      <c r="DF784" s="43"/>
      <c r="DG784" s="43"/>
      <c r="DH784" s="43"/>
      <c r="DI784" s="43"/>
      <c r="DJ784" s="43"/>
      <c r="DK784" s="43"/>
      <c r="DL784" s="43"/>
      <c r="DM784" s="43"/>
      <c r="DN784" s="43"/>
      <c r="DO784" s="43"/>
      <c r="DP784" s="43"/>
      <c r="DQ784" s="43"/>
      <c r="DR784" s="43"/>
      <c r="DS784" s="43"/>
      <c r="DT784" s="43"/>
      <c r="DU784" s="43"/>
      <c r="DV784" s="43"/>
      <c r="DW784" s="43"/>
      <c r="DX784" s="43"/>
      <c r="DY784" s="43"/>
      <c r="DZ784" s="43"/>
      <c r="EA784" s="43"/>
      <c r="EB784" s="43"/>
      <c r="EC784" s="43"/>
      <c r="ED784" s="43"/>
      <c r="EE784" s="43"/>
      <c r="EF784" s="43"/>
      <c r="EG784" s="43"/>
      <c r="EH784" s="43"/>
      <c r="EI784" s="43"/>
      <c r="EJ784" s="43"/>
      <c r="EK784" s="43"/>
      <c r="EL784" s="43"/>
      <c r="EM784" s="43"/>
      <c r="EN784" s="43"/>
      <c r="EO784" s="43"/>
      <c r="EP784" s="43"/>
      <c r="EQ784" s="43"/>
      <c r="ER784" s="43"/>
      <c r="ES784" s="43"/>
      <c r="ET784" s="43"/>
      <c r="EU784" s="43"/>
      <c r="EV784" s="43"/>
      <c r="EW784" s="43"/>
      <c r="EX784" s="43"/>
      <c r="EY784" s="43"/>
      <c r="EZ784" s="43"/>
      <c r="FA784" s="43"/>
      <c r="FB784" s="43"/>
      <c r="FC784" s="43"/>
      <c r="FD784" s="43"/>
      <c r="FE784" s="43"/>
      <c r="FF784" s="43"/>
      <c r="FG784" s="43"/>
      <c r="FH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43"/>
      <c r="BP785" s="43"/>
      <c r="BQ785" s="43"/>
      <c r="BR785" s="43"/>
      <c r="BS785" s="43"/>
      <c r="BT785" s="43"/>
      <c r="BU785" s="43"/>
      <c r="BV785" s="43"/>
      <c r="BW785" s="43"/>
      <c r="BX785" s="43"/>
      <c r="BY785" s="43"/>
      <c r="BZ785" s="43"/>
      <c r="CA785" s="43"/>
      <c r="CB785" s="43"/>
      <c r="CC785" s="43"/>
      <c r="CD785" s="43"/>
      <c r="CE785" s="43"/>
      <c r="CF785" s="43"/>
      <c r="CG785" s="43"/>
      <c r="CH785" s="43"/>
      <c r="CI785" s="43"/>
      <c r="CJ785" s="43"/>
      <c r="CK785" s="43"/>
      <c r="CL785" s="43"/>
      <c r="CM785" s="43"/>
      <c r="CN785" s="43"/>
      <c r="CO785" s="43"/>
      <c r="CP785" s="43"/>
      <c r="CQ785" s="43"/>
      <c r="CR785" s="43"/>
      <c r="CS785" s="43"/>
      <c r="CT785" s="43"/>
      <c r="CU785" s="43"/>
      <c r="CV785" s="43"/>
      <c r="CW785" s="43"/>
      <c r="CX785" s="43"/>
      <c r="CY785" s="43"/>
      <c r="CZ785" s="43"/>
      <c r="DA785" s="43"/>
      <c r="DB785" s="43"/>
      <c r="DC785" s="43"/>
      <c r="DD785" s="43"/>
      <c r="DE785" s="43"/>
      <c r="DF785" s="43"/>
      <c r="DG785" s="43"/>
      <c r="DH785" s="43"/>
      <c r="DI785" s="43"/>
      <c r="DJ785" s="43"/>
      <c r="DK785" s="43"/>
      <c r="DL785" s="43"/>
      <c r="DM785" s="43"/>
      <c r="DN785" s="43"/>
      <c r="DO785" s="43"/>
      <c r="DP785" s="43"/>
      <c r="DQ785" s="43"/>
      <c r="DR785" s="43"/>
      <c r="DS785" s="43"/>
      <c r="DT785" s="43"/>
      <c r="DU785" s="43"/>
      <c r="DV785" s="43"/>
      <c r="DW785" s="43"/>
      <c r="DX785" s="43"/>
      <c r="DY785" s="43"/>
      <c r="DZ785" s="43"/>
      <c r="EA785" s="43"/>
      <c r="EB785" s="43"/>
      <c r="EC785" s="43"/>
      <c r="ED785" s="43"/>
      <c r="EE785" s="43"/>
      <c r="EF785" s="43"/>
      <c r="EG785" s="43"/>
      <c r="EH785" s="43"/>
      <c r="EI785" s="43"/>
      <c r="EJ785" s="43"/>
      <c r="EK785" s="43"/>
      <c r="EL785" s="43"/>
      <c r="EM785" s="43"/>
      <c r="EN785" s="43"/>
      <c r="EO785" s="43"/>
      <c r="EP785" s="43"/>
      <c r="EQ785" s="43"/>
      <c r="ER785" s="43"/>
      <c r="ES785" s="43"/>
      <c r="ET785" s="43"/>
      <c r="EU785" s="43"/>
      <c r="EV785" s="43"/>
      <c r="EW785" s="43"/>
      <c r="EX785" s="43"/>
      <c r="EY785" s="43"/>
      <c r="EZ785" s="43"/>
      <c r="FA785" s="43"/>
      <c r="FB785" s="43"/>
      <c r="FC785" s="43"/>
      <c r="FD785" s="43"/>
      <c r="FE785" s="43"/>
      <c r="FF785" s="43"/>
      <c r="FG785" s="43"/>
      <c r="FH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43"/>
      <c r="BP786" s="43"/>
      <c r="BQ786" s="43"/>
      <c r="BR786" s="43"/>
      <c r="BS786" s="43"/>
      <c r="BT786" s="43"/>
      <c r="BU786" s="43"/>
      <c r="BV786" s="43"/>
      <c r="BW786" s="43"/>
      <c r="BX786" s="43"/>
      <c r="BY786" s="43"/>
      <c r="BZ786" s="43"/>
      <c r="CA786" s="43"/>
      <c r="CB786" s="43"/>
      <c r="CC786" s="43"/>
      <c r="CD786" s="43"/>
      <c r="CE786" s="43"/>
      <c r="CF786" s="43"/>
      <c r="CG786" s="43"/>
      <c r="CH786" s="43"/>
      <c r="CI786" s="43"/>
      <c r="CJ786" s="43"/>
      <c r="CK786" s="43"/>
      <c r="CL786" s="43"/>
      <c r="CM786" s="43"/>
      <c r="CN786" s="43"/>
      <c r="CO786" s="43"/>
      <c r="CP786" s="43"/>
      <c r="CQ786" s="43"/>
      <c r="CR786" s="43"/>
      <c r="CS786" s="43"/>
      <c r="CT786" s="43"/>
      <c r="CU786" s="43"/>
      <c r="CV786" s="43"/>
      <c r="CW786" s="43"/>
      <c r="CX786" s="43"/>
      <c r="CY786" s="43"/>
      <c r="CZ786" s="43"/>
      <c r="DA786" s="43"/>
      <c r="DB786" s="43"/>
      <c r="DC786" s="43"/>
      <c r="DD786" s="43"/>
      <c r="DE786" s="43"/>
      <c r="DF786" s="43"/>
      <c r="DG786" s="43"/>
      <c r="DH786" s="43"/>
      <c r="DI786" s="43"/>
      <c r="DJ786" s="43"/>
      <c r="DK786" s="43"/>
      <c r="DL786" s="43"/>
      <c r="DM786" s="43"/>
      <c r="DN786" s="43"/>
      <c r="DO786" s="43"/>
      <c r="DP786" s="43"/>
      <c r="DQ786" s="43"/>
      <c r="DR786" s="43"/>
      <c r="DS786" s="43"/>
      <c r="DT786" s="43"/>
      <c r="DU786" s="43"/>
      <c r="DV786" s="43"/>
      <c r="DW786" s="43"/>
      <c r="DX786" s="43"/>
      <c r="DY786" s="43"/>
      <c r="DZ786" s="43"/>
      <c r="EA786" s="43"/>
      <c r="EB786" s="43"/>
      <c r="EC786" s="43"/>
      <c r="ED786" s="43"/>
      <c r="EE786" s="43"/>
      <c r="EF786" s="43"/>
      <c r="EG786" s="43"/>
      <c r="EH786" s="43"/>
      <c r="EI786" s="43"/>
      <c r="EJ786" s="43"/>
      <c r="EK786" s="43"/>
      <c r="EL786" s="43"/>
      <c r="EM786" s="43"/>
      <c r="EN786" s="43"/>
      <c r="EO786" s="43"/>
      <c r="EP786" s="43"/>
      <c r="EQ786" s="43"/>
      <c r="ER786" s="43"/>
      <c r="ES786" s="43"/>
      <c r="ET786" s="43"/>
      <c r="EU786" s="43"/>
      <c r="EV786" s="43"/>
      <c r="EW786" s="43"/>
      <c r="EX786" s="43"/>
      <c r="EY786" s="43"/>
      <c r="EZ786" s="43"/>
      <c r="FA786" s="43"/>
      <c r="FB786" s="43"/>
      <c r="FC786" s="43"/>
      <c r="FD786" s="43"/>
      <c r="FE786" s="43"/>
      <c r="FF786" s="43"/>
      <c r="FG786" s="43"/>
      <c r="FH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43"/>
      <c r="BP787" s="43"/>
      <c r="BQ787" s="43"/>
      <c r="BR787" s="43"/>
      <c r="BS787" s="43"/>
      <c r="BT787" s="43"/>
      <c r="BU787" s="43"/>
      <c r="BV787" s="43"/>
      <c r="BW787" s="43"/>
      <c r="BX787" s="43"/>
      <c r="BY787" s="43"/>
      <c r="BZ787" s="43"/>
      <c r="CA787" s="43"/>
      <c r="CB787" s="43"/>
      <c r="CC787" s="43"/>
      <c r="CD787" s="43"/>
      <c r="CE787" s="43"/>
      <c r="CF787" s="43"/>
      <c r="CG787" s="43"/>
      <c r="CH787" s="43"/>
      <c r="CI787" s="43"/>
      <c r="CJ787" s="43"/>
      <c r="CK787" s="43"/>
      <c r="CL787" s="43"/>
      <c r="CM787" s="43"/>
      <c r="CN787" s="43"/>
      <c r="CO787" s="43"/>
      <c r="CP787" s="43"/>
      <c r="CQ787" s="43"/>
      <c r="CR787" s="43"/>
      <c r="CS787" s="43"/>
      <c r="CT787" s="43"/>
      <c r="CU787" s="43"/>
      <c r="CV787" s="43"/>
      <c r="CW787" s="43"/>
      <c r="CX787" s="43"/>
      <c r="CY787" s="43"/>
      <c r="CZ787" s="43"/>
      <c r="DA787" s="43"/>
      <c r="DB787" s="43"/>
      <c r="DC787" s="43"/>
      <c r="DD787" s="43"/>
      <c r="DE787" s="43"/>
      <c r="DF787" s="43"/>
      <c r="DG787" s="43"/>
      <c r="DH787" s="43"/>
      <c r="DI787" s="43"/>
      <c r="DJ787" s="43"/>
      <c r="DK787" s="43"/>
      <c r="DL787" s="43"/>
      <c r="DM787" s="43"/>
      <c r="DN787" s="43"/>
      <c r="DO787" s="43"/>
      <c r="DP787" s="43"/>
      <c r="DQ787" s="43"/>
      <c r="DR787" s="43"/>
      <c r="DS787" s="43"/>
      <c r="DT787" s="43"/>
      <c r="DU787" s="43"/>
      <c r="DV787" s="43"/>
      <c r="DW787" s="43"/>
      <c r="DX787" s="43"/>
      <c r="DY787" s="43"/>
      <c r="DZ787" s="43"/>
      <c r="EA787" s="43"/>
      <c r="EB787" s="43"/>
      <c r="EC787" s="43"/>
      <c r="ED787" s="43"/>
      <c r="EE787" s="43"/>
      <c r="EF787" s="43"/>
      <c r="EG787" s="43"/>
      <c r="EH787" s="43"/>
      <c r="EI787" s="43"/>
      <c r="EJ787" s="43"/>
      <c r="EK787" s="43"/>
      <c r="EL787" s="43"/>
      <c r="EM787" s="43"/>
      <c r="EN787" s="43"/>
      <c r="EO787" s="43"/>
      <c r="EP787" s="43"/>
      <c r="EQ787" s="43"/>
      <c r="ER787" s="43"/>
      <c r="ES787" s="43"/>
      <c r="ET787" s="43"/>
      <c r="EU787" s="43"/>
      <c r="EV787" s="43"/>
      <c r="EW787" s="43"/>
      <c r="EX787" s="43"/>
      <c r="EY787" s="43"/>
      <c r="EZ787" s="43"/>
      <c r="FA787" s="43"/>
      <c r="FB787" s="43"/>
      <c r="FC787" s="43"/>
      <c r="FD787" s="43"/>
      <c r="FE787" s="43"/>
      <c r="FF787" s="43"/>
      <c r="FG787" s="43"/>
      <c r="FH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43"/>
      <c r="BP788" s="43"/>
      <c r="BQ788" s="43"/>
      <c r="BR788" s="43"/>
      <c r="BS788" s="43"/>
      <c r="BT788" s="43"/>
      <c r="BU788" s="43"/>
      <c r="BV788" s="43"/>
      <c r="BW788" s="43"/>
      <c r="BX788" s="43"/>
      <c r="BY788" s="43"/>
      <c r="BZ788" s="43"/>
      <c r="CA788" s="43"/>
      <c r="CB788" s="43"/>
      <c r="CC788" s="43"/>
      <c r="CD788" s="43"/>
      <c r="CE788" s="43"/>
      <c r="CF788" s="43"/>
      <c r="CG788" s="43"/>
      <c r="CH788" s="43"/>
      <c r="CI788" s="43"/>
      <c r="CJ788" s="43"/>
      <c r="CK788" s="43"/>
      <c r="CL788" s="43"/>
      <c r="CM788" s="43"/>
      <c r="CN788" s="43"/>
      <c r="CO788" s="43"/>
      <c r="CP788" s="43"/>
      <c r="CQ788" s="43"/>
      <c r="CR788" s="43"/>
      <c r="CS788" s="43"/>
      <c r="CT788" s="43"/>
      <c r="CU788" s="43"/>
      <c r="CV788" s="43"/>
      <c r="CW788" s="43"/>
      <c r="CX788" s="43"/>
      <c r="CY788" s="43"/>
      <c r="CZ788" s="43"/>
      <c r="DA788" s="43"/>
      <c r="DB788" s="43"/>
      <c r="DC788" s="43"/>
      <c r="DD788" s="43"/>
      <c r="DE788" s="43"/>
      <c r="DF788" s="43"/>
      <c r="DG788" s="43"/>
      <c r="DH788" s="43"/>
      <c r="DI788" s="43"/>
      <c r="DJ788" s="43"/>
      <c r="DK788" s="43"/>
      <c r="DL788" s="43"/>
      <c r="DM788" s="43"/>
      <c r="DN788" s="43"/>
      <c r="DO788" s="43"/>
      <c r="DP788" s="43"/>
      <c r="DQ788" s="43"/>
      <c r="DR788" s="43"/>
      <c r="DS788" s="43"/>
      <c r="DT788" s="43"/>
      <c r="DU788" s="43"/>
      <c r="DV788" s="43"/>
      <c r="DW788" s="43"/>
      <c r="DX788" s="43"/>
      <c r="DY788" s="43"/>
      <c r="DZ788" s="43"/>
      <c r="EA788" s="43"/>
      <c r="EB788" s="43"/>
      <c r="EC788" s="43"/>
      <c r="ED788" s="43"/>
      <c r="EE788" s="43"/>
      <c r="EF788" s="43"/>
      <c r="EG788" s="43"/>
      <c r="EH788" s="43"/>
      <c r="EI788" s="43"/>
      <c r="EJ788" s="43"/>
      <c r="EK788" s="43"/>
      <c r="EL788" s="43"/>
      <c r="EM788" s="43"/>
      <c r="EN788" s="43"/>
      <c r="EO788" s="43"/>
      <c r="EP788" s="43"/>
      <c r="EQ788" s="43"/>
      <c r="ER788" s="43"/>
      <c r="ES788" s="43"/>
      <c r="ET788" s="43"/>
      <c r="EU788" s="43"/>
      <c r="EV788" s="43"/>
      <c r="EW788" s="43"/>
      <c r="EX788" s="43"/>
      <c r="EY788" s="43"/>
      <c r="EZ788" s="43"/>
      <c r="FA788" s="43"/>
      <c r="FB788" s="43"/>
      <c r="FC788" s="43"/>
      <c r="FD788" s="43"/>
      <c r="FE788" s="43"/>
      <c r="FF788" s="43"/>
      <c r="FG788" s="43"/>
      <c r="FH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43"/>
      <c r="BP789" s="43"/>
      <c r="BQ789" s="43"/>
      <c r="BR789" s="43"/>
      <c r="BS789" s="43"/>
      <c r="BT789" s="43"/>
      <c r="BU789" s="43"/>
      <c r="BV789" s="43"/>
      <c r="BW789" s="43"/>
      <c r="BX789" s="43"/>
      <c r="BY789" s="43"/>
      <c r="BZ789" s="43"/>
      <c r="CA789" s="43"/>
      <c r="CB789" s="43"/>
      <c r="CC789" s="43"/>
      <c r="CD789" s="43"/>
      <c r="CE789" s="43"/>
      <c r="CF789" s="43"/>
      <c r="CG789" s="43"/>
      <c r="CH789" s="43"/>
      <c r="CI789" s="43"/>
      <c r="CJ789" s="43"/>
      <c r="CK789" s="43"/>
      <c r="CL789" s="43"/>
      <c r="CM789" s="43"/>
      <c r="CN789" s="43"/>
      <c r="CO789" s="43"/>
      <c r="CP789" s="43"/>
      <c r="CQ789" s="43"/>
      <c r="CR789" s="43"/>
      <c r="CS789" s="43"/>
      <c r="CT789" s="43"/>
      <c r="CU789" s="43"/>
      <c r="CV789" s="43"/>
      <c r="CW789" s="43"/>
      <c r="CX789" s="43"/>
      <c r="CY789" s="43"/>
      <c r="CZ789" s="43"/>
      <c r="DA789" s="43"/>
      <c r="DB789" s="43"/>
      <c r="DC789" s="43"/>
      <c r="DD789" s="43"/>
      <c r="DE789" s="43"/>
      <c r="DF789" s="43"/>
      <c r="DG789" s="43"/>
      <c r="DH789" s="43"/>
      <c r="DI789" s="43"/>
      <c r="DJ789" s="43"/>
      <c r="DK789" s="43"/>
      <c r="DL789" s="43"/>
      <c r="DM789" s="43"/>
      <c r="DN789" s="43"/>
      <c r="DO789" s="43"/>
      <c r="DP789" s="43"/>
      <c r="DQ789" s="43"/>
      <c r="DR789" s="43"/>
      <c r="DS789" s="43"/>
      <c r="DT789" s="43"/>
      <c r="DU789" s="43"/>
      <c r="DV789" s="43"/>
      <c r="DW789" s="43"/>
      <c r="DX789" s="43"/>
      <c r="DY789" s="43"/>
      <c r="DZ789" s="43"/>
      <c r="EA789" s="43"/>
      <c r="EB789" s="43"/>
      <c r="EC789" s="43"/>
      <c r="ED789" s="43"/>
      <c r="EE789" s="43"/>
      <c r="EF789" s="43"/>
      <c r="EG789" s="43"/>
      <c r="EH789" s="43"/>
      <c r="EI789" s="43"/>
      <c r="EJ789" s="43"/>
      <c r="EK789" s="43"/>
      <c r="EL789" s="43"/>
      <c r="EM789" s="43"/>
      <c r="EN789" s="43"/>
      <c r="EO789" s="43"/>
      <c r="EP789" s="43"/>
      <c r="EQ789" s="43"/>
      <c r="ER789" s="43"/>
      <c r="ES789" s="43"/>
      <c r="ET789" s="43"/>
      <c r="EU789" s="43"/>
      <c r="EV789" s="43"/>
      <c r="EW789" s="43"/>
      <c r="EX789" s="43"/>
      <c r="EY789" s="43"/>
      <c r="EZ789" s="43"/>
      <c r="FA789" s="43"/>
      <c r="FB789" s="43"/>
      <c r="FC789" s="43"/>
      <c r="FD789" s="43"/>
      <c r="FE789" s="43"/>
      <c r="FF789" s="43"/>
      <c r="FG789" s="43"/>
      <c r="FH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43"/>
      <c r="BP790" s="43"/>
      <c r="BQ790" s="43"/>
      <c r="BR790" s="43"/>
      <c r="BS790" s="43"/>
      <c r="BT790" s="43"/>
      <c r="BU790" s="43"/>
      <c r="BV790" s="43"/>
      <c r="BW790" s="43"/>
      <c r="BX790" s="43"/>
      <c r="BY790" s="43"/>
      <c r="BZ790" s="43"/>
      <c r="CA790" s="43"/>
      <c r="CB790" s="43"/>
      <c r="CC790" s="43"/>
      <c r="CD790" s="43"/>
      <c r="CE790" s="43"/>
      <c r="CF790" s="43"/>
      <c r="CG790" s="43"/>
      <c r="CH790" s="43"/>
      <c r="CI790" s="43"/>
      <c r="CJ790" s="43"/>
      <c r="CK790" s="43"/>
      <c r="CL790" s="43"/>
      <c r="CM790" s="43"/>
      <c r="CN790" s="43"/>
      <c r="CO790" s="43"/>
      <c r="CP790" s="43"/>
      <c r="CQ790" s="43"/>
      <c r="CR790" s="43"/>
      <c r="CS790" s="43"/>
      <c r="CT790" s="43"/>
      <c r="CU790" s="43"/>
      <c r="CV790" s="43"/>
      <c r="CW790" s="43"/>
      <c r="CX790" s="43"/>
      <c r="CY790" s="43"/>
      <c r="CZ790" s="43"/>
      <c r="DA790" s="43"/>
      <c r="DB790" s="43"/>
      <c r="DC790" s="43"/>
      <c r="DD790" s="43"/>
      <c r="DE790" s="43"/>
      <c r="DF790" s="43"/>
      <c r="DG790" s="43"/>
      <c r="DH790" s="43"/>
      <c r="DI790" s="43"/>
      <c r="DJ790" s="43"/>
      <c r="DK790" s="43"/>
      <c r="DL790" s="43"/>
      <c r="DM790" s="43"/>
      <c r="DN790" s="43"/>
      <c r="DO790" s="43"/>
      <c r="DP790" s="43"/>
      <c r="DQ790" s="43"/>
      <c r="DR790" s="43"/>
      <c r="DS790" s="43"/>
      <c r="DT790" s="43"/>
      <c r="DU790" s="43"/>
      <c r="DV790" s="43"/>
      <c r="DW790" s="43"/>
      <c r="DX790" s="43"/>
      <c r="DY790" s="43"/>
      <c r="DZ790" s="43"/>
      <c r="EA790" s="43"/>
      <c r="EB790" s="43"/>
      <c r="EC790" s="43"/>
      <c r="ED790" s="43"/>
      <c r="EE790" s="43"/>
      <c r="EF790" s="43"/>
      <c r="EG790" s="43"/>
      <c r="EH790" s="43"/>
      <c r="EI790" s="43"/>
      <c r="EJ790" s="43"/>
      <c r="EK790" s="43"/>
      <c r="EL790" s="43"/>
      <c r="EM790" s="43"/>
      <c r="EN790" s="43"/>
      <c r="EO790" s="43"/>
      <c r="EP790" s="43"/>
      <c r="EQ790" s="43"/>
      <c r="ER790" s="43"/>
      <c r="ES790" s="43"/>
      <c r="ET790" s="43"/>
      <c r="EU790" s="43"/>
      <c r="EV790" s="43"/>
      <c r="EW790" s="43"/>
      <c r="EX790" s="43"/>
      <c r="EY790" s="43"/>
      <c r="EZ790" s="43"/>
      <c r="FA790" s="43"/>
      <c r="FB790" s="43"/>
      <c r="FC790" s="43"/>
      <c r="FD790" s="43"/>
      <c r="FE790" s="43"/>
      <c r="FF790" s="43"/>
      <c r="FG790" s="43"/>
      <c r="FH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43"/>
      <c r="BP791" s="43"/>
      <c r="BQ791" s="43"/>
      <c r="BR791" s="43"/>
      <c r="BS791" s="43"/>
      <c r="BT791" s="43"/>
      <c r="BU791" s="43"/>
      <c r="BV791" s="43"/>
      <c r="BW791" s="43"/>
      <c r="BX791" s="43"/>
      <c r="BY791" s="43"/>
      <c r="BZ791" s="43"/>
      <c r="CA791" s="43"/>
      <c r="CB791" s="43"/>
      <c r="CC791" s="43"/>
      <c r="CD791" s="43"/>
      <c r="CE791" s="43"/>
      <c r="CF791" s="43"/>
      <c r="CG791" s="43"/>
      <c r="CH791" s="43"/>
      <c r="CI791" s="43"/>
      <c r="CJ791" s="43"/>
      <c r="CK791" s="43"/>
      <c r="CL791" s="43"/>
      <c r="CM791" s="43"/>
      <c r="CN791" s="43"/>
      <c r="CO791" s="43"/>
      <c r="CP791" s="43"/>
      <c r="CQ791" s="43"/>
      <c r="CR791" s="43"/>
      <c r="CS791" s="43"/>
      <c r="CT791" s="43"/>
      <c r="CU791" s="43"/>
      <c r="CV791" s="43"/>
      <c r="CW791" s="43"/>
      <c r="CX791" s="43"/>
      <c r="CY791" s="43"/>
      <c r="CZ791" s="43"/>
      <c r="DA791" s="43"/>
      <c r="DB791" s="43"/>
      <c r="DC791" s="43"/>
      <c r="DD791" s="43"/>
      <c r="DE791" s="43"/>
      <c r="DF791" s="43"/>
      <c r="DG791" s="43"/>
      <c r="DH791" s="43"/>
      <c r="DI791" s="43"/>
      <c r="DJ791" s="43"/>
      <c r="DK791" s="43"/>
      <c r="DL791" s="43"/>
      <c r="DM791" s="43"/>
      <c r="DN791" s="43"/>
      <c r="DO791" s="43"/>
      <c r="DP791" s="43"/>
      <c r="DQ791" s="43"/>
      <c r="DR791" s="43"/>
      <c r="DS791" s="43"/>
      <c r="DT791" s="43"/>
      <c r="DU791" s="43"/>
      <c r="DV791" s="43"/>
      <c r="DW791" s="43"/>
      <c r="DX791" s="43"/>
      <c r="DY791" s="43"/>
      <c r="DZ791" s="43"/>
      <c r="EA791" s="43"/>
      <c r="EB791" s="43"/>
      <c r="EC791" s="43"/>
      <c r="ED791" s="43"/>
      <c r="EE791" s="43"/>
      <c r="EF791" s="43"/>
      <c r="EG791" s="43"/>
      <c r="EH791" s="43"/>
      <c r="EI791" s="43"/>
      <c r="EJ791" s="43"/>
      <c r="EK791" s="43"/>
      <c r="EL791" s="43"/>
      <c r="EM791" s="43"/>
      <c r="EN791" s="43"/>
      <c r="EO791" s="43"/>
      <c r="EP791" s="43"/>
      <c r="EQ791" s="43"/>
      <c r="ER791" s="43"/>
      <c r="ES791" s="43"/>
      <c r="ET791" s="43"/>
      <c r="EU791" s="43"/>
      <c r="EV791" s="43"/>
      <c r="EW791" s="43"/>
      <c r="EX791" s="43"/>
      <c r="EY791" s="43"/>
      <c r="EZ791" s="43"/>
      <c r="FA791" s="43"/>
      <c r="FB791" s="43"/>
      <c r="FC791" s="43"/>
      <c r="FD791" s="43"/>
      <c r="FE791" s="43"/>
      <c r="FF791" s="43"/>
      <c r="FG791" s="43"/>
      <c r="FH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43"/>
      <c r="BP792" s="43"/>
      <c r="BQ792" s="43"/>
      <c r="BR792" s="43"/>
      <c r="BS792" s="43"/>
      <c r="BT792" s="43"/>
      <c r="BU792" s="43"/>
      <c r="BV792" s="43"/>
      <c r="BW792" s="43"/>
      <c r="BX792" s="43"/>
      <c r="BY792" s="43"/>
      <c r="BZ792" s="43"/>
      <c r="CA792" s="43"/>
      <c r="CB792" s="43"/>
      <c r="CC792" s="43"/>
      <c r="CD792" s="43"/>
      <c r="CE792" s="43"/>
      <c r="CF792" s="43"/>
      <c r="CG792" s="43"/>
      <c r="CH792" s="43"/>
      <c r="CI792" s="43"/>
      <c r="CJ792" s="43"/>
      <c r="CK792" s="43"/>
      <c r="CL792" s="43"/>
      <c r="CM792" s="43"/>
      <c r="CN792" s="43"/>
      <c r="CO792" s="43"/>
      <c r="CP792" s="43"/>
      <c r="CQ792" s="43"/>
      <c r="CR792" s="43"/>
      <c r="CS792" s="43"/>
      <c r="CT792" s="43"/>
      <c r="CU792" s="43"/>
      <c r="CV792" s="43"/>
      <c r="CW792" s="43"/>
      <c r="CX792" s="43"/>
      <c r="CY792" s="43"/>
      <c r="CZ792" s="43"/>
      <c r="DA792" s="43"/>
      <c r="DB792" s="43"/>
      <c r="DC792" s="43"/>
      <c r="DD792" s="43"/>
      <c r="DE792" s="43"/>
      <c r="DF792" s="43"/>
      <c r="DG792" s="43"/>
      <c r="DH792" s="43"/>
      <c r="DI792" s="43"/>
      <c r="DJ792" s="43"/>
      <c r="DK792" s="43"/>
      <c r="DL792" s="43"/>
      <c r="DM792" s="43"/>
      <c r="DN792" s="43"/>
      <c r="DO792" s="43"/>
      <c r="DP792" s="43"/>
      <c r="DQ792" s="43"/>
      <c r="DR792" s="43"/>
      <c r="DS792" s="43"/>
      <c r="DT792" s="43"/>
      <c r="DU792" s="43"/>
      <c r="DV792" s="43"/>
      <c r="DW792" s="43"/>
      <c r="DX792" s="43"/>
      <c r="DY792" s="43"/>
      <c r="DZ792" s="43"/>
      <c r="EA792" s="43"/>
      <c r="EB792" s="43"/>
      <c r="EC792" s="43"/>
      <c r="ED792" s="43"/>
      <c r="EE792" s="43"/>
      <c r="EF792" s="43"/>
      <c r="EG792" s="43"/>
      <c r="EH792" s="43"/>
      <c r="EI792" s="43"/>
      <c r="EJ792" s="43"/>
      <c r="EK792" s="43"/>
      <c r="EL792" s="43"/>
      <c r="EM792" s="43"/>
      <c r="EN792" s="43"/>
      <c r="EO792" s="43"/>
      <c r="EP792" s="43"/>
      <c r="EQ792" s="43"/>
      <c r="ER792" s="43"/>
      <c r="ES792" s="43"/>
      <c r="ET792" s="43"/>
      <c r="EU792" s="43"/>
      <c r="EV792" s="43"/>
      <c r="EW792" s="43"/>
      <c r="EX792" s="43"/>
      <c r="EY792" s="43"/>
      <c r="EZ792" s="43"/>
      <c r="FA792" s="43"/>
      <c r="FB792" s="43"/>
      <c r="FC792" s="43"/>
      <c r="FD792" s="43"/>
      <c r="FE792" s="43"/>
      <c r="FF792" s="43"/>
      <c r="FG792" s="43"/>
      <c r="FH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43"/>
      <c r="BP793" s="43"/>
      <c r="BQ793" s="43"/>
      <c r="BR793" s="43"/>
      <c r="BS793" s="43"/>
      <c r="BT793" s="43"/>
      <c r="BU793" s="43"/>
      <c r="BV793" s="43"/>
      <c r="BW793" s="43"/>
      <c r="BX793" s="43"/>
      <c r="BY793" s="43"/>
      <c r="BZ793" s="43"/>
      <c r="CA793" s="43"/>
      <c r="CB793" s="43"/>
      <c r="CC793" s="43"/>
      <c r="CD793" s="43"/>
      <c r="CE793" s="43"/>
      <c r="CF793" s="43"/>
      <c r="CG793" s="43"/>
      <c r="CH793" s="43"/>
      <c r="CI793" s="43"/>
      <c r="CJ793" s="43"/>
      <c r="CK793" s="43"/>
      <c r="CL793" s="43"/>
      <c r="CM793" s="43"/>
      <c r="CN793" s="43"/>
      <c r="CO793" s="43"/>
      <c r="CP793" s="43"/>
      <c r="CQ793" s="43"/>
      <c r="CR793" s="43"/>
      <c r="CS793" s="43"/>
      <c r="CT793" s="43"/>
      <c r="CU793" s="43"/>
      <c r="CV793" s="43"/>
      <c r="CW793" s="43"/>
      <c r="CX793" s="43"/>
      <c r="CY793" s="43"/>
      <c r="CZ793" s="43"/>
      <c r="DA793" s="43"/>
      <c r="DB793" s="43"/>
      <c r="DC793" s="43"/>
      <c r="DD793" s="43"/>
      <c r="DE793" s="43"/>
      <c r="DF793" s="43"/>
      <c r="DG793" s="43"/>
      <c r="DH793" s="43"/>
      <c r="DI793" s="43"/>
      <c r="DJ793" s="43"/>
      <c r="DK793" s="43"/>
      <c r="DL793" s="43"/>
      <c r="DM793" s="43"/>
      <c r="DN793" s="43"/>
      <c r="DO793" s="43"/>
      <c r="DP793" s="43"/>
      <c r="DQ793" s="43"/>
      <c r="DR793" s="43"/>
      <c r="DS793" s="43"/>
      <c r="DT793" s="43"/>
      <c r="DU793" s="43"/>
      <c r="DV793" s="43"/>
      <c r="DW793" s="43"/>
      <c r="DX793" s="43"/>
      <c r="DY793" s="43"/>
      <c r="DZ793" s="43"/>
      <c r="EA793" s="43"/>
      <c r="EB793" s="43"/>
      <c r="EC793" s="43"/>
      <c r="ED793" s="43"/>
      <c r="EE793" s="43"/>
      <c r="EF793" s="43"/>
      <c r="EG793" s="43"/>
      <c r="EH793" s="43"/>
      <c r="EI793" s="43"/>
      <c r="EJ793" s="43"/>
      <c r="EK793" s="43"/>
      <c r="EL793" s="43"/>
      <c r="EM793" s="43"/>
      <c r="EN793" s="43"/>
      <c r="EO793" s="43"/>
      <c r="EP793" s="43"/>
      <c r="EQ793" s="43"/>
      <c r="ER793" s="43"/>
      <c r="ES793" s="43"/>
      <c r="ET793" s="43"/>
      <c r="EU793" s="43"/>
      <c r="EV793" s="43"/>
      <c r="EW793" s="43"/>
      <c r="EX793" s="43"/>
      <c r="EY793" s="43"/>
      <c r="EZ793" s="43"/>
      <c r="FA793" s="43"/>
      <c r="FB793" s="43"/>
      <c r="FC793" s="43"/>
      <c r="FD793" s="43"/>
      <c r="FE793" s="43"/>
      <c r="FF793" s="43"/>
      <c r="FG793" s="43"/>
      <c r="FH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43"/>
      <c r="BP794" s="43"/>
      <c r="BQ794" s="43"/>
      <c r="BR794" s="43"/>
      <c r="BS794" s="43"/>
      <c r="BT794" s="43"/>
      <c r="BU794" s="43"/>
      <c r="BV794" s="43"/>
      <c r="BW794" s="43"/>
      <c r="BX794" s="43"/>
      <c r="BY794" s="43"/>
      <c r="BZ794" s="43"/>
      <c r="CA794" s="43"/>
      <c r="CB794" s="43"/>
      <c r="CC794" s="43"/>
      <c r="CD794" s="43"/>
      <c r="CE794" s="43"/>
      <c r="CF794" s="43"/>
      <c r="CG794" s="43"/>
      <c r="CH794" s="43"/>
      <c r="CI794" s="43"/>
      <c r="CJ794" s="43"/>
      <c r="CK794" s="43"/>
      <c r="CL794" s="43"/>
      <c r="CM794" s="43"/>
      <c r="CN794" s="43"/>
      <c r="CO794" s="43"/>
      <c r="CP794" s="43"/>
      <c r="CQ794" s="43"/>
      <c r="CR794" s="43"/>
      <c r="CS794" s="43"/>
      <c r="CT794" s="43"/>
      <c r="CU794" s="43"/>
      <c r="CV794" s="43"/>
      <c r="CW794" s="43"/>
      <c r="CX794" s="43"/>
      <c r="CY794" s="43"/>
      <c r="CZ794" s="43"/>
      <c r="DA794" s="43"/>
      <c r="DB794" s="43"/>
      <c r="DC794" s="43"/>
      <c r="DD794" s="43"/>
      <c r="DE794" s="43"/>
      <c r="DF794" s="43"/>
      <c r="DG794" s="43"/>
      <c r="DH794" s="43"/>
      <c r="DI794" s="43"/>
      <c r="DJ794" s="43"/>
      <c r="DK794" s="43"/>
      <c r="DL794" s="43"/>
      <c r="DM794" s="43"/>
      <c r="DN794" s="43"/>
      <c r="DO794" s="43"/>
      <c r="DP794" s="43"/>
      <c r="DQ794" s="43"/>
      <c r="DR794" s="43"/>
      <c r="DS794" s="43"/>
      <c r="DT794" s="43"/>
      <c r="DU794" s="43"/>
      <c r="DV794" s="43"/>
      <c r="DW794" s="43"/>
      <c r="DX794" s="43"/>
      <c r="DY794" s="43"/>
      <c r="DZ794" s="43"/>
      <c r="EA794" s="43"/>
      <c r="EB794" s="43"/>
      <c r="EC794" s="43"/>
      <c r="ED794" s="43"/>
      <c r="EE794" s="43"/>
      <c r="EF794" s="43"/>
      <c r="EG794" s="43"/>
      <c r="EH794" s="43"/>
      <c r="EI794" s="43"/>
      <c r="EJ794" s="43"/>
      <c r="EK794" s="43"/>
      <c r="EL794" s="43"/>
      <c r="EM794" s="43"/>
      <c r="EN794" s="43"/>
      <c r="EO794" s="43"/>
      <c r="EP794" s="43"/>
      <c r="EQ794" s="43"/>
      <c r="ER794" s="43"/>
      <c r="ES794" s="43"/>
      <c r="ET794" s="43"/>
      <c r="EU794" s="43"/>
      <c r="EV794" s="43"/>
      <c r="EW794" s="43"/>
      <c r="EX794" s="43"/>
      <c r="EY794" s="43"/>
      <c r="EZ794" s="43"/>
      <c r="FA794" s="43"/>
      <c r="FB794" s="43"/>
      <c r="FC794" s="43"/>
      <c r="FD794" s="43"/>
      <c r="FE794" s="43"/>
      <c r="FF794" s="43"/>
      <c r="FG794" s="43"/>
      <c r="FH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43"/>
      <c r="BP795" s="43"/>
      <c r="BQ795" s="43"/>
      <c r="BR795" s="43"/>
      <c r="BS795" s="43"/>
      <c r="BT795" s="43"/>
      <c r="BU795" s="43"/>
      <c r="BV795" s="43"/>
      <c r="BW795" s="43"/>
      <c r="BX795" s="43"/>
      <c r="BY795" s="43"/>
      <c r="BZ795" s="43"/>
      <c r="CA795" s="43"/>
      <c r="CB795" s="43"/>
      <c r="CC795" s="43"/>
      <c r="CD795" s="43"/>
      <c r="CE795" s="43"/>
      <c r="CF795" s="43"/>
      <c r="CG795" s="43"/>
      <c r="CH795" s="43"/>
      <c r="CI795" s="43"/>
      <c r="CJ795" s="43"/>
      <c r="CK795" s="43"/>
      <c r="CL795" s="43"/>
      <c r="CM795" s="43"/>
      <c r="CN795" s="43"/>
      <c r="CO795" s="43"/>
      <c r="CP795" s="43"/>
      <c r="CQ795" s="43"/>
      <c r="CR795" s="43"/>
      <c r="CS795" s="43"/>
      <c r="CT795" s="43"/>
      <c r="CU795" s="43"/>
      <c r="CV795" s="43"/>
      <c r="CW795" s="43"/>
      <c r="CX795" s="43"/>
      <c r="CY795" s="43"/>
      <c r="CZ795" s="43"/>
      <c r="DA795" s="43"/>
      <c r="DB795" s="43"/>
      <c r="DC795" s="43"/>
      <c r="DD795" s="43"/>
      <c r="DE795" s="43"/>
      <c r="DF795" s="43"/>
      <c r="DG795" s="43"/>
      <c r="DH795" s="43"/>
      <c r="DI795" s="43"/>
      <c r="DJ795" s="43"/>
      <c r="DK795" s="43"/>
      <c r="DL795" s="43"/>
      <c r="DM795" s="43"/>
      <c r="DN795" s="43"/>
      <c r="DO795" s="43"/>
      <c r="DP795" s="43"/>
      <c r="DQ795" s="43"/>
      <c r="DR795" s="43"/>
      <c r="DS795" s="43"/>
      <c r="DT795" s="43"/>
      <c r="DU795" s="43"/>
      <c r="DV795" s="43"/>
      <c r="DW795" s="43"/>
      <c r="DX795" s="43"/>
      <c r="DY795" s="43"/>
      <c r="DZ795" s="43"/>
      <c r="EA795" s="43"/>
      <c r="EB795" s="43"/>
      <c r="EC795" s="43"/>
      <c r="ED795" s="43"/>
      <c r="EE795" s="43"/>
      <c r="EF795" s="43"/>
      <c r="EG795" s="43"/>
      <c r="EH795" s="43"/>
      <c r="EI795" s="43"/>
      <c r="EJ795" s="43"/>
      <c r="EK795" s="43"/>
      <c r="EL795" s="43"/>
      <c r="EM795" s="43"/>
      <c r="EN795" s="43"/>
      <c r="EO795" s="43"/>
      <c r="EP795" s="43"/>
      <c r="EQ795" s="43"/>
      <c r="ER795" s="43"/>
      <c r="ES795" s="43"/>
      <c r="ET795" s="43"/>
      <c r="EU795" s="43"/>
      <c r="EV795" s="43"/>
      <c r="EW795" s="43"/>
      <c r="EX795" s="43"/>
      <c r="EY795" s="43"/>
      <c r="EZ795" s="43"/>
      <c r="FA795" s="43"/>
      <c r="FB795" s="43"/>
      <c r="FC795" s="43"/>
      <c r="FD795" s="43"/>
      <c r="FE795" s="43"/>
      <c r="FF795" s="43"/>
      <c r="FG795" s="43"/>
      <c r="FH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43"/>
      <c r="BP796" s="43"/>
      <c r="BQ796" s="43"/>
      <c r="BR796" s="43"/>
      <c r="BS796" s="43"/>
      <c r="BT796" s="43"/>
      <c r="BU796" s="43"/>
      <c r="BV796" s="43"/>
      <c r="BW796" s="43"/>
      <c r="BX796" s="43"/>
      <c r="BY796" s="43"/>
      <c r="BZ796" s="43"/>
      <c r="CA796" s="43"/>
      <c r="CB796" s="43"/>
      <c r="CC796" s="43"/>
      <c r="CD796" s="43"/>
      <c r="CE796" s="43"/>
      <c r="CF796" s="43"/>
      <c r="CG796" s="43"/>
      <c r="CH796" s="43"/>
      <c r="CI796" s="43"/>
      <c r="CJ796" s="43"/>
      <c r="CK796" s="43"/>
      <c r="CL796" s="43"/>
      <c r="CM796" s="43"/>
      <c r="CN796" s="43"/>
      <c r="CO796" s="43"/>
      <c r="CP796" s="43"/>
      <c r="CQ796" s="43"/>
      <c r="CR796" s="43"/>
      <c r="CS796" s="43"/>
      <c r="CT796" s="43"/>
      <c r="CU796" s="43"/>
      <c r="CV796" s="43"/>
      <c r="CW796" s="43"/>
      <c r="CX796" s="43"/>
      <c r="CY796" s="43"/>
      <c r="CZ796" s="43"/>
      <c r="DA796" s="43"/>
      <c r="DB796" s="43"/>
      <c r="DC796" s="43"/>
      <c r="DD796" s="43"/>
      <c r="DE796" s="43"/>
      <c r="DF796" s="43"/>
      <c r="DG796" s="43"/>
      <c r="DH796" s="43"/>
      <c r="DI796" s="43"/>
      <c r="DJ796" s="43"/>
      <c r="DK796" s="43"/>
      <c r="DL796" s="43"/>
      <c r="DM796" s="43"/>
      <c r="DN796" s="43"/>
      <c r="DO796" s="43"/>
      <c r="DP796" s="43"/>
      <c r="DQ796" s="43"/>
      <c r="DR796" s="43"/>
      <c r="DS796" s="43"/>
      <c r="DT796" s="43"/>
      <c r="DU796" s="43"/>
      <c r="DV796" s="43"/>
      <c r="DW796" s="43"/>
      <c r="DX796" s="43"/>
      <c r="DY796" s="43"/>
      <c r="DZ796" s="43"/>
      <c r="EA796" s="43"/>
      <c r="EB796" s="43"/>
      <c r="EC796" s="43"/>
      <c r="ED796" s="43"/>
      <c r="EE796" s="43"/>
      <c r="EF796" s="43"/>
      <c r="EG796" s="43"/>
      <c r="EH796" s="43"/>
      <c r="EI796" s="43"/>
      <c r="EJ796" s="43"/>
      <c r="EK796" s="43"/>
      <c r="EL796" s="43"/>
      <c r="EM796" s="43"/>
      <c r="EN796" s="43"/>
      <c r="EO796" s="43"/>
      <c r="EP796" s="43"/>
      <c r="EQ796" s="43"/>
      <c r="ER796" s="43"/>
      <c r="ES796" s="43"/>
      <c r="ET796" s="43"/>
      <c r="EU796" s="43"/>
      <c r="EV796" s="43"/>
      <c r="EW796" s="43"/>
      <c r="EX796" s="43"/>
      <c r="EY796" s="43"/>
      <c r="EZ796" s="43"/>
      <c r="FA796" s="43"/>
      <c r="FB796" s="43"/>
      <c r="FC796" s="43"/>
      <c r="FD796" s="43"/>
      <c r="FE796" s="43"/>
      <c r="FF796" s="43"/>
      <c r="FG796" s="43"/>
      <c r="FH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43"/>
      <c r="BP797" s="43"/>
      <c r="BQ797" s="43"/>
      <c r="BR797" s="43"/>
      <c r="BS797" s="43"/>
      <c r="BT797" s="43"/>
      <c r="BU797" s="43"/>
      <c r="BV797" s="43"/>
      <c r="BW797" s="43"/>
      <c r="BX797" s="43"/>
      <c r="BY797" s="43"/>
      <c r="BZ797" s="43"/>
      <c r="CA797" s="43"/>
      <c r="CB797" s="43"/>
      <c r="CC797" s="43"/>
      <c r="CD797" s="43"/>
      <c r="CE797" s="43"/>
      <c r="CF797" s="43"/>
      <c r="CG797" s="43"/>
      <c r="CH797" s="43"/>
      <c r="CI797" s="43"/>
      <c r="CJ797" s="43"/>
      <c r="CK797" s="43"/>
      <c r="CL797" s="43"/>
      <c r="CM797" s="43"/>
      <c r="CN797" s="43"/>
      <c r="CO797" s="43"/>
      <c r="CP797" s="43"/>
      <c r="CQ797" s="43"/>
      <c r="CR797" s="43"/>
      <c r="CS797" s="43"/>
      <c r="CT797" s="43"/>
      <c r="CU797" s="43"/>
      <c r="CV797" s="43"/>
      <c r="CW797" s="43"/>
      <c r="CX797" s="43"/>
      <c r="CY797" s="43"/>
      <c r="CZ797" s="43"/>
      <c r="DA797" s="43"/>
      <c r="DB797" s="43"/>
      <c r="DC797" s="43"/>
      <c r="DD797" s="43"/>
      <c r="DE797" s="43"/>
      <c r="DF797" s="43"/>
      <c r="DG797" s="43"/>
      <c r="DH797" s="43"/>
      <c r="DI797" s="43"/>
      <c r="DJ797" s="43"/>
      <c r="DK797" s="43"/>
      <c r="DL797" s="43"/>
      <c r="DM797" s="43"/>
      <c r="DN797" s="43"/>
      <c r="DO797" s="43"/>
      <c r="DP797" s="43"/>
      <c r="DQ797" s="43"/>
      <c r="DR797" s="43"/>
      <c r="DS797" s="43"/>
      <c r="DT797" s="43"/>
      <c r="DU797" s="43"/>
      <c r="DV797" s="43"/>
      <c r="DW797" s="43"/>
      <c r="DX797" s="43"/>
      <c r="DY797" s="43"/>
      <c r="DZ797" s="43"/>
      <c r="EA797" s="43"/>
      <c r="EB797" s="43"/>
      <c r="EC797" s="43"/>
      <c r="ED797" s="43"/>
      <c r="EE797" s="43"/>
      <c r="EF797" s="43"/>
      <c r="EG797" s="43"/>
      <c r="EH797" s="43"/>
      <c r="EI797" s="43"/>
      <c r="EJ797" s="43"/>
      <c r="EK797" s="43"/>
      <c r="EL797" s="43"/>
      <c r="EM797" s="43"/>
      <c r="EN797" s="43"/>
      <c r="EO797" s="43"/>
      <c r="EP797" s="43"/>
      <c r="EQ797" s="43"/>
      <c r="ER797" s="43"/>
      <c r="ES797" s="43"/>
      <c r="ET797" s="43"/>
      <c r="EU797" s="43"/>
      <c r="EV797" s="43"/>
      <c r="EW797" s="43"/>
      <c r="EX797" s="43"/>
      <c r="EY797" s="43"/>
      <c r="EZ797" s="43"/>
      <c r="FA797" s="43"/>
      <c r="FB797" s="43"/>
      <c r="FC797" s="43"/>
      <c r="FD797" s="43"/>
      <c r="FE797" s="43"/>
      <c r="FF797" s="43"/>
      <c r="FG797" s="43"/>
      <c r="FH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43"/>
      <c r="BP798" s="43"/>
      <c r="BQ798" s="43"/>
      <c r="BR798" s="43"/>
      <c r="BS798" s="43"/>
      <c r="BT798" s="43"/>
      <c r="BU798" s="43"/>
      <c r="BV798" s="43"/>
      <c r="BW798" s="43"/>
      <c r="BX798" s="43"/>
      <c r="BY798" s="43"/>
      <c r="BZ798" s="43"/>
      <c r="CA798" s="43"/>
      <c r="CB798" s="43"/>
      <c r="CC798" s="43"/>
      <c r="CD798" s="43"/>
      <c r="CE798" s="43"/>
      <c r="CF798" s="43"/>
      <c r="CG798" s="43"/>
      <c r="CH798" s="43"/>
      <c r="CI798" s="43"/>
      <c r="CJ798" s="43"/>
      <c r="CK798" s="43"/>
      <c r="CL798" s="43"/>
      <c r="CM798" s="43"/>
      <c r="CN798" s="43"/>
      <c r="CO798" s="43"/>
      <c r="CP798" s="43"/>
      <c r="CQ798" s="43"/>
      <c r="CR798" s="43"/>
      <c r="CS798" s="43"/>
      <c r="CT798" s="43"/>
      <c r="CU798" s="43"/>
      <c r="CV798" s="43"/>
      <c r="CW798" s="43"/>
      <c r="CX798" s="43"/>
      <c r="CY798" s="43"/>
      <c r="CZ798" s="43"/>
      <c r="DA798" s="43"/>
      <c r="DB798" s="43"/>
      <c r="DC798" s="43"/>
      <c r="DD798" s="43"/>
      <c r="DE798" s="43"/>
      <c r="DF798" s="43"/>
      <c r="DG798" s="43"/>
      <c r="DH798" s="43"/>
      <c r="DI798" s="43"/>
      <c r="DJ798" s="43"/>
      <c r="DK798" s="43"/>
      <c r="DL798" s="43"/>
      <c r="DM798" s="43"/>
      <c r="DN798" s="43"/>
      <c r="DO798" s="43"/>
      <c r="DP798" s="43"/>
      <c r="DQ798" s="43"/>
      <c r="DR798" s="43"/>
      <c r="DS798" s="43"/>
      <c r="DT798" s="43"/>
      <c r="DU798" s="43"/>
      <c r="DV798" s="43"/>
      <c r="DW798" s="43"/>
      <c r="DX798" s="43"/>
      <c r="DY798" s="43"/>
      <c r="DZ798" s="43"/>
      <c r="EA798" s="43"/>
      <c r="EB798" s="43"/>
      <c r="EC798" s="43"/>
      <c r="ED798" s="43"/>
      <c r="EE798" s="43"/>
      <c r="EF798" s="43"/>
      <c r="EG798" s="43"/>
      <c r="EH798" s="43"/>
      <c r="EI798" s="43"/>
      <c r="EJ798" s="43"/>
      <c r="EK798" s="43"/>
      <c r="EL798" s="43"/>
      <c r="EM798" s="43"/>
      <c r="EN798" s="43"/>
      <c r="EO798" s="43"/>
      <c r="EP798" s="43"/>
      <c r="EQ798" s="43"/>
      <c r="ER798" s="43"/>
      <c r="ES798" s="43"/>
      <c r="ET798" s="43"/>
      <c r="EU798" s="43"/>
      <c r="EV798" s="43"/>
      <c r="EW798" s="43"/>
      <c r="EX798" s="43"/>
      <c r="EY798" s="43"/>
      <c r="EZ798" s="43"/>
      <c r="FA798" s="43"/>
      <c r="FB798" s="43"/>
      <c r="FC798" s="43"/>
      <c r="FD798" s="43"/>
      <c r="FE798" s="43"/>
      <c r="FF798" s="43"/>
      <c r="FG798" s="43"/>
      <c r="FH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43"/>
      <c r="BP799" s="43"/>
      <c r="BQ799" s="43"/>
      <c r="BR799" s="43"/>
      <c r="BS799" s="43"/>
      <c r="BT799" s="43"/>
      <c r="BU799" s="43"/>
      <c r="BV799" s="43"/>
      <c r="BW799" s="43"/>
      <c r="BX799" s="43"/>
      <c r="BY799" s="43"/>
      <c r="BZ799" s="43"/>
      <c r="CA799" s="43"/>
      <c r="CB799" s="43"/>
      <c r="CC799" s="43"/>
      <c r="CD799" s="43"/>
      <c r="CE799" s="43"/>
      <c r="CF799" s="43"/>
      <c r="CG799" s="43"/>
      <c r="CH799" s="43"/>
      <c r="CI799" s="43"/>
      <c r="CJ799" s="43"/>
      <c r="CK799" s="43"/>
      <c r="CL799" s="43"/>
      <c r="CM799" s="43"/>
      <c r="CN799" s="43"/>
      <c r="CO799" s="43"/>
      <c r="CP799" s="43"/>
      <c r="CQ799" s="43"/>
      <c r="CR799" s="43"/>
      <c r="CS799" s="43"/>
      <c r="CT799" s="43"/>
      <c r="CU799" s="43"/>
      <c r="CV799" s="43"/>
      <c r="CW799" s="43"/>
      <c r="CX799" s="43"/>
      <c r="CY799" s="43"/>
      <c r="CZ799" s="43"/>
      <c r="DA799" s="43"/>
      <c r="DB799" s="43"/>
      <c r="DC799" s="43"/>
      <c r="DD799" s="43"/>
      <c r="DE799" s="43"/>
      <c r="DF799" s="43"/>
      <c r="DG799" s="43"/>
      <c r="DH799" s="43"/>
      <c r="DI799" s="43"/>
      <c r="DJ799" s="43"/>
      <c r="DK799" s="43"/>
      <c r="DL799" s="43"/>
      <c r="DM799" s="43"/>
      <c r="DN799" s="43"/>
      <c r="DO799" s="43"/>
      <c r="DP799" s="43"/>
      <c r="DQ799" s="43"/>
      <c r="DR799" s="43"/>
      <c r="DS799" s="43"/>
      <c r="DT799" s="43"/>
      <c r="DU799" s="43"/>
      <c r="DV799" s="43"/>
      <c r="DW799" s="43"/>
      <c r="DX799" s="43"/>
      <c r="DY799" s="43"/>
      <c r="DZ799" s="43"/>
      <c r="EA799" s="43"/>
      <c r="EB799" s="43"/>
      <c r="EC799" s="43"/>
      <c r="ED799" s="43"/>
      <c r="EE799" s="43"/>
      <c r="EF799" s="43"/>
      <c r="EG799" s="43"/>
      <c r="EH799" s="43"/>
      <c r="EI799" s="43"/>
      <c r="EJ799" s="43"/>
      <c r="EK799" s="43"/>
      <c r="EL799" s="43"/>
      <c r="EM799" s="43"/>
      <c r="EN799" s="43"/>
      <c r="EO799" s="43"/>
      <c r="EP799" s="43"/>
      <c r="EQ799" s="43"/>
      <c r="ER799" s="43"/>
      <c r="ES799" s="43"/>
      <c r="ET799" s="43"/>
      <c r="EU799" s="43"/>
      <c r="EV799" s="43"/>
      <c r="EW799" s="43"/>
      <c r="EX799" s="43"/>
      <c r="EY799" s="43"/>
      <c r="EZ799" s="43"/>
      <c r="FA799" s="43"/>
      <c r="FB799" s="43"/>
      <c r="FC799" s="43"/>
      <c r="FD799" s="43"/>
      <c r="FE799" s="43"/>
      <c r="FF799" s="43"/>
      <c r="FG799" s="43"/>
      <c r="FH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43"/>
      <c r="BP800" s="43"/>
      <c r="BQ800" s="43"/>
      <c r="BR800" s="43"/>
      <c r="BS800" s="43"/>
      <c r="BT800" s="43"/>
      <c r="BU800" s="43"/>
      <c r="BV800" s="43"/>
      <c r="BW800" s="43"/>
      <c r="BX800" s="43"/>
      <c r="BY800" s="43"/>
      <c r="BZ800" s="43"/>
      <c r="CA800" s="43"/>
      <c r="CB800" s="43"/>
      <c r="CC800" s="43"/>
      <c r="CD800" s="43"/>
      <c r="CE800" s="43"/>
      <c r="CF800" s="43"/>
      <c r="CG800" s="43"/>
      <c r="CH800" s="43"/>
      <c r="CI800" s="43"/>
      <c r="CJ800" s="43"/>
      <c r="CK800" s="43"/>
      <c r="CL800" s="43"/>
      <c r="CM800" s="43"/>
      <c r="CN800" s="43"/>
      <c r="CO800" s="43"/>
      <c r="CP800" s="43"/>
      <c r="CQ800" s="43"/>
      <c r="CR800" s="43"/>
      <c r="CS800" s="43"/>
      <c r="CT800" s="43"/>
      <c r="CU800" s="43"/>
      <c r="CV800" s="43"/>
      <c r="CW800" s="43"/>
      <c r="CX800" s="43"/>
      <c r="CY800" s="43"/>
      <c r="CZ800" s="43"/>
      <c r="DA800" s="43"/>
      <c r="DB800" s="43"/>
      <c r="DC800" s="43"/>
      <c r="DD800" s="43"/>
      <c r="DE800" s="43"/>
      <c r="DF800" s="43"/>
      <c r="DG800" s="43"/>
      <c r="DH800" s="43"/>
      <c r="DI800" s="43"/>
      <c r="DJ800" s="43"/>
      <c r="DK800" s="43"/>
      <c r="DL800" s="43"/>
      <c r="DM800" s="43"/>
      <c r="DN800" s="43"/>
      <c r="DO800" s="43"/>
      <c r="DP800" s="43"/>
      <c r="DQ800" s="43"/>
      <c r="DR800" s="43"/>
      <c r="DS800" s="43"/>
      <c r="DT800" s="43"/>
      <c r="DU800" s="43"/>
      <c r="DV800" s="43"/>
      <c r="DW800" s="43"/>
      <c r="DX800" s="43"/>
      <c r="DY800" s="43"/>
      <c r="DZ800" s="43"/>
      <c r="EA800" s="43"/>
      <c r="EB800" s="43"/>
      <c r="EC800" s="43"/>
      <c r="ED800" s="43"/>
      <c r="EE800" s="43"/>
      <c r="EF800" s="43"/>
      <c r="EG800" s="43"/>
      <c r="EH800" s="43"/>
      <c r="EI800" s="43"/>
      <c r="EJ800" s="43"/>
      <c r="EK800" s="43"/>
      <c r="EL800" s="43"/>
      <c r="EM800" s="43"/>
      <c r="EN800" s="43"/>
      <c r="EO800" s="43"/>
      <c r="EP800" s="43"/>
      <c r="EQ800" s="43"/>
      <c r="ER800" s="43"/>
      <c r="ES800" s="43"/>
      <c r="ET800" s="43"/>
      <c r="EU800" s="43"/>
      <c r="EV800" s="43"/>
      <c r="EW800" s="43"/>
      <c r="EX800" s="43"/>
      <c r="EY800" s="43"/>
      <c r="EZ800" s="43"/>
      <c r="FA800" s="43"/>
      <c r="FB800" s="43"/>
      <c r="FC800" s="43"/>
      <c r="FD800" s="43"/>
      <c r="FE800" s="43"/>
      <c r="FF800" s="43"/>
      <c r="FG800" s="43"/>
      <c r="FH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43"/>
      <c r="BP801" s="43"/>
      <c r="BQ801" s="43"/>
      <c r="BR801" s="43"/>
      <c r="BS801" s="43"/>
      <c r="BT801" s="43"/>
      <c r="BU801" s="43"/>
      <c r="BV801" s="43"/>
      <c r="BW801" s="43"/>
      <c r="BX801" s="43"/>
      <c r="BY801" s="43"/>
      <c r="BZ801" s="43"/>
      <c r="CA801" s="43"/>
      <c r="CB801" s="43"/>
      <c r="CC801" s="43"/>
      <c r="CD801" s="43"/>
      <c r="CE801" s="43"/>
      <c r="CF801" s="43"/>
      <c r="CG801" s="43"/>
      <c r="CH801" s="43"/>
      <c r="CI801" s="43"/>
      <c r="CJ801" s="43"/>
      <c r="CK801" s="43"/>
      <c r="CL801" s="43"/>
      <c r="CM801" s="43"/>
      <c r="CN801" s="43"/>
      <c r="CO801" s="43"/>
      <c r="CP801" s="43"/>
      <c r="CQ801" s="43"/>
      <c r="CR801" s="43"/>
      <c r="CS801" s="43"/>
      <c r="CT801" s="43"/>
      <c r="CU801" s="43"/>
      <c r="CV801" s="43"/>
      <c r="CW801" s="43"/>
      <c r="CX801" s="43"/>
      <c r="CY801" s="43"/>
      <c r="CZ801" s="43"/>
      <c r="DA801" s="43"/>
      <c r="DB801" s="43"/>
      <c r="DC801" s="43"/>
      <c r="DD801" s="43"/>
      <c r="DE801" s="43"/>
      <c r="DF801" s="43"/>
      <c r="DG801" s="43"/>
      <c r="DH801" s="43"/>
      <c r="DI801" s="43"/>
      <c r="DJ801" s="43"/>
      <c r="DK801" s="43"/>
      <c r="DL801" s="43"/>
      <c r="DM801" s="43"/>
      <c r="DN801" s="43"/>
      <c r="DO801" s="43"/>
      <c r="DP801" s="43"/>
      <c r="DQ801" s="43"/>
      <c r="DR801" s="43"/>
      <c r="DS801" s="43"/>
      <c r="DT801" s="43"/>
      <c r="DU801" s="43"/>
      <c r="DV801" s="43"/>
      <c r="DW801" s="43"/>
      <c r="DX801" s="43"/>
      <c r="DY801" s="43"/>
      <c r="DZ801" s="43"/>
      <c r="EA801" s="43"/>
      <c r="EB801" s="43"/>
      <c r="EC801" s="43"/>
      <c r="ED801" s="43"/>
      <c r="EE801" s="43"/>
      <c r="EF801" s="43"/>
      <c r="EG801" s="43"/>
      <c r="EH801" s="43"/>
      <c r="EI801" s="43"/>
      <c r="EJ801" s="43"/>
      <c r="EK801" s="43"/>
      <c r="EL801" s="43"/>
      <c r="EM801" s="43"/>
      <c r="EN801" s="43"/>
      <c r="EO801" s="43"/>
      <c r="EP801" s="43"/>
      <c r="EQ801" s="43"/>
      <c r="ER801" s="43"/>
      <c r="ES801" s="43"/>
      <c r="ET801" s="43"/>
      <c r="EU801" s="43"/>
      <c r="EV801" s="43"/>
      <c r="EW801" s="43"/>
      <c r="EX801" s="43"/>
      <c r="EY801" s="43"/>
      <c r="EZ801" s="43"/>
      <c r="FA801" s="43"/>
      <c r="FB801" s="43"/>
      <c r="FC801" s="43"/>
      <c r="FD801" s="43"/>
      <c r="FE801" s="43"/>
      <c r="FF801" s="43"/>
      <c r="FG801" s="43"/>
      <c r="FH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43"/>
      <c r="BP802" s="43"/>
      <c r="BQ802" s="43"/>
      <c r="BR802" s="43"/>
      <c r="BS802" s="43"/>
      <c r="BT802" s="43"/>
      <c r="BU802" s="43"/>
      <c r="BV802" s="43"/>
      <c r="BW802" s="43"/>
      <c r="BX802" s="43"/>
      <c r="BY802" s="43"/>
      <c r="BZ802" s="43"/>
      <c r="CA802" s="43"/>
      <c r="CB802" s="43"/>
      <c r="CC802" s="43"/>
      <c r="CD802" s="43"/>
      <c r="CE802" s="43"/>
      <c r="CF802" s="43"/>
      <c r="CG802" s="43"/>
      <c r="CH802" s="43"/>
      <c r="CI802" s="43"/>
      <c r="CJ802" s="43"/>
      <c r="CK802" s="43"/>
      <c r="CL802" s="43"/>
      <c r="CM802" s="43"/>
      <c r="CN802" s="43"/>
      <c r="CO802" s="43"/>
      <c r="CP802" s="43"/>
      <c r="CQ802" s="43"/>
      <c r="CR802" s="43"/>
      <c r="CS802" s="43"/>
      <c r="CT802" s="43"/>
      <c r="CU802" s="43"/>
      <c r="CV802" s="43"/>
      <c r="CW802" s="43"/>
      <c r="CX802" s="43"/>
      <c r="CY802" s="43"/>
      <c r="CZ802" s="43"/>
      <c r="DA802" s="43"/>
      <c r="DB802" s="43"/>
      <c r="DC802" s="43"/>
      <c r="DD802" s="43"/>
      <c r="DE802" s="43"/>
      <c r="DF802" s="43"/>
      <c r="DG802" s="43"/>
      <c r="DH802" s="43"/>
      <c r="DI802" s="43"/>
      <c r="DJ802" s="43"/>
      <c r="DK802" s="43"/>
      <c r="DL802" s="43"/>
      <c r="DM802" s="43"/>
      <c r="DN802" s="43"/>
      <c r="DO802" s="43"/>
      <c r="DP802" s="43"/>
      <c r="DQ802" s="43"/>
      <c r="DR802" s="43"/>
      <c r="DS802" s="43"/>
      <c r="DT802" s="43"/>
      <c r="DU802" s="43"/>
      <c r="DV802" s="43"/>
      <c r="DW802" s="43"/>
      <c r="DX802" s="43"/>
      <c r="DY802" s="43"/>
      <c r="DZ802" s="43"/>
      <c r="EA802" s="43"/>
      <c r="EB802" s="43"/>
      <c r="EC802" s="43"/>
      <c r="ED802" s="43"/>
      <c r="EE802" s="43"/>
      <c r="EF802" s="43"/>
      <c r="EG802" s="43"/>
      <c r="EH802" s="43"/>
      <c r="EI802" s="43"/>
      <c r="EJ802" s="43"/>
      <c r="EK802" s="43"/>
      <c r="EL802" s="43"/>
      <c r="EM802" s="43"/>
      <c r="EN802" s="43"/>
      <c r="EO802" s="43"/>
      <c r="EP802" s="43"/>
      <c r="EQ802" s="43"/>
      <c r="ER802" s="43"/>
      <c r="ES802" s="43"/>
      <c r="ET802" s="43"/>
      <c r="EU802" s="43"/>
      <c r="EV802" s="43"/>
      <c r="EW802" s="43"/>
      <c r="EX802" s="43"/>
      <c r="EY802" s="43"/>
      <c r="EZ802" s="43"/>
      <c r="FA802" s="43"/>
      <c r="FB802" s="43"/>
      <c r="FC802" s="43"/>
      <c r="FD802" s="43"/>
      <c r="FE802" s="43"/>
      <c r="FF802" s="43"/>
      <c r="FG802" s="43"/>
      <c r="FH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43"/>
      <c r="BP803" s="43"/>
      <c r="BQ803" s="43"/>
      <c r="BR803" s="43"/>
      <c r="BS803" s="43"/>
      <c r="BT803" s="43"/>
      <c r="BU803" s="43"/>
      <c r="BV803" s="43"/>
      <c r="BW803" s="43"/>
      <c r="BX803" s="43"/>
      <c r="BY803" s="43"/>
      <c r="BZ803" s="43"/>
      <c r="CA803" s="43"/>
      <c r="CB803" s="43"/>
      <c r="CC803" s="43"/>
      <c r="CD803" s="43"/>
      <c r="CE803" s="43"/>
      <c r="CF803" s="43"/>
      <c r="CG803" s="43"/>
      <c r="CH803" s="43"/>
      <c r="CI803" s="43"/>
      <c r="CJ803" s="43"/>
      <c r="CK803" s="43"/>
      <c r="CL803" s="43"/>
      <c r="CM803" s="43"/>
      <c r="CN803" s="43"/>
      <c r="CO803" s="43"/>
      <c r="CP803" s="43"/>
      <c r="CQ803" s="43"/>
      <c r="CR803" s="43"/>
      <c r="CS803" s="43"/>
      <c r="CT803" s="43"/>
      <c r="CU803" s="43"/>
      <c r="CV803" s="43"/>
      <c r="CW803" s="43"/>
      <c r="CX803" s="43"/>
      <c r="CY803" s="43"/>
      <c r="CZ803" s="43"/>
      <c r="DA803" s="43"/>
      <c r="DB803" s="43"/>
      <c r="DC803" s="43"/>
      <c r="DD803" s="43"/>
      <c r="DE803" s="43"/>
      <c r="DF803" s="43"/>
      <c r="DG803" s="43"/>
      <c r="DH803" s="43"/>
      <c r="DI803" s="43"/>
      <c r="DJ803" s="43"/>
      <c r="DK803" s="43"/>
      <c r="DL803" s="43"/>
      <c r="DM803" s="43"/>
      <c r="DN803" s="43"/>
      <c r="DO803" s="43"/>
      <c r="DP803" s="43"/>
      <c r="DQ803" s="43"/>
      <c r="DR803" s="43"/>
      <c r="DS803" s="43"/>
      <c r="DT803" s="43"/>
      <c r="DU803" s="43"/>
      <c r="DV803" s="43"/>
      <c r="DW803" s="43"/>
      <c r="DX803" s="43"/>
      <c r="DY803" s="43"/>
      <c r="DZ803" s="43"/>
      <c r="EA803" s="43"/>
      <c r="EB803" s="43"/>
      <c r="EC803" s="43"/>
      <c r="ED803" s="43"/>
      <c r="EE803" s="43"/>
      <c r="EF803" s="43"/>
      <c r="EG803" s="43"/>
      <c r="EH803" s="43"/>
      <c r="EI803" s="43"/>
      <c r="EJ803" s="43"/>
      <c r="EK803" s="43"/>
      <c r="EL803" s="43"/>
      <c r="EM803" s="43"/>
      <c r="EN803" s="43"/>
      <c r="EO803" s="43"/>
      <c r="EP803" s="43"/>
      <c r="EQ803" s="43"/>
      <c r="ER803" s="43"/>
      <c r="ES803" s="43"/>
      <c r="ET803" s="43"/>
      <c r="EU803" s="43"/>
      <c r="EV803" s="43"/>
      <c r="EW803" s="43"/>
      <c r="EX803" s="43"/>
      <c r="EY803" s="43"/>
      <c r="EZ803" s="43"/>
      <c r="FA803" s="43"/>
      <c r="FB803" s="43"/>
      <c r="FC803" s="43"/>
      <c r="FD803" s="43"/>
      <c r="FE803" s="43"/>
      <c r="FF803" s="43"/>
      <c r="FG803" s="43"/>
      <c r="FH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43"/>
      <c r="BP804" s="43"/>
      <c r="BQ804" s="43"/>
      <c r="BR804" s="43"/>
      <c r="BS804" s="43"/>
      <c r="BT804" s="43"/>
      <c r="BU804" s="43"/>
      <c r="BV804" s="43"/>
      <c r="BW804" s="43"/>
      <c r="BX804" s="43"/>
      <c r="BY804" s="43"/>
      <c r="BZ804" s="43"/>
      <c r="CA804" s="43"/>
      <c r="CB804" s="43"/>
      <c r="CC804" s="43"/>
      <c r="CD804" s="43"/>
      <c r="CE804" s="43"/>
      <c r="CF804" s="43"/>
      <c r="CG804" s="43"/>
      <c r="CH804" s="43"/>
      <c r="CI804" s="43"/>
      <c r="CJ804" s="43"/>
      <c r="CK804" s="43"/>
      <c r="CL804" s="43"/>
      <c r="CM804" s="43"/>
      <c r="CN804" s="43"/>
      <c r="CO804" s="43"/>
      <c r="CP804" s="43"/>
      <c r="CQ804" s="43"/>
      <c r="CR804" s="43"/>
      <c r="CS804" s="43"/>
      <c r="CT804" s="43"/>
      <c r="CU804" s="43"/>
      <c r="CV804" s="43"/>
      <c r="CW804" s="43"/>
      <c r="CX804" s="43"/>
      <c r="CY804" s="43"/>
      <c r="CZ804" s="43"/>
      <c r="DA804" s="43"/>
      <c r="DB804" s="43"/>
      <c r="DC804" s="43"/>
      <c r="DD804" s="43"/>
      <c r="DE804" s="43"/>
      <c r="DF804" s="43"/>
      <c r="DG804" s="43"/>
      <c r="DH804" s="43"/>
      <c r="DI804" s="43"/>
      <c r="DJ804" s="43"/>
      <c r="DK804" s="43"/>
      <c r="DL804" s="43"/>
      <c r="DM804" s="43"/>
      <c r="DN804" s="43"/>
      <c r="DO804" s="43"/>
      <c r="DP804" s="43"/>
      <c r="DQ804" s="43"/>
      <c r="DR804" s="43"/>
      <c r="DS804" s="43"/>
      <c r="DT804" s="43"/>
      <c r="DU804" s="43"/>
      <c r="DV804" s="43"/>
      <c r="DW804" s="43"/>
      <c r="DX804" s="43"/>
      <c r="DY804" s="43"/>
      <c r="DZ804" s="43"/>
      <c r="EA804" s="43"/>
      <c r="EB804" s="43"/>
      <c r="EC804" s="43"/>
      <c r="ED804" s="43"/>
      <c r="EE804" s="43"/>
      <c r="EF804" s="43"/>
      <c r="EG804" s="43"/>
      <c r="EH804" s="43"/>
      <c r="EI804" s="43"/>
      <c r="EJ804" s="43"/>
      <c r="EK804" s="43"/>
      <c r="EL804" s="43"/>
      <c r="EM804" s="43"/>
      <c r="EN804" s="43"/>
      <c r="EO804" s="43"/>
      <c r="EP804" s="43"/>
      <c r="EQ804" s="43"/>
      <c r="ER804" s="43"/>
      <c r="ES804" s="43"/>
      <c r="ET804" s="43"/>
      <c r="EU804" s="43"/>
      <c r="EV804" s="43"/>
      <c r="EW804" s="43"/>
      <c r="EX804" s="43"/>
      <c r="EY804" s="43"/>
      <c r="EZ804" s="43"/>
      <c r="FA804" s="43"/>
      <c r="FB804" s="43"/>
      <c r="FC804" s="43"/>
      <c r="FD804" s="43"/>
      <c r="FE804" s="43"/>
      <c r="FF804" s="43"/>
      <c r="FG804" s="43"/>
      <c r="FH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43"/>
      <c r="BP805" s="43"/>
      <c r="BQ805" s="43"/>
      <c r="BR805" s="43"/>
      <c r="BS805" s="43"/>
      <c r="BT805" s="43"/>
      <c r="BU805" s="43"/>
      <c r="BV805" s="43"/>
      <c r="BW805" s="43"/>
      <c r="BX805" s="43"/>
      <c r="BY805" s="43"/>
      <c r="BZ805" s="43"/>
      <c r="CA805" s="43"/>
      <c r="CB805" s="43"/>
      <c r="CC805" s="43"/>
      <c r="CD805" s="43"/>
      <c r="CE805" s="43"/>
      <c r="CF805" s="43"/>
      <c r="CG805" s="43"/>
      <c r="CH805" s="43"/>
      <c r="CI805" s="43"/>
      <c r="CJ805" s="43"/>
      <c r="CK805" s="43"/>
      <c r="CL805" s="43"/>
      <c r="CM805" s="43"/>
      <c r="CN805" s="43"/>
      <c r="CO805" s="43"/>
      <c r="CP805" s="43"/>
      <c r="CQ805" s="43"/>
      <c r="CR805" s="43"/>
      <c r="CS805" s="43"/>
      <c r="CT805" s="43"/>
      <c r="CU805" s="43"/>
      <c r="CV805" s="43"/>
      <c r="CW805" s="43"/>
      <c r="CX805" s="43"/>
      <c r="CY805" s="43"/>
      <c r="CZ805" s="43"/>
      <c r="DA805" s="43"/>
      <c r="DB805" s="43"/>
      <c r="DC805" s="43"/>
      <c r="DD805" s="43"/>
      <c r="DE805" s="43"/>
      <c r="DF805" s="43"/>
      <c r="DG805" s="43"/>
      <c r="DH805" s="43"/>
      <c r="DI805" s="43"/>
      <c r="DJ805" s="43"/>
      <c r="DK805" s="43"/>
      <c r="DL805" s="43"/>
      <c r="DM805" s="43"/>
      <c r="DN805" s="43"/>
      <c r="DO805" s="43"/>
      <c r="DP805" s="43"/>
      <c r="DQ805" s="43"/>
      <c r="DR805" s="43"/>
      <c r="DS805" s="43"/>
      <c r="DT805" s="43"/>
      <c r="DU805" s="43"/>
      <c r="DV805" s="43"/>
      <c r="DW805" s="43"/>
      <c r="DX805" s="43"/>
      <c r="DY805" s="43"/>
      <c r="DZ805" s="43"/>
      <c r="EA805" s="43"/>
      <c r="EB805" s="43"/>
      <c r="EC805" s="43"/>
      <c r="ED805" s="43"/>
      <c r="EE805" s="43"/>
      <c r="EF805" s="43"/>
      <c r="EG805" s="43"/>
      <c r="EH805" s="43"/>
      <c r="EI805" s="43"/>
      <c r="EJ805" s="43"/>
      <c r="EK805" s="43"/>
      <c r="EL805" s="43"/>
      <c r="EM805" s="43"/>
      <c r="EN805" s="43"/>
      <c r="EO805" s="43"/>
      <c r="EP805" s="43"/>
      <c r="EQ805" s="43"/>
      <c r="ER805" s="43"/>
      <c r="ES805" s="43"/>
      <c r="ET805" s="43"/>
      <c r="EU805" s="43"/>
      <c r="EV805" s="43"/>
      <c r="EW805" s="43"/>
      <c r="EX805" s="43"/>
      <c r="EY805" s="43"/>
      <c r="EZ805" s="43"/>
      <c r="FA805" s="43"/>
      <c r="FB805" s="43"/>
      <c r="FC805" s="43"/>
      <c r="FD805" s="43"/>
      <c r="FE805" s="43"/>
      <c r="FF805" s="43"/>
      <c r="FG805" s="43"/>
      <c r="FH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43"/>
      <c r="BP806" s="43"/>
      <c r="BQ806" s="43"/>
      <c r="BR806" s="43"/>
      <c r="BS806" s="43"/>
      <c r="BT806" s="43"/>
      <c r="BU806" s="43"/>
      <c r="BV806" s="43"/>
      <c r="BW806" s="43"/>
      <c r="BX806" s="43"/>
      <c r="BY806" s="43"/>
      <c r="BZ806" s="43"/>
      <c r="CA806" s="43"/>
      <c r="CB806" s="43"/>
      <c r="CC806" s="43"/>
      <c r="CD806" s="43"/>
      <c r="CE806" s="43"/>
      <c r="CF806" s="43"/>
      <c r="CG806" s="43"/>
      <c r="CH806" s="43"/>
      <c r="CI806" s="43"/>
      <c r="CJ806" s="43"/>
      <c r="CK806" s="43"/>
      <c r="CL806" s="43"/>
      <c r="CM806" s="43"/>
      <c r="CN806" s="43"/>
      <c r="CO806" s="43"/>
      <c r="CP806" s="43"/>
      <c r="CQ806" s="43"/>
      <c r="CR806" s="43"/>
      <c r="CS806" s="43"/>
      <c r="CT806" s="43"/>
      <c r="CU806" s="43"/>
      <c r="CV806" s="43"/>
      <c r="CW806" s="43"/>
      <c r="CX806" s="43"/>
      <c r="CY806" s="43"/>
      <c r="CZ806" s="43"/>
      <c r="DA806" s="43"/>
      <c r="DB806" s="43"/>
      <c r="DC806" s="43"/>
      <c r="DD806" s="43"/>
      <c r="DE806" s="43"/>
      <c r="DF806" s="43"/>
      <c r="DG806" s="43"/>
      <c r="DH806" s="43"/>
      <c r="DI806" s="43"/>
      <c r="DJ806" s="43"/>
      <c r="DK806" s="43"/>
      <c r="DL806" s="43"/>
      <c r="DM806" s="43"/>
      <c r="DN806" s="43"/>
      <c r="DO806" s="43"/>
      <c r="DP806" s="43"/>
      <c r="DQ806" s="43"/>
      <c r="DR806" s="43"/>
      <c r="DS806" s="43"/>
      <c r="DT806" s="43"/>
      <c r="DU806" s="43"/>
      <c r="DV806" s="43"/>
      <c r="DW806" s="43"/>
      <c r="DX806" s="43"/>
      <c r="DY806" s="43"/>
      <c r="DZ806" s="43"/>
      <c r="EA806" s="43"/>
      <c r="EB806" s="43"/>
      <c r="EC806" s="43"/>
      <c r="ED806" s="43"/>
      <c r="EE806" s="43"/>
      <c r="EF806" s="43"/>
      <c r="EG806" s="43"/>
      <c r="EH806" s="43"/>
      <c r="EI806" s="43"/>
      <c r="EJ806" s="43"/>
      <c r="EK806" s="43"/>
      <c r="EL806" s="43"/>
      <c r="EM806" s="43"/>
      <c r="EN806" s="43"/>
      <c r="EO806" s="43"/>
      <c r="EP806" s="43"/>
      <c r="EQ806" s="43"/>
      <c r="ER806" s="43"/>
      <c r="ES806" s="43"/>
      <c r="ET806" s="43"/>
      <c r="EU806" s="43"/>
      <c r="EV806" s="43"/>
      <c r="EW806" s="43"/>
      <c r="EX806" s="43"/>
      <c r="EY806" s="43"/>
      <c r="EZ806" s="43"/>
      <c r="FA806" s="43"/>
      <c r="FB806" s="43"/>
      <c r="FC806" s="43"/>
      <c r="FD806" s="43"/>
      <c r="FE806" s="43"/>
      <c r="FF806" s="43"/>
      <c r="FG806" s="43"/>
      <c r="FH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43"/>
      <c r="BP807" s="43"/>
      <c r="BQ807" s="43"/>
      <c r="BR807" s="43"/>
      <c r="BS807" s="43"/>
      <c r="BT807" s="43"/>
      <c r="BU807" s="43"/>
      <c r="BV807" s="43"/>
      <c r="BW807" s="43"/>
      <c r="BX807" s="43"/>
      <c r="BY807" s="43"/>
      <c r="BZ807" s="43"/>
      <c r="CA807" s="43"/>
      <c r="CB807" s="43"/>
      <c r="CC807" s="43"/>
      <c r="CD807" s="43"/>
      <c r="CE807" s="43"/>
      <c r="CF807" s="43"/>
      <c r="CG807" s="43"/>
      <c r="CH807" s="43"/>
      <c r="CI807" s="43"/>
      <c r="CJ807" s="43"/>
      <c r="CK807" s="43"/>
      <c r="CL807" s="43"/>
      <c r="CM807" s="43"/>
      <c r="CN807" s="43"/>
      <c r="CO807" s="43"/>
      <c r="CP807" s="43"/>
      <c r="CQ807" s="43"/>
      <c r="CR807" s="43"/>
      <c r="CS807" s="43"/>
      <c r="CT807" s="43"/>
      <c r="CU807" s="43"/>
      <c r="CV807" s="43"/>
      <c r="CW807" s="43"/>
      <c r="CX807" s="43"/>
      <c r="CY807" s="43"/>
      <c r="CZ807" s="43"/>
      <c r="DA807" s="43"/>
      <c r="DB807" s="43"/>
      <c r="DC807" s="43"/>
      <c r="DD807" s="43"/>
      <c r="DE807" s="43"/>
      <c r="DF807" s="43"/>
      <c r="DG807" s="43"/>
      <c r="DH807" s="43"/>
      <c r="DI807" s="43"/>
      <c r="DJ807" s="43"/>
      <c r="DK807" s="43"/>
      <c r="DL807" s="43"/>
      <c r="DM807" s="43"/>
      <c r="DN807" s="43"/>
      <c r="DO807" s="43"/>
      <c r="DP807" s="43"/>
      <c r="DQ807" s="43"/>
      <c r="DR807" s="43"/>
      <c r="DS807" s="43"/>
      <c r="DT807" s="43"/>
      <c r="DU807" s="43"/>
      <c r="DV807" s="43"/>
      <c r="DW807" s="43"/>
      <c r="DX807" s="43"/>
      <c r="DY807" s="43"/>
      <c r="DZ807" s="43"/>
      <c r="EA807" s="43"/>
      <c r="EB807" s="43"/>
      <c r="EC807" s="43"/>
      <c r="ED807" s="43"/>
      <c r="EE807" s="43"/>
      <c r="EF807" s="43"/>
      <c r="EG807" s="43"/>
      <c r="EH807" s="43"/>
      <c r="EI807" s="43"/>
      <c r="EJ807" s="43"/>
      <c r="EK807" s="43"/>
      <c r="EL807" s="43"/>
      <c r="EM807" s="43"/>
      <c r="EN807" s="43"/>
      <c r="EO807" s="43"/>
      <c r="EP807" s="43"/>
      <c r="EQ807" s="43"/>
      <c r="ER807" s="43"/>
      <c r="ES807" s="43"/>
      <c r="ET807" s="43"/>
      <c r="EU807" s="43"/>
      <c r="EV807" s="43"/>
      <c r="EW807" s="43"/>
      <c r="EX807" s="43"/>
      <c r="EY807" s="43"/>
      <c r="EZ807" s="43"/>
      <c r="FA807" s="43"/>
      <c r="FB807" s="43"/>
      <c r="FC807" s="43"/>
      <c r="FD807" s="43"/>
      <c r="FE807" s="43"/>
      <c r="FF807" s="43"/>
      <c r="FG807" s="43"/>
      <c r="FH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43"/>
      <c r="BP808" s="43"/>
      <c r="BQ808" s="43"/>
      <c r="BR808" s="43"/>
      <c r="BS808" s="43"/>
      <c r="BT808" s="43"/>
      <c r="BU808" s="43"/>
      <c r="BV808" s="43"/>
      <c r="BW808" s="43"/>
      <c r="BX808" s="43"/>
      <c r="BY808" s="43"/>
      <c r="BZ808" s="43"/>
      <c r="CA808" s="43"/>
      <c r="CB808" s="43"/>
      <c r="CC808" s="43"/>
      <c r="CD808" s="43"/>
      <c r="CE808" s="43"/>
      <c r="CF808" s="43"/>
      <c r="CG808" s="43"/>
      <c r="CH808" s="43"/>
      <c r="CI808" s="43"/>
      <c r="CJ808" s="43"/>
      <c r="CK808" s="43"/>
      <c r="CL808" s="43"/>
      <c r="CM808" s="43"/>
      <c r="CN808" s="43"/>
      <c r="CO808" s="43"/>
      <c r="CP808" s="43"/>
      <c r="CQ808" s="43"/>
      <c r="CR808" s="43"/>
      <c r="CS808" s="43"/>
      <c r="CT808" s="43"/>
      <c r="CU808" s="43"/>
      <c r="CV808" s="43"/>
      <c r="CW808" s="43"/>
      <c r="CX808" s="43"/>
      <c r="CY808" s="43"/>
      <c r="CZ808" s="43"/>
      <c r="DA808" s="43"/>
      <c r="DB808" s="43"/>
      <c r="DC808" s="43"/>
      <c r="DD808" s="43"/>
      <c r="DE808" s="43"/>
      <c r="DF808" s="43"/>
      <c r="DG808" s="43"/>
      <c r="DH808" s="43"/>
      <c r="DI808" s="43"/>
      <c r="DJ808" s="43"/>
      <c r="DK808" s="43"/>
      <c r="DL808" s="43"/>
      <c r="DM808" s="43"/>
      <c r="DN808" s="43"/>
      <c r="DO808" s="43"/>
      <c r="DP808" s="43"/>
      <c r="DQ808" s="43"/>
      <c r="DR808" s="43"/>
      <c r="DS808" s="43"/>
      <c r="DT808" s="43"/>
      <c r="DU808" s="43"/>
      <c r="DV808" s="43"/>
      <c r="DW808" s="43"/>
      <c r="DX808" s="43"/>
      <c r="DY808" s="43"/>
      <c r="DZ808" s="43"/>
      <c r="EA808" s="43"/>
      <c r="EB808" s="43"/>
      <c r="EC808" s="43"/>
      <c r="ED808" s="43"/>
      <c r="EE808" s="43"/>
      <c r="EF808" s="43"/>
      <c r="EG808" s="43"/>
      <c r="EH808" s="43"/>
      <c r="EI808" s="43"/>
      <c r="EJ808" s="43"/>
      <c r="EK808" s="43"/>
      <c r="EL808" s="43"/>
      <c r="EM808" s="43"/>
      <c r="EN808" s="43"/>
      <c r="EO808" s="43"/>
      <c r="EP808" s="43"/>
      <c r="EQ808" s="43"/>
      <c r="ER808" s="43"/>
      <c r="ES808" s="43"/>
      <c r="ET808" s="43"/>
      <c r="EU808" s="43"/>
      <c r="EV808" s="43"/>
      <c r="EW808" s="43"/>
      <c r="EX808" s="43"/>
      <c r="EY808" s="43"/>
      <c r="EZ808" s="43"/>
      <c r="FA808" s="43"/>
      <c r="FB808" s="43"/>
      <c r="FC808" s="43"/>
      <c r="FD808" s="43"/>
      <c r="FE808" s="43"/>
      <c r="FF808" s="43"/>
      <c r="FG808" s="43"/>
      <c r="FH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43"/>
      <c r="BP809" s="43"/>
      <c r="BQ809" s="43"/>
      <c r="BR809" s="43"/>
      <c r="BS809" s="43"/>
      <c r="BT809" s="43"/>
      <c r="BU809" s="43"/>
      <c r="BV809" s="43"/>
      <c r="BW809" s="43"/>
      <c r="BX809" s="43"/>
      <c r="BY809" s="43"/>
      <c r="BZ809" s="43"/>
      <c r="CA809" s="43"/>
      <c r="CB809" s="43"/>
      <c r="CC809" s="43"/>
      <c r="CD809" s="43"/>
      <c r="CE809" s="43"/>
      <c r="CF809" s="43"/>
      <c r="CG809" s="43"/>
      <c r="CH809" s="43"/>
      <c r="CI809" s="43"/>
      <c r="CJ809" s="43"/>
      <c r="CK809" s="43"/>
      <c r="CL809" s="43"/>
      <c r="CM809" s="43"/>
      <c r="CN809" s="43"/>
      <c r="CO809" s="43"/>
      <c r="CP809" s="43"/>
      <c r="CQ809" s="43"/>
      <c r="CR809" s="43"/>
      <c r="CS809" s="43"/>
      <c r="CT809" s="43"/>
      <c r="CU809" s="43"/>
      <c r="CV809" s="43"/>
      <c r="CW809" s="43"/>
      <c r="CX809" s="43"/>
      <c r="CY809" s="43"/>
      <c r="CZ809" s="43"/>
      <c r="DA809" s="43"/>
      <c r="DB809" s="43"/>
      <c r="DC809" s="43"/>
      <c r="DD809" s="43"/>
      <c r="DE809" s="43"/>
      <c r="DF809" s="43"/>
      <c r="DG809" s="43"/>
      <c r="DH809" s="43"/>
      <c r="DI809" s="43"/>
      <c r="DJ809" s="43"/>
      <c r="DK809" s="43"/>
      <c r="DL809" s="43"/>
      <c r="DM809" s="43"/>
      <c r="DN809" s="43"/>
      <c r="DO809" s="43"/>
      <c r="DP809" s="43"/>
      <c r="DQ809" s="43"/>
      <c r="DR809" s="43"/>
      <c r="DS809" s="43"/>
      <c r="DT809" s="43"/>
      <c r="DU809" s="43"/>
      <c r="DV809" s="43"/>
      <c r="DW809" s="43"/>
      <c r="DX809" s="43"/>
      <c r="DY809" s="43"/>
      <c r="DZ809" s="43"/>
      <c r="EA809" s="43"/>
      <c r="EB809" s="43"/>
      <c r="EC809" s="43"/>
      <c r="ED809" s="43"/>
      <c r="EE809" s="43"/>
      <c r="EF809" s="43"/>
      <c r="EG809" s="43"/>
      <c r="EH809" s="43"/>
      <c r="EI809" s="43"/>
      <c r="EJ809" s="43"/>
      <c r="EK809" s="43"/>
      <c r="EL809" s="43"/>
      <c r="EM809" s="43"/>
      <c r="EN809" s="43"/>
      <c r="EO809" s="43"/>
      <c r="EP809" s="43"/>
      <c r="EQ809" s="43"/>
      <c r="ER809" s="43"/>
      <c r="ES809" s="43"/>
      <c r="ET809" s="43"/>
      <c r="EU809" s="43"/>
      <c r="EV809" s="43"/>
      <c r="EW809" s="43"/>
      <c r="EX809" s="43"/>
      <c r="EY809" s="43"/>
      <c r="EZ809" s="43"/>
      <c r="FA809" s="43"/>
      <c r="FB809" s="43"/>
      <c r="FC809" s="43"/>
      <c r="FD809" s="43"/>
      <c r="FE809" s="43"/>
      <c r="FF809" s="43"/>
      <c r="FG809" s="43"/>
      <c r="FH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43"/>
      <c r="BP810" s="43"/>
      <c r="BQ810" s="43"/>
      <c r="BR810" s="43"/>
      <c r="BS810" s="43"/>
      <c r="BT810" s="43"/>
      <c r="BU810" s="43"/>
      <c r="BV810" s="43"/>
      <c r="BW810" s="43"/>
      <c r="BX810" s="43"/>
      <c r="BY810" s="43"/>
      <c r="BZ810" s="43"/>
      <c r="CA810" s="43"/>
      <c r="CB810" s="43"/>
      <c r="CC810" s="43"/>
      <c r="CD810" s="43"/>
      <c r="CE810" s="43"/>
      <c r="CF810" s="43"/>
      <c r="CG810" s="43"/>
      <c r="CH810" s="43"/>
      <c r="CI810" s="43"/>
      <c r="CJ810" s="43"/>
      <c r="CK810" s="43"/>
      <c r="CL810" s="43"/>
      <c r="CM810" s="43"/>
      <c r="CN810" s="43"/>
      <c r="CO810" s="43"/>
      <c r="CP810" s="43"/>
      <c r="CQ810" s="43"/>
      <c r="CR810" s="43"/>
      <c r="CS810" s="43"/>
      <c r="CT810" s="43"/>
      <c r="CU810" s="43"/>
      <c r="CV810" s="43"/>
      <c r="CW810" s="43"/>
      <c r="CX810" s="43"/>
      <c r="CY810" s="43"/>
      <c r="CZ810" s="43"/>
      <c r="DA810" s="43"/>
      <c r="DB810" s="43"/>
      <c r="DC810" s="43"/>
      <c r="DD810" s="43"/>
      <c r="DE810" s="43"/>
      <c r="DF810" s="43"/>
      <c r="DG810" s="43"/>
      <c r="DH810" s="43"/>
      <c r="DI810" s="43"/>
      <c r="DJ810" s="43"/>
      <c r="DK810" s="43"/>
      <c r="DL810" s="43"/>
      <c r="DM810" s="43"/>
      <c r="DN810" s="43"/>
      <c r="DO810" s="43"/>
      <c r="DP810" s="43"/>
      <c r="DQ810" s="43"/>
      <c r="DR810" s="43"/>
      <c r="DS810" s="43"/>
      <c r="DT810" s="43"/>
      <c r="DU810" s="43"/>
      <c r="DV810" s="43"/>
      <c r="DW810" s="43"/>
      <c r="DX810" s="43"/>
      <c r="DY810" s="43"/>
      <c r="DZ810" s="43"/>
      <c r="EA810" s="43"/>
      <c r="EB810" s="43"/>
      <c r="EC810" s="43"/>
      <c r="ED810" s="43"/>
      <c r="EE810" s="43"/>
      <c r="EF810" s="43"/>
      <c r="EG810" s="43"/>
      <c r="EH810" s="43"/>
      <c r="EI810" s="43"/>
      <c r="EJ810" s="43"/>
      <c r="EK810" s="43"/>
      <c r="EL810" s="43"/>
      <c r="EM810" s="43"/>
      <c r="EN810" s="43"/>
      <c r="EO810" s="43"/>
      <c r="EP810" s="43"/>
      <c r="EQ810" s="43"/>
      <c r="ER810" s="43"/>
      <c r="ES810" s="43"/>
      <c r="ET810" s="43"/>
      <c r="EU810" s="43"/>
      <c r="EV810" s="43"/>
      <c r="EW810" s="43"/>
      <c r="EX810" s="43"/>
      <c r="EY810" s="43"/>
      <c r="EZ810" s="43"/>
      <c r="FA810" s="43"/>
      <c r="FB810" s="43"/>
      <c r="FC810" s="43"/>
      <c r="FD810" s="43"/>
      <c r="FE810" s="43"/>
      <c r="FF810" s="43"/>
      <c r="FG810" s="43"/>
      <c r="FH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43"/>
      <c r="BP811" s="43"/>
      <c r="BQ811" s="43"/>
      <c r="BR811" s="43"/>
      <c r="BS811" s="43"/>
      <c r="BT811" s="43"/>
      <c r="BU811" s="43"/>
      <c r="BV811" s="43"/>
      <c r="BW811" s="43"/>
      <c r="BX811" s="43"/>
      <c r="BY811" s="43"/>
      <c r="BZ811" s="43"/>
      <c r="CA811" s="43"/>
      <c r="CB811" s="43"/>
      <c r="CC811" s="43"/>
      <c r="CD811" s="43"/>
      <c r="CE811" s="43"/>
      <c r="CF811" s="43"/>
      <c r="CG811" s="43"/>
      <c r="CH811" s="43"/>
      <c r="CI811" s="43"/>
      <c r="CJ811" s="43"/>
      <c r="CK811" s="43"/>
      <c r="CL811" s="43"/>
      <c r="CM811" s="43"/>
      <c r="CN811" s="43"/>
      <c r="CO811" s="43"/>
      <c r="CP811" s="43"/>
      <c r="CQ811" s="43"/>
      <c r="CR811" s="43"/>
      <c r="CS811" s="43"/>
      <c r="CT811" s="43"/>
      <c r="CU811" s="43"/>
      <c r="CV811" s="43"/>
      <c r="CW811" s="43"/>
      <c r="CX811" s="43"/>
      <c r="CY811" s="43"/>
      <c r="CZ811" s="43"/>
      <c r="DA811" s="43"/>
      <c r="DB811" s="43"/>
      <c r="DC811" s="43"/>
      <c r="DD811" s="43"/>
      <c r="DE811" s="43"/>
      <c r="DF811" s="43"/>
      <c r="DG811" s="43"/>
      <c r="DH811" s="43"/>
      <c r="DI811" s="43"/>
      <c r="DJ811" s="43"/>
      <c r="DK811" s="43"/>
      <c r="DL811" s="43"/>
      <c r="DM811" s="43"/>
      <c r="DN811" s="43"/>
      <c r="DO811" s="43"/>
      <c r="DP811" s="43"/>
      <c r="DQ811" s="43"/>
      <c r="DR811" s="43"/>
      <c r="DS811" s="43"/>
      <c r="DT811" s="43"/>
      <c r="DU811" s="43"/>
      <c r="DV811" s="43"/>
      <c r="DW811" s="43"/>
      <c r="DX811" s="43"/>
      <c r="DY811" s="43"/>
      <c r="DZ811" s="43"/>
      <c r="EA811" s="43"/>
      <c r="EB811" s="43"/>
      <c r="EC811" s="43"/>
      <c r="ED811" s="43"/>
      <c r="EE811" s="43"/>
      <c r="EF811" s="43"/>
      <c r="EG811" s="43"/>
      <c r="EH811" s="43"/>
      <c r="EI811" s="43"/>
      <c r="EJ811" s="43"/>
      <c r="EK811" s="43"/>
      <c r="EL811" s="43"/>
      <c r="EM811" s="43"/>
      <c r="EN811" s="43"/>
      <c r="EO811" s="43"/>
      <c r="EP811" s="43"/>
      <c r="EQ811" s="43"/>
      <c r="ER811" s="43"/>
      <c r="ES811" s="43"/>
      <c r="ET811" s="43"/>
      <c r="EU811" s="43"/>
      <c r="EV811" s="43"/>
      <c r="EW811" s="43"/>
      <c r="EX811" s="43"/>
      <c r="EY811" s="43"/>
      <c r="EZ811" s="43"/>
      <c r="FA811" s="43"/>
      <c r="FB811" s="43"/>
      <c r="FC811" s="43"/>
      <c r="FD811" s="43"/>
      <c r="FE811" s="43"/>
      <c r="FF811" s="43"/>
      <c r="FG811" s="43"/>
      <c r="FH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43"/>
      <c r="BP812" s="43"/>
      <c r="BQ812" s="43"/>
      <c r="BR812" s="43"/>
      <c r="BS812" s="43"/>
      <c r="BT812" s="43"/>
      <c r="BU812" s="43"/>
      <c r="BV812" s="43"/>
      <c r="BW812" s="43"/>
      <c r="BX812" s="43"/>
      <c r="BY812" s="43"/>
      <c r="BZ812" s="43"/>
      <c r="CA812" s="43"/>
      <c r="CB812" s="43"/>
      <c r="CC812" s="43"/>
      <c r="CD812" s="43"/>
      <c r="CE812" s="43"/>
      <c r="CF812" s="43"/>
      <c r="CG812" s="43"/>
      <c r="CH812" s="43"/>
      <c r="CI812" s="43"/>
      <c r="CJ812" s="43"/>
      <c r="CK812" s="43"/>
      <c r="CL812" s="43"/>
      <c r="CM812" s="43"/>
      <c r="CN812" s="43"/>
      <c r="CO812" s="43"/>
      <c r="CP812" s="43"/>
      <c r="CQ812" s="43"/>
      <c r="CR812" s="43"/>
      <c r="CS812" s="43"/>
      <c r="CT812" s="43"/>
      <c r="CU812" s="43"/>
      <c r="CV812" s="43"/>
      <c r="CW812" s="43"/>
      <c r="CX812" s="43"/>
      <c r="CY812" s="43"/>
      <c r="CZ812" s="43"/>
      <c r="DA812" s="43"/>
      <c r="DB812" s="43"/>
      <c r="DC812" s="43"/>
      <c r="DD812" s="43"/>
      <c r="DE812" s="43"/>
      <c r="DF812" s="43"/>
      <c r="DG812" s="43"/>
      <c r="DH812" s="43"/>
      <c r="DI812" s="43"/>
      <c r="DJ812" s="43"/>
      <c r="DK812" s="43"/>
      <c r="DL812" s="43"/>
      <c r="DM812" s="43"/>
      <c r="DN812" s="43"/>
      <c r="DO812" s="43"/>
      <c r="DP812" s="43"/>
      <c r="DQ812" s="43"/>
      <c r="DR812" s="43"/>
      <c r="DS812" s="43"/>
      <c r="DT812" s="43"/>
      <c r="DU812" s="43"/>
      <c r="DV812" s="43"/>
      <c r="DW812" s="43"/>
      <c r="DX812" s="43"/>
      <c r="DY812" s="43"/>
      <c r="DZ812" s="43"/>
      <c r="EA812" s="43"/>
      <c r="EB812" s="43"/>
      <c r="EC812" s="43"/>
      <c r="ED812" s="43"/>
      <c r="EE812" s="43"/>
      <c r="EF812" s="43"/>
      <c r="EG812" s="43"/>
      <c r="EH812" s="43"/>
      <c r="EI812" s="43"/>
      <c r="EJ812" s="43"/>
      <c r="EK812" s="43"/>
      <c r="EL812" s="43"/>
      <c r="EM812" s="43"/>
      <c r="EN812" s="43"/>
      <c r="EO812" s="43"/>
      <c r="EP812" s="43"/>
      <c r="EQ812" s="43"/>
      <c r="ER812" s="43"/>
      <c r="ES812" s="43"/>
      <c r="ET812" s="43"/>
      <c r="EU812" s="43"/>
      <c r="EV812" s="43"/>
      <c r="EW812" s="43"/>
      <c r="EX812" s="43"/>
      <c r="EY812" s="43"/>
      <c r="EZ812" s="43"/>
      <c r="FA812" s="43"/>
      <c r="FB812" s="43"/>
      <c r="FC812" s="43"/>
      <c r="FD812" s="43"/>
      <c r="FE812" s="43"/>
      <c r="FF812" s="43"/>
      <c r="FG812" s="43"/>
      <c r="FH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43"/>
      <c r="BP813" s="43"/>
      <c r="BQ813" s="43"/>
      <c r="BR813" s="43"/>
      <c r="BS813" s="43"/>
      <c r="BT813" s="43"/>
      <c r="BU813" s="43"/>
      <c r="BV813" s="43"/>
      <c r="BW813" s="43"/>
      <c r="BX813" s="43"/>
      <c r="BY813" s="43"/>
      <c r="BZ813" s="43"/>
      <c r="CA813" s="43"/>
      <c r="CB813" s="43"/>
      <c r="CC813" s="43"/>
      <c r="CD813" s="43"/>
      <c r="CE813" s="43"/>
      <c r="CF813" s="43"/>
      <c r="CG813" s="43"/>
      <c r="CH813" s="43"/>
      <c r="CI813" s="43"/>
      <c r="CJ813" s="43"/>
      <c r="CK813" s="43"/>
      <c r="CL813" s="43"/>
      <c r="CM813" s="43"/>
      <c r="CN813" s="43"/>
      <c r="CO813" s="43"/>
      <c r="CP813" s="43"/>
      <c r="CQ813" s="43"/>
      <c r="CR813" s="43"/>
      <c r="CS813" s="43"/>
      <c r="CT813" s="43"/>
      <c r="CU813" s="43"/>
      <c r="CV813" s="43"/>
      <c r="CW813" s="43"/>
      <c r="CX813" s="43"/>
      <c r="CY813" s="43"/>
      <c r="CZ813" s="43"/>
      <c r="DA813" s="43"/>
      <c r="DB813" s="43"/>
      <c r="DC813" s="43"/>
      <c r="DD813" s="43"/>
      <c r="DE813" s="43"/>
      <c r="DF813" s="43"/>
      <c r="DG813" s="43"/>
      <c r="DH813" s="43"/>
      <c r="DI813" s="43"/>
      <c r="DJ813" s="43"/>
      <c r="DK813" s="43"/>
      <c r="DL813" s="43"/>
      <c r="DM813" s="43"/>
      <c r="DN813" s="43"/>
      <c r="DO813" s="43"/>
      <c r="DP813" s="43"/>
      <c r="DQ813" s="43"/>
      <c r="DR813" s="43"/>
      <c r="DS813" s="43"/>
      <c r="DT813" s="43"/>
      <c r="DU813" s="43"/>
      <c r="DV813" s="43"/>
      <c r="DW813" s="43"/>
      <c r="DX813" s="43"/>
      <c r="DY813" s="43"/>
      <c r="DZ813" s="43"/>
      <c r="EA813" s="43"/>
      <c r="EB813" s="43"/>
      <c r="EC813" s="43"/>
      <c r="ED813" s="43"/>
      <c r="EE813" s="43"/>
      <c r="EF813" s="43"/>
      <c r="EG813" s="43"/>
      <c r="EH813" s="43"/>
      <c r="EI813" s="43"/>
      <c r="EJ813" s="43"/>
      <c r="EK813" s="43"/>
      <c r="EL813" s="43"/>
      <c r="EM813" s="43"/>
      <c r="EN813" s="43"/>
      <c r="EO813" s="43"/>
      <c r="EP813" s="43"/>
      <c r="EQ813" s="43"/>
      <c r="ER813" s="43"/>
      <c r="ES813" s="43"/>
      <c r="ET813" s="43"/>
      <c r="EU813" s="43"/>
      <c r="EV813" s="43"/>
      <c r="EW813" s="43"/>
      <c r="EX813" s="43"/>
      <c r="EY813" s="43"/>
      <c r="EZ813" s="43"/>
      <c r="FA813" s="43"/>
      <c r="FB813" s="43"/>
      <c r="FC813" s="43"/>
      <c r="FD813" s="43"/>
      <c r="FE813" s="43"/>
      <c r="FF813" s="43"/>
      <c r="FG813" s="43"/>
      <c r="FH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43"/>
      <c r="BP814" s="43"/>
      <c r="BQ814" s="43"/>
      <c r="BR814" s="43"/>
      <c r="BS814" s="43"/>
      <c r="BT814" s="43"/>
      <c r="BU814" s="43"/>
      <c r="BV814" s="43"/>
      <c r="BW814" s="43"/>
      <c r="BX814" s="43"/>
      <c r="BY814" s="43"/>
      <c r="BZ814" s="43"/>
      <c r="CA814" s="43"/>
      <c r="CB814" s="43"/>
      <c r="CC814" s="43"/>
      <c r="CD814" s="43"/>
      <c r="CE814" s="43"/>
      <c r="CF814" s="43"/>
      <c r="CG814" s="43"/>
      <c r="CH814" s="43"/>
      <c r="CI814" s="43"/>
      <c r="CJ814" s="43"/>
      <c r="CK814" s="43"/>
      <c r="CL814" s="43"/>
      <c r="CM814" s="43"/>
      <c r="CN814" s="43"/>
      <c r="CO814" s="43"/>
      <c r="CP814" s="43"/>
      <c r="CQ814" s="43"/>
      <c r="CR814" s="43"/>
      <c r="CS814" s="43"/>
      <c r="CT814" s="43"/>
      <c r="CU814" s="43"/>
      <c r="CV814" s="43"/>
      <c r="CW814" s="43"/>
      <c r="CX814" s="43"/>
      <c r="CY814" s="43"/>
      <c r="CZ814" s="43"/>
      <c r="DA814" s="43"/>
      <c r="DB814" s="43"/>
      <c r="DC814" s="43"/>
      <c r="DD814" s="43"/>
      <c r="DE814" s="43"/>
      <c r="DF814" s="43"/>
      <c r="DG814" s="43"/>
      <c r="DH814" s="43"/>
      <c r="DI814" s="43"/>
      <c r="DJ814" s="43"/>
      <c r="DK814" s="43"/>
      <c r="DL814" s="43"/>
      <c r="DM814" s="43"/>
      <c r="DN814" s="43"/>
      <c r="DO814" s="43"/>
      <c r="DP814" s="43"/>
      <c r="DQ814" s="43"/>
      <c r="DR814" s="43"/>
      <c r="DS814" s="43"/>
      <c r="DT814" s="43"/>
      <c r="DU814" s="43"/>
      <c r="DV814" s="43"/>
      <c r="DW814" s="43"/>
      <c r="DX814" s="43"/>
      <c r="DY814" s="43"/>
      <c r="DZ814" s="43"/>
      <c r="EA814" s="43"/>
      <c r="EB814" s="43"/>
      <c r="EC814" s="43"/>
      <c r="ED814" s="43"/>
      <c r="EE814" s="43"/>
      <c r="EF814" s="43"/>
      <c r="EG814" s="43"/>
      <c r="EH814" s="43"/>
      <c r="EI814" s="43"/>
      <c r="EJ814" s="43"/>
      <c r="EK814" s="43"/>
      <c r="EL814" s="43"/>
      <c r="EM814" s="43"/>
      <c r="EN814" s="43"/>
      <c r="EO814" s="43"/>
      <c r="EP814" s="43"/>
      <c r="EQ814" s="43"/>
      <c r="ER814" s="43"/>
      <c r="ES814" s="43"/>
      <c r="ET814" s="43"/>
      <c r="EU814" s="43"/>
      <c r="EV814" s="43"/>
      <c r="EW814" s="43"/>
      <c r="EX814" s="43"/>
      <c r="EY814" s="43"/>
      <c r="EZ814" s="43"/>
      <c r="FA814" s="43"/>
      <c r="FB814" s="43"/>
      <c r="FC814" s="43"/>
      <c r="FD814" s="43"/>
      <c r="FE814" s="43"/>
      <c r="FF814" s="43"/>
      <c r="FG814" s="43"/>
      <c r="FH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43"/>
      <c r="BP815" s="43"/>
      <c r="BQ815" s="43"/>
      <c r="BR815" s="43"/>
      <c r="BS815" s="43"/>
      <c r="BT815" s="43"/>
      <c r="BU815" s="43"/>
      <c r="BV815" s="43"/>
      <c r="BW815" s="43"/>
      <c r="BX815" s="43"/>
      <c r="BY815" s="43"/>
      <c r="BZ815" s="43"/>
      <c r="CA815" s="43"/>
      <c r="CB815" s="43"/>
      <c r="CC815" s="43"/>
      <c r="CD815" s="43"/>
      <c r="CE815" s="43"/>
      <c r="CF815" s="43"/>
      <c r="CG815" s="43"/>
      <c r="CH815" s="43"/>
      <c r="CI815" s="43"/>
      <c r="CJ815" s="43"/>
      <c r="CK815" s="43"/>
      <c r="CL815" s="43"/>
      <c r="CM815" s="43"/>
      <c r="CN815" s="43"/>
      <c r="CO815" s="43"/>
      <c r="CP815" s="43"/>
      <c r="CQ815" s="43"/>
      <c r="CR815" s="43"/>
      <c r="CS815" s="43"/>
      <c r="CT815" s="43"/>
      <c r="CU815" s="43"/>
      <c r="CV815" s="43"/>
      <c r="CW815" s="43"/>
      <c r="CX815" s="43"/>
      <c r="CY815" s="43"/>
      <c r="CZ815" s="43"/>
      <c r="DA815" s="43"/>
      <c r="DB815" s="43"/>
      <c r="DC815" s="43"/>
      <c r="DD815" s="43"/>
      <c r="DE815" s="43"/>
      <c r="DF815" s="43"/>
      <c r="DG815" s="43"/>
      <c r="DH815" s="43"/>
      <c r="DI815" s="43"/>
      <c r="DJ815" s="43"/>
      <c r="DK815" s="43"/>
      <c r="DL815" s="43"/>
      <c r="DM815" s="43"/>
      <c r="DN815" s="43"/>
      <c r="DO815" s="43"/>
      <c r="DP815" s="43"/>
      <c r="DQ815" s="43"/>
      <c r="DR815" s="43"/>
      <c r="DS815" s="43"/>
      <c r="DT815" s="43"/>
      <c r="DU815" s="43"/>
      <c r="DV815" s="43"/>
      <c r="DW815" s="43"/>
      <c r="DX815" s="43"/>
      <c r="DY815" s="43"/>
      <c r="DZ815" s="43"/>
      <c r="EA815" s="43"/>
      <c r="EB815" s="43"/>
      <c r="EC815" s="43"/>
      <c r="ED815" s="43"/>
      <c r="EE815" s="43"/>
      <c r="EF815" s="43"/>
      <c r="EG815" s="43"/>
      <c r="EH815" s="43"/>
      <c r="EI815" s="43"/>
      <c r="EJ815" s="43"/>
      <c r="EK815" s="43"/>
      <c r="EL815" s="43"/>
      <c r="EM815" s="43"/>
      <c r="EN815" s="43"/>
      <c r="EO815" s="43"/>
      <c r="EP815" s="43"/>
      <c r="EQ815" s="43"/>
      <c r="ER815" s="43"/>
      <c r="ES815" s="43"/>
      <c r="ET815" s="43"/>
      <c r="EU815" s="43"/>
      <c r="EV815" s="43"/>
      <c r="EW815" s="43"/>
      <c r="EX815" s="43"/>
      <c r="EY815" s="43"/>
      <c r="EZ815" s="43"/>
      <c r="FA815" s="43"/>
      <c r="FB815" s="43"/>
      <c r="FC815" s="43"/>
      <c r="FD815" s="43"/>
      <c r="FE815" s="43"/>
      <c r="FF815" s="43"/>
      <c r="FG815" s="43"/>
      <c r="FH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43"/>
      <c r="BP816" s="43"/>
      <c r="BQ816" s="43"/>
      <c r="BR816" s="43"/>
      <c r="BS816" s="43"/>
      <c r="BT816" s="43"/>
      <c r="BU816" s="43"/>
      <c r="BV816" s="43"/>
      <c r="BW816" s="43"/>
      <c r="BX816" s="43"/>
      <c r="BY816" s="43"/>
      <c r="BZ816" s="43"/>
      <c r="CA816" s="43"/>
      <c r="CB816" s="43"/>
      <c r="CC816" s="43"/>
      <c r="CD816" s="43"/>
      <c r="CE816" s="43"/>
      <c r="CF816" s="43"/>
      <c r="CG816" s="43"/>
      <c r="CH816" s="43"/>
      <c r="CI816" s="43"/>
      <c r="CJ816" s="43"/>
      <c r="CK816" s="43"/>
      <c r="CL816" s="43"/>
      <c r="CM816" s="43"/>
      <c r="CN816" s="43"/>
      <c r="CO816" s="43"/>
      <c r="CP816" s="43"/>
      <c r="CQ816" s="43"/>
      <c r="CR816" s="43"/>
      <c r="CS816" s="43"/>
      <c r="CT816" s="43"/>
      <c r="CU816" s="43"/>
      <c r="CV816" s="43"/>
      <c r="CW816" s="43"/>
      <c r="CX816" s="43"/>
      <c r="CY816" s="43"/>
      <c r="CZ816" s="43"/>
      <c r="DA816" s="43"/>
      <c r="DB816" s="43"/>
      <c r="DC816" s="43"/>
      <c r="DD816" s="43"/>
      <c r="DE816" s="43"/>
      <c r="DF816" s="43"/>
      <c r="DG816" s="43"/>
      <c r="DH816" s="43"/>
      <c r="DI816" s="43"/>
      <c r="DJ816" s="43"/>
      <c r="DK816" s="43"/>
      <c r="DL816" s="43"/>
      <c r="DM816" s="43"/>
      <c r="DN816" s="43"/>
      <c r="DO816" s="43"/>
      <c r="DP816" s="43"/>
      <c r="DQ816" s="43"/>
      <c r="DR816" s="43"/>
      <c r="DS816" s="43"/>
      <c r="DT816" s="43"/>
      <c r="DU816" s="43"/>
      <c r="DV816" s="43"/>
      <c r="DW816" s="43"/>
      <c r="DX816" s="43"/>
      <c r="DY816" s="43"/>
      <c r="DZ816" s="43"/>
      <c r="EA816" s="43"/>
      <c r="EB816" s="43"/>
      <c r="EC816" s="43"/>
      <c r="ED816" s="43"/>
      <c r="EE816" s="43"/>
      <c r="EF816" s="43"/>
      <c r="EG816" s="43"/>
      <c r="EH816" s="43"/>
      <c r="EI816" s="43"/>
      <c r="EJ816" s="43"/>
      <c r="EK816" s="43"/>
      <c r="EL816" s="43"/>
      <c r="EM816" s="43"/>
      <c r="EN816" s="43"/>
      <c r="EO816" s="43"/>
      <c r="EP816" s="43"/>
      <c r="EQ816" s="43"/>
      <c r="ER816" s="43"/>
      <c r="ES816" s="43"/>
      <c r="ET816" s="43"/>
      <c r="EU816" s="43"/>
      <c r="EV816" s="43"/>
      <c r="EW816" s="43"/>
      <c r="EX816" s="43"/>
      <c r="EY816" s="43"/>
      <c r="EZ816" s="43"/>
      <c r="FA816" s="43"/>
      <c r="FB816" s="43"/>
      <c r="FC816" s="43"/>
      <c r="FD816" s="43"/>
      <c r="FE816" s="43"/>
      <c r="FF816" s="43"/>
      <c r="FG816" s="43"/>
      <c r="FH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43"/>
      <c r="BP817" s="43"/>
      <c r="BQ817" s="43"/>
      <c r="BR817" s="43"/>
      <c r="BS817" s="43"/>
      <c r="BT817" s="43"/>
      <c r="BU817" s="43"/>
      <c r="BV817" s="43"/>
      <c r="BW817" s="43"/>
      <c r="BX817" s="43"/>
      <c r="BY817" s="43"/>
      <c r="BZ817" s="43"/>
      <c r="CA817" s="43"/>
      <c r="CB817" s="43"/>
      <c r="CC817" s="43"/>
      <c r="CD817" s="43"/>
      <c r="CE817" s="43"/>
      <c r="CF817" s="43"/>
      <c r="CG817" s="43"/>
      <c r="CH817" s="43"/>
      <c r="CI817" s="43"/>
      <c r="CJ817" s="43"/>
      <c r="CK817" s="43"/>
      <c r="CL817" s="43"/>
      <c r="CM817" s="43"/>
      <c r="CN817" s="43"/>
      <c r="CO817" s="43"/>
      <c r="CP817" s="43"/>
      <c r="CQ817" s="43"/>
      <c r="CR817" s="43"/>
      <c r="CS817" s="43"/>
      <c r="CT817" s="43"/>
      <c r="CU817" s="43"/>
      <c r="CV817" s="43"/>
      <c r="CW817" s="43"/>
      <c r="CX817" s="43"/>
      <c r="CY817" s="43"/>
      <c r="CZ817" s="43"/>
      <c r="DA817" s="43"/>
      <c r="DB817" s="43"/>
      <c r="DC817" s="43"/>
      <c r="DD817" s="43"/>
      <c r="DE817" s="43"/>
      <c r="DF817" s="43"/>
      <c r="DG817" s="43"/>
      <c r="DH817" s="43"/>
      <c r="DI817" s="43"/>
      <c r="DJ817" s="43"/>
      <c r="DK817" s="43"/>
      <c r="DL817" s="43"/>
      <c r="DM817" s="43"/>
      <c r="DN817" s="43"/>
      <c r="DO817" s="43"/>
      <c r="DP817" s="43"/>
      <c r="DQ817" s="43"/>
      <c r="DR817" s="43"/>
      <c r="DS817" s="43"/>
      <c r="DT817" s="43"/>
      <c r="DU817" s="43"/>
      <c r="DV817" s="43"/>
      <c r="DW817" s="43"/>
      <c r="DX817" s="43"/>
      <c r="DY817" s="43"/>
      <c r="DZ817" s="43"/>
      <c r="EA817" s="43"/>
      <c r="EB817" s="43"/>
      <c r="EC817" s="43"/>
      <c r="ED817" s="43"/>
      <c r="EE817" s="43"/>
      <c r="EF817" s="43"/>
      <c r="EG817" s="43"/>
      <c r="EH817" s="43"/>
      <c r="EI817" s="43"/>
      <c r="EJ817" s="43"/>
      <c r="EK817" s="43"/>
      <c r="EL817" s="43"/>
      <c r="EM817" s="43"/>
      <c r="EN817" s="43"/>
      <c r="EO817" s="43"/>
      <c r="EP817" s="43"/>
      <c r="EQ817" s="43"/>
      <c r="ER817" s="43"/>
      <c r="ES817" s="43"/>
      <c r="ET817" s="43"/>
      <c r="EU817" s="43"/>
      <c r="EV817" s="43"/>
      <c r="EW817" s="43"/>
      <c r="EX817" s="43"/>
      <c r="EY817" s="43"/>
      <c r="EZ817" s="43"/>
      <c r="FA817" s="43"/>
      <c r="FB817" s="43"/>
      <c r="FC817" s="43"/>
      <c r="FD817" s="43"/>
      <c r="FE817" s="43"/>
      <c r="FF817" s="43"/>
      <c r="FG817" s="43"/>
      <c r="FH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43"/>
      <c r="BP818" s="43"/>
      <c r="BQ818" s="43"/>
      <c r="BR818" s="43"/>
      <c r="BS818" s="43"/>
      <c r="BT818" s="43"/>
      <c r="BU818" s="43"/>
      <c r="BV818" s="43"/>
      <c r="BW818" s="43"/>
      <c r="BX818" s="43"/>
      <c r="BY818" s="43"/>
      <c r="BZ818" s="43"/>
      <c r="CA818" s="43"/>
      <c r="CB818" s="43"/>
      <c r="CC818" s="43"/>
      <c r="CD818" s="43"/>
      <c r="CE818" s="43"/>
      <c r="CF818" s="43"/>
      <c r="CG818" s="43"/>
      <c r="CH818" s="43"/>
      <c r="CI818" s="43"/>
      <c r="CJ818" s="43"/>
      <c r="CK818" s="43"/>
      <c r="CL818" s="43"/>
      <c r="CM818" s="43"/>
      <c r="CN818" s="43"/>
      <c r="CO818" s="43"/>
      <c r="CP818" s="43"/>
      <c r="CQ818" s="43"/>
      <c r="CR818" s="43"/>
      <c r="CS818" s="43"/>
      <c r="CT818" s="43"/>
      <c r="CU818" s="43"/>
      <c r="CV818" s="43"/>
      <c r="CW818" s="43"/>
      <c r="CX818" s="43"/>
      <c r="CY818" s="43"/>
      <c r="CZ818" s="43"/>
      <c r="DA818" s="43"/>
      <c r="DB818" s="43"/>
      <c r="DC818" s="43"/>
      <c r="DD818" s="43"/>
      <c r="DE818" s="43"/>
      <c r="DF818" s="43"/>
      <c r="DG818" s="43"/>
      <c r="DH818" s="43"/>
      <c r="DI818" s="43"/>
      <c r="DJ818" s="43"/>
      <c r="DK818" s="43"/>
      <c r="DL818" s="43"/>
      <c r="DM818" s="43"/>
      <c r="DN818" s="43"/>
      <c r="DO818" s="43"/>
      <c r="DP818" s="43"/>
      <c r="DQ818" s="43"/>
      <c r="DR818" s="43"/>
      <c r="DS818" s="43"/>
      <c r="DT818" s="43"/>
      <c r="DU818" s="43"/>
      <c r="DV818" s="43"/>
      <c r="DW818" s="43"/>
      <c r="DX818" s="43"/>
      <c r="DY818" s="43"/>
      <c r="DZ818" s="43"/>
      <c r="EA818" s="43"/>
      <c r="EB818" s="43"/>
      <c r="EC818" s="43"/>
      <c r="ED818" s="43"/>
      <c r="EE818" s="43"/>
      <c r="EF818" s="43"/>
      <c r="EG818" s="43"/>
      <c r="EH818" s="43"/>
      <c r="EI818" s="43"/>
      <c r="EJ818" s="43"/>
      <c r="EK818" s="43"/>
      <c r="EL818" s="43"/>
      <c r="EM818" s="43"/>
      <c r="EN818" s="43"/>
      <c r="EO818" s="43"/>
      <c r="EP818" s="43"/>
      <c r="EQ818" s="43"/>
      <c r="ER818" s="43"/>
      <c r="ES818" s="43"/>
      <c r="ET818" s="43"/>
      <c r="EU818" s="43"/>
      <c r="EV818" s="43"/>
      <c r="EW818" s="43"/>
      <c r="EX818" s="43"/>
      <c r="EY818" s="43"/>
      <c r="EZ818" s="43"/>
      <c r="FA818" s="43"/>
      <c r="FB818" s="43"/>
      <c r="FC818" s="43"/>
      <c r="FD818" s="43"/>
      <c r="FE818" s="43"/>
      <c r="FF818" s="43"/>
      <c r="FG818" s="43"/>
      <c r="FH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43"/>
      <c r="BP819" s="43"/>
      <c r="BQ819" s="43"/>
      <c r="BR819" s="43"/>
      <c r="BS819" s="43"/>
      <c r="BT819" s="43"/>
      <c r="BU819" s="43"/>
      <c r="BV819" s="43"/>
      <c r="BW819" s="43"/>
      <c r="BX819" s="43"/>
      <c r="BY819" s="43"/>
      <c r="BZ819" s="43"/>
      <c r="CA819" s="43"/>
      <c r="CB819" s="43"/>
      <c r="CC819" s="43"/>
      <c r="CD819" s="43"/>
      <c r="CE819" s="43"/>
      <c r="CF819" s="43"/>
      <c r="CG819" s="43"/>
      <c r="CH819" s="43"/>
      <c r="CI819" s="43"/>
      <c r="CJ819" s="43"/>
      <c r="CK819" s="43"/>
      <c r="CL819" s="43"/>
      <c r="CM819" s="43"/>
      <c r="CN819" s="43"/>
      <c r="CO819" s="43"/>
      <c r="CP819" s="43"/>
      <c r="CQ819" s="43"/>
      <c r="CR819" s="43"/>
      <c r="CS819" s="43"/>
      <c r="CT819" s="43"/>
      <c r="CU819" s="43"/>
      <c r="CV819" s="43"/>
      <c r="CW819" s="43"/>
      <c r="CX819" s="43"/>
      <c r="CY819" s="43"/>
      <c r="CZ819" s="43"/>
      <c r="DA819" s="43"/>
      <c r="DB819" s="43"/>
      <c r="DC819" s="43"/>
      <c r="DD819" s="43"/>
      <c r="DE819" s="43"/>
      <c r="DF819" s="43"/>
      <c r="DG819" s="43"/>
      <c r="DH819" s="43"/>
      <c r="DI819" s="43"/>
      <c r="DJ819" s="43"/>
      <c r="DK819" s="43"/>
      <c r="DL819" s="43"/>
      <c r="DM819" s="43"/>
      <c r="DN819" s="43"/>
      <c r="DO819" s="43"/>
      <c r="DP819" s="43"/>
      <c r="DQ819" s="43"/>
      <c r="DR819" s="43"/>
      <c r="DS819" s="43"/>
      <c r="DT819" s="43"/>
      <c r="DU819" s="43"/>
      <c r="DV819" s="43"/>
      <c r="DW819" s="43"/>
      <c r="DX819" s="43"/>
      <c r="DY819" s="43"/>
      <c r="DZ819" s="43"/>
      <c r="EA819" s="43"/>
      <c r="EB819" s="43"/>
      <c r="EC819" s="43"/>
      <c r="ED819" s="43"/>
      <c r="EE819" s="43"/>
      <c r="EF819" s="43"/>
      <c r="EG819" s="43"/>
      <c r="EH819" s="43"/>
      <c r="EI819" s="43"/>
      <c r="EJ819" s="43"/>
      <c r="EK819" s="43"/>
      <c r="EL819" s="43"/>
      <c r="EM819" s="43"/>
      <c r="EN819" s="43"/>
      <c r="EO819" s="43"/>
      <c r="EP819" s="43"/>
      <c r="EQ819" s="43"/>
      <c r="ER819" s="43"/>
      <c r="ES819" s="43"/>
      <c r="ET819" s="43"/>
      <c r="EU819" s="43"/>
      <c r="EV819" s="43"/>
      <c r="EW819" s="43"/>
      <c r="EX819" s="43"/>
      <c r="EY819" s="43"/>
      <c r="EZ819" s="43"/>
      <c r="FA819" s="43"/>
      <c r="FB819" s="43"/>
      <c r="FC819" s="43"/>
      <c r="FD819" s="43"/>
      <c r="FE819" s="43"/>
      <c r="FF819" s="43"/>
      <c r="FG819" s="43"/>
      <c r="FH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43"/>
      <c r="BP820" s="43"/>
      <c r="BQ820" s="43"/>
      <c r="BR820" s="43"/>
      <c r="BS820" s="43"/>
      <c r="BT820" s="43"/>
      <c r="BU820" s="43"/>
      <c r="BV820" s="43"/>
      <c r="BW820" s="43"/>
      <c r="BX820" s="43"/>
      <c r="BY820" s="43"/>
      <c r="BZ820" s="43"/>
      <c r="CA820" s="43"/>
      <c r="CB820" s="43"/>
      <c r="CC820" s="43"/>
      <c r="CD820" s="43"/>
      <c r="CE820" s="43"/>
      <c r="CF820" s="43"/>
      <c r="CG820" s="43"/>
      <c r="CH820" s="43"/>
      <c r="CI820" s="43"/>
      <c r="CJ820" s="43"/>
      <c r="CK820" s="43"/>
      <c r="CL820" s="43"/>
      <c r="CM820" s="43"/>
      <c r="CN820" s="43"/>
      <c r="CO820" s="43"/>
      <c r="CP820" s="43"/>
      <c r="CQ820" s="43"/>
      <c r="CR820" s="43"/>
      <c r="CS820" s="43"/>
      <c r="CT820" s="43"/>
      <c r="CU820" s="43"/>
      <c r="CV820" s="43"/>
      <c r="CW820" s="43"/>
      <c r="CX820" s="43"/>
      <c r="CY820" s="43"/>
      <c r="CZ820" s="43"/>
      <c r="DA820" s="43"/>
      <c r="DB820" s="43"/>
      <c r="DC820" s="43"/>
      <c r="DD820" s="43"/>
      <c r="DE820" s="43"/>
      <c r="DF820" s="43"/>
      <c r="DG820" s="43"/>
      <c r="DH820" s="43"/>
      <c r="DI820" s="43"/>
      <c r="DJ820" s="43"/>
      <c r="DK820" s="43"/>
      <c r="DL820" s="43"/>
      <c r="DM820" s="43"/>
      <c r="DN820" s="43"/>
      <c r="DO820" s="43"/>
      <c r="DP820" s="43"/>
      <c r="DQ820" s="43"/>
      <c r="DR820" s="43"/>
      <c r="DS820" s="43"/>
      <c r="DT820" s="43"/>
      <c r="DU820" s="43"/>
      <c r="DV820" s="43"/>
      <c r="DW820" s="43"/>
      <c r="DX820" s="43"/>
      <c r="DY820" s="43"/>
      <c r="DZ820" s="43"/>
      <c r="EA820" s="43"/>
      <c r="EB820" s="43"/>
      <c r="EC820" s="43"/>
      <c r="ED820" s="43"/>
      <c r="EE820" s="43"/>
      <c r="EF820" s="43"/>
      <c r="EG820" s="43"/>
      <c r="EH820" s="43"/>
      <c r="EI820" s="43"/>
      <c r="EJ820" s="43"/>
      <c r="EK820" s="43"/>
      <c r="EL820" s="43"/>
      <c r="EM820" s="43"/>
      <c r="EN820" s="43"/>
      <c r="EO820" s="43"/>
      <c r="EP820" s="43"/>
      <c r="EQ820" s="43"/>
      <c r="ER820" s="43"/>
      <c r="ES820" s="43"/>
      <c r="ET820" s="43"/>
      <c r="EU820" s="43"/>
      <c r="EV820" s="43"/>
      <c r="EW820" s="43"/>
      <c r="EX820" s="43"/>
      <c r="EY820" s="43"/>
      <c r="EZ820" s="43"/>
      <c r="FA820" s="43"/>
      <c r="FB820" s="43"/>
      <c r="FC820" s="43"/>
      <c r="FD820" s="43"/>
      <c r="FE820" s="43"/>
      <c r="FF820" s="43"/>
      <c r="FG820" s="43"/>
      <c r="FH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43"/>
      <c r="BP821" s="43"/>
      <c r="BQ821" s="43"/>
      <c r="BR821" s="43"/>
      <c r="BS821" s="43"/>
      <c r="BT821" s="43"/>
      <c r="BU821" s="43"/>
      <c r="BV821" s="43"/>
      <c r="BW821" s="43"/>
      <c r="BX821" s="43"/>
      <c r="BY821" s="43"/>
      <c r="BZ821" s="43"/>
      <c r="CA821" s="43"/>
      <c r="CB821" s="43"/>
      <c r="CC821" s="43"/>
      <c r="CD821" s="43"/>
      <c r="CE821" s="43"/>
      <c r="CF821" s="43"/>
      <c r="CG821" s="43"/>
      <c r="CH821" s="43"/>
      <c r="CI821" s="43"/>
      <c r="CJ821" s="43"/>
      <c r="CK821" s="43"/>
      <c r="CL821" s="43"/>
      <c r="CM821" s="43"/>
      <c r="CN821" s="43"/>
      <c r="CO821" s="43"/>
      <c r="CP821" s="43"/>
      <c r="CQ821" s="43"/>
      <c r="CR821" s="43"/>
      <c r="CS821" s="43"/>
      <c r="CT821" s="43"/>
      <c r="CU821" s="43"/>
      <c r="CV821" s="43"/>
      <c r="CW821" s="43"/>
      <c r="CX821" s="43"/>
      <c r="CY821" s="43"/>
      <c r="CZ821" s="43"/>
      <c r="DA821" s="43"/>
      <c r="DB821" s="43"/>
      <c r="DC821" s="43"/>
      <c r="DD821" s="43"/>
      <c r="DE821" s="43"/>
      <c r="DF821" s="43"/>
      <c r="DG821" s="43"/>
      <c r="DH821" s="43"/>
      <c r="DI821" s="43"/>
      <c r="DJ821" s="43"/>
      <c r="DK821" s="43"/>
      <c r="DL821" s="43"/>
      <c r="DM821" s="43"/>
      <c r="DN821" s="43"/>
      <c r="DO821" s="43"/>
      <c r="DP821" s="43"/>
      <c r="DQ821" s="43"/>
      <c r="DR821" s="43"/>
      <c r="DS821" s="43"/>
      <c r="DT821" s="43"/>
      <c r="DU821" s="43"/>
      <c r="DV821" s="43"/>
      <c r="DW821" s="43"/>
      <c r="DX821" s="43"/>
      <c r="DY821" s="43"/>
      <c r="DZ821" s="43"/>
      <c r="EA821" s="43"/>
      <c r="EB821" s="43"/>
      <c r="EC821" s="43"/>
      <c r="ED821" s="43"/>
      <c r="EE821" s="43"/>
      <c r="EF821" s="43"/>
      <c r="EG821" s="43"/>
      <c r="EH821" s="43"/>
      <c r="EI821" s="43"/>
      <c r="EJ821" s="43"/>
      <c r="EK821" s="43"/>
      <c r="EL821" s="43"/>
      <c r="EM821" s="43"/>
      <c r="EN821" s="43"/>
      <c r="EO821" s="43"/>
      <c r="EP821" s="43"/>
      <c r="EQ821" s="43"/>
      <c r="ER821" s="43"/>
      <c r="ES821" s="43"/>
      <c r="ET821" s="43"/>
      <c r="EU821" s="43"/>
      <c r="EV821" s="43"/>
      <c r="EW821" s="43"/>
      <c r="EX821" s="43"/>
      <c r="EY821" s="43"/>
      <c r="EZ821" s="43"/>
      <c r="FA821" s="43"/>
      <c r="FB821" s="43"/>
      <c r="FC821" s="43"/>
      <c r="FD821" s="43"/>
      <c r="FE821" s="43"/>
      <c r="FF821" s="43"/>
      <c r="FG821" s="43"/>
      <c r="FH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43"/>
      <c r="BP822" s="43"/>
      <c r="BQ822" s="43"/>
      <c r="BR822" s="43"/>
      <c r="BS822" s="43"/>
      <c r="BT822" s="43"/>
      <c r="BU822" s="43"/>
      <c r="BV822" s="43"/>
      <c r="BW822" s="43"/>
      <c r="BX822" s="43"/>
      <c r="BY822" s="43"/>
      <c r="BZ822" s="43"/>
      <c r="CA822" s="43"/>
      <c r="CB822" s="43"/>
      <c r="CC822" s="43"/>
      <c r="CD822" s="43"/>
      <c r="CE822" s="43"/>
      <c r="CF822" s="43"/>
      <c r="CG822" s="43"/>
      <c r="CH822" s="43"/>
      <c r="CI822" s="43"/>
      <c r="CJ822" s="43"/>
      <c r="CK822" s="43"/>
      <c r="CL822" s="43"/>
      <c r="CM822" s="43"/>
      <c r="CN822" s="43"/>
      <c r="CO822" s="43"/>
      <c r="CP822" s="43"/>
      <c r="CQ822" s="43"/>
      <c r="CR822" s="43"/>
      <c r="CS822" s="43"/>
      <c r="CT822" s="43"/>
      <c r="CU822" s="43"/>
      <c r="CV822" s="43"/>
      <c r="CW822" s="43"/>
      <c r="CX822" s="43"/>
      <c r="CY822" s="43"/>
      <c r="CZ822" s="43"/>
      <c r="DA822" s="43"/>
      <c r="DB822" s="43"/>
      <c r="DC822" s="43"/>
      <c r="DD822" s="43"/>
      <c r="DE822" s="43"/>
      <c r="DF822" s="43"/>
      <c r="DG822" s="43"/>
      <c r="DH822" s="43"/>
      <c r="DI822" s="43"/>
      <c r="DJ822" s="43"/>
      <c r="DK822" s="43"/>
      <c r="DL822" s="43"/>
      <c r="DM822" s="43"/>
      <c r="DN822" s="43"/>
      <c r="DO822" s="43"/>
      <c r="DP822" s="43"/>
      <c r="DQ822" s="43"/>
      <c r="DR822" s="43"/>
      <c r="DS822" s="43"/>
      <c r="DT822" s="43"/>
      <c r="DU822" s="43"/>
      <c r="DV822" s="43"/>
      <c r="DW822" s="43"/>
      <c r="DX822" s="43"/>
      <c r="DY822" s="43"/>
      <c r="DZ822" s="43"/>
      <c r="EA822" s="43"/>
      <c r="EB822" s="43"/>
      <c r="EC822" s="43"/>
      <c r="ED822" s="43"/>
      <c r="EE822" s="43"/>
      <c r="EF822" s="43"/>
      <c r="EG822" s="43"/>
      <c r="EH822" s="43"/>
      <c r="EI822" s="43"/>
      <c r="EJ822" s="43"/>
      <c r="EK822" s="43"/>
      <c r="EL822" s="43"/>
      <c r="EM822" s="43"/>
      <c r="EN822" s="43"/>
      <c r="EO822" s="43"/>
      <c r="EP822" s="43"/>
      <c r="EQ822" s="43"/>
      <c r="ER822" s="43"/>
      <c r="ES822" s="43"/>
      <c r="ET822" s="43"/>
      <c r="EU822" s="43"/>
      <c r="EV822" s="43"/>
      <c r="EW822" s="43"/>
      <c r="EX822" s="43"/>
      <c r="EY822" s="43"/>
      <c r="EZ822" s="43"/>
      <c r="FA822" s="43"/>
      <c r="FB822" s="43"/>
      <c r="FC822" s="43"/>
      <c r="FD822" s="43"/>
      <c r="FE822" s="43"/>
      <c r="FF822" s="43"/>
      <c r="FG822" s="43"/>
      <c r="FH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43"/>
      <c r="BP823" s="43"/>
      <c r="BQ823" s="43"/>
      <c r="BR823" s="43"/>
      <c r="BS823" s="43"/>
      <c r="BT823" s="43"/>
      <c r="BU823" s="43"/>
      <c r="BV823" s="43"/>
      <c r="BW823" s="43"/>
      <c r="BX823" s="43"/>
      <c r="BY823" s="43"/>
      <c r="BZ823" s="43"/>
      <c r="CA823" s="43"/>
      <c r="CB823" s="43"/>
      <c r="CC823" s="43"/>
      <c r="CD823" s="43"/>
      <c r="CE823" s="43"/>
      <c r="CF823" s="43"/>
      <c r="CG823" s="43"/>
      <c r="CH823" s="43"/>
      <c r="CI823" s="43"/>
      <c r="CJ823" s="43"/>
      <c r="CK823" s="43"/>
      <c r="CL823" s="43"/>
      <c r="CM823" s="43"/>
      <c r="CN823" s="43"/>
      <c r="CO823" s="43"/>
      <c r="CP823" s="43"/>
      <c r="CQ823" s="43"/>
      <c r="CR823" s="43"/>
      <c r="CS823" s="43"/>
      <c r="CT823" s="43"/>
      <c r="CU823" s="43"/>
      <c r="CV823" s="43"/>
      <c r="CW823" s="43"/>
      <c r="CX823" s="43"/>
      <c r="CY823" s="43"/>
      <c r="CZ823" s="43"/>
      <c r="DA823" s="43"/>
      <c r="DB823" s="43"/>
      <c r="DC823" s="43"/>
      <c r="DD823" s="43"/>
      <c r="DE823" s="43"/>
      <c r="DF823" s="43"/>
      <c r="DG823" s="43"/>
      <c r="DH823" s="43"/>
      <c r="DI823" s="43"/>
      <c r="DJ823" s="43"/>
      <c r="DK823" s="43"/>
      <c r="DL823" s="43"/>
      <c r="DM823" s="43"/>
      <c r="DN823" s="43"/>
      <c r="DO823" s="43"/>
      <c r="DP823" s="43"/>
      <c r="DQ823" s="43"/>
      <c r="DR823" s="43"/>
      <c r="DS823" s="43"/>
      <c r="DT823" s="43"/>
      <c r="DU823" s="43"/>
      <c r="DV823" s="43"/>
      <c r="DW823" s="43"/>
      <c r="DX823" s="43"/>
      <c r="DY823" s="43"/>
      <c r="DZ823" s="43"/>
      <c r="EA823" s="43"/>
      <c r="EB823" s="43"/>
      <c r="EC823" s="43"/>
      <c r="ED823" s="43"/>
      <c r="EE823" s="43"/>
      <c r="EF823" s="43"/>
      <c r="EG823" s="43"/>
      <c r="EH823" s="43"/>
      <c r="EI823" s="43"/>
      <c r="EJ823" s="43"/>
      <c r="EK823" s="43"/>
      <c r="EL823" s="43"/>
      <c r="EM823" s="43"/>
      <c r="EN823" s="43"/>
      <c r="EO823" s="43"/>
      <c r="EP823" s="43"/>
      <c r="EQ823" s="43"/>
      <c r="ER823" s="43"/>
      <c r="ES823" s="43"/>
      <c r="ET823" s="43"/>
      <c r="EU823" s="43"/>
      <c r="EV823" s="43"/>
      <c r="EW823" s="43"/>
      <c r="EX823" s="43"/>
      <c r="EY823" s="43"/>
      <c r="EZ823" s="43"/>
      <c r="FA823" s="43"/>
      <c r="FB823" s="43"/>
      <c r="FC823" s="43"/>
      <c r="FD823" s="43"/>
      <c r="FE823" s="43"/>
      <c r="FF823" s="43"/>
      <c r="FG823" s="43"/>
      <c r="FH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43"/>
      <c r="BP824" s="43"/>
      <c r="BQ824" s="43"/>
      <c r="BR824" s="43"/>
      <c r="BS824" s="43"/>
      <c r="BT824" s="43"/>
      <c r="BU824" s="43"/>
      <c r="BV824" s="43"/>
      <c r="BW824" s="43"/>
      <c r="BX824" s="43"/>
      <c r="BY824" s="43"/>
      <c r="BZ824" s="43"/>
      <c r="CA824" s="43"/>
      <c r="CB824" s="43"/>
      <c r="CC824" s="43"/>
      <c r="CD824" s="43"/>
      <c r="CE824" s="43"/>
      <c r="CF824" s="43"/>
      <c r="CG824" s="43"/>
      <c r="CH824" s="43"/>
      <c r="CI824" s="43"/>
      <c r="CJ824" s="43"/>
      <c r="CK824" s="43"/>
      <c r="CL824" s="43"/>
      <c r="CM824" s="43"/>
      <c r="CN824" s="43"/>
      <c r="CO824" s="43"/>
      <c r="CP824" s="43"/>
      <c r="CQ824" s="43"/>
      <c r="CR824" s="43"/>
      <c r="CS824" s="43"/>
      <c r="CT824" s="43"/>
      <c r="CU824" s="43"/>
      <c r="CV824" s="43"/>
      <c r="CW824" s="43"/>
      <c r="CX824" s="43"/>
      <c r="CY824" s="43"/>
      <c r="CZ824" s="43"/>
      <c r="DA824" s="43"/>
      <c r="DB824" s="43"/>
      <c r="DC824" s="43"/>
      <c r="DD824" s="43"/>
      <c r="DE824" s="43"/>
      <c r="DF824" s="43"/>
      <c r="DG824" s="43"/>
      <c r="DH824" s="43"/>
      <c r="DI824" s="43"/>
      <c r="DJ824" s="43"/>
      <c r="DK824" s="43"/>
      <c r="DL824" s="43"/>
      <c r="DM824" s="43"/>
      <c r="DN824" s="43"/>
      <c r="DO824" s="43"/>
      <c r="DP824" s="43"/>
      <c r="DQ824" s="43"/>
      <c r="DR824" s="43"/>
      <c r="DS824" s="43"/>
      <c r="DT824" s="43"/>
      <c r="DU824" s="43"/>
      <c r="DV824" s="43"/>
      <c r="DW824" s="43"/>
      <c r="DX824" s="43"/>
      <c r="DY824" s="43"/>
      <c r="DZ824" s="43"/>
      <c r="EA824" s="43"/>
      <c r="EB824" s="43"/>
      <c r="EC824" s="43"/>
      <c r="ED824" s="43"/>
      <c r="EE824" s="43"/>
      <c r="EF824" s="43"/>
      <c r="EG824" s="43"/>
      <c r="EH824" s="43"/>
      <c r="EI824" s="43"/>
      <c r="EJ824" s="43"/>
      <c r="EK824" s="43"/>
      <c r="EL824" s="43"/>
      <c r="EM824" s="43"/>
      <c r="EN824" s="43"/>
      <c r="EO824" s="43"/>
      <c r="EP824" s="43"/>
      <c r="EQ824" s="43"/>
      <c r="ER824" s="43"/>
      <c r="ES824" s="43"/>
      <c r="ET824" s="43"/>
      <c r="EU824" s="43"/>
      <c r="EV824" s="43"/>
      <c r="EW824" s="43"/>
      <c r="EX824" s="43"/>
      <c r="EY824" s="43"/>
      <c r="EZ824" s="43"/>
      <c r="FA824" s="43"/>
      <c r="FB824" s="43"/>
      <c r="FC824" s="43"/>
      <c r="FD824" s="43"/>
      <c r="FE824" s="43"/>
      <c r="FF824" s="43"/>
      <c r="FG824" s="43"/>
      <c r="FH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43"/>
      <c r="BP825" s="43"/>
      <c r="BQ825" s="43"/>
      <c r="BR825" s="43"/>
      <c r="BS825" s="43"/>
      <c r="BT825" s="43"/>
      <c r="BU825" s="43"/>
      <c r="BV825" s="43"/>
      <c r="BW825" s="43"/>
      <c r="BX825" s="43"/>
      <c r="BY825" s="43"/>
      <c r="BZ825" s="43"/>
      <c r="CA825" s="43"/>
      <c r="CB825" s="43"/>
      <c r="CC825" s="43"/>
      <c r="CD825" s="43"/>
      <c r="CE825" s="43"/>
      <c r="CF825" s="43"/>
      <c r="CG825" s="43"/>
      <c r="CH825" s="43"/>
      <c r="CI825" s="43"/>
      <c r="CJ825" s="43"/>
      <c r="CK825" s="43"/>
      <c r="CL825" s="43"/>
      <c r="CM825" s="43"/>
      <c r="CN825" s="43"/>
      <c r="CO825" s="43"/>
      <c r="CP825" s="43"/>
      <c r="CQ825" s="43"/>
      <c r="CR825" s="43"/>
      <c r="CS825" s="43"/>
      <c r="CT825" s="43"/>
      <c r="CU825" s="43"/>
      <c r="CV825" s="43"/>
      <c r="CW825" s="43"/>
      <c r="CX825" s="43"/>
      <c r="CY825" s="43"/>
      <c r="CZ825" s="43"/>
      <c r="DA825" s="43"/>
      <c r="DB825" s="43"/>
      <c r="DC825" s="43"/>
      <c r="DD825" s="43"/>
      <c r="DE825" s="43"/>
      <c r="DF825" s="43"/>
      <c r="DG825" s="43"/>
      <c r="DH825" s="43"/>
      <c r="DI825" s="43"/>
      <c r="DJ825" s="43"/>
      <c r="DK825" s="43"/>
      <c r="DL825" s="43"/>
      <c r="DM825" s="43"/>
      <c r="DN825" s="43"/>
      <c r="DO825" s="43"/>
      <c r="DP825" s="43"/>
      <c r="DQ825" s="43"/>
      <c r="DR825" s="43"/>
      <c r="DS825" s="43"/>
      <c r="DT825" s="43"/>
      <c r="DU825" s="43"/>
      <c r="DV825" s="43"/>
      <c r="DW825" s="43"/>
      <c r="DX825" s="43"/>
      <c r="DY825" s="43"/>
      <c r="DZ825" s="43"/>
      <c r="EA825" s="43"/>
      <c r="EB825" s="43"/>
      <c r="EC825" s="43"/>
      <c r="ED825" s="43"/>
      <c r="EE825" s="43"/>
      <c r="EF825" s="43"/>
      <c r="EG825" s="43"/>
      <c r="EH825" s="43"/>
      <c r="EI825" s="43"/>
      <c r="EJ825" s="43"/>
      <c r="EK825" s="43"/>
      <c r="EL825" s="43"/>
      <c r="EM825" s="43"/>
      <c r="EN825" s="43"/>
      <c r="EO825" s="43"/>
      <c r="EP825" s="43"/>
      <c r="EQ825" s="43"/>
      <c r="ER825" s="43"/>
      <c r="ES825" s="43"/>
      <c r="ET825" s="43"/>
      <c r="EU825" s="43"/>
      <c r="EV825" s="43"/>
      <c r="EW825" s="43"/>
      <c r="EX825" s="43"/>
      <c r="EY825" s="43"/>
      <c r="EZ825" s="43"/>
      <c r="FA825" s="43"/>
      <c r="FB825" s="43"/>
      <c r="FC825" s="43"/>
      <c r="FD825" s="43"/>
      <c r="FE825" s="43"/>
      <c r="FF825" s="43"/>
      <c r="FG825" s="43"/>
      <c r="FH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43"/>
      <c r="BP826" s="43"/>
      <c r="BQ826" s="43"/>
      <c r="BR826" s="43"/>
      <c r="BS826" s="43"/>
      <c r="BT826" s="43"/>
      <c r="BU826" s="43"/>
      <c r="BV826" s="43"/>
      <c r="BW826" s="43"/>
      <c r="BX826" s="43"/>
      <c r="BY826" s="43"/>
      <c r="BZ826" s="43"/>
      <c r="CA826" s="43"/>
      <c r="CB826" s="43"/>
      <c r="CC826" s="43"/>
      <c r="CD826" s="43"/>
      <c r="CE826" s="43"/>
      <c r="CF826" s="43"/>
      <c r="CG826" s="43"/>
      <c r="CH826" s="43"/>
      <c r="CI826" s="43"/>
      <c r="CJ826" s="43"/>
      <c r="CK826" s="43"/>
      <c r="CL826" s="43"/>
      <c r="CM826" s="43"/>
      <c r="CN826" s="43"/>
      <c r="CO826" s="43"/>
      <c r="CP826" s="43"/>
      <c r="CQ826" s="43"/>
      <c r="CR826" s="43"/>
      <c r="CS826" s="43"/>
      <c r="CT826" s="43"/>
      <c r="CU826" s="43"/>
      <c r="CV826" s="43"/>
      <c r="CW826" s="43"/>
      <c r="CX826" s="43"/>
      <c r="CY826" s="43"/>
      <c r="CZ826" s="43"/>
      <c r="DA826" s="43"/>
      <c r="DB826" s="43"/>
      <c r="DC826" s="43"/>
      <c r="DD826" s="43"/>
      <c r="DE826" s="43"/>
      <c r="DF826" s="43"/>
      <c r="DG826" s="43"/>
      <c r="DH826" s="43"/>
      <c r="DI826" s="43"/>
      <c r="DJ826" s="43"/>
      <c r="DK826" s="43"/>
      <c r="DL826" s="43"/>
      <c r="DM826" s="43"/>
      <c r="DN826" s="43"/>
      <c r="DO826" s="43"/>
      <c r="DP826" s="43"/>
      <c r="DQ826" s="43"/>
      <c r="DR826" s="43"/>
      <c r="DS826" s="43"/>
      <c r="DT826" s="43"/>
      <c r="DU826" s="43"/>
      <c r="DV826" s="43"/>
      <c r="DW826" s="43"/>
      <c r="DX826" s="43"/>
      <c r="DY826" s="43"/>
      <c r="DZ826" s="43"/>
      <c r="EA826" s="43"/>
      <c r="EB826" s="43"/>
      <c r="EC826" s="43"/>
      <c r="ED826" s="43"/>
      <c r="EE826" s="43"/>
      <c r="EF826" s="43"/>
      <c r="EG826" s="43"/>
      <c r="EH826" s="43"/>
      <c r="EI826" s="43"/>
      <c r="EJ826" s="43"/>
      <c r="EK826" s="43"/>
      <c r="EL826" s="43"/>
      <c r="EM826" s="43"/>
      <c r="EN826" s="43"/>
      <c r="EO826" s="43"/>
      <c r="EP826" s="43"/>
      <c r="EQ826" s="43"/>
      <c r="ER826" s="43"/>
      <c r="ES826" s="43"/>
      <c r="ET826" s="43"/>
      <c r="EU826" s="43"/>
      <c r="EV826" s="43"/>
      <c r="EW826" s="43"/>
      <c r="EX826" s="43"/>
      <c r="EY826" s="43"/>
      <c r="EZ826" s="43"/>
      <c r="FA826" s="43"/>
      <c r="FB826" s="43"/>
      <c r="FC826" s="43"/>
      <c r="FD826" s="43"/>
      <c r="FE826" s="43"/>
      <c r="FF826" s="43"/>
      <c r="FG826" s="43"/>
      <c r="FH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43"/>
      <c r="BP827" s="43"/>
      <c r="BQ827" s="43"/>
      <c r="BR827" s="43"/>
      <c r="BS827" s="43"/>
      <c r="BT827" s="43"/>
      <c r="BU827" s="43"/>
      <c r="BV827" s="43"/>
      <c r="BW827" s="43"/>
      <c r="BX827" s="43"/>
      <c r="BY827" s="43"/>
      <c r="BZ827" s="43"/>
      <c r="CA827" s="43"/>
      <c r="CB827" s="43"/>
      <c r="CC827" s="43"/>
      <c r="CD827" s="43"/>
      <c r="CE827" s="43"/>
      <c r="CF827" s="43"/>
      <c r="CG827" s="43"/>
      <c r="CH827" s="43"/>
      <c r="CI827" s="43"/>
      <c r="CJ827" s="43"/>
      <c r="CK827" s="43"/>
      <c r="CL827" s="43"/>
      <c r="CM827" s="43"/>
      <c r="CN827" s="43"/>
      <c r="CO827" s="43"/>
      <c r="CP827" s="43"/>
      <c r="CQ827" s="43"/>
      <c r="CR827" s="43"/>
      <c r="CS827" s="43"/>
      <c r="CT827" s="43"/>
      <c r="CU827" s="43"/>
      <c r="CV827" s="43"/>
      <c r="CW827" s="43"/>
      <c r="CX827" s="43"/>
      <c r="CY827" s="43"/>
      <c r="CZ827" s="43"/>
      <c r="DA827" s="43"/>
      <c r="DB827" s="43"/>
      <c r="DC827" s="43"/>
      <c r="DD827" s="43"/>
      <c r="DE827" s="43"/>
      <c r="DF827" s="43"/>
      <c r="DG827" s="43"/>
      <c r="DH827" s="43"/>
      <c r="DI827" s="43"/>
      <c r="DJ827" s="43"/>
      <c r="DK827" s="43"/>
      <c r="DL827" s="43"/>
      <c r="DM827" s="43"/>
      <c r="DN827" s="43"/>
      <c r="DO827" s="43"/>
      <c r="DP827" s="43"/>
      <c r="DQ827" s="43"/>
      <c r="DR827" s="43"/>
      <c r="DS827" s="43"/>
      <c r="DT827" s="43"/>
      <c r="DU827" s="43"/>
      <c r="DV827" s="43"/>
      <c r="DW827" s="43"/>
      <c r="DX827" s="43"/>
      <c r="DY827" s="43"/>
      <c r="DZ827" s="43"/>
      <c r="EA827" s="43"/>
      <c r="EB827" s="43"/>
      <c r="EC827" s="43"/>
      <c r="ED827" s="43"/>
      <c r="EE827" s="43"/>
      <c r="EF827" s="43"/>
      <c r="EG827" s="43"/>
      <c r="EH827" s="43"/>
      <c r="EI827" s="43"/>
      <c r="EJ827" s="43"/>
      <c r="EK827" s="43"/>
      <c r="EL827" s="43"/>
      <c r="EM827" s="43"/>
      <c r="EN827" s="43"/>
      <c r="EO827" s="43"/>
      <c r="EP827" s="43"/>
      <c r="EQ827" s="43"/>
      <c r="ER827" s="43"/>
      <c r="ES827" s="43"/>
      <c r="ET827" s="43"/>
      <c r="EU827" s="43"/>
      <c r="EV827" s="43"/>
      <c r="EW827" s="43"/>
      <c r="EX827" s="43"/>
      <c r="EY827" s="43"/>
      <c r="EZ827" s="43"/>
      <c r="FA827" s="43"/>
      <c r="FB827" s="43"/>
      <c r="FC827" s="43"/>
      <c r="FD827" s="43"/>
      <c r="FE827" s="43"/>
      <c r="FF827" s="43"/>
      <c r="FG827" s="43"/>
      <c r="FH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c r="BO828" s="43"/>
      <c r="BP828" s="43"/>
      <c r="BQ828" s="43"/>
      <c r="BR828" s="43"/>
      <c r="BS828" s="43"/>
      <c r="BT828" s="43"/>
      <c r="BU828" s="43"/>
      <c r="BV828" s="43"/>
      <c r="BW828" s="43"/>
      <c r="BX828" s="43"/>
      <c r="BY828" s="43"/>
      <c r="BZ828" s="43"/>
      <c r="CA828" s="43"/>
      <c r="CB828" s="43"/>
      <c r="CC828" s="43"/>
      <c r="CD828" s="43"/>
      <c r="CE828" s="43"/>
      <c r="CF828" s="43"/>
      <c r="CG828" s="43"/>
      <c r="CH828" s="43"/>
      <c r="CI828" s="43"/>
      <c r="CJ828" s="43"/>
      <c r="CK828" s="43"/>
      <c r="CL828" s="43"/>
      <c r="CM828" s="43"/>
      <c r="CN828" s="43"/>
      <c r="CO828" s="43"/>
      <c r="CP828" s="43"/>
      <c r="CQ828" s="43"/>
      <c r="CR828" s="43"/>
      <c r="CS828" s="43"/>
      <c r="CT828" s="43"/>
      <c r="CU828" s="43"/>
      <c r="CV828" s="43"/>
      <c r="CW828" s="43"/>
      <c r="CX828" s="43"/>
      <c r="CY828" s="43"/>
      <c r="CZ828" s="43"/>
      <c r="DA828" s="43"/>
      <c r="DB828" s="43"/>
      <c r="DC828" s="43"/>
      <c r="DD828" s="43"/>
      <c r="DE828" s="43"/>
      <c r="DF828" s="43"/>
      <c r="DG828" s="43"/>
      <c r="DH828" s="43"/>
      <c r="DI828" s="43"/>
      <c r="DJ828" s="43"/>
      <c r="DK828" s="43"/>
      <c r="DL828" s="43"/>
      <c r="DM828" s="43"/>
      <c r="DN828" s="43"/>
      <c r="DO828" s="43"/>
      <c r="DP828" s="43"/>
      <c r="DQ828" s="43"/>
      <c r="DR828" s="43"/>
      <c r="DS828" s="43"/>
      <c r="DT828" s="43"/>
      <c r="DU828" s="43"/>
      <c r="DV828" s="43"/>
      <c r="DW828" s="43"/>
      <c r="DX828" s="43"/>
      <c r="DY828" s="43"/>
      <c r="DZ828" s="43"/>
      <c r="EA828" s="43"/>
      <c r="EB828" s="43"/>
      <c r="EC828" s="43"/>
      <c r="ED828" s="43"/>
      <c r="EE828" s="43"/>
      <c r="EF828" s="43"/>
      <c r="EG828" s="43"/>
      <c r="EH828" s="43"/>
      <c r="EI828" s="43"/>
      <c r="EJ828" s="43"/>
      <c r="EK828" s="43"/>
      <c r="EL828" s="43"/>
      <c r="EM828" s="43"/>
      <c r="EN828" s="43"/>
      <c r="EO828" s="43"/>
      <c r="EP828" s="43"/>
      <c r="EQ828" s="43"/>
      <c r="ER828" s="43"/>
      <c r="ES828" s="43"/>
      <c r="ET828" s="43"/>
      <c r="EU828" s="43"/>
      <c r="EV828" s="43"/>
      <c r="EW828" s="43"/>
      <c r="EX828" s="43"/>
      <c r="EY828" s="43"/>
      <c r="EZ828" s="43"/>
      <c r="FA828" s="43"/>
      <c r="FB828" s="43"/>
      <c r="FC828" s="43"/>
      <c r="FD828" s="43"/>
      <c r="FE828" s="43"/>
      <c r="FF828" s="43"/>
      <c r="FG828" s="43"/>
      <c r="FH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c r="BO829" s="43"/>
      <c r="BP829" s="43"/>
      <c r="BQ829" s="43"/>
      <c r="BR829" s="43"/>
      <c r="BS829" s="43"/>
      <c r="BT829" s="43"/>
      <c r="BU829" s="43"/>
      <c r="BV829" s="43"/>
      <c r="BW829" s="43"/>
      <c r="BX829" s="43"/>
      <c r="BY829" s="43"/>
      <c r="BZ829" s="43"/>
      <c r="CA829" s="43"/>
      <c r="CB829" s="43"/>
      <c r="CC829" s="43"/>
      <c r="CD829" s="43"/>
      <c r="CE829" s="43"/>
      <c r="CF829" s="43"/>
      <c r="CG829" s="43"/>
      <c r="CH829" s="43"/>
      <c r="CI829" s="43"/>
      <c r="CJ829" s="43"/>
      <c r="CK829" s="43"/>
      <c r="CL829" s="43"/>
      <c r="CM829" s="43"/>
      <c r="CN829" s="43"/>
      <c r="CO829" s="43"/>
      <c r="CP829" s="43"/>
      <c r="CQ829" s="43"/>
      <c r="CR829" s="43"/>
      <c r="CS829" s="43"/>
      <c r="CT829" s="43"/>
      <c r="CU829" s="43"/>
      <c r="CV829" s="43"/>
      <c r="CW829" s="43"/>
      <c r="CX829" s="43"/>
      <c r="CY829" s="43"/>
      <c r="CZ829" s="43"/>
      <c r="DA829" s="43"/>
      <c r="DB829" s="43"/>
      <c r="DC829" s="43"/>
      <c r="DD829" s="43"/>
      <c r="DE829" s="43"/>
      <c r="DF829" s="43"/>
      <c r="DG829" s="43"/>
      <c r="DH829" s="43"/>
      <c r="DI829" s="43"/>
      <c r="DJ829" s="43"/>
      <c r="DK829" s="43"/>
      <c r="DL829" s="43"/>
      <c r="DM829" s="43"/>
      <c r="DN829" s="43"/>
      <c r="DO829" s="43"/>
      <c r="DP829" s="43"/>
      <c r="DQ829" s="43"/>
      <c r="DR829" s="43"/>
      <c r="DS829" s="43"/>
      <c r="DT829" s="43"/>
      <c r="DU829" s="43"/>
      <c r="DV829" s="43"/>
      <c r="DW829" s="43"/>
      <c r="DX829" s="43"/>
      <c r="DY829" s="43"/>
      <c r="DZ829" s="43"/>
      <c r="EA829" s="43"/>
      <c r="EB829" s="43"/>
      <c r="EC829" s="43"/>
      <c r="ED829" s="43"/>
      <c r="EE829" s="43"/>
      <c r="EF829" s="43"/>
      <c r="EG829" s="43"/>
      <c r="EH829" s="43"/>
      <c r="EI829" s="43"/>
      <c r="EJ829" s="43"/>
      <c r="EK829" s="43"/>
      <c r="EL829" s="43"/>
      <c r="EM829" s="43"/>
      <c r="EN829" s="43"/>
      <c r="EO829" s="43"/>
      <c r="EP829" s="43"/>
      <c r="EQ829" s="43"/>
      <c r="ER829" s="43"/>
      <c r="ES829" s="43"/>
      <c r="ET829" s="43"/>
      <c r="EU829" s="43"/>
      <c r="EV829" s="43"/>
      <c r="EW829" s="43"/>
      <c r="EX829" s="43"/>
      <c r="EY829" s="43"/>
      <c r="EZ829" s="43"/>
      <c r="FA829" s="43"/>
      <c r="FB829" s="43"/>
      <c r="FC829" s="43"/>
      <c r="FD829" s="43"/>
      <c r="FE829" s="43"/>
      <c r="FF829" s="43"/>
      <c r="FG829" s="43"/>
      <c r="FH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43"/>
      <c r="BP830" s="43"/>
      <c r="BQ830" s="43"/>
      <c r="BR830" s="43"/>
      <c r="BS830" s="43"/>
      <c r="BT830" s="43"/>
      <c r="BU830" s="43"/>
      <c r="BV830" s="43"/>
      <c r="BW830" s="43"/>
      <c r="BX830" s="43"/>
      <c r="BY830" s="43"/>
      <c r="BZ830" s="43"/>
      <c r="CA830" s="43"/>
      <c r="CB830" s="43"/>
      <c r="CC830" s="43"/>
      <c r="CD830" s="43"/>
      <c r="CE830" s="43"/>
      <c r="CF830" s="43"/>
      <c r="CG830" s="43"/>
      <c r="CH830" s="43"/>
      <c r="CI830" s="43"/>
      <c r="CJ830" s="43"/>
      <c r="CK830" s="43"/>
      <c r="CL830" s="43"/>
      <c r="CM830" s="43"/>
      <c r="CN830" s="43"/>
      <c r="CO830" s="43"/>
      <c r="CP830" s="43"/>
      <c r="CQ830" s="43"/>
      <c r="CR830" s="43"/>
      <c r="CS830" s="43"/>
      <c r="CT830" s="43"/>
      <c r="CU830" s="43"/>
      <c r="CV830" s="43"/>
      <c r="CW830" s="43"/>
      <c r="CX830" s="43"/>
      <c r="CY830" s="43"/>
      <c r="CZ830" s="43"/>
      <c r="DA830" s="43"/>
      <c r="DB830" s="43"/>
      <c r="DC830" s="43"/>
      <c r="DD830" s="43"/>
      <c r="DE830" s="43"/>
      <c r="DF830" s="43"/>
      <c r="DG830" s="43"/>
      <c r="DH830" s="43"/>
      <c r="DI830" s="43"/>
      <c r="DJ830" s="43"/>
      <c r="DK830" s="43"/>
      <c r="DL830" s="43"/>
      <c r="DM830" s="43"/>
      <c r="DN830" s="43"/>
      <c r="DO830" s="43"/>
      <c r="DP830" s="43"/>
      <c r="DQ830" s="43"/>
      <c r="DR830" s="43"/>
      <c r="DS830" s="43"/>
      <c r="DT830" s="43"/>
      <c r="DU830" s="43"/>
      <c r="DV830" s="43"/>
      <c r="DW830" s="43"/>
      <c r="DX830" s="43"/>
      <c r="DY830" s="43"/>
      <c r="DZ830" s="43"/>
      <c r="EA830" s="43"/>
      <c r="EB830" s="43"/>
      <c r="EC830" s="43"/>
      <c r="ED830" s="43"/>
      <c r="EE830" s="43"/>
      <c r="EF830" s="43"/>
      <c r="EG830" s="43"/>
      <c r="EH830" s="43"/>
      <c r="EI830" s="43"/>
      <c r="EJ830" s="43"/>
      <c r="EK830" s="43"/>
      <c r="EL830" s="43"/>
      <c r="EM830" s="43"/>
      <c r="EN830" s="43"/>
      <c r="EO830" s="43"/>
      <c r="EP830" s="43"/>
      <c r="EQ830" s="43"/>
      <c r="ER830" s="43"/>
      <c r="ES830" s="43"/>
      <c r="ET830" s="43"/>
      <c r="EU830" s="43"/>
      <c r="EV830" s="43"/>
      <c r="EW830" s="43"/>
      <c r="EX830" s="43"/>
      <c r="EY830" s="43"/>
      <c r="EZ830" s="43"/>
      <c r="FA830" s="43"/>
      <c r="FB830" s="43"/>
      <c r="FC830" s="43"/>
      <c r="FD830" s="43"/>
      <c r="FE830" s="43"/>
      <c r="FF830" s="43"/>
      <c r="FG830" s="43"/>
      <c r="FH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c r="BO831" s="43"/>
      <c r="BP831" s="43"/>
      <c r="BQ831" s="43"/>
      <c r="BR831" s="43"/>
      <c r="BS831" s="43"/>
      <c r="BT831" s="43"/>
      <c r="BU831" s="43"/>
      <c r="BV831" s="43"/>
      <c r="BW831" s="43"/>
      <c r="BX831" s="43"/>
      <c r="BY831" s="43"/>
      <c r="BZ831" s="43"/>
      <c r="CA831" s="43"/>
      <c r="CB831" s="43"/>
      <c r="CC831" s="43"/>
      <c r="CD831" s="43"/>
      <c r="CE831" s="43"/>
      <c r="CF831" s="43"/>
      <c r="CG831" s="43"/>
      <c r="CH831" s="43"/>
      <c r="CI831" s="43"/>
      <c r="CJ831" s="43"/>
      <c r="CK831" s="43"/>
      <c r="CL831" s="43"/>
      <c r="CM831" s="43"/>
      <c r="CN831" s="43"/>
      <c r="CO831" s="43"/>
      <c r="CP831" s="43"/>
      <c r="CQ831" s="43"/>
      <c r="CR831" s="43"/>
      <c r="CS831" s="43"/>
      <c r="CT831" s="43"/>
      <c r="CU831" s="43"/>
      <c r="CV831" s="43"/>
      <c r="CW831" s="43"/>
      <c r="CX831" s="43"/>
      <c r="CY831" s="43"/>
      <c r="CZ831" s="43"/>
      <c r="DA831" s="43"/>
      <c r="DB831" s="43"/>
      <c r="DC831" s="43"/>
      <c r="DD831" s="43"/>
      <c r="DE831" s="43"/>
      <c r="DF831" s="43"/>
      <c r="DG831" s="43"/>
      <c r="DH831" s="43"/>
      <c r="DI831" s="43"/>
      <c r="DJ831" s="43"/>
      <c r="DK831" s="43"/>
      <c r="DL831" s="43"/>
      <c r="DM831" s="43"/>
      <c r="DN831" s="43"/>
      <c r="DO831" s="43"/>
      <c r="DP831" s="43"/>
      <c r="DQ831" s="43"/>
      <c r="DR831" s="43"/>
      <c r="DS831" s="43"/>
      <c r="DT831" s="43"/>
      <c r="DU831" s="43"/>
      <c r="DV831" s="43"/>
      <c r="DW831" s="43"/>
      <c r="DX831" s="43"/>
      <c r="DY831" s="43"/>
      <c r="DZ831" s="43"/>
      <c r="EA831" s="43"/>
      <c r="EB831" s="43"/>
      <c r="EC831" s="43"/>
      <c r="ED831" s="43"/>
      <c r="EE831" s="43"/>
      <c r="EF831" s="43"/>
      <c r="EG831" s="43"/>
      <c r="EH831" s="43"/>
      <c r="EI831" s="43"/>
      <c r="EJ831" s="43"/>
      <c r="EK831" s="43"/>
      <c r="EL831" s="43"/>
      <c r="EM831" s="43"/>
      <c r="EN831" s="43"/>
      <c r="EO831" s="43"/>
      <c r="EP831" s="43"/>
      <c r="EQ831" s="43"/>
      <c r="ER831" s="43"/>
      <c r="ES831" s="43"/>
      <c r="ET831" s="43"/>
      <c r="EU831" s="43"/>
      <c r="EV831" s="43"/>
      <c r="EW831" s="43"/>
      <c r="EX831" s="43"/>
      <c r="EY831" s="43"/>
      <c r="EZ831" s="43"/>
      <c r="FA831" s="43"/>
      <c r="FB831" s="43"/>
      <c r="FC831" s="43"/>
      <c r="FD831" s="43"/>
      <c r="FE831" s="43"/>
      <c r="FF831" s="43"/>
      <c r="FG831" s="43"/>
      <c r="FH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c r="BO832" s="43"/>
      <c r="BP832" s="43"/>
      <c r="BQ832" s="43"/>
      <c r="BR832" s="43"/>
      <c r="BS832" s="43"/>
      <c r="BT832" s="43"/>
      <c r="BU832" s="43"/>
      <c r="BV832" s="43"/>
      <c r="BW832" s="43"/>
      <c r="BX832" s="43"/>
      <c r="BY832" s="43"/>
      <c r="BZ832" s="43"/>
      <c r="CA832" s="43"/>
      <c r="CB832" s="43"/>
      <c r="CC832" s="43"/>
      <c r="CD832" s="43"/>
      <c r="CE832" s="43"/>
      <c r="CF832" s="43"/>
      <c r="CG832" s="43"/>
      <c r="CH832" s="43"/>
      <c r="CI832" s="43"/>
      <c r="CJ832" s="43"/>
      <c r="CK832" s="43"/>
      <c r="CL832" s="43"/>
      <c r="CM832" s="43"/>
      <c r="CN832" s="43"/>
      <c r="CO832" s="43"/>
      <c r="CP832" s="43"/>
      <c r="CQ832" s="43"/>
      <c r="CR832" s="43"/>
      <c r="CS832" s="43"/>
      <c r="CT832" s="43"/>
      <c r="CU832" s="43"/>
      <c r="CV832" s="43"/>
      <c r="CW832" s="43"/>
      <c r="CX832" s="43"/>
      <c r="CY832" s="43"/>
      <c r="CZ832" s="43"/>
      <c r="DA832" s="43"/>
      <c r="DB832" s="43"/>
      <c r="DC832" s="43"/>
      <c r="DD832" s="43"/>
      <c r="DE832" s="43"/>
      <c r="DF832" s="43"/>
      <c r="DG832" s="43"/>
      <c r="DH832" s="43"/>
      <c r="DI832" s="43"/>
      <c r="DJ832" s="43"/>
      <c r="DK832" s="43"/>
      <c r="DL832" s="43"/>
      <c r="DM832" s="43"/>
      <c r="DN832" s="43"/>
      <c r="DO832" s="43"/>
      <c r="DP832" s="43"/>
      <c r="DQ832" s="43"/>
      <c r="DR832" s="43"/>
      <c r="DS832" s="43"/>
      <c r="DT832" s="43"/>
      <c r="DU832" s="43"/>
      <c r="DV832" s="43"/>
      <c r="DW832" s="43"/>
      <c r="DX832" s="43"/>
      <c r="DY832" s="43"/>
      <c r="DZ832" s="43"/>
      <c r="EA832" s="43"/>
      <c r="EB832" s="43"/>
      <c r="EC832" s="43"/>
      <c r="ED832" s="43"/>
      <c r="EE832" s="43"/>
      <c r="EF832" s="43"/>
      <c r="EG832" s="43"/>
      <c r="EH832" s="43"/>
      <c r="EI832" s="43"/>
      <c r="EJ832" s="43"/>
      <c r="EK832" s="43"/>
      <c r="EL832" s="43"/>
      <c r="EM832" s="43"/>
      <c r="EN832" s="43"/>
      <c r="EO832" s="43"/>
      <c r="EP832" s="43"/>
      <c r="EQ832" s="43"/>
      <c r="ER832" s="43"/>
      <c r="ES832" s="43"/>
      <c r="ET832" s="43"/>
      <c r="EU832" s="43"/>
      <c r="EV832" s="43"/>
      <c r="EW832" s="43"/>
      <c r="EX832" s="43"/>
      <c r="EY832" s="43"/>
      <c r="EZ832" s="43"/>
      <c r="FA832" s="43"/>
      <c r="FB832" s="43"/>
      <c r="FC832" s="43"/>
      <c r="FD832" s="43"/>
      <c r="FE832" s="43"/>
      <c r="FF832" s="43"/>
      <c r="FG832" s="43"/>
      <c r="FH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43"/>
      <c r="BP833" s="43"/>
      <c r="BQ833" s="43"/>
      <c r="BR833" s="43"/>
      <c r="BS833" s="43"/>
      <c r="BT833" s="43"/>
      <c r="BU833" s="43"/>
      <c r="BV833" s="43"/>
      <c r="BW833" s="43"/>
      <c r="BX833" s="43"/>
      <c r="BY833" s="43"/>
      <c r="BZ833" s="43"/>
      <c r="CA833" s="43"/>
      <c r="CB833" s="43"/>
      <c r="CC833" s="43"/>
      <c r="CD833" s="43"/>
      <c r="CE833" s="43"/>
      <c r="CF833" s="43"/>
      <c r="CG833" s="43"/>
      <c r="CH833" s="43"/>
      <c r="CI833" s="43"/>
      <c r="CJ833" s="43"/>
      <c r="CK833" s="43"/>
      <c r="CL833" s="43"/>
      <c r="CM833" s="43"/>
      <c r="CN833" s="43"/>
      <c r="CO833" s="43"/>
      <c r="CP833" s="43"/>
      <c r="CQ833" s="43"/>
      <c r="CR833" s="43"/>
      <c r="CS833" s="43"/>
      <c r="CT833" s="43"/>
      <c r="CU833" s="43"/>
      <c r="CV833" s="43"/>
      <c r="CW833" s="43"/>
      <c r="CX833" s="43"/>
      <c r="CY833" s="43"/>
      <c r="CZ833" s="43"/>
      <c r="DA833" s="43"/>
      <c r="DB833" s="43"/>
      <c r="DC833" s="43"/>
      <c r="DD833" s="43"/>
      <c r="DE833" s="43"/>
      <c r="DF833" s="43"/>
      <c r="DG833" s="43"/>
      <c r="DH833" s="43"/>
      <c r="DI833" s="43"/>
      <c r="DJ833" s="43"/>
      <c r="DK833" s="43"/>
      <c r="DL833" s="43"/>
      <c r="DM833" s="43"/>
      <c r="DN833" s="43"/>
      <c r="DO833" s="43"/>
      <c r="DP833" s="43"/>
      <c r="DQ833" s="43"/>
      <c r="DR833" s="43"/>
      <c r="DS833" s="43"/>
      <c r="DT833" s="43"/>
      <c r="DU833" s="43"/>
      <c r="DV833" s="43"/>
      <c r="DW833" s="43"/>
      <c r="DX833" s="43"/>
      <c r="DY833" s="43"/>
      <c r="DZ833" s="43"/>
      <c r="EA833" s="43"/>
      <c r="EB833" s="43"/>
      <c r="EC833" s="43"/>
      <c r="ED833" s="43"/>
      <c r="EE833" s="43"/>
      <c r="EF833" s="43"/>
      <c r="EG833" s="43"/>
      <c r="EH833" s="43"/>
      <c r="EI833" s="43"/>
      <c r="EJ833" s="43"/>
      <c r="EK833" s="43"/>
      <c r="EL833" s="43"/>
      <c r="EM833" s="43"/>
      <c r="EN833" s="43"/>
      <c r="EO833" s="43"/>
      <c r="EP833" s="43"/>
      <c r="EQ833" s="43"/>
      <c r="ER833" s="43"/>
      <c r="ES833" s="43"/>
      <c r="ET833" s="43"/>
      <c r="EU833" s="43"/>
      <c r="EV833" s="43"/>
      <c r="EW833" s="43"/>
      <c r="EX833" s="43"/>
      <c r="EY833" s="43"/>
      <c r="EZ833" s="43"/>
      <c r="FA833" s="43"/>
      <c r="FB833" s="43"/>
      <c r="FC833" s="43"/>
      <c r="FD833" s="43"/>
      <c r="FE833" s="43"/>
      <c r="FF833" s="43"/>
      <c r="FG833" s="43"/>
      <c r="FH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c r="BO834" s="43"/>
      <c r="BP834" s="43"/>
      <c r="BQ834" s="43"/>
      <c r="BR834" s="43"/>
      <c r="BS834" s="43"/>
      <c r="BT834" s="43"/>
      <c r="BU834" s="43"/>
      <c r="BV834" s="43"/>
      <c r="BW834" s="43"/>
      <c r="BX834" s="43"/>
      <c r="BY834" s="43"/>
      <c r="BZ834" s="43"/>
      <c r="CA834" s="43"/>
      <c r="CB834" s="43"/>
      <c r="CC834" s="43"/>
      <c r="CD834" s="43"/>
      <c r="CE834" s="43"/>
      <c r="CF834" s="43"/>
      <c r="CG834" s="43"/>
      <c r="CH834" s="43"/>
      <c r="CI834" s="43"/>
      <c r="CJ834" s="43"/>
      <c r="CK834" s="43"/>
      <c r="CL834" s="43"/>
      <c r="CM834" s="43"/>
      <c r="CN834" s="43"/>
      <c r="CO834" s="43"/>
      <c r="CP834" s="43"/>
      <c r="CQ834" s="43"/>
      <c r="CR834" s="43"/>
      <c r="CS834" s="43"/>
      <c r="CT834" s="43"/>
      <c r="CU834" s="43"/>
      <c r="CV834" s="43"/>
      <c r="CW834" s="43"/>
      <c r="CX834" s="43"/>
      <c r="CY834" s="43"/>
      <c r="CZ834" s="43"/>
      <c r="DA834" s="43"/>
      <c r="DB834" s="43"/>
      <c r="DC834" s="43"/>
      <c r="DD834" s="43"/>
      <c r="DE834" s="43"/>
      <c r="DF834" s="43"/>
      <c r="DG834" s="43"/>
      <c r="DH834" s="43"/>
      <c r="DI834" s="43"/>
      <c r="DJ834" s="43"/>
      <c r="DK834" s="43"/>
      <c r="DL834" s="43"/>
      <c r="DM834" s="43"/>
      <c r="DN834" s="43"/>
      <c r="DO834" s="43"/>
      <c r="DP834" s="43"/>
      <c r="DQ834" s="43"/>
      <c r="DR834" s="43"/>
      <c r="DS834" s="43"/>
      <c r="DT834" s="43"/>
      <c r="DU834" s="43"/>
      <c r="DV834" s="43"/>
      <c r="DW834" s="43"/>
      <c r="DX834" s="43"/>
      <c r="DY834" s="43"/>
      <c r="DZ834" s="43"/>
      <c r="EA834" s="43"/>
      <c r="EB834" s="43"/>
      <c r="EC834" s="43"/>
      <c r="ED834" s="43"/>
      <c r="EE834" s="43"/>
      <c r="EF834" s="43"/>
      <c r="EG834" s="43"/>
      <c r="EH834" s="43"/>
      <c r="EI834" s="43"/>
      <c r="EJ834" s="43"/>
      <c r="EK834" s="43"/>
      <c r="EL834" s="43"/>
      <c r="EM834" s="43"/>
      <c r="EN834" s="43"/>
      <c r="EO834" s="43"/>
      <c r="EP834" s="43"/>
      <c r="EQ834" s="43"/>
      <c r="ER834" s="43"/>
      <c r="ES834" s="43"/>
      <c r="ET834" s="43"/>
      <c r="EU834" s="43"/>
      <c r="EV834" s="43"/>
      <c r="EW834" s="43"/>
      <c r="EX834" s="43"/>
      <c r="EY834" s="43"/>
      <c r="EZ834" s="43"/>
      <c r="FA834" s="43"/>
      <c r="FB834" s="43"/>
      <c r="FC834" s="43"/>
      <c r="FD834" s="43"/>
      <c r="FE834" s="43"/>
      <c r="FF834" s="43"/>
      <c r="FG834" s="43"/>
      <c r="FH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c r="BO835" s="43"/>
      <c r="BP835" s="43"/>
      <c r="BQ835" s="43"/>
      <c r="BR835" s="43"/>
      <c r="BS835" s="43"/>
      <c r="BT835" s="43"/>
      <c r="BU835" s="43"/>
      <c r="BV835" s="43"/>
      <c r="BW835" s="43"/>
      <c r="BX835" s="43"/>
      <c r="BY835" s="43"/>
      <c r="BZ835" s="43"/>
      <c r="CA835" s="43"/>
      <c r="CB835" s="43"/>
      <c r="CC835" s="43"/>
      <c r="CD835" s="43"/>
      <c r="CE835" s="43"/>
      <c r="CF835" s="43"/>
      <c r="CG835" s="43"/>
      <c r="CH835" s="43"/>
      <c r="CI835" s="43"/>
      <c r="CJ835" s="43"/>
      <c r="CK835" s="43"/>
      <c r="CL835" s="43"/>
      <c r="CM835" s="43"/>
      <c r="CN835" s="43"/>
      <c r="CO835" s="43"/>
      <c r="CP835" s="43"/>
      <c r="CQ835" s="43"/>
      <c r="CR835" s="43"/>
      <c r="CS835" s="43"/>
      <c r="CT835" s="43"/>
      <c r="CU835" s="43"/>
      <c r="CV835" s="43"/>
      <c r="CW835" s="43"/>
      <c r="CX835" s="43"/>
      <c r="CY835" s="43"/>
      <c r="CZ835" s="43"/>
      <c r="DA835" s="43"/>
      <c r="DB835" s="43"/>
      <c r="DC835" s="43"/>
      <c r="DD835" s="43"/>
      <c r="DE835" s="43"/>
      <c r="DF835" s="43"/>
      <c r="DG835" s="43"/>
      <c r="DH835" s="43"/>
      <c r="DI835" s="43"/>
      <c r="DJ835" s="43"/>
      <c r="DK835" s="43"/>
      <c r="DL835" s="43"/>
      <c r="DM835" s="43"/>
      <c r="DN835" s="43"/>
      <c r="DO835" s="43"/>
      <c r="DP835" s="43"/>
      <c r="DQ835" s="43"/>
      <c r="DR835" s="43"/>
      <c r="DS835" s="43"/>
      <c r="DT835" s="43"/>
      <c r="DU835" s="43"/>
      <c r="DV835" s="43"/>
      <c r="DW835" s="43"/>
      <c r="DX835" s="43"/>
      <c r="DY835" s="43"/>
      <c r="DZ835" s="43"/>
      <c r="EA835" s="43"/>
      <c r="EB835" s="43"/>
      <c r="EC835" s="43"/>
      <c r="ED835" s="43"/>
      <c r="EE835" s="43"/>
      <c r="EF835" s="43"/>
      <c r="EG835" s="43"/>
      <c r="EH835" s="43"/>
      <c r="EI835" s="43"/>
      <c r="EJ835" s="43"/>
      <c r="EK835" s="43"/>
      <c r="EL835" s="43"/>
      <c r="EM835" s="43"/>
      <c r="EN835" s="43"/>
      <c r="EO835" s="43"/>
      <c r="EP835" s="43"/>
      <c r="EQ835" s="43"/>
      <c r="ER835" s="43"/>
      <c r="ES835" s="43"/>
      <c r="ET835" s="43"/>
      <c r="EU835" s="43"/>
      <c r="EV835" s="43"/>
      <c r="EW835" s="43"/>
      <c r="EX835" s="43"/>
      <c r="EY835" s="43"/>
      <c r="EZ835" s="43"/>
      <c r="FA835" s="43"/>
      <c r="FB835" s="43"/>
      <c r="FC835" s="43"/>
      <c r="FD835" s="43"/>
      <c r="FE835" s="43"/>
      <c r="FF835" s="43"/>
      <c r="FG835" s="43"/>
      <c r="FH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43"/>
      <c r="BP836" s="43"/>
      <c r="BQ836" s="43"/>
      <c r="BR836" s="43"/>
      <c r="BS836" s="43"/>
      <c r="BT836" s="43"/>
      <c r="BU836" s="43"/>
      <c r="BV836" s="43"/>
      <c r="BW836" s="43"/>
      <c r="BX836" s="43"/>
      <c r="BY836" s="43"/>
      <c r="BZ836" s="43"/>
      <c r="CA836" s="43"/>
      <c r="CB836" s="43"/>
      <c r="CC836" s="43"/>
      <c r="CD836" s="43"/>
      <c r="CE836" s="43"/>
      <c r="CF836" s="43"/>
      <c r="CG836" s="43"/>
      <c r="CH836" s="43"/>
      <c r="CI836" s="43"/>
      <c r="CJ836" s="43"/>
      <c r="CK836" s="43"/>
      <c r="CL836" s="43"/>
      <c r="CM836" s="43"/>
      <c r="CN836" s="43"/>
      <c r="CO836" s="43"/>
      <c r="CP836" s="43"/>
      <c r="CQ836" s="43"/>
      <c r="CR836" s="43"/>
      <c r="CS836" s="43"/>
      <c r="CT836" s="43"/>
      <c r="CU836" s="43"/>
      <c r="CV836" s="43"/>
      <c r="CW836" s="43"/>
      <c r="CX836" s="43"/>
      <c r="CY836" s="43"/>
      <c r="CZ836" s="43"/>
      <c r="DA836" s="43"/>
      <c r="DB836" s="43"/>
      <c r="DC836" s="43"/>
      <c r="DD836" s="43"/>
      <c r="DE836" s="43"/>
      <c r="DF836" s="43"/>
      <c r="DG836" s="43"/>
      <c r="DH836" s="43"/>
      <c r="DI836" s="43"/>
      <c r="DJ836" s="43"/>
      <c r="DK836" s="43"/>
      <c r="DL836" s="43"/>
      <c r="DM836" s="43"/>
      <c r="DN836" s="43"/>
      <c r="DO836" s="43"/>
      <c r="DP836" s="43"/>
      <c r="DQ836" s="43"/>
      <c r="DR836" s="43"/>
      <c r="DS836" s="43"/>
      <c r="DT836" s="43"/>
      <c r="DU836" s="43"/>
      <c r="DV836" s="43"/>
      <c r="DW836" s="43"/>
      <c r="DX836" s="43"/>
      <c r="DY836" s="43"/>
      <c r="DZ836" s="43"/>
      <c r="EA836" s="43"/>
      <c r="EB836" s="43"/>
      <c r="EC836" s="43"/>
      <c r="ED836" s="43"/>
      <c r="EE836" s="43"/>
      <c r="EF836" s="43"/>
      <c r="EG836" s="43"/>
      <c r="EH836" s="43"/>
      <c r="EI836" s="43"/>
      <c r="EJ836" s="43"/>
      <c r="EK836" s="43"/>
      <c r="EL836" s="43"/>
      <c r="EM836" s="43"/>
      <c r="EN836" s="43"/>
      <c r="EO836" s="43"/>
      <c r="EP836" s="43"/>
      <c r="EQ836" s="43"/>
      <c r="ER836" s="43"/>
      <c r="ES836" s="43"/>
      <c r="ET836" s="43"/>
      <c r="EU836" s="43"/>
      <c r="EV836" s="43"/>
      <c r="EW836" s="43"/>
      <c r="EX836" s="43"/>
      <c r="EY836" s="43"/>
      <c r="EZ836" s="43"/>
      <c r="FA836" s="43"/>
      <c r="FB836" s="43"/>
      <c r="FC836" s="43"/>
      <c r="FD836" s="43"/>
      <c r="FE836" s="43"/>
      <c r="FF836" s="43"/>
      <c r="FG836" s="43"/>
      <c r="FH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43"/>
      <c r="BP837" s="43"/>
      <c r="BQ837" s="43"/>
      <c r="BR837" s="43"/>
      <c r="BS837" s="43"/>
      <c r="BT837" s="43"/>
      <c r="BU837" s="43"/>
      <c r="BV837" s="43"/>
      <c r="BW837" s="43"/>
      <c r="BX837" s="43"/>
      <c r="BY837" s="43"/>
      <c r="BZ837" s="43"/>
      <c r="CA837" s="43"/>
      <c r="CB837" s="43"/>
      <c r="CC837" s="43"/>
      <c r="CD837" s="43"/>
      <c r="CE837" s="43"/>
      <c r="CF837" s="43"/>
      <c r="CG837" s="43"/>
      <c r="CH837" s="43"/>
      <c r="CI837" s="43"/>
      <c r="CJ837" s="43"/>
      <c r="CK837" s="43"/>
      <c r="CL837" s="43"/>
      <c r="CM837" s="43"/>
      <c r="CN837" s="43"/>
      <c r="CO837" s="43"/>
      <c r="CP837" s="43"/>
      <c r="CQ837" s="43"/>
      <c r="CR837" s="43"/>
      <c r="CS837" s="43"/>
      <c r="CT837" s="43"/>
      <c r="CU837" s="43"/>
      <c r="CV837" s="43"/>
      <c r="CW837" s="43"/>
      <c r="CX837" s="43"/>
      <c r="CY837" s="43"/>
      <c r="CZ837" s="43"/>
      <c r="DA837" s="43"/>
      <c r="DB837" s="43"/>
      <c r="DC837" s="43"/>
      <c r="DD837" s="43"/>
      <c r="DE837" s="43"/>
      <c r="DF837" s="43"/>
      <c r="DG837" s="43"/>
      <c r="DH837" s="43"/>
      <c r="DI837" s="43"/>
      <c r="DJ837" s="43"/>
      <c r="DK837" s="43"/>
      <c r="DL837" s="43"/>
      <c r="DM837" s="43"/>
      <c r="DN837" s="43"/>
      <c r="DO837" s="43"/>
      <c r="DP837" s="43"/>
      <c r="DQ837" s="43"/>
      <c r="DR837" s="43"/>
      <c r="DS837" s="43"/>
      <c r="DT837" s="43"/>
      <c r="DU837" s="43"/>
      <c r="DV837" s="43"/>
      <c r="DW837" s="43"/>
      <c r="DX837" s="43"/>
      <c r="DY837" s="43"/>
      <c r="DZ837" s="43"/>
      <c r="EA837" s="43"/>
      <c r="EB837" s="43"/>
      <c r="EC837" s="43"/>
      <c r="ED837" s="43"/>
      <c r="EE837" s="43"/>
      <c r="EF837" s="43"/>
      <c r="EG837" s="43"/>
      <c r="EH837" s="43"/>
      <c r="EI837" s="43"/>
      <c r="EJ837" s="43"/>
      <c r="EK837" s="43"/>
      <c r="EL837" s="43"/>
      <c r="EM837" s="43"/>
      <c r="EN837" s="43"/>
      <c r="EO837" s="43"/>
      <c r="EP837" s="43"/>
      <c r="EQ837" s="43"/>
      <c r="ER837" s="43"/>
      <c r="ES837" s="43"/>
      <c r="ET837" s="43"/>
      <c r="EU837" s="43"/>
      <c r="EV837" s="43"/>
      <c r="EW837" s="43"/>
      <c r="EX837" s="43"/>
      <c r="EY837" s="43"/>
      <c r="EZ837" s="43"/>
      <c r="FA837" s="43"/>
      <c r="FB837" s="43"/>
      <c r="FC837" s="43"/>
      <c r="FD837" s="43"/>
      <c r="FE837" s="43"/>
      <c r="FF837" s="43"/>
      <c r="FG837" s="43"/>
      <c r="FH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c r="BO838" s="43"/>
      <c r="BP838" s="43"/>
      <c r="BQ838" s="43"/>
      <c r="BR838" s="43"/>
      <c r="BS838" s="43"/>
      <c r="BT838" s="43"/>
      <c r="BU838" s="43"/>
      <c r="BV838" s="43"/>
      <c r="BW838" s="43"/>
      <c r="BX838" s="43"/>
      <c r="BY838" s="43"/>
      <c r="BZ838" s="43"/>
      <c r="CA838" s="43"/>
      <c r="CB838" s="43"/>
      <c r="CC838" s="43"/>
      <c r="CD838" s="43"/>
      <c r="CE838" s="43"/>
      <c r="CF838" s="43"/>
      <c r="CG838" s="43"/>
      <c r="CH838" s="43"/>
      <c r="CI838" s="43"/>
      <c r="CJ838" s="43"/>
      <c r="CK838" s="43"/>
      <c r="CL838" s="43"/>
      <c r="CM838" s="43"/>
      <c r="CN838" s="43"/>
      <c r="CO838" s="43"/>
      <c r="CP838" s="43"/>
      <c r="CQ838" s="43"/>
      <c r="CR838" s="43"/>
      <c r="CS838" s="43"/>
      <c r="CT838" s="43"/>
      <c r="CU838" s="43"/>
      <c r="CV838" s="43"/>
      <c r="CW838" s="43"/>
      <c r="CX838" s="43"/>
      <c r="CY838" s="43"/>
      <c r="CZ838" s="43"/>
      <c r="DA838" s="43"/>
      <c r="DB838" s="43"/>
      <c r="DC838" s="43"/>
      <c r="DD838" s="43"/>
      <c r="DE838" s="43"/>
      <c r="DF838" s="43"/>
      <c r="DG838" s="43"/>
      <c r="DH838" s="43"/>
      <c r="DI838" s="43"/>
      <c r="DJ838" s="43"/>
      <c r="DK838" s="43"/>
      <c r="DL838" s="43"/>
      <c r="DM838" s="43"/>
      <c r="DN838" s="43"/>
      <c r="DO838" s="43"/>
      <c r="DP838" s="43"/>
      <c r="DQ838" s="43"/>
      <c r="DR838" s="43"/>
      <c r="DS838" s="43"/>
      <c r="DT838" s="43"/>
      <c r="DU838" s="43"/>
      <c r="DV838" s="43"/>
      <c r="DW838" s="43"/>
      <c r="DX838" s="43"/>
      <c r="DY838" s="43"/>
      <c r="DZ838" s="43"/>
      <c r="EA838" s="43"/>
      <c r="EB838" s="43"/>
      <c r="EC838" s="43"/>
      <c r="ED838" s="43"/>
      <c r="EE838" s="43"/>
      <c r="EF838" s="43"/>
      <c r="EG838" s="43"/>
      <c r="EH838" s="43"/>
      <c r="EI838" s="43"/>
      <c r="EJ838" s="43"/>
      <c r="EK838" s="43"/>
      <c r="EL838" s="43"/>
      <c r="EM838" s="43"/>
      <c r="EN838" s="43"/>
      <c r="EO838" s="43"/>
      <c r="EP838" s="43"/>
      <c r="EQ838" s="43"/>
      <c r="ER838" s="43"/>
      <c r="ES838" s="43"/>
      <c r="ET838" s="43"/>
      <c r="EU838" s="43"/>
      <c r="EV838" s="43"/>
      <c r="EW838" s="43"/>
      <c r="EX838" s="43"/>
      <c r="EY838" s="43"/>
      <c r="EZ838" s="43"/>
      <c r="FA838" s="43"/>
      <c r="FB838" s="43"/>
      <c r="FC838" s="43"/>
      <c r="FD838" s="43"/>
      <c r="FE838" s="43"/>
      <c r="FF838" s="43"/>
      <c r="FG838" s="43"/>
      <c r="FH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43"/>
      <c r="BP839" s="43"/>
      <c r="BQ839" s="43"/>
      <c r="BR839" s="43"/>
      <c r="BS839" s="43"/>
      <c r="BT839" s="43"/>
      <c r="BU839" s="43"/>
      <c r="BV839" s="43"/>
      <c r="BW839" s="43"/>
      <c r="BX839" s="43"/>
      <c r="BY839" s="43"/>
      <c r="BZ839" s="43"/>
      <c r="CA839" s="43"/>
      <c r="CB839" s="43"/>
      <c r="CC839" s="43"/>
      <c r="CD839" s="43"/>
      <c r="CE839" s="43"/>
      <c r="CF839" s="43"/>
      <c r="CG839" s="43"/>
      <c r="CH839" s="43"/>
      <c r="CI839" s="43"/>
      <c r="CJ839" s="43"/>
      <c r="CK839" s="43"/>
      <c r="CL839" s="43"/>
      <c r="CM839" s="43"/>
      <c r="CN839" s="43"/>
      <c r="CO839" s="43"/>
      <c r="CP839" s="43"/>
      <c r="CQ839" s="43"/>
      <c r="CR839" s="43"/>
      <c r="CS839" s="43"/>
      <c r="CT839" s="43"/>
      <c r="CU839" s="43"/>
      <c r="CV839" s="43"/>
      <c r="CW839" s="43"/>
      <c r="CX839" s="43"/>
      <c r="CY839" s="43"/>
      <c r="CZ839" s="43"/>
      <c r="DA839" s="43"/>
      <c r="DB839" s="43"/>
      <c r="DC839" s="43"/>
      <c r="DD839" s="43"/>
      <c r="DE839" s="43"/>
      <c r="DF839" s="43"/>
      <c r="DG839" s="43"/>
      <c r="DH839" s="43"/>
      <c r="DI839" s="43"/>
      <c r="DJ839" s="43"/>
      <c r="DK839" s="43"/>
      <c r="DL839" s="43"/>
      <c r="DM839" s="43"/>
      <c r="DN839" s="43"/>
      <c r="DO839" s="43"/>
      <c r="DP839" s="43"/>
      <c r="DQ839" s="43"/>
      <c r="DR839" s="43"/>
      <c r="DS839" s="43"/>
      <c r="DT839" s="43"/>
      <c r="DU839" s="43"/>
      <c r="DV839" s="43"/>
      <c r="DW839" s="43"/>
      <c r="DX839" s="43"/>
      <c r="DY839" s="43"/>
      <c r="DZ839" s="43"/>
      <c r="EA839" s="43"/>
      <c r="EB839" s="43"/>
      <c r="EC839" s="43"/>
      <c r="ED839" s="43"/>
      <c r="EE839" s="43"/>
      <c r="EF839" s="43"/>
      <c r="EG839" s="43"/>
      <c r="EH839" s="43"/>
      <c r="EI839" s="43"/>
      <c r="EJ839" s="43"/>
      <c r="EK839" s="43"/>
      <c r="EL839" s="43"/>
      <c r="EM839" s="43"/>
      <c r="EN839" s="43"/>
      <c r="EO839" s="43"/>
      <c r="EP839" s="43"/>
      <c r="EQ839" s="43"/>
      <c r="ER839" s="43"/>
      <c r="ES839" s="43"/>
      <c r="ET839" s="43"/>
      <c r="EU839" s="43"/>
      <c r="EV839" s="43"/>
      <c r="EW839" s="43"/>
      <c r="EX839" s="43"/>
      <c r="EY839" s="43"/>
      <c r="EZ839" s="43"/>
      <c r="FA839" s="43"/>
      <c r="FB839" s="43"/>
      <c r="FC839" s="43"/>
      <c r="FD839" s="43"/>
      <c r="FE839" s="43"/>
      <c r="FF839" s="43"/>
      <c r="FG839" s="43"/>
      <c r="FH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43"/>
      <c r="BP840" s="43"/>
      <c r="BQ840" s="43"/>
      <c r="BR840" s="43"/>
      <c r="BS840" s="43"/>
      <c r="BT840" s="43"/>
      <c r="BU840" s="43"/>
      <c r="BV840" s="43"/>
      <c r="BW840" s="43"/>
      <c r="BX840" s="43"/>
      <c r="BY840" s="43"/>
      <c r="BZ840" s="43"/>
      <c r="CA840" s="43"/>
      <c r="CB840" s="43"/>
      <c r="CC840" s="43"/>
      <c r="CD840" s="43"/>
      <c r="CE840" s="43"/>
      <c r="CF840" s="43"/>
      <c r="CG840" s="43"/>
      <c r="CH840" s="43"/>
      <c r="CI840" s="43"/>
      <c r="CJ840" s="43"/>
      <c r="CK840" s="43"/>
      <c r="CL840" s="43"/>
      <c r="CM840" s="43"/>
      <c r="CN840" s="43"/>
      <c r="CO840" s="43"/>
      <c r="CP840" s="43"/>
      <c r="CQ840" s="43"/>
      <c r="CR840" s="43"/>
      <c r="CS840" s="43"/>
      <c r="CT840" s="43"/>
      <c r="CU840" s="43"/>
      <c r="CV840" s="43"/>
      <c r="CW840" s="43"/>
      <c r="CX840" s="43"/>
      <c r="CY840" s="43"/>
      <c r="CZ840" s="43"/>
      <c r="DA840" s="43"/>
      <c r="DB840" s="43"/>
      <c r="DC840" s="43"/>
      <c r="DD840" s="43"/>
      <c r="DE840" s="43"/>
      <c r="DF840" s="43"/>
      <c r="DG840" s="43"/>
      <c r="DH840" s="43"/>
      <c r="DI840" s="43"/>
      <c r="DJ840" s="43"/>
      <c r="DK840" s="43"/>
      <c r="DL840" s="43"/>
      <c r="DM840" s="43"/>
      <c r="DN840" s="43"/>
      <c r="DO840" s="43"/>
      <c r="DP840" s="43"/>
      <c r="DQ840" s="43"/>
      <c r="DR840" s="43"/>
      <c r="DS840" s="43"/>
      <c r="DT840" s="43"/>
      <c r="DU840" s="43"/>
      <c r="DV840" s="43"/>
      <c r="DW840" s="43"/>
      <c r="DX840" s="43"/>
      <c r="DY840" s="43"/>
      <c r="DZ840" s="43"/>
      <c r="EA840" s="43"/>
      <c r="EB840" s="43"/>
      <c r="EC840" s="43"/>
      <c r="ED840" s="43"/>
      <c r="EE840" s="43"/>
      <c r="EF840" s="43"/>
      <c r="EG840" s="43"/>
      <c r="EH840" s="43"/>
      <c r="EI840" s="43"/>
      <c r="EJ840" s="43"/>
      <c r="EK840" s="43"/>
      <c r="EL840" s="43"/>
      <c r="EM840" s="43"/>
      <c r="EN840" s="43"/>
      <c r="EO840" s="43"/>
      <c r="EP840" s="43"/>
      <c r="EQ840" s="43"/>
      <c r="ER840" s="43"/>
      <c r="ES840" s="43"/>
      <c r="ET840" s="43"/>
      <c r="EU840" s="43"/>
      <c r="EV840" s="43"/>
      <c r="EW840" s="43"/>
      <c r="EX840" s="43"/>
      <c r="EY840" s="43"/>
      <c r="EZ840" s="43"/>
      <c r="FA840" s="43"/>
      <c r="FB840" s="43"/>
      <c r="FC840" s="43"/>
      <c r="FD840" s="43"/>
      <c r="FE840" s="43"/>
      <c r="FF840" s="43"/>
      <c r="FG840" s="43"/>
      <c r="FH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c r="BU841" s="43"/>
      <c r="BV841" s="43"/>
      <c r="BW841" s="43"/>
      <c r="BX841" s="43"/>
      <c r="BY841" s="43"/>
      <c r="BZ841" s="43"/>
      <c r="CA841" s="43"/>
      <c r="CB841" s="43"/>
      <c r="CC841" s="43"/>
      <c r="CD841" s="43"/>
      <c r="CE841" s="43"/>
      <c r="CF841" s="43"/>
      <c r="CG841" s="43"/>
      <c r="CH841" s="43"/>
      <c r="CI841" s="43"/>
      <c r="CJ841" s="43"/>
      <c r="CK841" s="43"/>
      <c r="CL841" s="43"/>
      <c r="CM841" s="43"/>
      <c r="CN841" s="43"/>
      <c r="CO841" s="43"/>
      <c r="CP841" s="43"/>
      <c r="CQ841" s="43"/>
      <c r="CR841" s="43"/>
      <c r="CS841" s="43"/>
      <c r="CT841" s="43"/>
      <c r="CU841" s="43"/>
      <c r="CV841" s="43"/>
      <c r="CW841" s="43"/>
      <c r="CX841" s="43"/>
      <c r="CY841" s="43"/>
      <c r="CZ841" s="43"/>
      <c r="DA841" s="43"/>
      <c r="DB841" s="43"/>
      <c r="DC841" s="43"/>
      <c r="DD841" s="43"/>
      <c r="DE841" s="43"/>
      <c r="DF841" s="43"/>
      <c r="DG841" s="43"/>
      <c r="DH841" s="43"/>
      <c r="DI841" s="43"/>
      <c r="DJ841" s="43"/>
      <c r="DK841" s="43"/>
      <c r="DL841" s="43"/>
      <c r="DM841" s="43"/>
      <c r="DN841" s="43"/>
      <c r="DO841" s="43"/>
      <c r="DP841" s="43"/>
      <c r="DQ841" s="43"/>
      <c r="DR841" s="43"/>
      <c r="DS841" s="43"/>
      <c r="DT841" s="43"/>
      <c r="DU841" s="43"/>
      <c r="DV841" s="43"/>
      <c r="DW841" s="43"/>
      <c r="DX841" s="43"/>
      <c r="DY841" s="43"/>
      <c r="DZ841" s="43"/>
      <c r="EA841" s="43"/>
      <c r="EB841" s="43"/>
      <c r="EC841" s="43"/>
      <c r="ED841" s="43"/>
      <c r="EE841" s="43"/>
      <c r="EF841" s="43"/>
      <c r="EG841" s="43"/>
      <c r="EH841" s="43"/>
      <c r="EI841" s="43"/>
      <c r="EJ841" s="43"/>
      <c r="EK841" s="43"/>
      <c r="EL841" s="43"/>
      <c r="EM841" s="43"/>
      <c r="EN841" s="43"/>
      <c r="EO841" s="43"/>
      <c r="EP841" s="43"/>
      <c r="EQ841" s="43"/>
      <c r="ER841" s="43"/>
      <c r="ES841" s="43"/>
      <c r="ET841" s="43"/>
      <c r="EU841" s="43"/>
      <c r="EV841" s="43"/>
      <c r="EW841" s="43"/>
      <c r="EX841" s="43"/>
      <c r="EY841" s="43"/>
      <c r="EZ841" s="43"/>
      <c r="FA841" s="43"/>
      <c r="FB841" s="43"/>
      <c r="FC841" s="43"/>
      <c r="FD841" s="43"/>
      <c r="FE841" s="43"/>
      <c r="FF841" s="43"/>
      <c r="FG841" s="43"/>
      <c r="FH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c r="BU842" s="43"/>
      <c r="BV842" s="43"/>
      <c r="BW842" s="43"/>
      <c r="BX842" s="43"/>
      <c r="BY842" s="43"/>
      <c r="BZ842" s="43"/>
      <c r="CA842" s="43"/>
      <c r="CB842" s="43"/>
      <c r="CC842" s="43"/>
      <c r="CD842" s="43"/>
      <c r="CE842" s="43"/>
      <c r="CF842" s="43"/>
      <c r="CG842" s="43"/>
      <c r="CH842" s="43"/>
      <c r="CI842" s="43"/>
      <c r="CJ842" s="43"/>
      <c r="CK842" s="43"/>
      <c r="CL842" s="43"/>
      <c r="CM842" s="43"/>
      <c r="CN842" s="43"/>
      <c r="CO842" s="43"/>
      <c r="CP842" s="43"/>
      <c r="CQ842" s="43"/>
      <c r="CR842" s="43"/>
      <c r="CS842" s="43"/>
      <c r="CT842" s="43"/>
      <c r="CU842" s="43"/>
      <c r="CV842" s="43"/>
      <c r="CW842" s="43"/>
      <c r="CX842" s="43"/>
      <c r="CY842" s="43"/>
      <c r="CZ842" s="43"/>
      <c r="DA842" s="43"/>
      <c r="DB842" s="43"/>
      <c r="DC842" s="43"/>
      <c r="DD842" s="43"/>
      <c r="DE842" s="43"/>
      <c r="DF842" s="43"/>
      <c r="DG842" s="43"/>
      <c r="DH842" s="43"/>
      <c r="DI842" s="43"/>
      <c r="DJ842" s="43"/>
      <c r="DK842" s="43"/>
      <c r="DL842" s="43"/>
      <c r="DM842" s="43"/>
      <c r="DN842" s="43"/>
      <c r="DO842" s="43"/>
      <c r="DP842" s="43"/>
      <c r="DQ842" s="43"/>
      <c r="DR842" s="43"/>
      <c r="DS842" s="43"/>
      <c r="DT842" s="43"/>
      <c r="DU842" s="43"/>
      <c r="DV842" s="43"/>
      <c r="DW842" s="43"/>
      <c r="DX842" s="43"/>
      <c r="DY842" s="43"/>
      <c r="DZ842" s="43"/>
      <c r="EA842" s="43"/>
      <c r="EB842" s="43"/>
      <c r="EC842" s="43"/>
      <c r="ED842" s="43"/>
      <c r="EE842" s="43"/>
      <c r="EF842" s="43"/>
      <c r="EG842" s="43"/>
      <c r="EH842" s="43"/>
      <c r="EI842" s="43"/>
      <c r="EJ842" s="43"/>
      <c r="EK842" s="43"/>
      <c r="EL842" s="43"/>
      <c r="EM842" s="43"/>
      <c r="EN842" s="43"/>
      <c r="EO842" s="43"/>
      <c r="EP842" s="43"/>
      <c r="EQ842" s="43"/>
      <c r="ER842" s="43"/>
      <c r="ES842" s="43"/>
      <c r="ET842" s="43"/>
      <c r="EU842" s="43"/>
      <c r="EV842" s="43"/>
      <c r="EW842" s="43"/>
      <c r="EX842" s="43"/>
      <c r="EY842" s="43"/>
      <c r="EZ842" s="43"/>
      <c r="FA842" s="43"/>
      <c r="FB842" s="43"/>
      <c r="FC842" s="43"/>
      <c r="FD842" s="43"/>
      <c r="FE842" s="43"/>
      <c r="FF842" s="43"/>
      <c r="FG842" s="43"/>
      <c r="FH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c r="BU843" s="43"/>
      <c r="BV843" s="43"/>
      <c r="BW843" s="43"/>
      <c r="BX843" s="43"/>
      <c r="BY843" s="43"/>
      <c r="BZ843" s="43"/>
      <c r="CA843" s="43"/>
      <c r="CB843" s="43"/>
      <c r="CC843" s="43"/>
      <c r="CD843" s="43"/>
      <c r="CE843" s="43"/>
      <c r="CF843" s="43"/>
      <c r="CG843" s="43"/>
      <c r="CH843" s="43"/>
      <c r="CI843" s="43"/>
      <c r="CJ843" s="43"/>
      <c r="CK843" s="43"/>
      <c r="CL843" s="43"/>
      <c r="CM843" s="43"/>
      <c r="CN843" s="43"/>
      <c r="CO843" s="43"/>
      <c r="CP843" s="43"/>
      <c r="CQ843" s="43"/>
      <c r="CR843" s="43"/>
      <c r="CS843" s="43"/>
      <c r="CT843" s="43"/>
      <c r="CU843" s="43"/>
      <c r="CV843" s="43"/>
      <c r="CW843" s="43"/>
      <c r="CX843" s="43"/>
      <c r="CY843" s="43"/>
      <c r="CZ843" s="43"/>
      <c r="DA843" s="43"/>
      <c r="DB843" s="43"/>
      <c r="DC843" s="43"/>
      <c r="DD843" s="43"/>
      <c r="DE843" s="43"/>
      <c r="DF843" s="43"/>
      <c r="DG843" s="43"/>
      <c r="DH843" s="43"/>
      <c r="DI843" s="43"/>
      <c r="DJ843" s="43"/>
      <c r="DK843" s="43"/>
      <c r="DL843" s="43"/>
      <c r="DM843" s="43"/>
      <c r="DN843" s="43"/>
      <c r="DO843" s="43"/>
      <c r="DP843" s="43"/>
      <c r="DQ843" s="43"/>
      <c r="DR843" s="43"/>
      <c r="DS843" s="43"/>
      <c r="DT843" s="43"/>
      <c r="DU843" s="43"/>
      <c r="DV843" s="43"/>
      <c r="DW843" s="43"/>
      <c r="DX843" s="43"/>
      <c r="DY843" s="43"/>
      <c r="DZ843" s="43"/>
      <c r="EA843" s="43"/>
      <c r="EB843" s="43"/>
      <c r="EC843" s="43"/>
      <c r="ED843" s="43"/>
      <c r="EE843" s="43"/>
      <c r="EF843" s="43"/>
      <c r="EG843" s="43"/>
      <c r="EH843" s="43"/>
      <c r="EI843" s="43"/>
      <c r="EJ843" s="43"/>
      <c r="EK843" s="43"/>
      <c r="EL843" s="43"/>
      <c r="EM843" s="43"/>
      <c r="EN843" s="43"/>
      <c r="EO843" s="43"/>
      <c r="EP843" s="43"/>
      <c r="EQ843" s="43"/>
      <c r="ER843" s="43"/>
      <c r="ES843" s="43"/>
      <c r="ET843" s="43"/>
      <c r="EU843" s="43"/>
      <c r="EV843" s="43"/>
      <c r="EW843" s="43"/>
      <c r="EX843" s="43"/>
      <c r="EY843" s="43"/>
      <c r="EZ843" s="43"/>
      <c r="FA843" s="43"/>
      <c r="FB843" s="43"/>
      <c r="FC843" s="43"/>
      <c r="FD843" s="43"/>
      <c r="FE843" s="43"/>
      <c r="FF843" s="43"/>
      <c r="FG843" s="43"/>
      <c r="FH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43"/>
      <c r="BP844" s="43"/>
      <c r="BQ844" s="43"/>
      <c r="BR844" s="43"/>
      <c r="BS844" s="43"/>
      <c r="BT844" s="43"/>
      <c r="BU844" s="43"/>
      <c r="BV844" s="43"/>
      <c r="BW844" s="43"/>
      <c r="BX844" s="43"/>
      <c r="BY844" s="43"/>
      <c r="BZ844" s="43"/>
      <c r="CA844" s="43"/>
      <c r="CB844" s="43"/>
      <c r="CC844" s="43"/>
      <c r="CD844" s="43"/>
      <c r="CE844" s="43"/>
      <c r="CF844" s="43"/>
      <c r="CG844" s="43"/>
      <c r="CH844" s="43"/>
      <c r="CI844" s="43"/>
      <c r="CJ844" s="43"/>
      <c r="CK844" s="43"/>
      <c r="CL844" s="43"/>
      <c r="CM844" s="43"/>
      <c r="CN844" s="43"/>
      <c r="CO844" s="43"/>
      <c r="CP844" s="43"/>
      <c r="CQ844" s="43"/>
      <c r="CR844" s="43"/>
      <c r="CS844" s="43"/>
      <c r="CT844" s="43"/>
      <c r="CU844" s="43"/>
      <c r="CV844" s="43"/>
      <c r="CW844" s="43"/>
      <c r="CX844" s="43"/>
      <c r="CY844" s="43"/>
      <c r="CZ844" s="43"/>
      <c r="DA844" s="43"/>
      <c r="DB844" s="43"/>
      <c r="DC844" s="43"/>
      <c r="DD844" s="43"/>
      <c r="DE844" s="43"/>
      <c r="DF844" s="43"/>
      <c r="DG844" s="43"/>
      <c r="DH844" s="43"/>
      <c r="DI844" s="43"/>
      <c r="DJ844" s="43"/>
      <c r="DK844" s="43"/>
      <c r="DL844" s="43"/>
      <c r="DM844" s="43"/>
      <c r="DN844" s="43"/>
      <c r="DO844" s="43"/>
      <c r="DP844" s="43"/>
      <c r="DQ844" s="43"/>
      <c r="DR844" s="43"/>
      <c r="DS844" s="43"/>
      <c r="DT844" s="43"/>
      <c r="DU844" s="43"/>
      <c r="DV844" s="43"/>
      <c r="DW844" s="43"/>
      <c r="DX844" s="43"/>
      <c r="DY844" s="43"/>
      <c r="DZ844" s="43"/>
      <c r="EA844" s="43"/>
      <c r="EB844" s="43"/>
      <c r="EC844" s="43"/>
      <c r="ED844" s="43"/>
      <c r="EE844" s="43"/>
      <c r="EF844" s="43"/>
      <c r="EG844" s="43"/>
      <c r="EH844" s="43"/>
      <c r="EI844" s="43"/>
      <c r="EJ844" s="43"/>
      <c r="EK844" s="43"/>
      <c r="EL844" s="43"/>
      <c r="EM844" s="43"/>
      <c r="EN844" s="43"/>
      <c r="EO844" s="43"/>
      <c r="EP844" s="43"/>
      <c r="EQ844" s="43"/>
      <c r="ER844" s="43"/>
      <c r="ES844" s="43"/>
      <c r="ET844" s="43"/>
      <c r="EU844" s="43"/>
      <c r="EV844" s="43"/>
      <c r="EW844" s="43"/>
      <c r="EX844" s="43"/>
      <c r="EY844" s="43"/>
      <c r="EZ844" s="43"/>
      <c r="FA844" s="43"/>
      <c r="FB844" s="43"/>
      <c r="FC844" s="43"/>
      <c r="FD844" s="43"/>
      <c r="FE844" s="43"/>
      <c r="FF844" s="43"/>
      <c r="FG844" s="43"/>
      <c r="FH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43"/>
      <c r="BP845" s="43"/>
      <c r="BQ845" s="43"/>
      <c r="BR845" s="43"/>
      <c r="BS845" s="43"/>
      <c r="BT845" s="43"/>
      <c r="BU845" s="43"/>
      <c r="BV845" s="43"/>
      <c r="BW845" s="43"/>
      <c r="BX845" s="43"/>
      <c r="BY845" s="43"/>
      <c r="BZ845" s="43"/>
      <c r="CA845" s="43"/>
      <c r="CB845" s="43"/>
      <c r="CC845" s="43"/>
      <c r="CD845" s="43"/>
      <c r="CE845" s="43"/>
      <c r="CF845" s="43"/>
      <c r="CG845" s="43"/>
      <c r="CH845" s="43"/>
      <c r="CI845" s="43"/>
      <c r="CJ845" s="43"/>
      <c r="CK845" s="43"/>
      <c r="CL845" s="43"/>
      <c r="CM845" s="43"/>
      <c r="CN845" s="43"/>
      <c r="CO845" s="43"/>
      <c r="CP845" s="43"/>
      <c r="CQ845" s="43"/>
      <c r="CR845" s="43"/>
      <c r="CS845" s="43"/>
      <c r="CT845" s="43"/>
      <c r="CU845" s="43"/>
      <c r="CV845" s="43"/>
      <c r="CW845" s="43"/>
      <c r="CX845" s="43"/>
      <c r="CY845" s="43"/>
      <c r="CZ845" s="43"/>
      <c r="DA845" s="43"/>
      <c r="DB845" s="43"/>
      <c r="DC845" s="43"/>
      <c r="DD845" s="43"/>
      <c r="DE845" s="43"/>
      <c r="DF845" s="43"/>
      <c r="DG845" s="43"/>
      <c r="DH845" s="43"/>
      <c r="DI845" s="43"/>
      <c r="DJ845" s="43"/>
      <c r="DK845" s="43"/>
      <c r="DL845" s="43"/>
      <c r="DM845" s="43"/>
      <c r="DN845" s="43"/>
      <c r="DO845" s="43"/>
      <c r="DP845" s="43"/>
      <c r="DQ845" s="43"/>
      <c r="DR845" s="43"/>
      <c r="DS845" s="43"/>
      <c r="DT845" s="43"/>
      <c r="DU845" s="43"/>
      <c r="DV845" s="43"/>
      <c r="DW845" s="43"/>
      <c r="DX845" s="43"/>
      <c r="DY845" s="43"/>
      <c r="DZ845" s="43"/>
      <c r="EA845" s="43"/>
      <c r="EB845" s="43"/>
      <c r="EC845" s="43"/>
      <c r="ED845" s="43"/>
      <c r="EE845" s="43"/>
      <c r="EF845" s="43"/>
      <c r="EG845" s="43"/>
      <c r="EH845" s="43"/>
      <c r="EI845" s="43"/>
      <c r="EJ845" s="43"/>
      <c r="EK845" s="43"/>
      <c r="EL845" s="43"/>
      <c r="EM845" s="43"/>
      <c r="EN845" s="43"/>
      <c r="EO845" s="43"/>
      <c r="EP845" s="43"/>
      <c r="EQ845" s="43"/>
      <c r="ER845" s="43"/>
      <c r="ES845" s="43"/>
      <c r="ET845" s="43"/>
      <c r="EU845" s="43"/>
      <c r="EV845" s="43"/>
      <c r="EW845" s="43"/>
      <c r="EX845" s="43"/>
      <c r="EY845" s="43"/>
      <c r="EZ845" s="43"/>
      <c r="FA845" s="43"/>
      <c r="FB845" s="43"/>
      <c r="FC845" s="43"/>
      <c r="FD845" s="43"/>
      <c r="FE845" s="43"/>
      <c r="FF845" s="43"/>
      <c r="FG845" s="43"/>
      <c r="FH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43"/>
      <c r="BP846" s="43"/>
      <c r="BQ846" s="43"/>
      <c r="BR846" s="43"/>
      <c r="BS846" s="43"/>
      <c r="BT846" s="43"/>
      <c r="BU846" s="43"/>
      <c r="BV846" s="43"/>
      <c r="BW846" s="43"/>
      <c r="BX846" s="43"/>
      <c r="BY846" s="43"/>
      <c r="BZ846" s="43"/>
      <c r="CA846" s="43"/>
      <c r="CB846" s="43"/>
      <c r="CC846" s="43"/>
      <c r="CD846" s="43"/>
      <c r="CE846" s="43"/>
      <c r="CF846" s="43"/>
      <c r="CG846" s="43"/>
      <c r="CH846" s="43"/>
      <c r="CI846" s="43"/>
      <c r="CJ846" s="43"/>
      <c r="CK846" s="43"/>
      <c r="CL846" s="43"/>
      <c r="CM846" s="43"/>
      <c r="CN846" s="43"/>
      <c r="CO846" s="43"/>
      <c r="CP846" s="43"/>
      <c r="CQ846" s="43"/>
      <c r="CR846" s="43"/>
      <c r="CS846" s="43"/>
      <c r="CT846" s="43"/>
      <c r="CU846" s="43"/>
      <c r="CV846" s="43"/>
      <c r="CW846" s="43"/>
      <c r="CX846" s="43"/>
      <c r="CY846" s="43"/>
      <c r="CZ846" s="43"/>
      <c r="DA846" s="43"/>
      <c r="DB846" s="43"/>
      <c r="DC846" s="43"/>
      <c r="DD846" s="43"/>
      <c r="DE846" s="43"/>
      <c r="DF846" s="43"/>
      <c r="DG846" s="43"/>
      <c r="DH846" s="43"/>
      <c r="DI846" s="43"/>
      <c r="DJ846" s="43"/>
      <c r="DK846" s="43"/>
      <c r="DL846" s="43"/>
      <c r="DM846" s="43"/>
      <c r="DN846" s="43"/>
      <c r="DO846" s="43"/>
      <c r="DP846" s="43"/>
      <c r="DQ846" s="43"/>
      <c r="DR846" s="43"/>
      <c r="DS846" s="43"/>
      <c r="DT846" s="43"/>
      <c r="DU846" s="43"/>
      <c r="DV846" s="43"/>
      <c r="DW846" s="43"/>
      <c r="DX846" s="43"/>
      <c r="DY846" s="43"/>
      <c r="DZ846" s="43"/>
      <c r="EA846" s="43"/>
      <c r="EB846" s="43"/>
      <c r="EC846" s="43"/>
      <c r="ED846" s="43"/>
      <c r="EE846" s="43"/>
      <c r="EF846" s="43"/>
      <c r="EG846" s="43"/>
      <c r="EH846" s="43"/>
      <c r="EI846" s="43"/>
      <c r="EJ846" s="43"/>
      <c r="EK846" s="43"/>
      <c r="EL846" s="43"/>
      <c r="EM846" s="43"/>
      <c r="EN846" s="43"/>
      <c r="EO846" s="43"/>
      <c r="EP846" s="43"/>
      <c r="EQ846" s="43"/>
      <c r="ER846" s="43"/>
      <c r="ES846" s="43"/>
      <c r="ET846" s="43"/>
      <c r="EU846" s="43"/>
      <c r="EV846" s="43"/>
      <c r="EW846" s="43"/>
      <c r="EX846" s="43"/>
      <c r="EY846" s="43"/>
      <c r="EZ846" s="43"/>
      <c r="FA846" s="43"/>
      <c r="FB846" s="43"/>
      <c r="FC846" s="43"/>
      <c r="FD846" s="43"/>
      <c r="FE846" s="43"/>
      <c r="FF846" s="43"/>
      <c r="FG846" s="43"/>
      <c r="FH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43"/>
      <c r="BP847" s="43"/>
      <c r="BQ847" s="43"/>
      <c r="BR847" s="43"/>
      <c r="BS847" s="43"/>
      <c r="BT847" s="43"/>
      <c r="BU847" s="43"/>
      <c r="BV847" s="43"/>
      <c r="BW847" s="43"/>
      <c r="BX847" s="43"/>
      <c r="BY847" s="43"/>
      <c r="BZ847" s="43"/>
      <c r="CA847" s="43"/>
      <c r="CB847" s="43"/>
      <c r="CC847" s="43"/>
      <c r="CD847" s="43"/>
      <c r="CE847" s="43"/>
      <c r="CF847" s="43"/>
      <c r="CG847" s="43"/>
      <c r="CH847" s="43"/>
      <c r="CI847" s="43"/>
      <c r="CJ847" s="43"/>
      <c r="CK847" s="43"/>
      <c r="CL847" s="43"/>
      <c r="CM847" s="43"/>
      <c r="CN847" s="43"/>
      <c r="CO847" s="43"/>
      <c r="CP847" s="43"/>
      <c r="CQ847" s="43"/>
      <c r="CR847" s="43"/>
      <c r="CS847" s="43"/>
      <c r="CT847" s="43"/>
      <c r="CU847" s="43"/>
      <c r="CV847" s="43"/>
      <c r="CW847" s="43"/>
      <c r="CX847" s="43"/>
      <c r="CY847" s="43"/>
      <c r="CZ847" s="43"/>
      <c r="DA847" s="43"/>
      <c r="DB847" s="43"/>
      <c r="DC847" s="43"/>
      <c r="DD847" s="43"/>
      <c r="DE847" s="43"/>
      <c r="DF847" s="43"/>
      <c r="DG847" s="43"/>
      <c r="DH847" s="43"/>
      <c r="DI847" s="43"/>
      <c r="DJ847" s="43"/>
      <c r="DK847" s="43"/>
      <c r="DL847" s="43"/>
      <c r="DM847" s="43"/>
      <c r="DN847" s="43"/>
      <c r="DO847" s="43"/>
      <c r="DP847" s="43"/>
      <c r="DQ847" s="43"/>
      <c r="DR847" s="43"/>
      <c r="DS847" s="43"/>
      <c r="DT847" s="43"/>
      <c r="DU847" s="43"/>
      <c r="DV847" s="43"/>
      <c r="DW847" s="43"/>
      <c r="DX847" s="43"/>
      <c r="DY847" s="43"/>
      <c r="DZ847" s="43"/>
      <c r="EA847" s="43"/>
      <c r="EB847" s="43"/>
      <c r="EC847" s="43"/>
      <c r="ED847" s="43"/>
      <c r="EE847" s="43"/>
      <c r="EF847" s="43"/>
      <c r="EG847" s="43"/>
      <c r="EH847" s="43"/>
      <c r="EI847" s="43"/>
      <c r="EJ847" s="43"/>
      <c r="EK847" s="43"/>
      <c r="EL847" s="43"/>
      <c r="EM847" s="43"/>
      <c r="EN847" s="43"/>
      <c r="EO847" s="43"/>
      <c r="EP847" s="43"/>
      <c r="EQ847" s="43"/>
      <c r="ER847" s="43"/>
      <c r="ES847" s="43"/>
      <c r="ET847" s="43"/>
      <c r="EU847" s="43"/>
      <c r="EV847" s="43"/>
      <c r="EW847" s="43"/>
      <c r="EX847" s="43"/>
      <c r="EY847" s="43"/>
      <c r="EZ847" s="43"/>
      <c r="FA847" s="43"/>
      <c r="FB847" s="43"/>
      <c r="FC847" s="43"/>
      <c r="FD847" s="43"/>
      <c r="FE847" s="43"/>
      <c r="FF847" s="43"/>
      <c r="FG847" s="43"/>
      <c r="FH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43"/>
      <c r="BP848" s="43"/>
      <c r="BQ848" s="43"/>
      <c r="BR848" s="43"/>
      <c r="BS848" s="43"/>
      <c r="BT848" s="43"/>
      <c r="BU848" s="43"/>
      <c r="BV848" s="43"/>
      <c r="BW848" s="43"/>
      <c r="BX848" s="43"/>
      <c r="BY848" s="43"/>
      <c r="BZ848" s="43"/>
      <c r="CA848" s="43"/>
      <c r="CB848" s="43"/>
      <c r="CC848" s="43"/>
      <c r="CD848" s="43"/>
      <c r="CE848" s="43"/>
      <c r="CF848" s="43"/>
      <c r="CG848" s="43"/>
      <c r="CH848" s="43"/>
      <c r="CI848" s="43"/>
      <c r="CJ848" s="43"/>
      <c r="CK848" s="43"/>
      <c r="CL848" s="43"/>
      <c r="CM848" s="43"/>
      <c r="CN848" s="43"/>
      <c r="CO848" s="43"/>
      <c r="CP848" s="43"/>
      <c r="CQ848" s="43"/>
      <c r="CR848" s="43"/>
      <c r="CS848" s="43"/>
      <c r="CT848" s="43"/>
      <c r="CU848" s="43"/>
      <c r="CV848" s="43"/>
      <c r="CW848" s="43"/>
      <c r="CX848" s="43"/>
      <c r="CY848" s="43"/>
      <c r="CZ848" s="43"/>
      <c r="DA848" s="43"/>
      <c r="DB848" s="43"/>
      <c r="DC848" s="43"/>
      <c r="DD848" s="43"/>
      <c r="DE848" s="43"/>
      <c r="DF848" s="43"/>
      <c r="DG848" s="43"/>
      <c r="DH848" s="43"/>
      <c r="DI848" s="43"/>
      <c r="DJ848" s="43"/>
      <c r="DK848" s="43"/>
      <c r="DL848" s="43"/>
      <c r="DM848" s="43"/>
      <c r="DN848" s="43"/>
      <c r="DO848" s="43"/>
      <c r="DP848" s="43"/>
      <c r="DQ848" s="43"/>
      <c r="DR848" s="43"/>
      <c r="DS848" s="43"/>
      <c r="DT848" s="43"/>
      <c r="DU848" s="43"/>
      <c r="DV848" s="43"/>
      <c r="DW848" s="43"/>
      <c r="DX848" s="43"/>
      <c r="DY848" s="43"/>
      <c r="DZ848" s="43"/>
      <c r="EA848" s="43"/>
      <c r="EB848" s="43"/>
      <c r="EC848" s="43"/>
      <c r="ED848" s="43"/>
      <c r="EE848" s="43"/>
      <c r="EF848" s="43"/>
      <c r="EG848" s="43"/>
      <c r="EH848" s="43"/>
      <c r="EI848" s="43"/>
      <c r="EJ848" s="43"/>
      <c r="EK848" s="43"/>
      <c r="EL848" s="43"/>
      <c r="EM848" s="43"/>
      <c r="EN848" s="43"/>
      <c r="EO848" s="43"/>
      <c r="EP848" s="43"/>
      <c r="EQ848" s="43"/>
      <c r="ER848" s="43"/>
      <c r="ES848" s="43"/>
      <c r="ET848" s="43"/>
      <c r="EU848" s="43"/>
      <c r="EV848" s="43"/>
      <c r="EW848" s="43"/>
      <c r="EX848" s="43"/>
      <c r="EY848" s="43"/>
      <c r="EZ848" s="43"/>
      <c r="FA848" s="43"/>
      <c r="FB848" s="43"/>
      <c r="FC848" s="43"/>
      <c r="FD848" s="43"/>
      <c r="FE848" s="43"/>
      <c r="FF848" s="43"/>
      <c r="FG848" s="43"/>
      <c r="FH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43"/>
      <c r="BP849" s="43"/>
      <c r="BQ849" s="43"/>
      <c r="BR849" s="43"/>
      <c r="BS849" s="43"/>
      <c r="BT849" s="43"/>
      <c r="BU849" s="43"/>
      <c r="BV849" s="43"/>
      <c r="BW849" s="43"/>
      <c r="BX849" s="43"/>
      <c r="BY849" s="43"/>
      <c r="BZ849" s="43"/>
      <c r="CA849" s="43"/>
      <c r="CB849" s="43"/>
      <c r="CC849" s="43"/>
      <c r="CD849" s="43"/>
      <c r="CE849" s="43"/>
      <c r="CF849" s="43"/>
      <c r="CG849" s="43"/>
      <c r="CH849" s="43"/>
      <c r="CI849" s="43"/>
      <c r="CJ849" s="43"/>
      <c r="CK849" s="43"/>
      <c r="CL849" s="43"/>
      <c r="CM849" s="43"/>
      <c r="CN849" s="43"/>
      <c r="CO849" s="43"/>
      <c r="CP849" s="43"/>
      <c r="CQ849" s="43"/>
      <c r="CR849" s="43"/>
      <c r="CS849" s="43"/>
      <c r="CT849" s="43"/>
      <c r="CU849" s="43"/>
      <c r="CV849" s="43"/>
      <c r="CW849" s="43"/>
      <c r="CX849" s="43"/>
      <c r="CY849" s="43"/>
      <c r="CZ849" s="43"/>
      <c r="DA849" s="43"/>
      <c r="DB849" s="43"/>
      <c r="DC849" s="43"/>
      <c r="DD849" s="43"/>
      <c r="DE849" s="43"/>
      <c r="DF849" s="43"/>
      <c r="DG849" s="43"/>
      <c r="DH849" s="43"/>
      <c r="DI849" s="43"/>
      <c r="DJ849" s="43"/>
      <c r="DK849" s="43"/>
      <c r="DL849" s="43"/>
      <c r="DM849" s="43"/>
      <c r="DN849" s="43"/>
      <c r="DO849" s="43"/>
      <c r="DP849" s="43"/>
      <c r="DQ849" s="43"/>
      <c r="DR849" s="43"/>
      <c r="DS849" s="43"/>
      <c r="DT849" s="43"/>
      <c r="DU849" s="43"/>
      <c r="DV849" s="43"/>
      <c r="DW849" s="43"/>
      <c r="DX849" s="43"/>
      <c r="DY849" s="43"/>
      <c r="DZ849" s="43"/>
      <c r="EA849" s="43"/>
      <c r="EB849" s="43"/>
      <c r="EC849" s="43"/>
      <c r="ED849" s="43"/>
      <c r="EE849" s="43"/>
      <c r="EF849" s="43"/>
      <c r="EG849" s="43"/>
      <c r="EH849" s="43"/>
      <c r="EI849" s="43"/>
      <c r="EJ849" s="43"/>
      <c r="EK849" s="43"/>
      <c r="EL849" s="43"/>
      <c r="EM849" s="43"/>
      <c r="EN849" s="43"/>
      <c r="EO849" s="43"/>
      <c r="EP849" s="43"/>
      <c r="EQ849" s="43"/>
      <c r="ER849" s="43"/>
      <c r="ES849" s="43"/>
      <c r="ET849" s="43"/>
      <c r="EU849" s="43"/>
      <c r="EV849" s="43"/>
      <c r="EW849" s="43"/>
      <c r="EX849" s="43"/>
      <c r="EY849" s="43"/>
      <c r="EZ849" s="43"/>
      <c r="FA849" s="43"/>
      <c r="FB849" s="43"/>
      <c r="FC849" s="43"/>
      <c r="FD849" s="43"/>
      <c r="FE849" s="43"/>
      <c r="FF849" s="43"/>
      <c r="FG849" s="43"/>
      <c r="FH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c r="BO850" s="43"/>
      <c r="BP850" s="43"/>
      <c r="BQ850" s="43"/>
      <c r="BR850" s="43"/>
      <c r="BS850" s="43"/>
      <c r="BT850" s="43"/>
      <c r="BU850" s="43"/>
      <c r="BV850" s="43"/>
      <c r="BW850" s="43"/>
      <c r="BX850" s="43"/>
      <c r="BY850" s="43"/>
      <c r="BZ850" s="43"/>
      <c r="CA850" s="43"/>
      <c r="CB850" s="43"/>
      <c r="CC850" s="43"/>
      <c r="CD850" s="43"/>
      <c r="CE850" s="43"/>
      <c r="CF850" s="43"/>
      <c r="CG850" s="43"/>
      <c r="CH850" s="43"/>
      <c r="CI850" s="43"/>
      <c r="CJ850" s="43"/>
      <c r="CK850" s="43"/>
      <c r="CL850" s="43"/>
      <c r="CM850" s="43"/>
      <c r="CN850" s="43"/>
      <c r="CO850" s="43"/>
      <c r="CP850" s="43"/>
      <c r="CQ850" s="43"/>
      <c r="CR850" s="43"/>
      <c r="CS850" s="43"/>
      <c r="CT850" s="43"/>
      <c r="CU850" s="43"/>
      <c r="CV850" s="43"/>
      <c r="CW850" s="43"/>
      <c r="CX850" s="43"/>
      <c r="CY850" s="43"/>
      <c r="CZ850" s="43"/>
      <c r="DA850" s="43"/>
      <c r="DB850" s="43"/>
      <c r="DC850" s="43"/>
      <c r="DD850" s="43"/>
      <c r="DE850" s="43"/>
      <c r="DF850" s="43"/>
      <c r="DG850" s="43"/>
      <c r="DH850" s="43"/>
      <c r="DI850" s="43"/>
      <c r="DJ850" s="43"/>
      <c r="DK850" s="43"/>
      <c r="DL850" s="43"/>
      <c r="DM850" s="43"/>
      <c r="DN850" s="43"/>
      <c r="DO850" s="43"/>
      <c r="DP850" s="43"/>
      <c r="DQ850" s="43"/>
      <c r="DR850" s="43"/>
      <c r="DS850" s="43"/>
      <c r="DT850" s="43"/>
      <c r="DU850" s="43"/>
      <c r="DV850" s="43"/>
      <c r="DW850" s="43"/>
      <c r="DX850" s="43"/>
      <c r="DY850" s="43"/>
      <c r="DZ850" s="43"/>
      <c r="EA850" s="43"/>
      <c r="EB850" s="43"/>
      <c r="EC850" s="43"/>
      <c r="ED850" s="43"/>
      <c r="EE850" s="43"/>
      <c r="EF850" s="43"/>
      <c r="EG850" s="43"/>
      <c r="EH850" s="43"/>
      <c r="EI850" s="43"/>
      <c r="EJ850" s="43"/>
      <c r="EK850" s="43"/>
      <c r="EL850" s="43"/>
      <c r="EM850" s="43"/>
      <c r="EN850" s="43"/>
      <c r="EO850" s="43"/>
      <c r="EP850" s="43"/>
      <c r="EQ850" s="43"/>
      <c r="ER850" s="43"/>
      <c r="ES850" s="43"/>
      <c r="ET850" s="43"/>
      <c r="EU850" s="43"/>
      <c r="EV850" s="43"/>
      <c r="EW850" s="43"/>
      <c r="EX850" s="43"/>
      <c r="EY850" s="43"/>
      <c r="EZ850" s="43"/>
      <c r="FA850" s="43"/>
      <c r="FB850" s="43"/>
      <c r="FC850" s="43"/>
      <c r="FD850" s="43"/>
      <c r="FE850" s="43"/>
      <c r="FF850" s="43"/>
      <c r="FG850" s="43"/>
      <c r="FH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c r="BO851" s="43"/>
      <c r="BP851" s="43"/>
      <c r="BQ851" s="43"/>
      <c r="BR851" s="43"/>
      <c r="BS851" s="43"/>
      <c r="BT851" s="43"/>
      <c r="BU851" s="43"/>
      <c r="BV851" s="43"/>
      <c r="BW851" s="43"/>
      <c r="BX851" s="43"/>
      <c r="BY851" s="43"/>
      <c r="BZ851" s="43"/>
      <c r="CA851" s="43"/>
      <c r="CB851" s="43"/>
      <c r="CC851" s="43"/>
      <c r="CD851" s="43"/>
      <c r="CE851" s="43"/>
      <c r="CF851" s="43"/>
      <c r="CG851" s="43"/>
      <c r="CH851" s="43"/>
      <c r="CI851" s="43"/>
      <c r="CJ851" s="43"/>
      <c r="CK851" s="43"/>
      <c r="CL851" s="43"/>
      <c r="CM851" s="43"/>
      <c r="CN851" s="43"/>
      <c r="CO851" s="43"/>
      <c r="CP851" s="43"/>
      <c r="CQ851" s="43"/>
      <c r="CR851" s="43"/>
      <c r="CS851" s="43"/>
      <c r="CT851" s="43"/>
      <c r="CU851" s="43"/>
      <c r="CV851" s="43"/>
      <c r="CW851" s="43"/>
      <c r="CX851" s="43"/>
      <c r="CY851" s="43"/>
      <c r="CZ851" s="43"/>
      <c r="DA851" s="43"/>
      <c r="DB851" s="43"/>
      <c r="DC851" s="43"/>
      <c r="DD851" s="43"/>
      <c r="DE851" s="43"/>
      <c r="DF851" s="43"/>
      <c r="DG851" s="43"/>
      <c r="DH851" s="43"/>
      <c r="DI851" s="43"/>
      <c r="DJ851" s="43"/>
      <c r="DK851" s="43"/>
      <c r="DL851" s="43"/>
      <c r="DM851" s="43"/>
      <c r="DN851" s="43"/>
      <c r="DO851" s="43"/>
      <c r="DP851" s="43"/>
      <c r="DQ851" s="43"/>
      <c r="DR851" s="43"/>
      <c r="DS851" s="43"/>
      <c r="DT851" s="43"/>
      <c r="DU851" s="43"/>
      <c r="DV851" s="43"/>
      <c r="DW851" s="43"/>
      <c r="DX851" s="43"/>
      <c r="DY851" s="43"/>
      <c r="DZ851" s="43"/>
      <c r="EA851" s="43"/>
      <c r="EB851" s="43"/>
      <c r="EC851" s="43"/>
      <c r="ED851" s="43"/>
      <c r="EE851" s="43"/>
      <c r="EF851" s="43"/>
      <c r="EG851" s="43"/>
      <c r="EH851" s="43"/>
      <c r="EI851" s="43"/>
      <c r="EJ851" s="43"/>
      <c r="EK851" s="43"/>
      <c r="EL851" s="43"/>
      <c r="EM851" s="43"/>
      <c r="EN851" s="43"/>
      <c r="EO851" s="43"/>
      <c r="EP851" s="43"/>
      <c r="EQ851" s="43"/>
      <c r="ER851" s="43"/>
      <c r="ES851" s="43"/>
      <c r="ET851" s="43"/>
      <c r="EU851" s="43"/>
      <c r="EV851" s="43"/>
      <c r="EW851" s="43"/>
      <c r="EX851" s="43"/>
      <c r="EY851" s="43"/>
      <c r="EZ851" s="43"/>
      <c r="FA851" s="43"/>
      <c r="FB851" s="43"/>
      <c r="FC851" s="43"/>
      <c r="FD851" s="43"/>
      <c r="FE851" s="43"/>
      <c r="FF851" s="43"/>
      <c r="FG851" s="43"/>
      <c r="FH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43"/>
      <c r="BP852" s="43"/>
      <c r="BQ852" s="43"/>
      <c r="BR852" s="43"/>
      <c r="BS852" s="43"/>
      <c r="BT852" s="43"/>
      <c r="BU852" s="43"/>
      <c r="BV852" s="43"/>
      <c r="BW852" s="43"/>
      <c r="BX852" s="43"/>
      <c r="BY852" s="43"/>
      <c r="BZ852" s="43"/>
      <c r="CA852" s="43"/>
      <c r="CB852" s="43"/>
      <c r="CC852" s="43"/>
      <c r="CD852" s="43"/>
      <c r="CE852" s="43"/>
      <c r="CF852" s="43"/>
      <c r="CG852" s="43"/>
      <c r="CH852" s="43"/>
      <c r="CI852" s="43"/>
      <c r="CJ852" s="43"/>
      <c r="CK852" s="43"/>
      <c r="CL852" s="43"/>
      <c r="CM852" s="43"/>
      <c r="CN852" s="43"/>
      <c r="CO852" s="43"/>
      <c r="CP852" s="43"/>
      <c r="CQ852" s="43"/>
      <c r="CR852" s="43"/>
      <c r="CS852" s="43"/>
      <c r="CT852" s="43"/>
      <c r="CU852" s="43"/>
      <c r="CV852" s="43"/>
      <c r="CW852" s="43"/>
      <c r="CX852" s="43"/>
      <c r="CY852" s="43"/>
      <c r="CZ852" s="43"/>
      <c r="DA852" s="43"/>
      <c r="DB852" s="43"/>
      <c r="DC852" s="43"/>
      <c r="DD852" s="43"/>
      <c r="DE852" s="43"/>
      <c r="DF852" s="43"/>
      <c r="DG852" s="43"/>
      <c r="DH852" s="43"/>
      <c r="DI852" s="43"/>
      <c r="DJ852" s="43"/>
      <c r="DK852" s="43"/>
      <c r="DL852" s="43"/>
      <c r="DM852" s="43"/>
      <c r="DN852" s="43"/>
      <c r="DO852" s="43"/>
      <c r="DP852" s="43"/>
      <c r="DQ852" s="43"/>
      <c r="DR852" s="43"/>
      <c r="DS852" s="43"/>
      <c r="DT852" s="43"/>
      <c r="DU852" s="43"/>
      <c r="DV852" s="43"/>
      <c r="DW852" s="43"/>
      <c r="DX852" s="43"/>
      <c r="DY852" s="43"/>
      <c r="DZ852" s="43"/>
      <c r="EA852" s="43"/>
      <c r="EB852" s="43"/>
      <c r="EC852" s="43"/>
      <c r="ED852" s="43"/>
      <c r="EE852" s="43"/>
      <c r="EF852" s="43"/>
      <c r="EG852" s="43"/>
      <c r="EH852" s="43"/>
      <c r="EI852" s="43"/>
      <c r="EJ852" s="43"/>
      <c r="EK852" s="43"/>
      <c r="EL852" s="43"/>
      <c r="EM852" s="43"/>
      <c r="EN852" s="43"/>
      <c r="EO852" s="43"/>
      <c r="EP852" s="43"/>
      <c r="EQ852" s="43"/>
      <c r="ER852" s="43"/>
      <c r="ES852" s="43"/>
      <c r="ET852" s="43"/>
      <c r="EU852" s="43"/>
      <c r="EV852" s="43"/>
      <c r="EW852" s="43"/>
      <c r="EX852" s="43"/>
      <c r="EY852" s="43"/>
      <c r="EZ852" s="43"/>
      <c r="FA852" s="43"/>
      <c r="FB852" s="43"/>
      <c r="FC852" s="43"/>
      <c r="FD852" s="43"/>
      <c r="FE852" s="43"/>
      <c r="FF852" s="43"/>
      <c r="FG852" s="43"/>
      <c r="FH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c r="BO853" s="43"/>
      <c r="BP853" s="43"/>
      <c r="BQ853" s="43"/>
      <c r="BR853" s="43"/>
      <c r="BS853" s="43"/>
      <c r="BT853" s="43"/>
      <c r="BU853" s="43"/>
      <c r="BV853" s="43"/>
      <c r="BW853" s="43"/>
      <c r="BX853" s="43"/>
      <c r="BY853" s="43"/>
      <c r="BZ853" s="43"/>
      <c r="CA853" s="43"/>
      <c r="CB853" s="43"/>
      <c r="CC853" s="43"/>
      <c r="CD853" s="43"/>
      <c r="CE853" s="43"/>
      <c r="CF853" s="43"/>
      <c r="CG853" s="43"/>
      <c r="CH853" s="43"/>
      <c r="CI853" s="43"/>
      <c r="CJ853" s="43"/>
      <c r="CK853" s="43"/>
      <c r="CL853" s="43"/>
      <c r="CM853" s="43"/>
      <c r="CN853" s="43"/>
      <c r="CO853" s="43"/>
      <c r="CP853" s="43"/>
      <c r="CQ853" s="43"/>
      <c r="CR853" s="43"/>
      <c r="CS853" s="43"/>
      <c r="CT853" s="43"/>
      <c r="CU853" s="43"/>
      <c r="CV853" s="43"/>
      <c r="CW853" s="43"/>
      <c r="CX853" s="43"/>
      <c r="CY853" s="43"/>
      <c r="CZ853" s="43"/>
      <c r="DA853" s="43"/>
      <c r="DB853" s="43"/>
      <c r="DC853" s="43"/>
      <c r="DD853" s="43"/>
      <c r="DE853" s="43"/>
      <c r="DF853" s="43"/>
      <c r="DG853" s="43"/>
      <c r="DH853" s="43"/>
      <c r="DI853" s="43"/>
      <c r="DJ853" s="43"/>
      <c r="DK853" s="43"/>
      <c r="DL853" s="43"/>
      <c r="DM853" s="43"/>
      <c r="DN853" s="43"/>
      <c r="DO853" s="43"/>
      <c r="DP853" s="43"/>
      <c r="DQ853" s="43"/>
      <c r="DR853" s="43"/>
      <c r="DS853" s="43"/>
      <c r="DT853" s="43"/>
      <c r="DU853" s="43"/>
      <c r="DV853" s="43"/>
      <c r="DW853" s="43"/>
      <c r="DX853" s="43"/>
      <c r="DY853" s="43"/>
      <c r="DZ853" s="43"/>
      <c r="EA853" s="43"/>
      <c r="EB853" s="43"/>
      <c r="EC853" s="43"/>
      <c r="ED853" s="43"/>
      <c r="EE853" s="43"/>
      <c r="EF853" s="43"/>
      <c r="EG853" s="43"/>
      <c r="EH853" s="43"/>
      <c r="EI853" s="43"/>
      <c r="EJ853" s="43"/>
      <c r="EK853" s="43"/>
      <c r="EL853" s="43"/>
      <c r="EM853" s="43"/>
      <c r="EN853" s="43"/>
      <c r="EO853" s="43"/>
      <c r="EP853" s="43"/>
      <c r="EQ853" s="43"/>
      <c r="ER853" s="43"/>
      <c r="ES853" s="43"/>
      <c r="ET853" s="43"/>
      <c r="EU853" s="43"/>
      <c r="EV853" s="43"/>
      <c r="EW853" s="43"/>
      <c r="EX853" s="43"/>
      <c r="EY853" s="43"/>
      <c r="EZ853" s="43"/>
      <c r="FA853" s="43"/>
      <c r="FB853" s="43"/>
      <c r="FC853" s="43"/>
      <c r="FD853" s="43"/>
      <c r="FE853" s="43"/>
      <c r="FF853" s="43"/>
      <c r="FG853" s="43"/>
      <c r="FH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c r="BO854" s="43"/>
      <c r="BP854" s="43"/>
      <c r="BQ854" s="43"/>
      <c r="BR854" s="43"/>
      <c r="BS854" s="43"/>
      <c r="BT854" s="43"/>
      <c r="BU854" s="43"/>
      <c r="BV854" s="43"/>
      <c r="BW854" s="43"/>
      <c r="BX854" s="43"/>
      <c r="BY854" s="43"/>
      <c r="BZ854" s="43"/>
      <c r="CA854" s="43"/>
      <c r="CB854" s="43"/>
      <c r="CC854" s="43"/>
      <c r="CD854" s="43"/>
      <c r="CE854" s="43"/>
      <c r="CF854" s="43"/>
      <c r="CG854" s="43"/>
      <c r="CH854" s="43"/>
      <c r="CI854" s="43"/>
      <c r="CJ854" s="43"/>
      <c r="CK854" s="43"/>
      <c r="CL854" s="43"/>
      <c r="CM854" s="43"/>
      <c r="CN854" s="43"/>
      <c r="CO854" s="43"/>
      <c r="CP854" s="43"/>
      <c r="CQ854" s="43"/>
      <c r="CR854" s="43"/>
      <c r="CS854" s="43"/>
      <c r="CT854" s="43"/>
      <c r="CU854" s="43"/>
      <c r="CV854" s="43"/>
      <c r="CW854" s="43"/>
      <c r="CX854" s="43"/>
      <c r="CY854" s="43"/>
      <c r="CZ854" s="43"/>
      <c r="DA854" s="43"/>
      <c r="DB854" s="43"/>
      <c r="DC854" s="43"/>
      <c r="DD854" s="43"/>
      <c r="DE854" s="43"/>
      <c r="DF854" s="43"/>
      <c r="DG854" s="43"/>
      <c r="DH854" s="43"/>
      <c r="DI854" s="43"/>
      <c r="DJ854" s="43"/>
      <c r="DK854" s="43"/>
      <c r="DL854" s="43"/>
      <c r="DM854" s="43"/>
      <c r="DN854" s="43"/>
      <c r="DO854" s="43"/>
      <c r="DP854" s="43"/>
      <c r="DQ854" s="43"/>
      <c r="DR854" s="43"/>
      <c r="DS854" s="43"/>
      <c r="DT854" s="43"/>
      <c r="DU854" s="43"/>
      <c r="DV854" s="43"/>
      <c r="DW854" s="43"/>
      <c r="DX854" s="43"/>
      <c r="DY854" s="43"/>
      <c r="DZ854" s="43"/>
      <c r="EA854" s="43"/>
      <c r="EB854" s="43"/>
      <c r="EC854" s="43"/>
      <c r="ED854" s="43"/>
      <c r="EE854" s="43"/>
      <c r="EF854" s="43"/>
      <c r="EG854" s="43"/>
      <c r="EH854" s="43"/>
      <c r="EI854" s="43"/>
      <c r="EJ854" s="43"/>
      <c r="EK854" s="43"/>
      <c r="EL854" s="43"/>
      <c r="EM854" s="43"/>
      <c r="EN854" s="43"/>
      <c r="EO854" s="43"/>
      <c r="EP854" s="43"/>
      <c r="EQ854" s="43"/>
      <c r="ER854" s="43"/>
      <c r="ES854" s="43"/>
      <c r="ET854" s="43"/>
      <c r="EU854" s="43"/>
      <c r="EV854" s="43"/>
      <c r="EW854" s="43"/>
      <c r="EX854" s="43"/>
      <c r="EY854" s="43"/>
      <c r="EZ854" s="43"/>
      <c r="FA854" s="43"/>
      <c r="FB854" s="43"/>
      <c r="FC854" s="43"/>
      <c r="FD854" s="43"/>
      <c r="FE854" s="43"/>
      <c r="FF854" s="43"/>
      <c r="FG854" s="43"/>
      <c r="FH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c r="BO855" s="43"/>
      <c r="BP855" s="43"/>
      <c r="BQ855" s="43"/>
      <c r="BR855" s="43"/>
      <c r="BS855" s="43"/>
      <c r="BT855" s="43"/>
      <c r="BU855" s="43"/>
      <c r="BV855" s="43"/>
      <c r="BW855" s="43"/>
      <c r="BX855" s="43"/>
      <c r="BY855" s="43"/>
      <c r="BZ855" s="43"/>
      <c r="CA855" s="43"/>
      <c r="CB855" s="43"/>
      <c r="CC855" s="43"/>
      <c r="CD855" s="43"/>
      <c r="CE855" s="43"/>
      <c r="CF855" s="43"/>
      <c r="CG855" s="43"/>
      <c r="CH855" s="43"/>
      <c r="CI855" s="43"/>
      <c r="CJ855" s="43"/>
      <c r="CK855" s="43"/>
      <c r="CL855" s="43"/>
      <c r="CM855" s="43"/>
      <c r="CN855" s="43"/>
      <c r="CO855" s="43"/>
      <c r="CP855" s="43"/>
      <c r="CQ855" s="43"/>
      <c r="CR855" s="43"/>
      <c r="CS855" s="43"/>
      <c r="CT855" s="43"/>
      <c r="CU855" s="43"/>
      <c r="CV855" s="43"/>
      <c r="CW855" s="43"/>
      <c r="CX855" s="43"/>
      <c r="CY855" s="43"/>
      <c r="CZ855" s="43"/>
      <c r="DA855" s="43"/>
      <c r="DB855" s="43"/>
      <c r="DC855" s="43"/>
      <c r="DD855" s="43"/>
      <c r="DE855" s="43"/>
      <c r="DF855" s="43"/>
      <c r="DG855" s="43"/>
      <c r="DH855" s="43"/>
      <c r="DI855" s="43"/>
      <c r="DJ855" s="43"/>
      <c r="DK855" s="43"/>
      <c r="DL855" s="43"/>
      <c r="DM855" s="43"/>
      <c r="DN855" s="43"/>
      <c r="DO855" s="43"/>
      <c r="DP855" s="43"/>
      <c r="DQ855" s="43"/>
      <c r="DR855" s="43"/>
      <c r="DS855" s="43"/>
      <c r="DT855" s="43"/>
      <c r="DU855" s="43"/>
      <c r="DV855" s="43"/>
      <c r="DW855" s="43"/>
      <c r="DX855" s="43"/>
      <c r="DY855" s="43"/>
      <c r="DZ855" s="43"/>
      <c r="EA855" s="43"/>
      <c r="EB855" s="43"/>
      <c r="EC855" s="43"/>
      <c r="ED855" s="43"/>
      <c r="EE855" s="43"/>
      <c r="EF855" s="43"/>
      <c r="EG855" s="43"/>
      <c r="EH855" s="43"/>
      <c r="EI855" s="43"/>
      <c r="EJ855" s="43"/>
      <c r="EK855" s="43"/>
      <c r="EL855" s="43"/>
      <c r="EM855" s="43"/>
      <c r="EN855" s="43"/>
      <c r="EO855" s="43"/>
      <c r="EP855" s="43"/>
      <c r="EQ855" s="43"/>
      <c r="ER855" s="43"/>
      <c r="ES855" s="43"/>
      <c r="ET855" s="43"/>
      <c r="EU855" s="43"/>
      <c r="EV855" s="43"/>
      <c r="EW855" s="43"/>
      <c r="EX855" s="43"/>
      <c r="EY855" s="43"/>
      <c r="EZ855" s="43"/>
      <c r="FA855" s="43"/>
      <c r="FB855" s="43"/>
      <c r="FC855" s="43"/>
      <c r="FD855" s="43"/>
      <c r="FE855" s="43"/>
      <c r="FF855" s="43"/>
      <c r="FG855" s="43"/>
      <c r="FH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c r="BO856" s="43"/>
      <c r="BP856" s="43"/>
      <c r="BQ856" s="43"/>
      <c r="BR856" s="43"/>
      <c r="BS856" s="43"/>
      <c r="BT856" s="43"/>
      <c r="BU856" s="43"/>
      <c r="BV856" s="43"/>
      <c r="BW856" s="43"/>
      <c r="BX856" s="43"/>
      <c r="BY856" s="43"/>
      <c r="BZ856" s="43"/>
      <c r="CA856" s="43"/>
      <c r="CB856" s="43"/>
      <c r="CC856" s="43"/>
      <c r="CD856" s="43"/>
      <c r="CE856" s="43"/>
      <c r="CF856" s="43"/>
      <c r="CG856" s="43"/>
      <c r="CH856" s="43"/>
      <c r="CI856" s="43"/>
      <c r="CJ856" s="43"/>
      <c r="CK856" s="43"/>
      <c r="CL856" s="43"/>
      <c r="CM856" s="43"/>
      <c r="CN856" s="43"/>
      <c r="CO856" s="43"/>
      <c r="CP856" s="43"/>
      <c r="CQ856" s="43"/>
      <c r="CR856" s="43"/>
      <c r="CS856" s="43"/>
      <c r="CT856" s="43"/>
      <c r="CU856" s="43"/>
      <c r="CV856" s="43"/>
      <c r="CW856" s="43"/>
      <c r="CX856" s="43"/>
      <c r="CY856" s="43"/>
      <c r="CZ856" s="43"/>
      <c r="DA856" s="43"/>
      <c r="DB856" s="43"/>
      <c r="DC856" s="43"/>
      <c r="DD856" s="43"/>
      <c r="DE856" s="43"/>
      <c r="DF856" s="43"/>
      <c r="DG856" s="43"/>
      <c r="DH856" s="43"/>
      <c r="DI856" s="43"/>
      <c r="DJ856" s="43"/>
      <c r="DK856" s="43"/>
      <c r="DL856" s="43"/>
      <c r="DM856" s="43"/>
      <c r="DN856" s="43"/>
      <c r="DO856" s="43"/>
      <c r="DP856" s="43"/>
      <c r="DQ856" s="43"/>
      <c r="DR856" s="43"/>
      <c r="DS856" s="43"/>
      <c r="DT856" s="43"/>
      <c r="DU856" s="43"/>
      <c r="DV856" s="43"/>
      <c r="DW856" s="43"/>
      <c r="DX856" s="43"/>
      <c r="DY856" s="43"/>
      <c r="DZ856" s="43"/>
      <c r="EA856" s="43"/>
      <c r="EB856" s="43"/>
      <c r="EC856" s="43"/>
      <c r="ED856" s="43"/>
      <c r="EE856" s="43"/>
      <c r="EF856" s="43"/>
      <c r="EG856" s="43"/>
      <c r="EH856" s="43"/>
      <c r="EI856" s="43"/>
      <c r="EJ856" s="43"/>
      <c r="EK856" s="43"/>
      <c r="EL856" s="43"/>
      <c r="EM856" s="43"/>
      <c r="EN856" s="43"/>
      <c r="EO856" s="43"/>
      <c r="EP856" s="43"/>
      <c r="EQ856" s="43"/>
      <c r="ER856" s="43"/>
      <c r="ES856" s="43"/>
      <c r="ET856" s="43"/>
      <c r="EU856" s="43"/>
      <c r="EV856" s="43"/>
      <c r="EW856" s="43"/>
      <c r="EX856" s="43"/>
      <c r="EY856" s="43"/>
      <c r="EZ856" s="43"/>
      <c r="FA856" s="43"/>
      <c r="FB856" s="43"/>
      <c r="FC856" s="43"/>
      <c r="FD856" s="43"/>
      <c r="FE856" s="43"/>
      <c r="FF856" s="43"/>
      <c r="FG856" s="43"/>
      <c r="FH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43"/>
      <c r="BP857" s="43"/>
      <c r="BQ857" s="43"/>
      <c r="BR857" s="43"/>
      <c r="BS857" s="43"/>
      <c r="BT857" s="43"/>
      <c r="BU857" s="43"/>
      <c r="BV857" s="43"/>
      <c r="BW857" s="43"/>
      <c r="BX857" s="43"/>
      <c r="BY857" s="43"/>
      <c r="BZ857" s="43"/>
      <c r="CA857" s="43"/>
      <c r="CB857" s="43"/>
      <c r="CC857" s="43"/>
      <c r="CD857" s="43"/>
      <c r="CE857" s="43"/>
      <c r="CF857" s="43"/>
      <c r="CG857" s="43"/>
      <c r="CH857" s="43"/>
      <c r="CI857" s="43"/>
      <c r="CJ857" s="43"/>
      <c r="CK857" s="43"/>
      <c r="CL857" s="43"/>
      <c r="CM857" s="43"/>
      <c r="CN857" s="43"/>
      <c r="CO857" s="43"/>
      <c r="CP857" s="43"/>
      <c r="CQ857" s="43"/>
      <c r="CR857" s="43"/>
      <c r="CS857" s="43"/>
      <c r="CT857" s="43"/>
      <c r="CU857" s="43"/>
      <c r="CV857" s="43"/>
      <c r="CW857" s="43"/>
      <c r="CX857" s="43"/>
      <c r="CY857" s="43"/>
      <c r="CZ857" s="43"/>
      <c r="DA857" s="43"/>
      <c r="DB857" s="43"/>
      <c r="DC857" s="43"/>
      <c r="DD857" s="43"/>
      <c r="DE857" s="43"/>
      <c r="DF857" s="43"/>
      <c r="DG857" s="43"/>
      <c r="DH857" s="43"/>
      <c r="DI857" s="43"/>
      <c r="DJ857" s="43"/>
      <c r="DK857" s="43"/>
      <c r="DL857" s="43"/>
      <c r="DM857" s="43"/>
      <c r="DN857" s="43"/>
      <c r="DO857" s="43"/>
      <c r="DP857" s="43"/>
      <c r="DQ857" s="43"/>
      <c r="DR857" s="43"/>
      <c r="DS857" s="43"/>
      <c r="DT857" s="43"/>
      <c r="DU857" s="43"/>
      <c r="DV857" s="43"/>
      <c r="DW857" s="43"/>
      <c r="DX857" s="43"/>
      <c r="DY857" s="43"/>
      <c r="DZ857" s="43"/>
      <c r="EA857" s="43"/>
      <c r="EB857" s="43"/>
      <c r="EC857" s="43"/>
      <c r="ED857" s="43"/>
      <c r="EE857" s="43"/>
      <c r="EF857" s="43"/>
      <c r="EG857" s="43"/>
      <c r="EH857" s="43"/>
      <c r="EI857" s="43"/>
      <c r="EJ857" s="43"/>
      <c r="EK857" s="43"/>
      <c r="EL857" s="43"/>
      <c r="EM857" s="43"/>
      <c r="EN857" s="43"/>
      <c r="EO857" s="43"/>
      <c r="EP857" s="43"/>
      <c r="EQ857" s="43"/>
      <c r="ER857" s="43"/>
      <c r="ES857" s="43"/>
      <c r="ET857" s="43"/>
      <c r="EU857" s="43"/>
      <c r="EV857" s="43"/>
      <c r="EW857" s="43"/>
      <c r="EX857" s="43"/>
      <c r="EY857" s="43"/>
      <c r="EZ857" s="43"/>
      <c r="FA857" s="43"/>
      <c r="FB857" s="43"/>
      <c r="FC857" s="43"/>
      <c r="FD857" s="43"/>
      <c r="FE857" s="43"/>
      <c r="FF857" s="43"/>
      <c r="FG857" s="43"/>
      <c r="FH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43"/>
      <c r="BP858" s="43"/>
      <c r="BQ858" s="43"/>
      <c r="BR858" s="43"/>
      <c r="BS858" s="43"/>
      <c r="BT858" s="43"/>
      <c r="BU858" s="43"/>
      <c r="BV858" s="43"/>
      <c r="BW858" s="43"/>
      <c r="BX858" s="43"/>
      <c r="BY858" s="43"/>
      <c r="BZ858" s="43"/>
      <c r="CA858" s="43"/>
      <c r="CB858" s="43"/>
      <c r="CC858" s="43"/>
      <c r="CD858" s="43"/>
      <c r="CE858" s="43"/>
      <c r="CF858" s="43"/>
      <c r="CG858" s="43"/>
      <c r="CH858" s="43"/>
      <c r="CI858" s="43"/>
      <c r="CJ858" s="43"/>
      <c r="CK858" s="43"/>
      <c r="CL858" s="43"/>
      <c r="CM858" s="43"/>
      <c r="CN858" s="43"/>
      <c r="CO858" s="43"/>
      <c r="CP858" s="43"/>
      <c r="CQ858" s="43"/>
      <c r="CR858" s="43"/>
      <c r="CS858" s="43"/>
      <c r="CT858" s="43"/>
      <c r="CU858" s="43"/>
      <c r="CV858" s="43"/>
      <c r="CW858" s="43"/>
      <c r="CX858" s="43"/>
      <c r="CY858" s="43"/>
      <c r="CZ858" s="43"/>
      <c r="DA858" s="43"/>
      <c r="DB858" s="43"/>
      <c r="DC858" s="43"/>
      <c r="DD858" s="43"/>
      <c r="DE858" s="43"/>
      <c r="DF858" s="43"/>
      <c r="DG858" s="43"/>
      <c r="DH858" s="43"/>
      <c r="DI858" s="43"/>
      <c r="DJ858" s="43"/>
      <c r="DK858" s="43"/>
      <c r="DL858" s="43"/>
      <c r="DM858" s="43"/>
      <c r="DN858" s="43"/>
      <c r="DO858" s="43"/>
      <c r="DP858" s="43"/>
      <c r="DQ858" s="43"/>
      <c r="DR858" s="43"/>
      <c r="DS858" s="43"/>
      <c r="DT858" s="43"/>
      <c r="DU858" s="43"/>
      <c r="DV858" s="43"/>
      <c r="DW858" s="43"/>
      <c r="DX858" s="43"/>
      <c r="DY858" s="43"/>
      <c r="DZ858" s="43"/>
      <c r="EA858" s="43"/>
      <c r="EB858" s="43"/>
      <c r="EC858" s="43"/>
      <c r="ED858" s="43"/>
      <c r="EE858" s="43"/>
      <c r="EF858" s="43"/>
      <c r="EG858" s="43"/>
      <c r="EH858" s="43"/>
      <c r="EI858" s="43"/>
      <c r="EJ858" s="43"/>
      <c r="EK858" s="43"/>
      <c r="EL858" s="43"/>
      <c r="EM858" s="43"/>
      <c r="EN858" s="43"/>
      <c r="EO858" s="43"/>
      <c r="EP858" s="43"/>
      <c r="EQ858" s="43"/>
      <c r="ER858" s="43"/>
      <c r="ES858" s="43"/>
      <c r="ET858" s="43"/>
      <c r="EU858" s="43"/>
      <c r="EV858" s="43"/>
      <c r="EW858" s="43"/>
      <c r="EX858" s="43"/>
      <c r="EY858" s="43"/>
      <c r="EZ858" s="43"/>
      <c r="FA858" s="43"/>
      <c r="FB858" s="43"/>
      <c r="FC858" s="43"/>
      <c r="FD858" s="43"/>
      <c r="FE858" s="43"/>
      <c r="FF858" s="43"/>
      <c r="FG858" s="43"/>
      <c r="FH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43"/>
      <c r="BP859" s="43"/>
      <c r="BQ859" s="43"/>
      <c r="BR859" s="43"/>
      <c r="BS859" s="43"/>
      <c r="BT859" s="43"/>
      <c r="BU859" s="43"/>
      <c r="BV859" s="43"/>
      <c r="BW859" s="43"/>
      <c r="BX859" s="43"/>
      <c r="BY859" s="43"/>
      <c r="BZ859" s="43"/>
      <c r="CA859" s="43"/>
      <c r="CB859" s="43"/>
      <c r="CC859" s="43"/>
      <c r="CD859" s="43"/>
      <c r="CE859" s="43"/>
      <c r="CF859" s="43"/>
      <c r="CG859" s="43"/>
      <c r="CH859" s="43"/>
      <c r="CI859" s="43"/>
      <c r="CJ859" s="43"/>
      <c r="CK859" s="43"/>
      <c r="CL859" s="43"/>
      <c r="CM859" s="43"/>
      <c r="CN859" s="43"/>
      <c r="CO859" s="43"/>
      <c r="CP859" s="43"/>
      <c r="CQ859" s="43"/>
      <c r="CR859" s="43"/>
      <c r="CS859" s="43"/>
      <c r="CT859" s="43"/>
      <c r="CU859" s="43"/>
      <c r="CV859" s="43"/>
      <c r="CW859" s="43"/>
      <c r="CX859" s="43"/>
      <c r="CY859" s="43"/>
      <c r="CZ859" s="43"/>
      <c r="DA859" s="43"/>
      <c r="DB859" s="43"/>
      <c r="DC859" s="43"/>
      <c r="DD859" s="43"/>
      <c r="DE859" s="43"/>
      <c r="DF859" s="43"/>
      <c r="DG859" s="43"/>
      <c r="DH859" s="43"/>
      <c r="DI859" s="43"/>
      <c r="DJ859" s="43"/>
      <c r="DK859" s="43"/>
      <c r="DL859" s="43"/>
      <c r="DM859" s="43"/>
      <c r="DN859" s="43"/>
      <c r="DO859" s="43"/>
      <c r="DP859" s="43"/>
      <c r="DQ859" s="43"/>
      <c r="DR859" s="43"/>
      <c r="DS859" s="43"/>
      <c r="DT859" s="43"/>
      <c r="DU859" s="43"/>
      <c r="DV859" s="43"/>
      <c r="DW859" s="43"/>
      <c r="DX859" s="43"/>
      <c r="DY859" s="43"/>
      <c r="DZ859" s="43"/>
      <c r="EA859" s="43"/>
      <c r="EB859" s="43"/>
      <c r="EC859" s="43"/>
      <c r="ED859" s="43"/>
      <c r="EE859" s="43"/>
      <c r="EF859" s="43"/>
      <c r="EG859" s="43"/>
      <c r="EH859" s="43"/>
      <c r="EI859" s="43"/>
      <c r="EJ859" s="43"/>
      <c r="EK859" s="43"/>
      <c r="EL859" s="43"/>
      <c r="EM859" s="43"/>
      <c r="EN859" s="43"/>
      <c r="EO859" s="43"/>
      <c r="EP859" s="43"/>
      <c r="EQ859" s="43"/>
      <c r="ER859" s="43"/>
      <c r="ES859" s="43"/>
      <c r="ET859" s="43"/>
      <c r="EU859" s="43"/>
      <c r="EV859" s="43"/>
      <c r="EW859" s="43"/>
      <c r="EX859" s="43"/>
      <c r="EY859" s="43"/>
      <c r="EZ859" s="43"/>
      <c r="FA859" s="43"/>
      <c r="FB859" s="43"/>
      <c r="FC859" s="43"/>
      <c r="FD859" s="43"/>
      <c r="FE859" s="43"/>
      <c r="FF859" s="43"/>
      <c r="FG859" s="43"/>
      <c r="FH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43"/>
      <c r="BP860" s="43"/>
      <c r="BQ860" s="43"/>
      <c r="BR860" s="43"/>
      <c r="BS860" s="43"/>
      <c r="BT860" s="43"/>
      <c r="BU860" s="43"/>
      <c r="BV860" s="43"/>
      <c r="BW860" s="43"/>
      <c r="BX860" s="43"/>
      <c r="BY860" s="43"/>
      <c r="BZ860" s="43"/>
      <c r="CA860" s="43"/>
      <c r="CB860" s="43"/>
      <c r="CC860" s="43"/>
      <c r="CD860" s="43"/>
      <c r="CE860" s="43"/>
      <c r="CF860" s="43"/>
      <c r="CG860" s="43"/>
      <c r="CH860" s="43"/>
      <c r="CI860" s="43"/>
      <c r="CJ860" s="43"/>
      <c r="CK860" s="43"/>
      <c r="CL860" s="43"/>
      <c r="CM860" s="43"/>
      <c r="CN860" s="43"/>
      <c r="CO860" s="43"/>
      <c r="CP860" s="43"/>
      <c r="CQ860" s="43"/>
      <c r="CR860" s="43"/>
      <c r="CS860" s="43"/>
      <c r="CT860" s="43"/>
      <c r="CU860" s="43"/>
      <c r="CV860" s="43"/>
      <c r="CW860" s="43"/>
      <c r="CX860" s="43"/>
      <c r="CY860" s="43"/>
      <c r="CZ860" s="43"/>
      <c r="DA860" s="43"/>
      <c r="DB860" s="43"/>
      <c r="DC860" s="43"/>
      <c r="DD860" s="43"/>
      <c r="DE860" s="43"/>
      <c r="DF860" s="43"/>
      <c r="DG860" s="43"/>
      <c r="DH860" s="43"/>
      <c r="DI860" s="43"/>
      <c r="DJ860" s="43"/>
      <c r="DK860" s="43"/>
      <c r="DL860" s="43"/>
      <c r="DM860" s="43"/>
      <c r="DN860" s="43"/>
      <c r="DO860" s="43"/>
      <c r="DP860" s="43"/>
      <c r="DQ860" s="43"/>
      <c r="DR860" s="43"/>
      <c r="DS860" s="43"/>
      <c r="DT860" s="43"/>
      <c r="DU860" s="43"/>
      <c r="DV860" s="43"/>
      <c r="DW860" s="43"/>
      <c r="DX860" s="43"/>
      <c r="DY860" s="43"/>
      <c r="DZ860" s="43"/>
      <c r="EA860" s="43"/>
      <c r="EB860" s="43"/>
      <c r="EC860" s="43"/>
      <c r="ED860" s="43"/>
      <c r="EE860" s="43"/>
      <c r="EF860" s="43"/>
      <c r="EG860" s="43"/>
      <c r="EH860" s="43"/>
      <c r="EI860" s="43"/>
      <c r="EJ860" s="43"/>
      <c r="EK860" s="43"/>
      <c r="EL860" s="43"/>
      <c r="EM860" s="43"/>
      <c r="EN860" s="43"/>
      <c r="EO860" s="43"/>
      <c r="EP860" s="43"/>
      <c r="EQ860" s="43"/>
      <c r="ER860" s="43"/>
      <c r="ES860" s="43"/>
      <c r="ET860" s="43"/>
      <c r="EU860" s="43"/>
      <c r="EV860" s="43"/>
      <c r="EW860" s="43"/>
      <c r="EX860" s="43"/>
      <c r="EY860" s="43"/>
      <c r="EZ860" s="43"/>
      <c r="FA860" s="43"/>
      <c r="FB860" s="43"/>
      <c r="FC860" s="43"/>
      <c r="FD860" s="43"/>
      <c r="FE860" s="43"/>
      <c r="FF860" s="43"/>
      <c r="FG860" s="43"/>
      <c r="FH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43"/>
      <c r="BP861" s="43"/>
      <c r="BQ861" s="43"/>
      <c r="BR861" s="43"/>
      <c r="BS861" s="43"/>
      <c r="BT861" s="43"/>
      <c r="BU861" s="43"/>
      <c r="BV861" s="43"/>
      <c r="BW861" s="43"/>
      <c r="BX861" s="43"/>
      <c r="BY861" s="43"/>
      <c r="BZ861" s="43"/>
      <c r="CA861" s="43"/>
      <c r="CB861" s="43"/>
      <c r="CC861" s="43"/>
      <c r="CD861" s="43"/>
      <c r="CE861" s="43"/>
      <c r="CF861" s="43"/>
      <c r="CG861" s="43"/>
      <c r="CH861" s="43"/>
      <c r="CI861" s="43"/>
      <c r="CJ861" s="43"/>
      <c r="CK861" s="43"/>
      <c r="CL861" s="43"/>
      <c r="CM861" s="43"/>
      <c r="CN861" s="43"/>
      <c r="CO861" s="43"/>
      <c r="CP861" s="43"/>
      <c r="CQ861" s="43"/>
      <c r="CR861" s="43"/>
      <c r="CS861" s="43"/>
      <c r="CT861" s="43"/>
      <c r="CU861" s="43"/>
      <c r="CV861" s="43"/>
      <c r="CW861" s="43"/>
      <c r="CX861" s="43"/>
      <c r="CY861" s="43"/>
      <c r="CZ861" s="43"/>
      <c r="DA861" s="43"/>
      <c r="DB861" s="43"/>
      <c r="DC861" s="43"/>
      <c r="DD861" s="43"/>
      <c r="DE861" s="43"/>
      <c r="DF861" s="43"/>
      <c r="DG861" s="43"/>
      <c r="DH861" s="43"/>
      <c r="DI861" s="43"/>
      <c r="DJ861" s="43"/>
      <c r="DK861" s="43"/>
      <c r="DL861" s="43"/>
      <c r="DM861" s="43"/>
      <c r="DN861" s="43"/>
      <c r="DO861" s="43"/>
      <c r="DP861" s="43"/>
      <c r="DQ861" s="43"/>
      <c r="DR861" s="43"/>
      <c r="DS861" s="43"/>
      <c r="DT861" s="43"/>
      <c r="DU861" s="43"/>
      <c r="DV861" s="43"/>
      <c r="DW861" s="43"/>
      <c r="DX861" s="43"/>
      <c r="DY861" s="43"/>
      <c r="DZ861" s="43"/>
      <c r="EA861" s="43"/>
      <c r="EB861" s="43"/>
      <c r="EC861" s="43"/>
      <c r="ED861" s="43"/>
      <c r="EE861" s="43"/>
      <c r="EF861" s="43"/>
      <c r="EG861" s="43"/>
      <c r="EH861" s="43"/>
      <c r="EI861" s="43"/>
      <c r="EJ861" s="43"/>
      <c r="EK861" s="43"/>
      <c r="EL861" s="43"/>
      <c r="EM861" s="43"/>
      <c r="EN861" s="43"/>
      <c r="EO861" s="43"/>
      <c r="EP861" s="43"/>
      <c r="EQ861" s="43"/>
      <c r="ER861" s="43"/>
      <c r="ES861" s="43"/>
      <c r="ET861" s="43"/>
      <c r="EU861" s="43"/>
      <c r="EV861" s="43"/>
      <c r="EW861" s="43"/>
      <c r="EX861" s="43"/>
      <c r="EY861" s="43"/>
      <c r="EZ861" s="43"/>
      <c r="FA861" s="43"/>
      <c r="FB861" s="43"/>
      <c r="FC861" s="43"/>
      <c r="FD861" s="43"/>
      <c r="FE861" s="43"/>
      <c r="FF861" s="43"/>
      <c r="FG861" s="43"/>
      <c r="FH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43"/>
      <c r="BP862" s="43"/>
      <c r="BQ862" s="43"/>
      <c r="BR862" s="43"/>
      <c r="BS862" s="43"/>
      <c r="BT862" s="43"/>
      <c r="BU862" s="43"/>
      <c r="BV862" s="43"/>
      <c r="BW862" s="43"/>
      <c r="BX862" s="43"/>
      <c r="BY862" s="43"/>
      <c r="BZ862" s="43"/>
      <c r="CA862" s="43"/>
      <c r="CB862" s="43"/>
      <c r="CC862" s="43"/>
      <c r="CD862" s="43"/>
      <c r="CE862" s="43"/>
      <c r="CF862" s="43"/>
      <c r="CG862" s="43"/>
      <c r="CH862" s="43"/>
      <c r="CI862" s="43"/>
      <c r="CJ862" s="43"/>
      <c r="CK862" s="43"/>
      <c r="CL862" s="43"/>
      <c r="CM862" s="43"/>
      <c r="CN862" s="43"/>
      <c r="CO862" s="43"/>
      <c r="CP862" s="43"/>
      <c r="CQ862" s="43"/>
      <c r="CR862" s="43"/>
      <c r="CS862" s="43"/>
      <c r="CT862" s="43"/>
      <c r="CU862" s="43"/>
      <c r="CV862" s="43"/>
      <c r="CW862" s="43"/>
      <c r="CX862" s="43"/>
      <c r="CY862" s="43"/>
      <c r="CZ862" s="43"/>
      <c r="DA862" s="43"/>
      <c r="DB862" s="43"/>
      <c r="DC862" s="43"/>
      <c r="DD862" s="43"/>
      <c r="DE862" s="43"/>
      <c r="DF862" s="43"/>
      <c r="DG862" s="43"/>
      <c r="DH862" s="43"/>
      <c r="DI862" s="43"/>
      <c r="DJ862" s="43"/>
      <c r="DK862" s="43"/>
      <c r="DL862" s="43"/>
      <c r="DM862" s="43"/>
      <c r="DN862" s="43"/>
      <c r="DO862" s="43"/>
      <c r="DP862" s="43"/>
      <c r="DQ862" s="43"/>
      <c r="DR862" s="43"/>
      <c r="DS862" s="43"/>
      <c r="DT862" s="43"/>
      <c r="DU862" s="43"/>
      <c r="DV862" s="43"/>
      <c r="DW862" s="43"/>
      <c r="DX862" s="43"/>
      <c r="DY862" s="43"/>
      <c r="DZ862" s="43"/>
      <c r="EA862" s="43"/>
      <c r="EB862" s="43"/>
      <c r="EC862" s="43"/>
      <c r="ED862" s="43"/>
      <c r="EE862" s="43"/>
      <c r="EF862" s="43"/>
      <c r="EG862" s="43"/>
      <c r="EH862" s="43"/>
      <c r="EI862" s="43"/>
      <c r="EJ862" s="43"/>
      <c r="EK862" s="43"/>
      <c r="EL862" s="43"/>
      <c r="EM862" s="43"/>
      <c r="EN862" s="43"/>
      <c r="EO862" s="43"/>
      <c r="EP862" s="43"/>
      <c r="EQ862" s="43"/>
      <c r="ER862" s="43"/>
      <c r="ES862" s="43"/>
      <c r="ET862" s="43"/>
      <c r="EU862" s="43"/>
      <c r="EV862" s="43"/>
      <c r="EW862" s="43"/>
      <c r="EX862" s="43"/>
      <c r="EY862" s="43"/>
      <c r="EZ862" s="43"/>
      <c r="FA862" s="43"/>
      <c r="FB862" s="43"/>
      <c r="FC862" s="43"/>
      <c r="FD862" s="43"/>
      <c r="FE862" s="43"/>
      <c r="FF862" s="43"/>
      <c r="FG862" s="43"/>
      <c r="FH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c r="BO863" s="43"/>
      <c r="BP863" s="43"/>
      <c r="BQ863" s="43"/>
      <c r="BR863" s="43"/>
      <c r="BS863" s="43"/>
      <c r="BT863" s="43"/>
      <c r="BU863" s="43"/>
      <c r="BV863" s="43"/>
      <c r="BW863" s="43"/>
      <c r="BX863" s="43"/>
      <c r="BY863" s="43"/>
      <c r="BZ863" s="43"/>
      <c r="CA863" s="43"/>
      <c r="CB863" s="43"/>
      <c r="CC863" s="43"/>
      <c r="CD863" s="43"/>
      <c r="CE863" s="43"/>
      <c r="CF863" s="43"/>
      <c r="CG863" s="43"/>
      <c r="CH863" s="43"/>
      <c r="CI863" s="43"/>
      <c r="CJ863" s="43"/>
      <c r="CK863" s="43"/>
      <c r="CL863" s="43"/>
      <c r="CM863" s="43"/>
      <c r="CN863" s="43"/>
      <c r="CO863" s="43"/>
      <c r="CP863" s="43"/>
      <c r="CQ863" s="43"/>
      <c r="CR863" s="43"/>
      <c r="CS863" s="43"/>
      <c r="CT863" s="43"/>
      <c r="CU863" s="43"/>
      <c r="CV863" s="43"/>
      <c r="CW863" s="43"/>
      <c r="CX863" s="43"/>
      <c r="CY863" s="43"/>
      <c r="CZ863" s="43"/>
      <c r="DA863" s="43"/>
      <c r="DB863" s="43"/>
      <c r="DC863" s="43"/>
      <c r="DD863" s="43"/>
      <c r="DE863" s="43"/>
      <c r="DF863" s="43"/>
      <c r="DG863" s="43"/>
      <c r="DH863" s="43"/>
      <c r="DI863" s="43"/>
      <c r="DJ863" s="43"/>
      <c r="DK863" s="43"/>
      <c r="DL863" s="43"/>
      <c r="DM863" s="43"/>
      <c r="DN863" s="43"/>
      <c r="DO863" s="43"/>
      <c r="DP863" s="43"/>
      <c r="DQ863" s="43"/>
      <c r="DR863" s="43"/>
      <c r="DS863" s="43"/>
      <c r="DT863" s="43"/>
      <c r="DU863" s="43"/>
      <c r="DV863" s="43"/>
      <c r="DW863" s="43"/>
      <c r="DX863" s="43"/>
      <c r="DY863" s="43"/>
      <c r="DZ863" s="43"/>
      <c r="EA863" s="43"/>
      <c r="EB863" s="43"/>
      <c r="EC863" s="43"/>
      <c r="ED863" s="43"/>
      <c r="EE863" s="43"/>
      <c r="EF863" s="43"/>
      <c r="EG863" s="43"/>
      <c r="EH863" s="43"/>
      <c r="EI863" s="43"/>
      <c r="EJ863" s="43"/>
      <c r="EK863" s="43"/>
      <c r="EL863" s="43"/>
      <c r="EM863" s="43"/>
      <c r="EN863" s="43"/>
      <c r="EO863" s="43"/>
      <c r="EP863" s="43"/>
      <c r="EQ863" s="43"/>
      <c r="ER863" s="43"/>
      <c r="ES863" s="43"/>
      <c r="ET863" s="43"/>
      <c r="EU863" s="43"/>
      <c r="EV863" s="43"/>
      <c r="EW863" s="43"/>
      <c r="EX863" s="43"/>
      <c r="EY863" s="43"/>
      <c r="EZ863" s="43"/>
      <c r="FA863" s="43"/>
      <c r="FB863" s="43"/>
      <c r="FC863" s="43"/>
      <c r="FD863" s="43"/>
      <c r="FE863" s="43"/>
      <c r="FF863" s="43"/>
      <c r="FG863" s="43"/>
      <c r="FH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c r="BO864" s="43"/>
      <c r="BP864" s="43"/>
      <c r="BQ864" s="43"/>
      <c r="BR864" s="43"/>
      <c r="BS864" s="43"/>
      <c r="BT864" s="43"/>
      <c r="BU864" s="43"/>
      <c r="BV864" s="43"/>
      <c r="BW864" s="43"/>
      <c r="BX864" s="43"/>
      <c r="BY864" s="43"/>
      <c r="BZ864" s="43"/>
      <c r="CA864" s="43"/>
      <c r="CB864" s="43"/>
      <c r="CC864" s="43"/>
      <c r="CD864" s="43"/>
      <c r="CE864" s="43"/>
      <c r="CF864" s="43"/>
      <c r="CG864" s="43"/>
      <c r="CH864" s="43"/>
      <c r="CI864" s="43"/>
      <c r="CJ864" s="43"/>
      <c r="CK864" s="43"/>
      <c r="CL864" s="43"/>
      <c r="CM864" s="43"/>
      <c r="CN864" s="43"/>
      <c r="CO864" s="43"/>
      <c r="CP864" s="43"/>
      <c r="CQ864" s="43"/>
      <c r="CR864" s="43"/>
      <c r="CS864" s="43"/>
      <c r="CT864" s="43"/>
      <c r="CU864" s="43"/>
      <c r="CV864" s="43"/>
      <c r="CW864" s="43"/>
      <c r="CX864" s="43"/>
      <c r="CY864" s="43"/>
      <c r="CZ864" s="43"/>
      <c r="DA864" s="43"/>
      <c r="DB864" s="43"/>
      <c r="DC864" s="43"/>
      <c r="DD864" s="43"/>
      <c r="DE864" s="43"/>
      <c r="DF864" s="43"/>
      <c r="DG864" s="43"/>
      <c r="DH864" s="43"/>
      <c r="DI864" s="43"/>
      <c r="DJ864" s="43"/>
      <c r="DK864" s="43"/>
      <c r="DL864" s="43"/>
      <c r="DM864" s="43"/>
      <c r="DN864" s="43"/>
      <c r="DO864" s="43"/>
      <c r="DP864" s="43"/>
      <c r="DQ864" s="43"/>
      <c r="DR864" s="43"/>
      <c r="DS864" s="43"/>
      <c r="DT864" s="43"/>
      <c r="DU864" s="43"/>
      <c r="DV864" s="43"/>
      <c r="DW864" s="43"/>
      <c r="DX864" s="43"/>
      <c r="DY864" s="43"/>
      <c r="DZ864" s="43"/>
      <c r="EA864" s="43"/>
      <c r="EB864" s="43"/>
      <c r="EC864" s="43"/>
      <c r="ED864" s="43"/>
      <c r="EE864" s="43"/>
      <c r="EF864" s="43"/>
      <c r="EG864" s="43"/>
      <c r="EH864" s="43"/>
      <c r="EI864" s="43"/>
      <c r="EJ864" s="43"/>
      <c r="EK864" s="43"/>
      <c r="EL864" s="43"/>
      <c r="EM864" s="43"/>
      <c r="EN864" s="43"/>
      <c r="EO864" s="43"/>
      <c r="EP864" s="43"/>
      <c r="EQ864" s="43"/>
      <c r="ER864" s="43"/>
      <c r="ES864" s="43"/>
      <c r="ET864" s="43"/>
      <c r="EU864" s="43"/>
      <c r="EV864" s="43"/>
      <c r="EW864" s="43"/>
      <c r="EX864" s="43"/>
      <c r="EY864" s="43"/>
      <c r="EZ864" s="43"/>
      <c r="FA864" s="43"/>
      <c r="FB864" s="43"/>
      <c r="FC864" s="43"/>
      <c r="FD864" s="43"/>
      <c r="FE864" s="43"/>
      <c r="FF864" s="43"/>
      <c r="FG864" s="43"/>
      <c r="FH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43"/>
      <c r="BP865" s="43"/>
      <c r="BQ865" s="43"/>
      <c r="BR865" s="43"/>
      <c r="BS865" s="43"/>
      <c r="BT865" s="43"/>
      <c r="BU865" s="43"/>
      <c r="BV865" s="43"/>
      <c r="BW865" s="43"/>
      <c r="BX865" s="43"/>
      <c r="BY865" s="43"/>
      <c r="BZ865" s="43"/>
      <c r="CA865" s="43"/>
      <c r="CB865" s="43"/>
      <c r="CC865" s="43"/>
      <c r="CD865" s="43"/>
      <c r="CE865" s="43"/>
      <c r="CF865" s="43"/>
      <c r="CG865" s="43"/>
      <c r="CH865" s="43"/>
      <c r="CI865" s="43"/>
      <c r="CJ865" s="43"/>
      <c r="CK865" s="43"/>
      <c r="CL865" s="43"/>
      <c r="CM865" s="43"/>
      <c r="CN865" s="43"/>
      <c r="CO865" s="43"/>
      <c r="CP865" s="43"/>
      <c r="CQ865" s="43"/>
      <c r="CR865" s="43"/>
      <c r="CS865" s="43"/>
      <c r="CT865" s="43"/>
      <c r="CU865" s="43"/>
      <c r="CV865" s="43"/>
      <c r="CW865" s="43"/>
      <c r="CX865" s="43"/>
      <c r="CY865" s="43"/>
      <c r="CZ865" s="43"/>
      <c r="DA865" s="43"/>
      <c r="DB865" s="43"/>
      <c r="DC865" s="43"/>
      <c r="DD865" s="43"/>
      <c r="DE865" s="43"/>
      <c r="DF865" s="43"/>
      <c r="DG865" s="43"/>
      <c r="DH865" s="43"/>
      <c r="DI865" s="43"/>
      <c r="DJ865" s="43"/>
      <c r="DK865" s="43"/>
      <c r="DL865" s="43"/>
      <c r="DM865" s="43"/>
      <c r="DN865" s="43"/>
      <c r="DO865" s="43"/>
      <c r="DP865" s="43"/>
      <c r="DQ865" s="43"/>
      <c r="DR865" s="43"/>
      <c r="DS865" s="43"/>
      <c r="DT865" s="43"/>
      <c r="DU865" s="43"/>
      <c r="DV865" s="43"/>
      <c r="DW865" s="43"/>
      <c r="DX865" s="43"/>
      <c r="DY865" s="43"/>
      <c r="DZ865" s="43"/>
      <c r="EA865" s="43"/>
      <c r="EB865" s="43"/>
      <c r="EC865" s="43"/>
      <c r="ED865" s="43"/>
      <c r="EE865" s="43"/>
      <c r="EF865" s="43"/>
      <c r="EG865" s="43"/>
      <c r="EH865" s="43"/>
      <c r="EI865" s="43"/>
      <c r="EJ865" s="43"/>
      <c r="EK865" s="43"/>
      <c r="EL865" s="43"/>
      <c r="EM865" s="43"/>
      <c r="EN865" s="43"/>
      <c r="EO865" s="43"/>
      <c r="EP865" s="43"/>
      <c r="EQ865" s="43"/>
      <c r="ER865" s="43"/>
      <c r="ES865" s="43"/>
      <c r="ET865" s="43"/>
      <c r="EU865" s="43"/>
      <c r="EV865" s="43"/>
      <c r="EW865" s="43"/>
      <c r="EX865" s="43"/>
      <c r="EY865" s="43"/>
      <c r="EZ865" s="43"/>
      <c r="FA865" s="43"/>
      <c r="FB865" s="43"/>
      <c r="FC865" s="43"/>
      <c r="FD865" s="43"/>
      <c r="FE865" s="43"/>
      <c r="FF865" s="43"/>
      <c r="FG865" s="43"/>
      <c r="FH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43"/>
      <c r="BP866" s="43"/>
      <c r="BQ866" s="43"/>
      <c r="BR866" s="43"/>
      <c r="BS866" s="43"/>
      <c r="BT866" s="43"/>
      <c r="BU866" s="43"/>
      <c r="BV866" s="43"/>
      <c r="BW866" s="43"/>
      <c r="BX866" s="43"/>
      <c r="BY866" s="43"/>
      <c r="BZ866" s="43"/>
      <c r="CA866" s="43"/>
      <c r="CB866" s="43"/>
      <c r="CC866" s="43"/>
      <c r="CD866" s="43"/>
      <c r="CE866" s="43"/>
      <c r="CF866" s="43"/>
      <c r="CG866" s="43"/>
      <c r="CH866" s="43"/>
      <c r="CI866" s="43"/>
      <c r="CJ866" s="43"/>
      <c r="CK866" s="43"/>
      <c r="CL866" s="43"/>
      <c r="CM866" s="43"/>
      <c r="CN866" s="43"/>
      <c r="CO866" s="43"/>
      <c r="CP866" s="43"/>
      <c r="CQ866" s="43"/>
      <c r="CR866" s="43"/>
      <c r="CS866" s="43"/>
      <c r="CT866" s="43"/>
      <c r="CU866" s="43"/>
      <c r="CV866" s="43"/>
      <c r="CW866" s="43"/>
      <c r="CX866" s="43"/>
      <c r="CY866" s="43"/>
      <c r="CZ866" s="43"/>
      <c r="DA866" s="43"/>
      <c r="DB866" s="43"/>
      <c r="DC866" s="43"/>
      <c r="DD866" s="43"/>
      <c r="DE866" s="43"/>
      <c r="DF866" s="43"/>
      <c r="DG866" s="43"/>
      <c r="DH866" s="43"/>
      <c r="DI866" s="43"/>
      <c r="DJ866" s="43"/>
      <c r="DK866" s="43"/>
      <c r="DL866" s="43"/>
      <c r="DM866" s="43"/>
      <c r="DN866" s="43"/>
      <c r="DO866" s="43"/>
      <c r="DP866" s="43"/>
      <c r="DQ866" s="43"/>
      <c r="DR866" s="43"/>
      <c r="DS866" s="43"/>
      <c r="DT866" s="43"/>
      <c r="DU866" s="43"/>
      <c r="DV866" s="43"/>
      <c r="DW866" s="43"/>
      <c r="DX866" s="43"/>
      <c r="DY866" s="43"/>
      <c r="DZ866" s="43"/>
      <c r="EA866" s="43"/>
      <c r="EB866" s="43"/>
      <c r="EC866" s="43"/>
      <c r="ED866" s="43"/>
      <c r="EE866" s="43"/>
      <c r="EF866" s="43"/>
      <c r="EG866" s="43"/>
      <c r="EH866" s="43"/>
      <c r="EI866" s="43"/>
      <c r="EJ866" s="43"/>
      <c r="EK866" s="43"/>
      <c r="EL866" s="43"/>
      <c r="EM866" s="43"/>
      <c r="EN866" s="43"/>
      <c r="EO866" s="43"/>
      <c r="EP866" s="43"/>
      <c r="EQ866" s="43"/>
      <c r="ER866" s="43"/>
      <c r="ES866" s="43"/>
      <c r="ET866" s="43"/>
      <c r="EU866" s="43"/>
      <c r="EV866" s="43"/>
      <c r="EW866" s="43"/>
      <c r="EX866" s="43"/>
      <c r="EY866" s="43"/>
      <c r="EZ866" s="43"/>
      <c r="FA866" s="43"/>
      <c r="FB866" s="43"/>
      <c r="FC866" s="43"/>
      <c r="FD866" s="43"/>
      <c r="FE866" s="43"/>
      <c r="FF866" s="43"/>
      <c r="FG866" s="43"/>
      <c r="FH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43"/>
      <c r="BP867" s="43"/>
      <c r="BQ867" s="43"/>
      <c r="BR867" s="43"/>
      <c r="BS867" s="43"/>
      <c r="BT867" s="43"/>
      <c r="BU867" s="43"/>
      <c r="BV867" s="43"/>
      <c r="BW867" s="43"/>
      <c r="BX867" s="43"/>
      <c r="BY867" s="43"/>
      <c r="BZ867" s="43"/>
      <c r="CA867" s="43"/>
      <c r="CB867" s="43"/>
      <c r="CC867" s="43"/>
      <c r="CD867" s="43"/>
      <c r="CE867" s="43"/>
      <c r="CF867" s="43"/>
      <c r="CG867" s="43"/>
      <c r="CH867" s="43"/>
      <c r="CI867" s="43"/>
      <c r="CJ867" s="43"/>
      <c r="CK867" s="43"/>
      <c r="CL867" s="43"/>
      <c r="CM867" s="43"/>
      <c r="CN867" s="43"/>
      <c r="CO867" s="43"/>
      <c r="CP867" s="43"/>
      <c r="CQ867" s="43"/>
      <c r="CR867" s="43"/>
      <c r="CS867" s="43"/>
      <c r="CT867" s="43"/>
      <c r="CU867" s="43"/>
      <c r="CV867" s="43"/>
      <c r="CW867" s="43"/>
      <c r="CX867" s="43"/>
      <c r="CY867" s="43"/>
      <c r="CZ867" s="43"/>
      <c r="DA867" s="43"/>
      <c r="DB867" s="43"/>
      <c r="DC867" s="43"/>
      <c r="DD867" s="43"/>
      <c r="DE867" s="43"/>
      <c r="DF867" s="43"/>
      <c r="DG867" s="43"/>
      <c r="DH867" s="43"/>
      <c r="DI867" s="43"/>
      <c r="DJ867" s="43"/>
      <c r="DK867" s="43"/>
      <c r="DL867" s="43"/>
      <c r="DM867" s="43"/>
      <c r="DN867" s="43"/>
      <c r="DO867" s="43"/>
      <c r="DP867" s="43"/>
      <c r="DQ867" s="43"/>
      <c r="DR867" s="43"/>
      <c r="DS867" s="43"/>
      <c r="DT867" s="43"/>
      <c r="DU867" s="43"/>
      <c r="DV867" s="43"/>
      <c r="DW867" s="43"/>
      <c r="DX867" s="43"/>
      <c r="DY867" s="43"/>
      <c r="DZ867" s="43"/>
      <c r="EA867" s="43"/>
      <c r="EB867" s="43"/>
      <c r="EC867" s="43"/>
      <c r="ED867" s="43"/>
      <c r="EE867" s="43"/>
      <c r="EF867" s="43"/>
      <c r="EG867" s="43"/>
      <c r="EH867" s="43"/>
      <c r="EI867" s="43"/>
      <c r="EJ867" s="43"/>
      <c r="EK867" s="43"/>
      <c r="EL867" s="43"/>
      <c r="EM867" s="43"/>
      <c r="EN867" s="43"/>
      <c r="EO867" s="43"/>
      <c r="EP867" s="43"/>
      <c r="EQ867" s="43"/>
      <c r="ER867" s="43"/>
      <c r="ES867" s="43"/>
      <c r="ET867" s="43"/>
      <c r="EU867" s="43"/>
      <c r="EV867" s="43"/>
      <c r="EW867" s="43"/>
      <c r="EX867" s="43"/>
      <c r="EY867" s="43"/>
      <c r="EZ867" s="43"/>
      <c r="FA867" s="43"/>
      <c r="FB867" s="43"/>
      <c r="FC867" s="43"/>
      <c r="FD867" s="43"/>
      <c r="FE867" s="43"/>
      <c r="FF867" s="43"/>
      <c r="FG867" s="43"/>
      <c r="FH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43"/>
      <c r="BP868" s="43"/>
      <c r="BQ868" s="43"/>
      <c r="BR868" s="43"/>
      <c r="BS868" s="43"/>
      <c r="BT868" s="43"/>
      <c r="BU868" s="43"/>
      <c r="BV868" s="43"/>
      <c r="BW868" s="43"/>
      <c r="BX868" s="43"/>
      <c r="BY868" s="43"/>
      <c r="BZ868" s="43"/>
      <c r="CA868" s="43"/>
      <c r="CB868" s="43"/>
      <c r="CC868" s="43"/>
      <c r="CD868" s="43"/>
      <c r="CE868" s="43"/>
      <c r="CF868" s="43"/>
      <c r="CG868" s="43"/>
      <c r="CH868" s="43"/>
      <c r="CI868" s="43"/>
      <c r="CJ868" s="43"/>
      <c r="CK868" s="43"/>
      <c r="CL868" s="43"/>
      <c r="CM868" s="43"/>
      <c r="CN868" s="43"/>
      <c r="CO868" s="43"/>
      <c r="CP868" s="43"/>
      <c r="CQ868" s="43"/>
      <c r="CR868" s="43"/>
      <c r="CS868" s="43"/>
      <c r="CT868" s="43"/>
      <c r="CU868" s="43"/>
      <c r="CV868" s="43"/>
      <c r="CW868" s="43"/>
      <c r="CX868" s="43"/>
      <c r="CY868" s="43"/>
      <c r="CZ868" s="43"/>
      <c r="DA868" s="43"/>
      <c r="DB868" s="43"/>
      <c r="DC868" s="43"/>
      <c r="DD868" s="43"/>
      <c r="DE868" s="43"/>
      <c r="DF868" s="43"/>
      <c r="DG868" s="43"/>
      <c r="DH868" s="43"/>
      <c r="DI868" s="43"/>
      <c r="DJ868" s="43"/>
      <c r="DK868" s="43"/>
      <c r="DL868" s="43"/>
      <c r="DM868" s="43"/>
      <c r="DN868" s="43"/>
      <c r="DO868" s="43"/>
      <c r="DP868" s="43"/>
      <c r="DQ868" s="43"/>
      <c r="DR868" s="43"/>
      <c r="DS868" s="43"/>
      <c r="DT868" s="43"/>
      <c r="DU868" s="43"/>
      <c r="DV868" s="43"/>
      <c r="DW868" s="43"/>
      <c r="DX868" s="43"/>
      <c r="DY868" s="43"/>
      <c r="DZ868" s="43"/>
      <c r="EA868" s="43"/>
      <c r="EB868" s="43"/>
      <c r="EC868" s="43"/>
      <c r="ED868" s="43"/>
      <c r="EE868" s="43"/>
      <c r="EF868" s="43"/>
      <c r="EG868" s="43"/>
      <c r="EH868" s="43"/>
      <c r="EI868" s="43"/>
      <c r="EJ868" s="43"/>
      <c r="EK868" s="43"/>
      <c r="EL868" s="43"/>
      <c r="EM868" s="43"/>
      <c r="EN868" s="43"/>
      <c r="EO868" s="43"/>
      <c r="EP868" s="43"/>
      <c r="EQ868" s="43"/>
      <c r="ER868" s="43"/>
      <c r="ES868" s="43"/>
      <c r="ET868" s="43"/>
      <c r="EU868" s="43"/>
      <c r="EV868" s="43"/>
      <c r="EW868" s="43"/>
      <c r="EX868" s="43"/>
      <c r="EY868" s="43"/>
      <c r="EZ868" s="43"/>
      <c r="FA868" s="43"/>
      <c r="FB868" s="43"/>
      <c r="FC868" s="43"/>
      <c r="FD868" s="43"/>
      <c r="FE868" s="43"/>
      <c r="FF868" s="43"/>
      <c r="FG868" s="43"/>
      <c r="FH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43"/>
      <c r="BP869" s="43"/>
      <c r="BQ869" s="43"/>
      <c r="BR869" s="43"/>
      <c r="BS869" s="43"/>
      <c r="BT869" s="43"/>
      <c r="BU869" s="43"/>
      <c r="BV869" s="43"/>
      <c r="BW869" s="43"/>
      <c r="BX869" s="43"/>
      <c r="BY869" s="43"/>
      <c r="BZ869" s="43"/>
      <c r="CA869" s="43"/>
      <c r="CB869" s="43"/>
      <c r="CC869" s="43"/>
      <c r="CD869" s="43"/>
      <c r="CE869" s="43"/>
      <c r="CF869" s="43"/>
      <c r="CG869" s="43"/>
      <c r="CH869" s="43"/>
      <c r="CI869" s="43"/>
      <c r="CJ869" s="43"/>
      <c r="CK869" s="43"/>
      <c r="CL869" s="43"/>
      <c r="CM869" s="43"/>
      <c r="CN869" s="43"/>
      <c r="CO869" s="43"/>
      <c r="CP869" s="43"/>
      <c r="CQ869" s="43"/>
      <c r="CR869" s="43"/>
      <c r="CS869" s="43"/>
      <c r="CT869" s="43"/>
      <c r="CU869" s="43"/>
      <c r="CV869" s="43"/>
      <c r="CW869" s="43"/>
      <c r="CX869" s="43"/>
      <c r="CY869" s="43"/>
      <c r="CZ869" s="43"/>
      <c r="DA869" s="43"/>
      <c r="DB869" s="43"/>
      <c r="DC869" s="43"/>
      <c r="DD869" s="43"/>
      <c r="DE869" s="43"/>
      <c r="DF869" s="43"/>
      <c r="DG869" s="43"/>
      <c r="DH869" s="43"/>
      <c r="DI869" s="43"/>
      <c r="DJ869" s="43"/>
      <c r="DK869" s="43"/>
      <c r="DL869" s="43"/>
      <c r="DM869" s="43"/>
      <c r="DN869" s="43"/>
      <c r="DO869" s="43"/>
      <c r="DP869" s="43"/>
      <c r="DQ869" s="43"/>
      <c r="DR869" s="43"/>
      <c r="DS869" s="43"/>
      <c r="DT869" s="43"/>
      <c r="DU869" s="43"/>
      <c r="DV869" s="43"/>
      <c r="DW869" s="43"/>
      <c r="DX869" s="43"/>
      <c r="DY869" s="43"/>
      <c r="DZ869" s="43"/>
      <c r="EA869" s="43"/>
      <c r="EB869" s="43"/>
      <c r="EC869" s="43"/>
      <c r="ED869" s="43"/>
      <c r="EE869" s="43"/>
      <c r="EF869" s="43"/>
      <c r="EG869" s="43"/>
      <c r="EH869" s="43"/>
      <c r="EI869" s="43"/>
      <c r="EJ869" s="43"/>
      <c r="EK869" s="43"/>
      <c r="EL869" s="43"/>
      <c r="EM869" s="43"/>
      <c r="EN869" s="43"/>
      <c r="EO869" s="43"/>
      <c r="EP869" s="43"/>
      <c r="EQ869" s="43"/>
      <c r="ER869" s="43"/>
      <c r="ES869" s="43"/>
      <c r="ET869" s="43"/>
      <c r="EU869" s="43"/>
      <c r="EV869" s="43"/>
      <c r="EW869" s="43"/>
      <c r="EX869" s="43"/>
      <c r="EY869" s="43"/>
      <c r="EZ869" s="43"/>
      <c r="FA869" s="43"/>
      <c r="FB869" s="43"/>
      <c r="FC869" s="43"/>
      <c r="FD869" s="43"/>
      <c r="FE869" s="43"/>
      <c r="FF869" s="43"/>
      <c r="FG869" s="43"/>
      <c r="FH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43"/>
      <c r="BP870" s="43"/>
      <c r="BQ870" s="43"/>
      <c r="BR870" s="43"/>
      <c r="BS870" s="43"/>
      <c r="BT870" s="43"/>
      <c r="BU870" s="43"/>
      <c r="BV870" s="43"/>
      <c r="BW870" s="43"/>
      <c r="BX870" s="43"/>
      <c r="BY870" s="43"/>
      <c r="BZ870" s="43"/>
      <c r="CA870" s="43"/>
      <c r="CB870" s="43"/>
      <c r="CC870" s="43"/>
      <c r="CD870" s="43"/>
      <c r="CE870" s="43"/>
      <c r="CF870" s="43"/>
      <c r="CG870" s="43"/>
      <c r="CH870" s="43"/>
      <c r="CI870" s="43"/>
      <c r="CJ870" s="43"/>
      <c r="CK870" s="43"/>
      <c r="CL870" s="43"/>
      <c r="CM870" s="43"/>
      <c r="CN870" s="43"/>
      <c r="CO870" s="43"/>
      <c r="CP870" s="43"/>
      <c r="CQ870" s="43"/>
      <c r="CR870" s="43"/>
      <c r="CS870" s="43"/>
      <c r="CT870" s="43"/>
      <c r="CU870" s="43"/>
      <c r="CV870" s="43"/>
      <c r="CW870" s="43"/>
      <c r="CX870" s="43"/>
      <c r="CY870" s="43"/>
      <c r="CZ870" s="43"/>
      <c r="DA870" s="43"/>
      <c r="DB870" s="43"/>
      <c r="DC870" s="43"/>
      <c r="DD870" s="43"/>
      <c r="DE870" s="43"/>
      <c r="DF870" s="43"/>
      <c r="DG870" s="43"/>
      <c r="DH870" s="43"/>
      <c r="DI870" s="43"/>
      <c r="DJ870" s="43"/>
      <c r="DK870" s="43"/>
      <c r="DL870" s="43"/>
      <c r="DM870" s="43"/>
      <c r="DN870" s="43"/>
      <c r="DO870" s="43"/>
      <c r="DP870" s="43"/>
      <c r="DQ870" s="43"/>
      <c r="DR870" s="43"/>
      <c r="DS870" s="43"/>
      <c r="DT870" s="43"/>
      <c r="DU870" s="43"/>
      <c r="DV870" s="43"/>
      <c r="DW870" s="43"/>
      <c r="DX870" s="43"/>
      <c r="DY870" s="43"/>
      <c r="DZ870" s="43"/>
      <c r="EA870" s="43"/>
      <c r="EB870" s="43"/>
      <c r="EC870" s="43"/>
      <c r="ED870" s="43"/>
      <c r="EE870" s="43"/>
      <c r="EF870" s="43"/>
      <c r="EG870" s="43"/>
      <c r="EH870" s="43"/>
      <c r="EI870" s="43"/>
      <c r="EJ870" s="43"/>
      <c r="EK870" s="43"/>
      <c r="EL870" s="43"/>
      <c r="EM870" s="43"/>
      <c r="EN870" s="43"/>
      <c r="EO870" s="43"/>
      <c r="EP870" s="43"/>
      <c r="EQ870" s="43"/>
      <c r="ER870" s="43"/>
      <c r="ES870" s="43"/>
      <c r="ET870" s="43"/>
      <c r="EU870" s="43"/>
      <c r="EV870" s="43"/>
      <c r="EW870" s="43"/>
      <c r="EX870" s="43"/>
      <c r="EY870" s="43"/>
      <c r="EZ870" s="43"/>
      <c r="FA870" s="43"/>
      <c r="FB870" s="43"/>
      <c r="FC870" s="43"/>
      <c r="FD870" s="43"/>
      <c r="FE870" s="43"/>
      <c r="FF870" s="43"/>
      <c r="FG870" s="43"/>
      <c r="FH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43"/>
      <c r="BP871" s="43"/>
      <c r="BQ871" s="43"/>
      <c r="BR871" s="43"/>
      <c r="BS871" s="43"/>
      <c r="BT871" s="43"/>
      <c r="BU871" s="43"/>
      <c r="BV871" s="43"/>
      <c r="BW871" s="43"/>
      <c r="BX871" s="43"/>
      <c r="BY871" s="43"/>
      <c r="BZ871" s="43"/>
      <c r="CA871" s="43"/>
      <c r="CB871" s="43"/>
      <c r="CC871" s="43"/>
      <c r="CD871" s="43"/>
      <c r="CE871" s="43"/>
      <c r="CF871" s="43"/>
      <c r="CG871" s="43"/>
      <c r="CH871" s="43"/>
      <c r="CI871" s="43"/>
      <c r="CJ871" s="43"/>
      <c r="CK871" s="43"/>
      <c r="CL871" s="43"/>
      <c r="CM871" s="43"/>
      <c r="CN871" s="43"/>
      <c r="CO871" s="43"/>
      <c r="CP871" s="43"/>
      <c r="CQ871" s="43"/>
      <c r="CR871" s="43"/>
      <c r="CS871" s="43"/>
      <c r="CT871" s="43"/>
      <c r="CU871" s="43"/>
      <c r="CV871" s="43"/>
      <c r="CW871" s="43"/>
      <c r="CX871" s="43"/>
      <c r="CY871" s="43"/>
      <c r="CZ871" s="43"/>
      <c r="DA871" s="43"/>
      <c r="DB871" s="43"/>
      <c r="DC871" s="43"/>
      <c r="DD871" s="43"/>
      <c r="DE871" s="43"/>
      <c r="DF871" s="43"/>
      <c r="DG871" s="43"/>
      <c r="DH871" s="43"/>
      <c r="DI871" s="43"/>
      <c r="DJ871" s="43"/>
      <c r="DK871" s="43"/>
      <c r="DL871" s="43"/>
      <c r="DM871" s="43"/>
      <c r="DN871" s="43"/>
      <c r="DO871" s="43"/>
      <c r="DP871" s="43"/>
      <c r="DQ871" s="43"/>
      <c r="DR871" s="43"/>
      <c r="DS871" s="43"/>
      <c r="DT871" s="43"/>
      <c r="DU871" s="43"/>
      <c r="DV871" s="43"/>
      <c r="DW871" s="43"/>
      <c r="DX871" s="43"/>
      <c r="DY871" s="43"/>
      <c r="DZ871" s="43"/>
      <c r="EA871" s="43"/>
      <c r="EB871" s="43"/>
      <c r="EC871" s="43"/>
      <c r="ED871" s="43"/>
      <c r="EE871" s="43"/>
      <c r="EF871" s="43"/>
      <c r="EG871" s="43"/>
      <c r="EH871" s="43"/>
      <c r="EI871" s="43"/>
      <c r="EJ871" s="43"/>
      <c r="EK871" s="43"/>
      <c r="EL871" s="43"/>
      <c r="EM871" s="43"/>
      <c r="EN871" s="43"/>
      <c r="EO871" s="43"/>
      <c r="EP871" s="43"/>
      <c r="EQ871" s="43"/>
      <c r="ER871" s="43"/>
      <c r="ES871" s="43"/>
      <c r="ET871" s="43"/>
      <c r="EU871" s="43"/>
      <c r="EV871" s="43"/>
      <c r="EW871" s="43"/>
      <c r="EX871" s="43"/>
      <c r="EY871" s="43"/>
      <c r="EZ871" s="43"/>
      <c r="FA871" s="43"/>
      <c r="FB871" s="43"/>
      <c r="FC871" s="43"/>
      <c r="FD871" s="43"/>
      <c r="FE871" s="43"/>
      <c r="FF871" s="43"/>
      <c r="FG871" s="43"/>
      <c r="FH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43"/>
      <c r="BP872" s="43"/>
      <c r="BQ872" s="43"/>
      <c r="BR872" s="43"/>
      <c r="BS872" s="43"/>
      <c r="BT872" s="43"/>
      <c r="BU872" s="43"/>
      <c r="BV872" s="43"/>
      <c r="BW872" s="43"/>
      <c r="BX872" s="43"/>
      <c r="BY872" s="43"/>
      <c r="BZ872" s="43"/>
      <c r="CA872" s="43"/>
      <c r="CB872" s="43"/>
      <c r="CC872" s="43"/>
      <c r="CD872" s="43"/>
      <c r="CE872" s="43"/>
      <c r="CF872" s="43"/>
      <c r="CG872" s="43"/>
      <c r="CH872" s="43"/>
      <c r="CI872" s="43"/>
      <c r="CJ872" s="43"/>
      <c r="CK872" s="43"/>
      <c r="CL872" s="43"/>
      <c r="CM872" s="43"/>
      <c r="CN872" s="43"/>
      <c r="CO872" s="43"/>
      <c r="CP872" s="43"/>
      <c r="CQ872" s="43"/>
      <c r="CR872" s="43"/>
      <c r="CS872" s="43"/>
      <c r="CT872" s="43"/>
      <c r="CU872" s="43"/>
      <c r="CV872" s="43"/>
      <c r="CW872" s="43"/>
      <c r="CX872" s="43"/>
      <c r="CY872" s="43"/>
      <c r="CZ872" s="43"/>
      <c r="DA872" s="43"/>
      <c r="DB872" s="43"/>
      <c r="DC872" s="43"/>
      <c r="DD872" s="43"/>
      <c r="DE872" s="43"/>
      <c r="DF872" s="43"/>
      <c r="DG872" s="43"/>
      <c r="DH872" s="43"/>
      <c r="DI872" s="43"/>
      <c r="DJ872" s="43"/>
      <c r="DK872" s="43"/>
      <c r="DL872" s="43"/>
      <c r="DM872" s="43"/>
      <c r="DN872" s="43"/>
      <c r="DO872" s="43"/>
      <c r="DP872" s="43"/>
      <c r="DQ872" s="43"/>
      <c r="DR872" s="43"/>
      <c r="DS872" s="43"/>
      <c r="DT872" s="43"/>
      <c r="DU872" s="43"/>
      <c r="DV872" s="43"/>
      <c r="DW872" s="43"/>
      <c r="DX872" s="43"/>
      <c r="DY872" s="43"/>
      <c r="DZ872" s="43"/>
      <c r="EA872" s="43"/>
      <c r="EB872" s="43"/>
      <c r="EC872" s="43"/>
      <c r="ED872" s="43"/>
      <c r="EE872" s="43"/>
      <c r="EF872" s="43"/>
      <c r="EG872" s="43"/>
      <c r="EH872" s="43"/>
      <c r="EI872" s="43"/>
      <c r="EJ872" s="43"/>
      <c r="EK872" s="43"/>
      <c r="EL872" s="43"/>
      <c r="EM872" s="43"/>
      <c r="EN872" s="43"/>
      <c r="EO872" s="43"/>
      <c r="EP872" s="43"/>
      <c r="EQ872" s="43"/>
      <c r="ER872" s="43"/>
      <c r="ES872" s="43"/>
      <c r="ET872" s="43"/>
      <c r="EU872" s="43"/>
      <c r="EV872" s="43"/>
      <c r="EW872" s="43"/>
      <c r="EX872" s="43"/>
      <c r="EY872" s="43"/>
      <c r="EZ872" s="43"/>
      <c r="FA872" s="43"/>
      <c r="FB872" s="43"/>
      <c r="FC872" s="43"/>
      <c r="FD872" s="43"/>
      <c r="FE872" s="43"/>
      <c r="FF872" s="43"/>
      <c r="FG872" s="43"/>
      <c r="FH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43"/>
      <c r="BP873" s="43"/>
      <c r="BQ873" s="43"/>
      <c r="BR873" s="43"/>
      <c r="BS873" s="43"/>
      <c r="BT873" s="43"/>
      <c r="BU873" s="43"/>
      <c r="BV873" s="43"/>
      <c r="BW873" s="43"/>
      <c r="BX873" s="43"/>
      <c r="BY873" s="43"/>
      <c r="BZ873" s="43"/>
      <c r="CA873" s="43"/>
      <c r="CB873" s="43"/>
      <c r="CC873" s="43"/>
      <c r="CD873" s="43"/>
      <c r="CE873" s="43"/>
      <c r="CF873" s="43"/>
      <c r="CG873" s="43"/>
      <c r="CH873" s="43"/>
      <c r="CI873" s="43"/>
      <c r="CJ873" s="43"/>
      <c r="CK873" s="43"/>
      <c r="CL873" s="43"/>
      <c r="CM873" s="43"/>
      <c r="CN873" s="43"/>
      <c r="CO873" s="43"/>
      <c r="CP873" s="43"/>
      <c r="CQ873" s="43"/>
      <c r="CR873" s="43"/>
      <c r="CS873" s="43"/>
      <c r="CT873" s="43"/>
      <c r="CU873" s="43"/>
      <c r="CV873" s="43"/>
      <c r="CW873" s="43"/>
      <c r="CX873" s="43"/>
      <c r="CY873" s="43"/>
      <c r="CZ873" s="43"/>
      <c r="DA873" s="43"/>
      <c r="DB873" s="43"/>
      <c r="DC873" s="43"/>
      <c r="DD873" s="43"/>
      <c r="DE873" s="43"/>
      <c r="DF873" s="43"/>
      <c r="DG873" s="43"/>
      <c r="DH873" s="43"/>
      <c r="DI873" s="43"/>
      <c r="DJ873" s="43"/>
      <c r="DK873" s="43"/>
      <c r="DL873" s="43"/>
      <c r="DM873" s="43"/>
      <c r="DN873" s="43"/>
      <c r="DO873" s="43"/>
      <c r="DP873" s="43"/>
      <c r="DQ873" s="43"/>
      <c r="DR873" s="43"/>
      <c r="DS873" s="43"/>
      <c r="DT873" s="43"/>
      <c r="DU873" s="43"/>
      <c r="DV873" s="43"/>
      <c r="DW873" s="43"/>
      <c r="DX873" s="43"/>
      <c r="DY873" s="43"/>
      <c r="DZ873" s="43"/>
      <c r="EA873" s="43"/>
      <c r="EB873" s="43"/>
      <c r="EC873" s="43"/>
      <c r="ED873" s="43"/>
      <c r="EE873" s="43"/>
      <c r="EF873" s="43"/>
      <c r="EG873" s="43"/>
      <c r="EH873" s="43"/>
      <c r="EI873" s="43"/>
      <c r="EJ873" s="43"/>
      <c r="EK873" s="43"/>
      <c r="EL873" s="43"/>
      <c r="EM873" s="43"/>
      <c r="EN873" s="43"/>
      <c r="EO873" s="43"/>
      <c r="EP873" s="43"/>
      <c r="EQ873" s="43"/>
      <c r="ER873" s="43"/>
      <c r="ES873" s="43"/>
      <c r="ET873" s="43"/>
      <c r="EU873" s="43"/>
      <c r="EV873" s="43"/>
      <c r="EW873" s="43"/>
      <c r="EX873" s="43"/>
      <c r="EY873" s="43"/>
      <c r="EZ873" s="43"/>
      <c r="FA873" s="43"/>
      <c r="FB873" s="43"/>
      <c r="FC873" s="43"/>
      <c r="FD873" s="43"/>
      <c r="FE873" s="43"/>
      <c r="FF873" s="43"/>
      <c r="FG873" s="43"/>
      <c r="FH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43"/>
      <c r="BP874" s="43"/>
      <c r="BQ874" s="43"/>
      <c r="BR874" s="43"/>
      <c r="BS874" s="43"/>
      <c r="BT874" s="43"/>
      <c r="BU874" s="43"/>
      <c r="BV874" s="43"/>
      <c r="BW874" s="43"/>
      <c r="BX874" s="43"/>
      <c r="BY874" s="43"/>
      <c r="BZ874" s="43"/>
      <c r="CA874" s="43"/>
      <c r="CB874" s="43"/>
      <c r="CC874" s="43"/>
      <c r="CD874" s="43"/>
      <c r="CE874" s="43"/>
      <c r="CF874" s="43"/>
      <c r="CG874" s="43"/>
      <c r="CH874" s="43"/>
      <c r="CI874" s="43"/>
      <c r="CJ874" s="43"/>
      <c r="CK874" s="43"/>
      <c r="CL874" s="43"/>
      <c r="CM874" s="43"/>
      <c r="CN874" s="43"/>
      <c r="CO874" s="43"/>
      <c r="CP874" s="43"/>
      <c r="CQ874" s="43"/>
      <c r="CR874" s="43"/>
      <c r="CS874" s="43"/>
      <c r="CT874" s="43"/>
      <c r="CU874" s="43"/>
      <c r="CV874" s="43"/>
      <c r="CW874" s="43"/>
      <c r="CX874" s="43"/>
      <c r="CY874" s="43"/>
      <c r="CZ874" s="43"/>
      <c r="DA874" s="43"/>
      <c r="DB874" s="43"/>
      <c r="DC874" s="43"/>
      <c r="DD874" s="43"/>
      <c r="DE874" s="43"/>
      <c r="DF874" s="43"/>
      <c r="DG874" s="43"/>
      <c r="DH874" s="43"/>
      <c r="DI874" s="43"/>
      <c r="DJ874" s="43"/>
      <c r="DK874" s="43"/>
      <c r="DL874" s="43"/>
      <c r="DM874" s="43"/>
      <c r="DN874" s="43"/>
      <c r="DO874" s="43"/>
      <c r="DP874" s="43"/>
      <c r="DQ874" s="43"/>
      <c r="DR874" s="43"/>
      <c r="DS874" s="43"/>
      <c r="DT874" s="43"/>
      <c r="DU874" s="43"/>
      <c r="DV874" s="43"/>
      <c r="DW874" s="43"/>
      <c r="DX874" s="43"/>
      <c r="DY874" s="43"/>
      <c r="DZ874" s="43"/>
      <c r="EA874" s="43"/>
      <c r="EB874" s="43"/>
      <c r="EC874" s="43"/>
      <c r="ED874" s="43"/>
      <c r="EE874" s="43"/>
      <c r="EF874" s="43"/>
      <c r="EG874" s="43"/>
      <c r="EH874" s="43"/>
      <c r="EI874" s="43"/>
      <c r="EJ874" s="43"/>
      <c r="EK874" s="43"/>
      <c r="EL874" s="43"/>
      <c r="EM874" s="43"/>
      <c r="EN874" s="43"/>
      <c r="EO874" s="43"/>
      <c r="EP874" s="43"/>
      <c r="EQ874" s="43"/>
      <c r="ER874" s="43"/>
      <c r="ES874" s="43"/>
      <c r="ET874" s="43"/>
      <c r="EU874" s="43"/>
      <c r="EV874" s="43"/>
      <c r="EW874" s="43"/>
      <c r="EX874" s="43"/>
      <c r="EY874" s="43"/>
      <c r="EZ874" s="43"/>
      <c r="FA874" s="43"/>
      <c r="FB874" s="43"/>
      <c r="FC874" s="43"/>
      <c r="FD874" s="43"/>
      <c r="FE874" s="43"/>
      <c r="FF874" s="43"/>
      <c r="FG874" s="43"/>
      <c r="FH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43"/>
      <c r="BP875" s="43"/>
      <c r="BQ875" s="43"/>
      <c r="BR875" s="43"/>
      <c r="BS875" s="43"/>
      <c r="BT875" s="43"/>
      <c r="BU875" s="43"/>
      <c r="BV875" s="43"/>
      <c r="BW875" s="43"/>
      <c r="BX875" s="43"/>
      <c r="BY875" s="43"/>
      <c r="BZ875" s="43"/>
      <c r="CA875" s="43"/>
      <c r="CB875" s="43"/>
      <c r="CC875" s="43"/>
      <c r="CD875" s="43"/>
      <c r="CE875" s="43"/>
      <c r="CF875" s="43"/>
      <c r="CG875" s="43"/>
      <c r="CH875" s="43"/>
      <c r="CI875" s="43"/>
      <c r="CJ875" s="43"/>
      <c r="CK875" s="43"/>
      <c r="CL875" s="43"/>
      <c r="CM875" s="43"/>
      <c r="CN875" s="43"/>
      <c r="CO875" s="43"/>
      <c r="CP875" s="43"/>
      <c r="CQ875" s="43"/>
      <c r="CR875" s="43"/>
      <c r="CS875" s="43"/>
      <c r="CT875" s="43"/>
      <c r="CU875" s="43"/>
      <c r="CV875" s="43"/>
      <c r="CW875" s="43"/>
      <c r="CX875" s="43"/>
      <c r="CY875" s="43"/>
      <c r="CZ875" s="43"/>
      <c r="DA875" s="43"/>
      <c r="DB875" s="43"/>
      <c r="DC875" s="43"/>
      <c r="DD875" s="43"/>
      <c r="DE875" s="43"/>
      <c r="DF875" s="43"/>
      <c r="DG875" s="43"/>
      <c r="DH875" s="43"/>
      <c r="DI875" s="43"/>
      <c r="DJ875" s="43"/>
      <c r="DK875" s="43"/>
      <c r="DL875" s="43"/>
      <c r="DM875" s="43"/>
      <c r="DN875" s="43"/>
      <c r="DO875" s="43"/>
      <c r="DP875" s="43"/>
      <c r="DQ875" s="43"/>
      <c r="DR875" s="43"/>
      <c r="DS875" s="43"/>
      <c r="DT875" s="43"/>
      <c r="DU875" s="43"/>
      <c r="DV875" s="43"/>
      <c r="DW875" s="43"/>
      <c r="DX875" s="43"/>
      <c r="DY875" s="43"/>
      <c r="DZ875" s="43"/>
      <c r="EA875" s="43"/>
      <c r="EB875" s="43"/>
      <c r="EC875" s="43"/>
      <c r="ED875" s="43"/>
      <c r="EE875" s="43"/>
      <c r="EF875" s="43"/>
      <c r="EG875" s="43"/>
      <c r="EH875" s="43"/>
      <c r="EI875" s="43"/>
      <c r="EJ875" s="43"/>
      <c r="EK875" s="43"/>
      <c r="EL875" s="43"/>
      <c r="EM875" s="43"/>
      <c r="EN875" s="43"/>
      <c r="EO875" s="43"/>
      <c r="EP875" s="43"/>
      <c r="EQ875" s="43"/>
      <c r="ER875" s="43"/>
      <c r="ES875" s="43"/>
      <c r="ET875" s="43"/>
      <c r="EU875" s="43"/>
      <c r="EV875" s="43"/>
      <c r="EW875" s="43"/>
      <c r="EX875" s="43"/>
      <c r="EY875" s="43"/>
      <c r="EZ875" s="43"/>
      <c r="FA875" s="43"/>
      <c r="FB875" s="43"/>
      <c r="FC875" s="43"/>
      <c r="FD875" s="43"/>
      <c r="FE875" s="43"/>
      <c r="FF875" s="43"/>
      <c r="FG875" s="43"/>
      <c r="FH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43"/>
      <c r="BP876" s="43"/>
      <c r="BQ876" s="43"/>
      <c r="BR876" s="43"/>
      <c r="BS876" s="43"/>
      <c r="BT876" s="43"/>
      <c r="BU876" s="43"/>
      <c r="BV876" s="43"/>
      <c r="BW876" s="43"/>
      <c r="BX876" s="43"/>
      <c r="BY876" s="43"/>
      <c r="BZ876" s="43"/>
      <c r="CA876" s="43"/>
      <c r="CB876" s="43"/>
      <c r="CC876" s="43"/>
      <c r="CD876" s="43"/>
      <c r="CE876" s="43"/>
      <c r="CF876" s="43"/>
      <c r="CG876" s="43"/>
      <c r="CH876" s="43"/>
      <c r="CI876" s="43"/>
      <c r="CJ876" s="43"/>
      <c r="CK876" s="43"/>
      <c r="CL876" s="43"/>
      <c r="CM876" s="43"/>
      <c r="CN876" s="43"/>
      <c r="CO876" s="43"/>
      <c r="CP876" s="43"/>
      <c r="CQ876" s="43"/>
      <c r="CR876" s="43"/>
      <c r="CS876" s="43"/>
      <c r="CT876" s="43"/>
      <c r="CU876" s="43"/>
      <c r="CV876" s="43"/>
      <c r="CW876" s="43"/>
      <c r="CX876" s="43"/>
      <c r="CY876" s="43"/>
      <c r="CZ876" s="43"/>
      <c r="DA876" s="43"/>
      <c r="DB876" s="43"/>
      <c r="DC876" s="43"/>
      <c r="DD876" s="43"/>
      <c r="DE876" s="43"/>
      <c r="DF876" s="43"/>
      <c r="DG876" s="43"/>
      <c r="DH876" s="43"/>
      <c r="DI876" s="43"/>
      <c r="DJ876" s="43"/>
      <c r="DK876" s="43"/>
      <c r="DL876" s="43"/>
      <c r="DM876" s="43"/>
      <c r="DN876" s="43"/>
      <c r="DO876" s="43"/>
      <c r="DP876" s="43"/>
      <c r="DQ876" s="43"/>
      <c r="DR876" s="43"/>
      <c r="DS876" s="43"/>
      <c r="DT876" s="43"/>
      <c r="DU876" s="43"/>
      <c r="DV876" s="43"/>
      <c r="DW876" s="43"/>
      <c r="DX876" s="43"/>
      <c r="DY876" s="43"/>
      <c r="DZ876" s="43"/>
      <c r="EA876" s="43"/>
      <c r="EB876" s="43"/>
      <c r="EC876" s="43"/>
      <c r="ED876" s="43"/>
      <c r="EE876" s="43"/>
      <c r="EF876" s="43"/>
      <c r="EG876" s="43"/>
      <c r="EH876" s="43"/>
      <c r="EI876" s="43"/>
      <c r="EJ876" s="43"/>
      <c r="EK876" s="43"/>
      <c r="EL876" s="43"/>
      <c r="EM876" s="43"/>
      <c r="EN876" s="43"/>
      <c r="EO876" s="43"/>
      <c r="EP876" s="43"/>
      <c r="EQ876" s="43"/>
      <c r="ER876" s="43"/>
      <c r="ES876" s="43"/>
      <c r="ET876" s="43"/>
      <c r="EU876" s="43"/>
      <c r="EV876" s="43"/>
      <c r="EW876" s="43"/>
      <c r="EX876" s="43"/>
      <c r="EY876" s="43"/>
      <c r="EZ876" s="43"/>
      <c r="FA876" s="43"/>
      <c r="FB876" s="43"/>
      <c r="FC876" s="43"/>
      <c r="FD876" s="43"/>
      <c r="FE876" s="43"/>
      <c r="FF876" s="43"/>
      <c r="FG876" s="43"/>
      <c r="FH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43"/>
      <c r="BP877" s="43"/>
      <c r="BQ877" s="43"/>
      <c r="BR877" s="43"/>
      <c r="BS877" s="43"/>
      <c r="BT877" s="43"/>
      <c r="BU877" s="43"/>
      <c r="BV877" s="43"/>
      <c r="BW877" s="43"/>
      <c r="BX877" s="43"/>
      <c r="BY877" s="43"/>
      <c r="BZ877" s="43"/>
      <c r="CA877" s="43"/>
      <c r="CB877" s="43"/>
      <c r="CC877" s="43"/>
      <c r="CD877" s="43"/>
      <c r="CE877" s="43"/>
      <c r="CF877" s="43"/>
      <c r="CG877" s="43"/>
      <c r="CH877" s="43"/>
      <c r="CI877" s="43"/>
      <c r="CJ877" s="43"/>
      <c r="CK877" s="43"/>
      <c r="CL877" s="43"/>
      <c r="CM877" s="43"/>
      <c r="CN877" s="43"/>
      <c r="CO877" s="43"/>
      <c r="CP877" s="43"/>
      <c r="CQ877" s="43"/>
      <c r="CR877" s="43"/>
      <c r="CS877" s="43"/>
      <c r="CT877" s="43"/>
      <c r="CU877" s="43"/>
      <c r="CV877" s="43"/>
      <c r="CW877" s="43"/>
      <c r="CX877" s="43"/>
      <c r="CY877" s="43"/>
      <c r="CZ877" s="43"/>
      <c r="DA877" s="43"/>
      <c r="DB877" s="43"/>
      <c r="DC877" s="43"/>
      <c r="DD877" s="43"/>
      <c r="DE877" s="43"/>
      <c r="DF877" s="43"/>
      <c r="DG877" s="43"/>
      <c r="DH877" s="43"/>
      <c r="DI877" s="43"/>
      <c r="DJ877" s="43"/>
      <c r="DK877" s="43"/>
      <c r="DL877" s="43"/>
      <c r="DM877" s="43"/>
      <c r="DN877" s="43"/>
      <c r="DO877" s="43"/>
      <c r="DP877" s="43"/>
      <c r="DQ877" s="43"/>
      <c r="DR877" s="43"/>
      <c r="DS877" s="43"/>
      <c r="DT877" s="43"/>
      <c r="DU877" s="43"/>
      <c r="DV877" s="43"/>
      <c r="DW877" s="43"/>
      <c r="DX877" s="43"/>
      <c r="DY877" s="43"/>
      <c r="DZ877" s="43"/>
      <c r="EA877" s="43"/>
      <c r="EB877" s="43"/>
      <c r="EC877" s="43"/>
      <c r="ED877" s="43"/>
      <c r="EE877" s="43"/>
      <c r="EF877" s="43"/>
      <c r="EG877" s="43"/>
      <c r="EH877" s="43"/>
      <c r="EI877" s="43"/>
      <c r="EJ877" s="43"/>
      <c r="EK877" s="43"/>
      <c r="EL877" s="43"/>
      <c r="EM877" s="43"/>
      <c r="EN877" s="43"/>
      <c r="EO877" s="43"/>
      <c r="EP877" s="43"/>
      <c r="EQ877" s="43"/>
      <c r="ER877" s="43"/>
      <c r="ES877" s="43"/>
      <c r="ET877" s="43"/>
      <c r="EU877" s="43"/>
      <c r="EV877" s="43"/>
      <c r="EW877" s="43"/>
      <c r="EX877" s="43"/>
      <c r="EY877" s="43"/>
      <c r="EZ877" s="43"/>
      <c r="FA877" s="43"/>
      <c r="FB877" s="43"/>
      <c r="FC877" s="43"/>
      <c r="FD877" s="43"/>
      <c r="FE877" s="43"/>
      <c r="FF877" s="43"/>
      <c r="FG877" s="43"/>
      <c r="FH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43"/>
      <c r="BP878" s="43"/>
      <c r="BQ878" s="43"/>
      <c r="BR878" s="43"/>
      <c r="BS878" s="43"/>
      <c r="BT878" s="43"/>
      <c r="BU878" s="43"/>
      <c r="BV878" s="43"/>
      <c r="BW878" s="43"/>
      <c r="BX878" s="43"/>
      <c r="BY878" s="43"/>
      <c r="BZ878" s="43"/>
      <c r="CA878" s="43"/>
      <c r="CB878" s="43"/>
      <c r="CC878" s="43"/>
      <c r="CD878" s="43"/>
      <c r="CE878" s="43"/>
      <c r="CF878" s="43"/>
      <c r="CG878" s="43"/>
      <c r="CH878" s="43"/>
      <c r="CI878" s="43"/>
      <c r="CJ878" s="43"/>
      <c r="CK878" s="43"/>
      <c r="CL878" s="43"/>
      <c r="CM878" s="43"/>
      <c r="CN878" s="43"/>
      <c r="CO878" s="43"/>
      <c r="CP878" s="43"/>
      <c r="CQ878" s="43"/>
      <c r="CR878" s="43"/>
      <c r="CS878" s="43"/>
      <c r="CT878" s="43"/>
      <c r="CU878" s="43"/>
      <c r="CV878" s="43"/>
      <c r="CW878" s="43"/>
      <c r="CX878" s="43"/>
      <c r="CY878" s="43"/>
      <c r="CZ878" s="43"/>
      <c r="DA878" s="43"/>
      <c r="DB878" s="43"/>
      <c r="DC878" s="43"/>
      <c r="DD878" s="43"/>
      <c r="DE878" s="43"/>
      <c r="DF878" s="43"/>
      <c r="DG878" s="43"/>
      <c r="DH878" s="43"/>
      <c r="DI878" s="43"/>
      <c r="DJ878" s="43"/>
      <c r="DK878" s="43"/>
      <c r="DL878" s="43"/>
      <c r="DM878" s="43"/>
      <c r="DN878" s="43"/>
      <c r="DO878" s="43"/>
      <c r="DP878" s="43"/>
      <c r="DQ878" s="43"/>
      <c r="DR878" s="43"/>
      <c r="DS878" s="43"/>
      <c r="DT878" s="43"/>
      <c r="DU878" s="43"/>
      <c r="DV878" s="43"/>
      <c r="DW878" s="43"/>
      <c r="DX878" s="43"/>
      <c r="DY878" s="43"/>
      <c r="DZ878" s="43"/>
      <c r="EA878" s="43"/>
      <c r="EB878" s="43"/>
      <c r="EC878" s="43"/>
      <c r="ED878" s="43"/>
      <c r="EE878" s="43"/>
      <c r="EF878" s="43"/>
      <c r="EG878" s="43"/>
      <c r="EH878" s="43"/>
      <c r="EI878" s="43"/>
      <c r="EJ878" s="43"/>
      <c r="EK878" s="43"/>
      <c r="EL878" s="43"/>
      <c r="EM878" s="43"/>
      <c r="EN878" s="43"/>
      <c r="EO878" s="43"/>
      <c r="EP878" s="43"/>
      <c r="EQ878" s="43"/>
      <c r="ER878" s="43"/>
      <c r="ES878" s="43"/>
      <c r="ET878" s="43"/>
      <c r="EU878" s="43"/>
      <c r="EV878" s="43"/>
      <c r="EW878" s="43"/>
      <c r="EX878" s="43"/>
      <c r="EY878" s="43"/>
      <c r="EZ878" s="43"/>
      <c r="FA878" s="43"/>
      <c r="FB878" s="43"/>
      <c r="FC878" s="43"/>
      <c r="FD878" s="43"/>
      <c r="FE878" s="43"/>
      <c r="FF878" s="43"/>
      <c r="FG878" s="43"/>
      <c r="FH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43"/>
      <c r="BP879" s="43"/>
      <c r="BQ879" s="43"/>
      <c r="BR879" s="43"/>
      <c r="BS879" s="43"/>
      <c r="BT879" s="43"/>
      <c r="BU879" s="43"/>
      <c r="BV879" s="43"/>
      <c r="BW879" s="43"/>
      <c r="BX879" s="43"/>
      <c r="BY879" s="43"/>
      <c r="BZ879" s="43"/>
      <c r="CA879" s="43"/>
      <c r="CB879" s="43"/>
      <c r="CC879" s="43"/>
      <c r="CD879" s="43"/>
      <c r="CE879" s="43"/>
      <c r="CF879" s="43"/>
      <c r="CG879" s="43"/>
      <c r="CH879" s="43"/>
      <c r="CI879" s="43"/>
      <c r="CJ879" s="43"/>
      <c r="CK879" s="43"/>
      <c r="CL879" s="43"/>
      <c r="CM879" s="43"/>
      <c r="CN879" s="43"/>
      <c r="CO879" s="43"/>
      <c r="CP879" s="43"/>
      <c r="CQ879" s="43"/>
      <c r="CR879" s="43"/>
      <c r="CS879" s="43"/>
      <c r="CT879" s="43"/>
      <c r="CU879" s="43"/>
      <c r="CV879" s="43"/>
      <c r="CW879" s="43"/>
      <c r="CX879" s="43"/>
      <c r="CY879" s="43"/>
      <c r="CZ879" s="43"/>
      <c r="DA879" s="43"/>
      <c r="DB879" s="43"/>
      <c r="DC879" s="43"/>
      <c r="DD879" s="43"/>
      <c r="DE879" s="43"/>
      <c r="DF879" s="43"/>
      <c r="DG879" s="43"/>
      <c r="DH879" s="43"/>
      <c r="DI879" s="43"/>
      <c r="DJ879" s="43"/>
      <c r="DK879" s="43"/>
      <c r="DL879" s="43"/>
      <c r="DM879" s="43"/>
      <c r="DN879" s="43"/>
      <c r="DO879" s="43"/>
      <c r="DP879" s="43"/>
      <c r="DQ879" s="43"/>
      <c r="DR879" s="43"/>
      <c r="DS879" s="43"/>
      <c r="DT879" s="43"/>
      <c r="DU879" s="43"/>
      <c r="DV879" s="43"/>
      <c r="DW879" s="43"/>
      <c r="DX879" s="43"/>
      <c r="DY879" s="43"/>
      <c r="DZ879" s="43"/>
      <c r="EA879" s="43"/>
      <c r="EB879" s="43"/>
      <c r="EC879" s="43"/>
      <c r="ED879" s="43"/>
      <c r="EE879" s="43"/>
      <c r="EF879" s="43"/>
      <c r="EG879" s="43"/>
      <c r="EH879" s="43"/>
      <c r="EI879" s="43"/>
      <c r="EJ879" s="43"/>
      <c r="EK879" s="43"/>
      <c r="EL879" s="43"/>
      <c r="EM879" s="43"/>
      <c r="EN879" s="43"/>
      <c r="EO879" s="43"/>
      <c r="EP879" s="43"/>
      <c r="EQ879" s="43"/>
      <c r="ER879" s="43"/>
      <c r="ES879" s="43"/>
      <c r="ET879" s="43"/>
      <c r="EU879" s="43"/>
      <c r="EV879" s="43"/>
      <c r="EW879" s="43"/>
      <c r="EX879" s="43"/>
      <c r="EY879" s="43"/>
      <c r="EZ879" s="43"/>
      <c r="FA879" s="43"/>
      <c r="FB879" s="43"/>
      <c r="FC879" s="43"/>
      <c r="FD879" s="43"/>
      <c r="FE879" s="43"/>
      <c r="FF879" s="43"/>
      <c r="FG879" s="43"/>
      <c r="FH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43"/>
      <c r="BP880" s="43"/>
      <c r="BQ880" s="43"/>
      <c r="BR880" s="43"/>
      <c r="BS880" s="43"/>
      <c r="BT880" s="43"/>
      <c r="BU880" s="43"/>
      <c r="BV880" s="43"/>
      <c r="BW880" s="43"/>
      <c r="BX880" s="43"/>
      <c r="BY880" s="43"/>
      <c r="BZ880" s="43"/>
      <c r="CA880" s="43"/>
      <c r="CB880" s="43"/>
      <c r="CC880" s="43"/>
      <c r="CD880" s="43"/>
      <c r="CE880" s="43"/>
      <c r="CF880" s="43"/>
      <c r="CG880" s="43"/>
      <c r="CH880" s="43"/>
      <c r="CI880" s="43"/>
      <c r="CJ880" s="43"/>
      <c r="CK880" s="43"/>
      <c r="CL880" s="43"/>
      <c r="CM880" s="43"/>
      <c r="CN880" s="43"/>
      <c r="CO880" s="43"/>
      <c r="CP880" s="43"/>
      <c r="CQ880" s="43"/>
      <c r="CR880" s="43"/>
      <c r="CS880" s="43"/>
      <c r="CT880" s="43"/>
      <c r="CU880" s="43"/>
      <c r="CV880" s="43"/>
      <c r="CW880" s="43"/>
      <c r="CX880" s="43"/>
      <c r="CY880" s="43"/>
      <c r="CZ880" s="43"/>
      <c r="DA880" s="43"/>
      <c r="DB880" s="43"/>
      <c r="DC880" s="43"/>
      <c r="DD880" s="43"/>
      <c r="DE880" s="43"/>
      <c r="DF880" s="43"/>
      <c r="DG880" s="43"/>
      <c r="DH880" s="43"/>
      <c r="DI880" s="43"/>
      <c r="DJ880" s="43"/>
      <c r="DK880" s="43"/>
      <c r="DL880" s="43"/>
      <c r="DM880" s="43"/>
      <c r="DN880" s="43"/>
      <c r="DO880" s="43"/>
      <c r="DP880" s="43"/>
      <c r="DQ880" s="43"/>
      <c r="DR880" s="43"/>
      <c r="DS880" s="43"/>
      <c r="DT880" s="43"/>
      <c r="DU880" s="43"/>
      <c r="DV880" s="43"/>
      <c r="DW880" s="43"/>
      <c r="DX880" s="43"/>
      <c r="DY880" s="43"/>
      <c r="DZ880" s="43"/>
      <c r="EA880" s="43"/>
      <c r="EB880" s="43"/>
      <c r="EC880" s="43"/>
      <c r="ED880" s="43"/>
      <c r="EE880" s="43"/>
      <c r="EF880" s="43"/>
      <c r="EG880" s="43"/>
      <c r="EH880" s="43"/>
      <c r="EI880" s="43"/>
      <c r="EJ880" s="43"/>
      <c r="EK880" s="43"/>
      <c r="EL880" s="43"/>
      <c r="EM880" s="43"/>
      <c r="EN880" s="43"/>
      <c r="EO880" s="43"/>
      <c r="EP880" s="43"/>
      <c r="EQ880" s="43"/>
      <c r="ER880" s="43"/>
      <c r="ES880" s="43"/>
      <c r="ET880" s="43"/>
      <c r="EU880" s="43"/>
      <c r="EV880" s="43"/>
      <c r="EW880" s="43"/>
      <c r="EX880" s="43"/>
      <c r="EY880" s="43"/>
      <c r="EZ880" s="43"/>
      <c r="FA880" s="43"/>
      <c r="FB880" s="43"/>
      <c r="FC880" s="43"/>
      <c r="FD880" s="43"/>
      <c r="FE880" s="43"/>
      <c r="FF880" s="43"/>
      <c r="FG880" s="43"/>
      <c r="FH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43"/>
      <c r="BP881" s="43"/>
      <c r="BQ881" s="43"/>
      <c r="BR881" s="43"/>
      <c r="BS881" s="43"/>
      <c r="BT881" s="43"/>
      <c r="BU881" s="43"/>
      <c r="BV881" s="43"/>
      <c r="BW881" s="43"/>
      <c r="BX881" s="43"/>
      <c r="BY881" s="43"/>
      <c r="BZ881" s="43"/>
      <c r="CA881" s="43"/>
      <c r="CB881" s="43"/>
      <c r="CC881" s="43"/>
      <c r="CD881" s="43"/>
      <c r="CE881" s="43"/>
      <c r="CF881" s="43"/>
      <c r="CG881" s="43"/>
      <c r="CH881" s="43"/>
      <c r="CI881" s="43"/>
      <c r="CJ881" s="43"/>
      <c r="CK881" s="43"/>
      <c r="CL881" s="43"/>
      <c r="CM881" s="43"/>
      <c r="CN881" s="43"/>
      <c r="CO881" s="43"/>
      <c r="CP881" s="43"/>
      <c r="CQ881" s="43"/>
      <c r="CR881" s="43"/>
      <c r="CS881" s="43"/>
      <c r="CT881" s="43"/>
      <c r="CU881" s="43"/>
      <c r="CV881" s="43"/>
      <c r="CW881" s="43"/>
      <c r="CX881" s="43"/>
      <c r="CY881" s="43"/>
      <c r="CZ881" s="43"/>
      <c r="DA881" s="43"/>
      <c r="DB881" s="43"/>
      <c r="DC881" s="43"/>
      <c r="DD881" s="43"/>
      <c r="DE881" s="43"/>
      <c r="DF881" s="43"/>
      <c r="DG881" s="43"/>
      <c r="DH881" s="43"/>
      <c r="DI881" s="43"/>
      <c r="DJ881" s="43"/>
      <c r="DK881" s="43"/>
      <c r="DL881" s="43"/>
      <c r="DM881" s="43"/>
      <c r="DN881" s="43"/>
      <c r="DO881" s="43"/>
      <c r="DP881" s="43"/>
      <c r="DQ881" s="43"/>
      <c r="DR881" s="43"/>
      <c r="DS881" s="43"/>
      <c r="DT881" s="43"/>
      <c r="DU881" s="43"/>
      <c r="DV881" s="43"/>
      <c r="DW881" s="43"/>
      <c r="DX881" s="43"/>
      <c r="DY881" s="43"/>
      <c r="DZ881" s="43"/>
      <c r="EA881" s="43"/>
      <c r="EB881" s="43"/>
      <c r="EC881" s="43"/>
      <c r="ED881" s="43"/>
      <c r="EE881" s="43"/>
      <c r="EF881" s="43"/>
      <c r="EG881" s="43"/>
      <c r="EH881" s="43"/>
      <c r="EI881" s="43"/>
      <c r="EJ881" s="43"/>
      <c r="EK881" s="43"/>
      <c r="EL881" s="43"/>
      <c r="EM881" s="43"/>
      <c r="EN881" s="43"/>
      <c r="EO881" s="43"/>
      <c r="EP881" s="43"/>
      <c r="EQ881" s="43"/>
      <c r="ER881" s="43"/>
      <c r="ES881" s="43"/>
      <c r="ET881" s="43"/>
      <c r="EU881" s="43"/>
      <c r="EV881" s="43"/>
      <c r="EW881" s="43"/>
      <c r="EX881" s="43"/>
      <c r="EY881" s="43"/>
      <c r="EZ881" s="43"/>
      <c r="FA881" s="43"/>
      <c r="FB881" s="43"/>
      <c r="FC881" s="43"/>
      <c r="FD881" s="43"/>
      <c r="FE881" s="43"/>
      <c r="FF881" s="43"/>
      <c r="FG881" s="43"/>
      <c r="FH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43"/>
      <c r="BP882" s="43"/>
      <c r="BQ882" s="43"/>
      <c r="BR882" s="43"/>
      <c r="BS882" s="43"/>
      <c r="BT882" s="43"/>
      <c r="BU882" s="43"/>
      <c r="BV882" s="43"/>
      <c r="BW882" s="43"/>
      <c r="BX882" s="43"/>
      <c r="BY882" s="43"/>
      <c r="BZ882" s="43"/>
      <c r="CA882" s="43"/>
      <c r="CB882" s="43"/>
      <c r="CC882" s="43"/>
      <c r="CD882" s="43"/>
      <c r="CE882" s="43"/>
      <c r="CF882" s="43"/>
      <c r="CG882" s="43"/>
      <c r="CH882" s="43"/>
      <c r="CI882" s="43"/>
      <c r="CJ882" s="43"/>
      <c r="CK882" s="43"/>
      <c r="CL882" s="43"/>
      <c r="CM882" s="43"/>
      <c r="CN882" s="43"/>
      <c r="CO882" s="43"/>
      <c r="CP882" s="43"/>
      <c r="CQ882" s="43"/>
      <c r="CR882" s="43"/>
      <c r="CS882" s="43"/>
      <c r="CT882" s="43"/>
      <c r="CU882" s="43"/>
      <c r="CV882" s="43"/>
      <c r="CW882" s="43"/>
      <c r="CX882" s="43"/>
      <c r="CY882" s="43"/>
      <c r="CZ882" s="43"/>
      <c r="DA882" s="43"/>
      <c r="DB882" s="43"/>
      <c r="DC882" s="43"/>
      <c r="DD882" s="43"/>
      <c r="DE882" s="43"/>
      <c r="DF882" s="43"/>
      <c r="DG882" s="43"/>
      <c r="DH882" s="43"/>
      <c r="DI882" s="43"/>
      <c r="DJ882" s="43"/>
      <c r="DK882" s="43"/>
      <c r="DL882" s="43"/>
      <c r="DM882" s="43"/>
      <c r="DN882" s="43"/>
      <c r="DO882" s="43"/>
      <c r="DP882" s="43"/>
      <c r="DQ882" s="43"/>
      <c r="DR882" s="43"/>
      <c r="DS882" s="43"/>
      <c r="DT882" s="43"/>
      <c r="DU882" s="43"/>
      <c r="DV882" s="43"/>
      <c r="DW882" s="43"/>
      <c r="DX882" s="43"/>
      <c r="DY882" s="43"/>
      <c r="DZ882" s="43"/>
      <c r="EA882" s="43"/>
      <c r="EB882" s="43"/>
      <c r="EC882" s="43"/>
      <c r="ED882" s="43"/>
      <c r="EE882" s="43"/>
      <c r="EF882" s="43"/>
      <c r="EG882" s="43"/>
      <c r="EH882" s="43"/>
      <c r="EI882" s="43"/>
      <c r="EJ882" s="43"/>
      <c r="EK882" s="43"/>
      <c r="EL882" s="43"/>
      <c r="EM882" s="43"/>
      <c r="EN882" s="43"/>
      <c r="EO882" s="43"/>
      <c r="EP882" s="43"/>
      <c r="EQ882" s="43"/>
      <c r="ER882" s="43"/>
      <c r="ES882" s="43"/>
      <c r="ET882" s="43"/>
      <c r="EU882" s="43"/>
      <c r="EV882" s="43"/>
      <c r="EW882" s="43"/>
      <c r="EX882" s="43"/>
      <c r="EY882" s="43"/>
      <c r="EZ882" s="43"/>
      <c r="FA882" s="43"/>
      <c r="FB882" s="43"/>
      <c r="FC882" s="43"/>
      <c r="FD882" s="43"/>
      <c r="FE882" s="43"/>
      <c r="FF882" s="43"/>
      <c r="FG882" s="43"/>
      <c r="FH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43"/>
      <c r="BP883" s="43"/>
      <c r="BQ883" s="43"/>
      <c r="BR883" s="43"/>
      <c r="BS883" s="43"/>
      <c r="BT883" s="43"/>
      <c r="BU883" s="43"/>
      <c r="BV883" s="43"/>
      <c r="BW883" s="43"/>
      <c r="BX883" s="43"/>
      <c r="BY883" s="43"/>
      <c r="BZ883" s="43"/>
      <c r="CA883" s="43"/>
      <c r="CB883" s="43"/>
      <c r="CC883" s="43"/>
      <c r="CD883" s="43"/>
      <c r="CE883" s="43"/>
      <c r="CF883" s="43"/>
      <c r="CG883" s="43"/>
      <c r="CH883" s="43"/>
      <c r="CI883" s="43"/>
      <c r="CJ883" s="43"/>
      <c r="CK883" s="43"/>
      <c r="CL883" s="43"/>
      <c r="CM883" s="43"/>
      <c r="CN883" s="43"/>
      <c r="CO883" s="43"/>
      <c r="CP883" s="43"/>
      <c r="CQ883" s="43"/>
      <c r="CR883" s="43"/>
      <c r="CS883" s="43"/>
      <c r="CT883" s="43"/>
      <c r="CU883" s="43"/>
      <c r="CV883" s="43"/>
      <c r="CW883" s="43"/>
      <c r="CX883" s="43"/>
      <c r="CY883" s="43"/>
      <c r="CZ883" s="43"/>
      <c r="DA883" s="43"/>
      <c r="DB883" s="43"/>
      <c r="DC883" s="43"/>
      <c r="DD883" s="43"/>
      <c r="DE883" s="43"/>
      <c r="DF883" s="43"/>
      <c r="DG883" s="43"/>
      <c r="DH883" s="43"/>
      <c r="DI883" s="43"/>
      <c r="DJ883" s="43"/>
      <c r="DK883" s="43"/>
      <c r="DL883" s="43"/>
      <c r="DM883" s="43"/>
      <c r="DN883" s="43"/>
      <c r="DO883" s="43"/>
      <c r="DP883" s="43"/>
      <c r="DQ883" s="43"/>
      <c r="DR883" s="43"/>
      <c r="DS883" s="43"/>
      <c r="DT883" s="43"/>
      <c r="DU883" s="43"/>
      <c r="DV883" s="43"/>
      <c r="DW883" s="43"/>
      <c r="DX883" s="43"/>
      <c r="DY883" s="43"/>
      <c r="DZ883" s="43"/>
      <c r="EA883" s="43"/>
      <c r="EB883" s="43"/>
      <c r="EC883" s="43"/>
      <c r="ED883" s="43"/>
      <c r="EE883" s="43"/>
      <c r="EF883" s="43"/>
      <c r="EG883" s="43"/>
      <c r="EH883" s="43"/>
      <c r="EI883" s="43"/>
      <c r="EJ883" s="43"/>
      <c r="EK883" s="43"/>
      <c r="EL883" s="43"/>
      <c r="EM883" s="43"/>
      <c r="EN883" s="43"/>
      <c r="EO883" s="43"/>
      <c r="EP883" s="43"/>
      <c r="EQ883" s="43"/>
      <c r="ER883" s="43"/>
      <c r="ES883" s="43"/>
      <c r="ET883" s="43"/>
      <c r="EU883" s="43"/>
      <c r="EV883" s="43"/>
      <c r="EW883" s="43"/>
      <c r="EX883" s="43"/>
      <c r="EY883" s="43"/>
      <c r="EZ883" s="43"/>
      <c r="FA883" s="43"/>
      <c r="FB883" s="43"/>
      <c r="FC883" s="43"/>
      <c r="FD883" s="43"/>
      <c r="FE883" s="43"/>
      <c r="FF883" s="43"/>
      <c r="FG883" s="43"/>
      <c r="FH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43"/>
      <c r="BP884" s="43"/>
      <c r="BQ884" s="43"/>
      <c r="BR884" s="43"/>
      <c r="BS884" s="43"/>
      <c r="BT884" s="43"/>
      <c r="BU884" s="43"/>
      <c r="BV884" s="43"/>
      <c r="BW884" s="43"/>
      <c r="BX884" s="43"/>
      <c r="BY884" s="43"/>
      <c r="BZ884" s="43"/>
      <c r="CA884" s="43"/>
      <c r="CB884" s="43"/>
      <c r="CC884" s="43"/>
      <c r="CD884" s="43"/>
      <c r="CE884" s="43"/>
      <c r="CF884" s="43"/>
      <c r="CG884" s="43"/>
      <c r="CH884" s="43"/>
      <c r="CI884" s="43"/>
      <c r="CJ884" s="43"/>
      <c r="CK884" s="43"/>
      <c r="CL884" s="43"/>
      <c r="CM884" s="43"/>
      <c r="CN884" s="43"/>
      <c r="CO884" s="43"/>
      <c r="CP884" s="43"/>
      <c r="CQ884" s="43"/>
      <c r="CR884" s="43"/>
      <c r="CS884" s="43"/>
      <c r="CT884" s="43"/>
      <c r="CU884" s="43"/>
      <c r="CV884" s="43"/>
      <c r="CW884" s="43"/>
      <c r="CX884" s="43"/>
      <c r="CY884" s="43"/>
      <c r="CZ884" s="43"/>
      <c r="DA884" s="43"/>
      <c r="DB884" s="43"/>
      <c r="DC884" s="43"/>
      <c r="DD884" s="43"/>
      <c r="DE884" s="43"/>
      <c r="DF884" s="43"/>
      <c r="DG884" s="43"/>
      <c r="DH884" s="43"/>
      <c r="DI884" s="43"/>
      <c r="DJ884" s="43"/>
      <c r="DK884" s="43"/>
      <c r="DL884" s="43"/>
      <c r="DM884" s="43"/>
      <c r="DN884" s="43"/>
      <c r="DO884" s="43"/>
      <c r="DP884" s="43"/>
      <c r="DQ884" s="43"/>
      <c r="DR884" s="43"/>
      <c r="DS884" s="43"/>
      <c r="DT884" s="43"/>
      <c r="DU884" s="43"/>
      <c r="DV884" s="43"/>
      <c r="DW884" s="43"/>
      <c r="DX884" s="43"/>
      <c r="DY884" s="43"/>
      <c r="DZ884" s="43"/>
      <c r="EA884" s="43"/>
      <c r="EB884" s="43"/>
      <c r="EC884" s="43"/>
      <c r="ED884" s="43"/>
      <c r="EE884" s="43"/>
      <c r="EF884" s="43"/>
      <c r="EG884" s="43"/>
      <c r="EH884" s="43"/>
      <c r="EI884" s="43"/>
      <c r="EJ884" s="43"/>
      <c r="EK884" s="43"/>
      <c r="EL884" s="43"/>
      <c r="EM884" s="43"/>
      <c r="EN884" s="43"/>
      <c r="EO884" s="43"/>
      <c r="EP884" s="43"/>
      <c r="EQ884" s="43"/>
      <c r="ER884" s="43"/>
      <c r="ES884" s="43"/>
      <c r="ET884" s="43"/>
      <c r="EU884" s="43"/>
      <c r="EV884" s="43"/>
      <c r="EW884" s="43"/>
      <c r="EX884" s="43"/>
      <c r="EY884" s="43"/>
      <c r="EZ884" s="43"/>
      <c r="FA884" s="43"/>
      <c r="FB884" s="43"/>
      <c r="FC884" s="43"/>
      <c r="FD884" s="43"/>
      <c r="FE884" s="43"/>
      <c r="FF884" s="43"/>
      <c r="FG884" s="43"/>
      <c r="FH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43"/>
      <c r="BP885" s="43"/>
      <c r="BQ885" s="43"/>
      <c r="BR885" s="43"/>
      <c r="BS885" s="43"/>
      <c r="BT885" s="43"/>
      <c r="BU885" s="43"/>
      <c r="BV885" s="43"/>
      <c r="BW885" s="43"/>
      <c r="BX885" s="43"/>
      <c r="BY885" s="43"/>
      <c r="BZ885" s="43"/>
      <c r="CA885" s="43"/>
      <c r="CB885" s="43"/>
      <c r="CC885" s="43"/>
      <c r="CD885" s="43"/>
      <c r="CE885" s="43"/>
      <c r="CF885" s="43"/>
      <c r="CG885" s="43"/>
      <c r="CH885" s="43"/>
      <c r="CI885" s="43"/>
      <c r="CJ885" s="43"/>
      <c r="CK885" s="43"/>
      <c r="CL885" s="43"/>
      <c r="CM885" s="43"/>
      <c r="CN885" s="43"/>
      <c r="CO885" s="43"/>
      <c r="CP885" s="43"/>
      <c r="CQ885" s="43"/>
      <c r="CR885" s="43"/>
      <c r="CS885" s="43"/>
      <c r="CT885" s="43"/>
      <c r="CU885" s="43"/>
      <c r="CV885" s="43"/>
      <c r="CW885" s="43"/>
      <c r="CX885" s="43"/>
      <c r="CY885" s="43"/>
      <c r="CZ885" s="43"/>
      <c r="DA885" s="43"/>
      <c r="DB885" s="43"/>
      <c r="DC885" s="43"/>
      <c r="DD885" s="43"/>
      <c r="DE885" s="43"/>
      <c r="DF885" s="43"/>
      <c r="DG885" s="43"/>
      <c r="DH885" s="43"/>
      <c r="DI885" s="43"/>
      <c r="DJ885" s="43"/>
      <c r="DK885" s="43"/>
      <c r="DL885" s="43"/>
      <c r="DM885" s="43"/>
      <c r="DN885" s="43"/>
      <c r="DO885" s="43"/>
      <c r="DP885" s="43"/>
      <c r="DQ885" s="43"/>
      <c r="DR885" s="43"/>
      <c r="DS885" s="43"/>
      <c r="DT885" s="43"/>
      <c r="DU885" s="43"/>
      <c r="DV885" s="43"/>
      <c r="DW885" s="43"/>
      <c r="DX885" s="43"/>
      <c r="DY885" s="43"/>
      <c r="DZ885" s="43"/>
      <c r="EA885" s="43"/>
      <c r="EB885" s="43"/>
      <c r="EC885" s="43"/>
      <c r="ED885" s="43"/>
      <c r="EE885" s="43"/>
      <c r="EF885" s="43"/>
      <c r="EG885" s="43"/>
      <c r="EH885" s="43"/>
      <c r="EI885" s="43"/>
      <c r="EJ885" s="43"/>
      <c r="EK885" s="43"/>
      <c r="EL885" s="43"/>
      <c r="EM885" s="43"/>
      <c r="EN885" s="43"/>
      <c r="EO885" s="43"/>
      <c r="EP885" s="43"/>
      <c r="EQ885" s="43"/>
      <c r="ER885" s="43"/>
      <c r="ES885" s="43"/>
      <c r="ET885" s="43"/>
      <c r="EU885" s="43"/>
      <c r="EV885" s="43"/>
      <c r="EW885" s="43"/>
      <c r="EX885" s="43"/>
      <c r="EY885" s="43"/>
      <c r="EZ885" s="43"/>
      <c r="FA885" s="43"/>
      <c r="FB885" s="43"/>
      <c r="FC885" s="43"/>
      <c r="FD885" s="43"/>
      <c r="FE885" s="43"/>
      <c r="FF885" s="43"/>
      <c r="FG885" s="43"/>
      <c r="FH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43"/>
      <c r="BP886" s="43"/>
      <c r="BQ886" s="43"/>
      <c r="BR886" s="43"/>
      <c r="BS886" s="43"/>
      <c r="BT886" s="43"/>
      <c r="BU886" s="43"/>
      <c r="BV886" s="43"/>
      <c r="BW886" s="43"/>
      <c r="BX886" s="43"/>
      <c r="BY886" s="43"/>
      <c r="BZ886" s="43"/>
      <c r="CA886" s="43"/>
      <c r="CB886" s="43"/>
      <c r="CC886" s="43"/>
      <c r="CD886" s="43"/>
      <c r="CE886" s="43"/>
      <c r="CF886" s="43"/>
      <c r="CG886" s="43"/>
      <c r="CH886" s="43"/>
      <c r="CI886" s="43"/>
      <c r="CJ886" s="43"/>
      <c r="CK886" s="43"/>
      <c r="CL886" s="43"/>
      <c r="CM886" s="43"/>
      <c r="CN886" s="43"/>
      <c r="CO886" s="43"/>
      <c r="CP886" s="43"/>
      <c r="CQ886" s="43"/>
      <c r="CR886" s="43"/>
      <c r="CS886" s="43"/>
      <c r="CT886" s="43"/>
      <c r="CU886" s="43"/>
      <c r="CV886" s="43"/>
      <c r="CW886" s="43"/>
      <c r="CX886" s="43"/>
      <c r="CY886" s="43"/>
      <c r="CZ886" s="43"/>
      <c r="DA886" s="43"/>
      <c r="DB886" s="43"/>
      <c r="DC886" s="43"/>
      <c r="DD886" s="43"/>
      <c r="DE886" s="43"/>
      <c r="DF886" s="43"/>
      <c r="DG886" s="43"/>
      <c r="DH886" s="43"/>
      <c r="DI886" s="43"/>
      <c r="DJ886" s="43"/>
      <c r="DK886" s="43"/>
      <c r="DL886" s="43"/>
      <c r="DM886" s="43"/>
      <c r="DN886" s="43"/>
      <c r="DO886" s="43"/>
      <c r="DP886" s="43"/>
      <c r="DQ886" s="43"/>
      <c r="DR886" s="43"/>
      <c r="DS886" s="43"/>
      <c r="DT886" s="43"/>
      <c r="DU886" s="43"/>
      <c r="DV886" s="43"/>
      <c r="DW886" s="43"/>
      <c r="DX886" s="43"/>
      <c r="DY886" s="43"/>
      <c r="DZ886" s="43"/>
      <c r="EA886" s="43"/>
      <c r="EB886" s="43"/>
      <c r="EC886" s="43"/>
      <c r="ED886" s="43"/>
      <c r="EE886" s="43"/>
      <c r="EF886" s="43"/>
      <c r="EG886" s="43"/>
      <c r="EH886" s="43"/>
      <c r="EI886" s="43"/>
      <c r="EJ886" s="43"/>
      <c r="EK886" s="43"/>
      <c r="EL886" s="43"/>
      <c r="EM886" s="43"/>
      <c r="EN886" s="43"/>
      <c r="EO886" s="43"/>
      <c r="EP886" s="43"/>
      <c r="EQ886" s="43"/>
      <c r="ER886" s="43"/>
      <c r="ES886" s="43"/>
      <c r="ET886" s="43"/>
      <c r="EU886" s="43"/>
      <c r="EV886" s="43"/>
      <c r="EW886" s="43"/>
      <c r="EX886" s="43"/>
      <c r="EY886" s="43"/>
      <c r="EZ886" s="43"/>
      <c r="FA886" s="43"/>
      <c r="FB886" s="43"/>
      <c r="FC886" s="43"/>
      <c r="FD886" s="43"/>
      <c r="FE886" s="43"/>
      <c r="FF886" s="43"/>
      <c r="FG886" s="43"/>
      <c r="FH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43"/>
      <c r="BP887" s="43"/>
      <c r="BQ887" s="43"/>
      <c r="BR887" s="43"/>
      <c r="BS887" s="43"/>
      <c r="BT887" s="43"/>
      <c r="BU887" s="43"/>
      <c r="BV887" s="43"/>
      <c r="BW887" s="43"/>
      <c r="BX887" s="43"/>
      <c r="BY887" s="43"/>
      <c r="BZ887" s="43"/>
      <c r="CA887" s="43"/>
      <c r="CB887" s="43"/>
      <c r="CC887" s="43"/>
      <c r="CD887" s="43"/>
      <c r="CE887" s="43"/>
      <c r="CF887" s="43"/>
      <c r="CG887" s="43"/>
      <c r="CH887" s="43"/>
      <c r="CI887" s="43"/>
      <c r="CJ887" s="43"/>
      <c r="CK887" s="43"/>
      <c r="CL887" s="43"/>
      <c r="CM887" s="43"/>
      <c r="CN887" s="43"/>
      <c r="CO887" s="43"/>
      <c r="CP887" s="43"/>
      <c r="CQ887" s="43"/>
      <c r="CR887" s="43"/>
      <c r="CS887" s="43"/>
      <c r="CT887" s="43"/>
      <c r="CU887" s="43"/>
      <c r="CV887" s="43"/>
      <c r="CW887" s="43"/>
      <c r="CX887" s="43"/>
      <c r="CY887" s="43"/>
      <c r="CZ887" s="43"/>
      <c r="DA887" s="43"/>
      <c r="DB887" s="43"/>
      <c r="DC887" s="43"/>
      <c r="DD887" s="43"/>
      <c r="DE887" s="43"/>
      <c r="DF887" s="43"/>
      <c r="DG887" s="43"/>
      <c r="DH887" s="43"/>
      <c r="DI887" s="43"/>
      <c r="DJ887" s="43"/>
      <c r="DK887" s="43"/>
      <c r="DL887" s="43"/>
      <c r="DM887" s="43"/>
      <c r="DN887" s="43"/>
      <c r="DO887" s="43"/>
      <c r="DP887" s="43"/>
      <c r="DQ887" s="43"/>
      <c r="DR887" s="43"/>
      <c r="DS887" s="43"/>
      <c r="DT887" s="43"/>
      <c r="DU887" s="43"/>
      <c r="DV887" s="43"/>
      <c r="DW887" s="43"/>
      <c r="DX887" s="43"/>
      <c r="DY887" s="43"/>
      <c r="DZ887" s="43"/>
      <c r="EA887" s="43"/>
      <c r="EB887" s="43"/>
      <c r="EC887" s="43"/>
      <c r="ED887" s="43"/>
      <c r="EE887" s="43"/>
      <c r="EF887" s="43"/>
      <c r="EG887" s="43"/>
      <c r="EH887" s="43"/>
      <c r="EI887" s="43"/>
      <c r="EJ887" s="43"/>
      <c r="EK887" s="43"/>
      <c r="EL887" s="43"/>
      <c r="EM887" s="43"/>
      <c r="EN887" s="43"/>
      <c r="EO887" s="43"/>
      <c r="EP887" s="43"/>
      <c r="EQ887" s="43"/>
      <c r="ER887" s="43"/>
      <c r="ES887" s="43"/>
      <c r="ET887" s="43"/>
      <c r="EU887" s="43"/>
      <c r="EV887" s="43"/>
      <c r="EW887" s="43"/>
      <c r="EX887" s="43"/>
      <c r="EY887" s="43"/>
      <c r="EZ887" s="43"/>
      <c r="FA887" s="43"/>
      <c r="FB887" s="43"/>
      <c r="FC887" s="43"/>
      <c r="FD887" s="43"/>
      <c r="FE887" s="43"/>
      <c r="FF887" s="43"/>
      <c r="FG887" s="43"/>
      <c r="FH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43"/>
      <c r="BP888" s="43"/>
      <c r="BQ888" s="43"/>
      <c r="BR888" s="43"/>
      <c r="BS888" s="43"/>
      <c r="BT888" s="43"/>
      <c r="BU888" s="43"/>
      <c r="BV888" s="43"/>
      <c r="BW888" s="43"/>
      <c r="BX888" s="43"/>
      <c r="BY888" s="43"/>
      <c r="BZ888" s="43"/>
      <c r="CA888" s="43"/>
      <c r="CB888" s="43"/>
      <c r="CC888" s="43"/>
      <c r="CD888" s="43"/>
      <c r="CE888" s="43"/>
      <c r="CF888" s="43"/>
      <c r="CG888" s="43"/>
      <c r="CH888" s="43"/>
      <c r="CI888" s="43"/>
      <c r="CJ888" s="43"/>
      <c r="CK888" s="43"/>
      <c r="CL888" s="43"/>
      <c r="CM888" s="43"/>
      <c r="CN888" s="43"/>
      <c r="CO888" s="43"/>
      <c r="CP888" s="43"/>
      <c r="CQ888" s="43"/>
      <c r="CR888" s="43"/>
      <c r="CS888" s="43"/>
      <c r="CT888" s="43"/>
      <c r="CU888" s="43"/>
      <c r="CV888" s="43"/>
      <c r="CW888" s="43"/>
      <c r="CX888" s="43"/>
      <c r="CY888" s="43"/>
      <c r="CZ888" s="43"/>
      <c r="DA888" s="43"/>
      <c r="DB888" s="43"/>
      <c r="DC888" s="43"/>
      <c r="DD888" s="43"/>
      <c r="DE888" s="43"/>
      <c r="DF888" s="43"/>
      <c r="DG888" s="43"/>
      <c r="DH888" s="43"/>
      <c r="DI888" s="43"/>
      <c r="DJ888" s="43"/>
      <c r="DK888" s="43"/>
      <c r="DL888" s="43"/>
      <c r="DM888" s="43"/>
      <c r="DN888" s="43"/>
      <c r="DO888" s="43"/>
      <c r="DP888" s="43"/>
      <c r="DQ888" s="43"/>
      <c r="DR888" s="43"/>
      <c r="DS888" s="43"/>
      <c r="DT888" s="43"/>
      <c r="DU888" s="43"/>
      <c r="DV888" s="43"/>
      <c r="DW888" s="43"/>
      <c r="DX888" s="43"/>
      <c r="DY888" s="43"/>
      <c r="DZ888" s="43"/>
      <c r="EA888" s="43"/>
      <c r="EB888" s="43"/>
      <c r="EC888" s="43"/>
      <c r="ED888" s="43"/>
      <c r="EE888" s="43"/>
      <c r="EF888" s="43"/>
      <c r="EG888" s="43"/>
      <c r="EH888" s="43"/>
      <c r="EI888" s="43"/>
      <c r="EJ888" s="43"/>
      <c r="EK888" s="43"/>
      <c r="EL888" s="43"/>
      <c r="EM888" s="43"/>
      <c r="EN888" s="43"/>
      <c r="EO888" s="43"/>
      <c r="EP888" s="43"/>
      <c r="EQ888" s="43"/>
      <c r="ER888" s="43"/>
      <c r="ES888" s="43"/>
      <c r="ET888" s="43"/>
      <c r="EU888" s="43"/>
      <c r="EV888" s="43"/>
      <c r="EW888" s="43"/>
      <c r="EX888" s="43"/>
      <c r="EY888" s="43"/>
      <c r="EZ888" s="43"/>
      <c r="FA888" s="43"/>
      <c r="FB888" s="43"/>
      <c r="FC888" s="43"/>
      <c r="FD888" s="43"/>
      <c r="FE888" s="43"/>
      <c r="FF888" s="43"/>
      <c r="FG888" s="43"/>
      <c r="FH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43"/>
      <c r="BP889" s="43"/>
      <c r="BQ889" s="43"/>
      <c r="BR889" s="43"/>
      <c r="BS889" s="43"/>
      <c r="BT889" s="43"/>
      <c r="BU889" s="43"/>
      <c r="BV889" s="43"/>
      <c r="BW889" s="43"/>
      <c r="BX889" s="43"/>
      <c r="BY889" s="43"/>
      <c r="BZ889" s="43"/>
      <c r="CA889" s="43"/>
      <c r="CB889" s="43"/>
      <c r="CC889" s="43"/>
      <c r="CD889" s="43"/>
      <c r="CE889" s="43"/>
      <c r="CF889" s="43"/>
      <c r="CG889" s="43"/>
      <c r="CH889" s="43"/>
      <c r="CI889" s="43"/>
      <c r="CJ889" s="43"/>
      <c r="CK889" s="43"/>
      <c r="CL889" s="43"/>
      <c r="CM889" s="43"/>
      <c r="CN889" s="43"/>
      <c r="CO889" s="43"/>
      <c r="CP889" s="43"/>
      <c r="CQ889" s="43"/>
      <c r="CR889" s="43"/>
      <c r="CS889" s="43"/>
      <c r="CT889" s="43"/>
      <c r="CU889" s="43"/>
      <c r="CV889" s="43"/>
      <c r="CW889" s="43"/>
      <c r="CX889" s="43"/>
      <c r="CY889" s="43"/>
      <c r="CZ889" s="43"/>
      <c r="DA889" s="43"/>
      <c r="DB889" s="43"/>
      <c r="DC889" s="43"/>
      <c r="DD889" s="43"/>
      <c r="DE889" s="43"/>
      <c r="DF889" s="43"/>
      <c r="DG889" s="43"/>
      <c r="DH889" s="43"/>
      <c r="DI889" s="43"/>
      <c r="DJ889" s="43"/>
      <c r="DK889" s="43"/>
      <c r="DL889" s="43"/>
      <c r="DM889" s="43"/>
      <c r="DN889" s="43"/>
      <c r="DO889" s="43"/>
      <c r="DP889" s="43"/>
      <c r="DQ889" s="43"/>
      <c r="DR889" s="43"/>
      <c r="DS889" s="43"/>
      <c r="DT889" s="43"/>
      <c r="DU889" s="43"/>
      <c r="DV889" s="43"/>
      <c r="DW889" s="43"/>
      <c r="DX889" s="43"/>
      <c r="DY889" s="43"/>
      <c r="DZ889" s="43"/>
      <c r="EA889" s="43"/>
      <c r="EB889" s="43"/>
      <c r="EC889" s="43"/>
      <c r="ED889" s="43"/>
      <c r="EE889" s="43"/>
      <c r="EF889" s="43"/>
      <c r="EG889" s="43"/>
      <c r="EH889" s="43"/>
      <c r="EI889" s="43"/>
      <c r="EJ889" s="43"/>
      <c r="EK889" s="43"/>
      <c r="EL889" s="43"/>
      <c r="EM889" s="43"/>
      <c r="EN889" s="43"/>
      <c r="EO889" s="43"/>
      <c r="EP889" s="43"/>
      <c r="EQ889" s="43"/>
      <c r="ER889" s="43"/>
      <c r="ES889" s="43"/>
      <c r="ET889" s="43"/>
      <c r="EU889" s="43"/>
      <c r="EV889" s="43"/>
      <c r="EW889" s="43"/>
      <c r="EX889" s="43"/>
      <c r="EY889" s="43"/>
      <c r="EZ889" s="43"/>
      <c r="FA889" s="43"/>
      <c r="FB889" s="43"/>
      <c r="FC889" s="43"/>
      <c r="FD889" s="43"/>
      <c r="FE889" s="43"/>
      <c r="FF889" s="43"/>
      <c r="FG889" s="43"/>
      <c r="FH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43"/>
      <c r="BP890" s="43"/>
      <c r="BQ890" s="43"/>
      <c r="BR890" s="43"/>
      <c r="BS890" s="43"/>
      <c r="BT890" s="43"/>
      <c r="BU890" s="43"/>
      <c r="BV890" s="43"/>
      <c r="BW890" s="43"/>
      <c r="BX890" s="43"/>
      <c r="BY890" s="43"/>
      <c r="BZ890" s="43"/>
      <c r="CA890" s="43"/>
      <c r="CB890" s="43"/>
      <c r="CC890" s="43"/>
      <c r="CD890" s="43"/>
      <c r="CE890" s="43"/>
      <c r="CF890" s="43"/>
      <c r="CG890" s="43"/>
      <c r="CH890" s="43"/>
      <c r="CI890" s="43"/>
      <c r="CJ890" s="43"/>
      <c r="CK890" s="43"/>
      <c r="CL890" s="43"/>
      <c r="CM890" s="43"/>
      <c r="CN890" s="43"/>
      <c r="CO890" s="43"/>
      <c r="CP890" s="43"/>
      <c r="CQ890" s="43"/>
      <c r="CR890" s="43"/>
      <c r="CS890" s="43"/>
      <c r="CT890" s="43"/>
      <c r="CU890" s="43"/>
      <c r="CV890" s="43"/>
      <c r="CW890" s="43"/>
      <c r="CX890" s="43"/>
      <c r="CY890" s="43"/>
      <c r="CZ890" s="43"/>
      <c r="DA890" s="43"/>
      <c r="DB890" s="43"/>
      <c r="DC890" s="43"/>
      <c r="DD890" s="43"/>
      <c r="DE890" s="43"/>
      <c r="DF890" s="43"/>
      <c r="DG890" s="43"/>
      <c r="DH890" s="43"/>
      <c r="DI890" s="43"/>
      <c r="DJ890" s="43"/>
      <c r="DK890" s="43"/>
      <c r="DL890" s="43"/>
      <c r="DM890" s="43"/>
      <c r="DN890" s="43"/>
      <c r="DO890" s="43"/>
      <c r="DP890" s="43"/>
      <c r="DQ890" s="43"/>
      <c r="DR890" s="43"/>
      <c r="DS890" s="43"/>
      <c r="DT890" s="43"/>
      <c r="DU890" s="43"/>
      <c r="DV890" s="43"/>
      <c r="DW890" s="43"/>
      <c r="DX890" s="43"/>
      <c r="DY890" s="43"/>
      <c r="DZ890" s="43"/>
      <c r="EA890" s="43"/>
      <c r="EB890" s="43"/>
      <c r="EC890" s="43"/>
      <c r="ED890" s="43"/>
      <c r="EE890" s="43"/>
      <c r="EF890" s="43"/>
      <c r="EG890" s="43"/>
      <c r="EH890" s="43"/>
      <c r="EI890" s="43"/>
      <c r="EJ890" s="43"/>
      <c r="EK890" s="43"/>
      <c r="EL890" s="43"/>
      <c r="EM890" s="43"/>
      <c r="EN890" s="43"/>
      <c r="EO890" s="43"/>
      <c r="EP890" s="43"/>
      <c r="EQ890" s="43"/>
      <c r="ER890" s="43"/>
      <c r="ES890" s="43"/>
      <c r="ET890" s="43"/>
      <c r="EU890" s="43"/>
      <c r="EV890" s="43"/>
      <c r="EW890" s="43"/>
      <c r="EX890" s="43"/>
      <c r="EY890" s="43"/>
      <c r="EZ890" s="43"/>
      <c r="FA890" s="43"/>
      <c r="FB890" s="43"/>
      <c r="FC890" s="43"/>
      <c r="FD890" s="43"/>
      <c r="FE890" s="43"/>
      <c r="FF890" s="43"/>
      <c r="FG890" s="43"/>
      <c r="FH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43"/>
      <c r="BP891" s="43"/>
      <c r="BQ891" s="43"/>
      <c r="BR891" s="43"/>
      <c r="BS891" s="43"/>
      <c r="BT891" s="43"/>
      <c r="BU891" s="43"/>
      <c r="BV891" s="43"/>
      <c r="BW891" s="43"/>
      <c r="BX891" s="43"/>
      <c r="BY891" s="43"/>
      <c r="BZ891" s="43"/>
      <c r="CA891" s="43"/>
      <c r="CB891" s="43"/>
      <c r="CC891" s="43"/>
      <c r="CD891" s="43"/>
      <c r="CE891" s="43"/>
      <c r="CF891" s="43"/>
      <c r="CG891" s="43"/>
      <c r="CH891" s="43"/>
      <c r="CI891" s="43"/>
      <c r="CJ891" s="43"/>
      <c r="CK891" s="43"/>
      <c r="CL891" s="43"/>
      <c r="CM891" s="43"/>
      <c r="CN891" s="43"/>
      <c r="CO891" s="43"/>
      <c r="CP891" s="43"/>
      <c r="CQ891" s="43"/>
      <c r="CR891" s="43"/>
      <c r="CS891" s="43"/>
      <c r="CT891" s="43"/>
      <c r="CU891" s="43"/>
      <c r="CV891" s="43"/>
      <c r="CW891" s="43"/>
      <c r="CX891" s="43"/>
      <c r="CY891" s="43"/>
      <c r="CZ891" s="43"/>
      <c r="DA891" s="43"/>
      <c r="DB891" s="43"/>
      <c r="DC891" s="43"/>
      <c r="DD891" s="43"/>
      <c r="DE891" s="43"/>
      <c r="DF891" s="43"/>
      <c r="DG891" s="43"/>
      <c r="DH891" s="43"/>
      <c r="DI891" s="43"/>
      <c r="DJ891" s="43"/>
      <c r="DK891" s="43"/>
      <c r="DL891" s="43"/>
      <c r="DM891" s="43"/>
      <c r="DN891" s="43"/>
      <c r="DO891" s="43"/>
      <c r="DP891" s="43"/>
      <c r="DQ891" s="43"/>
      <c r="DR891" s="43"/>
      <c r="DS891" s="43"/>
      <c r="DT891" s="43"/>
      <c r="DU891" s="43"/>
      <c r="DV891" s="43"/>
      <c r="DW891" s="43"/>
      <c r="DX891" s="43"/>
      <c r="DY891" s="43"/>
      <c r="DZ891" s="43"/>
      <c r="EA891" s="43"/>
      <c r="EB891" s="43"/>
      <c r="EC891" s="43"/>
      <c r="ED891" s="43"/>
      <c r="EE891" s="43"/>
      <c r="EF891" s="43"/>
      <c r="EG891" s="43"/>
      <c r="EH891" s="43"/>
      <c r="EI891" s="43"/>
      <c r="EJ891" s="43"/>
      <c r="EK891" s="43"/>
      <c r="EL891" s="43"/>
      <c r="EM891" s="43"/>
      <c r="EN891" s="43"/>
      <c r="EO891" s="43"/>
      <c r="EP891" s="43"/>
      <c r="EQ891" s="43"/>
      <c r="ER891" s="43"/>
      <c r="ES891" s="43"/>
      <c r="ET891" s="43"/>
      <c r="EU891" s="43"/>
      <c r="EV891" s="43"/>
      <c r="EW891" s="43"/>
      <c r="EX891" s="43"/>
      <c r="EY891" s="43"/>
      <c r="EZ891" s="43"/>
      <c r="FA891" s="43"/>
      <c r="FB891" s="43"/>
      <c r="FC891" s="43"/>
      <c r="FD891" s="43"/>
      <c r="FE891" s="43"/>
      <c r="FF891" s="43"/>
      <c r="FG891" s="43"/>
      <c r="FH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43"/>
      <c r="BP892" s="43"/>
      <c r="BQ892" s="43"/>
      <c r="BR892" s="43"/>
      <c r="BS892" s="43"/>
      <c r="BT892" s="43"/>
      <c r="BU892" s="43"/>
      <c r="BV892" s="43"/>
      <c r="BW892" s="43"/>
      <c r="BX892" s="43"/>
      <c r="BY892" s="43"/>
      <c r="BZ892" s="43"/>
      <c r="CA892" s="43"/>
      <c r="CB892" s="43"/>
      <c r="CC892" s="43"/>
      <c r="CD892" s="43"/>
      <c r="CE892" s="43"/>
      <c r="CF892" s="43"/>
      <c r="CG892" s="43"/>
      <c r="CH892" s="43"/>
      <c r="CI892" s="43"/>
      <c r="CJ892" s="43"/>
      <c r="CK892" s="43"/>
      <c r="CL892" s="43"/>
      <c r="CM892" s="43"/>
      <c r="CN892" s="43"/>
      <c r="CO892" s="43"/>
      <c r="CP892" s="43"/>
      <c r="CQ892" s="43"/>
      <c r="CR892" s="43"/>
      <c r="CS892" s="43"/>
      <c r="CT892" s="43"/>
      <c r="CU892" s="43"/>
      <c r="CV892" s="43"/>
      <c r="CW892" s="43"/>
      <c r="CX892" s="43"/>
      <c r="CY892" s="43"/>
      <c r="CZ892" s="43"/>
      <c r="DA892" s="43"/>
      <c r="DB892" s="43"/>
      <c r="DC892" s="43"/>
      <c r="DD892" s="43"/>
      <c r="DE892" s="43"/>
      <c r="DF892" s="43"/>
      <c r="DG892" s="43"/>
      <c r="DH892" s="43"/>
      <c r="DI892" s="43"/>
      <c r="DJ892" s="43"/>
      <c r="DK892" s="43"/>
      <c r="DL892" s="43"/>
      <c r="DM892" s="43"/>
      <c r="DN892" s="43"/>
      <c r="DO892" s="43"/>
      <c r="DP892" s="43"/>
      <c r="DQ892" s="43"/>
      <c r="DR892" s="43"/>
      <c r="DS892" s="43"/>
      <c r="DT892" s="43"/>
      <c r="DU892" s="43"/>
      <c r="DV892" s="43"/>
      <c r="DW892" s="43"/>
      <c r="DX892" s="43"/>
      <c r="DY892" s="43"/>
      <c r="DZ892" s="43"/>
      <c r="EA892" s="43"/>
      <c r="EB892" s="43"/>
      <c r="EC892" s="43"/>
      <c r="ED892" s="43"/>
      <c r="EE892" s="43"/>
      <c r="EF892" s="43"/>
      <c r="EG892" s="43"/>
      <c r="EH892" s="43"/>
      <c r="EI892" s="43"/>
      <c r="EJ892" s="43"/>
      <c r="EK892" s="43"/>
      <c r="EL892" s="43"/>
      <c r="EM892" s="43"/>
      <c r="EN892" s="43"/>
      <c r="EO892" s="43"/>
      <c r="EP892" s="43"/>
      <c r="EQ892" s="43"/>
      <c r="ER892" s="43"/>
      <c r="ES892" s="43"/>
      <c r="ET892" s="43"/>
      <c r="EU892" s="43"/>
      <c r="EV892" s="43"/>
      <c r="EW892" s="43"/>
      <c r="EX892" s="43"/>
      <c r="EY892" s="43"/>
      <c r="EZ892" s="43"/>
      <c r="FA892" s="43"/>
      <c r="FB892" s="43"/>
      <c r="FC892" s="43"/>
      <c r="FD892" s="43"/>
      <c r="FE892" s="43"/>
      <c r="FF892" s="43"/>
      <c r="FG892" s="43"/>
      <c r="FH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43"/>
      <c r="BP893" s="43"/>
      <c r="BQ893" s="43"/>
      <c r="BR893" s="43"/>
      <c r="BS893" s="43"/>
      <c r="BT893" s="43"/>
      <c r="BU893" s="43"/>
      <c r="BV893" s="43"/>
      <c r="BW893" s="43"/>
      <c r="BX893" s="43"/>
      <c r="BY893" s="43"/>
      <c r="BZ893" s="43"/>
      <c r="CA893" s="43"/>
      <c r="CB893" s="43"/>
      <c r="CC893" s="43"/>
      <c r="CD893" s="43"/>
      <c r="CE893" s="43"/>
      <c r="CF893" s="43"/>
      <c r="CG893" s="43"/>
      <c r="CH893" s="43"/>
      <c r="CI893" s="43"/>
      <c r="CJ893" s="43"/>
      <c r="CK893" s="43"/>
      <c r="CL893" s="43"/>
      <c r="CM893" s="43"/>
      <c r="CN893" s="43"/>
      <c r="CO893" s="43"/>
      <c r="CP893" s="43"/>
      <c r="CQ893" s="43"/>
      <c r="CR893" s="43"/>
      <c r="CS893" s="43"/>
      <c r="CT893" s="43"/>
      <c r="CU893" s="43"/>
      <c r="CV893" s="43"/>
      <c r="CW893" s="43"/>
      <c r="CX893" s="43"/>
      <c r="CY893" s="43"/>
      <c r="CZ893" s="43"/>
      <c r="DA893" s="43"/>
      <c r="DB893" s="43"/>
      <c r="DC893" s="43"/>
      <c r="DD893" s="43"/>
      <c r="DE893" s="43"/>
      <c r="DF893" s="43"/>
      <c r="DG893" s="43"/>
      <c r="DH893" s="43"/>
      <c r="DI893" s="43"/>
      <c r="DJ893" s="43"/>
      <c r="DK893" s="43"/>
      <c r="DL893" s="43"/>
      <c r="DM893" s="43"/>
      <c r="DN893" s="43"/>
      <c r="DO893" s="43"/>
      <c r="DP893" s="43"/>
      <c r="DQ893" s="43"/>
      <c r="DR893" s="43"/>
      <c r="DS893" s="43"/>
      <c r="DT893" s="43"/>
      <c r="DU893" s="43"/>
      <c r="DV893" s="43"/>
      <c r="DW893" s="43"/>
      <c r="DX893" s="43"/>
      <c r="DY893" s="43"/>
      <c r="DZ893" s="43"/>
      <c r="EA893" s="43"/>
      <c r="EB893" s="43"/>
      <c r="EC893" s="43"/>
      <c r="ED893" s="43"/>
      <c r="EE893" s="43"/>
      <c r="EF893" s="43"/>
      <c r="EG893" s="43"/>
      <c r="EH893" s="43"/>
      <c r="EI893" s="43"/>
      <c r="EJ893" s="43"/>
      <c r="EK893" s="43"/>
      <c r="EL893" s="43"/>
      <c r="EM893" s="43"/>
      <c r="EN893" s="43"/>
      <c r="EO893" s="43"/>
      <c r="EP893" s="43"/>
      <c r="EQ893" s="43"/>
      <c r="ER893" s="43"/>
      <c r="ES893" s="43"/>
      <c r="ET893" s="43"/>
      <c r="EU893" s="43"/>
      <c r="EV893" s="43"/>
      <c r="EW893" s="43"/>
      <c r="EX893" s="43"/>
      <c r="EY893" s="43"/>
      <c r="EZ893" s="43"/>
      <c r="FA893" s="43"/>
      <c r="FB893" s="43"/>
      <c r="FC893" s="43"/>
      <c r="FD893" s="43"/>
      <c r="FE893" s="43"/>
      <c r="FF893" s="43"/>
      <c r="FG893" s="43"/>
      <c r="FH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43"/>
      <c r="BP894" s="43"/>
      <c r="BQ894" s="43"/>
      <c r="BR894" s="43"/>
      <c r="BS894" s="43"/>
      <c r="BT894" s="43"/>
      <c r="BU894" s="43"/>
      <c r="BV894" s="43"/>
      <c r="BW894" s="43"/>
      <c r="BX894" s="43"/>
      <c r="BY894" s="43"/>
      <c r="BZ894" s="43"/>
      <c r="CA894" s="43"/>
      <c r="CB894" s="43"/>
      <c r="CC894" s="43"/>
      <c r="CD894" s="43"/>
      <c r="CE894" s="43"/>
      <c r="CF894" s="43"/>
      <c r="CG894" s="43"/>
      <c r="CH894" s="43"/>
      <c r="CI894" s="43"/>
      <c r="CJ894" s="43"/>
      <c r="CK894" s="43"/>
      <c r="CL894" s="43"/>
      <c r="CM894" s="43"/>
      <c r="CN894" s="43"/>
      <c r="CO894" s="43"/>
      <c r="CP894" s="43"/>
      <c r="CQ894" s="43"/>
      <c r="CR894" s="43"/>
      <c r="CS894" s="43"/>
      <c r="CT894" s="43"/>
      <c r="CU894" s="43"/>
      <c r="CV894" s="43"/>
      <c r="CW894" s="43"/>
      <c r="CX894" s="43"/>
      <c r="CY894" s="43"/>
      <c r="CZ894" s="43"/>
      <c r="DA894" s="43"/>
      <c r="DB894" s="43"/>
      <c r="DC894" s="43"/>
      <c r="DD894" s="43"/>
      <c r="DE894" s="43"/>
      <c r="DF894" s="43"/>
      <c r="DG894" s="43"/>
      <c r="DH894" s="43"/>
      <c r="DI894" s="43"/>
      <c r="DJ894" s="43"/>
      <c r="DK894" s="43"/>
      <c r="DL894" s="43"/>
      <c r="DM894" s="43"/>
      <c r="DN894" s="43"/>
      <c r="DO894" s="43"/>
      <c r="DP894" s="43"/>
      <c r="DQ894" s="43"/>
      <c r="DR894" s="43"/>
      <c r="DS894" s="43"/>
      <c r="DT894" s="43"/>
      <c r="DU894" s="43"/>
      <c r="DV894" s="43"/>
      <c r="DW894" s="43"/>
      <c r="DX894" s="43"/>
      <c r="DY894" s="43"/>
      <c r="DZ894" s="43"/>
      <c r="EA894" s="43"/>
      <c r="EB894" s="43"/>
      <c r="EC894" s="43"/>
      <c r="ED894" s="43"/>
      <c r="EE894" s="43"/>
      <c r="EF894" s="43"/>
      <c r="EG894" s="43"/>
      <c r="EH894" s="43"/>
      <c r="EI894" s="43"/>
      <c r="EJ894" s="43"/>
      <c r="EK894" s="43"/>
      <c r="EL894" s="43"/>
      <c r="EM894" s="43"/>
      <c r="EN894" s="43"/>
      <c r="EO894" s="43"/>
      <c r="EP894" s="43"/>
      <c r="EQ894" s="43"/>
      <c r="ER894" s="43"/>
      <c r="ES894" s="43"/>
      <c r="ET894" s="43"/>
      <c r="EU894" s="43"/>
      <c r="EV894" s="43"/>
      <c r="EW894" s="43"/>
      <c r="EX894" s="43"/>
      <c r="EY894" s="43"/>
      <c r="EZ894" s="43"/>
      <c r="FA894" s="43"/>
      <c r="FB894" s="43"/>
      <c r="FC894" s="43"/>
      <c r="FD894" s="43"/>
      <c r="FE894" s="43"/>
      <c r="FF894" s="43"/>
      <c r="FG894" s="43"/>
      <c r="FH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43"/>
      <c r="BP895" s="43"/>
      <c r="BQ895" s="43"/>
      <c r="BR895" s="43"/>
      <c r="BS895" s="43"/>
      <c r="BT895" s="43"/>
      <c r="BU895" s="43"/>
      <c r="BV895" s="43"/>
      <c r="BW895" s="43"/>
      <c r="BX895" s="43"/>
      <c r="BY895" s="43"/>
      <c r="BZ895" s="43"/>
      <c r="CA895" s="43"/>
      <c r="CB895" s="43"/>
      <c r="CC895" s="43"/>
      <c r="CD895" s="43"/>
      <c r="CE895" s="43"/>
      <c r="CF895" s="43"/>
      <c r="CG895" s="43"/>
      <c r="CH895" s="43"/>
      <c r="CI895" s="43"/>
      <c r="CJ895" s="43"/>
      <c r="CK895" s="43"/>
      <c r="CL895" s="43"/>
      <c r="CM895" s="43"/>
      <c r="CN895" s="43"/>
      <c r="CO895" s="43"/>
      <c r="CP895" s="43"/>
      <c r="CQ895" s="43"/>
      <c r="CR895" s="43"/>
      <c r="CS895" s="43"/>
      <c r="CT895" s="43"/>
      <c r="CU895" s="43"/>
      <c r="CV895" s="43"/>
      <c r="CW895" s="43"/>
      <c r="CX895" s="43"/>
      <c r="CY895" s="43"/>
      <c r="CZ895" s="43"/>
      <c r="DA895" s="43"/>
      <c r="DB895" s="43"/>
      <c r="DC895" s="43"/>
      <c r="DD895" s="43"/>
      <c r="DE895" s="43"/>
      <c r="DF895" s="43"/>
      <c r="DG895" s="43"/>
      <c r="DH895" s="43"/>
      <c r="DI895" s="43"/>
      <c r="DJ895" s="43"/>
      <c r="DK895" s="43"/>
      <c r="DL895" s="43"/>
      <c r="DM895" s="43"/>
      <c r="DN895" s="43"/>
      <c r="DO895" s="43"/>
      <c r="DP895" s="43"/>
      <c r="DQ895" s="43"/>
      <c r="DR895" s="43"/>
      <c r="DS895" s="43"/>
      <c r="DT895" s="43"/>
      <c r="DU895" s="43"/>
      <c r="DV895" s="43"/>
      <c r="DW895" s="43"/>
      <c r="DX895" s="43"/>
      <c r="DY895" s="43"/>
      <c r="DZ895" s="43"/>
      <c r="EA895" s="43"/>
      <c r="EB895" s="43"/>
      <c r="EC895" s="43"/>
      <c r="ED895" s="43"/>
      <c r="EE895" s="43"/>
      <c r="EF895" s="43"/>
      <c r="EG895" s="43"/>
      <c r="EH895" s="43"/>
      <c r="EI895" s="43"/>
      <c r="EJ895" s="43"/>
      <c r="EK895" s="43"/>
      <c r="EL895" s="43"/>
      <c r="EM895" s="43"/>
      <c r="EN895" s="43"/>
      <c r="EO895" s="43"/>
      <c r="EP895" s="43"/>
      <c r="EQ895" s="43"/>
      <c r="ER895" s="43"/>
      <c r="ES895" s="43"/>
      <c r="ET895" s="43"/>
      <c r="EU895" s="43"/>
      <c r="EV895" s="43"/>
      <c r="EW895" s="43"/>
      <c r="EX895" s="43"/>
      <c r="EY895" s="43"/>
      <c r="EZ895" s="43"/>
      <c r="FA895" s="43"/>
      <c r="FB895" s="43"/>
      <c r="FC895" s="43"/>
      <c r="FD895" s="43"/>
      <c r="FE895" s="43"/>
      <c r="FF895" s="43"/>
      <c r="FG895" s="43"/>
      <c r="FH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43"/>
      <c r="BP896" s="43"/>
      <c r="BQ896" s="43"/>
      <c r="BR896" s="43"/>
      <c r="BS896" s="43"/>
      <c r="BT896" s="43"/>
      <c r="BU896" s="43"/>
      <c r="BV896" s="43"/>
      <c r="BW896" s="43"/>
      <c r="BX896" s="43"/>
      <c r="BY896" s="43"/>
      <c r="BZ896" s="43"/>
      <c r="CA896" s="43"/>
      <c r="CB896" s="43"/>
      <c r="CC896" s="43"/>
      <c r="CD896" s="43"/>
      <c r="CE896" s="43"/>
      <c r="CF896" s="43"/>
      <c r="CG896" s="43"/>
      <c r="CH896" s="43"/>
      <c r="CI896" s="43"/>
      <c r="CJ896" s="43"/>
      <c r="CK896" s="43"/>
      <c r="CL896" s="43"/>
      <c r="CM896" s="43"/>
      <c r="CN896" s="43"/>
      <c r="CO896" s="43"/>
      <c r="CP896" s="43"/>
      <c r="CQ896" s="43"/>
      <c r="CR896" s="43"/>
      <c r="CS896" s="43"/>
      <c r="CT896" s="43"/>
      <c r="CU896" s="43"/>
      <c r="CV896" s="43"/>
      <c r="CW896" s="43"/>
      <c r="CX896" s="43"/>
      <c r="CY896" s="43"/>
      <c r="CZ896" s="43"/>
      <c r="DA896" s="43"/>
      <c r="DB896" s="43"/>
      <c r="DC896" s="43"/>
      <c r="DD896" s="43"/>
      <c r="DE896" s="43"/>
      <c r="DF896" s="43"/>
      <c r="DG896" s="43"/>
      <c r="DH896" s="43"/>
      <c r="DI896" s="43"/>
      <c r="DJ896" s="43"/>
      <c r="DK896" s="43"/>
      <c r="DL896" s="43"/>
      <c r="DM896" s="43"/>
      <c r="DN896" s="43"/>
      <c r="DO896" s="43"/>
      <c r="DP896" s="43"/>
      <c r="DQ896" s="43"/>
      <c r="DR896" s="43"/>
      <c r="DS896" s="43"/>
      <c r="DT896" s="43"/>
      <c r="DU896" s="43"/>
      <c r="DV896" s="43"/>
      <c r="DW896" s="43"/>
      <c r="DX896" s="43"/>
      <c r="DY896" s="43"/>
      <c r="DZ896" s="43"/>
      <c r="EA896" s="43"/>
      <c r="EB896" s="43"/>
      <c r="EC896" s="43"/>
      <c r="ED896" s="43"/>
      <c r="EE896" s="43"/>
      <c r="EF896" s="43"/>
      <c r="EG896" s="43"/>
      <c r="EH896" s="43"/>
      <c r="EI896" s="43"/>
      <c r="EJ896" s="43"/>
      <c r="EK896" s="43"/>
      <c r="EL896" s="43"/>
      <c r="EM896" s="43"/>
      <c r="EN896" s="43"/>
      <c r="EO896" s="43"/>
      <c r="EP896" s="43"/>
      <c r="EQ896" s="43"/>
      <c r="ER896" s="43"/>
      <c r="ES896" s="43"/>
      <c r="ET896" s="43"/>
      <c r="EU896" s="43"/>
      <c r="EV896" s="43"/>
      <c r="EW896" s="43"/>
      <c r="EX896" s="43"/>
      <c r="EY896" s="43"/>
      <c r="EZ896" s="43"/>
      <c r="FA896" s="43"/>
      <c r="FB896" s="43"/>
      <c r="FC896" s="43"/>
      <c r="FD896" s="43"/>
      <c r="FE896" s="43"/>
      <c r="FF896" s="43"/>
      <c r="FG896" s="43"/>
      <c r="FH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43"/>
      <c r="BP897" s="43"/>
      <c r="BQ897" s="43"/>
      <c r="BR897" s="43"/>
      <c r="BS897" s="43"/>
      <c r="BT897" s="43"/>
      <c r="BU897" s="43"/>
      <c r="BV897" s="43"/>
      <c r="BW897" s="43"/>
      <c r="BX897" s="43"/>
      <c r="BY897" s="43"/>
      <c r="BZ897" s="43"/>
      <c r="CA897" s="43"/>
      <c r="CB897" s="43"/>
      <c r="CC897" s="43"/>
      <c r="CD897" s="43"/>
      <c r="CE897" s="43"/>
      <c r="CF897" s="43"/>
      <c r="CG897" s="43"/>
      <c r="CH897" s="43"/>
      <c r="CI897" s="43"/>
      <c r="CJ897" s="43"/>
      <c r="CK897" s="43"/>
      <c r="CL897" s="43"/>
      <c r="CM897" s="43"/>
      <c r="CN897" s="43"/>
      <c r="CO897" s="43"/>
      <c r="CP897" s="43"/>
      <c r="CQ897" s="43"/>
      <c r="CR897" s="43"/>
      <c r="CS897" s="43"/>
      <c r="CT897" s="43"/>
      <c r="CU897" s="43"/>
      <c r="CV897" s="43"/>
      <c r="CW897" s="43"/>
      <c r="CX897" s="43"/>
      <c r="CY897" s="43"/>
      <c r="CZ897" s="43"/>
      <c r="DA897" s="43"/>
      <c r="DB897" s="43"/>
      <c r="DC897" s="43"/>
      <c r="DD897" s="43"/>
      <c r="DE897" s="43"/>
      <c r="DF897" s="43"/>
      <c r="DG897" s="43"/>
      <c r="DH897" s="43"/>
      <c r="DI897" s="43"/>
      <c r="DJ897" s="43"/>
      <c r="DK897" s="43"/>
      <c r="DL897" s="43"/>
      <c r="DM897" s="43"/>
      <c r="DN897" s="43"/>
      <c r="DO897" s="43"/>
      <c r="DP897" s="43"/>
      <c r="DQ897" s="43"/>
      <c r="DR897" s="43"/>
      <c r="DS897" s="43"/>
      <c r="DT897" s="43"/>
      <c r="DU897" s="43"/>
      <c r="DV897" s="43"/>
      <c r="DW897" s="43"/>
      <c r="DX897" s="43"/>
      <c r="DY897" s="43"/>
      <c r="DZ897" s="43"/>
      <c r="EA897" s="43"/>
      <c r="EB897" s="43"/>
      <c r="EC897" s="43"/>
      <c r="ED897" s="43"/>
      <c r="EE897" s="43"/>
      <c r="EF897" s="43"/>
      <c r="EG897" s="43"/>
      <c r="EH897" s="43"/>
      <c r="EI897" s="43"/>
      <c r="EJ897" s="43"/>
      <c r="EK897" s="43"/>
      <c r="EL897" s="43"/>
      <c r="EM897" s="43"/>
      <c r="EN897" s="43"/>
      <c r="EO897" s="43"/>
      <c r="EP897" s="43"/>
      <c r="EQ897" s="43"/>
      <c r="ER897" s="43"/>
      <c r="ES897" s="43"/>
      <c r="ET897" s="43"/>
      <c r="EU897" s="43"/>
      <c r="EV897" s="43"/>
      <c r="EW897" s="43"/>
      <c r="EX897" s="43"/>
      <c r="EY897" s="43"/>
      <c r="EZ897" s="43"/>
      <c r="FA897" s="43"/>
      <c r="FB897" s="43"/>
      <c r="FC897" s="43"/>
      <c r="FD897" s="43"/>
      <c r="FE897" s="43"/>
      <c r="FF897" s="43"/>
      <c r="FG897" s="43"/>
      <c r="FH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43"/>
      <c r="BP898" s="43"/>
      <c r="BQ898" s="43"/>
      <c r="BR898" s="43"/>
      <c r="BS898" s="43"/>
      <c r="BT898" s="43"/>
      <c r="BU898" s="43"/>
      <c r="BV898" s="43"/>
      <c r="BW898" s="43"/>
      <c r="BX898" s="43"/>
      <c r="BY898" s="43"/>
      <c r="BZ898" s="43"/>
      <c r="CA898" s="43"/>
      <c r="CB898" s="43"/>
      <c r="CC898" s="43"/>
      <c r="CD898" s="43"/>
      <c r="CE898" s="43"/>
      <c r="CF898" s="43"/>
      <c r="CG898" s="43"/>
      <c r="CH898" s="43"/>
      <c r="CI898" s="43"/>
      <c r="CJ898" s="43"/>
      <c r="CK898" s="43"/>
      <c r="CL898" s="43"/>
      <c r="CM898" s="43"/>
      <c r="CN898" s="43"/>
      <c r="CO898" s="43"/>
      <c r="CP898" s="43"/>
      <c r="CQ898" s="43"/>
      <c r="CR898" s="43"/>
      <c r="CS898" s="43"/>
      <c r="CT898" s="43"/>
      <c r="CU898" s="43"/>
      <c r="CV898" s="43"/>
      <c r="CW898" s="43"/>
      <c r="CX898" s="43"/>
      <c r="CY898" s="43"/>
      <c r="CZ898" s="43"/>
      <c r="DA898" s="43"/>
      <c r="DB898" s="43"/>
      <c r="DC898" s="43"/>
      <c r="DD898" s="43"/>
      <c r="DE898" s="43"/>
      <c r="DF898" s="43"/>
      <c r="DG898" s="43"/>
      <c r="DH898" s="43"/>
      <c r="DI898" s="43"/>
      <c r="DJ898" s="43"/>
      <c r="DK898" s="43"/>
      <c r="DL898" s="43"/>
      <c r="DM898" s="43"/>
      <c r="DN898" s="43"/>
      <c r="DO898" s="43"/>
      <c r="DP898" s="43"/>
      <c r="DQ898" s="43"/>
      <c r="DR898" s="43"/>
      <c r="DS898" s="43"/>
      <c r="DT898" s="43"/>
      <c r="DU898" s="43"/>
      <c r="DV898" s="43"/>
      <c r="DW898" s="43"/>
      <c r="DX898" s="43"/>
      <c r="DY898" s="43"/>
      <c r="DZ898" s="43"/>
      <c r="EA898" s="43"/>
      <c r="EB898" s="43"/>
      <c r="EC898" s="43"/>
      <c r="ED898" s="43"/>
      <c r="EE898" s="43"/>
      <c r="EF898" s="43"/>
      <c r="EG898" s="43"/>
      <c r="EH898" s="43"/>
      <c r="EI898" s="43"/>
      <c r="EJ898" s="43"/>
      <c r="EK898" s="43"/>
      <c r="EL898" s="43"/>
      <c r="EM898" s="43"/>
      <c r="EN898" s="43"/>
      <c r="EO898" s="43"/>
      <c r="EP898" s="43"/>
      <c r="EQ898" s="43"/>
      <c r="ER898" s="43"/>
      <c r="ES898" s="43"/>
      <c r="ET898" s="43"/>
      <c r="EU898" s="43"/>
      <c r="EV898" s="43"/>
      <c r="EW898" s="43"/>
      <c r="EX898" s="43"/>
      <c r="EY898" s="43"/>
      <c r="EZ898" s="43"/>
      <c r="FA898" s="43"/>
      <c r="FB898" s="43"/>
      <c r="FC898" s="43"/>
      <c r="FD898" s="43"/>
      <c r="FE898" s="43"/>
      <c r="FF898" s="43"/>
      <c r="FG898" s="43"/>
      <c r="FH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c r="BO899" s="43"/>
      <c r="BP899" s="43"/>
      <c r="BQ899" s="43"/>
      <c r="BR899" s="43"/>
      <c r="BS899" s="43"/>
      <c r="BT899" s="43"/>
      <c r="BU899" s="43"/>
      <c r="BV899" s="43"/>
      <c r="BW899" s="43"/>
      <c r="BX899" s="43"/>
      <c r="BY899" s="43"/>
      <c r="BZ899" s="43"/>
      <c r="CA899" s="43"/>
      <c r="CB899" s="43"/>
      <c r="CC899" s="43"/>
      <c r="CD899" s="43"/>
      <c r="CE899" s="43"/>
      <c r="CF899" s="43"/>
      <c r="CG899" s="43"/>
      <c r="CH899" s="43"/>
      <c r="CI899" s="43"/>
      <c r="CJ899" s="43"/>
      <c r="CK899" s="43"/>
      <c r="CL899" s="43"/>
      <c r="CM899" s="43"/>
      <c r="CN899" s="43"/>
      <c r="CO899" s="43"/>
      <c r="CP899" s="43"/>
      <c r="CQ899" s="43"/>
      <c r="CR899" s="43"/>
      <c r="CS899" s="43"/>
      <c r="CT899" s="43"/>
      <c r="CU899" s="43"/>
      <c r="CV899" s="43"/>
      <c r="CW899" s="43"/>
      <c r="CX899" s="43"/>
      <c r="CY899" s="43"/>
      <c r="CZ899" s="43"/>
      <c r="DA899" s="43"/>
      <c r="DB899" s="43"/>
      <c r="DC899" s="43"/>
      <c r="DD899" s="43"/>
      <c r="DE899" s="43"/>
      <c r="DF899" s="43"/>
      <c r="DG899" s="43"/>
      <c r="DH899" s="43"/>
      <c r="DI899" s="43"/>
      <c r="DJ899" s="43"/>
      <c r="DK899" s="43"/>
      <c r="DL899" s="43"/>
      <c r="DM899" s="43"/>
      <c r="DN899" s="43"/>
      <c r="DO899" s="43"/>
      <c r="DP899" s="43"/>
      <c r="DQ899" s="43"/>
      <c r="DR899" s="43"/>
      <c r="DS899" s="43"/>
      <c r="DT899" s="43"/>
      <c r="DU899" s="43"/>
      <c r="DV899" s="43"/>
      <c r="DW899" s="43"/>
      <c r="DX899" s="43"/>
      <c r="DY899" s="43"/>
      <c r="DZ899" s="43"/>
      <c r="EA899" s="43"/>
      <c r="EB899" s="43"/>
      <c r="EC899" s="43"/>
      <c r="ED899" s="43"/>
      <c r="EE899" s="43"/>
      <c r="EF899" s="43"/>
      <c r="EG899" s="43"/>
      <c r="EH899" s="43"/>
      <c r="EI899" s="43"/>
      <c r="EJ899" s="43"/>
      <c r="EK899" s="43"/>
      <c r="EL899" s="43"/>
      <c r="EM899" s="43"/>
      <c r="EN899" s="43"/>
      <c r="EO899" s="43"/>
      <c r="EP899" s="43"/>
      <c r="EQ899" s="43"/>
      <c r="ER899" s="43"/>
      <c r="ES899" s="43"/>
      <c r="ET899" s="43"/>
      <c r="EU899" s="43"/>
      <c r="EV899" s="43"/>
      <c r="EW899" s="43"/>
      <c r="EX899" s="43"/>
      <c r="EY899" s="43"/>
      <c r="EZ899" s="43"/>
      <c r="FA899" s="43"/>
      <c r="FB899" s="43"/>
      <c r="FC899" s="43"/>
      <c r="FD899" s="43"/>
      <c r="FE899" s="43"/>
      <c r="FF899" s="43"/>
      <c r="FG899" s="43"/>
      <c r="FH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c r="BO900" s="43"/>
      <c r="BP900" s="43"/>
      <c r="BQ900" s="43"/>
      <c r="BR900" s="43"/>
      <c r="BS900" s="43"/>
      <c r="BT900" s="43"/>
      <c r="BU900" s="43"/>
      <c r="BV900" s="43"/>
      <c r="BW900" s="43"/>
      <c r="BX900" s="43"/>
      <c r="BY900" s="43"/>
      <c r="BZ900" s="43"/>
      <c r="CA900" s="43"/>
      <c r="CB900" s="43"/>
      <c r="CC900" s="43"/>
      <c r="CD900" s="43"/>
      <c r="CE900" s="43"/>
      <c r="CF900" s="43"/>
      <c r="CG900" s="43"/>
      <c r="CH900" s="43"/>
      <c r="CI900" s="43"/>
      <c r="CJ900" s="43"/>
      <c r="CK900" s="43"/>
      <c r="CL900" s="43"/>
      <c r="CM900" s="43"/>
      <c r="CN900" s="43"/>
      <c r="CO900" s="43"/>
      <c r="CP900" s="43"/>
      <c r="CQ900" s="43"/>
      <c r="CR900" s="43"/>
      <c r="CS900" s="43"/>
      <c r="CT900" s="43"/>
      <c r="CU900" s="43"/>
      <c r="CV900" s="43"/>
      <c r="CW900" s="43"/>
      <c r="CX900" s="43"/>
      <c r="CY900" s="43"/>
      <c r="CZ900" s="43"/>
      <c r="DA900" s="43"/>
      <c r="DB900" s="43"/>
      <c r="DC900" s="43"/>
      <c r="DD900" s="43"/>
      <c r="DE900" s="43"/>
      <c r="DF900" s="43"/>
      <c r="DG900" s="43"/>
      <c r="DH900" s="43"/>
      <c r="DI900" s="43"/>
      <c r="DJ900" s="43"/>
      <c r="DK900" s="43"/>
      <c r="DL900" s="43"/>
      <c r="DM900" s="43"/>
      <c r="DN900" s="43"/>
      <c r="DO900" s="43"/>
      <c r="DP900" s="43"/>
      <c r="DQ900" s="43"/>
      <c r="DR900" s="43"/>
      <c r="DS900" s="43"/>
      <c r="DT900" s="43"/>
      <c r="DU900" s="43"/>
      <c r="DV900" s="43"/>
      <c r="DW900" s="43"/>
      <c r="DX900" s="43"/>
      <c r="DY900" s="43"/>
      <c r="DZ900" s="43"/>
      <c r="EA900" s="43"/>
      <c r="EB900" s="43"/>
      <c r="EC900" s="43"/>
      <c r="ED900" s="43"/>
      <c r="EE900" s="43"/>
      <c r="EF900" s="43"/>
      <c r="EG900" s="43"/>
      <c r="EH900" s="43"/>
      <c r="EI900" s="43"/>
      <c r="EJ900" s="43"/>
      <c r="EK900" s="43"/>
      <c r="EL900" s="43"/>
      <c r="EM900" s="43"/>
      <c r="EN900" s="43"/>
      <c r="EO900" s="43"/>
      <c r="EP900" s="43"/>
      <c r="EQ900" s="43"/>
      <c r="ER900" s="43"/>
      <c r="ES900" s="43"/>
      <c r="ET900" s="43"/>
      <c r="EU900" s="43"/>
      <c r="EV900" s="43"/>
      <c r="EW900" s="43"/>
      <c r="EX900" s="43"/>
      <c r="EY900" s="43"/>
      <c r="EZ900" s="43"/>
      <c r="FA900" s="43"/>
      <c r="FB900" s="43"/>
      <c r="FC900" s="43"/>
      <c r="FD900" s="43"/>
      <c r="FE900" s="43"/>
      <c r="FF900" s="43"/>
      <c r="FG900" s="43"/>
      <c r="FH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43"/>
      <c r="BP901" s="43"/>
      <c r="BQ901" s="43"/>
      <c r="BR901" s="43"/>
      <c r="BS901" s="43"/>
      <c r="BT901" s="43"/>
      <c r="BU901" s="43"/>
      <c r="BV901" s="43"/>
      <c r="BW901" s="43"/>
      <c r="BX901" s="43"/>
      <c r="BY901" s="43"/>
      <c r="BZ901" s="43"/>
      <c r="CA901" s="43"/>
      <c r="CB901" s="43"/>
      <c r="CC901" s="43"/>
      <c r="CD901" s="43"/>
      <c r="CE901" s="43"/>
      <c r="CF901" s="43"/>
      <c r="CG901" s="43"/>
      <c r="CH901" s="43"/>
      <c r="CI901" s="43"/>
      <c r="CJ901" s="43"/>
      <c r="CK901" s="43"/>
      <c r="CL901" s="43"/>
      <c r="CM901" s="43"/>
      <c r="CN901" s="43"/>
      <c r="CO901" s="43"/>
      <c r="CP901" s="43"/>
      <c r="CQ901" s="43"/>
      <c r="CR901" s="43"/>
      <c r="CS901" s="43"/>
      <c r="CT901" s="43"/>
      <c r="CU901" s="43"/>
      <c r="CV901" s="43"/>
      <c r="CW901" s="43"/>
      <c r="CX901" s="43"/>
      <c r="CY901" s="43"/>
      <c r="CZ901" s="43"/>
      <c r="DA901" s="43"/>
      <c r="DB901" s="43"/>
      <c r="DC901" s="43"/>
      <c r="DD901" s="43"/>
      <c r="DE901" s="43"/>
      <c r="DF901" s="43"/>
      <c r="DG901" s="43"/>
      <c r="DH901" s="43"/>
      <c r="DI901" s="43"/>
      <c r="DJ901" s="43"/>
      <c r="DK901" s="43"/>
      <c r="DL901" s="43"/>
      <c r="DM901" s="43"/>
      <c r="DN901" s="43"/>
      <c r="DO901" s="43"/>
      <c r="DP901" s="43"/>
      <c r="DQ901" s="43"/>
      <c r="DR901" s="43"/>
      <c r="DS901" s="43"/>
      <c r="DT901" s="43"/>
      <c r="DU901" s="43"/>
      <c r="DV901" s="43"/>
      <c r="DW901" s="43"/>
      <c r="DX901" s="43"/>
      <c r="DY901" s="43"/>
      <c r="DZ901" s="43"/>
      <c r="EA901" s="43"/>
      <c r="EB901" s="43"/>
      <c r="EC901" s="43"/>
      <c r="ED901" s="43"/>
      <c r="EE901" s="43"/>
      <c r="EF901" s="43"/>
      <c r="EG901" s="43"/>
      <c r="EH901" s="43"/>
      <c r="EI901" s="43"/>
      <c r="EJ901" s="43"/>
      <c r="EK901" s="43"/>
      <c r="EL901" s="43"/>
      <c r="EM901" s="43"/>
      <c r="EN901" s="43"/>
      <c r="EO901" s="43"/>
      <c r="EP901" s="43"/>
      <c r="EQ901" s="43"/>
      <c r="ER901" s="43"/>
      <c r="ES901" s="43"/>
      <c r="ET901" s="43"/>
      <c r="EU901" s="43"/>
      <c r="EV901" s="43"/>
      <c r="EW901" s="43"/>
      <c r="EX901" s="43"/>
      <c r="EY901" s="43"/>
      <c r="EZ901" s="43"/>
      <c r="FA901" s="43"/>
      <c r="FB901" s="43"/>
      <c r="FC901" s="43"/>
      <c r="FD901" s="43"/>
      <c r="FE901" s="43"/>
      <c r="FF901" s="43"/>
      <c r="FG901" s="43"/>
      <c r="FH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43"/>
      <c r="BP902" s="43"/>
      <c r="BQ902" s="43"/>
      <c r="BR902" s="43"/>
      <c r="BS902" s="43"/>
      <c r="BT902" s="43"/>
      <c r="BU902" s="43"/>
      <c r="BV902" s="43"/>
      <c r="BW902" s="43"/>
      <c r="BX902" s="43"/>
      <c r="BY902" s="43"/>
      <c r="BZ902" s="43"/>
      <c r="CA902" s="43"/>
      <c r="CB902" s="43"/>
      <c r="CC902" s="43"/>
      <c r="CD902" s="43"/>
      <c r="CE902" s="43"/>
      <c r="CF902" s="43"/>
      <c r="CG902" s="43"/>
      <c r="CH902" s="43"/>
      <c r="CI902" s="43"/>
      <c r="CJ902" s="43"/>
      <c r="CK902" s="43"/>
      <c r="CL902" s="43"/>
      <c r="CM902" s="43"/>
      <c r="CN902" s="43"/>
      <c r="CO902" s="43"/>
      <c r="CP902" s="43"/>
      <c r="CQ902" s="43"/>
      <c r="CR902" s="43"/>
      <c r="CS902" s="43"/>
      <c r="CT902" s="43"/>
      <c r="CU902" s="43"/>
      <c r="CV902" s="43"/>
      <c r="CW902" s="43"/>
      <c r="CX902" s="43"/>
      <c r="CY902" s="43"/>
      <c r="CZ902" s="43"/>
      <c r="DA902" s="43"/>
      <c r="DB902" s="43"/>
      <c r="DC902" s="43"/>
      <c r="DD902" s="43"/>
      <c r="DE902" s="43"/>
      <c r="DF902" s="43"/>
      <c r="DG902" s="43"/>
      <c r="DH902" s="43"/>
      <c r="DI902" s="43"/>
      <c r="DJ902" s="43"/>
      <c r="DK902" s="43"/>
      <c r="DL902" s="43"/>
      <c r="DM902" s="43"/>
      <c r="DN902" s="43"/>
      <c r="DO902" s="43"/>
      <c r="DP902" s="43"/>
      <c r="DQ902" s="43"/>
      <c r="DR902" s="43"/>
      <c r="DS902" s="43"/>
      <c r="DT902" s="43"/>
      <c r="DU902" s="43"/>
      <c r="DV902" s="43"/>
      <c r="DW902" s="43"/>
      <c r="DX902" s="43"/>
      <c r="DY902" s="43"/>
      <c r="DZ902" s="43"/>
      <c r="EA902" s="43"/>
      <c r="EB902" s="43"/>
      <c r="EC902" s="43"/>
      <c r="ED902" s="43"/>
      <c r="EE902" s="43"/>
      <c r="EF902" s="43"/>
      <c r="EG902" s="43"/>
      <c r="EH902" s="43"/>
      <c r="EI902" s="43"/>
      <c r="EJ902" s="43"/>
      <c r="EK902" s="43"/>
      <c r="EL902" s="43"/>
      <c r="EM902" s="43"/>
      <c r="EN902" s="43"/>
      <c r="EO902" s="43"/>
      <c r="EP902" s="43"/>
      <c r="EQ902" s="43"/>
      <c r="ER902" s="43"/>
      <c r="ES902" s="43"/>
      <c r="ET902" s="43"/>
      <c r="EU902" s="43"/>
      <c r="EV902" s="43"/>
      <c r="EW902" s="43"/>
      <c r="EX902" s="43"/>
      <c r="EY902" s="43"/>
      <c r="EZ902" s="43"/>
      <c r="FA902" s="43"/>
      <c r="FB902" s="43"/>
      <c r="FC902" s="43"/>
      <c r="FD902" s="43"/>
      <c r="FE902" s="43"/>
      <c r="FF902" s="43"/>
      <c r="FG902" s="43"/>
      <c r="FH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s="43"/>
      <c r="BM903" s="43"/>
      <c r="BN903" s="43"/>
      <c r="BO903" s="43"/>
      <c r="BP903" s="43"/>
      <c r="BQ903" s="43"/>
      <c r="BR903" s="43"/>
      <c r="BS903" s="43"/>
      <c r="BT903" s="43"/>
      <c r="BU903" s="43"/>
      <c r="BV903" s="43"/>
      <c r="BW903" s="43"/>
      <c r="BX903" s="43"/>
      <c r="BY903" s="43"/>
      <c r="BZ903" s="43"/>
      <c r="CA903" s="43"/>
      <c r="CB903" s="43"/>
      <c r="CC903" s="43"/>
      <c r="CD903" s="43"/>
      <c r="CE903" s="43"/>
      <c r="CF903" s="43"/>
      <c r="CG903" s="43"/>
      <c r="CH903" s="43"/>
      <c r="CI903" s="43"/>
      <c r="CJ903" s="43"/>
      <c r="CK903" s="43"/>
      <c r="CL903" s="43"/>
      <c r="CM903" s="43"/>
      <c r="CN903" s="43"/>
      <c r="CO903" s="43"/>
      <c r="CP903" s="43"/>
      <c r="CQ903" s="43"/>
      <c r="CR903" s="43"/>
      <c r="CS903" s="43"/>
      <c r="CT903" s="43"/>
      <c r="CU903" s="43"/>
      <c r="CV903" s="43"/>
      <c r="CW903" s="43"/>
      <c r="CX903" s="43"/>
      <c r="CY903" s="43"/>
      <c r="CZ903" s="43"/>
      <c r="DA903" s="43"/>
      <c r="DB903" s="43"/>
      <c r="DC903" s="43"/>
      <c r="DD903" s="43"/>
      <c r="DE903" s="43"/>
      <c r="DF903" s="43"/>
      <c r="DG903" s="43"/>
      <c r="DH903" s="43"/>
      <c r="DI903" s="43"/>
      <c r="DJ903" s="43"/>
      <c r="DK903" s="43"/>
      <c r="DL903" s="43"/>
      <c r="DM903" s="43"/>
      <c r="DN903" s="43"/>
      <c r="DO903" s="43"/>
      <c r="DP903" s="43"/>
      <c r="DQ903" s="43"/>
      <c r="DR903" s="43"/>
      <c r="DS903" s="43"/>
      <c r="DT903" s="43"/>
      <c r="DU903" s="43"/>
      <c r="DV903" s="43"/>
      <c r="DW903" s="43"/>
      <c r="DX903" s="43"/>
      <c r="DY903" s="43"/>
      <c r="DZ903" s="43"/>
      <c r="EA903" s="43"/>
      <c r="EB903" s="43"/>
      <c r="EC903" s="43"/>
      <c r="ED903" s="43"/>
      <c r="EE903" s="43"/>
      <c r="EF903" s="43"/>
      <c r="EG903" s="43"/>
      <c r="EH903" s="43"/>
      <c r="EI903" s="43"/>
      <c r="EJ903" s="43"/>
      <c r="EK903" s="43"/>
      <c r="EL903" s="43"/>
      <c r="EM903" s="43"/>
      <c r="EN903" s="43"/>
      <c r="EO903" s="43"/>
      <c r="EP903" s="43"/>
      <c r="EQ903" s="43"/>
      <c r="ER903" s="43"/>
      <c r="ES903" s="43"/>
      <c r="ET903" s="43"/>
      <c r="EU903" s="43"/>
      <c r="EV903" s="43"/>
      <c r="EW903" s="43"/>
      <c r="EX903" s="43"/>
      <c r="EY903" s="43"/>
      <c r="EZ903" s="43"/>
      <c r="FA903" s="43"/>
      <c r="FB903" s="43"/>
      <c r="FC903" s="43"/>
      <c r="FD903" s="43"/>
      <c r="FE903" s="43"/>
      <c r="FF903" s="43"/>
      <c r="FG903" s="43"/>
      <c r="FH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c r="BO904" s="43"/>
      <c r="BP904" s="43"/>
      <c r="BQ904" s="43"/>
      <c r="BR904" s="43"/>
      <c r="BS904" s="43"/>
      <c r="BT904" s="43"/>
      <c r="BU904" s="43"/>
      <c r="BV904" s="43"/>
      <c r="BW904" s="43"/>
      <c r="BX904" s="43"/>
      <c r="BY904" s="43"/>
      <c r="BZ904" s="43"/>
      <c r="CA904" s="43"/>
      <c r="CB904" s="43"/>
      <c r="CC904" s="43"/>
      <c r="CD904" s="43"/>
      <c r="CE904" s="43"/>
      <c r="CF904" s="43"/>
      <c r="CG904" s="43"/>
      <c r="CH904" s="43"/>
      <c r="CI904" s="43"/>
      <c r="CJ904" s="43"/>
      <c r="CK904" s="43"/>
      <c r="CL904" s="43"/>
      <c r="CM904" s="43"/>
      <c r="CN904" s="43"/>
      <c r="CO904" s="43"/>
      <c r="CP904" s="43"/>
      <c r="CQ904" s="43"/>
      <c r="CR904" s="43"/>
      <c r="CS904" s="43"/>
      <c r="CT904" s="43"/>
      <c r="CU904" s="43"/>
      <c r="CV904" s="43"/>
      <c r="CW904" s="43"/>
      <c r="CX904" s="43"/>
      <c r="CY904" s="43"/>
      <c r="CZ904" s="43"/>
      <c r="DA904" s="43"/>
      <c r="DB904" s="43"/>
      <c r="DC904" s="43"/>
      <c r="DD904" s="43"/>
      <c r="DE904" s="43"/>
      <c r="DF904" s="43"/>
      <c r="DG904" s="43"/>
      <c r="DH904" s="43"/>
      <c r="DI904" s="43"/>
      <c r="DJ904" s="43"/>
      <c r="DK904" s="43"/>
      <c r="DL904" s="43"/>
      <c r="DM904" s="43"/>
      <c r="DN904" s="43"/>
      <c r="DO904" s="43"/>
      <c r="DP904" s="43"/>
      <c r="DQ904" s="43"/>
      <c r="DR904" s="43"/>
      <c r="DS904" s="43"/>
      <c r="DT904" s="43"/>
      <c r="DU904" s="43"/>
      <c r="DV904" s="43"/>
      <c r="DW904" s="43"/>
      <c r="DX904" s="43"/>
      <c r="DY904" s="43"/>
      <c r="DZ904" s="43"/>
      <c r="EA904" s="43"/>
      <c r="EB904" s="43"/>
      <c r="EC904" s="43"/>
      <c r="ED904" s="43"/>
      <c r="EE904" s="43"/>
      <c r="EF904" s="43"/>
      <c r="EG904" s="43"/>
      <c r="EH904" s="43"/>
      <c r="EI904" s="43"/>
      <c r="EJ904" s="43"/>
      <c r="EK904" s="43"/>
      <c r="EL904" s="43"/>
      <c r="EM904" s="43"/>
      <c r="EN904" s="43"/>
      <c r="EO904" s="43"/>
      <c r="EP904" s="43"/>
      <c r="EQ904" s="43"/>
      <c r="ER904" s="43"/>
      <c r="ES904" s="43"/>
      <c r="ET904" s="43"/>
      <c r="EU904" s="43"/>
      <c r="EV904" s="43"/>
      <c r="EW904" s="43"/>
      <c r="EX904" s="43"/>
      <c r="EY904" s="43"/>
      <c r="EZ904" s="43"/>
      <c r="FA904" s="43"/>
      <c r="FB904" s="43"/>
      <c r="FC904" s="43"/>
      <c r="FD904" s="43"/>
      <c r="FE904" s="43"/>
      <c r="FF904" s="43"/>
      <c r="FG904" s="43"/>
      <c r="FH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c r="BO905" s="43"/>
      <c r="BP905" s="43"/>
      <c r="BQ905" s="43"/>
      <c r="BR905" s="43"/>
      <c r="BS905" s="43"/>
      <c r="BT905" s="43"/>
      <c r="BU905" s="43"/>
      <c r="BV905" s="43"/>
      <c r="BW905" s="43"/>
      <c r="BX905" s="43"/>
      <c r="BY905" s="43"/>
      <c r="BZ905" s="43"/>
      <c r="CA905" s="43"/>
      <c r="CB905" s="43"/>
      <c r="CC905" s="43"/>
      <c r="CD905" s="43"/>
      <c r="CE905" s="43"/>
      <c r="CF905" s="43"/>
      <c r="CG905" s="43"/>
      <c r="CH905" s="43"/>
      <c r="CI905" s="43"/>
      <c r="CJ905" s="43"/>
      <c r="CK905" s="43"/>
      <c r="CL905" s="43"/>
      <c r="CM905" s="43"/>
      <c r="CN905" s="43"/>
      <c r="CO905" s="43"/>
      <c r="CP905" s="43"/>
      <c r="CQ905" s="43"/>
      <c r="CR905" s="43"/>
      <c r="CS905" s="43"/>
      <c r="CT905" s="43"/>
      <c r="CU905" s="43"/>
      <c r="CV905" s="43"/>
      <c r="CW905" s="43"/>
      <c r="CX905" s="43"/>
      <c r="CY905" s="43"/>
      <c r="CZ905" s="43"/>
      <c r="DA905" s="43"/>
      <c r="DB905" s="43"/>
      <c r="DC905" s="43"/>
      <c r="DD905" s="43"/>
      <c r="DE905" s="43"/>
      <c r="DF905" s="43"/>
      <c r="DG905" s="43"/>
      <c r="DH905" s="43"/>
      <c r="DI905" s="43"/>
      <c r="DJ905" s="43"/>
      <c r="DK905" s="43"/>
      <c r="DL905" s="43"/>
      <c r="DM905" s="43"/>
      <c r="DN905" s="43"/>
      <c r="DO905" s="43"/>
      <c r="DP905" s="43"/>
      <c r="DQ905" s="43"/>
      <c r="DR905" s="43"/>
      <c r="DS905" s="43"/>
      <c r="DT905" s="43"/>
      <c r="DU905" s="43"/>
      <c r="DV905" s="43"/>
      <c r="DW905" s="43"/>
      <c r="DX905" s="43"/>
      <c r="DY905" s="43"/>
      <c r="DZ905" s="43"/>
      <c r="EA905" s="43"/>
      <c r="EB905" s="43"/>
      <c r="EC905" s="43"/>
      <c r="ED905" s="43"/>
      <c r="EE905" s="43"/>
      <c r="EF905" s="43"/>
      <c r="EG905" s="43"/>
      <c r="EH905" s="43"/>
      <c r="EI905" s="43"/>
      <c r="EJ905" s="43"/>
      <c r="EK905" s="43"/>
      <c r="EL905" s="43"/>
      <c r="EM905" s="43"/>
      <c r="EN905" s="43"/>
      <c r="EO905" s="43"/>
      <c r="EP905" s="43"/>
      <c r="EQ905" s="43"/>
      <c r="ER905" s="43"/>
      <c r="ES905" s="43"/>
      <c r="ET905" s="43"/>
      <c r="EU905" s="43"/>
      <c r="EV905" s="43"/>
      <c r="EW905" s="43"/>
      <c r="EX905" s="43"/>
      <c r="EY905" s="43"/>
      <c r="EZ905" s="43"/>
      <c r="FA905" s="43"/>
      <c r="FB905" s="43"/>
      <c r="FC905" s="43"/>
      <c r="FD905" s="43"/>
      <c r="FE905" s="43"/>
      <c r="FF905" s="43"/>
      <c r="FG905" s="43"/>
      <c r="FH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s="43"/>
      <c r="BM906" s="43"/>
      <c r="BN906" s="43"/>
      <c r="BO906" s="43"/>
      <c r="BP906" s="43"/>
      <c r="BQ906" s="43"/>
      <c r="BR906" s="43"/>
      <c r="BS906" s="43"/>
      <c r="BT906" s="43"/>
      <c r="BU906" s="43"/>
      <c r="BV906" s="43"/>
      <c r="BW906" s="43"/>
      <c r="BX906" s="43"/>
      <c r="BY906" s="43"/>
      <c r="BZ906" s="43"/>
      <c r="CA906" s="43"/>
      <c r="CB906" s="43"/>
      <c r="CC906" s="43"/>
      <c r="CD906" s="43"/>
      <c r="CE906" s="43"/>
      <c r="CF906" s="43"/>
      <c r="CG906" s="43"/>
      <c r="CH906" s="43"/>
      <c r="CI906" s="43"/>
      <c r="CJ906" s="43"/>
      <c r="CK906" s="43"/>
      <c r="CL906" s="43"/>
      <c r="CM906" s="43"/>
      <c r="CN906" s="43"/>
      <c r="CO906" s="43"/>
      <c r="CP906" s="43"/>
      <c r="CQ906" s="43"/>
      <c r="CR906" s="43"/>
      <c r="CS906" s="43"/>
      <c r="CT906" s="43"/>
      <c r="CU906" s="43"/>
      <c r="CV906" s="43"/>
      <c r="CW906" s="43"/>
      <c r="CX906" s="43"/>
      <c r="CY906" s="43"/>
      <c r="CZ906" s="43"/>
      <c r="DA906" s="43"/>
      <c r="DB906" s="43"/>
      <c r="DC906" s="43"/>
      <c r="DD906" s="43"/>
      <c r="DE906" s="43"/>
      <c r="DF906" s="43"/>
      <c r="DG906" s="43"/>
      <c r="DH906" s="43"/>
      <c r="DI906" s="43"/>
      <c r="DJ906" s="43"/>
      <c r="DK906" s="43"/>
      <c r="DL906" s="43"/>
      <c r="DM906" s="43"/>
      <c r="DN906" s="43"/>
      <c r="DO906" s="43"/>
      <c r="DP906" s="43"/>
      <c r="DQ906" s="43"/>
      <c r="DR906" s="43"/>
      <c r="DS906" s="43"/>
      <c r="DT906" s="43"/>
      <c r="DU906" s="43"/>
      <c r="DV906" s="43"/>
      <c r="DW906" s="43"/>
      <c r="DX906" s="43"/>
      <c r="DY906" s="43"/>
      <c r="DZ906" s="43"/>
      <c r="EA906" s="43"/>
      <c r="EB906" s="43"/>
      <c r="EC906" s="43"/>
      <c r="ED906" s="43"/>
      <c r="EE906" s="43"/>
      <c r="EF906" s="43"/>
      <c r="EG906" s="43"/>
      <c r="EH906" s="43"/>
      <c r="EI906" s="43"/>
      <c r="EJ906" s="43"/>
      <c r="EK906" s="43"/>
      <c r="EL906" s="43"/>
      <c r="EM906" s="43"/>
      <c r="EN906" s="43"/>
      <c r="EO906" s="43"/>
      <c r="EP906" s="43"/>
      <c r="EQ906" s="43"/>
      <c r="ER906" s="43"/>
      <c r="ES906" s="43"/>
      <c r="ET906" s="43"/>
      <c r="EU906" s="43"/>
      <c r="EV906" s="43"/>
      <c r="EW906" s="43"/>
      <c r="EX906" s="43"/>
      <c r="EY906" s="43"/>
      <c r="EZ906" s="43"/>
      <c r="FA906" s="43"/>
      <c r="FB906" s="43"/>
      <c r="FC906" s="43"/>
      <c r="FD906" s="43"/>
      <c r="FE906" s="43"/>
      <c r="FF906" s="43"/>
      <c r="FG906" s="43"/>
      <c r="FH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c r="BO907" s="43"/>
      <c r="BP907" s="43"/>
      <c r="BQ907" s="43"/>
      <c r="BR907" s="43"/>
      <c r="BS907" s="43"/>
      <c r="BT907" s="43"/>
      <c r="BU907" s="43"/>
      <c r="BV907" s="43"/>
      <c r="BW907" s="43"/>
      <c r="BX907" s="43"/>
      <c r="BY907" s="43"/>
      <c r="BZ907" s="43"/>
      <c r="CA907" s="43"/>
      <c r="CB907" s="43"/>
      <c r="CC907" s="43"/>
      <c r="CD907" s="43"/>
      <c r="CE907" s="43"/>
      <c r="CF907" s="43"/>
      <c r="CG907" s="43"/>
      <c r="CH907" s="43"/>
      <c r="CI907" s="43"/>
      <c r="CJ907" s="43"/>
      <c r="CK907" s="43"/>
      <c r="CL907" s="43"/>
      <c r="CM907" s="43"/>
      <c r="CN907" s="43"/>
      <c r="CO907" s="43"/>
      <c r="CP907" s="43"/>
      <c r="CQ907" s="43"/>
      <c r="CR907" s="43"/>
      <c r="CS907" s="43"/>
      <c r="CT907" s="43"/>
      <c r="CU907" s="43"/>
      <c r="CV907" s="43"/>
      <c r="CW907" s="43"/>
      <c r="CX907" s="43"/>
      <c r="CY907" s="43"/>
      <c r="CZ907" s="43"/>
      <c r="DA907" s="43"/>
      <c r="DB907" s="43"/>
      <c r="DC907" s="43"/>
      <c r="DD907" s="43"/>
      <c r="DE907" s="43"/>
      <c r="DF907" s="43"/>
      <c r="DG907" s="43"/>
      <c r="DH907" s="43"/>
      <c r="DI907" s="43"/>
      <c r="DJ907" s="43"/>
      <c r="DK907" s="43"/>
      <c r="DL907" s="43"/>
      <c r="DM907" s="43"/>
      <c r="DN907" s="43"/>
      <c r="DO907" s="43"/>
      <c r="DP907" s="43"/>
      <c r="DQ907" s="43"/>
      <c r="DR907" s="43"/>
      <c r="DS907" s="43"/>
      <c r="DT907" s="43"/>
      <c r="DU907" s="43"/>
      <c r="DV907" s="43"/>
      <c r="DW907" s="43"/>
      <c r="DX907" s="43"/>
      <c r="DY907" s="43"/>
      <c r="DZ907" s="43"/>
      <c r="EA907" s="43"/>
      <c r="EB907" s="43"/>
      <c r="EC907" s="43"/>
      <c r="ED907" s="43"/>
      <c r="EE907" s="43"/>
      <c r="EF907" s="43"/>
      <c r="EG907" s="43"/>
      <c r="EH907" s="43"/>
      <c r="EI907" s="43"/>
      <c r="EJ907" s="43"/>
      <c r="EK907" s="43"/>
      <c r="EL907" s="43"/>
      <c r="EM907" s="43"/>
      <c r="EN907" s="43"/>
      <c r="EO907" s="43"/>
      <c r="EP907" s="43"/>
      <c r="EQ907" s="43"/>
      <c r="ER907" s="43"/>
      <c r="ES907" s="43"/>
      <c r="ET907" s="43"/>
      <c r="EU907" s="43"/>
      <c r="EV907" s="43"/>
      <c r="EW907" s="43"/>
      <c r="EX907" s="43"/>
      <c r="EY907" s="43"/>
      <c r="EZ907" s="43"/>
      <c r="FA907" s="43"/>
      <c r="FB907" s="43"/>
      <c r="FC907" s="43"/>
      <c r="FD907" s="43"/>
      <c r="FE907" s="43"/>
      <c r="FF907" s="43"/>
      <c r="FG907" s="43"/>
      <c r="FH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c r="BO908" s="43"/>
      <c r="BP908" s="43"/>
      <c r="BQ908" s="43"/>
      <c r="BR908" s="43"/>
      <c r="BS908" s="43"/>
      <c r="BT908" s="43"/>
      <c r="BU908" s="43"/>
      <c r="BV908" s="43"/>
      <c r="BW908" s="43"/>
      <c r="BX908" s="43"/>
      <c r="BY908" s="43"/>
      <c r="BZ908" s="43"/>
      <c r="CA908" s="43"/>
      <c r="CB908" s="43"/>
      <c r="CC908" s="43"/>
      <c r="CD908" s="43"/>
      <c r="CE908" s="43"/>
      <c r="CF908" s="43"/>
      <c r="CG908" s="43"/>
      <c r="CH908" s="43"/>
      <c r="CI908" s="43"/>
      <c r="CJ908" s="43"/>
      <c r="CK908" s="43"/>
      <c r="CL908" s="43"/>
      <c r="CM908" s="43"/>
      <c r="CN908" s="43"/>
      <c r="CO908" s="43"/>
      <c r="CP908" s="43"/>
      <c r="CQ908" s="43"/>
      <c r="CR908" s="43"/>
      <c r="CS908" s="43"/>
      <c r="CT908" s="43"/>
      <c r="CU908" s="43"/>
      <c r="CV908" s="43"/>
      <c r="CW908" s="43"/>
      <c r="CX908" s="43"/>
      <c r="CY908" s="43"/>
      <c r="CZ908" s="43"/>
      <c r="DA908" s="43"/>
      <c r="DB908" s="43"/>
      <c r="DC908" s="43"/>
      <c r="DD908" s="43"/>
      <c r="DE908" s="43"/>
      <c r="DF908" s="43"/>
      <c r="DG908" s="43"/>
      <c r="DH908" s="43"/>
      <c r="DI908" s="43"/>
      <c r="DJ908" s="43"/>
      <c r="DK908" s="43"/>
      <c r="DL908" s="43"/>
      <c r="DM908" s="43"/>
      <c r="DN908" s="43"/>
      <c r="DO908" s="43"/>
      <c r="DP908" s="43"/>
      <c r="DQ908" s="43"/>
      <c r="DR908" s="43"/>
      <c r="DS908" s="43"/>
      <c r="DT908" s="43"/>
      <c r="DU908" s="43"/>
      <c r="DV908" s="43"/>
      <c r="DW908" s="43"/>
      <c r="DX908" s="43"/>
      <c r="DY908" s="43"/>
      <c r="DZ908" s="43"/>
      <c r="EA908" s="43"/>
      <c r="EB908" s="43"/>
      <c r="EC908" s="43"/>
      <c r="ED908" s="43"/>
      <c r="EE908" s="43"/>
      <c r="EF908" s="43"/>
      <c r="EG908" s="43"/>
      <c r="EH908" s="43"/>
      <c r="EI908" s="43"/>
      <c r="EJ908" s="43"/>
      <c r="EK908" s="43"/>
      <c r="EL908" s="43"/>
      <c r="EM908" s="43"/>
      <c r="EN908" s="43"/>
      <c r="EO908" s="43"/>
      <c r="EP908" s="43"/>
      <c r="EQ908" s="43"/>
      <c r="ER908" s="43"/>
      <c r="ES908" s="43"/>
      <c r="ET908" s="43"/>
      <c r="EU908" s="43"/>
      <c r="EV908" s="43"/>
      <c r="EW908" s="43"/>
      <c r="EX908" s="43"/>
      <c r="EY908" s="43"/>
      <c r="EZ908" s="43"/>
      <c r="FA908" s="43"/>
      <c r="FB908" s="43"/>
      <c r="FC908" s="43"/>
      <c r="FD908" s="43"/>
      <c r="FE908" s="43"/>
      <c r="FF908" s="43"/>
      <c r="FG908" s="43"/>
      <c r="FH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c r="BO909" s="43"/>
      <c r="BP909" s="43"/>
      <c r="BQ909" s="43"/>
      <c r="BR909" s="43"/>
      <c r="BS909" s="43"/>
      <c r="BT909" s="43"/>
      <c r="BU909" s="43"/>
      <c r="BV909" s="43"/>
      <c r="BW909" s="43"/>
      <c r="BX909" s="43"/>
      <c r="BY909" s="43"/>
      <c r="BZ909" s="43"/>
      <c r="CA909" s="43"/>
      <c r="CB909" s="43"/>
      <c r="CC909" s="43"/>
      <c r="CD909" s="43"/>
      <c r="CE909" s="43"/>
      <c r="CF909" s="43"/>
      <c r="CG909" s="43"/>
      <c r="CH909" s="43"/>
      <c r="CI909" s="43"/>
      <c r="CJ909" s="43"/>
      <c r="CK909" s="43"/>
      <c r="CL909" s="43"/>
      <c r="CM909" s="43"/>
      <c r="CN909" s="43"/>
      <c r="CO909" s="43"/>
      <c r="CP909" s="43"/>
      <c r="CQ909" s="43"/>
      <c r="CR909" s="43"/>
      <c r="CS909" s="43"/>
      <c r="CT909" s="43"/>
      <c r="CU909" s="43"/>
      <c r="CV909" s="43"/>
      <c r="CW909" s="43"/>
      <c r="CX909" s="43"/>
      <c r="CY909" s="43"/>
      <c r="CZ909" s="43"/>
      <c r="DA909" s="43"/>
      <c r="DB909" s="43"/>
      <c r="DC909" s="43"/>
      <c r="DD909" s="43"/>
      <c r="DE909" s="43"/>
      <c r="DF909" s="43"/>
      <c r="DG909" s="43"/>
      <c r="DH909" s="43"/>
      <c r="DI909" s="43"/>
      <c r="DJ909" s="43"/>
      <c r="DK909" s="43"/>
      <c r="DL909" s="43"/>
      <c r="DM909" s="43"/>
      <c r="DN909" s="43"/>
      <c r="DO909" s="43"/>
      <c r="DP909" s="43"/>
      <c r="DQ909" s="43"/>
      <c r="DR909" s="43"/>
      <c r="DS909" s="43"/>
      <c r="DT909" s="43"/>
      <c r="DU909" s="43"/>
      <c r="DV909" s="43"/>
      <c r="DW909" s="43"/>
      <c r="DX909" s="43"/>
      <c r="DY909" s="43"/>
      <c r="DZ909" s="43"/>
      <c r="EA909" s="43"/>
      <c r="EB909" s="43"/>
      <c r="EC909" s="43"/>
      <c r="ED909" s="43"/>
      <c r="EE909" s="43"/>
      <c r="EF909" s="43"/>
      <c r="EG909" s="43"/>
      <c r="EH909" s="43"/>
      <c r="EI909" s="43"/>
      <c r="EJ909" s="43"/>
      <c r="EK909" s="43"/>
      <c r="EL909" s="43"/>
      <c r="EM909" s="43"/>
      <c r="EN909" s="43"/>
      <c r="EO909" s="43"/>
      <c r="EP909" s="43"/>
      <c r="EQ909" s="43"/>
      <c r="ER909" s="43"/>
      <c r="ES909" s="43"/>
      <c r="ET909" s="43"/>
      <c r="EU909" s="43"/>
      <c r="EV909" s="43"/>
      <c r="EW909" s="43"/>
      <c r="EX909" s="43"/>
      <c r="EY909" s="43"/>
      <c r="EZ909" s="43"/>
      <c r="FA909" s="43"/>
      <c r="FB909" s="43"/>
      <c r="FC909" s="43"/>
      <c r="FD909" s="43"/>
      <c r="FE909" s="43"/>
      <c r="FF909" s="43"/>
      <c r="FG909" s="43"/>
      <c r="FH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c r="BO910" s="43"/>
      <c r="BP910" s="43"/>
      <c r="BQ910" s="43"/>
      <c r="BR910" s="43"/>
      <c r="BS910" s="43"/>
      <c r="BT910" s="43"/>
      <c r="BU910" s="43"/>
      <c r="BV910" s="43"/>
      <c r="BW910" s="43"/>
      <c r="BX910" s="43"/>
      <c r="BY910" s="43"/>
      <c r="BZ910" s="43"/>
      <c r="CA910" s="43"/>
      <c r="CB910" s="43"/>
      <c r="CC910" s="43"/>
      <c r="CD910" s="43"/>
      <c r="CE910" s="43"/>
      <c r="CF910" s="43"/>
      <c r="CG910" s="43"/>
      <c r="CH910" s="43"/>
      <c r="CI910" s="43"/>
      <c r="CJ910" s="43"/>
      <c r="CK910" s="43"/>
      <c r="CL910" s="43"/>
      <c r="CM910" s="43"/>
      <c r="CN910" s="43"/>
      <c r="CO910" s="43"/>
      <c r="CP910" s="43"/>
      <c r="CQ910" s="43"/>
      <c r="CR910" s="43"/>
      <c r="CS910" s="43"/>
      <c r="CT910" s="43"/>
      <c r="CU910" s="43"/>
      <c r="CV910" s="43"/>
      <c r="CW910" s="43"/>
      <c r="CX910" s="43"/>
      <c r="CY910" s="43"/>
      <c r="CZ910" s="43"/>
      <c r="DA910" s="43"/>
      <c r="DB910" s="43"/>
      <c r="DC910" s="43"/>
      <c r="DD910" s="43"/>
      <c r="DE910" s="43"/>
      <c r="DF910" s="43"/>
      <c r="DG910" s="43"/>
      <c r="DH910" s="43"/>
      <c r="DI910" s="43"/>
      <c r="DJ910" s="43"/>
      <c r="DK910" s="43"/>
      <c r="DL910" s="43"/>
      <c r="DM910" s="43"/>
      <c r="DN910" s="43"/>
      <c r="DO910" s="43"/>
      <c r="DP910" s="43"/>
      <c r="DQ910" s="43"/>
      <c r="DR910" s="43"/>
      <c r="DS910" s="43"/>
      <c r="DT910" s="43"/>
      <c r="DU910" s="43"/>
      <c r="DV910" s="43"/>
      <c r="DW910" s="43"/>
      <c r="DX910" s="43"/>
      <c r="DY910" s="43"/>
      <c r="DZ910" s="43"/>
      <c r="EA910" s="43"/>
      <c r="EB910" s="43"/>
      <c r="EC910" s="43"/>
      <c r="ED910" s="43"/>
      <c r="EE910" s="43"/>
      <c r="EF910" s="43"/>
      <c r="EG910" s="43"/>
      <c r="EH910" s="43"/>
      <c r="EI910" s="43"/>
      <c r="EJ910" s="43"/>
      <c r="EK910" s="43"/>
      <c r="EL910" s="43"/>
      <c r="EM910" s="43"/>
      <c r="EN910" s="43"/>
      <c r="EO910" s="43"/>
      <c r="EP910" s="43"/>
      <c r="EQ910" s="43"/>
      <c r="ER910" s="43"/>
      <c r="ES910" s="43"/>
      <c r="ET910" s="43"/>
      <c r="EU910" s="43"/>
      <c r="EV910" s="43"/>
      <c r="EW910" s="43"/>
      <c r="EX910" s="43"/>
      <c r="EY910" s="43"/>
      <c r="EZ910" s="43"/>
      <c r="FA910" s="43"/>
      <c r="FB910" s="43"/>
      <c r="FC910" s="43"/>
      <c r="FD910" s="43"/>
      <c r="FE910" s="43"/>
      <c r="FF910" s="43"/>
      <c r="FG910" s="43"/>
      <c r="FH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c r="BO911" s="43"/>
      <c r="BP911" s="43"/>
      <c r="BQ911" s="43"/>
      <c r="BR911" s="43"/>
      <c r="BS911" s="43"/>
      <c r="BT911" s="43"/>
      <c r="BU911" s="43"/>
      <c r="BV911" s="43"/>
      <c r="BW911" s="43"/>
      <c r="BX911" s="43"/>
      <c r="BY911" s="43"/>
      <c r="BZ911" s="43"/>
      <c r="CA911" s="43"/>
      <c r="CB911" s="43"/>
      <c r="CC911" s="43"/>
      <c r="CD911" s="43"/>
      <c r="CE911" s="43"/>
      <c r="CF911" s="43"/>
      <c r="CG911" s="43"/>
      <c r="CH911" s="43"/>
      <c r="CI911" s="43"/>
      <c r="CJ911" s="43"/>
      <c r="CK911" s="43"/>
      <c r="CL911" s="43"/>
      <c r="CM911" s="43"/>
      <c r="CN911" s="43"/>
      <c r="CO911" s="43"/>
      <c r="CP911" s="43"/>
      <c r="CQ911" s="43"/>
      <c r="CR911" s="43"/>
      <c r="CS911" s="43"/>
      <c r="CT911" s="43"/>
      <c r="CU911" s="43"/>
      <c r="CV911" s="43"/>
      <c r="CW911" s="43"/>
      <c r="CX911" s="43"/>
      <c r="CY911" s="43"/>
      <c r="CZ911" s="43"/>
      <c r="DA911" s="43"/>
      <c r="DB911" s="43"/>
      <c r="DC911" s="43"/>
      <c r="DD911" s="43"/>
      <c r="DE911" s="43"/>
      <c r="DF911" s="43"/>
      <c r="DG911" s="43"/>
      <c r="DH911" s="43"/>
      <c r="DI911" s="43"/>
      <c r="DJ911" s="43"/>
      <c r="DK911" s="43"/>
      <c r="DL911" s="43"/>
      <c r="DM911" s="43"/>
      <c r="DN911" s="43"/>
      <c r="DO911" s="43"/>
      <c r="DP911" s="43"/>
      <c r="DQ911" s="43"/>
      <c r="DR911" s="43"/>
      <c r="DS911" s="43"/>
      <c r="DT911" s="43"/>
      <c r="DU911" s="43"/>
      <c r="DV911" s="43"/>
      <c r="DW911" s="43"/>
      <c r="DX911" s="43"/>
      <c r="DY911" s="43"/>
      <c r="DZ911" s="43"/>
      <c r="EA911" s="43"/>
      <c r="EB911" s="43"/>
      <c r="EC911" s="43"/>
      <c r="ED911" s="43"/>
      <c r="EE911" s="43"/>
      <c r="EF911" s="43"/>
      <c r="EG911" s="43"/>
      <c r="EH911" s="43"/>
      <c r="EI911" s="43"/>
      <c r="EJ911" s="43"/>
      <c r="EK911" s="43"/>
      <c r="EL911" s="43"/>
      <c r="EM911" s="43"/>
      <c r="EN911" s="43"/>
      <c r="EO911" s="43"/>
      <c r="EP911" s="43"/>
      <c r="EQ911" s="43"/>
      <c r="ER911" s="43"/>
      <c r="ES911" s="43"/>
      <c r="ET911" s="43"/>
      <c r="EU911" s="43"/>
      <c r="EV911" s="43"/>
      <c r="EW911" s="43"/>
      <c r="EX911" s="43"/>
      <c r="EY911" s="43"/>
      <c r="EZ911" s="43"/>
      <c r="FA911" s="43"/>
      <c r="FB911" s="43"/>
      <c r="FC911" s="43"/>
      <c r="FD911" s="43"/>
      <c r="FE911" s="43"/>
      <c r="FF911" s="43"/>
      <c r="FG911" s="43"/>
      <c r="FH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c r="BO912" s="43"/>
      <c r="BP912" s="43"/>
      <c r="BQ912" s="43"/>
      <c r="BR912" s="43"/>
      <c r="BS912" s="43"/>
      <c r="BT912" s="43"/>
      <c r="BU912" s="43"/>
      <c r="BV912" s="43"/>
      <c r="BW912" s="43"/>
      <c r="BX912" s="43"/>
      <c r="BY912" s="43"/>
      <c r="BZ912" s="43"/>
      <c r="CA912" s="43"/>
      <c r="CB912" s="43"/>
      <c r="CC912" s="43"/>
      <c r="CD912" s="43"/>
      <c r="CE912" s="43"/>
      <c r="CF912" s="43"/>
      <c r="CG912" s="43"/>
      <c r="CH912" s="43"/>
      <c r="CI912" s="43"/>
      <c r="CJ912" s="43"/>
      <c r="CK912" s="43"/>
      <c r="CL912" s="43"/>
      <c r="CM912" s="43"/>
      <c r="CN912" s="43"/>
      <c r="CO912" s="43"/>
      <c r="CP912" s="43"/>
      <c r="CQ912" s="43"/>
      <c r="CR912" s="43"/>
      <c r="CS912" s="43"/>
      <c r="CT912" s="43"/>
      <c r="CU912" s="43"/>
      <c r="CV912" s="43"/>
      <c r="CW912" s="43"/>
      <c r="CX912" s="43"/>
      <c r="CY912" s="43"/>
      <c r="CZ912" s="43"/>
      <c r="DA912" s="43"/>
      <c r="DB912" s="43"/>
      <c r="DC912" s="43"/>
      <c r="DD912" s="43"/>
      <c r="DE912" s="43"/>
      <c r="DF912" s="43"/>
      <c r="DG912" s="43"/>
      <c r="DH912" s="43"/>
      <c r="DI912" s="43"/>
      <c r="DJ912" s="43"/>
      <c r="DK912" s="43"/>
      <c r="DL912" s="43"/>
      <c r="DM912" s="43"/>
      <c r="DN912" s="43"/>
      <c r="DO912" s="43"/>
      <c r="DP912" s="43"/>
      <c r="DQ912" s="43"/>
      <c r="DR912" s="43"/>
      <c r="DS912" s="43"/>
      <c r="DT912" s="43"/>
      <c r="DU912" s="43"/>
      <c r="DV912" s="43"/>
      <c r="DW912" s="43"/>
      <c r="DX912" s="43"/>
      <c r="DY912" s="43"/>
      <c r="DZ912" s="43"/>
      <c r="EA912" s="43"/>
      <c r="EB912" s="43"/>
      <c r="EC912" s="43"/>
      <c r="ED912" s="43"/>
      <c r="EE912" s="43"/>
      <c r="EF912" s="43"/>
      <c r="EG912" s="43"/>
      <c r="EH912" s="43"/>
      <c r="EI912" s="43"/>
      <c r="EJ912" s="43"/>
      <c r="EK912" s="43"/>
      <c r="EL912" s="43"/>
      <c r="EM912" s="43"/>
      <c r="EN912" s="43"/>
      <c r="EO912" s="43"/>
      <c r="EP912" s="43"/>
      <c r="EQ912" s="43"/>
      <c r="ER912" s="43"/>
      <c r="ES912" s="43"/>
      <c r="ET912" s="43"/>
      <c r="EU912" s="43"/>
      <c r="EV912" s="43"/>
      <c r="EW912" s="43"/>
      <c r="EX912" s="43"/>
      <c r="EY912" s="43"/>
      <c r="EZ912" s="43"/>
      <c r="FA912" s="43"/>
      <c r="FB912" s="43"/>
      <c r="FC912" s="43"/>
      <c r="FD912" s="43"/>
      <c r="FE912" s="43"/>
      <c r="FF912" s="43"/>
      <c r="FG912" s="43"/>
      <c r="FH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c r="BO913" s="43"/>
      <c r="BP913" s="43"/>
      <c r="BQ913" s="43"/>
      <c r="BR913" s="43"/>
      <c r="BS913" s="43"/>
      <c r="BT913" s="43"/>
      <c r="BU913" s="43"/>
      <c r="BV913" s="43"/>
      <c r="BW913" s="43"/>
      <c r="BX913" s="43"/>
      <c r="BY913" s="43"/>
      <c r="BZ913" s="43"/>
      <c r="CA913" s="43"/>
      <c r="CB913" s="43"/>
      <c r="CC913" s="43"/>
      <c r="CD913" s="43"/>
      <c r="CE913" s="43"/>
      <c r="CF913" s="43"/>
      <c r="CG913" s="43"/>
      <c r="CH913" s="43"/>
      <c r="CI913" s="43"/>
      <c r="CJ913" s="43"/>
      <c r="CK913" s="43"/>
      <c r="CL913" s="43"/>
      <c r="CM913" s="43"/>
      <c r="CN913" s="43"/>
      <c r="CO913" s="43"/>
      <c r="CP913" s="43"/>
      <c r="CQ913" s="43"/>
      <c r="CR913" s="43"/>
      <c r="CS913" s="43"/>
      <c r="CT913" s="43"/>
      <c r="CU913" s="43"/>
      <c r="CV913" s="43"/>
      <c r="CW913" s="43"/>
      <c r="CX913" s="43"/>
      <c r="CY913" s="43"/>
      <c r="CZ913" s="43"/>
      <c r="DA913" s="43"/>
      <c r="DB913" s="43"/>
      <c r="DC913" s="43"/>
      <c r="DD913" s="43"/>
      <c r="DE913" s="43"/>
      <c r="DF913" s="43"/>
      <c r="DG913" s="43"/>
      <c r="DH913" s="43"/>
      <c r="DI913" s="43"/>
      <c r="DJ913" s="43"/>
      <c r="DK913" s="43"/>
      <c r="DL913" s="43"/>
      <c r="DM913" s="43"/>
      <c r="DN913" s="43"/>
      <c r="DO913" s="43"/>
      <c r="DP913" s="43"/>
      <c r="DQ913" s="43"/>
      <c r="DR913" s="43"/>
      <c r="DS913" s="43"/>
      <c r="DT913" s="43"/>
      <c r="DU913" s="43"/>
      <c r="DV913" s="43"/>
      <c r="DW913" s="43"/>
      <c r="DX913" s="43"/>
      <c r="DY913" s="43"/>
      <c r="DZ913" s="43"/>
      <c r="EA913" s="43"/>
      <c r="EB913" s="43"/>
      <c r="EC913" s="43"/>
      <c r="ED913" s="43"/>
      <c r="EE913" s="43"/>
      <c r="EF913" s="43"/>
      <c r="EG913" s="43"/>
      <c r="EH913" s="43"/>
      <c r="EI913" s="43"/>
      <c r="EJ913" s="43"/>
      <c r="EK913" s="43"/>
      <c r="EL913" s="43"/>
      <c r="EM913" s="43"/>
      <c r="EN913" s="43"/>
      <c r="EO913" s="43"/>
      <c r="EP913" s="43"/>
      <c r="EQ913" s="43"/>
      <c r="ER913" s="43"/>
      <c r="ES913" s="43"/>
      <c r="ET913" s="43"/>
      <c r="EU913" s="43"/>
      <c r="EV913" s="43"/>
      <c r="EW913" s="43"/>
      <c r="EX913" s="43"/>
      <c r="EY913" s="43"/>
      <c r="EZ913" s="43"/>
      <c r="FA913" s="43"/>
      <c r="FB913" s="43"/>
      <c r="FC913" s="43"/>
      <c r="FD913" s="43"/>
      <c r="FE913" s="43"/>
      <c r="FF913" s="43"/>
      <c r="FG913" s="43"/>
      <c r="FH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c r="BO914" s="43"/>
      <c r="BP914" s="43"/>
      <c r="BQ914" s="43"/>
      <c r="BR914" s="43"/>
      <c r="BS914" s="43"/>
      <c r="BT914" s="43"/>
      <c r="BU914" s="43"/>
      <c r="BV914" s="43"/>
      <c r="BW914" s="43"/>
      <c r="BX914" s="43"/>
      <c r="BY914" s="43"/>
      <c r="BZ914" s="43"/>
      <c r="CA914" s="43"/>
      <c r="CB914" s="43"/>
      <c r="CC914" s="43"/>
      <c r="CD914" s="43"/>
      <c r="CE914" s="43"/>
      <c r="CF914" s="43"/>
      <c r="CG914" s="43"/>
      <c r="CH914" s="43"/>
      <c r="CI914" s="43"/>
      <c r="CJ914" s="43"/>
      <c r="CK914" s="43"/>
      <c r="CL914" s="43"/>
      <c r="CM914" s="43"/>
      <c r="CN914" s="43"/>
      <c r="CO914" s="43"/>
      <c r="CP914" s="43"/>
      <c r="CQ914" s="43"/>
      <c r="CR914" s="43"/>
      <c r="CS914" s="43"/>
      <c r="CT914" s="43"/>
      <c r="CU914" s="43"/>
      <c r="CV914" s="43"/>
      <c r="CW914" s="43"/>
      <c r="CX914" s="43"/>
      <c r="CY914" s="43"/>
      <c r="CZ914" s="43"/>
      <c r="DA914" s="43"/>
      <c r="DB914" s="43"/>
      <c r="DC914" s="43"/>
      <c r="DD914" s="43"/>
      <c r="DE914" s="43"/>
      <c r="DF914" s="43"/>
      <c r="DG914" s="43"/>
      <c r="DH914" s="43"/>
      <c r="DI914" s="43"/>
      <c r="DJ914" s="43"/>
      <c r="DK914" s="43"/>
      <c r="DL914" s="43"/>
      <c r="DM914" s="43"/>
      <c r="DN914" s="43"/>
      <c r="DO914" s="43"/>
      <c r="DP914" s="43"/>
      <c r="DQ914" s="43"/>
      <c r="DR914" s="43"/>
      <c r="DS914" s="43"/>
      <c r="DT914" s="43"/>
      <c r="DU914" s="43"/>
      <c r="DV914" s="43"/>
      <c r="DW914" s="43"/>
      <c r="DX914" s="43"/>
      <c r="DY914" s="43"/>
      <c r="DZ914" s="43"/>
      <c r="EA914" s="43"/>
      <c r="EB914" s="43"/>
      <c r="EC914" s="43"/>
      <c r="ED914" s="43"/>
      <c r="EE914" s="43"/>
      <c r="EF914" s="43"/>
      <c r="EG914" s="43"/>
      <c r="EH914" s="43"/>
      <c r="EI914" s="43"/>
      <c r="EJ914" s="43"/>
      <c r="EK914" s="43"/>
      <c r="EL914" s="43"/>
      <c r="EM914" s="43"/>
      <c r="EN914" s="43"/>
      <c r="EO914" s="43"/>
      <c r="EP914" s="43"/>
      <c r="EQ914" s="43"/>
      <c r="ER914" s="43"/>
      <c r="ES914" s="43"/>
      <c r="ET914" s="43"/>
      <c r="EU914" s="43"/>
      <c r="EV914" s="43"/>
      <c r="EW914" s="43"/>
      <c r="EX914" s="43"/>
      <c r="EY914" s="43"/>
      <c r="EZ914" s="43"/>
      <c r="FA914" s="43"/>
      <c r="FB914" s="43"/>
      <c r="FC914" s="43"/>
      <c r="FD914" s="43"/>
      <c r="FE914" s="43"/>
      <c r="FF914" s="43"/>
      <c r="FG914" s="43"/>
      <c r="FH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s="43"/>
      <c r="BM915" s="43"/>
      <c r="BN915" s="43"/>
      <c r="BO915" s="43"/>
      <c r="BP915" s="43"/>
      <c r="BQ915" s="43"/>
      <c r="BR915" s="43"/>
      <c r="BS915" s="43"/>
      <c r="BT915" s="43"/>
      <c r="BU915" s="43"/>
      <c r="BV915" s="43"/>
      <c r="BW915" s="43"/>
      <c r="BX915" s="43"/>
      <c r="BY915" s="43"/>
      <c r="BZ915" s="43"/>
      <c r="CA915" s="43"/>
      <c r="CB915" s="43"/>
      <c r="CC915" s="43"/>
      <c r="CD915" s="43"/>
      <c r="CE915" s="43"/>
      <c r="CF915" s="43"/>
      <c r="CG915" s="43"/>
      <c r="CH915" s="43"/>
      <c r="CI915" s="43"/>
      <c r="CJ915" s="43"/>
      <c r="CK915" s="43"/>
      <c r="CL915" s="43"/>
      <c r="CM915" s="43"/>
      <c r="CN915" s="43"/>
      <c r="CO915" s="43"/>
      <c r="CP915" s="43"/>
      <c r="CQ915" s="43"/>
      <c r="CR915" s="43"/>
      <c r="CS915" s="43"/>
      <c r="CT915" s="43"/>
      <c r="CU915" s="43"/>
      <c r="CV915" s="43"/>
      <c r="CW915" s="43"/>
      <c r="CX915" s="43"/>
      <c r="CY915" s="43"/>
      <c r="CZ915" s="43"/>
      <c r="DA915" s="43"/>
      <c r="DB915" s="43"/>
      <c r="DC915" s="43"/>
      <c r="DD915" s="43"/>
      <c r="DE915" s="43"/>
      <c r="DF915" s="43"/>
      <c r="DG915" s="43"/>
      <c r="DH915" s="43"/>
      <c r="DI915" s="43"/>
      <c r="DJ915" s="43"/>
      <c r="DK915" s="43"/>
      <c r="DL915" s="43"/>
      <c r="DM915" s="43"/>
      <c r="DN915" s="43"/>
      <c r="DO915" s="43"/>
      <c r="DP915" s="43"/>
      <c r="DQ915" s="43"/>
      <c r="DR915" s="43"/>
      <c r="DS915" s="43"/>
      <c r="DT915" s="43"/>
      <c r="DU915" s="43"/>
      <c r="DV915" s="43"/>
      <c r="DW915" s="43"/>
      <c r="DX915" s="43"/>
      <c r="DY915" s="43"/>
      <c r="DZ915" s="43"/>
      <c r="EA915" s="43"/>
      <c r="EB915" s="43"/>
      <c r="EC915" s="43"/>
      <c r="ED915" s="43"/>
      <c r="EE915" s="43"/>
      <c r="EF915" s="43"/>
      <c r="EG915" s="43"/>
      <c r="EH915" s="43"/>
      <c r="EI915" s="43"/>
      <c r="EJ915" s="43"/>
      <c r="EK915" s="43"/>
      <c r="EL915" s="43"/>
      <c r="EM915" s="43"/>
      <c r="EN915" s="43"/>
      <c r="EO915" s="43"/>
      <c r="EP915" s="43"/>
      <c r="EQ915" s="43"/>
      <c r="ER915" s="43"/>
      <c r="ES915" s="43"/>
      <c r="ET915" s="43"/>
      <c r="EU915" s="43"/>
      <c r="EV915" s="43"/>
      <c r="EW915" s="43"/>
      <c r="EX915" s="43"/>
      <c r="EY915" s="43"/>
      <c r="EZ915" s="43"/>
      <c r="FA915" s="43"/>
      <c r="FB915" s="43"/>
      <c r="FC915" s="43"/>
      <c r="FD915" s="43"/>
      <c r="FE915" s="43"/>
      <c r="FF915" s="43"/>
      <c r="FG915" s="43"/>
      <c r="FH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c r="BO916" s="43"/>
      <c r="BP916" s="43"/>
      <c r="BQ916" s="43"/>
      <c r="BR916" s="43"/>
      <c r="BS916" s="43"/>
      <c r="BT916" s="43"/>
      <c r="BU916" s="43"/>
      <c r="BV916" s="43"/>
      <c r="BW916" s="43"/>
      <c r="BX916" s="43"/>
      <c r="BY916" s="43"/>
      <c r="BZ916" s="43"/>
      <c r="CA916" s="43"/>
      <c r="CB916" s="43"/>
      <c r="CC916" s="43"/>
      <c r="CD916" s="43"/>
      <c r="CE916" s="43"/>
      <c r="CF916" s="43"/>
      <c r="CG916" s="43"/>
      <c r="CH916" s="43"/>
      <c r="CI916" s="43"/>
      <c r="CJ916" s="43"/>
      <c r="CK916" s="43"/>
      <c r="CL916" s="43"/>
      <c r="CM916" s="43"/>
      <c r="CN916" s="43"/>
      <c r="CO916" s="43"/>
      <c r="CP916" s="43"/>
      <c r="CQ916" s="43"/>
      <c r="CR916" s="43"/>
      <c r="CS916" s="43"/>
      <c r="CT916" s="43"/>
      <c r="CU916" s="43"/>
      <c r="CV916" s="43"/>
      <c r="CW916" s="43"/>
      <c r="CX916" s="43"/>
      <c r="CY916" s="43"/>
      <c r="CZ916" s="43"/>
      <c r="DA916" s="43"/>
      <c r="DB916" s="43"/>
      <c r="DC916" s="43"/>
      <c r="DD916" s="43"/>
      <c r="DE916" s="43"/>
      <c r="DF916" s="43"/>
      <c r="DG916" s="43"/>
      <c r="DH916" s="43"/>
      <c r="DI916" s="43"/>
      <c r="DJ916" s="43"/>
      <c r="DK916" s="43"/>
      <c r="DL916" s="43"/>
      <c r="DM916" s="43"/>
      <c r="DN916" s="43"/>
      <c r="DO916" s="43"/>
      <c r="DP916" s="43"/>
      <c r="DQ916" s="43"/>
      <c r="DR916" s="43"/>
      <c r="DS916" s="43"/>
      <c r="DT916" s="43"/>
      <c r="DU916" s="43"/>
      <c r="DV916" s="43"/>
      <c r="DW916" s="43"/>
      <c r="DX916" s="43"/>
      <c r="DY916" s="43"/>
      <c r="DZ916" s="43"/>
      <c r="EA916" s="43"/>
      <c r="EB916" s="43"/>
      <c r="EC916" s="43"/>
      <c r="ED916" s="43"/>
      <c r="EE916" s="43"/>
      <c r="EF916" s="43"/>
      <c r="EG916" s="43"/>
      <c r="EH916" s="43"/>
      <c r="EI916" s="43"/>
      <c r="EJ916" s="43"/>
      <c r="EK916" s="43"/>
      <c r="EL916" s="43"/>
      <c r="EM916" s="43"/>
      <c r="EN916" s="43"/>
      <c r="EO916" s="43"/>
      <c r="EP916" s="43"/>
      <c r="EQ916" s="43"/>
      <c r="ER916" s="43"/>
      <c r="ES916" s="43"/>
      <c r="ET916" s="43"/>
      <c r="EU916" s="43"/>
      <c r="EV916" s="43"/>
      <c r="EW916" s="43"/>
      <c r="EX916" s="43"/>
      <c r="EY916" s="43"/>
      <c r="EZ916" s="43"/>
      <c r="FA916" s="43"/>
      <c r="FB916" s="43"/>
      <c r="FC916" s="43"/>
      <c r="FD916" s="43"/>
      <c r="FE916" s="43"/>
      <c r="FF916" s="43"/>
      <c r="FG916" s="43"/>
      <c r="FH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c r="BO917" s="43"/>
      <c r="BP917" s="43"/>
      <c r="BQ917" s="43"/>
      <c r="BR917" s="43"/>
      <c r="BS917" s="43"/>
      <c r="BT917" s="43"/>
      <c r="BU917" s="43"/>
      <c r="BV917" s="43"/>
      <c r="BW917" s="43"/>
      <c r="BX917" s="43"/>
      <c r="BY917" s="43"/>
      <c r="BZ917" s="43"/>
      <c r="CA917" s="43"/>
      <c r="CB917" s="43"/>
      <c r="CC917" s="43"/>
      <c r="CD917" s="43"/>
      <c r="CE917" s="43"/>
      <c r="CF917" s="43"/>
      <c r="CG917" s="43"/>
      <c r="CH917" s="43"/>
      <c r="CI917" s="43"/>
      <c r="CJ917" s="43"/>
      <c r="CK917" s="43"/>
      <c r="CL917" s="43"/>
      <c r="CM917" s="43"/>
      <c r="CN917" s="43"/>
      <c r="CO917" s="43"/>
      <c r="CP917" s="43"/>
      <c r="CQ917" s="43"/>
      <c r="CR917" s="43"/>
      <c r="CS917" s="43"/>
      <c r="CT917" s="43"/>
      <c r="CU917" s="43"/>
      <c r="CV917" s="43"/>
      <c r="CW917" s="43"/>
      <c r="CX917" s="43"/>
      <c r="CY917" s="43"/>
      <c r="CZ917" s="43"/>
      <c r="DA917" s="43"/>
      <c r="DB917" s="43"/>
      <c r="DC917" s="43"/>
      <c r="DD917" s="43"/>
      <c r="DE917" s="43"/>
      <c r="DF917" s="43"/>
      <c r="DG917" s="43"/>
      <c r="DH917" s="43"/>
      <c r="DI917" s="43"/>
      <c r="DJ917" s="43"/>
      <c r="DK917" s="43"/>
      <c r="DL917" s="43"/>
      <c r="DM917" s="43"/>
      <c r="DN917" s="43"/>
      <c r="DO917" s="43"/>
      <c r="DP917" s="43"/>
      <c r="DQ917" s="43"/>
      <c r="DR917" s="43"/>
      <c r="DS917" s="43"/>
      <c r="DT917" s="43"/>
      <c r="DU917" s="43"/>
      <c r="DV917" s="43"/>
      <c r="DW917" s="43"/>
      <c r="DX917" s="43"/>
      <c r="DY917" s="43"/>
      <c r="DZ917" s="43"/>
      <c r="EA917" s="43"/>
      <c r="EB917" s="43"/>
      <c r="EC917" s="43"/>
      <c r="ED917" s="43"/>
      <c r="EE917" s="43"/>
      <c r="EF917" s="43"/>
      <c r="EG917" s="43"/>
      <c r="EH917" s="43"/>
      <c r="EI917" s="43"/>
      <c r="EJ917" s="43"/>
      <c r="EK917" s="43"/>
      <c r="EL917" s="43"/>
      <c r="EM917" s="43"/>
      <c r="EN917" s="43"/>
      <c r="EO917" s="43"/>
      <c r="EP917" s="43"/>
      <c r="EQ917" s="43"/>
      <c r="ER917" s="43"/>
      <c r="ES917" s="43"/>
      <c r="ET917" s="43"/>
      <c r="EU917" s="43"/>
      <c r="EV917" s="43"/>
      <c r="EW917" s="43"/>
      <c r="EX917" s="43"/>
      <c r="EY917" s="43"/>
      <c r="EZ917" s="43"/>
      <c r="FA917" s="43"/>
      <c r="FB917" s="43"/>
      <c r="FC917" s="43"/>
      <c r="FD917" s="43"/>
      <c r="FE917" s="43"/>
      <c r="FF917" s="43"/>
      <c r="FG917" s="43"/>
      <c r="FH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c r="BO918" s="43"/>
      <c r="BP918" s="43"/>
      <c r="BQ918" s="43"/>
      <c r="BR918" s="43"/>
      <c r="BS918" s="43"/>
      <c r="BT918" s="43"/>
      <c r="BU918" s="43"/>
      <c r="BV918" s="43"/>
      <c r="BW918" s="43"/>
      <c r="BX918" s="43"/>
      <c r="BY918" s="43"/>
      <c r="BZ918" s="43"/>
      <c r="CA918" s="43"/>
      <c r="CB918" s="43"/>
      <c r="CC918" s="43"/>
      <c r="CD918" s="43"/>
      <c r="CE918" s="43"/>
      <c r="CF918" s="43"/>
      <c r="CG918" s="43"/>
      <c r="CH918" s="43"/>
      <c r="CI918" s="43"/>
      <c r="CJ918" s="43"/>
      <c r="CK918" s="43"/>
      <c r="CL918" s="43"/>
      <c r="CM918" s="43"/>
      <c r="CN918" s="43"/>
      <c r="CO918" s="43"/>
      <c r="CP918" s="43"/>
      <c r="CQ918" s="43"/>
      <c r="CR918" s="43"/>
      <c r="CS918" s="43"/>
      <c r="CT918" s="43"/>
      <c r="CU918" s="43"/>
      <c r="CV918" s="43"/>
      <c r="CW918" s="43"/>
      <c r="CX918" s="43"/>
      <c r="CY918" s="43"/>
      <c r="CZ918" s="43"/>
      <c r="DA918" s="43"/>
      <c r="DB918" s="43"/>
      <c r="DC918" s="43"/>
      <c r="DD918" s="43"/>
      <c r="DE918" s="43"/>
      <c r="DF918" s="43"/>
      <c r="DG918" s="43"/>
      <c r="DH918" s="43"/>
      <c r="DI918" s="43"/>
      <c r="DJ918" s="43"/>
      <c r="DK918" s="43"/>
      <c r="DL918" s="43"/>
      <c r="DM918" s="43"/>
      <c r="DN918" s="43"/>
      <c r="DO918" s="43"/>
      <c r="DP918" s="43"/>
      <c r="DQ918" s="43"/>
      <c r="DR918" s="43"/>
      <c r="DS918" s="43"/>
      <c r="DT918" s="43"/>
      <c r="DU918" s="43"/>
      <c r="DV918" s="43"/>
      <c r="DW918" s="43"/>
      <c r="DX918" s="43"/>
      <c r="DY918" s="43"/>
      <c r="DZ918" s="43"/>
      <c r="EA918" s="43"/>
      <c r="EB918" s="43"/>
      <c r="EC918" s="43"/>
      <c r="ED918" s="43"/>
      <c r="EE918" s="43"/>
      <c r="EF918" s="43"/>
      <c r="EG918" s="43"/>
      <c r="EH918" s="43"/>
      <c r="EI918" s="43"/>
      <c r="EJ918" s="43"/>
      <c r="EK918" s="43"/>
      <c r="EL918" s="43"/>
      <c r="EM918" s="43"/>
      <c r="EN918" s="43"/>
      <c r="EO918" s="43"/>
      <c r="EP918" s="43"/>
      <c r="EQ918" s="43"/>
      <c r="ER918" s="43"/>
      <c r="ES918" s="43"/>
      <c r="ET918" s="43"/>
      <c r="EU918" s="43"/>
      <c r="EV918" s="43"/>
      <c r="EW918" s="43"/>
      <c r="EX918" s="43"/>
      <c r="EY918" s="43"/>
      <c r="EZ918" s="43"/>
      <c r="FA918" s="43"/>
      <c r="FB918" s="43"/>
      <c r="FC918" s="43"/>
      <c r="FD918" s="43"/>
      <c r="FE918" s="43"/>
      <c r="FF918" s="43"/>
      <c r="FG918" s="43"/>
      <c r="FH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c r="BO919" s="43"/>
      <c r="BP919" s="43"/>
      <c r="BQ919" s="43"/>
      <c r="BR919" s="43"/>
      <c r="BS919" s="43"/>
      <c r="BT919" s="43"/>
      <c r="BU919" s="43"/>
      <c r="BV919" s="43"/>
      <c r="BW919" s="43"/>
      <c r="BX919" s="43"/>
      <c r="BY919" s="43"/>
      <c r="BZ919" s="43"/>
      <c r="CA919" s="43"/>
      <c r="CB919" s="43"/>
      <c r="CC919" s="43"/>
      <c r="CD919" s="43"/>
      <c r="CE919" s="43"/>
      <c r="CF919" s="43"/>
      <c r="CG919" s="43"/>
      <c r="CH919" s="43"/>
      <c r="CI919" s="43"/>
      <c r="CJ919" s="43"/>
      <c r="CK919" s="43"/>
      <c r="CL919" s="43"/>
      <c r="CM919" s="43"/>
      <c r="CN919" s="43"/>
      <c r="CO919" s="43"/>
      <c r="CP919" s="43"/>
      <c r="CQ919" s="43"/>
      <c r="CR919" s="43"/>
      <c r="CS919" s="43"/>
      <c r="CT919" s="43"/>
      <c r="CU919" s="43"/>
      <c r="CV919" s="43"/>
      <c r="CW919" s="43"/>
      <c r="CX919" s="43"/>
      <c r="CY919" s="43"/>
      <c r="CZ919" s="43"/>
      <c r="DA919" s="43"/>
      <c r="DB919" s="43"/>
      <c r="DC919" s="43"/>
      <c r="DD919" s="43"/>
      <c r="DE919" s="43"/>
      <c r="DF919" s="43"/>
      <c r="DG919" s="43"/>
      <c r="DH919" s="43"/>
      <c r="DI919" s="43"/>
      <c r="DJ919" s="43"/>
      <c r="DK919" s="43"/>
      <c r="DL919" s="43"/>
      <c r="DM919" s="43"/>
      <c r="DN919" s="43"/>
      <c r="DO919" s="43"/>
      <c r="DP919" s="43"/>
      <c r="DQ919" s="43"/>
      <c r="DR919" s="43"/>
      <c r="DS919" s="43"/>
      <c r="DT919" s="43"/>
      <c r="DU919" s="43"/>
      <c r="DV919" s="43"/>
      <c r="DW919" s="43"/>
      <c r="DX919" s="43"/>
      <c r="DY919" s="43"/>
      <c r="DZ919" s="43"/>
      <c r="EA919" s="43"/>
      <c r="EB919" s="43"/>
      <c r="EC919" s="43"/>
      <c r="ED919" s="43"/>
      <c r="EE919" s="43"/>
      <c r="EF919" s="43"/>
      <c r="EG919" s="43"/>
      <c r="EH919" s="43"/>
      <c r="EI919" s="43"/>
      <c r="EJ919" s="43"/>
      <c r="EK919" s="43"/>
      <c r="EL919" s="43"/>
      <c r="EM919" s="43"/>
      <c r="EN919" s="43"/>
      <c r="EO919" s="43"/>
      <c r="EP919" s="43"/>
      <c r="EQ919" s="43"/>
      <c r="ER919" s="43"/>
      <c r="ES919" s="43"/>
      <c r="ET919" s="43"/>
      <c r="EU919" s="43"/>
      <c r="EV919" s="43"/>
      <c r="EW919" s="43"/>
      <c r="EX919" s="43"/>
      <c r="EY919" s="43"/>
      <c r="EZ919" s="43"/>
      <c r="FA919" s="43"/>
      <c r="FB919" s="43"/>
      <c r="FC919" s="43"/>
      <c r="FD919" s="43"/>
      <c r="FE919" s="43"/>
      <c r="FF919" s="43"/>
      <c r="FG919" s="43"/>
      <c r="FH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c r="BO920" s="43"/>
      <c r="BP920" s="43"/>
      <c r="BQ920" s="43"/>
      <c r="BR920" s="43"/>
      <c r="BS920" s="43"/>
      <c r="BT920" s="43"/>
      <c r="BU920" s="43"/>
      <c r="BV920" s="43"/>
      <c r="BW920" s="43"/>
      <c r="BX920" s="43"/>
      <c r="BY920" s="43"/>
      <c r="BZ920" s="43"/>
      <c r="CA920" s="43"/>
      <c r="CB920" s="43"/>
      <c r="CC920" s="43"/>
      <c r="CD920" s="43"/>
      <c r="CE920" s="43"/>
      <c r="CF920" s="43"/>
      <c r="CG920" s="43"/>
      <c r="CH920" s="43"/>
      <c r="CI920" s="43"/>
      <c r="CJ920" s="43"/>
      <c r="CK920" s="43"/>
      <c r="CL920" s="43"/>
      <c r="CM920" s="43"/>
      <c r="CN920" s="43"/>
      <c r="CO920" s="43"/>
      <c r="CP920" s="43"/>
      <c r="CQ920" s="43"/>
      <c r="CR920" s="43"/>
      <c r="CS920" s="43"/>
      <c r="CT920" s="43"/>
      <c r="CU920" s="43"/>
      <c r="CV920" s="43"/>
      <c r="CW920" s="43"/>
      <c r="CX920" s="43"/>
      <c r="CY920" s="43"/>
      <c r="CZ920" s="43"/>
      <c r="DA920" s="43"/>
      <c r="DB920" s="43"/>
      <c r="DC920" s="43"/>
      <c r="DD920" s="43"/>
      <c r="DE920" s="43"/>
      <c r="DF920" s="43"/>
      <c r="DG920" s="43"/>
      <c r="DH920" s="43"/>
      <c r="DI920" s="43"/>
      <c r="DJ920" s="43"/>
      <c r="DK920" s="43"/>
      <c r="DL920" s="43"/>
      <c r="DM920" s="43"/>
      <c r="DN920" s="43"/>
      <c r="DO920" s="43"/>
      <c r="DP920" s="43"/>
      <c r="DQ920" s="43"/>
      <c r="DR920" s="43"/>
      <c r="DS920" s="43"/>
      <c r="DT920" s="43"/>
      <c r="DU920" s="43"/>
      <c r="DV920" s="43"/>
      <c r="DW920" s="43"/>
      <c r="DX920" s="43"/>
      <c r="DY920" s="43"/>
      <c r="DZ920" s="43"/>
      <c r="EA920" s="43"/>
      <c r="EB920" s="43"/>
      <c r="EC920" s="43"/>
      <c r="ED920" s="43"/>
      <c r="EE920" s="43"/>
      <c r="EF920" s="43"/>
      <c r="EG920" s="43"/>
      <c r="EH920" s="43"/>
      <c r="EI920" s="43"/>
      <c r="EJ920" s="43"/>
      <c r="EK920" s="43"/>
      <c r="EL920" s="43"/>
      <c r="EM920" s="43"/>
      <c r="EN920" s="43"/>
      <c r="EO920" s="43"/>
      <c r="EP920" s="43"/>
      <c r="EQ920" s="43"/>
      <c r="ER920" s="43"/>
      <c r="ES920" s="43"/>
      <c r="ET920" s="43"/>
      <c r="EU920" s="43"/>
      <c r="EV920" s="43"/>
      <c r="EW920" s="43"/>
      <c r="EX920" s="43"/>
      <c r="EY920" s="43"/>
      <c r="EZ920" s="43"/>
      <c r="FA920" s="43"/>
      <c r="FB920" s="43"/>
      <c r="FC920" s="43"/>
      <c r="FD920" s="43"/>
      <c r="FE920" s="43"/>
      <c r="FF920" s="43"/>
      <c r="FG920" s="43"/>
      <c r="FH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c r="BO921" s="43"/>
      <c r="BP921" s="43"/>
      <c r="BQ921" s="43"/>
      <c r="BR921" s="43"/>
      <c r="BS921" s="43"/>
      <c r="BT921" s="43"/>
      <c r="BU921" s="43"/>
      <c r="BV921" s="43"/>
      <c r="BW921" s="43"/>
      <c r="BX921" s="43"/>
      <c r="BY921" s="43"/>
      <c r="BZ921" s="43"/>
      <c r="CA921" s="43"/>
      <c r="CB921" s="43"/>
      <c r="CC921" s="43"/>
      <c r="CD921" s="43"/>
      <c r="CE921" s="43"/>
      <c r="CF921" s="43"/>
      <c r="CG921" s="43"/>
      <c r="CH921" s="43"/>
      <c r="CI921" s="43"/>
      <c r="CJ921" s="43"/>
      <c r="CK921" s="43"/>
      <c r="CL921" s="43"/>
      <c r="CM921" s="43"/>
      <c r="CN921" s="43"/>
      <c r="CO921" s="43"/>
      <c r="CP921" s="43"/>
      <c r="CQ921" s="43"/>
      <c r="CR921" s="43"/>
      <c r="CS921" s="43"/>
      <c r="CT921" s="43"/>
      <c r="CU921" s="43"/>
      <c r="CV921" s="43"/>
      <c r="CW921" s="43"/>
      <c r="CX921" s="43"/>
      <c r="CY921" s="43"/>
      <c r="CZ921" s="43"/>
      <c r="DA921" s="43"/>
      <c r="DB921" s="43"/>
      <c r="DC921" s="43"/>
      <c r="DD921" s="43"/>
      <c r="DE921" s="43"/>
      <c r="DF921" s="43"/>
      <c r="DG921" s="43"/>
      <c r="DH921" s="43"/>
      <c r="DI921" s="43"/>
      <c r="DJ921" s="43"/>
      <c r="DK921" s="43"/>
      <c r="DL921" s="43"/>
      <c r="DM921" s="43"/>
      <c r="DN921" s="43"/>
      <c r="DO921" s="43"/>
      <c r="DP921" s="43"/>
      <c r="DQ921" s="43"/>
      <c r="DR921" s="43"/>
      <c r="DS921" s="43"/>
      <c r="DT921" s="43"/>
      <c r="DU921" s="43"/>
      <c r="DV921" s="43"/>
      <c r="DW921" s="43"/>
      <c r="DX921" s="43"/>
      <c r="DY921" s="43"/>
      <c r="DZ921" s="43"/>
      <c r="EA921" s="43"/>
      <c r="EB921" s="43"/>
      <c r="EC921" s="43"/>
      <c r="ED921" s="43"/>
      <c r="EE921" s="43"/>
      <c r="EF921" s="43"/>
      <c r="EG921" s="43"/>
      <c r="EH921" s="43"/>
      <c r="EI921" s="43"/>
      <c r="EJ921" s="43"/>
      <c r="EK921" s="43"/>
      <c r="EL921" s="43"/>
      <c r="EM921" s="43"/>
      <c r="EN921" s="43"/>
      <c r="EO921" s="43"/>
      <c r="EP921" s="43"/>
      <c r="EQ921" s="43"/>
      <c r="ER921" s="43"/>
      <c r="ES921" s="43"/>
      <c r="ET921" s="43"/>
      <c r="EU921" s="43"/>
      <c r="EV921" s="43"/>
      <c r="EW921" s="43"/>
      <c r="EX921" s="43"/>
      <c r="EY921" s="43"/>
      <c r="EZ921" s="43"/>
      <c r="FA921" s="43"/>
      <c r="FB921" s="43"/>
      <c r="FC921" s="43"/>
      <c r="FD921" s="43"/>
      <c r="FE921" s="43"/>
      <c r="FF921" s="43"/>
      <c r="FG921" s="43"/>
      <c r="FH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c r="BO922" s="43"/>
      <c r="BP922" s="43"/>
      <c r="BQ922" s="43"/>
      <c r="BR922" s="43"/>
      <c r="BS922" s="43"/>
      <c r="BT922" s="43"/>
      <c r="BU922" s="43"/>
      <c r="BV922" s="43"/>
      <c r="BW922" s="43"/>
      <c r="BX922" s="43"/>
      <c r="BY922" s="43"/>
      <c r="BZ922" s="43"/>
      <c r="CA922" s="43"/>
      <c r="CB922" s="43"/>
      <c r="CC922" s="43"/>
      <c r="CD922" s="43"/>
      <c r="CE922" s="43"/>
      <c r="CF922" s="43"/>
      <c r="CG922" s="43"/>
      <c r="CH922" s="43"/>
      <c r="CI922" s="43"/>
      <c r="CJ922" s="43"/>
      <c r="CK922" s="43"/>
      <c r="CL922" s="43"/>
      <c r="CM922" s="43"/>
      <c r="CN922" s="43"/>
      <c r="CO922" s="43"/>
      <c r="CP922" s="43"/>
      <c r="CQ922" s="43"/>
      <c r="CR922" s="43"/>
      <c r="CS922" s="43"/>
      <c r="CT922" s="43"/>
      <c r="CU922" s="43"/>
      <c r="CV922" s="43"/>
      <c r="CW922" s="43"/>
      <c r="CX922" s="43"/>
      <c r="CY922" s="43"/>
      <c r="CZ922" s="43"/>
      <c r="DA922" s="43"/>
      <c r="DB922" s="43"/>
      <c r="DC922" s="43"/>
      <c r="DD922" s="43"/>
      <c r="DE922" s="43"/>
      <c r="DF922" s="43"/>
      <c r="DG922" s="43"/>
      <c r="DH922" s="43"/>
      <c r="DI922" s="43"/>
      <c r="DJ922" s="43"/>
      <c r="DK922" s="43"/>
      <c r="DL922" s="43"/>
      <c r="DM922" s="43"/>
      <c r="DN922" s="43"/>
      <c r="DO922" s="43"/>
      <c r="DP922" s="43"/>
      <c r="DQ922" s="43"/>
      <c r="DR922" s="43"/>
      <c r="DS922" s="43"/>
      <c r="DT922" s="43"/>
      <c r="DU922" s="43"/>
      <c r="DV922" s="43"/>
      <c r="DW922" s="43"/>
      <c r="DX922" s="43"/>
      <c r="DY922" s="43"/>
      <c r="DZ922" s="43"/>
      <c r="EA922" s="43"/>
      <c r="EB922" s="43"/>
      <c r="EC922" s="43"/>
      <c r="ED922" s="43"/>
      <c r="EE922" s="43"/>
      <c r="EF922" s="43"/>
      <c r="EG922" s="43"/>
      <c r="EH922" s="43"/>
      <c r="EI922" s="43"/>
      <c r="EJ922" s="43"/>
      <c r="EK922" s="43"/>
      <c r="EL922" s="43"/>
      <c r="EM922" s="43"/>
      <c r="EN922" s="43"/>
      <c r="EO922" s="43"/>
      <c r="EP922" s="43"/>
      <c r="EQ922" s="43"/>
      <c r="ER922" s="43"/>
      <c r="ES922" s="43"/>
      <c r="ET922" s="43"/>
      <c r="EU922" s="43"/>
      <c r="EV922" s="43"/>
      <c r="EW922" s="43"/>
      <c r="EX922" s="43"/>
      <c r="EY922" s="43"/>
      <c r="EZ922" s="43"/>
      <c r="FA922" s="43"/>
      <c r="FB922" s="43"/>
      <c r="FC922" s="43"/>
      <c r="FD922" s="43"/>
      <c r="FE922" s="43"/>
      <c r="FF922" s="43"/>
      <c r="FG922" s="43"/>
      <c r="FH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c r="BJ923" s="43"/>
      <c r="BK923" s="43"/>
      <c r="BL923" s="43"/>
      <c r="BM923" s="43"/>
      <c r="BN923" s="43"/>
      <c r="BO923" s="43"/>
      <c r="BP923" s="43"/>
      <c r="BQ923" s="43"/>
      <c r="BR923" s="43"/>
      <c r="BS923" s="43"/>
      <c r="BT923" s="43"/>
      <c r="BU923" s="43"/>
      <c r="BV923" s="43"/>
      <c r="BW923" s="43"/>
      <c r="BX923" s="43"/>
      <c r="BY923" s="43"/>
      <c r="BZ923" s="43"/>
      <c r="CA923" s="43"/>
      <c r="CB923" s="43"/>
      <c r="CC923" s="43"/>
      <c r="CD923" s="43"/>
      <c r="CE923" s="43"/>
      <c r="CF923" s="43"/>
      <c r="CG923" s="43"/>
      <c r="CH923" s="43"/>
      <c r="CI923" s="43"/>
      <c r="CJ923" s="43"/>
      <c r="CK923" s="43"/>
      <c r="CL923" s="43"/>
      <c r="CM923" s="43"/>
      <c r="CN923" s="43"/>
      <c r="CO923" s="43"/>
      <c r="CP923" s="43"/>
      <c r="CQ923" s="43"/>
      <c r="CR923" s="43"/>
      <c r="CS923" s="43"/>
      <c r="CT923" s="43"/>
      <c r="CU923" s="43"/>
      <c r="CV923" s="43"/>
      <c r="CW923" s="43"/>
      <c r="CX923" s="43"/>
      <c r="CY923" s="43"/>
      <c r="CZ923" s="43"/>
      <c r="DA923" s="43"/>
      <c r="DB923" s="43"/>
      <c r="DC923" s="43"/>
      <c r="DD923" s="43"/>
      <c r="DE923" s="43"/>
      <c r="DF923" s="43"/>
      <c r="DG923" s="43"/>
      <c r="DH923" s="43"/>
      <c r="DI923" s="43"/>
      <c r="DJ923" s="43"/>
      <c r="DK923" s="43"/>
      <c r="DL923" s="43"/>
      <c r="DM923" s="43"/>
      <c r="DN923" s="43"/>
      <c r="DO923" s="43"/>
      <c r="DP923" s="43"/>
      <c r="DQ923" s="43"/>
      <c r="DR923" s="43"/>
      <c r="DS923" s="43"/>
      <c r="DT923" s="43"/>
      <c r="DU923" s="43"/>
      <c r="DV923" s="43"/>
      <c r="DW923" s="43"/>
      <c r="DX923" s="43"/>
      <c r="DY923" s="43"/>
      <c r="DZ923" s="43"/>
      <c r="EA923" s="43"/>
      <c r="EB923" s="43"/>
      <c r="EC923" s="43"/>
      <c r="ED923" s="43"/>
      <c r="EE923" s="43"/>
      <c r="EF923" s="43"/>
      <c r="EG923" s="43"/>
      <c r="EH923" s="43"/>
      <c r="EI923" s="43"/>
      <c r="EJ923" s="43"/>
      <c r="EK923" s="43"/>
      <c r="EL923" s="43"/>
      <c r="EM923" s="43"/>
      <c r="EN923" s="43"/>
      <c r="EO923" s="43"/>
      <c r="EP923" s="43"/>
      <c r="EQ923" s="43"/>
      <c r="ER923" s="43"/>
      <c r="ES923" s="43"/>
      <c r="ET923" s="43"/>
      <c r="EU923" s="43"/>
      <c r="EV923" s="43"/>
      <c r="EW923" s="43"/>
      <c r="EX923" s="43"/>
      <c r="EY923" s="43"/>
      <c r="EZ923" s="43"/>
      <c r="FA923" s="43"/>
      <c r="FB923" s="43"/>
      <c r="FC923" s="43"/>
      <c r="FD923" s="43"/>
      <c r="FE923" s="43"/>
      <c r="FF923" s="43"/>
      <c r="FG923" s="43"/>
      <c r="FH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c r="BO924" s="43"/>
      <c r="BP924" s="43"/>
      <c r="BQ924" s="43"/>
      <c r="BR924" s="43"/>
      <c r="BS924" s="43"/>
      <c r="BT924" s="43"/>
      <c r="BU924" s="43"/>
      <c r="BV924" s="43"/>
      <c r="BW924" s="43"/>
      <c r="BX924" s="43"/>
      <c r="BY924" s="43"/>
      <c r="BZ924" s="43"/>
      <c r="CA924" s="43"/>
      <c r="CB924" s="43"/>
      <c r="CC924" s="43"/>
      <c r="CD924" s="43"/>
      <c r="CE924" s="43"/>
      <c r="CF924" s="43"/>
      <c r="CG924" s="43"/>
      <c r="CH924" s="43"/>
      <c r="CI924" s="43"/>
      <c r="CJ924" s="43"/>
      <c r="CK924" s="43"/>
      <c r="CL924" s="43"/>
      <c r="CM924" s="43"/>
      <c r="CN924" s="43"/>
      <c r="CO924" s="43"/>
      <c r="CP924" s="43"/>
      <c r="CQ924" s="43"/>
      <c r="CR924" s="43"/>
      <c r="CS924" s="43"/>
      <c r="CT924" s="43"/>
      <c r="CU924" s="43"/>
      <c r="CV924" s="43"/>
      <c r="CW924" s="43"/>
      <c r="CX924" s="43"/>
      <c r="CY924" s="43"/>
      <c r="CZ924" s="43"/>
      <c r="DA924" s="43"/>
      <c r="DB924" s="43"/>
      <c r="DC924" s="43"/>
      <c r="DD924" s="43"/>
      <c r="DE924" s="43"/>
      <c r="DF924" s="43"/>
      <c r="DG924" s="43"/>
      <c r="DH924" s="43"/>
      <c r="DI924" s="43"/>
      <c r="DJ924" s="43"/>
      <c r="DK924" s="43"/>
      <c r="DL924" s="43"/>
      <c r="DM924" s="43"/>
      <c r="DN924" s="43"/>
      <c r="DO924" s="43"/>
      <c r="DP924" s="43"/>
      <c r="DQ924" s="43"/>
      <c r="DR924" s="43"/>
      <c r="DS924" s="43"/>
      <c r="DT924" s="43"/>
      <c r="DU924" s="43"/>
      <c r="DV924" s="43"/>
      <c r="DW924" s="43"/>
      <c r="DX924" s="43"/>
      <c r="DY924" s="43"/>
      <c r="DZ924" s="43"/>
      <c r="EA924" s="43"/>
      <c r="EB924" s="43"/>
      <c r="EC924" s="43"/>
      <c r="ED924" s="43"/>
      <c r="EE924" s="43"/>
      <c r="EF924" s="43"/>
      <c r="EG924" s="43"/>
      <c r="EH924" s="43"/>
      <c r="EI924" s="43"/>
      <c r="EJ924" s="43"/>
      <c r="EK924" s="43"/>
      <c r="EL924" s="43"/>
      <c r="EM924" s="43"/>
      <c r="EN924" s="43"/>
      <c r="EO924" s="43"/>
      <c r="EP924" s="43"/>
      <c r="EQ924" s="43"/>
      <c r="ER924" s="43"/>
      <c r="ES924" s="43"/>
      <c r="ET924" s="43"/>
      <c r="EU924" s="43"/>
      <c r="EV924" s="43"/>
      <c r="EW924" s="43"/>
      <c r="EX924" s="43"/>
      <c r="EY924" s="43"/>
      <c r="EZ924" s="43"/>
      <c r="FA924" s="43"/>
      <c r="FB924" s="43"/>
      <c r="FC924" s="43"/>
      <c r="FD924" s="43"/>
      <c r="FE924" s="43"/>
      <c r="FF924" s="43"/>
      <c r="FG924" s="43"/>
      <c r="FH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c r="BO925" s="43"/>
      <c r="BP925" s="43"/>
      <c r="BQ925" s="43"/>
      <c r="BR925" s="43"/>
      <c r="BS925" s="43"/>
      <c r="BT925" s="43"/>
      <c r="BU925" s="43"/>
      <c r="BV925" s="43"/>
      <c r="BW925" s="43"/>
      <c r="BX925" s="43"/>
      <c r="BY925" s="43"/>
      <c r="BZ925" s="43"/>
      <c r="CA925" s="43"/>
      <c r="CB925" s="43"/>
      <c r="CC925" s="43"/>
      <c r="CD925" s="43"/>
      <c r="CE925" s="43"/>
      <c r="CF925" s="43"/>
      <c r="CG925" s="43"/>
      <c r="CH925" s="43"/>
      <c r="CI925" s="43"/>
      <c r="CJ925" s="43"/>
      <c r="CK925" s="43"/>
      <c r="CL925" s="43"/>
      <c r="CM925" s="43"/>
      <c r="CN925" s="43"/>
      <c r="CO925" s="43"/>
      <c r="CP925" s="43"/>
      <c r="CQ925" s="43"/>
      <c r="CR925" s="43"/>
      <c r="CS925" s="43"/>
      <c r="CT925" s="43"/>
      <c r="CU925" s="43"/>
      <c r="CV925" s="43"/>
      <c r="CW925" s="43"/>
      <c r="CX925" s="43"/>
      <c r="CY925" s="43"/>
      <c r="CZ925" s="43"/>
      <c r="DA925" s="43"/>
      <c r="DB925" s="43"/>
      <c r="DC925" s="43"/>
      <c r="DD925" s="43"/>
      <c r="DE925" s="43"/>
      <c r="DF925" s="43"/>
      <c r="DG925" s="43"/>
      <c r="DH925" s="43"/>
      <c r="DI925" s="43"/>
      <c r="DJ925" s="43"/>
      <c r="DK925" s="43"/>
      <c r="DL925" s="43"/>
      <c r="DM925" s="43"/>
      <c r="DN925" s="43"/>
      <c r="DO925" s="43"/>
      <c r="DP925" s="43"/>
      <c r="DQ925" s="43"/>
      <c r="DR925" s="43"/>
      <c r="DS925" s="43"/>
      <c r="DT925" s="43"/>
      <c r="DU925" s="43"/>
      <c r="DV925" s="43"/>
      <c r="DW925" s="43"/>
      <c r="DX925" s="43"/>
      <c r="DY925" s="43"/>
      <c r="DZ925" s="43"/>
      <c r="EA925" s="43"/>
      <c r="EB925" s="43"/>
      <c r="EC925" s="43"/>
      <c r="ED925" s="43"/>
      <c r="EE925" s="43"/>
      <c r="EF925" s="43"/>
      <c r="EG925" s="43"/>
      <c r="EH925" s="43"/>
      <c r="EI925" s="43"/>
      <c r="EJ925" s="43"/>
      <c r="EK925" s="43"/>
      <c r="EL925" s="43"/>
      <c r="EM925" s="43"/>
      <c r="EN925" s="43"/>
      <c r="EO925" s="43"/>
      <c r="EP925" s="43"/>
      <c r="EQ925" s="43"/>
      <c r="ER925" s="43"/>
      <c r="ES925" s="43"/>
      <c r="ET925" s="43"/>
      <c r="EU925" s="43"/>
      <c r="EV925" s="43"/>
      <c r="EW925" s="43"/>
      <c r="EX925" s="43"/>
      <c r="EY925" s="43"/>
      <c r="EZ925" s="43"/>
      <c r="FA925" s="43"/>
      <c r="FB925" s="43"/>
      <c r="FC925" s="43"/>
      <c r="FD925" s="43"/>
      <c r="FE925" s="43"/>
      <c r="FF925" s="43"/>
      <c r="FG925" s="43"/>
      <c r="FH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c r="BO926" s="43"/>
      <c r="BP926" s="43"/>
      <c r="BQ926" s="43"/>
      <c r="BR926" s="43"/>
      <c r="BS926" s="43"/>
      <c r="BT926" s="43"/>
      <c r="BU926" s="43"/>
      <c r="BV926" s="43"/>
      <c r="BW926" s="43"/>
      <c r="BX926" s="43"/>
      <c r="BY926" s="43"/>
      <c r="BZ926" s="43"/>
      <c r="CA926" s="43"/>
      <c r="CB926" s="43"/>
      <c r="CC926" s="43"/>
      <c r="CD926" s="43"/>
      <c r="CE926" s="43"/>
      <c r="CF926" s="43"/>
      <c r="CG926" s="43"/>
      <c r="CH926" s="43"/>
      <c r="CI926" s="43"/>
      <c r="CJ926" s="43"/>
      <c r="CK926" s="43"/>
      <c r="CL926" s="43"/>
      <c r="CM926" s="43"/>
      <c r="CN926" s="43"/>
      <c r="CO926" s="43"/>
      <c r="CP926" s="43"/>
      <c r="CQ926" s="43"/>
      <c r="CR926" s="43"/>
      <c r="CS926" s="43"/>
      <c r="CT926" s="43"/>
      <c r="CU926" s="43"/>
      <c r="CV926" s="43"/>
      <c r="CW926" s="43"/>
      <c r="CX926" s="43"/>
      <c r="CY926" s="43"/>
      <c r="CZ926" s="43"/>
      <c r="DA926" s="43"/>
      <c r="DB926" s="43"/>
      <c r="DC926" s="43"/>
      <c r="DD926" s="43"/>
      <c r="DE926" s="43"/>
      <c r="DF926" s="43"/>
      <c r="DG926" s="43"/>
      <c r="DH926" s="43"/>
      <c r="DI926" s="43"/>
      <c r="DJ926" s="43"/>
      <c r="DK926" s="43"/>
      <c r="DL926" s="43"/>
      <c r="DM926" s="43"/>
      <c r="DN926" s="43"/>
      <c r="DO926" s="43"/>
      <c r="DP926" s="43"/>
      <c r="DQ926" s="43"/>
      <c r="DR926" s="43"/>
      <c r="DS926" s="43"/>
      <c r="DT926" s="43"/>
      <c r="DU926" s="43"/>
      <c r="DV926" s="43"/>
      <c r="DW926" s="43"/>
      <c r="DX926" s="43"/>
      <c r="DY926" s="43"/>
      <c r="DZ926" s="43"/>
      <c r="EA926" s="43"/>
      <c r="EB926" s="43"/>
      <c r="EC926" s="43"/>
      <c r="ED926" s="43"/>
      <c r="EE926" s="43"/>
      <c r="EF926" s="43"/>
      <c r="EG926" s="43"/>
      <c r="EH926" s="43"/>
      <c r="EI926" s="43"/>
      <c r="EJ926" s="43"/>
      <c r="EK926" s="43"/>
      <c r="EL926" s="43"/>
      <c r="EM926" s="43"/>
      <c r="EN926" s="43"/>
      <c r="EO926" s="43"/>
      <c r="EP926" s="43"/>
      <c r="EQ926" s="43"/>
      <c r="ER926" s="43"/>
      <c r="ES926" s="43"/>
      <c r="ET926" s="43"/>
      <c r="EU926" s="43"/>
      <c r="EV926" s="43"/>
      <c r="EW926" s="43"/>
      <c r="EX926" s="43"/>
      <c r="EY926" s="43"/>
      <c r="EZ926" s="43"/>
      <c r="FA926" s="43"/>
      <c r="FB926" s="43"/>
      <c r="FC926" s="43"/>
      <c r="FD926" s="43"/>
      <c r="FE926" s="43"/>
      <c r="FF926" s="43"/>
      <c r="FG926" s="43"/>
      <c r="FH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c r="BO927" s="43"/>
      <c r="BP927" s="43"/>
      <c r="BQ927" s="43"/>
      <c r="BR927" s="43"/>
      <c r="BS927" s="43"/>
      <c r="BT927" s="43"/>
      <c r="BU927" s="43"/>
      <c r="BV927" s="43"/>
      <c r="BW927" s="43"/>
      <c r="BX927" s="43"/>
      <c r="BY927" s="43"/>
      <c r="BZ927" s="43"/>
      <c r="CA927" s="43"/>
      <c r="CB927" s="43"/>
      <c r="CC927" s="43"/>
      <c r="CD927" s="43"/>
      <c r="CE927" s="43"/>
      <c r="CF927" s="43"/>
      <c r="CG927" s="43"/>
      <c r="CH927" s="43"/>
      <c r="CI927" s="43"/>
      <c r="CJ927" s="43"/>
      <c r="CK927" s="43"/>
      <c r="CL927" s="43"/>
      <c r="CM927" s="43"/>
      <c r="CN927" s="43"/>
      <c r="CO927" s="43"/>
      <c r="CP927" s="43"/>
      <c r="CQ927" s="43"/>
      <c r="CR927" s="43"/>
      <c r="CS927" s="43"/>
      <c r="CT927" s="43"/>
      <c r="CU927" s="43"/>
      <c r="CV927" s="43"/>
      <c r="CW927" s="43"/>
      <c r="CX927" s="43"/>
      <c r="CY927" s="43"/>
      <c r="CZ927" s="43"/>
      <c r="DA927" s="43"/>
      <c r="DB927" s="43"/>
      <c r="DC927" s="43"/>
      <c r="DD927" s="43"/>
      <c r="DE927" s="43"/>
      <c r="DF927" s="43"/>
      <c r="DG927" s="43"/>
      <c r="DH927" s="43"/>
      <c r="DI927" s="43"/>
      <c r="DJ927" s="43"/>
      <c r="DK927" s="43"/>
      <c r="DL927" s="43"/>
      <c r="DM927" s="43"/>
      <c r="DN927" s="43"/>
      <c r="DO927" s="43"/>
      <c r="DP927" s="43"/>
      <c r="DQ927" s="43"/>
      <c r="DR927" s="43"/>
      <c r="DS927" s="43"/>
      <c r="DT927" s="43"/>
      <c r="DU927" s="43"/>
      <c r="DV927" s="43"/>
      <c r="DW927" s="43"/>
      <c r="DX927" s="43"/>
      <c r="DY927" s="43"/>
      <c r="DZ927" s="43"/>
      <c r="EA927" s="43"/>
      <c r="EB927" s="43"/>
      <c r="EC927" s="43"/>
      <c r="ED927" s="43"/>
      <c r="EE927" s="43"/>
      <c r="EF927" s="43"/>
      <c r="EG927" s="43"/>
      <c r="EH927" s="43"/>
      <c r="EI927" s="43"/>
      <c r="EJ927" s="43"/>
      <c r="EK927" s="43"/>
      <c r="EL927" s="43"/>
      <c r="EM927" s="43"/>
      <c r="EN927" s="43"/>
      <c r="EO927" s="43"/>
      <c r="EP927" s="43"/>
      <c r="EQ927" s="43"/>
      <c r="ER927" s="43"/>
      <c r="ES927" s="43"/>
      <c r="ET927" s="43"/>
      <c r="EU927" s="43"/>
      <c r="EV927" s="43"/>
      <c r="EW927" s="43"/>
      <c r="EX927" s="43"/>
      <c r="EY927" s="43"/>
      <c r="EZ927" s="43"/>
      <c r="FA927" s="43"/>
      <c r="FB927" s="43"/>
      <c r="FC927" s="43"/>
      <c r="FD927" s="43"/>
      <c r="FE927" s="43"/>
      <c r="FF927" s="43"/>
      <c r="FG927" s="43"/>
      <c r="FH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c r="BO928" s="43"/>
      <c r="BP928" s="43"/>
      <c r="BQ928" s="43"/>
      <c r="BR928" s="43"/>
      <c r="BS928" s="43"/>
      <c r="BT928" s="43"/>
      <c r="BU928" s="43"/>
      <c r="BV928" s="43"/>
      <c r="BW928" s="43"/>
      <c r="BX928" s="43"/>
      <c r="BY928" s="43"/>
      <c r="BZ928" s="43"/>
      <c r="CA928" s="43"/>
      <c r="CB928" s="43"/>
      <c r="CC928" s="43"/>
      <c r="CD928" s="43"/>
      <c r="CE928" s="43"/>
      <c r="CF928" s="43"/>
      <c r="CG928" s="43"/>
      <c r="CH928" s="43"/>
      <c r="CI928" s="43"/>
      <c r="CJ928" s="43"/>
      <c r="CK928" s="43"/>
      <c r="CL928" s="43"/>
      <c r="CM928" s="43"/>
      <c r="CN928" s="43"/>
      <c r="CO928" s="43"/>
      <c r="CP928" s="43"/>
      <c r="CQ928" s="43"/>
      <c r="CR928" s="43"/>
      <c r="CS928" s="43"/>
      <c r="CT928" s="43"/>
      <c r="CU928" s="43"/>
      <c r="CV928" s="43"/>
      <c r="CW928" s="43"/>
      <c r="CX928" s="43"/>
      <c r="CY928" s="43"/>
      <c r="CZ928" s="43"/>
      <c r="DA928" s="43"/>
      <c r="DB928" s="43"/>
      <c r="DC928" s="43"/>
      <c r="DD928" s="43"/>
      <c r="DE928" s="43"/>
      <c r="DF928" s="43"/>
      <c r="DG928" s="43"/>
      <c r="DH928" s="43"/>
      <c r="DI928" s="43"/>
      <c r="DJ928" s="43"/>
      <c r="DK928" s="43"/>
      <c r="DL928" s="43"/>
      <c r="DM928" s="43"/>
      <c r="DN928" s="43"/>
      <c r="DO928" s="43"/>
      <c r="DP928" s="43"/>
      <c r="DQ928" s="43"/>
      <c r="DR928" s="43"/>
      <c r="DS928" s="43"/>
      <c r="DT928" s="43"/>
      <c r="DU928" s="43"/>
      <c r="DV928" s="43"/>
      <c r="DW928" s="43"/>
      <c r="DX928" s="43"/>
      <c r="DY928" s="43"/>
      <c r="DZ928" s="43"/>
      <c r="EA928" s="43"/>
      <c r="EB928" s="43"/>
      <c r="EC928" s="43"/>
      <c r="ED928" s="43"/>
      <c r="EE928" s="43"/>
      <c r="EF928" s="43"/>
      <c r="EG928" s="43"/>
      <c r="EH928" s="43"/>
      <c r="EI928" s="43"/>
      <c r="EJ928" s="43"/>
      <c r="EK928" s="43"/>
      <c r="EL928" s="43"/>
      <c r="EM928" s="43"/>
      <c r="EN928" s="43"/>
      <c r="EO928" s="43"/>
      <c r="EP928" s="43"/>
      <c r="EQ928" s="43"/>
      <c r="ER928" s="43"/>
      <c r="ES928" s="43"/>
      <c r="ET928" s="43"/>
      <c r="EU928" s="43"/>
      <c r="EV928" s="43"/>
      <c r="EW928" s="43"/>
      <c r="EX928" s="43"/>
      <c r="EY928" s="43"/>
      <c r="EZ928" s="43"/>
      <c r="FA928" s="43"/>
      <c r="FB928" s="43"/>
      <c r="FC928" s="43"/>
      <c r="FD928" s="43"/>
      <c r="FE928" s="43"/>
      <c r="FF928" s="43"/>
      <c r="FG928" s="43"/>
      <c r="FH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c r="BO929" s="43"/>
      <c r="BP929" s="43"/>
      <c r="BQ929" s="43"/>
      <c r="BR929" s="43"/>
      <c r="BS929" s="43"/>
      <c r="BT929" s="43"/>
      <c r="BU929" s="43"/>
      <c r="BV929" s="43"/>
      <c r="BW929" s="43"/>
      <c r="BX929" s="43"/>
      <c r="BY929" s="43"/>
      <c r="BZ929" s="43"/>
      <c r="CA929" s="43"/>
      <c r="CB929" s="43"/>
      <c r="CC929" s="43"/>
      <c r="CD929" s="43"/>
      <c r="CE929" s="43"/>
      <c r="CF929" s="43"/>
      <c r="CG929" s="43"/>
      <c r="CH929" s="43"/>
      <c r="CI929" s="43"/>
      <c r="CJ929" s="43"/>
      <c r="CK929" s="43"/>
      <c r="CL929" s="43"/>
      <c r="CM929" s="43"/>
      <c r="CN929" s="43"/>
      <c r="CO929" s="43"/>
      <c r="CP929" s="43"/>
      <c r="CQ929" s="43"/>
      <c r="CR929" s="43"/>
      <c r="CS929" s="43"/>
      <c r="CT929" s="43"/>
      <c r="CU929" s="43"/>
      <c r="CV929" s="43"/>
      <c r="CW929" s="43"/>
      <c r="CX929" s="43"/>
      <c r="CY929" s="43"/>
      <c r="CZ929" s="43"/>
      <c r="DA929" s="43"/>
      <c r="DB929" s="43"/>
      <c r="DC929" s="43"/>
      <c r="DD929" s="43"/>
      <c r="DE929" s="43"/>
      <c r="DF929" s="43"/>
      <c r="DG929" s="43"/>
      <c r="DH929" s="43"/>
      <c r="DI929" s="43"/>
      <c r="DJ929" s="43"/>
      <c r="DK929" s="43"/>
      <c r="DL929" s="43"/>
      <c r="DM929" s="43"/>
      <c r="DN929" s="43"/>
      <c r="DO929" s="43"/>
      <c r="DP929" s="43"/>
      <c r="DQ929" s="43"/>
      <c r="DR929" s="43"/>
      <c r="DS929" s="43"/>
      <c r="DT929" s="43"/>
      <c r="DU929" s="43"/>
      <c r="DV929" s="43"/>
      <c r="DW929" s="43"/>
      <c r="DX929" s="43"/>
      <c r="DY929" s="43"/>
      <c r="DZ929" s="43"/>
      <c r="EA929" s="43"/>
      <c r="EB929" s="43"/>
      <c r="EC929" s="43"/>
      <c r="ED929" s="43"/>
      <c r="EE929" s="43"/>
      <c r="EF929" s="43"/>
      <c r="EG929" s="43"/>
      <c r="EH929" s="43"/>
      <c r="EI929" s="43"/>
      <c r="EJ929" s="43"/>
      <c r="EK929" s="43"/>
      <c r="EL929" s="43"/>
      <c r="EM929" s="43"/>
      <c r="EN929" s="43"/>
      <c r="EO929" s="43"/>
      <c r="EP929" s="43"/>
      <c r="EQ929" s="43"/>
      <c r="ER929" s="43"/>
      <c r="ES929" s="43"/>
      <c r="ET929" s="43"/>
      <c r="EU929" s="43"/>
      <c r="EV929" s="43"/>
      <c r="EW929" s="43"/>
      <c r="EX929" s="43"/>
      <c r="EY929" s="43"/>
      <c r="EZ929" s="43"/>
      <c r="FA929" s="43"/>
      <c r="FB929" s="43"/>
      <c r="FC929" s="43"/>
      <c r="FD929" s="43"/>
      <c r="FE929" s="43"/>
      <c r="FF929" s="43"/>
      <c r="FG929" s="43"/>
      <c r="FH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c r="BO930" s="43"/>
      <c r="BP930" s="43"/>
      <c r="BQ930" s="43"/>
      <c r="BR930" s="43"/>
      <c r="BS930" s="43"/>
      <c r="BT930" s="43"/>
      <c r="BU930" s="43"/>
      <c r="BV930" s="43"/>
      <c r="BW930" s="43"/>
      <c r="BX930" s="43"/>
      <c r="BY930" s="43"/>
      <c r="BZ930" s="43"/>
      <c r="CA930" s="43"/>
      <c r="CB930" s="43"/>
      <c r="CC930" s="43"/>
      <c r="CD930" s="43"/>
      <c r="CE930" s="43"/>
      <c r="CF930" s="43"/>
      <c r="CG930" s="43"/>
      <c r="CH930" s="43"/>
      <c r="CI930" s="43"/>
      <c r="CJ930" s="43"/>
      <c r="CK930" s="43"/>
      <c r="CL930" s="43"/>
      <c r="CM930" s="43"/>
      <c r="CN930" s="43"/>
      <c r="CO930" s="43"/>
      <c r="CP930" s="43"/>
      <c r="CQ930" s="43"/>
      <c r="CR930" s="43"/>
      <c r="CS930" s="43"/>
      <c r="CT930" s="43"/>
      <c r="CU930" s="43"/>
      <c r="CV930" s="43"/>
      <c r="CW930" s="43"/>
      <c r="CX930" s="43"/>
      <c r="CY930" s="43"/>
      <c r="CZ930" s="43"/>
      <c r="DA930" s="43"/>
      <c r="DB930" s="43"/>
      <c r="DC930" s="43"/>
      <c r="DD930" s="43"/>
      <c r="DE930" s="43"/>
      <c r="DF930" s="43"/>
      <c r="DG930" s="43"/>
      <c r="DH930" s="43"/>
      <c r="DI930" s="43"/>
      <c r="DJ930" s="43"/>
      <c r="DK930" s="43"/>
      <c r="DL930" s="43"/>
      <c r="DM930" s="43"/>
      <c r="DN930" s="43"/>
      <c r="DO930" s="43"/>
      <c r="DP930" s="43"/>
      <c r="DQ930" s="43"/>
      <c r="DR930" s="43"/>
      <c r="DS930" s="43"/>
      <c r="DT930" s="43"/>
      <c r="DU930" s="43"/>
      <c r="DV930" s="43"/>
      <c r="DW930" s="43"/>
      <c r="DX930" s="43"/>
      <c r="DY930" s="43"/>
      <c r="DZ930" s="43"/>
      <c r="EA930" s="43"/>
      <c r="EB930" s="43"/>
      <c r="EC930" s="43"/>
      <c r="ED930" s="43"/>
      <c r="EE930" s="43"/>
      <c r="EF930" s="43"/>
      <c r="EG930" s="43"/>
      <c r="EH930" s="43"/>
      <c r="EI930" s="43"/>
      <c r="EJ930" s="43"/>
      <c r="EK930" s="43"/>
      <c r="EL930" s="43"/>
      <c r="EM930" s="43"/>
      <c r="EN930" s="43"/>
      <c r="EO930" s="43"/>
      <c r="EP930" s="43"/>
      <c r="EQ930" s="43"/>
      <c r="ER930" s="43"/>
      <c r="ES930" s="43"/>
      <c r="ET930" s="43"/>
      <c r="EU930" s="43"/>
      <c r="EV930" s="43"/>
      <c r="EW930" s="43"/>
      <c r="EX930" s="43"/>
      <c r="EY930" s="43"/>
      <c r="EZ930" s="43"/>
      <c r="FA930" s="43"/>
      <c r="FB930" s="43"/>
      <c r="FC930" s="43"/>
      <c r="FD930" s="43"/>
      <c r="FE930" s="43"/>
      <c r="FF930" s="43"/>
      <c r="FG930" s="43"/>
      <c r="FH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s="43"/>
      <c r="BM931" s="43"/>
      <c r="BN931" s="43"/>
      <c r="BO931" s="43"/>
      <c r="BP931" s="43"/>
      <c r="BQ931" s="43"/>
      <c r="BR931" s="43"/>
      <c r="BS931" s="43"/>
      <c r="BT931" s="43"/>
      <c r="BU931" s="43"/>
      <c r="BV931" s="43"/>
      <c r="BW931" s="43"/>
      <c r="BX931" s="43"/>
      <c r="BY931" s="43"/>
      <c r="BZ931" s="43"/>
      <c r="CA931" s="43"/>
      <c r="CB931" s="43"/>
      <c r="CC931" s="43"/>
      <c r="CD931" s="43"/>
      <c r="CE931" s="43"/>
      <c r="CF931" s="43"/>
      <c r="CG931" s="43"/>
      <c r="CH931" s="43"/>
      <c r="CI931" s="43"/>
      <c r="CJ931" s="43"/>
      <c r="CK931" s="43"/>
      <c r="CL931" s="43"/>
      <c r="CM931" s="43"/>
      <c r="CN931" s="43"/>
      <c r="CO931" s="43"/>
      <c r="CP931" s="43"/>
      <c r="CQ931" s="43"/>
      <c r="CR931" s="43"/>
      <c r="CS931" s="43"/>
      <c r="CT931" s="43"/>
      <c r="CU931" s="43"/>
      <c r="CV931" s="43"/>
      <c r="CW931" s="43"/>
      <c r="CX931" s="43"/>
      <c r="CY931" s="43"/>
      <c r="CZ931" s="43"/>
      <c r="DA931" s="43"/>
      <c r="DB931" s="43"/>
      <c r="DC931" s="43"/>
      <c r="DD931" s="43"/>
      <c r="DE931" s="43"/>
      <c r="DF931" s="43"/>
      <c r="DG931" s="43"/>
      <c r="DH931" s="43"/>
      <c r="DI931" s="43"/>
      <c r="DJ931" s="43"/>
      <c r="DK931" s="43"/>
      <c r="DL931" s="43"/>
      <c r="DM931" s="43"/>
      <c r="DN931" s="43"/>
      <c r="DO931" s="43"/>
      <c r="DP931" s="43"/>
      <c r="DQ931" s="43"/>
      <c r="DR931" s="43"/>
      <c r="DS931" s="43"/>
      <c r="DT931" s="43"/>
      <c r="DU931" s="43"/>
      <c r="DV931" s="43"/>
      <c r="DW931" s="43"/>
      <c r="DX931" s="43"/>
      <c r="DY931" s="43"/>
      <c r="DZ931" s="43"/>
      <c r="EA931" s="43"/>
      <c r="EB931" s="43"/>
      <c r="EC931" s="43"/>
      <c r="ED931" s="43"/>
      <c r="EE931" s="43"/>
      <c r="EF931" s="43"/>
      <c r="EG931" s="43"/>
      <c r="EH931" s="43"/>
      <c r="EI931" s="43"/>
      <c r="EJ931" s="43"/>
      <c r="EK931" s="43"/>
      <c r="EL931" s="43"/>
      <c r="EM931" s="43"/>
      <c r="EN931" s="43"/>
      <c r="EO931" s="43"/>
      <c r="EP931" s="43"/>
      <c r="EQ931" s="43"/>
      <c r="ER931" s="43"/>
      <c r="ES931" s="43"/>
      <c r="ET931" s="43"/>
      <c r="EU931" s="43"/>
      <c r="EV931" s="43"/>
      <c r="EW931" s="43"/>
      <c r="EX931" s="43"/>
      <c r="EY931" s="43"/>
      <c r="EZ931" s="43"/>
      <c r="FA931" s="43"/>
      <c r="FB931" s="43"/>
      <c r="FC931" s="43"/>
      <c r="FD931" s="43"/>
      <c r="FE931" s="43"/>
      <c r="FF931" s="43"/>
      <c r="FG931" s="43"/>
      <c r="FH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s="43"/>
      <c r="BM932" s="43"/>
      <c r="BN932" s="43"/>
      <c r="BO932" s="43"/>
      <c r="BP932" s="43"/>
      <c r="BQ932" s="43"/>
      <c r="BR932" s="43"/>
      <c r="BS932" s="43"/>
      <c r="BT932" s="43"/>
      <c r="BU932" s="43"/>
      <c r="BV932" s="43"/>
      <c r="BW932" s="43"/>
      <c r="BX932" s="43"/>
      <c r="BY932" s="43"/>
      <c r="BZ932" s="43"/>
      <c r="CA932" s="43"/>
      <c r="CB932" s="43"/>
      <c r="CC932" s="43"/>
      <c r="CD932" s="43"/>
      <c r="CE932" s="43"/>
      <c r="CF932" s="43"/>
      <c r="CG932" s="43"/>
      <c r="CH932" s="43"/>
      <c r="CI932" s="43"/>
      <c r="CJ932" s="43"/>
      <c r="CK932" s="43"/>
      <c r="CL932" s="43"/>
      <c r="CM932" s="43"/>
      <c r="CN932" s="43"/>
      <c r="CO932" s="43"/>
      <c r="CP932" s="43"/>
      <c r="CQ932" s="43"/>
      <c r="CR932" s="43"/>
      <c r="CS932" s="43"/>
      <c r="CT932" s="43"/>
      <c r="CU932" s="43"/>
      <c r="CV932" s="43"/>
      <c r="CW932" s="43"/>
      <c r="CX932" s="43"/>
      <c r="CY932" s="43"/>
      <c r="CZ932" s="43"/>
      <c r="DA932" s="43"/>
      <c r="DB932" s="43"/>
      <c r="DC932" s="43"/>
      <c r="DD932" s="43"/>
      <c r="DE932" s="43"/>
      <c r="DF932" s="43"/>
      <c r="DG932" s="43"/>
      <c r="DH932" s="43"/>
      <c r="DI932" s="43"/>
      <c r="DJ932" s="43"/>
      <c r="DK932" s="43"/>
      <c r="DL932" s="43"/>
      <c r="DM932" s="43"/>
      <c r="DN932" s="43"/>
      <c r="DO932" s="43"/>
      <c r="DP932" s="43"/>
      <c r="DQ932" s="43"/>
      <c r="DR932" s="43"/>
      <c r="DS932" s="43"/>
      <c r="DT932" s="43"/>
      <c r="DU932" s="43"/>
      <c r="DV932" s="43"/>
      <c r="DW932" s="43"/>
      <c r="DX932" s="43"/>
      <c r="DY932" s="43"/>
      <c r="DZ932" s="43"/>
      <c r="EA932" s="43"/>
      <c r="EB932" s="43"/>
      <c r="EC932" s="43"/>
      <c r="ED932" s="43"/>
      <c r="EE932" s="43"/>
      <c r="EF932" s="43"/>
      <c r="EG932" s="43"/>
      <c r="EH932" s="43"/>
      <c r="EI932" s="43"/>
      <c r="EJ932" s="43"/>
      <c r="EK932" s="43"/>
      <c r="EL932" s="43"/>
      <c r="EM932" s="43"/>
      <c r="EN932" s="43"/>
      <c r="EO932" s="43"/>
      <c r="EP932" s="43"/>
      <c r="EQ932" s="43"/>
      <c r="ER932" s="43"/>
      <c r="ES932" s="43"/>
      <c r="ET932" s="43"/>
      <c r="EU932" s="43"/>
      <c r="EV932" s="43"/>
      <c r="EW932" s="43"/>
      <c r="EX932" s="43"/>
      <c r="EY932" s="43"/>
      <c r="EZ932" s="43"/>
      <c r="FA932" s="43"/>
      <c r="FB932" s="43"/>
      <c r="FC932" s="43"/>
      <c r="FD932" s="43"/>
      <c r="FE932" s="43"/>
      <c r="FF932" s="43"/>
      <c r="FG932" s="43"/>
      <c r="FH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s="43"/>
      <c r="BM933" s="43"/>
      <c r="BN933" s="43"/>
      <c r="BO933" s="43"/>
      <c r="BP933" s="43"/>
      <c r="BQ933" s="43"/>
      <c r="BR933" s="43"/>
      <c r="BS933" s="43"/>
      <c r="BT933" s="43"/>
      <c r="BU933" s="43"/>
      <c r="BV933" s="43"/>
      <c r="BW933" s="43"/>
      <c r="BX933" s="43"/>
      <c r="BY933" s="43"/>
      <c r="BZ933" s="43"/>
      <c r="CA933" s="43"/>
      <c r="CB933" s="43"/>
      <c r="CC933" s="43"/>
      <c r="CD933" s="43"/>
      <c r="CE933" s="43"/>
      <c r="CF933" s="43"/>
      <c r="CG933" s="43"/>
      <c r="CH933" s="43"/>
      <c r="CI933" s="43"/>
      <c r="CJ933" s="43"/>
      <c r="CK933" s="43"/>
      <c r="CL933" s="43"/>
      <c r="CM933" s="43"/>
      <c r="CN933" s="43"/>
      <c r="CO933" s="43"/>
      <c r="CP933" s="43"/>
      <c r="CQ933" s="43"/>
      <c r="CR933" s="43"/>
      <c r="CS933" s="43"/>
      <c r="CT933" s="43"/>
      <c r="CU933" s="43"/>
      <c r="CV933" s="43"/>
      <c r="CW933" s="43"/>
      <c r="CX933" s="43"/>
      <c r="CY933" s="43"/>
      <c r="CZ933" s="43"/>
      <c r="DA933" s="43"/>
      <c r="DB933" s="43"/>
      <c r="DC933" s="43"/>
      <c r="DD933" s="43"/>
      <c r="DE933" s="43"/>
      <c r="DF933" s="43"/>
      <c r="DG933" s="43"/>
      <c r="DH933" s="43"/>
      <c r="DI933" s="43"/>
      <c r="DJ933" s="43"/>
      <c r="DK933" s="43"/>
      <c r="DL933" s="43"/>
      <c r="DM933" s="43"/>
      <c r="DN933" s="43"/>
      <c r="DO933" s="43"/>
      <c r="DP933" s="43"/>
      <c r="DQ933" s="43"/>
      <c r="DR933" s="43"/>
      <c r="DS933" s="43"/>
      <c r="DT933" s="43"/>
      <c r="DU933" s="43"/>
      <c r="DV933" s="43"/>
      <c r="DW933" s="43"/>
      <c r="DX933" s="43"/>
      <c r="DY933" s="43"/>
      <c r="DZ933" s="43"/>
      <c r="EA933" s="43"/>
      <c r="EB933" s="43"/>
      <c r="EC933" s="43"/>
      <c r="ED933" s="43"/>
      <c r="EE933" s="43"/>
      <c r="EF933" s="43"/>
      <c r="EG933" s="43"/>
      <c r="EH933" s="43"/>
      <c r="EI933" s="43"/>
      <c r="EJ933" s="43"/>
      <c r="EK933" s="43"/>
      <c r="EL933" s="43"/>
      <c r="EM933" s="43"/>
      <c r="EN933" s="43"/>
      <c r="EO933" s="43"/>
      <c r="EP933" s="43"/>
      <c r="EQ933" s="43"/>
      <c r="ER933" s="43"/>
      <c r="ES933" s="43"/>
      <c r="ET933" s="43"/>
      <c r="EU933" s="43"/>
      <c r="EV933" s="43"/>
      <c r="EW933" s="43"/>
      <c r="EX933" s="43"/>
      <c r="EY933" s="43"/>
      <c r="EZ933" s="43"/>
      <c r="FA933" s="43"/>
      <c r="FB933" s="43"/>
      <c r="FC933" s="43"/>
      <c r="FD933" s="43"/>
      <c r="FE933" s="43"/>
      <c r="FF933" s="43"/>
      <c r="FG933" s="43"/>
      <c r="FH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s="43"/>
      <c r="BM934" s="43"/>
      <c r="BN934" s="43"/>
      <c r="BO934" s="43"/>
      <c r="BP934" s="43"/>
      <c r="BQ934" s="43"/>
      <c r="BR934" s="43"/>
      <c r="BS934" s="43"/>
      <c r="BT934" s="43"/>
      <c r="BU934" s="43"/>
      <c r="BV934" s="43"/>
      <c r="BW934" s="43"/>
      <c r="BX934" s="43"/>
      <c r="BY934" s="43"/>
      <c r="BZ934" s="43"/>
      <c r="CA934" s="43"/>
      <c r="CB934" s="43"/>
      <c r="CC934" s="43"/>
      <c r="CD934" s="43"/>
      <c r="CE934" s="43"/>
      <c r="CF934" s="43"/>
      <c r="CG934" s="43"/>
      <c r="CH934" s="43"/>
      <c r="CI934" s="43"/>
      <c r="CJ934" s="43"/>
      <c r="CK934" s="43"/>
      <c r="CL934" s="43"/>
      <c r="CM934" s="43"/>
      <c r="CN934" s="43"/>
      <c r="CO934" s="43"/>
      <c r="CP934" s="43"/>
      <c r="CQ934" s="43"/>
      <c r="CR934" s="43"/>
      <c r="CS934" s="43"/>
      <c r="CT934" s="43"/>
      <c r="CU934" s="43"/>
      <c r="CV934" s="43"/>
      <c r="CW934" s="43"/>
      <c r="CX934" s="43"/>
      <c r="CY934" s="43"/>
      <c r="CZ934" s="43"/>
      <c r="DA934" s="43"/>
      <c r="DB934" s="43"/>
      <c r="DC934" s="43"/>
      <c r="DD934" s="43"/>
      <c r="DE934" s="43"/>
      <c r="DF934" s="43"/>
      <c r="DG934" s="43"/>
      <c r="DH934" s="43"/>
      <c r="DI934" s="43"/>
      <c r="DJ934" s="43"/>
      <c r="DK934" s="43"/>
      <c r="DL934" s="43"/>
      <c r="DM934" s="43"/>
      <c r="DN934" s="43"/>
      <c r="DO934" s="43"/>
      <c r="DP934" s="43"/>
      <c r="DQ934" s="43"/>
      <c r="DR934" s="43"/>
      <c r="DS934" s="43"/>
      <c r="DT934" s="43"/>
      <c r="DU934" s="43"/>
      <c r="DV934" s="43"/>
      <c r="DW934" s="43"/>
      <c r="DX934" s="43"/>
      <c r="DY934" s="43"/>
      <c r="DZ934" s="43"/>
      <c r="EA934" s="43"/>
      <c r="EB934" s="43"/>
      <c r="EC934" s="43"/>
      <c r="ED934" s="43"/>
      <c r="EE934" s="43"/>
      <c r="EF934" s="43"/>
      <c r="EG934" s="43"/>
      <c r="EH934" s="43"/>
      <c r="EI934" s="43"/>
      <c r="EJ934" s="43"/>
      <c r="EK934" s="43"/>
      <c r="EL934" s="43"/>
      <c r="EM934" s="43"/>
      <c r="EN934" s="43"/>
      <c r="EO934" s="43"/>
      <c r="EP934" s="43"/>
      <c r="EQ934" s="43"/>
      <c r="ER934" s="43"/>
      <c r="ES934" s="43"/>
      <c r="ET934" s="43"/>
      <c r="EU934" s="43"/>
      <c r="EV934" s="43"/>
      <c r="EW934" s="43"/>
      <c r="EX934" s="43"/>
      <c r="EY934" s="43"/>
      <c r="EZ934" s="43"/>
      <c r="FA934" s="43"/>
      <c r="FB934" s="43"/>
      <c r="FC934" s="43"/>
      <c r="FD934" s="43"/>
      <c r="FE934" s="43"/>
      <c r="FF934" s="43"/>
      <c r="FG934" s="43"/>
      <c r="FH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c r="BJ935" s="43"/>
      <c r="BK935" s="43"/>
      <c r="BL935" s="43"/>
      <c r="BM935" s="43"/>
      <c r="BN935" s="43"/>
      <c r="BO935" s="43"/>
      <c r="BP935" s="43"/>
      <c r="BQ935" s="43"/>
      <c r="BR935" s="43"/>
      <c r="BS935" s="43"/>
      <c r="BT935" s="43"/>
      <c r="BU935" s="43"/>
      <c r="BV935" s="43"/>
      <c r="BW935" s="43"/>
      <c r="BX935" s="43"/>
      <c r="BY935" s="43"/>
      <c r="BZ935" s="43"/>
      <c r="CA935" s="43"/>
      <c r="CB935" s="43"/>
      <c r="CC935" s="43"/>
      <c r="CD935" s="43"/>
      <c r="CE935" s="43"/>
      <c r="CF935" s="43"/>
      <c r="CG935" s="43"/>
      <c r="CH935" s="43"/>
      <c r="CI935" s="43"/>
      <c r="CJ935" s="43"/>
      <c r="CK935" s="43"/>
      <c r="CL935" s="43"/>
      <c r="CM935" s="43"/>
      <c r="CN935" s="43"/>
      <c r="CO935" s="43"/>
      <c r="CP935" s="43"/>
      <c r="CQ935" s="43"/>
      <c r="CR935" s="43"/>
      <c r="CS935" s="43"/>
      <c r="CT935" s="43"/>
      <c r="CU935" s="43"/>
      <c r="CV935" s="43"/>
      <c r="CW935" s="43"/>
      <c r="CX935" s="43"/>
      <c r="CY935" s="43"/>
      <c r="CZ935" s="43"/>
      <c r="DA935" s="43"/>
      <c r="DB935" s="43"/>
      <c r="DC935" s="43"/>
      <c r="DD935" s="43"/>
      <c r="DE935" s="43"/>
      <c r="DF935" s="43"/>
      <c r="DG935" s="43"/>
      <c r="DH935" s="43"/>
      <c r="DI935" s="43"/>
      <c r="DJ935" s="43"/>
      <c r="DK935" s="43"/>
      <c r="DL935" s="43"/>
      <c r="DM935" s="43"/>
      <c r="DN935" s="43"/>
      <c r="DO935" s="43"/>
      <c r="DP935" s="43"/>
      <c r="DQ935" s="43"/>
      <c r="DR935" s="43"/>
      <c r="DS935" s="43"/>
      <c r="DT935" s="43"/>
      <c r="DU935" s="43"/>
      <c r="DV935" s="43"/>
      <c r="DW935" s="43"/>
      <c r="DX935" s="43"/>
      <c r="DY935" s="43"/>
      <c r="DZ935" s="43"/>
      <c r="EA935" s="43"/>
      <c r="EB935" s="43"/>
      <c r="EC935" s="43"/>
      <c r="ED935" s="43"/>
      <c r="EE935" s="43"/>
      <c r="EF935" s="43"/>
      <c r="EG935" s="43"/>
      <c r="EH935" s="43"/>
      <c r="EI935" s="43"/>
      <c r="EJ935" s="43"/>
      <c r="EK935" s="43"/>
      <c r="EL935" s="43"/>
      <c r="EM935" s="43"/>
      <c r="EN935" s="43"/>
      <c r="EO935" s="43"/>
      <c r="EP935" s="43"/>
      <c r="EQ935" s="43"/>
      <c r="ER935" s="43"/>
      <c r="ES935" s="43"/>
      <c r="ET935" s="43"/>
      <c r="EU935" s="43"/>
      <c r="EV935" s="43"/>
      <c r="EW935" s="43"/>
      <c r="EX935" s="43"/>
      <c r="EY935" s="43"/>
      <c r="EZ935" s="43"/>
      <c r="FA935" s="43"/>
      <c r="FB935" s="43"/>
      <c r="FC935" s="43"/>
      <c r="FD935" s="43"/>
      <c r="FE935" s="43"/>
      <c r="FF935" s="43"/>
      <c r="FG935" s="43"/>
      <c r="FH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s="43"/>
      <c r="BM936" s="43"/>
      <c r="BN936" s="43"/>
      <c r="BO936" s="43"/>
      <c r="BP936" s="43"/>
      <c r="BQ936" s="43"/>
      <c r="BR936" s="43"/>
      <c r="BS936" s="43"/>
      <c r="BT936" s="43"/>
      <c r="BU936" s="43"/>
      <c r="BV936" s="43"/>
      <c r="BW936" s="43"/>
      <c r="BX936" s="43"/>
      <c r="BY936" s="43"/>
      <c r="BZ936" s="43"/>
      <c r="CA936" s="43"/>
      <c r="CB936" s="43"/>
      <c r="CC936" s="43"/>
      <c r="CD936" s="43"/>
      <c r="CE936" s="43"/>
      <c r="CF936" s="43"/>
      <c r="CG936" s="43"/>
      <c r="CH936" s="43"/>
      <c r="CI936" s="43"/>
      <c r="CJ936" s="43"/>
      <c r="CK936" s="43"/>
      <c r="CL936" s="43"/>
      <c r="CM936" s="43"/>
      <c r="CN936" s="43"/>
      <c r="CO936" s="43"/>
      <c r="CP936" s="43"/>
      <c r="CQ936" s="43"/>
      <c r="CR936" s="43"/>
      <c r="CS936" s="43"/>
      <c r="CT936" s="43"/>
      <c r="CU936" s="43"/>
      <c r="CV936" s="43"/>
      <c r="CW936" s="43"/>
      <c r="CX936" s="43"/>
      <c r="CY936" s="43"/>
      <c r="CZ936" s="43"/>
      <c r="DA936" s="43"/>
      <c r="DB936" s="43"/>
      <c r="DC936" s="43"/>
      <c r="DD936" s="43"/>
      <c r="DE936" s="43"/>
      <c r="DF936" s="43"/>
      <c r="DG936" s="43"/>
      <c r="DH936" s="43"/>
      <c r="DI936" s="43"/>
      <c r="DJ936" s="43"/>
      <c r="DK936" s="43"/>
      <c r="DL936" s="43"/>
      <c r="DM936" s="43"/>
      <c r="DN936" s="43"/>
      <c r="DO936" s="43"/>
      <c r="DP936" s="43"/>
      <c r="DQ936" s="43"/>
      <c r="DR936" s="43"/>
      <c r="DS936" s="43"/>
      <c r="DT936" s="43"/>
      <c r="DU936" s="43"/>
      <c r="DV936" s="43"/>
      <c r="DW936" s="43"/>
      <c r="DX936" s="43"/>
      <c r="DY936" s="43"/>
      <c r="DZ936" s="43"/>
      <c r="EA936" s="43"/>
      <c r="EB936" s="43"/>
      <c r="EC936" s="43"/>
      <c r="ED936" s="43"/>
      <c r="EE936" s="43"/>
      <c r="EF936" s="43"/>
      <c r="EG936" s="43"/>
      <c r="EH936" s="43"/>
      <c r="EI936" s="43"/>
      <c r="EJ936" s="43"/>
      <c r="EK936" s="43"/>
      <c r="EL936" s="43"/>
      <c r="EM936" s="43"/>
      <c r="EN936" s="43"/>
      <c r="EO936" s="43"/>
      <c r="EP936" s="43"/>
      <c r="EQ936" s="43"/>
      <c r="ER936" s="43"/>
      <c r="ES936" s="43"/>
      <c r="ET936" s="43"/>
      <c r="EU936" s="43"/>
      <c r="EV936" s="43"/>
      <c r="EW936" s="43"/>
      <c r="EX936" s="43"/>
      <c r="EY936" s="43"/>
      <c r="EZ936" s="43"/>
      <c r="FA936" s="43"/>
      <c r="FB936" s="43"/>
      <c r="FC936" s="43"/>
      <c r="FD936" s="43"/>
      <c r="FE936" s="43"/>
      <c r="FF936" s="43"/>
      <c r="FG936" s="43"/>
      <c r="FH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s="43"/>
      <c r="BM937" s="43"/>
      <c r="BN937" s="43"/>
      <c r="BO937" s="43"/>
      <c r="BP937" s="43"/>
      <c r="BQ937" s="43"/>
      <c r="BR937" s="43"/>
      <c r="BS937" s="43"/>
      <c r="BT937" s="43"/>
      <c r="BU937" s="43"/>
      <c r="BV937" s="43"/>
      <c r="BW937" s="43"/>
      <c r="BX937" s="43"/>
      <c r="BY937" s="43"/>
      <c r="BZ937" s="43"/>
      <c r="CA937" s="43"/>
      <c r="CB937" s="43"/>
      <c r="CC937" s="43"/>
      <c r="CD937" s="43"/>
      <c r="CE937" s="43"/>
      <c r="CF937" s="43"/>
      <c r="CG937" s="43"/>
      <c r="CH937" s="43"/>
      <c r="CI937" s="43"/>
      <c r="CJ937" s="43"/>
      <c r="CK937" s="43"/>
      <c r="CL937" s="43"/>
      <c r="CM937" s="43"/>
      <c r="CN937" s="43"/>
      <c r="CO937" s="43"/>
      <c r="CP937" s="43"/>
      <c r="CQ937" s="43"/>
      <c r="CR937" s="43"/>
      <c r="CS937" s="43"/>
      <c r="CT937" s="43"/>
      <c r="CU937" s="43"/>
      <c r="CV937" s="43"/>
      <c r="CW937" s="43"/>
      <c r="CX937" s="43"/>
      <c r="CY937" s="43"/>
      <c r="CZ937" s="43"/>
      <c r="DA937" s="43"/>
      <c r="DB937" s="43"/>
      <c r="DC937" s="43"/>
      <c r="DD937" s="43"/>
      <c r="DE937" s="43"/>
      <c r="DF937" s="43"/>
      <c r="DG937" s="43"/>
      <c r="DH937" s="43"/>
      <c r="DI937" s="43"/>
      <c r="DJ937" s="43"/>
      <c r="DK937" s="43"/>
      <c r="DL937" s="43"/>
      <c r="DM937" s="43"/>
      <c r="DN937" s="43"/>
      <c r="DO937" s="43"/>
      <c r="DP937" s="43"/>
      <c r="DQ937" s="43"/>
      <c r="DR937" s="43"/>
      <c r="DS937" s="43"/>
      <c r="DT937" s="43"/>
      <c r="DU937" s="43"/>
      <c r="DV937" s="43"/>
      <c r="DW937" s="43"/>
      <c r="DX937" s="43"/>
      <c r="DY937" s="43"/>
      <c r="DZ937" s="43"/>
      <c r="EA937" s="43"/>
      <c r="EB937" s="43"/>
      <c r="EC937" s="43"/>
      <c r="ED937" s="43"/>
      <c r="EE937" s="43"/>
      <c r="EF937" s="43"/>
      <c r="EG937" s="43"/>
      <c r="EH937" s="43"/>
      <c r="EI937" s="43"/>
      <c r="EJ937" s="43"/>
      <c r="EK937" s="43"/>
      <c r="EL937" s="43"/>
      <c r="EM937" s="43"/>
      <c r="EN937" s="43"/>
      <c r="EO937" s="43"/>
      <c r="EP937" s="43"/>
      <c r="EQ937" s="43"/>
      <c r="ER937" s="43"/>
      <c r="ES937" s="43"/>
      <c r="ET937" s="43"/>
      <c r="EU937" s="43"/>
      <c r="EV937" s="43"/>
      <c r="EW937" s="43"/>
      <c r="EX937" s="43"/>
      <c r="EY937" s="43"/>
      <c r="EZ937" s="43"/>
      <c r="FA937" s="43"/>
      <c r="FB937" s="43"/>
      <c r="FC937" s="43"/>
      <c r="FD937" s="43"/>
      <c r="FE937" s="43"/>
      <c r="FF937" s="43"/>
      <c r="FG937" s="43"/>
      <c r="FH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s="43"/>
      <c r="BM938" s="43"/>
      <c r="BN938" s="43"/>
      <c r="BO938" s="43"/>
      <c r="BP938" s="43"/>
      <c r="BQ938" s="43"/>
      <c r="BR938" s="43"/>
      <c r="BS938" s="43"/>
      <c r="BT938" s="43"/>
      <c r="BU938" s="43"/>
      <c r="BV938" s="43"/>
      <c r="BW938" s="43"/>
      <c r="BX938" s="43"/>
      <c r="BY938" s="43"/>
      <c r="BZ938" s="43"/>
      <c r="CA938" s="43"/>
      <c r="CB938" s="43"/>
      <c r="CC938" s="43"/>
      <c r="CD938" s="43"/>
      <c r="CE938" s="43"/>
      <c r="CF938" s="43"/>
      <c r="CG938" s="43"/>
      <c r="CH938" s="43"/>
      <c r="CI938" s="43"/>
      <c r="CJ938" s="43"/>
      <c r="CK938" s="43"/>
      <c r="CL938" s="43"/>
      <c r="CM938" s="43"/>
      <c r="CN938" s="43"/>
      <c r="CO938" s="43"/>
      <c r="CP938" s="43"/>
      <c r="CQ938" s="43"/>
      <c r="CR938" s="43"/>
      <c r="CS938" s="43"/>
      <c r="CT938" s="43"/>
      <c r="CU938" s="43"/>
      <c r="CV938" s="43"/>
      <c r="CW938" s="43"/>
      <c r="CX938" s="43"/>
      <c r="CY938" s="43"/>
      <c r="CZ938" s="43"/>
      <c r="DA938" s="43"/>
      <c r="DB938" s="43"/>
      <c r="DC938" s="43"/>
      <c r="DD938" s="43"/>
      <c r="DE938" s="43"/>
      <c r="DF938" s="43"/>
      <c r="DG938" s="43"/>
      <c r="DH938" s="43"/>
      <c r="DI938" s="43"/>
      <c r="DJ938" s="43"/>
      <c r="DK938" s="43"/>
      <c r="DL938" s="43"/>
      <c r="DM938" s="43"/>
      <c r="DN938" s="43"/>
      <c r="DO938" s="43"/>
      <c r="DP938" s="43"/>
      <c r="DQ938" s="43"/>
      <c r="DR938" s="43"/>
      <c r="DS938" s="43"/>
      <c r="DT938" s="43"/>
      <c r="DU938" s="43"/>
      <c r="DV938" s="43"/>
      <c r="DW938" s="43"/>
      <c r="DX938" s="43"/>
      <c r="DY938" s="43"/>
      <c r="DZ938" s="43"/>
      <c r="EA938" s="43"/>
      <c r="EB938" s="43"/>
      <c r="EC938" s="43"/>
      <c r="ED938" s="43"/>
      <c r="EE938" s="43"/>
      <c r="EF938" s="43"/>
      <c r="EG938" s="43"/>
      <c r="EH938" s="43"/>
      <c r="EI938" s="43"/>
      <c r="EJ938" s="43"/>
      <c r="EK938" s="43"/>
      <c r="EL938" s="43"/>
      <c r="EM938" s="43"/>
      <c r="EN938" s="43"/>
      <c r="EO938" s="43"/>
      <c r="EP938" s="43"/>
      <c r="EQ938" s="43"/>
      <c r="ER938" s="43"/>
      <c r="ES938" s="43"/>
      <c r="ET938" s="43"/>
      <c r="EU938" s="43"/>
      <c r="EV938" s="43"/>
      <c r="EW938" s="43"/>
      <c r="EX938" s="43"/>
      <c r="EY938" s="43"/>
      <c r="EZ938" s="43"/>
      <c r="FA938" s="43"/>
      <c r="FB938" s="43"/>
      <c r="FC938" s="43"/>
      <c r="FD938" s="43"/>
      <c r="FE938" s="43"/>
      <c r="FF938" s="43"/>
      <c r="FG938" s="43"/>
      <c r="FH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s="43"/>
      <c r="BM939" s="43"/>
      <c r="BN939" s="43"/>
      <c r="BO939" s="43"/>
      <c r="BP939" s="43"/>
      <c r="BQ939" s="43"/>
      <c r="BR939" s="43"/>
      <c r="BS939" s="43"/>
      <c r="BT939" s="43"/>
      <c r="BU939" s="43"/>
      <c r="BV939" s="43"/>
      <c r="BW939" s="43"/>
      <c r="BX939" s="43"/>
      <c r="BY939" s="43"/>
      <c r="BZ939" s="43"/>
      <c r="CA939" s="43"/>
      <c r="CB939" s="43"/>
      <c r="CC939" s="43"/>
      <c r="CD939" s="43"/>
      <c r="CE939" s="43"/>
      <c r="CF939" s="43"/>
      <c r="CG939" s="43"/>
      <c r="CH939" s="43"/>
      <c r="CI939" s="43"/>
      <c r="CJ939" s="43"/>
      <c r="CK939" s="43"/>
      <c r="CL939" s="43"/>
      <c r="CM939" s="43"/>
      <c r="CN939" s="43"/>
      <c r="CO939" s="43"/>
      <c r="CP939" s="43"/>
      <c r="CQ939" s="43"/>
      <c r="CR939" s="43"/>
      <c r="CS939" s="43"/>
      <c r="CT939" s="43"/>
      <c r="CU939" s="43"/>
      <c r="CV939" s="43"/>
      <c r="CW939" s="43"/>
      <c r="CX939" s="43"/>
      <c r="CY939" s="43"/>
      <c r="CZ939" s="43"/>
      <c r="DA939" s="43"/>
      <c r="DB939" s="43"/>
      <c r="DC939" s="43"/>
      <c r="DD939" s="43"/>
      <c r="DE939" s="43"/>
      <c r="DF939" s="43"/>
      <c r="DG939" s="43"/>
      <c r="DH939" s="43"/>
      <c r="DI939" s="43"/>
      <c r="DJ939" s="43"/>
      <c r="DK939" s="43"/>
      <c r="DL939" s="43"/>
      <c r="DM939" s="43"/>
      <c r="DN939" s="43"/>
      <c r="DO939" s="43"/>
      <c r="DP939" s="43"/>
      <c r="DQ939" s="43"/>
      <c r="DR939" s="43"/>
      <c r="DS939" s="43"/>
      <c r="DT939" s="43"/>
      <c r="DU939" s="43"/>
      <c r="DV939" s="43"/>
      <c r="DW939" s="43"/>
      <c r="DX939" s="43"/>
      <c r="DY939" s="43"/>
      <c r="DZ939" s="43"/>
      <c r="EA939" s="43"/>
      <c r="EB939" s="43"/>
      <c r="EC939" s="43"/>
      <c r="ED939" s="43"/>
      <c r="EE939" s="43"/>
      <c r="EF939" s="43"/>
      <c r="EG939" s="43"/>
      <c r="EH939" s="43"/>
      <c r="EI939" s="43"/>
      <c r="EJ939" s="43"/>
      <c r="EK939" s="43"/>
      <c r="EL939" s="43"/>
      <c r="EM939" s="43"/>
      <c r="EN939" s="43"/>
      <c r="EO939" s="43"/>
      <c r="EP939" s="43"/>
      <c r="EQ939" s="43"/>
      <c r="ER939" s="43"/>
      <c r="ES939" s="43"/>
      <c r="ET939" s="43"/>
      <c r="EU939" s="43"/>
      <c r="EV939" s="43"/>
      <c r="EW939" s="43"/>
      <c r="EX939" s="43"/>
      <c r="EY939" s="43"/>
      <c r="EZ939" s="43"/>
      <c r="FA939" s="43"/>
      <c r="FB939" s="43"/>
      <c r="FC939" s="43"/>
      <c r="FD939" s="43"/>
      <c r="FE939" s="43"/>
      <c r="FF939" s="43"/>
      <c r="FG939" s="43"/>
      <c r="FH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s="43"/>
      <c r="BM940" s="43"/>
      <c r="BN940" s="43"/>
      <c r="BO940" s="43"/>
      <c r="BP940" s="43"/>
      <c r="BQ940" s="43"/>
      <c r="BR940" s="43"/>
      <c r="BS940" s="43"/>
      <c r="BT940" s="43"/>
      <c r="BU940" s="43"/>
      <c r="BV940" s="43"/>
      <c r="BW940" s="43"/>
      <c r="BX940" s="43"/>
      <c r="BY940" s="43"/>
      <c r="BZ940" s="43"/>
      <c r="CA940" s="43"/>
      <c r="CB940" s="43"/>
      <c r="CC940" s="43"/>
      <c r="CD940" s="43"/>
      <c r="CE940" s="43"/>
      <c r="CF940" s="43"/>
      <c r="CG940" s="43"/>
      <c r="CH940" s="43"/>
      <c r="CI940" s="43"/>
      <c r="CJ940" s="43"/>
      <c r="CK940" s="43"/>
      <c r="CL940" s="43"/>
      <c r="CM940" s="43"/>
      <c r="CN940" s="43"/>
      <c r="CO940" s="43"/>
      <c r="CP940" s="43"/>
      <c r="CQ940" s="43"/>
      <c r="CR940" s="43"/>
      <c r="CS940" s="43"/>
      <c r="CT940" s="43"/>
      <c r="CU940" s="43"/>
      <c r="CV940" s="43"/>
      <c r="CW940" s="43"/>
      <c r="CX940" s="43"/>
      <c r="CY940" s="43"/>
      <c r="CZ940" s="43"/>
      <c r="DA940" s="43"/>
      <c r="DB940" s="43"/>
      <c r="DC940" s="43"/>
      <c r="DD940" s="43"/>
      <c r="DE940" s="43"/>
      <c r="DF940" s="43"/>
      <c r="DG940" s="43"/>
      <c r="DH940" s="43"/>
      <c r="DI940" s="43"/>
      <c r="DJ940" s="43"/>
      <c r="DK940" s="43"/>
      <c r="DL940" s="43"/>
      <c r="DM940" s="43"/>
      <c r="DN940" s="43"/>
      <c r="DO940" s="43"/>
      <c r="DP940" s="43"/>
      <c r="DQ940" s="43"/>
      <c r="DR940" s="43"/>
      <c r="DS940" s="43"/>
      <c r="DT940" s="43"/>
      <c r="DU940" s="43"/>
      <c r="DV940" s="43"/>
      <c r="DW940" s="43"/>
      <c r="DX940" s="43"/>
      <c r="DY940" s="43"/>
      <c r="DZ940" s="43"/>
      <c r="EA940" s="43"/>
      <c r="EB940" s="43"/>
      <c r="EC940" s="43"/>
      <c r="ED940" s="43"/>
      <c r="EE940" s="43"/>
      <c r="EF940" s="43"/>
      <c r="EG940" s="43"/>
      <c r="EH940" s="43"/>
      <c r="EI940" s="43"/>
      <c r="EJ940" s="43"/>
      <c r="EK940" s="43"/>
      <c r="EL940" s="43"/>
      <c r="EM940" s="43"/>
      <c r="EN940" s="43"/>
      <c r="EO940" s="43"/>
      <c r="EP940" s="43"/>
      <c r="EQ940" s="43"/>
      <c r="ER940" s="43"/>
      <c r="ES940" s="43"/>
      <c r="ET940" s="43"/>
      <c r="EU940" s="43"/>
      <c r="EV940" s="43"/>
      <c r="EW940" s="43"/>
      <c r="EX940" s="43"/>
      <c r="EY940" s="43"/>
      <c r="EZ940" s="43"/>
      <c r="FA940" s="43"/>
      <c r="FB940" s="43"/>
      <c r="FC940" s="43"/>
      <c r="FD940" s="43"/>
      <c r="FE940" s="43"/>
      <c r="FF940" s="43"/>
      <c r="FG940" s="43"/>
      <c r="FH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s="43"/>
      <c r="BM941" s="43"/>
      <c r="BN941" s="43"/>
      <c r="BO941" s="43"/>
      <c r="BP941" s="43"/>
      <c r="BQ941" s="43"/>
      <c r="BR941" s="43"/>
      <c r="BS941" s="43"/>
      <c r="BT941" s="43"/>
      <c r="BU941" s="43"/>
      <c r="BV941" s="43"/>
      <c r="BW941" s="43"/>
      <c r="BX941" s="43"/>
      <c r="BY941" s="43"/>
      <c r="BZ941" s="43"/>
      <c r="CA941" s="43"/>
      <c r="CB941" s="43"/>
      <c r="CC941" s="43"/>
      <c r="CD941" s="43"/>
      <c r="CE941" s="43"/>
      <c r="CF941" s="43"/>
      <c r="CG941" s="43"/>
      <c r="CH941" s="43"/>
      <c r="CI941" s="43"/>
      <c r="CJ941" s="43"/>
      <c r="CK941" s="43"/>
      <c r="CL941" s="43"/>
      <c r="CM941" s="43"/>
      <c r="CN941" s="43"/>
      <c r="CO941" s="43"/>
      <c r="CP941" s="43"/>
      <c r="CQ941" s="43"/>
      <c r="CR941" s="43"/>
      <c r="CS941" s="43"/>
      <c r="CT941" s="43"/>
      <c r="CU941" s="43"/>
      <c r="CV941" s="43"/>
      <c r="CW941" s="43"/>
      <c r="CX941" s="43"/>
      <c r="CY941" s="43"/>
      <c r="CZ941" s="43"/>
      <c r="DA941" s="43"/>
      <c r="DB941" s="43"/>
      <c r="DC941" s="43"/>
      <c r="DD941" s="43"/>
      <c r="DE941" s="43"/>
      <c r="DF941" s="43"/>
      <c r="DG941" s="43"/>
      <c r="DH941" s="43"/>
      <c r="DI941" s="43"/>
      <c r="DJ941" s="43"/>
      <c r="DK941" s="43"/>
      <c r="DL941" s="43"/>
      <c r="DM941" s="43"/>
      <c r="DN941" s="43"/>
      <c r="DO941" s="43"/>
      <c r="DP941" s="43"/>
      <c r="DQ941" s="43"/>
      <c r="DR941" s="43"/>
      <c r="DS941" s="43"/>
      <c r="DT941" s="43"/>
      <c r="DU941" s="43"/>
      <c r="DV941" s="43"/>
      <c r="DW941" s="43"/>
      <c r="DX941" s="43"/>
      <c r="DY941" s="43"/>
      <c r="DZ941" s="43"/>
      <c r="EA941" s="43"/>
      <c r="EB941" s="43"/>
      <c r="EC941" s="43"/>
      <c r="ED941" s="43"/>
      <c r="EE941" s="43"/>
      <c r="EF941" s="43"/>
      <c r="EG941" s="43"/>
      <c r="EH941" s="43"/>
      <c r="EI941" s="43"/>
      <c r="EJ941" s="43"/>
      <c r="EK941" s="43"/>
      <c r="EL941" s="43"/>
      <c r="EM941" s="43"/>
      <c r="EN941" s="43"/>
      <c r="EO941" s="43"/>
      <c r="EP941" s="43"/>
      <c r="EQ941" s="43"/>
      <c r="ER941" s="43"/>
      <c r="ES941" s="43"/>
      <c r="ET941" s="43"/>
      <c r="EU941" s="43"/>
      <c r="EV941" s="43"/>
      <c r="EW941" s="43"/>
      <c r="EX941" s="43"/>
      <c r="EY941" s="43"/>
      <c r="EZ941" s="43"/>
      <c r="FA941" s="43"/>
      <c r="FB941" s="43"/>
      <c r="FC941" s="43"/>
      <c r="FD941" s="43"/>
      <c r="FE941" s="43"/>
      <c r="FF941" s="43"/>
      <c r="FG941" s="43"/>
      <c r="FH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s="43"/>
      <c r="BM942" s="43"/>
      <c r="BN942" s="43"/>
      <c r="BO942" s="43"/>
      <c r="BP942" s="43"/>
      <c r="BQ942" s="43"/>
      <c r="BR942" s="43"/>
      <c r="BS942" s="43"/>
      <c r="BT942" s="43"/>
      <c r="BU942" s="43"/>
      <c r="BV942" s="43"/>
      <c r="BW942" s="43"/>
      <c r="BX942" s="43"/>
      <c r="BY942" s="43"/>
      <c r="BZ942" s="43"/>
      <c r="CA942" s="43"/>
      <c r="CB942" s="43"/>
      <c r="CC942" s="43"/>
      <c r="CD942" s="43"/>
      <c r="CE942" s="43"/>
      <c r="CF942" s="43"/>
      <c r="CG942" s="43"/>
      <c r="CH942" s="43"/>
      <c r="CI942" s="43"/>
      <c r="CJ942" s="43"/>
      <c r="CK942" s="43"/>
      <c r="CL942" s="43"/>
      <c r="CM942" s="43"/>
      <c r="CN942" s="43"/>
      <c r="CO942" s="43"/>
      <c r="CP942" s="43"/>
      <c r="CQ942" s="43"/>
      <c r="CR942" s="43"/>
      <c r="CS942" s="43"/>
      <c r="CT942" s="43"/>
      <c r="CU942" s="43"/>
      <c r="CV942" s="43"/>
      <c r="CW942" s="43"/>
      <c r="CX942" s="43"/>
      <c r="CY942" s="43"/>
      <c r="CZ942" s="43"/>
      <c r="DA942" s="43"/>
      <c r="DB942" s="43"/>
      <c r="DC942" s="43"/>
      <c r="DD942" s="43"/>
      <c r="DE942" s="43"/>
      <c r="DF942" s="43"/>
      <c r="DG942" s="43"/>
      <c r="DH942" s="43"/>
      <c r="DI942" s="43"/>
      <c r="DJ942" s="43"/>
      <c r="DK942" s="43"/>
      <c r="DL942" s="43"/>
      <c r="DM942" s="43"/>
      <c r="DN942" s="43"/>
      <c r="DO942" s="43"/>
      <c r="DP942" s="43"/>
      <c r="DQ942" s="43"/>
      <c r="DR942" s="43"/>
      <c r="DS942" s="43"/>
      <c r="DT942" s="43"/>
      <c r="DU942" s="43"/>
      <c r="DV942" s="43"/>
      <c r="DW942" s="43"/>
      <c r="DX942" s="43"/>
      <c r="DY942" s="43"/>
      <c r="DZ942" s="43"/>
      <c r="EA942" s="43"/>
      <c r="EB942" s="43"/>
      <c r="EC942" s="43"/>
      <c r="ED942" s="43"/>
      <c r="EE942" s="43"/>
      <c r="EF942" s="43"/>
      <c r="EG942" s="43"/>
      <c r="EH942" s="43"/>
      <c r="EI942" s="43"/>
      <c r="EJ942" s="43"/>
      <c r="EK942" s="43"/>
      <c r="EL942" s="43"/>
      <c r="EM942" s="43"/>
      <c r="EN942" s="43"/>
      <c r="EO942" s="43"/>
      <c r="EP942" s="43"/>
      <c r="EQ942" s="43"/>
      <c r="ER942" s="43"/>
      <c r="ES942" s="43"/>
      <c r="ET942" s="43"/>
      <c r="EU942" s="43"/>
      <c r="EV942" s="43"/>
      <c r="EW942" s="43"/>
      <c r="EX942" s="43"/>
      <c r="EY942" s="43"/>
      <c r="EZ942" s="43"/>
      <c r="FA942" s="43"/>
      <c r="FB942" s="43"/>
      <c r="FC942" s="43"/>
      <c r="FD942" s="43"/>
      <c r="FE942" s="43"/>
      <c r="FF942" s="43"/>
      <c r="FG942" s="43"/>
      <c r="FH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s="43"/>
      <c r="BM943" s="43"/>
      <c r="BN943" s="43"/>
      <c r="BO943" s="43"/>
      <c r="BP943" s="43"/>
      <c r="BQ943" s="43"/>
      <c r="BR943" s="43"/>
      <c r="BS943" s="43"/>
      <c r="BT943" s="43"/>
      <c r="BU943" s="43"/>
      <c r="BV943" s="43"/>
      <c r="BW943" s="43"/>
      <c r="BX943" s="43"/>
      <c r="BY943" s="43"/>
      <c r="BZ943" s="43"/>
      <c r="CA943" s="43"/>
      <c r="CB943" s="43"/>
      <c r="CC943" s="43"/>
      <c r="CD943" s="43"/>
      <c r="CE943" s="43"/>
      <c r="CF943" s="43"/>
      <c r="CG943" s="43"/>
      <c r="CH943" s="43"/>
      <c r="CI943" s="43"/>
      <c r="CJ943" s="43"/>
      <c r="CK943" s="43"/>
      <c r="CL943" s="43"/>
      <c r="CM943" s="43"/>
      <c r="CN943" s="43"/>
      <c r="CO943" s="43"/>
      <c r="CP943" s="43"/>
      <c r="CQ943" s="43"/>
      <c r="CR943" s="43"/>
      <c r="CS943" s="43"/>
      <c r="CT943" s="43"/>
      <c r="CU943" s="43"/>
      <c r="CV943" s="43"/>
      <c r="CW943" s="43"/>
      <c r="CX943" s="43"/>
      <c r="CY943" s="43"/>
      <c r="CZ943" s="43"/>
      <c r="DA943" s="43"/>
      <c r="DB943" s="43"/>
      <c r="DC943" s="43"/>
      <c r="DD943" s="43"/>
      <c r="DE943" s="43"/>
      <c r="DF943" s="43"/>
      <c r="DG943" s="43"/>
      <c r="DH943" s="43"/>
      <c r="DI943" s="43"/>
      <c r="DJ943" s="43"/>
      <c r="DK943" s="43"/>
      <c r="DL943" s="43"/>
      <c r="DM943" s="43"/>
      <c r="DN943" s="43"/>
      <c r="DO943" s="43"/>
      <c r="DP943" s="43"/>
      <c r="DQ943" s="43"/>
      <c r="DR943" s="43"/>
      <c r="DS943" s="43"/>
      <c r="DT943" s="43"/>
      <c r="DU943" s="43"/>
      <c r="DV943" s="43"/>
      <c r="DW943" s="43"/>
      <c r="DX943" s="43"/>
      <c r="DY943" s="43"/>
      <c r="DZ943" s="43"/>
      <c r="EA943" s="43"/>
      <c r="EB943" s="43"/>
      <c r="EC943" s="43"/>
      <c r="ED943" s="43"/>
      <c r="EE943" s="43"/>
      <c r="EF943" s="43"/>
      <c r="EG943" s="43"/>
      <c r="EH943" s="43"/>
      <c r="EI943" s="43"/>
      <c r="EJ943" s="43"/>
      <c r="EK943" s="43"/>
      <c r="EL943" s="43"/>
      <c r="EM943" s="43"/>
      <c r="EN943" s="43"/>
      <c r="EO943" s="43"/>
      <c r="EP943" s="43"/>
      <c r="EQ943" s="43"/>
      <c r="ER943" s="43"/>
      <c r="ES943" s="43"/>
      <c r="ET943" s="43"/>
      <c r="EU943" s="43"/>
      <c r="EV943" s="43"/>
      <c r="EW943" s="43"/>
      <c r="EX943" s="43"/>
      <c r="EY943" s="43"/>
      <c r="EZ943" s="43"/>
      <c r="FA943" s="43"/>
      <c r="FB943" s="43"/>
      <c r="FC943" s="43"/>
      <c r="FD943" s="43"/>
      <c r="FE943" s="43"/>
      <c r="FF943" s="43"/>
      <c r="FG943" s="43"/>
      <c r="FH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s="43"/>
      <c r="BM944" s="43"/>
      <c r="BN944" s="43"/>
      <c r="BO944" s="43"/>
      <c r="BP944" s="43"/>
      <c r="BQ944" s="43"/>
      <c r="BR944" s="43"/>
      <c r="BS944" s="43"/>
      <c r="BT944" s="43"/>
      <c r="BU944" s="43"/>
      <c r="BV944" s="43"/>
      <c r="BW944" s="43"/>
      <c r="BX944" s="43"/>
      <c r="BY944" s="43"/>
      <c r="BZ944" s="43"/>
      <c r="CA944" s="43"/>
      <c r="CB944" s="43"/>
      <c r="CC944" s="43"/>
      <c r="CD944" s="43"/>
      <c r="CE944" s="43"/>
      <c r="CF944" s="43"/>
      <c r="CG944" s="43"/>
      <c r="CH944" s="43"/>
      <c r="CI944" s="43"/>
      <c r="CJ944" s="43"/>
      <c r="CK944" s="43"/>
      <c r="CL944" s="43"/>
      <c r="CM944" s="43"/>
      <c r="CN944" s="43"/>
      <c r="CO944" s="43"/>
      <c r="CP944" s="43"/>
      <c r="CQ944" s="43"/>
      <c r="CR944" s="43"/>
      <c r="CS944" s="43"/>
      <c r="CT944" s="43"/>
      <c r="CU944" s="43"/>
      <c r="CV944" s="43"/>
      <c r="CW944" s="43"/>
      <c r="CX944" s="43"/>
      <c r="CY944" s="43"/>
      <c r="CZ944" s="43"/>
      <c r="DA944" s="43"/>
      <c r="DB944" s="43"/>
      <c r="DC944" s="43"/>
      <c r="DD944" s="43"/>
      <c r="DE944" s="43"/>
      <c r="DF944" s="43"/>
      <c r="DG944" s="43"/>
      <c r="DH944" s="43"/>
      <c r="DI944" s="43"/>
      <c r="DJ944" s="43"/>
      <c r="DK944" s="43"/>
      <c r="DL944" s="43"/>
      <c r="DM944" s="43"/>
      <c r="DN944" s="43"/>
      <c r="DO944" s="43"/>
      <c r="DP944" s="43"/>
      <c r="DQ944" s="43"/>
      <c r="DR944" s="43"/>
      <c r="DS944" s="43"/>
      <c r="DT944" s="43"/>
      <c r="DU944" s="43"/>
      <c r="DV944" s="43"/>
      <c r="DW944" s="43"/>
      <c r="DX944" s="43"/>
      <c r="DY944" s="43"/>
      <c r="DZ944" s="43"/>
      <c r="EA944" s="43"/>
      <c r="EB944" s="43"/>
      <c r="EC944" s="43"/>
      <c r="ED944" s="43"/>
      <c r="EE944" s="43"/>
      <c r="EF944" s="43"/>
      <c r="EG944" s="43"/>
      <c r="EH944" s="43"/>
      <c r="EI944" s="43"/>
      <c r="EJ944" s="43"/>
      <c r="EK944" s="43"/>
      <c r="EL944" s="43"/>
      <c r="EM944" s="43"/>
      <c r="EN944" s="43"/>
      <c r="EO944" s="43"/>
      <c r="EP944" s="43"/>
      <c r="EQ944" s="43"/>
      <c r="ER944" s="43"/>
      <c r="ES944" s="43"/>
      <c r="ET944" s="43"/>
      <c r="EU944" s="43"/>
      <c r="EV944" s="43"/>
      <c r="EW944" s="43"/>
      <c r="EX944" s="43"/>
      <c r="EY944" s="43"/>
      <c r="EZ944" s="43"/>
      <c r="FA944" s="43"/>
      <c r="FB944" s="43"/>
      <c r="FC944" s="43"/>
      <c r="FD944" s="43"/>
      <c r="FE944" s="43"/>
      <c r="FF944" s="43"/>
      <c r="FG944" s="43"/>
      <c r="FH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s="43"/>
      <c r="BM945" s="43"/>
      <c r="BN945" s="43"/>
      <c r="BO945" s="43"/>
      <c r="BP945" s="43"/>
      <c r="BQ945" s="43"/>
      <c r="BR945" s="43"/>
      <c r="BS945" s="43"/>
      <c r="BT945" s="43"/>
      <c r="BU945" s="43"/>
      <c r="BV945" s="43"/>
      <c r="BW945" s="43"/>
      <c r="BX945" s="43"/>
      <c r="BY945" s="43"/>
      <c r="BZ945" s="43"/>
      <c r="CA945" s="43"/>
      <c r="CB945" s="43"/>
      <c r="CC945" s="43"/>
      <c r="CD945" s="43"/>
      <c r="CE945" s="43"/>
      <c r="CF945" s="43"/>
      <c r="CG945" s="43"/>
      <c r="CH945" s="43"/>
      <c r="CI945" s="43"/>
      <c r="CJ945" s="43"/>
      <c r="CK945" s="43"/>
      <c r="CL945" s="43"/>
      <c r="CM945" s="43"/>
      <c r="CN945" s="43"/>
      <c r="CO945" s="43"/>
      <c r="CP945" s="43"/>
      <c r="CQ945" s="43"/>
      <c r="CR945" s="43"/>
      <c r="CS945" s="43"/>
      <c r="CT945" s="43"/>
      <c r="CU945" s="43"/>
      <c r="CV945" s="43"/>
      <c r="CW945" s="43"/>
      <c r="CX945" s="43"/>
      <c r="CY945" s="43"/>
      <c r="CZ945" s="43"/>
      <c r="DA945" s="43"/>
      <c r="DB945" s="43"/>
      <c r="DC945" s="43"/>
      <c r="DD945" s="43"/>
      <c r="DE945" s="43"/>
      <c r="DF945" s="43"/>
      <c r="DG945" s="43"/>
      <c r="DH945" s="43"/>
      <c r="DI945" s="43"/>
      <c r="DJ945" s="43"/>
      <c r="DK945" s="43"/>
      <c r="DL945" s="43"/>
      <c r="DM945" s="43"/>
      <c r="DN945" s="43"/>
      <c r="DO945" s="43"/>
      <c r="DP945" s="43"/>
      <c r="DQ945" s="43"/>
      <c r="DR945" s="43"/>
      <c r="DS945" s="43"/>
      <c r="DT945" s="43"/>
      <c r="DU945" s="43"/>
      <c r="DV945" s="43"/>
      <c r="DW945" s="43"/>
      <c r="DX945" s="43"/>
      <c r="DY945" s="43"/>
      <c r="DZ945" s="43"/>
      <c r="EA945" s="43"/>
      <c r="EB945" s="43"/>
      <c r="EC945" s="43"/>
      <c r="ED945" s="43"/>
      <c r="EE945" s="43"/>
      <c r="EF945" s="43"/>
      <c r="EG945" s="43"/>
      <c r="EH945" s="43"/>
      <c r="EI945" s="43"/>
      <c r="EJ945" s="43"/>
      <c r="EK945" s="43"/>
      <c r="EL945" s="43"/>
      <c r="EM945" s="43"/>
      <c r="EN945" s="43"/>
      <c r="EO945" s="43"/>
      <c r="EP945" s="43"/>
      <c r="EQ945" s="43"/>
      <c r="ER945" s="43"/>
      <c r="ES945" s="43"/>
      <c r="ET945" s="43"/>
      <c r="EU945" s="43"/>
      <c r="EV945" s="43"/>
      <c r="EW945" s="43"/>
      <c r="EX945" s="43"/>
      <c r="EY945" s="43"/>
      <c r="EZ945" s="43"/>
      <c r="FA945" s="43"/>
      <c r="FB945" s="43"/>
      <c r="FC945" s="43"/>
      <c r="FD945" s="43"/>
      <c r="FE945" s="43"/>
      <c r="FF945" s="43"/>
      <c r="FG945" s="43"/>
      <c r="FH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s="43"/>
      <c r="BM946" s="43"/>
      <c r="BN946" s="43"/>
      <c r="BO946" s="43"/>
      <c r="BP946" s="43"/>
      <c r="BQ946" s="43"/>
      <c r="BR946" s="43"/>
      <c r="BS946" s="43"/>
      <c r="BT946" s="43"/>
      <c r="BU946" s="43"/>
      <c r="BV946" s="43"/>
      <c r="BW946" s="43"/>
      <c r="BX946" s="43"/>
      <c r="BY946" s="43"/>
      <c r="BZ946" s="43"/>
      <c r="CA946" s="43"/>
      <c r="CB946" s="43"/>
      <c r="CC946" s="43"/>
      <c r="CD946" s="43"/>
      <c r="CE946" s="43"/>
      <c r="CF946" s="43"/>
      <c r="CG946" s="43"/>
      <c r="CH946" s="43"/>
      <c r="CI946" s="43"/>
      <c r="CJ946" s="43"/>
      <c r="CK946" s="43"/>
      <c r="CL946" s="43"/>
      <c r="CM946" s="43"/>
      <c r="CN946" s="43"/>
      <c r="CO946" s="43"/>
      <c r="CP946" s="43"/>
      <c r="CQ946" s="43"/>
      <c r="CR946" s="43"/>
      <c r="CS946" s="43"/>
      <c r="CT946" s="43"/>
      <c r="CU946" s="43"/>
      <c r="CV946" s="43"/>
      <c r="CW946" s="43"/>
      <c r="CX946" s="43"/>
      <c r="CY946" s="43"/>
      <c r="CZ946" s="43"/>
      <c r="DA946" s="43"/>
      <c r="DB946" s="43"/>
      <c r="DC946" s="43"/>
      <c r="DD946" s="43"/>
      <c r="DE946" s="43"/>
      <c r="DF946" s="43"/>
      <c r="DG946" s="43"/>
      <c r="DH946" s="43"/>
      <c r="DI946" s="43"/>
      <c r="DJ946" s="43"/>
      <c r="DK946" s="43"/>
      <c r="DL946" s="43"/>
      <c r="DM946" s="43"/>
      <c r="DN946" s="43"/>
      <c r="DO946" s="43"/>
      <c r="DP946" s="43"/>
      <c r="DQ946" s="43"/>
      <c r="DR946" s="43"/>
      <c r="DS946" s="43"/>
      <c r="DT946" s="43"/>
      <c r="DU946" s="43"/>
      <c r="DV946" s="43"/>
      <c r="DW946" s="43"/>
      <c r="DX946" s="43"/>
      <c r="DY946" s="43"/>
      <c r="DZ946" s="43"/>
      <c r="EA946" s="43"/>
      <c r="EB946" s="43"/>
      <c r="EC946" s="43"/>
      <c r="ED946" s="43"/>
      <c r="EE946" s="43"/>
      <c r="EF946" s="43"/>
      <c r="EG946" s="43"/>
      <c r="EH946" s="43"/>
      <c r="EI946" s="43"/>
      <c r="EJ946" s="43"/>
      <c r="EK946" s="43"/>
      <c r="EL946" s="43"/>
      <c r="EM946" s="43"/>
      <c r="EN946" s="43"/>
      <c r="EO946" s="43"/>
      <c r="EP946" s="43"/>
      <c r="EQ946" s="43"/>
      <c r="ER946" s="43"/>
      <c r="ES946" s="43"/>
      <c r="ET946" s="43"/>
      <c r="EU946" s="43"/>
      <c r="EV946" s="43"/>
      <c r="EW946" s="43"/>
      <c r="EX946" s="43"/>
      <c r="EY946" s="43"/>
      <c r="EZ946" s="43"/>
      <c r="FA946" s="43"/>
      <c r="FB946" s="43"/>
      <c r="FC946" s="43"/>
      <c r="FD946" s="43"/>
      <c r="FE946" s="43"/>
      <c r="FF946" s="43"/>
      <c r="FG946" s="43"/>
      <c r="FH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s="43"/>
      <c r="BM947" s="43"/>
      <c r="BN947" s="43"/>
      <c r="BO947" s="43"/>
      <c r="BP947" s="43"/>
      <c r="BQ947" s="43"/>
      <c r="BR947" s="43"/>
      <c r="BS947" s="43"/>
      <c r="BT947" s="43"/>
      <c r="BU947" s="43"/>
      <c r="BV947" s="43"/>
      <c r="BW947" s="43"/>
      <c r="BX947" s="43"/>
      <c r="BY947" s="43"/>
      <c r="BZ947" s="43"/>
      <c r="CA947" s="43"/>
      <c r="CB947" s="43"/>
      <c r="CC947" s="43"/>
      <c r="CD947" s="43"/>
      <c r="CE947" s="43"/>
      <c r="CF947" s="43"/>
      <c r="CG947" s="43"/>
      <c r="CH947" s="43"/>
      <c r="CI947" s="43"/>
      <c r="CJ947" s="43"/>
      <c r="CK947" s="43"/>
      <c r="CL947" s="43"/>
      <c r="CM947" s="43"/>
      <c r="CN947" s="43"/>
      <c r="CO947" s="43"/>
      <c r="CP947" s="43"/>
      <c r="CQ947" s="43"/>
      <c r="CR947" s="43"/>
      <c r="CS947" s="43"/>
      <c r="CT947" s="43"/>
      <c r="CU947" s="43"/>
      <c r="CV947" s="43"/>
      <c r="CW947" s="43"/>
      <c r="CX947" s="43"/>
      <c r="CY947" s="43"/>
      <c r="CZ947" s="43"/>
      <c r="DA947" s="43"/>
      <c r="DB947" s="43"/>
      <c r="DC947" s="43"/>
      <c r="DD947" s="43"/>
      <c r="DE947" s="43"/>
      <c r="DF947" s="43"/>
      <c r="DG947" s="43"/>
      <c r="DH947" s="43"/>
      <c r="DI947" s="43"/>
      <c r="DJ947" s="43"/>
      <c r="DK947" s="43"/>
      <c r="DL947" s="43"/>
      <c r="DM947" s="43"/>
      <c r="DN947" s="43"/>
      <c r="DO947" s="43"/>
      <c r="DP947" s="43"/>
      <c r="DQ947" s="43"/>
      <c r="DR947" s="43"/>
      <c r="DS947" s="43"/>
      <c r="DT947" s="43"/>
      <c r="DU947" s="43"/>
      <c r="DV947" s="43"/>
      <c r="DW947" s="43"/>
      <c r="DX947" s="43"/>
      <c r="DY947" s="43"/>
      <c r="DZ947" s="43"/>
      <c r="EA947" s="43"/>
      <c r="EB947" s="43"/>
      <c r="EC947" s="43"/>
      <c r="ED947" s="43"/>
      <c r="EE947" s="43"/>
      <c r="EF947" s="43"/>
      <c r="EG947" s="43"/>
      <c r="EH947" s="43"/>
      <c r="EI947" s="43"/>
      <c r="EJ947" s="43"/>
      <c r="EK947" s="43"/>
      <c r="EL947" s="43"/>
      <c r="EM947" s="43"/>
      <c r="EN947" s="43"/>
      <c r="EO947" s="43"/>
      <c r="EP947" s="43"/>
      <c r="EQ947" s="43"/>
      <c r="ER947" s="43"/>
      <c r="ES947" s="43"/>
      <c r="ET947" s="43"/>
      <c r="EU947" s="43"/>
      <c r="EV947" s="43"/>
      <c r="EW947" s="43"/>
      <c r="EX947" s="43"/>
      <c r="EY947" s="43"/>
      <c r="EZ947" s="43"/>
      <c r="FA947" s="43"/>
      <c r="FB947" s="43"/>
      <c r="FC947" s="43"/>
      <c r="FD947" s="43"/>
      <c r="FE947" s="43"/>
      <c r="FF947" s="43"/>
      <c r="FG947" s="43"/>
      <c r="FH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c r="BK948" s="43"/>
      <c r="BL948" s="43"/>
      <c r="BM948" s="43"/>
      <c r="BN948" s="43"/>
      <c r="BO948" s="43"/>
      <c r="BP948" s="43"/>
      <c r="BQ948" s="43"/>
      <c r="BR948" s="43"/>
      <c r="BS948" s="43"/>
      <c r="BT948" s="43"/>
      <c r="BU948" s="43"/>
      <c r="BV948" s="43"/>
      <c r="BW948" s="43"/>
      <c r="BX948" s="43"/>
      <c r="BY948" s="43"/>
      <c r="BZ948" s="43"/>
      <c r="CA948" s="43"/>
      <c r="CB948" s="43"/>
      <c r="CC948" s="43"/>
      <c r="CD948" s="43"/>
      <c r="CE948" s="43"/>
      <c r="CF948" s="43"/>
      <c r="CG948" s="43"/>
      <c r="CH948" s="43"/>
      <c r="CI948" s="43"/>
      <c r="CJ948" s="43"/>
      <c r="CK948" s="43"/>
      <c r="CL948" s="43"/>
      <c r="CM948" s="43"/>
      <c r="CN948" s="43"/>
      <c r="CO948" s="43"/>
      <c r="CP948" s="43"/>
      <c r="CQ948" s="43"/>
      <c r="CR948" s="43"/>
      <c r="CS948" s="43"/>
      <c r="CT948" s="43"/>
      <c r="CU948" s="43"/>
      <c r="CV948" s="43"/>
      <c r="CW948" s="43"/>
      <c r="CX948" s="43"/>
      <c r="CY948" s="43"/>
      <c r="CZ948" s="43"/>
      <c r="DA948" s="43"/>
      <c r="DB948" s="43"/>
      <c r="DC948" s="43"/>
      <c r="DD948" s="43"/>
      <c r="DE948" s="43"/>
      <c r="DF948" s="43"/>
      <c r="DG948" s="43"/>
      <c r="DH948" s="43"/>
      <c r="DI948" s="43"/>
      <c r="DJ948" s="43"/>
      <c r="DK948" s="43"/>
      <c r="DL948" s="43"/>
      <c r="DM948" s="43"/>
      <c r="DN948" s="43"/>
      <c r="DO948" s="43"/>
      <c r="DP948" s="43"/>
      <c r="DQ948" s="43"/>
      <c r="DR948" s="43"/>
      <c r="DS948" s="43"/>
      <c r="DT948" s="43"/>
      <c r="DU948" s="43"/>
      <c r="DV948" s="43"/>
      <c r="DW948" s="43"/>
      <c r="DX948" s="43"/>
      <c r="DY948" s="43"/>
      <c r="DZ948" s="43"/>
      <c r="EA948" s="43"/>
      <c r="EB948" s="43"/>
      <c r="EC948" s="43"/>
      <c r="ED948" s="43"/>
      <c r="EE948" s="43"/>
      <c r="EF948" s="43"/>
      <c r="EG948" s="43"/>
      <c r="EH948" s="43"/>
      <c r="EI948" s="43"/>
      <c r="EJ948" s="43"/>
      <c r="EK948" s="43"/>
      <c r="EL948" s="43"/>
      <c r="EM948" s="43"/>
      <c r="EN948" s="43"/>
      <c r="EO948" s="43"/>
      <c r="EP948" s="43"/>
      <c r="EQ948" s="43"/>
      <c r="ER948" s="43"/>
      <c r="ES948" s="43"/>
      <c r="ET948" s="43"/>
      <c r="EU948" s="43"/>
      <c r="EV948" s="43"/>
      <c r="EW948" s="43"/>
      <c r="EX948" s="43"/>
      <c r="EY948" s="43"/>
      <c r="EZ948" s="43"/>
      <c r="FA948" s="43"/>
      <c r="FB948" s="43"/>
      <c r="FC948" s="43"/>
      <c r="FD948" s="43"/>
      <c r="FE948" s="43"/>
      <c r="FF948" s="43"/>
      <c r="FG948" s="43"/>
      <c r="FH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c r="BJ949" s="43"/>
      <c r="BK949" s="43"/>
      <c r="BL949" s="43"/>
      <c r="BM949" s="43"/>
      <c r="BN949" s="43"/>
      <c r="BO949" s="43"/>
      <c r="BP949" s="43"/>
      <c r="BQ949" s="43"/>
      <c r="BR949" s="43"/>
      <c r="BS949" s="43"/>
      <c r="BT949" s="43"/>
      <c r="BU949" s="43"/>
      <c r="BV949" s="43"/>
      <c r="BW949" s="43"/>
      <c r="BX949" s="43"/>
      <c r="BY949" s="43"/>
      <c r="BZ949" s="43"/>
      <c r="CA949" s="43"/>
      <c r="CB949" s="43"/>
      <c r="CC949" s="43"/>
      <c r="CD949" s="43"/>
      <c r="CE949" s="43"/>
      <c r="CF949" s="43"/>
      <c r="CG949" s="43"/>
      <c r="CH949" s="43"/>
      <c r="CI949" s="43"/>
      <c r="CJ949" s="43"/>
      <c r="CK949" s="43"/>
      <c r="CL949" s="43"/>
      <c r="CM949" s="43"/>
      <c r="CN949" s="43"/>
      <c r="CO949" s="43"/>
      <c r="CP949" s="43"/>
      <c r="CQ949" s="43"/>
      <c r="CR949" s="43"/>
      <c r="CS949" s="43"/>
      <c r="CT949" s="43"/>
      <c r="CU949" s="43"/>
      <c r="CV949" s="43"/>
      <c r="CW949" s="43"/>
      <c r="CX949" s="43"/>
      <c r="CY949" s="43"/>
      <c r="CZ949" s="43"/>
      <c r="DA949" s="43"/>
      <c r="DB949" s="43"/>
      <c r="DC949" s="43"/>
      <c r="DD949" s="43"/>
      <c r="DE949" s="43"/>
      <c r="DF949" s="43"/>
      <c r="DG949" s="43"/>
      <c r="DH949" s="43"/>
      <c r="DI949" s="43"/>
      <c r="DJ949" s="43"/>
      <c r="DK949" s="43"/>
      <c r="DL949" s="43"/>
      <c r="DM949" s="43"/>
      <c r="DN949" s="43"/>
      <c r="DO949" s="43"/>
      <c r="DP949" s="43"/>
      <c r="DQ949" s="43"/>
      <c r="DR949" s="43"/>
      <c r="DS949" s="43"/>
      <c r="DT949" s="43"/>
      <c r="DU949" s="43"/>
      <c r="DV949" s="43"/>
      <c r="DW949" s="43"/>
      <c r="DX949" s="43"/>
      <c r="DY949" s="43"/>
      <c r="DZ949" s="43"/>
      <c r="EA949" s="43"/>
      <c r="EB949" s="43"/>
      <c r="EC949" s="43"/>
      <c r="ED949" s="43"/>
      <c r="EE949" s="43"/>
      <c r="EF949" s="43"/>
      <c r="EG949" s="43"/>
      <c r="EH949" s="43"/>
      <c r="EI949" s="43"/>
      <c r="EJ949" s="43"/>
      <c r="EK949" s="43"/>
      <c r="EL949" s="43"/>
      <c r="EM949" s="43"/>
      <c r="EN949" s="43"/>
      <c r="EO949" s="43"/>
      <c r="EP949" s="43"/>
      <c r="EQ949" s="43"/>
      <c r="ER949" s="43"/>
      <c r="ES949" s="43"/>
      <c r="ET949" s="43"/>
      <c r="EU949" s="43"/>
      <c r="EV949" s="43"/>
      <c r="EW949" s="43"/>
      <c r="EX949" s="43"/>
      <c r="EY949" s="43"/>
      <c r="EZ949" s="43"/>
      <c r="FA949" s="43"/>
      <c r="FB949" s="43"/>
      <c r="FC949" s="43"/>
      <c r="FD949" s="43"/>
      <c r="FE949" s="43"/>
      <c r="FF949" s="43"/>
      <c r="FG949" s="43"/>
      <c r="FH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c r="BJ950" s="43"/>
      <c r="BK950" s="43"/>
      <c r="BL950" s="43"/>
      <c r="BM950" s="43"/>
      <c r="BN950" s="43"/>
      <c r="BO950" s="43"/>
      <c r="BP950" s="43"/>
      <c r="BQ950" s="43"/>
      <c r="BR950" s="43"/>
      <c r="BS950" s="43"/>
      <c r="BT950" s="43"/>
      <c r="BU950" s="43"/>
      <c r="BV950" s="43"/>
      <c r="BW950" s="43"/>
      <c r="BX950" s="43"/>
      <c r="BY950" s="43"/>
      <c r="BZ950" s="43"/>
      <c r="CA950" s="43"/>
      <c r="CB950" s="43"/>
      <c r="CC950" s="43"/>
      <c r="CD950" s="43"/>
      <c r="CE950" s="43"/>
      <c r="CF950" s="43"/>
      <c r="CG950" s="43"/>
      <c r="CH950" s="43"/>
      <c r="CI950" s="43"/>
      <c r="CJ950" s="43"/>
      <c r="CK950" s="43"/>
      <c r="CL950" s="43"/>
      <c r="CM950" s="43"/>
      <c r="CN950" s="43"/>
      <c r="CO950" s="43"/>
      <c r="CP950" s="43"/>
      <c r="CQ950" s="43"/>
      <c r="CR950" s="43"/>
      <c r="CS950" s="43"/>
      <c r="CT950" s="43"/>
      <c r="CU950" s="43"/>
      <c r="CV950" s="43"/>
      <c r="CW950" s="43"/>
      <c r="CX950" s="43"/>
      <c r="CY950" s="43"/>
      <c r="CZ950" s="43"/>
      <c r="DA950" s="43"/>
      <c r="DB950" s="43"/>
      <c r="DC950" s="43"/>
      <c r="DD950" s="43"/>
      <c r="DE950" s="43"/>
      <c r="DF950" s="43"/>
      <c r="DG950" s="43"/>
      <c r="DH950" s="43"/>
      <c r="DI950" s="43"/>
      <c r="DJ950" s="43"/>
      <c r="DK950" s="43"/>
      <c r="DL950" s="43"/>
      <c r="DM950" s="43"/>
      <c r="DN950" s="43"/>
      <c r="DO950" s="43"/>
      <c r="DP950" s="43"/>
      <c r="DQ950" s="43"/>
      <c r="DR950" s="43"/>
      <c r="DS950" s="43"/>
      <c r="DT950" s="43"/>
      <c r="DU950" s="43"/>
      <c r="DV950" s="43"/>
      <c r="DW950" s="43"/>
      <c r="DX950" s="43"/>
      <c r="DY950" s="43"/>
      <c r="DZ950" s="43"/>
      <c r="EA950" s="43"/>
      <c r="EB950" s="43"/>
      <c r="EC950" s="43"/>
      <c r="ED950" s="43"/>
      <c r="EE950" s="43"/>
      <c r="EF950" s="43"/>
      <c r="EG950" s="43"/>
      <c r="EH950" s="43"/>
      <c r="EI950" s="43"/>
      <c r="EJ950" s="43"/>
      <c r="EK950" s="43"/>
      <c r="EL950" s="43"/>
      <c r="EM950" s="43"/>
      <c r="EN950" s="43"/>
      <c r="EO950" s="43"/>
      <c r="EP950" s="43"/>
      <c r="EQ950" s="43"/>
      <c r="ER950" s="43"/>
      <c r="ES950" s="43"/>
      <c r="ET950" s="43"/>
      <c r="EU950" s="43"/>
      <c r="EV950" s="43"/>
      <c r="EW950" s="43"/>
      <c r="EX950" s="43"/>
      <c r="EY950" s="43"/>
      <c r="EZ950" s="43"/>
      <c r="FA950" s="43"/>
      <c r="FB950" s="43"/>
      <c r="FC950" s="43"/>
      <c r="FD950" s="43"/>
      <c r="FE950" s="43"/>
      <c r="FF950" s="43"/>
      <c r="FG950" s="43"/>
      <c r="FH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c r="BJ951" s="43"/>
      <c r="BK951" s="43"/>
      <c r="BL951" s="43"/>
      <c r="BM951" s="43"/>
      <c r="BN951" s="43"/>
      <c r="BO951" s="43"/>
      <c r="BP951" s="43"/>
      <c r="BQ951" s="43"/>
      <c r="BR951" s="43"/>
      <c r="BS951" s="43"/>
      <c r="BT951" s="43"/>
      <c r="BU951" s="43"/>
      <c r="BV951" s="43"/>
      <c r="BW951" s="43"/>
      <c r="BX951" s="43"/>
      <c r="BY951" s="43"/>
      <c r="BZ951" s="43"/>
      <c r="CA951" s="43"/>
      <c r="CB951" s="43"/>
      <c r="CC951" s="43"/>
      <c r="CD951" s="43"/>
      <c r="CE951" s="43"/>
      <c r="CF951" s="43"/>
      <c r="CG951" s="43"/>
      <c r="CH951" s="43"/>
      <c r="CI951" s="43"/>
      <c r="CJ951" s="43"/>
      <c r="CK951" s="43"/>
      <c r="CL951" s="43"/>
      <c r="CM951" s="43"/>
      <c r="CN951" s="43"/>
      <c r="CO951" s="43"/>
      <c r="CP951" s="43"/>
      <c r="CQ951" s="43"/>
      <c r="CR951" s="43"/>
      <c r="CS951" s="43"/>
      <c r="CT951" s="43"/>
      <c r="CU951" s="43"/>
      <c r="CV951" s="43"/>
      <c r="CW951" s="43"/>
      <c r="CX951" s="43"/>
      <c r="CY951" s="43"/>
      <c r="CZ951" s="43"/>
      <c r="DA951" s="43"/>
      <c r="DB951" s="43"/>
      <c r="DC951" s="43"/>
      <c r="DD951" s="43"/>
      <c r="DE951" s="43"/>
      <c r="DF951" s="43"/>
      <c r="DG951" s="43"/>
      <c r="DH951" s="43"/>
      <c r="DI951" s="43"/>
      <c r="DJ951" s="43"/>
      <c r="DK951" s="43"/>
      <c r="DL951" s="43"/>
      <c r="DM951" s="43"/>
      <c r="DN951" s="43"/>
      <c r="DO951" s="43"/>
      <c r="DP951" s="43"/>
      <c r="DQ951" s="43"/>
      <c r="DR951" s="43"/>
      <c r="DS951" s="43"/>
      <c r="DT951" s="43"/>
      <c r="DU951" s="43"/>
      <c r="DV951" s="43"/>
      <c r="DW951" s="43"/>
      <c r="DX951" s="43"/>
      <c r="DY951" s="43"/>
      <c r="DZ951" s="43"/>
      <c r="EA951" s="43"/>
      <c r="EB951" s="43"/>
      <c r="EC951" s="43"/>
      <c r="ED951" s="43"/>
      <c r="EE951" s="43"/>
      <c r="EF951" s="43"/>
      <c r="EG951" s="43"/>
      <c r="EH951" s="43"/>
      <c r="EI951" s="43"/>
      <c r="EJ951" s="43"/>
      <c r="EK951" s="43"/>
      <c r="EL951" s="43"/>
      <c r="EM951" s="43"/>
      <c r="EN951" s="43"/>
      <c r="EO951" s="43"/>
      <c r="EP951" s="43"/>
      <c r="EQ951" s="43"/>
      <c r="ER951" s="43"/>
      <c r="ES951" s="43"/>
      <c r="ET951" s="43"/>
      <c r="EU951" s="43"/>
      <c r="EV951" s="43"/>
      <c r="EW951" s="43"/>
      <c r="EX951" s="43"/>
      <c r="EY951" s="43"/>
      <c r="EZ951" s="43"/>
      <c r="FA951" s="43"/>
      <c r="FB951" s="43"/>
      <c r="FC951" s="43"/>
      <c r="FD951" s="43"/>
      <c r="FE951" s="43"/>
      <c r="FF951" s="43"/>
      <c r="FG951" s="43"/>
      <c r="FH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s="43"/>
      <c r="BM952" s="43"/>
      <c r="BN952" s="43"/>
      <c r="BO952" s="43"/>
      <c r="BP952" s="43"/>
      <c r="BQ952" s="43"/>
      <c r="BR952" s="43"/>
      <c r="BS952" s="43"/>
      <c r="BT952" s="43"/>
      <c r="BU952" s="43"/>
      <c r="BV952" s="43"/>
      <c r="BW952" s="43"/>
      <c r="BX952" s="43"/>
      <c r="BY952" s="43"/>
      <c r="BZ952" s="43"/>
      <c r="CA952" s="43"/>
      <c r="CB952" s="43"/>
      <c r="CC952" s="43"/>
      <c r="CD952" s="43"/>
      <c r="CE952" s="43"/>
      <c r="CF952" s="43"/>
      <c r="CG952" s="43"/>
      <c r="CH952" s="43"/>
      <c r="CI952" s="43"/>
      <c r="CJ952" s="43"/>
      <c r="CK952" s="43"/>
      <c r="CL952" s="43"/>
      <c r="CM952" s="43"/>
      <c r="CN952" s="43"/>
      <c r="CO952" s="43"/>
      <c r="CP952" s="43"/>
      <c r="CQ952" s="43"/>
      <c r="CR952" s="43"/>
      <c r="CS952" s="43"/>
      <c r="CT952" s="43"/>
      <c r="CU952" s="43"/>
      <c r="CV952" s="43"/>
      <c r="CW952" s="43"/>
      <c r="CX952" s="43"/>
      <c r="CY952" s="43"/>
      <c r="CZ952" s="43"/>
      <c r="DA952" s="43"/>
      <c r="DB952" s="43"/>
      <c r="DC952" s="43"/>
      <c r="DD952" s="43"/>
      <c r="DE952" s="43"/>
      <c r="DF952" s="43"/>
      <c r="DG952" s="43"/>
      <c r="DH952" s="43"/>
      <c r="DI952" s="43"/>
      <c r="DJ952" s="43"/>
      <c r="DK952" s="43"/>
      <c r="DL952" s="43"/>
      <c r="DM952" s="43"/>
      <c r="DN952" s="43"/>
      <c r="DO952" s="43"/>
      <c r="DP952" s="43"/>
      <c r="DQ952" s="43"/>
      <c r="DR952" s="43"/>
      <c r="DS952" s="43"/>
      <c r="DT952" s="43"/>
      <c r="DU952" s="43"/>
      <c r="DV952" s="43"/>
      <c r="DW952" s="43"/>
      <c r="DX952" s="43"/>
      <c r="DY952" s="43"/>
      <c r="DZ952" s="43"/>
      <c r="EA952" s="43"/>
      <c r="EB952" s="43"/>
      <c r="EC952" s="43"/>
      <c r="ED952" s="43"/>
      <c r="EE952" s="43"/>
      <c r="EF952" s="43"/>
      <c r="EG952" s="43"/>
      <c r="EH952" s="43"/>
      <c r="EI952" s="43"/>
      <c r="EJ952" s="43"/>
      <c r="EK952" s="43"/>
      <c r="EL952" s="43"/>
      <c r="EM952" s="43"/>
      <c r="EN952" s="43"/>
      <c r="EO952" s="43"/>
      <c r="EP952" s="43"/>
      <c r="EQ952" s="43"/>
      <c r="ER952" s="43"/>
      <c r="ES952" s="43"/>
      <c r="ET952" s="43"/>
      <c r="EU952" s="43"/>
      <c r="EV952" s="43"/>
      <c r="EW952" s="43"/>
      <c r="EX952" s="43"/>
      <c r="EY952" s="43"/>
      <c r="EZ952" s="43"/>
      <c r="FA952" s="43"/>
      <c r="FB952" s="43"/>
      <c r="FC952" s="43"/>
      <c r="FD952" s="43"/>
      <c r="FE952" s="43"/>
      <c r="FF952" s="43"/>
      <c r="FG952" s="43"/>
      <c r="FH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s="43"/>
      <c r="BM953" s="43"/>
      <c r="BN953" s="43"/>
      <c r="BO953" s="43"/>
      <c r="BP953" s="43"/>
      <c r="BQ953" s="43"/>
      <c r="BR953" s="43"/>
      <c r="BS953" s="43"/>
      <c r="BT953" s="43"/>
      <c r="BU953" s="43"/>
      <c r="BV953" s="43"/>
      <c r="BW953" s="43"/>
      <c r="BX953" s="43"/>
      <c r="BY953" s="43"/>
      <c r="BZ953" s="43"/>
      <c r="CA953" s="43"/>
      <c r="CB953" s="43"/>
      <c r="CC953" s="43"/>
      <c r="CD953" s="43"/>
      <c r="CE953" s="43"/>
      <c r="CF953" s="43"/>
      <c r="CG953" s="43"/>
      <c r="CH953" s="43"/>
      <c r="CI953" s="43"/>
      <c r="CJ953" s="43"/>
      <c r="CK953" s="43"/>
      <c r="CL953" s="43"/>
      <c r="CM953" s="43"/>
      <c r="CN953" s="43"/>
      <c r="CO953" s="43"/>
      <c r="CP953" s="43"/>
      <c r="CQ953" s="43"/>
      <c r="CR953" s="43"/>
      <c r="CS953" s="43"/>
      <c r="CT953" s="43"/>
      <c r="CU953" s="43"/>
      <c r="CV953" s="43"/>
      <c r="CW953" s="43"/>
      <c r="CX953" s="43"/>
      <c r="CY953" s="43"/>
      <c r="CZ953" s="43"/>
      <c r="DA953" s="43"/>
      <c r="DB953" s="43"/>
      <c r="DC953" s="43"/>
      <c r="DD953" s="43"/>
      <c r="DE953" s="43"/>
      <c r="DF953" s="43"/>
      <c r="DG953" s="43"/>
      <c r="DH953" s="43"/>
      <c r="DI953" s="43"/>
      <c r="DJ953" s="43"/>
      <c r="DK953" s="43"/>
      <c r="DL953" s="43"/>
      <c r="DM953" s="43"/>
      <c r="DN953" s="43"/>
      <c r="DO953" s="43"/>
      <c r="DP953" s="43"/>
      <c r="DQ953" s="43"/>
      <c r="DR953" s="43"/>
      <c r="DS953" s="43"/>
      <c r="DT953" s="43"/>
      <c r="DU953" s="43"/>
      <c r="DV953" s="43"/>
      <c r="DW953" s="43"/>
      <c r="DX953" s="43"/>
      <c r="DY953" s="43"/>
      <c r="DZ953" s="43"/>
      <c r="EA953" s="43"/>
      <c r="EB953" s="43"/>
      <c r="EC953" s="43"/>
      <c r="ED953" s="43"/>
      <c r="EE953" s="43"/>
      <c r="EF953" s="43"/>
      <c r="EG953" s="43"/>
      <c r="EH953" s="43"/>
      <c r="EI953" s="43"/>
      <c r="EJ953" s="43"/>
      <c r="EK953" s="43"/>
      <c r="EL953" s="43"/>
      <c r="EM953" s="43"/>
      <c r="EN953" s="43"/>
      <c r="EO953" s="43"/>
      <c r="EP953" s="43"/>
      <c r="EQ953" s="43"/>
      <c r="ER953" s="43"/>
      <c r="ES953" s="43"/>
      <c r="ET953" s="43"/>
      <c r="EU953" s="43"/>
      <c r="EV953" s="43"/>
      <c r="EW953" s="43"/>
      <c r="EX953" s="43"/>
      <c r="EY953" s="43"/>
      <c r="EZ953" s="43"/>
      <c r="FA953" s="43"/>
      <c r="FB953" s="43"/>
      <c r="FC953" s="43"/>
      <c r="FD953" s="43"/>
      <c r="FE953" s="43"/>
      <c r="FF953" s="43"/>
      <c r="FG953" s="43"/>
      <c r="FH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c r="BJ954" s="43"/>
      <c r="BK954" s="43"/>
      <c r="BL954" s="43"/>
      <c r="BM954" s="43"/>
      <c r="BN954" s="43"/>
      <c r="BO954" s="43"/>
      <c r="BP954" s="43"/>
      <c r="BQ954" s="43"/>
      <c r="BR954" s="43"/>
      <c r="BS954" s="43"/>
      <c r="BT954" s="43"/>
      <c r="BU954" s="43"/>
      <c r="BV954" s="43"/>
      <c r="BW954" s="43"/>
      <c r="BX954" s="43"/>
      <c r="BY954" s="43"/>
      <c r="BZ954" s="43"/>
      <c r="CA954" s="43"/>
      <c r="CB954" s="43"/>
      <c r="CC954" s="43"/>
      <c r="CD954" s="43"/>
      <c r="CE954" s="43"/>
      <c r="CF954" s="43"/>
      <c r="CG954" s="43"/>
      <c r="CH954" s="43"/>
      <c r="CI954" s="43"/>
      <c r="CJ954" s="43"/>
      <c r="CK954" s="43"/>
      <c r="CL954" s="43"/>
      <c r="CM954" s="43"/>
      <c r="CN954" s="43"/>
      <c r="CO954" s="43"/>
      <c r="CP954" s="43"/>
      <c r="CQ954" s="43"/>
      <c r="CR954" s="43"/>
      <c r="CS954" s="43"/>
      <c r="CT954" s="43"/>
      <c r="CU954" s="43"/>
      <c r="CV954" s="43"/>
      <c r="CW954" s="43"/>
      <c r="CX954" s="43"/>
      <c r="CY954" s="43"/>
      <c r="CZ954" s="43"/>
      <c r="DA954" s="43"/>
      <c r="DB954" s="43"/>
      <c r="DC954" s="43"/>
      <c r="DD954" s="43"/>
      <c r="DE954" s="43"/>
      <c r="DF954" s="43"/>
      <c r="DG954" s="43"/>
      <c r="DH954" s="43"/>
      <c r="DI954" s="43"/>
      <c r="DJ954" s="43"/>
      <c r="DK954" s="43"/>
      <c r="DL954" s="43"/>
      <c r="DM954" s="43"/>
      <c r="DN954" s="43"/>
      <c r="DO954" s="43"/>
      <c r="DP954" s="43"/>
      <c r="DQ954" s="43"/>
      <c r="DR954" s="43"/>
      <c r="DS954" s="43"/>
      <c r="DT954" s="43"/>
      <c r="DU954" s="43"/>
      <c r="DV954" s="43"/>
      <c r="DW954" s="43"/>
      <c r="DX954" s="43"/>
      <c r="DY954" s="43"/>
      <c r="DZ954" s="43"/>
      <c r="EA954" s="43"/>
      <c r="EB954" s="43"/>
      <c r="EC954" s="43"/>
      <c r="ED954" s="43"/>
      <c r="EE954" s="43"/>
      <c r="EF954" s="43"/>
      <c r="EG954" s="43"/>
      <c r="EH954" s="43"/>
      <c r="EI954" s="43"/>
      <c r="EJ954" s="43"/>
      <c r="EK954" s="43"/>
      <c r="EL954" s="43"/>
      <c r="EM954" s="43"/>
      <c r="EN954" s="43"/>
      <c r="EO954" s="43"/>
      <c r="EP954" s="43"/>
      <c r="EQ954" s="43"/>
      <c r="ER954" s="43"/>
      <c r="ES954" s="43"/>
      <c r="ET954" s="43"/>
      <c r="EU954" s="43"/>
      <c r="EV954" s="43"/>
      <c r="EW954" s="43"/>
      <c r="EX954" s="43"/>
      <c r="EY954" s="43"/>
      <c r="EZ954" s="43"/>
      <c r="FA954" s="43"/>
      <c r="FB954" s="43"/>
      <c r="FC954" s="43"/>
      <c r="FD954" s="43"/>
      <c r="FE954" s="43"/>
      <c r="FF954" s="43"/>
      <c r="FG954" s="43"/>
      <c r="FH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s="43"/>
      <c r="BM955" s="43"/>
      <c r="BN955" s="43"/>
      <c r="BO955" s="43"/>
      <c r="BP955" s="43"/>
      <c r="BQ955" s="43"/>
      <c r="BR955" s="43"/>
      <c r="BS955" s="43"/>
      <c r="BT955" s="43"/>
      <c r="BU955" s="43"/>
      <c r="BV955" s="43"/>
      <c r="BW955" s="43"/>
      <c r="BX955" s="43"/>
      <c r="BY955" s="43"/>
      <c r="BZ955" s="43"/>
      <c r="CA955" s="43"/>
      <c r="CB955" s="43"/>
      <c r="CC955" s="43"/>
      <c r="CD955" s="43"/>
      <c r="CE955" s="43"/>
      <c r="CF955" s="43"/>
      <c r="CG955" s="43"/>
      <c r="CH955" s="43"/>
      <c r="CI955" s="43"/>
      <c r="CJ955" s="43"/>
      <c r="CK955" s="43"/>
      <c r="CL955" s="43"/>
      <c r="CM955" s="43"/>
      <c r="CN955" s="43"/>
      <c r="CO955" s="43"/>
      <c r="CP955" s="43"/>
      <c r="CQ955" s="43"/>
      <c r="CR955" s="43"/>
      <c r="CS955" s="43"/>
      <c r="CT955" s="43"/>
      <c r="CU955" s="43"/>
      <c r="CV955" s="43"/>
      <c r="CW955" s="43"/>
      <c r="CX955" s="43"/>
      <c r="CY955" s="43"/>
      <c r="CZ955" s="43"/>
      <c r="DA955" s="43"/>
      <c r="DB955" s="43"/>
      <c r="DC955" s="43"/>
      <c r="DD955" s="43"/>
      <c r="DE955" s="43"/>
      <c r="DF955" s="43"/>
      <c r="DG955" s="43"/>
      <c r="DH955" s="43"/>
      <c r="DI955" s="43"/>
      <c r="DJ955" s="43"/>
      <c r="DK955" s="43"/>
      <c r="DL955" s="43"/>
      <c r="DM955" s="43"/>
      <c r="DN955" s="43"/>
      <c r="DO955" s="43"/>
      <c r="DP955" s="43"/>
      <c r="DQ955" s="43"/>
      <c r="DR955" s="43"/>
      <c r="DS955" s="43"/>
      <c r="DT955" s="43"/>
      <c r="DU955" s="43"/>
      <c r="DV955" s="43"/>
      <c r="DW955" s="43"/>
      <c r="DX955" s="43"/>
      <c r="DY955" s="43"/>
      <c r="DZ955" s="43"/>
      <c r="EA955" s="43"/>
      <c r="EB955" s="43"/>
      <c r="EC955" s="43"/>
      <c r="ED955" s="43"/>
      <c r="EE955" s="43"/>
      <c r="EF955" s="43"/>
      <c r="EG955" s="43"/>
      <c r="EH955" s="43"/>
      <c r="EI955" s="43"/>
      <c r="EJ955" s="43"/>
      <c r="EK955" s="43"/>
      <c r="EL955" s="43"/>
      <c r="EM955" s="43"/>
      <c r="EN955" s="43"/>
      <c r="EO955" s="43"/>
      <c r="EP955" s="43"/>
      <c r="EQ955" s="43"/>
      <c r="ER955" s="43"/>
      <c r="ES955" s="43"/>
      <c r="ET955" s="43"/>
      <c r="EU955" s="43"/>
      <c r="EV955" s="43"/>
      <c r="EW955" s="43"/>
      <c r="EX955" s="43"/>
      <c r="EY955" s="43"/>
      <c r="EZ955" s="43"/>
      <c r="FA955" s="43"/>
      <c r="FB955" s="43"/>
      <c r="FC955" s="43"/>
      <c r="FD955" s="43"/>
      <c r="FE955" s="43"/>
      <c r="FF955" s="43"/>
      <c r="FG955" s="43"/>
      <c r="FH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s="43"/>
      <c r="BM956" s="43"/>
      <c r="BN956" s="43"/>
      <c r="BO956" s="43"/>
      <c r="BP956" s="43"/>
      <c r="BQ956" s="43"/>
      <c r="BR956" s="43"/>
      <c r="BS956" s="43"/>
      <c r="BT956" s="43"/>
      <c r="BU956" s="43"/>
      <c r="BV956" s="43"/>
      <c r="BW956" s="43"/>
      <c r="BX956" s="43"/>
      <c r="BY956" s="43"/>
      <c r="BZ956" s="43"/>
      <c r="CA956" s="43"/>
      <c r="CB956" s="43"/>
      <c r="CC956" s="43"/>
      <c r="CD956" s="43"/>
      <c r="CE956" s="43"/>
      <c r="CF956" s="43"/>
      <c r="CG956" s="43"/>
      <c r="CH956" s="43"/>
      <c r="CI956" s="43"/>
      <c r="CJ956" s="43"/>
      <c r="CK956" s="43"/>
      <c r="CL956" s="43"/>
      <c r="CM956" s="43"/>
      <c r="CN956" s="43"/>
      <c r="CO956" s="43"/>
      <c r="CP956" s="43"/>
      <c r="CQ956" s="43"/>
      <c r="CR956" s="43"/>
      <c r="CS956" s="43"/>
      <c r="CT956" s="43"/>
      <c r="CU956" s="43"/>
      <c r="CV956" s="43"/>
      <c r="CW956" s="43"/>
      <c r="CX956" s="43"/>
      <c r="CY956" s="43"/>
      <c r="CZ956" s="43"/>
      <c r="DA956" s="43"/>
      <c r="DB956" s="43"/>
      <c r="DC956" s="43"/>
      <c r="DD956" s="43"/>
      <c r="DE956" s="43"/>
      <c r="DF956" s="43"/>
      <c r="DG956" s="43"/>
      <c r="DH956" s="43"/>
      <c r="DI956" s="43"/>
      <c r="DJ956" s="43"/>
      <c r="DK956" s="43"/>
      <c r="DL956" s="43"/>
      <c r="DM956" s="43"/>
      <c r="DN956" s="43"/>
      <c r="DO956" s="43"/>
      <c r="DP956" s="43"/>
      <c r="DQ956" s="43"/>
      <c r="DR956" s="43"/>
      <c r="DS956" s="43"/>
      <c r="DT956" s="43"/>
      <c r="DU956" s="43"/>
      <c r="DV956" s="43"/>
      <c r="DW956" s="43"/>
      <c r="DX956" s="43"/>
      <c r="DY956" s="43"/>
      <c r="DZ956" s="43"/>
      <c r="EA956" s="43"/>
      <c r="EB956" s="43"/>
      <c r="EC956" s="43"/>
      <c r="ED956" s="43"/>
      <c r="EE956" s="43"/>
      <c r="EF956" s="43"/>
      <c r="EG956" s="43"/>
      <c r="EH956" s="43"/>
      <c r="EI956" s="43"/>
      <c r="EJ956" s="43"/>
      <c r="EK956" s="43"/>
      <c r="EL956" s="43"/>
      <c r="EM956" s="43"/>
      <c r="EN956" s="43"/>
      <c r="EO956" s="43"/>
      <c r="EP956" s="43"/>
      <c r="EQ956" s="43"/>
      <c r="ER956" s="43"/>
      <c r="ES956" s="43"/>
      <c r="ET956" s="43"/>
      <c r="EU956" s="43"/>
      <c r="EV956" s="43"/>
      <c r="EW956" s="43"/>
      <c r="EX956" s="43"/>
      <c r="EY956" s="43"/>
      <c r="EZ956" s="43"/>
      <c r="FA956" s="43"/>
      <c r="FB956" s="43"/>
      <c r="FC956" s="43"/>
      <c r="FD956" s="43"/>
      <c r="FE956" s="43"/>
      <c r="FF956" s="43"/>
      <c r="FG956" s="43"/>
      <c r="FH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c r="BJ957" s="43"/>
      <c r="BK957" s="43"/>
      <c r="BL957" s="43"/>
      <c r="BM957" s="43"/>
      <c r="BN957" s="43"/>
      <c r="BO957" s="43"/>
      <c r="BP957" s="43"/>
      <c r="BQ957" s="43"/>
      <c r="BR957" s="43"/>
      <c r="BS957" s="43"/>
      <c r="BT957" s="43"/>
      <c r="BU957" s="43"/>
      <c r="BV957" s="43"/>
      <c r="BW957" s="43"/>
      <c r="BX957" s="43"/>
      <c r="BY957" s="43"/>
      <c r="BZ957" s="43"/>
      <c r="CA957" s="43"/>
      <c r="CB957" s="43"/>
      <c r="CC957" s="43"/>
      <c r="CD957" s="43"/>
      <c r="CE957" s="43"/>
      <c r="CF957" s="43"/>
      <c r="CG957" s="43"/>
      <c r="CH957" s="43"/>
      <c r="CI957" s="43"/>
      <c r="CJ957" s="43"/>
      <c r="CK957" s="43"/>
      <c r="CL957" s="43"/>
      <c r="CM957" s="43"/>
      <c r="CN957" s="43"/>
      <c r="CO957" s="43"/>
      <c r="CP957" s="43"/>
      <c r="CQ957" s="43"/>
      <c r="CR957" s="43"/>
      <c r="CS957" s="43"/>
      <c r="CT957" s="43"/>
      <c r="CU957" s="43"/>
      <c r="CV957" s="43"/>
      <c r="CW957" s="43"/>
      <c r="CX957" s="43"/>
      <c r="CY957" s="43"/>
      <c r="CZ957" s="43"/>
      <c r="DA957" s="43"/>
      <c r="DB957" s="43"/>
      <c r="DC957" s="43"/>
      <c r="DD957" s="43"/>
      <c r="DE957" s="43"/>
      <c r="DF957" s="43"/>
      <c r="DG957" s="43"/>
      <c r="DH957" s="43"/>
      <c r="DI957" s="43"/>
      <c r="DJ957" s="43"/>
      <c r="DK957" s="43"/>
      <c r="DL957" s="43"/>
      <c r="DM957" s="43"/>
      <c r="DN957" s="43"/>
      <c r="DO957" s="43"/>
      <c r="DP957" s="43"/>
      <c r="DQ957" s="43"/>
      <c r="DR957" s="43"/>
      <c r="DS957" s="43"/>
      <c r="DT957" s="43"/>
      <c r="DU957" s="43"/>
      <c r="DV957" s="43"/>
      <c r="DW957" s="43"/>
      <c r="DX957" s="43"/>
      <c r="DY957" s="43"/>
      <c r="DZ957" s="43"/>
      <c r="EA957" s="43"/>
      <c r="EB957" s="43"/>
      <c r="EC957" s="43"/>
      <c r="ED957" s="43"/>
      <c r="EE957" s="43"/>
      <c r="EF957" s="43"/>
      <c r="EG957" s="43"/>
      <c r="EH957" s="43"/>
      <c r="EI957" s="43"/>
      <c r="EJ957" s="43"/>
      <c r="EK957" s="43"/>
      <c r="EL957" s="43"/>
      <c r="EM957" s="43"/>
      <c r="EN957" s="43"/>
      <c r="EO957" s="43"/>
      <c r="EP957" s="43"/>
      <c r="EQ957" s="43"/>
      <c r="ER957" s="43"/>
      <c r="ES957" s="43"/>
      <c r="ET957" s="43"/>
      <c r="EU957" s="43"/>
      <c r="EV957" s="43"/>
      <c r="EW957" s="43"/>
      <c r="EX957" s="43"/>
      <c r="EY957" s="43"/>
      <c r="EZ957" s="43"/>
      <c r="FA957" s="43"/>
      <c r="FB957" s="43"/>
      <c r="FC957" s="43"/>
      <c r="FD957" s="43"/>
      <c r="FE957" s="43"/>
      <c r="FF957" s="43"/>
      <c r="FG957" s="43"/>
      <c r="FH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s="43"/>
      <c r="BM958" s="43"/>
      <c r="BN958" s="43"/>
      <c r="BO958" s="43"/>
      <c r="BP958" s="43"/>
      <c r="BQ958" s="43"/>
      <c r="BR958" s="43"/>
      <c r="BS958" s="43"/>
      <c r="BT958" s="43"/>
      <c r="BU958" s="43"/>
      <c r="BV958" s="43"/>
      <c r="BW958" s="43"/>
      <c r="BX958" s="43"/>
      <c r="BY958" s="43"/>
      <c r="BZ958" s="43"/>
      <c r="CA958" s="43"/>
      <c r="CB958" s="43"/>
      <c r="CC958" s="43"/>
      <c r="CD958" s="43"/>
      <c r="CE958" s="43"/>
      <c r="CF958" s="43"/>
      <c r="CG958" s="43"/>
      <c r="CH958" s="43"/>
      <c r="CI958" s="43"/>
      <c r="CJ958" s="43"/>
      <c r="CK958" s="43"/>
      <c r="CL958" s="43"/>
      <c r="CM958" s="43"/>
      <c r="CN958" s="43"/>
      <c r="CO958" s="43"/>
      <c r="CP958" s="43"/>
      <c r="CQ958" s="43"/>
      <c r="CR958" s="43"/>
      <c r="CS958" s="43"/>
      <c r="CT958" s="43"/>
      <c r="CU958" s="43"/>
      <c r="CV958" s="43"/>
      <c r="CW958" s="43"/>
      <c r="CX958" s="43"/>
      <c r="CY958" s="43"/>
      <c r="CZ958" s="43"/>
      <c r="DA958" s="43"/>
      <c r="DB958" s="43"/>
      <c r="DC958" s="43"/>
      <c r="DD958" s="43"/>
      <c r="DE958" s="43"/>
      <c r="DF958" s="43"/>
      <c r="DG958" s="43"/>
      <c r="DH958" s="43"/>
      <c r="DI958" s="43"/>
      <c r="DJ958" s="43"/>
      <c r="DK958" s="43"/>
      <c r="DL958" s="43"/>
      <c r="DM958" s="43"/>
      <c r="DN958" s="43"/>
      <c r="DO958" s="43"/>
      <c r="DP958" s="43"/>
      <c r="DQ958" s="43"/>
      <c r="DR958" s="43"/>
      <c r="DS958" s="43"/>
      <c r="DT958" s="43"/>
      <c r="DU958" s="43"/>
      <c r="DV958" s="43"/>
      <c r="DW958" s="43"/>
      <c r="DX958" s="43"/>
      <c r="DY958" s="43"/>
      <c r="DZ958" s="43"/>
      <c r="EA958" s="43"/>
      <c r="EB958" s="43"/>
      <c r="EC958" s="43"/>
      <c r="ED958" s="43"/>
      <c r="EE958" s="43"/>
      <c r="EF958" s="43"/>
      <c r="EG958" s="43"/>
      <c r="EH958" s="43"/>
      <c r="EI958" s="43"/>
      <c r="EJ958" s="43"/>
      <c r="EK958" s="43"/>
      <c r="EL958" s="43"/>
      <c r="EM958" s="43"/>
      <c r="EN958" s="43"/>
      <c r="EO958" s="43"/>
      <c r="EP958" s="43"/>
      <c r="EQ958" s="43"/>
      <c r="ER958" s="43"/>
      <c r="ES958" s="43"/>
      <c r="ET958" s="43"/>
      <c r="EU958" s="43"/>
      <c r="EV958" s="43"/>
      <c r="EW958" s="43"/>
      <c r="EX958" s="43"/>
      <c r="EY958" s="43"/>
      <c r="EZ958" s="43"/>
      <c r="FA958" s="43"/>
      <c r="FB958" s="43"/>
      <c r="FC958" s="43"/>
      <c r="FD958" s="43"/>
      <c r="FE958" s="43"/>
      <c r="FF958" s="43"/>
      <c r="FG958" s="43"/>
      <c r="FH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s="43"/>
      <c r="BM959" s="43"/>
      <c r="BN959" s="43"/>
      <c r="BO959" s="43"/>
      <c r="BP959" s="43"/>
      <c r="BQ959" s="43"/>
      <c r="BR959" s="43"/>
      <c r="BS959" s="43"/>
      <c r="BT959" s="43"/>
      <c r="BU959" s="43"/>
      <c r="BV959" s="43"/>
      <c r="BW959" s="43"/>
      <c r="BX959" s="43"/>
      <c r="BY959" s="43"/>
      <c r="BZ959" s="43"/>
      <c r="CA959" s="43"/>
      <c r="CB959" s="43"/>
      <c r="CC959" s="43"/>
      <c r="CD959" s="43"/>
      <c r="CE959" s="43"/>
      <c r="CF959" s="43"/>
      <c r="CG959" s="43"/>
      <c r="CH959" s="43"/>
      <c r="CI959" s="43"/>
      <c r="CJ959" s="43"/>
      <c r="CK959" s="43"/>
      <c r="CL959" s="43"/>
      <c r="CM959" s="43"/>
      <c r="CN959" s="43"/>
      <c r="CO959" s="43"/>
      <c r="CP959" s="43"/>
      <c r="CQ959" s="43"/>
      <c r="CR959" s="43"/>
      <c r="CS959" s="43"/>
      <c r="CT959" s="43"/>
      <c r="CU959" s="43"/>
      <c r="CV959" s="43"/>
      <c r="CW959" s="43"/>
      <c r="CX959" s="43"/>
      <c r="CY959" s="43"/>
      <c r="CZ959" s="43"/>
      <c r="DA959" s="43"/>
      <c r="DB959" s="43"/>
      <c r="DC959" s="43"/>
      <c r="DD959" s="43"/>
      <c r="DE959" s="43"/>
      <c r="DF959" s="43"/>
      <c r="DG959" s="43"/>
      <c r="DH959" s="43"/>
      <c r="DI959" s="43"/>
      <c r="DJ959" s="43"/>
      <c r="DK959" s="43"/>
      <c r="DL959" s="43"/>
      <c r="DM959" s="43"/>
      <c r="DN959" s="43"/>
      <c r="DO959" s="43"/>
      <c r="DP959" s="43"/>
      <c r="DQ959" s="43"/>
      <c r="DR959" s="43"/>
      <c r="DS959" s="43"/>
      <c r="DT959" s="43"/>
      <c r="DU959" s="43"/>
      <c r="DV959" s="43"/>
      <c r="DW959" s="43"/>
      <c r="DX959" s="43"/>
      <c r="DY959" s="43"/>
      <c r="DZ959" s="43"/>
      <c r="EA959" s="43"/>
      <c r="EB959" s="43"/>
      <c r="EC959" s="43"/>
      <c r="ED959" s="43"/>
      <c r="EE959" s="43"/>
      <c r="EF959" s="43"/>
      <c r="EG959" s="43"/>
      <c r="EH959" s="43"/>
      <c r="EI959" s="43"/>
      <c r="EJ959" s="43"/>
      <c r="EK959" s="43"/>
      <c r="EL959" s="43"/>
      <c r="EM959" s="43"/>
      <c r="EN959" s="43"/>
      <c r="EO959" s="43"/>
      <c r="EP959" s="43"/>
      <c r="EQ959" s="43"/>
      <c r="ER959" s="43"/>
      <c r="ES959" s="43"/>
      <c r="ET959" s="43"/>
      <c r="EU959" s="43"/>
      <c r="EV959" s="43"/>
      <c r="EW959" s="43"/>
      <c r="EX959" s="43"/>
      <c r="EY959" s="43"/>
      <c r="EZ959" s="43"/>
      <c r="FA959" s="43"/>
      <c r="FB959" s="43"/>
      <c r="FC959" s="43"/>
      <c r="FD959" s="43"/>
      <c r="FE959" s="43"/>
      <c r="FF959" s="43"/>
      <c r="FG959" s="43"/>
      <c r="FH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s="43"/>
      <c r="BM960" s="43"/>
      <c r="BN960" s="43"/>
      <c r="BO960" s="43"/>
      <c r="BP960" s="43"/>
      <c r="BQ960" s="43"/>
      <c r="BR960" s="43"/>
      <c r="BS960" s="43"/>
      <c r="BT960" s="43"/>
      <c r="BU960" s="43"/>
      <c r="BV960" s="43"/>
      <c r="BW960" s="43"/>
      <c r="BX960" s="43"/>
      <c r="BY960" s="43"/>
      <c r="BZ960" s="43"/>
      <c r="CA960" s="43"/>
      <c r="CB960" s="43"/>
      <c r="CC960" s="43"/>
      <c r="CD960" s="43"/>
      <c r="CE960" s="43"/>
      <c r="CF960" s="43"/>
      <c r="CG960" s="43"/>
      <c r="CH960" s="43"/>
      <c r="CI960" s="43"/>
      <c r="CJ960" s="43"/>
      <c r="CK960" s="43"/>
      <c r="CL960" s="43"/>
      <c r="CM960" s="43"/>
      <c r="CN960" s="43"/>
      <c r="CO960" s="43"/>
      <c r="CP960" s="43"/>
      <c r="CQ960" s="43"/>
      <c r="CR960" s="43"/>
      <c r="CS960" s="43"/>
      <c r="CT960" s="43"/>
      <c r="CU960" s="43"/>
      <c r="CV960" s="43"/>
      <c r="CW960" s="43"/>
      <c r="CX960" s="43"/>
      <c r="CY960" s="43"/>
      <c r="CZ960" s="43"/>
      <c r="DA960" s="43"/>
      <c r="DB960" s="43"/>
      <c r="DC960" s="43"/>
      <c r="DD960" s="43"/>
      <c r="DE960" s="43"/>
      <c r="DF960" s="43"/>
      <c r="DG960" s="43"/>
      <c r="DH960" s="43"/>
      <c r="DI960" s="43"/>
      <c r="DJ960" s="43"/>
      <c r="DK960" s="43"/>
      <c r="DL960" s="43"/>
      <c r="DM960" s="43"/>
      <c r="DN960" s="43"/>
      <c r="DO960" s="43"/>
      <c r="DP960" s="43"/>
      <c r="DQ960" s="43"/>
      <c r="DR960" s="43"/>
      <c r="DS960" s="43"/>
      <c r="DT960" s="43"/>
      <c r="DU960" s="43"/>
      <c r="DV960" s="43"/>
      <c r="DW960" s="43"/>
      <c r="DX960" s="43"/>
      <c r="DY960" s="43"/>
      <c r="DZ960" s="43"/>
      <c r="EA960" s="43"/>
      <c r="EB960" s="43"/>
      <c r="EC960" s="43"/>
      <c r="ED960" s="43"/>
      <c r="EE960" s="43"/>
      <c r="EF960" s="43"/>
      <c r="EG960" s="43"/>
      <c r="EH960" s="43"/>
      <c r="EI960" s="43"/>
      <c r="EJ960" s="43"/>
      <c r="EK960" s="43"/>
      <c r="EL960" s="43"/>
      <c r="EM960" s="43"/>
      <c r="EN960" s="43"/>
      <c r="EO960" s="43"/>
      <c r="EP960" s="43"/>
      <c r="EQ960" s="43"/>
      <c r="ER960" s="43"/>
      <c r="ES960" s="43"/>
      <c r="ET960" s="43"/>
      <c r="EU960" s="43"/>
      <c r="EV960" s="43"/>
      <c r="EW960" s="43"/>
      <c r="EX960" s="43"/>
      <c r="EY960" s="43"/>
      <c r="EZ960" s="43"/>
      <c r="FA960" s="43"/>
      <c r="FB960" s="43"/>
      <c r="FC960" s="43"/>
      <c r="FD960" s="43"/>
      <c r="FE960" s="43"/>
      <c r="FF960" s="43"/>
      <c r="FG960" s="43"/>
      <c r="FH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s="43"/>
      <c r="BM961" s="43"/>
      <c r="BN961" s="43"/>
      <c r="BO961" s="43"/>
      <c r="BP961" s="43"/>
      <c r="BQ961" s="43"/>
      <c r="BR961" s="43"/>
      <c r="BS961" s="43"/>
      <c r="BT961" s="43"/>
      <c r="BU961" s="43"/>
      <c r="BV961" s="43"/>
      <c r="BW961" s="43"/>
      <c r="BX961" s="43"/>
      <c r="BY961" s="43"/>
      <c r="BZ961" s="43"/>
      <c r="CA961" s="43"/>
      <c r="CB961" s="43"/>
      <c r="CC961" s="43"/>
      <c r="CD961" s="43"/>
      <c r="CE961" s="43"/>
      <c r="CF961" s="43"/>
      <c r="CG961" s="43"/>
      <c r="CH961" s="43"/>
      <c r="CI961" s="43"/>
      <c r="CJ961" s="43"/>
      <c r="CK961" s="43"/>
      <c r="CL961" s="43"/>
      <c r="CM961" s="43"/>
      <c r="CN961" s="43"/>
      <c r="CO961" s="43"/>
      <c r="CP961" s="43"/>
      <c r="CQ961" s="43"/>
      <c r="CR961" s="43"/>
      <c r="CS961" s="43"/>
      <c r="CT961" s="43"/>
      <c r="CU961" s="43"/>
      <c r="CV961" s="43"/>
      <c r="CW961" s="43"/>
      <c r="CX961" s="43"/>
      <c r="CY961" s="43"/>
      <c r="CZ961" s="43"/>
      <c r="DA961" s="43"/>
      <c r="DB961" s="43"/>
      <c r="DC961" s="43"/>
      <c r="DD961" s="43"/>
      <c r="DE961" s="43"/>
      <c r="DF961" s="43"/>
      <c r="DG961" s="43"/>
      <c r="DH961" s="43"/>
      <c r="DI961" s="43"/>
      <c r="DJ961" s="43"/>
      <c r="DK961" s="43"/>
      <c r="DL961" s="43"/>
      <c r="DM961" s="43"/>
      <c r="DN961" s="43"/>
      <c r="DO961" s="43"/>
      <c r="DP961" s="43"/>
      <c r="DQ961" s="43"/>
      <c r="DR961" s="43"/>
      <c r="DS961" s="43"/>
      <c r="DT961" s="43"/>
      <c r="DU961" s="43"/>
      <c r="DV961" s="43"/>
      <c r="DW961" s="43"/>
      <c r="DX961" s="43"/>
      <c r="DY961" s="43"/>
      <c r="DZ961" s="43"/>
      <c r="EA961" s="43"/>
      <c r="EB961" s="43"/>
      <c r="EC961" s="43"/>
      <c r="ED961" s="43"/>
      <c r="EE961" s="43"/>
      <c r="EF961" s="43"/>
      <c r="EG961" s="43"/>
      <c r="EH961" s="43"/>
      <c r="EI961" s="43"/>
      <c r="EJ961" s="43"/>
      <c r="EK961" s="43"/>
      <c r="EL961" s="43"/>
      <c r="EM961" s="43"/>
      <c r="EN961" s="43"/>
      <c r="EO961" s="43"/>
      <c r="EP961" s="43"/>
      <c r="EQ961" s="43"/>
      <c r="ER961" s="43"/>
      <c r="ES961" s="43"/>
      <c r="ET961" s="43"/>
      <c r="EU961" s="43"/>
      <c r="EV961" s="43"/>
      <c r="EW961" s="43"/>
      <c r="EX961" s="43"/>
      <c r="EY961" s="43"/>
      <c r="EZ961" s="43"/>
      <c r="FA961" s="43"/>
      <c r="FB961" s="43"/>
      <c r="FC961" s="43"/>
      <c r="FD961" s="43"/>
      <c r="FE961" s="43"/>
      <c r="FF961" s="43"/>
      <c r="FG961" s="43"/>
      <c r="FH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c r="BO962" s="43"/>
      <c r="BP962" s="43"/>
      <c r="BQ962" s="43"/>
      <c r="BR962" s="43"/>
      <c r="BS962" s="43"/>
      <c r="BT962" s="43"/>
      <c r="BU962" s="43"/>
      <c r="BV962" s="43"/>
      <c r="BW962" s="43"/>
      <c r="BX962" s="43"/>
      <c r="BY962" s="43"/>
      <c r="BZ962" s="43"/>
      <c r="CA962" s="43"/>
      <c r="CB962" s="43"/>
      <c r="CC962" s="43"/>
      <c r="CD962" s="43"/>
      <c r="CE962" s="43"/>
      <c r="CF962" s="43"/>
      <c r="CG962" s="43"/>
      <c r="CH962" s="43"/>
      <c r="CI962" s="43"/>
      <c r="CJ962" s="43"/>
      <c r="CK962" s="43"/>
      <c r="CL962" s="43"/>
      <c r="CM962" s="43"/>
      <c r="CN962" s="43"/>
      <c r="CO962" s="43"/>
      <c r="CP962" s="43"/>
      <c r="CQ962" s="43"/>
      <c r="CR962" s="43"/>
      <c r="CS962" s="43"/>
      <c r="CT962" s="43"/>
      <c r="CU962" s="43"/>
      <c r="CV962" s="43"/>
      <c r="CW962" s="43"/>
      <c r="CX962" s="43"/>
      <c r="CY962" s="43"/>
      <c r="CZ962" s="43"/>
      <c r="DA962" s="43"/>
      <c r="DB962" s="43"/>
      <c r="DC962" s="43"/>
      <c r="DD962" s="43"/>
      <c r="DE962" s="43"/>
      <c r="DF962" s="43"/>
      <c r="DG962" s="43"/>
      <c r="DH962" s="43"/>
      <c r="DI962" s="43"/>
      <c r="DJ962" s="43"/>
      <c r="DK962" s="43"/>
      <c r="DL962" s="43"/>
      <c r="DM962" s="43"/>
      <c r="DN962" s="43"/>
      <c r="DO962" s="43"/>
      <c r="DP962" s="43"/>
      <c r="DQ962" s="43"/>
      <c r="DR962" s="43"/>
      <c r="DS962" s="43"/>
      <c r="DT962" s="43"/>
      <c r="DU962" s="43"/>
      <c r="DV962" s="43"/>
      <c r="DW962" s="43"/>
      <c r="DX962" s="43"/>
      <c r="DY962" s="43"/>
      <c r="DZ962" s="43"/>
      <c r="EA962" s="43"/>
      <c r="EB962" s="43"/>
      <c r="EC962" s="43"/>
      <c r="ED962" s="43"/>
      <c r="EE962" s="43"/>
      <c r="EF962" s="43"/>
      <c r="EG962" s="43"/>
      <c r="EH962" s="43"/>
      <c r="EI962" s="43"/>
      <c r="EJ962" s="43"/>
      <c r="EK962" s="43"/>
      <c r="EL962" s="43"/>
      <c r="EM962" s="43"/>
      <c r="EN962" s="43"/>
      <c r="EO962" s="43"/>
      <c r="EP962" s="43"/>
      <c r="EQ962" s="43"/>
      <c r="ER962" s="43"/>
      <c r="ES962" s="43"/>
      <c r="ET962" s="43"/>
      <c r="EU962" s="43"/>
      <c r="EV962" s="43"/>
      <c r="EW962" s="43"/>
      <c r="EX962" s="43"/>
      <c r="EY962" s="43"/>
      <c r="EZ962" s="43"/>
      <c r="FA962" s="43"/>
      <c r="FB962" s="43"/>
      <c r="FC962" s="43"/>
      <c r="FD962" s="43"/>
      <c r="FE962" s="43"/>
      <c r="FF962" s="43"/>
      <c r="FG962" s="43"/>
      <c r="FH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c r="BO963" s="43"/>
      <c r="BP963" s="43"/>
      <c r="BQ963" s="43"/>
      <c r="BR963" s="43"/>
      <c r="BS963" s="43"/>
      <c r="BT963" s="43"/>
      <c r="BU963" s="43"/>
      <c r="BV963" s="43"/>
      <c r="BW963" s="43"/>
      <c r="BX963" s="43"/>
      <c r="BY963" s="43"/>
      <c r="BZ963" s="43"/>
      <c r="CA963" s="43"/>
      <c r="CB963" s="43"/>
      <c r="CC963" s="43"/>
      <c r="CD963" s="43"/>
      <c r="CE963" s="43"/>
      <c r="CF963" s="43"/>
      <c r="CG963" s="43"/>
      <c r="CH963" s="43"/>
      <c r="CI963" s="43"/>
      <c r="CJ963" s="43"/>
      <c r="CK963" s="43"/>
      <c r="CL963" s="43"/>
      <c r="CM963" s="43"/>
      <c r="CN963" s="43"/>
      <c r="CO963" s="43"/>
      <c r="CP963" s="43"/>
      <c r="CQ963" s="43"/>
      <c r="CR963" s="43"/>
      <c r="CS963" s="43"/>
      <c r="CT963" s="43"/>
      <c r="CU963" s="43"/>
      <c r="CV963" s="43"/>
      <c r="CW963" s="43"/>
      <c r="CX963" s="43"/>
      <c r="CY963" s="43"/>
      <c r="CZ963" s="43"/>
      <c r="DA963" s="43"/>
      <c r="DB963" s="43"/>
      <c r="DC963" s="43"/>
      <c r="DD963" s="43"/>
      <c r="DE963" s="43"/>
      <c r="DF963" s="43"/>
      <c r="DG963" s="43"/>
      <c r="DH963" s="43"/>
      <c r="DI963" s="43"/>
      <c r="DJ963" s="43"/>
      <c r="DK963" s="43"/>
      <c r="DL963" s="43"/>
      <c r="DM963" s="43"/>
      <c r="DN963" s="43"/>
      <c r="DO963" s="43"/>
      <c r="DP963" s="43"/>
      <c r="DQ963" s="43"/>
      <c r="DR963" s="43"/>
      <c r="DS963" s="43"/>
      <c r="DT963" s="43"/>
      <c r="DU963" s="43"/>
      <c r="DV963" s="43"/>
      <c r="DW963" s="43"/>
      <c r="DX963" s="43"/>
      <c r="DY963" s="43"/>
      <c r="DZ963" s="43"/>
      <c r="EA963" s="43"/>
      <c r="EB963" s="43"/>
      <c r="EC963" s="43"/>
      <c r="ED963" s="43"/>
      <c r="EE963" s="43"/>
      <c r="EF963" s="43"/>
      <c r="EG963" s="43"/>
      <c r="EH963" s="43"/>
      <c r="EI963" s="43"/>
      <c r="EJ963" s="43"/>
      <c r="EK963" s="43"/>
      <c r="EL963" s="43"/>
      <c r="EM963" s="43"/>
      <c r="EN963" s="43"/>
      <c r="EO963" s="43"/>
      <c r="EP963" s="43"/>
      <c r="EQ963" s="43"/>
      <c r="ER963" s="43"/>
      <c r="ES963" s="43"/>
      <c r="ET963" s="43"/>
      <c r="EU963" s="43"/>
      <c r="EV963" s="43"/>
      <c r="EW963" s="43"/>
      <c r="EX963" s="43"/>
      <c r="EY963" s="43"/>
      <c r="EZ963" s="43"/>
      <c r="FA963" s="43"/>
      <c r="FB963" s="43"/>
      <c r="FC963" s="43"/>
      <c r="FD963" s="43"/>
      <c r="FE963" s="43"/>
      <c r="FF963" s="43"/>
      <c r="FG963" s="43"/>
      <c r="FH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c r="BJ964" s="43"/>
      <c r="BK964" s="43"/>
      <c r="BL964" s="43"/>
      <c r="BM964" s="43"/>
      <c r="BN964" s="43"/>
      <c r="BO964" s="43"/>
      <c r="BP964" s="43"/>
      <c r="BQ964" s="43"/>
      <c r="BR964" s="43"/>
      <c r="BS964" s="43"/>
      <c r="BT964" s="43"/>
      <c r="BU964" s="43"/>
      <c r="BV964" s="43"/>
      <c r="BW964" s="43"/>
      <c r="BX964" s="43"/>
      <c r="BY964" s="43"/>
      <c r="BZ964" s="43"/>
      <c r="CA964" s="43"/>
      <c r="CB964" s="43"/>
      <c r="CC964" s="43"/>
      <c r="CD964" s="43"/>
      <c r="CE964" s="43"/>
      <c r="CF964" s="43"/>
      <c r="CG964" s="43"/>
      <c r="CH964" s="43"/>
      <c r="CI964" s="43"/>
      <c r="CJ964" s="43"/>
      <c r="CK964" s="43"/>
      <c r="CL964" s="43"/>
      <c r="CM964" s="43"/>
      <c r="CN964" s="43"/>
      <c r="CO964" s="43"/>
      <c r="CP964" s="43"/>
      <c r="CQ964" s="43"/>
      <c r="CR964" s="43"/>
      <c r="CS964" s="43"/>
      <c r="CT964" s="43"/>
      <c r="CU964" s="43"/>
      <c r="CV964" s="43"/>
      <c r="CW964" s="43"/>
      <c r="CX964" s="43"/>
      <c r="CY964" s="43"/>
      <c r="CZ964" s="43"/>
      <c r="DA964" s="43"/>
      <c r="DB964" s="43"/>
      <c r="DC964" s="43"/>
      <c r="DD964" s="43"/>
      <c r="DE964" s="43"/>
      <c r="DF964" s="43"/>
      <c r="DG964" s="43"/>
      <c r="DH964" s="43"/>
      <c r="DI964" s="43"/>
      <c r="DJ964" s="43"/>
      <c r="DK964" s="43"/>
      <c r="DL964" s="43"/>
      <c r="DM964" s="43"/>
      <c r="DN964" s="43"/>
      <c r="DO964" s="43"/>
      <c r="DP964" s="43"/>
      <c r="DQ964" s="43"/>
      <c r="DR964" s="43"/>
      <c r="DS964" s="43"/>
      <c r="DT964" s="43"/>
      <c r="DU964" s="43"/>
      <c r="DV964" s="43"/>
      <c r="DW964" s="43"/>
      <c r="DX964" s="43"/>
      <c r="DY964" s="43"/>
      <c r="DZ964" s="43"/>
      <c r="EA964" s="43"/>
      <c r="EB964" s="43"/>
      <c r="EC964" s="43"/>
      <c r="ED964" s="43"/>
      <c r="EE964" s="43"/>
      <c r="EF964" s="43"/>
      <c r="EG964" s="43"/>
      <c r="EH964" s="43"/>
      <c r="EI964" s="43"/>
      <c r="EJ964" s="43"/>
      <c r="EK964" s="43"/>
      <c r="EL964" s="43"/>
      <c r="EM964" s="43"/>
      <c r="EN964" s="43"/>
      <c r="EO964" s="43"/>
      <c r="EP964" s="43"/>
      <c r="EQ964" s="43"/>
      <c r="ER964" s="43"/>
      <c r="ES964" s="43"/>
      <c r="ET964" s="43"/>
      <c r="EU964" s="43"/>
      <c r="EV964" s="43"/>
      <c r="EW964" s="43"/>
      <c r="EX964" s="43"/>
      <c r="EY964" s="43"/>
      <c r="EZ964" s="43"/>
      <c r="FA964" s="43"/>
      <c r="FB964" s="43"/>
      <c r="FC964" s="43"/>
      <c r="FD964" s="43"/>
      <c r="FE964" s="43"/>
      <c r="FF964" s="43"/>
      <c r="FG964" s="43"/>
      <c r="FH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s="43"/>
      <c r="BM965" s="43"/>
      <c r="BN965" s="43"/>
      <c r="BO965" s="43"/>
      <c r="BP965" s="43"/>
      <c r="BQ965" s="43"/>
      <c r="BR965" s="43"/>
      <c r="BS965" s="43"/>
      <c r="BT965" s="43"/>
      <c r="BU965" s="43"/>
      <c r="BV965" s="43"/>
      <c r="BW965" s="43"/>
      <c r="BX965" s="43"/>
      <c r="BY965" s="43"/>
      <c r="BZ965" s="43"/>
      <c r="CA965" s="43"/>
      <c r="CB965" s="43"/>
      <c r="CC965" s="43"/>
      <c r="CD965" s="43"/>
      <c r="CE965" s="43"/>
      <c r="CF965" s="43"/>
      <c r="CG965" s="43"/>
      <c r="CH965" s="43"/>
      <c r="CI965" s="43"/>
      <c r="CJ965" s="43"/>
      <c r="CK965" s="43"/>
      <c r="CL965" s="43"/>
      <c r="CM965" s="43"/>
      <c r="CN965" s="43"/>
      <c r="CO965" s="43"/>
      <c r="CP965" s="43"/>
      <c r="CQ965" s="43"/>
      <c r="CR965" s="43"/>
      <c r="CS965" s="43"/>
      <c r="CT965" s="43"/>
      <c r="CU965" s="43"/>
      <c r="CV965" s="43"/>
      <c r="CW965" s="43"/>
      <c r="CX965" s="43"/>
      <c r="CY965" s="43"/>
      <c r="CZ965" s="43"/>
      <c r="DA965" s="43"/>
      <c r="DB965" s="43"/>
      <c r="DC965" s="43"/>
      <c r="DD965" s="43"/>
      <c r="DE965" s="43"/>
      <c r="DF965" s="43"/>
      <c r="DG965" s="43"/>
      <c r="DH965" s="43"/>
      <c r="DI965" s="43"/>
      <c r="DJ965" s="43"/>
      <c r="DK965" s="43"/>
      <c r="DL965" s="43"/>
      <c r="DM965" s="43"/>
      <c r="DN965" s="43"/>
      <c r="DO965" s="43"/>
      <c r="DP965" s="43"/>
      <c r="DQ965" s="43"/>
      <c r="DR965" s="43"/>
      <c r="DS965" s="43"/>
      <c r="DT965" s="43"/>
      <c r="DU965" s="43"/>
      <c r="DV965" s="43"/>
      <c r="DW965" s="43"/>
      <c r="DX965" s="43"/>
      <c r="DY965" s="43"/>
      <c r="DZ965" s="43"/>
      <c r="EA965" s="43"/>
      <c r="EB965" s="43"/>
      <c r="EC965" s="43"/>
      <c r="ED965" s="43"/>
      <c r="EE965" s="43"/>
      <c r="EF965" s="43"/>
      <c r="EG965" s="43"/>
      <c r="EH965" s="43"/>
      <c r="EI965" s="43"/>
      <c r="EJ965" s="43"/>
      <c r="EK965" s="43"/>
      <c r="EL965" s="43"/>
      <c r="EM965" s="43"/>
      <c r="EN965" s="43"/>
      <c r="EO965" s="43"/>
      <c r="EP965" s="43"/>
      <c r="EQ965" s="43"/>
      <c r="ER965" s="43"/>
      <c r="ES965" s="43"/>
      <c r="ET965" s="43"/>
      <c r="EU965" s="43"/>
      <c r="EV965" s="43"/>
      <c r="EW965" s="43"/>
      <c r="EX965" s="43"/>
      <c r="EY965" s="43"/>
      <c r="EZ965" s="43"/>
      <c r="FA965" s="43"/>
      <c r="FB965" s="43"/>
      <c r="FC965" s="43"/>
      <c r="FD965" s="43"/>
      <c r="FE965" s="43"/>
      <c r="FF965" s="43"/>
      <c r="FG965" s="43"/>
      <c r="FH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c r="BO966" s="43"/>
      <c r="BP966" s="43"/>
      <c r="BQ966" s="43"/>
      <c r="BR966" s="43"/>
      <c r="BS966" s="43"/>
      <c r="BT966" s="43"/>
      <c r="BU966" s="43"/>
      <c r="BV966" s="43"/>
      <c r="BW966" s="43"/>
      <c r="BX966" s="43"/>
      <c r="BY966" s="43"/>
      <c r="BZ966" s="43"/>
      <c r="CA966" s="43"/>
      <c r="CB966" s="43"/>
      <c r="CC966" s="43"/>
      <c r="CD966" s="43"/>
      <c r="CE966" s="43"/>
      <c r="CF966" s="43"/>
      <c r="CG966" s="43"/>
      <c r="CH966" s="43"/>
      <c r="CI966" s="43"/>
      <c r="CJ966" s="43"/>
      <c r="CK966" s="43"/>
      <c r="CL966" s="43"/>
      <c r="CM966" s="43"/>
      <c r="CN966" s="43"/>
      <c r="CO966" s="43"/>
      <c r="CP966" s="43"/>
      <c r="CQ966" s="43"/>
      <c r="CR966" s="43"/>
      <c r="CS966" s="43"/>
      <c r="CT966" s="43"/>
      <c r="CU966" s="43"/>
      <c r="CV966" s="43"/>
      <c r="CW966" s="43"/>
      <c r="CX966" s="43"/>
      <c r="CY966" s="43"/>
      <c r="CZ966" s="43"/>
      <c r="DA966" s="43"/>
      <c r="DB966" s="43"/>
      <c r="DC966" s="43"/>
      <c r="DD966" s="43"/>
      <c r="DE966" s="43"/>
      <c r="DF966" s="43"/>
      <c r="DG966" s="43"/>
      <c r="DH966" s="43"/>
      <c r="DI966" s="43"/>
      <c r="DJ966" s="43"/>
      <c r="DK966" s="43"/>
      <c r="DL966" s="43"/>
      <c r="DM966" s="43"/>
      <c r="DN966" s="43"/>
      <c r="DO966" s="43"/>
      <c r="DP966" s="43"/>
      <c r="DQ966" s="43"/>
      <c r="DR966" s="43"/>
      <c r="DS966" s="43"/>
      <c r="DT966" s="43"/>
      <c r="DU966" s="43"/>
      <c r="DV966" s="43"/>
      <c r="DW966" s="43"/>
      <c r="DX966" s="43"/>
      <c r="DY966" s="43"/>
      <c r="DZ966" s="43"/>
      <c r="EA966" s="43"/>
      <c r="EB966" s="43"/>
      <c r="EC966" s="43"/>
      <c r="ED966" s="43"/>
      <c r="EE966" s="43"/>
      <c r="EF966" s="43"/>
      <c r="EG966" s="43"/>
      <c r="EH966" s="43"/>
      <c r="EI966" s="43"/>
      <c r="EJ966" s="43"/>
      <c r="EK966" s="43"/>
      <c r="EL966" s="43"/>
      <c r="EM966" s="43"/>
      <c r="EN966" s="43"/>
      <c r="EO966" s="43"/>
      <c r="EP966" s="43"/>
      <c r="EQ966" s="43"/>
      <c r="ER966" s="43"/>
      <c r="ES966" s="43"/>
      <c r="ET966" s="43"/>
      <c r="EU966" s="43"/>
      <c r="EV966" s="43"/>
      <c r="EW966" s="43"/>
      <c r="EX966" s="43"/>
      <c r="EY966" s="43"/>
      <c r="EZ966" s="43"/>
      <c r="FA966" s="43"/>
      <c r="FB966" s="43"/>
      <c r="FC966" s="43"/>
      <c r="FD966" s="43"/>
      <c r="FE966" s="43"/>
      <c r="FF966" s="43"/>
      <c r="FG966" s="43"/>
      <c r="FH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s="43"/>
      <c r="BM967" s="43"/>
      <c r="BN967" s="43"/>
      <c r="BO967" s="43"/>
      <c r="BP967" s="43"/>
      <c r="BQ967" s="43"/>
      <c r="BR967" s="43"/>
      <c r="BS967" s="43"/>
      <c r="BT967" s="43"/>
      <c r="BU967" s="43"/>
      <c r="BV967" s="43"/>
      <c r="BW967" s="43"/>
      <c r="BX967" s="43"/>
      <c r="BY967" s="43"/>
      <c r="BZ967" s="43"/>
      <c r="CA967" s="43"/>
      <c r="CB967" s="43"/>
      <c r="CC967" s="43"/>
      <c r="CD967" s="43"/>
      <c r="CE967" s="43"/>
      <c r="CF967" s="43"/>
      <c r="CG967" s="43"/>
      <c r="CH967" s="43"/>
      <c r="CI967" s="43"/>
      <c r="CJ967" s="43"/>
      <c r="CK967" s="43"/>
      <c r="CL967" s="43"/>
      <c r="CM967" s="43"/>
      <c r="CN967" s="43"/>
      <c r="CO967" s="43"/>
      <c r="CP967" s="43"/>
      <c r="CQ967" s="43"/>
      <c r="CR967" s="43"/>
      <c r="CS967" s="43"/>
      <c r="CT967" s="43"/>
      <c r="CU967" s="43"/>
      <c r="CV967" s="43"/>
      <c r="CW967" s="43"/>
      <c r="CX967" s="43"/>
      <c r="CY967" s="43"/>
      <c r="CZ967" s="43"/>
      <c r="DA967" s="43"/>
      <c r="DB967" s="43"/>
      <c r="DC967" s="43"/>
      <c r="DD967" s="43"/>
      <c r="DE967" s="43"/>
      <c r="DF967" s="43"/>
      <c r="DG967" s="43"/>
      <c r="DH967" s="43"/>
      <c r="DI967" s="43"/>
      <c r="DJ967" s="43"/>
      <c r="DK967" s="43"/>
      <c r="DL967" s="43"/>
      <c r="DM967" s="43"/>
      <c r="DN967" s="43"/>
      <c r="DO967" s="43"/>
      <c r="DP967" s="43"/>
      <c r="DQ967" s="43"/>
      <c r="DR967" s="43"/>
      <c r="DS967" s="43"/>
      <c r="DT967" s="43"/>
      <c r="DU967" s="43"/>
      <c r="DV967" s="43"/>
      <c r="DW967" s="43"/>
      <c r="DX967" s="43"/>
      <c r="DY967" s="43"/>
      <c r="DZ967" s="43"/>
      <c r="EA967" s="43"/>
      <c r="EB967" s="43"/>
      <c r="EC967" s="43"/>
      <c r="ED967" s="43"/>
      <c r="EE967" s="43"/>
      <c r="EF967" s="43"/>
      <c r="EG967" s="43"/>
      <c r="EH967" s="43"/>
      <c r="EI967" s="43"/>
      <c r="EJ967" s="43"/>
      <c r="EK967" s="43"/>
      <c r="EL967" s="43"/>
      <c r="EM967" s="43"/>
      <c r="EN967" s="43"/>
      <c r="EO967" s="43"/>
      <c r="EP967" s="43"/>
      <c r="EQ967" s="43"/>
      <c r="ER967" s="43"/>
      <c r="ES967" s="43"/>
      <c r="ET967" s="43"/>
      <c r="EU967" s="43"/>
      <c r="EV967" s="43"/>
      <c r="EW967" s="43"/>
      <c r="EX967" s="43"/>
      <c r="EY967" s="43"/>
      <c r="EZ967" s="43"/>
      <c r="FA967" s="43"/>
      <c r="FB967" s="43"/>
      <c r="FC967" s="43"/>
      <c r="FD967" s="43"/>
      <c r="FE967" s="43"/>
      <c r="FF967" s="43"/>
      <c r="FG967" s="43"/>
      <c r="FH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s="43"/>
      <c r="BM968" s="43"/>
      <c r="BN968" s="43"/>
      <c r="BO968" s="43"/>
      <c r="BP968" s="43"/>
      <c r="BQ968" s="43"/>
      <c r="BR968" s="43"/>
      <c r="BS968" s="43"/>
      <c r="BT968" s="43"/>
      <c r="BU968" s="43"/>
      <c r="BV968" s="43"/>
      <c r="BW968" s="43"/>
      <c r="BX968" s="43"/>
      <c r="BY968" s="43"/>
      <c r="BZ968" s="43"/>
      <c r="CA968" s="43"/>
      <c r="CB968" s="43"/>
      <c r="CC968" s="43"/>
      <c r="CD968" s="43"/>
      <c r="CE968" s="43"/>
      <c r="CF968" s="43"/>
      <c r="CG968" s="43"/>
      <c r="CH968" s="43"/>
      <c r="CI968" s="43"/>
      <c r="CJ968" s="43"/>
      <c r="CK968" s="43"/>
      <c r="CL968" s="43"/>
      <c r="CM968" s="43"/>
      <c r="CN968" s="43"/>
      <c r="CO968" s="43"/>
      <c r="CP968" s="43"/>
      <c r="CQ968" s="43"/>
      <c r="CR968" s="43"/>
      <c r="CS968" s="43"/>
      <c r="CT968" s="43"/>
      <c r="CU968" s="43"/>
      <c r="CV968" s="43"/>
      <c r="CW968" s="43"/>
      <c r="CX968" s="43"/>
      <c r="CY968" s="43"/>
      <c r="CZ968" s="43"/>
      <c r="DA968" s="43"/>
      <c r="DB968" s="43"/>
      <c r="DC968" s="43"/>
      <c r="DD968" s="43"/>
      <c r="DE968" s="43"/>
      <c r="DF968" s="43"/>
      <c r="DG968" s="43"/>
      <c r="DH968" s="43"/>
      <c r="DI968" s="43"/>
      <c r="DJ968" s="43"/>
      <c r="DK968" s="43"/>
      <c r="DL968" s="43"/>
      <c r="DM968" s="43"/>
      <c r="DN968" s="43"/>
      <c r="DO968" s="43"/>
      <c r="DP968" s="43"/>
      <c r="DQ968" s="43"/>
      <c r="DR968" s="43"/>
      <c r="DS968" s="43"/>
      <c r="DT968" s="43"/>
      <c r="DU968" s="43"/>
      <c r="DV968" s="43"/>
      <c r="DW968" s="43"/>
      <c r="DX968" s="43"/>
      <c r="DY968" s="43"/>
      <c r="DZ968" s="43"/>
      <c r="EA968" s="43"/>
      <c r="EB968" s="43"/>
      <c r="EC968" s="43"/>
      <c r="ED968" s="43"/>
      <c r="EE968" s="43"/>
      <c r="EF968" s="43"/>
      <c r="EG968" s="43"/>
      <c r="EH968" s="43"/>
      <c r="EI968" s="43"/>
      <c r="EJ968" s="43"/>
      <c r="EK968" s="43"/>
      <c r="EL968" s="43"/>
      <c r="EM968" s="43"/>
      <c r="EN968" s="43"/>
      <c r="EO968" s="43"/>
      <c r="EP968" s="43"/>
      <c r="EQ968" s="43"/>
      <c r="ER968" s="43"/>
      <c r="ES968" s="43"/>
      <c r="ET968" s="43"/>
      <c r="EU968" s="43"/>
      <c r="EV968" s="43"/>
      <c r="EW968" s="43"/>
      <c r="EX968" s="43"/>
      <c r="EY968" s="43"/>
      <c r="EZ968" s="43"/>
      <c r="FA968" s="43"/>
      <c r="FB968" s="43"/>
      <c r="FC968" s="43"/>
      <c r="FD968" s="43"/>
      <c r="FE968" s="43"/>
      <c r="FF968" s="43"/>
      <c r="FG968" s="43"/>
      <c r="FH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c r="BO969" s="43"/>
      <c r="BP969" s="43"/>
      <c r="BQ969" s="43"/>
      <c r="BR969" s="43"/>
      <c r="BS969" s="43"/>
      <c r="BT969" s="43"/>
      <c r="BU969" s="43"/>
      <c r="BV969" s="43"/>
      <c r="BW969" s="43"/>
      <c r="BX969" s="43"/>
      <c r="BY969" s="43"/>
      <c r="BZ969" s="43"/>
      <c r="CA969" s="43"/>
      <c r="CB969" s="43"/>
      <c r="CC969" s="43"/>
      <c r="CD969" s="43"/>
      <c r="CE969" s="43"/>
      <c r="CF969" s="43"/>
      <c r="CG969" s="43"/>
      <c r="CH969" s="43"/>
      <c r="CI969" s="43"/>
      <c r="CJ969" s="43"/>
      <c r="CK969" s="43"/>
      <c r="CL969" s="43"/>
      <c r="CM969" s="43"/>
      <c r="CN969" s="43"/>
      <c r="CO969" s="43"/>
      <c r="CP969" s="43"/>
      <c r="CQ969" s="43"/>
      <c r="CR969" s="43"/>
      <c r="CS969" s="43"/>
      <c r="CT969" s="43"/>
      <c r="CU969" s="43"/>
      <c r="CV969" s="43"/>
      <c r="CW969" s="43"/>
      <c r="CX969" s="43"/>
      <c r="CY969" s="43"/>
      <c r="CZ969" s="43"/>
      <c r="DA969" s="43"/>
      <c r="DB969" s="43"/>
      <c r="DC969" s="43"/>
      <c r="DD969" s="43"/>
      <c r="DE969" s="43"/>
      <c r="DF969" s="43"/>
      <c r="DG969" s="43"/>
      <c r="DH969" s="43"/>
      <c r="DI969" s="43"/>
      <c r="DJ969" s="43"/>
      <c r="DK969" s="43"/>
      <c r="DL969" s="43"/>
      <c r="DM969" s="43"/>
      <c r="DN969" s="43"/>
      <c r="DO969" s="43"/>
      <c r="DP969" s="43"/>
      <c r="DQ969" s="43"/>
      <c r="DR969" s="43"/>
      <c r="DS969" s="43"/>
      <c r="DT969" s="43"/>
      <c r="DU969" s="43"/>
      <c r="DV969" s="43"/>
      <c r="DW969" s="43"/>
      <c r="DX969" s="43"/>
      <c r="DY969" s="43"/>
      <c r="DZ969" s="43"/>
      <c r="EA969" s="43"/>
      <c r="EB969" s="43"/>
      <c r="EC969" s="43"/>
      <c r="ED969" s="43"/>
      <c r="EE969" s="43"/>
      <c r="EF969" s="43"/>
      <c r="EG969" s="43"/>
      <c r="EH969" s="43"/>
      <c r="EI969" s="43"/>
      <c r="EJ969" s="43"/>
      <c r="EK969" s="43"/>
      <c r="EL969" s="43"/>
      <c r="EM969" s="43"/>
      <c r="EN969" s="43"/>
      <c r="EO969" s="43"/>
      <c r="EP969" s="43"/>
      <c r="EQ969" s="43"/>
      <c r="ER969" s="43"/>
      <c r="ES969" s="43"/>
      <c r="ET969" s="43"/>
      <c r="EU969" s="43"/>
      <c r="EV969" s="43"/>
      <c r="EW969" s="43"/>
      <c r="EX969" s="43"/>
      <c r="EY969" s="43"/>
      <c r="EZ969" s="43"/>
      <c r="FA969" s="43"/>
      <c r="FB969" s="43"/>
      <c r="FC969" s="43"/>
      <c r="FD969" s="43"/>
      <c r="FE969" s="43"/>
      <c r="FF969" s="43"/>
      <c r="FG969" s="43"/>
      <c r="FH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c r="BO970" s="43"/>
      <c r="BP970" s="43"/>
      <c r="BQ970" s="43"/>
      <c r="BR970" s="43"/>
      <c r="BS970" s="43"/>
      <c r="BT970" s="43"/>
      <c r="BU970" s="43"/>
      <c r="BV970" s="43"/>
      <c r="BW970" s="43"/>
      <c r="BX970" s="43"/>
      <c r="BY970" s="43"/>
      <c r="BZ970" s="43"/>
      <c r="CA970" s="43"/>
      <c r="CB970" s="43"/>
      <c r="CC970" s="43"/>
      <c r="CD970" s="43"/>
      <c r="CE970" s="43"/>
      <c r="CF970" s="43"/>
      <c r="CG970" s="43"/>
      <c r="CH970" s="43"/>
      <c r="CI970" s="43"/>
      <c r="CJ970" s="43"/>
      <c r="CK970" s="43"/>
      <c r="CL970" s="43"/>
      <c r="CM970" s="43"/>
      <c r="CN970" s="43"/>
      <c r="CO970" s="43"/>
      <c r="CP970" s="43"/>
      <c r="CQ970" s="43"/>
      <c r="CR970" s="43"/>
      <c r="CS970" s="43"/>
      <c r="CT970" s="43"/>
      <c r="CU970" s="43"/>
      <c r="CV970" s="43"/>
      <c r="CW970" s="43"/>
      <c r="CX970" s="43"/>
      <c r="CY970" s="43"/>
      <c r="CZ970" s="43"/>
      <c r="DA970" s="43"/>
      <c r="DB970" s="43"/>
      <c r="DC970" s="43"/>
      <c r="DD970" s="43"/>
      <c r="DE970" s="43"/>
      <c r="DF970" s="43"/>
      <c r="DG970" s="43"/>
      <c r="DH970" s="43"/>
      <c r="DI970" s="43"/>
      <c r="DJ970" s="43"/>
      <c r="DK970" s="43"/>
      <c r="DL970" s="43"/>
      <c r="DM970" s="43"/>
      <c r="DN970" s="43"/>
      <c r="DO970" s="43"/>
      <c r="DP970" s="43"/>
      <c r="DQ970" s="43"/>
      <c r="DR970" s="43"/>
      <c r="DS970" s="43"/>
      <c r="DT970" s="43"/>
      <c r="DU970" s="43"/>
      <c r="DV970" s="43"/>
      <c r="DW970" s="43"/>
      <c r="DX970" s="43"/>
      <c r="DY970" s="43"/>
      <c r="DZ970" s="43"/>
      <c r="EA970" s="43"/>
      <c r="EB970" s="43"/>
      <c r="EC970" s="43"/>
      <c r="ED970" s="43"/>
      <c r="EE970" s="43"/>
      <c r="EF970" s="43"/>
      <c r="EG970" s="43"/>
      <c r="EH970" s="43"/>
      <c r="EI970" s="43"/>
      <c r="EJ970" s="43"/>
      <c r="EK970" s="43"/>
      <c r="EL970" s="43"/>
      <c r="EM970" s="43"/>
      <c r="EN970" s="43"/>
      <c r="EO970" s="43"/>
      <c r="EP970" s="43"/>
      <c r="EQ970" s="43"/>
      <c r="ER970" s="43"/>
      <c r="ES970" s="43"/>
      <c r="ET970" s="43"/>
      <c r="EU970" s="43"/>
      <c r="EV970" s="43"/>
      <c r="EW970" s="43"/>
      <c r="EX970" s="43"/>
      <c r="EY970" s="43"/>
      <c r="EZ970" s="43"/>
      <c r="FA970" s="43"/>
      <c r="FB970" s="43"/>
      <c r="FC970" s="43"/>
      <c r="FD970" s="43"/>
      <c r="FE970" s="43"/>
      <c r="FF970" s="43"/>
      <c r="FG970" s="43"/>
      <c r="FH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c r="BO971" s="43"/>
      <c r="BP971" s="43"/>
      <c r="BQ971" s="43"/>
      <c r="BR971" s="43"/>
      <c r="BS971" s="43"/>
      <c r="BT971" s="43"/>
      <c r="BU971" s="43"/>
      <c r="BV971" s="43"/>
      <c r="BW971" s="43"/>
      <c r="BX971" s="43"/>
      <c r="BY971" s="43"/>
      <c r="BZ971" s="43"/>
      <c r="CA971" s="43"/>
      <c r="CB971" s="43"/>
      <c r="CC971" s="43"/>
      <c r="CD971" s="43"/>
      <c r="CE971" s="43"/>
      <c r="CF971" s="43"/>
      <c r="CG971" s="43"/>
      <c r="CH971" s="43"/>
      <c r="CI971" s="43"/>
      <c r="CJ971" s="43"/>
      <c r="CK971" s="43"/>
      <c r="CL971" s="43"/>
      <c r="CM971" s="43"/>
      <c r="CN971" s="43"/>
      <c r="CO971" s="43"/>
      <c r="CP971" s="43"/>
      <c r="CQ971" s="43"/>
      <c r="CR971" s="43"/>
      <c r="CS971" s="43"/>
      <c r="CT971" s="43"/>
      <c r="CU971" s="43"/>
      <c r="CV971" s="43"/>
      <c r="CW971" s="43"/>
      <c r="CX971" s="43"/>
      <c r="CY971" s="43"/>
      <c r="CZ971" s="43"/>
      <c r="DA971" s="43"/>
      <c r="DB971" s="43"/>
      <c r="DC971" s="43"/>
      <c r="DD971" s="43"/>
      <c r="DE971" s="43"/>
      <c r="DF971" s="43"/>
      <c r="DG971" s="43"/>
      <c r="DH971" s="43"/>
      <c r="DI971" s="43"/>
      <c r="DJ971" s="43"/>
      <c r="DK971" s="43"/>
      <c r="DL971" s="43"/>
      <c r="DM971" s="43"/>
      <c r="DN971" s="43"/>
      <c r="DO971" s="43"/>
      <c r="DP971" s="43"/>
      <c r="DQ971" s="43"/>
      <c r="DR971" s="43"/>
      <c r="DS971" s="43"/>
      <c r="DT971" s="43"/>
      <c r="DU971" s="43"/>
      <c r="DV971" s="43"/>
      <c r="DW971" s="43"/>
      <c r="DX971" s="43"/>
      <c r="DY971" s="43"/>
      <c r="DZ971" s="43"/>
      <c r="EA971" s="43"/>
      <c r="EB971" s="43"/>
      <c r="EC971" s="43"/>
      <c r="ED971" s="43"/>
      <c r="EE971" s="43"/>
      <c r="EF971" s="43"/>
      <c r="EG971" s="43"/>
      <c r="EH971" s="43"/>
      <c r="EI971" s="43"/>
      <c r="EJ971" s="43"/>
      <c r="EK971" s="43"/>
      <c r="EL971" s="43"/>
      <c r="EM971" s="43"/>
      <c r="EN971" s="43"/>
      <c r="EO971" s="43"/>
      <c r="EP971" s="43"/>
      <c r="EQ971" s="43"/>
      <c r="ER971" s="43"/>
      <c r="ES971" s="43"/>
      <c r="ET971" s="43"/>
      <c r="EU971" s="43"/>
      <c r="EV971" s="43"/>
      <c r="EW971" s="43"/>
      <c r="EX971" s="43"/>
      <c r="EY971" s="43"/>
      <c r="EZ971" s="43"/>
      <c r="FA971" s="43"/>
      <c r="FB971" s="43"/>
      <c r="FC971" s="43"/>
      <c r="FD971" s="43"/>
      <c r="FE971" s="43"/>
      <c r="FF971" s="43"/>
      <c r="FG971" s="43"/>
      <c r="FH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c r="BO972" s="43"/>
      <c r="BP972" s="43"/>
      <c r="BQ972" s="43"/>
      <c r="BR972" s="43"/>
      <c r="BS972" s="43"/>
      <c r="BT972" s="43"/>
      <c r="BU972" s="43"/>
      <c r="BV972" s="43"/>
      <c r="BW972" s="43"/>
      <c r="BX972" s="43"/>
      <c r="BY972" s="43"/>
      <c r="BZ972" s="43"/>
      <c r="CA972" s="43"/>
      <c r="CB972" s="43"/>
      <c r="CC972" s="43"/>
      <c r="CD972" s="43"/>
      <c r="CE972" s="43"/>
      <c r="CF972" s="43"/>
      <c r="CG972" s="43"/>
      <c r="CH972" s="43"/>
      <c r="CI972" s="43"/>
      <c r="CJ972" s="43"/>
      <c r="CK972" s="43"/>
      <c r="CL972" s="43"/>
      <c r="CM972" s="43"/>
      <c r="CN972" s="43"/>
      <c r="CO972" s="43"/>
      <c r="CP972" s="43"/>
      <c r="CQ972" s="43"/>
      <c r="CR972" s="43"/>
      <c r="CS972" s="43"/>
      <c r="CT972" s="43"/>
      <c r="CU972" s="43"/>
      <c r="CV972" s="43"/>
      <c r="CW972" s="43"/>
      <c r="CX972" s="43"/>
      <c r="CY972" s="43"/>
      <c r="CZ972" s="43"/>
      <c r="DA972" s="43"/>
      <c r="DB972" s="43"/>
      <c r="DC972" s="43"/>
      <c r="DD972" s="43"/>
      <c r="DE972" s="43"/>
      <c r="DF972" s="43"/>
      <c r="DG972" s="43"/>
      <c r="DH972" s="43"/>
      <c r="DI972" s="43"/>
      <c r="DJ972" s="43"/>
      <c r="DK972" s="43"/>
      <c r="DL972" s="43"/>
      <c r="DM972" s="43"/>
      <c r="DN972" s="43"/>
      <c r="DO972" s="43"/>
      <c r="DP972" s="43"/>
      <c r="DQ972" s="43"/>
      <c r="DR972" s="43"/>
      <c r="DS972" s="43"/>
      <c r="DT972" s="43"/>
      <c r="DU972" s="43"/>
      <c r="DV972" s="43"/>
      <c r="DW972" s="43"/>
      <c r="DX972" s="43"/>
      <c r="DY972" s="43"/>
      <c r="DZ972" s="43"/>
      <c r="EA972" s="43"/>
      <c r="EB972" s="43"/>
      <c r="EC972" s="43"/>
      <c r="ED972" s="43"/>
      <c r="EE972" s="43"/>
      <c r="EF972" s="43"/>
      <c r="EG972" s="43"/>
      <c r="EH972" s="43"/>
      <c r="EI972" s="43"/>
      <c r="EJ972" s="43"/>
      <c r="EK972" s="43"/>
      <c r="EL972" s="43"/>
      <c r="EM972" s="43"/>
      <c r="EN972" s="43"/>
      <c r="EO972" s="43"/>
      <c r="EP972" s="43"/>
      <c r="EQ972" s="43"/>
      <c r="ER972" s="43"/>
      <c r="ES972" s="43"/>
      <c r="ET972" s="43"/>
      <c r="EU972" s="43"/>
      <c r="EV972" s="43"/>
      <c r="EW972" s="43"/>
      <c r="EX972" s="43"/>
      <c r="EY972" s="43"/>
      <c r="EZ972" s="43"/>
      <c r="FA972" s="43"/>
      <c r="FB972" s="43"/>
      <c r="FC972" s="43"/>
      <c r="FD972" s="43"/>
      <c r="FE972" s="43"/>
      <c r="FF972" s="43"/>
      <c r="FG972" s="43"/>
      <c r="FH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c r="BO973" s="43"/>
      <c r="BP973" s="43"/>
      <c r="BQ973" s="43"/>
      <c r="BR973" s="43"/>
      <c r="BS973" s="43"/>
      <c r="BT973" s="43"/>
      <c r="BU973" s="43"/>
      <c r="BV973" s="43"/>
      <c r="BW973" s="43"/>
      <c r="BX973" s="43"/>
      <c r="BY973" s="43"/>
      <c r="BZ973" s="43"/>
      <c r="CA973" s="43"/>
      <c r="CB973" s="43"/>
      <c r="CC973" s="43"/>
      <c r="CD973" s="43"/>
      <c r="CE973" s="43"/>
      <c r="CF973" s="43"/>
      <c r="CG973" s="43"/>
      <c r="CH973" s="43"/>
      <c r="CI973" s="43"/>
      <c r="CJ973" s="43"/>
      <c r="CK973" s="43"/>
      <c r="CL973" s="43"/>
      <c r="CM973" s="43"/>
      <c r="CN973" s="43"/>
      <c r="CO973" s="43"/>
      <c r="CP973" s="43"/>
      <c r="CQ973" s="43"/>
      <c r="CR973" s="43"/>
      <c r="CS973" s="43"/>
      <c r="CT973" s="43"/>
      <c r="CU973" s="43"/>
      <c r="CV973" s="43"/>
      <c r="CW973" s="43"/>
      <c r="CX973" s="43"/>
      <c r="CY973" s="43"/>
      <c r="CZ973" s="43"/>
      <c r="DA973" s="43"/>
      <c r="DB973" s="43"/>
      <c r="DC973" s="43"/>
      <c r="DD973" s="43"/>
      <c r="DE973" s="43"/>
      <c r="DF973" s="43"/>
      <c r="DG973" s="43"/>
      <c r="DH973" s="43"/>
      <c r="DI973" s="43"/>
      <c r="DJ973" s="43"/>
      <c r="DK973" s="43"/>
      <c r="DL973" s="43"/>
      <c r="DM973" s="43"/>
      <c r="DN973" s="43"/>
      <c r="DO973" s="43"/>
      <c r="DP973" s="43"/>
      <c r="DQ973" s="43"/>
      <c r="DR973" s="43"/>
      <c r="DS973" s="43"/>
      <c r="DT973" s="43"/>
      <c r="DU973" s="43"/>
      <c r="DV973" s="43"/>
      <c r="DW973" s="43"/>
      <c r="DX973" s="43"/>
      <c r="DY973" s="43"/>
      <c r="DZ973" s="43"/>
      <c r="EA973" s="43"/>
      <c r="EB973" s="43"/>
      <c r="EC973" s="43"/>
      <c r="ED973" s="43"/>
      <c r="EE973" s="43"/>
      <c r="EF973" s="43"/>
      <c r="EG973" s="43"/>
      <c r="EH973" s="43"/>
      <c r="EI973" s="43"/>
      <c r="EJ973" s="43"/>
      <c r="EK973" s="43"/>
      <c r="EL973" s="43"/>
      <c r="EM973" s="43"/>
      <c r="EN973" s="43"/>
      <c r="EO973" s="43"/>
      <c r="EP973" s="43"/>
      <c r="EQ973" s="43"/>
      <c r="ER973" s="43"/>
      <c r="ES973" s="43"/>
      <c r="ET973" s="43"/>
      <c r="EU973" s="43"/>
      <c r="EV973" s="43"/>
      <c r="EW973" s="43"/>
      <c r="EX973" s="43"/>
      <c r="EY973" s="43"/>
      <c r="EZ973" s="43"/>
      <c r="FA973" s="43"/>
      <c r="FB973" s="43"/>
      <c r="FC973" s="43"/>
      <c r="FD973" s="43"/>
      <c r="FE973" s="43"/>
      <c r="FF973" s="43"/>
      <c r="FG973" s="43"/>
      <c r="FH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c r="BO974" s="43"/>
      <c r="BP974" s="43"/>
      <c r="BQ974" s="43"/>
      <c r="BR974" s="43"/>
      <c r="BS974" s="43"/>
      <c r="BT974" s="43"/>
      <c r="BU974" s="43"/>
      <c r="BV974" s="43"/>
      <c r="BW974" s="43"/>
      <c r="BX974" s="43"/>
      <c r="BY974" s="43"/>
      <c r="BZ974" s="43"/>
      <c r="CA974" s="43"/>
      <c r="CB974" s="43"/>
      <c r="CC974" s="43"/>
      <c r="CD974" s="43"/>
      <c r="CE974" s="43"/>
      <c r="CF974" s="43"/>
      <c r="CG974" s="43"/>
      <c r="CH974" s="43"/>
      <c r="CI974" s="43"/>
      <c r="CJ974" s="43"/>
      <c r="CK974" s="43"/>
      <c r="CL974" s="43"/>
      <c r="CM974" s="43"/>
      <c r="CN974" s="43"/>
      <c r="CO974" s="43"/>
      <c r="CP974" s="43"/>
      <c r="CQ974" s="43"/>
      <c r="CR974" s="43"/>
      <c r="CS974" s="43"/>
      <c r="CT974" s="43"/>
      <c r="CU974" s="43"/>
      <c r="CV974" s="43"/>
      <c r="CW974" s="43"/>
      <c r="CX974" s="43"/>
      <c r="CY974" s="43"/>
      <c r="CZ974" s="43"/>
      <c r="DA974" s="43"/>
      <c r="DB974" s="43"/>
      <c r="DC974" s="43"/>
      <c r="DD974" s="43"/>
      <c r="DE974" s="43"/>
      <c r="DF974" s="43"/>
      <c r="DG974" s="43"/>
      <c r="DH974" s="43"/>
      <c r="DI974" s="43"/>
      <c r="DJ974" s="43"/>
      <c r="DK974" s="43"/>
      <c r="DL974" s="43"/>
      <c r="DM974" s="43"/>
      <c r="DN974" s="43"/>
      <c r="DO974" s="43"/>
      <c r="DP974" s="43"/>
      <c r="DQ974" s="43"/>
      <c r="DR974" s="43"/>
      <c r="DS974" s="43"/>
      <c r="DT974" s="43"/>
      <c r="DU974" s="43"/>
      <c r="DV974" s="43"/>
      <c r="DW974" s="43"/>
      <c r="DX974" s="43"/>
      <c r="DY974" s="43"/>
      <c r="DZ974" s="43"/>
      <c r="EA974" s="43"/>
      <c r="EB974" s="43"/>
      <c r="EC974" s="43"/>
      <c r="ED974" s="43"/>
      <c r="EE974" s="43"/>
      <c r="EF974" s="43"/>
      <c r="EG974" s="43"/>
      <c r="EH974" s="43"/>
      <c r="EI974" s="43"/>
      <c r="EJ974" s="43"/>
      <c r="EK974" s="43"/>
      <c r="EL974" s="43"/>
      <c r="EM974" s="43"/>
      <c r="EN974" s="43"/>
      <c r="EO974" s="43"/>
      <c r="EP974" s="43"/>
      <c r="EQ974" s="43"/>
      <c r="ER974" s="43"/>
      <c r="ES974" s="43"/>
      <c r="ET974" s="43"/>
      <c r="EU974" s="43"/>
      <c r="EV974" s="43"/>
      <c r="EW974" s="43"/>
      <c r="EX974" s="43"/>
      <c r="EY974" s="43"/>
      <c r="EZ974" s="43"/>
      <c r="FA974" s="43"/>
      <c r="FB974" s="43"/>
      <c r="FC974" s="43"/>
      <c r="FD974" s="43"/>
      <c r="FE974" s="43"/>
      <c r="FF974" s="43"/>
      <c r="FG974" s="43"/>
      <c r="FH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c r="BO975" s="43"/>
      <c r="BP975" s="43"/>
      <c r="BQ975" s="43"/>
      <c r="BR975" s="43"/>
      <c r="BS975" s="43"/>
      <c r="BT975" s="43"/>
      <c r="BU975" s="43"/>
      <c r="BV975" s="43"/>
      <c r="BW975" s="43"/>
      <c r="BX975" s="43"/>
      <c r="BY975" s="43"/>
      <c r="BZ975" s="43"/>
      <c r="CA975" s="43"/>
      <c r="CB975" s="43"/>
      <c r="CC975" s="43"/>
      <c r="CD975" s="43"/>
      <c r="CE975" s="43"/>
      <c r="CF975" s="43"/>
      <c r="CG975" s="43"/>
      <c r="CH975" s="43"/>
      <c r="CI975" s="43"/>
      <c r="CJ975" s="43"/>
      <c r="CK975" s="43"/>
      <c r="CL975" s="43"/>
      <c r="CM975" s="43"/>
      <c r="CN975" s="43"/>
      <c r="CO975" s="43"/>
      <c r="CP975" s="43"/>
      <c r="CQ975" s="43"/>
      <c r="CR975" s="43"/>
      <c r="CS975" s="43"/>
      <c r="CT975" s="43"/>
      <c r="CU975" s="43"/>
      <c r="CV975" s="43"/>
      <c r="CW975" s="43"/>
      <c r="CX975" s="43"/>
      <c r="CY975" s="43"/>
      <c r="CZ975" s="43"/>
      <c r="DA975" s="43"/>
      <c r="DB975" s="43"/>
      <c r="DC975" s="43"/>
      <c r="DD975" s="43"/>
      <c r="DE975" s="43"/>
      <c r="DF975" s="43"/>
      <c r="DG975" s="43"/>
      <c r="DH975" s="43"/>
      <c r="DI975" s="43"/>
      <c r="DJ975" s="43"/>
      <c r="DK975" s="43"/>
      <c r="DL975" s="43"/>
      <c r="DM975" s="43"/>
      <c r="DN975" s="43"/>
      <c r="DO975" s="43"/>
      <c r="DP975" s="43"/>
      <c r="DQ975" s="43"/>
      <c r="DR975" s="43"/>
      <c r="DS975" s="43"/>
      <c r="DT975" s="43"/>
      <c r="DU975" s="43"/>
      <c r="DV975" s="43"/>
      <c r="DW975" s="43"/>
      <c r="DX975" s="43"/>
      <c r="DY975" s="43"/>
      <c r="DZ975" s="43"/>
      <c r="EA975" s="43"/>
      <c r="EB975" s="43"/>
      <c r="EC975" s="43"/>
      <c r="ED975" s="43"/>
      <c r="EE975" s="43"/>
      <c r="EF975" s="43"/>
      <c r="EG975" s="43"/>
      <c r="EH975" s="43"/>
      <c r="EI975" s="43"/>
      <c r="EJ975" s="43"/>
      <c r="EK975" s="43"/>
      <c r="EL975" s="43"/>
      <c r="EM975" s="43"/>
      <c r="EN975" s="43"/>
      <c r="EO975" s="43"/>
      <c r="EP975" s="43"/>
      <c r="EQ975" s="43"/>
      <c r="ER975" s="43"/>
      <c r="ES975" s="43"/>
      <c r="ET975" s="43"/>
      <c r="EU975" s="43"/>
      <c r="EV975" s="43"/>
      <c r="EW975" s="43"/>
      <c r="EX975" s="43"/>
      <c r="EY975" s="43"/>
      <c r="EZ975" s="43"/>
      <c r="FA975" s="43"/>
      <c r="FB975" s="43"/>
      <c r="FC975" s="43"/>
      <c r="FD975" s="43"/>
      <c r="FE975" s="43"/>
      <c r="FF975" s="43"/>
      <c r="FG975" s="43"/>
      <c r="FH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c r="BO976" s="43"/>
      <c r="BP976" s="43"/>
      <c r="BQ976" s="43"/>
      <c r="BR976" s="43"/>
      <c r="BS976" s="43"/>
      <c r="BT976" s="43"/>
      <c r="BU976" s="43"/>
      <c r="BV976" s="43"/>
      <c r="BW976" s="43"/>
      <c r="BX976" s="43"/>
      <c r="BY976" s="43"/>
      <c r="BZ976" s="43"/>
      <c r="CA976" s="43"/>
      <c r="CB976" s="43"/>
      <c r="CC976" s="43"/>
      <c r="CD976" s="43"/>
      <c r="CE976" s="43"/>
      <c r="CF976" s="43"/>
      <c r="CG976" s="43"/>
      <c r="CH976" s="43"/>
      <c r="CI976" s="43"/>
      <c r="CJ976" s="43"/>
      <c r="CK976" s="43"/>
      <c r="CL976" s="43"/>
      <c r="CM976" s="43"/>
      <c r="CN976" s="43"/>
      <c r="CO976" s="43"/>
      <c r="CP976" s="43"/>
      <c r="CQ976" s="43"/>
      <c r="CR976" s="43"/>
      <c r="CS976" s="43"/>
      <c r="CT976" s="43"/>
      <c r="CU976" s="43"/>
      <c r="CV976" s="43"/>
      <c r="CW976" s="43"/>
      <c r="CX976" s="43"/>
      <c r="CY976" s="43"/>
      <c r="CZ976" s="43"/>
      <c r="DA976" s="43"/>
      <c r="DB976" s="43"/>
      <c r="DC976" s="43"/>
      <c r="DD976" s="43"/>
      <c r="DE976" s="43"/>
      <c r="DF976" s="43"/>
      <c r="DG976" s="43"/>
      <c r="DH976" s="43"/>
      <c r="DI976" s="43"/>
      <c r="DJ976" s="43"/>
      <c r="DK976" s="43"/>
      <c r="DL976" s="43"/>
      <c r="DM976" s="43"/>
      <c r="DN976" s="43"/>
      <c r="DO976" s="43"/>
      <c r="DP976" s="43"/>
      <c r="DQ976" s="43"/>
      <c r="DR976" s="43"/>
      <c r="DS976" s="43"/>
      <c r="DT976" s="43"/>
      <c r="DU976" s="43"/>
      <c r="DV976" s="43"/>
      <c r="DW976" s="43"/>
      <c r="DX976" s="43"/>
      <c r="DY976" s="43"/>
      <c r="DZ976" s="43"/>
      <c r="EA976" s="43"/>
      <c r="EB976" s="43"/>
      <c r="EC976" s="43"/>
      <c r="ED976" s="43"/>
      <c r="EE976" s="43"/>
      <c r="EF976" s="43"/>
      <c r="EG976" s="43"/>
      <c r="EH976" s="43"/>
      <c r="EI976" s="43"/>
      <c r="EJ976" s="43"/>
      <c r="EK976" s="43"/>
      <c r="EL976" s="43"/>
      <c r="EM976" s="43"/>
      <c r="EN976" s="43"/>
      <c r="EO976" s="43"/>
      <c r="EP976" s="43"/>
      <c r="EQ976" s="43"/>
      <c r="ER976" s="43"/>
      <c r="ES976" s="43"/>
      <c r="ET976" s="43"/>
      <c r="EU976" s="43"/>
      <c r="EV976" s="43"/>
      <c r="EW976" s="43"/>
      <c r="EX976" s="43"/>
      <c r="EY976" s="43"/>
      <c r="EZ976" s="43"/>
      <c r="FA976" s="43"/>
      <c r="FB976" s="43"/>
      <c r="FC976" s="43"/>
      <c r="FD976" s="43"/>
      <c r="FE976" s="43"/>
      <c r="FF976" s="43"/>
      <c r="FG976" s="43"/>
      <c r="FH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c r="BJ977" s="43"/>
      <c r="BK977" s="43"/>
      <c r="BL977" s="43"/>
      <c r="BM977" s="43"/>
      <c r="BN977" s="43"/>
      <c r="BO977" s="43"/>
      <c r="BP977" s="43"/>
      <c r="BQ977" s="43"/>
      <c r="BR977" s="43"/>
      <c r="BS977" s="43"/>
      <c r="BT977" s="43"/>
      <c r="BU977" s="43"/>
      <c r="BV977" s="43"/>
      <c r="BW977" s="43"/>
      <c r="BX977" s="43"/>
      <c r="BY977" s="43"/>
      <c r="BZ977" s="43"/>
      <c r="CA977" s="43"/>
      <c r="CB977" s="43"/>
      <c r="CC977" s="43"/>
      <c r="CD977" s="43"/>
      <c r="CE977" s="43"/>
      <c r="CF977" s="43"/>
      <c r="CG977" s="43"/>
      <c r="CH977" s="43"/>
      <c r="CI977" s="43"/>
      <c r="CJ977" s="43"/>
      <c r="CK977" s="43"/>
      <c r="CL977" s="43"/>
      <c r="CM977" s="43"/>
      <c r="CN977" s="43"/>
      <c r="CO977" s="43"/>
      <c r="CP977" s="43"/>
      <c r="CQ977" s="43"/>
      <c r="CR977" s="43"/>
      <c r="CS977" s="43"/>
      <c r="CT977" s="43"/>
      <c r="CU977" s="43"/>
      <c r="CV977" s="43"/>
      <c r="CW977" s="43"/>
      <c r="CX977" s="43"/>
      <c r="CY977" s="43"/>
      <c r="CZ977" s="43"/>
      <c r="DA977" s="43"/>
      <c r="DB977" s="43"/>
      <c r="DC977" s="43"/>
      <c r="DD977" s="43"/>
      <c r="DE977" s="43"/>
      <c r="DF977" s="43"/>
      <c r="DG977" s="43"/>
      <c r="DH977" s="43"/>
      <c r="DI977" s="43"/>
      <c r="DJ977" s="43"/>
      <c r="DK977" s="43"/>
      <c r="DL977" s="43"/>
      <c r="DM977" s="43"/>
      <c r="DN977" s="43"/>
      <c r="DO977" s="43"/>
      <c r="DP977" s="43"/>
      <c r="DQ977" s="43"/>
      <c r="DR977" s="43"/>
      <c r="DS977" s="43"/>
      <c r="DT977" s="43"/>
      <c r="DU977" s="43"/>
      <c r="DV977" s="43"/>
      <c r="DW977" s="43"/>
      <c r="DX977" s="43"/>
      <c r="DY977" s="43"/>
      <c r="DZ977" s="43"/>
      <c r="EA977" s="43"/>
      <c r="EB977" s="43"/>
      <c r="EC977" s="43"/>
      <c r="ED977" s="43"/>
      <c r="EE977" s="43"/>
      <c r="EF977" s="43"/>
      <c r="EG977" s="43"/>
      <c r="EH977" s="43"/>
      <c r="EI977" s="43"/>
      <c r="EJ977" s="43"/>
      <c r="EK977" s="43"/>
      <c r="EL977" s="43"/>
      <c r="EM977" s="43"/>
      <c r="EN977" s="43"/>
      <c r="EO977" s="43"/>
      <c r="EP977" s="43"/>
      <c r="EQ977" s="43"/>
      <c r="ER977" s="43"/>
      <c r="ES977" s="43"/>
      <c r="ET977" s="43"/>
      <c r="EU977" s="43"/>
      <c r="EV977" s="43"/>
      <c r="EW977" s="43"/>
      <c r="EX977" s="43"/>
      <c r="EY977" s="43"/>
      <c r="EZ977" s="43"/>
      <c r="FA977" s="43"/>
      <c r="FB977" s="43"/>
      <c r="FC977" s="43"/>
      <c r="FD977" s="43"/>
      <c r="FE977" s="43"/>
      <c r="FF977" s="43"/>
      <c r="FG977" s="43"/>
      <c r="FH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c r="BJ978" s="43"/>
      <c r="BK978" s="43"/>
      <c r="BL978" s="43"/>
      <c r="BM978" s="43"/>
      <c r="BN978" s="43"/>
      <c r="BO978" s="43"/>
      <c r="BP978" s="43"/>
      <c r="BQ978" s="43"/>
      <c r="BR978" s="43"/>
      <c r="BS978" s="43"/>
      <c r="BT978" s="43"/>
      <c r="BU978" s="43"/>
      <c r="BV978" s="43"/>
      <c r="BW978" s="43"/>
      <c r="BX978" s="43"/>
      <c r="BY978" s="43"/>
      <c r="BZ978" s="43"/>
      <c r="CA978" s="43"/>
      <c r="CB978" s="43"/>
      <c r="CC978" s="43"/>
      <c r="CD978" s="43"/>
      <c r="CE978" s="43"/>
      <c r="CF978" s="43"/>
      <c r="CG978" s="43"/>
      <c r="CH978" s="43"/>
      <c r="CI978" s="43"/>
      <c r="CJ978" s="43"/>
      <c r="CK978" s="43"/>
      <c r="CL978" s="43"/>
      <c r="CM978" s="43"/>
      <c r="CN978" s="43"/>
      <c r="CO978" s="43"/>
      <c r="CP978" s="43"/>
      <c r="CQ978" s="43"/>
      <c r="CR978" s="43"/>
      <c r="CS978" s="43"/>
      <c r="CT978" s="43"/>
      <c r="CU978" s="43"/>
      <c r="CV978" s="43"/>
      <c r="CW978" s="43"/>
      <c r="CX978" s="43"/>
      <c r="CY978" s="43"/>
      <c r="CZ978" s="43"/>
      <c r="DA978" s="43"/>
      <c r="DB978" s="43"/>
      <c r="DC978" s="43"/>
      <c r="DD978" s="43"/>
      <c r="DE978" s="43"/>
      <c r="DF978" s="43"/>
      <c r="DG978" s="43"/>
      <c r="DH978" s="43"/>
      <c r="DI978" s="43"/>
      <c r="DJ978" s="43"/>
      <c r="DK978" s="43"/>
      <c r="DL978" s="43"/>
      <c r="DM978" s="43"/>
      <c r="DN978" s="43"/>
      <c r="DO978" s="43"/>
      <c r="DP978" s="43"/>
      <c r="DQ978" s="43"/>
      <c r="DR978" s="43"/>
      <c r="DS978" s="43"/>
      <c r="DT978" s="43"/>
      <c r="DU978" s="43"/>
      <c r="DV978" s="43"/>
      <c r="DW978" s="43"/>
      <c r="DX978" s="43"/>
      <c r="DY978" s="43"/>
      <c r="DZ978" s="43"/>
      <c r="EA978" s="43"/>
      <c r="EB978" s="43"/>
      <c r="EC978" s="43"/>
      <c r="ED978" s="43"/>
      <c r="EE978" s="43"/>
      <c r="EF978" s="43"/>
      <c r="EG978" s="43"/>
      <c r="EH978" s="43"/>
      <c r="EI978" s="43"/>
      <c r="EJ978" s="43"/>
      <c r="EK978" s="43"/>
      <c r="EL978" s="43"/>
      <c r="EM978" s="43"/>
      <c r="EN978" s="43"/>
      <c r="EO978" s="43"/>
      <c r="EP978" s="43"/>
      <c r="EQ978" s="43"/>
      <c r="ER978" s="43"/>
      <c r="ES978" s="43"/>
      <c r="ET978" s="43"/>
      <c r="EU978" s="43"/>
      <c r="EV978" s="43"/>
      <c r="EW978" s="43"/>
      <c r="EX978" s="43"/>
      <c r="EY978" s="43"/>
      <c r="EZ978" s="43"/>
      <c r="FA978" s="43"/>
      <c r="FB978" s="43"/>
      <c r="FC978" s="43"/>
      <c r="FD978" s="43"/>
      <c r="FE978" s="43"/>
      <c r="FF978" s="43"/>
      <c r="FG978" s="43"/>
      <c r="FH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c r="BJ979" s="43"/>
      <c r="BK979" s="43"/>
      <c r="BL979" s="43"/>
      <c r="BM979" s="43"/>
      <c r="BN979" s="43"/>
      <c r="BO979" s="43"/>
      <c r="BP979" s="43"/>
      <c r="BQ979" s="43"/>
      <c r="BR979" s="43"/>
      <c r="BS979" s="43"/>
      <c r="BT979" s="43"/>
      <c r="BU979" s="43"/>
      <c r="BV979" s="43"/>
      <c r="BW979" s="43"/>
      <c r="BX979" s="43"/>
      <c r="BY979" s="43"/>
      <c r="BZ979" s="43"/>
      <c r="CA979" s="43"/>
      <c r="CB979" s="43"/>
      <c r="CC979" s="43"/>
      <c r="CD979" s="43"/>
      <c r="CE979" s="43"/>
      <c r="CF979" s="43"/>
      <c r="CG979" s="43"/>
      <c r="CH979" s="43"/>
      <c r="CI979" s="43"/>
      <c r="CJ979" s="43"/>
      <c r="CK979" s="43"/>
      <c r="CL979" s="43"/>
      <c r="CM979" s="43"/>
      <c r="CN979" s="43"/>
      <c r="CO979" s="43"/>
      <c r="CP979" s="43"/>
      <c r="CQ979" s="43"/>
      <c r="CR979" s="43"/>
      <c r="CS979" s="43"/>
      <c r="CT979" s="43"/>
      <c r="CU979" s="43"/>
      <c r="CV979" s="43"/>
      <c r="CW979" s="43"/>
      <c r="CX979" s="43"/>
      <c r="CY979" s="43"/>
      <c r="CZ979" s="43"/>
      <c r="DA979" s="43"/>
      <c r="DB979" s="43"/>
      <c r="DC979" s="43"/>
      <c r="DD979" s="43"/>
      <c r="DE979" s="43"/>
      <c r="DF979" s="43"/>
      <c r="DG979" s="43"/>
      <c r="DH979" s="43"/>
      <c r="DI979" s="43"/>
      <c r="DJ979" s="43"/>
      <c r="DK979" s="43"/>
      <c r="DL979" s="43"/>
      <c r="DM979" s="43"/>
      <c r="DN979" s="43"/>
      <c r="DO979" s="43"/>
      <c r="DP979" s="43"/>
      <c r="DQ979" s="43"/>
      <c r="DR979" s="43"/>
      <c r="DS979" s="43"/>
      <c r="DT979" s="43"/>
      <c r="DU979" s="43"/>
      <c r="DV979" s="43"/>
      <c r="DW979" s="43"/>
      <c r="DX979" s="43"/>
      <c r="DY979" s="43"/>
      <c r="DZ979" s="43"/>
      <c r="EA979" s="43"/>
      <c r="EB979" s="43"/>
      <c r="EC979" s="43"/>
      <c r="ED979" s="43"/>
      <c r="EE979" s="43"/>
      <c r="EF979" s="43"/>
      <c r="EG979" s="43"/>
      <c r="EH979" s="43"/>
      <c r="EI979" s="43"/>
      <c r="EJ979" s="43"/>
      <c r="EK979" s="43"/>
      <c r="EL979" s="43"/>
      <c r="EM979" s="43"/>
      <c r="EN979" s="43"/>
      <c r="EO979" s="43"/>
      <c r="EP979" s="43"/>
      <c r="EQ979" s="43"/>
      <c r="ER979" s="43"/>
      <c r="ES979" s="43"/>
      <c r="ET979" s="43"/>
      <c r="EU979" s="43"/>
      <c r="EV979" s="43"/>
      <c r="EW979" s="43"/>
      <c r="EX979" s="43"/>
      <c r="EY979" s="43"/>
      <c r="EZ979" s="43"/>
      <c r="FA979" s="43"/>
      <c r="FB979" s="43"/>
      <c r="FC979" s="43"/>
      <c r="FD979" s="43"/>
      <c r="FE979" s="43"/>
      <c r="FF979" s="43"/>
      <c r="FG979" s="43"/>
      <c r="FH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s="43"/>
      <c r="BM980" s="43"/>
      <c r="BN980" s="43"/>
      <c r="BO980" s="43"/>
      <c r="BP980" s="43"/>
      <c r="BQ980" s="43"/>
      <c r="BR980" s="43"/>
      <c r="BS980" s="43"/>
      <c r="BT980" s="43"/>
      <c r="BU980" s="43"/>
      <c r="BV980" s="43"/>
      <c r="BW980" s="43"/>
      <c r="BX980" s="43"/>
      <c r="BY980" s="43"/>
      <c r="BZ980" s="43"/>
      <c r="CA980" s="43"/>
      <c r="CB980" s="43"/>
      <c r="CC980" s="43"/>
      <c r="CD980" s="43"/>
      <c r="CE980" s="43"/>
      <c r="CF980" s="43"/>
      <c r="CG980" s="43"/>
      <c r="CH980" s="43"/>
      <c r="CI980" s="43"/>
      <c r="CJ980" s="43"/>
      <c r="CK980" s="43"/>
      <c r="CL980" s="43"/>
      <c r="CM980" s="43"/>
      <c r="CN980" s="43"/>
      <c r="CO980" s="43"/>
      <c r="CP980" s="43"/>
      <c r="CQ980" s="43"/>
      <c r="CR980" s="43"/>
      <c r="CS980" s="43"/>
      <c r="CT980" s="43"/>
      <c r="CU980" s="43"/>
      <c r="CV980" s="43"/>
      <c r="CW980" s="43"/>
      <c r="CX980" s="43"/>
      <c r="CY980" s="43"/>
      <c r="CZ980" s="43"/>
      <c r="DA980" s="43"/>
      <c r="DB980" s="43"/>
      <c r="DC980" s="43"/>
      <c r="DD980" s="43"/>
      <c r="DE980" s="43"/>
      <c r="DF980" s="43"/>
      <c r="DG980" s="43"/>
      <c r="DH980" s="43"/>
      <c r="DI980" s="43"/>
      <c r="DJ980" s="43"/>
      <c r="DK980" s="43"/>
      <c r="DL980" s="43"/>
      <c r="DM980" s="43"/>
      <c r="DN980" s="43"/>
      <c r="DO980" s="43"/>
      <c r="DP980" s="43"/>
      <c r="DQ980" s="43"/>
      <c r="DR980" s="43"/>
      <c r="DS980" s="43"/>
      <c r="DT980" s="43"/>
      <c r="DU980" s="43"/>
      <c r="DV980" s="43"/>
      <c r="DW980" s="43"/>
      <c r="DX980" s="43"/>
      <c r="DY980" s="43"/>
      <c r="DZ980" s="43"/>
      <c r="EA980" s="43"/>
      <c r="EB980" s="43"/>
      <c r="EC980" s="43"/>
      <c r="ED980" s="43"/>
      <c r="EE980" s="43"/>
      <c r="EF980" s="43"/>
      <c r="EG980" s="43"/>
      <c r="EH980" s="43"/>
      <c r="EI980" s="43"/>
      <c r="EJ980" s="43"/>
      <c r="EK980" s="43"/>
      <c r="EL980" s="43"/>
      <c r="EM980" s="43"/>
      <c r="EN980" s="43"/>
      <c r="EO980" s="43"/>
      <c r="EP980" s="43"/>
      <c r="EQ980" s="43"/>
      <c r="ER980" s="43"/>
      <c r="ES980" s="43"/>
      <c r="ET980" s="43"/>
      <c r="EU980" s="43"/>
      <c r="EV980" s="43"/>
      <c r="EW980" s="43"/>
      <c r="EX980" s="43"/>
      <c r="EY980" s="43"/>
      <c r="EZ980" s="43"/>
      <c r="FA980" s="43"/>
      <c r="FB980" s="43"/>
      <c r="FC980" s="43"/>
      <c r="FD980" s="43"/>
      <c r="FE980" s="43"/>
      <c r="FF980" s="43"/>
      <c r="FG980" s="43"/>
      <c r="FH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c r="BJ981" s="43"/>
      <c r="BK981" s="43"/>
      <c r="BL981" s="43"/>
      <c r="BM981" s="43"/>
      <c r="BN981" s="43"/>
      <c r="BO981" s="43"/>
      <c r="BP981" s="43"/>
      <c r="BQ981" s="43"/>
      <c r="BR981" s="43"/>
      <c r="BS981" s="43"/>
      <c r="BT981" s="43"/>
      <c r="BU981" s="43"/>
      <c r="BV981" s="43"/>
      <c r="BW981" s="43"/>
      <c r="BX981" s="43"/>
      <c r="BY981" s="43"/>
      <c r="BZ981" s="43"/>
      <c r="CA981" s="43"/>
      <c r="CB981" s="43"/>
      <c r="CC981" s="43"/>
      <c r="CD981" s="43"/>
      <c r="CE981" s="43"/>
      <c r="CF981" s="43"/>
      <c r="CG981" s="43"/>
      <c r="CH981" s="43"/>
      <c r="CI981" s="43"/>
      <c r="CJ981" s="43"/>
      <c r="CK981" s="43"/>
      <c r="CL981" s="43"/>
      <c r="CM981" s="43"/>
      <c r="CN981" s="43"/>
      <c r="CO981" s="43"/>
      <c r="CP981" s="43"/>
      <c r="CQ981" s="43"/>
      <c r="CR981" s="43"/>
      <c r="CS981" s="43"/>
      <c r="CT981" s="43"/>
      <c r="CU981" s="43"/>
      <c r="CV981" s="43"/>
      <c r="CW981" s="43"/>
      <c r="CX981" s="43"/>
      <c r="CY981" s="43"/>
      <c r="CZ981" s="43"/>
      <c r="DA981" s="43"/>
      <c r="DB981" s="43"/>
      <c r="DC981" s="43"/>
      <c r="DD981" s="43"/>
      <c r="DE981" s="43"/>
      <c r="DF981" s="43"/>
      <c r="DG981" s="43"/>
      <c r="DH981" s="43"/>
      <c r="DI981" s="43"/>
      <c r="DJ981" s="43"/>
      <c r="DK981" s="43"/>
      <c r="DL981" s="43"/>
      <c r="DM981" s="43"/>
      <c r="DN981" s="43"/>
      <c r="DO981" s="43"/>
      <c r="DP981" s="43"/>
      <c r="DQ981" s="43"/>
      <c r="DR981" s="43"/>
      <c r="DS981" s="43"/>
      <c r="DT981" s="43"/>
      <c r="DU981" s="43"/>
      <c r="DV981" s="43"/>
      <c r="DW981" s="43"/>
      <c r="DX981" s="43"/>
      <c r="DY981" s="43"/>
      <c r="DZ981" s="43"/>
      <c r="EA981" s="43"/>
      <c r="EB981" s="43"/>
      <c r="EC981" s="43"/>
      <c r="ED981" s="43"/>
      <c r="EE981" s="43"/>
      <c r="EF981" s="43"/>
      <c r="EG981" s="43"/>
      <c r="EH981" s="43"/>
      <c r="EI981" s="43"/>
      <c r="EJ981" s="43"/>
      <c r="EK981" s="43"/>
      <c r="EL981" s="43"/>
      <c r="EM981" s="43"/>
      <c r="EN981" s="43"/>
      <c r="EO981" s="43"/>
      <c r="EP981" s="43"/>
      <c r="EQ981" s="43"/>
      <c r="ER981" s="43"/>
      <c r="ES981" s="43"/>
      <c r="ET981" s="43"/>
      <c r="EU981" s="43"/>
      <c r="EV981" s="43"/>
      <c r="EW981" s="43"/>
      <c r="EX981" s="43"/>
      <c r="EY981" s="43"/>
      <c r="EZ981" s="43"/>
      <c r="FA981" s="43"/>
      <c r="FB981" s="43"/>
      <c r="FC981" s="43"/>
      <c r="FD981" s="43"/>
      <c r="FE981" s="43"/>
      <c r="FF981" s="43"/>
      <c r="FG981" s="43"/>
      <c r="FH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s="43"/>
      <c r="BM982" s="43"/>
      <c r="BN982" s="43"/>
      <c r="BO982" s="43"/>
      <c r="BP982" s="43"/>
      <c r="BQ982" s="43"/>
      <c r="BR982" s="43"/>
      <c r="BS982" s="43"/>
      <c r="BT982" s="43"/>
      <c r="BU982" s="43"/>
      <c r="BV982" s="43"/>
      <c r="BW982" s="43"/>
      <c r="BX982" s="43"/>
      <c r="BY982" s="43"/>
      <c r="BZ982" s="43"/>
      <c r="CA982" s="43"/>
      <c r="CB982" s="43"/>
      <c r="CC982" s="43"/>
      <c r="CD982" s="43"/>
      <c r="CE982" s="43"/>
      <c r="CF982" s="43"/>
      <c r="CG982" s="43"/>
      <c r="CH982" s="43"/>
      <c r="CI982" s="43"/>
      <c r="CJ982" s="43"/>
      <c r="CK982" s="43"/>
      <c r="CL982" s="43"/>
      <c r="CM982" s="43"/>
      <c r="CN982" s="43"/>
      <c r="CO982" s="43"/>
      <c r="CP982" s="43"/>
      <c r="CQ982" s="43"/>
      <c r="CR982" s="43"/>
      <c r="CS982" s="43"/>
      <c r="CT982" s="43"/>
      <c r="CU982" s="43"/>
      <c r="CV982" s="43"/>
      <c r="CW982" s="43"/>
      <c r="CX982" s="43"/>
      <c r="CY982" s="43"/>
      <c r="CZ982" s="43"/>
      <c r="DA982" s="43"/>
      <c r="DB982" s="43"/>
      <c r="DC982" s="43"/>
      <c r="DD982" s="43"/>
      <c r="DE982" s="43"/>
      <c r="DF982" s="43"/>
      <c r="DG982" s="43"/>
      <c r="DH982" s="43"/>
      <c r="DI982" s="43"/>
      <c r="DJ982" s="43"/>
      <c r="DK982" s="43"/>
      <c r="DL982" s="43"/>
      <c r="DM982" s="43"/>
      <c r="DN982" s="43"/>
      <c r="DO982" s="43"/>
      <c r="DP982" s="43"/>
      <c r="DQ982" s="43"/>
      <c r="DR982" s="43"/>
      <c r="DS982" s="43"/>
      <c r="DT982" s="43"/>
      <c r="DU982" s="43"/>
      <c r="DV982" s="43"/>
      <c r="DW982" s="43"/>
      <c r="DX982" s="43"/>
      <c r="DY982" s="43"/>
      <c r="DZ982" s="43"/>
      <c r="EA982" s="43"/>
      <c r="EB982" s="43"/>
      <c r="EC982" s="43"/>
      <c r="ED982" s="43"/>
      <c r="EE982" s="43"/>
      <c r="EF982" s="43"/>
      <c r="EG982" s="43"/>
      <c r="EH982" s="43"/>
      <c r="EI982" s="43"/>
      <c r="EJ982" s="43"/>
      <c r="EK982" s="43"/>
      <c r="EL982" s="43"/>
      <c r="EM982" s="43"/>
      <c r="EN982" s="43"/>
      <c r="EO982" s="43"/>
      <c r="EP982" s="43"/>
      <c r="EQ982" s="43"/>
      <c r="ER982" s="43"/>
      <c r="ES982" s="43"/>
      <c r="ET982" s="43"/>
      <c r="EU982" s="43"/>
      <c r="EV982" s="43"/>
      <c r="EW982" s="43"/>
      <c r="EX982" s="43"/>
      <c r="EY982" s="43"/>
      <c r="EZ982" s="43"/>
      <c r="FA982" s="43"/>
      <c r="FB982" s="43"/>
      <c r="FC982" s="43"/>
      <c r="FD982" s="43"/>
      <c r="FE982" s="43"/>
      <c r="FF982" s="43"/>
      <c r="FG982" s="43"/>
      <c r="FH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c r="BJ983" s="43"/>
      <c r="BK983" s="43"/>
      <c r="BL983" s="43"/>
      <c r="BM983" s="43"/>
      <c r="BN983" s="43"/>
      <c r="BO983" s="43"/>
      <c r="BP983" s="43"/>
      <c r="BQ983" s="43"/>
      <c r="BR983" s="43"/>
      <c r="BS983" s="43"/>
      <c r="BT983" s="43"/>
      <c r="BU983" s="43"/>
      <c r="BV983" s="43"/>
      <c r="BW983" s="43"/>
      <c r="BX983" s="43"/>
      <c r="BY983" s="43"/>
      <c r="BZ983" s="43"/>
      <c r="CA983" s="43"/>
      <c r="CB983" s="43"/>
      <c r="CC983" s="43"/>
      <c r="CD983" s="43"/>
      <c r="CE983" s="43"/>
      <c r="CF983" s="43"/>
      <c r="CG983" s="43"/>
      <c r="CH983" s="43"/>
      <c r="CI983" s="43"/>
      <c r="CJ983" s="43"/>
      <c r="CK983" s="43"/>
      <c r="CL983" s="43"/>
      <c r="CM983" s="43"/>
      <c r="CN983" s="43"/>
      <c r="CO983" s="43"/>
      <c r="CP983" s="43"/>
      <c r="CQ983" s="43"/>
      <c r="CR983" s="43"/>
      <c r="CS983" s="43"/>
      <c r="CT983" s="43"/>
      <c r="CU983" s="43"/>
      <c r="CV983" s="43"/>
      <c r="CW983" s="43"/>
      <c r="CX983" s="43"/>
      <c r="CY983" s="43"/>
      <c r="CZ983" s="43"/>
      <c r="DA983" s="43"/>
      <c r="DB983" s="43"/>
      <c r="DC983" s="43"/>
      <c r="DD983" s="43"/>
      <c r="DE983" s="43"/>
      <c r="DF983" s="43"/>
      <c r="DG983" s="43"/>
      <c r="DH983" s="43"/>
      <c r="DI983" s="43"/>
      <c r="DJ983" s="43"/>
      <c r="DK983" s="43"/>
      <c r="DL983" s="43"/>
      <c r="DM983" s="43"/>
      <c r="DN983" s="43"/>
      <c r="DO983" s="43"/>
      <c r="DP983" s="43"/>
      <c r="DQ983" s="43"/>
      <c r="DR983" s="43"/>
      <c r="DS983" s="43"/>
      <c r="DT983" s="43"/>
      <c r="DU983" s="43"/>
      <c r="DV983" s="43"/>
      <c r="DW983" s="43"/>
      <c r="DX983" s="43"/>
      <c r="DY983" s="43"/>
      <c r="DZ983" s="43"/>
      <c r="EA983" s="43"/>
      <c r="EB983" s="43"/>
      <c r="EC983" s="43"/>
      <c r="ED983" s="43"/>
      <c r="EE983" s="43"/>
      <c r="EF983" s="43"/>
      <c r="EG983" s="43"/>
      <c r="EH983" s="43"/>
      <c r="EI983" s="43"/>
      <c r="EJ983" s="43"/>
      <c r="EK983" s="43"/>
      <c r="EL983" s="43"/>
      <c r="EM983" s="43"/>
      <c r="EN983" s="43"/>
      <c r="EO983" s="43"/>
      <c r="EP983" s="43"/>
      <c r="EQ983" s="43"/>
      <c r="ER983" s="43"/>
      <c r="ES983" s="43"/>
      <c r="ET983" s="43"/>
      <c r="EU983" s="43"/>
      <c r="EV983" s="43"/>
      <c r="EW983" s="43"/>
      <c r="EX983" s="43"/>
      <c r="EY983" s="43"/>
      <c r="EZ983" s="43"/>
      <c r="FA983" s="43"/>
      <c r="FB983" s="43"/>
      <c r="FC983" s="43"/>
      <c r="FD983" s="43"/>
      <c r="FE983" s="43"/>
      <c r="FF983" s="43"/>
      <c r="FG983" s="43"/>
      <c r="FH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c r="BJ984" s="43"/>
      <c r="BK984" s="43"/>
      <c r="BL984" s="43"/>
      <c r="BM984" s="43"/>
      <c r="BN984" s="43"/>
      <c r="BO984" s="43"/>
      <c r="BP984" s="43"/>
      <c r="BQ984" s="43"/>
      <c r="BR984" s="43"/>
      <c r="BS984" s="43"/>
      <c r="BT984" s="43"/>
      <c r="BU984" s="43"/>
      <c r="BV984" s="43"/>
      <c r="BW984" s="43"/>
      <c r="BX984" s="43"/>
      <c r="BY984" s="43"/>
      <c r="BZ984" s="43"/>
      <c r="CA984" s="43"/>
      <c r="CB984" s="43"/>
      <c r="CC984" s="43"/>
      <c r="CD984" s="43"/>
      <c r="CE984" s="43"/>
      <c r="CF984" s="43"/>
      <c r="CG984" s="43"/>
      <c r="CH984" s="43"/>
      <c r="CI984" s="43"/>
      <c r="CJ984" s="43"/>
      <c r="CK984" s="43"/>
      <c r="CL984" s="43"/>
      <c r="CM984" s="43"/>
      <c r="CN984" s="43"/>
      <c r="CO984" s="43"/>
      <c r="CP984" s="43"/>
      <c r="CQ984" s="43"/>
      <c r="CR984" s="43"/>
      <c r="CS984" s="43"/>
      <c r="CT984" s="43"/>
      <c r="CU984" s="43"/>
      <c r="CV984" s="43"/>
      <c r="CW984" s="43"/>
      <c r="CX984" s="43"/>
      <c r="CY984" s="43"/>
      <c r="CZ984" s="43"/>
      <c r="DA984" s="43"/>
      <c r="DB984" s="43"/>
      <c r="DC984" s="43"/>
      <c r="DD984" s="43"/>
      <c r="DE984" s="43"/>
      <c r="DF984" s="43"/>
      <c r="DG984" s="43"/>
      <c r="DH984" s="43"/>
      <c r="DI984" s="43"/>
      <c r="DJ984" s="43"/>
      <c r="DK984" s="43"/>
      <c r="DL984" s="43"/>
      <c r="DM984" s="43"/>
      <c r="DN984" s="43"/>
      <c r="DO984" s="43"/>
      <c r="DP984" s="43"/>
      <c r="DQ984" s="43"/>
      <c r="DR984" s="43"/>
      <c r="DS984" s="43"/>
      <c r="DT984" s="43"/>
      <c r="DU984" s="43"/>
      <c r="DV984" s="43"/>
      <c r="DW984" s="43"/>
      <c r="DX984" s="43"/>
      <c r="DY984" s="43"/>
      <c r="DZ984" s="43"/>
      <c r="EA984" s="43"/>
      <c r="EB984" s="43"/>
      <c r="EC984" s="43"/>
      <c r="ED984" s="43"/>
      <c r="EE984" s="43"/>
      <c r="EF984" s="43"/>
      <c r="EG984" s="43"/>
      <c r="EH984" s="43"/>
      <c r="EI984" s="43"/>
      <c r="EJ984" s="43"/>
      <c r="EK984" s="43"/>
      <c r="EL984" s="43"/>
      <c r="EM984" s="43"/>
      <c r="EN984" s="43"/>
      <c r="EO984" s="43"/>
      <c r="EP984" s="43"/>
      <c r="EQ984" s="43"/>
      <c r="ER984" s="43"/>
      <c r="ES984" s="43"/>
      <c r="ET984" s="43"/>
      <c r="EU984" s="43"/>
      <c r="EV984" s="43"/>
      <c r="EW984" s="43"/>
      <c r="EX984" s="43"/>
      <c r="EY984" s="43"/>
      <c r="EZ984" s="43"/>
      <c r="FA984" s="43"/>
      <c r="FB984" s="43"/>
      <c r="FC984" s="43"/>
      <c r="FD984" s="43"/>
      <c r="FE984" s="43"/>
      <c r="FF984" s="43"/>
      <c r="FG984" s="43"/>
      <c r="FH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c r="BO985" s="43"/>
      <c r="BP985" s="43"/>
      <c r="BQ985" s="43"/>
      <c r="BR985" s="43"/>
      <c r="BS985" s="43"/>
      <c r="BT985" s="43"/>
      <c r="BU985" s="43"/>
      <c r="BV985" s="43"/>
      <c r="BW985" s="43"/>
      <c r="BX985" s="43"/>
      <c r="BY985" s="43"/>
      <c r="BZ985" s="43"/>
      <c r="CA985" s="43"/>
      <c r="CB985" s="43"/>
      <c r="CC985" s="43"/>
      <c r="CD985" s="43"/>
      <c r="CE985" s="43"/>
      <c r="CF985" s="43"/>
      <c r="CG985" s="43"/>
      <c r="CH985" s="43"/>
      <c r="CI985" s="43"/>
      <c r="CJ985" s="43"/>
      <c r="CK985" s="43"/>
      <c r="CL985" s="43"/>
      <c r="CM985" s="43"/>
      <c r="CN985" s="43"/>
      <c r="CO985" s="43"/>
      <c r="CP985" s="43"/>
      <c r="CQ985" s="43"/>
      <c r="CR985" s="43"/>
      <c r="CS985" s="43"/>
      <c r="CT985" s="43"/>
      <c r="CU985" s="43"/>
      <c r="CV985" s="43"/>
      <c r="CW985" s="43"/>
      <c r="CX985" s="43"/>
      <c r="CY985" s="43"/>
      <c r="CZ985" s="43"/>
      <c r="DA985" s="43"/>
      <c r="DB985" s="43"/>
      <c r="DC985" s="43"/>
      <c r="DD985" s="43"/>
      <c r="DE985" s="43"/>
      <c r="DF985" s="43"/>
      <c r="DG985" s="43"/>
      <c r="DH985" s="43"/>
      <c r="DI985" s="43"/>
      <c r="DJ985" s="43"/>
      <c r="DK985" s="43"/>
      <c r="DL985" s="43"/>
      <c r="DM985" s="43"/>
      <c r="DN985" s="43"/>
      <c r="DO985" s="43"/>
      <c r="DP985" s="43"/>
      <c r="DQ985" s="43"/>
      <c r="DR985" s="43"/>
      <c r="DS985" s="43"/>
      <c r="DT985" s="43"/>
      <c r="DU985" s="43"/>
      <c r="DV985" s="43"/>
      <c r="DW985" s="43"/>
      <c r="DX985" s="43"/>
      <c r="DY985" s="43"/>
      <c r="DZ985" s="43"/>
      <c r="EA985" s="43"/>
      <c r="EB985" s="43"/>
      <c r="EC985" s="43"/>
      <c r="ED985" s="43"/>
      <c r="EE985" s="43"/>
      <c r="EF985" s="43"/>
      <c r="EG985" s="43"/>
      <c r="EH985" s="43"/>
      <c r="EI985" s="43"/>
      <c r="EJ985" s="43"/>
      <c r="EK985" s="43"/>
      <c r="EL985" s="43"/>
      <c r="EM985" s="43"/>
      <c r="EN985" s="43"/>
      <c r="EO985" s="43"/>
      <c r="EP985" s="43"/>
      <c r="EQ985" s="43"/>
      <c r="ER985" s="43"/>
      <c r="ES985" s="43"/>
      <c r="ET985" s="43"/>
      <c r="EU985" s="43"/>
      <c r="EV985" s="43"/>
      <c r="EW985" s="43"/>
      <c r="EX985" s="43"/>
      <c r="EY985" s="43"/>
      <c r="EZ985" s="43"/>
      <c r="FA985" s="43"/>
      <c r="FB985" s="43"/>
      <c r="FC985" s="43"/>
      <c r="FD985" s="43"/>
      <c r="FE985" s="43"/>
      <c r="FF985" s="43"/>
      <c r="FG985" s="43"/>
      <c r="FH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c r="BO986" s="43"/>
      <c r="BP986" s="43"/>
      <c r="BQ986" s="43"/>
      <c r="BR986" s="43"/>
      <c r="BS986" s="43"/>
      <c r="BT986" s="43"/>
      <c r="BU986" s="43"/>
      <c r="BV986" s="43"/>
      <c r="BW986" s="43"/>
      <c r="BX986" s="43"/>
      <c r="BY986" s="43"/>
      <c r="BZ986" s="43"/>
      <c r="CA986" s="43"/>
      <c r="CB986" s="43"/>
      <c r="CC986" s="43"/>
      <c r="CD986" s="43"/>
      <c r="CE986" s="43"/>
      <c r="CF986" s="43"/>
      <c r="CG986" s="43"/>
      <c r="CH986" s="43"/>
      <c r="CI986" s="43"/>
      <c r="CJ986" s="43"/>
      <c r="CK986" s="43"/>
      <c r="CL986" s="43"/>
      <c r="CM986" s="43"/>
      <c r="CN986" s="43"/>
      <c r="CO986" s="43"/>
      <c r="CP986" s="43"/>
      <c r="CQ986" s="43"/>
      <c r="CR986" s="43"/>
      <c r="CS986" s="43"/>
      <c r="CT986" s="43"/>
      <c r="CU986" s="43"/>
      <c r="CV986" s="43"/>
      <c r="CW986" s="43"/>
      <c r="CX986" s="43"/>
      <c r="CY986" s="43"/>
      <c r="CZ986" s="43"/>
      <c r="DA986" s="43"/>
      <c r="DB986" s="43"/>
      <c r="DC986" s="43"/>
      <c r="DD986" s="43"/>
      <c r="DE986" s="43"/>
      <c r="DF986" s="43"/>
      <c r="DG986" s="43"/>
      <c r="DH986" s="43"/>
      <c r="DI986" s="43"/>
      <c r="DJ986" s="43"/>
      <c r="DK986" s="43"/>
      <c r="DL986" s="43"/>
      <c r="DM986" s="43"/>
      <c r="DN986" s="43"/>
      <c r="DO986" s="43"/>
      <c r="DP986" s="43"/>
      <c r="DQ986" s="43"/>
      <c r="DR986" s="43"/>
      <c r="DS986" s="43"/>
      <c r="DT986" s="43"/>
      <c r="DU986" s="43"/>
      <c r="DV986" s="43"/>
      <c r="DW986" s="43"/>
      <c r="DX986" s="43"/>
      <c r="DY986" s="43"/>
      <c r="DZ986" s="43"/>
      <c r="EA986" s="43"/>
      <c r="EB986" s="43"/>
      <c r="EC986" s="43"/>
      <c r="ED986" s="43"/>
      <c r="EE986" s="43"/>
      <c r="EF986" s="43"/>
      <c r="EG986" s="43"/>
      <c r="EH986" s="43"/>
      <c r="EI986" s="43"/>
      <c r="EJ986" s="43"/>
      <c r="EK986" s="43"/>
      <c r="EL986" s="43"/>
      <c r="EM986" s="43"/>
      <c r="EN986" s="43"/>
      <c r="EO986" s="43"/>
      <c r="EP986" s="43"/>
      <c r="EQ986" s="43"/>
      <c r="ER986" s="43"/>
      <c r="ES986" s="43"/>
      <c r="ET986" s="43"/>
      <c r="EU986" s="43"/>
      <c r="EV986" s="43"/>
      <c r="EW986" s="43"/>
      <c r="EX986" s="43"/>
      <c r="EY986" s="43"/>
      <c r="EZ986" s="43"/>
      <c r="FA986" s="43"/>
      <c r="FB986" s="43"/>
      <c r="FC986" s="43"/>
      <c r="FD986" s="43"/>
      <c r="FE986" s="43"/>
      <c r="FF986" s="43"/>
      <c r="FG986" s="43"/>
      <c r="FH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c r="BO987" s="43"/>
      <c r="BP987" s="43"/>
      <c r="BQ987" s="43"/>
      <c r="BR987" s="43"/>
      <c r="BS987" s="43"/>
      <c r="BT987" s="43"/>
      <c r="BU987" s="43"/>
      <c r="BV987" s="43"/>
      <c r="BW987" s="43"/>
      <c r="BX987" s="43"/>
      <c r="BY987" s="43"/>
      <c r="BZ987" s="43"/>
      <c r="CA987" s="43"/>
      <c r="CB987" s="43"/>
      <c r="CC987" s="43"/>
      <c r="CD987" s="43"/>
      <c r="CE987" s="43"/>
      <c r="CF987" s="43"/>
      <c r="CG987" s="43"/>
      <c r="CH987" s="43"/>
      <c r="CI987" s="43"/>
      <c r="CJ987" s="43"/>
      <c r="CK987" s="43"/>
      <c r="CL987" s="43"/>
      <c r="CM987" s="43"/>
      <c r="CN987" s="43"/>
      <c r="CO987" s="43"/>
      <c r="CP987" s="43"/>
      <c r="CQ987" s="43"/>
      <c r="CR987" s="43"/>
      <c r="CS987" s="43"/>
      <c r="CT987" s="43"/>
      <c r="CU987" s="43"/>
      <c r="CV987" s="43"/>
      <c r="CW987" s="43"/>
      <c r="CX987" s="43"/>
      <c r="CY987" s="43"/>
      <c r="CZ987" s="43"/>
      <c r="DA987" s="43"/>
      <c r="DB987" s="43"/>
      <c r="DC987" s="43"/>
      <c r="DD987" s="43"/>
      <c r="DE987" s="43"/>
      <c r="DF987" s="43"/>
      <c r="DG987" s="43"/>
      <c r="DH987" s="43"/>
      <c r="DI987" s="43"/>
      <c r="DJ987" s="43"/>
      <c r="DK987" s="43"/>
      <c r="DL987" s="43"/>
      <c r="DM987" s="43"/>
      <c r="DN987" s="43"/>
      <c r="DO987" s="43"/>
      <c r="DP987" s="43"/>
      <c r="DQ987" s="43"/>
      <c r="DR987" s="43"/>
      <c r="DS987" s="43"/>
      <c r="DT987" s="43"/>
      <c r="DU987" s="43"/>
      <c r="DV987" s="43"/>
      <c r="DW987" s="43"/>
      <c r="DX987" s="43"/>
      <c r="DY987" s="43"/>
      <c r="DZ987" s="43"/>
      <c r="EA987" s="43"/>
      <c r="EB987" s="43"/>
      <c r="EC987" s="43"/>
      <c r="ED987" s="43"/>
      <c r="EE987" s="43"/>
      <c r="EF987" s="43"/>
      <c r="EG987" s="43"/>
      <c r="EH987" s="43"/>
      <c r="EI987" s="43"/>
      <c r="EJ987" s="43"/>
      <c r="EK987" s="43"/>
      <c r="EL987" s="43"/>
      <c r="EM987" s="43"/>
      <c r="EN987" s="43"/>
      <c r="EO987" s="43"/>
      <c r="EP987" s="43"/>
      <c r="EQ987" s="43"/>
      <c r="ER987" s="43"/>
      <c r="ES987" s="43"/>
      <c r="ET987" s="43"/>
      <c r="EU987" s="43"/>
      <c r="EV987" s="43"/>
      <c r="EW987" s="43"/>
      <c r="EX987" s="43"/>
      <c r="EY987" s="43"/>
      <c r="EZ987" s="43"/>
      <c r="FA987" s="43"/>
      <c r="FB987" s="43"/>
      <c r="FC987" s="43"/>
      <c r="FD987" s="43"/>
      <c r="FE987" s="43"/>
      <c r="FF987" s="43"/>
      <c r="FG987" s="43"/>
      <c r="FH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s="43"/>
      <c r="BM988" s="43"/>
      <c r="BN988" s="43"/>
      <c r="BO988" s="43"/>
      <c r="BP988" s="43"/>
      <c r="BQ988" s="43"/>
      <c r="BR988" s="43"/>
      <c r="BS988" s="43"/>
      <c r="BT988" s="43"/>
      <c r="BU988" s="43"/>
      <c r="BV988" s="43"/>
      <c r="BW988" s="43"/>
      <c r="BX988" s="43"/>
      <c r="BY988" s="43"/>
      <c r="BZ988" s="43"/>
      <c r="CA988" s="43"/>
      <c r="CB988" s="43"/>
      <c r="CC988" s="43"/>
      <c r="CD988" s="43"/>
      <c r="CE988" s="43"/>
      <c r="CF988" s="43"/>
      <c r="CG988" s="43"/>
      <c r="CH988" s="43"/>
      <c r="CI988" s="43"/>
      <c r="CJ988" s="43"/>
      <c r="CK988" s="43"/>
      <c r="CL988" s="43"/>
      <c r="CM988" s="43"/>
      <c r="CN988" s="43"/>
      <c r="CO988" s="43"/>
      <c r="CP988" s="43"/>
      <c r="CQ988" s="43"/>
      <c r="CR988" s="43"/>
      <c r="CS988" s="43"/>
      <c r="CT988" s="43"/>
      <c r="CU988" s="43"/>
      <c r="CV988" s="43"/>
      <c r="CW988" s="43"/>
      <c r="CX988" s="43"/>
      <c r="CY988" s="43"/>
      <c r="CZ988" s="43"/>
      <c r="DA988" s="43"/>
      <c r="DB988" s="43"/>
      <c r="DC988" s="43"/>
      <c r="DD988" s="43"/>
      <c r="DE988" s="43"/>
      <c r="DF988" s="43"/>
      <c r="DG988" s="43"/>
      <c r="DH988" s="43"/>
      <c r="DI988" s="43"/>
      <c r="DJ988" s="43"/>
      <c r="DK988" s="43"/>
      <c r="DL988" s="43"/>
      <c r="DM988" s="43"/>
      <c r="DN988" s="43"/>
      <c r="DO988" s="43"/>
      <c r="DP988" s="43"/>
      <c r="DQ988" s="43"/>
      <c r="DR988" s="43"/>
      <c r="DS988" s="43"/>
      <c r="DT988" s="43"/>
      <c r="DU988" s="43"/>
      <c r="DV988" s="43"/>
      <c r="DW988" s="43"/>
      <c r="DX988" s="43"/>
      <c r="DY988" s="43"/>
      <c r="DZ988" s="43"/>
      <c r="EA988" s="43"/>
      <c r="EB988" s="43"/>
      <c r="EC988" s="43"/>
      <c r="ED988" s="43"/>
      <c r="EE988" s="43"/>
      <c r="EF988" s="43"/>
      <c r="EG988" s="43"/>
      <c r="EH988" s="43"/>
      <c r="EI988" s="43"/>
      <c r="EJ988" s="43"/>
      <c r="EK988" s="43"/>
      <c r="EL988" s="43"/>
      <c r="EM988" s="43"/>
      <c r="EN988" s="43"/>
      <c r="EO988" s="43"/>
      <c r="EP988" s="43"/>
      <c r="EQ988" s="43"/>
      <c r="ER988" s="43"/>
      <c r="ES988" s="43"/>
      <c r="ET988" s="43"/>
      <c r="EU988" s="43"/>
      <c r="EV988" s="43"/>
      <c r="EW988" s="43"/>
      <c r="EX988" s="43"/>
      <c r="EY988" s="43"/>
      <c r="EZ988" s="43"/>
      <c r="FA988" s="43"/>
      <c r="FB988" s="43"/>
      <c r="FC988" s="43"/>
      <c r="FD988" s="43"/>
      <c r="FE988" s="43"/>
      <c r="FF988" s="43"/>
      <c r="FG988" s="43"/>
      <c r="FH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s="43"/>
      <c r="BM989" s="43"/>
      <c r="BN989" s="43"/>
      <c r="BO989" s="43"/>
      <c r="BP989" s="43"/>
      <c r="BQ989" s="43"/>
      <c r="BR989" s="43"/>
      <c r="BS989" s="43"/>
      <c r="BT989" s="43"/>
      <c r="BU989" s="43"/>
      <c r="BV989" s="43"/>
      <c r="BW989" s="43"/>
      <c r="BX989" s="43"/>
      <c r="BY989" s="43"/>
      <c r="BZ989" s="43"/>
      <c r="CA989" s="43"/>
      <c r="CB989" s="43"/>
      <c r="CC989" s="43"/>
      <c r="CD989" s="43"/>
      <c r="CE989" s="43"/>
      <c r="CF989" s="43"/>
      <c r="CG989" s="43"/>
      <c r="CH989" s="43"/>
      <c r="CI989" s="43"/>
      <c r="CJ989" s="43"/>
      <c r="CK989" s="43"/>
      <c r="CL989" s="43"/>
      <c r="CM989" s="43"/>
      <c r="CN989" s="43"/>
      <c r="CO989" s="43"/>
      <c r="CP989" s="43"/>
      <c r="CQ989" s="43"/>
      <c r="CR989" s="43"/>
      <c r="CS989" s="43"/>
      <c r="CT989" s="43"/>
      <c r="CU989" s="43"/>
      <c r="CV989" s="43"/>
      <c r="CW989" s="43"/>
      <c r="CX989" s="43"/>
      <c r="CY989" s="43"/>
      <c r="CZ989" s="43"/>
      <c r="DA989" s="43"/>
      <c r="DB989" s="43"/>
      <c r="DC989" s="43"/>
      <c r="DD989" s="43"/>
      <c r="DE989" s="43"/>
      <c r="DF989" s="43"/>
      <c r="DG989" s="43"/>
      <c r="DH989" s="43"/>
      <c r="DI989" s="43"/>
      <c r="DJ989" s="43"/>
      <c r="DK989" s="43"/>
      <c r="DL989" s="43"/>
      <c r="DM989" s="43"/>
      <c r="DN989" s="43"/>
      <c r="DO989" s="43"/>
      <c r="DP989" s="43"/>
      <c r="DQ989" s="43"/>
      <c r="DR989" s="43"/>
      <c r="DS989" s="43"/>
      <c r="DT989" s="43"/>
      <c r="DU989" s="43"/>
      <c r="DV989" s="43"/>
      <c r="DW989" s="43"/>
      <c r="DX989" s="43"/>
      <c r="DY989" s="43"/>
      <c r="DZ989" s="43"/>
      <c r="EA989" s="43"/>
      <c r="EB989" s="43"/>
      <c r="EC989" s="43"/>
      <c r="ED989" s="43"/>
      <c r="EE989" s="43"/>
      <c r="EF989" s="43"/>
      <c r="EG989" s="43"/>
      <c r="EH989" s="43"/>
      <c r="EI989" s="43"/>
      <c r="EJ989" s="43"/>
      <c r="EK989" s="43"/>
      <c r="EL989" s="43"/>
      <c r="EM989" s="43"/>
      <c r="EN989" s="43"/>
      <c r="EO989" s="43"/>
      <c r="EP989" s="43"/>
      <c r="EQ989" s="43"/>
      <c r="ER989" s="43"/>
      <c r="ES989" s="43"/>
      <c r="ET989" s="43"/>
      <c r="EU989" s="43"/>
      <c r="EV989" s="43"/>
      <c r="EW989" s="43"/>
      <c r="EX989" s="43"/>
      <c r="EY989" s="43"/>
      <c r="EZ989" s="43"/>
      <c r="FA989" s="43"/>
      <c r="FB989" s="43"/>
      <c r="FC989" s="43"/>
      <c r="FD989" s="43"/>
      <c r="FE989" s="43"/>
      <c r="FF989" s="43"/>
      <c r="FG989" s="43"/>
      <c r="FH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s="43"/>
      <c r="BM990" s="43"/>
      <c r="BN990" s="43"/>
      <c r="BO990" s="43"/>
      <c r="BP990" s="43"/>
      <c r="BQ990" s="43"/>
      <c r="BR990" s="43"/>
      <c r="BS990" s="43"/>
      <c r="BT990" s="43"/>
      <c r="BU990" s="43"/>
      <c r="BV990" s="43"/>
      <c r="BW990" s="43"/>
      <c r="BX990" s="43"/>
      <c r="BY990" s="43"/>
      <c r="BZ990" s="43"/>
      <c r="CA990" s="43"/>
      <c r="CB990" s="43"/>
      <c r="CC990" s="43"/>
      <c r="CD990" s="43"/>
      <c r="CE990" s="43"/>
      <c r="CF990" s="43"/>
      <c r="CG990" s="43"/>
      <c r="CH990" s="43"/>
      <c r="CI990" s="43"/>
      <c r="CJ990" s="43"/>
      <c r="CK990" s="43"/>
      <c r="CL990" s="43"/>
      <c r="CM990" s="43"/>
      <c r="CN990" s="43"/>
      <c r="CO990" s="43"/>
      <c r="CP990" s="43"/>
      <c r="CQ990" s="43"/>
      <c r="CR990" s="43"/>
      <c r="CS990" s="43"/>
      <c r="CT990" s="43"/>
      <c r="CU990" s="43"/>
      <c r="CV990" s="43"/>
      <c r="CW990" s="43"/>
      <c r="CX990" s="43"/>
      <c r="CY990" s="43"/>
      <c r="CZ990" s="43"/>
      <c r="DA990" s="43"/>
      <c r="DB990" s="43"/>
      <c r="DC990" s="43"/>
      <c r="DD990" s="43"/>
      <c r="DE990" s="43"/>
      <c r="DF990" s="43"/>
      <c r="DG990" s="43"/>
      <c r="DH990" s="43"/>
      <c r="DI990" s="43"/>
      <c r="DJ990" s="43"/>
      <c r="DK990" s="43"/>
      <c r="DL990" s="43"/>
      <c r="DM990" s="43"/>
      <c r="DN990" s="43"/>
      <c r="DO990" s="43"/>
      <c r="DP990" s="43"/>
      <c r="DQ990" s="43"/>
      <c r="DR990" s="43"/>
      <c r="DS990" s="43"/>
      <c r="DT990" s="43"/>
      <c r="DU990" s="43"/>
      <c r="DV990" s="43"/>
      <c r="DW990" s="43"/>
      <c r="DX990" s="43"/>
      <c r="DY990" s="43"/>
      <c r="DZ990" s="43"/>
      <c r="EA990" s="43"/>
      <c r="EB990" s="43"/>
      <c r="EC990" s="43"/>
      <c r="ED990" s="43"/>
      <c r="EE990" s="43"/>
      <c r="EF990" s="43"/>
      <c r="EG990" s="43"/>
      <c r="EH990" s="43"/>
      <c r="EI990" s="43"/>
      <c r="EJ990" s="43"/>
      <c r="EK990" s="43"/>
      <c r="EL990" s="43"/>
      <c r="EM990" s="43"/>
      <c r="EN990" s="43"/>
      <c r="EO990" s="43"/>
      <c r="EP990" s="43"/>
      <c r="EQ990" s="43"/>
      <c r="ER990" s="43"/>
      <c r="ES990" s="43"/>
      <c r="ET990" s="43"/>
      <c r="EU990" s="43"/>
      <c r="EV990" s="43"/>
      <c r="EW990" s="43"/>
      <c r="EX990" s="43"/>
      <c r="EY990" s="43"/>
      <c r="EZ990" s="43"/>
      <c r="FA990" s="43"/>
      <c r="FB990" s="43"/>
      <c r="FC990" s="43"/>
      <c r="FD990" s="43"/>
      <c r="FE990" s="43"/>
      <c r="FF990" s="43"/>
      <c r="FG990" s="43"/>
      <c r="FH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c r="BJ991" s="43"/>
      <c r="BK991" s="43"/>
      <c r="BL991" s="43"/>
      <c r="BM991" s="43"/>
      <c r="BN991" s="43"/>
      <c r="BO991" s="43"/>
      <c r="BP991" s="43"/>
      <c r="BQ991" s="43"/>
      <c r="BR991" s="43"/>
      <c r="BS991" s="43"/>
      <c r="BT991" s="43"/>
      <c r="BU991" s="43"/>
      <c r="BV991" s="43"/>
      <c r="BW991" s="43"/>
      <c r="BX991" s="43"/>
      <c r="BY991" s="43"/>
      <c r="BZ991" s="43"/>
      <c r="CA991" s="43"/>
      <c r="CB991" s="43"/>
      <c r="CC991" s="43"/>
      <c r="CD991" s="43"/>
      <c r="CE991" s="43"/>
      <c r="CF991" s="43"/>
      <c r="CG991" s="43"/>
      <c r="CH991" s="43"/>
      <c r="CI991" s="43"/>
      <c r="CJ991" s="43"/>
      <c r="CK991" s="43"/>
      <c r="CL991" s="43"/>
      <c r="CM991" s="43"/>
      <c r="CN991" s="43"/>
      <c r="CO991" s="43"/>
      <c r="CP991" s="43"/>
      <c r="CQ991" s="43"/>
      <c r="CR991" s="43"/>
      <c r="CS991" s="43"/>
      <c r="CT991" s="43"/>
      <c r="CU991" s="43"/>
      <c r="CV991" s="43"/>
      <c r="CW991" s="43"/>
      <c r="CX991" s="43"/>
      <c r="CY991" s="43"/>
      <c r="CZ991" s="43"/>
      <c r="DA991" s="43"/>
      <c r="DB991" s="43"/>
      <c r="DC991" s="43"/>
      <c r="DD991" s="43"/>
      <c r="DE991" s="43"/>
      <c r="DF991" s="43"/>
      <c r="DG991" s="43"/>
      <c r="DH991" s="43"/>
      <c r="DI991" s="43"/>
      <c r="DJ991" s="43"/>
      <c r="DK991" s="43"/>
      <c r="DL991" s="43"/>
      <c r="DM991" s="43"/>
      <c r="DN991" s="43"/>
      <c r="DO991" s="43"/>
      <c r="DP991" s="43"/>
      <c r="DQ991" s="43"/>
      <c r="DR991" s="43"/>
      <c r="DS991" s="43"/>
      <c r="DT991" s="43"/>
      <c r="DU991" s="43"/>
      <c r="DV991" s="43"/>
      <c r="DW991" s="43"/>
      <c r="DX991" s="43"/>
      <c r="DY991" s="43"/>
      <c r="DZ991" s="43"/>
      <c r="EA991" s="43"/>
      <c r="EB991" s="43"/>
      <c r="EC991" s="43"/>
      <c r="ED991" s="43"/>
      <c r="EE991" s="43"/>
      <c r="EF991" s="43"/>
      <c r="EG991" s="43"/>
      <c r="EH991" s="43"/>
      <c r="EI991" s="43"/>
      <c r="EJ991" s="43"/>
      <c r="EK991" s="43"/>
      <c r="EL991" s="43"/>
      <c r="EM991" s="43"/>
      <c r="EN991" s="43"/>
      <c r="EO991" s="43"/>
      <c r="EP991" s="43"/>
      <c r="EQ991" s="43"/>
      <c r="ER991" s="43"/>
      <c r="ES991" s="43"/>
      <c r="ET991" s="43"/>
      <c r="EU991" s="43"/>
      <c r="EV991" s="43"/>
      <c r="EW991" s="43"/>
      <c r="EX991" s="43"/>
      <c r="EY991" s="43"/>
      <c r="EZ991" s="43"/>
      <c r="FA991" s="43"/>
      <c r="FB991" s="43"/>
      <c r="FC991" s="43"/>
      <c r="FD991" s="43"/>
      <c r="FE991" s="43"/>
      <c r="FF991" s="43"/>
      <c r="FG991" s="43"/>
      <c r="FH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c r="BJ992" s="43"/>
      <c r="BK992" s="43"/>
      <c r="BL992" s="43"/>
      <c r="BM992" s="43"/>
      <c r="BN992" s="43"/>
      <c r="BO992" s="43"/>
      <c r="BP992" s="43"/>
      <c r="BQ992" s="43"/>
      <c r="BR992" s="43"/>
      <c r="BS992" s="43"/>
      <c r="BT992" s="43"/>
      <c r="BU992" s="43"/>
      <c r="BV992" s="43"/>
      <c r="BW992" s="43"/>
      <c r="BX992" s="43"/>
      <c r="BY992" s="43"/>
      <c r="BZ992" s="43"/>
      <c r="CA992" s="43"/>
      <c r="CB992" s="43"/>
      <c r="CC992" s="43"/>
      <c r="CD992" s="43"/>
      <c r="CE992" s="43"/>
      <c r="CF992" s="43"/>
      <c r="CG992" s="43"/>
      <c r="CH992" s="43"/>
      <c r="CI992" s="43"/>
      <c r="CJ992" s="43"/>
      <c r="CK992" s="43"/>
      <c r="CL992" s="43"/>
      <c r="CM992" s="43"/>
      <c r="CN992" s="43"/>
      <c r="CO992" s="43"/>
      <c r="CP992" s="43"/>
      <c r="CQ992" s="43"/>
      <c r="CR992" s="43"/>
      <c r="CS992" s="43"/>
      <c r="CT992" s="43"/>
      <c r="CU992" s="43"/>
      <c r="CV992" s="43"/>
      <c r="CW992" s="43"/>
      <c r="CX992" s="43"/>
      <c r="CY992" s="43"/>
      <c r="CZ992" s="43"/>
      <c r="DA992" s="43"/>
      <c r="DB992" s="43"/>
      <c r="DC992" s="43"/>
      <c r="DD992" s="43"/>
      <c r="DE992" s="43"/>
      <c r="DF992" s="43"/>
      <c r="DG992" s="43"/>
      <c r="DH992" s="43"/>
      <c r="DI992" s="43"/>
      <c r="DJ992" s="43"/>
      <c r="DK992" s="43"/>
      <c r="DL992" s="43"/>
      <c r="DM992" s="43"/>
      <c r="DN992" s="43"/>
      <c r="DO992" s="43"/>
      <c r="DP992" s="43"/>
      <c r="DQ992" s="43"/>
      <c r="DR992" s="43"/>
      <c r="DS992" s="43"/>
      <c r="DT992" s="43"/>
      <c r="DU992" s="43"/>
      <c r="DV992" s="43"/>
      <c r="DW992" s="43"/>
      <c r="DX992" s="43"/>
      <c r="DY992" s="43"/>
      <c r="DZ992" s="43"/>
      <c r="EA992" s="43"/>
      <c r="EB992" s="43"/>
      <c r="EC992" s="43"/>
      <c r="ED992" s="43"/>
      <c r="EE992" s="43"/>
      <c r="EF992" s="43"/>
      <c r="EG992" s="43"/>
      <c r="EH992" s="43"/>
      <c r="EI992" s="43"/>
      <c r="EJ992" s="43"/>
      <c r="EK992" s="43"/>
      <c r="EL992" s="43"/>
      <c r="EM992" s="43"/>
      <c r="EN992" s="43"/>
      <c r="EO992" s="43"/>
      <c r="EP992" s="43"/>
      <c r="EQ992" s="43"/>
      <c r="ER992" s="43"/>
      <c r="ES992" s="43"/>
      <c r="ET992" s="43"/>
      <c r="EU992" s="43"/>
      <c r="EV992" s="43"/>
      <c r="EW992" s="43"/>
      <c r="EX992" s="43"/>
      <c r="EY992" s="43"/>
      <c r="EZ992" s="43"/>
      <c r="FA992" s="43"/>
      <c r="FB992" s="43"/>
      <c r="FC992" s="43"/>
      <c r="FD992" s="43"/>
      <c r="FE992" s="43"/>
      <c r="FF992" s="43"/>
      <c r="FG992" s="43"/>
      <c r="FH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c r="BJ993" s="43"/>
      <c r="BK993" s="43"/>
      <c r="BL993" s="43"/>
      <c r="BM993" s="43"/>
      <c r="BN993" s="43"/>
      <c r="BO993" s="43"/>
      <c r="BP993" s="43"/>
      <c r="BQ993" s="43"/>
      <c r="BR993" s="43"/>
      <c r="BS993" s="43"/>
      <c r="BT993" s="43"/>
      <c r="BU993" s="43"/>
      <c r="BV993" s="43"/>
      <c r="BW993" s="43"/>
      <c r="BX993" s="43"/>
      <c r="BY993" s="43"/>
      <c r="BZ993" s="43"/>
      <c r="CA993" s="43"/>
      <c r="CB993" s="43"/>
      <c r="CC993" s="43"/>
      <c r="CD993" s="43"/>
      <c r="CE993" s="43"/>
      <c r="CF993" s="43"/>
      <c r="CG993" s="43"/>
      <c r="CH993" s="43"/>
      <c r="CI993" s="43"/>
      <c r="CJ993" s="43"/>
      <c r="CK993" s="43"/>
      <c r="CL993" s="43"/>
      <c r="CM993" s="43"/>
      <c r="CN993" s="43"/>
      <c r="CO993" s="43"/>
      <c r="CP993" s="43"/>
      <c r="CQ993" s="43"/>
      <c r="CR993" s="43"/>
      <c r="CS993" s="43"/>
      <c r="CT993" s="43"/>
      <c r="CU993" s="43"/>
      <c r="CV993" s="43"/>
      <c r="CW993" s="43"/>
      <c r="CX993" s="43"/>
      <c r="CY993" s="43"/>
      <c r="CZ993" s="43"/>
      <c r="DA993" s="43"/>
      <c r="DB993" s="43"/>
      <c r="DC993" s="43"/>
      <c r="DD993" s="43"/>
      <c r="DE993" s="43"/>
      <c r="DF993" s="43"/>
      <c r="DG993" s="43"/>
      <c r="DH993" s="43"/>
      <c r="DI993" s="43"/>
      <c r="DJ993" s="43"/>
      <c r="DK993" s="43"/>
      <c r="DL993" s="43"/>
      <c r="DM993" s="43"/>
      <c r="DN993" s="43"/>
      <c r="DO993" s="43"/>
      <c r="DP993" s="43"/>
      <c r="DQ993" s="43"/>
      <c r="DR993" s="43"/>
      <c r="DS993" s="43"/>
      <c r="DT993" s="43"/>
      <c r="DU993" s="43"/>
      <c r="DV993" s="43"/>
      <c r="DW993" s="43"/>
      <c r="DX993" s="43"/>
      <c r="DY993" s="43"/>
      <c r="DZ993" s="43"/>
      <c r="EA993" s="43"/>
      <c r="EB993" s="43"/>
      <c r="EC993" s="43"/>
      <c r="ED993" s="43"/>
      <c r="EE993" s="43"/>
      <c r="EF993" s="43"/>
      <c r="EG993" s="43"/>
      <c r="EH993" s="43"/>
      <c r="EI993" s="43"/>
      <c r="EJ993" s="43"/>
      <c r="EK993" s="43"/>
      <c r="EL993" s="43"/>
      <c r="EM993" s="43"/>
      <c r="EN993" s="43"/>
      <c r="EO993" s="43"/>
      <c r="EP993" s="43"/>
      <c r="EQ993" s="43"/>
      <c r="ER993" s="43"/>
      <c r="ES993" s="43"/>
      <c r="ET993" s="43"/>
      <c r="EU993" s="43"/>
      <c r="EV993" s="43"/>
      <c r="EW993" s="43"/>
      <c r="EX993" s="43"/>
      <c r="EY993" s="43"/>
      <c r="EZ993" s="43"/>
      <c r="FA993" s="43"/>
      <c r="FB993" s="43"/>
      <c r="FC993" s="43"/>
      <c r="FD993" s="43"/>
      <c r="FE993" s="43"/>
      <c r="FF993" s="43"/>
      <c r="FG993" s="43"/>
      <c r="FH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c r="BJ994" s="43"/>
      <c r="BK994" s="43"/>
      <c r="BL994" s="43"/>
      <c r="BM994" s="43"/>
      <c r="BN994" s="43"/>
      <c r="BO994" s="43"/>
      <c r="BP994" s="43"/>
      <c r="BQ994" s="43"/>
      <c r="BR994" s="43"/>
      <c r="BS994" s="43"/>
      <c r="BT994" s="43"/>
      <c r="BU994" s="43"/>
      <c r="BV994" s="43"/>
      <c r="BW994" s="43"/>
      <c r="BX994" s="43"/>
      <c r="BY994" s="43"/>
      <c r="BZ994" s="43"/>
      <c r="CA994" s="43"/>
      <c r="CB994" s="43"/>
      <c r="CC994" s="43"/>
      <c r="CD994" s="43"/>
      <c r="CE994" s="43"/>
      <c r="CF994" s="43"/>
      <c r="CG994" s="43"/>
      <c r="CH994" s="43"/>
      <c r="CI994" s="43"/>
      <c r="CJ994" s="43"/>
      <c r="CK994" s="43"/>
      <c r="CL994" s="43"/>
      <c r="CM994" s="43"/>
      <c r="CN994" s="43"/>
      <c r="CO994" s="43"/>
      <c r="CP994" s="43"/>
      <c r="CQ994" s="43"/>
      <c r="CR994" s="43"/>
      <c r="CS994" s="43"/>
      <c r="CT994" s="43"/>
      <c r="CU994" s="43"/>
      <c r="CV994" s="43"/>
      <c r="CW994" s="43"/>
      <c r="CX994" s="43"/>
      <c r="CY994" s="43"/>
      <c r="CZ994" s="43"/>
      <c r="DA994" s="43"/>
      <c r="DB994" s="43"/>
      <c r="DC994" s="43"/>
      <c r="DD994" s="43"/>
      <c r="DE994" s="43"/>
      <c r="DF994" s="43"/>
      <c r="DG994" s="43"/>
      <c r="DH994" s="43"/>
      <c r="DI994" s="43"/>
      <c r="DJ994" s="43"/>
      <c r="DK994" s="43"/>
      <c r="DL994" s="43"/>
      <c r="DM994" s="43"/>
      <c r="DN994" s="43"/>
      <c r="DO994" s="43"/>
      <c r="DP994" s="43"/>
      <c r="DQ994" s="43"/>
      <c r="DR994" s="43"/>
      <c r="DS994" s="43"/>
      <c r="DT994" s="43"/>
      <c r="DU994" s="43"/>
      <c r="DV994" s="43"/>
      <c r="DW994" s="43"/>
      <c r="DX994" s="43"/>
      <c r="DY994" s="43"/>
      <c r="DZ994" s="43"/>
      <c r="EA994" s="43"/>
      <c r="EB994" s="43"/>
      <c r="EC994" s="43"/>
      <c r="ED994" s="43"/>
      <c r="EE994" s="43"/>
      <c r="EF994" s="43"/>
      <c r="EG994" s="43"/>
      <c r="EH994" s="43"/>
      <c r="EI994" s="43"/>
      <c r="EJ994" s="43"/>
      <c r="EK994" s="43"/>
      <c r="EL994" s="43"/>
      <c r="EM994" s="43"/>
      <c r="EN994" s="43"/>
      <c r="EO994" s="43"/>
      <c r="EP994" s="43"/>
      <c r="EQ994" s="43"/>
      <c r="ER994" s="43"/>
      <c r="ES994" s="43"/>
      <c r="ET994" s="43"/>
      <c r="EU994" s="43"/>
      <c r="EV994" s="43"/>
      <c r="EW994" s="43"/>
      <c r="EX994" s="43"/>
      <c r="EY994" s="43"/>
      <c r="EZ994" s="43"/>
      <c r="FA994" s="43"/>
      <c r="FB994" s="43"/>
      <c r="FC994" s="43"/>
      <c r="FD994" s="43"/>
      <c r="FE994" s="43"/>
      <c r="FF994" s="43"/>
      <c r="FG994" s="43"/>
      <c r="FH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s="43"/>
      <c r="BM995" s="43"/>
      <c r="BN995" s="43"/>
      <c r="BO995" s="43"/>
      <c r="BP995" s="43"/>
      <c r="BQ995" s="43"/>
      <c r="BR995" s="43"/>
      <c r="BS995" s="43"/>
      <c r="BT995" s="43"/>
      <c r="BU995" s="43"/>
      <c r="BV995" s="43"/>
      <c r="BW995" s="43"/>
      <c r="BX995" s="43"/>
      <c r="BY995" s="43"/>
      <c r="BZ995" s="43"/>
      <c r="CA995" s="43"/>
      <c r="CB995" s="43"/>
      <c r="CC995" s="43"/>
      <c r="CD995" s="43"/>
      <c r="CE995" s="43"/>
      <c r="CF995" s="43"/>
      <c r="CG995" s="43"/>
      <c r="CH995" s="43"/>
      <c r="CI995" s="43"/>
      <c r="CJ995" s="43"/>
      <c r="CK995" s="43"/>
      <c r="CL995" s="43"/>
      <c r="CM995" s="43"/>
      <c r="CN995" s="43"/>
      <c r="CO995" s="43"/>
      <c r="CP995" s="43"/>
      <c r="CQ995" s="43"/>
      <c r="CR995" s="43"/>
      <c r="CS995" s="43"/>
      <c r="CT995" s="43"/>
      <c r="CU995" s="43"/>
      <c r="CV995" s="43"/>
      <c r="CW995" s="43"/>
      <c r="CX995" s="43"/>
      <c r="CY995" s="43"/>
      <c r="CZ995" s="43"/>
      <c r="DA995" s="43"/>
      <c r="DB995" s="43"/>
      <c r="DC995" s="43"/>
      <c r="DD995" s="43"/>
      <c r="DE995" s="43"/>
      <c r="DF995" s="43"/>
      <c r="DG995" s="43"/>
      <c r="DH995" s="43"/>
      <c r="DI995" s="43"/>
      <c r="DJ995" s="43"/>
      <c r="DK995" s="43"/>
      <c r="DL995" s="43"/>
      <c r="DM995" s="43"/>
      <c r="DN995" s="43"/>
      <c r="DO995" s="43"/>
      <c r="DP995" s="43"/>
      <c r="DQ995" s="43"/>
      <c r="DR995" s="43"/>
      <c r="DS995" s="43"/>
      <c r="DT995" s="43"/>
      <c r="DU995" s="43"/>
      <c r="DV995" s="43"/>
      <c r="DW995" s="43"/>
      <c r="DX995" s="43"/>
      <c r="DY995" s="43"/>
      <c r="DZ995" s="43"/>
      <c r="EA995" s="43"/>
      <c r="EB995" s="43"/>
      <c r="EC995" s="43"/>
      <c r="ED995" s="43"/>
      <c r="EE995" s="43"/>
      <c r="EF995" s="43"/>
      <c r="EG995" s="43"/>
      <c r="EH995" s="43"/>
      <c r="EI995" s="43"/>
      <c r="EJ995" s="43"/>
      <c r="EK995" s="43"/>
      <c r="EL995" s="43"/>
      <c r="EM995" s="43"/>
      <c r="EN995" s="43"/>
      <c r="EO995" s="43"/>
      <c r="EP995" s="43"/>
      <c r="EQ995" s="43"/>
      <c r="ER995" s="43"/>
      <c r="ES995" s="43"/>
      <c r="ET995" s="43"/>
      <c r="EU995" s="43"/>
      <c r="EV995" s="43"/>
      <c r="EW995" s="43"/>
      <c r="EX995" s="43"/>
      <c r="EY995" s="43"/>
      <c r="EZ995" s="43"/>
      <c r="FA995" s="43"/>
      <c r="FB995" s="43"/>
      <c r="FC995" s="43"/>
      <c r="FD995" s="43"/>
      <c r="FE995" s="43"/>
      <c r="FF995" s="43"/>
      <c r="FG995" s="43"/>
      <c r="FH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s="43"/>
      <c r="BM996" s="43"/>
      <c r="BN996" s="43"/>
      <c r="BO996" s="43"/>
      <c r="BP996" s="43"/>
      <c r="BQ996" s="43"/>
      <c r="BR996" s="43"/>
      <c r="BS996" s="43"/>
      <c r="BT996" s="43"/>
      <c r="BU996" s="43"/>
      <c r="BV996" s="43"/>
      <c r="BW996" s="43"/>
      <c r="BX996" s="43"/>
      <c r="BY996" s="43"/>
      <c r="BZ996" s="43"/>
      <c r="CA996" s="43"/>
      <c r="CB996" s="43"/>
      <c r="CC996" s="43"/>
      <c r="CD996" s="43"/>
      <c r="CE996" s="43"/>
      <c r="CF996" s="43"/>
      <c r="CG996" s="43"/>
      <c r="CH996" s="43"/>
      <c r="CI996" s="43"/>
      <c r="CJ996" s="43"/>
      <c r="CK996" s="43"/>
      <c r="CL996" s="43"/>
      <c r="CM996" s="43"/>
      <c r="CN996" s="43"/>
      <c r="CO996" s="43"/>
      <c r="CP996" s="43"/>
      <c r="CQ996" s="43"/>
      <c r="CR996" s="43"/>
      <c r="CS996" s="43"/>
      <c r="CT996" s="43"/>
      <c r="CU996" s="43"/>
      <c r="CV996" s="43"/>
      <c r="CW996" s="43"/>
      <c r="CX996" s="43"/>
      <c r="CY996" s="43"/>
      <c r="CZ996" s="43"/>
      <c r="DA996" s="43"/>
      <c r="DB996" s="43"/>
      <c r="DC996" s="43"/>
      <c r="DD996" s="43"/>
      <c r="DE996" s="43"/>
      <c r="DF996" s="43"/>
      <c r="DG996" s="43"/>
      <c r="DH996" s="43"/>
      <c r="DI996" s="43"/>
      <c r="DJ996" s="43"/>
      <c r="DK996" s="43"/>
      <c r="DL996" s="43"/>
      <c r="DM996" s="43"/>
      <c r="DN996" s="43"/>
      <c r="DO996" s="43"/>
      <c r="DP996" s="43"/>
      <c r="DQ996" s="43"/>
      <c r="DR996" s="43"/>
      <c r="DS996" s="43"/>
      <c r="DT996" s="43"/>
      <c r="DU996" s="43"/>
      <c r="DV996" s="43"/>
      <c r="DW996" s="43"/>
      <c r="DX996" s="43"/>
      <c r="DY996" s="43"/>
      <c r="DZ996" s="43"/>
      <c r="EA996" s="43"/>
      <c r="EB996" s="43"/>
      <c r="EC996" s="43"/>
      <c r="ED996" s="43"/>
      <c r="EE996" s="43"/>
      <c r="EF996" s="43"/>
      <c r="EG996" s="43"/>
      <c r="EH996" s="43"/>
      <c r="EI996" s="43"/>
      <c r="EJ996" s="43"/>
      <c r="EK996" s="43"/>
      <c r="EL996" s="43"/>
      <c r="EM996" s="43"/>
      <c r="EN996" s="43"/>
      <c r="EO996" s="43"/>
      <c r="EP996" s="43"/>
      <c r="EQ996" s="43"/>
      <c r="ER996" s="43"/>
      <c r="ES996" s="43"/>
      <c r="ET996" s="43"/>
      <c r="EU996" s="43"/>
      <c r="EV996" s="43"/>
      <c r="EW996" s="43"/>
      <c r="EX996" s="43"/>
      <c r="EY996" s="43"/>
      <c r="EZ996" s="43"/>
      <c r="FA996" s="43"/>
      <c r="FB996" s="43"/>
      <c r="FC996" s="43"/>
      <c r="FD996" s="43"/>
      <c r="FE996" s="43"/>
      <c r="FF996" s="43"/>
      <c r="FG996" s="43"/>
      <c r="FH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s="43"/>
      <c r="BM997" s="43"/>
      <c r="BN997" s="43"/>
      <c r="BO997" s="43"/>
      <c r="BP997" s="43"/>
      <c r="BQ997" s="43"/>
      <c r="BR997" s="43"/>
      <c r="BS997" s="43"/>
      <c r="BT997" s="43"/>
      <c r="BU997" s="43"/>
      <c r="BV997" s="43"/>
      <c r="BW997" s="43"/>
      <c r="BX997" s="43"/>
      <c r="BY997" s="43"/>
      <c r="BZ997" s="43"/>
      <c r="CA997" s="43"/>
      <c r="CB997" s="43"/>
      <c r="CC997" s="43"/>
      <c r="CD997" s="43"/>
      <c r="CE997" s="43"/>
      <c r="CF997" s="43"/>
      <c r="CG997" s="43"/>
      <c r="CH997" s="43"/>
      <c r="CI997" s="43"/>
      <c r="CJ997" s="43"/>
      <c r="CK997" s="43"/>
      <c r="CL997" s="43"/>
      <c r="CM997" s="43"/>
      <c r="CN997" s="43"/>
      <c r="CO997" s="43"/>
      <c r="CP997" s="43"/>
      <c r="CQ997" s="43"/>
      <c r="CR997" s="43"/>
      <c r="CS997" s="43"/>
      <c r="CT997" s="43"/>
      <c r="CU997" s="43"/>
      <c r="CV997" s="43"/>
      <c r="CW997" s="43"/>
      <c r="CX997" s="43"/>
      <c r="CY997" s="43"/>
      <c r="CZ997" s="43"/>
      <c r="DA997" s="43"/>
      <c r="DB997" s="43"/>
      <c r="DC997" s="43"/>
      <c r="DD997" s="43"/>
      <c r="DE997" s="43"/>
      <c r="DF997" s="43"/>
      <c r="DG997" s="43"/>
      <c r="DH997" s="43"/>
      <c r="DI997" s="43"/>
      <c r="DJ997" s="43"/>
      <c r="DK997" s="43"/>
      <c r="DL997" s="43"/>
      <c r="DM997" s="43"/>
      <c r="DN997" s="43"/>
      <c r="DO997" s="43"/>
      <c r="DP997" s="43"/>
      <c r="DQ997" s="43"/>
      <c r="DR997" s="43"/>
      <c r="DS997" s="43"/>
      <c r="DT997" s="43"/>
      <c r="DU997" s="43"/>
      <c r="DV997" s="43"/>
      <c r="DW997" s="43"/>
      <c r="DX997" s="43"/>
      <c r="DY997" s="43"/>
      <c r="DZ997" s="43"/>
      <c r="EA997" s="43"/>
      <c r="EB997" s="43"/>
      <c r="EC997" s="43"/>
      <c r="ED997" s="43"/>
      <c r="EE997" s="43"/>
      <c r="EF997" s="43"/>
      <c r="EG997" s="43"/>
      <c r="EH997" s="43"/>
      <c r="EI997" s="43"/>
      <c r="EJ997" s="43"/>
      <c r="EK997" s="43"/>
      <c r="EL997" s="43"/>
      <c r="EM997" s="43"/>
      <c r="EN997" s="43"/>
      <c r="EO997" s="43"/>
      <c r="EP997" s="43"/>
      <c r="EQ997" s="43"/>
      <c r="ER997" s="43"/>
      <c r="ES997" s="43"/>
      <c r="ET997" s="43"/>
      <c r="EU997" s="43"/>
      <c r="EV997" s="43"/>
      <c r="EW997" s="43"/>
      <c r="EX997" s="43"/>
      <c r="EY997" s="43"/>
      <c r="EZ997" s="43"/>
      <c r="FA997" s="43"/>
      <c r="FB997" s="43"/>
      <c r="FC997" s="43"/>
      <c r="FD997" s="43"/>
      <c r="FE997" s="43"/>
      <c r="FF997" s="43"/>
      <c r="FG997" s="43"/>
      <c r="FH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s="43"/>
      <c r="BM998" s="43"/>
      <c r="BN998" s="43"/>
      <c r="BO998" s="43"/>
      <c r="BP998" s="43"/>
      <c r="BQ998" s="43"/>
      <c r="BR998" s="43"/>
      <c r="BS998" s="43"/>
      <c r="BT998" s="43"/>
      <c r="BU998" s="43"/>
      <c r="BV998" s="43"/>
      <c r="BW998" s="43"/>
      <c r="BX998" s="43"/>
      <c r="BY998" s="43"/>
      <c r="BZ998" s="43"/>
      <c r="CA998" s="43"/>
      <c r="CB998" s="43"/>
      <c r="CC998" s="43"/>
      <c r="CD998" s="43"/>
      <c r="CE998" s="43"/>
      <c r="CF998" s="43"/>
      <c r="CG998" s="43"/>
      <c r="CH998" s="43"/>
      <c r="CI998" s="43"/>
      <c r="CJ998" s="43"/>
      <c r="CK998" s="43"/>
      <c r="CL998" s="43"/>
      <c r="CM998" s="43"/>
      <c r="CN998" s="43"/>
      <c r="CO998" s="43"/>
      <c r="CP998" s="43"/>
      <c r="CQ998" s="43"/>
      <c r="CR998" s="43"/>
      <c r="CS998" s="43"/>
      <c r="CT998" s="43"/>
      <c r="CU998" s="43"/>
      <c r="CV998" s="43"/>
      <c r="CW998" s="43"/>
      <c r="CX998" s="43"/>
      <c r="CY998" s="43"/>
      <c r="CZ998" s="43"/>
      <c r="DA998" s="43"/>
      <c r="DB998" s="43"/>
      <c r="DC998" s="43"/>
      <c r="DD998" s="43"/>
      <c r="DE998" s="43"/>
      <c r="DF998" s="43"/>
      <c r="DG998" s="43"/>
      <c r="DH998" s="43"/>
      <c r="DI998" s="43"/>
      <c r="DJ998" s="43"/>
      <c r="DK998" s="43"/>
      <c r="DL998" s="43"/>
      <c r="DM998" s="43"/>
      <c r="DN998" s="43"/>
      <c r="DO998" s="43"/>
      <c r="DP998" s="43"/>
      <c r="DQ998" s="43"/>
      <c r="DR998" s="43"/>
      <c r="DS998" s="43"/>
      <c r="DT998" s="43"/>
      <c r="DU998" s="43"/>
      <c r="DV998" s="43"/>
      <c r="DW998" s="43"/>
      <c r="DX998" s="43"/>
      <c r="DY998" s="43"/>
      <c r="DZ998" s="43"/>
      <c r="EA998" s="43"/>
      <c r="EB998" s="43"/>
      <c r="EC998" s="43"/>
      <c r="ED998" s="43"/>
      <c r="EE998" s="43"/>
      <c r="EF998" s="43"/>
      <c r="EG998" s="43"/>
      <c r="EH998" s="43"/>
      <c r="EI998" s="43"/>
      <c r="EJ998" s="43"/>
      <c r="EK998" s="43"/>
      <c r="EL998" s="43"/>
      <c r="EM998" s="43"/>
      <c r="EN998" s="43"/>
      <c r="EO998" s="43"/>
      <c r="EP998" s="43"/>
      <c r="EQ998" s="43"/>
      <c r="ER998" s="43"/>
      <c r="ES998" s="43"/>
      <c r="ET998" s="43"/>
      <c r="EU998" s="43"/>
      <c r="EV998" s="43"/>
      <c r="EW998" s="43"/>
      <c r="EX998" s="43"/>
      <c r="EY998" s="43"/>
      <c r="EZ998" s="43"/>
      <c r="FA998" s="43"/>
      <c r="FB998" s="43"/>
      <c r="FC998" s="43"/>
      <c r="FD998" s="43"/>
      <c r="FE998" s="43"/>
      <c r="FF998" s="43"/>
      <c r="FG998" s="43"/>
      <c r="FH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s="43"/>
      <c r="BM999" s="43"/>
      <c r="BN999" s="43"/>
      <c r="BO999" s="43"/>
      <c r="BP999" s="43"/>
      <c r="BQ999" s="43"/>
      <c r="BR999" s="43"/>
      <c r="BS999" s="43"/>
      <c r="BT999" s="43"/>
      <c r="BU999" s="43"/>
      <c r="BV999" s="43"/>
      <c r="BW999" s="43"/>
      <c r="BX999" s="43"/>
      <c r="BY999" s="43"/>
      <c r="BZ999" s="43"/>
      <c r="CA999" s="43"/>
      <c r="CB999" s="43"/>
      <c r="CC999" s="43"/>
      <c r="CD999" s="43"/>
      <c r="CE999" s="43"/>
      <c r="CF999" s="43"/>
      <c r="CG999" s="43"/>
      <c r="CH999" s="43"/>
      <c r="CI999" s="43"/>
      <c r="CJ999" s="43"/>
      <c r="CK999" s="43"/>
      <c r="CL999" s="43"/>
      <c r="CM999" s="43"/>
      <c r="CN999" s="43"/>
      <c r="CO999" s="43"/>
      <c r="CP999" s="43"/>
      <c r="CQ999" s="43"/>
      <c r="CR999" s="43"/>
      <c r="CS999" s="43"/>
      <c r="CT999" s="43"/>
      <c r="CU999" s="43"/>
      <c r="CV999" s="43"/>
      <c r="CW999" s="43"/>
      <c r="CX999" s="43"/>
      <c r="CY999" s="43"/>
      <c r="CZ999" s="43"/>
      <c r="DA999" s="43"/>
      <c r="DB999" s="43"/>
      <c r="DC999" s="43"/>
      <c r="DD999" s="43"/>
      <c r="DE999" s="43"/>
      <c r="DF999" s="43"/>
      <c r="DG999" s="43"/>
      <c r="DH999" s="43"/>
      <c r="DI999" s="43"/>
      <c r="DJ999" s="43"/>
      <c r="DK999" s="43"/>
      <c r="DL999" s="43"/>
      <c r="DM999" s="43"/>
      <c r="DN999" s="43"/>
      <c r="DO999" s="43"/>
      <c r="DP999" s="43"/>
      <c r="DQ999" s="43"/>
      <c r="DR999" s="43"/>
      <c r="DS999" s="43"/>
      <c r="DT999" s="43"/>
      <c r="DU999" s="43"/>
      <c r="DV999" s="43"/>
      <c r="DW999" s="43"/>
      <c r="DX999" s="43"/>
      <c r="DY999" s="43"/>
      <c r="DZ999" s="43"/>
      <c r="EA999" s="43"/>
      <c r="EB999" s="43"/>
      <c r="EC999" s="43"/>
      <c r="ED999" s="43"/>
      <c r="EE999" s="43"/>
      <c r="EF999" s="43"/>
      <c r="EG999" s="43"/>
      <c r="EH999" s="43"/>
      <c r="EI999" s="43"/>
      <c r="EJ999" s="43"/>
      <c r="EK999" s="43"/>
      <c r="EL999" s="43"/>
      <c r="EM999" s="43"/>
      <c r="EN999" s="43"/>
      <c r="EO999" s="43"/>
      <c r="EP999" s="43"/>
      <c r="EQ999" s="43"/>
      <c r="ER999" s="43"/>
      <c r="ES999" s="43"/>
      <c r="ET999" s="43"/>
      <c r="EU999" s="43"/>
      <c r="EV999" s="43"/>
      <c r="EW999" s="43"/>
      <c r="EX999" s="43"/>
      <c r="EY999" s="43"/>
      <c r="EZ999" s="43"/>
      <c r="FA999" s="43"/>
      <c r="FB999" s="43"/>
      <c r="FC999" s="43"/>
      <c r="FD999" s="43"/>
      <c r="FE999" s="43"/>
      <c r="FF999" s="43"/>
      <c r="FG999" s="43"/>
      <c r="FH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s="43"/>
      <c r="BM1000" s="43"/>
      <c r="BN1000" s="43"/>
      <c r="BO1000" s="43"/>
      <c r="BP1000" s="43"/>
      <c r="BQ1000" s="43"/>
      <c r="BR1000" s="43"/>
      <c r="BS1000" s="43"/>
      <c r="BT1000" s="43"/>
      <c r="BU1000" s="43"/>
      <c r="BV1000" s="43"/>
      <c r="BW1000" s="43"/>
      <c r="BX1000" s="43"/>
      <c r="BY1000" s="43"/>
      <c r="BZ1000" s="43"/>
      <c r="CA1000" s="43"/>
      <c r="CB1000" s="43"/>
      <c r="CC1000" s="43"/>
      <c r="CD1000" s="43"/>
      <c r="CE1000" s="43"/>
      <c r="CF1000" s="43"/>
      <c r="CG1000" s="43"/>
      <c r="CH1000" s="43"/>
      <c r="CI1000" s="43"/>
      <c r="CJ1000" s="43"/>
      <c r="CK1000" s="43"/>
      <c r="CL1000" s="43"/>
      <c r="CM1000" s="43"/>
      <c r="CN1000" s="43"/>
      <c r="CO1000" s="43"/>
      <c r="CP1000" s="43"/>
      <c r="CQ1000" s="43"/>
      <c r="CR1000" s="43"/>
      <c r="CS1000" s="43"/>
      <c r="CT1000" s="43"/>
      <c r="CU1000" s="43"/>
      <c r="CV1000" s="43"/>
      <c r="CW1000" s="43"/>
      <c r="CX1000" s="43"/>
      <c r="CY1000" s="43"/>
      <c r="CZ1000" s="43"/>
      <c r="DA1000" s="43"/>
      <c r="DB1000" s="43"/>
      <c r="DC1000" s="43"/>
      <c r="DD1000" s="43"/>
      <c r="DE1000" s="43"/>
      <c r="DF1000" s="43"/>
      <c r="DG1000" s="43"/>
      <c r="DH1000" s="43"/>
      <c r="DI1000" s="43"/>
      <c r="DJ1000" s="43"/>
      <c r="DK1000" s="43"/>
      <c r="DL1000" s="43"/>
      <c r="DM1000" s="43"/>
      <c r="DN1000" s="43"/>
      <c r="DO1000" s="43"/>
      <c r="DP1000" s="43"/>
      <c r="DQ1000" s="43"/>
      <c r="DR1000" s="43"/>
      <c r="DS1000" s="43"/>
      <c r="DT1000" s="43"/>
      <c r="DU1000" s="43"/>
      <c r="DV1000" s="43"/>
      <c r="DW1000" s="43"/>
      <c r="DX1000" s="43"/>
      <c r="DY1000" s="43"/>
      <c r="DZ1000" s="43"/>
      <c r="EA1000" s="43"/>
      <c r="EB1000" s="43"/>
      <c r="EC1000" s="43"/>
      <c r="ED1000" s="43"/>
      <c r="EE1000" s="43"/>
      <c r="EF1000" s="43"/>
      <c r="EG1000" s="43"/>
      <c r="EH1000" s="43"/>
      <c r="EI1000" s="43"/>
      <c r="EJ1000" s="43"/>
      <c r="EK1000" s="43"/>
      <c r="EL1000" s="43"/>
      <c r="EM1000" s="43"/>
      <c r="EN1000" s="43"/>
      <c r="EO1000" s="43"/>
      <c r="EP1000" s="43"/>
      <c r="EQ1000" s="43"/>
      <c r="ER1000" s="43"/>
      <c r="ES1000" s="43"/>
      <c r="ET1000" s="43"/>
      <c r="EU1000" s="43"/>
      <c r="EV1000" s="43"/>
      <c r="EW1000" s="43"/>
      <c r="EX1000" s="43"/>
      <c r="EY1000" s="43"/>
      <c r="EZ1000" s="43"/>
      <c r="FA1000" s="43"/>
      <c r="FB1000" s="43"/>
      <c r="FC1000" s="43"/>
      <c r="FD1000" s="43"/>
      <c r="FE1000" s="43"/>
      <c r="FF1000" s="43"/>
      <c r="FG1000" s="43"/>
      <c r="FH1000" s="43"/>
    </row>
  </sheetData>
  <autoFilter ref="$A$2:$FH$642"/>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5.25"/>
  </cols>
  <sheetData>
    <row r="1">
      <c r="A1" s="49" t="s">
        <v>106</v>
      </c>
      <c r="B1" s="50"/>
      <c r="C1" s="50"/>
      <c r="D1" s="50"/>
      <c r="H1" s="51" t="s">
        <v>2</v>
      </c>
      <c r="I1" s="50" t="s">
        <v>107</v>
      </c>
      <c r="J1" s="50" t="s">
        <v>108</v>
      </c>
      <c r="L1" s="51" t="s">
        <v>2</v>
      </c>
      <c r="M1" s="50" t="s">
        <v>107</v>
      </c>
      <c r="N1" s="50" t="s">
        <v>108</v>
      </c>
    </row>
    <row r="2">
      <c r="A2" s="50"/>
      <c r="B2" s="50"/>
      <c r="C2" s="50"/>
      <c r="D2" s="50"/>
      <c r="H2" s="50" t="s">
        <v>109</v>
      </c>
      <c r="I2" s="52">
        <f>SUMPRODUCT((MOD(ROW(Audio!D3:D1000)-ROW(Audio!D3),8)=0)*Audio!D3:D1000)</f>
        <v>483351.0281</v>
      </c>
      <c r="J2" s="52">
        <f t="shared" ref="J2:J9" si="1">I2/60</f>
        <v>8055.850469</v>
      </c>
      <c r="L2" s="50" t="s">
        <v>109</v>
      </c>
      <c r="M2" s="53">
        <f>SUMPRODUCT((MOD(ROW(raw!D3:D1000)-ROW(raw!D3),8)=0)*raw!D3:D1000)</f>
        <v>483351.0281</v>
      </c>
      <c r="N2" s="52">
        <f t="shared" ref="N2:N9" si="2">M2/60</f>
        <v>8055.850469</v>
      </c>
    </row>
    <row r="3">
      <c r="A3" s="50"/>
      <c r="B3" s="54"/>
      <c r="C3" s="52"/>
      <c r="D3" s="52"/>
      <c r="H3" s="50" t="s">
        <v>9</v>
      </c>
      <c r="I3" s="52">
        <f>SUMPRODUCT((MOD(ROW(Audio!D4:D1000)-ROW(Audio!D4),8)=0)*Audio!D4:D1000)</f>
        <v>182706.1818</v>
      </c>
      <c r="J3" s="52">
        <f t="shared" si="1"/>
        <v>3045.10303</v>
      </c>
      <c r="L3" s="50" t="s">
        <v>9</v>
      </c>
      <c r="M3" s="53">
        <f>SUMPRODUCT((MOD(ROW(raw!D4:D1000)-ROW(raw!D4),8)=0)*raw!D4:D1000)</f>
        <v>483351.0281</v>
      </c>
      <c r="N3" s="52">
        <f t="shared" si="2"/>
        <v>8055.850469</v>
      </c>
    </row>
    <row r="4">
      <c r="A4" s="50"/>
      <c r="B4" s="50"/>
      <c r="C4" s="52"/>
      <c r="D4" s="52"/>
      <c r="H4" s="50" t="s">
        <v>10</v>
      </c>
      <c r="I4" s="52">
        <f>SUMPRODUCT((MOD(ROW(Audio!D5:D1000)-ROW(Audio!D5),8)=0)*Audio!D5:D1000)</f>
        <v>47252.76221</v>
      </c>
      <c r="J4" s="52">
        <f t="shared" si="1"/>
        <v>787.5460368</v>
      </c>
      <c r="L4" s="50" t="s">
        <v>10</v>
      </c>
      <c r="M4" s="53">
        <f>SUMPRODUCT((MOD(ROW(raw!D5:D1000)-ROW(raw!D5),8)=0)*raw!D5:D1000)</f>
        <v>47252.76221</v>
      </c>
      <c r="N4" s="52">
        <f t="shared" si="2"/>
        <v>787.5460368</v>
      </c>
    </row>
    <row r="5">
      <c r="A5" s="50"/>
      <c r="B5" s="50"/>
      <c r="C5" s="55"/>
      <c r="D5" s="50"/>
      <c r="H5" s="50" t="s">
        <v>11</v>
      </c>
      <c r="I5" s="52">
        <f>SUMPRODUCT((MOD(ROW(Audio!D6:D1000)-ROW(Audio!D6),8)=0)*Audio!D6:D1000)</f>
        <v>0</v>
      </c>
      <c r="J5" s="52">
        <f t="shared" si="1"/>
        <v>0</v>
      </c>
      <c r="L5" s="50" t="s">
        <v>11</v>
      </c>
      <c r="M5" s="53">
        <f>SUMPRODUCT((MOD(ROW(raw!D6:D1000)-ROW(raw!D6),8)=0)*raw!D6:D1000)</f>
        <v>47252.76221</v>
      </c>
      <c r="N5" s="52">
        <f t="shared" si="2"/>
        <v>787.5460368</v>
      </c>
    </row>
    <row r="6">
      <c r="A6" s="56" t="s">
        <v>110</v>
      </c>
      <c r="B6" s="57" t="s">
        <v>111</v>
      </c>
      <c r="C6" s="58" t="s">
        <v>112</v>
      </c>
      <c r="D6" s="59" t="s">
        <v>113</v>
      </c>
      <c r="H6" s="55" t="s">
        <v>12</v>
      </c>
      <c r="I6" s="52">
        <f>SUMPRODUCT((MOD(ROW(Audio!D7:D1000)-ROW(Audio!D7),8)=0)*Audio!D7:D1000)</f>
        <v>168990.5263</v>
      </c>
      <c r="J6" s="52">
        <f t="shared" si="1"/>
        <v>2816.508772</v>
      </c>
      <c r="L6" s="55" t="s">
        <v>12</v>
      </c>
      <c r="M6" s="53">
        <f>SUMPRODUCT((MOD(ROW(raw!D7:D1000)-ROW(raw!D7),8)=0)*raw!D7:D1000)</f>
        <v>402712.0335</v>
      </c>
      <c r="N6" s="52">
        <f t="shared" si="2"/>
        <v>6711.867225</v>
      </c>
    </row>
    <row r="7">
      <c r="A7" s="60" t="s">
        <v>114</v>
      </c>
      <c r="B7" s="61" t="s">
        <v>115</v>
      </c>
      <c r="C7" s="62" t="s">
        <v>116</v>
      </c>
      <c r="D7" s="63" t="s">
        <v>117</v>
      </c>
      <c r="H7" s="50" t="s">
        <v>13</v>
      </c>
      <c r="I7" s="52">
        <f>SUMPRODUCT((MOD(ROW(Audio!D8:D1000)-ROW(Audio!D8),8)=0)*Audio!D8:D1000)</f>
        <v>161825.4772</v>
      </c>
      <c r="J7" s="52">
        <f t="shared" si="1"/>
        <v>2697.091287</v>
      </c>
      <c r="L7" s="50" t="s">
        <v>13</v>
      </c>
      <c r="M7" s="53">
        <f>SUMPRODUCT((MOD(ROW(raw!D8:D1000)-ROW(raw!D8),8)=0)*raw!D8:D1000)</f>
        <v>387922.2509</v>
      </c>
      <c r="N7" s="52">
        <f t="shared" si="2"/>
        <v>6465.370848</v>
      </c>
    </row>
    <row r="8">
      <c r="H8" s="50" t="s">
        <v>14</v>
      </c>
      <c r="I8" s="52">
        <f>SUMPRODUCT((MOD(ROW(Audio!D9:D1000)-ROW(Audio!D9),8)=0)*Audio!D9:D1000)</f>
        <v>140016.203</v>
      </c>
      <c r="J8" s="52">
        <f t="shared" si="1"/>
        <v>2333.603383</v>
      </c>
      <c r="L8" s="50" t="s">
        <v>14</v>
      </c>
      <c r="M8" s="53">
        <f>SUMPRODUCT((MOD(ROW(raw!D9:D1000)-ROW(raw!D9),8)=0)*raw!D9:D1000)</f>
        <v>342378.2696</v>
      </c>
      <c r="N8" s="52">
        <f t="shared" si="2"/>
        <v>5706.304494</v>
      </c>
    </row>
    <row r="9">
      <c r="H9" s="51" t="s">
        <v>15</v>
      </c>
      <c r="I9" s="52">
        <f>SUMPRODUCT((MOD(ROW(Audio!D10:D1000)-ROW(Audio!D10),8)=0)*Audio!D10:D1000)</f>
        <v>161793.9927</v>
      </c>
      <c r="J9" s="52">
        <f t="shared" si="1"/>
        <v>2696.566545</v>
      </c>
      <c r="L9" s="51" t="s">
        <v>15</v>
      </c>
      <c r="M9" s="53">
        <f>SUMPRODUCT((MOD(ROW(raw!D10:D1000)-ROW(raw!D10),8)=0)*raw!D10:D1000)</f>
        <v>387836.5901</v>
      </c>
      <c r="N9" s="52">
        <f t="shared" si="2"/>
        <v>6463.943169</v>
      </c>
    </row>
    <row r="12">
      <c r="J12" s="52"/>
      <c r="L12" s="64">
        <v>8055.8504686458145</v>
      </c>
      <c r="M12" s="64">
        <v>8055.850468594948</v>
      </c>
    </row>
    <row r="13">
      <c r="J13" s="52"/>
      <c r="L13" s="64">
        <v>3045.103030225689</v>
      </c>
      <c r="M13" s="64">
        <v>8055.850468619798</v>
      </c>
    </row>
    <row r="14">
      <c r="L14" s="64">
        <v>787.5460368402762</v>
      </c>
      <c r="M14" s="64">
        <v>787.5460368405617</v>
      </c>
    </row>
    <row r="15">
      <c r="L15" s="64">
        <v>0.0</v>
      </c>
      <c r="M15" s="64">
        <v>787.5460368402762</v>
      </c>
    </row>
    <row r="16">
      <c r="H16" s="65" t="s">
        <v>118</v>
      </c>
      <c r="I16" s="65" t="s">
        <v>119</v>
      </c>
      <c r="J16" s="65" t="s">
        <v>120</v>
      </c>
      <c r="L16" s="64">
        <v>2816.508771597216</v>
      </c>
      <c r="M16" s="64">
        <v>6711.867225079071</v>
      </c>
    </row>
    <row r="17">
      <c r="H17" s="65" t="s">
        <v>121</v>
      </c>
      <c r="I17" s="66" t="s">
        <v>122</v>
      </c>
      <c r="J17" s="66" t="s">
        <v>123</v>
      </c>
      <c r="L17" s="64">
        <v>2697.0912866666667</v>
      </c>
      <c r="M17" s="64">
        <v>6465.370847700001</v>
      </c>
    </row>
    <row r="18">
      <c r="H18" s="65" t="s">
        <v>124</v>
      </c>
      <c r="I18" s="66" t="s">
        <v>125</v>
      </c>
      <c r="J18" s="66" t="s">
        <v>126</v>
      </c>
      <c r="L18" s="64">
        <v>2333.6033833333327</v>
      </c>
      <c r="M18" s="64">
        <v>5706.3044937</v>
      </c>
    </row>
    <row r="19">
      <c r="H19" s="65" t="s">
        <v>127</v>
      </c>
      <c r="I19" s="66" t="s">
        <v>128</v>
      </c>
      <c r="J19" s="66" t="s">
        <v>129</v>
      </c>
      <c r="L19" s="64">
        <v>2696.566545</v>
      </c>
      <c r="M19" s="64">
        <v>6463.9431687</v>
      </c>
    </row>
    <row r="20">
      <c r="H20" s="65" t="s">
        <v>130</v>
      </c>
      <c r="I20" s="66" t="s">
        <v>131</v>
      </c>
      <c r="J20" s="66" t="s">
        <v>132</v>
      </c>
    </row>
    <row r="21">
      <c r="H21" s="65" t="s">
        <v>133</v>
      </c>
      <c r="I21" s="66" t="s">
        <v>134</v>
      </c>
      <c r="J21" s="66" t="s">
        <v>135</v>
      </c>
    </row>
    <row r="22">
      <c r="H22" s="65" t="s">
        <v>136</v>
      </c>
      <c r="I22" s="66" t="s">
        <v>137</v>
      </c>
      <c r="J22" s="66" t="s">
        <v>138</v>
      </c>
    </row>
    <row r="23">
      <c r="H23" s="65" t="s">
        <v>139</v>
      </c>
      <c r="I23" s="66" t="s">
        <v>140</v>
      </c>
      <c r="J23" s="66" t="s">
        <v>141</v>
      </c>
    </row>
    <row r="24">
      <c r="H24" s="65" t="s">
        <v>142</v>
      </c>
      <c r="I24" s="66" t="s">
        <v>143</v>
      </c>
      <c r="J24" s="66" t="s">
        <v>144</v>
      </c>
    </row>
    <row r="25">
      <c r="H25" s="65" t="s">
        <v>145</v>
      </c>
      <c r="I25" s="66" t="s">
        <v>146</v>
      </c>
      <c r="J25" s="66" t="s">
        <v>147</v>
      </c>
    </row>
    <row r="26">
      <c r="H26" s="65" t="s">
        <v>148</v>
      </c>
      <c r="I26" s="66" t="s">
        <v>149</v>
      </c>
      <c r="J26" s="66" t="s">
        <v>150</v>
      </c>
    </row>
    <row r="27">
      <c r="H27" s="65" t="s">
        <v>151</v>
      </c>
      <c r="I27" s="66" t="s">
        <v>152</v>
      </c>
      <c r="J27" s="66" t="s">
        <v>153</v>
      </c>
    </row>
    <row r="28">
      <c r="H28" s="65" t="s">
        <v>154</v>
      </c>
      <c r="I28" s="66" t="s">
        <v>155</v>
      </c>
      <c r="J28" s="66" t="s">
        <v>156</v>
      </c>
    </row>
    <row r="29">
      <c r="H29" s="65" t="s">
        <v>157</v>
      </c>
      <c r="I29" s="66" t="s">
        <v>158</v>
      </c>
      <c r="J29" s="66" t="s">
        <v>159</v>
      </c>
    </row>
    <row r="30">
      <c r="H30" s="65" t="s">
        <v>160</v>
      </c>
      <c r="I30" s="66" t="s">
        <v>158</v>
      </c>
      <c r="J30" s="66" t="s">
        <v>159</v>
      </c>
    </row>
    <row r="31">
      <c r="H31" s="65" t="s">
        <v>161</v>
      </c>
      <c r="I31" s="66" t="s">
        <v>158</v>
      </c>
      <c r="J31" s="66" t="s">
        <v>159</v>
      </c>
    </row>
    <row r="32">
      <c r="H32" s="65" t="s">
        <v>162</v>
      </c>
      <c r="I32" s="66" t="s">
        <v>163</v>
      </c>
      <c r="J32" s="66" t="s">
        <v>150</v>
      </c>
    </row>
    <row r="33">
      <c r="H33" s="65" t="s">
        <v>164</v>
      </c>
      <c r="I33" s="66" t="s">
        <v>163</v>
      </c>
      <c r="J33" s="66" t="s">
        <v>150</v>
      </c>
    </row>
    <row r="34">
      <c r="H34" s="65" t="s">
        <v>165</v>
      </c>
      <c r="I34" s="66" t="s">
        <v>158</v>
      </c>
      <c r="J34" s="66" t="s">
        <v>159</v>
      </c>
    </row>
    <row r="35">
      <c r="H35" s="65" t="s">
        <v>166</v>
      </c>
      <c r="I35" s="66" t="s">
        <v>167</v>
      </c>
      <c r="J35" s="66" t="s">
        <v>168</v>
      </c>
    </row>
    <row r="36">
      <c r="H36" s="65" t="s">
        <v>169</v>
      </c>
      <c r="I36" s="66" t="s">
        <v>170</v>
      </c>
      <c r="J36" s="66" t="s">
        <v>171</v>
      </c>
    </row>
    <row r="37">
      <c r="H37" s="65" t="s">
        <v>172</v>
      </c>
      <c r="I37" s="66" t="s">
        <v>173</v>
      </c>
      <c r="J37" s="66" t="s">
        <v>159</v>
      </c>
    </row>
    <row r="38">
      <c r="H38" s="65" t="s">
        <v>174</v>
      </c>
      <c r="I38" s="66" t="s">
        <v>175</v>
      </c>
      <c r="J38" s="66" t="s">
        <v>176</v>
      </c>
    </row>
    <row r="39">
      <c r="H39" s="65" t="s">
        <v>177</v>
      </c>
      <c r="I39" s="66" t="s">
        <v>173</v>
      </c>
      <c r="J39" s="66" t="s">
        <v>159</v>
      </c>
    </row>
    <row r="40">
      <c r="H40" s="65" t="s">
        <v>178</v>
      </c>
      <c r="I40" s="66" t="s">
        <v>173</v>
      </c>
      <c r="J40" s="66" t="s">
        <v>159</v>
      </c>
    </row>
    <row r="41">
      <c r="H41" s="65" t="s">
        <v>179</v>
      </c>
      <c r="I41" s="66" t="s">
        <v>173</v>
      </c>
      <c r="J41" s="66" t="s">
        <v>159</v>
      </c>
    </row>
    <row r="42">
      <c r="H42" s="65" t="s">
        <v>180</v>
      </c>
      <c r="I42" s="66" t="s">
        <v>173</v>
      </c>
      <c r="J42" s="66" t="s">
        <v>159</v>
      </c>
    </row>
    <row r="43">
      <c r="H43" s="65" t="s">
        <v>181</v>
      </c>
    </row>
    <row r="44">
      <c r="H44" s="65" t="s">
        <v>182</v>
      </c>
      <c r="I44" s="66" t="s">
        <v>183</v>
      </c>
      <c r="J44" s="66" t="s">
        <v>184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s>
  <sheetData>
    <row r="1">
      <c r="A1" s="51" t="s">
        <v>2</v>
      </c>
      <c r="B1" s="54" t="s">
        <v>108</v>
      </c>
      <c r="C1" s="67" t="str">
        <f>Audio!E2</f>
        <v>03-05-2023</v>
      </c>
      <c r="D1" s="67" t="str">
        <f>Audio!F2</f>
        <v>03-07-2023</v>
      </c>
      <c r="E1" s="67" t="str">
        <f>Audio!G2</f>
        <v>redelivery-03-07-2023</v>
      </c>
      <c r="F1" s="67" t="str">
        <f>Audio!H2</f>
        <v>06-07-2023</v>
      </c>
      <c r="G1" s="67" t="str">
        <f>Audio!I2</f>
        <v>redelivery-06-07-2023</v>
      </c>
      <c r="H1" s="67" t="str">
        <f>Audio!J2</f>
        <v>25-07-2023</v>
      </c>
      <c r="I1" s="67" t="str">
        <f>Audio!K2</f>
        <v>redelivery-25-07-2023</v>
      </c>
      <c r="J1" s="67" t="str">
        <f>Audio!L2</f>
        <v>20-08-2023</v>
      </c>
      <c r="K1" s="53" t="str">
        <f>Audio!M2</f>
        <v>redelivery-20-08-2023</v>
      </c>
      <c r="L1" s="67" t="str">
        <f>Audio!N2</f>
        <v>29-08-2023</v>
      </c>
      <c r="M1" s="67" t="str">
        <f>Audio!O2</f>
        <v>redelivery-29-08-2023</v>
      </c>
      <c r="N1" s="67" t="str">
        <f>Audio!P2</f>
        <v>14-09-2023</v>
      </c>
      <c r="O1" s="67" t="str">
        <f>Audio!Q2</f>
        <v>redelivery-14-09-2023</v>
      </c>
      <c r="P1" s="67" t="str">
        <f>Audio!R2</f>
        <v>09-10-2023</v>
      </c>
      <c r="Q1" s="67" t="str">
        <f>Audio!S2</f>
        <v>redelivery-09-10-2023</v>
      </c>
      <c r="R1" s="67" t="str">
        <f>Audio!T2</f>
        <v>17-10-2023</v>
      </c>
      <c r="S1" s="53" t="str">
        <f>Audio!U2</f>
        <v>redelivery-17-10-2023</v>
      </c>
      <c r="T1" s="53" t="str">
        <f>Audio!V2</f>
        <v>redelivery-27-12-2023</v>
      </c>
      <c r="U1" s="53" t="str">
        <f>Audio!W2</f>
        <v/>
      </c>
      <c r="V1" s="53" t="str">
        <f>Audio!X2</f>
        <v/>
      </c>
      <c r="W1" s="53" t="str">
        <f>Audio!Y2</f>
        <v/>
      </c>
      <c r="X1" s="53" t="str">
        <f>Audio!Z2</f>
        <v/>
      </c>
      <c r="Y1" s="53" t="str">
        <f>Audio!AA2</f>
        <v/>
      </c>
      <c r="Z1" s="53" t="str">
        <f>Audio!AB2</f>
        <v/>
      </c>
    </row>
    <row r="2">
      <c r="A2" s="50" t="s">
        <v>109</v>
      </c>
      <c r="B2" s="53">
        <f t="shared" ref="B2:B8" si="1">SUM(C2:Z2)</f>
        <v>8055.850469</v>
      </c>
      <c r="C2" s="53">
        <f>SUMPRODUCT((MOD(ROW(raw!E3:E1000)-ROW(raw!E3),8)=0)*raw!E3:E1000)/60</f>
        <v>0</v>
      </c>
      <c r="D2" s="53">
        <f>SUMPRODUCT((MOD(ROW(raw!F3:F1000)-ROW(raw!F3),8)=0)*raw!F3:F1000)/60</f>
        <v>1297.911365</v>
      </c>
      <c r="E2" s="53">
        <f>SUMPRODUCT((MOD(ROW(raw!G3:G1000)-ROW(raw!G3),8)=0)*raw!G3:G1000)/60</f>
        <v>0</v>
      </c>
      <c r="F2" s="53">
        <f>SUMPRODUCT((MOD(ROW(raw!H3:H1000)-ROW(raw!H3),8)=0)*raw!H3:H1000)/60</f>
        <v>200.6079977</v>
      </c>
      <c r="G2" s="53">
        <f>SUMPRODUCT((MOD(ROW(raw!I3:I1000)-ROW(raw!I3),8)=0)*raw!I3:I1000)/60</f>
        <v>0</v>
      </c>
      <c r="H2" s="53">
        <f>SUMPRODUCT((MOD(ROW(raw!J3:J1000)-ROW(raw!J3),8)=0)*raw!J3:J1000)/60</f>
        <v>1471.66871</v>
      </c>
      <c r="I2" s="53">
        <f>SUMPRODUCT((MOD(ROW(raw!K3:K1000)-ROW(raw!K3),8)=0)*raw!K3:K1000)/60</f>
        <v>0</v>
      </c>
      <c r="J2" s="53">
        <f>SUMPRODUCT((MOD(ROW(raw!L3:L1000)-ROW(raw!L3),8)=0)*raw!L3:L1000)/60</f>
        <v>1259.425588</v>
      </c>
      <c r="K2" s="53">
        <f>SUMPRODUCT((MOD(ROW(raw!M3:M1000)-ROW(raw!M3),8)=0)*raw!M3:M1000)/60</f>
        <v>0</v>
      </c>
      <c r="L2" s="53">
        <f>SUMPRODUCT((MOD(ROW(raw!N3:N1000)-ROW(raw!N3),8)=0)*raw!N3:N1000)/60</f>
        <v>2040.559365</v>
      </c>
      <c r="M2" s="53">
        <f>SUMPRODUCT((MOD(ROW(raw!O3:O1000)-ROW(raw!O3),8)=0)*raw!O3:O1000)/60</f>
        <v>0</v>
      </c>
      <c r="N2" s="53">
        <f>SUMPRODUCT((MOD(ROW(raw!P3:P1000)-ROW(raw!P3),8)=0)*raw!P3:P1000)/60</f>
        <v>731.9576405</v>
      </c>
      <c r="O2" s="53">
        <f>SUMPRODUCT((MOD(ROW(raw!Q3:Q1000)-ROW(raw!Q3),8)=0)*raw!Q3:Q1000)/60</f>
        <v>0</v>
      </c>
      <c r="P2" s="53">
        <f>SUMPRODUCT((MOD(ROW(raw!R3:R1000)-ROW(raw!R3),8)=0)*raw!R3:R1000)/60</f>
        <v>388.2218997</v>
      </c>
      <c r="Q2" s="53">
        <f>SUMPRODUCT((MOD(ROW(raw!S3:S1000)-ROW(raw!S3),8)=0)*raw!S3:S1000)/60</f>
        <v>0</v>
      </c>
      <c r="R2" s="53">
        <f>SUMPRODUCT((MOD(ROW(raw!T3:T1000)-ROW(raw!T3),8)=0)*raw!T3:T1000)/60</f>
        <v>665.4979023</v>
      </c>
      <c r="S2" s="53">
        <f>SUMPRODUCT((MOD(ROW(raw!U3:U1000)-ROW(raw!U3),8)=0)*raw!U3:U1000)/60</f>
        <v>0</v>
      </c>
      <c r="T2" s="53">
        <f>SUMPRODUCT((MOD(ROW(raw!V3:V1000)-ROW(raw!V3),8)=0)*raw!V3:V1000)/60</f>
        <v>0</v>
      </c>
      <c r="U2" s="53">
        <f>SUMPRODUCT((MOD(ROW(raw!W3:W1000)-ROW(raw!W3),8)=0)*raw!W3:W1000)/60</f>
        <v>0</v>
      </c>
      <c r="V2" s="53">
        <f>SUMPRODUCT((MOD(ROW(raw!X3:X1000)-ROW(raw!X3),8)=0)*raw!X3:X1000)/60</f>
        <v>0</v>
      </c>
      <c r="W2" s="53">
        <f>SUMPRODUCT((MOD(ROW(raw!Y3:Y1000)-ROW(raw!Y3),8)=0)*raw!Y3:Y1000)/60</f>
        <v>0</v>
      </c>
      <c r="X2" s="53">
        <f>SUMPRODUCT((MOD(ROW(raw!Z3:Z1000)-ROW(raw!Z3),8)=0)*raw!Z3:Z1000)/60</f>
        <v>0</v>
      </c>
      <c r="Y2" s="53">
        <f>SUMPRODUCT((MOD(ROW(raw!AA3:AA1000)-ROW(raw!AA3),8)=0)*raw!AA3:AA1000)/60</f>
        <v>0</v>
      </c>
      <c r="Z2" s="53">
        <f>SUMPRODUCT((MOD(ROW(raw!AB3:AB1000)-ROW(raw!AB3),8)=0)*raw!AB3:AB1000)/60</f>
        <v>0</v>
      </c>
    </row>
    <row r="3">
      <c r="A3" s="50" t="s">
        <v>9</v>
      </c>
      <c r="B3" s="53">
        <f t="shared" si="1"/>
        <v>8055.850469</v>
      </c>
      <c r="C3" s="53">
        <f>SUMPRODUCT((MOD(ROW(raw!E4:E1000)-ROW(raw!E4),8)=0)*raw!E4:E1000)/60</f>
        <v>0</v>
      </c>
      <c r="D3" s="53">
        <f>SUMPRODUCT((MOD(ROW(raw!F4:F1000)-ROW(raw!F4),8)=0)*raw!F4:F1000)/60</f>
        <v>1297.911365</v>
      </c>
      <c r="E3" s="53">
        <f>SUMPRODUCT((MOD(ROW(raw!G4:G1000)-ROW(raw!G4),8)=0)*raw!G4:G1000)/60</f>
        <v>0</v>
      </c>
      <c r="F3" s="53">
        <f>SUMPRODUCT((MOD(ROW(raw!H4:H1000)-ROW(raw!H4),8)=0)*raw!H4:H1000)/60</f>
        <v>200.6079977</v>
      </c>
      <c r="G3" s="53">
        <f>SUMPRODUCT((MOD(ROW(raw!I4:I1000)-ROW(raw!I4),8)=0)*raw!I4:I1000)/60</f>
        <v>0</v>
      </c>
      <c r="H3" s="53">
        <f>SUMPRODUCT((MOD(ROW(raw!J4:J1000)-ROW(raw!J4),8)=0)*raw!J4:J1000)/60</f>
        <v>1471.66871</v>
      </c>
      <c r="I3" s="53">
        <f>SUMPRODUCT((MOD(ROW(raw!K4:K1000)-ROW(raw!K4),8)=0)*raw!K4:K1000)/60</f>
        <v>0</v>
      </c>
      <c r="J3" s="53">
        <f>SUMPRODUCT((MOD(ROW(raw!L4:L1000)-ROW(raw!L4),8)=0)*raw!L4:L1000)/60</f>
        <v>1259.425588</v>
      </c>
      <c r="K3" s="53">
        <f>SUMPRODUCT((MOD(ROW(raw!M4:M1000)-ROW(raw!M4),8)=0)*raw!M4:M1000)/60</f>
        <v>0</v>
      </c>
      <c r="L3" s="53">
        <f>SUMPRODUCT((MOD(ROW(raw!N4:N1000)-ROW(raw!N4),8)=0)*raw!N4:N1000)/60</f>
        <v>2040.559365</v>
      </c>
      <c r="M3" s="53">
        <f>SUMPRODUCT((MOD(ROW(raw!O4:O1000)-ROW(raw!O4),8)=0)*raw!O4:O1000)/60</f>
        <v>0</v>
      </c>
      <c r="N3" s="53">
        <f>SUMPRODUCT((MOD(ROW(raw!P4:P1000)-ROW(raw!P4),8)=0)*raw!P4:P1000)/60</f>
        <v>731.9576405</v>
      </c>
      <c r="O3" s="53">
        <f>SUMPRODUCT((MOD(ROW(raw!Q4:Q1000)-ROW(raw!Q4),8)=0)*raw!Q4:Q1000)/60</f>
        <v>0</v>
      </c>
      <c r="P3" s="53">
        <f>SUMPRODUCT((MOD(ROW(raw!R4:R1000)-ROW(raw!R4),8)=0)*raw!R4:R1000)/60</f>
        <v>388.2218997</v>
      </c>
      <c r="Q3" s="53">
        <f>SUMPRODUCT((MOD(ROW(raw!S4:S1000)-ROW(raw!S4),8)=0)*raw!S4:S1000)/60</f>
        <v>0</v>
      </c>
      <c r="R3" s="53">
        <f>SUMPRODUCT((MOD(ROW(raw!T4:T1000)-ROW(raw!T4),8)=0)*raw!T4:T1000)/60</f>
        <v>665.4979023</v>
      </c>
      <c r="S3" s="53">
        <f>SUMPRODUCT((MOD(ROW(raw!U4:U1000)-ROW(raw!U4),8)=0)*raw!U4:U1000)/60</f>
        <v>0</v>
      </c>
      <c r="T3" s="53">
        <f>SUMPRODUCT((MOD(ROW(raw!V4:V1000)-ROW(raw!V4),8)=0)*raw!V4:V1000)/60</f>
        <v>0</v>
      </c>
      <c r="U3" s="53">
        <f>SUMPRODUCT((MOD(ROW(raw!W4:W1000)-ROW(raw!W4),8)=0)*raw!W4:W1000)/60</f>
        <v>0</v>
      </c>
      <c r="V3" s="53">
        <f>SUMPRODUCT((MOD(ROW(raw!X4:X1000)-ROW(raw!X4),8)=0)*raw!X4:X1000)/60</f>
        <v>0</v>
      </c>
      <c r="W3" s="53">
        <f>SUMPRODUCT((MOD(ROW(raw!Y4:Y1000)-ROW(raw!Y4),8)=0)*raw!Y4:Y1000)/60</f>
        <v>0</v>
      </c>
      <c r="X3" s="53">
        <f>SUMPRODUCT((MOD(ROW(raw!Z4:Z1000)-ROW(raw!Z4),8)=0)*raw!Z4:Z1000)/60</f>
        <v>0</v>
      </c>
      <c r="Y3" s="53">
        <f>SUMPRODUCT((MOD(ROW(raw!AA4:AA1000)-ROW(raw!AA4),8)=0)*raw!AA4:AA1000)/60</f>
        <v>0</v>
      </c>
      <c r="Z3" s="53">
        <f>SUMPRODUCT((MOD(ROW(raw!AB4:AB1000)-ROW(raw!AB4),8)=0)*raw!AB4:AB1000)/60</f>
        <v>0</v>
      </c>
    </row>
    <row r="4">
      <c r="A4" s="50" t="s">
        <v>10</v>
      </c>
      <c r="B4" s="53">
        <f t="shared" si="1"/>
        <v>787.5460368</v>
      </c>
      <c r="C4" s="53">
        <f>SUMPRODUCT((MOD(ROW(raw!E5:E1000)-ROW(raw!E5),8)=0)*raw!E5:E1000)/60</f>
        <v>0</v>
      </c>
      <c r="D4" s="53">
        <f>SUMPRODUCT((MOD(ROW(raw!F5:F1000)-ROW(raw!F5),8)=0)*raw!F5:F1000)/60</f>
        <v>0</v>
      </c>
      <c r="E4" s="53">
        <f>SUMPRODUCT((MOD(ROW(raw!G5:G1000)-ROW(raw!G5),8)=0)*raw!G5:G1000)/60</f>
        <v>124.201924</v>
      </c>
      <c r="F4" s="53">
        <f>SUMPRODUCT((MOD(ROW(raw!H5:H1000)-ROW(raw!H5),8)=0)*raw!H5:H1000)/60</f>
        <v>0</v>
      </c>
      <c r="G4" s="53">
        <f>SUMPRODUCT((MOD(ROW(raw!I5:I1000)-ROW(raw!I5),8)=0)*raw!I5:I1000)/60</f>
        <v>19.84359392</v>
      </c>
      <c r="H4" s="53">
        <f>SUMPRODUCT((MOD(ROW(raw!J5:J1000)-ROW(raw!J5),8)=0)*raw!J5:J1000)/60</f>
        <v>0</v>
      </c>
      <c r="I4" s="53">
        <f>SUMPRODUCT((MOD(ROW(raw!K5:K1000)-ROW(raw!K5),8)=0)*raw!K5:K1000)/60</f>
        <v>115.3922358</v>
      </c>
      <c r="J4" s="53">
        <f>SUMPRODUCT((MOD(ROW(raw!L5:L1000)-ROW(raw!L5),8)=0)*raw!L5:L1000)/60</f>
        <v>0</v>
      </c>
      <c r="K4" s="53">
        <f>SUMPRODUCT((MOD(ROW(raw!M5:M1000)-ROW(raw!M5),8)=0)*raw!M5:M1000)/60</f>
        <v>58.75322498</v>
      </c>
      <c r="L4" s="53">
        <f>SUMPRODUCT((MOD(ROW(raw!N5:N1000)-ROW(raw!N5),8)=0)*raw!N5:N1000)/60</f>
        <v>0</v>
      </c>
      <c r="M4" s="53">
        <f>SUMPRODUCT((MOD(ROW(raw!O5:O1000)-ROW(raw!O5),8)=0)*raw!O5:O1000)/60</f>
        <v>244.8251507</v>
      </c>
      <c r="N4" s="53">
        <f>SUMPRODUCT((MOD(ROW(raw!P5:P1000)-ROW(raw!P5),8)=0)*raw!P5:P1000)/60</f>
        <v>0</v>
      </c>
      <c r="O4" s="53">
        <f>SUMPRODUCT((MOD(ROW(raw!Q5:Q1000)-ROW(raw!Q5),8)=0)*raw!Q5:Q1000)/60</f>
        <v>112.1215808</v>
      </c>
      <c r="P4" s="53">
        <f>SUMPRODUCT((MOD(ROW(raw!R5:R1000)-ROW(raw!R5),8)=0)*raw!R5:R1000)/60</f>
        <v>0</v>
      </c>
      <c r="Q4" s="53">
        <f>SUMPRODUCT((MOD(ROW(raw!S5:S1000)-ROW(raw!S5),8)=0)*raw!S5:S1000)/60</f>
        <v>39.25327606</v>
      </c>
      <c r="R4" s="53">
        <f>SUMPRODUCT((MOD(ROW(raw!T5:T1000)-ROW(raw!T5),8)=0)*raw!T5:T1000)/60</f>
        <v>0</v>
      </c>
      <c r="S4" s="53">
        <f>SUMPRODUCT((MOD(ROW(raw!U5:U1000)-ROW(raw!U5),8)=0)*raw!U5:U1000)/60</f>
        <v>62.31712592</v>
      </c>
      <c r="T4" s="53">
        <f>SUMPRODUCT((MOD(ROW(raw!V5:V1000)-ROW(raw!V5),8)=0)*raw!V5:V1000)/60</f>
        <v>10.83792472</v>
      </c>
      <c r="U4" s="53">
        <f>SUMPRODUCT((MOD(ROW(raw!W5:W1000)-ROW(raw!W5),8)=0)*raw!W5:W1000)/60</f>
        <v>0</v>
      </c>
      <c r="V4" s="53">
        <f>SUMPRODUCT((MOD(ROW(raw!X5:X1000)-ROW(raw!X5),8)=0)*raw!X5:X1000)/60</f>
        <v>0</v>
      </c>
      <c r="W4" s="53">
        <f>SUMPRODUCT((MOD(ROW(raw!Y5:Y1000)-ROW(raw!Y5),8)=0)*raw!Y5:Y1000)/60</f>
        <v>0</v>
      </c>
      <c r="X4" s="53">
        <f>SUMPRODUCT((MOD(ROW(raw!Z5:Z1000)-ROW(raw!Z5),8)=0)*raw!Z5:Z1000)/60</f>
        <v>0</v>
      </c>
      <c r="Y4" s="53">
        <f>SUMPRODUCT((MOD(ROW(raw!AA5:AA1000)-ROW(raw!AA5),8)=0)*raw!AA5:AA1000)/60</f>
        <v>0</v>
      </c>
      <c r="Z4" s="53">
        <f>SUMPRODUCT((MOD(ROW(raw!AB5:AB1000)-ROW(raw!AB5),8)=0)*raw!AB5:AB1000)/60</f>
        <v>0</v>
      </c>
    </row>
    <row r="5">
      <c r="A5" s="50" t="s">
        <v>11</v>
      </c>
      <c r="B5" s="53">
        <f t="shared" si="1"/>
        <v>787.5460368</v>
      </c>
      <c r="C5" s="53">
        <f>SUMPRODUCT((MOD(ROW(raw!E6:E1000)-ROW(raw!E6),8)=0)*raw!E6:E1000)/60</f>
        <v>0</v>
      </c>
      <c r="D5" s="53">
        <f>SUMPRODUCT((MOD(ROW(raw!F6:F1000)-ROW(raw!F6),8)=0)*raw!F6:F1000)/60</f>
        <v>0</v>
      </c>
      <c r="E5" s="53">
        <f>SUMPRODUCT((MOD(ROW(raw!G6:G1000)-ROW(raw!G6),8)=0)*raw!G6:G1000)/60</f>
        <v>124.201924</v>
      </c>
      <c r="F5" s="53">
        <f>SUMPRODUCT((MOD(ROW(raw!H6:H1000)-ROW(raw!H6),8)=0)*raw!H6:H1000)/60</f>
        <v>0</v>
      </c>
      <c r="G5" s="53">
        <f>SUMPRODUCT((MOD(ROW(raw!I6:I1000)-ROW(raw!I6),8)=0)*raw!I6:I1000)/60</f>
        <v>19.84359392</v>
      </c>
      <c r="H5" s="53">
        <f>SUMPRODUCT((MOD(ROW(raw!J6:J1000)-ROW(raw!J6),8)=0)*raw!J6:J1000)/60</f>
        <v>0</v>
      </c>
      <c r="I5" s="53">
        <f>SUMPRODUCT((MOD(ROW(raw!K6:K1000)-ROW(raw!K6),8)=0)*raw!K6:K1000)/60</f>
        <v>115.3922358</v>
      </c>
      <c r="J5" s="53">
        <f>SUMPRODUCT((MOD(ROW(raw!L6:L1000)-ROW(raw!L6),8)=0)*raw!L6:L1000)/60</f>
        <v>0</v>
      </c>
      <c r="K5" s="53">
        <f>SUMPRODUCT((MOD(ROW(raw!M6:M1000)-ROW(raw!M6),8)=0)*raw!M6:M1000)/60</f>
        <v>58.75322498</v>
      </c>
      <c r="L5" s="53">
        <f>SUMPRODUCT((MOD(ROW(raw!N6:N1000)-ROW(raw!N6),8)=0)*raw!N6:N1000)/60</f>
        <v>0</v>
      </c>
      <c r="M5" s="53">
        <f>SUMPRODUCT((MOD(ROW(raw!O6:O1000)-ROW(raw!O6),8)=0)*raw!O6:O1000)/60</f>
        <v>244.8251507</v>
      </c>
      <c r="N5" s="53">
        <f>SUMPRODUCT((MOD(ROW(raw!P6:P1000)-ROW(raw!P6),8)=0)*raw!P6:P1000)/60</f>
        <v>0</v>
      </c>
      <c r="O5" s="53">
        <f>SUMPRODUCT((MOD(ROW(raw!Q6:Q1000)-ROW(raw!Q6),8)=0)*raw!Q6:Q1000)/60</f>
        <v>112.1215808</v>
      </c>
      <c r="P5" s="53">
        <f>SUMPRODUCT((MOD(ROW(raw!R6:R1000)-ROW(raw!R6),8)=0)*raw!R6:R1000)/60</f>
        <v>0</v>
      </c>
      <c r="Q5" s="53">
        <f>SUMPRODUCT((MOD(ROW(raw!S6:S1000)-ROW(raw!S6),8)=0)*raw!S6:S1000)/60</f>
        <v>39.25327606</v>
      </c>
      <c r="R5" s="53">
        <f>SUMPRODUCT((MOD(ROW(raw!T6:T1000)-ROW(raw!T6),8)=0)*raw!T6:T1000)/60</f>
        <v>0</v>
      </c>
      <c r="S5" s="53">
        <f>SUMPRODUCT((MOD(ROW(raw!U6:U1000)-ROW(raw!U6),8)=0)*raw!U6:U1000)/60</f>
        <v>62.31712592</v>
      </c>
      <c r="T5" s="53">
        <f>SUMPRODUCT((MOD(ROW(raw!V6:V1000)-ROW(raw!V6),8)=0)*raw!V6:V1000)/60</f>
        <v>10.83792472</v>
      </c>
      <c r="U5" s="53">
        <f>SUMPRODUCT((MOD(ROW(raw!W6:W1000)-ROW(raw!W6),8)=0)*raw!W6:W1000)/60</f>
        <v>0</v>
      </c>
      <c r="V5" s="53">
        <f>SUMPRODUCT((MOD(ROW(raw!X6:X1000)-ROW(raw!X6),8)=0)*raw!X6:X1000)/60</f>
        <v>0</v>
      </c>
      <c r="W5" s="53">
        <f>SUMPRODUCT((MOD(ROW(raw!Y6:Y1000)-ROW(raw!Y6),8)=0)*raw!Y6:Y1000)/60</f>
        <v>0</v>
      </c>
      <c r="X5" s="53">
        <f>SUMPRODUCT((MOD(ROW(raw!Z6:Z1000)-ROW(raw!Z6),8)=0)*raw!Z6:Z1000)/60</f>
        <v>0</v>
      </c>
      <c r="Y5" s="53">
        <f>SUMPRODUCT((MOD(ROW(raw!AA6:AA1000)-ROW(raw!AA6),8)=0)*raw!AA6:AA1000)/60</f>
        <v>0</v>
      </c>
      <c r="Z5" s="53">
        <f>SUMPRODUCT((MOD(ROW(raw!AB6:AB1000)-ROW(raw!AB6),8)=0)*raw!AB6:AB1000)/60</f>
        <v>0</v>
      </c>
    </row>
    <row r="6">
      <c r="A6" s="55" t="s">
        <v>12</v>
      </c>
      <c r="B6" s="53">
        <f t="shared" si="1"/>
        <v>6711.867225</v>
      </c>
      <c r="C6" s="53">
        <f>SUMPRODUCT((MOD(ROW(raw!E7:E1000)-ROW(raw!E7),8)=0)*raw!E7:E1000)/60</f>
        <v>0</v>
      </c>
      <c r="D6" s="53">
        <f>SUMPRODUCT((MOD(ROW(raw!F7:F1000)-ROW(raw!F7),8)=0)*raw!F7:F1000)/60</f>
        <v>1044.742269</v>
      </c>
      <c r="E6" s="53">
        <f>SUMPRODUCT((MOD(ROW(raw!G7:G1000)-ROW(raw!G7),8)=0)*raw!G7:G1000)/60</f>
        <v>4.633667205</v>
      </c>
      <c r="F6" s="53">
        <f>SUMPRODUCT((MOD(ROW(raw!H7:H1000)-ROW(raw!H7),8)=0)*raw!H7:H1000)/60</f>
        <v>177.6267982</v>
      </c>
      <c r="G6" s="53">
        <f>SUMPRODUCT((MOD(ROW(raw!I7:I1000)-ROW(raw!I7),8)=0)*raw!I7:I1000)/60</f>
        <v>0.3310475347</v>
      </c>
      <c r="H6" s="53">
        <f>SUMPRODUCT((MOD(ROW(raw!J7:J1000)-ROW(raw!J7),8)=0)*raw!J7:J1000)/60</f>
        <v>1183.454605</v>
      </c>
      <c r="I6" s="53">
        <f>SUMPRODUCT((MOD(ROW(raw!K7:K1000)-ROW(raw!K7),8)=0)*raw!K7:K1000)/60</f>
        <v>5.629005642</v>
      </c>
      <c r="J6" s="53">
        <f>SUMPRODUCT((MOD(ROW(raw!L7:L1000)-ROW(raw!L7),8)=0)*raw!L7:L1000)/60</f>
        <v>1157.717627</v>
      </c>
      <c r="K6" s="53">
        <f>SUMPRODUCT((MOD(ROW(raw!M7:M1000)-ROW(raw!M7),8)=0)*raw!M7:M1000)/60</f>
        <v>11.74730248</v>
      </c>
      <c r="L6" s="53">
        <f>SUMPRODUCT((MOD(ROW(raw!N7:N1000)-ROW(raw!N7),8)=0)*raw!N7:N1000)/60</f>
        <v>1358.423012</v>
      </c>
      <c r="M6" s="53">
        <f>SUMPRODUCT((MOD(ROW(raw!O7:O1000)-ROW(raw!O7),8)=0)*raw!O7:O1000)/60</f>
        <v>14.03687347</v>
      </c>
      <c r="N6" s="53">
        <f>SUMPRODUCT((MOD(ROW(raw!P7:P1000)-ROW(raw!P7),8)=0)*raw!P7:P1000)/60</f>
        <v>668.5387142</v>
      </c>
      <c r="O6" s="53">
        <f>SUMPRODUCT((MOD(ROW(raw!Q7:Q1000)-ROW(raw!Q7),8)=0)*raw!Q7:Q1000)/60</f>
        <v>38.30907819</v>
      </c>
      <c r="P6" s="53">
        <f>SUMPRODUCT((MOD(ROW(raw!R7:R1000)-ROW(raw!R7),8)=0)*raw!R7:R1000)/60</f>
        <v>364.6762135</v>
      </c>
      <c r="Q6" s="53">
        <f>SUMPRODUCT((MOD(ROW(raw!S7:S1000)-ROW(raw!S7),8)=0)*raw!S7:S1000)/60</f>
        <v>19.01121491</v>
      </c>
      <c r="R6" s="53">
        <f>SUMPRODUCT((MOD(ROW(raw!T7:T1000)-ROW(raw!T7),8)=0)*raw!T7:T1000)/60</f>
        <v>625.5762167</v>
      </c>
      <c r="S6" s="53">
        <f>SUMPRODUCT((MOD(ROW(raw!U7:U1000)-ROW(raw!U7),8)=0)*raw!U7:U1000)/60</f>
        <v>31.52701313</v>
      </c>
      <c r="T6" s="53">
        <f>SUMPRODUCT((MOD(ROW(raw!V7:V1000)-ROW(raw!V7),8)=0)*raw!V7:V1000)/60</f>
        <v>5.886566493</v>
      </c>
      <c r="U6" s="53">
        <f>SUMPRODUCT((MOD(ROW(raw!W7:W1000)-ROW(raw!W7),8)=0)*raw!W7:W1000)/60</f>
        <v>0</v>
      </c>
      <c r="V6" s="53">
        <f>SUMPRODUCT((MOD(ROW(raw!X7:X1000)-ROW(raw!X7),8)=0)*raw!X7:X1000)/60</f>
        <v>0</v>
      </c>
      <c r="W6" s="53">
        <f>SUMPRODUCT((MOD(ROW(raw!Y7:Y1000)-ROW(raw!Y7),8)=0)*raw!Y7:Y1000)/60</f>
        <v>0</v>
      </c>
      <c r="X6" s="53">
        <f>SUMPRODUCT((MOD(ROW(raw!Z7:Z1000)-ROW(raw!Z7),8)=0)*raw!Z7:Z1000)/60</f>
        <v>0</v>
      </c>
      <c r="Y6" s="53">
        <f>SUMPRODUCT((MOD(ROW(raw!AA7:AA1000)-ROW(raw!AA7),8)=0)*raw!AA7:AA1000)/60</f>
        <v>0</v>
      </c>
      <c r="Z6" s="53">
        <f>SUMPRODUCT((MOD(ROW(raw!AB7:AB1000)-ROW(raw!AB7),8)=0)*raw!AB7:AB1000)/60</f>
        <v>0</v>
      </c>
    </row>
    <row r="7">
      <c r="A7" s="50" t="s">
        <v>13</v>
      </c>
      <c r="B7" s="53">
        <f t="shared" si="1"/>
        <v>6465.370848</v>
      </c>
      <c r="C7" s="53">
        <f>SUMPRODUCT((MOD(ROW(raw!E8:E1000)-ROW(raw!E8),8)=0)*raw!E8:E1000)/60</f>
        <v>0</v>
      </c>
      <c r="D7" s="53">
        <f>SUMPRODUCT((MOD(ROW(raw!F8:F1000)-ROW(raw!F8),8)=0)*raw!F8:F1000)/60</f>
        <v>1014.185567</v>
      </c>
      <c r="E7" s="53">
        <f>SUMPRODUCT((MOD(ROW(raw!G8:G1000)-ROW(raw!G8),8)=0)*raw!G8:G1000)/60</f>
        <v>4.437536767</v>
      </c>
      <c r="F7" s="53">
        <f>SUMPRODUCT((MOD(ROW(raw!H8:H1000)-ROW(raw!H8),8)=0)*raw!H8:H1000)/60</f>
        <v>173.0833533</v>
      </c>
      <c r="G7" s="53">
        <f>SUMPRODUCT((MOD(ROW(raw!I8:I1000)-ROW(raw!I8),8)=0)*raw!I8:I1000)/60</f>
        <v>0.3194465667</v>
      </c>
      <c r="H7" s="53">
        <f>SUMPRODUCT((MOD(ROW(raw!J8:J1000)-ROW(raw!J8),8)=0)*raw!J8:J1000)/60</f>
        <v>1149.585177</v>
      </c>
      <c r="I7" s="53">
        <f>SUMPRODUCT((MOD(ROW(raw!K8:K1000)-ROW(raw!K8),8)=0)*raw!K8:K1000)/60</f>
        <v>5.398443717</v>
      </c>
      <c r="J7" s="53">
        <f>SUMPRODUCT((MOD(ROW(raw!L8:L1000)-ROW(raw!L8),8)=0)*raw!L8:L1000)/60</f>
        <v>1109.694048</v>
      </c>
      <c r="K7" s="53">
        <f>SUMPRODUCT((MOD(ROW(raw!M8:M1000)-ROW(raw!M8),8)=0)*raw!M8:M1000)/60</f>
        <v>11.14077908</v>
      </c>
      <c r="L7" s="53">
        <f>SUMPRODUCT((MOD(ROW(raw!N8:N1000)-ROW(raw!N8),8)=0)*raw!N8:N1000)/60</f>
        <v>1307.139853</v>
      </c>
      <c r="M7" s="53">
        <f>SUMPRODUCT((MOD(ROW(raw!O8:O1000)-ROW(raw!O8),8)=0)*raw!O8:O1000)/60</f>
        <v>13.295318</v>
      </c>
      <c r="N7" s="53">
        <f>SUMPRODUCT((MOD(ROW(raw!P8:P1000)-ROW(raw!P8),8)=0)*raw!P8:P1000)/60</f>
        <v>637.22752</v>
      </c>
      <c r="O7" s="53">
        <f>SUMPRODUCT((MOD(ROW(raw!Q8:Q1000)-ROW(raw!Q8),8)=0)*raw!Q8:Q1000)/60</f>
        <v>36.36111683</v>
      </c>
      <c r="P7" s="53">
        <f>SUMPRODUCT((MOD(ROW(raw!R8:R1000)-ROW(raw!R8),8)=0)*raw!R8:R1000)/60</f>
        <v>348.1742183</v>
      </c>
      <c r="Q7" s="53">
        <f>SUMPRODUCT((MOD(ROW(raw!S8:S1000)-ROW(raw!S8),8)=0)*raw!S8:S1000)/60</f>
        <v>17.8839601</v>
      </c>
      <c r="R7" s="53">
        <f>SUMPRODUCT((MOD(ROW(raw!T8:T1000)-ROW(raw!T8),8)=0)*raw!T8:T1000)/60</f>
        <v>601.9955</v>
      </c>
      <c r="S7" s="53">
        <f>SUMPRODUCT((MOD(ROW(raw!U8:U1000)-ROW(raw!U8),8)=0)*raw!U8:U1000)/60</f>
        <v>29.868716</v>
      </c>
      <c r="T7" s="53">
        <f>SUMPRODUCT((MOD(ROW(raw!V8:V1000)-ROW(raw!V8),8)=0)*raw!V8:V1000)/60</f>
        <v>5.580293467</v>
      </c>
      <c r="U7" s="53">
        <f>SUMPRODUCT((MOD(ROW(raw!W8:W1000)-ROW(raw!W8),8)=0)*raw!W8:W1000)/60</f>
        <v>0</v>
      </c>
      <c r="V7" s="53">
        <f>SUMPRODUCT((MOD(ROW(raw!X8:X1000)-ROW(raw!X8),8)=0)*raw!X8:X1000)/60</f>
        <v>0</v>
      </c>
      <c r="W7" s="53">
        <f>SUMPRODUCT((MOD(ROW(raw!Y8:Y1000)-ROW(raw!Y8),8)=0)*raw!Y8:Y1000)/60</f>
        <v>0</v>
      </c>
      <c r="X7" s="53">
        <f>SUMPRODUCT((MOD(ROW(raw!Z8:Z1000)-ROW(raw!Z8),8)=0)*raw!Z8:Z1000)/60</f>
        <v>0</v>
      </c>
      <c r="Y7" s="53">
        <f>SUMPRODUCT((MOD(ROW(raw!AA8:AA1000)-ROW(raw!AA8),8)=0)*raw!AA8:AA1000)/60</f>
        <v>0</v>
      </c>
      <c r="Z7" s="53">
        <f>SUMPRODUCT((MOD(ROW(raw!AB8:AB1000)-ROW(raw!AB8),8)=0)*raw!AB8:AB1000)/60</f>
        <v>0</v>
      </c>
    </row>
    <row r="8">
      <c r="A8" s="50" t="s">
        <v>14</v>
      </c>
      <c r="B8" s="53">
        <f t="shared" si="1"/>
        <v>5706.304494</v>
      </c>
      <c r="C8" s="53">
        <f>SUMPRODUCT((MOD(ROW(raw!E9:E1000)-ROW(raw!E9),8)=0)*raw!E9:E1000)/60</f>
        <v>0</v>
      </c>
      <c r="D8" s="53">
        <f>SUMPRODUCT((MOD(ROW(raw!F9:F1000)-ROW(raw!F9),8)=0)*raw!F9:F1000)/60</f>
        <v>907.6742417</v>
      </c>
      <c r="E8" s="53">
        <f>SUMPRODUCT((MOD(ROW(raw!G9:G1000)-ROW(raw!G9),8)=0)*raw!G9:G1000)/60</f>
        <v>4.232872717</v>
      </c>
      <c r="F8" s="53">
        <f>SUMPRODUCT((MOD(ROW(raw!H9:H1000)-ROW(raw!H9),8)=0)*raw!H9:H1000)/60</f>
        <v>154.3528578</v>
      </c>
      <c r="G8" s="53">
        <f>SUMPRODUCT((MOD(ROW(raw!I9:I1000)-ROW(raw!I9),8)=0)*raw!I9:I1000)/60</f>
        <v>0.30664685</v>
      </c>
      <c r="H8" s="53">
        <f>SUMPRODUCT((MOD(ROW(raw!J9:J1000)-ROW(raw!J9),8)=0)*raw!J9:J1000)/60</f>
        <v>1055.153386</v>
      </c>
      <c r="I8" s="53">
        <f>SUMPRODUCT((MOD(ROW(raw!K9:K1000)-ROW(raw!K9),8)=0)*raw!K9:K1000)/60</f>
        <v>4.939411333</v>
      </c>
      <c r="J8" s="53">
        <f>SUMPRODUCT((MOD(ROW(raw!L9:L1000)-ROW(raw!L9),8)=0)*raw!L9:L1000)/60</f>
        <v>974.1068433</v>
      </c>
      <c r="K8" s="53">
        <f>SUMPRODUCT((MOD(ROW(raw!M9:M1000)-ROW(raw!M9),8)=0)*raw!M9:M1000)/60</f>
        <v>9.8168568</v>
      </c>
      <c r="L8" s="53">
        <f>SUMPRODUCT((MOD(ROW(raw!N9:N1000)-ROW(raw!N9),8)=0)*raw!N9:N1000)/60</f>
        <v>1146.36399</v>
      </c>
      <c r="M8" s="53">
        <f>SUMPRODUCT((MOD(ROW(raw!O9:O1000)-ROW(raw!O9),8)=0)*raw!O9:O1000)/60</f>
        <v>11.65431267</v>
      </c>
      <c r="N8" s="53">
        <f>SUMPRODUCT((MOD(ROW(raw!P9:P1000)-ROW(raw!P9),8)=0)*raw!P9:P1000)/60</f>
        <v>548.2384</v>
      </c>
      <c r="O8" s="53">
        <f>SUMPRODUCT((MOD(ROW(raw!Q9:Q1000)-ROW(raw!Q9),8)=0)*raw!Q9:Q1000)/60</f>
        <v>31.92714945</v>
      </c>
      <c r="P8" s="53">
        <f>SUMPRODUCT((MOD(ROW(raw!R9:R1000)-ROW(raw!R9),8)=0)*raw!R9:R1000)/60</f>
        <v>296.0846217</v>
      </c>
      <c r="Q8" s="53">
        <f>SUMPRODUCT((MOD(ROW(raw!S9:S1000)-ROW(raw!S9),8)=0)*raw!S9:S1000)/60</f>
        <v>15.55113143</v>
      </c>
      <c r="R8" s="53">
        <f>SUMPRODUCT((MOD(ROW(raw!T9:T1000)-ROW(raw!T9),8)=0)*raw!T9:T1000)/60</f>
        <v>515.1735183</v>
      </c>
      <c r="S8" s="53">
        <f>SUMPRODUCT((MOD(ROW(raw!U9:U1000)-ROW(raw!U9),8)=0)*raw!U9:U1000)/60</f>
        <v>25.85070517</v>
      </c>
      <c r="T8" s="53">
        <f>SUMPRODUCT((MOD(ROW(raw!V9:V1000)-ROW(raw!V9),8)=0)*raw!V9:V1000)/60</f>
        <v>4.87754895</v>
      </c>
      <c r="U8" s="53">
        <f>SUMPRODUCT((MOD(ROW(raw!W9:W1000)-ROW(raw!W9),8)=0)*raw!W9:W1000)/60</f>
        <v>0</v>
      </c>
      <c r="V8" s="53">
        <f>SUMPRODUCT((MOD(ROW(raw!X9:X1000)-ROW(raw!X9),8)=0)*raw!X9:X1000)/60</f>
        <v>0</v>
      </c>
      <c r="W8" s="53">
        <f>SUMPRODUCT((MOD(ROW(raw!Y9:Y1000)-ROW(raw!Y9),8)=0)*raw!Y9:Y1000)/60</f>
        <v>0</v>
      </c>
      <c r="X8" s="53">
        <f>SUMPRODUCT((MOD(ROW(raw!Z9:Z1000)-ROW(raw!Z9),8)=0)*raw!Z9:Z1000)/60</f>
        <v>0</v>
      </c>
      <c r="Y8" s="53">
        <f>SUMPRODUCT((MOD(ROW(raw!AA9:AA1000)-ROW(raw!AA9),8)=0)*raw!AA9:AA1000)/60</f>
        <v>0</v>
      </c>
      <c r="Z8" s="53">
        <f>SUMPRODUCT((MOD(ROW(raw!AB9:AB1000)-ROW(raw!AB9),8)=0)*raw!AB9:AB1000)/60</f>
        <v>0</v>
      </c>
    </row>
    <row r="9">
      <c r="A9" s="54" t="s">
        <v>185</v>
      </c>
      <c r="B9" s="68">
        <f t="shared" ref="B9:Z9" si="2">B7-B8</f>
        <v>759.066354</v>
      </c>
      <c r="C9" s="68">
        <f t="shared" si="2"/>
        <v>0</v>
      </c>
      <c r="D9" s="68">
        <f t="shared" si="2"/>
        <v>106.511325</v>
      </c>
      <c r="E9" s="68">
        <f t="shared" si="2"/>
        <v>0.20466405</v>
      </c>
      <c r="F9" s="68">
        <f t="shared" si="2"/>
        <v>18.7304955</v>
      </c>
      <c r="G9" s="68">
        <f t="shared" si="2"/>
        <v>0.01279971667</v>
      </c>
      <c r="H9" s="68">
        <f t="shared" si="2"/>
        <v>94.43179167</v>
      </c>
      <c r="I9" s="68">
        <f t="shared" si="2"/>
        <v>0.4590323833</v>
      </c>
      <c r="J9" s="68">
        <f t="shared" si="2"/>
        <v>135.587205</v>
      </c>
      <c r="K9" s="68">
        <f t="shared" si="2"/>
        <v>1.323922283</v>
      </c>
      <c r="L9" s="68">
        <f t="shared" si="2"/>
        <v>160.7758633</v>
      </c>
      <c r="M9" s="68">
        <f t="shared" si="2"/>
        <v>1.641005333</v>
      </c>
      <c r="N9" s="68">
        <f t="shared" si="2"/>
        <v>88.98912</v>
      </c>
      <c r="O9" s="68">
        <f t="shared" si="2"/>
        <v>4.433967383</v>
      </c>
      <c r="P9" s="68">
        <f t="shared" si="2"/>
        <v>52.08959667</v>
      </c>
      <c r="Q9" s="68">
        <f t="shared" si="2"/>
        <v>2.332828667</v>
      </c>
      <c r="R9" s="68">
        <f t="shared" si="2"/>
        <v>86.82198167</v>
      </c>
      <c r="S9" s="68">
        <f t="shared" si="2"/>
        <v>4.018010833</v>
      </c>
      <c r="T9" s="68">
        <f t="shared" si="2"/>
        <v>0.7027445167</v>
      </c>
      <c r="U9" s="68">
        <f t="shared" si="2"/>
        <v>0</v>
      </c>
      <c r="V9" s="68">
        <f t="shared" si="2"/>
        <v>0</v>
      </c>
      <c r="W9" s="68">
        <f t="shared" si="2"/>
        <v>0</v>
      </c>
      <c r="X9" s="68">
        <f t="shared" si="2"/>
        <v>0</v>
      </c>
      <c r="Y9" s="68">
        <f t="shared" si="2"/>
        <v>0</v>
      </c>
      <c r="Z9" s="68">
        <f t="shared" si="2"/>
        <v>0</v>
      </c>
    </row>
    <row r="10">
      <c r="A10" s="51" t="s">
        <v>15</v>
      </c>
      <c r="B10" s="53">
        <f>SUM(C10:Z10)</f>
        <v>6463.943169</v>
      </c>
      <c r="C10" s="69">
        <f>SUMPRODUCT((MOD(ROW(raw!E10:E1000)-ROW(raw!E10),8)=0)*raw!E10:E1000)/60</f>
        <v>0</v>
      </c>
      <c r="D10" s="69">
        <f>SUMPRODUCT((MOD(ROW(raw!F10:F1000)-ROW(raw!F10),8)=0)*raw!F10:F1000)/60</f>
        <v>1013.961017</v>
      </c>
      <c r="E10" s="69">
        <f>SUMPRODUCT((MOD(ROW(raw!G10:G1000)-ROW(raw!G10),8)=0)*raw!G10:G1000)/60</f>
        <v>4.434574767</v>
      </c>
      <c r="F10" s="69">
        <f>SUMPRODUCT((MOD(ROW(raw!H10:H1000)-ROW(raw!H10),8)=0)*raw!H10:H1000)/60</f>
        <v>173.0584667</v>
      </c>
      <c r="G10" s="69">
        <f>SUMPRODUCT((MOD(ROW(raw!I10:I1000)-ROW(raw!I10),8)=0)*raw!I10:I1000)/60</f>
        <v>0.3194465667</v>
      </c>
      <c r="H10" s="69">
        <f>SUMPRODUCT((MOD(ROW(raw!J10:J1000)-ROW(raw!J10),8)=0)*raw!J10:J1000)/60</f>
        <v>1149.289327</v>
      </c>
      <c r="I10" s="69">
        <f>SUMPRODUCT((MOD(ROW(raw!K10:K1000)-ROW(raw!K10),8)=0)*raw!K10:K1000)/60</f>
        <v>5.39018505</v>
      </c>
      <c r="J10" s="69">
        <f>SUMPRODUCT((MOD(ROW(raw!L10:L1000)-ROW(raw!L10),8)=0)*raw!L10:L1000)/60</f>
        <v>1109.401698</v>
      </c>
      <c r="K10" s="69">
        <f>SUMPRODUCT((MOD(ROW(raw!M10:M1000)-ROW(raw!M10),8)=0)*raw!M10:M1000)/60</f>
        <v>11.10748158</v>
      </c>
      <c r="L10" s="69">
        <f>SUMPRODUCT((MOD(ROW(raw!N10:N1000)-ROW(raw!N10),8)=0)*raw!N10:N1000)/60</f>
        <v>1307.02027</v>
      </c>
      <c r="M10" s="69">
        <f>SUMPRODUCT((MOD(ROW(raw!O10:O1000)-ROW(raw!O10),8)=0)*raw!O10:O1000)/60</f>
        <v>13.250637</v>
      </c>
      <c r="N10" s="69">
        <f>SUMPRODUCT((MOD(ROW(raw!P10:P1000)-ROW(raw!P10),8)=0)*raw!P10:P1000)/60</f>
        <v>637.102295</v>
      </c>
      <c r="O10" s="69">
        <f>SUMPRODUCT((MOD(ROW(raw!Q10:Q1000)-ROW(raw!Q10),8)=0)*raw!Q10:Q1000)/60</f>
        <v>36.281486</v>
      </c>
      <c r="P10" s="69">
        <f>SUMPRODUCT((MOD(ROW(raw!R10:R1000)-ROW(raw!R10),8)=0)*raw!R10:R1000)/60</f>
        <v>348.1156017</v>
      </c>
      <c r="Q10" s="69">
        <f>SUMPRODUCT((MOD(ROW(raw!S10:S1000)-ROW(raw!S10),8)=0)*raw!S10:S1000)/60</f>
        <v>17.8521866</v>
      </c>
      <c r="R10" s="69">
        <f>SUMPRODUCT((MOD(ROW(raw!T10:T1000)-ROW(raw!T10),8)=0)*raw!T10:T1000)/60</f>
        <v>601.94695</v>
      </c>
      <c r="S10" s="69">
        <f>SUMPRODUCT((MOD(ROW(raw!U10:U1000)-ROW(raw!U10),8)=0)*raw!U10:U1000)/60</f>
        <v>29.83242433</v>
      </c>
      <c r="T10" s="69">
        <f>SUMPRODUCT((MOD(ROW(raw!V10:V1000)-ROW(raw!V10),8)=0)*raw!V10:V1000)/60</f>
        <v>5.5791213</v>
      </c>
      <c r="U10" s="69">
        <f>SUMPRODUCT((MOD(ROW(raw!W10:W1000)-ROW(raw!W10),8)=0)*raw!W10:W1000)/60</f>
        <v>0</v>
      </c>
      <c r="V10" s="69">
        <f>SUMPRODUCT((MOD(ROW(raw!X10:X1000)-ROW(raw!X10),8)=0)*raw!X10:X1000)/60</f>
        <v>0</v>
      </c>
      <c r="W10" s="69">
        <f>SUMPRODUCT((MOD(ROW(raw!Y10:Y1000)-ROW(raw!Y10),8)=0)*raw!Y10:Y1000)/60</f>
        <v>0</v>
      </c>
      <c r="X10" s="69">
        <f>SUMPRODUCT((MOD(ROW(raw!Z10:Z1000)-ROW(raw!Z10),8)=0)*raw!Z10:Z1000)/60</f>
        <v>0</v>
      </c>
      <c r="Y10" s="69">
        <f>SUMPRODUCT((MOD(ROW(raw!AA10:AA1000)-ROW(raw!AA10),8)=0)*raw!AA10:AA1000)/60</f>
        <v>0</v>
      </c>
      <c r="Z10" s="69">
        <f>SUMPRODUCT((MOD(ROW(raw!AB10:AB1000)-ROW(raw!AB10),8)=0)*raw!AB10:AB1000)/60</f>
        <v>0</v>
      </c>
    </row>
    <row r="12">
      <c r="A12" s="70" t="s">
        <v>14</v>
      </c>
      <c r="B12" s="71"/>
      <c r="C12" s="72" t="s">
        <v>13</v>
      </c>
      <c r="D12" s="73" t="s">
        <v>14</v>
      </c>
      <c r="E12" s="74" t="s">
        <v>15</v>
      </c>
    </row>
    <row r="13">
      <c r="A13" s="75"/>
      <c r="B13" s="76"/>
      <c r="C13" s="75">
        <f t="shared" ref="C13:E13" si="3">SUM(C14:C93)</f>
        <v>6465.41</v>
      </c>
      <c r="D13" s="77">
        <f t="shared" si="3"/>
        <v>5706.26</v>
      </c>
      <c r="E13" s="78">
        <f t="shared" si="3"/>
        <v>6463.95</v>
      </c>
    </row>
    <row r="14">
      <c r="A14" s="79" t="s">
        <v>7</v>
      </c>
      <c r="B14" s="80" t="s">
        <v>8</v>
      </c>
      <c r="C14" s="81">
        <f>ROUND(raw!D8/60,2)</f>
        <v>100.56</v>
      </c>
      <c r="D14" s="82">
        <f>ROUND(raw!D9/60,2)</f>
        <v>88.63</v>
      </c>
      <c r="E14" s="83">
        <f>ROUND(raw!D10/60,2)</f>
        <v>100.55</v>
      </c>
      <c r="G14" s="81" t="str">
        <f t="shared" ref="G14:I14" si="4">IF(C14&gt;100, "Exceeded", C14)</f>
        <v>Exceeded</v>
      </c>
      <c r="H14" s="84">
        <f t="shared" si="4"/>
        <v>88.63</v>
      </c>
      <c r="I14" s="83" t="str">
        <f t="shared" si="4"/>
        <v>Exceeded</v>
      </c>
    </row>
    <row r="15">
      <c r="A15" s="79" t="s">
        <v>7</v>
      </c>
      <c r="B15" s="80" t="s">
        <v>16</v>
      </c>
      <c r="C15" s="85">
        <f>ROUND(raw!D16/60,2)</f>
        <v>94.57</v>
      </c>
      <c r="D15" s="86">
        <f>ROUND(raw!D17/60,2)</f>
        <v>84.01</v>
      </c>
      <c r="E15" s="87">
        <f>ROUND(raw!D18/60,2)</f>
        <v>94.56</v>
      </c>
      <c r="G15" s="85">
        <f t="shared" ref="G15:I15" si="5">IF(C15&gt;100, "Exceeded", C15)</f>
        <v>94.57</v>
      </c>
      <c r="H15" s="64">
        <f t="shared" si="5"/>
        <v>84.01</v>
      </c>
      <c r="I15" s="87">
        <f t="shared" si="5"/>
        <v>94.56</v>
      </c>
    </row>
    <row r="16">
      <c r="A16" s="79" t="s">
        <v>17</v>
      </c>
      <c r="B16" s="80" t="s">
        <v>18</v>
      </c>
      <c r="C16" s="85">
        <f>ROUND(raw!D24/60,2)</f>
        <v>77.67</v>
      </c>
      <c r="D16" s="86">
        <f>ROUND(raw!D25/60,2)</f>
        <v>67.53</v>
      </c>
      <c r="E16" s="87">
        <f>ROUND(raw!D26/60,2)</f>
        <v>77.63</v>
      </c>
      <c r="G16" s="85">
        <f t="shared" ref="G16:I16" si="6">IF(C16&gt;100, "Exceeded", C16)</f>
        <v>77.67</v>
      </c>
      <c r="H16" s="64">
        <f t="shared" si="6"/>
        <v>67.53</v>
      </c>
      <c r="I16" s="87">
        <f t="shared" si="6"/>
        <v>77.63</v>
      </c>
    </row>
    <row r="17">
      <c r="A17" s="79" t="s">
        <v>7</v>
      </c>
      <c r="B17" s="80" t="s">
        <v>19</v>
      </c>
      <c r="C17" s="85">
        <f>ROUND(raw!D32/60,2)</f>
        <v>113.25</v>
      </c>
      <c r="D17" s="86">
        <f>ROUND(raw!D33/60,2)</f>
        <v>100.56</v>
      </c>
      <c r="E17" s="87">
        <f>ROUND(raw!D34/60,2)</f>
        <v>113.25</v>
      </c>
      <c r="G17" s="85" t="str">
        <f t="shared" ref="G17:I17" si="7">IF(C17&gt;100, "Exceeded", C17)</f>
        <v>Exceeded</v>
      </c>
      <c r="H17" s="64" t="str">
        <f t="shared" si="7"/>
        <v>Exceeded</v>
      </c>
      <c r="I17" s="87" t="str">
        <f t="shared" si="7"/>
        <v>Exceeded</v>
      </c>
    </row>
    <row r="18">
      <c r="A18" s="79" t="s">
        <v>7</v>
      </c>
      <c r="B18" s="80" t="s">
        <v>20</v>
      </c>
      <c r="C18" s="85">
        <f>ROUND(raw!D40/60,2)</f>
        <v>101.66</v>
      </c>
      <c r="D18" s="86">
        <f>ROUND(raw!D41/60,2)</f>
        <v>90.86</v>
      </c>
      <c r="E18" s="87">
        <f>ROUND(raw!D42/60,2)</f>
        <v>101.64</v>
      </c>
      <c r="G18" s="85" t="str">
        <f t="shared" ref="G18:I18" si="8">IF(C18&gt;100, "Exceeded", C18)</f>
        <v>Exceeded</v>
      </c>
      <c r="H18" s="64">
        <f t="shared" si="8"/>
        <v>90.86</v>
      </c>
      <c r="I18" s="87" t="str">
        <f t="shared" si="8"/>
        <v>Exceeded</v>
      </c>
    </row>
    <row r="19">
      <c r="A19" s="79" t="s">
        <v>7</v>
      </c>
      <c r="B19" s="88" t="s">
        <v>21</v>
      </c>
      <c r="C19" s="85">
        <f>ROUND(raw!D48/60,2)</f>
        <v>86.36</v>
      </c>
      <c r="D19" s="86">
        <f>ROUND(raw!D49/60,2)</f>
        <v>75.42</v>
      </c>
      <c r="E19" s="87">
        <f>ROUND(raw!D50/60,2)</f>
        <v>86.35</v>
      </c>
      <c r="G19" s="85">
        <f t="shared" ref="G19:I19" si="9">IF(C19&gt;100, "Exceeded", C19)</f>
        <v>86.36</v>
      </c>
      <c r="H19" s="64">
        <f t="shared" si="9"/>
        <v>75.42</v>
      </c>
      <c r="I19" s="87">
        <f t="shared" si="9"/>
        <v>86.35</v>
      </c>
    </row>
    <row r="20">
      <c r="A20" s="79" t="s">
        <v>7</v>
      </c>
      <c r="B20" s="88" t="s">
        <v>22</v>
      </c>
      <c r="C20" s="85">
        <f>ROUND(raw!D56/60,2)</f>
        <v>100.04</v>
      </c>
      <c r="D20" s="86">
        <f>ROUND(raw!D57/60,2)</f>
        <v>87.75</v>
      </c>
      <c r="E20" s="87">
        <f>ROUND(raw!D58/60,2)</f>
        <v>100.02</v>
      </c>
      <c r="G20" s="85" t="str">
        <f t="shared" ref="G20:I20" si="10">IF(C20&gt;100, "Exceeded", C20)</f>
        <v>Exceeded</v>
      </c>
      <c r="H20" s="64">
        <f t="shared" si="10"/>
        <v>87.75</v>
      </c>
      <c r="I20" s="87" t="str">
        <f t="shared" si="10"/>
        <v>Exceeded</v>
      </c>
    </row>
    <row r="21">
      <c r="A21" s="79" t="s">
        <v>17</v>
      </c>
      <c r="B21" s="88" t="s">
        <v>23</v>
      </c>
      <c r="C21" s="85">
        <f>ROUND(raw!D64/60,2)</f>
        <v>80.97</v>
      </c>
      <c r="D21" s="86">
        <f>ROUND(raw!D65/60,2)</f>
        <v>70.88</v>
      </c>
      <c r="E21" s="87">
        <f>ROUND(raw!D66/60,2)</f>
        <v>80.96</v>
      </c>
      <c r="G21" s="85">
        <f t="shared" ref="G21:I21" si="11">IF(C21&gt;100, "Exceeded", C21)</f>
        <v>80.97</v>
      </c>
      <c r="H21" s="64">
        <f t="shared" si="11"/>
        <v>70.88</v>
      </c>
      <c r="I21" s="87">
        <f t="shared" si="11"/>
        <v>80.96</v>
      </c>
    </row>
    <row r="22">
      <c r="A22" s="79" t="s">
        <v>7</v>
      </c>
      <c r="B22" s="88" t="s">
        <v>24</v>
      </c>
      <c r="C22" s="85">
        <f>ROUND(raw!D72/60,2)</f>
        <v>70.17</v>
      </c>
      <c r="D22" s="86">
        <f>ROUND(raw!D73/60,2)</f>
        <v>62.47</v>
      </c>
      <c r="E22" s="87">
        <f>ROUND(raw!D74/60,2)</f>
        <v>70.16</v>
      </c>
      <c r="G22" s="85">
        <f t="shared" ref="G22:I22" si="12">IF(C22&gt;100, "Exceeded", C22)</f>
        <v>70.17</v>
      </c>
      <c r="H22" s="64">
        <f t="shared" si="12"/>
        <v>62.47</v>
      </c>
      <c r="I22" s="87">
        <f t="shared" si="12"/>
        <v>70.16</v>
      </c>
    </row>
    <row r="23">
      <c r="A23" s="79" t="s">
        <v>7</v>
      </c>
      <c r="B23" s="88" t="s">
        <v>25</v>
      </c>
      <c r="C23" s="85">
        <f>ROUND(raw!D80/60,2)</f>
        <v>73.26</v>
      </c>
      <c r="D23" s="86">
        <f>ROUND(raw!D81/60,2)</f>
        <v>64.98</v>
      </c>
      <c r="E23" s="87">
        <f>ROUND(raw!D82/60,2)</f>
        <v>73.25</v>
      </c>
      <c r="G23" s="85">
        <f t="shared" ref="G23:I23" si="13">IF(C23&gt;100, "Exceeded", C23)</f>
        <v>73.26</v>
      </c>
      <c r="H23" s="64">
        <f t="shared" si="13"/>
        <v>64.98</v>
      </c>
      <c r="I23" s="87">
        <f t="shared" si="13"/>
        <v>73.25</v>
      </c>
    </row>
    <row r="24">
      <c r="A24" s="79" t="s">
        <v>7</v>
      </c>
      <c r="B24" s="88" t="s">
        <v>26</v>
      </c>
      <c r="C24" s="85">
        <f>ROUND(raw!D88/60,2)</f>
        <v>80.77</v>
      </c>
      <c r="D24" s="86">
        <f>ROUND(raw!D89/60,2)</f>
        <v>70.84</v>
      </c>
      <c r="E24" s="87">
        <f>ROUND(raw!D90/60,2)</f>
        <v>80.76</v>
      </c>
      <c r="G24" s="85">
        <f t="shared" ref="G24:I24" si="14">IF(C24&gt;100, "Exceeded", C24)</f>
        <v>80.77</v>
      </c>
      <c r="H24" s="64">
        <f t="shared" si="14"/>
        <v>70.84</v>
      </c>
      <c r="I24" s="87">
        <f t="shared" si="14"/>
        <v>80.76</v>
      </c>
    </row>
    <row r="25">
      <c r="A25" s="79" t="s">
        <v>7</v>
      </c>
      <c r="B25" s="88" t="s">
        <v>27</v>
      </c>
      <c r="C25" s="85">
        <f>ROUND(raw!D96/60,2)</f>
        <v>103.64</v>
      </c>
      <c r="D25" s="86">
        <f>ROUND(raw!D97/60,2)</f>
        <v>91.31</v>
      </c>
      <c r="E25" s="87">
        <f>ROUND(raw!D98/60,2)</f>
        <v>103.61</v>
      </c>
      <c r="G25" s="85" t="str">
        <f t="shared" ref="G25:I25" si="15">IF(C25&gt;100, "Exceeded", C25)</f>
        <v>Exceeded</v>
      </c>
      <c r="H25" s="64">
        <f t="shared" si="15"/>
        <v>91.31</v>
      </c>
      <c r="I25" s="87" t="str">
        <f t="shared" si="15"/>
        <v>Exceeded</v>
      </c>
    </row>
    <row r="26">
      <c r="A26" s="79" t="s">
        <v>28</v>
      </c>
      <c r="B26" s="88" t="s">
        <v>29</v>
      </c>
      <c r="C26" s="85">
        <f>ROUND(raw!D104/60,2)</f>
        <v>88.94</v>
      </c>
      <c r="D26" s="86">
        <f>ROUND(raw!D105/60,2)</f>
        <v>76.27</v>
      </c>
      <c r="E26" s="87">
        <f>ROUND(raw!D106/60,2)</f>
        <v>88.94</v>
      </c>
      <c r="G26" s="85">
        <f t="shared" ref="G26:I26" si="16">IF(C26&gt;100, "Exceeded", C26)</f>
        <v>88.94</v>
      </c>
      <c r="H26" s="64">
        <f t="shared" si="16"/>
        <v>76.27</v>
      </c>
      <c r="I26" s="87">
        <f t="shared" si="16"/>
        <v>88.94</v>
      </c>
    </row>
    <row r="27">
      <c r="A27" s="79" t="s">
        <v>7</v>
      </c>
      <c r="B27" s="88" t="s">
        <v>30</v>
      </c>
      <c r="C27" s="85">
        <f>ROUND(raw!D112/60,2)</f>
        <v>80.11</v>
      </c>
      <c r="D27" s="86">
        <f>ROUND(raw!D113/60,2)</f>
        <v>70.03</v>
      </c>
      <c r="E27" s="87">
        <f>ROUND(raw!D114/60,2)</f>
        <v>80.09</v>
      </c>
      <c r="G27" s="85">
        <f t="shared" ref="G27:I27" si="17">IF(C27&gt;100, "Exceeded", C27)</f>
        <v>80.11</v>
      </c>
      <c r="H27" s="64">
        <f t="shared" si="17"/>
        <v>70.03</v>
      </c>
      <c r="I27" s="87">
        <f t="shared" si="17"/>
        <v>80.09</v>
      </c>
    </row>
    <row r="28">
      <c r="A28" s="79" t="s">
        <v>7</v>
      </c>
      <c r="B28" s="88" t="s">
        <v>31</v>
      </c>
      <c r="C28" s="85">
        <f>ROUND(raw!D120/60,2)</f>
        <v>75.37</v>
      </c>
      <c r="D28" s="86">
        <f>ROUND(raw!D121/60,2)</f>
        <v>66.34</v>
      </c>
      <c r="E28" s="87">
        <f>ROUND(raw!D122/60,2)</f>
        <v>75.36</v>
      </c>
      <c r="G28" s="85">
        <f t="shared" ref="G28:I28" si="18">IF(C28&gt;100, "Exceeded", C28)</f>
        <v>75.37</v>
      </c>
      <c r="H28" s="64">
        <f t="shared" si="18"/>
        <v>66.34</v>
      </c>
      <c r="I28" s="87">
        <f t="shared" si="18"/>
        <v>75.36</v>
      </c>
    </row>
    <row r="29">
      <c r="A29" s="79" t="s">
        <v>7</v>
      </c>
      <c r="B29" s="88" t="s">
        <v>32</v>
      </c>
      <c r="C29" s="85">
        <f>ROUND(raw!D128/60,2)</f>
        <v>70.71</v>
      </c>
      <c r="D29" s="86">
        <f>ROUND(raw!D129/60,2)</f>
        <v>62.93</v>
      </c>
      <c r="E29" s="87">
        <f>ROUND(raw!D130/60,2)</f>
        <v>70.71</v>
      </c>
      <c r="G29" s="85">
        <f t="shared" ref="G29:I29" si="19">IF(C29&gt;100, "Exceeded", C29)</f>
        <v>70.71</v>
      </c>
      <c r="H29" s="64">
        <f t="shared" si="19"/>
        <v>62.93</v>
      </c>
      <c r="I29" s="87">
        <f t="shared" si="19"/>
        <v>70.71</v>
      </c>
    </row>
    <row r="30">
      <c r="A30" s="79" t="s">
        <v>7</v>
      </c>
      <c r="B30" s="88" t="s">
        <v>33</v>
      </c>
      <c r="C30" s="85">
        <f>ROUND(raw!D136/60,2)</f>
        <v>67.9</v>
      </c>
      <c r="D30" s="86">
        <f>ROUND(raw!D137/60,2)</f>
        <v>60.52</v>
      </c>
      <c r="E30" s="87">
        <f>ROUND(raw!D138/60,2)</f>
        <v>67.88</v>
      </c>
      <c r="G30" s="85">
        <f t="shared" ref="G30:I30" si="20">IF(C30&gt;100, "Exceeded", C30)</f>
        <v>67.9</v>
      </c>
      <c r="H30" s="64">
        <f t="shared" si="20"/>
        <v>60.52</v>
      </c>
      <c r="I30" s="87">
        <f t="shared" si="20"/>
        <v>67.88</v>
      </c>
    </row>
    <row r="31">
      <c r="A31" s="79" t="s">
        <v>7</v>
      </c>
      <c r="B31" s="88" t="s">
        <v>34</v>
      </c>
      <c r="C31" s="85">
        <f>ROUND(raw!D144/60,2)</f>
        <v>76.05</v>
      </c>
      <c r="D31" s="86">
        <f>ROUND(raw!D145/60,2)</f>
        <v>67.65</v>
      </c>
      <c r="E31" s="87">
        <f>ROUND(raw!D146/60,2)</f>
        <v>76.04</v>
      </c>
      <c r="G31" s="85">
        <f t="shared" ref="G31:I31" si="21">IF(C31&gt;100, "Exceeded", C31)</f>
        <v>76.05</v>
      </c>
      <c r="H31" s="64">
        <f t="shared" si="21"/>
        <v>67.65</v>
      </c>
      <c r="I31" s="87">
        <f t="shared" si="21"/>
        <v>76.04</v>
      </c>
    </row>
    <row r="32">
      <c r="A32" s="79" t="s">
        <v>35</v>
      </c>
      <c r="B32" s="88" t="s">
        <v>36</v>
      </c>
      <c r="C32" s="85">
        <f>ROUND(raw!D152/60,2)</f>
        <v>82.62</v>
      </c>
      <c r="D32" s="86">
        <f>ROUND(raw!D153/60,2)</f>
        <v>73.66</v>
      </c>
      <c r="E32" s="87">
        <f>ROUND(raw!D154/60,2)</f>
        <v>82.55</v>
      </c>
      <c r="G32" s="85">
        <f t="shared" ref="G32:I32" si="22">IF(C32&gt;100, "Exceeded", C32)</f>
        <v>82.62</v>
      </c>
      <c r="H32" s="64">
        <f t="shared" si="22"/>
        <v>73.66</v>
      </c>
      <c r="I32" s="87">
        <f t="shared" si="22"/>
        <v>82.55</v>
      </c>
    </row>
    <row r="33">
      <c r="A33" s="79" t="s">
        <v>7</v>
      </c>
      <c r="B33" s="88" t="s">
        <v>37</v>
      </c>
      <c r="C33" s="85">
        <f>ROUND(raw!D160/60,2)</f>
        <v>77.11</v>
      </c>
      <c r="D33" s="86">
        <f>ROUND(raw!D161/60,2)</f>
        <v>67.73</v>
      </c>
      <c r="E33" s="87">
        <f>ROUND(raw!D162/60,2)</f>
        <v>77.1</v>
      </c>
      <c r="G33" s="85">
        <f t="shared" ref="G33:I33" si="23">IF(C33&gt;100, "Exceeded", C33)</f>
        <v>77.11</v>
      </c>
      <c r="H33" s="64">
        <f t="shared" si="23"/>
        <v>67.73</v>
      </c>
      <c r="I33" s="87">
        <f t="shared" si="23"/>
        <v>77.1</v>
      </c>
    </row>
    <row r="34">
      <c r="A34" s="79" t="s">
        <v>38</v>
      </c>
      <c r="B34" s="88" t="s">
        <v>39</v>
      </c>
      <c r="C34" s="85">
        <f>ROUND(raw!D168/60,2)</f>
        <v>79.48</v>
      </c>
      <c r="D34" s="86">
        <f>ROUND(raw!D169/60,2)</f>
        <v>70.08</v>
      </c>
      <c r="E34" s="87">
        <f>ROUND(raw!D170/60,2)</f>
        <v>79.48</v>
      </c>
      <c r="G34" s="85">
        <f t="shared" ref="G34:I34" si="24">IF(C34&gt;100, "Exceeded", C34)</f>
        <v>79.48</v>
      </c>
      <c r="H34" s="64">
        <f t="shared" si="24"/>
        <v>70.08</v>
      </c>
      <c r="I34" s="87">
        <f t="shared" si="24"/>
        <v>79.48</v>
      </c>
    </row>
    <row r="35">
      <c r="A35" s="79" t="s">
        <v>7</v>
      </c>
      <c r="B35" s="88" t="s">
        <v>40</v>
      </c>
      <c r="C35" s="85">
        <f>ROUND(raw!D176/60,2)</f>
        <v>78.08</v>
      </c>
      <c r="D35" s="86">
        <f>ROUND(raw!D177/60,2)</f>
        <v>69.75</v>
      </c>
      <c r="E35" s="87">
        <f>ROUND(raw!D178/60,2)</f>
        <v>78.08</v>
      </c>
      <c r="G35" s="85">
        <f t="shared" ref="G35:I35" si="25">IF(C35&gt;100, "Exceeded", C35)</f>
        <v>78.08</v>
      </c>
      <c r="H35" s="64">
        <f t="shared" si="25"/>
        <v>69.75</v>
      </c>
      <c r="I35" s="87">
        <f t="shared" si="25"/>
        <v>78.08</v>
      </c>
    </row>
    <row r="36">
      <c r="A36" s="79" t="s">
        <v>7</v>
      </c>
      <c r="B36" s="88" t="s">
        <v>41</v>
      </c>
      <c r="C36" s="85">
        <f>ROUND(raw!D184/60,2)</f>
        <v>79.76</v>
      </c>
      <c r="D36" s="86">
        <f>ROUND(raw!D185/60,2)</f>
        <v>70.21</v>
      </c>
      <c r="E36" s="87">
        <f>ROUND(raw!D186/60,2)</f>
        <v>79.76</v>
      </c>
      <c r="G36" s="85">
        <f t="shared" ref="G36:I36" si="26">IF(C36&gt;100, "Exceeded", C36)</f>
        <v>79.76</v>
      </c>
      <c r="H36" s="64">
        <f t="shared" si="26"/>
        <v>70.21</v>
      </c>
      <c r="I36" s="87">
        <f t="shared" si="26"/>
        <v>79.76</v>
      </c>
    </row>
    <row r="37">
      <c r="A37" s="79" t="s">
        <v>35</v>
      </c>
      <c r="B37" s="88" t="s">
        <v>42</v>
      </c>
      <c r="C37" s="85">
        <f>ROUND(raw!D192/60,2)</f>
        <v>88.38</v>
      </c>
      <c r="D37" s="86">
        <f>ROUND(raw!D193/60,2)</f>
        <v>78.32</v>
      </c>
      <c r="E37" s="87">
        <f>ROUND(raw!D194/60,2)</f>
        <v>88.33</v>
      </c>
      <c r="G37" s="85">
        <f t="shared" ref="G37:I37" si="27">IF(C37&gt;100, "Exceeded", C37)</f>
        <v>88.38</v>
      </c>
      <c r="H37" s="64">
        <f t="shared" si="27"/>
        <v>78.32</v>
      </c>
      <c r="I37" s="87">
        <f t="shared" si="27"/>
        <v>88.33</v>
      </c>
    </row>
    <row r="38">
      <c r="A38" s="79" t="s">
        <v>7</v>
      </c>
      <c r="B38" s="88" t="s">
        <v>43</v>
      </c>
      <c r="C38" s="85">
        <f>ROUND(raw!D200/60,2)</f>
        <v>80.72</v>
      </c>
      <c r="D38" s="86">
        <f>ROUND(raw!D201/60,2)</f>
        <v>71.41</v>
      </c>
      <c r="E38" s="87">
        <f>ROUND(raw!D202/60,2)</f>
        <v>80.71</v>
      </c>
      <c r="G38" s="85">
        <f t="shared" ref="G38:I38" si="28">IF(C38&gt;100, "Exceeded", C38)</f>
        <v>80.72</v>
      </c>
      <c r="H38" s="64">
        <f t="shared" si="28"/>
        <v>71.41</v>
      </c>
      <c r="I38" s="87">
        <f t="shared" si="28"/>
        <v>80.71</v>
      </c>
    </row>
    <row r="39">
      <c r="A39" s="79" t="s">
        <v>7</v>
      </c>
      <c r="B39" s="88" t="s">
        <v>44</v>
      </c>
      <c r="C39" s="85">
        <f>ROUND(raw!D208/60,2)</f>
        <v>89.11</v>
      </c>
      <c r="D39" s="86">
        <f>ROUND(raw!D209/60,2)</f>
        <v>79.09</v>
      </c>
      <c r="E39" s="87">
        <f>ROUND(raw!D210/60,2)</f>
        <v>89.1</v>
      </c>
      <c r="G39" s="85">
        <f t="shared" ref="G39:I39" si="29">IF(C39&gt;100, "Exceeded", C39)</f>
        <v>89.11</v>
      </c>
      <c r="H39" s="64">
        <f t="shared" si="29"/>
        <v>79.09</v>
      </c>
      <c r="I39" s="87">
        <f t="shared" si="29"/>
        <v>89.1</v>
      </c>
    </row>
    <row r="40">
      <c r="A40" s="79" t="s">
        <v>45</v>
      </c>
      <c r="B40" s="88" t="s">
        <v>46</v>
      </c>
      <c r="C40" s="85">
        <f>ROUND(raw!D216/60,2)</f>
        <v>59.21</v>
      </c>
      <c r="D40" s="86">
        <f>ROUND(raw!D217/60,2)</f>
        <v>52.49</v>
      </c>
      <c r="E40" s="87">
        <f>ROUND(raw!D218/60,2)</f>
        <v>59.21</v>
      </c>
      <c r="G40" s="85">
        <f t="shared" ref="G40:I40" si="30">IF(C40&gt;100, "Exceeded", C40)</f>
        <v>59.21</v>
      </c>
      <c r="H40" s="64">
        <f t="shared" si="30"/>
        <v>52.49</v>
      </c>
      <c r="I40" s="87">
        <f t="shared" si="30"/>
        <v>59.21</v>
      </c>
    </row>
    <row r="41">
      <c r="A41" s="79" t="s">
        <v>47</v>
      </c>
      <c r="B41" s="88" t="s">
        <v>48</v>
      </c>
      <c r="C41" s="85">
        <f>ROUND(raw!D224/60,2)</f>
        <v>112.01</v>
      </c>
      <c r="D41" s="86">
        <f>ROUND(raw!D225/60,2)</f>
        <v>99.7</v>
      </c>
      <c r="E41" s="87">
        <f>ROUND(raw!D226/60,2)</f>
        <v>112.01</v>
      </c>
      <c r="G41" s="85" t="str">
        <f t="shared" ref="G41:I41" si="31">IF(C41&gt;100, "Exceeded", C41)</f>
        <v>Exceeded</v>
      </c>
      <c r="H41" s="64">
        <f t="shared" si="31"/>
        <v>99.7</v>
      </c>
      <c r="I41" s="87" t="str">
        <f t="shared" si="31"/>
        <v>Exceeded</v>
      </c>
    </row>
    <row r="42">
      <c r="A42" s="79" t="s">
        <v>47</v>
      </c>
      <c r="B42" s="88" t="s">
        <v>49</v>
      </c>
      <c r="C42" s="85">
        <f>ROUND(raw!D232/60,2)</f>
        <v>80</v>
      </c>
      <c r="D42" s="86">
        <f>ROUND(raw!D233/60,2)</f>
        <v>70.42</v>
      </c>
      <c r="E42" s="87">
        <f>ROUND(raw!D234/60,2)</f>
        <v>80</v>
      </c>
      <c r="G42" s="85">
        <f t="shared" ref="G42:I42" si="32">IF(C42&gt;100, "Exceeded", C42)</f>
        <v>80</v>
      </c>
      <c r="H42" s="64">
        <f t="shared" si="32"/>
        <v>70.42</v>
      </c>
      <c r="I42" s="87">
        <f t="shared" si="32"/>
        <v>80</v>
      </c>
    </row>
    <row r="43">
      <c r="A43" s="79" t="s">
        <v>47</v>
      </c>
      <c r="B43" s="88" t="s">
        <v>50</v>
      </c>
      <c r="C43" s="85">
        <f>ROUND(raw!D240/60,2)</f>
        <v>100.93</v>
      </c>
      <c r="D43" s="86">
        <f>ROUND(raw!D241/60,2)</f>
        <v>87.87</v>
      </c>
      <c r="E43" s="87">
        <f>ROUND(raw!D242/60,2)</f>
        <v>100.93</v>
      </c>
      <c r="G43" s="85" t="str">
        <f t="shared" ref="G43:I43" si="33">IF(C43&gt;100, "Exceeded", C43)</f>
        <v>Exceeded</v>
      </c>
      <c r="H43" s="64">
        <f t="shared" si="33"/>
        <v>87.87</v>
      </c>
      <c r="I43" s="87" t="str">
        <f t="shared" si="33"/>
        <v>Exceeded</v>
      </c>
    </row>
    <row r="44">
      <c r="A44" s="79" t="s">
        <v>47</v>
      </c>
      <c r="B44" s="88" t="s">
        <v>51</v>
      </c>
      <c r="C44" s="85">
        <f>ROUND(raw!D248/60,2)</f>
        <v>60.45</v>
      </c>
      <c r="D44" s="86">
        <f>ROUND(raw!D249/60,2)</f>
        <v>53.33</v>
      </c>
      <c r="E44" s="87">
        <f>ROUND(raw!D250/60,2)</f>
        <v>60.45</v>
      </c>
      <c r="G44" s="85">
        <f t="shared" ref="G44:I44" si="34">IF(C44&gt;100, "Exceeded", C44)</f>
        <v>60.45</v>
      </c>
      <c r="H44" s="64">
        <f t="shared" si="34"/>
        <v>53.33</v>
      </c>
      <c r="I44" s="87">
        <f t="shared" si="34"/>
        <v>60.45</v>
      </c>
    </row>
    <row r="45">
      <c r="A45" s="79" t="s">
        <v>47</v>
      </c>
      <c r="B45" s="88" t="s">
        <v>52</v>
      </c>
      <c r="C45" s="85">
        <f>ROUND(raw!D256/60,2)</f>
        <v>118.26</v>
      </c>
      <c r="D45" s="86">
        <f>ROUND(raw!D257/60,2)</f>
        <v>102.93</v>
      </c>
      <c r="E45" s="87">
        <f>ROUND(raw!D258/60,2)</f>
        <v>118.26</v>
      </c>
      <c r="G45" s="85" t="str">
        <f t="shared" ref="G45:I45" si="35">IF(C45&gt;100, "Exceeded", C45)</f>
        <v>Exceeded</v>
      </c>
      <c r="H45" s="64" t="str">
        <f t="shared" si="35"/>
        <v>Exceeded</v>
      </c>
      <c r="I45" s="87" t="str">
        <f t="shared" si="35"/>
        <v>Exceeded</v>
      </c>
    </row>
    <row r="46">
      <c r="A46" s="79" t="s">
        <v>47</v>
      </c>
      <c r="B46" s="88" t="s">
        <v>53</v>
      </c>
      <c r="C46" s="85">
        <f>ROUND(raw!D264/60,2)</f>
        <v>63.86</v>
      </c>
      <c r="D46" s="86">
        <f>ROUND(raw!D265/60,2)</f>
        <v>56.43</v>
      </c>
      <c r="E46" s="87">
        <f>ROUND(raw!D266/60,2)</f>
        <v>63.86</v>
      </c>
      <c r="G46" s="85">
        <f t="shared" ref="G46:I46" si="36">IF(C46&gt;100, "Exceeded", C46)</f>
        <v>63.86</v>
      </c>
      <c r="H46" s="64">
        <f t="shared" si="36"/>
        <v>56.43</v>
      </c>
      <c r="I46" s="87">
        <f t="shared" si="36"/>
        <v>63.86</v>
      </c>
    </row>
    <row r="47">
      <c r="A47" s="79" t="s">
        <v>54</v>
      </c>
      <c r="B47" s="88" t="s">
        <v>55</v>
      </c>
      <c r="C47" s="85">
        <f>ROUND(raw!D272/60,2)</f>
        <v>63.66</v>
      </c>
      <c r="D47" s="86">
        <f>ROUND(raw!D273/60,2)</f>
        <v>56.27</v>
      </c>
      <c r="E47" s="87">
        <f>ROUND(raw!D274/60,2)</f>
        <v>63.6</v>
      </c>
      <c r="G47" s="85">
        <f t="shared" ref="G47:I47" si="37">IF(C47&gt;100, "Exceeded", C47)</f>
        <v>63.66</v>
      </c>
      <c r="H47" s="64">
        <f t="shared" si="37"/>
        <v>56.27</v>
      </c>
      <c r="I47" s="87">
        <f t="shared" si="37"/>
        <v>63.6</v>
      </c>
    </row>
    <row r="48">
      <c r="A48" s="79" t="s">
        <v>54</v>
      </c>
      <c r="B48" s="88" t="s">
        <v>56</v>
      </c>
      <c r="C48" s="85">
        <f>ROUND(raw!D280/60,2)</f>
        <v>80.02</v>
      </c>
      <c r="D48" s="86">
        <f>ROUND(raw!D281/60,2)</f>
        <v>71.94</v>
      </c>
      <c r="E48" s="87">
        <f>ROUND(raw!D282/60,2)</f>
        <v>80.01</v>
      </c>
      <c r="G48" s="85">
        <f t="shared" ref="G48:I48" si="38">IF(C48&gt;100, "Exceeded", C48)</f>
        <v>80.02</v>
      </c>
      <c r="H48" s="64">
        <f t="shared" si="38"/>
        <v>71.94</v>
      </c>
      <c r="I48" s="87">
        <f t="shared" si="38"/>
        <v>80.01</v>
      </c>
    </row>
    <row r="49">
      <c r="A49" s="79" t="s">
        <v>38</v>
      </c>
      <c r="B49" s="88" t="s">
        <v>57</v>
      </c>
      <c r="C49" s="85">
        <f>ROUND(raw!D288/60,2)</f>
        <v>94.06</v>
      </c>
      <c r="D49" s="86">
        <f>ROUND(raw!D289/60,2)</f>
        <v>82.7</v>
      </c>
      <c r="E49" s="87">
        <f>ROUND(raw!D290/60,2)</f>
        <v>94.05</v>
      </c>
      <c r="G49" s="85">
        <f t="shared" ref="G49:I49" si="39">IF(C49&gt;100, "Exceeded", C49)</f>
        <v>94.06</v>
      </c>
      <c r="H49" s="64">
        <f t="shared" si="39"/>
        <v>82.7</v>
      </c>
      <c r="I49" s="87">
        <f t="shared" si="39"/>
        <v>94.05</v>
      </c>
    </row>
    <row r="50">
      <c r="A50" s="79" t="s">
        <v>54</v>
      </c>
      <c r="B50" s="88" t="s">
        <v>58</v>
      </c>
      <c r="C50" s="85">
        <f>ROUND(raw!D296/60,2)</f>
        <v>82.78</v>
      </c>
      <c r="D50" s="86">
        <f>ROUND(raw!D297/60,2)</f>
        <v>74.35</v>
      </c>
      <c r="E50" s="87">
        <f>ROUND(raw!D298/60,2)</f>
        <v>82.77</v>
      </c>
      <c r="G50" s="85">
        <f t="shared" ref="G50:I50" si="40">IF(C50&gt;100, "Exceeded", C50)</f>
        <v>82.78</v>
      </c>
      <c r="H50" s="64">
        <f t="shared" si="40"/>
        <v>74.35</v>
      </c>
      <c r="I50" s="87">
        <f t="shared" si="40"/>
        <v>82.77</v>
      </c>
    </row>
    <row r="51">
      <c r="A51" s="79" t="s">
        <v>54</v>
      </c>
      <c r="B51" s="88" t="s">
        <v>59</v>
      </c>
      <c r="C51" s="85">
        <f>ROUND(raw!D304/60,2)</f>
        <v>57.51</v>
      </c>
      <c r="D51" s="86">
        <f>ROUND(raw!D305/60,2)</f>
        <v>50.98</v>
      </c>
      <c r="E51" s="87">
        <f>ROUND(raw!D306/60,2)</f>
        <v>57.49</v>
      </c>
      <c r="G51" s="85">
        <f t="shared" ref="G51:I51" si="41">IF(C51&gt;100, "Exceeded", C51)</f>
        <v>57.51</v>
      </c>
      <c r="H51" s="64">
        <f t="shared" si="41"/>
        <v>50.98</v>
      </c>
      <c r="I51" s="87">
        <f t="shared" si="41"/>
        <v>57.49</v>
      </c>
    </row>
    <row r="52">
      <c r="A52" s="79" t="s">
        <v>54</v>
      </c>
      <c r="B52" s="88" t="s">
        <v>60</v>
      </c>
      <c r="C52" s="85">
        <f>ROUND(raw!D312/60,2)</f>
        <v>74.22</v>
      </c>
      <c r="D52" s="86">
        <f>ROUND(raw!D313/60,2)</f>
        <v>65.63</v>
      </c>
      <c r="E52" s="87">
        <f>ROUND(raw!D314/60,2)</f>
        <v>74.19</v>
      </c>
      <c r="G52" s="85">
        <f t="shared" ref="G52:I52" si="42">IF(C52&gt;100, "Exceeded", C52)</f>
        <v>74.22</v>
      </c>
      <c r="H52" s="64">
        <f t="shared" si="42"/>
        <v>65.63</v>
      </c>
      <c r="I52" s="87">
        <f t="shared" si="42"/>
        <v>74.19</v>
      </c>
    </row>
    <row r="53">
      <c r="A53" s="79" t="s">
        <v>38</v>
      </c>
      <c r="B53" s="88" t="s">
        <v>61</v>
      </c>
      <c r="C53" s="85">
        <f>ROUND(raw!D320/60,2)</f>
        <v>70.97</v>
      </c>
      <c r="D53" s="86">
        <f>ROUND(raw!D321/60,2)</f>
        <v>62.17</v>
      </c>
      <c r="E53" s="87">
        <f>ROUND(raw!D322/60,2)</f>
        <v>70.84</v>
      </c>
      <c r="G53" s="85">
        <f t="shared" ref="G53:I53" si="43">IF(C53&gt;100, "Exceeded", C53)</f>
        <v>70.97</v>
      </c>
      <c r="H53" s="64">
        <f t="shared" si="43"/>
        <v>62.17</v>
      </c>
      <c r="I53" s="87">
        <f t="shared" si="43"/>
        <v>70.84</v>
      </c>
    </row>
    <row r="54">
      <c r="A54" s="79" t="s">
        <v>54</v>
      </c>
      <c r="B54" s="88" t="s">
        <v>62</v>
      </c>
      <c r="C54" s="85">
        <f>ROUND(raw!D328/60,2)</f>
        <v>63.18</v>
      </c>
      <c r="D54" s="86">
        <f>ROUND(raw!D329/60,2)</f>
        <v>57.22</v>
      </c>
      <c r="E54" s="87">
        <f>ROUND(raw!D330/60,2)</f>
        <v>63.18</v>
      </c>
      <c r="G54" s="85">
        <f t="shared" ref="G54:I54" si="44">IF(C54&gt;100, "Exceeded", C54)</f>
        <v>63.18</v>
      </c>
      <c r="H54" s="64">
        <f t="shared" si="44"/>
        <v>57.22</v>
      </c>
      <c r="I54" s="87">
        <f t="shared" si="44"/>
        <v>63.18</v>
      </c>
    </row>
    <row r="55">
      <c r="A55" s="79" t="s">
        <v>54</v>
      </c>
      <c r="B55" s="88" t="s">
        <v>63</v>
      </c>
      <c r="C55" s="85">
        <f>ROUND(raw!D336/60,2)</f>
        <v>72.55</v>
      </c>
      <c r="D55" s="86">
        <f>ROUND(raw!D337/60,2)</f>
        <v>64.51</v>
      </c>
      <c r="E55" s="87">
        <f>ROUND(raw!D338/60,2)</f>
        <v>72.54</v>
      </c>
      <c r="G55" s="85">
        <f t="shared" ref="G55:I55" si="45">IF(C55&gt;100, "Exceeded", C55)</f>
        <v>72.55</v>
      </c>
      <c r="H55" s="64">
        <f t="shared" si="45"/>
        <v>64.51</v>
      </c>
      <c r="I55" s="87">
        <f t="shared" si="45"/>
        <v>72.54</v>
      </c>
    </row>
    <row r="56">
      <c r="A56" s="79" t="s">
        <v>54</v>
      </c>
      <c r="B56" s="88" t="s">
        <v>64</v>
      </c>
      <c r="C56" s="85">
        <f>ROUND(raw!D344/60,2)</f>
        <v>70.37</v>
      </c>
      <c r="D56" s="86">
        <f>ROUND(raw!D345/60,2)</f>
        <v>62.28</v>
      </c>
      <c r="E56" s="87">
        <f>ROUND(raw!D346/60,2)</f>
        <v>70.34</v>
      </c>
      <c r="G56" s="85">
        <f t="shared" ref="G56:I56" si="46">IF(C56&gt;100, "Exceeded", C56)</f>
        <v>70.37</v>
      </c>
      <c r="H56" s="64">
        <f t="shared" si="46"/>
        <v>62.28</v>
      </c>
      <c r="I56" s="87">
        <f t="shared" si="46"/>
        <v>70.34</v>
      </c>
    </row>
    <row r="57">
      <c r="A57" s="79" t="s">
        <v>54</v>
      </c>
      <c r="B57" s="88" t="s">
        <v>65</v>
      </c>
      <c r="C57" s="85">
        <f>ROUND(raw!D352/60,2)</f>
        <v>63.51</v>
      </c>
      <c r="D57" s="86">
        <f>ROUND(raw!D353/60,2)</f>
        <v>56.72</v>
      </c>
      <c r="E57" s="87">
        <f>ROUND(raw!D354/60,2)</f>
        <v>63.5</v>
      </c>
      <c r="G57" s="85">
        <f t="shared" ref="G57:I57" si="47">IF(C57&gt;100, "Exceeded", C57)</f>
        <v>63.51</v>
      </c>
      <c r="H57" s="64">
        <f t="shared" si="47"/>
        <v>56.72</v>
      </c>
      <c r="I57" s="87">
        <f t="shared" si="47"/>
        <v>63.5</v>
      </c>
    </row>
    <row r="58">
      <c r="A58" s="79" t="s">
        <v>54</v>
      </c>
      <c r="B58" s="88" t="s">
        <v>66</v>
      </c>
      <c r="C58" s="85">
        <f>ROUND(raw!D360/60,2)</f>
        <v>27.38</v>
      </c>
      <c r="D58" s="86">
        <f>ROUND(raw!D361/60,2)</f>
        <v>24.42</v>
      </c>
      <c r="E58" s="87">
        <f>ROUND(raw!D362/60,2)</f>
        <v>27.38</v>
      </c>
      <c r="G58" s="85">
        <f t="shared" ref="G58:I58" si="48">IF(C58&gt;100, "Exceeded", C58)</f>
        <v>27.38</v>
      </c>
      <c r="H58" s="64">
        <f t="shared" si="48"/>
        <v>24.42</v>
      </c>
      <c r="I58" s="87">
        <f t="shared" si="48"/>
        <v>27.38</v>
      </c>
    </row>
    <row r="59">
      <c r="A59" s="79" t="s">
        <v>67</v>
      </c>
      <c r="B59" s="88" t="s">
        <v>68</v>
      </c>
      <c r="C59" s="85">
        <f>ROUND(raw!D368/60,2)</f>
        <v>84.59</v>
      </c>
      <c r="D59" s="86">
        <f>ROUND(raw!D369/60,2)</f>
        <v>76.67</v>
      </c>
      <c r="E59" s="87">
        <f>ROUND(raw!D370/60,2)</f>
        <v>84.59</v>
      </c>
      <c r="G59" s="85">
        <f t="shared" ref="G59:I59" si="49">IF(C59&gt;100, "Exceeded", C59)</f>
        <v>84.59</v>
      </c>
      <c r="H59" s="64">
        <f t="shared" si="49"/>
        <v>76.67</v>
      </c>
      <c r="I59" s="87">
        <f t="shared" si="49"/>
        <v>84.59</v>
      </c>
    </row>
    <row r="60">
      <c r="A60" s="79" t="s">
        <v>69</v>
      </c>
      <c r="B60" s="88" t="s">
        <v>70</v>
      </c>
      <c r="C60" s="85">
        <f>ROUND(raw!D376/60,2)</f>
        <v>84.8</v>
      </c>
      <c r="D60" s="86">
        <f>ROUND(raw!D377/60,2)</f>
        <v>75.89</v>
      </c>
      <c r="E60" s="87">
        <f>ROUND(raw!D378/60,2)</f>
        <v>84.8</v>
      </c>
      <c r="G60" s="85">
        <f t="shared" ref="G60:I60" si="50">IF(C60&gt;100, "Exceeded", C60)</f>
        <v>84.8</v>
      </c>
      <c r="H60" s="64">
        <f t="shared" si="50"/>
        <v>75.89</v>
      </c>
      <c r="I60" s="87">
        <f t="shared" si="50"/>
        <v>84.8</v>
      </c>
    </row>
    <row r="61">
      <c r="A61" s="79" t="s">
        <v>69</v>
      </c>
      <c r="B61" s="88" t="s">
        <v>71</v>
      </c>
      <c r="C61" s="85">
        <f>ROUND(raw!D384/60,2)</f>
        <v>73.74</v>
      </c>
      <c r="D61" s="86">
        <f>ROUND(raw!D385/60,2)</f>
        <v>65.52</v>
      </c>
      <c r="E61" s="87">
        <f>ROUND(raw!D386/60,2)</f>
        <v>73.73</v>
      </c>
      <c r="G61" s="85">
        <f t="shared" ref="G61:I61" si="51">IF(C61&gt;100, "Exceeded", C61)</f>
        <v>73.74</v>
      </c>
      <c r="H61" s="64">
        <f t="shared" si="51"/>
        <v>65.52</v>
      </c>
      <c r="I61" s="87">
        <f t="shared" si="51"/>
        <v>73.73</v>
      </c>
    </row>
    <row r="62">
      <c r="A62" s="79" t="s">
        <v>35</v>
      </c>
      <c r="B62" s="88" t="s">
        <v>72</v>
      </c>
      <c r="C62" s="85">
        <f>ROUND(raw!D392/60,2)</f>
        <v>81.28</v>
      </c>
      <c r="D62" s="86">
        <f>ROUND(raw!D393/60,2)</f>
        <v>72.69</v>
      </c>
      <c r="E62" s="87">
        <f>ROUND(raw!D394/60,2)</f>
        <v>81.26</v>
      </c>
      <c r="G62" s="85">
        <f t="shared" ref="G62:I62" si="52">IF(C62&gt;100, "Exceeded", C62)</f>
        <v>81.28</v>
      </c>
      <c r="H62" s="64">
        <f t="shared" si="52"/>
        <v>72.69</v>
      </c>
      <c r="I62" s="87">
        <f t="shared" si="52"/>
        <v>81.26</v>
      </c>
    </row>
    <row r="63">
      <c r="A63" s="79" t="s">
        <v>35</v>
      </c>
      <c r="B63" s="88" t="s">
        <v>73</v>
      </c>
      <c r="C63" s="85">
        <f>ROUND(raw!D400/60,2)</f>
        <v>103.82</v>
      </c>
      <c r="D63" s="86">
        <f>ROUND(raw!D401/60,2)</f>
        <v>91.99</v>
      </c>
      <c r="E63" s="87">
        <f>ROUND(raw!D402/60,2)</f>
        <v>103.82</v>
      </c>
      <c r="G63" s="85" t="str">
        <f t="shared" ref="G63:I63" si="53">IF(C63&gt;100, "Exceeded", C63)</f>
        <v>Exceeded</v>
      </c>
      <c r="H63" s="64">
        <f t="shared" si="53"/>
        <v>91.99</v>
      </c>
      <c r="I63" s="87" t="str">
        <f t="shared" si="53"/>
        <v>Exceeded</v>
      </c>
    </row>
    <row r="64">
      <c r="A64" s="79" t="s">
        <v>35</v>
      </c>
      <c r="B64" s="88" t="s">
        <v>74</v>
      </c>
      <c r="C64" s="85">
        <f>ROUND(raw!D408/60,2)</f>
        <v>75.35</v>
      </c>
      <c r="D64" s="86">
        <f>ROUND(raw!D409/60,2)</f>
        <v>66.13</v>
      </c>
      <c r="E64" s="87">
        <f>ROUND(raw!D410/60,2)</f>
        <v>75.31</v>
      </c>
      <c r="G64" s="85">
        <f t="shared" ref="G64:I64" si="54">IF(C64&gt;100, "Exceeded", C64)</f>
        <v>75.35</v>
      </c>
      <c r="H64" s="64">
        <f t="shared" si="54"/>
        <v>66.13</v>
      </c>
      <c r="I64" s="87">
        <f t="shared" si="54"/>
        <v>75.31</v>
      </c>
    </row>
    <row r="65">
      <c r="A65" s="79" t="s">
        <v>35</v>
      </c>
      <c r="B65" s="88" t="s">
        <v>75</v>
      </c>
      <c r="C65" s="85">
        <f>ROUND(raw!D416/60,2)</f>
        <v>78.65</v>
      </c>
      <c r="D65" s="86">
        <f>ROUND(raw!D417/60,2)</f>
        <v>69.08</v>
      </c>
      <c r="E65" s="87">
        <f>ROUND(raw!D418/60,2)</f>
        <v>78.64</v>
      </c>
      <c r="G65" s="85">
        <f t="shared" ref="G65:I65" si="55">IF(C65&gt;100, "Exceeded", C65)</f>
        <v>78.65</v>
      </c>
      <c r="H65" s="64">
        <f t="shared" si="55"/>
        <v>69.08</v>
      </c>
      <c r="I65" s="87">
        <f t="shared" si="55"/>
        <v>78.64</v>
      </c>
    </row>
    <row r="66">
      <c r="A66" s="79" t="s">
        <v>35</v>
      </c>
      <c r="B66" s="88" t="s">
        <v>76</v>
      </c>
      <c r="C66" s="85">
        <f>ROUND(raw!D424/60,2)</f>
        <v>72.44</v>
      </c>
      <c r="D66" s="86">
        <f>ROUND(raw!D425/60,2)</f>
        <v>63.43</v>
      </c>
      <c r="E66" s="87">
        <f>ROUND(raw!D426/60,2)</f>
        <v>72.35</v>
      </c>
      <c r="G66" s="85">
        <f t="shared" ref="G66:I66" si="56">IF(C66&gt;100, "Exceeded", C66)</f>
        <v>72.44</v>
      </c>
      <c r="H66" s="64">
        <f t="shared" si="56"/>
        <v>63.43</v>
      </c>
      <c r="I66" s="87">
        <f t="shared" si="56"/>
        <v>72.35</v>
      </c>
    </row>
    <row r="67">
      <c r="A67" s="79" t="s">
        <v>77</v>
      </c>
      <c r="B67" s="88" t="s">
        <v>78</v>
      </c>
      <c r="C67" s="85">
        <f>ROUND(raw!D432/60,2)</f>
        <v>118.4</v>
      </c>
      <c r="D67" s="86">
        <f>ROUND(raw!D433/60,2)</f>
        <v>104.29</v>
      </c>
      <c r="E67" s="87">
        <f>ROUND(raw!D434/60,2)</f>
        <v>118.39</v>
      </c>
      <c r="G67" s="85" t="str">
        <f t="shared" ref="G67:I67" si="57">IF(C67&gt;100, "Exceeded", C67)</f>
        <v>Exceeded</v>
      </c>
      <c r="H67" s="64" t="str">
        <f t="shared" si="57"/>
        <v>Exceeded</v>
      </c>
      <c r="I67" s="87" t="str">
        <f t="shared" si="57"/>
        <v>Exceeded</v>
      </c>
    </row>
    <row r="68">
      <c r="A68" s="79" t="s">
        <v>17</v>
      </c>
      <c r="B68" s="88" t="s">
        <v>79</v>
      </c>
      <c r="C68" s="85">
        <f>ROUND(raw!D440/60,2)</f>
        <v>77.38</v>
      </c>
      <c r="D68" s="86">
        <f>ROUND(raw!D441/60,2)</f>
        <v>68.17</v>
      </c>
      <c r="E68" s="87">
        <f>ROUND(raw!D442/60,2)</f>
        <v>77.37</v>
      </c>
      <c r="G68" s="85">
        <f t="shared" ref="G68:I68" si="58">IF(C68&gt;100, "Exceeded", C68)</f>
        <v>77.38</v>
      </c>
      <c r="H68" s="64">
        <f t="shared" si="58"/>
        <v>68.17</v>
      </c>
      <c r="I68" s="87">
        <f t="shared" si="58"/>
        <v>77.37</v>
      </c>
    </row>
    <row r="69">
      <c r="A69" s="79" t="s">
        <v>35</v>
      </c>
      <c r="B69" s="88" t="s">
        <v>80</v>
      </c>
      <c r="C69" s="85">
        <f>ROUND(raw!D448/60,2)</f>
        <v>73.1</v>
      </c>
      <c r="D69" s="86">
        <f>ROUND(raw!D449/60,2)</f>
        <v>64.93</v>
      </c>
      <c r="E69" s="87">
        <f>ROUND(raw!D450/60,2)</f>
        <v>73.1</v>
      </c>
      <c r="G69" s="85">
        <f t="shared" ref="G69:I69" si="59">IF(C69&gt;100, "Exceeded", C69)</f>
        <v>73.1</v>
      </c>
      <c r="H69" s="64">
        <f t="shared" si="59"/>
        <v>64.93</v>
      </c>
      <c r="I69" s="87">
        <f t="shared" si="59"/>
        <v>73.1</v>
      </c>
    </row>
    <row r="70">
      <c r="A70" s="79" t="s">
        <v>28</v>
      </c>
      <c r="B70" s="88" t="s">
        <v>81</v>
      </c>
      <c r="C70" s="85">
        <f>ROUND(raw!D456/60,2)</f>
        <v>72.95</v>
      </c>
      <c r="D70" s="86">
        <f>ROUND(raw!D457/60,2)</f>
        <v>63.14</v>
      </c>
      <c r="E70" s="87">
        <f>ROUND(raw!D458/60,2)</f>
        <v>72.95</v>
      </c>
      <c r="G70" s="85">
        <f t="shared" ref="G70:I70" si="60">IF(C70&gt;100, "Exceeded", C70)</f>
        <v>72.95</v>
      </c>
      <c r="H70" s="64">
        <f t="shared" si="60"/>
        <v>63.14</v>
      </c>
      <c r="I70" s="87">
        <f t="shared" si="60"/>
        <v>72.95</v>
      </c>
    </row>
    <row r="71">
      <c r="A71" s="79" t="s">
        <v>35</v>
      </c>
      <c r="B71" s="88" t="s">
        <v>82</v>
      </c>
      <c r="C71" s="85">
        <f>ROUND(raw!D464/60,2)</f>
        <v>100.49</v>
      </c>
      <c r="D71" s="86">
        <f>ROUND(raw!D465/60,2)</f>
        <v>88.61</v>
      </c>
      <c r="E71" s="87">
        <f>ROUND(raw!D466/60,2)</f>
        <v>100.49</v>
      </c>
      <c r="G71" s="85" t="str">
        <f t="shared" ref="G71:I71" si="61">IF(C71&gt;100, "Exceeded", C71)</f>
        <v>Exceeded</v>
      </c>
      <c r="H71" s="64">
        <f t="shared" si="61"/>
        <v>88.61</v>
      </c>
      <c r="I71" s="87" t="str">
        <f t="shared" si="61"/>
        <v>Exceeded</v>
      </c>
    </row>
    <row r="72">
      <c r="A72" s="79" t="s">
        <v>35</v>
      </c>
      <c r="B72" s="88" t="s">
        <v>83</v>
      </c>
      <c r="C72" s="85">
        <f>ROUND(raw!D472/60,2)</f>
        <v>89.82</v>
      </c>
      <c r="D72" s="86">
        <f>ROUND(raw!D473/60,2)</f>
        <v>79.3</v>
      </c>
      <c r="E72" s="87">
        <f>ROUND(raw!D474/60,2)</f>
        <v>89.81</v>
      </c>
      <c r="G72" s="85">
        <f t="shared" ref="G72:I72" si="62">IF(C72&gt;100, "Exceeded", C72)</f>
        <v>89.82</v>
      </c>
      <c r="H72" s="64">
        <f t="shared" si="62"/>
        <v>79.3</v>
      </c>
      <c r="I72" s="87">
        <f t="shared" si="62"/>
        <v>89.81</v>
      </c>
    </row>
    <row r="73">
      <c r="A73" s="79" t="s">
        <v>17</v>
      </c>
      <c r="B73" s="88" t="s">
        <v>84</v>
      </c>
      <c r="C73" s="85">
        <f>ROUND(raw!D480/60,2)</f>
        <v>70.27</v>
      </c>
      <c r="D73" s="86">
        <f>ROUND(raw!D481/60,2)</f>
        <v>60.85</v>
      </c>
      <c r="E73" s="87">
        <f>ROUND(raw!D482/60,2)</f>
        <v>70.27</v>
      </c>
      <c r="G73" s="85">
        <f t="shared" ref="G73:I73" si="63">IF(C73&gt;100, "Exceeded", C73)</f>
        <v>70.27</v>
      </c>
      <c r="H73" s="64">
        <f t="shared" si="63"/>
        <v>60.85</v>
      </c>
      <c r="I73" s="87">
        <f t="shared" si="63"/>
        <v>70.27</v>
      </c>
    </row>
    <row r="74">
      <c r="A74" s="79" t="s">
        <v>17</v>
      </c>
      <c r="B74" s="88" t="s">
        <v>85</v>
      </c>
      <c r="C74" s="85">
        <f>ROUND(raw!D488/60,2)</f>
        <v>70.95</v>
      </c>
      <c r="D74" s="86">
        <f>ROUND(raw!D489/60,2)</f>
        <v>61.97</v>
      </c>
      <c r="E74" s="87">
        <f>ROUND(raw!D490/60,2)</f>
        <v>70.67</v>
      </c>
      <c r="G74" s="85">
        <f t="shared" ref="G74:I74" si="64">IF(C74&gt;100, "Exceeded", C74)</f>
        <v>70.95</v>
      </c>
      <c r="H74" s="64">
        <f t="shared" si="64"/>
        <v>61.97</v>
      </c>
      <c r="I74" s="87">
        <f t="shared" si="64"/>
        <v>70.67</v>
      </c>
    </row>
    <row r="75">
      <c r="A75" s="79" t="s">
        <v>17</v>
      </c>
      <c r="B75" s="88" t="s">
        <v>86</v>
      </c>
      <c r="C75" s="85">
        <f>ROUND(raw!D496/60,2)</f>
        <v>68.26</v>
      </c>
      <c r="D75" s="86">
        <f>ROUND(raw!D497/60,2)</f>
        <v>59.97</v>
      </c>
      <c r="E75" s="87">
        <f>ROUND(raw!D498/60,2)</f>
        <v>68.25</v>
      </c>
      <c r="G75" s="85">
        <f t="shared" ref="G75:I75" si="65">IF(C75&gt;100, "Exceeded", C75)</f>
        <v>68.26</v>
      </c>
      <c r="H75" s="64">
        <f t="shared" si="65"/>
        <v>59.97</v>
      </c>
      <c r="I75" s="87">
        <f t="shared" si="65"/>
        <v>68.25</v>
      </c>
    </row>
    <row r="76">
      <c r="A76" s="79" t="s">
        <v>17</v>
      </c>
      <c r="B76" s="88" t="s">
        <v>87</v>
      </c>
      <c r="C76" s="85">
        <f>ROUND(raw!D504/60,2)</f>
        <v>81.07</v>
      </c>
      <c r="D76" s="86">
        <f>ROUND(raw!D505/60,2)</f>
        <v>71.17</v>
      </c>
      <c r="E76" s="87">
        <f>ROUND(raw!D506/60,2)</f>
        <v>81.06</v>
      </c>
      <c r="G76" s="85">
        <f t="shared" ref="G76:I76" si="66">IF(C76&gt;100, "Exceeded", C76)</f>
        <v>81.07</v>
      </c>
      <c r="H76" s="64">
        <f t="shared" si="66"/>
        <v>71.17</v>
      </c>
      <c r="I76" s="87">
        <f t="shared" si="66"/>
        <v>81.06</v>
      </c>
    </row>
    <row r="77">
      <c r="A77" s="79" t="s">
        <v>88</v>
      </c>
      <c r="B77" s="88" t="s">
        <v>89</v>
      </c>
      <c r="C77" s="85">
        <f>ROUND(raw!D512/60,2)</f>
        <v>76.2</v>
      </c>
      <c r="D77" s="86">
        <f>ROUND(raw!D513/60,2)</f>
        <v>66.8</v>
      </c>
      <c r="E77" s="87">
        <f>ROUND(raw!D514/60,2)</f>
        <v>76.19</v>
      </c>
      <c r="G77" s="85">
        <f t="shared" ref="G77:I77" si="67">IF(C77&gt;100, "Exceeded", C77)</f>
        <v>76.2</v>
      </c>
      <c r="H77" s="64">
        <f t="shared" si="67"/>
        <v>66.8</v>
      </c>
      <c r="I77" s="87">
        <f t="shared" si="67"/>
        <v>76.19</v>
      </c>
    </row>
    <row r="78">
      <c r="A78" s="79" t="s">
        <v>88</v>
      </c>
      <c r="B78" s="88" t="s">
        <v>90</v>
      </c>
      <c r="C78" s="85">
        <f>ROUND(raw!D520/60,2)</f>
        <v>79.42</v>
      </c>
      <c r="D78" s="86">
        <f>ROUND(raw!D521/60,2)</f>
        <v>69.19</v>
      </c>
      <c r="E78" s="87">
        <f>ROUND(raw!D522/60,2)</f>
        <v>79.42</v>
      </c>
      <c r="G78" s="85">
        <f t="shared" ref="G78:I78" si="68">IF(C78&gt;100, "Exceeded", C78)</f>
        <v>79.42</v>
      </c>
      <c r="H78" s="64">
        <f t="shared" si="68"/>
        <v>69.19</v>
      </c>
      <c r="I78" s="87">
        <f t="shared" si="68"/>
        <v>79.42</v>
      </c>
    </row>
    <row r="79">
      <c r="A79" s="79" t="s">
        <v>77</v>
      </c>
      <c r="B79" s="88" t="s">
        <v>91</v>
      </c>
      <c r="C79" s="85">
        <f>ROUND(raw!D528/60,2)</f>
        <v>100.68</v>
      </c>
      <c r="D79" s="86">
        <f>ROUND(raw!D529/60,2)</f>
        <v>87.96</v>
      </c>
      <c r="E79" s="87">
        <f>ROUND(raw!D530/60,2)</f>
        <v>100.68</v>
      </c>
      <c r="G79" s="85" t="str">
        <f t="shared" ref="G79:I79" si="69">IF(C79&gt;100, "Exceeded", C79)</f>
        <v>Exceeded</v>
      </c>
      <c r="H79" s="64">
        <f t="shared" si="69"/>
        <v>87.96</v>
      </c>
      <c r="I79" s="87" t="str">
        <f t="shared" si="69"/>
        <v>Exceeded</v>
      </c>
    </row>
    <row r="80">
      <c r="A80" s="79" t="s">
        <v>38</v>
      </c>
      <c r="B80" s="88" t="s">
        <v>92</v>
      </c>
      <c r="C80" s="85">
        <f>ROUND(raw!D536/60,2)</f>
        <v>68.79</v>
      </c>
      <c r="D80" s="86">
        <f>ROUND(raw!D537/60,2)</f>
        <v>61.09</v>
      </c>
      <c r="E80" s="87">
        <f>ROUND(raw!D538/60,2)</f>
        <v>68.78</v>
      </c>
      <c r="G80" s="85">
        <f t="shared" ref="G80:I80" si="70">IF(C80&gt;100, "Exceeded", C80)</f>
        <v>68.79</v>
      </c>
      <c r="H80" s="64">
        <f t="shared" si="70"/>
        <v>61.09</v>
      </c>
      <c r="I80" s="87">
        <f t="shared" si="70"/>
        <v>68.78</v>
      </c>
    </row>
    <row r="81">
      <c r="A81" s="79" t="s">
        <v>67</v>
      </c>
      <c r="B81" s="88" t="s">
        <v>93</v>
      </c>
      <c r="C81" s="85">
        <f>ROUND(raw!D544/60,2)</f>
        <v>79.75</v>
      </c>
      <c r="D81" s="86">
        <f>ROUND(raw!D545/60,2)</f>
        <v>71.95</v>
      </c>
      <c r="E81" s="87">
        <f>ROUND(raw!D546/60,2)</f>
        <v>79.75</v>
      </c>
      <c r="G81" s="85">
        <f t="shared" ref="G81:I81" si="71">IF(C81&gt;100, "Exceeded", C81)</f>
        <v>79.75</v>
      </c>
      <c r="H81" s="64">
        <f t="shared" si="71"/>
        <v>71.95</v>
      </c>
      <c r="I81" s="87">
        <f t="shared" si="71"/>
        <v>79.75</v>
      </c>
    </row>
    <row r="82">
      <c r="A82" s="79" t="s">
        <v>38</v>
      </c>
      <c r="B82" s="88" t="s">
        <v>94</v>
      </c>
      <c r="C82" s="85">
        <f>ROUND(raw!D552/60,2)</f>
        <v>82.05</v>
      </c>
      <c r="D82" s="86">
        <f>ROUND(raw!D553/60,2)</f>
        <v>72.44</v>
      </c>
      <c r="E82" s="87">
        <f>ROUND(raw!D554/60,2)</f>
        <v>82.02</v>
      </c>
      <c r="G82" s="85">
        <f t="shared" ref="G82:I82" si="72">IF(C82&gt;100, "Exceeded", C82)</f>
        <v>82.05</v>
      </c>
      <c r="H82" s="64">
        <f t="shared" si="72"/>
        <v>72.44</v>
      </c>
      <c r="I82" s="87">
        <f t="shared" si="72"/>
        <v>82.02</v>
      </c>
    </row>
    <row r="83">
      <c r="A83" s="79" t="s">
        <v>38</v>
      </c>
      <c r="B83" s="88" t="s">
        <v>95</v>
      </c>
      <c r="C83" s="85">
        <f>ROUND(raw!D560/60,2)</f>
        <v>76.62</v>
      </c>
      <c r="D83" s="86">
        <f>ROUND(raw!D561/60,2)</f>
        <v>69.11</v>
      </c>
      <c r="E83" s="87">
        <f>ROUND(raw!D562/60,2)</f>
        <v>76.57</v>
      </c>
      <c r="G83" s="85">
        <f t="shared" ref="G83:I83" si="73">IF(C83&gt;100, "Exceeded", C83)</f>
        <v>76.62</v>
      </c>
      <c r="H83" s="64">
        <f t="shared" si="73"/>
        <v>69.11</v>
      </c>
      <c r="I83" s="87">
        <f t="shared" si="73"/>
        <v>76.57</v>
      </c>
    </row>
    <row r="84">
      <c r="A84" s="79" t="s">
        <v>38</v>
      </c>
      <c r="B84" s="88" t="s">
        <v>96</v>
      </c>
      <c r="C84" s="85">
        <f>ROUND(raw!D568/60,2)</f>
        <v>85.34</v>
      </c>
      <c r="D84" s="86">
        <f>ROUND(raw!D569/60,2)</f>
        <v>75.9</v>
      </c>
      <c r="E84" s="87">
        <f>ROUND(raw!D570/60,2)</f>
        <v>85.26</v>
      </c>
      <c r="G84" s="85">
        <f t="shared" ref="G84:I84" si="74">IF(C84&gt;100, "Exceeded", C84)</f>
        <v>85.34</v>
      </c>
      <c r="H84" s="64">
        <f t="shared" si="74"/>
        <v>75.9</v>
      </c>
      <c r="I84" s="87">
        <f t="shared" si="74"/>
        <v>85.26</v>
      </c>
    </row>
    <row r="85">
      <c r="A85" s="79" t="s">
        <v>38</v>
      </c>
      <c r="B85" s="88" t="s">
        <v>97</v>
      </c>
      <c r="C85" s="85">
        <f>ROUND(raw!D576/60,2)</f>
        <v>77.23</v>
      </c>
      <c r="D85" s="86">
        <f>ROUND(raw!D577/60,2)</f>
        <v>68.84</v>
      </c>
      <c r="E85" s="87">
        <f>ROUND(raw!D578/60,2)</f>
        <v>77.2</v>
      </c>
      <c r="G85" s="85">
        <f t="shared" ref="G85:I85" si="75">IF(C85&gt;100, "Exceeded", C85)</f>
        <v>77.23</v>
      </c>
      <c r="H85" s="64">
        <f t="shared" si="75"/>
        <v>68.84</v>
      </c>
      <c r="I85" s="87">
        <f t="shared" si="75"/>
        <v>77.2</v>
      </c>
    </row>
    <row r="86">
      <c r="A86" s="79" t="s">
        <v>38</v>
      </c>
      <c r="B86" s="88" t="s">
        <v>98</v>
      </c>
      <c r="C86" s="85">
        <f>ROUND(raw!D584/60,2)</f>
        <v>110.69</v>
      </c>
      <c r="D86" s="86">
        <f>ROUND(raw!D585/60,2)</f>
        <v>98.43</v>
      </c>
      <c r="E86" s="87">
        <f>ROUND(raw!D586/60,2)</f>
        <v>110.68</v>
      </c>
      <c r="G86" s="85" t="str">
        <f t="shared" ref="G86:I86" si="76">IF(C86&gt;100, "Exceeded", C86)</f>
        <v>Exceeded</v>
      </c>
      <c r="H86" s="64">
        <f t="shared" si="76"/>
        <v>98.43</v>
      </c>
      <c r="I86" s="87" t="str">
        <f t="shared" si="76"/>
        <v>Exceeded</v>
      </c>
    </row>
    <row r="87">
      <c r="A87" s="79" t="s">
        <v>38</v>
      </c>
      <c r="B87" s="88" t="s">
        <v>99</v>
      </c>
      <c r="C87" s="85">
        <f>ROUND(raw!D592/60,2)</f>
        <v>79.1</v>
      </c>
      <c r="D87" s="86">
        <f>ROUND(raw!D593/60,2)</f>
        <v>69.51</v>
      </c>
      <c r="E87" s="87">
        <f>ROUND(raw!D594/60,2)</f>
        <v>79.07</v>
      </c>
      <c r="G87" s="85">
        <f t="shared" ref="G87:I87" si="77">IF(C87&gt;100, "Exceeded", C87)</f>
        <v>79.1</v>
      </c>
      <c r="H87" s="64">
        <f t="shared" si="77"/>
        <v>69.51</v>
      </c>
      <c r="I87" s="87">
        <f t="shared" si="77"/>
        <v>79.07</v>
      </c>
    </row>
    <row r="88">
      <c r="A88" s="79" t="s">
        <v>28</v>
      </c>
      <c r="B88" s="88" t="s">
        <v>100</v>
      </c>
      <c r="C88" s="85">
        <f>ROUND(raw!D600/60,2)</f>
        <v>79.29</v>
      </c>
      <c r="D88" s="86">
        <f>ROUND(raw!D601/60,2)</f>
        <v>68.62</v>
      </c>
      <c r="E88" s="87">
        <f>ROUND(raw!D602/60,2)</f>
        <v>79.29</v>
      </c>
      <c r="G88" s="85">
        <f t="shared" ref="G88:I88" si="78">IF(C88&gt;100, "Exceeded", C88)</f>
        <v>79.29</v>
      </c>
      <c r="H88" s="64">
        <f t="shared" si="78"/>
        <v>68.62</v>
      </c>
      <c r="I88" s="87">
        <f t="shared" si="78"/>
        <v>79.29</v>
      </c>
    </row>
    <row r="89">
      <c r="A89" s="79" t="s">
        <v>28</v>
      </c>
      <c r="B89" s="88" t="s">
        <v>101</v>
      </c>
      <c r="C89" s="85">
        <f>ROUND(raw!D608/60,2)</f>
        <v>81.27</v>
      </c>
      <c r="D89" s="86">
        <f>ROUND(raw!D609/60,2)</f>
        <v>71.03</v>
      </c>
      <c r="E89" s="87">
        <f>ROUND(raw!D610/60,2)</f>
        <v>81.27</v>
      </c>
      <c r="G89" s="85">
        <f t="shared" ref="G89:I89" si="79">IF(C89&gt;100, "Exceeded", C89)</f>
        <v>81.27</v>
      </c>
      <c r="H89" s="64">
        <f t="shared" si="79"/>
        <v>71.03</v>
      </c>
      <c r="I89" s="87">
        <f t="shared" si="79"/>
        <v>81.27</v>
      </c>
    </row>
    <row r="90">
      <c r="A90" s="79" t="s">
        <v>28</v>
      </c>
      <c r="B90" s="88" t="s">
        <v>102</v>
      </c>
      <c r="C90" s="85">
        <f>ROUND(raw!D616/60,2)</f>
        <v>60.37</v>
      </c>
      <c r="D90" s="86">
        <f>ROUND(raw!D617/60,2)</f>
        <v>52.65</v>
      </c>
      <c r="E90" s="87">
        <f>ROUND(raw!D618/60,2)</f>
        <v>60.37</v>
      </c>
      <c r="G90" s="85">
        <f t="shared" ref="G90:I90" si="80">IF(C90&gt;100, "Exceeded", C90)</f>
        <v>60.37</v>
      </c>
      <c r="H90" s="64">
        <f t="shared" si="80"/>
        <v>52.65</v>
      </c>
      <c r="I90" s="87">
        <f t="shared" si="80"/>
        <v>60.37</v>
      </c>
    </row>
    <row r="91">
      <c r="A91" s="79" t="s">
        <v>28</v>
      </c>
      <c r="B91" s="88" t="s">
        <v>103</v>
      </c>
      <c r="C91" s="85">
        <f>ROUND(raw!D624/60,2)</f>
        <v>89.24</v>
      </c>
      <c r="D91" s="86">
        <f>ROUND(raw!D625/60,2)</f>
        <v>77.87</v>
      </c>
      <c r="E91" s="87">
        <f>ROUND(raw!D626/60,2)</f>
        <v>89.24</v>
      </c>
      <c r="G91" s="85">
        <f t="shared" ref="G91:I91" si="81">IF(C91&gt;100, "Exceeded", C91)</f>
        <v>89.24</v>
      </c>
      <c r="H91" s="64">
        <f t="shared" si="81"/>
        <v>77.87</v>
      </c>
      <c r="I91" s="87">
        <f t="shared" si="81"/>
        <v>89.24</v>
      </c>
    </row>
    <row r="92">
      <c r="A92" s="79" t="s">
        <v>28</v>
      </c>
      <c r="B92" s="88" t="s">
        <v>104</v>
      </c>
      <c r="C92" s="85">
        <f>ROUND(raw!D632/60,2)</f>
        <v>72.17</v>
      </c>
      <c r="D92" s="86">
        <f>ROUND(raw!D633/60,2)</f>
        <v>62.18</v>
      </c>
      <c r="E92" s="87">
        <f>ROUND(raw!D634/60,2)</f>
        <v>72.17</v>
      </c>
      <c r="G92" s="85">
        <f t="shared" ref="G92:I92" si="82">IF(C92&gt;100, "Exceeded", C92)</f>
        <v>72.17</v>
      </c>
      <c r="H92" s="64">
        <f t="shared" si="82"/>
        <v>62.18</v>
      </c>
      <c r="I92" s="87">
        <f t="shared" si="82"/>
        <v>72.17</v>
      </c>
    </row>
    <row r="93">
      <c r="A93" s="89" t="s">
        <v>28</v>
      </c>
      <c r="B93" s="90" t="s">
        <v>105</v>
      </c>
      <c r="C93" s="75">
        <f>ROUND(raw!D640/60,2)</f>
        <v>77.65</v>
      </c>
      <c r="D93" s="77">
        <f>ROUND(raw!D641/60,2)</f>
        <v>67.3</v>
      </c>
      <c r="E93" s="78">
        <f>ROUND(raw!D642/60,2)</f>
        <v>77.65</v>
      </c>
      <c r="G93" s="75">
        <f t="shared" ref="G93:I93" si="83">IF(C93&gt;100, "Exceeded", C93)</f>
        <v>77.65</v>
      </c>
      <c r="H93" s="91">
        <f t="shared" si="83"/>
        <v>67.3</v>
      </c>
      <c r="I93" s="78">
        <f t="shared" si="83"/>
        <v>77.65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18.38"/>
    <col customWidth="1" min="3" max="3" width="44.0"/>
    <col customWidth="1" min="4" max="4" width="11.25"/>
  </cols>
  <sheetData>
    <row r="1">
      <c r="A1" s="1"/>
      <c r="B1" s="1"/>
      <c r="C1" s="2"/>
      <c r="D1" s="1"/>
      <c r="F1" s="92"/>
      <c r="G1" s="92"/>
      <c r="H1" s="92"/>
    </row>
    <row r="2">
      <c r="A2" s="4" t="s">
        <v>0</v>
      </c>
      <c r="B2" s="4" t="s">
        <v>1</v>
      </c>
      <c r="C2" s="93" t="str">
        <f>HYPERLINK("https://docs.google.com/spreadsheets/d/1y1dORaBmKsywp87l7qjYP7Hqi_1NLWSyIU9I58HzGWg", "Status")</f>
        <v>Status</v>
      </c>
      <c r="D2" s="4" t="s">
        <v>3</v>
      </c>
      <c r="E2" s="5" t="str">
        <f>HYPERLINK("https://docs.google.com/spreadsheets/d/None", "03-05-2023")</f>
        <v>03-05-2023</v>
      </c>
      <c r="F2" s="5" t="str">
        <f>HYPERLINK("https://docs.google.com/spreadsheets/d/13AjswbRt0GX1GsJlMSEBCZ_xjS8tGzWx", "03-07-2023")</f>
        <v>03-07-2023</v>
      </c>
      <c r="G2" s="5" t="str">
        <f>HYPERLINK("https://docs.google.com/spreadsheets/d/1hVpFil6kR7u15M6QzNnl2j0mSwoCIUGy", "06-07-2023")</f>
        <v>06-07-2023</v>
      </c>
      <c r="H2" s="5" t="str">
        <f>HYPERLINK("https://docs.google.com/spreadsheets/d/1pm5hLgo_0guXz0w2w5ImhgF0w-qS9ZoW", "25-07-2023")</f>
        <v>25-07-2023</v>
      </c>
      <c r="I2" s="94" t="str">
        <f>Audio!I2</f>
        <v>redelivery-06-07-2023</v>
      </c>
      <c r="J2" s="94" t="str">
        <f>Audio!J2</f>
        <v>25-07-2023</v>
      </c>
      <c r="K2" s="94" t="str">
        <f>Audio!K2</f>
        <v>redelivery-25-07-2023</v>
      </c>
      <c r="L2" s="94" t="str">
        <f>Audio!L2</f>
        <v>20-08-2023</v>
      </c>
      <c r="M2" s="95" t="str">
        <f>Audio!M2</f>
        <v>redelivery-20-08-2023</v>
      </c>
      <c r="N2" s="94" t="str">
        <f>Audio!N2</f>
        <v>29-08-2023</v>
      </c>
      <c r="O2" s="94" t="str">
        <f>Audio!O2</f>
        <v>redelivery-29-08-2023</v>
      </c>
      <c r="P2" s="94" t="str">
        <f>Audio!P2</f>
        <v>14-09-2023</v>
      </c>
      <c r="Q2" s="94" t="str">
        <f>Audio!Q2</f>
        <v>redelivery-14-09-2023</v>
      </c>
      <c r="R2" s="94" t="str">
        <f>Audio!R2</f>
        <v>09-10-2023</v>
      </c>
      <c r="S2" s="94" t="str">
        <f>Audio!S2</f>
        <v>redelivery-09-10-2023</v>
      </c>
      <c r="T2" s="94" t="str">
        <f>Audio!T2</f>
        <v>17-10-2023</v>
      </c>
      <c r="U2" s="95" t="str">
        <f>Audio!U2</f>
        <v>redelivery-17-10-2023</v>
      </c>
      <c r="V2" s="95" t="str">
        <f>Audio!V2</f>
        <v>redelivery-27-12-2023</v>
      </c>
      <c r="W2" s="95" t="str">
        <f>Audio!W2</f>
        <v/>
      </c>
      <c r="X2" s="95" t="str">
        <f>Audio!X2</f>
        <v/>
      </c>
      <c r="Y2" s="95" t="str">
        <f>Audio!Y2</f>
        <v/>
      </c>
      <c r="Z2" s="95" t="str">
        <f>Audio!Z2</f>
        <v/>
      </c>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row>
    <row r="3">
      <c r="A3" s="9" t="s">
        <v>7</v>
      </c>
      <c r="B3" s="10" t="s">
        <v>8</v>
      </c>
      <c r="C3" s="11" t="str">
        <f>HYPERLINK("https://docs.google.com/spreadsheets/d/1Ptm9g6jVoFbpgLko8TxwuIHNGEohCfkP/edit?usp=share_link&amp;ouid=106501987799020758802&amp;rtpof=true&amp;sd=true", "Raw Delivered")</f>
        <v>Raw Delivered</v>
      </c>
      <c r="D3" s="96">
        <f t="shared" ref="D3:D644" si="1">SUM(E3:FH3)</f>
        <v>7747.556029</v>
      </c>
      <c r="E3" s="92">
        <f>(SUBSTITUTE(Audio!E3, "RE-", "", 1))*1</f>
        <v>0</v>
      </c>
      <c r="F3" s="92">
        <f>(SUBSTITUTE(Audio!F3, "RE-", "", 1))*1</f>
        <v>1772.391934</v>
      </c>
      <c r="G3" s="92">
        <f>(SUBSTITUTE(Audio!G3, "RE-", "", 1))*1</f>
        <v>0</v>
      </c>
      <c r="H3" s="92">
        <f>(SUBSTITUTE(Audio!H3, "RE-", "", 1))*1</f>
        <v>178.9545271</v>
      </c>
      <c r="I3" s="92">
        <f>(SUBSTITUTE(Audio!I3, "RE-", "", 1))*1</f>
        <v>0</v>
      </c>
      <c r="J3" s="92">
        <f>(SUBSTITUTE(Audio!J3, "RE-", "", 1))*1</f>
        <v>2364.452319</v>
      </c>
      <c r="K3" s="92">
        <f>(SUBSTITUTE(Audio!K3, "RE-", "", 1))*1</f>
        <v>0</v>
      </c>
      <c r="L3" s="92">
        <f>(SUBSTITUTE(Audio!L3, "RE-", "", 1))*1</f>
        <v>660.5134885</v>
      </c>
      <c r="M3" s="92">
        <f>(SUBSTITUTE(Audio!M3, "RE-", "", 1))*1</f>
        <v>0</v>
      </c>
      <c r="N3" s="92">
        <f>(SUBSTITUTE(Audio!N3, "RE-", "", 1))*1</f>
        <v>1644.56365</v>
      </c>
      <c r="O3" s="92">
        <f>(SUBSTITUTE(Audio!O3, "RE-", "", 1))*1</f>
        <v>0</v>
      </c>
      <c r="P3" s="92">
        <f>(SUBSTITUTE(Audio!P3, "RE-", "", 1))*1</f>
        <v>521.0032906</v>
      </c>
      <c r="Q3" s="92">
        <f>(SUBSTITUTE(Audio!Q3, "RE-", "", 1))*1</f>
        <v>0</v>
      </c>
      <c r="R3" s="92">
        <f>(SUBSTITUTE(Audio!R3, "RE-", "", 1))*1</f>
        <v>229.5084906</v>
      </c>
      <c r="S3" s="92">
        <f>(SUBSTITUTE(Audio!S3, "RE-", "", 1))*1</f>
        <v>0</v>
      </c>
      <c r="T3" s="92">
        <f>(SUBSTITUTE(Audio!T3, "RE-", "", 1))*1</f>
        <v>376.1683292</v>
      </c>
      <c r="U3" s="92">
        <f>(SUBSTITUTE(Audio!U3, "RE-", "", 1))*1</f>
        <v>0</v>
      </c>
      <c r="V3" s="92">
        <f>(SUBSTITUTE(Audio!V3, "RE-", "", 1))*1</f>
        <v>0</v>
      </c>
      <c r="W3" s="92">
        <f>(SUBSTITUTE(Audio!W3, "RE-", "", 1))*1</f>
        <v>0</v>
      </c>
      <c r="X3" s="92">
        <f>(SUBSTITUTE(Audio!X3, "RE-", "", 1))*1</f>
        <v>0</v>
      </c>
      <c r="Y3" s="92">
        <f>(SUBSTITUTE(Audio!Y3, "RE-", "", 1))*1</f>
        <v>0</v>
      </c>
      <c r="Z3" s="92">
        <f>(SUBSTITUTE(Audio!Z3, "RE-", "", 1))*1</f>
        <v>0</v>
      </c>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c r="EY3" s="92"/>
      <c r="EZ3" s="92"/>
      <c r="FA3" s="92"/>
      <c r="FB3" s="92"/>
      <c r="FC3" s="92"/>
      <c r="FD3" s="92"/>
      <c r="FE3" s="92"/>
      <c r="FF3" s="92"/>
      <c r="FG3" s="92"/>
      <c r="FH3" s="92"/>
    </row>
    <row r="4">
      <c r="A4" s="15" t="s">
        <v>7</v>
      </c>
      <c r="B4" s="15" t="s">
        <v>8</v>
      </c>
      <c r="C4" s="15" t="s">
        <v>9</v>
      </c>
      <c r="D4" s="97">
        <f t="shared" si="1"/>
        <v>7747.556029</v>
      </c>
      <c r="E4" s="92">
        <f>(SUBSTITUTE(Audio!E4, "RE-", "", 1))*1</f>
        <v>0</v>
      </c>
      <c r="F4" s="92">
        <f>(SUBSTITUTE(Audio!F4, "RE-", "", 1))*1</f>
        <v>1772.391934</v>
      </c>
      <c r="G4" s="92">
        <f>(SUBSTITUTE(Audio!G4, "RE-", "", 1))*1</f>
        <v>0</v>
      </c>
      <c r="H4" s="92">
        <f>(SUBSTITUTE(Audio!H4, "RE-", "", 1))*1</f>
        <v>178.9545271</v>
      </c>
      <c r="I4" s="92">
        <f>(SUBSTITUTE(Audio!I4, "RE-", "", 1))*1</f>
        <v>0</v>
      </c>
      <c r="J4" s="92">
        <f>(SUBSTITUTE(Audio!J4, "RE-", "", 1))*1</f>
        <v>2364.452319</v>
      </c>
      <c r="K4" s="92">
        <f>(SUBSTITUTE(Audio!K4, "RE-", "", 1))*1</f>
        <v>0</v>
      </c>
      <c r="L4" s="92">
        <f>(SUBSTITUTE(Audio!L4, "RE-", "", 1))*1</f>
        <v>660.5134885</v>
      </c>
      <c r="M4" s="92">
        <f>(SUBSTITUTE(Audio!M4, "RE-", "", 1))*1</f>
        <v>0</v>
      </c>
      <c r="N4" s="92">
        <f>(SUBSTITUTE(Audio!N4, "RE-", "", 1))*1</f>
        <v>1644.56365</v>
      </c>
      <c r="O4" s="92">
        <f>(SUBSTITUTE(Audio!O4, "RE-", "", 1))*1</f>
        <v>0</v>
      </c>
      <c r="P4" s="92">
        <f>(SUBSTITUTE(Audio!P4, "RE-", "", 1))*1</f>
        <v>521.0032906</v>
      </c>
      <c r="Q4" s="92">
        <f>(SUBSTITUTE(Audio!Q4, "RE-", "", 1))*1</f>
        <v>0</v>
      </c>
      <c r="R4" s="92">
        <f>(SUBSTITUTE(Audio!R4, "RE-", "", 1))*1</f>
        <v>229.5084906</v>
      </c>
      <c r="S4" s="92">
        <f>(SUBSTITUTE(Audio!S4, "RE-", "", 1))*1</f>
        <v>0</v>
      </c>
      <c r="T4" s="92">
        <f>(SUBSTITUTE(Audio!T4, "RE-", "", 1))*1</f>
        <v>376.1683292</v>
      </c>
      <c r="U4" s="92">
        <f>(SUBSTITUTE(Audio!U4, "RE-", "", 1))*1</f>
        <v>0</v>
      </c>
      <c r="V4" s="92">
        <f>(SUBSTITUTE(Audio!V4, "RE-", "", 1))*1</f>
        <v>0</v>
      </c>
      <c r="W4" s="92">
        <f>(SUBSTITUTE(Audio!W4, "RE-", "", 1))*1</f>
        <v>0</v>
      </c>
      <c r="X4" s="92">
        <f>(SUBSTITUTE(Audio!X4, "RE-", "", 1))*1</f>
        <v>0</v>
      </c>
      <c r="Y4" s="92">
        <f>(SUBSTITUTE(Audio!Y4, "RE-", "", 1))*1</f>
        <v>0</v>
      </c>
      <c r="Z4" s="92">
        <f>(SUBSTITUTE(Audio!Z4, "RE-", "", 1))*1</f>
        <v>0</v>
      </c>
      <c r="AA4" s="92"/>
      <c r="AB4" s="92"/>
      <c r="AC4" s="92"/>
      <c r="AD4" s="92"/>
      <c r="AE4" s="92"/>
      <c r="AF4" s="92"/>
      <c r="AG4" s="92"/>
      <c r="AH4" s="92"/>
      <c r="AI4" s="92"/>
      <c r="AJ4" s="92"/>
      <c r="AK4" s="92"/>
      <c r="AL4" s="92"/>
      <c r="AM4" s="92"/>
      <c r="AN4" s="92"/>
      <c r="AO4" s="92"/>
      <c r="AP4" s="92"/>
      <c r="AQ4" s="92"/>
      <c r="AR4" s="92"/>
      <c r="AS4" s="92"/>
      <c r="AT4" s="92"/>
      <c r="AU4" s="92"/>
      <c r="AV4" s="92"/>
      <c r="AW4" s="92"/>
      <c r="AX4" s="92"/>
      <c r="AY4" s="92"/>
      <c r="AZ4" s="92"/>
      <c r="BA4" s="92"/>
      <c r="BB4" s="92"/>
      <c r="BC4" s="92"/>
      <c r="BD4" s="92"/>
      <c r="BE4" s="92"/>
      <c r="BF4" s="92"/>
      <c r="BG4" s="92"/>
      <c r="BH4" s="92"/>
      <c r="BI4" s="92"/>
      <c r="BJ4" s="92"/>
      <c r="BK4" s="92"/>
      <c r="BL4" s="92"/>
      <c r="BM4" s="92"/>
      <c r="BN4" s="92"/>
      <c r="BO4" s="92"/>
      <c r="BP4" s="92"/>
      <c r="BQ4" s="92"/>
      <c r="BR4" s="92"/>
      <c r="BS4" s="92"/>
      <c r="BT4" s="92"/>
      <c r="BU4" s="92"/>
      <c r="BV4" s="92"/>
      <c r="BW4" s="92"/>
      <c r="BX4" s="92"/>
      <c r="BY4" s="92"/>
      <c r="BZ4" s="92"/>
      <c r="CA4" s="92"/>
      <c r="CB4" s="92"/>
      <c r="CC4" s="92"/>
      <c r="CD4" s="92"/>
      <c r="CE4" s="92"/>
      <c r="CF4" s="92"/>
      <c r="CG4" s="92"/>
      <c r="CH4" s="92"/>
      <c r="CI4" s="92"/>
      <c r="CJ4" s="92"/>
      <c r="CK4" s="92"/>
      <c r="CL4" s="92"/>
      <c r="CM4" s="92"/>
      <c r="CN4" s="92"/>
      <c r="CO4" s="92"/>
      <c r="CP4" s="92"/>
      <c r="CQ4" s="92"/>
      <c r="CR4" s="92"/>
      <c r="CS4" s="92"/>
      <c r="CT4" s="92"/>
      <c r="CU4" s="92"/>
      <c r="CV4" s="92"/>
      <c r="CW4" s="92"/>
      <c r="CX4" s="92"/>
      <c r="CY4" s="92"/>
      <c r="CZ4" s="92"/>
      <c r="DA4" s="92"/>
      <c r="DB4" s="92"/>
      <c r="DC4" s="92"/>
      <c r="DD4" s="92"/>
      <c r="DE4" s="92"/>
      <c r="DF4" s="92"/>
      <c r="DG4" s="92"/>
      <c r="DH4" s="92"/>
      <c r="DI4" s="92"/>
      <c r="DJ4" s="92"/>
      <c r="DK4" s="92"/>
      <c r="DL4" s="92"/>
      <c r="DM4" s="92"/>
      <c r="DN4" s="92"/>
      <c r="DO4" s="92"/>
      <c r="DP4" s="92"/>
      <c r="DQ4" s="92"/>
      <c r="DR4" s="92"/>
      <c r="DS4" s="92"/>
      <c r="DT4" s="92"/>
      <c r="DU4" s="92"/>
      <c r="DV4" s="92"/>
      <c r="DW4" s="92"/>
      <c r="DX4" s="92"/>
      <c r="DY4" s="92"/>
      <c r="DZ4" s="92"/>
      <c r="EA4" s="92"/>
      <c r="EB4" s="92"/>
      <c r="EC4" s="92"/>
      <c r="ED4" s="92"/>
      <c r="EE4" s="92"/>
      <c r="EF4" s="92"/>
      <c r="EG4" s="92"/>
      <c r="EH4" s="92"/>
      <c r="EI4" s="92"/>
      <c r="EJ4" s="92"/>
      <c r="EK4" s="92"/>
      <c r="EL4" s="92"/>
      <c r="EM4" s="92"/>
      <c r="EN4" s="92"/>
      <c r="EO4" s="92"/>
      <c r="EP4" s="92"/>
      <c r="EQ4" s="92"/>
      <c r="ER4" s="92"/>
      <c r="ES4" s="92"/>
      <c r="ET4" s="92"/>
      <c r="EU4" s="92"/>
      <c r="EV4" s="92"/>
      <c r="EW4" s="92"/>
      <c r="EX4" s="92"/>
      <c r="EY4" s="92"/>
      <c r="EZ4" s="92"/>
      <c r="FA4" s="92"/>
      <c r="FB4" s="92"/>
      <c r="FC4" s="92"/>
      <c r="FD4" s="92"/>
      <c r="FE4" s="92"/>
      <c r="FF4" s="92"/>
      <c r="FG4" s="92"/>
      <c r="FH4" s="92"/>
    </row>
    <row r="5">
      <c r="A5" s="15" t="s">
        <v>7</v>
      </c>
      <c r="B5" s="15" t="s">
        <v>8</v>
      </c>
      <c r="C5" s="22" t="s">
        <v>10</v>
      </c>
      <c r="D5" s="97">
        <f t="shared" si="1"/>
        <v>836.3857177</v>
      </c>
      <c r="E5" s="92">
        <f>(SUBSTITUTE(Audio!E5, "RE-", "", 1))*1</f>
        <v>0</v>
      </c>
      <c r="F5" s="92">
        <f>(SUBSTITUTE(Audio!F5, "RE-", "", 1))*1</f>
        <v>0</v>
      </c>
      <c r="G5" s="92">
        <f>(SUBSTITUTE(Audio!G5, "RE-", "", 1))*1</f>
        <v>160.4817271</v>
      </c>
      <c r="H5" s="92">
        <f>(SUBSTITUTE(Audio!H5, "RE-", "", 1))*1</f>
        <v>0</v>
      </c>
      <c r="I5" s="92">
        <f>(SUBSTITUTE(Audio!I5, "RE-", "", 1))*1</f>
        <v>16.50768958</v>
      </c>
      <c r="J5" s="92">
        <f>(SUBSTITUTE(Audio!J5, "RE-", "", 1))*1</f>
        <v>0</v>
      </c>
      <c r="K5" s="92">
        <f>(SUBSTITUTE(Audio!K5, "RE-", "", 1))*1</f>
        <v>217.8758198</v>
      </c>
      <c r="L5" s="92">
        <f>(SUBSTITUTE(Audio!L5, "RE-", "", 1))*1</f>
        <v>0</v>
      </c>
      <c r="M5" s="92">
        <f>(SUBSTITUTE(Audio!M5, "RE-", "", 1))*1</f>
        <v>43.76412187</v>
      </c>
      <c r="N5" s="92">
        <f>(SUBSTITUTE(Audio!N5, "RE-", "", 1))*1</f>
        <v>0</v>
      </c>
      <c r="O5" s="92">
        <f>(SUBSTITUTE(Audio!O5, "RE-", "", 1))*1</f>
        <v>143.3887531</v>
      </c>
      <c r="P5" s="92">
        <f>(SUBSTITUTE(Audio!P5, "RE-", "", 1))*1</f>
        <v>0</v>
      </c>
      <c r="Q5" s="92">
        <f>(SUBSTITUTE(Audio!Q5, "RE-", "", 1))*1</f>
        <v>160.379176</v>
      </c>
      <c r="R5" s="92">
        <f>(SUBSTITUTE(Audio!R5, "RE-", "", 1))*1</f>
        <v>0</v>
      </c>
      <c r="S5" s="92">
        <f>(SUBSTITUTE(Audio!S5, "RE-", "", 1))*1</f>
        <v>32.66532917</v>
      </c>
      <c r="T5" s="92">
        <f>(SUBSTITUTE(Audio!T5, "RE-", "", 1))*1</f>
        <v>0</v>
      </c>
      <c r="U5" s="92">
        <f>(SUBSTITUTE(Audio!U5, "RE-", "", 1))*1</f>
        <v>58.40792812</v>
      </c>
      <c r="V5" s="92">
        <f>(SUBSTITUTE(Audio!V5, "RE-", "", 1))*1</f>
        <v>2.915172917</v>
      </c>
      <c r="W5" s="92">
        <f>(SUBSTITUTE(Audio!W5, "RE-", "", 1))*1</f>
        <v>0</v>
      </c>
      <c r="X5" s="92">
        <f>(SUBSTITUTE(Audio!X5, "RE-", "", 1))*1</f>
        <v>0</v>
      </c>
      <c r="Y5" s="92">
        <f>(SUBSTITUTE(Audio!Y5, "RE-", "", 1))*1</f>
        <v>0</v>
      </c>
      <c r="Z5" s="92">
        <f>(SUBSTITUTE(Audio!Z5, "RE-", "", 1))*1</f>
        <v>0</v>
      </c>
      <c r="AA5" s="92"/>
      <c r="AB5" s="92"/>
      <c r="AC5" s="92"/>
      <c r="AD5" s="92"/>
      <c r="AE5" s="92"/>
      <c r="AF5" s="92"/>
      <c r="AG5" s="92"/>
      <c r="AH5" s="92"/>
      <c r="AI5" s="92"/>
      <c r="AJ5" s="92"/>
      <c r="AK5" s="92"/>
      <c r="AL5" s="92"/>
      <c r="AM5" s="92"/>
      <c r="AN5" s="92"/>
      <c r="AO5" s="92"/>
      <c r="AP5" s="92"/>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c r="DI5" s="92"/>
      <c r="DJ5" s="92"/>
      <c r="DK5" s="92"/>
      <c r="DL5" s="92"/>
      <c r="DM5" s="92"/>
      <c r="DN5" s="92"/>
      <c r="DO5" s="92"/>
      <c r="DP5" s="92"/>
      <c r="DQ5" s="92"/>
      <c r="DR5" s="92"/>
      <c r="DS5" s="92"/>
      <c r="DT5" s="92"/>
      <c r="DU5" s="92"/>
      <c r="DV5" s="92"/>
      <c r="DW5" s="92"/>
      <c r="DX5" s="92"/>
      <c r="DY5" s="92"/>
      <c r="DZ5" s="92"/>
      <c r="EA5" s="92"/>
      <c r="EB5" s="92"/>
      <c r="EC5" s="92"/>
      <c r="ED5" s="92"/>
      <c r="EE5" s="92"/>
      <c r="EF5" s="92"/>
      <c r="EG5" s="92"/>
      <c r="EH5" s="92"/>
      <c r="EI5" s="92"/>
      <c r="EJ5" s="92"/>
      <c r="EK5" s="92"/>
      <c r="EL5" s="92"/>
      <c r="EM5" s="92"/>
      <c r="EN5" s="92"/>
      <c r="EO5" s="92"/>
      <c r="EP5" s="92"/>
      <c r="EQ5" s="92"/>
      <c r="ER5" s="92"/>
      <c r="ES5" s="92"/>
      <c r="ET5" s="92"/>
      <c r="EU5" s="92"/>
      <c r="EV5" s="92"/>
      <c r="EW5" s="92"/>
      <c r="EX5" s="92"/>
      <c r="EY5" s="92"/>
      <c r="EZ5" s="92"/>
      <c r="FA5" s="92"/>
      <c r="FB5" s="92"/>
      <c r="FC5" s="92"/>
      <c r="FD5" s="92"/>
      <c r="FE5" s="92"/>
      <c r="FF5" s="92"/>
      <c r="FG5" s="92"/>
      <c r="FH5" s="92"/>
    </row>
    <row r="6">
      <c r="A6" s="24" t="s">
        <v>7</v>
      </c>
      <c r="B6" s="24" t="s">
        <v>8</v>
      </c>
      <c r="C6" s="24" t="s">
        <v>11</v>
      </c>
      <c r="D6" s="97">
        <f t="shared" si="1"/>
        <v>836.3857177</v>
      </c>
      <c r="E6" s="92">
        <f>(SUBSTITUTE(Audio!E6, "RE-", "", 1))*1</f>
        <v>0</v>
      </c>
      <c r="F6" s="92">
        <f>(SUBSTITUTE(Audio!F6, "RE-", "", 1))*1</f>
        <v>0</v>
      </c>
      <c r="G6" s="92">
        <f>(SUBSTITUTE(Audio!G6, "RE-", "", 1))*1</f>
        <v>160.4817271</v>
      </c>
      <c r="H6" s="92">
        <f>(SUBSTITUTE(Audio!H6, "RE-", "", 1))*1</f>
        <v>0</v>
      </c>
      <c r="I6" s="92">
        <f>(SUBSTITUTE(Audio!I6, "RE-", "", 1))*1</f>
        <v>16.50768958</v>
      </c>
      <c r="J6" s="92">
        <f>(SUBSTITUTE(Audio!J6, "RE-", "", 1))*1</f>
        <v>0</v>
      </c>
      <c r="K6" s="92">
        <f>(SUBSTITUTE(Audio!K6, "RE-", "", 1))*1</f>
        <v>217.8758198</v>
      </c>
      <c r="L6" s="92">
        <f>(SUBSTITUTE(Audio!L6, "RE-", "", 1))*1</f>
        <v>0</v>
      </c>
      <c r="M6" s="92">
        <f>(SUBSTITUTE(Audio!M6, "RE-", "", 1))*1</f>
        <v>43.76412187</v>
      </c>
      <c r="N6" s="92">
        <f>(SUBSTITUTE(Audio!N6, "RE-", "", 1))*1</f>
        <v>0</v>
      </c>
      <c r="O6" s="92">
        <f>(SUBSTITUTE(Audio!O6, "RE-", "", 1))*1</f>
        <v>143.3887531</v>
      </c>
      <c r="P6" s="92">
        <f>(SUBSTITUTE(Audio!P6, "RE-", "", 1))*1</f>
        <v>0</v>
      </c>
      <c r="Q6" s="92">
        <f>(SUBSTITUTE(Audio!Q6, "RE-", "", 1))*1</f>
        <v>160.379176</v>
      </c>
      <c r="R6" s="92">
        <f>(SUBSTITUTE(Audio!R6, "RE-", "", 1))*1</f>
        <v>0</v>
      </c>
      <c r="S6" s="92">
        <f>(SUBSTITUTE(Audio!S6, "RE-", "", 1))*1</f>
        <v>32.66532917</v>
      </c>
      <c r="T6" s="92">
        <f>(SUBSTITUTE(Audio!T6, "RE-", "", 1))*1</f>
        <v>0</v>
      </c>
      <c r="U6" s="92">
        <f>(SUBSTITUTE(Audio!U6, "RE-", "", 1))*1</f>
        <v>58.40792812</v>
      </c>
      <c r="V6" s="92">
        <f>(SUBSTITUTE(Audio!V6, "RE-", "", 1))*1</f>
        <v>2.915172917</v>
      </c>
      <c r="W6" s="92">
        <f>(SUBSTITUTE(Audio!W6, "RE-", "", 1))*1</f>
        <v>0</v>
      </c>
      <c r="X6" s="92">
        <f>(SUBSTITUTE(Audio!X6, "RE-", "", 1))*1</f>
        <v>0</v>
      </c>
      <c r="Y6" s="92">
        <f>(SUBSTITUTE(Audio!Y6, "RE-", "", 1))*1</f>
        <v>0</v>
      </c>
      <c r="Z6" s="92">
        <f>(SUBSTITUTE(Audio!Z6, "RE-", "", 1))*1</f>
        <v>0</v>
      </c>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c r="CF6" s="92"/>
      <c r="CG6" s="92"/>
      <c r="CH6" s="92"/>
      <c r="CI6" s="92"/>
      <c r="CJ6" s="92"/>
      <c r="CK6" s="92"/>
      <c r="CL6" s="92"/>
      <c r="CM6" s="92"/>
      <c r="CN6" s="92"/>
      <c r="CO6" s="92"/>
      <c r="CP6" s="92"/>
      <c r="CQ6" s="92"/>
      <c r="CR6" s="92"/>
      <c r="CS6" s="92"/>
      <c r="CT6" s="92"/>
      <c r="CU6" s="92"/>
      <c r="CV6" s="92"/>
      <c r="CW6" s="92"/>
      <c r="CX6" s="92"/>
      <c r="CY6" s="92"/>
      <c r="CZ6" s="92"/>
      <c r="DA6" s="92"/>
      <c r="DB6" s="92"/>
      <c r="DC6" s="92"/>
      <c r="DD6" s="92"/>
      <c r="DE6" s="92"/>
      <c r="DF6" s="92"/>
      <c r="DG6" s="92"/>
      <c r="DH6" s="92"/>
      <c r="DI6" s="92"/>
      <c r="DJ6" s="92"/>
      <c r="DK6" s="92"/>
      <c r="DL6" s="92"/>
      <c r="DM6" s="92"/>
      <c r="DN6" s="92"/>
      <c r="DO6" s="92"/>
      <c r="DP6" s="92"/>
      <c r="DQ6" s="92"/>
      <c r="DR6" s="92"/>
      <c r="DS6" s="92"/>
      <c r="DT6" s="92"/>
      <c r="DU6" s="92"/>
      <c r="DV6" s="92"/>
      <c r="DW6" s="92"/>
      <c r="DX6" s="92"/>
      <c r="DY6" s="92"/>
      <c r="DZ6" s="92"/>
      <c r="EA6" s="92"/>
      <c r="EB6" s="92"/>
      <c r="EC6" s="92"/>
      <c r="ED6" s="92"/>
      <c r="EE6" s="92"/>
      <c r="EF6" s="92"/>
      <c r="EG6" s="92"/>
      <c r="EH6" s="92"/>
      <c r="EI6" s="92"/>
      <c r="EJ6" s="92"/>
      <c r="EK6" s="92"/>
      <c r="EL6" s="92"/>
      <c r="EM6" s="92"/>
      <c r="EN6" s="92"/>
      <c r="EO6" s="92"/>
      <c r="EP6" s="92"/>
      <c r="EQ6" s="92"/>
      <c r="ER6" s="92"/>
      <c r="ES6" s="92"/>
      <c r="ET6" s="92"/>
      <c r="EU6" s="92"/>
      <c r="EV6" s="92"/>
      <c r="EW6" s="92"/>
      <c r="EX6" s="92"/>
      <c r="EY6" s="92"/>
      <c r="EZ6" s="92"/>
      <c r="FA6" s="92"/>
      <c r="FB6" s="92"/>
      <c r="FC6" s="92"/>
      <c r="FD6" s="92"/>
      <c r="FE6" s="92"/>
      <c r="FF6" s="92"/>
      <c r="FG6" s="92"/>
      <c r="FH6" s="92"/>
    </row>
    <row r="7">
      <c r="A7" s="24" t="s">
        <v>7</v>
      </c>
      <c r="B7" s="24" t="s">
        <v>8</v>
      </c>
      <c r="C7" s="24" t="s">
        <v>12</v>
      </c>
      <c r="D7" s="97">
        <f t="shared" si="1"/>
        <v>6265.888417</v>
      </c>
      <c r="E7" s="92">
        <f>(SUBSTITUTE(Audio!E7, "RE-", "", 1))*1</f>
        <v>0</v>
      </c>
      <c r="F7" s="92">
        <f>(SUBSTITUTE(Audio!F7, "RE-", "", 1))*1</f>
        <v>1470.444815</v>
      </c>
      <c r="G7" s="92">
        <f>(SUBSTITUTE(Audio!G7, "RE-", "", 1))*1</f>
        <v>7.542935417</v>
      </c>
      <c r="H7" s="92">
        <f>(SUBSTITUTE(Audio!H7, "RE-", "", 1))*1</f>
        <v>167.4213146</v>
      </c>
      <c r="I7" s="92">
        <f>(SUBSTITUTE(Audio!I7, "RE-", "", 1))*1</f>
        <v>0.5626208333</v>
      </c>
      <c r="J7" s="92">
        <f>(SUBSTITUTE(Audio!J7, "RE-", "", 1))*1</f>
        <v>1825.084452</v>
      </c>
      <c r="K7" s="92">
        <f>(SUBSTITUTE(Audio!K7, "RE-", "", 1))*1</f>
        <v>8.843414583</v>
      </c>
      <c r="L7" s="92">
        <f>(SUBSTITUTE(Audio!L7, "RE-", "", 1))*1</f>
        <v>578.64205</v>
      </c>
      <c r="M7" s="92">
        <f>(SUBSTITUTE(Audio!M7, "RE-", "", 1))*1</f>
        <v>4.547079167</v>
      </c>
      <c r="N7" s="92">
        <f>(SUBSTITUTE(Audio!N7, "RE-", "", 1))*1</f>
        <v>1012.140626</v>
      </c>
      <c r="O7" s="92">
        <f>(SUBSTITUTE(Audio!O7, "RE-", "", 1))*1</f>
        <v>14.37752917</v>
      </c>
      <c r="P7" s="92">
        <f>(SUBSTITUTE(Audio!P7, "RE-", "", 1))*1</f>
        <v>477.1014448</v>
      </c>
      <c r="Q7" s="92">
        <f>(SUBSTITUTE(Audio!Q7, "RE-", "", 1))*1</f>
        <v>70.39258854</v>
      </c>
      <c r="R7" s="92">
        <f>(SUBSTITUTE(Audio!R7, "RE-", "", 1))*1</f>
        <v>214.3814437</v>
      </c>
      <c r="S7" s="92">
        <f>(SUBSTITUTE(Audio!S7, "RE-", "", 1))*1</f>
        <v>17.12807708</v>
      </c>
      <c r="T7" s="92">
        <f>(SUBSTITUTE(Audio!T7, "RE-", "", 1))*1</f>
        <v>363.0134115</v>
      </c>
      <c r="U7" s="92">
        <f>(SUBSTITUTE(Audio!U7, "RE-", "", 1))*1</f>
        <v>31.98461875</v>
      </c>
      <c r="V7" s="92">
        <f>(SUBSTITUTE(Audio!V7, "RE-", "", 1))*1</f>
        <v>2.279995833</v>
      </c>
      <c r="W7" s="92">
        <f>(SUBSTITUTE(Audio!W7, "RE-", "", 1))*1</f>
        <v>0</v>
      </c>
      <c r="X7" s="92">
        <f>(SUBSTITUTE(Audio!X7, "RE-", "", 1))*1</f>
        <v>0</v>
      </c>
      <c r="Y7" s="92">
        <f>(SUBSTITUTE(Audio!Y7, "RE-", "", 1))*1</f>
        <v>0</v>
      </c>
      <c r="Z7" s="92">
        <f>(SUBSTITUTE(Audio!Z7, "RE-", "", 1))*1</f>
        <v>0</v>
      </c>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c r="BT7" s="92"/>
      <c r="BU7" s="92"/>
      <c r="BV7" s="92"/>
      <c r="BW7" s="92"/>
      <c r="BX7" s="92"/>
      <c r="BY7" s="92"/>
      <c r="BZ7" s="92"/>
      <c r="CA7" s="92"/>
      <c r="CB7" s="92"/>
      <c r="CC7" s="92"/>
      <c r="CD7" s="92"/>
      <c r="CE7" s="92"/>
      <c r="CF7" s="92"/>
      <c r="CG7" s="92"/>
      <c r="CH7" s="92"/>
      <c r="CI7" s="92"/>
      <c r="CJ7" s="92"/>
      <c r="CK7" s="92"/>
      <c r="CL7" s="92"/>
      <c r="CM7" s="92"/>
      <c r="CN7" s="92"/>
      <c r="CO7" s="92"/>
      <c r="CP7" s="92"/>
      <c r="CQ7" s="92"/>
      <c r="CR7" s="92"/>
      <c r="CS7" s="92"/>
      <c r="CT7" s="92"/>
      <c r="CU7" s="92"/>
      <c r="CV7" s="92"/>
      <c r="CW7" s="92"/>
      <c r="CX7" s="92"/>
      <c r="CY7" s="92"/>
      <c r="CZ7" s="92"/>
      <c r="DA7" s="92"/>
      <c r="DB7" s="92"/>
      <c r="DC7" s="92"/>
      <c r="DD7" s="92"/>
      <c r="DE7" s="92"/>
      <c r="DF7" s="92"/>
      <c r="DG7" s="92"/>
      <c r="DH7" s="92"/>
      <c r="DI7" s="92"/>
      <c r="DJ7" s="92"/>
      <c r="DK7" s="92"/>
      <c r="DL7" s="92"/>
      <c r="DM7" s="92"/>
      <c r="DN7" s="92"/>
      <c r="DO7" s="92"/>
      <c r="DP7" s="92"/>
      <c r="DQ7" s="92"/>
      <c r="DR7" s="92"/>
      <c r="DS7" s="92"/>
      <c r="DT7" s="92"/>
      <c r="DU7" s="92"/>
      <c r="DV7" s="92"/>
      <c r="DW7" s="92"/>
      <c r="DX7" s="92"/>
      <c r="DY7" s="92"/>
      <c r="DZ7" s="92"/>
      <c r="EA7" s="92"/>
      <c r="EB7" s="92"/>
      <c r="EC7" s="92"/>
      <c r="ED7" s="92"/>
      <c r="EE7" s="92"/>
      <c r="EF7" s="92"/>
      <c r="EG7" s="92"/>
      <c r="EH7" s="92"/>
      <c r="EI7" s="92"/>
      <c r="EJ7" s="92"/>
      <c r="EK7" s="92"/>
      <c r="EL7" s="92"/>
      <c r="EM7" s="92"/>
      <c r="EN7" s="92"/>
      <c r="EO7" s="92"/>
      <c r="EP7" s="92"/>
      <c r="EQ7" s="92"/>
      <c r="ER7" s="92"/>
      <c r="ES7" s="92"/>
      <c r="ET7" s="92"/>
      <c r="EU7" s="92"/>
      <c r="EV7" s="92"/>
      <c r="EW7" s="92"/>
      <c r="EX7" s="92"/>
      <c r="EY7" s="92"/>
      <c r="EZ7" s="92"/>
      <c r="FA7" s="92"/>
      <c r="FB7" s="92"/>
      <c r="FC7" s="92"/>
      <c r="FD7" s="92"/>
      <c r="FE7" s="92"/>
      <c r="FF7" s="92"/>
      <c r="FG7" s="92"/>
      <c r="FH7" s="92"/>
    </row>
    <row r="8">
      <c r="A8" s="25" t="s">
        <v>7</v>
      </c>
      <c r="B8" s="25" t="s">
        <v>8</v>
      </c>
      <c r="C8" s="25" t="s">
        <v>13</v>
      </c>
      <c r="D8" s="97">
        <f t="shared" si="1"/>
        <v>6033.651623</v>
      </c>
      <c r="E8" s="92">
        <f>(SUBSTITUTE(Audio!E8, "RE-", "", 1))*1</f>
        <v>0</v>
      </c>
      <c r="F8" s="92">
        <f>(SUBSTITUTE(Audio!F8, "RE-", "", 1))*1</f>
        <v>1420.55</v>
      </c>
      <c r="G8" s="92">
        <f>(SUBSTITUTE(Audio!G8, "RE-", "", 1))*1</f>
        <v>7.22458</v>
      </c>
      <c r="H8" s="92">
        <f>(SUBSTITUTE(Audio!H8, "RE-", "", 1))*1</f>
        <v>161.596</v>
      </c>
      <c r="I8" s="92">
        <f>(SUBSTITUTE(Audio!I8, "RE-", "", 1))*1</f>
        <v>0.517983</v>
      </c>
      <c r="J8" s="92">
        <f>(SUBSTITUTE(Audio!J8, "RE-", "", 1))*1</f>
        <v>1764.22</v>
      </c>
      <c r="K8" s="92">
        <f>(SUBSTITUTE(Audio!K8, "RE-", "", 1))*1</f>
        <v>8.41303</v>
      </c>
      <c r="L8" s="92">
        <f>(SUBSTITUTE(Audio!L8, "RE-", "", 1))*1</f>
        <v>552.456</v>
      </c>
      <c r="M8" s="92">
        <f>(SUBSTITUTE(Audio!M8, "RE-", "", 1))*1</f>
        <v>4.32318</v>
      </c>
      <c r="N8" s="92">
        <f>(SUBSTITUTE(Audio!N8, "RE-", "", 1))*1</f>
        <v>975.629</v>
      </c>
      <c r="O8" s="92">
        <f>(SUBSTITUTE(Audio!O8, "RE-", "", 1))*1</f>
        <v>13.6534</v>
      </c>
      <c r="P8" s="92">
        <f>(SUBSTITUTE(Audio!P8, "RE-", "", 1))*1</f>
        <v>455.101</v>
      </c>
      <c r="Q8" s="92">
        <f>(SUBSTITUTE(Audio!Q8, "RE-", "", 1))*1</f>
        <v>66.6287</v>
      </c>
      <c r="R8" s="92">
        <f>(SUBSTITUTE(Audio!R8, "RE-", "", 1))*1</f>
        <v>204.823</v>
      </c>
      <c r="S8" s="92">
        <f>(SUBSTITUTE(Audio!S8, "RE-", "", 1))*1</f>
        <v>16.2194</v>
      </c>
      <c r="T8" s="92">
        <f>(SUBSTITUTE(Audio!T8, "RE-", "", 1))*1</f>
        <v>349.754</v>
      </c>
      <c r="U8" s="92">
        <f>(SUBSTITUTE(Audio!U8, "RE-", "", 1))*1</f>
        <v>30.439</v>
      </c>
      <c r="V8" s="92">
        <f>(SUBSTITUTE(Audio!V8, "RE-", "", 1))*1</f>
        <v>2.10335</v>
      </c>
      <c r="W8" s="92">
        <f>(SUBSTITUTE(Audio!W8, "RE-", "", 1))*1</f>
        <v>0</v>
      </c>
      <c r="X8" s="92">
        <f>(SUBSTITUTE(Audio!X8, "RE-", "", 1))*1</f>
        <v>0</v>
      </c>
      <c r="Y8" s="92">
        <f>(SUBSTITUTE(Audio!Y8, "RE-", "", 1))*1</f>
        <v>0</v>
      </c>
      <c r="Z8" s="92">
        <f>(SUBSTITUTE(Audio!Z8, "RE-", "", 1))*1</f>
        <v>0</v>
      </c>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92"/>
      <c r="DB8" s="92"/>
      <c r="DC8" s="92"/>
      <c r="DD8" s="92"/>
      <c r="DE8" s="92"/>
      <c r="DF8" s="92"/>
      <c r="DG8" s="92"/>
      <c r="DH8" s="92"/>
      <c r="DI8" s="92"/>
      <c r="DJ8" s="92"/>
      <c r="DK8" s="92"/>
      <c r="DL8" s="92"/>
      <c r="DM8" s="92"/>
      <c r="DN8" s="92"/>
      <c r="DO8" s="92"/>
      <c r="DP8" s="92"/>
      <c r="DQ8" s="92"/>
      <c r="DR8" s="92"/>
      <c r="DS8" s="92"/>
      <c r="DT8" s="92"/>
      <c r="DU8" s="92"/>
      <c r="DV8" s="92"/>
      <c r="DW8" s="92"/>
      <c r="DX8" s="92"/>
      <c r="DY8" s="92"/>
      <c r="DZ8" s="92"/>
      <c r="EA8" s="92"/>
      <c r="EB8" s="92"/>
      <c r="EC8" s="92"/>
      <c r="ED8" s="92"/>
      <c r="EE8" s="92"/>
      <c r="EF8" s="92"/>
      <c r="EG8" s="92"/>
      <c r="EH8" s="92"/>
      <c r="EI8" s="92"/>
      <c r="EJ8" s="92"/>
      <c r="EK8" s="92"/>
      <c r="EL8" s="92"/>
      <c r="EM8" s="92"/>
      <c r="EN8" s="92"/>
      <c r="EO8" s="92"/>
      <c r="EP8" s="92"/>
      <c r="EQ8" s="92"/>
      <c r="ER8" s="92"/>
      <c r="ES8" s="92"/>
      <c r="ET8" s="92"/>
      <c r="EU8" s="92"/>
      <c r="EV8" s="92"/>
      <c r="EW8" s="92"/>
      <c r="EX8" s="92"/>
      <c r="EY8" s="92"/>
      <c r="EZ8" s="92"/>
      <c r="FA8" s="92"/>
      <c r="FB8" s="92"/>
      <c r="FC8" s="92"/>
      <c r="FD8" s="92"/>
      <c r="FE8" s="92"/>
      <c r="FF8" s="92"/>
      <c r="FG8" s="92"/>
      <c r="FH8" s="92"/>
    </row>
    <row r="9">
      <c r="A9" s="25" t="s">
        <v>7</v>
      </c>
      <c r="B9" s="25" t="s">
        <v>8</v>
      </c>
      <c r="C9" s="25" t="s">
        <v>14</v>
      </c>
      <c r="D9" s="97">
        <f t="shared" si="1"/>
        <v>5318.077973</v>
      </c>
      <c r="E9" s="92">
        <f>(SUBSTITUTE(Audio!E9, "RE-", "", 1))*1</f>
        <v>0</v>
      </c>
      <c r="F9" s="92">
        <f>(SUBSTITUTE(Audio!F9, "RE-", "", 1))*1</f>
        <v>1255.35</v>
      </c>
      <c r="G9" s="92">
        <f>(SUBSTITUTE(Audio!G9, "RE-", "", 1))*1</f>
        <v>6.81533</v>
      </c>
      <c r="H9" s="92">
        <f>(SUBSTITUTE(Audio!H9, "RE-", "", 1))*1</f>
        <v>136.85</v>
      </c>
      <c r="I9" s="92">
        <f>(SUBSTITUTE(Audio!I9, "RE-", "", 1))*1</f>
        <v>0.421833</v>
      </c>
      <c r="J9" s="92">
        <f>(SUBSTITUTE(Audio!J9, "RE-", "", 1))*1</f>
        <v>1626.51</v>
      </c>
      <c r="K9" s="92">
        <f>(SUBSTITUTE(Audio!K9, "RE-", "", 1))*1</f>
        <v>8.33943</v>
      </c>
      <c r="L9" s="92">
        <f>(SUBSTITUTE(Audio!L9, "RE-", "", 1))*1</f>
        <v>469.47</v>
      </c>
      <c r="M9" s="92">
        <f>(SUBSTITUTE(Audio!M9, "RE-", "", 1))*1</f>
        <v>3.89493</v>
      </c>
      <c r="N9" s="92">
        <f>(SUBSTITUTE(Audio!N9, "RE-", "", 1))*1</f>
        <v>839.295</v>
      </c>
      <c r="O9" s="92">
        <f>(SUBSTITUTE(Audio!O9, "RE-", "", 1))*1</f>
        <v>12.8515</v>
      </c>
      <c r="P9" s="92">
        <f>(SUBSTITUTE(Audio!P9, "RE-", "", 1))*1</f>
        <v>390.621</v>
      </c>
      <c r="Q9" s="92">
        <f>(SUBSTITUTE(Audio!Q9, "RE-", "", 1))*1</f>
        <v>57.008</v>
      </c>
      <c r="R9" s="92">
        <f>(SUBSTITUTE(Audio!R9, "RE-", "", 1))*1</f>
        <v>172.882</v>
      </c>
      <c r="S9" s="92">
        <f>(SUBSTITUTE(Audio!S9, "RE-", "", 1))*1</f>
        <v>15.0016</v>
      </c>
      <c r="T9" s="92">
        <f>(SUBSTITUTE(Audio!T9, "RE-", "", 1))*1</f>
        <v>293.425</v>
      </c>
      <c r="U9" s="92">
        <f>(SUBSTITUTE(Audio!U9, "RE-", "", 1))*1</f>
        <v>27.239</v>
      </c>
      <c r="V9" s="92">
        <f>(SUBSTITUTE(Audio!V9, "RE-", "", 1))*1</f>
        <v>2.10335</v>
      </c>
      <c r="W9" s="92">
        <f>(SUBSTITUTE(Audio!W9, "RE-", "", 1))*1</f>
        <v>0</v>
      </c>
      <c r="X9" s="92">
        <f>(SUBSTITUTE(Audio!X9, "RE-", "", 1))*1</f>
        <v>0</v>
      </c>
      <c r="Y9" s="92">
        <f>(SUBSTITUTE(Audio!Y9, "RE-", "", 1))*1</f>
        <v>0</v>
      </c>
      <c r="Z9" s="92">
        <f>(SUBSTITUTE(Audio!Z9, "RE-", "", 1))*1</f>
        <v>0</v>
      </c>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c r="CF9" s="92"/>
      <c r="CG9" s="92"/>
      <c r="CH9" s="92"/>
      <c r="CI9" s="92"/>
      <c r="CJ9" s="92"/>
      <c r="CK9" s="92"/>
      <c r="CL9" s="92"/>
      <c r="CM9" s="92"/>
      <c r="CN9" s="92"/>
      <c r="CO9" s="92"/>
      <c r="CP9" s="92"/>
      <c r="CQ9" s="92"/>
      <c r="CR9" s="92"/>
      <c r="CS9" s="92"/>
      <c r="CT9" s="92"/>
      <c r="CU9" s="92"/>
      <c r="CV9" s="92"/>
      <c r="CW9" s="92"/>
      <c r="CX9" s="92"/>
      <c r="CY9" s="92"/>
      <c r="CZ9" s="92"/>
      <c r="DA9" s="92"/>
      <c r="DB9" s="92"/>
      <c r="DC9" s="92"/>
      <c r="DD9" s="92"/>
      <c r="DE9" s="92"/>
      <c r="DF9" s="92"/>
      <c r="DG9" s="92"/>
      <c r="DH9" s="92"/>
      <c r="DI9" s="92"/>
      <c r="DJ9" s="92"/>
      <c r="DK9" s="92"/>
      <c r="DL9" s="92"/>
      <c r="DM9" s="92"/>
      <c r="DN9" s="92"/>
      <c r="DO9" s="92"/>
      <c r="DP9" s="92"/>
      <c r="DQ9" s="92"/>
      <c r="DR9" s="92"/>
      <c r="DS9" s="92"/>
      <c r="DT9" s="92"/>
      <c r="DU9" s="92"/>
      <c r="DV9" s="92"/>
      <c r="DW9" s="92"/>
      <c r="DX9" s="92"/>
      <c r="DY9" s="92"/>
      <c r="DZ9" s="92"/>
      <c r="EA9" s="92"/>
      <c r="EB9" s="92"/>
      <c r="EC9" s="92"/>
      <c r="ED9" s="92"/>
      <c r="EE9" s="92"/>
      <c r="EF9" s="92"/>
      <c r="EG9" s="92"/>
      <c r="EH9" s="92"/>
      <c r="EI9" s="92"/>
      <c r="EJ9" s="92"/>
      <c r="EK9" s="92"/>
      <c r="EL9" s="92"/>
      <c r="EM9" s="92"/>
      <c r="EN9" s="92"/>
      <c r="EO9" s="92"/>
      <c r="EP9" s="92"/>
      <c r="EQ9" s="92"/>
      <c r="ER9" s="92"/>
      <c r="ES9" s="92"/>
      <c r="ET9" s="92"/>
      <c r="EU9" s="92"/>
      <c r="EV9" s="92"/>
      <c r="EW9" s="92"/>
      <c r="EX9" s="92"/>
      <c r="EY9" s="92"/>
      <c r="EZ9" s="92"/>
      <c r="FA9" s="92"/>
      <c r="FB9" s="92"/>
      <c r="FC9" s="92"/>
      <c r="FD9" s="92"/>
      <c r="FE9" s="92"/>
      <c r="FF9" s="92"/>
      <c r="FG9" s="92"/>
      <c r="FH9" s="92"/>
    </row>
    <row r="10">
      <c r="A10" s="27" t="s">
        <v>7</v>
      </c>
      <c r="B10" s="27" t="s">
        <v>8</v>
      </c>
      <c r="C10" s="27" t="s">
        <v>15</v>
      </c>
      <c r="D10" s="98">
        <f t="shared" si="1"/>
        <v>6032.892623</v>
      </c>
      <c r="E10" s="92">
        <f>(SUBSTITUTE(Audio!E10, "RE-", "", 1))*1</f>
        <v>0</v>
      </c>
      <c r="F10" s="92">
        <f>(SUBSTITUTE(Audio!F10, "RE-", "", 1))*1</f>
        <v>1420.24</v>
      </c>
      <c r="G10" s="92">
        <f>(SUBSTITUTE(Audio!G10, "RE-", "", 1))*1</f>
        <v>7.22458</v>
      </c>
      <c r="H10" s="92">
        <f>(SUBSTITUTE(Audio!H10, "RE-", "", 1))*1</f>
        <v>161.596</v>
      </c>
      <c r="I10" s="92">
        <f>(SUBSTITUTE(Audio!I10, "RE-", "", 1))*1</f>
        <v>0.517983</v>
      </c>
      <c r="J10" s="92">
        <f>(SUBSTITUTE(Audio!J10, "RE-", "", 1))*1</f>
        <v>1764.22</v>
      </c>
      <c r="K10" s="92">
        <f>(SUBSTITUTE(Audio!K10, "RE-", "", 1))*1</f>
        <v>8.41303</v>
      </c>
      <c r="L10" s="92">
        <f>(SUBSTITUTE(Audio!L10, "RE-", "", 1))*1</f>
        <v>552.007</v>
      </c>
      <c r="M10" s="92">
        <f>(SUBSTITUTE(Audio!M10, "RE-", "", 1))*1</f>
        <v>4.32318</v>
      </c>
      <c r="N10" s="92">
        <f>(SUBSTITUTE(Audio!N10, "RE-", "", 1))*1</f>
        <v>975.629</v>
      </c>
      <c r="O10" s="92">
        <f>(SUBSTITUTE(Audio!O10, "RE-", "", 1))*1</f>
        <v>13.6534</v>
      </c>
      <c r="P10" s="92">
        <f>(SUBSTITUTE(Audio!P10, "RE-", "", 1))*1</f>
        <v>455.101</v>
      </c>
      <c r="Q10" s="92">
        <f>(SUBSTITUTE(Audio!Q10, "RE-", "", 1))*1</f>
        <v>66.6287</v>
      </c>
      <c r="R10" s="92">
        <f>(SUBSTITUTE(Audio!R10, "RE-", "", 1))*1</f>
        <v>204.823</v>
      </c>
      <c r="S10" s="92">
        <f>(SUBSTITUTE(Audio!S10, "RE-", "", 1))*1</f>
        <v>16.2194</v>
      </c>
      <c r="T10" s="92">
        <f>(SUBSTITUTE(Audio!T10, "RE-", "", 1))*1</f>
        <v>349.754</v>
      </c>
      <c r="U10" s="92">
        <f>(SUBSTITUTE(Audio!U10, "RE-", "", 1))*1</f>
        <v>30.439</v>
      </c>
      <c r="V10" s="92">
        <f>(SUBSTITUTE(Audio!V10, "RE-", "", 1))*1</f>
        <v>2.10335</v>
      </c>
      <c r="W10" s="92">
        <f>(SUBSTITUTE(Audio!W10, "RE-", "", 1))*1</f>
        <v>0</v>
      </c>
      <c r="X10" s="92">
        <f>(SUBSTITUTE(Audio!X10, "RE-", "", 1))*1</f>
        <v>0</v>
      </c>
      <c r="Y10" s="92">
        <f>(SUBSTITUTE(Audio!Y10, "RE-", "", 1))*1</f>
        <v>0</v>
      </c>
      <c r="Z10" s="92">
        <f>(SUBSTITUTE(Audio!Z10, "RE-", "", 1))*1</f>
        <v>0</v>
      </c>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c r="CF10" s="92"/>
      <c r="CG10" s="92"/>
      <c r="CH10" s="92"/>
      <c r="CI10" s="92"/>
      <c r="CJ10" s="92"/>
      <c r="CK10" s="92"/>
      <c r="CL10" s="92"/>
      <c r="CM10" s="92"/>
      <c r="CN10" s="92"/>
      <c r="CO10" s="92"/>
      <c r="CP10" s="92"/>
      <c r="CQ10" s="92"/>
      <c r="CR10" s="92"/>
      <c r="CS10" s="92"/>
      <c r="CT10" s="92"/>
      <c r="CU10" s="92"/>
      <c r="CV10" s="92"/>
      <c r="CW10" s="92"/>
      <c r="CX10" s="92"/>
      <c r="CY10" s="92"/>
      <c r="CZ10" s="92"/>
      <c r="DA10" s="92"/>
      <c r="DB10" s="92"/>
      <c r="DC10" s="92"/>
      <c r="DD10" s="92"/>
      <c r="DE10" s="92"/>
      <c r="DF10" s="92"/>
      <c r="DG10" s="92"/>
      <c r="DH10" s="92"/>
      <c r="DI10" s="92"/>
      <c r="DJ10" s="92"/>
      <c r="DK10" s="92"/>
      <c r="DL10" s="92"/>
      <c r="DM10" s="92"/>
      <c r="DN10" s="92"/>
      <c r="DO10" s="92"/>
      <c r="DP10" s="92"/>
      <c r="DQ10" s="92"/>
      <c r="DR10" s="92"/>
      <c r="DS10" s="92"/>
      <c r="DT10" s="92"/>
      <c r="DU10" s="92"/>
      <c r="DV10" s="92"/>
      <c r="DW10" s="92"/>
      <c r="DX10" s="92"/>
      <c r="DY10" s="92"/>
      <c r="DZ10" s="92"/>
      <c r="EA10" s="92"/>
      <c r="EB10" s="92"/>
      <c r="EC10" s="92"/>
      <c r="ED10" s="92"/>
      <c r="EE10" s="92"/>
      <c r="EF10" s="92"/>
      <c r="EG10" s="92"/>
      <c r="EH10" s="92"/>
      <c r="EI10" s="92"/>
      <c r="EJ10" s="92"/>
      <c r="EK10" s="92"/>
      <c r="EL10" s="92"/>
      <c r="EM10" s="92"/>
      <c r="EN10" s="92"/>
      <c r="EO10" s="92"/>
      <c r="EP10" s="92"/>
      <c r="EQ10" s="92"/>
      <c r="ER10" s="92"/>
      <c r="ES10" s="92"/>
      <c r="ET10" s="92"/>
      <c r="EU10" s="92"/>
      <c r="EV10" s="92"/>
      <c r="EW10" s="92"/>
      <c r="EX10" s="92"/>
      <c r="EY10" s="92"/>
      <c r="EZ10" s="92"/>
      <c r="FA10" s="92"/>
      <c r="FB10" s="92"/>
      <c r="FC10" s="92"/>
      <c r="FD10" s="92"/>
      <c r="FE10" s="92"/>
      <c r="FF10" s="92"/>
      <c r="FG10" s="92"/>
      <c r="FH10" s="92"/>
    </row>
    <row r="11">
      <c r="A11" s="30" t="s">
        <v>7</v>
      </c>
      <c r="B11" s="30" t="s">
        <v>16</v>
      </c>
      <c r="C11" s="31" t="str">
        <f>HYPERLINK("https://docs.google.com/spreadsheets/d/1Y_3QE-Loq9c0VGOAWCv1jlorniYBZZa2/edit?usp=share_link&amp;ouid=106501987799020758802&amp;rtpof=true&amp;sd=true", "Raw Delivered")</f>
        <v>Raw Delivered</v>
      </c>
      <c r="D11" s="96">
        <f t="shared" si="1"/>
        <v>7003.083104</v>
      </c>
      <c r="E11" s="92">
        <f>(SUBSTITUTE(Audio!E11, "RE-", "", 1))*1</f>
        <v>0</v>
      </c>
      <c r="F11" s="92">
        <f>(SUBSTITUTE(Audio!F11, "RE-", "", 1))*1</f>
        <v>1554.231419</v>
      </c>
      <c r="G11" s="92">
        <f>(SUBSTITUTE(Audio!G11, "RE-", "", 1))*1</f>
        <v>0</v>
      </c>
      <c r="H11" s="92">
        <f>(SUBSTITUTE(Audio!H11, "RE-", "", 1))*1</f>
        <v>147.5915167</v>
      </c>
      <c r="I11" s="92">
        <f>(SUBSTITUTE(Audio!I11, "RE-", "", 1))*1</f>
        <v>0</v>
      </c>
      <c r="J11" s="92">
        <f>(SUBSTITUTE(Audio!J11, "RE-", "", 1))*1</f>
        <v>1750.273978</v>
      </c>
      <c r="K11" s="92">
        <f>(SUBSTITUTE(Audio!K11, "RE-", "", 1))*1</f>
        <v>0</v>
      </c>
      <c r="L11" s="92">
        <f>(SUBSTITUTE(Audio!L11, "RE-", "", 1))*1</f>
        <v>1065.444324</v>
      </c>
      <c r="M11" s="92">
        <f>(SUBSTITUTE(Audio!M11, "RE-", "", 1))*1</f>
        <v>0</v>
      </c>
      <c r="N11" s="92">
        <f>(SUBSTITUTE(Audio!N11, "RE-", "", 1))*1</f>
        <v>1000.010133</v>
      </c>
      <c r="O11" s="92">
        <f>(SUBSTITUTE(Audio!O11, "RE-", "", 1))*1</f>
        <v>0</v>
      </c>
      <c r="P11" s="92">
        <f>(SUBSTITUTE(Audio!P11, "RE-", "", 1))*1</f>
        <v>955.5207906</v>
      </c>
      <c r="Q11" s="92">
        <f>(SUBSTITUTE(Audio!Q11, "RE-", "", 1))*1</f>
        <v>0</v>
      </c>
      <c r="R11" s="92">
        <f>(SUBSTITUTE(Audio!R11, "RE-", "", 1))*1</f>
        <v>266.2019427</v>
      </c>
      <c r="S11" s="92">
        <f>(SUBSTITUTE(Audio!S11, "RE-", "", 1))*1</f>
        <v>0</v>
      </c>
      <c r="T11" s="92">
        <f>(SUBSTITUTE(Audio!T11, "RE-", "", 1))*1</f>
        <v>263.809</v>
      </c>
      <c r="U11" s="92">
        <f>(SUBSTITUTE(Audio!U11, "RE-", "", 1))*1</f>
        <v>0</v>
      </c>
      <c r="V11" s="92">
        <f>(SUBSTITUTE(Audio!V11, "RE-", "", 1))*1</f>
        <v>0</v>
      </c>
      <c r="W11" s="92">
        <f>(SUBSTITUTE(Audio!W11, "RE-", "", 1))*1</f>
        <v>0</v>
      </c>
      <c r="X11" s="92">
        <f>(SUBSTITUTE(Audio!X11, "RE-", "", 1))*1</f>
        <v>0</v>
      </c>
      <c r="Y11" s="92">
        <f>(SUBSTITUTE(Audio!Y11, "RE-", "", 1))*1</f>
        <v>0</v>
      </c>
      <c r="Z11" s="92">
        <f>(SUBSTITUTE(Audio!Z11, "RE-", "", 1))*1</f>
        <v>0</v>
      </c>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c r="CP11" s="92"/>
      <c r="CQ11" s="92"/>
      <c r="CR11" s="92"/>
      <c r="CS11" s="92"/>
      <c r="CT11" s="92"/>
      <c r="CU11" s="92"/>
      <c r="CV11" s="92"/>
      <c r="CW11" s="92"/>
      <c r="CX11" s="92"/>
      <c r="CY11" s="92"/>
      <c r="CZ11" s="92"/>
      <c r="DA11" s="92"/>
      <c r="DB11" s="92"/>
      <c r="DC11" s="92"/>
      <c r="DD11" s="92"/>
      <c r="DE11" s="92"/>
      <c r="DF11" s="92"/>
      <c r="DG11" s="92"/>
      <c r="DH11" s="92"/>
      <c r="DI11" s="92"/>
      <c r="DJ11" s="92"/>
      <c r="DK11" s="92"/>
      <c r="DL11" s="92"/>
      <c r="DM11" s="92"/>
      <c r="DN11" s="92"/>
      <c r="DO11" s="92"/>
      <c r="DP11" s="92"/>
      <c r="DQ11" s="92"/>
      <c r="DR11" s="92"/>
      <c r="DS11" s="92"/>
      <c r="DT11" s="92"/>
      <c r="DU11" s="92"/>
      <c r="DV11" s="92"/>
      <c r="DW11" s="92"/>
      <c r="DX11" s="92"/>
      <c r="DY11" s="92"/>
      <c r="DZ11" s="92"/>
      <c r="EA11" s="92"/>
      <c r="EB11" s="92"/>
      <c r="EC11" s="92"/>
      <c r="ED11" s="92"/>
      <c r="EE11" s="92"/>
      <c r="EF11" s="92"/>
      <c r="EG11" s="92"/>
      <c r="EH11" s="92"/>
      <c r="EI11" s="92"/>
      <c r="EJ11" s="92"/>
      <c r="EK11" s="92"/>
      <c r="EL11" s="92"/>
      <c r="EM11" s="92"/>
      <c r="EN11" s="92"/>
      <c r="EO11" s="92"/>
      <c r="EP11" s="92"/>
      <c r="EQ11" s="92"/>
      <c r="ER11" s="92"/>
      <c r="ES11" s="92"/>
      <c r="ET11" s="92"/>
      <c r="EU11" s="92"/>
      <c r="EV11" s="92"/>
      <c r="EW11" s="92"/>
      <c r="EX11" s="92"/>
      <c r="EY11" s="92"/>
      <c r="EZ11" s="92"/>
      <c r="FA11" s="92"/>
      <c r="FB11" s="92"/>
      <c r="FC11" s="92"/>
      <c r="FD11" s="92"/>
      <c r="FE11" s="92"/>
      <c r="FF11" s="92"/>
      <c r="FG11" s="92"/>
      <c r="FH11" s="92"/>
    </row>
    <row r="12">
      <c r="A12" s="32" t="s">
        <v>7</v>
      </c>
      <c r="B12" s="32" t="s">
        <v>16</v>
      </c>
      <c r="C12" s="32" t="s">
        <v>9</v>
      </c>
      <c r="D12" s="97">
        <f t="shared" si="1"/>
        <v>7003.083104</v>
      </c>
      <c r="E12" s="92">
        <f>(SUBSTITUTE(Audio!E12, "RE-", "", 1))*1</f>
        <v>0</v>
      </c>
      <c r="F12" s="92">
        <f>(SUBSTITUTE(Audio!F12, "RE-", "", 1))*1</f>
        <v>1554.231419</v>
      </c>
      <c r="G12" s="92">
        <f>(SUBSTITUTE(Audio!G12, "RE-", "", 1))*1</f>
        <v>0</v>
      </c>
      <c r="H12" s="92">
        <f>(SUBSTITUTE(Audio!H12, "RE-", "", 1))*1</f>
        <v>147.5915167</v>
      </c>
      <c r="I12" s="92">
        <f>(SUBSTITUTE(Audio!I12, "RE-", "", 1))*1</f>
        <v>0</v>
      </c>
      <c r="J12" s="92">
        <f>(SUBSTITUTE(Audio!J12, "RE-", "", 1))*1</f>
        <v>1750.273978</v>
      </c>
      <c r="K12" s="92">
        <f>(SUBSTITUTE(Audio!K12, "RE-", "", 1))*1</f>
        <v>0</v>
      </c>
      <c r="L12" s="92">
        <f>(SUBSTITUTE(Audio!L12, "RE-", "", 1))*1</f>
        <v>1065.444324</v>
      </c>
      <c r="M12" s="92">
        <f>(SUBSTITUTE(Audio!M12, "RE-", "", 1))*1</f>
        <v>0</v>
      </c>
      <c r="N12" s="92">
        <f>(SUBSTITUTE(Audio!N12, "RE-", "", 1))*1</f>
        <v>1000.010133</v>
      </c>
      <c r="O12" s="92">
        <f>(SUBSTITUTE(Audio!O12, "RE-", "", 1))*1</f>
        <v>0</v>
      </c>
      <c r="P12" s="92">
        <f>(SUBSTITUTE(Audio!P12, "RE-", "", 1))*1</f>
        <v>955.5207906</v>
      </c>
      <c r="Q12" s="92">
        <f>(SUBSTITUTE(Audio!Q12, "RE-", "", 1))*1</f>
        <v>0</v>
      </c>
      <c r="R12" s="92">
        <f>(SUBSTITUTE(Audio!R12, "RE-", "", 1))*1</f>
        <v>266.2019427</v>
      </c>
      <c r="S12" s="92">
        <f>(SUBSTITUTE(Audio!S12, "RE-", "", 1))*1</f>
        <v>0</v>
      </c>
      <c r="T12" s="92">
        <f>(SUBSTITUTE(Audio!T12, "RE-", "", 1))*1</f>
        <v>263.809</v>
      </c>
      <c r="U12" s="92">
        <f>(SUBSTITUTE(Audio!U12, "RE-", "", 1))*1</f>
        <v>0</v>
      </c>
      <c r="V12" s="92">
        <f>(SUBSTITUTE(Audio!V12, "RE-", "", 1))*1</f>
        <v>0</v>
      </c>
      <c r="W12" s="92">
        <f>(SUBSTITUTE(Audio!W12, "RE-", "", 1))*1</f>
        <v>0</v>
      </c>
      <c r="X12" s="92">
        <f>(SUBSTITUTE(Audio!X12, "RE-", "", 1))*1</f>
        <v>0</v>
      </c>
      <c r="Y12" s="92">
        <f>(SUBSTITUTE(Audio!Y12, "RE-", "", 1))*1</f>
        <v>0</v>
      </c>
      <c r="Z12" s="92">
        <f>(SUBSTITUTE(Audio!Z12, "RE-", "", 1))*1</f>
        <v>0</v>
      </c>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92"/>
      <c r="CG12" s="92"/>
      <c r="CH12" s="92"/>
      <c r="CI12" s="92"/>
      <c r="CJ12" s="92"/>
      <c r="CK12" s="92"/>
      <c r="CL12" s="92"/>
      <c r="CM12" s="92"/>
      <c r="CN12" s="92"/>
      <c r="CO12" s="92"/>
      <c r="CP12" s="92"/>
      <c r="CQ12" s="92"/>
      <c r="CR12" s="92"/>
      <c r="CS12" s="92"/>
      <c r="CT12" s="92"/>
      <c r="CU12" s="92"/>
      <c r="CV12" s="92"/>
      <c r="CW12" s="92"/>
      <c r="CX12" s="92"/>
      <c r="CY12" s="92"/>
      <c r="CZ12" s="92"/>
      <c r="DA12" s="92"/>
      <c r="DB12" s="92"/>
      <c r="DC12" s="92"/>
      <c r="DD12" s="92"/>
      <c r="DE12" s="92"/>
      <c r="DF12" s="92"/>
      <c r="DG12" s="92"/>
      <c r="DH12" s="92"/>
      <c r="DI12" s="92"/>
      <c r="DJ12" s="92"/>
      <c r="DK12" s="92"/>
      <c r="DL12" s="92"/>
      <c r="DM12" s="92"/>
      <c r="DN12" s="92"/>
      <c r="DO12" s="92"/>
      <c r="DP12" s="92"/>
      <c r="DQ12" s="92"/>
      <c r="DR12" s="92"/>
      <c r="DS12" s="92"/>
      <c r="DT12" s="92"/>
      <c r="DU12" s="92"/>
      <c r="DV12" s="92"/>
      <c r="DW12" s="92"/>
      <c r="DX12" s="92"/>
      <c r="DY12" s="92"/>
      <c r="DZ12" s="92"/>
      <c r="EA12" s="92"/>
      <c r="EB12" s="92"/>
      <c r="EC12" s="92"/>
      <c r="ED12" s="92"/>
      <c r="EE12" s="92"/>
      <c r="EF12" s="92"/>
      <c r="EG12" s="92"/>
      <c r="EH12" s="92"/>
      <c r="EI12" s="92"/>
      <c r="EJ12" s="92"/>
      <c r="EK12" s="92"/>
      <c r="EL12" s="92"/>
      <c r="EM12" s="92"/>
      <c r="EN12" s="92"/>
      <c r="EO12" s="92"/>
      <c r="EP12" s="92"/>
      <c r="EQ12" s="92"/>
      <c r="ER12" s="92"/>
      <c r="ES12" s="92"/>
      <c r="ET12" s="92"/>
      <c r="EU12" s="92"/>
      <c r="EV12" s="92"/>
      <c r="EW12" s="92"/>
      <c r="EX12" s="92"/>
      <c r="EY12" s="92"/>
      <c r="EZ12" s="92"/>
      <c r="FA12" s="92"/>
      <c r="FB12" s="92"/>
      <c r="FC12" s="92"/>
      <c r="FD12" s="92"/>
      <c r="FE12" s="92"/>
      <c r="FF12" s="92"/>
      <c r="FG12" s="92"/>
      <c r="FH12" s="92"/>
    </row>
    <row r="13">
      <c r="A13" s="32" t="s">
        <v>7</v>
      </c>
      <c r="B13" s="32" t="s">
        <v>16</v>
      </c>
      <c r="C13" s="32" t="s">
        <v>10</v>
      </c>
      <c r="D13" s="97">
        <f t="shared" si="1"/>
        <v>605.9293218</v>
      </c>
      <c r="E13" s="92">
        <f>(SUBSTITUTE(Audio!E13, "RE-", "", 1))*1</f>
        <v>0</v>
      </c>
      <c r="F13" s="92">
        <f>(SUBSTITUTE(Audio!F13, "RE-", "", 1))*1</f>
        <v>0</v>
      </c>
      <c r="G13" s="92">
        <f>(SUBSTITUTE(Audio!G13, "RE-", "", 1))*1</f>
        <v>129.6326823</v>
      </c>
      <c r="H13" s="92">
        <f>(SUBSTITUTE(Audio!H13, "RE-", "", 1))*1</f>
        <v>0</v>
      </c>
      <c r="I13" s="92">
        <f>(SUBSTITUTE(Audio!I13, "RE-", "", 1))*1</f>
        <v>30.36942604</v>
      </c>
      <c r="J13" s="92">
        <f>(SUBSTITUTE(Audio!J13, "RE-", "", 1))*1</f>
        <v>0</v>
      </c>
      <c r="K13" s="92">
        <f>(SUBSTITUTE(Audio!K13, "RE-", "", 1))*1</f>
        <v>154.4973562</v>
      </c>
      <c r="L13" s="92">
        <f>(SUBSTITUTE(Audio!L13, "RE-", "", 1))*1</f>
        <v>0</v>
      </c>
      <c r="M13" s="92">
        <f>(SUBSTITUTE(Audio!M13, "RE-", "", 1))*1</f>
        <v>55.56972396</v>
      </c>
      <c r="N13" s="92">
        <f>(SUBSTITUTE(Audio!N13, "RE-", "", 1))*1</f>
        <v>0</v>
      </c>
      <c r="O13" s="92">
        <f>(SUBSTITUTE(Audio!O13, "RE-", "", 1))*1</f>
        <v>81.01062396</v>
      </c>
      <c r="P13" s="92">
        <f>(SUBSTITUTE(Audio!P13, "RE-", "", 1))*1</f>
        <v>0</v>
      </c>
      <c r="Q13" s="92">
        <f>(SUBSTITUTE(Audio!Q13, "RE-", "", 1))*1</f>
        <v>91.53510312</v>
      </c>
      <c r="R13" s="92">
        <f>(SUBSTITUTE(Audio!R13, "RE-", "", 1))*1</f>
        <v>0</v>
      </c>
      <c r="S13" s="92">
        <f>(SUBSTITUTE(Audio!S13, "RE-", "", 1))*1</f>
        <v>28.48164375</v>
      </c>
      <c r="T13" s="92">
        <f>(SUBSTITUTE(Audio!T13, "RE-", "", 1))*1</f>
        <v>0</v>
      </c>
      <c r="U13" s="92">
        <f>(SUBSTITUTE(Audio!U13, "RE-", "", 1))*1</f>
        <v>32.04311667</v>
      </c>
      <c r="V13" s="92">
        <f>(SUBSTITUTE(Audio!V13, "RE-", "", 1))*1</f>
        <v>2.789645833</v>
      </c>
      <c r="W13" s="92">
        <f>(SUBSTITUTE(Audio!W13, "RE-", "", 1))*1</f>
        <v>0</v>
      </c>
      <c r="X13" s="92">
        <f>(SUBSTITUTE(Audio!X13, "RE-", "", 1))*1</f>
        <v>0</v>
      </c>
      <c r="Y13" s="92">
        <f>(SUBSTITUTE(Audio!Y13, "RE-", "", 1))*1</f>
        <v>0</v>
      </c>
      <c r="Z13" s="92">
        <f>(SUBSTITUTE(Audio!Z13, "RE-", "", 1))*1</f>
        <v>0</v>
      </c>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c r="CF13" s="92"/>
      <c r="CG13" s="92"/>
      <c r="CH13" s="92"/>
      <c r="CI13" s="92"/>
      <c r="CJ13" s="92"/>
      <c r="CK13" s="92"/>
      <c r="CL13" s="92"/>
      <c r="CM13" s="92"/>
      <c r="CN13" s="92"/>
      <c r="CO13" s="92"/>
      <c r="CP13" s="92"/>
      <c r="CQ13" s="92"/>
      <c r="CR13" s="92"/>
      <c r="CS13" s="92"/>
      <c r="CT13" s="92"/>
      <c r="CU13" s="92"/>
      <c r="CV13" s="92"/>
      <c r="CW13" s="92"/>
      <c r="CX13" s="92"/>
      <c r="CY13" s="92"/>
      <c r="CZ13" s="92"/>
      <c r="DA13" s="92"/>
      <c r="DB13" s="92"/>
      <c r="DC13" s="92"/>
      <c r="DD13" s="92"/>
      <c r="DE13" s="92"/>
      <c r="DF13" s="92"/>
      <c r="DG13" s="92"/>
      <c r="DH13" s="92"/>
      <c r="DI13" s="92"/>
      <c r="DJ13" s="92"/>
      <c r="DK13" s="92"/>
      <c r="DL13" s="92"/>
      <c r="DM13" s="92"/>
      <c r="DN13" s="92"/>
      <c r="DO13" s="92"/>
      <c r="DP13" s="92"/>
      <c r="DQ13" s="92"/>
      <c r="DR13" s="92"/>
      <c r="DS13" s="92"/>
      <c r="DT13" s="92"/>
      <c r="DU13" s="92"/>
      <c r="DV13" s="92"/>
      <c r="DW13" s="92"/>
      <c r="DX13" s="92"/>
      <c r="DY13" s="92"/>
      <c r="DZ13" s="92"/>
      <c r="EA13" s="92"/>
      <c r="EB13" s="92"/>
      <c r="EC13" s="92"/>
      <c r="ED13" s="92"/>
      <c r="EE13" s="92"/>
      <c r="EF13" s="92"/>
      <c r="EG13" s="92"/>
      <c r="EH13" s="92"/>
      <c r="EI13" s="92"/>
      <c r="EJ13" s="92"/>
      <c r="EK13" s="92"/>
      <c r="EL13" s="92"/>
      <c r="EM13" s="92"/>
      <c r="EN13" s="92"/>
      <c r="EO13" s="92"/>
      <c r="EP13" s="92"/>
      <c r="EQ13" s="92"/>
      <c r="ER13" s="92"/>
      <c r="ES13" s="92"/>
      <c r="ET13" s="92"/>
      <c r="EU13" s="92"/>
      <c r="EV13" s="92"/>
      <c r="EW13" s="92"/>
      <c r="EX13" s="92"/>
      <c r="EY13" s="92"/>
      <c r="EZ13" s="92"/>
      <c r="FA13" s="92"/>
      <c r="FB13" s="92"/>
      <c r="FC13" s="92"/>
      <c r="FD13" s="92"/>
      <c r="FE13" s="92"/>
      <c r="FF13" s="92"/>
      <c r="FG13" s="92"/>
      <c r="FH13" s="92"/>
    </row>
    <row r="14">
      <c r="A14" s="32" t="s">
        <v>7</v>
      </c>
      <c r="B14" s="32" t="s">
        <v>16</v>
      </c>
      <c r="C14" s="32" t="s">
        <v>11</v>
      </c>
      <c r="D14" s="97">
        <f t="shared" si="1"/>
        <v>605.9293219</v>
      </c>
      <c r="E14" s="92">
        <f>(SUBSTITUTE(Audio!E14, "RE-", "", 1))*1</f>
        <v>0</v>
      </c>
      <c r="F14" s="92">
        <f>(SUBSTITUTE(Audio!F14, "RE-", "", 1))*1</f>
        <v>0</v>
      </c>
      <c r="G14" s="92">
        <f>(SUBSTITUTE(Audio!G14, "RE-", "", 1))*1</f>
        <v>129.6326823</v>
      </c>
      <c r="H14" s="92">
        <f>(SUBSTITUTE(Audio!H14, "RE-", "", 1))*1</f>
        <v>0</v>
      </c>
      <c r="I14" s="92">
        <f>(SUBSTITUTE(Audio!I14, "RE-", "", 1))*1</f>
        <v>30.36942604</v>
      </c>
      <c r="J14" s="92">
        <f>(SUBSTITUTE(Audio!J14, "RE-", "", 1))*1</f>
        <v>0</v>
      </c>
      <c r="K14" s="92">
        <f>(SUBSTITUTE(Audio!K14, "RE-", "", 1))*1</f>
        <v>154.4973562</v>
      </c>
      <c r="L14" s="92">
        <f>(SUBSTITUTE(Audio!L14, "RE-", "", 1))*1</f>
        <v>0</v>
      </c>
      <c r="M14" s="92">
        <f>(SUBSTITUTE(Audio!M14, "RE-", "", 1))*1</f>
        <v>55.56972396</v>
      </c>
      <c r="N14" s="92">
        <f>(SUBSTITUTE(Audio!N14, "RE-", "", 1))*1</f>
        <v>0</v>
      </c>
      <c r="O14" s="92">
        <f>(SUBSTITUTE(Audio!O14, "RE-", "", 1))*1</f>
        <v>81.01062396</v>
      </c>
      <c r="P14" s="92">
        <f>(SUBSTITUTE(Audio!P14, "RE-", "", 1))*1</f>
        <v>0</v>
      </c>
      <c r="Q14" s="92">
        <f>(SUBSTITUTE(Audio!Q14, "RE-", "", 1))*1</f>
        <v>91.53510312</v>
      </c>
      <c r="R14" s="92">
        <f>(SUBSTITUTE(Audio!R14, "RE-", "", 1))*1</f>
        <v>0</v>
      </c>
      <c r="S14" s="92">
        <f>(SUBSTITUTE(Audio!S14, "RE-", "", 1))*1</f>
        <v>28.48164375</v>
      </c>
      <c r="T14" s="92">
        <f>(SUBSTITUTE(Audio!T14, "RE-", "", 1))*1</f>
        <v>0</v>
      </c>
      <c r="U14" s="92">
        <f>(SUBSTITUTE(Audio!U14, "RE-", "", 1))*1</f>
        <v>32.04311667</v>
      </c>
      <c r="V14" s="92">
        <f>(SUBSTITUTE(Audio!V14, "RE-", "", 1))*1</f>
        <v>2.789645833</v>
      </c>
      <c r="W14" s="92">
        <f>(SUBSTITUTE(Audio!W14, "RE-", "", 1))*1</f>
        <v>0</v>
      </c>
      <c r="X14" s="92">
        <f>(SUBSTITUTE(Audio!X14, "RE-", "", 1))*1</f>
        <v>0</v>
      </c>
      <c r="Y14" s="92">
        <f>(SUBSTITUTE(Audio!Y14, "RE-", "", 1))*1</f>
        <v>0</v>
      </c>
      <c r="Z14" s="92">
        <f>(SUBSTITUTE(Audio!Z14, "RE-", "", 1))*1</f>
        <v>0</v>
      </c>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c r="CF14" s="92"/>
      <c r="CG14" s="92"/>
      <c r="CH14" s="92"/>
      <c r="CI14" s="92"/>
      <c r="CJ14" s="92"/>
      <c r="CK14" s="92"/>
      <c r="CL14" s="92"/>
      <c r="CM14" s="92"/>
      <c r="CN14" s="92"/>
      <c r="CO14" s="92"/>
      <c r="CP14" s="92"/>
      <c r="CQ14" s="92"/>
      <c r="CR14" s="92"/>
      <c r="CS14" s="92"/>
      <c r="CT14" s="92"/>
      <c r="CU14" s="92"/>
      <c r="CV14" s="92"/>
      <c r="CW14" s="92"/>
      <c r="CX14" s="92"/>
      <c r="CY14" s="92"/>
      <c r="CZ14" s="92"/>
      <c r="DA14" s="92"/>
      <c r="DB14" s="92"/>
      <c r="DC14" s="92"/>
      <c r="DD14" s="92"/>
      <c r="DE14" s="92"/>
      <c r="DF14" s="92"/>
      <c r="DG14" s="92"/>
      <c r="DH14" s="92"/>
      <c r="DI14" s="92"/>
      <c r="DJ14" s="92"/>
      <c r="DK14" s="92"/>
      <c r="DL14" s="92"/>
      <c r="DM14" s="92"/>
      <c r="DN14" s="92"/>
      <c r="DO14" s="92"/>
      <c r="DP14" s="92"/>
      <c r="DQ14" s="92"/>
      <c r="DR14" s="92"/>
      <c r="DS14" s="92"/>
      <c r="DT14" s="92"/>
      <c r="DU14" s="92"/>
      <c r="DV14" s="92"/>
      <c r="DW14" s="92"/>
      <c r="DX14" s="92"/>
      <c r="DY14" s="92"/>
      <c r="DZ14" s="92"/>
      <c r="EA14" s="92"/>
      <c r="EB14" s="92"/>
      <c r="EC14" s="92"/>
      <c r="ED14" s="92"/>
      <c r="EE14" s="92"/>
      <c r="EF14" s="92"/>
      <c r="EG14" s="92"/>
      <c r="EH14" s="92"/>
      <c r="EI14" s="92"/>
      <c r="EJ14" s="92"/>
      <c r="EK14" s="92"/>
      <c r="EL14" s="92"/>
      <c r="EM14" s="92"/>
      <c r="EN14" s="92"/>
      <c r="EO14" s="92"/>
      <c r="EP14" s="92"/>
      <c r="EQ14" s="92"/>
      <c r="ER14" s="92"/>
      <c r="ES14" s="92"/>
      <c r="ET14" s="92"/>
      <c r="EU14" s="92"/>
      <c r="EV14" s="92"/>
      <c r="EW14" s="92"/>
      <c r="EX14" s="92"/>
      <c r="EY14" s="92"/>
      <c r="EZ14" s="92"/>
      <c r="FA14" s="92"/>
      <c r="FB14" s="92"/>
      <c r="FC14" s="92"/>
      <c r="FD14" s="92"/>
      <c r="FE14" s="92"/>
      <c r="FF14" s="92"/>
      <c r="FG14" s="92"/>
      <c r="FH14" s="92"/>
    </row>
    <row r="15">
      <c r="A15" s="32" t="s">
        <v>7</v>
      </c>
      <c r="B15" s="32" t="s">
        <v>16</v>
      </c>
      <c r="C15" s="32" t="s">
        <v>12</v>
      </c>
      <c r="D15" s="97">
        <f t="shared" si="1"/>
        <v>5898.45716</v>
      </c>
      <c r="E15" s="92">
        <f>(SUBSTITUTE(Audio!E15, "RE-", "", 1))*1</f>
        <v>0</v>
      </c>
      <c r="F15" s="92">
        <f>(SUBSTITUTE(Audio!F15, "RE-", "", 1))*1</f>
        <v>1278.190201</v>
      </c>
      <c r="G15" s="92">
        <f>(SUBSTITUTE(Audio!G15, "RE-", "", 1))*1</f>
        <v>5.108566667</v>
      </c>
      <c r="H15" s="92">
        <f>(SUBSTITUTE(Audio!H15, "RE-", "", 1))*1</f>
        <v>139.7998104</v>
      </c>
      <c r="I15" s="92">
        <f>(SUBSTITUTE(Audio!I15, "RE-", "", 1))*1</f>
        <v>0.3417770833</v>
      </c>
      <c r="J15" s="92">
        <f>(SUBSTITUTE(Audio!J15, "RE-", "", 1))*1</f>
        <v>1358.186134</v>
      </c>
      <c r="K15" s="92">
        <f>(SUBSTITUTE(Audio!K15, "RE-", "", 1))*1</f>
        <v>5.5811375</v>
      </c>
      <c r="L15" s="92">
        <f>(SUBSTITUTE(Audio!L15, "RE-", "", 1))*1</f>
        <v>1005.290317</v>
      </c>
      <c r="M15" s="92">
        <f>(SUBSTITUTE(Audio!M15, "RE-", "", 1))*1</f>
        <v>20.06965</v>
      </c>
      <c r="N15" s="92">
        <f>(SUBSTITUTE(Audio!N15, "RE-", "", 1))*1</f>
        <v>630.1249229</v>
      </c>
      <c r="O15" s="92">
        <f>(SUBSTITUTE(Audio!O15, "RE-", "", 1))*1</f>
        <v>2.535034375</v>
      </c>
      <c r="P15" s="92">
        <f>(SUBSTITUTE(Audio!P15, "RE-", "", 1))*1</f>
        <v>877.9855219</v>
      </c>
      <c r="Q15" s="92">
        <f>(SUBSTITUTE(Audio!Q15, "RE-", "", 1))*1</f>
        <v>31.6129875</v>
      </c>
      <c r="R15" s="92">
        <f>(SUBSTITUTE(Audio!R15, "RE-", "", 1))*1</f>
        <v>252.8734427</v>
      </c>
      <c r="S15" s="92">
        <f>(SUBSTITUTE(Audio!S15, "RE-", "", 1))*1</f>
        <v>15.79163125</v>
      </c>
      <c r="T15" s="92">
        <f>(SUBSTITUTE(Audio!T15, "RE-", "", 1))*1</f>
        <v>254.6204708</v>
      </c>
      <c r="U15" s="92">
        <f>(SUBSTITUTE(Audio!U15, "RE-", "", 1))*1</f>
        <v>18.67050208</v>
      </c>
      <c r="V15" s="92">
        <f>(SUBSTITUTE(Audio!V15, "RE-", "", 1))*1</f>
        <v>1.675052083</v>
      </c>
      <c r="W15" s="92">
        <f>(SUBSTITUTE(Audio!W15, "RE-", "", 1))*1</f>
        <v>0</v>
      </c>
      <c r="X15" s="92">
        <f>(SUBSTITUTE(Audio!X15, "RE-", "", 1))*1</f>
        <v>0</v>
      </c>
      <c r="Y15" s="92">
        <f>(SUBSTITUTE(Audio!Y15, "RE-", "", 1))*1</f>
        <v>0</v>
      </c>
      <c r="Z15" s="92">
        <f>(SUBSTITUTE(Audio!Z15, "RE-", "", 1))*1</f>
        <v>0</v>
      </c>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2"/>
      <c r="CZ15" s="92"/>
      <c r="DA15" s="92"/>
      <c r="DB15" s="92"/>
      <c r="DC15" s="92"/>
      <c r="DD15" s="92"/>
      <c r="DE15" s="92"/>
      <c r="DF15" s="92"/>
      <c r="DG15" s="92"/>
      <c r="DH15" s="92"/>
      <c r="DI15" s="92"/>
      <c r="DJ15" s="92"/>
      <c r="DK15" s="92"/>
      <c r="DL15" s="92"/>
      <c r="DM15" s="92"/>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2"/>
      <c r="EN15" s="92"/>
      <c r="EO15" s="92"/>
      <c r="EP15" s="92"/>
      <c r="EQ15" s="92"/>
      <c r="ER15" s="92"/>
      <c r="ES15" s="92"/>
      <c r="ET15" s="92"/>
      <c r="EU15" s="92"/>
      <c r="EV15" s="92"/>
      <c r="EW15" s="92"/>
      <c r="EX15" s="92"/>
      <c r="EY15" s="92"/>
      <c r="EZ15" s="92"/>
      <c r="FA15" s="92"/>
      <c r="FB15" s="92"/>
      <c r="FC15" s="92"/>
      <c r="FD15" s="92"/>
      <c r="FE15" s="92"/>
      <c r="FF15" s="92"/>
      <c r="FG15" s="92"/>
      <c r="FH15" s="92"/>
    </row>
    <row r="16">
      <c r="A16" s="32" t="s">
        <v>7</v>
      </c>
      <c r="B16" s="32" t="s">
        <v>16</v>
      </c>
      <c r="C16" s="32" t="s">
        <v>13</v>
      </c>
      <c r="D16" s="97">
        <f t="shared" si="1"/>
        <v>5674.005023</v>
      </c>
      <c r="E16" s="92">
        <f>(SUBSTITUTE(Audio!E16, "RE-", "", 1))*1</f>
        <v>0</v>
      </c>
      <c r="F16" s="92">
        <f>(SUBSTITUTE(Audio!F16, "RE-", "", 1))*1</f>
        <v>1240.64</v>
      </c>
      <c r="G16" s="92">
        <f>(SUBSTITUTE(Audio!G16, "RE-", "", 1))*1</f>
        <v>4.92262</v>
      </c>
      <c r="H16" s="92">
        <f>(SUBSTITUTE(Audio!H16, "RE-", "", 1))*1</f>
        <v>136.275</v>
      </c>
      <c r="I16" s="92">
        <f>(SUBSTITUTE(Audio!I16, "RE-", "", 1))*1</f>
        <v>0.326533</v>
      </c>
      <c r="J16" s="92">
        <f>(SUBSTITUTE(Audio!J16, "RE-", "", 1))*1</f>
        <v>1319.23</v>
      </c>
      <c r="K16" s="92">
        <f>(SUBSTITUTE(Audio!K16, "RE-", "", 1))*1</f>
        <v>5.25007</v>
      </c>
      <c r="L16" s="92">
        <f>(SUBSTITUTE(Audio!L16, "RE-", "", 1))*1</f>
        <v>957.513</v>
      </c>
      <c r="M16" s="92">
        <f>(SUBSTITUTE(Audio!M16, "RE-", "", 1))*1</f>
        <v>18.8896</v>
      </c>
      <c r="N16" s="92">
        <f>(SUBSTITUTE(Audio!N16, "RE-", "", 1))*1</f>
        <v>604.236</v>
      </c>
      <c r="O16" s="92">
        <f>(SUBSTITUTE(Audio!O16, "RE-", "", 1))*1</f>
        <v>2.4181</v>
      </c>
      <c r="P16" s="92">
        <f>(SUBSTITUTE(Audio!P16, "RE-", "", 1))*1</f>
        <v>832.458</v>
      </c>
      <c r="Q16" s="92">
        <f>(SUBSTITUTE(Audio!Q16, "RE-", "", 1))*1</f>
        <v>30.0905</v>
      </c>
      <c r="R16" s="92">
        <f>(SUBSTITUTE(Audio!R16, "RE-", "", 1))*1</f>
        <v>241.562</v>
      </c>
      <c r="S16" s="92">
        <f>(SUBSTITUTE(Audio!S16, "RE-", "", 1))*1</f>
        <v>15.1928</v>
      </c>
      <c r="T16" s="92">
        <f>(SUBSTITUTE(Audio!T16, "RE-", "", 1))*1</f>
        <v>245.386</v>
      </c>
      <c r="U16" s="92">
        <f>(SUBSTITUTE(Audio!U16, "RE-", "", 1))*1</f>
        <v>17.9662</v>
      </c>
      <c r="V16" s="92">
        <f>(SUBSTITUTE(Audio!V16, "RE-", "", 1))*1</f>
        <v>1.6486</v>
      </c>
      <c r="W16" s="92">
        <f>(SUBSTITUTE(Audio!W16, "RE-", "", 1))*1</f>
        <v>0</v>
      </c>
      <c r="X16" s="92">
        <f>(SUBSTITUTE(Audio!X16, "RE-", "", 1))*1</f>
        <v>0</v>
      </c>
      <c r="Y16" s="92">
        <f>(SUBSTITUTE(Audio!Y16, "RE-", "", 1))*1</f>
        <v>0</v>
      </c>
      <c r="Z16" s="92">
        <f>(SUBSTITUTE(Audio!Z16, "RE-", "", 1))*1</f>
        <v>0</v>
      </c>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c r="CP16" s="92"/>
      <c r="CQ16" s="92"/>
      <c r="CR16" s="92"/>
      <c r="CS16" s="92"/>
      <c r="CT16" s="92"/>
      <c r="CU16" s="92"/>
      <c r="CV16" s="92"/>
      <c r="CW16" s="92"/>
      <c r="CX16" s="92"/>
      <c r="CY16" s="92"/>
      <c r="CZ16" s="92"/>
      <c r="DA16" s="92"/>
      <c r="DB16" s="92"/>
      <c r="DC16" s="92"/>
      <c r="DD16" s="92"/>
      <c r="DE16" s="92"/>
      <c r="DF16" s="92"/>
      <c r="DG16" s="92"/>
      <c r="DH16" s="92"/>
      <c r="DI16" s="92"/>
      <c r="DJ16" s="92"/>
      <c r="DK16" s="92"/>
      <c r="DL16" s="92"/>
      <c r="DM16" s="92"/>
      <c r="DN16" s="92"/>
      <c r="DO16" s="92"/>
      <c r="DP16" s="92"/>
      <c r="DQ16" s="92"/>
      <c r="DR16" s="92"/>
      <c r="DS16" s="92"/>
      <c r="DT16" s="92"/>
      <c r="DU16" s="92"/>
      <c r="DV16" s="92"/>
      <c r="DW16" s="92"/>
      <c r="DX16" s="92"/>
      <c r="DY16" s="92"/>
      <c r="DZ16" s="92"/>
      <c r="EA16" s="92"/>
      <c r="EB16" s="92"/>
      <c r="EC16" s="92"/>
      <c r="ED16" s="92"/>
      <c r="EE16" s="92"/>
      <c r="EF16" s="92"/>
      <c r="EG16" s="92"/>
      <c r="EH16" s="92"/>
      <c r="EI16" s="92"/>
      <c r="EJ16" s="92"/>
      <c r="EK16" s="92"/>
      <c r="EL16" s="92"/>
      <c r="EM16" s="92"/>
      <c r="EN16" s="92"/>
      <c r="EO16" s="92"/>
      <c r="EP16" s="92"/>
      <c r="EQ16" s="92"/>
      <c r="ER16" s="92"/>
      <c r="ES16" s="92"/>
      <c r="ET16" s="92"/>
      <c r="EU16" s="92"/>
      <c r="EV16" s="92"/>
      <c r="EW16" s="92"/>
      <c r="EX16" s="92"/>
      <c r="EY16" s="92"/>
      <c r="EZ16" s="92"/>
      <c r="FA16" s="92"/>
      <c r="FB16" s="92"/>
      <c r="FC16" s="92"/>
      <c r="FD16" s="92"/>
      <c r="FE16" s="92"/>
      <c r="FF16" s="92"/>
      <c r="FG16" s="92"/>
      <c r="FH16" s="92"/>
    </row>
    <row r="17">
      <c r="A17" s="32" t="s">
        <v>7</v>
      </c>
      <c r="B17" s="32" t="s">
        <v>16</v>
      </c>
      <c r="C17" s="32" t="s">
        <v>14</v>
      </c>
      <c r="D17" s="97">
        <f t="shared" si="1"/>
        <v>5040.769223</v>
      </c>
      <c r="E17" s="92">
        <f>(SUBSTITUTE(Audio!E17, "RE-", "", 1))*1</f>
        <v>0</v>
      </c>
      <c r="F17" s="92">
        <f>(SUBSTITUTE(Audio!F17, "RE-", "", 1))*1</f>
        <v>1134.11</v>
      </c>
      <c r="G17" s="92">
        <f>(SUBSTITUTE(Audio!G17, "RE-", "", 1))*1</f>
        <v>4.77647</v>
      </c>
      <c r="H17" s="92">
        <f>(SUBSTITUTE(Audio!H17, "RE-", "", 1))*1</f>
        <v>127.445</v>
      </c>
      <c r="I17" s="92">
        <f>(SUBSTITUTE(Audio!I17, "RE-", "", 1))*1</f>
        <v>0.326533</v>
      </c>
      <c r="J17" s="92">
        <f>(SUBSTITUTE(Audio!J17, "RE-", "", 1))*1</f>
        <v>1216.78</v>
      </c>
      <c r="K17" s="92">
        <f>(SUBSTITUTE(Audio!K17, "RE-", "", 1))*1</f>
        <v>4.93265</v>
      </c>
      <c r="L17" s="92">
        <f>(SUBSTITUTE(Audio!L17, "RE-", "", 1))*1</f>
        <v>831.566</v>
      </c>
      <c r="M17" s="92">
        <f>(SUBSTITUTE(Audio!M17, "RE-", "", 1))*1</f>
        <v>14.6982</v>
      </c>
      <c r="N17" s="92">
        <f>(SUBSTITUTE(Audio!N17, "RE-", "", 1))*1</f>
        <v>511.672</v>
      </c>
      <c r="O17" s="92">
        <f>(SUBSTITUTE(Audio!O17, "RE-", "", 1))*1</f>
        <v>2.23227</v>
      </c>
      <c r="P17" s="92">
        <f>(SUBSTITUTE(Audio!P17, "RE-", "", 1))*1</f>
        <v>733.774</v>
      </c>
      <c r="Q17" s="92">
        <f>(SUBSTITUTE(Audio!Q17, "RE-", "", 1))*1</f>
        <v>27.3153</v>
      </c>
      <c r="R17" s="92">
        <f>(SUBSTITUTE(Audio!R17, "RE-", "", 1))*1</f>
        <v>197.985</v>
      </c>
      <c r="S17" s="92">
        <f>(SUBSTITUTE(Audio!S17, "RE-", "", 1))*1</f>
        <v>12.8857</v>
      </c>
      <c r="T17" s="92">
        <f>(SUBSTITUTE(Audio!T17, "RE-", "", 1))*1</f>
        <v>204.132</v>
      </c>
      <c r="U17" s="92">
        <f>(SUBSTITUTE(Audio!U17, "RE-", "", 1))*1</f>
        <v>14.4895</v>
      </c>
      <c r="V17" s="92">
        <f>(SUBSTITUTE(Audio!V17, "RE-", "", 1))*1</f>
        <v>1.6486</v>
      </c>
      <c r="W17" s="92">
        <f>(SUBSTITUTE(Audio!W17, "RE-", "", 1))*1</f>
        <v>0</v>
      </c>
      <c r="X17" s="92">
        <f>(SUBSTITUTE(Audio!X17, "RE-", "", 1))*1</f>
        <v>0</v>
      </c>
      <c r="Y17" s="92">
        <f>(SUBSTITUTE(Audio!Y17, "RE-", "", 1))*1</f>
        <v>0</v>
      </c>
      <c r="Z17" s="92">
        <f>(SUBSTITUTE(Audio!Z17, "RE-", "", 1))*1</f>
        <v>0</v>
      </c>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c r="CP17" s="92"/>
      <c r="CQ17" s="92"/>
      <c r="CR17" s="92"/>
      <c r="CS17" s="92"/>
      <c r="CT17" s="92"/>
      <c r="CU17" s="92"/>
      <c r="CV17" s="92"/>
      <c r="CW17" s="92"/>
      <c r="CX17" s="92"/>
      <c r="CY17" s="92"/>
      <c r="CZ17" s="92"/>
      <c r="DA17" s="92"/>
      <c r="DB17" s="92"/>
      <c r="DC17" s="92"/>
      <c r="DD17" s="92"/>
      <c r="DE17" s="92"/>
      <c r="DF17" s="92"/>
      <c r="DG17" s="92"/>
      <c r="DH17" s="92"/>
      <c r="DI17" s="92"/>
      <c r="DJ17" s="92"/>
      <c r="DK17" s="92"/>
      <c r="DL17" s="92"/>
      <c r="DM17" s="92"/>
      <c r="DN17" s="92"/>
      <c r="DO17" s="92"/>
      <c r="DP17" s="92"/>
      <c r="DQ17" s="92"/>
      <c r="DR17" s="92"/>
      <c r="DS17" s="92"/>
      <c r="DT17" s="92"/>
      <c r="DU17" s="92"/>
      <c r="DV17" s="92"/>
      <c r="DW17" s="92"/>
      <c r="DX17" s="92"/>
      <c r="DY17" s="92"/>
      <c r="DZ17" s="92"/>
      <c r="EA17" s="92"/>
      <c r="EB17" s="92"/>
      <c r="EC17" s="92"/>
      <c r="ED17" s="92"/>
      <c r="EE17" s="92"/>
      <c r="EF17" s="92"/>
      <c r="EG17" s="92"/>
      <c r="EH17" s="92"/>
      <c r="EI17" s="92"/>
      <c r="EJ17" s="92"/>
      <c r="EK17" s="92"/>
      <c r="EL17" s="92"/>
      <c r="EM17" s="92"/>
      <c r="EN17" s="92"/>
      <c r="EO17" s="92"/>
      <c r="EP17" s="92"/>
      <c r="EQ17" s="92"/>
      <c r="ER17" s="92"/>
      <c r="ES17" s="92"/>
      <c r="ET17" s="92"/>
      <c r="EU17" s="92"/>
      <c r="EV17" s="92"/>
      <c r="EW17" s="92"/>
      <c r="EX17" s="92"/>
      <c r="EY17" s="92"/>
      <c r="EZ17" s="92"/>
      <c r="FA17" s="92"/>
      <c r="FB17" s="92"/>
      <c r="FC17" s="92"/>
      <c r="FD17" s="92"/>
      <c r="FE17" s="92"/>
      <c r="FF17" s="92"/>
      <c r="FG17" s="92"/>
      <c r="FH17" s="92"/>
    </row>
    <row r="18">
      <c r="A18" s="27" t="s">
        <v>7</v>
      </c>
      <c r="B18" s="27" t="s">
        <v>16</v>
      </c>
      <c r="C18" s="27" t="s">
        <v>15</v>
      </c>
      <c r="D18" s="98">
        <f t="shared" si="1"/>
        <v>5673.856023</v>
      </c>
      <c r="E18" s="92">
        <f>(SUBSTITUTE(Audio!E18, "RE-", "", 1))*1</f>
        <v>0</v>
      </c>
      <c r="F18" s="92">
        <f>(SUBSTITUTE(Audio!F18, "RE-", "", 1))*1</f>
        <v>1240.64</v>
      </c>
      <c r="G18" s="92">
        <f>(SUBSTITUTE(Audio!G18, "RE-", "", 1))*1</f>
        <v>4.92262</v>
      </c>
      <c r="H18" s="92">
        <f>(SUBSTITUTE(Audio!H18, "RE-", "", 1))*1</f>
        <v>136.275</v>
      </c>
      <c r="I18" s="92">
        <f>(SUBSTITUTE(Audio!I18, "RE-", "", 1))*1</f>
        <v>0.326533</v>
      </c>
      <c r="J18" s="92">
        <f>(SUBSTITUTE(Audio!J18, "RE-", "", 1))*1</f>
        <v>1319.23</v>
      </c>
      <c r="K18" s="92">
        <f>(SUBSTITUTE(Audio!K18, "RE-", "", 1))*1</f>
        <v>5.25007</v>
      </c>
      <c r="L18" s="92">
        <f>(SUBSTITUTE(Audio!L18, "RE-", "", 1))*1</f>
        <v>957.513</v>
      </c>
      <c r="M18" s="92">
        <f>(SUBSTITUTE(Audio!M18, "RE-", "", 1))*1</f>
        <v>18.8896</v>
      </c>
      <c r="N18" s="92">
        <f>(SUBSTITUTE(Audio!N18, "RE-", "", 1))*1</f>
        <v>604.236</v>
      </c>
      <c r="O18" s="92">
        <f>(SUBSTITUTE(Audio!O18, "RE-", "", 1))*1</f>
        <v>2.4181</v>
      </c>
      <c r="P18" s="92">
        <f>(SUBSTITUTE(Audio!P18, "RE-", "", 1))*1</f>
        <v>832.458</v>
      </c>
      <c r="Q18" s="92">
        <f>(SUBSTITUTE(Audio!Q18, "RE-", "", 1))*1</f>
        <v>30.0905</v>
      </c>
      <c r="R18" s="92">
        <f>(SUBSTITUTE(Audio!R18, "RE-", "", 1))*1</f>
        <v>241.413</v>
      </c>
      <c r="S18" s="92">
        <f>(SUBSTITUTE(Audio!S18, "RE-", "", 1))*1</f>
        <v>15.1928</v>
      </c>
      <c r="T18" s="92">
        <f>(SUBSTITUTE(Audio!T18, "RE-", "", 1))*1</f>
        <v>245.386</v>
      </c>
      <c r="U18" s="92">
        <f>(SUBSTITUTE(Audio!U18, "RE-", "", 1))*1</f>
        <v>17.9662</v>
      </c>
      <c r="V18" s="92">
        <f>(SUBSTITUTE(Audio!V18, "RE-", "", 1))*1</f>
        <v>1.6486</v>
      </c>
      <c r="W18" s="92">
        <f>(SUBSTITUTE(Audio!W18, "RE-", "", 1))*1</f>
        <v>0</v>
      </c>
      <c r="X18" s="92">
        <f>(SUBSTITUTE(Audio!X18, "RE-", "", 1))*1</f>
        <v>0</v>
      </c>
      <c r="Y18" s="92">
        <f>(SUBSTITUTE(Audio!Y18, "RE-", "", 1))*1</f>
        <v>0</v>
      </c>
      <c r="Z18" s="92">
        <f>(SUBSTITUTE(Audio!Z18, "RE-", "", 1))*1</f>
        <v>0</v>
      </c>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CF18" s="92"/>
      <c r="CG18" s="92"/>
      <c r="CH18" s="92"/>
      <c r="CI18" s="92"/>
      <c r="CJ18" s="92"/>
      <c r="CK18" s="92"/>
      <c r="CL18" s="92"/>
      <c r="CM18" s="92"/>
      <c r="CN18" s="92"/>
      <c r="CO18" s="92"/>
      <c r="CP18" s="92"/>
      <c r="CQ18" s="92"/>
      <c r="CR18" s="92"/>
      <c r="CS18" s="92"/>
      <c r="CT18" s="92"/>
      <c r="CU18" s="92"/>
      <c r="CV18" s="92"/>
      <c r="CW18" s="92"/>
      <c r="CX18" s="92"/>
      <c r="CY18" s="92"/>
      <c r="CZ18" s="92"/>
      <c r="DA18" s="92"/>
      <c r="DB18" s="92"/>
      <c r="DC18" s="92"/>
      <c r="DD18" s="92"/>
      <c r="DE18" s="92"/>
      <c r="DF18" s="92"/>
      <c r="DG18" s="92"/>
      <c r="DH18" s="92"/>
      <c r="DI18" s="92"/>
      <c r="DJ18" s="92"/>
      <c r="DK18" s="92"/>
      <c r="DL18" s="92"/>
      <c r="DM18" s="92"/>
      <c r="DN18" s="92"/>
      <c r="DO18" s="92"/>
      <c r="DP18" s="92"/>
      <c r="DQ18" s="92"/>
      <c r="DR18" s="92"/>
      <c r="DS18" s="92"/>
      <c r="DT18" s="92"/>
      <c r="DU18" s="92"/>
      <c r="DV18" s="92"/>
      <c r="DW18" s="92"/>
      <c r="DX18" s="92"/>
      <c r="DY18" s="92"/>
      <c r="DZ18" s="92"/>
      <c r="EA18" s="92"/>
      <c r="EB18" s="92"/>
      <c r="EC18" s="92"/>
      <c r="ED18" s="92"/>
      <c r="EE18" s="92"/>
      <c r="EF18" s="92"/>
      <c r="EG18" s="92"/>
      <c r="EH18" s="92"/>
      <c r="EI18" s="92"/>
      <c r="EJ18" s="92"/>
      <c r="EK18" s="92"/>
      <c r="EL18" s="92"/>
      <c r="EM18" s="92"/>
      <c r="EN18" s="92"/>
      <c r="EO18" s="92"/>
      <c r="EP18" s="92"/>
      <c r="EQ18" s="92"/>
      <c r="ER18" s="92"/>
      <c r="ES18" s="92"/>
      <c r="ET18" s="92"/>
      <c r="EU18" s="92"/>
      <c r="EV18" s="92"/>
      <c r="EW18" s="92"/>
      <c r="EX18" s="92"/>
      <c r="EY18" s="92"/>
      <c r="EZ18" s="92"/>
      <c r="FA18" s="92"/>
      <c r="FB18" s="92"/>
      <c r="FC18" s="92"/>
      <c r="FD18" s="92"/>
      <c r="FE18" s="92"/>
      <c r="FF18" s="92"/>
      <c r="FG18" s="92"/>
      <c r="FH18" s="92"/>
    </row>
    <row r="19">
      <c r="A19" s="30" t="s">
        <v>17</v>
      </c>
      <c r="B19" s="30" t="s">
        <v>18</v>
      </c>
      <c r="C19" s="31" t="str">
        <f>HYPERLINK("https://docs.google.com/spreadsheets/d/18jfw3SQQVPRcTMprC5MtjsEsLHlgSi0y/edit?usp=share_link&amp;ouid=118279477453217743021&amp;rtpof=true&amp;sd=true", "Raw Delivered")</f>
        <v>Raw Delivered</v>
      </c>
      <c r="D19" s="96">
        <f t="shared" si="1"/>
        <v>5695.819041</v>
      </c>
      <c r="E19" s="92">
        <f>(SUBSTITUTE(Audio!E19, "RE-", "", 1))*1</f>
        <v>0</v>
      </c>
      <c r="F19" s="92">
        <f>(SUBSTITUTE(Audio!F19, "RE-", "", 1))*1</f>
        <v>460.7995323</v>
      </c>
      <c r="G19" s="92">
        <f>(SUBSTITUTE(Audio!G19, "RE-", "", 1))*1</f>
        <v>0</v>
      </c>
      <c r="H19" s="92">
        <f>(SUBSTITUTE(Audio!H19, "RE-", "", 1))*1</f>
        <v>45.82287708</v>
      </c>
      <c r="I19" s="92">
        <f>(SUBSTITUTE(Audio!I19, "RE-", "", 1))*1</f>
        <v>0</v>
      </c>
      <c r="J19" s="92">
        <f>(SUBSTITUTE(Audio!J19, "RE-", "", 1))*1</f>
        <v>184.5001042</v>
      </c>
      <c r="K19" s="92">
        <f>(SUBSTITUTE(Audio!K19, "RE-", "", 1))*1</f>
        <v>0</v>
      </c>
      <c r="L19" s="92">
        <f>(SUBSTITUTE(Audio!L19, "RE-", "", 1))*1</f>
        <v>559.4132302</v>
      </c>
      <c r="M19" s="92">
        <f>(SUBSTITUTE(Audio!M19, "RE-", "", 1))*1</f>
        <v>0</v>
      </c>
      <c r="N19" s="92">
        <f>(SUBSTITUTE(Audio!N19, "RE-", "", 1))*1</f>
        <v>3353.343258</v>
      </c>
      <c r="O19" s="92">
        <f>(SUBSTITUTE(Audio!O19, "RE-", "", 1))*1</f>
        <v>0</v>
      </c>
      <c r="P19" s="92">
        <f>(SUBSTITUTE(Audio!P19, "RE-", "", 1))*1</f>
        <v>250.7313229</v>
      </c>
      <c r="Q19" s="92">
        <f>(SUBSTITUTE(Audio!Q19, "RE-", "", 1))*1</f>
        <v>0</v>
      </c>
      <c r="R19" s="92">
        <f>(SUBSTITUTE(Audio!R19, "RE-", "", 1))*1</f>
        <v>558.7133917</v>
      </c>
      <c r="S19" s="92">
        <f>(SUBSTITUTE(Audio!S19, "RE-", "", 1))*1</f>
        <v>0</v>
      </c>
      <c r="T19" s="92">
        <f>(SUBSTITUTE(Audio!T19, "RE-", "", 1))*1</f>
        <v>282.495325</v>
      </c>
      <c r="U19" s="92">
        <f>(SUBSTITUTE(Audio!U19, "RE-", "", 1))*1</f>
        <v>0</v>
      </c>
      <c r="V19" s="92">
        <f>(SUBSTITUTE(Audio!V19, "RE-", "", 1))*1</f>
        <v>0</v>
      </c>
      <c r="W19" s="92">
        <f>(SUBSTITUTE(Audio!W19, "RE-", "", 1))*1</f>
        <v>0</v>
      </c>
      <c r="X19" s="92">
        <f>(SUBSTITUTE(Audio!X19, "RE-", "", 1))*1</f>
        <v>0</v>
      </c>
      <c r="Y19" s="92">
        <f>(SUBSTITUTE(Audio!Y19, "RE-", "", 1))*1</f>
        <v>0</v>
      </c>
      <c r="Z19" s="92">
        <f>(SUBSTITUTE(Audio!Z19, "RE-", "", 1))*1</f>
        <v>0</v>
      </c>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2"/>
      <c r="CA19" s="92"/>
      <c r="CB19" s="92"/>
      <c r="CC19" s="92"/>
      <c r="CD19" s="92"/>
      <c r="CE19" s="92"/>
      <c r="CF19" s="92"/>
      <c r="CG19" s="92"/>
      <c r="CH19" s="92"/>
      <c r="CI19" s="92"/>
      <c r="CJ19" s="92"/>
      <c r="CK19" s="92"/>
      <c r="CL19" s="92"/>
      <c r="CM19" s="92"/>
      <c r="CN19" s="92"/>
      <c r="CO19" s="92"/>
      <c r="CP19" s="92"/>
      <c r="CQ19" s="92"/>
      <c r="CR19" s="92"/>
      <c r="CS19" s="92"/>
      <c r="CT19" s="92"/>
      <c r="CU19" s="92"/>
      <c r="CV19" s="92"/>
      <c r="CW19" s="92"/>
      <c r="CX19" s="92"/>
      <c r="CY19" s="92"/>
      <c r="CZ19" s="92"/>
      <c r="DA19" s="92"/>
      <c r="DB19" s="92"/>
      <c r="DC19" s="92"/>
      <c r="DD19" s="92"/>
      <c r="DE19" s="92"/>
      <c r="DF19" s="92"/>
      <c r="DG19" s="92"/>
      <c r="DH19" s="92"/>
      <c r="DI19" s="92"/>
      <c r="DJ19" s="92"/>
      <c r="DK19" s="92"/>
      <c r="DL19" s="92"/>
      <c r="DM19" s="92"/>
      <c r="DN19" s="92"/>
      <c r="DO19" s="92"/>
      <c r="DP19" s="92"/>
      <c r="DQ19" s="92"/>
      <c r="DR19" s="92"/>
      <c r="DS19" s="92"/>
      <c r="DT19" s="92"/>
      <c r="DU19" s="92"/>
      <c r="DV19" s="92"/>
      <c r="DW19" s="92"/>
      <c r="DX19" s="92"/>
      <c r="DY19" s="92"/>
      <c r="DZ19" s="92"/>
      <c r="EA19" s="92"/>
      <c r="EB19" s="92"/>
      <c r="EC19" s="92"/>
      <c r="ED19" s="92"/>
      <c r="EE19" s="92"/>
      <c r="EF19" s="92"/>
      <c r="EG19" s="92"/>
      <c r="EH19" s="92"/>
      <c r="EI19" s="92"/>
      <c r="EJ19" s="92"/>
      <c r="EK19" s="92"/>
      <c r="EL19" s="92"/>
      <c r="EM19" s="92"/>
      <c r="EN19" s="92"/>
      <c r="EO19" s="92"/>
      <c r="EP19" s="92"/>
      <c r="EQ19" s="92"/>
      <c r="ER19" s="92"/>
      <c r="ES19" s="92"/>
      <c r="ET19" s="92"/>
      <c r="EU19" s="92"/>
      <c r="EV19" s="92"/>
      <c r="EW19" s="92"/>
      <c r="EX19" s="92"/>
      <c r="EY19" s="92"/>
      <c r="EZ19" s="92"/>
      <c r="FA19" s="92"/>
      <c r="FB19" s="92"/>
      <c r="FC19" s="92"/>
      <c r="FD19" s="92"/>
      <c r="FE19" s="92"/>
      <c r="FF19" s="92"/>
      <c r="FG19" s="92"/>
      <c r="FH19" s="92"/>
    </row>
    <row r="20">
      <c r="A20" s="32" t="s">
        <v>17</v>
      </c>
      <c r="B20" s="32" t="s">
        <v>18</v>
      </c>
      <c r="C20" s="32" t="s">
        <v>9</v>
      </c>
      <c r="D20" s="97">
        <f t="shared" si="1"/>
        <v>5695.819042</v>
      </c>
      <c r="E20" s="92">
        <f>(SUBSTITUTE(Audio!E20, "RE-", "", 1))*1</f>
        <v>0</v>
      </c>
      <c r="F20" s="92">
        <f>(SUBSTITUTE(Audio!F20, "RE-", "", 1))*1</f>
        <v>460.7995323</v>
      </c>
      <c r="G20" s="92">
        <f>(SUBSTITUTE(Audio!G20, "RE-", "", 1))*1</f>
        <v>0</v>
      </c>
      <c r="H20" s="92">
        <f>(SUBSTITUTE(Audio!H20, "RE-", "", 1))*1</f>
        <v>45.82287708</v>
      </c>
      <c r="I20" s="92">
        <f>(SUBSTITUTE(Audio!I20, "RE-", "", 1))*1</f>
        <v>0</v>
      </c>
      <c r="J20" s="92">
        <f>(SUBSTITUTE(Audio!J20, "RE-", "", 1))*1</f>
        <v>184.5001042</v>
      </c>
      <c r="K20" s="92">
        <f>(SUBSTITUTE(Audio!K20, "RE-", "", 1))*1</f>
        <v>0</v>
      </c>
      <c r="L20" s="92">
        <f>(SUBSTITUTE(Audio!L20, "RE-", "", 1))*1</f>
        <v>559.4132302</v>
      </c>
      <c r="M20" s="92">
        <f>(SUBSTITUTE(Audio!M20, "RE-", "", 1))*1</f>
        <v>0</v>
      </c>
      <c r="N20" s="92">
        <f>(SUBSTITUTE(Audio!N20, "RE-", "", 1))*1</f>
        <v>3353.343258</v>
      </c>
      <c r="O20" s="92">
        <f>(SUBSTITUTE(Audio!O20, "RE-", "", 1))*1</f>
        <v>0</v>
      </c>
      <c r="P20" s="92">
        <f>(SUBSTITUTE(Audio!P20, "RE-", "", 1))*1</f>
        <v>250.7313229</v>
      </c>
      <c r="Q20" s="92">
        <f>(SUBSTITUTE(Audio!Q20, "RE-", "", 1))*1</f>
        <v>0</v>
      </c>
      <c r="R20" s="92">
        <f>(SUBSTITUTE(Audio!R20, "RE-", "", 1))*1</f>
        <v>558.7133917</v>
      </c>
      <c r="S20" s="92">
        <f>(SUBSTITUTE(Audio!S20, "RE-", "", 1))*1</f>
        <v>0</v>
      </c>
      <c r="T20" s="92">
        <f>(SUBSTITUTE(Audio!T20, "RE-", "", 1))*1</f>
        <v>282.495325</v>
      </c>
      <c r="U20" s="92">
        <f>(SUBSTITUTE(Audio!U20, "RE-", "", 1))*1</f>
        <v>0</v>
      </c>
      <c r="V20" s="92">
        <f>(SUBSTITUTE(Audio!V20, "RE-", "", 1))*1</f>
        <v>0</v>
      </c>
      <c r="W20" s="92">
        <f>(SUBSTITUTE(Audio!W20, "RE-", "", 1))*1</f>
        <v>0</v>
      </c>
      <c r="X20" s="92">
        <f>(SUBSTITUTE(Audio!X20, "RE-", "", 1))*1</f>
        <v>0</v>
      </c>
      <c r="Y20" s="92">
        <f>(SUBSTITUTE(Audio!Y20, "RE-", "", 1))*1</f>
        <v>0</v>
      </c>
      <c r="Z20" s="92">
        <f>(SUBSTITUTE(Audio!Z20, "RE-", "", 1))*1</f>
        <v>0</v>
      </c>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CF20" s="92"/>
      <c r="CG20" s="92"/>
      <c r="CH20" s="92"/>
      <c r="CI20" s="92"/>
      <c r="CJ20" s="92"/>
      <c r="CK20" s="92"/>
      <c r="CL20" s="92"/>
      <c r="CM20" s="92"/>
      <c r="CN20" s="92"/>
      <c r="CO20" s="92"/>
      <c r="CP20" s="92"/>
      <c r="CQ20" s="92"/>
      <c r="CR20" s="92"/>
      <c r="CS20" s="92"/>
      <c r="CT20" s="92"/>
      <c r="CU20" s="92"/>
      <c r="CV20" s="92"/>
      <c r="CW20" s="92"/>
      <c r="CX20" s="92"/>
      <c r="CY20" s="92"/>
      <c r="CZ20" s="92"/>
      <c r="DA20" s="92"/>
      <c r="DB20" s="92"/>
      <c r="DC20" s="92"/>
      <c r="DD20" s="92"/>
      <c r="DE20" s="92"/>
      <c r="DF20" s="92"/>
      <c r="DG20" s="92"/>
      <c r="DH20" s="92"/>
      <c r="DI20" s="92"/>
      <c r="DJ20" s="92"/>
      <c r="DK20" s="92"/>
      <c r="DL20" s="92"/>
      <c r="DM20" s="92"/>
      <c r="DN20" s="92"/>
      <c r="DO20" s="92"/>
      <c r="DP20" s="92"/>
      <c r="DQ20" s="92"/>
      <c r="DR20" s="92"/>
      <c r="DS20" s="92"/>
      <c r="DT20" s="92"/>
      <c r="DU20" s="92"/>
      <c r="DV20" s="92"/>
      <c r="DW20" s="92"/>
      <c r="DX20" s="92"/>
      <c r="DY20" s="92"/>
      <c r="DZ20" s="92"/>
      <c r="EA20" s="92"/>
      <c r="EB20" s="92"/>
      <c r="EC20" s="92"/>
      <c r="ED20" s="92"/>
      <c r="EE20" s="92"/>
      <c r="EF20" s="92"/>
      <c r="EG20" s="92"/>
      <c r="EH20" s="92"/>
      <c r="EI20" s="92"/>
      <c r="EJ20" s="92"/>
      <c r="EK20" s="92"/>
      <c r="EL20" s="92"/>
      <c r="EM20" s="92"/>
      <c r="EN20" s="92"/>
      <c r="EO20" s="92"/>
      <c r="EP20" s="92"/>
      <c r="EQ20" s="92"/>
      <c r="ER20" s="92"/>
      <c r="ES20" s="92"/>
      <c r="ET20" s="92"/>
      <c r="EU20" s="92"/>
      <c r="EV20" s="92"/>
      <c r="EW20" s="92"/>
      <c r="EX20" s="92"/>
      <c r="EY20" s="92"/>
      <c r="EZ20" s="92"/>
      <c r="FA20" s="92"/>
      <c r="FB20" s="92"/>
      <c r="FC20" s="92"/>
      <c r="FD20" s="92"/>
      <c r="FE20" s="92"/>
      <c r="FF20" s="92"/>
      <c r="FG20" s="92"/>
      <c r="FH20" s="92"/>
    </row>
    <row r="21">
      <c r="A21" s="32" t="s">
        <v>17</v>
      </c>
      <c r="B21" s="32" t="s">
        <v>18</v>
      </c>
      <c r="C21" s="32" t="s">
        <v>10</v>
      </c>
      <c r="D21" s="97">
        <f t="shared" si="1"/>
        <v>519.0905927</v>
      </c>
      <c r="E21" s="92">
        <f>(SUBSTITUTE(Audio!E21, "RE-", "", 1))*1</f>
        <v>0</v>
      </c>
      <c r="F21" s="92">
        <f>(SUBSTITUTE(Audio!F21, "RE-", "", 1))*1</f>
        <v>0</v>
      </c>
      <c r="G21" s="92">
        <f>(SUBSTITUTE(Audio!G21, "RE-", "", 1))*1</f>
        <v>38.20809167</v>
      </c>
      <c r="H21" s="92">
        <f>(SUBSTITUTE(Audio!H21, "RE-", "", 1))*1</f>
        <v>0</v>
      </c>
      <c r="I21" s="92">
        <f>(SUBSTITUTE(Audio!I21, "RE-", "", 1))*1</f>
        <v>0.6525041667</v>
      </c>
      <c r="J21" s="92">
        <f>(SUBSTITUTE(Audio!J21, "RE-", "", 1))*1</f>
        <v>0</v>
      </c>
      <c r="K21" s="92">
        <f>(SUBSTITUTE(Audio!K21, "RE-", "", 1))*1</f>
        <v>8.529716667</v>
      </c>
      <c r="L21" s="92">
        <f>(SUBSTITUTE(Audio!L21, "RE-", "", 1))*1</f>
        <v>0</v>
      </c>
      <c r="M21" s="92">
        <f>(SUBSTITUTE(Audio!M21, "RE-", "", 1))*1</f>
        <v>12.29552917</v>
      </c>
      <c r="N21" s="92">
        <f>(SUBSTITUTE(Audio!N21, "RE-", "", 1))*1</f>
        <v>0</v>
      </c>
      <c r="O21" s="92">
        <f>(SUBSTITUTE(Audio!O21, "RE-", "", 1))*1</f>
        <v>411.0839385</v>
      </c>
      <c r="P21" s="92">
        <f>(SUBSTITUTE(Audio!P21, "RE-", "", 1))*1</f>
        <v>0</v>
      </c>
      <c r="Q21" s="92">
        <f>(SUBSTITUTE(Audio!Q21, "RE-", "", 1))*1</f>
        <v>18.40109167</v>
      </c>
      <c r="R21" s="92">
        <f>(SUBSTITUTE(Audio!R21, "RE-", "", 1))*1</f>
        <v>0</v>
      </c>
      <c r="S21" s="92">
        <f>(SUBSTITUTE(Audio!S21, "RE-", "", 1))*1</f>
        <v>12.49118125</v>
      </c>
      <c r="T21" s="92">
        <f>(SUBSTITUTE(Audio!T21, "RE-", "", 1))*1</f>
        <v>0</v>
      </c>
      <c r="U21" s="92">
        <f>(SUBSTITUTE(Audio!U21, "RE-", "", 1))*1</f>
        <v>17.42853958</v>
      </c>
      <c r="V21" s="92">
        <f>(SUBSTITUTE(Audio!V21, "RE-", "", 1))*1</f>
        <v>0</v>
      </c>
      <c r="W21" s="92">
        <f>(SUBSTITUTE(Audio!W21, "RE-", "", 1))*1</f>
        <v>0</v>
      </c>
      <c r="X21" s="92">
        <f>(SUBSTITUTE(Audio!X21, "RE-", "", 1))*1</f>
        <v>0</v>
      </c>
      <c r="Y21" s="92">
        <f>(SUBSTITUTE(Audio!Y21, "RE-", "", 1))*1</f>
        <v>0</v>
      </c>
      <c r="Z21" s="92">
        <f>(SUBSTITUTE(Audio!Z21, "RE-", "", 1))*1</f>
        <v>0</v>
      </c>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CF21" s="92"/>
      <c r="CG21" s="92"/>
      <c r="CH21" s="92"/>
      <c r="CI21" s="92"/>
      <c r="CJ21" s="92"/>
      <c r="CK21" s="92"/>
      <c r="CL21" s="92"/>
      <c r="CM21" s="92"/>
      <c r="CN21" s="92"/>
      <c r="CO21" s="92"/>
      <c r="CP21" s="92"/>
      <c r="CQ21" s="92"/>
      <c r="CR21" s="92"/>
      <c r="CS21" s="92"/>
      <c r="CT21" s="92"/>
      <c r="CU21" s="92"/>
      <c r="CV21" s="92"/>
      <c r="CW21" s="92"/>
      <c r="CX21" s="92"/>
      <c r="CY21" s="92"/>
      <c r="CZ21" s="92"/>
      <c r="DA21" s="92"/>
      <c r="DB21" s="92"/>
      <c r="DC21" s="92"/>
      <c r="DD21" s="92"/>
      <c r="DE21" s="92"/>
      <c r="DF21" s="92"/>
      <c r="DG21" s="92"/>
      <c r="DH21" s="92"/>
      <c r="DI21" s="92"/>
      <c r="DJ21" s="92"/>
      <c r="DK21" s="92"/>
      <c r="DL21" s="92"/>
      <c r="DM21" s="92"/>
      <c r="DN21" s="92"/>
      <c r="DO21" s="92"/>
      <c r="DP21" s="92"/>
      <c r="DQ21" s="92"/>
      <c r="DR21" s="92"/>
      <c r="DS21" s="92"/>
      <c r="DT21" s="92"/>
      <c r="DU21" s="92"/>
      <c r="DV21" s="92"/>
      <c r="DW21" s="92"/>
      <c r="DX21" s="92"/>
      <c r="DY21" s="92"/>
      <c r="DZ21" s="92"/>
      <c r="EA21" s="92"/>
      <c r="EB21" s="92"/>
      <c r="EC21" s="92"/>
      <c r="ED21" s="92"/>
      <c r="EE21" s="92"/>
      <c r="EF21" s="92"/>
      <c r="EG21" s="92"/>
      <c r="EH21" s="92"/>
      <c r="EI21" s="92"/>
      <c r="EJ21" s="92"/>
      <c r="EK21" s="92"/>
      <c r="EL21" s="92"/>
      <c r="EM21" s="92"/>
      <c r="EN21" s="92"/>
      <c r="EO21" s="92"/>
      <c r="EP21" s="92"/>
      <c r="EQ21" s="92"/>
      <c r="ER21" s="92"/>
      <c r="ES21" s="92"/>
      <c r="ET21" s="92"/>
      <c r="EU21" s="92"/>
      <c r="EV21" s="92"/>
      <c r="EW21" s="92"/>
      <c r="EX21" s="92"/>
      <c r="EY21" s="92"/>
      <c r="EZ21" s="92"/>
      <c r="FA21" s="92"/>
      <c r="FB21" s="92"/>
      <c r="FC21" s="92"/>
      <c r="FD21" s="92"/>
      <c r="FE21" s="92"/>
      <c r="FF21" s="92"/>
      <c r="FG21" s="92"/>
      <c r="FH21" s="92"/>
    </row>
    <row r="22">
      <c r="A22" s="32" t="s">
        <v>17</v>
      </c>
      <c r="B22" s="32" t="s">
        <v>18</v>
      </c>
      <c r="C22" s="32" t="s">
        <v>11</v>
      </c>
      <c r="D22" s="97">
        <f t="shared" si="1"/>
        <v>519.0905927</v>
      </c>
      <c r="E22" s="92">
        <f>(SUBSTITUTE(Audio!E22, "RE-", "", 1))*1</f>
        <v>0</v>
      </c>
      <c r="F22" s="92">
        <f>(SUBSTITUTE(Audio!F22, "RE-", "", 1))*1</f>
        <v>0</v>
      </c>
      <c r="G22" s="92">
        <f>(SUBSTITUTE(Audio!G22, "RE-", "", 1))*1</f>
        <v>38.20809167</v>
      </c>
      <c r="H22" s="92">
        <f>(SUBSTITUTE(Audio!H22, "RE-", "", 1))*1</f>
        <v>0</v>
      </c>
      <c r="I22" s="92">
        <f>(SUBSTITUTE(Audio!I22, "RE-", "", 1))*1</f>
        <v>0.6525041667</v>
      </c>
      <c r="J22" s="92">
        <f>(SUBSTITUTE(Audio!J22, "RE-", "", 1))*1</f>
        <v>0</v>
      </c>
      <c r="K22" s="92">
        <f>(SUBSTITUTE(Audio!K22, "RE-", "", 1))*1</f>
        <v>8.529716667</v>
      </c>
      <c r="L22" s="92">
        <f>(SUBSTITUTE(Audio!L22, "RE-", "", 1))*1</f>
        <v>0</v>
      </c>
      <c r="M22" s="92">
        <f>(SUBSTITUTE(Audio!M22, "RE-", "", 1))*1</f>
        <v>12.29552917</v>
      </c>
      <c r="N22" s="92">
        <f>(SUBSTITUTE(Audio!N22, "RE-", "", 1))*1</f>
        <v>0</v>
      </c>
      <c r="O22" s="92">
        <f>(SUBSTITUTE(Audio!O22, "RE-", "", 1))*1</f>
        <v>411.0839385</v>
      </c>
      <c r="P22" s="92">
        <f>(SUBSTITUTE(Audio!P22, "RE-", "", 1))*1</f>
        <v>0</v>
      </c>
      <c r="Q22" s="92">
        <f>(SUBSTITUTE(Audio!Q22, "RE-", "", 1))*1</f>
        <v>18.40109167</v>
      </c>
      <c r="R22" s="92">
        <f>(SUBSTITUTE(Audio!R22, "RE-", "", 1))*1</f>
        <v>0</v>
      </c>
      <c r="S22" s="92">
        <f>(SUBSTITUTE(Audio!S22, "RE-", "", 1))*1</f>
        <v>12.49118125</v>
      </c>
      <c r="T22" s="92">
        <f>(SUBSTITUTE(Audio!T22, "RE-", "", 1))*1</f>
        <v>0</v>
      </c>
      <c r="U22" s="92">
        <f>(SUBSTITUTE(Audio!U22, "RE-", "", 1))*1</f>
        <v>17.42853958</v>
      </c>
      <c r="V22" s="92">
        <f>(SUBSTITUTE(Audio!V22, "RE-", "", 1))*1</f>
        <v>0</v>
      </c>
      <c r="W22" s="92">
        <f>(SUBSTITUTE(Audio!W22, "RE-", "", 1))*1</f>
        <v>0</v>
      </c>
      <c r="X22" s="92">
        <f>(SUBSTITUTE(Audio!X22, "RE-", "", 1))*1</f>
        <v>0</v>
      </c>
      <c r="Y22" s="92">
        <f>(SUBSTITUTE(Audio!Y22, "RE-", "", 1))*1</f>
        <v>0</v>
      </c>
      <c r="Z22" s="92">
        <f>(SUBSTITUTE(Audio!Z22, "RE-", "", 1))*1</f>
        <v>0</v>
      </c>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CF22" s="92"/>
      <c r="CG22" s="92"/>
      <c r="CH22" s="92"/>
      <c r="CI22" s="92"/>
      <c r="CJ22" s="92"/>
      <c r="CK22" s="92"/>
      <c r="CL22" s="92"/>
      <c r="CM22" s="92"/>
      <c r="CN22" s="92"/>
      <c r="CO22" s="92"/>
      <c r="CP22" s="92"/>
      <c r="CQ22" s="92"/>
      <c r="CR22" s="92"/>
      <c r="CS22" s="92"/>
      <c r="CT22" s="92"/>
      <c r="CU22" s="92"/>
      <c r="CV22" s="92"/>
      <c r="CW22" s="92"/>
      <c r="CX22" s="92"/>
      <c r="CY22" s="92"/>
      <c r="CZ22" s="92"/>
      <c r="DA22" s="92"/>
      <c r="DB22" s="92"/>
      <c r="DC22" s="92"/>
      <c r="DD22" s="92"/>
      <c r="DE22" s="92"/>
      <c r="DF22" s="92"/>
      <c r="DG22" s="92"/>
      <c r="DH22" s="92"/>
      <c r="DI22" s="92"/>
      <c r="DJ22" s="92"/>
      <c r="DK22" s="92"/>
      <c r="DL22" s="92"/>
      <c r="DM22" s="92"/>
      <c r="DN22" s="92"/>
      <c r="DO22" s="92"/>
      <c r="DP22" s="92"/>
      <c r="DQ22" s="92"/>
      <c r="DR22" s="92"/>
      <c r="DS22" s="92"/>
      <c r="DT22" s="92"/>
      <c r="DU22" s="92"/>
      <c r="DV22" s="92"/>
      <c r="DW22" s="92"/>
      <c r="DX22" s="92"/>
      <c r="DY22" s="92"/>
      <c r="DZ22" s="92"/>
      <c r="EA22" s="92"/>
      <c r="EB22" s="92"/>
      <c r="EC22" s="92"/>
      <c r="ED22" s="92"/>
      <c r="EE22" s="92"/>
      <c r="EF22" s="92"/>
      <c r="EG22" s="92"/>
      <c r="EH22" s="92"/>
      <c r="EI22" s="92"/>
      <c r="EJ22" s="92"/>
      <c r="EK22" s="92"/>
      <c r="EL22" s="92"/>
      <c r="EM22" s="92"/>
      <c r="EN22" s="92"/>
      <c r="EO22" s="92"/>
      <c r="EP22" s="92"/>
      <c r="EQ22" s="92"/>
      <c r="ER22" s="92"/>
      <c r="ES22" s="92"/>
      <c r="ET22" s="92"/>
      <c r="EU22" s="92"/>
      <c r="EV22" s="92"/>
      <c r="EW22" s="92"/>
      <c r="EX22" s="92"/>
      <c r="EY22" s="92"/>
      <c r="EZ22" s="92"/>
      <c r="FA22" s="92"/>
      <c r="FB22" s="92"/>
      <c r="FC22" s="92"/>
      <c r="FD22" s="92"/>
      <c r="FE22" s="92"/>
      <c r="FF22" s="92"/>
      <c r="FG22" s="92"/>
      <c r="FH22" s="92"/>
    </row>
    <row r="23">
      <c r="A23" s="32" t="s">
        <v>17</v>
      </c>
      <c r="B23" s="32" t="s">
        <v>18</v>
      </c>
      <c r="C23" s="32" t="s">
        <v>12</v>
      </c>
      <c r="D23" s="97">
        <f t="shared" si="1"/>
        <v>4815.364845</v>
      </c>
      <c r="E23" s="92">
        <f>(SUBSTITUTE(Audio!E23, "RE-", "", 1))*1</f>
        <v>0</v>
      </c>
      <c r="F23" s="92">
        <f>(SUBSTITUTE(Audio!F23, "RE-", "", 1))*1</f>
        <v>399.1997427</v>
      </c>
      <c r="G23" s="92">
        <f>(SUBSTITUTE(Audio!G23, "RE-", "", 1))*1</f>
        <v>3.175227083</v>
      </c>
      <c r="H23" s="92">
        <f>(SUBSTITUTE(Audio!H23, "RE-", "", 1))*1</f>
        <v>44.94530625</v>
      </c>
      <c r="I23" s="92">
        <f>(SUBSTITUTE(Audio!I23, "RE-", "", 1))*1</f>
        <v>0</v>
      </c>
      <c r="J23" s="92">
        <f>(SUBSTITUTE(Audio!J23, "RE-", "", 1))*1</f>
        <v>155.0953698</v>
      </c>
      <c r="K23" s="92">
        <f>(SUBSTITUTE(Audio!K23, "RE-", "", 1))*1</f>
        <v>0</v>
      </c>
      <c r="L23" s="92">
        <f>(SUBSTITUTE(Audio!L23, "RE-", "", 1))*1</f>
        <v>506.8378417</v>
      </c>
      <c r="M23" s="92">
        <f>(SUBSTITUTE(Audio!M23, "RE-", "", 1))*1</f>
        <v>0.6205875</v>
      </c>
      <c r="N23" s="92">
        <f>(SUBSTITUTE(Audio!N23, "RE-", "", 1))*1</f>
        <v>2614.272403</v>
      </c>
      <c r="O23" s="92">
        <f>(SUBSTITUTE(Audio!O23, "RE-", "", 1))*1</f>
        <v>13.51900312</v>
      </c>
      <c r="P23" s="92">
        <f>(SUBSTITUTE(Audio!P23, "RE-", "", 1))*1</f>
        <v>236.9735208</v>
      </c>
      <c r="Q23" s="92">
        <f>(SUBSTITUTE(Audio!Q23, "RE-", "", 1))*1</f>
        <v>2.739744792</v>
      </c>
      <c r="R23" s="92">
        <f>(SUBSTITUTE(Audio!R23, "RE-", "", 1))*1</f>
        <v>544.0014958</v>
      </c>
      <c r="S23" s="92">
        <f>(SUBSTITUTE(Audio!S23, "RE-", "", 1))*1</f>
        <v>5.284045833</v>
      </c>
      <c r="T23" s="92">
        <f>(SUBSTITUTE(Audio!T23, "RE-", "", 1))*1</f>
        <v>278.6587062</v>
      </c>
      <c r="U23" s="92">
        <f>(SUBSTITUTE(Audio!U23, "RE-", "", 1))*1</f>
        <v>10.04185</v>
      </c>
      <c r="V23" s="92">
        <f>(SUBSTITUTE(Audio!V23, "RE-", "", 1))*1</f>
        <v>0</v>
      </c>
      <c r="W23" s="92">
        <f>(SUBSTITUTE(Audio!W23, "RE-", "", 1))*1</f>
        <v>0</v>
      </c>
      <c r="X23" s="92">
        <f>(SUBSTITUTE(Audio!X23, "RE-", "", 1))*1</f>
        <v>0</v>
      </c>
      <c r="Y23" s="92">
        <f>(SUBSTITUTE(Audio!Y23, "RE-", "", 1))*1</f>
        <v>0</v>
      </c>
      <c r="Z23" s="92">
        <f>(SUBSTITUTE(Audio!Z23, "RE-", "", 1))*1</f>
        <v>0</v>
      </c>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CF23" s="92"/>
      <c r="CG23" s="92"/>
      <c r="CH23" s="92"/>
      <c r="CI23" s="92"/>
      <c r="CJ23" s="92"/>
      <c r="CK23" s="92"/>
      <c r="CL23" s="92"/>
      <c r="CM23" s="92"/>
      <c r="CN23" s="92"/>
      <c r="CO23" s="92"/>
      <c r="CP23" s="92"/>
      <c r="CQ23" s="92"/>
      <c r="CR23" s="92"/>
      <c r="CS23" s="92"/>
      <c r="CT23" s="92"/>
      <c r="CU23" s="92"/>
      <c r="CV23" s="92"/>
      <c r="CW23" s="92"/>
      <c r="CX23" s="92"/>
      <c r="CY23" s="92"/>
      <c r="CZ23" s="92"/>
      <c r="DA23" s="92"/>
      <c r="DB23" s="92"/>
      <c r="DC23" s="92"/>
      <c r="DD23" s="92"/>
      <c r="DE23" s="92"/>
      <c r="DF23" s="92"/>
      <c r="DG23" s="92"/>
      <c r="DH23" s="92"/>
      <c r="DI23" s="92"/>
      <c r="DJ23" s="92"/>
      <c r="DK23" s="92"/>
      <c r="DL23" s="92"/>
      <c r="DM23" s="92"/>
      <c r="DN23" s="92"/>
      <c r="DO23" s="92"/>
      <c r="DP23" s="92"/>
      <c r="DQ23" s="92"/>
      <c r="DR23" s="92"/>
      <c r="DS23" s="92"/>
      <c r="DT23" s="92"/>
      <c r="DU23" s="92"/>
      <c r="DV23" s="92"/>
      <c r="DW23" s="92"/>
      <c r="DX23" s="92"/>
      <c r="DY23" s="92"/>
      <c r="DZ23" s="92"/>
      <c r="EA23" s="92"/>
      <c r="EB23" s="92"/>
      <c r="EC23" s="92"/>
      <c r="ED23" s="92"/>
      <c r="EE23" s="92"/>
      <c r="EF23" s="92"/>
      <c r="EG23" s="92"/>
      <c r="EH23" s="92"/>
      <c r="EI23" s="92"/>
      <c r="EJ23" s="92"/>
      <c r="EK23" s="92"/>
      <c r="EL23" s="92"/>
      <c r="EM23" s="92"/>
      <c r="EN23" s="92"/>
      <c r="EO23" s="92"/>
      <c r="EP23" s="92"/>
      <c r="EQ23" s="92"/>
      <c r="ER23" s="92"/>
      <c r="ES23" s="92"/>
      <c r="ET23" s="92"/>
      <c r="EU23" s="92"/>
      <c r="EV23" s="92"/>
      <c r="EW23" s="92"/>
      <c r="EX23" s="92"/>
      <c r="EY23" s="92"/>
      <c r="EZ23" s="92"/>
      <c r="FA23" s="92"/>
      <c r="FB23" s="92"/>
      <c r="FC23" s="92"/>
      <c r="FD23" s="92"/>
      <c r="FE23" s="92"/>
      <c r="FF23" s="92"/>
      <c r="FG23" s="92"/>
      <c r="FH23" s="92"/>
    </row>
    <row r="24">
      <c r="A24" s="32" t="s">
        <v>17</v>
      </c>
      <c r="B24" s="32" t="s">
        <v>18</v>
      </c>
      <c r="C24" s="32" t="s">
        <v>13</v>
      </c>
      <c r="D24" s="97">
        <f t="shared" si="1"/>
        <v>4660.113787</v>
      </c>
      <c r="E24" s="92">
        <f>(SUBSTITUTE(Audio!E24, "RE-", "", 1))*1</f>
        <v>0</v>
      </c>
      <c r="F24" s="92">
        <f>(SUBSTITUTE(Audio!F24, "RE-", "", 1))*1</f>
        <v>390.101</v>
      </c>
      <c r="G24" s="92">
        <f>(SUBSTITUTE(Audio!G24, "RE-", "", 1))*1</f>
        <v>3.08247</v>
      </c>
      <c r="H24" s="92">
        <f>(SUBSTITUTE(Audio!H24, "RE-", "", 1))*1</f>
        <v>44.7185</v>
      </c>
      <c r="I24" s="92">
        <f>(SUBSTITUTE(Audio!I24, "RE-", "", 1))*1</f>
        <v>0</v>
      </c>
      <c r="J24" s="92">
        <f>(SUBSTITUTE(Audio!J24, "RE-", "", 1))*1</f>
        <v>152.238</v>
      </c>
      <c r="K24" s="92">
        <f>(SUBSTITUTE(Audio!K24, "RE-", "", 1))*1</f>
        <v>0</v>
      </c>
      <c r="L24" s="92">
        <f>(SUBSTITUTE(Audio!L24, "RE-", "", 1))*1</f>
        <v>486.484</v>
      </c>
      <c r="M24" s="92">
        <f>(SUBSTITUTE(Audio!M24, "RE-", "", 1))*1</f>
        <v>0.588317</v>
      </c>
      <c r="N24" s="92">
        <f>(SUBSTITUTE(Audio!N24, "RE-", "", 1))*1</f>
        <v>2534.52</v>
      </c>
      <c r="O24" s="92">
        <f>(SUBSTITUTE(Audio!O24, "RE-", "", 1))*1</f>
        <v>12.8561</v>
      </c>
      <c r="P24" s="92">
        <f>(SUBSTITUTE(Audio!P24, "RE-", "", 1))*1</f>
        <v>228.086</v>
      </c>
      <c r="Q24" s="92">
        <f>(SUBSTITUTE(Audio!Q24, "RE-", "", 1))*1</f>
        <v>2.62258</v>
      </c>
      <c r="R24" s="92">
        <f>(SUBSTITUTE(Audio!R24, "RE-", "", 1))*1</f>
        <v>521.185</v>
      </c>
      <c r="S24" s="92">
        <f>(SUBSTITUTE(Audio!S24, "RE-", "", 1))*1</f>
        <v>5.1103</v>
      </c>
      <c r="T24" s="92">
        <f>(SUBSTITUTE(Audio!T24, "RE-", "", 1))*1</f>
        <v>269.186</v>
      </c>
      <c r="U24" s="92">
        <f>(SUBSTITUTE(Audio!U24, "RE-", "", 1))*1</f>
        <v>9.33552</v>
      </c>
      <c r="V24" s="92">
        <f>(SUBSTITUTE(Audio!V24, "RE-", "", 1))*1</f>
        <v>0</v>
      </c>
      <c r="W24" s="92">
        <f>(SUBSTITUTE(Audio!W24, "RE-", "", 1))*1</f>
        <v>0</v>
      </c>
      <c r="X24" s="92">
        <f>(SUBSTITUTE(Audio!X24, "RE-", "", 1))*1</f>
        <v>0</v>
      </c>
      <c r="Y24" s="92">
        <f>(SUBSTITUTE(Audio!Y24, "RE-", "", 1))*1</f>
        <v>0</v>
      </c>
      <c r="Z24" s="92">
        <f>(SUBSTITUTE(Audio!Z24, "RE-", "", 1))*1</f>
        <v>0</v>
      </c>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c r="CF24" s="92"/>
      <c r="CG24" s="92"/>
      <c r="CH24" s="92"/>
      <c r="CI24" s="92"/>
      <c r="CJ24" s="92"/>
      <c r="CK24" s="92"/>
      <c r="CL24" s="92"/>
      <c r="CM24" s="92"/>
      <c r="CN24" s="92"/>
      <c r="CO24" s="92"/>
      <c r="CP24" s="92"/>
      <c r="CQ24" s="92"/>
      <c r="CR24" s="92"/>
      <c r="CS24" s="92"/>
      <c r="CT24" s="92"/>
      <c r="CU24" s="92"/>
      <c r="CV24" s="92"/>
      <c r="CW24" s="92"/>
      <c r="CX24" s="92"/>
      <c r="CY24" s="92"/>
      <c r="CZ24" s="92"/>
      <c r="DA24" s="92"/>
      <c r="DB24" s="92"/>
      <c r="DC24" s="92"/>
      <c r="DD24" s="92"/>
      <c r="DE24" s="92"/>
      <c r="DF24" s="92"/>
      <c r="DG24" s="92"/>
      <c r="DH24" s="92"/>
      <c r="DI24" s="92"/>
      <c r="DJ24" s="92"/>
      <c r="DK24" s="92"/>
      <c r="DL24" s="92"/>
      <c r="DM24" s="92"/>
      <c r="DN24" s="92"/>
      <c r="DO24" s="92"/>
      <c r="DP24" s="92"/>
      <c r="DQ24" s="92"/>
      <c r="DR24" s="92"/>
      <c r="DS24" s="92"/>
      <c r="DT24" s="92"/>
      <c r="DU24" s="92"/>
      <c r="DV24" s="92"/>
      <c r="DW24" s="92"/>
      <c r="DX24" s="92"/>
      <c r="DY24" s="92"/>
      <c r="DZ24" s="92"/>
      <c r="EA24" s="92"/>
      <c r="EB24" s="92"/>
      <c r="EC24" s="92"/>
      <c r="ED24" s="92"/>
      <c r="EE24" s="92"/>
      <c r="EF24" s="92"/>
      <c r="EG24" s="92"/>
      <c r="EH24" s="92"/>
      <c r="EI24" s="92"/>
      <c r="EJ24" s="92"/>
      <c r="EK24" s="92"/>
      <c r="EL24" s="92"/>
      <c r="EM24" s="92"/>
      <c r="EN24" s="92"/>
      <c r="EO24" s="92"/>
      <c r="EP24" s="92"/>
      <c r="EQ24" s="92"/>
      <c r="ER24" s="92"/>
      <c r="ES24" s="92"/>
      <c r="ET24" s="92"/>
      <c r="EU24" s="92"/>
      <c r="EV24" s="92"/>
      <c r="EW24" s="92"/>
      <c r="EX24" s="92"/>
      <c r="EY24" s="92"/>
      <c r="EZ24" s="92"/>
      <c r="FA24" s="92"/>
      <c r="FB24" s="92"/>
      <c r="FC24" s="92"/>
      <c r="FD24" s="92"/>
      <c r="FE24" s="92"/>
      <c r="FF24" s="92"/>
      <c r="FG24" s="92"/>
      <c r="FH24" s="92"/>
    </row>
    <row r="25">
      <c r="A25" s="32" t="s">
        <v>17</v>
      </c>
      <c r="B25" s="32" t="s">
        <v>18</v>
      </c>
      <c r="C25" s="32" t="s">
        <v>14</v>
      </c>
      <c r="D25" s="97">
        <f t="shared" si="1"/>
        <v>4051.971367</v>
      </c>
      <c r="E25" s="92">
        <f>(SUBSTITUTE(Audio!E25, "RE-", "", 1))*1</f>
        <v>0</v>
      </c>
      <c r="F25" s="92">
        <f>(SUBSTITUTE(Audio!F25, "RE-", "", 1))*1</f>
        <v>358.637</v>
      </c>
      <c r="G25" s="92">
        <f>(SUBSTITUTE(Audio!G25, "RE-", "", 1))*1</f>
        <v>2.77035</v>
      </c>
      <c r="H25" s="92">
        <f>(SUBSTITUTE(Audio!H25, "RE-", "", 1))*1</f>
        <v>41.3372</v>
      </c>
      <c r="I25" s="92">
        <f>(SUBSTITUTE(Audio!I25, "RE-", "", 1))*1</f>
        <v>0</v>
      </c>
      <c r="J25" s="92">
        <f>(SUBSTITUTE(Audio!J25, "RE-", "", 1))*1</f>
        <v>138.678</v>
      </c>
      <c r="K25" s="92">
        <f>(SUBSTITUTE(Audio!K25, "RE-", "", 1))*1</f>
        <v>0</v>
      </c>
      <c r="L25" s="92">
        <f>(SUBSTITUTE(Audio!L25, "RE-", "", 1))*1</f>
        <v>414.628</v>
      </c>
      <c r="M25" s="92">
        <f>(SUBSTITUTE(Audio!M25, "RE-", "", 1))*1</f>
        <v>0.588317</v>
      </c>
      <c r="N25" s="92">
        <f>(SUBSTITUTE(Audio!N25, "RE-", "", 1))*1</f>
        <v>2212.09</v>
      </c>
      <c r="O25" s="92">
        <f>(SUBSTITUTE(Audio!O25, "RE-", "", 1))*1</f>
        <v>10.7847</v>
      </c>
      <c r="P25" s="92">
        <f>(SUBSTITUTE(Audio!P25, "RE-", "", 1))*1</f>
        <v>192.015</v>
      </c>
      <c r="Q25" s="92">
        <f>(SUBSTITUTE(Audio!Q25, "RE-", "", 1))*1</f>
        <v>2.62258</v>
      </c>
      <c r="R25" s="92">
        <f>(SUBSTITUTE(Audio!R25, "RE-", "", 1))*1</f>
        <v>439.239</v>
      </c>
      <c r="S25" s="92">
        <f>(SUBSTITUTE(Audio!S25, "RE-", "", 1))*1</f>
        <v>4.44205</v>
      </c>
      <c r="T25" s="92">
        <f>(SUBSTITUTE(Audio!T25, "RE-", "", 1))*1</f>
        <v>225.279</v>
      </c>
      <c r="U25" s="92">
        <f>(SUBSTITUTE(Audio!U25, "RE-", "", 1))*1</f>
        <v>8.86017</v>
      </c>
      <c r="V25" s="92">
        <f>(SUBSTITUTE(Audio!V25, "RE-", "", 1))*1</f>
        <v>0</v>
      </c>
      <c r="W25" s="92">
        <f>(SUBSTITUTE(Audio!W25, "RE-", "", 1))*1</f>
        <v>0</v>
      </c>
      <c r="X25" s="92">
        <f>(SUBSTITUTE(Audio!X25, "RE-", "", 1))*1</f>
        <v>0</v>
      </c>
      <c r="Y25" s="92">
        <f>(SUBSTITUTE(Audio!Y25, "RE-", "", 1))*1</f>
        <v>0</v>
      </c>
      <c r="Z25" s="92">
        <f>(SUBSTITUTE(Audio!Z25, "RE-", "", 1))*1</f>
        <v>0</v>
      </c>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c r="CF25" s="92"/>
      <c r="CG25" s="92"/>
      <c r="CH25" s="92"/>
      <c r="CI25" s="92"/>
      <c r="CJ25" s="92"/>
      <c r="CK25" s="92"/>
      <c r="CL25" s="92"/>
      <c r="CM25" s="92"/>
      <c r="CN25" s="92"/>
      <c r="CO25" s="92"/>
      <c r="CP25" s="92"/>
      <c r="CQ25" s="92"/>
      <c r="CR25" s="92"/>
      <c r="CS25" s="92"/>
      <c r="CT25" s="92"/>
      <c r="CU25" s="92"/>
      <c r="CV25" s="92"/>
      <c r="CW25" s="92"/>
      <c r="CX25" s="92"/>
      <c r="CY25" s="92"/>
      <c r="CZ25" s="92"/>
      <c r="DA25" s="92"/>
      <c r="DB25" s="92"/>
      <c r="DC25" s="92"/>
      <c r="DD25" s="92"/>
      <c r="DE25" s="92"/>
      <c r="DF25" s="92"/>
      <c r="DG25" s="92"/>
      <c r="DH25" s="92"/>
      <c r="DI25" s="92"/>
      <c r="DJ25" s="92"/>
      <c r="DK25" s="92"/>
      <c r="DL25" s="92"/>
      <c r="DM25" s="92"/>
      <c r="DN25" s="92"/>
      <c r="DO25" s="92"/>
      <c r="DP25" s="92"/>
      <c r="DQ25" s="92"/>
      <c r="DR25" s="92"/>
      <c r="DS25" s="92"/>
      <c r="DT25" s="92"/>
      <c r="DU25" s="92"/>
      <c r="DV25" s="92"/>
      <c r="DW25" s="92"/>
      <c r="DX25" s="92"/>
      <c r="DY25" s="92"/>
      <c r="DZ25" s="92"/>
      <c r="EA25" s="92"/>
      <c r="EB25" s="92"/>
      <c r="EC25" s="92"/>
      <c r="ED25" s="92"/>
      <c r="EE25" s="92"/>
      <c r="EF25" s="92"/>
      <c r="EG25" s="92"/>
      <c r="EH25" s="92"/>
      <c r="EI25" s="92"/>
      <c r="EJ25" s="92"/>
      <c r="EK25" s="92"/>
      <c r="EL25" s="92"/>
      <c r="EM25" s="92"/>
      <c r="EN25" s="92"/>
      <c r="EO25" s="92"/>
      <c r="EP25" s="92"/>
      <c r="EQ25" s="92"/>
      <c r="ER25" s="92"/>
      <c r="ES25" s="92"/>
      <c r="ET25" s="92"/>
      <c r="EU25" s="92"/>
      <c r="EV25" s="92"/>
      <c r="EW25" s="92"/>
      <c r="EX25" s="92"/>
      <c r="EY25" s="92"/>
      <c r="EZ25" s="92"/>
      <c r="FA25" s="92"/>
      <c r="FB25" s="92"/>
      <c r="FC25" s="92"/>
      <c r="FD25" s="92"/>
      <c r="FE25" s="92"/>
      <c r="FF25" s="92"/>
      <c r="FG25" s="92"/>
      <c r="FH25" s="92"/>
    </row>
    <row r="26">
      <c r="A26" s="27" t="s">
        <v>17</v>
      </c>
      <c r="B26" s="27" t="s">
        <v>18</v>
      </c>
      <c r="C26" s="27" t="s">
        <v>15</v>
      </c>
      <c r="D26" s="98">
        <f t="shared" si="1"/>
        <v>4657.602787</v>
      </c>
      <c r="E26" s="92">
        <f>(SUBSTITUTE(Audio!E26, "RE-", "", 1))*1</f>
        <v>0</v>
      </c>
      <c r="F26" s="92">
        <f>(SUBSTITUTE(Audio!F26, "RE-", "", 1))*1</f>
        <v>390.101</v>
      </c>
      <c r="G26" s="92">
        <f>(SUBSTITUTE(Audio!G26, "RE-", "", 1))*1</f>
        <v>3.08247</v>
      </c>
      <c r="H26" s="92">
        <f>(SUBSTITUTE(Audio!H26, "RE-", "", 1))*1</f>
        <v>44.7185</v>
      </c>
      <c r="I26" s="92">
        <f>(SUBSTITUTE(Audio!I26, "RE-", "", 1))*1</f>
        <v>0</v>
      </c>
      <c r="J26" s="92">
        <f>(SUBSTITUTE(Audio!J26, "RE-", "", 1))*1</f>
        <v>152.007</v>
      </c>
      <c r="K26" s="92">
        <f>(SUBSTITUTE(Audio!K26, "RE-", "", 1))*1</f>
        <v>0</v>
      </c>
      <c r="L26" s="92">
        <f>(SUBSTITUTE(Audio!L26, "RE-", "", 1))*1</f>
        <v>486.484</v>
      </c>
      <c r="M26" s="92">
        <f>(SUBSTITUTE(Audio!M26, "RE-", "", 1))*1</f>
        <v>0.588317</v>
      </c>
      <c r="N26" s="92">
        <f>(SUBSTITUTE(Audio!N26, "RE-", "", 1))*1</f>
        <v>2532.27</v>
      </c>
      <c r="O26" s="92">
        <f>(SUBSTITUTE(Audio!O26, "RE-", "", 1))*1</f>
        <v>12.8561</v>
      </c>
      <c r="P26" s="92">
        <f>(SUBSTITUTE(Audio!P26, "RE-", "", 1))*1</f>
        <v>228.086</v>
      </c>
      <c r="Q26" s="92">
        <f>(SUBSTITUTE(Audio!Q26, "RE-", "", 1))*1</f>
        <v>2.62258</v>
      </c>
      <c r="R26" s="92">
        <f>(SUBSTITUTE(Audio!R26, "RE-", "", 1))*1</f>
        <v>521.185</v>
      </c>
      <c r="S26" s="92">
        <f>(SUBSTITUTE(Audio!S26, "RE-", "", 1))*1</f>
        <v>5.1103</v>
      </c>
      <c r="T26" s="92">
        <f>(SUBSTITUTE(Audio!T26, "RE-", "", 1))*1</f>
        <v>269.156</v>
      </c>
      <c r="U26" s="92">
        <f>(SUBSTITUTE(Audio!U26, "RE-", "", 1))*1</f>
        <v>9.33552</v>
      </c>
      <c r="V26" s="92">
        <f>(SUBSTITUTE(Audio!V26, "RE-", "", 1))*1</f>
        <v>0</v>
      </c>
      <c r="W26" s="92">
        <f>(SUBSTITUTE(Audio!W26, "RE-", "", 1))*1</f>
        <v>0</v>
      </c>
      <c r="X26" s="92">
        <f>(SUBSTITUTE(Audio!X26, "RE-", "", 1))*1</f>
        <v>0</v>
      </c>
      <c r="Y26" s="92">
        <f>(SUBSTITUTE(Audio!Y26, "RE-", "", 1))*1</f>
        <v>0</v>
      </c>
      <c r="Z26" s="92">
        <f>(SUBSTITUTE(Audio!Z26, "RE-", "", 1))*1</f>
        <v>0</v>
      </c>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c r="CF26" s="92"/>
      <c r="CG26" s="92"/>
      <c r="CH26" s="92"/>
      <c r="CI26" s="92"/>
      <c r="CJ26" s="92"/>
      <c r="CK26" s="92"/>
      <c r="CL26" s="92"/>
      <c r="CM26" s="92"/>
      <c r="CN26" s="92"/>
      <c r="CO26" s="92"/>
      <c r="CP26" s="92"/>
      <c r="CQ26" s="92"/>
      <c r="CR26" s="92"/>
      <c r="CS26" s="92"/>
      <c r="CT26" s="92"/>
      <c r="CU26" s="92"/>
      <c r="CV26" s="92"/>
      <c r="CW26" s="92"/>
      <c r="CX26" s="92"/>
      <c r="CY26" s="92"/>
      <c r="CZ26" s="92"/>
      <c r="DA26" s="92"/>
      <c r="DB26" s="92"/>
      <c r="DC26" s="92"/>
      <c r="DD26" s="92"/>
      <c r="DE26" s="92"/>
      <c r="DF26" s="92"/>
      <c r="DG26" s="92"/>
      <c r="DH26" s="92"/>
      <c r="DI26" s="92"/>
      <c r="DJ26" s="92"/>
      <c r="DK26" s="92"/>
      <c r="DL26" s="92"/>
      <c r="DM26" s="92"/>
      <c r="DN26" s="92"/>
      <c r="DO26" s="92"/>
      <c r="DP26" s="92"/>
      <c r="DQ26" s="92"/>
      <c r="DR26" s="92"/>
      <c r="DS26" s="92"/>
      <c r="DT26" s="92"/>
      <c r="DU26" s="92"/>
      <c r="DV26" s="92"/>
      <c r="DW26" s="92"/>
      <c r="DX26" s="92"/>
      <c r="DY26" s="92"/>
      <c r="DZ26" s="92"/>
      <c r="EA26" s="92"/>
      <c r="EB26" s="92"/>
      <c r="EC26" s="92"/>
      <c r="ED26" s="92"/>
      <c r="EE26" s="92"/>
      <c r="EF26" s="92"/>
      <c r="EG26" s="92"/>
      <c r="EH26" s="92"/>
      <c r="EI26" s="92"/>
      <c r="EJ26" s="92"/>
      <c r="EK26" s="92"/>
      <c r="EL26" s="92"/>
      <c r="EM26" s="92"/>
      <c r="EN26" s="92"/>
      <c r="EO26" s="92"/>
      <c r="EP26" s="92"/>
      <c r="EQ26" s="92"/>
      <c r="ER26" s="92"/>
      <c r="ES26" s="92"/>
      <c r="ET26" s="92"/>
      <c r="EU26" s="92"/>
      <c r="EV26" s="92"/>
      <c r="EW26" s="92"/>
      <c r="EX26" s="92"/>
      <c r="EY26" s="92"/>
      <c r="EZ26" s="92"/>
      <c r="FA26" s="92"/>
      <c r="FB26" s="92"/>
      <c r="FC26" s="92"/>
      <c r="FD26" s="92"/>
      <c r="FE26" s="92"/>
      <c r="FF26" s="92"/>
      <c r="FG26" s="92"/>
      <c r="FH26" s="92"/>
    </row>
    <row r="27">
      <c r="A27" s="30" t="s">
        <v>7</v>
      </c>
      <c r="B27" s="30" t="s">
        <v>19</v>
      </c>
      <c r="C27" s="31" t="str">
        <f>HYPERLINK("https://docs.google.com/spreadsheets/d/1HqlFgyNsNHGy-Zjl89hRZB-F3p1MY31A/edit?usp=share_link&amp;ouid=106501987799020758802&amp;rtpof=true&amp;sd=true", "Raw Delivered")</f>
        <v>Raw Delivered</v>
      </c>
      <c r="D27" s="96">
        <f t="shared" si="1"/>
        <v>8419.082249</v>
      </c>
      <c r="E27" s="92">
        <f>(SUBSTITUTE(Audio!E27, "RE-", "", 1))*1</f>
        <v>0</v>
      </c>
      <c r="F27" s="92">
        <f>(SUBSTITUTE(Audio!F27, "RE-", "", 1))*1</f>
        <v>2300.067227</v>
      </c>
      <c r="G27" s="92">
        <f>(SUBSTITUTE(Audio!G27, "RE-", "", 1))*1</f>
        <v>0</v>
      </c>
      <c r="H27" s="92">
        <f>(SUBSTITUTE(Audio!H27, "RE-", "", 1))*1</f>
        <v>167.1682146</v>
      </c>
      <c r="I27" s="92">
        <f>(SUBSTITUTE(Audio!I27, "RE-", "", 1))*1</f>
        <v>0</v>
      </c>
      <c r="J27" s="92">
        <f>(SUBSTITUTE(Audio!J27, "RE-", "", 1))*1</f>
        <v>2394.989502</v>
      </c>
      <c r="K27" s="92">
        <f>(SUBSTITUTE(Audio!K27, "RE-", "", 1))*1</f>
        <v>0</v>
      </c>
      <c r="L27" s="92">
        <f>(SUBSTITUTE(Audio!L27, "RE-", "", 1))*1</f>
        <v>751.0957354</v>
      </c>
      <c r="M27" s="92">
        <f>(SUBSTITUTE(Audio!M27, "RE-", "", 1))*1</f>
        <v>0</v>
      </c>
      <c r="N27" s="92">
        <f>(SUBSTITUTE(Audio!N27, "RE-", "", 1))*1</f>
        <v>1540.153046</v>
      </c>
      <c r="O27" s="92">
        <f>(SUBSTITUTE(Audio!O27, "RE-", "", 1))*1</f>
        <v>0</v>
      </c>
      <c r="P27" s="92">
        <f>(SUBSTITUTE(Audio!P27, "RE-", "", 1))*1</f>
        <v>733.2235104</v>
      </c>
      <c r="Q27" s="92">
        <f>(SUBSTITUTE(Audio!Q27, "RE-", "", 1))*1</f>
        <v>0</v>
      </c>
      <c r="R27" s="92">
        <f>(SUBSTITUTE(Audio!R27, "RE-", "", 1))*1</f>
        <v>196.4764167</v>
      </c>
      <c r="S27" s="92">
        <f>(SUBSTITUTE(Audio!S27, "RE-", "", 1))*1</f>
        <v>0</v>
      </c>
      <c r="T27" s="92">
        <f>(SUBSTITUTE(Audio!T27, "RE-", "", 1))*1</f>
        <v>335.9085969</v>
      </c>
      <c r="U27" s="92">
        <f>(SUBSTITUTE(Audio!U27, "RE-", "", 1))*1</f>
        <v>0</v>
      </c>
      <c r="V27" s="92">
        <f>(SUBSTITUTE(Audio!V27, "RE-", "", 1))*1</f>
        <v>0</v>
      </c>
      <c r="W27" s="92">
        <f>(SUBSTITUTE(Audio!W27, "RE-", "", 1))*1</f>
        <v>0</v>
      </c>
      <c r="X27" s="92">
        <f>(SUBSTITUTE(Audio!X27, "RE-", "", 1))*1</f>
        <v>0</v>
      </c>
      <c r="Y27" s="92">
        <f>(SUBSTITUTE(Audio!Y27, "RE-", "", 1))*1</f>
        <v>0</v>
      </c>
      <c r="Z27" s="92">
        <f>(SUBSTITUTE(Audio!Z27, "RE-", "", 1))*1</f>
        <v>0</v>
      </c>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c r="CA27" s="92"/>
      <c r="CB27" s="92"/>
      <c r="CC27" s="92"/>
      <c r="CD27" s="92"/>
      <c r="CE27" s="92"/>
      <c r="CF27" s="92"/>
      <c r="CG27" s="92"/>
      <c r="CH27" s="92"/>
      <c r="CI27" s="92"/>
      <c r="CJ27" s="92"/>
      <c r="CK27" s="92"/>
      <c r="CL27" s="92"/>
      <c r="CM27" s="92"/>
      <c r="CN27" s="92"/>
      <c r="CO27" s="92"/>
      <c r="CP27" s="92"/>
      <c r="CQ27" s="92"/>
      <c r="CR27" s="92"/>
      <c r="CS27" s="92"/>
      <c r="CT27" s="92"/>
      <c r="CU27" s="92"/>
      <c r="CV27" s="92"/>
      <c r="CW27" s="92"/>
      <c r="CX27" s="92"/>
      <c r="CY27" s="92"/>
      <c r="CZ27" s="92"/>
      <c r="DA27" s="92"/>
      <c r="DB27" s="92"/>
      <c r="DC27" s="92"/>
      <c r="DD27" s="92"/>
      <c r="DE27" s="92"/>
      <c r="DF27" s="92"/>
      <c r="DG27" s="92"/>
      <c r="DH27" s="92"/>
      <c r="DI27" s="92"/>
      <c r="DJ27" s="92"/>
      <c r="DK27" s="92"/>
      <c r="DL27" s="92"/>
      <c r="DM27" s="92"/>
      <c r="DN27" s="92"/>
      <c r="DO27" s="92"/>
      <c r="DP27" s="92"/>
      <c r="DQ27" s="92"/>
      <c r="DR27" s="92"/>
      <c r="DS27" s="92"/>
      <c r="DT27" s="92"/>
      <c r="DU27" s="92"/>
      <c r="DV27" s="92"/>
      <c r="DW27" s="92"/>
      <c r="DX27" s="92"/>
      <c r="DY27" s="92"/>
      <c r="DZ27" s="92"/>
      <c r="EA27" s="92"/>
      <c r="EB27" s="92"/>
      <c r="EC27" s="92"/>
      <c r="ED27" s="92"/>
      <c r="EE27" s="92"/>
      <c r="EF27" s="92"/>
      <c r="EG27" s="92"/>
      <c r="EH27" s="92"/>
      <c r="EI27" s="92"/>
      <c r="EJ27" s="92"/>
      <c r="EK27" s="92"/>
      <c r="EL27" s="92"/>
      <c r="EM27" s="92"/>
      <c r="EN27" s="92"/>
      <c r="EO27" s="92"/>
      <c r="EP27" s="92"/>
      <c r="EQ27" s="92"/>
      <c r="ER27" s="92"/>
      <c r="ES27" s="92"/>
      <c r="ET27" s="92"/>
      <c r="EU27" s="92"/>
      <c r="EV27" s="92"/>
      <c r="EW27" s="92"/>
      <c r="EX27" s="92"/>
      <c r="EY27" s="92"/>
      <c r="EZ27" s="92"/>
      <c r="FA27" s="92"/>
      <c r="FB27" s="92"/>
      <c r="FC27" s="92"/>
      <c r="FD27" s="92"/>
      <c r="FE27" s="92"/>
      <c r="FF27" s="92"/>
      <c r="FG27" s="92"/>
      <c r="FH27" s="92"/>
    </row>
    <row r="28">
      <c r="A28" s="32" t="s">
        <v>7</v>
      </c>
      <c r="B28" s="32" t="s">
        <v>19</v>
      </c>
      <c r="C28" s="32" t="s">
        <v>9</v>
      </c>
      <c r="D28" s="97">
        <f t="shared" si="1"/>
        <v>8419.082249</v>
      </c>
      <c r="E28" s="92">
        <f>(SUBSTITUTE(Audio!E28, "RE-", "", 1))*1</f>
        <v>0</v>
      </c>
      <c r="F28" s="92">
        <f>(SUBSTITUTE(Audio!F28, "RE-", "", 1))*1</f>
        <v>2300.067227</v>
      </c>
      <c r="G28" s="92">
        <f>(SUBSTITUTE(Audio!G28, "RE-", "", 1))*1</f>
        <v>0</v>
      </c>
      <c r="H28" s="92">
        <f>(SUBSTITUTE(Audio!H28, "RE-", "", 1))*1</f>
        <v>167.1682146</v>
      </c>
      <c r="I28" s="92">
        <f>(SUBSTITUTE(Audio!I28, "RE-", "", 1))*1</f>
        <v>0</v>
      </c>
      <c r="J28" s="92">
        <f>(SUBSTITUTE(Audio!J28, "RE-", "", 1))*1</f>
        <v>2394.989502</v>
      </c>
      <c r="K28" s="92">
        <f>(SUBSTITUTE(Audio!K28, "RE-", "", 1))*1</f>
        <v>0</v>
      </c>
      <c r="L28" s="92">
        <f>(SUBSTITUTE(Audio!L28, "RE-", "", 1))*1</f>
        <v>751.0957354</v>
      </c>
      <c r="M28" s="92">
        <f>(SUBSTITUTE(Audio!M28, "RE-", "", 1))*1</f>
        <v>0</v>
      </c>
      <c r="N28" s="92">
        <f>(SUBSTITUTE(Audio!N28, "RE-", "", 1))*1</f>
        <v>1540.153046</v>
      </c>
      <c r="O28" s="92">
        <f>(SUBSTITUTE(Audio!O28, "RE-", "", 1))*1</f>
        <v>0</v>
      </c>
      <c r="P28" s="92">
        <f>(SUBSTITUTE(Audio!P28, "RE-", "", 1))*1</f>
        <v>733.2235104</v>
      </c>
      <c r="Q28" s="92">
        <f>(SUBSTITUTE(Audio!Q28, "RE-", "", 1))*1</f>
        <v>0</v>
      </c>
      <c r="R28" s="92">
        <f>(SUBSTITUTE(Audio!R28, "RE-", "", 1))*1</f>
        <v>196.4764167</v>
      </c>
      <c r="S28" s="92">
        <f>(SUBSTITUTE(Audio!S28, "RE-", "", 1))*1</f>
        <v>0</v>
      </c>
      <c r="T28" s="92">
        <f>(SUBSTITUTE(Audio!T28, "RE-", "", 1))*1</f>
        <v>335.9085969</v>
      </c>
      <c r="U28" s="92">
        <f>(SUBSTITUTE(Audio!U28, "RE-", "", 1))*1</f>
        <v>0</v>
      </c>
      <c r="V28" s="92">
        <f>(SUBSTITUTE(Audio!V28, "RE-", "", 1))*1</f>
        <v>0</v>
      </c>
      <c r="W28" s="92">
        <f>(SUBSTITUTE(Audio!W28, "RE-", "", 1))*1</f>
        <v>0</v>
      </c>
      <c r="X28" s="92">
        <f>(SUBSTITUTE(Audio!X28, "RE-", "", 1))*1</f>
        <v>0</v>
      </c>
      <c r="Y28" s="92">
        <f>(SUBSTITUTE(Audio!Y28, "RE-", "", 1))*1</f>
        <v>0</v>
      </c>
      <c r="Z28" s="92">
        <f>(SUBSTITUTE(Audio!Z28, "RE-", "", 1))*1</f>
        <v>0</v>
      </c>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c r="CA28" s="92"/>
      <c r="CB28" s="92"/>
      <c r="CC28" s="92"/>
      <c r="CD28" s="92"/>
      <c r="CE28" s="92"/>
      <c r="CF28" s="92"/>
      <c r="CG28" s="92"/>
      <c r="CH28" s="92"/>
      <c r="CI28" s="92"/>
      <c r="CJ28" s="92"/>
      <c r="CK28" s="92"/>
      <c r="CL28" s="92"/>
      <c r="CM28" s="92"/>
      <c r="CN28" s="92"/>
      <c r="CO28" s="92"/>
      <c r="CP28" s="92"/>
      <c r="CQ28" s="92"/>
      <c r="CR28" s="92"/>
      <c r="CS28" s="92"/>
      <c r="CT28" s="92"/>
      <c r="CU28" s="92"/>
      <c r="CV28" s="92"/>
      <c r="CW28" s="92"/>
      <c r="CX28" s="92"/>
      <c r="CY28" s="92"/>
      <c r="CZ28" s="92"/>
      <c r="DA28" s="92"/>
      <c r="DB28" s="92"/>
      <c r="DC28" s="92"/>
      <c r="DD28" s="92"/>
      <c r="DE28" s="92"/>
      <c r="DF28" s="92"/>
      <c r="DG28" s="92"/>
      <c r="DH28" s="92"/>
      <c r="DI28" s="92"/>
      <c r="DJ28" s="92"/>
      <c r="DK28" s="92"/>
      <c r="DL28" s="92"/>
      <c r="DM28" s="92"/>
      <c r="DN28" s="92"/>
      <c r="DO28" s="92"/>
      <c r="DP28" s="92"/>
      <c r="DQ28" s="92"/>
      <c r="DR28" s="92"/>
      <c r="DS28" s="92"/>
      <c r="DT28" s="92"/>
      <c r="DU28" s="92"/>
      <c r="DV28" s="92"/>
      <c r="DW28" s="92"/>
      <c r="DX28" s="92"/>
      <c r="DY28" s="92"/>
      <c r="DZ28" s="92"/>
      <c r="EA28" s="92"/>
      <c r="EB28" s="92"/>
      <c r="EC28" s="92"/>
      <c r="ED28" s="92"/>
      <c r="EE28" s="92"/>
      <c r="EF28" s="92"/>
      <c r="EG28" s="92"/>
      <c r="EH28" s="92"/>
      <c r="EI28" s="92"/>
      <c r="EJ28" s="92"/>
      <c r="EK28" s="92"/>
      <c r="EL28" s="92"/>
      <c r="EM28" s="92"/>
      <c r="EN28" s="92"/>
      <c r="EO28" s="92"/>
      <c r="EP28" s="92"/>
      <c r="EQ28" s="92"/>
      <c r="ER28" s="92"/>
      <c r="ES28" s="92"/>
      <c r="ET28" s="92"/>
      <c r="EU28" s="92"/>
      <c r="EV28" s="92"/>
      <c r="EW28" s="92"/>
      <c r="EX28" s="92"/>
      <c r="EY28" s="92"/>
      <c r="EZ28" s="92"/>
      <c r="FA28" s="92"/>
      <c r="FB28" s="92"/>
      <c r="FC28" s="92"/>
      <c r="FD28" s="92"/>
      <c r="FE28" s="92"/>
      <c r="FF28" s="92"/>
      <c r="FG28" s="92"/>
      <c r="FH28" s="92"/>
    </row>
    <row r="29">
      <c r="A29" s="32" t="s">
        <v>7</v>
      </c>
      <c r="B29" s="32" t="s">
        <v>19</v>
      </c>
      <c r="C29" s="32" t="s">
        <v>10</v>
      </c>
      <c r="D29" s="97">
        <f t="shared" si="1"/>
        <v>744.0930416</v>
      </c>
      <c r="E29" s="92">
        <f>(SUBSTITUTE(Audio!E29, "RE-", "", 1))*1</f>
        <v>0</v>
      </c>
      <c r="F29" s="92">
        <f>(SUBSTITUTE(Audio!F29, "RE-", "", 1))*1</f>
        <v>0</v>
      </c>
      <c r="G29" s="92">
        <f>(SUBSTITUTE(Audio!G29, "RE-", "", 1))*1</f>
        <v>212.3280208</v>
      </c>
      <c r="H29" s="92">
        <f>(SUBSTITUTE(Audio!H29, "RE-", "", 1))*1</f>
        <v>0</v>
      </c>
      <c r="I29" s="92">
        <f>(SUBSTITUTE(Audio!I29, "RE-", "", 1))*1</f>
        <v>28.14975208</v>
      </c>
      <c r="J29" s="92">
        <f>(SUBSTITUTE(Audio!J29, "RE-", "", 1))*1</f>
        <v>0</v>
      </c>
      <c r="K29" s="92">
        <f>(SUBSTITUTE(Audio!K29, "RE-", "", 1))*1</f>
        <v>183.372526</v>
      </c>
      <c r="L29" s="92">
        <f>(SUBSTITUTE(Audio!L29, "RE-", "", 1))*1</f>
        <v>0</v>
      </c>
      <c r="M29" s="92">
        <f>(SUBSTITUTE(Audio!M29, "RE-", "", 1))*1</f>
        <v>24.39824271</v>
      </c>
      <c r="N29" s="92">
        <f>(SUBSTITUTE(Audio!N29, "RE-", "", 1))*1</f>
        <v>0</v>
      </c>
      <c r="O29" s="92">
        <f>(SUBSTITUTE(Audio!O29, "RE-", "", 1))*1</f>
        <v>123.5340063</v>
      </c>
      <c r="P29" s="92">
        <f>(SUBSTITUTE(Audio!P29, "RE-", "", 1))*1</f>
        <v>0</v>
      </c>
      <c r="Q29" s="92">
        <f>(SUBSTITUTE(Audio!Q29, "RE-", "", 1))*1</f>
        <v>98.68107083</v>
      </c>
      <c r="R29" s="92">
        <f>(SUBSTITUTE(Audio!R29, "RE-", "", 1))*1</f>
        <v>0</v>
      </c>
      <c r="S29" s="92">
        <f>(SUBSTITUTE(Audio!S29, "RE-", "", 1))*1</f>
        <v>18.31186562</v>
      </c>
      <c r="T29" s="92">
        <f>(SUBSTITUTE(Audio!T29, "RE-", "", 1))*1</f>
        <v>0</v>
      </c>
      <c r="U29" s="92">
        <f>(SUBSTITUTE(Audio!U29, "RE-", "", 1))*1</f>
        <v>49.51160729</v>
      </c>
      <c r="V29" s="92">
        <f>(SUBSTITUTE(Audio!V29, "RE-", "", 1))*1</f>
        <v>5.80595</v>
      </c>
      <c r="W29" s="92">
        <f>(SUBSTITUTE(Audio!W29, "RE-", "", 1))*1</f>
        <v>0</v>
      </c>
      <c r="X29" s="92">
        <f>(SUBSTITUTE(Audio!X29, "RE-", "", 1))*1</f>
        <v>0</v>
      </c>
      <c r="Y29" s="92">
        <f>(SUBSTITUTE(Audio!Y29, "RE-", "", 1))*1</f>
        <v>0</v>
      </c>
      <c r="Z29" s="92">
        <f>(SUBSTITUTE(Audio!Z29, "RE-", "", 1))*1</f>
        <v>0</v>
      </c>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2"/>
      <c r="CZ29" s="92"/>
      <c r="DA29" s="92"/>
      <c r="DB29" s="92"/>
      <c r="DC29" s="92"/>
      <c r="DD29" s="92"/>
      <c r="DE29" s="92"/>
      <c r="DF29" s="92"/>
      <c r="DG29" s="92"/>
      <c r="DH29" s="92"/>
      <c r="DI29" s="92"/>
      <c r="DJ29" s="92"/>
      <c r="DK29" s="92"/>
      <c r="DL29" s="92"/>
      <c r="DM29" s="92"/>
      <c r="DN29" s="92"/>
      <c r="DO29" s="92"/>
      <c r="DP29" s="92"/>
      <c r="DQ29" s="92"/>
      <c r="DR29" s="92"/>
      <c r="DS29" s="92"/>
      <c r="DT29" s="92"/>
      <c r="DU29" s="92"/>
      <c r="DV29" s="92"/>
      <c r="DW29" s="92"/>
      <c r="DX29" s="92"/>
      <c r="DY29" s="92"/>
      <c r="DZ29" s="92"/>
      <c r="EA29" s="92"/>
      <c r="EB29" s="92"/>
      <c r="EC29" s="92"/>
      <c r="ED29" s="92"/>
      <c r="EE29" s="92"/>
      <c r="EF29" s="92"/>
      <c r="EG29" s="92"/>
      <c r="EH29" s="92"/>
      <c r="EI29" s="92"/>
      <c r="EJ29" s="92"/>
      <c r="EK29" s="92"/>
      <c r="EL29" s="92"/>
      <c r="EM29" s="92"/>
      <c r="EN29" s="92"/>
      <c r="EO29" s="92"/>
      <c r="EP29" s="92"/>
      <c r="EQ29" s="92"/>
      <c r="ER29" s="92"/>
      <c r="ES29" s="92"/>
      <c r="ET29" s="92"/>
      <c r="EU29" s="92"/>
      <c r="EV29" s="92"/>
      <c r="EW29" s="92"/>
      <c r="EX29" s="92"/>
      <c r="EY29" s="92"/>
      <c r="EZ29" s="92"/>
      <c r="FA29" s="92"/>
      <c r="FB29" s="92"/>
      <c r="FC29" s="92"/>
      <c r="FD29" s="92"/>
      <c r="FE29" s="92"/>
      <c r="FF29" s="92"/>
      <c r="FG29" s="92"/>
      <c r="FH29" s="92"/>
    </row>
    <row r="30">
      <c r="A30" s="32" t="s">
        <v>7</v>
      </c>
      <c r="B30" s="32" t="s">
        <v>19</v>
      </c>
      <c r="C30" s="32" t="s">
        <v>11</v>
      </c>
      <c r="D30" s="97">
        <f t="shared" si="1"/>
        <v>744.0930417</v>
      </c>
      <c r="E30" s="92">
        <f>(SUBSTITUTE(Audio!E30, "RE-", "", 1))*1</f>
        <v>0</v>
      </c>
      <c r="F30" s="92">
        <f>(SUBSTITUTE(Audio!F30, "RE-", "", 1))*1</f>
        <v>0</v>
      </c>
      <c r="G30" s="92">
        <f>(SUBSTITUTE(Audio!G30, "RE-", "", 1))*1</f>
        <v>212.3280208</v>
      </c>
      <c r="H30" s="92">
        <f>(SUBSTITUTE(Audio!H30, "RE-", "", 1))*1</f>
        <v>0</v>
      </c>
      <c r="I30" s="92">
        <f>(SUBSTITUTE(Audio!I30, "RE-", "", 1))*1</f>
        <v>28.14975208</v>
      </c>
      <c r="J30" s="92">
        <f>(SUBSTITUTE(Audio!J30, "RE-", "", 1))*1</f>
        <v>0</v>
      </c>
      <c r="K30" s="92">
        <f>(SUBSTITUTE(Audio!K30, "RE-", "", 1))*1</f>
        <v>183.372526</v>
      </c>
      <c r="L30" s="92">
        <f>(SUBSTITUTE(Audio!L30, "RE-", "", 1))*1</f>
        <v>0</v>
      </c>
      <c r="M30" s="92">
        <f>(SUBSTITUTE(Audio!M30, "RE-", "", 1))*1</f>
        <v>24.39824271</v>
      </c>
      <c r="N30" s="92">
        <f>(SUBSTITUTE(Audio!N30, "RE-", "", 1))*1</f>
        <v>0</v>
      </c>
      <c r="O30" s="92">
        <f>(SUBSTITUTE(Audio!O30, "RE-", "", 1))*1</f>
        <v>123.5340063</v>
      </c>
      <c r="P30" s="92">
        <f>(SUBSTITUTE(Audio!P30, "RE-", "", 1))*1</f>
        <v>0</v>
      </c>
      <c r="Q30" s="92">
        <f>(SUBSTITUTE(Audio!Q30, "RE-", "", 1))*1</f>
        <v>98.68107083</v>
      </c>
      <c r="R30" s="92">
        <f>(SUBSTITUTE(Audio!R30, "RE-", "", 1))*1</f>
        <v>0</v>
      </c>
      <c r="S30" s="92">
        <f>(SUBSTITUTE(Audio!S30, "RE-", "", 1))*1</f>
        <v>18.31186562</v>
      </c>
      <c r="T30" s="92">
        <f>(SUBSTITUTE(Audio!T30, "RE-", "", 1))*1</f>
        <v>0</v>
      </c>
      <c r="U30" s="92">
        <f>(SUBSTITUTE(Audio!U30, "RE-", "", 1))*1</f>
        <v>49.51160729</v>
      </c>
      <c r="V30" s="92">
        <f>(SUBSTITUTE(Audio!V30, "RE-", "", 1))*1</f>
        <v>5.80595</v>
      </c>
      <c r="W30" s="92">
        <f>(SUBSTITUTE(Audio!W30, "RE-", "", 1))*1</f>
        <v>0</v>
      </c>
      <c r="X30" s="92">
        <f>(SUBSTITUTE(Audio!X30, "RE-", "", 1))*1</f>
        <v>0</v>
      </c>
      <c r="Y30" s="92">
        <f>(SUBSTITUTE(Audio!Y30, "RE-", "", 1))*1</f>
        <v>0</v>
      </c>
      <c r="Z30" s="92">
        <f>(SUBSTITUTE(Audio!Z30, "RE-", "", 1))*1</f>
        <v>0</v>
      </c>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c r="CF30" s="92"/>
      <c r="CG30" s="92"/>
      <c r="CH30" s="92"/>
      <c r="CI30" s="92"/>
      <c r="CJ30" s="92"/>
      <c r="CK30" s="92"/>
      <c r="CL30" s="92"/>
      <c r="CM30" s="92"/>
      <c r="CN30" s="92"/>
      <c r="CO30" s="92"/>
      <c r="CP30" s="92"/>
      <c r="CQ30" s="92"/>
      <c r="CR30" s="92"/>
      <c r="CS30" s="92"/>
      <c r="CT30" s="92"/>
      <c r="CU30" s="92"/>
      <c r="CV30" s="92"/>
      <c r="CW30" s="92"/>
      <c r="CX30" s="92"/>
      <c r="CY30" s="92"/>
      <c r="CZ30" s="92"/>
      <c r="DA30" s="92"/>
      <c r="DB30" s="92"/>
      <c r="DC30" s="92"/>
      <c r="DD30" s="92"/>
      <c r="DE30" s="92"/>
      <c r="DF30" s="92"/>
      <c r="DG30" s="92"/>
      <c r="DH30" s="92"/>
      <c r="DI30" s="92"/>
      <c r="DJ30" s="92"/>
      <c r="DK30" s="92"/>
      <c r="DL30" s="92"/>
      <c r="DM30" s="92"/>
      <c r="DN30" s="92"/>
      <c r="DO30" s="92"/>
      <c r="DP30" s="92"/>
      <c r="DQ30" s="92"/>
      <c r="DR30" s="92"/>
      <c r="DS30" s="92"/>
      <c r="DT30" s="92"/>
      <c r="DU30" s="92"/>
      <c r="DV30" s="92"/>
      <c r="DW30" s="92"/>
      <c r="DX30" s="92"/>
      <c r="DY30" s="92"/>
      <c r="DZ30" s="92"/>
      <c r="EA30" s="92"/>
      <c r="EB30" s="92"/>
      <c r="EC30" s="92"/>
      <c r="ED30" s="92"/>
      <c r="EE30" s="92"/>
      <c r="EF30" s="92"/>
      <c r="EG30" s="92"/>
      <c r="EH30" s="92"/>
      <c r="EI30" s="92"/>
      <c r="EJ30" s="92"/>
      <c r="EK30" s="92"/>
      <c r="EL30" s="92"/>
      <c r="EM30" s="92"/>
      <c r="EN30" s="92"/>
      <c r="EO30" s="92"/>
      <c r="EP30" s="92"/>
      <c r="EQ30" s="92"/>
      <c r="ER30" s="92"/>
      <c r="ES30" s="92"/>
      <c r="ET30" s="92"/>
      <c r="EU30" s="92"/>
      <c r="EV30" s="92"/>
      <c r="EW30" s="92"/>
      <c r="EX30" s="92"/>
      <c r="EY30" s="92"/>
      <c r="EZ30" s="92"/>
      <c r="FA30" s="92"/>
      <c r="FB30" s="92"/>
      <c r="FC30" s="92"/>
      <c r="FD30" s="92"/>
      <c r="FE30" s="92"/>
      <c r="FF30" s="92"/>
      <c r="FG30" s="92"/>
      <c r="FH30" s="92"/>
    </row>
    <row r="31">
      <c r="A31" s="32" t="s">
        <v>7</v>
      </c>
      <c r="B31" s="32" t="s">
        <v>19</v>
      </c>
      <c r="C31" s="32" t="s">
        <v>12</v>
      </c>
      <c r="D31" s="97">
        <f t="shared" si="1"/>
        <v>7036.56104</v>
      </c>
      <c r="E31" s="92">
        <f>(SUBSTITUTE(Audio!E31, "RE-", "", 1))*1</f>
        <v>0</v>
      </c>
      <c r="F31" s="92">
        <f>(SUBSTITUTE(Audio!F31, "RE-", "", 1))*1</f>
        <v>1833.444134</v>
      </c>
      <c r="G31" s="92">
        <f>(SUBSTITUTE(Audio!G31, "RE-", "", 1))*1</f>
        <v>10.27905625</v>
      </c>
      <c r="H31" s="92">
        <f>(SUBSTITUTE(Audio!H31, "RE-", "", 1))*1</f>
        <v>155.9666917</v>
      </c>
      <c r="I31" s="92">
        <f>(SUBSTITUTE(Audio!I31, "RE-", "", 1))*1</f>
        <v>0</v>
      </c>
      <c r="J31" s="92">
        <f>(SUBSTITUTE(Audio!J31, "RE-", "", 1))*1</f>
        <v>1972.218447</v>
      </c>
      <c r="K31" s="92">
        <f>(SUBSTITUTE(Audio!K31, "RE-", "", 1))*1</f>
        <v>10.10563958</v>
      </c>
      <c r="L31" s="92">
        <f>(SUBSTITUTE(Audio!L31, "RE-", "", 1))*1</f>
        <v>685.9616813</v>
      </c>
      <c r="M31" s="92">
        <f>(SUBSTITUTE(Audio!M31, "RE-", "", 1))*1</f>
        <v>6.736752083</v>
      </c>
      <c r="N31" s="92">
        <f>(SUBSTITUTE(Audio!N31, "RE-", "", 1))*1</f>
        <v>1107.692233</v>
      </c>
      <c r="O31" s="92">
        <f>(SUBSTITUTE(Audio!O31, "RE-", "", 1))*1</f>
        <v>13.07812604</v>
      </c>
      <c r="P31" s="92">
        <f>(SUBSTITUTE(Audio!P31, "RE-", "", 1))*1</f>
        <v>682.6778302</v>
      </c>
      <c r="Q31" s="92">
        <f>(SUBSTITUTE(Audio!Q31, "RE-", "", 1))*1</f>
        <v>39.17061771</v>
      </c>
      <c r="R31" s="92">
        <f>(SUBSTITUTE(Audio!R31, "RE-", "", 1))*1</f>
        <v>167.6867979</v>
      </c>
      <c r="S31" s="92">
        <f>(SUBSTITUTE(Audio!S31, "RE-", "", 1))*1</f>
        <v>12.34734792</v>
      </c>
      <c r="T31" s="92">
        <f>(SUBSTITUTE(Audio!T31, "RE-", "", 1))*1</f>
        <v>307.6700854</v>
      </c>
      <c r="U31" s="92">
        <f>(SUBSTITUTE(Audio!U31, "RE-", "", 1))*1</f>
        <v>27.00044062</v>
      </c>
      <c r="V31" s="92">
        <f>(SUBSTITUTE(Audio!V31, "RE-", "", 1))*1</f>
        <v>4.525158333</v>
      </c>
      <c r="W31" s="92">
        <f>(SUBSTITUTE(Audio!W31, "RE-", "", 1))*1</f>
        <v>0</v>
      </c>
      <c r="X31" s="92">
        <f>(SUBSTITUTE(Audio!X31, "RE-", "", 1))*1</f>
        <v>0</v>
      </c>
      <c r="Y31" s="92">
        <f>(SUBSTITUTE(Audio!Y31, "RE-", "", 1))*1</f>
        <v>0</v>
      </c>
      <c r="Z31" s="92">
        <f>(SUBSTITUTE(Audio!Z31, "RE-", "", 1))*1</f>
        <v>0</v>
      </c>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c r="CF31" s="92"/>
      <c r="CG31" s="92"/>
      <c r="CH31" s="92"/>
      <c r="CI31" s="92"/>
      <c r="CJ31" s="92"/>
      <c r="CK31" s="92"/>
      <c r="CL31" s="92"/>
      <c r="CM31" s="92"/>
      <c r="CN31" s="92"/>
      <c r="CO31" s="92"/>
      <c r="CP31" s="92"/>
      <c r="CQ31" s="92"/>
      <c r="CR31" s="92"/>
      <c r="CS31" s="92"/>
      <c r="CT31" s="92"/>
      <c r="CU31" s="92"/>
      <c r="CV31" s="92"/>
      <c r="CW31" s="92"/>
      <c r="CX31" s="92"/>
      <c r="CY31" s="92"/>
      <c r="CZ31" s="92"/>
      <c r="DA31" s="92"/>
      <c r="DB31" s="92"/>
      <c r="DC31" s="92"/>
      <c r="DD31" s="92"/>
      <c r="DE31" s="92"/>
      <c r="DF31" s="92"/>
      <c r="DG31" s="92"/>
      <c r="DH31" s="92"/>
      <c r="DI31" s="92"/>
      <c r="DJ31" s="92"/>
      <c r="DK31" s="92"/>
      <c r="DL31" s="92"/>
      <c r="DM31" s="92"/>
      <c r="DN31" s="92"/>
      <c r="DO31" s="92"/>
      <c r="DP31" s="92"/>
      <c r="DQ31" s="92"/>
      <c r="DR31" s="92"/>
      <c r="DS31" s="92"/>
      <c r="DT31" s="92"/>
      <c r="DU31" s="92"/>
      <c r="DV31" s="92"/>
      <c r="DW31" s="92"/>
      <c r="DX31" s="92"/>
      <c r="DY31" s="92"/>
      <c r="DZ31" s="92"/>
      <c r="EA31" s="92"/>
      <c r="EB31" s="92"/>
      <c r="EC31" s="92"/>
      <c r="ED31" s="92"/>
      <c r="EE31" s="92"/>
      <c r="EF31" s="92"/>
      <c r="EG31" s="92"/>
      <c r="EH31" s="92"/>
      <c r="EI31" s="92"/>
      <c r="EJ31" s="92"/>
      <c r="EK31" s="92"/>
      <c r="EL31" s="92"/>
      <c r="EM31" s="92"/>
      <c r="EN31" s="92"/>
      <c r="EO31" s="92"/>
      <c r="EP31" s="92"/>
      <c r="EQ31" s="92"/>
      <c r="ER31" s="92"/>
      <c r="ES31" s="92"/>
      <c r="ET31" s="92"/>
      <c r="EU31" s="92"/>
      <c r="EV31" s="92"/>
      <c r="EW31" s="92"/>
      <c r="EX31" s="92"/>
      <c r="EY31" s="92"/>
      <c r="EZ31" s="92"/>
      <c r="FA31" s="92"/>
      <c r="FB31" s="92"/>
      <c r="FC31" s="92"/>
      <c r="FD31" s="92"/>
      <c r="FE31" s="92"/>
      <c r="FF31" s="92"/>
      <c r="FG31" s="92"/>
      <c r="FH31" s="92"/>
    </row>
    <row r="32">
      <c r="A32" s="32" t="s">
        <v>7</v>
      </c>
      <c r="B32" s="32" t="s">
        <v>19</v>
      </c>
      <c r="C32" s="32" t="s">
        <v>13</v>
      </c>
      <c r="D32" s="97">
        <f t="shared" si="1"/>
        <v>6795.27547</v>
      </c>
      <c r="E32" s="92">
        <f>(SUBSTITUTE(Audio!E32, "RE-", "", 1))*1</f>
        <v>0</v>
      </c>
      <c r="F32" s="92">
        <f>(SUBSTITUTE(Audio!F32, "RE-", "", 1))*1</f>
        <v>1775.92</v>
      </c>
      <c r="G32" s="92">
        <f>(SUBSTITUTE(Audio!G32, "RE-", "", 1))*1</f>
        <v>9.67605</v>
      </c>
      <c r="H32" s="92">
        <f>(SUBSTITUTE(Audio!H32, "RE-", "", 1))*1</f>
        <v>152.764</v>
      </c>
      <c r="I32" s="92">
        <f>(SUBSTITUTE(Audio!I32, "RE-", "", 1))*1</f>
        <v>0</v>
      </c>
      <c r="J32" s="92">
        <f>(SUBSTITUTE(Audio!J32, "RE-", "", 1))*1</f>
        <v>1915.43</v>
      </c>
      <c r="K32" s="92">
        <f>(SUBSTITUTE(Audio!K32, "RE-", "", 1))*1</f>
        <v>9.48722</v>
      </c>
      <c r="L32" s="92">
        <f>(SUBSTITUTE(Audio!L32, "RE-", "", 1))*1</f>
        <v>658.94</v>
      </c>
      <c r="M32" s="92">
        <f>(SUBSTITUTE(Audio!M32, "RE-", "", 1))*1</f>
        <v>6.31333</v>
      </c>
      <c r="N32" s="92">
        <f>(SUBSTITUTE(Audio!N32, "RE-", "", 1))*1</f>
        <v>1066.89</v>
      </c>
      <c r="O32" s="92">
        <f>(SUBSTITUTE(Audio!O32, "RE-", "", 1))*1</f>
        <v>12.3779</v>
      </c>
      <c r="P32" s="92">
        <f>(SUBSTITUTE(Audio!P32, "RE-", "", 1))*1</f>
        <v>651.126</v>
      </c>
      <c r="Q32" s="92">
        <f>(SUBSTITUTE(Audio!Q32, "RE-", "", 1))*1</f>
        <v>37.5207</v>
      </c>
      <c r="R32" s="92">
        <f>(SUBSTITUTE(Audio!R32, "RE-", "", 1))*1</f>
        <v>161.709</v>
      </c>
      <c r="S32" s="92">
        <f>(SUBSTITUTE(Audio!S32, "RE-", "", 1))*1</f>
        <v>11.7944</v>
      </c>
      <c r="T32" s="92">
        <f>(SUBSTITUTE(Audio!T32, "RE-", "", 1))*1</f>
        <v>295.957</v>
      </c>
      <c r="U32" s="92">
        <f>(SUBSTITUTE(Audio!U32, "RE-", "", 1))*1</f>
        <v>25.0831</v>
      </c>
      <c r="V32" s="92">
        <f>(SUBSTITUTE(Audio!V32, "RE-", "", 1))*1</f>
        <v>4.28677</v>
      </c>
      <c r="W32" s="92">
        <f>(SUBSTITUTE(Audio!W32, "RE-", "", 1))*1</f>
        <v>0</v>
      </c>
      <c r="X32" s="92">
        <f>(SUBSTITUTE(Audio!X32, "RE-", "", 1))*1</f>
        <v>0</v>
      </c>
      <c r="Y32" s="92">
        <f>(SUBSTITUTE(Audio!Y32, "RE-", "", 1))*1</f>
        <v>0</v>
      </c>
      <c r="Z32" s="92">
        <f>(SUBSTITUTE(Audio!Z32, "RE-", "", 1))*1</f>
        <v>0</v>
      </c>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c r="CF32" s="92"/>
      <c r="CG32" s="92"/>
      <c r="CH32" s="92"/>
      <c r="CI32" s="92"/>
      <c r="CJ32" s="92"/>
      <c r="CK32" s="92"/>
      <c r="CL32" s="92"/>
      <c r="CM32" s="92"/>
      <c r="CN32" s="92"/>
      <c r="CO32" s="92"/>
      <c r="CP32" s="92"/>
      <c r="CQ32" s="92"/>
      <c r="CR32" s="92"/>
      <c r="CS32" s="92"/>
      <c r="CT32" s="92"/>
      <c r="CU32" s="92"/>
      <c r="CV32" s="92"/>
      <c r="CW32" s="92"/>
      <c r="CX32" s="92"/>
      <c r="CY32" s="92"/>
      <c r="CZ32" s="92"/>
      <c r="DA32" s="92"/>
      <c r="DB32" s="92"/>
      <c r="DC32" s="92"/>
      <c r="DD32" s="92"/>
      <c r="DE32" s="92"/>
      <c r="DF32" s="92"/>
      <c r="DG32" s="92"/>
      <c r="DH32" s="92"/>
      <c r="DI32" s="92"/>
      <c r="DJ32" s="92"/>
      <c r="DK32" s="92"/>
      <c r="DL32" s="92"/>
      <c r="DM32" s="92"/>
      <c r="DN32" s="92"/>
      <c r="DO32" s="92"/>
      <c r="DP32" s="92"/>
      <c r="DQ32" s="92"/>
      <c r="DR32" s="92"/>
      <c r="DS32" s="92"/>
      <c r="DT32" s="92"/>
      <c r="DU32" s="92"/>
      <c r="DV32" s="92"/>
      <c r="DW32" s="92"/>
      <c r="DX32" s="92"/>
      <c r="DY32" s="92"/>
      <c r="DZ32" s="92"/>
      <c r="EA32" s="92"/>
      <c r="EB32" s="92"/>
      <c r="EC32" s="92"/>
      <c r="ED32" s="92"/>
      <c r="EE32" s="92"/>
      <c r="EF32" s="92"/>
      <c r="EG32" s="92"/>
      <c r="EH32" s="92"/>
      <c r="EI32" s="92"/>
      <c r="EJ32" s="92"/>
      <c r="EK32" s="92"/>
      <c r="EL32" s="92"/>
      <c r="EM32" s="92"/>
      <c r="EN32" s="92"/>
      <c r="EO32" s="92"/>
      <c r="EP32" s="92"/>
      <c r="EQ32" s="92"/>
      <c r="ER32" s="92"/>
      <c r="ES32" s="92"/>
      <c r="ET32" s="92"/>
      <c r="EU32" s="92"/>
      <c r="EV32" s="92"/>
      <c r="EW32" s="92"/>
      <c r="EX32" s="92"/>
      <c r="EY32" s="92"/>
      <c r="EZ32" s="92"/>
      <c r="FA32" s="92"/>
      <c r="FB32" s="92"/>
      <c r="FC32" s="92"/>
      <c r="FD32" s="92"/>
      <c r="FE32" s="92"/>
      <c r="FF32" s="92"/>
      <c r="FG32" s="92"/>
      <c r="FH32" s="92"/>
    </row>
    <row r="33">
      <c r="A33" s="32" t="s">
        <v>7</v>
      </c>
      <c r="B33" s="32" t="s">
        <v>19</v>
      </c>
      <c r="C33" s="32" t="s">
        <v>14</v>
      </c>
      <c r="D33" s="97">
        <f t="shared" si="1"/>
        <v>6033.70682</v>
      </c>
      <c r="E33" s="92">
        <f>(SUBSTITUTE(Audio!E33, "RE-", "", 1))*1</f>
        <v>0</v>
      </c>
      <c r="F33" s="92">
        <f>(SUBSTITUTE(Audio!F33, "RE-", "", 1))*1</f>
        <v>1588.34</v>
      </c>
      <c r="G33" s="92">
        <f>(SUBSTITUTE(Audio!G33, "RE-", "", 1))*1</f>
        <v>8.73672</v>
      </c>
      <c r="H33" s="92">
        <f>(SUBSTITUTE(Audio!H33, "RE-", "", 1))*1</f>
        <v>132.313</v>
      </c>
      <c r="I33" s="92">
        <f>(SUBSTITUTE(Audio!I33, "RE-", "", 1))*1</f>
        <v>0</v>
      </c>
      <c r="J33" s="92">
        <f>(SUBSTITUTE(Audio!J33, "RE-", "", 1))*1</f>
        <v>1769.74</v>
      </c>
      <c r="K33" s="92">
        <f>(SUBSTITUTE(Audio!K33, "RE-", "", 1))*1</f>
        <v>8.6473</v>
      </c>
      <c r="L33" s="92">
        <f>(SUBSTITUTE(Audio!L33, "RE-", "", 1))*1</f>
        <v>567.134</v>
      </c>
      <c r="M33" s="92">
        <f>(SUBSTITUTE(Audio!M33, "RE-", "", 1))*1</f>
        <v>4.88093</v>
      </c>
      <c r="N33" s="92">
        <f>(SUBSTITUTE(Audio!N33, "RE-", "", 1))*1</f>
        <v>926.81</v>
      </c>
      <c r="O33" s="92">
        <f>(SUBSTITUTE(Audio!O33, "RE-", "", 1))*1</f>
        <v>11.0374</v>
      </c>
      <c r="P33" s="92">
        <f>(SUBSTITUTE(Audio!P33, "RE-", "", 1))*1</f>
        <v>559.927</v>
      </c>
      <c r="Q33" s="92">
        <f>(SUBSTITUTE(Audio!Q33, "RE-", "", 1))*1</f>
        <v>33.0263</v>
      </c>
      <c r="R33" s="92">
        <f>(SUBSTITUTE(Audio!R33, "RE-", "", 1))*1</f>
        <v>137.482</v>
      </c>
      <c r="S33" s="92">
        <f>(SUBSTITUTE(Audio!S33, "RE-", "", 1))*1</f>
        <v>9.844</v>
      </c>
      <c r="T33" s="92">
        <f>(SUBSTITUTE(Audio!T33, "RE-", "", 1))*1</f>
        <v>249.941</v>
      </c>
      <c r="U33" s="92">
        <f>(SUBSTITUTE(Audio!U33, "RE-", "", 1))*1</f>
        <v>22.8112</v>
      </c>
      <c r="V33" s="92">
        <f>(SUBSTITUTE(Audio!V33, "RE-", "", 1))*1</f>
        <v>3.03597</v>
      </c>
      <c r="W33" s="92">
        <f>(SUBSTITUTE(Audio!W33, "RE-", "", 1))*1</f>
        <v>0</v>
      </c>
      <c r="X33" s="92">
        <f>(SUBSTITUTE(Audio!X33, "RE-", "", 1))*1</f>
        <v>0</v>
      </c>
      <c r="Y33" s="92">
        <f>(SUBSTITUTE(Audio!Y33, "RE-", "", 1))*1</f>
        <v>0</v>
      </c>
      <c r="Z33" s="92">
        <f>(SUBSTITUTE(Audio!Z33, "RE-", "", 1))*1</f>
        <v>0</v>
      </c>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c r="CA33" s="92"/>
      <c r="CB33" s="92"/>
      <c r="CC33" s="92"/>
      <c r="CD33" s="92"/>
      <c r="CE33" s="92"/>
      <c r="CF33" s="92"/>
      <c r="CG33" s="92"/>
      <c r="CH33" s="92"/>
      <c r="CI33" s="92"/>
      <c r="CJ33" s="92"/>
      <c r="CK33" s="92"/>
      <c r="CL33" s="92"/>
      <c r="CM33" s="92"/>
      <c r="CN33" s="92"/>
      <c r="CO33" s="92"/>
      <c r="CP33" s="92"/>
      <c r="CQ33" s="92"/>
      <c r="CR33" s="92"/>
      <c r="CS33" s="92"/>
      <c r="CT33" s="92"/>
      <c r="CU33" s="92"/>
      <c r="CV33" s="92"/>
      <c r="CW33" s="92"/>
      <c r="CX33" s="92"/>
      <c r="CY33" s="92"/>
      <c r="CZ33" s="92"/>
      <c r="DA33" s="92"/>
      <c r="DB33" s="92"/>
      <c r="DC33" s="92"/>
      <c r="DD33" s="92"/>
      <c r="DE33" s="92"/>
      <c r="DF33" s="92"/>
      <c r="DG33" s="92"/>
      <c r="DH33" s="92"/>
      <c r="DI33" s="92"/>
      <c r="DJ33" s="92"/>
      <c r="DK33" s="92"/>
      <c r="DL33" s="92"/>
      <c r="DM33" s="92"/>
      <c r="DN33" s="92"/>
      <c r="DO33" s="92"/>
      <c r="DP33" s="92"/>
      <c r="DQ33" s="92"/>
      <c r="DR33" s="92"/>
      <c r="DS33" s="92"/>
      <c r="DT33" s="92"/>
      <c r="DU33" s="92"/>
      <c r="DV33" s="92"/>
      <c r="DW33" s="92"/>
      <c r="DX33" s="92"/>
      <c r="DY33" s="92"/>
      <c r="DZ33" s="92"/>
      <c r="EA33" s="92"/>
      <c r="EB33" s="92"/>
      <c r="EC33" s="92"/>
      <c r="ED33" s="92"/>
      <c r="EE33" s="92"/>
      <c r="EF33" s="92"/>
      <c r="EG33" s="92"/>
      <c r="EH33" s="92"/>
      <c r="EI33" s="92"/>
      <c r="EJ33" s="92"/>
      <c r="EK33" s="92"/>
      <c r="EL33" s="92"/>
      <c r="EM33" s="92"/>
      <c r="EN33" s="92"/>
      <c r="EO33" s="92"/>
      <c r="EP33" s="92"/>
      <c r="EQ33" s="92"/>
      <c r="ER33" s="92"/>
      <c r="ES33" s="92"/>
      <c r="ET33" s="92"/>
      <c r="EU33" s="92"/>
      <c r="EV33" s="92"/>
      <c r="EW33" s="92"/>
      <c r="EX33" s="92"/>
      <c r="EY33" s="92"/>
      <c r="EZ33" s="92"/>
      <c r="FA33" s="92"/>
      <c r="FB33" s="92"/>
      <c r="FC33" s="92"/>
      <c r="FD33" s="92"/>
      <c r="FE33" s="92"/>
      <c r="FF33" s="92"/>
      <c r="FG33" s="92"/>
      <c r="FH33" s="92"/>
    </row>
    <row r="34">
      <c r="A34" s="27" t="s">
        <v>7</v>
      </c>
      <c r="B34" s="27" t="s">
        <v>19</v>
      </c>
      <c r="C34" s="27" t="s">
        <v>15</v>
      </c>
      <c r="D34" s="98">
        <f t="shared" si="1"/>
        <v>6794.74247</v>
      </c>
      <c r="E34" s="92">
        <f>(SUBSTITUTE(Audio!E34, "RE-", "", 1))*1</f>
        <v>0</v>
      </c>
      <c r="F34" s="92">
        <f>(SUBSTITUTE(Audio!F34, "RE-", "", 1))*1</f>
        <v>1775.62</v>
      </c>
      <c r="G34" s="92">
        <f>(SUBSTITUTE(Audio!G34, "RE-", "", 1))*1</f>
        <v>9.67605</v>
      </c>
      <c r="H34" s="92">
        <f>(SUBSTITUTE(Audio!H34, "RE-", "", 1))*1</f>
        <v>152.764</v>
      </c>
      <c r="I34" s="92">
        <f>(SUBSTITUTE(Audio!I34, "RE-", "", 1))*1</f>
        <v>0</v>
      </c>
      <c r="J34" s="92">
        <f>(SUBSTITUTE(Audio!J34, "RE-", "", 1))*1</f>
        <v>1915.43</v>
      </c>
      <c r="K34" s="92">
        <f>(SUBSTITUTE(Audio!K34, "RE-", "", 1))*1</f>
        <v>9.48722</v>
      </c>
      <c r="L34" s="92">
        <f>(SUBSTITUTE(Audio!L34, "RE-", "", 1))*1</f>
        <v>658.893</v>
      </c>
      <c r="M34" s="92">
        <f>(SUBSTITUTE(Audio!M34, "RE-", "", 1))*1</f>
        <v>6.31333</v>
      </c>
      <c r="N34" s="92">
        <f>(SUBSTITUTE(Audio!N34, "RE-", "", 1))*1</f>
        <v>1066.89</v>
      </c>
      <c r="O34" s="92">
        <f>(SUBSTITUTE(Audio!O34, "RE-", "", 1))*1</f>
        <v>12.3779</v>
      </c>
      <c r="P34" s="92">
        <f>(SUBSTITUTE(Audio!P34, "RE-", "", 1))*1</f>
        <v>650.94</v>
      </c>
      <c r="Q34" s="92">
        <f>(SUBSTITUTE(Audio!Q34, "RE-", "", 1))*1</f>
        <v>37.5207</v>
      </c>
      <c r="R34" s="92">
        <f>(SUBSTITUTE(Audio!R34, "RE-", "", 1))*1</f>
        <v>161.709</v>
      </c>
      <c r="S34" s="92">
        <f>(SUBSTITUTE(Audio!S34, "RE-", "", 1))*1</f>
        <v>11.7944</v>
      </c>
      <c r="T34" s="92">
        <f>(SUBSTITUTE(Audio!T34, "RE-", "", 1))*1</f>
        <v>295.957</v>
      </c>
      <c r="U34" s="92">
        <f>(SUBSTITUTE(Audio!U34, "RE-", "", 1))*1</f>
        <v>25.0831</v>
      </c>
      <c r="V34" s="92">
        <f>(SUBSTITUTE(Audio!V34, "RE-", "", 1))*1</f>
        <v>4.28677</v>
      </c>
      <c r="W34" s="92">
        <f>(SUBSTITUTE(Audio!W34, "RE-", "", 1))*1</f>
        <v>0</v>
      </c>
      <c r="X34" s="92">
        <f>(SUBSTITUTE(Audio!X34, "RE-", "", 1))*1</f>
        <v>0</v>
      </c>
      <c r="Y34" s="92">
        <f>(SUBSTITUTE(Audio!Y34, "RE-", "", 1))*1</f>
        <v>0</v>
      </c>
      <c r="Z34" s="92">
        <f>(SUBSTITUTE(Audio!Z34, "RE-", "", 1))*1</f>
        <v>0</v>
      </c>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c r="CF34" s="92"/>
      <c r="CG34" s="92"/>
      <c r="CH34" s="92"/>
      <c r="CI34" s="92"/>
      <c r="CJ34" s="92"/>
      <c r="CK34" s="92"/>
      <c r="CL34" s="92"/>
      <c r="CM34" s="92"/>
      <c r="CN34" s="92"/>
      <c r="CO34" s="92"/>
      <c r="CP34" s="92"/>
      <c r="CQ34" s="92"/>
      <c r="CR34" s="92"/>
      <c r="CS34" s="92"/>
      <c r="CT34" s="92"/>
      <c r="CU34" s="92"/>
      <c r="CV34" s="92"/>
      <c r="CW34" s="92"/>
      <c r="CX34" s="92"/>
      <c r="CY34" s="92"/>
      <c r="CZ34" s="92"/>
      <c r="DA34" s="92"/>
      <c r="DB34" s="92"/>
      <c r="DC34" s="92"/>
      <c r="DD34" s="92"/>
      <c r="DE34" s="92"/>
      <c r="DF34" s="92"/>
      <c r="DG34" s="92"/>
      <c r="DH34" s="92"/>
      <c r="DI34" s="92"/>
      <c r="DJ34" s="92"/>
      <c r="DK34" s="92"/>
      <c r="DL34" s="92"/>
      <c r="DM34" s="92"/>
      <c r="DN34" s="92"/>
      <c r="DO34" s="92"/>
      <c r="DP34" s="92"/>
      <c r="DQ34" s="92"/>
      <c r="DR34" s="92"/>
      <c r="DS34" s="92"/>
      <c r="DT34" s="92"/>
      <c r="DU34" s="92"/>
      <c r="DV34" s="92"/>
      <c r="DW34" s="92"/>
      <c r="DX34" s="92"/>
      <c r="DY34" s="92"/>
      <c r="DZ34" s="92"/>
      <c r="EA34" s="92"/>
      <c r="EB34" s="92"/>
      <c r="EC34" s="92"/>
      <c r="ED34" s="92"/>
      <c r="EE34" s="92"/>
      <c r="EF34" s="92"/>
      <c r="EG34" s="92"/>
      <c r="EH34" s="92"/>
      <c r="EI34" s="92"/>
      <c r="EJ34" s="92"/>
      <c r="EK34" s="92"/>
      <c r="EL34" s="92"/>
      <c r="EM34" s="92"/>
      <c r="EN34" s="92"/>
      <c r="EO34" s="92"/>
      <c r="EP34" s="92"/>
      <c r="EQ34" s="92"/>
      <c r="ER34" s="92"/>
      <c r="ES34" s="92"/>
      <c r="ET34" s="92"/>
      <c r="EU34" s="92"/>
      <c r="EV34" s="92"/>
      <c r="EW34" s="92"/>
      <c r="EX34" s="92"/>
      <c r="EY34" s="92"/>
      <c r="EZ34" s="92"/>
      <c r="FA34" s="92"/>
      <c r="FB34" s="92"/>
      <c r="FC34" s="92"/>
      <c r="FD34" s="92"/>
      <c r="FE34" s="92"/>
      <c r="FF34" s="92"/>
      <c r="FG34" s="92"/>
      <c r="FH34" s="92"/>
    </row>
    <row r="35">
      <c r="A35" s="30" t="s">
        <v>7</v>
      </c>
      <c r="B35" s="30" t="s">
        <v>20</v>
      </c>
      <c r="C35" s="31" t="str">
        <f>HYPERLINK("https://docs.google.com/spreadsheets/d/1gWH-3BTTrf-WCu3WdyCkYYUXUFGs3_Ay/edit?usp=share_link&amp;ouid=106501987799020758802&amp;rtpof=true&amp;sd=true", "Raw Delivered")</f>
        <v>Raw Delivered</v>
      </c>
      <c r="D35" s="96">
        <f t="shared" si="1"/>
        <v>7631.102555</v>
      </c>
      <c r="E35" s="92">
        <f>(SUBSTITUTE(Audio!E35, "RE-", "", 1))*1</f>
        <v>0</v>
      </c>
      <c r="F35" s="92">
        <f>(SUBSTITUTE(Audio!F35, "RE-", "", 1))*1</f>
        <v>1356.671549</v>
      </c>
      <c r="G35" s="92">
        <f>(SUBSTITUTE(Audio!G35, "RE-", "", 1))*1</f>
        <v>0</v>
      </c>
      <c r="H35" s="92">
        <f>(SUBSTITUTE(Audio!H35, "RE-", "", 1))*1</f>
        <v>350.9418063</v>
      </c>
      <c r="I35" s="92">
        <f>(SUBSTITUTE(Audio!I35, "RE-", "", 1))*1</f>
        <v>0</v>
      </c>
      <c r="J35" s="92">
        <f>(SUBSTITUTE(Audio!J35, "RE-", "", 1))*1</f>
        <v>2521.808362</v>
      </c>
      <c r="K35" s="92">
        <f>(SUBSTITUTE(Audio!K35, "RE-", "", 1))*1</f>
        <v>0</v>
      </c>
      <c r="L35" s="92">
        <f>(SUBSTITUTE(Audio!L35, "RE-", "", 1))*1</f>
        <v>739.0781604</v>
      </c>
      <c r="M35" s="92">
        <f>(SUBSTITUTE(Audio!M35, "RE-", "", 1))*1</f>
        <v>0</v>
      </c>
      <c r="N35" s="92">
        <f>(SUBSTITUTE(Audio!N35, "RE-", "", 1))*1</f>
        <v>1274.139519</v>
      </c>
      <c r="O35" s="92">
        <f>(SUBSTITUTE(Audio!O35, "RE-", "", 1))*1</f>
        <v>0</v>
      </c>
      <c r="P35" s="92">
        <f>(SUBSTITUTE(Audio!P35, "RE-", "", 1))*1</f>
        <v>597.9047594</v>
      </c>
      <c r="Q35" s="92">
        <f>(SUBSTITUTE(Audio!Q35, "RE-", "", 1))*1</f>
        <v>0</v>
      </c>
      <c r="R35" s="92">
        <f>(SUBSTITUTE(Audio!R35, "RE-", "", 1))*1</f>
        <v>268.7470385</v>
      </c>
      <c r="S35" s="92">
        <f>(SUBSTITUTE(Audio!S35, "RE-", "", 1))*1</f>
        <v>0</v>
      </c>
      <c r="T35" s="92">
        <f>(SUBSTITUTE(Audio!T35, "RE-", "", 1))*1</f>
        <v>521.8113604</v>
      </c>
      <c r="U35" s="92">
        <f>(SUBSTITUTE(Audio!U35, "RE-", "", 1))*1</f>
        <v>0</v>
      </c>
      <c r="V35" s="92">
        <f>(SUBSTITUTE(Audio!V35, "RE-", "", 1))*1</f>
        <v>0</v>
      </c>
      <c r="W35" s="92">
        <f>(SUBSTITUTE(Audio!W35, "RE-", "", 1))*1</f>
        <v>0</v>
      </c>
      <c r="X35" s="92">
        <f>(SUBSTITUTE(Audio!X35, "RE-", "", 1))*1</f>
        <v>0</v>
      </c>
      <c r="Y35" s="92">
        <f>(SUBSTITUTE(Audio!Y35, "RE-", "", 1))*1</f>
        <v>0</v>
      </c>
      <c r="Z35" s="92">
        <f>(SUBSTITUTE(Audio!Z35, "RE-", "", 1))*1</f>
        <v>0</v>
      </c>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c r="CF35" s="92"/>
      <c r="CG35" s="92"/>
      <c r="CH35" s="92"/>
      <c r="CI35" s="92"/>
      <c r="CJ35" s="92"/>
      <c r="CK35" s="92"/>
      <c r="CL35" s="92"/>
      <c r="CM35" s="92"/>
      <c r="CN35" s="92"/>
      <c r="CO35" s="92"/>
      <c r="CP35" s="92"/>
      <c r="CQ35" s="92"/>
      <c r="CR35" s="92"/>
      <c r="CS35" s="92"/>
      <c r="CT35" s="92"/>
      <c r="CU35" s="92"/>
      <c r="CV35" s="92"/>
      <c r="CW35" s="92"/>
      <c r="CX35" s="92"/>
      <c r="CY35" s="92"/>
      <c r="CZ35" s="92"/>
      <c r="DA35" s="92"/>
      <c r="DB35" s="92"/>
      <c r="DC35" s="92"/>
      <c r="DD35" s="92"/>
      <c r="DE35" s="92"/>
      <c r="DF35" s="92"/>
      <c r="DG35" s="92"/>
      <c r="DH35" s="92"/>
      <c r="DI35" s="92"/>
      <c r="DJ35" s="92"/>
      <c r="DK35" s="92"/>
      <c r="DL35" s="92"/>
      <c r="DM35" s="92"/>
      <c r="DN35" s="92"/>
      <c r="DO35" s="92"/>
      <c r="DP35" s="92"/>
      <c r="DQ35" s="92"/>
      <c r="DR35" s="92"/>
      <c r="DS35" s="92"/>
      <c r="DT35" s="92"/>
      <c r="DU35" s="92"/>
      <c r="DV35" s="92"/>
      <c r="DW35" s="92"/>
      <c r="DX35" s="92"/>
      <c r="DY35" s="92"/>
      <c r="DZ35" s="92"/>
      <c r="EA35" s="92"/>
      <c r="EB35" s="92"/>
      <c r="EC35" s="92"/>
      <c r="ED35" s="92"/>
      <c r="EE35" s="92"/>
      <c r="EF35" s="92"/>
      <c r="EG35" s="92"/>
      <c r="EH35" s="92"/>
      <c r="EI35" s="92"/>
      <c r="EJ35" s="92"/>
      <c r="EK35" s="92"/>
      <c r="EL35" s="92"/>
      <c r="EM35" s="92"/>
      <c r="EN35" s="92"/>
      <c r="EO35" s="92"/>
      <c r="EP35" s="92"/>
      <c r="EQ35" s="92"/>
      <c r="ER35" s="92"/>
      <c r="ES35" s="92"/>
      <c r="ET35" s="92"/>
      <c r="EU35" s="92"/>
      <c r="EV35" s="92"/>
      <c r="EW35" s="92"/>
      <c r="EX35" s="92"/>
      <c r="EY35" s="92"/>
      <c r="EZ35" s="92"/>
      <c r="FA35" s="92"/>
      <c r="FB35" s="92"/>
      <c r="FC35" s="92"/>
      <c r="FD35" s="92"/>
      <c r="FE35" s="92"/>
      <c r="FF35" s="92"/>
      <c r="FG35" s="92"/>
      <c r="FH35" s="92"/>
    </row>
    <row r="36">
      <c r="A36" s="32" t="s">
        <v>7</v>
      </c>
      <c r="B36" s="32" t="s">
        <v>20</v>
      </c>
      <c r="C36" s="32" t="s">
        <v>9</v>
      </c>
      <c r="D36" s="97">
        <f t="shared" si="1"/>
        <v>7631.102555</v>
      </c>
      <c r="E36" s="92">
        <f>(SUBSTITUTE(Audio!E36, "RE-", "", 1))*1</f>
        <v>0</v>
      </c>
      <c r="F36" s="92">
        <f>(SUBSTITUTE(Audio!F36, "RE-", "", 1))*1</f>
        <v>1356.671549</v>
      </c>
      <c r="G36" s="92">
        <f>(SUBSTITUTE(Audio!G36, "RE-", "", 1))*1</f>
        <v>0</v>
      </c>
      <c r="H36" s="92">
        <f>(SUBSTITUTE(Audio!H36, "RE-", "", 1))*1</f>
        <v>350.9418063</v>
      </c>
      <c r="I36" s="92">
        <f>(SUBSTITUTE(Audio!I36, "RE-", "", 1))*1</f>
        <v>0</v>
      </c>
      <c r="J36" s="92">
        <f>(SUBSTITUTE(Audio!J36, "RE-", "", 1))*1</f>
        <v>2521.808362</v>
      </c>
      <c r="K36" s="92">
        <f>(SUBSTITUTE(Audio!K36, "RE-", "", 1))*1</f>
        <v>0</v>
      </c>
      <c r="L36" s="92">
        <f>(SUBSTITUTE(Audio!L36, "RE-", "", 1))*1</f>
        <v>739.0781604</v>
      </c>
      <c r="M36" s="92">
        <f>(SUBSTITUTE(Audio!M36, "RE-", "", 1))*1</f>
        <v>0</v>
      </c>
      <c r="N36" s="92">
        <f>(SUBSTITUTE(Audio!N36, "RE-", "", 1))*1</f>
        <v>1274.139519</v>
      </c>
      <c r="O36" s="92">
        <f>(SUBSTITUTE(Audio!O36, "RE-", "", 1))*1</f>
        <v>0</v>
      </c>
      <c r="P36" s="92">
        <f>(SUBSTITUTE(Audio!P36, "RE-", "", 1))*1</f>
        <v>597.9047594</v>
      </c>
      <c r="Q36" s="92">
        <f>(SUBSTITUTE(Audio!Q36, "RE-", "", 1))*1</f>
        <v>0</v>
      </c>
      <c r="R36" s="92">
        <f>(SUBSTITUTE(Audio!R36, "RE-", "", 1))*1</f>
        <v>268.7470385</v>
      </c>
      <c r="S36" s="92">
        <f>(SUBSTITUTE(Audio!S36, "RE-", "", 1))*1</f>
        <v>0</v>
      </c>
      <c r="T36" s="92">
        <f>(SUBSTITUTE(Audio!T36, "RE-", "", 1))*1</f>
        <v>521.8113604</v>
      </c>
      <c r="U36" s="92">
        <f>(SUBSTITUTE(Audio!U36, "RE-", "", 1))*1</f>
        <v>0</v>
      </c>
      <c r="V36" s="92">
        <f>(SUBSTITUTE(Audio!V36, "RE-", "", 1))*1</f>
        <v>0</v>
      </c>
      <c r="W36" s="92">
        <f>(SUBSTITUTE(Audio!W36, "RE-", "", 1))*1</f>
        <v>0</v>
      </c>
      <c r="X36" s="92">
        <f>(SUBSTITUTE(Audio!X36, "RE-", "", 1))*1</f>
        <v>0</v>
      </c>
      <c r="Y36" s="92">
        <f>(SUBSTITUTE(Audio!Y36, "RE-", "", 1))*1</f>
        <v>0</v>
      </c>
      <c r="Z36" s="92">
        <f>(SUBSTITUTE(Audio!Z36, "RE-", "", 1))*1</f>
        <v>0</v>
      </c>
      <c r="AA36" s="92"/>
      <c r="AB36" s="92"/>
      <c r="AC36" s="92"/>
      <c r="AD36" s="92"/>
      <c r="AE36" s="92"/>
      <c r="AF36" s="92"/>
      <c r="AG36" s="92"/>
      <c r="AH36" s="92"/>
      <c r="AI36" s="92"/>
      <c r="AJ36" s="92"/>
      <c r="AK36" s="92"/>
      <c r="AL36" s="92"/>
      <c r="AM36" s="92"/>
      <c r="AN36" s="92"/>
      <c r="AO36" s="92"/>
      <c r="AP36" s="92"/>
      <c r="AQ36" s="92"/>
      <c r="AR36" s="92"/>
      <c r="AS36" s="92"/>
      <c r="AT36" s="92"/>
      <c r="AU36" s="92"/>
      <c r="AV36" s="92"/>
      <c r="AW36" s="92"/>
      <c r="AX36" s="92"/>
      <c r="AY36" s="92"/>
      <c r="AZ36" s="92"/>
      <c r="BA36" s="92"/>
      <c r="BB36" s="92"/>
      <c r="BC36" s="92"/>
      <c r="BD36" s="92"/>
      <c r="BE36" s="92"/>
      <c r="BF36" s="92"/>
      <c r="BG36" s="92"/>
      <c r="BH36" s="92"/>
      <c r="BI36" s="92"/>
      <c r="BJ36" s="92"/>
      <c r="BK36" s="92"/>
      <c r="BL36" s="92"/>
      <c r="BM36" s="92"/>
      <c r="BN36" s="92"/>
      <c r="BO36" s="92"/>
      <c r="BP36" s="92"/>
      <c r="BQ36" s="92"/>
      <c r="BR36" s="92"/>
      <c r="BS36" s="92"/>
      <c r="BT36" s="92"/>
      <c r="BU36" s="92"/>
      <c r="BV36" s="92"/>
      <c r="BW36" s="92"/>
      <c r="BX36" s="92"/>
      <c r="BY36" s="92"/>
      <c r="BZ36" s="92"/>
      <c r="CA36" s="92"/>
      <c r="CB36" s="92"/>
      <c r="CC36" s="92"/>
      <c r="CD36" s="92"/>
      <c r="CE36" s="92"/>
      <c r="CF36" s="92"/>
      <c r="CG36" s="92"/>
      <c r="CH36" s="92"/>
      <c r="CI36" s="92"/>
      <c r="CJ36" s="92"/>
      <c r="CK36" s="92"/>
      <c r="CL36" s="92"/>
      <c r="CM36" s="92"/>
      <c r="CN36" s="92"/>
      <c r="CO36" s="92"/>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c r="DS36" s="92"/>
      <c r="DT36" s="92"/>
      <c r="DU36" s="92"/>
      <c r="DV36" s="92"/>
      <c r="DW36" s="92"/>
      <c r="DX36" s="92"/>
      <c r="DY36" s="92"/>
      <c r="DZ36" s="92"/>
      <c r="EA36" s="92"/>
      <c r="EB36" s="92"/>
      <c r="EC36" s="92"/>
      <c r="ED36" s="92"/>
      <c r="EE36" s="92"/>
      <c r="EF36" s="92"/>
      <c r="EG36" s="92"/>
      <c r="EH36" s="92"/>
      <c r="EI36" s="92"/>
      <c r="EJ36" s="92"/>
      <c r="EK36" s="92"/>
      <c r="EL36" s="92"/>
      <c r="EM36" s="92"/>
      <c r="EN36" s="92"/>
      <c r="EO36" s="92"/>
      <c r="EP36" s="92"/>
      <c r="EQ36" s="92"/>
      <c r="ER36" s="92"/>
      <c r="ES36" s="92"/>
      <c r="ET36" s="92"/>
      <c r="EU36" s="92"/>
      <c r="EV36" s="92"/>
      <c r="EW36" s="92"/>
      <c r="EX36" s="92"/>
      <c r="EY36" s="92"/>
      <c r="EZ36" s="92"/>
      <c r="FA36" s="92"/>
      <c r="FB36" s="92"/>
      <c r="FC36" s="92"/>
      <c r="FD36" s="92"/>
      <c r="FE36" s="92"/>
      <c r="FF36" s="92"/>
      <c r="FG36" s="92"/>
      <c r="FH36" s="92"/>
    </row>
    <row r="37">
      <c r="A37" s="32" t="s">
        <v>7</v>
      </c>
      <c r="B37" s="32" t="s">
        <v>20</v>
      </c>
      <c r="C37" s="32" t="s">
        <v>10</v>
      </c>
      <c r="D37" s="97">
        <f t="shared" si="1"/>
        <v>718.1334313</v>
      </c>
      <c r="E37" s="92">
        <f>(SUBSTITUTE(Audio!E37, "RE-", "", 1))*1</f>
        <v>0</v>
      </c>
      <c r="F37" s="92">
        <f>(SUBSTITUTE(Audio!F37, "RE-", "", 1))*1</f>
        <v>0</v>
      </c>
      <c r="G37" s="92">
        <f>(SUBSTITUTE(Audio!G37, "RE-", "", 1))*1</f>
        <v>127.9036042</v>
      </c>
      <c r="H37" s="92">
        <f>(SUBSTITUTE(Audio!H37, "RE-", "", 1))*1</f>
        <v>0</v>
      </c>
      <c r="I37" s="92">
        <f>(SUBSTITUTE(Audio!I37, "RE-", "", 1))*1</f>
        <v>16.44677708</v>
      </c>
      <c r="J37" s="92">
        <f>(SUBSTITUTE(Audio!J37, "RE-", "", 1))*1</f>
        <v>0</v>
      </c>
      <c r="K37" s="92">
        <f>(SUBSTITUTE(Audio!K37, "RE-", "", 1))*1</f>
        <v>232.4665115</v>
      </c>
      <c r="L37" s="92">
        <f>(SUBSTITUTE(Audio!L37, "RE-", "", 1))*1</f>
        <v>0</v>
      </c>
      <c r="M37" s="92">
        <f>(SUBSTITUTE(Audio!M37, "RE-", "", 1))*1</f>
        <v>36.1901375</v>
      </c>
      <c r="N37" s="92">
        <f>(SUBSTITUTE(Audio!N37, "RE-", "", 1))*1</f>
        <v>0</v>
      </c>
      <c r="O37" s="92">
        <f>(SUBSTITUTE(Audio!O37, "RE-", "", 1))*1</f>
        <v>83.27004271</v>
      </c>
      <c r="P37" s="92">
        <f>(SUBSTITUTE(Audio!P37, "RE-", "", 1))*1</f>
        <v>0</v>
      </c>
      <c r="Q37" s="92">
        <f>(SUBSTITUTE(Audio!Q37, "RE-", "", 1))*1</f>
        <v>126.3442781</v>
      </c>
      <c r="R37" s="92">
        <f>(SUBSTITUTE(Audio!R37, "RE-", "", 1))*1</f>
        <v>0</v>
      </c>
      <c r="S37" s="92">
        <f>(SUBSTITUTE(Audio!S37, "RE-", "", 1))*1</f>
        <v>40.50158021</v>
      </c>
      <c r="T37" s="92">
        <f>(SUBSTITUTE(Audio!T37, "RE-", "", 1))*1</f>
        <v>0</v>
      </c>
      <c r="U37" s="92">
        <f>(SUBSTITUTE(Audio!U37, "RE-", "", 1))*1</f>
        <v>47.55650417</v>
      </c>
      <c r="V37" s="92">
        <f>(SUBSTITUTE(Audio!V37, "RE-", "", 1))*1</f>
        <v>7.453995833</v>
      </c>
      <c r="W37" s="92">
        <f>(SUBSTITUTE(Audio!W37, "RE-", "", 1))*1</f>
        <v>0</v>
      </c>
      <c r="X37" s="92">
        <f>(SUBSTITUTE(Audio!X37, "RE-", "", 1))*1</f>
        <v>0</v>
      </c>
      <c r="Y37" s="92">
        <f>(SUBSTITUTE(Audio!Y37, "RE-", "", 1))*1</f>
        <v>0</v>
      </c>
      <c r="Z37" s="92">
        <f>(SUBSTITUTE(Audio!Z37, "RE-", "", 1))*1</f>
        <v>0</v>
      </c>
      <c r="AA37" s="92"/>
      <c r="AB37" s="92"/>
      <c r="AC37" s="92"/>
      <c r="AD37" s="92"/>
      <c r="AE37" s="92"/>
      <c r="AF37" s="92"/>
      <c r="AG37" s="92"/>
      <c r="AH37" s="92"/>
      <c r="AI37" s="92"/>
      <c r="AJ37" s="92"/>
      <c r="AK37" s="92"/>
      <c r="AL37" s="92"/>
      <c r="AM37" s="92"/>
      <c r="AN37" s="92"/>
      <c r="AO37" s="92"/>
      <c r="AP37" s="92"/>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c r="CA37" s="92"/>
      <c r="CB37" s="92"/>
      <c r="CC37" s="92"/>
      <c r="CD37" s="92"/>
      <c r="CE37" s="92"/>
      <c r="CF37" s="92"/>
      <c r="CG37" s="92"/>
      <c r="CH37" s="92"/>
      <c r="CI37" s="92"/>
      <c r="CJ37" s="92"/>
      <c r="CK37" s="92"/>
      <c r="CL37" s="92"/>
      <c r="CM37" s="92"/>
      <c r="CN37" s="92"/>
      <c r="CO37" s="92"/>
      <c r="CP37" s="92"/>
      <c r="CQ37" s="92"/>
      <c r="CR37" s="92"/>
      <c r="CS37" s="92"/>
      <c r="CT37" s="92"/>
      <c r="CU37" s="92"/>
      <c r="CV37" s="92"/>
      <c r="CW37" s="92"/>
      <c r="CX37" s="92"/>
      <c r="CY37" s="92"/>
      <c r="CZ37" s="92"/>
      <c r="DA37" s="92"/>
      <c r="DB37" s="92"/>
      <c r="DC37" s="92"/>
      <c r="DD37" s="92"/>
      <c r="DE37" s="92"/>
      <c r="DF37" s="92"/>
      <c r="DG37" s="92"/>
      <c r="DH37" s="92"/>
      <c r="DI37" s="92"/>
      <c r="DJ37" s="92"/>
      <c r="DK37" s="92"/>
      <c r="DL37" s="92"/>
      <c r="DM37" s="92"/>
      <c r="DN37" s="92"/>
      <c r="DO37" s="92"/>
      <c r="DP37" s="92"/>
      <c r="DQ37" s="92"/>
      <c r="DR37" s="92"/>
      <c r="DS37" s="92"/>
      <c r="DT37" s="92"/>
      <c r="DU37" s="92"/>
      <c r="DV37" s="92"/>
      <c r="DW37" s="92"/>
      <c r="DX37" s="92"/>
      <c r="DY37" s="92"/>
      <c r="DZ37" s="92"/>
      <c r="EA37" s="92"/>
      <c r="EB37" s="92"/>
      <c r="EC37" s="92"/>
      <c r="ED37" s="92"/>
      <c r="EE37" s="92"/>
      <c r="EF37" s="92"/>
      <c r="EG37" s="92"/>
      <c r="EH37" s="92"/>
      <c r="EI37" s="92"/>
      <c r="EJ37" s="92"/>
      <c r="EK37" s="92"/>
      <c r="EL37" s="92"/>
      <c r="EM37" s="92"/>
      <c r="EN37" s="92"/>
      <c r="EO37" s="92"/>
      <c r="EP37" s="92"/>
      <c r="EQ37" s="92"/>
      <c r="ER37" s="92"/>
      <c r="ES37" s="92"/>
      <c r="ET37" s="92"/>
      <c r="EU37" s="92"/>
      <c r="EV37" s="92"/>
      <c r="EW37" s="92"/>
      <c r="EX37" s="92"/>
      <c r="EY37" s="92"/>
      <c r="EZ37" s="92"/>
      <c r="FA37" s="92"/>
      <c r="FB37" s="92"/>
      <c r="FC37" s="92"/>
      <c r="FD37" s="92"/>
      <c r="FE37" s="92"/>
      <c r="FF37" s="92"/>
      <c r="FG37" s="92"/>
      <c r="FH37" s="92"/>
    </row>
    <row r="38">
      <c r="A38" s="32" t="s">
        <v>7</v>
      </c>
      <c r="B38" s="32" t="s">
        <v>20</v>
      </c>
      <c r="C38" s="32" t="s">
        <v>11</v>
      </c>
      <c r="D38" s="97">
        <f t="shared" si="1"/>
        <v>718.1334312</v>
      </c>
      <c r="E38" s="92">
        <f>(SUBSTITUTE(Audio!E38, "RE-", "", 1))*1</f>
        <v>0</v>
      </c>
      <c r="F38" s="92">
        <f>(SUBSTITUTE(Audio!F38, "RE-", "", 1))*1</f>
        <v>0</v>
      </c>
      <c r="G38" s="92">
        <f>(SUBSTITUTE(Audio!G38, "RE-", "", 1))*1</f>
        <v>127.9036042</v>
      </c>
      <c r="H38" s="92">
        <f>(SUBSTITUTE(Audio!H38, "RE-", "", 1))*1</f>
        <v>0</v>
      </c>
      <c r="I38" s="92">
        <f>(SUBSTITUTE(Audio!I38, "RE-", "", 1))*1</f>
        <v>16.44677708</v>
      </c>
      <c r="J38" s="92">
        <f>(SUBSTITUTE(Audio!J38, "RE-", "", 1))*1</f>
        <v>0</v>
      </c>
      <c r="K38" s="92">
        <f>(SUBSTITUTE(Audio!K38, "RE-", "", 1))*1</f>
        <v>232.4665115</v>
      </c>
      <c r="L38" s="92">
        <f>(SUBSTITUTE(Audio!L38, "RE-", "", 1))*1</f>
        <v>0</v>
      </c>
      <c r="M38" s="92">
        <f>(SUBSTITUTE(Audio!M38, "RE-", "", 1))*1</f>
        <v>36.1901375</v>
      </c>
      <c r="N38" s="92">
        <f>(SUBSTITUTE(Audio!N38, "RE-", "", 1))*1</f>
        <v>0</v>
      </c>
      <c r="O38" s="92">
        <f>(SUBSTITUTE(Audio!O38, "RE-", "", 1))*1</f>
        <v>83.27004271</v>
      </c>
      <c r="P38" s="92">
        <f>(SUBSTITUTE(Audio!P38, "RE-", "", 1))*1</f>
        <v>0</v>
      </c>
      <c r="Q38" s="92">
        <f>(SUBSTITUTE(Audio!Q38, "RE-", "", 1))*1</f>
        <v>126.3442781</v>
      </c>
      <c r="R38" s="92">
        <f>(SUBSTITUTE(Audio!R38, "RE-", "", 1))*1</f>
        <v>0</v>
      </c>
      <c r="S38" s="92">
        <f>(SUBSTITUTE(Audio!S38, "RE-", "", 1))*1</f>
        <v>40.50158021</v>
      </c>
      <c r="T38" s="92">
        <f>(SUBSTITUTE(Audio!T38, "RE-", "", 1))*1</f>
        <v>0</v>
      </c>
      <c r="U38" s="92">
        <f>(SUBSTITUTE(Audio!U38, "RE-", "", 1))*1</f>
        <v>47.55650417</v>
      </c>
      <c r="V38" s="92">
        <f>(SUBSTITUTE(Audio!V38, "RE-", "", 1))*1</f>
        <v>7.453995833</v>
      </c>
      <c r="W38" s="92">
        <f>(SUBSTITUTE(Audio!W38, "RE-", "", 1))*1</f>
        <v>0</v>
      </c>
      <c r="X38" s="92">
        <f>(SUBSTITUTE(Audio!X38, "RE-", "", 1))*1</f>
        <v>0</v>
      </c>
      <c r="Y38" s="92">
        <f>(SUBSTITUTE(Audio!Y38, "RE-", "", 1))*1</f>
        <v>0</v>
      </c>
      <c r="Z38" s="92">
        <f>(SUBSTITUTE(Audio!Z38, "RE-", "", 1))*1</f>
        <v>0</v>
      </c>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c r="CA38" s="92"/>
      <c r="CB38" s="92"/>
      <c r="CC38" s="92"/>
      <c r="CD38" s="92"/>
      <c r="CE38" s="92"/>
      <c r="CF38" s="92"/>
      <c r="CG38" s="92"/>
      <c r="CH38" s="92"/>
      <c r="CI38" s="92"/>
      <c r="CJ38" s="92"/>
      <c r="CK38" s="92"/>
      <c r="CL38" s="92"/>
      <c r="CM38" s="92"/>
      <c r="CN38" s="92"/>
      <c r="CO38" s="92"/>
      <c r="CP38" s="92"/>
      <c r="CQ38" s="92"/>
      <c r="CR38" s="92"/>
      <c r="CS38" s="92"/>
      <c r="CT38" s="92"/>
      <c r="CU38" s="92"/>
      <c r="CV38" s="92"/>
      <c r="CW38" s="92"/>
      <c r="CX38" s="92"/>
      <c r="CY38" s="92"/>
      <c r="CZ38" s="92"/>
      <c r="DA38" s="92"/>
      <c r="DB38" s="92"/>
      <c r="DC38" s="92"/>
      <c r="DD38" s="92"/>
      <c r="DE38" s="92"/>
      <c r="DF38" s="92"/>
      <c r="DG38" s="92"/>
      <c r="DH38" s="92"/>
      <c r="DI38" s="92"/>
      <c r="DJ38" s="92"/>
      <c r="DK38" s="92"/>
      <c r="DL38" s="92"/>
      <c r="DM38" s="92"/>
      <c r="DN38" s="92"/>
      <c r="DO38" s="92"/>
      <c r="DP38" s="92"/>
      <c r="DQ38" s="92"/>
      <c r="DR38" s="92"/>
      <c r="DS38" s="92"/>
      <c r="DT38" s="92"/>
      <c r="DU38" s="92"/>
      <c r="DV38" s="92"/>
      <c r="DW38" s="92"/>
      <c r="DX38" s="92"/>
      <c r="DY38" s="92"/>
      <c r="DZ38" s="92"/>
      <c r="EA38" s="92"/>
      <c r="EB38" s="92"/>
      <c r="EC38" s="92"/>
      <c r="ED38" s="92"/>
      <c r="EE38" s="92"/>
      <c r="EF38" s="92"/>
      <c r="EG38" s="92"/>
      <c r="EH38" s="92"/>
      <c r="EI38" s="92"/>
      <c r="EJ38" s="92"/>
      <c r="EK38" s="92"/>
      <c r="EL38" s="92"/>
      <c r="EM38" s="92"/>
      <c r="EN38" s="92"/>
      <c r="EO38" s="92"/>
      <c r="EP38" s="92"/>
      <c r="EQ38" s="92"/>
      <c r="ER38" s="92"/>
      <c r="ES38" s="92"/>
      <c r="ET38" s="92"/>
      <c r="EU38" s="92"/>
      <c r="EV38" s="92"/>
      <c r="EW38" s="92"/>
      <c r="EX38" s="92"/>
      <c r="EY38" s="92"/>
      <c r="EZ38" s="92"/>
      <c r="FA38" s="92"/>
      <c r="FB38" s="92"/>
      <c r="FC38" s="92"/>
      <c r="FD38" s="92"/>
      <c r="FE38" s="92"/>
      <c r="FF38" s="92"/>
      <c r="FG38" s="92"/>
      <c r="FH38" s="92"/>
    </row>
    <row r="39">
      <c r="A39" s="32" t="s">
        <v>7</v>
      </c>
      <c r="B39" s="32" t="s">
        <v>20</v>
      </c>
      <c r="C39" s="32" t="s">
        <v>12</v>
      </c>
      <c r="D39" s="97">
        <f t="shared" si="1"/>
        <v>6332.639185</v>
      </c>
      <c r="E39" s="92">
        <f>(SUBSTITUTE(Audio!E39, "RE-", "", 1))*1</f>
        <v>0</v>
      </c>
      <c r="F39" s="92">
        <f>(SUBSTITUTE(Audio!F39, "RE-", "", 1))*1</f>
        <v>1140.343034</v>
      </c>
      <c r="G39" s="92">
        <f>(SUBSTITUTE(Audio!G39, "RE-", "", 1))*1</f>
        <v>5.1966</v>
      </c>
      <c r="H39" s="92">
        <f>(SUBSTITUTE(Audio!H39, "RE-", "", 1))*1</f>
        <v>308.0420563</v>
      </c>
      <c r="I39" s="92">
        <f>(SUBSTITUTE(Audio!I39, "RE-", "", 1))*1</f>
        <v>0.6256041667</v>
      </c>
      <c r="J39" s="92">
        <f>(SUBSTITUTE(Audio!J39, "RE-", "", 1))*1</f>
        <v>1980.23732</v>
      </c>
      <c r="K39" s="92">
        <f>(SUBSTITUTE(Audio!K39, "RE-", "", 1))*1</f>
        <v>9.92925625</v>
      </c>
      <c r="L39" s="92">
        <f>(SUBSTITUTE(Audio!L39, "RE-", "", 1))*1</f>
        <v>684.6869365</v>
      </c>
      <c r="M39" s="92">
        <f>(SUBSTITUTE(Audio!M39, "RE-", "", 1))*1</f>
        <v>8.791433333</v>
      </c>
      <c r="N39" s="92">
        <f>(SUBSTITUTE(Audio!N39, "RE-", "", 1))*1</f>
        <v>777.5411094</v>
      </c>
      <c r="O39" s="92">
        <f>(SUBSTITUTE(Audio!O39, "RE-", "", 1))*1</f>
        <v>5.206780208</v>
      </c>
      <c r="P39" s="92">
        <f>(SUBSTITUTE(Audio!P39, "RE-", "", 1))*1</f>
        <v>551.0098396</v>
      </c>
      <c r="Q39" s="92">
        <f>(SUBSTITUTE(Audio!Q39, "RE-", "", 1))*1</f>
        <v>56.86000208</v>
      </c>
      <c r="R39" s="92">
        <f>(SUBSTITUTE(Audio!R39, "RE-", "", 1))*1</f>
        <v>257.9742031</v>
      </c>
      <c r="S39" s="92">
        <f>(SUBSTITUTE(Audio!S39, "RE-", "", 1))*1</f>
        <v>24.24188021</v>
      </c>
      <c r="T39" s="92">
        <f>(SUBSTITUTE(Audio!T39, "RE-", "", 1))*1</f>
        <v>490.7036375</v>
      </c>
      <c r="U39" s="92">
        <f>(SUBSTITUTE(Audio!U39, "RE-", "", 1))*1</f>
        <v>26.11182604</v>
      </c>
      <c r="V39" s="92">
        <f>(SUBSTITUTE(Audio!V39, "RE-", "", 1))*1</f>
        <v>5.137666667</v>
      </c>
      <c r="W39" s="92">
        <f>(SUBSTITUTE(Audio!W39, "RE-", "", 1))*1</f>
        <v>0</v>
      </c>
      <c r="X39" s="92">
        <f>(SUBSTITUTE(Audio!X39, "RE-", "", 1))*1</f>
        <v>0</v>
      </c>
      <c r="Y39" s="92">
        <f>(SUBSTITUTE(Audio!Y39, "RE-", "", 1))*1</f>
        <v>0</v>
      </c>
      <c r="Z39" s="92">
        <f>(SUBSTITUTE(Audio!Z39, "RE-", "", 1))*1</f>
        <v>0</v>
      </c>
      <c r="AA39" s="92"/>
      <c r="AB39" s="92"/>
      <c r="AC39" s="92"/>
      <c r="AD39" s="92"/>
      <c r="AE39" s="92"/>
      <c r="AF39" s="92"/>
      <c r="AG39" s="92"/>
      <c r="AH39" s="92"/>
      <c r="AI39" s="92"/>
      <c r="AJ39" s="92"/>
      <c r="AK39" s="92"/>
      <c r="AL39" s="92"/>
      <c r="AM39" s="92"/>
      <c r="AN39" s="92"/>
      <c r="AO39" s="92"/>
      <c r="AP39" s="92"/>
      <c r="AQ39" s="92"/>
      <c r="AR39" s="92"/>
      <c r="AS39" s="92"/>
      <c r="AT39" s="92"/>
      <c r="AU39" s="92"/>
      <c r="AV39" s="92"/>
      <c r="AW39" s="92"/>
      <c r="AX39" s="92"/>
      <c r="AY39" s="92"/>
      <c r="AZ39" s="92"/>
      <c r="BA39" s="92"/>
      <c r="BB39" s="92"/>
      <c r="BC39" s="92"/>
      <c r="BD39" s="92"/>
      <c r="BE39" s="92"/>
      <c r="BF39" s="92"/>
      <c r="BG39" s="92"/>
      <c r="BH39" s="92"/>
      <c r="BI39" s="92"/>
      <c r="BJ39" s="92"/>
      <c r="BK39" s="92"/>
      <c r="BL39" s="92"/>
      <c r="BM39" s="92"/>
      <c r="BN39" s="92"/>
      <c r="BO39" s="92"/>
      <c r="BP39" s="92"/>
      <c r="BQ39" s="92"/>
      <c r="BR39" s="92"/>
      <c r="BS39" s="92"/>
      <c r="BT39" s="92"/>
      <c r="BU39" s="92"/>
      <c r="BV39" s="92"/>
      <c r="BW39" s="92"/>
      <c r="BX39" s="92"/>
      <c r="BY39" s="92"/>
      <c r="BZ39" s="92"/>
      <c r="CA39" s="92"/>
      <c r="CB39" s="92"/>
      <c r="CC39" s="92"/>
      <c r="CD39" s="92"/>
      <c r="CE39" s="92"/>
      <c r="CF39" s="92"/>
      <c r="CG39" s="92"/>
      <c r="CH39" s="92"/>
      <c r="CI39" s="92"/>
      <c r="CJ39" s="92"/>
      <c r="CK39" s="92"/>
      <c r="CL39" s="92"/>
      <c r="CM39" s="92"/>
      <c r="CN39" s="92"/>
      <c r="CO39" s="92"/>
      <c r="CP39" s="92"/>
      <c r="CQ39" s="92"/>
      <c r="CR39" s="92"/>
      <c r="CS39" s="92"/>
      <c r="CT39" s="92"/>
      <c r="CU39" s="92"/>
      <c r="CV39" s="92"/>
      <c r="CW39" s="92"/>
      <c r="CX39" s="92"/>
      <c r="CY39" s="92"/>
      <c r="CZ39" s="92"/>
      <c r="DA39" s="92"/>
      <c r="DB39" s="92"/>
      <c r="DC39" s="92"/>
      <c r="DD39" s="92"/>
      <c r="DE39" s="92"/>
      <c r="DF39" s="92"/>
      <c r="DG39" s="92"/>
      <c r="DH39" s="92"/>
      <c r="DI39" s="92"/>
      <c r="DJ39" s="92"/>
      <c r="DK39" s="92"/>
      <c r="DL39" s="92"/>
      <c r="DM39" s="92"/>
      <c r="DN39" s="92"/>
      <c r="DO39" s="92"/>
      <c r="DP39" s="92"/>
      <c r="DQ39" s="92"/>
      <c r="DR39" s="92"/>
      <c r="DS39" s="92"/>
      <c r="DT39" s="92"/>
      <c r="DU39" s="92"/>
      <c r="DV39" s="92"/>
      <c r="DW39" s="92"/>
      <c r="DX39" s="92"/>
      <c r="DY39" s="92"/>
      <c r="DZ39" s="92"/>
      <c r="EA39" s="92"/>
      <c r="EB39" s="92"/>
      <c r="EC39" s="92"/>
      <c r="ED39" s="92"/>
      <c r="EE39" s="92"/>
      <c r="EF39" s="92"/>
      <c r="EG39" s="92"/>
      <c r="EH39" s="92"/>
      <c r="EI39" s="92"/>
      <c r="EJ39" s="92"/>
      <c r="EK39" s="92"/>
      <c r="EL39" s="92"/>
      <c r="EM39" s="92"/>
      <c r="EN39" s="92"/>
      <c r="EO39" s="92"/>
      <c r="EP39" s="92"/>
      <c r="EQ39" s="92"/>
      <c r="ER39" s="92"/>
      <c r="ES39" s="92"/>
      <c r="ET39" s="92"/>
      <c r="EU39" s="92"/>
      <c r="EV39" s="92"/>
      <c r="EW39" s="92"/>
      <c r="EX39" s="92"/>
      <c r="EY39" s="92"/>
      <c r="EZ39" s="92"/>
      <c r="FA39" s="92"/>
      <c r="FB39" s="92"/>
      <c r="FC39" s="92"/>
      <c r="FD39" s="92"/>
      <c r="FE39" s="92"/>
      <c r="FF39" s="92"/>
      <c r="FG39" s="92"/>
      <c r="FH39" s="92"/>
    </row>
    <row r="40">
      <c r="A40" s="32" t="s">
        <v>7</v>
      </c>
      <c r="B40" s="32" t="s">
        <v>20</v>
      </c>
      <c r="C40" s="32" t="s">
        <v>13</v>
      </c>
      <c r="D40" s="97">
        <f t="shared" si="1"/>
        <v>6099.74816</v>
      </c>
      <c r="E40" s="92">
        <f>(SUBSTITUTE(Audio!E40, "RE-", "", 1))*1</f>
        <v>0</v>
      </c>
      <c r="F40" s="92">
        <f>(SUBSTITUTE(Audio!F40, "RE-", "", 1))*1</f>
        <v>1102.54</v>
      </c>
      <c r="G40" s="92">
        <f>(SUBSTITUTE(Audio!G40, "RE-", "", 1))*1</f>
        <v>4.99672</v>
      </c>
      <c r="H40" s="92">
        <f>(SUBSTITUTE(Audio!H40, "RE-", "", 1))*1</f>
        <v>298.835</v>
      </c>
      <c r="I40" s="92">
        <f>(SUBSTITUTE(Audio!I40, "RE-", "", 1))*1</f>
        <v>0.6164</v>
      </c>
      <c r="J40" s="92">
        <f>(SUBSTITUTE(Audio!J40, "RE-", "", 1))*1</f>
        <v>1911.6</v>
      </c>
      <c r="K40" s="92">
        <f>(SUBSTITUTE(Audio!K40, "RE-", "", 1))*1</f>
        <v>9.41977</v>
      </c>
      <c r="L40" s="92">
        <f>(SUBSTITUTE(Audio!L40, "RE-", "", 1))*1</f>
        <v>652.444</v>
      </c>
      <c r="M40" s="92">
        <f>(SUBSTITUTE(Audio!M40, "RE-", "", 1))*1</f>
        <v>8.06843</v>
      </c>
      <c r="N40" s="92">
        <f>(SUBSTITUTE(Audio!N40, "RE-", "", 1))*1</f>
        <v>750.024</v>
      </c>
      <c r="O40" s="92">
        <f>(SUBSTITUTE(Audio!O40, "RE-", "", 1))*1</f>
        <v>4.91082</v>
      </c>
      <c r="P40" s="92">
        <f>(SUBSTITUTE(Audio!P40, "RE-", "", 1))*1</f>
        <v>526.555</v>
      </c>
      <c r="Q40" s="92">
        <f>(SUBSTITUTE(Audio!Q40, "RE-", "", 1))*1</f>
        <v>54.2001</v>
      </c>
      <c r="R40" s="92">
        <f>(SUBSTITUTE(Audio!R40, "RE-", "", 1))*1</f>
        <v>248.192</v>
      </c>
      <c r="S40" s="92">
        <f>(SUBSTITUTE(Audio!S40, "RE-", "", 1))*1</f>
        <v>22.6313</v>
      </c>
      <c r="T40" s="92">
        <f>(SUBSTITUTE(Audio!T40, "RE-", "", 1))*1</f>
        <v>474.8</v>
      </c>
      <c r="U40" s="92">
        <f>(SUBSTITUTE(Audio!U40, "RE-", "", 1))*1</f>
        <v>24.981</v>
      </c>
      <c r="V40" s="92">
        <f>(SUBSTITUTE(Audio!V40, "RE-", "", 1))*1</f>
        <v>4.93362</v>
      </c>
      <c r="W40" s="92">
        <f>(SUBSTITUTE(Audio!W40, "RE-", "", 1))*1</f>
        <v>0</v>
      </c>
      <c r="X40" s="92">
        <f>(SUBSTITUTE(Audio!X40, "RE-", "", 1))*1</f>
        <v>0</v>
      </c>
      <c r="Y40" s="92">
        <f>(SUBSTITUTE(Audio!Y40, "RE-", "", 1))*1</f>
        <v>0</v>
      </c>
      <c r="Z40" s="92">
        <f>(SUBSTITUTE(Audio!Z40, "RE-", "", 1))*1</f>
        <v>0</v>
      </c>
      <c r="AA40" s="92"/>
      <c r="AB40" s="92"/>
      <c r="AC40" s="92"/>
      <c r="AD40" s="92"/>
      <c r="AE40" s="92"/>
      <c r="AF40" s="92"/>
      <c r="AG40" s="92"/>
      <c r="AH40" s="92"/>
      <c r="AI40" s="92"/>
      <c r="AJ40" s="92"/>
      <c r="AK40" s="92"/>
      <c r="AL40" s="92"/>
      <c r="AM40" s="92"/>
      <c r="AN40" s="92"/>
      <c r="AO40" s="92"/>
      <c r="AP40" s="92"/>
      <c r="AQ40" s="92"/>
      <c r="AR40" s="92"/>
      <c r="AS40" s="92"/>
      <c r="AT40" s="92"/>
      <c r="AU40" s="92"/>
      <c r="AV40" s="92"/>
      <c r="AW40" s="92"/>
      <c r="AX40" s="92"/>
      <c r="AY40" s="92"/>
      <c r="AZ40" s="92"/>
      <c r="BA40" s="92"/>
      <c r="BB40" s="92"/>
      <c r="BC40" s="92"/>
      <c r="BD40" s="92"/>
      <c r="BE40" s="92"/>
      <c r="BF40" s="92"/>
      <c r="BG40" s="92"/>
      <c r="BH40" s="92"/>
      <c r="BI40" s="92"/>
      <c r="BJ40" s="92"/>
      <c r="BK40" s="92"/>
      <c r="BL40" s="92"/>
      <c r="BM40" s="92"/>
      <c r="BN40" s="92"/>
      <c r="BO40" s="92"/>
      <c r="BP40" s="92"/>
      <c r="BQ40" s="92"/>
      <c r="BR40" s="92"/>
      <c r="BS40" s="92"/>
      <c r="BT40" s="92"/>
      <c r="BU40" s="92"/>
      <c r="BV40" s="92"/>
      <c r="BW40" s="92"/>
      <c r="BX40" s="92"/>
      <c r="BY40" s="92"/>
      <c r="BZ40" s="92"/>
      <c r="CA40" s="92"/>
      <c r="CB40" s="92"/>
      <c r="CC40" s="92"/>
      <c r="CD40" s="92"/>
      <c r="CE40" s="92"/>
      <c r="CF40" s="92"/>
      <c r="CG40" s="92"/>
      <c r="CH40" s="92"/>
      <c r="CI40" s="92"/>
      <c r="CJ40" s="92"/>
      <c r="CK40" s="92"/>
      <c r="CL40" s="92"/>
      <c r="CM40" s="92"/>
      <c r="CN40" s="92"/>
      <c r="CO40" s="92"/>
      <c r="CP40" s="92"/>
      <c r="CQ40" s="92"/>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c r="DS40" s="92"/>
      <c r="DT40" s="92"/>
      <c r="DU40" s="92"/>
      <c r="DV40" s="92"/>
      <c r="DW40" s="92"/>
      <c r="DX40" s="92"/>
      <c r="DY40" s="92"/>
      <c r="DZ40" s="92"/>
      <c r="EA40" s="92"/>
      <c r="EB40" s="92"/>
      <c r="EC40" s="92"/>
      <c r="ED40" s="92"/>
      <c r="EE40" s="92"/>
      <c r="EF40" s="92"/>
      <c r="EG40" s="92"/>
      <c r="EH40" s="92"/>
      <c r="EI40" s="92"/>
      <c r="EJ40" s="92"/>
      <c r="EK40" s="92"/>
      <c r="EL40" s="92"/>
      <c r="EM40" s="92"/>
      <c r="EN40" s="92"/>
      <c r="EO40" s="92"/>
      <c r="EP40" s="92"/>
      <c r="EQ40" s="92"/>
      <c r="ER40" s="92"/>
      <c r="ES40" s="92"/>
      <c r="ET40" s="92"/>
      <c r="EU40" s="92"/>
      <c r="EV40" s="92"/>
      <c r="EW40" s="92"/>
      <c r="EX40" s="92"/>
      <c r="EY40" s="92"/>
      <c r="EZ40" s="92"/>
      <c r="FA40" s="92"/>
      <c r="FB40" s="92"/>
      <c r="FC40" s="92"/>
      <c r="FD40" s="92"/>
      <c r="FE40" s="92"/>
      <c r="FF40" s="92"/>
      <c r="FG40" s="92"/>
      <c r="FH40" s="92"/>
    </row>
    <row r="41">
      <c r="A41" s="32" t="s">
        <v>7</v>
      </c>
      <c r="B41" s="32" t="s">
        <v>20</v>
      </c>
      <c r="C41" s="32" t="s">
        <v>14</v>
      </c>
      <c r="D41" s="97">
        <f t="shared" si="1"/>
        <v>5451.43791</v>
      </c>
      <c r="E41" s="92">
        <f>(SUBSTITUTE(Audio!E41, "RE-", "", 1))*1</f>
        <v>0</v>
      </c>
      <c r="F41" s="92">
        <f>(SUBSTITUTE(Audio!F41, "RE-", "", 1))*1</f>
        <v>976.965</v>
      </c>
      <c r="G41" s="92">
        <f>(SUBSTITUTE(Audio!G41, "RE-", "", 1))*1</f>
        <v>4.81152</v>
      </c>
      <c r="H41" s="92">
        <f>(SUBSTITUTE(Audio!H41, "RE-", "", 1))*1</f>
        <v>276.504</v>
      </c>
      <c r="I41" s="92">
        <f>(SUBSTITUTE(Audio!I41, "RE-", "", 1))*1</f>
        <v>0.6164</v>
      </c>
      <c r="J41" s="92">
        <f>(SUBSTITUTE(Audio!J41, "RE-", "", 1))*1</f>
        <v>1774.89</v>
      </c>
      <c r="K41" s="92">
        <f>(SUBSTITUTE(Audio!K41, "RE-", "", 1))*1</f>
        <v>8.14247</v>
      </c>
      <c r="L41" s="92">
        <f>(SUBSTITUTE(Audio!L41, "RE-", "", 1))*1</f>
        <v>575.309</v>
      </c>
      <c r="M41" s="92">
        <f>(SUBSTITUTE(Audio!M41, "RE-", "", 1))*1</f>
        <v>7.45218</v>
      </c>
      <c r="N41" s="92">
        <f>(SUBSTITUTE(Audio!N41, "RE-", "", 1))*1</f>
        <v>645.889</v>
      </c>
      <c r="O41" s="92">
        <f>(SUBSTITUTE(Audio!O41, "RE-", "", 1))*1</f>
        <v>4.91082</v>
      </c>
      <c r="P41" s="92">
        <f>(SUBSTITUTE(Audio!P41, "RE-", "", 1))*1</f>
        <v>456.285</v>
      </c>
      <c r="Q41" s="92">
        <f>(SUBSTITUTE(Audio!Q41, "RE-", "", 1))*1</f>
        <v>49.3722</v>
      </c>
      <c r="R41" s="92">
        <f>(SUBSTITUTE(Audio!R41, "RE-", "", 1))*1</f>
        <v>212.44</v>
      </c>
      <c r="S41" s="92">
        <f>(SUBSTITUTE(Audio!S41, "RE-", "", 1))*1</f>
        <v>20.4131</v>
      </c>
      <c r="T41" s="92">
        <f>(SUBSTITUTE(Audio!T41, "RE-", "", 1))*1</f>
        <v>410.504</v>
      </c>
      <c r="U41" s="92">
        <f>(SUBSTITUTE(Audio!U41, "RE-", "", 1))*1</f>
        <v>21.9996</v>
      </c>
      <c r="V41" s="92">
        <f>(SUBSTITUTE(Audio!V41, "RE-", "", 1))*1</f>
        <v>4.93362</v>
      </c>
      <c r="W41" s="92">
        <f>(SUBSTITUTE(Audio!W41, "RE-", "", 1))*1</f>
        <v>0</v>
      </c>
      <c r="X41" s="92">
        <f>(SUBSTITUTE(Audio!X41, "RE-", "", 1))*1</f>
        <v>0</v>
      </c>
      <c r="Y41" s="92">
        <f>(SUBSTITUTE(Audio!Y41, "RE-", "", 1))*1</f>
        <v>0</v>
      </c>
      <c r="Z41" s="92">
        <f>(SUBSTITUTE(Audio!Z41, "RE-", "", 1))*1</f>
        <v>0</v>
      </c>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c r="CF41" s="92"/>
      <c r="CG41" s="92"/>
      <c r="CH41" s="92"/>
      <c r="CI41" s="92"/>
      <c r="CJ41" s="92"/>
      <c r="CK41" s="92"/>
      <c r="CL41" s="92"/>
      <c r="CM41" s="92"/>
      <c r="CN41" s="92"/>
      <c r="CO41" s="92"/>
      <c r="CP41" s="92"/>
      <c r="CQ41" s="92"/>
      <c r="CR41" s="92"/>
      <c r="CS41" s="92"/>
      <c r="CT41" s="92"/>
      <c r="CU41" s="92"/>
      <c r="CV41" s="92"/>
      <c r="CW41" s="92"/>
      <c r="CX41" s="92"/>
      <c r="CY41" s="92"/>
      <c r="CZ41" s="92"/>
      <c r="DA41" s="92"/>
      <c r="DB41" s="92"/>
      <c r="DC41" s="92"/>
      <c r="DD41" s="92"/>
      <c r="DE41" s="92"/>
      <c r="DF41" s="92"/>
      <c r="DG41" s="92"/>
      <c r="DH41" s="92"/>
      <c r="DI41" s="92"/>
      <c r="DJ41" s="92"/>
      <c r="DK41" s="92"/>
      <c r="DL41" s="92"/>
      <c r="DM41" s="92"/>
      <c r="DN41" s="92"/>
      <c r="DO41" s="92"/>
      <c r="DP41" s="92"/>
      <c r="DQ41" s="92"/>
      <c r="DR41" s="92"/>
      <c r="DS41" s="92"/>
      <c r="DT41" s="92"/>
      <c r="DU41" s="92"/>
      <c r="DV41" s="92"/>
      <c r="DW41" s="92"/>
      <c r="DX41" s="92"/>
      <c r="DY41" s="92"/>
      <c r="DZ41" s="92"/>
      <c r="EA41" s="92"/>
      <c r="EB41" s="92"/>
      <c r="EC41" s="92"/>
      <c r="ED41" s="92"/>
      <c r="EE41" s="92"/>
      <c r="EF41" s="92"/>
      <c r="EG41" s="92"/>
      <c r="EH41" s="92"/>
      <c r="EI41" s="92"/>
      <c r="EJ41" s="92"/>
      <c r="EK41" s="92"/>
      <c r="EL41" s="92"/>
      <c r="EM41" s="92"/>
      <c r="EN41" s="92"/>
      <c r="EO41" s="92"/>
      <c r="EP41" s="92"/>
      <c r="EQ41" s="92"/>
      <c r="ER41" s="92"/>
      <c r="ES41" s="92"/>
      <c r="ET41" s="92"/>
      <c r="EU41" s="92"/>
      <c r="EV41" s="92"/>
      <c r="EW41" s="92"/>
      <c r="EX41" s="92"/>
      <c r="EY41" s="92"/>
      <c r="EZ41" s="92"/>
      <c r="FA41" s="92"/>
      <c r="FB41" s="92"/>
      <c r="FC41" s="92"/>
      <c r="FD41" s="92"/>
      <c r="FE41" s="92"/>
      <c r="FF41" s="92"/>
      <c r="FG41" s="92"/>
      <c r="FH41" s="92"/>
    </row>
    <row r="42">
      <c r="A42" s="27" t="s">
        <v>7</v>
      </c>
      <c r="B42" s="27" t="s">
        <v>20</v>
      </c>
      <c r="C42" s="27" t="s">
        <v>15</v>
      </c>
      <c r="D42" s="98">
        <f t="shared" si="1"/>
        <v>6098.43931</v>
      </c>
      <c r="E42" s="92">
        <f>(SUBSTITUTE(Audio!E42, "RE-", "", 1))*1</f>
        <v>0</v>
      </c>
      <c r="F42" s="92">
        <f>(SUBSTITUTE(Audio!F42, "RE-", "", 1))*1</f>
        <v>1102.51</v>
      </c>
      <c r="G42" s="92">
        <f>(SUBSTITUTE(Audio!G42, "RE-", "", 1))*1</f>
        <v>4.99672</v>
      </c>
      <c r="H42" s="92">
        <f>(SUBSTITUTE(Audio!H42, "RE-", "", 1))*1</f>
        <v>298.835</v>
      </c>
      <c r="I42" s="92">
        <f>(SUBSTITUTE(Audio!I42, "RE-", "", 1))*1</f>
        <v>0.6164</v>
      </c>
      <c r="J42" s="92">
        <f>(SUBSTITUTE(Audio!J42, "RE-", "", 1))*1</f>
        <v>1911.54</v>
      </c>
      <c r="K42" s="92">
        <f>(SUBSTITUTE(Audio!K42, "RE-", "", 1))*1</f>
        <v>9.41977</v>
      </c>
      <c r="L42" s="92">
        <f>(SUBSTITUTE(Audio!L42, "RE-", "", 1))*1</f>
        <v>652.433</v>
      </c>
      <c r="M42" s="92">
        <f>(SUBSTITUTE(Audio!M42, "RE-", "", 1))*1</f>
        <v>7.98378</v>
      </c>
      <c r="N42" s="92">
        <f>(SUBSTITUTE(Audio!N42, "RE-", "", 1))*1</f>
        <v>750.024</v>
      </c>
      <c r="O42" s="92">
        <f>(SUBSTITUTE(Audio!O42, "RE-", "", 1))*1</f>
        <v>4.91082</v>
      </c>
      <c r="P42" s="92">
        <f>(SUBSTITUTE(Audio!P42, "RE-", "", 1))*1</f>
        <v>526.555</v>
      </c>
      <c r="Q42" s="92">
        <f>(SUBSTITUTE(Audio!Q42, "RE-", "", 1))*1</f>
        <v>53.0769</v>
      </c>
      <c r="R42" s="92">
        <f>(SUBSTITUTE(Audio!R42, "RE-", "", 1))*1</f>
        <v>248.192</v>
      </c>
      <c r="S42" s="92">
        <f>(SUBSTITUTE(Audio!S42, "RE-", "", 1))*1</f>
        <v>22.6313</v>
      </c>
      <c r="T42" s="92">
        <f>(SUBSTITUTE(Audio!T42, "RE-", "", 1))*1</f>
        <v>474.8</v>
      </c>
      <c r="U42" s="92">
        <f>(SUBSTITUTE(Audio!U42, "RE-", "", 1))*1</f>
        <v>24.981</v>
      </c>
      <c r="V42" s="92">
        <f>(SUBSTITUTE(Audio!V42, "RE-", "", 1))*1</f>
        <v>4.93362</v>
      </c>
      <c r="W42" s="92">
        <f>(SUBSTITUTE(Audio!W42, "RE-", "", 1))*1</f>
        <v>0</v>
      </c>
      <c r="X42" s="92">
        <f>(SUBSTITUTE(Audio!X42, "RE-", "", 1))*1</f>
        <v>0</v>
      </c>
      <c r="Y42" s="92">
        <f>(SUBSTITUTE(Audio!Y42, "RE-", "", 1))*1</f>
        <v>0</v>
      </c>
      <c r="Z42" s="92">
        <f>(SUBSTITUTE(Audio!Z42, "RE-", "", 1))*1</f>
        <v>0</v>
      </c>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c r="CA42" s="92"/>
      <c r="CB42" s="92"/>
      <c r="CC42" s="92"/>
      <c r="CD42" s="92"/>
      <c r="CE42" s="92"/>
      <c r="CF42" s="92"/>
      <c r="CG42" s="92"/>
      <c r="CH42" s="92"/>
      <c r="CI42" s="92"/>
      <c r="CJ42" s="92"/>
      <c r="CK42" s="92"/>
      <c r="CL42" s="92"/>
      <c r="CM42" s="92"/>
      <c r="CN42" s="92"/>
      <c r="CO42" s="92"/>
      <c r="CP42" s="92"/>
      <c r="CQ42" s="92"/>
      <c r="CR42" s="92"/>
      <c r="CS42" s="92"/>
      <c r="CT42" s="92"/>
      <c r="CU42" s="92"/>
      <c r="CV42" s="92"/>
      <c r="CW42" s="92"/>
      <c r="CX42" s="92"/>
      <c r="CY42" s="92"/>
      <c r="CZ42" s="92"/>
      <c r="DA42" s="92"/>
      <c r="DB42" s="92"/>
      <c r="DC42" s="92"/>
      <c r="DD42" s="92"/>
      <c r="DE42" s="92"/>
      <c r="DF42" s="92"/>
      <c r="DG42" s="92"/>
      <c r="DH42" s="92"/>
      <c r="DI42" s="92"/>
      <c r="DJ42" s="92"/>
      <c r="DK42" s="92"/>
      <c r="DL42" s="92"/>
      <c r="DM42" s="92"/>
      <c r="DN42" s="92"/>
      <c r="DO42" s="92"/>
      <c r="DP42" s="92"/>
      <c r="DQ42" s="92"/>
      <c r="DR42" s="92"/>
      <c r="DS42" s="92"/>
      <c r="DT42" s="92"/>
      <c r="DU42" s="92"/>
      <c r="DV42" s="92"/>
      <c r="DW42" s="92"/>
      <c r="DX42" s="92"/>
      <c r="DY42" s="92"/>
      <c r="DZ42" s="92"/>
      <c r="EA42" s="92"/>
      <c r="EB42" s="92"/>
      <c r="EC42" s="92"/>
      <c r="ED42" s="92"/>
      <c r="EE42" s="92"/>
      <c r="EF42" s="92"/>
      <c r="EG42" s="92"/>
      <c r="EH42" s="92"/>
      <c r="EI42" s="92"/>
      <c r="EJ42" s="92"/>
      <c r="EK42" s="92"/>
      <c r="EL42" s="92"/>
      <c r="EM42" s="92"/>
      <c r="EN42" s="92"/>
      <c r="EO42" s="92"/>
      <c r="EP42" s="92"/>
      <c r="EQ42" s="92"/>
      <c r="ER42" s="92"/>
      <c r="ES42" s="92"/>
      <c r="ET42" s="92"/>
      <c r="EU42" s="92"/>
      <c r="EV42" s="92"/>
      <c r="EW42" s="92"/>
      <c r="EX42" s="92"/>
      <c r="EY42" s="92"/>
      <c r="EZ42" s="92"/>
      <c r="FA42" s="92"/>
      <c r="FB42" s="92"/>
      <c r="FC42" s="92"/>
      <c r="FD42" s="92"/>
      <c r="FE42" s="92"/>
      <c r="FF42" s="92"/>
      <c r="FG42" s="92"/>
      <c r="FH42" s="92"/>
    </row>
    <row r="43">
      <c r="A43" s="30" t="s">
        <v>7</v>
      </c>
      <c r="B43" s="30" t="s">
        <v>21</v>
      </c>
      <c r="C43" s="31" t="str">
        <f>HYPERLINK("https://docs.google.com/spreadsheets/d/1lewUL82RG6vI_r7RySJ3rYd1Xcnef1zi/edit?usp=share_link&amp;ouid=106501987799020758802&amp;rtpof=true&amp;sd=true", "Raw Delivered")</f>
        <v>Raw Delivered</v>
      </c>
      <c r="D43" s="96">
        <f t="shared" si="1"/>
        <v>6369.427842</v>
      </c>
      <c r="E43" s="92">
        <f>(SUBSTITUTE(Audio!E43, "RE-", "", 1))*1</f>
        <v>0</v>
      </c>
      <c r="F43" s="92">
        <f>(SUBSTITUTE(Audio!F43, "RE-", "", 1))*1</f>
        <v>1122.702938</v>
      </c>
      <c r="G43" s="92">
        <f>(SUBSTITUTE(Audio!G43, "RE-", "", 1))*1</f>
        <v>0</v>
      </c>
      <c r="H43" s="92">
        <f>(SUBSTITUTE(Audio!H43, "RE-", "", 1))*1</f>
        <v>424.2035562</v>
      </c>
      <c r="I43" s="92">
        <f>(SUBSTITUTE(Audio!I43, "RE-", "", 1))*1</f>
        <v>0</v>
      </c>
      <c r="J43" s="92">
        <f>(SUBSTITUTE(Audio!J43, "RE-", "", 1))*1</f>
        <v>2015.104532</v>
      </c>
      <c r="K43" s="92">
        <f>(SUBSTITUTE(Audio!K43, "RE-", "", 1))*1</f>
        <v>0</v>
      </c>
      <c r="L43" s="92">
        <f>(SUBSTITUTE(Audio!L43, "RE-", "", 1))*1</f>
        <v>496.8033615</v>
      </c>
      <c r="M43" s="92">
        <f>(SUBSTITUTE(Audio!M43, "RE-", "", 1))*1</f>
        <v>0</v>
      </c>
      <c r="N43" s="92">
        <f>(SUBSTITUTE(Audio!N43, "RE-", "", 1))*1</f>
        <v>1153.245899</v>
      </c>
      <c r="O43" s="92">
        <f>(SUBSTITUTE(Audio!O43, "RE-", "", 1))*1</f>
        <v>0</v>
      </c>
      <c r="P43" s="92">
        <f>(SUBSTITUTE(Audio!P43, "RE-", "", 1))*1</f>
        <v>411.026624</v>
      </c>
      <c r="Q43" s="92">
        <f>(SUBSTITUTE(Audio!Q43, "RE-", "", 1))*1</f>
        <v>0</v>
      </c>
      <c r="R43" s="92">
        <f>(SUBSTITUTE(Audio!R43, "RE-", "", 1))*1</f>
        <v>197.7674458</v>
      </c>
      <c r="S43" s="92">
        <f>(SUBSTITUTE(Audio!S43, "RE-", "", 1))*1</f>
        <v>0</v>
      </c>
      <c r="T43" s="92">
        <f>(SUBSTITUTE(Audio!T43, "RE-", "", 1))*1</f>
        <v>548.5734854</v>
      </c>
      <c r="U43" s="92">
        <f>(SUBSTITUTE(Audio!U43, "RE-", "", 1))*1</f>
        <v>0</v>
      </c>
      <c r="V43" s="92">
        <f>(SUBSTITUTE(Audio!V43, "RE-", "", 1))*1</f>
        <v>0</v>
      </c>
      <c r="W43" s="92">
        <f>(SUBSTITUTE(Audio!W43, "RE-", "", 1))*1</f>
        <v>0</v>
      </c>
      <c r="X43" s="92">
        <f>(SUBSTITUTE(Audio!X43, "RE-", "", 1))*1</f>
        <v>0</v>
      </c>
      <c r="Y43" s="92">
        <f>(SUBSTITUTE(Audio!Y43, "RE-", "", 1))*1</f>
        <v>0</v>
      </c>
      <c r="Z43" s="92">
        <f>(SUBSTITUTE(Audio!Z43, "RE-", "", 1))*1</f>
        <v>0</v>
      </c>
      <c r="AA43" s="92"/>
      <c r="AB43" s="92"/>
      <c r="AC43" s="92"/>
      <c r="AD43" s="92"/>
      <c r="AE43" s="92"/>
      <c r="AF43" s="92"/>
      <c r="AG43" s="92"/>
      <c r="AH43" s="92"/>
      <c r="AI43" s="92"/>
      <c r="AJ43" s="92"/>
      <c r="AK43" s="92"/>
      <c r="AL43" s="92"/>
      <c r="AM43" s="92"/>
      <c r="AN43" s="92"/>
      <c r="AO43" s="92"/>
      <c r="AP43" s="92"/>
      <c r="AQ43" s="92"/>
      <c r="AR43" s="92"/>
      <c r="AS43" s="92"/>
      <c r="AT43" s="92"/>
      <c r="AU43" s="92"/>
      <c r="AV43" s="92"/>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c r="CA43" s="92"/>
      <c r="CB43" s="92"/>
      <c r="CC43" s="92"/>
      <c r="CD43" s="92"/>
      <c r="CE43" s="92"/>
      <c r="CF43" s="92"/>
      <c r="CG43" s="92"/>
      <c r="CH43" s="92"/>
      <c r="CI43" s="92"/>
      <c r="CJ43" s="92"/>
      <c r="CK43" s="92"/>
      <c r="CL43" s="92"/>
      <c r="CM43" s="92"/>
      <c r="CN43" s="92"/>
      <c r="CO43" s="92"/>
      <c r="CP43" s="92"/>
      <c r="CQ43" s="92"/>
      <c r="CR43" s="92"/>
      <c r="CS43" s="92"/>
      <c r="CT43" s="92"/>
      <c r="CU43" s="92"/>
      <c r="CV43" s="92"/>
      <c r="CW43" s="92"/>
      <c r="CX43" s="92"/>
      <c r="CY43" s="92"/>
      <c r="CZ43" s="92"/>
      <c r="DA43" s="92"/>
      <c r="DB43" s="92"/>
      <c r="DC43" s="92"/>
      <c r="DD43" s="92"/>
      <c r="DE43" s="92"/>
      <c r="DF43" s="92"/>
      <c r="DG43" s="92"/>
      <c r="DH43" s="92"/>
      <c r="DI43" s="92"/>
      <c r="DJ43" s="92"/>
      <c r="DK43" s="92"/>
      <c r="DL43" s="92"/>
      <c r="DM43" s="92"/>
      <c r="DN43" s="92"/>
      <c r="DO43" s="92"/>
      <c r="DP43" s="92"/>
      <c r="DQ43" s="92"/>
      <c r="DR43" s="92"/>
      <c r="DS43" s="92"/>
      <c r="DT43" s="92"/>
      <c r="DU43" s="92"/>
      <c r="DV43" s="92"/>
      <c r="DW43" s="92"/>
      <c r="DX43" s="92"/>
      <c r="DY43" s="92"/>
      <c r="DZ43" s="92"/>
      <c r="EA43" s="92"/>
      <c r="EB43" s="92"/>
      <c r="EC43" s="92"/>
      <c r="ED43" s="92"/>
      <c r="EE43" s="92"/>
      <c r="EF43" s="92"/>
      <c r="EG43" s="92"/>
      <c r="EH43" s="92"/>
      <c r="EI43" s="92"/>
      <c r="EJ43" s="92"/>
      <c r="EK43" s="92"/>
      <c r="EL43" s="92"/>
      <c r="EM43" s="92"/>
      <c r="EN43" s="92"/>
      <c r="EO43" s="92"/>
      <c r="EP43" s="92"/>
      <c r="EQ43" s="92"/>
      <c r="ER43" s="92"/>
      <c r="ES43" s="92"/>
      <c r="ET43" s="92"/>
      <c r="EU43" s="92"/>
      <c r="EV43" s="92"/>
      <c r="EW43" s="92"/>
      <c r="EX43" s="92"/>
      <c r="EY43" s="92"/>
      <c r="EZ43" s="92"/>
      <c r="FA43" s="92"/>
      <c r="FB43" s="92"/>
      <c r="FC43" s="92"/>
      <c r="FD43" s="92"/>
      <c r="FE43" s="92"/>
      <c r="FF43" s="92"/>
      <c r="FG43" s="92"/>
      <c r="FH43" s="92"/>
    </row>
    <row r="44">
      <c r="A44" s="32" t="s">
        <v>7</v>
      </c>
      <c r="B44" s="32" t="s">
        <v>21</v>
      </c>
      <c r="C44" s="32" t="s">
        <v>9</v>
      </c>
      <c r="D44" s="97">
        <f t="shared" si="1"/>
        <v>6369.427842</v>
      </c>
      <c r="E44" s="92">
        <f>(SUBSTITUTE(Audio!E44, "RE-", "", 1))*1</f>
        <v>0</v>
      </c>
      <c r="F44" s="92">
        <f>(SUBSTITUTE(Audio!F44, "RE-", "", 1))*1</f>
        <v>1122.702938</v>
      </c>
      <c r="G44" s="92">
        <f>(SUBSTITUTE(Audio!G44, "RE-", "", 1))*1</f>
        <v>0</v>
      </c>
      <c r="H44" s="92">
        <f>(SUBSTITUTE(Audio!H44, "RE-", "", 1))*1</f>
        <v>424.2035562</v>
      </c>
      <c r="I44" s="92">
        <f>(SUBSTITUTE(Audio!I44, "RE-", "", 1))*1</f>
        <v>0</v>
      </c>
      <c r="J44" s="92">
        <f>(SUBSTITUTE(Audio!J44, "RE-", "", 1))*1</f>
        <v>2015.104532</v>
      </c>
      <c r="K44" s="92">
        <f>(SUBSTITUTE(Audio!K44, "RE-", "", 1))*1</f>
        <v>0</v>
      </c>
      <c r="L44" s="92">
        <f>(SUBSTITUTE(Audio!L44, "RE-", "", 1))*1</f>
        <v>496.8033615</v>
      </c>
      <c r="M44" s="92">
        <f>(SUBSTITUTE(Audio!M44, "RE-", "", 1))*1</f>
        <v>0</v>
      </c>
      <c r="N44" s="92">
        <f>(SUBSTITUTE(Audio!N44, "RE-", "", 1))*1</f>
        <v>1153.245899</v>
      </c>
      <c r="O44" s="92">
        <f>(SUBSTITUTE(Audio!O44, "RE-", "", 1))*1</f>
        <v>0</v>
      </c>
      <c r="P44" s="92">
        <f>(SUBSTITUTE(Audio!P44, "RE-", "", 1))*1</f>
        <v>411.026624</v>
      </c>
      <c r="Q44" s="92">
        <f>(SUBSTITUTE(Audio!Q44, "RE-", "", 1))*1</f>
        <v>0</v>
      </c>
      <c r="R44" s="92">
        <f>(SUBSTITUTE(Audio!R44, "RE-", "", 1))*1</f>
        <v>197.7674458</v>
      </c>
      <c r="S44" s="92">
        <f>(SUBSTITUTE(Audio!S44, "RE-", "", 1))*1</f>
        <v>0</v>
      </c>
      <c r="T44" s="92">
        <f>(SUBSTITUTE(Audio!T44, "RE-", "", 1))*1</f>
        <v>548.5734854</v>
      </c>
      <c r="U44" s="92">
        <f>(SUBSTITUTE(Audio!U44, "RE-", "", 1))*1</f>
        <v>0</v>
      </c>
      <c r="V44" s="92">
        <f>(SUBSTITUTE(Audio!V44, "RE-", "", 1))*1</f>
        <v>0</v>
      </c>
      <c r="W44" s="92">
        <f>(SUBSTITUTE(Audio!W44, "RE-", "", 1))*1</f>
        <v>0</v>
      </c>
      <c r="X44" s="92">
        <f>(SUBSTITUTE(Audio!X44, "RE-", "", 1))*1</f>
        <v>0</v>
      </c>
      <c r="Y44" s="92">
        <f>(SUBSTITUTE(Audio!Y44, "RE-", "", 1))*1</f>
        <v>0</v>
      </c>
      <c r="Z44" s="92">
        <f>(SUBSTITUTE(Audio!Z44, "RE-", "", 1))*1</f>
        <v>0</v>
      </c>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2"/>
      <c r="CA44" s="92"/>
      <c r="CB44" s="92"/>
      <c r="CC44" s="92"/>
      <c r="CD44" s="92"/>
      <c r="CE44" s="92"/>
      <c r="CF44" s="92"/>
      <c r="CG44" s="92"/>
      <c r="CH44" s="92"/>
      <c r="CI44" s="92"/>
      <c r="CJ44" s="92"/>
      <c r="CK44" s="92"/>
      <c r="CL44" s="92"/>
      <c r="CM44" s="92"/>
      <c r="CN44" s="92"/>
      <c r="CO44" s="92"/>
      <c r="CP44" s="92"/>
      <c r="CQ44" s="92"/>
      <c r="CR44" s="92"/>
      <c r="CS44" s="92"/>
      <c r="CT44" s="92"/>
      <c r="CU44" s="92"/>
      <c r="CV44" s="92"/>
      <c r="CW44" s="92"/>
      <c r="CX44" s="92"/>
      <c r="CY44" s="92"/>
      <c r="CZ44" s="92"/>
      <c r="DA44" s="92"/>
      <c r="DB44" s="92"/>
      <c r="DC44" s="92"/>
      <c r="DD44" s="92"/>
      <c r="DE44" s="92"/>
      <c r="DF44" s="92"/>
      <c r="DG44" s="92"/>
      <c r="DH44" s="92"/>
      <c r="DI44" s="92"/>
      <c r="DJ44" s="92"/>
      <c r="DK44" s="92"/>
      <c r="DL44" s="92"/>
      <c r="DM44" s="92"/>
      <c r="DN44" s="92"/>
      <c r="DO44" s="92"/>
      <c r="DP44" s="92"/>
      <c r="DQ44" s="92"/>
      <c r="DR44" s="92"/>
      <c r="DS44" s="92"/>
      <c r="DT44" s="92"/>
      <c r="DU44" s="92"/>
      <c r="DV44" s="92"/>
      <c r="DW44" s="92"/>
      <c r="DX44" s="92"/>
      <c r="DY44" s="92"/>
      <c r="DZ44" s="92"/>
      <c r="EA44" s="92"/>
      <c r="EB44" s="92"/>
      <c r="EC44" s="92"/>
      <c r="ED44" s="92"/>
      <c r="EE44" s="92"/>
      <c r="EF44" s="92"/>
      <c r="EG44" s="92"/>
      <c r="EH44" s="92"/>
      <c r="EI44" s="92"/>
      <c r="EJ44" s="92"/>
      <c r="EK44" s="92"/>
      <c r="EL44" s="92"/>
      <c r="EM44" s="92"/>
      <c r="EN44" s="92"/>
      <c r="EO44" s="92"/>
      <c r="EP44" s="92"/>
      <c r="EQ44" s="92"/>
      <c r="ER44" s="92"/>
      <c r="ES44" s="92"/>
      <c r="ET44" s="92"/>
      <c r="EU44" s="92"/>
      <c r="EV44" s="92"/>
      <c r="EW44" s="92"/>
      <c r="EX44" s="92"/>
      <c r="EY44" s="92"/>
      <c r="EZ44" s="92"/>
      <c r="FA44" s="92"/>
      <c r="FB44" s="92"/>
      <c r="FC44" s="92"/>
      <c r="FD44" s="92"/>
      <c r="FE44" s="92"/>
      <c r="FF44" s="92"/>
      <c r="FG44" s="92"/>
      <c r="FH44" s="92"/>
    </row>
    <row r="45">
      <c r="A45" s="32" t="s">
        <v>7</v>
      </c>
      <c r="B45" s="32" t="s">
        <v>21</v>
      </c>
      <c r="C45" s="32" t="s">
        <v>10</v>
      </c>
      <c r="D45" s="97">
        <f t="shared" si="1"/>
        <v>567.4065688</v>
      </c>
      <c r="E45" s="92">
        <f>(SUBSTITUTE(Audio!E45, "RE-", "", 1))*1</f>
        <v>0</v>
      </c>
      <c r="F45" s="92">
        <f>(SUBSTITUTE(Audio!F45, "RE-", "", 1))*1</f>
        <v>0</v>
      </c>
      <c r="G45" s="92">
        <f>(SUBSTITUTE(Audio!G45, "RE-", "", 1))*1</f>
        <v>82.88570625</v>
      </c>
      <c r="H45" s="92">
        <f>(SUBSTITUTE(Audio!H45, "RE-", "", 1))*1</f>
        <v>0</v>
      </c>
      <c r="I45" s="92">
        <f>(SUBSTITUTE(Audio!I45, "RE-", "", 1))*1</f>
        <v>17.86304792</v>
      </c>
      <c r="J45" s="92">
        <f>(SUBSTITUTE(Audio!J45, "RE-", "", 1))*1</f>
        <v>0</v>
      </c>
      <c r="K45" s="92">
        <f>(SUBSTITUTE(Audio!K45, "RE-", "", 1))*1</f>
        <v>136.8777573</v>
      </c>
      <c r="L45" s="92">
        <f>(SUBSTITUTE(Audio!L45, "RE-", "", 1))*1</f>
        <v>0</v>
      </c>
      <c r="M45" s="92">
        <f>(SUBSTITUTE(Audio!M45, "RE-", "", 1))*1</f>
        <v>31.07421979</v>
      </c>
      <c r="N45" s="92">
        <f>(SUBSTITUTE(Audio!N45, "RE-", "", 1))*1</f>
        <v>0</v>
      </c>
      <c r="O45" s="92">
        <f>(SUBSTITUTE(Audio!O45, "RE-", "", 1))*1</f>
        <v>96.18320729</v>
      </c>
      <c r="P45" s="92">
        <f>(SUBSTITUTE(Audio!P45, "RE-", "", 1))*1</f>
        <v>0</v>
      </c>
      <c r="Q45" s="92">
        <f>(SUBSTITUTE(Audio!Q45, "RE-", "", 1))*1</f>
        <v>72.94752396</v>
      </c>
      <c r="R45" s="92">
        <f>(SUBSTITUTE(Audio!R45, "RE-", "", 1))*1</f>
        <v>0</v>
      </c>
      <c r="S45" s="92">
        <f>(SUBSTITUTE(Audio!S45, "RE-", "", 1))*1</f>
        <v>30.5429125</v>
      </c>
      <c r="T45" s="92">
        <f>(SUBSTITUTE(Audio!T45, "RE-", "", 1))*1</f>
        <v>0</v>
      </c>
      <c r="U45" s="92">
        <f>(SUBSTITUTE(Audio!U45, "RE-", "", 1))*1</f>
        <v>95.68843958</v>
      </c>
      <c r="V45" s="92">
        <f>(SUBSTITUTE(Audio!V45, "RE-", "", 1))*1</f>
        <v>3.343754167</v>
      </c>
      <c r="W45" s="92">
        <f>(SUBSTITUTE(Audio!W45, "RE-", "", 1))*1</f>
        <v>0</v>
      </c>
      <c r="X45" s="92">
        <f>(SUBSTITUTE(Audio!X45, "RE-", "", 1))*1</f>
        <v>0</v>
      </c>
      <c r="Y45" s="92">
        <f>(SUBSTITUTE(Audio!Y45, "RE-", "", 1))*1</f>
        <v>0</v>
      </c>
      <c r="Z45" s="92">
        <f>(SUBSTITUTE(Audio!Z45, "RE-", "", 1))*1</f>
        <v>0</v>
      </c>
      <c r="AA45" s="92"/>
      <c r="AB45" s="92"/>
      <c r="AC45" s="92"/>
      <c r="AD45" s="92"/>
      <c r="AE45" s="92"/>
      <c r="AF45" s="92"/>
      <c r="AG45" s="92"/>
      <c r="AH45" s="92"/>
      <c r="AI45" s="92"/>
      <c r="AJ45" s="92"/>
      <c r="AK45" s="92"/>
      <c r="AL45" s="92"/>
      <c r="AM45" s="92"/>
      <c r="AN45" s="92"/>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c r="CF45" s="92"/>
      <c r="CG45" s="92"/>
      <c r="CH45" s="92"/>
      <c r="CI45" s="92"/>
      <c r="CJ45" s="92"/>
      <c r="CK45" s="92"/>
      <c r="CL45" s="92"/>
      <c r="CM45" s="92"/>
      <c r="CN45" s="92"/>
      <c r="CO45" s="92"/>
      <c r="CP45" s="92"/>
      <c r="CQ45" s="92"/>
      <c r="CR45" s="92"/>
      <c r="CS45" s="92"/>
      <c r="CT45" s="92"/>
      <c r="CU45" s="92"/>
      <c r="CV45" s="92"/>
      <c r="CW45" s="92"/>
      <c r="CX45" s="92"/>
      <c r="CY45" s="92"/>
      <c r="CZ45" s="92"/>
      <c r="DA45" s="92"/>
      <c r="DB45" s="92"/>
      <c r="DC45" s="92"/>
      <c r="DD45" s="92"/>
      <c r="DE45" s="92"/>
      <c r="DF45" s="92"/>
      <c r="DG45" s="92"/>
      <c r="DH45" s="92"/>
      <c r="DI45" s="92"/>
      <c r="DJ45" s="92"/>
      <c r="DK45" s="92"/>
      <c r="DL45" s="92"/>
      <c r="DM45" s="92"/>
      <c r="DN45" s="92"/>
      <c r="DO45" s="92"/>
      <c r="DP45" s="92"/>
      <c r="DQ45" s="92"/>
      <c r="DR45" s="92"/>
      <c r="DS45" s="92"/>
      <c r="DT45" s="92"/>
      <c r="DU45" s="92"/>
      <c r="DV45" s="92"/>
      <c r="DW45" s="92"/>
      <c r="DX45" s="92"/>
      <c r="DY45" s="92"/>
      <c r="DZ45" s="92"/>
      <c r="EA45" s="92"/>
      <c r="EB45" s="92"/>
      <c r="EC45" s="92"/>
      <c r="ED45" s="92"/>
      <c r="EE45" s="92"/>
      <c r="EF45" s="92"/>
      <c r="EG45" s="92"/>
      <c r="EH45" s="92"/>
      <c r="EI45" s="92"/>
      <c r="EJ45" s="92"/>
      <c r="EK45" s="92"/>
      <c r="EL45" s="92"/>
      <c r="EM45" s="92"/>
      <c r="EN45" s="92"/>
      <c r="EO45" s="92"/>
      <c r="EP45" s="92"/>
      <c r="EQ45" s="92"/>
      <c r="ER45" s="92"/>
      <c r="ES45" s="92"/>
      <c r="ET45" s="92"/>
      <c r="EU45" s="92"/>
      <c r="EV45" s="92"/>
      <c r="EW45" s="92"/>
      <c r="EX45" s="92"/>
      <c r="EY45" s="92"/>
      <c r="EZ45" s="92"/>
      <c r="FA45" s="92"/>
      <c r="FB45" s="92"/>
      <c r="FC45" s="92"/>
      <c r="FD45" s="92"/>
      <c r="FE45" s="92"/>
      <c r="FF45" s="92"/>
      <c r="FG45" s="92"/>
      <c r="FH45" s="92"/>
    </row>
    <row r="46">
      <c r="A46" s="32" t="s">
        <v>7</v>
      </c>
      <c r="B46" s="32" t="s">
        <v>21</v>
      </c>
      <c r="C46" s="32" t="s">
        <v>11</v>
      </c>
      <c r="D46" s="97">
        <f t="shared" si="1"/>
        <v>567.4065687</v>
      </c>
      <c r="E46" s="92">
        <f>(SUBSTITUTE(Audio!E46, "RE-", "", 1))*1</f>
        <v>0</v>
      </c>
      <c r="F46" s="92">
        <f>(SUBSTITUTE(Audio!F46, "RE-", "", 1))*1</f>
        <v>0</v>
      </c>
      <c r="G46" s="92">
        <f>(SUBSTITUTE(Audio!G46, "RE-", "", 1))*1</f>
        <v>82.88570625</v>
      </c>
      <c r="H46" s="92">
        <f>(SUBSTITUTE(Audio!H46, "RE-", "", 1))*1</f>
        <v>0</v>
      </c>
      <c r="I46" s="92">
        <f>(SUBSTITUTE(Audio!I46, "RE-", "", 1))*1</f>
        <v>17.86304792</v>
      </c>
      <c r="J46" s="92">
        <f>(SUBSTITUTE(Audio!J46, "RE-", "", 1))*1</f>
        <v>0</v>
      </c>
      <c r="K46" s="92">
        <f>(SUBSTITUTE(Audio!K46, "RE-", "", 1))*1</f>
        <v>136.8777573</v>
      </c>
      <c r="L46" s="92">
        <f>(SUBSTITUTE(Audio!L46, "RE-", "", 1))*1</f>
        <v>0</v>
      </c>
      <c r="M46" s="92">
        <f>(SUBSTITUTE(Audio!M46, "RE-", "", 1))*1</f>
        <v>31.07421979</v>
      </c>
      <c r="N46" s="92">
        <f>(SUBSTITUTE(Audio!N46, "RE-", "", 1))*1</f>
        <v>0</v>
      </c>
      <c r="O46" s="92">
        <f>(SUBSTITUTE(Audio!O46, "RE-", "", 1))*1</f>
        <v>96.18320729</v>
      </c>
      <c r="P46" s="92">
        <f>(SUBSTITUTE(Audio!P46, "RE-", "", 1))*1</f>
        <v>0</v>
      </c>
      <c r="Q46" s="92">
        <f>(SUBSTITUTE(Audio!Q46, "RE-", "", 1))*1</f>
        <v>72.94752396</v>
      </c>
      <c r="R46" s="92">
        <f>(SUBSTITUTE(Audio!R46, "RE-", "", 1))*1</f>
        <v>0</v>
      </c>
      <c r="S46" s="92">
        <f>(SUBSTITUTE(Audio!S46, "RE-", "", 1))*1</f>
        <v>30.5429125</v>
      </c>
      <c r="T46" s="92">
        <f>(SUBSTITUTE(Audio!T46, "RE-", "", 1))*1</f>
        <v>0</v>
      </c>
      <c r="U46" s="92">
        <f>(SUBSTITUTE(Audio!U46, "RE-", "", 1))*1</f>
        <v>95.68843958</v>
      </c>
      <c r="V46" s="92">
        <f>(SUBSTITUTE(Audio!V46, "RE-", "", 1))*1</f>
        <v>3.343754167</v>
      </c>
      <c r="W46" s="92">
        <f>(SUBSTITUTE(Audio!W46, "RE-", "", 1))*1</f>
        <v>0</v>
      </c>
      <c r="X46" s="92">
        <f>(SUBSTITUTE(Audio!X46, "RE-", "", 1))*1</f>
        <v>0</v>
      </c>
      <c r="Y46" s="92">
        <f>(SUBSTITUTE(Audio!Y46, "RE-", "", 1))*1</f>
        <v>0</v>
      </c>
      <c r="Z46" s="92">
        <f>(SUBSTITUTE(Audio!Z46, "RE-", "", 1))*1</f>
        <v>0</v>
      </c>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c r="CA46" s="92"/>
      <c r="CB46" s="92"/>
      <c r="CC46" s="92"/>
      <c r="CD46" s="92"/>
      <c r="CE46" s="92"/>
      <c r="CF46" s="92"/>
      <c r="CG46" s="92"/>
      <c r="CH46" s="92"/>
      <c r="CI46" s="92"/>
      <c r="CJ46" s="92"/>
      <c r="CK46" s="92"/>
      <c r="CL46" s="92"/>
      <c r="CM46" s="92"/>
      <c r="CN46" s="92"/>
      <c r="CO46" s="92"/>
      <c r="CP46" s="92"/>
      <c r="CQ46" s="92"/>
      <c r="CR46" s="92"/>
      <c r="CS46" s="92"/>
      <c r="CT46" s="92"/>
      <c r="CU46" s="92"/>
      <c r="CV46" s="92"/>
      <c r="CW46" s="92"/>
      <c r="CX46" s="92"/>
      <c r="CY46" s="92"/>
      <c r="CZ46" s="92"/>
      <c r="DA46" s="92"/>
      <c r="DB46" s="92"/>
      <c r="DC46" s="92"/>
      <c r="DD46" s="92"/>
      <c r="DE46" s="92"/>
      <c r="DF46" s="92"/>
      <c r="DG46" s="92"/>
      <c r="DH46" s="92"/>
      <c r="DI46" s="92"/>
      <c r="DJ46" s="92"/>
      <c r="DK46" s="92"/>
      <c r="DL46" s="92"/>
      <c r="DM46" s="92"/>
      <c r="DN46" s="92"/>
      <c r="DO46" s="92"/>
      <c r="DP46" s="92"/>
      <c r="DQ46" s="92"/>
      <c r="DR46" s="92"/>
      <c r="DS46" s="92"/>
      <c r="DT46" s="92"/>
      <c r="DU46" s="92"/>
      <c r="DV46" s="92"/>
      <c r="DW46" s="92"/>
      <c r="DX46" s="92"/>
      <c r="DY46" s="92"/>
      <c r="DZ46" s="92"/>
      <c r="EA46" s="92"/>
      <c r="EB46" s="92"/>
      <c r="EC46" s="92"/>
      <c r="ED46" s="92"/>
      <c r="EE46" s="92"/>
      <c r="EF46" s="92"/>
      <c r="EG46" s="92"/>
      <c r="EH46" s="92"/>
      <c r="EI46" s="92"/>
      <c r="EJ46" s="92"/>
      <c r="EK46" s="92"/>
      <c r="EL46" s="92"/>
      <c r="EM46" s="92"/>
      <c r="EN46" s="92"/>
      <c r="EO46" s="92"/>
      <c r="EP46" s="92"/>
      <c r="EQ46" s="92"/>
      <c r="ER46" s="92"/>
      <c r="ES46" s="92"/>
      <c r="ET46" s="92"/>
      <c r="EU46" s="92"/>
      <c r="EV46" s="92"/>
      <c r="EW46" s="92"/>
      <c r="EX46" s="92"/>
      <c r="EY46" s="92"/>
      <c r="EZ46" s="92"/>
      <c r="FA46" s="92"/>
      <c r="FB46" s="92"/>
      <c r="FC46" s="92"/>
      <c r="FD46" s="92"/>
      <c r="FE46" s="92"/>
      <c r="FF46" s="92"/>
      <c r="FG46" s="92"/>
      <c r="FH46" s="92"/>
    </row>
    <row r="47">
      <c r="A47" s="32" t="s">
        <v>7</v>
      </c>
      <c r="B47" s="32" t="s">
        <v>21</v>
      </c>
      <c r="C47" s="32" t="s">
        <v>12</v>
      </c>
      <c r="D47" s="97">
        <f t="shared" si="1"/>
        <v>5346.523499</v>
      </c>
      <c r="E47" s="92">
        <f>(SUBSTITUTE(Audio!E47, "RE-", "", 1))*1</f>
        <v>0</v>
      </c>
      <c r="F47" s="92">
        <f>(SUBSTITUTE(Audio!F47, "RE-", "", 1))*1</f>
        <v>953.6576729</v>
      </c>
      <c r="G47" s="92">
        <f>(SUBSTITUTE(Audio!G47, "RE-", "", 1))*1</f>
        <v>5.44494375</v>
      </c>
      <c r="H47" s="92">
        <f>(SUBSTITUTE(Audio!H47, "RE-", "", 1))*1</f>
        <v>393.5117437</v>
      </c>
      <c r="I47" s="92">
        <f>(SUBSTITUTE(Audio!I47, "RE-", "", 1))*1</f>
        <v>0</v>
      </c>
      <c r="J47" s="92">
        <f>(SUBSTITUTE(Audio!J47, "RE-", "", 1))*1</f>
        <v>1600.02721</v>
      </c>
      <c r="K47" s="92">
        <f>(SUBSTITUTE(Audio!K47, "RE-", "", 1))*1</f>
        <v>3.541220833</v>
      </c>
      <c r="L47" s="92">
        <f>(SUBSTITUTE(Audio!L47, "RE-", "", 1))*1</f>
        <v>454.305749</v>
      </c>
      <c r="M47" s="92">
        <f>(SUBSTITUTE(Audio!M47, "RE-", "", 1))*1</f>
        <v>12.06697083</v>
      </c>
      <c r="N47" s="92">
        <f>(SUBSTITUTE(Audio!N47, "RE-", "", 1))*1</f>
        <v>715.9144073</v>
      </c>
      <c r="O47" s="92">
        <f>(SUBSTITUTE(Audio!O47, "RE-", "", 1))*1</f>
        <v>7.458158333</v>
      </c>
      <c r="P47" s="92">
        <f>(SUBSTITUTE(Audio!P47, "RE-", "", 1))*1</f>
        <v>392.1316542</v>
      </c>
      <c r="Q47" s="92">
        <f>(SUBSTITUTE(Audio!Q47, "RE-", "", 1))*1</f>
        <v>36.55472396</v>
      </c>
      <c r="R47" s="92">
        <f>(SUBSTITUTE(Audio!R47, "RE-", "", 1))*1</f>
        <v>172.4495813</v>
      </c>
      <c r="S47" s="92">
        <f>(SUBSTITUTE(Audio!S47, "RE-", "", 1))*1</f>
        <v>18.65709583</v>
      </c>
      <c r="T47" s="92">
        <f>(SUBSTITUTE(Audio!T47, "RE-", "", 1))*1</f>
        <v>528.2316792</v>
      </c>
      <c r="U47" s="92">
        <f>(SUBSTITUTE(Audio!U47, "RE-", "", 1))*1</f>
        <v>49.53986042</v>
      </c>
      <c r="V47" s="92">
        <f>(SUBSTITUTE(Audio!V47, "RE-", "", 1))*1</f>
        <v>3.030827083</v>
      </c>
      <c r="W47" s="92">
        <f>(SUBSTITUTE(Audio!W47, "RE-", "", 1))*1</f>
        <v>0</v>
      </c>
      <c r="X47" s="92">
        <f>(SUBSTITUTE(Audio!X47, "RE-", "", 1))*1</f>
        <v>0</v>
      </c>
      <c r="Y47" s="92">
        <f>(SUBSTITUTE(Audio!Y47, "RE-", "", 1))*1</f>
        <v>0</v>
      </c>
      <c r="Z47" s="92">
        <f>(SUBSTITUTE(Audio!Z47, "RE-", "", 1))*1</f>
        <v>0</v>
      </c>
      <c r="AA47" s="92"/>
      <c r="AB47" s="92"/>
      <c r="AC47" s="92"/>
      <c r="AD47" s="92"/>
      <c r="AE47" s="92"/>
      <c r="AF47" s="92"/>
      <c r="AG47" s="92"/>
      <c r="AH47" s="92"/>
      <c r="AI47" s="92"/>
      <c r="AJ47" s="92"/>
      <c r="AK47" s="92"/>
      <c r="AL47" s="92"/>
      <c r="AM47" s="92"/>
      <c r="AN47" s="92"/>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c r="CF47" s="92"/>
      <c r="CG47" s="92"/>
      <c r="CH47" s="92"/>
      <c r="CI47" s="92"/>
      <c r="CJ47" s="92"/>
      <c r="CK47" s="92"/>
      <c r="CL47" s="92"/>
      <c r="CM47" s="92"/>
      <c r="CN47" s="92"/>
      <c r="CO47" s="92"/>
      <c r="CP47" s="92"/>
      <c r="CQ47" s="92"/>
      <c r="CR47" s="92"/>
      <c r="CS47" s="92"/>
      <c r="CT47" s="92"/>
      <c r="CU47" s="92"/>
      <c r="CV47" s="92"/>
      <c r="CW47" s="92"/>
      <c r="CX47" s="92"/>
      <c r="CY47" s="92"/>
      <c r="CZ47" s="92"/>
      <c r="DA47" s="92"/>
      <c r="DB47" s="92"/>
      <c r="DC47" s="92"/>
      <c r="DD47" s="92"/>
      <c r="DE47" s="92"/>
      <c r="DF47" s="92"/>
      <c r="DG47" s="92"/>
      <c r="DH47" s="92"/>
      <c r="DI47" s="92"/>
      <c r="DJ47" s="92"/>
      <c r="DK47" s="92"/>
      <c r="DL47" s="92"/>
      <c r="DM47" s="92"/>
      <c r="DN47" s="92"/>
      <c r="DO47" s="92"/>
      <c r="DP47" s="92"/>
      <c r="DQ47" s="92"/>
      <c r="DR47" s="92"/>
      <c r="DS47" s="92"/>
      <c r="DT47" s="92"/>
      <c r="DU47" s="92"/>
      <c r="DV47" s="92"/>
      <c r="DW47" s="92"/>
      <c r="DX47" s="92"/>
      <c r="DY47" s="92"/>
      <c r="DZ47" s="92"/>
      <c r="EA47" s="92"/>
      <c r="EB47" s="92"/>
      <c r="EC47" s="92"/>
      <c r="ED47" s="92"/>
      <c r="EE47" s="92"/>
      <c r="EF47" s="92"/>
      <c r="EG47" s="92"/>
      <c r="EH47" s="92"/>
      <c r="EI47" s="92"/>
      <c r="EJ47" s="92"/>
      <c r="EK47" s="92"/>
      <c r="EL47" s="92"/>
      <c r="EM47" s="92"/>
      <c r="EN47" s="92"/>
      <c r="EO47" s="92"/>
      <c r="EP47" s="92"/>
      <c r="EQ47" s="92"/>
      <c r="ER47" s="92"/>
      <c r="ES47" s="92"/>
      <c r="ET47" s="92"/>
      <c r="EU47" s="92"/>
      <c r="EV47" s="92"/>
      <c r="EW47" s="92"/>
      <c r="EX47" s="92"/>
      <c r="EY47" s="92"/>
      <c r="EZ47" s="92"/>
      <c r="FA47" s="92"/>
      <c r="FB47" s="92"/>
      <c r="FC47" s="92"/>
      <c r="FD47" s="92"/>
      <c r="FE47" s="92"/>
      <c r="FF47" s="92"/>
      <c r="FG47" s="92"/>
      <c r="FH47" s="92"/>
    </row>
    <row r="48">
      <c r="A48" s="32" t="s">
        <v>7</v>
      </c>
      <c r="B48" s="32" t="s">
        <v>21</v>
      </c>
      <c r="C48" s="32" t="s">
        <v>13</v>
      </c>
      <c r="D48" s="97">
        <f t="shared" si="1"/>
        <v>5181.47574</v>
      </c>
      <c r="E48" s="92">
        <f>(SUBSTITUTE(Audio!E48, "RE-", "", 1))*1</f>
        <v>0</v>
      </c>
      <c r="F48" s="92">
        <f>(SUBSTITUTE(Audio!F48, "RE-", "", 1))*1</f>
        <v>930.971</v>
      </c>
      <c r="G48" s="92">
        <f>(SUBSTITUTE(Audio!G48, "RE-", "", 1))*1</f>
        <v>5.23778</v>
      </c>
      <c r="H48" s="92">
        <f>(SUBSTITUTE(Audio!H48, "RE-", "", 1))*1</f>
        <v>386.113</v>
      </c>
      <c r="I48" s="92">
        <f>(SUBSTITUTE(Audio!I48, "RE-", "", 1))*1</f>
        <v>0</v>
      </c>
      <c r="J48" s="92">
        <f>(SUBSTITUTE(Audio!J48, "RE-", "", 1))*1</f>
        <v>1561.99</v>
      </c>
      <c r="K48" s="92">
        <f>(SUBSTITUTE(Audio!K48, "RE-", "", 1))*1</f>
        <v>3.47417</v>
      </c>
      <c r="L48" s="92">
        <f>(SUBSTITUTE(Audio!L48, "RE-", "", 1))*1</f>
        <v>435.522</v>
      </c>
      <c r="M48" s="92">
        <f>(SUBSTITUTE(Audio!M48, "RE-", "", 1))*1</f>
        <v>11.6671</v>
      </c>
      <c r="N48" s="92">
        <f>(SUBSTITUTE(Audio!N48, "RE-", "", 1))*1</f>
        <v>686.679</v>
      </c>
      <c r="O48" s="92">
        <f>(SUBSTITUTE(Audio!O48, "RE-", "", 1))*1</f>
        <v>6.97367</v>
      </c>
      <c r="P48" s="92">
        <f>(SUBSTITUTE(Audio!P48, "RE-", "", 1))*1</f>
        <v>378.508</v>
      </c>
      <c r="Q48" s="92">
        <f>(SUBSTITUTE(Audio!Q48, "RE-", "", 1))*1</f>
        <v>35.0781</v>
      </c>
      <c r="R48" s="92">
        <f>(SUBSTITUTE(Audio!R48, "RE-", "", 1))*1</f>
        <v>165.777</v>
      </c>
      <c r="S48" s="92">
        <f>(SUBSTITUTE(Audio!S48, "RE-", "", 1))*1</f>
        <v>17.9775</v>
      </c>
      <c r="T48" s="92">
        <f>(SUBSTITUTE(Audio!T48, "RE-", "", 1))*1</f>
        <v>505.819</v>
      </c>
      <c r="U48" s="92">
        <f>(SUBSTITUTE(Audio!U48, "RE-", "", 1))*1</f>
        <v>46.7559</v>
      </c>
      <c r="V48" s="92">
        <f>(SUBSTITUTE(Audio!V48, "RE-", "", 1))*1</f>
        <v>2.93252</v>
      </c>
      <c r="W48" s="92">
        <f>(SUBSTITUTE(Audio!W48, "RE-", "", 1))*1</f>
        <v>0</v>
      </c>
      <c r="X48" s="92">
        <f>(SUBSTITUTE(Audio!X48, "RE-", "", 1))*1</f>
        <v>0</v>
      </c>
      <c r="Y48" s="92">
        <f>(SUBSTITUTE(Audio!Y48, "RE-", "", 1))*1</f>
        <v>0</v>
      </c>
      <c r="Z48" s="92">
        <f>(SUBSTITUTE(Audio!Z48, "RE-", "", 1))*1</f>
        <v>0</v>
      </c>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2"/>
      <c r="CE48" s="92"/>
      <c r="CF48" s="92"/>
      <c r="CG48" s="92"/>
      <c r="CH48" s="92"/>
      <c r="CI48" s="92"/>
      <c r="CJ48" s="92"/>
      <c r="CK48" s="92"/>
      <c r="CL48" s="92"/>
      <c r="CM48" s="92"/>
      <c r="CN48" s="92"/>
      <c r="CO48" s="92"/>
      <c r="CP48" s="92"/>
      <c r="CQ48" s="92"/>
      <c r="CR48" s="92"/>
      <c r="CS48" s="92"/>
      <c r="CT48" s="92"/>
      <c r="CU48" s="92"/>
      <c r="CV48" s="92"/>
      <c r="CW48" s="92"/>
      <c r="CX48" s="92"/>
      <c r="CY48" s="92"/>
      <c r="CZ48" s="92"/>
      <c r="DA48" s="92"/>
      <c r="DB48" s="92"/>
      <c r="DC48" s="92"/>
      <c r="DD48" s="92"/>
      <c r="DE48" s="92"/>
      <c r="DF48" s="92"/>
      <c r="DG48" s="92"/>
      <c r="DH48" s="92"/>
      <c r="DI48" s="92"/>
      <c r="DJ48" s="92"/>
      <c r="DK48" s="92"/>
      <c r="DL48" s="92"/>
      <c r="DM48" s="92"/>
      <c r="DN48" s="92"/>
      <c r="DO48" s="92"/>
      <c r="DP48" s="92"/>
      <c r="DQ48" s="92"/>
      <c r="DR48" s="92"/>
      <c r="DS48" s="92"/>
      <c r="DT48" s="92"/>
      <c r="DU48" s="92"/>
      <c r="DV48" s="92"/>
      <c r="DW48" s="92"/>
      <c r="DX48" s="92"/>
      <c r="DY48" s="92"/>
      <c r="DZ48" s="92"/>
      <c r="EA48" s="92"/>
      <c r="EB48" s="92"/>
      <c r="EC48" s="92"/>
      <c r="ED48" s="92"/>
      <c r="EE48" s="92"/>
      <c r="EF48" s="92"/>
      <c r="EG48" s="92"/>
      <c r="EH48" s="92"/>
      <c r="EI48" s="92"/>
      <c r="EJ48" s="92"/>
      <c r="EK48" s="92"/>
      <c r="EL48" s="92"/>
      <c r="EM48" s="92"/>
      <c r="EN48" s="92"/>
      <c r="EO48" s="92"/>
      <c r="EP48" s="92"/>
      <c r="EQ48" s="92"/>
      <c r="ER48" s="92"/>
      <c r="ES48" s="92"/>
      <c r="ET48" s="92"/>
      <c r="EU48" s="92"/>
      <c r="EV48" s="92"/>
      <c r="EW48" s="92"/>
      <c r="EX48" s="92"/>
      <c r="EY48" s="92"/>
      <c r="EZ48" s="92"/>
      <c r="FA48" s="92"/>
      <c r="FB48" s="92"/>
      <c r="FC48" s="92"/>
      <c r="FD48" s="92"/>
      <c r="FE48" s="92"/>
      <c r="FF48" s="92"/>
      <c r="FG48" s="92"/>
      <c r="FH48" s="92"/>
    </row>
    <row r="49">
      <c r="A49" s="32" t="s">
        <v>7</v>
      </c>
      <c r="B49" s="32" t="s">
        <v>21</v>
      </c>
      <c r="C49" s="32" t="s">
        <v>14</v>
      </c>
      <c r="D49" s="97">
        <f t="shared" si="1"/>
        <v>4525.40041</v>
      </c>
      <c r="E49" s="92">
        <f>(SUBSTITUTE(Audio!E49, "RE-", "", 1))*1</f>
        <v>0</v>
      </c>
      <c r="F49" s="92">
        <f>(SUBSTITUTE(Audio!F49, "RE-", "", 1))*1</f>
        <v>823.4</v>
      </c>
      <c r="G49" s="92">
        <f>(SUBSTITUTE(Audio!G49, "RE-", "", 1))*1</f>
        <v>5.23778</v>
      </c>
      <c r="H49" s="92">
        <f>(SUBSTITUTE(Audio!H49, "RE-", "", 1))*1</f>
        <v>309.152</v>
      </c>
      <c r="I49" s="92">
        <f>(SUBSTITUTE(Audio!I49, "RE-", "", 1))*1</f>
        <v>0</v>
      </c>
      <c r="J49" s="92">
        <f>(SUBSTITUTE(Audio!J49, "RE-", "", 1))*1</f>
        <v>1426.36</v>
      </c>
      <c r="K49" s="92">
        <f>(SUBSTITUTE(Audio!K49, "RE-", "", 1))*1</f>
        <v>3.24767</v>
      </c>
      <c r="L49" s="92">
        <f>(SUBSTITUTE(Audio!L49, "RE-", "", 1))*1</f>
        <v>373.839</v>
      </c>
      <c r="M49" s="92">
        <f>(SUBSTITUTE(Audio!M49, "RE-", "", 1))*1</f>
        <v>9.34557</v>
      </c>
      <c r="N49" s="92">
        <f>(SUBSTITUTE(Audio!N49, "RE-", "", 1))*1</f>
        <v>590.246</v>
      </c>
      <c r="O49" s="92">
        <f>(SUBSTITUTE(Audio!O49, "RE-", "", 1))*1</f>
        <v>6.00317</v>
      </c>
      <c r="P49" s="92">
        <f>(SUBSTITUTE(Audio!P49, "RE-", "", 1))*1</f>
        <v>320.58</v>
      </c>
      <c r="Q49" s="92">
        <f>(SUBSTITUTE(Audio!Q49, "RE-", "", 1))*1</f>
        <v>30.4114</v>
      </c>
      <c r="R49" s="92">
        <f>(SUBSTITUTE(Audio!R49, "RE-", "", 1))*1</f>
        <v>139.627</v>
      </c>
      <c r="S49" s="92">
        <f>(SUBSTITUTE(Audio!S49, "RE-", "", 1))*1</f>
        <v>14.9436</v>
      </c>
      <c r="T49" s="92">
        <f>(SUBSTITUTE(Audio!T49, "RE-", "", 1))*1</f>
        <v>430.39</v>
      </c>
      <c r="U49" s="92">
        <f>(SUBSTITUTE(Audio!U49, "RE-", "", 1))*1</f>
        <v>39.6847</v>
      </c>
      <c r="V49" s="92">
        <f>(SUBSTITUTE(Audio!V49, "RE-", "", 1))*1</f>
        <v>2.93252</v>
      </c>
      <c r="W49" s="92">
        <f>(SUBSTITUTE(Audio!W49, "RE-", "", 1))*1</f>
        <v>0</v>
      </c>
      <c r="X49" s="92">
        <f>(SUBSTITUTE(Audio!X49, "RE-", "", 1))*1</f>
        <v>0</v>
      </c>
      <c r="Y49" s="92">
        <f>(SUBSTITUTE(Audio!Y49, "RE-", "", 1))*1</f>
        <v>0</v>
      </c>
      <c r="Z49" s="92">
        <f>(SUBSTITUTE(Audio!Z49, "RE-", "", 1))*1</f>
        <v>0</v>
      </c>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c r="CA49" s="92"/>
      <c r="CB49" s="92"/>
      <c r="CC49" s="92"/>
      <c r="CD49" s="92"/>
      <c r="CE49" s="92"/>
      <c r="CF49" s="92"/>
      <c r="CG49" s="92"/>
      <c r="CH49" s="92"/>
      <c r="CI49" s="92"/>
      <c r="CJ49" s="92"/>
      <c r="CK49" s="92"/>
      <c r="CL49" s="92"/>
      <c r="CM49" s="92"/>
      <c r="CN49" s="92"/>
      <c r="CO49" s="92"/>
      <c r="CP49" s="92"/>
      <c r="CQ49" s="92"/>
      <c r="CR49" s="92"/>
      <c r="CS49" s="92"/>
      <c r="CT49" s="92"/>
      <c r="CU49" s="92"/>
      <c r="CV49" s="92"/>
      <c r="CW49" s="92"/>
      <c r="CX49" s="92"/>
      <c r="CY49" s="92"/>
      <c r="CZ49" s="92"/>
      <c r="DA49" s="92"/>
      <c r="DB49" s="92"/>
      <c r="DC49" s="92"/>
      <c r="DD49" s="92"/>
      <c r="DE49" s="92"/>
      <c r="DF49" s="92"/>
      <c r="DG49" s="92"/>
      <c r="DH49" s="92"/>
      <c r="DI49" s="92"/>
      <c r="DJ49" s="92"/>
      <c r="DK49" s="92"/>
      <c r="DL49" s="92"/>
      <c r="DM49" s="92"/>
      <c r="DN49" s="92"/>
      <c r="DO49" s="92"/>
      <c r="DP49" s="92"/>
      <c r="DQ49" s="92"/>
      <c r="DR49" s="92"/>
      <c r="DS49" s="92"/>
      <c r="DT49" s="92"/>
      <c r="DU49" s="92"/>
      <c r="DV49" s="92"/>
      <c r="DW49" s="92"/>
      <c r="DX49" s="92"/>
      <c r="DY49" s="92"/>
      <c r="DZ49" s="92"/>
      <c r="EA49" s="92"/>
      <c r="EB49" s="92"/>
      <c r="EC49" s="92"/>
      <c r="ED49" s="92"/>
      <c r="EE49" s="92"/>
      <c r="EF49" s="92"/>
      <c r="EG49" s="92"/>
      <c r="EH49" s="92"/>
      <c r="EI49" s="92"/>
      <c r="EJ49" s="92"/>
      <c r="EK49" s="92"/>
      <c r="EL49" s="92"/>
      <c r="EM49" s="92"/>
      <c r="EN49" s="92"/>
      <c r="EO49" s="92"/>
      <c r="EP49" s="92"/>
      <c r="EQ49" s="92"/>
      <c r="ER49" s="92"/>
      <c r="ES49" s="92"/>
      <c r="ET49" s="92"/>
      <c r="EU49" s="92"/>
      <c r="EV49" s="92"/>
      <c r="EW49" s="92"/>
      <c r="EX49" s="92"/>
      <c r="EY49" s="92"/>
      <c r="EZ49" s="92"/>
      <c r="FA49" s="92"/>
      <c r="FB49" s="92"/>
      <c r="FC49" s="92"/>
      <c r="FD49" s="92"/>
      <c r="FE49" s="92"/>
      <c r="FF49" s="92"/>
      <c r="FG49" s="92"/>
      <c r="FH49" s="92"/>
    </row>
    <row r="50">
      <c r="A50" s="27" t="s">
        <v>7</v>
      </c>
      <c r="B50" s="27" t="s">
        <v>21</v>
      </c>
      <c r="C50" s="27" t="s">
        <v>15</v>
      </c>
      <c r="D50" s="98">
        <f t="shared" si="1"/>
        <v>5181.00274</v>
      </c>
      <c r="E50" s="92">
        <f>(SUBSTITUTE(Audio!E50, "RE-", "", 1))*1</f>
        <v>0</v>
      </c>
      <c r="F50" s="92">
        <f>(SUBSTITUTE(Audio!F50, "RE-", "", 1))*1</f>
        <v>930.7</v>
      </c>
      <c r="G50" s="92">
        <f>(SUBSTITUTE(Audio!G50, "RE-", "", 1))*1</f>
        <v>5.23778</v>
      </c>
      <c r="H50" s="92">
        <f>(SUBSTITUTE(Audio!H50, "RE-", "", 1))*1</f>
        <v>385.963</v>
      </c>
      <c r="I50" s="92">
        <f>(SUBSTITUTE(Audio!I50, "RE-", "", 1))*1</f>
        <v>0</v>
      </c>
      <c r="J50" s="92">
        <f>(SUBSTITUTE(Audio!J50, "RE-", "", 1))*1</f>
        <v>1561.99</v>
      </c>
      <c r="K50" s="92">
        <f>(SUBSTITUTE(Audio!K50, "RE-", "", 1))*1</f>
        <v>3.47417</v>
      </c>
      <c r="L50" s="92">
        <f>(SUBSTITUTE(Audio!L50, "RE-", "", 1))*1</f>
        <v>435.502</v>
      </c>
      <c r="M50" s="92">
        <f>(SUBSTITUTE(Audio!M50, "RE-", "", 1))*1</f>
        <v>11.6671</v>
      </c>
      <c r="N50" s="92">
        <f>(SUBSTITUTE(Audio!N50, "RE-", "", 1))*1</f>
        <v>686.647</v>
      </c>
      <c r="O50" s="92">
        <f>(SUBSTITUTE(Audio!O50, "RE-", "", 1))*1</f>
        <v>6.97367</v>
      </c>
      <c r="P50" s="92">
        <f>(SUBSTITUTE(Audio!P50, "RE-", "", 1))*1</f>
        <v>378.508</v>
      </c>
      <c r="Q50" s="92">
        <f>(SUBSTITUTE(Audio!Q50, "RE-", "", 1))*1</f>
        <v>35.0781</v>
      </c>
      <c r="R50" s="92">
        <f>(SUBSTITUTE(Audio!R50, "RE-", "", 1))*1</f>
        <v>165.777</v>
      </c>
      <c r="S50" s="92">
        <f>(SUBSTITUTE(Audio!S50, "RE-", "", 1))*1</f>
        <v>17.9775</v>
      </c>
      <c r="T50" s="92">
        <f>(SUBSTITUTE(Audio!T50, "RE-", "", 1))*1</f>
        <v>505.819</v>
      </c>
      <c r="U50" s="92">
        <f>(SUBSTITUTE(Audio!U50, "RE-", "", 1))*1</f>
        <v>46.7559</v>
      </c>
      <c r="V50" s="92">
        <f>(SUBSTITUTE(Audio!V50, "RE-", "", 1))*1</f>
        <v>2.93252</v>
      </c>
      <c r="W50" s="92">
        <f>(SUBSTITUTE(Audio!W50, "RE-", "", 1))*1</f>
        <v>0</v>
      </c>
      <c r="X50" s="92">
        <f>(SUBSTITUTE(Audio!X50, "RE-", "", 1))*1</f>
        <v>0</v>
      </c>
      <c r="Y50" s="92">
        <f>(SUBSTITUTE(Audio!Y50, "RE-", "", 1))*1</f>
        <v>0</v>
      </c>
      <c r="Z50" s="92">
        <f>(SUBSTITUTE(Audio!Z50, "RE-", "", 1))*1</f>
        <v>0</v>
      </c>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2"/>
      <c r="CA50" s="92"/>
      <c r="CB50" s="92"/>
      <c r="CC50" s="92"/>
      <c r="CD50" s="92"/>
      <c r="CE50" s="92"/>
      <c r="CF50" s="92"/>
      <c r="CG50" s="92"/>
      <c r="CH50" s="92"/>
      <c r="CI50" s="92"/>
      <c r="CJ50" s="92"/>
      <c r="CK50" s="92"/>
      <c r="CL50" s="92"/>
      <c r="CM50" s="92"/>
      <c r="CN50" s="92"/>
      <c r="CO50" s="92"/>
      <c r="CP50" s="92"/>
      <c r="CQ50" s="92"/>
      <c r="CR50" s="92"/>
      <c r="CS50" s="92"/>
      <c r="CT50" s="92"/>
      <c r="CU50" s="92"/>
      <c r="CV50" s="92"/>
      <c r="CW50" s="92"/>
      <c r="CX50" s="92"/>
      <c r="CY50" s="92"/>
      <c r="CZ50" s="92"/>
      <c r="DA50" s="92"/>
      <c r="DB50" s="92"/>
      <c r="DC50" s="92"/>
      <c r="DD50" s="92"/>
      <c r="DE50" s="92"/>
      <c r="DF50" s="92"/>
      <c r="DG50" s="92"/>
      <c r="DH50" s="92"/>
      <c r="DI50" s="92"/>
      <c r="DJ50" s="92"/>
      <c r="DK50" s="92"/>
      <c r="DL50" s="92"/>
      <c r="DM50" s="92"/>
      <c r="DN50" s="92"/>
      <c r="DO50" s="92"/>
      <c r="DP50" s="92"/>
      <c r="DQ50" s="92"/>
      <c r="DR50" s="92"/>
      <c r="DS50" s="92"/>
      <c r="DT50" s="92"/>
      <c r="DU50" s="92"/>
      <c r="DV50" s="92"/>
      <c r="DW50" s="92"/>
      <c r="DX50" s="92"/>
      <c r="DY50" s="92"/>
      <c r="DZ50" s="92"/>
      <c r="EA50" s="92"/>
      <c r="EB50" s="92"/>
      <c r="EC50" s="92"/>
      <c r="ED50" s="92"/>
      <c r="EE50" s="92"/>
      <c r="EF50" s="92"/>
      <c r="EG50" s="92"/>
      <c r="EH50" s="92"/>
      <c r="EI50" s="92"/>
      <c r="EJ50" s="92"/>
      <c r="EK50" s="92"/>
      <c r="EL50" s="92"/>
      <c r="EM50" s="92"/>
      <c r="EN50" s="92"/>
      <c r="EO50" s="92"/>
      <c r="EP50" s="92"/>
      <c r="EQ50" s="92"/>
      <c r="ER50" s="92"/>
      <c r="ES50" s="92"/>
      <c r="ET50" s="92"/>
      <c r="EU50" s="92"/>
      <c r="EV50" s="92"/>
      <c r="EW50" s="92"/>
      <c r="EX50" s="92"/>
      <c r="EY50" s="92"/>
      <c r="EZ50" s="92"/>
      <c r="FA50" s="92"/>
      <c r="FB50" s="92"/>
      <c r="FC50" s="92"/>
      <c r="FD50" s="92"/>
      <c r="FE50" s="92"/>
      <c r="FF50" s="92"/>
      <c r="FG50" s="92"/>
      <c r="FH50" s="92"/>
    </row>
    <row r="51">
      <c r="A51" s="30" t="s">
        <v>7</v>
      </c>
      <c r="B51" s="30" t="s">
        <v>22</v>
      </c>
      <c r="C51" s="31" t="str">
        <f>HYPERLINK("https://docs.google.com/spreadsheets/d/1pPM3CbuwkknZbTQ8LeWU0aFAMOkIN3NF/edit?usp=share_link&amp;ouid=106501987799020758802&amp;rtpof=true&amp;sd=true", "Raw Delivered")</f>
        <v>Raw Delivered</v>
      </c>
      <c r="D51" s="96">
        <f t="shared" si="1"/>
        <v>7472.209066</v>
      </c>
      <c r="E51" s="92">
        <f>(SUBSTITUTE(Audio!E51, "RE-", "", 1))*1</f>
        <v>0</v>
      </c>
      <c r="F51" s="92">
        <f>(SUBSTITUTE(Audio!F51, "RE-", "", 1))*1</f>
        <v>1793.47542</v>
      </c>
      <c r="G51" s="92">
        <f>(SUBSTITUTE(Audio!G51, "RE-", "", 1))*1</f>
        <v>0</v>
      </c>
      <c r="H51" s="92">
        <f>(SUBSTITUTE(Audio!H51, "RE-", "", 1))*1</f>
        <v>242.8649375</v>
      </c>
      <c r="I51" s="92">
        <f>(SUBSTITUTE(Audio!I51, "RE-", "", 1))*1</f>
        <v>0</v>
      </c>
      <c r="J51" s="92">
        <f>(SUBSTITUTE(Audio!J51, "RE-", "", 1))*1</f>
        <v>1934.131123</v>
      </c>
      <c r="K51" s="92">
        <f>(SUBSTITUTE(Audio!K51, "RE-", "", 1))*1</f>
        <v>0</v>
      </c>
      <c r="L51" s="92">
        <f>(SUBSTITUTE(Audio!L51, "RE-", "", 1))*1</f>
        <v>685.4606969</v>
      </c>
      <c r="M51" s="92">
        <f>(SUBSTITUTE(Audio!M51, "RE-", "", 1))*1</f>
        <v>0</v>
      </c>
      <c r="N51" s="92">
        <f>(SUBSTITUTE(Audio!N51, "RE-", "", 1))*1</f>
        <v>1313.282784</v>
      </c>
      <c r="O51" s="92">
        <f>(SUBSTITUTE(Audio!O51, "RE-", "", 1))*1</f>
        <v>0</v>
      </c>
      <c r="P51" s="92">
        <f>(SUBSTITUTE(Audio!P51, "RE-", "", 1))*1</f>
        <v>889.7707781</v>
      </c>
      <c r="Q51" s="92">
        <f>(SUBSTITUTE(Audio!Q51, "RE-", "", 1))*1</f>
        <v>0</v>
      </c>
      <c r="R51" s="92">
        <f>(SUBSTITUTE(Audio!R51, "RE-", "", 1))*1</f>
        <v>226.5397375</v>
      </c>
      <c r="S51" s="92">
        <f>(SUBSTITUTE(Audio!S51, "RE-", "", 1))*1</f>
        <v>0</v>
      </c>
      <c r="T51" s="92">
        <f>(SUBSTITUTE(Audio!T51, "RE-", "", 1))*1</f>
        <v>386.6835885</v>
      </c>
      <c r="U51" s="92">
        <f>(SUBSTITUTE(Audio!U51, "RE-", "", 1))*1</f>
        <v>0</v>
      </c>
      <c r="V51" s="92">
        <f>(SUBSTITUTE(Audio!V51, "RE-", "", 1))*1</f>
        <v>0</v>
      </c>
      <c r="W51" s="92">
        <f>(SUBSTITUTE(Audio!W51, "RE-", "", 1))*1</f>
        <v>0</v>
      </c>
      <c r="X51" s="92">
        <f>(SUBSTITUTE(Audio!X51, "RE-", "", 1))*1</f>
        <v>0</v>
      </c>
      <c r="Y51" s="92">
        <f>(SUBSTITUTE(Audio!Y51, "RE-", "", 1))*1</f>
        <v>0</v>
      </c>
      <c r="Z51" s="92">
        <f>(SUBSTITUTE(Audio!Z51, "RE-", "", 1))*1</f>
        <v>0</v>
      </c>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c r="CF51" s="92"/>
      <c r="CG51" s="92"/>
      <c r="CH51" s="92"/>
      <c r="CI51" s="92"/>
      <c r="CJ51" s="92"/>
      <c r="CK51" s="92"/>
      <c r="CL51" s="92"/>
      <c r="CM51" s="92"/>
      <c r="CN51" s="92"/>
      <c r="CO51" s="92"/>
      <c r="CP51" s="92"/>
      <c r="CQ51" s="92"/>
      <c r="CR51" s="92"/>
      <c r="CS51" s="92"/>
      <c r="CT51" s="92"/>
      <c r="CU51" s="92"/>
      <c r="CV51" s="92"/>
      <c r="CW51" s="92"/>
      <c r="CX51" s="92"/>
      <c r="CY51" s="92"/>
      <c r="CZ51" s="92"/>
      <c r="DA51" s="92"/>
      <c r="DB51" s="92"/>
      <c r="DC51" s="92"/>
      <c r="DD51" s="92"/>
      <c r="DE51" s="92"/>
      <c r="DF51" s="92"/>
      <c r="DG51" s="92"/>
      <c r="DH51" s="92"/>
      <c r="DI51" s="92"/>
      <c r="DJ51" s="92"/>
      <c r="DK51" s="92"/>
      <c r="DL51" s="92"/>
      <c r="DM51" s="92"/>
      <c r="DN51" s="92"/>
      <c r="DO51" s="92"/>
      <c r="DP51" s="92"/>
      <c r="DQ51" s="92"/>
      <c r="DR51" s="92"/>
      <c r="DS51" s="92"/>
      <c r="DT51" s="92"/>
      <c r="DU51" s="92"/>
      <c r="DV51" s="92"/>
      <c r="DW51" s="92"/>
      <c r="DX51" s="92"/>
      <c r="DY51" s="92"/>
      <c r="DZ51" s="92"/>
      <c r="EA51" s="92"/>
      <c r="EB51" s="92"/>
      <c r="EC51" s="92"/>
      <c r="ED51" s="92"/>
      <c r="EE51" s="92"/>
      <c r="EF51" s="92"/>
      <c r="EG51" s="92"/>
      <c r="EH51" s="92"/>
      <c r="EI51" s="92"/>
      <c r="EJ51" s="92"/>
      <c r="EK51" s="92"/>
      <c r="EL51" s="92"/>
      <c r="EM51" s="92"/>
      <c r="EN51" s="92"/>
      <c r="EO51" s="92"/>
      <c r="EP51" s="92"/>
      <c r="EQ51" s="92"/>
      <c r="ER51" s="92"/>
      <c r="ES51" s="92"/>
      <c r="ET51" s="92"/>
      <c r="EU51" s="92"/>
      <c r="EV51" s="92"/>
      <c r="EW51" s="92"/>
      <c r="EX51" s="92"/>
      <c r="EY51" s="92"/>
      <c r="EZ51" s="92"/>
      <c r="FA51" s="92"/>
      <c r="FB51" s="92"/>
      <c r="FC51" s="92"/>
      <c r="FD51" s="92"/>
      <c r="FE51" s="92"/>
      <c r="FF51" s="92"/>
      <c r="FG51" s="92"/>
      <c r="FH51" s="92"/>
    </row>
    <row r="52">
      <c r="A52" s="32" t="s">
        <v>7</v>
      </c>
      <c r="B52" s="32" t="s">
        <v>22</v>
      </c>
      <c r="C52" s="32" t="s">
        <v>9</v>
      </c>
      <c r="D52" s="97">
        <f t="shared" si="1"/>
        <v>7472.209066</v>
      </c>
      <c r="E52" s="92">
        <f>(SUBSTITUTE(Audio!E52, "RE-", "", 1))*1</f>
        <v>0</v>
      </c>
      <c r="F52" s="92">
        <f>(SUBSTITUTE(Audio!F52, "RE-", "", 1))*1</f>
        <v>1793.47542</v>
      </c>
      <c r="G52" s="92">
        <f>(SUBSTITUTE(Audio!G52, "RE-", "", 1))*1</f>
        <v>0</v>
      </c>
      <c r="H52" s="92">
        <f>(SUBSTITUTE(Audio!H52, "RE-", "", 1))*1</f>
        <v>242.8649375</v>
      </c>
      <c r="I52" s="92">
        <f>(SUBSTITUTE(Audio!I52, "RE-", "", 1))*1</f>
        <v>0</v>
      </c>
      <c r="J52" s="92">
        <f>(SUBSTITUTE(Audio!J52, "RE-", "", 1))*1</f>
        <v>1934.131123</v>
      </c>
      <c r="K52" s="92">
        <f>(SUBSTITUTE(Audio!K52, "RE-", "", 1))*1</f>
        <v>0</v>
      </c>
      <c r="L52" s="92">
        <f>(SUBSTITUTE(Audio!L52, "RE-", "", 1))*1</f>
        <v>685.4606969</v>
      </c>
      <c r="M52" s="92">
        <f>(SUBSTITUTE(Audio!M52, "RE-", "", 1))*1</f>
        <v>0</v>
      </c>
      <c r="N52" s="92">
        <f>(SUBSTITUTE(Audio!N52, "RE-", "", 1))*1</f>
        <v>1313.282784</v>
      </c>
      <c r="O52" s="92">
        <f>(SUBSTITUTE(Audio!O52, "RE-", "", 1))*1</f>
        <v>0</v>
      </c>
      <c r="P52" s="92">
        <f>(SUBSTITUTE(Audio!P52, "RE-", "", 1))*1</f>
        <v>889.7707781</v>
      </c>
      <c r="Q52" s="92">
        <f>(SUBSTITUTE(Audio!Q52, "RE-", "", 1))*1</f>
        <v>0</v>
      </c>
      <c r="R52" s="92">
        <f>(SUBSTITUTE(Audio!R52, "RE-", "", 1))*1</f>
        <v>226.5397375</v>
      </c>
      <c r="S52" s="92">
        <f>(SUBSTITUTE(Audio!S52, "RE-", "", 1))*1</f>
        <v>0</v>
      </c>
      <c r="T52" s="92">
        <f>(SUBSTITUTE(Audio!T52, "RE-", "", 1))*1</f>
        <v>386.6835885</v>
      </c>
      <c r="U52" s="92">
        <f>(SUBSTITUTE(Audio!U52, "RE-", "", 1))*1</f>
        <v>0</v>
      </c>
      <c r="V52" s="92">
        <f>(SUBSTITUTE(Audio!V52, "RE-", "", 1))*1</f>
        <v>0</v>
      </c>
      <c r="W52" s="92">
        <f>(SUBSTITUTE(Audio!W52, "RE-", "", 1))*1</f>
        <v>0</v>
      </c>
      <c r="X52" s="92">
        <f>(SUBSTITUTE(Audio!X52, "RE-", "", 1))*1</f>
        <v>0</v>
      </c>
      <c r="Y52" s="92">
        <f>(SUBSTITUTE(Audio!Y52, "RE-", "", 1))*1</f>
        <v>0</v>
      </c>
      <c r="Z52" s="92">
        <f>(SUBSTITUTE(Audio!Z52, "RE-", "", 1))*1</f>
        <v>0</v>
      </c>
      <c r="AA52" s="92"/>
      <c r="AB52" s="92"/>
      <c r="AC52" s="92"/>
      <c r="AD52" s="92"/>
      <c r="AE52" s="92"/>
      <c r="AF52" s="92"/>
      <c r="AG52" s="92"/>
      <c r="AH52" s="92"/>
      <c r="AI52" s="92"/>
      <c r="AJ52" s="92"/>
      <c r="AK52" s="92"/>
      <c r="AL52" s="92"/>
      <c r="AM52" s="92"/>
      <c r="AN52" s="92"/>
      <c r="AO52" s="92"/>
      <c r="AP52" s="92"/>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c r="CF52" s="92"/>
      <c r="CG52" s="92"/>
      <c r="CH52" s="92"/>
      <c r="CI52" s="92"/>
      <c r="CJ52" s="92"/>
      <c r="CK52" s="92"/>
      <c r="CL52" s="92"/>
      <c r="CM52" s="92"/>
      <c r="CN52" s="92"/>
      <c r="CO52" s="92"/>
      <c r="CP52" s="92"/>
      <c r="CQ52" s="92"/>
      <c r="CR52" s="92"/>
      <c r="CS52" s="92"/>
      <c r="CT52" s="92"/>
      <c r="CU52" s="92"/>
      <c r="CV52" s="92"/>
      <c r="CW52" s="92"/>
      <c r="CX52" s="92"/>
      <c r="CY52" s="92"/>
      <c r="CZ52" s="92"/>
      <c r="DA52" s="92"/>
      <c r="DB52" s="92"/>
      <c r="DC52" s="92"/>
      <c r="DD52" s="92"/>
      <c r="DE52" s="92"/>
      <c r="DF52" s="92"/>
      <c r="DG52" s="92"/>
      <c r="DH52" s="92"/>
      <c r="DI52" s="92"/>
      <c r="DJ52" s="92"/>
      <c r="DK52" s="92"/>
      <c r="DL52" s="92"/>
      <c r="DM52" s="92"/>
      <c r="DN52" s="92"/>
      <c r="DO52" s="92"/>
      <c r="DP52" s="92"/>
      <c r="DQ52" s="92"/>
      <c r="DR52" s="92"/>
      <c r="DS52" s="92"/>
      <c r="DT52" s="92"/>
      <c r="DU52" s="92"/>
      <c r="DV52" s="92"/>
      <c r="DW52" s="92"/>
      <c r="DX52" s="92"/>
      <c r="DY52" s="92"/>
      <c r="DZ52" s="92"/>
      <c r="EA52" s="92"/>
      <c r="EB52" s="92"/>
      <c r="EC52" s="92"/>
      <c r="ED52" s="92"/>
      <c r="EE52" s="92"/>
      <c r="EF52" s="92"/>
      <c r="EG52" s="92"/>
      <c r="EH52" s="92"/>
      <c r="EI52" s="92"/>
      <c r="EJ52" s="92"/>
      <c r="EK52" s="92"/>
      <c r="EL52" s="92"/>
      <c r="EM52" s="92"/>
      <c r="EN52" s="92"/>
      <c r="EO52" s="92"/>
      <c r="EP52" s="92"/>
      <c r="EQ52" s="92"/>
      <c r="ER52" s="92"/>
      <c r="ES52" s="92"/>
      <c r="ET52" s="92"/>
      <c r="EU52" s="92"/>
      <c r="EV52" s="92"/>
      <c r="EW52" s="92"/>
      <c r="EX52" s="92"/>
      <c r="EY52" s="92"/>
      <c r="EZ52" s="92"/>
      <c r="FA52" s="92"/>
      <c r="FB52" s="92"/>
      <c r="FC52" s="92"/>
      <c r="FD52" s="92"/>
      <c r="FE52" s="92"/>
      <c r="FF52" s="92"/>
      <c r="FG52" s="92"/>
      <c r="FH52" s="92"/>
    </row>
    <row r="53">
      <c r="A53" s="32" t="s">
        <v>7</v>
      </c>
      <c r="B53" s="32" t="s">
        <v>22</v>
      </c>
      <c r="C53" s="32" t="s">
        <v>10</v>
      </c>
      <c r="D53" s="97">
        <f t="shared" si="1"/>
        <v>726.8792021</v>
      </c>
      <c r="E53" s="92">
        <f>(SUBSTITUTE(Audio!E53, "RE-", "", 1))*1</f>
        <v>0</v>
      </c>
      <c r="F53" s="92">
        <f>(SUBSTITUTE(Audio!F53, "RE-", "", 1))*1</f>
        <v>0</v>
      </c>
      <c r="G53" s="92">
        <f>(SUBSTITUTE(Audio!G53, "RE-", "", 1))*1</f>
        <v>138.4019625</v>
      </c>
      <c r="H53" s="92">
        <f>(SUBSTITUTE(Audio!H53, "RE-", "", 1))*1</f>
        <v>0</v>
      </c>
      <c r="I53" s="92">
        <f>(SUBSTITUTE(Audio!I53, "RE-", "", 1))*1</f>
        <v>18.28259792</v>
      </c>
      <c r="J53" s="92">
        <f>(SUBSTITUTE(Audio!J53, "RE-", "", 1))*1</f>
        <v>0</v>
      </c>
      <c r="K53" s="92">
        <f>(SUBSTITUTE(Audio!K53, "RE-", "", 1))*1</f>
        <v>200.8160542</v>
      </c>
      <c r="L53" s="92">
        <f>(SUBSTITUTE(Audio!L53, "RE-", "", 1))*1</f>
        <v>0</v>
      </c>
      <c r="M53" s="92">
        <f>(SUBSTITUTE(Audio!M53, "RE-", "", 1))*1</f>
        <v>35.38799792</v>
      </c>
      <c r="N53" s="92">
        <f>(SUBSTITUTE(Audio!N53, "RE-", "", 1))*1</f>
        <v>0</v>
      </c>
      <c r="O53" s="92">
        <f>(SUBSTITUTE(Audio!O53, "RE-", "", 1))*1</f>
        <v>140.8877906</v>
      </c>
      <c r="P53" s="92">
        <f>(SUBSTITUTE(Audio!P53, "RE-", "", 1))*1</f>
        <v>0</v>
      </c>
      <c r="Q53" s="92">
        <f>(SUBSTITUTE(Audio!Q53, "RE-", "", 1))*1</f>
        <v>116.2273052</v>
      </c>
      <c r="R53" s="92">
        <f>(SUBSTITUTE(Audio!R53, "RE-", "", 1))*1</f>
        <v>0</v>
      </c>
      <c r="S53" s="92">
        <f>(SUBSTITUTE(Audio!S53, "RE-", "", 1))*1</f>
        <v>28.69450417</v>
      </c>
      <c r="T53" s="92">
        <f>(SUBSTITUTE(Audio!T53, "RE-", "", 1))*1</f>
        <v>0</v>
      </c>
      <c r="U53" s="92">
        <f>(SUBSTITUTE(Audio!U53, "RE-", "", 1))*1</f>
        <v>36.70236875</v>
      </c>
      <c r="V53" s="92">
        <f>(SUBSTITUTE(Audio!V53, "RE-", "", 1))*1</f>
        <v>11.47862083</v>
      </c>
      <c r="W53" s="92">
        <f>(SUBSTITUTE(Audio!W53, "RE-", "", 1))*1</f>
        <v>0</v>
      </c>
      <c r="X53" s="92">
        <f>(SUBSTITUTE(Audio!X53, "RE-", "", 1))*1</f>
        <v>0</v>
      </c>
      <c r="Y53" s="92">
        <f>(SUBSTITUTE(Audio!Y53, "RE-", "", 1))*1</f>
        <v>0</v>
      </c>
      <c r="Z53" s="92">
        <f>(SUBSTITUTE(Audio!Z53, "RE-", "", 1))*1</f>
        <v>0</v>
      </c>
      <c r="AA53" s="92"/>
      <c r="AB53" s="92"/>
      <c r="AC53" s="92"/>
      <c r="AD53" s="92"/>
      <c r="AE53" s="92"/>
      <c r="AF53" s="92"/>
      <c r="AG53" s="92"/>
      <c r="AH53" s="92"/>
      <c r="AI53" s="92"/>
      <c r="AJ53" s="92"/>
      <c r="AK53" s="92"/>
      <c r="AL53" s="92"/>
      <c r="AM53" s="92"/>
      <c r="AN53" s="92"/>
      <c r="AO53" s="92"/>
      <c r="AP53" s="92"/>
      <c r="AQ53" s="92"/>
      <c r="AR53" s="92"/>
      <c r="AS53" s="92"/>
      <c r="AT53" s="92"/>
      <c r="AU53" s="92"/>
      <c r="AV53" s="92"/>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c r="CA53" s="92"/>
      <c r="CB53" s="92"/>
      <c r="CC53" s="92"/>
      <c r="CD53" s="92"/>
      <c r="CE53" s="92"/>
      <c r="CF53" s="92"/>
      <c r="CG53" s="92"/>
      <c r="CH53" s="92"/>
      <c r="CI53" s="92"/>
      <c r="CJ53" s="92"/>
      <c r="CK53" s="92"/>
      <c r="CL53" s="92"/>
      <c r="CM53" s="92"/>
      <c r="CN53" s="92"/>
      <c r="CO53" s="92"/>
      <c r="CP53" s="92"/>
      <c r="CQ53" s="92"/>
      <c r="CR53" s="92"/>
      <c r="CS53" s="92"/>
      <c r="CT53" s="92"/>
      <c r="CU53" s="92"/>
      <c r="CV53" s="92"/>
      <c r="CW53" s="92"/>
      <c r="CX53" s="92"/>
      <c r="CY53" s="92"/>
      <c r="CZ53" s="92"/>
      <c r="DA53" s="92"/>
      <c r="DB53" s="92"/>
      <c r="DC53" s="92"/>
      <c r="DD53" s="92"/>
      <c r="DE53" s="92"/>
      <c r="DF53" s="92"/>
      <c r="DG53" s="92"/>
      <c r="DH53" s="92"/>
      <c r="DI53" s="92"/>
      <c r="DJ53" s="92"/>
      <c r="DK53" s="92"/>
      <c r="DL53" s="92"/>
      <c r="DM53" s="92"/>
      <c r="DN53" s="92"/>
      <c r="DO53" s="92"/>
      <c r="DP53" s="92"/>
      <c r="DQ53" s="92"/>
      <c r="DR53" s="92"/>
      <c r="DS53" s="92"/>
      <c r="DT53" s="92"/>
      <c r="DU53" s="92"/>
      <c r="DV53" s="92"/>
      <c r="DW53" s="92"/>
      <c r="DX53" s="92"/>
      <c r="DY53" s="92"/>
      <c r="DZ53" s="92"/>
      <c r="EA53" s="92"/>
      <c r="EB53" s="92"/>
      <c r="EC53" s="92"/>
      <c r="ED53" s="92"/>
      <c r="EE53" s="92"/>
      <c r="EF53" s="92"/>
      <c r="EG53" s="92"/>
      <c r="EH53" s="92"/>
      <c r="EI53" s="92"/>
      <c r="EJ53" s="92"/>
      <c r="EK53" s="92"/>
      <c r="EL53" s="92"/>
      <c r="EM53" s="92"/>
      <c r="EN53" s="92"/>
      <c r="EO53" s="92"/>
      <c r="EP53" s="92"/>
      <c r="EQ53" s="92"/>
      <c r="ER53" s="92"/>
      <c r="ES53" s="92"/>
      <c r="ET53" s="92"/>
      <c r="EU53" s="92"/>
      <c r="EV53" s="92"/>
      <c r="EW53" s="92"/>
      <c r="EX53" s="92"/>
      <c r="EY53" s="92"/>
      <c r="EZ53" s="92"/>
      <c r="FA53" s="92"/>
      <c r="FB53" s="92"/>
      <c r="FC53" s="92"/>
      <c r="FD53" s="92"/>
      <c r="FE53" s="92"/>
      <c r="FF53" s="92"/>
      <c r="FG53" s="92"/>
      <c r="FH53" s="92"/>
    </row>
    <row r="54">
      <c r="A54" s="32" t="s">
        <v>7</v>
      </c>
      <c r="B54" s="32" t="s">
        <v>22</v>
      </c>
      <c r="C54" s="32" t="s">
        <v>11</v>
      </c>
      <c r="D54" s="97">
        <f t="shared" si="1"/>
        <v>726.8792021</v>
      </c>
      <c r="E54" s="92">
        <f>(SUBSTITUTE(Audio!E54, "RE-", "", 1))*1</f>
        <v>0</v>
      </c>
      <c r="F54" s="92">
        <f>(SUBSTITUTE(Audio!F54, "RE-", "", 1))*1</f>
        <v>0</v>
      </c>
      <c r="G54" s="92">
        <f>(SUBSTITUTE(Audio!G54, "RE-", "", 1))*1</f>
        <v>138.4019625</v>
      </c>
      <c r="H54" s="92">
        <f>(SUBSTITUTE(Audio!H54, "RE-", "", 1))*1</f>
        <v>0</v>
      </c>
      <c r="I54" s="92">
        <f>(SUBSTITUTE(Audio!I54, "RE-", "", 1))*1</f>
        <v>18.28259792</v>
      </c>
      <c r="J54" s="92">
        <f>(SUBSTITUTE(Audio!J54, "RE-", "", 1))*1</f>
        <v>0</v>
      </c>
      <c r="K54" s="92">
        <f>(SUBSTITUTE(Audio!K54, "RE-", "", 1))*1</f>
        <v>200.8160542</v>
      </c>
      <c r="L54" s="92">
        <f>(SUBSTITUTE(Audio!L54, "RE-", "", 1))*1</f>
        <v>0</v>
      </c>
      <c r="M54" s="92">
        <f>(SUBSTITUTE(Audio!M54, "RE-", "", 1))*1</f>
        <v>35.38799792</v>
      </c>
      <c r="N54" s="92">
        <f>(SUBSTITUTE(Audio!N54, "RE-", "", 1))*1</f>
        <v>0</v>
      </c>
      <c r="O54" s="92">
        <f>(SUBSTITUTE(Audio!O54, "RE-", "", 1))*1</f>
        <v>140.8877906</v>
      </c>
      <c r="P54" s="92">
        <f>(SUBSTITUTE(Audio!P54, "RE-", "", 1))*1</f>
        <v>0</v>
      </c>
      <c r="Q54" s="92">
        <f>(SUBSTITUTE(Audio!Q54, "RE-", "", 1))*1</f>
        <v>116.2273052</v>
      </c>
      <c r="R54" s="92">
        <f>(SUBSTITUTE(Audio!R54, "RE-", "", 1))*1</f>
        <v>0</v>
      </c>
      <c r="S54" s="92">
        <f>(SUBSTITUTE(Audio!S54, "RE-", "", 1))*1</f>
        <v>28.69450417</v>
      </c>
      <c r="T54" s="92">
        <f>(SUBSTITUTE(Audio!T54, "RE-", "", 1))*1</f>
        <v>0</v>
      </c>
      <c r="U54" s="92">
        <f>(SUBSTITUTE(Audio!U54, "RE-", "", 1))*1</f>
        <v>36.70236875</v>
      </c>
      <c r="V54" s="92">
        <f>(SUBSTITUTE(Audio!V54, "RE-", "", 1))*1</f>
        <v>11.47862083</v>
      </c>
      <c r="W54" s="92">
        <f>(SUBSTITUTE(Audio!W54, "RE-", "", 1))*1</f>
        <v>0</v>
      </c>
      <c r="X54" s="92">
        <f>(SUBSTITUTE(Audio!X54, "RE-", "", 1))*1</f>
        <v>0</v>
      </c>
      <c r="Y54" s="92">
        <f>(SUBSTITUTE(Audio!Y54, "RE-", "", 1))*1</f>
        <v>0</v>
      </c>
      <c r="Z54" s="92">
        <f>(SUBSTITUTE(Audio!Z54, "RE-", "", 1))*1</f>
        <v>0</v>
      </c>
      <c r="AA54" s="92"/>
      <c r="AB54" s="92"/>
      <c r="AC54" s="92"/>
      <c r="AD54" s="92"/>
      <c r="AE54" s="92"/>
      <c r="AF54" s="92"/>
      <c r="AG54" s="92"/>
      <c r="AH54" s="92"/>
      <c r="AI54" s="92"/>
      <c r="AJ54" s="92"/>
      <c r="AK54" s="92"/>
      <c r="AL54" s="92"/>
      <c r="AM54" s="92"/>
      <c r="AN54" s="92"/>
      <c r="AO54" s="92"/>
      <c r="AP54" s="92"/>
      <c r="AQ54" s="92"/>
      <c r="AR54" s="92"/>
      <c r="AS54" s="92"/>
      <c r="AT54" s="92"/>
      <c r="AU54" s="92"/>
      <c r="AV54" s="92"/>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c r="CA54" s="92"/>
      <c r="CB54" s="92"/>
      <c r="CC54" s="92"/>
      <c r="CD54" s="92"/>
      <c r="CE54" s="92"/>
      <c r="CF54" s="92"/>
      <c r="CG54" s="92"/>
      <c r="CH54" s="92"/>
      <c r="CI54" s="92"/>
      <c r="CJ54" s="92"/>
      <c r="CK54" s="92"/>
      <c r="CL54" s="92"/>
      <c r="CM54" s="92"/>
      <c r="CN54" s="92"/>
      <c r="CO54" s="92"/>
      <c r="CP54" s="92"/>
      <c r="CQ54" s="92"/>
      <c r="CR54" s="92"/>
      <c r="CS54" s="92"/>
      <c r="CT54" s="92"/>
      <c r="CU54" s="92"/>
      <c r="CV54" s="92"/>
      <c r="CW54" s="92"/>
      <c r="CX54" s="92"/>
      <c r="CY54" s="92"/>
      <c r="CZ54" s="92"/>
      <c r="DA54" s="92"/>
      <c r="DB54" s="92"/>
      <c r="DC54" s="92"/>
      <c r="DD54" s="92"/>
      <c r="DE54" s="92"/>
      <c r="DF54" s="92"/>
      <c r="DG54" s="92"/>
      <c r="DH54" s="92"/>
      <c r="DI54" s="92"/>
      <c r="DJ54" s="92"/>
      <c r="DK54" s="92"/>
      <c r="DL54" s="92"/>
      <c r="DM54" s="92"/>
      <c r="DN54" s="92"/>
      <c r="DO54" s="92"/>
      <c r="DP54" s="92"/>
      <c r="DQ54" s="92"/>
      <c r="DR54" s="92"/>
      <c r="DS54" s="92"/>
      <c r="DT54" s="92"/>
      <c r="DU54" s="92"/>
      <c r="DV54" s="92"/>
      <c r="DW54" s="92"/>
      <c r="DX54" s="92"/>
      <c r="DY54" s="92"/>
      <c r="DZ54" s="92"/>
      <c r="EA54" s="92"/>
      <c r="EB54" s="92"/>
      <c r="EC54" s="92"/>
      <c r="ED54" s="92"/>
      <c r="EE54" s="92"/>
      <c r="EF54" s="92"/>
      <c r="EG54" s="92"/>
      <c r="EH54" s="92"/>
      <c r="EI54" s="92"/>
      <c r="EJ54" s="92"/>
      <c r="EK54" s="92"/>
      <c r="EL54" s="92"/>
      <c r="EM54" s="92"/>
      <c r="EN54" s="92"/>
      <c r="EO54" s="92"/>
      <c r="EP54" s="92"/>
      <c r="EQ54" s="92"/>
      <c r="ER54" s="92"/>
      <c r="ES54" s="92"/>
      <c r="ET54" s="92"/>
      <c r="EU54" s="92"/>
      <c r="EV54" s="92"/>
      <c r="EW54" s="92"/>
      <c r="EX54" s="92"/>
      <c r="EY54" s="92"/>
      <c r="EZ54" s="92"/>
      <c r="FA54" s="92"/>
      <c r="FB54" s="92"/>
      <c r="FC54" s="92"/>
      <c r="FD54" s="92"/>
      <c r="FE54" s="92"/>
      <c r="FF54" s="92"/>
      <c r="FG54" s="92"/>
      <c r="FH54" s="92"/>
    </row>
    <row r="55">
      <c r="A55" s="32" t="s">
        <v>7</v>
      </c>
      <c r="B55" s="32" t="s">
        <v>22</v>
      </c>
      <c r="C55" s="32" t="s">
        <v>12</v>
      </c>
      <c r="D55" s="97">
        <f t="shared" si="1"/>
        <v>6219.339851</v>
      </c>
      <c r="E55" s="92">
        <f>(SUBSTITUTE(Audio!E55, "RE-", "", 1))*1</f>
        <v>0</v>
      </c>
      <c r="F55" s="92">
        <f>(SUBSTITUTE(Audio!F55, "RE-", "", 1))*1</f>
        <v>1514.852401</v>
      </c>
      <c r="G55" s="92">
        <f>(SUBSTITUTE(Audio!G55, "RE-", "", 1))*1</f>
        <v>4.497939583</v>
      </c>
      <c r="H55" s="92">
        <f>(SUBSTITUTE(Audio!H55, "RE-", "", 1))*1</f>
        <v>220.1441833</v>
      </c>
      <c r="I55" s="92">
        <f>(SUBSTITUTE(Audio!I55, "RE-", "", 1))*1</f>
        <v>0.3187104167</v>
      </c>
      <c r="J55" s="92">
        <f>(SUBSTITUTE(Audio!J55, "RE-", "", 1))*1</f>
        <v>1483.950583</v>
      </c>
      <c r="K55" s="92">
        <f>(SUBSTITUTE(Audio!K55, "RE-", "", 1))*1</f>
        <v>5.823922917</v>
      </c>
      <c r="L55" s="92">
        <f>(SUBSTITUTE(Audio!L55, "RE-", "", 1))*1</f>
        <v>621.9114594</v>
      </c>
      <c r="M55" s="92">
        <f>(SUBSTITUTE(Audio!M55, "RE-", "", 1))*1</f>
        <v>3.79564375</v>
      </c>
      <c r="N55" s="92">
        <f>(SUBSTITUTE(Audio!N55, "RE-", "", 1))*1</f>
        <v>833.1764344</v>
      </c>
      <c r="O55" s="92">
        <f>(SUBSTITUTE(Audio!O55, "RE-", "", 1))*1</f>
        <v>17.81760833</v>
      </c>
      <c r="P55" s="92">
        <f>(SUBSTITUTE(Audio!P55, "RE-", "", 1))*1</f>
        <v>843.2709979</v>
      </c>
      <c r="Q55" s="92">
        <f>(SUBSTITUTE(Audio!Q55, "RE-", "", 1))*1</f>
        <v>52.12485625</v>
      </c>
      <c r="R55" s="92">
        <f>(SUBSTITUTE(Audio!R55, "RE-", "", 1))*1</f>
        <v>214.5836708</v>
      </c>
      <c r="S55" s="92">
        <f>(SUBSTITUTE(Audio!S55, "RE-", "", 1))*1</f>
        <v>18.612975</v>
      </c>
      <c r="T55" s="92">
        <f>(SUBSTITUTE(Audio!T55, "RE-", "", 1))*1</f>
        <v>359.8942615</v>
      </c>
      <c r="U55" s="92">
        <f>(SUBSTITUTE(Audio!U55, "RE-", "", 1))*1</f>
        <v>18.89814271</v>
      </c>
      <c r="V55" s="92">
        <f>(SUBSTITUTE(Audio!V55, "RE-", "", 1))*1</f>
        <v>5.666060417</v>
      </c>
      <c r="W55" s="92">
        <f>(SUBSTITUTE(Audio!W55, "RE-", "", 1))*1</f>
        <v>0</v>
      </c>
      <c r="X55" s="92">
        <f>(SUBSTITUTE(Audio!X55, "RE-", "", 1))*1</f>
        <v>0</v>
      </c>
      <c r="Y55" s="92">
        <f>(SUBSTITUTE(Audio!Y55, "RE-", "", 1))*1</f>
        <v>0</v>
      </c>
      <c r="Z55" s="92">
        <f>(SUBSTITUTE(Audio!Z55, "RE-", "", 1))*1</f>
        <v>0</v>
      </c>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c r="CF55" s="92"/>
      <c r="CG55" s="92"/>
      <c r="CH55" s="92"/>
      <c r="CI55" s="92"/>
      <c r="CJ55" s="92"/>
      <c r="CK55" s="92"/>
      <c r="CL55" s="92"/>
      <c r="CM55" s="92"/>
      <c r="CN55" s="92"/>
      <c r="CO55" s="92"/>
      <c r="CP55" s="92"/>
      <c r="CQ55" s="92"/>
      <c r="CR55" s="92"/>
      <c r="CS55" s="92"/>
      <c r="CT55" s="92"/>
      <c r="CU55" s="92"/>
      <c r="CV55" s="92"/>
      <c r="CW55" s="92"/>
      <c r="CX55" s="92"/>
      <c r="CY55" s="92"/>
      <c r="CZ55" s="92"/>
      <c r="DA55" s="92"/>
      <c r="DB55" s="92"/>
      <c r="DC55" s="92"/>
      <c r="DD55" s="92"/>
      <c r="DE55" s="92"/>
      <c r="DF55" s="92"/>
      <c r="DG55" s="92"/>
      <c r="DH55" s="92"/>
      <c r="DI55" s="92"/>
      <c r="DJ55" s="92"/>
      <c r="DK55" s="92"/>
      <c r="DL55" s="92"/>
      <c r="DM55" s="92"/>
      <c r="DN55" s="92"/>
      <c r="DO55" s="92"/>
      <c r="DP55" s="92"/>
      <c r="DQ55" s="92"/>
      <c r="DR55" s="92"/>
      <c r="DS55" s="92"/>
      <c r="DT55" s="92"/>
      <c r="DU55" s="92"/>
      <c r="DV55" s="92"/>
      <c r="DW55" s="92"/>
      <c r="DX55" s="92"/>
      <c r="DY55" s="92"/>
      <c r="DZ55" s="92"/>
      <c r="EA55" s="92"/>
      <c r="EB55" s="92"/>
      <c r="EC55" s="92"/>
      <c r="ED55" s="92"/>
      <c r="EE55" s="92"/>
      <c r="EF55" s="92"/>
      <c r="EG55" s="92"/>
      <c r="EH55" s="92"/>
      <c r="EI55" s="92"/>
      <c r="EJ55" s="92"/>
      <c r="EK55" s="92"/>
      <c r="EL55" s="92"/>
      <c r="EM55" s="92"/>
      <c r="EN55" s="92"/>
      <c r="EO55" s="92"/>
      <c r="EP55" s="92"/>
      <c r="EQ55" s="92"/>
      <c r="ER55" s="92"/>
      <c r="ES55" s="92"/>
      <c r="ET55" s="92"/>
      <c r="EU55" s="92"/>
      <c r="EV55" s="92"/>
      <c r="EW55" s="92"/>
      <c r="EX55" s="92"/>
      <c r="EY55" s="92"/>
      <c r="EZ55" s="92"/>
      <c r="FA55" s="92"/>
      <c r="FB55" s="92"/>
      <c r="FC55" s="92"/>
      <c r="FD55" s="92"/>
      <c r="FE55" s="92"/>
      <c r="FF55" s="92"/>
      <c r="FG55" s="92"/>
      <c r="FH55" s="92"/>
    </row>
    <row r="56">
      <c r="A56" s="32" t="s">
        <v>7</v>
      </c>
      <c r="B56" s="32" t="s">
        <v>22</v>
      </c>
      <c r="C56" s="32" t="s">
        <v>13</v>
      </c>
      <c r="D56" s="97">
        <f t="shared" si="1"/>
        <v>6002.490683</v>
      </c>
      <c r="E56" s="92">
        <f>(SUBSTITUTE(Audio!E56, "RE-", "", 1))*1</f>
        <v>0</v>
      </c>
      <c r="F56" s="92">
        <f>(SUBSTITUTE(Audio!F56, "RE-", "", 1))*1</f>
        <v>1471.77</v>
      </c>
      <c r="G56" s="92">
        <f>(SUBSTITUTE(Audio!G56, "RE-", "", 1))*1</f>
        <v>4.28915</v>
      </c>
      <c r="H56" s="92">
        <f>(SUBSTITUTE(Audio!H56, "RE-", "", 1))*1</f>
        <v>215.342</v>
      </c>
      <c r="I56" s="92">
        <f>(SUBSTITUTE(Audio!I56, "RE-", "", 1))*1</f>
        <v>0.315833</v>
      </c>
      <c r="J56" s="92">
        <f>(SUBSTITUTE(Audio!J56, "RE-", "", 1))*1</f>
        <v>1437.48</v>
      </c>
      <c r="K56" s="92">
        <f>(SUBSTITUTE(Audio!K56, "RE-", "", 1))*1</f>
        <v>5.59858</v>
      </c>
      <c r="L56" s="92">
        <f>(SUBSTITUTE(Audio!L56, "RE-", "", 1))*1</f>
        <v>594.455</v>
      </c>
      <c r="M56" s="92">
        <f>(SUBSTITUTE(Audio!M56, "RE-", "", 1))*1</f>
        <v>3.47985</v>
      </c>
      <c r="N56" s="92">
        <f>(SUBSTITUTE(Audio!N56, "RE-", "", 1))*1</f>
        <v>802.974</v>
      </c>
      <c r="O56" s="92">
        <f>(SUBSTITUTE(Audio!O56, "RE-", "", 1))*1</f>
        <v>17.0634</v>
      </c>
      <c r="P56" s="92">
        <f>(SUBSTITUTE(Audio!P56, "RE-", "", 1))*1</f>
        <v>804.794</v>
      </c>
      <c r="Q56" s="92">
        <f>(SUBSTITUTE(Audio!Q56, "RE-", "", 1))*1</f>
        <v>49.6544</v>
      </c>
      <c r="R56" s="92">
        <f>(SUBSTITUTE(Audio!R56, "RE-", "", 1))*1</f>
        <v>206.766</v>
      </c>
      <c r="S56" s="92">
        <f>(SUBSTITUTE(Audio!S56, "RE-", "", 1))*1</f>
        <v>17.2793</v>
      </c>
      <c r="T56" s="92">
        <f>(SUBSTITUTE(Audio!T56, "RE-", "", 1))*1</f>
        <v>348.063</v>
      </c>
      <c r="U56" s="92">
        <f>(SUBSTITUTE(Audio!U56, "RE-", "", 1))*1</f>
        <v>17.9112</v>
      </c>
      <c r="V56" s="92">
        <f>(SUBSTITUTE(Audio!V56, "RE-", "", 1))*1</f>
        <v>5.25497</v>
      </c>
      <c r="W56" s="92">
        <f>(SUBSTITUTE(Audio!W56, "RE-", "", 1))*1</f>
        <v>0</v>
      </c>
      <c r="X56" s="92">
        <f>(SUBSTITUTE(Audio!X56, "RE-", "", 1))*1</f>
        <v>0</v>
      </c>
      <c r="Y56" s="92">
        <f>(SUBSTITUTE(Audio!Y56, "RE-", "", 1))*1</f>
        <v>0</v>
      </c>
      <c r="Z56" s="92">
        <f>(SUBSTITUTE(Audio!Z56, "RE-", "", 1))*1</f>
        <v>0</v>
      </c>
      <c r="AA56" s="92"/>
      <c r="AB56" s="92"/>
      <c r="AC56" s="92"/>
      <c r="AD56" s="92"/>
      <c r="AE56" s="92"/>
      <c r="AF56" s="92"/>
      <c r="AG56" s="92"/>
      <c r="AH56" s="92"/>
      <c r="AI56" s="92"/>
      <c r="AJ56" s="92"/>
      <c r="AK56" s="92"/>
      <c r="AL56" s="92"/>
      <c r="AM56" s="92"/>
      <c r="AN56" s="92"/>
      <c r="AO56" s="92"/>
      <c r="AP56" s="92"/>
      <c r="AQ56" s="92"/>
      <c r="AR56" s="92"/>
      <c r="AS56" s="92"/>
      <c r="AT56" s="92"/>
      <c r="AU56" s="92"/>
      <c r="AV56" s="92"/>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c r="CA56" s="92"/>
      <c r="CB56" s="92"/>
      <c r="CC56" s="92"/>
      <c r="CD56" s="92"/>
      <c r="CE56" s="92"/>
      <c r="CF56" s="92"/>
      <c r="CG56" s="92"/>
      <c r="CH56" s="92"/>
      <c r="CI56" s="92"/>
      <c r="CJ56" s="92"/>
      <c r="CK56" s="92"/>
      <c r="CL56" s="92"/>
      <c r="CM56" s="92"/>
      <c r="CN56" s="92"/>
      <c r="CO56" s="92"/>
      <c r="CP56" s="92"/>
      <c r="CQ56" s="92"/>
      <c r="CR56" s="92"/>
      <c r="CS56" s="92"/>
      <c r="CT56" s="92"/>
      <c r="CU56" s="92"/>
      <c r="CV56" s="92"/>
      <c r="CW56" s="92"/>
      <c r="CX56" s="92"/>
      <c r="CY56" s="92"/>
      <c r="CZ56" s="92"/>
      <c r="DA56" s="92"/>
      <c r="DB56" s="92"/>
      <c r="DC56" s="92"/>
      <c r="DD56" s="92"/>
      <c r="DE56" s="92"/>
      <c r="DF56" s="92"/>
      <c r="DG56" s="92"/>
      <c r="DH56" s="92"/>
      <c r="DI56" s="92"/>
      <c r="DJ56" s="92"/>
      <c r="DK56" s="92"/>
      <c r="DL56" s="92"/>
      <c r="DM56" s="92"/>
      <c r="DN56" s="92"/>
      <c r="DO56" s="92"/>
      <c r="DP56" s="92"/>
      <c r="DQ56" s="92"/>
      <c r="DR56" s="92"/>
      <c r="DS56" s="92"/>
      <c r="DT56" s="92"/>
      <c r="DU56" s="92"/>
      <c r="DV56" s="92"/>
      <c r="DW56" s="92"/>
      <c r="DX56" s="92"/>
      <c r="DY56" s="92"/>
      <c r="DZ56" s="92"/>
      <c r="EA56" s="92"/>
      <c r="EB56" s="92"/>
      <c r="EC56" s="92"/>
      <c r="ED56" s="92"/>
      <c r="EE56" s="92"/>
      <c r="EF56" s="92"/>
      <c r="EG56" s="92"/>
      <c r="EH56" s="92"/>
      <c r="EI56" s="92"/>
      <c r="EJ56" s="92"/>
      <c r="EK56" s="92"/>
      <c r="EL56" s="92"/>
      <c r="EM56" s="92"/>
      <c r="EN56" s="92"/>
      <c r="EO56" s="92"/>
      <c r="EP56" s="92"/>
      <c r="EQ56" s="92"/>
      <c r="ER56" s="92"/>
      <c r="ES56" s="92"/>
      <c r="ET56" s="92"/>
      <c r="EU56" s="92"/>
      <c r="EV56" s="92"/>
      <c r="EW56" s="92"/>
      <c r="EX56" s="92"/>
      <c r="EY56" s="92"/>
      <c r="EZ56" s="92"/>
      <c r="FA56" s="92"/>
      <c r="FB56" s="92"/>
      <c r="FC56" s="92"/>
      <c r="FD56" s="92"/>
      <c r="FE56" s="92"/>
      <c r="FF56" s="92"/>
      <c r="FG56" s="92"/>
      <c r="FH56" s="92"/>
    </row>
    <row r="57">
      <c r="A57" s="32" t="s">
        <v>7</v>
      </c>
      <c r="B57" s="32" t="s">
        <v>22</v>
      </c>
      <c r="C57" s="32" t="s">
        <v>14</v>
      </c>
      <c r="D57" s="97">
        <f t="shared" si="1"/>
        <v>5265.145413</v>
      </c>
      <c r="E57" s="92">
        <f>(SUBSTITUTE(Audio!E57, "RE-", "", 1))*1</f>
        <v>0</v>
      </c>
      <c r="F57" s="92">
        <f>(SUBSTITUTE(Audio!F57, "RE-", "", 1))*1</f>
        <v>1303.54</v>
      </c>
      <c r="G57" s="92">
        <f>(SUBSTITUTE(Audio!G57, "RE-", "", 1))*1</f>
        <v>3.98427</v>
      </c>
      <c r="H57" s="92">
        <f>(SUBSTITUTE(Audio!H57, "RE-", "", 1))*1</f>
        <v>185.111</v>
      </c>
      <c r="I57" s="92">
        <f>(SUBSTITUTE(Audio!I57, "RE-", "", 1))*1</f>
        <v>0.315833</v>
      </c>
      <c r="J57" s="92">
        <f>(SUBSTITUTE(Audio!J57, "RE-", "", 1))*1</f>
        <v>1319.98</v>
      </c>
      <c r="K57" s="92">
        <f>(SUBSTITUTE(Audio!K57, "RE-", "", 1))*1</f>
        <v>5.59858</v>
      </c>
      <c r="L57" s="92">
        <f>(SUBSTITUTE(Audio!L57, "RE-", "", 1))*1</f>
        <v>517.29</v>
      </c>
      <c r="M57" s="92">
        <f>(SUBSTITUTE(Audio!M57, "RE-", "", 1))*1</f>
        <v>3.47985</v>
      </c>
      <c r="N57" s="92">
        <f>(SUBSTITUTE(Audio!N57, "RE-", "", 1))*1</f>
        <v>704.274</v>
      </c>
      <c r="O57" s="92">
        <f>(SUBSTITUTE(Audio!O57, "RE-", "", 1))*1</f>
        <v>15.2148</v>
      </c>
      <c r="P57" s="92">
        <f>(SUBSTITUTE(Audio!P57, "RE-", "", 1))*1</f>
        <v>651.77</v>
      </c>
      <c r="Q57" s="92">
        <f>(SUBSTITUTE(Audio!Q57, "RE-", "", 1))*1</f>
        <v>43.1681</v>
      </c>
      <c r="R57" s="92">
        <f>(SUBSTITUTE(Audio!R57, "RE-", "", 1))*1</f>
        <v>175.787</v>
      </c>
      <c r="S57" s="92">
        <f>(SUBSTITUTE(Audio!S57, "RE-", "", 1))*1</f>
        <v>15.2608</v>
      </c>
      <c r="T57" s="92">
        <f>(SUBSTITUTE(Audio!T57, "RE-", "", 1))*1</f>
        <v>299.94</v>
      </c>
      <c r="U57" s="92">
        <f>(SUBSTITUTE(Audio!U57, "RE-", "", 1))*1</f>
        <v>15.9262</v>
      </c>
      <c r="V57" s="92">
        <f>(SUBSTITUTE(Audio!V57, "RE-", "", 1))*1</f>
        <v>4.50498</v>
      </c>
      <c r="W57" s="92">
        <f>(SUBSTITUTE(Audio!W57, "RE-", "", 1))*1</f>
        <v>0</v>
      </c>
      <c r="X57" s="92">
        <f>(SUBSTITUTE(Audio!X57, "RE-", "", 1))*1</f>
        <v>0</v>
      </c>
      <c r="Y57" s="92">
        <f>(SUBSTITUTE(Audio!Y57, "RE-", "", 1))*1</f>
        <v>0</v>
      </c>
      <c r="Z57" s="92">
        <f>(SUBSTITUTE(Audio!Z57, "RE-", "", 1))*1</f>
        <v>0</v>
      </c>
      <c r="AA57" s="92"/>
      <c r="AB57" s="92"/>
      <c r="AC57" s="92"/>
      <c r="AD57" s="92"/>
      <c r="AE57" s="92"/>
      <c r="AF57" s="92"/>
      <c r="AG57" s="92"/>
      <c r="AH57" s="92"/>
      <c r="AI57" s="92"/>
      <c r="AJ57" s="92"/>
      <c r="AK57" s="92"/>
      <c r="AL57" s="92"/>
      <c r="AM57" s="92"/>
      <c r="AN57" s="92"/>
      <c r="AO57" s="92"/>
      <c r="AP57" s="92"/>
      <c r="AQ57" s="92"/>
      <c r="AR57" s="92"/>
      <c r="AS57" s="92"/>
      <c r="AT57" s="92"/>
      <c r="AU57" s="92"/>
      <c r="AV57" s="92"/>
      <c r="AW57" s="92"/>
      <c r="AX57" s="92"/>
      <c r="AY57" s="92"/>
      <c r="AZ57" s="92"/>
      <c r="BA57" s="92"/>
      <c r="BB57" s="92"/>
      <c r="BC57" s="92"/>
      <c r="BD57" s="92"/>
      <c r="BE57" s="92"/>
      <c r="BF57" s="92"/>
      <c r="BG57" s="92"/>
      <c r="BH57" s="92"/>
      <c r="BI57" s="92"/>
      <c r="BJ57" s="92"/>
      <c r="BK57" s="92"/>
      <c r="BL57" s="92"/>
      <c r="BM57" s="92"/>
      <c r="BN57" s="92"/>
      <c r="BO57" s="92"/>
      <c r="BP57" s="92"/>
      <c r="BQ57" s="92"/>
      <c r="BR57" s="92"/>
      <c r="BS57" s="92"/>
      <c r="BT57" s="92"/>
      <c r="BU57" s="92"/>
      <c r="BV57" s="92"/>
      <c r="BW57" s="92"/>
      <c r="BX57" s="92"/>
      <c r="BY57" s="92"/>
      <c r="BZ57" s="92"/>
      <c r="CA57" s="92"/>
      <c r="CB57" s="92"/>
      <c r="CC57" s="92"/>
      <c r="CD57" s="92"/>
      <c r="CE57" s="92"/>
      <c r="CF57" s="92"/>
      <c r="CG57" s="92"/>
      <c r="CH57" s="92"/>
      <c r="CI57" s="92"/>
      <c r="CJ57" s="92"/>
      <c r="CK57" s="92"/>
      <c r="CL57" s="92"/>
      <c r="CM57" s="92"/>
      <c r="CN57" s="92"/>
      <c r="CO57" s="92"/>
      <c r="CP57" s="92"/>
      <c r="CQ57" s="92"/>
      <c r="CR57" s="92"/>
      <c r="CS57" s="92"/>
      <c r="CT57" s="92"/>
      <c r="CU57" s="92"/>
      <c r="CV57" s="92"/>
      <c r="CW57" s="92"/>
      <c r="CX57" s="92"/>
      <c r="CY57" s="92"/>
      <c r="CZ57" s="92"/>
      <c r="DA57" s="92"/>
      <c r="DB57" s="92"/>
      <c r="DC57" s="92"/>
      <c r="DD57" s="92"/>
      <c r="DE57" s="92"/>
      <c r="DF57" s="92"/>
      <c r="DG57" s="92"/>
      <c r="DH57" s="92"/>
      <c r="DI57" s="92"/>
      <c r="DJ57" s="92"/>
      <c r="DK57" s="92"/>
      <c r="DL57" s="92"/>
      <c r="DM57" s="92"/>
      <c r="DN57" s="92"/>
      <c r="DO57" s="92"/>
      <c r="DP57" s="92"/>
      <c r="DQ57" s="92"/>
      <c r="DR57" s="92"/>
      <c r="DS57" s="92"/>
      <c r="DT57" s="92"/>
      <c r="DU57" s="92"/>
      <c r="DV57" s="92"/>
      <c r="DW57" s="92"/>
      <c r="DX57" s="92"/>
      <c r="DY57" s="92"/>
      <c r="DZ57" s="92"/>
      <c r="EA57" s="92"/>
      <c r="EB57" s="92"/>
      <c r="EC57" s="92"/>
      <c r="ED57" s="92"/>
      <c r="EE57" s="92"/>
      <c r="EF57" s="92"/>
      <c r="EG57" s="92"/>
      <c r="EH57" s="92"/>
      <c r="EI57" s="92"/>
      <c r="EJ57" s="92"/>
      <c r="EK57" s="92"/>
      <c r="EL57" s="92"/>
      <c r="EM57" s="92"/>
      <c r="EN57" s="92"/>
      <c r="EO57" s="92"/>
      <c r="EP57" s="92"/>
      <c r="EQ57" s="92"/>
      <c r="ER57" s="92"/>
      <c r="ES57" s="92"/>
      <c r="ET57" s="92"/>
      <c r="EU57" s="92"/>
      <c r="EV57" s="92"/>
      <c r="EW57" s="92"/>
      <c r="EX57" s="92"/>
      <c r="EY57" s="92"/>
      <c r="EZ57" s="92"/>
      <c r="FA57" s="92"/>
      <c r="FB57" s="92"/>
      <c r="FC57" s="92"/>
      <c r="FD57" s="92"/>
      <c r="FE57" s="92"/>
      <c r="FF57" s="92"/>
      <c r="FG57" s="92"/>
      <c r="FH57" s="92"/>
    </row>
    <row r="58">
      <c r="A58" s="27" t="s">
        <v>7</v>
      </c>
      <c r="B58" s="27" t="s">
        <v>22</v>
      </c>
      <c r="C58" s="27" t="s">
        <v>15</v>
      </c>
      <c r="D58" s="98">
        <f t="shared" si="1"/>
        <v>6001.423683</v>
      </c>
      <c r="E58" s="92">
        <f>(SUBSTITUTE(Audio!E58, "RE-", "", 1))*1</f>
        <v>0</v>
      </c>
      <c r="F58" s="92">
        <f>(SUBSTITUTE(Audio!F58, "RE-", "", 1))*1</f>
        <v>1471.21</v>
      </c>
      <c r="G58" s="92">
        <f>(SUBSTITUTE(Audio!G58, "RE-", "", 1))*1</f>
        <v>4.28915</v>
      </c>
      <c r="H58" s="92">
        <f>(SUBSTITUTE(Audio!H58, "RE-", "", 1))*1</f>
        <v>215.139</v>
      </c>
      <c r="I58" s="92">
        <f>(SUBSTITUTE(Audio!I58, "RE-", "", 1))*1</f>
        <v>0.315833</v>
      </c>
      <c r="J58" s="92">
        <f>(SUBSTITUTE(Audio!J58, "RE-", "", 1))*1</f>
        <v>1437.21</v>
      </c>
      <c r="K58" s="92">
        <f>(SUBSTITUTE(Audio!K58, "RE-", "", 1))*1</f>
        <v>5.59858</v>
      </c>
      <c r="L58" s="92">
        <f>(SUBSTITUTE(Audio!L58, "RE-", "", 1))*1</f>
        <v>594.421</v>
      </c>
      <c r="M58" s="92">
        <f>(SUBSTITUTE(Audio!M58, "RE-", "", 1))*1</f>
        <v>3.47985</v>
      </c>
      <c r="N58" s="92">
        <f>(SUBSTITUTE(Audio!N58, "RE-", "", 1))*1</f>
        <v>802.974</v>
      </c>
      <c r="O58" s="92">
        <f>(SUBSTITUTE(Audio!O58, "RE-", "", 1))*1</f>
        <v>17.0634</v>
      </c>
      <c r="P58" s="92">
        <f>(SUBSTITUTE(Audio!P58, "RE-", "", 1))*1</f>
        <v>804.794</v>
      </c>
      <c r="Q58" s="92">
        <f>(SUBSTITUTE(Audio!Q58, "RE-", "", 1))*1</f>
        <v>49.6544</v>
      </c>
      <c r="R58" s="92">
        <f>(SUBSTITUTE(Audio!R58, "RE-", "", 1))*1</f>
        <v>206.766</v>
      </c>
      <c r="S58" s="92">
        <f>(SUBSTITUTE(Audio!S58, "RE-", "", 1))*1</f>
        <v>17.2793</v>
      </c>
      <c r="T58" s="92">
        <f>(SUBSTITUTE(Audio!T58, "RE-", "", 1))*1</f>
        <v>348.063</v>
      </c>
      <c r="U58" s="92">
        <f>(SUBSTITUTE(Audio!U58, "RE-", "", 1))*1</f>
        <v>17.9112</v>
      </c>
      <c r="V58" s="92">
        <f>(SUBSTITUTE(Audio!V58, "RE-", "", 1))*1</f>
        <v>5.25497</v>
      </c>
      <c r="W58" s="92">
        <f>(SUBSTITUTE(Audio!W58, "RE-", "", 1))*1</f>
        <v>0</v>
      </c>
      <c r="X58" s="92">
        <f>(SUBSTITUTE(Audio!X58, "RE-", "", 1))*1</f>
        <v>0</v>
      </c>
      <c r="Y58" s="92">
        <f>(SUBSTITUTE(Audio!Y58, "RE-", "", 1))*1</f>
        <v>0</v>
      </c>
      <c r="Z58" s="92">
        <f>(SUBSTITUTE(Audio!Z58, "RE-", "", 1))*1</f>
        <v>0</v>
      </c>
      <c r="AA58" s="92"/>
      <c r="AB58" s="92"/>
      <c r="AC58" s="92"/>
      <c r="AD58" s="92"/>
      <c r="AE58" s="92"/>
      <c r="AF58" s="92"/>
      <c r="AG58" s="92"/>
      <c r="AH58" s="92"/>
      <c r="AI58" s="92"/>
      <c r="AJ58" s="92"/>
      <c r="AK58" s="92"/>
      <c r="AL58" s="92"/>
      <c r="AM58" s="92"/>
      <c r="AN58" s="92"/>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c r="CA58" s="92"/>
      <c r="CB58" s="92"/>
      <c r="CC58" s="92"/>
      <c r="CD58" s="92"/>
      <c r="CE58" s="92"/>
      <c r="CF58" s="92"/>
      <c r="CG58" s="92"/>
      <c r="CH58" s="92"/>
      <c r="CI58" s="92"/>
      <c r="CJ58" s="92"/>
      <c r="CK58" s="92"/>
      <c r="CL58" s="92"/>
      <c r="CM58" s="92"/>
      <c r="CN58" s="92"/>
      <c r="CO58" s="92"/>
      <c r="CP58" s="92"/>
      <c r="CQ58" s="92"/>
      <c r="CR58" s="92"/>
      <c r="CS58" s="92"/>
      <c r="CT58" s="92"/>
      <c r="CU58" s="92"/>
      <c r="CV58" s="92"/>
      <c r="CW58" s="92"/>
      <c r="CX58" s="92"/>
      <c r="CY58" s="92"/>
      <c r="CZ58" s="92"/>
      <c r="DA58" s="92"/>
      <c r="DB58" s="92"/>
      <c r="DC58" s="92"/>
      <c r="DD58" s="92"/>
      <c r="DE58" s="92"/>
      <c r="DF58" s="92"/>
      <c r="DG58" s="92"/>
      <c r="DH58" s="92"/>
      <c r="DI58" s="92"/>
      <c r="DJ58" s="92"/>
      <c r="DK58" s="92"/>
      <c r="DL58" s="92"/>
      <c r="DM58" s="92"/>
      <c r="DN58" s="92"/>
      <c r="DO58" s="92"/>
      <c r="DP58" s="92"/>
      <c r="DQ58" s="92"/>
      <c r="DR58" s="92"/>
      <c r="DS58" s="92"/>
      <c r="DT58" s="92"/>
      <c r="DU58" s="92"/>
      <c r="DV58" s="92"/>
      <c r="DW58" s="92"/>
      <c r="DX58" s="92"/>
      <c r="DY58" s="92"/>
      <c r="DZ58" s="92"/>
      <c r="EA58" s="92"/>
      <c r="EB58" s="92"/>
      <c r="EC58" s="92"/>
      <c r="ED58" s="92"/>
      <c r="EE58" s="92"/>
      <c r="EF58" s="92"/>
      <c r="EG58" s="92"/>
      <c r="EH58" s="92"/>
      <c r="EI58" s="92"/>
      <c r="EJ58" s="92"/>
      <c r="EK58" s="92"/>
      <c r="EL58" s="92"/>
      <c r="EM58" s="92"/>
      <c r="EN58" s="92"/>
      <c r="EO58" s="92"/>
      <c r="EP58" s="92"/>
      <c r="EQ58" s="92"/>
      <c r="ER58" s="92"/>
      <c r="ES58" s="92"/>
      <c r="ET58" s="92"/>
      <c r="EU58" s="92"/>
      <c r="EV58" s="92"/>
      <c r="EW58" s="92"/>
      <c r="EX58" s="92"/>
      <c r="EY58" s="92"/>
      <c r="EZ58" s="92"/>
      <c r="FA58" s="92"/>
      <c r="FB58" s="92"/>
      <c r="FC58" s="92"/>
      <c r="FD58" s="92"/>
      <c r="FE58" s="92"/>
      <c r="FF58" s="92"/>
      <c r="FG58" s="92"/>
      <c r="FH58" s="92"/>
    </row>
    <row r="59">
      <c r="A59" s="30" t="s">
        <v>17</v>
      </c>
      <c r="B59" s="30" t="s">
        <v>23</v>
      </c>
      <c r="C59" s="31" t="str">
        <f>HYPERLINK("https://docs.google.com/spreadsheets/d/1j8wKEQ7qz2Q85Un9d9cuPAjsqW-saDnV/edit?usp=share_link&amp;ouid=106501987799020758802&amp;rtpof=true&amp;sd=true", "Raw Delivered")</f>
        <v>Raw Delivered</v>
      </c>
      <c r="D59" s="96">
        <f t="shared" si="1"/>
        <v>5923.732241</v>
      </c>
      <c r="E59" s="92">
        <f>(SUBSTITUTE(Audio!E59, "RE-", "", 1))*1</f>
        <v>0</v>
      </c>
      <c r="F59" s="92">
        <f>(SUBSTITUTE(Audio!F59, "RE-", "", 1))*1</f>
        <v>864.0666146</v>
      </c>
      <c r="G59" s="92">
        <f>(SUBSTITUTE(Audio!G59, "RE-", "", 1))*1</f>
        <v>0</v>
      </c>
      <c r="H59" s="92">
        <f>(SUBSTITUTE(Audio!H59, "RE-", "", 1))*1</f>
        <v>147.9970625</v>
      </c>
      <c r="I59" s="92">
        <f>(SUBSTITUTE(Audio!I59, "RE-", "", 1))*1</f>
        <v>0</v>
      </c>
      <c r="J59" s="92">
        <f>(SUBSTITUTE(Audio!J59, "RE-", "", 1))*1</f>
        <v>1213.248269</v>
      </c>
      <c r="K59" s="92">
        <f>(SUBSTITUTE(Audio!K59, "RE-", "", 1))*1</f>
        <v>0</v>
      </c>
      <c r="L59" s="92">
        <f>(SUBSTITUTE(Audio!L59, "RE-", "", 1))*1</f>
        <v>712.4470135</v>
      </c>
      <c r="M59" s="92">
        <f>(SUBSTITUTE(Audio!M59, "RE-", "", 1))*1</f>
        <v>0</v>
      </c>
      <c r="N59" s="92">
        <f>(SUBSTITUTE(Audio!N59, "RE-", "", 1))*1</f>
        <v>1943.117656</v>
      </c>
      <c r="O59" s="92">
        <f>(SUBSTITUTE(Audio!O59, "RE-", "", 1))*1</f>
        <v>0</v>
      </c>
      <c r="P59" s="92">
        <f>(SUBSTITUTE(Audio!P59, "RE-", "", 1))*1</f>
        <v>294.8826917</v>
      </c>
      <c r="Q59" s="92">
        <f>(SUBSTITUTE(Audio!Q59, "RE-", "", 1))*1</f>
        <v>0</v>
      </c>
      <c r="R59" s="92">
        <f>(SUBSTITUTE(Audio!R59, "RE-", "", 1))*1</f>
        <v>432.1268313</v>
      </c>
      <c r="S59" s="92">
        <f>(SUBSTITUTE(Audio!S59, "RE-", "", 1))*1</f>
        <v>0</v>
      </c>
      <c r="T59" s="92">
        <f>(SUBSTITUTE(Audio!T59, "RE-", "", 1))*1</f>
        <v>315.8461021</v>
      </c>
      <c r="U59" s="92">
        <f>(SUBSTITUTE(Audio!U59, "RE-", "", 1))*1</f>
        <v>0</v>
      </c>
      <c r="V59" s="92">
        <f>(SUBSTITUTE(Audio!V59, "RE-", "", 1))*1</f>
        <v>0</v>
      </c>
      <c r="W59" s="92">
        <f>(SUBSTITUTE(Audio!W59, "RE-", "", 1))*1</f>
        <v>0</v>
      </c>
      <c r="X59" s="92">
        <f>(SUBSTITUTE(Audio!X59, "RE-", "", 1))*1</f>
        <v>0</v>
      </c>
      <c r="Y59" s="92">
        <f>(SUBSTITUTE(Audio!Y59, "RE-", "", 1))*1</f>
        <v>0</v>
      </c>
      <c r="Z59" s="92">
        <f>(SUBSTITUTE(Audio!Z59, "RE-", "", 1))*1</f>
        <v>0</v>
      </c>
      <c r="AA59" s="92"/>
      <c r="AB59" s="92"/>
      <c r="AC59" s="92"/>
      <c r="AD59" s="92"/>
      <c r="AE59" s="92"/>
      <c r="AF59" s="92"/>
      <c r="AG59" s="92"/>
      <c r="AH59" s="92"/>
      <c r="AI59" s="92"/>
      <c r="AJ59" s="92"/>
      <c r="AK59" s="92"/>
      <c r="AL59" s="92"/>
      <c r="AM59" s="92"/>
      <c r="AN59" s="92"/>
      <c r="AO59" s="92"/>
      <c r="AP59" s="92"/>
      <c r="AQ59" s="92"/>
      <c r="AR59" s="92"/>
      <c r="AS59" s="92"/>
      <c r="AT59" s="92"/>
      <c r="AU59" s="92"/>
      <c r="AV59" s="92"/>
      <c r="AW59" s="92"/>
      <c r="AX59" s="92"/>
      <c r="AY59" s="92"/>
      <c r="AZ59" s="92"/>
      <c r="BA59" s="92"/>
      <c r="BB59" s="92"/>
      <c r="BC59" s="92"/>
      <c r="BD59" s="92"/>
      <c r="BE59" s="92"/>
      <c r="BF59" s="92"/>
      <c r="BG59" s="92"/>
      <c r="BH59" s="92"/>
      <c r="BI59" s="92"/>
      <c r="BJ59" s="92"/>
      <c r="BK59" s="92"/>
      <c r="BL59" s="92"/>
      <c r="BM59" s="92"/>
      <c r="BN59" s="92"/>
      <c r="BO59" s="92"/>
      <c r="BP59" s="92"/>
      <c r="BQ59" s="92"/>
      <c r="BR59" s="92"/>
      <c r="BS59" s="92"/>
      <c r="BT59" s="92"/>
      <c r="BU59" s="92"/>
      <c r="BV59" s="92"/>
      <c r="BW59" s="92"/>
      <c r="BX59" s="92"/>
      <c r="BY59" s="92"/>
      <c r="BZ59" s="92"/>
      <c r="CA59" s="92"/>
      <c r="CB59" s="92"/>
      <c r="CC59" s="92"/>
      <c r="CD59" s="92"/>
      <c r="CE59" s="92"/>
      <c r="CF59" s="92"/>
      <c r="CG59" s="92"/>
      <c r="CH59" s="92"/>
      <c r="CI59" s="92"/>
      <c r="CJ59" s="92"/>
      <c r="CK59" s="92"/>
      <c r="CL59" s="92"/>
      <c r="CM59" s="92"/>
      <c r="CN59" s="92"/>
      <c r="CO59" s="92"/>
      <c r="CP59" s="92"/>
      <c r="CQ59" s="92"/>
      <c r="CR59" s="92"/>
      <c r="CS59" s="92"/>
      <c r="CT59" s="92"/>
      <c r="CU59" s="92"/>
      <c r="CV59" s="92"/>
      <c r="CW59" s="92"/>
      <c r="CX59" s="92"/>
      <c r="CY59" s="92"/>
      <c r="CZ59" s="92"/>
      <c r="DA59" s="92"/>
      <c r="DB59" s="92"/>
      <c r="DC59" s="92"/>
      <c r="DD59" s="92"/>
      <c r="DE59" s="92"/>
      <c r="DF59" s="92"/>
      <c r="DG59" s="92"/>
      <c r="DH59" s="92"/>
      <c r="DI59" s="92"/>
      <c r="DJ59" s="92"/>
      <c r="DK59" s="92"/>
      <c r="DL59" s="92"/>
      <c r="DM59" s="92"/>
      <c r="DN59" s="92"/>
      <c r="DO59" s="92"/>
      <c r="DP59" s="92"/>
      <c r="DQ59" s="92"/>
      <c r="DR59" s="92"/>
      <c r="DS59" s="92"/>
      <c r="DT59" s="92"/>
      <c r="DU59" s="92"/>
      <c r="DV59" s="92"/>
      <c r="DW59" s="92"/>
      <c r="DX59" s="92"/>
      <c r="DY59" s="92"/>
      <c r="DZ59" s="92"/>
      <c r="EA59" s="92"/>
      <c r="EB59" s="92"/>
      <c r="EC59" s="92"/>
      <c r="ED59" s="92"/>
      <c r="EE59" s="92"/>
      <c r="EF59" s="92"/>
      <c r="EG59" s="92"/>
      <c r="EH59" s="92"/>
      <c r="EI59" s="92"/>
      <c r="EJ59" s="92"/>
      <c r="EK59" s="92"/>
      <c r="EL59" s="92"/>
      <c r="EM59" s="92"/>
      <c r="EN59" s="92"/>
      <c r="EO59" s="92"/>
      <c r="EP59" s="92"/>
      <c r="EQ59" s="92"/>
      <c r="ER59" s="92"/>
      <c r="ES59" s="92"/>
      <c r="ET59" s="92"/>
      <c r="EU59" s="92"/>
      <c r="EV59" s="92"/>
      <c r="EW59" s="92"/>
      <c r="EX59" s="92"/>
      <c r="EY59" s="92"/>
      <c r="EZ59" s="92"/>
      <c r="FA59" s="92"/>
      <c r="FB59" s="92"/>
      <c r="FC59" s="92"/>
      <c r="FD59" s="92"/>
      <c r="FE59" s="92"/>
      <c r="FF59" s="92"/>
      <c r="FG59" s="92"/>
      <c r="FH59" s="92"/>
    </row>
    <row r="60">
      <c r="A60" s="32" t="s">
        <v>17</v>
      </c>
      <c r="B60" s="32" t="s">
        <v>23</v>
      </c>
      <c r="C60" s="32" t="s">
        <v>9</v>
      </c>
      <c r="D60" s="97">
        <f t="shared" si="1"/>
        <v>5923.732241</v>
      </c>
      <c r="E60" s="92">
        <f>(SUBSTITUTE(Audio!E60, "RE-", "", 1))*1</f>
        <v>0</v>
      </c>
      <c r="F60" s="92">
        <f>(SUBSTITUTE(Audio!F60, "RE-", "", 1))*1</f>
        <v>864.0666146</v>
      </c>
      <c r="G60" s="92">
        <f>(SUBSTITUTE(Audio!G60, "RE-", "", 1))*1</f>
        <v>0</v>
      </c>
      <c r="H60" s="92">
        <f>(SUBSTITUTE(Audio!H60, "RE-", "", 1))*1</f>
        <v>147.9970625</v>
      </c>
      <c r="I60" s="92">
        <f>(SUBSTITUTE(Audio!I60, "RE-", "", 1))*1</f>
        <v>0</v>
      </c>
      <c r="J60" s="92">
        <f>(SUBSTITUTE(Audio!J60, "RE-", "", 1))*1</f>
        <v>1213.248269</v>
      </c>
      <c r="K60" s="92">
        <f>(SUBSTITUTE(Audio!K60, "RE-", "", 1))*1</f>
        <v>0</v>
      </c>
      <c r="L60" s="92">
        <f>(SUBSTITUTE(Audio!L60, "RE-", "", 1))*1</f>
        <v>712.4470135</v>
      </c>
      <c r="M60" s="92">
        <f>(SUBSTITUTE(Audio!M60, "RE-", "", 1))*1</f>
        <v>0</v>
      </c>
      <c r="N60" s="92">
        <f>(SUBSTITUTE(Audio!N60, "RE-", "", 1))*1</f>
        <v>1943.117656</v>
      </c>
      <c r="O60" s="92">
        <f>(SUBSTITUTE(Audio!O60, "RE-", "", 1))*1</f>
        <v>0</v>
      </c>
      <c r="P60" s="92">
        <f>(SUBSTITUTE(Audio!P60, "RE-", "", 1))*1</f>
        <v>294.8826917</v>
      </c>
      <c r="Q60" s="92">
        <f>(SUBSTITUTE(Audio!Q60, "RE-", "", 1))*1</f>
        <v>0</v>
      </c>
      <c r="R60" s="92">
        <f>(SUBSTITUTE(Audio!R60, "RE-", "", 1))*1</f>
        <v>432.1268313</v>
      </c>
      <c r="S60" s="92">
        <f>(SUBSTITUTE(Audio!S60, "RE-", "", 1))*1</f>
        <v>0</v>
      </c>
      <c r="T60" s="92">
        <f>(SUBSTITUTE(Audio!T60, "RE-", "", 1))*1</f>
        <v>315.8461021</v>
      </c>
      <c r="U60" s="92">
        <f>(SUBSTITUTE(Audio!U60, "RE-", "", 1))*1</f>
        <v>0</v>
      </c>
      <c r="V60" s="92">
        <f>(SUBSTITUTE(Audio!V60, "RE-", "", 1))*1</f>
        <v>0</v>
      </c>
      <c r="W60" s="92">
        <f>(SUBSTITUTE(Audio!W60, "RE-", "", 1))*1</f>
        <v>0</v>
      </c>
      <c r="X60" s="92">
        <f>(SUBSTITUTE(Audio!X60, "RE-", "", 1))*1</f>
        <v>0</v>
      </c>
      <c r="Y60" s="92">
        <f>(SUBSTITUTE(Audio!Y60, "RE-", "", 1))*1</f>
        <v>0</v>
      </c>
      <c r="Z60" s="92">
        <f>(SUBSTITUTE(Audio!Z60, "RE-", "", 1))*1</f>
        <v>0</v>
      </c>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c r="CA60" s="92"/>
      <c r="CB60" s="92"/>
      <c r="CC60" s="92"/>
      <c r="CD60" s="92"/>
      <c r="CE60" s="92"/>
      <c r="CF60" s="92"/>
      <c r="CG60" s="92"/>
      <c r="CH60" s="92"/>
      <c r="CI60" s="92"/>
      <c r="CJ60" s="92"/>
      <c r="CK60" s="92"/>
      <c r="CL60" s="92"/>
      <c r="CM60" s="92"/>
      <c r="CN60" s="92"/>
      <c r="CO60" s="92"/>
      <c r="CP60" s="92"/>
      <c r="CQ60" s="92"/>
      <c r="CR60" s="92"/>
      <c r="CS60" s="92"/>
      <c r="CT60" s="92"/>
      <c r="CU60" s="92"/>
      <c r="CV60" s="92"/>
      <c r="CW60" s="92"/>
      <c r="CX60" s="92"/>
      <c r="CY60" s="92"/>
      <c r="CZ60" s="92"/>
      <c r="DA60" s="92"/>
      <c r="DB60" s="92"/>
      <c r="DC60" s="92"/>
      <c r="DD60" s="92"/>
      <c r="DE60" s="92"/>
      <c r="DF60" s="92"/>
      <c r="DG60" s="92"/>
      <c r="DH60" s="92"/>
      <c r="DI60" s="92"/>
      <c r="DJ60" s="92"/>
      <c r="DK60" s="92"/>
      <c r="DL60" s="92"/>
      <c r="DM60" s="92"/>
      <c r="DN60" s="92"/>
      <c r="DO60" s="92"/>
      <c r="DP60" s="92"/>
      <c r="DQ60" s="92"/>
      <c r="DR60" s="92"/>
      <c r="DS60" s="92"/>
      <c r="DT60" s="92"/>
      <c r="DU60" s="92"/>
      <c r="DV60" s="92"/>
      <c r="DW60" s="92"/>
      <c r="DX60" s="92"/>
      <c r="DY60" s="92"/>
      <c r="DZ60" s="92"/>
      <c r="EA60" s="92"/>
      <c r="EB60" s="92"/>
      <c r="EC60" s="92"/>
      <c r="ED60" s="92"/>
      <c r="EE60" s="92"/>
      <c r="EF60" s="92"/>
      <c r="EG60" s="92"/>
      <c r="EH60" s="92"/>
      <c r="EI60" s="92"/>
      <c r="EJ60" s="92"/>
      <c r="EK60" s="92"/>
      <c r="EL60" s="92"/>
      <c r="EM60" s="92"/>
      <c r="EN60" s="92"/>
      <c r="EO60" s="92"/>
      <c r="EP60" s="92"/>
      <c r="EQ60" s="92"/>
      <c r="ER60" s="92"/>
      <c r="ES60" s="92"/>
      <c r="ET60" s="92"/>
      <c r="EU60" s="92"/>
      <c r="EV60" s="92"/>
      <c r="EW60" s="92"/>
      <c r="EX60" s="92"/>
      <c r="EY60" s="92"/>
      <c r="EZ60" s="92"/>
      <c r="FA60" s="92"/>
      <c r="FB60" s="92"/>
      <c r="FC60" s="92"/>
      <c r="FD60" s="92"/>
      <c r="FE60" s="92"/>
      <c r="FF60" s="92"/>
      <c r="FG60" s="92"/>
      <c r="FH60" s="92"/>
    </row>
    <row r="61">
      <c r="A61" s="32" t="s">
        <v>17</v>
      </c>
      <c r="B61" s="32" t="s">
        <v>23</v>
      </c>
      <c r="C61" s="32" t="s">
        <v>10</v>
      </c>
      <c r="D61" s="97">
        <f t="shared" si="1"/>
        <v>495.1186552</v>
      </c>
      <c r="E61" s="92">
        <f>(SUBSTITUTE(Audio!E61, "RE-", "", 1))*1</f>
        <v>0</v>
      </c>
      <c r="F61" s="92">
        <f>(SUBSTITUTE(Audio!F61, "RE-", "", 1))*1</f>
        <v>0</v>
      </c>
      <c r="G61" s="92">
        <f>(SUBSTITUTE(Audio!G61, "RE-", "", 1))*1</f>
        <v>116.26895</v>
      </c>
      <c r="H61" s="92">
        <f>(SUBSTITUTE(Audio!H61, "RE-", "", 1))*1</f>
        <v>0</v>
      </c>
      <c r="I61" s="92">
        <f>(SUBSTITUTE(Audio!I61, "RE-", "", 1))*1</f>
        <v>8.495029167</v>
      </c>
      <c r="J61" s="92">
        <f>(SUBSTITUTE(Audio!J61, "RE-", "", 1))*1</f>
        <v>0</v>
      </c>
      <c r="K61" s="92">
        <f>(SUBSTITUTE(Audio!K61, "RE-", "", 1))*1</f>
        <v>77.56232917</v>
      </c>
      <c r="L61" s="92">
        <f>(SUBSTITUTE(Audio!L61, "RE-", "", 1))*1</f>
        <v>0</v>
      </c>
      <c r="M61" s="92">
        <f>(SUBSTITUTE(Audio!M61, "RE-", "", 1))*1</f>
        <v>24.68182396</v>
      </c>
      <c r="N61" s="92">
        <f>(SUBSTITUTE(Audio!N61, "RE-", "", 1))*1</f>
        <v>0</v>
      </c>
      <c r="O61" s="92">
        <f>(SUBSTITUTE(Audio!O61, "RE-", "", 1))*1</f>
        <v>193.1535604</v>
      </c>
      <c r="P61" s="92">
        <f>(SUBSTITUTE(Audio!P61, "RE-", "", 1))*1</f>
        <v>0</v>
      </c>
      <c r="Q61" s="92">
        <f>(SUBSTITUTE(Audio!Q61, "RE-", "", 1))*1</f>
        <v>25.06419792</v>
      </c>
      <c r="R61" s="92">
        <f>(SUBSTITUTE(Audio!R61, "RE-", "", 1))*1</f>
        <v>0</v>
      </c>
      <c r="S61" s="92">
        <f>(SUBSTITUTE(Audio!S61, "RE-", "", 1))*1</f>
        <v>18.1289625</v>
      </c>
      <c r="T61" s="92">
        <f>(SUBSTITUTE(Audio!T61, "RE-", "", 1))*1</f>
        <v>0</v>
      </c>
      <c r="U61" s="92">
        <f>(SUBSTITUTE(Audio!U61, "RE-", "", 1))*1</f>
        <v>26.446075</v>
      </c>
      <c r="V61" s="92">
        <f>(SUBSTITUTE(Audio!V61, "RE-", "", 1))*1</f>
        <v>5.317727083</v>
      </c>
      <c r="W61" s="92">
        <f>(SUBSTITUTE(Audio!W61, "RE-", "", 1))*1</f>
        <v>0</v>
      </c>
      <c r="X61" s="92">
        <f>(SUBSTITUTE(Audio!X61, "RE-", "", 1))*1</f>
        <v>0</v>
      </c>
      <c r="Y61" s="92">
        <f>(SUBSTITUTE(Audio!Y61, "RE-", "", 1))*1</f>
        <v>0</v>
      </c>
      <c r="Z61" s="92">
        <f>(SUBSTITUTE(Audio!Z61, "RE-", "", 1))*1</f>
        <v>0</v>
      </c>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2"/>
      <c r="CA61" s="92"/>
      <c r="CB61" s="92"/>
      <c r="CC61" s="92"/>
      <c r="CD61" s="92"/>
      <c r="CE61" s="92"/>
      <c r="CF61" s="92"/>
      <c r="CG61" s="92"/>
      <c r="CH61" s="92"/>
      <c r="CI61" s="92"/>
      <c r="CJ61" s="92"/>
      <c r="CK61" s="92"/>
      <c r="CL61" s="92"/>
      <c r="CM61" s="92"/>
      <c r="CN61" s="92"/>
      <c r="CO61" s="92"/>
      <c r="CP61" s="92"/>
      <c r="CQ61" s="92"/>
      <c r="CR61" s="92"/>
      <c r="CS61" s="92"/>
      <c r="CT61" s="92"/>
      <c r="CU61" s="92"/>
      <c r="CV61" s="92"/>
      <c r="CW61" s="92"/>
      <c r="CX61" s="92"/>
      <c r="CY61" s="92"/>
      <c r="CZ61" s="92"/>
      <c r="DA61" s="92"/>
      <c r="DB61" s="92"/>
      <c r="DC61" s="92"/>
      <c r="DD61" s="92"/>
      <c r="DE61" s="92"/>
      <c r="DF61" s="92"/>
      <c r="DG61" s="92"/>
      <c r="DH61" s="92"/>
      <c r="DI61" s="92"/>
      <c r="DJ61" s="92"/>
      <c r="DK61" s="92"/>
      <c r="DL61" s="92"/>
      <c r="DM61" s="92"/>
      <c r="DN61" s="92"/>
      <c r="DO61" s="92"/>
      <c r="DP61" s="92"/>
      <c r="DQ61" s="92"/>
      <c r="DR61" s="92"/>
      <c r="DS61" s="92"/>
      <c r="DT61" s="92"/>
      <c r="DU61" s="92"/>
      <c r="DV61" s="92"/>
      <c r="DW61" s="92"/>
      <c r="DX61" s="92"/>
      <c r="DY61" s="92"/>
      <c r="DZ61" s="92"/>
      <c r="EA61" s="92"/>
      <c r="EB61" s="92"/>
      <c r="EC61" s="92"/>
      <c r="ED61" s="92"/>
      <c r="EE61" s="92"/>
      <c r="EF61" s="92"/>
      <c r="EG61" s="92"/>
      <c r="EH61" s="92"/>
      <c r="EI61" s="92"/>
      <c r="EJ61" s="92"/>
      <c r="EK61" s="92"/>
      <c r="EL61" s="92"/>
      <c r="EM61" s="92"/>
      <c r="EN61" s="92"/>
      <c r="EO61" s="92"/>
      <c r="EP61" s="92"/>
      <c r="EQ61" s="92"/>
      <c r="ER61" s="92"/>
      <c r="ES61" s="92"/>
      <c r="ET61" s="92"/>
      <c r="EU61" s="92"/>
      <c r="EV61" s="92"/>
      <c r="EW61" s="92"/>
      <c r="EX61" s="92"/>
      <c r="EY61" s="92"/>
      <c r="EZ61" s="92"/>
      <c r="FA61" s="92"/>
      <c r="FB61" s="92"/>
      <c r="FC61" s="92"/>
      <c r="FD61" s="92"/>
      <c r="FE61" s="92"/>
      <c r="FF61" s="92"/>
      <c r="FG61" s="92"/>
      <c r="FH61" s="92"/>
    </row>
    <row r="62">
      <c r="A62" s="32" t="s">
        <v>17</v>
      </c>
      <c r="B62" s="32" t="s">
        <v>23</v>
      </c>
      <c r="C62" s="32" t="s">
        <v>11</v>
      </c>
      <c r="D62" s="97">
        <f t="shared" si="1"/>
        <v>495.1186552</v>
      </c>
      <c r="E62" s="92">
        <f>(SUBSTITUTE(Audio!E62, "RE-", "", 1))*1</f>
        <v>0</v>
      </c>
      <c r="F62" s="92">
        <f>(SUBSTITUTE(Audio!F62, "RE-", "", 1))*1</f>
        <v>0</v>
      </c>
      <c r="G62" s="92">
        <f>(SUBSTITUTE(Audio!G62, "RE-", "", 1))*1</f>
        <v>116.26895</v>
      </c>
      <c r="H62" s="92">
        <f>(SUBSTITUTE(Audio!H62, "RE-", "", 1))*1</f>
        <v>0</v>
      </c>
      <c r="I62" s="92">
        <f>(SUBSTITUTE(Audio!I62, "RE-", "", 1))*1</f>
        <v>8.495029167</v>
      </c>
      <c r="J62" s="92">
        <f>(SUBSTITUTE(Audio!J62, "RE-", "", 1))*1</f>
        <v>0</v>
      </c>
      <c r="K62" s="92">
        <f>(SUBSTITUTE(Audio!K62, "RE-", "", 1))*1</f>
        <v>77.56232917</v>
      </c>
      <c r="L62" s="92">
        <f>(SUBSTITUTE(Audio!L62, "RE-", "", 1))*1</f>
        <v>0</v>
      </c>
      <c r="M62" s="92">
        <f>(SUBSTITUTE(Audio!M62, "RE-", "", 1))*1</f>
        <v>24.68182396</v>
      </c>
      <c r="N62" s="92">
        <f>(SUBSTITUTE(Audio!N62, "RE-", "", 1))*1</f>
        <v>0</v>
      </c>
      <c r="O62" s="92">
        <f>(SUBSTITUTE(Audio!O62, "RE-", "", 1))*1</f>
        <v>193.1535604</v>
      </c>
      <c r="P62" s="92">
        <f>(SUBSTITUTE(Audio!P62, "RE-", "", 1))*1</f>
        <v>0</v>
      </c>
      <c r="Q62" s="92">
        <f>(SUBSTITUTE(Audio!Q62, "RE-", "", 1))*1</f>
        <v>25.06419792</v>
      </c>
      <c r="R62" s="92">
        <f>(SUBSTITUTE(Audio!R62, "RE-", "", 1))*1</f>
        <v>0</v>
      </c>
      <c r="S62" s="92">
        <f>(SUBSTITUTE(Audio!S62, "RE-", "", 1))*1</f>
        <v>18.1289625</v>
      </c>
      <c r="T62" s="92">
        <f>(SUBSTITUTE(Audio!T62, "RE-", "", 1))*1</f>
        <v>0</v>
      </c>
      <c r="U62" s="92">
        <f>(SUBSTITUTE(Audio!U62, "RE-", "", 1))*1</f>
        <v>26.446075</v>
      </c>
      <c r="V62" s="92">
        <f>(SUBSTITUTE(Audio!V62, "RE-", "", 1))*1</f>
        <v>5.317727083</v>
      </c>
      <c r="W62" s="92">
        <f>(SUBSTITUTE(Audio!W62, "RE-", "", 1))*1</f>
        <v>0</v>
      </c>
      <c r="X62" s="92">
        <f>(SUBSTITUTE(Audio!X62, "RE-", "", 1))*1</f>
        <v>0</v>
      </c>
      <c r="Y62" s="92">
        <f>(SUBSTITUTE(Audio!Y62, "RE-", "", 1))*1</f>
        <v>0</v>
      </c>
      <c r="Z62" s="92">
        <f>(SUBSTITUTE(Audio!Z62, "RE-", "", 1))*1</f>
        <v>0</v>
      </c>
      <c r="AA62" s="92"/>
      <c r="AB62" s="92"/>
      <c r="AC62" s="92"/>
      <c r="AD62" s="92"/>
      <c r="AE62" s="92"/>
      <c r="AF62" s="92"/>
      <c r="AG62" s="92"/>
      <c r="AH62" s="92"/>
      <c r="AI62" s="92"/>
      <c r="AJ62" s="92"/>
      <c r="AK62" s="92"/>
      <c r="AL62" s="92"/>
      <c r="AM62" s="92"/>
      <c r="AN62" s="92"/>
      <c r="AO62" s="92"/>
      <c r="AP62" s="92"/>
      <c r="AQ62" s="92"/>
      <c r="AR62" s="92"/>
      <c r="AS62" s="92"/>
      <c r="AT62" s="92"/>
      <c r="AU62" s="92"/>
      <c r="AV62" s="92"/>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c r="CA62" s="92"/>
      <c r="CB62" s="92"/>
      <c r="CC62" s="92"/>
      <c r="CD62" s="92"/>
      <c r="CE62" s="92"/>
      <c r="CF62" s="92"/>
      <c r="CG62" s="92"/>
      <c r="CH62" s="92"/>
      <c r="CI62" s="92"/>
      <c r="CJ62" s="92"/>
      <c r="CK62" s="92"/>
      <c r="CL62" s="92"/>
      <c r="CM62" s="92"/>
      <c r="CN62" s="92"/>
      <c r="CO62" s="92"/>
      <c r="CP62" s="92"/>
      <c r="CQ62" s="92"/>
      <c r="CR62" s="92"/>
      <c r="CS62" s="92"/>
      <c r="CT62" s="92"/>
      <c r="CU62" s="92"/>
      <c r="CV62" s="92"/>
      <c r="CW62" s="92"/>
      <c r="CX62" s="92"/>
      <c r="CY62" s="92"/>
      <c r="CZ62" s="92"/>
      <c r="DA62" s="92"/>
      <c r="DB62" s="92"/>
      <c r="DC62" s="92"/>
      <c r="DD62" s="92"/>
      <c r="DE62" s="92"/>
      <c r="DF62" s="92"/>
      <c r="DG62" s="92"/>
      <c r="DH62" s="92"/>
      <c r="DI62" s="92"/>
      <c r="DJ62" s="92"/>
      <c r="DK62" s="92"/>
      <c r="DL62" s="92"/>
      <c r="DM62" s="92"/>
      <c r="DN62" s="92"/>
      <c r="DO62" s="92"/>
      <c r="DP62" s="92"/>
      <c r="DQ62" s="92"/>
      <c r="DR62" s="92"/>
      <c r="DS62" s="92"/>
      <c r="DT62" s="92"/>
      <c r="DU62" s="92"/>
      <c r="DV62" s="92"/>
      <c r="DW62" s="92"/>
      <c r="DX62" s="92"/>
      <c r="DY62" s="92"/>
      <c r="DZ62" s="92"/>
      <c r="EA62" s="92"/>
      <c r="EB62" s="92"/>
      <c r="EC62" s="92"/>
      <c r="ED62" s="92"/>
      <c r="EE62" s="92"/>
      <c r="EF62" s="92"/>
      <c r="EG62" s="92"/>
      <c r="EH62" s="92"/>
      <c r="EI62" s="92"/>
      <c r="EJ62" s="92"/>
      <c r="EK62" s="92"/>
      <c r="EL62" s="92"/>
      <c r="EM62" s="92"/>
      <c r="EN62" s="92"/>
      <c r="EO62" s="92"/>
      <c r="EP62" s="92"/>
      <c r="EQ62" s="92"/>
      <c r="ER62" s="92"/>
      <c r="ES62" s="92"/>
      <c r="ET62" s="92"/>
      <c r="EU62" s="92"/>
      <c r="EV62" s="92"/>
      <c r="EW62" s="92"/>
      <c r="EX62" s="92"/>
      <c r="EY62" s="92"/>
      <c r="EZ62" s="92"/>
      <c r="FA62" s="92"/>
      <c r="FB62" s="92"/>
      <c r="FC62" s="92"/>
      <c r="FD62" s="92"/>
      <c r="FE62" s="92"/>
      <c r="FF62" s="92"/>
      <c r="FG62" s="92"/>
      <c r="FH62" s="92"/>
    </row>
    <row r="63">
      <c r="A63" s="32" t="s">
        <v>17</v>
      </c>
      <c r="B63" s="32" t="s">
        <v>23</v>
      </c>
      <c r="C63" s="32" t="s">
        <v>12</v>
      </c>
      <c r="D63" s="97">
        <f t="shared" si="1"/>
        <v>5011.750582</v>
      </c>
      <c r="E63" s="92">
        <f>(SUBSTITUTE(Audio!E63, "RE-", "", 1))*1</f>
        <v>0</v>
      </c>
      <c r="F63" s="92">
        <f>(SUBSTITUTE(Audio!F63, "RE-", "", 1))*1</f>
        <v>677.3994208</v>
      </c>
      <c r="G63" s="92">
        <f>(SUBSTITUTE(Audio!G63, "RE-", "", 1))*1</f>
        <v>3.228597917</v>
      </c>
      <c r="H63" s="92">
        <f>(SUBSTITUTE(Audio!H63, "RE-", "", 1))*1</f>
        <v>125.1302646</v>
      </c>
      <c r="I63" s="92">
        <f>(SUBSTITUTE(Audio!I63, "RE-", "", 1))*1</f>
        <v>0.5408875</v>
      </c>
      <c r="J63" s="92">
        <f>(SUBSTITUTE(Audio!J63, "RE-", "", 1))*1</f>
        <v>1000.240433</v>
      </c>
      <c r="K63" s="92">
        <f>(SUBSTITUTE(Audio!K63, "RE-", "", 1))*1</f>
        <v>1.95960625</v>
      </c>
      <c r="L63" s="92">
        <f>(SUBSTITUTE(Audio!L63, "RE-", "", 1))*1</f>
        <v>673.0344854</v>
      </c>
      <c r="M63" s="92">
        <f>(SUBSTITUTE(Audio!M63, "RE-", "", 1))*1</f>
        <v>6.804513542</v>
      </c>
      <c r="N63" s="92">
        <f>(SUBSTITUTE(Audio!N63, "RE-", "", 1))*1</f>
        <v>1488.487252</v>
      </c>
      <c r="O63" s="92">
        <f>(SUBSTITUTE(Audio!O63, "RE-", "", 1))*1</f>
        <v>8.046672917</v>
      </c>
      <c r="P63" s="92">
        <f>(SUBSTITUTE(Audio!P63, "RE-", "", 1))*1</f>
        <v>281.640525</v>
      </c>
      <c r="Q63" s="92">
        <f>(SUBSTITUTE(Audio!Q63, "RE-", "", 1))*1</f>
        <v>9.67341875</v>
      </c>
      <c r="R63" s="92">
        <f>(SUBSTITUTE(Audio!R63, "RE-", "", 1))*1</f>
        <v>411.5222083</v>
      </c>
      <c r="S63" s="92">
        <f>(SUBSTITUTE(Audio!S63, "RE-", "", 1))*1</f>
        <v>8.852858333</v>
      </c>
      <c r="T63" s="92">
        <f>(SUBSTITUTE(Audio!T63, "RE-", "", 1))*1</f>
        <v>296.8640979</v>
      </c>
      <c r="U63" s="92">
        <f>(SUBSTITUTE(Audio!U63, "RE-", "", 1))*1</f>
        <v>13.5148</v>
      </c>
      <c r="V63" s="92">
        <f>(SUBSTITUTE(Audio!V63, "RE-", "", 1))*1</f>
        <v>4.810539583</v>
      </c>
      <c r="W63" s="92">
        <f>(SUBSTITUTE(Audio!W63, "RE-", "", 1))*1</f>
        <v>0</v>
      </c>
      <c r="X63" s="92">
        <f>(SUBSTITUTE(Audio!X63, "RE-", "", 1))*1</f>
        <v>0</v>
      </c>
      <c r="Y63" s="92">
        <f>(SUBSTITUTE(Audio!Y63, "RE-", "", 1))*1</f>
        <v>0</v>
      </c>
      <c r="Z63" s="92">
        <f>(SUBSTITUTE(Audio!Z63, "RE-", "", 1))*1</f>
        <v>0</v>
      </c>
      <c r="AA63" s="92"/>
      <c r="AB63" s="92"/>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2"/>
      <c r="CA63" s="92"/>
      <c r="CB63" s="92"/>
      <c r="CC63" s="92"/>
      <c r="CD63" s="92"/>
      <c r="CE63" s="92"/>
      <c r="CF63" s="92"/>
      <c r="CG63" s="92"/>
      <c r="CH63" s="92"/>
      <c r="CI63" s="92"/>
      <c r="CJ63" s="92"/>
      <c r="CK63" s="92"/>
      <c r="CL63" s="92"/>
      <c r="CM63" s="92"/>
      <c r="CN63" s="92"/>
      <c r="CO63" s="92"/>
      <c r="CP63" s="92"/>
      <c r="CQ63" s="92"/>
      <c r="CR63" s="92"/>
      <c r="CS63" s="92"/>
      <c r="CT63" s="92"/>
      <c r="CU63" s="92"/>
      <c r="CV63" s="92"/>
      <c r="CW63" s="92"/>
      <c r="CX63" s="92"/>
      <c r="CY63" s="92"/>
      <c r="CZ63" s="92"/>
      <c r="DA63" s="92"/>
      <c r="DB63" s="92"/>
      <c r="DC63" s="92"/>
      <c r="DD63" s="92"/>
      <c r="DE63" s="92"/>
      <c r="DF63" s="92"/>
      <c r="DG63" s="92"/>
      <c r="DH63" s="92"/>
      <c r="DI63" s="92"/>
      <c r="DJ63" s="92"/>
      <c r="DK63" s="92"/>
      <c r="DL63" s="92"/>
      <c r="DM63" s="92"/>
      <c r="DN63" s="92"/>
      <c r="DO63" s="92"/>
      <c r="DP63" s="92"/>
      <c r="DQ63" s="92"/>
      <c r="DR63" s="92"/>
      <c r="DS63" s="92"/>
      <c r="DT63" s="92"/>
      <c r="DU63" s="92"/>
      <c r="DV63" s="92"/>
      <c r="DW63" s="92"/>
      <c r="DX63" s="92"/>
      <c r="DY63" s="92"/>
      <c r="DZ63" s="92"/>
      <c r="EA63" s="92"/>
      <c r="EB63" s="92"/>
      <c r="EC63" s="92"/>
      <c r="ED63" s="92"/>
      <c r="EE63" s="92"/>
      <c r="EF63" s="92"/>
      <c r="EG63" s="92"/>
      <c r="EH63" s="92"/>
      <c r="EI63" s="92"/>
      <c r="EJ63" s="92"/>
      <c r="EK63" s="92"/>
      <c r="EL63" s="92"/>
      <c r="EM63" s="92"/>
      <c r="EN63" s="92"/>
      <c r="EO63" s="92"/>
      <c r="EP63" s="92"/>
      <c r="EQ63" s="92"/>
      <c r="ER63" s="92"/>
      <c r="ES63" s="92"/>
      <c r="ET63" s="92"/>
      <c r="EU63" s="92"/>
      <c r="EV63" s="92"/>
      <c r="EW63" s="92"/>
      <c r="EX63" s="92"/>
      <c r="EY63" s="92"/>
      <c r="EZ63" s="92"/>
      <c r="FA63" s="92"/>
      <c r="FB63" s="92"/>
      <c r="FC63" s="92"/>
      <c r="FD63" s="92"/>
      <c r="FE63" s="92"/>
      <c r="FF63" s="92"/>
      <c r="FG63" s="92"/>
      <c r="FH63" s="92"/>
    </row>
    <row r="64">
      <c r="A64" s="32" t="s">
        <v>17</v>
      </c>
      <c r="B64" s="32" t="s">
        <v>23</v>
      </c>
      <c r="C64" s="32" t="s">
        <v>13</v>
      </c>
      <c r="D64" s="97">
        <f t="shared" si="1"/>
        <v>4858.026217</v>
      </c>
      <c r="E64" s="92">
        <f>(SUBSTITUTE(Audio!E64, "RE-", "", 1))*1</f>
        <v>0</v>
      </c>
      <c r="F64" s="92">
        <f>(SUBSTITUTE(Audio!F64, "RE-", "", 1))*1</f>
        <v>646.344</v>
      </c>
      <c r="G64" s="92">
        <f>(SUBSTITUTE(Audio!G64, "RE-", "", 1))*1</f>
        <v>3.01177</v>
      </c>
      <c r="H64" s="92">
        <f>(SUBSTITUTE(Audio!H64, "RE-", "", 1))*1</f>
        <v>118.907</v>
      </c>
      <c r="I64" s="92">
        <f>(SUBSTITUTE(Audio!I64, "RE-", "", 1))*1</f>
        <v>0.518217</v>
      </c>
      <c r="J64" s="92">
        <f>(SUBSTITUTE(Audio!J64, "RE-", "", 1))*1</f>
        <v>992.407</v>
      </c>
      <c r="K64" s="92">
        <f>(SUBSTITUTE(Audio!K64, "RE-", "", 1))*1</f>
        <v>1.89012</v>
      </c>
      <c r="L64" s="92">
        <f>(SUBSTITUTE(Audio!L64, "RE-", "", 1))*1</f>
        <v>649.337</v>
      </c>
      <c r="M64" s="92">
        <f>(SUBSTITUTE(Audio!M64, "RE-", "", 1))*1</f>
        <v>5.87423</v>
      </c>
      <c r="N64" s="92">
        <f>(SUBSTITUTE(Audio!N64, "RE-", "", 1))*1</f>
        <v>1439.99</v>
      </c>
      <c r="O64" s="92">
        <f>(SUBSTITUTE(Audio!O64, "RE-", "", 1))*1</f>
        <v>7.77435</v>
      </c>
      <c r="P64" s="92">
        <f>(SUBSTITUTE(Audio!P64, "RE-", "", 1))*1</f>
        <v>272.611</v>
      </c>
      <c r="Q64" s="92">
        <f>(SUBSTITUTE(Audio!Q64, "RE-", "", 1))*1</f>
        <v>9.30658</v>
      </c>
      <c r="R64" s="92">
        <f>(SUBSTITUTE(Audio!R64, "RE-", "", 1))*1</f>
        <v>396.643</v>
      </c>
      <c r="S64" s="92">
        <f>(SUBSTITUTE(Audio!S64, "RE-", "", 1))*1</f>
        <v>8.4999</v>
      </c>
      <c r="T64" s="92">
        <f>(SUBSTITUTE(Audio!T64, "RE-", "", 1))*1</f>
        <v>287.824</v>
      </c>
      <c r="U64" s="92">
        <f>(SUBSTITUTE(Audio!U64, "RE-", "", 1))*1</f>
        <v>12.594</v>
      </c>
      <c r="V64" s="92">
        <f>(SUBSTITUTE(Audio!V64, "RE-", "", 1))*1</f>
        <v>4.49405</v>
      </c>
      <c r="W64" s="92">
        <f>(SUBSTITUTE(Audio!W64, "RE-", "", 1))*1</f>
        <v>0</v>
      </c>
      <c r="X64" s="92">
        <f>(SUBSTITUTE(Audio!X64, "RE-", "", 1))*1</f>
        <v>0</v>
      </c>
      <c r="Y64" s="92">
        <f>(SUBSTITUTE(Audio!Y64, "RE-", "", 1))*1</f>
        <v>0</v>
      </c>
      <c r="Z64" s="92">
        <f>(SUBSTITUTE(Audio!Z64, "RE-", "", 1))*1</f>
        <v>0</v>
      </c>
      <c r="AA64" s="92"/>
      <c r="AB64" s="92"/>
      <c r="AC64" s="92"/>
      <c r="AD64" s="92"/>
      <c r="AE64" s="92"/>
      <c r="AF64" s="92"/>
      <c r="AG64" s="92"/>
      <c r="AH64" s="92"/>
      <c r="AI64" s="92"/>
      <c r="AJ64" s="92"/>
      <c r="AK64" s="92"/>
      <c r="AL64" s="92"/>
      <c r="AM64" s="92"/>
      <c r="AN64" s="92"/>
      <c r="AO64" s="92"/>
      <c r="AP64" s="92"/>
      <c r="AQ64" s="92"/>
      <c r="AR64" s="92"/>
      <c r="AS64" s="92"/>
      <c r="AT64" s="92"/>
      <c r="AU64" s="92"/>
      <c r="AV64" s="92"/>
      <c r="AW64" s="92"/>
      <c r="AX64" s="92"/>
      <c r="AY64" s="92"/>
      <c r="AZ64" s="92"/>
      <c r="BA64" s="92"/>
      <c r="BB64" s="92"/>
      <c r="BC64" s="92"/>
      <c r="BD64" s="92"/>
      <c r="BE64" s="92"/>
      <c r="BF64" s="92"/>
      <c r="BG64" s="92"/>
      <c r="BH64" s="92"/>
      <c r="BI64" s="92"/>
      <c r="BJ64" s="92"/>
      <c r="BK64" s="92"/>
      <c r="BL64" s="92"/>
      <c r="BM64" s="92"/>
      <c r="BN64" s="92"/>
      <c r="BO64" s="92"/>
      <c r="BP64" s="92"/>
      <c r="BQ64" s="92"/>
      <c r="BR64" s="92"/>
      <c r="BS64" s="92"/>
      <c r="BT64" s="92"/>
      <c r="BU64" s="92"/>
      <c r="BV64" s="92"/>
      <c r="BW64" s="92"/>
      <c r="BX64" s="92"/>
      <c r="BY64" s="92"/>
      <c r="BZ64" s="92"/>
      <c r="CA64" s="92"/>
      <c r="CB64" s="92"/>
      <c r="CC64" s="92"/>
      <c r="CD64" s="92"/>
      <c r="CE64" s="92"/>
      <c r="CF64" s="92"/>
      <c r="CG64" s="92"/>
      <c r="CH64" s="92"/>
      <c r="CI64" s="92"/>
      <c r="CJ64" s="92"/>
      <c r="CK64" s="92"/>
      <c r="CL64" s="92"/>
      <c r="CM64" s="92"/>
      <c r="CN64" s="92"/>
      <c r="CO64" s="92"/>
      <c r="CP64" s="92"/>
      <c r="CQ64" s="92"/>
      <c r="CR64" s="92"/>
      <c r="CS64" s="92"/>
      <c r="CT64" s="92"/>
      <c r="CU64" s="92"/>
      <c r="CV64" s="92"/>
      <c r="CW64" s="92"/>
      <c r="CX64" s="92"/>
      <c r="CY64" s="92"/>
      <c r="CZ64" s="92"/>
      <c r="DA64" s="92"/>
      <c r="DB64" s="92"/>
      <c r="DC64" s="92"/>
      <c r="DD64" s="92"/>
      <c r="DE64" s="92"/>
      <c r="DF64" s="92"/>
      <c r="DG64" s="92"/>
      <c r="DH64" s="92"/>
      <c r="DI64" s="92"/>
      <c r="DJ64" s="92"/>
      <c r="DK64" s="92"/>
      <c r="DL64" s="92"/>
      <c r="DM64" s="92"/>
      <c r="DN64" s="92"/>
      <c r="DO64" s="92"/>
      <c r="DP64" s="92"/>
      <c r="DQ64" s="92"/>
      <c r="DR64" s="92"/>
      <c r="DS64" s="92"/>
      <c r="DT64" s="92"/>
      <c r="DU64" s="92"/>
      <c r="DV64" s="92"/>
      <c r="DW64" s="92"/>
      <c r="DX64" s="92"/>
      <c r="DY64" s="92"/>
      <c r="DZ64" s="92"/>
      <c r="EA64" s="92"/>
      <c r="EB64" s="92"/>
      <c r="EC64" s="92"/>
      <c r="ED64" s="92"/>
      <c r="EE64" s="92"/>
      <c r="EF64" s="92"/>
      <c r="EG64" s="92"/>
      <c r="EH64" s="92"/>
      <c r="EI64" s="92"/>
      <c r="EJ64" s="92"/>
      <c r="EK64" s="92"/>
      <c r="EL64" s="92"/>
      <c r="EM64" s="92"/>
      <c r="EN64" s="92"/>
      <c r="EO64" s="92"/>
      <c r="EP64" s="92"/>
      <c r="EQ64" s="92"/>
      <c r="ER64" s="92"/>
      <c r="ES64" s="92"/>
      <c r="ET64" s="92"/>
      <c r="EU64" s="92"/>
      <c r="EV64" s="92"/>
      <c r="EW64" s="92"/>
      <c r="EX64" s="92"/>
      <c r="EY64" s="92"/>
      <c r="EZ64" s="92"/>
      <c r="FA64" s="92"/>
      <c r="FB64" s="92"/>
      <c r="FC64" s="92"/>
      <c r="FD64" s="92"/>
      <c r="FE64" s="92"/>
      <c r="FF64" s="92"/>
      <c r="FG64" s="92"/>
      <c r="FH64" s="92"/>
    </row>
    <row r="65">
      <c r="A65" s="32" t="s">
        <v>17</v>
      </c>
      <c r="B65" s="32" t="s">
        <v>23</v>
      </c>
      <c r="C65" s="32" t="s">
        <v>14</v>
      </c>
      <c r="D65" s="97">
        <f t="shared" si="1"/>
        <v>4253.010447</v>
      </c>
      <c r="E65" s="92">
        <f>(SUBSTITUTE(Audio!E65, "RE-", "", 1))*1</f>
        <v>0</v>
      </c>
      <c r="F65" s="92">
        <f>(SUBSTITUTE(Audio!F65, "RE-", "", 1))*1</f>
        <v>582.455</v>
      </c>
      <c r="G65" s="92">
        <f>(SUBSTITUTE(Audio!G65, "RE-", "", 1))*1</f>
        <v>2.46788</v>
      </c>
      <c r="H65" s="92">
        <f>(SUBSTITUTE(Audio!H65, "RE-", "", 1))*1</f>
        <v>102.561</v>
      </c>
      <c r="I65" s="92">
        <f>(SUBSTITUTE(Audio!I65, "RE-", "", 1))*1</f>
        <v>0.518217</v>
      </c>
      <c r="J65" s="92">
        <f>(SUBSTITUTE(Audio!J65, "RE-", "", 1))*1</f>
        <v>891.615</v>
      </c>
      <c r="K65" s="92">
        <f>(SUBSTITUTE(Audio!K65, "RE-", "", 1))*1</f>
        <v>1.26928</v>
      </c>
      <c r="L65" s="92">
        <f>(SUBSTITUTE(Audio!L65, "RE-", "", 1))*1</f>
        <v>563.409</v>
      </c>
      <c r="M65" s="92">
        <f>(SUBSTITUTE(Audio!M65, "RE-", "", 1))*1</f>
        <v>5.19558</v>
      </c>
      <c r="N65" s="92">
        <f>(SUBSTITUTE(Audio!N65, "RE-", "", 1))*1</f>
        <v>1262.84</v>
      </c>
      <c r="O65" s="92">
        <f>(SUBSTITUTE(Audio!O65, "RE-", "", 1))*1</f>
        <v>6.69785</v>
      </c>
      <c r="P65" s="92">
        <f>(SUBSTITUTE(Audio!P65, "RE-", "", 1))*1</f>
        <v>226.824</v>
      </c>
      <c r="Q65" s="92">
        <f>(SUBSTITUTE(Audio!Q65, "RE-", "", 1))*1</f>
        <v>8.74797</v>
      </c>
      <c r="R65" s="92">
        <f>(SUBSTITUTE(Audio!R65, "RE-", "", 1))*1</f>
        <v>337.238</v>
      </c>
      <c r="S65" s="92">
        <f>(SUBSTITUTE(Audio!S65, "RE-", "", 1))*1</f>
        <v>8.07977</v>
      </c>
      <c r="T65" s="92">
        <f>(SUBSTITUTE(Audio!T65, "RE-", "", 1))*1</f>
        <v>237.686</v>
      </c>
      <c r="U65" s="92">
        <f>(SUBSTITUTE(Audio!U65, "RE-", "", 1))*1</f>
        <v>11.3391</v>
      </c>
      <c r="V65" s="92">
        <f>(SUBSTITUTE(Audio!V65, "RE-", "", 1))*1</f>
        <v>4.0668</v>
      </c>
      <c r="W65" s="92">
        <f>(SUBSTITUTE(Audio!W65, "RE-", "", 1))*1</f>
        <v>0</v>
      </c>
      <c r="X65" s="92">
        <f>(SUBSTITUTE(Audio!X65, "RE-", "", 1))*1</f>
        <v>0</v>
      </c>
      <c r="Y65" s="92">
        <f>(SUBSTITUTE(Audio!Y65, "RE-", "", 1))*1</f>
        <v>0</v>
      </c>
      <c r="Z65" s="92">
        <f>(SUBSTITUTE(Audio!Z65, "RE-", "", 1))*1</f>
        <v>0</v>
      </c>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2"/>
      <c r="AY65" s="92"/>
      <c r="AZ65" s="92"/>
      <c r="BA65" s="92"/>
      <c r="BB65" s="92"/>
      <c r="BC65" s="92"/>
      <c r="BD65" s="92"/>
      <c r="BE65" s="92"/>
      <c r="BF65" s="92"/>
      <c r="BG65" s="92"/>
      <c r="BH65" s="92"/>
      <c r="BI65" s="92"/>
      <c r="BJ65" s="92"/>
      <c r="BK65" s="92"/>
      <c r="BL65" s="92"/>
      <c r="BM65" s="92"/>
      <c r="BN65" s="92"/>
      <c r="BO65" s="92"/>
      <c r="BP65" s="92"/>
      <c r="BQ65" s="92"/>
      <c r="BR65" s="92"/>
      <c r="BS65" s="92"/>
      <c r="BT65" s="92"/>
      <c r="BU65" s="92"/>
      <c r="BV65" s="92"/>
      <c r="BW65" s="92"/>
      <c r="BX65" s="92"/>
      <c r="BY65" s="92"/>
      <c r="BZ65" s="92"/>
      <c r="CA65" s="92"/>
      <c r="CB65" s="92"/>
      <c r="CC65" s="92"/>
      <c r="CD65" s="92"/>
      <c r="CE65" s="92"/>
      <c r="CF65" s="92"/>
      <c r="CG65" s="92"/>
      <c r="CH65" s="92"/>
      <c r="CI65" s="92"/>
      <c r="CJ65" s="92"/>
      <c r="CK65" s="92"/>
      <c r="CL65" s="92"/>
      <c r="CM65" s="92"/>
      <c r="CN65" s="92"/>
      <c r="CO65" s="92"/>
      <c r="CP65" s="92"/>
      <c r="CQ65" s="92"/>
      <c r="CR65" s="92"/>
      <c r="CS65" s="92"/>
      <c r="CT65" s="92"/>
      <c r="CU65" s="92"/>
      <c r="CV65" s="92"/>
      <c r="CW65" s="92"/>
      <c r="CX65" s="92"/>
      <c r="CY65" s="92"/>
      <c r="CZ65" s="92"/>
      <c r="DA65" s="92"/>
      <c r="DB65" s="92"/>
      <c r="DC65" s="92"/>
      <c r="DD65" s="92"/>
      <c r="DE65" s="92"/>
      <c r="DF65" s="92"/>
      <c r="DG65" s="92"/>
      <c r="DH65" s="92"/>
      <c r="DI65" s="92"/>
      <c r="DJ65" s="92"/>
      <c r="DK65" s="92"/>
      <c r="DL65" s="92"/>
      <c r="DM65" s="92"/>
      <c r="DN65" s="92"/>
      <c r="DO65" s="92"/>
      <c r="DP65" s="92"/>
      <c r="DQ65" s="92"/>
      <c r="DR65" s="92"/>
      <c r="DS65" s="92"/>
      <c r="DT65" s="92"/>
      <c r="DU65" s="92"/>
      <c r="DV65" s="92"/>
      <c r="DW65" s="92"/>
      <c r="DX65" s="92"/>
      <c r="DY65" s="92"/>
      <c r="DZ65" s="92"/>
      <c r="EA65" s="92"/>
      <c r="EB65" s="92"/>
      <c r="EC65" s="92"/>
      <c r="ED65" s="92"/>
      <c r="EE65" s="92"/>
      <c r="EF65" s="92"/>
      <c r="EG65" s="92"/>
      <c r="EH65" s="92"/>
      <c r="EI65" s="92"/>
      <c r="EJ65" s="92"/>
      <c r="EK65" s="92"/>
      <c r="EL65" s="92"/>
      <c r="EM65" s="92"/>
      <c r="EN65" s="92"/>
      <c r="EO65" s="92"/>
      <c r="EP65" s="92"/>
      <c r="EQ65" s="92"/>
      <c r="ER65" s="92"/>
      <c r="ES65" s="92"/>
      <c r="ET65" s="92"/>
      <c r="EU65" s="92"/>
      <c r="EV65" s="92"/>
      <c r="EW65" s="92"/>
      <c r="EX65" s="92"/>
      <c r="EY65" s="92"/>
      <c r="EZ65" s="92"/>
      <c r="FA65" s="92"/>
      <c r="FB65" s="92"/>
      <c r="FC65" s="92"/>
      <c r="FD65" s="92"/>
      <c r="FE65" s="92"/>
      <c r="FF65" s="92"/>
      <c r="FG65" s="92"/>
      <c r="FH65" s="92"/>
    </row>
    <row r="66">
      <c r="A66" s="27" t="s">
        <v>17</v>
      </c>
      <c r="B66" s="27" t="s">
        <v>23</v>
      </c>
      <c r="C66" s="27" t="s">
        <v>15</v>
      </c>
      <c r="D66" s="98">
        <f t="shared" si="1"/>
        <v>4857.578827</v>
      </c>
      <c r="E66" s="92">
        <f>(SUBSTITUTE(Audio!E66, "RE-", "", 1))*1</f>
        <v>0</v>
      </c>
      <c r="F66" s="92">
        <f>(SUBSTITUTE(Audio!F66, "RE-", "", 1))*1</f>
        <v>646.344</v>
      </c>
      <c r="G66" s="92">
        <f>(SUBSTITUTE(Audio!G66, "RE-", "", 1))*1</f>
        <v>3.01177</v>
      </c>
      <c r="H66" s="92">
        <f>(SUBSTITUTE(Audio!H66, "RE-", "", 1))*1</f>
        <v>118.907</v>
      </c>
      <c r="I66" s="92">
        <f>(SUBSTITUTE(Audio!I66, "RE-", "", 1))*1</f>
        <v>0.518217</v>
      </c>
      <c r="J66" s="92">
        <f>(SUBSTITUTE(Audio!J66, "RE-", "", 1))*1</f>
        <v>992.407</v>
      </c>
      <c r="K66" s="92">
        <f>(SUBSTITUTE(Audio!K66, "RE-", "", 1))*1</f>
        <v>1.71758</v>
      </c>
      <c r="L66" s="92">
        <f>(SUBSTITUTE(Audio!L66, "RE-", "", 1))*1</f>
        <v>649.337</v>
      </c>
      <c r="M66" s="92">
        <f>(SUBSTITUTE(Audio!M66, "RE-", "", 1))*1</f>
        <v>5.87423</v>
      </c>
      <c r="N66" s="92">
        <f>(SUBSTITUTE(Audio!N66, "RE-", "", 1))*1</f>
        <v>1439.99</v>
      </c>
      <c r="O66" s="92">
        <f>(SUBSTITUTE(Audio!O66, "RE-", "", 1))*1</f>
        <v>7.77435</v>
      </c>
      <c r="P66" s="92">
        <f>(SUBSTITUTE(Audio!P66, "RE-", "", 1))*1</f>
        <v>272.611</v>
      </c>
      <c r="Q66" s="92">
        <f>(SUBSTITUTE(Audio!Q66, "RE-", "", 1))*1</f>
        <v>9.21573</v>
      </c>
      <c r="R66" s="92">
        <f>(SUBSTITUTE(Audio!R66, "RE-", "", 1))*1</f>
        <v>396.643</v>
      </c>
      <c r="S66" s="92">
        <f>(SUBSTITUTE(Audio!S66, "RE-", "", 1))*1</f>
        <v>8.4999</v>
      </c>
      <c r="T66" s="92">
        <f>(SUBSTITUTE(Audio!T66, "RE-", "", 1))*1</f>
        <v>287.64</v>
      </c>
      <c r="U66" s="92">
        <f>(SUBSTITUTE(Audio!U66, "RE-", "", 1))*1</f>
        <v>12.594</v>
      </c>
      <c r="V66" s="92">
        <f>(SUBSTITUTE(Audio!V66, "RE-", "", 1))*1</f>
        <v>4.49405</v>
      </c>
      <c r="W66" s="92">
        <f>(SUBSTITUTE(Audio!W66, "RE-", "", 1))*1</f>
        <v>0</v>
      </c>
      <c r="X66" s="92">
        <f>(SUBSTITUTE(Audio!X66, "RE-", "", 1))*1</f>
        <v>0</v>
      </c>
      <c r="Y66" s="92">
        <f>(SUBSTITUTE(Audio!Y66, "RE-", "", 1))*1</f>
        <v>0</v>
      </c>
      <c r="Z66" s="92">
        <f>(SUBSTITUTE(Audio!Z66, "RE-", "", 1))*1</f>
        <v>0</v>
      </c>
      <c r="AA66" s="92"/>
      <c r="AB66" s="92"/>
      <c r="AC66" s="92"/>
      <c r="AD66" s="92"/>
      <c r="AE66" s="92"/>
      <c r="AF66" s="92"/>
      <c r="AG66" s="92"/>
      <c r="AH66" s="92"/>
      <c r="AI66" s="92"/>
      <c r="AJ66" s="92"/>
      <c r="AK66" s="92"/>
      <c r="AL66" s="92"/>
      <c r="AM66" s="92"/>
      <c r="AN66" s="92"/>
      <c r="AO66" s="92"/>
      <c r="AP66" s="92"/>
      <c r="AQ66" s="92"/>
      <c r="AR66" s="92"/>
      <c r="AS66" s="92"/>
      <c r="AT66" s="92"/>
      <c r="AU66" s="92"/>
      <c r="AV66" s="92"/>
      <c r="AW66" s="92"/>
      <c r="AX66" s="92"/>
      <c r="AY66" s="92"/>
      <c r="AZ66" s="92"/>
      <c r="BA66" s="92"/>
      <c r="BB66" s="92"/>
      <c r="BC66" s="92"/>
      <c r="BD66" s="92"/>
      <c r="BE66" s="92"/>
      <c r="BF66" s="92"/>
      <c r="BG66" s="92"/>
      <c r="BH66" s="92"/>
      <c r="BI66" s="92"/>
      <c r="BJ66" s="92"/>
      <c r="BK66" s="92"/>
      <c r="BL66" s="92"/>
      <c r="BM66" s="92"/>
      <c r="BN66" s="92"/>
      <c r="BO66" s="92"/>
      <c r="BP66" s="92"/>
      <c r="BQ66" s="92"/>
      <c r="BR66" s="92"/>
      <c r="BS66" s="92"/>
      <c r="BT66" s="92"/>
      <c r="BU66" s="92"/>
      <c r="BV66" s="92"/>
      <c r="BW66" s="92"/>
      <c r="BX66" s="92"/>
      <c r="BY66" s="92"/>
      <c r="BZ66" s="92"/>
      <c r="CA66" s="92"/>
      <c r="CB66" s="92"/>
      <c r="CC66" s="92"/>
      <c r="CD66" s="92"/>
      <c r="CE66" s="92"/>
      <c r="CF66" s="92"/>
      <c r="CG66" s="92"/>
      <c r="CH66" s="92"/>
      <c r="CI66" s="92"/>
      <c r="CJ66" s="92"/>
      <c r="CK66" s="92"/>
      <c r="CL66" s="92"/>
      <c r="CM66" s="92"/>
      <c r="CN66" s="92"/>
      <c r="CO66" s="92"/>
      <c r="CP66" s="92"/>
      <c r="CQ66" s="92"/>
      <c r="CR66" s="92"/>
      <c r="CS66" s="92"/>
      <c r="CT66" s="92"/>
      <c r="CU66" s="92"/>
      <c r="CV66" s="92"/>
      <c r="CW66" s="92"/>
      <c r="CX66" s="92"/>
      <c r="CY66" s="92"/>
      <c r="CZ66" s="92"/>
      <c r="DA66" s="92"/>
      <c r="DB66" s="92"/>
      <c r="DC66" s="92"/>
      <c r="DD66" s="92"/>
      <c r="DE66" s="92"/>
      <c r="DF66" s="92"/>
      <c r="DG66" s="92"/>
      <c r="DH66" s="92"/>
      <c r="DI66" s="92"/>
      <c r="DJ66" s="92"/>
      <c r="DK66" s="92"/>
      <c r="DL66" s="92"/>
      <c r="DM66" s="92"/>
      <c r="DN66" s="92"/>
      <c r="DO66" s="92"/>
      <c r="DP66" s="92"/>
      <c r="DQ66" s="92"/>
      <c r="DR66" s="92"/>
      <c r="DS66" s="92"/>
      <c r="DT66" s="92"/>
      <c r="DU66" s="92"/>
      <c r="DV66" s="92"/>
      <c r="DW66" s="92"/>
      <c r="DX66" s="92"/>
      <c r="DY66" s="92"/>
      <c r="DZ66" s="92"/>
      <c r="EA66" s="92"/>
      <c r="EB66" s="92"/>
      <c r="EC66" s="92"/>
      <c r="ED66" s="92"/>
      <c r="EE66" s="92"/>
      <c r="EF66" s="92"/>
      <c r="EG66" s="92"/>
      <c r="EH66" s="92"/>
      <c r="EI66" s="92"/>
      <c r="EJ66" s="92"/>
      <c r="EK66" s="92"/>
      <c r="EL66" s="92"/>
      <c r="EM66" s="92"/>
      <c r="EN66" s="92"/>
      <c r="EO66" s="92"/>
      <c r="EP66" s="92"/>
      <c r="EQ66" s="92"/>
      <c r="ER66" s="92"/>
      <c r="ES66" s="92"/>
      <c r="ET66" s="92"/>
      <c r="EU66" s="92"/>
      <c r="EV66" s="92"/>
      <c r="EW66" s="92"/>
      <c r="EX66" s="92"/>
      <c r="EY66" s="92"/>
      <c r="EZ66" s="92"/>
      <c r="FA66" s="92"/>
      <c r="FB66" s="92"/>
      <c r="FC66" s="92"/>
      <c r="FD66" s="92"/>
      <c r="FE66" s="92"/>
      <c r="FF66" s="92"/>
      <c r="FG66" s="92"/>
      <c r="FH66" s="92"/>
    </row>
    <row r="67">
      <c r="A67" s="30" t="s">
        <v>7</v>
      </c>
      <c r="B67" s="30" t="s">
        <v>24</v>
      </c>
      <c r="C67" s="31" t="str">
        <f>HYPERLINK("https://docs.google.com/spreadsheets/d/1EXHUf6YmuQ7emdVany-DGE_IFg3HF5Tv/edit?usp=share_link&amp;ouid=106501987799020758802&amp;rtpof=true&amp;sd=true", "Raw Delivered")</f>
        <v>Raw Delivered</v>
      </c>
      <c r="D67" s="96">
        <f t="shared" si="1"/>
        <v>5169.969817</v>
      </c>
      <c r="E67" s="92">
        <f>(SUBSTITUTE(Audio!E67, "RE-", "", 1))*1</f>
        <v>0</v>
      </c>
      <c r="F67" s="92">
        <f>(SUBSTITUTE(Audio!F67, "RE-", "", 1))*1</f>
        <v>482.4430833</v>
      </c>
      <c r="G67" s="92">
        <f>(SUBSTITUTE(Audio!G67, "RE-", "", 1))*1</f>
        <v>0</v>
      </c>
      <c r="H67" s="92">
        <f>(SUBSTITUTE(Audio!H67, "RE-", "", 1))*1</f>
        <v>82.55733958</v>
      </c>
      <c r="I67" s="92">
        <f>(SUBSTITUTE(Audio!I67, "RE-", "", 1))*1</f>
        <v>0</v>
      </c>
      <c r="J67" s="92">
        <f>(SUBSTITUTE(Audio!J67, "RE-", "", 1))*1</f>
        <v>1792.272616</v>
      </c>
      <c r="K67" s="92">
        <f>(SUBSTITUTE(Audio!K67, "RE-", "", 1))*1</f>
        <v>0</v>
      </c>
      <c r="L67" s="92">
        <f>(SUBSTITUTE(Audio!L67, "RE-", "", 1))*1</f>
        <v>932.49375</v>
      </c>
      <c r="M67" s="92">
        <f>(SUBSTITUTE(Audio!M67, "RE-", "", 1))*1</f>
        <v>0</v>
      </c>
      <c r="N67" s="92">
        <f>(SUBSTITUTE(Audio!N67, "RE-", "", 1))*1</f>
        <v>708.8137146</v>
      </c>
      <c r="O67" s="92">
        <f>(SUBSTITUTE(Audio!O67, "RE-", "", 1))*1</f>
        <v>0</v>
      </c>
      <c r="P67" s="92">
        <f>(SUBSTITUTE(Audio!P67, "RE-", "", 1))*1</f>
        <v>570.9506698</v>
      </c>
      <c r="Q67" s="92">
        <f>(SUBSTITUTE(Audio!Q67, "RE-", "", 1))*1</f>
        <v>0</v>
      </c>
      <c r="R67" s="92">
        <f>(SUBSTITUTE(Audio!R67, "RE-", "", 1))*1</f>
        <v>284.244749</v>
      </c>
      <c r="S67" s="92">
        <f>(SUBSTITUTE(Audio!S67, "RE-", "", 1))*1</f>
        <v>0</v>
      </c>
      <c r="T67" s="92">
        <f>(SUBSTITUTE(Audio!T67, "RE-", "", 1))*1</f>
        <v>316.1938948</v>
      </c>
      <c r="U67" s="92">
        <f>(SUBSTITUTE(Audio!U67, "RE-", "", 1))*1</f>
        <v>0</v>
      </c>
      <c r="V67" s="92">
        <f>(SUBSTITUTE(Audio!V67, "RE-", "", 1))*1</f>
        <v>0</v>
      </c>
      <c r="W67" s="92">
        <f>(SUBSTITUTE(Audio!W67, "RE-", "", 1))*1</f>
        <v>0</v>
      </c>
      <c r="X67" s="92">
        <f>(SUBSTITUTE(Audio!X67, "RE-", "", 1))*1</f>
        <v>0</v>
      </c>
      <c r="Y67" s="92">
        <f>(SUBSTITUTE(Audio!Y67, "RE-", "", 1))*1</f>
        <v>0</v>
      </c>
      <c r="Z67" s="92">
        <f>(SUBSTITUTE(Audio!Z67, "RE-", "", 1))*1</f>
        <v>0</v>
      </c>
      <c r="AA67" s="92"/>
      <c r="AB67" s="92"/>
      <c r="AC67" s="92"/>
      <c r="AD67" s="92"/>
      <c r="AE67" s="92"/>
      <c r="AF67" s="92"/>
      <c r="AG67" s="92"/>
      <c r="AH67" s="92"/>
      <c r="AI67" s="92"/>
      <c r="AJ67" s="92"/>
      <c r="AK67" s="92"/>
      <c r="AL67" s="92"/>
      <c r="AM67" s="92"/>
      <c r="AN67" s="92"/>
      <c r="AO67" s="92"/>
      <c r="AP67" s="92"/>
      <c r="AQ67" s="92"/>
      <c r="AR67" s="92"/>
      <c r="AS67" s="92"/>
      <c r="AT67" s="92"/>
      <c r="AU67" s="92"/>
      <c r="AV67" s="92"/>
      <c r="AW67" s="92"/>
      <c r="AX67" s="92"/>
      <c r="AY67" s="92"/>
      <c r="AZ67" s="92"/>
      <c r="BA67" s="92"/>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2"/>
      <c r="CA67" s="92"/>
      <c r="CB67" s="92"/>
      <c r="CC67" s="92"/>
      <c r="CD67" s="92"/>
      <c r="CE67" s="92"/>
      <c r="CF67" s="92"/>
      <c r="CG67" s="92"/>
      <c r="CH67" s="92"/>
      <c r="CI67" s="92"/>
      <c r="CJ67" s="92"/>
      <c r="CK67" s="92"/>
      <c r="CL67" s="92"/>
      <c r="CM67" s="92"/>
      <c r="CN67" s="92"/>
      <c r="CO67" s="92"/>
      <c r="CP67" s="92"/>
      <c r="CQ67" s="92"/>
      <c r="CR67" s="92"/>
      <c r="CS67" s="92"/>
      <c r="CT67" s="92"/>
      <c r="CU67" s="92"/>
      <c r="CV67" s="92"/>
      <c r="CW67" s="92"/>
      <c r="CX67" s="92"/>
      <c r="CY67" s="92"/>
      <c r="CZ67" s="92"/>
      <c r="DA67" s="92"/>
      <c r="DB67" s="92"/>
      <c r="DC67" s="92"/>
      <c r="DD67" s="92"/>
      <c r="DE67" s="92"/>
      <c r="DF67" s="92"/>
      <c r="DG67" s="92"/>
      <c r="DH67" s="92"/>
      <c r="DI67" s="92"/>
      <c r="DJ67" s="92"/>
      <c r="DK67" s="92"/>
      <c r="DL67" s="92"/>
      <c r="DM67" s="92"/>
      <c r="DN67" s="92"/>
      <c r="DO67" s="92"/>
      <c r="DP67" s="92"/>
      <c r="DQ67" s="92"/>
      <c r="DR67" s="92"/>
      <c r="DS67" s="92"/>
      <c r="DT67" s="92"/>
      <c r="DU67" s="92"/>
      <c r="DV67" s="92"/>
      <c r="DW67" s="92"/>
      <c r="DX67" s="92"/>
      <c r="DY67" s="92"/>
      <c r="DZ67" s="92"/>
      <c r="EA67" s="92"/>
      <c r="EB67" s="92"/>
      <c r="EC67" s="92"/>
      <c r="ED67" s="92"/>
      <c r="EE67" s="92"/>
      <c r="EF67" s="92"/>
      <c r="EG67" s="92"/>
      <c r="EH67" s="92"/>
      <c r="EI67" s="92"/>
      <c r="EJ67" s="92"/>
      <c r="EK67" s="92"/>
      <c r="EL67" s="92"/>
      <c r="EM67" s="92"/>
      <c r="EN67" s="92"/>
      <c r="EO67" s="92"/>
      <c r="EP67" s="92"/>
      <c r="EQ67" s="92"/>
      <c r="ER67" s="92"/>
      <c r="ES67" s="92"/>
      <c r="ET67" s="92"/>
      <c r="EU67" s="92"/>
      <c r="EV67" s="92"/>
      <c r="EW67" s="92"/>
      <c r="EX67" s="92"/>
      <c r="EY67" s="92"/>
      <c r="EZ67" s="92"/>
      <c r="FA67" s="92"/>
      <c r="FB67" s="92"/>
      <c r="FC67" s="92"/>
      <c r="FD67" s="92"/>
      <c r="FE67" s="92"/>
      <c r="FF67" s="92"/>
      <c r="FG67" s="92"/>
      <c r="FH67" s="92"/>
    </row>
    <row r="68">
      <c r="A68" s="32" t="s">
        <v>7</v>
      </c>
      <c r="B68" s="32" t="s">
        <v>24</v>
      </c>
      <c r="C68" s="32" t="s">
        <v>9</v>
      </c>
      <c r="D68" s="97">
        <f t="shared" si="1"/>
        <v>5169.969817</v>
      </c>
      <c r="E68" s="92">
        <f>(SUBSTITUTE(Audio!E68, "RE-", "", 1))*1</f>
        <v>0</v>
      </c>
      <c r="F68" s="92">
        <f>(SUBSTITUTE(Audio!F68, "RE-", "", 1))*1</f>
        <v>482.4430833</v>
      </c>
      <c r="G68" s="92">
        <f>(SUBSTITUTE(Audio!G68, "RE-", "", 1))*1</f>
        <v>0</v>
      </c>
      <c r="H68" s="92">
        <f>(SUBSTITUTE(Audio!H68, "RE-", "", 1))*1</f>
        <v>82.55733958</v>
      </c>
      <c r="I68" s="92">
        <f>(SUBSTITUTE(Audio!I68, "RE-", "", 1))*1</f>
        <v>0</v>
      </c>
      <c r="J68" s="92">
        <f>(SUBSTITUTE(Audio!J68, "RE-", "", 1))*1</f>
        <v>1792.272616</v>
      </c>
      <c r="K68" s="92">
        <f>(SUBSTITUTE(Audio!K68, "RE-", "", 1))*1</f>
        <v>0</v>
      </c>
      <c r="L68" s="92">
        <f>(SUBSTITUTE(Audio!L68, "RE-", "", 1))*1</f>
        <v>932.49375</v>
      </c>
      <c r="M68" s="92">
        <f>(SUBSTITUTE(Audio!M68, "RE-", "", 1))*1</f>
        <v>0</v>
      </c>
      <c r="N68" s="92">
        <f>(SUBSTITUTE(Audio!N68, "RE-", "", 1))*1</f>
        <v>708.8137146</v>
      </c>
      <c r="O68" s="92">
        <f>(SUBSTITUTE(Audio!O68, "RE-", "", 1))*1</f>
        <v>0</v>
      </c>
      <c r="P68" s="92">
        <f>(SUBSTITUTE(Audio!P68, "RE-", "", 1))*1</f>
        <v>570.9506698</v>
      </c>
      <c r="Q68" s="92">
        <f>(SUBSTITUTE(Audio!Q68, "RE-", "", 1))*1</f>
        <v>0</v>
      </c>
      <c r="R68" s="92">
        <f>(SUBSTITUTE(Audio!R68, "RE-", "", 1))*1</f>
        <v>284.244749</v>
      </c>
      <c r="S68" s="92">
        <f>(SUBSTITUTE(Audio!S68, "RE-", "", 1))*1</f>
        <v>0</v>
      </c>
      <c r="T68" s="92">
        <f>(SUBSTITUTE(Audio!T68, "RE-", "", 1))*1</f>
        <v>316.1938948</v>
      </c>
      <c r="U68" s="92">
        <f>(SUBSTITUTE(Audio!U68, "RE-", "", 1))*1</f>
        <v>0</v>
      </c>
      <c r="V68" s="92">
        <f>(SUBSTITUTE(Audio!V68, "RE-", "", 1))*1</f>
        <v>0</v>
      </c>
      <c r="W68" s="92">
        <f>(SUBSTITUTE(Audio!W68, "RE-", "", 1))*1</f>
        <v>0</v>
      </c>
      <c r="X68" s="92">
        <f>(SUBSTITUTE(Audio!X68, "RE-", "", 1))*1</f>
        <v>0</v>
      </c>
      <c r="Y68" s="92">
        <f>(SUBSTITUTE(Audio!Y68, "RE-", "", 1))*1</f>
        <v>0</v>
      </c>
      <c r="Z68" s="92">
        <f>(SUBSTITUTE(Audio!Z68, "RE-", "", 1))*1</f>
        <v>0</v>
      </c>
      <c r="AA68" s="92"/>
      <c r="AB68" s="92"/>
      <c r="AC68" s="92"/>
      <c r="AD68" s="92"/>
      <c r="AE68" s="92"/>
      <c r="AF68" s="92"/>
      <c r="AG68" s="92"/>
      <c r="AH68" s="92"/>
      <c r="AI68" s="92"/>
      <c r="AJ68" s="92"/>
      <c r="AK68" s="92"/>
      <c r="AL68" s="92"/>
      <c r="AM68" s="92"/>
      <c r="AN68" s="92"/>
      <c r="AO68" s="92"/>
      <c r="AP68" s="92"/>
      <c r="AQ68" s="92"/>
      <c r="AR68" s="92"/>
      <c r="AS68" s="92"/>
      <c r="AT68" s="92"/>
      <c r="AU68" s="92"/>
      <c r="AV68" s="92"/>
      <c r="AW68" s="92"/>
      <c r="AX68" s="92"/>
      <c r="AY68" s="92"/>
      <c r="AZ68" s="92"/>
      <c r="BA68" s="92"/>
      <c r="BB68" s="92"/>
      <c r="BC68" s="92"/>
      <c r="BD68" s="92"/>
      <c r="BE68" s="92"/>
      <c r="BF68" s="92"/>
      <c r="BG68" s="92"/>
      <c r="BH68" s="92"/>
      <c r="BI68" s="92"/>
      <c r="BJ68" s="92"/>
      <c r="BK68" s="92"/>
      <c r="BL68" s="92"/>
      <c r="BM68" s="92"/>
      <c r="BN68" s="92"/>
      <c r="BO68" s="92"/>
      <c r="BP68" s="92"/>
      <c r="BQ68" s="92"/>
      <c r="BR68" s="92"/>
      <c r="BS68" s="92"/>
      <c r="BT68" s="92"/>
      <c r="BU68" s="92"/>
      <c r="BV68" s="92"/>
      <c r="BW68" s="92"/>
      <c r="BX68" s="92"/>
      <c r="BY68" s="92"/>
      <c r="BZ68" s="92"/>
      <c r="CA68" s="92"/>
      <c r="CB68" s="92"/>
      <c r="CC68" s="92"/>
      <c r="CD68" s="92"/>
      <c r="CE68" s="92"/>
      <c r="CF68" s="92"/>
      <c r="CG68" s="92"/>
      <c r="CH68" s="92"/>
      <c r="CI68" s="92"/>
      <c r="CJ68" s="92"/>
      <c r="CK68" s="92"/>
      <c r="CL68" s="92"/>
      <c r="CM68" s="92"/>
      <c r="CN68" s="92"/>
      <c r="CO68" s="92"/>
      <c r="CP68" s="92"/>
      <c r="CQ68" s="92"/>
      <c r="CR68" s="92"/>
      <c r="CS68" s="92"/>
      <c r="CT68" s="92"/>
      <c r="CU68" s="92"/>
      <c r="CV68" s="92"/>
      <c r="CW68" s="92"/>
      <c r="CX68" s="92"/>
      <c r="CY68" s="92"/>
      <c r="CZ68" s="92"/>
      <c r="DA68" s="92"/>
      <c r="DB68" s="92"/>
      <c r="DC68" s="92"/>
      <c r="DD68" s="92"/>
      <c r="DE68" s="92"/>
      <c r="DF68" s="92"/>
      <c r="DG68" s="92"/>
      <c r="DH68" s="92"/>
      <c r="DI68" s="92"/>
      <c r="DJ68" s="92"/>
      <c r="DK68" s="92"/>
      <c r="DL68" s="92"/>
      <c r="DM68" s="92"/>
      <c r="DN68" s="92"/>
      <c r="DO68" s="92"/>
      <c r="DP68" s="92"/>
      <c r="DQ68" s="92"/>
      <c r="DR68" s="92"/>
      <c r="DS68" s="92"/>
      <c r="DT68" s="92"/>
      <c r="DU68" s="92"/>
      <c r="DV68" s="92"/>
      <c r="DW68" s="92"/>
      <c r="DX68" s="92"/>
      <c r="DY68" s="92"/>
      <c r="DZ68" s="92"/>
      <c r="EA68" s="92"/>
      <c r="EB68" s="92"/>
      <c r="EC68" s="92"/>
      <c r="ED68" s="92"/>
      <c r="EE68" s="92"/>
      <c r="EF68" s="92"/>
      <c r="EG68" s="92"/>
      <c r="EH68" s="92"/>
      <c r="EI68" s="92"/>
      <c r="EJ68" s="92"/>
      <c r="EK68" s="92"/>
      <c r="EL68" s="92"/>
      <c r="EM68" s="92"/>
      <c r="EN68" s="92"/>
      <c r="EO68" s="92"/>
      <c r="EP68" s="92"/>
      <c r="EQ68" s="92"/>
      <c r="ER68" s="92"/>
      <c r="ES68" s="92"/>
      <c r="ET68" s="92"/>
      <c r="EU68" s="92"/>
      <c r="EV68" s="92"/>
      <c r="EW68" s="92"/>
      <c r="EX68" s="92"/>
      <c r="EY68" s="92"/>
      <c r="EZ68" s="92"/>
      <c r="FA68" s="92"/>
      <c r="FB68" s="92"/>
      <c r="FC68" s="92"/>
      <c r="FD68" s="92"/>
      <c r="FE68" s="92"/>
      <c r="FF68" s="92"/>
      <c r="FG68" s="92"/>
      <c r="FH68" s="92"/>
    </row>
    <row r="69">
      <c r="A69" s="32" t="s">
        <v>7</v>
      </c>
      <c r="B69" s="32" t="s">
        <v>24</v>
      </c>
      <c r="C69" s="32" t="s">
        <v>10</v>
      </c>
      <c r="D69" s="97">
        <f t="shared" si="1"/>
        <v>444.996901</v>
      </c>
      <c r="E69" s="92">
        <f>(SUBSTITUTE(Audio!E69, "RE-", "", 1))*1</f>
        <v>0</v>
      </c>
      <c r="F69" s="92">
        <f>(SUBSTITUTE(Audio!F69, "RE-", "", 1))*1</f>
        <v>0</v>
      </c>
      <c r="G69" s="92">
        <f>(SUBSTITUTE(Audio!G69, "RE-", "", 1))*1</f>
        <v>40.29380938</v>
      </c>
      <c r="H69" s="92">
        <f>(SUBSTITUTE(Audio!H69, "RE-", "", 1))*1</f>
        <v>0</v>
      </c>
      <c r="I69" s="92">
        <f>(SUBSTITUTE(Audio!I69, "RE-", "", 1))*1</f>
        <v>8.680354167</v>
      </c>
      <c r="J69" s="92">
        <f>(SUBSTITUTE(Audio!J69, "RE-", "", 1))*1</f>
        <v>0</v>
      </c>
      <c r="K69" s="92">
        <f>(SUBSTITUTE(Audio!K69, "RE-", "", 1))*1</f>
        <v>152.1462333</v>
      </c>
      <c r="L69" s="92">
        <f>(SUBSTITUTE(Audio!L69, "RE-", "", 1))*1</f>
        <v>0</v>
      </c>
      <c r="M69" s="92">
        <f>(SUBSTITUTE(Audio!M69, "RE-", "", 1))*1</f>
        <v>32.21967292</v>
      </c>
      <c r="N69" s="92">
        <f>(SUBSTITUTE(Audio!N69, "RE-", "", 1))*1</f>
        <v>0</v>
      </c>
      <c r="O69" s="92">
        <f>(SUBSTITUTE(Audio!O69, "RE-", "", 1))*1</f>
        <v>41.81982396</v>
      </c>
      <c r="P69" s="92">
        <f>(SUBSTITUTE(Audio!P69, "RE-", "", 1))*1</f>
        <v>0</v>
      </c>
      <c r="Q69" s="92">
        <f>(SUBSTITUTE(Audio!Q69, "RE-", "", 1))*1</f>
        <v>84.91763646</v>
      </c>
      <c r="R69" s="92">
        <f>(SUBSTITUTE(Audio!R69, "RE-", "", 1))*1</f>
        <v>0</v>
      </c>
      <c r="S69" s="92">
        <f>(SUBSTITUTE(Audio!S69, "RE-", "", 1))*1</f>
        <v>41.59465833</v>
      </c>
      <c r="T69" s="92">
        <f>(SUBSTITUTE(Audio!T69, "RE-", "", 1))*1</f>
        <v>0</v>
      </c>
      <c r="U69" s="92">
        <f>(SUBSTITUTE(Audio!U69, "RE-", "", 1))*1</f>
        <v>40.59212917</v>
      </c>
      <c r="V69" s="92">
        <f>(SUBSTITUTE(Audio!V69, "RE-", "", 1))*1</f>
        <v>2.732583333</v>
      </c>
      <c r="W69" s="92">
        <f>(SUBSTITUTE(Audio!W69, "RE-", "", 1))*1</f>
        <v>0</v>
      </c>
      <c r="X69" s="92">
        <f>(SUBSTITUTE(Audio!X69, "RE-", "", 1))*1</f>
        <v>0</v>
      </c>
      <c r="Y69" s="92">
        <f>(SUBSTITUTE(Audio!Y69, "RE-", "", 1))*1</f>
        <v>0</v>
      </c>
      <c r="Z69" s="92">
        <f>(SUBSTITUTE(Audio!Z69, "RE-", "", 1))*1</f>
        <v>0</v>
      </c>
      <c r="AA69" s="92"/>
      <c r="AB69" s="92"/>
      <c r="AC69" s="92"/>
      <c r="AD69" s="92"/>
      <c r="AE69" s="92"/>
      <c r="AF69" s="92"/>
      <c r="AG69" s="92"/>
      <c r="AH69" s="92"/>
      <c r="AI69" s="92"/>
      <c r="AJ69" s="92"/>
      <c r="AK69" s="92"/>
      <c r="AL69" s="92"/>
      <c r="AM69" s="92"/>
      <c r="AN69" s="92"/>
      <c r="AO69" s="92"/>
      <c r="AP69" s="92"/>
      <c r="AQ69" s="92"/>
      <c r="AR69" s="92"/>
      <c r="AS69" s="92"/>
      <c r="AT69" s="92"/>
      <c r="AU69" s="92"/>
      <c r="AV69" s="92"/>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c r="CA69" s="92"/>
      <c r="CB69" s="92"/>
      <c r="CC69" s="92"/>
      <c r="CD69" s="92"/>
      <c r="CE69" s="92"/>
      <c r="CF69" s="92"/>
      <c r="CG69" s="92"/>
      <c r="CH69" s="92"/>
      <c r="CI69" s="92"/>
      <c r="CJ69" s="92"/>
      <c r="CK69" s="92"/>
      <c r="CL69" s="92"/>
      <c r="CM69" s="92"/>
      <c r="CN69" s="92"/>
      <c r="CO69" s="92"/>
      <c r="CP69" s="92"/>
      <c r="CQ69" s="92"/>
      <c r="CR69" s="92"/>
      <c r="CS69" s="92"/>
      <c r="CT69" s="92"/>
      <c r="CU69" s="92"/>
      <c r="CV69" s="92"/>
      <c r="CW69" s="92"/>
      <c r="CX69" s="92"/>
      <c r="CY69" s="92"/>
      <c r="CZ69" s="92"/>
      <c r="DA69" s="92"/>
      <c r="DB69" s="92"/>
      <c r="DC69" s="92"/>
      <c r="DD69" s="92"/>
      <c r="DE69" s="92"/>
      <c r="DF69" s="92"/>
      <c r="DG69" s="92"/>
      <c r="DH69" s="92"/>
      <c r="DI69" s="92"/>
      <c r="DJ69" s="92"/>
      <c r="DK69" s="92"/>
      <c r="DL69" s="92"/>
      <c r="DM69" s="92"/>
      <c r="DN69" s="92"/>
      <c r="DO69" s="92"/>
      <c r="DP69" s="92"/>
      <c r="DQ69" s="92"/>
      <c r="DR69" s="92"/>
      <c r="DS69" s="92"/>
      <c r="DT69" s="92"/>
      <c r="DU69" s="92"/>
      <c r="DV69" s="92"/>
      <c r="DW69" s="92"/>
      <c r="DX69" s="92"/>
      <c r="DY69" s="92"/>
      <c r="DZ69" s="92"/>
      <c r="EA69" s="92"/>
      <c r="EB69" s="92"/>
      <c r="EC69" s="92"/>
      <c r="ED69" s="92"/>
      <c r="EE69" s="92"/>
      <c r="EF69" s="92"/>
      <c r="EG69" s="92"/>
      <c r="EH69" s="92"/>
      <c r="EI69" s="92"/>
      <c r="EJ69" s="92"/>
      <c r="EK69" s="92"/>
      <c r="EL69" s="92"/>
      <c r="EM69" s="92"/>
      <c r="EN69" s="92"/>
      <c r="EO69" s="92"/>
      <c r="EP69" s="92"/>
      <c r="EQ69" s="92"/>
      <c r="ER69" s="92"/>
      <c r="ES69" s="92"/>
      <c r="ET69" s="92"/>
      <c r="EU69" s="92"/>
      <c r="EV69" s="92"/>
      <c r="EW69" s="92"/>
      <c r="EX69" s="92"/>
      <c r="EY69" s="92"/>
      <c r="EZ69" s="92"/>
      <c r="FA69" s="92"/>
      <c r="FB69" s="92"/>
      <c r="FC69" s="92"/>
      <c r="FD69" s="92"/>
      <c r="FE69" s="92"/>
      <c r="FF69" s="92"/>
      <c r="FG69" s="92"/>
      <c r="FH69" s="92"/>
    </row>
    <row r="70">
      <c r="A70" s="32" t="s">
        <v>7</v>
      </c>
      <c r="B70" s="32" t="s">
        <v>24</v>
      </c>
      <c r="C70" s="32" t="s">
        <v>11</v>
      </c>
      <c r="D70" s="97">
        <f t="shared" si="1"/>
        <v>444.996901</v>
      </c>
      <c r="E70" s="92">
        <f>(SUBSTITUTE(Audio!E70, "RE-", "", 1))*1</f>
        <v>0</v>
      </c>
      <c r="F70" s="92">
        <f>(SUBSTITUTE(Audio!F70, "RE-", "", 1))*1</f>
        <v>0</v>
      </c>
      <c r="G70" s="92">
        <f>(SUBSTITUTE(Audio!G70, "RE-", "", 1))*1</f>
        <v>40.29380938</v>
      </c>
      <c r="H70" s="92">
        <f>(SUBSTITUTE(Audio!H70, "RE-", "", 1))*1</f>
        <v>0</v>
      </c>
      <c r="I70" s="92">
        <f>(SUBSTITUTE(Audio!I70, "RE-", "", 1))*1</f>
        <v>8.680354167</v>
      </c>
      <c r="J70" s="92">
        <f>(SUBSTITUTE(Audio!J70, "RE-", "", 1))*1</f>
        <v>0</v>
      </c>
      <c r="K70" s="92">
        <f>(SUBSTITUTE(Audio!K70, "RE-", "", 1))*1</f>
        <v>152.1462333</v>
      </c>
      <c r="L70" s="92">
        <f>(SUBSTITUTE(Audio!L70, "RE-", "", 1))*1</f>
        <v>0</v>
      </c>
      <c r="M70" s="92">
        <f>(SUBSTITUTE(Audio!M70, "RE-", "", 1))*1</f>
        <v>32.21967292</v>
      </c>
      <c r="N70" s="92">
        <f>(SUBSTITUTE(Audio!N70, "RE-", "", 1))*1</f>
        <v>0</v>
      </c>
      <c r="O70" s="92">
        <f>(SUBSTITUTE(Audio!O70, "RE-", "", 1))*1</f>
        <v>41.81982396</v>
      </c>
      <c r="P70" s="92">
        <f>(SUBSTITUTE(Audio!P70, "RE-", "", 1))*1</f>
        <v>0</v>
      </c>
      <c r="Q70" s="92">
        <f>(SUBSTITUTE(Audio!Q70, "RE-", "", 1))*1</f>
        <v>84.91763646</v>
      </c>
      <c r="R70" s="92">
        <f>(SUBSTITUTE(Audio!R70, "RE-", "", 1))*1</f>
        <v>0</v>
      </c>
      <c r="S70" s="92">
        <f>(SUBSTITUTE(Audio!S70, "RE-", "", 1))*1</f>
        <v>41.59465833</v>
      </c>
      <c r="T70" s="92">
        <f>(SUBSTITUTE(Audio!T70, "RE-", "", 1))*1</f>
        <v>0</v>
      </c>
      <c r="U70" s="92">
        <f>(SUBSTITUTE(Audio!U70, "RE-", "", 1))*1</f>
        <v>40.59212917</v>
      </c>
      <c r="V70" s="92">
        <f>(SUBSTITUTE(Audio!V70, "RE-", "", 1))*1</f>
        <v>2.732583333</v>
      </c>
      <c r="W70" s="92">
        <f>(SUBSTITUTE(Audio!W70, "RE-", "", 1))*1</f>
        <v>0</v>
      </c>
      <c r="X70" s="92">
        <f>(SUBSTITUTE(Audio!X70, "RE-", "", 1))*1</f>
        <v>0</v>
      </c>
      <c r="Y70" s="92">
        <f>(SUBSTITUTE(Audio!Y70, "RE-", "", 1))*1</f>
        <v>0</v>
      </c>
      <c r="Z70" s="92">
        <f>(SUBSTITUTE(Audio!Z70, "RE-", "", 1))*1</f>
        <v>0</v>
      </c>
      <c r="AA70" s="92"/>
      <c r="AB70" s="92"/>
      <c r="AC70" s="92"/>
      <c r="AD70" s="92"/>
      <c r="AE70" s="92"/>
      <c r="AF70" s="92"/>
      <c r="AG70" s="92"/>
      <c r="AH70" s="92"/>
      <c r="AI70" s="92"/>
      <c r="AJ70" s="92"/>
      <c r="AK70" s="92"/>
      <c r="AL70" s="92"/>
      <c r="AM70" s="92"/>
      <c r="AN70" s="92"/>
      <c r="AO70" s="92"/>
      <c r="AP70" s="92"/>
      <c r="AQ70" s="92"/>
      <c r="AR70" s="92"/>
      <c r="AS70" s="92"/>
      <c r="AT70" s="92"/>
      <c r="AU70" s="92"/>
      <c r="AV70" s="92"/>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c r="CA70" s="92"/>
      <c r="CB70" s="92"/>
      <c r="CC70" s="92"/>
      <c r="CD70" s="92"/>
      <c r="CE70" s="92"/>
      <c r="CF70" s="92"/>
      <c r="CG70" s="92"/>
      <c r="CH70" s="92"/>
      <c r="CI70" s="92"/>
      <c r="CJ70" s="92"/>
      <c r="CK70" s="92"/>
      <c r="CL70" s="92"/>
      <c r="CM70" s="92"/>
      <c r="CN70" s="92"/>
      <c r="CO70" s="92"/>
      <c r="CP70" s="92"/>
      <c r="CQ70" s="92"/>
      <c r="CR70" s="92"/>
      <c r="CS70" s="92"/>
      <c r="CT70" s="92"/>
      <c r="CU70" s="92"/>
      <c r="CV70" s="92"/>
      <c r="CW70" s="92"/>
      <c r="CX70" s="92"/>
      <c r="CY70" s="92"/>
      <c r="CZ70" s="92"/>
      <c r="DA70" s="92"/>
      <c r="DB70" s="92"/>
      <c r="DC70" s="92"/>
      <c r="DD70" s="92"/>
      <c r="DE70" s="92"/>
      <c r="DF70" s="92"/>
      <c r="DG70" s="92"/>
      <c r="DH70" s="92"/>
      <c r="DI70" s="92"/>
      <c r="DJ70" s="92"/>
      <c r="DK70" s="92"/>
      <c r="DL70" s="92"/>
      <c r="DM70" s="92"/>
      <c r="DN70" s="92"/>
      <c r="DO70" s="92"/>
      <c r="DP70" s="92"/>
      <c r="DQ70" s="92"/>
      <c r="DR70" s="92"/>
      <c r="DS70" s="92"/>
      <c r="DT70" s="92"/>
      <c r="DU70" s="92"/>
      <c r="DV70" s="92"/>
      <c r="DW70" s="92"/>
      <c r="DX70" s="92"/>
      <c r="DY70" s="92"/>
      <c r="DZ70" s="92"/>
      <c r="EA70" s="92"/>
      <c r="EB70" s="92"/>
      <c r="EC70" s="92"/>
      <c r="ED70" s="92"/>
      <c r="EE70" s="92"/>
      <c r="EF70" s="92"/>
      <c r="EG70" s="92"/>
      <c r="EH70" s="92"/>
      <c r="EI70" s="92"/>
      <c r="EJ70" s="92"/>
      <c r="EK70" s="92"/>
      <c r="EL70" s="92"/>
      <c r="EM70" s="92"/>
      <c r="EN70" s="92"/>
      <c r="EO70" s="92"/>
      <c r="EP70" s="92"/>
      <c r="EQ70" s="92"/>
      <c r="ER70" s="92"/>
      <c r="ES70" s="92"/>
      <c r="ET70" s="92"/>
      <c r="EU70" s="92"/>
      <c r="EV70" s="92"/>
      <c r="EW70" s="92"/>
      <c r="EX70" s="92"/>
      <c r="EY70" s="92"/>
      <c r="EZ70" s="92"/>
      <c r="FA70" s="92"/>
      <c r="FB70" s="92"/>
      <c r="FC70" s="92"/>
      <c r="FD70" s="92"/>
      <c r="FE70" s="92"/>
      <c r="FF70" s="92"/>
      <c r="FG70" s="92"/>
      <c r="FH70" s="92"/>
    </row>
    <row r="71">
      <c r="A71" s="32" t="s">
        <v>7</v>
      </c>
      <c r="B71" s="32" t="s">
        <v>24</v>
      </c>
      <c r="C71" s="32" t="s">
        <v>12</v>
      </c>
      <c r="D71" s="97">
        <f t="shared" si="1"/>
        <v>4367.397112</v>
      </c>
      <c r="E71" s="92">
        <f>(SUBSTITUTE(Audio!E71, "RE-", "", 1))*1</f>
        <v>0</v>
      </c>
      <c r="F71" s="92">
        <f>(SUBSTITUTE(Audio!F71, "RE-", "", 1))*1</f>
        <v>402.2175708</v>
      </c>
      <c r="G71" s="92">
        <f>(SUBSTITUTE(Audio!G71, "RE-", "", 1))*1</f>
        <v>2.875477083</v>
      </c>
      <c r="H71" s="92">
        <f>(SUBSTITUTE(Audio!H71, "RE-", "", 1))*1</f>
        <v>76.04591458</v>
      </c>
      <c r="I71" s="92">
        <f>(SUBSTITUTE(Audio!I71, "RE-", "", 1))*1</f>
        <v>0</v>
      </c>
      <c r="J71" s="92">
        <f>(SUBSTITUTE(Audio!J71, "RE-", "", 1))*1</f>
        <v>1449.370914</v>
      </c>
      <c r="K71" s="92">
        <f>(SUBSTITUTE(Audio!K71, "RE-", "", 1))*1</f>
        <v>6.243186458</v>
      </c>
      <c r="L71" s="92">
        <f>(SUBSTITUTE(Audio!L71, "RE-", "", 1))*1</f>
        <v>869.4213375</v>
      </c>
      <c r="M71" s="92">
        <f>(SUBSTITUTE(Audio!M71, "RE-", "", 1))*1</f>
        <v>8.943354167</v>
      </c>
      <c r="N71" s="92">
        <f>(SUBSTITUTE(Audio!N71, "RE-", "", 1))*1</f>
        <v>374.8873177</v>
      </c>
      <c r="O71" s="92">
        <f>(SUBSTITUTE(Audio!O71, "RE-", "", 1))*1</f>
        <v>2.15475625</v>
      </c>
      <c r="P71" s="92">
        <f>(SUBSTITUTE(Audio!P71, "RE-", "", 1))*1</f>
        <v>513.0463135</v>
      </c>
      <c r="Q71" s="92">
        <f>(SUBSTITUTE(Audio!Q71, "RE-", "", 1))*1</f>
        <v>35.23629583</v>
      </c>
      <c r="R71" s="92">
        <f>(SUBSTITUTE(Audio!R71, "RE-", "", 1))*1</f>
        <v>276.0169927</v>
      </c>
      <c r="S71" s="92">
        <f>(SUBSTITUTE(Audio!S71, "RE-", "", 1))*1</f>
        <v>25.63587083</v>
      </c>
      <c r="T71" s="92">
        <f>(SUBSTITUTE(Audio!T71, "RE-", "", 1))*1</f>
        <v>297.386451</v>
      </c>
      <c r="U71" s="92">
        <f>(SUBSTITUTE(Audio!U71, "RE-", "", 1))*1</f>
        <v>25.51355417</v>
      </c>
      <c r="V71" s="92">
        <f>(SUBSTITUTE(Audio!V71, "RE-", "", 1))*1</f>
        <v>2.40180625</v>
      </c>
      <c r="W71" s="92">
        <f>(SUBSTITUTE(Audio!W71, "RE-", "", 1))*1</f>
        <v>0</v>
      </c>
      <c r="X71" s="92">
        <f>(SUBSTITUTE(Audio!X71, "RE-", "", 1))*1</f>
        <v>0</v>
      </c>
      <c r="Y71" s="92">
        <f>(SUBSTITUTE(Audio!Y71, "RE-", "", 1))*1</f>
        <v>0</v>
      </c>
      <c r="Z71" s="92">
        <f>(SUBSTITUTE(Audio!Z71, "RE-", "", 1))*1</f>
        <v>0</v>
      </c>
      <c r="AA71" s="92"/>
      <c r="AB71" s="92"/>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92"/>
      <c r="CG71" s="92"/>
      <c r="CH71" s="92"/>
      <c r="CI71" s="92"/>
      <c r="CJ71" s="92"/>
      <c r="CK71" s="92"/>
      <c r="CL71" s="92"/>
      <c r="CM71" s="92"/>
      <c r="CN71" s="92"/>
      <c r="CO71" s="92"/>
      <c r="CP71" s="92"/>
      <c r="CQ71" s="92"/>
      <c r="CR71" s="92"/>
      <c r="CS71" s="92"/>
      <c r="CT71" s="92"/>
      <c r="CU71" s="92"/>
      <c r="CV71" s="92"/>
      <c r="CW71" s="92"/>
      <c r="CX71" s="92"/>
      <c r="CY71" s="92"/>
      <c r="CZ71" s="92"/>
      <c r="DA71" s="92"/>
      <c r="DB71" s="92"/>
      <c r="DC71" s="92"/>
      <c r="DD71" s="92"/>
      <c r="DE71" s="92"/>
      <c r="DF71" s="92"/>
      <c r="DG71" s="92"/>
      <c r="DH71" s="92"/>
      <c r="DI71" s="92"/>
      <c r="DJ71" s="92"/>
      <c r="DK71" s="92"/>
      <c r="DL71" s="92"/>
      <c r="DM71" s="92"/>
      <c r="DN71" s="92"/>
      <c r="DO71" s="92"/>
      <c r="DP71" s="92"/>
      <c r="DQ71" s="92"/>
      <c r="DR71" s="92"/>
      <c r="DS71" s="92"/>
      <c r="DT71" s="92"/>
      <c r="DU71" s="92"/>
      <c r="DV71" s="92"/>
      <c r="DW71" s="92"/>
      <c r="DX71" s="92"/>
      <c r="DY71" s="92"/>
      <c r="DZ71" s="92"/>
      <c r="EA71" s="92"/>
      <c r="EB71" s="92"/>
      <c r="EC71" s="92"/>
      <c r="ED71" s="92"/>
      <c r="EE71" s="92"/>
      <c r="EF71" s="92"/>
      <c r="EG71" s="92"/>
      <c r="EH71" s="92"/>
      <c r="EI71" s="92"/>
      <c r="EJ71" s="92"/>
      <c r="EK71" s="92"/>
      <c r="EL71" s="92"/>
      <c r="EM71" s="92"/>
      <c r="EN71" s="92"/>
      <c r="EO71" s="92"/>
      <c r="EP71" s="92"/>
      <c r="EQ71" s="92"/>
      <c r="ER71" s="92"/>
      <c r="ES71" s="92"/>
      <c r="ET71" s="92"/>
      <c r="EU71" s="92"/>
      <c r="EV71" s="92"/>
      <c r="EW71" s="92"/>
      <c r="EX71" s="92"/>
      <c r="EY71" s="92"/>
      <c r="EZ71" s="92"/>
      <c r="FA71" s="92"/>
      <c r="FB71" s="92"/>
      <c r="FC71" s="92"/>
      <c r="FD71" s="92"/>
      <c r="FE71" s="92"/>
      <c r="FF71" s="92"/>
      <c r="FG71" s="92"/>
      <c r="FH71" s="92"/>
    </row>
    <row r="72">
      <c r="A72" s="32" t="s">
        <v>7</v>
      </c>
      <c r="B72" s="32" t="s">
        <v>24</v>
      </c>
      <c r="C72" s="32" t="s">
        <v>13</v>
      </c>
      <c r="D72" s="97">
        <f t="shared" si="1"/>
        <v>4209.98606</v>
      </c>
      <c r="E72" s="92">
        <f>(SUBSTITUTE(Audio!E72, "RE-", "", 1))*1</f>
        <v>0</v>
      </c>
      <c r="F72" s="92">
        <f>(SUBSTITUTE(Audio!F72, "RE-", "", 1))*1</f>
        <v>392.327</v>
      </c>
      <c r="G72" s="92">
        <f>(SUBSTITUTE(Audio!G72, "RE-", "", 1))*1</f>
        <v>2.7714</v>
      </c>
      <c r="H72" s="92">
        <f>(SUBSTITUTE(Audio!H72, "RE-", "", 1))*1</f>
        <v>74.0866</v>
      </c>
      <c r="I72" s="92">
        <f>(SUBSTITUTE(Audio!I72, "RE-", "", 1))*1</f>
        <v>0</v>
      </c>
      <c r="J72" s="92">
        <f>(SUBSTITUTE(Audio!J72, "RE-", "", 1))*1</f>
        <v>1403.87</v>
      </c>
      <c r="K72" s="92">
        <f>(SUBSTITUTE(Audio!K72, "RE-", "", 1))*1</f>
        <v>5.96655</v>
      </c>
      <c r="L72" s="92">
        <f>(SUBSTITUTE(Audio!L72, "RE-", "", 1))*1</f>
        <v>832.54</v>
      </c>
      <c r="M72" s="92">
        <f>(SUBSTITUTE(Audio!M72, "RE-", "", 1))*1</f>
        <v>8.4271</v>
      </c>
      <c r="N72" s="92">
        <f>(SUBSTITUTE(Audio!N72, "RE-", "", 1))*1</f>
        <v>359.506</v>
      </c>
      <c r="O72" s="92">
        <f>(SUBSTITUTE(Audio!O72, "RE-", "", 1))*1</f>
        <v>2.05988</v>
      </c>
      <c r="P72" s="92">
        <f>(SUBSTITUTE(Audio!P72, "RE-", "", 1))*1</f>
        <v>491.304</v>
      </c>
      <c r="Q72" s="92">
        <f>(SUBSTITUTE(Audio!Q72, "RE-", "", 1))*1</f>
        <v>33.8044</v>
      </c>
      <c r="R72" s="92">
        <f>(SUBSTITUTE(Audio!R72, "RE-", "", 1))*1</f>
        <v>265.459</v>
      </c>
      <c r="S72" s="92">
        <f>(SUBSTITUTE(Audio!S72, "RE-", "", 1))*1</f>
        <v>24.3117</v>
      </c>
      <c r="T72" s="92">
        <f>(SUBSTITUTE(Audio!T72, "RE-", "", 1))*1</f>
        <v>286.991</v>
      </c>
      <c r="U72" s="92">
        <f>(SUBSTITUTE(Audio!U72, "RE-", "", 1))*1</f>
        <v>24.2637</v>
      </c>
      <c r="V72" s="92">
        <f>(SUBSTITUTE(Audio!V72, "RE-", "", 1))*1</f>
        <v>2.29773</v>
      </c>
      <c r="W72" s="92">
        <f>(SUBSTITUTE(Audio!W72, "RE-", "", 1))*1</f>
        <v>0</v>
      </c>
      <c r="X72" s="92">
        <f>(SUBSTITUTE(Audio!X72, "RE-", "", 1))*1</f>
        <v>0</v>
      </c>
      <c r="Y72" s="92">
        <f>(SUBSTITUTE(Audio!Y72, "RE-", "", 1))*1</f>
        <v>0</v>
      </c>
      <c r="Z72" s="92">
        <f>(SUBSTITUTE(Audio!Z72, "RE-", "", 1))*1</f>
        <v>0</v>
      </c>
      <c r="AA72" s="92"/>
      <c r="AB72" s="92"/>
      <c r="AC72" s="92"/>
      <c r="AD72" s="92"/>
      <c r="AE72" s="92"/>
      <c r="AF72" s="92"/>
      <c r="AG72" s="92"/>
      <c r="AH72" s="92"/>
      <c r="AI72" s="92"/>
      <c r="AJ72" s="92"/>
      <c r="AK72" s="92"/>
      <c r="AL72" s="92"/>
      <c r="AM72" s="92"/>
      <c r="AN72" s="92"/>
      <c r="AO72" s="92"/>
      <c r="AP72" s="92"/>
      <c r="AQ72" s="92"/>
      <c r="AR72" s="92"/>
      <c r="AS72" s="92"/>
      <c r="AT72" s="92"/>
      <c r="AU72" s="92"/>
      <c r="AV72" s="92"/>
      <c r="AW72" s="92"/>
      <c r="AX72" s="92"/>
      <c r="AY72" s="92"/>
      <c r="AZ72" s="92"/>
      <c r="BA72" s="92"/>
      <c r="BB72" s="92"/>
      <c r="BC72" s="92"/>
      <c r="BD72" s="92"/>
      <c r="BE72" s="92"/>
      <c r="BF72" s="92"/>
      <c r="BG72" s="92"/>
      <c r="BH72" s="92"/>
      <c r="BI72" s="92"/>
      <c r="BJ72" s="92"/>
      <c r="BK72" s="92"/>
      <c r="BL72" s="92"/>
      <c r="BM72" s="92"/>
      <c r="BN72" s="92"/>
      <c r="BO72" s="92"/>
      <c r="BP72" s="92"/>
      <c r="BQ72" s="92"/>
      <c r="BR72" s="92"/>
      <c r="BS72" s="92"/>
      <c r="BT72" s="92"/>
      <c r="BU72" s="92"/>
      <c r="BV72" s="92"/>
      <c r="BW72" s="92"/>
      <c r="BX72" s="92"/>
      <c r="BY72" s="92"/>
      <c r="BZ72" s="92"/>
      <c r="CA72" s="92"/>
      <c r="CB72" s="92"/>
      <c r="CC72" s="92"/>
      <c r="CD72" s="92"/>
      <c r="CE72" s="92"/>
      <c r="CF72" s="92"/>
      <c r="CG72" s="92"/>
      <c r="CH72" s="92"/>
      <c r="CI72" s="92"/>
      <c r="CJ72" s="92"/>
      <c r="CK72" s="92"/>
      <c r="CL72" s="92"/>
      <c r="CM72" s="92"/>
      <c r="CN72" s="92"/>
      <c r="CO72" s="92"/>
      <c r="CP72" s="92"/>
      <c r="CQ72" s="92"/>
      <c r="CR72" s="92"/>
      <c r="CS72" s="92"/>
      <c r="CT72" s="92"/>
      <c r="CU72" s="92"/>
      <c r="CV72" s="92"/>
      <c r="CW72" s="92"/>
      <c r="CX72" s="92"/>
      <c r="CY72" s="92"/>
      <c r="CZ72" s="92"/>
      <c r="DA72" s="92"/>
      <c r="DB72" s="92"/>
      <c r="DC72" s="92"/>
      <c r="DD72" s="92"/>
      <c r="DE72" s="92"/>
      <c r="DF72" s="92"/>
      <c r="DG72" s="92"/>
      <c r="DH72" s="92"/>
      <c r="DI72" s="92"/>
      <c r="DJ72" s="92"/>
      <c r="DK72" s="92"/>
      <c r="DL72" s="92"/>
      <c r="DM72" s="92"/>
      <c r="DN72" s="92"/>
      <c r="DO72" s="92"/>
      <c r="DP72" s="92"/>
      <c r="DQ72" s="92"/>
      <c r="DR72" s="92"/>
      <c r="DS72" s="92"/>
      <c r="DT72" s="92"/>
      <c r="DU72" s="92"/>
      <c r="DV72" s="92"/>
      <c r="DW72" s="92"/>
      <c r="DX72" s="92"/>
      <c r="DY72" s="92"/>
      <c r="DZ72" s="92"/>
      <c r="EA72" s="92"/>
      <c r="EB72" s="92"/>
      <c r="EC72" s="92"/>
      <c r="ED72" s="92"/>
      <c r="EE72" s="92"/>
      <c r="EF72" s="92"/>
      <c r="EG72" s="92"/>
      <c r="EH72" s="92"/>
      <c r="EI72" s="92"/>
      <c r="EJ72" s="92"/>
      <c r="EK72" s="92"/>
      <c r="EL72" s="92"/>
      <c r="EM72" s="92"/>
      <c r="EN72" s="92"/>
      <c r="EO72" s="92"/>
      <c r="EP72" s="92"/>
      <c r="EQ72" s="92"/>
      <c r="ER72" s="92"/>
      <c r="ES72" s="92"/>
      <c r="ET72" s="92"/>
      <c r="EU72" s="92"/>
      <c r="EV72" s="92"/>
      <c r="EW72" s="92"/>
      <c r="EX72" s="92"/>
      <c r="EY72" s="92"/>
      <c r="EZ72" s="92"/>
      <c r="FA72" s="92"/>
      <c r="FB72" s="92"/>
      <c r="FC72" s="92"/>
      <c r="FD72" s="92"/>
      <c r="FE72" s="92"/>
      <c r="FF72" s="92"/>
      <c r="FG72" s="92"/>
      <c r="FH72" s="92"/>
    </row>
    <row r="73">
      <c r="A73" s="32" t="s">
        <v>7</v>
      </c>
      <c r="B73" s="32" t="s">
        <v>24</v>
      </c>
      <c r="C73" s="32" t="s">
        <v>14</v>
      </c>
      <c r="D73" s="97">
        <f t="shared" si="1"/>
        <v>3748.33139</v>
      </c>
      <c r="E73" s="92">
        <f>(SUBSTITUTE(Audio!E73, "RE-", "", 1))*1</f>
        <v>0</v>
      </c>
      <c r="F73" s="92">
        <f>(SUBSTITUTE(Audio!F73, "RE-", "", 1))*1</f>
        <v>352.366</v>
      </c>
      <c r="G73" s="92">
        <f>(SUBSTITUTE(Audio!G73, "RE-", "", 1))*1</f>
        <v>2.7714</v>
      </c>
      <c r="H73" s="92">
        <f>(SUBSTITUTE(Audio!H73, "RE-", "", 1))*1</f>
        <v>66.7948</v>
      </c>
      <c r="I73" s="92">
        <f>(SUBSTITUTE(Audio!I73, "RE-", "", 1))*1</f>
        <v>0</v>
      </c>
      <c r="J73" s="92">
        <f>(SUBSTITUTE(Audio!J73, "RE-", "", 1))*1</f>
        <v>1301.58</v>
      </c>
      <c r="K73" s="92">
        <f>(SUBSTITUTE(Audio!K73, "RE-", "", 1))*1</f>
        <v>5.63575</v>
      </c>
      <c r="L73" s="92">
        <f>(SUBSTITUTE(Audio!L73, "RE-", "", 1))*1</f>
        <v>733.039</v>
      </c>
      <c r="M73" s="92">
        <f>(SUBSTITUTE(Audio!M73, "RE-", "", 1))*1</f>
        <v>7.45858</v>
      </c>
      <c r="N73" s="92">
        <f>(SUBSTITUTE(Audio!N73, "RE-", "", 1))*1</f>
        <v>300.711</v>
      </c>
      <c r="O73" s="92">
        <f>(SUBSTITUTE(Audio!O73, "RE-", "", 1))*1</f>
        <v>2.05988</v>
      </c>
      <c r="P73" s="92">
        <f>(SUBSTITUTE(Audio!P73, "RE-", "", 1))*1</f>
        <v>430.754</v>
      </c>
      <c r="Q73" s="92">
        <f>(SUBSTITUTE(Audio!Q73, "RE-", "", 1))*1</f>
        <v>32.2251</v>
      </c>
      <c r="R73" s="92">
        <f>(SUBSTITUTE(Audio!R73, "RE-", "", 1))*1</f>
        <v>223.5</v>
      </c>
      <c r="S73" s="92">
        <f>(SUBSTITUTE(Audio!S73, "RE-", "", 1))*1</f>
        <v>22.0278</v>
      </c>
      <c r="T73" s="92">
        <f>(SUBSTITUTE(Audio!T73, "RE-", "", 1))*1</f>
        <v>244.246</v>
      </c>
      <c r="U73" s="92">
        <f>(SUBSTITUTE(Audio!U73, "RE-", "", 1))*1</f>
        <v>21.061</v>
      </c>
      <c r="V73" s="92">
        <f>(SUBSTITUTE(Audio!V73, "RE-", "", 1))*1</f>
        <v>2.10108</v>
      </c>
      <c r="W73" s="92">
        <f>(SUBSTITUTE(Audio!W73, "RE-", "", 1))*1</f>
        <v>0</v>
      </c>
      <c r="X73" s="92">
        <f>(SUBSTITUTE(Audio!X73, "RE-", "", 1))*1</f>
        <v>0</v>
      </c>
      <c r="Y73" s="92">
        <f>(SUBSTITUTE(Audio!Y73, "RE-", "", 1))*1</f>
        <v>0</v>
      </c>
      <c r="Z73" s="92">
        <f>(SUBSTITUTE(Audio!Z73, "RE-", "", 1))*1</f>
        <v>0</v>
      </c>
      <c r="AA73" s="92"/>
      <c r="AB73" s="92"/>
      <c r="AC73" s="92"/>
      <c r="AD73" s="92"/>
      <c r="AE73" s="92"/>
      <c r="AF73" s="92"/>
      <c r="AG73" s="92"/>
      <c r="AH73" s="92"/>
      <c r="AI73" s="92"/>
      <c r="AJ73" s="92"/>
      <c r="AK73" s="92"/>
      <c r="AL73" s="92"/>
      <c r="AM73" s="92"/>
      <c r="AN73" s="92"/>
      <c r="AO73" s="92"/>
      <c r="AP73" s="92"/>
      <c r="AQ73" s="92"/>
      <c r="AR73" s="92"/>
      <c r="AS73" s="92"/>
      <c r="AT73" s="92"/>
      <c r="AU73" s="92"/>
      <c r="AV73" s="92"/>
      <c r="AW73" s="92"/>
      <c r="AX73" s="92"/>
      <c r="AY73" s="92"/>
      <c r="AZ73" s="92"/>
      <c r="BA73" s="92"/>
      <c r="BB73" s="92"/>
      <c r="BC73" s="92"/>
      <c r="BD73" s="92"/>
      <c r="BE73" s="92"/>
      <c r="BF73" s="92"/>
      <c r="BG73" s="92"/>
      <c r="BH73" s="92"/>
      <c r="BI73" s="92"/>
      <c r="BJ73" s="92"/>
      <c r="BK73" s="92"/>
      <c r="BL73" s="92"/>
      <c r="BM73" s="92"/>
      <c r="BN73" s="92"/>
      <c r="BO73" s="92"/>
      <c r="BP73" s="92"/>
      <c r="BQ73" s="92"/>
      <c r="BR73" s="92"/>
      <c r="BS73" s="92"/>
      <c r="BT73" s="92"/>
      <c r="BU73" s="92"/>
      <c r="BV73" s="92"/>
      <c r="BW73" s="92"/>
      <c r="BX73" s="92"/>
      <c r="BY73" s="92"/>
      <c r="BZ73" s="92"/>
      <c r="CA73" s="92"/>
      <c r="CB73" s="92"/>
      <c r="CC73" s="92"/>
      <c r="CD73" s="92"/>
      <c r="CE73" s="92"/>
      <c r="CF73" s="92"/>
      <c r="CG73" s="92"/>
      <c r="CH73" s="92"/>
      <c r="CI73" s="92"/>
      <c r="CJ73" s="92"/>
      <c r="CK73" s="92"/>
      <c r="CL73" s="92"/>
      <c r="CM73" s="92"/>
      <c r="CN73" s="92"/>
      <c r="CO73" s="92"/>
      <c r="CP73" s="92"/>
      <c r="CQ73" s="92"/>
      <c r="CR73" s="92"/>
      <c r="CS73" s="92"/>
      <c r="CT73" s="92"/>
      <c r="CU73" s="92"/>
      <c r="CV73" s="92"/>
      <c r="CW73" s="92"/>
      <c r="CX73" s="92"/>
      <c r="CY73" s="92"/>
      <c r="CZ73" s="92"/>
      <c r="DA73" s="92"/>
      <c r="DB73" s="92"/>
      <c r="DC73" s="92"/>
      <c r="DD73" s="92"/>
      <c r="DE73" s="92"/>
      <c r="DF73" s="92"/>
      <c r="DG73" s="92"/>
      <c r="DH73" s="92"/>
      <c r="DI73" s="92"/>
      <c r="DJ73" s="92"/>
      <c r="DK73" s="92"/>
      <c r="DL73" s="92"/>
      <c r="DM73" s="92"/>
      <c r="DN73" s="92"/>
      <c r="DO73" s="92"/>
      <c r="DP73" s="92"/>
      <c r="DQ73" s="92"/>
      <c r="DR73" s="92"/>
      <c r="DS73" s="92"/>
      <c r="DT73" s="92"/>
      <c r="DU73" s="92"/>
      <c r="DV73" s="92"/>
      <c r="DW73" s="92"/>
      <c r="DX73" s="92"/>
      <c r="DY73" s="92"/>
      <c r="DZ73" s="92"/>
      <c r="EA73" s="92"/>
      <c r="EB73" s="92"/>
      <c r="EC73" s="92"/>
      <c r="ED73" s="92"/>
      <c r="EE73" s="92"/>
      <c r="EF73" s="92"/>
      <c r="EG73" s="92"/>
      <c r="EH73" s="92"/>
      <c r="EI73" s="92"/>
      <c r="EJ73" s="92"/>
      <c r="EK73" s="92"/>
      <c r="EL73" s="92"/>
      <c r="EM73" s="92"/>
      <c r="EN73" s="92"/>
      <c r="EO73" s="92"/>
      <c r="EP73" s="92"/>
      <c r="EQ73" s="92"/>
      <c r="ER73" s="92"/>
      <c r="ES73" s="92"/>
      <c r="ET73" s="92"/>
      <c r="EU73" s="92"/>
      <c r="EV73" s="92"/>
      <c r="EW73" s="92"/>
      <c r="EX73" s="92"/>
      <c r="EY73" s="92"/>
      <c r="EZ73" s="92"/>
      <c r="FA73" s="92"/>
      <c r="FB73" s="92"/>
      <c r="FC73" s="92"/>
      <c r="FD73" s="92"/>
      <c r="FE73" s="92"/>
      <c r="FF73" s="92"/>
      <c r="FG73" s="92"/>
      <c r="FH73" s="92"/>
    </row>
    <row r="74">
      <c r="A74" s="27" t="s">
        <v>7</v>
      </c>
      <c r="B74" s="27" t="s">
        <v>24</v>
      </c>
      <c r="C74" s="27" t="s">
        <v>15</v>
      </c>
      <c r="D74" s="98">
        <f t="shared" si="1"/>
        <v>4209.41976</v>
      </c>
      <c r="E74" s="92">
        <f>(SUBSTITUTE(Audio!E74, "RE-", "", 1))*1</f>
        <v>0</v>
      </c>
      <c r="F74" s="92">
        <f>(SUBSTITUTE(Audio!F74, "RE-", "", 1))*1</f>
        <v>392.327</v>
      </c>
      <c r="G74" s="92">
        <f>(SUBSTITUTE(Audio!G74, "RE-", "", 1))*1</f>
        <v>2.7714</v>
      </c>
      <c r="H74" s="92">
        <f>(SUBSTITUTE(Audio!H74, "RE-", "", 1))*1</f>
        <v>74.0866</v>
      </c>
      <c r="I74" s="92">
        <f>(SUBSTITUTE(Audio!I74, "RE-", "", 1))*1</f>
        <v>0</v>
      </c>
      <c r="J74" s="92">
        <f>(SUBSTITUTE(Audio!J74, "RE-", "", 1))*1</f>
        <v>1403.77</v>
      </c>
      <c r="K74" s="92">
        <f>(SUBSTITUTE(Audio!K74, "RE-", "", 1))*1</f>
        <v>5.96655</v>
      </c>
      <c r="L74" s="92">
        <f>(SUBSTITUTE(Audio!L74, "RE-", "", 1))*1</f>
        <v>832.54</v>
      </c>
      <c r="M74" s="92">
        <f>(SUBSTITUTE(Audio!M74, "RE-", "", 1))*1</f>
        <v>8.4271</v>
      </c>
      <c r="N74" s="92">
        <f>(SUBSTITUTE(Audio!N74, "RE-", "", 1))*1</f>
        <v>359.303</v>
      </c>
      <c r="O74" s="92">
        <f>(SUBSTITUTE(Audio!O74, "RE-", "", 1))*1</f>
        <v>2.05988</v>
      </c>
      <c r="P74" s="92">
        <f>(SUBSTITUTE(Audio!P74, "RE-", "", 1))*1</f>
        <v>491.154</v>
      </c>
      <c r="Q74" s="92">
        <f>(SUBSTITUTE(Audio!Q74, "RE-", "", 1))*1</f>
        <v>33.8044</v>
      </c>
      <c r="R74" s="92">
        <f>(SUBSTITUTE(Audio!R74, "RE-", "", 1))*1</f>
        <v>265.459</v>
      </c>
      <c r="S74" s="92">
        <f>(SUBSTITUTE(Audio!S74, "RE-", "", 1))*1</f>
        <v>24.3117</v>
      </c>
      <c r="T74" s="92">
        <f>(SUBSTITUTE(Audio!T74, "RE-", "", 1))*1</f>
        <v>286.991</v>
      </c>
      <c r="U74" s="92">
        <f>(SUBSTITUTE(Audio!U74, "RE-", "", 1))*1</f>
        <v>24.1504</v>
      </c>
      <c r="V74" s="92">
        <f>(SUBSTITUTE(Audio!V74, "RE-", "", 1))*1</f>
        <v>2.29773</v>
      </c>
      <c r="W74" s="92">
        <f>(SUBSTITUTE(Audio!W74, "RE-", "", 1))*1</f>
        <v>0</v>
      </c>
      <c r="X74" s="92">
        <f>(SUBSTITUTE(Audio!X74, "RE-", "", 1))*1</f>
        <v>0</v>
      </c>
      <c r="Y74" s="92">
        <f>(SUBSTITUTE(Audio!Y74, "RE-", "", 1))*1</f>
        <v>0</v>
      </c>
      <c r="Z74" s="92">
        <f>(SUBSTITUTE(Audio!Z74, "RE-", "", 1))*1</f>
        <v>0</v>
      </c>
      <c r="AA74" s="92"/>
      <c r="AB74" s="92"/>
      <c r="AC74" s="92"/>
      <c r="AD74" s="92"/>
      <c r="AE74" s="92"/>
      <c r="AF74" s="92"/>
      <c r="AG74" s="92"/>
      <c r="AH74" s="92"/>
      <c r="AI74" s="92"/>
      <c r="AJ74" s="92"/>
      <c r="AK74" s="92"/>
      <c r="AL74" s="92"/>
      <c r="AM74" s="92"/>
      <c r="AN74" s="92"/>
      <c r="AO74" s="92"/>
      <c r="AP74" s="92"/>
      <c r="AQ74" s="92"/>
      <c r="AR74" s="92"/>
      <c r="AS74" s="92"/>
      <c r="AT74" s="92"/>
      <c r="AU74" s="92"/>
      <c r="AV74" s="92"/>
      <c r="AW74" s="92"/>
      <c r="AX74" s="92"/>
      <c r="AY74" s="92"/>
      <c r="AZ74" s="92"/>
      <c r="BA74" s="92"/>
      <c r="BB74" s="92"/>
      <c r="BC74" s="92"/>
      <c r="BD74" s="92"/>
      <c r="BE74" s="92"/>
      <c r="BF74" s="92"/>
      <c r="BG74" s="92"/>
      <c r="BH74" s="92"/>
      <c r="BI74" s="92"/>
      <c r="BJ74" s="92"/>
      <c r="BK74" s="92"/>
      <c r="BL74" s="92"/>
      <c r="BM74" s="92"/>
      <c r="BN74" s="92"/>
      <c r="BO74" s="92"/>
      <c r="BP74" s="92"/>
      <c r="BQ74" s="92"/>
      <c r="BR74" s="92"/>
      <c r="BS74" s="92"/>
      <c r="BT74" s="92"/>
      <c r="BU74" s="92"/>
      <c r="BV74" s="92"/>
      <c r="BW74" s="92"/>
      <c r="BX74" s="92"/>
      <c r="BY74" s="92"/>
      <c r="BZ74" s="92"/>
      <c r="CA74" s="92"/>
      <c r="CB74" s="92"/>
      <c r="CC74" s="92"/>
      <c r="CD74" s="92"/>
      <c r="CE74" s="92"/>
      <c r="CF74" s="92"/>
      <c r="CG74" s="92"/>
      <c r="CH74" s="92"/>
      <c r="CI74" s="92"/>
      <c r="CJ74" s="92"/>
      <c r="CK74" s="92"/>
      <c r="CL74" s="92"/>
      <c r="CM74" s="92"/>
      <c r="CN74" s="92"/>
      <c r="CO74" s="92"/>
      <c r="CP74" s="92"/>
      <c r="CQ74" s="92"/>
      <c r="CR74" s="92"/>
      <c r="CS74" s="92"/>
      <c r="CT74" s="92"/>
      <c r="CU74" s="92"/>
      <c r="CV74" s="92"/>
      <c r="CW74" s="92"/>
      <c r="CX74" s="92"/>
      <c r="CY74" s="92"/>
      <c r="CZ74" s="92"/>
      <c r="DA74" s="92"/>
      <c r="DB74" s="92"/>
      <c r="DC74" s="92"/>
      <c r="DD74" s="92"/>
      <c r="DE74" s="92"/>
      <c r="DF74" s="92"/>
      <c r="DG74" s="92"/>
      <c r="DH74" s="92"/>
      <c r="DI74" s="92"/>
      <c r="DJ74" s="92"/>
      <c r="DK74" s="92"/>
      <c r="DL74" s="92"/>
      <c r="DM74" s="92"/>
      <c r="DN74" s="92"/>
      <c r="DO74" s="92"/>
      <c r="DP74" s="92"/>
      <c r="DQ74" s="92"/>
      <c r="DR74" s="92"/>
      <c r="DS74" s="92"/>
      <c r="DT74" s="92"/>
      <c r="DU74" s="92"/>
      <c r="DV74" s="92"/>
      <c r="DW74" s="92"/>
      <c r="DX74" s="92"/>
      <c r="DY74" s="92"/>
      <c r="DZ74" s="92"/>
      <c r="EA74" s="92"/>
      <c r="EB74" s="92"/>
      <c r="EC74" s="92"/>
      <c r="ED74" s="92"/>
      <c r="EE74" s="92"/>
      <c r="EF74" s="92"/>
      <c r="EG74" s="92"/>
      <c r="EH74" s="92"/>
      <c r="EI74" s="92"/>
      <c r="EJ74" s="92"/>
      <c r="EK74" s="92"/>
      <c r="EL74" s="92"/>
      <c r="EM74" s="92"/>
      <c r="EN74" s="92"/>
      <c r="EO74" s="92"/>
      <c r="EP74" s="92"/>
      <c r="EQ74" s="92"/>
      <c r="ER74" s="92"/>
      <c r="ES74" s="92"/>
      <c r="ET74" s="92"/>
      <c r="EU74" s="92"/>
      <c r="EV74" s="92"/>
      <c r="EW74" s="92"/>
      <c r="EX74" s="92"/>
      <c r="EY74" s="92"/>
      <c r="EZ74" s="92"/>
      <c r="FA74" s="92"/>
      <c r="FB74" s="92"/>
      <c r="FC74" s="92"/>
      <c r="FD74" s="92"/>
      <c r="FE74" s="92"/>
      <c r="FF74" s="92"/>
      <c r="FG74" s="92"/>
      <c r="FH74" s="92"/>
    </row>
    <row r="75">
      <c r="A75" s="30" t="s">
        <v>7</v>
      </c>
      <c r="B75" s="30" t="s">
        <v>25</v>
      </c>
      <c r="C75" s="31" t="str">
        <f>HYPERLINK("https://docs.google.com/spreadsheets/d/1c-50NDe18Mx-J_eizvJAwCtIiAB5Rwu3/edit?usp=share_link&amp;ouid=106501987799020758802&amp;rtpof=true&amp;sd=true", "Raw Delivered")</f>
        <v>Raw Delivered</v>
      </c>
      <c r="D75" s="96">
        <f t="shared" si="1"/>
        <v>5655.630779</v>
      </c>
      <c r="E75" s="92">
        <f>(SUBSTITUTE(Audio!E75, "RE-", "", 1))*1</f>
        <v>0</v>
      </c>
      <c r="F75" s="92">
        <f>(SUBSTITUTE(Audio!F75, "RE-", "", 1))*1</f>
        <v>634.1901115</v>
      </c>
      <c r="G75" s="92">
        <f>(SUBSTITUTE(Audio!G75, "RE-", "", 1))*1</f>
        <v>0</v>
      </c>
      <c r="H75" s="92">
        <f>(SUBSTITUTE(Audio!H75, "RE-", "", 1))*1</f>
        <v>97.52397083</v>
      </c>
      <c r="I75" s="92">
        <f>(SUBSTITUTE(Audio!I75, "RE-", "", 1))*1</f>
        <v>0</v>
      </c>
      <c r="J75" s="92">
        <f>(SUBSTITUTE(Audio!J75, "RE-", "", 1))*1</f>
        <v>1423.214458</v>
      </c>
      <c r="K75" s="92">
        <f>(SUBSTITUTE(Audio!K75, "RE-", "", 1))*1</f>
        <v>0</v>
      </c>
      <c r="L75" s="92">
        <f>(SUBSTITUTE(Audio!L75, "RE-", "", 1))*1</f>
        <v>404.5543229</v>
      </c>
      <c r="M75" s="92">
        <f>(SUBSTITUTE(Audio!M75, "RE-", "", 1))*1</f>
        <v>0</v>
      </c>
      <c r="N75" s="92">
        <f>(SUBSTITUTE(Audio!N75, "RE-", "", 1))*1</f>
        <v>2068.727943</v>
      </c>
      <c r="O75" s="92">
        <f>(SUBSTITUTE(Audio!O75, "RE-", "", 1))*1</f>
        <v>0</v>
      </c>
      <c r="P75" s="92">
        <f>(SUBSTITUTE(Audio!P75, "RE-", "", 1))*1</f>
        <v>246.1597927</v>
      </c>
      <c r="Q75" s="92">
        <f>(SUBSTITUTE(Audio!Q75, "RE-", "", 1))*1</f>
        <v>0</v>
      </c>
      <c r="R75" s="92">
        <f>(SUBSTITUTE(Audio!R75, "RE-", "", 1))*1</f>
        <v>118.4091</v>
      </c>
      <c r="S75" s="92">
        <f>(SUBSTITUTE(Audio!S75, "RE-", "", 1))*1</f>
        <v>0</v>
      </c>
      <c r="T75" s="92">
        <f>(SUBSTITUTE(Audio!T75, "RE-", "", 1))*1</f>
        <v>662.8510802</v>
      </c>
      <c r="U75" s="92">
        <f>(SUBSTITUTE(Audio!U75, "RE-", "", 1))*1</f>
        <v>0</v>
      </c>
      <c r="V75" s="92">
        <f>(SUBSTITUTE(Audio!V75, "RE-", "", 1))*1</f>
        <v>0</v>
      </c>
      <c r="W75" s="92">
        <f>(SUBSTITUTE(Audio!W75, "RE-", "", 1))*1</f>
        <v>0</v>
      </c>
      <c r="X75" s="92">
        <f>(SUBSTITUTE(Audio!X75, "RE-", "", 1))*1</f>
        <v>0</v>
      </c>
      <c r="Y75" s="92">
        <f>(SUBSTITUTE(Audio!Y75, "RE-", "", 1))*1</f>
        <v>0</v>
      </c>
      <c r="Z75" s="92">
        <f>(SUBSTITUTE(Audio!Z75, "RE-", "", 1))*1</f>
        <v>0</v>
      </c>
      <c r="AA75" s="92"/>
      <c r="AB75" s="92"/>
      <c r="AC75" s="92"/>
      <c r="AD75" s="92"/>
      <c r="AE75" s="92"/>
      <c r="AF75" s="92"/>
      <c r="AG75" s="92"/>
      <c r="AH75" s="92"/>
      <c r="AI75" s="92"/>
      <c r="AJ75" s="92"/>
      <c r="AK75" s="92"/>
      <c r="AL75" s="92"/>
      <c r="AM75" s="92"/>
      <c r="AN75" s="92"/>
      <c r="AO75" s="92"/>
      <c r="AP75" s="92"/>
      <c r="AQ75" s="92"/>
      <c r="AR75" s="92"/>
      <c r="AS75" s="92"/>
      <c r="AT75" s="92"/>
      <c r="AU75" s="92"/>
      <c r="AV75" s="92"/>
      <c r="AW75" s="92"/>
      <c r="AX75" s="92"/>
      <c r="AY75" s="92"/>
      <c r="AZ75" s="92"/>
      <c r="BA75" s="92"/>
      <c r="BB75" s="92"/>
      <c r="BC75" s="92"/>
      <c r="BD75" s="92"/>
      <c r="BE75" s="92"/>
      <c r="BF75" s="92"/>
      <c r="BG75" s="92"/>
      <c r="BH75" s="92"/>
      <c r="BI75" s="92"/>
      <c r="BJ75" s="92"/>
      <c r="BK75" s="92"/>
      <c r="BL75" s="92"/>
      <c r="BM75" s="92"/>
      <c r="BN75" s="92"/>
      <c r="BO75" s="92"/>
      <c r="BP75" s="92"/>
      <c r="BQ75" s="92"/>
      <c r="BR75" s="92"/>
      <c r="BS75" s="92"/>
      <c r="BT75" s="92"/>
      <c r="BU75" s="92"/>
      <c r="BV75" s="92"/>
      <c r="BW75" s="92"/>
      <c r="BX75" s="92"/>
      <c r="BY75" s="92"/>
      <c r="BZ75" s="92"/>
      <c r="CA75" s="92"/>
      <c r="CB75" s="92"/>
      <c r="CC75" s="92"/>
      <c r="CD75" s="92"/>
      <c r="CE75" s="92"/>
      <c r="CF75" s="92"/>
      <c r="CG75" s="92"/>
      <c r="CH75" s="92"/>
      <c r="CI75" s="92"/>
      <c r="CJ75" s="92"/>
      <c r="CK75" s="92"/>
      <c r="CL75" s="92"/>
      <c r="CM75" s="92"/>
      <c r="CN75" s="92"/>
      <c r="CO75" s="92"/>
      <c r="CP75" s="92"/>
      <c r="CQ75" s="92"/>
      <c r="CR75" s="92"/>
      <c r="CS75" s="92"/>
      <c r="CT75" s="92"/>
      <c r="CU75" s="92"/>
      <c r="CV75" s="92"/>
      <c r="CW75" s="92"/>
      <c r="CX75" s="92"/>
      <c r="CY75" s="92"/>
      <c r="CZ75" s="92"/>
      <c r="DA75" s="92"/>
      <c r="DB75" s="92"/>
      <c r="DC75" s="92"/>
      <c r="DD75" s="92"/>
      <c r="DE75" s="92"/>
      <c r="DF75" s="92"/>
      <c r="DG75" s="92"/>
      <c r="DH75" s="92"/>
      <c r="DI75" s="92"/>
      <c r="DJ75" s="92"/>
      <c r="DK75" s="92"/>
      <c r="DL75" s="92"/>
      <c r="DM75" s="92"/>
      <c r="DN75" s="92"/>
      <c r="DO75" s="92"/>
      <c r="DP75" s="92"/>
      <c r="DQ75" s="92"/>
      <c r="DR75" s="92"/>
      <c r="DS75" s="92"/>
      <c r="DT75" s="92"/>
      <c r="DU75" s="92"/>
      <c r="DV75" s="92"/>
      <c r="DW75" s="92"/>
      <c r="DX75" s="92"/>
      <c r="DY75" s="92"/>
      <c r="DZ75" s="92"/>
      <c r="EA75" s="92"/>
      <c r="EB75" s="92"/>
      <c r="EC75" s="92"/>
      <c r="ED75" s="92"/>
      <c r="EE75" s="92"/>
      <c r="EF75" s="92"/>
      <c r="EG75" s="92"/>
      <c r="EH75" s="92"/>
      <c r="EI75" s="92"/>
      <c r="EJ75" s="92"/>
      <c r="EK75" s="92"/>
      <c r="EL75" s="92"/>
      <c r="EM75" s="92"/>
      <c r="EN75" s="92"/>
      <c r="EO75" s="92"/>
      <c r="EP75" s="92"/>
      <c r="EQ75" s="92"/>
      <c r="ER75" s="92"/>
      <c r="ES75" s="92"/>
      <c r="ET75" s="92"/>
      <c r="EU75" s="92"/>
      <c r="EV75" s="92"/>
      <c r="EW75" s="92"/>
      <c r="EX75" s="92"/>
      <c r="EY75" s="92"/>
      <c r="EZ75" s="92"/>
      <c r="FA75" s="92"/>
      <c r="FB75" s="92"/>
      <c r="FC75" s="92"/>
      <c r="FD75" s="92"/>
      <c r="FE75" s="92"/>
      <c r="FF75" s="92"/>
      <c r="FG75" s="92"/>
      <c r="FH75" s="92"/>
    </row>
    <row r="76">
      <c r="A76" s="32" t="s">
        <v>7</v>
      </c>
      <c r="B76" s="32" t="s">
        <v>25</v>
      </c>
      <c r="C76" s="32" t="s">
        <v>9</v>
      </c>
      <c r="D76" s="97">
        <f t="shared" si="1"/>
        <v>5655.630779</v>
      </c>
      <c r="E76" s="92">
        <f>(SUBSTITUTE(Audio!E76, "RE-", "", 1))*1</f>
        <v>0</v>
      </c>
      <c r="F76" s="92">
        <f>(SUBSTITUTE(Audio!F76, "RE-", "", 1))*1</f>
        <v>634.1901115</v>
      </c>
      <c r="G76" s="92">
        <f>(SUBSTITUTE(Audio!G76, "RE-", "", 1))*1</f>
        <v>0</v>
      </c>
      <c r="H76" s="92">
        <f>(SUBSTITUTE(Audio!H76, "RE-", "", 1))*1</f>
        <v>97.52397083</v>
      </c>
      <c r="I76" s="92">
        <f>(SUBSTITUTE(Audio!I76, "RE-", "", 1))*1</f>
        <v>0</v>
      </c>
      <c r="J76" s="92">
        <f>(SUBSTITUTE(Audio!J76, "RE-", "", 1))*1</f>
        <v>1423.214458</v>
      </c>
      <c r="K76" s="92">
        <f>(SUBSTITUTE(Audio!K76, "RE-", "", 1))*1</f>
        <v>0</v>
      </c>
      <c r="L76" s="92">
        <f>(SUBSTITUTE(Audio!L76, "RE-", "", 1))*1</f>
        <v>404.5543229</v>
      </c>
      <c r="M76" s="92">
        <f>(SUBSTITUTE(Audio!M76, "RE-", "", 1))*1</f>
        <v>0</v>
      </c>
      <c r="N76" s="92">
        <f>(SUBSTITUTE(Audio!N76, "RE-", "", 1))*1</f>
        <v>2068.727943</v>
      </c>
      <c r="O76" s="92">
        <f>(SUBSTITUTE(Audio!O76, "RE-", "", 1))*1</f>
        <v>0</v>
      </c>
      <c r="P76" s="92">
        <f>(SUBSTITUTE(Audio!P76, "RE-", "", 1))*1</f>
        <v>246.1597927</v>
      </c>
      <c r="Q76" s="92">
        <f>(SUBSTITUTE(Audio!Q76, "RE-", "", 1))*1</f>
        <v>0</v>
      </c>
      <c r="R76" s="92">
        <f>(SUBSTITUTE(Audio!R76, "RE-", "", 1))*1</f>
        <v>118.4091</v>
      </c>
      <c r="S76" s="92">
        <f>(SUBSTITUTE(Audio!S76, "RE-", "", 1))*1</f>
        <v>0</v>
      </c>
      <c r="T76" s="92">
        <f>(SUBSTITUTE(Audio!T76, "RE-", "", 1))*1</f>
        <v>662.8510802</v>
      </c>
      <c r="U76" s="92">
        <f>(SUBSTITUTE(Audio!U76, "RE-", "", 1))*1</f>
        <v>0</v>
      </c>
      <c r="V76" s="92">
        <f>(SUBSTITUTE(Audio!V76, "RE-", "", 1))*1</f>
        <v>0</v>
      </c>
      <c r="W76" s="92">
        <f>(SUBSTITUTE(Audio!W76, "RE-", "", 1))*1</f>
        <v>0</v>
      </c>
      <c r="X76" s="92">
        <f>(SUBSTITUTE(Audio!X76, "RE-", "", 1))*1</f>
        <v>0</v>
      </c>
      <c r="Y76" s="92">
        <f>(SUBSTITUTE(Audio!Y76, "RE-", "", 1))*1</f>
        <v>0</v>
      </c>
      <c r="Z76" s="92">
        <f>(SUBSTITUTE(Audio!Z76, "RE-", "", 1))*1</f>
        <v>0</v>
      </c>
      <c r="AA76" s="92"/>
      <c r="AB76" s="92"/>
      <c r="AC76" s="92"/>
      <c r="AD76" s="92"/>
      <c r="AE76" s="92"/>
      <c r="AF76" s="92"/>
      <c r="AG76" s="92"/>
      <c r="AH76" s="92"/>
      <c r="AI76" s="92"/>
      <c r="AJ76" s="92"/>
      <c r="AK76" s="92"/>
      <c r="AL76" s="92"/>
      <c r="AM76" s="92"/>
      <c r="AN76" s="92"/>
      <c r="AO76" s="92"/>
      <c r="AP76" s="92"/>
      <c r="AQ76" s="92"/>
      <c r="AR76" s="92"/>
      <c r="AS76" s="92"/>
      <c r="AT76" s="92"/>
      <c r="AU76" s="92"/>
      <c r="AV76" s="92"/>
      <c r="AW76" s="92"/>
      <c r="AX76" s="92"/>
      <c r="AY76" s="92"/>
      <c r="AZ76" s="92"/>
      <c r="BA76" s="92"/>
      <c r="BB76" s="92"/>
      <c r="BC76" s="92"/>
      <c r="BD76" s="92"/>
      <c r="BE76" s="92"/>
      <c r="BF76" s="92"/>
      <c r="BG76" s="92"/>
      <c r="BH76" s="92"/>
      <c r="BI76" s="92"/>
      <c r="BJ76" s="92"/>
      <c r="BK76" s="92"/>
      <c r="BL76" s="92"/>
      <c r="BM76" s="92"/>
      <c r="BN76" s="92"/>
      <c r="BO76" s="92"/>
      <c r="BP76" s="92"/>
      <c r="BQ76" s="92"/>
      <c r="BR76" s="92"/>
      <c r="BS76" s="92"/>
      <c r="BT76" s="92"/>
      <c r="BU76" s="92"/>
      <c r="BV76" s="92"/>
      <c r="BW76" s="92"/>
      <c r="BX76" s="92"/>
      <c r="BY76" s="92"/>
      <c r="BZ76" s="92"/>
      <c r="CA76" s="92"/>
      <c r="CB76" s="92"/>
      <c r="CC76" s="92"/>
      <c r="CD76" s="92"/>
      <c r="CE76" s="92"/>
      <c r="CF76" s="92"/>
      <c r="CG76" s="92"/>
      <c r="CH76" s="92"/>
      <c r="CI76" s="92"/>
      <c r="CJ76" s="92"/>
      <c r="CK76" s="92"/>
      <c r="CL76" s="92"/>
      <c r="CM76" s="92"/>
      <c r="CN76" s="92"/>
      <c r="CO76" s="92"/>
      <c r="CP76" s="92"/>
      <c r="CQ76" s="92"/>
      <c r="CR76" s="92"/>
      <c r="CS76" s="92"/>
      <c r="CT76" s="92"/>
      <c r="CU76" s="92"/>
      <c r="CV76" s="92"/>
      <c r="CW76" s="92"/>
      <c r="CX76" s="92"/>
      <c r="CY76" s="92"/>
      <c r="CZ76" s="92"/>
      <c r="DA76" s="92"/>
      <c r="DB76" s="92"/>
      <c r="DC76" s="92"/>
      <c r="DD76" s="92"/>
      <c r="DE76" s="92"/>
      <c r="DF76" s="92"/>
      <c r="DG76" s="92"/>
      <c r="DH76" s="92"/>
      <c r="DI76" s="92"/>
      <c r="DJ76" s="92"/>
      <c r="DK76" s="92"/>
      <c r="DL76" s="92"/>
      <c r="DM76" s="92"/>
      <c r="DN76" s="92"/>
      <c r="DO76" s="92"/>
      <c r="DP76" s="92"/>
      <c r="DQ76" s="92"/>
      <c r="DR76" s="92"/>
      <c r="DS76" s="92"/>
      <c r="DT76" s="92"/>
      <c r="DU76" s="92"/>
      <c r="DV76" s="92"/>
      <c r="DW76" s="92"/>
      <c r="DX76" s="92"/>
      <c r="DY76" s="92"/>
      <c r="DZ76" s="92"/>
      <c r="EA76" s="92"/>
      <c r="EB76" s="92"/>
      <c r="EC76" s="92"/>
      <c r="ED76" s="92"/>
      <c r="EE76" s="92"/>
      <c r="EF76" s="92"/>
      <c r="EG76" s="92"/>
      <c r="EH76" s="92"/>
      <c r="EI76" s="92"/>
      <c r="EJ76" s="92"/>
      <c r="EK76" s="92"/>
      <c r="EL76" s="92"/>
      <c r="EM76" s="92"/>
      <c r="EN76" s="92"/>
      <c r="EO76" s="92"/>
      <c r="EP76" s="92"/>
      <c r="EQ76" s="92"/>
      <c r="ER76" s="92"/>
      <c r="ES76" s="92"/>
      <c r="ET76" s="92"/>
      <c r="EU76" s="92"/>
      <c r="EV76" s="92"/>
      <c r="EW76" s="92"/>
      <c r="EX76" s="92"/>
      <c r="EY76" s="92"/>
      <c r="EZ76" s="92"/>
      <c r="FA76" s="92"/>
      <c r="FB76" s="92"/>
      <c r="FC76" s="92"/>
      <c r="FD76" s="92"/>
      <c r="FE76" s="92"/>
      <c r="FF76" s="92"/>
      <c r="FG76" s="92"/>
      <c r="FH76" s="92"/>
    </row>
    <row r="77">
      <c r="A77" s="32" t="s">
        <v>7</v>
      </c>
      <c r="B77" s="32" t="s">
        <v>25</v>
      </c>
      <c r="C77" s="32" t="s">
        <v>10</v>
      </c>
      <c r="D77" s="97">
        <f t="shared" si="1"/>
        <v>597.7774115</v>
      </c>
      <c r="E77" s="92">
        <f>(SUBSTITUTE(Audio!E77, "RE-", "", 1))*1</f>
        <v>0</v>
      </c>
      <c r="F77" s="92">
        <f>(SUBSTITUTE(Audio!F77, "RE-", "", 1))*1</f>
        <v>0</v>
      </c>
      <c r="G77" s="92">
        <f>(SUBSTITUTE(Audio!G77, "RE-", "", 1))*1</f>
        <v>53.95882708</v>
      </c>
      <c r="H77" s="92">
        <f>(SUBSTITUTE(Audio!H77, "RE-", "", 1))*1</f>
        <v>0</v>
      </c>
      <c r="I77" s="92">
        <f>(SUBSTITUTE(Audio!I77, "RE-", "", 1))*1</f>
        <v>15.52531042</v>
      </c>
      <c r="J77" s="92">
        <f>(SUBSTITUTE(Audio!J77, "RE-", "", 1))*1</f>
        <v>0</v>
      </c>
      <c r="K77" s="92">
        <f>(SUBSTITUTE(Audio!K77, "RE-", "", 1))*1</f>
        <v>118.3989448</v>
      </c>
      <c r="L77" s="92">
        <f>(SUBSTITUTE(Audio!L77, "RE-", "", 1))*1</f>
        <v>0</v>
      </c>
      <c r="M77" s="92">
        <f>(SUBSTITUTE(Audio!M77, "RE-", "", 1))*1</f>
        <v>25.40472396</v>
      </c>
      <c r="N77" s="92">
        <f>(SUBSTITUTE(Audio!N77, "RE-", "", 1))*1</f>
        <v>0</v>
      </c>
      <c r="O77" s="92">
        <f>(SUBSTITUTE(Audio!O77, "RE-", "", 1))*1</f>
        <v>248.5465146</v>
      </c>
      <c r="P77" s="92">
        <f>(SUBSTITUTE(Audio!P77, "RE-", "", 1))*1</f>
        <v>0</v>
      </c>
      <c r="Q77" s="92">
        <f>(SUBSTITUTE(Audio!Q77, "RE-", "", 1))*1</f>
        <v>63.29778021</v>
      </c>
      <c r="R77" s="92">
        <f>(SUBSTITUTE(Audio!R77, "RE-", "", 1))*1</f>
        <v>0</v>
      </c>
      <c r="S77" s="92">
        <f>(SUBSTITUTE(Audio!S77, "RE-", "", 1))*1</f>
        <v>19.02639375</v>
      </c>
      <c r="T77" s="92">
        <f>(SUBSTITUTE(Audio!T77, "RE-", "", 1))*1</f>
        <v>0</v>
      </c>
      <c r="U77" s="92">
        <f>(SUBSTITUTE(Audio!U77, "RE-", "", 1))*1</f>
        <v>48.29483125</v>
      </c>
      <c r="V77" s="92">
        <f>(SUBSTITUTE(Audio!V77, "RE-", "", 1))*1</f>
        <v>5.324085417</v>
      </c>
      <c r="W77" s="92">
        <f>(SUBSTITUTE(Audio!W77, "RE-", "", 1))*1</f>
        <v>0</v>
      </c>
      <c r="X77" s="92">
        <f>(SUBSTITUTE(Audio!X77, "RE-", "", 1))*1</f>
        <v>0</v>
      </c>
      <c r="Y77" s="92">
        <f>(SUBSTITUTE(Audio!Y77, "RE-", "", 1))*1</f>
        <v>0</v>
      </c>
      <c r="Z77" s="92">
        <f>(SUBSTITUTE(Audio!Z77, "RE-", "", 1))*1</f>
        <v>0</v>
      </c>
      <c r="AA77" s="92"/>
      <c r="AB77" s="92"/>
      <c r="AC77" s="92"/>
      <c r="AD77" s="92"/>
      <c r="AE77" s="92"/>
      <c r="AF77" s="92"/>
      <c r="AG77" s="92"/>
      <c r="AH77" s="92"/>
      <c r="AI77" s="92"/>
      <c r="AJ77" s="92"/>
      <c r="AK77" s="92"/>
      <c r="AL77" s="92"/>
      <c r="AM77" s="92"/>
      <c r="AN77" s="92"/>
      <c r="AO77" s="92"/>
      <c r="AP77" s="92"/>
      <c r="AQ77" s="92"/>
      <c r="AR77" s="92"/>
      <c r="AS77" s="92"/>
      <c r="AT77" s="92"/>
      <c r="AU77" s="92"/>
      <c r="AV77" s="92"/>
      <c r="AW77" s="92"/>
      <c r="AX77" s="92"/>
      <c r="AY77" s="92"/>
      <c r="AZ77" s="92"/>
      <c r="BA77" s="92"/>
      <c r="BB77" s="92"/>
      <c r="BC77" s="92"/>
      <c r="BD77" s="92"/>
      <c r="BE77" s="92"/>
      <c r="BF77" s="92"/>
      <c r="BG77" s="92"/>
      <c r="BH77" s="92"/>
      <c r="BI77" s="92"/>
      <c r="BJ77" s="92"/>
      <c r="BK77" s="92"/>
      <c r="BL77" s="92"/>
      <c r="BM77" s="92"/>
      <c r="BN77" s="92"/>
      <c r="BO77" s="92"/>
      <c r="BP77" s="92"/>
      <c r="BQ77" s="92"/>
      <c r="BR77" s="92"/>
      <c r="BS77" s="92"/>
      <c r="BT77" s="92"/>
      <c r="BU77" s="92"/>
      <c r="BV77" s="92"/>
      <c r="BW77" s="92"/>
      <c r="BX77" s="92"/>
      <c r="BY77" s="92"/>
      <c r="BZ77" s="92"/>
      <c r="CA77" s="92"/>
      <c r="CB77" s="92"/>
      <c r="CC77" s="92"/>
      <c r="CD77" s="92"/>
      <c r="CE77" s="92"/>
      <c r="CF77" s="92"/>
      <c r="CG77" s="92"/>
      <c r="CH77" s="92"/>
      <c r="CI77" s="92"/>
      <c r="CJ77" s="92"/>
      <c r="CK77" s="92"/>
      <c r="CL77" s="92"/>
      <c r="CM77" s="92"/>
      <c r="CN77" s="92"/>
      <c r="CO77" s="92"/>
      <c r="CP77" s="92"/>
      <c r="CQ77" s="92"/>
      <c r="CR77" s="92"/>
      <c r="CS77" s="92"/>
      <c r="CT77" s="92"/>
      <c r="CU77" s="92"/>
      <c r="CV77" s="92"/>
      <c r="CW77" s="92"/>
      <c r="CX77" s="92"/>
      <c r="CY77" s="92"/>
      <c r="CZ77" s="92"/>
      <c r="DA77" s="92"/>
      <c r="DB77" s="92"/>
      <c r="DC77" s="92"/>
      <c r="DD77" s="92"/>
      <c r="DE77" s="92"/>
      <c r="DF77" s="92"/>
      <c r="DG77" s="92"/>
      <c r="DH77" s="92"/>
      <c r="DI77" s="92"/>
      <c r="DJ77" s="92"/>
      <c r="DK77" s="92"/>
      <c r="DL77" s="92"/>
      <c r="DM77" s="92"/>
      <c r="DN77" s="92"/>
      <c r="DO77" s="92"/>
      <c r="DP77" s="92"/>
      <c r="DQ77" s="92"/>
      <c r="DR77" s="92"/>
      <c r="DS77" s="92"/>
      <c r="DT77" s="92"/>
      <c r="DU77" s="92"/>
      <c r="DV77" s="92"/>
      <c r="DW77" s="92"/>
      <c r="DX77" s="92"/>
      <c r="DY77" s="92"/>
      <c r="DZ77" s="92"/>
      <c r="EA77" s="92"/>
      <c r="EB77" s="92"/>
      <c r="EC77" s="92"/>
      <c r="ED77" s="92"/>
      <c r="EE77" s="92"/>
      <c r="EF77" s="92"/>
      <c r="EG77" s="92"/>
      <c r="EH77" s="92"/>
      <c r="EI77" s="92"/>
      <c r="EJ77" s="92"/>
      <c r="EK77" s="92"/>
      <c r="EL77" s="92"/>
      <c r="EM77" s="92"/>
      <c r="EN77" s="92"/>
      <c r="EO77" s="92"/>
      <c r="EP77" s="92"/>
      <c r="EQ77" s="92"/>
      <c r="ER77" s="92"/>
      <c r="ES77" s="92"/>
      <c r="ET77" s="92"/>
      <c r="EU77" s="92"/>
      <c r="EV77" s="92"/>
      <c r="EW77" s="92"/>
      <c r="EX77" s="92"/>
      <c r="EY77" s="92"/>
      <c r="EZ77" s="92"/>
      <c r="FA77" s="92"/>
      <c r="FB77" s="92"/>
      <c r="FC77" s="92"/>
      <c r="FD77" s="92"/>
      <c r="FE77" s="92"/>
      <c r="FF77" s="92"/>
      <c r="FG77" s="92"/>
      <c r="FH77" s="92"/>
    </row>
    <row r="78">
      <c r="A78" s="32" t="s">
        <v>7</v>
      </c>
      <c r="B78" s="32" t="s">
        <v>25</v>
      </c>
      <c r="C78" s="32" t="s">
        <v>11</v>
      </c>
      <c r="D78" s="97">
        <f t="shared" si="1"/>
        <v>597.7774115</v>
      </c>
      <c r="E78" s="92">
        <f>(SUBSTITUTE(Audio!E78, "RE-", "", 1))*1</f>
        <v>0</v>
      </c>
      <c r="F78" s="92">
        <f>(SUBSTITUTE(Audio!F78, "RE-", "", 1))*1</f>
        <v>0</v>
      </c>
      <c r="G78" s="92">
        <f>(SUBSTITUTE(Audio!G78, "RE-", "", 1))*1</f>
        <v>53.95882708</v>
      </c>
      <c r="H78" s="92">
        <f>(SUBSTITUTE(Audio!H78, "RE-", "", 1))*1</f>
        <v>0</v>
      </c>
      <c r="I78" s="92">
        <f>(SUBSTITUTE(Audio!I78, "RE-", "", 1))*1</f>
        <v>15.52531042</v>
      </c>
      <c r="J78" s="92">
        <f>(SUBSTITUTE(Audio!J78, "RE-", "", 1))*1</f>
        <v>0</v>
      </c>
      <c r="K78" s="92">
        <f>(SUBSTITUTE(Audio!K78, "RE-", "", 1))*1</f>
        <v>118.3989448</v>
      </c>
      <c r="L78" s="92">
        <f>(SUBSTITUTE(Audio!L78, "RE-", "", 1))*1</f>
        <v>0</v>
      </c>
      <c r="M78" s="92">
        <f>(SUBSTITUTE(Audio!M78, "RE-", "", 1))*1</f>
        <v>25.40472396</v>
      </c>
      <c r="N78" s="92">
        <f>(SUBSTITUTE(Audio!N78, "RE-", "", 1))*1</f>
        <v>0</v>
      </c>
      <c r="O78" s="92">
        <f>(SUBSTITUTE(Audio!O78, "RE-", "", 1))*1</f>
        <v>248.5465146</v>
      </c>
      <c r="P78" s="92">
        <f>(SUBSTITUTE(Audio!P78, "RE-", "", 1))*1</f>
        <v>0</v>
      </c>
      <c r="Q78" s="92">
        <f>(SUBSTITUTE(Audio!Q78, "RE-", "", 1))*1</f>
        <v>63.29778021</v>
      </c>
      <c r="R78" s="92">
        <f>(SUBSTITUTE(Audio!R78, "RE-", "", 1))*1</f>
        <v>0</v>
      </c>
      <c r="S78" s="92">
        <f>(SUBSTITUTE(Audio!S78, "RE-", "", 1))*1</f>
        <v>19.02639375</v>
      </c>
      <c r="T78" s="92">
        <f>(SUBSTITUTE(Audio!T78, "RE-", "", 1))*1</f>
        <v>0</v>
      </c>
      <c r="U78" s="92">
        <f>(SUBSTITUTE(Audio!U78, "RE-", "", 1))*1</f>
        <v>48.29483125</v>
      </c>
      <c r="V78" s="92">
        <f>(SUBSTITUTE(Audio!V78, "RE-", "", 1))*1</f>
        <v>5.324085417</v>
      </c>
      <c r="W78" s="92">
        <f>(SUBSTITUTE(Audio!W78, "RE-", "", 1))*1</f>
        <v>0</v>
      </c>
      <c r="X78" s="92">
        <f>(SUBSTITUTE(Audio!X78, "RE-", "", 1))*1</f>
        <v>0</v>
      </c>
      <c r="Y78" s="92">
        <f>(SUBSTITUTE(Audio!Y78, "RE-", "", 1))*1</f>
        <v>0</v>
      </c>
      <c r="Z78" s="92">
        <f>(SUBSTITUTE(Audio!Z78, "RE-", "", 1))*1</f>
        <v>0</v>
      </c>
      <c r="AA78" s="92"/>
      <c r="AB78" s="92"/>
      <c r="AC78" s="92"/>
      <c r="AD78" s="92"/>
      <c r="AE78" s="92"/>
      <c r="AF78" s="92"/>
      <c r="AG78" s="92"/>
      <c r="AH78" s="92"/>
      <c r="AI78" s="92"/>
      <c r="AJ78" s="92"/>
      <c r="AK78" s="92"/>
      <c r="AL78" s="92"/>
      <c r="AM78" s="92"/>
      <c r="AN78" s="92"/>
      <c r="AO78" s="92"/>
      <c r="AP78" s="92"/>
      <c r="AQ78" s="92"/>
      <c r="AR78" s="92"/>
      <c r="AS78" s="92"/>
      <c r="AT78" s="92"/>
      <c r="AU78" s="92"/>
      <c r="AV78" s="92"/>
      <c r="AW78" s="92"/>
      <c r="AX78" s="92"/>
      <c r="AY78" s="92"/>
      <c r="AZ78" s="92"/>
      <c r="BA78" s="92"/>
      <c r="BB78" s="92"/>
      <c r="BC78" s="92"/>
      <c r="BD78" s="92"/>
      <c r="BE78" s="92"/>
      <c r="BF78" s="92"/>
      <c r="BG78" s="92"/>
      <c r="BH78" s="92"/>
      <c r="BI78" s="92"/>
      <c r="BJ78" s="92"/>
      <c r="BK78" s="92"/>
      <c r="BL78" s="92"/>
      <c r="BM78" s="92"/>
      <c r="BN78" s="92"/>
      <c r="BO78" s="92"/>
      <c r="BP78" s="92"/>
      <c r="BQ78" s="92"/>
      <c r="BR78" s="92"/>
      <c r="BS78" s="92"/>
      <c r="BT78" s="92"/>
      <c r="BU78" s="92"/>
      <c r="BV78" s="92"/>
      <c r="BW78" s="92"/>
      <c r="BX78" s="92"/>
      <c r="BY78" s="92"/>
      <c r="BZ78" s="92"/>
      <c r="CA78" s="92"/>
      <c r="CB78" s="92"/>
      <c r="CC78" s="92"/>
      <c r="CD78" s="92"/>
      <c r="CE78" s="92"/>
      <c r="CF78" s="92"/>
      <c r="CG78" s="92"/>
      <c r="CH78" s="92"/>
      <c r="CI78" s="92"/>
      <c r="CJ78" s="92"/>
      <c r="CK78" s="92"/>
      <c r="CL78" s="92"/>
      <c r="CM78" s="92"/>
      <c r="CN78" s="92"/>
      <c r="CO78" s="92"/>
      <c r="CP78" s="92"/>
      <c r="CQ78" s="92"/>
      <c r="CR78" s="92"/>
      <c r="CS78" s="92"/>
      <c r="CT78" s="92"/>
      <c r="CU78" s="92"/>
      <c r="CV78" s="92"/>
      <c r="CW78" s="92"/>
      <c r="CX78" s="92"/>
      <c r="CY78" s="92"/>
      <c r="CZ78" s="92"/>
      <c r="DA78" s="92"/>
      <c r="DB78" s="92"/>
      <c r="DC78" s="92"/>
      <c r="DD78" s="92"/>
      <c r="DE78" s="92"/>
      <c r="DF78" s="92"/>
      <c r="DG78" s="92"/>
      <c r="DH78" s="92"/>
      <c r="DI78" s="92"/>
      <c r="DJ78" s="92"/>
      <c r="DK78" s="92"/>
      <c r="DL78" s="92"/>
      <c r="DM78" s="92"/>
      <c r="DN78" s="92"/>
      <c r="DO78" s="92"/>
      <c r="DP78" s="92"/>
      <c r="DQ78" s="92"/>
      <c r="DR78" s="92"/>
      <c r="DS78" s="92"/>
      <c r="DT78" s="92"/>
      <c r="DU78" s="92"/>
      <c r="DV78" s="92"/>
      <c r="DW78" s="92"/>
      <c r="DX78" s="92"/>
      <c r="DY78" s="92"/>
      <c r="DZ78" s="92"/>
      <c r="EA78" s="92"/>
      <c r="EB78" s="92"/>
      <c r="EC78" s="92"/>
      <c r="ED78" s="92"/>
      <c r="EE78" s="92"/>
      <c r="EF78" s="92"/>
      <c r="EG78" s="92"/>
      <c r="EH78" s="92"/>
      <c r="EI78" s="92"/>
      <c r="EJ78" s="92"/>
      <c r="EK78" s="92"/>
      <c r="EL78" s="92"/>
      <c r="EM78" s="92"/>
      <c r="EN78" s="92"/>
      <c r="EO78" s="92"/>
      <c r="EP78" s="92"/>
      <c r="EQ78" s="92"/>
      <c r="ER78" s="92"/>
      <c r="ES78" s="92"/>
      <c r="ET78" s="92"/>
      <c r="EU78" s="92"/>
      <c r="EV78" s="92"/>
      <c r="EW78" s="92"/>
      <c r="EX78" s="92"/>
      <c r="EY78" s="92"/>
      <c r="EZ78" s="92"/>
      <c r="FA78" s="92"/>
      <c r="FB78" s="92"/>
      <c r="FC78" s="92"/>
      <c r="FD78" s="92"/>
      <c r="FE78" s="92"/>
      <c r="FF78" s="92"/>
      <c r="FG78" s="92"/>
      <c r="FH78" s="92"/>
    </row>
    <row r="79">
      <c r="A79" s="32" t="s">
        <v>7</v>
      </c>
      <c r="B79" s="32" t="s">
        <v>25</v>
      </c>
      <c r="C79" s="32" t="s">
        <v>12</v>
      </c>
      <c r="D79" s="97">
        <f t="shared" si="1"/>
        <v>4559.180298</v>
      </c>
      <c r="E79" s="92">
        <f>(SUBSTITUTE(Audio!E79, "RE-", "", 1))*1</f>
        <v>0</v>
      </c>
      <c r="F79" s="92">
        <f>(SUBSTITUTE(Audio!F79, "RE-", "", 1))*1</f>
        <v>522.9340135</v>
      </c>
      <c r="G79" s="92">
        <f>(SUBSTITUTE(Audio!G79, "RE-", "", 1))*1</f>
        <v>2.22385625</v>
      </c>
      <c r="H79" s="92">
        <f>(SUBSTITUTE(Audio!H79, "RE-", "", 1))*1</f>
        <v>83.82613125</v>
      </c>
      <c r="I79" s="92">
        <f>(SUBSTITUTE(Audio!I79, "RE-", "", 1))*1</f>
        <v>0.2121104167</v>
      </c>
      <c r="J79" s="92">
        <f>(SUBSTITUTE(Audio!J79, "RE-", "", 1))*1</f>
        <v>1137.129622</v>
      </c>
      <c r="K79" s="92">
        <f>(SUBSTITUTE(Audio!K79, "RE-", "", 1))*1</f>
        <v>3.892964583</v>
      </c>
      <c r="L79" s="92">
        <f>(SUBSTITUTE(Audio!L79, "RE-", "", 1))*1</f>
        <v>374.4410385</v>
      </c>
      <c r="M79" s="92">
        <f>(SUBSTITUTE(Audio!M79, "RE-", "", 1))*1</f>
        <v>11.05921667</v>
      </c>
      <c r="N79" s="92">
        <f>(SUBSTITUTE(Audio!N79, "RE-", "", 1))*1</f>
        <v>1389.114493</v>
      </c>
      <c r="O79" s="92">
        <f>(SUBSTITUTE(Audio!O79, "RE-", "", 1))*1</f>
        <v>14.17142292</v>
      </c>
      <c r="P79" s="92">
        <f>(SUBSTITUTE(Audio!P79, "RE-", "", 1))*1</f>
        <v>210.7242844</v>
      </c>
      <c r="Q79" s="92">
        <f>(SUBSTITUTE(Audio!Q79, "RE-", "", 1))*1</f>
        <v>16.28384792</v>
      </c>
      <c r="R79" s="92">
        <f>(SUBSTITUTE(Audio!R79, "RE-", "", 1))*1</f>
        <v>112.0225792</v>
      </c>
      <c r="S79" s="92">
        <f>(SUBSTITUTE(Audio!S79, "RE-", "", 1))*1</f>
        <v>9.263495833</v>
      </c>
      <c r="T79" s="92">
        <f>(SUBSTITUTE(Audio!T79, "RE-", "", 1))*1</f>
        <v>636.9748844</v>
      </c>
      <c r="U79" s="92">
        <f>(SUBSTITUTE(Audio!U79, "RE-", "", 1))*1</f>
        <v>30.24677292</v>
      </c>
      <c r="V79" s="92">
        <f>(SUBSTITUTE(Audio!V79, "RE-", "", 1))*1</f>
        <v>4.659564583</v>
      </c>
      <c r="W79" s="92">
        <f>(SUBSTITUTE(Audio!W79, "RE-", "", 1))*1</f>
        <v>0</v>
      </c>
      <c r="X79" s="92">
        <f>(SUBSTITUTE(Audio!X79, "RE-", "", 1))*1</f>
        <v>0</v>
      </c>
      <c r="Y79" s="92">
        <f>(SUBSTITUTE(Audio!Y79, "RE-", "", 1))*1</f>
        <v>0</v>
      </c>
      <c r="Z79" s="92">
        <f>(SUBSTITUTE(Audio!Z79, "RE-", "", 1))*1</f>
        <v>0</v>
      </c>
      <c r="AA79" s="92"/>
      <c r="AB79" s="92"/>
      <c r="AC79" s="92"/>
      <c r="AD79" s="92"/>
      <c r="AE79" s="92"/>
      <c r="AF79" s="92"/>
      <c r="AG79" s="92"/>
      <c r="AH79" s="92"/>
      <c r="AI79" s="92"/>
      <c r="AJ79" s="92"/>
      <c r="AK79" s="92"/>
      <c r="AL79" s="92"/>
      <c r="AM79" s="92"/>
      <c r="AN79" s="92"/>
      <c r="AO79" s="92"/>
      <c r="AP79" s="92"/>
      <c r="AQ79" s="92"/>
      <c r="AR79" s="92"/>
      <c r="AS79" s="92"/>
      <c r="AT79" s="92"/>
      <c r="AU79" s="92"/>
      <c r="AV79" s="92"/>
      <c r="AW79" s="92"/>
      <c r="AX79" s="92"/>
      <c r="AY79" s="92"/>
      <c r="AZ79" s="92"/>
      <c r="BA79" s="92"/>
      <c r="BB79" s="92"/>
      <c r="BC79" s="92"/>
      <c r="BD79" s="92"/>
      <c r="BE79" s="92"/>
      <c r="BF79" s="92"/>
      <c r="BG79" s="92"/>
      <c r="BH79" s="92"/>
      <c r="BI79" s="92"/>
      <c r="BJ79" s="92"/>
      <c r="BK79" s="92"/>
      <c r="BL79" s="92"/>
      <c r="BM79" s="92"/>
      <c r="BN79" s="92"/>
      <c r="BO79" s="92"/>
      <c r="BP79" s="92"/>
      <c r="BQ79" s="92"/>
      <c r="BR79" s="92"/>
      <c r="BS79" s="92"/>
      <c r="BT79" s="92"/>
      <c r="BU79" s="92"/>
      <c r="BV79" s="92"/>
      <c r="BW79" s="92"/>
      <c r="BX79" s="92"/>
      <c r="BY79" s="92"/>
      <c r="BZ79" s="92"/>
      <c r="CA79" s="92"/>
      <c r="CB79" s="92"/>
      <c r="CC79" s="92"/>
      <c r="CD79" s="92"/>
      <c r="CE79" s="92"/>
      <c r="CF79" s="92"/>
      <c r="CG79" s="92"/>
      <c r="CH79" s="92"/>
      <c r="CI79" s="92"/>
      <c r="CJ79" s="92"/>
      <c r="CK79" s="92"/>
      <c r="CL79" s="92"/>
      <c r="CM79" s="92"/>
      <c r="CN79" s="92"/>
      <c r="CO79" s="92"/>
      <c r="CP79" s="92"/>
      <c r="CQ79" s="92"/>
      <c r="CR79" s="92"/>
      <c r="CS79" s="92"/>
      <c r="CT79" s="92"/>
      <c r="CU79" s="92"/>
      <c r="CV79" s="92"/>
      <c r="CW79" s="92"/>
      <c r="CX79" s="92"/>
      <c r="CY79" s="92"/>
      <c r="CZ79" s="92"/>
      <c r="DA79" s="92"/>
      <c r="DB79" s="92"/>
      <c r="DC79" s="92"/>
      <c r="DD79" s="92"/>
      <c r="DE79" s="92"/>
      <c r="DF79" s="92"/>
      <c r="DG79" s="92"/>
      <c r="DH79" s="92"/>
      <c r="DI79" s="92"/>
      <c r="DJ79" s="92"/>
      <c r="DK79" s="92"/>
      <c r="DL79" s="92"/>
      <c r="DM79" s="92"/>
      <c r="DN79" s="92"/>
      <c r="DO79" s="92"/>
      <c r="DP79" s="92"/>
      <c r="DQ79" s="92"/>
      <c r="DR79" s="92"/>
      <c r="DS79" s="92"/>
      <c r="DT79" s="92"/>
      <c r="DU79" s="92"/>
      <c r="DV79" s="92"/>
      <c r="DW79" s="92"/>
      <c r="DX79" s="92"/>
      <c r="DY79" s="92"/>
      <c r="DZ79" s="92"/>
      <c r="EA79" s="92"/>
      <c r="EB79" s="92"/>
      <c r="EC79" s="92"/>
      <c r="ED79" s="92"/>
      <c r="EE79" s="92"/>
      <c r="EF79" s="92"/>
      <c r="EG79" s="92"/>
      <c r="EH79" s="92"/>
      <c r="EI79" s="92"/>
      <c r="EJ79" s="92"/>
      <c r="EK79" s="92"/>
      <c r="EL79" s="92"/>
      <c r="EM79" s="92"/>
      <c r="EN79" s="92"/>
      <c r="EO79" s="92"/>
      <c r="EP79" s="92"/>
      <c r="EQ79" s="92"/>
      <c r="ER79" s="92"/>
      <c r="ES79" s="92"/>
      <c r="ET79" s="92"/>
      <c r="EU79" s="92"/>
      <c r="EV79" s="92"/>
      <c r="EW79" s="92"/>
      <c r="EX79" s="92"/>
      <c r="EY79" s="92"/>
      <c r="EZ79" s="92"/>
      <c r="FA79" s="92"/>
      <c r="FB79" s="92"/>
      <c r="FC79" s="92"/>
      <c r="FD79" s="92"/>
      <c r="FE79" s="92"/>
      <c r="FF79" s="92"/>
      <c r="FG79" s="92"/>
      <c r="FH79" s="92"/>
    </row>
    <row r="80">
      <c r="A80" s="32" t="s">
        <v>7</v>
      </c>
      <c r="B80" s="32" t="s">
        <v>25</v>
      </c>
      <c r="C80" s="32" t="s">
        <v>13</v>
      </c>
      <c r="D80" s="97">
        <f t="shared" si="1"/>
        <v>4395.573973</v>
      </c>
      <c r="E80" s="92">
        <f>(SUBSTITUTE(Audio!E80, "RE-", "", 1))*1</f>
        <v>0</v>
      </c>
      <c r="F80" s="92">
        <f>(SUBSTITUTE(Audio!F80, "RE-", "", 1))*1</f>
        <v>509.229</v>
      </c>
      <c r="G80" s="92">
        <f>(SUBSTITUTE(Audio!G80, "RE-", "", 1))*1</f>
        <v>2.13733</v>
      </c>
      <c r="H80" s="92">
        <f>(SUBSTITUTE(Audio!H80, "RE-", "", 1))*1</f>
        <v>81.6782</v>
      </c>
      <c r="I80" s="92">
        <f>(SUBSTITUTE(Audio!I80, "RE-", "", 1))*1</f>
        <v>0.210083</v>
      </c>
      <c r="J80" s="92">
        <f>(SUBSTITUTE(Audio!J80, "RE-", "", 1))*1</f>
        <v>1097.12</v>
      </c>
      <c r="K80" s="92">
        <f>(SUBSTITUTE(Audio!K80, "RE-", "", 1))*1</f>
        <v>3.77178</v>
      </c>
      <c r="L80" s="92">
        <f>(SUBSTITUTE(Audio!L80, "RE-", "", 1))*1</f>
        <v>357.229</v>
      </c>
      <c r="M80" s="92">
        <f>(SUBSTITUTE(Audio!M80, "RE-", "", 1))*1</f>
        <v>10.8075</v>
      </c>
      <c r="N80" s="92">
        <f>(SUBSTITUTE(Audio!N80, "RE-", "", 1))*1</f>
        <v>1336.77</v>
      </c>
      <c r="O80" s="92">
        <f>(SUBSTITUTE(Audio!O80, "RE-", "", 1))*1</f>
        <v>13.3609</v>
      </c>
      <c r="P80" s="92">
        <f>(SUBSTITUTE(Audio!P80, "RE-", "", 1))*1</f>
        <v>201.406</v>
      </c>
      <c r="Q80" s="92">
        <f>(SUBSTITUTE(Audio!Q80, "RE-", "", 1))*1</f>
        <v>15.6751</v>
      </c>
      <c r="R80" s="92">
        <f>(SUBSTITUTE(Audio!R80, "RE-", "", 1))*1</f>
        <v>108.388</v>
      </c>
      <c r="S80" s="92">
        <f>(SUBSTITUTE(Audio!S80, "RE-", "", 1))*1</f>
        <v>8.9738</v>
      </c>
      <c r="T80" s="92">
        <f>(SUBSTITUTE(Audio!T80, "RE-", "", 1))*1</f>
        <v>615.212</v>
      </c>
      <c r="U80" s="92">
        <f>(SUBSTITUTE(Audio!U80, "RE-", "", 1))*1</f>
        <v>29.0963</v>
      </c>
      <c r="V80" s="92">
        <f>(SUBSTITUTE(Audio!V80, "RE-", "", 1))*1</f>
        <v>4.50898</v>
      </c>
      <c r="W80" s="92">
        <f>(SUBSTITUTE(Audio!W80, "RE-", "", 1))*1</f>
        <v>0</v>
      </c>
      <c r="X80" s="92">
        <f>(SUBSTITUTE(Audio!X80, "RE-", "", 1))*1</f>
        <v>0</v>
      </c>
      <c r="Y80" s="92">
        <f>(SUBSTITUTE(Audio!Y80, "RE-", "", 1))*1</f>
        <v>0</v>
      </c>
      <c r="Z80" s="92">
        <f>(SUBSTITUTE(Audio!Z80, "RE-", "", 1))*1</f>
        <v>0</v>
      </c>
      <c r="AA80" s="92"/>
      <c r="AB80" s="92"/>
      <c r="AC80" s="92"/>
      <c r="AD80" s="92"/>
      <c r="AE80" s="92"/>
      <c r="AF80" s="92"/>
      <c r="AG80" s="92"/>
      <c r="AH80" s="92"/>
      <c r="AI80" s="92"/>
      <c r="AJ80" s="92"/>
      <c r="AK80" s="92"/>
      <c r="AL80" s="92"/>
      <c r="AM80" s="92"/>
      <c r="AN80" s="92"/>
      <c r="AO80" s="92"/>
      <c r="AP80" s="92"/>
      <c r="AQ80" s="92"/>
      <c r="AR80" s="92"/>
      <c r="AS80" s="92"/>
      <c r="AT80" s="92"/>
      <c r="AU80" s="92"/>
      <c r="AV80" s="92"/>
      <c r="AW80" s="92"/>
      <c r="AX80" s="92"/>
      <c r="AY80" s="92"/>
      <c r="AZ80" s="92"/>
      <c r="BA80" s="92"/>
      <c r="BB80" s="92"/>
      <c r="BC80" s="92"/>
      <c r="BD80" s="92"/>
      <c r="BE80" s="92"/>
      <c r="BF80" s="92"/>
      <c r="BG80" s="92"/>
      <c r="BH80" s="92"/>
      <c r="BI80" s="92"/>
      <c r="BJ80" s="92"/>
      <c r="BK80" s="92"/>
      <c r="BL80" s="92"/>
      <c r="BM80" s="92"/>
      <c r="BN80" s="92"/>
      <c r="BO80" s="92"/>
      <c r="BP80" s="92"/>
      <c r="BQ80" s="92"/>
      <c r="BR80" s="92"/>
      <c r="BS80" s="92"/>
      <c r="BT80" s="92"/>
      <c r="BU80" s="92"/>
      <c r="BV80" s="92"/>
      <c r="BW80" s="92"/>
      <c r="BX80" s="92"/>
      <c r="BY80" s="92"/>
      <c r="BZ80" s="92"/>
      <c r="CA80" s="92"/>
      <c r="CB80" s="92"/>
      <c r="CC80" s="92"/>
      <c r="CD80" s="92"/>
      <c r="CE80" s="92"/>
      <c r="CF80" s="92"/>
      <c r="CG80" s="92"/>
      <c r="CH80" s="92"/>
      <c r="CI80" s="92"/>
      <c r="CJ80" s="92"/>
      <c r="CK80" s="92"/>
      <c r="CL80" s="92"/>
      <c r="CM80" s="92"/>
      <c r="CN80" s="92"/>
      <c r="CO80" s="92"/>
      <c r="CP80" s="92"/>
      <c r="CQ80" s="92"/>
      <c r="CR80" s="92"/>
      <c r="CS80" s="92"/>
      <c r="CT80" s="92"/>
      <c r="CU80" s="92"/>
      <c r="CV80" s="92"/>
      <c r="CW80" s="92"/>
      <c r="CX80" s="92"/>
      <c r="CY80" s="92"/>
      <c r="CZ80" s="92"/>
      <c r="DA80" s="92"/>
      <c r="DB80" s="92"/>
      <c r="DC80" s="92"/>
      <c r="DD80" s="92"/>
      <c r="DE80" s="92"/>
      <c r="DF80" s="92"/>
      <c r="DG80" s="92"/>
      <c r="DH80" s="92"/>
      <c r="DI80" s="92"/>
      <c r="DJ80" s="92"/>
      <c r="DK80" s="92"/>
      <c r="DL80" s="92"/>
      <c r="DM80" s="92"/>
      <c r="DN80" s="92"/>
      <c r="DO80" s="92"/>
      <c r="DP80" s="92"/>
      <c r="DQ80" s="92"/>
      <c r="DR80" s="92"/>
      <c r="DS80" s="92"/>
      <c r="DT80" s="92"/>
      <c r="DU80" s="92"/>
      <c r="DV80" s="92"/>
      <c r="DW80" s="92"/>
      <c r="DX80" s="92"/>
      <c r="DY80" s="92"/>
      <c r="DZ80" s="92"/>
      <c r="EA80" s="92"/>
      <c r="EB80" s="92"/>
      <c r="EC80" s="92"/>
      <c r="ED80" s="92"/>
      <c r="EE80" s="92"/>
      <c r="EF80" s="92"/>
      <c r="EG80" s="92"/>
      <c r="EH80" s="92"/>
      <c r="EI80" s="92"/>
      <c r="EJ80" s="92"/>
      <c r="EK80" s="92"/>
      <c r="EL80" s="92"/>
      <c r="EM80" s="92"/>
      <c r="EN80" s="92"/>
      <c r="EO80" s="92"/>
      <c r="EP80" s="92"/>
      <c r="EQ80" s="92"/>
      <c r="ER80" s="92"/>
      <c r="ES80" s="92"/>
      <c r="ET80" s="92"/>
      <c r="EU80" s="92"/>
      <c r="EV80" s="92"/>
      <c r="EW80" s="92"/>
      <c r="EX80" s="92"/>
      <c r="EY80" s="92"/>
      <c r="EZ80" s="92"/>
      <c r="FA80" s="92"/>
      <c r="FB80" s="92"/>
      <c r="FC80" s="92"/>
      <c r="FD80" s="92"/>
      <c r="FE80" s="92"/>
      <c r="FF80" s="92"/>
      <c r="FG80" s="92"/>
      <c r="FH80" s="92"/>
    </row>
    <row r="81">
      <c r="A81" s="32" t="s">
        <v>7</v>
      </c>
      <c r="B81" s="32" t="s">
        <v>25</v>
      </c>
      <c r="C81" s="32" t="s">
        <v>14</v>
      </c>
      <c r="D81" s="97">
        <f t="shared" si="1"/>
        <v>3898.86699</v>
      </c>
      <c r="E81" s="92">
        <f>(SUBSTITUTE(Audio!E81, "RE-", "", 1))*1</f>
        <v>0</v>
      </c>
      <c r="F81" s="92">
        <f>(SUBSTITUTE(Audio!F81, "RE-", "", 1))*1</f>
        <v>450.142</v>
      </c>
      <c r="G81" s="92">
        <f>(SUBSTITUTE(Audio!G81, "RE-", "", 1))*1</f>
        <v>1.79787</v>
      </c>
      <c r="H81" s="92">
        <f>(SUBSTITUTE(Audio!H81, "RE-", "", 1))*1</f>
        <v>74.3352</v>
      </c>
      <c r="I81" s="92">
        <f>(SUBSTITUTE(Audio!I81, "RE-", "", 1))*1</f>
        <v>0.1183</v>
      </c>
      <c r="J81" s="92">
        <f>(SUBSTITUTE(Audio!J81, "RE-", "", 1))*1</f>
        <v>1016.42</v>
      </c>
      <c r="K81" s="92">
        <f>(SUBSTITUTE(Audio!K81, "RE-", "", 1))*1</f>
        <v>3.65995</v>
      </c>
      <c r="L81" s="92">
        <f>(SUBSTITUTE(Audio!L81, "RE-", "", 1))*1</f>
        <v>313.522</v>
      </c>
      <c r="M81" s="92">
        <f>(SUBSTITUTE(Audio!M81, "RE-", "", 1))*1</f>
        <v>10.1122</v>
      </c>
      <c r="N81" s="92">
        <f>(SUBSTITUTE(Audio!N81, "RE-", "", 1))*1</f>
        <v>1168.7</v>
      </c>
      <c r="O81" s="92">
        <f>(SUBSTITUTE(Audio!O81, "RE-", "", 1))*1</f>
        <v>10.8582</v>
      </c>
      <c r="P81" s="92">
        <f>(SUBSTITUTE(Audio!P81, "RE-", "", 1))*1</f>
        <v>169.946</v>
      </c>
      <c r="Q81" s="92">
        <f>(SUBSTITUTE(Audio!Q81, "RE-", "", 1))*1</f>
        <v>13.7007</v>
      </c>
      <c r="R81" s="92">
        <f>(SUBSTITUTE(Audio!R81, "RE-", "", 1))*1</f>
        <v>91.356</v>
      </c>
      <c r="S81" s="92">
        <f>(SUBSTITUTE(Audio!S81, "RE-", "", 1))*1</f>
        <v>8.35715</v>
      </c>
      <c r="T81" s="92">
        <f>(SUBSTITUTE(Audio!T81, "RE-", "", 1))*1</f>
        <v>535.954</v>
      </c>
      <c r="U81" s="92">
        <f>(SUBSTITUTE(Audio!U81, "RE-", "", 1))*1</f>
        <v>25.9399</v>
      </c>
      <c r="V81" s="92">
        <f>(SUBSTITUTE(Audio!V81, "RE-", "", 1))*1</f>
        <v>3.94752</v>
      </c>
      <c r="W81" s="92">
        <f>(SUBSTITUTE(Audio!W81, "RE-", "", 1))*1</f>
        <v>0</v>
      </c>
      <c r="X81" s="92">
        <f>(SUBSTITUTE(Audio!X81, "RE-", "", 1))*1</f>
        <v>0</v>
      </c>
      <c r="Y81" s="92">
        <f>(SUBSTITUTE(Audio!Y81, "RE-", "", 1))*1</f>
        <v>0</v>
      </c>
      <c r="Z81" s="92">
        <f>(SUBSTITUTE(Audio!Z81, "RE-", "", 1))*1</f>
        <v>0</v>
      </c>
      <c r="AA81" s="92"/>
      <c r="AB81" s="92"/>
      <c r="AC81" s="92"/>
      <c r="AD81" s="92"/>
      <c r="AE81" s="92"/>
      <c r="AF81" s="92"/>
      <c r="AG81" s="92"/>
      <c r="AH81" s="92"/>
      <c r="AI81" s="92"/>
      <c r="AJ81" s="92"/>
      <c r="AK81" s="92"/>
      <c r="AL81" s="92"/>
      <c r="AM81" s="92"/>
      <c r="AN81" s="92"/>
      <c r="AO81" s="92"/>
      <c r="AP81" s="92"/>
      <c r="AQ81" s="92"/>
      <c r="AR81" s="92"/>
      <c r="AS81" s="92"/>
      <c r="AT81" s="92"/>
      <c r="AU81" s="92"/>
      <c r="AV81" s="92"/>
      <c r="AW81" s="92"/>
      <c r="AX81" s="92"/>
      <c r="AY81" s="92"/>
      <c r="AZ81" s="92"/>
      <c r="BA81" s="92"/>
      <c r="BB81" s="92"/>
      <c r="BC81" s="92"/>
      <c r="BD81" s="92"/>
      <c r="BE81" s="92"/>
      <c r="BF81" s="92"/>
      <c r="BG81" s="92"/>
      <c r="BH81" s="92"/>
      <c r="BI81" s="92"/>
      <c r="BJ81" s="92"/>
      <c r="BK81" s="92"/>
      <c r="BL81" s="92"/>
      <c r="BM81" s="92"/>
      <c r="BN81" s="92"/>
      <c r="BO81" s="92"/>
      <c r="BP81" s="92"/>
      <c r="BQ81" s="92"/>
      <c r="BR81" s="92"/>
      <c r="BS81" s="92"/>
      <c r="BT81" s="92"/>
      <c r="BU81" s="92"/>
      <c r="BV81" s="92"/>
      <c r="BW81" s="92"/>
      <c r="BX81" s="92"/>
      <c r="BY81" s="92"/>
      <c r="BZ81" s="92"/>
      <c r="CA81" s="92"/>
      <c r="CB81" s="92"/>
      <c r="CC81" s="92"/>
      <c r="CD81" s="92"/>
      <c r="CE81" s="92"/>
      <c r="CF81" s="92"/>
      <c r="CG81" s="92"/>
      <c r="CH81" s="92"/>
      <c r="CI81" s="92"/>
      <c r="CJ81" s="92"/>
      <c r="CK81" s="92"/>
      <c r="CL81" s="92"/>
      <c r="CM81" s="92"/>
      <c r="CN81" s="92"/>
      <c r="CO81" s="92"/>
      <c r="CP81" s="92"/>
      <c r="CQ81" s="92"/>
      <c r="CR81" s="92"/>
      <c r="CS81" s="92"/>
      <c r="CT81" s="92"/>
      <c r="CU81" s="92"/>
      <c r="CV81" s="92"/>
      <c r="CW81" s="92"/>
      <c r="CX81" s="92"/>
      <c r="CY81" s="92"/>
      <c r="CZ81" s="92"/>
      <c r="DA81" s="92"/>
      <c r="DB81" s="92"/>
      <c r="DC81" s="92"/>
      <c r="DD81" s="92"/>
      <c r="DE81" s="92"/>
      <c r="DF81" s="92"/>
      <c r="DG81" s="92"/>
      <c r="DH81" s="92"/>
      <c r="DI81" s="92"/>
      <c r="DJ81" s="92"/>
      <c r="DK81" s="92"/>
      <c r="DL81" s="92"/>
      <c r="DM81" s="92"/>
      <c r="DN81" s="92"/>
      <c r="DO81" s="92"/>
      <c r="DP81" s="92"/>
      <c r="DQ81" s="92"/>
      <c r="DR81" s="92"/>
      <c r="DS81" s="92"/>
      <c r="DT81" s="92"/>
      <c r="DU81" s="92"/>
      <c r="DV81" s="92"/>
      <c r="DW81" s="92"/>
      <c r="DX81" s="92"/>
      <c r="DY81" s="92"/>
      <c r="DZ81" s="92"/>
      <c r="EA81" s="92"/>
      <c r="EB81" s="92"/>
      <c r="EC81" s="92"/>
      <c r="ED81" s="92"/>
      <c r="EE81" s="92"/>
      <c r="EF81" s="92"/>
      <c r="EG81" s="92"/>
      <c r="EH81" s="92"/>
      <c r="EI81" s="92"/>
      <c r="EJ81" s="92"/>
      <c r="EK81" s="92"/>
      <c r="EL81" s="92"/>
      <c r="EM81" s="92"/>
      <c r="EN81" s="92"/>
      <c r="EO81" s="92"/>
      <c r="EP81" s="92"/>
      <c r="EQ81" s="92"/>
      <c r="ER81" s="92"/>
      <c r="ES81" s="92"/>
      <c r="ET81" s="92"/>
      <c r="EU81" s="92"/>
      <c r="EV81" s="92"/>
      <c r="EW81" s="92"/>
      <c r="EX81" s="92"/>
      <c r="EY81" s="92"/>
      <c r="EZ81" s="92"/>
      <c r="FA81" s="92"/>
      <c r="FB81" s="92"/>
      <c r="FC81" s="92"/>
      <c r="FD81" s="92"/>
      <c r="FE81" s="92"/>
      <c r="FF81" s="92"/>
      <c r="FG81" s="92"/>
      <c r="FH81" s="92"/>
    </row>
    <row r="82">
      <c r="A82" s="27" t="s">
        <v>7</v>
      </c>
      <c r="B82" s="27" t="s">
        <v>25</v>
      </c>
      <c r="C82" s="27" t="s">
        <v>15</v>
      </c>
      <c r="D82" s="98">
        <f t="shared" si="1"/>
        <v>4395.180973</v>
      </c>
      <c r="E82" s="92">
        <f>(SUBSTITUTE(Audio!E82, "RE-", "", 1))*1</f>
        <v>0</v>
      </c>
      <c r="F82" s="92">
        <f>(SUBSTITUTE(Audio!F82, "RE-", "", 1))*1</f>
        <v>508.836</v>
      </c>
      <c r="G82" s="92">
        <f>(SUBSTITUTE(Audio!G82, "RE-", "", 1))*1</f>
        <v>2.13733</v>
      </c>
      <c r="H82" s="92">
        <f>(SUBSTITUTE(Audio!H82, "RE-", "", 1))*1</f>
        <v>81.6782</v>
      </c>
      <c r="I82" s="92">
        <f>(SUBSTITUTE(Audio!I82, "RE-", "", 1))*1</f>
        <v>0.210083</v>
      </c>
      <c r="J82" s="92">
        <f>(SUBSTITUTE(Audio!J82, "RE-", "", 1))*1</f>
        <v>1097.12</v>
      </c>
      <c r="K82" s="92">
        <f>(SUBSTITUTE(Audio!K82, "RE-", "", 1))*1</f>
        <v>3.77178</v>
      </c>
      <c r="L82" s="92">
        <f>(SUBSTITUTE(Audio!L82, "RE-", "", 1))*1</f>
        <v>357.229</v>
      </c>
      <c r="M82" s="92">
        <f>(SUBSTITUTE(Audio!M82, "RE-", "", 1))*1</f>
        <v>10.8075</v>
      </c>
      <c r="N82" s="92">
        <f>(SUBSTITUTE(Audio!N82, "RE-", "", 1))*1</f>
        <v>1336.77</v>
      </c>
      <c r="O82" s="92">
        <f>(SUBSTITUTE(Audio!O82, "RE-", "", 1))*1</f>
        <v>13.3609</v>
      </c>
      <c r="P82" s="92">
        <f>(SUBSTITUTE(Audio!P82, "RE-", "", 1))*1</f>
        <v>201.406</v>
      </c>
      <c r="Q82" s="92">
        <f>(SUBSTITUTE(Audio!Q82, "RE-", "", 1))*1</f>
        <v>15.6751</v>
      </c>
      <c r="R82" s="92">
        <f>(SUBSTITUTE(Audio!R82, "RE-", "", 1))*1</f>
        <v>108.388</v>
      </c>
      <c r="S82" s="92">
        <f>(SUBSTITUTE(Audio!S82, "RE-", "", 1))*1</f>
        <v>8.9738</v>
      </c>
      <c r="T82" s="92">
        <f>(SUBSTITUTE(Audio!T82, "RE-", "", 1))*1</f>
        <v>615.212</v>
      </c>
      <c r="U82" s="92">
        <f>(SUBSTITUTE(Audio!U82, "RE-", "", 1))*1</f>
        <v>29.0963</v>
      </c>
      <c r="V82" s="92">
        <f>(SUBSTITUTE(Audio!V82, "RE-", "", 1))*1</f>
        <v>4.50898</v>
      </c>
      <c r="W82" s="92">
        <f>(SUBSTITUTE(Audio!W82, "RE-", "", 1))*1</f>
        <v>0</v>
      </c>
      <c r="X82" s="92">
        <f>(SUBSTITUTE(Audio!X82, "RE-", "", 1))*1</f>
        <v>0</v>
      </c>
      <c r="Y82" s="92">
        <f>(SUBSTITUTE(Audio!Y82, "RE-", "", 1))*1</f>
        <v>0</v>
      </c>
      <c r="Z82" s="92">
        <f>(SUBSTITUTE(Audio!Z82, "RE-", "", 1))*1</f>
        <v>0</v>
      </c>
      <c r="AA82" s="92"/>
      <c r="AB82" s="92"/>
      <c r="AC82" s="92"/>
      <c r="AD82" s="92"/>
      <c r="AE82" s="92"/>
      <c r="AF82" s="92"/>
      <c r="AG82" s="92"/>
      <c r="AH82" s="92"/>
      <c r="AI82" s="92"/>
      <c r="AJ82" s="92"/>
      <c r="AK82" s="92"/>
      <c r="AL82" s="92"/>
      <c r="AM82" s="92"/>
      <c r="AN82" s="92"/>
      <c r="AO82" s="92"/>
      <c r="AP82" s="92"/>
      <c r="AQ82" s="92"/>
      <c r="AR82" s="92"/>
      <c r="AS82" s="92"/>
      <c r="AT82" s="92"/>
      <c r="AU82" s="92"/>
      <c r="AV82" s="92"/>
      <c r="AW82" s="92"/>
      <c r="AX82" s="92"/>
      <c r="AY82" s="92"/>
      <c r="AZ82" s="92"/>
      <c r="BA82" s="92"/>
      <c r="BB82" s="92"/>
      <c r="BC82" s="92"/>
      <c r="BD82" s="92"/>
      <c r="BE82" s="92"/>
      <c r="BF82" s="92"/>
      <c r="BG82" s="92"/>
      <c r="BH82" s="92"/>
      <c r="BI82" s="92"/>
      <c r="BJ82" s="92"/>
      <c r="BK82" s="92"/>
      <c r="BL82" s="92"/>
      <c r="BM82" s="92"/>
      <c r="BN82" s="92"/>
      <c r="BO82" s="92"/>
      <c r="BP82" s="92"/>
      <c r="BQ82" s="92"/>
      <c r="BR82" s="92"/>
      <c r="BS82" s="92"/>
      <c r="BT82" s="92"/>
      <c r="BU82" s="92"/>
      <c r="BV82" s="92"/>
      <c r="BW82" s="92"/>
      <c r="BX82" s="92"/>
      <c r="BY82" s="92"/>
      <c r="BZ82" s="92"/>
      <c r="CA82" s="92"/>
      <c r="CB82" s="92"/>
      <c r="CC82" s="92"/>
      <c r="CD82" s="92"/>
      <c r="CE82" s="92"/>
      <c r="CF82" s="92"/>
      <c r="CG82" s="92"/>
      <c r="CH82" s="92"/>
      <c r="CI82" s="92"/>
      <c r="CJ82" s="92"/>
      <c r="CK82" s="92"/>
      <c r="CL82" s="92"/>
      <c r="CM82" s="92"/>
      <c r="CN82" s="92"/>
      <c r="CO82" s="92"/>
      <c r="CP82" s="92"/>
      <c r="CQ82" s="92"/>
      <c r="CR82" s="92"/>
      <c r="CS82" s="92"/>
      <c r="CT82" s="92"/>
      <c r="CU82" s="92"/>
      <c r="CV82" s="92"/>
      <c r="CW82" s="92"/>
      <c r="CX82" s="92"/>
      <c r="CY82" s="92"/>
      <c r="CZ82" s="92"/>
      <c r="DA82" s="92"/>
      <c r="DB82" s="92"/>
      <c r="DC82" s="92"/>
      <c r="DD82" s="92"/>
      <c r="DE82" s="92"/>
      <c r="DF82" s="92"/>
      <c r="DG82" s="92"/>
      <c r="DH82" s="92"/>
      <c r="DI82" s="92"/>
      <c r="DJ82" s="92"/>
      <c r="DK82" s="92"/>
      <c r="DL82" s="92"/>
      <c r="DM82" s="92"/>
      <c r="DN82" s="92"/>
      <c r="DO82" s="92"/>
      <c r="DP82" s="92"/>
      <c r="DQ82" s="92"/>
      <c r="DR82" s="92"/>
      <c r="DS82" s="92"/>
      <c r="DT82" s="92"/>
      <c r="DU82" s="92"/>
      <c r="DV82" s="92"/>
      <c r="DW82" s="92"/>
      <c r="DX82" s="92"/>
      <c r="DY82" s="92"/>
      <c r="DZ82" s="92"/>
      <c r="EA82" s="92"/>
      <c r="EB82" s="92"/>
      <c r="EC82" s="92"/>
      <c r="ED82" s="92"/>
      <c r="EE82" s="92"/>
      <c r="EF82" s="92"/>
      <c r="EG82" s="92"/>
      <c r="EH82" s="92"/>
      <c r="EI82" s="92"/>
      <c r="EJ82" s="92"/>
      <c r="EK82" s="92"/>
      <c r="EL82" s="92"/>
      <c r="EM82" s="92"/>
      <c r="EN82" s="92"/>
      <c r="EO82" s="92"/>
      <c r="EP82" s="92"/>
      <c r="EQ82" s="92"/>
      <c r="ER82" s="92"/>
      <c r="ES82" s="92"/>
      <c r="ET82" s="92"/>
      <c r="EU82" s="92"/>
      <c r="EV82" s="92"/>
      <c r="EW82" s="92"/>
      <c r="EX82" s="92"/>
      <c r="EY82" s="92"/>
      <c r="EZ82" s="92"/>
      <c r="FA82" s="92"/>
      <c r="FB82" s="92"/>
      <c r="FC82" s="92"/>
      <c r="FD82" s="92"/>
      <c r="FE82" s="92"/>
      <c r="FF82" s="92"/>
      <c r="FG82" s="92"/>
      <c r="FH82" s="92"/>
    </row>
    <row r="83">
      <c r="A83" s="30" t="s">
        <v>7</v>
      </c>
      <c r="B83" s="30" t="s">
        <v>26</v>
      </c>
      <c r="C83" s="31" t="str">
        <f>HYPERLINK("https://docs.google.com/spreadsheets/d/1MEeV7DithjFpu_dTsmKhk45gCWiB8kiN/edit?usp=share_link&amp;ouid=106501987799020758802&amp;rtpof=true&amp;sd=true", "Raw Delivered")</f>
        <v>Raw Delivered</v>
      </c>
      <c r="D83" s="96">
        <f t="shared" si="1"/>
        <v>6069.749736</v>
      </c>
      <c r="E83" s="92">
        <f>(SUBSTITUTE(Audio!E83, "RE-", "", 1))*1</f>
        <v>0</v>
      </c>
      <c r="F83" s="92">
        <f>(SUBSTITUTE(Audio!F83, "RE-", "", 1))*1</f>
        <v>1143.916806</v>
      </c>
      <c r="G83" s="92">
        <f>(SUBSTITUTE(Audio!G83, "RE-", "", 1))*1</f>
        <v>0</v>
      </c>
      <c r="H83" s="92">
        <f>(SUBSTITUTE(Audio!H83, "RE-", "", 1))*1</f>
        <v>96.814025</v>
      </c>
      <c r="I83" s="92">
        <f>(SUBSTITUTE(Audio!I83, "RE-", "", 1))*1</f>
        <v>0</v>
      </c>
      <c r="J83" s="92">
        <f>(SUBSTITUTE(Audio!J83, "RE-", "", 1))*1</f>
        <v>1758.054505</v>
      </c>
      <c r="K83" s="92">
        <f>(SUBSTITUTE(Audio!K83, "RE-", "", 1))*1</f>
        <v>0</v>
      </c>
      <c r="L83" s="92">
        <f>(SUBSTITUTE(Audio!L83, "RE-", "", 1))*1</f>
        <v>932.9016729</v>
      </c>
      <c r="M83" s="92">
        <f>(SUBSTITUTE(Audio!M83, "RE-", "", 1))*1</f>
        <v>0</v>
      </c>
      <c r="N83" s="92">
        <f>(SUBSTITUTE(Audio!N83, "RE-", "", 1))*1</f>
        <v>886.6935333</v>
      </c>
      <c r="O83" s="92">
        <f>(SUBSTITUTE(Audio!O83, "RE-", "", 1))*1</f>
        <v>0</v>
      </c>
      <c r="P83" s="92">
        <f>(SUBSTITUTE(Audio!P83, "RE-", "", 1))*1</f>
        <v>504.7645375</v>
      </c>
      <c r="Q83" s="92">
        <f>(SUBSTITUTE(Audio!Q83, "RE-", "", 1))*1</f>
        <v>0</v>
      </c>
      <c r="R83" s="92">
        <f>(SUBSTITUTE(Audio!R83, "RE-", "", 1))*1</f>
        <v>168.614099</v>
      </c>
      <c r="S83" s="92">
        <f>(SUBSTITUTE(Audio!S83, "RE-", "", 1))*1</f>
        <v>0</v>
      </c>
      <c r="T83" s="92">
        <f>(SUBSTITUTE(Audio!T83, "RE-", "", 1))*1</f>
        <v>577.9905573</v>
      </c>
      <c r="U83" s="92">
        <f>(SUBSTITUTE(Audio!U83, "RE-", "", 1))*1</f>
        <v>0</v>
      </c>
      <c r="V83" s="92">
        <f>(SUBSTITUTE(Audio!V83, "RE-", "", 1))*1</f>
        <v>0</v>
      </c>
      <c r="W83" s="92">
        <f>(SUBSTITUTE(Audio!W83, "RE-", "", 1))*1</f>
        <v>0</v>
      </c>
      <c r="X83" s="92">
        <f>(SUBSTITUTE(Audio!X83, "RE-", "", 1))*1</f>
        <v>0</v>
      </c>
      <c r="Y83" s="92">
        <f>(SUBSTITUTE(Audio!Y83, "RE-", "", 1))*1</f>
        <v>0</v>
      </c>
      <c r="Z83" s="92">
        <f>(SUBSTITUTE(Audio!Z83, "RE-", "", 1))*1</f>
        <v>0</v>
      </c>
      <c r="AA83" s="92"/>
      <c r="AB83" s="92"/>
      <c r="AC83" s="92"/>
      <c r="AD83" s="92"/>
      <c r="AE83" s="92"/>
      <c r="AF83" s="92"/>
      <c r="AG83" s="92"/>
      <c r="AH83" s="92"/>
      <c r="AI83" s="92"/>
      <c r="AJ83" s="92"/>
      <c r="AK83" s="92"/>
      <c r="AL83" s="92"/>
      <c r="AM83" s="92"/>
      <c r="AN83" s="92"/>
      <c r="AO83" s="92"/>
      <c r="AP83" s="92"/>
      <c r="AQ83" s="92"/>
      <c r="AR83" s="92"/>
      <c r="AS83" s="92"/>
      <c r="AT83" s="92"/>
      <c r="AU83" s="92"/>
      <c r="AV83" s="92"/>
      <c r="AW83" s="92"/>
      <c r="AX83" s="92"/>
      <c r="AY83" s="92"/>
      <c r="AZ83" s="92"/>
      <c r="BA83" s="92"/>
      <c r="BB83" s="92"/>
      <c r="BC83" s="92"/>
      <c r="BD83" s="92"/>
      <c r="BE83" s="92"/>
      <c r="BF83" s="92"/>
      <c r="BG83" s="92"/>
      <c r="BH83" s="92"/>
      <c r="BI83" s="92"/>
      <c r="BJ83" s="92"/>
      <c r="BK83" s="92"/>
      <c r="BL83" s="92"/>
      <c r="BM83" s="92"/>
      <c r="BN83" s="92"/>
      <c r="BO83" s="92"/>
      <c r="BP83" s="92"/>
      <c r="BQ83" s="92"/>
      <c r="BR83" s="92"/>
      <c r="BS83" s="92"/>
      <c r="BT83" s="92"/>
      <c r="BU83" s="92"/>
      <c r="BV83" s="92"/>
      <c r="BW83" s="92"/>
      <c r="BX83" s="92"/>
      <c r="BY83" s="92"/>
      <c r="BZ83" s="92"/>
      <c r="CA83" s="92"/>
      <c r="CB83" s="92"/>
      <c r="CC83" s="92"/>
      <c r="CD83" s="92"/>
      <c r="CE83" s="92"/>
      <c r="CF83" s="92"/>
      <c r="CG83" s="92"/>
      <c r="CH83" s="92"/>
      <c r="CI83" s="92"/>
      <c r="CJ83" s="92"/>
      <c r="CK83" s="92"/>
      <c r="CL83" s="92"/>
      <c r="CM83" s="92"/>
      <c r="CN83" s="92"/>
      <c r="CO83" s="92"/>
      <c r="CP83" s="92"/>
      <c r="CQ83" s="92"/>
      <c r="CR83" s="92"/>
      <c r="CS83" s="92"/>
      <c r="CT83" s="92"/>
      <c r="CU83" s="92"/>
      <c r="CV83" s="92"/>
      <c r="CW83" s="92"/>
      <c r="CX83" s="92"/>
      <c r="CY83" s="92"/>
      <c r="CZ83" s="92"/>
      <c r="DA83" s="92"/>
      <c r="DB83" s="92"/>
      <c r="DC83" s="92"/>
      <c r="DD83" s="92"/>
      <c r="DE83" s="92"/>
      <c r="DF83" s="92"/>
      <c r="DG83" s="92"/>
      <c r="DH83" s="92"/>
      <c r="DI83" s="92"/>
      <c r="DJ83" s="92"/>
      <c r="DK83" s="92"/>
      <c r="DL83" s="92"/>
      <c r="DM83" s="92"/>
      <c r="DN83" s="92"/>
      <c r="DO83" s="92"/>
      <c r="DP83" s="92"/>
      <c r="DQ83" s="92"/>
      <c r="DR83" s="92"/>
      <c r="DS83" s="92"/>
      <c r="DT83" s="92"/>
      <c r="DU83" s="92"/>
      <c r="DV83" s="92"/>
      <c r="DW83" s="92"/>
      <c r="DX83" s="92"/>
      <c r="DY83" s="92"/>
      <c r="DZ83" s="92"/>
      <c r="EA83" s="92"/>
      <c r="EB83" s="92"/>
      <c r="EC83" s="92"/>
      <c r="ED83" s="92"/>
      <c r="EE83" s="92"/>
      <c r="EF83" s="92"/>
      <c r="EG83" s="92"/>
      <c r="EH83" s="92"/>
      <c r="EI83" s="92"/>
      <c r="EJ83" s="92"/>
      <c r="EK83" s="92"/>
      <c r="EL83" s="92"/>
      <c r="EM83" s="92"/>
      <c r="EN83" s="92"/>
      <c r="EO83" s="92"/>
      <c r="EP83" s="92"/>
      <c r="EQ83" s="92"/>
      <c r="ER83" s="92"/>
      <c r="ES83" s="92"/>
      <c r="ET83" s="92"/>
      <c r="EU83" s="92"/>
      <c r="EV83" s="92"/>
      <c r="EW83" s="92"/>
      <c r="EX83" s="92"/>
      <c r="EY83" s="92"/>
      <c r="EZ83" s="92"/>
      <c r="FA83" s="92"/>
      <c r="FB83" s="92"/>
      <c r="FC83" s="92"/>
      <c r="FD83" s="92"/>
      <c r="FE83" s="92"/>
      <c r="FF83" s="92"/>
      <c r="FG83" s="92"/>
      <c r="FH83" s="92"/>
    </row>
    <row r="84">
      <c r="A84" s="32" t="s">
        <v>7</v>
      </c>
      <c r="B84" s="32" t="s">
        <v>26</v>
      </c>
      <c r="C84" s="32" t="s">
        <v>9</v>
      </c>
      <c r="D84" s="97">
        <f t="shared" si="1"/>
        <v>6069.749736</v>
      </c>
      <c r="E84" s="92">
        <f>(SUBSTITUTE(Audio!E84, "RE-", "", 1))*1</f>
        <v>0</v>
      </c>
      <c r="F84" s="92">
        <f>(SUBSTITUTE(Audio!F84, "RE-", "", 1))*1</f>
        <v>1143.916806</v>
      </c>
      <c r="G84" s="92">
        <f>(SUBSTITUTE(Audio!G84, "RE-", "", 1))*1</f>
        <v>0</v>
      </c>
      <c r="H84" s="92">
        <f>(SUBSTITUTE(Audio!H84, "RE-", "", 1))*1</f>
        <v>96.814025</v>
      </c>
      <c r="I84" s="92">
        <f>(SUBSTITUTE(Audio!I84, "RE-", "", 1))*1</f>
        <v>0</v>
      </c>
      <c r="J84" s="92">
        <f>(SUBSTITUTE(Audio!J84, "RE-", "", 1))*1</f>
        <v>1758.054505</v>
      </c>
      <c r="K84" s="92">
        <f>(SUBSTITUTE(Audio!K84, "RE-", "", 1))*1</f>
        <v>0</v>
      </c>
      <c r="L84" s="92">
        <f>(SUBSTITUTE(Audio!L84, "RE-", "", 1))*1</f>
        <v>932.9016729</v>
      </c>
      <c r="M84" s="92">
        <f>(SUBSTITUTE(Audio!M84, "RE-", "", 1))*1</f>
        <v>0</v>
      </c>
      <c r="N84" s="92">
        <f>(SUBSTITUTE(Audio!N84, "RE-", "", 1))*1</f>
        <v>886.6935333</v>
      </c>
      <c r="O84" s="92">
        <f>(SUBSTITUTE(Audio!O84, "RE-", "", 1))*1</f>
        <v>0</v>
      </c>
      <c r="P84" s="92">
        <f>(SUBSTITUTE(Audio!P84, "RE-", "", 1))*1</f>
        <v>504.7645375</v>
      </c>
      <c r="Q84" s="92">
        <f>(SUBSTITUTE(Audio!Q84, "RE-", "", 1))*1</f>
        <v>0</v>
      </c>
      <c r="R84" s="92">
        <f>(SUBSTITUTE(Audio!R84, "RE-", "", 1))*1</f>
        <v>168.614099</v>
      </c>
      <c r="S84" s="92">
        <f>(SUBSTITUTE(Audio!S84, "RE-", "", 1))*1</f>
        <v>0</v>
      </c>
      <c r="T84" s="92">
        <f>(SUBSTITUTE(Audio!T84, "RE-", "", 1))*1</f>
        <v>577.9905573</v>
      </c>
      <c r="U84" s="92">
        <f>(SUBSTITUTE(Audio!U84, "RE-", "", 1))*1</f>
        <v>0</v>
      </c>
      <c r="V84" s="92">
        <f>(SUBSTITUTE(Audio!V84, "RE-", "", 1))*1</f>
        <v>0</v>
      </c>
      <c r="W84" s="92">
        <f>(SUBSTITUTE(Audio!W84, "RE-", "", 1))*1</f>
        <v>0</v>
      </c>
      <c r="X84" s="92">
        <f>(SUBSTITUTE(Audio!X84, "RE-", "", 1))*1</f>
        <v>0</v>
      </c>
      <c r="Y84" s="92">
        <f>(SUBSTITUTE(Audio!Y84, "RE-", "", 1))*1</f>
        <v>0</v>
      </c>
      <c r="Z84" s="92">
        <f>(SUBSTITUTE(Audio!Z84, "RE-", "", 1))*1</f>
        <v>0</v>
      </c>
      <c r="AA84" s="92"/>
      <c r="AB84" s="92"/>
      <c r="AC84" s="92"/>
      <c r="AD84" s="92"/>
      <c r="AE84" s="92"/>
      <c r="AF84" s="92"/>
      <c r="AG84" s="92"/>
      <c r="AH84" s="92"/>
      <c r="AI84" s="92"/>
      <c r="AJ84" s="92"/>
      <c r="AK84" s="92"/>
      <c r="AL84" s="92"/>
      <c r="AM84" s="92"/>
      <c r="AN84" s="92"/>
      <c r="AO84" s="92"/>
      <c r="AP84" s="92"/>
      <c r="AQ84" s="92"/>
      <c r="AR84" s="92"/>
      <c r="AS84" s="92"/>
      <c r="AT84" s="92"/>
      <c r="AU84" s="92"/>
      <c r="AV84" s="92"/>
      <c r="AW84" s="92"/>
      <c r="AX84" s="92"/>
      <c r="AY84" s="92"/>
      <c r="AZ84" s="92"/>
      <c r="BA84" s="92"/>
      <c r="BB84" s="92"/>
      <c r="BC84" s="92"/>
      <c r="BD84" s="92"/>
      <c r="BE84" s="92"/>
      <c r="BF84" s="92"/>
      <c r="BG84" s="92"/>
      <c r="BH84" s="92"/>
      <c r="BI84" s="92"/>
      <c r="BJ84" s="92"/>
      <c r="BK84" s="92"/>
      <c r="BL84" s="92"/>
      <c r="BM84" s="92"/>
      <c r="BN84" s="92"/>
      <c r="BO84" s="92"/>
      <c r="BP84" s="92"/>
      <c r="BQ84" s="92"/>
      <c r="BR84" s="92"/>
      <c r="BS84" s="92"/>
      <c r="BT84" s="92"/>
      <c r="BU84" s="92"/>
      <c r="BV84" s="92"/>
      <c r="BW84" s="92"/>
      <c r="BX84" s="92"/>
      <c r="BY84" s="92"/>
      <c r="BZ84" s="92"/>
      <c r="CA84" s="92"/>
      <c r="CB84" s="92"/>
      <c r="CC84" s="92"/>
      <c r="CD84" s="92"/>
      <c r="CE84" s="92"/>
      <c r="CF84" s="92"/>
      <c r="CG84" s="92"/>
      <c r="CH84" s="92"/>
      <c r="CI84" s="92"/>
      <c r="CJ84" s="92"/>
      <c r="CK84" s="92"/>
      <c r="CL84" s="92"/>
      <c r="CM84" s="92"/>
      <c r="CN84" s="92"/>
      <c r="CO84" s="92"/>
      <c r="CP84" s="92"/>
      <c r="CQ84" s="92"/>
      <c r="CR84" s="92"/>
      <c r="CS84" s="92"/>
      <c r="CT84" s="92"/>
      <c r="CU84" s="92"/>
      <c r="CV84" s="92"/>
      <c r="CW84" s="92"/>
      <c r="CX84" s="92"/>
      <c r="CY84" s="92"/>
      <c r="CZ84" s="92"/>
      <c r="DA84" s="92"/>
      <c r="DB84" s="92"/>
      <c r="DC84" s="92"/>
      <c r="DD84" s="92"/>
      <c r="DE84" s="92"/>
      <c r="DF84" s="92"/>
      <c r="DG84" s="92"/>
      <c r="DH84" s="92"/>
      <c r="DI84" s="92"/>
      <c r="DJ84" s="92"/>
      <c r="DK84" s="92"/>
      <c r="DL84" s="92"/>
      <c r="DM84" s="92"/>
      <c r="DN84" s="92"/>
      <c r="DO84" s="92"/>
      <c r="DP84" s="92"/>
      <c r="DQ84" s="92"/>
      <c r="DR84" s="92"/>
      <c r="DS84" s="92"/>
      <c r="DT84" s="92"/>
      <c r="DU84" s="92"/>
      <c r="DV84" s="92"/>
      <c r="DW84" s="92"/>
      <c r="DX84" s="92"/>
      <c r="DY84" s="92"/>
      <c r="DZ84" s="92"/>
      <c r="EA84" s="92"/>
      <c r="EB84" s="92"/>
      <c r="EC84" s="92"/>
      <c r="ED84" s="92"/>
      <c r="EE84" s="92"/>
      <c r="EF84" s="92"/>
      <c r="EG84" s="92"/>
      <c r="EH84" s="92"/>
      <c r="EI84" s="92"/>
      <c r="EJ84" s="92"/>
      <c r="EK84" s="92"/>
      <c r="EL84" s="92"/>
      <c r="EM84" s="92"/>
      <c r="EN84" s="92"/>
      <c r="EO84" s="92"/>
      <c r="EP84" s="92"/>
      <c r="EQ84" s="92"/>
      <c r="ER84" s="92"/>
      <c r="ES84" s="92"/>
      <c r="ET84" s="92"/>
      <c r="EU84" s="92"/>
      <c r="EV84" s="92"/>
      <c r="EW84" s="92"/>
      <c r="EX84" s="92"/>
      <c r="EY84" s="92"/>
      <c r="EZ84" s="92"/>
      <c r="FA84" s="92"/>
      <c r="FB84" s="92"/>
      <c r="FC84" s="92"/>
      <c r="FD84" s="92"/>
      <c r="FE84" s="92"/>
      <c r="FF84" s="92"/>
      <c r="FG84" s="92"/>
      <c r="FH84" s="92"/>
    </row>
    <row r="85">
      <c r="A85" s="32" t="s">
        <v>7</v>
      </c>
      <c r="B85" s="32" t="s">
        <v>26</v>
      </c>
      <c r="C85" s="32" t="s">
        <v>10</v>
      </c>
      <c r="D85" s="97">
        <f t="shared" si="1"/>
        <v>578.6705187</v>
      </c>
      <c r="E85" s="92">
        <f>(SUBSTITUTE(Audio!E85, "RE-", "", 1))*1</f>
        <v>0</v>
      </c>
      <c r="F85" s="92">
        <f>(SUBSTITUTE(Audio!F85, "RE-", "", 1))*1</f>
        <v>0</v>
      </c>
      <c r="G85" s="92">
        <f>(SUBSTITUTE(Audio!G85, "RE-", "", 1))*1</f>
        <v>98.70652083</v>
      </c>
      <c r="H85" s="92">
        <f>(SUBSTITUTE(Audio!H85, "RE-", "", 1))*1</f>
        <v>0</v>
      </c>
      <c r="I85" s="92">
        <f>(SUBSTITUTE(Audio!I85, "RE-", "", 1))*1</f>
        <v>25.3088375</v>
      </c>
      <c r="J85" s="92">
        <f>(SUBSTITUTE(Audio!J85, "RE-", "", 1))*1</f>
        <v>0</v>
      </c>
      <c r="K85" s="92">
        <f>(SUBSTITUTE(Audio!K85, "RE-", "", 1))*1</f>
        <v>152.8093823</v>
      </c>
      <c r="L85" s="92">
        <f>(SUBSTITUTE(Audio!L85, "RE-", "", 1))*1</f>
        <v>0</v>
      </c>
      <c r="M85" s="92">
        <f>(SUBSTITUTE(Audio!M85, "RE-", "", 1))*1</f>
        <v>56.34187708</v>
      </c>
      <c r="N85" s="92">
        <f>(SUBSTITUTE(Audio!N85, "RE-", "", 1))*1</f>
        <v>0</v>
      </c>
      <c r="O85" s="92">
        <f>(SUBSTITUTE(Audio!O85, "RE-", "", 1))*1</f>
        <v>67.71078229</v>
      </c>
      <c r="P85" s="92">
        <f>(SUBSTITUTE(Audio!P85, "RE-", "", 1))*1</f>
        <v>0</v>
      </c>
      <c r="Q85" s="92">
        <f>(SUBSTITUTE(Audio!Q85, "RE-", "", 1))*1</f>
        <v>67.35577812</v>
      </c>
      <c r="R85" s="92">
        <f>(SUBSTITUTE(Audio!R85, "RE-", "", 1))*1</f>
        <v>0</v>
      </c>
      <c r="S85" s="92">
        <f>(SUBSTITUTE(Audio!S85, "RE-", "", 1))*1</f>
        <v>41.38435729</v>
      </c>
      <c r="T85" s="92">
        <f>(SUBSTITUTE(Audio!T85, "RE-", "", 1))*1</f>
        <v>0</v>
      </c>
      <c r="U85" s="92">
        <f>(SUBSTITUTE(Audio!U85, "RE-", "", 1))*1</f>
        <v>58.945925</v>
      </c>
      <c r="V85" s="92">
        <f>(SUBSTITUTE(Audio!V85, "RE-", "", 1))*1</f>
        <v>10.10705833</v>
      </c>
      <c r="W85" s="92">
        <f>(SUBSTITUTE(Audio!W85, "RE-", "", 1))*1</f>
        <v>0</v>
      </c>
      <c r="X85" s="92">
        <f>(SUBSTITUTE(Audio!X85, "RE-", "", 1))*1</f>
        <v>0</v>
      </c>
      <c r="Y85" s="92">
        <f>(SUBSTITUTE(Audio!Y85, "RE-", "", 1))*1</f>
        <v>0</v>
      </c>
      <c r="Z85" s="92">
        <f>(SUBSTITUTE(Audio!Z85, "RE-", "", 1))*1</f>
        <v>0</v>
      </c>
      <c r="AA85" s="92"/>
      <c r="AB85" s="92"/>
      <c r="AC85" s="92"/>
      <c r="AD85" s="92"/>
      <c r="AE85" s="92"/>
      <c r="AF85" s="92"/>
      <c r="AG85" s="92"/>
      <c r="AH85" s="92"/>
      <c r="AI85" s="92"/>
      <c r="AJ85" s="92"/>
      <c r="AK85" s="92"/>
      <c r="AL85" s="92"/>
      <c r="AM85" s="92"/>
      <c r="AN85" s="92"/>
      <c r="AO85" s="92"/>
      <c r="AP85" s="92"/>
      <c r="AQ85" s="92"/>
      <c r="AR85" s="92"/>
      <c r="AS85" s="92"/>
      <c r="AT85" s="92"/>
      <c r="AU85" s="92"/>
      <c r="AV85" s="92"/>
      <c r="AW85" s="92"/>
      <c r="AX85" s="92"/>
      <c r="AY85" s="92"/>
      <c r="AZ85" s="92"/>
      <c r="BA85" s="92"/>
      <c r="BB85" s="92"/>
      <c r="BC85" s="92"/>
      <c r="BD85" s="92"/>
      <c r="BE85" s="92"/>
      <c r="BF85" s="92"/>
      <c r="BG85" s="92"/>
      <c r="BH85" s="92"/>
      <c r="BI85" s="92"/>
      <c r="BJ85" s="92"/>
      <c r="BK85" s="92"/>
      <c r="BL85" s="92"/>
      <c r="BM85" s="92"/>
      <c r="BN85" s="92"/>
      <c r="BO85" s="92"/>
      <c r="BP85" s="92"/>
      <c r="BQ85" s="92"/>
      <c r="BR85" s="92"/>
      <c r="BS85" s="92"/>
      <c r="BT85" s="92"/>
      <c r="BU85" s="92"/>
      <c r="BV85" s="92"/>
      <c r="BW85" s="92"/>
      <c r="BX85" s="92"/>
      <c r="BY85" s="92"/>
      <c r="BZ85" s="92"/>
      <c r="CA85" s="92"/>
      <c r="CB85" s="92"/>
      <c r="CC85" s="92"/>
      <c r="CD85" s="92"/>
      <c r="CE85" s="92"/>
      <c r="CF85" s="92"/>
      <c r="CG85" s="92"/>
      <c r="CH85" s="92"/>
      <c r="CI85" s="92"/>
      <c r="CJ85" s="92"/>
      <c r="CK85" s="92"/>
      <c r="CL85" s="92"/>
      <c r="CM85" s="92"/>
      <c r="CN85" s="92"/>
      <c r="CO85" s="92"/>
      <c r="CP85" s="92"/>
      <c r="CQ85" s="92"/>
      <c r="CR85" s="92"/>
      <c r="CS85" s="92"/>
      <c r="CT85" s="92"/>
      <c r="CU85" s="92"/>
      <c r="CV85" s="92"/>
      <c r="CW85" s="92"/>
      <c r="CX85" s="92"/>
      <c r="CY85" s="92"/>
      <c r="CZ85" s="92"/>
      <c r="DA85" s="92"/>
      <c r="DB85" s="92"/>
      <c r="DC85" s="92"/>
      <c r="DD85" s="92"/>
      <c r="DE85" s="92"/>
      <c r="DF85" s="92"/>
      <c r="DG85" s="92"/>
      <c r="DH85" s="92"/>
      <c r="DI85" s="92"/>
      <c r="DJ85" s="92"/>
      <c r="DK85" s="92"/>
      <c r="DL85" s="92"/>
      <c r="DM85" s="92"/>
      <c r="DN85" s="92"/>
      <c r="DO85" s="92"/>
      <c r="DP85" s="92"/>
      <c r="DQ85" s="92"/>
      <c r="DR85" s="92"/>
      <c r="DS85" s="92"/>
      <c r="DT85" s="92"/>
      <c r="DU85" s="92"/>
      <c r="DV85" s="92"/>
      <c r="DW85" s="92"/>
      <c r="DX85" s="92"/>
      <c r="DY85" s="92"/>
      <c r="DZ85" s="92"/>
      <c r="EA85" s="92"/>
      <c r="EB85" s="92"/>
      <c r="EC85" s="92"/>
      <c r="ED85" s="92"/>
      <c r="EE85" s="92"/>
      <c r="EF85" s="92"/>
      <c r="EG85" s="92"/>
      <c r="EH85" s="92"/>
      <c r="EI85" s="92"/>
      <c r="EJ85" s="92"/>
      <c r="EK85" s="92"/>
      <c r="EL85" s="92"/>
      <c r="EM85" s="92"/>
      <c r="EN85" s="92"/>
      <c r="EO85" s="92"/>
      <c r="EP85" s="92"/>
      <c r="EQ85" s="92"/>
      <c r="ER85" s="92"/>
      <c r="ES85" s="92"/>
      <c r="ET85" s="92"/>
      <c r="EU85" s="92"/>
      <c r="EV85" s="92"/>
      <c r="EW85" s="92"/>
      <c r="EX85" s="92"/>
      <c r="EY85" s="92"/>
      <c r="EZ85" s="92"/>
      <c r="FA85" s="92"/>
      <c r="FB85" s="92"/>
      <c r="FC85" s="92"/>
      <c r="FD85" s="92"/>
      <c r="FE85" s="92"/>
      <c r="FF85" s="92"/>
      <c r="FG85" s="92"/>
      <c r="FH85" s="92"/>
    </row>
    <row r="86">
      <c r="A86" s="32" t="s">
        <v>7</v>
      </c>
      <c r="B86" s="32" t="s">
        <v>26</v>
      </c>
      <c r="C86" s="32" t="s">
        <v>11</v>
      </c>
      <c r="D86" s="97">
        <f t="shared" si="1"/>
        <v>578.6705187</v>
      </c>
      <c r="E86" s="92">
        <f>(SUBSTITUTE(Audio!E86, "RE-", "", 1))*1</f>
        <v>0</v>
      </c>
      <c r="F86" s="92">
        <f>(SUBSTITUTE(Audio!F86, "RE-", "", 1))*1</f>
        <v>0</v>
      </c>
      <c r="G86" s="92">
        <f>(SUBSTITUTE(Audio!G86, "RE-", "", 1))*1</f>
        <v>98.70652083</v>
      </c>
      <c r="H86" s="92">
        <f>(SUBSTITUTE(Audio!H86, "RE-", "", 1))*1</f>
        <v>0</v>
      </c>
      <c r="I86" s="92">
        <f>(SUBSTITUTE(Audio!I86, "RE-", "", 1))*1</f>
        <v>25.3088375</v>
      </c>
      <c r="J86" s="92">
        <f>(SUBSTITUTE(Audio!J86, "RE-", "", 1))*1</f>
        <v>0</v>
      </c>
      <c r="K86" s="92">
        <f>(SUBSTITUTE(Audio!K86, "RE-", "", 1))*1</f>
        <v>152.8093823</v>
      </c>
      <c r="L86" s="92">
        <f>(SUBSTITUTE(Audio!L86, "RE-", "", 1))*1</f>
        <v>0</v>
      </c>
      <c r="M86" s="92">
        <f>(SUBSTITUTE(Audio!M86, "RE-", "", 1))*1</f>
        <v>56.34187708</v>
      </c>
      <c r="N86" s="92">
        <f>(SUBSTITUTE(Audio!N86, "RE-", "", 1))*1</f>
        <v>0</v>
      </c>
      <c r="O86" s="92">
        <f>(SUBSTITUTE(Audio!O86, "RE-", "", 1))*1</f>
        <v>67.71078229</v>
      </c>
      <c r="P86" s="92">
        <f>(SUBSTITUTE(Audio!P86, "RE-", "", 1))*1</f>
        <v>0</v>
      </c>
      <c r="Q86" s="92">
        <f>(SUBSTITUTE(Audio!Q86, "RE-", "", 1))*1</f>
        <v>67.35577812</v>
      </c>
      <c r="R86" s="92">
        <f>(SUBSTITUTE(Audio!R86, "RE-", "", 1))*1</f>
        <v>0</v>
      </c>
      <c r="S86" s="92">
        <f>(SUBSTITUTE(Audio!S86, "RE-", "", 1))*1</f>
        <v>41.38435729</v>
      </c>
      <c r="T86" s="92">
        <f>(SUBSTITUTE(Audio!T86, "RE-", "", 1))*1</f>
        <v>0</v>
      </c>
      <c r="U86" s="92">
        <f>(SUBSTITUTE(Audio!U86, "RE-", "", 1))*1</f>
        <v>58.945925</v>
      </c>
      <c r="V86" s="92">
        <f>(SUBSTITUTE(Audio!V86, "RE-", "", 1))*1</f>
        <v>10.10705833</v>
      </c>
      <c r="W86" s="92">
        <f>(SUBSTITUTE(Audio!W86, "RE-", "", 1))*1</f>
        <v>0</v>
      </c>
      <c r="X86" s="92">
        <f>(SUBSTITUTE(Audio!X86, "RE-", "", 1))*1</f>
        <v>0</v>
      </c>
      <c r="Y86" s="92">
        <f>(SUBSTITUTE(Audio!Y86, "RE-", "", 1))*1</f>
        <v>0</v>
      </c>
      <c r="Z86" s="92">
        <f>(SUBSTITUTE(Audio!Z86, "RE-", "", 1))*1</f>
        <v>0</v>
      </c>
      <c r="AA86" s="92"/>
      <c r="AB86" s="92"/>
      <c r="AC86" s="92"/>
      <c r="AD86" s="92"/>
      <c r="AE86" s="92"/>
      <c r="AF86" s="92"/>
      <c r="AG86" s="92"/>
      <c r="AH86" s="92"/>
      <c r="AI86" s="92"/>
      <c r="AJ86" s="92"/>
      <c r="AK86" s="92"/>
      <c r="AL86" s="92"/>
      <c r="AM86" s="92"/>
      <c r="AN86" s="92"/>
      <c r="AO86" s="92"/>
      <c r="AP86" s="92"/>
      <c r="AQ86" s="92"/>
      <c r="AR86" s="92"/>
      <c r="AS86" s="92"/>
      <c r="AT86" s="92"/>
      <c r="AU86" s="92"/>
      <c r="AV86" s="92"/>
      <c r="AW86" s="92"/>
      <c r="AX86" s="92"/>
      <c r="AY86" s="92"/>
      <c r="AZ86" s="92"/>
      <c r="BA86" s="92"/>
      <c r="BB86" s="92"/>
      <c r="BC86" s="92"/>
      <c r="BD86" s="92"/>
      <c r="BE86" s="92"/>
      <c r="BF86" s="92"/>
      <c r="BG86" s="92"/>
      <c r="BH86" s="92"/>
      <c r="BI86" s="92"/>
      <c r="BJ86" s="92"/>
      <c r="BK86" s="92"/>
      <c r="BL86" s="92"/>
      <c r="BM86" s="92"/>
      <c r="BN86" s="92"/>
      <c r="BO86" s="92"/>
      <c r="BP86" s="92"/>
      <c r="BQ86" s="92"/>
      <c r="BR86" s="92"/>
      <c r="BS86" s="92"/>
      <c r="BT86" s="92"/>
      <c r="BU86" s="92"/>
      <c r="BV86" s="92"/>
      <c r="BW86" s="92"/>
      <c r="BX86" s="92"/>
      <c r="BY86" s="92"/>
      <c r="BZ86" s="92"/>
      <c r="CA86" s="92"/>
      <c r="CB86" s="92"/>
      <c r="CC86" s="92"/>
      <c r="CD86" s="92"/>
      <c r="CE86" s="92"/>
      <c r="CF86" s="92"/>
      <c r="CG86" s="92"/>
      <c r="CH86" s="92"/>
      <c r="CI86" s="92"/>
      <c r="CJ86" s="92"/>
      <c r="CK86" s="92"/>
      <c r="CL86" s="92"/>
      <c r="CM86" s="92"/>
      <c r="CN86" s="92"/>
      <c r="CO86" s="92"/>
      <c r="CP86" s="92"/>
      <c r="CQ86" s="92"/>
      <c r="CR86" s="92"/>
      <c r="CS86" s="92"/>
      <c r="CT86" s="92"/>
      <c r="CU86" s="92"/>
      <c r="CV86" s="92"/>
      <c r="CW86" s="92"/>
      <c r="CX86" s="92"/>
      <c r="CY86" s="92"/>
      <c r="CZ86" s="92"/>
      <c r="DA86" s="92"/>
      <c r="DB86" s="92"/>
      <c r="DC86" s="92"/>
      <c r="DD86" s="92"/>
      <c r="DE86" s="92"/>
      <c r="DF86" s="92"/>
      <c r="DG86" s="92"/>
      <c r="DH86" s="92"/>
      <c r="DI86" s="92"/>
      <c r="DJ86" s="92"/>
      <c r="DK86" s="92"/>
      <c r="DL86" s="92"/>
      <c r="DM86" s="92"/>
      <c r="DN86" s="92"/>
      <c r="DO86" s="92"/>
      <c r="DP86" s="92"/>
      <c r="DQ86" s="92"/>
      <c r="DR86" s="92"/>
      <c r="DS86" s="92"/>
      <c r="DT86" s="92"/>
      <c r="DU86" s="92"/>
      <c r="DV86" s="92"/>
      <c r="DW86" s="92"/>
      <c r="DX86" s="92"/>
      <c r="DY86" s="92"/>
      <c r="DZ86" s="92"/>
      <c r="EA86" s="92"/>
      <c r="EB86" s="92"/>
      <c r="EC86" s="92"/>
      <c r="ED86" s="92"/>
      <c r="EE86" s="92"/>
      <c r="EF86" s="92"/>
      <c r="EG86" s="92"/>
      <c r="EH86" s="92"/>
      <c r="EI86" s="92"/>
      <c r="EJ86" s="92"/>
      <c r="EK86" s="92"/>
      <c r="EL86" s="92"/>
      <c r="EM86" s="92"/>
      <c r="EN86" s="92"/>
      <c r="EO86" s="92"/>
      <c r="EP86" s="92"/>
      <c r="EQ86" s="92"/>
      <c r="ER86" s="92"/>
      <c r="ES86" s="92"/>
      <c r="ET86" s="92"/>
      <c r="EU86" s="92"/>
      <c r="EV86" s="92"/>
      <c r="EW86" s="92"/>
      <c r="EX86" s="92"/>
      <c r="EY86" s="92"/>
      <c r="EZ86" s="92"/>
      <c r="FA86" s="92"/>
      <c r="FB86" s="92"/>
      <c r="FC86" s="92"/>
      <c r="FD86" s="92"/>
      <c r="FE86" s="92"/>
      <c r="FF86" s="92"/>
      <c r="FG86" s="92"/>
      <c r="FH86" s="92"/>
    </row>
    <row r="87">
      <c r="A87" s="32" t="s">
        <v>7</v>
      </c>
      <c r="B87" s="32" t="s">
        <v>26</v>
      </c>
      <c r="C87" s="32" t="s">
        <v>12</v>
      </c>
      <c r="D87" s="97">
        <f t="shared" si="1"/>
        <v>5020.592873</v>
      </c>
      <c r="E87" s="92">
        <f>(SUBSTITUTE(Audio!E87, "RE-", "", 1))*1</f>
        <v>0</v>
      </c>
      <c r="F87" s="92">
        <f>(SUBSTITUTE(Audio!F87, "RE-", "", 1))*1</f>
        <v>914.2734729</v>
      </c>
      <c r="G87" s="92">
        <f>(SUBSTITUTE(Audio!G87, "RE-", "", 1))*1</f>
        <v>3.915041667</v>
      </c>
      <c r="H87" s="92">
        <f>(SUBSTITUTE(Audio!H87, "RE-", "", 1))*1</f>
        <v>88.58791458</v>
      </c>
      <c r="I87" s="92">
        <f>(SUBSTITUTE(Audio!I87, "RE-", "", 1))*1</f>
        <v>0</v>
      </c>
      <c r="J87" s="92">
        <f>(SUBSTITUTE(Audio!J87, "RE-", "", 1))*1</f>
        <v>1368.766303</v>
      </c>
      <c r="K87" s="92">
        <f>(SUBSTITUTE(Audio!K87, "RE-", "", 1))*1</f>
        <v>8.550872917</v>
      </c>
      <c r="L87" s="92">
        <f>(SUBSTITUTE(Audio!L87, "RE-", "", 1))*1</f>
        <v>874.4435052</v>
      </c>
      <c r="M87" s="92">
        <f>(SUBSTITUTE(Audio!M87, "RE-", "", 1))*1</f>
        <v>23.21814583</v>
      </c>
      <c r="N87" s="92">
        <f>(SUBSTITUTE(Audio!N87, "RE-", "", 1))*1</f>
        <v>512.386476</v>
      </c>
      <c r="O87" s="92">
        <f>(SUBSTITUTE(Audio!O87, "RE-", "", 1))*1</f>
        <v>5.406567708</v>
      </c>
      <c r="P87" s="92">
        <f>(SUBSTITUTE(Audio!P87, "RE-", "", 1))*1</f>
        <v>440.7983604</v>
      </c>
      <c r="Q87" s="92">
        <f>(SUBSTITUTE(Audio!Q87, "RE-", "", 1))*1</f>
        <v>24.89220104</v>
      </c>
      <c r="R87" s="92">
        <f>(SUBSTITUTE(Audio!R87, "RE-", "", 1))*1</f>
        <v>153.1428615</v>
      </c>
      <c r="S87" s="92">
        <f>(SUBSTITUTE(Audio!S87, "RE-", "", 1))*1</f>
        <v>22.25765417</v>
      </c>
      <c r="T87" s="92">
        <f>(SUBSTITUTE(Audio!T87, "RE-", "", 1))*1</f>
        <v>544.479149</v>
      </c>
      <c r="U87" s="92">
        <f>(SUBSTITUTE(Audio!U87, "RE-", "", 1))*1</f>
        <v>30.41248646</v>
      </c>
      <c r="V87" s="92">
        <f>(SUBSTITUTE(Audio!V87, "RE-", "", 1))*1</f>
        <v>5.061860417</v>
      </c>
      <c r="W87" s="92">
        <f>(SUBSTITUTE(Audio!W87, "RE-", "", 1))*1</f>
        <v>0</v>
      </c>
      <c r="X87" s="92">
        <f>(SUBSTITUTE(Audio!X87, "RE-", "", 1))*1</f>
        <v>0</v>
      </c>
      <c r="Y87" s="92">
        <f>(SUBSTITUTE(Audio!Y87, "RE-", "", 1))*1</f>
        <v>0</v>
      </c>
      <c r="Z87" s="92">
        <f>(SUBSTITUTE(Audio!Z87, "RE-", "", 1))*1</f>
        <v>0</v>
      </c>
      <c r="AA87" s="92"/>
      <c r="AB87" s="92"/>
      <c r="AC87" s="92"/>
      <c r="AD87" s="92"/>
      <c r="AE87" s="92"/>
      <c r="AF87" s="92"/>
      <c r="AG87" s="92"/>
      <c r="AH87" s="92"/>
      <c r="AI87" s="92"/>
      <c r="AJ87" s="92"/>
      <c r="AK87" s="92"/>
      <c r="AL87" s="92"/>
      <c r="AM87" s="92"/>
      <c r="AN87" s="92"/>
      <c r="AO87" s="92"/>
      <c r="AP87" s="92"/>
      <c r="AQ87" s="92"/>
      <c r="AR87" s="92"/>
      <c r="AS87" s="92"/>
      <c r="AT87" s="92"/>
      <c r="AU87" s="92"/>
      <c r="AV87" s="92"/>
      <c r="AW87" s="92"/>
      <c r="AX87" s="92"/>
      <c r="AY87" s="92"/>
      <c r="AZ87" s="92"/>
      <c r="BA87" s="92"/>
      <c r="BB87" s="92"/>
      <c r="BC87" s="92"/>
      <c r="BD87" s="92"/>
      <c r="BE87" s="92"/>
      <c r="BF87" s="92"/>
      <c r="BG87" s="92"/>
      <c r="BH87" s="92"/>
      <c r="BI87" s="92"/>
      <c r="BJ87" s="92"/>
      <c r="BK87" s="92"/>
      <c r="BL87" s="92"/>
      <c r="BM87" s="92"/>
      <c r="BN87" s="92"/>
      <c r="BO87" s="92"/>
      <c r="BP87" s="92"/>
      <c r="BQ87" s="92"/>
      <c r="BR87" s="92"/>
      <c r="BS87" s="92"/>
      <c r="BT87" s="92"/>
      <c r="BU87" s="92"/>
      <c r="BV87" s="92"/>
      <c r="BW87" s="92"/>
      <c r="BX87" s="92"/>
      <c r="BY87" s="92"/>
      <c r="BZ87" s="92"/>
      <c r="CA87" s="92"/>
      <c r="CB87" s="92"/>
      <c r="CC87" s="92"/>
      <c r="CD87" s="92"/>
      <c r="CE87" s="92"/>
      <c r="CF87" s="92"/>
      <c r="CG87" s="92"/>
      <c r="CH87" s="92"/>
      <c r="CI87" s="92"/>
      <c r="CJ87" s="92"/>
      <c r="CK87" s="92"/>
      <c r="CL87" s="92"/>
      <c r="CM87" s="92"/>
      <c r="CN87" s="92"/>
      <c r="CO87" s="92"/>
      <c r="CP87" s="92"/>
      <c r="CQ87" s="92"/>
      <c r="CR87" s="92"/>
      <c r="CS87" s="92"/>
      <c r="CT87" s="92"/>
      <c r="CU87" s="92"/>
      <c r="CV87" s="92"/>
      <c r="CW87" s="92"/>
      <c r="CX87" s="92"/>
      <c r="CY87" s="92"/>
      <c r="CZ87" s="92"/>
      <c r="DA87" s="92"/>
      <c r="DB87" s="92"/>
      <c r="DC87" s="92"/>
      <c r="DD87" s="92"/>
      <c r="DE87" s="92"/>
      <c r="DF87" s="92"/>
      <c r="DG87" s="92"/>
      <c r="DH87" s="92"/>
      <c r="DI87" s="92"/>
      <c r="DJ87" s="92"/>
      <c r="DK87" s="92"/>
      <c r="DL87" s="92"/>
      <c r="DM87" s="92"/>
      <c r="DN87" s="92"/>
      <c r="DO87" s="92"/>
      <c r="DP87" s="92"/>
      <c r="DQ87" s="92"/>
      <c r="DR87" s="92"/>
      <c r="DS87" s="92"/>
      <c r="DT87" s="92"/>
      <c r="DU87" s="92"/>
      <c r="DV87" s="92"/>
      <c r="DW87" s="92"/>
      <c r="DX87" s="92"/>
      <c r="DY87" s="92"/>
      <c r="DZ87" s="92"/>
      <c r="EA87" s="92"/>
      <c r="EB87" s="92"/>
      <c r="EC87" s="92"/>
      <c r="ED87" s="92"/>
      <c r="EE87" s="92"/>
      <c r="EF87" s="92"/>
      <c r="EG87" s="92"/>
      <c r="EH87" s="92"/>
      <c r="EI87" s="92"/>
      <c r="EJ87" s="92"/>
      <c r="EK87" s="92"/>
      <c r="EL87" s="92"/>
      <c r="EM87" s="92"/>
      <c r="EN87" s="92"/>
      <c r="EO87" s="92"/>
      <c r="EP87" s="92"/>
      <c r="EQ87" s="92"/>
      <c r="ER87" s="92"/>
      <c r="ES87" s="92"/>
      <c r="ET87" s="92"/>
      <c r="EU87" s="92"/>
      <c r="EV87" s="92"/>
      <c r="EW87" s="92"/>
      <c r="EX87" s="92"/>
      <c r="EY87" s="92"/>
      <c r="EZ87" s="92"/>
      <c r="FA87" s="92"/>
      <c r="FB87" s="92"/>
      <c r="FC87" s="92"/>
      <c r="FD87" s="92"/>
      <c r="FE87" s="92"/>
      <c r="FF87" s="92"/>
      <c r="FG87" s="92"/>
      <c r="FH87" s="92"/>
    </row>
    <row r="88">
      <c r="A88" s="32" t="s">
        <v>7</v>
      </c>
      <c r="B88" s="32" t="s">
        <v>26</v>
      </c>
      <c r="C88" s="32" t="s">
        <v>13</v>
      </c>
      <c r="D88" s="97">
        <f t="shared" si="1"/>
        <v>4846.0809</v>
      </c>
      <c r="E88" s="92">
        <f>(SUBSTITUTE(Audio!E88, "RE-", "", 1))*1</f>
        <v>0</v>
      </c>
      <c r="F88" s="92">
        <f>(SUBSTITUTE(Audio!F88, "RE-", "", 1))*1</f>
        <v>888.512</v>
      </c>
      <c r="G88" s="92">
        <f>(SUBSTITUTE(Audio!G88, "RE-", "", 1))*1</f>
        <v>3.81845</v>
      </c>
      <c r="H88" s="92">
        <f>(SUBSTITUTE(Audio!H88, "RE-", "", 1))*1</f>
        <v>86.3852</v>
      </c>
      <c r="I88" s="92">
        <f>(SUBSTITUTE(Audio!I88, "RE-", "", 1))*1</f>
        <v>0</v>
      </c>
      <c r="J88" s="92">
        <f>(SUBSTITUTE(Audio!J88, "RE-", "", 1))*1</f>
        <v>1328.25</v>
      </c>
      <c r="K88" s="92">
        <f>(SUBSTITUTE(Audio!K88, "RE-", "", 1))*1</f>
        <v>8.22075</v>
      </c>
      <c r="L88" s="92">
        <f>(SUBSTITUTE(Audio!L88, "RE-", "", 1))*1</f>
        <v>836.137</v>
      </c>
      <c r="M88" s="92">
        <f>(SUBSTITUTE(Audio!M88, "RE-", "", 1))*1</f>
        <v>22.287</v>
      </c>
      <c r="N88" s="92">
        <f>(SUBSTITUTE(Audio!N88, "RE-", "", 1))*1</f>
        <v>494.152</v>
      </c>
      <c r="O88" s="92">
        <f>(SUBSTITUTE(Audio!O88, "RE-", "", 1))*1</f>
        <v>5.14537</v>
      </c>
      <c r="P88" s="92">
        <f>(SUBSTITUTE(Audio!P88, "RE-", "", 1))*1</f>
        <v>422.346</v>
      </c>
      <c r="Q88" s="92">
        <f>(SUBSTITUTE(Audio!Q88, "RE-", "", 1))*1</f>
        <v>23.2586</v>
      </c>
      <c r="R88" s="92">
        <f>(SUBSTITUTE(Audio!R88, "RE-", "", 1))*1</f>
        <v>147.597</v>
      </c>
      <c r="S88" s="92">
        <f>(SUBSTITUTE(Audio!S88, "RE-", "", 1))*1</f>
        <v>21.0245</v>
      </c>
      <c r="T88" s="92">
        <f>(SUBSTITUTE(Audio!T88, "RE-", "", 1))*1</f>
        <v>525.356</v>
      </c>
      <c r="U88" s="92">
        <f>(SUBSTITUTE(Audio!U88, "RE-", "", 1))*1</f>
        <v>28.7459</v>
      </c>
      <c r="V88" s="92">
        <f>(SUBSTITUTE(Audio!V88, "RE-", "", 1))*1</f>
        <v>4.84513</v>
      </c>
      <c r="W88" s="92">
        <f>(SUBSTITUTE(Audio!W88, "RE-", "", 1))*1</f>
        <v>0</v>
      </c>
      <c r="X88" s="92">
        <f>(SUBSTITUTE(Audio!X88, "RE-", "", 1))*1</f>
        <v>0</v>
      </c>
      <c r="Y88" s="92">
        <f>(SUBSTITUTE(Audio!Y88, "RE-", "", 1))*1</f>
        <v>0</v>
      </c>
      <c r="Z88" s="92">
        <f>(SUBSTITUTE(Audio!Z88, "RE-", "", 1))*1</f>
        <v>0</v>
      </c>
      <c r="AA88" s="92"/>
      <c r="AB88" s="92"/>
      <c r="AC88" s="92"/>
      <c r="AD88" s="92"/>
      <c r="AE88" s="92"/>
      <c r="AF88" s="92"/>
      <c r="AG88" s="92"/>
      <c r="AH88" s="92"/>
      <c r="AI88" s="92"/>
      <c r="AJ88" s="92"/>
      <c r="AK88" s="92"/>
      <c r="AL88" s="92"/>
      <c r="AM88" s="92"/>
      <c r="AN88" s="92"/>
      <c r="AO88" s="92"/>
      <c r="AP88" s="92"/>
      <c r="AQ88" s="92"/>
      <c r="AR88" s="92"/>
      <c r="AS88" s="92"/>
      <c r="AT88" s="92"/>
      <c r="AU88" s="92"/>
      <c r="AV88" s="92"/>
      <c r="AW88" s="92"/>
      <c r="AX88" s="92"/>
      <c r="AY88" s="92"/>
      <c r="AZ88" s="92"/>
      <c r="BA88" s="92"/>
      <c r="BB88" s="92"/>
      <c r="BC88" s="92"/>
      <c r="BD88" s="92"/>
      <c r="BE88" s="92"/>
      <c r="BF88" s="92"/>
      <c r="BG88" s="92"/>
      <c r="BH88" s="92"/>
      <c r="BI88" s="92"/>
      <c r="BJ88" s="92"/>
      <c r="BK88" s="92"/>
      <c r="BL88" s="92"/>
      <c r="BM88" s="92"/>
      <c r="BN88" s="92"/>
      <c r="BO88" s="92"/>
      <c r="BP88" s="92"/>
      <c r="BQ88" s="92"/>
      <c r="BR88" s="92"/>
      <c r="BS88" s="92"/>
      <c r="BT88" s="92"/>
      <c r="BU88" s="92"/>
      <c r="BV88" s="92"/>
      <c r="BW88" s="92"/>
      <c r="BX88" s="92"/>
      <c r="BY88" s="92"/>
      <c r="BZ88" s="92"/>
      <c r="CA88" s="92"/>
      <c r="CB88" s="92"/>
      <c r="CC88" s="92"/>
      <c r="CD88" s="92"/>
      <c r="CE88" s="92"/>
      <c r="CF88" s="92"/>
      <c r="CG88" s="92"/>
      <c r="CH88" s="92"/>
      <c r="CI88" s="92"/>
      <c r="CJ88" s="92"/>
      <c r="CK88" s="92"/>
      <c r="CL88" s="92"/>
      <c r="CM88" s="92"/>
      <c r="CN88" s="92"/>
      <c r="CO88" s="92"/>
      <c r="CP88" s="92"/>
      <c r="CQ88" s="92"/>
      <c r="CR88" s="92"/>
      <c r="CS88" s="92"/>
      <c r="CT88" s="92"/>
      <c r="CU88" s="92"/>
      <c r="CV88" s="92"/>
      <c r="CW88" s="92"/>
      <c r="CX88" s="92"/>
      <c r="CY88" s="92"/>
      <c r="CZ88" s="92"/>
      <c r="DA88" s="92"/>
      <c r="DB88" s="92"/>
      <c r="DC88" s="92"/>
      <c r="DD88" s="92"/>
      <c r="DE88" s="92"/>
      <c r="DF88" s="92"/>
      <c r="DG88" s="92"/>
      <c r="DH88" s="92"/>
      <c r="DI88" s="92"/>
      <c r="DJ88" s="92"/>
      <c r="DK88" s="92"/>
      <c r="DL88" s="92"/>
      <c r="DM88" s="92"/>
      <c r="DN88" s="92"/>
      <c r="DO88" s="92"/>
      <c r="DP88" s="92"/>
      <c r="DQ88" s="92"/>
      <c r="DR88" s="92"/>
      <c r="DS88" s="92"/>
      <c r="DT88" s="92"/>
      <c r="DU88" s="92"/>
      <c r="DV88" s="92"/>
      <c r="DW88" s="92"/>
      <c r="DX88" s="92"/>
      <c r="DY88" s="92"/>
      <c r="DZ88" s="92"/>
      <c r="EA88" s="92"/>
      <c r="EB88" s="92"/>
      <c r="EC88" s="92"/>
      <c r="ED88" s="92"/>
      <c r="EE88" s="92"/>
      <c r="EF88" s="92"/>
      <c r="EG88" s="92"/>
      <c r="EH88" s="92"/>
      <c r="EI88" s="92"/>
      <c r="EJ88" s="92"/>
      <c r="EK88" s="92"/>
      <c r="EL88" s="92"/>
      <c r="EM88" s="92"/>
      <c r="EN88" s="92"/>
      <c r="EO88" s="92"/>
      <c r="EP88" s="92"/>
      <c r="EQ88" s="92"/>
      <c r="ER88" s="92"/>
      <c r="ES88" s="92"/>
      <c r="ET88" s="92"/>
      <c r="EU88" s="92"/>
      <c r="EV88" s="92"/>
      <c r="EW88" s="92"/>
      <c r="EX88" s="92"/>
      <c r="EY88" s="92"/>
      <c r="EZ88" s="92"/>
      <c r="FA88" s="92"/>
      <c r="FB88" s="92"/>
      <c r="FC88" s="92"/>
      <c r="FD88" s="92"/>
      <c r="FE88" s="92"/>
      <c r="FF88" s="92"/>
      <c r="FG88" s="92"/>
      <c r="FH88" s="92"/>
    </row>
    <row r="89">
      <c r="A89" s="32" t="s">
        <v>7</v>
      </c>
      <c r="B89" s="32" t="s">
        <v>26</v>
      </c>
      <c r="C89" s="32" t="s">
        <v>14</v>
      </c>
      <c r="D89" s="97">
        <f t="shared" si="1"/>
        <v>4250.42031</v>
      </c>
      <c r="E89" s="92">
        <f>(SUBSTITUTE(Audio!E89, "RE-", "", 1))*1</f>
        <v>0</v>
      </c>
      <c r="F89" s="92">
        <f>(SUBSTITUTE(Audio!F89, "RE-", "", 1))*1</f>
        <v>793.488</v>
      </c>
      <c r="G89" s="92">
        <f>(SUBSTITUTE(Audio!G89, "RE-", "", 1))*1</f>
        <v>3.59893</v>
      </c>
      <c r="H89" s="92">
        <f>(SUBSTITUTE(Audio!H89, "RE-", "", 1))*1</f>
        <v>67.5783</v>
      </c>
      <c r="I89" s="92">
        <f>(SUBSTITUTE(Audio!I89, "RE-", "", 1))*1</f>
        <v>0</v>
      </c>
      <c r="J89" s="92">
        <f>(SUBSTITUTE(Audio!J89, "RE-", "", 1))*1</f>
        <v>1207.17</v>
      </c>
      <c r="K89" s="92">
        <f>(SUBSTITUTE(Audio!K89, "RE-", "", 1))*1</f>
        <v>7.24398</v>
      </c>
      <c r="L89" s="92">
        <f>(SUBSTITUTE(Audio!L89, "RE-", "", 1))*1</f>
        <v>735.085</v>
      </c>
      <c r="M89" s="92">
        <f>(SUBSTITUTE(Audio!M89, "RE-", "", 1))*1</f>
        <v>20.7261</v>
      </c>
      <c r="N89" s="92">
        <f>(SUBSTITUTE(Audio!N89, "RE-", "", 1))*1</f>
        <v>412</v>
      </c>
      <c r="O89" s="92">
        <f>(SUBSTITUTE(Audio!O89, "RE-", "", 1))*1</f>
        <v>4.69033</v>
      </c>
      <c r="P89" s="92">
        <f>(SUBSTITUTE(Audio!P89, "RE-", "", 1))*1</f>
        <v>353.352</v>
      </c>
      <c r="Q89" s="92">
        <f>(SUBSTITUTE(Audio!Q89, "RE-", "", 1))*1</f>
        <v>21.1439</v>
      </c>
      <c r="R89" s="92">
        <f>(SUBSTITUTE(Audio!R89, "RE-", "", 1))*1</f>
        <v>125.557</v>
      </c>
      <c r="S89" s="92">
        <f>(SUBSTITUTE(Audio!S89, "RE-", "", 1))*1</f>
        <v>17.8978</v>
      </c>
      <c r="T89" s="92">
        <f>(SUBSTITUTE(Audio!T89, "RE-", "", 1))*1</f>
        <v>450.208</v>
      </c>
      <c r="U89" s="92">
        <f>(SUBSTITUTE(Audio!U89, "RE-", "", 1))*1</f>
        <v>25.9414</v>
      </c>
      <c r="V89" s="92">
        <f>(SUBSTITUTE(Audio!V89, "RE-", "", 1))*1</f>
        <v>4.73957</v>
      </c>
      <c r="W89" s="92">
        <f>(SUBSTITUTE(Audio!W89, "RE-", "", 1))*1</f>
        <v>0</v>
      </c>
      <c r="X89" s="92">
        <f>(SUBSTITUTE(Audio!X89, "RE-", "", 1))*1</f>
        <v>0</v>
      </c>
      <c r="Y89" s="92">
        <f>(SUBSTITUTE(Audio!Y89, "RE-", "", 1))*1</f>
        <v>0</v>
      </c>
      <c r="Z89" s="92">
        <f>(SUBSTITUTE(Audio!Z89, "RE-", "", 1))*1</f>
        <v>0</v>
      </c>
      <c r="AA89" s="92"/>
      <c r="AB89" s="92"/>
      <c r="AC89" s="92"/>
      <c r="AD89" s="92"/>
      <c r="AE89" s="92"/>
      <c r="AF89" s="92"/>
      <c r="AG89" s="92"/>
      <c r="AH89" s="92"/>
      <c r="AI89" s="92"/>
      <c r="AJ89" s="92"/>
      <c r="AK89" s="92"/>
      <c r="AL89" s="92"/>
      <c r="AM89" s="92"/>
      <c r="AN89" s="92"/>
      <c r="AO89" s="92"/>
      <c r="AP89" s="92"/>
      <c r="AQ89" s="92"/>
      <c r="AR89" s="92"/>
      <c r="AS89" s="92"/>
      <c r="AT89" s="92"/>
      <c r="AU89" s="92"/>
      <c r="AV89" s="92"/>
      <c r="AW89" s="92"/>
      <c r="AX89" s="92"/>
      <c r="AY89" s="92"/>
      <c r="AZ89" s="92"/>
      <c r="BA89" s="92"/>
      <c r="BB89" s="92"/>
      <c r="BC89" s="92"/>
      <c r="BD89" s="92"/>
      <c r="BE89" s="92"/>
      <c r="BF89" s="92"/>
      <c r="BG89" s="92"/>
      <c r="BH89" s="92"/>
      <c r="BI89" s="92"/>
      <c r="BJ89" s="92"/>
      <c r="BK89" s="92"/>
      <c r="BL89" s="92"/>
      <c r="BM89" s="92"/>
      <c r="BN89" s="92"/>
      <c r="BO89" s="92"/>
      <c r="BP89" s="92"/>
      <c r="BQ89" s="92"/>
      <c r="BR89" s="92"/>
      <c r="BS89" s="92"/>
      <c r="BT89" s="92"/>
      <c r="BU89" s="92"/>
      <c r="BV89" s="92"/>
      <c r="BW89" s="92"/>
      <c r="BX89" s="92"/>
      <c r="BY89" s="92"/>
      <c r="BZ89" s="92"/>
      <c r="CA89" s="92"/>
      <c r="CB89" s="92"/>
      <c r="CC89" s="92"/>
      <c r="CD89" s="92"/>
      <c r="CE89" s="92"/>
      <c r="CF89" s="92"/>
      <c r="CG89" s="92"/>
      <c r="CH89" s="92"/>
      <c r="CI89" s="92"/>
      <c r="CJ89" s="92"/>
      <c r="CK89" s="92"/>
      <c r="CL89" s="92"/>
      <c r="CM89" s="92"/>
      <c r="CN89" s="92"/>
      <c r="CO89" s="92"/>
      <c r="CP89" s="92"/>
      <c r="CQ89" s="92"/>
      <c r="CR89" s="92"/>
      <c r="CS89" s="92"/>
      <c r="CT89" s="92"/>
      <c r="CU89" s="92"/>
      <c r="CV89" s="92"/>
      <c r="CW89" s="92"/>
      <c r="CX89" s="92"/>
      <c r="CY89" s="92"/>
      <c r="CZ89" s="92"/>
      <c r="DA89" s="92"/>
      <c r="DB89" s="92"/>
      <c r="DC89" s="92"/>
      <c r="DD89" s="92"/>
      <c r="DE89" s="92"/>
      <c r="DF89" s="92"/>
      <c r="DG89" s="92"/>
      <c r="DH89" s="92"/>
      <c r="DI89" s="92"/>
      <c r="DJ89" s="92"/>
      <c r="DK89" s="92"/>
      <c r="DL89" s="92"/>
      <c r="DM89" s="92"/>
      <c r="DN89" s="92"/>
      <c r="DO89" s="92"/>
      <c r="DP89" s="92"/>
      <c r="DQ89" s="92"/>
      <c r="DR89" s="92"/>
      <c r="DS89" s="92"/>
      <c r="DT89" s="92"/>
      <c r="DU89" s="92"/>
      <c r="DV89" s="92"/>
      <c r="DW89" s="92"/>
      <c r="DX89" s="92"/>
      <c r="DY89" s="92"/>
      <c r="DZ89" s="92"/>
      <c r="EA89" s="92"/>
      <c r="EB89" s="92"/>
      <c r="EC89" s="92"/>
      <c r="ED89" s="92"/>
      <c r="EE89" s="92"/>
      <c r="EF89" s="92"/>
      <c r="EG89" s="92"/>
      <c r="EH89" s="92"/>
      <c r="EI89" s="92"/>
      <c r="EJ89" s="92"/>
      <c r="EK89" s="92"/>
      <c r="EL89" s="92"/>
      <c r="EM89" s="92"/>
      <c r="EN89" s="92"/>
      <c r="EO89" s="92"/>
      <c r="EP89" s="92"/>
      <c r="EQ89" s="92"/>
      <c r="ER89" s="92"/>
      <c r="ES89" s="92"/>
      <c r="ET89" s="92"/>
      <c r="EU89" s="92"/>
      <c r="EV89" s="92"/>
      <c r="EW89" s="92"/>
      <c r="EX89" s="92"/>
      <c r="EY89" s="92"/>
      <c r="EZ89" s="92"/>
      <c r="FA89" s="92"/>
      <c r="FB89" s="92"/>
      <c r="FC89" s="92"/>
      <c r="FD89" s="92"/>
      <c r="FE89" s="92"/>
      <c r="FF89" s="92"/>
      <c r="FG89" s="92"/>
      <c r="FH89" s="92"/>
    </row>
    <row r="90">
      <c r="A90" s="27" t="s">
        <v>7</v>
      </c>
      <c r="B90" s="27" t="s">
        <v>26</v>
      </c>
      <c r="C90" s="27" t="s">
        <v>15</v>
      </c>
      <c r="D90" s="98">
        <f t="shared" si="1"/>
        <v>4845.7649</v>
      </c>
      <c r="E90" s="92">
        <f>(SUBSTITUTE(Audio!E90, "RE-", "", 1))*1</f>
        <v>0</v>
      </c>
      <c r="F90" s="92">
        <f>(SUBSTITUTE(Audio!F90, "RE-", "", 1))*1</f>
        <v>888.445</v>
      </c>
      <c r="G90" s="92">
        <f>(SUBSTITUTE(Audio!G90, "RE-", "", 1))*1</f>
        <v>3.81845</v>
      </c>
      <c r="H90" s="92">
        <f>(SUBSTITUTE(Audio!H90, "RE-", "", 1))*1</f>
        <v>86.3852</v>
      </c>
      <c r="I90" s="92">
        <f>(SUBSTITUTE(Audio!I90, "RE-", "", 1))*1</f>
        <v>0</v>
      </c>
      <c r="J90" s="92">
        <f>(SUBSTITUTE(Audio!J90, "RE-", "", 1))*1</f>
        <v>1328.25</v>
      </c>
      <c r="K90" s="92">
        <f>(SUBSTITUTE(Audio!K90, "RE-", "", 1))*1</f>
        <v>8.22075</v>
      </c>
      <c r="L90" s="92">
        <f>(SUBSTITUTE(Audio!L90, "RE-", "", 1))*1</f>
        <v>836.137</v>
      </c>
      <c r="M90" s="92">
        <f>(SUBSTITUTE(Audio!M90, "RE-", "", 1))*1</f>
        <v>22.287</v>
      </c>
      <c r="N90" s="92">
        <f>(SUBSTITUTE(Audio!N90, "RE-", "", 1))*1</f>
        <v>494.152</v>
      </c>
      <c r="O90" s="92">
        <f>(SUBSTITUTE(Audio!O90, "RE-", "", 1))*1</f>
        <v>5.14537</v>
      </c>
      <c r="P90" s="92">
        <f>(SUBSTITUTE(Audio!P90, "RE-", "", 1))*1</f>
        <v>422.097</v>
      </c>
      <c r="Q90" s="92">
        <f>(SUBSTITUTE(Audio!Q90, "RE-", "", 1))*1</f>
        <v>23.2586</v>
      </c>
      <c r="R90" s="92">
        <f>(SUBSTITUTE(Audio!R90, "RE-", "", 1))*1</f>
        <v>147.597</v>
      </c>
      <c r="S90" s="92">
        <f>(SUBSTITUTE(Audio!S90, "RE-", "", 1))*1</f>
        <v>21.0245</v>
      </c>
      <c r="T90" s="92">
        <f>(SUBSTITUTE(Audio!T90, "RE-", "", 1))*1</f>
        <v>525.356</v>
      </c>
      <c r="U90" s="92">
        <f>(SUBSTITUTE(Audio!U90, "RE-", "", 1))*1</f>
        <v>28.7459</v>
      </c>
      <c r="V90" s="92">
        <f>(SUBSTITUTE(Audio!V90, "RE-", "", 1))*1</f>
        <v>4.84513</v>
      </c>
      <c r="W90" s="92">
        <f>(SUBSTITUTE(Audio!W90, "RE-", "", 1))*1</f>
        <v>0</v>
      </c>
      <c r="X90" s="92">
        <f>(SUBSTITUTE(Audio!X90, "RE-", "", 1))*1</f>
        <v>0</v>
      </c>
      <c r="Y90" s="92">
        <f>(SUBSTITUTE(Audio!Y90, "RE-", "", 1))*1</f>
        <v>0</v>
      </c>
      <c r="Z90" s="92">
        <f>(SUBSTITUTE(Audio!Z90, "RE-", "", 1))*1</f>
        <v>0</v>
      </c>
      <c r="AA90" s="92"/>
      <c r="AB90" s="92"/>
      <c r="AC90" s="92"/>
      <c r="AD90" s="92"/>
      <c r="AE90" s="92"/>
      <c r="AF90" s="92"/>
      <c r="AG90" s="92"/>
      <c r="AH90" s="92"/>
      <c r="AI90" s="92"/>
      <c r="AJ90" s="92"/>
      <c r="AK90" s="92"/>
      <c r="AL90" s="92"/>
      <c r="AM90" s="92"/>
      <c r="AN90" s="92"/>
      <c r="AO90" s="92"/>
      <c r="AP90" s="92"/>
      <c r="AQ90" s="92"/>
      <c r="AR90" s="92"/>
      <c r="AS90" s="92"/>
      <c r="AT90" s="92"/>
      <c r="AU90" s="92"/>
      <c r="AV90" s="92"/>
      <c r="AW90" s="92"/>
      <c r="AX90" s="92"/>
      <c r="AY90" s="92"/>
      <c r="AZ90" s="92"/>
      <c r="BA90" s="92"/>
      <c r="BB90" s="92"/>
      <c r="BC90" s="92"/>
      <c r="BD90" s="92"/>
      <c r="BE90" s="92"/>
      <c r="BF90" s="92"/>
      <c r="BG90" s="92"/>
      <c r="BH90" s="92"/>
      <c r="BI90" s="92"/>
      <c r="BJ90" s="92"/>
      <c r="BK90" s="92"/>
      <c r="BL90" s="92"/>
      <c r="BM90" s="92"/>
      <c r="BN90" s="92"/>
      <c r="BO90" s="92"/>
      <c r="BP90" s="92"/>
      <c r="BQ90" s="92"/>
      <c r="BR90" s="92"/>
      <c r="BS90" s="92"/>
      <c r="BT90" s="92"/>
      <c r="BU90" s="92"/>
      <c r="BV90" s="92"/>
      <c r="BW90" s="92"/>
      <c r="BX90" s="92"/>
      <c r="BY90" s="92"/>
      <c r="BZ90" s="92"/>
      <c r="CA90" s="92"/>
      <c r="CB90" s="92"/>
      <c r="CC90" s="92"/>
      <c r="CD90" s="92"/>
      <c r="CE90" s="92"/>
      <c r="CF90" s="92"/>
      <c r="CG90" s="92"/>
      <c r="CH90" s="92"/>
      <c r="CI90" s="92"/>
      <c r="CJ90" s="92"/>
      <c r="CK90" s="92"/>
      <c r="CL90" s="92"/>
      <c r="CM90" s="92"/>
      <c r="CN90" s="92"/>
      <c r="CO90" s="92"/>
      <c r="CP90" s="92"/>
      <c r="CQ90" s="92"/>
      <c r="CR90" s="92"/>
      <c r="CS90" s="92"/>
      <c r="CT90" s="92"/>
      <c r="CU90" s="92"/>
      <c r="CV90" s="92"/>
      <c r="CW90" s="92"/>
      <c r="CX90" s="92"/>
      <c r="CY90" s="92"/>
      <c r="CZ90" s="92"/>
      <c r="DA90" s="92"/>
      <c r="DB90" s="92"/>
      <c r="DC90" s="92"/>
      <c r="DD90" s="92"/>
      <c r="DE90" s="92"/>
      <c r="DF90" s="92"/>
      <c r="DG90" s="92"/>
      <c r="DH90" s="92"/>
      <c r="DI90" s="92"/>
      <c r="DJ90" s="92"/>
      <c r="DK90" s="92"/>
      <c r="DL90" s="92"/>
      <c r="DM90" s="92"/>
      <c r="DN90" s="92"/>
      <c r="DO90" s="92"/>
      <c r="DP90" s="92"/>
      <c r="DQ90" s="92"/>
      <c r="DR90" s="92"/>
      <c r="DS90" s="92"/>
      <c r="DT90" s="92"/>
      <c r="DU90" s="92"/>
      <c r="DV90" s="92"/>
      <c r="DW90" s="92"/>
      <c r="DX90" s="92"/>
      <c r="DY90" s="92"/>
      <c r="DZ90" s="92"/>
      <c r="EA90" s="92"/>
      <c r="EB90" s="92"/>
      <c r="EC90" s="92"/>
      <c r="ED90" s="92"/>
      <c r="EE90" s="92"/>
      <c r="EF90" s="92"/>
      <c r="EG90" s="92"/>
      <c r="EH90" s="92"/>
      <c r="EI90" s="92"/>
      <c r="EJ90" s="92"/>
      <c r="EK90" s="92"/>
      <c r="EL90" s="92"/>
      <c r="EM90" s="92"/>
      <c r="EN90" s="92"/>
      <c r="EO90" s="92"/>
      <c r="EP90" s="92"/>
      <c r="EQ90" s="92"/>
      <c r="ER90" s="92"/>
      <c r="ES90" s="92"/>
      <c r="ET90" s="92"/>
      <c r="EU90" s="92"/>
      <c r="EV90" s="92"/>
      <c r="EW90" s="92"/>
      <c r="EX90" s="92"/>
      <c r="EY90" s="92"/>
      <c r="EZ90" s="92"/>
      <c r="FA90" s="92"/>
      <c r="FB90" s="92"/>
      <c r="FC90" s="92"/>
      <c r="FD90" s="92"/>
      <c r="FE90" s="92"/>
      <c r="FF90" s="92"/>
      <c r="FG90" s="92"/>
      <c r="FH90" s="92"/>
    </row>
    <row r="91">
      <c r="A91" s="30" t="s">
        <v>7</v>
      </c>
      <c r="B91" s="30" t="s">
        <v>27</v>
      </c>
      <c r="C91" s="31" t="str">
        <f>HYPERLINK("https://docs.google.com/spreadsheets/d/1y288szr4m6HDHfDLv533YCEtepg39dTJ/edit?usp=share_link&amp;ouid=106501987799020758802&amp;rtpof=true&amp;sd=true", "Raw Delivered")</f>
        <v>Raw Delivered</v>
      </c>
      <c r="D91" s="96">
        <f t="shared" si="1"/>
        <v>7841.431757</v>
      </c>
      <c r="E91" s="92">
        <f>(SUBSTITUTE(Audio!E91, "RE-", "", 1))*1</f>
        <v>0</v>
      </c>
      <c r="F91" s="92">
        <f>(SUBSTITUTE(Audio!F91, "RE-", "", 1))*1</f>
        <v>686.9882906</v>
      </c>
      <c r="G91" s="92">
        <f>(SUBSTITUTE(Audio!G91, "RE-", "", 1))*1</f>
        <v>0</v>
      </c>
      <c r="H91" s="92">
        <f>(SUBSTITUTE(Audio!H91, "RE-", "", 1))*1</f>
        <v>94.89536042</v>
      </c>
      <c r="I91" s="92">
        <f>(SUBSTITUTE(Audio!I91, "RE-", "", 1))*1</f>
        <v>0</v>
      </c>
      <c r="J91" s="92">
        <f>(SUBSTITUTE(Audio!J91, "RE-", "", 1))*1</f>
        <v>2330.031507</v>
      </c>
      <c r="K91" s="92">
        <f>(SUBSTITUTE(Audio!K91, "RE-", "", 1))*1</f>
        <v>0</v>
      </c>
      <c r="L91" s="92">
        <f>(SUBSTITUTE(Audio!L91, "RE-", "", 1))*1</f>
        <v>856.1204542</v>
      </c>
      <c r="M91" s="92">
        <f>(SUBSTITUTE(Audio!M91, "RE-", "", 1))*1</f>
        <v>0</v>
      </c>
      <c r="N91" s="92">
        <f>(SUBSTITUTE(Audio!N91, "RE-", "", 1))*1</f>
        <v>2112.072322</v>
      </c>
      <c r="O91" s="92">
        <f>(SUBSTITUTE(Audio!O91, "RE-", "", 1))*1</f>
        <v>0</v>
      </c>
      <c r="P91" s="92">
        <f>(SUBSTITUTE(Audio!P91, "RE-", "", 1))*1</f>
        <v>548.7541531</v>
      </c>
      <c r="Q91" s="92">
        <f>(SUBSTITUTE(Audio!Q91, "RE-", "", 1))*1</f>
        <v>0</v>
      </c>
      <c r="R91" s="92">
        <f>(SUBSTITUTE(Audio!R91, "RE-", "", 1))*1</f>
        <v>308.5218333</v>
      </c>
      <c r="S91" s="92">
        <f>(SUBSTITUTE(Audio!S91, "RE-", "", 1))*1</f>
        <v>0</v>
      </c>
      <c r="T91" s="92">
        <f>(SUBSTITUTE(Audio!T91, "RE-", "", 1))*1</f>
        <v>904.0478365</v>
      </c>
      <c r="U91" s="92">
        <f>(SUBSTITUTE(Audio!U91, "RE-", "", 1))*1</f>
        <v>0</v>
      </c>
      <c r="V91" s="92">
        <f>(SUBSTITUTE(Audio!V91, "RE-", "", 1))*1</f>
        <v>0</v>
      </c>
      <c r="W91" s="92">
        <f>(SUBSTITUTE(Audio!W91, "RE-", "", 1))*1</f>
        <v>0</v>
      </c>
      <c r="X91" s="92">
        <f>(SUBSTITUTE(Audio!X91, "RE-", "", 1))*1</f>
        <v>0</v>
      </c>
      <c r="Y91" s="92">
        <f>(SUBSTITUTE(Audio!Y91, "RE-", "", 1))*1</f>
        <v>0</v>
      </c>
      <c r="Z91" s="92">
        <f>(SUBSTITUTE(Audio!Z91, "RE-", "", 1))*1</f>
        <v>0</v>
      </c>
      <c r="AA91" s="92"/>
      <c r="AB91" s="92"/>
      <c r="AC91" s="92"/>
      <c r="AD91" s="92"/>
      <c r="AE91" s="92"/>
      <c r="AF91" s="92"/>
      <c r="AG91" s="92"/>
      <c r="AH91" s="92"/>
      <c r="AI91" s="92"/>
      <c r="AJ91" s="92"/>
      <c r="AK91" s="92"/>
      <c r="AL91" s="92"/>
      <c r="AM91" s="92"/>
      <c r="AN91" s="92"/>
      <c r="AO91" s="92"/>
      <c r="AP91" s="92"/>
      <c r="AQ91" s="92"/>
      <c r="AR91" s="92"/>
      <c r="AS91" s="92"/>
      <c r="AT91" s="92"/>
      <c r="AU91" s="92"/>
      <c r="AV91" s="92"/>
      <c r="AW91" s="92"/>
      <c r="AX91" s="92"/>
      <c r="AY91" s="92"/>
      <c r="AZ91" s="92"/>
      <c r="BA91" s="92"/>
      <c r="BB91" s="92"/>
      <c r="BC91" s="92"/>
      <c r="BD91" s="92"/>
      <c r="BE91" s="92"/>
      <c r="BF91" s="92"/>
      <c r="BG91" s="92"/>
      <c r="BH91" s="92"/>
      <c r="BI91" s="92"/>
      <c r="BJ91" s="92"/>
      <c r="BK91" s="92"/>
      <c r="BL91" s="92"/>
      <c r="BM91" s="92"/>
      <c r="BN91" s="92"/>
      <c r="BO91" s="92"/>
      <c r="BP91" s="92"/>
      <c r="BQ91" s="92"/>
      <c r="BR91" s="92"/>
      <c r="BS91" s="92"/>
      <c r="BT91" s="92"/>
      <c r="BU91" s="92"/>
      <c r="BV91" s="92"/>
      <c r="BW91" s="92"/>
      <c r="BX91" s="92"/>
      <c r="BY91" s="92"/>
      <c r="BZ91" s="92"/>
      <c r="CA91" s="92"/>
      <c r="CB91" s="92"/>
      <c r="CC91" s="92"/>
      <c r="CD91" s="92"/>
      <c r="CE91" s="92"/>
      <c r="CF91" s="92"/>
      <c r="CG91" s="92"/>
      <c r="CH91" s="92"/>
      <c r="CI91" s="92"/>
      <c r="CJ91" s="92"/>
      <c r="CK91" s="92"/>
      <c r="CL91" s="92"/>
      <c r="CM91" s="92"/>
      <c r="CN91" s="92"/>
      <c r="CO91" s="92"/>
      <c r="CP91" s="92"/>
      <c r="CQ91" s="92"/>
      <c r="CR91" s="92"/>
      <c r="CS91" s="92"/>
      <c r="CT91" s="92"/>
      <c r="CU91" s="92"/>
      <c r="CV91" s="92"/>
      <c r="CW91" s="92"/>
      <c r="CX91" s="92"/>
      <c r="CY91" s="92"/>
      <c r="CZ91" s="92"/>
      <c r="DA91" s="92"/>
      <c r="DB91" s="92"/>
      <c r="DC91" s="92"/>
      <c r="DD91" s="92"/>
      <c r="DE91" s="92"/>
      <c r="DF91" s="92"/>
      <c r="DG91" s="92"/>
      <c r="DH91" s="92"/>
      <c r="DI91" s="92"/>
      <c r="DJ91" s="92"/>
      <c r="DK91" s="92"/>
      <c r="DL91" s="92"/>
      <c r="DM91" s="92"/>
      <c r="DN91" s="92"/>
      <c r="DO91" s="92"/>
      <c r="DP91" s="92"/>
      <c r="DQ91" s="92"/>
      <c r="DR91" s="92"/>
      <c r="DS91" s="92"/>
      <c r="DT91" s="92"/>
      <c r="DU91" s="92"/>
      <c r="DV91" s="92"/>
      <c r="DW91" s="92"/>
      <c r="DX91" s="92"/>
      <c r="DY91" s="92"/>
      <c r="DZ91" s="92"/>
      <c r="EA91" s="92"/>
      <c r="EB91" s="92"/>
      <c r="EC91" s="92"/>
      <c r="ED91" s="92"/>
      <c r="EE91" s="92"/>
      <c r="EF91" s="92"/>
      <c r="EG91" s="92"/>
      <c r="EH91" s="92"/>
      <c r="EI91" s="92"/>
      <c r="EJ91" s="92"/>
      <c r="EK91" s="92"/>
      <c r="EL91" s="92"/>
      <c r="EM91" s="92"/>
      <c r="EN91" s="92"/>
      <c r="EO91" s="92"/>
      <c r="EP91" s="92"/>
      <c r="EQ91" s="92"/>
      <c r="ER91" s="92"/>
      <c r="ES91" s="92"/>
      <c r="ET91" s="92"/>
      <c r="EU91" s="92"/>
      <c r="EV91" s="92"/>
      <c r="EW91" s="92"/>
      <c r="EX91" s="92"/>
      <c r="EY91" s="92"/>
      <c r="EZ91" s="92"/>
      <c r="FA91" s="92"/>
      <c r="FB91" s="92"/>
      <c r="FC91" s="92"/>
      <c r="FD91" s="92"/>
      <c r="FE91" s="92"/>
      <c r="FF91" s="92"/>
      <c r="FG91" s="92"/>
      <c r="FH91" s="92"/>
    </row>
    <row r="92">
      <c r="A92" s="32" t="s">
        <v>7</v>
      </c>
      <c r="B92" s="32" t="s">
        <v>27</v>
      </c>
      <c r="C92" s="32" t="s">
        <v>9</v>
      </c>
      <c r="D92" s="97">
        <f t="shared" si="1"/>
        <v>7841.431757</v>
      </c>
      <c r="E92" s="92">
        <f>(SUBSTITUTE(Audio!E92, "RE-", "", 1))*1</f>
        <v>0</v>
      </c>
      <c r="F92" s="92">
        <f>(SUBSTITUTE(Audio!F92, "RE-", "", 1))*1</f>
        <v>686.9882906</v>
      </c>
      <c r="G92" s="92">
        <f>(SUBSTITUTE(Audio!G92, "RE-", "", 1))*1</f>
        <v>0</v>
      </c>
      <c r="H92" s="92">
        <f>(SUBSTITUTE(Audio!H92, "RE-", "", 1))*1</f>
        <v>94.89536042</v>
      </c>
      <c r="I92" s="92">
        <f>(SUBSTITUTE(Audio!I92, "RE-", "", 1))*1</f>
        <v>0</v>
      </c>
      <c r="J92" s="92">
        <f>(SUBSTITUTE(Audio!J92, "RE-", "", 1))*1</f>
        <v>2330.031507</v>
      </c>
      <c r="K92" s="92">
        <f>(SUBSTITUTE(Audio!K92, "RE-", "", 1))*1</f>
        <v>0</v>
      </c>
      <c r="L92" s="92">
        <f>(SUBSTITUTE(Audio!L92, "RE-", "", 1))*1</f>
        <v>856.1204542</v>
      </c>
      <c r="M92" s="92">
        <f>(SUBSTITUTE(Audio!M92, "RE-", "", 1))*1</f>
        <v>0</v>
      </c>
      <c r="N92" s="92">
        <f>(SUBSTITUTE(Audio!N92, "RE-", "", 1))*1</f>
        <v>2112.072322</v>
      </c>
      <c r="O92" s="92">
        <f>(SUBSTITUTE(Audio!O92, "RE-", "", 1))*1</f>
        <v>0</v>
      </c>
      <c r="P92" s="92">
        <f>(SUBSTITUTE(Audio!P92, "RE-", "", 1))*1</f>
        <v>548.7541531</v>
      </c>
      <c r="Q92" s="92">
        <f>(SUBSTITUTE(Audio!Q92, "RE-", "", 1))*1</f>
        <v>0</v>
      </c>
      <c r="R92" s="92">
        <f>(SUBSTITUTE(Audio!R92, "RE-", "", 1))*1</f>
        <v>308.5218333</v>
      </c>
      <c r="S92" s="92">
        <f>(SUBSTITUTE(Audio!S92, "RE-", "", 1))*1</f>
        <v>0</v>
      </c>
      <c r="T92" s="92">
        <f>(SUBSTITUTE(Audio!T92, "RE-", "", 1))*1</f>
        <v>904.0478365</v>
      </c>
      <c r="U92" s="92">
        <f>(SUBSTITUTE(Audio!U92, "RE-", "", 1))*1</f>
        <v>0</v>
      </c>
      <c r="V92" s="92">
        <f>(SUBSTITUTE(Audio!V92, "RE-", "", 1))*1</f>
        <v>0</v>
      </c>
      <c r="W92" s="92">
        <f>(SUBSTITUTE(Audio!W92, "RE-", "", 1))*1</f>
        <v>0</v>
      </c>
      <c r="X92" s="92">
        <f>(SUBSTITUTE(Audio!X92, "RE-", "", 1))*1</f>
        <v>0</v>
      </c>
      <c r="Y92" s="92">
        <f>(SUBSTITUTE(Audio!Y92, "RE-", "", 1))*1</f>
        <v>0</v>
      </c>
      <c r="Z92" s="92">
        <f>(SUBSTITUTE(Audio!Z92, "RE-", "", 1))*1</f>
        <v>0</v>
      </c>
      <c r="AA92" s="92"/>
      <c r="AB92" s="92"/>
      <c r="AC92" s="92"/>
      <c r="AD92" s="92"/>
      <c r="AE92" s="92"/>
      <c r="AF92" s="92"/>
      <c r="AG92" s="92"/>
      <c r="AH92" s="92"/>
      <c r="AI92" s="92"/>
      <c r="AJ92" s="92"/>
      <c r="AK92" s="92"/>
      <c r="AL92" s="92"/>
      <c r="AM92" s="92"/>
      <c r="AN92" s="92"/>
      <c r="AO92" s="92"/>
      <c r="AP92" s="92"/>
      <c r="AQ92" s="92"/>
      <c r="AR92" s="92"/>
      <c r="AS92" s="92"/>
      <c r="AT92" s="92"/>
      <c r="AU92" s="92"/>
      <c r="AV92" s="92"/>
      <c r="AW92" s="92"/>
      <c r="AX92" s="92"/>
      <c r="AY92" s="92"/>
      <c r="AZ92" s="92"/>
      <c r="BA92" s="92"/>
      <c r="BB92" s="92"/>
      <c r="BC92" s="92"/>
      <c r="BD92" s="92"/>
      <c r="BE92" s="92"/>
      <c r="BF92" s="92"/>
      <c r="BG92" s="92"/>
      <c r="BH92" s="92"/>
      <c r="BI92" s="92"/>
      <c r="BJ92" s="92"/>
      <c r="BK92" s="92"/>
      <c r="BL92" s="92"/>
      <c r="BM92" s="92"/>
      <c r="BN92" s="92"/>
      <c r="BO92" s="92"/>
      <c r="BP92" s="92"/>
      <c r="BQ92" s="92"/>
      <c r="BR92" s="92"/>
      <c r="BS92" s="92"/>
      <c r="BT92" s="92"/>
      <c r="BU92" s="92"/>
      <c r="BV92" s="92"/>
      <c r="BW92" s="92"/>
      <c r="BX92" s="92"/>
      <c r="BY92" s="92"/>
      <c r="BZ92" s="92"/>
      <c r="CA92" s="92"/>
      <c r="CB92" s="92"/>
      <c r="CC92" s="92"/>
      <c r="CD92" s="92"/>
      <c r="CE92" s="92"/>
      <c r="CF92" s="92"/>
      <c r="CG92" s="92"/>
      <c r="CH92" s="92"/>
      <c r="CI92" s="92"/>
      <c r="CJ92" s="92"/>
      <c r="CK92" s="92"/>
      <c r="CL92" s="92"/>
      <c r="CM92" s="92"/>
      <c r="CN92" s="92"/>
      <c r="CO92" s="92"/>
      <c r="CP92" s="92"/>
      <c r="CQ92" s="92"/>
      <c r="CR92" s="92"/>
      <c r="CS92" s="92"/>
      <c r="CT92" s="92"/>
      <c r="CU92" s="92"/>
      <c r="CV92" s="92"/>
      <c r="CW92" s="92"/>
      <c r="CX92" s="92"/>
      <c r="CY92" s="92"/>
      <c r="CZ92" s="92"/>
      <c r="DA92" s="92"/>
      <c r="DB92" s="92"/>
      <c r="DC92" s="92"/>
      <c r="DD92" s="92"/>
      <c r="DE92" s="92"/>
      <c r="DF92" s="92"/>
      <c r="DG92" s="92"/>
      <c r="DH92" s="92"/>
      <c r="DI92" s="92"/>
      <c r="DJ92" s="92"/>
      <c r="DK92" s="92"/>
      <c r="DL92" s="92"/>
      <c r="DM92" s="92"/>
      <c r="DN92" s="92"/>
      <c r="DO92" s="92"/>
      <c r="DP92" s="92"/>
      <c r="DQ92" s="92"/>
      <c r="DR92" s="92"/>
      <c r="DS92" s="92"/>
      <c r="DT92" s="92"/>
      <c r="DU92" s="92"/>
      <c r="DV92" s="92"/>
      <c r="DW92" s="92"/>
      <c r="DX92" s="92"/>
      <c r="DY92" s="92"/>
      <c r="DZ92" s="92"/>
      <c r="EA92" s="92"/>
      <c r="EB92" s="92"/>
      <c r="EC92" s="92"/>
      <c r="ED92" s="92"/>
      <c r="EE92" s="92"/>
      <c r="EF92" s="92"/>
      <c r="EG92" s="92"/>
      <c r="EH92" s="92"/>
      <c r="EI92" s="92"/>
      <c r="EJ92" s="92"/>
      <c r="EK92" s="92"/>
      <c r="EL92" s="92"/>
      <c r="EM92" s="92"/>
      <c r="EN92" s="92"/>
      <c r="EO92" s="92"/>
      <c r="EP92" s="92"/>
      <c r="EQ92" s="92"/>
      <c r="ER92" s="92"/>
      <c r="ES92" s="92"/>
      <c r="ET92" s="92"/>
      <c r="EU92" s="92"/>
      <c r="EV92" s="92"/>
      <c r="EW92" s="92"/>
      <c r="EX92" s="92"/>
      <c r="EY92" s="92"/>
      <c r="EZ92" s="92"/>
      <c r="FA92" s="92"/>
      <c r="FB92" s="92"/>
      <c r="FC92" s="92"/>
      <c r="FD92" s="92"/>
      <c r="FE92" s="92"/>
      <c r="FF92" s="92"/>
      <c r="FG92" s="92"/>
      <c r="FH92" s="92"/>
    </row>
    <row r="93">
      <c r="A93" s="32" t="s">
        <v>7</v>
      </c>
      <c r="B93" s="32" t="s">
        <v>27</v>
      </c>
      <c r="C93" s="32" t="s">
        <v>10</v>
      </c>
      <c r="D93" s="97">
        <f t="shared" si="1"/>
        <v>772.2406729</v>
      </c>
      <c r="E93" s="92">
        <f>(SUBSTITUTE(Audio!E93, "RE-", "", 1))*1</f>
        <v>0</v>
      </c>
      <c r="F93" s="92">
        <f>(SUBSTITUTE(Audio!F93, "RE-", "", 1))*1</f>
        <v>0</v>
      </c>
      <c r="G93" s="92">
        <f>(SUBSTITUTE(Audio!G93, "RE-", "", 1))*1</f>
        <v>53.89091458</v>
      </c>
      <c r="H93" s="92">
        <f>(SUBSTITUTE(Audio!H93, "RE-", "", 1))*1</f>
        <v>0</v>
      </c>
      <c r="I93" s="92">
        <f>(SUBSTITUTE(Audio!I93, "RE-", "", 1))*1</f>
        <v>9.657089583</v>
      </c>
      <c r="J93" s="92">
        <f>(SUBSTITUTE(Audio!J93, "RE-", "", 1))*1</f>
        <v>0</v>
      </c>
      <c r="K93" s="92">
        <f>(SUBSTITUTE(Audio!K93, "RE-", "", 1))*1</f>
        <v>182.8980844</v>
      </c>
      <c r="L93" s="92">
        <f>(SUBSTITUTE(Audio!L93, "RE-", "", 1))*1</f>
        <v>0</v>
      </c>
      <c r="M93" s="92">
        <f>(SUBSTITUTE(Audio!M93, "RE-", "", 1))*1</f>
        <v>26.47678854</v>
      </c>
      <c r="N93" s="92">
        <f>(SUBSTITUTE(Audio!N93, "RE-", "", 1))*1</f>
        <v>0</v>
      </c>
      <c r="O93" s="92">
        <f>(SUBSTITUTE(Audio!O93, "RE-", "", 1))*1</f>
        <v>193.7907677</v>
      </c>
      <c r="P93" s="92">
        <f>(SUBSTITUTE(Audio!P93, "RE-", "", 1))*1</f>
        <v>0</v>
      </c>
      <c r="Q93" s="92">
        <f>(SUBSTITUTE(Audio!Q93, "RE-", "", 1))*1</f>
        <v>120.0368646</v>
      </c>
      <c r="R93" s="92">
        <f>(SUBSTITUTE(Audio!R93, "RE-", "", 1))*1</f>
        <v>0</v>
      </c>
      <c r="S93" s="92">
        <f>(SUBSTITUTE(Audio!S93, "RE-", "", 1))*1</f>
        <v>40.92359063</v>
      </c>
      <c r="T93" s="92">
        <f>(SUBSTITUTE(Audio!T93, "RE-", "", 1))*1</f>
        <v>0</v>
      </c>
      <c r="U93" s="92">
        <f>(SUBSTITUTE(Audio!U93, "RE-", "", 1))*1</f>
        <v>139.0190833</v>
      </c>
      <c r="V93" s="92">
        <f>(SUBSTITUTE(Audio!V93, "RE-", "", 1))*1</f>
        <v>5.547489583</v>
      </c>
      <c r="W93" s="92">
        <f>(SUBSTITUTE(Audio!W93, "RE-", "", 1))*1</f>
        <v>0</v>
      </c>
      <c r="X93" s="92">
        <f>(SUBSTITUTE(Audio!X93, "RE-", "", 1))*1</f>
        <v>0</v>
      </c>
      <c r="Y93" s="92">
        <f>(SUBSTITUTE(Audio!Y93, "RE-", "", 1))*1</f>
        <v>0</v>
      </c>
      <c r="Z93" s="92">
        <f>(SUBSTITUTE(Audio!Z93, "RE-", "", 1))*1</f>
        <v>0</v>
      </c>
      <c r="AA93" s="92"/>
      <c r="AB93" s="92"/>
      <c r="AC93" s="92"/>
      <c r="AD93" s="92"/>
      <c r="AE93" s="92"/>
      <c r="AF93" s="92"/>
      <c r="AG93" s="92"/>
      <c r="AH93" s="92"/>
      <c r="AI93" s="92"/>
      <c r="AJ93" s="92"/>
      <c r="AK93" s="92"/>
      <c r="AL93" s="92"/>
      <c r="AM93" s="92"/>
      <c r="AN93" s="92"/>
      <c r="AO93" s="92"/>
      <c r="AP93" s="92"/>
      <c r="AQ93" s="92"/>
      <c r="AR93" s="92"/>
      <c r="AS93" s="92"/>
      <c r="AT93" s="92"/>
      <c r="AU93" s="92"/>
      <c r="AV93" s="92"/>
      <c r="AW93" s="92"/>
      <c r="AX93" s="92"/>
      <c r="AY93" s="92"/>
      <c r="AZ93" s="92"/>
      <c r="BA93" s="92"/>
      <c r="BB93" s="92"/>
      <c r="BC93" s="92"/>
      <c r="BD93" s="92"/>
      <c r="BE93" s="92"/>
      <c r="BF93" s="92"/>
      <c r="BG93" s="92"/>
      <c r="BH93" s="92"/>
      <c r="BI93" s="92"/>
      <c r="BJ93" s="92"/>
      <c r="BK93" s="92"/>
      <c r="BL93" s="92"/>
      <c r="BM93" s="92"/>
      <c r="BN93" s="92"/>
      <c r="BO93" s="92"/>
      <c r="BP93" s="92"/>
      <c r="BQ93" s="92"/>
      <c r="BR93" s="92"/>
      <c r="BS93" s="92"/>
      <c r="BT93" s="92"/>
      <c r="BU93" s="92"/>
      <c r="BV93" s="92"/>
      <c r="BW93" s="92"/>
      <c r="BX93" s="92"/>
      <c r="BY93" s="92"/>
      <c r="BZ93" s="92"/>
      <c r="CA93" s="92"/>
      <c r="CB93" s="92"/>
      <c r="CC93" s="92"/>
      <c r="CD93" s="92"/>
      <c r="CE93" s="92"/>
      <c r="CF93" s="92"/>
      <c r="CG93" s="92"/>
      <c r="CH93" s="92"/>
      <c r="CI93" s="92"/>
      <c r="CJ93" s="92"/>
      <c r="CK93" s="92"/>
      <c r="CL93" s="92"/>
      <c r="CM93" s="92"/>
      <c r="CN93" s="92"/>
      <c r="CO93" s="92"/>
      <c r="CP93" s="92"/>
      <c r="CQ93" s="92"/>
      <c r="CR93" s="92"/>
      <c r="CS93" s="92"/>
      <c r="CT93" s="92"/>
      <c r="CU93" s="92"/>
      <c r="CV93" s="92"/>
      <c r="CW93" s="92"/>
      <c r="CX93" s="92"/>
      <c r="CY93" s="92"/>
      <c r="CZ93" s="92"/>
      <c r="DA93" s="92"/>
      <c r="DB93" s="92"/>
      <c r="DC93" s="92"/>
      <c r="DD93" s="92"/>
      <c r="DE93" s="92"/>
      <c r="DF93" s="92"/>
      <c r="DG93" s="92"/>
      <c r="DH93" s="92"/>
      <c r="DI93" s="92"/>
      <c r="DJ93" s="92"/>
      <c r="DK93" s="92"/>
      <c r="DL93" s="92"/>
      <c r="DM93" s="92"/>
      <c r="DN93" s="92"/>
      <c r="DO93" s="92"/>
      <c r="DP93" s="92"/>
      <c r="DQ93" s="92"/>
      <c r="DR93" s="92"/>
      <c r="DS93" s="92"/>
      <c r="DT93" s="92"/>
      <c r="DU93" s="92"/>
      <c r="DV93" s="92"/>
      <c r="DW93" s="92"/>
      <c r="DX93" s="92"/>
      <c r="DY93" s="92"/>
      <c r="DZ93" s="92"/>
      <c r="EA93" s="92"/>
      <c r="EB93" s="92"/>
      <c r="EC93" s="92"/>
      <c r="ED93" s="92"/>
      <c r="EE93" s="92"/>
      <c r="EF93" s="92"/>
      <c r="EG93" s="92"/>
      <c r="EH93" s="92"/>
      <c r="EI93" s="92"/>
      <c r="EJ93" s="92"/>
      <c r="EK93" s="92"/>
      <c r="EL93" s="92"/>
      <c r="EM93" s="92"/>
      <c r="EN93" s="92"/>
      <c r="EO93" s="92"/>
      <c r="EP93" s="92"/>
      <c r="EQ93" s="92"/>
      <c r="ER93" s="92"/>
      <c r="ES93" s="92"/>
      <c r="ET93" s="92"/>
      <c r="EU93" s="92"/>
      <c r="EV93" s="92"/>
      <c r="EW93" s="92"/>
      <c r="EX93" s="92"/>
      <c r="EY93" s="92"/>
      <c r="EZ93" s="92"/>
      <c r="FA93" s="92"/>
      <c r="FB93" s="92"/>
      <c r="FC93" s="92"/>
      <c r="FD93" s="92"/>
      <c r="FE93" s="92"/>
      <c r="FF93" s="92"/>
      <c r="FG93" s="92"/>
      <c r="FH93" s="92"/>
    </row>
    <row r="94">
      <c r="A94" s="32" t="s">
        <v>7</v>
      </c>
      <c r="B94" s="32" t="s">
        <v>27</v>
      </c>
      <c r="C94" s="32" t="s">
        <v>11</v>
      </c>
      <c r="D94" s="97">
        <f t="shared" si="1"/>
        <v>772.2406729</v>
      </c>
      <c r="E94" s="92">
        <f>(SUBSTITUTE(Audio!E94, "RE-", "", 1))*1</f>
        <v>0</v>
      </c>
      <c r="F94" s="92">
        <f>(SUBSTITUTE(Audio!F94, "RE-", "", 1))*1</f>
        <v>0</v>
      </c>
      <c r="G94" s="92">
        <f>(SUBSTITUTE(Audio!G94, "RE-", "", 1))*1</f>
        <v>53.89091458</v>
      </c>
      <c r="H94" s="92">
        <f>(SUBSTITUTE(Audio!H94, "RE-", "", 1))*1</f>
        <v>0</v>
      </c>
      <c r="I94" s="92">
        <f>(SUBSTITUTE(Audio!I94, "RE-", "", 1))*1</f>
        <v>9.657089583</v>
      </c>
      <c r="J94" s="92">
        <f>(SUBSTITUTE(Audio!J94, "RE-", "", 1))*1</f>
        <v>0</v>
      </c>
      <c r="K94" s="92">
        <f>(SUBSTITUTE(Audio!K94, "RE-", "", 1))*1</f>
        <v>182.8980844</v>
      </c>
      <c r="L94" s="92">
        <f>(SUBSTITUTE(Audio!L94, "RE-", "", 1))*1</f>
        <v>0</v>
      </c>
      <c r="M94" s="92">
        <f>(SUBSTITUTE(Audio!M94, "RE-", "", 1))*1</f>
        <v>26.47678854</v>
      </c>
      <c r="N94" s="92">
        <f>(SUBSTITUTE(Audio!N94, "RE-", "", 1))*1</f>
        <v>0</v>
      </c>
      <c r="O94" s="92">
        <f>(SUBSTITUTE(Audio!O94, "RE-", "", 1))*1</f>
        <v>193.7907677</v>
      </c>
      <c r="P94" s="92">
        <f>(SUBSTITUTE(Audio!P94, "RE-", "", 1))*1</f>
        <v>0</v>
      </c>
      <c r="Q94" s="92">
        <f>(SUBSTITUTE(Audio!Q94, "RE-", "", 1))*1</f>
        <v>120.0368646</v>
      </c>
      <c r="R94" s="92">
        <f>(SUBSTITUTE(Audio!R94, "RE-", "", 1))*1</f>
        <v>0</v>
      </c>
      <c r="S94" s="92">
        <f>(SUBSTITUTE(Audio!S94, "RE-", "", 1))*1</f>
        <v>40.92359063</v>
      </c>
      <c r="T94" s="92">
        <f>(SUBSTITUTE(Audio!T94, "RE-", "", 1))*1</f>
        <v>0</v>
      </c>
      <c r="U94" s="92">
        <f>(SUBSTITUTE(Audio!U94, "RE-", "", 1))*1</f>
        <v>139.0190833</v>
      </c>
      <c r="V94" s="92">
        <f>(SUBSTITUTE(Audio!V94, "RE-", "", 1))*1</f>
        <v>5.547489583</v>
      </c>
      <c r="W94" s="92">
        <f>(SUBSTITUTE(Audio!W94, "RE-", "", 1))*1</f>
        <v>0</v>
      </c>
      <c r="X94" s="92">
        <f>(SUBSTITUTE(Audio!X94, "RE-", "", 1))*1</f>
        <v>0</v>
      </c>
      <c r="Y94" s="92">
        <f>(SUBSTITUTE(Audio!Y94, "RE-", "", 1))*1</f>
        <v>0</v>
      </c>
      <c r="Z94" s="92">
        <f>(SUBSTITUTE(Audio!Z94, "RE-", "", 1))*1</f>
        <v>0</v>
      </c>
      <c r="AA94" s="92"/>
      <c r="AB94" s="92"/>
      <c r="AC94" s="92"/>
      <c r="AD94" s="92"/>
      <c r="AE94" s="92"/>
      <c r="AF94" s="92"/>
      <c r="AG94" s="92"/>
      <c r="AH94" s="92"/>
      <c r="AI94" s="92"/>
      <c r="AJ94" s="92"/>
      <c r="AK94" s="92"/>
      <c r="AL94" s="92"/>
      <c r="AM94" s="92"/>
      <c r="AN94" s="92"/>
      <c r="AO94" s="92"/>
      <c r="AP94" s="92"/>
      <c r="AQ94" s="92"/>
      <c r="AR94" s="92"/>
      <c r="AS94" s="92"/>
      <c r="AT94" s="92"/>
      <c r="AU94" s="92"/>
      <c r="AV94" s="92"/>
      <c r="AW94" s="92"/>
      <c r="AX94" s="92"/>
      <c r="AY94" s="92"/>
      <c r="AZ94" s="92"/>
      <c r="BA94" s="92"/>
      <c r="BB94" s="92"/>
      <c r="BC94" s="92"/>
      <c r="BD94" s="92"/>
      <c r="BE94" s="92"/>
      <c r="BF94" s="92"/>
      <c r="BG94" s="92"/>
      <c r="BH94" s="92"/>
      <c r="BI94" s="92"/>
      <c r="BJ94" s="92"/>
      <c r="BK94" s="92"/>
      <c r="BL94" s="92"/>
      <c r="BM94" s="92"/>
      <c r="BN94" s="92"/>
      <c r="BO94" s="92"/>
      <c r="BP94" s="92"/>
      <c r="BQ94" s="92"/>
      <c r="BR94" s="92"/>
      <c r="BS94" s="92"/>
      <c r="BT94" s="92"/>
      <c r="BU94" s="92"/>
      <c r="BV94" s="92"/>
      <c r="BW94" s="92"/>
      <c r="BX94" s="92"/>
      <c r="BY94" s="92"/>
      <c r="BZ94" s="92"/>
      <c r="CA94" s="92"/>
      <c r="CB94" s="92"/>
      <c r="CC94" s="92"/>
      <c r="CD94" s="92"/>
      <c r="CE94" s="92"/>
      <c r="CF94" s="92"/>
      <c r="CG94" s="92"/>
      <c r="CH94" s="92"/>
      <c r="CI94" s="92"/>
      <c r="CJ94" s="92"/>
      <c r="CK94" s="92"/>
      <c r="CL94" s="92"/>
      <c r="CM94" s="92"/>
      <c r="CN94" s="92"/>
      <c r="CO94" s="92"/>
      <c r="CP94" s="92"/>
      <c r="CQ94" s="92"/>
      <c r="CR94" s="92"/>
      <c r="CS94" s="92"/>
      <c r="CT94" s="92"/>
      <c r="CU94" s="92"/>
      <c r="CV94" s="92"/>
      <c r="CW94" s="92"/>
      <c r="CX94" s="92"/>
      <c r="CY94" s="92"/>
      <c r="CZ94" s="92"/>
      <c r="DA94" s="92"/>
      <c r="DB94" s="92"/>
      <c r="DC94" s="92"/>
      <c r="DD94" s="92"/>
      <c r="DE94" s="92"/>
      <c r="DF94" s="92"/>
      <c r="DG94" s="92"/>
      <c r="DH94" s="92"/>
      <c r="DI94" s="92"/>
      <c r="DJ94" s="92"/>
      <c r="DK94" s="92"/>
      <c r="DL94" s="92"/>
      <c r="DM94" s="92"/>
      <c r="DN94" s="92"/>
      <c r="DO94" s="92"/>
      <c r="DP94" s="92"/>
      <c r="DQ94" s="92"/>
      <c r="DR94" s="92"/>
      <c r="DS94" s="92"/>
      <c r="DT94" s="92"/>
      <c r="DU94" s="92"/>
      <c r="DV94" s="92"/>
      <c r="DW94" s="92"/>
      <c r="DX94" s="92"/>
      <c r="DY94" s="92"/>
      <c r="DZ94" s="92"/>
      <c r="EA94" s="92"/>
      <c r="EB94" s="92"/>
      <c r="EC94" s="92"/>
      <c r="ED94" s="92"/>
      <c r="EE94" s="92"/>
      <c r="EF94" s="92"/>
      <c r="EG94" s="92"/>
      <c r="EH94" s="92"/>
      <c r="EI94" s="92"/>
      <c r="EJ94" s="92"/>
      <c r="EK94" s="92"/>
      <c r="EL94" s="92"/>
      <c r="EM94" s="92"/>
      <c r="EN94" s="92"/>
      <c r="EO94" s="92"/>
      <c r="EP94" s="92"/>
      <c r="EQ94" s="92"/>
      <c r="ER94" s="92"/>
      <c r="ES94" s="92"/>
      <c r="ET94" s="92"/>
      <c r="EU94" s="92"/>
      <c r="EV94" s="92"/>
      <c r="EW94" s="92"/>
      <c r="EX94" s="92"/>
      <c r="EY94" s="92"/>
      <c r="EZ94" s="92"/>
      <c r="FA94" s="92"/>
      <c r="FB94" s="92"/>
      <c r="FC94" s="92"/>
      <c r="FD94" s="92"/>
      <c r="FE94" s="92"/>
      <c r="FF94" s="92"/>
      <c r="FG94" s="92"/>
      <c r="FH94" s="92"/>
    </row>
    <row r="95">
      <c r="A95" s="32" t="s">
        <v>7</v>
      </c>
      <c r="B95" s="32" t="s">
        <v>27</v>
      </c>
      <c r="C95" s="32" t="s">
        <v>12</v>
      </c>
      <c r="D95" s="97">
        <f t="shared" si="1"/>
        <v>6464.389178</v>
      </c>
      <c r="E95" s="92">
        <f>(SUBSTITUTE(Audio!E95, "RE-", "", 1))*1</f>
        <v>0</v>
      </c>
      <c r="F95" s="92">
        <f>(SUBSTITUTE(Audio!F95, "RE-", "", 1))*1</f>
        <v>577.1304156</v>
      </c>
      <c r="G95" s="92">
        <f>(SUBSTITUTE(Audio!G95, "RE-", "", 1))*1</f>
        <v>2.828516667</v>
      </c>
      <c r="H95" s="92">
        <f>(SUBSTITUTE(Audio!H95, "RE-", "", 1))*1</f>
        <v>82.29285208</v>
      </c>
      <c r="I95" s="92">
        <f>(SUBSTITUTE(Audio!I95, "RE-", "", 1))*1</f>
        <v>0</v>
      </c>
      <c r="J95" s="92">
        <f>(SUBSTITUTE(Audio!J95, "RE-", "", 1))*1</f>
        <v>1878.107599</v>
      </c>
      <c r="K95" s="92">
        <f>(SUBSTITUTE(Audio!K95, "RE-", "", 1))*1</f>
        <v>5.923104167</v>
      </c>
      <c r="L95" s="92">
        <f>(SUBSTITUTE(Audio!L95, "RE-", "", 1))*1</f>
        <v>772.6703469</v>
      </c>
      <c r="M95" s="92">
        <f>(SUBSTITUTE(Audio!M95, "RE-", "", 1))*1</f>
        <v>7.48468125</v>
      </c>
      <c r="N95" s="92">
        <f>(SUBSTITUTE(Audio!N95, "RE-", "", 1))*1</f>
        <v>1319.218173</v>
      </c>
      <c r="O95" s="92">
        <f>(SUBSTITUTE(Audio!O95, "RE-", "", 1))*1</f>
        <v>13.2852625</v>
      </c>
      <c r="P95" s="92">
        <f>(SUBSTITUTE(Audio!P95, "RE-", "", 1))*1</f>
        <v>502.0389354</v>
      </c>
      <c r="Q95" s="92">
        <f>(SUBSTITUTE(Audio!Q95, "RE-", "", 1))*1</f>
        <v>36.90562292</v>
      </c>
      <c r="R95" s="92">
        <f>(SUBSTITUTE(Audio!R95, "RE-", "", 1))*1</f>
        <v>290.0551854</v>
      </c>
      <c r="S95" s="92">
        <f>(SUBSTITUTE(Audio!S95, "RE-", "", 1))*1</f>
        <v>18.86122708</v>
      </c>
      <c r="T95" s="92">
        <f>(SUBSTITUTE(Audio!T95, "RE-", "", 1))*1</f>
        <v>881.1863385</v>
      </c>
      <c r="U95" s="92">
        <f>(SUBSTITUTE(Audio!U95, "RE-", "", 1))*1</f>
        <v>74.56847187</v>
      </c>
      <c r="V95" s="92">
        <f>(SUBSTITUTE(Audio!V95, "RE-", "", 1))*1</f>
        <v>1.832445833</v>
      </c>
      <c r="W95" s="92">
        <f>(SUBSTITUTE(Audio!W95, "RE-", "", 1))*1</f>
        <v>0</v>
      </c>
      <c r="X95" s="92">
        <f>(SUBSTITUTE(Audio!X95, "RE-", "", 1))*1</f>
        <v>0</v>
      </c>
      <c r="Y95" s="92">
        <f>(SUBSTITUTE(Audio!Y95, "RE-", "", 1))*1</f>
        <v>0</v>
      </c>
      <c r="Z95" s="92">
        <f>(SUBSTITUTE(Audio!Z95, "RE-", "", 1))*1</f>
        <v>0</v>
      </c>
      <c r="AA95" s="92"/>
      <c r="AB95" s="92"/>
      <c r="AC95" s="92"/>
      <c r="AD95" s="92"/>
      <c r="AE95" s="92"/>
      <c r="AF95" s="92"/>
      <c r="AG95" s="92"/>
      <c r="AH95" s="92"/>
      <c r="AI95" s="92"/>
      <c r="AJ95" s="92"/>
      <c r="AK95" s="92"/>
      <c r="AL95" s="92"/>
      <c r="AM95" s="92"/>
      <c r="AN95" s="92"/>
      <c r="AO95" s="92"/>
      <c r="AP95" s="92"/>
      <c r="AQ95" s="92"/>
      <c r="AR95" s="92"/>
      <c r="AS95" s="92"/>
      <c r="AT95" s="92"/>
      <c r="AU95" s="92"/>
      <c r="AV95" s="92"/>
      <c r="AW95" s="92"/>
      <c r="AX95" s="92"/>
      <c r="AY95" s="92"/>
      <c r="AZ95" s="92"/>
      <c r="BA95" s="92"/>
      <c r="BB95" s="92"/>
      <c r="BC95" s="92"/>
      <c r="BD95" s="92"/>
      <c r="BE95" s="92"/>
      <c r="BF95" s="92"/>
      <c r="BG95" s="92"/>
      <c r="BH95" s="92"/>
      <c r="BI95" s="92"/>
      <c r="BJ95" s="92"/>
      <c r="BK95" s="92"/>
      <c r="BL95" s="92"/>
      <c r="BM95" s="92"/>
      <c r="BN95" s="92"/>
      <c r="BO95" s="92"/>
      <c r="BP95" s="92"/>
      <c r="BQ95" s="92"/>
      <c r="BR95" s="92"/>
      <c r="BS95" s="92"/>
      <c r="BT95" s="92"/>
      <c r="BU95" s="92"/>
      <c r="BV95" s="92"/>
      <c r="BW95" s="92"/>
      <c r="BX95" s="92"/>
      <c r="BY95" s="92"/>
      <c r="BZ95" s="92"/>
      <c r="CA95" s="92"/>
      <c r="CB95" s="92"/>
      <c r="CC95" s="92"/>
      <c r="CD95" s="92"/>
      <c r="CE95" s="92"/>
      <c r="CF95" s="92"/>
      <c r="CG95" s="92"/>
      <c r="CH95" s="92"/>
      <c r="CI95" s="92"/>
      <c r="CJ95" s="92"/>
      <c r="CK95" s="92"/>
      <c r="CL95" s="92"/>
      <c r="CM95" s="92"/>
      <c r="CN95" s="92"/>
      <c r="CO95" s="92"/>
      <c r="CP95" s="92"/>
      <c r="CQ95" s="92"/>
      <c r="CR95" s="92"/>
      <c r="CS95" s="92"/>
      <c r="CT95" s="92"/>
      <c r="CU95" s="92"/>
      <c r="CV95" s="92"/>
      <c r="CW95" s="92"/>
      <c r="CX95" s="92"/>
      <c r="CY95" s="92"/>
      <c r="CZ95" s="92"/>
      <c r="DA95" s="92"/>
      <c r="DB95" s="92"/>
      <c r="DC95" s="92"/>
      <c r="DD95" s="92"/>
      <c r="DE95" s="92"/>
      <c r="DF95" s="92"/>
      <c r="DG95" s="92"/>
      <c r="DH95" s="92"/>
      <c r="DI95" s="92"/>
      <c r="DJ95" s="92"/>
      <c r="DK95" s="92"/>
      <c r="DL95" s="92"/>
      <c r="DM95" s="92"/>
      <c r="DN95" s="92"/>
      <c r="DO95" s="92"/>
      <c r="DP95" s="92"/>
      <c r="DQ95" s="92"/>
      <c r="DR95" s="92"/>
      <c r="DS95" s="92"/>
      <c r="DT95" s="92"/>
      <c r="DU95" s="92"/>
      <c r="DV95" s="92"/>
      <c r="DW95" s="92"/>
      <c r="DX95" s="92"/>
      <c r="DY95" s="92"/>
      <c r="DZ95" s="92"/>
      <c r="EA95" s="92"/>
      <c r="EB95" s="92"/>
      <c r="EC95" s="92"/>
      <c r="ED95" s="92"/>
      <c r="EE95" s="92"/>
      <c r="EF95" s="92"/>
      <c r="EG95" s="92"/>
      <c r="EH95" s="92"/>
      <c r="EI95" s="92"/>
      <c r="EJ95" s="92"/>
      <c r="EK95" s="92"/>
      <c r="EL95" s="92"/>
      <c r="EM95" s="92"/>
      <c r="EN95" s="92"/>
      <c r="EO95" s="92"/>
      <c r="EP95" s="92"/>
      <c r="EQ95" s="92"/>
      <c r="ER95" s="92"/>
      <c r="ES95" s="92"/>
      <c r="ET95" s="92"/>
      <c r="EU95" s="92"/>
      <c r="EV95" s="92"/>
      <c r="EW95" s="92"/>
      <c r="EX95" s="92"/>
      <c r="EY95" s="92"/>
      <c r="EZ95" s="92"/>
      <c r="FA95" s="92"/>
      <c r="FB95" s="92"/>
      <c r="FC95" s="92"/>
      <c r="FD95" s="92"/>
      <c r="FE95" s="92"/>
      <c r="FF95" s="92"/>
      <c r="FG95" s="92"/>
      <c r="FH95" s="92"/>
    </row>
    <row r="96">
      <c r="A96" s="32" t="s">
        <v>7</v>
      </c>
      <c r="B96" s="32" t="s">
        <v>27</v>
      </c>
      <c r="C96" s="32" t="s">
        <v>13</v>
      </c>
      <c r="D96" s="97">
        <f t="shared" si="1"/>
        <v>6218.60589</v>
      </c>
      <c r="E96" s="92">
        <f>(SUBSTITUTE(Audio!E96, "RE-", "", 1))*1</f>
        <v>0</v>
      </c>
      <c r="F96" s="92">
        <f>(SUBSTITUTE(Audio!F96, "RE-", "", 1))*1</f>
        <v>561.285</v>
      </c>
      <c r="G96" s="92">
        <f>(SUBSTITUTE(Audio!G96, "RE-", "", 1))*1</f>
        <v>2.7049</v>
      </c>
      <c r="H96" s="92">
        <f>(SUBSTITUTE(Audio!H96, "RE-", "", 1))*1</f>
        <v>78.699</v>
      </c>
      <c r="I96" s="92">
        <f>(SUBSTITUTE(Audio!I96, "RE-", "", 1))*1</f>
        <v>0</v>
      </c>
      <c r="J96" s="92">
        <f>(SUBSTITUTE(Audio!J96, "RE-", "", 1))*1</f>
        <v>1812.6</v>
      </c>
      <c r="K96" s="92">
        <f>(SUBSTITUTE(Audio!K96, "RE-", "", 1))*1</f>
        <v>5.6559</v>
      </c>
      <c r="L96" s="92">
        <f>(SUBSTITUTE(Audio!L96, "RE-", "", 1))*1</f>
        <v>736.278</v>
      </c>
      <c r="M96" s="92">
        <f>(SUBSTITUTE(Audio!M96, "RE-", "", 1))*1</f>
        <v>6.86202</v>
      </c>
      <c r="N96" s="92">
        <f>(SUBSTITUTE(Audio!N96, "RE-", "", 1))*1</f>
        <v>1266.69</v>
      </c>
      <c r="O96" s="92">
        <f>(SUBSTITUTE(Audio!O96, "RE-", "", 1))*1</f>
        <v>12.6852</v>
      </c>
      <c r="P96" s="92">
        <f>(SUBSTITUTE(Audio!P96, "RE-", "", 1))*1</f>
        <v>478.887</v>
      </c>
      <c r="Q96" s="92">
        <f>(SUBSTITUTE(Audio!Q96, "RE-", "", 1))*1</f>
        <v>35.2685</v>
      </c>
      <c r="R96" s="92">
        <f>(SUBSTITUTE(Audio!R96, "RE-", "", 1))*1</f>
        <v>277.959</v>
      </c>
      <c r="S96" s="92">
        <f>(SUBSTITUTE(Audio!S96, "RE-", "", 1))*1</f>
        <v>17.8602</v>
      </c>
      <c r="T96" s="92">
        <f>(SUBSTITUTE(Audio!T96, "RE-", "", 1))*1</f>
        <v>851.728</v>
      </c>
      <c r="U96" s="92">
        <f>(SUBSTITUTE(Audio!U96, "RE-", "", 1))*1</f>
        <v>71.7461</v>
      </c>
      <c r="V96" s="92">
        <f>(SUBSTITUTE(Audio!V96, "RE-", "", 1))*1</f>
        <v>1.69707</v>
      </c>
      <c r="W96" s="92">
        <f>(SUBSTITUTE(Audio!W96, "RE-", "", 1))*1</f>
        <v>0</v>
      </c>
      <c r="X96" s="92">
        <f>(SUBSTITUTE(Audio!X96, "RE-", "", 1))*1</f>
        <v>0</v>
      </c>
      <c r="Y96" s="92">
        <f>(SUBSTITUTE(Audio!Y96, "RE-", "", 1))*1</f>
        <v>0</v>
      </c>
      <c r="Z96" s="92">
        <f>(SUBSTITUTE(Audio!Z96, "RE-", "", 1))*1</f>
        <v>0</v>
      </c>
      <c r="AA96" s="92"/>
      <c r="AB96" s="92"/>
      <c r="AC96" s="92"/>
      <c r="AD96" s="92"/>
      <c r="AE96" s="92"/>
      <c r="AF96" s="92"/>
      <c r="AG96" s="92"/>
      <c r="AH96" s="92"/>
      <c r="AI96" s="92"/>
      <c r="AJ96" s="92"/>
      <c r="AK96" s="92"/>
      <c r="AL96" s="92"/>
      <c r="AM96" s="92"/>
      <c r="AN96" s="92"/>
      <c r="AO96" s="92"/>
      <c r="AP96" s="92"/>
      <c r="AQ96" s="92"/>
      <c r="AR96" s="92"/>
      <c r="AS96" s="92"/>
      <c r="AT96" s="92"/>
      <c r="AU96" s="92"/>
      <c r="AV96" s="92"/>
      <c r="AW96" s="92"/>
      <c r="AX96" s="92"/>
      <c r="AY96" s="92"/>
      <c r="AZ96" s="92"/>
      <c r="BA96" s="92"/>
      <c r="BB96" s="92"/>
      <c r="BC96" s="92"/>
      <c r="BD96" s="92"/>
      <c r="BE96" s="92"/>
      <c r="BF96" s="92"/>
      <c r="BG96" s="92"/>
      <c r="BH96" s="92"/>
      <c r="BI96" s="92"/>
      <c r="BJ96" s="92"/>
      <c r="BK96" s="92"/>
      <c r="BL96" s="92"/>
      <c r="BM96" s="92"/>
      <c r="BN96" s="92"/>
      <c r="BO96" s="92"/>
      <c r="BP96" s="92"/>
      <c r="BQ96" s="92"/>
      <c r="BR96" s="92"/>
      <c r="BS96" s="92"/>
      <c r="BT96" s="92"/>
      <c r="BU96" s="92"/>
      <c r="BV96" s="92"/>
      <c r="BW96" s="92"/>
      <c r="BX96" s="92"/>
      <c r="BY96" s="92"/>
      <c r="BZ96" s="92"/>
      <c r="CA96" s="92"/>
      <c r="CB96" s="92"/>
      <c r="CC96" s="92"/>
      <c r="CD96" s="92"/>
      <c r="CE96" s="92"/>
      <c r="CF96" s="92"/>
      <c r="CG96" s="92"/>
      <c r="CH96" s="92"/>
      <c r="CI96" s="92"/>
      <c r="CJ96" s="92"/>
      <c r="CK96" s="92"/>
      <c r="CL96" s="92"/>
      <c r="CM96" s="92"/>
      <c r="CN96" s="92"/>
      <c r="CO96" s="92"/>
      <c r="CP96" s="92"/>
      <c r="CQ96" s="92"/>
      <c r="CR96" s="92"/>
      <c r="CS96" s="92"/>
      <c r="CT96" s="92"/>
      <c r="CU96" s="92"/>
      <c r="CV96" s="92"/>
      <c r="CW96" s="92"/>
      <c r="CX96" s="92"/>
      <c r="CY96" s="92"/>
      <c r="CZ96" s="92"/>
      <c r="DA96" s="92"/>
      <c r="DB96" s="92"/>
      <c r="DC96" s="92"/>
      <c r="DD96" s="92"/>
      <c r="DE96" s="92"/>
      <c r="DF96" s="92"/>
      <c r="DG96" s="92"/>
      <c r="DH96" s="92"/>
      <c r="DI96" s="92"/>
      <c r="DJ96" s="92"/>
      <c r="DK96" s="92"/>
      <c r="DL96" s="92"/>
      <c r="DM96" s="92"/>
      <c r="DN96" s="92"/>
      <c r="DO96" s="92"/>
      <c r="DP96" s="92"/>
      <c r="DQ96" s="92"/>
      <c r="DR96" s="92"/>
      <c r="DS96" s="92"/>
      <c r="DT96" s="92"/>
      <c r="DU96" s="92"/>
      <c r="DV96" s="92"/>
      <c r="DW96" s="92"/>
      <c r="DX96" s="92"/>
      <c r="DY96" s="92"/>
      <c r="DZ96" s="92"/>
      <c r="EA96" s="92"/>
      <c r="EB96" s="92"/>
      <c r="EC96" s="92"/>
      <c r="ED96" s="92"/>
      <c r="EE96" s="92"/>
      <c r="EF96" s="92"/>
      <c r="EG96" s="92"/>
      <c r="EH96" s="92"/>
      <c r="EI96" s="92"/>
      <c r="EJ96" s="92"/>
      <c r="EK96" s="92"/>
      <c r="EL96" s="92"/>
      <c r="EM96" s="92"/>
      <c r="EN96" s="92"/>
      <c r="EO96" s="92"/>
      <c r="EP96" s="92"/>
      <c r="EQ96" s="92"/>
      <c r="ER96" s="92"/>
      <c r="ES96" s="92"/>
      <c r="ET96" s="92"/>
      <c r="EU96" s="92"/>
      <c r="EV96" s="92"/>
      <c r="EW96" s="92"/>
      <c r="EX96" s="92"/>
      <c r="EY96" s="92"/>
      <c r="EZ96" s="92"/>
      <c r="FA96" s="92"/>
      <c r="FB96" s="92"/>
      <c r="FC96" s="92"/>
      <c r="FD96" s="92"/>
      <c r="FE96" s="92"/>
      <c r="FF96" s="92"/>
      <c r="FG96" s="92"/>
      <c r="FH96" s="92"/>
    </row>
    <row r="97">
      <c r="A97" s="32" t="s">
        <v>7</v>
      </c>
      <c r="B97" s="32" t="s">
        <v>27</v>
      </c>
      <c r="C97" s="32" t="s">
        <v>14</v>
      </c>
      <c r="D97" s="97">
        <f t="shared" si="1"/>
        <v>5478.70941</v>
      </c>
      <c r="E97" s="92">
        <f>(SUBSTITUTE(Audio!E97, "RE-", "", 1))*1</f>
        <v>0</v>
      </c>
      <c r="F97" s="92">
        <f>(SUBSTITUTE(Audio!F97, "RE-", "", 1))*1</f>
        <v>516.292</v>
      </c>
      <c r="G97" s="92">
        <f>(SUBSTITUTE(Audio!G97, "RE-", "", 1))*1</f>
        <v>2.7049</v>
      </c>
      <c r="H97" s="92">
        <f>(SUBSTITUTE(Audio!H97, "RE-", "", 1))*1</f>
        <v>71.381</v>
      </c>
      <c r="I97" s="92">
        <f>(SUBSTITUTE(Audio!I97, "RE-", "", 1))*1</f>
        <v>0</v>
      </c>
      <c r="J97" s="92">
        <f>(SUBSTITUTE(Audio!J97, "RE-", "", 1))*1</f>
        <v>1677.46</v>
      </c>
      <c r="K97" s="92">
        <f>(SUBSTITUTE(Audio!K97, "RE-", "", 1))*1</f>
        <v>5.09393</v>
      </c>
      <c r="L97" s="92">
        <f>(SUBSTITUTE(Audio!L97, "RE-", "", 1))*1</f>
        <v>636.202</v>
      </c>
      <c r="M97" s="92">
        <f>(SUBSTITUTE(Audio!M97, "RE-", "", 1))*1</f>
        <v>6.21215</v>
      </c>
      <c r="N97" s="92">
        <f>(SUBSTITUTE(Audio!N97, "RE-", "", 1))*1</f>
        <v>1087.46</v>
      </c>
      <c r="O97" s="92">
        <f>(SUBSTITUTE(Audio!O97, "RE-", "", 1))*1</f>
        <v>12.0354</v>
      </c>
      <c r="P97" s="92">
        <f>(SUBSTITUTE(Audio!P97, "RE-", "", 1))*1</f>
        <v>405.534</v>
      </c>
      <c r="Q97" s="92">
        <f>(SUBSTITUTE(Audio!Q97, "RE-", "", 1))*1</f>
        <v>31.8519</v>
      </c>
      <c r="R97" s="92">
        <f>(SUBSTITUTE(Audio!R97, "RE-", "", 1))*1</f>
        <v>230.818</v>
      </c>
      <c r="S97" s="92">
        <f>(SUBSTITUTE(Audio!S97, "RE-", "", 1))*1</f>
        <v>15.9557</v>
      </c>
      <c r="T97" s="92">
        <f>(SUBSTITUTE(Audio!T97, "RE-", "", 1))*1</f>
        <v>716.575</v>
      </c>
      <c r="U97" s="92">
        <f>(SUBSTITUTE(Audio!U97, "RE-", "", 1))*1</f>
        <v>61.8492</v>
      </c>
      <c r="V97" s="92">
        <f>(SUBSTITUTE(Audio!V97, "RE-", "", 1))*1</f>
        <v>1.28423</v>
      </c>
      <c r="W97" s="92">
        <f>(SUBSTITUTE(Audio!W97, "RE-", "", 1))*1</f>
        <v>0</v>
      </c>
      <c r="X97" s="92">
        <f>(SUBSTITUTE(Audio!X97, "RE-", "", 1))*1</f>
        <v>0</v>
      </c>
      <c r="Y97" s="92">
        <f>(SUBSTITUTE(Audio!Y97, "RE-", "", 1))*1</f>
        <v>0</v>
      </c>
      <c r="Z97" s="92">
        <f>(SUBSTITUTE(Audio!Z97, "RE-", "", 1))*1</f>
        <v>0</v>
      </c>
      <c r="AA97" s="92"/>
      <c r="AB97" s="92"/>
      <c r="AC97" s="92"/>
      <c r="AD97" s="92"/>
      <c r="AE97" s="92"/>
      <c r="AF97" s="92"/>
      <c r="AG97" s="92"/>
      <c r="AH97" s="92"/>
      <c r="AI97" s="92"/>
      <c r="AJ97" s="92"/>
      <c r="AK97" s="92"/>
      <c r="AL97" s="92"/>
      <c r="AM97" s="92"/>
      <c r="AN97" s="92"/>
      <c r="AO97" s="92"/>
      <c r="AP97" s="92"/>
      <c r="AQ97" s="92"/>
      <c r="AR97" s="92"/>
      <c r="AS97" s="92"/>
      <c r="AT97" s="92"/>
      <c r="AU97" s="92"/>
      <c r="AV97" s="92"/>
      <c r="AW97" s="92"/>
      <c r="AX97" s="92"/>
      <c r="AY97" s="92"/>
      <c r="AZ97" s="92"/>
      <c r="BA97" s="92"/>
      <c r="BB97" s="92"/>
      <c r="BC97" s="92"/>
      <c r="BD97" s="92"/>
      <c r="BE97" s="92"/>
      <c r="BF97" s="92"/>
      <c r="BG97" s="92"/>
      <c r="BH97" s="92"/>
      <c r="BI97" s="92"/>
      <c r="BJ97" s="92"/>
      <c r="BK97" s="92"/>
      <c r="BL97" s="92"/>
      <c r="BM97" s="92"/>
      <c r="BN97" s="92"/>
      <c r="BO97" s="92"/>
      <c r="BP97" s="92"/>
      <c r="BQ97" s="92"/>
      <c r="BR97" s="92"/>
      <c r="BS97" s="92"/>
      <c r="BT97" s="92"/>
      <c r="BU97" s="92"/>
      <c r="BV97" s="92"/>
      <c r="BW97" s="92"/>
      <c r="BX97" s="92"/>
      <c r="BY97" s="92"/>
      <c r="BZ97" s="92"/>
      <c r="CA97" s="92"/>
      <c r="CB97" s="92"/>
      <c r="CC97" s="92"/>
      <c r="CD97" s="92"/>
      <c r="CE97" s="92"/>
      <c r="CF97" s="92"/>
      <c r="CG97" s="92"/>
      <c r="CH97" s="92"/>
      <c r="CI97" s="92"/>
      <c r="CJ97" s="92"/>
      <c r="CK97" s="92"/>
      <c r="CL97" s="92"/>
      <c r="CM97" s="92"/>
      <c r="CN97" s="92"/>
      <c r="CO97" s="92"/>
      <c r="CP97" s="92"/>
      <c r="CQ97" s="92"/>
      <c r="CR97" s="92"/>
      <c r="CS97" s="92"/>
      <c r="CT97" s="92"/>
      <c r="CU97" s="92"/>
      <c r="CV97" s="92"/>
      <c r="CW97" s="92"/>
      <c r="CX97" s="92"/>
      <c r="CY97" s="92"/>
      <c r="CZ97" s="92"/>
      <c r="DA97" s="92"/>
      <c r="DB97" s="92"/>
      <c r="DC97" s="92"/>
      <c r="DD97" s="92"/>
      <c r="DE97" s="92"/>
      <c r="DF97" s="92"/>
      <c r="DG97" s="92"/>
      <c r="DH97" s="92"/>
      <c r="DI97" s="92"/>
      <c r="DJ97" s="92"/>
      <c r="DK97" s="92"/>
      <c r="DL97" s="92"/>
      <c r="DM97" s="92"/>
      <c r="DN97" s="92"/>
      <c r="DO97" s="92"/>
      <c r="DP97" s="92"/>
      <c r="DQ97" s="92"/>
      <c r="DR97" s="92"/>
      <c r="DS97" s="92"/>
      <c r="DT97" s="92"/>
      <c r="DU97" s="92"/>
      <c r="DV97" s="92"/>
      <c r="DW97" s="92"/>
      <c r="DX97" s="92"/>
      <c r="DY97" s="92"/>
      <c r="DZ97" s="92"/>
      <c r="EA97" s="92"/>
      <c r="EB97" s="92"/>
      <c r="EC97" s="92"/>
      <c r="ED97" s="92"/>
      <c r="EE97" s="92"/>
      <c r="EF97" s="92"/>
      <c r="EG97" s="92"/>
      <c r="EH97" s="92"/>
      <c r="EI97" s="92"/>
      <c r="EJ97" s="92"/>
      <c r="EK97" s="92"/>
      <c r="EL97" s="92"/>
      <c r="EM97" s="92"/>
      <c r="EN97" s="92"/>
      <c r="EO97" s="92"/>
      <c r="EP97" s="92"/>
      <c r="EQ97" s="92"/>
      <c r="ER97" s="92"/>
      <c r="ES97" s="92"/>
      <c r="ET97" s="92"/>
      <c r="EU97" s="92"/>
      <c r="EV97" s="92"/>
      <c r="EW97" s="92"/>
      <c r="EX97" s="92"/>
      <c r="EY97" s="92"/>
      <c r="EZ97" s="92"/>
      <c r="FA97" s="92"/>
      <c r="FB97" s="92"/>
      <c r="FC97" s="92"/>
      <c r="FD97" s="92"/>
      <c r="FE97" s="92"/>
      <c r="FF97" s="92"/>
      <c r="FG97" s="92"/>
      <c r="FH97" s="92"/>
    </row>
    <row r="98">
      <c r="A98" s="27" t="s">
        <v>7</v>
      </c>
      <c r="B98" s="27" t="s">
        <v>27</v>
      </c>
      <c r="C98" s="27" t="s">
        <v>15</v>
      </c>
      <c r="D98" s="98">
        <f t="shared" si="1"/>
        <v>6216.50919</v>
      </c>
      <c r="E98" s="92">
        <f>(SUBSTITUTE(Audio!E98, "RE-", "", 1))*1</f>
        <v>0</v>
      </c>
      <c r="F98" s="92">
        <f>(SUBSTITUTE(Audio!F98, "RE-", "", 1))*1</f>
        <v>559.912</v>
      </c>
      <c r="G98" s="92">
        <f>(SUBSTITUTE(Audio!G98, "RE-", "", 1))*1</f>
        <v>2.7049</v>
      </c>
      <c r="H98" s="92">
        <f>(SUBSTITUTE(Audio!H98, "RE-", "", 1))*1</f>
        <v>78.699</v>
      </c>
      <c r="I98" s="92">
        <f>(SUBSTITUTE(Audio!I98, "RE-", "", 1))*1</f>
        <v>0</v>
      </c>
      <c r="J98" s="92">
        <f>(SUBSTITUTE(Audio!J98, "RE-", "", 1))*1</f>
        <v>1812.6</v>
      </c>
      <c r="K98" s="92">
        <f>(SUBSTITUTE(Audio!K98, "RE-", "", 1))*1</f>
        <v>5.6559</v>
      </c>
      <c r="L98" s="92">
        <f>(SUBSTITUTE(Audio!L98, "RE-", "", 1))*1</f>
        <v>736.278</v>
      </c>
      <c r="M98" s="92">
        <f>(SUBSTITUTE(Audio!M98, "RE-", "", 1))*1</f>
        <v>6.86202</v>
      </c>
      <c r="N98" s="92">
        <f>(SUBSTITUTE(Audio!N98, "RE-", "", 1))*1</f>
        <v>1266.69</v>
      </c>
      <c r="O98" s="92">
        <f>(SUBSTITUTE(Audio!O98, "RE-", "", 1))*1</f>
        <v>12.6407</v>
      </c>
      <c r="P98" s="92">
        <f>(SUBSTITUTE(Audio!P98, "RE-", "", 1))*1</f>
        <v>478.632</v>
      </c>
      <c r="Q98" s="92">
        <f>(SUBSTITUTE(Audio!Q98, "RE-", "", 1))*1</f>
        <v>35.2571</v>
      </c>
      <c r="R98" s="92">
        <f>(SUBSTITUTE(Audio!R98, "RE-", "", 1))*1</f>
        <v>277.673</v>
      </c>
      <c r="S98" s="92">
        <f>(SUBSTITUTE(Audio!S98, "RE-", "", 1))*1</f>
        <v>17.8474</v>
      </c>
      <c r="T98" s="92">
        <f>(SUBSTITUTE(Audio!T98, "RE-", "", 1))*1</f>
        <v>851.614</v>
      </c>
      <c r="U98" s="92">
        <f>(SUBSTITUTE(Audio!U98, "RE-", "", 1))*1</f>
        <v>71.7461</v>
      </c>
      <c r="V98" s="92">
        <f>(SUBSTITUTE(Audio!V98, "RE-", "", 1))*1</f>
        <v>1.69707</v>
      </c>
      <c r="W98" s="92">
        <f>(SUBSTITUTE(Audio!W98, "RE-", "", 1))*1</f>
        <v>0</v>
      </c>
      <c r="X98" s="92">
        <f>(SUBSTITUTE(Audio!X98, "RE-", "", 1))*1</f>
        <v>0</v>
      </c>
      <c r="Y98" s="92">
        <f>(SUBSTITUTE(Audio!Y98, "RE-", "", 1))*1</f>
        <v>0</v>
      </c>
      <c r="Z98" s="92">
        <f>(SUBSTITUTE(Audio!Z98, "RE-", "", 1))*1</f>
        <v>0</v>
      </c>
      <c r="AA98" s="92"/>
      <c r="AB98" s="92"/>
      <c r="AC98" s="92"/>
      <c r="AD98" s="92"/>
      <c r="AE98" s="92"/>
      <c r="AF98" s="92"/>
      <c r="AG98" s="92"/>
      <c r="AH98" s="92"/>
      <c r="AI98" s="92"/>
      <c r="AJ98" s="92"/>
      <c r="AK98" s="92"/>
      <c r="AL98" s="92"/>
      <c r="AM98" s="92"/>
      <c r="AN98" s="92"/>
      <c r="AO98" s="92"/>
      <c r="AP98" s="92"/>
      <c r="AQ98" s="92"/>
      <c r="AR98" s="92"/>
      <c r="AS98" s="92"/>
      <c r="AT98" s="92"/>
      <c r="AU98" s="92"/>
      <c r="AV98" s="92"/>
      <c r="AW98" s="92"/>
      <c r="AX98" s="92"/>
      <c r="AY98" s="92"/>
      <c r="AZ98" s="92"/>
      <c r="BA98" s="92"/>
      <c r="BB98" s="92"/>
      <c r="BC98" s="92"/>
      <c r="BD98" s="92"/>
      <c r="BE98" s="92"/>
      <c r="BF98" s="92"/>
      <c r="BG98" s="92"/>
      <c r="BH98" s="92"/>
      <c r="BI98" s="92"/>
      <c r="BJ98" s="92"/>
      <c r="BK98" s="92"/>
      <c r="BL98" s="92"/>
      <c r="BM98" s="92"/>
      <c r="BN98" s="92"/>
      <c r="BO98" s="92"/>
      <c r="BP98" s="92"/>
      <c r="BQ98" s="92"/>
      <c r="BR98" s="92"/>
      <c r="BS98" s="92"/>
      <c r="BT98" s="92"/>
      <c r="BU98" s="92"/>
      <c r="BV98" s="92"/>
      <c r="BW98" s="92"/>
      <c r="BX98" s="92"/>
      <c r="BY98" s="92"/>
      <c r="BZ98" s="92"/>
      <c r="CA98" s="92"/>
      <c r="CB98" s="92"/>
      <c r="CC98" s="92"/>
      <c r="CD98" s="92"/>
      <c r="CE98" s="92"/>
      <c r="CF98" s="92"/>
      <c r="CG98" s="92"/>
      <c r="CH98" s="92"/>
      <c r="CI98" s="92"/>
      <c r="CJ98" s="92"/>
      <c r="CK98" s="92"/>
      <c r="CL98" s="92"/>
      <c r="CM98" s="92"/>
      <c r="CN98" s="92"/>
      <c r="CO98" s="92"/>
      <c r="CP98" s="92"/>
      <c r="CQ98" s="92"/>
      <c r="CR98" s="92"/>
      <c r="CS98" s="92"/>
      <c r="CT98" s="92"/>
      <c r="CU98" s="92"/>
      <c r="CV98" s="92"/>
      <c r="CW98" s="92"/>
      <c r="CX98" s="92"/>
      <c r="CY98" s="92"/>
      <c r="CZ98" s="92"/>
      <c r="DA98" s="92"/>
      <c r="DB98" s="92"/>
      <c r="DC98" s="92"/>
      <c r="DD98" s="92"/>
      <c r="DE98" s="92"/>
      <c r="DF98" s="92"/>
      <c r="DG98" s="92"/>
      <c r="DH98" s="92"/>
      <c r="DI98" s="92"/>
      <c r="DJ98" s="92"/>
      <c r="DK98" s="92"/>
      <c r="DL98" s="92"/>
      <c r="DM98" s="92"/>
      <c r="DN98" s="92"/>
      <c r="DO98" s="92"/>
      <c r="DP98" s="92"/>
      <c r="DQ98" s="92"/>
      <c r="DR98" s="92"/>
      <c r="DS98" s="92"/>
      <c r="DT98" s="92"/>
      <c r="DU98" s="92"/>
      <c r="DV98" s="92"/>
      <c r="DW98" s="92"/>
      <c r="DX98" s="92"/>
      <c r="DY98" s="92"/>
      <c r="DZ98" s="92"/>
      <c r="EA98" s="92"/>
      <c r="EB98" s="92"/>
      <c r="EC98" s="92"/>
      <c r="ED98" s="92"/>
      <c r="EE98" s="92"/>
      <c r="EF98" s="92"/>
      <c r="EG98" s="92"/>
      <c r="EH98" s="92"/>
      <c r="EI98" s="92"/>
      <c r="EJ98" s="92"/>
      <c r="EK98" s="92"/>
      <c r="EL98" s="92"/>
      <c r="EM98" s="92"/>
      <c r="EN98" s="92"/>
      <c r="EO98" s="92"/>
      <c r="EP98" s="92"/>
      <c r="EQ98" s="92"/>
      <c r="ER98" s="92"/>
      <c r="ES98" s="92"/>
      <c r="ET98" s="92"/>
      <c r="EU98" s="92"/>
      <c r="EV98" s="92"/>
      <c r="EW98" s="92"/>
      <c r="EX98" s="92"/>
      <c r="EY98" s="92"/>
      <c r="EZ98" s="92"/>
      <c r="FA98" s="92"/>
      <c r="FB98" s="92"/>
      <c r="FC98" s="92"/>
      <c r="FD98" s="92"/>
      <c r="FE98" s="92"/>
      <c r="FF98" s="92"/>
      <c r="FG98" s="92"/>
      <c r="FH98" s="92"/>
    </row>
    <row r="99">
      <c r="A99" s="30" t="s">
        <v>28</v>
      </c>
      <c r="B99" s="30" t="s">
        <v>29</v>
      </c>
      <c r="C99" s="31" t="str">
        <f>HYPERLINK("https://docs.google.com/spreadsheets/d/1U1xyg2MIUwQnCMze_5IjLW6eOF-KHowg/edit?usp=share_link&amp;ouid=106501987799020758802&amp;rtpof=true&amp;sd=true", "Raw Delivered")</f>
        <v>Raw Delivered</v>
      </c>
      <c r="D99" s="96">
        <f t="shared" si="1"/>
        <v>6710.351464</v>
      </c>
      <c r="E99" s="92">
        <f>(SUBSTITUTE(Audio!E99, "RE-", "", 1))*1</f>
        <v>0</v>
      </c>
      <c r="F99" s="92">
        <f>(SUBSTITUTE(Audio!F99, "RE-", "", 1))*1</f>
        <v>1191.696821</v>
      </c>
      <c r="G99" s="92">
        <f>(SUBSTITUTE(Audio!G99, "RE-", "", 1))*1</f>
        <v>0</v>
      </c>
      <c r="H99" s="92">
        <f>(SUBSTITUTE(Audio!H99, "RE-", "", 1))*1</f>
        <v>194.7431917</v>
      </c>
      <c r="I99" s="92">
        <f>(SUBSTITUTE(Audio!I99, "RE-", "", 1))*1</f>
        <v>0</v>
      </c>
      <c r="J99" s="92">
        <f>(SUBSTITUTE(Audio!J99, "RE-", "", 1))*1</f>
        <v>101.5200563</v>
      </c>
      <c r="K99" s="92">
        <f>(SUBSTITUTE(Audio!K99, "RE-", "", 1))*1</f>
        <v>0</v>
      </c>
      <c r="L99" s="92">
        <f>(SUBSTITUTE(Audio!L99, "RE-", "", 1))*1</f>
        <v>586.329125</v>
      </c>
      <c r="M99" s="92">
        <f>(SUBSTITUTE(Audio!M99, "RE-", "", 1))*1</f>
        <v>0</v>
      </c>
      <c r="N99" s="92">
        <f>(SUBSTITUTE(Audio!N99, "RE-", "", 1))*1</f>
        <v>1622.335609</v>
      </c>
      <c r="O99" s="92">
        <f>(SUBSTITUTE(Audio!O99, "RE-", "", 1))*1</f>
        <v>0</v>
      </c>
      <c r="P99" s="92">
        <f>(SUBSTITUTE(Audio!P99, "RE-", "", 1))*1</f>
        <v>1396.84626</v>
      </c>
      <c r="Q99" s="92">
        <f>(SUBSTITUTE(Audio!Q99, "RE-", "", 1))*1</f>
        <v>0</v>
      </c>
      <c r="R99" s="92">
        <f>(SUBSTITUTE(Audio!R99, "RE-", "", 1))*1</f>
        <v>1056.798114</v>
      </c>
      <c r="S99" s="92">
        <f>(SUBSTITUTE(Audio!S99, "RE-", "", 1))*1</f>
        <v>0</v>
      </c>
      <c r="T99" s="92">
        <f>(SUBSTITUTE(Audio!T99, "RE-", "", 1))*1</f>
        <v>560.0822865</v>
      </c>
      <c r="U99" s="92">
        <f>(SUBSTITUTE(Audio!U99, "RE-", "", 1))*1</f>
        <v>0</v>
      </c>
      <c r="V99" s="92">
        <f>(SUBSTITUTE(Audio!V99, "RE-", "", 1))*1</f>
        <v>0</v>
      </c>
      <c r="W99" s="92">
        <f>(SUBSTITUTE(Audio!W99, "RE-", "", 1))*1</f>
        <v>0</v>
      </c>
      <c r="X99" s="92">
        <f>(SUBSTITUTE(Audio!X99, "RE-", "", 1))*1</f>
        <v>0</v>
      </c>
      <c r="Y99" s="92">
        <f>(SUBSTITUTE(Audio!Y99, "RE-", "", 1))*1</f>
        <v>0</v>
      </c>
      <c r="Z99" s="92">
        <f>(SUBSTITUTE(Audio!Z99, "RE-", "", 1))*1</f>
        <v>0</v>
      </c>
      <c r="AA99" s="92"/>
      <c r="AB99" s="92"/>
      <c r="AC99" s="92"/>
      <c r="AD99" s="92"/>
      <c r="AE99" s="92"/>
      <c r="AF99" s="92"/>
      <c r="AG99" s="92"/>
      <c r="AH99" s="92"/>
      <c r="AI99" s="92"/>
      <c r="AJ99" s="92"/>
      <c r="AK99" s="92"/>
      <c r="AL99" s="92"/>
      <c r="AM99" s="92"/>
      <c r="AN99" s="92"/>
      <c r="AO99" s="92"/>
      <c r="AP99" s="92"/>
      <c r="AQ99" s="92"/>
      <c r="AR99" s="92"/>
      <c r="AS99" s="92"/>
      <c r="AT99" s="92"/>
      <c r="AU99" s="92"/>
      <c r="AV99" s="92"/>
      <c r="AW99" s="92"/>
      <c r="AX99" s="92"/>
      <c r="AY99" s="92"/>
      <c r="AZ99" s="92"/>
      <c r="BA99" s="92"/>
      <c r="BB99" s="92"/>
      <c r="BC99" s="92"/>
      <c r="BD99" s="92"/>
      <c r="BE99" s="92"/>
      <c r="BF99" s="92"/>
      <c r="BG99" s="92"/>
      <c r="BH99" s="92"/>
      <c r="BI99" s="92"/>
      <c r="BJ99" s="92"/>
      <c r="BK99" s="92"/>
      <c r="BL99" s="92"/>
      <c r="BM99" s="92"/>
      <c r="BN99" s="92"/>
      <c r="BO99" s="92"/>
      <c r="BP99" s="92"/>
      <c r="BQ99" s="92"/>
      <c r="BR99" s="92"/>
      <c r="BS99" s="92"/>
      <c r="BT99" s="92"/>
      <c r="BU99" s="92"/>
      <c r="BV99" s="92"/>
      <c r="BW99" s="92"/>
      <c r="BX99" s="92"/>
      <c r="BY99" s="92"/>
      <c r="BZ99" s="92"/>
      <c r="CA99" s="92"/>
      <c r="CB99" s="92"/>
      <c r="CC99" s="92"/>
      <c r="CD99" s="92"/>
      <c r="CE99" s="92"/>
      <c r="CF99" s="92"/>
      <c r="CG99" s="92"/>
      <c r="CH99" s="92"/>
      <c r="CI99" s="92"/>
      <c r="CJ99" s="92"/>
      <c r="CK99" s="92"/>
      <c r="CL99" s="92"/>
      <c r="CM99" s="92"/>
      <c r="CN99" s="92"/>
      <c r="CO99" s="92"/>
      <c r="CP99" s="92"/>
      <c r="CQ99" s="92"/>
      <c r="CR99" s="92"/>
      <c r="CS99" s="92"/>
      <c r="CT99" s="92"/>
      <c r="CU99" s="92"/>
      <c r="CV99" s="92"/>
      <c r="CW99" s="92"/>
      <c r="CX99" s="92"/>
      <c r="CY99" s="92"/>
      <c r="CZ99" s="92"/>
      <c r="DA99" s="92"/>
      <c r="DB99" s="92"/>
      <c r="DC99" s="92"/>
      <c r="DD99" s="92"/>
      <c r="DE99" s="92"/>
      <c r="DF99" s="92"/>
      <c r="DG99" s="92"/>
      <c r="DH99" s="92"/>
      <c r="DI99" s="92"/>
      <c r="DJ99" s="92"/>
      <c r="DK99" s="92"/>
      <c r="DL99" s="92"/>
      <c r="DM99" s="92"/>
      <c r="DN99" s="92"/>
      <c r="DO99" s="92"/>
      <c r="DP99" s="92"/>
      <c r="DQ99" s="92"/>
      <c r="DR99" s="92"/>
      <c r="DS99" s="92"/>
      <c r="DT99" s="92"/>
      <c r="DU99" s="92"/>
      <c r="DV99" s="92"/>
      <c r="DW99" s="92"/>
      <c r="DX99" s="92"/>
      <c r="DY99" s="92"/>
      <c r="DZ99" s="92"/>
      <c r="EA99" s="92"/>
      <c r="EB99" s="92"/>
      <c r="EC99" s="92"/>
      <c r="ED99" s="92"/>
      <c r="EE99" s="92"/>
      <c r="EF99" s="92"/>
      <c r="EG99" s="92"/>
      <c r="EH99" s="92"/>
      <c r="EI99" s="92"/>
      <c r="EJ99" s="92"/>
      <c r="EK99" s="92"/>
      <c r="EL99" s="92"/>
      <c r="EM99" s="92"/>
      <c r="EN99" s="92"/>
      <c r="EO99" s="92"/>
      <c r="EP99" s="92"/>
      <c r="EQ99" s="92"/>
      <c r="ER99" s="92"/>
      <c r="ES99" s="92"/>
      <c r="ET99" s="92"/>
      <c r="EU99" s="92"/>
      <c r="EV99" s="92"/>
      <c r="EW99" s="92"/>
      <c r="EX99" s="92"/>
      <c r="EY99" s="92"/>
      <c r="EZ99" s="92"/>
      <c r="FA99" s="92"/>
      <c r="FB99" s="92"/>
      <c r="FC99" s="92"/>
      <c r="FD99" s="92"/>
      <c r="FE99" s="92"/>
      <c r="FF99" s="92"/>
      <c r="FG99" s="92"/>
      <c r="FH99" s="92"/>
    </row>
    <row r="100">
      <c r="A100" s="32" t="s">
        <v>28</v>
      </c>
      <c r="B100" s="32" t="s">
        <v>29</v>
      </c>
      <c r="C100" s="32" t="s">
        <v>9</v>
      </c>
      <c r="D100" s="97">
        <f t="shared" si="1"/>
        <v>6710.351464</v>
      </c>
      <c r="E100" s="92">
        <f>(SUBSTITUTE(Audio!E100, "RE-", "", 1))*1</f>
        <v>0</v>
      </c>
      <c r="F100" s="92">
        <f>(SUBSTITUTE(Audio!F100, "RE-", "", 1))*1</f>
        <v>1191.696821</v>
      </c>
      <c r="G100" s="92">
        <f>(SUBSTITUTE(Audio!G100, "RE-", "", 1))*1</f>
        <v>0</v>
      </c>
      <c r="H100" s="92">
        <f>(SUBSTITUTE(Audio!H100, "RE-", "", 1))*1</f>
        <v>194.7431917</v>
      </c>
      <c r="I100" s="92">
        <f>(SUBSTITUTE(Audio!I100, "RE-", "", 1))*1</f>
        <v>0</v>
      </c>
      <c r="J100" s="92">
        <f>(SUBSTITUTE(Audio!J100, "RE-", "", 1))*1</f>
        <v>101.5200563</v>
      </c>
      <c r="K100" s="92">
        <f>(SUBSTITUTE(Audio!K100, "RE-", "", 1))*1</f>
        <v>0</v>
      </c>
      <c r="L100" s="92">
        <f>(SUBSTITUTE(Audio!L100, "RE-", "", 1))*1</f>
        <v>586.329125</v>
      </c>
      <c r="M100" s="92">
        <f>(SUBSTITUTE(Audio!M100, "RE-", "", 1))*1</f>
        <v>0</v>
      </c>
      <c r="N100" s="92">
        <f>(SUBSTITUTE(Audio!N100, "RE-", "", 1))*1</f>
        <v>1622.335609</v>
      </c>
      <c r="O100" s="92">
        <f>(SUBSTITUTE(Audio!O100, "RE-", "", 1))*1</f>
        <v>0</v>
      </c>
      <c r="P100" s="92">
        <f>(SUBSTITUTE(Audio!P100, "RE-", "", 1))*1</f>
        <v>1396.84626</v>
      </c>
      <c r="Q100" s="92">
        <f>(SUBSTITUTE(Audio!Q100, "RE-", "", 1))*1</f>
        <v>0</v>
      </c>
      <c r="R100" s="92">
        <f>(SUBSTITUTE(Audio!R100, "RE-", "", 1))*1</f>
        <v>1056.798114</v>
      </c>
      <c r="S100" s="92">
        <f>(SUBSTITUTE(Audio!S100, "RE-", "", 1))*1</f>
        <v>0</v>
      </c>
      <c r="T100" s="92">
        <f>(SUBSTITUTE(Audio!T100, "RE-", "", 1))*1</f>
        <v>560.0822865</v>
      </c>
      <c r="U100" s="92">
        <f>(SUBSTITUTE(Audio!U100, "RE-", "", 1))*1</f>
        <v>0</v>
      </c>
      <c r="V100" s="92">
        <f>(SUBSTITUTE(Audio!V100, "RE-", "", 1))*1</f>
        <v>0</v>
      </c>
      <c r="W100" s="92">
        <f>(SUBSTITUTE(Audio!W100, "RE-", "", 1))*1</f>
        <v>0</v>
      </c>
      <c r="X100" s="92">
        <f>(SUBSTITUTE(Audio!X100, "RE-", "", 1))*1</f>
        <v>0</v>
      </c>
      <c r="Y100" s="92">
        <f>(SUBSTITUTE(Audio!Y100, "RE-", "", 1))*1</f>
        <v>0</v>
      </c>
      <c r="Z100" s="92">
        <f>(SUBSTITUTE(Audio!Z100, "RE-", "", 1))*1</f>
        <v>0</v>
      </c>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c r="BB100" s="92"/>
      <c r="BC100" s="92"/>
      <c r="BD100" s="92"/>
      <c r="BE100" s="92"/>
      <c r="BF100" s="92"/>
      <c r="BG100" s="92"/>
      <c r="BH100" s="92"/>
      <c r="BI100" s="92"/>
      <c r="BJ100" s="92"/>
      <c r="BK100" s="92"/>
      <c r="BL100" s="92"/>
      <c r="BM100" s="92"/>
      <c r="BN100" s="92"/>
      <c r="BO100" s="92"/>
      <c r="BP100" s="92"/>
      <c r="BQ100" s="92"/>
      <c r="BR100" s="92"/>
      <c r="BS100" s="92"/>
      <c r="BT100" s="92"/>
      <c r="BU100" s="92"/>
      <c r="BV100" s="92"/>
      <c r="BW100" s="92"/>
      <c r="BX100" s="92"/>
      <c r="BY100" s="92"/>
      <c r="BZ100" s="92"/>
      <c r="CA100" s="92"/>
      <c r="CB100" s="92"/>
      <c r="CC100" s="92"/>
      <c r="CD100" s="92"/>
      <c r="CE100" s="92"/>
      <c r="CF100" s="92"/>
      <c r="CG100" s="92"/>
      <c r="CH100" s="92"/>
      <c r="CI100" s="92"/>
      <c r="CJ100" s="92"/>
      <c r="CK100" s="92"/>
      <c r="CL100" s="92"/>
      <c r="CM100" s="92"/>
      <c r="CN100" s="92"/>
      <c r="CO100" s="92"/>
      <c r="CP100" s="92"/>
      <c r="CQ100" s="92"/>
      <c r="CR100" s="92"/>
      <c r="CS100" s="92"/>
      <c r="CT100" s="92"/>
      <c r="CU100" s="92"/>
      <c r="CV100" s="92"/>
      <c r="CW100" s="92"/>
      <c r="CX100" s="92"/>
      <c r="CY100" s="92"/>
      <c r="CZ100" s="92"/>
      <c r="DA100" s="92"/>
      <c r="DB100" s="92"/>
      <c r="DC100" s="92"/>
      <c r="DD100" s="92"/>
      <c r="DE100" s="92"/>
      <c r="DF100" s="92"/>
      <c r="DG100" s="92"/>
      <c r="DH100" s="92"/>
      <c r="DI100" s="92"/>
      <c r="DJ100" s="92"/>
      <c r="DK100" s="92"/>
      <c r="DL100" s="92"/>
      <c r="DM100" s="92"/>
      <c r="DN100" s="92"/>
      <c r="DO100" s="92"/>
      <c r="DP100" s="92"/>
      <c r="DQ100" s="92"/>
      <c r="DR100" s="92"/>
      <c r="DS100" s="92"/>
      <c r="DT100" s="92"/>
      <c r="DU100" s="92"/>
      <c r="DV100" s="92"/>
      <c r="DW100" s="92"/>
      <c r="DX100" s="92"/>
      <c r="DY100" s="92"/>
      <c r="DZ100" s="92"/>
      <c r="EA100" s="92"/>
      <c r="EB100" s="92"/>
      <c r="EC100" s="92"/>
      <c r="ED100" s="92"/>
      <c r="EE100" s="92"/>
      <c r="EF100" s="92"/>
      <c r="EG100" s="92"/>
      <c r="EH100" s="92"/>
      <c r="EI100" s="92"/>
      <c r="EJ100" s="92"/>
      <c r="EK100" s="92"/>
      <c r="EL100" s="92"/>
      <c r="EM100" s="92"/>
      <c r="EN100" s="92"/>
      <c r="EO100" s="92"/>
      <c r="EP100" s="92"/>
      <c r="EQ100" s="92"/>
      <c r="ER100" s="92"/>
      <c r="ES100" s="92"/>
      <c r="ET100" s="92"/>
      <c r="EU100" s="92"/>
      <c r="EV100" s="92"/>
      <c r="EW100" s="92"/>
      <c r="EX100" s="92"/>
      <c r="EY100" s="92"/>
      <c r="EZ100" s="92"/>
      <c r="FA100" s="92"/>
      <c r="FB100" s="92"/>
      <c r="FC100" s="92"/>
      <c r="FD100" s="92"/>
      <c r="FE100" s="92"/>
      <c r="FF100" s="92"/>
      <c r="FG100" s="92"/>
      <c r="FH100" s="92"/>
    </row>
    <row r="101">
      <c r="A101" s="32" t="s">
        <v>28</v>
      </c>
      <c r="B101" s="32" t="s">
        <v>29</v>
      </c>
      <c r="C101" s="32" t="s">
        <v>10</v>
      </c>
      <c r="D101" s="97">
        <f t="shared" si="1"/>
        <v>675.8063594</v>
      </c>
      <c r="E101" s="92">
        <f>(SUBSTITUTE(Audio!E101, "RE-", "", 1))*1</f>
        <v>0</v>
      </c>
      <c r="F101" s="92">
        <f>(SUBSTITUTE(Audio!F101, "RE-", "", 1))*1</f>
        <v>0</v>
      </c>
      <c r="G101" s="92">
        <f>(SUBSTITUTE(Audio!G101, "RE-", "", 1))*1</f>
        <v>126.2174188</v>
      </c>
      <c r="H101" s="92">
        <f>(SUBSTITUTE(Audio!H101, "RE-", "", 1))*1</f>
        <v>0</v>
      </c>
      <c r="I101" s="92">
        <f>(SUBSTITUTE(Audio!I101, "RE-", "", 1))*1</f>
        <v>21.87300625</v>
      </c>
      <c r="J101" s="92">
        <f>(SUBSTITUTE(Audio!J101, "RE-", "", 1))*1</f>
        <v>0</v>
      </c>
      <c r="K101" s="92">
        <f>(SUBSTITUTE(Audio!K101, "RE-", "", 1))*1</f>
        <v>11.18040417</v>
      </c>
      <c r="L101" s="92">
        <f>(SUBSTITUTE(Audio!L101, "RE-", "", 1))*1</f>
        <v>0</v>
      </c>
      <c r="M101" s="92">
        <f>(SUBSTITUTE(Audio!M101, "RE-", "", 1))*1</f>
        <v>16.47575417</v>
      </c>
      <c r="N101" s="92">
        <f>(SUBSTITUTE(Audio!N101, "RE-", "", 1))*1</f>
        <v>0</v>
      </c>
      <c r="O101" s="92">
        <f>(SUBSTITUTE(Audio!O101, "RE-", "", 1))*1</f>
        <v>161.1562021</v>
      </c>
      <c r="P101" s="92">
        <f>(SUBSTITUTE(Audio!P101, "RE-", "", 1))*1</f>
        <v>0</v>
      </c>
      <c r="Q101" s="92">
        <f>(SUBSTITUTE(Audio!Q101, "RE-", "", 1))*1</f>
        <v>134.5350156</v>
      </c>
      <c r="R101" s="92">
        <f>(SUBSTITUTE(Audio!R101, "RE-", "", 1))*1</f>
        <v>0</v>
      </c>
      <c r="S101" s="92">
        <f>(SUBSTITUTE(Audio!S101, "RE-", "", 1))*1</f>
        <v>123.2016677</v>
      </c>
      <c r="T101" s="92">
        <f>(SUBSTITUTE(Audio!T101, "RE-", "", 1))*1</f>
        <v>0</v>
      </c>
      <c r="U101" s="92">
        <f>(SUBSTITUTE(Audio!U101, "RE-", "", 1))*1</f>
        <v>78.51871771</v>
      </c>
      <c r="V101" s="92">
        <f>(SUBSTITUTE(Audio!V101, "RE-", "", 1))*1</f>
        <v>2.648172917</v>
      </c>
      <c r="W101" s="92">
        <f>(SUBSTITUTE(Audio!W101, "RE-", "", 1))*1</f>
        <v>0</v>
      </c>
      <c r="X101" s="92">
        <f>(SUBSTITUTE(Audio!X101, "RE-", "", 1))*1</f>
        <v>0</v>
      </c>
      <c r="Y101" s="92">
        <f>(SUBSTITUTE(Audio!Y101, "RE-", "", 1))*1</f>
        <v>0</v>
      </c>
      <c r="Z101" s="92">
        <f>(SUBSTITUTE(Audio!Z101, "RE-", "", 1))*1</f>
        <v>0</v>
      </c>
      <c r="AA101" s="92"/>
      <c r="AB101" s="92"/>
      <c r="AC101" s="92"/>
      <c r="AD101" s="92"/>
      <c r="AE101" s="92"/>
      <c r="AF101" s="92"/>
      <c r="AG101" s="92"/>
      <c r="AH101" s="92"/>
      <c r="AI101" s="92"/>
      <c r="AJ101" s="92"/>
      <c r="AK101" s="92"/>
      <c r="AL101" s="92"/>
      <c r="AM101" s="92"/>
      <c r="AN101" s="92"/>
      <c r="AO101" s="92"/>
      <c r="AP101" s="92"/>
      <c r="AQ101" s="92"/>
      <c r="AR101" s="92"/>
      <c r="AS101" s="92"/>
      <c r="AT101" s="92"/>
      <c r="AU101" s="92"/>
      <c r="AV101" s="92"/>
      <c r="AW101" s="92"/>
      <c r="AX101" s="92"/>
      <c r="AY101" s="92"/>
      <c r="AZ101" s="92"/>
      <c r="BA101" s="92"/>
      <c r="BB101" s="92"/>
      <c r="BC101" s="92"/>
      <c r="BD101" s="92"/>
      <c r="BE101" s="92"/>
      <c r="BF101" s="92"/>
      <c r="BG101" s="92"/>
      <c r="BH101" s="92"/>
      <c r="BI101" s="92"/>
      <c r="BJ101" s="92"/>
      <c r="BK101" s="92"/>
      <c r="BL101" s="92"/>
      <c r="BM101" s="92"/>
      <c r="BN101" s="92"/>
      <c r="BO101" s="92"/>
      <c r="BP101" s="92"/>
      <c r="BQ101" s="92"/>
      <c r="BR101" s="92"/>
      <c r="BS101" s="92"/>
      <c r="BT101" s="92"/>
      <c r="BU101" s="92"/>
      <c r="BV101" s="92"/>
      <c r="BW101" s="92"/>
      <c r="BX101" s="92"/>
      <c r="BY101" s="92"/>
      <c r="BZ101" s="92"/>
      <c r="CA101" s="92"/>
      <c r="CB101" s="92"/>
      <c r="CC101" s="92"/>
      <c r="CD101" s="92"/>
      <c r="CE101" s="92"/>
      <c r="CF101" s="92"/>
      <c r="CG101" s="92"/>
      <c r="CH101" s="92"/>
      <c r="CI101" s="92"/>
      <c r="CJ101" s="92"/>
      <c r="CK101" s="92"/>
      <c r="CL101" s="92"/>
      <c r="CM101" s="92"/>
      <c r="CN101" s="92"/>
      <c r="CO101" s="92"/>
      <c r="CP101" s="92"/>
      <c r="CQ101" s="92"/>
      <c r="CR101" s="92"/>
      <c r="CS101" s="92"/>
      <c r="CT101" s="92"/>
      <c r="CU101" s="92"/>
      <c r="CV101" s="92"/>
      <c r="CW101" s="92"/>
      <c r="CX101" s="92"/>
      <c r="CY101" s="92"/>
      <c r="CZ101" s="92"/>
      <c r="DA101" s="92"/>
      <c r="DB101" s="92"/>
      <c r="DC101" s="92"/>
      <c r="DD101" s="92"/>
      <c r="DE101" s="92"/>
      <c r="DF101" s="92"/>
      <c r="DG101" s="92"/>
      <c r="DH101" s="92"/>
      <c r="DI101" s="92"/>
      <c r="DJ101" s="92"/>
      <c r="DK101" s="92"/>
      <c r="DL101" s="92"/>
      <c r="DM101" s="92"/>
      <c r="DN101" s="92"/>
      <c r="DO101" s="92"/>
      <c r="DP101" s="92"/>
      <c r="DQ101" s="92"/>
      <c r="DR101" s="92"/>
      <c r="DS101" s="92"/>
      <c r="DT101" s="92"/>
      <c r="DU101" s="92"/>
      <c r="DV101" s="92"/>
      <c r="DW101" s="92"/>
      <c r="DX101" s="92"/>
      <c r="DY101" s="92"/>
      <c r="DZ101" s="92"/>
      <c r="EA101" s="92"/>
      <c r="EB101" s="92"/>
      <c r="EC101" s="92"/>
      <c r="ED101" s="92"/>
      <c r="EE101" s="92"/>
      <c r="EF101" s="92"/>
      <c r="EG101" s="92"/>
      <c r="EH101" s="92"/>
      <c r="EI101" s="92"/>
      <c r="EJ101" s="92"/>
      <c r="EK101" s="92"/>
      <c r="EL101" s="92"/>
      <c r="EM101" s="92"/>
      <c r="EN101" s="92"/>
      <c r="EO101" s="92"/>
      <c r="EP101" s="92"/>
      <c r="EQ101" s="92"/>
      <c r="ER101" s="92"/>
      <c r="ES101" s="92"/>
      <c r="ET101" s="92"/>
      <c r="EU101" s="92"/>
      <c r="EV101" s="92"/>
      <c r="EW101" s="92"/>
      <c r="EX101" s="92"/>
      <c r="EY101" s="92"/>
      <c r="EZ101" s="92"/>
      <c r="FA101" s="92"/>
      <c r="FB101" s="92"/>
      <c r="FC101" s="92"/>
      <c r="FD101" s="92"/>
      <c r="FE101" s="92"/>
      <c r="FF101" s="92"/>
      <c r="FG101" s="92"/>
      <c r="FH101" s="92"/>
    </row>
    <row r="102">
      <c r="A102" s="32" t="s">
        <v>28</v>
      </c>
      <c r="B102" s="32" t="s">
        <v>29</v>
      </c>
      <c r="C102" s="32" t="s">
        <v>11</v>
      </c>
      <c r="D102" s="97">
        <f t="shared" si="1"/>
        <v>675.8063594</v>
      </c>
      <c r="E102" s="92">
        <f>(SUBSTITUTE(Audio!E102, "RE-", "", 1))*1</f>
        <v>0</v>
      </c>
      <c r="F102" s="92">
        <f>(SUBSTITUTE(Audio!F102, "RE-", "", 1))*1</f>
        <v>0</v>
      </c>
      <c r="G102" s="92">
        <f>(SUBSTITUTE(Audio!G102, "RE-", "", 1))*1</f>
        <v>126.2174188</v>
      </c>
      <c r="H102" s="92">
        <f>(SUBSTITUTE(Audio!H102, "RE-", "", 1))*1</f>
        <v>0</v>
      </c>
      <c r="I102" s="92">
        <f>(SUBSTITUTE(Audio!I102, "RE-", "", 1))*1</f>
        <v>21.87300625</v>
      </c>
      <c r="J102" s="92">
        <f>(SUBSTITUTE(Audio!J102, "RE-", "", 1))*1</f>
        <v>0</v>
      </c>
      <c r="K102" s="92">
        <f>(SUBSTITUTE(Audio!K102, "RE-", "", 1))*1</f>
        <v>11.18040417</v>
      </c>
      <c r="L102" s="92">
        <f>(SUBSTITUTE(Audio!L102, "RE-", "", 1))*1</f>
        <v>0</v>
      </c>
      <c r="M102" s="92">
        <f>(SUBSTITUTE(Audio!M102, "RE-", "", 1))*1</f>
        <v>16.47575417</v>
      </c>
      <c r="N102" s="92">
        <f>(SUBSTITUTE(Audio!N102, "RE-", "", 1))*1</f>
        <v>0</v>
      </c>
      <c r="O102" s="92">
        <f>(SUBSTITUTE(Audio!O102, "RE-", "", 1))*1</f>
        <v>161.1562021</v>
      </c>
      <c r="P102" s="92">
        <f>(SUBSTITUTE(Audio!P102, "RE-", "", 1))*1</f>
        <v>0</v>
      </c>
      <c r="Q102" s="92">
        <f>(SUBSTITUTE(Audio!Q102, "RE-", "", 1))*1</f>
        <v>134.5350156</v>
      </c>
      <c r="R102" s="92">
        <f>(SUBSTITUTE(Audio!R102, "RE-", "", 1))*1</f>
        <v>0</v>
      </c>
      <c r="S102" s="92">
        <f>(SUBSTITUTE(Audio!S102, "RE-", "", 1))*1</f>
        <v>123.2016677</v>
      </c>
      <c r="T102" s="92">
        <f>(SUBSTITUTE(Audio!T102, "RE-", "", 1))*1</f>
        <v>0</v>
      </c>
      <c r="U102" s="92">
        <f>(SUBSTITUTE(Audio!U102, "RE-", "", 1))*1</f>
        <v>78.51871771</v>
      </c>
      <c r="V102" s="92">
        <f>(SUBSTITUTE(Audio!V102, "RE-", "", 1))*1</f>
        <v>2.648172917</v>
      </c>
      <c r="W102" s="92">
        <f>(SUBSTITUTE(Audio!W102, "RE-", "", 1))*1</f>
        <v>0</v>
      </c>
      <c r="X102" s="92">
        <f>(SUBSTITUTE(Audio!X102, "RE-", "", 1))*1</f>
        <v>0</v>
      </c>
      <c r="Y102" s="92">
        <f>(SUBSTITUTE(Audio!Y102, "RE-", "", 1))*1</f>
        <v>0</v>
      </c>
      <c r="Z102" s="92">
        <f>(SUBSTITUTE(Audio!Z102, "RE-", "", 1))*1</f>
        <v>0</v>
      </c>
      <c r="AA102" s="92"/>
      <c r="AB102" s="92"/>
      <c r="AC102" s="92"/>
      <c r="AD102" s="92"/>
      <c r="AE102" s="92"/>
      <c r="AF102" s="92"/>
      <c r="AG102" s="92"/>
      <c r="AH102" s="92"/>
      <c r="AI102" s="92"/>
      <c r="AJ102" s="92"/>
      <c r="AK102" s="92"/>
      <c r="AL102" s="92"/>
      <c r="AM102" s="92"/>
      <c r="AN102" s="92"/>
      <c r="AO102" s="92"/>
      <c r="AP102" s="92"/>
      <c r="AQ102" s="92"/>
      <c r="AR102" s="92"/>
      <c r="AS102" s="92"/>
      <c r="AT102" s="92"/>
      <c r="AU102" s="92"/>
      <c r="AV102" s="92"/>
      <c r="AW102" s="92"/>
      <c r="AX102" s="92"/>
      <c r="AY102" s="92"/>
      <c r="AZ102" s="92"/>
      <c r="BA102" s="92"/>
      <c r="BB102" s="92"/>
      <c r="BC102" s="92"/>
      <c r="BD102" s="92"/>
      <c r="BE102" s="92"/>
      <c r="BF102" s="92"/>
      <c r="BG102" s="92"/>
      <c r="BH102" s="92"/>
      <c r="BI102" s="92"/>
      <c r="BJ102" s="92"/>
      <c r="BK102" s="92"/>
      <c r="BL102" s="92"/>
      <c r="BM102" s="92"/>
      <c r="BN102" s="92"/>
      <c r="BO102" s="92"/>
      <c r="BP102" s="92"/>
      <c r="BQ102" s="92"/>
      <c r="BR102" s="92"/>
      <c r="BS102" s="92"/>
      <c r="BT102" s="92"/>
      <c r="BU102" s="92"/>
      <c r="BV102" s="92"/>
      <c r="BW102" s="92"/>
      <c r="BX102" s="92"/>
      <c r="BY102" s="92"/>
      <c r="BZ102" s="92"/>
      <c r="CA102" s="92"/>
      <c r="CB102" s="92"/>
      <c r="CC102" s="92"/>
      <c r="CD102" s="92"/>
      <c r="CE102" s="92"/>
      <c r="CF102" s="92"/>
      <c r="CG102" s="92"/>
      <c r="CH102" s="92"/>
      <c r="CI102" s="92"/>
      <c r="CJ102" s="92"/>
      <c r="CK102" s="92"/>
      <c r="CL102" s="92"/>
      <c r="CM102" s="92"/>
      <c r="CN102" s="92"/>
      <c r="CO102" s="92"/>
      <c r="CP102" s="92"/>
      <c r="CQ102" s="92"/>
      <c r="CR102" s="92"/>
      <c r="CS102" s="92"/>
      <c r="CT102" s="92"/>
      <c r="CU102" s="92"/>
      <c r="CV102" s="92"/>
      <c r="CW102" s="92"/>
      <c r="CX102" s="92"/>
      <c r="CY102" s="92"/>
      <c r="CZ102" s="92"/>
      <c r="DA102" s="92"/>
      <c r="DB102" s="92"/>
      <c r="DC102" s="92"/>
      <c r="DD102" s="92"/>
      <c r="DE102" s="92"/>
      <c r="DF102" s="92"/>
      <c r="DG102" s="92"/>
      <c r="DH102" s="92"/>
      <c r="DI102" s="92"/>
      <c r="DJ102" s="92"/>
      <c r="DK102" s="92"/>
      <c r="DL102" s="92"/>
      <c r="DM102" s="92"/>
      <c r="DN102" s="92"/>
      <c r="DO102" s="92"/>
      <c r="DP102" s="92"/>
      <c r="DQ102" s="92"/>
      <c r="DR102" s="92"/>
      <c r="DS102" s="92"/>
      <c r="DT102" s="92"/>
      <c r="DU102" s="92"/>
      <c r="DV102" s="92"/>
      <c r="DW102" s="92"/>
      <c r="DX102" s="92"/>
      <c r="DY102" s="92"/>
      <c r="DZ102" s="92"/>
      <c r="EA102" s="92"/>
      <c r="EB102" s="92"/>
      <c r="EC102" s="92"/>
      <c r="ED102" s="92"/>
      <c r="EE102" s="92"/>
      <c r="EF102" s="92"/>
      <c r="EG102" s="92"/>
      <c r="EH102" s="92"/>
      <c r="EI102" s="92"/>
      <c r="EJ102" s="92"/>
      <c r="EK102" s="92"/>
      <c r="EL102" s="92"/>
      <c r="EM102" s="92"/>
      <c r="EN102" s="92"/>
      <c r="EO102" s="92"/>
      <c r="EP102" s="92"/>
      <c r="EQ102" s="92"/>
      <c r="ER102" s="92"/>
      <c r="ES102" s="92"/>
      <c r="ET102" s="92"/>
      <c r="EU102" s="92"/>
      <c r="EV102" s="92"/>
      <c r="EW102" s="92"/>
      <c r="EX102" s="92"/>
      <c r="EY102" s="92"/>
      <c r="EZ102" s="92"/>
      <c r="FA102" s="92"/>
      <c r="FB102" s="92"/>
      <c r="FC102" s="92"/>
      <c r="FD102" s="92"/>
      <c r="FE102" s="92"/>
      <c r="FF102" s="92"/>
      <c r="FG102" s="92"/>
      <c r="FH102" s="92"/>
    </row>
    <row r="103">
      <c r="A103" s="32" t="s">
        <v>28</v>
      </c>
      <c r="B103" s="32" t="s">
        <v>29</v>
      </c>
      <c r="C103" s="32" t="s">
        <v>12</v>
      </c>
      <c r="D103" s="97">
        <f t="shared" si="1"/>
        <v>5606.984867</v>
      </c>
      <c r="E103" s="92">
        <f>(SUBSTITUTE(Audio!E103, "RE-", "", 1))*1</f>
        <v>0</v>
      </c>
      <c r="F103" s="92">
        <f>(SUBSTITUTE(Audio!F103, "RE-", "", 1))*1</f>
        <v>964.5752458</v>
      </c>
      <c r="G103" s="92">
        <f>(SUBSTITUTE(Audio!G103, "RE-", "", 1))*1</f>
        <v>5.514954167</v>
      </c>
      <c r="H103" s="92">
        <f>(SUBSTITUTE(Audio!H103, "RE-", "", 1))*1</f>
        <v>171.9376812</v>
      </c>
      <c r="I103" s="92">
        <f>(SUBSTITUTE(Audio!I103, "RE-", "", 1))*1</f>
        <v>0.17995</v>
      </c>
      <c r="J103" s="92">
        <f>(SUBSTITUTE(Audio!J103, "RE-", "", 1))*1</f>
        <v>51.88960625</v>
      </c>
      <c r="K103" s="92">
        <f>(SUBSTITUTE(Audio!K103, "RE-", "", 1))*1</f>
        <v>0.6167875</v>
      </c>
      <c r="L103" s="92">
        <f>(SUBSTITUTE(Audio!L103, "RE-", "", 1))*1</f>
        <v>527.1870583</v>
      </c>
      <c r="M103" s="92">
        <f>(SUBSTITUTE(Audio!M103, "RE-", "", 1))*1</f>
        <v>2.588583333</v>
      </c>
      <c r="N103" s="92">
        <f>(SUBSTITUTE(Audio!N103, "RE-", "", 1))*1</f>
        <v>951.3817125</v>
      </c>
      <c r="O103" s="92">
        <f>(SUBSTITUTE(Audio!O103, "RE-", "", 1))*1</f>
        <v>6.455510417</v>
      </c>
      <c r="P103" s="92">
        <f>(SUBSTITUTE(Audio!P103, "RE-", "", 1))*1</f>
        <v>1276.053165</v>
      </c>
      <c r="Q103" s="92">
        <f>(SUBSTITUTE(Audio!Q103, "RE-", "", 1))*1</f>
        <v>39.5840125</v>
      </c>
      <c r="R103" s="92">
        <f>(SUBSTITUTE(Audio!R103, "RE-", "", 1))*1</f>
        <v>982.1614969</v>
      </c>
      <c r="S103" s="92">
        <f>(SUBSTITUTE(Audio!S103, "RE-", "", 1))*1</f>
        <v>60.92507813</v>
      </c>
      <c r="T103" s="92">
        <f>(SUBSTITUTE(Audio!T103, "RE-", "", 1))*1</f>
        <v>530.3856</v>
      </c>
      <c r="U103" s="92">
        <f>(SUBSTITUTE(Audio!U103, "RE-", "", 1))*1</f>
        <v>33.61487292</v>
      </c>
      <c r="V103" s="92">
        <f>(SUBSTITUTE(Audio!V103, "RE-", "", 1))*1</f>
        <v>1.933552083</v>
      </c>
      <c r="W103" s="92">
        <f>(SUBSTITUTE(Audio!W103, "RE-", "", 1))*1</f>
        <v>0</v>
      </c>
      <c r="X103" s="92">
        <f>(SUBSTITUTE(Audio!X103, "RE-", "", 1))*1</f>
        <v>0</v>
      </c>
      <c r="Y103" s="92">
        <f>(SUBSTITUTE(Audio!Y103, "RE-", "", 1))*1</f>
        <v>0</v>
      </c>
      <c r="Z103" s="92">
        <f>(SUBSTITUTE(Audio!Z103, "RE-", "", 1))*1</f>
        <v>0</v>
      </c>
      <c r="AA103" s="92"/>
      <c r="AB103" s="92"/>
      <c r="AC103" s="92"/>
      <c r="AD103" s="92"/>
      <c r="AE103" s="92"/>
      <c r="AF103" s="92"/>
      <c r="AG103" s="92"/>
      <c r="AH103" s="92"/>
      <c r="AI103" s="92"/>
      <c r="AJ103" s="92"/>
      <c r="AK103" s="92"/>
      <c r="AL103" s="92"/>
      <c r="AM103" s="92"/>
      <c r="AN103" s="92"/>
      <c r="AO103" s="92"/>
      <c r="AP103" s="92"/>
      <c r="AQ103" s="92"/>
      <c r="AR103" s="92"/>
      <c r="AS103" s="92"/>
      <c r="AT103" s="92"/>
      <c r="AU103" s="92"/>
      <c r="AV103" s="92"/>
      <c r="AW103" s="92"/>
      <c r="AX103" s="92"/>
      <c r="AY103" s="92"/>
      <c r="AZ103" s="92"/>
      <c r="BA103" s="92"/>
      <c r="BB103" s="92"/>
      <c r="BC103" s="92"/>
      <c r="BD103" s="92"/>
      <c r="BE103" s="92"/>
      <c r="BF103" s="92"/>
      <c r="BG103" s="92"/>
      <c r="BH103" s="92"/>
      <c r="BI103" s="92"/>
      <c r="BJ103" s="92"/>
      <c r="BK103" s="92"/>
      <c r="BL103" s="92"/>
      <c r="BM103" s="92"/>
      <c r="BN103" s="92"/>
      <c r="BO103" s="92"/>
      <c r="BP103" s="92"/>
      <c r="BQ103" s="92"/>
      <c r="BR103" s="92"/>
      <c r="BS103" s="92"/>
      <c r="BT103" s="92"/>
      <c r="BU103" s="92"/>
      <c r="BV103" s="92"/>
      <c r="BW103" s="92"/>
      <c r="BX103" s="92"/>
      <c r="BY103" s="92"/>
      <c r="BZ103" s="92"/>
      <c r="CA103" s="92"/>
      <c r="CB103" s="92"/>
      <c r="CC103" s="92"/>
      <c r="CD103" s="92"/>
      <c r="CE103" s="92"/>
      <c r="CF103" s="92"/>
      <c r="CG103" s="92"/>
      <c r="CH103" s="92"/>
      <c r="CI103" s="92"/>
      <c r="CJ103" s="92"/>
      <c r="CK103" s="92"/>
      <c r="CL103" s="92"/>
      <c r="CM103" s="92"/>
      <c r="CN103" s="92"/>
      <c r="CO103" s="92"/>
      <c r="CP103" s="92"/>
      <c r="CQ103" s="92"/>
      <c r="CR103" s="92"/>
      <c r="CS103" s="92"/>
      <c r="CT103" s="92"/>
      <c r="CU103" s="92"/>
      <c r="CV103" s="92"/>
      <c r="CW103" s="92"/>
      <c r="CX103" s="92"/>
      <c r="CY103" s="92"/>
      <c r="CZ103" s="92"/>
      <c r="DA103" s="92"/>
      <c r="DB103" s="92"/>
      <c r="DC103" s="92"/>
      <c r="DD103" s="92"/>
      <c r="DE103" s="92"/>
      <c r="DF103" s="92"/>
      <c r="DG103" s="92"/>
      <c r="DH103" s="92"/>
      <c r="DI103" s="92"/>
      <c r="DJ103" s="92"/>
      <c r="DK103" s="92"/>
      <c r="DL103" s="92"/>
      <c r="DM103" s="92"/>
      <c r="DN103" s="92"/>
      <c r="DO103" s="92"/>
      <c r="DP103" s="92"/>
      <c r="DQ103" s="92"/>
      <c r="DR103" s="92"/>
      <c r="DS103" s="92"/>
      <c r="DT103" s="92"/>
      <c r="DU103" s="92"/>
      <c r="DV103" s="92"/>
      <c r="DW103" s="92"/>
      <c r="DX103" s="92"/>
      <c r="DY103" s="92"/>
      <c r="DZ103" s="92"/>
      <c r="EA103" s="92"/>
      <c r="EB103" s="92"/>
      <c r="EC103" s="92"/>
      <c r="ED103" s="92"/>
      <c r="EE103" s="92"/>
      <c r="EF103" s="92"/>
      <c r="EG103" s="92"/>
      <c r="EH103" s="92"/>
      <c r="EI103" s="92"/>
      <c r="EJ103" s="92"/>
      <c r="EK103" s="92"/>
      <c r="EL103" s="92"/>
      <c r="EM103" s="92"/>
      <c r="EN103" s="92"/>
      <c r="EO103" s="92"/>
      <c r="EP103" s="92"/>
      <c r="EQ103" s="92"/>
      <c r="ER103" s="92"/>
      <c r="ES103" s="92"/>
      <c r="ET103" s="92"/>
      <c r="EU103" s="92"/>
      <c r="EV103" s="92"/>
      <c r="EW103" s="92"/>
      <c r="EX103" s="92"/>
      <c r="EY103" s="92"/>
      <c r="EZ103" s="92"/>
      <c r="FA103" s="92"/>
      <c r="FB103" s="92"/>
      <c r="FC103" s="92"/>
      <c r="FD103" s="92"/>
      <c r="FE103" s="92"/>
      <c r="FF103" s="92"/>
      <c r="FG103" s="92"/>
      <c r="FH103" s="92"/>
    </row>
    <row r="104">
      <c r="A104" s="32" t="s">
        <v>28</v>
      </c>
      <c r="B104" s="32" t="s">
        <v>29</v>
      </c>
      <c r="C104" s="32" t="s">
        <v>13</v>
      </c>
      <c r="D104" s="97">
        <f t="shared" si="1"/>
        <v>5336.43597</v>
      </c>
      <c r="E104" s="92">
        <f>(SUBSTITUTE(Audio!E104, "RE-", "", 1))*1</f>
        <v>0</v>
      </c>
      <c r="F104" s="92">
        <f>(SUBSTITUTE(Audio!F104, "RE-", "", 1))*1</f>
        <v>912.953</v>
      </c>
      <c r="G104" s="92">
        <f>(SUBSTITUTE(Audio!G104, "RE-", "", 1))*1</f>
        <v>5.11033</v>
      </c>
      <c r="H104" s="92">
        <f>(SUBSTITUTE(Audio!H104, "RE-", "", 1))*1</f>
        <v>163.328</v>
      </c>
      <c r="I104" s="92">
        <f>(SUBSTITUTE(Audio!I104, "RE-", "", 1))*1</f>
        <v>0.175917</v>
      </c>
      <c r="J104" s="92">
        <f>(SUBSTITUTE(Audio!J104, "RE-", "", 1))*1</f>
        <v>49.0784</v>
      </c>
      <c r="K104" s="92">
        <f>(SUBSTITUTE(Audio!K104, "RE-", "", 1))*1</f>
        <v>0.605983</v>
      </c>
      <c r="L104" s="92">
        <f>(SUBSTITUTE(Audio!L104, "RE-", "", 1))*1</f>
        <v>506.413</v>
      </c>
      <c r="M104" s="92">
        <f>(SUBSTITUTE(Audio!M104, "RE-", "", 1))*1</f>
        <v>2.44647</v>
      </c>
      <c r="N104" s="92">
        <f>(SUBSTITUTE(Audio!N104, "RE-", "", 1))*1</f>
        <v>913.418</v>
      </c>
      <c r="O104" s="92">
        <f>(SUBSTITUTE(Audio!O104, "RE-", "", 1))*1</f>
        <v>6.15305</v>
      </c>
      <c r="P104" s="92">
        <f>(SUBSTITUTE(Audio!P104, "RE-", "", 1))*1</f>
        <v>1208.36</v>
      </c>
      <c r="Q104" s="92">
        <f>(SUBSTITUTE(Audio!Q104, "RE-", "", 1))*1</f>
        <v>37.6085</v>
      </c>
      <c r="R104" s="92">
        <f>(SUBSTITUTE(Audio!R104, "RE-", "", 1))*1</f>
        <v>934.137</v>
      </c>
      <c r="S104" s="92">
        <f>(SUBSTITUTE(Audio!S104, "RE-", "", 1))*1</f>
        <v>57.1862</v>
      </c>
      <c r="T104" s="92">
        <f>(SUBSTITUTE(Audio!T104, "RE-", "", 1))*1</f>
        <v>506.128</v>
      </c>
      <c r="U104" s="92">
        <f>(SUBSTITUTE(Audio!U104, "RE-", "", 1))*1</f>
        <v>31.516</v>
      </c>
      <c r="V104" s="92">
        <f>(SUBSTITUTE(Audio!V104, "RE-", "", 1))*1</f>
        <v>1.81812</v>
      </c>
      <c r="W104" s="92">
        <f>(SUBSTITUTE(Audio!W104, "RE-", "", 1))*1</f>
        <v>0</v>
      </c>
      <c r="X104" s="92">
        <f>(SUBSTITUTE(Audio!X104, "RE-", "", 1))*1</f>
        <v>0</v>
      </c>
      <c r="Y104" s="92">
        <f>(SUBSTITUTE(Audio!Y104, "RE-", "", 1))*1</f>
        <v>0</v>
      </c>
      <c r="Z104" s="92">
        <f>(SUBSTITUTE(Audio!Z104, "RE-", "", 1))*1</f>
        <v>0</v>
      </c>
      <c r="AA104" s="92"/>
      <c r="AB104" s="92"/>
      <c r="AC104" s="92"/>
      <c r="AD104" s="92"/>
      <c r="AE104" s="92"/>
      <c r="AF104" s="92"/>
      <c r="AG104" s="92"/>
      <c r="AH104" s="92"/>
      <c r="AI104" s="92"/>
      <c r="AJ104" s="92"/>
      <c r="AK104" s="92"/>
      <c r="AL104" s="92"/>
      <c r="AM104" s="92"/>
      <c r="AN104" s="92"/>
      <c r="AO104" s="92"/>
      <c r="AP104" s="92"/>
      <c r="AQ104" s="92"/>
      <c r="AR104" s="92"/>
      <c r="AS104" s="92"/>
      <c r="AT104" s="92"/>
      <c r="AU104" s="92"/>
      <c r="AV104" s="92"/>
      <c r="AW104" s="92"/>
      <c r="AX104" s="92"/>
      <c r="AY104" s="92"/>
      <c r="AZ104" s="92"/>
      <c r="BA104" s="92"/>
      <c r="BB104" s="92"/>
      <c r="BC104" s="92"/>
      <c r="BD104" s="92"/>
      <c r="BE104" s="92"/>
      <c r="BF104" s="92"/>
      <c r="BG104" s="92"/>
      <c r="BH104" s="92"/>
      <c r="BI104" s="92"/>
      <c r="BJ104" s="92"/>
      <c r="BK104" s="92"/>
      <c r="BL104" s="92"/>
      <c r="BM104" s="92"/>
      <c r="BN104" s="92"/>
      <c r="BO104" s="92"/>
      <c r="BP104" s="92"/>
      <c r="BQ104" s="92"/>
      <c r="BR104" s="92"/>
      <c r="BS104" s="92"/>
      <c r="BT104" s="92"/>
      <c r="BU104" s="92"/>
      <c r="BV104" s="92"/>
      <c r="BW104" s="92"/>
      <c r="BX104" s="92"/>
      <c r="BY104" s="92"/>
      <c r="BZ104" s="92"/>
      <c r="CA104" s="92"/>
      <c r="CB104" s="92"/>
      <c r="CC104" s="92"/>
      <c r="CD104" s="92"/>
      <c r="CE104" s="92"/>
      <c r="CF104" s="92"/>
      <c r="CG104" s="92"/>
      <c r="CH104" s="92"/>
      <c r="CI104" s="92"/>
      <c r="CJ104" s="92"/>
      <c r="CK104" s="92"/>
      <c r="CL104" s="92"/>
      <c r="CM104" s="92"/>
      <c r="CN104" s="92"/>
      <c r="CO104" s="92"/>
      <c r="CP104" s="92"/>
      <c r="CQ104" s="92"/>
      <c r="CR104" s="92"/>
      <c r="CS104" s="92"/>
      <c r="CT104" s="92"/>
      <c r="CU104" s="92"/>
      <c r="CV104" s="92"/>
      <c r="CW104" s="92"/>
      <c r="CX104" s="92"/>
      <c r="CY104" s="92"/>
      <c r="CZ104" s="92"/>
      <c r="DA104" s="92"/>
      <c r="DB104" s="92"/>
      <c r="DC104" s="92"/>
      <c r="DD104" s="92"/>
      <c r="DE104" s="92"/>
      <c r="DF104" s="92"/>
      <c r="DG104" s="92"/>
      <c r="DH104" s="92"/>
      <c r="DI104" s="92"/>
      <c r="DJ104" s="92"/>
      <c r="DK104" s="92"/>
      <c r="DL104" s="92"/>
      <c r="DM104" s="92"/>
      <c r="DN104" s="92"/>
      <c r="DO104" s="92"/>
      <c r="DP104" s="92"/>
      <c r="DQ104" s="92"/>
      <c r="DR104" s="92"/>
      <c r="DS104" s="92"/>
      <c r="DT104" s="92"/>
      <c r="DU104" s="92"/>
      <c r="DV104" s="92"/>
      <c r="DW104" s="92"/>
      <c r="DX104" s="92"/>
      <c r="DY104" s="92"/>
      <c r="DZ104" s="92"/>
      <c r="EA104" s="92"/>
      <c r="EB104" s="92"/>
      <c r="EC104" s="92"/>
      <c r="ED104" s="92"/>
      <c r="EE104" s="92"/>
      <c r="EF104" s="92"/>
      <c r="EG104" s="92"/>
      <c r="EH104" s="92"/>
      <c r="EI104" s="92"/>
      <c r="EJ104" s="92"/>
      <c r="EK104" s="92"/>
      <c r="EL104" s="92"/>
      <c r="EM104" s="92"/>
      <c r="EN104" s="92"/>
      <c r="EO104" s="92"/>
      <c r="EP104" s="92"/>
      <c r="EQ104" s="92"/>
      <c r="ER104" s="92"/>
      <c r="ES104" s="92"/>
      <c r="ET104" s="92"/>
      <c r="EU104" s="92"/>
      <c r="EV104" s="92"/>
      <c r="EW104" s="92"/>
      <c r="EX104" s="92"/>
      <c r="EY104" s="92"/>
      <c r="EZ104" s="92"/>
      <c r="FA104" s="92"/>
      <c r="FB104" s="92"/>
      <c r="FC104" s="92"/>
      <c r="FD104" s="92"/>
      <c r="FE104" s="92"/>
      <c r="FF104" s="92"/>
      <c r="FG104" s="92"/>
      <c r="FH104" s="92"/>
    </row>
    <row r="105">
      <c r="A105" s="32" t="s">
        <v>28</v>
      </c>
      <c r="B105" s="32" t="s">
        <v>29</v>
      </c>
      <c r="C105" s="32" t="s">
        <v>14</v>
      </c>
      <c r="D105" s="97">
        <f t="shared" si="1"/>
        <v>4576.441053</v>
      </c>
      <c r="E105" s="92">
        <f>(SUBSTITUTE(Audio!E105, "RE-", "", 1))*1</f>
        <v>0</v>
      </c>
      <c r="F105" s="92">
        <f>(SUBSTITUTE(Audio!F105, "RE-", "", 1))*1</f>
        <v>811.472</v>
      </c>
      <c r="G105" s="92">
        <f>(SUBSTITUTE(Audio!G105, "RE-", "", 1))*1</f>
        <v>5.11033</v>
      </c>
      <c r="H105" s="92">
        <f>(SUBSTITUTE(Audio!H105, "RE-", "", 1))*1</f>
        <v>141.203</v>
      </c>
      <c r="I105" s="92">
        <f>(SUBSTITUTE(Audio!I105, "RE-", "", 1))*1</f>
        <v>0.175917</v>
      </c>
      <c r="J105" s="92">
        <f>(SUBSTITUTE(Audio!J105, "RE-", "", 1))*1</f>
        <v>46.4833</v>
      </c>
      <c r="K105" s="92">
        <f>(SUBSTITUTE(Audio!K105, "RE-", "", 1))*1</f>
        <v>0.605983</v>
      </c>
      <c r="L105" s="92">
        <f>(SUBSTITUTE(Audio!L105, "RE-", "", 1))*1</f>
        <v>428.413</v>
      </c>
      <c r="M105" s="92">
        <f>(SUBSTITUTE(Audio!M105, "RE-", "", 1))*1</f>
        <v>0.570283</v>
      </c>
      <c r="N105" s="92">
        <f>(SUBSTITUTE(Audio!N105, "RE-", "", 1))*1</f>
        <v>764.062</v>
      </c>
      <c r="O105" s="92">
        <f>(SUBSTITUTE(Audio!O105, "RE-", "", 1))*1</f>
        <v>5.23462</v>
      </c>
      <c r="P105" s="92">
        <f>(SUBSTITUTE(Audio!P105, "RE-", "", 1))*1</f>
        <v>1038.36</v>
      </c>
      <c r="Q105" s="92">
        <f>(SUBSTITUTE(Audio!Q105, "RE-", "", 1))*1</f>
        <v>35.2339</v>
      </c>
      <c r="R105" s="92">
        <f>(SUBSTITUTE(Audio!R105, "RE-", "", 1))*1</f>
        <v>792.182</v>
      </c>
      <c r="S105" s="92">
        <f>(SUBSTITUTE(Audio!S105, "RE-", "", 1))*1</f>
        <v>52.7644</v>
      </c>
      <c r="T105" s="92">
        <f>(SUBSTITUTE(Audio!T105, "RE-", "", 1))*1</f>
        <v>425.814</v>
      </c>
      <c r="U105" s="92">
        <f>(SUBSTITUTE(Audio!U105, "RE-", "", 1))*1</f>
        <v>26.9382</v>
      </c>
      <c r="V105" s="92">
        <f>(SUBSTITUTE(Audio!V105, "RE-", "", 1))*1</f>
        <v>1.81812</v>
      </c>
      <c r="W105" s="92">
        <f>(SUBSTITUTE(Audio!W105, "RE-", "", 1))*1</f>
        <v>0</v>
      </c>
      <c r="X105" s="92">
        <f>(SUBSTITUTE(Audio!X105, "RE-", "", 1))*1</f>
        <v>0</v>
      </c>
      <c r="Y105" s="92">
        <f>(SUBSTITUTE(Audio!Y105, "RE-", "", 1))*1</f>
        <v>0</v>
      </c>
      <c r="Z105" s="92">
        <f>(SUBSTITUTE(Audio!Z105, "RE-", "", 1))*1</f>
        <v>0</v>
      </c>
      <c r="AA105" s="92"/>
      <c r="AB105" s="92"/>
      <c r="AC105" s="92"/>
      <c r="AD105" s="92"/>
      <c r="AE105" s="92"/>
      <c r="AF105" s="92"/>
      <c r="AG105" s="92"/>
      <c r="AH105" s="92"/>
      <c r="AI105" s="92"/>
      <c r="AJ105" s="92"/>
      <c r="AK105" s="92"/>
      <c r="AL105" s="92"/>
      <c r="AM105" s="92"/>
      <c r="AN105" s="92"/>
      <c r="AO105" s="92"/>
      <c r="AP105" s="92"/>
      <c r="AQ105" s="92"/>
      <c r="AR105" s="92"/>
      <c r="AS105" s="92"/>
      <c r="AT105" s="92"/>
      <c r="AU105" s="92"/>
      <c r="AV105" s="92"/>
      <c r="AW105" s="92"/>
      <c r="AX105" s="92"/>
      <c r="AY105" s="92"/>
      <c r="AZ105" s="92"/>
      <c r="BA105" s="92"/>
      <c r="BB105" s="92"/>
      <c r="BC105" s="92"/>
      <c r="BD105" s="92"/>
      <c r="BE105" s="92"/>
      <c r="BF105" s="92"/>
      <c r="BG105" s="92"/>
      <c r="BH105" s="92"/>
      <c r="BI105" s="92"/>
      <c r="BJ105" s="92"/>
      <c r="BK105" s="92"/>
      <c r="BL105" s="92"/>
      <c r="BM105" s="92"/>
      <c r="BN105" s="92"/>
      <c r="BO105" s="92"/>
      <c r="BP105" s="92"/>
      <c r="BQ105" s="92"/>
      <c r="BR105" s="92"/>
      <c r="BS105" s="92"/>
      <c r="BT105" s="92"/>
      <c r="BU105" s="92"/>
      <c r="BV105" s="92"/>
      <c r="BW105" s="92"/>
      <c r="BX105" s="92"/>
      <c r="BY105" s="92"/>
      <c r="BZ105" s="92"/>
      <c r="CA105" s="92"/>
      <c r="CB105" s="92"/>
      <c r="CC105" s="92"/>
      <c r="CD105" s="92"/>
      <c r="CE105" s="92"/>
      <c r="CF105" s="92"/>
      <c r="CG105" s="92"/>
      <c r="CH105" s="92"/>
      <c r="CI105" s="92"/>
      <c r="CJ105" s="92"/>
      <c r="CK105" s="92"/>
      <c r="CL105" s="92"/>
      <c r="CM105" s="92"/>
      <c r="CN105" s="92"/>
      <c r="CO105" s="92"/>
      <c r="CP105" s="92"/>
      <c r="CQ105" s="92"/>
      <c r="CR105" s="92"/>
      <c r="CS105" s="92"/>
      <c r="CT105" s="92"/>
      <c r="CU105" s="92"/>
      <c r="CV105" s="92"/>
      <c r="CW105" s="92"/>
      <c r="CX105" s="92"/>
      <c r="CY105" s="92"/>
      <c r="CZ105" s="92"/>
      <c r="DA105" s="92"/>
      <c r="DB105" s="92"/>
      <c r="DC105" s="92"/>
      <c r="DD105" s="92"/>
      <c r="DE105" s="92"/>
      <c r="DF105" s="92"/>
      <c r="DG105" s="92"/>
      <c r="DH105" s="92"/>
      <c r="DI105" s="92"/>
      <c r="DJ105" s="92"/>
      <c r="DK105" s="92"/>
      <c r="DL105" s="92"/>
      <c r="DM105" s="92"/>
      <c r="DN105" s="92"/>
      <c r="DO105" s="92"/>
      <c r="DP105" s="92"/>
      <c r="DQ105" s="92"/>
      <c r="DR105" s="92"/>
      <c r="DS105" s="92"/>
      <c r="DT105" s="92"/>
      <c r="DU105" s="92"/>
      <c r="DV105" s="92"/>
      <c r="DW105" s="92"/>
      <c r="DX105" s="92"/>
      <c r="DY105" s="92"/>
      <c r="DZ105" s="92"/>
      <c r="EA105" s="92"/>
      <c r="EB105" s="92"/>
      <c r="EC105" s="92"/>
      <c r="ED105" s="92"/>
      <c r="EE105" s="92"/>
      <c r="EF105" s="92"/>
      <c r="EG105" s="92"/>
      <c r="EH105" s="92"/>
      <c r="EI105" s="92"/>
      <c r="EJ105" s="92"/>
      <c r="EK105" s="92"/>
      <c r="EL105" s="92"/>
      <c r="EM105" s="92"/>
      <c r="EN105" s="92"/>
      <c r="EO105" s="92"/>
      <c r="EP105" s="92"/>
      <c r="EQ105" s="92"/>
      <c r="ER105" s="92"/>
      <c r="ES105" s="92"/>
      <c r="ET105" s="92"/>
      <c r="EU105" s="92"/>
      <c r="EV105" s="92"/>
      <c r="EW105" s="92"/>
      <c r="EX105" s="92"/>
      <c r="EY105" s="92"/>
      <c r="EZ105" s="92"/>
      <c r="FA105" s="92"/>
      <c r="FB105" s="92"/>
      <c r="FC105" s="92"/>
      <c r="FD105" s="92"/>
      <c r="FE105" s="92"/>
      <c r="FF105" s="92"/>
      <c r="FG105" s="92"/>
      <c r="FH105" s="92"/>
    </row>
    <row r="106">
      <c r="A106" s="27" t="s">
        <v>28</v>
      </c>
      <c r="B106" s="27" t="s">
        <v>29</v>
      </c>
      <c r="C106" s="27" t="s">
        <v>15</v>
      </c>
      <c r="D106" s="98">
        <f t="shared" si="1"/>
        <v>5336.43597</v>
      </c>
      <c r="E106" s="92">
        <f>(SUBSTITUTE(Audio!E106, "RE-", "", 1))*1</f>
        <v>0</v>
      </c>
      <c r="F106" s="92">
        <f>(SUBSTITUTE(Audio!F106, "RE-", "", 1))*1</f>
        <v>912.953</v>
      </c>
      <c r="G106" s="92">
        <f>(SUBSTITUTE(Audio!G106, "RE-", "", 1))*1</f>
        <v>5.11033</v>
      </c>
      <c r="H106" s="92">
        <f>(SUBSTITUTE(Audio!H106, "RE-", "", 1))*1</f>
        <v>163.328</v>
      </c>
      <c r="I106" s="92">
        <f>(SUBSTITUTE(Audio!I106, "RE-", "", 1))*1</f>
        <v>0.175917</v>
      </c>
      <c r="J106" s="92">
        <f>(SUBSTITUTE(Audio!J106, "RE-", "", 1))*1</f>
        <v>49.0784</v>
      </c>
      <c r="K106" s="92">
        <f>(SUBSTITUTE(Audio!K106, "RE-", "", 1))*1</f>
        <v>0.605983</v>
      </c>
      <c r="L106" s="92">
        <f>(SUBSTITUTE(Audio!L106, "RE-", "", 1))*1</f>
        <v>506.413</v>
      </c>
      <c r="M106" s="92">
        <f>(SUBSTITUTE(Audio!M106, "RE-", "", 1))*1</f>
        <v>2.44647</v>
      </c>
      <c r="N106" s="92">
        <f>(SUBSTITUTE(Audio!N106, "RE-", "", 1))*1</f>
        <v>913.418</v>
      </c>
      <c r="O106" s="92">
        <f>(SUBSTITUTE(Audio!O106, "RE-", "", 1))*1</f>
        <v>6.15305</v>
      </c>
      <c r="P106" s="92">
        <f>(SUBSTITUTE(Audio!P106, "RE-", "", 1))*1</f>
        <v>1208.36</v>
      </c>
      <c r="Q106" s="92">
        <f>(SUBSTITUTE(Audio!Q106, "RE-", "", 1))*1</f>
        <v>37.6085</v>
      </c>
      <c r="R106" s="92">
        <f>(SUBSTITUTE(Audio!R106, "RE-", "", 1))*1</f>
        <v>934.137</v>
      </c>
      <c r="S106" s="92">
        <f>(SUBSTITUTE(Audio!S106, "RE-", "", 1))*1</f>
        <v>57.1862</v>
      </c>
      <c r="T106" s="92">
        <f>(SUBSTITUTE(Audio!T106, "RE-", "", 1))*1</f>
        <v>506.128</v>
      </c>
      <c r="U106" s="92">
        <f>(SUBSTITUTE(Audio!U106, "RE-", "", 1))*1</f>
        <v>31.516</v>
      </c>
      <c r="V106" s="92">
        <f>(SUBSTITUTE(Audio!V106, "RE-", "", 1))*1</f>
        <v>1.81812</v>
      </c>
      <c r="W106" s="92">
        <f>(SUBSTITUTE(Audio!W106, "RE-", "", 1))*1</f>
        <v>0</v>
      </c>
      <c r="X106" s="92">
        <f>(SUBSTITUTE(Audio!X106, "RE-", "", 1))*1</f>
        <v>0</v>
      </c>
      <c r="Y106" s="92">
        <f>(SUBSTITUTE(Audio!Y106, "RE-", "", 1))*1</f>
        <v>0</v>
      </c>
      <c r="Z106" s="92">
        <f>(SUBSTITUTE(Audio!Z106, "RE-", "", 1))*1</f>
        <v>0</v>
      </c>
      <c r="AA106" s="92"/>
      <c r="AB106" s="92"/>
      <c r="AC106" s="92"/>
      <c r="AD106" s="92"/>
      <c r="AE106" s="92"/>
      <c r="AF106" s="92"/>
      <c r="AG106" s="92"/>
      <c r="AH106" s="92"/>
      <c r="AI106" s="92"/>
      <c r="AJ106" s="92"/>
      <c r="AK106" s="92"/>
      <c r="AL106" s="92"/>
      <c r="AM106" s="92"/>
      <c r="AN106" s="92"/>
      <c r="AO106" s="92"/>
      <c r="AP106" s="92"/>
      <c r="AQ106" s="92"/>
      <c r="AR106" s="92"/>
      <c r="AS106" s="92"/>
      <c r="AT106" s="92"/>
      <c r="AU106" s="92"/>
      <c r="AV106" s="92"/>
      <c r="AW106" s="92"/>
      <c r="AX106" s="92"/>
      <c r="AY106" s="92"/>
      <c r="AZ106" s="92"/>
      <c r="BA106" s="92"/>
      <c r="BB106" s="92"/>
      <c r="BC106" s="92"/>
      <c r="BD106" s="92"/>
      <c r="BE106" s="92"/>
      <c r="BF106" s="92"/>
      <c r="BG106" s="92"/>
      <c r="BH106" s="92"/>
      <c r="BI106" s="92"/>
      <c r="BJ106" s="92"/>
      <c r="BK106" s="92"/>
      <c r="BL106" s="92"/>
      <c r="BM106" s="92"/>
      <c r="BN106" s="92"/>
      <c r="BO106" s="92"/>
      <c r="BP106" s="92"/>
      <c r="BQ106" s="92"/>
      <c r="BR106" s="92"/>
      <c r="BS106" s="92"/>
      <c r="BT106" s="92"/>
      <c r="BU106" s="92"/>
      <c r="BV106" s="92"/>
      <c r="BW106" s="92"/>
      <c r="BX106" s="92"/>
      <c r="BY106" s="92"/>
      <c r="BZ106" s="92"/>
      <c r="CA106" s="92"/>
      <c r="CB106" s="92"/>
      <c r="CC106" s="92"/>
      <c r="CD106" s="92"/>
      <c r="CE106" s="92"/>
      <c r="CF106" s="92"/>
      <c r="CG106" s="92"/>
      <c r="CH106" s="92"/>
      <c r="CI106" s="92"/>
      <c r="CJ106" s="92"/>
      <c r="CK106" s="92"/>
      <c r="CL106" s="92"/>
      <c r="CM106" s="92"/>
      <c r="CN106" s="92"/>
      <c r="CO106" s="92"/>
      <c r="CP106" s="92"/>
      <c r="CQ106" s="92"/>
      <c r="CR106" s="92"/>
      <c r="CS106" s="92"/>
      <c r="CT106" s="92"/>
      <c r="CU106" s="92"/>
      <c r="CV106" s="92"/>
      <c r="CW106" s="92"/>
      <c r="CX106" s="92"/>
      <c r="CY106" s="92"/>
      <c r="CZ106" s="92"/>
      <c r="DA106" s="92"/>
      <c r="DB106" s="92"/>
      <c r="DC106" s="92"/>
      <c r="DD106" s="92"/>
      <c r="DE106" s="92"/>
      <c r="DF106" s="92"/>
      <c r="DG106" s="92"/>
      <c r="DH106" s="92"/>
      <c r="DI106" s="92"/>
      <c r="DJ106" s="92"/>
      <c r="DK106" s="92"/>
      <c r="DL106" s="92"/>
      <c r="DM106" s="92"/>
      <c r="DN106" s="92"/>
      <c r="DO106" s="92"/>
      <c r="DP106" s="92"/>
      <c r="DQ106" s="92"/>
      <c r="DR106" s="92"/>
      <c r="DS106" s="92"/>
      <c r="DT106" s="92"/>
      <c r="DU106" s="92"/>
      <c r="DV106" s="92"/>
      <c r="DW106" s="92"/>
      <c r="DX106" s="92"/>
      <c r="DY106" s="92"/>
      <c r="DZ106" s="92"/>
      <c r="EA106" s="92"/>
      <c r="EB106" s="92"/>
      <c r="EC106" s="92"/>
      <c r="ED106" s="92"/>
      <c r="EE106" s="92"/>
      <c r="EF106" s="92"/>
      <c r="EG106" s="92"/>
      <c r="EH106" s="92"/>
      <c r="EI106" s="92"/>
      <c r="EJ106" s="92"/>
      <c r="EK106" s="92"/>
      <c r="EL106" s="92"/>
      <c r="EM106" s="92"/>
      <c r="EN106" s="92"/>
      <c r="EO106" s="92"/>
      <c r="EP106" s="92"/>
      <c r="EQ106" s="92"/>
      <c r="ER106" s="92"/>
      <c r="ES106" s="92"/>
      <c r="ET106" s="92"/>
      <c r="EU106" s="92"/>
      <c r="EV106" s="92"/>
      <c r="EW106" s="92"/>
      <c r="EX106" s="92"/>
      <c r="EY106" s="92"/>
      <c r="EZ106" s="92"/>
      <c r="FA106" s="92"/>
      <c r="FB106" s="92"/>
      <c r="FC106" s="92"/>
      <c r="FD106" s="92"/>
      <c r="FE106" s="92"/>
      <c r="FF106" s="92"/>
      <c r="FG106" s="92"/>
      <c r="FH106" s="92"/>
    </row>
    <row r="107">
      <c r="A107" s="30" t="s">
        <v>7</v>
      </c>
      <c r="B107" s="30" t="s">
        <v>30</v>
      </c>
      <c r="C107" s="31" t="str">
        <f>HYPERLINK("https://docs.google.com/spreadsheets/d/10GSUpPftmVBgpLHQ1RMJ6iTHzKUrdf-p/edit?usp=share_link&amp;ouid=106501987799020758802&amp;rtpof=true&amp;sd=true", "Raw Delivered")</f>
        <v>Raw Delivered</v>
      </c>
      <c r="D107" s="96">
        <f t="shared" si="1"/>
        <v>6225.962847</v>
      </c>
      <c r="E107" s="92">
        <f>(SUBSTITUTE(Audio!E107, "RE-", "", 1))*1</f>
        <v>0</v>
      </c>
      <c r="F107" s="92">
        <f>(SUBSTITUTE(Audio!F107, "RE-", "", 1))*1</f>
        <v>2731.432303</v>
      </c>
      <c r="G107" s="92">
        <f>(SUBSTITUTE(Audio!G107, "RE-", "", 1))*1</f>
        <v>0</v>
      </c>
      <c r="H107" s="92">
        <f>(SUBSTITUTE(Audio!H107, "RE-", "", 1))*1</f>
        <v>92.28747083</v>
      </c>
      <c r="I107" s="92">
        <f>(SUBSTITUTE(Audio!I107, "RE-", "", 1))*1</f>
        <v>0</v>
      </c>
      <c r="J107" s="92">
        <f>(SUBSTITUTE(Audio!J107, "RE-", "", 1))*1</f>
        <v>1381.34021</v>
      </c>
      <c r="K107" s="92">
        <f>(SUBSTITUTE(Audio!K107, "RE-", "", 1))*1</f>
        <v>0</v>
      </c>
      <c r="L107" s="92">
        <f>(SUBSTITUTE(Audio!L107, "RE-", "", 1))*1</f>
        <v>362.1990875</v>
      </c>
      <c r="M107" s="92">
        <f>(SUBSTITUTE(Audio!M107, "RE-", "", 1))*1</f>
        <v>0</v>
      </c>
      <c r="N107" s="92">
        <f>(SUBSTITUTE(Audio!N107, "RE-", "", 1))*1</f>
        <v>974.7125552</v>
      </c>
      <c r="O107" s="92">
        <f>(SUBSTITUTE(Audio!O107, "RE-", "", 1))*1</f>
        <v>0</v>
      </c>
      <c r="P107" s="92">
        <f>(SUBSTITUTE(Audio!P107, "RE-", "", 1))*1</f>
        <v>325.918949</v>
      </c>
      <c r="Q107" s="92">
        <f>(SUBSTITUTE(Audio!Q107, "RE-", "", 1))*1</f>
        <v>0</v>
      </c>
      <c r="R107" s="92">
        <f>(SUBSTITUTE(Audio!R107, "RE-", "", 1))*1</f>
        <v>81.5613875</v>
      </c>
      <c r="S107" s="92">
        <f>(SUBSTITUTE(Audio!S107, "RE-", "", 1))*1</f>
        <v>0</v>
      </c>
      <c r="T107" s="92">
        <f>(SUBSTITUTE(Audio!T107, "RE-", "", 1))*1</f>
        <v>276.5108844</v>
      </c>
      <c r="U107" s="92">
        <f>(SUBSTITUTE(Audio!U107, "RE-", "", 1))*1</f>
        <v>0</v>
      </c>
      <c r="V107" s="92">
        <f>(SUBSTITUTE(Audio!V107, "RE-", "", 1))*1</f>
        <v>0</v>
      </c>
      <c r="W107" s="92">
        <f>(SUBSTITUTE(Audio!W107, "RE-", "", 1))*1</f>
        <v>0</v>
      </c>
      <c r="X107" s="92">
        <f>(SUBSTITUTE(Audio!X107, "RE-", "", 1))*1</f>
        <v>0</v>
      </c>
      <c r="Y107" s="92">
        <f>(SUBSTITUTE(Audio!Y107, "RE-", "", 1))*1</f>
        <v>0</v>
      </c>
      <c r="Z107" s="92">
        <f>(SUBSTITUTE(Audio!Z107, "RE-", "", 1))*1</f>
        <v>0</v>
      </c>
      <c r="AA107" s="92"/>
      <c r="AB107" s="92"/>
      <c r="AC107" s="92"/>
      <c r="AD107" s="92"/>
      <c r="AE107" s="92"/>
      <c r="AF107" s="92"/>
      <c r="AG107" s="92"/>
      <c r="AH107" s="92"/>
      <c r="AI107" s="92"/>
      <c r="AJ107" s="92"/>
      <c r="AK107" s="92"/>
      <c r="AL107" s="92"/>
      <c r="AM107" s="92"/>
      <c r="AN107" s="92"/>
      <c r="AO107" s="92"/>
      <c r="AP107" s="92"/>
      <c r="AQ107" s="92"/>
      <c r="AR107" s="92"/>
      <c r="AS107" s="92"/>
      <c r="AT107" s="92"/>
      <c r="AU107" s="92"/>
      <c r="AV107" s="92"/>
      <c r="AW107" s="92"/>
      <c r="AX107" s="92"/>
      <c r="AY107" s="92"/>
      <c r="AZ107" s="92"/>
      <c r="BA107" s="92"/>
      <c r="BB107" s="92"/>
      <c r="BC107" s="92"/>
      <c r="BD107" s="92"/>
      <c r="BE107" s="92"/>
      <c r="BF107" s="92"/>
      <c r="BG107" s="92"/>
      <c r="BH107" s="92"/>
      <c r="BI107" s="92"/>
      <c r="BJ107" s="92"/>
      <c r="BK107" s="92"/>
      <c r="BL107" s="92"/>
      <c r="BM107" s="92"/>
      <c r="BN107" s="92"/>
      <c r="BO107" s="92"/>
      <c r="BP107" s="92"/>
      <c r="BQ107" s="92"/>
      <c r="BR107" s="92"/>
      <c r="BS107" s="92"/>
      <c r="BT107" s="92"/>
      <c r="BU107" s="92"/>
      <c r="BV107" s="92"/>
      <c r="BW107" s="92"/>
      <c r="BX107" s="92"/>
      <c r="BY107" s="92"/>
      <c r="BZ107" s="92"/>
      <c r="CA107" s="92"/>
      <c r="CB107" s="92"/>
      <c r="CC107" s="92"/>
      <c r="CD107" s="92"/>
      <c r="CE107" s="92"/>
      <c r="CF107" s="92"/>
      <c r="CG107" s="92"/>
      <c r="CH107" s="92"/>
      <c r="CI107" s="92"/>
      <c r="CJ107" s="92"/>
      <c r="CK107" s="92"/>
      <c r="CL107" s="92"/>
      <c r="CM107" s="92"/>
      <c r="CN107" s="92"/>
      <c r="CO107" s="92"/>
      <c r="CP107" s="92"/>
      <c r="CQ107" s="92"/>
      <c r="CR107" s="92"/>
      <c r="CS107" s="92"/>
      <c r="CT107" s="92"/>
      <c r="CU107" s="92"/>
      <c r="CV107" s="92"/>
      <c r="CW107" s="92"/>
      <c r="CX107" s="92"/>
      <c r="CY107" s="92"/>
      <c r="CZ107" s="92"/>
      <c r="DA107" s="92"/>
      <c r="DB107" s="92"/>
      <c r="DC107" s="92"/>
      <c r="DD107" s="92"/>
      <c r="DE107" s="92"/>
      <c r="DF107" s="92"/>
      <c r="DG107" s="92"/>
      <c r="DH107" s="92"/>
      <c r="DI107" s="92"/>
      <c r="DJ107" s="92"/>
      <c r="DK107" s="92"/>
      <c r="DL107" s="92"/>
      <c r="DM107" s="92"/>
      <c r="DN107" s="92"/>
      <c r="DO107" s="92"/>
      <c r="DP107" s="92"/>
      <c r="DQ107" s="92"/>
      <c r="DR107" s="92"/>
      <c r="DS107" s="92"/>
      <c r="DT107" s="92"/>
      <c r="DU107" s="92"/>
      <c r="DV107" s="92"/>
      <c r="DW107" s="92"/>
      <c r="DX107" s="92"/>
      <c r="DY107" s="92"/>
      <c r="DZ107" s="92"/>
      <c r="EA107" s="92"/>
      <c r="EB107" s="92"/>
      <c r="EC107" s="92"/>
      <c r="ED107" s="92"/>
      <c r="EE107" s="92"/>
      <c r="EF107" s="92"/>
      <c r="EG107" s="92"/>
      <c r="EH107" s="92"/>
      <c r="EI107" s="92"/>
      <c r="EJ107" s="92"/>
      <c r="EK107" s="92"/>
      <c r="EL107" s="92"/>
      <c r="EM107" s="92"/>
      <c r="EN107" s="92"/>
      <c r="EO107" s="92"/>
      <c r="EP107" s="92"/>
      <c r="EQ107" s="92"/>
      <c r="ER107" s="92"/>
      <c r="ES107" s="92"/>
      <c r="ET107" s="92"/>
      <c r="EU107" s="92"/>
      <c r="EV107" s="92"/>
      <c r="EW107" s="92"/>
      <c r="EX107" s="92"/>
      <c r="EY107" s="92"/>
      <c r="EZ107" s="92"/>
      <c r="FA107" s="92"/>
      <c r="FB107" s="92"/>
      <c r="FC107" s="92"/>
      <c r="FD107" s="92"/>
      <c r="FE107" s="92"/>
      <c r="FF107" s="92"/>
      <c r="FG107" s="92"/>
      <c r="FH107" s="92"/>
    </row>
    <row r="108">
      <c r="A108" s="32" t="s">
        <v>7</v>
      </c>
      <c r="B108" s="32" t="s">
        <v>30</v>
      </c>
      <c r="C108" s="32" t="s">
        <v>9</v>
      </c>
      <c r="D108" s="97">
        <f t="shared" si="1"/>
        <v>6225.962848</v>
      </c>
      <c r="E108" s="92">
        <f>(SUBSTITUTE(Audio!E108, "RE-", "", 1))*1</f>
        <v>0</v>
      </c>
      <c r="F108" s="92">
        <f>(SUBSTITUTE(Audio!F108, "RE-", "", 1))*1</f>
        <v>2731.432303</v>
      </c>
      <c r="G108" s="92">
        <f>(SUBSTITUTE(Audio!G108, "RE-", "", 1))*1</f>
        <v>0</v>
      </c>
      <c r="H108" s="92">
        <f>(SUBSTITUTE(Audio!H108, "RE-", "", 1))*1</f>
        <v>92.28747083</v>
      </c>
      <c r="I108" s="92">
        <f>(SUBSTITUTE(Audio!I108, "RE-", "", 1))*1</f>
        <v>0</v>
      </c>
      <c r="J108" s="92">
        <f>(SUBSTITUTE(Audio!J108, "RE-", "", 1))*1</f>
        <v>1381.34021</v>
      </c>
      <c r="K108" s="92">
        <f>(SUBSTITUTE(Audio!K108, "RE-", "", 1))*1</f>
        <v>0</v>
      </c>
      <c r="L108" s="92">
        <f>(SUBSTITUTE(Audio!L108, "RE-", "", 1))*1</f>
        <v>362.1990875</v>
      </c>
      <c r="M108" s="92">
        <f>(SUBSTITUTE(Audio!M108, "RE-", "", 1))*1</f>
        <v>0</v>
      </c>
      <c r="N108" s="92">
        <f>(SUBSTITUTE(Audio!N108, "RE-", "", 1))*1</f>
        <v>974.7125552</v>
      </c>
      <c r="O108" s="92">
        <f>(SUBSTITUTE(Audio!O108, "RE-", "", 1))*1</f>
        <v>0</v>
      </c>
      <c r="P108" s="92">
        <f>(SUBSTITUTE(Audio!P108, "RE-", "", 1))*1</f>
        <v>325.918949</v>
      </c>
      <c r="Q108" s="92">
        <f>(SUBSTITUTE(Audio!Q108, "RE-", "", 1))*1</f>
        <v>0</v>
      </c>
      <c r="R108" s="92">
        <f>(SUBSTITUTE(Audio!R108, "RE-", "", 1))*1</f>
        <v>81.5613875</v>
      </c>
      <c r="S108" s="92">
        <f>(SUBSTITUTE(Audio!S108, "RE-", "", 1))*1</f>
        <v>0</v>
      </c>
      <c r="T108" s="92">
        <f>(SUBSTITUTE(Audio!T108, "RE-", "", 1))*1</f>
        <v>276.5108844</v>
      </c>
      <c r="U108" s="92">
        <f>(SUBSTITUTE(Audio!U108, "RE-", "", 1))*1</f>
        <v>0</v>
      </c>
      <c r="V108" s="92">
        <f>(SUBSTITUTE(Audio!V108, "RE-", "", 1))*1</f>
        <v>0</v>
      </c>
      <c r="W108" s="92">
        <f>(SUBSTITUTE(Audio!W108, "RE-", "", 1))*1</f>
        <v>0</v>
      </c>
      <c r="X108" s="92">
        <f>(SUBSTITUTE(Audio!X108, "RE-", "", 1))*1</f>
        <v>0</v>
      </c>
      <c r="Y108" s="92">
        <f>(SUBSTITUTE(Audio!Y108, "RE-", "", 1))*1</f>
        <v>0</v>
      </c>
      <c r="Z108" s="92">
        <f>(SUBSTITUTE(Audio!Z108, "RE-", "", 1))*1</f>
        <v>0</v>
      </c>
      <c r="AA108" s="92"/>
      <c r="AB108" s="92"/>
      <c r="AC108" s="92"/>
      <c r="AD108" s="92"/>
      <c r="AE108" s="92"/>
      <c r="AF108" s="92"/>
      <c r="AG108" s="92"/>
      <c r="AH108" s="92"/>
      <c r="AI108" s="92"/>
      <c r="AJ108" s="92"/>
      <c r="AK108" s="92"/>
      <c r="AL108" s="92"/>
      <c r="AM108" s="92"/>
      <c r="AN108" s="92"/>
      <c r="AO108" s="92"/>
      <c r="AP108" s="92"/>
      <c r="AQ108" s="92"/>
      <c r="AR108" s="92"/>
      <c r="AS108" s="92"/>
      <c r="AT108" s="92"/>
      <c r="AU108" s="92"/>
      <c r="AV108" s="92"/>
      <c r="AW108" s="92"/>
      <c r="AX108" s="92"/>
      <c r="AY108" s="92"/>
      <c r="AZ108" s="92"/>
      <c r="BA108" s="92"/>
      <c r="BB108" s="92"/>
      <c r="BC108" s="92"/>
      <c r="BD108" s="92"/>
      <c r="BE108" s="92"/>
      <c r="BF108" s="92"/>
      <c r="BG108" s="92"/>
      <c r="BH108" s="92"/>
      <c r="BI108" s="92"/>
      <c r="BJ108" s="92"/>
      <c r="BK108" s="92"/>
      <c r="BL108" s="92"/>
      <c r="BM108" s="92"/>
      <c r="BN108" s="92"/>
      <c r="BO108" s="92"/>
      <c r="BP108" s="92"/>
      <c r="BQ108" s="92"/>
      <c r="BR108" s="92"/>
      <c r="BS108" s="92"/>
      <c r="BT108" s="92"/>
      <c r="BU108" s="92"/>
      <c r="BV108" s="92"/>
      <c r="BW108" s="92"/>
      <c r="BX108" s="92"/>
      <c r="BY108" s="92"/>
      <c r="BZ108" s="92"/>
      <c r="CA108" s="92"/>
      <c r="CB108" s="92"/>
      <c r="CC108" s="92"/>
      <c r="CD108" s="92"/>
      <c r="CE108" s="92"/>
      <c r="CF108" s="92"/>
      <c r="CG108" s="92"/>
      <c r="CH108" s="92"/>
      <c r="CI108" s="92"/>
      <c r="CJ108" s="92"/>
      <c r="CK108" s="92"/>
      <c r="CL108" s="92"/>
      <c r="CM108" s="92"/>
      <c r="CN108" s="92"/>
      <c r="CO108" s="92"/>
      <c r="CP108" s="92"/>
      <c r="CQ108" s="92"/>
      <c r="CR108" s="92"/>
      <c r="CS108" s="92"/>
      <c r="CT108" s="92"/>
      <c r="CU108" s="92"/>
      <c r="CV108" s="92"/>
      <c r="CW108" s="92"/>
      <c r="CX108" s="92"/>
      <c r="CY108" s="92"/>
      <c r="CZ108" s="92"/>
      <c r="DA108" s="92"/>
      <c r="DB108" s="92"/>
      <c r="DC108" s="92"/>
      <c r="DD108" s="92"/>
      <c r="DE108" s="92"/>
      <c r="DF108" s="92"/>
      <c r="DG108" s="92"/>
      <c r="DH108" s="92"/>
      <c r="DI108" s="92"/>
      <c r="DJ108" s="92"/>
      <c r="DK108" s="92"/>
      <c r="DL108" s="92"/>
      <c r="DM108" s="92"/>
      <c r="DN108" s="92"/>
      <c r="DO108" s="92"/>
      <c r="DP108" s="92"/>
      <c r="DQ108" s="92"/>
      <c r="DR108" s="92"/>
      <c r="DS108" s="92"/>
      <c r="DT108" s="92"/>
      <c r="DU108" s="92"/>
      <c r="DV108" s="92"/>
      <c r="DW108" s="92"/>
      <c r="DX108" s="92"/>
      <c r="DY108" s="92"/>
      <c r="DZ108" s="92"/>
      <c r="EA108" s="92"/>
      <c r="EB108" s="92"/>
      <c r="EC108" s="92"/>
      <c r="ED108" s="92"/>
      <c r="EE108" s="92"/>
      <c r="EF108" s="92"/>
      <c r="EG108" s="92"/>
      <c r="EH108" s="92"/>
      <c r="EI108" s="92"/>
      <c r="EJ108" s="92"/>
      <c r="EK108" s="92"/>
      <c r="EL108" s="92"/>
      <c r="EM108" s="92"/>
      <c r="EN108" s="92"/>
      <c r="EO108" s="92"/>
      <c r="EP108" s="92"/>
      <c r="EQ108" s="92"/>
      <c r="ER108" s="92"/>
      <c r="ES108" s="92"/>
      <c r="ET108" s="92"/>
      <c r="EU108" s="92"/>
      <c r="EV108" s="92"/>
      <c r="EW108" s="92"/>
      <c r="EX108" s="92"/>
      <c r="EY108" s="92"/>
      <c r="EZ108" s="92"/>
      <c r="FA108" s="92"/>
      <c r="FB108" s="92"/>
      <c r="FC108" s="92"/>
      <c r="FD108" s="92"/>
      <c r="FE108" s="92"/>
      <c r="FF108" s="92"/>
      <c r="FG108" s="92"/>
      <c r="FH108" s="92"/>
    </row>
    <row r="109">
      <c r="A109" s="32" t="s">
        <v>7</v>
      </c>
      <c r="B109" s="32" t="s">
        <v>30</v>
      </c>
      <c r="C109" s="32" t="s">
        <v>10</v>
      </c>
      <c r="D109" s="97">
        <f t="shared" si="1"/>
        <v>746.8323876</v>
      </c>
      <c r="E109" s="92">
        <f>(SUBSTITUTE(Audio!E109, "RE-", "", 1))*1</f>
        <v>0</v>
      </c>
      <c r="F109" s="92">
        <f>(SUBSTITUTE(Audio!F109, "RE-", "", 1))*1</f>
        <v>0</v>
      </c>
      <c r="G109" s="92">
        <f>(SUBSTITUTE(Audio!G109, "RE-", "", 1))*1</f>
        <v>245.4980115</v>
      </c>
      <c r="H109" s="92">
        <f>(SUBSTITUTE(Audio!H109, "RE-", "", 1))*1</f>
        <v>0</v>
      </c>
      <c r="I109" s="92">
        <f>(SUBSTITUTE(Audio!I109, "RE-", "", 1))*1</f>
        <v>45.40206667</v>
      </c>
      <c r="J109" s="92">
        <f>(SUBSTITUTE(Audio!J109, "RE-", "", 1))*1</f>
        <v>0</v>
      </c>
      <c r="K109" s="92">
        <f>(SUBSTITUTE(Audio!K109, "RE-", "", 1))*1</f>
        <v>109.764025</v>
      </c>
      <c r="L109" s="92">
        <f>(SUBSTITUTE(Audio!L109, "RE-", "", 1))*1</f>
        <v>0</v>
      </c>
      <c r="M109" s="92">
        <f>(SUBSTITUTE(Audio!M109, "RE-", "", 1))*1</f>
        <v>73.02707708</v>
      </c>
      <c r="N109" s="92">
        <f>(SUBSTITUTE(Audio!N109, "RE-", "", 1))*1</f>
        <v>0</v>
      </c>
      <c r="O109" s="92">
        <f>(SUBSTITUTE(Audio!O109, "RE-", "", 1))*1</f>
        <v>114.6407875</v>
      </c>
      <c r="P109" s="92">
        <f>(SUBSTITUTE(Audio!P109, "RE-", "", 1))*1</f>
        <v>0</v>
      </c>
      <c r="Q109" s="92">
        <f>(SUBSTITUTE(Audio!Q109, "RE-", "", 1))*1</f>
        <v>106.1177823</v>
      </c>
      <c r="R109" s="92">
        <f>(SUBSTITUTE(Audio!R109, "RE-", "", 1))*1</f>
        <v>0</v>
      </c>
      <c r="S109" s="92">
        <f>(SUBSTITUTE(Audio!S109, "RE-", "", 1))*1</f>
        <v>13.04101042</v>
      </c>
      <c r="T109" s="92">
        <f>(SUBSTITUTE(Audio!T109, "RE-", "", 1))*1</f>
        <v>0</v>
      </c>
      <c r="U109" s="92">
        <f>(SUBSTITUTE(Audio!U109, "RE-", "", 1))*1</f>
        <v>28.67146458</v>
      </c>
      <c r="V109" s="92">
        <f>(SUBSTITUTE(Audio!V109, "RE-", "", 1))*1</f>
        <v>10.6701625</v>
      </c>
      <c r="W109" s="92">
        <f>(SUBSTITUTE(Audio!W109, "RE-", "", 1))*1</f>
        <v>0</v>
      </c>
      <c r="X109" s="92">
        <f>(SUBSTITUTE(Audio!X109, "RE-", "", 1))*1</f>
        <v>0</v>
      </c>
      <c r="Y109" s="92">
        <f>(SUBSTITUTE(Audio!Y109, "RE-", "", 1))*1</f>
        <v>0</v>
      </c>
      <c r="Z109" s="92">
        <f>(SUBSTITUTE(Audio!Z109, "RE-", "", 1))*1</f>
        <v>0</v>
      </c>
      <c r="AA109" s="92"/>
      <c r="AB109" s="92"/>
      <c r="AC109" s="92"/>
      <c r="AD109" s="92"/>
      <c r="AE109" s="92"/>
      <c r="AF109" s="92"/>
      <c r="AG109" s="92"/>
      <c r="AH109" s="92"/>
      <c r="AI109" s="92"/>
      <c r="AJ109" s="92"/>
      <c r="AK109" s="92"/>
      <c r="AL109" s="92"/>
      <c r="AM109" s="92"/>
      <c r="AN109" s="92"/>
      <c r="AO109" s="92"/>
      <c r="AP109" s="92"/>
      <c r="AQ109" s="92"/>
      <c r="AR109" s="92"/>
      <c r="AS109" s="92"/>
      <c r="AT109" s="92"/>
      <c r="AU109" s="92"/>
      <c r="AV109" s="92"/>
      <c r="AW109" s="92"/>
      <c r="AX109" s="92"/>
      <c r="AY109" s="92"/>
      <c r="AZ109" s="92"/>
      <c r="BA109" s="92"/>
      <c r="BB109" s="92"/>
      <c r="BC109" s="92"/>
      <c r="BD109" s="92"/>
      <c r="BE109" s="92"/>
      <c r="BF109" s="92"/>
      <c r="BG109" s="92"/>
      <c r="BH109" s="92"/>
      <c r="BI109" s="92"/>
      <c r="BJ109" s="92"/>
      <c r="BK109" s="92"/>
      <c r="BL109" s="92"/>
      <c r="BM109" s="92"/>
      <c r="BN109" s="92"/>
      <c r="BO109" s="92"/>
      <c r="BP109" s="92"/>
      <c r="BQ109" s="92"/>
      <c r="BR109" s="92"/>
      <c r="BS109" s="92"/>
      <c r="BT109" s="92"/>
      <c r="BU109" s="92"/>
      <c r="BV109" s="92"/>
      <c r="BW109" s="92"/>
      <c r="BX109" s="92"/>
      <c r="BY109" s="92"/>
      <c r="BZ109" s="92"/>
      <c r="CA109" s="92"/>
      <c r="CB109" s="92"/>
      <c r="CC109" s="92"/>
      <c r="CD109" s="92"/>
      <c r="CE109" s="92"/>
      <c r="CF109" s="92"/>
      <c r="CG109" s="92"/>
      <c r="CH109" s="92"/>
      <c r="CI109" s="92"/>
      <c r="CJ109" s="92"/>
      <c r="CK109" s="92"/>
      <c r="CL109" s="92"/>
      <c r="CM109" s="92"/>
      <c r="CN109" s="92"/>
      <c r="CO109" s="92"/>
      <c r="CP109" s="92"/>
      <c r="CQ109" s="92"/>
      <c r="CR109" s="92"/>
      <c r="CS109" s="92"/>
      <c r="CT109" s="92"/>
      <c r="CU109" s="92"/>
      <c r="CV109" s="92"/>
      <c r="CW109" s="92"/>
      <c r="CX109" s="92"/>
      <c r="CY109" s="92"/>
      <c r="CZ109" s="92"/>
      <c r="DA109" s="92"/>
      <c r="DB109" s="92"/>
      <c r="DC109" s="92"/>
      <c r="DD109" s="92"/>
      <c r="DE109" s="92"/>
      <c r="DF109" s="92"/>
      <c r="DG109" s="92"/>
      <c r="DH109" s="92"/>
      <c r="DI109" s="92"/>
      <c r="DJ109" s="92"/>
      <c r="DK109" s="92"/>
      <c r="DL109" s="92"/>
      <c r="DM109" s="92"/>
      <c r="DN109" s="92"/>
      <c r="DO109" s="92"/>
      <c r="DP109" s="92"/>
      <c r="DQ109" s="92"/>
      <c r="DR109" s="92"/>
      <c r="DS109" s="92"/>
      <c r="DT109" s="92"/>
      <c r="DU109" s="92"/>
      <c r="DV109" s="92"/>
      <c r="DW109" s="92"/>
      <c r="DX109" s="92"/>
      <c r="DY109" s="92"/>
      <c r="DZ109" s="92"/>
      <c r="EA109" s="92"/>
      <c r="EB109" s="92"/>
      <c r="EC109" s="92"/>
      <c r="ED109" s="92"/>
      <c r="EE109" s="92"/>
      <c r="EF109" s="92"/>
      <c r="EG109" s="92"/>
      <c r="EH109" s="92"/>
      <c r="EI109" s="92"/>
      <c r="EJ109" s="92"/>
      <c r="EK109" s="92"/>
      <c r="EL109" s="92"/>
      <c r="EM109" s="92"/>
      <c r="EN109" s="92"/>
      <c r="EO109" s="92"/>
      <c r="EP109" s="92"/>
      <c r="EQ109" s="92"/>
      <c r="ER109" s="92"/>
      <c r="ES109" s="92"/>
      <c r="ET109" s="92"/>
      <c r="EU109" s="92"/>
      <c r="EV109" s="92"/>
      <c r="EW109" s="92"/>
      <c r="EX109" s="92"/>
      <c r="EY109" s="92"/>
      <c r="EZ109" s="92"/>
      <c r="FA109" s="92"/>
      <c r="FB109" s="92"/>
      <c r="FC109" s="92"/>
      <c r="FD109" s="92"/>
      <c r="FE109" s="92"/>
      <c r="FF109" s="92"/>
      <c r="FG109" s="92"/>
      <c r="FH109" s="92"/>
    </row>
    <row r="110">
      <c r="A110" s="32" t="s">
        <v>7</v>
      </c>
      <c r="B110" s="32" t="s">
        <v>30</v>
      </c>
      <c r="C110" s="32" t="s">
        <v>11</v>
      </c>
      <c r="D110" s="97">
        <f t="shared" si="1"/>
        <v>746.8323875</v>
      </c>
      <c r="E110" s="92">
        <f>(SUBSTITUTE(Audio!E110, "RE-", "", 1))*1</f>
        <v>0</v>
      </c>
      <c r="F110" s="92">
        <f>(SUBSTITUTE(Audio!F110, "RE-", "", 1))*1</f>
        <v>0</v>
      </c>
      <c r="G110" s="92">
        <f>(SUBSTITUTE(Audio!G110, "RE-", "", 1))*1</f>
        <v>245.4980115</v>
      </c>
      <c r="H110" s="92">
        <f>(SUBSTITUTE(Audio!H110, "RE-", "", 1))*1</f>
        <v>0</v>
      </c>
      <c r="I110" s="92">
        <f>(SUBSTITUTE(Audio!I110, "RE-", "", 1))*1</f>
        <v>45.40206667</v>
      </c>
      <c r="J110" s="92">
        <f>(SUBSTITUTE(Audio!J110, "RE-", "", 1))*1</f>
        <v>0</v>
      </c>
      <c r="K110" s="92">
        <f>(SUBSTITUTE(Audio!K110, "RE-", "", 1))*1</f>
        <v>109.764025</v>
      </c>
      <c r="L110" s="92">
        <f>(SUBSTITUTE(Audio!L110, "RE-", "", 1))*1</f>
        <v>0</v>
      </c>
      <c r="M110" s="92">
        <f>(SUBSTITUTE(Audio!M110, "RE-", "", 1))*1</f>
        <v>73.02707708</v>
      </c>
      <c r="N110" s="92">
        <f>(SUBSTITUTE(Audio!N110, "RE-", "", 1))*1</f>
        <v>0</v>
      </c>
      <c r="O110" s="92">
        <f>(SUBSTITUTE(Audio!O110, "RE-", "", 1))*1</f>
        <v>114.6407875</v>
      </c>
      <c r="P110" s="92">
        <f>(SUBSTITUTE(Audio!P110, "RE-", "", 1))*1</f>
        <v>0</v>
      </c>
      <c r="Q110" s="92">
        <f>(SUBSTITUTE(Audio!Q110, "RE-", "", 1))*1</f>
        <v>106.1177823</v>
      </c>
      <c r="R110" s="92">
        <f>(SUBSTITUTE(Audio!R110, "RE-", "", 1))*1</f>
        <v>0</v>
      </c>
      <c r="S110" s="92">
        <f>(SUBSTITUTE(Audio!S110, "RE-", "", 1))*1</f>
        <v>13.04101042</v>
      </c>
      <c r="T110" s="92">
        <f>(SUBSTITUTE(Audio!T110, "RE-", "", 1))*1</f>
        <v>0</v>
      </c>
      <c r="U110" s="92">
        <f>(SUBSTITUTE(Audio!U110, "RE-", "", 1))*1</f>
        <v>28.67146458</v>
      </c>
      <c r="V110" s="92">
        <f>(SUBSTITUTE(Audio!V110, "RE-", "", 1))*1</f>
        <v>10.6701625</v>
      </c>
      <c r="W110" s="92">
        <f>(SUBSTITUTE(Audio!W110, "RE-", "", 1))*1</f>
        <v>0</v>
      </c>
      <c r="X110" s="92">
        <f>(SUBSTITUTE(Audio!X110, "RE-", "", 1))*1</f>
        <v>0</v>
      </c>
      <c r="Y110" s="92">
        <f>(SUBSTITUTE(Audio!Y110, "RE-", "", 1))*1</f>
        <v>0</v>
      </c>
      <c r="Z110" s="92">
        <f>(SUBSTITUTE(Audio!Z110, "RE-", "", 1))*1</f>
        <v>0</v>
      </c>
      <c r="AA110" s="92"/>
      <c r="AB110" s="92"/>
      <c r="AC110" s="92"/>
      <c r="AD110" s="92"/>
      <c r="AE110" s="92"/>
      <c r="AF110" s="92"/>
      <c r="AG110" s="92"/>
      <c r="AH110" s="92"/>
      <c r="AI110" s="92"/>
      <c r="AJ110" s="92"/>
      <c r="AK110" s="92"/>
      <c r="AL110" s="92"/>
      <c r="AM110" s="92"/>
      <c r="AN110" s="92"/>
      <c r="AO110" s="92"/>
      <c r="AP110" s="92"/>
      <c r="AQ110" s="92"/>
      <c r="AR110" s="92"/>
      <c r="AS110" s="92"/>
      <c r="AT110" s="92"/>
      <c r="AU110" s="92"/>
      <c r="AV110" s="92"/>
      <c r="AW110" s="92"/>
      <c r="AX110" s="92"/>
      <c r="AY110" s="92"/>
      <c r="AZ110" s="92"/>
      <c r="BA110" s="92"/>
      <c r="BB110" s="92"/>
      <c r="BC110" s="92"/>
      <c r="BD110" s="92"/>
      <c r="BE110" s="92"/>
      <c r="BF110" s="92"/>
      <c r="BG110" s="92"/>
      <c r="BH110" s="92"/>
      <c r="BI110" s="92"/>
      <c r="BJ110" s="92"/>
      <c r="BK110" s="92"/>
      <c r="BL110" s="92"/>
      <c r="BM110" s="92"/>
      <c r="BN110" s="92"/>
      <c r="BO110" s="92"/>
      <c r="BP110" s="92"/>
      <c r="BQ110" s="92"/>
      <c r="BR110" s="92"/>
      <c r="BS110" s="92"/>
      <c r="BT110" s="92"/>
      <c r="BU110" s="92"/>
      <c r="BV110" s="92"/>
      <c r="BW110" s="92"/>
      <c r="BX110" s="92"/>
      <c r="BY110" s="92"/>
      <c r="BZ110" s="92"/>
      <c r="CA110" s="92"/>
      <c r="CB110" s="92"/>
      <c r="CC110" s="92"/>
      <c r="CD110" s="92"/>
      <c r="CE110" s="92"/>
      <c r="CF110" s="92"/>
      <c r="CG110" s="92"/>
      <c r="CH110" s="92"/>
      <c r="CI110" s="92"/>
      <c r="CJ110" s="92"/>
      <c r="CK110" s="92"/>
      <c r="CL110" s="92"/>
      <c r="CM110" s="92"/>
      <c r="CN110" s="92"/>
      <c r="CO110" s="92"/>
      <c r="CP110" s="92"/>
      <c r="CQ110" s="92"/>
      <c r="CR110" s="92"/>
      <c r="CS110" s="92"/>
      <c r="CT110" s="92"/>
      <c r="CU110" s="92"/>
      <c r="CV110" s="92"/>
      <c r="CW110" s="92"/>
      <c r="CX110" s="92"/>
      <c r="CY110" s="92"/>
      <c r="CZ110" s="92"/>
      <c r="DA110" s="92"/>
      <c r="DB110" s="92"/>
      <c r="DC110" s="92"/>
      <c r="DD110" s="92"/>
      <c r="DE110" s="92"/>
      <c r="DF110" s="92"/>
      <c r="DG110" s="92"/>
      <c r="DH110" s="92"/>
      <c r="DI110" s="92"/>
      <c r="DJ110" s="92"/>
      <c r="DK110" s="92"/>
      <c r="DL110" s="92"/>
      <c r="DM110" s="92"/>
      <c r="DN110" s="92"/>
      <c r="DO110" s="92"/>
      <c r="DP110" s="92"/>
      <c r="DQ110" s="92"/>
      <c r="DR110" s="92"/>
      <c r="DS110" s="92"/>
      <c r="DT110" s="92"/>
      <c r="DU110" s="92"/>
      <c r="DV110" s="92"/>
      <c r="DW110" s="92"/>
      <c r="DX110" s="92"/>
      <c r="DY110" s="92"/>
      <c r="DZ110" s="92"/>
      <c r="EA110" s="92"/>
      <c r="EB110" s="92"/>
      <c r="EC110" s="92"/>
      <c r="ED110" s="92"/>
      <c r="EE110" s="92"/>
      <c r="EF110" s="92"/>
      <c r="EG110" s="92"/>
      <c r="EH110" s="92"/>
      <c r="EI110" s="92"/>
      <c r="EJ110" s="92"/>
      <c r="EK110" s="92"/>
      <c r="EL110" s="92"/>
      <c r="EM110" s="92"/>
      <c r="EN110" s="92"/>
      <c r="EO110" s="92"/>
      <c r="EP110" s="92"/>
      <c r="EQ110" s="92"/>
      <c r="ER110" s="92"/>
      <c r="ES110" s="92"/>
      <c r="ET110" s="92"/>
      <c r="EU110" s="92"/>
      <c r="EV110" s="92"/>
      <c r="EW110" s="92"/>
      <c r="EX110" s="92"/>
      <c r="EY110" s="92"/>
      <c r="EZ110" s="92"/>
      <c r="FA110" s="92"/>
      <c r="FB110" s="92"/>
      <c r="FC110" s="92"/>
      <c r="FD110" s="92"/>
      <c r="FE110" s="92"/>
      <c r="FF110" s="92"/>
      <c r="FG110" s="92"/>
      <c r="FH110" s="92"/>
    </row>
    <row r="111">
      <c r="A111" s="32" t="s">
        <v>7</v>
      </c>
      <c r="B111" s="32" t="s">
        <v>30</v>
      </c>
      <c r="C111" s="32" t="s">
        <v>12</v>
      </c>
      <c r="D111" s="97">
        <f t="shared" si="1"/>
        <v>4959.5503</v>
      </c>
      <c r="E111" s="92">
        <f>(SUBSTITUTE(Audio!E111, "RE-", "", 1))*1</f>
        <v>0</v>
      </c>
      <c r="F111" s="92">
        <f>(SUBSTITUTE(Audio!F111, "RE-", "", 1))*1</f>
        <v>2235.423391</v>
      </c>
      <c r="G111" s="92">
        <f>(SUBSTITUTE(Audio!G111, "RE-", "", 1))*1</f>
        <v>11.69024583</v>
      </c>
      <c r="H111" s="92">
        <f>(SUBSTITUTE(Audio!H111, "RE-", "", 1))*1</f>
        <v>79.87231875</v>
      </c>
      <c r="I111" s="92">
        <f>(SUBSTITUTE(Audio!I111, "RE-", "", 1))*1</f>
        <v>0.3550104167</v>
      </c>
      <c r="J111" s="92">
        <f>(SUBSTITUTE(Audio!J111, "RE-", "", 1))*1</f>
        <v>1015.217488</v>
      </c>
      <c r="K111" s="92">
        <f>(SUBSTITUTE(Audio!K111, "RE-", "", 1))*1</f>
        <v>5.110822917</v>
      </c>
      <c r="L111" s="92">
        <f>(SUBSTITUTE(Audio!L111, "RE-", "", 1))*1</f>
        <v>320.4839302</v>
      </c>
      <c r="M111" s="92">
        <f>(SUBSTITUTE(Audio!M111, "RE-", "", 1))*1</f>
        <v>13.07703542</v>
      </c>
      <c r="N111" s="92">
        <f>(SUBSTITUTE(Audio!N111, "RE-", "", 1))*1</f>
        <v>569.7625781</v>
      </c>
      <c r="O111" s="92">
        <f>(SUBSTITUTE(Audio!O111, "RE-", "", 1))*1</f>
        <v>22.03788333</v>
      </c>
      <c r="P111" s="92">
        <f>(SUBSTITUTE(Audio!P111, "RE-", "", 1))*1</f>
        <v>299.1980604</v>
      </c>
      <c r="Q111" s="92">
        <f>(SUBSTITUTE(Audio!Q111, "RE-", "", 1))*1</f>
        <v>35.34149375</v>
      </c>
      <c r="R111" s="92">
        <f>(SUBSTITUTE(Audio!R111, "RE-", "", 1))*1</f>
        <v>71.51140417</v>
      </c>
      <c r="S111" s="92">
        <f>(SUBSTITUTE(Audio!S111, "RE-", "", 1))*1</f>
        <v>8.563045833</v>
      </c>
      <c r="T111" s="92">
        <f>(SUBSTITUTE(Audio!T111, "RE-", "", 1))*1</f>
        <v>251.4105615</v>
      </c>
      <c r="U111" s="92">
        <f>(SUBSTITUTE(Audio!U111, "RE-", "", 1))*1</f>
        <v>14.55752083</v>
      </c>
      <c r="V111" s="92">
        <f>(SUBSTITUTE(Audio!V111, "RE-", "", 1))*1</f>
        <v>5.937510417</v>
      </c>
      <c r="W111" s="92">
        <f>(SUBSTITUTE(Audio!W111, "RE-", "", 1))*1</f>
        <v>0</v>
      </c>
      <c r="X111" s="92">
        <f>(SUBSTITUTE(Audio!X111, "RE-", "", 1))*1</f>
        <v>0</v>
      </c>
      <c r="Y111" s="92">
        <f>(SUBSTITUTE(Audio!Y111, "RE-", "", 1))*1</f>
        <v>0</v>
      </c>
      <c r="Z111" s="92">
        <f>(SUBSTITUTE(Audio!Z111, "RE-", "", 1))*1</f>
        <v>0</v>
      </c>
      <c r="AA111" s="92"/>
      <c r="AB111" s="92"/>
      <c r="AC111" s="92"/>
      <c r="AD111" s="92"/>
      <c r="AE111" s="92"/>
      <c r="AF111" s="92"/>
      <c r="AG111" s="92"/>
      <c r="AH111" s="92"/>
      <c r="AI111" s="92"/>
      <c r="AJ111" s="92"/>
      <c r="AK111" s="92"/>
      <c r="AL111" s="92"/>
      <c r="AM111" s="92"/>
      <c r="AN111" s="92"/>
      <c r="AO111" s="92"/>
      <c r="AP111" s="92"/>
      <c r="AQ111" s="92"/>
      <c r="AR111" s="92"/>
      <c r="AS111" s="92"/>
      <c r="AT111" s="92"/>
      <c r="AU111" s="92"/>
      <c r="AV111" s="92"/>
      <c r="AW111" s="92"/>
      <c r="AX111" s="92"/>
      <c r="AY111" s="92"/>
      <c r="AZ111" s="92"/>
      <c r="BA111" s="92"/>
      <c r="BB111" s="92"/>
      <c r="BC111" s="92"/>
      <c r="BD111" s="92"/>
      <c r="BE111" s="92"/>
      <c r="BF111" s="92"/>
      <c r="BG111" s="92"/>
      <c r="BH111" s="92"/>
      <c r="BI111" s="92"/>
      <c r="BJ111" s="92"/>
      <c r="BK111" s="92"/>
      <c r="BL111" s="92"/>
      <c r="BM111" s="92"/>
      <c r="BN111" s="92"/>
      <c r="BO111" s="92"/>
      <c r="BP111" s="92"/>
      <c r="BQ111" s="92"/>
      <c r="BR111" s="92"/>
      <c r="BS111" s="92"/>
      <c r="BT111" s="92"/>
      <c r="BU111" s="92"/>
      <c r="BV111" s="92"/>
      <c r="BW111" s="92"/>
      <c r="BX111" s="92"/>
      <c r="BY111" s="92"/>
      <c r="BZ111" s="92"/>
      <c r="CA111" s="92"/>
      <c r="CB111" s="92"/>
      <c r="CC111" s="92"/>
      <c r="CD111" s="92"/>
      <c r="CE111" s="92"/>
      <c r="CF111" s="92"/>
      <c r="CG111" s="92"/>
      <c r="CH111" s="92"/>
      <c r="CI111" s="92"/>
      <c r="CJ111" s="92"/>
      <c r="CK111" s="92"/>
      <c r="CL111" s="92"/>
      <c r="CM111" s="92"/>
      <c r="CN111" s="92"/>
      <c r="CO111" s="92"/>
      <c r="CP111" s="92"/>
      <c r="CQ111" s="92"/>
      <c r="CR111" s="92"/>
      <c r="CS111" s="92"/>
      <c r="CT111" s="92"/>
      <c r="CU111" s="92"/>
      <c r="CV111" s="92"/>
      <c r="CW111" s="92"/>
      <c r="CX111" s="92"/>
      <c r="CY111" s="92"/>
      <c r="CZ111" s="92"/>
      <c r="DA111" s="92"/>
      <c r="DB111" s="92"/>
      <c r="DC111" s="92"/>
      <c r="DD111" s="92"/>
      <c r="DE111" s="92"/>
      <c r="DF111" s="92"/>
      <c r="DG111" s="92"/>
      <c r="DH111" s="92"/>
      <c r="DI111" s="92"/>
      <c r="DJ111" s="92"/>
      <c r="DK111" s="92"/>
      <c r="DL111" s="92"/>
      <c r="DM111" s="92"/>
      <c r="DN111" s="92"/>
      <c r="DO111" s="92"/>
      <c r="DP111" s="92"/>
      <c r="DQ111" s="92"/>
      <c r="DR111" s="92"/>
      <c r="DS111" s="92"/>
      <c r="DT111" s="92"/>
      <c r="DU111" s="92"/>
      <c r="DV111" s="92"/>
      <c r="DW111" s="92"/>
      <c r="DX111" s="92"/>
      <c r="DY111" s="92"/>
      <c r="DZ111" s="92"/>
      <c r="EA111" s="92"/>
      <c r="EB111" s="92"/>
      <c r="EC111" s="92"/>
      <c r="ED111" s="92"/>
      <c r="EE111" s="92"/>
      <c r="EF111" s="92"/>
      <c r="EG111" s="92"/>
      <c r="EH111" s="92"/>
      <c r="EI111" s="92"/>
      <c r="EJ111" s="92"/>
      <c r="EK111" s="92"/>
      <c r="EL111" s="92"/>
      <c r="EM111" s="92"/>
      <c r="EN111" s="92"/>
      <c r="EO111" s="92"/>
      <c r="EP111" s="92"/>
      <c r="EQ111" s="92"/>
      <c r="ER111" s="92"/>
      <c r="ES111" s="92"/>
      <c r="ET111" s="92"/>
      <c r="EU111" s="92"/>
      <c r="EV111" s="92"/>
      <c r="EW111" s="92"/>
      <c r="EX111" s="92"/>
      <c r="EY111" s="92"/>
      <c r="EZ111" s="92"/>
      <c r="FA111" s="92"/>
      <c r="FB111" s="92"/>
      <c r="FC111" s="92"/>
      <c r="FD111" s="92"/>
      <c r="FE111" s="92"/>
      <c r="FF111" s="92"/>
      <c r="FG111" s="92"/>
      <c r="FH111" s="92"/>
    </row>
    <row r="112">
      <c r="A112" s="32" t="s">
        <v>7</v>
      </c>
      <c r="B112" s="32" t="s">
        <v>30</v>
      </c>
      <c r="C112" s="32" t="s">
        <v>13</v>
      </c>
      <c r="D112" s="97">
        <f t="shared" si="1"/>
        <v>4806.63663</v>
      </c>
      <c r="E112" s="92">
        <f>(SUBSTITUTE(Audio!E112, "RE-", "", 1))*1</f>
        <v>0</v>
      </c>
      <c r="F112" s="92">
        <f>(SUBSTITUTE(Audio!F112, "RE-", "", 1))*1</f>
        <v>2175.73</v>
      </c>
      <c r="G112" s="92">
        <f>(SUBSTITUTE(Audio!G112, "RE-", "", 1))*1</f>
        <v>11.2435</v>
      </c>
      <c r="H112" s="92">
        <f>(SUBSTITUTE(Audio!H112, "RE-", "", 1))*1</f>
        <v>77.8319</v>
      </c>
      <c r="I112" s="92">
        <f>(SUBSTITUTE(Audio!I112, "RE-", "", 1))*1</f>
        <v>0.34015</v>
      </c>
      <c r="J112" s="92">
        <f>(SUBSTITUTE(Audio!J112, "RE-", "", 1))*1</f>
        <v>986.84</v>
      </c>
      <c r="K112" s="92">
        <f>(SUBSTITUTE(Audio!K112, "RE-", "", 1))*1</f>
        <v>4.97885</v>
      </c>
      <c r="L112" s="92">
        <f>(SUBSTITUTE(Audio!L112, "RE-", "", 1))*1</f>
        <v>307.394</v>
      </c>
      <c r="M112" s="92">
        <f>(SUBSTITUTE(Audio!M112, "RE-", "", 1))*1</f>
        <v>12.5848</v>
      </c>
      <c r="N112" s="92">
        <f>(SUBSTITUTE(Audio!N112, "RE-", "", 1))*1</f>
        <v>548.275</v>
      </c>
      <c r="O112" s="92">
        <f>(SUBSTITUTE(Audio!O112, "RE-", "", 1))*1</f>
        <v>20.8133</v>
      </c>
      <c r="P112" s="92">
        <f>(SUBSTITUTE(Audio!P112, "RE-", "", 1))*1</f>
        <v>287.219</v>
      </c>
      <c r="Q112" s="92">
        <f>(SUBSTITUTE(Audio!Q112, "RE-", "", 1))*1</f>
        <v>33.8866</v>
      </c>
      <c r="R112" s="92">
        <f>(SUBSTITUTE(Audio!R112, "RE-", "", 1))*1</f>
        <v>68.7179</v>
      </c>
      <c r="S112" s="92">
        <f>(SUBSTITUTE(Audio!S112, "RE-", "", 1))*1</f>
        <v>8.19108</v>
      </c>
      <c r="T112" s="92">
        <f>(SUBSTITUTE(Audio!T112, "RE-", "", 1))*1</f>
        <v>243.104</v>
      </c>
      <c r="U112" s="92">
        <f>(SUBSTITUTE(Audio!U112, "RE-", "", 1))*1</f>
        <v>13.7512</v>
      </c>
      <c r="V112" s="92">
        <f>(SUBSTITUTE(Audio!V112, "RE-", "", 1))*1</f>
        <v>5.73535</v>
      </c>
      <c r="W112" s="92">
        <f>(SUBSTITUTE(Audio!W112, "RE-", "", 1))*1</f>
        <v>0</v>
      </c>
      <c r="X112" s="92">
        <f>(SUBSTITUTE(Audio!X112, "RE-", "", 1))*1</f>
        <v>0</v>
      </c>
      <c r="Y112" s="92">
        <f>(SUBSTITUTE(Audio!Y112, "RE-", "", 1))*1</f>
        <v>0</v>
      </c>
      <c r="Z112" s="92">
        <f>(SUBSTITUTE(Audio!Z112, "RE-", "", 1))*1</f>
        <v>0</v>
      </c>
      <c r="AA112" s="92"/>
      <c r="AB112" s="92"/>
      <c r="AC112" s="92"/>
      <c r="AD112" s="92"/>
      <c r="AE112" s="92"/>
      <c r="AF112" s="92"/>
      <c r="AG112" s="92"/>
      <c r="AH112" s="92"/>
      <c r="AI112" s="92"/>
      <c r="AJ112" s="92"/>
      <c r="AK112" s="92"/>
      <c r="AL112" s="92"/>
      <c r="AM112" s="92"/>
      <c r="AN112" s="92"/>
      <c r="AO112" s="92"/>
      <c r="AP112" s="92"/>
      <c r="AQ112" s="92"/>
      <c r="AR112" s="92"/>
      <c r="AS112" s="92"/>
      <c r="AT112" s="92"/>
      <c r="AU112" s="92"/>
      <c r="AV112" s="92"/>
      <c r="AW112" s="92"/>
      <c r="AX112" s="92"/>
      <c r="AY112" s="92"/>
      <c r="AZ112" s="92"/>
      <c r="BA112" s="92"/>
      <c r="BB112" s="92"/>
      <c r="BC112" s="92"/>
      <c r="BD112" s="92"/>
      <c r="BE112" s="92"/>
      <c r="BF112" s="92"/>
      <c r="BG112" s="92"/>
      <c r="BH112" s="92"/>
      <c r="BI112" s="92"/>
      <c r="BJ112" s="92"/>
      <c r="BK112" s="92"/>
      <c r="BL112" s="92"/>
      <c r="BM112" s="92"/>
      <c r="BN112" s="92"/>
      <c r="BO112" s="92"/>
      <c r="BP112" s="92"/>
      <c r="BQ112" s="92"/>
      <c r="BR112" s="92"/>
      <c r="BS112" s="92"/>
      <c r="BT112" s="92"/>
      <c r="BU112" s="92"/>
      <c r="BV112" s="92"/>
      <c r="BW112" s="92"/>
      <c r="BX112" s="92"/>
      <c r="BY112" s="92"/>
      <c r="BZ112" s="92"/>
      <c r="CA112" s="92"/>
      <c r="CB112" s="92"/>
      <c r="CC112" s="92"/>
      <c r="CD112" s="92"/>
      <c r="CE112" s="92"/>
      <c r="CF112" s="92"/>
      <c r="CG112" s="92"/>
      <c r="CH112" s="92"/>
      <c r="CI112" s="92"/>
      <c r="CJ112" s="92"/>
      <c r="CK112" s="92"/>
      <c r="CL112" s="92"/>
      <c r="CM112" s="92"/>
      <c r="CN112" s="92"/>
      <c r="CO112" s="92"/>
      <c r="CP112" s="92"/>
      <c r="CQ112" s="92"/>
      <c r="CR112" s="92"/>
      <c r="CS112" s="92"/>
      <c r="CT112" s="92"/>
      <c r="CU112" s="92"/>
      <c r="CV112" s="92"/>
      <c r="CW112" s="92"/>
      <c r="CX112" s="92"/>
      <c r="CY112" s="92"/>
      <c r="CZ112" s="92"/>
      <c r="DA112" s="92"/>
      <c r="DB112" s="92"/>
      <c r="DC112" s="92"/>
      <c r="DD112" s="92"/>
      <c r="DE112" s="92"/>
      <c r="DF112" s="92"/>
      <c r="DG112" s="92"/>
      <c r="DH112" s="92"/>
      <c r="DI112" s="92"/>
      <c r="DJ112" s="92"/>
      <c r="DK112" s="92"/>
      <c r="DL112" s="92"/>
      <c r="DM112" s="92"/>
      <c r="DN112" s="92"/>
      <c r="DO112" s="92"/>
      <c r="DP112" s="92"/>
      <c r="DQ112" s="92"/>
      <c r="DR112" s="92"/>
      <c r="DS112" s="92"/>
      <c r="DT112" s="92"/>
      <c r="DU112" s="92"/>
      <c r="DV112" s="92"/>
      <c r="DW112" s="92"/>
      <c r="DX112" s="92"/>
      <c r="DY112" s="92"/>
      <c r="DZ112" s="92"/>
      <c r="EA112" s="92"/>
      <c r="EB112" s="92"/>
      <c r="EC112" s="92"/>
      <c r="ED112" s="92"/>
      <c r="EE112" s="92"/>
      <c r="EF112" s="92"/>
      <c r="EG112" s="92"/>
      <c r="EH112" s="92"/>
      <c r="EI112" s="92"/>
      <c r="EJ112" s="92"/>
      <c r="EK112" s="92"/>
      <c r="EL112" s="92"/>
      <c r="EM112" s="92"/>
      <c r="EN112" s="92"/>
      <c r="EO112" s="92"/>
      <c r="EP112" s="92"/>
      <c r="EQ112" s="92"/>
      <c r="ER112" s="92"/>
      <c r="ES112" s="92"/>
      <c r="ET112" s="92"/>
      <c r="EU112" s="92"/>
      <c r="EV112" s="92"/>
      <c r="EW112" s="92"/>
      <c r="EX112" s="92"/>
      <c r="EY112" s="92"/>
      <c r="EZ112" s="92"/>
      <c r="FA112" s="92"/>
      <c r="FB112" s="92"/>
      <c r="FC112" s="92"/>
      <c r="FD112" s="92"/>
      <c r="FE112" s="92"/>
      <c r="FF112" s="92"/>
      <c r="FG112" s="92"/>
      <c r="FH112" s="92"/>
    </row>
    <row r="113">
      <c r="A113" s="32" t="s">
        <v>7</v>
      </c>
      <c r="B113" s="32" t="s">
        <v>30</v>
      </c>
      <c r="C113" s="32" t="s">
        <v>14</v>
      </c>
      <c r="D113" s="97">
        <f t="shared" si="1"/>
        <v>4201.98289</v>
      </c>
      <c r="E113" s="92">
        <f>(SUBSTITUTE(Audio!E113, "RE-", "", 1))*1</f>
        <v>0</v>
      </c>
      <c r="F113" s="92">
        <f>(SUBSTITUTE(Audio!F113, "RE-", "", 1))*1</f>
        <v>1913.54</v>
      </c>
      <c r="G113" s="92">
        <f>(SUBSTITUTE(Audio!G113, "RE-", "", 1))*1</f>
        <v>11.0447</v>
      </c>
      <c r="H113" s="92">
        <f>(SUBSTITUTE(Audio!H113, "RE-", "", 1))*1</f>
        <v>68.663</v>
      </c>
      <c r="I113" s="92">
        <f>(SUBSTITUTE(Audio!I113, "RE-", "", 1))*1</f>
        <v>0.34015</v>
      </c>
      <c r="J113" s="92">
        <f>(SUBSTITUTE(Audio!J113, "RE-", "", 1))*1</f>
        <v>893.533</v>
      </c>
      <c r="K113" s="92">
        <f>(SUBSTITUTE(Audio!K113, "RE-", "", 1))*1</f>
        <v>4.66242</v>
      </c>
      <c r="L113" s="92">
        <f>(SUBSTITUTE(Audio!L113, "RE-", "", 1))*1</f>
        <v>262.873</v>
      </c>
      <c r="M113" s="92">
        <f>(SUBSTITUTE(Audio!M113, "RE-", "", 1))*1</f>
        <v>11.9232</v>
      </c>
      <c r="N113" s="92">
        <f>(SUBSTITUTE(Audio!N113, "RE-", "", 1))*1</f>
        <v>461.071</v>
      </c>
      <c r="O113" s="92">
        <f>(SUBSTITUTE(Audio!O113, "RE-", "", 1))*1</f>
        <v>16.5865</v>
      </c>
      <c r="P113" s="92">
        <f>(SUBSTITUTE(Audio!P113, "RE-", "", 1))*1</f>
        <v>241.958</v>
      </c>
      <c r="Q113" s="92">
        <f>(SUBSTITUTE(Audio!Q113, "RE-", "", 1))*1</f>
        <v>29.5231</v>
      </c>
      <c r="R113" s="92">
        <f>(SUBSTITUTE(Audio!R113, "RE-", "", 1))*1</f>
        <v>56.3139</v>
      </c>
      <c r="S113" s="92">
        <f>(SUBSTITUTE(Audio!S113, "RE-", "", 1))*1</f>
        <v>7.43542</v>
      </c>
      <c r="T113" s="92">
        <f>(SUBSTITUTE(Audio!T113, "RE-", "", 1))*1</f>
        <v>204.727</v>
      </c>
      <c r="U113" s="92">
        <f>(SUBSTITUTE(Audio!U113, "RE-", "", 1))*1</f>
        <v>12.6969</v>
      </c>
      <c r="V113" s="92">
        <f>(SUBSTITUTE(Audio!V113, "RE-", "", 1))*1</f>
        <v>5.0916</v>
      </c>
      <c r="W113" s="92">
        <f>(SUBSTITUTE(Audio!W113, "RE-", "", 1))*1</f>
        <v>0</v>
      </c>
      <c r="X113" s="92">
        <f>(SUBSTITUTE(Audio!X113, "RE-", "", 1))*1</f>
        <v>0</v>
      </c>
      <c r="Y113" s="92">
        <f>(SUBSTITUTE(Audio!Y113, "RE-", "", 1))*1</f>
        <v>0</v>
      </c>
      <c r="Z113" s="92">
        <f>(SUBSTITUTE(Audio!Z113, "RE-", "", 1))*1</f>
        <v>0</v>
      </c>
      <c r="AA113" s="92"/>
      <c r="AB113" s="92"/>
      <c r="AC113" s="92"/>
      <c r="AD113" s="92"/>
      <c r="AE113" s="92"/>
      <c r="AF113" s="92"/>
      <c r="AG113" s="92"/>
      <c r="AH113" s="92"/>
      <c r="AI113" s="92"/>
      <c r="AJ113" s="92"/>
      <c r="AK113" s="92"/>
      <c r="AL113" s="92"/>
      <c r="AM113" s="92"/>
      <c r="AN113" s="92"/>
      <c r="AO113" s="92"/>
      <c r="AP113" s="92"/>
      <c r="AQ113" s="92"/>
      <c r="AR113" s="92"/>
      <c r="AS113" s="92"/>
      <c r="AT113" s="92"/>
      <c r="AU113" s="92"/>
      <c r="AV113" s="92"/>
      <c r="AW113" s="92"/>
      <c r="AX113" s="92"/>
      <c r="AY113" s="92"/>
      <c r="AZ113" s="92"/>
      <c r="BA113" s="92"/>
      <c r="BB113" s="92"/>
      <c r="BC113" s="92"/>
      <c r="BD113" s="92"/>
      <c r="BE113" s="92"/>
      <c r="BF113" s="92"/>
      <c r="BG113" s="92"/>
      <c r="BH113" s="92"/>
      <c r="BI113" s="92"/>
      <c r="BJ113" s="92"/>
      <c r="BK113" s="92"/>
      <c r="BL113" s="92"/>
      <c r="BM113" s="92"/>
      <c r="BN113" s="92"/>
      <c r="BO113" s="92"/>
      <c r="BP113" s="92"/>
      <c r="BQ113" s="92"/>
      <c r="BR113" s="92"/>
      <c r="BS113" s="92"/>
      <c r="BT113" s="92"/>
      <c r="BU113" s="92"/>
      <c r="BV113" s="92"/>
      <c r="BW113" s="92"/>
      <c r="BX113" s="92"/>
      <c r="BY113" s="92"/>
      <c r="BZ113" s="92"/>
      <c r="CA113" s="92"/>
      <c r="CB113" s="92"/>
      <c r="CC113" s="92"/>
      <c r="CD113" s="92"/>
      <c r="CE113" s="92"/>
      <c r="CF113" s="92"/>
      <c r="CG113" s="92"/>
      <c r="CH113" s="92"/>
      <c r="CI113" s="92"/>
      <c r="CJ113" s="92"/>
      <c r="CK113" s="92"/>
      <c r="CL113" s="92"/>
      <c r="CM113" s="92"/>
      <c r="CN113" s="92"/>
      <c r="CO113" s="92"/>
      <c r="CP113" s="92"/>
      <c r="CQ113" s="92"/>
      <c r="CR113" s="92"/>
      <c r="CS113" s="92"/>
      <c r="CT113" s="92"/>
      <c r="CU113" s="92"/>
      <c r="CV113" s="92"/>
      <c r="CW113" s="92"/>
      <c r="CX113" s="92"/>
      <c r="CY113" s="92"/>
      <c r="CZ113" s="92"/>
      <c r="DA113" s="92"/>
      <c r="DB113" s="92"/>
      <c r="DC113" s="92"/>
      <c r="DD113" s="92"/>
      <c r="DE113" s="92"/>
      <c r="DF113" s="92"/>
      <c r="DG113" s="92"/>
      <c r="DH113" s="92"/>
      <c r="DI113" s="92"/>
      <c r="DJ113" s="92"/>
      <c r="DK113" s="92"/>
      <c r="DL113" s="92"/>
      <c r="DM113" s="92"/>
      <c r="DN113" s="92"/>
      <c r="DO113" s="92"/>
      <c r="DP113" s="92"/>
      <c r="DQ113" s="92"/>
      <c r="DR113" s="92"/>
      <c r="DS113" s="92"/>
      <c r="DT113" s="92"/>
      <c r="DU113" s="92"/>
      <c r="DV113" s="92"/>
      <c r="DW113" s="92"/>
      <c r="DX113" s="92"/>
      <c r="DY113" s="92"/>
      <c r="DZ113" s="92"/>
      <c r="EA113" s="92"/>
      <c r="EB113" s="92"/>
      <c r="EC113" s="92"/>
      <c r="ED113" s="92"/>
      <c r="EE113" s="92"/>
      <c r="EF113" s="92"/>
      <c r="EG113" s="92"/>
      <c r="EH113" s="92"/>
      <c r="EI113" s="92"/>
      <c r="EJ113" s="92"/>
      <c r="EK113" s="92"/>
      <c r="EL113" s="92"/>
      <c r="EM113" s="92"/>
      <c r="EN113" s="92"/>
      <c r="EO113" s="92"/>
      <c r="EP113" s="92"/>
      <c r="EQ113" s="92"/>
      <c r="ER113" s="92"/>
      <c r="ES113" s="92"/>
      <c r="ET113" s="92"/>
      <c r="EU113" s="92"/>
      <c r="EV113" s="92"/>
      <c r="EW113" s="92"/>
      <c r="EX113" s="92"/>
      <c r="EY113" s="92"/>
      <c r="EZ113" s="92"/>
      <c r="FA113" s="92"/>
      <c r="FB113" s="92"/>
      <c r="FC113" s="92"/>
      <c r="FD113" s="92"/>
      <c r="FE113" s="92"/>
      <c r="FF113" s="92"/>
      <c r="FG113" s="92"/>
      <c r="FH113" s="92"/>
    </row>
    <row r="114">
      <c r="A114" s="27" t="s">
        <v>7</v>
      </c>
      <c r="B114" s="27" t="s">
        <v>30</v>
      </c>
      <c r="C114" s="27" t="s">
        <v>15</v>
      </c>
      <c r="D114" s="98">
        <f t="shared" si="1"/>
        <v>4805.35973</v>
      </c>
      <c r="E114" s="92">
        <f>(SUBSTITUTE(Audio!E114, "RE-", "", 1))*1</f>
        <v>0</v>
      </c>
      <c r="F114" s="92">
        <f>(SUBSTITUTE(Audio!F114, "RE-", "", 1))*1</f>
        <v>2175.25</v>
      </c>
      <c r="G114" s="92">
        <f>(SUBSTITUTE(Audio!G114, "RE-", "", 1))*1</f>
        <v>11.2435</v>
      </c>
      <c r="H114" s="92">
        <f>(SUBSTITUTE(Audio!H114, "RE-", "", 1))*1</f>
        <v>77.8319</v>
      </c>
      <c r="I114" s="92">
        <f>(SUBSTITUTE(Audio!I114, "RE-", "", 1))*1</f>
        <v>0.34015</v>
      </c>
      <c r="J114" s="92">
        <f>(SUBSTITUTE(Audio!J114, "RE-", "", 1))*1</f>
        <v>986.135</v>
      </c>
      <c r="K114" s="92">
        <f>(SUBSTITUTE(Audio!K114, "RE-", "", 1))*1</f>
        <v>4.97885</v>
      </c>
      <c r="L114" s="92">
        <f>(SUBSTITUTE(Audio!L114, "RE-", "", 1))*1</f>
        <v>307.372</v>
      </c>
      <c r="M114" s="92">
        <f>(SUBSTITUTE(Audio!M114, "RE-", "", 1))*1</f>
        <v>12.5848</v>
      </c>
      <c r="N114" s="92">
        <f>(SUBSTITUTE(Audio!N114, "RE-", "", 1))*1</f>
        <v>548.275</v>
      </c>
      <c r="O114" s="92">
        <f>(SUBSTITUTE(Audio!O114, "RE-", "", 1))*1</f>
        <v>20.8133</v>
      </c>
      <c r="P114" s="92">
        <f>(SUBSTITUTE(Audio!P114, "RE-", "", 1))*1</f>
        <v>287.173</v>
      </c>
      <c r="Q114" s="92">
        <f>(SUBSTITUTE(Audio!Q114, "RE-", "", 1))*1</f>
        <v>33.8866</v>
      </c>
      <c r="R114" s="92">
        <f>(SUBSTITUTE(Audio!R114, "RE-", "", 1))*1</f>
        <v>68.694</v>
      </c>
      <c r="S114" s="92">
        <f>(SUBSTITUTE(Audio!S114, "RE-", "", 1))*1</f>
        <v>8.19108</v>
      </c>
      <c r="T114" s="92">
        <f>(SUBSTITUTE(Audio!T114, "RE-", "", 1))*1</f>
        <v>243.104</v>
      </c>
      <c r="U114" s="92">
        <f>(SUBSTITUTE(Audio!U114, "RE-", "", 1))*1</f>
        <v>13.7512</v>
      </c>
      <c r="V114" s="92">
        <f>(SUBSTITUTE(Audio!V114, "RE-", "", 1))*1</f>
        <v>5.73535</v>
      </c>
      <c r="W114" s="92">
        <f>(SUBSTITUTE(Audio!W114, "RE-", "", 1))*1</f>
        <v>0</v>
      </c>
      <c r="X114" s="92">
        <f>(SUBSTITUTE(Audio!X114, "RE-", "", 1))*1</f>
        <v>0</v>
      </c>
      <c r="Y114" s="92">
        <f>(SUBSTITUTE(Audio!Y114, "RE-", "", 1))*1</f>
        <v>0</v>
      </c>
      <c r="Z114" s="92">
        <f>(SUBSTITUTE(Audio!Z114, "RE-", "", 1))*1</f>
        <v>0</v>
      </c>
      <c r="AA114" s="92"/>
      <c r="AB114" s="92"/>
      <c r="AC114" s="92"/>
      <c r="AD114" s="92"/>
      <c r="AE114" s="92"/>
      <c r="AF114" s="92"/>
      <c r="AG114" s="92"/>
      <c r="AH114" s="92"/>
      <c r="AI114" s="92"/>
      <c r="AJ114" s="92"/>
      <c r="AK114" s="92"/>
      <c r="AL114" s="92"/>
      <c r="AM114" s="92"/>
      <c r="AN114" s="92"/>
      <c r="AO114" s="92"/>
      <c r="AP114" s="92"/>
      <c r="AQ114" s="92"/>
      <c r="AR114" s="92"/>
      <c r="AS114" s="92"/>
      <c r="AT114" s="92"/>
      <c r="AU114" s="92"/>
      <c r="AV114" s="92"/>
      <c r="AW114" s="92"/>
      <c r="AX114" s="92"/>
      <c r="AY114" s="92"/>
      <c r="AZ114" s="92"/>
      <c r="BA114" s="92"/>
      <c r="BB114" s="92"/>
      <c r="BC114" s="92"/>
      <c r="BD114" s="92"/>
      <c r="BE114" s="92"/>
      <c r="BF114" s="92"/>
      <c r="BG114" s="92"/>
      <c r="BH114" s="92"/>
      <c r="BI114" s="92"/>
      <c r="BJ114" s="92"/>
      <c r="BK114" s="92"/>
      <c r="BL114" s="92"/>
      <c r="BM114" s="92"/>
      <c r="BN114" s="92"/>
      <c r="BO114" s="92"/>
      <c r="BP114" s="92"/>
      <c r="BQ114" s="92"/>
      <c r="BR114" s="92"/>
      <c r="BS114" s="92"/>
      <c r="BT114" s="92"/>
      <c r="BU114" s="92"/>
      <c r="BV114" s="92"/>
      <c r="BW114" s="92"/>
      <c r="BX114" s="92"/>
      <c r="BY114" s="92"/>
      <c r="BZ114" s="92"/>
      <c r="CA114" s="92"/>
      <c r="CB114" s="92"/>
      <c r="CC114" s="92"/>
      <c r="CD114" s="92"/>
      <c r="CE114" s="92"/>
      <c r="CF114" s="92"/>
      <c r="CG114" s="92"/>
      <c r="CH114" s="92"/>
      <c r="CI114" s="92"/>
      <c r="CJ114" s="92"/>
      <c r="CK114" s="92"/>
      <c r="CL114" s="92"/>
      <c r="CM114" s="92"/>
      <c r="CN114" s="92"/>
      <c r="CO114" s="92"/>
      <c r="CP114" s="92"/>
      <c r="CQ114" s="92"/>
      <c r="CR114" s="92"/>
      <c r="CS114" s="92"/>
      <c r="CT114" s="92"/>
      <c r="CU114" s="92"/>
      <c r="CV114" s="92"/>
      <c r="CW114" s="92"/>
      <c r="CX114" s="92"/>
      <c r="CY114" s="92"/>
      <c r="CZ114" s="92"/>
      <c r="DA114" s="92"/>
      <c r="DB114" s="92"/>
      <c r="DC114" s="92"/>
      <c r="DD114" s="92"/>
      <c r="DE114" s="92"/>
      <c r="DF114" s="92"/>
      <c r="DG114" s="92"/>
      <c r="DH114" s="92"/>
      <c r="DI114" s="92"/>
      <c r="DJ114" s="92"/>
      <c r="DK114" s="92"/>
      <c r="DL114" s="92"/>
      <c r="DM114" s="92"/>
      <c r="DN114" s="92"/>
      <c r="DO114" s="92"/>
      <c r="DP114" s="92"/>
      <c r="DQ114" s="92"/>
      <c r="DR114" s="92"/>
      <c r="DS114" s="92"/>
      <c r="DT114" s="92"/>
      <c r="DU114" s="92"/>
      <c r="DV114" s="92"/>
      <c r="DW114" s="92"/>
      <c r="DX114" s="92"/>
      <c r="DY114" s="92"/>
      <c r="DZ114" s="92"/>
      <c r="EA114" s="92"/>
      <c r="EB114" s="92"/>
      <c r="EC114" s="92"/>
      <c r="ED114" s="92"/>
      <c r="EE114" s="92"/>
      <c r="EF114" s="92"/>
      <c r="EG114" s="92"/>
      <c r="EH114" s="92"/>
      <c r="EI114" s="92"/>
      <c r="EJ114" s="92"/>
      <c r="EK114" s="92"/>
      <c r="EL114" s="92"/>
      <c r="EM114" s="92"/>
      <c r="EN114" s="92"/>
      <c r="EO114" s="92"/>
      <c r="EP114" s="92"/>
      <c r="EQ114" s="92"/>
      <c r="ER114" s="92"/>
      <c r="ES114" s="92"/>
      <c r="ET114" s="92"/>
      <c r="EU114" s="92"/>
      <c r="EV114" s="92"/>
      <c r="EW114" s="92"/>
      <c r="EX114" s="92"/>
      <c r="EY114" s="92"/>
      <c r="EZ114" s="92"/>
      <c r="FA114" s="92"/>
      <c r="FB114" s="92"/>
      <c r="FC114" s="92"/>
      <c r="FD114" s="92"/>
      <c r="FE114" s="92"/>
      <c r="FF114" s="92"/>
      <c r="FG114" s="92"/>
      <c r="FH114" s="92"/>
    </row>
    <row r="115">
      <c r="A115" s="30" t="s">
        <v>7</v>
      </c>
      <c r="B115" s="30" t="s">
        <v>31</v>
      </c>
      <c r="C115" s="31" t="str">
        <f>HYPERLINK("https://docs.google.com/spreadsheets/d/1_V7EcYPUZDi4Fa5cWXpPEG7wI3xg7ftD/edit?usp=share_link&amp;ouid=106501987799020758802&amp;rtpof=true&amp;sd=true", "Raw Delivered")</f>
        <v>Raw Delivered</v>
      </c>
      <c r="D115" s="96">
        <f t="shared" si="1"/>
        <v>5735.57377</v>
      </c>
      <c r="E115" s="92">
        <f>(SUBSTITUTE(Audio!E115, "RE-", "", 1))*1</f>
        <v>0</v>
      </c>
      <c r="F115" s="92">
        <f>(SUBSTITUTE(Audio!F115, "RE-", "", 1))*1</f>
        <v>518.7217969</v>
      </c>
      <c r="G115" s="92">
        <f>(SUBSTITUTE(Audio!G115, "RE-", "", 1))*1</f>
        <v>0</v>
      </c>
      <c r="H115" s="92">
        <f>(SUBSTITUTE(Audio!H115, "RE-", "", 1))*1</f>
        <v>96.2812</v>
      </c>
      <c r="I115" s="92">
        <f>(SUBSTITUTE(Audio!I115, "RE-", "", 1))*1</f>
        <v>0</v>
      </c>
      <c r="J115" s="92">
        <f>(SUBSTITUTE(Audio!J115, "RE-", "", 1))*1</f>
        <v>1920.847203</v>
      </c>
      <c r="K115" s="92">
        <f>(SUBSTITUTE(Audio!K115, "RE-", "", 1))*1</f>
        <v>0</v>
      </c>
      <c r="L115" s="92">
        <f>(SUBSTITUTE(Audio!L115, "RE-", "", 1))*1</f>
        <v>623.0315104</v>
      </c>
      <c r="M115" s="92">
        <f>(SUBSTITUTE(Audio!M115, "RE-", "", 1))*1</f>
        <v>0</v>
      </c>
      <c r="N115" s="92">
        <f>(SUBSTITUTE(Audio!N115, "RE-", "", 1))*1</f>
        <v>1498.154014</v>
      </c>
      <c r="O115" s="92">
        <f>(SUBSTITUTE(Audio!O115, "RE-", "", 1))*1</f>
        <v>0</v>
      </c>
      <c r="P115" s="92">
        <f>(SUBSTITUTE(Audio!P115, "RE-", "", 1))*1</f>
        <v>352.264449</v>
      </c>
      <c r="Q115" s="92">
        <f>(SUBSTITUTE(Audio!Q115, "RE-", "", 1))*1</f>
        <v>0</v>
      </c>
      <c r="R115" s="92">
        <f>(SUBSTITUTE(Audio!R115, "RE-", "", 1))*1</f>
        <v>145.6586938</v>
      </c>
      <c r="S115" s="92">
        <f>(SUBSTITUTE(Audio!S115, "RE-", "", 1))*1</f>
        <v>0</v>
      </c>
      <c r="T115" s="92">
        <f>(SUBSTITUTE(Audio!T115, "RE-", "", 1))*1</f>
        <v>580.6149031</v>
      </c>
      <c r="U115" s="92">
        <f>(SUBSTITUTE(Audio!U115, "RE-", "", 1))*1</f>
        <v>0</v>
      </c>
      <c r="V115" s="92">
        <f>(SUBSTITUTE(Audio!V115, "RE-", "", 1))*1</f>
        <v>0</v>
      </c>
      <c r="W115" s="92">
        <f>(SUBSTITUTE(Audio!W115, "RE-", "", 1))*1</f>
        <v>0</v>
      </c>
      <c r="X115" s="92">
        <f>(SUBSTITUTE(Audio!X115, "RE-", "", 1))*1</f>
        <v>0</v>
      </c>
      <c r="Y115" s="92">
        <f>(SUBSTITUTE(Audio!Y115, "RE-", "", 1))*1</f>
        <v>0</v>
      </c>
      <c r="Z115" s="92">
        <f>(SUBSTITUTE(Audio!Z115, "RE-", "", 1))*1</f>
        <v>0</v>
      </c>
      <c r="AA115" s="92"/>
      <c r="AB115" s="92"/>
      <c r="AC115" s="92"/>
      <c r="AD115" s="92"/>
      <c r="AE115" s="92"/>
      <c r="AF115" s="92"/>
      <c r="AG115" s="92"/>
      <c r="AH115" s="92"/>
      <c r="AI115" s="92"/>
      <c r="AJ115" s="92"/>
      <c r="AK115" s="92"/>
      <c r="AL115" s="92"/>
      <c r="AM115" s="92"/>
      <c r="AN115" s="92"/>
      <c r="AO115" s="92"/>
      <c r="AP115" s="92"/>
      <c r="AQ115" s="92"/>
      <c r="AR115" s="92"/>
      <c r="AS115" s="92"/>
      <c r="AT115" s="92"/>
      <c r="AU115" s="92"/>
      <c r="AV115" s="92"/>
      <c r="AW115" s="92"/>
      <c r="AX115" s="92"/>
      <c r="AY115" s="92"/>
      <c r="AZ115" s="92"/>
      <c r="BA115" s="92"/>
      <c r="BB115" s="92"/>
      <c r="BC115" s="92"/>
      <c r="BD115" s="92"/>
      <c r="BE115" s="92"/>
      <c r="BF115" s="92"/>
      <c r="BG115" s="92"/>
      <c r="BH115" s="92"/>
      <c r="BI115" s="92"/>
      <c r="BJ115" s="92"/>
      <c r="BK115" s="92"/>
      <c r="BL115" s="92"/>
      <c r="BM115" s="92"/>
      <c r="BN115" s="92"/>
      <c r="BO115" s="92"/>
      <c r="BP115" s="92"/>
      <c r="BQ115" s="92"/>
      <c r="BR115" s="92"/>
      <c r="BS115" s="92"/>
      <c r="BT115" s="92"/>
      <c r="BU115" s="92"/>
      <c r="BV115" s="92"/>
      <c r="BW115" s="92"/>
      <c r="BX115" s="92"/>
      <c r="BY115" s="92"/>
      <c r="BZ115" s="92"/>
      <c r="CA115" s="92"/>
      <c r="CB115" s="92"/>
      <c r="CC115" s="92"/>
      <c r="CD115" s="92"/>
      <c r="CE115" s="92"/>
      <c r="CF115" s="92"/>
      <c r="CG115" s="92"/>
      <c r="CH115" s="92"/>
      <c r="CI115" s="92"/>
      <c r="CJ115" s="92"/>
      <c r="CK115" s="92"/>
      <c r="CL115" s="92"/>
      <c r="CM115" s="92"/>
      <c r="CN115" s="92"/>
      <c r="CO115" s="92"/>
      <c r="CP115" s="92"/>
      <c r="CQ115" s="92"/>
      <c r="CR115" s="92"/>
      <c r="CS115" s="92"/>
      <c r="CT115" s="92"/>
      <c r="CU115" s="92"/>
      <c r="CV115" s="92"/>
      <c r="CW115" s="92"/>
      <c r="CX115" s="92"/>
      <c r="CY115" s="92"/>
      <c r="CZ115" s="92"/>
      <c r="DA115" s="92"/>
      <c r="DB115" s="92"/>
      <c r="DC115" s="92"/>
      <c r="DD115" s="92"/>
      <c r="DE115" s="92"/>
      <c r="DF115" s="92"/>
      <c r="DG115" s="92"/>
      <c r="DH115" s="92"/>
      <c r="DI115" s="92"/>
      <c r="DJ115" s="92"/>
      <c r="DK115" s="92"/>
      <c r="DL115" s="92"/>
      <c r="DM115" s="92"/>
      <c r="DN115" s="92"/>
      <c r="DO115" s="92"/>
      <c r="DP115" s="92"/>
      <c r="DQ115" s="92"/>
      <c r="DR115" s="92"/>
      <c r="DS115" s="92"/>
      <c r="DT115" s="92"/>
      <c r="DU115" s="92"/>
      <c r="DV115" s="92"/>
      <c r="DW115" s="92"/>
      <c r="DX115" s="92"/>
      <c r="DY115" s="92"/>
      <c r="DZ115" s="92"/>
      <c r="EA115" s="92"/>
      <c r="EB115" s="92"/>
      <c r="EC115" s="92"/>
      <c r="ED115" s="92"/>
      <c r="EE115" s="92"/>
      <c r="EF115" s="92"/>
      <c r="EG115" s="92"/>
      <c r="EH115" s="92"/>
      <c r="EI115" s="92"/>
      <c r="EJ115" s="92"/>
      <c r="EK115" s="92"/>
      <c r="EL115" s="92"/>
      <c r="EM115" s="92"/>
      <c r="EN115" s="92"/>
      <c r="EO115" s="92"/>
      <c r="EP115" s="92"/>
      <c r="EQ115" s="92"/>
      <c r="ER115" s="92"/>
      <c r="ES115" s="92"/>
      <c r="ET115" s="92"/>
      <c r="EU115" s="92"/>
      <c r="EV115" s="92"/>
      <c r="EW115" s="92"/>
      <c r="EX115" s="92"/>
      <c r="EY115" s="92"/>
      <c r="EZ115" s="92"/>
      <c r="FA115" s="92"/>
      <c r="FB115" s="92"/>
      <c r="FC115" s="92"/>
      <c r="FD115" s="92"/>
      <c r="FE115" s="92"/>
      <c r="FF115" s="92"/>
      <c r="FG115" s="92"/>
      <c r="FH115" s="92"/>
    </row>
    <row r="116">
      <c r="A116" s="32" t="s">
        <v>7</v>
      </c>
      <c r="B116" s="32" t="s">
        <v>31</v>
      </c>
      <c r="C116" s="32" t="s">
        <v>9</v>
      </c>
      <c r="D116" s="97">
        <f t="shared" si="1"/>
        <v>5735.57377</v>
      </c>
      <c r="E116" s="92">
        <f>(SUBSTITUTE(Audio!E116, "RE-", "", 1))*1</f>
        <v>0</v>
      </c>
      <c r="F116" s="92">
        <f>(SUBSTITUTE(Audio!F116, "RE-", "", 1))*1</f>
        <v>518.7217969</v>
      </c>
      <c r="G116" s="92">
        <f>(SUBSTITUTE(Audio!G116, "RE-", "", 1))*1</f>
        <v>0</v>
      </c>
      <c r="H116" s="92">
        <f>(SUBSTITUTE(Audio!H116, "RE-", "", 1))*1</f>
        <v>96.2812</v>
      </c>
      <c r="I116" s="92">
        <f>(SUBSTITUTE(Audio!I116, "RE-", "", 1))*1</f>
        <v>0</v>
      </c>
      <c r="J116" s="92">
        <f>(SUBSTITUTE(Audio!J116, "RE-", "", 1))*1</f>
        <v>1920.847203</v>
      </c>
      <c r="K116" s="92">
        <f>(SUBSTITUTE(Audio!K116, "RE-", "", 1))*1</f>
        <v>0</v>
      </c>
      <c r="L116" s="92">
        <f>(SUBSTITUTE(Audio!L116, "RE-", "", 1))*1</f>
        <v>623.0315104</v>
      </c>
      <c r="M116" s="92">
        <f>(SUBSTITUTE(Audio!M116, "RE-", "", 1))*1</f>
        <v>0</v>
      </c>
      <c r="N116" s="92">
        <f>(SUBSTITUTE(Audio!N116, "RE-", "", 1))*1</f>
        <v>1498.154014</v>
      </c>
      <c r="O116" s="92">
        <f>(SUBSTITUTE(Audio!O116, "RE-", "", 1))*1</f>
        <v>0</v>
      </c>
      <c r="P116" s="92">
        <f>(SUBSTITUTE(Audio!P116, "RE-", "", 1))*1</f>
        <v>352.264449</v>
      </c>
      <c r="Q116" s="92">
        <f>(SUBSTITUTE(Audio!Q116, "RE-", "", 1))*1</f>
        <v>0</v>
      </c>
      <c r="R116" s="92">
        <f>(SUBSTITUTE(Audio!R116, "RE-", "", 1))*1</f>
        <v>145.6586938</v>
      </c>
      <c r="S116" s="92">
        <f>(SUBSTITUTE(Audio!S116, "RE-", "", 1))*1</f>
        <v>0</v>
      </c>
      <c r="T116" s="92">
        <f>(SUBSTITUTE(Audio!T116, "RE-", "", 1))*1</f>
        <v>580.6149031</v>
      </c>
      <c r="U116" s="92">
        <f>(SUBSTITUTE(Audio!U116, "RE-", "", 1))*1</f>
        <v>0</v>
      </c>
      <c r="V116" s="92">
        <f>(SUBSTITUTE(Audio!V116, "RE-", "", 1))*1</f>
        <v>0</v>
      </c>
      <c r="W116" s="92">
        <f>(SUBSTITUTE(Audio!W116, "RE-", "", 1))*1</f>
        <v>0</v>
      </c>
      <c r="X116" s="92">
        <f>(SUBSTITUTE(Audio!X116, "RE-", "", 1))*1</f>
        <v>0</v>
      </c>
      <c r="Y116" s="92">
        <f>(SUBSTITUTE(Audio!Y116, "RE-", "", 1))*1</f>
        <v>0</v>
      </c>
      <c r="Z116" s="92">
        <f>(SUBSTITUTE(Audio!Z116, "RE-", "", 1))*1</f>
        <v>0</v>
      </c>
      <c r="AA116" s="92"/>
      <c r="AB116" s="92"/>
      <c r="AC116" s="92"/>
      <c r="AD116" s="92"/>
      <c r="AE116" s="92"/>
      <c r="AF116" s="92"/>
      <c r="AG116" s="92"/>
      <c r="AH116" s="92"/>
      <c r="AI116" s="92"/>
      <c r="AJ116" s="92"/>
      <c r="AK116" s="92"/>
      <c r="AL116" s="92"/>
      <c r="AM116" s="92"/>
      <c r="AN116" s="92"/>
      <c r="AO116" s="92"/>
      <c r="AP116" s="92"/>
      <c r="AQ116" s="92"/>
      <c r="AR116" s="92"/>
      <c r="AS116" s="92"/>
      <c r="AT116" s="92"/>
      <c r="AU116" s="92"/>
      <c r="AV116" s="92"/>
      <c r="AW116" s="92"/>
      <c r="AX116" s="92"/>
      <c r="AY116" s="92"/>
      <c r="AZ116" s="92"/>
      <c r="BA116" s="92"/>
      <c r="BB116" s="92"/>
      <c r="BC116" s="92"/>
      <c r="BD116" s="92"/>
      <c r="BE116" s="92"/>
      <c r="BF116" s="92"/>
      <c r="BG116" s="92"/>
      <c r="BH116" s="92"/>
      <c r="BI116" s="92"/>
      <c r="BJ116" s="92"/>
      <c r="BK116" s="92"/>
      <c r="BL116" s="92"/>
      <c r="BM116" s="92"/>
      <c r="BN116" s="92"/>
      <c r="BO116" s="92"/>
      <c r="BP116" s="92"/>
      <c r="BQ116" s="92"/>
      <c r="BR116" s="92"/>
      <c r="BS116" s="92"/>
      <c r="BT116" s="92"/>
      <c r="BU116" s="92"/>
      <c r="BV116" s="92"/>
      <c r="BW116" s="92"/>
      <c r="BX116" s="92"/>
      <c r="BY116" s="92"/>
      <c r="BZ116" s="92"/>
      <c r="CA116" s="92"/>
      <c r="CB116" s="92"/>
      <c r="CC116" s="92"/>
      <c r="CD116" s="92"/>
      <c r="CE116" s="92"/>
      <c r="CF116" s="92"/>
      <c r="CG116" s="92"/>
      <c r="CH116" s="92"/>
      <c r="CI116" s="92"/>
      <c r="CJ116" s="92"/>
      <c r="CK116" s="92"/>
      <c r="CL116" s="92"/>
      <c r="CM116" s="92"/>
      <c r="CN116" s="92"/>
      <c r="CO116" s="92"/>
      <c r="CP116" s="92"/>
      <c r="CQ116" s="92"/>
      <c r="CR116" s="92"/>
      <c r="CS116" s="92"/>
      <c r="CT116" s="92"/>
      <c r="CU116" s="92"/>
      <c r="CV116" s="92"/>
      <c r="CW116" s="92"/>
      <c r="CX116" s="92"/>
      <c r="CY116" s="92"/>
      <c r="CZ116" s="92"/>
      <c r="DA116" s="92"/>
      <c r="DB116" s="92"/>
      <c r="DC116" s="92"/>
      <c r="DD116" s="92"/>
      <c r="DE116" s="92"/>
      <c r="DF116" s="92"/>
      <c r="DG116" s="92"/>
      <c r="DH116" s="92"/>
      <c r="DI116" s="92"/>
      <c r="DJ116" s="92"/>
      <c r="DK116" s="92"/>
      <c r="DL116" s="92"/>
      <c r="DM116" s="92"/>
      <c r="DN116" s="92"/>
      <c r="DO116" s="92"/>
      <c r="DP116" s="92"/>
      <c r="DQ116" s="92"/>
      <c r="DR116" s="92"/>
      <c r="DS116" s="92"/>
      <c r="DT116" s="92"/>
      <c r="DU116" s="92"/>
      <c r="DV116" s="92"/>
      <c r="DW116" s="92"/>
      <c r="DX116" s="92"/>
      <c r="DY116" s="92"/>
      <c r="DZ116" s="92"/>
      <c r="EA116" s="92"/>
      <c r="EB116" s="92"/>
      <c r="EC116" s="92"/>
      <c r="ED116" s="92"/>
      <c r="EE116" s="92"/>
      <c r="EF116" s="92"/>
      <c r="EG116" s="92"/>
      <c r="EH116" s="92"/>
      <c r="EI116" s="92"/>
      <c r="EJ116" s="92"/>
      <c r="EK116" s="92"/>
      <c r="EL116" s="92"/>
      <c r="EM116" s="92"/>
      <c r="EN116" s="92"/>
      <c r="EO116" s="92"/>
      <c r="EP116" s="92"/>
      <c r="EQ116" s="92"/>
      <c r="ER116" s="92"/>
      <c r="ES116" s="92"/>
      <c r="ET116" s="92"/>
      <c r="EU116" s="92"/>
      <c r="EV116" s="92"/>
      <c r="EW116" s="92"/>
      <c r="EX116" s="92"/>
      <c r="EY116" s="92"/>
      <c r="EZ116" s="92"/>
      <c r="FA116" s="92"/>
      <c r="FB116" s="92"/>
      <c r="FC116" s="92"/>
      <c r="FD116" s="92"/>
      <c r="FE116" s="92"/>
      <c r="FF116" s="92"/>
      <c r="FG116" s="92"/>
      <c r="FH116" s="92"/>
    </row>
    <row r="117">
      <c r="A117" s="32" t="s">
        <v>7</v>
      </c>
      <c r="B117" s="32" t="s">
        <v>31</v>
      </c>
      <c r="C117" s="32" t="s">
        <v>10</v>
      </c>
      <c r="D117" s="97">
        <f t="shared" si="1"/>
        <v>607.2753156</v>
      </c>
      <c r="E117" s="92">
        <f>(SUBSTITUTE(Audio!E117, "RE-", "", 1))*1</f>
        <v>0</v>
      </c>
      <c r="F117" s="92">
        <f>(SUBSTITUTE(Audio!F117, "RE-", "", 1))*1</f>
        <v>0</v>
      </c>
      <c r="G117" s="92">
        <f>(SUBSTITUTE(Audio!G117, "RE-", "", 1))*1</f>
        <v>38.44580625</v>
      </c>
      <c r="H117" s="92">
        <f>(SUBSTITUTE(Audio!H117, "RE-", "", 1))*1</f>
        <v>0</v>
      </c>
      <c r="I117" s="92">
        <f>(SUBSTITUTE(Audio!I117, "RE-", "", 1))*1</f>
        <v>6.670242708</v>
      </c>
      <c r="J117" s="92">
        <f>(SUBSTITUTE(Audio!J117, "RE-", "", 1))*1</f>
        <v>0</v>
      </c>
      <c r="K117" s="92">
        <f>(SUBSTITUTE(Audio!K117, "RE-", "", 1))*1</f>
        <v>185.2017729</v>
      </c>
      <c r="L117" s="92">
        <f>(SUBSTITUTE(Audio!L117, "RE-", "", 1))*1</f>
        <v>0</v>
      </c>
      <c r="M117" s="92">
        <f>(SUBSTITUTE(Audio!M117, "RE-", "", 1))*1</f>
        <v>29.72905937</v>
      </c>
      <c r="N117" s="92">
        <f>(SUBSTITUTE(Audio!N117, "RE-", "", 1))*1</f>
        <v>0</v>
      </c>
      <c r="O117" s="92">
        <f>(SUBSTITUTE(Audio!O117, "RE-", "", 1))*1</f>
        <v>145.768499</v>
      </c>
      <c r="P117" s="92">
        <f>(SUBSTITUTE(Audio!P117, "RE-", "", 1))*1</f>
        <v>0</v>
      </c>
      <c r="Q117" s="92">
        <f>(SUBSTITUTE(Audio!Q117, "RE-", "", 1))*1</f>
        <v>97.95701771</v>
      </c>
      <c r="R117" s="92">
        <f>(SUBSTITUTE(Audio!R117, "RE-", "", 1))*1</f>
        <v>0</v>
      </c>
      <c r="S117" s="92">
        <f>(SUBSTITUTE(Audio!S117, "RE-", "", 1))*1</f>
        <v>29.44124375</v>
      </c>
      <c r="T117" s="92">
        <f>(SUBSTITUTE(Audio!T117, "RE-", "", 1))*1</f>
        <v>0</v>
      </c>
      <c r="U117" s="92">
        <f>(SUBSTITUTE(Audio!U117, "RE-", "", 1))*1</f>
        <v>69.19845521</v>
      </c>
      <c r="V117" s="92">
        <f>(SUBSTITUTE(Audio!V117, "RE-", "", 1))*1</f>
        <v>4.86321875</v>
      </c>
      <c r="W117" s="92">
        <f>(SUBSTITUTE(Audio!W117, "RE-", "", 1))*1</f>
        <v>0</v>
      </c>
      <c r="X117" s="92">
        <f>(SUBSTITUTE(Audio!X117, "RE-", "", 1))*1</f>
        <v>0</v>
      </c>
      <c r="Y117" s="92">
        <f>(SUBSTITUTE(Audio!Y117, "RE-", "", 1))*1</f>
        <v>0</v>
      </c>
      <c r="Z117" s="92">
        <f>(SUBSTITUTE(Audio!Z117, "RE-", "", 1))*1</f>
        <v>0</v>
      </c>
      <c r="AA117" s="92"/>
      <c r="AB117" s="92"/>
      <c r="AC117" s="92"/>
      <c r="AD117" s="92"/>
      <c r="AE117" s="92"/>
      <c r="AF117" s="92"/>
      <c r="AG117" s="92"/>
      <c r="AH117" s="92"/>
      <c r="AI117" s="92"/>
      <c r="AJ117" s="92"/>
      <c r="AK117" s="92"/>
      <c r="AL117" s="92"/>
      <c r="AM117" s="92"/>
      <c r="AN117" s="92"/>
      <c r="AO117" s="92"/>
      <c r="AP117" s="92"/>
      <c r="AQ117" s="92"/>
      <c r="AR117" s="92"/>
      <c r="AS117" s="92"/>
      <c r="AT117" s="92"/>
      <c r="AU117" s="92"/>
      <c r="AV117" s="92"/>
      <c r="AW117" s="92"/>
      <c r="AX117" s="92"/>
      <c r="AY117" s="92"/>
      <c r="AZ117" s="92"/>
      <c r="BA117" s="92"/>
      <c r="BB117" s="92"/>
      <c r="BC117" s="92"/>
      <c r="BD117" s="92"/>
      <c r="BE117" s="92"/>
      <c r="BF117" s="92"/>
      <c r="BG117" s="92"/>
      <c r="BH117" s="92"/>
      <c r="BI117" s="92"/>
      <c r="BJ117" s="92"/>
      <c r="BK117" s="92"/>
      <c r="BL117" s="92"/>
      <c r="BM117" s="92"/>
      <c r="BN117" s="92"/>
      <c r="BO117" s="92"/>
      <c r="BP117" s="92"/>
      <c r="BQ117" s="92"/>
      <c r="BR117" s="92"/>
      <c r="BS117" s="92"/>
      <c r="BT117" s="92"/>
      <c r="BU117" s="92"/>
      <c r="BV117" s="92"/>
      <c r="BW117" s="92"/>
      <c r="BX117" s="92"/>
      <c r="BY117" s="92"/>
      <c r="BZ117" s="92"/>
      <c r="CA117" s="92"/>
      <c r="CB117" s="92"/>
      <c r="CC117" s="92"/>
      <c r="CD117" s="92"/>
      <c r="CE117" s="92"/>
      <c r="CF117" s="92"/>
      <c r="CG117" s="92"/>
      <c r="CH117" s="92"/>
      <c r="CI117" s="92"/>
      <c r="CJ117" s="92"/>
      <c r="CK117" s="92"/>
      <c r="CL117" s="92"/>
      <c r="CM117" s="92"/>
      <c r="CN117" s="92"/>
      <c r="CO117" s="92"/>
      <c r="CP117" s="92"/>
      <c r="CQ117" s="92"/>
      <c r="CR117" s="92"/>
      <c r="CS117" s="92"/>
      <c r="CT117" s="92"/>
      <c r="CU117" s="92"/>
      <c r="CV117" s="92"/>
      <c r="CW117" s="92"/>
      <c r="CX117" s="92"/>
      <c r="CY117" s="92"/>
      <c r="CZ117" s="92"/>
      <c r="DA117" s="92"/>
      <c r="DB117" s="92"/>
      <c r="DC117" s="92"/>
      <c r="DD117" s="92"/>
      <c r="DE117" s="92"/>
      <c r="DF117" s="92"/>
      <c r="DG117" s="92"/>
      <c r="DH117" s="92"/>
      <c r="DI117" s="92"/>
      <c r="DJ117" s="92"/>
      <c r="DK117" s="92"/>
      <c r="DL117" s="92"/>
      <c r="DM117" s="92"/>
      <c r="DN117" s="92"/>
      <c r="DO117" s="92"/>
      <c r="DP117" s="92"/>
      <c r="DQ117" s="92"/>
      <c r="DR117" s="92"/>
      <c r="DS117" s="92"/>
      <c r="DT117" s="92"/>
      <c r="DU117" s="92"/>
      <c r="DV117" s="92"/>
      <c r="DW117" s="92"/>
      <c r="DX117" s="92"/>
      <c r="DY117" s="92"/>
      <c r="DZ117" s="92"/>
      <c r="EA117" s="92"/>
      <c r="EB117" s="92"/>
      <c r="EC117" s="92"/>
      <c r="ED117" s="92"/>
      <c r="EE117" s="92"/>
      <c r="EF117" s="92"/>
      <c r="EG117" s="92"/>
      <c r="EH117" s="92"/>
      <c r="EI117" s="92"/>
      <c r="EJ117" s="92"/>
      <c r="EK117" s="92"/>
      <c r="EL117" s="92"/>
      <c r="EM117" s="92"/>
      <c r="EN117" s="92"/>
      <c r="EO117" s="92"/>
      <c r="EP117" s="92"/>
      <c r="EQ117" s="92"/>
      <c r="ER117" s="92"/>
      <c r="ES117" s="92"/>
      <c r="ET117" s="92"/>
      <c r="EU117" s="92"/>
      <c r="EV117" s="92"/>
      <c r="EW117" s="92"/>
      <c r="EX117" s="92"/>
      <c r="EY117" s="92"/>
      <c r="EZ117" s="92"/>
      <c r="FA117" s="92"/>
      <c r="FB117" s="92"/>
      <c r="FC117" s="92"/>
      <c r="FD117" s="92"/>
      <c r="FE117" s="92"/>
      <c r="FF117" s="92"/>
      <c r="FG117" s="92"/>
      <c r="FH117" s="92"/>
    </row>
    <row r="118">
      <c r="A118" s="32" t="s">
        <v>7</v>
      </c>
      <c r="B118" s="32" t="s">
        <v>31</v>
      </c>
      <c r="C118" s="32" t="s">
        <v>11</v>
      </c>
      <c r="D118" s="97">
        <f t="shared" si="1"/>
        <v>607.2753156</v>
      </c>
      <c r="E118" s="92">
        <f>(SUBSTITUTE(Audio!E118, "RE-", "", 1))*1</f>
        <v>0</v>
      </c>
      <c r="F118" s="92">
        <f>(SUBSTITUTE(Audio!F118, "RE-", "", 1))*1</f>
        <v>0</v>
      </c>
      <c r="G118" s="92">
        <f>(SUBSTITUTE(Audio!G118, "RE-", "", 1))*1</f>
        <v>38.44580625</v>
      </c>
      <c r="H118" s="92">
        <f>(SUBSTITUTE(Audio!H118, "RE-", "", 1))*1</f>
        <v>0</v>
      </c>
      <c r="I118" s="92">
        <f>(SUBSTITUTE(Audio!I118, "RE-", "", 1))*1</f>
        <v>6.670242708</v>
      </c>
      <c r="J118" s="92">
        <f>(SUBSTITUTE(Audio!J118, "RE-", "", 1))*1</f>
        <v>0</v>
      </c>
      <c r="K118" s="92">
        <f>(SUBSTITUTE(Audio!K118, "RE-", "", 1))*1</f>
        <v>185.2017729</v>
      </c>
      <c r="L118" s="92">
        <f>(SUBSTITUTE(Audio!L118, "RE-", "", 1))*1</f>
        <v>0</v>
      </c>
      <c r="M118" s="92">
        <f>(SUBSTITUTE(Audio!M118, "RE-", "", 1))*1</f>
        <v>29.72905937</v>
      </c>
      <c r="N118" s="92">
        <f>(SUBSTITUTE(Audio!N118, "RE-", "", 1))*1</f>
        <v>0</v>
      </c>
      <c r="O118" s="92">
        <f>(SUBSTITUTE(Audio!O118, "RE-", "", 1))*1</f>
        <v>145.768499</v>
      </c>
      <c r="P118" s="92">
        <f>(SUBSTITUTE(Audio!P118, "RE-", "", 1))*1</f>
        <v>0</v>
      </c>
      <c r="Q118" s="92">
        <f>(SUBSTITUTE(Audio!Q118, "RE-", "", 1))*1</f>
        <v>97.95701771</v>
      </c>
      <c r="R118" s="92">
        <f>(SUBSTITUTE(Audio!R118, "RE-", "", 1))*1</f>
        <v>0</v>
      </c>
      <c r="S118" s="92">
        <f>(SUBSTITUTE(Audio!S118, "RE-", "", 1))*1</f>
        <v>29.44124375</v>
      </c>
      <c r="T118" s="92">
        <f>(SUBSTITUTE(Audio!T118, "RE-", "", 1))*1</f>
        <v>0</v>
      </c>
      <c r="U118" s="92">
        <f>(SUBSTITUTE(Audio!U118, "RE-", "", 1))*1</f>
        <v>69.19845521</v>
      </c>
      <c r="V118" s="92">
        <f>(SUBSTITUTE(Audio!V118, "RE-", "", 1))*1</f>
        <v>4.86321875</v>
      </c>
      <c r="W118" s="92">
        <f>(SUBSTITUTE(Audio!W118, "RE-", "", 1))*1</f>
        <v>0</v>
      </c>
      <c r="X118" s="92">
        <f>(SUBSTITUTE(Audio!X118, "RE-", "", 1))*1</f>
        <v>0</v>
      </c>
      <c r="Y118" s="92">
        <f>(SUBSTITUTE(Audio!Y118, "RE-", "", 1))*1</f>
        <v>0</v>
      </c>
      <c r="Z118" s="92">
        <f>(SUBSTITUTE(Audio!Z118, "RE-", "", 1))*1</f>
        <v>0</v>
      </c>
      <c r="AA118" s="92"/>
      <c r="AB118" s="92"/>
      <c r="AC118" s="92"/>
      <c r="AD118" s="92"/>
      <c r="AE118" s="92"/>
      <c r="AF118" s="92"/>
      <c r="AG118" s="92"/>
      <c r="AH118" s="92"/>
      <c r="AI118" s="92"/>
      <c r="AJ118" s="92"/>
      <c r="AK118" s="92"/>
      <c r="AL118" s="92"/>
      <c r="AM118" s="92"/>
      <c r="AN118" s="92"/>
      <c r="AO118" s="92"/>
      <c r="AP118" s="92"/>
      <c r="AQ118" s="92"/>
      <c r="AR118" s="92"/>
      <c r="AS118" s="92"/>
      <c r="AT118" s="92"/>
      <c r="AU118" s="92"/>
      <c r="AV118" s="92"/>
      <c r="AW118" s="92"/>
      <c r="AX118" s="92"/>
      <c r="AY118" s="92"/>
      <c r="AZ118" s="92"/>
      <c r="BA118" s="92"/>
      <c r="BB118" s="92"/>
      <c r="BC118" s="92"/>
      <c r="BD118" s="92"/>
      <c r="BE118" s="92"/>
      <c r="BF118" s="92"/>
      <c r="BG118" s="92"/>
      <c r="BH118" s="92"/>
      <c r="BI118" s="92"/>
      <c r="BJ118" s="92"/>
      <c r="BK118" s="92"/>
      <c r="BL118" s="92"/>
      <c r="BM118" s="92"/>
      <c r="BN118" s="92"/>
      <c r="BO118" s="92"/>
      <c r="BP118" s="92"/>
      <c r="BQ118" s="92"/>
      <c r="BR118" s="92"/>
      <c r="BS118" s="92"/>
      <c r="BT118" s="92"/>
      <c r="BU118" s="92"/>
      <c r="BV118" s="92"/>
      <c r="BW118" s="92"/>
      <c r="BX118" s="92"/>
      <c r="BY118" s="92"/>
      <c r="BZ118" s="92"/>
      <c r="CA118" s="92"/>
      <c r="CB118" s="92"/>
      <c r="CC118" s="92"/>
      <c r="CD118" s="92"/>
      <c r="CE118" s="92"/>
      <c r="CF118" s="92"/>
      <c r="CG118" s="92"/>
      <c r="CH118" s="92"/>
      <c r="CI118" s="92"/>
      <c r="CJ118" s="92"/>
      <c r="CK118" s="92"/>
      <c r="CL118" s="92"/>
      <c r="CM118" s="92"/>
      <c r="CN118" s="92"/>
      <c r="CO118" s="92"/>
      <c r="CP118" s="92"/>
      <c r="CQ118" s="92"/>
      <c r="CR118" s="92"/>
      <c r="CS118" s="92"/>
      <c r="CT118" s="92"/>
      <c r="CU118" s="92"/>
      <c r="CV118" s="92"/>
      <c r="CW118" s="92"/>
      <c r="CX118" s="92"/>
      <c r="CY118" s="92"/>
      <c r="CZ118" s="92"/>
      <c r="DA118" s="92"/>
      <c r="DB118" s="92"/>
      <c r="DC118" s="92"/>
      <c r="DD118" s="92"/>
      <c r="DE118" s="92"/>
      <c r="DF118" s="92"/>
      <c r="DG118" s="92"/>
      <c r="DH118" s="92"/>
      <c r="DI118" s="92"/>
      <c r="DJ118" s="92"/>
      <c r="DK118" s="92"/>
      <c r="DL118" s="92"/>
      <c r="DM118" s="92"/>
      <c r="DN118" s="92"/>
      <c r="DO118" s="92"/>
      <c r="DP118" s="92"/>
      <c r="DQ118" s="92"/>
      <c r="DR118" s="92"/>
      <c r="DS118" s="92"/>
      <c r="DT118" s="92"/>
      <c r="DU118" s="92"/>
      <c r="DV118" s="92"/>
      <c r="DW118" s="92"/>
      <c r="DX118" s="92"/>
      <c r="DY118" s="92"/>
      <c r="DZ118" s="92"/>
      <c r="EA118" s="92"/>
      <c r="EB118" s="92"/>
      <c r="EC118" s="92"/>
      <c r="ED118" s="92"/>
      <c r="EE118" s="92"/>
      <c r="EF118" s="92"/>
      <c r="EG118" s="92"/>
      <c r="EH118" s="92"/>
      <c r="EI118" s="92"/>
      <c r="EJ118" s="92"/>
      <c r="EK118" s="92"/>
      <c r="EL118" s="92"/>
      <c r="EM118" s="92"/>
      <c r="EN118" s="92"/>
      <c r="EO118" s="92"/>
      <c r="EP118" s="92"/>
      <c r="EQ118" s="92"/>
      <c r="ER118" s="92"/>
      <c r="ES118" s="92"/>
      <c r="ET118" s="92"/>
      <c r="EU118" s="92"/>
      <c r="EV118" s="92"/>
      <c r="EW118" s="92"/>
      <c r="EX118" s="92"/>
      <c r="EY118" s="92"/>
      <c r="EZ118" s="92"/>
      <c r="FA118" s="92"/>
      <c r="FB118" s="92"/>
      <c r="FC118" s="92"/>
      <c r="FD118" s="92"/>
      <c r="FE118" s="92"/>
      <c r="FF118" s="92"/>
      <c r="FG118" s="92"/>
      <c r="FH118" s="92"/>
    </row>
    <row r="119">
      <c r="A119" s="32" t="s">
        <v>7</v>
      </c>
      <c r="B119" s="32" t="s">
        <v>31</v>
      </c>
      <c r="C119" s="32" t="s">
        <v>12</v>
      </c>
      <c r="D119" s="97">
        <f t="shared" si="1"/>
        <v>4703.595254</v>
      </c>
      <c r="E119" s="92">
        <f>(SUBSTITUTE(Audio!E119, "RE-", "", 1))*1</f>
        <v>0</v>
      </c>
      <c r="F119" s="92">
        <f>(SUBSTITUTE(Audio!F119, "RE-", "", 1))*1</f>
        <v>446.0669458</v>
      </c>
      <c r="G119" s="92">
        <f>(SUBSTITUTE(Audio!G119, "RE-", "", 1))*1</f>
        <v>1.361091667</v>
      </c>
      <c r="H119" s="92">
        <f>(SUBSTITUTE(Audio!H119, "RE-", "", 1))*1</f>
        <v>85.74764583</v>
      </c>
      <c r="I119" s="92">
        <f>(SUBSTITUTE(Audio!I119, "RE-", "", 1))*1</f>
        <v>0.3493104167</v>
      </c>
      <c r="J119" s="92">
        <f>(SUBSTITUTE(Audio!J119, "RE-", "", 1))*1</f>
        <v>1528.603084</v>
      </c>
      <c r="K119" s="92">
        <f>(SUBSTITUTE(Audio!K119, "RE-", "", 1))*1</f>
        <v>4.179741667</v>
      </c>
      <c r="L119" s="92">
        <f>(SUBSTITUTE(Audio!L119, "RE-", "", 1))*1</f>
        <v>550.6831729</v>
      </c>
      <c r="M119" s="92">
        <f>(SUBSTITUTE(Audio!M119, "RE-", "", 1))*1</f>
        <v>7.915171875</v>
      </c>
      <c r="N119" s="92">
        <f>(SUBSTITUTE(Audio!N119, "RE-", "", 1))*1</f>
        <v>934.1350688</v>
      </c>
      <c r="O119" s="92">
        <f>(SUBSTITUTE(Audio!O119, "RE-", "", 1))*1</f>
        <v>19.885375</v>
      </c>
      <c r="P119" s="92">
        <f>(SUBSTITUTE(Audio!P119, "RE-", "", 1))*1</f>
        <v>328.2771115</v>
      </c>
      <c r="Q119" s="92">
        <f>(SUBSTITUTE(Audio!Q119, "RE-", "", 1))*1</f>
        <v>41.420125</v>
      </c>
      <c r="R119" s="92">
        <f>(SUBSTITUTE(Audio!R119, "RE-", "", 1))*1</f>
        <v>134.3386604</v>
      </c>
      <c r="S119" s="92">
        <f>(SUBSTITUTE(Audio!S119, "RE-", "", 1))*1</f>
        <v>16.12932292</v>
      </c>
      <c r="T119" s="92">
        <f>(SUBSTITUTE(Audio!T119, "RE-", "", 1))*1</f>
        <v>559.6483177</v>
      </c>
      <c r="U119" s="92">
        <f>(SUBSTITUTE(Audio!U119, "RE-", "", 1))*1</f>
        <v>42.66343958</v>
      </c>
      <c r="V119" s="92">
        <f>(SUBSTITUTE(Audio!V119, "RE-", "", 1))*1</f>
        <v>2.19166875</v>
      </c>
      <c r="W119" s="92">
        <f>(SUBSTITUTE(Audio!W119, "RE-", "", 1))*1</f>
        <v>0</v>
      </c>
      <c r="X119" s="92">
        <f>(SUBSTITUTE(Audio!X119, "RE-", "", 1))*1</f>
        <v>0</v>
      </c>
      <c r="Y119" s="92">
        <f>(SUBSTITUTE(Audio!Y119, "RE-", "", 1))*1</f>
        <v>0</v>
      </c>
      <c r="Z119" s="92">
        <f>(SUBSTITUTE(Audio!Z119, "RE-", "", 1))*1</f>
        <v>0</v>
      </c>
      <c r="AA119" s="92"/>
      <c r="AB119" s="92"/>
      <c r="AC119" s="92"/>
      <c r="AD119" s="92"/>
      <c r="AE119" s="92"/>
      <c r="AF119" s="92"/>
      <c r="AG119" s="92"/>
      <c r="AH119" s="92"/>
      <c r="AI119" s="92"/>
      <c r="AJ119" s="92"/>
      <c r="AK119" s="92"/>
      <c r="AL119" s="92"/>
      <c r="AM119" s="92"/>
      <c r="AN119" s="92"/>
      <c r="AO119" s="92"/>
      <c r="AP119" s="92"/>
      <c r="AQ119" s="92"/>
      <c r="AR119" s="92"/>
      <c r="AS119" s="92"/>
      <c r="AT119" s="92"/>
      <c r="AU119" s="92"/>
      <c r="AV119" s="92"/>
      <c r="AW119" s="92"/>
      <c r="AX119" s="92"/>
      <c r="AY119" s="92"/>
      <c r="AZ119" s="92"/>
      <c r="BA119" s="92"/>
      <c r="BB119" s="92"/>
      <c r="BC119" s="92"/>
      <c r="BD119" s="92"/>
      <c r="BE119" s="92"/>
      <c r="BF119" s="92"/>
      <c r="BG119" s="92"/>
      <c r="BH119" s="92"/>
      <c r="BI119" s="92"/>
      <c r="BJ119" s="92"/>
      <c r="BK119" s="92"/>
      <c r="BL119" s="92"/>
      <c r="BM119" s="92"/>
      <c r="BN119" s="92"/>
      <c r="BO119" s="92"/>
      <c r="BP119" s="92"/>
      <c r="BQ119" s="92"/>
      <c r="BR119" s="92"/>
      <c r="BS119" s="92"/>
      <c r="BT119" s="92"/>
      <c r="BU119" s="92"/>
      <c r="BV119" s="92"/>
      <c r="BW119" s="92"/>
      <c r="BX119" s="92"/>
      <c r="BY119" s="92"/>
      <c r="BZ119" s="92"/>
      <c r="CA119" s="92"/>
      <c r="CB119" s="92"/>
      <c r="CC119" s="92"/>
      <c r="CD119" s="92"/>
      <c r="CE119" s="92"/>
      <c r="CF119" s="92"/>
      <c r="CG119" s="92"/>
      <c r="CH119" s="92"/>
      <c r="CI119" s="92"/>
      <c r="CJ119" s="92"/>
      <c r="CK119" s="92"/>
      <c r="CL119" s="92"/>
      <c r="CM119" s="92"/>
      <c r="CN119" s="92"/>
      <c r="CO119" s="92"/>
      <c r="CP119" s="92"/>
      <c r="CQ119" s="92"/>
      <c r="CR119" s="92"/>
      <c r="CS119" s="92"/>
      <c r="CT119" s="92"/>
      <c r="CU119" s="92"/>
      <c r="CV119" s="92"/>
      <c r="CW119" s="92"/>
      <c r="CX119" s="92"/>
      <c r="CY119" s="92"/>
      <c r="CZ119" s="92"/>
      <c r="DA119" s="92"/>
      <c r="DB119" s="92"/>
      <c r="DC119" s="92"/>
      <c r="DD119" s="92"/>
      <c r="DE119" s="92"/>
      <c r="DF119" s="92"/>
      <c r="DG119" s="92"/>
      <c r="DH119" s="92"/>
      <c r="DI119" s="92"/>
      <c r="DJ119" s="92"/>
      <c r="DK119" s="92"/>
      <c r="DL119" s="92"/>
      <c r="DM119" s="92"/>
      <c r="DN119" s="92"/>
      <c r="DO119" s="92"/>
      <c r="DP119" s="92"/>
      <c r="DQ119" s="92"/>
      <c r="DR119" s="92"/>
      <c r="DS119" s="92"/>
      <c r="DT119" s="92"/>
      <c r="DU119" s="92"/>
      <c r="DV119" s="92"/>
      <c r="DW119" s="92"/>
      <c r="DX119" s="92"/>
      <c r="DY119" s="92"/>
      <c r="DZ119" s="92"/>
      <c r="EA119" s="92"/>
      <c r="EB119" s="92"/>
      <c r="EC119" s="92"/>
      <c r="ED119" s="92"/>
      <c r="EE119" s="92"/>
      <c r="EF119" s="92"/>
      <c r="EG119" s="92"/>
      <c r="EH119" s="92"/>
      <c r="EI119" s="92"/>
      <c r="EJ119" s="92"/>
      <c r="EK119" s="92"/>
      <c r="EL119" s="92"/>
      <c r="EM119" s="92"/>
      <c r="EN119" s="92"/>
      <c r="EO119" s="92"/>
      <c r="EP119" s="92"/>
      <c r="EQ119" s="92"/>
      <c r="ER119" s="92"/>
      <c r="ES119" s="92"/>
      <c r="ET119" s="92"/>
      <c r="EU119" s="92"/>
      <c r="EV119" s="92"/>
      <c r="EW119" s="92"/>
      <c r="EX119" s="92"/>
      <c r="EY119" s="92"/>
      <c r="EZ119" s="92"/>
      <c r="FA119" s="92"/>
      <c r="FB119" s="92"/>
      <c r="FC119" s="92"/>
      <c r="FD119" s="92"/>
      <c r="FE119" s="92"/>
      <c r="FF119" s="92"/>
      <c r="FG119" s="92"/>
      <c r="FH119" s="92"/>
    </row>
    <row r="120">
      <c r="A120" s="32" t="s">
        <v>7</v>
      </c>
      <c r="B120" s="32" t="s">
        <v>31</v>
      </c>
      <c r="C120" s="32" t="s">
        <v>13</v>
      </c>
      <c r="D120" s="97">
        <f t="shared" si="1"/>
        <v>4522.006263</v>
      </c>
      <c r="E120" s="92">
        <f>(SUBSTITUTE(Audio!E120, "RE-", "", 1))*1</f>
        <v>0</v>
      </c>
      <c r="F120" s="92">
        <f>(SUBSTITUTE(Audio!F120, "RE-", "", 1))*1</f>
        <v>431.931</v>
      </c>
      <c r="G120" s="92">
        <f>(SUBSTITUTE(Audio!G120, "RE-", "", 1))*1</f>
        <v>1.29003</v>
      </c>
      <c r="H120" s="92">
        <f>(SUBSTITUTE(Audio!H120, "RE-", "", 1))*1</f>
        <v>83.7111</v>
      </c>
      <c r="I120" s="92">
        <f>(SUBSTITUTE(Audio!I120, "RE-", "", 1))*1</f>
        <v>0.337133</v>
      </c>
      <c r="J120" s="92">
        <f>(SUBSTITUTE(Audio!J120, "RE-", "", 1))*1</f>
        <v>1473.7</v>
      </c>
      <c r="K120" s="92">
        <f>(SUBSTITUTE(Audio!K120, "RE-", "", 1))*1</f>
        <v>4.0475</v>
      </c>
      <c r="L120" s="92">
        <f>(SUBSTITUTE(Audio!L120, "RE-", "", 1))*1</f>
        <v>526.72</v>
      </c>
      <c r="M120" s="92">
        <f>(SUBSTITUTE(Audio!M120, "RE-", "", 1))*1</f>
        <v>7.32105</v>
      </c>
      <c r="N120" s="92">
        <f>(SUBSTITUTE(Audio!N120, "RE-", "", 1))*1</f>
        <v>898.743</v>
      </c>
      <c r="O120" s="92">
        <f>(SUBSTITUTE(Audio!O120, "RE-", "", 1))*1</f>
        <v>18.8023</v>
      </c>
      <c r="P120" s="92">
        <f>(SUBSTITUTE(Audio!P120, "RE-", "", 1))*1</f>
        <v>314.392</v>
      </c>
      <c r="Q120" s="92">
        <f>(SUBSTITUTE(Audio!Q120, "RE-", "", 1))*1</f>
        <v>39.4098</v>
      </c>
      <c r="R120" s="92">
        <f>(SUBSTITUTE(Audio!R120, "RE-", "", 1))*1</f>
        <v>127.678</v>
      </c>
      <c r="S120" s="92">
        <f>(SUBSTITUTE(Audio!S120, "RE-", "", 1))*1</f>
        <v>15.4933</v>
      </c>
      <c r="T120" s="92">
        <f>(SUBSTITUTE(Audio!T120, "RE-", "", 1))*1</f>
        <v>536.305</v>
      </c>
      <c r="U120" s="92">
        <f>(SUBSTITUTE(Audio!U120, "RE-", "", 1))*1</f>
        <v>40.069</v>
      </c>
      <c r="V120" s="92">
        <f>(SUBSTITUTE(Audio!V120, "RE-", "", 1))*1</f>
        <v>2.05605</v>
      </c>
      <c r="W120" s="92">
        <f>(SUBSTITUTE(Audio!W120, "RE-", "", 1))*1</f>
        <v>0</v>
      </c>
      <c r="X120" s="92">
        <f>(SUBSTITUTE(Audio!X120, "RE-", "", 1))*1</f>
        <v>0</v>
      </c>
      <c r="Y120" s="92">
        <f>(SUBSTITUTE(Audio!Y120, "RE-", "", 1))*1</f>
        <v>0</v>
      </c>
      <c r="Z120" s="92">
        <f>(SUBSTITUTE(Audio!Z120, "RE-", "", 1))*1</f>
        <v>0</v>
      </c>
      <c r="AA120" s="92"/>
      <c r="AB120" s="92"/>
      <c r="AC120" s="92"/>
      <c r="AD120" s="92"/>
      <c r="AE120" s="92"/>
      <c r="AF120" s="92"/>
      <c r="AG120" s="92"/>
      <c r="AH120" s="92"/>
      <c r="AI120" s="92"/>
      <c r="AJ120" s="92"/>
      <c r="AK120" s="92"/>
      <c r="AL120" s="92"/>
      <c r="AM120" s="92"/>
      <c r="AN120" s="92"/>
      <c r="AO120" s="92"/>
      <c r="AP120" s="92"/>
      <c r="AQ120" s="92"/>
      <c r="AR120" s="92"/>
      <c r="AS120" s="92"/>
      <c r="AT120" s="92"/>
      <c r="AU120" s="92"/>
      <c r="AV120" s="92"/>
      <c r="AW120" s="92"/>
      <c r="AX120" s="92"/>
      <c r="AY120" s="92"/>
      <c r="AZ120" s="92"/>
      <c r="BA120" s="92"/>
      <c r="BB120" s="92"/>
      <c r="BC120" s="92"/>
      <c r="BD120" s="92"/>
      <c r="BE120" s="92"/>
      <c r="BF120" s="92"/>
      <c r="BG120" s="92"/>
      <c r="BH120" s="92"/>
      <c r="BI120" s="92"/>
      <c r="BJ120" s="92"/>
      <c r="BK120" s="92"/>
      <c r="BL120" s="92"/>
      <c r="BM120" s="92"/>
      <c r="BN120" s="92"/>
      <c r="BO120" s="92"/>
      <c r="BP120" s="92"/>
      <c r="BQ120" s="92"/>
      <c r="BR120" s="92"/>
      <c r="BS120" s="92"/>
      <c r="BT120" s="92"/>
      <c r="BU120" s="92"/>
      <c r="BV120" s="92"/>
      <c r="BW120" s="92"/>
      <c r="BX120" s="92"/>
      <c r="BY120" s="92"/>
      <c r="BZ120" s="92"/>
      <c r="CA120" s="92"/>
      <c r="CB120" s="92"/>
      <c r="CC120" s="92"/>
      <c r="CD120" s="92"/>
      <c r="CE120" s="92"/>
      <c r="CF120" s="92"/>
      <c r="CG120" s="92"/>
      <c r="CH120" s="92"/>
      <c r="CI120" s="92"/>
      <c r="CJ120" s="92"/>
      <c r="CK120" s="92"/>
      <c r="CL120" s="92"/>
      <c r="CM120" s="92"/>
      <c r="CN120" s="92"/>
      <c r="CO120" s="92"/>
      <c r="CP120" s="92"/>
      <c r="CQ120" s="92"/>
      <c r="CR120" s="92"/>
      <c r="CS120" s="92"/>
      <c r="CT120" s="92"/>
      <c r="CU120" s="92"/>
      <c r="CV120" s="92"/>
      <c r="CW120" s="92"/>
      <c r="CX120" s="92"/>
      <c r="CY120" s="92"/>
      <c r="CZ120" s="92"/>
      <c r="DA120" s="92"/>
      <c r="DB120" s="92"/>
      <c r="DC120" s="92"/>
      <c r="DD120" s="92"/>
      <c r="DE120" s="92"/>
      <c r="DF120" s="92"/>
      <c r="DG120" s="92"/>
      <c r="DH120" s="92"/>
      <c r="DI120" s="92"/>
      <c r="DJ120" s="92"/>
      <c r="DK120" s="92"/>
      <c r="DL120" s="92"/>
      <c r="DM120" s="92"/>
      <c r="DN120" s="92"/>
      <c r="DO120" s="92"/>
      <c r="DP120" s="92"/>
      <c r="DQ120" s="92"/>
      <c r="DR120" s="92"/>
      <c r="DS120" s="92"/>
      <c r="DT120" s="92"/>
      <c r="DU120" s="92"/>
      <c r="DV120" s="92"/>
      <c r="DW120" s="92"/>
      <c r="DX120" s="92"/>
      <c r="DY120" s="92"/>
      <c r="DZ120" s="92"/>
      <c r="EA120" s="92"/>
      <c r="EB120" s="92"/>
      <c r="EC120" s="92"/>
      <c r="ED120" s="92"/>
      <c r="EE120" s="92"/>
      <c r="EF120" s="92"/>
      <c r="EG120" s="92"/>
      <c r="EH120" s="92"/>
      <c r="EI120" s="92"/>
      <c r="EJ120" s="92"/>
      <c r="EK120" s="92"/>
      <c r="EL120" s="92"/>
      <c r="EM120" s="92"/>
      <c r="EN120" s="92"/>
      <c r="EO120" s="92"/>
      <c r="EP120" s="92"/>
      <c r="EQ120" s="92"/>
      <c r="ER120" s="92"/>
      <c r="ES120" s="92"/>
      <c r="ET120" s="92"/>
      <c r="EU120" s="92"/>
      <c r="EV120" s="92"/>
      <c r="EW120" s="92"/>
      <c r="EX120" s="92"/>
      <c r="EY120" s="92"/>
      <c r="EZ120" s="92"/>
      <c r="FA120" s="92"/>
      <c r="FB120" s="92"/>
      <c r="FC120" s="92"/>
      <c r="FD120" s="92"/>
      <c r="FE120" s="92"/>
      <c r="FF120" s="92"/>
      <c r="FG120" s="92"/>
      <c r="FH120" s="92"/>
    </row>
    <row r="121">
      <c r="A121" s="32" t="s">
        <v>7</v>
      </c>
      <c r="B121" s="32" t="s">
        <v>31</v>
      </c>
      <c r="C121" s="32" t="s">
        <v>14</v>
      </c>
      <c r="D121" s="97">
        <f t="shared" si="1"/>
        <v>3980.392313</v>
      </c>
      <c r="E121" s="92">
        <f>(SUBSTITUTE(Audio!E121, "RE-", "", 1))*1</f>
        <v>0</v>
      </c>
      <c r="F121" s="92">
        <f>(SUBSTITUTE(Audio!F121, "RE-", "", 1))*1</f>
        <v>384.854</v>
      </c>
      <c r="G121" s="92">
        <f>(SUBSTITUTE(Audio!G121, "RE-", "", 1))*1</f>
        <v>1.21578</v>
      </c>
      <c r="H121" s="92">
        <f>(SUBSTITUTE(Audio!H121, "RE-", "", 1))*1</f>
        <v>73.564</v>
      </c>
      <c r="I121" s="92">
        <f>(SUBSTITUTE(Audio!I121, "RE-", "", 1))*1</f>
        <v>0.337133</v>
      </c>
      <c r="J121" s="92">
        <f>(SUBSTITUTE(Audio!J121, "RE-", "", 1))*1</f>
        <v>1352.31</v>
      </c>
      <c r="K121" s="92">
        <f>(SUBSTITUTE(Audio!K121, "RE-", "", 1))*1</f>
        <v>3.54225</v>
      </c>
      <c r="L121" s="92">
        <f>(SUBSTITUTE(Audio!L121, "RE-", "", 1))*1</f>
        <v>461.019</v>
      </c>
      <c r="M121" s="92">
        <f>(SUBSTITUTE(Audio!M121, "RE-", "", 1))*1</f>
        <v>6.7555</v>
      </c>
      <c r="N121" s="92">
        <f>(SUBSTITUTE(Audio!N121, "RE-", "", 1))*1</f>
        <v>768.461</v>
      </c>
      <c r="O121" s="92">
        <f>(SUBSTITUTE(Audio!O121, "RE-", "", 1))*1</f>
        <v>16.2853</v>
      </c>
      <c r="P121" s="92">
        <f>(SUBSTITUTE(Audio!P121, "RE-", "", 1))*1</f>
        <v>268.76</v>
      </c>
      <c r="Q121" s="92">
        <f>(SUBSTITUTE(Audio!Q121, "RE-", "", 1))*1</f>
        <v>33.582</v>
      </c>
      <c r="R121" s="92">
        <f>(SUBSTITUTE(Audio!R121, "RE-", "", 1))*1</f>
        <v>102.968</v>
      </c>
      <c r="S121" s="92">
        <f>(SUBSTITUTE(Audio!S121, "RE-", "", 1))*1</f>
        <v>14.4743</v>
      </c>
      <c r="T121" s="92">
        <f>(SUBSTITUTE(Audio!T121, "RE-", "", 1))*1</f>
        <v>455.063</v>
      </c>
      <c r="U121" s="92">
        <f>(SUBSTITUTE(Audio!U121, "RE-", "", 1))*1</f>
        <v>35.145</v>
      </c>
      <c r="V121" s="92">
        <f>(SUBSTITUTE(Audio!V121, "RE-", "", 1))*1</f>
        <v>2.05605</v>
      </c>
      <c r="W121" s="92">
        <f>(SUBSTITUTE(Audio!W121, "RE-", "", 1))*1</f>
        <v>0</v>
      </c>
      <c r="X121" s="92">
        <f>(SUBSTITUTE(Audio!X121, "RE-", "", 1))*1</f>
        <v>0</v>
      </c>
      <c r="Y121" s="92">
        <f>(SUBSTITUTE(Audio!Y121, "RE-", "", 1))*1</f>
        <v>0</v>
      </c>
      <c r="Z121" s="92">
        <f>(SUBSTITUTE(Audio!Z121, "RE-", "", 1))*1</f>
        <v>0</v>
      </c>
      <c r="AA121" s="92"/>
      <c r="AB121" s="92"/>
      <c r="AC121" s="92"/>
      <c r="AD121" s="92"/>
      <c r="AE121" s="92"/>
      <c r="AF121" s="92"/>
      <c r="AG121" s="92"/>
      <c r="AH121" s="92"/>
      <c r="AI121" s="92"/>
      <c r="AJ121" s="92"/>
      <c r="AK121" s="92"/>
      <c r="AL121" s="92"/>
      <c r="AM121" s="92"/>
      <c r="AN121" s="92"/>
      <c r="AO121" s="92"/>
      <c r="AP121" s="92"/>
      <c r="AQ121" s="92"/>
      <c r="AR121" s="92"/>
      <c r="AS121" s="92"/>
      <c r="AT121" s="92"/>
      <c r="AU121" s="92"/>
      <c r="AV121" s="92"/>
      <c r="AW121" s="92"/>
      <c r="AX121" s="92"/>
      <c r="AY121" s="92"/>
      <c r="AZ121" s="92"/>
      <c r="BA121" s="92"/>
      <c r="BB121" s="92"/>
      <c r="BC121" s="92"/>
      <c r="BD121" s="92"/>
      <c r="BE121" s="92"/>
      <c r="BF121" s="92"/>
      <c r="BG121" s="92"/>
      <c r="BH121" s="92"/>
      <c r="BI121" s="92"/>
      <c r="BJ121" s="92"/>
      <c r="BK121" s="92"/>
      <c r="BL121" s="92"/>
      <c r="BM121" s="92"/>
      <c r="BN121" s="92"/>
      <c r="BO121" s="92"/>
      <c r="BP121" s="92"/>
      <c r="BQ121" s="92"/>
      <c r="BR121" s="92"/>
      <c r="BS121" s="92"/>
      <c r="BT121" s="92"/>
      <c r="BU121" s="92"/>
      <c r="BV121" s="92"/>
      <c r="BW121" s="92"/>
      <c r="BX121" s="92"/>
      <c r="BY121" s="92"/>
      <c r="BZ121" s="92"/>
      <c r="CA121" s="92"/>
      <c r="CB121" s="92"/>
      <c r="CC121" s="92"/>
      <c r="CD121" s="92"/>
      <c r="CE121" s="92"/>
      <c r="CF121" s="92"/>
      <c r="CG121" s="92"/>
      <c r="CH121" s="92"/>
      <c r="CI121" s="92"/>
      <c r="CJ121" s="92"/>
      <c r="CK121" s="92"/>
      <c r="CL121" s="92"/>
      <c r="CM121" s="92"/>
      <c r="CN121" s="92"/>
      <c r="CO121" s="92"/>
      <c r="CP121" s="92"/>
      <c r="CQ121" s="92"/>
      <c r="CR121" s="92"/>
      <c r="CS121" s="92"/>
      <c r="CT121" s="92"/>
      <c r="CU121" s="92"/>
      <c r="CV121" s="92"/>
      <c r="CW121" s="92"/>
      <c r="CX121" s="92"/>
      <c r="CY121" s="92"/>
      <c r="CZ121" s="92"/>
      <c r="DA121" s="92"/>
      <c r="DB121" s="92"/>
      <c r="DC121" s="92"/>
      <c r="DD121" s="92"/>
      <c r="DE121" s="92"/>
      <c r="DF121" s="92"/>
      <c r="DG121" s="92"/>
      <c r="DH121" s="92"/>
      <c r="DI121" s="92"/>
      <c r="DJ121" s="92"/>
      <c r="DK121" s="92"/>
      <c r="DL121" s="92"/>
      <c r="DM121" s="92"/>
      <c r="DN121" s="92"/>
      <c r="DO121" s="92"/>
      <c r="DP121" s="92"/>
      <c r="DQ121" s="92"/>
      <c r="DR121" s="92"/>
      <c r="DS121" s="92"/>
      <c r="DT121" s="92"/>
      <c r="DU121" s="92"/>
      <c r="DV121" s="92"/>
      <c r="DW121" s="92"/>
      <c r="DX121" s="92"/>
      <c r="DY121" s="92"/>
      <c r="DZ121" s="92"/>
      <c r="EA121" s="92"/>
      <c r="EB121" s="92"/>
      <c r="EC121" s="92"/>
      <c r="ED121" s="92"/>
      <c r="EE121" s="92"/>
      <c r="EF121" s="92"/>
      <c r="EG121" s="92"/>
      <c r="EH121" s="92"/>
      <c r="EI121" s="92"/>
      <c r="EJ121" s="92"/>
      <c r="EK121" s="92"/>
      <c r="EL121" s="92"/>
      <c r="EM121" s="92"/>
      <c r="EN121" s="92"/>
      <c r="EO121" s="92"/>
      <c r="EP121" s="92"/>
      <c r="EQ121" s="92"/>
      <c r="ER121" s="92"/>
      <c r="ES121" s="92"/>
      <c r="ET121" s="92"/>
      <c r="EU121" s="92"/>
      <c r="EV121" s="92"/>
      <c r="EW121" s="92"/>
      <c r="EX121" s="92"/>
      <c r="EY121" s="92"/>
      <c r="EZ121" s="92"/>
      <c r="FA121" s="92"/>
      <c r="FB121" s="92"/>
      <c r="FC121" s="92"/>
      <c r="FD121" s="92"/>
      <c r="FE121" s="92"/>
      <c r="FF121" s="92"/>
      <c r="FG121" s="92"/>
      <c r="FH121" s="92"/>
    </row>
    <row r="122">
      <c r="A122" s="27" t="s">
        <v>7</v>
      </c>
      <c r="B122" s="27" t="s">
        <v>31</v>
      </c>
      <c r="C122" s="27" t="s">
        <v>15</v>
      </c>
      <c r="D122" s="98">
        <f t="shared" si="1"/>
        <v>4521.783563</v>
      </c>
      <c r="E122" s="92">
        <f>(SUBSTITUTE(Audio!E122, "RE-", "", 1))*1</f>
        <v>0</v>
      </c>
      <c r="F122" s="92">
        <f>(SUBSTITUTE(Audio!F122, "RE-", "", 1))*1</f>
        <v>431.768</v>
      </c>
      <c r="G122" s="92">
        <f>(SUBSTITUTE(Audio!G122, "RE-", "", 1))*1</f>
        <v>1.29003</v>
      </c>
      <c r="H122" s="92">
        <f>(SUBSTITUTE(Audio!H122, "RE-", "", 1))*1</f>
        <v>83.7111</v>
      </c>
      <c r="I122" s="92">
        <f>(SUBSTITUTE(Audio!I122, "RE-", "", 1))*1</f>
        <v>0.337133</v>
      </c>
      <c r="J122" s="92">
        <f>(SUBSTITUTE(Audio!J122, "RE-", "", 1))*1</f>
        <v>1473.7</v>
      </c>
      <c r="K122" s="92">
        <f>(SUBSTITUTE(Audio!K122, "RE-", "", 1))*1</f>
        <v>4.0475</v>
      </c>
      <c r="L122" s="92">
        <f>(SUBSTITUTE(Audio!L122, "RE-", "", 1))*1</f>
        <v>526.72</v>
      </c>
      <c r="M122" s="92">
        <f>(SUBSTITUTE(Audio!M122, "RE-", "", 1))*1</f>
        <v>7.32105</v>
      </c>
      <c r="N122" s="92">
        <f>(SUBSTITUTE(Audio!N122, "RE-", "", 1))*1</f>
        <v>898.743</v>
      </c>
      <c r="O122" s="92">
        <f>(SUBSTITUTE(Audio!O122, "RE-", "", 1))*1</f>
        <v>18.8023</v>
      </c>
      <c r="P122" s="92">
        <f>(SUBSTITUTE(Audio!P122, "RE-", "", 1))*1</f>
        <v>314.392</v>
      </c>
      <c r="Q122" s="92">
        <f>(SUBSTITUTE(Audio!Q122, "RE-", "", 1))*1</f>
        <v>39.4098</v>
      </c>
      <c r="R122" s="92">
        <f>(SUBSTITUTE(Audio!R122, "RE-", "", 1))*1</f>
        <v>127.678</v>
      </c>
      <c r="S122" s="92">
        <f>(SUBSTITUTE(Audio!S122, "RE-", "", 1))*1</f>
        <v>15.4933</v>
      </c>
      <c r="T122" s="92">
        <f>(SUBSTITUTE(Audio!T122, "RE-", "", 1))*1</f>
        <v>536.305</v>
      </c>
      <c r="U122" s="92">
        <f>(SUBSTITUTE(Audio!U122, "RE-", "", 1))*1</f>
        <v>40.0093</v>
      </c>
      <c r="V122" s="92">
        <f>(SUBSTITUTE(Audio!V122, "RE-", "", 1))*1</f>
        <v>2.05605</v>
      </c>
      <c r="W122" s="92">
        <f>(SUBSTITUTE(Audio!W122, "RE-", "", 1))*1</f>
        <v>0</v>
      </c>
      <c r="X122" s="92">
        <f>(SUBSTITUTE(Audio!X122, "RE-", "", 1))*1</f>
        <v>0</v>
      </c>
      <c r="Y122" s="92">
        <f>(SUBSTITUTE(Audio!Y122, "RE-", "", 1))*1</f>
        <v>0</v>
      </c>
      <c r="Z122" s="92">
        <f>(SUBSTITUTE(Audio!Z122, "RE-", "", 1))*1</f>
        <v>0</v>
      </c>
      <c r="AA122" s="92"/>
      <c r="AB122" s="92"/>
      <c r="AC122" s="92"/>
      <c r="AD122" s="92"/>
      <c r="AE122" s="92"/>
      <c r="AF122" s="92"/>
      <c r="AG122" s="92"/>
      <c r="AH122" s="92"/>
      <c r="AI122" s="92"/>
      <c r="AJ122" s="92"/>
      <c r="AK122" s="92"/>
      <c r="AL122" s="92"/>
      <c r="AM122" s="92"/>
      <c r="AN122" s="92"/>
      <c r="AO122" s="92"/>
      <c r="AP122" s="92"/>
      <c r="AQ122" s="92"/>
      <c r="AR122" s="92"/>
      <c r="AS122" s="92"/>
      <c r="AT122" s="92"/>
      <c r="AU122" s="92"/>
      <c r="AV122" s="92"/>
      <c r="AW122" s="92"/>
      <c r="AX122" s="92"/>
      <c r="AY122" s="92"/>
      <c r="AZ122" s="92"/>
      <c r="BA122" s="92"/>
      <c r="BB122" s="92"/>
      <c r="BC122" s="92"/>
      <c r="BD122" s="92"/>
      <c r="BE122" s="92"/>
      <c r="BF122" s="92"/>
      <c r="BG122" s="92"/>
      <c r="BH122" s="92"/>
      <c r="BI122" s="92"/>
      <c r="BJ122" s="92"/>
      <c r="BK122" s="92"/>
      <c r="BL122" s="92"/>
      <c r="BM122" s="92"/>
      <c r="BN122" s="92"/>
      <c r="BO122" s="92"/>
      <c r="BP122" s="92"/>
      <c r="BQ122" s="92"/>
      <c r="BR122" s="92"/>
      <c r="BS122" s="92"/>
      <c r="BT122" s="92"/>
      <c r="BU122" s="92"/>
      <c r="BV122" s="92"/>
      <c r="BW122" s="92"/>
      <c r="BX122" s="92"/>
      <c r="BY122" s="92"/>
      <c r="BZ122" s="92"/>
      <c r="CA122" s="92"/>
      <c r="CB122" s="92"/>
      <c r="CC122" s="92"/>
      <c r="CD122" s="92"/>
      <c r="CE122" s="92"/>
      <c r="CF122" s="92"/>
      <c r="CG122" s="92"/>
      <c r="CH122" s="92"/>
      <c r="CI122" s="92"/>
      <c r="CJ122" s="92"/>
      <c r="CK122" s="92"/>
      <c r="CL122" s="92"/>
      <c r="CM122" s="92"/>
      <c r="CN122" s="92"/>
      <c r="CO122" s="92"/>
      <c r="CP122" s="92"/>
      <c r="CQ122" s="92"/>
      <c r="CR122" s="92"/>
      <c r="CS122" s="92"/>
      <c r="CT122" s="92"/>
      <c r="CU122" s="92"/>
      <c r="CV122" s="92"/>
      <c r="CW122" s="92"/>
      <c r="CX122" s="92"/>
      <c r="CY122" s="92"/>
      <c r="CZ122" s="92"/>
      <c r="DA122" s="92"/>
      <c r="DB122" s="92"/>
      <c r="DC122" s="92"/>
      <c r="DD122" s="92"/>
      <c r="DE122" s="92"/>
      <c r="DF122" s="92"/>
      <c r="DG122" s="92"/>
      <c r="DH122" s="92"/>
      <c r="DI122" s="92"/>
      <c r="DJ122" s="92"/>
      <c r="DK122" s="92"/>
      <c r="DL122" s="92"/>
      <c r="DM122" s="92"/>
      <c r="DN122" s="92"/>
      <c r="DO122" s="92"/>
      <c r="DP122" s="92"/>
      <c r="DQ122" s="92"/>
      <c r="DR122" s="92"/>
      <c r="DS122" s="92"/>
      <c r="DT122" s="92"/>
      <c r="DU122" s="92"/>
      <c r="DV122" s="92"/>
      <c r="DW122" s="92"/>
      <c r="DX122" s="92"/>
      <c r="DY122" s="92"/>
      <c r="DZ122" s="92"/>
      <c r="EA122" s="92"/>
      <c r="EB122" s="92"/>
      <c r="EC122" s="92"/>
      <c r="ED122" s="92"/>
      <c r="EE122" s="92"/>
      <c r="EF122" s="92"/>
      <c r="EG122" s="92"/>
      <c r="EH122" s="92"/>
      <c r="EI122" s="92"/>
      <c r="EJ122" s="92"/>
      <c r="EK122" s="92"/>
      <c r="EL122" s="92"/>
      <c r="EM122" s="92"/>
      <c r="EN122" s="92"/>
      <c r="EO122" s="92"/>
      <c r="EP122" s="92"/>
      <c r="EQ122" s="92"/>
      <c r="ER122" s="92"/>
      <c r="ES122" s="92"/>
      <c r="ET122" s="92"/>
      <c r="EU122" s="92"/>
      <c r="EV122" s="92"/>
      <c r="EW122" s="92"/>
      <c r="EX122" s="92"/>
      <c r="EY122" s="92"/>
      <c r="EZ122" s="92"/>
      <c r="FA122" s="92"/>
      <c r="FB122" s="92"/>
      <c r="FC122" s="92"/>
      <c r="FD122" s="92"/>
      <c r="FE122" s="92"/>
      <c r="FF122" s="92"/>
      <c r="FG122" s="92"/>
      <c r="FH122" s="92"/>
    </row>
    <row r="123">
      <c r="A123" s="30" t="s">
        <v>7</v>
      </c>
      <c r="B123" s="30" t="s">
        <v>32</v>
      </c>
      <c r="C123" s="31" t="str">
        <f>HYPERLINK("https://docs.google.com/spreadsheets/d/1E3JMqJXb72IljDVr5qfxBvczc9MY9C7n/edit?usp=share_link&amp;ouid=106501987799020758802&amp;rtpof=true&amp;sd=true", "Raw Delivered")</f>
        <v>Raw Delivered</v>
      </c>
      <c r="D123" s="96">
        <f t="shared" si="1"/>
        <v>5343.099484</v>
      </c>
      <c r="E123" s="92">
        <f>(SUBSTITUTE(Audio!E123, "RE-", "", 1))*1</f>
        <v>0</v>
      </c>
      <c r="F123" s="92">
        <f>(SUBSTITUTE(Audio!F123, "RE-", "", 1))*1</f>
        <v>891.343849</v>
      </c>
      <c r="G123" s="92">
        <f>(SUBSTITUTE(Audio!G123, "RE-", "", 1))*1</f>
        <v>0</v>
      </c>
      <c r="H123" s="92">
        <f>(SUBSTITUTE(Audio!H123, "RE-", "", 1))*1</f>
        <v>89.20958542</v>
      </c>
      <c r="I123" s="92">
        <f>(SUBSTITUTE(Audio!I123, "RE-", "", 1))*1</f>
        <v>0</v>
      </c>
      <c r="J123" s="92">
        <f>(SUBSTITUTE(Audio!J123, "RE-", "", 1))*1</f>
        <v>1423.106376</v>
      </c>
      <c r="K123" s="92">
        <f>(SUBSTITUTE(Audio!K123, "RE-", "", 1))*1</f>
        <v>0</v>
      </c>
      <c r="L123" s="92">
        <f>(SUBSTITUTE(Audio!L123, "RE-", "", 1))*1</f>
        <v>564.439026</v>
      </c>
      <c r="M123" s="92">
        <f>(SUBSTITUTE(Audio!M123, "RE-", "", 1))*1</f>
        <v>0</v>
      </c>
      <c r="N123" s="92">
        <f>(SUBSTITUTE(Audio!N123, "RE-", "", 1))*1</f>
        <v>1440.298781</v>
      </c>
      <c r="O123" s="92">
        <f>(SUBSTITUTE(Audio!O123, "RE-", "", 1))*1</f>
        <v>0</v>
      </c>
      <c r="P123" s="92">
        <f>(SUBSTITUTE(Audio!P123, "RE-", "", 1))*1</f>
        <v>320.9897458</v>
      </c>
      <c r="Q123" s="92">
        <f>(SUBSTITUTE(Audio!Q123, "RE-", "", 1))*1</f>
        <v>0</v>
      </c>
      <c r="R123" s="92">
        <f>(SUBSTITUTE(Audio!R123, "RE-", "", 1))*1</f>
        <v>113.992201</v>
      </c>
      <c r="S123" s="92">
        <f>(SUBSTITUTE(Audio!S123, "RE-", "", 1))*1</f>
        <v>0</v>
      </c>
      <c r="T123" s="92">
        <f>(SUBSTITUTE(Audio!T123, "RE-", "", 1))*1</f>
        <v>499.7199198</v>
      </c>
      <c r="U123" s="92">
        <f>(SUBSTITUTE(Audio!U123, "RE-", "", 1))*1</f>
        <v>0</v>
      </c>
      <c r="V123" s="92">
        <f>(SUBSTITUTE(Audio!V123, "RE-", "", 1))*1</f>
        <v>0</v>
      </c>
      <c r="W123" s="92">
        <f>(SUBSTITUTE(Audio!W123, "RE-", "", 1))*1</f>
        <v>0</v>
      </c>
      <c r="X123" s="92">
        <f>(SUBSTITUTE(Audio!X123, "RE-", "", 1))*1</f>
        <v>0</v>
      </c>
      <c r="Y123" s="92">
        <f>(SUBSTITUTE(Audio!Y123, "RE-", "", 1))*1</f>
        <v>0</v>
      </c>
      <c r="Z123" s="92">
        <f>(SUBSTITUTE(Audio!Z123, "RE-", "", 1))*1</f>
        <v>0</v>
      </c>
      <c r="AA123" s="92"/>
      <c r="AB123" s="92"/>
      <c r="AC123" s="92"/>
      <c r="AD123" s="92"/>
      <c r="AE123" s="92"/>
      <c r="AF123" s="92"/>
      <c r="AG123" s="92"/>
      <c r="AH123" s="92"/>
      <c r="AI123" s="92"/>
      <c r="AJ123" s="92"/>
      <c r="AK123" s="92"/>
      <c r="AL123" s="92"/>
      <c r="AM123" s="92"/>
      <c r="AN123" s="92"/>
      <c r="AO123" s="92"/>
      <c r="AP123" s="92"/>
      <c r="AQ123" s="92"/>
      <c r="AR123" s="92"/>
      <c r="AS123" s="92"/>
      <c r="AT123" s="92"/>
      <c r="AU123" s="92"/>
      <c r="AV123" s="92"/>
      <c r="AW123" s="92"/>
      <c r="AX123" s="92"/>
      <c r="AY123" s="92"/>
      <c r="AZ123" s="92"/>
      <c r="BA123" s="92"/>
      <c r="BB123" s="92"/>
      <c r="BC123" s="92"/>
      <c r="BD123" s="92"/>
      <c r="BE123" s="92"/>
      <c r="BF123" s="92"/>
      <c r="BG123" s="92"/>
      <c r="BH123" s="92"/>
      <c r="BI123" s="92"/>
      <c r="BJ123" s="92"/>
      <c r="BK123" s="92"/>
      <c r="BL123" s="92"/>
      <c r="BM123" s="92"/>
      <c r="BN123" s="92"/>
      <c r="BO123" s="92"/>
      <c r="BP123" s="92"/>
      <c r="BQ123" s="92"/>
      <c r="BR123" s="92"/>
      <c r="BS123" s="92"/>
      <c r="BT123" s="92"/>
      <c r="BU123" s="92"/>
      <c r="BV123" s="92"/>
      <c r="BW123" s="92"/>
      <c r="BX123" s="92"/>
      <c r="BY123" s="92"/>
      <c r="BZ123" s="92"/>
      <c r="CA123" s="92"/>
      <c r="CB123" s="92"/>
      <c r="CC123" s="92"/>
      <c r="CD123" s="92"/>
      <c r="CE123" s="92"/>
      <c r="CF123" s="92"/>
      <c r="CG123" s="92"/>
      <c r="CH123" s="92"/>
      <c r="CI123" s="92"/>
      <c r="CJ123" s="92"/>
      <c r="CK123" s="92"/>
      <c r="CL123" s="92"/>
      <c r="CM123" s="92"/>
      <c r="CN123" s="92"/>
      <c r="CO123" s="92"/>
      <c r="CP123" s="92"/>
      <c r="CQ123" s="92"/>
      <c r="CR123" s="92"/>
      <c r="CS123" s="92"/>
      <c r="CT123" s="92"/>
      <c r="CU123" s="92"/>
      <c r="CV123" s="92"/>
      <c r="CW123" s="92"/>
      <c r="CX123" s="92"/>
      <c r="CY123" s="92"/>
      <c r="CZ123" s="92"/>
      <c r="DA123" s="92"/>
      <c r="DB123" s="92"/>
      <c r="DC123" s="92"/>
      <c r="DD123" s="92"/>
      <c r="DE123" s="92"/>
      <c r="DF123" s="92"/>
      <c r="DG123" s="92"/>
      <c r="DH123" s="92"/>
      <c r="DI123" s="92"/>
      <c r="DJ123" s="92"/>
      <c r="DK123" s="92"/>
      <c r="DL123" s="92"/>
      <c r="DM123" s="92"/>
      <c r="DN123" s="92"/>
      <c r="DO123" s="92"/>
      <c r="DP123" s="92"/>
      <c r="DQ123" s="92"/>
      <c r="DR123" s="92"/>
      <c r="DS123" s="92"/>
      <c r="DT123" s="92"/>
      <c r="DU123" s="92"/>
      <c r="DV123" s="92"/>
      <c r="DW123" s="92"/>
      <c r="DX123" s="92"/>
      <c r="DY123" s="92"/>
      <c r="DZ123" s="92"/>
      <c r="EA123" s="92"/>
      <c r="EB123" s="92"/>
      <c r="EC123" s="92"/>
      <c r="ED123" s="92"/>
      <c r="EE123" s="92"/>
      <c r="EF123" s="92"/>
      <c r="EG123" s="92"/>
      <c r="EH123" s="92"/>
      <c r="EI123" s="92"/>
      <c r="EJ123" s="92"/>
      <c r="EK123" s="92"/>
      <c r="EL123" s="92"/>
      <c r="EM123" s="92"/>
      <c r="EN123" s="92"/>
      <c r="EO123" s="92"/>
      <c r="EP123" s="92"/>
      <c r="EQ123" s="92"/>
      <c r="ER123" s="92"/>
      <c r="ES123" s="92"/>
      <c r="ET123" s="92"/>
      <c r="EU123" s="92"/>
      <c r="EV123" s="92"/>
      <c r="EW123" s="92"/>
      <c r="EX123" s="92"/>
      <c r="EY123" s="92"/>
      <c r="EZ123" s="92"/>
      <c r="FA123" s="92"/>
      <c r="FB123" s="92"/>
      <c r="FC123" s="92"/>
      <c r="FD123" s="92"/>
      <c r="FE123" s="92"/>
      <c r="FF123" s="92"/>
      <c r="FG123" s="92"/>
      <c r="FH123" s="92"/>
    </row>
    <row r="124">
      <c r="A124" s="32" t="s">
        <v>7</v>
      </c>
      <c r="B124" s="32" t="s">
        <v>32</v>
      </c>
      <c r="C124" s="32" t="s">
        <v>9</v>
      </c>
      <c r="D124" s="97">
        <f t="shared" si="1"/>
        <v>5343.099484</v>
      </c>
      <c r="E124" s="92">
        <f>(SUBSTITUTE(Audio!E124, "RE-", "", 1))*1</f>
        <v>0</v>
      </c>
      <c r="F124" s="92">
        <f>(SUBSTITUTE(Audio!F124, "RE-", "", 1))*1</f>
        <v>891.343849</v>
      </c>
      <c r="G124" s="92">
        <f>(SUBSTITUTE(Audio!G124, "RE-", "", 1))*1</f>
        <v>0</v>
      </c>
      <c r="H124" s="92">
        <f>(SUBSTITUTE(Audio!H124, "RE-", "", 1))*1</f>
        <v>89.20958542</v>
      </c>
      <c r="I124" s="92">
        <f>(SUBSTITUTE(Audio!I124, "RE-", "", 1))*1</f>
        <v>0</v>
      </c>
      <c r="J124" s="92">
        <f>(SUBSTITUTE(Audio!J124, "RE-", "", 1))*1</f>
        <v>1423.106376</v>
      </c>
      <c r="K124" s="92">
        <f>(SUBSTITUTE(Audio!K124, "RE-", "", 1))*1</f>
        <v>0</v>
      </c>
      <c r="L124" s="92">
        <f>(SUBSTITUTE(Audio!L124, "RE-", "", 1))*1</f>
        <v>564.439026</v>
      </c>
      <c r="M124" s="92">
        <f>(SUBSTITUTE(Audio!M124, "RE-", "", 1))*1</f>
        <v>0</v>
      </c>
      <c r="N124" s="92">
        <f>(SUBSTITUTE(Audio!N124, "RE-", "", 1))*1</f>
        <v>1440.298781</v>
      </c>
      <c r="O124" s="92">
        <f>(SUBSTITUTE(Audio!O124, "RE-", "", 1))*1</f>
        <v>0</v>
      </c>
      <c r="P124" s="92">
        <f>(SUBSTITUTE(Audio!P124, "RE-", "", 1))*1</f>
        <v>320.9897458</v>
      </c>
      <c r="Q124" s="92">
        <f>(SUBSTITUTE(Audio!Q124, "RE-", "", 1))*1</f>
        <v>0</v>
      </c>
      <c r="R124" s="92">
        <f>(SUBSTITUTE(Audio!R124, "RE-", "", 1))*1</f>
        <v>113.992201</v>
      </c>
      <c r="S124" s="92">
        <f>(SUBSTITUTE(Audio!S124, "RE-", "", 1))*1</f>
        <v>0</v>
      </c>
      <c r="T124" s="92">
        <f>(SUBSTITUTE(Audio!T124, "RE-", "", 1))*1</f>
        <v>499.7199198</v>
      </c>
      <c r="U124" s="92">
        <f>(SUBSTITUTE(Audio!U124, "RE-", "", 1))*1</f>
        <v>0</v>
      </c>
      <c r="V124" s="92">
        <f>(SUBSTITUTE(Audio!V124, "RE-", "", 1))*1</f>
        <v>0</v>
      </c>
      <c r="W124" s="92">
        <f>(SUBSTITUTE(Audio!W124, "RE-", "", 1))*1</f>
        <v>0</v>
      </c>
      <c r="X124" s="92">
        <f>(SUBSTITUTE(Audio!X124, "RE-", "", 1))*1</f>
        <v>0</v>
      </c>
      <c r="Y124" s="92">
        <f>(SUBSTITUTE(Audio!Y124, "RE-", "", 1))*1</f>
        <v>0</v>
      </c>
      <c r="Z124" s="92">
        <f>(SUBSTITUTE(Audio!Z124, "RE-", "", 1))*1</f>
        <v>0</v>
      </c>
      <c r="AA124" s="92"/>
      <c r="AB124" s="92"/>
      <c r="AC124" s="92"/>
      <c r="AD124" s="92"/>
      <c r="AE124" s="92"/>
      <c r="AF124" s="92"/>
      <c r="AG124" s="92"/>
      <c r="AH124" s="92"/>
      <c r="AI124" s="92"/>
      <c r="AJ124" s="92"/>
      <c r="AK124" s="92"/>
      <c r="AL124" s="92"/>
      <c r="AM124" s="92"/>
      <c r="AN124" s="92"/>
      <c r="AO124" s="92"/>
      <c r="AP124" s="92"/>
      <c r="AQ124" s="92"/>
      <c r="AR124" s="92"/>
      <c r="AS124" s="92"/>
      <c r="AT124" s="92"/>
      <c r="AU124" s="92"/>
      <c r="AV124" s="92"/>
      <c r="AW124" s="92"/>
      <c r="AX124" s="92"/>
      <c r="AY124" s="92"/>
      <c r="AZ124" s="92"/>
      <c r="BA124" s="92"/>
      <c r="BB124" s="92"/>
      <c r="BC124" s="92"/>
      <c r="BD124" s="92"/>
      <c r="BE124" s="92"/>
      <c r="BF124" s="92"/>
      <c r="BG124" s="92"/>
      <c r="BH124" s="92"/>
      <c r="BI124" s="92"/>
      <c r="BJ124" s="92"/>
      <c r="BK124" s="92"/>
      <c r="BL124" s="92"/>
      <c r="BM124" s="92"/>
      <c r="BN124" s="92"/>
      <c r="BO124" s="92"/>
      <c r="BP124" s="92"/>
      <c r="BQ124" s="92"/>
      <c r="BR124" s="92"/>
      <c r="BS124" s="92"/>
      <c r="BT124" s="92"/>
      <c r="BU124" s="92"/>
      <c r="BV124" s="92"/>
      <c r="BW124" s="92"/>
      <c r="BX124" s="92"/>
      <c r="BY124" s="92"/>
      <c r="BZ124" s="92"/>
      <c r="CA124" s="92"/>
      <c r="CB124" s="92"/>
      <c r="CC124" s="92"/>
      <c r="CD124" s="92"/>
      <c r="CE124" s="92"/>
      <c r="CF124" s="92"/>
      <c r="CG124" s="92"/>
      <c r="CH124" s="92"/>
      <c r="CI124" s="92"/>
      <c r="CJ124" s="92"/>
      <c r="CK124" s="92"/>
      <c r="CL124" s="92"/>
      <c r="CM124" s="92"/>
      <c r="CN124" s="92"/>
      <c r="CO124" s="92"/>
      <c r="CP124" s="92"/>
      <c r="CQ124" s="92"/>
      <c r="CR124" s="92"/>
      <c r="CS124" s="92"/>
      <c r="CT124" s="92"/>
      <c r="CU124" s="92"/>
      <c r="CV124" s="92"/>
      <c r="CW124" s="92"/>
      <c r="CX124" s="92"/>
      <c r="CY124" s="92"/>
      <c r="CZ124" s="92"/>
      <c r="DA124" s="92"/>
      <c r="DB124" s="92"/>
      <c r="DC124" s="92"/>
      <c r="DD124" s="92"/>
      <c r="DE124" s="92"/>
      <c r="DF124" s="92"/>
      <c r="DG124" s="92"/>
      <c r="DH124" s="92"/>
      <c r="DI124" s="92"/>
      <c r="DJ124" s="92"/>
      <c r="DK124" s="92"/>
      <c r="DL124" s="92"/>
      <c r="DM124" s="92"/>
      <c r="DN124" s="92"/>
      <c r="DO124" s="92"/>
      <c r="DP124" s="92"/>
      <c r="DQ124" s="92"/>
      <c r="DR124" s="92"/>
      <c r="DS124" s="92"/>
      <c r="DT124" s="92"/>
      <c r="DU124" s="92"/>
      <c r="DV124" s="92"/>
      <c r="DW124" s="92"/>
      <c r="DX124" s="92"/>
      <c r="DY124" s="92"/>
      <c r="DZ124" s="92"/>
      <c r="EA124" s="92"/>
      <c r="EB124" s="92"/>
      <c r="EC124" s="92"/>
      <c r="ED124" s="92"/>
      <c r="EE124" s="92"/>
      <c r="EF124" s="92"/>
      <c r="EG124" s="92"/>
      <c r="EH124" s="92"/>
      <c r="EI124" s="92"/>
      <c r="EJ124" s="92"/>
      <c r="EK124" s="92"/>
      <c r="EL124" s="92"/>
      <c r="EM124" s="92"/>
      <c r="EN124" s="92"/>
      <c r="EO124" s="92"/>
      <c r="EP124" s="92"/>
      <c r="EQ124" s="92"/>
      <c r="ER124" s="92"/>
      <c r="ES124" s="92"/>
      <c r="ET124" s="92"/>
      <c r="EU124" s="92"/>
      <c r="EV124" s="92"/>
      <c r="EW124" s="92"/>
      <c r="EX124" s="92"/>
      <c r="EY124" s="92"/>
      <c r="EZ124" s="92"/>
      <c r="FA124" s="92"/>
      <c r="FB124" s="92"/>
      <c r="FC124" s="92"/>
      <c r="FD124" s="92"/>
      <c r="FE124" s="92"/>
      <c r="FF124" s="92"/>
      <c r="FG124" s="92"/>
      <c r="FH124" s="92"/>
    </row>
    <row r="125">
      <c r="A125" s="32" t="s">
        <v>7</v>
      </c>
      <c r="B125" s="32" t="s">
        <v>32</v>
      </c>
      <c r="C125" s="32" t="s">
        <v>10</v>
      </c>
      <c r="D125" s="97">
        <f t="shared" si="1"/>
        <v>523.3146292</v>
      </c>
      <c r="E125" s="92">
        <f>(SUBSTITUTE(Audio!E125, "RE-", "", 1))*1</f>
        <v>0</v>
      </c>
      <c r="F125" s="92">
        <f>(SUBSTITUTE(Audio!F125, "RE-", "", 1))*1</f>
        <v>0</v>
      </c>
      <c r="G125" s="92">
        <f>(SUBSTITUTE(Audio!G125, "RE-", "", 1))*1</f>
        <v>79.87430625</v>
      </c>
      <c r="H125" s="92">
        <f>(SUBSTITUTE(Audio!H125, "RE-", "", 1))*1</f>
        <v>0</v>
      </c>
      <c r="I125" s="92">
        <f>(SUBSTITUTE(Audio!I125, "RE-", "", 1))*1</f>
        <v>8.206083333</v>
      </c>
      <c r="J125" s="92">
        <f>(SUBSTITUTE(Audio!J125, "RE-", "", 1))*1</f>
        <v>0</v>
      </c>
      <c r="K125" s="92">
        <f>(SUBSTITUTE(Audio!K125, "RE-", "", 1))*1</f>
        <v>109.3119563</v>
      </c>
      <c r="L125" s="92">
        <f>(SUBSTITUTE(Audio!L125, "RE-", "", 1))*1</f>
        <v>0</v>
      </c>
      <c r="M125" s="92">
        <f>(SUBSTITUTE(Audio!M125, "RE-", "", 1))*1</f>
        <v>27.54818542</v>
      </c>
      <c r="N125" s="92">
        <f>(SUBSTITUTE(Audio!N125, "RE-", "", 1))*1</f>
        <v>0</v>
      </c>
      <c r="O125" s="92">
        <f>(SUBSTITUTE(Audio!O125, "RE-", "", 1))*1</f>
        <v>145.0598958</v>
      </c>
      <c r="P125" s="92">
        <f>(SUBSTITUTE(Audio!P125, "RE-", "", 1))*1</f>
        <v>0</v>
      </c>
      <c r="Q125" s="92">
        <f>(SUBSTITUTE(Audio!Q125, "RE-", "", 1))*1</f>
        <v>77.70968854</v>
      </c>
      <c r="R125" s="92">
        <f>(SUBSTITUTE(Audio!R125, "RE-", "", 1))*1</f>
        <v>0</v>
      </c>
      <c r="S125" s="92">
        <f>(SUBSTITUTE(Audio!S125, "RE-", "", 1))*1</f>
        <v>22.87230937</v>
      </c>
      <c r="T125" s="92">
        <f>(SUBSTITUTE(Audio!T125, "RE-", "", 1))*1</f>
        <v>0</v>
      </c>
      <c r="U125" s="92">
        <f>(SUBSTITUTE(Audio!U125, "RE-", "", 1))*1</f>
        <v>48.20227917</v>
      </c>
      <c r="V125" s="92">
        <f>(SUBSTITUTE(Audio!V125, "RE-", "", 1))*1</f>
        <v>4.529925</v>
      </c>
      <c r="W125" s="92">
        <f>(SUBSTITUTE(Audio!W125, "RE-", "", 1))*1</f>
        <v>0</v>
      </c>
      <c r="X125" s="92">
        <f>(SUBSTITUTE(Audio!X125, "RE-", "", 1))*1</f>
        <v>0</v>
      </c>
      <c r="Y125" s="92">
        <f>(SUBSTITUTE(Audio!Y125, "RE-", "", 1))*1</f>
        <v>0</v>
      </c>
      <c r="Z125" s="92">
        <f>(SUBSTITUTE(Audio!Z125, "RE-", "", 1))*1</f>
        <v>0</v>
      </c>
      <c r="AA125" s="92"/>
      <c r="AB125" s="92"/>
      <c r="AC125" s="92"/>
      <c r="AD125" s="92"/>
      <c r="AE125" s="92"/>
      <c r="AF125" s="92"/>
      <c r="AG125" s="92"/>
      <c r="AH125" s="92"/>
      <c r="AI125" s="92"/>
      <c r="AJ125" s="92"/>
      <c r="AK125" s="92"/>
      <c r="AL125" s="92"/>
      <c r="AM125" s="92"/>
      <c r="AN125" s="92"/>
      <c r="AO125" s="92"/>
      <c r="AP125" s="92"/>
      <c r="AQ125" s="92"/>
      <c r="AR125" s="92"/>
      <c r="AS125" s="92"/>
      <c r="AT125" s="92"/>
      <c r="AU125" s="92"/>
      <c r="AV125" s="92"/>
      <c r="AW125" s="92"/>
      <c r="AX125" s="92"/>
      <c r="AY125" s="92"/>
      <c r="AZ125" s="92"/>
      <c r="BA125" s="92"/>
      <c r="BB125" s="92"/>
      <c r="BC125" s="92"/>
      <c r="BD125" s="92"/>
      <c r="BE125" s="92"/>
      <c r="BF125" s="92"/>
      <c r="BG125" s="92"/>
      <c r="BH125" s="92"/>
      <c r="BI125" s="92"/>
      <c r="BJ125" s="92"/>
      <c r="BK125" s="92"/>
      <c r="BL125" s="92"/>
      <c r="BM125" s="92"/>
      <c r="BN125" s="92"/>
      <c r="BO125" s="92"/>
      <c r="BP125" s="92"/>
      <c r="BQ125" s="92"/>
      <c r="BR125" s="92"/>
      <c r="BS125" s="92"/>
      <c r="BT125" s="92"/>
      <c r="BU125" s="92"/>
      <c r="BV125" s="92"/>
      <c r="BW125" s="92"/>
      <c r="BX125" s="92"/>
      <c r="BY125" s="92"/>
      <c r="BZ125" s="92"/>
      <c r="CA125" s="92"/>
      <c r="CB125" s="92"/>
      <c r="CC125" s="92"/>
      <c r="CD125" s="92"/>
      <c r="CE125" s="92"/>
      <c r="CF125" s="92"/>
      <c r="CG125" s="92"/>
      <c r="CH125" s="92"/>
      <c r="CI125" s="92"/>
      <c r="CJ125" s="92"/>
      <c r="CK125" s="92"/>
      <c r="CL125" s="92"/>
      <c r="CM125" s="92"/>
      <c r="CN125" s="92"/>
      <c r="CO125" s="92"/>
      <c r="CP125" s="92"/>
      <c r="CQ125" s="92"/>
      <c r="CR125" s="92"/>
      <c r="CS125" s="92"/>
      <c r="CT125" s="92"/>
      <c r="CU125" s="92"/>
      <c r="CV125" s="92"/>
      <c r="CW125" s="92"/>
      <c r="CX125" s="92"/>
      <c r="CY125" s="92"/>
      <c r="CZ125" s="92"/>
      <c r="DA125" s="92"/>
      <c r="DB125" s="92"/>
      <c r="DC125" s="92"/>
      <c r="DD125" s="92"/>
      <c r="DE125" s="92"/>
      <c r="DF125" s="92"/>
      <c r="DG125" s="92"/>
      <c r="DH125" s="92"/>
      <c r="DI125" s="92"/>
      <c r="DJ125" s="92"/>
      <c r="DK125" s="92"/>
      <c r="DL125" s="92"/>
      <c r="DM125" s="92"/>
      <c r="DN125" s="92"/>
      <c r="DO125" s="92"/>
      <c r="DP125" s="92"/>
      <c r="DQ125" s="92"/>
      <c r="DR125" s="92"/>
      <c r="DS125" s="92"/>
      <c r="DT125" s="92"/>
      <c r="DU125" s="92"/>
      <c r="DV125" s="92"/>
      <c r="DW125" s="92"/>
      <c r="DX125" s="92"/>
      <c r="DY125" s="92"/>
      <c r="DZ125" s="92"/>
      <c r="EA125" s="92"/>
      <c r="EB125" s="92"/>
      <c r="EC125" s="92"/>
      <c r="ED125" s="92"/>
      <c r="EE125" s="92"/>
      <c r="EF125" s="92"/>
      <c r="EG125" s="92"/>
      <c r="EH125" s="92"/>
      <c r="EI125" s="92"/>
      <c r="EJ125" s="92"/>
      <c r="EK125" s="92"/>
      <c r="EL125" s="92"/>
      <c r="EM125" s="92"/>
      <c r="EN125" s="92"/>
      <c r="EO125" s="92"/>
      <c r="EP125" s="92"/>
      <c r="EQ125" s="92"/>
      <c r="ER125" s="92"/>
      <c r="ES125" s="92"/>
      <c r="ET125" s="92"/>
      <c r="EU125" s="92"/>
      <c r="EV125" s="92"/>
      <c r="EW125" s="92"/>
      <c r="EX125" s="92"/>
      <c r="EY125" s="92"/>
      <c r="EZ125" s="92"/>
      <c r="FA125" s="92"/>
      <c r="FB125" s="92"/>
      <c r="FC125" s="92"/>
      <c r="FD125" s="92"/>
      <c r="FE125" s="92"/>
      <c r="FF125" s="92"/>
      <c r="FG125" s="92"/>
      <c r="FH125" s="92"/>
    </row>
    <row r="126">
      <c r="A126" s="32" t="s">
        <v>7</v>
      </c>
      <c r="B126" s="32" t="s">
        <v>32</v>
      </c>
      <c r="C126" s="32" t="s">
        <v>11</v>
      </c>
      <c r="D126" s="97">
        <f t="shared" si="1"/>
        <v>523.3146292</v>
      </c>
      <c r="E126" s="92">
        <f>(SUBSTITUTE(Audio!E126, "RE-", "", 1))*1</f>
        <v>0</v>
      </c>
      <c r="F126" s="92">
        <f>(SUBSTITUTE(Audio!F126, "RE-", "", 1))*1</f>
        <v>0</v>
      </c>
      <c r="G126" s="92">
        <f>(SUBSTITUTE(Audio!G126, "RE-", "", 1))*1</f>
        <v>79.87430625</v>
      </c>
      <c r="H126" s="92">
        <f>(SUBSTITUTE(Audio!H126, "RE-", "", 1))*1</f>
        <v>0</v>
      </c>
      <c r="I126" s="92">
        <f>(SUBSTITUTE(Audio!I126, "RE-", "", 1))*1</f>
        <v>8.206083333</v>
      </c>
      <c r="J126" s="92">
        <f>(SUBSTITUTE(Audio!J126, "RE-", "", 1))*1</f>
        <v>0</v>
      </c>
      <c r="K126" s="92">
        <f>(SUBSTITUTE(Audio!K126, "RE-", "", 1))*1</f>
        <v>109.3119563</v>
      </c>
      <c r="L126" s="92">
        <f>(SUBSTITUTE(Audio!L126, "RE-", "", 1))*1</f>
        <v>0</v>
      </c>
      <c r="M126" s="92">
        <f>(SUBSTITUTE(Audio!M126, "RE-", "", 1))*1</f>
        <v>27.54818542</v>
      </c>
      <c r="N126" s="92">
        <f>(SUBSTITUTE(Audio!N126, "RE-", "", 1))*1</f>
        <v>0</v>
      </c>
      <c r="O126" s="92">
        <f>(SUBSTITUTE(Audio!O126, "RE-", "", 1))*1</f>
        <v>145.0598958</v>
      </c>
      <c r="P126" s="92">
        <f>(SUBSTITUTE(Audio!P126, "RE-", "", 1))*1</f>
        <v>0</v>
      </c>
      <c r="Q126" s="92">
        <f>(SUBSTITUTE(Audio!Q126, "RE-", "", 1))*1</f>
        <v>77.70968854</v>
      </c>
      <c r="R126" s="92">
        <f>(SUBSTITUTE(Audio!R126, "RE-", "", 1))*1</f>
        <v>0</v>
      </c>
      <c r="S126" s="92">
        <f>(SUBSTITUTE(Audio!S126, "RE-", "", 1))*1</f>
        <v>22.87230937</v>
      </c>
      <c r="T126" s="92">
        <f>(SUBSTITUTE(Audio!T126, "RE-", "", 1))*1</f>
        <v>0</v>
      </c>
      <c r="U126" s="92">
        <f>(SUBSTITUTE(Audio!U126, "RE-", "", 1))*1</f>
        <v>48.20227917</v>
      </c>
      <c r="V126" s="92">
        <f>(SUBSTITUTE(Audio!V126, "RE-", "", 1))*1</f>
        <v>4.529925</v>
      </c>
      <c r="W126" s="92">
        <f>(SUBSTITUTE(Audio!W126, "RE-", "", 1))*1</f>
        <v>0</v>
      </c>
      <c r="X126" s="92">
        <f>(SUBSTITUTE(Audio!X126, "RE-", "", 1))*1</f>
        <v>0</v>
      </c>
      <c r="Y126" s="92">
        <f>(SUBSTITUTE(Audio!Y126, "RE-", "", 1))*1</f>
        <v>0</v>
      </c>
      <c r="Z126" s="92">
        <f>(SUBSTITUTE(Audio!Z126, "RE-", "", 1))*1</f>
        <v>0</v>
      </c>
      <c r="AA126" s="92"/>
      <c r="AB126" s="92"/>
      <c r="AC126" s="92"/>
      <c r="AD126" s="92"/>
      <c r="AE126" s="92"/>
      <c r="AF126" s="92"/>
      <c r="AG126" s="92"/>
      <c r="AH126" s="92"/>
      <c r="AI126" s="92"/>
      <c r="AJ126" s="92"/>
      <c r="AK126" s="92"/>
      <c r="AL126" s="92"/>
      <c r="AM126" s="92"/>
      <c r="AN126" s="92"/>
      <c r="AO126" s="92"/>
      <c r="AP126" s="92"/>
      <c r="AQ126" s="92"/>
      <c r="AR126" s="92"/>
      <c r="AS126" s="92"/>
      <c r="AT126" s="92"/>
      <c r="AU126" s="92"/>
      <c r="AV126" s="92"/>
      <c r="AW126" s="92"/>
      <c r="AX126" s="92"/>
      <c r="AY126" s="92"/>
      <c r="AZ126" s="92"/>
      <c r="BA126" s="92"/>
      <c r="BB126" s="92"/>
      <c r="BC126" s="92"/>
      <c r="BD126" s="92"/>
      <c r="BE126" s="92"/>
      <c r="BF126" s="92"/>
      <c r="BG126" s="92"/>
      <c r="BH126" s="92"/>
      <c r="BI126" s="92"/>
      <c r="BJ126" s="92"/>
      <c r="BK126" s="92"/>
      <c r="BL126" s="92"/>
      <c r="BM126" s="92"/>
      <c r="BN126" s="92"/>
      <c r="BO126" s="92"/>
      <c r="BP126" s="92"/>
      <c r="BQ126" s="92"/>
      <c r="BR126" s="92"/>
      <c r="BS126" s="92"/>
      <c r="BT126" s="92"/>
      <c r="BU126" s="92"/>
      <c r="BV126" s="92"/>
      <c r="BW126" s="92"/>
      <c r="BX126" s="92"/>
      <c r="BY126" s="92"/>
      <c r="BZ126" s="92"/>
      <c r="CA126" s="92"/>
      <c r="CB126" s="92"/>
      <c r="CC126" s="92"/>
      <c r="CD126" s="92"/>
      <c r="CE126" s="92"/>
      <c r="CF126" s="92"/>
      <c r="CG126" s="92"/>
      <c r="CH126" s="92"/>
      <c r="CI126" s="92"/>
      <c r="CJ126" s="92"/>
      <c r="CK126" s="92"/>
      <c r="CL126" s="92"/>
      <c r="CM126" s="92"/>
      <c r="CN126" s="92"/>
      <c r="CO126" s="92"/>
      <c r="CP126" s="92"/>
      <c r="CQ126" s="92"/>
      <c r="CR126" s="92"/>
      <c r="CS126" s="92"/>
      <c r="CT126" s="92"/>
      <c r="CU126" s="92"/>
      <c r="CV126" s="92"/>
      <c r="CW126" s="92"/>
      <c r="CX126" s="92"/>
      <c r="CY126" s="92"/>
      <c r="CZ126" s="92"/>
      <c r="DA126" s="92"/>
      <c r="DB126" s="92"/>
      <c r="DC126" s="92"/>
      <c r="DD126" s="92"/>
      <c r="DE126" s="92"/>
      <c r="DF126" s="92"/>
      <c r="DG126" s="92"/>
      <c r="DH126" s="92"/>
      <c r="DI126" s="92"/>
      <c r="DJ126" s="92"/>
      <c r="DK126" s="92"/>
      <c r="DL126" s="92"/>
      <c r="DM126" s="92"/>
      <c r="DN126" s="92"/>
      <c r="DO126" s="92"/>
      <c r="DP126" s="92"/>
      <c r="DQ126" s="92"/>
      <c r="DR126" s="92"/>
      <c r="DS126" s="92"/>
      <c r="DT126" s="92"/>
      <c r="DU126" s="92"/>
      <c r="DV126" s="92"/>
      <c r="DW126" s="92"/>
      <c r="DX126" s="92"/>
      <c r="DY126" s="92"/>
      <c r="DZ126" s="92"/>
      <c r="EA126" s="92"/>
      <c r="EB126" s="92"/>
      <c r="EC126" s="92"/>
      <c r="ED126" s="92"/>
      <c r="EE126" s="92"/>
      <c r="EF126" s="92"/>
      <c r="EG126" s="92"/>
      <c r="EH126" s="92"/>
      <c r="EI126" s="92"/>
      <c r="EJ126" s="92"/>
      <c r="EK126" s="92"/>
      <c r="EL126" s="92"/>
      <c r="EM126" s="92"/>
      <c r="EN126" s="92"/>
      <c r="EO126" s="92"/>
      <c r="EP126" s="92"/>
      <c r="EQ126" s="92"/>
      <c r="ER126" s="92"/>
      <c r="ES126" s="92"/>
      <c r="ET126" s="92"/>
      <c r="EU126" s="92"/>
      <c r="EV126" s="92"/>
      <c r="EW126" s="92"/>
      <c r="EX126" s="92"/>
      <c r="EY126" s="92"/>
      <c r="EZ126" s="92"/>
      <c r="FA126" s="92"/>
      <c r="FB126" s="92"/>
      <c r="FC126" s="92"/>
      <c r="FD126" s="92"/>
      <c r="FE126" s="92"/>
      <c r="FF126" s="92"/>
      <c r="FG126" s="92"/>
      <c r="FH126" s="92"/>
    </row>
    <row r="127">
      <c r="A127" s="32" t="s">
        <v>7</v>
      </c>
      <c r="B127" s="32" t="s">
        <v>32</v>
      </c>
      <c r="C127" s="32" t="s">
        <v>12</v>
      </c>
      <c r="D127" s="97">
        <f t="shared" si="1"/>
        <v>4399.985448</v>
      </c>
      <c r="E127" s="92">
        <f>(SUBSTITUTE(Audio!E127, "RE-", "", 1))*1</f>
        <v>0</v>
      </c>
      <c r="F127" s="92">
        <f>(SUBSTITUTE(Audio!F127, "RE-", "", 1))*1</f>
        <v>752.9058802</v>
      </c>
      <c r="G127" s="92">
        <f>(SUBSTITUTE(Audio!G127, "RE-", "", 1))*1</f>
        <v>2.91299375</v>
      </c>
      <c r="H127" s="92">
        <f>(SUBSTITUTE(Audio!H127, "RE-", "", 1))*1</f>
        <v>81.88008958</v>
      </c>
      <c r="I127" s="92">
        <f>(SUBSTITUTE(Audio!I127, "RE-", "", 1))*1</f>
        <v>0.3498270833</v>
      </c>
      <c r="J127" s="92">
        <f>(SUBSTITUTE(Audio!J127, "RE-", "", 1))*1</f>
        <v>1169.516572</v>
      </c>
      <c r="K127" s="92">
        <f>(SUBSTITUTE(Audio!K127, "RE-", "", 1))*1</f>
        <v>3.714877083</v>
      </c>
      <c r="L127" s="92">
        <f>(SUBSTITUTE(Audio!L127, "RE-", "", 1))*1</f>
        <v>516.6174729</v>
      </c>
      <c r="M127" s="92">
        <f>(SUBSTITUTE(Audio!M127, "RE-", "", 1))*1</f>
        <v>8.239689583</v>
      </c>
      <c r="N127" s="92">
        <f>(SUBSTITUTE(Audio!N127, "RE-", "", 1))*1</f>
        <v>894.4582719</v>
      </c>
      <c r="O127" s="92">
        <f>(SUBSTITUTE(Audio!O127, "RE-", "", 1))*1</f>
        <v>9.766929167</v>
      </c>
      <c r="P127" s="92">
        <f>(SUBSTITUTE(Audio!P127, "RE-", "", 1))*1</f>
        <v>290.4570552</v>
      </c>
      <c r="Q127" s="92">
        <f>(SUBSTITUTE(Audio!Q127, "RE-", "", 1))*1</f>
        <v>29.08141042</v>
      </c>
      <c r="R127" s="92">
        <f>(SUBSTITUTE(Audio!R127, "RE-", "", 1))*1</f>
        <v>112.721749</v>
      </c>
      <c r="S127" s="92">
        <f>(SUBSTITUTE(Audio!S127, "RE-", "", 1))*1</f>
        <v>10.24154063</v>
      </c>
      <c r="T127" s="92">
        <f>(SUBSTITUTE(Audio!T127, "RE-", "", 1))*1</f>
        <v>482.6883865</v>
      </c>
      <c r="U127" s="92">
        <f>(SUBSTITUTE(Audio!U127, "RE-", "", 1))*1</f>
        <v>30.14045521</v>
      </c>
      <c r="V127" s="92">
        <f>(SUBSTITUTE(Audio!V127, "RE-", "", 1))*1</f>
        <v>4.292247917</v>
      </c>
      <c r="W127" s="92">
        <f>(SUBSTITUTE(Audio!W127, "RE-", "", 1))*1</f>
        <v>0</v>
      </c>
      <c r="X127" s="92">
        <f>(SUBSTITUTE(Audio!X127, "RE-", "", 1))*1</f>
        <v>0</v>
      </c>
      <c r="Y127" s="92">
        <f>(SUBSTITUTE(Audio!Y127, "RE-", "", 1))*1</f>
        <v>0</v>
      </c>
      <c r="Z127" s="92">
        <f>(SUBSTITUTE(Audio!Z127, "RE-", "", 1))*1</f>
        <v>0</v>
      </c>
      <c r="AA127" s="92"/>
      <c r="AB127" s="92"/>
      <c r="AC127" s="92"/>
      <c r="AD127" s="92"/>
      <c r="AE127" s="92"/>
      <c r="AF127" s="92"/>
      <c r="AG127" s="92"/>
      <c r="AH127" s="92"/>
      <c r="AI127" s="92"/>
      <c r="AJ127" s="92"/>
      <c r="AK127" s="92"/>
      <c r="AL127" s="92"/>
      <c r="AM127" s="92"/>
      <c r="AN127" s="92"/>
      <c r="AO127" s="92"/>
      <c r="AP127" s="92"/>
      <c r="AQ127" s="92"/>
      <c r="AR127" s="92"/>
      <c r="AS127" s="92"/>
      <c r="AT127" s="92"/>
      <c r="AU127" s="92"/>
      <c r="AV127" s="92"/>
      <c r="AW127" s="92"/>
      <c r="AX127" s="92"/>
      <c r="AY127" s="92"/>
      <c r="AZ127" s="92"/>
      <c r="BA127" s="92"/>
      <c r="BB127" s="92"/>
      <c r="BC127" s="92"/>
      <c r="BD127" s="92"/>
      <c r="BE127" s="92"/>
      <c r="BF127" s="92"/>
      <c r="BG127" s="92"/>
      <c r="BH127" s="92"/>
      <c r="BI127" s="92"/>
      <c r="BJ127" s="92"/>
      <c r="BK127" s="92"/>
      <c r="BL127" s="92"/>
      <c r="BM127" s="92"/>
      <c r="BN127" s="92"/>
      <c r="BO127" s="92"/>
      <c r="BP127" s="92"/>
      <c r="BQ127" s="92"/>
      <c r="BR127" s="92"/>
      <c r="BS127" s="92"/>
      <c r="BT127" s="92"/>
      <c r="BU127" s="92"/>
      <c r="BV127" s="92"/>
      <c r="BW127" s="92"/>
      <c r="BX127" s="92"/>
      <c r="BY127" s="92"/>
      <c r="BZ127" s="92"/>
      <c r="CA127" s="92"/>
      <c r="CB127" s="92"/>
      <c r="CC127" s="92"/>
      <c r="CD127" s="92"/>
      <c r="CE127" s="92"/>
      <c r="CF127" s="92"/>
      <c r="CG127" s="92"/>
      <c r="CH127" s="92"/>
      <c r="CI127" s="92"/>
      <c r="CJ127" s="92"/>
      <c r="CK127" s="92"/>
      <c r="CL127" s="92"/>
      <c r="CM127" s="92"/>
      <c r="CN127" s="92"/>
      <c r="CO127" s="92"/>
      <c r="CP127" s="92"/>
      <c r="CQ127" s="92"/>
      <c r="CR127" s="92"/>
      <c r="CS127" s="92"/>
      <c r="CT127" s="92"/>
      <c r="CU127" s="92"/>
      <c r="CV127" s="92"/>
      <c r="CW127" s="92"/>
      <c r="CX127" s="92"/>
      <c r="CY127" s="92"/>
      <c r="CZ127" s="92"/>
      <c r="DA127" s="92"/>
      <c r="DB127" s="92"/>
      <c r="DC127" s="92"/>
      <c r="DD127" s="92"/>
      <c r="DE127" s="92"/>
      <c r="DF127" s="92"/>
      <c r="DG127" s="92"/>
      <c r="DH127" s="92"/>
      <c r="DI127" s="92"/>
      <c r="DJ127" s="92"/>
      <c r="DK127" s="92"/>
      <c r="DL127" s="92"/>
      <c r="DM127" s="92"/>
      <c r="DN127" s="92"/>
      <c r="DO127" s="92"/>
      <c r="DP127" s="92"/>
      <c r="DQ127" s="92"/>
      <c r="DR127" s="92"/>
      <c r="DS127" s="92"/>
      <c r="DT127" s="92"/>
      <c r="DU127" s="92"/>
      <c r="DV127" s="92"/>
      <c r="DW127" s="92"/>
      <c r="DX127" s="92"/>
      <c r="DY127" s="92"/>
      <c r="DZ127" s="92"/>
      <c r="EA127" s="92"/>
      <c r="EB127" s="92"/>
      <c r="EC127" s="92"/>
      <c r="ED127" s="92"/>
      <c r="EE127" s="92"/>
      <c r="EF127" s="92"/>
      <c r="EG127" s="92"/>
      <c r="EH127" s="92"/>
      <c r="EI127" s="92"/>
      <c r="EJ127" s="92"/>
      <c r="EK127" s="92"/>
      <c r="EL127" s="92"/>
      <c r="EM127" s="92"/>
      <c r="EN127" s="92"/>
      <c r="EO127" s="92"/>
      <c r="EP127" s="92"/>
      <c r="EQ127" s="92"/>
      <c r="ER127" s="92"/>
      <c r="ES127" s="92"/>
      <c r="ET127" s="92"/>
      <c r="EU127" s="92"/>
      <c r="EV127" s="92"/>
      <c r="EW127" s="92"/>
      <c r="EX127" s="92"/>
      <c r="EY127" s="92"/>
      <c r="EZ127" s="92"/>
      <c r="FA127" s="92"/>
      <c r="FB127" s="92"/>
      <c r="FC127" s="92"/>
      <c r="FD127" s="92"/>
      <c r="FE127" s="92"/>
      <c r="FF127" s="92"/>
      <c r="FG127" s="92"/>
      <c r="FH127" s="92"/>
    </row>
    <row r="128">
      <c r="A128" s="32" t="s">
        <v>7</v>
      </c>
      <c r="B128" s="32" t="s">
        <v>32</v>
      </c>
      <c r="C128" s="32" t="s">
        <v>13</v>
      </c>
      <c r="D128" s="97">
        <f t="shared" si="1"/>
        <v>4242.693403</v>
      </c>
      <c r="E128" s="92">
        <f>(SUBSTITUTE(Audio!E128, "RE-", "", 1))*1</f>
        <v>0</v>
      </c>
      <c r="F128" s="92">
        <f>(SUBSTITUTE(Audio!F128, "RE-", "", 1))*1</f>
        <v>730.634</v>
      </c>
      <c r="G128" s="92">
        <f>(SUBSTITUTE(Audio!G128, "RE-", "", 1))*1</f>
        <v>2.78743</v>
      </c>
      <c r="H128" s="92">
        <f>(SUBSTITUTE(Audio!H128, "RE-", "", 1))*1</f>
        <v>79.6871</v>
      </c>
      <c r="I128" s="92">
        <f>(SUBSTITUTE(Audio!I128, "RE-", "", 1))*1</f>
        <v>0.334883</v>
      </c>
      <c r="J128" s="92">
        <f>(SUBSTITUTE(Audio!J128, "RE-", "", 1))*1</f>
        <v>1131.73</v>
      </c>
      <c r="K128" s="92">
        <f>(SUBSTITUTE(Audio!K128, "RE-", "", 1))*1</f>
        <v>3.5694</v>
      </c>
      <c r="L128" s="92">
        <f>(SUBSTITUTE(Audio!L128, "RE-", "", 1))*1</f>
        <v>497.516</v>
      </c>
      <c r="M128" s="92">
        <f>(SUBSTITUTE(Audio!M128, "RE-", "", 1))*1</f>
        <v>7.96238</v>
      </c>
      <c r="N128" s="92">
        <f>(SUBSTITUTE(Audio!N128, "RE-", "", 1))*1</f>
        <v>861.598</v>
      </c>
      <c r="O128" s="92">
        <f>(SUBSTITUTE(Audio!O128, "RE-", "", 1))*1</f>
        <v>9.28523</v>
      </c>
      <c r="P128" s="92">
        <f>(SUBSTITUTE(Audio!P128, "RE-", "", 1))*1</f>
        <v>278.978</v>
      </c>
      <c r="Q128" s="92">
        <f>(SUBSTITUTE(Audio!Q128, "RE-", "", 1))*1</f>
        <v>27.7915</v>
      </c>
      <c r="R128" s="92">
        <f>(SUBSTITUTE(Audio!R128, "RE-", "", 1))*1</f>
        <v>107.414</v>
      </c>
      <c r="S128" s="92">
        <f>(SUBSTITUTE(Audio!S128, "RE-", "", 1))*1</f>
        <v>9.7715</v>
      </c>
      <c r="T128" s="92">
        <f>(SUBSTITUTE(Audio!T128, "RE-", "", 1))*1</f>
        <v>461.384</v>
      </c>
      <c r="U128" s="92">
        <f>(SUBSTITUTE(Audio!U128, "RE-", "", 1))*1</f>
        <v>28.103</v>
      </c>
      <c r="V128" s="92">
        <f>(SUBSTITUTE(Audio!V128, "RE-", "", 1))*1</f>
        <v>4.14698</v>
      </c>
      <c r="W128" s="92">
        <f>(SUBSTITUTE(Audio!W128, "RE-", "", 1))*1</f>
        <v>0</v>
      </c>
      <c r="X128" s="92">
        <f>(SUBSTITUTE(Audio!X128, "RE-", "", 1))*1</f>
        <v>0</v>
      </c>
      <c r="Y128" s="92">
        <f>(SUBSTITUTE(Audio!Y128, "RE-", "", 1))*1</f>
        <v>0</v>
      </c>
      <c r="Z128" s="92">
        <f>(SUBSTITUTE(Audio!Z128, "RE-", "", 1))*1</f>
        <v>0</v>
      </c>
      <c r="AA128" s="92"/>
      <c r="AB128" s="92"/>
      <c r="AC128" s="92"/>
      <c r="AD128" s="92"/>
      <c r="AE128" s="92"/>
      <c r="AF128" s="92"/>
      <c r="AG128" s="92"/>
      <c r="AH128" s="92"/>
      <c r="AI128" s="92"/>
      <c r="AJ128" s="92"/>
      <c r="AK128" s="92"/>
      <c r="AL128" s="92"/>
      <c r="AM128" s="92"/>
      <c r="AN128" s="92"/>
      <c r="AO128" s="92"/>
      <c r="AP128" s="92"/>
      <c r="AQ128" s="92"/>
      <c r="AR128" s="92"/>
      <c r="AS128" s="92"/>
      <c r="AT128" s="92"/>
      <c r="AU128" s="92"/>
      <c r="AV128" s="92"/>
      <c r="AW128" s="92"/>
      <c r="AX128" s="92"/>
      <c r="AY128" s="92"/>
      <c r="AZ128" s="92"/>
      <c r="BA128" s="92"/>
      <c r="BB128" s="92"/>
      <c r="BC128" s="92"/>
      <c r="BD128" s="92"/>
      <c r="BE128" s="92"/>
      <c r="BF128" s="92"/>
      <c r="BG128" s="92"/>
      <c r="BH128" s="92"/>
      <c r="BI128" s="92"/>
      <c r="BJ128" s="92"/>
      <c r="BK128" s="92"/>
      <c r="BL128" s="92"/>
      <c r="BM128" s="92"/>
      <c r="BN128" s="92"/>
      <c r="BO128" s="92"/>
      <c r="BP128" s="92"/>
      <c r="BQ128" s="92"/>
      <c r="BR128" s="92"/>
      <c r="BS128" s="92"/>
      <c r="BT128" s="92"/>
      <c r="BU128" s="92"/>
      <c r="BV128" s="92"/>
      <c r="BW128" s="92"/>
      <c r="BX128" s="92"/>
      <c r="BY128" s="92"/>
      <c r="BZ128" s="92"/>
      <c r="CA128" s="92"/>
      <c r="CB128" s="92"/>
      <c r="CC128" s="92"/>
      <c r="CD128" s="92"/>
      <c r="CE128" s="92"/>
      <c r="CF128" s="92"/>
      <c r="CG128" s="92"/>
      <c r="CH128" s="92"/>
      <c r="CI128" s="92"/>
      <c r="CJ128" s="92"/>
      <c r="CK128" s="92"/>
      <c r="CL128" s="92"/>
      <c r="CM128" s="92"/>
      <c r="CN128" s="92"/>
      <c r="CO128" s="92"/>
      <c r="CP128" s="92"/>
      <c r="CQ128" s="92"/>
      <c r="CR128" s="92"/>
      <c r="CS128" s="92"/>
      <c r="CT128" s="92"/>
      <c r="CU128" s="92"/>
      <c r="CV128" s="92"/>
      <c r="CW128" s="92"/>
      <c r="CX128" s="92"/>
      <c r="CY128" s="92"/>
      <c r="CZ128" s="92"/>
      <c r="DA128" s="92"/>
      <c r="DB128" s="92"/>
      <c r="DC128" s="92"/>
      <c r="DD128" s="92"/>
      <c r="DE128" s="92"/>
      <c r="DF128" s="92"/>
      <c r="DG128" s="92"/>
      <c r="DH128" s="92"/>
      <c r="DI128" s="92"/>
      <c r="DJ128" s="92"/>
      <c r="DK128" s="92"/>
      <c r="DL128" s="92"/>
      <c r="DM128" s="92"/>
      <c r="DN128" s="92"/>
      <c r="DO128" s="92"/>
      <c r="DP128" s="92"/>
      <c r="DQ128" s="92"/>
      <c r="DR128" s="92"/>
      <c r="DS128" s="92"/>
      <c r="DT128" s="92"/>
      <c r="DU128" s="92"/>
      <c r="DV128" s="92"/>
      <c r="DW128" s="92"/>
      <c r="DX128" s="92"/>
      <c r="DY128" s="92"/>
      <c r="DZ128" s="92"/>
      <c r="EA128" s="92"/>
      <c r="EB128" s="92"/>
      <c r="EC128" s="92"/>
      <c r="ED128" s="92"/>
      <c r="EE128" s="92"/>
      <c r="EF128" s="92"/>
      <c r="EG128" s="92"/>
      <c r="EH128" s="92"/>
      <c r="EI128" s="92"/>
      <c r="EJ128" s="92"/>
      <c r="EK128" s="92"/>
      <c r="EL128" s="92"/>
      <c r="EM128" s="92"/>
      <c r="EN128" s="92"/>
      <c r="EO128" s="92"/>
      <c r="EP128" s="92"/>
      <c r="EQ128" s="92"/>
      <c r="ER128" s="92"/>
      <c r="ES128" s="92"/>
      <c r="ET128" s="92"/>
      <c r="EU128" s="92"/>
      <c r="EV128" s="92"/>
      <c r="EW128" s="92"/>
      <c r="EX128" s="92"/>
      <c r="EY128" s="92"/>
      <c r="EZ128" s="92"/>
      <c r="FA128" s="92"/>
      <c r="FB128" s="92"/>
      <c r="FC128" s="92"/>
      <c r="FD128" s="92"/>
      <c r="FE128" s="92"/>
      <c r="FF128" s="92"/>
      <c r="FG128" s="92"/>
      <c r="FH128" s="92"/>
    </row>
    <row r="129">
      <c r="A129" s="32" t="s">
        <v>7</v>
      </c>
      <c r="B129" s="32" t="s">
        <v>32</v>
      </c>
      <c r="C129" s="32" t="s">
        <v>14</v>
      </c>
      <c r="D129" s="97">
        <f t="shared" si="1"/>
        <v>3776.087573</v>
      </c>
      <c r="E129" s="92">
        <f>(SUBSTITUTE(Audio!E129, "RE-", "", 1))*1</f>
        <v>0</v>
      </c>
      <c r="F129" s="92">
        <f>(SUBSTITUTE(Audio!F129, "RE-", "", 1))*1</f>
        <v>661.065</v>
      </c>
      <c r="G129" s="92">
        <f>(SUBSTITUTE(Audio!G129, "RE-", "", 1))*1</f>
        <v>2.78743</v>
      </c>
      <c r="H129" s="92">
        <f>(SUBSTITUTE(Audio!H129, "RE-", "", 1))*1</f>
        <v>74.2746</v>
      </c>
      <c r="I129" s="92">
        <f>(SUBSTITUTE(Audio!I129, "RE-", "", 1))*1</f>
        <v>0.334883</v>
      </c>
      <c r="J129" s="92">
        <f>(SUBSTITUTE(Audio!J129, "RE-", "", 1))*1</f>
        <v>1046.3</v>
      </c>
      <c r="K129" s="92">
        <f>(SUBSTITUTE(Audio!K129, "RE-", "", 1))*1</f>
        <v>3.5694</v>
      </c>
      <c r="L129" s="92">
        <f>(SUBSTITUTE(Audio!L129, "RE-", "", 1))*1</f>
        <v>437.265</v>
      </c>
      <c r="M129" s="92">
        <f>(SUBSTITUTE(Audio!M129, "RE-", "", 1))*1</f>
        <v>6.70973</v>
      </c>
      <c r="N129" s="92">
        <f>(SUBSTITUTE(Audio!N129, "RE-", "", 1))*1</f>
        <v>749.513</v>
      </c>
      <c r="O129" s="92">
        <f>(SUBSTITUTE(Audio!O129, "RE-", "", 1))*1</f>
        <v>7.84688</v>
      </c>
      <c r="P129" s="92">
        <f>(SUBSTITUTE(Audio!P129, "RE-", "", 1))*1</f>
        <v>237.857</v>
      </c>
      <c r="Q129" s="92">
        <f>(SUBSTITUTE(Audio!Q129, "RE-", "", 1))*1</f>
        <v>23.1847</v>
      </c>
      <c r="R129" s="92">
        <f>(SUBSTITUTE(Audio!R129, "RE-", "", 1))*1</f>
        <v>92.9424</v>
      </c>
      <c r="S129" s="92">
        <f>(SUBSTITUTE(Audio!S129, "RE-", "", 1))*1</f>
        <v>8.89968</v>
      </c>
      <c r="T129" s="92">
        <f>(SUBSTITUTE(Audio!T129, "RE-", "", 1))*1</f>
        <v>395.26</v>
      </c>
      <c r="U129" s="92">
        <f>(SUBSTITUTE(Audio!U129, "RE-", "", 1))*1</f>
        <v>24.2971</v>
      </c>
      <c r="V129" s="92">
        <f>(SUBSTITUTE(Audio!V129, "RE-", "", 1))*1</f>
        <v>3.98077</v>
      </c>
      <c r="W129" s="92">
        <f>(SUBSTITUTE(Audio!W129, "RE-", "", 1))*1</f>
        <v>0</v>
      </c>
      <c r="X129" s="92">
        <f>(SUBSTITUTE(Audio!X129, "RE-", "", 1))*1</f>
        <v>0</v>
      </c>
      <c r="Y129" s="92">
        <f>(SUBSTITUTE(Audio!Y129, "RE-", "", 1))*1</f>
        <v>0</v>
      </c>
      <c r="Z129" s="92">
        <f>(SUBSTITUTE(Audio!Z129, "RE-", "", 1))*1</f>
        <v>0</v>
      </c>
      <c r="AA129" s="92"/>
      <c r="AB129" s="92"/>
      <c r="AC129" s="92"/>
      <c r="AD129" s="92"/>
      <c r="AE129" s="92"/>
      <c r="AF129" s="92"/>
      <c r="AG129" s="92"/>
      <c r="AH129" s="92"/>
      <c r="AI129" s="92"/>
      <c r="AJ129" s="92"/>
      <c r="AK129" s="92"/>
      <c r="AL129" s="92"/>
      <c r="AM129" s="92"/>
      <c r="AN129" s="92"/>
      <c r="AO129" s="92"/>
      <c r="AP129" s="92"/>
      <c r="AQ129" s="92"/>
      <c r="AR129" s="92"/>
      <c r="AS129" s="92"/>
      <c r="AT129" s="92"/>
      <c r="AU129" s="92"/>
      <c r="AV129" s="92"/>
      <c r="AW129" s="92"/>
      <c r="AX129" s="92"/>
      <c r="AY129" s="92"/>
      <c r="AZ129" s="92"/>
      <c r="BA129" s="92"/>
      <c r="BB129" s="92"/>
      <c r="BC129" s="92"/>
      <c r="BD129" s="92"/>
      <c r="BE129" s="92"/>
      <c r="BF129" s="92"/>
      <c r="BG129" s="92"/>
      <c r="BH129" s="92"/>
      <c r="BI129" s="92"/>
      <c r="BJ129" s="92"/>
      <c r="BK129" s="92"/>
      <c r="BL129" s="92"/>
      <c r="BM129" s="92"/>
      <c r="BN129" s="92"/>
      <c r="BO129" s="92"/>
      <c r="BP129" s="92"/>
      <c r="BQ129" s="92"/>
      <c r="BR129" s="92"/>
      <c r="BS129" s="92"/>
      <c r="BT129" s="92"/>
      <c r="BU129" s="92"/>
      <c r="BV129" s="92"/>
      <c r="BW129" s="92"/>
      <c r="BX129" s="92"/>
      <c r="BY129" s="92"/>
      <c r="BZ129" s="92"/>
      <c r="CA129" s="92"/>
      <c r="CB129" s="92"/>
      <c r="CC129" s="92"/>
      <c r="CD129" s="92"/>
      <c r="CE129" s="92"/>
      <c r="CF129" s="92"/>
      <c r="CG129" s="92"/>
      <c r="CH129" s="92"/>
      <c r="CI129" s="92"/>
      <c r="CJ129" s="92"/>
      <c r="CK129" s="92"/>
      <c r="CL129" s="92"/>
      <c r="CM129" s="92"/>
      <c r="CN129" s="92"/>
      <c r="CO129" s="92"/>
      <c r="CP129" s="92"/>
      <c r="CQ129" s="92"/>
      <c r="CR129" s="92"/>
      <c r="CS129" s="92"/>
      <c r="CT129" s="92"/>
      <c r="CU129" s="92"/>
      <c r="CV129" s="92"/>
      <c r="CW129" s="92"/>
      <c r="CX129" s="92"/>
      <c r="CY129" s="92"/>
      <c r="CZ129" s="92"/>
      <c r="DA129" s="92"/>
      <c r="DB129" s="92"/>
      <c r="DC129" s="92"/>
      <c r="DD129" s="92"/>
      <c r="DE129" s="92"/>
      <c r="DF129" s="92"/>
      <c r="DG129" s="92"/>
      <c r="DH129" s="92"/>
      <c r="DI129" s="92"/>
      <c r="DJ129" s="92"/>
      <c r="DK129" s="92"/>
      <c r="DL129" s="92"/>
      <c r="DM129" s="92"/>
      <c r="DN129" s="92"/>
      <c r="DO129" s="92"/>
      <c r="DP129" s="92"/>
      <c r="DQ129" s="92"/>
      <c r="DR129" s="92"/>
      <c r="DS129" s="92"/>
      <c r="DT129" s="92"/>
      <c r="DU129" s="92"/>
      <c r="DV129" s="92"/>
      <c r="DW129" s="92"/>
      <c r="DX129" s="92"/>
      <c r="DY129" s="92"/>
      <c r="DZ129" s="92"/>
      <c r="EA129" s="92"/>
      <c r="EB129" s="92"/>
      <c r="EC129" s="92"/>
      <c r="ED129" s="92"/>
      <c r="EE129" s="92"/>
      <c r="EF129" s="92"/>
      <c r="EG129" s="92"/>
      <c r="EH129" s="92"/>
      <c r="EI129" s="92"/>
      <c r="EJ129" s="92"/>
      <c r="EK129" s="92"/>
      <c r="EL129" s="92"/>
      <c r="EM129" s="92"/>
      <c r="EN129" s="92"/>
      <c r="EO129" s="92"/>
      <c r="EP129" s="92"/>
      <c r="EQ129" s="92"/>
      <c r="ER129" s="92"/>
      <c r="ES129" s="92"/>
      <c r="ET129" s="92"/>
      <c r="EU129" s="92"/>
      <c r="EV129" s="92"/>
      <c r="EW129" s="92"/>
      <c r="EX129" s="92"/>
      <c r="EY129" s="92"/>
      <c r="EZ129" s="92"/>
      <c r="FA129" s="92"/>
      <c r="FB129" s="92"/>
      <c r="FC129" s="92"/>
      <c r="FD129" s="92"/>
      <c r="FE129" s="92"/>
      <c r="FF129" s="92"/>
      <c r="FG129" s="92"/>
      <c r="FH129" s="92"/>
    </row>
    <row r="130">
      <c r="A130" s="27" t="s">
        <v>7</v>
      </c>
      <c r="B130" s="27" t="s">
        <v>32</v>
      </c>
      <c r="C130" s="27" t="s">
        <v>15</v>
      </c>
      <c r="D130" s="98">
        <f t="shared" si="1"/>
        <v>4242.555803</v>
      </c>
      <c r="E130" s="92">
        <f>(SUBSTITUTE(Audio!E130, "RE-", "", 1))*1</f>
        <v>0</v>
      </c>
      <c r="F130" s="92">
        <f>(SUBSTITUTE(Audio!F130, "RE-", "", 1))*1</f>
        <v>730.524</v>
      </c>
      <c r="G130" s="92">
        <f>(SUBSTITUTE(Audio!G130, "RE-", "", 1))*1</f>
        <v>2.78743</v>
      </c>
      <c r="H130" s="92">
        <f>(SUBSTITUTE(Audio!H130, "RE-", "", 1))*1</f>
        <v>79.6871</v>
      </c>
      <c r="I130" s="92">
        <f>(SUBSTITUTE(Audio!I130, "RE-", "", 1))*1</f>
        <v>0.334883</v>
      </c>
      <c r="J130" s="92">
        <f>(SUBSTITUTE(Audio!J130, "RE-", "", 1))*1</f>
        <v>1131.73</v>
      </c>
      <c r="K130" s="92">
        <f>(SUBSTITUTE(Audio!K130, "RE-", "", 1))*1</f>
        <v>3.5694</v>
      </c>
      <c r="L130" s="92">
        <f>(SUBSTITUTE(Audio!L130, "RE-", "", 1))*1</f>
        <v>497.516</v>
      </c>
      <c r="M130" s="92">
        <f>(SUBSTITUTE(Audio!M130, "RE-", "", 1))*1</f>
        <v>7.96238</v>
      </c>
      <c r="N130" s="92">
        <f>(SUBSTITUTE(Audio!N130, "RE-", "", 1))*1</f>
        <v>861.598</v>
      </c>
      <c r="O130" s="92">
        <f>(SUBSTITUTE(Audio!O130, "RE-", "", 1))*1</f>
        <v>9.28523</v>
      </c>
      <c r="P130" s="92">
        <f>(SUBSTITUTE(Audio!P130, "RE-", "", 1))*1</f>
        <v>278.978</v>
      </c>
      <c r="Q130" s="92">
        <f>(SUBSTITUTE(Audio!Q130, "RE-", "", 1))*1</f>
        <v>27.7915</v>
      </c>
      <c r="R130" s="92">
        <f>(SUBSTITUTE(Audio!R130, "RE-", "", 1))*1</f>
        <v>107.414</v>
      </c>
      <c r="S130" s="92">
        <f>(SUBSTITUTE(Audio!S130, "RE-", "", 1))*1</f>
        <v>9.7715</v>
      </c>
      <c r="T130" s="92">
        <f>(SUBSTITUTE(Audio!T130, "RE-", "", 1))*1</f>
        <v>461.384</v>
      </c>
      <c r="U130" s="92">
        <f>(SUBSTITUTE(Audio!U130, "RE-", "", 1))*1</f>
        <v>28.0754</v>
      </c>
      <c r="V130" s="92">
        <f>(SUBSTITUTE(Audio!V130, "RE-", "", 1))*1</f>
        <v>4.14698</v>
      </c>
      <c r="W130" s="92">
        <f>(SUBSTITUTE(Audio!W130, "RE-", "", 1))*1</f>
        <v>0</v>
      </c>
      <c r="X130" s="92">
        <f>(SUBSTITUTE(Audio!X130, "RE-", "", 1))*1</f>
        <v>0</v>
      </c>
      <c r="Y130" s="92">
        <f>(SUBSTITUTE(Audio!Y130, "RE-", "", 1))*1</f>
        <v>0</v>
      </c>
      <c r="Z130" s="92">
        <f>(SUBSTITUTE(Audio!Z130, "RE-", "", 1))*1</f>
        <v>0</v>
      </c>
      <c r="AA130" s="92"/>
      <c r="AB130" s="92"/>
      <c r="AC130" s="92"/>
      <c r="AD130" s="92"/>
      <c r="AE130" s="92"/>
      <c r="AF130" s="92"/>
      <c r="AG130" s="92"/>
      <c r="AH130" s="92"/>
      <c r="AI130" s="92"/>
      <c r="AJ130" s="92"/>
      <c r="AK130" s="92"/>
      <c r="AL130" s="92"/>
      <c r="AM130" s="92"/>
      <c r="AN130" s="92"/>
      <c r="AO130" s="92"/>
      <c r="AP130" s="92"/>
      <c r="AQ130" s="92"/>
      <c r="AR130" s="92"/>
      <c r="AS130" s="92"/>
      <c r="AT130" s="92"/>
      <c r="AU130" s="92"/>
      <c r="AV130" s="92"/>
      <c r="AW130" s="92"/>
      <c r="AX130" s="92"/>
      <c r="AY130" s="92"/>
      <c r="AZ130" s="92"/>
      <c r="BA130" s="92"/>
      <c r="BB130" s="92"/>
      <c r="BC130" s="92"/>
      <c r="BD130" s="92"/>
      <c r="BE130" s="92"/>
      <c r="BF130" s="92"/>
      <c r="BG130" s="92"/>
      <c r="BH130" s="92"/>
      <c r="BI130" s="92"/>
      <c r="BJ130" s="92"/>
      <c r="BK130" s="92"/>
      <c r="BL130" s="92"/>
      <c r="BM130" s="92"/>
      <c r="BN130" s="92"/>
      <c r="BO130" s="92"/>
      <c r="BP130" s="92"/>
      <c r="BQ130" s="92"/>
      <c r="BR130" s="92"/>
      <c r="BS130" s="92"/>
      <c r="BT130" s="92"/>
      <c r="BU130" s="92"/>
      <c r="BV130" s="92"/>
      <c r="BW130" s="92"/>
      <c r="BX130" s="92"/>
      <c r="BY130" s="92"/>
      <c r="BZ130" s="92"/>
      <c r="CA130" s="92"/>
      <c r="CB130" s="92"/>
      <c r="CC130" s="92"/>
      <c r="CD130" s="92"/>
      <c r="CE130" s="92"/>
      <c r="CF130" s="92"/>
      <c r="CG130" s="92"/>
      <c r="CH130" s="92"/>
      <c r="CI130" s="92"/>
      <c r="CJ130" s="92"/>
      <c r="CK130" s="92"/>
      <c r="CL130" s="92"/>
      <c r="CM130" s="92"/>
      <c r="CN130" s="92"/>
      <c r="CO130" s="92"/>
      <c r="CP130" s="92"/>
      <c r="CQ130" s="92"/>
      <c r="CR130" s="92"/>
      <c r="CS130" s="92"/>
      <c r="CT130" s="92"/>
      <c r="CU130" s="92"/>
      <c r="CV130" s="92"/>
      <c r="CW130" s="92"/>
      <c r="CX130" s="92"/>
      <c r="CY130" s="92"/>
      <c r="CZ130" s="92"/>
      <c r="DA130" s="92"/>
      <c r="DB130" s="92"/>
      <c r="DC130" s="92"/>
      <c r="DD130" s="92"/>
      <c r="DE130" s="92"/>
      <c r="DF130" s="92"/>
      <c r="DG130" s="92"/>
      <c r="DH130" s="92"/>
      <c r="DI130" s="92"/>
      <c r="DJ130" s="92"/>
      <c r="DK130" s="92"/>
      <c r="DL130" s="92"/>
      <c r="DM130" s="92"/>
      <c r="DN130" s="92"/>
      <c r="DO130" s="92"/>
      <c r="DP130" s="92"/>
      <c r="DQ130" s="92"/>
      <c r="DR130" s="92"/>
      <c r="DS130" s="92"/>
      <c r="DT130" s="92"/>
      <c r="DU130" s="92"/>
      <c r="DV130" s="92"/>
      <c r="DW130" s="92"/>
      <c r="DX130" s="92"/>
      <c r="DY130" s="92"/>
      <c r="DZ130" s="92"/>
      <c r="EA130" s="92"/>
      <c r="EB130" s="92"/>
      <c r="EC130" s="92"/>
      <c r="ED130" s="92"/>
      <c r="EE130" s="92"/>
      <c r="EF130" s="92"/>
      <c r="EG130" s="92"/>
      <c r="EH130" s="92"/>
      <c r="EI130" s="92"/>
      <c r="EJ130" s="92"/>
      <c r="EK130" s="92"/>
      <c r="EL130" s="92"/>
      <c r="EM130" s="92"/>
      <c r="EN130" s="92"/>
      <c r="EO130" s="92"/>
      <c r="EP130" s="92"/>
      <c r="EQ130" s="92"/>
      <c r="ER130" s="92"/>
      <c r="ES130" s="92"/>
      <c r="ET130" s="92"/>
      <c r="EU130" s="92"/>
      <c r="EV130" s="92"/>
      <c r="EW130" s="92"/>
      <c r="EX130" s="92"/>
      <c r="EY130" s="92"/>
      <c r="EZ130" s="92"/>
      <c r="FA130" s="92"/>
      <c r="FB130" s="92"/>
      <c r="FC130" s="92"/>
      <c r="FD130" s="92"/>
      <c r="FE130" s="92"/>
      <c r="FF130" s="92"/>
      <c r="FG130" s="92"/>
      <c r="FH130" s="92"/>
    </row>
    <row r="131">
      <c r="A131" s="30" t="s">
        <v>7</v>
      </c>
      <c r="B131" s="30" t="s">
        <v>33</v>
      </c>
      <c r="C131" s="31" t="str">
        <f>HYPERLINK("https://docs.google.com/spreadsheets/d/1LXMQa-fDOAEc4rR1rod36yZWP5n7WJSD/edit?usp=share_link&amp;ouid=106501987799020758802&amp;rtpof=true&amp;sd=true", "Raw Delivered")</f>
        <v>Raw Delivered</v>
      </c>
      <c r="D131" s="96">
        <f t="shared" si="1"/>
        <v>5025.951318</v>
      </c>
      <c r="E131" s="92">
        <f>(SUBSTITUTE(Audio!E131, "RE-", "", 1))*1</f>
        <v>0</v>
      </c>
      <c r="F131" s="92">
        <f>(SUBSTITUTE(Audio!F131, "RE-", "", 1))*1</f>
        <v>2168.492817</v>
      </c>
      <c r="G131" s="92">
        <f>(SUBSTITUTE(Audio!G131, "RE-", "", 1))*1</f>
        <v>0</v>
      </c>
      <c r="H131" s="92">
        <f>(SUBSTITUTE(Audio!H131, "RE-", "", 1))*1</f>
        <v>330.7627687</v>
      </c>
      <c r="I131" s="92">
        <f>(SUBSTITUTE(Audio!I131, "RE-", "", 1))*1</f>
        <v>0</v>
      </c>
      <c r="J131" s="92">
        <f>(SUBSTITUTE(Audio!J131, "RE-", "", 1))*1</f>
        <v>1194.528848</v>
      </c>
      <c r="K131" s="92">
        <f>(SUBSTITUTE(Audio!K131, "RE-", "", 1))*1</f>
        <v>0</v>
      </c>
      <c r="L131" s="92">
        <f>(SUBSTITUTE(Audio!L131, "RE-", "", 1))*1</f>
        <v>235.048599</v>
      </c>
      <c r="M131" s="92">
        <f>(SUBSTITUTE(Audio!M131, "RE-", "", 1))*1</f>
        <v>0</v>
      </c>
      <c r="N131" s="92">
        <f>(SUBSTITUTE(Audio!N131, "RE-", "", 1))*1</f>
        <v>513.6602906</v>
      </c>
      <c r="O131" s="92">
        <f>(SUBSTITUTE(Audio!O131, "RE-", "", 1))*1</f>
        <v>0</v>
      </c>
      <c r="P131" s="92">
        <f>(SUBSTITUTE(Audio!P131, "RE-", "", 1))*1</f>
        <v>313.4120896</v>
      </c>
      <c r="Q131" s="92">
        <f>(SUBSTITUTE(Audio!Q131, "RE-", "", 1))*1</f>
        <v>0</v>
      </c>
      <c r="R131" s="92">
        <f>(SUBSTITUTE(Audio!R131, "RE-", "", 1))*1</f>
        <v>68.24905937</v>
      </c>
      <c r="S131" s="92">
        <f>(SUBSTITUTE(Audio!S131, "RE-", "", 1))*1</f>
        <v>0</v>
      </c>
      <c r="T131" s="92">
        <f>(SUBSTITUTE(Audio!T131, "RE-", "", 1))*1</f>
        <v>201.7968458</v>
      </c>
      <c r="U131" s="92">
        <f>(SUBSTITUTE(Audio!U131, "RE-", "", 1))*1</f>
        <v>0</v>
      </c>
      <c r="V131" s="92">
        <f>(SUBSTITUTE(Audio!V131, "RE-", "", 1))*1</f>
        <v>0</v>
      </c>
      <c r="W131" s="92">
        <f>(SUBSTITUTE(Audio!W131, "RE-", "", 1))*1</f>
        <v>0</v>
      </c>
      <c r="X131" s="92">
        <f>(SUBSTITUTE(Audio!X131, "RE-", "", 1))*1</f>
        <v>0</v>
      </c>
      <c r="Y131" s="92">
        <f>(SUBSTITUTE(Audio!Y131, "RE-", "", 1))*1</f>
        <v>0</v>
      </c>
      <c r="Z131" s="92">
        <f>(SUBSTITUTE(Audio!Z131, "RE-", "", 1))*1</f>
        <v>0</v>
      </c>
      <c r="AA131" s="92"/>
      <c r="AB131" s="92"/>
      <c r="AC131" s="92"/>
      <c r="AD131" s="92"/>
      <c r="AE131" s="92"/>
      <c r="AF131" s="92"/>
      <c r="AG131" s="92"/>
      <c r="AH131" s="92"/>
      <c r="AI131" s="92"/>
      <c r="AJ131" s="92"/>
      <c r="AK131" s="92"/>
      <c r="AL131" s="92"/>
      <c r="AM131" s="92"/>
      <c r="AN131" s="92"/>
      <c r="AO131" s="92"/>
      <c r="AP131" s="92"/>
      <c r="AQ131" s="92"/>
      <c r="AR131" s="92"/>
      <c r="AS131" s="92"/>
      <c r="AT131" s="92"/>
      <c r="AU131" s="92"/>
      <c r="AV131" s="92"/>
      <c r="AW131" s="92"/>
      <c r="AX131" s="92"/>
      <c r="AY131" s="92"/>
      <c r="AZ131" s="92"/>
      <c r="BA131" s="92"/>
      <c r="BB131" s="92"/>
      <c r="BC131" s="92"/>
      <c r="BD131" s="92"/>
      <c r="BE131" s="92"/>
      <c r="BF131" s="92"/>
      <c r="BG131" s="92"/>
      <c r="BH131" s="92"/>
      <c r="BI131" s="92"/>
      <c r="BJ131" s="92"/>
      <c r="BK131" s="92"/>
      <c r="BL131" s="92"/>
      <c r="BM131" s="92"/>
      <c r="BN131" s="92"/>
      <c r="BO131" s="92"/>
      <c r="BP131" s="92"/>
      <c r="BQ131" s="92"/>
      <c r="BR131" s="92"/>
      <c r="BS131" s="92"/>
      <c r="BT131" s="92"/>
      <c r="BU131" s="92"/>
      <c r="BV131" s="92"/>
      <c r="BW131" s="92"/>
      <c r="BX131" s="92"/>
      <c r="BY131" s="92"/>
      <c r="BZ131" s="92"/>
      <c r="CA131" s="92"/>
      <c r="CB131" s="92"/>
      <c r="CC131" s="92"/>
      <c r="CD131" s="92"/>
      <c r="CE131" s="92"/>
      <c r="CF131" s="92"/>
      <c r="CG131" s="92"/>
      <c r="CH131" s="92"/>
      <c r="CI131" s="92"/>
      <c r="CJ131" s="92"/>
      <c r="CK131" s="92"/>
      <c r="CL131" s="92"/>
      <c r="CM131" s="92"/>
      <c r="CN131" s="92"/>
      <c r="CO131" s="92"/>
      <c r="CP131" s="92"/>
      <c r="CQ131" s="92"/>
      <c r="CR131" s="92"/>
      <c r="CS131" s="92"/>
      <c r="CT131" s="92"/>
      <c r="CU131" s="92"/>
      <c r="CV131" s="92"/>
      <c r="CW131" s="92"/>
      <c r="CX131" s="92"/>
      <c r="CY131" s="92"/>
      <c r="CZ131" s="92"/>
      <c r="DA131" s="92"/>
      <c r="DB131" s="92"/>
      <c r="DC131" s="92"/>
      <c r="DD131" s="92"/>
      <c r="DE131" s="92"/>
      <c r="DF131" s="92"/>
      <c r="DG131" s="92"/>
      <c r="DH131" s="92"/>
      <c r="DI131" s="92"/>
      <c r="DJ131" s="92"/>
      <c r="DK131" s="92"/>
      <c r="DL131" s="92"/>
      <c r="DM131" s="92"/>
      <c r="DN131" s="92"/>
      <c r="DO131" s="92"/>
      <c r="DP131" s="92"/>
      <c r="DQ131" s="92"/>
      <c r="DR131" s="92"/>
      <c r="DS131" s="92"/>
      <c r="DT131" s="92"/>
      <c r="DU131" s="92"/>
      <c r="DV131" s="92"/>
      <c r="DW131" s="92"/>
      <c r="DX131" s="92"/>
      <c r="DY131" s="92"/>
      <c r="DZ131" s="92"/>
      <c r="EA131" s="92"/>
      <c r="EB131" s="92"/>
      <c r="EC131" s="92"/>
      <c r="ED131" s="92"/>
      <c r="EE131" s="92"/>
      <c r="EF131" s="92"/>
      <c r="EG131" s="92"/>
      <c r="EH131" s="92"/>
      <c r="EI131" s="92"/>
      <c r="EJ131" s="92"/>
      <c r="EK131" s="92"/>
      <c r="EL131" s="92"/>
      <c r="EM131" s="92"/>
      <c r="EN131" s="92"/>
      <c r="EO131" s="92"/>
      <c r="EP131" s="92"/>
      <c r="EQ131" s="92"/>
      <c r="ER131" s="92"/>
      <c r="ES131" s="92"/>
      <c r="ET131" s="92"/>
      <c r="EU131" s="92"/>
      <c r="EV131" s="92"/>
      <c r="EW131" s="92"/>
      <c r="EX131" s="92"/>
      <c r="EY131" s="92"/>
      <c r="EZ131" s="92"/>
      <c r="FA131" s="92"/>
      <c r="FB131" s="92"/>
      <c r="FC131" s="92"/>
      <c r="FD131" s="92"/>
      <c r="FE131" s="92"/>
      <c r="FF131" s="92"/>
      <c r="FG131" s="92"/>
      <c r="FH131" s="92"/>
    </row>
    <row r="132">
      <c r="A132" s="32" t="s">
        <v>7</v>
      </c>
      <c r="B132" s="32" t="s">
        <v>33</v>
      </c>
      <c r="C132" s="32" t="s">
        <v>9</v>
      </c>
      <c r="D132" s="97">
        <f t="shared" si="1"/>
        <v>5025.951318</v>
      </c>
      <c r="E132" s="92">
        <f>(SUBSTITUTE(Audio!E132, "RE-", "", 1))*1</f>
        <v>0</v>
      </c>
      <c r="F132" s="92">
        <f>(SUBSTITUTE(Audio!F132, "RE-", "", 1))*1</f>
        <v>2168.492817</v>
      </c>
      <c r="G132" s="92">
        <f>(SUBSTITUTE(Audio!G132, "RE-", "", 1))*1</f>
        <v>0</v>
      </c>
      <c r="H132" s="92">
        <f>(SUBSTITUTE(Audio!H132, "RE-", "", 1))*1</f>
        <v>330.7627687</v>
      </c>
      <c r="I132" s="92">
        <f>(SUBSTITUTE(Audio!I132, "RE-", "", 1))*1</f>
        <v>0</v>
      </c>
      <c r="J132" s="92">
        <f>(SUBSTITUTE(Audio!J132, "RE-", "", 1))*1</f>
        <v>1194.528848</v>
      </c>
      <c r="K132" s="92">
        <f>(SUBSTITUTE(Audio!K132, "RE-", "", 1))*1</f>
        <v>0</v>
      </c>
      <c r="L132" s="92">
        <f>(SUBSTITUTE(Audio!L132, "RE-", "", 1))*1</f>
        <v>235.048599</v>
      </c>
      <c r="M132" s="92">
        <f>(SUBSTITUTE(Audio!M132, "RE-", "", 1))*1</f>
        <v>0</v>
      </c>
      <c r="N132" s="92">
        <f>(SUBSTITUTE(Audio!N132, "RE-", "", 1))*1</f>
        <v>513.6602906</v>
      </c>
      <c r="O132" s="92">
        <f>(SUBSTITUTE(Audio!O132, "RE-", "", 1))*1</f>
        <v>0</v>
      </c>
      <c r="P132" s="92">
        <f>(SUBSTITUTE(Audio!P132, "RE-", "", 1))*1</f>
        <v>313.4120896</v>
      </c>
      <c r="Q132" s="92">
        <f>(SUBSTITUTE(Audio!Q132, "RE-", "", 1))*1</f>
        <v>0</v>
      </c>
      <c r="R132" s="92">
        <f>(SUBSTITUTE(Audio!R132, "RE-", "", 1))*1</f>
        <v>68.24905937</v>
      </c>
      <c r="S132" s="92">
        <f>(SUBSTITUTE(Audio!S132, "RE-", "", 1))*1</f>
        <v>0</v>
      </c>
      <c r="T132" s="92">
        <f>(SUBSTITUTE(Audio!T132, "RE-", "", 1))*1</f>
        <v>201.7968458</v>
      </c>
      <c r="U132" s="92">
        <f>(SUBSTITUTE(Audio!U132, "RE-", "", 1))*1</f>
        <v>0</v>
      </c>
      <c r="V132" s="92">
        <f>(SUBSTITUTE(Audio!V132, "RE-", "", 1))*1</f>
        <v>0</v>
      </c>
      <c r="W132" s="92">
        <f>(SUBSTITUTE(Audio!W132, "RE-", "", 1))*1</f>
        <v>0</v>
      </c>
      <c r="X132" s="92">
        <f>(SUBSTITUTE(Audio!X132, "RE-", "", 1))*1</f>
        <v>0</v>
      </c>
      <c r="Y132" s="92">
        <f>(SUBSTITUTE(Audio!Y132, "RE-", "", 1))*1</f>
        <v>0</v>
      </c>
      <c r="Z132" s="92">
        <f>(SUBSTITUTE(Audio!Z132, "RE-", "", 1))*1</f>
        <v>0</v>
      </c>
      <c r="AA132" s="92"/>
      <c r="AB132" s="92"/>
      <c r="AC132" s="92"/>
      <c r="AD132" s="92"/>
      <c r="AE132" s="92"/>
      <c r="AF132" s="92"/>
      <c r="AG132" s="92"/>
      <c r="AH132" s="92"/>
      <c r="AI132" s="92"/>
      <c r="AJ132" s="92"/>
      <c r="AK132" s="92"/>
      <c r="AL132" s="92"/>
      <c r="AM132" s="92"/>
      <c r="AN132" s="92"/>
      <c r="AO132" s="92"/>
      <c r="AP132" s="92"/>
      <c r="AQ132" s="92"/>
      <c r="AR132" s="92"/>
      <c r="AS132" s="92"/>
      <c r="AT132" s="92"/>
      <c r="AU132" s="92"/>
      <c r="AV132" s="92"/>
      <c r="AW132" s="92"/>
      <c r="AX132" s="92"/>
      <c r="AY132" s="92"/>
      <c r="AZ132" s="92"/>
      <c r="BA132" s="92"/>
      <c r="BB132" s="92"/>
      <c r="BC132" s="92"/>
      <c r="BD132" s="92"/>
      <c r="BE132" s="92"/>
      <c r="BF132" s="92"/>
      <c r="BG132" s="92"/>
      <c r="BH132" s="92"/>
      <c r="BI132" s="92"/>
      <c r="BJ132" s="92"/>
      <c r="BK132" s="92"/>
      <c r="BL132" s="92"/>
      <c r="BM132" s="92"/>
      <c r="BN132" s="92"/>
      <c r="BO132" s="92"/>
      <c r="BP132" s="92"/>
      <c r="BQ132" s="92"/>
      <c r="BR132" s="92"/>
      <c r="BS132" s="92"/>
      <c r="BT132" s="92"/>
      <c r="BU132" s="92"/>
      <c r="BV132" s="92"/>
      <c r="BW132" s="92"/>
      <c r="BX132" s="92"/>
      <c r="BY132" s="92"/>
      <c r="BZ132" s="92"/>
      <c r="CA132" s="92"/>
      <c r="CB132" s="92"/>
      <c r="CC132" s="92"/>
      <c r="CD132" s="92"/>
      <c r="CE132" s="92"/>
      <c r="CF132" s="92"/>
      <c r="CG132" s="92"/>
      <c r="CH132" s="92"/>
      <c r="CI132" s="92"/>
      <c r="CJ132" s="92"/>
      <c r="CK132" s="92"/>
      <c r="CL132" s="92"/>
      <c r="CM132" s="92"/>
      <c r="CN132" s="92"/>
      <c r="CO132" s="92"/>
      <c r="CP132" s="92"/>
      <c r="CQ132" s="92"/>
      <c r="CR132" s="92"/>
      <c r="CS132" s="92"/>
      <c r="CT132" s="92"/>
      <c r="CU132" s="92"/>
      <c r="CV132" s="92"/>
      <c r="CW132" s="92"/>
      <c r="CX132" s="92"/>
      <c r="CY132" s="92"/>
      <c r="CZ132" s="92"/>
      <c r="DA132" s="92"/>
      <c r="DB132" s="92"/>
      <c r="DC132" s="92"/>
      <c r="DD132" s="92"/>
      <c r="DE132" s="92"/>
      <c r="DF132" s="92"/>
      <c r="DG132" s="92"/>
      <c r="DH132" s="92"/>
      <c r="DI132" s="92"/>
      <c r="DJ132" s="92"/>
      <c r="DK132" s="92"/>
      <c r="DL132" s="92"/>
      <c r="DM132" s="92"/>
      <c r="DN132" s="92"/>
      <c r="DO132" s="92"/>
      <c r="DP132" s="92"/>
      <c r="DQ132" s="92"/>
      <c r="DR132" s="92"/>
      <c r="DS132" s="92"/>
      <c r="DT132" s="92"/>
      <c r="DU132" s="92"/>
      <c r="DV132" s="92"/>
      <c r="DW132" s="92"/>
      <c r="DX132" s="92"/>
      <c r="DY132" s="92"/>
      <c r="DZ132" s="92"/>
      <c r="EA132" s="92"/>
      <c r="EB132" s="92"/>
      <c r="EC132" s="92"/>
      <c r="ED132" s="92"/>
      <c r="EE132" s="92"/>
      <c r="EF132" s="92"/>
      <c r="EG132" s="92"/>
      <c r="EH132" s="92"/>
      <c r="EI132" s="92"/>
      <c r="EJ132" s="92"/>
      <c r="EK132" s="92"/>
      <c r="EL132" s="92"/>
      <c r="EM132" s="92"/>
      <c r="EN132" s="92"/>
      <c r="EO132" s="92"/>
      <c r="EP132" s="92"/>
      <c r="EQ132" s="92"/>
      <c r="ER132" s="92"/>
      <c r="ES132" s="92"/>
      <c r="ET132" s="92"/>
      <c r="EU132" s="92"/>
      <c r="EV132" s="92"/>
      <c r="EW132" s="92"/>
      <c r="EX132" s="92"/>
      <c r="EY132" s="92"/>
      <c r="EZ132" s="92"/>
      <c r="FA132" s="92"/>
      <c r="FB132" s="92"/>
      <c r="FC132" s="92"/>
      <c r="FD132" s="92"/>
      <c r="FE132" s="92"/>
      <c r="FF132" s="92"/>
      <c r="FG132" s="92"/>
      <c r="FH132" s="92"/>
    </row>
    <row r="133">
      <c r="A133" s="32" t="s">
        <v>7</v>
      </c>
      <c r="B133" s="32" t="s">
        <v>33</v>
      </c>
      <c r="C133" s="32" t="s">
        <v>10</v>
      </c>
      <c r="D133" s="97">
        <f t="shared" si="1"/>
        <v>447.8259531</v>
      </c>
      <c r="E133" s="92">
        <f>(SUBSTITUTE(Audio!E133, "RE-", "", 1))*1</f>
        <v>0</v>
      </c>
      <c r="F133" s="92">
        <f>(SUBSTITUTE(Audio!F133, "RE-", "", 1))*1</f>
        <v>0</v>
      </c>
      <c r="G133" s="92">
        <f>(SUBSTITUTE(Audio!G133, "RE-", "", 1))*1</f>
        <v>164.9937458</v>
      </c>
      <c r="H133" s="92">
        <f>(SUBSTITUTE(Audio!H133, "RE-", "", 1))*1</f>
        <v>0</v>
      </c>
      <c r="I133" s="92">
        <f>(SUBSTITUTE(Audio!I133, "RE-", "", 1))*1</f>
        <v>28.10283125</v>
      </c>
      <c r="J133" s="92">
        <f>(SUBSTITUTE(Audio!J133, "RE-", "", 1))*1</f>
        <v>0</v>
      </c>
      <c r="K133" s="92">
        <f>(SUBSTITUTE(Audio!K133, "RE-", "", 1))*1</f>
        <v>115.0722833</v>
      </c>
      <c r="L133" s="92">
        <f>(SUBSTITUTE(Audio!L133, "RE-", "", 1))*1</f>
        <v>0</v>
      </c>
      <c r="M133" s="92">
        <f>(SUBSTITUTE(Audio!M133, "RE-", "", 1))*1</f>
        <v>18.81081875</v>
      </c>
      <c r="N133" s="92">
        <f>(SUBSTITUTE(Audio!N133, "RE-", "", 1))*1</f>
        <v>0</v>
      </c>
      <c r="O133" s="92">
        <f>(SUBSTITUTE(Audio!O133, "RE-", "", 1))*1</f>
        <v>36.14519896</v>
      </c>
      <c r="P133" s="92">
        <f>(SUBSTITUTE(Audio!P133, "RE-", "", 1))*1</f>
        <v>0</v>
      </c>
      <c r="Q133" s="92">
        <f>(SUBSTITUTE(Audio!Q133, "RE-", "", 1))*1</f>
        <v>48.54118542</v>
      </c>
      <c r="R133" s="92">
        <f>(SUBSTITUTE(Audio!R133, "RE-", "", 1))*1</f>
        <v>0</v>
      </c>
      <c r="S133" s="92">
        <f>(SUBSTITUTE(Audio!S133, "RE-", "", 1))*1</f>
        <v>7.729745833</v>
      </c>
      <c r="T133" s="92">
        <f>(SUBSTITUTE(Audio!T133, "RE-", "", 1))*1</f>
        <v>0</v>
      </c>
      <c r="U133" s="92">
        <f>(SUBSTITUTE(Audio!U133, "RE-", "", 1))*1</f>
        <v>25.61651042</v>
      </c>
      <c r="V133" s="92">
        <f>(SUBSTITUTE(Audio!V133, "RE-", "", 1))*1</f>
        <v>2.813633333</v>
      </c>
      <c r="W133" s="92">
        <f>(SUBSTITUTE(Audio!W133, "RE-", "", 1))*1</f>
        <v>0</v>
      </c>
      <c r="X133" s="92">
        <f>(SUBSTITUTE(Audio!X133, "RE-", "", 1))*1</f>
        <v>0</v>
      </c>
      <c r="Y133" s="92">
        <f>(SUBSTITUTE(Audio!Y133, "RE-", "", 1))*1</f>
        <v>0</v>
      </c>
      <c r="Z133" s="92">
        <f>(SUBSTITUTE(Audio!Z133, "RE-", "", 1))*1</f>
        <v>0</v>
      </c>
      <c r="AA133" s="92"/>
      <c r="AB133" s="92"/>
      <c r="AC133" s="92"/>
      <c r="AD133" s="92"/>
      <c r="AE133" s="92"/>
      <c r="AF133" s="92"/>
      <c r="AG133" s="92"/>
      <c r="AH133" s="92"/>
      <c r="AI133" s="92"/>
      <c r="AJ133" s="92"/>
      <c r="AK133" s="92"/>
      <c r="AL133" s="92"/>
      <c r="AM133" s="92"/>
      <c r="AN133" s="92"/>
      <c r="AO133" s="92"/>
      <c r="AP133" s="92"/>
      <c r="AQ133" s="92"/>
      <c r="AR133" s="92"/>
      <c r="AS133" s="92"/>
      <c r="AT133" s="92"/>
      <c r="AU133" s="92"/>
      <c r="AV133" s="92"/>
      <c r="AW133" s="92"/>
      <c r="AX133" s="92"/>
      <c r="AY133" s="92"/>
      <c r="AZ133" s="92"/>
      <c r="BA133" s="92"/>
      <c r="BB133" s="92"/>
      <c r="BC133" s="92"/>
      <c r="BD133" s="92"/>
      <c r="BE133" s="92"/>
      <c r="BF133" s="92"/>
      <c r="BG133" s="92"/>
      <c r="BH133" s="92"/>
      <c r="BI133" s="92"/>
      <c r="BJ133" s="92"/>
      <c r="BK133" s="92"/>
      <c r="BL133" s="92"/>
      <c r="BM133" s="92"/>
      <c r="BN133" s="92"/>
      <c r="BO133" s="92"/>
      <c r="BP133" s="92"/>
      <c r="BQ133" s="92"/>
      <c r="BR133" s="92"/>
      <c r="BS133" s="92"/>
      <c r="BT133" s="92"/>
      <c r="BU133" s="92"/>
      <c r="BV133" s="92"/>
      <c r="BW133" s="92"/>
      <c r="BX133" s="92"/>
      <c r="BY133" s="92"/>
      <c r="BZ133" s="92"/>
      <c r="CA133" s="92"/>
      <c r="CB133" s="92"/>
      <c r="CC133" s="92"/>
      <c r="CD133" s="92"/>
      <c r="CE133" s="92"/>
      <c r="CF133" s="92"/>
      <c r="CG133" s="92"/>
      <c r="CH133" s="92"/>
      <c r="CI133" s="92"/>
      <c r="CJ133" s="92"/>
      <c r="CK133" s="92"/>
      <c r="CL133" s="92"/>
      <c r="CM133" s="92"/>
      <c r="CN133" s="92"/>
      <c r="CO133" s="92"/>
      <c r="CP133" s="92"/>
      <c r="CQ133" s="92"/>
      <c r="CR133" s="92"/>
      <c r="CS133" s="92"/>
      <c r="CT133" s="92"/>
      <c r="CU133" s="92"/>
      <c r="CV133" s="92"/>
      <c r="CW133" s="92"/>
      <c r="CX133" s="92"/>
      <c r="CY133" s="92"/>
      <c r="CZ133" s="92"/>
      <c r="DA133" s="92"/>
      <c r="DB133" s="92"/>
      <c r="DC133" s="92"/>
      <c r="DD133" s="92"/>
      <c r="DE133" s="92"/>
      <c r="DF133" s="92"/>
      <c r="DG133" s="92"/>
      <c r="DH133" s="92"/>
      <c r="DI133" s="92"/>
      <c r="DJ133" s="92"/>
      <c r="DK133" s="92"/>
      <c r="DL133" s="92"/>
      <c r="DM133" s="92"/>
      <c r="DN133" s="92"/>
      <c r="DO133" s="92"/>
      <c r="DP133" s="92"/>
      <c r="DQ133" s="92"/>
      <c r="DR133" s="92"/>
      <c r="DS133" s="92"/>
      <c r="DT133" s="92"/>
      <c r="DU133" s="92"/>
      <c r="DV133" s="92"/>
      <c r="DW133" s="92"/>
      <c r="DX133" s="92"/>
      <c r="DY133" s="92"/>
      <c r="DZ133" s="92"/>
      <c r="EA133" s="92"/>
      <c r="EB133" s="92"/>
      <c r="EC133" s="92"/>
      <c r="ED133" s="92"/>
      <c r="EE133" s="92"/>
      <c r="EF133" s="92"/>
      <c r="EG133" s="92"/>
      <c r="EH133" s="92"/>
      <c r="EI133" s="92"/>
      <c r="EJ133" s="92"/>
      <c r="EK133" s="92"/>
      <c r="EL133" s="92"/>
      <c r="EM133" s="92"/>
      <c r="EN133" s="92"/>
      <c r="EO133" s="92"/>
      <c r="EP133" s="92"/>
      <c r="EQ133" s="92"/>
      <c r="ER133" s="92"/>
      <c r="ES133" s="92"/>
      <c r="ET133" s="92"/>
      <c r="EU133" s="92"/>
      <c r="EV133" s="92"/>
      <c r="EW133" s="92"/>
      <c r="EX133" s="92"/>
      <c r="EY133" s="92"/>
      <c r="EZ133" s="92"/>
      <c r="FA133" s="92"/>
      <c r="FB133" s="92"/>
      <c r="FC133" s="92"/>
      <c r="FD133" s="92"/>
      <c r="FE133" s="92"/>
      <c r="FF133" s="92"/>
      <c r="FG133" s="92"/>
      <c r="FH133" s="92"/>
    </row>
    <row r="134">
      <c r="A134" s="32" t="s">
        <v>7</v>
      </c>
      <c r="B134" s="32" t="s">
        <v>33</v>
      </c>
      <c r="C134" s="32" t="s">
        <v>11</v>
      </c>
      <c r="D134" s="97">
        <f t="shared" si="1"/>
        <v>447.8259531</v>
      </c>
      <c r="E134" s="92">
        <f>(SUBSTITUTE(Audio!E134, "RE-", "", 1))*1</f>
        <v>0</v>
      </c>
      <c r="F134" s="92">
        <f>(SUBSTITUTE(Audio!F134, "RE-", "", 1))*1</f>
        <v>0</v>
      </c>
      <c r="G134" s="92">
        <f>(SUBSTITUTE(Audio!G134, "RE-", "", 1))*1</f>
        <v>164.9937458</v>
      </c>
      <c r="H134" s="92">
        <f>(SUBSTITUTE(Audio!H134, "RE-", "", 1))*1</f>
        <v>0</v>
      </c>
      <c r="I134" s="92">
        <f>(SUBSTITUTE(Audio!I134, "RE-", "", 1))*1</f>
        <v>28.10283125</v>
      </c>
      <c r="J134" s="92">
        <f>(SUBSTITUTE(Audio!J134, "RE-", "", 1))*1</f>
        <v>0</v>
      </c>
      <c r="K134" s="92">
        <f>(SUBSTITUTE(Audio!K134, "RE-", "", 1))*1</f>
        <v>115.0722833</v>
      </c>
      <c r="L134" s="92">
        <f>(SUBSTITUTE(Audio!L134, "RE-", "", 1))*1</f>
        <v>0</v>
      </c>
      <c r="M134" s="92">
        <f>(SUBSTITUTE(Audio!M134, "RE-", "", 1))*1</f>
        <v>18.81081875</v>
      </c>
      <c r="N134" s="92">
        <f>(SUBSTITUTE(Audio!N134, "RE-", "", 1))*1</f>
        <v>0</v>
      </c>
      <c r="O134" s="92">
        <f>(SUBSTITUTE(Audio!O134, "RE-", "", 1))*1</f>
        <v>36.14519896</v>
      </c>
      <c r="P134" s="92">
        <f>(SUBSTITUTE(Audio!P134, "RE-", "", 1))*1</f>
        <v>0</v>
      </c>
      <c r="Q134" s="92">
        <f>(SUBSTITUTE(Audio!Q134, "RE-", "", 1))*1</f>
        <v>48.54118542</v>
      </c>
      <c r="R134" s="92">
        <f>(SUBSTITUTE(Audio!R134, "RE-", "", 1))*1</f>
        <v>0</v>
      </c>
      <c r="S134" s="92">
        <f>(SUBSTITUTE(Audio!S134, "RE-", "", 1))*1</f>
        <v>7.729745833</v>
      </c>
      <c r="T134" s="92">
        <f>(SUBSTITUTE(Audio!T134, "RE-", "", 1))*1</f>
        <v>0</v>
      </c>
      <c r="U134" s="92">
        <f>(SUBSTITUTE(Audio!U134, "RE-", "", 1))*1</f>
        <v>25.61651042</v>
      </c>
      <c r="V134" s="92">
        <f>(SUBSTITUTE(Audio!V134, "RE-", "", 1))*1</f>
        <v>2.813633333</v>
      </c>
      <c r="W134" s="92">
        <f>(SUBSTITUTE(Audio!W134, "RE-", "", 1))*1</f>
        <v>0</v>
      </c>
      <c r="X134" s="92">
        <f>(SUBSTITUTE(Audio!X134, "RE-", "", 1))*1</f>
        <v>0</v>
      </c>
      <c r="Y134" s="92">
        <f>(SUBSTITUTE(Audio!Y134, "RE-", "", 1))*1</f>
        <v>0</v>
      </c>
      <c r="Z134" s="92">
        <f>(SUBSTITUTE(Audio!Z134, "RE-", "", 1))*1</f>
        <v>0</v>
      </c>
      <c r="AA134" s="92"/>
      <c r="AB134" s="92"/>
      <c r="AC134" s="92"/>
      <c r="AD134" s="92"/>
      <c r="AE134" s="92"/>
      <c r="AF134" s="92"/>
      <c r="AG134" s="92"/>
      <c r="AH134" s="92"/>
      <c r="AI134" s="92"/>
      <c r="AJ134" s="92"/>
      <c r="AK134" s="92"/>
      <c r="AL134" s="92"/>
      <c r="AM134" s="92"/>
      <c r="AN134" s="92"/>
      <c r="AO134" s="92"/>
      <c r="AP134" s="92"/>
      <c r="AQ134" s="92"/>
      <c r="AR134" s="92"/>
      <c r="AS134" s="92"/>
      <c r="AT134" s="92"/>
      <c r="AU134" s="92"/>
      <c r="AV134" s="92"/>
      <c r="AW134" s="92"/>
      <c r="AX134" s="92"/>
      <c r="AY134" s="92"/>
      <c r="AZ134" s="92"/>
      <c r="BA134" s="92"/>
      <c r="BB134" s="92"/>
      <c r="BC134" s="92"/>
      <c r="BD134" s="92"/>
      <c r="BE134" s="92"/>
      <c r="BF134" s="92"/>
      <c r="BG134" s="92"/>
      <c r="BH134" s="92"/>
      <c r="BI134" s="92"/>
      <c r="BJ134" s="92"/>
      <c r="BK134" s="92"/>
      <c r="BL134" s="92"/>
      <c r="BM134" s="92"/>
      <c r="BN134" s="92"/>
      <c r="BO134" s="92"/>
      <c r="BP134" s="92"/>
      <c r="BQ134" s="92"/>
      <c r="BR134" s="92"/>
      <c r="BS134" s="92"/>
      <c r="BT134" s="92"/>
      <c r="BU134" s="92"/>
      <c r="BV134" s="92"/>
      <c r="BW134" s="92"/>
      <c r="BX134" s="92"/>
      <c r="BY134" s="92"/>
      <c r="BZ134" s="92"/>
      <c r="CA134" s="92"/>
      <c r="CB134" s="92"/>
      <c r="CC134" s="92"/>
      <c r="CD134" s="92"/>
      <c r="CE134" s="92"/>
      <c r="CF134" s="92"/>
      <c r="CG134" s="92"/>
      <c r="CH134" s="92"/>
      <c r="CI134" s="92"/>
      <c r="CJ134" s="92"/>
      <c r="CK134" s="92"/>
      <c r="CL134" s="92"/>
      <c r="CM134" s="92"/>
      <c r="CN134" s="92"/>
      <c r="CO134" s="92"/>
      <c r="CP134" s="92"/>
      <c r="CQ134" s="92"/>
      <c r="CR134" s="92"/>
      <c r="CS134" s="92"/>
      <c r="CT134" s="92"/>
      <c r="CU134" s="92"/>
      <c r="CV134" s="92"/>
      <c r="CW134" s="92"/>
      <c r="CX134" s="92"/>
      <c r="CY134" s="92"/>
      <c r="CZ134" s="92"/>
      <c r="DA134" s="92"/>
      <c r="DB134" s="92"/>
      <c r="DC134" s="92"/>
      <c r="DD134" s="92"/>
      <c r="DE134" s="92"/>
      <c r="DF134" s="92"/>
      <c r="DG134" s="92"/>
      <c r="DH134" s="92"/>
      <c r="DI134" s="92"/>
      <c r="DJ134" s="92"/>
      <c r="DK134" s="92"/>
      <c r="DL134" s="92"/>
      <c r="DM134" s="92"/>
      <c r="DN134" s="92"/>
      <c r="DO134" s="92"/>
      <c r="DP134" s="92"/>
      <c r="DQ134" s="92"/>
      <c r="DR134" s="92"/>
      <c r="DS134" s="92"/>
      <c r="DT134" s="92"/>
      <c r="DU134" s="92"/>
      <c r="DV134" s="92"/>
      <c r="DW134" s="92"/>
      <c r="DX134" s="92"/>
      <c r="DY134" s="92"/>
      <c r="DZ134" s="92"/>
      <c r="EA134" s="92"/>
      <c r="EB134" s="92"/>
      <c r="EC134" s="92"/>
      <c r="ED134" s="92"/>
      <c r="EE134" s="92"/>
      <c r="EF134" s="92"/>
      <c r="EG134" s="92"/>
      <c r="EH134" s="92"/>
      <c r="EI134" s="92"/>
      <c r="EJ134" s="92"/>
      <c r="EK134" s="92"/>
      <c r="EL134" s="92"/>
      <c r="EM134" s="92"/>
      <c r="EN134" s="92"/>
      <c r="EO134" s="92"/>
      <c r="EP134" s="92"/>
      <c r="EQ134" s="92"/>
      <c r="ER134" s="92"/>
      <c r="ES134" s="92"/>
      <c r="ET134" s="92"/>
      <c r="EU134" s="92"/>
      <c r="EV134" s="92"/>
      <c r="EW134" s="92"/>
      <c r="EX134" s="92"/>
      <c r="EY134" s="92"/>
      <c r="EZ134" s="92"/>
      <c r="FA134" s="92"/>
      <c r="FB134" s="92"/>
      <c r="FC134" s="92"/>
      <c r="FD134" s="92"/>
      <c r="FE134" s="92"/>
      <c r="FF134" s="92"/>
      <c r="FG134" s="92"/>
      <c r="FH134" s="92"/>
    </row>
    <row r="135">
      <c r="A135" s="32" t="s">
        <v>7</v>
      </c>
      <c r="B135" s="32" t="s">
        <v>33</v>
      </c>
      <c r="C135" s="32" t="s">
        <v>12</v>
      </c>
      <c r="D135" s="97">
        <f t="shared" si="1"/>
        <v>4183.010766</v>
      </c>
      <c r="E135" s="92">
        <f>(SUBSTITUTE(Audio!E135, "RE-", "", 1))*1</f>
        <v>0</v>
      </c>
      <c r="F135" s="92">
        <f>(SUBSTITUTE(Audio!F135, "RE-", "", 1))*1</f>
        <v>1814.334478</v>
      </c>
      <c r="G135" s="92">
        <f>(SUBSTITUTE(Audio!G135, "RE-", "", 1))*1</f>
        <v>6.037997917</v>
      </c>
      <c r="H135" s="92">
        <f>(SUBSTITUTE(Audio!H135, "RE-", "", 1))*1</f>
        <v>287.5133979</v>
      </c>
      <c r="I135" s="92">
        <f>(SUBSTITUTE(Audio!I135, "RE-", "", 1))*1</f>
        <v>0.9323145833</v>
      </c>
      <c r="J135" s="92">
        <f>(SUBSTITUTE(Audio!J135, "RE-", "", 1))*1</f>
        <v>919.0663042</v>
      </c>
      <c r="K135" s="92">
        <f>(SUBSTITUTE(Audio!K135, "RE-", "", 1))*1</f>
        <v>7.958154167</v>
      </c>
      <c r="L135" s="92">
        <f>(SUBSTITUTE(Audio!L135, "RE-", "", 1))*1</f>
        <v>216.4446063</v>
      </c>
      <c r="M135" s="92">
        <f>(SUBSTITUTE(Audio!M135, "RE-", "", 1))*1</f>
        <v>6.17803125</v>
      </c>
      <c r="N135" s="92">
        <f>(SUBSTITUTE(Audio!N135, "RE-", "", 1))*1</f>
        <v>339.6888385</v>
      </c>
      <c r="O135" s="92">
        <f>(SUBSTITUTE(Audio!O135, "RE-", "", 1))*1</f>
        <v>5.3547</v>
      </c>
      <c r="P135" s="92">
        <f>(SUBSTITUTE(Audio!P135, "RE-", "", 1))*1</f>
        <v>285.3774792</v>
      </c>
      <c r="Q135" s="92">
        <f>(SUBSTITUTE(Audio!Q135, "RE-", "", 1))*1</f>
        <v>25.54833125</v>
      </c>
      <c r="R135" s="92">
        <f>(SUBSTITUTE(Audio!R135, "RE-", "", 1))*1</f>
        <v>58.99890938</v>
      </c>
      <c r="S135" s="92">
        <f>(SUBSTITUTE(Audio!S135, "RE-", "", 1))*1</f>
        <v>4.558508333</v>
      </c>
      <c r="T135" s="92">
        <f>(SUBSTITUTE(Audio!T135, "RE-", "", 1))*1</f>
        <v>191.6107667</v>
      </c>
      <c r="U135" s="92">
        <f>(SUBSTITUTE(Audio!U135, "RE-", "", 1))*1</f>
        <v>12.77647083</v>
      </c>
      <c r="V135" s="92">
        <f>(SUBSTITUTE(Audio!V135, "RE-", "", 1))*1</f>
        <v>0.6314770833</v>
      </c>
      <c r="W135" s="92">
        <f>(SUBSTITUTE(Audio!W135, "RE-", "", 1))*1</f>
        <v>0</v>
      </c>
      <c r="X135" s="92">
        <f>(SUBSTITUTE(Audio!X135, "RE-", "", 1))*1</f>
        <v>0</v>
      </c>
      <c r="Y135" s="92">
        <f>(SUBSTITUTE(Audio!Y135, "RE-", "", 1))*1</f>
        <v>0</v>
      </c>
      <c r="Z135" s="92">
        <f>(SUBSTITUTE(Audio!Z135, "RE-", "", 1))*1</f>
        <v>0</v>
      </c>
      <c r="AA135" s="92"/>
      <c r="AB135" s="92"/>
      <c r="AC135" s="92"/>
      <c r="AD135" s="92"/>
      <c r="AE135" s="92"/>
      <c r="AF135" s="92"/>
      <c r="AG135" s="92"/>
      <c r="AH135" s="92"/>
      <c r="AI135" s="92"/>
      <c r="AJ135" s="92"/>
      <c r="AK135" s="92"/>
      <c r="AL135" s="92"/>
      <c r="AM135" s="92"/>
      <c r="AN135" s="92"/>
      <c r="AO135" s="92"/>
      <c r="AP135" s="92"/>
      <c r="AQ135" s="92"/>
      <c r="AR135" s="92"/>
      <c r="AS135" s="92"/>
      <c r="AT135" s="92"/>
      <c r="AU135" s="92"/>
      <c r="AV135" s="92"/>
      <c r="AW135" s="92"/>
      <c r="AX135" s="92"/>
      <c r="AY135" s="92"/>
      <c r="AZ135" s="92"/>
      <c r="BA135" s="92"/>
      <c r="BB135" s="92"/>
      <c r="BC135" s="92"/>
      <c r="BD135" s="92"/>
      <c r="BE135" s="92"/>
      <c r="BF135" s="92"/>
      <c r="BG135" s="92"/>
      <c r="BH135" s="92"/>
      <c r="BI135" s="92"/>
      <c r="BJ135" s="92"/>
      <c r="BK135" s="92"/>
      <c r="BL135" s="92"/>
      <c r="BM135" s="92"/>
      <c r="BN135" s="92"/>
      <c r="BO135" s="92"/>
      <c r="BP135" s="92"/>
      <c r="BQ135" s="92"/>
      <c r="BR135" s="92"/>
      <c r="BS135" s="92"/>
      <c r="BT135" s="92"/>
      <c r="BU135" s="92"/>
      <c r="BV135" s="92"/>
      <c r="BW135" s="92"/>
      <c r="BX135" s="92"/>
      <c r="BY135" s="92"/>
      <c r="BZ135" s="92"/>
      <c r="CA135" s="92"/>
      <c r="CB135" s="92"/>
      <c r="CC135" s="92"/>
      <c r="CD135" s="92"/>
      <c r="CE135" s="92"/>
      <c r="CF135" s="92"/>
      <c r="CG135" s="92"/>
      <c r="CH135" s="92"/>
      <c r="CI135" s="92"/>
      <c r="CJ135" s="92"/>
      <c r="CK135" s="92"/>
      <c r="CL135" s="92"/>
      <c r="CM135" s="92"/>
      <c r="CN135" s="92"/>
      <c r="CO135" s="92"/>
      <c r="CP135" s="92"/>
      <c r="CQ135" s="92"/>
      <c r="CR135" s="92"/>
      <c r="CS135" s="92"/>
      <c r="CT135" s="92"/>
      <c r="CU135" s="92"/>
      <c r="CV135" s="92"/>
      <c r="CW135" s="92"/>
      <c r="CX135" s="92"/>
      <c r="CY135" s="92"/>
      <c r="CZ135" s="92"/>
      <c r="DA135" s="92"/>
      <c r="DB135" s="92"/>
      <c r="DC135" s="92"/>
      <c r="DD135" s="92"/>
      <c r="DE135" s="92"/>
      <c r="DF135" s="92"/>
      <c r="DG135" s="92"/>
      <c r="DH135" s="92"/>
      <c r="DI135" s="92"/>
      <c r="DJ135" s="92"/>
      <c r="DK135" s="92"/>
      <c r="DL135" s="92"/>
      <c r="DM135" s="92"/>
      <c r="DN135" s="92"/>
      <c r="DO135" s="92"/>
      <c r="DP135" s="92"/>
      <c r="DQ135" s="92"/>
      <c r="DR135" s="92"/>
      <c r="DS135" s="92"/>
      <c r="DT135" s="92"/>
      <c r="DU135" s="92"/>
      <c r="DV135" s="92"/>
      <c r="DW135" s="92"/>
      <c r="DX135" s="92"/>
      <c r="DY135" s="92"/>
      <c r="DZ135" s="92"/>
      <c r="EA135" s="92"/>
      <c r="EB135" s="92"/>
      <c r="EC135" s="92"/>
      <c r="ED135" s="92"/>
      <c r="EE135" s="92"/>
      <c r="EF135" s="92"/>
      <c r="EG135" s="92"/>
      <c r="EH135" s="92"/>
      <c r="EI135" s="92"/>
      <c r="EJ135" s="92"/>
      <c r="EK135" s="92"/>
      <c r="EL135" s="92"/>
      <c r="EM135" s="92"/>
      <c r="EN135" s="92"/>
      <c r="EO135" s="92"/>
      <c r="EP135" s="92"/>
      <c r="EQ135" s="92"/>
      <c r="ER135" s="92"/>
      <c r="ES135" s="92"/>
      <c r="ET135" s="92"/>
      <c r="EU135" s="92"/>
      <c r="EV135" s="92"/>
      <c r="EW135" s="92"/>
      <c r="EX135" s="92"/>
      <c r="EY135" s="92"/>
      <c r="EZ135" s="92"/>
      <c r="FA135" s="92"/>
      <c r="FB135" s="92"/>
      <c r="FC135" s="92"/>
      <c r="FD135" s="92"/>
      <c r="FE135" s="92"/>
      <c r="FF135" s="92"/>
      <c r="FG135" s="92"/>
      <c r="FH135" s="92"/>
    </row>
    <row r="136">
      <c r="A136" s="32" t="s">
        <v>7</v>
      </c>
      <c r="B136" s="32" t="s">
        <v>33</v>
      </c>
      <c r="C136" s="32" t="s">
        <v>13</v>
      </c>
      <c r="D136" s="97">
        <f t="shared" si="1"/>
        <v>4073.75025</v>
      </c>
      <c r="E136" s="92">
        <f>(SUBSTITUTE(Audio!E136, "RE-", "", 1))*1</f>
        <v>0</v>
      </c>
      <c r="F136" s="92">
        <f>(SUBSTITUTE(Audio!F136, "RE-", "", 1))*1</f>
        <v>1774.34</v>
      </c>
      <c r="G136" s="92">
        <f>(SUBSTITUTE(Audio!G136, "RE-", "", 1))*1</f>
        <v>5.9141</v>
      </c>
      <c r="H136" s="92">
        <f>(SUBSTITUTE(Audio!H136, "RE-", "", 1))*1</f>
        <v>281.904</v>
      </c>
      <c r="I136" s="92">
        <f>(SUBSTITUTE(Audio!I136, "RE-", "", 1))*1</f>
        <v>0.900133</v>
      </c>
      <c r="J136" s="92">
        <f>(SUBSTITUTE(Audio!J136, "RE-", "", 1))*1</f>
        <v>896.643</v>
      </c>
      <c r="K136" s="92">
        <f>(SUBSTITUTE(Audio!K136, "RE-", "", 1))*1</f>
        <v>7.61722</v>
      </c>
      <c r="L136" s="92">
        <f>(SUBSTITUTE(Audio!L136, "RE-", "", 1))*1</f>
        <v>207.63</v>
      </c>
      <c r="M136" s="92">
        <f>(SUBSTITUTE(Audio!M136, "RE-", "", 1))*1</f>
        <v>5.98743</v>
      </c>
      <c r="N136" s="92">
        <f>(SUBSTITUTE(Audio!N136, "RE-", "", 1))*1</f>
        <v>328.712</v>
      </c>
      <c r="O136" s="92">
        <f>(SUBSTITUTE(Audio!O136, "RE-", "", 1))*1</f>
        <v>5.16305</v>
      </c>
      <c r="P136" s="92">
        <f>(SUBSTITUTE(Audio!P136, "RE-", "", 1))*1</f>
        <v>274.321</v>
      </c>
      <c r="Q136" s="92">
        <f>(SUBSTITUTE(Audio!Q136, "RE-", "", 1))*1</f>
        <v>24.6289</v>
      </c>
      <c r="R136" s="92">
        <f>(SUBSTITUTE(Audio!R136, "RE-", "", 1))*1</f>
        <v>56.9709</v>
      </c>
      <c r="S136" s="92">
        <f>(SUBSTITUTE(Audio!S136, "RE-", "", 1))*1</f>
        <v>4.334</v>
      </c>
      <c r="T136" s="92">
        <f>(SUBSTITUTE(Audio!T136, "RE-", "", 1))*1</f>
        <v>185.63</v>
      </c>
      <c r="U136" s="92">
        <f>(SUBSTITUTE(Audio!U136, "RE-", "", 1))*1</f>
        <v>12.4566</v>
      </c>
      <c r="V136" s="92">
        <f>(SUBSTITUTE(Audio!V136, "RE-", "", 1))*1</f>
        <v>0.597917</v>
      </c>
      <c r="W136" s="92">
        <f>(SUBSTITUTE(Audio!W136, "RE-", "", 1))*1</f>
        <v>0</v>
      </c>
      <c r="X136" s="92">
        <f>(SUBSTITUTE(Audio!X136, "RE-", "", 1))*1</f>
        <v>0</v>
      </c>
      <c r="Y136" s="92">
        <f>(SUBSTITUTE(Audio!Y136, "RE-", "", 1))*1</f>
        <v>0</v>
      </c>
      <c r="Z136" s="92">
        <f>(SUBSTITUTE(Audio!Z136, "RE-", "", 1))*1</f>
        <v>0</v>
      </c>
      <c r="AA136" s="92"/>
      <c r="AB136" s="92"/>
      <c r="AC136" s="92"/>
      <c r="AD136" s="92"/>
      <c r="AE136" s="92"/>
      <c r="AF136" s="92"/>
      <c r="AG136" s="92"/>
      <c r="AH136" s="92"/>
      <c r="AI136" s="92"/>
      <c r="AJ136" s="92"/>
      <c r="AK136" s="92"/>
      <c r="AL136" s="92"/>
      <c r="AM136" s="92"/>
      <c r="AN136" s="92"/>
      <c r="AO136" s="92"/>
      <c r="AP136" s="92"/>
      <c r="AQ136" s="92"/>
      <c r="AR136" s="92"/>
      <c r="AS136" s="92"/>
      <c r="AT136" s="92"/>
      <c r="AU136" s="92"/>
      <c r="AV136" s="92"/>
      <c r="AW136" s="92"/>
      <c r="AX136" s="92"/>
      <c r="AY136" s="92"/>
      <c r="AZ136" s="92"/>
      <c r="BA136" s="92"/>
      <c r="BB136" s="92"/>
      <c r="BC136" s="92"/>
      <c r="BD136" s="92"/>
      <c r="BE136" s="92"/>
      <c r="BF136" s="92"/>
      <c r="BG136" s="92"/>
      <c r="BH136" s="92"/>
      <c r="BI136" s="92"/>
      <c r="BJ136" s="92"/>
      <c r="BK136" s="92"/>
      <c r="BL136" s="92"/>
      <c r="BM136" s="92"/>
      <c r="BN136" s="92"/>
      <c r="BO136" s="92"/>
      <c r="BP136" s="92"/>
      <c r="BQ136" s="92"/>
      <c r="BR136" s="92"/>
      <c r="BS136" s="92"/>
      <c r="BT136" s="92"/>
      <c r="BU136" s="92"/>
      <c r="BV136" s="92"/>
      <c r="BW136" s="92"/>
      <c r="BX136" s="92"/>
      <c r="BY136" s="92"/>
      <c r="BZ136" s="92"/>
      <c r="CA136" s="92"/>
      <c r="CB136" s="92"/>
      <c r="CC136" s="92"/>
      <c r="CD136" s="92"/>
      <c r="CE136" s="92"/>
      <c r="CF136" s="92"/>
      <c r="CG136" s="92"/>
      <c r="CH136" s="92"/>
      <c r="CI136" s="92"/>
      <c r="CJ136" s="92"/>
      <c r="CK136" s="92"/>
      <c r="CL136" s="92"/>
      <c r="CM136" s="92"/>
      <c r="CN136" s="92"/>
      <c r="CO136" s="92"/>
      <c r="CP136" s="92"/>
      <c r="CQ136" s="92"/>
      <c r="CR136" s="92"/>
      <c r="CS136" s="92"/>
      <c r="CT136" s="92"/>
      <c r="CU136" s="92"/>
      <c r="CV136" s="92"/>
      <c r="CW136" s="92"/>
      <c r="CX136" s="92"/>
      <c r="CY136" s="92"/>
      <c r="CZ136" s="92"/>
      <c r="DA136" s="92"/>
      <c r="DB136" s="92"/>
      <c r="DC136" s="92"/>
      <c r="DD136" s="92"/>
      <c r="DE136" s="92"/>
      <c r="DF136" s="92"/>
      <c r="DG136" s="92"/>
      <c r="DH136" s="92"/>
      <c r="DI136" s="92"/>
      <c r="DJ136" s="92"/>
      <c r="DK136" s="92"/>
      <c r="DL136" s="92"/>
      <c r="DM136" s="92"/>
      <c r="DN136" s="92"/>
      <c r="DO136" s="92"/>
      <c r="DP136" s="92"/>
      <c r="DQ136" s="92"/>
      <c r="DR136" s="92"/>
      <c r="DS136" s="92"/>
      <c r="DT136" s="92"/>
      <c r="DU136" s="92"/>
      <c r="DV136" s="92"/>
      <c r="DW136" s="92"/>
      <c r="DX136" s="92"/>
      <c r="DY136" s="92"/>
      <c r="DZ136" s="92"/>
      <c r="EA136" s="92"/>
      <c r="EB136" s="92"/>
      <c r="EC136" s="92"/>
      <c r="ED136" s="92"/>
      <c r="EE136" s="92"/>
      <c r="EF136" s="92"/>
      <c r="EG136" s="92"/>
      <c r="EH136" s="92"/>
      <c r="EI136" s="92"/>
      <c r="EJ136" s="92"/>
      <c r="EK136" s="92"/>
      <c r="EL136" s="92"/>
      <c r="EM136" s="92"/>
      <c r="EN136" s="92"/>
      <c r="EO136" s="92"/>
      <c r="EP136" s="92"/>
      <c r="EQ136" s="92"/>
      <c r="ER136" s="92"/>
      <c r="ES136" s="92"/>
      <c r="ET136" s="92"/>
      <c r="EU136" s="92"/>
      <c r="EV136" s="92"/>
      <c r="EW136" s="92"/>
      <c r="EX136" s="92"/>
      <c r="EY136" s="92"/>
      <c r="EZ136" s="92"/>
      <c r="FA136" s="92"/>
      <c r="FB136" s="92"/>
      <c r="FC136" s="92"/>
      <c r="FD136" s="92"/>
      <c r="FE136" s="92"/>
      <c r="FF136" s="92"/>
      <c r="FG136" s="92"/>
      <c r="FH136" s="92"/>
    </row>
    <row r="137">
      <c r="A137" s="32" t="s">
        <v>7</v>
      </c>
      <c r="B137" s="32" t="s">
        <v>33</v>
      </c>
      <c r="C137" s="32" t="s">
        <v>14</v>
      </c>
      <c r="D137" s="97">
        <f t="shared" si="1"/>
        <v>3631.22983</v>
      </c>
      <c r="E137" s="92">
        <f>(SUBSTITUTE(Audio!E137, "RE-", "", 1))*1</f>
        <v>0</v>
      </c>
      <c r="F137" s="92">
        <f>(SUBSTITUTE(Audio!F137, "RE-", "", 1))*1</f>
        <v>1607.63</v>
      </c>
      <c r="G137" s="92">
        <f>(SUBSTITUTE(Audio!G137, "RE-", "", 1))*1</f>
        <v>5.9141</v>
      </c>
      <c r="H137" s="92">
        <f>(SUBSTITUTE(Audio!H137, "RE-", "", 1))*1</f>
        <v>250.644</v>
      </c>
      <c r="I137" s="92">
        <f>(SUBSTITUTE(Audio!I137, "RE-", "", 1))*1</f>
        <v>0.614933</v>
      </c>
      <c r="J137" s="92">
        <f>(SUBSTITUTE(Audio!J137, "RE-", "", 1))*1</f>
        <v>814.779</v>
      </c>
      <c r="K137" s="92">
        <f>(SUBSTITUTE(Audio!K137, "RE-", "", 1))*1</f>
        <v>6.97055</v>
      </c>
      <c r="L137" s="92">
        <f>(SUBSTITUTE(Audio!L137, "RE-", "", 1))*1</f>
        <v>181.046</v>
      </c>
      <c r="M137" s="92">
        <f>(SUBSTITUTE(Audio!M137, "RE-", "", 1))*1</f>
        <v>5.05733</v>
      </c>
      <c r="N137" s="92">
        <f>(SUBSTITUTE(Audio!N137, "RE-", "", 1))*1</f>
        <v>279.672</v>
      </c>
      <c r="O137" s="92">
        <f>(SUBSTITUTE(Audio!O137, "RE-", "", 1))*1</f>
        <v>4.52558</v>
      </c>
      <c r="P137" s="92">
        <f>(SUBSTITUTE(Audio!P137, "RE-", "", 1))*1</f>
        <v>233.052</v>
      </c>
      <c r="Q137" s="92">
        <f>(SUBSTITUTE(Audio!Q137, "RE-", "", 1))*1</f>
        <v>21.7294</v>
      </c>
      <c r="R137" s="92">
        <f>(SUBSTITUTE(Audio!R137, "RE-", "", 1))*1</f>
        <v>46.1397</v>
      </c>
      <c r="S137" s="92">
        <f>(SUBSTITUTE(Audio!S137, "RE-", "", 1))*1</f>
        <v>3.82172</v>
      </c>
      <c r="T137" s="92">
        <f>(SUBSTITUTE(Audio!T137, "RE-", "", 1))*1</f>
        <v>158.826</v>
      </c>
      <c r="U137" s="92">
        <f>(SUBSTITUTE(Audio!U137, "RE-", "", 1))*1</f>
        <v>10.2096</v>
      </c>
      <c r="V137" s="92">
        <f>(SUBSTITUTE(Audio!V137, "RE-", "", 1))*1</f>
        <v>0.597917</v>
      </c>
      <c r="W137" s="92">
        <f>(SUBSTITUTE(Audio!W137, "RE-", "", 1))*1</f>
        <v>0</v>
      </c>
      <c r="X137" s="92">
        <f>(SUBSTITUTE(Audio!X137, "RE-", "", 1))*1</f>
        <v>0</v>
      </c>
      <c r="Y137" s="92">
        <f>(SUBSTITUTE(Audio!Y137, "RE-", "", 1))*1</f>
        <v>0</v>
      </c>
      <c r="Z137" s="92">
        <f>(SUBSTITUTE(Audio!Z137, "RE-", "", 1))*1</f>
        <v>0</v>
      </c>
      <c r="AA137" s="92"/>
      <c r="AB137" s="92"/>
      <c r="AC137" s="92"/>
      <c r="AD137" s="92"/>
      <c r="AE137" s="92"/>
      <c r="AF137" s="92"/>
      <c r="AG137" s="92"/>
      <c r="AH137" s="92"/>
      <c r="AI137" s="92"/>
      <c r="AJ137" s="92"/>
      <c r="AK137" s="92"/>
      <c r="AL137" s="92"/>
      <c r="AM137" s="92"/>
      <c r="AN137" s="92"/>
      <c r="AO137" s="92"/>
      <c r="AP137" s="92"/>
      <c r="AQ137" s="92"/>
      <c r="AR137" s="92"/>
      <c r="AS137" s="92"/>
      <c r="AT137" s="92"/>
      <c r="AU137" s="92"/>
      <c r="AV137" s="92"/>
      <c r="AW137" s="92"/>
      <c r="AX137" s="92"/>
      <c r="AY137" s="92"/>
      <c r="AZ137" s="92"/>
      <c r="BA137" s="92"/>
      <c r="BB137" s="92"/>
      <c r="BC137" s="92"/>
      <c r="BD137" s="92"/>
      <c r="BE137" s="92"/>
      <c r="BF137" s="92"/>
      <c r="BG137" s="92"/>
      <c r="BH137" s="92"/>
      <c r="BI137" s="92"/>
      <c r="BJ137" s="92"/>
      <c r="BK137" s="92"/>
      <c r="BL137" s="92"/>
      <c r="BM137" s="92"/>
      <c r="BN137" s="92"/>
      <c r="BO137" s="92"/>
      <c r="BP137" s="92"/>
      <c r="BQ137" s="92"/>
      <c r="BR137" s="92"/>
      <c r="BS137" s="92"/>
      <c r="BT137" s="92"/>
      <c r="BU137" s="92"/>
      <c r="BV137" s="92"/>
      <c r="BW137" s="92"/>
      <c r="BX137" s="92"/>
      <c r="BY137" s="92"/>
      <c r="BZ137" s="92"/>
      <c r="CA137" s="92"/>
      <c r="CB137" s="92"/>
      <c r="CC137" s="92"/>
      <c r="CD137" s="92"/>
      <c r="CE137" s="92"/>
      <c r="CF137" s="92"/>
      <c r="CG137" s="92"/>
      <c r="CH137" s="92"/>
      <c r="CI137" s="92"/>
      <c r="CJ137" s="92"/>
      <c r="CK137" s="92"/>
      <c r="CL137" s="92"/>
      <c r="CM137" s="92"/>
      <c r="CN137" s="92"/>
      <c r="CO137" s="92"/>
      <c r="CP137" s="92"/>
      <c r="CQ137" s="92"/>
      <c r="CR137" s="92"/>
      <c r="CS137" s="92"/>
      <c r="CT137" s="92"/>
      <c r="CU137" s="92"/>
      <c r="CV137" s="92"/>
      <c r="CW137" s="92"/>
      <c r="CX137" s="92"/>
      <c r="CY137" s="92"/>
      <c r="CZ137" s="92"/>
      <c r="DA137" s="92"/>
      <c r="DB137" s="92"/>
      <c r="DC137" s="92"/>
      <c r="DD137" s="92"/>
      <c r="DE137" s="92"/>
      <c r="DF137" s="92"/>
      <c r="DG137" s="92"/>
      <c r="DH137" s="92"/>
      <c r="DI137" s="92"/>
      <c r="DJ137" s="92"/>
      <c r="DK137" s="92"/>
      <c r="DL137" s="92"/>
      <c r="DM137" s="92"/>
      <c r="DN137" s="92"/>
      <c r="DO137" s="92"/>
      <c r="DP137" s="92"/>
      <c r="DQ137" s="92"/>
      <c r="DR137" s="92"/>
      <c r="DS137" s="92"/>
      <c r="DT137" s="92"/>
      <c r="DU137" s="92"/>
      <c r="DV137" s="92"/>
      <c r="DW137" s="92"/>
      <c r="DX137" s="92"/>
      <c r="DY137" s="92"/>
      <c r="DZ137" s="92"/>
      <c r="EA137" s="92"/>
      <c r="EB137" s="92"/>
      <c r="EC137" s="92"/>
      <c r="ED137" s="92"/>
      <c r="EE137" s="92"/>
      <c r="EF137" s="92"/>
      <c r="EG137" s="92"/>
      <c r="EH137" s="92"/>
      <c r="EI137" s="92"/>
      <c r="EJ137" s="92"/>
      <c r="EK137" s="92"/>
      <c r="EL137" s="92"/>
      <c r="EM137" s="92"/>
      <c r="EN137" s="92"/>
      <c r="EO137" s="92"/>
      <c r="EP137" s="92"/>
      <c r="EQ137" s="92"/>
      <c r="ER137" s="92"/>
      <c r="ES137" s="92"/>
      <c r="ET137" s="92"/>
      <c r="EU137" s="92"/>
      <c r="EV137" s="92"/>
      <c r="EW137" s="92"/>
      <c r="EX137" s="92"/>
      <c r="EY137" s="92"/>
      <c r="EZ137" s="92"/>
      <c r="FA137" s="92"/>
      <c r="FB137" s="92"/>
      <c r="FC137" s="92"/>
      <c r="FD137" s="92"/>
      <c r="FE137" s="92"/>
      <c r="FF137" s="92"/>
      <c r="FG137" s="92"/>
      <c r="FH137" s="92"/>
    </row>
    <row r="138">
      <c r="A138" s="27" t="s">
        <v>7</v>
      </c>
      <c r="B138" s="27" t="s">
        <v>33</v>
      </c>
      <c r="C138" s="27" t="s">
        <v>15</v>
      </c>
      <c r="D138" s="98">
        <f t="shared" si="1"/>
        <v>4072.71142</v>
      </c>
      <c r="E138" s="92">
        <f>(SUBSTITUTE(Audio!E138, "RE-", "", 1))*1</f>
        <v>0</v>
      </c>
      <c r="F138" s="92">
        <f>(SUBSTITUTE(Audio!F138, "RE-", "", 1))*1</f>
        <v>1773.66</v>
      </c>
      <c r="G138" s="92">
        <f>(SUBSTITUTE(Audio!G138, "RE-", "", 1))*1</f>
        <v>5.9141</v>
      </c>
      <c r="H138" s="92">
        <f>(SUBSTITUTE(Audio!H138, "RE-", "", 1))*1</f>
        <v>281.561</v>
      </c>
      <c r="I138" s="92">
        <f>(SUBSTITUTE(Audio!I138, "RE-", "", 1))*1</f>
        <v>0.900133</v>
      </c>
      <c r="J138" s="92">
        <f>(SUBSTITUTE(Audio!J138, "RE-", "", 1))*1</f>
        <v>896.643</v>
      </c>
      <c r="K138" s="92">
        <f>(SUBSTITUTE(Audio!K138, "RE-", "", 1))*1</f>
        <v>7.61722</v>
      </c>
      <c r="L138" s="92">
        <f>(SUBSTITUTE(Audio!L138, "RE-", "", 1))*1</f>
        <v>207.63</v>
      </c>
      <c r="M138" s="92">
        <f>(SUBSTITUTE(Audio!M138, "RE-", "", 1))*1</f>
        <v>5.98743</v>
      </c>
      <c r="N138" s="92">
        <f>(SUBSTITUTE(Audio!N138, "RE-", "", 1))*1</f>
        <v>328.712</v>
      </c>
      <c r="O138" s="92">
        <f>(SUBSTITUTE(Audio!O138, "RE-", "", 1))*1</f>
        <v>5.16305</v>
      </c>
      <c r="P138" s="92">
        <f>(SUBSTITUTE(Audio!P138, "RE-", "", 1))*1</f>
        <v>274.321</v>
      </c>
      <c r="Q138" s="92">
        <f>(SUBSTITUTE(Audio!Q138, "RE-", "", 1))*1</f>
        <v>24.6289</v>
      </c>
      <c r="R138" s="92">
        <f>(SUBSTITUTE(Audio!R138, "RE-", "", 1))*1</f>
        <v>56.9709</v>
      </c>
      <c r="S138" s="92">
        <f>(SUBSTITUTE(Audio!S138, "RE-", "", 1))*1</f>
        <v>4.31817</v>
      </c>
      <c r="T138" s="92">
        <f>(SUBSTITUTE(Audio!T138, "RE-", "", 1))*1</f>
        <v>185.63</v>
      </c>
      <c r="U138" s="92">
        <f>(SUBSTITUTE(Audio!U138, "RE-", "", 1))*1</f>
        <v>12.4566</v>
      </c>
      <c r="V138" s="92">
        <f>(SUBSTITUTE(Audio!V138, "RE-", "", 1))*1</f>
        <v>0.597917</v>
      </c>
      <c r="W138" s="92">
        <f>(SUBSTITUTE(Audio!W138, "RE-", "", 1))*1</f>
        <v>0</v>
      </c>
      <c r="X138" s="92">
        <f>(SUBSTITUTE(Audio!X138, "RE-", "", 1))*1</f>
        <v>0</v>
      </c>
      <c r="Y138" s="92">
        <f>(SUBSTITUTE(Audio!Y138, "RE-", "", 1))*1</f>
        <v>0</v>
      </c>
      <c r="Z138" s="92">
        <f>(SUBSTITUTE(Audio!Z138, "RE-", "", 1))*1</f>
        <v>0</v>
      </c>
      <c r="AA138" s="92"/>
      <c r="AB138" s="92"/>
      <c r="AC138" s="92"/>
      <c r="AD138" s="92"/>
      <c r="AE138" s="92"/>
      <c r="AF138" s="92"/>
      <c r="AG138" s="92"/>
      <c r="AH138" s="92"/>
      <c r="AI138" s="92"/>
      <c r="AJ138" s="92"/>
      <c r="AK138" s="92"/>
      <c r="AL138" s="92"/>
      <c r="AM138" s="92"/>
      <c r="AN138" s="92"/>
      <c r="AO138" s="92"/>
      <c r="AP138" s="92"/>
      <c r="AQ138" s="92"/>
      <c r="AR138" s="92"/>
      <c r="AS138" s="92"/>
      <c r="AT138" s="92"/>
      <c r="AU138" s="92"/>
      <c r="AV138" s="92"/>
      <c r="AW138" s="92"/>
      <c r="AX138" s="92"/>
      <c r="AY138" s="92"/>
      <c r="AZ138" s="92"/>
      <c r="BA138" s="92"/>
      <c r="BB138" s="92"/>
      <c r="BC138" s="92"/>
      <c r="BD138" s="92"/>
      <c r="BE138" s="92"/>
      <c r="BF138" s="92"/>
      <c r="BG138" s="92"/>
      <c r="BH138" s="92"/>
      <c r="BI138" s="92"/>
      <c r="BJ138" s="92"/>
      <c r="BK138" s="92"/>
      <c r="BL138" s="92"/>
      <c r="BM138" s="92"/>
      <c r="BN138" s="92"/>
      <c r="BO138" s="92"/>
      <c r="BP138" s="92"/>
      <c r="BQ138" s="92"/>
      <c r="BR138" s="92"/>
      <c r="BS138" s="92"/>
      <c r="BT138" s="92"/>
      <c r="BU138" s="92"/>
      <c r="BV138" s="92"/>
      <c r="BW138" s="92"/>
      <c r="BX138" s="92"/>
      <c r="BY138" s="92"/>
      <c r="BZ138" s="92"/>
      <c r="CA138" s="92"/>
      <c r="CB138" s="92"/>
      <c r="CC138" s="92"/>
      <c r="CD138" s="92"/>
      <c r="CE138" s="92"/>
      <c r="CF138" s="92"/>
      <c r="CG138" s="92"/>
      <c r="CH138" s="92"/>
      <c r="CI138" s="92"/>
      <c r="CJ138" s="92"/>
      <c r="CK138" s="92"/>
      <c r="CL138" s="92"/>
      <c r="CM138" s="92"/>
      <c r="CN138" s="92"/>
      <c r="CO138" s="92"/>
      <c r="CP138" s="92"/>
      <c r="CQ138" s="92"/>
      <c r="CR138" s="92"/>
      <c r="CS138" s="92"/>
      <c r="CT138" s="92"/>
      <c r="CU138" s="92"/>
      <c r="CV138" s="92"/>
      <c r="CW138" s="92"/>
      <c r="CX138" s="92"/>
      <c r="CY138" s="92"/>
      <c r="CZ138" s="92"/>
      <c r="DA138" s="92"/>
      <c r="DB138" s="92"/>
      <c r="DC138" s="92"/>
      <c r="DD138" s="92"/>
      <c r="DE138" s="92"/>
      <c r="DF138" s="92"/>
      <c r="DG138" s="92"/>
      <c r="DH138" s="92"/>
      <c r="DI138" s="92"/>
      <c r="DJ138" s="92"/>
      <c r="DK138" s="92"/>
      <c r="DL138" s="92"/>
      <c r="DM138" s="92"/>
      <c r="DN138" s="92"/>
      <c r="DO138" s="92"/>
      <c r="DP138" s="92"/>
      <c r="DQ138" s="92"/>
      <c r="DR138" s="92"/>
      <c r="DS138" s="92"/>
      <c r="DT138" s="92"/>
      <c r="DU138" s="92"/>
      <c r="DV138" s="92"/>
      <c r="DW138" s="92"/>
      <c r="DX138" s="92"/>
      <c r="DY138" s="92"/>
      <c r="DZ138" s="92"/>
      <c r="EA138" s="92"/>
      <c r="EB138" s="92"/>
      <c r="EC138" s="92"/>
      <c r="ED138" s="92"/>
      <c r="EE138" s="92"/>
      <c r="EF138" s="92"/>
      <c r="EG138" s="92"/>
      <c r="EH138" s="92"/>
      <c r="EI138" s="92"/>
      <c r="EJ138" s="92"/>
      <c r="EK138" s="92"/>
      <c r="EL138" s="92"/>
      <c r="EM138" s="92"/>
      <c r="EN138" s="92"/>
      <c r="EO138" s="92"/>
      <c r="EP138" s="92"/>
      <c r="EQ138" s="92"/>
      <c r="ER138" s="92"/>
      <c r="ES138" s="92"/>
      <c r="ET138" s="92"/>
      <c r="EU138" s="92"/>
      <c r="EV138" s="92"/>
      <c r="EW138" s="92"/>
      <c r="EX138" s="92"/>
      <c r="EY138" s="92"/>
      <c r="EZ138" s="92"/>
      <c r="FA138" s="92"/>
      <c r="FB138" s="92"/>
      <c r="FC138" s="92"/>
      <c r="FD138" s="92"/>
      <c r="FE138" s="92"/>
      <c r="FF138" s="92"/>
      <c r="FG138" s="92"/>
      <c r="FH138" s="92"/>
    </row>
    <row r="139">
      <c r="A139" s="30" t="s">
        <v>7</v>
      </c>
      <c r="B139" s="30" t="s">
        <v>34</v>
      </c>
      <c r="C139" s="31" t="str">
        <f>HYPERLINK("https://docs.google.com/spreadsheets/d/1JA9UjQcSeVDtx6SXpAFst9ybQTVAOprn/edit?usp=share_link&amp;ouid=106501987799020758802&amp;rtpof=true&amp;sd=true", "Raw Delivered")</f>
        <v>Raw Delivered</v>
      </c>
      <c r="D139" s="96">
        <f t="shared" si="1"/>
        <v>5544.756608</v>
      </c>
      <c r="E139" s="92">
        <f>(SUBSTITUTE(Audio!E139, "RE-", "", 1))*1</f>
        <v>0</v>
      </c>
      <c r="F139" s="92">
        <f>(SUBSTITUTE(Audio!F139, "RE-", "", 1))*1</f>
        <v>894.2135677</v>
      </c>
      <c r="G139" s="92">
        <f>(SUBSTITUTE(Audio!G139, "RE-", "", 1))*1</f>
        <v>0</v>
      </c>
      <c r="H139" s="92">
        <f>(SUBSTITUTE(Audio!H139, "RE-", "", 1))*1</f>
        <v>372.7956021</v>
      </c>
      <c r="I139" s="92">
        <f>(SUBSTITUTE(Audio!I139, "RE-", "", 1))*1</f>
        <v>0</v>
      </c>
      <c r="J139" s="92">
        <f>(SUBSTITUTE(Audio!J139, "RE-", "", 1))*1</f>
        <v>1736.282369</v>
      </c>
      <c r="K139" s="92">
        <f>(SUBSTITUTE(Audio!K139, "RE-", "", 1))*1</f>
        <v>0</v>
      </c>
      <c r="L139" s="92">
        <f>(SUBSTITUTE(Audio!L139, "RE-", "", 1))*1</f>
        <v>657.5875958</v>
      </c>
      <c r="M139" s="92">
        <f>(SUBSTITUTE(Audio!M139, "RE-", "", 1))*1</f>
        <v>0</v>
      </c>
      <c r="N139" s="92">
        <f>(SUBSTITUTE(Audio!N139, "RE-", "", 1))*1</f>
        <v>609.9199625</v>
      </c>
      <c r="O139" s="92">
        <f>(SUBSTITUTE(Audio!O139, "RE-", "", 1))*1</f>
        <v>0</v>
      </c>
      <c r="P139" s="92">
        <f>(SUBSTITUTE(Audio!P139, "RE-", "", 1))*1</f>
        <v>859.7418281</v>
      </c>
      <c r="Q139" s="92">
        <f>(SUBSTITUTE(Audio!Q139, "RE-", "", 1))*1</f>
        <v>0</v>
      </c>
      <c r="R139" s="92">
        <f>(SUBSTITUTE(Audio!R139, "RE-", "", 1))*1</f>
        <v>115.7271542</v>
      </c>
      <c r="S139" s="92">
        <f>(SUBSTITUTE(Audio!S139, "RE-", "", 1))*1</f>
        <v>0</v>
      </c>
      <c r="T139" s="92">
        <f>(SUBSTITUTE(Audio!T139, "RE-", "", 1))*1</f>
        <v>298.4885281</v>
      </c>
      <c r="U139" s="92">
        <f>(SUBSTITUTE(Audio!U139, "RE-", "", 1))*1</f>
        <v>0</v>
      </c>
      <c r="V139" s="92">
        <f>(SUBSTITUTE(Audio!V139, "RE-", "", 1))*1</f>
        <v>0</v>
      </c>
      <c r="W139" s="92">
        <f>(SUBSTITUTE(Audio!W139, "RE-", "", 1))*1</f>
        <v>0</v>
      </c>
      <c r="X139" s="92">
        <f>(SUBSTITUTE(Audio!X139, "RE-", "", 1))*1</f>
        <v>0</v>
      </c>
      <c r="Y139" s="92">
        <f>(SUBSTITUTE(Audio!Y139, "RE-", "", 1))*1</f>
        <v>0</v>
      </c>
      <c r="Z139" s="92">
        <f>(SUBSTITUTE(Audio!Z139, "RE-", "", 1))*1</f>
        <v>0</v>
      </c>
      <c r="AA139" s="92"/>
      <c r="AB139" s="92"/>
      <c r="AC139" s="92"/>
      <c r="AD139" s="92"/>
      <c r="AE139" s="92"/>
      <c r="AF139" s="92"/>
      <c r="AG139" s="92"/>
      <c r="AH139" s="92"/>
      <c r="AI139" s="92"/>
      <c r="AJ139" s="92"/>
      <c r="AK139" s="92"/>
      <c r="AL139" s="92"/>
      <c r="AM139" s="92"/>
      <c r="AN139" s="92"/>
      <c r="AO139" s="92"/>
      <c r="AP139" s="92"/>
      <c r="AQ139" s="92"/>
      <c r="AR139" s="92"/>
      <c r="AS139" s="92"/>
      <c r="AT139" s="92"/>
      <c r="AU139" s="92"/>
      <c r="AV139" s="92"/>
      <c r="AW139" s="92"/>
      <c r="AX139" s="92"/>
      <c r="AY139" s="92"/>
      <c r="AZ139" s="92"/>
      <c r="BA139" s="92"/>
      <c r="BB139" s="92"/>
      <c r="BC139" s="92"/>
      <c r="BD139" s="92"/>
      <c r="BE139" s="92"/>
      <c r="BF139" s="92"/>
      <c r="BG139" s="92"/>
      <c r="BH139" s="92"/>
      <c r="BI139" s="92"/>
      <c r="BJ139" s="92"/>
      <c r="BK139" s="92"/>
      <c r="BL139" s="92"/>
      <c r="BM139" s="92"/>
      <c r="BN139" s="92"/>
      <c r="BO139" s="92"/>
      <c r="BP139" s="92"/>
      <c r="BQ139" s="92"/>
      <c r="BR139" s="92"/>
      <c r="BS139" s="92"/>
      <c r="BT139" s="92"/>
      <c r="BU139" s="92"/>
      <c r="BV139" s="92"/>
      <c r="BW139" s="92"/>
      <c r="BX139" s="92"/>
      <c r="BY139" s="92"/>
      <c r="BZ139" s="92"/>
      <c r="CA139" s="92"/>
      <c r="CB139" s="92"/>
      <c r="CC139" s="92"/>
      <c r="CD139" s="92"/>
      <c r="CE139" s="92"/>
      <c r="CF139" s="92"/>
      <c r="CG139" s="92"/>
      <c r="CH139" s="92"/>
      <c r="CI139" s="92"/>
      <c r="CJ139" s="92"/>
      <c r="CK139" s="92"/>
      <c r="CL139" s="92"/>
      <c r="CM139" s="92"/>
      <c r="CN139" s="92"/>
      <c r="CO139" s="92"/>
      <c r="CP139" s="92"/>
      <c r="CQ139" s="92"/>
      <c r="CR139" s="92"/>
      <c r="CS139" s="92"/>
      <c r="CT139" s="92"/>
      <c r="CU139" s="92"/>
      <c r="CV139" s="92"/>
      <c r="CW139" s="92"/>
      <c r="CX139" s="92"/>
      <c r="CY139" s="92"/>
      <c r="CZ139" s="92"/>
      <c r="DA139" s="92"/>
      <c r="DB139" s="92"/>
      <c r="DC139" s="92"/>
      <c r="DD139" s="92"/>
      <c r="DE139" s="92"/>
      <c r="DF139" s="92"/>
      <c r="DG139" s="92"/>
      <c r="DH139" s="92"/>
      <c r="DI139" s="92"/>
      <c r="DJ139" s="92"/>
      <c r="DK139" s="92"/>
      <c r="DL139" s="92"/>
      <c r="DM139" s="92"/>
      <c r="DN139" s="92"/>
      <c r="DO139" s="92"/>
      <c r="DP139" s="92"/>
      <c r="DQ139" s="92"/>
      <c r="DR139" s="92"/>
      <c r="DS139" s="92"/>
      <c r="DT139" s="92"/>
      <c r="DU139" s="92"/>
      <c r="DV139" s="92"/>
      <c r="DW139" s="92"/>
      <c r="DX139" s="92"/>
      <c r="DY139" s="92"/>
      <c r="DZ139" s="92"/>
      <c r="EA139" s="92"/>
      <c r="EB139" s="92"/>
      <c r="EC139" s="92"/>
      <c r="ED139" s="92"/>
      <c r="EE139" s="92"/>
      <c r="EF139" s="92"/>
      <c r="EG139" s="92"/>
      <c r="EH139" s="92"/>
      <c r="EI139" s="92"/>
      <c r="EJ139" s="92"/>
      <c r="EK139" s="92"/>
      <c r="EL139" s="92"/>
      <c r="EM139" s="92"/>
      <c r="EN139" s="92"/>
      <c r="EO139" s="92"/>
      <c r="EP139" s="92"/>
      <c r="EQ139" s="92"/>
      <c r="ER139" s="92"/>
      <c r="ES139" s="92"/>
      <c r="ET139" s="92"/>
      <c r="EU139" s="92"/>
      <c r="EV139" s="92"/>
      <c r="EW139" s="92"/>
      <c r="EX139" s="92"/>
      <c r="EY139" s="92"/>
      <c r="EZ139" s="92"/>
      <c r="FA139" s="92"/>
      <c r="FB139" s="92"/>
      <c r="FC139" s="92"/>
      <c r="FD139" s="92"/>
      <c r="FE139" s="92"/>
      <c r="FF139" s="92"/>
      <c r="FG139" s="92"/>
      <c r="FH139" s="92"/>
    </row>
    <row r="140">
      <c r="A140" s="32" t="s">
        <v>7</v>
      </c>
      <c r="B140" s="32" t="s">
        <v>34</v>
      </c>
      <c r="C140" s="32" t="s">
        <v>9</v>
      </c>
      <c r="D140" s="97">
        <f t="shared" si="1"/>
        <v>5544.756607</v>
      </c>
      <c r="E140" s="92">
        <f>(SUBSTITUTE(Audio!E140, "RE-", "", 1))*1</f>
        <v>0</v>
      </c>
      <c r="F140" s="92">
        <f>(SUBSTITUTE(Audio!F140, "RE-", "", 1))*1</f>
        <v>894.2135677</v>
      </c>
      <c r="G140" s="92">
        <f>(SUBSTITUTE(Audio!G140, "RE-", "", 1))*1</f>
        <v>0</v>
      </c>
      <c r="H140" s="92">
        <f>(SUBSTITUTE(Audio!H140, "RE-", "", 1))*1</f>
        <v>372.7956021</v>
      </c>
      <c r="I140" s="92">
        <f>(SUBSTITUTE(Audio!I140, "RE-", "", 1))*1</f>
        <v>0</v>
      </c>
      <c r="J140" s="92">
        <f>(SUBSTITUTE(Audio!J140, "RE-", "", 1))*1</f>
        <v>1736.282369</v>
      </c>
      <c r="K140" s="92">
        <f>(SUBSTITUTE(Audio!K140, "RE-", "", 1))*1</f>
        <v>0</v>
      </c>
      <c r="L140" s="92">
        <f>(SUBSTITUTE(Audio!L140, "RE-", "", 1))*1</f>
        <v>657.5875958</v>
      </c>
      <c r="M140" s="92">
        <f>(SUBSTITUTE(Audio!M140, "RE-", "", 1))*1</f>
        <v>0</v>
      </c>
      <c r="N140" s="92">
        <f>(SUBSTITUTE(Audio!N140, "RE-", "", 1))*1</f>
        <v>609.9199625</v>
      </c>
      <c r="O140" s="92">
        <f>(SUBSTITUTE(Audio!O140, "RE-", "", 1))*1</f>
        <v>0</v>
      </c>
      <c r="P140" s="92">
        <f>(SUBSTITUTE(Audio!P140, "RE-", "", 1))*1</f>
        <v>859.7418281</v>
      </c>
      <c r="Q140" s="92">
        <f>(SUBSTITUTE(Audio!Q140, "RE-", "", 1))*1</f>
        <v>0</v>
      </c>
      <c r="R140" s="92">
        <f>(SUBSTITUTE(Audio!R140, "RE-", "", 1))*1</f>
        <v>115.7271542</v>
      </c>
      <c r="S140" s="92">
        <f>(SUBSTITUTE(Audio!S140, "RE-", "", 1))*1</f>
        <v>0</v>
      </c>
      <c r="T140" s="92">
        <f>(SUBSTITUTE(Audio!T140, "RE-", "", 1))*1</f>
        <v>298.4885281</v>
      </c>
      <c r="U140" s="92">
        <f>(SUBSTITUTE(Audio!U140, "RE-", "", 1))*1</f>
        <v>0</v>
      </c>
      <c r="V140" s="92">
        <f>(SUBSTITUTE(Audio!V140, "RE-", "", 1))*1</f>
        <v>0</v>
      </c>
      <c r="W140" s="92">
        <f>(SUBSTITUTE(Audio!W140, "RE-", "", 1))*1</f>
        <v>0</v>
      </c>
      <c r="X140" s="92">
        <f>(SUBSTITUTE(Audio!X140, "RE-", "", 1))*1</f>
        <v>0</v>
      </c>
      <c r="Y140" s="92">
        <f>(SUBSTITUTE(Audio!Y140, "RE-", "", 1))*1</f>
        <v>0</v>
      </c>
      <c r="Z140" s="92">
        <f>(SUBSTITUTE(Audio!Z140, "RE-", "", 1))*1</f>
        <v>0</v>
      </c>
      <c r="AA140" s="92"/>
      <c r="AB140" s="92"/>
      <c r="AC140" s="92"/>
      <c r="AD140" s="92"/>
      <c r="AE140" s="92"/>
      <c r="AF140" s="92"/>
      <c r="AG140" s="92"/>
      <c r="AH140" s="92"/>
      <c r="AI140" s="92"/>
      <c r="AJ140" s="92"/>
      <c r="AK140" s="92"/>
      <c r="AL140" s="92"/>
      <c r="AM140" s="92"/>
      <c r="AN140" s="92"/>
      <c r="AO140" s="92"/>
      <c r="AP140" s="92"/>
      <c r="AQ140" s="92"/>
      <c r="AR140" s="92"/>
      <c r="AS140" s="92"/>
      <c r="AT140" s="92"/>
      <c r="AU140" s="92"/>
      <c r="AV140" s="92"/>
      <c r="AW140" s="92"/>
      <c r="AX140" s="92"/>
      <c r="AY140" s="92"/>
      <c r="AZ140" s="92"/>
      <c r="BA140" s="92"/>
      <c r="BB140" s="92"/>
      <c r="BC140" s="92"/>
      <c r="BD140" s="92"/>
      <c r="BE140" s="92"/>
      <c r="BF140" s="92"/>
      <c r="BG140" s="92"/>
      <c r="BH140" s="92"/>
      <c r="BI140" s="92"/>
      <c r="BJ140" s="92"/>
      <c r="BK140" s="92"/>
      <c r="BL140" s="92"/>
      <c r="BM140" s="92"/>
      <c r="BN140" s="92"/>
      <c r="BO140" s="92"/>
      <c r="BP140" s="92"/>
      <c r="BQ140" s="92"/>
      <c r="BR140" s="92"/>
      <c r="BS140" s="92"/>
      <c r="BT140" s="92"/>
      <c r="BU140" s="92"/>
      <c r="BV140" s="92"/>
      <c r="BW140" s="92"/>
      <c r="BX140" s="92"/>
      <c r="BY140" s="92"/>
      <c r="BZ140" s="92"/>
      <c r="CA140" s="92"/>
      <c r="CB140" s="92"/>
      <c r="CC140" s="92"/>
      <c r="CD140" s="92"/>
      <c r="CE140" s="92"/>
      <c r="CF140" s="92"/>
      <c r="CG140" s="92"/>
      <c r="CH140" s="92"/>
      <c r="CI140" s="92"/>
      <c r="CJ140" s="92"/>
      <c r="CK140" s="92"/>
      <c r="CL140" s="92"/>
      <c r="CM140" s="92"/>
      <c r="CN140" s="92"/>
      <c r="CO140" s="92"/>
      <c r="CP140" s="92"/>
      <c r="CQ140" s="92"/>
      <c r="CR140" s="92"/>
      <c r="CS140" s="92"/>
      <c r="CT140" s="92"/>
      <c r="CU140" s="92"/>
      <c r="CV140" s="92"/>
      <c r="CW140" s="92"/>
      <c r="CX140" s="92"/>
      <c r="CY140" s="92"/>
      <c r="CZ140" s="92"/>
      <c r="DA140" s="92"/>
      <c r="DB140" s="92"/>
      <c r="DC140" s="92"/>
      <c r="DD140" s="92"/>
      <c r="DE140" s="92"/>
      <c r="DF140" s="92"/>
      <c r="DG140" s="92"/>
      <c r="DH140" s="92"/>
      <c r="DI140" s="92"/>
      <c r="DJ140" s="92"/>
      <c r="DK140" s="92"/>
      <c r="DL140" s="92"/>
      <c r="DM140" s="92"/>
      <c r="DN140" s="92"/>
      <c r="DO140" s="92"/>
      <c r="DP140" s="92"/>
      <c r="DQ140" s="92"/>
      <c r="DR140" s="92"/>
      <c r="DS140" s="92"/>
      <c r="DT140" s="92"/>
      <c r="DU140" s="92"/>
      <c r="DV140" s="92"/>
      <c r="DW140" s="92"/>
      <c r="DX140" s="92"/>
      <c r="DY140" s="92"/>
      <c r="DZ140" s="92"/>
      <c r="EA140" s="92"/>
      <c r="EB140" s="92"/>
      <c r="EC140" s="92"/>
      <c r="ED140" s="92"/>
      <c r="EE140" s="92"/>
      <c r="EF140" s="92"/>
      <c r="EG140" s="92"/>
      <c r="EH140" s="92"/>
      <c r="EI140" s="92"/>
      <c r="EJ140" s="92"/>
      <c r="EK140" s="92"/>
      <c r="EL140" s="92"/>
      <c r="EM140" s="92"/>
      <c r="EN140" s="92"/>
      <c r="EO140" s="92"/>
      <c r="EP140" s="92"/>
      <c r="EQ140" s="92"/>
      <c r="ER140" s="92"/>
      <c r="ES140" s="92"/>
      <c r="ET140" s="92"/>
      <c r="EU140" s="92"/>
      <c r="EV140" s="92"/>
      <c r="EW140" s="92"/>
      <c r="EX140" s="92"/>
      <c r="EY140" s="92"/>
      <c r="EZ140" s="92"/>
      <c r="FA140" s="92"/>
      <c r="FB140" s="92"/>
      <c r="FC140" s="92"/>
      <c r="FD140" s="92"/>
      <c r="FE140" s="92"/>
      <c r="FF140" s="92"/>
      <c r="FG140" s="92"/>
      <c r="FH140" s="92"/>
    </row>
    <row r="141">
      <c r="A141" s="32" t="s">
        <v>7</v>
      </c>
      <c r="B141" s="32" t="s">
        <v>34</v>
      </c>
      <c r="C141" s="32" t="s">
        <v>10</v>
      </c>
      <c r="D141" s="97">
        <f t="shared" si="1"/>
        <v>535.6487573</v>
      </c>
      <c r="E141" s="92">
        <f>(SUBSTITUTE(Audio!E141, "RE-", "", 1))*1</f>
        <v>0</v>
      </c>
      <c r="F141" s="92">
        <f>(SUBSTITUTE(Audio!F141, "RE-", "", 1))*1</f>
        <v>0</v>
      </c>
      <c r="G141" s="92">
        <f>(SUBSTITUTE(Audio!G141, "RE-", "", 1))*1</f>
        <v>77.87256458</v>
      </c>
      <c r="H141" s="92">
        <f>(SUBSTITUTE(Audio!H141, "RE-", "", 1))*1</f>
        <v>0</v>
      </c>
      <c r="I141" s="92">
        <f>(SUBSTITUTE(Audio!I141, "RE-", "", 1))*1</f>
        <v>44.22854583</v>
      </c>
      <c r="J141" s="92">
        <f>(SUBSTITUTE(Audio!J141, "RE-", "", 1))*1</f>
        <v>0</v>
      </c>
      <c r="K141" s="92">
        <f>(SUBSTITUTE(Audio!K141, "RE-", "", 1))*1</f>
        <v>143.6067823</v>
      </c>
      <c r="L141" s="92">
        <f>(SUBSTITUTE(Audio!L141, "RE-", "", 1))*1</f>
        <v>0</v>
      </c>
      <c r="M141" s="92">
        <f>(SUBSTITUTE(Audio!M141, "RE-", "", 1))*1</f>
        <v>64.27003646</v>
      </c>
      <c r="N141" s="92">
        <f>(SUBSTITUTE(Audio!N141, "RE-", "", 1))*1</f>
        <v>0</v>
      </c>
      <c r="O141" s="92">
        <f>(SUBSTITUTE(Audio!O141, "RE-", "", 1))*1</f>
        <v>39.74934688</v>
      </c>
      <c r="P141" s="92">
        <f>(SUBSTITUTE(Audio!P141, "RE-", "", 1))*1</f>
        <v>0</v>
      </c>
      <c r="Q141" s="92">
        <f>(SUBSTITUTE(Audio!Q141, "RE-", "", 1))*1</f>
        <v>88.78088958</v>
      </c>
      <c r="R141" s="92">
        <f>(SUBSTITUTE(Audio!R141, "RE-", "", 1))*1</f>
        <v>0</v>
      </c>
      <c r="S141" s="92">
        <f>(SUBSTITUTE(Audio!S141, "RE-", "", 1))*1</f>
        <v>17.50781354</v>
      </c>
      <c r="T141" s="92">
        <f>(SUBSTITUTE(Audio!T141, "RE-", "", 1))*1</f>
        <v>0</v>
      </c>
      <c r="U141" s="92">
        <f>(SUBSTITUTE(Audio!U141, "RE-", "", 1))*1</f>
        <v>51.65963229</v>
      </c>
      <c r="V141" s="92">
        <f>(SUBSTITUTE(Audio!V141, "RE-", "", 1))*1</f>
        <v>7.973145833</v>
      </c>
      <c r="W141" s="92">
        <f>(SUBSTITUTE(Audio!W141, "RE-", "", 1))*1</f>
        <v>0</v>
      </c>
      <c r="X141" s="92">
        <f>(SUBSTITUTE(Audio!X141, "RE-", "", 1))*1</f>
        <v>0</v>
      </c>
      <c r="Y141" s="92">
        <f>(SUBSTITUTE(Audio!Y141, "RE-", "", 1))*1</f>
        <v>0</v>
      </c>
      <c r="Z141" s="92">
        <f>(SUBSTITUTE(Audio!Z141, "RE-", "", 1))*1</f>
        <v>0</v>
      </c>
      <c r="AA141" s="92"/>
      <c r="AB141" s="92"/>
      <c r="AC141" s="92"/>
      <c r="AD141" s="92"/>
      <c r="AE141" s="92"/>
      <c r="AF141" s="92"/>
      <c r="AG141" s="92"/>
      <c r="AH141" s="92"/>
      <c r="AI141" s="92"/>
      <c r="AJ141" s="92"/>
      <c r="AK141" s="92"/>
      <c r="AL141" s="92"/>
      <c r="AM141" s="92"/>
      <c r="AN141" s="92"/>
      <c r="AO141" s="92"/>
      <c r="AP141" s="92"/>
      <c r="AQ141" s="92"/>
      <c r="AR141" s="92"/>
      <c r="AS141" s="92"/>
      <c r="AT141" s="92"/>
      <c r="AU141" s="92"/>
      <c r="AV141" s="92"/>
      <c r="AW141" s="92"/>
      <c r="AX141" s="92"/>
      <c r="AY141" s="92"/>
      <c r="AZ141" s="92"/>
      <c r="BA141" s="92"/>
      <c r="BB141" s="92"/>
      <c r="BC141" s="92"/>
      <c r="BD141" s="92"/>
      <c r="BE141" s="92"/>
      <c r="BF141" s="92"/>
      <c r="BG141" s="92"/>
      <c r="BH141" s="92"/>
      <c r="BI141" s="92"/>
      <c r="BJ141" s="92"/>
      <c r="BK141" s="92"/>
      <c r="BL141" s="92"/>
      <c r="BM141" s="92"/>
      <c r="BN141" s="92"/>
      <c r="BO141" s="92"/>
      <c r="BP141" s="92"/>
      <c r="BQ141" s="92"/>
      <c r="BR141" s="92"/>
      <c r="BS141" s="92"/>
      <c r="BT141" s="92"/>
      <c r="BU141" s="92"/>
      <c r="BV141" s="92"/>
      <c r="BW141" s="92"/>
      <c r="BX141" s="92"/>
      <c r="BY141" s="92"/>
      <c r="BZ141" s="92"/>
      <c r="CA141" s="92"/>
      <c r="CB141" s="92"/>
      <c r="CC141" s="92"/>
      <c r="CD141" s="92"/>
      <c r="CE141" s="92"/>
      <c r="CF141" s="92"/>
      <c r="CG141" s="92"/>
      <c r="CH141" s="92"/>
      <c r="CI141" s="92"/>
      <c r="CJ141" s="92"/>
      <c r="CK141" s="92"/>
      <c r="CL141" s="92"/>
      <c r="CM141" s="92"/>
      <c r="CN141" s="92"/>
      <c r="CO141" s="92"/>
      <c r="CP141" s="92"/>
      <c r="CQ141" s="92"/>
      <c r="CR141" s="92"/>
      <c r="CS141" s="92"/>
      <c r="CT141" s="92"/>
      <c r="CU141" s="92"/>
      <c r="CV141" s="92"/>
      <c r="CW141" s="92"/>
      <c r="CX141" s="92"/>
      <c r="CY141" s="92"/>
      <c r="CZ141" s="92"/>
      <c r="DA141" s="92"/>
      <c r="DB141" s="92"/>
      <c r="DC141" s="92"/>
      <c r="DD141" s="92"/>
      <c r="DE141" s="92"/>
      <c r="DF141" s="92"/>
      <c r="DG141" s="92"/>
      <c r="DH141" s="92"/>
      <c r="DI141" s="92"/>
      <c r="DJ141" s="92"/>
      <c r="DK141" s="92"/>
      <c r="DL141" s="92"/>
      <c r="DM141" s="92"/>
      <c r="DN141" s="92"/>
      <c r="DO141" s="92"/>
      <c r="DP141" s="92"/>
      <c r="DQ141" s="92"/>
      <c r="DR141" s="92"/>
      <c r="DS141" s="92"/>
      <c r="DT141" s="92"/>
      <c r="DU141" s="92"/>
      <c r="DV141" s="92"/>
      <c r="DW141" s="92"/>
      <c r="DX141" s="92"/>
      <c r="DY141" s="92"/>
      <c r="DZ141" s="92"/>
      <c r="EA141" s="92"/>
      <c r="EB141" s="92"/>
      <c r="EC141" s="92"/>
      <c r="ED141" s="92"/>
      <c r="EE141" s="92"/>
      <c r="EF141" s="92"/>
      <c r="EG141" s="92"/>
      <c r="EH141" s="92"/>
      <c r="EI141" s="92"/>
      <c r="EJ141" s="92"/>
      <c r="EK141" s="92"/>
      <c r="EL141" s="92"/>
      <c r="EM141" s="92"/>
      <c r="EN141" s="92"/>
      <c r="EO141" s="92"/>
      <c r="EP141" s="92"/>
      <c r="EQ141" s="92"/>
      <c r="ER141" s="92"/>
      <c r="ES141" s="92"/>
      <c r="ET141" s="92"/>
      <c r="EU141" s="92"/>
      <c r="EV141" s="92"/>
      <c r="EW141" s="92"/>
      <c r="EX141" s="92"/>
      <c r="EY141" s="92"/>
      <c r="EZ141" s="92"/>
      <c r="FA141" s="92"/>
      <c r="FB141" s="92"/>
      <c r="FC141" s="92"/>
      <c r="FD141" s="92"/>
      <c r="FE141" s="92"/>
      <c r="FF141" s="92"/>
      <c r="FG141" s="92"/>
      <c r="FH141" s="92"/>
    </row>
    <row r="142">
      <c r="A142" s="32" t="s">
        <v>7</v>
      </c>
      <c r="B142" s="32" t="s">
        <v>34</v>
      </c>
      <c r="C142" s="32" t="s">
        <v>11</v>
      </c>
      <c r="D142" s="97">
        <f t="shared" si="1"/>
        <v>535.6487573</v>
      </c>
      <c r="E142" s="92">
        <f>(SUBSTITUTE(Audio!E142, "RE-", "", 1))*1</f>
        <v>0</v>
      </c>
      <c r="F142" s="92">
        <f>(SUBSTITUTE(Audio!F142, "RE-", "", 1))*1</f>
        <v>0</v>
      </c>
      <c r="G142" s="92">
        <f>(SUBSTITUTE(Audio!G142, "RE-", "", 1))*1</f>
        <v>77.87256458</v>
      </c>
      <c r="H142" s="92">
        <f>(SUBSTITUTE(Audio!H142, "RE-", "", 1))*1</f>
        <v>0</v>
      </c>
      <c r="I142" s="92">
        <f>(SUBSTITUTE(Audio!I142, "RE-", "", 1))*1</f>
        <v>44.22854583</v>
      </c>
      <c r="J142" s="92">
        <f>(SUBSTITUTE(Audio!J142, "RE-", "", 1))*1</f>
        <v>0</v>
      </c>
      <c r="K142" s="92">
        <f>(SUBSTITUTE(Audio!K142, "RE-", "", 1))*1</f>
        <v>143.6067823</v>
      </c>
      <c r="L142" s="92">
        <f>(SUBSTITUTE(Audio!L142, "RE-", "", 1))*1</f>
        <v>0</v>
      </c>
      <c r="M142" s="92">
        <f>(SUBSTITUTE(Audio!M142, "RE-", "", 1))*1</f>
        <v>64.27003646</v>
      </c>
      <c r="N142" s="92">
        <f>(SUBSTITUTE(Audio!N142, "RE-", "", 1))*1</f>
        <v>0</v>
      </c>
      <c r="O142" s="92">
        <f>(SUBSTITUTE(Audio!O142, "RE-", "", 1))*1</f>
        <v>39.74934688</v>
      </c>
      <c r="P142" s="92">
        <f>(SUBSTITUTE(Audio!P142, "RE-", "", 1))*1</f>
        <v>0</v>
      </c>
      <c r="Q142" s="92">
        <f>(SUBSTITUTE(Audio!Q142, "RE-", "", 1))*1</f>
        <v>88.78088958</v>
      </c>
      <c r="R142" s="92">
        <f>(SUBSTITUTE(Audio!R142, "RE-", "", 1))*1</f>
        <v>0</v>
      </c>
      <c r="S142" s="92">
        <f>(SUBSTITUTE(Audio!S142, "RE-", "", 1))*1</f>
        <v>17.50781354</v>
      </c>
      <c r="T142" s="92">
        <f>(SUBSTITUTE(Audio!T142, "RE-", "", 1))*1</f>
        <v>0</v>
      </c>
      <c r="U142" s="92">
        <f>(SUBSTITUTE(Audio!U142, "RE-", "", 1))*1</f>
        <v>51.65963229</v>
      </c>
      <c r="V142" s="92">
        <f>(SUBSTITUTE(Audio!V142, "RE-", "", 1))*1</f>
        <v>7.973145833</v>
      </c>
      <c r="W142" s="92">
        <f>(SUBSTITUTE(Audio!W142, "RE-", "", 1))*1</f>
        <v>0</v>
      </c>
      <c r="X142" s="92">
        <f>(SUBSTITUTE(Audio!X142, "RE-", "", 1))*1</f>
        <v>0</v>
      </c>
      <c r="Y142" s="92">
        <f>(SUBSTITUTE(Audio!Y142, "RE-", "", 1))*1</f>
        <v>0</v>
      </c>
      <c r="Z142" s="92">
        <f>(SUBSTITUTE(Audio!Z142, "RE-", "", 1))*1</f>
        <v>0</v>
      </c>
      <c r="AA142" s="92"/>
      <c r="AB142" s="92"/>
      <c r="AC142" s="92"/>
      <c r="AD142" s="92"/>
      <c r="AE142" s="92"/>
      <c r="AF142" s="92"/>
      <c r="AG142" s="92"/>
      <c r="AH142" s="92"/>
      <c r="AI142" s="92"/>
      <c r="AJ142" s="92"/>
      <c r="AK142" s="92"/>
      <c r="AL142" s="92"/>
      <c r="AM142" s="92"/>
      <c r="AN142" s="92"/>
      <c r="AO142" s="92"/>
      <c r="AP142" s="92"/>
      <c r="AQ142" s="92"/>
      <c r="AR142" s="92"/>
      <c r="AS142" s="92"/>
      <c r="AT142" s="92"/>
      <c r="AU142" s="92"/>
      <c r="AV142" s="92"/>
      <c r="AW142" s="92"/>
      <c r="AX142" s="92"/>
      <c r="AY142" s="92"/>
      <c r="AZ142" s="92"/>
      <c r="BA142" s="92"/>
      <c r="BB142" s="92"/>
      <c r="BC142" s="92"/>
      <c r="BD142" s="92"/>
      <c r="BE142" s="92"/>
      <c r="BF142" s="92"/>
      <c r="BG142" s="92"/>
      <c r="BH142" s="92"/>
      <c r="BI142" s="92"/>
      <c r="BJ142" s="92"/>
      <c r="BK142" s="92"/>
      <c r="BL142" s="92"/>
      <c r="BM142" s="92"/>
      <c r="BN142" s="92"/>
      <c r="BO142" s="92"/>
      <c r="BP142" s="92"/>
      <c r="BQ142" s="92"/>
      <c r="BR142" s="92"/>
      <c r="BS142" s="92"/>
      <c r="BT142" s="92"/>
      <c r="BU142" s="92"/>
      <c r="BV142" s="92"/>
      <c r="BW142" s="92"/>
      <c r="BX142" s="92"/>
      <c r="BY142" s="92"/>
      <c r="BZ142" s="92"/>
      <c r="CA142" s="92"/>
      <c r="CB142" s="92"/>
      <c r="CC142" s="92"/>
      <c r="CD142" s="92"/>
      <c r="CE142" s="92"/>
      <c r="CF142" s="92"/>
      <c r="CG142" s="92"/>
      <c r="CH142" s="92"/>
      <c r="CI142" s="92"/>
      <c r="CJ142" s="92"/>
      <c r="CK142" s="92"/>
      <c r="CL142" s="92"/>
      <c r="CM142" s="92"/>
      <c r="CN142" s="92"/>
      <c r="CO142" s="92"/>
      <c r="CP142" s="92"/>
      <c r="CQ142" s="92"/>
      <c r="CR142" s="92"/>
      <c r="CS142" s="92"/>
      <c r="CT142" s="92"/>
      <c r="CU142" s="92"/>
      <c r="CV142" s="92"/>
      <c r="CW142" s="92"/>
      <c r="CX142" s="92"/>
      <c r="CY142" s="92"/>
      <c r="CZ142" s="92"/>
      <c r="DA142" s="92"/>
      <c r="DB142" s="92"/>
      <c r="DC142" s="92"/>
      <c r="DD142" s="92"/>
      <c r="DE142" s="92"/>
      <c r="DF142" s="92"/>
      <c r="DG142" s="92"/>
      <c r="DH142" s="92"/>
      <c r="DI142" s="92"/>
      <c r="DJ142" s="92"/>
      <c r="DK142" s="92"/>
      <c r="DL142" s="92"/>
      <c r="DM142" s="92"/>
      <c r="DN142" s="92"/>
      <c r="DO142" s="92"/>
      <c r="DP142" s="92"/>
      <c r="DQ142" s="92"/>
      <c r="DR142" s="92"/>
      <c r="DS142" s="92"/>
      <c r="DT142" s="92"/>
      <c r="DU142" s="92"/>
      <c r="DV142" s="92"/>
      <c r="DW142" s="92"/>
      <c r="DX142" s="92"/>
      <c r="DY142" s="92"/>
      <c r="DZ142" s="92"/>
      <c r="EA142" s="92"/>
      <c r="EB142" s="92"/>
      <c r="EC142" s="92"/>
      <c r="ED142" s="92"/>
      <c r="EE142" s="92"/>
      <c r="EF142" s="92"/>
      <c r="EG142" s="92"/>
      <c r="EH142" s="92"/>
      <c r="EI142" s="92"/>
      <c r="EJ142" s="92"/>
      <c r="EK142" s="92"/>
      <c r="EL142" s="92"/>
      <c r="EM142" s="92"/>
      <c r="EN142" s="92"/>
      <c r="EO142" s="92"/>
      <c r="EP142" s="92"/>
      <c r="EQ142" s="92"/>
      <c r="ER142" s="92"/>
      <c r="ES142" s="92"/>
      <c r="ET142" s="92"/>
      <c r="EU142" s="92"/>
      <c r="EV142" s="92"/>
      <c r="EW142" s="92"/>
      <c r="EX142" s="92"/>
      <c r="EY142" s="92"/>
      <c r="EZ142" s="92"/>
      <c r="FA142" s="92"/>
      <c r="FB142" s="92"/>
      <c r="FC142" s="92"/>
      <c r="FD142" s="92"/>
      <c r="FE142" s="92"/>
      <c r="FF142" s="92"/>
      <c r="FG142" s="92"/>
      <c r="FH142" s="92"/>
    </row>
    <row r="143">
      <c r="A143" s="32" t="s">
        <v>7</v>
      </c>
      <c r="B143" s="32" t="s">
        <v>34</v>
      </c>
      <c r="C143" s="32" t="s">
        <v>12</v>
      </c>
      <c r="D143" s="97">
        <f t="shared" si="1"/>
        <v>4712.043058</v>
      </c>
      <c r="E143" s="92">
        <f>(SUBSTITUTE(Audio!E143, "RE-", "", 1))*1</f>
        <v>0</v>
      </c>
      <c r="F143" s="92">
        <f>(SUBSTITUTE(Audio!F143, "RE-", "", 1))*1</f>
        <v>723.986674</v>
      </c>
      <c r="G143" s="92">
        <f>(SUBSTITUTE(Audio!G143, "RE-", "", 1))*1</f>
        <v>2.317122917</v>
      </c>
      <c r="H143" s="92">
        <f>(SUBSTITUTE(Audio!H143, "RE-", "", 1))*1</f>
        <v>325.3971271</v>
      </c>
      <c r="I143" s="92">
        <f>(SUBSTITUTE(Audio!I143, "RE-", "", 1))*1</f>
        <v>0.6713541667</v>
      </c>
      <c r="J143" s="92">
        <f>(SUBSTITUTE(Audio!J143, "RE-", "", 1))*1</f>
        <v>1389.474161</v>
      </c>
      <c r="K143" s="92">
        <f>(SUBSTITUTE(Audio!K143, "RE-", "", 1))*1</f>
        <v>5.282910417</v>
      </c>
      <c r="L143" s="92">
        <f>(SUBSTITUTE(Audio!L143, "RE-", "", 1))*1</f>
        <v>609.5986375</v>
      </c>
      <c r="M143" s="92">
        <f>(SUBSTITUTE(Audio!M143, "RE-", "", 1))*1</f>
        <v>20.36684583</v>
      </c>
      <c r="N143" s="92">
        <f>(SUBSTITUTE(Audio!N143, "RE-", "", 1))*1</f>
        <v>327.8705865</v>
      </c>
      <c r="O143" s="92">
        <f>(SUBSTITUTE(Audio!O143, "RE-", "", 1))*1</f>
        <v>7.493508333</v>
      </c>
      <c r="P143" s="92">
        <f>(SUBSTITUTE(Audio!P143, "RE-", "", 1))*1</f>
        <v>823.2605542</v>
      </c>
      <c r="Q143" s="92">
        <f>(SUBSTITUTE(Audio!Q143, "RE-", "", 1))*1</f>
        <v>33.19968229</v>
      </c>
      <c r="R143" s="92">
        <f>(SUBSTITUTE(Audio!R143, "RE-", "", 1))*1</f>
        <v>110.7803021</v>
      </c>
      <c r="S143" s="92">
        <f>(SUBSTITUTE(Audio!S143, "RE-", "", 1))*1</f>
        <v>9.889938542</v>
      </c>
      <c r="T143" s="92">
        <f>(SUBSTITUTE(Audio!T143, "RE-", "", 1))*1</f>
        <v>286.1827302</v>
      </c>
      <c r="U143" s="92">
        <f>(SUBSTITUTE(Audio!U143, "RE-", "", 1))*1</f>
        <v>29.29664167</v>
      </c>
      <c r="V143" s="92">
        <f>(SUBSTITUTE(Audio!V143, "RE-", "", 1))*1</f>
        <v>6.97428125</v>
      </c>
      <c r="W143" s="92">
        <f>(SUBSTITUTE(Audio!W143, "RE-", "", 1))*1</f>
        <v>0</v>
      </c>
      <c r="X143" s="92">
        <f>(SUBSTITUTE(Audio!X143, "RE-", "", 1))*1</f>
        <v>0</v>
      </c>
      <c r="Y143" s="92">
        <f>(SUBSTITUTE(Audio!Y143, "RE-", "", 1))*1</f>
        <v>0</v>
      </c>
      <c r="Z143" s="92">
        <f>(SUBSTITUTE(Audio!Z143, "RE-", "", 1))*1</f>
        <v>0</v>
      </c>
      <c r="AA143" s="92"/>
      <c r="AB143" s="92"/>
      <c r="AC143" s="92"/>
      <c r="AD143" s="92"/>
      <c r="AE143" s="92"/>
      <c r="AF143" s="92"/>
      <c r="AG143" s="92"/>
      <c r="AH143" s="92"/>
      <c r="AI143" s="92"/>
      <c r="AJ143" s="92"/>
      <c r="AK143" s="92"/>
      <c r="AL143" s="92"/>
      <c r="AM143" s="92"/>
      <c r="AN143" s="92"/>
      <c r="AO143" s="92"/>
      <c r="AP143" s="92"/>
      <c r="AQ143" s="92"/>
      <c r="AR143" s="92"/>
      <c r="AS143" s="92"/>
      <c r="AT143" s="92"/>
      <c r="AU143" s="92"/>
      <c r="AV143" s="92"/>
      <c r="AW143" s="92"/>
      <c r="AX143" s="92"/>
      <c r="AY143" s="92"/>
      <c r="AZ143" s="92"/>
      <c r="BA143" s="92"/>
      <c r="BB143" s="92"/>
      <c r="BC143" s="92"/>
      <c r="BD143" s="92"/>
      <c r="BE143" s="92"/>
      <c r="BF143" s="92"/>
      <c r="BG143" s="92"/>
      <c r="BH143" s="92"/>
      <c r="BI143" s="92"/>
      <c r="BJ143" s="92"/>
      <c r="BK143" s="92"/>
      <c r="BL143" s="92"/>
      <c r="BM143" s="92"/>
      <c r="BN143" s="92"/>
      <c r="BO143" s="92"/>
      <c r="BP143" s="92"/>
      <c r="BQ143" s="92"/>
      <c r="BR143" s="92"/>
      <c r="BS143" s="92"/>
      <c r="BT143" s="92"/>
      <c r="BU143" s="92"/>
      <c r="BV143" s="92"/>
      <c r="BW143" s="92"/>
      <c r="BX143" s="92"/>
      <c r="BY143" s="92"/>
      <c r="BZ143" s="92"/>
      <c r="CA143" s="92"/>
      <c r="CB143" s="92"/>
      <c r="CC143" s="92"/>
      <c r="CD143" s="92"/>
      <c r="CE143" s="92"/>
      <c r="CF143" s="92"/>
      <c r="CG143" s="92"/>
      <c r="CH143" s="92"/>
      <c r="CI143" s="92"/>
      <c r="CJ143" s="92"/>
      <c r="CK143" s="92"/>
      <c r="CL143" s="92"/>
      <c r="CM143" s="92"/>
      <c r="CN143" s="92"/>
      <c r="CO143" s="92"/>
      <c r="CP143" s="92"/>
      <c r="CQ143" s="92"/>
      <c r="CR143" s="92"/>
      <c r="CS143" s="92"/>
      <c r="CT143" s="92"/>
      <c r="CU143" s="92"/>
      <c r="CV143" s="92"/>
      <c r="CW143" s="92"/>
      <c r="CX143" s="92"/>
      <c r="CY143" s="92"/>
      <c r="CZ143" s="92"/>
      <c r="DA143" s="92"/>
      <c r="DB143" s="92"/>
      <c r="DC143" s="92"/>
      <c r="DD143" s="92"/>
      <c r="DE143" s="92"/>
      <c r="DF143" s="92"/>
      <c r="DG143" s="92"/>
      <c r="DH143" s="92"/>
      <c r="DI143" s="92"/>
      <c r="DJ143" s="92"/>
      <c r="DK143" s="92"/>
      <c r="DL143" s="92"/>
      <c r="DM143" s="92"/>
      <c r="DN143" s="92"/>
      <c r="DO143" s="92"/>
      <c r="DP143" s="92"/>
      <c r="DQ143" s="92"/>
      <c r="DR143" s="92"/>
      <c r="DS143" s="92"/>
      <c r="DT143" s="92"/>
      <c r="DU143" s="92"/>
      <c r="DV143" s="92"/>
      <c r="DW143" s="92"/>
      <c r="DX143" s="92"/>
      <c r="DY143" s="92"/>
      <c r="DZ143" s="92"/>
      <c r="EA143" s="92"/>
      <c r="EB143" s="92"/>
      <c r="EC143" s="92"/>
      <c r="ED143" s="92"/>
      <c r="EE143" s="92"/>
      <c r="EF143" s="92"/>
      <c r="EG143" s="92"/>
      <c r="EH143" s="92"/>
      <c r="EI143" s="92"/>
      <c r="EJ143" s="92"/>
      <c r="EK143" s="92"/>
      <c r="EL143" s="92"/>
      <c r="EM143" s="92"/>
      <c r="EN143" s="92"/>
      <c r="EO143" s="92"/>
      <c r="EP143" s="92"/>
      <c r="EQ143" s="92"/>
      <c r="ER143" s="92"/>
      <c r="ES143" s="92"/>
      <c r="ET143" s="92"/>
      <c r="EU143" s="92"/>
      <c r="EV143" s="92"/>
      <c r="EW143" s="92"/>
      <c r="EX143" s="92"/>
      <c r="EY143" s="92"/>
      <c r="EZ143" s="92"/>
      <c r="FA143" s="92"/>
      <c r="FB143" s="92"/>
      <c r="FC143" s="92"/>
      <c r="FD143" s="92"/>
      <c r="FE143" s="92"/>
      <c r="FF143" s="92"/>
      <c r="FG143" s="92"/>
      <c r="FH143" s="92"/>
    </row>
    <row r="144">
      <c r="A144" s="32" t="s">
        <v>7</v>
      </c>
      <c r="B144" s="32" t="s">
        <v>34</v>
      </c>
      <c r="C144" s="32" t="s">
        <v>13</v>
      </c>
      <c r="D144" s="97">
        <f t="shared" si="1"/>
        <v>4562.73882</v>
      </c>
      <c r="E144" s="92">
        <f>(SUBSTITUTE(Audio!E144, "RE-", "", 1))*1</f>
        <v>0</v>
      </c>
      <c r="F144" s="92">
        <f>(SUBSTITUTE(Audio!F144, "RE-", "", 1))*1</f>
        <v>707.786</v>
      </c>
      <c r="G144" s="92">
        <f>(SUBSTITUTE(Audio!G144, "RE-", "", 1))*1</f>
        <v>2.24623</v>
      </c>
      <c r="H144" s="92">
        <f>(SUBSTITUTE(Audio!H144, "RE-", "", 1))*1</f>
        <v>317.582</v>
      </c>
      <c r="I144" s="92">
        <f>(SUBSTITUTE(Audio!I144, "RE-", "", 1))*1</f>
        <v>0.6642</v>
      </c>
      <c r="J144" s="92">
        <f>(SUBSTITUTE(Audio!J144, "RE-", "", 1))*1</f>
        <v>1351.1</v>
      </c>
      <c r="K144" s="92">
        <f>(SUBSTITUTE(Audio!K144, "RE-", "", 1))*1</f>
        <v>4.96092</v>
      </c>
      <c r="L144" s="92">
        <f>(SUBSTITUTE(Audio!L144, "RE-", "", 1))*1</f>
        <v>583.391</v>
      </c>
      <c r="M144" s="92">
        <f>(SUBSTITUTE(Audio!M144, "RE-", "", 1))*1</f>
        <v>19.6279</v>
      </c>
      <c r="N144" s="92">
        <f>(SUBSTITUTE(Audio!N144, "RE-", "", 1))*1</f>
        <v>318.415</v>
      </c>
      <c r="O144" s="92">
        <f>(SUBSTITUTE(Audio!O144, "RE-", "", 1))*1</f>
        <v>6.9139</v>
      </c>
      <c r="P144" s="92">
        <f>(SUBSTITUTE(Audio!P144, "RE-", "", 1))*1</f>
        <v>791.144</v>
      </c>
      <c r="Q144" s="92">
        <f>(SUBSTITUTE(Audio!Q144, "RE-", "", 1))*1</f>
        <v>31.7693</v>
      </c>
      <c r="R144" s="92">
        <f>(SUBSTITUTE(Audio!R144, "RE-", "", 1))*1</f>
        <v>106.497</v>
      </c>
      <c r="S144" s="92">
        <f>(SUBSTITUTE(Audio!S144, "RE-", "", 1))*1</f>
        <v>9.50557</v>
      </c>
      <c r="T144" s="92">
        <f>(SUBSTITUTE(Audio!T144, "RE-", "", 1))*1</f>
        <v>276.685</v>
      </c>
      <c r="U144" s="92">
        <f>(SUBSTITUTE(Audio!U144, "RE-", "", 1))*1</f>
        <v>27.7554</v>
      </c>
      <c r="V144" s="92">
        <f>(SUBSTITUTE(Audio!V144, "RE-", "", 1))*1</f>
        <v>6.6954</v>
      </c>
      <c r="W144" s="92">
        <f>(SUBSTITUTE(Audio!W144, "RE-", "", 1))*1</f>
        <v>0</v>
      </c>
      <c r="X144" s="92">
        <f>(SUBSTITUTE(Audio!X144, "RE-", "", 1))*1</f>
        <v>0</v>
      </c>
      <c r="Y144" s="92">
        <f>(SUBSTITUTE(Audio!Y144, "RE-", "", 1))*1</f>
        <v>0</v>
      </c>
      <c r="Z144" s="92">
        <f>(SUBSTITUTE(Audio!Z144, "RE-", "", 1))*1</f>
        <v>0</v>
      </c>
      <c r="AA144" s="92"/>
      <c r="AB144" s="92"/>
      <c r="AC144" s="92"/>
      <c r="AD144" s="92"/>
      <c r="AE144" s="92"/>
      <c r="AF144" s="92"/>
      <c r="AG144" s="92"/>
      <c r="AH144" s="92"/>
      <c r="AI144" s="92"/>
      <c r="AJ144" s="92"/>
      <c r="AK144" s="92"/>
      <c r="AL144" s="92"/>
      <c r="AM144" s="92"/>
      <c r="AN144" s="92"/>
      <c r="AO144" s="92"/>
      <c r="AP144" s="92"/>
      <c r="AQ144" s="92"/>
      <c r="AR144" s="92"/>
      <c r="AS144" s="92"/>
      <c r="AT144" s="92"/>
      <c r="AU144" s="92"/>
      <c r="AV144" s="92"/>
      <c r="AW144" s="92"/>
      <c r="AX144" s="92"/>
      <c r="AY144" s="92"/>
      <c r="AZ144" s="92"/>
      <c r="BA144" s="92"/>
      <c r="BB144" s="92"/>
      <c r="BC144" s="92"/>
      <c r="BD144" s="92"/>
      <c r="BE144" s="92"/>
      <c r="BF144" s="92"/>
      <c r="BG144" s="92"/>
      <c r="BH144" s="92"/>
      <c r="BI144" s="92"/>
      <c r="BJ144" s="92"/>
      <c r="BK144" s="92"/>
      <c r="BL144" s="92"/>
      <c r="BM144" s="92"/>
      <c r="BN144" s="92"/>
      <c r="BO144" s="92"/>
      <c r="BP144" s="92"/>
      <c r="BQ144" s="92"/>
      <c r="BR144" s="92"/>
      <c r="BS144" s="92"/>
      <c r="BT144" s="92"/>
      <c r="BU144" s="92"/>
      <c r="BV144" s="92"/>
      <c r="BW144" s="92"/>
      <c r="BX144" s="92"/>
      <c r="BY144" s="92"/>
      <c r="BZ144" s="92"/>
      <c r="CA144" s="92"/>
      <c r="CB144" s="92"/>
      <c r="CC144" s="92"/>
      <c r="CD144" s="92"/>
      <c r="CE144" s="92"/>
      <c r="CF144" s="92"/>
      <c r="CG144" s="92"/>
      <c r="CH144" s="92"/>
      <c r="CI144" s="92"/>
      <c r="CJ144" s="92"/>
      <c r="CK144" s="92"/>
      <c r="CL144" s="92"/>
      <c r="CM144" s="92"/>
      <c r="CN144" s="92"/>
      <c r="CO144" s="92"/>
      <c r="CP144" s="92"/>
      <c r="CQ144" s="92"/>
      <c r="CR144" s="92"/>
      <c r="CS144" s="92"/>
      <c r="CT144" s="92"/>
      <c r="CU144" s="92"/>
      <c r="CV144" s="92"/>
      <c r="CW144" s="92"/>
      <c r="CX144" s="92"/>
      <c r="CY144" s="92"/>
      <c r="CZ144" s="92"/>
      <c r="DA144" s="92"/>
      <c r="DB144" s="92"/>
      <c r="DC144" s="92"/>
      <c r="DD144" s="92"/>
      <c r="DE144" s="92"/>
      <c r="DF144" s="92"/>
      <c r="DG144" s="92"/>
      <c r="DH144" s="92"/>
      <c r="DI144" s="92"/>
      <c r="DJ144" s="92"/>
      <c r="DK144" s="92"/>
      <c r="DL144" s="92"/>
      <c r="DM144" s="92"/>
      <c r="DN144" s="92"/>
      <c r="DO144" s="92"/>
      <c r="DP144" s="92"/>
      <c r="DQ144" s="92"/>
      <c r="DR144" s="92"/>
      <c r="DS144" s="92"/>
      <c r="DT144" s="92"/>
      <c r="DU144" s="92"/>
      <c r="DV144" s="92"/>
      <c r="DW144" s="92"/>
      <c r="DX144" s="92"/>
      <c r="DY144" s="92"/>
      <c r="DZ144" s="92"/>
      <c r="EA144" s="92"/>
      <c r="EB144" s="92"/>
      <c r="EC144" s="92"/>
      <c r="ED144" s="92"/>
      <c r="EE144" s="92"/>
      <c r="EF144" s="92"/>
      <c r="EG144" s="92"/>
      <c r="EH144" s="92"/>
      <c r="EI144" s="92"/>
      <c r="EJ144" s="92"/>
      <c r="EK144" s="92"/>
      <c r="EL144" s="92"/>
      <c r="EM144" s="92"/>
      <c r="EN144" s="92"/>
      <c r="EO144" s="92"/>
      <c r="EP144" s="92"/>
      <c r="EQ144" s="92"/>
      <c r="ER144" s="92"/>
      <c r="ES144" s="92"/>
      <c r="ET144" s="92"/>
      <c r="EU144" s="92"/>
      <c r="EV144" s="92"/>
      <c r="EW144" s="92"/>
      <c r="EX144" s="92"/>
      <c r="EY144" s="92"/>
      <c r="EZ144" s="92"/>
      <c r="FA144" s="92"/>
      <c r="FB144" s="92"/>
      <c r="FC144" s="92"/>
      <c r="FD144" s="92"/>
      <c r="FE144" s="92"/>
      <c r="FF144" s="92"/>
      <c r="FG144" s="92"/>
      <c r="FH144" s="92"/>
    </row>
    <row r="145">
      <c r="A145" s="32" t="s">
        <v>7</v>
      </c>
      <c r="B145" s="32" t="s">
        <v>34</v>
      </c>
      <c r="C145" s="32" t="s">
        <v>14</v>
      </c>
      <c r="D145" s="97">
        <f t="shared" si="1"/>
        <v>4058.73585</v>
      </c>
      <c r="E145" s="92">
        <f>(SUBSTITUTE(Audio!E145, "RE-", "", 1))*1</f>
        <v>0</v>
      </c>
      <c r="F145" s="92">
        <f>(SUBSTITUTE(Audio!F145, "RE-", "", 1))*1</f>
        <v>643.986</v>
      </c>
      <c r="G145" s="92">
        <f>(SUBSTITUTE(Audio!G145, "RE-", "", 1))*1</f>
        <v>2.24623</v>
      </c>
      <c r="H145" s="92">
        <f>(SUBSTITUTE(Audio!H145, "RE-", "", 1))*1</f>
        <v>279.197</v>
      </c>
      <c r="I145" s="92">
        <f>(SUBSTITUTE(Audio!I145, "RE-", "", 1))*1</f>
        <v>0.48495</v>
      </c>
      <c r="J145" s="92">
        <f>(SUBSTITUTE(Audio!J145, "RE-", "", 1))*1</f>
        <v>1244.6</v>
      </c>
      <c r="K145" s="92">
        <f>(SUBSTITUTE(Audio!K145, "RE-", "", 1))*1</f>
        <v>4.64527</v>
      </c>
      <c r="L145" s="92">
        <f>(SUBSTITUTE(Audio!L145, "RE-", "", 1))*1</f>
        <v>501.237</v>
      </c>
      <c r="M145" s="92">
        <f>(SUBSTITUTE(Audio!M145, "RE-", "", 1))*1</f>
        <v>15.9112</v>
      </c>
      <c r="N145" s="92">
        <f>(SUBSTITUTE(Audio!N145, "RE-", "", 1))*1</f>
        <v>271.451</v>
      </c>
      <c r="O145" s="92">
        <f>(SUBSTITUTE(Audio!O145, "RE-", "", 1))*1</f>
        <v>5.75288</v>
      </c>
      <c r="P145" s="92">
        <f>(SUBSTITUTE(Audio!P145, "RE-", "", 1))*1</f>
        <v>691.533</v>
      </c>
      <c r="Q145" s="92">
        <f>(SUBSTITUTE(Audio!Q145, "RE-", "", 1))*1</f>
        <v>29.6309</v>
      </c>
      <c r="R145" s="92">
        <f>(SUBSTITUTE(Audio!R145, "RE-", "", 1))*1</f>
        <v>92.1077</v>
      </c>
      <c r="S145" s="92">
        <f>(SUBSTITUTE(Audio!S145, "RE-", "", 1))*1</f>
        <v>8.3978</v>
      </c>
      <c r="T145" s="92">
        <f>(SUBSTITUTE(Audio!T145, "RE-", "", 1))*1</f>
        <v>237.26</v>
      </c>
      <c r="U145" s="92">
        <f>(SUBSTITUTE(Audio!U145, "RE-", "", 1))*1</f>
        <v>24.7551</v>
      </c>
      <c r="V145" s="92">
        <f>(SUBSTITUTE(Audio!V145, "RE-", "", 1))*1</f>
        <v>5.53982</v>
      </c>
      <c r="W145" s="92">
        <f>(SUBSTITUTE(Audio!W145, "RE-", "", 1))*1</f>
        <v>0</v>
      </c>
      <c r="X145" s="92">
        <f>(SUBSTITUTE(Audio!X145, "RE-", "", 1))*1</f>
        <v>0</v>
      </c>
      <c r="Y145" s="92">
        <f>(SUBSTITUTE(Audio!Y145, "RE-", "", 1))*1</f>
        <v>0</v>
      </c>
      <c r="Z145" s="92">
        <f>(SUBSTITUTE(Audio!Z145, "RE-", "", 1))*1</f>
        <v>0</v>
      </c>
      <c r="AA145" s="92"/>
      <c r="AB145" s="92"/>
      <c r="AC145" s="92"/>
      <c r="AD145" s="92"/>
      <c r="AE145" s="92"/>
      <c r="AF145" s="92"/>
      <c r="AG145" s="92"/>
      <c r="AH145" s="92"/>
      <c r="AI145" s="92"/>
      <c r="AJ145" s="92"/>
      <c r="AK145" s="92"/>
      <c r="AL145" s="92"/>
      <c r="AM145" s="92"/>
      <c r="AN145" s="92"/>
      <c r="AO145" s="92"/>
      <c r="AP145" s="92"/>
      <c r="AQ145" s="92"/>
      <c r="AR145" s="92"/>
      <c r="AS145" s="92"/>
      <c r="AT145" s="92"/>
      <c r="AU145" s="92"/>
      <c r="AV145" s="92"/>
      <c r="AW145" s="92"/>
      <c r="AX145" s="92"/>
      <c r="AY145" s="92"/>
      <c r="AZ145" s="92"/>
      <c r="BA145" s="92"/>
      <c r="BB145" s="92"/>
      <c r="BC145" s="92"/>
      <c r="BD145" s="92"/>
      <c r="BE145" s="92"/>
      <c r="BF145" s="92"/>
      <c r="BG145" s="92"/>
      <c r="BH145" s="92"/>
      <c r="BI145" s="92"/>
      <c r="BJ145" s="92"/>
      <c r="BK145" s="92"/>
      <c r="BL145" s="92"/>
      <c r="BM145" s="92"/>
      <c r="BN145" s="92"/>
      <c r="BO145" s="92"/>
      <c r="BP145" s="92"/>
      <c r="BQ145" s="92"/>
      <c r="BR145" s="92"/>
      <c r="BS145" s="92"/>
      <c r="BT145" s="92"/>
      <c r="BU145" s="92"/>
      <c r="BV145" s="92"/>
      <c r="BW145" s="92"/>
      <c r="BX145" s="92"/>
      <c r="BY145" s="92"/>
      <c r="BZ145" s="92"/>
      <c r="CA145" s="92"/>
      <c r="CB145" s="92"/>
      <c r="CC145" s="92"/>
      <c r="CD145" s="92"/>
      <c r="CE145" s="92"/>
      <c r="CF145" s="92"/>
      <c r="CG145" s="92"/>
      <c r="CH145" s="92"/>
      <c r="CI145" s="92"/>
      <c r="CJ145" s="92"/>
      <c r="CK145" s="92"/>
      <c r="CL145" s="92"/>
      <c r="CM145" s="92"/>
      <c r="CN145" s="92"/>
      <c r="CO145" s="92"/>
      <c r="CP145" s="92"/>
      <c r="CQ145" s="92"/>
      <c r="CR145" s="92"/>
      <c r="CS145" s="92"/>
      <c r="CT145" s="92"/>
      <c r="CU145" s="92"/>
      <c r="CV145" s="92"/>
      <c r="CW145" s="92"/>
      <c r="CX145" s="92"/>
      <c r="CY145" s="92"/>
      <c r="CZ145" s="92"/>
      <c r="DA145" s="92"/>
      <c r="DB145" s="92"/>
      <c r="DC145" s="92"/>
      <c r="DD145" s="92"/>
      <c r="DE145" s="92"/>
      <c r="DF145" s="92"/>
      <c r="DG145" s="92"/>
      <c r="DH145" s="92"/>
      <c r="DI145" s="92"/>
      <c r="DJ145" s="92"/>
      <c r="DK145" s="92"/>
      <c r="DL145" s="92"/>
      <c r="DM145" s="92"/>
      <c r="DN145" s="92"/>
      <c r="DO145" s="92"/>
      <c r="DP145" s="92"/>
      <c r="DQ145" s="92"/>
      <c r="DR145" s="92"/>
      <c r="DS145" s="92"/>
      <c r="DT145" s="92"/>
      <c r="DU145" s="92"/>
      <c r="DV145" s="92"/>
      <c r="DW145" s="92"/>
      <c r="DX145" s="92"/>
      <c r="DY145" s="92"/>
      <c r="DZ145" s="92"/>
      <c r="EA145" s="92"/>
      <c r="EB145" s="92"/>
      <c r="EC145" s="92"/>
      <c r="ED145" s="92"/>
      <c r="EE145" s="92"/>
      <c r="EF145" s="92"/>
      <c r="EG145" s="92"/>
      <c r="EH145" s="92"/>
      <c r="EI145" s="92"/>
      <c r="EJ145" s="92"/>
      <c r="EK145" s="92"/>
      <c r="EL145" s="92"/>
      <c r="EM145" s="92"/>
      <c r="EN145" s="92"/>
      <c r="EO145" s="92"/>
      <c r="EP145" s="92"/>
      <c r="EQ145" s="92"/>
      <c r="ER145" s="92"/>
      <c r="ES145" s="92"/>
      <c r="ET145" s="92"/>
      <c r="EU145" s="92"/>
      <c r="EV145" s="92"/>
      <c r="EW145" s="92"/>
      <c r="EX145" s="92"/>
      <c r="EY145" s="92"/>
      <c r="EZ145" s="92"/>
      <c r="FA145" s="92"/>
      <c r="FB145" s="92"/>
      <c r="FC145" s="92"/>
      <c r="FD145" s="92"/>
      <c r="FE145" s="92"/>
      <c r="FF145" s="92"/>
      <c r="FG145" s="92"/>
      <c r="FH145" s="92"/>
    </row>
    <row r="146">
      <c r="A146" s="27" t="s">
        <v>7</v>
      </c>
      <c r="B146" s="27" t="s">
        <v>34</v>
      </c>
      <c r="C146" s="27" t="s">
        <v>15</v>
      </c>
      <c r="D146" s="98">
        <f t="shared" si="1"/>
        <v>4562.43582</v>
      </c>
      <c r="E146" s="92">
        <f>(SUBSTITUTE(Audio!E146, "RE-", "", 1))*1</f>
        <v>0</v>
      </c>
      <c r="F146" s="92">
        <f>(SUBSTITUTE(Audio!F146, "RE-", "", 1))*1</f>
        <v>707.786</v>
      </c>
      <c r="G146" s="92">
        <f>(SUBSTITUTE(Audio!G146, "RE-", "", 1))*1</f>
        <v>2.24623</v>
      </c>
      <c r="H146" s="92">
        <f>(SUBSTITUTE(Audio!H146, "RE-", "", 1))*1</f>
        <v>317.436</v>
      </c>
      <c r="I146" s="92">
        <f>(SUBSTITUTE(Audio!I146, "RE-", "", 1))*1</f>
        <v>0.6642</v>
      </c>
      <c r="J146" s="92">
        <f>(SUBSTITUTE(Audio!J146, "RE-", "", 1))*1</f>
        <v>1351.08</v>
      </c>
      <c r="K146" s="92">
        <f>(SUBSTITUTE(Audio!K146, "RE-", "", 1))*1</f>
        <v>4.96092</v>
      </c>
      <c r="L146" s="92">
        <f>(SUBSTITUTE(Audio!L146, "RE-", "", 1))*1</f>
        <v>583.391</v>
      </c>
      <c r="M146" s="92">
        <f>(SUBSTITUTE(Audio!M146, "RE-", "", 1))*1</f>
        <v>19.6279</v>
      </c>
      <c r="N146" s="92">
        <f>(SUBSTITUTE(Audio!N146, "RE-", "", 1))*1</f>
        <v>318.415</v>
      </c>
      <c r="O146" s="92">
        <f>(SUBSTITUTE(Audio!O146, "RE-", "", 1))*1</f>
        <v>6.9139</v>
      </c>
      <c r="P146" s="92">
        <f>(SUBSTITUTE(Audio!P146, "RE-", "", 1))*1</f>
        <v>791.007</v>
      </c>
      <c r="Q146" s="92">
        <f>(SUBSTITUTE(Audio!Q146, "RE-", "", 1))*1</f>
        <v>31.7693</v>
      </c>
      <c r="R146" s="92">
        <f>(SUBSTITUTE(Audio!R146, "RE-", "", 1))*1</f>
        <v>106.497</v>
      </c>
      <c r="S146" s="92">
        <f>(SUBSTITUTE(Audio!S146, "RE-", "", 1))*1</f>
        <v>9.50557</v>
      </c>
      <c r="T146" s="92">
        <f>(SUBSTITUTE(Audio!T146, "RE-", "", 1))*1</f>
        <v>276.685</v>
      </c>
      <c r="U146" s="92">
        <f>(SUBSTITUTE(Audio!U146, "RE-", "", 1))*1</f>
        <v>27.7554</v>
      </c>
      <c r="V146" s="92">
        <f>(SUBSTITUTE(Audio!V146, "RE-", "", 1))*1</f>
        <v>6.6954</v>
      </c>
      <c r="W146" s="92">
        <f>(SUBSTITUTE(Audio!W146, "RE-", "", 1))*1</f>
        <v>0</v>
      </c>
      <c r="X146" s="92">
        <f>(SUBSTITUTE(Audio!X146, "RE-", "", 1))*1</f>
        <v>0</v>
      </c>
      <c r="Y146" s="92">
        <f>(SUBSTITUTE(Audio!Y146, "RE-", "", 1))*1</f>
        <v>0</v>
      </c>
      <c r="Z146" s="92">
        <f>(SUBSTITUTE(Audio!Z146, "RE-", "", 1))*1</f>
        <v>0</v>
      </c>
      <c r="AA146" s="92"/>
      <c r="AB146" s="92"/>
      <c r="AC146" s="92"/>
      <c r="AD146" s="92"/>
      <c r="AE146" s="92"/>
      <c r="AF146" s="92"/>
      <c r="AG146" s="92"/>
      <c r="AH146" s="92"/>
      <c r="AI146" s="92"/>
      <c r="AJ146" s="92"/>
      <c r="AK146" s="92"/>
      <c r="AL146" s="92"/>
      <c r="AM146" s="92"/>
      <c r="AN146" s="92"/>
      <c r="AO146" s="92"/>
      <c r="AP146" s="92"/>
      <c r="AQ146" s="92"/>
      <c r="AR146" s="92"/>
      <c r="AS146" s="92"/>
      <c r="AT146" s="92"/>
      <c r="AU146" s="92"/>
      <c r="AV146" s="92"/>
      <c r="AW146" s="92"/>
      <c r="AX146" s="92"/>
      <c r="AY146" s="92"/>
      <c r="AZ146" s="92"/>
      <c r="BA146" s="92"/>
      <c r="BB146" s="92"/>
      <c r="BC146" s="92"/>
      <c r="BD146" s="92"/>
      <c r="BE146" s="92"/>
      <c r="BF146" s="92"/>
      <c r="BG146" s="92"/>
      <c r="BH146" s="92"/>
      <c r="BI146" s="92"/>
      <c r="BJ146" s="92"/>
      <c r="BK146" s="92"/>
      <c r="BL146" s="92"/>
      <c r="BM146" s="92"/>
      <c r="BN146" s="92"/>
      <c r="BO146" s="92"/>
      <c r="BP146" s="92"/>
      <c r="BQ146" s="92"/>
      <c r="BR146" s="92"/>
      <c r="BS146" s="92"/>
      <c r="BT146" s="92"/>
      <c r="BU146" s="92"/>
      <c r="BV146" s="92"/>
      <c r="BW146" s="92"/>
      <c r="BX146" s="92"/>
      <c r="BY146" s="92"/>
      <c r="BZ146" s="92"/>
      <c r="CA146" s="92"/>
      <c r="CB146" s="92"/>
      <c r="CC146" s="92"/>
      <c r="CD146" s="92"/>
      <c r="CE146" s="92"/>
      <c r="CF146" s="92"/>
      <c r="CG146" s="92"/>
      <c r="CH146" s="92"/>
      <c r="CI146" s="92"/>
      <c r="CJ146" s="92"/>
      <c r="CK146" s="92"/>
      <c r="CL146" s="92"/>
      <c r="CM146" s="92"/>
      <c r="CN146" s="92"/>
      <c r="CO146" s="92"/>
      <c r="CP146" s="92"/>
      <c r="CQ146" s="92"/>
      <c r="CR146" s="92"/>
      <c r="CS146" s="92"/>
      <c r="CT146" s="92"/>
      <c r="CU146" s="92"/>
      <c r="CV146" s="92"/>
      <c r="CW146" s="92"/>
      <c r="CX146" s="92"/>
      <c r="CY146" s="92"/>
      <c r="CZ146" s="92"/>
      <c r="DA146" s="92"/>
      <c r="DB146" s="92"/>
      <c r="DC146" s="92"/>
      <c r="DD146" s="92"/>
      <c r="DE146" s="92"/>
      <c r="DF146" s="92"/>
      <c r="DG146" s="92"/>
      <c r="DH146" s="92"/>
      <c r="DI146" s="92"/>
      <c r="DJ146" s="92"/>
      <c r="DK146" s="92"/>
      <c r="DL146" s="92"/>
      <c r="DM146" s="92"/>
      <c r="DN146" s="92"/>
      <c r="DO146" s="92"/>
      <c r="DP146" s="92"/>
      <c r="DQ146" s="92"/>
      <c r="DR146" s="92"/>
      <c r="DS146" s="92"/>
      <c r="DT146" s="92"/>
      <c r="DU146" s="92"/>
      <c r="DV146" s="92"/>
      <c r="DW146" s="92"/>
      <c r="DX146" s="92"/>
      <c r="DY146" s="92"/>
      <c r="DZ146" s="92"/>
      <c r="EA146" s="92"/>
      <c r="EB146" s="92"/>
      <c r="EC146" s="92"/>
      <c r="ED146" s="92"/>
      <c r="EE146" s="92"/>
      <c r="EF146" s="92"/>
      <c r="EG146" s="92"/>
      <c r="EH146" s="92"/>
      <c r="EI146" s="92"/>
      <c r="EJ146" s="92"/>
      <c r="EK146" s="92"/>
      <c r="EL146" s="92"/>
      <c r="EM146" s="92"/>
      <c r="EN146" s="92"/>
      <c r="EO146" s="92"/>
      <c r="EP146" s="92"/>
      <c r="EQ146" s="92"/>
      <c r="ER146" s="92"/>
      <c r="ES146" s="92"/>
      <c r="ET146" s="92"/>
      <c r="EU146" s="92"/>
      <c r="EV146" s="92"/>
      <c r="EW146" s="92"/>
      <c r="EX146" s="92"/>
      <c r="EY146" s="92"/>
      <c r="EZ146" s="92"/>
      <c r="FA146" s="92"/>
      <c r="FB146" s="92"/>
      <c r="FC146" s="92"/>
      <c r="FD146" s="92"/>
      <c r="FE146" s="92"/>
      <c r="FF146" s="92"/>
      <c r="FG146" s="92"/>
      <c r="FH146" s="92"/>
    </row>
    <row r="147">
      <c r="A147" s="30" t="s">
        <v>35</v>
      </c>
      <c r="B147" s="30" t="s">
        <v>36</v>
      </c>
      <c r="C147" s="31" t="str">
        <f>HYPERLINK("https://docs.google.com/spreadsheets/d/1ZCrkGVtwVbrqPxjzD6Q0G4UieqwBuRTy/edit?usp=share_link&amp;ouid=106501987799020758802&amp;rtpof=true&amp;sd=true", "Raw Delivered")</f>
        <v>Raw Delivered</v>
      </c>
      <c r="D147" s="96">
        <f t="shared" si="1"/>
        <v>6039.035317</v>
      </c>
      <c r="E147" s="92">
        <f>(SUBSTITUTE(Audio!E147, "RE-", "", 1))*1</f>
        <v>0</v>
      </c>
      <c r="F147" s="92">
        <f>(SUBSTITUTE(Audio!F147, "RE-", "", 1))*1</f>
        <v>1427.371312</v>
      </c>
      <c r="G147" s="92">
        <f>(SUBSTITUTE(Audio!G147, "RE-", "", 1))*1</f>
        <v>0</v>
      </c>
      <c r="H147" s="92">
        <f>(SUBSTITUTE(Audio!H147, "RE-", "", 1))*1</f>
        <v>351.7747875</v>
      </c>
      <c r="I147" s="92">
        <f>(SUBSTITUTE(Audio!I147, "RE-", "", 1))*1</f>
        <v>0</v>
      </c>
      <c r="J147" s="92">
        <f>(SUBSTITUTE(Audio!J147, "RE-", "", 1))*1</f>
        <v>1841.299159</v>
      </c>
      <c r="K147" s="92">
        <f>(SUBSTITUTE(Audio!K147, "RE-", "", 1))*1</f>
        <v>0</v>
      </c>
      <c r="L147" s="92">
        <f>(SUBSTITUTE(Audio!L147, "RE-", "", 1))*1</f>
        <v>1107.349097</v>
      </c>
      <c r="M147" s="92">
        <f>(SUBSTITUTE(Audio!M147, "RE-", "", 1))*1</f>
        <v>0</v>
      </c>
      <c r="N147" s="92">
        <f>(SUBSTITUTE(Audio!N147, "RE-", "", 1))*1</f>
        <v>278.783176</v>
      </c>
      <c r="O147" s="92">
        <f>(SUBSTITUTE(Audio!O147, "RE-", "", 1))*1</f>
        <v>0</v>
      </c>
      <c r="P147" s="92">
        <f>(SUBSTITUTE(Audio!P147, "RE-", "", 1))*1</f>
        <v>251.1549646</v>
      </c>
      <c r="Q147" s="92">
        <f>(SUBSTITUTE(Audio!Q147, "RE-", "", 1))*1</f>
        <v>0</v>
      </c>
      <c r="R147" s="92">
        <f>(SUBSTITUTE(Audio!R147, "RE-", "", 1))*1</f>
        <v>54.81836771</v>
      </c>
      <c r="S147" s="92">
        <f>(SUBSTITUTE(Audio!S147, "RE-", "", 1))*1</f>
        <v>0</v>
      </c>
      <c r="T147" s="92">
        <f>(SUBSTITUTE(Audio!T147, "RE-", "", 1))*1</f>
        <v>726.4844531</v>
      </c>
      <c r="U147" s="92">
        <f>(SUBSTITUTE(Audio!U147, "RE-", "", 1))*1</f>
        <v>0</v>
      </c>
      <c r="V147" s="92">
        <f>(SUBSTITUTE(Audio!V147, "RE-", "", 1))*1</f>
        <v>0</v>
      </c>
      <c r="W147" s="92">
        <f>(SUBSTITUTE(Audio!W147, "RE-", "", 1))*1</f>
        <v>0</v>
      </c>
      <c r="X147" s="92">
        <f>(SUBSTITUTE(Audio!X147, "RE-", "", 1))*1</f>
        <v>0</v>
      </c>
      <c r="Y147" s="92">
        <f>(SUBSTITUTE(Audio!Y147, "RE-", "", 1))*1</f>
        <v>0</v>
      </c>
      <c r="Z147" s="92">
        <f>(SUBSTITUTE(Audio!Z147, "RE-", "", 1))*1</f>
        <v>0</v>
      </c>
      <c r="AA147" s="92"/>
      <c r="AB147" s="92"/>
      <c r="AC147" s="92"/>
      <c r="AD147" s="92"/>
      <c r="AE147" s="92"/>
      <c r="AF147" s="92"/>
      <c r="AG147" s="92"/>
      <c r="AH147" s="92"/>
      <c r="AI147" s="92"/>
      <c r="AJ147" s="92"/>
      <c r="AK147" s="92"/>
      <c r="AL147" s="92"/>
      <c r="AM147" s="92"/>
      <c r="AN147" s="92"/>
      <c r="AO147" s="92"/>
      <c r="AP147" s="92"/>
      <c r="AQ147" s="92"/>
      <c r="AR147" s="92"/>
      <c r="AS147" s="92"/>
      <c r="AT147" s="92"/>
      <c r="AU147" s="92"/>
      <c r="AV147" s="92"/>
      <c r="AW147" s="92"/>
      <c r="AX147" s="92"/>
      <c r="AY147" s="92"/>
      <c r="AZ147" s="92"/>
      <c r="BA147" s="92"/>
      <c r="BB147" s="92"/>
      <c r="BC147" s="92"/>
      <c r="BD147" s="92"/>
      <c r="BE147" s="92"/>
      <c r="BF147" s="92"/>
      <c r="BG147" s="92"/>
      <c r="BH147" s="92"/>
      <c r="BI147" s="92"/>
      <c r="BJ147" s="92"/>
      <c r="BK147" s="92"/>
      <c r="BL147" s="92"/>
      <c r="BM147" s="92"/>
      <c r="BN147" s="92"/>
      <c r="BO147" s="92"/>
      <c r="BP147" s="92"/>
      <c r="BQ147" s="92"/>
      <c r="BR147" s="92"/>
      <c r="BS147" s="92"/>
      <c r="BT147" s="92"/>
      <c r="BU147" s="92"/>
      <c r="BV147" s="92"/>
      <c r="BW147" s="92"/>
      <c r="BX147" s="92"/>
      <c r="BY147" s="92"/>
      <c r="BZ147" s="92"/>
      <c r="CA147" s="92"/>
      <c r="CB147" s="92"/>
      <c r="CC147" s="92"/>
      <c r="CD147" s="92"/>
      <c r="CE147" s="92"/>
      <c r="CF147" s="92"/>
      <c r="CG147" s="92"/>
      <c r="CH147" s="92"/>
      <c r="CI147" s="92"/>
      <c r="CJ147" s="92"/>
      <c r="CK147" s="92"/>
      <c r="CL147" s="92"/>
      <c r="CM147" s="92"/>
      <c r="CN147" s="92"/>
      <c r="CO147" s="92"/>
      <c r="CP147" s="92"/>
      <c r="CQ147" s="92"/>
      <c r="CR147" s="92"/>
      <c r="CS147" s="92"/>
      <c r="CT147" s="92"/>
      <c r="CU147" s="92"/>
      <c r="CV147" s="92"/>
      <c r="CW147" s="92"/>
      <c r="CX147" s="92"/>
      <c r="CY147" s="92"/>
      <c r="CZ147" s="92"/>
      <c r="DA147" s="92"/>
      <c r="DB147" s="92"/>
      <c r="DC147" s="92"/>
      <c r="DD147" s="92"/>
      <c r="DE147" s="92"/>
      <c r="DF147" s="92"/>
      <c r="DG147" s="92"/>
      <c r="DH147" s="92"/>
      <c r="DI147" s="92"/>
      <c r="DJ147" s="92"/>
      <c r="DK147" s="92"/>
      <c r="DL147" s="92"/>
      <c r="DM147" s="92"/>
      <c r="DN147" s="92"/>
      <c r="DO147" s="92"/>
      <c r="DP147" s="92"/>
      <c r="DQ147" s="92"/>
      <c r="DR147" s="92"/>
      <c r="DS147" s="92"/>
      <c r="DT147" s="92"/>
      <c r="DU147" s="92"/>
      <c r="DV147" s="92"/>
      <c r="DW147" s="92"/>
      <c r="DX147" s="92"/>
      <c r="DY147" s="92"/>
      <c r="DZ147" s="92"/>
      <c r="EA147" s="92"/>
      <c r="EB147" s="92"/>
      <c r="EC147" s="92"/>
      <c r="ED147" s="92"/>
      <c r="EE147" s="92"/>
      <c r="EF147" s="92"/>
      <c r="EG147" s="92"/>
      <c r="EH147" s="92"/>
      <c r="EI147" s="92"/>
      <c r="EJ147" s="92"/>
      <c r="EK147" s="92"/>
      <c r="EL147" s="92"/>
      <c r="EM147" s="92"/>
      <c r="EN147" s="92"/>
      <c r="EO147" s="92"/>
      <c r="EP147" s="92"/>
      <c r="EQ147" s="92"/>
      <c r="ER147" s="92"/>
      <c r="ES147" s="92"/>
      <c r="ET147" s="92"/>
      <c r="EU147" s="92"/>
      <c r="EV147" s="92"/>
      <c r="EW147" s="92"/>
      <c r="EX147" s="92"/>
      <c r="EY147" s="92"/>
      <c r="EZ147" s="92"/>
      <c r="FA147" s="92"/>
      <c r="FB147" s="92"/>
      <c r="FC147" s="92"/>
      <c r="FD147" s="92"/>
      <c r="FE147" s="92"/>
      <c r="FF147" s="92"/>
      <c r="FG147" s="92"/>
      <c r="FH147" s="92"/>
    </row>
    <row r="148">
      <c r="A148" s="32" t="s">
        <v>35</v>
      </c>
      <c r="B148" s="32" t="s">
        <v>36</v>
      </c>
      <c r="C148" s="32" t="s">
        <v>9</v>
      </c>
      <c r="D148" s="97">
        <f t="shared" si="1"/>
        <v>6039.035318</v>
      </c>
      <c r="E148" s="92">
        <f>(SUBSTITUTE(Audio!E148, "RE-", "", 1))*1</f>
        <v>0</v>
      </c>
      <c r="F148" s="92">
        <f>(SUBSTITUTE(Audio!F148, "RE-", "", 1))*1</f>
        <v>1427.371312</v>
      </c>
      <c r="G148" s="92">
        <f>(SUBSTITUTE(Audio!G148, "RE-", "", 1))*1</f>
        <v>0</v>
      </c>
      <c r="H148" s="92">
        <f>(SUBSTITUTE(Audio!H148, "RE-", "", 1))*1</f>
        <v>351.7747875</v>
      </c>
      <c r="I148" s="92">
        <f>(SUBSTITUTE(Audio!I148, "RE-", "", 1))*1</f>
        <v>0</v>
      </c>
      <c r="J148" s="92">
        <f>(SUBSTITUTE(Audio!J148, "RE-", "", 1))*1</f>
        <v>1841.299159</v>
      </c>
      <c r="K148" s="92">
        <f>(SUBSTITUTE(Audio!K148, "RE-", "", 1))*1</f>
        <v>0</v>
      </c>
      <c r="L148" s="92">
        <f>(SUBSTITUTE(Audio!L148, "RE-", "", 1))*1</f>
        <v>1107.349097</v>
      </c>
      <c r="M148" s="92">
        <f>(SUBSTITUTE(Audio!M148, "RE-", "", 1))*1</f>
        <v>0</v>
      </c>
      <c r="N148" s="92">
        <f>(SUBSTITUTE(Audio!N148, "RE-", "", 1))*1</f>
        <v>278.783176</v>
      </c>
      <c r="O148" s="92">
        <f>(SUBSTITUTE(Audio!O148, "RE-", "", 1))*1</f>
        <v>0</v>
      </c>
      <c r="P148" s="92">
        <f>(SUBSTITUTE(Audio!P148, "RE-", "", 1))*1</f>
        <v>251.1549646</v>
      </c>
      <c r="Q148" s="92">
        <f>(SUBSTITUTE(Audio!Q148, "RE-", "", 1))*1</f>
        <v>0</v>
      </c>
      <c r="R148" s="92">
        <f>(SUBSTITUTE(Audio!R148, "RE-", "", 1))*1</f>
        <v>54.81836771</v>
      </c>
      <c r="S148" s="92">
        <f>(SUBSTITUTE(Audio!S148, "RE-", "", 1))*1</f>
        <v>0</v>
      </c>
      <c r="T148" s="92">
        <f>(SUBSTITUTE(Audio!T148, "RE-", "", 1))*1</f>
        <v>726.4844531</v>
      </c>
      <c r="U148" s="92">
        <f>(SUBSTITUTE(Audio!U148, "RE-", "", 1))*1</f>
        <v>0</v>
      </c>
      <c r="V148" s="92">
        <f>(SUBSTITUTE(Audio!V148, "RE-", "", 1))*1</f>
        <v>0</v>
      </c>
      <c r="W148" s="92">
        <f>(SUBSTITUTE(Audio!W148, "RE-", "", 1))*1</f>
        <v>0</v>
      </c>
      <c r="X148" s="92">
        <f>(SUBSTITUTE(Audio!X148, "RE-", "", 1))*1</f>
        <v>0</v>
      </c>
      <c r="Y148" s="92">
        <f>(SUBSTITUTE(Audio!Y148, "RE-", "", 1))*1</f>
        <v>0</v>
      </c>
      <c r="Z148" s="92">
        <f>(SUBSTITUTE(Audio!Z148, "RE-", "", 1))*1</f>
        <v>0</v>
      </c>
      <c r="AA148" s="92"/>
      <c r="AB148" s="92"/>
      <c r="AC148" s="92"/>
      <c r="AD148" s="92"/>
      <c r="AE148" s="92"/>
      <c r="AF148" s="92"/>
      <c r="AG148" s="92"/>
      <c r="AH148" s="92"/>
      <c r="AI148" s="92"/>
      <c r="AJ148" s="92"/>
      <c r="AK148" s="92"/>
      <c r="AL148" s="92"/>
      <c r="AM148" s="92"/>
      <c r="AN148" s="92"/>
      <c r="AO148" s="92"/>
      <c r="AP148" s="92"/>
      <c r="AQ148" s="92"/>
      <c r="AR148" s="92"/>
      <c r="AS148" s="92"/>
      <c r="AT148" s="92"/>
      <c r="AU148" s="92"/>
      <c r="AV148" s="92"/>
      <c r="AW148" s="92"/>
      <c r="AX148" s="92"/>
      <c r="AY148" s="92"/>
      <c r="AZ148" s="92"/>
      <c r="BA148" s="92"/>
      <c r="BB148" s="92"/>
      <c r="BC148" s="92"/>
      <c r="BD148" s="92"/>
      <c r="BE148" s="92"/>
      <c r="BF148" s="92"/>
      <c r="BG148" s="92"/>
      <c r="BH148" s="92"/>
      <c r="BI148" s="92"/>
      <c r="BJ148" s="92"/>
      <c r="BK148" s="92"/>
      <c r="BL148" s="92"/>
      <c r="BM148" s="92"/>
      <c r="BN148" s="92"/>
      <c r="BO148" s="92"/>
      <c r="BP148" s="92"/>
      <c r="BQ148" s="92"/>
      <c r="BR148" s="92"/>
      <c r="BS148" s="92"/>
      <c r="BT148" s="92"/>
      <c r="BU148" s="92"/>
      <c r="BV148" s="92"/>
      <c r="BW148" s="92"/>
      <c r="BX148" s="92"/>
      <c r="BY148" s="92"/>
      <c r="BZ148" s="92"/>
      <c r="CA148" s="92"/>
      <c r="CB148" s="92"/>
      <c r="CC148" s="92"/>
      <c r="CD148" s="92"/>
      <c r="CE148" s="92"/>
      <c r="CF148" s="92"/>
      <c r="CG148" s="92"/>
      <c r="CH148" s="92"/>
      <c r="CI148" s="92"/>
      <c r="CJ148" s="92"/>
      <c r="CK148" s="92"/>
      <c r="CL148" s="92"/>
      <c r="CM148" s="92"/>
      <c r="CN148" s="92"/>
      <c r="CO148" s="92"/>
      <c r="CP148" s="92"/>
      <c r="CQ148" s="92"/>
      <c r="CR148" s="92"/>
      <c r="CS148" s="92"/>
      <c r="CT148" s="92"/>
      <c r="CU148" s="92"/>
      <c r="CV148" s="92"/>
      <c r="CW148" s="92"/>
      <c r="CX148" s="92"/>
      <c r="CY148" s="92"/>
      <c r="CZ148" s="92"/>
      <c r="DA148" s="92"/>
      <c r="DB148" s="92"/>
      <c r="DC148" s="92"/>
      <c r="DD148" s="92"/>
      <c r="DE148" s="92"/>
      <c r="DF148" s="92"/>
      <c r="DG148" s="92"/>
      <c r="DH148" s="92"/>
      <c r="DI148" s="92"/>
      <c r="DJ148" s="92"/>
      <c r="DK148" s="92"/>
      <c r="DL148" s="92"/>
      <c r="DM148" s="92"/>
      <c r="DN148" s="92"/>
      <c r="DO148" s="92"/>
      <c r="DP148" s="92"/>
      <c r="DQ148" s="92"/>
      <c r="DR148" s="92"/>
      <c r="DS148" s="92"/>
      <c r="DT148" s="92"/>
      <c r="DU148" s="92"/>
      <c r="DV148" s="92"/>
      <c r="DW148" s="92"/>
      <c r="DX148" s="92"/>
      <c r="DY148" s="92"/>
      <c r="DZ148" s="92"/>
      <c r="EA148" s="92"/>
      <c r="EB148" s="92"/>
      <c r="EC148" s="92"/>
      <c r="ED148" s="92"/>
      <c r="EE148" s="92"/>
      <c r="EF148" s="92"/>
      <c r="EG148" s="92"/>
      <c r="EH148" s="92"/>
      <c r="EI148" s="92"/>
      <c r="EJ148" s="92"/>
      <c r="EK148" s="92"/>
      <c r="EL148" s="92"/>
      <c r="EM148" s="92"/>
      <c r="EN148" s="92"/>
      <c r="EO148" s="92"/>
      <c r="EP148" s="92"/>
      <c r="EQ148" s="92"/>
      <c r="ER148" s="92"/>
      <c r="ES148" s="92"/>
      <c r="ET148" s="92"/>
      <c r="EU148" s="92"/>
      <c r="EV148" s="92"/>
      <c r="EW148" s="92"/>
      <c r="EX148" s="92"/>
      <c r="EY148" s="92"/>
      <c r="EZ148" s="92"/>
      <c r="FA148" s="92"/>
      <c r="FB148" s="92"/>
      <c r="FC148" s="92"/>
      <c r="FD148" s="92"/>
      <c r="FE148" s="92"/>
      <c r="FF148" s="92"/>
      <c r="FG148" s="92"/>
      <c r="FH148" s="92"/>
    </row>
    <row r="149">
      <c r="A149" s="32" t="s">
        <v>35</v>
      </c>
      <c r="B149" s="32" t="s">
        <v>36</v>
      </c>
      <c r="C149" s="32" t="s">
        <v>10</v>
      </c>
      <c r="D149" s="97">
        <f t="shared" si="1"/>
        <v>510.6146052</v>
      </c>
      <c r="E149" s="92">
        <f>(SUBSTITUTE(Audio!E149, "RE-", "", 1))*1</f>
        <v>0</v>
      </c>
      <c r="F149" s="92">
        <f>(SUBSTITUTE(Audio!F149, "RE-", "", 1))*1</f>
        <v>0</v>
      </c>
      <c r="G149" s="92">
        <f>(SUBSTITUTE(Audio!G149, "RE-", "", 1))*1</f>
        <v>142.7802531</v>
      </c>
      <c r="H149" s="92">
        <f>(SUBSTITUTE(Audio!H149, "RE-", "", 1))*1</f>
        <v>0</v>
      </c>
      <c r="I149" s="92">
        <f>(SUBSTITUTE(Audio!I149, "RE-", "", 1))*1</f>
        <v>42.94082917</v>
      </c>
      <c r="J149" s="92">
        <f>(SUBSTITUTE(Audio!J149, "RE-", "", 1))*1</f>
        <v>0</v>
      </c>
      <c r="K149" s="92">
        <f>(SUBSTITUTE(Audio!K149, "RE-", "", 1))*1</f>
        <v>143.515824</v>
      </c>
      <c r="L149" s="92">
        <f>(SUBSTITUTE(Audio!L149, "RE-", "", 1))*1</f>
        <v>0</v>
      </c>
      <c r="M149" s="92">
        <f>(SUBSTITUTE(Audio!M149, "RE-", "", 1))*1</f>
        <v>88.360525</v>
      </c>
      <c r="N149" s="92">
        <f>(SUBSTITUTE(Audio!N149, "RE-", "", 1))*1</f>
        <v>0</v>
      </c>
      <c r="O149" s="92">
        <f>(SUBSTITUTE(Audio!O149, "RE-", "", 1))*1</f>
        <v>25.19365625</v>
      </c>
      <c r="P149" s="92">
        <f>(SUBSTITUTE(Audio!P149, "RE-", "", 1))*1</f>
        <v>0</v>
      </c>
      <c r="Q149" s="92">
        <f>(SUBSTITUTE(Audio!Q149, "RE-", "", 1))*1</f>
        <v>33.1460375</v>
      </c>
      <c r="R149" s="92">
        <f>(SUBSTITUTE(Audio!R149, "RE-", "", 1))*1</f>
        <v>0</v>
      </c>
      <c r="S149" s="92">
        <f>(SUBSTITUTE(Audio!S149, "RE-", "", 1))*1</f>
        <v>5.90269375</v>
      </c>
      <c r="T149" s="92">
        <f>(SUBSTITUTE(Audio!T149, "RE-", "", 1))*1</f>
        <v>0</v>
      </c>
      <c r="U149" s="92">
        <f>(SUBSTITUTE(Audio!U149, "RE-", "", 1))*1</f>
        <v>24.01199479</v>
      </c>
      <c r="V149" s="92">
        <f>(SUBSTITUTE(Audio!V149, "RE-", "", 1))*1</f>
        <v>4.762791667</v>
      </c>
      <c r="W149" s="92">
        <f>(SUBSTITUTE(Audio!W149, "RE-", "", 1))*1</f>
        <v>0</v>
      </c>
      <c r="X149" s="92">
        <f>(SUBSTITUTE(Audio!X149, "RE-", "", 1))*1</f>
        <v>0</v>
      </c>
      <c r="Y149" s="92">
        <f>(SUBSTITUTE(Audio!Y149, "RE-", "", 1))*1</f>
        <v>0</v>
      </c>
      <c r="Z149" s="92">
        <f>(SUBSTITUTE(Audio!Z149, "RE-", "", 1))*1</f>
        <v>0</v>
      </c>
      <c r="AA149" s="92"/>
      <c r="AB149" s="92"/>
      <c r="AC149" s="92"/>
      <c r="AD149" s="92"/>
      <c r="AE149" s="92"/>
      <c r="AF149" s="92"/>
      <c r="AG149" s="92"/>
      <c r="AH149" s="92"/>
      <c r="AI149" s="92"/>
      <c r="AJ149" s="92"/>
      <c r="AK149" s="92"/>
      <c r="AL149" s="92"/>
      <c r="AM149" s="92"/>
      <c r="AN149" s="92"/>
      <c r="AO149" s="92"/>
      <c r="AP149" s="92"/>
      <c r="AQ149" s="92"/>
      <c r="AR149" s="92"/>
      <c r="AS149" s="92"/>
      <c r="AT149" s="92"/>
      <c r="AU149" s="92"/>
      <c r="AV149" s="92"/>
      <c r="AW149" s="92"/>
      <c r="AX149" s="92"/>
      <c r="AY149" s="92"/>
      <c r="AZ149" s="92"/>
      <c r="BA149" s="92"/>
      <c r="BB149" s="92"/>
      <c r="BC149" s="92"/>
      <c r="BD149" s="92"/>
      <c r="BE149" s="92"/>
      <c r="BF149" s="92"/>
      <c r="BG149" s="92"/>
      <c r="BH149" s="92"/>
      <c r="BI149" s="92"/>
      <c r="BJ149" s="92"/>
      <c r="BK149" s="92"/>
      <c r="BL149" s="92"/>
      <c r="BM149" s="92"/>
      <c r="BN149" s="92"/>
      <c r="BO149" s="92"/>
      <c r="BP149" s="92"/>
      <c r="BQ149" s="92"/>
      <c r="BR149" s="92"/>
      <c r="BS149" s="92"/>
      <c r="BT149" s="92"/>
      <c r="BU149" s="92"/>
      <c r="BV149" s="92"/>
      <c r="BW149" s="92"/>
      <c r="BX149" s="92"/>
      <c r="BY149" s="92"/>
      <c r="BZ149" s="92"/>
      <c r="CA149" s="92"/>
      <c r="CB149" s="92"/>
      <c r="CC149" s="92"/>
      <c r="CD149" s="92"/>
      <c r="CE149" s="92"/>
      <c r="CF149" s="92"/>
      <c r="CG149" s="92"/>
      <c r="CH149" s="92"/>
      <c r="CI149" s="92"/>
      <c r="CJ149" s="92"/>
      <c r="CK149" s="92"/>
      <c r="CL149" s="92"/>
      <c r="CM149" s="92"/>
      <c r="CN149" s="92"/>
      <c r="CO149" s="92"/>
      <c r="CP149" s="92"/>
      <c r="CQ149" s="92"/>
      <c r="CR149" s="92"/>
      <c r="CS149" s="92"/>
      <c r="CT149" s="92"/>
      <c r="CU149" s="92"/>
      <c r="CV149" s="92"/>
      <c r="CW149" s="92"/>
      <c r="CX149" s="92"/>
      <c r="CY149" s="92"/>
      <c r="CZ149" s="92"/>
      <c r="DA149" s="92"/>
      <c r="DB149" s="92"/>
      <c r="DC149" s="92"/>
      <c r="DD149" s="92"/>
      <c r="DE149" s="92"/>
      <c r="DF149" s="92"/>
      <c r="DG149" s="92"/>
      <c r="DH149" s="92"/>
      <c r="DI149" s="92"/>
      <c r="DJ149" s="92"/>
      <c r="DK149" s="92"/>
      <c r="DL149" s="92"/>
      <c r="DM149" s="92"/>
      <c r="DN149" s="92"/>
      <c r="DO149" s="92"/>
      <c r="DP149" s="92"/>
      <c r="DQ149" s="92"/>
      <c r="DR149" s="92"/>
      <c r="DS149" s="92"/>
      <c r="DT149" s="92"/>
      <c r="DU149" s="92"/>
      <c r="DV149" s="92"/>
      <c r="DW149" s="92"/>
      <c r="DX149" s="92"/>
      <c r="DY149" s="92"/>
      <c r="DZ149" s="92"/>
      <c r="EA149" s="92"/>
      <c r="EB149" s="92"/>
      <c r="EC149" s="92"/>
      <c r="ED149" s="92"/>
      <c r="EE149" s="92"/>
      <c r="EF149" s="92"/>
      <c r="EG149" s="92"/>
      <c r="EH149" s="92"/>
      <c r="EI149" s="92"/>
      <c r="EJ149" s="92"/>
      <c r="EK149" s="92"/>
      <c r="EL149" s="92"/>
      <c r="EM149" s="92"/>
      <c r="EN149" s="92"/>
      <c r="EO149" s="92"/>
      <c r="EP149" s="92"/>
      <c r="EQ149" s="92"/>
      <c r="ER149" s="92"/>
      <c r="ES149" s="92"/>
      <c r="ET149" s="92"/>
      <c r="EU149" s="92"/>
      <c r="EV149" s="92"/>
      <c r="EW149" s="92"/>
      <c r="EX149" s="92"/>
      <c r="EY149" s="92"/>
      <c r="EZ149" s="92"/>
      <c r="FA149" s="92"/>
      <c r="FB149" s="92"/>
      <c r="FC149" s="92"/>
      <c r="FD149" s="92"/>
      <c r="FE149" s="92"/>
      <c r="FF149" s="92"/>
      <c r="FG149" s="92"/>
      <c r="FH149" s="92"/>
    </row>
    <row r="150">
      <c r="A150" s="32" t="s">
        <v>35</v>
      </c>
      <c r="B150" s="32" t="s">
        <v>36</v>
      </c>
      <c r="C150" s="32" t="s">
        <v>11</v>
      </c>
      <c r="D150" s="97">
        <f t="shared" si="1"/>
        <v>510.6146052</v>
      </c>
      <c r="E150" s="92">
        <f>(SUBSTITUTE(Audio!E150, "RE-", "", 1))*1</f>
        <v>0</v>
      </c>
      <c r="F150" s="92">
        <f>(SUBSTITUTE(Audio!F150, "RE-", "", 1))*1</f>
        <v>0</v>
      </c>
      <c r="G150" s="92">
        <f>(SUBSTITUTE(Audio!G150, "RE-", "", 1))*1</f>
        <v>142.7802531</v>
      </c>
      <c r="H150" s="92">
        <f>(SUBSTITUTE(Audio!H150, "RE-", "", 1))*1</f>
        <v>0</v>
      </c>
      <c r="I150" s="92">
        <f>(SUBSTITUTE(Audio!I150, "RE-", "", 1))*1</f>
        <v>42.94082917</v>
      </c>
      <c r="J150" s="92">
        <f>(SUBSTITUTE(Audio!J150, "RE-", "", 1))*1</f>
        <v>0</v>
      </c>
      <c r="K150" s="92">
        <f>(SUBSTITUTE(Audio!K150, "RE-", "", 1))*1</f>
        <v>143.515824</v>
      </c>
      <c r="L150" s="92">
        <f>(SUBSTITUTE(Audio!L150, "RE-", "", 1))*1</f>
        <v>0</v>
      </c>
      <c r="M150" s="92">
        <f>(SUBSTITUTE(Audio!M150, "RE-", "", 1))*1</f>
        <v>88.360525</v>
      </c>
      <c r="N150" s="92">
        <f>(SUBSTITUTE(Audio!N150, "RE-", "", 1))*1</f>
        <v>0</v>
      </c>
      <c r="O150" s="92">
        <f>(SUBSTITUTE(Audio!O150, "RE-", "", 1))*1</f>
        <v>25.19365625</v>
      </c>
      <c r="P150" s="92">
        <f>(SUBSTITUTE(Audio!P150, "RE-", "", 1))*1</f>
        <v>0</v>
      </c>
      <c r="Q150" s="92">
        <f>(SUBSTITUTE(Audio!Q150, "RE-", "", 1))*1</f>
        <v>33.1460375</v>
      </c>
      <c r="R150" s="92">
        <f>(SUBSTITUTE(Audio!R150, "RE-", "", 1))*1</f>
        <v>0</v>
      </c>
      <c r="S150" s="92">
        <f>(SUBSTITUTE(Audio!S150, "RE-", "", 1))*1</f>
        <v>5.90269375</v>
      </c>
      <c r="T150" s="92">
        <f>(SUBSTITUTE(Audio!T150, "RE-", "", 1))*1</f>
        <v>0</v>
      </c>
      <c r="U150" s="92">
        <f>(SUBSTITUTE(Audio!U150, "RE-", "", 1))*1</f>
        <v>24.01199479</v>
      </c>
      <c r="V150" s="92">
        <f>(SUBSTITUTE(Audio!V150, "RE-", "", 1))*1</f>
        <v>4.762791667</v>
      </c>
      <c r="W150" s="92">
        <f>(SUBSTITUTE(Audio!W150, "RE-", "", 1))*1</f>
        <v>0</v>
      </c>
      <c r="X150" s="92">
        <f>(SUBSTITUTE(Audio!X150, "RE-", "", 1))*1</f>
        <v>0</v>
      </c>
      <c r="Y150" s="92">
        <f>(SUBSTITUTE(Audio!Y150, "RE-", "", 1))*1</f>
        <v>0</v>
      </c>
      <c r="Z150" s="92">
        <f>(SUBSTITUTE(Audio!Z150, "RE-", "", 1))*1</f>
        <v>0</v>
      </c>
      <c r="AA150" s="92"/>
      <c r="AB150" s="92"/>
      <c r="AC150" s="92"/>
      <c r="AD150" s="92"/>
      <c r="AE150" s="92"/>
      <c r="AF150" s="92"/>
      <c r="AG150" s="92"/>
      <c r="AH150" s="92"/>
      <c r="AI150" s="92"/>
      <c r="AJ150" s="92"/>
      <c r="AK150" s="92"/>
      <c r="AL150" s="92"/>
      <c r="AM150" s="92"/>
      <c r="AN150" s="92"/>
      <c r="AO150" s="92"/>
      <c r="AP150" s="92"/>
      <c r="AQ150" s="92"/>
      <c r="AR150" s="92"/>
      <c r="AS150" s="92"/>
      <c r="AT150" s="92"/>
      <c r="AU150" s="92"/>
      <c r="AV150" s="92"/>
      <c r="AW150" s="92"/>
      <c r="AX150" s="92"/>
      <c r="AY150" s="92"/>
      <c r="AZ150" s="92"/>
      <c r="BA150" s="92"/>
      <c r="BB150" s="92"/>
      <c r="BC150" s="92"/>
      <c r="BD150" s="92"/>
      <c r="BE150" s="92"/>
      <c r="BF150" s="92"/>
      <c r="BG150" s="92"/>
      <c r="BH150" s="92"/>
      <c r="BI150" s="92"/>
      <c r="BJ150" s="92"/>
      <c r="BK150" s="92"/>
      <c r="BL150" s="92"/>
      <c r="BM150" s="92"/>
      <c r="BN150" s="92"/>
      <c r="BO150" s="92"/>
      <c r="BP150" s="92"/>
      <c r="BQ150" s="92"/>
      <c r="BR150" s="92"/>
      <c r="BS150" s="92"/>
      <c r="BT150" s="92"/>
      <c r="BU150" s="92"/>
      <c r="BV150" s="92"/>
      <c r="BW150" s="92"/>
      <c r="BX150" s="92"/>
      <c r="BY150" s="92"/>
      <c r="BZ150" s="92"/>
      <c r="CA150" s="92"/>
      <c r="CB150" s="92"/>
      <c r="CC150" s="92"/>
      <c r="CD150" s="92"/>
      <c r="CE150" s="92"/>
      <c r="CF150" s="92"/>
      <c r="CG150" s="92"/>
      <c r="CH150" s="92"/>
      <c r="CI150" s="92"/>
      <c r="CJ150" s="92"/>
      <c r="CK150" s="92"/>
      <c r="CL150" s="92"/>
      <c r="CM150" s="92"/>
      <c r="CN150" s="92"/>
      <c r="CO150" s="92"/>
      <c r="CP150" s="92"/>
      <c r="CQ150" s="92"/>
      <c r="CR150" s="92"/>
      <c r="CS150" s="92"/>
      <c r="CT150" s="92"/>
      <c r="CU150" s="92"/>
      <c r="CV150" s="92"/>
      <c r="CW150" s="92"/>
      <c r="CX150" s="92"/>
      <c r="CY150" s="92"/>
      <c r="CZ150" s="92"/>
      <c r="DA150" s="92"/>
      <c r="DB150" s="92"/>
      <c r="DC150" s="92"/>
      <c r="DD150" s="92"/>
      <c r="DE150" s="92"/>
      <c r="DF150" s="92"/>
      <c r="DG150" s="92"/>
      <c r="DH150" s="92"/>
      <c r="DI150" s="92"/>
      <c r="DJ150" s="92"/>
      <c r="DK150" s="92"/>
      <c r="DL150" s="92"/>
      <c r="DM150" s="92"/>
      <c r="DN150" s="92"/>
      <c r="DO150" s="92"/>
      <c r="DP150" s="92"/>
      <c r="DQ150" s="92"/>
      <c r="DR150" s="92"/>
      <c r="DS150" s="92"/>
      <c r="DT150" s="92"/>
      <c r="DU150" s="92"/>
      <c r="DV150" s="92"/>
      <c r="DW150" s="92"/>
      <c r="DX150" s="92"/>
      <c r="DY150" s="92"/>
      <c r="DZ150" s="92"/>
      <c r="EA150" s="92"/>
      <c r="EB150" s="92"/>
      <c r="EC150" s="92"/>
      <c r="ED150" s="92"/>
      <c r="EE150" s="92"/>
      <c r="EF150" s="92"/>
      <c r="EG150" s="92"/>
      <c r="EH150" s="92"/>
      <c r="EI150" s="92"/>
      <c r="EJ150" s="92"/>
      <c r="EK150" s="92"/>
      <c r="EL150" s="92"/>
      <c r="EM150" s="92"/>
      <c r="EN150" s="92"/>
      <c r="EO150" s="92"/>
      <c r="EP150" s="92"/>
      <c r="EQ150" s="92"/>
      <c r="ER150" s="92"/>
      <c r="ES150" s="92"/>
      <c r="ET150" s="92"/>
      <c r="EU150" s="92"/>
      <c r="EV150" s="92"/>
      <c r="EW150" s="92"/>
      <c r="EX150" s="92"/>
      <c r="EY150" s="92"/>
      <c r="EZ150" s="92"/>
      <c r="FA150" s="92"/>
      <c r="FB150" s="92"/>
      <c r="FC150" s="92"/>
      <c r="FD150" s="92"/>
      <c r="FE150" s="92"/>
      <c r="FF150" s="92"/>
      <c r="FG150" s="92"/>
      <c r="FH150" s="92"/>
    </row>
    <row r="151">
      <c r="A151" s="32" t="s">
        <v>35</v>
      </c>
      <c r="B151" s="32" t="s">
        <v>36</v>
      </c>
      <c r="C151" s="32" t="s">
        <v>12</v>
      </c>
      <c r="D151" s="97">
        <f t="shared" si="1"/>
        <v>5082.005935</v>
      </c>
      <c r="E151" s="92">
        <f>(SUBSTITUTE(Audio!E151, "RE-", "", 1))*1</f>
        <v>0</v>
      </c>
      <c r="F151" s="92">
        <f>(SUBSTITUTE(Audio!F151, "RE-", "", 1))*1</f>
        <v>1109.006482</v>
      </c>
      <c r="G151" s="92">
        <f>(SUBSTITUTE(Audio!G151, "RE-", "", 1))*1</f>
        <v>5.226366667</v>
      </c>
      <c r="H151" s="92">
        <f>(SUBSTITUTE(Audio!H151, "RE-", "", 1))*1</f>
        <v>315.0877865</v>
      </c>
      <c r="I151" s="92">
        <f>(SUBSTITUTE(Audio!I151, "RE-", "", 1))*1</f>
        <v>1.150475</v>
      </c>
      <c r="J151" s="92">
        <f>(SUBSTITUTE(Audio!J151, "RE-", "", 1))*1</f>
        <v>1474.500562</v>
      </c>
      <c r="K151" s="92">
        <f>(SUBSTITUTE(Audio!K151, "RE-", "", 1))*1</f>
        <v>8.320614583</v>
      </c>
      <c r="L151" s="92">
        <f>(SUBSTITUTE(Audio!L151, "RE-", "", 1))*1</f>
        <v>1003.165747</v>
      </c>
      <c r="M151" s="92">
        <f>(SUBSTITUTE(Audio!M151, "RE-", "", 1))*1</f>
        <v>19.54499271</v>
      </c>
      <c r="N151" s="92">
        <f>(SUBSTITUTE(Audio!N151, "RE-", "", 1))*1</f>
        <v>170.0119396</v>
      </c>
      <c r="O151" s="92">
        <f>(SUBSTITUTE(Audio!O151, "RE-", "", 1))*1</f>
        <v>4.6296125</v>
      </c>
      <c r="P151" s="92">
        <f>(SUBSTITUTE(Audio!P151, "RE-", "", 1))*1</f>
        <v>202.4478427</v>
      </c>
      <c r="Q151" s="92">
        <f>(SUBSTITUTE(Audio!Q151, "RE-", "", 1))*1</f>
        <v>12.28009688</v>
      </c>
      <c r="R151" s="92">
        <f>(SUBSTITUTE(Audio!R151, "RE-", "", 1))*1</f>
        <v>51.42430521</v>
      </c>
      <c r="S151" s="92">
        <f>(SUBSTITUTE(Audio!S151, "RE-", "", 1))*1</f>
        <v>3.26964375</v>
      </c>
      <c r="T151" s="92">
        <f>(SUBSTITUTE(Audio!T151, "RE-", "", 1))*1</f>
        <v>689.873399</v>
      </c>
      <c r="U151" s="92">
        <f>(SUBSTITUTE(Audio!U151, "RE-", "", 1))*1</f>
        <v>11.74709063</v>
      </c>
      <c r="V151" s="92">
        <f>(SUBSTITUTE(Audio!V151, "RE-", "", 1))*1</f>
        <v>0.3189770833</v>
      </c>
      <c r="W151" s="92">
        <f>(SUBSTITUTE(Audio!W151, "RE-", "", 1))*1</f>
        <v>0</v>
      </c>
      <c r="X151" s="92">
        <f>(SUBSTITUTE(Audio!X151, "RE-", "", 1))*1</f>
        <v>0</v>
      </c>
      <c r="Y151" s="92">
        <f>(SUBSTITUTE(Audio!Y151, "RE-", "", 1))*1</f>
        <v>0</v>
      </c>
      <c r="Z151" s="92">
        <f>(SUBSTITUTE(Audio!Z151, "RE-", "", 1))*1</f>
        <v>0</v>
      </c>
      <c r="AA151" s="92"/>
      <c r="AB151" s="92"/>
      <c r="AC151" s="92"/>
      <c r="AD151" s="92"/>
      <c r="AE151" s="92"/>
      <c r="AF151" s="92"/>
      <c r="AG151" s="92"/>
      <c r="AH151" s="92"/>
      <c r="AI151" s="92"/>
      <c r="AJ151" s="92"/>
      <c r="AK151" s="92"/>
      <c r="AL151" s="92"/>
      <c r="AM151" s="92"/>
      <c r="AN151" s="92"/>
      <c r="AO151" s="92"/>
      <c r="AP151" s="92"/>
      <c r="AQ151" s="92"/>
      <c r="AR151" s="92"/>
      <c r="AS151" s="92"/>
      <c r="AT151" s="92"/>
      <c r="AU151" s="92"/>
      <c r="AV151" s="92"/>
      <c r="AW151" s="92"/>
      <c r="AX151" s="92"/>
      <c r="AY151" s="92"/>
      <c r="AZ151" s="92"/>
      <c r="BA151" s="92"/>
      <c r="BB151" s="92"/>
      <c r="BC151" s="92"/>
      <c r="BD151" s="92"/>
      <c r="BE151" s="92"/>
      <c r="BF151" s="92"/>
      <c r="BG151" s="92"/>
      <c r="BH151" s="92"/>
      <c r="BI151" s="92"/>
      <c r="BJ151" s="92"/>
      <c r="BK151" s="92"/>
      <c r="BL151" s="92"/>
      <c r="BM151" s="92"/>
      <c r="BN151" s="92"/>
      <c r="BO151" s="92"/>
      <c r="BP151" s="92"/>
      <c r="BQ151" s="92"/>
      <c r="BR151" s="92"/>
      <c r="BS151" s="92"/>
      <c r="BT151" s="92"/>
      <c r="BU151" s="92"/>
      <c r="BV151" s="92"/>
      <c r="BW151" s="92"/>
      <c r="BX151" s="92"/>
      <c r="BY151" s="92"/>
      <c r="BZ151" s="92"/>
      <c r="CA151" s="92"/>
      <c r="CB151" s="92"/>
      <c r="CC151" s="92"/>
      <c r="CD151" s="92"/>
      <c r="CE151" s="92"/>
      <c r="CF151" s="92"/>
      <c r="CG151" s="92"/>
      <c r="CH151" s="92"/>
      <c r="CI151" s="92"/>
      <c r="CJ151" s="92"/>
      <c r="CK151" s="92"/>
      <c r="CL151" s="92"/>
      <c r="CM151" s="92"/>
      <c r="CN151" s="92"/>
      <c r="CO151" s="92"/>
      <c r="CP151" s="92"/>
      <c r="CQ151" s="92"/>
      <c r="CR151" s="92"/>
      <c r="CS151" s="92"/>
      <c r="CT151" s="92"/>
      <c r="CU151" s="92"/>
      <c r="CV151" s="92"/>
      <c r="CW151" s="92"/>
      <c r="CX151" s="92"/>
      <c r="CY151" s="92"/>
      <c r="CZ151" s="92"/>
      <c r="DA151" s="92"/>
      <c r="DB151" s="92"/>
      <c r="DC151" s="92"/>
      <c r="DD151" s="92"/>
      <c r="DE151" s="92"/>
      <c r="DF151" s="92"/>
      <c r="DG151" s="92"/>
      <c r="DH151" s="92"/>
      <c r="DI151" s="92"/>
      <c r="DJ151" s="92"/>
      <c r="DK151" s="92"/>
      <c r="DL151" s="92"/>
      <c r="DM151" s="92"/>
      <c r="DN151" s="92"/>
      <c r="DO151" s="92"/>
      <c r="DP151" s="92"/>
      <c r="DQ151" s="92"/>
      <c r="DR151" s="92"/>
      <c r="DS151" s="92"/>
      <c r="DT151" s="92"/>
      <c r="DU151" s="92"/>
      <c r="DV151" s="92"/>
      <c r="DW151" s="92"/>
      <c r="DX151" s="92"/>
      <c r="DY151" s="92"/>
      <c r="DZ151" s="92"/>
      <c r="EA151" s="92"/>
      <c r="EB151" s="92"/>
      <c r="EC151" s="92"/>
      <c r="ED151" s="92"/>
      <c r="EE151" s="92"/>
      <c r="EF151" s="92"/>
      <c r="EG151" s="92"/>
      <c r="EH151" s="92"/>
      <c r="EI151" s="92"/>
      <c r="EJ151" s="92"/>
      <c r="EK151" s="92"/>
      <c r="EL151" s="92"/>
      <c r="EM151" s="92"/>
      <c r="EN151" s="92"/>
      <c r="EO151" s="92"/>
      <c r="EP151" s="92"/>
      <c r="EQ151" s="92"/>
      <c r="ER151" s="92"/>
      <c r="ES151" s="92"/>
      <c r="ET151" s="92"/>
      <c r="EU151" s="92"/>
      <c r="EV151" s="92"/>
      <c r="EW151" s="92"/>
      <c r="EX151" s="92"/>
      <c r="EY151" s="92"/>
      <c r="EZ151" s="92"/>
      <c r="FA151" s="92"/>
      <c r="FB151" s="92"/>
      <c r="FC151" s="92"/>
      <c r="FD151" s="92"/>
      <c r="FE151" s="92"/>
      <c r="FF151" s="92"/>
      <c r="FG151" s="92"/>
      <c r="FH151" s="92"/>
    </row>
    <row r="152">
      <c r="A152" s="32" t="s">
        <v>35</v>
      </c>
      <c r="B152" s="32" t="s">
        <v>36</v>
      </c>
      <c r="C152" s="32" t="s">
        <v>13</v>
      </c>
      <c r="D152" s="97">
        <f t="shared" si="1"/>
        <v>4957.017707</v>
      </c>
      <c r="E152" s="92">
        <f>(SUBSTITUTE(Audio!E152, "RE-", "", 1))*1</f>
        <v>0</v>
      </c>
      <c r="F152" s="92">
        <f>(SUBSTITUTE(Audio!F152, "RE-", "", 1))*1</f>
        <v>1082.68</v>
      </c>
      <c r="G152" s="92">
        <f>(SUBSTITUTE(Audio!G152, "RE-", "", 1))*1</f>
        <v>5.02628</v>
      </c>
      <c r="H152" s="92">
        <f>(SUBSTITUTE(Audio!H152, "RE-", "", 1))*1</f>
        <v>308.467</v>
      </c>
      <c r="I152" s="92">
        <f>(SUBSTITUTE(Audio!I152, "RE-", "", 1))*1</f>
        <v>1.11905</v>
      </c>
      <c r="J152" s="92">
        <f>(SUBSTITUTE(Audio!J152, "RE-", "", 1))*1</f>
        <v>1450.67</v>
      </c>
      <c r="K152" s="92">
        <f>(SUBSTITUTE(Audio!K152, "RE-", "", 1))*1</f>
        <v>8.06033</v>
      </c>
      <c r="L152" s="92">
        <f>(SUBSTITUTE(Audio!L152, "RE-", "", 1))*1</f>
        <v>974.473</v>
      </c>
      <c r="M152" s="92">
        <f>(SUBSTITUTE(Audio!M152, "RE-", "", 1))*1</f>
        <v>18.9349</v>
      </c>
      <c r="N152" s="92">
        <f>(SUBSTITUTE(Audio!N152, "RE-", "", 1))*1</f>
        <v>164.945</v>
      </c>
      <c r="O152" s="92">
        <f>(SUBSTITUTE(Audio!O152, "RE-", "", 1))*1</f>
        <v>4.33548</v>
      </c>
      <c r="P152" s="92">
        <f>(SUBSTITUTE(Audio!P152, "RE-", "", 1))*1</f>
        <v>193.102</v>
      </c>
      <c r="Q152" s="92">
        <f>(SUBSTITUTE(Audio!Q152, "RE-", "", 1))*1</f>
        <v>11.3659</v>
      </c>
      <c r="R152" s="92">
        <f>(SUBSTITUTE(Audio!R152, "RE-", "", 1))*1</f>
        <v>48.6536</v>
      </c>
      <c r="S152" s="92">
        <f>(SUBSTITUTE(Audio!S152, "RE-", "", 1))*1</f>
        <v>3.1635</v>
      </c>
      <c r="T152" s="92">
        <f>(SUBSTITUTE(Audio!T152, "RE-", "", 1))*1</f>
        <v>670.301</v>
      </c>
      <c r="U152" s="92">
        <f>(SUBSTITUTE(Audio!U152, "RE-", "", 1))*1</f>
        <v>11.4072</v>
      </c>
      <c r="V152" s="92">
        <f>(SUBSTITUTE(Audio!V152, "RE-", "", 1))*1</f>
        <v>0.313467</v>
      </c>
      <c r="W152" s="92">
        <f>(SUBSTITUTE(Audio!W152, "RE-", "", 1))*1</f>
        <v>0</v>
      </c>
      <c r="X152" s="92">
        <f>(SUBSTITUTE(Audio!X152, "RE-", "", 1))*1</f>
        <v>0</v>
      </c>
      <c r="Y152" s="92">
        <f>(SUBSTITUTE(Audio!Y152, "RE-", "", 1))*1</f>
        <v>0</v>
      </c>
      <c r="Z152" s="92">
        <f>(SUBSTITUTE(Audio!Z152, "RE-", "", 1))*1</f>
        <v>0</v>
      </c>
      <c r="AA152" s="92"/>
      <c r="AB152" s="92"/>
      <c r="AC152" s="92"/>
      <c r="AD152" s="92"/>
      <c r="AE152" s="92"/>
      <c r="AF152" s="92"/>
      <c r="AG152" s="92"/>
      <c r="AH152" s="92"/>
      <c r="AI152" s="92"/>
      <c r="AJ152" s="92"/>
      <c r="AK152" s="92"/>
      <c r="AL152" s="92"/>
      <c r="AM152" s="92"/>
      <c r="AN152" s="92"/>
      <c r="AO152" s="92"/>
      <c r="AP152" s="92"/>
      <c r="AQ152" s="92"/>
      <c r="AR152" s="92"/>
      <c r="AS152" s="92"/>
      <c r="AT152" s="92"/>
      <c r="AU152" s="92"/>
      <c r="AV152" s="92"/>
      <c r="AW152" s="92"/>
      <c r="AX152" s="92"/>
      <c r="AY152" s="92"/>
      <c r="AZ152" s="92"/>
      <c r="BA152" s="92"/>
      <c r="BB152" s="92"/>
      <c r="BC152" s="92"/>
      <c r="BD152" s="92"/>
      <c r="BE152" s="92"/>
      <c r="BF152" s="92"/>
      <c r="BG152" s="92"/>
      <c r="BH152" s="92"/>
      <c r="BI152" s="92"/>
      <c r="BJ152" s="92"/>
      <c r="BK152" s="92"/>
      <c r="BL152" s="92"/>
      <c r="BM152" s="92"/>
      <c r="BN152" s="92"/>
      <c r="BO152" s="92"/>
      <c r="BP152" s="92"/>
      <c r="BQ152" s="92"/>
      <c r="BR152" s="92"/>
      <c r="BS152" s="92"/>
      <c r="BT152" s="92"/>
      <c r="BU152" s="92"/>
      <c r="BV152" s="92"/>
      <c r="BW152" s="92"/>
      <c r="BX152" s="92"/>
      <c r="BY152" s="92"/>
      <c r="BZ152" s="92"/>
      <c r="CA152" s="92"/>
      <c r="CB152" s="92"/>
      <c r="CC152" s="92"/>
      <c r="CD152" s="92"/>
      <c r="CE152" s="92"/>
      <c r="CF152" s="92"/>
      <c r="CG152" s="92"/>
      <c r="CH152" s="92"/>
      <c r="CI152" s="92"/>
      <c r="CJ152" s="92"/>
      <c r="CK152" s="92"/>
      <c r="CL152" s="92"/>
      <c r="CM152" s="92"/>
      <c r="CN152" s="92"/>
      <c r="CO152" s="92"/>
      <c r="CP152" s="92"/>
      <c r="CQ152" s="92"/>
      <c r="CR152" s="92"/>
      <c r="CS152" s="92"/>
      <c r="CT152" s="92"/>
      <c r="CU152" s="92"/>
      <c r="CV152" s="92"/>
      <c r="CW152" s="92"/>
      <c r="CX152" s="92"/>
      <c r="CY152" s="92"/>
      <c r="CZ152" s="92"/>
      <c r="DA152" s="92"/>
      <c r="DB152" s="92"/>
      <c r="DC152" s="92"/>
      <c r="DD152" s="92"/>
      <c r="DE152" s="92"/>
      <c r="DF152" s="92"/>
      <c r="DG152" s="92"/>
      <c r="DH152" s="92"/>
      <c r="DI152" s="92"/>
      <c r="DJ152" s="92"/>
      <c r="DK152" s="92"/>
      <c r="DL152" s="92"/>
      <c r="DM152" s="92"/>
      <c r="DN152" s="92"/>
      <c r="DO152" s="92"/>
      <c r="DP152" s="92"/>
      <c r="DQ152" s="92"/>
      <c r="DR152" s="92"/>
      <c r="DS152" s="92"/>
      <c r="DT152" s="92"/>
      <c r="DU152" s="92"/>
      <c r="DV152" s="92"/>
      <c r="DW152" s="92"/>
      <c r="DX152" s="92"/>
      <c r="DY152" s="92"/>
      <c r="DZ152" s="92"/>
      <c r="EA152" s="92"/>
      <c r="EB152" s="92"/>
      <c r="EC152" s="92"/>
      <c r="ED152" s="92"/>
      <c r="EE152" s="92"/>
      <c r="EF152" s="92"/>
      <c r="EG152" s="92"/>
      <c r="EH152" s="92"/>
      <c r="EI152" s="92"/>
      <c r="EJ152" s="92"/>
      <c r="EK152" s="92"/>
      <c r="EL152" s="92"/>
      <c r="EM152" s="92"/>
      <c r="EN152" s="92"/>
      <c r="EO152" s="92"/>
      <c r="EP152" s="92"/>
      <c r="EQ152" s="92"/>
      <c r="ER152" s="92"/>
      <c r="ES152" s="92"/>
      <c r="ET152" s="92"/>
      <c r="EU152" s="92"/>
      <c r="EV152" s="92"/>
      <c r="EW152" s="92"/>
      <c r="EX152" s="92"/>
      <c r="EY152" s="92"/>
      <c r="EZ152" s="92"/>
      <c r="FA152" s="92"/>
      <c r="FB152" s="92"/>
      <c r="FC152" s="92"/>
      <c r="FD152" s="92"/>
      <c r="FE152" s="92"/>
      <c r="FF152" s="92"/>
      <c r="FG152" s="92"/>
      <c r="FH152" s="92"/>
    </row>
    <row r="153">
      <c r="A153" s="32" t="s">
        <v>35</v>
      </c>
      <c r="B153" s="32" t="s">
        <v>36</v>
      </c>
      <c r="C153" s="32" t="s">
        <v>14</v>
      </c>
      <c r="D153" s="97">
        <f t="shared" si="1"/>
        <v>4419.372223</v>
      </c>
      <c r="E153" s="92">
        <f>(SUBSTITUTE(Audio!E153, "RE-", "", 1))*1</f>
        <v>0</v>
      </c>
      <c r="F153" s="92">
        <f>(SUBSTITUTE(Audio!F153, "RE-", "", 1))*1</f>
        <v>976.599</v>
      </c>
      <c r="G153" s="92">
        <f>(SUBSTITUTE(Audio!G153, "RE-", "", 1))*1</f>
        <v>4.85235</v>
      </c>
      <c r="H153" s="92">
        <f>(SUBSTITUTE(Audio!H153, "RE-", "", 1))*1</f>
        <v>287.405</v>
      </c>
      <c r="I153" s="92">
        <f>(SUBSTITUTE(Audio!I153, "RE-", "", 1))*1</f>
        <v>1.11905</v>
      </c>
      <c r="J153" s="92">
        <f>(SUBSTITUTE(Audio!J153, "RE-", "", 1))*1</f>
        <v>1324.72</v>
      </c>
      <c r="K153" s="92">
        <f>(SUBSTITUTE(Audio!K153, "RE-", "", 1))*1</f>
        <v>7.25385</v>
      </c>
      <c r="L153" s="92">
        <f>(SUBSTITUTE(Audio!L153, "RE-", "", 1))*1</f>
        <v>853.006</v>
      </c>
      <c r="M153" s="92">
        <f>(SUBSTITUTE(Audio!M153, "RE-", "", 1))*1</f>
        <v>17.117</v>
      </c>
      <c r="N153" s="92">
        <f>(SUBSTITUTE(Audio!N153, "RE-", "", 1))*1</f>
        <v>138.722</v>
      </c>
      <c r="O153" s="92">
        <f>(SUBSTITUTE(Audio!O153, "RE-", "", 1))*1</f>
        <v>3.57682</v>
      </c>
      <c r="P153" s="92">
        <f>(SUBSTITUTE(Audio!P153, "RE-", "", 1))*1</f>
        <v>165.266</v>
      </c>
      <c r="Q153" s="92">
        <f>(SUBSTITUTE(Audio!Q153, "RE-", "", 1))*1</f>
        <v>8.8748</v>
      </c>
      <c r="R153" s="92">
        <f>(SUBSTITUTE(Audio!R153, "RE-", "", 1))*1</f>
        <v>40.6972</v>
      </c>
      <c r="S153" s="92">
        <f>(SUBSTITUTE(Audio!S153, "RE-", "", 1))*1</f>
        <v>2.62782</v>
      </c>
      <c r="T153" s="92">
        <f>(SUBSTITUTE(Audio!T153, "RE-", "", 1))*1</f>
        <v>577.569</v>
      </c>
      <c r="U153" s="92">
        <f>(SUBSTITUTE(Audio!U153, "RE-", "", 1))*1</f>
        <v>9.86025</v>
      </c>
      <c r="V153" s="92">
        <f>(SUBSTITUTE(Audio!V153, "RE-", "", 1))*1</f>
        <v>0.106083</v>
      </c>
      <c r="W153" s="92">
        <f>(SUBSTITUTE(Audio!W153, "RE-", "", 1))*1</f>
        <v>0</v>
      </c>
      <c r="X153" s="92">
        <f>(SUBSTITUTE(Audio!X153, "RE-", "", 1))*1</f>
        <v>0</v>
      </c>
      <c r="Y153" s="92">
        <f>(SUBSTITUTE(Audio!Y153, "RE-", "", 1))*1</f>
        <v>0</v>
      </c>
      <c r="Z153" s="92">
        <f>(SUBSTITUTE(Audio!Z153, "RE-", "", 1))*1</f>
        <v>0</v>
      </c>
      <c r="AA153" s="92"/>
      <c r="AB153" s="92"/>
      <c r="AC153" s="92"/>
      <c r="AD153" s="92"/>
      <c r="AE153" s="92"/>
      <c r="AF153" s="92"/>
      <c r="AG153" s="92"/>
      <c r="AH153" s="92"/>
      <c r="AI153" s="92"/>
      <c r="AJ153" s="92"/>
      <c r="AK153" s="92"/>
      <c r="AL153" s="92"/>
      <c r="AM153" s="92"/>
      <c r="AN153" s="92"/>
      <c r="AO153" s="92"/>
      <c r="AP153" s="92"/>
      <c r="AQ153" s="92"/>
      <c r="AR153" s="92"/>
      <c r="AS153" s="92"/>
      <c r="AT153" s="92"/>
      <c r="AU153" s="92"/>
      <c r="AV153" s="92"/>
      <c r="AW153" s="92"/>
      <c r="AX153" s="92"/>
      <c r="AY153" s="92"/>
      <c r="AZ153" s="92"/>
      <c r="BA153" s="92"/>
      <c r="BB153" s="92"/>
      <c r="BC153" s="92"/>
      <c r="BD153" s="92"/>
      <c r="BE153" s="92"/>
      <c r="BF153" s="92"/>
      <c r="BG153" s="92"/>
      <c r="BH153" s="92"/>
      <c r="BI153" s="92"/>
      <c r="BJ153" s="92"/>
      <c r="BK153" s="92"/>
      <c r="BL153" s="92"/>
      <c r="BM153" s="92"/>
      <c r="BN153" s="92"/>
      <c r="BO153" s="92"/>
      <c r="BP153" s="92"/>
      <c r="BQ153" s="92"/>
      <c r="BR153" s="92"/>
      <c r="BS153" s="92"/>
      <c r="BT153" s="92"/>
      <c r="BU153" s="92"/>
      <c r="BV153" s="92"/>
      <c r="BW153" s="92"/>
      <c r="BX153" s="92"/>
      <c r="BY153" s="92"/>
      <c r="BZ153" s="92"/>
      <c r="CA153" s="92"/>
      <c r="CB153" s="92"/>
      <c r="CC153" s="92"/>
      <c r="CD153" s="92"/>
      <c r="CE153" s="92"/>
      <c r="CF153" s="92"/>
      <c r="CG153" s="92"/>
      <c r="CH153" s="92"/>
      <c r="CI153" s="92"/>
      <c r="CJ153" s="92"/>
      <c r="CK153" s="92"/>
      <c r="CL153" s="92"/>
      <c r="CM153" s="92"/>
      <c r="CN153" s="92"/>
      <c r="CO153" s="92"/>
      <c r="CP153" s="92"/>
      <c r="CQ153" s="92"/>
      <c r="CR153" s="92"/>
      <c r="CS153" s="92"/>
      <c r="CT153" s="92"/>
      <c r="CU153" s="92"/>
      <c r="CV153" s="92"/>
      <c r="CW153" s="92"/>
      <c r="CX153" s="92"/>
      <c r="CY153" s="92"/>
      <c r="CZ153" s="92"/>
      <c r="DA153" s="92"/>
      <c r="DB153" s="92"/>
      <c r="DC153" s="92"/>
      <c r="DD153" s="92"/>
      <c r="DE153" s="92"/>
      <c r="DF153" s="92"/>
      <c r="DG153" s="92"/>
      <c r="DH153" s="92"/>
      <c r="DI153" s="92"/>
      <c r="DJ153" s="92"/>
      <c r="DK153" s="92"/>
      <c r="DL153" s="92"/>
      <c r="DM153" s="92"/>
      <c r="DN153" s="92"/>
      <c r="DO153" s="92"/>
      <c r="DP153" s="92"/>
      <c r="DQ153" s="92"/>
      <c r="DR153" s="92"/>
      <c r="DS153" s="92"/>
      <c r="DT153" s="92"/>
      <c r="DU153" s="92"/>
      <c r="DV153" s="92"/>
      <c r="DW153" s="92"/>
      <c r="DX153" s="92"/>
      <c r="DY153" s="92"/>
      <c r="DZ153" s="92"/>
      <c r="EA153" s="92"/>
      <c r="EB153" s="92"/>
      <c r="EC153" s="92"/>
      <c r="ED153" s="92"/>
      <c r="EE153" s="92"/>
      <c r="EF153" s="92"/>
      <c r="EG153" s="92"/>
      <c r="EH153" s="92"/>
      <c r="EI153" s="92"/>
      <c r="EJ153" s="92"/>
      <c r="EK153" s="92"/>
      <c r="EL153" s="92"/>
      <c r="EM153" s="92"/>
      <c r="EN153" s="92"/>
      <c r="EO153" s="92"/>
      <c r="EP153" s="92"/>
      <c r="EQ153" s="92"/>
      <c r="ER153" s="92"/>
      <c r="ES153" s="92"/>
      <c r="ET153" s="92"/>
      <c r="EU153" s="92"/>
      <c r="EV153" s="92"/>
      <c r="EW153" s="92"/>
      <c r="EX153" s="92"/>
      <c r="EY153" s="92"/>
      <c r="EZ153" s="92"/>
      <c r="FA153" s="92"/>
      <c r="FB153" s="92"/>
      <c r="FC153" s="92"/>
      <c r="FD153" s="92"/>
      <c r="FE153" s="92"/>
      <c r="FF153" s="92"/>
      <c r="FG153" s="92"/>
      <c r="FH153" s="92"/>
    </row>
    <row r="154">
      <c r="A154" s="27" t="s">
        <v>35</v>
      </c>
      <c r="B154" s="27" t="s">
        <v>36</v>
      </c>
      <c r="C154" s="27" t="s">
        <v>15</v>
      </c>
      <c r="D154" s="98">
        <f t="shared" si="1"/>
        <v>4953.058547</v>
      </c>
      <c r="E154" s="92">
        <f>(SUBSTITUTE(Audio!E154, "RE-", "", 1))*1</f>
        <v>0</v>
      </c>
      <c r="F154" s="92">
        <f>(SUBSTITUTE(Audio!F154, "RE-", "", 1))*1</f>
        <v>1082.68</v>
      </c>
      <c r="G154" s="92">
        <f>(SUBSTITUTE(Audio!G154, "RE-", "", 1))*1</f>
        <v>5.02628</v>
      </c>
      <c r="H154" s="92">
        <f>(SUBSTITUTE(Audio!H154, "RE-", "", 1))*1</f>
        <v>308.467</v>
      </c>
      <c r="I154" s="92">
        <f>(SUBSTITUTE(Audio!I154, "RE-", "", 1))*1</f>
        <v>1.11905</v>
      </c>
      <c r="J154" s="92">
        <f>(SUBSTITUTE(Audio!J154, "RE-", "", 1))*1</f>
        <v>1450.63</v>
      </c>
      <c r="K154" s="92">
        <f>(SUBSTITUTE(Audio!K154, "RE-", "", 1))*1</f>
        <v>8.06033</v>
      </c>
      <c r="L154" s="92">
        <f>(SUBSTITUTE(Audio!L154, "RE-", "", 1))*1</f>
        <v>972.621</v>
      </c>
      <c r="M154" s="92">
        <f>(SUBSTITUTE(Audio!M154, "RE-", "", 1))*1</f>
        <v>18.9349</v>
      </c>
      <c r="N154" s="92">
        <f>(SUBSTITUTE(Audio!N154, "RE-", "", 1))*1</f>
        <v>164.945</v>
      </c>
      <c r="O154" s="92">
        <f>(SUBSTITUTE(Audio!O154, "RE-", "", 1))*1</f>
        <v>3.91062</v>
      </c>
      <c r="P154" s="92">
        <f>(SUBSTITUTE(Audio!P154, "RE-", "", 1))*1</f>
        <v>193.006</v>
      </c>
      <c r="Q154" s="92">
        <f>(SUBSTITUTE(Audio!Q154, "RE-", "", 1))*1</f>
        <v>10.239</v>
      </c>
      <c r="R154" s="92">
        <f>(SUBSTITUTE(Audio!R154, "RE-", "", 1))*1</f>
        <v>48.6536</v>
      </c>
      <c r="S154" s="92">
        <f>(SUBSTITUTE(Audio!S154, "RE-", "", 1))*1</f>
        <v>3.1635</v>
      </c>
      <c r="T154" s="92">
        <f>(SUBSTITUTE(Audio!T154, "RE-", "", 1))*1</f>
        <v>670.301</v>
      </c>
      <c r="U154" s="92">
        <f>(SUBSTITUTE(Audio!U154, "RE-", "", 1))*1</f>
        <v>10.9878</v>
      </c>
      <c r="V154" s="92">
        <f>(SUBSTITUTE(Audio!V154, "RE-", "", 1))*1</f>
        <v>0.313467</v>
      </c>
      <c r="W154" s="92">
        <f>(SUBSTITUTE(Audio!W154, "RE-", "", 1))*1</f>
        <v>0</v>
      </c>
      <c r="X154" s="92">
        <f>(SUBSTITUTE(Audio!X154, "RE-", "", 1))*1</f>
        <v>0</v>
      </c>
      <c r="Y154" s="92">
        <f>(SUBSTITUTE(Audio!Y154, "RE-", "", 1))*1</f>
        <v>0</v>
      </c>
      <c r="Z154" s="92">
        <f>(SUBSTITUTE(Audio!Z154, "RE-", "", 1))*1</f>
        <v>0</v>
      </c>
      <c r="AA154" s="92"/>
      <c r="AB154" s="92"/>
      <c r="AC154" s="92"/>
      <c r="AD154" s="92"/>
      <c r="AE154" s="92"/>
      <c r="AF154" s="92"/>
      <c r="AG154" s="92"/>
      <c r="AH154" s="92"/>
      <c r="AI154" s="92"/>
      <c r="AJ154" s="92"/>
      <c r="AK154" s="92"/>
      <c r="AL154" s="92"/>
      <c r="AM154" s="92"/>
      <c r="AN154" s="92"/>
      <c r="AO154" s="92"/>
      <c r="AP154" s="92"/>
      <c r="AQ154" s="92"/>
      <c r="AR154" s="92"/>
      <c r="AS154" s="92"/>
      <c r="AT154" s="92"/>
      <c r="AU154" s="92"/>
      <c r="AV154" s="92"/>
      <c r="AW154" s="92"/>
      <c r="AX154" s="92"/>
      <c r="AY154" s="92"/>
      <c r="AZ154" s="92"/>
      <c r="BA154" s="92"/>
      <c r="BB154" s="92"/>
      <c r="BC154" s="92"/>
      <c r="BD154" s="92"/>
      <c r="BE154" s="92"/>
      <c r="BF154" s="92"/>
      <c r="BG154" s="92"/>
      <c r="BH154" s="92"/>
      <c r="BI154" s="92"/>
      <c r="BJ154" s="92"/>
      <c r="BK154" s="92"/>
      <c r="BL154" s="92"/>
      <c r="BM154" s="92"/>
      <c r="BN154" s="92"/>
      <c r="BO154" s="92"/>
      <c r="BP154" s="92"/>
      <c r="BQ154" s="92"/>
      <c r="BR154" s="92"/>
      <c r="BS154" s="92"/>
      <c r="BT154" s="92"/>
      <c r="BU154" s="92"/>
      <c r="BV154" s="92"/>
      <c r="BW154" s="92"/>
      <c r="BX154" s="92"/>
      <c r="BY154" s="92"/>
      <c r="BZ154" s="92"/>
      <c r="CA154" s="92"/>
      <c r="CB154" s="92"/>
      <c r="CC154" s="92"/>
      <c r="CD154" s="92"/>
      <c r="CE154" s="92"/>
      <c r="CF154" s="92"/>
      <c r="CG154" s="92"/>
      <c r="CH154" s="92"/>
      <c r="CI154" s="92"/>
      <c r="CJ154" s="92"/>
      <c r="CK154" s="92"/>
      <c r="CL154" s="92"/>
      <c r="CM154" s="92"/>
      <c r="CN154" s="92"/>
      <c r="CO154" s="92"/>
      <c r="CP154" s="92"/>
      <c r="CQ154" s="92"/>
      <c r="CR154" s="92"/>
      <c r="CS154" s="92"/>
      <c r="CT154" s="92"/>
      <c r="CU154" s="92"/>
      <c r="CV154" s="92"/>
      <c r="CW154" s="92"/>
      <c r="CX154" s="92"/>
      <c r="CY154" s="92"/>
      <c r="CZ154" s="92"/>
      <c r="DA154" s="92"/>
      <c r="DB154" s="92"/>
      <c r="DC154" s="92"/>
      <c r="DD154" s="92"/>
      <c r="DE154" s="92"/>
      <c r="DF154" s="92"/>
      <c r="DG154" s="92"/>
      <c r="DH154" s="92"/>
      <c r="DI154" s="92"/>
      <c r="DJ154" s="92"/>
      <c r="DK154" s="92"/>
      <c r="DL154" s="92"/>
      <c r="DM154" s="92"/>
      <c r="DN154" s="92"/>
      <c r="DO154" s="92"/>
      <c r="DP154" s="92"/>
      <c r="DQ154" s="92"/>
      <c r="DR154" s="92"/>
      <c r="DS154" s="92"/>
      <c r="DT154" s="92"/>
      <c r="DU154" s="92"/>
      <c r="DV154" s="92"/>
      <c r="DW154" s="92"/>
      <c r="DX154" s="92"/>
      <c r="DY154" s="92"/>
      <c r="DZ154" s="92"/>
      <c r="EA154" s="92"/>
      <c r="EB154" s="92"/>
      <c r="EC154" s="92"/>
      <c r="ED154" s="92"/>
      <c r="EE154" s="92"/>
      <c r="EF154" s="92"/>
      <c r="EG154" s="92"/>
      <c r="EH154" s="92"/>
      <c r="EI154" s="92"/>
      <c r="EJ154" s="92"/>
      <c r="EK154" s="92"/>
      <c r="EL154" s="92"/>
      <c r="EM154" s="92"/>
      <c r="EN154" s="92"/>
      <c r="EO154" s="92"/>
      <c r="EP154" s="92"/>
      <c r="EQ154" s="92"/>
      <c r="ER154" s="92"/>
      <c r="ES154" s="92"/>
      <c r="ET154" s="92"/>
      <c r="EU154" s="92"/>
      <c r="EV154" s="92"/>
      <c r="EW154" s="92"/>
      <c r="EX154" s="92"/>
      <c r="EY154" s="92"/>
      <c r="EZ154" s="92"/>
      <c r="FA154" s="92"/>
      <c r="FB154" s="92"/>
      <c r="FC154" s="92"/>
      <c r="FD154" s="92"/>
      <c r="FE154" s="92"/>
      <c r="FF154" s="92"/>
      <c r="FG154" s="92"/>
      <c r="FH154" s="92"/>
    </row>
    <row r="155">
      <c r="A155" s="30" t="s">
        <v>7</v>
      </c>
      <c r="B155" s="30" t="s">
        <v>37</v>
      </c>
      <c r="C155" s="31" t="str">
        <f>HYPERLINK("https://docs.google.com/spreadsheets/d/1iCpbwsQqo2zkJgVlj41nEegzchNIWKx6/edit?usp=share_link&amp;ouid=106501987799020758802&amp;rtpof=true&amp;sd=true", "Raw Delivered")</f>
        <v>Raw Delivered</v>
      </c>
      <c r="D155" s="96">
        <f t="shared" si="1"/>
        <v>5565.316774</v>
      </c>
      <c r="E155" s="92">
        <f>(SUBSTITUTE(Audio!E155, "RE-", "", 1))*1</f>
        <v>0</v>
      </c>
      <c r="F155" s="92">
        <f>(SUBSTITUTE(Audio!F155, "RE-", "", 1))*1</f>
        <v>466.4830625</v>
      </c>
      <c r="G155" s="92">
        <f>(SUBSTITUTE(Audio!G155, "RE-", "", 1))*1</f>
        <v>0</v>
      </c>
      <c r="H155" s="92">
        <f>(SUBSTITUTE(Audio!H155, "RE-", "", 1))*1</f>
        <v>84.3514125</v>
      </c>
      <c r="I155" s="92">
        <f>(SUBSTITUTE(Audio!I155, "RE-", "", 1))*1</f>
        <v>0</v>
      </c>
      <c r="J155" s="92">
        <f>(SUBSTITUTE(Audio!J155, "RE-", "", 1))*1</f>
        <v>1393.437699</v>
      </c>
      <c r="K155" s="92">
        <f>(SUBSTITUTE(Audio!K155, "RE-", "", 1))*1</f>
        <v>0</v>
      </c>
      <c r="L155" s="92">
        <f>(SUBSTITUTE(Audio!L155, "RE-", "", 1))*1</f>
        <v>1087.274381</v>
      </c>
      <c r="M155" s="92">
        <f>(SUBSTITUTE(Audio!M155, "RE-", "", 1))*1</f>
        <v>0</v>
      </c>
      <c r="N155" s="92">
        <f>(SUBSTITUTE(Audio!N155, "RE-", "", 1))*1</f>
        <v>804.8483583</v>
      </c>
      <c r="O155" s="92">
        <f>(SUBSTITUTE(Audio!O155, "RE-", "", 1))*1</f>
        <v>0</v>
      </c>
      <c r="P155" s="92">
        <f>(SUBSTITUTE(Audio!P155, "RE-", "", 1))*1</f>
        <v>910.3095802</v>
      </c>
      <c r="Q155" s="92">
        <f>(SUBSTITUTE(Audio!Q155, "RE-", "", 1))*1</f>
        <v>0</v>
      </c>
      <c r="R155" s="92">
        <f>(SUBSTITUTE(Audio!R155, "RE-", "", 1))*1</f>
        <v>277.3285583</v>
      </c>
      <c r="S155" s="92">
        <f>(SUBSTITUTE(Audio!S155, "RE-", "", 1))*1</f>
        <v>0</v>
      </c>
      <c r="T155" s="92">
        <f>(SUBSTITUTE(Audio!T155, "RE-", "", 1))*1</f>
        <v>541.2837219</v>
      </c>
      <c r="U155" s="92">
        <f>(SUBSTITUTE(Audio!U155, "RE-", "", 1))*1</f>
        <v>0</v>
      </c>
      <c r="V155" s="92">
        <f>(SUBSTITUTE(Audio!V155, "RE-", "", 1))*1</f>
        <v>0</v>
      </c>
      <c r="W155" s="92">
        <f>(SUBSTITUTE(Audio!W155, "RE-", "", 1))*1</f>
        <v>0</v>
      </c>
      <c r="X155" s="92">
        <f>(SUBSTITUTE(Audio!X155, "RE-", "", 1))*1</f>
        <v>0</v>
      </c>
      <c r="Y155" s="92">
        <f>(SUBSTITUTE(Audio!Y155, "RE-", "", 1))*1</f>
        <v>0</v>
      </c>
      <c r="Z155" s="92">
        <f>(SUBSTITUTE(Audio!Z155, "RE-", "", 1))*1</f>
        <v>0</v>
      </c>
      <c r="AA155" s="92"/>
      <c r="AB155" s="92"/>
      <c r="AC155" s="92"/>
      <c r="AD155" s="92"/>
      <c r="AE155" s="92"/>
      <c r="AF155" s="92"/>
      <c r="AG155" s="92"/>
      <c r="AH155" s="92"/>
      <c r="AI155" s="92"/>
      <c r="AJ155" s="92"/>
      <c r="AK155" s="92"/>
      <c r="AL155" s="92"/>
      <c r="AM155" s="92"/>
      <c r="AN155" s="92"/>
      <c r="AO155" s="92"/>
      <c r="AP155" s="92"/>
      <c r="AQ155" s="92"/>
      <c r="AR155" s="92"/>
      <c r="AS155" s="92"/>
      <c r="AT155" s="92"/>
      <c r="AU155" s="92"/>
      <c r="AV155" s="92"/>
      <c r="AW155" s="92"/>
      <c r="AX155" s="92"/>
      <c r="AY155" s="92"/>
      <c r="AZ155" s="92"/>
      <c r="BA155" s="92"/>
      <c r="BB155" s="92"/>
      <c r="BC155" s="92"/>
      <c r="BD155" s="92"/>
      <c r="BE155" s="92"/>
      <c r="BF155" s="92"/>
      <c r="BG155" s="92"/>
      <c r="BH155" s="92"/>
      <c r="BI155" s="92"/>
      <c r="BJ155" s="92"/>
      <c r="BK155" s="92"/>
      <c r="BL155" s="92"/>
      <c r="BM155" s="92"/>
      <c r="BN155" s="92"/>
      <c r="BO155" s="92"/>
      <c r="BP155" s="92"/>
      <c r="BQ155" s="92"/>
      <c r="BR155" s="92"/>
      <c r="BS155" s="92"/>
      <c r="BT155" s="92"/>
      <c r="BU155" s="92"/>
      <c r="BV155" s="92"/>
      <c r="BW155" s="92"/>
      <c r="BX155" s="92"/>
      <c r="BY155" s="92"/>
      <c r="BZ155" s="92"/>
      <c r="CA155" s="92"/>
      <c r="CB155" s="92"/>
      <c r="CC155" s="92"/>
      <c r="CD155" s="92"/>
      <c r="CE155" s="92"/>
      <c r="CF155" s="92"/>
      <c r="CG155" s="92"/>
      <c r="CH155" s="92"/>
      <c r="CI155" s="92"/>
      <c r="CJ155" s="92"/>
      <c r="CK155" s="92"/>
      <c r="CL155" s="92"/>
      <c r="CM155" s="92"/>
      <c r="CN155" s="92"/>
      <c r="CO155" s="92"/>
      <c r="CP155" s="92"/>
      <c r="CQ155" s="92"/>
      <c r="CR155" s="92"/>
      <c r="CS155" s="92"/>
      <c r="CT155" s="92"/>
      <c r="CU155" s="92"/>
      <c r="CV155" s="92"/>
      <c r="CW155" s="92"/>
      <c r="CX155" s="92"/>
      <c r="CY155" s="92"/>
      <c r="CZ155" s="92"/>
      <c r="DA155" s="92"/>
      <c r="DB155" s="92"/>
      <c r="DC155" s="92"/>
      <c r="DD155" s="92"/>
      <c r="DE155" s="92"/>
      <c r="DF155" s="92"/>
      <c r="DG155" s="92"/>
      <c r="DH155" s="92"/>
      <c r="DI155" s="92"/>
      <c r="DJ155" s="92"/>
      <c r="DK155" s="92"/>
      <c r="DL155" s="92"/>
      <c r="DM155" s="92"/>
      <c r="DN155" s="92"/>
      <c r="DO155" s="92"/>
      <c r="DP155" s="92"/>
      <c r="DQ155" s="92"/>
      <c r="DR155" s="92"/>
      <c r="DS155" s="92"/>
      <c r="DT155" s="92"/>
      <c r="DU155" s="92"/>
      <c r="DV155" s="92"/>
      <c r="DW155" s="92"/>
      <c r="DX155" s="92"/>
      <c r="DY155" s="92"/>
      <c r="DZ155" s="92"/>
      <c r="EA155" s="92"/>
      <c r="EB155" s="92"/>
      <c r="EC155" s="92"/>
      <c r="ED155" s="92"/>
      <c r="EE155" s="92"/>
      <c r="EF155" s="92"/>
      <c r="EG155" s="92"/>
      <c r="EH155" s="92"/>
      <c r="EI155" s="92"/>
      <c r="EJ155" s="92"/>
      <c r="EK155" s="92"/>
      <c r="EL155" s="92"/>
      <c r="EM155" s="92"/>
      <c r="EN155" s="92"/>
      <c r="EO155" s="92"/>
      <c r="EP155" s="92"/>
      <c r="EQ155" s="92"/>
      <c r="ER155" s="92"/>
      <c r="ES155" s="92"/>
      <c r="ET155" s="92"/>
      <c r="EU155" s="92"/>
      <c r="EV155" s="92"/>
      <c r="EW155" s="92"/>
      <c r="EX155" s="92"/>
      <c r="EY155" s="92"/>
      <c r="EZ155" s="92"/>
      <c r="FA155" s="92"/>
      <c r="FB155" s="92"/>
      <c r="FC155" s="92"/>
      <c r="FD155" s="92"/>
      <c r="FE155" s="92"/>
      <c r="FF155" s="92"/>
      <c r="FG155" s="92"/>
      <c r="FH155" s="92"/>
    </row>
    <row r="156">
      <c r="A156" s="32" t="s">
        <v>7</v>
      </c>
      <c r="B156" s="32" t="s">
        <v>37</v>
      </c>
      <c r="C156" s="32" t="s">
        <v>9</v>
      </c>
      <c r="D156" s="97">
        <f t="shared" si="1"/>
        <v>5565.316774</v>
      </c>
      <c r="E156" s="92">
        <f>(SUBSTITUTE(Audio!E156, "RE-", "", 1))*1</f>
        <v>0</v>
      </c>
      <c r="F156" s="92">
        <f>(SUBSTITUTE(Audio!F156, "RE-", "", 1))*1</f>
        <v>466.4830625</v>
      </c>
      <c r="G156" s="92">
        <f>(SUBSTITUTE(Audio!G156, "RE-", "", 1))*1</f>
        <v>0</v>
      </c>
      <c r="H156" s="92">
        <f>(SUBSTITUTE(Audio!H156, "RE-", "", 1))*1</f>
        <v>84.3514125</v>
      </c>
      <c r="I156" s="92">
        <f>(SUBSTITUTE(Audio!I156, "RE-", "", 1))*1</f>
        <v>0</v>
      </c>
      <c r="J156" s="92">
        <f>(SUBSTITUTE(Audio!J156, "RE-", "", 1))*1</f>
        <v>1393.437699</v>
      </c>
      <c r="K156" s="92">
        <f>(SUBSTITUTE(Audio!K156, "RE-", "", 1))*1</f>
        <v>0</v>
      </c>
      <c r="L156" s="92">
        <f>(SUBSTITUTE(Audio!L156, "RE-", "", 1))*1</f>
        <v>1087.274381</v>
      </c>
      <c r="M156" s="92">
        <f>(SUBSTITUTE(Audio!M156, "RE-", "", 1))*1</f>
        <v>0</v>
      </c>
      <c r="N156" s="92">
        <f>(SUBSTITUTE(Audio!N156, "RE-", "", 1))*1</f>
        <v>804.8483583</v>
      </c>
      <c r="O156" s="92">
        <f>(SUBSTITUTE(Audio!O156, "RE-", "", 1))*1</f>
        <v>0</v>
      </c>
      <c r="P156" s="92">
        <f>(SUBSTITUTE(Audio!P156, "RE-", "", 1))*1</f>
        <v>910.3095802</v>
      </c>
      <c r="Q156" s="92">
        <f>(SUBSTITUTE(Audio!Q156, "RE-", "", 1))*1</f>
        <v>0</v>
      </c>
      <c r="R156" s="92">
        <f>(SUBSTITUTE(Audio!R156, "RE-", "", 1))*1</f>
        <v>277.3285583</v>
      </c>
      <c r="S156" s="92">
        <f>(SUBSTITUTE(Audio!S156, "RE-", "", 1))*1</f>
        <v>0</v>
      </c>
      <c r="T156" s="92">
        <f>(SUBSTITUTE(Audio!T156, "RE-", "", 1))*1</f>
        <v>541.2837219</v>
      </c>
      <c r="U156" s="92">
        <f>(SUBSTITUTE(Audio!U156, "RE-", "", 1))*1</f>
        <v>0</v>
      </c>
      <c r="V156" s="92">
        <f>(SUBSTITUTE(Audio!V156, "RE-", "", 1))*1</f>
        <v>0</v>
      </c>
      <c r="W156" s="92">
        <f>(SUBSTITUTE(Audio!W156, "RE-", "", 1))*1</f>
        <v>0</v>
      </c>
      <c r="X156" s="92">
        <f>(SUBSTITUTE(Audio!X156, "RE-", "", 1))*1</f>
        <v>0</v>
      </c>
      <c r="Y156" s="92">
        <f>(SUBSTITUTE(Audio!Y156, "RE-", "", 1))*1</f>
        <v>0</v>
      </c>
      <c r="Z156" s="92">
        <f>(SUBSTITUTE(Audio!Z156, "RE-", "", 1))*1</f>
        <v>0</v>
      </c>
      <c r="AA156" s="92"/>
      <c r="AB156" s="92"/>
      <c r="AC156" s="92"/>
      <c r="AD156" s="92"/>
      <c r="AE156" s="92"/>
      <c r="AF156" s="92"/>
      <c r="AG156" s="92"/>
      <c r="AH156" s="92"/>
      <c r="AI156" s="92"/>
      <c r="AJ156" s="92"/>
      <c r="AK156" s="92"/>
      <c r="AL156" s="92"/>
      <c r="AM156" s="92"/>
      <c r="AN156" s="92"/>
      <c r="AO156" s="92"/>
      <c r="AP156" s="92"/>
      <c r="AQ156" s="92"/>
      <c r="AR156" s="92"/>
      <c r="AS156" s="92"/>
      <c r="AT156" s="92"/>
      <c r="AU156" s="92"/>
      <c r="AV156" s="92"/>
      <c r="AW156" s="92"/>
      <c r="AX156" s="92"/>
      <c r="AY156" s="92"/>
      <c r="AZ156" s="92"/>
      <c r="BA156" s="92"/>
      <c r="BB156" s="92"/>
      <c r="BC156" s="92"/>
      <c r="BD156" s="92"/>
      <c r="BE156" s="92"/>
      <c r="BF156" s="92"/>
      <c r="BG156" s="92"/>
      <c r="BH156" s="92"/>
      <c r="BI156" s="92"/>
      <c r="BJ156" s="92"/>
      <c r="BK156" s="92"/>
      <c r="BL156" s="92"/>
      <c r="BM156" s="92"/>
      <c r="BN156" s="92"/>
      <c r="BO156" s="92"/>
      <c r="BP156" s="92"/>
      <c r="BQ156" s="92"/>
      <c r="BR156" s="92"/>
      <c r="BS156" s="92"/>
      <c r="BT156" s="92"/>
      <c r="BU156" s="92"/>
      <c r="BV156" s="92"/>
      <c r="BW156" s="92"/>
      <c r="BX156" s="92"/>
      <c r="BY156" s="92"/>
      <c r="BZ156" s="92"/>
      <c r="CA156" s="92"/>
      <c r="CB156" s="92"/>
      <c r="CC156" s="92"/>
      <c r="CD156" s="92"/>
      <c r="CE156" s="92"/>
      <c r="CF156" s="92"/>
      <c r="CG156" s="92"/>
      <c r="CH156" s="92"/>
      <c r="CI156" s="92"/>
      <c r="CJ156" s="92"/>
      <c r="CK156" s="92"/>
      <c r="CL156" s="92"/>
      <c r="CM156" s="92"/>
      <c r="CN156" s="92"/>
      <c r="CO156" s="92"/>
      <c r="CP156" s="92"/>
      <c r="CQ156" s="92"/>
      <c r="CR156" s="92"/>
      <c r="CS156" s="92"/>
      <c r="CT156" s="92"/>
      <c r="CU156" s="92"/>
      <c r="CV156" s="92"/>
      <c r="CW156" s="92"/>
      <c r="CX156" s="92"/>
      <c r="CY156" s="92"/>
      <c r="CZ156" s="92"/>
      <c r="DA156" s="92"/>
      <c r="DB156" s="92"/>
      <c r="DC156" s="92"/>
      <c r="DD156" s="92"/>
      <c r="DE156" s="92"/>
      <c r="DF156" s="92"/>
      <c r="DG156" s="92"/>
      <c r="DH156" s="92"/>
      <c r="DI156" s="92"/>
      <c r="DJ156" s="92"/>
      <c r="DK156" s="92"/>
      <c r="DL156" s="92"/>
      <c r="DM156" s="92"/>
      <c r="DN156" s="92"/>
      <c r="DO156" s="92"/>
      <c r="DP156" s="92"/>
      <c r="DQ156" s="92"/>
      <c r="DR156" s="92"/>
      <c r="DS156" s="92"/>
      <c r="DT156" s="92"/>
      <c r="DU156" s="92"/>
      <c r="DV156" s="92"/>
      <c r="DW156" s="92"/>
      <c r="DX156" s="92"/>
      <c r="DY156" s="92"/>
      <c r="DZ156" s="92"/>
      <c r="EA156" s="92"/>
      <c r="EB156" s="92"/>
      <c r="EC156" s="92"/>
      <c r="ED156" s="92"/>
      <c r="EE156" s="92"/>
      <c r="EF156" s="92"/>
      <c r="EG156" s="92"/>
      <c r="EH156" s="92"/>
      <c r="EI156" s="92"/>
      <c r="EJ156" s="92"/>
      <c r="EK156" s="92"/>
      <c r="EL156" s="92"/>
      <c r="EM156" s="92"/>
      <c r="EN156" s="92"/>
      <c r="EO156" s="92"/>
      <c r="EP156" s="92"/>
      <c r="EQ156" s="92"/>
      <c r="ER156" s="92"/>
      <c r="ES156" s="92"/>
      <c r="ET156" s="92"/>
      <c r="EU156" s="92"/>
      <c r="EV156" s="92"/>
      <c r="EW156" s="92"/>
      <c r="EX156" s="92"/>
      <c r="EY156" s="92"/>
      <c r="EZ156" s="92"/>
      <c r="FA156" s="92"/>
      <c r="FB156" s="92"/>
      <c r="FC156" s="92"/>
      <c r="FD156" s="92"/>
      <c r="FE156" s="92"/>
      <c r="FF156" s="92"/>
      <c r="FG156" s="92"/>
      <c r="FH156" s="92"/>
    </row>
    <row r="157">
      <c r="A157" s="32" t="s">
        <v>7</v>
      </c>
      <c r="B157" s="32" t="s">
        <v>37</v>
      </c>
      <c r="C157" s="32" t="s">
        <v>10</v>
      </c>
      <c r="D157" s="97">
        <f t="shared" si="1"/>
        <v>361.8880844</v>
      </c>
      <c r="E157" s="92">
        <f>(SUBSTITUTE(Audio!E157, "RE-", "", 1))*1</f>
        <v>0</v>
      </c>
      <c r="F157" s="92">
        <f>(SUBSTITUTE(Audio!F157, "RE-", "", 1))*1</f>
        <v>0</v>
      </c>
      <c r="G157" s="92">
        <f>(SUBSTITUTE(Audio!G157, "RE-", "", 1))*1</f>
        <v>17.43266667</v>
      </c>
      <c r="H157" s="92">
        <f>(SUBSTITUTE(Audio!H157, "RE-", "", 1))*1</f>
        <v>0</v>
      </c>
      <c r="I157" s="92">
        <f>(SUBSTITUTE(Audio!I157, "RE-", "", 1))*1</f>
        <v>4.729172917</v>
      </c>
      <c r="J157" s="92">
        <f>(SUBSTITUTE(Audio!J157, "RE-", "", 1))*1</f>
        <v>0</v>
      </c>
      <c r="K157" s="92">
        <f>(SUBSTITUTE(Audio!K157, "RE-", "", 1))*1</f>
        <v>95.36450833</v>
      </c>
      <c r="L157" s="92">
        <f>(SUBSTITUTE(Audio!L157, "RE-", "", 1))*1</f>
        <v>0</v>
      </c>
      <c r="M157" s="92">
        <f>(SUBSTITUTE(Audio!M157, "RE-", "", 1))*1</f>
        <v>44.81143854</v>
      </c>
      <c r="N157" s="92">
        <f>(SUBSTITUTE(Audio!N157, "RE-", "", 1))*1</f>
        <v>0</v>
      </c>
      <c r="O157" s="92">
        <f>(SUBSTITUTE(Audio!O157, "RE-", "", 1))*1</f>
        <v>25.63435625</v>
      </c>
      <c r="P157" s="92">
        <f>(SUBSTITUTE(Audio!P157, "RE-", "", 1))*1</f>
        <v>0</v>
      </c>
      <c r="Q157" s="92">
        <f>(SUBSTITUTE(Audio!Q157, "RE-", "", 1))*1</f>
        <v>92.70290313</v>
      </c>
      <c r="R157" s="92">
        <f>(SUBSTITUTE(Audio!R157, "RE-", "", 1))*1</f>
        <v>0</v>
      </c>
      <c r="S157" s="92">
        <f>(SUBSTITUTE(Audio!S157, "RE-", "", 1))*1</f>
        <v>18.31217396</v>
      </c>
      <c r="T157" s="92">
        <f>(SUBSTITUTE(Audio!T157, "RE-", "", 1))*1</f>
        <v>0</v>
      </c>
      <c r="U157" s="92">
        <f>(SUBSTITUTE(Audio!U157, "RE-", "", 1))*1</f>
        <v>59.35400417</v>
      </c>
      <c r="V157" s="92">
        <f>(SUBSTITUTE(Audio!V157, "RE-", "", 1))*1</f>
        <v>3.546860417</v>
      </c>
      <c r="W157" s="92">
        <f>(SUBSTITUTE(Audio!W157, "RE-", "", 1))*1</f>
        <v>0</v>
      </c>
      <c r="X157" s="92">
        <f>(SUBSTITUTE(Audio!X157, "RE-", "", 1))*1</f>
        <v>0</v>
      </c>
      <c r="Y157" s="92">
        <f>(SUBSTITUTE(Audio!Y157, "RE-", "", 1))*1</f>
        <v>0</v>
      </c>
      <c r="Z157" s="92">
        <f>(SUBSTITUTE(Audio!Z157, "RE-", "", 1))*1</f>
        <v>0</v>
      </c>
      <c r="AA157" s="92"/>
      <c r="AB157" s="92"/>
      <c r="AC157" s="92"/>
      <c r="AD157" s="92"/>
      <c r="AE157" s="92"/>
      <c r="AF157" s="92"/>
      <c r="AG157" s="92"/>
      <c r="AH157" s="92"/>
      <c r="AI157" s="92"/>
      <c r="AJ157" s="92"/>
      <c r="AK157" s="92"/>
      <c r="AL157" s="92"/>
      <c r="AM157" s="92"/>
      <c r="AN157" s="92"/>
      <c r="AO157" s="92"/>
      <c r="AP157" s="92"/>
      <c r="AQ157" s="92"/>
      <c r="AR157" s="92"/>
      <c r="AS157" s="92"/>
      <c r="AT157" s="92"/>
      <c r="AU157" s="92"/>
      <c r="AV157" s="92"/>
      <c r="AW157" s="92"/>
      <c r="AX157" s="92"/>
      <c r="AY157" s="92"/>
      <c r="AZ157" s="92"/>
      <c r="BA157" s="92"/>
      <c r="BB157" s="92"/>
      <c r="BC157" s="92"/>
      <c r="BD157" s="92"/>
      <c r="BE157" s="92"/>
      <c r="BF157" s="92"/>
      <c r="BG157" s="92"/>
      <c r="BH157" s="92"/>
      <c r="BI157" s="92"/>
      <c r="BJ157" s="92"/>
      <c r="BK157" s="92"/>
      <c r="BL157" s="92"/>
      <c r="BM157" s="92"/>
      <c r="BN157" s="92"/>
      <c r="BO157" s="92"/>
      <c r="BP157" s="92"/>
      <c r="BQ157" s="92"/>
      <c r="BR157" s="92"/>
      <c r="BS157" s="92"/>
      <c r="BT157" s="92"/>
      <c r="BU157" s="92"/>
      <c r="BV157" s="92"/>
      <c r="BW157" s="92"/>
      <c r="BX157" s="92"/>
      <c r="BY157" s="92"/>
      <c r="BZ157" s="92"/>
      <c r="CA157" s="92"/>
      <c r="CB157" s="92"/>
      <c r="CC157" s="92"/>
      <c r="CD157" s="92"/>
      <c r="CE157" s="92"/>
      <c r="CF157" s="92"/>
      <c r="CG157" s="92"/>
      <c r="CH157" s="92"/>
      <c r="CI157" s="92"/>
      <c r="CJ157" s="92"/>
      <c r="CK157" s="92"/>
      <c r="CL157" s="92"/>
      <c r="CM157" s="92"/>
      <c r="CN157" s="92"/>
      <c r="CO157" s="92"/>
      <c r="CP157" s="92"/>
      <c r="CQ157" s="92"/>
      <c r="CR157" s="92"/>
      <c r="CS157" s="92"/>
      <c r="CT157" s="92"/>
      <c r="CU157" s="92"/>
      <c r="CV157" s="92"/>
      <c r="CW157" s="92"/>
      <c r="CX157" s="92"/>
      <c r="CY157" s="92"/>
      <c r="CZ157" s="92"/>
      <c r="DA157" s="92"/>
      <c r="DB157" s="92"/>
      <c r="DC157" s="92"/>
      <c r="DD157" s="92"/>
      <c r="DE157" s="92"/>
      <c r="DF157" s="92"/>
      <c r="DG157" s="92"/>
      <c r="DH157" s="92"/>
      <c r="DI157" s="92"/>
      <c r="DJ157" s="92"/>
      <c r="DK157" s="92"/>
      <c r="DL157" s="92"/>
      <c r="DM157" s="92"/>
      <c r="DN157" s="92"/>
      <c r="DO157" s="92"/>
      <c r="DP157" s="92"/>
      <c r="DQ157" s="92"/>
      <c r="DR157" s="92"/>
      <c r="DS157" s="92"/>
      <c r="DT157" s="92"/>
      <c r="DU157" s="92"/>
      <c r="DV157" s="92"/>
      <c r="DW157" s="92"/>
      <c r="DX157" s="92"/>
      <c r="DY157" s="92"/>
      <c r="DZ157" s="92"/>
      <c r="EA157" s="92"/>
      <c r="EB157" s="92"/>
      <c r="EC157" s="92"/>
      <c r="ED157" s="92"/>
      <c r="EE157" s="92"/>
      <c r="EF157" s="92"/>
      <c r="EG157" s="92"/>
      <c r="EH157" s="92"/>
      <c r="EI157" s="92"/>
      <c r="EJ157" s="92"/>
      <c r="EK157" s="92"/>
      <c r="EL157" s="92"/>
      <c r="EM157" s="92"/>
      <c r="EN157" s="92"/>
      <c r="EO157" s="92"/>
      <c r="EP157" s="92"/>
      <c r="EQ157" s="92"/>
      <c r="ER157" s="92"/>
      <c r="ES157" s="92"/>
      <c r="ET157" s="92"/>
      <c r="EU157" s="92"/>
      <c r="EV157" s="92"/>
      <c r="EW157" s="92"/>
      <c r="EX157" s="92"/>
      <c r="EY157" s="92"/>
      <c r="EZ157" s="92"/>
      <c r="FA157" s="92"/>
      <c r="FB157" s="92"/>
      <c r="FC157" s="92"/>
      <c r="FD157" s="92"/>
      <c r="FE157" s="92"/>
      <c r="FF157" s="92"/>
      <c r="FG157" s="92"/>
      <c r="FH157" s="92"/>
    </row>
    <row r="158">
      <c r="A158" s="32" t="s">
        <v>7</v>
      </c>
      <c r="B158" s="32" t="s">
        <v>37</v>
      </c>
      <c r="C158" s="32" t="s">
        <v>11</v>
      </c>
      <c r="D158" s="97">
        <f t="shared" si="1"/>
        <v>361.8880844</v>
      </c>
      <c r="E158" s="92">
        <f>(SUBSTITUTE(Audio!E158, "RE-", "", 1))*1</f>
        <v>0</v>
      </c>
      <c r="F158" s="92">
        <f>(SUBSTITUTE(Audio!F158, "RE-", "", 1))*1</f>
        <v>0</v>
      </c>
      <c r="G158" s="92">
        <f>(SUBSTITUTE(Audio!G158, "RE-", "", 1))*1</f>
        <v>17.43266667</v>
      </c>
      <c r="H158" s="92">
        <f>(SUBSTITUTE(Audio!H158, "RE-", "", 1))*1</f>
        <v>0</v>
      </c>
      <c r="I158" s="92">
        <f>(SUBSTITUTE(Audio!I158, "RE-", "", 1))*1</f>
        <v>4.729172917</v>
      </c>
      <c r="J158" s="92">
        <f>(SUBSTITUTE(Audio!J158, "RE-", "", 1))*1</f>
        <v>0</v>
      </c>
      <c r="K158" s="92">
        <f>(SUBSTITUTE(Audio!K158, "RE-", "", 1))*1</f>
        <v>95.36450833</v>
      </c>
      <c r="L158" s="92">
        <f>(SUBSTITUTE(Audio!L158, "RE-", "", 1))*1</f>
        <v>0</v>
      </c>
      <c r="M158" s="92">
        <f>(SUBSTITUTE(Audio!M158, "RE-", "", 1))*1</f>
        <v>44.81143854</v>
      </c>
      <c r="N158" s="92">
        <f>(SUBSTITUTE(Audio!N158, "RE-", "", 1))*1</f>
        <v>0</v>
      </c>
      <c r="O158" s="92">
        <f>(SUBSTITUTE(Audio!O158, "RE-", "", 1))*1</f>
        <v>25.63435625</v>
      </c>
      <c r="P158" s="92">
        <f>(SUBSTITUTE(Audio!P158, "RE-", "", 1))*1</f>
        <v>0</v>
      </c>
      <c r="Q158" s="92">
        <f>(SUBSTITUTE(Audio!Q158, "RE-", "", 1))*1</f>
        <v>92.70290313</v>
      </c>
      <c r="R158" s="92">
        <f>(SUBSTITUTE(Audio!R158, "RE-", "", 1))*1</f>
        <v>0</v>
      </c>
      <c r="S158" s="92">
        <f>(SUBSTITUTE(Audio!S158, "RE-", "", 1))*1</f>
        <v>18.31217396</v>
      </c>
      <c r="T158" s="92">
        <f>(SUBSTITUTE(Audio!T158, "RE-", "", 1))*1</f>
        <v>0</v>
      </c>
      <c r="U158" s="92">
        <f>(SUBSTITUTE(Audio!U158, "RE-", "", 1))*1</f>
        <v>59.35400417</v>
      </c>
      <c r="V158" s="92">
        <f>(SUBSTITUTE(Audio!V158, "RE-", "", 1))*1</f>
        <v>3.546860417</v>
      </c>
      <c r="W158" s="92">
        <f>(SUBSTITUTE(Audio!W158, "RE-", "", 1))*1</f>
        <v>0</v>
      </c>
      <c r="X158" s="92">
        <f>(SUBSTITUTE(Audio!X158, "RE-", "", 1))*1</f>
        <v>0</v>
      </c>
      <c r="Y158" s="92">
        <f>(SUBSTITUTE(Audio!Y158, "RE-", "", 1))*1</f>
        <v>0</v>
      </c>
      <c r="Z158" s="92">
        <f>(SUBSTITUTE(Audio!Z158, "RE-", "", 1))*1</f>
        <v>0</v>
      </c>
      <c r="AA158" s="92"/>
      <c r="AB158" s="92"/>
      <c r="AC158" s="92"/>
      <c r="AD158" s="92"/>
      <c r="AE158" s="92"/>
      <c r="AF158" s="92"/>
      <c r="AG158" s="92"/>
      <c r="AH158" s="92"/>
      <c r="AI158" s="92"/>
      <c r="AJ158" s="92"/>
      <c r="AK158" s="92"/>
      <c r="AL158" s="92"/>
      <c r="AM158" s="92"/>
      <c r="AN158" s="92"/>
      <c r="AO158" s="92"/>
      <c r="AP158" s="92"/>
      <c r="AQ158" s="92"/>
      <c r="AR158" s="92"/>
      <c r="AS158" s="92"/>
      <c r="AT158" s="92"/>
      <c r="AU158" s="92"/>
      <c r="AV158" s="92"/>
      <c r="AW158" s="92"/>
      <c r="AX158" s="92"/>
      <c r="AY158" s="92"/>
      <c r="AZ158" s="92"/>
      <c r="BA158" s="92"/>
      <c r="BB158" s="92"/>
      <c r="BC158" s="92"/>
      <c r="BD158" s="92"/>
      <c r="BE158" s="92"/>
      <c r="BF158" s="92"/>
      <c r="BG158" s="92"/>
      <c r="BH158" s="92"/>
      <c r="BI158" s="92"/>
      <c r="BJ158" s="92"/>
      <c r="BK158" s="92"/>
      <c r="BL158" s="92"/>
      <c r="BM158" s="92"/>
      <c r="BN158" s="92"/>
      <c r="BO158" s="92"/>
      <c r="BP158" s="92"/>
      <c r="BQ158" s="92"/>
      <c r="BR158" s="92"/>
      <c r="BS158" s="92"/>
      <c r="BT158" s="92"/>
      <c r="BU158" s="92"/>
      <c r="BV158" s="92"/>
      <c r="BW158" s="92"/>
      <c r="BX158" s="92"/>
      <c r="BY158" s="92"/>
      <c r="BZ158" s="92"/>
      <c r="CA158" s="92"/>
      <c r="CB158" s="92"/>
      <c r="CC158" s="92"/>
      <c r="CD158" s="92"/>
      <c r="CE158" s="92"/>
      <c r="CF158" s="92"/>
      <c r="CG158" s="92"/>
      <c r="CH158" s="92"/>
      <c r="CI158" s="92"/>
      <c r="CJ158" s="92"/>
      <c r="CK158" s="92"/>
      <c r="CL158" s="92"/>
      <c r="CM158" s="92"/>
      <c r="CN158" s="92"/>
      <c r="CO158" s="92"/>
      <c r="CP158" s="92"/>
      <c r="CQ158" s="92"/>
      <c r="CR158" s="92"/>
      <c r="CS158" s="92"/>
      <c r="CT158" s="92"/>
      <c r="CU158" s="92"/>
      <c r="CV158" s="92"/>
      <c r="CW158" s="92"/>
      <c r="CX158" s="92"/>
      <c r="CY158" s="92"/>
      <c r="CZ158" s="92"/>
      <c r="DA158" s="92"/>
      <c r="DB158" s="92"/>
      <c r="DC158" s="92"/>
      <c r="DD158" s="92"/>
      <c r="DE158" s="92"/>
      <c r="DF158" s="92"/>
      <c r="DG158" s="92"/>
      <c r="DH158" s="92"/>
      <c r="DI158" s="92"/>
      <c r="DJ158" s="92"/>
      <c r="DK158" s="92"/>
      <c r="DL158" s="92"/>
      <c r="DM158" s="92"/>
      <c r="DN158" s="92"/>
      <c r="DO158" s="92"/>
      <c r="DP158" s="92"/>
      <c r="DQ158" s="92"/>
      <c r="DR158" s="92"/>
      <c r="DS158" s="92"/>
      <c r="DT158" s="92"/>
      <c r="DU158" s="92"/>
      <c r="DV158" s="92"/>
      <c r="DW158" s="92"/>
      <c r="DX158" s="92"/>
      <c r="DY158" s="92"/>
      <c r="DZ158" s="92"/>
      <c r="EA158" s="92"/>
      <c r="EB158" s="92"/>
      <c r="EC158" s="92"/>
      <c r="ED158" s="92"/>
      <c r="EE158" s="92"/>
      <c r="EF158" s="92"/>
      <c r="EG158" s="92"/>
      <c r="EH158" s="92"/>
      <c r="EI158" s="92"/>
      <c r="EJ158" s="92"/>
      <c r="EK158" s="92"/>
      <c r="EL158" s="92"/>
      <c r="EM158" s="92"/>
      <c r="EN158" s="92"/>
      <c r="EO158" s="92"/>
      <c r="EP158" s="92"/>
      <c r="EQ158" s="92"/>
      <c r="ER158" s="92"/>
      <c r="ES158" s="92"/>
      <c r="ET158" s="92"/>
      <c r="EU158" s="92"/>
      <c r="EV158" s="92"/>
      <c r="EW158" s="92"/>
      <c r="EX158" s="92"/>
      <c r="EY158" s="92"/>
      <c r="EZ158" s="92"/>
      <c r="FA158" s="92"/>
      <c r="FB158" s="92"/>
      <c r="FC158" s="92"/>
      <c r="FD158" s="92"/>
      <c r="FE158" s="92"/>
      <c r="FF158" s="92"/>
      <c r="FG158" s="92"/>
      <c r="FH158" s="92"/>
    </row>
    <row r="159">
      <c r="A159" s="32" t="s">
        <v>7</v>
      </c>
      <c r="B159" s="32" t="s">
        <v>37</v>
      </c>
      <c r="C159" s="32" t="s">
        <v>12</v>
      </c>
      <c r="D159" s="97">
        <f t="shared" si="1"/>
        <v>4804.69388</v>
      </c>
      <c r="E159" s="92">
        <f>(SUBSTITUTE(Audio!E159, "RE-", "", 1))*1</f>
        <v>0</v>
      </c>
      <c r="F159" s="92">
        <f>(SUBSTITUTE(Audio!F159, "RE-", "", 1))*1</f>
        <v>412.4901438</v>
      </c>
      <c r="G159" s="92">
        <f>(SUBSTITUTE(Audio!G159, "RE-", "", 1))*1</f>
        <v>1.251775</v>
      </c>
      <c r="H159" s="92">
        <f>(SUBSTITUTE(Audio!H159, "RE-", "", 1))*1</f>
        <v>79.34179583</v>
      </c>
      <c r="I159" s="92">
        <f>(SUBSTITUTE(Audio!I159, "RE-", "", 1))*1</f>
        <v>0.2249604167</v>
      </c>
      <c r="J159" s="92">
        <f>(SUBSTITUTE(Audio!J159, "RE-", "", 1))*1</f>
        <v>1100.566911</v>
      </c>
      <c r="K159" s="92">
        <f>(SUBSTITUTE(Audio!K159, "RE-", "", 1))*1</f>
        <v>6.065670833</v>
      </c>
      <c r="L159" s="92">
        <f>(SUBSTITUTE(Audio!L159, "RE-", "", 1))*1</f>
        <v>1029.630688</v>
      </c>
      <c r="M159" s="92">
        <f>(SUBSTITUTE(Audio!M159, "RE-", "", 1))*1</f>
        <v>12.922925</v>
      </c>
      <c r="N159" s="92">
        <f>(SUBSTITUTE(Audio!N159, "RE-", "", 1))*1</f>
        <v>450.7843885</v>
      </c>
      <c r="O159" s="92">
        <f>(SUBSTITUTE(Audio!O159, "RE-", "", 1))*1</f>
        <v>1.601375</v>
      </c>
      <c r="P159" s="92">
        <f>(SUBSTITUTE(Audio!P159, "RE-", "", 1))*1</f>
        <v>855.9872688</v>
      </c>
      <c r="Q159" s="92">
        <f>(SUBSTITUTE(Audio!Q159, "RE-", "", 1))*1</f>
        <v>39.00570417</v>
      </c>
      <c r="R159" s="92">
        <f>(SUBSTITUTE(Audio!R159, "RE-", "", 1))*1</f>
        <v>247.0817625</v>
      </c>
      <c r="S159" s="92">
        <f>(SUBSTITUTE(Audio!S159, "RE-", "", 1))*1</f>
        <v>9.265334375</v>
      </c>
      <c r="T159" s="92">
        <f>(SUBSTITUTE(Audio!T159, "RE-", "", 1))*1</f>
        <v>524.9698802</v>
      </c>
      <c r="U159" s="92">
        <f>(SUBSTITUTE(Audio!U159, "RE-", "", 1))*1</f>
        <v>31.97990417</v>
      </c>
      <c r="V159" s="92">
        <f>(SUBSTITUTE(Audio!V159, "RE-", "", 1))*1</f>
        <v>1.523391667</v>
      </c>
      <c r="W159" s="92">
        <f>(SUBSTITUTE(Audio!W159, "RE-", "", 1))*1</f>
        <v>0</v>
      </c>
      <c r="X159" s="92">
        <f>(SUBSTITUTE(Audio!X159, "RE-", "", 1))*1</f>
        <v>0</v>
      </c>
      <c r="Y159" s="92">
        <f>(SUBSTITUTE(Audio!Y159, "RE-", "", 1))*1</f>
        <v>0</v>
      </c>
      <c r="Z159" s="92">
        <f>(SUBSTITUTE(Audio!Z159, "RE-", "", 1))*1</f>
        <v>0</v>
      </c>
      <c r="AA159" s="92"/>
      <c r="AB159" s="92"/>
      <c r="AC159" s="92"/>
      <c r="AD159" s="92"/>
      <c r="AE159" s="92"/>
      <c r="AF159" s="92"/>
      <c r="AG159" s="92"/>
      <c r="AH159" s="92"/>
      <c r="AI159" s="92"/>
      <c r="AJ159" s="92"/>
      <c r="AK159" s="92"/>
      <c r="AL159" s="92"/>
      <c r="AM159" s="92"/>
      <c r="AN159" s="92"/>
      <c r="AO159" s="92"/>
      <c r="AP159" s="92"/>
      <c r="AQ159" s="92"/>
      <c r="AR159" s="92"/>
      <c r="AS159" s="92"/>
      <c r="AT159" s="92"/>
      <c r="AU159" s="92"/>
      <c r="AV159" s="92"/>
      <c r="AW159" s="92"/>
      <c r="AX159" s="92"/>
      <c r="AY159" s="92"/>
      <c r="AZ159" s="92"/>
      <c r="BA159" s="92"/>
      <c r="BB159" s="92"/>
      <c r="BC159" s="92"/>
      <c r="BD159" s="92"/>
      <c r="BE159" s="92"/>
      <c r="BF159" s="92"/>
      <c r="BG159" s="92"/>
      <c r="BH159" s="92"/>
      <c r="BI159" s="92"/>
      <c r="BJ159" s="92"/>
      <c r="BK159" s="92"/>
      <c r="BL159" s="92"/>
      <c r="BM159" s="92"/>
      <c r="BN159" s="92"/>
      <c r="BO159" s="92"/>
      <c r="BP159" s="92"/>
      <c r="BQ159" s="92"/>
      <c r="BR159" s="92"/>
      <c r="BS159" s="92"/>
      <c r="BT159" s="92"/>
      <c r="BU159" s="92"/>
      <c r="BV159" s="92"/>
      <c r="BW159" s="92"/>
      <c r="BX159" s="92"/>
      <c r="BY159" s="92"/>
      <c r="BZ159" s="92"/>
      <c r="CA159" s="92"/>
      <c r="CB159" s="92"/>
      <c r="CC159" s="92"/>
      <c r="CD159" s="92"/>
      <c r="CE159" s="92"/>
      <c r="CF159" s="92"/>
      <c r="CG159" s="92"/>
      <c r="CH159" s="92"/>
      <c r="CI159" s="92"/>
      <c r="CJ159" s="92"/>
      <c r="CK159" s="92"/>
      <c r="CL159" s="92"/>
      <c r="CM159" s="92"/>
      <c r="CN159" s="92"/>
      <c r="CO159" s="92"/>
      <c r="CP159" s="92"/>
      <c r="CQ159" s="92"/>
      <c r="CR159" s="92"/>
      <c r="CS159" s="92"/>
      <c r="CT159" s="92"/>
      <c r="CU159" s="92"/>
      <c r="CV159" s="92"/>
      <c r="CW159" s="92"/>
      <c r="CX159" s="92"/>
      <c r="CY159" s="92"/>
      <c r="CZ159" s="92"/>
      <c r="DA159" s="92"/>
      <c r="DB159" s="92"/>
      <c r="DC159" s="92"/>
      <c r="DD159" s="92"/>
      <c r="DE159" s="92"/>
      <c r="DF159" s="92"/>
      <c r="DG159" s="92"/>
      <c r="DH159" s="92"/>
      <c r="DI159" s="92"/>
      <c r="DJ159" s="92"/>
      <c r="DK159" s="92"/>
      <c r="DL159" s="92"/>
      <c r="DM159" s="92"/>
      <c r="DN159" s="92"/>
      <c r="DO159" s="92"/>
      <c r="DP159" s="92"/>
      <c r="DQ159" s="92"/>
      <c r="DR159" s="92"/>
      <c r="DS159" s="92"/>
      <c r="DT159" s="92"/>
      <c r="DU159" s="92"/>
      <c r="DV159" s="92"/>
      <c r="DW159" s="92"/>
      <c r="DX159" s="92"/>
      <c r="DY159" s="92"/>
      <c r="DZ159" s="92"/>
      <c r="EA159" s="92"/>
      <c r="EB159" s="92"/>
      <c r="EC159" s="92"/>
      <c r="ED159" s="92"/>
      <c r="EE159" s="92"/>
      <c r="EF159" s="92"/>
      <c r="EG159" s="92"/>
      <c r="EH159" s="92"/>
      <c r="EI159" s="92"/>
      <c r="EJ159" s="92"/>
      <c r="EK159" s="92"/>
      <c r="EL159" s="92"/>
      <c r="EM159" s="92"/>
      <c r="EN159" s="92"/>
      <c r="EO159" s="92"/>
      <c r="EP159" s="92"/>
      <c r="EQ159" s="92"/>
      <c r="ER159" s="92"/>
      <c r="ES159" s="92"/>
      <c r="ET159" s="92"/>
      <c r="EU159" s="92"/>
      <c r="EV159" s="92"/>
      <c r="EW159" s="92"/>
      <c r="EX159" s="92"/>
      <c r="EY159" s="92"/>
      <c r="EZ159" s="92"/>
      <c r="FA159" s="92"/>
      <c r="FB159" s="92"/>
      <c r="FC159" s="92"/>
      <c r="FD159" s="92"/>
      <c r="FE159" s="92"/>
      <c r="FF159" s="92"/>
      <c r="FG159" s="92"/>
      <c r="FH159" s="92"/>
    </row>
    <row r="160">
      <c r="A160" s="32" t="s">
        <v>7</v>
      </c>
      <c r="B160" s="32" t="s">
        <v>37</v>
      </c>
      <c r="C160" s="32" t="s">
        <v>13</v>
      </c>
      <c r="D160" s="97">
        <f t="shared" si="1"/>
        <v>4626.46049</v>
      </c>
      <c r="E160" s="92">
        <f>(SUBSTITUTE(Audio!E160, "RE-", "", 1))*1</f>
        <v>0</v>
      </c>
      <c r="F160" s="92">
        <f>(SUBSTITUTE(Audio!F160, "RE-", "", 1))*1</f>
        <v>399.427</v>
      </c>
      <c r="G160" s="92">
        <f>(SUBSTITUTE(Audio!G160, "RE-", "", 1))*1</f>
        <v>1.2323</v>
      </c>
      <c r="H160" s="92">
        <f>(SUBSTITUTE(Audio!H160, "RE-", "", 1))*1</f>
        <v>77.8924</v>
      </c>
      <c r="I160" s="92">
        <f>(SUBSTITUTE(Audio!I160, "RE-", "", 1))*1</f>
        <v>0.22415</v>
      </c>
      <c r="J160" s="92">
        <f>(SUBSTITUTE(Audio!J160, "RE-", "", 1))*1</f>
        <v>1067.74</v>
      </c>
      <c r="K160" s="92">
        <f>(SUBSTITUTE(Audio!K160, "RE-", "", 1))*1</f>
        <v>5.87978</v>
      </c>
      <c r="L160" s="92">
        <f>(SUBSTITUTE(Audio!L160, "RE-", "", 1))*1</f>
        <v>984.768</v>
      </c>
      <c r="M160" s="92">
        <f>(SUBSTITUTE(Audio!M160, "RE-", "", 1))*1</f>
        <v>12.3585</v>
      </c>
      <c r="N160" s="92">
        <f>(SUBSTITUTE(Audio!N160, "RE-", "", 1))*1</f>
        <v>433.92</v>
      </c>
      <c r="O160" s="92">
        <f>(SUBSTITUTE(Audio!O160, "RE-", "", 1))*1</f>
        <v>1.45192</v>
      </c>
      <c r="P160" s="92">
        <f>(SUBSTITUTE(Audio!P160, "RE-", "", 1))*1</f>
        <v>818.497</v>
      </c>
      <c r="Q160" s="92">
        <f>(SUBSTITUTE(Audio!Q160, "RE-", "", 1))*1</f>
        <v>36.0903</v>
      </c>
      <c r="R160" s="92">
        <f>(SUBSTITUTE(Audio!R160, "RE-", "", 1))*1</f>
        <v>239.084</v>
      </c>
      <c r="S160" s="92">
        <f>(SUBSTITUTE(Audio!S160, "RE-", "", 1))*1</f>
        <v>8.54777</v>
      </c>
      <c r="T160" s="92">
        <f>(SUBSTITUTE(Audio!T160, "RE-", "", 1))*1</f>
        <v>507.569</v>
      </c>
      <c r="U160" s="92">
        <f>(SUBSTITUTE(Audio!U160, "RE-", "", 1))*1</f>
        <v>30.2851</v>
      </c>
      <c r="V160" s="92">
        <f>(SUBSTITUTE(Audio!V160, "RE-", "", 1))*1</f>
        <v>1.49327</v>
      </c>
      <c r="W160" s="92">
        <f>(SUBSTITUTE(Audio!W160, "RE-", "", 1))*1</f>
        <v>0</v>
      </c>
      <c r="X160" s="92">
        <f>(SUBSTITUTE(Audio!X160, "RE-", "", 1))*1</f>
        <v>0</v>
      </c>
      <c r="Y160" s="92">
        <f>(SUBSTITUTE(Audio!Y160, "RE-", "", 1))*1</f>
        <v>0</v>
      </c>
      <c r="Z160" s="92">
        <f>(SUBSTITUTE(Audio!Z160, "RE-", "", 1))*1</f>
        <v>0</v>
      </c>
      <c r="AA160" s="92"/>
      <c r="AB160" s="92"/>
      <c r="AC160" s="92"/>
      <c r="AD160" s="92"/>
      <c r="AE160" s="92"/>
      <c r="AF160" s="92"/>
      <c r="AG160" s="92"/>
      <c r="AH160" s="92"/>
      <c r="AI160" s="92"/>
      <c r="AJ160" s="92"/>
      <c r="AK160" s="92"/>
      <c r="AL160" s="92"/>
      <c r="AM160" s="92"/>
      <c r="AN160" s="92"/>
      <c r="AO160" s="92"/>
      <c r="AP160" s="92"/>
      <c r="AQ160" s="92"/>
      <c r="AR160" s="92"/>
      <c r="AS160" s="92"/>
      <c r="AT160" s="92"/>
      <c r="AU160" s="92"/>
      <c r="AV160" s="92"/>
      <c r="AW160" s="92"/>
      <c r="AX160" s="92"/>
      <c r="AY160" s="92"/>
      <c r="AZ160" s="92"/>
      <c r="BA160" s="92"/>
      <c r="BB160" s="92"/>
      <c r="BC160" s="92"/>
      <c r="BD160" s="92"/>
      <c r="BE160" s="92"/>
      <c r="BF160" s="92"/>
      <c r="BG160" s="92"/>
      <c r="BH160" s="92"/>
      <c r="BI160" s="92"/>
      <c r="BJ160" s="92"/>
      <c r="BK160" s="92"/>
      <c r="BL160" s="92"/>
      <c r="BM160" s="92"/>
      <c r="BN160" s="92"/>
      <c r="BO160" s="92"/>
      <c r="BP160" s="92"/>
      <c r="BQ160" s="92"/>
      <c r="BR160" s="92"/>
      <c r="BS160" s="92"/>
      <c r="BT160" s="92"/>
      <c r="BU160" s="92"/>
      <c r="BV160" s="92"/>
      <c r="BW160" s="92"/>
      <c r="BX160" s="92"/>
      <c r="BY160" s="92"/>
      <c r="BZ160" s="92"/>
      <c r="CA160" s="92"/>
      <c r="CB160" s="92"/>
      <c r="CC160" s="92"/>
      <c r="CD160" s="92"/>
      <c r="CE160" s="92"/>
      <c r="CF160" s="92"/>
      <c r="CG160" s="92"/>
      <c r="CH160" s="92"/>
      <c r="CI160" s="92"/>
      <c r="CJ160" s="92"/>
      <c r="CK160" s="92"/>
      <c r="CL160" s="92"/>
      <c r="CM160" s="92"/>
      <c r="CN160" s="92"/>
      <c r="CO160" s="92"/>
      <c r="CP160" s="92"/>
      <c r="CQ160" s="92"/>
      <c r="CR160" s="92"/>
      <c r="CS160" s="92"/>
      <c r="CT160" s="92"/>
      <c r="CU160" s="92"/>
      <c r="CV160" s="92"/>
      <c r="CW160" s="92"/>
      <c r="CX160" s="92"/>
      <c r="CY160" s="92"/>
      <c r="CZ160" s="92"/>
      <c r="DA160" s="92"/>
      <c r="DB160" s="92"/>
      <c r="DC160" s="92"/>
      <c r="DD160" s="92"/>
      <c r="DE160" s="92"/>
      <c r="DF160" s="92"/>
      <c r="DG160" s="92"/>
      <c r="DH160" s="92"/>
      <c r="DI160" s="92"/>
      <c r="DJ160" s="92"/>
      <c r="DK160" s="92"/>
      <c r="DL160" s="92"/>
      <c r="DM160" s="92"/>
      <c r="DN160" s="92"/>
      <c r="DO160" s="92"/>
      <c r="DP160" s="92"/>
      <c r="DQ160" s="92"/>
      <c r="DR160" s="92"/>
      <c r="DS160" s="92"/>
      <c r="DT160" s="92"/>
      <c r="DU160" s="92"/>
      <c r="DV160" s="92"/>
      <c r="DW160" s="92"/>
      <c r="DX160" s="92"/>
      <c r="DY160" s="92"/>
      <c r="DZ160" s="92"/>
      <c r="EA160" s="92"/>
      <c r="EB160" s="92"/>
      <c r="EC160" s="92"/>
      <c r="ED160" s="92"/>
      <c r="EE160" s="92"/>
      <c r="EF160" s="92"/>
      <c r="EG160" s="92"/>
      <c r="EH160" s="92"/>
      <c r="EI160" s="92"/>
      <c r="EJ160" s="92"/>
      <c r="EK160" s="92"/>
      <c r="EL160" s="92"/>
      <c r="EM160" s="92"/>
      <c r="EN160" s="92"/>
      <c r="EO160" s="92"/>
      <c r="EP160" s="92"/>
      <c r="EQ160" s="92"/>
      <c r="ER160" s="92"/>
      <c r="ES160" s="92"/>
      <c r="ET160" s="92"/>
      <c r="EU160" s="92"/>
      <c r="EV160" s="92"/>
      <c r="EW160" s="92"/>
      <c r="EX160" s="92"/>
      <c r="EY160" s="92"/>
      <c r="EZ160" s="92"/>
      <c r="FA160" s="92"/>
      <c r="FB160" s="92"/>
      <c r="FC160" s="92"/>
      <c r="FD160" s="92"/>
      <c r="FE160" s="92"/>
      <c r="FF160" s="92"/>
      <c r="FG160" s="92"/>
      <c r="FH160" s="92"/>
    </row>
    <row r="161">
      <c r="A161" s="32" t="s">
        <v>7</v>
      </c>
      <c r="B161" s="32" t="s">
        <v>37</v>
      </c>
      <c r="C161" s="32" t="s">
        <v>14</v>
      </c>
      <c r="D161" s="97">
        <f t="shared" si="1"/>
        <v>4063.85908</v>
      </c>
      <c r="E161" s="92">
        <f>(SUBSTITUTE(Audio!E161, "RE-", "", 1))*1</f>
        <v>0</v>
      </c>
      <c r="F161" s="92">
        <f>(SUBSTITUTE(Audio!F161, "RE-", "", 1))*1</f>
        <v>353.379</v>
      </c>
      <c r="G161" s="92">
        <f>(SUBSTITUTE(Audio!G161, "RE-", "", 1))*1</f>
        <v>1.2323</v>
      </c>
      <c r="H161" s="92">
        <f>(SUBSTITUTE(Audio!H161, "RE-", "", 1))*1</f>
        <v>70.9303</v>
      </c>
      <c r="I161" s="92">
        <f>(SUBSTITUTE(Audio!I161, "RE-", "", 1))*1</f>
        <v>0.22415</v>
      </c>
      <c r="J161" s="92">
        <f>(SUBSTITUTE(Audio!J161, "RE-", "", 1))*1</f>
        <v>988.544</v>
      </c>
      <c r="K161" s="92">
        <f>(SUBSTITUTE(Audio!K161, "RE-", "", 1))*1</f>
        <v>5.09195</v>
      </c>
      <c r="L161" s="92">
        <f>(SUBSTITUTE(Audio!L161, "RE-", "", 1))*1</f>
        <v>854.141</v>
      </c>
      <c r="M161" s="92">
        <f>(SUBSTITUTE(Audio!M161, "RE-", "", 1))*1</f>
        <v>10.7689</v>
      </c>
      <c r="N161" s="92">
        <f>(SUBSTITUTE(Audio!N161, "RE-", "", 1))*1</f>
        <v>369.306</v>
      </c>
      <c r="O161" s="92">
        <f>(SUBSTITUTE(Audio!O161, "RE-", "", 1))*1</f>
        <v>1.45192</v>
      </c>
      <c r="P161" s="92">
        <f>(SUBSTITUTE(Audio!P161, "RE-", "", 1))*1</f>
        <v>710.148</v>
      </c>
      <c r="Q161" s="92">
        <f>(SUBSTITUTE(Audio!Q161, "RE-", "", 1))*1</f>
        <v>30.9292</v>
      </c>
      <c r="R161" s="92">
        <f>(SUBSTITUTE(Audio!R161, "RE-", "", 1))*1</f>
        <v>198.866</v>
      </c>
      <c r="S161" s="92">
        <f>(SUBSTITUTE(Audio!S161, "RE-", "", 1))*1</f>
        <v>8.40713</v>
      </c>
      <c r="T161" s="92">
        <f>(SUBSTITUTE(Audio!T161, "RE-", "", 1))*1</f>
        <v>430.523</v>
      </c>
      <c r="U161" s="92">
        <f>(SUBSTITUTE(Audio!U161, "RE-", "", 1))*1</f>
        <v>28.5996</v>
      </c>
      <c r="V161" s="92">
        <f>(SUBSTITUTE(Audio!V161, "RE-", "", 1))*1</f>
        <v>1.31663</v>
      </c>
      <c r="W161" s="92">
        <f>(SUBSTITUTE(Audio!W161, "RE-", "", 1))*1</f>
        <v>0</v>
      </c>
      <c r="X161" s="92">
        <f>(SUBSTITUTE(Audio!X161, "RE-", "", 1))*1</f>
        <v>0</v>
      </c>
      <c r="Y161" s="92">
        <f>(SUBSTITUTE(Audio!Y161, "RE-", "", 1))*1</f>
        <v>0</v>
      </c>
      <c r="Z161" s="92">
        <f>(SUBSTITUTE(Audio!Z161, "RE-", "", 1))*1</f>
        <v>0</v>
      </c>
      <c r="AA161" s="92"/>
      <c r="AB161" s="92"/>
      <c r="AC161" s="92"/>
      <c r="AD161" s="92"/>
      <c r="AE161" s="92"/>
      <c r="AF161" s="92"/>
      <c r="AG161" s="92"/>
      <c r="AH161" s="92"/>
      <c r="AI161" s="92"/>
      <c r="AJ161" s="92"/>
      <c r="AK161" s="92"/>
      <c r="AL161" s="92"/>
      <c r="AM161" s="92"/>
      <c r="AN161" s="92"/>
      <c r="AO161" s="92"/>
      <c r="AP161" s="92"/>
      <c r="AQ161" s="92"/>
      <c r="AR161" s="92"/>
      <c r="AS161" s="92"/>
      <c r="AT161" s="92"/>
      <c r="AU161" s="92"/>
      <c r="AV161" s="92"/>
      <c r="AW161" s="92"/>
      <c r="AX161" s="92"/>
      <c r="AY161" s="92"/>
      <c r="AZ161" s="92"/>
      <c r="BA161" s="92"/>
      <c r="BB161" s="92"/>
      <c r="BC161" s="92"/>
      <c r="BD161" s="92"/>
      <c r="BE161" s="92"/>
      <c r="BF161" s="92"/>
      <c r="BG161" s="92"/>
      <c r="BH161" s="92"/>
      <c r="BI161" s="92"/>
      <c r="BJ161" s="92"/>
      <c r="BK161" s="92"/>
      <c r="BL161" s="92"/>
      <c r="BM161" s="92"/>
      <c r="BN161" s="92"/>
      <c r="BO161" s="92"/>
      <c r="BP161" s="92"/>
      <c r="BQ161" s="92"/>
      <c r="BR161" s="92"/>
      <c r="BS161" s="92"/>
      <c r="BT161" s="92"/>
      <c r="BU161" s="92"/>
      <c r="BV161" s="92"/>
      <c r="BW161" s="92"/>
      <c r="BX161" s="92"/>
      <c r="BY161" s="92"/>
      <c r="BZ161" s="92"/>
      <c r="CA161" s="92"/>
      <c r="CB161" s="92"/>
      <c r="CC161" s="92"/>
      <c r="CD161" s="92"/>
      <c r="CE161" s="92"/>
      <c r="CF161" s="92"/>
      <c r="CG161" s="92"/>
      <c r="CH161" s="92"/>
      <c r="CI161" s="92"/>
      <c r="CJ161" s="92"/>
      <c r="CK161" s="92"/>
      <c r="CL161" s="92"/>
      <c r="CM161" s="92"/>
      <c r="CN161" s="92"/>
      <c r="CO161" s="92"/>
      <c r="CP161" s="92"/>
      <c r="CQ161" s="92"/>
      <c r="CR161" s="92"/>
      <c r="CS161" s="92"/>
      <c r="CT161" s="92"/>
      <c r="CU161" s="92"/>
      <c r="CV161" s="92"/>
      <c r="CW161" s="92"/>
      <c r="CX161" s="92"/>
      <c r="CY161" s="92"/>
      <c r="CZ161" s="92"/>
      <c r="DA161" s="92"/>
      <c r="DB161" s="92"/>
      <c r="DC161" s="92"/>
      <c r="DD161" s="92"/>
      <c r="DE161" s="92"/>
      <c r="DF161" s="92"/>
      <c r="DG161" s="92"/>
      <c r="DH161" s="92"/>
      <c r="DI161" s="92"/>
      <c r="DJ161" s="92"/>
      <c r="DK161" s="92"/>
      <c r="DL161" s="92"/>
      <c r="DM161" s="92"/>
      <c r="DN161" s="92"/>
      <c r="DO161" s="92"/>
      <c r="DP161" s="92"/>
      <c r="DQ161" s="92"/>
      <c r="DR161" s="92"/>
      <c r="DS161" s="92"/>
      <c r="DT161" s="92"/>
      <c r="DU161" s="92"/>
      <c r="DV161" s="92"/>
      <c r="DW161" s="92"/>
      <c r="DX161" s="92"/>
      <c r="DY161" s="92"/>
      <c r="DZ161" s="92"/>
      <c r="EA161" s="92"/>
      <c r="EB161" s="92"/>
      <c r="EC161" s="92"/>
      <c r="ED161" s="92"/>
      <c r="EE161" s="92"/>
      <c r="EF161" s="92"/>
      <c r="EG161" s="92"/>
      <c r="EH161" s="92"/>
      <c r="EI161" s="92"/>
      <c r="EJ161" s="92"/>
      <c r="EK161" s="92"/>
      <c r="EL161" s="92"/>
      <c r="EM161" s="92"/>
      <c r="EN161" s="92"/>
      <c r="EO161" s="92"/>
      <c r="EP161" s="92"/>
      <c r="EQ161" s="92"/>
      <c r="ER161" s="92"/>
      <c r="ES161" s="92"/>
      <c r="ET161" s="92"/>
      <c r="EU161" s="92"/>
      <c r="EV161" s="92"/>
      <c r="EW161" s="92"/>
      <c r="EX161" s="92"/>
      <c r="EY161" s="92"/>
      <c r="EZ161" s="92"/>
      <c r="FA161" s="92"/>
      <c r="FB161" s="92"/>
      <c r="FC161" s="92"/>
      <c r="FD161" s="92"/>
      <c r="FE161" s="92"/>
      <c r="FF161" s="92"/>
      <c r="FG161" s="92"/>
      <c r="FH161" s="92"/>
    </row>
    <row r="162">
      <c r="A162" s="27" t="s">
        <v>7</v>
      </c>
      <c r="B162" s="27" t="s">
        <v>37</v>
      </c>
      <c r="C162" s="27" t="s">
        <v>15</v>
      </c>
      <c r="D162" s="98">
        <f t="shared" si="1"/>
        <v>4626.19549</v>
      </c>
      <c r="E162" s="92">
        <f>(SUBSTITUTE(Audio!E162, "RE-", "", 1))*1</f>
        <v>0</v>
      </c>
      <c r="F162" s="92">
        <f>(SUBSTITUTE(Audio!F162, "RE-", "", 1))*1</f>
        <v>399.427</v>
      </c>
      <c r="G162" s="92">
        <f>(SUBSTITUTE(Audio!G162, "RE-", "", 1))*1</f>
        <v>1.2323</v>
      </c>
      <c r="H162" s="92">
        <f>(SUBSTITUTE(Audio!H162, "RE-", "", 1))*1</f>
        <v>77.8924</v>
      </c>
      <c r="I162" s="92">
        <f>(SUBSTITUTE(Audio!I162, "RE-", "", 1))*1</f>
        <v>0.22415</v>
      </c>
      <c r="J162" s="92">
        <f>(SUBSTITUTE(Audio!J162, "RE-", "", 1))*1</f>
        <v>1067.64</v>
      </c>
      <c r="K162" s="92">
        <f>(SUBSTITUTE(Audio!K162, "RE-", "", 1))*1</f>
        <v>5.87978</v>
      </c>
      <c r="L162" s="92">
        <f>(SUBSTITUTE(Audio!L162, "RE-", "", 1))*1</f>
        <v>984.645</v>
      </c>
      <c r="M162" s="92">
        <f>(SUBSTITUTE(Audio!M162, "RE-", "", 1))*1</f>
        <v>12.3585</v>
      </c>
      <c r="N162" s="92">
        <f>(SUBSTITUTE(Audio!N162, "RE-", "", 1))*1</f>
        <v>433.92</v>
      </c>
      <c r="O162" s="92">
        <f>(SUBSTITUTE(Audio!O162, "RE-", "", 1))*1</f>
        <v>1.45192</v>
      </c>
      <c r="P162" s="92">
        <f>(SUBSTITUTE(Audio!P162, "RE-", "", 1))*1</f>
        <v>818.455</v>
      </c>
      <c r="Q162" s="92">
        <f>(SUBSTITUTE(Audio!Q162, "RE-", "", 1))*1</f>
        <v>36.0903</v>
      </c>
      <c r="R162" s="92">
        <f>(SUBSTITUTE(Audio!R162, "RE-", "", 1))*1</f>
        <v>239.084</v>
      </c>
      <c r="S162" s="92">
        <f>(SUBSTITUTE(Audio!S162, "RE-", "", 1))*1</f>
        <v>8.54777</v>
      </c>
      <c r="T162" s="92">
        <f>(SUBSTITUTE(Audio!T162, "RE-", "", 1))*1</f>
        <v>507.569</v>
      </c>
      <c r="U162" s="92">
        <f>(SUBSTITUTE(Audio!U162, "RE-", "", 1))*1</f>
        <v>30.2851</v>
      </c>
      <c r="V162" s="92">
        <f>(SUBSTITUTE(Audio!V162, "RE-", "", 1))*1</f>
        <v>1.49327</v>
      </c>
      <c r="W162" s="92">
        <f>(SUBSTITUTE(Audio!W162, "RE-", "", 1))*1</f>
        <v>0</v>
      </c>
      <c r="X162" s="92">
        <f>(SUBSTITUTE(Audio!X162, "RE-", "", 1))*1</f>
        <v>0</v>
      </c>
      <c r="Y162" s="92">
        <f>(SUBSTITUTE(Audio!Y162, "RE-", "", 1))*1</f>
        <v>0</v>
      </c>
      <c r="Z162" s="92">
        <f>(SUBSTITUTE(Audio!Z162, "RE-", "", 1))*1</f>
        <v>0</v>
      </c>
      <c r="AA162" s="92"/>
      <c r="AB162" s="92"/>
      <c r="AC162" s="92"/>
      <c r="AD162" s="92"/>
      <c r="AE162" s="92"/>
      <c r="AF162" s="92"/>
      <c r="AG162" s="92"/>
      <c r="AH162" s="92"/>
      <c r="AI162" s="92"/>
      <c r="AJ162" s="92"/>
      <c r="AK162" s="92"/>
      <c r="AL162" s="92"/>
      <c r="AM162" s="92"/>
      <c r="AN162" s="92"/>
      <c r="AO162" s="92"/>
      <c r="AP162" s="92"/>
      <c r="AQ162" s="92"/>
      <c r="AR162" s="92"/>
      <c r="AS162" s="92"/>
      <c r="AT162" s="92"/>
      <c r="AU162" s="92"/>
      <c r="AV162" s="92"/>
      <c r="AW162" s="92"/>
      <c r="AX162" s="92"/>
      <c r="AY162" s="92"/>
      <c r="AZ162" s="92"/>
      <c r="BA162" s="92"/>
      <c r="BB162" s="92"/>
      <c r="BC162" s="92"/>
      <c r="BD162" s="92"/>
      <c r="BE162" s="92"/>
      <c r="BF162" s="92"/>
      <c r="BG162" s="92"/>
      <c r="BH162" s="92"/>
      <c r="BI162" s="92"/>
      <c r="BJ162" s="92"/>
      <c r="BK162" s="92"/>
      <c r="BL162" s="92"/>
      <c r="BM162" s="92"/>
      <c r="BN162" s="92"/>
      <c r="BO162" s="92"/>
      <c r="BP162" s="92"/>
      <c r="BQ162" s="92"/>
      <c r="BR162" s="92"/>
      <c r="BS162" s="92"/>
      <c r="BT162" s="92"/>
      <c r="BU162" s="92"/>
      <c r="BV162" s="92"/>
      <c r="BW162" s="92"/>
      <c r="BX162" s="92"/>
      <c r="BY162" s="92"/>
      <c r="BZ162" s="92"/>
      <c r="CA162" s="92"/>
      <c r="CB162" s="92"/>
      <c r="CC162" s="92"/>
      <c r="CD162" s="92"/>
      <c r="CE162" s="92"/>
      <c r="CF162" s="92"/>
      <c r="CG162" s="92"/>
      <c r="CH162" s="92"/>
      <c r="CI162" s="92"/>
      <c r="CJ162" s="92"/>
      <c r="CK162" s="92"/>
      <c r="CL162" s="92"/>
      <c r="CM162" s="92"/>
      <c r="CN162" s="92"/>
      <c r="CO162" s="92"/>
      <c r="CP162" s="92"/>
      <c r="CQ162" s="92"/>
      <c r="CR162" s="92"/>
      <c r="CS162" s="92"/>
      <c r="CT162" s="92"/>
      <c r="CU162" s="92"/>
      <c r="CV162" s="92"/>
      <c r="CW162" s="92"/>
      <c r="CX162" s="92"/>
      <c r="CY162" s="92"/>
      <c r="CZ162" s="92"/>
      <c r="DA162" s="92"/>
      <c r="DB162" s="92"/>
      <c r="DC162" s="92"/>
      <c r="DD162" s="92"/>
      <c r="DE162" s="92"/>
      <c r="DF162" s="92"/>
      <c r="DG162" s="92"/>
      <c r="DH162" s="92"/>
      <c r="DI162" s="92"/>
      <c r="DJ162" s="92"/>
      <c r="DK162" s="92"/>
      <c r="DL162" s="92"/>
      <c r="DM162" s="92"/>
      <c r="DN162" s="92"/>
      <c r="DO162" s="92"/>
      <c r="DP162" s="92"/>
      <c r="DQ162" s="92"/>
      <c r="DR162" s="92"/>
      <c r="DS162" s="92"/>
      <c r="DT162" s="92"/>
      <c r="DU162" s="92"/>
      <c r="DV162" s="92"/>
      <c r="DW162" s="92"/>
      <c r="DX162" s="92"/>
      <c r="DY162" s="92"/>
      <c r="DZ162" s="92"/>
      <c r="EA162" s="92"/>
      <c r="EB162" s="92"/>
      <c r="EC162" s="92"/>
      <c r="ED162" s="92"/>
      <c r="EE162" s="92"/>
      <c r="EF162" s="92"/>
      <c r="EG162" s="92"/>
      <c r="EH162" s="92"/>
      <c r="EI162" s="92"/>
      <c r="EJ162" s="92"/>
      <c r="EK162" s="92"/>
      <c r="EL162" s="92"/>
      <c r="EM162" s="92"/>
      <c r="EN162" s="92"/>
      <c r="EO162" s="92"/>
      <c r="EP162" s="92"/>
      <c r="EQ162" s="92"/>
      <c r="ER162" s="92"/>
      <c r="ES162" s="92"/>
      <c r="ET162" s="92"/>
      <c r="EU162" s="92"/>
      <c r="EV162" s="92"/>
      <c r="EW162" s="92"/>
      <c r="EX162" s="92"/>
      <c r="EY162" s="92"/>
      <c r="EZ162" s="92"/>
      <c r="FA162" s="92"/>
      <c r="FB162" s="92"/>
      <c r="FC162" s="92"/>
      <c r="FD162" s="92"/>
      <c r="FE162" s="92"/>
      <c r="FF162" s="92"/>
      <c r="FG162" s="92"/>
      <c r="FH162" s="92"/>
    </row>
    <row r="163">
      <c r="A163" s="30" t="s">
        <v>38</v>
      </c>
      <c r="B163" s="30" t="s">
        <v>39</v>
      </c>
      <c r="C163" s="31" t="str">
        <f>HYPERLINK("https://docs.google.com/spreadsheets/d/1JPv74D8OQbq5TJBItlyghC2O5RzE9Myb/edit?usp=share_link&amp;ouid=106501987799020758802&amp;rtpof=true&amp;sd=true", "Raw Delivered")</f>
        <v>Raw Delivered</v>
      </c>
      <c r="D163" s="96">
        <f t="shared" si="1"/>
        <v>6070.261719</v>
      </c>
      <c r="E163" s="92">
        <f>(SUBSTITUTE(Audio!E163, "RE-", "", 1))*1</f>
        <v>0</v>
      </c>
      <c r="F163" s="92">
        <f>(SUBSTITUTE(Audio!F163, "RE-", "", 1))*1</f>
        <v>1159.598845</v>
      </c>
      <c r="G163" s="92">
        <f>(SUBSTITUTE(Audio!G163, "RE-", "", 1))*1</f>
        <v>0</v>
      </c>
      <c r="H163" s="92">
        <f>(SUBSTITUTE(Audio!H163, "RE-", "", 1))*1</f>
        <v>194.0075573</v>
      </c>
      <c r="I163" s="92">
        <f>(SUBSTITUTE(Audio!I163, "RE-", "", 1))*1</f>
        <v>0</v>
      </c>
      <c r="J163" s="92">
        <f>(SUBSTITUTE(Audio!J163, "RE-", "", 1))*1</f>
        <v>392.7857344</v>
      </c>
      <c r="K163" s="92">
        <f>(SUBSTITUTE(Audio!K163, "RE-", "", 1))*1</f>
        <v>0</v>
      </c>
      <c r="L163" s="92">
        <f>(SUBSTITUTE(Audio!L163, "RE-", "", 1))*1</f>
        <v>987.1967667</v>
      </c>
      <c r="M163" s="92">
        <f>(SUBSTITUTE(Audio!M163, "RE-", "", 1))*1</f>
        <v>0</v>
      </c>
      <c r="N163" s="92">
        <f>(SUBSTITUTE(Audio!N163, "RE-", "", 1))*1</f>
        <v>2708.482755</v>
      </c>
      <c r="O163" s="92">
        <f>(SUBSTITUTE(Audio!O163, "RE-", "", 1))*1</f>
        <v>0</v>
      </c>
      <c r="P163" s="92">
        <f>(SUBSTITUTE(Audio!P163, "RE-", "", 1))*1</f>
        <v>200.0858406</v>
      </c>
      <c r="Q163" s="92">
        <f>(SUBSTITUTE(Audio!Q163, "RE-", "", 1))*1</f>
        <v>0</v>
      </c>
      <c r="R163" s="92">
        <f>(SUBSTITUTE(Audio!R163, "RE-", "", 1))*1</f>
        <v>100.7915</v>
      </c>
      <c r="S163" s="92">
        <f>(SUBSTITUTE(Audio!S163, "RE-", "", 1))*1</f>
        <v>0</v>
      </c>
      <c r="T163" s="92">
        <f>(SUBSTITUTE(Audio!T163, "RE-", "", 1))*1</f>
        <v>327.3127198</v>
      </c>
      <c r="U163" s="92">
        <f>(SUBSTITUTE(Audio!U163, "RE-", "", 1))*1</f>
        <v>0</v>
      </c>
      <c r="V163" s="92">
        <f>(SUBSTITUTE(Audio!V163, "RE-", "", 1))*1</f>
        <v>0</v>
      </c>
      <c r="W163" s="92">
        <f>(SUBSTITUTE(Audio!W163, "RE-", "", 1))*1</f>
        <v>0</v>
      </c>
      <c r="X163" s="92">
        <f>(SUBSTITUTE(Audio!X163, "RE-", "", 1))*1</f>
        <v>0</v>
      </c>
      <c r="Y163" s="92">
        <f>(SUBSTITUTE(Audio!Y163, "RE-", "", 1))*1</f>
        <v>0</v>
      </c>
      <c r="Z163" s="92">
        <f>(SUBSTITUTE(Audio!Z163, "RE-", "", 1))*1</f>
        <v>0</v>
      </c>
      <c r="AA163" s="92"/>
      <c r="AB163" s="92"/>
      <c r="AC163" s="92"/>
      <c r="AD163" s="92"/>
      <c r="AE163" s="92"/>
      <c r="AF163" s="92"/>
      <c r="AG163" s="92"/>
      <c r="AH163" s="92"/>
      <c r="AI163" s="92"/>
      <c r="AJ163" s="92"/>
      <c r="AK163" s="92"/>
      <c r="AL163" s="92"/>
      <c r="AM163" s="92"/>
      <c r="AN163" s="92"/>
      <c r="AO163" s="92"/>
      <c r="AP163" s="92"/>
      <c r="AQ163" s="92"/>
      <c r="AR163" s="92"/>
      <c r="AS163" s="92"/>
      <c r="AT163" s="92"/>
      <c r="AU163" s="92"/>
      <c r="AV163" s="92"/>
      <c r="AW163" s="92"/>
      <c r="AX163" s="92"/>
      <c r="AY163" s="92"/>
      <c r="AZ163" s="92"/>
      <c r="BA163" s="92"/>
      <c r="BB163" s="92"/>
      <c r="BC163" s="92"/>
      <c r="BD163" s="92"/>
      <c r="BE163" s="92"/>
      <c r="BF163" s="92"/>
      <c r="BG163" s="92"/>
      <c r="BH163" s="92"/>
      <c r="BI163" s="92"/>
      <c r="BJ163" s="92"/>
      <c r="BK163" s="92"/>
      <c r="BL163" s="92"/>
      <c r="BM163" s="92"/>
      <c r="BN163" s="92"/>
      <c r="BO163" s="92"/>
      <c r="BP163" s="92"/>
      <c r="BQ163" s="92"/>
      <c r="BR163" s="92"/>
      <c r="BS163" s="92"/>
      <c r="BT163" s="92"/>
      <c r="BU163" s="92"/>
      <c r="BV163" s="92"/>
      <c r="BW163" s="92"/>
      <c r="BX163" s="92"/>
      <c r="BY163" s="92"/>
      <c r="BZ163" s="92"/>
      <c r="CA163" s="92"/>
      <c r="CB163" s="92"/>
      <c r="CC163" s="92"/>
      <c r="CD163" s="92"/>
      <c r="CE163" s="92"/>
      <c r="CF163" s="92"/>
      <c r="CG163" s="92"/>
      <c r="CH163" s="92"/>
      <c r="CI163" s="92"/>
      <c r="CJ163" s="92"/>
      <c r="CK163" s="92"/>
      <c r="CL163" s="92"/>
      <c r="CM163" s="92"/>
      <c r="CN163" s="92"/>
      <c r="CO163" s="92"/>
      <c r="CP163" s="92"/>
      <c r="CQ163" s="92"/>
      <c r="CR163" s="92"/>
      <c r="CS163" s="92"/>
      <c r="CT163" s="92"/>
      <c r="CU163" s="92"/>
      <c r="CV163" s="92"/>
      <c r="CW163" s="92"/>
      <c r="CX163" s="92"/>
      <c r="CY163" s="92"/>
      <c r="CZ163" s="92"/>
      <c r="DA163" s="92"/>
      <c r="DB163" s="92"/>
      <c r="DC163" s="92"/>
      <c r="DD163" s="92"/>
      <c r="DE163" s="92"/>
      <c r="DF163" s="92"/>
      <c r="DG163" s="92"/>
      <c r="DH163" s="92"/>
      <c r="DI163" s="92"/>
      <c r="DJ163" s="92"/>
      <c r="DK163" s="92"/>
      <c r="DL163" s="92"/>
      <c r="DM163" s="92"/>
      <c r="DN163" s="92"/>
      <c r="DO163" s="92"/>
      <c r="DP163" s="92"/>
      <c r="DQ163" s="92"/>
      <c r="DR163" s="92"/>
      <c r="DS163" s="92"/>
      <c r="DT163" s="92"/>
      <c r="DU163" s="92"/>
      <c r="DV163" s="92"/>
      <c r="DW163" s="92"/>
      <c r="DX163" s="92"/>
      <c r="DY163" s="92"/>
      <c r="DZ163" s="92"/>
      <c r="EA163" s="92"/>
      <c r="EB163" s="92"/>
      <c r="EC163" s="92"/>
      <c r="ED163" s="92"/>
      <c r="EE163" s="92"/>
      <c r="EF163" s="92"/>
      <c r="EG163" s="92"/>
      <c r="EH163" s="92"/>
      <c r="EI163" s="92"/>
      <c r="EJ163" s="92"/>
      <c r="EK163" s="92"/>
      <c r="EL163" s="92"/>
      <c r="EM163" s="92"/>
      <c r="EN163" s="92"/>
      <c r="EO163" s="92"/>
      <c r="EP163" s="92"/>
      <c r="EQ163" s="92"/>
      <c r="ER163" s="92"/>
      <c r="ES163" s="92"/>
      <c r="ET163" s="92"/>
      <c r="EU163" s="92"/>
      <c r="EV163" s="92"/>
      <c r="EW163" s="92"/>
      <c r="EX163" s="92"/>
      <c r="EY163" s="92"/>
      <c r="EZ163" s="92"/>
      <c r="FA163" s="92"/>
      <c r="FB163" s="92"/>
      <c r="FC163" s="92"/>
      <c r="FD163" s="92"/>
      <c r="FE163" s="92"/>
      <c r="FF163" s="92"/>
      <c r="FG163" s="92"/>
      <c r="FH163" s="92"/>
    </row>
    <row r="164">
      <c r="A164" s="32" t="s">
        <v>38</v>
      </c>
      <c r="B164" s="32" t="s">
        <v>39</v>
      </c>
      <c r="C164" s="32" t="s">
        <v>9</v>
      </c>
      <c r="D164" s="97">
        <f t="shared" si="1"/>
        <v>6070.261719</v>
      </c>
      <c r="E164" s="92">
        <f>(SUBSTITUTE(Audio!E164, "RE-", "", 1))*1</f>
        <v>0</v>
      </c>
      <c r="F164" s="92">
        <f>(SUBSTITUTE(Audio!F164, "RE-", "", 1))*1</f>
        <v>1159.598845</v>
      </c>
      <c r="G164" s="92">
        <f>(SUBSTITUTE(Audio!G164, "RE-", "", 1))*1</f>
        <v>0</v>
      </c>
      <c r="H164" s="92">
        <f>(SUBSTITUTE(Audio!H164, "RE-", "", 1))*1</f>
        <v>194.0075573</v>
      </c>
      <c r="I164" s="92">
        <f>(SUBSTITUTE(Audio!I164, "RE-", "", 1))*1</f>
        <v>0</v>
      </c>
      <c r="J164" s="92">
        <f>(SUBSTITUTE(Audio!J164, "RE-", "", 1))*1</f>
        <v>392.7857344</v>
      </c>
      <c r="K164" s="92">
        <f>(SUBSTITUTE(Audio!K164, "RE-", "", 1))*1</f>
        <v>0</v>
      </c>
      <c r="L164" s="92">
        <f>(SUBSTITUTE(Audio!L164, "RE-", "", 1))*1</f>
        <v>987.1967667</v>
      </c>
      <c r="M164" s="92">
        <f>(SUBSTITUTE(Audio!M164, "RE-", "", 1))*1</f>
        <v>0</v>
      </c>
      <c r="N164" s="92">
        <f>(SUBSTITUTE(Audio!N164, "RE-", "", 1))*1</f>
        <v>2708.482755</v>
      </c>
      <c r="O164" s="92">
        <f>(SUBSTITUTE(Audio!O164, "RE-", "", 1))*1</f>
        <v>0</v>
      </c>
      <c r="P164" s="92">
        <f>(SUBSTITUTE(Audio!P164, "RE-", "", 1))*1</f>
        <v>200.0858406</v>
      </c>
      <c r="Q164" s="92">
        <f>(SUBSTITUTE(Audio!Q164, "RE-", "", 1))*1</f>
        <v>0</v>
      </c>
      <c r="R164" s="92">
        <f>(SUBSTITUTE(Audio!R164, "RE-", "", 1))*1</f>
        <v>100.7915</v>
      </c>
      <c r="S164" s="92">
        <f>(SUBSTITUTE(Audio!S164, "RE-", "", 1))*1</f>
        <v>0</v>
      </c>
      <c r="T164" s="92">
        <f>(SUBSTITUTE(Audio!T164, "RE-", "", 1))*1</f>
        <v>327.3127198</v>
      </c>
      <c r="U164" s="92">
        <f>(SUBSTITUTE(Audio!U164, "RE-", "", 1))*1</f>
        <v>0</v>
      </c>
      <c r="V164" s="92">
        <f>(SUBSTITUTE(Audio!V164, "RE-", "", 1))*1</f>
        <v>0</v>
      </c>
      <c r="W164" s="92">
        <f>(SUBSTITUTE(Audio!W164, "RE-", "", 1))*1</f>
        <v>0</v>
      </c>
      <c r="X164" s="92">
        <f>(SUBSTITUTE(Audio!X164, "RE-", "", 1))*1</f>
        <v>0</v>
      </c>
      <c r="Y164" s="92">
        <f>(SUBSTITUTE(Audio!Y164, "RE-", "", 1))*1</f>
        <v>0</v>
      </c>
      <c r="Z164" s="92">
        <f>(SUBSTITUTE(Audio!Z164, "RE-", "", 1))*1</f>
        <v>0</v>
      </c>
      <c r="AA164" s="92"/>
      <c r="AB164" s="92"/>
      <c r="AC164" s="92"/>
      <c r="AD164" s="92"/>
      <c r="AE164" s="92"/>
      <c r="AF164" s="92"/>
      <c r="AG164" s="92"/>
      <c r="AH164" s="92"/>
      <c r="AI164" s="92"/>
      <c r="AJ164" s="92"/>
      <c r="AK164" s="92"/>
      <c r="AL164" s="92"/>
      <c r="AM164" s="92"/>
      <c r="AN164" s="92"/>
      <c r="AO164" s="92"/>
      <c r="AP164" s="92"/>
      <c r="AQ164" s="92"/>
      <c r="AR164" s="92"/>
      <c r="AS164" s="92"/>
      <c r="AT164" s="92"/>
      <c r="AU164" s="92"/>
      <c r="AV164" s="92"/>
      <c r="AW164" s="92"/>
      <c r="AX164" s="92"/>
      <c r="AY164" s="92"/>
      <c r="AZ164" s="92"/>
      <c r="BA164" s="92"/>
      <c r="BB164" s="92"/>
      <c r="BC164" s="92"/>
      <c r="BD164" s="92"/>
      <c r="BE164" s="92"/>
      <c r="BF164" s="92"/>
      <c r="BG164" s="92"/>
      <c r="BH164" s="92"/>
      <c r="BI164" s="92"/>
      <c r="BJ164" s="92"/>
      <c r="BK164" s="92"/>
      <c r="BL164" s="92"/>
      <c r="BM164" s="92"/>
      <c r="BN164" s="92"/>
      <c r="BO164" s="92"/>
      <c r="BP164" s="92"/>
      <c r="BQ164" s="92"/>
      <c r="BR164" s="92"/>
      <c r="BS164" s="92"/>
      <c r="BT164" s="92"/>
      <c r="BU164" s="92"/>
      <c r="BV164" s="92"/>
      <c r="BW164" s="92"/>
      <c r="BX164" s="92"/>
      <c r="BY164" s="92"/>
      <c r="BZ164" s="92"/>
      <c r="CA164" s="92"/>
      <c r="CB164" s="92"/>
      <c r="CC164" s="92"/>
      <c r="CD164" s="92"/>
      <c r="CE164" s="92"/>
      <c r="CF164" s="92"/>
      <c r="CG164" s="92"/>
      <c r="CH164" s="92"/>
      <c r="CI164" s="92"/>
      <c r="CJ164" s="92"/>
      <c r="CK164" s="92"/>
      <c r="CL164" s="92"/>
      <c r="CM164" s="92"/>
      <c r="CN164" s="92"/>
      <c r="CO164" s="92"/>
      <c r="CP164" s="92"/>
      <c r="CQ164" s="92"/>
      <c r="CR164" s="92"/>
      <c r="CS164" s="92"/>
      <c r="CT164" s="92"/>
      <c r="CU164" s="92"/>
      <c r="CV164" s="92"/>
      <c r="CW164" s="92"/>
      <c r="CX164" s="92"/>
      <c r="CY164" s="92"/>
      <c r="CZ164" s="92"/>
      <c r="DA164" s="92"/>
      <c r="DB164" s="92"/>
      <c r="DC164" s="92"/>
      <c r="DD164" s="92"/>
      <c r="DE164" s="92"/>
      <c r="DF164" s="92"/>
      <c r="DG164" s="92"/>
      <c r="DH164" s="92"/>
      <c r="DI164" s="92"/>
      <c r="DJ164" s="92"/>
      <c r="DK164" s="92"/>
      <c r="DL164" s="92"/>
      <c r="DM164" s="92"/>
      <c r="DN164" s="92"/>
      <c r="DO164" s="92"/>
      <c r="DP164" s="92"/>
      <c r="DQ164" s="92"/>
      <c r="DR164" s="92"/>
      <c r="DS164" s="92"/>
      <c r="DT164" s="92"/>
      <c r="DU164" s="92"/>
      <c r="DV164" s="92"/>
      <c r="DW164" s="92"/>
      <c r="DX164" s="92"/>
      <c r="DY164" s="92"/>
      <c r="DZ164" s="92"/>
      <c r="EA164" s="92"/>
      <c r="EB164" s="92"/>
      <c r="EC164" s="92"/>
      <c r="ED164" s="92"/>
      <c r="EE164" s="92"/>
      <c r="EF164" s="92"/>
      <c r="EG164" s="92"/>
      <c r="EH164" s="92"/>
      <c r="EI164" s="92"/>
      <c r="EJ164" s="92"/>
      <c r="EK164" s="92"/>
      <c r="EL164" s="92"/>
      <c r="EM164" s="92"/>
      <c r="EN164" s="92"/>
      <c r="EO164" s="92"/>
      <c r="EP164" s="92"/>
      <c r="EQ164" s="92"/>
      <c r="ER164" s="92"/>
      <c r="ES164" s="92"/>
      <c r="ET164" s="92"/>
      <c r="EU164" s="92"/>
      <c r="EV164" s="92"/>
      <c r="EW164" s="92"/>
      <c r="EX164" s="92"/>
      <c r="EY164" s="92"/>
      <c r="EZ164" s="92"/>
      <c r="FA164" s="92"/>
      <c r="FB164" s="92"/>
      <c r="FC164" s="92"/>
      <c r="FD164" s="92"/>
      <c r="FE164" s="92"/>
      <c r="FF164" s="92"/>
      <c r="FG164" s="92"/>
      <c r="FH164" s="92"/>
    </row>
    <row r="165">
      <c r="A165" s="32" t="s">
        <v>38</v>
      </c>
      <c r="B165" s="32" t="s">
        <v>39</v>
      </c>
      <c r="C165" s="32" t="s">
        <v>10</v>
      </c>
      <c r="D165" s="97">
        <f t="shared" si="1"/>
        <v>703.2669156</v>
      </c>
      <c r="E165" s="92">
        <f>(SUBSTITUTE(Audio!E165, "RE-", "", 1))*1</f>
        <v>0</v>
      </c>
      <c r="F165" s="92">
        <f>(SUBSTITUTE(Audio!F165, "RE-", "", 1))*1</f>
        <v>0</v>
      </c>
      <c r="G165" s="92">
        <f>(SUBSTITUTE(Audio!G165, "RE-", "", 1))*1</f>
        <v>116.1499229</v>
      </c>
      <c r="H165" s="92">
        <f>(SUBSTITUTE(Audio!H165, "RE-", "", 1))*1</f>
        <v>0</v>
      </c>
      <c r="I165" s="92">
        <f>(SUBSTITUTE(Audio!I165, "RE-", "", 1))*1</f>
        <v>23.24598021</v>
      </c>
      <c r="J165" s="92">
        <f>(SUBSTITUTE(Audio!J165, "RE-", "", 1))*1</f>
        <v>0</v>
      </c>
      <c r="K165" s="92">
        <f>(SUBSTITUTE(Audio!K165, "RE-", "", 1))*1</f>
        <v>46.40832396</v>
      </c>
      <c r="L165" s="92">
        <f>(SUBSTITUTE(Audio!L165, "RE-", "", 1))*1</f>
        <v>0</v>
      </c>
      <c r="M165" s="92">
        <f>(SUBSTITUTE(Audio!M165, "RE-", "", 1))*1</f>
        <v>38.35600833</v>
      </c>
      <c r="N165" s="92">
        <f>(SUBSTITUTE(Audio!N165, "RE-", "", 1))*1</f>
        <v>0</v>
      </c>
      <c r="O165" s="92">
        <f>(SUBSTITUTE(Audio!O165, "RE-", "", 1))*1</f>
        <v>371.7476792</v>
      </c>
      <c r="P165" s="92">
        <f>(SUBSTITUTE(Audio!P165, "RE-", "", 1))*1</f>
        <v>0</v>
      </c>
      <c r="Q165" s="92">
        <f>(SUBSTITUTE(Audio!Q165, "RE-", "", 1))*1</f>
        <v>59.63282396</v>
      </c>
      <c r="R165" s="92">
        <f>(SUBSTITUTE(Audio!R165, "RE-", "", 1))*1</f>
        <v>0</v>
      </c>
      <c r="S165" s="92">
        <f>(SUBSTITUTE(Audio!S165, "RE-", "", 1))*1</f>
        <v>16.07173125</v>
      </c>
      <c r="T165" s="92">
        <f>(SUBSTITUTE(Audio!T165, "RE-", "", 1))*1</f>
        <v>0</v>
      </c>
      <c r="U165" s="92">
        <f>(SUBSTITUTE(Audio!U165, "RE-", "", 1))*1</f>
        <v>31.13619167</v>
      </c>
      <c r="V165" s="92">
        <f>(SUBSTITUTE(Audio!V165, "RE-", "", 1))*1</f>
        <v>0.5182541667</v>
      </c>
      <c r="W165" s="92">
        <f>(SUBSTITUTE(Audio!W165, "RE-", "", 1))*1</f>
        <v>0</v>
      </c>
      <c r="X165" s="92">
        <f>(SUBSTITUTE(Audio!X165, "RE-", "", 1))*1</f>
        <v>0</v>
      </c>
      <c r="Y165" s="92">
        <f>(SUBSTITUTE(Audio!Y165, "RE-", "", 1))*1</f>
        <v>0</v>
      </c>
      <c r="Z165" s="92">
        <f>(SUBSTITUTE(Audio!Z165, "RE-", "", 1))*1</f>
        <v>0</v>
      </c>
      <c r="AA165" s="92"/>
      <c r="AB165" s="92"/>
      <c r="AC165" s="92"/>
      <c r="AD165" s="92"/>
      <c r="AE165" s="92"/>
      <c r="AF165" s="92"/>
      <c r="AG165" s="92"/>
      <c r="AH165" s="92"/>
      <c r="AI165" s="92"/>
      <c r="AJ165" s="92"/>
      <c r="AK165" s="92"/>
      <c r="AL165" s="92"/>
      <c r="AM165" s="92"/>
      <c r="AN165" s="92"/>
      <c r="AO165" s="92"/>
      <c r="AP165" s="92"/>
      <c r="AQ165" s="92"/>
      <c r="AR165" s="92"/>
      <c r="AS165" s="92"/>
      <c r="AT165" s="92"/>
      <c r="AU165" s="92"/>
      <c r="AV165" s="92"/>
      <c r="AW165" s="92"/>
      <c r="AX165" s="92"/>
      <c r="AY165" s="92"/>
      <c r="AZ165" s="92"/>
      <c r="BA165" s="92"/>
      <c r="BB165" s="92"/>
      <c r="BC165" s="92"/>
      <c r="BD165" s="92"/>
      <c r="BE165" s="92"/>
      <c r="BF165" s="92"/>
      <c r="BG165" s="92"/>
      <c r="BH165" s="92"/>
      <c r="BI165" s="92"/>
      <c r="BJ165" s="92"/>
      <c r="BK165" s="92"/>
      <c r="BL165" s="92"/>
      <c r="BM165" s="92"/>
      <c r="BN165" s="92"/>
      <c r="BO165" s="92"/>
      <c r="BP165" s="92"/>
      <c r="BQ165" s="92"/>
      <c r="BR165" s="92"/>
      <c r="BS165" s="92"/>
      <c r="BT165" s="92"/>
      <c r="BU165" s="92"/>
      <c r="BV165" s="92"/>
      <c r="BW165" s="92"/>
      <c r="BX165" s="92"/>
      <c r="BY165" s="92"/>
      <c r="BZ165" s="92"/>
      <c r="CA165" s="92"/>
      <c r="CB165" s="92"/>
      <c r="CC165" s="92"/>
      <c r="CD165" s="92"/>
      <c r="CE165" s="92"/>
      <c r="CF165" s="92"/>
      <c r="CG165" s="92"/>
      <c r="CH165" s="92"/>
      <c r="CI165" s="92"/>
      <c r="CJ165" s="92"/>
      <c r="CK165" s="92"/>
      <c r="CL165" s="92"/>
      <c r="CM165" s="92"/>
      <c r="CN165" s="92"/>
      <c r="CO165" s="92"/>
      <c r="CP165" s="92"/>
      <c r="CQ165" s="92"/>
      <c r="CR165" s="92"/>
      <c r="CS165" s="92"/>
      <c r="CT165" s="92"/>
      <c r="CU165" s="92"/>
      <c r="CV165" s="92"/>
      <c r="CW165" s="92"/>
      <c r="CX165" s="92"/>
      <c r="CY165" s="92"/>
      <c r="CZ165" s="92"/>
      <c r="DA165" s="92"/>
      <c r="DB165" s="92"/>
      <c r="DC165" s="92"/>
      <c r="DD165" s="92"/>
      <c r="DE165" s="92"/>
      <c r="DF165" s="92"/>
      <c r="DG165" s="92"/>
      <c r="DH165" s="92"/>
      <c r="DI165" s="92"/>
      <c r="DJ165" s="92"/>
      <c r="DK165" s="92"/>
      <c r="DL165" s="92"/>
      <c r="DM165" s="92"/>
      <c r="DN165" s="92"/>
      <c r="DO165" s="92"/>
      <c r="DP165" s="92"/>
      <c r="DQ165" s="92"/>
      <c r="DR165" s="92"/>
      <c r="DS165" s="92"/>
      <c r="DT165" s="92"/>
      <c r="DU165" s="92"/>
      <c r="DV165" s="92"/>
      <c r="DW165" s="92"/>
      <c r="DX165" s="92"/>
      <c r="DY165" s="92"/>
      <c r="DZ165" s="92"/>
      <c r="EA165" s="92"/>
      <c r="EB165" s="92"/>
      <c r="EC165" s="92"/>
      <c r="ED165" s="92"/>
      <c r="EE165" s="92"/>
      <c r="EF165" s="92"/>
      <c r="EG165" s="92"/>
      <c r="EH165" s="92"/>
      <c r="EI165" s="92"/>
      <c r="EJ165" s="92"/>
      <c r="EK165" s="92"/>
      <c r="EL165" s="92"/>
      <c r="EM165" s="92"/>
      <c r="EN165" s="92"/>
      <c r="EO165" s="92"/>
      <c r="EP165" s="92"/>
      <c r="EQ165" s="92"/>
      <c r="ER165" s="92"/>
      <c r="ES165" s="92"/>
      <c r="ET165" s="92"/>
      <c r="EU165" s="92"/>
      <c r="EV165" s="92"/>
      <c r="EW165" s="92"/>
      <c r="EX165" s="92"/>
      <c r="EY165" s="92"/>
      <c r="EZ165" s="92"/>
      <c r="FA165" s="92"/>
      <c r="FB165" s="92"/>
      <c r="FC165" s="92"/>
      <c r="FD165" s="92"/>
      <c r="FE165" s="92"/>
      <c r="FF165" s="92"/>
      <c r="FG165" s="92"/>
      <c r="FH165" s="92"/>
    </row>
    <row r="166">
      <c r="A166" s="32" t="s">
        <v>38</v>
      </c>
      <c r="B166" s="32" t="s">
        <v>39</v>
      </c>
      <c r="C166" s="32" t="s">
        <v>11</v>
      </c>
      <c r="D166" s="97">
        <f t="shared" si="1"/>
        <v>703.2669156</v>
      </c>
      <c r="E166" s="92">
        <f>(SUBSTITUTE(Audio!E166, "RE-", "", 1))*1</f>
        <v>0</v>
      </c>
      <c r="F166" s="92">
        <f>(SUBSTITUTE(Audio!F166, "RE-", "", 1))*1</f>
        <v>0</v>
      </c>
      <c r="G166" s="92">
        <f>(SUBSTITUTE(Audio!G166, "RE-", "", 1))*1</f>
        <v>116.1499229</v>
      </c>
      <c r="H166" s="92">
        <f>(SUBSTITUTE(Audio!H166, "RE-", "", 1))*1</f>
        <v>0</v>
      </c>
      <c r="I166" s="92">
        <f>(SUBSTITUTE(Audio!I166, "RE-", "", 1))*1</f>
        <v>23.24598021</v>
      </c>
      <c r="J166" s="92">
        <f>(SUBSTITUTE(Audio!J166, "RE-", "", 1))*1</f>
        <v>0</v>
      </c>
      <c r="K166" s="92">
        <f>(SUBSTITUTE(Audio!K166, "RE-", "", 1))*1</f>
        <v>46.40832396</v>
      </c>
      <c r="L166" s="92">
        <f>(SUBSTITUTE(Audio!L166, "RE-", "", 1))*1</f>
        <v>0</v>
      </c>
      <c r="M166" s="92">
        <f>(SUBSTITUTE(Audio!M166, "RE-", "", 1))*1</f>
        <v>38.35600833</v>
      </c>
      <c r="N166" s="92">
        <f>(SUBSTITUTE(Audio!N166, "RE-", "", 1))*1</f>
        <v>0</v>
      </c>
      <c r="O166" s="92">
        <f>(SUBSTITUTE(Audio!O166, "RE-", "", 1))*1</f>
        <v>371.7476792</v>
      </c>
      <c r="P166" s="92">
        <f>(SUBSTITUTE(Audio!P166, "RE-", "", 1))*1</f>
        <v>0</v>
      </c>
      <c r="Q166" s="92">
        <f>(SUBSTITUTE(Audio!Q166, "RE-", "", 1))*1</f>
        <v>59.63282396</v>
      </c>
      <c r="R166" s="92">
        <f>(SUBSTITUTE(Audio!R166, "RE-", "", 1))*1</f>
        <v>0</v>
      </c>
      <c r="S166" s="92">
        <f>(SUBSTITUTE(Audio!S166, "RE-", "", 1))*1</f>
        <v>16.07173125</v>
      </c>
      <c r="T166" s="92">
        <f>(SUBSTITUTE(Audio!T166, "RE-", "", 1))*1</f>
        <v>0</v>
      </c>
      <c r="U166" s="92">
        <f>(SUBSTITUTE(Audio!U166, "RE-", "", 1))*1</f>
        <v>31.13619167</v>
      </c>
      <c r="V166" s="92">
        <f>(SUBSTITUTE(Audio!V166, "RE-", "", 1))*1</f>
        <v>0.5182541667</v>
      </c>
      <c r="W166" s="92">
        <f>(SUBSTITUTE(Audio!W166, "RE-", "", 1))*1</f>
        <v>0</v>
      </c>
      <c r="X166" s="92">
        <f>(SUBSTITUTE(Audio!X166, "RE-", "", 1))*1</f>
        <v>0</v>
      </c>
      <c r="Y166" s="92">
        <f>(SUBSTITUTE(Audio!Y166, "RE-", "", 1))*1</f>
        <v>0</v>
      </c>
      <c r="Z166" s="92">
        <f>(SUBSTITUTE(Audio!Z166, "RE-", "", 1))*1</f>
        <v>0</v>
      </c>
      <c r="AA166" s="92"/>
      <c r="AB166" s="92"/>
      <c r="AC166" s="92"/>
      <c r="AD166" s="92"/>
      <c r="AE166" s="92"/>
      <c r="AF166" s="92"/>
      <c r="AG166" s="92"/>
      <c r="AH166" s="92"/>
      <c r="AI166" s="92"/>
      <c r="AJ166" s="92"/>
      <c r="AK166" s="92"/>
      <c r="AL166" s="92"/>
      <c r="AM166" s="92"/>
      <c r="AN166" s="92"/>
      <c r="AO166" s="92"/>
      <c r="AP166" s="92"/>
      <c r="AQ166" s="92"/>
      <c r="AR166" s="92"/>
      <c r="AS166" s="92"/>
      <c r="AT166" s="92"/>
      <c r="AU166" s="92"/>
      <c r="AV166" s="92"/>
      <c r="AW166" s="92"/>
      <c r="AX166" s="92"/>
      <c r="AY166" s="92"/>
      <c r="AZ166" s="92"/>
      <c r="BA166" s="92"/>
      <c r="BB166" s="92"/>
      <c r="BC166" s="92"/>
      <c r="BD166" s="92"/>
      <c r="BE166" s="92"/>
      <c r="BF166" s="92"/>
      <c r="BG166" s="92"/>
      <c r="BH166" s="92"/>
      <c r="BI166" s="92"/>
      <c r="BJ166" s="92"/>
      <c r="BK166" s="92"/>
      <c r="BL166" s="92"/>
      <c r="BM166" s="92"/>
      <c r="BN166" s="92"/>
      <c r="BO166" s="92"/>
      <c r="BP166" s="92"/>
      <c r="BQ166" s="92"/>
      <c r="BR166" s="92"/>
      <c r="BS166" s="92"/>
      <c r="BT166" s="92"/>
      <c r="BU166" s="92"/>
      <c r="BV166" s="92"/>
      <c r="BW166" s="92"/>
      <c r="BX166" s="92"/>
      <c r="BY166" s="92"/>
      <c r="BZ166" s="92"/>
      <c r="CA166" s="92"/>
      <c r="CB166" s="92"/>
      <c r="CC166" s="92"/>
      <c r="CD166" s="92"/>
      <c r="CE166" s="92"/>
      <c r="CF166" s="92"/>
      <c r="CG166" s="92"/>
      <c r="CH166" s="92"/>
      <c r="CI166" s="92"/>
      <c r="CJ166" s="92"/>
      <c r="CK166" s="92"/>
      <c r="CL166" s="92"/>
      <c r="CM166" s="92"/>
      <c r="CN166" s="92"/>
      <c r="CO166" s="92"/>
      <c r="CP166" s="92"/>
      <c r="CQ166" s="92"/>
      <c r="CR166" s="92"/>
      <c r="CS166" s="92"/>
      <c r="CT166" s="92"/>
      <c r="CU166" s="92"/>
      <c r="CV166" s="92"/>
      <c r="CW166" s="92"/>
      <c r="CX166" s="92"/>
      <c r="CY166" s="92"/>
      <c r="CZ166" s="92"/>
      <c r="DA166" s="92"/>
      <c r="DB166" s="92"/>
      <c r="DC166" s="92"/>
      <c r="DD166" s="92"/>
      <c r="DE166" s="92"/>
      <c r="DF166" s="92"/>
      <c r="DG166" s="92"/>
      <c r="DH166" s="92"/>
      <c r="DI166" s="92"/>
      <c r="DJ166" s="92"/>
      <c r="DK166" s="92"/>
      <c r="DL166" s="92"/>
      <c r="DM166" s="92"/>
      <c r="DN166" s="92"/>
      <c r="DO166" s="92"/>
      <c r="DP166" s="92"/>
      <c r="DQ166" s="92"/>
      <c r="DR166" s="92"/>
      <c r="DS166" s="92"/>
      <c r="DT166" s="92"/>
      <c r="DU166" s="92"/>
      <c r="DV166" s="92"/>
      <c r="DW166" s="92"/>
      <c r="DX166" s="92"/>
      <c r="DY166" s="92"/>
      <c r="DZ166" s="92"/>
      <c r="EA166" s="92"/>
      <c r="EB166" s="92"/>
      <c r="EC166" s="92"/>
      <c r="ED166" s="92"/>
      <c r="EE166" s="92"/>
      <c r="EF166" s="92"/>
      <c r="EG166" s="92"/>
      <c r="EH166" s="92"/>
      <c r="EI166" s="92"/>
      <c r="EJ166" s="92"/>
      <c r="EK166" s="92"/>
      <c r="EL166" s="92"/>
      <c r="EM166" s="92"/>
      <c r="EN166" s="92"/>
      <c r="EO166" s="92"/>
      <c r="EP166" s="92"/>
      <c r="EQ166" s="92"/>
      <c r="ER166" s="92"/>
      <c r="ES166" s="92"/>
      <c r="ET166" s="92"/>
      <c r="EU166" s="92"/>
      <c r="EV166" s="92"/>
      <c r="EW166" s="92"/>
      <c r="EX166" s="92"/>
      <c r="EY166" s="92"/>
      <c r="EZ166" s="92"/>
      <c r="FA166" s="92"/>
      <c r="FB166" s="92"/>
      <c r="FC166" s="92"/>
      <c r="FD166" s="92"/>
      <c r="FE166" s="92"/>
      <c r="FF166" s="92"/>
      <c r="FG166" s="92"/>
      <c r="FH166" s="92"/>
    </row>
    <row r="167">
      <c r="A167" s="32" t="s">
        <v>38</v>
      </c>
      <c r="B167" s="32" t="s">
        <v>39</v>
      </c>
      <c r="C167" s="32" t="s">
        <v>12</v>
      </c>
      <c r="D167" s="97">
        <f t="shared" si="1"/>
        <v>4956.964177</v>
      </c>
      <c r="E167" s="92">
        <f>(SUBSTITUTE(Audio!E167, "RE-", "", 1))*1</f>
        <v>0</v>
      </c>
      <c r="F167" s="92">
        <f>(SUBSTITUTE(Audio!F167, "RE-", "", 1))*1</f>
        <v>959.5439448</v>
      </c>
      <c r="G167" s="92">
        <f>(SUBSTITUTE(Audio!G167, "RE-", "", 1))*1</f>
        <v>5.144416667</v>
      </c>
      <c r="H167" s="92">
        <f>(SUBSTITUTE(Audio!H167, "RE-", "", 1))*1</f>
        <v>169.7929323</v>
      </c>
      <c r="I167" s="92">
        <f>(SUBSTITUTE(Audio!I167, "RE-", "", 1))*1</f>
        <v>0.4853875</v>
      </c>
      <c r="J167" s="92">
        <f>(SUBSTITUTE(Audio!J167, "RE-", "", 1))*1</f>
        <v>300.2828167</v>
      </c>
      <c r="K167" s="92">
        <f>(SUBSTITUTE(Audio!K167, "RE-", "", 1))*1</f>
        <v>0.30024375</v>
      </c>
      <c r="L167" s="92">
        <f>(SUBSTITUTE(Audio!L167, "RE-", "", 1))*1</f>
        <v>905.4752531</v>
      </c>
      <c r="M167" s="92">
        <f>(SUBSTITUTE(Audio!M167, "RE-", "", 1))*1</f>
        <v>7.494978125</v>
      </c>
      <c r="N167" s="92">
        <f>(SUBSTITUTE(Audio!N167, "RE-", "", 1))*1</f>
        <v>1960.768475</v>
      </c>
      <c r="O167" s="92">
        <f>(SUBSTITUTE(Audio!O167, "RE-", "", 1))*1</f>
        <v>16.36063542</v>
      </c>
      <c r="P167" s="92">
        <f>(SUBSTITUTE(Audio!P167, "RE-", "", 1))*1</f>
        <v>171.7069604</v>
      </c>
      <c r="Q167" s="92">
        <f>(SUBSTITUTE(Audio!Q167, "RE-", "", 1))*1</f>
        <v>20.07391146</v>
      </c>
      <c r="R167" s="92">
        <f>(SUBSTITUTE(Audio!R167, "RE-", "", 1))*1</f>
        <v>91.34636354</v>
      </c>
      <c r="S167" s="92">
        <f>(SUBSTITUTE(Audio!S167, "RE-", "", 1))*1</f>
        <v>6.624392708</v>
      </c>
      <c r="T167" s="92">
        <f>(SUBSTITUTE(Audio!T167, "RE-", "", 1))*1</f>
        <v>322.1763594</v>
      </c>
      <c r="U167" s="92">
        <f>(SUBSTITUTE(Audio!U167, "RE-", "", 1))*1</f>
        <v>19.16749583</v>
      </c>
      <c r="V167" s="92">
        <f>(SUBSTITUTE(Audio!V167, "RE-", "", 1))*1</f>
        <v>0.2196104167</v>
      </c>
      <c r="W167" s="92">
        <f>(SUBSTITUTE(Audio!W167, "RE-", "", 1))*1</f>
        <v>0</v>
      </c>
      <c r="X167" s="92">
        <f>(SUBSTITUTE(Audio!X167, "RE-", "", 1))*1</f>
        <v>0</v>
      </c>
      <c r="Y167" s="92">
        <f>(SUBSTITUTE(Audio!Y167, "RE-", "", 1))*1</f>
        <v>0</v>
      </c>
      <c r="Z167" s="92">
        <f>(SUBSTITUTE(Audio!Z167, "RE-", "", 1))*1</f>
        <v>0</v>
      </c>
      <c r="AA167" s="92"/>
      <c r="AB167" s="92"/>
      <c r="AC167" s="92"/>
      <c r="AD167" s="92"/>
      <c r="AE167" s="92"/>
      <c r="AF167" s="92"/>
      <c r="AG167" s="92"/>
      <c r="AH167" s="92"/>
      <c r="AI167" s="92"/>
      <c r="AJ167" s="92"/>
      <c r="AK167" s="92"/>
      <c r="AL167" s="92"/>
      <c r="AM167" s="92"/>
      <c r="AN167" s="92"/>
      <c r="AO167" s="92"/>
      <c r="AP167" s="92"/>
      <c r="AQ167" s="92"/>
      <c r="AR167" s="92"/>
      <c r="AS167" s="92"/>
      <c r="AT167" s="92"/>
      <c r="AU167" s="92"/>
      <c r="AV167" s="92"/>
      <c r="AW167" s="92"/>
      <c r="AX167" s="92"/>
      <c r="AY167" s="92"/>
      <c r="AZ167" s="92"/>
      <c r="BA167" s="92"/>
      <c r="BB167" s="92"/>
      <c r="BC167" s="92"/>
      <c r="BD167" s="92"/>
      <c r="BE167" s="92"/>
      <c r="BF167" s="92"/>
      <c r="BG167" s="92"/>
      <c r="BH167" s="92"/>
      <c r="BI167" s="92"/>
      <c r="BJ167" s="92"/>
      <c r="BK167" s="92"/>
      <c r="BL167" s="92"/>
      <c r="BM167" s="92"/>
      <c r="BN167" s="92"/>
      <c r="BO167" s="92"/>
      <c r="BP167" s="92"/>
      <c r="BQ167" s="92"/>
      <c r="BR167" s="92"/>
      <c r="BS167" s="92"/>
      <c r="BT167" s="92"/>
      <c r="BU167" s="92"/>
      <c r="BV167" s="92"/>
      <c r="BW167" s="92"/>
      <c r="BX167" s="92"/>
      <c r="BY167" s="92"/>
      <c r="BZ167" s="92"/>
      <c r="CA167" s="92"/>
      <c r="CB167" s="92"/>
      <c r="CC167" s="92"/>
      <c r="CD167" s="92"/>
      <c r="CE167" s="92"/>
      <c r="CF167" s="92"/>
      <c r="CG167" s="92"/>
      <c r="CH167" s="92"/>
      <c r="CI167" s="92"/>
      <c r="CJ167" s="92"/>
      <c r="CK167" s="92"/>
      <c r="CL167" s="92"/>
      <c r="CM167" s="92"/>
      <c r="CN167" s="92"/>
      <c r="CO167" s="92"/>
      <c r="CP167" s="92"/>
      <c r="CQ167" s="92"/>
      <c r="CR167" s="92"/>
      <c r="CS167" s="92"/>
      <c r="CT167" s="92"/>
      <c r="CU167" s="92"/>
      <c r="CV167" s="92"/>
      <c r="CW167" s="92"/>
      <c r="CX167" s="92"/>
      <c r="CY167" s="92"/>
      <c r="CZ167" s="92"/>
      <c r="DA167" s="92"/>
      <c r="DB167" s="92"/>
      <c r="DC167" s="92"/>
      <c r="DD167" s="92"/>
      <c r="DE167" s="92"/>
      <c r="DF167" s="92"/>
      <c r="DG167" s="92"/>
      <c r="DH167" s="92"/>
      <c r="DI167" s="92"/>
      <c r="DJ167" s="92"/>
      <c r="DK167" s="92"/>
      <c r="DL167" s="92"/>
      <c r="DM167" s="92"/>
      <c r="DN167" s="92"/>
      <c r="DO167" s="92"/>
      <c r="DP167" s="92"/>
      <c r="DQ167" s="92"/>
      <c r="DR167" s="92"/>
      <c r="DS167" s="92"/>
      <c r="DT167" s="92"/>
      <c r="DU167" s="92"/>
      <c r="DV167" s="92"/>
      <c r="DW167" s="92"/>
      <c r="DX167" s="92"/>
      <c r="DY167" s="92"/>
      <c r="DZ167" s="92"/>
      <c r="EA167" s="92"/>
      <c r="EB167" s="92"/>
      <c r="EC167" s="92"/>
      <c r="ED167" s="92"/>
      <c r="EE167" s="92"/>
      <c r="EF167" s="92"/>
      <c r="EG167" s="92"/>
      <c r="EH167" s="92"/>
      <c r="EI167" s="92"/>
      <c r="EJ167" s="92"/>
      <c r="EK167" s="92"/>
      <c r="EL167" s="92"/>
      <c r="EM167" s="92"/>
      <c r="EN167" s="92"/>
      <c r="EO167" s="92"/>
      <c r="EP167" s="92"/>
      <c r="EQ167" s="92"/>
      <c r="ER167" s="92"/>
      <c r="ES167" s="92"/>
      <c r="ET167" s="92"/>
      <c r="EU167" s="92"/>
      <c r="EV167" s="92"/>
      <c r="EW167" s="92"/>
      <c r="EX167" s="92"/>
      <c r="EY167" s="92"/>
      <c r="EZ167" s="92"/>
      <c r="FA167" s="92"/>
      <c r="FB167" s="92"/>
      <c r="FC167" s="92"/>
      <c r="FD167" s="92"/>
      <c r="FE167" s="92"/>
      <c r="FF167" s="92"/>
      <c r="FG167" s="92"/>
      <c r="FH167" s="92"/>
    </row>
    <row r="168">
      <c r="A168" s="32" t="s">
        <v>38</v>
      </c>
      <c r="B168" s="32" t="s">
        <v>39</v>
      </c>
      <c r="C168" s="32" t="s">
        <v>13</v>
      </c>
      <c r="D168" s="97">
        <f t="shared" si="1"/>
        <v>4768.766656</v>
      </c>
      <c r="E168" s="92">
        <f>(SUBSTITUTE(Audio!E168, "RE-", "", 1))*1</f>
        <v>0</v>
      </c>
      <c r="F168" s="92">
        <f>(SUBSTITUTE(Audio!F168, "RE-", "", 1))*1</f>
        <v>931.497</v>
      </c>
      <c r="G168" s="92">
        <f>(SUBSTITUTE(Audio!G168, "RE-", "", 1))*1</f>
        <v>4.95472</v>
      </c>
      <c r="H168" s="92">
        <f>(SUBSTITUTE(Audio!H168, "RE-", "", 1))*1</f>
        <v>164.827</v>
      </c>
      <c r="I168" s="92">
        <f>(SUBSTITUTE(Audio!I168, "RE-", "", 1))*1</f>
        <v>0.453933</v>
      </c>
      <c r="J168" s="92">
        <f>(SUBSTITUTE(Audio!J168, "RE-", "", 1))*1</f>
        <v>288.527</v>
      </c>
      <c r="K168" s="92">
        <f>(SUBSTITUTE(Audio!K168, "RE-", "", 1))*1</f>
        <v>0.29395</v>
      </c>
      <c r="L168" s="92">
        <f>(SUBSTITUTE(Audio!L168, "RE-", "", 1))*1</f>
        <v>864.786</v>
      </c>
      <c r="M168" s="92">
        <f>(SUBSTITUTE(Audio!M168, "RE-", "", 1))*1</f>
        <v>6.93407</v>
      </c>
      <c r="N168" s="92">
        <f>(SUBSTITUTE(Audio!N168, "RE-", "", 1))*1</f>
        <v>1888.46</v>
      </c>
      <c r="O168" s="92">
        <f>(SUBSTITUTE(Audio!O168, "RE-", "", 1))*1</f>
        <v>15.7538</v>
      </c>
      <c r="P168" s="92">
        <f>(SUBSTITUTE(Audio!P168, "RE-", "", 1))*1</f>
        <v>164.459</v>
      </c>
      <c r="Q168" s="92">
        <f>(SUBSTITUTE(Audio!Q168, "RE-", "", 1))*1</f>
        <v>18.9243</v>
      </c>
      <c r="R168" s="92">
        <f>(SUBSTITUTE(Audio!R168, "RE-", "", 1))*1</f>
        <v>86.817</v>
      </c>
      <c r="S168" s="92">
        <f>(SUBSTITUTE(Audio!S168, "RE-", "", 1))*1</f>
        <v>6.24815</v>
      </c>
      <c r="T168" s="92">
        <f>(SUBSTITUTE(Audio!T168, "RE-", "", 1))*1</f>
        <v>307.351</v>
      </c>
      <c r="U168" s="92">
        <f>(SUBSTITUTE(Audio!U168, "RE-", "", 1))*1</f>
        <v>18.2772</v>
      </c>
      <c r="V168" s="92">
        <f>(SUBSTITUTE(Audio!V168, "RE-", "", 1))*1</f>
        <v>0.202533</v>
      </c>
      <c r="W168" s="92">
        <f>(SUBSTITUTE(Audio!W168, "RE-", "", 1))*1</f>
        <v>0</v>
      </c>
      <c r="X168" s="92">
        <f>(SUBSTITUTE(Audio!X168, "RE-", "", 1))*1</f>
        <v>0</v>
      </c>
      <c r="Y168" s="92">
        <f>(SUBSTITUTE(Audio!Y168, "RE-", "", 1))*1</f>
        <v>0</v>
      </c>
      <c r="Z168" s="92">
        <f>(SUBSTITUTE(Audio!Z168, "RE-", "", 1))*1</f>
        <v>0</v>
      </c>
      <c r="AA168" s="92"/>
      <c r="AB168" s="92"/>
      <c r="AC168" s="92"/>
      <c r="AD168" s="92"/>
      <c r="AE168" s="92"/>
      <c r="AF168" s="92"/>
      <c r="AG168" s="92"/>
      <c r="AH168" s="92"/>
      <c r="AI168" s="92"/>
      <c r="AJ168" s="92"/>
      <c r="AK168" s="92"/>
      <c r="AL168" s="92"/>
      <c r="AM168" s="92"/>
      <c r="AN168" s="92"/>
      <c r="AO168" s="92"/>
      <c r="AP168" s="92"/>
      <c r="AQ168" s="92"/>
      <c r="AR168" s="92"/>
      <c r="AS168" s="92"/>
      <c r="AT168" s="92"/>
      <c r="AU168" s="92"/>
      <c r="AV168" s="92"/>
      <c r="AW168" s="92"/>
      <c r="AX168" s="92"/>
      <c r="AY168" s="92"/>
      <c r="AZ168" s="92"/>
      <c r="BA168" s="92"/>
      <c r="BB168" s="92"/>
      <c r="BC168" s="92"/>
      <c r="BD168" s="92"/>
      <c r="BE168" s="92"/>
      <c r="BF168" s="92"/>
      <c r="BG168" s="92"/>
      <c r="BH168" s="92"/>
      <c r="BI168" s="92"/>
      <c r="BJ168" s="92"/>
      <c r="BK168" s="92"/>
      <c r="BL168" s="92"/>
      <c r="BM168" s="92"/>
      <c r="BN168" s="92"/>
      <c r="BO168" s="92"/>
      <c r="BP168" s="92"/>
      <c r="BQ168" s="92"/>
      <c r="BR168" s="92"/>
      <c r="BS168" s="92"/>
      <c r="BT168" s="92"/>
      <c r="BU168" s="92"/>
      <c r="BV168" s="92"/>
      <c r="BW168" s="92"/>
      <c r="BX168" s="92"/>
      <c r="BY168" s="92"/>
      <c r="BZ168" s="92"/>
      <c r="CA168" s="92"/>
      <c r="CB168" s="92"/>
      <c r="CC168" s="92"/>
      <c r="CD168" s="92"/>
      <c r="CE168" s="92"/>
      <c r="CF168" s="92"/>
      <c r="CG168" s="92"/>
      <c r="CH168" s="92"/>
      <c r="CI168" s="92"/>
      <c r="CJ168" s="92"/>
      <c r="CK168" s="92"/>
      <c r="CL168" s="92"/>
      <c r="CM168" s="92"/>
      <c r="CN168" s="92"/>
      <c r="CO168" s="92"/>
      <c r="CP168" s="92"/>
      <c r="CQ168" s="92"/>
      <c r="CR168" s="92"/>
      <c r="CS168" s="92"/>
      <c r="CT168" s="92"/>
      <c r="CU168" s="92"/>
      <c r="CV168" s="92"/>
      <c r="CW168" s="92"/>
      <c r="CX168" s="92"/>
      <c r="CY168" s="92"/>
      <c r="CZ168" s="92"/>
      <c r="DA168" s="92"/>
      <c r="DB168" s="92"/>
      <c r="DC168" s="92"/>
      <c r="DD168" s="92"/>
      <c r="DE168" s="92"/>
      <c r="DF168" s="92"/>
      <c r="DG168" s="92"/>
      <c r="DH168" s="92"/>
      <c r="DI168" s="92"/>
      <c r="DJ168" s="92"/>
      <c r="DK168" s="92"/>
      <c r="DL168" s="92"/>
      <c r="DM168" s="92"/>
      <c r="DN168" s="92"/>
      <c r="DO168" s="92"/>
      <c r="DP168" s="92"/>
      <c r="DQ168" s="92"/>
      <c r="DR168" s="92"/>
      <c r="DS168" s="92"/>
      <c r="DT168" s="92"/>
      <c r="DU168" s="92"/>
      <c r="DV168" s="92"/>
      <c r="DW168" s="92"/>
      <c r="DX168" s="92"/>
      <c r="DY168" s="92"/>
      <c r="DZ168" s="92"/>
      <c r="EA168" s="92"/>
      <c r="EB168" s="92"/>
      <c r="EC168" s="92"/>
      <c r="ED168" s="92"/>
      <c r="EE168" s="92"/>
      <c r="EF168" s="92"/>
      <c r="EG168" s="92"/>
      <c r="EH168" s="92"/>
      <c r="EI168" s="92"/>
      <c r="EJ168" s="92"/>
      <c r="EK168" s="92"/>
      <c r="EL168" s="92"/>
      <c r="EM168" s="92"/>
      <c r="EN168" s="92"/>
      <c r="EO168" s="92"/>
      <c r="EP168" s="92"/>
      <c r="EQ168" s="92"/>
      <c r="ER168" s="92"/>
      <c r="ES168" s="92"/>
      <c r="ET168" s="92"/>
      <c r="EU168" s="92"/>
      <c r="EV168" s="92"/>
      <c r="EW168" s="92"/>
      <c r="EX168" s="92"/>
      <c r="EY168" s="92"/>
      <c r="EZ168" s="92"/>
      <c r="FA168" s="92"/>
      <c r="FB168" s="92"/>
      <c r="FC168" s="92"/>
      <c r="FD168" s="92"/>
      <c r="FE168" s="92"/>
      <c r="FF168" s="92"/>
      <c r="FG168" s="92"/>
      <c r="FH168" s="92"/>
    </row>
    <row r="169">
      <c r="A169" s="32" t="s">
        <v>38</v>
      </c>
      <c r="B169" s="32" t="s">
        <v>39</v>
      </c>
      <c r="C169" s="32" t="s">
        <v>14</v>
      </c>
      <c r="D169" s="97">
        <f t="shared" si="1"/>
        <v>4205.031146</v>
      </c>
      <c r="E169" s="92">
        <f>(SUBSTITUTE(Audio!E169, "RE-", "", 1))*1</f>
        <v>0</v>
      </c>
      <c r="F169" s="92">
        <f>(SUBSTITUTE(Audio!F169, "RE-", "", 1))*1</f>
        <v>814.307</v>
      </c>
      <c r="G169" s="92">
        <f>(SUBSTITUTE(Audio!G169, "RE-", "", 1))*1</f>
        <v>4.6356</v>
      </c>
      <c r="H169" s="92">
        <f>(SUBSTITUTE(Audio!H169, "RE-", "", 1))*1</f>
        <v>145.612</v>
      </c>
      <c r="I169" s="92">
        <f>(SUBSTITUTE(Audio!I169, "RE-", "", 1))*1</f>
        <v>0.453933</v>
      </c>
      <c r="J169" s="92">
        <f>(SUBSTITUTE(Audio!J169, "RE-", "", 1))*1</f>
        <v>256.154</v>
      </c>
      <c r="K169" s="92">
        <f>(SUBSTITUTE(Audio!K169, "RE-", "", 1))*1</f>
        <v>0.29395</v>
      </c>
      <c r="L169" s="92">
        <f>(SUBSTITUTE(Audio!L169, "RE-", "", 1))*1</f>
        <v>763.584</v>
      </c>
      <c r="M169" s="92">
        <f>(SUBSTITUTE(Audio!M169, "RE-", "", 1))*1</f>
        <v>5.88018</v>
      </c>
      <c r="N169" s="92">
        <f>(SUBSTITUTE(Audio!N169, "RE-", "", 1))*1</f>
        <v>1688.12</v>
      </c>
      <c r="O169" s="92">
        <f>(SUBSTITUTE(Audio!O169, "RE-", "", 1))*1</f>
        <v>13.9596</v>
      </c>
      <c r="P169" s="92">
        <f>(SUBSTITUTE(Audio!P169, "RE-", "", 1))*1</f>
        <v>145.211</v>
      </c>
      <c r="Q169" s="92">
        <f>(SUBSTITUTE(Audio!Q169, "RE-", "", 1))*1</f>
        <v>16.3013</v>
      </c>
      <c r="R169" s="92">
        <f>(SUBSTITUTE(Audio!R169, "RE-", "", 1))*1</f>
        <v>70.3824</v>
      </c>
      <c r="S169" s="92">
        <f>(SUBSTITUTE(Audio!S169, "RE-", "", 1))*1</f>
        <v>5.58845</v>
      </c>
      <c r="T169" s="92">
        <f>(SUBSTITUTE(Audio!T169, "RE-", "", 1))*1</f>
        <v>258.441</v>
      </c>
      <c r="U169" s="92">
        <f>(SUBSTITUTE(Audio!U169, "RE-", "", 1))*1</f>
        <v>15.9042</v>
      </c>
      <c r="V169" s="92">
        <f>(SUBSTITUTE(Audio!V169, "RE-", "", 1))*1</f>
        <v>0.202533</v>
      </c>
      <c r="W169" s="92">
        <f>(SUBSTITUTE(Audio!W169, "RE-", "", 1))*1</f>
        <v>0</v>
      </c>
      <c r="X169" s="92">
        <f>(SUBSTITUTE(Audio!X169, "RE-", "", 1))*1</f>
        <v>0</v>
      </c>
      <c r="Y169" s="92">
        <f>(SUBSTITUTE(Audio!Y169, "RE-", "", 1))*1</f>
        <v>0</v>
      </c>
      <c r="Z169" s="92">
        <f>(SUBSTITUTE(Audio!Z169, "RE-", "", 1))*1</f>
        <v>0</v>
      </c>
      <c r="AA169" s="92"/>
      <c r="AB169" s="92"/>
      <c r="AC169" s="92"/>
      <c r="AD169" s="92"/>
      <c r="AE169" s="92"/>
      <c r="AF169" s="92"/>
      <c r="AG169" s="92"/>
      <c r="AH169" s="92"/>
      <c r="AI169" s="92"/>
      <c r="AJ169" s="92"/>
      <c r="AK169" s="92"/>
      <c r="AL169" s="92"/>
      <c r="AM169" s="92"/>
      <c r="AN169" s="92"/>
      <c r="AO169" s="92"/>
      <c r="AP169" s="92"/>
      <c r="AQ169" s="92"/>
      <c r="AR169" s="92"/>
      <c r="AS169" s="92"/>
      <c r="AT169" s="92"/>
      <c r="AU169" s="92"/>
      <c r="AV169" s="92"/>
      <c r="AW169" s="92"/>
      <c r="AX169" s="92"/>
      <c r="AY169" s="92"/>
      <c r="AZ169" s="92"/>
      <c r="BA169" s="92"/>
      <c r="BB169" s="92"/>
      <c r="BC169" s="92"/>
      <c r="BD169" s="92"/>
      <c r="BE169" s="92"/>
      <c r="BF169" s="92"/>
      <c r="BG169" s="92"/>
      <c r="BH169" s="92"/>
      <c r="BI169" s="92"/>
      <c r="BJ169" s="92"/>
      <c r="BK169" s="92"/>
      <c r="BL169" s="92"/>
      <c r="BM169" s="92"/>
      <c r="BN169" s="92"/>
      <c r="BO169" s="92"/>
      <c r="BP169" s="92"/>
      <c r="BQ169" s="92"/>
      <c r="BR169" s="92"/>
      <c r="BS169" s="92"/>
      <c r="BT169" s="92"/>
      <c r="BU169" s="92"/>
      <c r="BV169" s="92"/>
      <c r="BW169" s="92"/>
      <c r="BX169" s="92"/>
      <c r="BY169" s="92"/>
      <c r="BZ169" s="92"/>
      <c r="CA169" s="92"/>
      <c r="CB169" s="92"/>
      <c r="CC169" s="92"/>
      <c r="CD169" s="92"/>
      <c r="CE169" s="92"/>
      <c r="CF169" s="92"/>
      <c r="CG169" s="92"/>
      <c r="CH169" s="92"/>
      <c r="CI169" s="92"/>
      <c r="CJ169" s="92"/>
      <c r="CK169" s="92"/>
      <c r="CL169" s="92"/>
      <c r="CM169" s="92"/>
      <c r="CN169" s="92"/>
      <c r="CO169" s="92"/>
      <c r="CP169" s="92"/>
      <c r="CQ169" s="92"/>
      <c r="CR169" s="92"/>
      <c r="CS169" s="92"/>
      <c r="CT169" s="92"/>
      <c r="CU169" s="92"/>
      <c r="CV169" s="92"/>
      <c r="CW169" s="92"/>
      <c r="CX169" s="92"/>
      <c r="CY169" s="92"/>
      <c r="CZ169" s="92"/>
      <c r="DA169" s="92"/>
      <c r="DB169" s="92"/>
      <c r="DC169" s="92"/>
      <c r="DD169" s="92"/>
      <c r="DE169" s="92"/>
      <c r="DF169" s="92"/>
      <c r="DG169" s="92"/>
      <c r="DH169" s="92"/>
      <c r="DI169" s="92"/>
      <c r="DJ169" s="92"/>
      <c r="DK169" s="92"/>
      <c r="DL169" s="92"/>
      <c r="DM169" s="92"/>
      <c r="DN169" s="92"/>
      <c r="DO169" s="92"/>
      <c r="DP169" s="92"/>
      <c r="DQ169" s="92"/>
      <c r="DR169" s="92"/>
      <c r="DS169" s="92"/>
      <c r="DT169" s="92"/>
      <c r="DU169" s="92"/>
      <c r="DV169" s="92"/>
      <c r="DW169" s="92"/>
      <c r="DX169" s="92"/>
      <c r="DY169" s="92"/>
      <c r="DZ169" s="92"/>
      <c r="EA169" s="92"/>
      <c r="EB169" s="92"/>
      <c r="EC169" s="92"/>
      <c r="ED169" s="92"/>
      <c r="EE169" s="92"/>
      <c r="EF169" s="92"/>
      <c r="EG169" s="92"/>
      <c r="EH169" s="92"/>
      <c r="EI169" s="92"/>
      <c r="EJ169" s="92"/>
      <c r="EK169" s="92"/>
      <c r="EL169" s="92"/>
      <c r="EM169" s="92"/>
      <c r="EN169" s="92"/>
      <c r="EO169" s="92"/>
      <c r="EP169" s="92"/>
      <c r="EQ169" s="92"/>
      <c r="ER169" s="92"/>
      <c r="ES169" s="92"/>
      <c r="ET169" s="92"/>
      <c r="EU169" s="92"/>
      <c r="EV169" s="92"/>
      <c r="EW169" s="92"/>
      <c r="EX169" s="92"/>
      <c r="EY169" s="92"/>
      <c r="EZ169" s="92"/>
      <c r="FA169" s="92"/>
      <c r="FB169" s="92"/>
      <c r="FC169" s="92"/>
      <c r="FD169" s="92"/>
      <c r="FE169" s="92"/>
      <c r="FF169" s="92"/>
      <c r="FG169" s="92"/>
      <c r="FH169" s="92"/>
    </row>
    <row r="170">
      <c r="A170" s="27" t="s">
        <v>38</v>
      </c>
      <c r="B170" s="27" t="s">
        <v>39</v>
      </c>
      <c r="C170" s="27" t="s">
        <v>15</v>
      </c>
      <c r="D170" s="98">
        <f t="shared" si="1"/>
        <v>4768.750656</v>
      </c>
      <c r="E170" s="92">
        <f>(SUBSTITUTE(Audio!E170, "RE-", "", 1))*1</f>
        <v>0</v>
      </c>
      <c r="F170" s="92">
        <f>(SUBSTITUTE(Audio!F170, "RE-", "", 1))*1</f>
        <v>931.497</v>
      </c>
      <c r="G170" s="92">
        <f>(SUBSTITUTE(Audio!G170, "RE-", "", 1))*1</f>
        <v>4.95472</v>
      </c>
      <c r="H170" s="92">
        <f>(SUBSTITUTE(Audio!H170, "RE-", "", 1))*1</f>
        <v>164.827</v>
      </c>
      <c r="I170" s="92">
        <f>(SUBSTITUTE(Audio!I170, "RE-", "", 1))*1</f>
        <v>0.453933</v>
      </c>
      <c r="J170" s="92">
        <f>(SUBSTITUTE(Audio!J170, "RE-", "", 1))*1</f>
        <v>288.527</v>
      </c>
      <c r="K170" s="92">
        <f>(SUBSTITUTE(Audio!K170, "RE-", "", 1))*1</f>
        <v>0.29395</v>
      </c>
      <c r="L170" s="92">
        <f>(SUBSTITUTE(Audio!L170, "RE-", "", 1))*1</f>
        <v>864.77</v>
      </c>
      <c r="M170" s="92">
        <f>(SUBSTITUTE(Audio!M170, "RE-", "", 1))*1</f>
        <v>6.93407</v>
      </c>
      <c r="N170" s="92">
        <f>(SUBSTITUTE(Audio!N170, "RE-", "", 1))*1</f>
        <v>1888.46</v>
      </c>
      <c r="O170" s="92">
        <f>(SUBSTITUTE(Audio!O170, "RE-", "", 1))*1</f>
        <v>15.7538</v>
      </c>
      <c r="P170" s="92">
        <f>(SUBSTITUTE(Audio!P170, "RE-", "", 1))*1</f>
        <v>164.459</v>
      </c>
      <c r="Q170" s="92">
        <f>(SUBSTITUTE(Audio!Q170, "RE-", "", 1))*1</f>
        <v>18.9243</v>
      </c>
      <c r="R170" s="92">
        <f>(SUBSTITUTE(Audio!R170, "RE-", "", 1))*1</f>
        <v>86.817</v>
      </c>
      <c r="S170" s="92">
        <f>(SUBSTITUTE(Audio!S170, "RE-", "", 1))*1</f>
        <v>6.24815</v>
      </c>
      <c r="T170" s="92">
        <f>(SUBSTITUTE(Audio!T170, "RE-", "", 1))*1</f>
        <v>307.351</v>
      </c>
      <c r="U170" s="92">
        <f>(SUBSTITUTE(Audio!U170, "RE-", "", 1))*1</f>
        <v>18.2772</v>
      </c>
      <c r="V170" s="92">
        <f>(SUBSTITUTE(Audio!V170, "RE-", "", 1))*1</f>
        <v>0.202533</v>
      </c>
      <c r="W170" s="92">
        <f>(SUBSTITUTE(Audio!W170, "RE-", "", 1))*1</f>
        <v>0</v>
      </c>
      <c r="X170" s="92">
        <f>(SUBSTITUTE(Audio!X170, "RE-", "", 1))*1</f>
        <v>0</v>
      </c>
      <c r="Y170" s="92">
        <f>(SUBSTITUTE(Audio!Y170, "RE-", "", 1))*1</f>
        <v>0</v>
      </c>
      <c r="Z170" s="92">
        <f>(SUBSTITUTE(Audio!Z170, "RE-", "", 1))*1</f>
        <v>0</v>
      </c>
      <c r="AA170" s="92"/>
      <c r="AB170" s="92"/>
      <c r="AC170" s="92"/>
      <c r="AD170" s="92"/>
      <c r="AE170" s="92"/>
      <c r="AF170" s="92"/>
      <c r="AG170" s="92"/>
      <c r="AH170" s="92"/>
      <c r="AI170" s="92"/>
      <c r="AJ170" s="92"/>
      <c r="AK170" s="92"/>
      <c r="AL170" s="92"/>
      <c r="AM170" s="92"/>
      <c r="AN170" s="92"/>
      <c r="AO170" s="92"/>
      <c r="AP170" s="92"/>
      <c r="AQ170" s="92"/>
      <c r="AR170" s="92"/>
      <c r="AS170" s="92"/>
      <c r="AT170" s="92"/>
      <c r="AU170" s="92"/>
      <c r="AV170" s="92"/>
      <c r="AW170" s="92"/>
      <c r="AX170" s="92"/>
      <c r="AY170" s="92"/>
      <c r="AZ170" s="92"/>
      <c r="BA170" s="92"/>
      <c r="BB170" s="92"/>
      <c r="BC170" s="92"/>
      <c r="BD170" s="92"/>
      <c r="BE170" s="92"/>
      <c r="BF170" s="92"/>
      <c r="BG170" s="92"/>
      <c r="BH170" s="92"/>
      <c r="BI170" s="92"/>
      <c r="BJ170" s="92"/>
      <c r="BK170" s="92"/>
      <c r="BL170" s="92"/>
      <c r="BM170" s="92"/>
      <c r="BN170" s="92"/>
      <c r="BO170" s="92"/>
      <c r="BP170" s="92"/>
      <c r="BQ170" s="92"/>
      <c r="BR170" s="92"/>
      <c r="BS170" s="92"/>
      <c r="BT170" s="92"/>
      <c r="BU170" s="92"/>
      <c r="BV170" s="92"/>
      <c r="BW170" s="92"/>
      <c r="BX170" s="92"/>
      <c r="BY170" s="92"/>
      <c r="BZ170" s="92"/>
      <c r="CA170" s="92"/>
      <c r="CB170" s="92"/>
      <c r="CC170" s="92"/>
      <c r="CD170" s="92"/>
      <c r="CE170" s="92"/>
      <c r="CF170" s="92"/>
      <c r="CG170" s="92"/>
      <c r="CH170" s="92"/>
      <c r="CI170" s="92"/>
      <c r="CJ170" s="92"/>
      <c r="CK170" s="92"/>
      <c r="CL170" s="92"/>
      <c r="CM170" s="92"/>
      <c r="CN170" s="92"/>
      <c r="CO170" s="92"/>
      <c r="CP170" s="92"/>
      <c r="CQ170" s="92"/>
      <c r="CR170" s="92"/>
      <c r="CS170" s="92"/>
      <c r="CT170" s="92"/>
      <c r="CU170" s="92"/>
      <c r="CV170" s="92"/>
      <c r="CW170" s="92"/>
      <c r="CX170" s="92"/>
      <c r="CY170" s="92"/>
      <c r="CZ170" s="92"/>
      <c r="DA170" s="92"/>
      <c r="DB170" s="92"/>
      <c r="DC170" s="92"/>
      <c r="DD170" s="92"/>
      <c r="DE170" s="92"/>
      <c r="DF170" s="92"/>
      <c r="DG170" s="92"/>
      <c r="DH170" s="92"/>
      <c r="DI170" s="92"/>
      <c r="DJ170" s="92"/>
      <c r="DK170" s="92"/>
      <c r="DL170" s="92"/>
      <c r="DM170" s="92"/>
      <c r="DN170" s="92"/>
      <c r="DO170" s="92"/>
      <c r="DP170" s="92"/>
      <c r="DQ170" s="92"/>
      <c r="DR170" s="92"/>
      <c r="DS170" s="92"/>
      <c r="DT170" s="92"/>
      <c r="DU170" s="92"/>
      <c r="DV170" s="92"/>
      <c r="DW170" s="92"/>
      <c r="DX170" s="92"/>
      <c r="DY170" s="92"/>
      <c r="DZ170" s="92"/>
      <c r="EA170" s="92"/>
      <c r="EB170" s="92"/>
      <c r="EC170" s="92"/>
      <c r="ED170" s="92"/>
      <c r="EE170" s="92"/>
      <c r="EF170" s="92"/>
      <c r="EG170" s="92"/>
      <c r="EH170" s="92"/>
      <c r="EI170" s="92"/>
      <c r="EJ170" s="92"/>
      <c r="EK170" s="92"/>
      <c r="EL170" s="92"/>
      <c r="EM170" s="92"/>
      <c r="EN170" s="92"/>
      <c r="EO170" s="92"/>
      <c r="EP170" s="92"/>
      <c r="EQ170" s="92"/>
      <c r="ER170" s="92"/>
      <c r="ES170" s="92"/>
      <c r="ET170" s="92"/>
      <c r="EU170" s="92"/>
      <c r="EV170" s="92"/>
      <c r="EW170" s="92"/>
      <c r="EX170" s="92"/>
      <c r="EY170" s="92"/>
      <c r="EZ170" s="92"/>
      <c r="FA170" s="92"/>
      <c r="FB170" s="92"/>
      <c r="FC170" s="92"/>
      <c r="FD170" s="92"/>
      <c r="FE170" s="92"/>
      <c r="FF170" s="92"/>
      <c r="FG170" s="92"/>
      <c r="FH170" s="92"/>
    </row>
    <row r="171">
      <c r="A171" s="30" t="s">
        <v>7</v>
      </c>
      <c r="B171" s="30" t="s">
        <v>40</v>
      </c>
      <c r="C171" s="31" t="str">
        <f>HYPERLINK("https://docs.google.com/spreadsheets/d/1aCnYZS38JihgenDwC1XUMQ_2s4z4w51J/edit?usp=share_link&amp;ouid=106501987799020758802&amp;rtpof=true&amp;sd=true", "Raw Delivered")</f>
        <v>Raw Delivered</v>
      </c>
      <c r="D171" s="96">
        <f t="shared" si="1"/>
        <v>5914.499059</v>
      </c>
      <c r="E171" s="92">
        <f>(SUBSTITUTE(Audio!E171, "RE-", "", 1))*1</f>
        <v>0</v>
      </c>
      <c r="F171" s="92">
        <f>(SUBSTITUTE(Audio!F171, "RE-", "", 1))*1</f>
        <v>888.1997229</v>
      </c>
      <c r="G171" s="92">
        <f>(SUBSTITUTE(Audio!G171, "RE-", "", 1))*1</f>
        <v>0</v>
      </c>
      <c r="H171" s="92">
        <f>(SUBSTITUTE(Audio!H171, "RE-", "", 1))*1</f>
        <v>214.5824281</v>
      </c>
      <c r="I171" s="92">
        <f>(SUBSTITUTE(Audio!I171, "RE-", "", 1))*1</f>
        <v>0</v>
      </c>
      <c r="J171" s="92">
        <f>(SUBSTITUTE(Audio!J171, "RE-", "", 1))*1</f>
        <v>1533.718989</v>
      </c>
      <c r="K171" s="92">
        <f>(SUBSTITUTE(Audio!K171, "RE-", "", 1))*1</f>
        <v>0</v>
      </c>
      <c r="L171" s="92">
        <f>(SUBSTITUTE(Audio!L171, "RE-", "", 1))*1</f>
        <v>472.9579896</v>
      </c>
      <c r="M171" s="92">
        <f>(SUBSTITUTE(Audio!M171, "RE-", "", 1))*1</f>
        <v>0</v>
      </c>
      <c r="N171" s="92">
        <f>(SUBSTITUTE(Audio!N171, "RE-", "", 1))*1</f>
        <v>1814.375433</v>
      </c>
      <c r="O171" s="92">
        <f>(SUBSTITUTE(Audio!O171, "RE-", "", 1))*1</f>
        <v>0</v>
      </c>
      <c r="P171" s="92">
        <f>(SUBSTITUTE(Audio!P171, "RE-", "", 1))*1</f>
        <v>302.4565083</v>
      </c>
      <c r="Q171" s="92">
        <f>(SUBSTITUTE(Audio!Q171, "RE-", "", 1))*1</f>
        <v>0</v>
      </c>
      <c r="R171" s="92">
        <f>(SUBSTITUTE(Audio!R171, "RE-", "", 1))*1</f>
        <v>54.16297292</v>
      </c>
      <c r="S171" s="92">
        <f>(SUBSTITUTE(Audio!S171, "RE-", "", 1))*1</f>
        <v>0</v>
      </c>
      <c r="T171" s="92">
        <f>(SUBSTITUTE(Audio!T171, "RE-", "", 1))*1</f>
        <v>634.0450156</v>
      </c>
      <c r="U171" s="92">
        <f>(SUBSTITUTE(Audio!U171, "RE-", "", 1))*1</f>
        <v>0</v>
      </c>
      <c r="V171" s="92">
        <f>(SUBSTITUTE(Audio!V171, "RE-", "", 1))*1</f>
        <v>0</v>
      </c>
      <c r="W171" s="92">
        <f>(SUBSTITUTE(Audio!W171, "RE-", "", 1))*1</f>
        <v>0</v>
      </c>
      <c r="X171" s="92">
        <f>(SUBSTITUTE(Audio!X171, "RE-", "", 1))*1</f>
        <v>0</v>
      </c>
      <c r="Y171" s="92">
        <f>(SUBSTITUTE(Audio!Y171, "RE-", "", 1))*1</f>
        <v>0</v>
      </c>
      <c r="Z171" s="92">
        <f>(SUBSTITUTE(Audio!Z171, "RE-", "", 1))*1</f>
        <v>0</v>
      </c>
      <c r="AA171" s="92"/>
      <c r="AB171" s="92"/>
      <c r="AC171" s="92"/>
      <c r="AD171" s="92"/>
      <c r="AE171" s="92"/>
      <c r="AF171" s="92"/>
      <c r="AG171" s="92"/>
      <c r="AH171" s="92"/>
      <c r="AI171" s="92"/>
      <c r="AJ171" s="92"/>
      <c r="AK171" s="92"/>
      <c r="AL171" s="92"/>
      <c r="AM171" s="92"/>
      <c r="AN171" s="92"/>
      <c r="AO171" s="92"/>
      <c r="AP171" s="92"/>
      <c r="AQ171" s="92"/>
      <c r="AR171" s="92"/>
      <c r="AS171" s="92"/>
      <c r="AT171" s="92"/>
      <c r="AU171" s="92"/>
      <c r="AV171" s="92"/>
      <c r="AW171" s="92"/>
      <c r="AX171" s="92"/>
      <c r="AY171" s="92"/>
      <c r="AZ171" s="92"/>
      <c r="BA171" s="92"/>
      <c r="BB171" s="92"/>
      <c r="BC171" s="92"/>
      <c r="BD171" s="92"/>
      <c r="BE171" s="92"/>
      <c r="BF171" s="92"/>
      <c r="BG171" s="92"/>
      <c r="BH171" s="92"/>
      <c r="BI171" s="92"/>
      <c r="BJ171" s="92"/>
      <c r="BK171" s="92"/>
      <c r="BL171" s="92"/>
      <c r="BM171" s="92"/>
      <c r="BN171" s="92"/>
      <c r="BO171" s="92"/>
      <c r="BP171" s="92"/>
      <c r="BQ171" s="92"/>
      <c r="BR171" s="92"/>
      <c r="BS171" s="92"/>
      <c r="BT171" s="92"/>
      <c r="BU171" s="92"/>
      <c r="BV171" s="92"/>
      <c r="BW171" s="92"/>
      <c r="BX171" s="92"/>
      <c r="BY171" s="92"/>
      <c r="BZ171" s="92"/>
      <c r="CA171" s="92"/>
      <c r="CB171" s="92"/>
      <c r="CC171" s="92"/>
      <c r="CD171" s="92"/>
      <c r="CE171" s="92"/>
      <c r="CF171" s="92"/>
      <c r="CG171" s="92"/>
      <c r="CH171" s="92"/>
      <c r="CI171" s="92"/>
      <c r="CJ171" s="92"/>
      <c r="CK171" s="92"/>
      <c r="CL171" s="92"/>
      <c r="CM171" s="92"/>
      <c r="CN171" s="92"/>
      <c r="CO171" s="92"/>
      <c r="CP171" s="92"/>
      <c r="CQ171" s="92"/>
      <c r="CR171" s="92"/>
      <c r="CS171" s="92"/>
      <c r="CT171" s="92"/>
      <c r="CU171" s="92"/>
      <c r="CV171" s="92"/>
      <c r="CW171" s="92"/>
      <c r="CX171" s="92"/>
      <c r="CY171" s="92"/>
      <c r="CZ171" s="92"/>
      <c r="DA171" s="92"/>
      <c r="DB171" s="92"/>
      <c r="DC171" s="92"/>
      <c r="DD171" s="92"/>
      <c r="DE171" s="92"/>
      <c r="DF171" s="92"/>
      <c r="DG171" s="92"/>
      <c r="DH171" s="92"/>
      <c r="DI171" s="92"/>
      <c r="DJ171" s="92"/>
      <c r="DK171" s="92"/>
      <c r="DL171" s="92"/>
      <c r="DM171" s="92"/>
      <c r="DN171" s="92"/>
      <c r="DO171" s="92"/>
      <c r="DP171" s="92"/>
      <c r="DQ171" s="92"/>
      <c r="DR171" s="92"/>
      <c r="DS171" s="92"/>
      <c r="DT171" s="92"/>
      <c r="DU171" s="92"/>
      <c r="DV171" s="92"/>
      <c r="DW171" s="92"/>
      <c r="DX171" s="92"/>
      <c r="DY171" s="92"/>
      <c r="DZ171" s="92"/>
      <c r="EA171" s="92"/>
      <c r="EB171" s="92"/>
      <c r="EC171" s="92"/>
      <c r="ED171" s="92"/>
      <c r="EE171" s="92"/>
      <c r="EF171" s="92"/>
      <c r="EG171" s="92"/>
      <c r="EH171" s="92"/>
      <c r="EI171" s="92"/>
      <c r="EJ171" s="92"/>
      <c r="EK171" s="92"/>
      <c r="EL171" s="92"/>
      <c r="EM171" s="92"/>
      <c r="EN171" s="92"/>
      <c r="EO171" s="92"/>
      <c r="EP171" s="92"/>
      <c r="EQ171" s="92"/>
      <c r="ER171" s="92"/>
      <c r="ES171" s="92"/>
      <c r="ET171" s="92"/>
      <c r="EU171" s="92"/>
      <c r="EV171" s="92"/>
      <c r="EW171" s="92"/>
      <c r="EX171" s="92"/>
      <c r="EY171" s="92"/>
      <c r="EZ171" s="92"/>
      <c r="FA171" s="92"/>
      <c r="FB171" s="92"/>
      <c r="FC171" s="92"/>
      <c r="FD171" s="92"/>
      <c r="FE171" s="92"/>
      <c r="FF171" s="92"/>
      <c r="FG171" s="92"/>
      <c r="FH171" s="92"/>
    </row>
    <row r="172">
      <c r="A172" s="32" t="s">
        <v>7</v>
      </c>
      <c r="B172" s="32" t="s">
        <v>40</v>
      </c>
      <c r="C172" s="32" t="s">
        <v>9</v>
      </c>
      <c r="D172" s="97">
        <f t="shared" si="1"/>
        <v>5914.499059</v>
      </c>
      <c r="E172" s="92">
        <f>(SUBSTITUTE(Audio!E172, "RE-", "", 1))*1</f>
        <v>0</v>
      </c>
      <c r="F172" s="92">
        <f>(SUBSTITUTE(Audio!F172, "RE-", "", 1))*1</f>
        <v>888.1997229</v>
      </c>
      <c r="G172" s="92">
        <f>(SUBSTITUTE(Audio!G172, "RE-", "", 1))*1</f>
        <v>0</v>
      </c>
      <c r="H172" s="92">
        <f>(SUBSTITUTE(Audio!H172, "RE-", "", 1))*1</f>
        <v>214.5824281</v>
      </c>
      <c r="I172" s="92">
        <f>(SUBSTITUTE(Audio!I172, "RE-", "", 1))*1</f>
        <v>0</v>
      </c>
      <c r="J172" s="92">
        <f>(SUBSTITUTE(Audio!J172, "RE-", "", 1))*1</f>
        <v>1533.718989</v>
      </c>
      <c r="K172" s="92">
        <f>(SUBSTITUTE(Audio!K172, "RE-", "", 1))*1</f>
        <v>0</v>
      </c>
      <c r="L172" s="92">
        <f>(SUBSTITUTE(Audio!L172, "RE-", "", 1))*1</f>
        <v>472.9579896</v>
      </c>
      <c r="M172" s="92">
        <f>(SUBSTITUTE(Audio!M172, "RE-", "", 1))*1</f>
        <v>0</v>
      </c>
      <c r="N172" s="92">
        <f>(SUBSTITUTE(Audio!N172, "RE-", "", 1))*1</f>
        <v>1814.375433</v>
      </c>
      <c r="O172" s="92">
        <f>(SUBSTITUTE(Audio!O172, "RE-", "", 1))*1</f>
        <v>0</v>
      </c>
      <c r="P172" s="92">
        <f>(SUBSTITUTE(Audio!P172, "RE-", "", 1))*1</f>
        <v>302.4565083</v>
      </c>
      <c r="Q172" s="92">
        <f>(SUBSTITUTE(Audio!Q172, "RE-", "", 1))*1</f>
        <v>0</v>
      </c>
      <c r="R172" s="92">
        <f>(SUBSTITUTE(Audio!R172, "RE-", "", 1))*1</f>
        <v>54.16297292</v>
      </c>
      <c r="S172" s="92">
        <f>(SUBSTITUTE(Audio!S172, "RE-", "", 1))*1</f>
        <v>0</v>
      </c>
      <c r="T172" s="92">
        <f>(SUBSTITUTE(Audio!T172, "RE-", "", 1))*1</f>
        <v>634.0450156</v>
      </c>
      <c r="U172" s="92">
        <f>(SUBSTITUTE(Audio!U172, "RE-", "", 1))*1</f>
        <v>0</v>
      </c>
      <c r="V172" s="92">
        <f>(SUBSTITUTE(Audio!V172, "RE-", "", 1))*1</f>
        <v>0</v>
      </c>
      <c r="W172" s="92">
        <f>(SUBSTITUTE(Audio!W172, "RE-", "", 1))*1</f>
        <v>0</v>
      </c>
      <c r="X172" s="92">
        <f>(SUBSTITUTE(Audio!X172, "RE-", "", 1))*1</f>
        <v>0</v>
      </c>
      <c r="Y172" s="92">
        <f>(SUBSTITUTE(Audio!Y172, "RE-", "", 1))*1</f>
        <v>0</v>
      </c>
      <c r="Z172" s="92">
        <f>(SUBSTITUTE(Audio!Z172, "RE-", "", 1))*1</f>
        <v>0</v>
      </c>
      <c r="AA172" s="92"/>
      <c r="AB172" s="92"/>
      <c r="AC172" s="92"/>
      <c r="AD172" s="92"/>
      <c r="AE172" s="92"/>
      <c r="AF172" s="92"/>
      <c r="AG172" s="92"/>
      <c r="AH172" s="92"/>
      <c r="AI172" s="92"/>
      <c r="AJ172" s="92"/>
      <c r="AK172" s="92"/>
      <c r="AL172" s="92"/>
      <c r="AM172" s="92"/>
      <c r="AN172" s="92"/>
      <c r="AO172" s="92"/>
      <c r="AP172" s="92"/>
      <c r="AQ172" s="92"/>
      <c r="AR172" s="92"/>
      <c r="AS172" s="92"/>
      <c r="AT172" s="92"/>
      <c r="AU172" s="92"/>
      <c r="AV172" s="92"/>
      <c r="AW172" s="92"/>
      <c r="AX172" s="92"/>
      <c r="AY172" s="92"/>
      <c r="AZ172" s="92"/>
      <c r="BA172" s="92"/>
      <c r="BB172" s="92"/>
      <c r="BC172" s="92"/>
      <c r="BD172" s="92"/>
      <c r="BE172" s="92"/>
      <c r="BF172" s="92"/>
      <c r="BG172" s="92"/>
      <c r="BH172" s="92"/>
      <c r="BI172" s="92"/>
      <c r="BJ172" s="92"/>
      <c r="BK172" s="92"/>
      <c r="BL172" s="92"/>
      <c r="BM172" s="92"/>
      <c r="BN172" s="92"/>
      <c r="BO172" s="92"/>
      <c r="BP172" s="92"/>
      <c r="BQ172" s="92"/>
      <c r="BR172" s="92"/>
      <c r="BS172" s="92"/>
      <c r="BT172" s="92"/>
      <c r="BU172" s="92"/>
      <c r="BV172" s="92"/>
      <c r="BW172" s="92"/>
      <c r="BX172" s="92"/>
      <c r="BY172" s="92"/>
      <c r="BZ172" s="92"/>
      <c r="CA172" s="92"/>
      <c r="CB172" s="92"/>
      <c r="CC172" s="92"/>
      <c r="CD172" s="92"/>
      <c r="CE172" s="92"/>
      <c r="CF172" s="92"/>
      <c r="CG172" s="92"/>
      <c r="CH172" s="92"/>
      <c r="CI172" s="92"/>
      <c r="CJ172" s="92"/>
      <c r="CK172" s="92"/>
      <c r="CL172" s="92"/>
      <c r="CM172" s="92"/>
      <c r="CN172" s="92"/>
      <c r="CO172" s="92"/>
      <c r="CP172" s="92"/>
      <c r="CQ172" s="92"/>
      <c r="CR172" s="92"/>
      <c r="CS172" s="92"/>
      <c r="CT172" s="92"/>
      <c r="CU172" s="92"/>
      <c r="CV172" s="92"/>
      <c r="CW172" s="92"/>
      <c r="CX172" s="92"/>
      <c r="CY172" s="92"/>
      <c r="CZ172" s="92"/>
      <c r="DA172" s="92"/>
      <c r="DB172" s="92"/>
      <c r="DC172" s="92"/>
      <c r="DD172" s="92"/>
      <c r="DE172" s="92"/>
      <c r="DF172" s="92"/>
      <c r="DG172" s="92"/>
      <c r="DH172" s="92"/>
      <c r="DI172" s="92"/>
      <c r="DJ172" s="92"/>
      <c r="DK172" s="92"/>
      <c r="DL172" s="92"/>
      <c r="DM172" s="92"/>
      <c r="DN172" s="92"/>
      <c r="DO172" s="92"/>
      <c r="DP172" s="92"/>
      <c r="DQ172" s="92"/>
      <c r="DR172" s="92"/>
      <c r="DS172" s="92"/>
      <c r="DT172" s="92"/>
      <c r="DU172" s="92"/>
      <c r="DV172" s="92"/>
      <c r="DW172" s="92"/>
      <c r="DX172" s="92"/>
      <c r="DY172" s="92"/>
      <c r="DZ172" s="92"/>
      <c r="EA172" s="92"/>
      <c r="EB172" s="92"/>
      <c r="EC172" s="92"/>
      <c r="ED172" s="92"/>
      <c r="EE172" s="92"/>
      <c r="EF172" s="92"/>
      <c r="EG172" s="92"/>
      <c r="EH172" s="92"/>
      <c r="EI172" s="92"/>
      <c r="EJ172" s="92"/>
      <c r="EK172" s="92"/>
      <c r="EL172" s="92"/>
      <c r="EM172" s="92"/>
      <c r="EN172" s="92"/>
      <c r="EO172" s="92"/>
      <c r="EP172" s="92"/>
      <c r="EQ172" s="92"/>
      <c r="ER172" s="92"/>
      <c r="ES172" s="92"/>
      <c r="ET172" s="92"/>
      <c r="EU172" s="92"/>
      <c r="EV172" s="92"/>
      <c r="EW172" s="92"/>
      <c r="EX172" s="92"/>
      <c r="EY172" s="92"/>
      <c r="EZ172" s="92"/>
      <c r="FA172" s="92"/>
      <c r="FB172" s="92"/>
      <c r="FC172" s="92"/>
      <c r="FD172" s="92"/>
      <c r="FE172" s="92"/>
      <c r="FF172" s="92"/>
      <c r="FG172" s="92"/>
      <c r="FH172" s="92"/>
    </row>
    <row r="173">
      <c r="A173" s="32" t="s">
        <v>7</v>
      </c>
      <c r="B173" s="32" t="s">
        <v>40</v>
      </c>
      <c r="C173" s="32" t="s">
        <v>10</v>
      </c>
      <c r="D173" s="97">
        <f t="shared" si="1"/>
        <v>614.1222854</v>
      </c>
      <c r="E173" s="92">
        <f>(SUBSTITUTE(Audio!E173, "RE-", "", 1))*1</f>
        <v>0</v>
      </c>
      <c r="F173" s="92">
        <f>(SUBSTITUTE(Audio!F173, "RE-", "", 1))*1</f>
        <v>0</v>
      </c>
      <c r="G173" s="92">
        <f>(SUBSTITUTE(Audio!G173, "RE-", "", 1))*1</f>
        <v>67.282225</v>
      </c>
      <c r="H173" s="92">
        <f>(SUBSTITUTE(Audio!H173, "RE-", "", 1))*1</f>
        <v>0</v>
      </c>
      <c r="I173" s="92">
        <f>(SUBSTITUTE(Audio!I173, "RE-", "", 1))*1</f>
        <v>12.32226979</v>
      </c>
      <c r="J173" s="92">
        <f>(SUBSTITUTE(Audio!J173, "RE-", "", 1))*1</f>
        <v>0</v>
      </c>
      <c r="K173" s="92">
        <f>(SUBSTITUTE(Audio!K173, "RE-", "", 1))*1</f>
        <v>125.9099812</v>
      </c>
      <c r="L173" s="92">
        <f>(SUBSTITUTE(Audio!L173, "RE-", "", 1))*1</f>
        <v>0</v>
      </c>
      <c r="M173" s="92">
        <f>(SUBSTITUTE(Audio!M173, "RE-", "", 1))*1</f>
        <v>21.06692083</v>
      </c>
      <c r="N173" s="92">
        <f>(SUBSTITUTE(Audio!N173, "RE-", "", 1))*1</f>
        <v>0</v>
      </c>
      <c r="O173" s="92">
        <f>(SUBSTITUTE(Audio!O173, "RE-", "", 1))*1</f>
        <v>197.5132927</v>
      </c>
      <c r="P173" s="92">
        <f>(SUBSTITUTE(Audio!P173, "RE-", "", 1))*1</f>
        <v>0</v>
      </c>
      <c r="Q173" s="92">
        <f>(SUBSTITUTE(Audio!Q173, "RE-", "", 1))*1</f>
        <v>98.14486563</v>
      </c>
      <c r="R173" s="92">
        <f>(SUBSTITUTE(Audio!R173, "RE-", "", 1))*1</f>
        <v>0</v>
      </c>
      <c r="S173" s="92">
        <f>(SUBSTITUTE(Audio!S173, "RE-", "", 1))*1</f>
        <v>23.51586146</v>
      </c>
      <c r="T173" s="92">
        <f>(SUBSTITUTE(Audio!T173, "RE-", "", 1))*1</f>
        <v>0</v>
      </c>
      <c r="U173" s="92">
        <f>(SUBSTITUTE(Audio!U173, "RE-", "", 1))*1</f>
        <v>65.71220208</v>
      </c>
      <c r="V173" s="92">
        <f>(SUBSTITUTE(Audio!V173, "RE-", "", 1))*1</f>
        <v>2.654666667</v>
      </c>
      <c r="W173" s="92">
        <f>(SUBSTITUTE(Audio!W173, "RE-", "", 1))*1</f>
        <v>0</v>
      </c>
      <c r="X173" s="92">
        <f>(SUBSTITUTE(Audio!X173, "RE-", "", 1))*1</f>
        <v>0</v>
      </c>
      <c r="Y173" s="92">
        <f>(SUBSTITUTE(Audio!Y173, "RE-", "", 1))*1</f>
        <v>0</v>
      </c>
      <c r="Z173" s="92">
        <f>(SUBSTITUTE(Audio!Z173, "RE-", "", 1))*1</f>
        <v>0</v>
      </c>
      <c r="AA173" s="92"/>
      <c r="AB173" s="92"/>
      <c r="AC173" s="92"/>
      <c r="AD173" s="92"/>
      <c r="AE173" s="92"/>
      <c r="AF173" s="92"/>
      <c r="AG173" s="92"/>
      <c r="AH173" s="92"/>
      <c r="AI173" s="92"/>
      <c r="AJ173" s="92"/>
      <c r="AK173" s="92"/>
      <c r="AL173" s="92"/>
      <c r="AM173" s="92"/>
      <c r="AN173" s="92"/>
      <c r="AO173" s="92"/>
      <c r="AP173" s="92"/>
      <c r="AQ173" s="92"/>
      <c r="AR173" s="92"/>
      <c r="AS173" s="92"/>
      <c r="AT173" s="92"/>
      <c r="AU173" s="92"/>
      <c r="AV173" s="92"/>
      <c r="AW173" s="92"/>
      <c r="AX173" s="92"/>
      <c r="AY173" s="92"/>
      <c r="AZ173" s="92"/>
      <c r="BA173" s="92"/>
      <c r="BB173" s="92"/>
      <c r="BC173" s="92"/>
      <c r="BD173" s="92"/>
      <c r="BE173" s="92"/>
      <c r="BF173" s="92"/>
      <c r="BG173" s="92"/>
      <c r="BH173" s="92"/>
      <c r="BI173" s="92"/>
      <c r="BJ173" s="92"/>
      <c r="BK173" s="92"/>
      <c r="BL173" s="92"/>
      <c r="BM173" s="92"/>
      <c r="BN173" s="92"/>
      <c r="BO173" s="92"/>
      <c r="BP173" s="92"/>
      <c r="BQ173" s="92"/>
      <c r="BR173" s="92"/>
      <c r="BS173" s="92"/>
      <c r="BT173" s="92"/>
      <c r="BU173" s="92"/>
      <c r="BV173" s="92"/>
      <c r="BW173" s="92"/>
      <c r="BX173" s="92"/>
      <c r="BY173" s="92"/>
      <c r="BZ173" s="92"/>
      <c r="CA173" s="92"/>
      <c r="CB173" s="92"/>
      <c r="CC173" s="92"/>
      <c r="CD173" s="92"/>
      <c r="CE173" s="92"/>
      <c r="CF173" s="92"/>
      <c r="CG173" s="92"/>
      <c r="CH173" s="92"/>
      <c r="CI173" s="92"/>
      <c r="CJ173" s="92"/>
      <c r="CK173" s="92"/>
      <c r="CL173" s="92"/>
      <c r="CM173" s="92"/>
      <c r="CN173" s="92"/>
      <c r="CO173" s="92"/>
      <c r="CP173" s="92"/>
      <c r="CQ173" s="92"/>
      <c r="CR173" s="92"/>
      <c r="CS173" s="92"/>
      <c r="CT173" s="92"/>
      <c r="CU173" s="92"/>
      <c r="CV173" s="92"/>
      <c r="CW173" s="92"/>
      <c r="CX173" s="92"/>
      <c r="CY173" s="92"/>
      <c r="CZ173" s="92"/>
      <c r="DA173" s="92"/>
      <c r="DB173" s="92"/>
      <c r="DC173" s="92"/>
      <c r="DD173" s="92"/>
      <c r="DE173" s="92"/>
      <c r="DF173" s="92"/>
      <c r="DG173" s="92"/>
      <c r="DH173" s="92"/>
      <c r="DI173" s="92"/>
      <c r="DJ173" s="92"/>
      <c r="DK173" s="92"/>
      <c r="DL173" s="92"/>
      <c r="DM173" s="92"/>
      <c r="DN173" s="92"/>
      <c r="DO173" s="92"/>
      <c r="DP173" s="92"/>
      <c r="DQ173" s="92"/>
      <c r="DR173" s="92"/>
      <c r="DS173" s="92"/>
      <c r="DT173" s="92"/>
      <c r="DU173" s="92"/>
      <c r="DV173" s="92"/>
      <c r="DW173" s="92"/>
      <c r="DX173" s="92"/>
      <c r="DY173" s="92"/>
      <c r="DZ173" s="92"/>
      <c r="EA173" s="92"/>
      <c r="EB173" s="92"/>
      <c r="EC173" s="92"/>
      <c r="ED173" s="92"/>
      <c r="EE173" s="92"/>
      <c r="EF173" s="92"/>
      <c r="EG173" s="92"/>
      <c r="EH173" s="92"/>
      <c r="EI173" s="92"/>
      <c r="EJ173" s="92"/>
      <c r="EK173" s="92"/>
      <c r="EL173" s="92"/>
      <c r="EM173" s="92"/>
      <c r="EN173" s="92"/>
      <c r="EO173" s="92"/>
      <c r="EP173" s="92"/>
      <c r="EQ173" s="92"/>
      <c r="ER173" s="92"/>
      <c r="ES173" s="92"/>
      <c r="ET173" s="92"/>
      <c r="EU173" s="92"/>
      <c r="EV173" s="92"/>
      <c r="EW173" s="92"/>
      <c r="EX173" s="92"/>
      <c r="EY173" s="92"/>
      <c r="EZ173" s="92"/>
      <c r="FA173" s="92"/>
      <c r="FB173" s="92"/>
      <c r="FC173" s="92"/>
      <c r="FD173" s="92"/>
      <c r="FE173" s="92"/>
      <c r="FF173" s="92"/>
      <c r="FG173" s="92"/>
      <c r="FH173" s="92"/>
    </row>
    <row r="174">
      <c r="A174" s="32" t="s">
        <v>7</v>
      </c>
      <c r="B174" s="32" t="s">
        <v>40</v>
      </c>
      <c r="C174" s="32" t="s">
        <v>11</v>
      </c>
      <c r="D174" s="97">
        <f t="shared" si="1"/>
        <v>614.1222854</v>
      </c>
      <c r="E174" s="92">
        <f>(SUBSTITUTE(Audio!E174, "RE-", "", 1))*1</f>
        <v>0</v>
      </c>
      <c r="F174" s="92">
        <f>(SUBSTITUTE(Audio!F174, "RE-", "", 1))*1</f>
        <v>0</v>
      </c>
      <c r="G174" s="92">
        <f>(SUBSTITUTE(Audio!G174, "RE-", "", 1))*1</f>
        <v>67.282225</v>
      </c>
      <c r="H174" s="92">
        <f>(SUBSTITUTE(Audio!H174, "RE-", "", 1))*1</f>
        <v>0</v>
      </c>
      <c r="I174" s="92">
        <f>(SUBSTITUTE(Audio!I174, "RE-", "", 1))*1</f>
        <v>12.32226979</v>
      </c>
      <c r="J174" s="92">
        <f>(SUBSTITUTE(Audio!J174, "RE-", "", 1))*1</f>
        <v>0</v>
      </c>
      <c r="K174" s="92">
        <f>(SUBSTITUTE(Audio!K174, "RE-", "", 1))*1</f>
        <v>125.9099812</v>
      </c>
      <c r="L174" s="92">
        <f>(SUBSTITUTE(Audio!L174, "RE-", "", 1))*1</f>
        <v>0</v>
      </c>
      <c r="M174" s="92">
        <f>(SUBSTITUTE(Audio!M174, "RE-", "", 1))*1</f>
        <v>21.06692083</v>
      </c>
      <c r="N174" s="92">
        <f>(SUBSTITUTE(Audio!N174, "RE-", "", 1))*1</f>
        <v>0</v>
      </c>
      <c r="O174" s="92">
        <f>(SUBSTITUTE(Audio!O174, "RE-", "", 1))*1</f>
        <v>197.5132927</v>
      </c>
      <c r="P174" s="92">
        <f>(SUBSTITUTE(Audio!P174, "RE-", "", 1))*1</f>
        <v>0</v>
      </c>
      <c r="Q174" s="92">
        <f>(SUBSTITUTE(Audio!Q174, "RE-", "", 1))*1</f>
        <v>98.14486563</v>
      </c>
      <c r="R174" s="92">
        <f>(SUBSTITUTE(Audio!R174, "RE-", "", 1))*1</f>
        <v>0</v>
      </c>
      <c r="S174" s="92">
        <f>(SUBSTITUTE(Audio!S174, "RE-", "", 1))*1</f>
        <v>23.51586146</v>
      </c>
      <c r="T174" s="92">
        <f>(SUBSTITUTE(Audio!T174, "RE-", "", 1))*1</f>
        <v>0</v>
      </c>
      <c r="U174" s="92">
        <f>(SUBSTITUTE(Audio!U174, "RE-", "", 1))*1</f>
        <v>65.71220208</v>
      </c>
      <c r="V174" s="92">
        <f>(SUBSTITUTE(Audio!V174, "RE-", "", 1))*1</f>
        <v>2.654666667</v>
      </c>
      <c r="W174" s="92">
        <f>(SUBSTITUTE(Audio!W174, "RE-", "", 1))*1</f>
        <v>0</v>
      </c>
      <c r="X174" s="92">
        <f>(SUBSTITUTE(Audio!X174, "RE-", "", 1))*1</f>
        <v>0</v>
      </c>
      <c r="Y174" s="92">
        <f>(SUBSTITUTE(Audio!Y174, "RE-", "", 1))*1</f>
        <v>0</v>
      </c>
      <c r="Z174" s="92">
        <f>(SUBSTITUTE(Audio!Z174, "RE-", "", 1))*1</f>
        <v>0</v>
      </c>
      <c r="AA174" s="92"/>
      <c r="AB174" s="92"/>
      <c r="AC174" s="92"/>
      <c r="AD174" s="92"/>
      <c r="AE174" s="92"/>
      <c r="AF174" s="92"/>
      <c r="AG174" s="92"/>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c r="BM174" s="92"/>
      <c r="BN174" s="92"/>
      <c r="BO174" s="92"/>
      <c r="BP174" s="92"/>
      <c r="BQ174" s="92"/>
      <c r="BR174" s="92"/>
      <c r="BS174" s="92"/>
      <c r="BT174" s="92"/>
      <c r="BU174" s="92"/>
      <c r="BV174" s="92"/>
      <c r="BW174" s="92"/>
      <c r="BX174" s="92"/>
      <c r="BY174" s="92"/>
      <c r="BZ174" s="92"/>
      <c r="CA174" s="92"/>
      <c r="CB174" s="92"/>
      <c r="CC174" s="92"/>
      <c r="CD174" s="92"/>
      <c r="CE174" s="92"/>
      <c r="CF174" s="92"/>
      <c r="CG174" s="92"/>
      <c r="CH174" s="92"/>
      <c r="CI174" s="92"/>
      <c r="CJ174" s="92"/>
      <c r="CK174" s="92"/>
      <c r="CL174" s="92"/>
      <c r="CM174" s="92"/>
      <c r="CN174" s="92"/>
      <c r="CO174" s="92"/>
      <c r="CP174" s="92"/>
      <c r="CQ174" s="92"/>
      <c r="CR174" s="92"/>
      <c r="CS174" s="92"/>
      <c r="CT174" s="92"/>
      <c r="CU174" s="92"/>
      <c r="CV174" s="92"/>
      <c r="CW174" s="92"/>
      <c r="CX174" s="92"/>
      <c r="CY174" s="92"/>
      <c r="CZ174" s="92"/>
      <c r="DA174" s="92"/>
      <c r="DB174" s="92"/>
      <c r="DC174" s="92"/>
      <c r="DD174" s="92"/>
      <c r="DE174" s="92"/>
      <c r="DF174" s="92"/>
      <c r="DG174" s="92"/>
      <c r="DH174" s="92"/>
      <c r="DI174" s="92"/>
      <c r="DJ174" s="92"/>
      <c r="DK174" s="92"/>
      <c r="DL174" s="92"/>
      <c r="DM174" s="92"/>
      <c r="DN174" s="92"/>
      <c r="DO174" s="92"/>
      <c r="DP174" s="92"/>
      <c r="DQ174" s="92"/>
      <c r="DR174" s="92"/>
      <c r="DS174" s="92"/>
      <c r="DT174" s="92"/>
      <c r="DU174" s="92"/>
      <c r="DV174" s="92"/>
      <c r="DW174" s="92"/>
      <c r="DX174" s="92"/>
      <c r="DY174" s="92"/>
      <c r="DZ174" s="92"/>
      <c r="EA174" s="92"/>
      <c r="EB174" s="92"/>
      <c r="EC174" s="92"/>
      <c r="ED174" s="92"/>
      <c r="EE174" s="92"/>
      <c r="EF174" s="92"/>
      <c r="EG174" s="92"/>
      <c r="EH174" s="92"/>
      <c r="EI174" s="92"/>
      <c r="EJ174" s="92"/>
      <c r="EK174" s="92"/>
      <c r="EL174" s="92"/>
      <c r="EM174" s="92"/>
      <c r="EN174" s="92"/>
      <c r="EO174" s="92"/>
      <c r="EP174" s="92"/>
      <c r="EQ174" s="92"/>
      <c r="ER174" s="92"/>
      <c r="ES174" s="92"/>
      <c r="ET174" s="92"/>
      <c r="EU174" s="92"/>
      <c r="EV174" s="92"/>
      <c r="EW174" s="92"/>
      <c r="EX174" s="92"/>
      <c r="EY174" s="92"/>
      <c r="EZ174" s="92"/>
      <c r="FA174" s="92"/>
      <c r="FB174" s="92"/>
      <c r="FC174" s="92"/>
      <c r="FD174" s="92"/>
      <c r="FE174" s="92"/>
      <c r="FF174" s="92"/>
      <c r="FG174" s="92"/>
      <c r="FH174" s="92"/>
    </row>
    <row r="175">
      <c r="A175" s="32" t="s">
        <v>7</v>
      </c>
      <c r="B175" s="32" t="s">
        <v>40</v>
      </c>
      <c r="C175" s="32" t="s">
        <v>12</v>
      </c>
      <c r="D175" s="97">
        <f t="shared" si="1"/>
        <v>4868.096606</v>
      </c>
      <c r="E175" s="92">
        <f>(SUBSTITUTE(Audio!E175, "RE-", "", 1))*1</f>
        <v>0</v>
      </c>
      <c r="F175" s="92">
        <f>(SUBSTITUTE(Audio!F175, "RE-", "", 1))*1</f>
        <v>752.2011208</v>
      </c>
      <c r="G175" s="92">
        <f>(SUBSTITUTE(Audio!G175, "RE-", "", 1))*1</f>
        <v>1.913322917</v>
      </c>
      <c r="H175" s="92">
        <f>(SUBSTITUTE(Audio!H175, "RE-", "", 1))*1</f>
        <v>196.9872552</v>
      </c>
      <c r="I175" s="92">
        <f>(SUBSTITUTE(Audio!I175, "RE-", "", 1))*1</f>
        <v>0.1926770833</v>
      </c>
      <c r="J175" s="92">
        <f>(SUBSTITUTE(Audio!J175, "RE-", "", 1))*1</f>
        <v>1208.616816</v>
      </c>
      <c r="K175" s="92">
        <f>(SUBSTITUTE(Audio!K175, "RE-", "", 1))*1</f>
        <v>2.014939583</v>
      </c>
      <c r="L175" s="92">
        <f>(SUBSTITUTE(Audio!L175, "RE-", "", 1))*1</f>
        <v>434.4071198</v>
      </c>
      <c r="M175" s="92">
        <f>(SUBSTITUTE(Audio!M175, "RE-", "", 1))*1</f>
        <v>5.97745625</v>
      </c>
      <c r="N175" s="92">
        <f>(SUBSTITUTE(Audio!N175, "RE-", "", 1))*1</f>
        <v>1216.802782</v>
      </c>
      <c r="O175" s="92">
        <f>(SUBSTITUTE(Audio!O175, "RE-", "", 1))*1</f>
        <v>14.15743125</v>
      </c>
      <c r="P175" s="92">
        <f>(SUBSTITUTE(Audio!P175, "RE-", "", 1))*1</f>
        <v>280.7625969</v>
      </c>
      <c r="Q175" s="92">
        <f>(SUBSTITUTE(Audio!Q175, "RE-", "", 1))*1</f>
        <v>38.15008438</v>
      </c>
      <c r="R175" s="92">
        <f>(SUBSTITUTE(Audio!R175, "RE-", "", 1))*1</f>
        <v>47.70181042</v>
      </c>
      <c r="S175" s="92">
        <f>(SUBSTITUTE(Audio!S175, "RE-", "", 1))*1</f>
        <v>11.23043542</v>
      </c>
      <c r="T175" s="92">
        <f>(SUBSTITUTE(Audio!T175, "RE-", "", 1))*1</f>
        <v>617.3943417</v>
      </c>
      <c r="U175" s="92">
        <f>(SUBSTITUTE(Audio!U175, "RE-", "", 1))*1</f>
        <v>37.70682083</v>
      </c>
      <c r="V175" s="92">
        <f>(SUBSTITUTE(Audio!V175, "RE-", "", 1))*1</f>
        <v>1.879595833</v>
      </c>
      <c r="W175" s="92">
        <f>(SUBSTITUTE(Audio!W175, "RE-", "", 1))*1</f>
        <v>0</v>
      </c>
      <c r="X175" s="92">
        <f>(SUBSTITUTE(Audio!X175, "RE-", "", 1))*1</f>
        <v>0</v>
      </c>
      <c r="Y175" s="92">
        <f>(SUBSTITUTE(Audio!Y175, "RE-", "", 1))*1</f>
        <v>0</v>
      </c>
      <c r="Z175" s="92">
        <f>(SUBSTITUTE(Audio!Z175, "RE-", "", 1))*1</f>
        <v>0</v>
      </c>
      <c r="AA175" s="92"/>
      <c r="AB175" s="92"/>
      <c r="AC175" s="92"/>
      <c r="AD175" s="92"/>
      <c r="AE175" s="92"/>
      <c r="AF175" s="92"/>
      <c r="AG175" s="92"/>
      <c r="AH175" s="92"/>
      <c r="AI175" s="92"/>
      <c r="AJ175" s="92"/>
      <c r="AK175" s="92"/>
      <c r="AL175" s="92"/>
      <c r="AM175" s="92"/>
      <c r="AN175" s="92"/>
      <c r="AO175" s="92"/>
      <c r="AP175" s="92"/>
      <c r="AQ175" s="92"/>
      <c r="AR175" s="92"/>
      <c r="AS175" s="92"/>
      <c r="AT175" s="92"/>
      <c r="AU175" s="92"/>
      <c r="AV175" s="92"/>
      <c r="AW175" s="92"/>
      <c r="AX175" s="92"/>
      <c r="AY175" s="92"/>
      <c r="AZ175" s="92"/>
      <c r="BA175" s="92"/>
      <c r="BB175" s="92"/>
      <c r="BC175" s="92"/>
      <c r="BD175" s="92"/>
      <c r="BE175" s="92"/>
      <c r="BF175" s="92"/>
      <c r="BG175" s="92"/>
      <c r="BH175" s="92"/>
      <c r="BI175" s="92"/>
      <c r="BJ175" s="92"/>
      <c r="BK175" s="92"/>
      <c r="BL175" s="92"/>
      <c r="BM175" s="92"/>
      <c r="BN175" s="92"/>
      <c r="BO175" s="92"/>
      <c r="BP175" s="92"/>
      <c r="BQ175" s="92"/>
      <c r="BR175" s="92"/>
      <c r="BS175" s="92"/>
      <c r="BT175" s="92"/>
      <c r="BU175" s="92"/>
      <c r="BV175" s="92"/>
      <c r="BW175" s="92"/>
      <c r="BX175" s="92"/>
      <c r="BY175" s="92"/>
      <c r="BZ175" s="92"/>
      <c r="CA175" s="92"/>
      <c r="CB175" s="92"/>
      <c r="CC175" s="92"/>
      <c r="CD175" s="92"/>
      <c r="CE175" s="92"/>
      <c r="CF175" s="92"/>
      <c r="CG175" s="92"/>
      <c r="CH175" s="92"/>
      <c r="CI175" s="92"/>
      <c r="CJ175" s="92"/>
      <c r="CK175" s="92"/>
      <c r="CL175" s="92"/>
      <c r="CM175" s="92"/>
      <c r="CN175" s="92"/>
      <c r="CO175" s="92"/>
      <c r="CP175" s="92"/>
      <c r="CQ175" s="92"/>
      <c r="CR175" s="92"/>
      <c r="CS175" s="92"/>
      <c r="CT175" s="92"/>
      <c r="CU175" s="92"/>
      <c r="CV175" s="92"/>
      <c r="CW175" s="92"/>
      <c r="CX175" s="92"/>
      <c r="CY175" s="92"/>
      <c r="CZ175" s="92"/>
      <c r="DA175" s="92"/>
      <c r="DB175" s="92"/>
      <c r="DC175" s="92"/>
      <c r="DD175" s="92"/>
      <c r="DE175" s="92"/>
      <c r="DF175" s="92"/>
      <c r="DG175" s="92"/>
      <c r="DH175" s="92"/>
      <c r="DI175" s="92"/>
      <c r="DJ175" s="92"/>
      <c r="DK175" s="92"/>
      <c r="DL175" s="92"/>
      <c r="DM175" s="92"/>
      <c r="DN175" s="92"/>
      <c r="DO175" s="92"/>
      <c r="DP175" s="92"/>
      <c r="DQ175" s="92"/>
      <c r="DR175" s="92"/>
      <c r="DS175" s="92"/>
      <c r="DT175" s="92"/>
      <c r="DU175" s="92"/>
      <c r="DV175" s="92"/>
      <c r="DW175" s="92"/>
      <c r="DX175" s="92"/>
      <c r="DY175" s="92"/>
      <c r="DZ175" s="92"/>
      <c r="EA175" s="92"/>
      <c r="EB175" s="92"/>
      <c r="EC175" s="92"/>
      <c r="ED175" s="92"/>
      <c r="EE175" s="92"/>
      <c r="EF175" s="92"/>
      <c r="EG175" s="92"/>
      <c r="EH175" s="92"/>
      <c r="EI175" s="92"/>
      <c r="EJ175" s="92"/>
      <c r="EK175" s="92"/>
      <c r="EL175" s="92"/>
      <c r="EM175" s="92"/>
      <c r="EN175" s="92"/>
      <c r="EO175" s="92"/>
      <c r="EP175" s="92"/>
      <c r="EQ175" s="92"/>
      <c r="ER175" s="92"/>
      <c r="ES175" s="92"/>
      <c r="ET175" s="92"/>
      <c r="EU175" s="92"/>
      <c r="EV175" s="92"/>
      <c r="EW175" s="92"/>
      <c r="EX175" s="92"/>
      <c r="EY175" s="92"/>
      <c r="EZ175" s="92"/>
      <c r="FA175" s="92"/>
      <c r="FB175" s="92"/>
      <c r="FC175" s="92"/>
      <c r="FD175" s="92"/>
      <c r="FE175" s="92"/>
      <c r="FF175" s="92"/>
      <c r="FG175" s="92"/>
      <c r="FH175" s="92"/>
    </row>
    <row r="176">
      <c r="A176" s="32" t="s">
        <v>7</v>
      </c>
      <c r="B176" s="32" t="s">
        <v>40</v>
      </c>
      <c r="C176" s="32" t="s">
        <v>13</v>
      </c>
      <c r="D176" s="97">
        <f t="shared" si="1"/>
        <v>4685.035983</v>
      </c>
      <c r="E176" s="92">
        <f>(SUBSTITUTE(Audio!E176, "RE-", "", 1))*1</f>
        <v>0</v>
      </c>
      <c r="F176" s="92">
        <f>(SUBSTITUTE(Audio!F176, "RE-", "", 1))*1</f>
        <v>731.234</v>
      </c>
      <c r="G176" s="92">
        <f>(SUBSTITUTE(Audio!G176, "RE-", "", 1))*1</f>
        <v>1.89758</v>
      </c>
      <c r="H176" s="92">
        <f>(SUBSTITUTE(Audio!H176, "RE-", "", 1))*1</f>
        <v>191.552</v>
      </c>
      <c r="I176" s="92">
        <f>(SUBSTITUTE(Audio!I176, "RE-", "", 1))*1</f>
        <v>0.190033</v>
      </c>
      <c r="J176" s="92">
        <f>(SUBSTITUTE(Audio!J176, "RE-", "", 1))*1</f>
        <v>1168.45</v>
      </c>
      <c r="K176" s="92">
        <f>(SUBSTITUTE(Audio!K176, "RE-", "", 1))*1</f>
        <v>1.93972</v>
      </c>
      <c r="L176" s="92">
        <f>(SUBSTITUTE(Audio!L176, "RE-", "", 1))*1</f>
        <v>416.396</v>
      </c>
      <c r="M176" s="92">
        <f>(SUBSTITUTE(Audio!M176, "RE-", "", 1))*1</f>
        <v>5.6636</v>
      </c>
      <c r="N176" s="92">
        <f>(SUBSTITUTE(Audio!N176, "RE-", "", 1))*1</f>
        <v>1164.88</v>
      </c>
      <c r="O176" s="92">
        <f>(SUBSTITUTE(Audio!O176, "RE-", "", 1))*1</f>
        <v>13.1559</v>
      </c>
      <c r="P176" s="92">
        <f>(SUBSTITUTE(Audio!P176, "RE-", "", 1))*1</f>
        <v>269.1</v>
      </c>
      <c r="Q176" s="92">
        <f>(SUBSTITUTE(Audio!Q176, "RE-", "", 1))*1</f>
        <v>36.28</v>
      </c>
      <c r="R176" s="92">
        <f>(SUBSTITUTE(Audio!R176, "RE-", "", 1))*1</f>
        <v>45.5121</v>
      </c>
      <c r="S176" s="92">
        <f>(SUBSTITUTE(Audio!S176, "RE-", "", 1))*1</f>
        <v>10.9067</v>
      </c>
      <c r="T176" s="92">
        <f>(SUBSTITUTE(Audio!T176, "RE-", "", 1))*1</f>
        <v>590.878</v>
      </c>
      <c r="U176" s="92">
        <f>(SUBSTITUTE(Audio!U176, "RE-", "", 1))*1</f>
        <v>35.201</v>
      </c>
      <c r="V176" s="92">
        <f>(SUBSTITUTE(Audio!V176, "RE-", "", 1))*1</f>
        <v>1.79935</v>
      </c>
      <c r="W176" s="92">
        <f>(SUBSTITUTE(Audio!W176, "RE-", "", 1))*1</f>
        <v>0</v>
      </c>
      <c r="X176" s="92">
        <f>(SUBSTITUTE(Audio!X176, "RE-", "", 1))*1</f>
        <v>0</v>
      </c>
      <c r="Y176" s="92">
        <f>(SUBSTITUTE(Audio!Y176, "RE-", "", 1))*1</f>
        <v>0</v>
      </c>
      <c r="Z176" s="92">
        <f>(SUBSTITUTE(Audio!Z176, "RE-", "", 1))*1</f>
        <v>0</v>
      </c>
      <c r="AA176" s="92"/>
      <c r="AB176" s="92"/>
      <c r="AC176" s="92"/>
      <c r="AD176" s="92"/>
      <c r="AE176" s="92"/>
      <c r="AF176" s="92"/>
      <c r="AG176" s="92"/>
      <c r="AH176" s="92"/>
      <c r="AI176" s="92"/>
      <c r="AJ176" s="92"/>
      <c r="AK176" s="92"/>
      <c r="AL176" s="92"/>
      <c r="AM176" s="92"/>
      <c r="AN176" s="92"/>
      <c r="AO176" s="92"/>
      <c r="AP176" s="92"/>
      <c r="AQ176" s="92"/>
      <c r="AR176" s="92"/>
      <c r="AS176" s="92"/>
      <c r="AT176" s="92"/>
      <c r="AU176" s="92"/>
      <c r="AV176" s="92"/>
      <c r="AW176" s="92"/>
      <c r="AX176" s="92"/>
      <c r="AY176" s="92"/>
      <c r="AZ176" s="92"/>
      <c r="BA176" s="92"/>
      <c r="BB176" s="92"/>
      <c r="BC176" s="92"/>
      <c r="BD176" s="92"/>
      <c r="BE176" s="92"/>
      <c r="BF176" s="92"/>
      <c r="BG176" s="92"/>
      <c r="BH176" s="92"/>
      <c r="BI176" s="92"/>
      <c r="BJ176" s="92"/>
      <c r="BK176" s="92"/>
      <c r="BL176" s="92"/>
      <c r="BM176" s="92"/>
      <c r="BN176" s="92"/>
      <c r="BO176" s="92"/>
      <c r="BP176" s="92"/>
      <c r="BQ176" s="92"/>
      <c r="BR176" s="92"/>
      <c r="BS176" s="92"/>
      <c r="BT176" s="92"/>
      <c r="BU176" s="92"/>
      <c r="BV176" s="92"/>
      <c r="BW176" s="92"/>
      <c r="BX176" s="92"/>
      <c r="BY176" s="92"/>
      <c r="BZ176" s="92"/>
      <c r="CA176" s="92"/>
      <c r="CB176" s="92"/>
      <c r="CC176" s="92"/>
      <c r="CD176" s="92"/>
      <c r="CE176" s="92"/>
      <c r="CF176" s="92"/>
      <c r="CG176" s="92"/>
      <c r="CH176" s="92"/>
      <c r="CI176" s="92"/>
      <c r="CJ176" s="92"/>
      <c r="CK176" s="92"/>
      <c r="CL176" s="92"/>
      <c r="CM176" s="92"/>
      <c r="CN176" s="92"/>
      <c r="CO176" s="92"/>
      <c r="CP176" s="92"/>
      <c r="CQ176" s="92"/>
      <c r="CR176" s="92"/>
      <c r="CS176" s="92"/>
      <c r="CT176" s="92"/>
      <c r="CU176" s="92"/>
      <c r="CV176" s="92"/>
      <c r="CW176" s="92"/>
      <c r="CX176" s="92"/>
      <c r="CY176" s="92"/>
      <c r="CZ176" s="92"/>
      <c r="DA176" s="92"/>
      <c r="DB176" s="92"/>
      <c r="DC176" s="92"/>
      <c r="DD176" s="92"/>
      <c r="DE176" s="92"/>
      <c r="DF176" s="92"/>
      <c r="DG176" s="92"/>
      <c r="DH176" s="92"/>
      <c r="DI176" s="92"/>
      <c r="DJ176" s="92"/>
      <c r="DK176" s="92"/>
      <c r="DL176" s="92"/>
      <c r="DM176" s="92"/>
      <c r="DN176" s="92"/>
      <c r="DO176" s="92"/>
      <c r="DP176" s="92"/>
      <c r="DQ176" s="92"/>
      <c r="DR176" s="92"/>
      <c r="DS176" s="92"/>
      <c r="DT176" s="92"/>
      <c r="DU176" s="92"/>
      <c r="DV176" s="92"/>
      <c r="DW176" s="92"/>
      <c r="DX176" s="92"/>
      <c r="DY176" s="92"/>
      <c r="DZ176" s="92"/>
      <c r="EA176" s="92"/>
      <c r="EB176" s="92"/>
      <c r="EC176" s="92"/>
      <c r="ED176" s="92"/>
      <c r="EE176" s="92"/>
      <c r="EF176" s="92"/>
      <c r="EG176" s="92"/>
      <c r="EH176" s="92"/>
      <c r="EI176" s="92"/>
      <c r="EJ176" s="92"/>
      <c r="EK176" s="92"/>
      <c r="EL176" s="92"/>
      <c r="EM176" s="92"/>
      <c r="EN176" s="92"/>
      <c r="EO176" s="92"/>
      <c r="EP176" s="92"/>
      <c r="EQ176" s="92"/>
      <c r="ER176" s="92"/>
      <c r="ES176" s="92"/>
      <c r="ET176" s="92"/>
      <c r="EU176" s="92"/>
      <c r="EV176" s="92"/>
      <c r="EW176" s="92"/>
      <c r="EX176" s="92"/>
      <c r="EY176" s="92"/>
      <c r="EZ176" s="92"/>
      <c r="FA176" s="92"/>
      <c r="FB176" s="92"/>
      <c r="FC176" s="92"/>
      <c r="FD176" s="92"/>
      <c r="FE176" s="92"/>
      <c r="FF176" s="92"/>
      <c r="FG176" s="92"/>
      <c r="FH176" s="92"/>
    </row>
    <row r="177">
      <c r="A177" s="32" t="s">
        <v>7</v>
      </c>
      <c r="B177" s="32" t="s">
        <v>40</v>
      </c>
      <c r="C177" s="32" t="s">
        <v>14</v>
      </c>
      <c r="D177" s="97">
        <f t="shared" si="1"/>
        <v>4184.885543</v>
      </c>
      <c r="E177" s="92">
        <f>(SUBSTITUTE(Audio!E177, "RE-", "", 1))*1</f>
        <v>0</v>
      </c>
      <c r="F177" s="92">
        <f>(SUBSTITUTE(Audio!F177, "RE-", "", 1))*1</f>
        <v>661.784</v>
      </c>
      <c r="G177" s="92">
        <f>(SUBSTITUTE(Audio!G177, "RE-", "", 1))*1</f>
        <v>1.76288</v>
      </c>
      <c r="H177" s="92">
        <f>(SUBSTITUTE(Audio!H177, "RE-", "", 1))*1</f>
        <v>172.393</v>
      </c>
      <c r="I177" s="92">
        <f>(SUBSTITUTE(Audio!I177, "RE-", "", 1))*1</f>
        <v>0.190033</v>
      </c>
      <c r="J177" s="92">
        <f>(SUBSTITUTE(Audio!J177, "RE-", "", 1))*1</f>
        <v>1085.19</v>
      </c>
      <c r="K177" s="92">
        <f>(SUBSTITUTE(Audio!K177, "RE-", "", 1))*1</f>
        <v>1.85475</v>
      </c>
      <c r="L177" s="92">
        <f>(SUBSTITUTE(Audio!L177, "RE-", "", 1))*1</f>
        <v>363.613</v>
      </c>
      <c r="M177" s="92">
        <f>(SUBSTITUTE(Audio!M177, "RE-", "", 1))*1</f>
        <v>5.22818</v>
      </c>
      <c r="N177" s="92">
        <f>(SUBSTITUTE(Audio!N177, "RE-", "", 1))*1</f>
        <v>1025.79</v>
      </c>
      <c r="O177" s="92">
        <f>(SUBSTITUTE(Audio!O177, "RE-", "", 1))*1</f>
        <v>11.8255</v>
      </c>
      <c r="P177" s="92">
        <f>(SUBSTITUTE(Audio!P177, "RE-", "", 1))*1</f>
        <v>236.584</v>
      </c>
      <c r="Q177" s="92">
        <f>(SUBSTITUTE(Audio!Q177, "RE-", "", 1))*1</f>
        <v>31.5936</v>
      </c>
      <c r="R177" s="92">
        <f>(SUBSTITUTE(Audio!R177, "RE-", "", 1))*1</f>
        <v>37.8375</v>
      </c>
      <c r="S177" s="92">
        <f>(SUBSTITUTE(Audio!S177, "RE-", "", 1))*1</f>
        <v>8.58535</v>
      </c>
      <c r="T177" s="92">
        <f>(SUBSTITUTE(Audio!T177, "RE-", "", 1))*1</f>
        <v>508.373</v>
      </c>
      <c r="U177" s="92">
        <f>(SUBSTITUTE(Audio!U177, "RE-", "", 1))*1</f>
        <v>30.4814</v>
      </c>
      <c r="V177" s="92">
        <f>(SUBSTITUTE(Audio!V177, "RE-", "", 1))*1</f>
        <v>1.79935</v>
      </c>
      <c r="W177" s="92">
        <f>(SUBSTITUTE(Audio!W177, "RE-", "", 1))*1</f>
        <v>0</v>
      </c>
      <c r="X177" s="92">
        <f>(SUBSTITUTE(Audio!X177, "RE-", "", 1))*1</f>
        <v>0</v>
      </c>
      <c r="Y177" s="92">
        <f>(SUBSTITUTE(Audio!Y177, "RE-", "", 1))*1</f>
        <v>0</v>
      </c>
      <c r="Z177" s="92">
        <f>(SUBSTITUTE(Audio!Z177, "RE-", "", 1))*1</f>
        <v>0</v>
      </c>
      <c r="AA177" s="92"/>
      <c r="AB177" s="92"/>
      <c r="AC177" s="92"/>
      <c r="AD177" s="92"/>
      <c r="AE177" s="92"/>
      <c r="AF177" s="92"/>
      <c r="AG177" s="92"/>
      <c r="AH177" s="92"/>
      <c r="AI177" s="92"/>
      <c r="AJ177" s="92"/>
      <c r="AK177" s="92"/>
      <c r="AL177" s="92"/>
      <c r="AM177" s="92"/>
      <c r="AN177" s="92"/>
      <c r="AO177" s="92"/>
      <c r="AP177" s="92"/>
      <c r="AQ177" s="92"/>
      <c r="AR177" s="92"/>
      <c r="AS177" s="92"/>
      <c r="AT177" s="92"/>
      <c r="AU177" s="92"/>
      <c r="AV177" s="92"/>
      <c r="AW177" s="92"/>
      <c r="AX177" s="92"/>
      <c r="AY177" s="92"/>
      <c r="AZ177" s="92"/>
      <c r="BA177" s="92"/>
      <c r="BB177" s="92"/>
      <c r="BC177" s="92"/>
      <c r="BD177" s="92"/>
      <c r="BE177" s="92"/>
      <c r="BF177" s="92"/>
      <c r="BG177" s="92"/>
      <c r="BH177" s="92"/>
      <c r="BI177" s="92"/>
      <c r="BJ177" s="92"/>
      <c r="BK177" s="92"/>
      <c r="BL177" s="92"/>
      <c r="BM177" s="92"/>
      <c r="BN177" s="92"/>
      <c r="BO177" s="92"/>
      <c r="BP177" s="92"/>
      <c r="BQ177" s="92"/>
      <c r="BR177" s="92"/>
      <c r="BS177" s="92"/>
      <c r="BT177" s="92"/>
      <c r="BU177" s="92"/>
      <c r="BV177" s="92"/>
      <c r="BW177" s="92"/>
      <c r="BX177" s="92"/>
      <c r="BY177" s="92"/>
      <c r="BZ177" s="92"/>
      <c r="CA177" s="92"/>
      <c r="CB177" s="92"/>
      <c r="CC177" s="92"/>
      <c r="CD177" s="92"/>
      <c r="CE177" s="92"/>
      <c r="CF177" s="92"/>
      <c r="CG177" s="92"/>
      <c r="CH177" s="92"/>
      <c r="CI177" s="92"/>
      <c r="CJ177" s="92"/>
      <c r="CK177" s="92"/>
      <c r="CL177" s="92"/>
      <c r="CM177" s="92"/>
      <c r="CN177" s="92"/>
      <c r="CO177" s="92"/>
      <c r="CP177" s="92"/>
      <c r="CQ177" s="92"/>
      <c r="CR177" s="92"/>
      <c r="CS177" s="92"/>
      <c r="CT177" s="92"/>
      <c r="CU177" s="92"/>
      <c r="CV177" s="92"/>
      <c r="CW177" s="92"/>
      <c r="CX177" s="92"/>
      <c r="CY177" s="92"/>
      <c r="CZ177" s="92"/>
      <c r="DA177" s="92"/>
      <c r="DB177" s="92"/>
      <c r="DC177" s="92"/>
      <c r="DD177" s="92"/>
      <c r="DE177" s="92"/>
      <c r="DF177" s="92"/>
      <c r="DG177" s="92"/>
      <c r="DH177" s="92"/>
      <c r="DI177" s="92"/>
      <c r="DJ177" s="92"/>
      <c r="DK177" s="92"/>
      <c r="DL177" s="92"/>
      <c r="DM177" s="92"/>
      <c r="DN177" s="92"/>
      <c r="DO177" s="92"/>
      <c r="DP177" s="92"/>
      <c r="DQ177" s="92"/>
      <c r="DR177" s="92"/>
      <c r="DS177" s="92"/>
      <c r="DT177" s="92"/>
      <c r="DU177" s="92"/>
      <c r="DV177" s="92"/>
      <c r="DW177" s="92"/>
      <c r="DX177" s="92"/>
      <c r="DY177" s="92"/>
      <c r="DZ177" s="92"/>
      <c r="EA177" s="92"/>
      <c r="EB177" s="92"/>
      <c r="EC177" s="92"/>
      <c r="ED177" s="92"/>
      <c r="EE177" s="92"/>
      <c r="EF177" s="92"/>
      <c r="EG177" s="92"/>
      <c r="EH177" s="92"/>
      <c r="EI177" s="92"/>
      <c r="EJ177" s="92"/>
      <c r="EK177" s="92"/>
      <c r="EL177" s="92"/>
      <c r="EM177" s="92"/>
      <c r="EN177" s="92"/>
      <c r="EO177" s="92"/>
      <c r="EP177" s="92"/>
      <c r="EQ177" s="92"/>
      <c r="ER177" s="92"/>
      <c r="ES177" s="92"/>
      <c r="ET177" s="92"/>
      <c r="EU177" s="92"/>
      <c r="EV177" s="92"/>
      <c r="EW177" s="92"/>
      <c r="EX177" s="92"/>
      <c r="EY177" s="92"/>
      <c r="EZ177" s="92"/>
      <c r="FA177" s="92"/>
      <c r="FB177" s="92"/>
      <c r="FC177" s="92"/>
      <c r="FD177" s="92"/>
      <c r="FE177" s="92"/>
      <c r="FF177" s="92"/>
      <c r="FG177" s="92"/>
      <c r="FH177" s="92"/>
    </row>
    <row r="178">
      <c r="A178" s="27" t="s">
        <v>7</v>
      </c>
      <c r="B178" s="27" t="s">
        <v>40</v>
      </c>
      <c r="C178" s="27" t="s">
        <v>15</v>
      </c>
      <c r="D178" s="98">
        <f t="shared" si="1"/>
        <v>4684.830983</v>
      </c>
      <c r="E178" s="92">
        <f>(SUBSTITUTE(Audio!E178, "RE-", "", 1))*1</f>
        <v>0</v>
      </c>
      <c r="F178" s="92">
        <f>(SUBSTITUTE(Audio!F178, "RE-", "", 1))*1</f>
        <v>731.156</v>
      </c>
      <c r="G178" s="92">
        <f>(SUBSTITUTE(Audio!G178, "RE-", "", 1))*1</f>
        <v>1.89758</v>
      </c>
      <c r="H178" s="92">
        <f>(SUBSTITUTE(Audio!H178, "RE-", "", 1))*1</f>
        <v>191.552</v>
      </c>
      <c r="I178" s="92">
        <f>(SUBSTITUTE(Audio!I178, "RE-", "", 1))*1</f>
        <v>0.190033</v>
      </c>
      <c r="J178" s="92">
        <f>(SUBSTITUTE(Audio!J178, "RE-", "", 1))*1</f>
        <v>1168.45</v>
      </c>
      <c r="K178" s="92">
        <f>(SUBSTITUTE(Audio!K178, "RE-", "", 1))*1</f>
        <v>1.93972</v>
      </c>
      <c r="L178" s="92">
        <f>(SUBSTITUTE(Audio!L178, "RE-", "", 1))*1</f>
        <v>416.396</v>
      </c>
      <c r="M178" s="92">
        <f>(SUBSTITUTE(Audio!M178, "RE-", "", 1))*1</f>
        <v>5.6636</v>
      </c>
      <c r="N178" s="92">
        <f>(SUBSTITUTE(Audio!N178, "RE-", "", 1))*1</f>
        <v>1164.85</v>
      </c>
      <c r="O178" s="92">
        <f>(SUBSTITUTE(Audio!O178, "RE-", "", 1))*1</f>
        <v>13.0589</v>
      </c>
      <c r="P178" s="92">
        <f>(SUBSTITUTE(Audio!P178, "RE-", "", 1))*1</f>
        <v>269.1</v>
      </c>
      <c r="Q178" s="92">
        <f>(SUBSTITUTE(Audio!Q178, "RE-", "", 1))*1</f>
        <v>36.28</v>
      </c>
      <c r="R178" s="92">
        <f>(SUBSTITUTE(Audio!R178, "RE-", "", 1))*1</f>
        <v>45.5121</v>
      </c>
      <c r="S178" s="92">
        <f>(SUBSTITUTE(Audio!S178, "RE-", "", 1))*1</f>
        <v>10.9067</v>
      </c>
      <c r="T178" s="92">
        <f>(SUBSTITUTE(Audio!T178, "RE-", "", 1))*1</f>
        <v>590.878</v>
      </c>
      <c r="U178" s="92">
        <f>(SUBSTITUTE(Audio!U178, "RE-", "", 1))*1</f>
        <v>35.201</v>
      </c>
      <c r="V178" s="92">
        <f>(SUBSTITUTE(Audio!V178, "RE-", "", 1))*1</f>
        <v>1.79935</v>
      </c>
      <c r="W178" s="92">
        <f>(SUBSTITUTE(Audio!W178, "RE-", "", 1))*1</f>
        <v>0</v>
      </c>
      <c r="X178" s="92">
        <f>(SUBSTITUTE(Audio!X178, "RE-", "", 1))*1</f>
        <v>0</v>
      </c>
      <c r="Y178" s="92">
        <f>(SUBSTITUTE(Audio!Y178, "RE-", "", 1))*1</f>
        <v>0</v>
      </c>
      <c r="Z178" s="92">
        <f>(SUBSTITUTE(Audio!Z178, "RE-", "", 1))*1</f>
        <v>0</v>
      </c>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c r="AY178" s="92"/>
      <c r="AZ178" s="92"/>
      <c r="BA178" s="92"/>
      <c r="BB178" s="92"/>
      <c r="BC178" s="92"/>
      <c r="BD178" s="92"/>
      <c r="BE178" s="92"/>
      <c r="BF178" s="92"/>
      <c r="BG178" s="92"/>
      <c r="BH178" s="92"/>
      <c r="BI178" s="92"/>
      <c r="BJ178" s="92"/>
      <c r="BK178" s="92"/>
      <c r="BL178" s="92"/>
      <c r="BM178" s="92"/>
      <c r="BN178" s="92"/>
      <c r="BO178" s="92"/>
      <c r="BP178" s="92"/>
      <c r="BQ178" s="92"/>
      <c r="BR178" s="92"/>
      <c r="BS178" s="92"/>
      <c r="BT178" s="92"/>
      <c r="BU178" s="92"/>
      <c r="BV178" s="92"/>
      <c r="BW178" s="92"/>
      <c r="BX178" s="92"/>
      <c r="BY178" s="92"/>
      <c r="BZ178" s="92"/>
      <c r="CA178" s="92"/>
      <c r="CB178" s="92"/>
      <c r="CC178" s="92"/>
      <c r="CD178" s="92"/>
      <c r="CE178" s="92"/>
      <c r="CF178" s="92"/>
      <c r="CG178" s="92"/>
      <c r="CH178" s="92"/>
      <c r="CI178" s="92"/>
      <c r="CJ178" s="92"/>
      <c r="CK178" s="92"/>
      <c r="CL178" s="92"/>
      <c r="CM178" s="92"/>
      <c r="CN178" s="92"/>
      <c r="CO178" s="92"/>
      <c r="CP178" s="92"/>
      <c r="CQ178" s="92"/>
      <c r="CR178" s="92"/>
      <c r="CS178" s="92"/>
      <c r="CT178" s="92"/>
      <c r="CU178" s="92"/>
      <c r="CV178" s="92"/>
      <c r="CW178" s="92"/>
      <c r="CX178" s="92"/>
      <c r="CY178" s="92"/>
      <c r="CZ178" s="92"/>
      <c r="DA178" s="92"/>
      <c r="DB178" s="92"/>
      <c r="DC178" s="92"/>
      <c r="DD178" s="92"/>
      <c r="DE178" s="92"/>
      <c r="DF178" s="92"/>
      <c r="DG178" s="92"/>
      <c r="DH178" s="92"/>
      <c r="DI178" s="92"/>
      <c r="DJ178" s="92"/>
      <c r="DK178" s="92"/>
      <c r="DL178" s="92"/>
      <c r="DM178" s="92"/>
      <c r="DN178" s="92"/>
      <c r="DO178" s="92"/>
      <c r="DP178" s="92"/>
      <c r="DQ178" s="92"/>
      <c r="DR178" s="92"/>
      <c r="DS178" s="92"/>
      <c r="DT178" s="92"/>
      <c r="DU178" s="92"/>
      <c r="DV178" s="92"/>
      <c r="DW178" s="92"/>
      <c r="DX178" s="92"/>
      <c r="DY178" s="92"/>
      <c r="DZ178" s="92"/>
      <c r="EA178" s="92"/>
      <c r="EB178" s="92"/>
      <c r="EC178" s="92"/>
      <c r="ED178" s="92"/>
      <c r="EE178" s="92"/>
      <c r="EF178" s="92"/>
      <c r="EG178" s="92"/>
      <c r="EH178" s="92"/>
      <c r="EI178" s="92"/>
      <c r="EJ178" s="92"/>
      <c r="EK178" s="92"/>
      <c r="EL178" s="92"/>
      <c r="EM178" s="92"/>
      <c r="EN178" s="92"/>
      <c r="EO178" s="92"/>
      <c r="EP178" s="92"/>
      <c r="EQ178" s="92"/>
      <c r="ER178" s="92"/>
      <c r="ES178" s="92"/>
      <c r="ET178" s="92"/>
      <c r="EU178" s="92"/>
      <c r="EV178" s="92"/>
      <c r="EW178" s="92"/>
      <c r="EX178" s="92"/>
      <c r="EY178" s="92"/>
      <c r="EZ178" s="92"/>
      <c r="FA178" s="92"/>
      <c r="FB178" s="92"/>
      <c r="FC178" s="92"/>
      <c r="FD178" s="92"/>
      <c r="FE178" s="92"/>
      <c r="FF178" s="92"/>
      <c r="FG178" s="92"/>
      <c r="FH178" s="92"/>
    </row>
    <row r="179">
      <c r="A179" s="30" t="s">
        <v>7</v>
      </c>
      <c r="B179" s="30" t="s">
        <v>41</v>
      </c>
      <c r="C179" s="31" t="str">
        <f>HYPERLINK("https://docs.google.com/spreadsheets/d/1l6GPKh8Vsu-a8jeDHdEegEqvptbjvBdt/edit?usp=share_link&amp;ouid=106501987799020758802&amp;rtpof=true&amp;sd=true", "Raw Delivered")</f>
        <v>Raw Delivered</v>
      </c>
      <c r="D179" s="96">
        <f t="shared" si="1"/>
        <v>6108.799499</v>
      </c>
      <c r="E179" s="92">
        <f>(SUBSTITUTE(Audio!E179, "RE-", "", 1))*1</f>
        <v>0</v>
      </c>
      <c r="F179" s="92">
        <f>(SUBSTITUTE(Audio!F179, "RE-", "", 1))*1</f>
        <v>651.0715844</v>
      </c>
      <c r="G179" s="92">
        <f>(SUBSTITUTE(Audio!G179, "RE-", "", 1))*1</f>
        <v>0</v>
      </c>
      <c r="H179" s="92">
        <f>(SUBSTITUTE(Audio!H179, "RE-", "", 1))*1</f>
        <v>95.32222187</v>
      </c>
      <c r="I179" s="92">
        <f>(SUBSTITUTE(Audio!I179, "RE-", "", 1))*1</f>
        <v>0</v>
      </c>
      <c r="J179" s="92">
        <f>(SUBSTITUTE(Audio!J179, "RE-", "", 1))*1</f>
        <v>1531.711358</v>
      </c>
      <c r="K179" s="92">
        <f>(SUBSTITUTE(Audio!K179, "RE-", "", 1))*1</f>
        <v>0</v>
      </c>
      <c r="L179" s="92">
        <f>(SUBSTITUTE(Audio!L179, "RE-", "", 1))*1</f>
        <v>536.5623854</v>
      </c>
      <c r="M179" s="92">
        <f>(SUBSTITUTE(Audio!M179, "RE-", "", 1))*1</f>
        <v>0</v>
      </c>
      <c r="N179" s="92">
        <f>(SUBSTITUTE(Audio!N179, "RE-", "", 1))*1</f>
        <v>2108.006878</v>
      </c>
      <c r="O179" s="92">
        <f>(SUBSTITUTE(Audio!O179, "RE-", "", 1))*1</f>
        <v>0</v>
      </c>
      <c r="P179" s="92">
        <f>(SUBSTITUTE(Audio!P179, "RE-", "", 1))*1</f>
        <v>323.9795656</v>
      </c>
      <c r="Q179" s="92">
        <f>(SUBSTITUTE(Audio!Q179, "RE-", "", 1))*1</f>
        <v>0</v>
      </c>
      <c r="R179" s="92">
        <f>(SUBSTITUTE(Audio!R179, "RE-", "", 1))*1</f>
        <v>92.25953021</v>
      </c>
      <c r="S179" s="92">
        <f>(SUBSTITUTE(Audio!S179, "RE-", "", 1))*1</f>
        <v>0</v>
      </c>
      <c r="T179" s="92">
        <f>(SUBSTITUTE(Audio!T179, "RE-", "", 1))*1</f>
        <v>769.885976</v>
      </c>
      <c r="U179" s="92">
        <f>(SUBSTITUTE(Audio!U179, "RE-", "", 1))*1</f>
        <v>0</v>
      </c>
      <c r="V179" s="92">
        <f>(SUBSTITUTE(Audio!V179, "RE-", "", 1))*1</f>
        <v>0</v>
      </c>
      <c r="W179" s="92">
        <f>(SUBSTITUTE(Audio!W179, "RE-", "", 1))*1</f>
        <v>0</v>
      </c>
      <c r="X179" s="92">
        <f>(SUBSTITUTE(Audio!X179, "RE-", "", 1))*1</f>
        <v>0</v>
      </c>
      <c r="Y179" s="92">
        <f>(SUBSTITUTE(Audio!Y179, "RE-", "", 1))*1</f>
        <v>0</v>
      </c>
      <c r="Z179" s="92">
        <f>(SUBSTITUTE(Audio!Z179, "RE-", "", 1))*1</f>
        <v>0</v>
      </c>
      <c r="AA179" s="92"/>
      <c r="AB179" s="92"/>
      <c r="AC179" s="92"/>
      <c r="AD179" s="92"/>
      <c r="AE179" s="92"/>
      <c r="AF179" s="92"/>
      <c r="AG179" s="92"/>
      <c r="AH179" s="92"/>
      <c r="AI179" s="92"/>
      <c r="AJ179" s="92"/>
      <c r="AK179" s="92"/>
      <c r="AL179" s="92"/>
      <c r="AM179" s="92"/>
      <c r="AN179" s="92"/>
      <c r="AO179" s="92"/>
      <c r="AP179" s="92"/>
      <c r="AQ179" s="92"/>
      <c r="AR179" s="92"/>
      <c r="AS179" s="92"/>
      <c r="AT179" s="92"/>
      <c r="AU179" s="92"/>
      <c r="AV179" s="92"/>
      <c r="AW179" s="92"/>
      <c r="AX179" s="92"/>
      <c r="AY179" s="92"/>
      <c r="AZ179" s="92"/>
      <c r="BA179" s="92"/>
      <c r="BB179" s="92"/>
      <c r="BC179" s="92"/>
      <c r="BD179" s="92"/>
      <c r="BE179" s="92"/>
      <c r="BF179" s="92"/>
      <c r="BG179" s="92"/>
      <c r="BH179" s="92"/>
      <c r="BI179" s="92"/>
      <c r="BJ179" s="92"/>
      <c r="BK179" s="92"/>
      <c r="BL179" s="92"/>
      <c r="BM179" s="92"/>
      <c r="BN179" s="92"/>
      <c r="BO179" s="92"/>
      <c r="BP179" s="92"/>
      <c r="BQ179" s="92"/>
      <c r="BR179" s="92"/>
      <c r="BS179" s="92"/>
      <c r="BT179" s="92"/>
      <c r="BU179" s="92"/>
      <c r="BV179" s="92"/>
      <c r="BW179" s="92"/>
      <c r="BX179" s="92"/>
      <c r="BY179" s="92"/>
      <c r="BZ179" s="92"/>
      <c r="CA179" s="92"/>
      <c r="CB179" s="92"/>
      <c r="CC179" s="92"/>
      <c r="CD179" s="92"/>
      <c r="CE179" s="92"/>
      <c r="CF179" s="92"/>
      <c r="CG179" s="92"/>
      <c r="CH179" s="92"/>
      <c r="CI179" s="92"/>
      <c r="CJ179" s="92"/>
      <c r="CK179" s="92"/>
      <c r="CL179" s="92"/>
      <c r="CM179" s="92"/>
      <c r="CN179" s="92"/>
      <c r="CO179" s="92"/>
      <c r="CP179" s="92"/>
      <c r="CQ179" s="92"/>
      <c r="CR179" s="92"/>
      <c r="CS179" s="92"/>
      <c r="CT179" s="92"/>
      <c r="CU179" s="92"/>
      <c r="CV179" s="92"/>
      <c r="CW179" s="92"/>
      <c r="CX179" s="92"/>
      <c r="CY179" s="92"/>
      <c r="CZ179" s="92"/>
      <c r="DA179" s="92"/>
      <c r="DB179" s="92"/>
      <c r="DC179" s="92"/>
      <c r="DD179" s="92"/>
      <c r="DE179" s="92"/>
      <c r="DF179" s="92"/>
      <c r="DG179" s="92"/>
      <c r="DH179" s="92"/>
      <c r="DI179" s="92"/>
      <c r="DJ179" s="92"/>
      <c r="DK179" s="92"/>
      <c r="DL179" s="92"/>
      <c r="DM179" s="92"/>
      <c r="DN179" s="92"/>
      <c r="DO179" s="92"/>
      <c r="DP179" s="92"/>
      <c r="DQ179" s="92"/>
      <c r="DR179" s="92"/>
      <c r="DS179" s="92"/>
      <c r="DT179" s="92"/>
      <c r="DU179" s="92"/>
      <c r="DV179" s="92"/>
      <c r="DW179" s="92"/>
      <c r="DX179" s="92"/>
      <c r="DY179" s="92"/>
      <c r="DZ179" s="92"/>
      <c r="EA179" s="92"/>
      <c r="EB179" s="92"/>
      <c r="EC179" s="92"/>
      <c r="ED179" s="92"/>
      <c r="EE179" s="92"/>
      <c r="EF179" s="92"/>
      <c r="EG179" s="92"/>
      <c r="EH179" s="92"/>
      <c r="EI179" s="92"/>
      <c r="EJ179" s="92"/>
      <c r="EK179" s="92"/>
      <c r="EL179" s="92"/>
      <c r="EM179" s="92"/>
      <c r="EN179" s="92"/>
      <c r="EO179" s="92"/>
      <c r="EP179" s="92"/>
      <c r="EQ179" s="92"/>
      <c r="ER179" s="92"/>
      <c r="ES179" s="92"/>
      <c r="ET179" s="92"/>
      <c r="EU179" s="92"/>
      <c r="EV179" s="92"/>
      <c r="EW179" s="92"/>
      <c r="EX179" s="92"/>
      <c r="EY179" s="92"/>
      <c r="EZ179" s="92"/>
      <c r="FA179" s="92"/>
      <c r="FB179" s="92"/>
      <c r="FC179" s="92"/>
      <c r="FD179" s="92"/>
      <c r="FE179" s="92"/>
      <c r="FF179" s="92"/>
      <c r="FG179" s="92"/>
      <c r="FH179" s="92"/>
    </row>
    <row r="180">
      <c r="A180" s="32" t="s">
        <v>7</v>
      </c>
      <c r="B180" s="32" t="s">
        <v>41</v>
      </c>
      <c r="C180" s="32" t="s">
        <v>9</v>
      </c>
      <c r="D180" s="97">
        <f t="shared" si="1"/>
        <v>6108.7995</v>
      </c>
      <c r="E180" s="92">
        <f>(SUBSTITUTE(Audio!E180, "RE-", "", 1))*1</f>
        <v>0</v>
      </c>
      <c r="F180" s="92">
        <f>(SUBSTITUTE(Audio!F180, "RE-", "", 1))*1</f>
        <v>651.0715844</v>
      </c>
      <c r="G180" s="92">
        <f>(SUBSTITUTE(Audio!G180, "RE-", "", 1))*1</f>
        <v>0</v>
      </c>
      <c r="H180" s="92">
        <f>(SUBSTITUTE(Audio!H180, "RE-", "", 1))*1</f>
        <v>95.32222187</v>
      </c>
      <c r="I180" s="92">
        <f>(SUBSTITUTE(Audio!I180, "RE-", "", 1))*1</f>
        <v>0</v>
      </c>
      <c r="J180" s="92">
        <f>(SUBSTITUTE(Audio!J180, "RE-", "", 1))*1</f>
        <v>1531.711358</v>
      </c>
      <c r="K180" s="92">
        <f>(SUBSTITUTE(Audio!K180, "RE-", "", 1))*1</f>
        <v>0</v>
      </c>
      <c r="L180" s="92">
        <f>(SUBSTITUTE(Audio!L180, "RE-", "", 1))*1</f>
        <v>536.5623854</v>
      </c>
      <c r="M180" s="92">
        <f>(SUBSTITUTE(Audio!M180, "RE-", "", 1))*1</f>
        <v>0</v>
      </c>
      <c r="N180" s="92">
        <f>(SUBSTITUTE(Audio!N180, "RE-", "", 1))*1</f>
        <v>2108.006878</v>
      </c>
      <c r="O180" s="92">
        <f>(SUBSTITUTE(Audio!O180, "RE-", "", 1))*1</f>
        <v>0</v>
      </c>
      <c r="P180" s="92">
        <f>(SUBSTITUTE(Audio!P180, "RE-", "", 1))*1</f>
        <v>323.9795656</v>
      </c>
      <c r="Q180" s="92">
        <f>(SUBSTITUTE(Audio!Q180, "RE-", "", 1))*1</f>
        <v>0</v>
      </c>
      <c r="R180" s="92">
        <f>(SUBSTITUTE(Audio!R180, "RE-", "", 1))*1</f>
        <v>92.25953021</v>
      </c>
      <c r="S180" s="92">
        <f>(SUBSTITUTE(Audio!S180, "RE-", "", 1))*1</f>
        <v>0</v>
      </c>
      <c r="T180" s="92">
        <f>(SUBSTITUTE(Audio!T180, "RE-", "", 1))*1</f>
        <v>769.885976</v>
      </c>
      <c r="U180" s="92">
        <f>(SUBSTITUTE(Audio!U180, "RE-", "", 1))*1</f>
        <v>0</v>
      </c>
      <c r="V180" s="92">
        <f>(SUBSTITUTE(Audio!V180, "RE-", "", 1))*1</f>
        <v>0</v>
      </c>
      <c r="W180" s="92">
        <f>(SUBSTITUTE(Audio!W180, "RE-", "", 1))*1</f>
        <v>0</v>
      </c>
      <c r="X180" s="92">
        <f>(SUBSTITUTE(Audio!X180, "RE-", "", 1))*1</f>
        <v>0</v>
      </c>
      <c r="Y180" s="92">
        <f>(SUBSTITUTE(Audio!Y180, "RE-", "", 1))*1</f>
        <v>0</v>
      </c>
      <c r="Z180" s="92">
        <f>(SUBSTITUTE(Audio!Z180, "RE-", "", 1))*1</f>
        <v>0</v>
      </c>
      <c r="AA180" s="92"/>
      <c r="AB180" s="92"/>
      <c r="AC180" s="92"/>
      <c r="AD180" s="92"/>
      <c r="AE180" s="92"/>
      <c r="AF180" s="92"/>
      <c r="AG180" s="92"/>
      <c r="AH180" s="92"/>
      <c r="AI180" s="92"/>
      <c r="AJ180" s="92"/>
      <c r="AK180" s="92"/>
      <c r="AL180" s="92"/>
      <c r="AM180" s="92"/>
      <c r="AN180" s="92"/>
      <c r="AO180" s="92"/>
      <c r="AP180" s="92"/>
      <c r="AQ180" s="92"/>
      <c r="AR180" s="92"/>
      <c r="AS180" s="92"/>
      <c r="AT180" s="92"/>
      <c r="AU180" s="92"/>
      <c r="AV180" s="92"/>
      <c r="AW180" s="92"/>
      <c r="AX180" s="92"/>
      <c r="AY180" s="92"/>
      <c r="AZ180" s="92"/>
      <c r="BA180" s="92"/>
      <c r="BB180" s="92"/>
      <c r="BC180" s="92"/>
      <c r="BD180" s="92"/>
      <c r="BE180" s="92"/>
      <c r="BF180" s="92"/>
      <c r="BG180" s="92"/>
      <c r="BH180" s="92"/>
      <c r="BI180" s="92"/>
      <c r="BJ180" s="92"/>
      <c r="BK180" s="92"/>
      <c r="BL180" s="92"/>
      <c r="BM180" s="92"/>
      <c r="BN180" s="92"/>
      <c r="BO180" s="92"/>
      <c r="BP180" s="92"/>
      <c r="BQ180" s="92"/>
      <c r="BR180" s="92"/>
      <c r="BS180" s="92"/>
      <c r="BT180" s="92"/>
      <c r="BU180" s="92"/>
      <c r="BV180" s="92"/>
      <c r="BW180" s="92"/>
      <c r="BX180" s="92"/>
      <c r="BY180" s="92"/>
      <c r="BZ180" s="92"/>
      <c r="CA180" s="92"/>
      <c r="CB180" s="92"/>
      <c r="CC180" s="92"/>
      <c r="CD180" s="92"/>
      <c r="CE180" s="92"/>
      <c r="CF180" s="92"/>
      <c r="CG180" s="92"/>
      <c r="CH180" s="92"/>
      <c r="CI180" s="92"/>
      <c r="CJ180" s="92"/>
      <c r="CK180" s="92"/>
      <c r="CL180" s="92"/>
      <c r="CM180" s="92"/>
      <c r="CN180" s="92"/>
      <c r="CO180" s="92"/>
      <c r="CP180" s="92"/>
      <c r="CQ180" s="92"/>
      <c r="CR180" s="92"/>
      <c r="CS180" s="92"/>
      <c r="CT180" s="92"/>
      <c r="CU180" s="92"/>
      <c r="CV180" s="92"/>
      <c r="CW180" s="92"/>
      <c r="CX180" s="92"/>
      <c r="CY180" s="92"/>
      <c r="CZ180" s="92"/>
      <c r="DA180" s="92"/>
      <c r="DB180" s="92"/>
      <c r="DC180" s="92"/>
      <c r="DD180" s="92"/>
      <c r="DE180" s="92"/>
      <c r="DF180" s="92"/>
      <c r="DG180" s="92"/>
      <c r="DH180" s="92"/>
      <c r="DI180" s="92"/>
      <c r="DJ180" s="92"/>
      <c r="DK180" s="92"/>
      <c r="DL180" s="92"/>
      <c r="DM180" s="92"/>
      <c r="DN180" s="92"/>
      <c r="DO180" s="92"/>
      <c r="DP180" s="92"/>
      <c r="DQ180" s="92"/>
      <c r="DR180" s="92"/>
      <c r="DS180" s="92"/>
      <c r="DT180" s="92"/>
      <c r="DU180" s="92"/>
      <c r="DV180" s="92"/>
      <c r="DW180" s="92"/>
      <c r="DX180" s="92"/>
      <c r="DY180" s="92"/>
      <c r="DZ180" s="92"/>
      <c r="EA180" s="92"/>
      <c r="EB180" s="92"/>
      <c r="EC180" s="92"/>
      <c r="ED180" s="92"/>
      <c r="EE180" s="92"/>
      <c r="EF180" s="92"/>
      <c r="EG180" s="92"/>
      <c r="EH180" s="92"/>
      <c r="EI180" s="92"/>
      <c r="EJ180" s="92"/>
      <c r="EK180" s="92"/>
      <c r="EL180" s="92"/>
      <c r="EM180" s="92"/>
      <c r="EN180" s="92"/>
      <c r="EO180" s="92"/>
      <c r="EP180" s="92"/>
      <c r="EQ180" s="92"/>
      <c r="ER180" s="92"/>
      <c r="ES180" s="92"/>
      <c r="ET180" s="92"/>
      <c r="EU180" s="92"/>
      <c r="EV180" s="92"/>
      <c r="EW180" s="92"/>
      <c r="EX180" s="92"/>
      <c r="EY180" s="92"/>
      <c r="EZ180" s="92"/>
      <c r="FA180" s="92"/>
      <c r="FB180" s="92"/>
      <c r="FC180" s="92"/>
      <c r="FD180" s="92"/>
      <c r="FE180" s="92"/>
      <c r="FF180" s="92"/>
      <c r="FG180" s="92"/>
      <c r="FH180" s="92"/>
    </row>
    <row r="181">
      <c r="A181" s="32" t="s">
        <v>7</v>
      </c>
      <c r="B181" s="32" t="s">
        <v>41</v>
      </c>
      <c r="C181" s="32" t="s">
        <v>10</v>
      </c>
      <c r="D181" s="97">
        <f t="shared" si="1"/>
        <v>661.1558052</v>
      </c>
      <c r="E181" s="92">
        <f>(SUBSTITUTE(Audio!E181, "RE-", "", 1))*1</f>
        <v>0</v>
      </c>
      <c r="F181" s="92">
        <f>(SUBSTITUTE(Audio!F181, "RE-", "", 1))*1</f>
        <v>0</v>
      </c>
      <c r="G181" s="92">
        <f>(SUBSTITUTE(Audio!G181, "RE-", "", 1))*1</f>
        <v>67.99288958</v>
      </c>
      <c r="H181" s="92">
        <f>(SUBSTITUTE(Audio!H181, "RE-", "", 1))*1</f>
        <v>0</v>
      </c>
      <c r="I181" s="92">
        <f>(SUBSTITUTE(Audio!I181, "RE-", "", 1))*1</f>
        <v>9.177196875</v>
      </c>
      <c r="J181" s="92">
        <f>(SUBSTITUTE(Audio!J181, "RE-", "", 1))*1</f>
        <v>0</v>
      </c>
      <c r="K181" s="92">
        <f>(SUBSTITUTE(Audio!K181, "RE-", "", 1))*1</f>
        <v>130.1914125</v>
      </c>
      <c r="L181" s="92">
        <f>(SUBSTITUTE(Audio!L181, "RE-", "", 1))*1</f>
        <v>0</v>
      </c>
      <c r="M181" s="92">
        <f>(SUBSTITUTE(Audio!M181, "RE-", "", 1))*1</f>
        <v>11.69583125</v>
      </c>
      <c r="N181" s="92">
        <f>(SUBSTITUTE(Audio!N181, "RE-", "", 1))*1</f>
        <v>0</v>
      </c>
      <c r="O181" s="92">
        <f>(SUBSTITUTE(Audio!O181, "RE-", "", 1))*1</f>
        <v>260.969899</v>
      </c>
      <c r="P181" s="92">
        <f>(SUBSTITUTE(Audio!P181, "RE-", "", 1))*1</f>
        <v>0</v>
      </c>
      <c r="Q181" s="92">
        <f>(SUBSTITUTE(Audio!Q181, "RE-", "", 1))*1</f>
        <v>75.87030104</v>
      </c>
      <c r="R181" s="92">
        <f>(SUBSTITUTE(Audio!R181, "RE-", "", 1))*1</f>
        <v>0</v>
      </c>
      <c r="S181" s="92">
        <f>(SUBSTITUTE(Audio!S181, "RE-", "", 1))*1</f>
        <v>22.12263125</v>
      </c>
      <c r="T181" s="92">
        <f>(SUBSTITUTE(Audio!T181, "RE-", "", 1))*1</f>
        <v>0</v>
      </c>
      <c r="U181" s="92">
        <f>(SUBSTITUTE(Audio!U181, "RE-", "", 1))*1</f>
        <v>78.42516458</v>
      </c>
      <c r="V181" s="92">
        <f>(SUBSTITUTE(Audio!V181, "RE-", "", 1))*1</f>
        <v>4.710479167</v>
      </c>
      <c r="W181" s="92">
        <f>(SUBSTITUTE(Audio!W181, "RE-", "", 1))*1</f>
        <v>0</v>
      </c>
      <c r="X181" s="92">
        <f>(SUBSTITUTE(Audio!X181, "RE-", "", 1))*1</f>
        <v>0</v>
      </c>
      <c r="Y181" s="92">
        <f>(SUBSTITUTE(Audio!Y181, "RE-", "", 1))*1</f>
        <v>0</v>
      </c>
      <c r="Z181" s="92">
        <f>(SUBSTITUTE(Audio!Z181, "RE-", "", 1))*1</f>
        <v>0</v>
      </c>
      <c r="AA181" s="92"/>
      <c r="AB181" s="92"/>
      <c r="AC181" s="92"/>
      <c r="AD181" s="92"/>
      <c r="AE181" s="92"/>
      <c r="AF181" s="92"/>
      <c r="AG181" s="92"/>
      <c r="AH181" s="92"/>
      <c r="AI181" s="92"/>
      <c r="AJ181" s="92"/>
      <c r="AK181" s="92"/>
      <c r="AL181" s="92"/>
      <c r="AM181" s="92"/>
      <c r="AN181" s="92"/>
      <c r="AO181" s="92"/>
      <c r="AP181" s="92"/>
      <c r="AQ181" s="92"/>
      <c r="AR181" s="92"/>
      <c r="AS181" s="92"/>
      <c r="AT181" s="92"/>
      <c r="AU181" s="92"/>
      <c r="AV181" s="92"/>
      <c r="AW181" s="92"/>
      <c r="AX181" s="92"/>
      <c r="AY181" s="92"/>
      <c r="AZ181" s="92"/>
      <c r="BA181" s="92"/>
      <c r="BB181" s="92"/>
      <c r="BC181" s="92"/>
      <c r="BD181" s="92"/>
      <c r="BE181" s="92"/>
      <c r="BF181" s="92"/>
      <c r="BG181" s="92"/>
      <c r="BH181" s="92"/>
      <c r="BI181" s="92"/>
      <c r="BJ181" s="92"/>
      <c r="BK181" s="92"/>
      <c r="BL181" s="92"/>
      <c r="BM181" s="92"/>
      <c r="BN181" s="92"/>
      <c r="BO181" s="92"/>
      <c r="BP181" s="92"/>
      <c r="BQ181" s="92"/>
      <c r="BR181" s="92"/>
      <c r="BS181" s="92"/>
      <c r="BT181" s="92"/>
      <c r="BU181" s="92"/>
      <c r="BV181" s="92"/>
      <c r="BW181" s="92"/>
      <c r="BX181" s="92"/>
      <c r="BY181" s="92"/>
      <c r="BZ181" s="92"/>
      <c r="CA181" s="92"/>
      <c r="CB181" s="92"/>
      <c r="CC181" s="92"/>
      <c r="CD181" s="92"/>
      <c r="CE181" s="92"/>
      <c r="CF181" s="92"/>
      <c r="CG181" s="92"/>
      <c r="CH181" s="92"/>
      <c r="CI181" s="92"/>
      <c r="CJ181" s="92"/>
      <c r="CK181" s="92"/>
      <c r="CL181" s="92"/>
      <c r="CM181" s="92"/>
      <c r="CN181" s="92"/>
      <c r="CO181" s="92"/>
      <c r="CP181" s="92"/>
      <c r="CQ181" s="92"/>
      <c r="CR181" s="92"/>
      <c r="CS181" s="92"/>
      <c r="CT181" s="92"/>
      <c r="CU181" s="92"/>
      <c r="CV181" s="92"/>
      <c r="CW181" s="92"/>
      <c r="CX181" s="92"/>
      <c r="CY181" s="92"/>
      <c r="CZ181" s="92"/>
      <c r="DA181" s="92"/>
      <c r="DB181" s="92"/>
      <c r="DC181" s="92"/>
      <c r="DD181" s="92"/>
      <c r="DE181" s="92"/>
      <c r="DF181" s="92"/>
      <c r="DG181" s="92"/>
      <c r="DH181" s="92"/>
      <c r="DI181" s="92"/>
      <c r="DJ181" s="92"/>
      <c r="DK181" s="92"/>
      <c r="DL181" s="92"/>
      <c r="DM181" s="92"/>
      <c r="DN181" s="92"/>
      <c r="DO181" s="92"/>
      <c r="DP181" s="92"/>
      <c r="DQ181" s="92"/>
      <c r="DR181" s="92"/>
      <c r="DS181" s="92"/>
      <c r="DT181" s="92"/>
      <c r="DU181" s="92"/>
      <c r="DV181" s="92"/>
      <c r="DW181" s="92"/>
      <c r="DX181" s="92"/>
      <c r="DY181" s="92"/>
      <c r="DZ181" s="92"/>
      <c r="EA181" s="92"/>
      <c r="EB181" s="92"/>
      <c r="EC181" s="92"/>
      <c r="ED181" s="92"/>
      <c r="EE181" s="92"/>
      <c r="EF181" s="92"/>
      <c r="EG181" s="92"/>
      <c r="EH181" s="92"/>
      <c r="EI181" s="92"/>
      <c r="EJ181" s="92"/>
      <c r="EK181" s="92"/>
      <c r="EL181" s="92"/>
      <c r="EM181" s="92"/>
      <c r="EN181" s="92"/>
      <c r="EO181" s="92"/>
      <c r="EP181" s="92"/>
      <c r="EQ181" s="92"/>
      <c r="ER181" s="92"/>
      <c r="ES181" s="92"/>
      <c r="ET181" s="92"/>
      <c r="EU181" s="92"/>
      <c r="EV181" s="92"/>
      <c r="EW181" s="92"/>
      <c r="EX181" s="92"/>
      <c r="EY181" s="92"/>
      <c r="EZ181" s="92"/>
      <c r="FA181" s="92"/>
      <c r="FB181" s="92"/>
      <c r="FC181" s="92"/>
      <c r="FD181" s="92"/>
      <c r="FE181" s="92"/>
      <c r="FF181" s="92"/>
      <c r="FG181" s="92"/>
      <c r="FH181" s="92"/>
    </row>
    <row r="182">
      <c r="A182" s="32" t="s">
        <v>7</v>
      </c>
      <c r="B182" s="32" t="s">
        <v>41</v>
      </c>
      <c r="C182" s="32" t="s">
        <v>11</v>
      </c>
      <c r="D182" s="97">
        <f t="shared" si="1"/>
        <v>661.1558052</v>
      </c>
      <c r="E182" s="92">
        <f>(SUBSTITUTE(Audio!E182, "RE-", "", 1))*1</f>
        <v>0</v>
      </c>
      <c r="F182" s="92">
        <f>(SUBSTITUTE(Audio!F182, "RE-", "", 1))*1</f>
        <v>0</v>
      </c>
      <c r="G182" s="92">
        <f>(SUBSTITUTE(Audio!G182, "RE-", "", 1))*1</f>
        <v>67.99288958</v>
      </c>
      <c r="H182" s="92">
        <f>(SUBSTITUTE(Audio!H182, "RE-", "", 1))*1</f>
        <v>0</v>
      </c>
      <c r="I182" s="92">
        <f>(SUBSTITUTE(Audio!I182, "RE-", "", 1))*1</f>
        <v>9.177196875</v>
      </c>
      <c r="J182" s="92">
        <f>(SUBSTITUTE(Audio!J182, "RE-", "", 1))*1</f>
        <v>0</v>
      </c>
      <c r="K182" s="92">
        <f>(SUBSTITUTE(Audio!K182, "RE-", "", 1))*1</f>
        <v>130.1914125</v>
      </c>
      <c r="L182" s="92">
        <f>(SUBSTITUTE(Audio!L182, "RE-", "", 1))*1</f>
        <v>0</v>
      </c>
      <c r="M182" s="92">
        <f>(SUBSTITUTE(Audio!M182, "RE-", "", 1))*1</f>
        <v>11.69583125</v>
      </c>
      <c r="N182" s="92">
        <f>(SUBSTITUTE(Audio!N182, "RE-", "", 1))*1</f>
        <v>0</v>
      </c>
      <c r="O182" s="92">
        <f>(SUBSTITUTE(Audio!O182, "RE-", "", 1))*1</f>
        <v>260.969899</v>
      </c>
      <c r="P182" s="92">
        <f>(SUBSTITUTE(Audio!P182, "RE-", "", 1))*1</f>
        <v>0</v>
      </c>
      <c r="Q182" s="92">
        <f>(SUBSTITUTE(Audio!Q182, "RE-", "", 1))*1</f>
        <v>75.87030104</v>
      </c>
      <c r="R182" s="92">
        <f>(SUBSTITUTE(Audio!R182, "RE-", "", 1))*1</f>
        <v>0</v>
      </c>
      <c r="S182" s="92">
        <f>(SUBSTITUTE(Audio!S182, "RE-", "", 1))*1</f>
        <v>22.12263125</v>
      </c>
      <c r="T182" s="92">
        <f>(SUBSTITUTE(Audio!T182, "RE-", "", 1))*1</f>
        <v>0</v>
      </c>
      <c r="U182" s="92">
        <f>(SUBSTITUTE(Audio!U182, "RE-", "", 1))*1</f>
        <v>78.42516458</v>
      </c>
      <c r="V182" s="92">
        <f>(SUBSTITUTE(Audio!V182, "RE-", "", 1))*1</f>
        <v>4.710479167</v>
      </c>
      <c r="W182" s="92">
        <f>(SUBSTITUTE(Audio!W182, "RE-", "", 1))*1</f>
        <v>0</v>
      </c>
      <c r="X182" s="92">
        <f>(SUBSTITUTE(Audio!X182, "RE-", "", 1))*1</f>
        <v>0</v>
      </c>
      <c r="Y182" s="92">
        <f>(SUBSTITUTE(Audio!Y182, "RE-", "", 1))*1</f>
        <v>0</v>
      </c>
      <c r="Z182" s="92">
        <f>(SUBSTITUTE(Audio!Z182, "RE-", "", 1))*1</f>
        <v>0</v>
      </c>
      <c r="AA182" s="92"/>
      <c r="AB182" s="92"/>
      <c r="AC182" s="92"/>
      <c r="AD182" s="92"/>
      <c r="AE182" s="92"/>
      <c r="AF182" s="92"/>
      <c r="AG182" s="92"/>
      <c r="AH182" s="92"/>
      <c r="AI182" s="92"/>
      <c r="AJ182" s="92"/>
      <c r="AK182" s="92"/>
      <c r="AL182" s="92"/>
      <c r="AM182" s="92"/>
      <c r="AN182" s="92"/>
      <c r="AO182" s="92"/>
      <c r="AP182" s="92"/>
      <c r="AQ182" s="92"/>
      <c r="AR182" s="92"/>
      <c r="AS182" s="92"/>
      <c r="AT182" s="92"/>
      <c r="AU182" s="92"/>
      <c r="AV182" s="92"/>
      <c r="AW182" s="92"/>
      <c r="AX182" s="92"/>
      <c r="AY182" s="92"/>
      <c r="AZ182" s="92"/>
      <c r="BA182" s="92"/>
      <c r="BB182" s="92"/>
      <c r="BC182" s="92"/>
      <c r="BD182" s="92"/>
      <c r="BE182" s="92"/>
      <c r="BF182" s="92"/>
      <c r="BG182" s="92"/>
      <c r="BH182" s="92"/>
      <c r="BI182" s="92"/>
      <c r="BJ182" s="92"/>
      <c r="BK182" s="92"/>
      <c r="BL182" s="92"/>
      <c r="BM182" s="92"/>
      <c r="BN182" s="92"/>
      <c r="BO182" s="92"/>
      <c r="BP182" s="92"/>
      <c r="BQ182" s="92"/>
      <c r="BR182" s="92"/>
      <c r="BS182" s="92"/>
      <c r="BT182" s="92"/>
      <c r="BU182" s="92"/>
      <c r="BV182" s="92"/>
      <c r="BW182" s="92"/>
      <c r="BX182" s="92"/>
      <c r="BY182" s="92"/>
      <c r="BZ182" s="92"/>
      <c r="CA182" s="92"/>
      <c r="CB182" s="92"/>
      <c r="CC182" s="92"/>
      <c r="CD182" s="92"/>
      <c r="CE182" s="92"/>
      <c r="CF182" s="92"/>
      <c r="CG182" s="92"/>
      <c r="CH182" s="92"/>
      <c r="CI182" s="92"/>
      <c r="CJ182" s="92"/>
      <c r="CK182" s="92"/>
      <c r="CL182" s="92"/>
      <c r="CM182" s="92"/>
      <c r="CN182" s="92"/>
      <c r="CO182" s="92"/>
      <c r="CP182" s="92"/>
      <c r="CQ182" s="92"/>
      <c r="CR182" s="92"/>
      <c r="CS182" s="92"/>
      <c r="CT182" s="92"/>
      <c r="CU182" s="92"/>
      <c r="CV182" s="92"/>
      <c r="CW182" s="92"/>
      <c r="CX182" s="92"/>
      <c r="CY182" s="92"/>
      <c r="CZ182" s="92"/>
      <c r="DA182" s="92"/>
      <c r="DB182" s="92"/>
      <c r="DC182" s="92"/>
      <c r="DD182" s="92"/>
      <c r="DE182" s="92"/>
      <c r="DF182" s="92"/>
      <c r="DG182" s="92"/>
      <c r="DH182" s="92"/>
      <c r="DI182" s="92"/>
      <c r="DJ182" s="92"/>
      <c r="DK182" s="92"/>
      <c r="DL182" s="92"/>
      <c r="DM182" s="92"/>
      <c r="DN182" s="92"/>
      <c r="DO182" s="92"/>
      <c r="DP182" s="92"/>
      <c r="DQ182" s="92"/>
      <c r="DR182" s="92"/>
      <c r="DS182" s="92"/>
      <c r="DT182" s="92"/>
      <c r="DU182" s="92"/>
      <c r="DV182" s="92"/>
      <c r="DW182" s="92"/>
      <c r="DX182" s="92"/>
      <c r="DY182" s="92"/>
      <c r="DZ182" s="92"/>
      <c r="EA182" s="92"/>
      <c r="EB182" s="92"/>
      <c r="EC182" s="92"/>
      <c r="ED182" s="92"/>
      <c r="EE182" s="92"/>
      <c r="EF182" s="92"/>
      <c r="EG182" s="92"/>
      <c r="EH182" s="92"/>
      <c r="EI182" s="92"/>
      <c r="EJ182" s="92"/>
      <c r="EK182" s="92"/>
      <c r="EL182" s="92"/>
      <c r="EM182" s="92"/>
      <c r="EN182" s="92"/>
      <c r="EO182" s="92"/>
      <c r="EP182" s="92"/>
      <c r="EQ182" s="92"/>
      <c r="ER182" s="92"/>
      <c r="ES182" s="92"/>
      <c r="ET182" s="92"/>
      <c r="EU182" s="92"/>
      <c r="EV182" s="92"/>
      <c r="EW182" s="92"/>
      <c r="EX182" s="92"/>
      <c r="EY182" s="92"/>
      <c r="EZ182" s="92"/>
      <c r="FA182" s="92"/>
      <c r="FB182" s="92"/>
      <c r="FC182" s="92"/>
      <c r="FD182" s="92"/>
      <c r="FE182" s="92"/>
      <c r="FF182" s="92"/>
      <c r="FG182" s="92"/>
      <c r="FH182" s="92"/>
    </row>
    <row r="183">
      <c r="A183" s="32" t="s">
        <v>7</v>
      </c>
      <c r="B183" s="32" t="s">
        <v>41</v>
      </c>
      <c r="C183" s="32" t="s">
        <v>12</v>
      </c>
      <c r="D183" s="97">
        <f t="shared" si="1"/>
        <v>4985.918381</v>
      </c>
      <c r="E183" s="92">
        <f>(SUBSTITUTE(Audio!E183, "RE-", "", 1))*1</f>
        <v>0</v>
      </c>
      <c r="F183" s="92">
        <f>(SUBSTITUTE(Audio!F183, "RE-", "", 1))*1</f>
        <v>530.2825896</v>
      </c>
      <c r="G183" s="92">
        <f>(SUBSTITUTE(Audio!G183, "RE-", "", 1))*1</f>
        <v>2.876920833</v>
      </c>
      <c r="H183" s="92">
        <f>(SUBSTITUTE(Audio!H183, "RE-", "", 1))*1</f>
        <v>83.34722917</v>
      </c>
      <c r="I183" s="92">
        <f>(SUBSTITUTE(Audio!I183, "RE-", "", 1))*1</f>
        <v>0</v>
      </c>
      <c r="J183" s="92">
        <f>(SUBSTITUTE(Audio!J183, "RE-", "", 1))*1</f>
        <v>1229.450327</v>
      </c>
      <c r="K183" s="92">
        <f>(SUBSTITUTE(Audio!K183, "RE-", "", 1))*1</f>
        <v>2.332172917</v>
      </c>
      <c r="L183" s="92">
        <f>(SUBSTITUTE(Audio!L183, "RE-", "", 1))*1</f>
        <v>497.2117927</v>
      </c>
      <c r="M183" s="92">
        <f>(SUBSTITUTE(Audio!M183, "RE-", "", 1))*1</f>
        <v>1.9170625</v>
      </c>
      <c r="N183" s="92">
        <f>(SUBSTITUTE(Audio!N183, "RE-", "", 1))*1</f>
        <v>1420.280579</v>
      </c>
      <c r="O183" s="92">
        <f>(SUBSTITUTE(Audio!O183, "RE-", "", 1))*1</f>
        <v>13.76528021</v>
      </c>
      <c r="P183" s="92">
        <f>(SUBSTITUTE(Audio!P183, "RE-", "", 1))*1</f>
        <v>288.8093292</v>
      </c>
      <c r="Q183" s="92">
        <f>(SUBSTITUTE(Audio!Q183, "RE-", "", 1))*1</f>
        <v>23.8530875</v>
      </c>
      <c r="R183" s="92">
        <f>(SUBSTITUTE(Audio!R183, "RE-", "", 1))*1</f>
        <v>83.82491979</v>
      </c>
      <c r="S183" s="92">
        <f>(SUBSTITUTE(Audio!S183, "RE-", "", 1))*1</f>
        <v>14.96056354</v>
      </c>
      <c r="T183" s="92">
        <f>(SUBSTITUTE(Audio!T183, "RE-", "", 1))*1</f>
        <v>743.9223469</v>
      </c>
      <c r="U183" s="92">
        <f>(SUBSTITUTE(Audio!U183, "RE-", "", 1))*1</f>
        <v>45.29340521</v>
      </c>
      <c r="V183" s="92">
        <f>(SUBSTITUTE(Audio!V183, "RE-", "", 1))*1</f>
        <v>3.790775</v>
      </c>
      <c r="W183" s="92">
        <f>(SUBSTITUTE(Audio!W183, "RE-", "", 1))*1</f>
        <v>0</v>
      </c>
      <c r="X183" s="92">
        <f>(SUBSTITUTE(Audio!X183, "RE-", "", 1))*1</f>
        <v>0</v>
      </c>
      <c r="Y183" s="92">
        <f>(SUBSTITUTE(Audio!Y183, "RE-", "", 1))*1</f>
        <v>0</v>
      </c>
      <c r="Z183" s="92">
        <f>(SUBSTITUTE(Audio!Z183, "RE-", "", 1))*1</f>
        <v>0</v>
      </c>
      <c r="AA183" s="92"/>
      <c r="AB183" s="92"/>
      <c r="AC183" s="92"/>
      <c r="AD183" s="92"/>
      <c r="AE183" s="92"/>
      <c r="AF183" s="92"/>
      <c r="AG183" s="92"/>
      <c r="AH183" s="92"/>
      <c r="AI183" s="92"/>
      <c r="AJ183" s="92"/>
      <c r="AK183" s="92"/>
      <c r="AL183" s="92"/>
      <c r="AM183" s="92"/>
      <c r="AN183" s="92"/>
      <c r="AO183" s="92"/>
      <c r="AP183" s="92"/>
      <c r="AQ183" s="92"/>
      <c r="AR183" s="92"/>
      <c r="AS183" s="92"/>
      <c r="AT183" s="92"/>
      <c r="AU183" s="92"/>
      <c r="AV183" s="92"/>
      <c r="AW183" s="92"/>
      <c r="AX183" s="92"/>
      <c r="AY183" s="92"/>
      <c r="AZ183" s="92"/>
      <c r="BA183" s="92"/>
      <c r="BB183" s="92"/>
      <c r="BC183" s="92"/>
      <c r="BD183" s="92"/>
      <c r="BE183" s="92"/>
      <c r="BF183" s="92"/>
      <c r="BG183" s="92"/>
      <c r="BH183" s="92"/>
      <c r="BI183" s="92"/>
      <c r="BJ183" s="92"/>
      <c r="BK183" s="92"/>
      <c r="BL183" s="92"/>
      <c r="BM183" s="92"/>
      <c r="BN183" s="92"/>
      <c r="BO183" s="92"/>
      <c r="BP183" s="92"/>
      <c r="BQ183" s="92"/>
      <c r="BR183" s="92"/>
      <c r="BS183" s="92"/>
      <c r="BT183" s="92"/>
      <c r="BU183" s="92"/>
      <c r="BV183" s="92"/>
      <c r="BW183" s="92"/>
      <c r="BX183" s="92"/>
      <c r="BY183" s="92"/>
      <c r="BZ183" s="92"/>
      <c r="CA183" s="92"/>
      <c r="CB183" s="92"/>
      <c r="CC183" s="92"/>
      <c r="CD183" s="92"/>
      <c r="CE183" s="92"/>
      <c r="CF183" s="92"/>
      <c r="CG183" s="92"/>
      <c r="CH183" s="92"/>
      <c r="CI183" s="92"/>
      <c r="CJ183" s="92"/>
      <c r="CK183" s="92"/>
      <c r="CL183" s="92"/>
      <c r="CM183" s="92"/>
      <c r="CN183" s="92"/>
      <c r="CO183" s="92"/>
      <c r="CP183" s="92"/>
      <c r="CQ183" s="92"/>
      <c r="CR183" s="92"/>
      <c r="CS183" s="92"/>
      <c r="CT183" s="92"/>
      <c r="CU183" s="92"/>
      <c r="CV183" s="92"/>
      <c r="CW183" s="92"/>
      <c r="CX183" s="92"/>
      <c r="CY183" s="92"/>
      <c r="CZ183" s="92"/>
      <c r="DA183" s="92"/>
      <c r="DB183" s="92"/>
      <c r="DC183" s="92"/>
      <c r="DD183" s="92"/>
      <c r="DE183" s="92"/>
      <c r="DF183" s="92"/>
      <c r="DG183" s="92"/>
      <c r="DH183" s="92"/>
      <c r="DI183" s="92"/>
      <c r="DJ183" s="92"/>
      <c r="DK183" s="92"/>
      <c r="DL183" s="92"/>
      <c r="DM183" s="92"/>
      <c r="DN183" s="92"/>
      <c r="DO183" s="92"/>
      <c r="DP183" s="92"/>
      <c r="DQ183" s="92"/>
      <c r="DR183" s="92"/>
      <c r="DS183" s="92"/>
      <c r="DT183" s="92"/>
      <c r="DU183" s="92"/>
      <c r="DV183" s="92"/>
      <c r="DW183" s="92"/>
      <c r="DX183" s="92"/>
      <c r="DY183" s="92"/>
      <c r="DZ183" s="92"/>
      <c r="EA183" s="92"/>
      <c r="EB183" s="92"/>
      <c r="EC183" s="92"/>
      <c r="ED183" s="92"/>
      <c r="EE183" s="92"/>
      <c r="EF183" s="92"/>
      <c r="EG183" s="92"/>
      <c r="EH183" s="92"/>
      <c r="EI183" s="92"/>
      <c r="EJ183" s="92"/>
      <c r="EK183" s="92"/>
      <c r="EL183" s="92"/>
      <c r="EM183" s="92"/>
      <c r="EN183" s="92"/>
      <c r="EO183" s="92"/>
      <c r="EP183" s="92"/>
      <c r="EQ183" s="92"/>
      <c r="ER183" s="92"/>
      <c r="ES183" s="92"/>
      <c r="ET183" s="92"/>
      <c r="EU183" s="92"/>
      <c r="EV183" s="92"/>
      <c r="EW183" s="92"/>
      <c r="EX183" s="92"/>
      <c r="EY183" s="92"/>
      <c r="EZ183" s="92"/>
      <c r="FA183" s="92"/>
      <c r="FB183" s="92"/>
      <c r="FC183" s="92"/>
      <c r="FD183" s="92"/>
      <c r="FE183" s="92"/>
      <c r="FF183" s="92"/>
      <c r="FG183" s="92"/>
      <c r="FH183" s="92"/>
    </row>
    <row r="184">
      <c r="A184" s="32" t="s">
        <v>7</v>
      </c>
      <c r="B184" s="32" t="s">
        <v>41</v>
      </c>
      <c r="C184" s="32" t="s">
        <v>13</v>
      </c>
      <c r="D184" s="97">
        <f t="shared" si="1"/>
        <v>4785.59417</v>
      </c>
      <c r="E184" s="92">
        <f>(SUBSTITUTE(Audio!E184, "RE-", "", 1))*1</f>
        <v>0</v>
      </c>
      <c r="F184" s="92">
        <f>(SUBSTITUTE(Audio!F184, "RE-", "", 1))*1</f>
        <v>515.514</v>
      </c>
      <c r="G184" s="92">
        <f>(SUBSTITUTE(Audio!G184, "RE-", "", 1))*1</f>
        <v>2.80253</v>
      </c>
      <c r="H184" s="92">
        <f>(SUBSTITUTE(Audio!H184, "RE-", "", 1))*1</f>
        <v>81.4431</v>
      </c>
      <c r="I184" s="92">
        <f>(SUBSTITUTE(Audio!I184, "RE-", "", 1))*1</f>
        <v>0</v>
      </c>
      <c r="J184" s="92">
        <f>(SUBSTITUTE(Audio!J184, "RE-", "", 1))*1</f>
        <v>1182.85</v>
      </c>
      <c r="K184" s="92">
        <f>(SUBSTITUTE(Audio!K184, "RE-", "", 1))*1</f>
        <v>2.21025</v>
      </c>
      <c r="L184" s="92">
        <f>(SUBSTITUTE(Audio!L184, "RE-", "", 1))*1</f>
        <v>473.233</v>
      </c>
      <c r="M184" s="92">
        <f>(SUBSTITUTE(Audio!M184, "RE-", "", 1))*1</f>
        <v>1.75647</v>
      </c>
      <c r="N184" s="92">
        <f>(SUBSTITUTE(Audio!N184, "RE-", "", 1))*1</f>
        <v>1360.79</v>
      </c>
      <c r="O184" s="92">
        <f>(SUBSTITUTE(Audio!O184, "RE-", "", 1))*1</f>
        <v>13.0514</v>
      </c>
      <c r="P184" s="92">
        <f>(SUBSTITUTE(Audio!P184, "RE-", "", 1))*1</f>
        <v>276.437</v>
      </c>
      <c r="Q184" s="92">
        <f>(SUBSTITUTE(Audio!Q184, "RE-", "", 1))*1</f>
        <v>23.0271</v>
      </c>
      <c r="R184" s="92">
        <f>(SUBSTITUTE(Audio!R184, "RE-", "", 1))*1</f>
        <v>79.9629</v>
      </c>
      <c r="S184" s="92">
        <f>(SUBSTITUTE(Audio!S184, "RE-", "", 1))*1</f>
        <v>13.9097</v>
      </c>
      <c r="T184" s="92">
        <f>(SUBSTITUTE(Audio!T184, "RE-", "", 1))*1</f>
        <v>711.928</v>
      </c>
      <c r="U184" s="92">
        <f>(SUBSTITUTE(Audio!U184, "RE-", "", 1))*1</f>
        <v>43.0287</v>
      </c>
      <c r="V184" s="92">
        <f>(SUBSTITUTE(Audio!V184, "RE-", "", 1))*1</f>
        <v>3.65002</v>
      </c>
      <c r="W184" s="92">
        <f>(SUBSTITUTE(Audio!W184, "RE-", "", 1))*1</f>
        <v>0</v>
      </c>
      <c r="X184" s="92">
        <f>(SUBSTITUTE(Audio!X184, "RE-", "", 1))*1</f>
        <v>0</v>
      </c>
      <c r="Y184" s="92">
        <f>(SUBSTITUTE(Audio!Y184, "RE-", "", 1))*1</f>
        <v>0</v>
      </c>
      <c r="Z184" s="92">
        <f>(SUBSTITUTE(Audio!Z184, "RE-", "", 1))*1</f>
        <v>0</v>
      </c>
      <c r="AA184" s="92"/>
      <c r="AB184" s="92"/>
      <c r="AC184" s="92"/>
      <c r="AD184" s="92"/>
      <c r="AE184" s="92"/>
      <c r="AF184" s="92"/>
      <c r="AG184" s="92"/>
      <c r="AH184" s="92"/>
      <c r="AI184" s="92"/>
      <c r="AJ184" s="92"/>
      <c r="AK184" s="92"/>
      <c r="AL184" s="92"/>
      <c r="AM184" s="92"/>
      <c r="AN184" s="92"/>
      <c r="AO184" s="92"/>
      <c r="AP184" s="92"/>
      <c r="AQ184" s="92"/>
      <c r="AR184" s="92"/>
      <c r="AS184" s="92"/>
      <c r="AT184" s="92"/>
      <c r="AU184" s="92"/>
      <c r="AV184" s="92"/>
      <c r="AW184" s="92"/>
      <c r="AX184" s="92"/>
      <c r="AY184" s="92"/>
      <c r="AZ184" s="92"/>
      <c r="BA184" s="92"/>
      <c r="BB184" s="92"/>
      <c r="BC184" s="92"/>
      <c r="BD184" s="92"/>
      <c r="BE184" s="92"/>
      <c r="BF184" s="92"/>
      <c r="BG184" s="92"/>
      <c r="BH184" s="92"/>
      <c r="BI184" s="92"/>
      <c r="BJ184" s="92"/>
      <c r="BK184" s="92"/>
      <c r="BL184" s="92"/>
      <c r="BM184" s="92"/>
      <c r="BN184" s="92"/>
      <c r="BO184" s="92"/>
      <c r="BP184" s="92"/>
      <c r="BQ184" s="92"/>
      <c r="BR184" s="92"/>
      <c r="BS184" s="92"/>
      <c r="BT184" s="92"/>
      <c r="BU184" s="92"/>
      <c r="BV184" s="92"/>
      <c r="BW184" s="92"/>
      <c r="BX184" s="92"/>
      <c r="BY184" s="92"/>
      <c r="BZ184" s="92"/>
      <c r="CA184" s="92"/>
      <c r="CB184" s="92"/>
      <c r="CC184" s="92"/>
      <c r="CD184" s="92"/>
      <c r="CE184" s="92"/>
      <c r="CF184" s="92"/>
      <c r="CG184" s="92"/>
      <c r="CH184" s="92"/>
      <c r="CI184" s="92"/>
      <c r="CJ184" s="92"/>
      <c r="CK184" s="92"/>
      <c r="CL184" s="92"/>
      <c r="CM184" s="92"/>
      <c r="CN184" s="92"/>
      <c r="CO184" s="92"/>
      <c r="CP184" s="92"/>
      <c r="CQ184" s="92"/>
      <c r="CR184" s="92"/>
      <c r="CS184" s="92"/>
      <c r="CT184" s="92"/>
      <c r="CU184" s="92"/>
      <c r="CV184" s="92"/>
      <c r="CW184" s="92"/>
      <c r="CX184" s="92"/>
      <c r="CY184" s="92"/>
      <c r="CZ184" s="92"/>
      <c r="DA184" s="92"/>
      <c r="DB184" s="92"/>
      <c r="DC184" s="92"/>
      <c r="DD184" s="92"/>
      <c r="DE184" s="92"/>
      <c r="DF184" s="92"/>
      <c r="DG184" s="92"/>
      <c r="DH184" s="92"/>
      <c r="DI184" s="92"/>
      <c r="DJ184" s="92"/>
      <c r="DK184" s="92"/>
      <c r="DL184" s="92"/>
      <c r="DM184" s="92"/>
      <c r="DN184" s="92"/>
      <c r="DO184" s="92"/>
      <c r="DP184" s="92"/>
      <c r="DQ184" s="92"/>
      <c r="DR184" s="92"/>
      <c r="DS184" s="92"/>
      <c r="DT184" s="92"/>
      <c r="DU184" s="92"/>
      <c r="DV184" s="92"/>
      <c r="DW184" s="92"/>
      <c r="DX184" s="92"/>
      <c r="DY184" s="92"/>
      <c r="DZ184" s="92"/>
      <c r="EA184" s="92"/>
      <c r="EB184" s="92"/>
      <c r="EC184" s="92"/>
      <c r="ED184" s="92"/>
      <c r="EE184" s="92"/>
      <c r="EF184" s="92"/>
      <c r="EG184" s="92"/>
      <c r="EH184" s="92"/>
      <c r="EI184" s="92"/>
      <c r="EJ184" s="92"/>
      <c r="EK184" s="92"/>
      <c r="EL184" s="92"/>
      <c r="EM184" s="92"/>
      <c r="EN184" s="92"/>
      <c r="EO184" s="92"/>
      <c r="EP184" s="92"/>
      <c r="EQ184" s="92"/>
      <c r="ER184" s="92"/>
      <c r="ES184" s="92"/>
      <c r="ET184" s="92"/>
      <c r="EU184" s="92"/>
      <c r="EV184" s="92"/>
      <c r="EW184" s="92"/>
      <c r="EX184" s="92"/>
      <c r="EY184" s="92"/>
      <c r="EZ184" s="92"/>
      <c r="FA184" s="92"/>
      <c r="FB184" s="92"/>
      <c r="FC184" s="92"/>
      <c r="FD184" s="92"/>
      <c r="FE184" s="92"/>
      <c r="FF184" s="92"/>
      <c r="FG184" s="92"/>
      <c r="FH184" s="92"/>
    </row>
    <row r="185">
      <c r="A185" s="32" t="s">
        <v>7</v>
      </c>
      <c r="B185" s="32" t="s">
        <v>41</v>
      </c>
      <c r="C185" s="32" t="s">
        <v>14</v>
      </c>
      <c r="D185" s="97">
        <f t="shared" si="1"/>
        <v>4212.6821</v>
      </c>
      <c r="E185" s="92">
        <f>(SUBSTITUTE(Audio!E185, "RE-", "", 1))*1</f>
        <v>0</v>
      </c>
      <c r="F185" s="92">
        <f>(SUBSTITUTE(Audio!F185, "RE-", "", 1))*1</f>
        <v>470.926</v>
      </c>
      <c r="G185" s="92">
        <f>(SUBSTITUTE(Audio!G185, "RE-", "", 1))*1</f>
        <v>2.80253</v>
      </c>
      <c r="H185" s="92">
        <f>(SUBSTITUTE(Audio!H185, "RE-", "", 1))*1</f>
        <v>74.1686</v>
      </c>
      <c r="I185" s="92">
        <f>(SUBSTITUTE(Audio!I185, "RE-", "", 1))*1</f>
        <v>0</v>
      </c>
      <c r="J185" s="92">
        <f>(SUBSTITUTE(Audio!J185, "RE-", "", 1))*1</f>
        <v>1080.3</v>
      </c>
      <c r="K185" s="92">
        <f>(SUBSTITUTE(Audio!K185, "RE-", "", 1))*1</f>
        <v>2.06798</v>
      </c>
      <c r="L185" s="92">
        <f>(SUBSTITUTE(Audio!L185, "RE-", "", 1))*1</f>
        <v>405.96</v>
      </c>
      <c r="M185" s="92">
        <f>(SUBSTITUTE(Audio!M185, "RE-", "", 1))*1</f>
        <v>1.75647</v>
      </c>
      <c r="N185" s="92">
        <f>(SUBSTITUTE(Audio!N185, "RE-", "", 1))*1</f>
        <v>1190.42</v>
      </c>
      <c r="O185" s="92">
        <f>(SUBSTITUTE(Audio!O185, "RE-", "", 1))*1</f>
        <v>11.7607</v>
      </c>
      <c r="P185" s="92">
        <f>(SUBSTITUTE(Audio!P185, "RE-", "", 1))*1</f>
        <v>224.392</v>
      </c>
      <c r="Q185" s="92">
        <f>(SUBSTITUTE(Audio!Q185, "RE-", "", 1))*1</f>
        <v>18.5898</v>
      </c>
      <c r="R185" s="92">
        <f>(SUBSTITUTE(Audio!R185, "RE-", "", 1))*1</f>
        <v>67.8356</v>
      </c>
      <c r="S185" s="92">
        <f>(SUBSTITUTE(Audio!S185, "RE-", "", 1))*1</f>
        <v>12.5027</v>
      </c>
      <c r="T185" s="92">
        <f>(SUBSTITUTE(Audio!T185, "RE-", "", 1))*1</f>
        <v>608.983</v>
      </c>
      <c r="U185" s="92">
        <f>(SUBSTITUTE(Audio!U185, "RE-", "", 1))*1</f>
        <v>37.0176</v>
      </c>
      <c r="V185" s="92">
        <f>(SUBSTITUTE(Audio!V185, "RE-", "", 1))*1</f>
        <v>3.19912</v>
      </c>
      <c r="W185" s="92">
        <f>(SUBSTITUTE(Audio!W185, "RE-", "", 1))*1</f>
        <v>0</v>
      </c>
      <c r="X185" s="92">
        <f>(SUBSTITUTE(Audio!X185, "RE-", "", 1))*1</f>
        <v>0</v>
      </c>
      <c r="Y185" s="92">
        <f>(SUBSTITUTE(Audio!Y185, "RE-", "", 1))*1</f>
        <v>0</v>
      </c>
      <c r="Z185" s="92">
        <f>(SUBSTITUTE(Audio!Z185, "RE-", "", 1))*1</f>
        <v>0</v>
      </c>
      <c r="AA185" s="92"/>
      <c r="AB185" s="92"/>
      <c r="AC185" s="92"/>
      <c r="AD185" s="92"/>
      <c r="AE185" s="92"/>
      <c r="AF185" s="92"/>
      <c r="AG185" s="92"/>
      <c r="AH185" s="92"/>
      <c r="AI185" s="92"/>
      <c r="AJ185" s="92"/>
      <c r="AK185" s="92"/>
      <c r="AL185" s="92"/>
      <c r="AM185" s="92"/>
      <c r="AN185" s="92"/>
      <c r="AO185" s="92"/>
      <c r="AP185" s="92"/>
      <c r="AQ185" s="92"/>
      <c r="AR185" s="92"/>
      <c r="AS185" s="92"/>
      <c r="AT185" s="92"/>
      <c r="AU185" s="92"/>
      <c r="AV185" s="92"/>
      <c r="AW185" s="92"/>
      <c r="AX185" s="92"/>
      <c r="AY185" s="92"/>
      <c r="AZ185" s="92"/>
      <c r="BA185" s="92"/>
      <c r="BB185" s="92"/>
      <c r="BC185" s="92"/>
      <c r="BD185" s="92"/>
      <c r="BE185" s="92"/>
      <c r="BF185" s="92"/>
      <c r="BG185" s="92"/>
      <c r="BH185" s="92"/>
      <c r="BI185" s="92"/>
      <c r="BJ185" s="92"/>
      <c r="BK185" s="92"/>
      <c r="BL185" s="92"/>
      <c r="BM185" s="92"/>
      <c r="BN185" s="92"/>
      <c r="BO185" s="92"/>
      <c r="BP185" s="92"/>
      <c r="BQ185" s="92"/>
      <c r="BR185" s="92"/>
      <c r="BS185" s="92"/>
      <c r="BT185" s="92"/>
      <c r="BU185" s="92"/>
      <c r="BV185" s="92"/>
      <c r="BW185" s="92"/>
      <c r="BX185" s="92"/>
      <c r="BY185" s="92"/>
      <c r="BZ185" s="92"/>
      <c r="CA185" s="92"/>
      <c r="CB185" s="92"/>
      <c r="CC185" s="92"/>
      <c r="CD185" s="92"/>
      <c r="CE185" s="92"/>
      <c r="CF185" s="92"/>
      <c r="CG185" s="92"/>
      <c r="CH185" s="92"/>
      <c r="CI185" s="92"/>
      <c r="CJ185" s="92"/>
      <c r="CK185" s="92"/>
      <c r="CL185" s="92"/>
      <c r="CM185" s="92"/>
      <c r="CN185" s="92"/>
      <c r="CO185" s="92"/>
      <c r="CP185" s="92"/>
      <c r="CQ185" s="92"/>
      <c r="CR185" s="92"/>
      <c r="CS185" s="92"/>
      <c r="CT185" s="92"/>
      <c r="CU185" s="92"/>
      <c r="CV185" s="92"/>
      <c r="CW185" s="92"/>
      <c r="CX185" s="92"/>
      <c r="CY185" s="92"/>
      <c r="CZ185" s="92"/>
      <c r="DA185" s="92"/>
      <c r="DB185" s="92"/>
      <c r="DC185" s="92"/>
      <c r="DD185" s="92"/>
      <c r="DE185" s="92"/>
      <c r="DF185" s="92"/>
      <c r="DG185" s="92"/>
      <c r="DH185" s="92"/>
      <c r="DI185" s="92"/>
      <c r="DJ185" s="92"/>
      <c r="DK185" s="92"/>
      <c r="DL185" s="92"/>
      <c r="DM185" s="92"/>
      <c r="DN185" s="92"/>
      <c r="DO185" s="92"/>
      <c r="DP185" s="92"/>
      <c r="DQ185" s="92"/>
      <c r="DR185" s="92"/>
      <c r="DS185" s="92"/>
      <c r="DT185" s="92"/>
      <c r="DU185" s="92"/>
      <c r="DV185" s="92"/>
      <c r="DW185" s="92"/>
      <c r="DX185" s="92"/>
      <c r="DY185" s="92"/>
      <c r="DZ185" s="92"/>
      <c r="EA185" s="92"/>
      <c r="EB185" s="92"/>
      <c r="EC185" s="92"/>
      <c r="ED185" s="92"/>
      <c r="EE185" s="92"/>
      <c r="EF185" s="92"/>
      <c r="EG185" s="92"/>
      <c r="EH185" s="92"/>
      <c r="EI185" s="92"/>
      <c r="EJ185" s="92"/>
      <c r="EK185" s="92"/>
      <c r="EL185" s="92"/>
      <c r="EM185" s="92"/>
      <c r="EN185" s="92"/>
      <c r="EO185" s="92"/>
      <c r="EP185" s="92"/>
      <c r="EQ185" s="92"/>
      <c r="ER185" s="92"/>
      <c r="ES185" s="92"/>
      <c r="ET185" s="92"/>
      <c r="EU185" s="92"/>
      <c r="EV185" s="92"/>
      <c r="EW185" s="92"/>
      <c r="EX185" s="92"/>
      <c r="EY185" s="92"/>
      <c r="EZ185" s="92"/>
      <c r="FA185" s="92"/>
      <c r="FB185" s="92"/>
      <c r="FC185" s="92"/>
      <c r="FD185" s="92"/>
      <c r="FE185" s="92"/>
      <c r="FF185" s="92"/>
      <c r="FG185" s="92"/>
      <c r="FH185" s="92"/>
    </row>
    <row r="186">
      <c r="A186" s="27" t="s">
        <v>7</v>
      </c>
      <c r="B186" s="27" t="s">
        <v>41</v>
      </c>
      <c r="C186" s="27" t="s">
        <v>15</v>
      </c>
      <c r="D186" s="98">
        <f t="shared" si="1"/>
        <v>4785.44017</v>
      </c>
      <c r="E186" s="92">
        <f>(SUBSTITUTE(Audio!E186, "RE-", "", 1))*1</f>
        <v>0</v>
      </c>
      <c r="F186" s="92">
        <f>(SUBSTITUTE(Audio!F186, "RE-", "", 1))*1</f>
        <v>515.514</v>
      </c>
      <c r="G186" s="92">
        <f>(SUBSTITUTE(Audio!G186, "RE-", "", 1))*1</f>
        <v>2.80253</v>
      </c>
      <c r="H186" s="92">
        <f>(SUBSTITUTE(Audio!H186, "RE-", "", 1))*1</f>
        <v>81.4431</v>
      </c>
      <c r="I186" s="92">
        <f>(SUBSTITUTE(Audio!I186, "RE-", "", 1))*1</f>
        <v>0</v>
      </c>
      <c r="J186" s="92">
        <f>(SUBSTITUTE(Audio!J186, "RE-", "", 1))*1</f>
        <v>1182.85</v>
      </c>
      <c r="K186" s="92">
        <f>(SUBSTITUTE(Audio!K186, "RE-", "", 1))*1</f>
        <v>2.21025</v>
      </c>
      <c r="L186" s="92">
        <f>(SUBSTITUTE(Audio!L186, "RE-", "", 1))*1</f>
        <v>473.233</v>
      </c>
      <c r="M186" s="92">
        <f>(SUBSTITUTE(Audio!M186, "RE-", "", 1))*1</f>
        <v>1.75647</v>
      </c>
      <c r="N186" s="92">
        <f>(SUBSTITUTE(Audio!N186, "RE-", "", 1))*1</f>
        <v>1360.79</v>
      </c>
      <c r="O186" s="92">
        <f>(SUBSTITUTE(Audio!O186, "RE-", "", 1))*1</f>
        <v>13.0514</v>
      </c>
      <c r="P186" s="92">
        <f>(SUBSTITUTE(Audio!P186, "RE-", "", 1))*1</f>
        <v>276.437</v>
      </c>
      <c r="Q186" s="92">
        <f>(SUBSTITUTE(Audio!Q186, "RE-", "", 1))*1</f>
        <v>23.0271</v>
      </c>
      <c r="R186" s="92">
        <f>(SUBSTITUTE(Audio!R186, "RE-", "", 1))*1</f>
        <v>79.9629</v>
      </c>
      <c r="S186" s="92">
        <f>(SUBSTITUTE(Audio!S186, "RE-", "", 1))*1</f>
        <v>13.9097</v>
      </c>
      <c r="T186" s="92">
        <f>(SUBSTITUTE(Audio!T186, "RE-", "", 1))*1</f>
        <v>711.774</v>
      </c>
      <c r="U186" s="92">
        <f>(SUBSTITUTE(Audio!U186, "RE-", "", 1))*1</f>
        <v>43.0287</v>
      </c>
      <c r="V186" s="92">
        <f>(SUBSTITUTE(Audio!V186, "RE-", "", 1))*1</f>
        <v>3.65002</v>
      </c>
      <c r="W186" s="92">
        <f>(SUBSTITUTE(Audio!W186, "RE-", "", 1))*1</f>
        <v>0</v>
      </c>
      <c r="X186" s="92">
        <f>(SUBSTITUTE(Audio!X186, "RE-", "", 1))*1</f>
        <v>0</v>
      </c>
      <c r="Y186" s="92">
        <f>(SUBSTITUTE(Audio!Y186, "RE-", "", 1))*1</f>
        <v>0</v>
      </c>
      <c r="Z186" s="92">
        <f>(SUBSTITUTE(Audio!Z186, "RE-", "", 1))*1</f>
        <v>0</v>
      </c>
      <c r="AA186" s="92"/>
      <c r="AB186" s="92"/>
      <c r="AC186" s="92"/>
      <c r="AD186" s="92"/>
      <c r="AE186" s="92"/>
      <c r="AF186" s="92"/>
      <c r="AG186" s="92"/>
      <c r="AH186" s="92"/>
      <c r="AI186" s="92"/>
      <c r="AJ186" s="92"/>
      <c r="AK186" s="92"/>
      <c r="AL186" s="92"/>
      <c r="AM186" s="92"/>
      <c r="AN186" s="92"/>
      <c r="AO186" s="92"/>
      <c r="AP186" s="92"/>
      <c r="AQ186" s="92"/>
      <c r="AR186" s="92"/>
      <c r="AS186" s="92"/>
      <c r="AT186" s="92"/>
      <c r="AU186" s="92"/>
      <c r="AV186" s="92"/>
      <c r="AW186" s="92"/>
      <c r="AX186" s="92"/>
      <c r="AY186" s="92"/>
      <c r="AZ186" s="92"/>
      <c r="BA186" s="92"/>
      <c r="BB186" s="92"/>
      <c r="BC186" s="92"/>
      <c r="BD186" s="92"/>
      <c r="BE186" s="92"/>
      <c r="BF186" s="92"/>
      <c r="BG186" s="92"/>
      <c r="BH186" s="92"/>
      <c r="BI186" s="92"/>
      <c r="BJ186" s="92"/>
      <c r="BK186" s="92"/>
      <c r="BL186" s="92"/>
      <c r="BM186" s="92"/>
      <c r="BN186" s="92"/>
      <c r="BO186" s="92"/>
      <c r="BP186" s="92"/>
      <c r="BQ186" s="92"/>
      <c r="BR186" s="92"/>
      <c r="BS186" s="92"/>
      <c r="BT186" s="92"/>
      <c r="BU186" s="92"/>
      <c r="BV186" s="92"/>
      <c r="BW186" s="92"/>
      <c r="BX186" s="92"/>
      <c r="BY186" s="92"/>
      <c r="BZ186" s="92"/>
      <c r="CA186" s="92"/>
      <c r="CB186" s="92"/>
      <c r="CC186" s="92"/>
      <c r="CD186" s="92"/>
      <c r="CE186" s="92"/>
      <c r="CF186" s="92"/>
      <c r="CG186" s="92"/>
      <c r="CH186" s="92"/>
      <c r="CI186" s="92"/>
      <c r="CJ186" s="92"/>
      <c r="CK186" s="92"/>
      <c r="CL186" s="92"/>
      <c r="CM186" s="92"/>
      <c r="CN186" s="92"/>
      <c r="CO186" s="92"/>
      <c r="CP186" s="92"/>
      <c r="CQ186" s="92"/>
      <c r="CR186" s="92"/>
      <c r="CS186" s="92"/>
      <c r="CT186" s="92"/>
      <c r="CU186" s="92"/>
      <c r="CV186" s="92"/>
      <c r="CW186" s="92"/>
      <c r="CX186" s="92"/>
      <c r="CY186" s="92"/>
      <c r="CZ186" s="92"/>
      <c r="DA186" s="92"/>
      <c r="DB186" s="92"/>
      <c r="DC186" s="92"/>
      <c r="DD186" s="92"/>
      <c r="DE186" s="92"/>
      <c r="DF186" s="92"/>
      <c r="DG186" s="92"/>
      <c r="DH186" s="92"/>
      <c r="DI186" s="92"/>
      <c r="DJ186" s="92"/>
      <c r="DK186" s="92"/>
      <c r="DL186" s="92"/>
      <c r="DM186" s="92"/>
      <c r="DN186" s="92"/>
      <c r="DO186" s="92"/>
      <c r="DP186" s="92"/>
      <c r="DQ186" s="92"/>
      <c r="DR186" s="92"/>
      <c r="DS186" s="92"/>
      <c r="DT186" s="92"/>
      <c r="DU186" s="92"/>
      <c r="DV186" s="92"/>
      <c r="DW186" s="92"/>
      <c r="DX186" s="92"/>
      <c r="DY186" s="92"/>
      <c r="DZ186" s="92"/>
      <c r="EA186" s="92"/>
      <c r="EB186" s="92"/>
      <c r="EC186" s="92"/>
      <c r="ED186" s="92"/>
      <c r="EE186" s="92"/>
      <c r="EF186" s="92"/>
      <c r="EG186" s="92"/>
      <c r="EH186" s="92"/>
      <c r="EI186" s="92"/>
      <c r="EJ186" s="92"/>
      <c r="EK186" s="92"/>
      <c r="EL186" s="92"/>
      <c r="EM186" s="92"/>
      <c r="EN186" s="92"/>
      <c r="EO186" s="92"/>
      <c r="EP186" s="92"/>
      <c r="EQ186" s="92"/>
      <c r="ER186" s="92"/>
      <c r="ES186" s="92"/>
      <c r="ET186" s="92"/>
      <c r="EU186" s="92"/>
      <c r="EV186" s="92"/>
      <c r="EW186" s="92"/>
      <c r="EX186" s="92"/>
      <c r="EY186" s="92"/>
      <c r="EZ186" s="92"/>
      <c r="FA186" s="92"/>
      <c r="FB186" s="92"/>
      <c r="FC186" s="92"/>
      <c r="FD186" s="92"/>
      <c r="FE186" s="92"/>
      <c r="FF186" s="92"/>
      <c r="FG186" s="92"/>
      <c r="FH186" s="92"/>
    </row>
    <row r="187">
      <c r="A187" s="30" t="s">
        <v>35</v>
      </c>
      <c r="B187" s="30" t="s">
        <v>42</v>
      </c>
      <c r="C187" s="31" t="str">
        <f>HYPERLINK("https://docs.google.com/spreadsheets/d/1uTNEXvHwOy_j7sEiz0Q0JPBLth9gv-d8/edit?usp=share_link&amp;ouid=106501987799020758802&amp;rtpof=true&amp;sd=true", "Raw Delivered")</f>
        <v>Raw Delivered</v>
      </c>
      <c r="D187" s="96">
        <f t="shared" si="1"/>
        <v>6245.832404</v>
      </c>
      <c r="E187" s="92">
        <f>(SUBSTITUTE(Audio!E187, "RE-", "", 1))*1</f>
        <v>0</v>
      </c>
      <c r="F187" s="92">
        <f>(SUBSTITUTE(Audio!F187, "RE-", "", 1))*1</f>
        <v>1092.916968</v>
      </c>
      <c r="G187" s="92">
        <f>(SUBSTITUTE(Audio!G187, "RE-", "", 1))*1</f>
        <v>0</v>
      </c>
      <c r="H187" s="92">
        <f>(SUBSTITUTE(Audio!H187, "RE-", "", 1))*1</f>
        <v>144.375075</v>
      </c>
      <c r="I187" s="92">
        <f>(SUBSTITUTE(Audio!I187, "RE-", "", 1))*1</f>
        <v>0</v>
      </c>
      <c r="J187" s="92">
        <f>(SUBSTITUTE(Audio!J187, "RE-", "", 1))*1</f>
        <v>1565.750377</v>
      </c>
      <c r="K187" s="92">
        <f>(SUBSTITUTE(Audio!K187, "RE-", "", 1))*1</f>
        <v>0</v>
      </c>
      <c r="L187" s="92">
        <f>(SUBSTITUTE(Audio!L187, "RE-", "", 1))*1</f>
        <v>1004.526483</v>
      </c>
      <c r="M187" s="92">
        <f>(SUBSTITUTE(Audio!M187, "RE-", "", 1))*1</f>
        <v>0</v>
      </c>
      <c r="N187" s="92">
        <f>(SUBSTITUTE(Audio!N187, "RE-", "", 1))*1</f>
        <v>635.1899521</v>
      </c>
      <c r="O187" s="92">
        <f>(SUBSTITUTE(Audio!O187, "RE-", "", 1))*1</f>
        <v>0</v>
      </c>
      <c r="P187" s="92">
        <f>(SUBSTITUTE(Audio!P187, "RE-", "", 1))*1</f>
        <v>722.202</v>
      </c>
      <c r="Q187" s="92">
        <f>(SUBSTITUTE(Audio!Q187, "RE-", "", 1))*1</f>
        <v>0</v>
      </c>
      <c r="R187" s="92">
        <f>(SUBSTITUTE(Audio!R187, "RE-", "", 1))*1</f>
        <v>44.25605104</v>
      </c>
      <c r="S187" s="92">
        <f>(SUBSTITUTE(Audio!S187, "RE-", "", 1))*1</f>
        <v>0</v>
      </c>
      <c r="T187" s="92">
        <f>(SUBSTITUTE(Audio!T187, "RE-", "", 1))*1</f>
        <v>1036.615498</v>
      </c>
      <c r="U187" s="92">
        <f>(SUBSTITUTE(Audio!U187, "RE-", "", 1))*1</f>
        <v>0</v>
      </c>
      <c r="V187" s="92">
        <f>(SUBSTITUTE(Audio!V187, "RE-", "", 1))*1</f>
        <v>0</v>
      </c>
      <c r="W187" s="92">
        <f>(SUBSTITUTE(Audio!W187, "RE-", "", 1))*1</f>
        <v>0</v>
      </c>
      <c r="X187" s="92">
        <f>(SUBSTITUTE(Audio!X187, "RE-", "", 1))*1</f>
        <v>0</v>
      </c>
      <c r="Y187" s="92">
        <f>(SUBSTITUTE(Audio!Y187, "RE-", "", 1))*1</f>
        <v>0</v>
      </c>
      <c r="Z187" s="92">
        <f>(SUBSTITUTE(Audio!Z187, "RE-", "", 1))*1</f>
        <v>0</v>
      </c>
      <c r="AA187" s="92"/>
      <c r="AB187" s="92"/>
      <c r="AC187" s="92"/>
      <c r="AD187" s="92"/>
      <c r="AE187" s="92"/>
      <c r="AF187" s="92"/>
      <c r="AG187" s="92"/>
      <c r="AH187" s="92"/>
      <c r="AI187" s="92"/>
      <c r="AJ187" s="92"/>
      <c r="AK187" s="92"/>
      <c r="AL187" s="92"/>
      <c r="AM187" s="92"/>
      <c r="AN187" s="92"/>
      <c r="AO187" s="92"/>
      <c r="AP187" s="92"/>
      <c r="AQ187" s="92"/>
      <c r="AR187" s="92"/>
      <c r="AS187" s="92"/>
      <c r="AT187" s="92"/>
      <c r="AU187" s="92"/>
      <c r="AV187" s="92"/>
      <c r="AW187" s="92"/>
      <c r="AX187" s="92"/>
      <c r="AY187" s="92"/>
      <c r="AZ187" s="92"/>
      <c r="BA187" s="92"/>
      <c r="BB187" s="92"/>
      <c r="BC187" s="92"/>
      <c r="BD187" s="92"/>
      <c r="BE187" s="92"/>
      <c r="BF187" s="92"/>
      <c r="BG187" s="92"/>
      <c r="BH187" s="92"/>
      <c r="BI187" s="92"/>
      <c r="BJ187" s="92"/>
      <c r="BK187" s="92"/>
      <c r="BL187" s="92"/>
      <c r="BM187" s="92"/>
      <c r="BN187" s="92"/>
      <c r="BO187" s="92"/>
      <c r="BP187" s="92"/>
      <c r="BQ187" s="92"/>
      <c r="BR187" s="92"/>
      <c r="BS187" s="92"/>
      <c r="BT187" s="92"/>
      <c r="BU187" s="92"/>
      <c r="BV187" s="92"/>
      <c r="BW187" s="92"/>
      <c r="BX187" s="92"/>
      <c r="BY187" s="92"/>
      <c r="BZ187" s="92"/>
      <c r="CA187" s="92"/>
      <c r="CB187" s="92"/>
      <c r="CC187" s="92"/>
      <c r="CD187" s="92"/>
      <c r="CE187" s="92"/>
      <c r="CF187" s="92"/>
      <c r="CG187" s="92"/>
      <c r="CH187" s="92"/>
      <c r="CI187" s="92"/>
      <c r="CJ187" s="92"/>
      <c r="CK187" s="92"/>
      <c r="CL187" s="92"/>
      <c r="CM187" s="92"/>
      <c r="CN187" s="92"/>
      <c r="CO187" s="92"/>
      <c r="CP187" s="92"/>
      <c r="CQ187" s="92"/>
      <c r="CR187" s="92"/>
      <c r="CS187" s="92"/>
      <c r="CT187" s="92"/>
      <c r="CU187" s="92"/>
      <c r="CV187" s="92"/>
      <c r="CW187" s="92"/>
      <c r="CX187" s="92"/>
      <c r="CY187" s="92"/>
      <c r="CZ187" s="92"/>
      <c r="DA187" s="92"/>
      <c r="DB187" s="92"/>
      <c r="DC187" s="92"/>
      <c r="DD187" s="92"/>
      <c r="DE187" s="92"/>
      <c r="DF187" s="92"/>
      <c r="DG187" s="92"/>
      <c r="DH187" s="92"/>
      <c r="DI187" s="92"/>
      <c r="DJ187" s="92"/>
      <c r="DK187" s="92"/>
      <c r="DL187" s="92"/>
      <c r="DM187" s="92"/>
      <c r="DN187" s="92"/>
      <c r="DO187" s="92"/>
      <c r="DP187" s="92"/>
      <c r="DQ187" s="92"/>
      <c r="DR187" s="92"/>
      <c r="DS187" s="92"/>
      <c r="DT187" s="92"/>
      <c r="DU187" s="92"/>
      <c r="DV187" s="92"/>
      <c r="DW187" s="92"/>
      <c r="DX187" s="92"/>
      <c r="DY187" s="92"/>
      <c r="DZ187" s="92"/>
      <c r="EA187" s="92"/>
      <c r="EB187" s="92"/>
      <c r="EC187" s="92"/>
      <c r="ED187" s="92"/>
      <c r="EE187" s="92"/>
      <c r="EF187" s="92"/>
      <c r="EG187" s="92"/>
      <c r="EH187" s="92"/>
      <c r="EI187" s="92"/>
      <c r="EJ187" s="92"/>
      <c r="EK187" s="92"/>
      <c r="EL187" s="92"/>
      <c r="EM187" s="92"/>
      <c r="EN187" s="92"/>
      <c r="EO187" s="92"/>
      <c r="EP187" s="92"/>
      <c r="EQ187" s="92"/>
      <c r="ER187" s="92"/>
      <c r="ES187" s="92"/>
      <c r="ET187" s="92"/>
      <c r="EU187" s="92"/>
      <c r="EV187" s="92"/>
      <c r="EW187" s="92"/>
      <c r="EX187" s="92"/>
      <c r="EY187" s="92"/>
      <c r="EZ187" s="92"/>
      <c r="FA187" s="92"/>
      <c r="FB187" s="92"/>
      <c r="FC187" s="92"/>
      <c r="FD187" s="92"/>
      <c r="FE187" s="92"/>
      <c r="FF187" s="92"/>
      <c r="FG187" s="92"/>
      <c r="FH187" s="92"/>
    </row>
    <row r="188">
      <c r="A188" s="32" t="s">
        <v>35</v>
      </c>
      <c r="B188" s="32" t="s">
        <v>42</v>
      </c>
      <c r="C188" s="32" t="s">
        <v>9</v>
      </c>
      <c r="D188" s="97">
        <f t="shared" si="1"/>
        <v>6245.832404</v>
      </c>
      <c r="E188" s="92">
        <f>(SUBSTITUTE(Audio!E188, "RE-", "", 1))*1</f>
        <v>0</v>
      </c>
      <c r="F188" s="92">
        <f>(SUBSTITUTE(Audio!F188, "RE-", "", 1))*1</f>
        <v>1092.916968</v>
      </c>
      <c r="G188" s="92">
        <f>(SUBSTITUTE(Audio!G188, "RE-", "", 1))*1</f>
        <v>0</v>
      </c>
      <c r="H188" s="92">
        <f>(SUBSTITUTE(Audio!H188, "RE-", "", 1))*1</f>
        <v>144.375075</v>
      </c>
      <c r="I188" s="92">
        <f>(SUBSTITUTE(Audio!I188, "RE-", "", 1))*1</f>
        <v>0</v>
      </c>
      <c r="J188" s="92">
        <f>(SUBSTITUTE(Audio!J188, "RE-", "", 1))*1</f>
        <v>1565.750377</v>
      </c>
      <c r="K188" s="92">
        <f>(SUBSTITUTE(Audio!K188, "RE-", "", 1))*1</f>
        <v>0</v>
      </c>
      <c r="L188" s="92">
        <f>(SUBSTITUTE(Audio!L188, "RE-", "", 1))*1</f>
        <v>1004.526483</v>
      </c>
      <c r="M188" s="92">
        <f>(SUBSTITUTE(Audio!M188, "RE-", "", 1))*1</f>
        <v>0</v>
      </c>
      <c r="N188" s="92">
        <f>(SUBSTITUTE(Audio!N188, "RE-", "", 1))*1</f>
        <v>635.1899521</v>
      </c>
      <c r="O188" s="92">
        <f>(SUBSTITUTE(Audio!O188, "RE-", "", 1))*1</f>
        <v>0</v>
      </c>
      <c r="P188" s="92">
        <f>(SUBSTITUTE(Audio!P188, "RE-", "", 1))*1</f>
        <v>722.202</v>
      </c>
      <c r="Q188" s="92">
        <f>(SUBSTITUTE(Audio!Q188, "RE-", "", 1))*1</f>
        <v>0</v>
      </c>
      <c r="R188" s="92">
        <f>(SUBSTITUTE(Audio!R188, "RE-", "", 1))*1</f>
        <v>44.25605104</v>
      </c>
      <c r="S188" s="92">
        <f>(SUBSTITUTE(Audio!S188, "RE-", "", 1))*1</f>
        <v>0</v>
      </c>
      <c r="T188" s="92">
        <f>(SUBSTITUTE(Audio!T188, "RE-", "", 1))*1</f>
        <v>1036.615498</v>
      </c>
      <c r="U188" s="92">
        <f>(SUBSTITUTE(Audio!U188, "RE-", "", 1))*1</f>
        <v>0</v>
      </c>
      <c r="V188" s="92">
        <f>(SUBSTITUTE(Audio!V188, "RE-", "", 1))*1</f>
        <v>0</v>
      </c>
      <c r="W188" s="92">
        <f>(SUBSTITUTE(Audio!W188, "RE-", "", 1))*1</f>
        <v>0</v>
      </c>
      <c r="X188" s="92">
        <f>(SUBSTITUTE(Audio!X188, "RE-", "", 1))*1</f>
        <v>0</v>
      </c>
      <c r="Y188" s="92">
        <f>(SUBSTITUTE(Audio!Y188, "RE-", "", 1))*1</f>
        <v>0</v>
      </c>
      <c r="Z188" s="92">
        <f>(SUBSTITUTE(Audio!Z188, "RE-", "", 1))*1</f>
        <v>0</v>
      </c>
      <c r="AA188" s="92"/>
      <c r="AB188" s="92"/>
      <c r="AC188" s="92"/>
      <c r="AD188" s="92"/>
      <c r="AE188" s="92"/>
      <c r="AF188" s="92"/>
      <c r="AG188" s="92"/>
      <c r="AH188" s="92"/>
      <c r="AI188" s="92"/>
      <c r="AJ188" s="92"/>
      <c r="AK188" s="92"/>
      <c r="AL188" s="92"/>
      <c r="AM188" s="92"/>
      <c r="AN188" s="92"/>
      <c r="AO188" s="92"/>
      <c r="AP188" s="92"/>
      <c r="AQ188" s="92"/>
      <c r="AR188" s="92"/>
      <c r="AS188" s="92"/>
      <c r="AT188" s="92"/>
      <c r="AU188" s="92"/>
      <c r="AV188" s="92"/>
      <c r="AW188" s="92"/>
      <c r="AX188" s="92"/>
      <c r="AY188" s="92"/>
      <c r="AZ188" s="92"/>
      <c r="BA188" s="92"/>
      <c r="BB188" s="92"/>
      <c r="BC188" s="92"/>
      <c r="BD188" s="92"/>
      <c r="BE188" s="92"/>
      <c r="BF188" s="92"/>
      <c r="BG188" s="92"/>
      <c r="BH188" s="92"/>
      <c r="BI188" s="92"/>
      <c r="BJ188" s="92"/>
      <c r="BK188" s="92"/>
      <c r="BL188" s="92"/>
      <c r="BM188" s="92"/>
      <c r="BN188" s="92"/>
      <c r="BO188" s="92"/>
      <c r="BP188" s="92"/>
      <c r="BQ188" s="92"/>
      <c r="BR188" s="92"/>
      <c r="BS188" s="92"/>
      <c r="BT188" s="92"/>
      <c r="BU188" s="92"/>
      <c r="BV188" s="92"/>
      <c r="BW188" s="92"/>
      <c r="BX188" s="92"/>
      <c r="BY188" s="92"/>
      <c r="BZ188" s="92"/>
      <c r="CA188" s="92"/>
      <c r="CB188" s="92"/>
      <c r="CC188" s="92"/>
      <c r="CD188" s="92"/>
      <c r="CE188" s="92"/>
      <c r="CF188" s="92"/>
      <c r="CG188" s="92"/>
      <c r="CH188" s="92"/>
      <c r="CI188" s="92"/>
      <c r="CJ188" s="92"/>
      <c r="CK188" s="92"/>
      <c r="CL188" s="92"/>
      <c r="CM188" s="92"/>
      <c r="CN188" s="92"/>
      <c r="CO188" s="92"/>
      <c r="CP188" s="92"/>
      <c r="CQ188" s="92"/>
      <c r="CR188" s="92"/>
      <c r="CS188" s="92"/>
      <c r="CT188" s="92"/>
      <c r="CU188" s="92"/>
      <c r="CV188" s="92"/>
      <c r="CW188" s="92"/>
      <c r="CX188" s="92"/>
      <c r="CY188" s="92"/>
      <c r="CZ188" s="92"/>
      <c r="DA188" s="92"/>
      <c r="DB188" s="92"/>
      <c r="DC188" s="92"/>
      <c r="DD188" s="92"/>
      <c r="DE188" s="92"/>
      <c r="DF188" s="92"/>
      <c r="DG188" s="92"/>
      <c r="DH188" s="92"/>
      <c r="DI188" s="92"/>
      <c r="DJ188" s="92"/>
      <c r="DK188" s="92"/>
      <c r="DL188" s="92"/>
      <c r="DM188" s="92"/>
      <c r="DN188" s="92"/>
      <c r="DO188" s="92"/>
      <c r="DP188" s="92"/>
      <c r="DQ188" s="92"/>
      <c r="DR188" s="92"/>
      <c r="DS188" s="92"/>
      <c r="DT188" s="92"/>
      <c r="DU188" s="92"/>
      <c r="DV188" s="92"/>
      <c r="DW188" s="92"/>
      <c r="DX188" s="92"/>
      <c r="DY188" s="92"/>
      <c r="DZ188" s="92"/>
      <c r="EA188" s="92"/>
      <c r="EB188" s="92"/>
      <c r="EC188" s="92"/>
      <c r="ED188" s="92"/>
      <c r="EE188" s="92"/>
      <c r="EF188" s="92"/>
      <c r="EG188" s="92"/>
      <c r="EH188" s="92"/>
      <c r="EI188" s="92"/>
      <c r="EJ188" s="92"/>
      <c r="EK188" s="92"/>
      <c r="EL188" s="92"/>
      <c r="EM188" s="92"/>
      <c r="EN188" s="92"/>
      <c r="EO188" s="92"/>
      <c r="EP188" s="92"/>
      <c r="EQ188" s="92"/>
      <c r="ER188" s="92"/>
      <c r="ES188" s="92"/>
      <c r="ET188" s="92"/>
      <c r="EU188" s="92"/>
      <c r="EV188" s="92"/>
      <c r="EW188" s="92"/>
      <c r="EX188" s="92"/>
      <c r="EY188" s="92"/>
      <c r="EZ188" s="92"/>
      <c r="FA188" s="92"/>
      <c r="FB188" s="92"/>
      <c r="FC188" s="92"/>
      <c r="FD188" s="92"/>
      <c r="FE188" s="92"/>
      <c r="FF188" s="92"/>
      <c r="FG188" s="92"/>
      <c r="FH188" s="92"/>
    </row>
    <row r="189">
      <c r="A189" s="32" t="s">
        <v>35</v>
      </c>
      <c r="B189" s="32" t="s">
        <v>42</v>
      </c>
      <c r="C189" s="32" t="s">
        <v>10</v>
      </c>
      <c r="D189" s="97">
        <f t="shared" si="1"/>
        <v>422.3697271</v>
      </c>
      <c r="E189" s="92">
        <f>(SUBSTITUTE(Audio!E189, "RE-", "", 1))*1</f>
        <v>0</v>
      </c>
      <c r="F189" s="92">
        <f>(SUBSTITUTE(Audio!F189, "RE-", "", 1))*1</f>
        <v>0</v>
      </c>
      <c r="G189" s="92">
        <f>(SUBSTITUTE(Audio!G189, "RE-", "", 1))*1</f>
        <v>109.5120958</v>
      </c>
      <c r="H189" s="92">
        <f>(SUBSTITUTE(Audio!H189, "RE-", "", 1))*1</f>
        <v>0</v>
      </c>
      <c r="I189" s="92">
        <f>(SUBSTITUTE(Audio!I189, "RE-", "", 1))*1</f>
        <v>12.35957292</v>
      </c>
      <c r="J189" s="92">
        <f>(SUBSTITUTE(Audio!J189, "RE-", "", 1))*1</f>
        <v>0</v>
      </c>
      <c r="K189" s="92">
        <f>(SUBSTITUTE(Audio!K189, "RE-", "", 1))*1</f>
        <v>76.53350833</v>
      </c>
      <c r="L189" s="92">
        <f>(SUBSTITUTE(Audio!L189, "RE-", "", 1))*1</f>
        <v>0</v>
      </c>
      <c r="M189" s="92">
        <f>(SUBSTITUTE(Audio!M189, "RE-", "", 1))*1</f>
        <v>48.62545625</v>
      </c>
      <c r="N189" s="92">
        <f>(SUBSTITUTE(Audio!N189, "RE-", "", 1))*1</f>
        <v>0</v>
      </c>
      <c r="O189" s="92">
        <f>(SUBSTITUTE(Audio!O189, "RE-", "", 1))*1</f>
        <v>41.68289063</v>
      </c>
      <c r="P189" s="92">
        <f>(SUBSTITUTE(Audio!P189, "RE-", "", 1))*1</f>
        <v>0</v>
      </c>
      <c r="Q189" s="92">
        <f>(SUBSTITUTE(Audio!Q189, "RE-", "", 1))*1</f>
        <v>44.53463229</v>
      </c>
      <c r="R189" s="92">
        <f>(SUBSTITUTE(Audio!R189, "RE-", "", 1))*1</f>
        <v>0</v>
      </c>
      <c r="S189" s="92">
        <f>(SUBSTITUTE(Audio!S189, "RE-", "", 1))*1</f>
        <v>0.3519770833</v>
      </c>
      <c r="T189" s="92">
        <f>(SUBSTITUTE(Audio!T189, "RE-", "", 1))*1</f>
        <v>0</v>
      </c>
      <c r="U189" s="92">
        <f>(SUBSTITUTE(Audio!U189, "RE-", "", 1))*1</f>
        <v>75.68413333</v>
      </c>
      <c r="V189" s="92">
        <f>(SUBSTITUTE(Audio!V189, "RE-", "", 1))*1</f>
        <v>13.08546042</v>
      </c>
      <c r="W189" s="92">
        <f>(SUBSTITUTE(Audio!W189, "RE-", "", 1))*1</f>
        <v>0</v>
      </c>
      <c r="X189" s="92">
        <f>(SUBSTITUTE(Audio!X189, "RE-", "", 1))*1</f>
        <v>0</v>
      </c>
      <c r="Y189" s="92">
        <f>(SUBSTITUTE(Audio!Y189, "RE-", "", 1))*1</f>
        <v>0</v>
      </c>
      <c r="Z189" s="92">
        <f>(SUBSTITUTE(Audio!Z189, "RE-", "", 1))*1</f>
        <v>0</v>
      </c>
      <c r="AA189" s="92"/>
      <c r="AB189" s="92"/>
      <c r="AC189" s="92"/>
      <c r="AD189" s="92"/>
      <c r="AE189" s="92"/>
      <c r="AF189" s="92"/>
      <c r="AG189" s="92"/>
      <c r="AH189" s="92"/>
      <c r="AI189" s="92"/>
      <c r="AJ189" s="92"/>
      <c r="AK189" s="92"/>
      <c r="AL189" s="92"/>
      <c r="AM189" s="92"/>
      <c r="AN189" s="92"/>
      <c r="AO189" s="92"/>
      <c r="AP189" s="92"/>
      <c r="AQ189" s="92"/>
      <c r="AR189" s="92"/>
      <c r="AS189" s="92"/>
      <c r="AT189" s="92"/>
      <c r="AU189" s="92"/>
      <c r="AV189" s="92"/>
      <c r="AW189" s="92"/>
      <c r="AX189" s="92"/>
      <c r="AY189" s="92"/>
      <c r="AZ189" s="92"/>
      <c r="BA189" s="92"/>
      <c r="BB189" s="92"/>
      <c r="BC189" s="92"/>
      <c r="BD189" s="92"/>
      <c r="BE189" s="92"/>
      <c r="BF189" s="92"/>
      <c r="BG189" s="92"/>
      <c r="BH189" s="92"/>
      <c r="BI189" s="92"/>
      <c r="BJ189" s="92"/>
      <c r="BK189" s="92"/>
      <c r="BL189" s="92"/>
      <c r="BM189" s="92"/>
      <c r="BN189" s="92"/>
      <c r="BO189" s="92"/>
      <c r="BP189" s="92"/>
      <c r="BQ189" s="92"/>
      <c r="BR189" s="92"/>
      <c r="BS189" s="92"/>
      <c r="BT189" s="92"/>
      <c r="BU189" s="92"/>
      <c r="BV189" s="92"/>
      <c r="BW189" s="92"/>
      <c r="BX189" s="92"/>
      <c r="BY189" s="92"/>
      <c r="BZ189" s="92"/>
      <c r="CA189" s="92"/>
      <c r="CB189" s="92"/>
      <c r="CC189" s="92"/>
      <c r="CD189" s="92"/>
      <c r="CE189" s="92"/>
      <c r="CF189" s="92"/>
      <c r="CG189" s="92"/>
      <c r="CH189" s="92"/>
      <c r="CI189" s="92"/>
      <c r="CJ189" s="92"/>
      <c r="CK189" s="92"/>
      <c r="CL189" s="92"/>
      <c r="CM189" s="92"/>
      <c r="CN189" s="92"/>
      <c r="CO189" s="92"/>
      <c r="CP189" s="92"/>
      <c r="CQ189" s="92"/>
      <c r="CR189" s="92"/>
      <c r="CS189" s="92"/>
      <c r="CT189" s="92"/>
      <c r="CU189" s="92"/>
      <c r="CV189" s="92"/>
      <c r="CW189" s="92"/>
      <c r="CX189" s="92"/>
      <c r="CY189" s="92"/>
      <c r="CZ189" s="92"/>
      <c r="DA189" s="92"/>
      <c r="DB189" s="92"/>
      <c r="DC189" s="92"/>
      <c r="DD189" s="92"/>
      <c r="DE189" s="92"/>
      <c r="DF189" s="92"/>
      <c r="DG189" s="92"/>
      <c r="DH189" s="92"/>
      <c r="DI189" s="92"/>
      <c r="DJ189" s="92"/>
      <c r="DK189" s="92"/>
      <c r="DL189" s="92"/>
      <c r="DM189" s="92"/>
      <c r="DN189" s="92"/>
      <c r="DO189" s="92"/>
      <c r="DP189" s="92"/>
      <c r="DQ189" s="92"/>
      <c r="DR189" s="92"/>
      <c r="DS189" s="92"/>
      <c r="DT189" s="92"/>
      <c r="DU189" s="92"/>
      <c r="DV189" s="92"/>
      <c r="DW189" s="92"/>
      <c r="DX189" s="92"/>
      <c r="DY189" s="92"/>
      <c r="DZ189" s="92"/>
      <c r="EA189" s="92"/>
      <c r="EB189" s="92"/>
      <c r="EC189" s="92"/>
      <c r="ED189" s="92"/>
      <c r="EE189" s="92"/>
      <c r="EF189" s="92"/>
      <c r="EG189" s="92"/>
      <c r="EH189" s="92"/>
      <c r="EI189" s="92"/>
      <c r="EJ189" s="92"/>
      <c r="EK189" s="92"/>
      <c r="EL189" s="92"/>
      <c r="EM189" s="92"/>
      <c r="EN189" s="92"/>
      <c r="EO189" s="92"/>
      <c r="EP189" s="92"/>
      <c r="EQ189" s="92"/>
      <c r="ER189" s="92"/>
      <c r="ES189" s="92"/>
      <c r="ET189" s="92"/>
      <c r="EU189" s="92"/>
      <c r="EV189" s="92"/>
      <c r="EW189" s="92"/>
      <c r="EX189" s="92"/>
      <c r="EY189" s="92"/>
      <c r="EZ189" s="92"/>
      <c r="FA189" s="92"/>
      <c r="FB189" s="92"/>
      <c r="FC189" s="92"/>
      <c r="FD189" s="92"/>
      <c r="FE189" s="92"/>
      <c r="FF189" s="92"/>
      <c r="FG189" s="92"/>
      <c r="FH189" s="92"/>
    </row>
    <row r="190">
      <c r="A190" s="32" t="s">
        <v>35</v>
      </c>
      <c r="B190" s="32" t="s">
        <v>42</v>
      </c>
      <c r="C190" s="32" t="s">
        <v>11</v>
      </c>
      <c r="D190" s="97">
        <f t="shared" si="1"/>
        <v>422.3697271</v>
      </c>
      <c r="E190" s="92">
        <f>(SUBSTITUTE(Audio!E190, "RE-", "", 1))*1</f>
        <v>0</v>
      </c>
      <c r="F190" s="92">
        <f>(SUBSTITUTE(Audio!F190, "RE-", "", 1))*1</f>
        <v>0</v>
      </c>
      <c r="G190" s="92">
        <f>(SUBSTITUTE(Audio!G190, "RE-", "", 1))*1</f>
        <v>109.5120958</v>
      </c>
      <c r="H190" s="92">
        <f>(SUBSTITUTE(Audio!H190, "RE-", "", 1))*1</f>
        <v>0</v>
      </c>
      <c r="I190" s="92">
        <f>(SUBSTITUTE(Audio!I190, "RE-", "", 1))*1</f>
        <v>12.35957292</v>
      </c>
      <c r="J190" s="92">
        <f>(SUBSTITUTE(Audio!J190, "RE-", "", 1))*1</f>
        <v>0</v>
      </c>
      <c r="K190" s="92">
        <f>(SUBSTITUTE(Audio!K190, "RE-", "", 1))*1</f>
        <v>76.53350833</v>
      </c>
      <c r="L190" s="92">
        <f>(SUBSTITUTE(Audio!L190, "RE-", "", 1))*1</f>
        <v>0</v>
      </c>
      <c r="M190" s="92">
        <f>(SUBSTITUTE(Audio!M190, "RE-", "", 1))*1</f>
        <v>48.62545625</v>
      </c>
      <c r="N190" s="92">
        <f>(SUBSTITUTE(Audio!N190, "RE-", "", 1))*1</f>
        <v>0</v>
      </c>
      <c r="O190" s="92">
        <f>(SUBSTITUTE(Audio!O190, "RE-", "", 1))*1</f>
        <v>41.68289063</v>
      </c>
      <c r="P190" s="92">
        <f>(SUBSTITUTE(Audio!P190, "RE-", "", 1))*1</f>
        <v>0</v>
      </c>
      <c r="Q190" s="92">
        <f>(SUBSTITUTE(Audio!Q190, "RE-", "", 1))*1</f>
        <v>44.53463229</v>
      </c>
      <c r="R190" s="92">
        <f>(SUBSTITUTE(Audio!R190, "RE-", "", 1))*1</f>
        <v>0</v>
      </c>
      <c r="S190" s="92">
        <f>(SUBSTITUTE(Audio!S190, "RE-", "", 1))*1</f>
        <v>0.3519770833</v>
      </c>
      <c r="T190" s="92">
        <f>(SUBSTITUTE(Audio!T190, "RE-", "", 1))*1</f>
        <v>0</v>
      </c>
      <c r="U190" s="92">
        <f>(SUBSTITUTE(Audio!U190, "RE-", "", 1))*1</f>
        <v>75.68413333</v>
      </c>
      <c r="V190" s="92">
        <f>(SUBSTITUTE(Audio!V190, "RE-", "", 1))*1</f>
        <v>13.08546042</v>
      </c>
      <c r="W190" s="92">
        <f>(SUBSTITUTE(Audio!W190, "RE-", "", 1))*1</f>
        <v>0</v>
      </c>
      <c r="X190" s="92">
        <f>(SUBSTITUTE(Audio!X190, "RE-", "", 1))*1</f>
        <v>0</v>
      </c>
      <c r="Y190" s="92">
        <f>(SUBSTITUTE(Audio!Y190, "RE-", "", 1))*1</f>
        <v>0</v>
      </c>
      <c r="Z190" s="92">
        <f>(SUBSTITUTE(Audio!Z190, "RE-", "", 1))*1</f>
        <v>0</v>
      </c>
      <c r="AA190" s="92"/>
      <c r="AB190" s="92"/>
      <c r="AC190" s="92"/>
      <c r="AD190" s="92"/>
      <c r="AE190" s="92"/>
      <c r="AF190" s="92"/>
      <c r="AG190" s="92"/>
      <c r="AH190" s="92"/>
      <c r="AI190" s="92"/>
      <c r="AJ190" s="92"/>
      <c r="AK190" s="92"/>
      <c r="AL190" s="92"/>
      <c r="AM190" s="92"/>
      <c r="AN190" s="92"/>
      <c r="AO190" s="92"/>
      <c r="AP190" s="92"/>
      <c r="AQ190" s="92"/>
      <c r="AR190" s="92"/>
      <c r="AS190" s="92"/>
      <c r="AT190" s="92"/>
      <c r="AU190" s="92"/>
      <c r="AV190" s="92"/>
      <c r="AW190" s="92"/>
      <c r="AX190" s="92"/>
      <c r="AY190" s="92"/>
      <c r="AZ190" s="92"/>
      <c r="BA190" s="92"/>
      <c r="BB190" s="92"/>
      <c r="BC190" s="92"/>
      <c r="BD190" s="92"/>
      <c r="BE190" s="92"/>
      <c r="BF190" s="92"/>
      <c r="BG190" s="92"/>
      <c r="BH190" s="92"/>
      <c r="BI190" s="92"/>
      <c r="BJ190" s="92"/>
      <c r="BK190" s="92"/>
      <c r="BL190" s="92"/>
      <c r="BM190" s="92"/>
      <c r="BN190" s="92"/>
      <c r="BO190" s="92"/>
      <c r="BP190" s="92"/>
      <c r="BQ190" s="92"/>
      <c r="BR190" s="92"/>
      <c r="BS190" s="92"/>
      <c r="BT190" s="92"/>
      <c r="BU190" s="92"/>
      <c r="BV190" s="92"/>
      <c r="BW190" s="92"/>
      <c r="BX190" s="92"/>
      <c r="BY190" s="92"/>
      <c r="BZ190" s="92"/>
      <c r="CA190" s="92"/>
      <c r="CB190" s="92"/>
      <c r="CC190" s="92"/>
      <c r="CD190" s="92"/>
      <c r="CE190" s="92"/>
      <c r="CF190" s="92"/>
      <c r="CG190" s="92"/>
      <c r="CH190" s="92"/>
      <c r="CI190" s="92"/>
      <c r="CJ190" s="92"/>
      <c r="CK190" s="92"/>
      <c r="CL190" s="92"/>
      <c r="CM190" s="92"/>
      <c r="CN190" s="92"/>
      <c r="CO190" s="92"/>
      <c r="CP190" s="92"/>
      <c r="CQ190" s="92"/>
      <c r="CR190" s="92"/>
      <c r="CS190" s="92"/>
      <c r="CT190" s="92"/>
      <c r="CU190" s="92"/>
      <c r="CV190" s="92"/>
      <c r="CW190" s="92"/>
      <c r="CX190" s="92"/>
      <c r="CY190" s="92"/>
      <c r="CZ190" s="92"/>
      <c r="DA190" s="92"/>
      <c r="DB190" s="92"/>
      <c r="DC190" s="92"/>
      <c r="DD190" s="92"/>
      <c r="DE190" s="92"/>
      <c r="DF190" s="92"/>
      <c r="DG190" s="92"/>
      <c r="DH190" s="92"/>
      <c r="DI190" s="92"/>
      <c r="DJ190" s="92"/>
      <c r="DK190" s="92"/>
      <c r="DL190" s="92"/>
      <c r="DM190" s="92"/>
      <c r="DN190" s="92"/>
      <c r="DO190" s="92"/>
      <c r="DP190" s="92"/>
      <c r="DQ190" s="92"/>
      <c r="DR190" s="92"/>
      <c r="DS190" s="92"/>
      <c r="DT190" s="92"/>
      <c r="DU190" s="92"/>
      <c r="DV190" s="92"/>
      <c r="DW190" s="92"/>
      <c r="DX190" s="92"/>
      <c r="DY190" s="92"/>
      <c r="DZ190" s="92"/>
      <c r="EA190" s="92"/>
      <c r="EB190" s="92"/>
      <c r="EC190" s="92"/>
      <c r="ED190" s="92"/>
      <c r="EE190" s="92"/>
      <c r="EF190" s="92"/>
      <c r="EG190" s="92"/>
      <c r="EH190" s="92"/>
      <c r="EI190" s="92"/>
      <c r="EJ190" s="92"/>
      <c r="EK190" s="92"/>
      <c r="EL190" s="92"/>
      <c r="EM190" s="92"/>
      <c r="EN190" s="92"/>
      <c r="EO190" s="92"/>
      <c r="EP190" s="92"/>
      <c r="EQ190" s="92"/>
      <c r="ER190" s="92"/>
      <c r="ES190" s="92"/>
      <c r="ET190" s="92"/>
      <c r="EU190" s="92"/>
      <c r="EV190" s="92"/>
      <c r="EW190" s="92"/>
      <c r="EX190" s="92"/>
      <c r="EY190" s="92"/>
      <c r="EZ190" s="92"/>
      <c r="FA190" s="92"/>
      <c r="FB190" s="92"/>
      <c r="FC190" s="92"/>
      <c r="FD190" s="92"/>
      <c r="FE190" s="92"/>
      <c r="FF190" s="92"/>
      <c r="FG190" s="92"/>
      <c r="FH190" s="92"/>
    </row>
    <row r="191">
      <c r="A191" s="32" t="s">
        <v>35</v>
      </c>
      <c r="B191" s="32" t="s">
        <v>42</v>
      </c>
      <c r="C191" s="32" t="s">
        <v>12</v>
      </c>
      <c r="D191" s="97">
        <f t="shared" si="1"/>
        <v>5443.33398</v>
      </c>
      <c r="E191" s="92">
        <f>(SUBSTITUTE(Audio!E191, "RE-", "", 1))*1</f>
        <v>0</v>
      </c>
      <c r="F191" s="92">
        <f>(SUBSTITUTE(Audio!F191, "RE-", "", 1))*1</f>
        <v>853.8422344</v>
      </c>
      <c r="G191" s="92">
        <f>(SUBSTITUTE(Audio!G191, "RE-", "", 1))*1</f>
        <v>6.51606875</v>
      </c>
      <c r="H191" s="92">
        <f>(SUBSTITUTE(Audio!H191, "RE-", "", 1))*1</f>
        <v>126.3020313</v>
      </c>
      <c r="I191" s="92">
        <f>(SUBSTITUTE(Audio!I191, "RE-", "", 1))*1</f>
        <v>0</v>
      </c>
      <c r="J191" s="92">
        <f>(SUBSTITUTE(Audio!J191, "RE-", "", 1))*1</f>
        <v>1342.25397</v>
      </c>
      <c r="K191" s="92">
        <f>(SUBSTITUTE(Audio!K191, "RE-", "", 1))*1</f>
        <v>2.237152083</v>
      </c>
      <c r="L191" s="92">
        <f>(SUBSTITUTE(Audio!L191, "RE-", "", 1))*1</f>
        <v>911.6922281</v>
      </c>
      <c r="M191" s="92">
        <f>(SUBSTITUTE(Audio!M191, "RE-", "", 1))*1</f>
        <v>5.476660417</v>
      </c>
      <c r="N191" s="92">
        <f>(SUBSTITUTE(Audio!N191, "RE-", "", 1))*1</f>
        <v>439.6270115</v>
      </c>
      <c r="O191" s="92">
        <f>(SUBSTITUTE(Audio!O191, "RE-", "", 1))*1</f>
        <v>2.019289583</v>
      </c>
      <c r="P191" s="92">
        <f>(SUBSTITUTE(Audio!P191, "RE-", "", 1))*1</f>
        <v>686.1425531</v>
      </c>
      <c r="Q191" s="92">
        <f>(SUBSTITUTE(Audio!Q191, "RE-", "", 1))*1</f>
        <v>16.56569271</v>
      </c>
      <c r="R191" s="92">
        <f>(SUBSTITUTE(Audio!R191, "RE-", "", 1))*1</f>
        <v>41.48574062</v>
      </c>
      <c r="S191" s="92">
        <f>(SUBSTITUTE(Audio!S191, "RE-", "", 1))*1</f>
        <v>0</v>
      </c>
      <c r="T191" s="92">
        <f>(SUBSTITUTE(Audio!T191, "RE-", "", 1))*1</f>
        <v>968.7113896</v>
      </c>
      <c r="U191" s="92">
        <f>(SUBSTITUTE(Audio!U191, "RE-", "", 1))*1</f>
        <v>35.63586667</v>
      </c>
      <c r="V191" s="92">
        <f>(SUBSTITUTE(Audio!V191, "RE-", "", 1))*1</f>
        <v>4.826091667</v>
      </c>
      <c r="W191" s="92">
        <f>(SUBSTITUTE(Audio!W191, "RE-", "", 1))*1</f>
        <v>0</v>
      </c>
      <c r="X191" s="92">
        <f>(SUBSTITUTE(Audio!X191, "RE-", "", 1))*1</f>
        <v>0</v>
      </c>
      <c r="Y191" s="92">
        <f>(SUBSTITUTE(Audio!Y191, "RE-", "", 1))*1</f>
        <v>0</v>
      </c>
      <c r="Z191" s="92">
        <f>(SUBSTITUTE(Audio!Z191, "RE-", "", 1))*1</f>
        <v>0</v>
      </c>
      <c r="AA191" s="92"/>
      <c r="AB191" s="92"/>
      <c r="AC191" s="92"/>
      <c r="AD191" s="92"/>
      <c r="AE191" s="92"/>
      <c r="AF191" s="92"/>
      <c r="AG191" s="92"/>
      <c r="AH191" s="92"/>
      <c r="AI191" s="92"/>
      <c r="AJ191" s="92"/>
      <c r="AK191" s="92"/>
      <c r="AL191" s="92"/>
      <c r="AM191" s="92"/>
      <c r="AN191" s="92"/>
      <c r="AO191" s="92"/>
      <c r="AP191" s="92"/>
      <c r="AQ191" s="92"/>
      <c r="AR191" s="92"/>
      <c r="AS191" s="92"/>
      <c r="AT191" s="92"/>
      <c r="AU191" s="92"/>
      <c r="AV191" s="92"/>
      <c r="AW191" s="92"/>
      <c r="AX191" s="92"/>
      <c r="AY191" s="92"/>
      <c r="AZ191" s="92"/>
      <c r="BA191" s="92"/>
      <c r="BB191" s="92"/>
      <c r="BC191" s="92"/>
      <c r="BD191" s="92"/>
      <c r="BE191" s="92"/>
      <c r="BF191" s="92"/>
      <c r="BG191" s="92"/>
      <c r="BH191" s="92"/>
      <c r="BI191" s="92"/>
      <c r="BJ191" s="92"/>
      <c r="BK191" s="92"/>
      <c r="BL191" s="92"/>
      <c r="BM191" s="92"/>
      <c r="BN191" s="92"/>
      <c r="BO191" s="92"/>
      <c r="BP191" s="92"/>
      <c r="BQ191" s="92"/>
      <c r="BR191" s="92"/>
      <c r="BS191" s="92"/>
      <c r="BT191" s="92"/>
      <c r="BU191" s="92"/>
      <c r="BV191" s="92"/>
      <c r="BW191" s="92"/>
      <c r="BX191" s="92"/>
      <c r="BY191" s="92"/>
      <c r="BZ191" s="92"/>
      <c r="CA191" s="92"/>
      <c r="CB191" s="92"/>
      <c r="CC191" s="92"/>
      <c r="CD191" s="92"/>
      <c r="CE191" s="92"/>
      <c r="CF191" s="92"/>
      <c r="CG191" s="92"/>
      <c r="CH191" s="92"/>
      <c r="CI191" s="92"/>
      <c r="CJ191" s="92"/>
      <c r="CK191" s="92"/>
      <c r="CL191" s="92"/>
      <c r="CM191" s="92"/>
      <c r="CN191" s="92"/>
      <c r="CO191" s="92"/>
      <c r="CP191" s="92"/>
      <c r="CQ191" s="92"/>
      <c r="CR191" s="92"/>
      <c r="CS191" s="92"/>
      <c r="CT191" s="92"/>
      <c r="CU191" s="92"/>
      <c r="CV191" s="92"/>
      <c r="CW191" s="92"/>
      <c r="CX191" s="92"/>
      <c r="CY191" s="92"/>
      <c r="CZ191" s="92"/>
      <c r="DA191" s="92"/>
      <c r="DB191" s="92"/>
      <c r="DC191" s="92"/>
      <c r="DD191" s="92"/>
      <c r="DE191" s="92"/>
      <c r="DF191" s="92"/>
      <c r="DG191" s="92"/>
      <c r="DH191" s="92"/>
      <c r="DI191" s="92"/>
      <c r="DJ191" s="92"/>
      <c r="DK191" s="92"/>
      <c r="DL191" s="92"/>
      <c r="DM191" s="92"/>
      <c r="DN191" s="92"/>
      <c r="DO191" s="92"/>
      <c r="DP191" s="92"/>
      <c r="DQ191" s="92"/>
      <c r="DR191" s="92"/>
      <c r="DS191" s="92"/>
      <c r="DT191" s="92"/>
      <c r="DU191" s="92"/>
      <c r="DV191" s="92"/>
      <c r="DW191" s="92"/>
      <c r="DX191" s="92"/>
      <c r="DY191" s="92"/>
      <c r="DZ191" s="92"/>
      <c r="EA191" s="92"/>
      <c r="EB191" s="92"/>
      <c r="EC191" s="92"/>
      <c r="ED191" s="92"/>
      <c r="EE191" s="92"/>
      <c r="EF191" s="92"/>
      <c r="EG191" s="92"/>
      <c r="EH191" s="92"/>
      <c r="EI191" s="92"/>
      <c r="EJ191" s="92"/>
      <c r="EK191" s="92"/>
      <c r="EL191" s="92"/>
      <c r="EM191" s="92"/>
      <c r="EN191" s="92"/>
      <c r="EO191" s="92"/>
      <c r="EP191" s="92"/>
      <c r="EQ191" s="92"/>
      <c r="ER191" s="92"/>
      <c r="ES191" s="92"/>
      <c r="ET191" s="92"/>
      <c r="EU191" s="92"/>
      <c r="EV191" s="92"/>
      <c r="EW191" s="92"/>
      <c r="EX191" s="92"/>
      <c r="EY191" s="92"/>
      <c r="EZ191" s="92"/>
      <c r="FA191" s="92"/>
      <c r="FB191" s="92"/>
      <c r="FC191" s="92"/>
      <c r="FD191" s="92"/>
      <c r="FE191" s="92"/>
      <c r="FF191" s="92"/>
      <c r="FG191" s="92"/>
      <c r="FH191" s="92"/>
    </row>
    <row r="192">
      <c r="A192" s="32" t="s">
        <v>35</v>
      </c>
      <c r="B192" s="32" t="s">
        <v>42</v>
      </c>
      <c r="C192" s="32" t="s">
        <v>13</v>
      </c>
      <c r="D192" s="97">
        <f t="shared" si="1"/>
        <v>5303.0008</v>
      </c>
      <c r="E192" s="92">
        <f>(SUBSTITUTE(Audio!E192, "RE-", "", 1))*1</f>
        <v>0</v>
      </c>
      <c r="F192" s="92">
        <f>(SUBSTITUTE(Audio!F192, "RE-", "", 1))*1</f>
        <v>836.666</v>
      </c>
      <c r="G192" s="92">
        <f>(SUBSTITUTE(Audio!G192, "RE-", "", 1))*1</f>
        <v>6.36205</v>
      </c>
      <c r="H192" s="92">
        <f>(SUBSTITUTE(Audio!H192, "RE-", "", 1))*1</f>
        <v>123.94</v>
      </c>
      <c r="I192" s="92">
        <f>(SUBSTITUTE(Audio!I192, "RE-", "", 1))*1</f>
        <v>0</v>
      </c>
      <c r="J192" s="92">
        <f>(SUBSTITUTE(Audio!J192, "RE-", "", 1))*1</f>
        <v>1315.95</v>
      </c>
      <c r="K192" s="92">
        <f>(SUBSTITUTE(Audio!K192, "RE-", "", 1))*1</f>
        <v>2.14253</v>
      </c>
      <c r="L192" s="92">
        <f>(SUBSTITUTE(Audio!L192, "RE-", "", 1))*1</f>
        <v>883.98</v>
      </c>
      <c r="M192" s="92">
        <f>(SUBSTITUTE(Audio!M192, "RE-", "", 1))*1</f>
        <v>5.39945</v>
      </c>
      <c r="N192" s="92">
        <f>(SUBSTITUTE(Audio!N192, "RE-", "", 1))*1</f>
        <v>426.065</v>
      </c>
      <c r="O192" s="92">
        <f>(SUBSTITUTE(Audio!O192, "RE-", "", 1))*1</f>
        <v>1.98875</v>
      </c>
      <c r="P192" s="92">
        <f>(SUBSTITUTE(Audio!P192, "RE-", "", 1))*1</f>
        <v>664.561</v>
      </c>
      <c r="Q192" s="92">
        <f>(SUBSTITUTE(Audio!Q192, "RE-", "", 1))*1</f>
        <v>15.7373</v>
      </c>
      <c r="R192" s="92">
        <f>(SUBSTITUTE(Audio!R192, "RE-", "", 1))*1</f>
        <v>39.8881</v>
      </c>
      <c r="S192" s="92">
        <f>(SUBSTITUTE(Audio!S192, "RE-", "", 1))*1</f>
        <v>0</v>
      </c>
      <c r="T192" s="92">
        <f>(SUBSTITUTE(Audio!T192, "RE-", "", 1))*1</f>
        <v>941.809</v>
      </c>
      <c r="U192" s="92">
        <f>(SUBSTITUTE(Audio!U192, "RE-", "", 1))*1</f>
        <v>33.8648</v>
      </c>
      <c r="V192" s="92">
        <f>(SUBSTITUTE(Audio!V192, "RE-", "", 1))*1</f>
        <v>4.64682</v>
      </c>
      <c r="W192" s="92">
        <f>(SUBSTITUTE(Audio!W192, "RE-", "", 1))*1</f>
        <v>0</v>
      </c>
      <c r="X192" s="92">
        <f>(SUBSTITUTE(Audio!X192, "RE-", "", 1))*1</f>
        <v>0</v>
      </c>
      <c r="Y192" s="92">
        <f>(SUBSTITUTE(Audio!Y192, "RE-", "", 1))*1</f>
        <v>0</v>
      </c>
      <c r="Z192" s="92">
        <f>(SUBSTITUTE(Audio!Z192, "RE-", "", 1))*1</f>
        <v>0</v>
      </c>
      <c r="AA192" s="92"/>
      <c r="AB192" s="92"/>
      <c r="AC192" s="92"/>
      <c r="AD192" s="92"/>
      <c r="AE192" s="92"/>
      <c r="AF192" s="92"/>
      <c r="AG192" s="92"/>
      <c r="AH192" s="92"/>
      <c r="AI192" s="92"/>
      <c r="AJ192" s="92"/>
      <c r="AK192" s="92"/>
      <c r="AL192" s="92"/>
      <c r="AM192" s="92"/>
      <c r="AN192" s="92"/>
      <c r="AO192" s="92"/>
      <c r="AP192" s="92"/>
      <c r="AQ192" s="92"/>
      <c r="AR192" s="92"/>
      <c r="AS192" s="92"/>
      <c r="AT192" s="92"/>
      <c r="AU192" s="92"/>
      <c r="AV192" s="92"/>
      <c r="AW192" s="92"/>
      <c r="AX192" s="92"/>
      <c r="AY192" s="92"/>
      <c r="AZ192" s="92"/>
      <c r="BA192" s="92"/>
      <c r="BB192" s="92"/>
      <c r="BC192" s="92"/>
      <c r="BD192" s="92"/>
      <c r="BE192" s="92"/>
      <c r="BF192" s="92"/>
      <c r="BG192" s="92"/>
      <c r="BH192" s="92"/>
      <c r="BI192" s="92"/>
      <c r="BJ192" s="92"/>
      <c r="BK192" s="92"/>
      <c r="BL192" s="92"/>
      <c r="BM192" s="92"/>
      <c r="BN192" s="92"/>
      <c r="BO192" s="92"/>
      <c r="BP192" s="92"/>
      <c r="BQ192" s="92"/>
      <c r="BR192" s="92"/>
      <c r="BS192" s="92"/>
      <c r="BT192" s="92"/>
      <c r="BU192" s="92"/>
      <c r="BV192" s="92"/>
      <c r="BW192" s="92"/>
      <c r="BX192" s="92"/>
      <c r="BY192" s="92"/>
      <c r="BZ192" s="92"/>
      <c r="CA192" s="92"/>
      <c r="CB192" s="92"/>
      <c r="CC192" s="92"/>
      <c r="CD192" s="92"/>
      <c r="CE192" s="92"/>
      <c r="CF192" s="92"/>
      <c r="CG192" s="92"/>
      <c r="CH192" s="92"/>
      <c r="CI192" s="92"/>
      <c r="CJ192" s="92"/>
      <c r="CK192" s="92"/>
      <c r="CL192" s="92"/>
      <c r="CM192" s="92"/>
      <c r="CN192" s="92"/>
      <c r="CO192" s="92"/>
      <c r="CP192" s="92"/>
      <c r="CQ192" s="92"/>
      <c r="CR192" s="92"/>
      <c r="CS192" s="92"/>
      <c r="CT192" s="92"/>
      <c r="CU192" s="92"/>
      <c r="CV192" s="92"/>
      <c r="CW192" s="92"/>
      <c r="CX192" s="92"/>
      <c r="CY192" s="92"/>
      <c r="CZ192" s="92"/>
      <c r="DA192" s="92"/>
      <c r="DB192" s="92"/>
      <c r="DC192" s="92"/>
      <c r="DD192" s="92"/>
      <c r="DE192" s="92"/>
      <c r="DF192" s="92"/>
      <c r="DG192" s="92"/>
      <c r="DH192" s="92"/>
      <c r="DI192" s="92"/>
      <c r="DJ192" s="92"/>
      <c r="DK192" s="92"/>
      <c r="DL192" s="92"/>
      <c r="DM192" s="92"/>
      <c r="DN192" s="92"/>
      <c r="DO192" s="92"/>
      <c r="DP192" s="92"/>
      <c r="DQ192" s="92"/>
      <c r="DR192" s="92"/>
      <c r="DS192" s="92"/>
      <c r="DT192" s="92"/>
      <c r="DU192" s="92"/>
      <c r="DV192" s="92"/>
      <c r="DW192" s="92"/>
      <c r="DX192" s="92"/>
      <c r="DY192" s="92"/>
      <c r="DZ192" s="92"/>
      <c r="EA192" s="92"/>
      <c r="EB192" s="92"/>
      <c r="EC192" s="92"/>
      <c r="ED192" s="92"/>
      <c r="EE192" s="92"/>
      <c r="EF192" s="92"/>
      <c r="EG192" s="92"/>
      <c r="EH192" s="92"/>
      <c r="EI192" s="92"/>
      <c r="EJ192" s="92"/>
      <c r="EK192" s="92"/>
      <c r="EL192" s="92"/>
      <c r="EM192" s="92"/>
      <c r="EN192" s="92"/>
      <c r="EO192" s="92"/>
      <c r="EP192" s="92"/>
      <c r="EQ192" s="92"/>
      <c r="ER192" s="92"/>
      <c r="ES192" s="92"/>
      <c r="ET192" s="92"/>
      <c r="EU192" s="92"/>
      <c r="EV192" s="92"/>
      <c r="EW192" s="92"/>
      <c r="EX192" s="92"/>
      <c r="EY192" s="92"/>
      <c r="EZ192" s="92"/>
      <c r="FA192" s="92"/>
      <c r="FB192" s="92"/>
      <c r="FC192" s="92"/>
      <c r="FD192" s="92"/>
      <c r="FE192" s="92"/>
      <c r="FF192" s="92"/>
      <c r="FG192" s="92"/>
      <c r="FH192" s="92"/>
    </row>
    <row r="193">
      <c r="A193" s="32" t="s">
        <v>35</v>
      </c>
      <c r="B193" s="32" t="s">
        <v>42</v>
      </c>
      <c r="C193" s="32" t="s">
        <v>14</v>
      </c>
      <c r="D193" s="97">
        <f t="shared" si="1"/>
        <v>4699.43153</v>
      </c>
      <c r="E193" s="92">
        <f>(SUBSTITUTE(Audio!E193, "RE-", "", 1))*1</f>
        <v>0</v>
      </c>
      <c r="F193" s="92">
        <f>(SUBSTITUTE(Audio!F193, "RE-", "", 1))*1</f>
        <v>756.725</v>
      </c>
      <c r="G193" s="92">
        <f>(SUBSTITUTE(Audio!G193, "RE-", "", 1))*1</f>
        <v>5.75142</v>
      </c>
      <c r="H193" s="92">
        <f>(SUBSTITUTE(Audio!H193, "RE-", "", 1))*1</f>
        <v>114.039</v>
      </c>
      <c r="I193" s="92">
        <f>(SUBSTITUTE(Audio!I193, "RE-", "", 1))*1</f>
        <v>0</v>
      </c>
      <c r="J193" s="92">
        <f>(SUBSTITUTE(Audio!J193, "RE-", "", 1))*1</f>
        <v>1212.97</v>
      </c>
      <c r="K193" s="92">
        <f>(SUBSTITUTE(Audio!K193, "RE-", "", 1))*1</f>
        <v>2.14253</v>
      </c>
      <c r="L193" s="92">
        <f>(SUBSTITUTE(Audio!L193, "RE-", "", 1))*1</f>
        <v>775.469</v>
      </c>
      <c r="M193" s="92">
        <f>(SUBSTITUTE(Audio!M193, "RE-", "", 1))*1</f>
        <v>5.39945</v>
      </c>
      <c r="N193" s="92">
        <f>(SUBSTITUTE(Audio!N193, "RE-", "", 1))*1</f>
        <v>360.475</v>
      </c>
      <c r="O193" s="92">
        <f>(SUBSTITUTE(Audio!O193, "RE-", "", 1))*1</f>
        <v>1.6173</v>
      </c>
      <c r="P193" s="92">
        <f>(SUBSTITUTE(Audio!P193, "RE-", "", 1))*1</f>
        <v>568.102</v>
      </c>
      <c r="Q193" s="92">
        <f>(SUBSTITUTE(Audio!Q193, "RE-", "", 1))*1</f>
        <v>13.7754</v>
      </c>
      <c r="R193" s="92">
        <f>(SUBSTITUTE(Audio!R193, "RE-", "", 1))*1</f>
        <v>33.5652</v>
      </c>
      <c r="S193" s="92">
        <f>(SUBSTITUTE(Audio!S193, "RE-", "", 1))*1</f>
        <v>0</v>
      </c>
      <c r="T193" s="92">
        <f>(SUBSTITUTE(Audio!T193, "RE-", "", 1))*1</f>
        <v>816.402</v>
      </c>
      <c r="U193" s="92">
        <f>(SUBSTITUTE(Audio!U193, "RE-", "", 1))*1</f>
        <v>29.4811</v>
      </c>
      <c r="V193" s="92">
        <f>(SUBSTITUTE(Audio!V193, "RE-", "", 1))*1</f>
        <v>3.51713</v>
      </c>
      <c r="W193" s="92">
        <f>(SUBSTITUTE(Audio!W193, "RE-", "", 1))*1</f>
        <v>0</v>
      </c>
      <c r="X193" s="92">
        <f>(SUBSTITUTE(Audio!X193, "RE-", "", 1))*1</f>
        <v>0</v>
      </c>
      <c r="Y193" s="92">
        <f>(SUBSTITUTE(Audio!Y193, "RE-", "", 1))*1</f>
        <v>0</v>
      </c>
      <c r="Z193" s="92">
        <f>(SUBSTITUTE(Audio!Z193, "RE-", "", 1))*1</f>
        <v>0</v>
      </c>
      <c r="AA193" s="92"/>
      <c r="AB193" s="92"/>
      <c r="AC193" s="92"/>
      <c r="AD193" s="92"/>
      <c r="AE193" s="92"/>
      <c r="AF193" s="92"/>
      <c r="AG193" s="92"/>
      <c r="AH193" s="92"/>
      <c r="AI193" s="92"/>
      <c r="AJ193" s="92"/>
      <c r="AK193" s="92"/>
      <c r="AL193" s="92"/>
      <c r="AM193" s="92"/>
      <c r="AN193" s="92"/>
      <c r="AO193" s="92"/>
      <c r="AP193" s="92"/>
      <c r="AQ193" s="92"/>
      <c r="AR193" s="92"/>
      <c r="AS193" s="92"/>
      <c r="AT193" s="92"/>
      <c r="AU193" s="92"/>
      <c r="AV193" s="92"/>
      <c r="AW193" s="92"/>
      <c r="AX193" s="92"/>
      <c r="AY193" s="92"/>
      <c r="AZ193" s="92"/>
      <c r="BA193" s="92"/>
      <c r="BB193" s="92"/>
      <c r="BC193" s="92"/>
      <c r="BD193" s="92"/>
      <c r="BE193" s="92"/>
      <c r="BF193" s="92"/>
      <c r="BG193" s="92"/>
      <c r="BH193" s="92"/>
      <c r="BI193" s="92"/>
      <c r="BJ193" s="92"/>
      <c r="BK193" s="92"/>
      <c r="BL193" s="92"/>
      <c r="BM193" s="92"/>
      <c r="BN193" s="92"/>
      <c r="BO193" s="92"/>
      <c r="BP193" s="92"/>
      <c r="BQ193" s="92"/>
      <c r="BR193" s="92"/>
      <c r="BS193" s="92"/>
      <c r="BT193" s="92"/>
      <c r="BU193" s="92"/>
      <c r="BV193" s="92"/>
      <c r="BW193" s="92"/>
      <c r="BX193" s="92"/>
      <c r="BY193" s="92"/>
      <c r="BZ193" s="92"/>
      <c r="CA193" s="92"/>
      <c r="CB193" s="92"/>
      <c r="CC193" s="92"/>
      <c r="CD193" s="92"/>
      <c r="CE193" s="92"/>
      <c r="CF193" s="92"/>
      <c r="CG193" s="92"/>
      <c r="CH193" s="92"/>
      <c r="CI193" s="92"/>
      <c r="CJ193" s="92"/>
      <c r="CK193" s="92"/>
      <c r="CL193" s="92"/>
      <c r="CM193" s="92"/>
      <c r="CN193" s="92"/>
      <c r="CO193" s="92"/>
      <c r="CP193" s="92"/>
      <c r="CQ193" s="92"/>
      <c r="CR193" s="92"/>
      <c r="CS193" s="92"/>
      <c r="CT193" s="92"/>
      <c r="CU193" s="92"/>
      <c r="CV193" s="92"/>
      <c r="CW193" s="92"/>
      <c r="CX193" s="92"/>
      <c r="CY193" s="92"/>
      <c r="CZ193" s="92"/>
      <c r="DA193" s="92"/>
      <c r="DB193" s="92"/>
      <c r="DC193" s="92"/>
      <c r="DD193" s="92"/>
      <c r="DE193" s="92"/>
      <c r="DF193" s="92"/>
      <c r="DG193" s="92"/>
      <c r="DH193" s="92"/>
      <c r="DI193" s="92"/>
      <c r="DJ193" s="92"/>
      <c r="DK193" s="92"/>
      <c r="DL193" s="92"/>
      <c r="DM193" s="92"/>
      <c r="DN193" s="92"/>
      <c r="DO193" s="92"/>
      <c r="DP193" s="92"/>
      <c r="DQ193" s="92"/>
      <c r="DR193" s="92"/>
      <c r="DS193" s="92"/>
      <c r="DT193" s="92"/>
      <c r="DU193" s="92"/>
      <c r="DV193" s="92"/>
      <c r="DW193" s="92"/>
      <c r="DX193" s="92"/>
      <c r="DY193" s="92"/>
      <c r="DZ193" s="92"/>
      <c r="EA193" s="92"/>
      <c r="EB193" s="92"/>
      <c r="EC193" s="92"/>
      <c r="ED193" s="92"/>
      <c r="EE193" s="92"/>
      <c r="EF193" s="92"/>
      <c r="EG193" s="92"/>
      <c r="EH193" s="92"/>
      <c r="EI193" s="92"/>
      <c r="EJ193" s="92"/>
      <c r="EK193" s="92"/>
      <c r="EL193" s="92"/>
      <c r="EM193" s="92"/>
      <c r="EN193" s="92"/>
      <c r="EO193" s="92"/>
      <c r="EP193" s="92"/>
      <c r="EQ193" s="92"/>
      <c r="ER193" s="92"/>
      <c r="ES193" s="92"/>
      <c r="ET193" s="92"/>
      <c r="EU193" s="92"/>
      <c r="EV193" s="92"/>
      <c r="EW193" s="92"/>
      <c r="EX193" s="92"/>
      <c r="EY193" s="92"/>
      <c r="EZ193" s="92"/>
      <c r="FA193" s="92"/>
      <c r="FB193" s="92"/>
      <c r="FC193" s="92"/>
      <c r="FD193" s="92"/>
      <c r="FE193" s="92"/>
      <c r="FF193" s="92"/>
      <c r="FG193" s="92"/>
      <c r="FH193" s="92"/>
    </row>
    <row r="194">
      <c r="A194" s="27" t="s">
        <v>35</v>
      </c>
      <c r="B194" s="27" t="s">
        <v>42</v>
      </c>
      <c r="C194" s="27" t="s">
        <v>15</v>
      </c>
      <c r="D194" s="98">
        <f t="shared" si="1"/>
        <v>5299.8176</v>
      </c>
      <c r="E194" s="92">
        <f>(SUBSTITUTE(Audio!E194, "RE-", "", 1))*1</f>
        <v>0</v>
      </c>
      <c r="F194" s="92">
        <f>(SUBSTITUTE(Audio!F194, "RE-", "", 1))*1</f>
        <v>836.666</v>
      </c>
      <c r="G194" s="92">
        <f>(SUBSTITUTE(Audio!G194, "RE-", "", 1))*1</f>
        <v>6.36205</v>
      </c>
      <c r="H194" s="92">
        <f>(SUBSTITUTE(Audio!H194, "RE-", "", 1))*1</f>
        <v>123.94</v>
      </c>
      <c r="I194" s="92">
        <f>(SUBSTITUTE(Audio!I194, "RE-", "", 1))*1</f>
        <v>0</v>
      </c>
      <c r="J194" s="92">
        <f>(SUBSTITUTE(Audio!J194, "RE-", "", 1))*1</f>
        <v>1315.95</v>
      </c>
      <c r="K194" s="92">
        <f>(SUBSTITUTE(Audio!K194, "RE-", "", 1))*1</f>
        <v>2.14253</v>
      </c>
      <c r="L194" s="92">
        <f>(SUBSTITUTE(Audio!L194, "RE-", "", 1))*1</f>
        <v>883.98</v>
      </c>
      <c r="M194" s="92">
        <f>(SUBSTITUTE(Audio!M194, "RE-", "", 1))*1</f>
        <v>5.39945</v>
      </c>
      <c r="N194" s="92">
        <f>(SUBSTITUTE(Audio!N194, "RE-", "", 1))*1</f>
        <v>425.742</v>
      </c>
      <c r="O194" s="92">
        <f>(SUBSTITUTE(Audio!O194, "RE-", "", 1))*1</f>
        <v>1.98875</v>
      </c>
      <c r="P194" s="92">
        <f>(SUBSTITUTE(Audio!P194, "RE-", "", 1))*1</f>
        <v>662.041</v>
      </c>
      <c r="Q194" s="92">
        <f>(SUBSTITUTE(Audio!Q194, "RE-", "", 1))*1</f>
        <v>15.4201</v>
      </c>
      <c r="R194" s="92">
        <f>(SUBSTITUTE(Audio!R194, "RE-", "", 1))*1</f>
        <v>39.8881</v>
      </c>
      <c r="S194" s="92">
        <f>(SUBSTITUTE(Audio!S194, "RE-", "", 1))*1</f>
        <v>0</v>
      </c>
      <c r="T194" s="92">
        <f>(SUBSTITUTE(Audio!T194, "RE-", "", 1))*1</f>
        <v>941.786</v>
      </c>
      <c r="U194" s="92">
        <f>(SUBSTITUTE(Audio!U194, "RE-", "", 1))*1</f>
        <v>33.8648</v>
      </c>
      <c r="V194" s="92">
        <f>(SUBSTITUTE(Audio!V194, "RE-", "", 1))*1</f>
        <v>4.64682</v>
      </c>
      <c r="W194" s="92">
        <f>(SUBSTITUTE(Audio!W194, "RE-", "", 1))*1</f>
        <v>0</v>
      </c>
      <c r="X194" s="92">
        <f>(SUBSTITUTE(Audio!X194, "RE-", "", 1))*1</f>
        <v>0</v>
      </c>
      <c r="Y194" s="92">
        <f>(SUBSTITUTE(Audio!Y194, "RE-", "", 1))*1</f>
        <v>0</v>
      </c>
      <c r="Z194" s="92">
        <f>(SUBSTITUTE(Audio!Z194, "RE-", "", 1))*1</f>
        <v>0</v>
      </c>
      <c r="AA194" s="92"/>
      <c r="AB194" s="92"/>
      <c r="AC194" s="92"/>
      <c r="AD194" s="92"/>
      <c r="AE194" s="92"/>
      <c r="AF194" s="92"/>
      <c r="AG194" s="92"/>
      <c r="AH194" s="92"/>
      <c r="AI194" s="92"/>
      <c r="AJ194" s="92"/>
      <c r="AK194" s="92"/>
      <c r="AL194" s="92"/>
      <c r="AM194" s="92"/>
      <c r="AN194" s="92"/>
      <c r="AO194" s="92"/>
      <c r="AP194" s="92"/>
      <c r="AQ194" s="92"/>
      <c r="AR194" s="92"/>
      <c r="AS194" s="92"/>
      <c r="AT194" s="92"/>
      <c r="AU194" s="92"/>
      <c r="AV194" s="92"/>
      <c r="AW194" s="92"/>
      <c r="AX194" s="92"/>
      <c r="AY194" s="92"/>
      <c r="AZ194" s="92"/>
      <c r="BA194" s="92"/>
      <c r="BB194" s="92"/>
      <c r="BC194" s="92"/>
      <c r="BD194" s="92"/>
      <c r="BE194" s="92"/>
      <c r="BF194" s="92"/>
      <c r="BG194" s="92"/>
      <c r="BH194" s="92"/>
      <c r="BI194" s="92"/>
      <c r="BJ194" s="92"/>
      <c r="BK194" s="92"/>
      <c r="BL194" s="92"/>
      <c r="BM194" s="92"/>
      <c r="BN194" s="92"/>
      <c r="BO194" s="92"/>
      <c r="BP194" s="92"/>
      <c r="BQ194" s="92"/>
      <c r="BR194" s="92"/>
      <c r="BS194" s="92"/>
      <c r="BT194" s="92"/>
      <c r="BU194" s="92"/>
      <c r="BV194" s="92"/>
      <c r="BW194" s="92"/>
      <c r="BX194" s="92"/>
      <c r="BY194" s="92"/>
      <c r="BZ194" s="92"/>
      <c r="CA194" s="92"/>
      <c r="CB194" s="92"/>
      <c r="CC194" s="92"/>
      <c r="CD194" s="92"/>
      <c r="CE194" s="92"/>
      <c r="CF194" s="92"/>
      <c r="CG194" s="92"/>
      <c r="CH194" s="92"/>
      <c r="CI194" s="92"/>
      <c r="CJ194" s="92"/>
      <c r="CK194" s="92"/>
      <c r="CL194" s="92"/>
      <c r="CM194" s="92"/>
      <c r="CN194" s="92"/>
      <c r="CO194" s="92"/>
      <c r="CP194" s="92"/>
      <c r="CQ194" s="92"/>
      <c r="CR194" s="92"/>
      <c r="CS194" s="92"/>
      <c r="CT194" s="92"/>
      <c r="CU194" s="92"/>
      <c r="CV194" s="92"/>
      <c r="CW194" s="92"/>
      <c r="CX194" s="92"/>
      <c r="CY194" s="92"/>
      <c r="CZ194" s="92"/>
      <c r="DA194" s="92"/>
      <c r="DB194" s="92"/>
      <c r="DC194" s="92"/>
      <c r="DD194" s="92"/>
      <c r="DE194" s="92"/>
      <c r="DF194" s="92"/>
      <c r="DG194" s="92"/>
      <c r="DH194" s="92"/>
      <c r="DI194" s="92"/>
      <c r="DJ194" s="92"/>
      <c r="DK194" s="92"/>
      <c r="DL194" s="92"/>
      <c r="DM194" s="92"/>
      <c r="DN194" s="92"/>
      <c r="DO194" s="92"/>
      <c r="DP194" s="92"/>
      <c r="DQ194" s="92"/>
      <c r="DR194" s="92"/>
      <c r="DS194" s="92"/>
      <c r="DT194" s="92"/>
      <c r="DU194" s="92"/>
      <c r="DV194" s="92"/>
      <c r="DW194" s="92"/>
      <c r="DX194" s="92"/>
      <c r="DY194" s="92"/>
      <c r="DZ194" s="92"/>
      <c r="EA194" s="92"/>
      <c r="EB194" s="92"/>
      <c r="EC194" s="92"/>
      <c r="ED194" s="92"/>
      <c r="EE194" s="92"/>
      <c r="EF194" s="92"/>
      <c r="EG194" s="92"/>
      <c r="EH194" s="92"/>
      <c r="EI194" s="92"/>
      <c r="EJ194" s="92"/>
      <c r="EK194" s="92"/>
      <c r="EL194" s="92"/>
      <c r="EM194" s="92"/>
      <c r="EN194" s="92"/>
      <c r="EO194" s="92"/>
      <c r="EP194" s="92"/>
      <c r="EQ194" s="92"/>
      <c r="ER194" s="92"/>
      <c r="ES194" s="92"/>
      <c r="ET194" s="92"/>
      <c r="EU194" s="92"/>
      <c r="EV194" s="92"/>
      <c r="EW194" s="92"/>
      <c r="EX194" s="92"/>
      <c r="EY194" s="92"/>
      <c r="EZ194" s="92"/>
      <c r="FA194" s="92"/>
      <c r="FB194" s="92"/>
      <c r="FC194" s="92"/>
      <c r="FD194" s="92"/>
      <c r="FE194" s="92"/>
      <c r="FF194" s="92"/>
      <c r="FG194" s="92"/>
      <c r="FH194" s="92"/>
    </row>
    <row r="195">
      <c r="A195" s="30" t="s">
        <v>7</v>
      </c>
      <c r="B195" s="30" t="s">
        <v>43</v>
      </c>
      <c r="C195" s="31" t="str">
        <f>HYPERLINK("https://docs.google.com/spreadsheets/d/16NhwaksHFFGNLN4BQDWbpmnjTiY_RTdp/edit?usp=share_link&amp;ouid=106501987799020758802&amp;rtpof=true&amp;sd=true", "Raw Delivered")</f>
        <v>Raw Delivered</v>
      </c>
      <c r="D195" s="96">
        <f t="shared" si="1"/>
        <v>6031.989656</v>
      </c>
      <c r="E195" s="92">
        <f>(SUBSTITUTE(Audio!E195, "RE-", "", 1))*1</f>
        <v>0</v>
      </c>
      <c r="F195" s="92">
        <f>(SUBSTITUTE(Audio!F195, "RE-", "", 1))*1</f>
        <v>872.0762917</v>
      </c>
      <c r="G195" s="92">
        <f>(SUBSTITUTE(Audio!G195, "RE-", "", 1))*1</f>
        <v>0</v>
      </c>
      <c r="H195" s="92">
        <f>(SUBSTITUTE(Audio!H195, "RE-", "", 1))*1</f>
        <v>174.2283656</v>
      </c>
      <c r="I195" s="92">
        <f>(SUBSTITUTE(Audio!I195, "RE-", "", 1))*1</f>
        <v>0</v>
      </c>
      <c r="J195" s="92">
        <f>(SUBSTITUTE(Audio!J195, "RE-", "", 1))*1</f>
        <v>1381.824451</v>
      </c>
      <c r="K195" s="92">
        <f>(SUBSTITUTE(Audio!K195, "RE-", "", 1))*1</f>
        <v>0</v>
      </c>
      <c r="L195" s="92">
        <f>(SUBSTITUTE(Audio!L195, "RE-", "", 1))*1</f>
        <v>953.2760302</v>
      </c>
      <c r="M195" s="92">
        <f>(SUBSTITUTE(Audio!M195, "RE-", "", 1))*1</f>
        <v>0</v>
      </c>
      <c r="N195" s="92">
        <f>(SUBSTITUTE(Audio!N195, "RE-", "", 1))*1</f>
        <v>1306.165326</v>
      </c>
      <c r="O195" s="92">
        <f>(SUBSTITUTE(Audio!O195, "RE-", "", 1))*1</f>
        <v>0</v>
      </c>
      <c r="P195" s="92">
        <f>(SUBSTITUTE(Audio!P195, "RE-", "", 1))*1</f>
        <v>673.05735</v>
      </c>
      <c r="Q195" s="92">
        <f>(SUBSTITUTE(Audio!Q195, "RE-", "", 1))*1</f>
        <v>0</v>
      </c>
      <c r="R195" s="92">
        <f>(SUBSTITUTE(Audio!R195, "RE-", "", 1))*1</f>
        <v>161.2132583</v>
      </c>
      <c r="S195" s="92">
        <f>(SUBSTITUTE(Audio!S195, "RE-", "", 1))*1</f>
        <v>0</v>
      </c>
      <c r="T195" s="92">
        <f>(SUBSTITUTE(Audio!T195, "RE-", "", 1))*1</f>
        <v>510.1485833</v>
      </c>
      <c r="U195" s="92">
        <f>(SUBSTITUTE(Audio!U195, "RE-", "", 1))*1</f>
        <v>0</v>
      </c>
      <c r="V195" s="92">
        <f>(SUBSTITUTE(Audio!V195, "RE-", "", 1))*1</f>
        <v>0</v>
      </c>
      <c r="W195" s="92">
        <f>(SUBSTITUTE(Audio!W195, "RE-", "", 1))*1</f>
        <v>0</v>
      </c>
      <c r="X195" s="92">
        <f>(SUBSTITUTE(Audio!X195, "RE-", "", 1))*1</f>
        <v>0</v>
      </c>
      <c r="Y195" s="92">
        <f>(SUBSTITUTE(Audio!Y195, "RE-", "", 1))*1</f>
        <v>0</v>
      </c>
      <c r="Z195" s="92">
        <f>(SUBSTITUTE(Audio!Z195, "RE-", "", 1))*1</f>
        <v>0</v>
      </c>
      <c r="AA195" s="92"/>
      <c r="AB195" s="92"/>
      <c r="AC195" s="92"/>
      <c r="AD195" s="92"/>
      <c r="AE195" s="92"/>
      <c r="AF195" s="92"/>
      <c r="AG195" s="92"/>
      <c r="AH195" s="92"/>
      <c r="AI195" s="92"/>
      <c r="AJ195" s="92"/>
      <c r="AK195" s="92"/>
      <c r="AL195" s="92"/>
      <c r="AM195" s="92"/>
      <c r="AN195" s="92"/>
      <c r="AO195" s="92"/>
      <c r="AP195" s="92"/>
      <c r="AQ195" s="92"/>
      <c r="AR195" s="92"/>
      <c r="AS195" s="92"/>
      <c r="AT195" s="92"/>
      <c r="AU195" s="92"/>
      <c r="AV195" s="92"/>
      <c r="AW195" s="92"/>
      <c r="AX195" s="92"/>
      <c r="AY195" s="92"/>
      <c r="AZ195" s="92"/>
      <c r="BA195" s="92"/>
      <c r="BB195" s="92"/>
      <c r="BC195" s="92"/>
      <c r="BD195" s="92"/>
      <c r="BE195" s="92"/>
      <c r="BF195" s="92"/>
      <c r="BG195" s="92"/>
      <c r="BH195" s="92"/>
      <c r="BI195" s="92"/>
      <c r="BJ195" s="92"/>
      <c r="BK195" s="92"/>
      <c r="BL195" s="92"/>
      <c r="BM195" s="92"/>
      <c r="BN195" s="92"/>
      <c r="BO195" s="92"/>
      <c r="BP195" s="92"/>
      <c r="BQ195" s="92"/>
      <c r="BR195" s="92"/>
      <c r="BS195" s="92"/>
      <c r="BT195" s="92"/>
      <c r="BU195" s="92"/>
      <c r="BV195" s="92"/>
      <c r="BW195" s="92"/>
      <c r="BX195" s="92"/>
      <c r="BY195" s="92"/>
      <c r="BZ195" s="92"/>
      <c r="CA195" s="92"/>
      <c r="CB195" s="92"/>
      <c r="CC195" s="92"/>
      <c r="CD195" s="92"/>
      <c r="CE195" s="92"/>
      <c r="CF195" s="92"/>
      <c r="CG195" s="92"/>
      <c r="CH195" s="92"/>
      <c r="CI195" s="92"/>
      <c r="CJ195" s="92"/>
      <c r="CK195" s="92"/>
      <c r="CL195" s="92"/>
      <c r="CM195" s="92"/>
      <c r="CN195" s="92"/>
      <c r="CO195" s="92"/>
      <c r="CP195" s="92"/>
      <c r="CQ195" s="92"/>
      <c r="CR195" s="92"/>
      <c r="CS195" s="92"/>
      <c r="CT195" s="92"/>
      <c r="CU195" s="92"/>
      <c r="CV195" s="92"/>
      <c r="CW195" s="92"/>
      <c r="CX195" s="92"/>
      <c r="CY195" s="92"/>
      <c r="CZ195" s="92"/>
      <c r="DA195" s="92"/>
      <c r="DB195" s="92"/>
      <c r="DC195" s="92"/>
      <c r="DD195" s="92"/>
      <c r="DE195" s="92"/>
      <c r="DF195" s="92"/>
      <c r="DG195" s="92"/>
      <c r="DH195" s="92"/>
      <c r="DI195" s="92"/>
      <c r="DJ195" s="92"/>
      <c r="DK195" s="92"/>
      <c r="DL195" s="92"/>
      <c r="DM195" s="92"/>
      <c r="DN195" s="92"/>
      <c r="DO195" s="92"/>
      <c r="DP195" s="92"/>
      <c r="DQ195" s="92"/>
      <c r="DR195" s="92"/>
      <c r="DS195" s="92"/>
      <c r="DT195" s="92"/>
      <c r="DU195" s="92"/>
      <c r="DV195" s="92"/>
      <c r="DW195" s="92"/>
      <c r="DX195" s="92"/>
      <c r="DY195" s="92"/>
      <c r="DZ195" s="92"/>
      <c r="EA195" s="92"/>
      <c r="EB195" s="92"/>
      <c r="EC195" s="92"/>
      <c r="ED195" s="92"/>
      <c r="EE195" s="92"/>
      <c r="EF195" s="92"/>
      <c r="EG195" s="92"/>
      <c r="EH195" s="92"/>
      <c r="EI195" s="92"/>
      <c r="EJ195" s="92"/>
      <c r="EK195" s="92"/>
      <c r="EL195" s="92"/>
      <c r="EM195" s="92"/>
      <c r="EN195" s="92"/>
      <c r="EO195" s="92"/>
      <c r="EP195" s="92"/>
      <c r="EQ195" s="92"/>
      <c r="ER195" s="92"/>
      <c r="ES195" s="92"/>
      <c r="ET195" s="92"/>
      <c r="EU195" s="92"/>
      <c r="EV195" s="92"/>
      <c r="EW195" s="92"/>
      <c r="EX195" s="92"/>
      <c r="EY195" s="92"/>
      <c r="EZ195" s="92"/>
      <c r="FA195" s="92"/>
      <c r="FB195" s="92"/>
      <c r="FC195" s="92"/>
      <c r="FD195" s="92"/>
      <c r="FE195" s="92"/>
      <c r="FF195" s="92"/>
      <c r="FG195" s="92"/>
      <c r="FH195" s="92"/>
    </row>
    <row r="196">
      <c r="A196" s="32" t="s">
        <v>7</v>
      </c>
      <c r="B196" s="32" t="s">
        <v>43</v>
      </c>
      <c r="C196" s="32" t="s">
        <v>9</v>
      </c>
      <c r="D196" s="97">
        <f t="shared" si="1"/>
        <v>6031.989656</v>
      </c>
      <c r="E196" s="92">
        <f>(SUBSTITUTE(Audio!E196, "RE-", "", 1))*1</f>
        <v>0</v>
      </c>
      <c r="F196" s="92">
        <f>(SUBSTITUTE(Audio!F196, "RE-", "", 1))*1</f>
        <v>872.0762917</v>
      </c>
      <c r="G196" s="92">
        <f>(SUBSTITUTE(Audio!G196, "RE-", "", 1))*1</f>
        <v>0</v>
      </c>
      <c r="H196" s="92">
        <f>(SUBSTITUTE(Audio!H196, "RE-", "", 1))*1</f>
        <v>174.2283656</v>
      </c>
      <c r="I196" s="92">
        <f>(SUBSTITUTE(Audio!I196, "RE-", "", 1))*1</f>
        <v>0</v>
      </c>
      <c r="J196" s="92">
        <f>(SUBSTITUTE(Audio!J196, "RE-", "", 1))*1</f>
        <v>1381.824451</v>
      </c>
      <c r="K196" s="92">
        <f>(SUBSTITUTE(Audio!K196, "RE-", "", 1))*1</f>
        <v>0</v>
      </c>
      <c r="L196" s="92">
        <f>(SUBSTITUTE(Audio!L196, "RE-", "", 1))*1</f>
        <v>953.2760302</v>
      </c>
      <c r="M196" s="92">
        <f>(SUBSTITUTE(Audio!M196, "RE-", "", 1))*1</f>
        <v>0</v>
      </c>
      <c r="N196" s="92">
        <f>(SUBSTITUTE(Audio!N196, "RE-", "", 1))*1</f>
        <v>1306.165326</v>
      </c>
      <c r="O196" s="92">
        <f>(SUBSTITUTE(Audio!O196, "RE-", "", 1))*1</f>
        <v>0</v>
      </c>
      <c r="P196" s="92">
        <f>(SUBSTITUTE(Audio!P196, "RE-", "", 1))*1</f>
        <v>673.05735</v>
      </c>
      <c r="Q196" s="92">
        <f>(SUBSTITUTE(Audio!Q196, "RE-", "", 1))*1</f>
        <v>0</v>
      </c>
      <c r="R196" s="92">
        <f>(SUBSTITUTE(Audio!R196, "RE-", "", 1))*1</f>
        <v>161.2132583</v>
      </c>
      <c r="S196" s="92">
        <f>(SUBSTITUTE(Audio!S196, "RE-", "", 1))*1</f>
        <v>0</v>
      </c>
      <c r="T196" s="92">
        <f>(SUBSTITUTE(Audio!T196, "RE-", "", 1))*1</f>
        <v>510.1485833</v>
      </c>
      <c r="U196" s="92">
        <f>(SUBSTITUTE(Audio!U196, "RE-", "", 1))*1</f>
        <v>0</v>
      </c>
      <c r="V196" s="92">
        <f>(SUBSTITUTE(Audio!V196, "RE-", "", 1))*1</f>
        <v>0</v>
      </c>
      <c r="W196" s="92">
        <f>(SUBSTITUTE(Audio!W196, "RE-", "", 1))*1</f>
        <v>0</v>
      </c>
      <c r="X196" s="92">
        <f>(SUBSTITUTE(Audio!X196, "RE-", "", 1))*1</f>
        <v>0</v>
      </c>
      <c r="Y196" s="92">
        <f>(SUBSTITUTE(Audio!Y196, "RE-", "", 1))*1</f>
        <v>0</v>
      </c>
      <c r="Z196" s="92">
        <f>(SUBSTITUTE(Audio!Z196, "RE-", "", 1))*1</f>
        <v>0</v>
      </c>
      <c r="AA196" s="92"/>
      <c r="AB196" s="92"/>
      <c r="AC196" s="92"/>
      <c r="AD196" s="92"/>
      <c r="AE196" s="92"/>
      <c r="AF196" s="92"/>
      <c r="AG196" s="92"/>
      <c r="AH196" s="92"/>
      <c r="AI196" s="92"/>
      <c r="AJ196" s="92"/>
      <c r="AK196" s="92"/>
      <c r="AL196" s="92"/>
      <c r="AM196" s="92"/>
      <c r="AN196" s="92"/>
      <c r="AO196" s="92"/>
      <c r="AP196" s="92"/>
      <c r="AQ196" s="92"/>
      <c r="AR196" s="92"/>
      <c r="AS196" s="92"/>
      <c r="AT196" s="92"/>
      <c r="AU196" s="92"/>
      <c r="AV196" s="92"/>
      <c r="AW196" s="92"/>
      <c r="AX196" s="92"/>
      <c r="AY196" s="92"/>
      <c r="AZ196" s="92"/>
      <c r="BA196" s="92"/>
      <c r="BB196" s="92"/>
      <c r="BC196" s="92"/>
      <c r="BD196" s="92"/>
      <c r="BE196" s="92"/>
      <c r="BF196" s="92"/>
      <c r="BG196" s="92"/>
      <c r="BH196" s="92"/>
      <c r="BI196" s="92"/>
      <c r="BJ196" s="92"/>
      <c r="BK196" s="92"/>
      <c r="BL196" s="92"/>
      <c r="BM196" s="92"/>
      <c r="BN196" s="92"/>
      <c r="BO196" s="92"/>
      <c r="BP196" s="92"/>
      <c r="BQ196" s="92"/>
      <c r="BR196" s="92"/>
      <c r="BS196" s="92"/>
      <c r="BT196" s="92"/>
      <c r="BU196" s="92"/>
      <c r="BV196" s="92"/>
      <c r="BW196" s="92"/>
      <c r="BX196" s="92"/>
      <c r="BY196" s="92"/>
      <c r="BZ196" s="92"/>
      <c r="CA196" s="92"/>
      <c r="CB196" s="92"/>
      <c r="CC196" s="92"/>
      <c r="CD196" s="92"/>
      <c r="CE196" s="92"/>
      <c r="CF196" s="92"/>
      <c r="CG196" s="92"/>
      <c r="CH196" s="92"/>
      <c r="CI196" s="92"/>
      <c r="CJ196" s="92"/>
      <c r="CK196" s="92"/>
      <c r="CL196" s="92"/>
      <c r="CM196" s="92"/>
      <c r="CN196" s="92"/>
      <c r="CO196" s="92"/>
      <c r="CP196" s="92"/>
      <c r="CQ196" s="92"/>
      <c r="CR196" s="92"/>
      <c r="CS196" s="92"/>
      <c r="CT196" s="92"/>
      <c r="CU196" s="92"/>
      <c r="CV196" s="92"/>
      <c r="CW196" s="92"/>
      <c r="CX196" s="92"/>
      <c r="CY196" s="92"/>
      <c r="CZ196" s="92"/>
      <c r="DA196" s="92"/>
      <c r="DB196" s="92"/>
      <c r="DC196" s="92"/>
      <c r="DD196" s="92"/>
      <c r="DE196" s="92"/>
      <c r="DF196" s="92"/>
      <c r="DG196" s="92"/>
      <c r="DH196" s="92"/>
      <c r="DI196" s="92"/>
      <c r="DJ196" s="92"/>
      <c r="DK196" s="92"/>
      <c r="DL196" s="92"/>
      <c r="DM196" s="92"/>
      <c r="DN196" s="92"/>
      <c r="DO196" s="92"/>
      <c r="DP196" s="92"/>
      <c r="DQ196" s="92"/>
      <c r="DR196" s="92"/>
      <c r="DS196" s="92"/>
      <c r="DT196" s="92"/>
      <c r="DU196" s="92"/>
      <c r="DV196" s="92"/>
      <c r="DW196" s="92"/>
      <c r="DX196" s="92"/>
      <c r="DY196" s="92"/>
      <c r="DZ196" s="92"/>
      <c r="EA196" s="92"/>
      <c r="EB196" s="92"/>
      <c r="EC196" s="92"/>
      <c r="ED196" s="92"/>
      <c r="EE196" s="92"/>
      <c r="EF196" s="92"/>
      <c r="EG196" s="92"/>
      <c r="EH196" s="92"/>
      <c r="EI196" s="92"/>
      <c r="EJ196" s="92"/>
      <c r="EK196" s="92"/>
      <c r="EL196" s="92"/>
      <c r="EM196" s="92"/>
      <c r="EN196" s="92"/>
      <c r="EO196" s="92"/>
      <c r="EP196" s="92"/>
      <c r="EQ196" s="92"/>
      <c r="ER196" s="92"/>
      <c r="ES196" s="92"/>
      <c r="ET196" s="92"/>
      <c r="EU196" s="92"/>
      <c r="EV196" s="92"/>
      <c r="EW196" s="92"/>
      <c r="EX196" s="92"/>
      <c r="EY196" s="92"/>
      <c r="EZ196" s="92"/>
      <c r="FA196" s="92"/>
      <c r="FB196" s="92"/>
      <c r="FC196" s="92"/>
      <c r="FD196" s="92"/>
      <c r="FE196" s="92"/>
      <c r="FF196" s="92"/>
      <c r="FG196" s="92"/>
      <c r="FH196" s="92"/>
    </row>
    <row r="197">
      <c r="A197" s="32" t="s">
        <v>7</v>
      </c>
      <c r="B197" s="32" t="s">
        <v>43</v>
      </c>
      <c r="C197" s="32" t="s">
        <v>10</v>
      </c>
      <c r="D197" s="97">
        <f t="shared" si="1"/>
        <v>557.222076</v>
      </c>
      <c r="E197" s="92">
        <f>(SUBSTITUTE(Audio!E197, "RE-", "", 1))*1</f>
        <v>0</v>
      </c>
      <c r="F197" s="92">
        <f>(SUBSTITUTE(Audio!F197, "RE-", "", 1))*1</f>
        <v>0</v>
      </c>
      <c r="G197" s="92">
        <f>(SUBSTITUTE(Audio!G197, "RE-", "", 1))*1</f>
        <v>76.61861042</v>
      </c>
      <c r="H197" s="92">
        <f>(SUBSTITUTE(Audio!H197, "RE-", "", 1))*1</f>
        <v>0</v>
      </c>
      <c r="I197" s="92">
        <f>(SUBSTITUTE(Audio!I197, "RE-", "", 1))*1</f>
        <v>11.27569167</v>
      </c>
      <c r="J197" s="92">
        <f>(SUBSTITUTE(Audio!J197, "RE-", "", 1))*1</f>
        <v>0</v>
      </c>
      <c r="K197" s="92">
        <f>(SUBSTITUTE(Audio!K197, "RE-", "", 1))*1</f>
        <v>106.3047885</v>
      </c>
      <c r="L197" s="92">
        <f>(SUBSTITUTE(Audio!L197, "RE-", "", 1))*1</f>
        <v>0</v>
      </c>
      <c r="M197" s="92">
        <f>(SUBSTITUTE(Audio!M197, "RE-", "", 1))*1</f>
        <v>40.64941875</v>
      </c>
      <c r="N197" s="92">
        <f>(SUBSTITUTE(Audio!N197, "RE-", "", 1))*1</f>
        <v>0</v>
      </c>
      <c r="O197" s="92">
        <f>(SUBSTITUTE(Audio!O197, "RE-", "", 1))*1</f>
        <v>108.7058927</v>
      </c>
      <c r="P197" s="92">
        <f>(SUBSTITUTE(Audio!P197, "RE-", "", 1))*1</f>
        <v>0</v>
      </c>
      <c r="Q197" s="92">
        <f>(SUBSTITUTE(Audio!Q197, "RE-", "", 1))*1</f>
        <v>99.62674896</v>
      </c>
      <c r="R197" s="92">
        <f>(SUBSTITUTE(Audio!R197, "RE-", "", 1))*1</f>
        <v>0</v>
      </c>
      <c r="S197" s="92">
        <f>(SUBSTITUTE(Audio!S197, "RE-", "", 1))*1</f>
        <v>34.56359688</v>
      </c>
      <c r="T197" s="92">
        <f>(SUBSTITUTE(Audio!T197, "RE-", "", 1))*1</f>
        <v>0</v>
      </c>
      <c r="U197" s="92">
        <f>(SUBSTITUTE(Audio!U197, "RE-", "", 1))*1</f>
        <v>73.39238854</v>
      </c>
      <c r="V197" s="92">
        <f>(SUBSTITUTE(Audio!V197, "RE-", "", 1))*1</f>
        <v>6.084939583</v>
      </c>
      <c r="W197" s="92">
        <f>(SUBSTITUTE(Audio!W197, "RE-", "", 1))*1</f>
        <v>0</v>
      </c>
      <c r="X197" s="92">
        <f>(SUBSTITUTE(Audio!X197, "RE-", "", 1))*1</f>
        <v>0</v>
      </c>
      <c r="Y197" s="92">
        <f>(SUBSTITUTE(Audio!Y197, "RE-", "", 1))*1</f>
        <v>0</v>
      </c>
      <c r="Z197" s="92">
        <f>(SUBSTITUTE(Audio!Z197, "RE-", "", 1))*1</f>
        <v>0</v>
      </c>
      <c r="AA197" s="92"/>
      <c r="AB197" s="92"/>
      <c r="AC197" s="92"/>
      <c r="AD197" s="92"/>
      <c r="AE197" s="92"/>
      <c r="AF197" s="92"/>
      <c r="AG197" s="92"/>
      <c r="AH197" s="92"/>
      <c r="AI197" s="92"/>
      <c r="AJ197" s="92"/>
      <c r="AK197" s="92"/>
      <c r="AL197" s="92"/>
      <c r="AM197" s="92"/>
      <c r="AN197" s="92"/>
      <c r="AO197" s="92"/>
      <c r="AP197" s="92"/>
      <c r="AQ197" s="92"/>
      <c r="AR197" s="92"/>
      <c r="AS197" s="92"/>
      <c r="AT197" s="92"/>
      <c r="AU197" s="92"/>
      <c r="AV197" s="92"/>
      <c r="AW197" s="92"/>
      <c r="AX197" s="92"/>
      <c r="AY197" s="92"/>
      <c r="AZ197" s="92"/>
      <c r="BA197" s="92"/>
      <c r="BB197" s="92"/>
      <c r="BC197" s="92"/>
      <c r="BD197" s="92"/>
      <c r="BE197" s="92"/>
      <c r="BF197" s="92"/>
      <c r="BG197" s="92"/>
      <c r="BH197" s="92"/>
      <c r="BI197" s="92"/>
      <c r="BJ197" s="92"/>
      <c r="BK197" s="92"/>
      <c r="BL197" s="92"/>
      <c r="BM197" s="92"/>
      <c r="BN197" s="92"/>
      <c r="BO197" s="92"/>
      <c r="BP197" s="92"/>
      <c r="BQ197" s="92"/>
      <c r="BR197" s="92"/>
      <c r="BS197" s="92"/>
      <c r="BT197" s="92"/>
      <c r="BU197" s="92"/>
      <c r="BV197" s="92"/>
      <c r="BW197" s="92"/>
      <c r="BX197" s="92"/>
      <c r="BY197" s="92"/>
      <c r="BZ197" s="92"/>
      <c r="CA197" s="92"/>
      <c r="CB197" s="92"/>
      <c r="CC197" s="92"/>
      <c r="CD197" s="92"/>
      <c r="CE197" s="92"/>
      <c r="CF197" s="92"/>
      <c r="CG197" s="92"/>
      <c r="CH197" s="92"/>
      <c r="CI197" s="92"/>
      <c r="CJ197" s="92"/>
      <c r="CK197" s="92"/>
      <c r="CL197" s="92"/>
      <c r="CM197" s="92"/>
      <c r="CN197" s="92"/>
      <c r="CO197" s="92"/>
      <c r="CP197" s="92"/>
      <c r="CQ197" s="92"/>
      <c r="CR197" s="92"/>
      <c r="CS197" s="92"/>
      <c r="CT197" s="92"/>
      <c r="CU197" s="92"/>
      <c r="CV197" s="92"/>
      <c r="CW197" s="92"/>
      <c r="CX197" s="92"/>
      <c r="CY197" s="92"/>
      <c r="CZ197" s="92"/>
      <c r="DA197" s="92"/>
      <c r="DB197" s="92"/>
      <c r="DC197" s="92"/>
      <c r="DD197" s="92"/>
      <c r="DE197" s="92"/>
      <c r="DF197" s="92"/>
      <c r="DG197" s="92"/>
      <c r="DH197" s="92"/>
      <c r="DI197" s="92"/>
      <c r="DJ197" s="92"/>
      <c r="DK197" s="92"/>
      <c r="DL197" s="92"/>
      <c r="DM197" s="92"/>
      <c r="DN197" s="92"/>
      <c r="DO197" s="92"/>
      <c r="DP197" s="92"/>
      <c r="DQ197" s="92"/>
      <c r="DR197" s="92"/>
      <c r="DS197" s="92"/>
      <c r="DT197" s="92"/>
      <c r="DU197" s="92"/>
      <c r="DV197" s="92"/>
      <c r="DW197" s="92"/>
      <c r="DX197" s="92"/>
      <c r="DY197" s="92"/>
      <c r="DZ197" s="92"/>
      <c r="EA197" s="92"/>
      <c r="EB197" s="92"/>
      <c r="EC197" s="92"/>
      <c r="ED197" s="92"/>
      <c r="EE197" s="92"/>
      <c r="EF197" s="92"/>
      <c r="EG197" s="92"/>
      <c r="EH197" s="92"/>
      <c r="EI197" s="92"/>
      <c r="EJ197" s="92"/>
      <c r="EK197" s="92"/>
      <c r="EL197" s="92"/>
      <c r="EM197" s="92"/>
      <c r="EN197" s="92"/>
      <c r="EO197" s="92"/>
      <c r="EP197" s="92"/>
      <c r="EQ197" s="92"/>
      <c r="ER197" s="92"/>
      <c r="ES197" s="92"/>
      <c r="ET197" s="92"/>
      <c r="EU197" s="92"/>
      <c r="EV197" s="92"/>
      <c r="EW197" s="92"/>
      <c r="EX197" s="92"/>
      <c r="EY197" s="92"/>
      <c r="EZ197" s="92"/>
      <c r="FA197" s="92"/>
      <c r="FB197" s="92"/>
      <c r="FC197" s="92"/>
      <c r="FD197" s="92"/>
      <c r="FE197" s="92"/>
      <c r="FF197" s="92"/>
      <c r="FG197" s="92"/>
      <c r="FH197" s="92"/>
    </row>
    <row r="198">
      <c r="A198" s="32" t="s">
        <v>7</v>
      </c>
      <c r="B198" s="32" t="s">
        <v>43</v>
      </c>
      <c r="C198" s="32" t="s">
        <v>11</v>
      </c>
      <c r="D198" s="97">
        <f t="shared" si="1"/>
        <v>557.222076</v>
      </c>
      <c r="E198" s="92">
        <f>(SUBSTITUTE(Audio!E198, "RE-", "", 1))*1</f>
        <v>0</v>
      </c>
      <c r="F198" s="92">
        <f>(SUBSTITUTE(Audio!F198, "RE-", "", 1))*1</f>
        <v>0</v>
      </c>
      <c r="G198" s="92">
        <f>(SUBSTITUTE(Audio!G198, "RE-", "", 1))*1</f>
        <v>76.61861042</v>
      </c>
      <c r="H198" s="92">
        <f>(SUBSTITUTE(Audio!H198, "RE-", "", 1))*1</f>
        <v>0</v>
      </c>
      <c r="I198" s="92">
        <f>(SUBSTITUTE(Audio!I198, "RE-", "", 1))*1</f>
        <v>11.27569167</v>
      </c>
      <c r="J198" s="92">
        <f>(SUBSTITUTE(Audio!J198, "RE-", "", 1))*1</f>
        <v>0</v>
      </c>
      <c r="K198" s="92">
        <f>(SUBSTITUTE(Audio!K198, "RE-", "", 1))*1</f>
        <v>106.3047885</v>
      </c>
      <c r="L198" s="92">
        <f>(SUBSTITUTE(Audio!L198, "RE-", "", 1))*1</f>
        <v>0</v>
      </c>
      <c r="M198" s="92">
        <f>(SUBSTITUTE(Audio!M198, "RE-", "", 1))*1</f>
        <v>40.64941875</v>
      </c>
      <c r="N198" s="92">
        <f>(SUBSTITUTE(Audio!N198, "RE-", "", 1))*1</f>
        <v>0</v>
      </c>
      <c r="O198" s="92">
        <f>(SUBSTITUTE(Audio!O198, "RE-", "", 1))*1</f>
        <v>108.7058927</v>
      </c>
      <c r="P198" s="92">
        <f>(SUBSTITUTE(Audio!P198, "RE-", "", 1))*1</f>
        <v>0</v>
      </c>
      <c r="Q198" s="92">
        <f>(SUBSTITUTE(Audio!Q198, "RE-", "", 1))*1</f>
        <v>99.62674896</v>
      </c>
      <c r="R198" s="92">
        <f>(SUBSTITUTE(Audio!R198, "RE-", "", 1))*1</f>
        <v>0</v>
      </c>
      <c r="S198" s="92">
        <f>(SUBSTITUTE(Audio!S198, "RE-", "", 1))*1</f>
        <v>34.56359688</v>
      </c>
      <c r="T198" s="92">
        <f>(SUBSTITUTE(Audio!T198, "RE-", "", 1))*1</f>
        <v>0</v>
      </c>
      <c r="U198" s="92">
        <f>(SUBSTITUTE(Audio!U198, "RE-", "", 1))*1</f>
        <v>73.39238854</v>
      </c>
      <c r="V198" s="92">
        <f>(SUBSTITUTE(Audio!V198, "RE-", "", 1))*1</f>
        <v>6.084939583</v>
      </c>
      <c r="W198" s="92">
        <f>(SUBSTITUTE(Audio!W198, "RE-", "", 1))*1</f>
        <v>0</v>
      </c>
      <c r="X198" s="92">
        <f>(SUBSTITUTE(Audio!X198, "RE-", "", 1))*1</f>
        <v>0</v>
      </c>
      <c r="Y198" s="92">
        <f>(SUBSTITUTE(Audio!Y198, "RE-", "", 1))*1</f>
        <v>0</v>
      </c>
      <c r="Z198" s="92">
        <f>(SUBSTITUTE(Audio!Z198, "RE-", "", 1))*1</f>
        <v>0</v>
      </c>
      <c r="AA198" s="92"/>
      <c r="AB198" s="92"/>
      <c r="AC198" s="92"/>
      <c r="AD198" s="92"/>
      <c r="AE198" s="92"/>
      <c r="AF198" s="92"/>
      <c r="AG198" s="92"/>
      <c r="AH198" s="92"/>
      <c r="AI198" s="92"/>
      <c r="AJ198" s="92"/>
      <c r="AK198" s="92"/>
      <c r="AL198" s="92"/>
      <c r="AM198" s="92"/>
      <c r="AN198" s="92"/>
      <c r="AO198" s="92"/>
      <c r="AP198" s="92"/>
      <c r="AQ198" s="92"/>
      <c r="AR198" s="92"/>
      <c r="AS198" s="92"/>
      <c r="AT198" s="92"/>
      <c r="AU198" s="92"/>
      <c r="AV198" s="92"/>
      <c r="AW198" s="92"/>
      <c r="AX198" s="92"/>
      <c r="AY198" s="92"/>
      <c r="AZ198" s="92"/>
      <c r="BA198" s="92"/>
      <c r="BB198" s="92"/>
      <c r="BC198" s="92"/>
      <c r="BD198" s="92"/>
      <c r="BE198" s="92"/>
      <c r="BF198" s="92"/>
      <c r="BG198" s="92"/>
      <c r="BH198" s="92"/>
      <c r="BI198" s="92"/>
      <c r="BJ198" s="92"/>
      <c r="BK198" s="92"/>
      <c r="BL198" s="92"/>
      <c r="BM198" s="92"/>
      <c r="BN198" s="92"/>
      <c r="BO198" s="92"/>
      <c r="BP198" s="92"/>
      <c r="BQ198" s="92"/>
      <c r="BR198" s="92"/>
      <c r="BS198" s="92"/>
      <c r="BT198" s="92"/>
      <c r="BU198" s="92"/>
      <c r="BV198" s="92"/>
      <c r="BW198" s="92"/>
      <c r="BX198" s="92"/>
      <c r="BY198" s="92"/>
      <c r="BZ198" s="92"/>
      <c r="CA198" s="92"/>
      <c r="CB198" s="92"/>
      <c r="CC198" s="92"/>
      <c r="CD198" s="92"/>
      <c r="CE198" s="92"/>
      <c r="CF198" s="92"/>
      <c r="CG198" s="92"/>
      <c r="CH198" s="92"/>
      <c r="CI198" s="92"/>
      <c r="CJ198" s="92"/>
      <c r="CK198" s="92"/>
      <c r="CL198" s="92"/>
      <c r="CM198" s="92"/>
      <c r="CN198" s="92"/>
      <c r="CO198" s="92"/>
      <c r="CP198" s="92"/>
      <c r="CQ198" s="92"/>
      <c r="CR198" s="92"/>
      <c r="CS198" s="92"/>
      <c r="CT198" s="92"/>
      <c r="CU198" s="92"/>
      <c r="CV198" s="92"/>
      <c r="CW198" s="92"/>
      <c r="CX198" s="92"/>
      <c r="CY198" s="92"/>
      <c r="CZ198" s="92"/>
      <c r="DA198" s="92"/>
      <c r="DB198" s="92"/>
      <c r="DC198" s="92"/>
      <c r="DD198" s="92"/>
      <c r="DE198" s="92"/>
      <c r="DF198" s="92"/>
      <c r="DG198" s="92"/>
      <c r="DH198" s="92"/>
      <c r="DI198" s="92"/>
      <c r="DJ198" s="92"/>
      <c r="DK198" s="92"/>
      <c r="DL198" s="92"/>
      <c r="DM198" s="92"/>
      <c r="DN198" s="92"/>
      <c r="DO198" s="92"/>
      <c r="DP198" s="92"/>
      <c r="DQ198" s="92"/>
      <c r="DR198" s="92"/>
      <c r="DS198" s="92"/>
      <c r="DT198" s="92"/>
      <c r="DU198" s="92"/>
      <c r="DV198" s="92"/>
      <c r="DW198" s="92"/>
      <c r="DX198" s="92"/>
      <c r="DY198" s="92"/>
      <c r="DZ198" s="92"/>
      <c r="EA198" s="92"/>
      <c r="EB198" s="92"/>
      <c r="EC198" s="92"/>
      <c r="ED198" s="92"/>
      <c r="EE198" s="92"/>
      <c r="EF198" s="92"/>
      <c r="EG198" s="92"/>
      <c r="EH198" s="92"/>
      <c r="EI198" s="92"/>
      <c r="EJ198" s="92"/>
      <c r="EK198" s="92"/>
      <c r="EL198" s="92"/>
      <c r="EM198" s="92"/>
      <c r="EN198" s="92"/>
      <c r="EO198" s="92"/>
      <c r="EP198" s="92"/>
      <c r="EQ198" s="92"/>
      <c r="ER198" s="92"/>
      <c r="ES198" s="92"/>
      <c r="ET198" s="92"/>
      <c r="EU198" s="92"/>
      <c r="EV198" s="92"/>
      <c r="EW198" s="92"/>
      <c r="EX198" s="92"/>
      <c r="EY198" s="92"/>
      <c r="EZ198" s="92"/>
      <c r="FA198" s="92"/>
      <c r="FB198" s="92"/>
      <c r="FC198" s="92"/>
      <c r="FD198" s="92"/>
      <c r="FE198" s="92"/>
      <c r="FF198" s="92"/>
      <c r="FG198" s="92"/>
      <c r="FH198" s="92"/>
    </row>
    <row r="199">
      <c r="A199" s="32" t="s">
        <v>7</v>
      </c>
      <c r="B199" s="32" t="s">
        <v>43</v>
      </c>
      <c r="C199" s="32" t="s">
        <v>12</v>
      </c>
      <c r="D199" s="97">
        <f t="shared" si="1"/>
        <v>5037.253027</v>
      </c>
      <c r="E199" s="92">
        <f>(SUBSTITUTE(Audio!E199, "RE-", "", 1))*1</f>
        <v>0</v>
      </c>
      <c r="F199" s="92">
        <f>(SUBSTITUTE(Audio!F199, "RE-", "", 1))*1</f>
        <v>729.6326417</v>
      </c>
      <c r="G199" s="92">
        <f>(SUBSTITUTE(Audio!G199, "RE-", "", 1))*1</f>
        <v>1.141197917</v>
      </c>
      <c r="H199" s="92">
        <f>(SUBSTITUTE(Audio!H199, "RE-", "", 1))*1</f>
        <v>165.7215833</v>
      </c>
      <c r="I199" s="92">
        <f>(SUBSTITUTE(Audio!I199, "RE-", "", 1))*1</f>
        <v>0.34464375</v>
      </c>
      <c r="J199" s="92">
        <f>(SUBSTITUTE(Audio!J199, "RE-", "", 1))*1</f>
        <v>1107.061559</v>
      </c>
      <c r="K199" s="92">
        <f>(SUBSTITUTE(Audio!K199, "RE-", "", 1))*1</f>
        <v>4.3964625</v>
      </c>
      <c r="L199" s="92">
        <f>(SUBSTITUTE(Audio!L199, "RE-", "", 1))*1</f>
        <v>864.8669021</v>
      </c>
      <c r="M199" s="92">
        <f>(SUBSTITUTE(Audio!M199, "RE-", "", 1))*1</f>
        <v>8.831659375</v>
      </c>
      <c r="N199" s="92">
        <f>(SUBSTITUTE(Audio!N199, "RE-", "", 1))*1</f>
        <v>794.6663323</v>
      </c>
      <c r="O199" s="92">
        <f>(SUBSTITUTE(Audio!O199, "RE-", "", 1))*1</f>
        <v>8.773492708</v>
      </c>
      <c r="P199" s="92">
        <f>(SUBSTITUTE(Audio!P199, "RE-", "", 1))*1</f>
        <v>614.8449312</v>
      </c>
      <c r="Q199" s="92">
        <f>(SUBSTITUTE(Audio!Q199, "RE-", "", 1))*1</f>
        <v>30.94107604</v>
      </c>
      <c r="R199" s="92">
        <f>(SUBSTITUTE(Audio!R199, "RE-", "", 1))*1</f>
        <v>151.2065813</v>
      </c>
      <c r="S199" s="92">
        <f>(SUBSTITUTE(Audio!S199, "RE-", "", 1))*1</f>
        <v>20.49604375</v>
      </c>
      <c r="T199" s="92">
        <f>(SUBSTITUTE(Audio!T199, "RE-", "", 1))*1</f>
        <v>490.1185229</v>
      </c>
      <c r="U199" s="92">
        <f>(SUBSTITUTE(Audio!U199, "RE-", "", 1))*1</f>
        <v>40.74844688</v>
      </c>
      <c r="V199" s="92">
        <f>(SUBSTITUTE(Audio!V199, "RE-", "", 1))*1</f>
        <v>3.46095</v>
      </c>
      <c r="W199" s="92">
        <f>(SUBSTITUTE(Audio!W199, "RE-", "", 1))*1</f>
        <v>0</v>
      </c>
      <c r="X199" s="92">
        <f>(SUBSTITUTE(Audio!X199, "RE-", "", 1))*1</f>
        <v>0</v>
      </c>
      <c r="Y199" s="92">
        <f>(SUBSTITUTE(Audio!Y199, "RE-", "", 1))*1</f>
        <v>0</v>
      </c>
      <c r="Z199" s="92">
        <f>(SUBSTITUTE(Audio!Z199, "RE-", "", 1))*1</f>
        <v>0</v>
      </c>
      <c r="AA199" s="92"/>
      <c r="AB199" s="92"/>
      <c r="AC199" s="92"/>
      <c r="AD199" s="92"/>
      <c r="AE199" s="92"/>
      <c r="AF199" s="92"/>
      <c r="AG199" s="92"/>
      <c r="AH199" s="92"/>
      <c r="AI199" s="92"/>
      <c r="AJ199" s="92"/>
      <c r="AK199" s="92"/>
      <c r="AL199" s="92"/>
      <c r="AM199" s="92"/>
      <c r="AN199" s="92"/>
      <c r="AO199" s="92"/>
      <c r="AP199" s="92"/>
      <c r="AQ199" s="92"/>
      <c r="AR199" s="92"/>
      <c r="AS199" s="92"/>
      <c r="AT199" s="92"/>
      <c r="AU199" s="92"/>
      <c r="AV199" s="92"/>
      <c r="AW199" s="92"/>
      <c r="AX199" s="92"/>
      <c r="AY199" s="92"/>
      <c r="AZ199" s="92"/>
      <c r="BA199" s="92"/>
      <c r="BB199" s="92"/>
      <c r="BC199" s="92"/>
      <c r="BD199" s="92"/>
      <c r="BE199" s="92"/>
      <c r="BF199" s="92"/>
      <c r="BG199" s="92"/>
      <c r="BH199" s="92"/>
      <c r="BI199" s="92"/>
      <c r="BJ199" s="92"/>
      <c r="BK199" s="92"/>
      <c r="BL199" s="92"/>
      <c r="BM199" s="92"/>
      <c r="BN199" s="92"/>
      <c r="BO199" s="92"/>
      <c r="BP199" s="92"/>
      <c r="BQ199" s="92"/>
      <c r="BR199" s="92"/>
      <c r="BS199" s="92"/>
      <c r="BT199" s="92"/>
      <c r="BU199" s="92"/>
      <c r="BV199" s="92"/>
      <c r="BW199" s="92"/>
      <c r="BX199" s="92"/>
      <c r="BY199" s="92"/>
      <c r="BZ199" s="92"/>
      <c r="CA199" s="92"/>
      <c r="CB199" s="92"/>
      <c r="CC199" s="92"/>
      <c r="CD199" s="92"/>
      <c r="CE199" s="92"/>
      <c r="CF199" s="92"/>
      <c r="CG199" s="92"/>
      <c r="CH199" s="92"/>
      <c r="CI199" s="92"/>
      <c r="CJ199" s="92"/>
      <c r="CK199" s="92"/>
      <c r="CL199" s="92"/>
      <c r="CM199" s="92"/>
      <c r="CN199" s="92"/>
      <c r="CO199" s="92"/>
      <c r="CP199" s="92"/>
      <c r="CQ199" s="92"/>
      <c r="CR199" s="92"/>
      <c r="CS199" s="92"/>
      <c r="CT199" s="92"/>
      <c r="CU199" s="92"/>
      <c r="CV199" s="92"/>
      <c r="CW199" s="92"/>
      <c r="CX199" s="92"/>
      <c r="CY199" s="92"/>
      <c r="CZ199" s="92"/>
      <c r="DA199" s="92"/>
      <c r="DB199" s="92"/>
      <c r="DC199" s="92"/>
      <c r="DD199" s="92"/>
      <c r="DE199" s="92"/>
      <c r="DF199" s="92"/>
      <c r="DG199" s="92"/>
      <c r="DH199" s="92"/>
      <c r="DI199" s="92"/>
      <c r="DJ199" s="92"/>
      <c r="DK199" s="92"/>
      <c r="DL199" s="92"/>
      <c r="DM199" s="92"/>
      <c r="DN199" s="92"/>
      <c r="DO199" s="92"/>
      <c r="DP199" s="92"/>
      <c r="DQ199" s="92"/>
      <c r="DR199" s="92"/>
      <c r="DS199" s="92"/>
      <c r="DT199" s="92"/>
      <c r="DU199" s="92"/>
      <c r="DV199" s="92"/>
      <c r="DW199" s="92"/>
      <c r="DX199" s="92"/>
      <c r="DY199" s="92"/>
      <c r="DZ199" s="92"/>
      <c r="EA199" s="92"/>
      <c r="EB199" s="92"/>
      <c r="EC199" s="92"/>
      <c r="ED199" s="92"/>
      <c r="EE199" s="92"/>
      <c r="EF199" s="92"/>
      <c r="EG199" s="92"/>
      <c r="EH199" s="92"/>
      <c r="EI199" s="92"/>
      <c r="EJ199" s="92"/>
      <c r="EK199" s="92"/>
      <c r="EL199" s="92"/>
      <c r="EM199" s="92"/>
      <c r="EN199" s="92"/>
      <c r="EO199" s="92"/>
      <c r="EP199" s="92"/>
      <c r="EQ199" s="92"/>
      <c r="ER199" s="92"/>
      <c r="ES199" s="92"/>
      <c r="ET199" s="92"/>
      <c r="EU199" s="92"/>
      <c r="EV199" s="92"/>
      <c r="EW199" s="92"/>
      <c r="EX199" s="92"/>
      <c r="EY199" s="92"/>
      <c r="EZ199" s="92"/>
      <c r="FA199" s="92"/>
      <c r="FB199" s="92"/>
      <c r="FC199" s="92"/>
      <c r="FD199" s="92"/>
      <c r="FE199" s="92"/>
      <c r="FF199" s="92"/>
      <c r="FG199" s="92"/>
      <c r="FH199" s="92"/>
    </row>
    <row r="200">
      <c r="A200" s="32" t="s">
        <v>7</v>
      </c>
      <c r="B200" s="32" t="s">
        <v>43</v>
      </c>
      <c r="C200" s="32" t="s">
        <v>13</v>
      </c>
      <c r="D200" s="97">
        <f t="shared" si="1"/>
        <v>4843.006433</v>
      </c>
      <c r="E200" s="92">
        <f>(SUBSTITUTE(Audio!E200, "RE-", "", 1))*1</f>
        <v>0</v>
      </c>
      <c r="F200" s="92">
        <f>(SUBSTITUTE(Audio!F200, "RE-", "", 1))*1</f>
        <v>703.487</v>
      </c>
      <c r="G200" s="92">
        <f>(SUBSTITUTE(Audio!G200, "RE-", "", 1))*1</f>
        <v>1.0674</v>
      </c>
      <c r="H200" s="92">
        <f>(SUBSTITUTE(Audio!H200, "RE-", "", 1))*1</f>
        <v>160.968</v>
      </c>
      <c r="I200" s="92">
        <f>(SUBSTITUTE(Audio!I200, "RE-", "", 1))*1</f>
        <v>0.318083</v>
      </c>
      <c r="J200" s="92">
        <f>(SUBSTITUTE(Audio!J200, "RE-", "", 1))*1</f>
        <v>1072.57</v>
      </c>
      <c r="K200" s="92">
        <f>(SUBSTITUTE(Audio!K200, "RE-", "", 1))*1</f>
        <v>4.22492</v>
      </c>
      <c r="L200" s="92">
        <f>(SUBSTITUTE(Audio!L200, "RE-", "", 1))*1</f>
        <v>826.638</v>
      </c>
      <c r="M200" s="92">
        <f>(SUBSTITUTE(Audio!M200, "RE-", "", 1))*1</f>
        <v>8.3902</v>
      </c>
      <c r="N200" s="92">
        <f>(SUBSTITUTE(Audio!N200, "RE-", "", 1))*1</f>
        <v>763.839</v>
      </c>
      <c r="O200" s="92">
        <f>(SUBSTITUTE(Audio!O200, "RE-", "", 1))*1</f>
        <v>8.02105</v>
      </c>
      <c r="P200" s="92">
        <f>(SUBSTITUTE(Audio!P200, "RE-", "", 1))*1</f>
        <v>585.189</v>
      </c>
      <c r="Q200" s="92">
        <f>(SUBSTITUTE(Audio!Q200, "RE-", "", 1))*1</f>
        <v>29.4082</v>
      </c>
      <c r="R200" s="92">
        <f>(SUBSTITUTE(Audio!R200, "RE-", "", 1))*1</f>
        <v>144.962</v>
      </c>
      <c r="S200" s="92">
        <f>(SUBSTITUTE(Audio!S200, "RE-", "", 1))*1</f>
        <v>19.4014</v>
      </c>
      <c r="T200" s="92">
        <f>(SUBSTITUTE(Audio!T200, "RE-", "", 1))*1</f>
        <v>472.402</v>
      </c>
      <c r="U200" s="92">
        <f>(SUBSTITUTE(Audio!U200, "RE-", "", 1))*1</f>
        <v>38.7857</v>
      </c>
      <c r="V200" s="92">
        <f>(SUBSTITUTE(Audio!V200, "RE-", "", 1))*1</f>
        <v>3.33448</v>
      </c>
      <c r="W200" s="92">
        <f>(SUBSTITUTE(Audio!W200, "RE-", "", 1))*1</f>
        <v>0</v>
      </c>
      <c r="X200" s="92">
        <f>(SUBSTITUTE(Audio!X200, "RE-", "", 1))*1</f>
        <v>0</v>
      </c>
      <c r="Y200" s="92">
        <f>(SUBSTITUTE(Audio!Y200, "RE-", "", 1))*1</f>
        <v>0</v>
      </c>
      <c r="Z200" s="92">
        <f>(SUBSTITUTE(Audio!Z200, "RE-", "", 1))*1</f>
        <v>0</v>
      </c>
      <c r="AA200" s="92"/>
      <c r="AB200" s="92"/>
      <c r="AC200" s="92"/>
      <c r="AD200" s="92"/>
      <c r="AE200" s="92"/>
      <c r="AF200" s="92"/>
      <c r="AG200" s="92"/>
      <c r="AH200" s="92"/>
      <c r="AI200" s="92"/>
      <c r="AJ200" s="92"/>
      <c r="AK200" s="92"/>
      <c r="AL200" s="92"/>
      <c r="AM200" s="92"/>
      <c r="AN200" s="92"/>
      <c r="AO200" s="92"/>
      <c r="AP200" s="92"/>
      <c r="AQ200" s="92"/>
      <c r="AR200" s="92"/>
      <c r="AS200" s="92"/>
      <c r="AT200" s="92"/>
      <c r="AU200" s="92"/>
      <c r="AV200" s="92"/>
      <c r="AW200" s="92"/>
      <c r="AX200" s="92"/>
      <c r="AY200" s="92"/>
      <c r="AZ200" s="92"/>
      <c r="BA200" s="92"/>
      <c r="BB200" s="92"/>
      <c r="BC200" s="92"/>
      <c r="BD200" s="92"/>
      <c r="BE200" s="92"/>
      <c r="BF200" s="92"/>
      <c r="BG200" s="92"/>
      <c r="BH200" s="92"/>
      <c r="BI200" s="92"/>
      <c r="BJ200" s="92"/>
      <c r="BK200" s="92"/>
      <c r="BL200" s="92"/>
      <c r="BM200" s="92"/>
      <c r="BN200" s="92"/>
      <c r="BO200" s="92"/>
      <c r="BP200" s="92"/>
      <c r="BQ200" s="92"/>
      <c r="BR200" s="92"/>
      <c r="BS200" s="92"/>
      <c r="BT200" s="92"/>
      <c r="BU200" s="92"/>
      <c r="BV200" s="92"/>
      <c r="BW200" s="92"/>
      <c r="BX200" s="92"/>
      <c r="BY200" s="92"/>
      <c r="BZ200" s="92"/>
      <c r="CA200" s="92"/>
      <c r="CB200" s="92"/>
      <c r="CC200" s="92"/>
      <c r="CD200" s="92"/>
      <c r="CE200" s="92"/>
      <c r="CF200" s="92"/>
      <c r="CG200" s="92"/>
      <c r="CH200" s="92"/>
      <c r="CI200" s="92"/>
      <c r="CJ200" s="92"/>
      <c r="CK200" s="92"/>
      <c r="CL200" s="92"/>
      <c r="CM200" s="92"/>
      <c r="CN200" s="92"/>
      <c r="CO200" s="92"/>
      <c r="CP200" s="92"/>
      <c r="CQ200" s="92"/>
      <c r="CR200" s="92"/>
      <c r="CS200" s="92"/>
      <c r="CT200" s="92"/>
      <c r="CU200" s="92"/>
      <c r="CV200" s="92"/>
      <c r="CW200" s="92"/>
      <c r="CX200" s="92"/>
      <c r="CY200" s="92"/>
      <c r="CZ200" s="92"/>
      <c r="DA200" s="92"/>
      <c r="DB200" s="92"/>
      <c r="DC200" s="92"/>
      <c r="DD200" s="92"/>
      <c r="DE200" s="92"/>
      <c r="DF200" s="92"/>
      <c r="DG200" s="92"/>
      <c r="DH200" s="92"/>
      <c r="DI200" s="92"/>
      <c r="DJ200" s="92"/>
      <c r="DK200" s="92"/>
      <c r="DL200" s="92"/>
      <c r="DM200" s="92"/>
      <c r="DN200" s="92"/>
      <c r="DO200" s="92"/>
      <c r="DP200" s="92"/>
      <c r="DQ200" s="92"/>
      <c r="DR200" s="92"/>
      <c r="DS200" s="92"/>
      <c r="DT200" s="92"/>
      <c r="DU200" s="92"/>
      <c r="DV200" s="92"/>
      <c r="DW200" s="92"/>
      <c r="DX200" s="92"/>
      <c r="DY200" s="92"/>
      <c r="DZ200" s="92"/>
      <c r="EA200" s="92"/>
      <c r="EB200" s="92"/>
      <c r="EC200" s="92"/>
      <c r="ED200" s="92"/>
      <c r="EE200" s="92"/>
      <c r="EF200" s="92"/>
      <c r="EG200" s="92"/>
      <c r="EH200" s="92"/>
      <c r="EI200" s="92"/>
      <c r="EJ200" s="92"/>
      <c r="EK200" s="92"/>
      <c r="EL200" s="92"/>
      <c r="EM200" s="92"/>
      <c r="EN200" s="92"/>
      <c r="EO200" s="92"/>
      <c r="EP200" s="92"/>
      <c r="EQ200" s="92"/>
      <c r="ER200" s="92"/>
      <c r="ES200" s="92"/>
      <c r="ET200" s="92"/>
      <c r="EU200" s="92"/>
      <c r="EV200" s="92"/>
      <c r="EW200" s="92"/>
      <c r="EX200" s="92"/>
      <c r="EY200" s="92"/>
      <c r="EZ200" s="92"/>
      <c r="FA200" s="92"/>
      <c r="FB200" s="92"/>
      <c r="FC200" s="92"/>
      <c r="FD200" s="92"/>
      <c r="FE200" s="92"/>
      <c r="FF200" s="92"/>
      <c r="FG200" s="92"/>
      <c r="FH200" s="92"/>
    </row>
    <row r="201">
      <c r="A201" s="32" t="s">
        <v>7</v>
      </c>
      <c r="B201" s="32" t="s">
        <v>43</v>
      </c>
      <c r="C201" s="32" t="s">
        <v>14</v>
      </c>
      <c r="D201" s="97">
        <f t="shared" si="1"/>
        <v>4284.435543</v>
      </c>
      <c r="E201" s="92">
        <f>(SUBSTITUTE(Audio!E201, "RE-", "", 1))*1</f>
        <v>0</v>
      </c>
      <c r="F201" s="92">
        <f>(SUBSTITUTE(Audio!F201, "RE-", "", 1))*1</f>
        <v>649.907</v>
      </c>
      <c r="G201" s="92">
        <f>(SUBSTITUTE(Audio!G201, "RE-", "", 1))*1</f>
        <v>1.0674</v>
      </c>
      <c r="H201" s="92">
        <f>(SUBSTITUTE(Audio!H201, "RE-", "", 1))*1</f>
        <v>151.546</v>
      </c>
      <c r="I201" s="92">
        <f>(SUBSTITUTE(Audio!I201, "RE-", "", 1))*1</f>
        <v>0.318083</v>
      </c>
      <c r="J201" s="92">
        <f>(SUBSTITUTE(Audio!J201, "RE-", "", 1))*1</f>
        <v>992.124</v>
      </c>
      <c r="K201" s="92">
        <f>(SUBSTITUTE(Audio!K201, "RE-", "", 1))*1</f>
        <v>4.0874</v>
      </c>
      <c r="L201" s="92">
        <f>(SUBSTITUTE(Audio!L201, "RE-", "", 1))*1</f>
        <v>721.443</v>
      </c>
      <c r="M201" s="92">
        <f>(SUBSTITUTE(Audio!M201, "RE-", "", 1))*1</f>
        <v>8.08022</v>
      </c>
      <c r="N201" s="92">
        <f>(SUBSTITUTE(Audio!N201, "RE-", "", 1))*1</f>
        <v>654.029</v>
      </c>
      <c r="O201" s="92">
        <f>(SUBSTITUTE(Audio!O201, "RE-", "", 1))*1</f>
        <v>7.17472</v>
      </c>
      <c r="P201" s="92">
        <f>(SUBSTITUTE(Audio!P201, "RE-", "", 1))*1</f>
        <v>500.34</v>
      </c>
      <c r="Q201" s="92">
        <f>(SUBSTITUTE(Audio!Q201, "RE-", "", 1))*1</f>
        <v>27.6697</v>
      </c>
      <c r="R201" s="92">
        <f>(SUBSTITUTE(Audio!R201, "RE-", "", 1))*1</f>
        <v>121.863</v>
      </c>
      <c r="S201" s="92">
        <f>(SUBSTITUTE(Audio!S201, "RE-", "", 1))*1</f>
        <v>15.2598</v>
      </c>
      <c r="T201" s="92">
        <f>(SUBSTITUTE(Audio!T201, "RE-", "", 1))*1</f>
        <v>393.962</v>
      </c>
      <c r="U201" s="92">
        <f>(SUBSTITUTE(Audio!U201, "RE-", "", 1))*1</f>
        <v>32.7691</v>
      </c>
      <c r="V201" s="92">
        <f>(SUBSTITUTE(Audio!V201, "RE-", "", 1))*1</f>
        <v>2.79512</v>
      </c>
      <c r="W201" s="92">
        <f>(SUBSTITUTE(Audio!W201, "RE-", "", 1))*1</f>
        <v>0</v>
      </c>
      <c r="X201" s="92">
        <f>(SUBSTITUTE(Audio!X201, "RE-", "", 1))*1</f>
        <v>0</v>
      </c>
      <c r="Y201" s="92">
        <f>(SUBSTITUTE(Audio!Y201, "RE-", "", 1))*1</f>
        <v>0</v>
      </c>
      <c r="Z201" s="92">
        <f>(SUBSTITUTE(Audio!Z201, "RE-", "", 1))*1</f>
        <v>0</v>
      </c>
      <c r="AA201" s="92"/>
      <c r="AB201" s="92"/>
      <c r="AC201" s="92"/>
      <c r="AD201" s="92"/>
      <c r="AE201" s="92"/>
      <c r="AF201" s="92"/>
      <c r="AG201" s="92"/>
      <c r="AH201" s="92"/>
      <c r="AI201" s="92"/>
      <c r="AJ201" s="92"/>
      <c r="AK201" s="92"/>
      <c r="AL201" s="92"/>
      <c r="AM201" s="92"/>
      <c r="AN201" s="92"/>
      <c r="AO201" s="92"/>
      <c r="AP201" s="92"/>
      <c r="AQ201" s="92"/>
      <c r="AR201" s="92"/>
      <c r="AS201" s="92"/>
      <c r="AT201" s="92"/>
      <c r="AU201" s="92"/>
      <c r="AV201" s="92"/>
      <c r="AW201" s="92"/>
      <c r="AX201" s="92"/>
      <c r="AY201" s="92"/>
      <c r="AZ201" s="92"/>
      <c r="BA201" s="92"/>
      <c r="BB201" s="92"/>
      <c r="BC201" s="92"/>
      <c r="BD201" s="92"/>
      <c r="BE201" s="92"/>
      <c r="BF201" s="92"/>
      <c r="BG201" s="92"/>
      <c r="BH201" s="92"/>
      <c r="BI201" s="92"/>
      <c r="BJ201" s="92"/>
      <c r="BK201" s="92"/>
      <c r="BL201" s="92"/>
      <c r="BM201" s="92"/>
      <c r="BN201" s="92"/>
      <c r="BO201" s="92"/>
      <c r="BP201" s="92"/>
      <c r="BQ201" s="92"/>
      <c r="BR201" s="92"/>
      <c r="BS201" s="92"/>
      <c r="BT201" s="92"/>
      <c r="BU201" s="92"/>
      <c r="BV201" s="92"/>
      <c r="BW201" s="92"/>
      <c r="BX201" s="92"/>
      <c r="BY201" s="92"/>
      <c r="BZ201" s="92"/>
      <c r="CA201" s="92"/>
      <c r="CB201" s="92"/>
      <c r="CC201" s="92"/>
      <c r="CD201" s="92"/>
      <c r="CE201" s="92"/>
      <c r="CF201" s="92"/>
      <c r="CG201" s="92"/>
      <c r="CH201" s="92"/>
      <c r="CI201" s="92"/>
      <c r="CJ201" s="92"/>
      <c r="CK201" s="92"/>
      <c r="CL201" s="92"/>
      <c r="CM201" s="92"/>
      <c r="CN201" s="92"/>
      <c r="CO201" s="92"/>
      <c r="CP201" s="92"/>
      <c r="CQ201" s="92"/>
      <c r="CR201" s="92"/>
      <c r="CS201" s="92"/>
      <c r="CT201" s="92"/>
      <c r="CU201" s="92"/>
      <c r="CV201" s="92"/>
      <c r="CW201" s="92"/>
      <c r="CX201" s="92"/>
      <c r="CY201" s="92"/>
      <c r="CZ201" s="92"/>
      <c r="DA201" s="92"/>
      <c r="DB201" s="92"/>
      <c r="DC201" s="92"/>
      <c r="DD201" s="92"/>
      <c r="DE201" s="92"/>
      <c r="DF201" s="92"/>
      <c r="DG201" s="92"/>
      <c r="DH201" s="92"/>
      <c r="DI201" s="92"/>
      <c r="DJ201" s="92"/>
      <c r="DK201" s="92"/>
      <c r="DL201" s="92"/>
      <c r="DM201" s="92"/>
      <c r="DN201" s="92"/>
      <c r="DO201" s="92"/>
      <c r="DP201" s="92"/>
      <c r="DQ201" s="92"/>
      <c r="DR201" s="92"/>
      <c r="DS201" s="92"/>
      <c r="DT201" s="92"/>
      <c r="DU201" s="92"/>
      <c r="DV201" s="92"/>
      <c r="DW201" s="92"/>
      <c r="DX201" s="92"/>
      <c r="DY201" s="92"/>
      <c r="DZ201" s="92"/>
      <c r="EA201" s="92"/>
      <c r="EB201" s="92"/>
      <c r="EC201" s="92"/>
      <c r="ED201" s="92"/>
      <c r="EE201" s="92"/>
      <c r="EF201" s="92"/>
      <c r="EG201" s="92"/>
      <c r="EH201" s="92"/>
      <c r="EI201" s="92"/>
      <c r="EJ201" s="92"/>
      <c r="EK201" s="92"/>
      <c r="EL201" s="92"/>
      <c r="EM201" s="92"/>
      <c r="EN201" s="92"/>
      <c r="EO201" s="92"/>
      <c r="EP201" s="92"/>
      <c r="EQ201" s="92"/>
      <c r="ER201" s="92"/>
      <c r="ES201" s="92"/>
      <c r="ET201" s="92"/>
      <c r="EU201" s="92"/>
      <c r="EV201" s="92"/>
      <c r="EW201" s="92"/>
      <c r="EX201" s="92"/>
      <c r="EY201" s="92"/>
      <c r="EZ201" s="92"/>
      <c r="FA201" s="92"/>
      <c r="FB201" s="92"/>
      <c r="FC201" s="92"/>
      <c r="FD201" s="92"/>
      <c r="FE201" s="92"/>
      <c r="FF201" s="92"/>
      <c r="FG201" s="92"/>
      <c r="FH201" s="92"/>
    </row>
    <row r="202">
      <c r="A202" s="27" t="s">
        <v>7</v>
      </c>
      <c r="B202" s="27" t="s">
        <v>43</v>
      </c>
      <c r="C202" s="27" t="s">
        <v>15</v>
      </c>
      <c r="D202" s="98">
        <f t="shared" si="1"/>
        <v>4842.737233</v>
      </c>
      <c r="E202" s="92">
        <f>(SUBSTITUTE(Audio!E202, "RE-", "", 1))*1</f>
        <v>0</v>
      </c>
      <c r="F202" s="92">
        <f>(SUBSTITUTE(Audio!F202, "RE-", "", 1))*1</f>
        <v>703.487</v>
      </c>
      <c r="G202" s="92">
        <f>(SUBSTITUTE(Audio!G202, "RE-", "", 1))*1</f>
        <v>1.0674</v>
      </c>
      <c r="H202" s="92">
        <f>(SUBSTITUTE(Audio!H202, "RE-", "", 1))*1</f>
        <v>160.968</v>
      </c>
      <c r="I202" s="92">
        <f>(SUBSTITUTE(Audio!I202, "RE-", "", 1))*1</f>
        <v>0.318083</v>
      </c>
      <c r="J202" s="92">
        <f>(SUBSTITUTE(Audio!J202, "RE-", "", 1))*1</f>
        <v>1072.57</v>
      </c>
      <c r="K202" s="92">
        <f>(SUBSTITUTE(Audio!K202, "RE-", "", 1))*1</f>
        <v>4.22492</v>
      </c>
      <c r="L202" s="92">
        <f>(SUBSTITUTE(Audio!L202, "RE-", "", 1))*1</f>
        <v>826.427</v>
      </c>
      <c r="M202" s="92">
        <f>(SUBSTITUTE(Audio!M202, "RE-", "", 1))*1</f>
        <v>8.3902</v>
      </c>
      <c r="N202" s="92">
        <f>(SUBSTITUTE(Audio!N202, "RE-", "", 1))*1</f>
        <v>763.839</v>
      </c>
      <c r="O202" s="92">
        <f>(SUBSTITUTE(Audio!O202, "RE-", "", 1))*1</f>
        <v>8.02105</v>
      </c>
      <c r="P202" s="92">
        <f>(SUBSTITUTE(Audio!P202, "RE-", "", 1))*1</f>
        <v>585.189</v>
      </c>
      <c r="Q202" s="92">
        <f>(SUBSTITUTE(Audio!Q202, "RE-", "", 1))*1</f>
        <v>29.4082</v>
      </c>
      <c r="R202" s="92">
        <f>(SUBSTITUTE(Audio!R202, "RE-", "", 1))*1</f>
        <v>144.962</v>
      </c>
      <c r="S202" s="92">
        <f>(SUBSTITUTE(Audio!S202, "RE-", "", 1))*1</f>
        <v>19.3432</v>
      </c>
      <c r="T202" s="92">
        <f>(SUBSTITUTE(Audio!T202, "RE-", "", 1))*1</f>
        <v>472.402</v>
      </c>
      <c r="U202" s="92">
        <f>(SUBSTITUTE(Audio!U202, "RE-", "", 1))*1</f>
        <v>38.7857</v>
      </c>
      <c r="V202" s="92">
        <f>(SUBSTITUTE(Audio!V202, "RE-", "", 1))*1</f>
        <v>3.33448</v>
      </c>
      <c r="W202" s="92">
        <f>(SUBSTITUTE(Audio!W202, "RE-", "", 1))*1</f>
        <v>0</v>
      </c>
      <c r="X202" s="92">
        <f>(SUBSTITUTE(Audio!X202, "RE-", "", 1))*1</f>
        <v>0</v>
      </c>
      <c r="Y202" s="92">
        <f>(SUBSTITUTE(Audio!Y202, "RE-", "", 1))*1</f>
        <v>0</v>
      </c>
      <c r="Z202" s="92">
        <f>(SUBSTITUTE(Audio!Z202, "RE-", "", 1))*1</f>
        <v>0</v>
      </c>
      <c r="AA202" s="92"/>
      <c r="AB202" s="92"/>
      <c r="AC202" s="92"/>
      <c r="AD202" s="92"/>
      <c r="AE202" s="92"/>
      <c r="AF202" s="92"/>
      <c r="AG202" s="92"/>
      <c r="AH202" s="92"/>
      <c r="AI202" s="92"/>
      <c r="AJ202" s="92"/>
      <c r="AK202" s="92"/>
      <c r="AL202" s="92"/>
      <c r="AM202" s="92"/>
      <c r="AN202" s="92"/>
      <c r="AO202" s="92"/>
      <c r="AP202" s="92"/>
      <c r="AQ202" s="92"/>
      <c r="AR202" s="92"/>
      <c r="AS202" s="92"/>
      <c r="AT202" s="92"/>
      <c r="AU202" s="92"/>
      <c r="AV202" s="92"/>
      <c r="AW202" s="92"/>
      <c r="AX202" s="92"/>
      <c r="AY202" s="92"/>
      <c r="AZ202" s="92"/>
      <c r="BA202" s="92"/>
      <c r="BB202" s="92"/>
      <c r="BC202" s="92"/>
      <c r="BD202" s="92"/>
      <c r="BE202" s="92"/>
      <c r="BF202" s="92"/>
      <c r="BG202" s="92"/>
      <c r="BH202" s="92"/>
      <c r="BI202" s="92"/>
      <c r="BJ202" s="92"/>
      <c r="BK202" s="92"/>
      <c r="BL202" s="92"/>
      <c r="BM202" s="92"/>
      <c r="BN202" s="92"/>
      <c r="BO202" s="92"/>
      <c r="BP202" s="92"/>
      <c r="BQ202" s="92"/>
      <c r="BR202" s="92"/>
      <c r="BS202" s="92"/>
      <c r="BT202" s="92"/>
      <c r="BU202" s="92"/>
      <c r="BV202" s="92"/>
      <c r="BW202" s="92"/>
      <c r="BX202" s="92"/>
      <c r="BY202" s="92"/>
      <c r="BZ202" s="92"/>
      <c r="CA202" s="92"/>
      <c r="CB202" s="92"/>
      <c r="CC202" s="92"/>
      <c r="CD202" s="92"/>
      <c r="CE202" s="92"/>
      <c r="CF202" s="92"/>
      <c r="CG202" s="92"/>
      <c r="CH202" s="92"/>
      <c r="CI202" s="92"/>
      <c r="CJ202" s="92"/>
      <c r="CK202" s="92"/>
      <c r="CL202" s="92"/>
      <c r="CM202" s="92"/>
      <c r="CN202" s="92"/>
      <c r="CO202" s="92"/>
      <c r="CP202" s="92"/>
      <c r="CQ202" s="92"/>
      <c r="CR202" s="92"/>
      <c r="CS202" s="92"/>
      <c r="CT202" s="92"/>
      <c r="CU202" s="92"/>
      <c r="CV202" s="92"/>
      <c r="CW202" s="92"/>
      <c r="CX202" s="92"/>
      <c r="CY202" s="92"/>
      <c r="CZ202" s="92"/>
      <c r="DA202" s="92"/>
      <c r="DB202" s="92"/>
      <c r="DC202" s="92"/>
      <c r="DD202" s="92"/>
      <c r="DE202" s="92"/>
      <c r="DF202" s="92"/>
      <c r="DG202" s="92"/>
      <c r="DH202" s="92"/>
      <c r="DI202" s="92"/>
      <c r="DJ202" s="92"/>
      <c r="DK202" s="92"/>
      <c r="DL202" s="92"/>
      <c r="DM202" s="92"/>
      <c r="DN202" s="92"/>
      <c r="DO202" s="92"/>
      <c r="DP202" s="92"/>
      <c r="DQ202" s="92"/>
      <c r="DR202" s="92"/>
      <c r="DS202" s="92"/>
      <c r="DT202" s="92"/>
      <c r="DU202" s="92"/>
      <c r="DV202" s="92"/>
      <c r="DW202" s="92"/>
      <c r="DX202" s="92"/>
      <c r="DY202" s="92"/>
      <c r="DZ202" s="92"/>
      <c r="EA202" s="92"/>
      <c r="EB202" s="92"/>
      <c r="EC202" s="92"/>
      <c r="ED202" s="92"/>
      <c r="EE202" s="92"/>
      <c r="EF202" s="92"/>
      <c r="EG202" s="92"/>
      <c r="EH202" s="92"/>
      <c r="EI202" s="92"/>
      <c r="EJ202" s="92"/>
      <c r="EK202" s="92"/>
      <c r="EL202" s="92"/>
      <c r="EM202" s="92"/>
      <c r="EN202" s="92"/>
      <c r="EO202" s="92"/>
      <c r="EP202" s="92"/>
      <c r="EQ202" s="92"/>
      <c r="ER202" s="92"/>
      <c r="ES202" s="92"/>
      <c r="ET202" s="92"/>
      <c r="EU202" s="92"/>
      <c r="EV202" s="92"/>
      <c r="EW202" s="92"/>
      <c r="EX202" s="92"/>
      <c r="EY202" s="92"/>
      <c r="EZ202" s="92"/>
      <c r="FA202" s="92"/>
      <c r="FB202" s="92"/>
      <c r="FC202" s="92"/>
      <c r="FD202" s="92"/>
      <c r="FE202" s="92"/>
      <c r="FF202" s="92"/>
      <c r="FG202" s="92"/>
      <c r="FH202" s="92"/>
    </row>
    <row r="203">
      <c r="A203" s="30" t="s">
        <v>7</v>
      </c>
      <c r="B203" s="30" t="s">
        <v>44</v>
      </c>
      <c r="C203" s="31" t="str">
        <f>HYPERLINK("https://docs.google.com/spreadsheets/d/1y1JM_WcxVW0gYzWt79-aPlGog_CW8_ta/edit?usp=share_link&amp;ouid=106501987799020758802&amp;rtpof=true&amp;sd=true", "Raw Delivered")</f>
        <v>Raw Delivered</v>
      </c>
      <c r="D203" s="96">
        <f t="shared" si="1"/>
        <v>6796.227708</v>
      </c>
      <c r="E203" s="92">
        <f>(SUBSTITUTE(Audio!E203, "RE-", "", 1))*1</f>
        <v>0</v>
      </c>
      <c r="F203" s="92">
        <f>(SUBSTITUTE(Audio!F203, "RE-", "", 1))*1</f>
        <v>621.8369563</v>
      </c>
      <c r="G203" s="92">
        <f>(SUBSTITUTE(Audio!G203, "RE-", "", 1))*1</f>
        <v>0</v>
      </c>
      <c r="H203" s="92">
        <f>(SUBSTITUTE(Audio!H203, "RE-", "", 1))*1</f>
        <v>123.6184146</v>
      </c>
      <c r="I203" s="92">
        <f>(SUBSTITUTE(Audio!I203, "RE-", "", 1))*1</f>
        <v>0</v>
      </c>
      <c r="J203" s="92">
        <f>(SUBSTITUTE(Audio!J203, "RE-", "", 1))*1</f>
        <v>2128.576395</v>
      </c>
      <c r="K203" s="92">
        <f>(SUBSTITUTE(Audio!K203, "RE-", "", 1))*1</f>
        <v>0</v>
      </c>
      <c r="L203" s="92">
        <f>(SUBSTITUTE(Audio!L203, "RE-", "", 1))*1</f>
        <v>657.3326969</v>
      </c>
      <c r="M203" s="92">
        <f>(SUBSTITUTE(Audio!M203, "RE-", "", 1))*1</f>
        <v>0</v>
      </c>
      <c r="N203" s="92">
        <f>(SUBSTITUTE(Audio!N203, "RE-", "", 1))*1</f>
        <v>2025.221824</v>
      </c>
      <c r="O203" s="92">
        <f>(SUBSTITUTE(Audio!O203, "RE-", "", 1))*1</f>
        <v>0</v>
      </c>
      <c r="P203" s="92">
        <f>(SUBSTITUTE(Audio!P203, "RE-", "", 1))*1</f>
        <v>495.9823448</v>
      </c>
      <c r="Q203" s="92">
        <f>(SUBSTITUTE(Audio!Q203, "RE-", "", 1))*1</f>
        <v>0</v>
      </c>
      <c r="R203" s="92">
        <f>(SUBSTITUTE(Audio!R203, "RE-", "", 1))*1</f>
        <v>106.2326646</v>
      </c>
      <c r="S203" s="92">
        <f>(SUBSTITUTE(Audio!S203, "RE-", "", 1))*1</f>
        <v>0</v>
      </c>
      <c r="T203" s="92">
        <f>(SUBSTITUTE(Audio!T203, "RE-", "", 1))*1</f>
        <v>637.4264115</v>
      </c>
      <c r="U203" s="92">
        <f>(SUBSTITUTE(Audio!U203, "RE-", "", 1))*1</f>
        <v>0</v>
      </c>
      <c r="V203" s="92">
        <f>(SUBSTITUTE(Audio!V203, "RE-", "", 1))*1</f>
        <v>0</v>
      </c>
      <c r="W203" s="92">
        <f>(SUBSTITUTE(Audio!W203, "RE-", "", 1))*1</f>
        <v>0</v>
      </c>
      <c r="X203" s="92">
        <f>(SUBSTITUTE(Audio!X203, "RE-", "", 1))*1</f>
        <v>0</v>
      </c>
      <c r="Y203" s="92">
        <f>(SUBSTITUTE(Audio!Y203, "RE-", "", 1))*1</f>
        <v>0</v>
      </c>
      <c r="Z203" s="92">
        <f>(SUBSTITUTE(Audio!Z203, "RE-", "", 1))*1</f>
        <v>0</v>
      </c>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c r="AY203" s="92"/>
      <c r="AZ203" s="92"/>
      <c r="BA203" s="92"/>
      <c r="BB203" s="92"/>
      <c r="BC203" s="92"/>
      <c r="BD203" s="92"/>
      <c r="BE203" s="92"/>
      <c r="BF203" s="92"/>
      <c r="BG203" s="92"/>
      <c r="BH203" s="92"/>
      <c r="BI203" s="92"/>
      <c r="BJ203" s="92"/>
      <c r="BK203" s="92"/>
      <c r="BL203" s="92"/>
      <c r="BM203" s="92"/>
      <c r="BN203" s="92"/>
      <c r="BO203" s="92"/>
      <c r="BP203" s="92"/>
      <c r="BQ203" s="92"/>
      <c r="BR203" s="92"/>
      <c r="BS203" s="92"/>
      <c r="BT203" s="92"/>
      <c r="BU203" s="92"/>
      <c r="BV203" s="92"/>
      <c r="BW203" s="92"/>
      <c r="BX203" s="92"/>
      <c r="BY203" s="92"/>
      <c r="BZ203" s="92"/>
      <c r="CA203" s="92"/>
      <c r="CB203" s="92"/>
      <c r="CC203" s="92"/>
      <c r="CD203" s="92"/>
      <c r="CE203" s="92"/>
      <c r="CF203" s="92"/>
      <c r="CG203" s="92"/>
      <c r="CH203" s="92"/>
      <c r="CI203" s="92"/>
      <c r="CJ203" s="92"/>
      <c r="CK203" s="92"/>
      <c r="CL203" s="92"/>
      <c r="CM203" s="92"/>
      <c r="CN203" s="92"/>
      <c r="CO203" s="92"/>
      <c r="CP203" s="92"/>
      <c r="CQ203" s="92"/>
      <c r="CR203" s="92"/>
      <c r="CS203" s="92"/>
      <c r="CT203" s="92"/>
      <c r="CU203" s="92"/>
      <c r="CV203" s="92"/>
      <c r="CW203" s="92"/>
      <c r="CX203" s="92"/>
      <c r="CY203" s="92"/>
      <c r="CZ203" s="92"/>
      <c r="DA203" s="92"/>
      <c r="DB203" s="92"/>
      <c r="DC203" s="92"/>
      <c r="DD203" s="92"/>
      <c r="DE203" s="92"/>
      <c r="DF203" s="92"/>
      <c r="DG203" s="92"/>
      <c r="DH203" s="92"/>
      <c r="DI203" s="92"/>
      <c r="DJ203" s="92"/>
      <c r="DK203" s="92"/>
      <c r="DL203" s="92"/>
      <c r="DM203" s="92"/>
      <c r="DN203" s="92"/>
      <c r="DO203" s="92"/>
      <c r="DP203" s="92"/>
      <c r="DQ203" s="92"/>
      <c r="DR203" s="92"/>
      <c r="DS203" s="92"/>
      <c r="DT203" s="92"/>
      <c r="DU203" s="92"/>
      <c r="DV203" s="92"/>
      <c r="DW203" s="92"/>
      <c r="DX203" s="92"/>
      <c r="DY203" s="92"/>
      <c r="DZ203" s="92"/>
      <c r="EA203" s="92"/>
      <c r="EB203" s="92"/>
      <c r="EC203" s="92"/>
      <c r="ED203" s="92"/>
      <c r="EE203" s="92"/>
      <c r="EF203" s="92"/>
      <c r="EG203" s="92"/>
      <c r="EH203" s="92"/>
      <c r="EI203" s="92"/>
      <c r="EJ203" s="92"/>
      <c r="EK203" s="92"/>
      <c r="EL203" s="92"/>
      <c r="EM203" s="92"/>
      <c r="EN203" s="92"/>
      <c r="EO203" s="92"/>
      <c r="EP203" s="92"/>
      <c r="EQ203" s="92"/>
      <c r="ER203" s="92"/>
      <c r="ES203" s="92"/>
      <c r="ET203" s="92"/>
      <c r="EU203" s="92"/>
      <c r="EV203" s="92"/>
      <c r="EW203" s="92"/>
      <c r="EX203" s="92"/>
      <c r="EY203" s="92"/>
      <c r="EZ203" s="92"/>
      <c r="FA203" s="92"/>
      <c r="FB203" s="92"/>
      <c r="FC203" s="92"/>
      <c r="FD203" s="92"/>
      <c r="FE203" s="92"/>
      <c r="FF203" s="92"/>
      <c r="FG203" s="92"/>
      <c r="FH203" s="92"/>
    </row>
    <row r="204">
      <c r="A204" s="32" t="s">
        <v>7</v>
      </c>
      <c r="B204" s="32" t="s">
        <v>44</v>
      </c>
      <c r="C204" s="32" t="s">
        <v>9</v>
      </c>
      <c r="D204" s="97">
        <f t="shared" si="1"/>
        <v>6796.227707</v>
      </c>
      <c r="E204" s="92">
        <f>(SUBSTITUTE(Audio!E204, "RE-", "", 1))*1</f>
        <v>0</v>
      </c>
      <c r="F204" s="92">
        <f>(SUBSTITUTE(Audio!F204, "RE-", "", 1))*1</f>
        <v>621.8369563</v>
      </c>
      <c r="G204" s="92">
        <f>(SUBSTITUTE(Audio!G204, "RE-", "", 1))*1</f>
        <v>0</v>
      </c>
      <c r="H204" s="92">
        <f>(SUBSTITUTE(Audio!H204, "RE-", "", 1))*1</f>
        <v>123.6184146</v>
      </c>
      <c r="I204" s="92">
        <f>(SUBSTITUTE(Audio!I204, "RE-", "", 1))*1</f>
        <v>0</v>
      </c>
      <c r="J204" s="92">
        <f>(SUBSTITUTE(Audio!J204, "RE-", "", 1))*1</f>
        <v>2128.576395</v>
      </c>
      <c r="K204" s="92">
        <f>(SUBSTITUTE(Audio!K204, "RE-", "", 1))*1</f>
        <v>0</v>
      </c>
      <c r="L204" s="92">
        <f>(SUBSTITUTE(Audio!L204, "RE-", "", 1))*1</f>
        <v>657.3326969</v>
      </c>
      <c r="M204" s="92">
        <f>(SUBSTITUTE(Audio!M204, "RE-", "", 1))*1</f>
        <v>0</v>
      </c>
      <c r="N204" s="92">
        <f>(SUBSTITUTE(Audio!N204, "RE-", "", 1))*1</f>
        <v>2025.221824</v>
      </c>
      <c r="O204" s="92">
        <f>(SUBSTITUTE(Audio!O204, "RE-", "", 1))*1</f>
        <v>0</v>
      </c>
      <c r="P204" s="92">
        <f>(SUBSTITUTE(Audio!P204, "RE-", "", 1))*1</f>
        <v>495.9823448</v>
      </c>
      <c r="Q204" s="92">
        <f>(SUBSTITUTE(Audio!Q204, "RE-", "", 1))*1</f>
        <v>0</v>
      </c>
      <c r="R204" s="92">
        <f>(SUBSTITUTE(Audio!R204, "RE-", "", 1))*1</f>
        <v>106.2326646</v>
      </c>
      <c r="S204" s="92">
        <f>(SUBSTITUTE(Audio!S204, "RE-", "", 1))*1</f>
        <v>0</v>
      </c>
      <c r="T204" s="92">
        <f>(SUBSTITUTE(Audio!T204, "RE-", "", 1))*1</f>
        <v>637.4264115</v>
      </c>
      <c r="U204" s="92">
        <f>(SUBSTITUTE(Audio!U204, "RE-", "", 1))*1</f>
        <v>0</v>
      </c>
      <c r="V204" s="92">
        <f>(SUBSTITUTE(Audio!V204, "RE-", "", 1))*1</f>
        <v>0</v>
      </c>
      <c r="W204" s="92">
        <f>(SUBSTITUTE(Audio!W204, "RE-", "", 1))*1</f>
        <v>0</v>
      </c>
      <c r="X204" s="92">
        <f>(SUBSTITUTE(Audio!X204, "RE-", "", 1))*1</f>
        <v>0</v>
      </c>
      <c r="Y204" s="92">
        <f>(SUBSTITUTE(Audio!Y204, "RE-", "", 1))*1</f>
        <v>0</v>
      </c>
      <c r="Z204" s="92">
        <f>(SUBSTITUTE(Audio!Z204, "RE-", "", 1))*1</f>
        <v>0</v>
      </c>
      <c r="AA204" s="92"/>
      <c r="AB204" s="92"/>
      <c r="AC204" s="92"/>
      <c r="AD204" s="92"/>
      <c r="AE204" s="92"/>
      <c r="AF204" s="92"/>
      <c r="AG204" s="92"/>
      <c r="AH204" s="92"/>
      <c r="AI204" s="92"/>
      <c r="AJ204" s="92"/>
      <c r="AK204" s="92"/>
      <c r="AL204" s="92"/>
      <c r="AM204" s="92"/>
      <c r="AN204" s="92"/>
      <c r="AO204" s="92"/>
      <c r="AP204" s="92"/>
      <c r="AQ204" s="92"/>
      <c r="AR204" s="92"/>
      <c r="AS204" s="92"/>
      <c r="AT204" s="92"/>
      <c r="AU204" s="92"/>
      <c r="AV204" s="92"/>
      <c r="AW204" s="92"/>
      <c r="AX204" s="92"/>
      <c r="AY204" s="92"/>
      <c r="AZ204" s="92"/>
      <c r="BA204" s="92"/>
      <c r="BB204" s="92"/>
      <c r="BC204" s="92"/>
      <c r="BD204" s="92"/>
      <c r="BE204" s="92"/>
      <c r="BF204" s="92"/>
      <c r="BG204" s="92"/>
      <c r="BH204" s="92"/>
      <c r="BI204" s="92"/>
      <c r="BJ204" s="92"/>
      <c r="BK204" s="92"/>
      <c r="BL204" s="92"/>
      <c r="BM204" s="92"/>
      <c r="BN204" s="92"/>
      <c r="BO204" s="92"/>
      <c r="BP204" s="92"/>
      <c r="BQ204" s="92"/>
      <c r="BR204" s="92"/>
      <c r="BS204" s="92"/>
      <c r="BT204" s="92"/>
      <c r="BU204" s="92"/>
      <c r="BV204" s="92"/>
      <c r="BW204" s="92"/>
      <c r="BX204" s="92"/>
      <c r="BY204" s="92"/>
      <c r="BZ204" s="92"/>
      <c r="CA204" s="92"/>
      <c r="CB204" s="92"/>
      <c r="CC204" s="92"/>
      <c r="CD204" s="92"/>
      <c r="CE204" s="92"/>
      <c r="CF204" s="92"/>
      <c r="CG204" s="92"/>
      <c r="CH204" s="92"/>
      <c r="CI204" s="92"/>
      <c r="CJ204" s="92"/>
      <c r="CK204" s="92"/>
      <c r="CL204" s="92"/>
      <c r="CM204" s="92"/>
      <c r="CN204" s="92"/>
      <c r="CO204" s="92"/>
      <c r="CP204" s="92"/>
      <c r="CQ204" s="92"/>
      <c r="CR204" s="92"/>
      <c r="CS204" s="92"/>
      <c r="CT204" s="92"/>
      <c r="CU204" s="92"/>
      <c r="CV204" s="92"/>
      <c r="CW204" s="92"/>
      <c r="CX204" s="92"/>
      <c r="CY204" s="92"/>
      <c r="CZ204" s="92"/>
      <c r="DA204" s="92"/>
      <c r="DB204" s="92"/>
      <c r="DC204" s="92"/>
      <c r="DD204" s="92"/>
      <c r="DE204" s="92"/>
      <c r="DF204" s="92"/>
      <c r="DG204" s="92"/>
      <c r="DH204" s="92"/>
      <c r="DI204" s="92"/>
      <c r="DJ204" s="92"/>
      <c r="DK204" s="92"/>
      <c r="DL204" s="92"/>
      <c r="DM204" s="92"/>
      <c r="DN204" s="92"/>
      <c r="DO204" s="92"/>
      <c r="DP204" s="92"/>
      <c r="DQ204" s="92"/>
      <c r="DR204" s="92"/>
      <c r="DS204" s="92"/>
      <c r="DT204" s="92"/>
      <c r="DU204" s="92"/>
      <c r="DV204" s="92"/>
      <c r="DW204" s="92"/>
      <c r="DX204" s="92"/>
      <c r="DY204" s="92"/>
      <c r="DZ204" s="92"/>
      <c r="EA204" s="92"/>
      <c r="EB204" s="92"/>
      <c r="EC204" s="92"/>
      <c r="ED204" s="92"/>
      <c r="EE204" s="92"/>
      <c r="EF204" s="92"/>
      <c r="EG204" s="92"/>
      <c r="EH204" s="92"/>
      <c r="EI204" s="92"/>
      <c r="EJ204" s="92"/>
      <c r="EK204" s="92"/>
      <c r="EL204" s="92"/>
      <c r="EM204" s="92"/>
      <c r="EN204" s="92"/>
      <c r="EO204" s="92"/>
      <c r="EP204" s="92"/>
      <c r="EQ204" s="92"/>
      <c r="ER204" s="92"/>
      <c r="ES204" s="92"/>
      <c r="ET204" s="92"/>
      <c r="EU204" s="92"/>
      <c r="EV204" s="92"/>
      <c r="EW204" s="92"/>
      <c r="EX204" s="92"/>
      <c r="EY204" s="92"/>
      <c r="EZ204" s="92"/>
      <c r="FA204" s="92"/>
      <c r="FB204" s="92"/>
      <c r="FC204" s="92"/>
      <c r="FD204" s="92"/>
      <c r="FE204" s="92"/>
      <c r="FF204" s="92"/>
      <c r="FG204" s="92"/>
      <c r="FH204" s="92"/>
    </row>
    <row r="205">
      <c r="A205" s="32" t="s">
        <v>7</v>
      </c>
      <c r="B205" s="32" t="s">
        <v>44</v>
      </c>
      <c r="C205" s="32" t="s">
        <v>10</v>
      </c>
      <c r="D205" s="97">
        <f t="shared" si="1"/>
        <v>746.4235271</v>
      </c>
      <c r="E205" s="92">
        <f>(SUBSTITUTE(Audio!E205, "RE-", "", 1))*1</f>
        <v>0</v>
      </c>
      <c r="F205" s="92">
        <f>(SUBSTITUTE(Audio!F205, "RE-", "", 1))*1</f>
        <v>0</v>
      </c>
      <c r="G205" s="92">
        <f>(SUBSTITUTE(Audio!G205, "RE-", "", 1))*1</f>
        <v>43.40225208</v>
      </c>
      <c r="H205" s="92">
        <f>(SUBSTITUTE(Audio!H205, "RE-", "", 1))*1</f>
        <v>0</v>
      </c>
      <c r="I205" s="92">
        <f>(SUBSTITUTE(Audio!I205, "RE-", "", 1))*1</f>
        <v>5.8157375</v>
      </c>
      <c r="J205" s="92">
        <f>(SUBSTITUTE(Audio!J205, "RE-", "", 1))*1</f>
        <v>0</v>
      </c>
      <c r="K205" s="92">
        <f>(SUBSTITUTE(Audio!K205, "RE-", "", 1))*1</f>
        <v>184.3986365</v>
      </c>
      <c r="L205" s="92">
        <f>(SUBSTITUTE(Audio!L205, "RE-", "", 1))*1</f>
        <v>0</v>
      </c>
      <c r="M205" s="92">
        <f>(SUBSTITUTE(Audio!M205, "RE-", "", 1))*1</f>
        <v>41.95227083</v>
      </c>
      <c r="N205" s="92">
        <f>(SUBSTITUTE(Audio!N205, "RE-", "", 1))*1</f>
        <v>0</v>
      </c>
      <c r="O205" s="92">
        <f>(SUBSTITUTE(Audio!O205, "RE-", "", 1))*1</f>
        <v>243.1639906</v>
      </c>
      <c r="P205" s="92">
        <f>(SUBSTITUTE(Audio!P205, "RE-", "", 1))*1</f>
        <v>0</v>
      </c>
      <c r="Q205" s="92">
        <f>(SUBSTITUTE(Audio!Q205, "RE-", "", 1))*1</f>
        <v>131.082126</v>
      </c>
      <c r="R205" s="92">
        <f>(SUBSTITUTE(Audio!R205, "RE-", "", 1))*1</f>
        <v>0</v>
      </c>
      <c r="S205" s="92">
        <f>(SUBSTITUTE(Audio!S205, "RE-", "", 1))*1</f>
        <v>16.28459479</v>
      </c>
      <c r="T205" s="92">
        <f>(SUBSTITUTE(Audio!T205, "RE-", "", 1))*1</f>
        <v>0</v>
      </c>
      <c r="U205" s="92">
        <f>(SUBSTITUTE(Audio!U205, "RE-", "", 1))*1</f>
        <v>69.82813958</v>
      </c>
      <c r="V205" s="92">
        <f>(SUBSTITUTE(Audio!V205, "RE-", "", 1))*1</f>
        <v>10.49577917</v>
      </c>
      <c r="W205" s="92">
        <f>(SUBSTITUTE(Audio!W205, "RE-", "", 1))*1</f>
        <v>0</v>
      </c>
      <c r="X205" s="92">
        <f>(SUBSTITUTE(Audio!X205, "RE-", "", 1))*1</f>
        <v>0</v>
      </c>
      <c r="Y205" s="92">
        <f>(SUBSTITUTE(Audio!Y205, "RE-", "", 1))*1</f>
        <v>0</v>
      </c>
      <c r="Z205" s="92">
        <f>(SUBSTITUTE(Audio!Z205, "RE-", "", 1))*1</f>
        <v>0</v>
      </c>
      <c r="AA205" s="92"/>
      <c r="AB205" s="92"/>
      <c r="AC205" s="92"/>
      <c r="AD205" s="92"/>
      <c r="AE205" s="92"/>
      <c r="AF205" s="92"/>
      <c r="AG205" s="92"/>
      <c r="AH205" s="92"/>
      <c r="AI205" s="92"/>
      <c r="AJ205" s="92"/>
      <c r="AK205" s="92"/>
      <c r="AL205" s="92"/>
      <c r="AM205" s="92"/>
      <c r="AN205" s="92"/>
      <c r="AO205" s="92"/>
      <c r="AP205" s="92"/>
      <c r="AQ205" s="92"/>
      <c r="AR205" s="92"/>
      <c r="AS205" s="92"/>
      <c r="AT205" s="92"/>
      <c r="AU205" s="92"/>
      <c r="AV205" s="92"/>
      <c r="AW205" s="92"/>
      <c r="AX205" s="92"/>
      <c r="AY205" s="92"/>
      <c r="AZ205" s="92"/>
      <c r="BA205" s="92"/>
      <c r="BB205" s="92"/>
      <c r="BC205" s="92"/>
      <c r="BD205" s="92"/>
      <c r="BE205" s="92"/>
      <c r="BF205" s="92"/>
      <c r="BG205" s="92"/>
      <c r="BH205" s="92"/>
      <c r="BI205" s="92"/>
      <c r="BJ205" s="92"/>
      <c r="BK205" s="92"/>
      <c r="BL205" s="92"/>
      <c r="BM205" s="92"/>
      <c r="BN205" s="92"/>
      <c r="BO205" s="92"/>
      <c r="BP205" s="92"/>
      <c r="BQ205" s="92"/>
      <c r="BR205" s="92"/>
      <c r="BS205" s="92"/>
      <c r="BT205" s="92"/>
      <c r="BU205" s="92"/>
      <c r="BV205" s="92"/>
      <c r="BW205" s="92"/>
      <c r="BX205" s="92"/>
      <c r="BY205" s="92"/>
      <c r="BZ205" s="92"/>
      <c r="CA205" s="92"/>
      <c r="CB205" s="92"/>
      <c r="CC205" s="92"/>
      <c r="CD205" s="92"/>
      <c r="CE205" s="92"/>
      <c r="CF205" s="92"/>
      <c r="CG205" s="92"/>
      <c r="CH205" s="92"/>
      <c r="CI205" s="92"/>
      <c r="CJ205" s="92"/>
      <c r="CK205" s="92"/>
      <c r="CL205" s="92"/>
      <c r="CM205" s="92"/>
      <c r="CN205" s="92"/>
      <c r="CO205" s="92"/>
      <c r="CP205" s="92"/>
      <c r="CQ205" s="92"/>
      <c r="CR205" s="92"/>
      <c r="CS205" s="92"/>
      <c r="CT205" s="92"/>
      <c r="CU205" s="92"/>
      <c r="CV205" s="92"/>
      <c r="CW205" s="92"/>
      <c r="CX205" s="92"/>
      <c r="CY205" s="92"/>
      <c r="CZ205" s="92"/>
      <c r="DA205" s="92"/>
      <c r="DB205" s="92"/>
      <c r="DC205" s="92"/>
      <c r="DD205" s="92"/>
      <c r="DE205" s="92"/>
      <c r="DF205" s="92"/>
      <c r="DG205" s="92"/>
      <c r="DH205" s="92"/>
      <c r="DI205" s="92"/>
      <c r="DJ205" s="92"/>
      <c r="DK205" s="92"/>
      <c r="DL205" s="92"/>
      <c r="DM205" s="92"/>
      <c r="DN205" s="92"/>
      <c r="DO205" s="92"/>
      <c r="DP205" s="92"/>
      <c r="DQ205" s="92"/>
      <c r="DR205" s="92"/>
      <c r="DS205" s="92"/>
      <c r="DT205" s="92"/>
      <c r="DU205" s="92"/>
      <c r="DV205" s="92"/>
      <c r="DW205" s="92"/>
      <c r="DX205" s="92"/>
      <c r="DY205" s="92"/>
      <c r="DZ205" s="92"/>
      <c r="EA205" s="92"/>
      <c r="EB205" s="92"/>
      <c r="EC205" s="92"/>
      <c r="ED205" s="92"/>
      <c r="EE205" s="92"/>
      <c r="EF205" s="92"/>
      <c r="EG205" s="92"/>
      <c r="EH205" s="92"/>
      <c r="EI205" s="92"/>
      <c r="EJ205" s="92"/>
      <c r="EK205" s="92"/>
      <c r="EL205" s="92"/>
      <c r="EM205" s="92"/>
      <c r="EN205" s="92"/>
      <c r="EO205" s="92"/>
      <c r="EP205" s="92"/>
      <c r="EQ205" s="92"/>
      <c r="ER205" s="92"/>
      <c r="ES205" s="92"/>
      <c r="ET205" s="92"/>
      <c r="EU205" s="92"/>
      <c r="EV205" s="92"/>
      <c r="EW205" s="92"/>
      <c r="EX205" s="92"/>
      <c r="EY205" s="92"/>
      <c r="EZ205" s="92"/>
      <c r="FA205" s="92"/>
      <c r="FB205" s="92"/>
      <c r="FC205" s="92"/>
      <c r="FD205" s="92"/>
      <c r="FE205" s="92"/>
      <c r="FF205" s="92"/>
      <c r="FG205" s="92"/>
      <c r="FH205" s="92"/>
    </row>
    <row r="206">
      <c r="A206" s="32" t="s">
        <v>7</v>
      </c>
      <c r="B206" s="32" t="s">
        <v>44</v>
      </c>
      <c r="C206" s="32" t="s">
        <v>11</v>
      </c>
      <c r="D206" s="97">
        <f t="shared" si="1"/>
        <v>746.4235271</v>
      </c>
      <c r="E206" s="92">
        <f>(SUBSTITUTE(Audio!E206, "RE-", "", 1))*1</f>
        <v>0</v>
      </c>
      <c r="F206" s="92">
        <f>(SUBSTITUTE(Audio!F206, "RE-", "", 1))*1</f>
        <v>0</v>
      </c>
      <c r="G206" s="92">
        <f>(SUBSTITUTE(Audio!G206, "RE-", "", 1))*1</f>
        <v>43.40225208</v>
      </c>
      <c r="H206" s="92">
        <f>(SUBSTITUTE(Audio!H206, "RE-", "", 1))*1</f>
        <v>0</v>
      </c>
      <c r="I206" s="92">
        <f>(SUBSTITUTE(Audio!I206, "RE-", "", 1))*1</f>
        <v>5.8157375</v>
      </c>
      <c r="J206" s="92">
        <f>(SUBSTITUTE(Audio!J206, "RE-", "", 1))*1</f>
        <v>0</v>
      </c>
      <c r="K206" s="92">
        <f>(SUBSTITUTE(Audio!K206, "RE-", "", 1))*1</f>
        <v>184.3986365</v>
      </c>
      <c r="L206" s="92">
        <f>(SUBSTITUTE(Audio!L206, "RE-", "", 1))*1</f>
        <v>0</v>
      </c>
      <c r="M206" s="92">
        <f>(SUBSTITUTE(Audio!M206, "RE-", "", 1))*1</f>
        <v>41.95227083</v>
      </c>
      <c r="N206" s="92">
        <f>(SUBSTITUTE(Audio!N206, "RE-", "", 1))*1</f>
        <v>0</v>
      </c>
      <c r="O206" s="92">
        <f>(SUBSTITUTE(Audio!O206, "RE-", "", 1))*1</f>
        <v>243.1639906</v>
      </c>
      <c r="P206" s="92">
        <f>(SUBSTITUTE(Audio!P206, "RE-", "", 1))*1</f>
        <v>0</v>
      </c>
      <c r="Q206" s="92">
        <f>(SUBSTITUTE(Audio!Q206, "RE-", "", 1))*1</f>
        <v>131.082126</v>
      </c>
      <c r="R206" s="92">
        <f>(SUBSTITUTE(Audio!R206, "RE-", "", 1))*1</f>
        <v>0</v>
      </c>
      <c r="S206" s="92">
        <f>(SUBSTITUTE(Audio!S206, "RE-", "", 1))*1</f>
        <v>16.28459479</v>
      </c>
      <c r="T206" s="92">
        <f>(SUBSTITUTE(Audio!T206, "RE-", "", 1))*1</f>
        <v>0</v>
      </c>
      <c r="U206" s="92">
        <f>(SUBSTITUTE(Audio!U206, "RE-", "", 1))*1</f>
        <v>69.82813958</v>
      </c>
      <c r="V206" s="92">
        <f>(SUBSTITUTE(Audio!V206, "RE-", "", 1))*1</f>
        <v>10.49577917</v>
      </c>
      <c r="W206" s="92">
        <f>(SUBSTITUTE(Audio!W206, "RE-", "", 1))*1</f>
        <v>0</v>
      </c>
      <c r="X206" s="92">
        <f>(SUBSTITUTE(Audio!X206, "RE-", "", 1))*1</f>
        <v>0</v>
      </c>
      <c r="Y206" s="92">
        <f>(SUBSTITUTE(Audio!Y206, "RE-", "", 1))*1</f>
        <v>0</v>
      </c>
      <c r="Z206" s="92">
        <f>(SUBSTITUTE(Audio!Z206, "RE-", "", 1))*1</f>
        <v>0</v>
      </c>
      <c r="AA206" s="92"/>
      <c r="AB206" s="92"/>
      <c r="AC206" s="92"/>
      <c r="AD206" s="92"/>
      <c r="AE206" s="92"/>
      <c r="AF206" s="92"/>
      <c r="AG206" s="92"/>
      <c r="AH206" s="92"/>
      <c r="AI206" s="92"/>
      <c r="AJ206" s="92"/>
      <c r="AK206" s="92"/>
      <c r="AL206" s="92"/>
      <c r="AM206" s="92"/>
      <c r="AN206" s="92"/>
      <c r="AO206" s="92"/>
      <c r="AP206" s="92"/>
      <c r="AQ206" s="92"/>
      <c r="AR206" s="92"/>
      <c r="AS206" s="92"/>
      <c r="AT206" s="92"/>
      <c r="AU206" s="92"/>
      <c r="AV206" s="92"/>
      <c r="AW206" s="92"/>
      <c r="AX206" s="92"/>
      <c r="AY206" s="92"/>
      <c r="AZ206" s="92"/>
      <c r="BA206" s="92"/>
      <c r="BB206" s="92"/>
      <c r="BC206" s="92"/>
      <c r="BD206" s="92"/>
      <c r="BE206" s="92"/>
      <c r="BF206" s="92"/>
      <c r="BG206" s="92"/>
      <c r="BH206" s="92"/>
      <c r="BI206" s="92"/>
      <c r="BJ206" s="92"/>
      <c r="BK206" s="92"/>
      <c r="BL206" s="92"/>
      <c r="BM206" s="92"/>
      <c r="BN206" s="92"/>
      <c r="BO206" s="92"/>
      <c r="BP206" s="92"/>
      <c r="BQ206" s="92"/>
      <c r="BR206" s="92"/>
      <c r="BS206" s="92"/>
      <c r="BT206" s="92"/>
      <c r="BU206" s="92"/>
      <c r="BV206" s="92"/>
      <c r="BW206" s="92"/>
      <c r="BX206" s="92"/>
      <c r="BY206" s="92"/>
      <c r="BZ206" s="92"/>
      <c r="CA206" s="92"/>
      <c r="CB206" s="92"/>
      <c r="CC206" s="92"/>
      <c r="CD206" s="92"/>
      <c r="CE206" s="92"/>
      <c r="CF206" s="92"/>
      <c r="CG206" s="92"/>
      <c r="CH206" s="92"/>
      <c r="CI206" s="92"/>
      <c r="CJ206" s="92"/>
      <c r="CK206" s="92"/>
      <c r="CL206" s="92"/>
      <c r="CM206" s="92"/>
      <c r="CN206" s="92"/>
      <c r="CO206" s="92"/>
      <c r="CP206" s="92"/>
      <c r="CQ206" s="92"/>
      <c r="CR206" s="92"/>
      <c r="CS206" s="92"/>
      <c r="CT206" s="92"/>
      <c r="CU206" s="92"/>
      <c r="CV206" s="92"/>
      <c r="CW206" s="92"/>
      <c r="CX206" s="92"/>
      <c r="CY206" s="92"/>
      <c r="CZ206" s="92"/>
      <c r="DA206" s="92"/>
      <c r="DB206" s="92"/>
      <c r="DC206" s="92"/>
      <c r="DD206" s="92"/>
      <c r="DE206" s="92"/>
      <c r="DF206" s="92"/>
      <c r="DG206" s="92"/>
      <c r="DH206" s="92"/>
      <c r="DI206" s="92"/>
      <c r="DJ206" s="92"/>
      <c r="DK206" s="92"/>
      <c r="DL206" s="92"/>
      <c r="DM206" s="92"/>
      <c r="DN206" s="92"/>
      <c r="DO206" s="92"/>
      <c r="DP206" s="92"/>
      <c r="DQ206" s="92"/>
      <c r="DR206" s="92"/>
      <c r="DS206" s="92"/>
      <c r="DT206" s="92"/>
      <c r="DU206" s="92"/>
      <c r="DV206" s="92"/>
      <c r="DW206" s="92"/>
      <c r="DX206" s="92"/>
      <c r="DY206" s="92"/>
      <c r="DZ206" s="92"/>
      <c r="EA206" s="92"/>
      <c r="EB206" s="92"/>
      <c r="EC206" s="92"/>
      <c r="ED206" s="92"/>
      <c r="EE206" s="92"/>
      <c r="EF206" s="92"/>
      <c r="EG206" s="92"/>
      <c r="EH206" s="92"/>
      <c r="EI206" s="92"/>
      <c r="EJ206" s="92"/>
      <c r="EK206" s="92"/>
      <c r="EL206" s="92"/>
      <c r="EM206" s="92"/>
      <c r="EN206" s="92"/>
      <c r="EO206" s="92"/>
      <c r="EP206" s="92"/>
      <c r="EQ206" s="92"/>
      <c r="ER206" s="92"/>
      <c r="ES206" s="92"/>
      <c r="ET206" s="92"/>
      <c r="EU206" s="92"/>
      <c r="EV206" s="92"/>
      <c r="EW206" s="92"/>
      <c r="EX206" s="92"/>
      <c r="EY206" s="92"/>
      <c r="EZ206" s="92"/>
      <c r="FA206" s="92"/>
      <c r="FB206" s="92"/>
      <c r="FC206" s="92"/>
      <c r="FD206" s="92"/>
      <c r="FE206" s="92"/>
      <c r="FF206" s="92"/>
      <c r="FG206" s="92"/>
      <c r="FH206" s="92"/>
    </row>
    <row r="207">
      <c r="A207" s="32" t="s">
        <v>7</v>
      </c>
      <c r="B207" s="32" t="s">
        <v>44</v>
      </c>
      <c r="C207" s="32" t="s">
        <v>12</v>
      </c>
      <c r="D207" s="97">
        <f t="shared" si="1"/>
        <v>5553.543159</v>
      </c>
      <c r="E207" s="92">
        <f>(SUBSTITUTE(Audio!E207, "RE-", "", 1))*1</f>
        <v>0</v>
      </c>
      <c r="F207" s="92">
        <f>(SUBSTITUTE(Audio!F207, "RE-", "", 1))*1</f>
        <v>535.9042875</v>
      </c>
      <c r="G207" s="92">
        <f>(SUBSTITUTE(Audio!G207, "RE-", "", 1))*1</f>
        <v>2.9897875</v>
      </c>
      <c r="H207" s="92">
        <f>(SUBSTITUTE(Audio!H207, "RE-", "", 1))*1</f>
        <v>110.6466083</v>
      </c>
      <c r="I207" s="92">
        <f>(SUBSTITUTE(Audio!I207, "RE-", "", 1))*1</f>
        <v>0</v>
      </c>
      <c r="J207" s="92">
        <f>(SUBSTITUTE(Audio!J207, "RE-", "", 1))*1</f>
        <v>1686.250397</v>
      </c>
      <c r="K207" s="92">
        <f>(SUBSTITUTE(Audio!K207, "RE-", "", 1))*1</f>
        <v>7.112795833</v>
      </c>
      <c r="L207" s="92">
        <f>(SUBSTITUTE(Audio!L207, "RE-", "", 1))*1</f>
        <v>590.845776</v>
      </c>
      <c r="M207" s="92">
        <f>(SUBSTITUTE(Audio!M207, "RE-", "", 1))*1</f>
        <v>10.11912917</v>
      </c>
      <c r="N207" s="92">
        <f>(SUBSTITUTE(Audio!N207, "RE-", "", 1))*1</f>
        <v>1312.594115</v>
      </c>
      <c r="O207" s="92">
        <f>(SUBSTITUTE(Audio!O207, "RE-", "", 1))*1</f>
        <v>26.15679583</v>
      </c>
      <c r="P207" s="92">
        <f>(SUBSTITUTE(Audio!P207, "RE-", "", 1))*1</f>
        <v>464.0630708</v>
      </c>
      <c r="Q207" s="92">
        <f>(SUBSTITUTE(Audio!Q207, "RE-", "", 1))*1</f>
        <v>51.36569687</v>
      </c>
      <c r="R207" s="92">
        <f>(SUBSTITUTE(Audio!R207, "RE-", "", 1))*1</f>
        <v>98.00906875</v>
      </c>
      <c r="S207" s="92">
        <f>(SUBSTITUTE(Audio!S207, "RE-", "", 1))*1</f>
        <v>10.59940104</v>
      </c>
      <c r="T207" s="92">
        <f>(SUBSTITUTE(Audio!T207, "RE-", "", 1))*1</f>
        <v>601.5630802</v>
      </c>
      <c r="U207" s="92">
        <f>(SUBSTITUTE(Audio!U207, "RE-", "", 1))*1</f>
        <v>38.94382917</v>
      </c>
      <c r="V207" s="92">
        <f>(SUBSTITUTE(Audio!V207, "RE-", "", 1))*1</f>
        <v>6.379320833</v>
      </c>
      <c r="W207" s="92">
        <f>(SUBSTITUTE(Audio!W207, "RE-", "", 1))*1</f>
        <v>0</v>
      </c>
      <c r="X207" s="92">
        <f>(SUBSTITUTE(Audio!X207, "RE-", "", 1))*1</f>
        <v>0</v>
      </c>
      <c r="Y207" s="92">
        <f>(SUBSTITUTE(Audio!Y207, "RE-", "", 1))*1</f>
        <v>0</v>
      </c>
      <c r="Z207" s="92">
        <f>(SUBSTITUTE(Audio!Z207, "RE-", "", 1))*1</f>
        <v>0</v>
      </c>
      <c r="AA207" s="92"/>
      <c r="AB207" s="92"/>
      <c r="AC207" s="92"/>
      <c r="AD207" s="92"/>
      <c r="AE207" s="92"/>
      <c r="AF207" s="92"/>
      <c r="AG207" s="92"/>
      <c r="AH207" s="92"/>
      <c r="AI207" s="92"/>
      <c r="AJ207" s="92"/>
      <c r="AK207" s="92"/>
      <c r="AL207" s="92"/>
      <c r="AM207" s="92"/>
      <c r="AN207" s="92"/>
      <c r="AO207" s="92"/>
      <c r="AP207" s="92"/>
      <c r="AQ207" s="92"/>
      <c r="AR207" s="92"/>
      <c r="AS207" s="92"/>
      <c r="AT207" s="92"/>
      <c r="AU207" s="92"/>
      <c r="AV207" s="92"/>
      <c r="AW207" s="92"/>
      <c r="AX207" s="92"/>
      <c r="AY207" s="92"/>
      <c r="AZ207" s="92"/>
      <c r="BA207" s="92"/>
      <c r="BB207" s="92"/>
      <c r="BC207" s="92"/>
      <c r="BD207" s="92"/>
      <c r="BE207" s="92"/>
      <c r="BF207" s="92"/>
      <c r="BG207" s="92"/>
      <c r="BH207" s="92"/>
      <c r="BI207" s="92"/>
      <c r="BJ207" s="92"/>
      <c r="BK207" s="92"/>
      <c r="BL207" s="92"/>
      <c r="BM207" s="92"/>
      <c r="BN207" s="92"/>
      <c r="BO207" s="92"/>
      <c r="BP207" s="92"/>
      <c r="BQ207" s="92"/>
      <c r="BR207" s="92"/>
      <c r="BS207" s="92"/>
      <c r="BT207" s="92"/>
      <c r="BU207" s="92"/>
      <c r="BV207" s="92"/>
      <c r="BW207" s="92"/>
      <c r="BX207" s="92"/>
      <c r="BY207" s="92"/>
      <c r="BZ207" s="92"/>
      <c r="CA207" s="92"/>
      <c r="CB207" s="92"/>
      <c r="CC207" s="92"/>
      <c r="CD207" s="92"/>
      <c r="CE207" s="92"/>
      <c r="CF207" s="92"/>
      <c r="CG207" s="92"/>
      <c r="CH207" s="92"/>
      <c r="CI207" s="92"/>
      <c r="CJ207" s="92"/>
      <c r="CK207" s="92"/>
      <c r="CL207" s="92"/>
      <c r="CM207" s="92"/>
      <c r="CN207" s="92"/>
      <c r="CO207" s="92"/>
      <c r="CP207" s="92"/>
      <c r="CQ207" s="92"/>
      <c r="CR207" s="92"/>
      <c r="CS207" s="92"/>
      <c r="CT207" s="92"/>
      <c r="CU207" s="92"/>
      <c r="CV207" s="92"/>
      <c r="CW207" s="92"/>
      <c r="CX207" s="92"/>
      <c r="CY207" s="92"/>
      <c r="CZ207" s="92"/>
      <c r="DA207" s="92"/>
      <c r="DB207" s="92"/>
      <c r="DC207" s="92"/>
      <c r="DD207" s="92"/>
      <c r="DE207" s="92"/>
      <c r="DF207" s="92"/>
      <c r="DG207" s="92"/>
      <c r="DH207" s="92"/>
      <c r="DI207" s="92"/>
      <c r="DJ207" s="92"/>
      <c r="DK207" s="92"/>
      <c r="DL207" s="92"/>
      <c r="DM207" s="92"/>
      <c r="DN207" s="92"/>
      <c r="DO207" s="92"/>
      <c r="DP207" s="92"/>
      <c r="DQ207" s="92"/>
      <c r="DR207" s="92"/>
      <c r="DS207" s="92"/>
      <c r="DT207" s="92"/>
      <c r="DU207" s="92"/>
      <c r="DV207" s="92"/>
      <c r="DW207" s="92"/>
      <c r="DX207" s="92"/>
      <c r="DY207" s="92"/>
      <c r="DZ207" s="92"/>
      <c r="EA207" s="92"/>
      <c r="EB207" s="92"/>
      <c r="EC207" s="92"/>
      <c r="ED207" s="92"/>
      <c r="EE207" s="92"/>
      <c r="EF207" s="92"/>
      <c r="EG207" s="92"/>
      <c r="EH207" s="92"/>
      <c r="EI207" s="92"/>
      <c r="EJ207" s="92"/>
      <c r="EK207" s="92"/>
      <c r="EL207" s="92"/>
      <c r="EM207" s="92"/>
      <c r="EN207" s="92"/>
      <c r="EO207" s="92"/>
      <c r="EP207" s="92"/>
      <c r="EQ207" s="92"/>
      <c r="ER207" s="92"/>
      <c r="ES207" s="92"/>
      <c r="ET207" s="92"/>
      <c r="EU207" s="92"/>
      <c r="EV207" s="92"/>
      <c r="EW207" s="92"/>
      <c r="EX207" s="92"/>
      <c r="EY207" s="92"/>
      <c r="EZ207" s="92"/>
      <c r="FA207" s="92"/>
      <c r="FB207" s="92"/>
      <c r="FC207" s="92"/>
      <c r="FD207" s="92"/>
      <c r="FE207" s="92"/>
      <c r="FF207" s="92"/>
      <c r="FG207" s="92"/>
      <c r="FH207" s="92"/>
    </row>
    <row r="208">
      <c r="A208" s="32" t="s">
        <v>7</v>
      </c>
      <c r="B208" s="32" t="s">
        <v>44</v>
      </c>
      <c r="C208" s="32" t="s">
        <v>13</v>
      </c>
      <c r="D208" s="97">
        <f t="shared" si="1"/>
        <v>5346.74411</v>
      </c>
      <c r="E208" s="92">
        <f>(SUBSTITUTE(Audio!E208, "RE-", "", 1))*1</f>
        <v>0</v>
      </c>
      <c r="F208" s="92">
        <f>(SUBSTITUTE(Audio!F208, "RE-", "", 1))*1</f>
        <v>522.301</v>
      </c>
      <c r="G208" s="92">
        <f>(SUBSTITUTE(Audio!G208, "RE-", "", 1))*1</f>
        <v>2.9033</v>
      </c>
      <c r="H208" s="92">
        <f>(SUBSTITUTE(Audio!H208, "RE-", "", 1))*1</f>
        <v>108.496</v>
      </c>
      <c r="I208" s="92">
        <f>(SUBSTITUTE(Audio!I208, "RE-", "", 1))*1</f>
        <v>0</v>
      </c>
      <c r="J208" s="92">
        <f>(SUBSTITUTE(Audio!J208, "RE-", "", 1))*1</f>
        <v>1630.3</v>
      </c>
      <c r="K208" s="92">
        <f>(SUBSTITUTE(Audio!K208, "RE-", "", 1))*1</f>
        <v>6.54153</v>
      </c>
      <c r="L208" s="92">
        <f>(SUBSTITUTE(Audio!L208, "RE-", "", 1))*1</f>
        <v>563.481</v>
      </c>
      <c r="M208" s="92">
        <f>(SUBSTITUTE(Audio!M208, "RE-", "", 1))*1</f>
        <v>9.31288</v>
      </c>
      <c r="N208" s="92">
        <f>(SUBSTITUTE(Audio!N208, "RE-", "", 1))*1</f>
        <v>1261.33</v>
      </c>
      <c r="O208" s="92">
        <f>(SUBSTITUTE(Audio!O208, "RE-", "", 1))*1</f>
        <v>24.8096</v>
      </c>
      <c r="P208" s="92">
        <f>(SUBSTITUTE(Audio!P208, "RE-", "", 1))*1</f>
        <v>442.864</v>
      </c>
      <c r="Q208" s="92">
        <f>(SUBSTITUTE(Audio!Q208, "RE-", "", 1))*1</f>
        <v>49.1236</v>
      </c>
      <c r="R208" s="92">
        <f>(SUBSTITUTE(Audio!R208, "RE-", "", 1))*1</f>
        <v>94.6354</v>
      </c>
      <c r="S208" s="92">
        <f>(SUBSTITUTE(Audio!S208, "RE-", "", 1))*1</f>
        <v>10.1511</v>
      </c>
      <c r="T208" s="92">
        <f>(SUBSTITUTE(Audio!T208, "RE-", "", 1))*1</f>
        <v>577.872</v>
      </c>
      <c r="U208" s="92">
        <f>(SUBSTITUTE(Audio!U208, "RE-", "", 1))*1</f>
        <v>36.7652</v>
      </c>
      <c r="V208" s="92">
        <f>(SUBSTITUTE(Audio!V208, "RE-", "", 1))*1</f>
        <v>5.8575</v>
      </c>
      <c r="W208" s="92">
        <f>(SUBSTITUTE(Audio!W208, "RE-", "", 1))*1</f>
        <v>0</v>
      </c>
      <c r="X208" s="92">
        <f>(SUBSTITUTE(Audio!X208, "RE-", "", 1))*1</f>
        <v>0</v>
      </c>
      <c r="Y208" s="92">
        <f>(SUBSTITUTE(Audio!Y208, "RE-", "", 1))*1</f>
        <v>0</v>
      </c>
      <c r="Z208" s="92">
        <f>(SUBSTITUTE(Audio!Z208, "RE-", "", 1))*1</f>
        <v>0</v>
      </c>
      <c r="AA208" s="92"/>
      <c r="AB208" s="92"/>
      <c r="AC208" s="92"/>
      <c r="AD208" s="92"/>
      <c r="AE208" s="92"/>
      <c r="AF208" s="92"/>
      <c r="AG208" s="92"/>
      <c r="AH208" s="92"/>
      <c r="AI208" s="92"/>
      <c r="AJ208" s="92"/>
      <c r="AK208" s="92"/>
      <c r="AL208" s="92"/>
      <c r="AM208" s="92"/>
      <c r="AN208" s="92"/>
      <c r="AO208" s="92"/>
      <c r="AP208" s="92"/>
      <c r="AQ208" s="92"/>
      <c r="AR208" s="92"/>
      <c r="AS208" s="92"/>
      <c r="AT208" s="92"/>
      <c r="AU208" s="92"/>
      <c r="AV208" s="92"/>
      <c r="AW208" s="92"/>
      <c r="AX208" s="92"/>
      <c r="AY208" s="92"/>
      <c r="AZ208" s="92"/>
      <c r="BA208" s="92"/>
      <c r="BB208" s="92"/>
      <c r="BC208" s="92"/>
      <c r="BD208" s="92"/>
      <c r="BE208" s="92"/>
      <c r="BF208" s="92"/>
      <c r="BG208" s="92"/>
      <c r="BH208" s="92"/>
      <c r="BI208" s="92"/>
      <c r="BJ208" s="92"/>
      <c r="BK208" s="92"/>
      <c r="BL208" s="92"/>
      <c r="BM208" s="92"/>
      <c r="BN208" s="92"/>
      <c r="BO208" s="92"/>
      <c r="BP208" s="92"/>
      <c r="BQ208" s="92"/>
      <c r="BR208" s="92"/>
      <c r="BS208" s="92"/>
      <c r="BT208" s="92"/>
      <c r="BU208" s="92"/>
      <c r="BV208" s="92"/>
      <c r="BW208" s="92"/>
      <c r="BX208" s="92"/>
      <c r="BY208" s="92"/>
      <c r="BZ208" s="92"/>
      <c r="CA208" s="92"/>
      <c r="CB208" s="92"/>
      <c r="CC208" s="92"/>
      <c r="CD208" s="92"/>
      <c r="CE208" s="92"/>
      <c r="CF208" s="92"/>
      <c r="CG208" s="92"/>
      <c r="CH208" s="92"/>
      <c r="CI208" s="92"/>
      <c r="CJ208" s="92"/>
      <c r="CK208" s="92"/>
      <c r="CL208" s="92"/>
      <c r="CM208" s="92"/>
      <c r="CN208" s="92"/>
      <c r="CO208" s="92"/>
      <c r="CP208" s="92"/>
      <c r="CQ208" s="92"/>
      <c r="CR208" s="92"/>
      <c r="CS208" s="92"/>
      <c r="CT208" s="92"/>
      <c r="CU208" s="92"/>
      <c r="CV208" s="92"/>
      <c r="CW208" s="92"/>
      <c r="CX208" s="92"/>
      <c r="CY208" s="92"/>
      <c r="CZ208" s="92"/>
      <c r="DA208" s="92"/>
      <c r="DB208" s="92"/>
      <c r="DC208" s="92"/>
      <c r="DD208" s="92"/>
      <c r="DE208" s="92"/>
      <c r="DF208" s="92"/>
      <c r="DG208" s="92"/>
      <c r="DH208" s="92"/>
      <c r="DI208" s="92"/>
      <c r="DJ208" s="92"/>
      <c r="DK208" s="92"/>
      <c r="DL208" s="92"/>
      <c r="DM208" s="92"/>
      <c r="DN208" s="92"/>
      <c r="DO208" s="92"/>
      <c r="DP208" s="92"/>
      <c r="DQ208" s="92"/>
      <c r="DR208" s="92"/>
      <c r="DS208" s="92"/>
      <c r="DT208" s="92"/>
      <c r="DU208" s="92"/>
      <c r="DV208" s="92"/>
      <c r="DW208" s="92"/>
      <c r="DX208" s="92"/>
      <c r="DY208" s="92"/>
      <c r="DZ208" s="92"/>
      <c r="EA208" s="92"/>
      <c r="EB208" s="92"/>
      <c r="EC208" s="92"/>
      <c r="ED208" s="92"/>
      <c r="EE208" s="92"/>
      <c r="EF208" s="92"/>
      <c r="EG208" s="92"/>
      <c r="EH208" s="92"/>
      <c r="EI208" s="92"/>
      <c r="EJ208" s="92"/>
      <c r="EK208" s="92"/>
      <c r="EL208" s="92"/>
      <c r="EM208" s="92"/>
      <c r="EN208" s="92"/>
      <c r="EO208" s="92"/>
      <c r="EP208" s="92"/>
      <c r="EQ208" s="92"/>
      <c r="ER208" s="92"/>
      <c r="ES208" s="92"/>
      <c r="ET208" s="92"/>
      <c r="EU208" s="92"/>
      <c r="EV208" s="92"/>
      <c r="EW208" s="92"/>
      <c r="EX208" s="92"/>
      <c r="EY208" s="92"/>
      <c r="EZ208" s="92"/>
      <c r="FA208" s="92"/>
      <c r="FB208" s="92"/>
      <c r="FC208" s="92"/>
      <c r="FD208" s="92"/>
      <c r="FE208" s="92"/>
      <c r="FF208" s="92"/>
      <c r="FG208" s="92"/>
      <c r="FH208" s="92"/>
    </row>
    <row r="209">
      <c r="A209" s="32" t="s">
        <v>7</v>
      </c>
      <c r="B209" s="32" t="s">
        <v>44</v>
      </c>
      <c r="C209" s="32" t="s">
        <v>14</v>
      </c>
      <c r="D209" s="97">
        <f t="shared" si="1"/>
        <v>4745.11912</v>
      </c>
      <c r="E209" s="92">
        <f>(SUBSTITUTE(Audio!E209, "RE-", "", 1))*1</f>
        <v>0</v>
      </c>
      <c r="F209" s="92">
        <f>(SUBSTITUTE(Audio!F209, "RE-", "", 1))*1</f>
        <v>474.399</v>
      </c>
      <c r="G209" s="92">
        <f>(SUBSTITUTE(Audio!G209, "RE-", "", 1))*1</f>
        <v>2.9033</v>
      </c>
      <c r="H209" s="92">
        <f>(SUBSTITUTE(Audio!H209, "RE-", "", 1))*1</f>
        <v>101.404</v>
      </c>
      <c r="I209" s="92">
        <f>(SUBSTITUTE(Audio!I209, "RE-", "", 1))*1</f>
        <v>0</v>
      </c>
      <c r="J209" s="92">
        <f>(SUBSTITUTE(Audio!J209, "RE-", "", 1))*1</f>
        <v>1511.06</v>
      </c>
      <c r="K209" s="92">
        <f>(SUBSTITUTE(Audio!K209, "RE-", "", 1))*1</f>
        <v>6.07498</v>
      </c>
      <c r="L209" s="92">
        <f>(SUBSTITUTE(Audio!L209, "RE-", "", 1))*1</f>
        <v>486.964</v>
      </c>
      <c r="M209" s="92">
        <f>(SUBSTITUTE(Audio!M209, "RE-", "", 1))*1</f>
        <v>8.41817</v>
      </c>
      <c r="N209" s="92">
        <f>(SUBSTITUTE(Audio!N209, "RE-", "", 1))*1</f>
        <v>1091.48</v>
      </c>
      <c r="O209" s="92">
        <f>(SUBSTITUTE(Audio!O209, "RE-", "", 1))*1</f>
        <v>20.5571</v>
      </c>
      <c r="P209" s="92">
        <f>(SUBSTITUTE(Audio!P209, "RE-", "", 1))*1</f>
        <v>376.112</v>
      </c>
      <c r="Q209" s="92">
        <f>(SUBSTITUTE(Audio!Q209, "RE-", "", 1))*1</f>
        <v>43.2279</v>
      </c>
      <c r="R209" s="92">
        <f>(SUBSTITUTE(Audio!R209, "RE-", "", 1))*1</f>
        <v>80.9409</v>
      </c>
      <c r="S209" s="92">
        <f>(SUBSTITUTE(Audio!S209, "RE-", "", 1))*1</f>
        <v>8.4617</v>
      </c>
      <c r="T209" s="92">
        <f>(SUBSTITUTE(Audio!T209, "RE-", "", 1))*1</f>
        <v>494.005</v>
      </c>
      <c r="U209" s="92">
        <f>(SUBSTITUTE(Audio!U209, "RE-", "", 1))*1</f>
        <v>33.3502</v>
      </c>
      <c r="V209" s="92">
        <f>(SUBSTITUTE(Audio!V209, "RE-", "", 1))*1</f>
        <v>5.76087</v>
      </c>
      <c r="W209" s="92">
        <f>(SUBSTITUTE(Audio!W209, "RE-", "", 1))*1</f>
        <v>0</v>
      </c>
      <c r="X209" s="92">
        <f>(SUBSTITUTE(Audio!X209, "RE-", "", 1))*1</f>
        <v>0</v>
      </c>
      <c r="Y209" s="92">
        <f>(SUBSTITUTE(Audio!Y209, "RE-", "", 1))*1</f>
        <v>0</v>
      </c>
      <c r="Z209" s="92">
        <f>(SUBSTITUTE(Audio!Z209, "RE-", "", 1))*1</f>
        <v>0</v>
      </c>
      <c r="AA209" s="92"/>
      <c r="AB209" s="92"/>
      <c r="AC209" s="92"/>
      <c r="AD209" s="92"/>
      <c r="AE209" s="92"/>
      <c r="AF209" s="92"/>
      <c r="AG209" s="92"/>
      <c r="AH209" s="92"/>
      <c r="AI209" s="92"/>
      <c r="AJ209" s="92"/>
      <c r="AK209" s="92"/>
      <c r="AL209" s="92"/>
      <c r="AM209" s="92"/>
      <c r="AN209" s="92"/>
      <c r="AO209" s="92"/>
      <c r="AP209" s="92"/>
      <c r="AQ209" s="92"/>
      <c r="AR209" s="92"/>
      <c r="AS209" s="92"/>
      <c r="AT209" s="92"/>
      <c r="AU209" s="92"/>
      <c r="AV209" s="92"/>
      <c r="AW209" s="92"/>
      <c r="AX209" s="92"/>
      <c r="AY209" s="92"/>
      <c r="AZ209" s="92"/>
      <c r="BA209" s="92"/>
      <c r="BB209" s="92"/>
      <c r="BC209" s="92"/>
      <c r="BD209" s="92"/>
      <c r="BE209" s="92"/>
      <c r="BF209" s="92"/>
      <c r="BG209" s="92"/>
      <c r="BH209" s="92"/>
      <c r="BI209" s="92"/>
      <c r="BJ209" s="92"/>
      <c r="BK209" s="92"/>
      <c r="BL209" s="92"/>
      <c r="BM209" s="92"/>
      <c r="BN209" s="92"/>
      <c r="BO209" s="92"/>
      <c r="BP209" s="92"/>
      <c r="BQ209" s="92"/>
      <c r="BR209" s="92"/>
      <c r="BS209" s="92"/>
      <c r="BT209" s="92"/>
      <c r="BU209" s="92"/>
      <c r="BV209" s="92"/>
      <c r="BW209" s="92"/>
      <c r="BX209" s="92"/>
      <c r="BY209" s="92"/>
      <c r="BZ209" s="92"/>
      <c r="CA209" s="92"/>
      <c r="CB209" s="92"/>
      <c r="CC209" s="92"/>
      <c r="CD209" s="92"/>
      <c r="CE209" s="92"/>
      <c r="CF209" s="92"/>
      <c r="CG209" s="92"/>
      <c r="CH209" s="92"/>
      <c r="CI209" s="92"/>
      <c r="CJ209" s="92"/>
      <c r="CK209" s="92"/>
      <c r="CL209" s="92"/>
      <c r="CM209" s="92"/>
      <c r="CN209" s="92"/>
      <c r="CO209" s="92"/>
      <c r="CP209" s="92"/>
      <c r="CQ209" s="92"/>
      <c r="CR209" s="92"/>
      <c r="CS209" s="92"/>
      <c r="CT209" s="92"/>
      <c r="CU209" s="92"/>
      <c r="CV209" s="92"/>
      <c r="CW209" s="92"/>
      <c r="CX209" s="92"/>
      <c r="CY209" s="92"/>
      <c r="CZ209" s="92"/>
      <c r="DA209" s="92"/>
      <c r="DB209" s="92"/>
      <c r="DC209" s="92"/>
      <c r="DD209" s="92"/>
      <c r="DE209" s="92"/>
      <c r="DF209" s="92"/>
      <c r="DG209" s="92"/>
      <c r="DH209" s="92"/>
      <c r="DI209" s="92"/>
      <c r="DJ209" s="92"/>
      <c r="DK209" s="92"/>
      <c r="DL209" s="92"/>
      <c r="DM209" s="92"/>
      <c r="DN209" s="92"/>
      <c r="DO209" s="92"/>
      <c r="DP209" s="92"/>
      <c r="DQ209" s="92"/>
      <c r="DR209" s="92"/>
      <c r="DS209" s="92"/>
      <c r="DT209" s="92"/>
      <c r="DU209" s="92"/>
      <c r="DV209" s="92"/>
      <c r="DW209" s="92"/>
      <c r="DX209" s="92"/>
      <c r="DY209" s="92"/>
      <c r="DZ209" s="92"/>
      <c r="EA209" s="92"/>
      <c r="EB209" s="92"/>
      <c r="EC209" s="92"/>
      <c r="ED209" s="92"/>
      <c r="EE209" s="92"/>
      <c r="EF209" s="92"/>
      <c r="EG209" s="92"/>
      <c r="EH209" s="92"/>
      <c r="EI209" s="92"/>
      <c r="EJ209" s="92"/>
      <c r="EK209" s="92"/>
      <c r="EL209" s="92"/>
      <c r="EM209" s="92"/>
      <c r="EN209" s="92"/>
      <c r="EO209" s="92"/>
      <c r="EP209" s="92"/>
      <c r="EQ209" s="92"/>
      <c r="ER209" s="92"/>
      <c r="ES209" s="92"/>
      <c r="ET209" s="92"/>
      <c r="EU209" s="92"/>
      <c r="EV209" s="92"/>
      <c r="EW209" s="92"/>
      <c r="EX209" s="92"/>
      <c r="EY209" s="92"/>
      <c r="EZ209" s="92"/>
      <c r="FA209" s="92"/>
      <c r="FB209" s="92"/>
      <c r="FC209" s="92"/>
      <c r="FD209" s="92"/>
      <c r="FE209" s="92"/>
      <c r="FF209" s="92"/>
      <c r="FG209" s="92"/>
      <c r="FH209" s="92"/>
    </row>
    <row r="210">
      <c r="A210" s="27" t="s">
        <v>7</v>
      </c>
      <c r="B210" s="27" t="s">
        <v>44</v>
      </c>
      <c r="C210" s="27" t="s">
        <v>15</v>
      </c>
      <c r="D210" s="98">
        <f t="shared" si="1"/>
        <v>5346.05711</v>
      </c>
      <c r="E210" s="92">
        <f>(SUBSTITUTE(Audio!E210, "RE-", "", 1))*1</f>
        <v>0</v>
      </c>
      <c r="F210" s="92">
        <f>(SUBSTITUTE(Audio!F210, "RE-", "", 1))*1</f>
        <v>521.614</v>
      </c>
      <c r="G210" s="92">
        <f>(SUBSTITUTE(Audio!G210, "RE-", "", 1))*1</f>
        <v>2.9033</v>
      </c>
      <c r="H210" s="92">
        <f>(SUBSTITUTE(Audio!H210, "RE-", "", 1))*1</f>
        <v>108.496</v>
      </c>
      <c r="I210" s="92">
        <f>(SUBSTITUTE(Audio!I210, "RE-", "", 1))*1</f>
        <v>0</v>
      </c>
      <c r="J210" s="92">
        <f>(SUBSTITUTE(Audio!J210, "RE-", "", 1))*1</f>
        <v>1630.3</v>
      </c>
      <c r="K210" s="92">
        <f>(SUBSTITUTE(Audio!K210, "RE-", "", 1))*1</f>
        <v>6.54153</v>
      </c>
      <c r="L210" s="92">
        <f>(SUBSTITUTE(Audio!L210, "RE-", "", 1))*1</f>
        <v>563.481</v>
      </c>
      <c r="M210" s="92">
        <f>(SUBSTITUTE(Audio!M210, "RE-", "", 1))*1</f>
        <v>9.31288</v>
      </c>
      <c r="N210" s="92">
        <f>(SUBSTITUTE(Audio!N210, "RE-", "", 1))*1</f>
        <v>1261.33</v>
      </c>
      <c r="O210" s="92">
        <f>(SUBSTITUTE(Audio!O210, "RE-", "", 1))*1</f>
        <v>24.8096</v>
      </c>
      <c r="P210" s="92">
        <f>(SUBSTITUTE(Audio!P210, "RE-", "", 1))*1</f>
        <v>442.864</v>
      </c>
      <c r="Q210" s="92">
        <f>(SUBSTITUTE(Audio!Q210, "RE-", "", 1))*1</f>
        <v>49.1236</v>
      </c>
      <c r="R210" s="92">
        <f>(SUBSTITUTE(Audio!R210, "RE-", "", 1))*1</f>
        <v>94.6354</v>
      </c>
      <c r="S210" s="92">
        <f>(SUBSTITUTE(Audio!S210, "RE-", "", 1))*1</f>
        <v>10.1511</v>
      </c>
      <c r="T210" s="92">
        <f>(SUBSTITUTE(Audio!T210, "RE-", "", 1))*1</f>
        <v>577.872</v>
      </c>
      <c r="U210" s="92">
        <f>(SUBSTITUTE(Audio!U210, "RE-", "", 1))*1</f>
        <v>36.7652</v>
      </c>
      <c r="V210" s="92">
        <f>(SUBSTITUTE(Audio!V210, "RE-", "", 1))*1</f>
        <v>5.8575</v>
      </c>
      <c r="W210" s="92">
        <f>(SUBSTITUTE(Audio!W210, "RE-", "", 1))*1</f>
        <v>0</v>
      </c>
      <c r="X210" s="92">
        <f>(SUBSTITUTE(Audio!X210, "RE-", "", 1))*1</f>
        <v>0</v>
      </c>
      <c r="Y210" s="92">
        <f>(SUBSTITUTE(Audio!Y210, "RE-", "", 1))*1</f>
        <v>0</v>
      </c>
      <c r="Z210" s="92">
        <f>(SUBSTITUTE(Audio!Z210, "RE-", "", 1))*1</f>
        <v>0</v>
      </c>
      <c r="AA210" s="92"/>
      <c r="AB210" s="92"/>
      <c r="AC210" s="92"/>
      <c r="AD210" s="92"/>
      <c r="AE210" s="92"/>
      <c r="AF210" s="92"/>
      <c r="AG210" s="92"/>
      <c r="AH210" s="92"/>
      <c r="AI210" s="92"/>
      <c r="AJ210" s="92"/>
      <c r="AK210" s="92"/>
      <c r="AL210" s="92"/>
      <c r="AM210" s="92"/>
      <c r="AN210" s="92"/>
      <c r="AO210" s="92"/>
      <c r="AP210" s="92"/>
      <c r="AQ210" s="92"/>
      <c r="AR210" s="92"/>
      <c r="AS210" s="92"/>
      <c r="AT210" s="92"/>
      <c r="AU210" s="92"/>
      <c r="AV210" s="92"/>
      <c r="AW210" s="92"/>
      <c r="AX210" s="92"/>
      <c r="AY210" s="92"/>
      <c r="AZ210" s="92"/>
      <c r="BA210" s="92"/>
      <c r="BB210" s="92"/>
      <c r="BC210" s="92"/>
      <c r="BD210" s="92"/>
      <c r="BE210" s="92"/>
      <c r="BF210" s="92"/>
      <c r="BG210" s="92"/>
      <c r="BH210" s="92"/>
      <c r="BI210" s="92"/>
      <c r="BJ210" s="92"/>
      <c r="BK210" s="92"/>
      <c r="BL210" s="92"/>
      <c r="BM210" s="92"/>
      <c r="BN210" s="92"/>
      <c r="BO210" s="92"/>
      <c r="BP210" s="92"/>
      <c r="BQ210" s="92"/>
      <c r="BR210" s="92"/>
      <c r="BS210" s="92"/>
      <c r="BT210" s="92"/>
      <c r="BU210" s="92"/>
      <c r="BV210" s="92"/>
      <c r="BW210" s="92"/>
      <c r="BX210" s="92"/>
      <c r="BY210" s="92"/>
      <c r="BZ210" s="92"/>
      <c r="CA210" s="92"/>
      <c r="CB210" s="92"/>
      <c r="CC210" s="92"/>
      <c r="CD210" s="92"/>
      <c r="CE210" s="92"/>
      <c r="CF210" s="92"/>
      <c r="CG210" s="92"/>
      <c r="CH210" s="92"/>
      <c r="CI210" s="92"/>
      <c r="CJ210" s="92"/>
      <c r="CK210" s="92"/>
      <c r="CL210" s="92"/>
      <c r="CM210" s="92"/>
      <c r="CN210" s="92"/>
      <c r="CO210" s="92"/>
      <c r="CP210" s="92"/>
      <c r="CQ210" s="92"/>
      <c r="CR210" s="92"/>
      <c r="CS210" s="92"/>
      <c r="CT210" s="92"/>
      <c r="CU210" s="92"/>
      <c r="CV210" s="92"/>
      <c r="CW210" s="92"/>
      <c r="CX210" s="92"/>
      <c r="CY210" s="92"/>
      <c r="CZ210" s="92"/>
      <c r="DA210" s="92"/>
      <c r="DB210" s="92"/>
      <c r="DC210" s="92"/>
      <c r="DD210" s="92"/>
      <c r="DE210" s="92"/>
      <c r="DF210" s="92"/>
      <c r="DG210" s="92"/>
      <c r="DH210" s="92"/>
      <c r="DI210" s="92"/>
      <c r="DJ210" s="92"/>
      <c r="DK210" s="92"/>
      <c r="DL210" s="92"/>
      <c r="DM210" s="92"/>
      <c r="DN210" s="92"/>
      <c r="DO210" s="92"/>
      <c r="DP210" s="92"/>
      <c r="DQ210" s="92"/>
      <c r="DR210" s="92"/>
      <c r="DS210" s="92"/>
      <c r="DT210" s="92"/>
      <c r="DU210" s="92"/>
      <c r="DV210" s="92"/>
      <c r="DW210" s="92"/>
      <c r="DX210" s="92"/>
      <c r="DY210" s="92"/>
      <c r="DZ210" s="92"/>
      <c r="EA210" s="92"/>
      <c r="EB210" s="92"/>
      <c r="EC210" s="92"/>
      <c r="ED210" s="92"/>
      <c r="EE210" s="92"/>
      <c r="EF210" s="92"/>
      <c r="EG210" s="92"/>
      <c r="EH210" s="92"/>
      <c r="EI210" s="92"/>
      <c r="EJ210" s="92"/>
      <c r="EK210" s="92"/>
      <c r="EL210" s="92"/>
      <c r="EM210" s="92"/>
      <c r="EN210" s="92"/>
      <c r="EO210" s="92"/>
      <c r="EP210" s="92"/>
      <c r="EQ210" s="92"/>
      <c r="ER210" s="92"/>
      <c r="ES210" s="92"/>
      <c r="ET210" s="92"/>
      <c r="EU210" s="92"/>
      <c r="EV210" s="92"/>
      <c r="EW210" s="92"/>
      <c r="EX210" s="92"/>
      <c r="EY210" s="92"/>
      <c r="EZ210" s="92"/>
      <c r="FA210" s="92"/>
      <c r="FB210" s="92"/>
      <c r="FC210" s="92"/>
      <c r="FD210" s="92"/>
      <c r="FE210" s="92"/>
      <c r="FF210" s="92"/>
      <c r="FG210" s="92"/>
      <c r="FH210" s="92"/>
    </row>
    <row r="211">
      <c r="A211" s="30" t="s">
        <v>45</v>
      </c>
      <c r="B211" s="30" t="s">
        <v>46</v>
      </c>
      <c r="C211" s="31" t="str">
        <f>HYPERLINK("https://docs.google.com/spreadsheets/d/1sjQvwBoJwCdQ2lHwICp5T49MthUetxkB/edit?usp=share_link&amp;ouid=106501987799020758802&amp;rtpof=true&amp;sd=true", "Raw Delivered")</f>
        <v>Raw Delivered</v>
      </c>
      <c r="D211" s="96">
        <f t="shared" si="1"/>
        <v>5567.598705</v>
      </c>
      <c r="E211" s="92">
        <f>(SUBSTITUTE(Audio!E211, "RE-", "", 1))*1</f>
        <v>0</v>
      </c>
      <c r="F211" s="92">
        <f>(SUBSTITUTE(Audio!F211, "RE-", "", 1))*1</f>
        <v>416.5342656</v>
      </c>
      <c r="G211" s="92">
        <f>(SUBSTITUTE(Audio!G211, "RE-", "", 1))*1</f>
        <v>0</v>
      </c>
      <c r="H211" s="92">
        <f>(SUBSTITUTE(Audio!H211, "RE-", "", 1))*1</f>
        <v>98.72483542</v>
      </c>
      <c r="I211" s="92">
        <f>(SUBSTITUTE(Audio!I211, "RE-", "", 1))*1</f>
        <v>0</v>
      </c>
      <c r="J211" s="92">
        <f>(SUBSTITUTE(Audio!J211, "RE-", "", 1))*1</f>
        <v>126.1702917</v>
      </c>
      <c r="K211" s="92">
        <f>(SUBSTITUTE(Audio!K211, "RE-", "", 1))*1</f>
        <v>0</v>
      </c>
      <c r="L211" s="92">
        <f>(SUBSTITUTE(Audio!L211, "RE-", "", 1))*1</f>
        <v>34.38760625</v>
      </c>
      <c r="M211" s="92">
        <f>(SUBSTITUTE(Audio!M211, "RE-", "", 1))*1</f>
        <v>0</v>
      </c>
      <c r="N211" s="92">
        <f>(SUBSTITUTE(Audio!N211, "RE-", "", 1))*1</f>
        <v>4085.875634</v>
      </c>
      <c r="O211" s="92">
        <f>(SUBSTITUTE(Audio!O211, "RE-", "", 1))*1</f>
        <v>0</v>
      </c>
      <c r="P211" s="92">
        <f>(SUBSTITUTE(Audio!P211, "RE-", "", 1))*1</f>
        <v>41.20121458</v>
      </c>
      <c r="Q211" s="92">
        <f>(SUBSTITUTE(Audio!Q211, "RE-", "", 1))*1</f>
        <v>0</v>
      </c>
      <c r="R211" s="92">
        <f>(SUBSTITUTE(Audio!R211, "RE-", "", 1))*1</f>
        <v>32.64258438</v>
      </c>
      <c r="S211" s="92">
        <f>(SUBSTITUTE(Audio!S211, "RE-", "", 1))*1</f>
        <v>0</v>
      </c>
      <c r="T211" s="92">
        <f>(SUBSTITUTE(Audio!T211, "RE-", "", 1))*1</f>
        <v>732.0622729</v>
      </c>
      <c r="U211" s="92">
        <f>(SUBSTITUTE(Audio!U211, "RE-", "", 1))*1</f>
        <v>0</v>
      </c>
      <c r="V211" s="92">
        <f>(SUBSTITUTE(Audio!V211, "RE-", "", 1))*1</f>
        <v>0</v>
      </c>
      <c r="W211" s="92">
        <f>(SUBSTITUTE(Audio!W211, "RE-", "", 1))*1</f>
        <v>0</v>
      </c>
      <c r="X211" s="92">
        <f>(SUBSTITUTE(Audio!X211, "RE-", "", 1))*1</f>
        <v>0</v>
      </c>
      <c r="Y211" s="92">
        <f>(SUBSTITUTE(Audio!Y211, "RE-", "", 1))*1</f>
        <v>0</v>
      </c>
      <c r="Z211" s="92">
        <f>(SUBSTITUTE(Audio!Z211, "RE-", "", 1))*1</f>
        <v>0</v>
      </c>
      <c r="AA211" s="92"/>
      <c r="AB211" s="92"/>
      <c r="AC211" s="92"/>
      <c r="AD211" s="92"/>
      <c r="AE211" s="92"/>
      <c r="AF211" s="92"/>
      <c r="AG211" s="92"/>
      <c r="AH211" s="92"/>
      <c r="AI211" s="92"/>
      <c r="AJ211" s="92"/>
      <c r="AK211" s="92"/>
      <c r="AL211" s="92"/>
      <c r="AM211" s="92"/>
      <c r="AN211" s="92"/>
      <c r="AO211" s="92"/>
      <c r="AP211" s="92"/>
      <c r="AQ211" s="92"/>
      <c r="AR211" s="92"/>
      <c r="AS211" s="92"/>
      <c r="AT211" s="92"/>
      <c r="AU211" s="92"/>
      <c r="AV211" s="92"/>
      <c r="AW211" s="92"/>
      <c r="AX211" s="92"/>
      <c r="AY211" s="92"/>
      <c r="AZ211" s="92"/>
      <c r="BA211" s="92"/>
      <c r="BB211" s="92"/>
      <c r="BC211" s="92"/>
      <c r="BD211" s="92"/>
      <c r="BE211" s="92"/>
      <c r="BF211" s="92"/>
      <c r="BG211" s="92"/>
      <c r="BH211" s="92"/>
      <c r="BI211" s="92"/>
      <c r="BJ211" s="92"/>
      <c r="BK211" s="92"/>
      <c r="BL211" s="92"/>
      <c r="BM211" s="92"/>
      <c r="BN211" s="92"/>
      <c r="BO211" s="92"/>
      <c r="BP211" s="92"/>
      <c r="BQ211" s="92"/>
      <c r="BR211" s="92"/>
      <c r="BS211" s="92"/>
      <c r="BT211" s="92"/>
      <c r="BU211" s="92"/>
      <c r="BV211" s="92"/>
      <c r="BW211" s="92"/>
      <c r="BX211" s="92"/>
      <c r="BY211" s="92"/>
      <c r="BZ211" s="92"/>
      <c r="CA211" s="92"/>
      <c r="CB211" s="92"/>
      <c r="CC211" s="92"/>
      <c r="CD211" s="92"/>
      <c r="CE211" s="92"/>
      <c r="CF211" s="92"/>
      <c r="CG211" s="92"/>
      <c r="CH211" s="92"/>
      <c r="CI211" s="92"/>
      <c r="CJ211" s="92"/>
      <c r="CK211" s="92"/>
      <c r="CL211" s="92"/>
      <c r="CM211" s="92"/>
      <c r="CN211" s="92"/>
      <c r="CO211" s="92"/>
      <c r="CP211" s="92"/>
      <c r="CQ211" s="92"/>
      <c r="CR211" s="92"/>
      <c r="CS211" s="92"/>
      <c r="CT211" s="92"/>
      <c r="CU211" s="92"/>
      <c r="CV211" s="92"/>
      <c r="CW211" s="92"/>
      <c r="CX211" s="92"/>
      <c r="CY211" s="92"/>
      <c r="CZ211" s="92"/>
      <c r="DA211" s="92"/>
      <c r="DB211" s="92"/>
      <c r="DC211" s="92"/>
      <c r="DD211" s="92"/>
      <c r="DE211" s="92"/>
      <c r="DF211" s="92"/>
      <c r="DG211" s="92"/>
      <c r="DH211" s="92"/>
      <c r="DI211" s="92"/>
      <c r="DJ211" s="92"/>
      <c r="DK211" s="92"/>
      <c r="DL211" s="92"/>
      <c r="DM211" s="92"/>
      <c r="DN211" s="92"/>
      <c r="DO211" s="92"/>
      <c r="DP211" s="92"/>
      <c r="DQ211" s="92"/>
      <c r="DR211" s="92"/>
      <c r="DS211" s="92"/>
      <c r="DT211" s="92"/>
      <c r="DU211" s="92"/>
      <c r="DV211" s="92"/>
      <c r="DW211" s="92"/>
      <c r="DX211" s="92"/>
      <c r="DY211" s="92"/>
      <c r="DZ211" s="92"/>
      <c r="EA211" s="92"/>
      <c r="EB211" s="92"/>
      <c r="EC211" s="92"/>
      <c r="ED211" s="92"/>
      <c r="EE211" s="92"/>
      <c r="EF211" s="92"/>
      <c r="EG211" s="92"/>
      <c r="EH211" s="92"/>
      <c r="EI211" s="92"/>
      <c r="EJ211" s="92"/>
      <c r="EK211" s="92"/>
      <c r="EL211" s="92"/>
      <c r="EM211" s="92"/>
      <c r="EN211" s="92"/>
      <c r="EO211" s="92"/>
      <c r="EP211" s="92"/>
      <c r="EQ211" s="92"/>
      <c r="ER211" s="92"/>
      <c r="ES211" s="92"/>
      <c r="ET211" s="92"/>
      <c r="EU211" s="92"/>
      <c r="EV211" s="92"/>
      <c r="EW211" s="92"/>
      <c r="EX211" s="92"/>
      <c r="EY211" s="92"/>
      <c r="EZ211" s="92"/>
      <c r="FA211" s="92"/>
      <c r="FB211" s="92"/>
      <c r="FC211" s="92"/>
      <c r="FD211" s="92"/>
      <c r="FE211" s="92"/>
      <c r="FF211" s="92"/>
      <c r="FG211" s="92"/>
      <c r="FH211" s="92"/>
    </row>
    <row r="212">
      <c r="A212" s="32" t="s">
        <v>45</v>
      </c>
      <c r="B212" s="32" t="s">
        <v>46</v>
      </c>
      <c r="C212" s="32" t="s">
        <v>9</v>
      </c>
      <c r="D212" s="97">
        <f t="shared" si="1"/>
        <v>5567.598705</v>
      </c>
      <c r="E212" s="92">
        <f>(SUBSTITUTE(Audio!E212, "RE-", "", 1))*1</f>
        <v>0</v>
      </c>
      <c r="F212" s="92">
        <f>(SUBSTITUTE(Audio!F212, "RE-", "", 1))*1</f>
        <v>416.5342656</v>
      </c>
      <c r="G212" s="92">
        <f>(SUBSTITUTE(Audio!G212, "RE-", "", 1))*1</f>
        <v>0</v>
      </c>
      <c r="H212" s="92">
        <f>(SUBSTITUTE(Audio!H212, "RE-", "", 1))*1</f>
        <v>98.72483542</v>
      </c>
      <c r="I212" s="92">
        <f>(SUBSTITUTE(Audio!I212, "RE-", "", 1))*1</f>
        <v>0</v>
      </c>
      <c r="J212" s="92">
        <f>(SUBSTITUTE(Audio!J212, "RE-", "", 1))*1</f>
        <v>126.1702917</v>
      </c>
      <c r="K212" s="92">
        <f>(SUBSTITUTE(Audio!K212, "RE-", "", 1))*1</f>
        <v>0</v>
      </c>
      <c r="L212" s="92">
        <f>(SUBSTITUTE(Audio!L212, "RE-", "", 1))*1</f>
        <v>34.38760625</v>
      </c>
      <c r="M212" s="92">
        <f>(SUBSTITUTE(Audio!M212, "RE-", "", 1))*1</f>
        <v>0</v>
      </c>
      <c r="N212" s="92">
        <f>(SUBSTITUTE(Audio!N212, "RE-", "", 1))*1</f>
        <v>4085.875634</v>
      </c>
      <c r="O212" s="92">
        <f>(SUBSTITUTE(Audio!O212, "RE-", "", 1))*1</f>
        <v>0</v>
      </c>
      <c r="P212" s="92">
        <f>(SUBSTITUTE(Audio!P212, "RE-", "", 1))*1</f>
        <v>41.20121458</v>
      </c>
      <c r="Q212" s="92">
        <f>(SUBSTITUTE(Audio!Q212, "RE-", "", 1))*1</f>
        <v>0</v>
      </c>
      <c r="R212" s="92">
        <f>(SUBSTITUTE(Audio!R212, "RE-", "", 1))*1</f>
        <v>32.64258438</v>
      </c>
      <c r="S212" s="92">
        <f>(SUBSTITUTE(Audio!S212, "RE-", "", 1))*1</f>
        <v>0</v>
      </c>
      <c r="T212" s="92">
        <f>(SUBSTITUTE(Audio!T212, "RE-", "", 1))*1</f>
        <v>732.0622729</v>
      </c>
      <c r="U212" s="92">
        <f>(SUBSTITUTE(Audio!U212, "RE-", "", 1))*1</f>
        <v>0</v>
      </c>
      <c r="V212" s="92">
        <f>(SUBSTITUTE(Audio!V212, "RE-", "", 1))*1</f>
        <v>0</v>
      </c>
      <c r="W212" s="92">
        <f>(SUBSTITUTE(Audio!W212, "RE-", "", 1))*1</f>
        <v>0</v>
      </c>
      <c r="X212" s="92">
        <f>(SUBSTITUTE(Audio!X212, "RE-", "", 1))*1</f>
        <v>0</v>
      </c>
      <c r="Y212" s="92">
        <f>(SUBSTITUTE(Audio!Y212, "RE-", "", 1))*1</f>
        <v>0</v>
      </c>
      <c r="Z212" s="92">
        <f>(SUBSTITUTE(Audio!Z212, "RE-", "", 1))*1</f>
        <v>0</v>
      </c>
      <c r="AA212" s="92"/>
      <c r="AB212" s="92"/>
      <c r="AC212" s="92"/>
      <c r="AD212" s="92"/>
      <c r="AE212" s="92"/>
      <c r="AF212" s="92"/>
      <c r="AG212" s="92"/>
      <c r="AH212" s="92"/>
      <c r="AI212" s="92"/>
      <c r="AJ212" s="92"/>
      <c r="AK212" s="92"/>
      <c r="AL212" s="92"/>
      <c r="AM212" s="92"/>
      <c r="AN212" s="92"/>
      <c r="AO212" s="92"/>
      <c r="AP212" s="92"/>
      <c r="AQ212" s="92"/>
      <c r="AR212" s="92"/>
      <c r="AS212" s="92"/>
      <c r="AT212" s="92"/>
      <c r="AU212" s="92"/>
      <c r="AV212" s="92"/>
      <c r="AW212" s="92"/>
      <c r="AX212" s="92"/>
      <c r="AY212" s="92"/>
      <c r="AZ212" s="92"/>
      <c r="BA212" s="92"/>
      <c r="BB212" s="92"/>
      <c r="BC212" s="92"/>
      <c r="BD212" s="92"/>
      <c r="BE212" s="92"/>
      <c r="BF212" s="92"/>
      <c r="BG212" s="92"/>
      <c r="BH212" s="92"/>
      <c r="BI212" s="92"/>
      <c r="BJ212" s="92"/>
      <c r="BK212" s="92"/>
      <c r="BL212" s="92"/>
      <c r="BM212" s="92"/>
      <c r="BN212" s="92"/>
      <c r="BO212" s="92"/>
      <c r="BP212" s="92"/>
      <c r="BQ212" s="92"/>
      <c r="BR212" s="92"/>
      <c r="BS212" s="92"/>
      <c r="BT212" s="92"/>
      <c r="BU212" s="92"/>
      <c r="BV212" s="92"/>
      <c r="BW212" s="92"/>
      <c r="BX212" s="92"/>
      <c r="BY212" s="92"/>
      <c r="BZ212" s="92"/>
      <c r="CA212" s="92"/>
      <c r="CB212" s="92"/>
      <c r="CC212" s="92"/>
      <c r="CD212" s="92"/>
      <c r="CE212" s="92"/>
      <c r="CF212" s="92"/>
      <c r="CG212" s="92"/>
      <c r="CH212" s="92"/>
      <c r="CI212" s="92"/>
      <c r="CJ212" s="92"/>
      <c r="CK212" s="92"/>
      <c r="CL212" s="92"/>
      <c r="CM212" s="92"/>
      <c r="CN212" s="92"/>
      <c r="CO212" s="92"/>
      <c r="CP212" s="92"/>
      <c r="CQ212" s="92"/>
      <c r="CR212" s="92"/>
      <c r="CS212" s="92"/>
      <c r="CT212" s="92"/>
      <c r="CU212" s="92"/>
      <c r="CV212" s="92"/>
      <c r="CW212" s="92"/>
      <c r="CX212" s="92"/>
      <c r="CY212" s="92"/>
      <c r="CZ212" s="92"/>
      <c r="DA212" s="92"/>
      <c r="DB212" s="92"/>
      <c r="DC212" s="92"/>
      <c r="DD212" s="92"/>
      <c r="DE212" s="92"/>
      <c r="DF212" s="92"/>
      <c r="DG212" s="92"/>
      <c r="DH212" s="92"/>
      <c r="DI212" s="92"/>
      <c r="DJ212" s="92"/>
      <c r="DK212" s="92"/>
      <c r="DL212" s="92"/>
      <c r="DM212" s="92"/>
      <c r="DN212" s="92"/>
      <c r="DO212" s="92"/>
      <c r="DP212" s="92"/>
      <c r="DQ212" s="92"/>
      <c r="DR212" s="92"/>
      <c r="DS212" s="92"/>
      <c r="DT212" s="92"/>
      <c r="DU212" s="92"/>
      <c r="DV212" s="92"/>
      <c r="DW212" s="92"/>
      <c r="DX212" s="92"/>
      <c r="DY212" s="92"/>
      <c r="DZ212" s="92"/>
      <c r="EA212" s="92"/>
      <c r="EB212" s="92"/>
      <c r="EC212" s="92"/>
      <c r="ED212" s="92"/>
      <c r="EE212" s="92"/>
      <c r="EF212" s="92"/>
      <c r="EG212" s="92"/>
      <c r="EH212" s="92"/>
      <c r="EI212" s="92"/>
      <c r="EJ212" s="92"/>
      <c r="EK212" s="92"/>
      <c r="EL212" s="92"/>
      <c r="EM212" s="92"/>
      <c r="EN212" s="92"/>
      <c r="EO212" s="92"/>
      <c r="EP212" s="92"/>
      <c r="EQ212" s="92"/>
      <c r="ER212" s="92"/>
      <c r="ES212" s="92"/>
      <c r="ET212" s="92"/>
      <c r="EU212" s="92"/>
      <c r="EV212" s="92"/>
      <c r="EW212" s="92"/>
      <c r="EX212" s="92"/>
      <c r="EY212" s="92"/>
      <c r="EZ212" s="92"/>
      <c r="FA212" s="92"/>
      <c r="FB212" s="92"/>
      <c r="FC212" s="92"/>
      <c r="FD212" s="92"/>
      <c r="FE212" s="92"/>
      <c r="FF212" s="92"/>
      <c r="FG212" s="92"/>
      <c r="FH212" s="92"/>
    </row>
    <row r="213">
      <c r="A213" s="32" t="s">
        <v>45</v>
      </c>
      <c r="B213" s="32" t="s">
        <v>46</v>
      </c>
      <c r="C213" s="32" t="s">
        <v>10</v>
      </c>
      <c r="D213" s="97">
        <f t="shared" si="1"/>
        <v>930.0879188</v>
      </c>
      <c r="E213" s="92">
        <f>(SUBSTITUTE(Audio!E213, "RE-", "", 1))*1</f>
        <v>0</v>
      </c>
      <c r="F213" s="92">
        <f>(SUBSTITUTE(Audio!F213, "RE-", "", 1))*1</f>
        <v>0</v>
      </c>
      <c r="G213" s="92">
        <f>(SUBSTITUTE(Audio!G213, "RE-", "", 1))*1</f>
        <v>45.45661563</v>
      </c>
      <c r="H213" s="92">
        <f>(SUBSTITUTE(Audio!H213, "RE-", "", 1))*1</f>
        <v>0</v>
      </c>
      <c r="I213" s="92">
        <f>(SUBSTITUTE(Audio!I213, "RE-", "", 1))*1</f>
        <v>19.57048229</v>
      </c>
      <c r="J213" s="92">
        <f>(SUBSTITUTE(Audio!J213, "RE-", "", 1))*1</f>
        <v>0</v>
      </c>
      <c r="K213" s="92">
        <f>(SUBSTITUTE(Audio!K213, "RE-", "", 1))*1</f>
        <v>9.795446875</v>
      </c>
      <c r="L213" s="92">
        <f>(SUBSTITUTE(Audio!L213, "RE-", "", 1))*1</f>
        <v>0</v>
      </c>
      <c r="M213" s="92">
        <f>(SUBSTITUTE(Audio!M213, "RE-", "", 1))*1</f>
        <v>3.043960417</v>
      </c>
      <c r="N213" s="92">
        <f>(SUBSTITUTE(Audio!N213, "RE-", "", 1))*1</f>
        <v>0</v>
      </c>
      <c r="O213" s="92">
        <f>(SUBSTITUTE(Audio!O213, "RE-", "", 1))*1</f>
        <v>625.6911365</v>
      </c>
      <c r="P213" s="92">
        <f>(SUBSTITUTE(Audio!P213, "RE-", "", 1))*1</f>
        <v>0</v>
      </c>
      <c r="Q213" s="92">
        <f>(SUBSTITUTE(Audio!Q213, "RE-", "", 1))*1</f>
        <v>86.47635104</v>
      </c>
      <c r="R213" s="92">
        <f>(SUBSTITUTE(Audio!R213, "RE-", "", 1))*1</f>
        <v>0</v>
      </c>
      <c r="S213" s="92">
        <f>(SUBSTITUTE(Audio!S213, "RE-", "", 1))*1</f>
        <v>4.627175</v>
      </c>
      <c r="T213" s="92">
        <f>(SUBSTITUTE(Audio!T213, "RE-", "", 1))*1</f>
        <v>0</v>
      </c>
      <c r="U213" s="92">
        <f>(SUBSTITUTE(Audio!U213, "RE-", "", 1))*1</f>
        <v>62.81983438</v>
      </c>
      <c r="V213" s="92">
        <f>(SUBSTITUTE(Audio!V213, "RE-", "", 1))*1</f>
        <v>72.60691667</v>
      </c>
      <c r="W213" s="92">
        <f>(SUBSTITUTE(Audio!W213, "RE-", "", 1))*1</f>
        <v>0</v>
      </c>
      <c r="X213" s="92">
        <f>(SUBSTITUTE(Audio!X213, "RE-", "", 1))*1</f>
        <v>0</v>
      </c>
      <c r="Y213" s="92">
        <f>(SUBSTITUTE(Audio!Y213, "RE-", "", 1))*1</f>
        <v>0</v>
      </c>
      <c r="Z213" s="92">
        <f>(SUBSTITUTE(Audio!Z213, "RE-", "", 1))*1</f>
        <v>0</v>
      </c>
      <c r="AA213" s="92"/>
      <c r="AB213" s="92"/>
      <c r="AC213" s="92"/>
      <c r="AD213" s="92"/>
      <c r="AE213" s="92"/>
      <c r="AF213" s="92"/>
      <c r="AG213" s="92"/>
      <c r="AH213" s="92"/>
      <c r="AI213" s="92"/>
      <c r="AJ213" s="92"/>
      <c r="AK213" s="92"/>
      <c r="AL213" s="92"/>
      <c r="AM213" s="92"/>
      <c r="AN213" s="92"/>
      <c r="AO213" s="92"/>
      <c r="AP213" s="92"/>
      <c r="AQ213" s="92"/>
      <c r="AR213" s="92"/>
      <c r="AS213" s="92"/>
      <c r="AT213" s="92"/>
      <c r="AU213" s="92"/>
      <c r="AV213" s="92"/>
      <c r="AW213" s="92"/>
      <c r="AX213" s="92"/>
      <c r="AY213" s="92"/>
      <c r="AZ213" s="92"/>
      <c r="BA213" s="92"/>
      <c r="BB213" s="92"/>
      <c r="BC213" s="92"/>
      <c r="BD213" s="92"/>
      <c r="BE213" s="92"/>
      <c r="BF213" s="92"/>
      <c r="BG213" s="92"/>
      <c r="BH213" s="92"/>
      <c r="BI213" s="92"/>
      <c r="BJ213" s="92"/>
      <c r="BK213" s="92"/>
      <c r="BL213" s="92"/>
      <c r="BM213" s="92"/>
      <c r="BN213" s="92"/>
      <c r="BO213" s="92"/>
      <c r="BP213" s="92"/>
      <c r="BQ213" s="92"/>
      <c r="BR213" s="92"/>
      <c r="BS213" s="92"/>
      <c r="BT213" s="92"/>
      <c r="BU213" s="92"/>
      <c r="BV213" s="92"/>
      <c r="BW213" s="92"/>
      <c r="BX213" s="92"/>
      <c r="BY213" s="92"/>
      <c r="BZ213" s="92"/>
      <c r="CA213" s="92"/>
      <c r="CB213" s="92"/>
      <c r="CC213" s="92"/>
      <c r="CD213" s="92"/>
      <c r="CE213" s="92"/>
      <c r="CF213" s="92"/>
      <c r="CG213" s="92"/>
      <c r="CH213" s="92"/>
      <c r="CI213" s="92"/>
      <c r="CJ213" s="92"/>
      <c r="CK213" s="92"/>
      <c r="CL213" s="92"/>
      <c r="CM213" s="92"/>
      <c r="CN213" s="92"/>
      <c r="CO213" s="92"/>
      <c r="CP213" s="92"/>
      <c r="CQ213" s="92"/>
      <c r="CR213" s="92"/>
      <c r="CS213" s="92"/>
      <c r="CT213" s="92"/>
      <c r="CU213" s="92"/>
      <c r="CV213" s="92"/>
      <c r="CW213" s="92"/>
      <c r="CX213" s="92"/>
      <c r="CY213" s="92"/>
      <c r="CZ213" s="92"/>
      <c r="DA213" s="92"/>
      <c r="DB213" s="92"/>
      <c r="DC213" s="92"/>
      <c r="DD213" s="92"/>
      <c r="DE213" s="92"/>
      <c r="DF213" s="92"/>
      <c r="DG213" s="92"/>
      <c r="DH213" s="92"/>
      <c r="DI213" s="92"/>
      <c r="DJ213" s="92"/>
      <c r="DK213" s="92"/>
      <c r="DL213" s="92"/>
      <c r="DM213" s="92"/>
      <c r="DN213" s="92"/>
      <c r="DO213" s="92"/>
      <c r="DP213" s="92"/>
      <c r="DQ213" s="92"/>
      <c r="DR213" s="92"/>
      <c r="DS213" s="92"/>
      <c r="DT213" s="92"/>
      <c r="DU213" s="92"/>
      <c r="DV213" s="92"/>
      <c r="DW213" s="92"/>
      <c r="DX213" s="92"/>
      <c r="DY213" s="92"/>
      <c r="DZ213" s="92"/>
      <c r="EA213" s="92"/>
      <c r="EB213" s="92"/>
      <c r="EC213" s="92"/>
      <c r="ED213" s="92"/>
      <c r="EE213" s="92"/>
      <c r="EF213" s="92"/>
      <c r="EG213" s="92"/>
      <c r="EH213" s="92"/>
      <c r="EI213" s="92"/>
      <c r="EJ213" s="92"/>
      <c r="EK213" s="92"/>
      <c r="EL213" s="92"/>
      <c r="EM213" s="92"/>
      <c r="EN213" s="92"/>
      <c r="EO213" s="92"/>
      <c r="EP213" s="92"/>
      <c r="EQ213" s="92"/>
      <c r="ER213" s="92"/>
      <c r="ES213" s="92"/>
      <c r="ET213" s="92"/>
      <c r="EU213" s="92"/>
      <c r="EV213" s="92"/>
      <c r="EW213" s="92"/>
      <c r="EX213" s="92"/>
      <c r="EY213" s="92"/>
      <c r="EZ213" s="92"/>
      <c r="FA213" s="92"/>
      <c r="FB213" s="92"/>
      <c r="FC213" s="92"/>
      <c r="FD213" s="92"/>
      <c r="FE213" s="92"/>
      <c r="FF213" s="92"/>
      <c r="FG213" s="92"/>
      <c r="FH213" s="92"/>
    </row>
    <row r="214">
      <c r="A214" s="32" t="s">
        <v>45</v>
      </c>
      <c r="B214" s="32" t="s">
        <v>46</v>
      </c>
      <c r="C214" s="32" t="s">
        <v>11</v>
      </c>
      <c r="D214" s="97">
        <f t="shared" si="1"/>
        <v>930.0879187</v>
      </c>
      <c r="E214" s="92">
        <f>(SUBSTITUTE(Audio!E214, "RE-", "", 1))*1</f>
        <v>0</v>
      </c>
      <c r="F214" s="92">
        <f>(SUBSTITUTE(Audio!F214, "RE-", "", 1))*1</f>
        <v>0</v>
      </c>
      <c r="G214" s="92">
        <f>(SUBSTITUTE(Audio!G214, "RE-", "", 1))*1</f>
        <v>45.45661563</v>
      </c>
      <c r="H214" s="92">
        <f>(SUBSTITUTE(Audio!H214, "RE-", "", 1))*1</f>
        <v>0</v>
      </c>
      <c r="I214" s="92">
        <f>(SUBSTITUTE(Audio!I214, "RE-", "", 1))*1</f>
        <v>19.57048229</v>
      </c>
      <c r="J214" s="92">
        <f>(SUBSTITUTE(Audio!J214, "RE-", "", 1))*1</f>
        <v>0</v>
      </c>
      <c r="K214" s="92">
        <f>(SUBSTITUTE(Audio!K214, "RE-", "", 1))*1</f>
        <v>9.795446875</v>
      </c>
      <c r="L214" s="92">
        <f>(SUBSTITUTE(Audio!L214, "RE-", "", 1))*1</f>
        <v>0</v>
      </c>
      <c r="M214" s="92">
        <f>(SUBSTITUTE(Audio!M214, "RE-", "", 1))*1</f>
        <v>3.043960417</v>
      </c>
      <c r="N214" s="92">
        <f>(SUBSTITUTE(Audio!N214, "RE-", "", 1))*1</f>
        <v>0</v>
      </c>
      <c r="O214" s="92">
        <f>(SUBSTITUTE(Audio!O214, "RE-", "", 1))*1</f>
        <v>625.6911365</v>
      </c>
      <c r="P214" s="92">
        <f>(SUBSTITUTE(Audio!P214, "RE-", "", 1))*1</f>
        <v>0</v>
      </c>
      <c r="Q214" s="92">
        <f>(SUBSTITUTE(Audio!Q214, "RE-", "", 1))*1</f>
        <v>86.47635104</v>
      </c>
      <c r="R214" s="92">
        <f>(SUBSTITUTE(Audio!R214, "RE-", "", 1))*1</f>
        <v>0</v>
      </c>
      <c r="S214" s="92">
        <f>(SUBSTITUTE(Audio!S214, "RE-", "", 1))*1</f>
        <v>4.627175</v>
      </c>
      <c r="T214" s="92">
        <f>(SUBSTITUTE(Audio!T214, "RE-", "", 1))*1</f>
        <v>0</v>
      </c>
      <c r="U214" s="92">
        <f>(SUBSTITUTE(Audio!U214, "RE-", "", 1))*1</f>
        <v>62.81983438</v>
      </c>
      <c r="V214" s="92">
        <f>(SUBSTITUTE(Audio!V214, "RE-", "", 1))*1</f>
        <v>72.60691667</v>
      </c>
      <c r="W214" s="92">
        <f>(SUBSTITUTE(Audio!W214, "RE-", "", 1))*1</f>
        <v>0</v>
      </c>
      <c r="X214" s="92">
        <f>(SUBSTITUTE(Audio!X214, "RE-", "", 1))*1</f>
        <v>0</v>
      </c>
      <c r="Y214" s="92">
        <f>(SUBSTITUTE(Audio!Y214, "RE-", "", 1))*1</f>
        <v>0</v>
      </c>
      <c r="Z214" s="92">
        <f>(SUBSTITUTE(Audio!Z214, "RE-", "", 1))*1</f>
        <v>0</v>
      </c>
      <c r="AA214" s="92"/>
      <c r="AB214" s="92"/>
      <c r="AC214" s="92"/>
      <c r="AD214" s="92"/>
      <c r="AE214" s="92"/>
      <c r="AF214" s="92"/>
      <c r="AG214" s="92"/>
      <c r="AH214" s="92"/>
      <c r="AI214" s="92"/>
      <c r="AJ214" s="92"/>
      <c r="AK214" s="92"/>
      <c r="AL214" s="92"/>
      <c r="AM214" s="92"/>
      <c r="AN214" s="92"/>
      <c r="AO214" s="92"/>
      <c r="AP214" s="92"/>
      <c r="AQ214" s="92"/>
      <c r="AR214" s="92"/>
      <c r="AS214" s="92"/>
      <c r="AT214" s="92"/>
      <c r="AU214" s="92"/>
      <c r="AV214" s="92"/>
      <c r="AW214" s="92"/>
      <c r="AX214" s="92"/>
      <c r="AY214" s="92"/>
      <c r="AZ214" s="92"/>
      <c r="BA214" s="92"/>
      <c r="BB214" s="92"/>
      <c r="BC214" s="92"/>
      <c r="BD214" s="92"/>
      <c r="BE214" s="92"/>
      <c r="BF214" s="92"/>
      <c r="BG214" s="92"/>
      <c r="BH214" s="92"/>
      <c r="BI214" s="92"/>
      <c r="BJ214" s="92"/>
      <c r="BK214" s="92"/>
      <c r="BL214" s="92"/>
      <c r="BM214" s="92"/>
      <c r="BN214" s="92"/>
      <c r="BO214" s="92"/>
      <c r="BP214" s="92"/>
      <c r="BQ214" s="92"/>
      <c r="BR214" s="92"/>
      <c r="BS214" s="92"/>
      <c r="BT214" s="92"/>
      <c r="BU214" s="92"/>
      <c r="BV214" s="92"/>
      <c r="BW214" s="92"/>
      <c r="BX214" s="92"/>
      <c r="BY214" s="92"/>
      <c r="BZ214" s="92"/>
      <c r="CA214" s="92"/>
      <c r="CB214" s="92"/>
      <c r="CC214" s="92"/>
      <c r="CD214" s="92"/>
      <c r="CE214" s="92"/>
      <c r="CF214" s="92"/>
      <c r="CG214" s="92"/>
      <c r="CH214" s="92"/>
      <c r="CI214" s="92"/>
      <c r="CJ214" s="92"/>
      <c r="CK214" s="92"/>
      <c r="CL214" s="92"/>
      <c r="CM214" s="92"/>
      <c r="CN214" s="92"/>
      <c r="CO214" s="92"/>
      <c r="CP214" s="92"/>
      <c r="CQ214" s="92"/>
      <c r="CR214" s="92"/>
      <c r="CS214" s="92"/>
      <c r="CT214" s="92"/>
      <c r="CU214" s="92"/>
      <c r="CV214" s="92"/>
      <c r="CW214" s="92"/>
      <c r="CX214" s="92"/>
      <c r="CY214" s="92"/>
      <c r="CZ214" s="92"/>
      <c r="DA214" s="92"/>
      <c r="DB214" s="92"/>
      <c r="DC214" s="92"/>
      <c r="DD214" s="92"/>
      <c r="DE214" s="92"/>
      <c r="DF214" s="92"/>
      <c r="DG214" s="92"/>
      <c r="DH214" s="92"/>
      <c r="DI214" s="92"/>
      <c r="DJ214" s="92"/>
      <c r="DK214" s="92"/>
      <c r="DL214" s="92"/>
      <c r="DM214" s="92"/>
      <c r="DN214" s="92"/>
      <c r="DO214" s="92"/>
      <c r="DP214" s="92"/>
      <c r="DQ214" s="92"/>
      <c r="DR214" s="92"/>
      <c r="DS214" s="92"/>
      <c r="DT214" s="92"/>
      <c r="DU214" s="92"/>
      <c r="DV214" s="92"/>
      <c r="DW214" s="92"/>
      <c r="DX214" s="92"/>
      <c r="DY214" s="92"/>
      <c r="DZ214" s="92"/>
      <c r="EA214" s="92"/>
      <c r="EB214" s="92"/>
      <c r="EC214" s="92"/>
      <c r="ED214" s="92"/>
      <c r="EE214" s="92"/>
      <c r="EF214" s="92"/>
      <c r="EG214" s="92"/>
      <c r="EH214" s="92"/>
      <c r="EI214" s="92"/>
      <c r="EJ214" s="92"/>
      <c r="EK214" s="92"/>
      <c r="EL214" s="92"/>
      <c r="EM214" s="92"/>
      <c r="EN214" s="92"/>
      <c r="EO214" s="92"/>
      <c r="EP214" s="92"/>
      <c r="EQ214" s="92"/>
      <c r="ER214" s="92"/>
      <c r="ES214" s="92"/>
      <c r="ET214" s="92"/>
      <c r="EU214" s="92"/>
      <c r="EV214" s="92"/>
      <c r="EW214" s="92"/>
      <c r="EX214" s="92"/>
      <c r="EY214" s="92"/>
      <c r="EZ214" s="92"/>
      <c r="FA214" s="92"/>
      <c r="FB214" s="92"/>
      <c r="FC214" s="92"/>
      <c r="FD214" s="92"/>
      <c r="FE214" s="92"/>
      <c r="FF214" s="92"/>
      <c r="FG214" s="92"/>
      <c r="FH214" s="92"/>
    </row>
    <row r="215">
      <c r="A215" s="32" t="s">
        <v>45</v>
      </c>
      <c r="B215" s="32" t="s">
        <v>46</v>
      </c>
      <c r="C215" s="32" t="s">
        <v>12</v>
      </c>
      <c r="D215" s="97">
        <f t="shared" si="1"/>
        <v>3728.664632</v>
      </c>
      <c r="E215" s="92">
        <f>(SUBSTITUTE(Audio!E215, "RE-", "", 1))*1</f>
        <v>0</v>
      </c>
      <c r="F215" s="92">
        <f>(SUBSTITUTE(Audio!F215, "RE-", "", 1))*1</f>
        <v>329.1641615</v>
      </c>
      <c r="G215" s="92">
        <f>(SUBSTITUTE(Audio!G215, "RE-", "", 1))*1</f>
        <v>1.886875</v>
      </c>
      <c r="H215" s="92">
        <f>(SUBSTITUTE(Audio!H215, "RE-", "", 1))*1</f>
        <v>91.58634792</v>
      </c>
      <c r="I215" s="92">
        <f>(SUBSTITUTE(Audio!I215, "RE-", "", 1))*1</f>
        <v>0.3352270833</v>
      </c>
      <c r="J215" s="92">
        <f>(SUBSTITUTE(Audio!J215, "RE-", "", 1))*1</f>
        <v>84.52154896</v>
      </c>
      <c r="K215" s="92">
        <f>(SUBSTITUTE(Audio!K215, "RE-", "", 1))*1</f>
        <v>0</v>
      </c>
      <c r="L215" s="92">
        <f>(SUBSTITUTE(Audio!L215, "RE-", "", 1))*1</f>
        <v>27.83285417</v>
      </c>
      <c r="M215" s="92">
        <f>(SUBSTITUTE(Audio!M215, "RE-", "", 1))*1</f>
        <v>0</v>
      </c>
      <c r="N215" s="92">
        <f>(SUBSTITUTE(Audio!N215, "RE-", "", 1))*1</f>
        <v>2581.314101</v>
      </c>
      <c r="O215" s="92">
        <f>(SUBSTITUTE(Audio!O215, "RE-", "", 1))*1</f>
        <v>17.41615312</v>
      </c>
      <c r="P215" s="92">
        <f>(SUBSTITUTE(Audio!P215, "RE-", "", 1))*1</f>
        <v>18.35488125</v>
      </c>
      <c r="Q215" s="92">
        <f>(SUBSTITUTE(Audio!Q215, "RE-", "", 1))*1</f>
        <v>12.87746146</v>
      </c>
      <c r="R215" s="92">
        <f>(SUBSTITUTE(Audio!R215, "RE-", "", 1))*1</f>
        <v>23.80218125</v>
      </c>
      <c r="S215" s="92">
        <f>(SUBSTITUTE(Audio!S215, "RE-", "", 1))*1</f>
        <v>0.3037604167</v>
      </c>
      <c r="T215" s="92">
        <f>(SUBSTITUTE(Audio!T215, "RE-", "", 1))*1</f>
        <v>478.2316042</v>
      </c>
      <c r="U215" s="92">
        <f>(SUBSTITUTE(Audio!U215, "RE-", "", 1))*1</f>
        <v>20.09494688</v>
      </c>
      <c r="V215" s="92">
        <f>(SUBSTITUTE(Audio!V215, "RE-", "", 1))*1</f>
        <v>40.94252812</v>
      </c>
      <c r="W215" s="92">
        <f>(SUBSTITUTE(Audio!W215, "RE-", "", 1))*1</f>
        <v>0</v>
      </c>
      <c r="X215" s="92">
        <f>(SUBSTITUTE(Audio!X215, "RE-", "", 1))*1</f>
        <v>0</v>
      </c>
      <c r="Y215" s="92">
        <f>(SUBSTITUTE(Audio!Y215, "RE-", "", 1))*1</f>
        <v>0</v>
      </c>
      <c r="Z215" s="92">
        <f>(SUBSTITUTE(Audio!Z215, "RE-", "", 1))*1</f>
        <v>0</v>
      </c>
      <c r="AA215" s="92"/>
      <c r="AB215" s="92"/>
      <c r="AC215" s="92"/>
      <c r="AD215" s="92"/>
      <c r="AE215" s="92"/>
      <c r="AF215" s="92"/>
      <c r="AG215" s="92"/>
      <c r="AH215" s="92"/>
      <c r="AI215" s="92"/>
      <c r="AJ215" s="92"/>
      <c r="AK215" s="92"/>
      <c r="AL215" s="92"/>
      <c r="AM215" s="92"/>
      <c r="AN215" s="92"/>
      <c r="AO215" s="92"/>
      <c r="AP215" s="92"/>
      <c r="AQ215" s="92"/>
      <c r="AR215" s="92"/>
      <c r="AS215" s="92"/>
      <c r="AT215" s="92"/>
      <c r="AU215" s="92"/>
      <c r="AV215" s="92"/>
      <c r="AW215" s="92"/>
      <c r="AX215" s="92"/>
      <c r="AY215" s="92"/>
      <c r="AZ215" s="92"/>
      <c r="BA215" s="92"/>
      <c r="BB215" s="92"/>
      <c r="BC215" s="92"/>
      <c r="BD215" s="92"/>
      <c r="BE215" s="92"/>
      <c r="BF215" s="92"/>
      <c r="BG215" s="92"/>
      <c r="BH215" s="92"/>
      <c r="BI215" s="92"/>
      <c r="BJ215" s="92"/>
      <c r="BK215" s="92"/>
      <c r="BL215" s="92"/>
      <c r="BM215" s="92"/>
      <c r="BN215" s="92"/>
      <c r="BO215" s="92"/>
      <c r="BP215" s="92"/>
      <c r="BQ215" s="92"/>
      <c r="BR215" s="92"/>
      <c r="BS215" s="92"/>
      <c r="BT215" s="92"/>
      <c r="BU215" s="92"/>
      <c r="BV215" s="92"/>
      <c r="BW215" s="92"/>
      <c r="BX215" s="92"/>
      <c r="BY215" s="92"/>
      <c r="BZ215" s="92"/>
      <c r="CA215" s="92"/>
      <c r="CB215" s="92"/>
      <c r="CC215" s="92"/>
      <c r="CD215" s="92"/>
      <c r="CE215" s="92"/>
      <c r="CF215" s="92"/>
      <c r="CG215" s="92"/>
      <c r="CH215" s="92"/>
      <c r="CI215" s="92"/>
      <c r="CJ215" s="92"/>
      <c r="CK215" s="92"/>
      <c r="CL215" s="92"/>
      <c r="CM215" s="92"/>
      <c r="CN215" s="92"/>
      <c r="CO215" s="92"/>
      <c r="CP215" s="92"/>
      <c r="CQ215" s="92"/>
      <c r="CR215" s="92"/>
      <c r="CS215" s="92"/>
      <c r="CT215" s="92"/>
      <c r="CU215" s="92"/>
      <c r="CV215" s="92"/>
      <c r="CW215" s="92"/>
      <c r="CX215" s="92"/>
      <c r="CY215" s="92"/>
      <c r="CZ215" s="92"/>
      <c r="DA215" s="92"/>
      <c r="DB215" s="92"/>
      <c r="DC215" s="92"/>
      <c r="DD215" s="92"/>
      <c r="DE215" s="92"/>
      <c r="DF215" s="92"/>
      <c r="DG215" s="92"/>
      <c r="DH215" s="92"/>
      <c r="DI215" s="92"/>
      <c r="DJ215" s="92"/>
      <c r="DK215" s="92"/>
      <c r="DL215" s="92"/>
      <c r="DM215" s="92"/>
      <c r="DN215" s="92"/>
      <c r="DO215" s="92"/>
      <c r="DP215" s="92"/>
      <c r="DQ215" s="92"/>
      <c r="DR215" s="92"/>
      <c r="DS215" s="92"/>
      <c r="DT215" s="92"/>
      <c r="DU215" s="92"/>
      <c r="DV215" s="92"/>
      <c r="DW215" s="92"/>
      <c r="DX215" s="92"/>
      <c r="DY215" s="92"/>
      <c r="DZ215" s="92"/>
      <c r="EA215" s="92"/>
      <c r="EB215" s="92"/>
      <c r="EC215" s="92"/>
      <c r="ED215" s="92"/>
      <c r="EE215" s="92"/>
      <c r="EF215" s="92"/>
      <c r="EG215" s="92"/>
      <c r="EH215" s="92"/>
      <c r="EI215" s="92"/>
      <c r="EJ215" s="92"/>
      <c r="EK215" s="92"/>
      <c r="EL215" s="92"/>
      <c r="EM215" s="92"/>
      <c r="EN215" s="92"/>
      <c r="EO215" s="92"/>
      <c r="EP215" s="92"/>
      <c r="EQ215" s="92"/>
      <c r="ER215" s="92"/>
      <c r="ES215" s="92"/>
      <c r="ET215" s="92"/>
      <c r="EU215" s="92"/>
      <c r="EV215" s="92"/>
      <c r="EW215" s="92"/>
      <c r="EX215" s="92"/>
      <c r="EY215" s="92"/>
      <c r="EZ215" s="92"/>
      <c r="FA215" s="92"/>
      <c r="FB215" s="92"/>
      <c r="FC215" s="92"/>
      <c r="FD215" s="92"/>
      <c r="FE215" s="92"/>
      <c r="FF215" s="92"/>
      <c r="FG215" s="92"/>
      <c r="FH215" s="92"/>
    </row>
    <row r="216">
      <c r="A216" s="32" t="s">
        <v>45</v>
      </c>
      <c r="B216" s="32" t="s">
        <v>46</v>
      </c>
      <c r="C216" s="32" t="s">
        <v>13</v>
      </c>
      <c r="D216" s="97">
        <f t="shared" si="1"/>
        <v>3552.837933</v>
      </c>
      <c r="E216" s="92">
        <f>(SUBSTITUTE(Audio!E216, "RE-", "", 1))*1</f>
        <v>0</v>
      </c>
      <c r="F216" s="92">
        <f>(SUBSTITUTE(Audio!F216, "RE-", "", 1))*1</f>
        <v>307.982</v>
      </c>
      <c r="G216" s="92">
        <f>(SUBSTITUTE(Audio!G216, "RE-", "", 1))*1</f>
        <v>1.7884</v>
      </c>
      <c r="H216" s="92">
        <f>(SUBSTITUTE(Audio!H216, "RE-", "", 1))*1</f>
        <v>88.0594</v>
      </c>
      <c r="I216" s="92">
        <f>(SUBSTITUTE(Audio!I216, "RE-", "", 1))*1</f>
        <v>0.3278</v>
      </c>
      <c r="J216" s="92">
        <f>(SUBSTITUTE(Audio!J216, "RE-", "", 1))*1</f>
        <v>80.7099</v>
      </c>
      <c r="K216" s="92">
        <f>(SUBSTITUTE(Audio!K216, "RE-", "", 1))*1</f>
        <v>0</v>
      </c>
      <c r="L216" s="92">
        <f>(SUBSTITUTE(Audio!L216, "RE-", "", 1))*1</f>
        <v>26.1771</v>
      </c>
      <c r="M216" s="92">
        <f>(SUBSTITUTE(Audio!M216, "RE-", "", 1))*1</f>
        <v>0</v>
      </c>
      <c r="N216" s="92">
        <f>(SUBSTITUTE(Audio!N216, "RE-", "", 1))*1</f>
        <v>2459.29</v>
      </c>
      <c r="O216" s="92">
        <f>(SUBSTITUTE(Audio!O216, "RE-", "", 1))*1</f>
        <v>16.5137</v>
      </c>
      <c r="P216" s="92">
        <f>(SUBSTITUTE(Audio!P216, "RE-", "", 1))*1</f>
        <v>17.718</v>
      </c>
      <c r="Q216" s="92">
        <f>(SUBSTITUTE(Audio!Q216, "RE-", "", 1))*1</f>
        <v>12.2771</v>
      </c>
      <c r="R216" s="92">
        <f>(SUBSTITUTE(Audio!R216, "RE-", "", 1))*1</f>
        <v>23.1136</v>
      </c>
      <c r="S216" s="92">
        <f>(SUBSTITUTE(Audio!S216, "RE-", "", 1))*1</f>
        <v>0.303133</v>
      </c>
      <c r="T216" s="92">
        <f>(SUBSTITUTE(Audio!T216, "RE-", "", 1))*1</f>
        <v>460.772</v>
      </c>
      <c r="U216" s="92">
        <f>(SUBSTITUTE(Audio!U216, "RE-", "", 1))*1</f>
        <v>18.6682</v>
      </c>
      <c r="V216" s="92">
        <f>(SUBSTITUTE(Audio!V216, "RE-", "", 1))*1</f>
        <v>39.1376</v>
      </c>
      <c r="W216" s="92">
        <f>(SUBSTITUTE(Audio!W216, "RE-", "", 1))*1</f>
        <v>0</v>
      </c>
      <c r="X216" s="92">
        <f>(SUBSTITUTE(Audio!X216, "RE-", "", 1))*1</f>
        <v>0</v>
      </c>
      <c r="Y216" s="92">
        <f>(SUBSTITUTE(Audio!Y216, "RE-", "", 1))*1</f>
        <v>0</v>
      </c>
      <c r="Z216" s="92">
        <f>(SUBSTITUTE(Audio!Z216, "RE-", "", 1))*1</f>
        <v>0</v>
      </c>
      <c r="AA216" s="92"/>
      <c r="AB216" s="92"/>
      <c r="AC216" s="92"/>
      <c r="AD216" s="92"/>
      <c r="AE216" s="92"/>
      <c r="AF216" s="92"/>
      <c r="AG216" s="92"/>
      <c r="AH216" s="92"/>
      <c r="AI216" s="92"/>
      <c r="AJ216" s="92"/>
      <c r="AK216" s="92"/>
      <c r="AL216" s="92"/>
      <c r="AM216" s="92"/>
      <c r="AN216" s="92"/>
      <c r="AO216" s="92"/>
      <c r="AP216" s="92"/>
      <c r="AQ216" s="92"/>
      <c r="AR216" s="92"/>
      <c r="AS216" s="92"/>
      <c r="AT216" s="92"/>
      <c r="AU216" s="92"/>
      <c r="AV216" s="92"/>
      <c r="AW216" s="92"/>
      <c r="AX216" s="92"/>
      <c r="AY216" s="92"/>
      <c r="AZ216" s="92"/>
      <c r="BA216" s="92"/>
      <c r="BB216" s="92"/>
      <c r="BC216" s="92"/>
      <c r="BD216" s="92"/>
      <c r="BE216" s="92"/>
      <c r="BF216" s="92"/>
      <c r="BG216" s="92"/>
      <c r="BH216" s="92"/>
      <c r="BI216" s="92"/>
      <c r="BJ216" s="92"/>
      <c r="BK216" s="92"/>
      <c r="BL216" s="92"/>
      <c r="BM216" s="92"/>
      <c r="BN216" s="92"/>
      <c r="BO216" s="92"/>
      <c r="BP216" s="92"/>
      <c r="BQ216" s="92"/>
      <c r="BR216" s="92"/>
      <c r="BS216" s="92"/>
      <c r="BT216" s="92"/>
      <c r="BU216" s="92"/>
      <c r="BV216" s="92"/>
      <c r="BW216" s="92"/>
      <c r="BX216" s="92"/>
      <c r="BY216" s="92"/>
      <c r="BZ216" s="92"/>
      <c r="CA216" s="92"/>
      <c r="CB216" s="92"/>
      <c r="CC216" s="92"/>
      <c r="CD216" s="92"/>
      <c r="CE216" s="92"/>
      <c r="CF216" s="92"/>
      <c r="CG216" s="92"/>
      <c r="CH216" s="92"/>
      <c r="CI216" s="92"/>
      <c r="CJ216" s="92"/>
      <c r="CK216" s="92"/>
      <c r="CL216" s="92"/>
      <c r="CM216" s="92"/>
      <c r="CN216" s="92"/>
      <c r="CO216" s="92"/>
      <c r="CP216" s="92"/>
      <c r="CQ216" s="92"/>
      <c r="CR216" s="92"/>
      <c r="CS216" s="92"/>
      <c r="CT216" s="92"/>
      <c r="CU216" s="92"/>
      <c r="CV216" s="92"/>
      <c r="CW216" s="92"/>
      <c r="CX216" s="92"/>
      <c r="CY216" s="92"/>
      <c r="CZ216" s="92"/>
      <c r="DA216" s="92"/>
      <c r="DB216" s="92"/>
      <c r="DC216" s="92"/>
      <c r="DD216" s="92"/>
      <c r="DE216" s="92"/>
      <c r="DF216" s="92"/>
      <c r="DG216" s="92"/>
      <c r="DH216" s="92"/>
      <c r="DI216" s="92"/>
      <c r="DJ216" s="92"/>
      <c r="DK216" s="92"/>
      <c r="DL216" s="92"/>
      <c r="DM216" s="92"/>
      <c r="DN216" s="92"/>
      <c r="DO216" s="92"/>
      <c r="DP216" s="92"/>
      <c r="DQ216" s="92"/>
      <c r="DR216" s="92"/>
      <c r="DS216" s="92"/>
      <c r="DT216" s="92"/>
      <c r="DU216" s="92"/>
      <c r="DV216" s="92"/>
      <c r="DW216" s="92"/>
      <c r="DX216" s="92"/>
      <c r="DY216" s="92"/>
      <c r="DZ216" s="92"/>
      <c r="EA216" s="92"/>
      <c r="EB216" s="92"/>
      <c r="EC216" s="92"/>
      <c r="ED216" s="92"/>
      <c r="EE216" s="92"/>
      <c r="EF216" s="92"/>
      <c r="EG216" s="92"/>
      <c r="EH216" s="92"/>
      <c r="EI216" s="92"/>
      <c r="EJ216" s="92"/>
      <c r="EK216" s="92"/>
      <c r="EL216" s="92"/>
      <c r="EM216" s="92"/>
      <c r="EN216" s="92"/>
      <c r="EO216" s="92"/>
      <c r="EP216" s="92"/>
      <c r="EQ216" s="92"/>
      <c r="ER216" s="92"/>
      <c r="ES216" s="92"/>
      <c r="ET216" s="92"/>
      <c r="EU216" s="92"/>
      <c r="EV216" s="92"/>
      <c r="EW216" s="92"/>
      <c r="EX216" s="92"/>
      <c r="EY216" s="92"/>
      <c r="EZ216" s="92"/>
      <c r="FA216" s="92"/>
      <c r="FB216" s="92"/>
      <c r="FC216" s="92"/>
      <c r="FD216" s="92"/>
      <c r="FE216" s="92"/>
      <c r="FF216" s="92"/>
      <c r="FG216" s="92"/>
      <c r="FH216" s="92"/>
    </row>
    <row r="217">
      <c r="A217" s="32" t="s">
        <v>45</v>
      </c>
      <c r="B217" s="32" t="s">
        <v>46</v>
      </c>
      <c r="C217" s="32" t="s">
        <v>14</v>
      </c>
      <c r="D217" s="97">
        <f t="shared" si="1"/>
        <v>3149.160233</v>
      </c>
      <c r="E217" s="92">
        <f>(SUBSTITUTE(Audio!E217, "RE-", "", 1))*1</f>
        <v>0</v>
      </c>
      <c r="F217" s="92">
        <f>(SUBSTITUTE(Audio!F217, "RE-", "", 1))*1</f>
        <v>274.657</v>
      </c>
      <c r="G217" s="92">
        <f>(SUBSTITUTE(Audio!G217, "RE-", "", 1))*1</f>
        <v>1.7884</v>
      </c>
      <c r="H217" s="92">
        <f>(SUBSTITUTE(Audio!H217, "RE-", "", 1))*1</f>
        <v>82.3072</v>
      </c>
      <c r="I217" s="92">
        <f>(SUBSTITUTE(Audio!I217, "RE-", "", 1))*1</f>
        <v>0.3278</v>
      </c>
      <c r="J217" s="92">
        <f>(SUBSTITUTE(Audio!J217, "RE-", "", 1))*1</f>
        <v>65.7246</v>
      </c>
      <c r="K217" s="92">
        <f>(SUBSTITUTE(Audio!K217, "RE-", "", 1))*1</f>
        <v>0</v>
      </c>
      <c r="L217" s="92">
        <f>(SUBSTITUTE(Audio!L217, "RE-", "", 1))*1</f>
        <v>21.8386</v>
      </c>
      <c r="M217" s="92">
        <f>(SUBSTITUTE(Audio!M217, "RE-", "", 1))*1</f>
        <v>0</v>
      </c>
      <c r="N217" s="92">
        <f>(SUBSTITUTE(Audio!N217, "RE-", "", 1))*1</f>
        <v>2210.61</v>
      </c>
      <c r="O217" s="92">
        <f>(SUBSTITUTE(Audio!O217, "RE-", "", 1))*1</f>
        <v>15.0134</v>
      </c>
      <c r="P217" s="92">
        <f>(SUBSTITUTE(Audio!P217, "RE-", "", 1))*1</f>
        <v>13.5391</v>
      </c>
      <c r="Q217" s="92">
        <f>(SUBSTITUTE(Audio!Q217, "RE-", "", 1))*1</f>
        <v>10.767</v>
      </c>
      <c r="R217" s="92">
        <f>(SUBSTITUTE(Audio!R217, "RE-", "", 1))*1</f>
        <v>19.1063</v>
      </c>
      <c r="S217" s="92">
        <f>(SUBSTITUTE(Audio!S217, "RE-", "", 1))*1</f>
        <v>0.303133</v>
      </c>
      <c r="T217" s="92">
        <f>(SUBSTITUTE(Audio!T217, "RE-", "", 1))*1</f>
        <v>383.75</v>
      </c>
      <c r="U217" s="92">
        <f>(SUBSTITUTE(Audio!U217, "RE-", "", 1))*1</f>
        <v>13.5612</v>
      </c>
      <c r="V217" s="92">
        <f>(SUBSTITUTE(Audio!V217, "RE-", "", 1))*1</f>
        <v>35.8665</v>
      </c>
      <c r="W217" s="92">
        <f>(SUBSTITUTE(Audio!W217, "RE-", "", 1))*1</f>
        <v>0</v>
      </c>
      <c r="X217" s="92">
        <f>(SUBSTITUTE(Audio!X217, "RE-", "", 1))*1</f>
        <v>0</v>
      </c>
      <c r="Y217" s="92">
        <f>(SUBSTITUTE(Audio!Y217, "RE-", "", 1))*1</f>
        <v>0</v>
      </c>
      <c r="Z217" s="92">
        <f>(SUBSTITUTE(Audio!Z217, "RE-", "", 1))*1</f>
        <v>0</v>
      </c>
      <c r="AA217" s="92"/>
      <c r="AB217" s="92"/>
      <c r="AC217" s="92"/>
      <c r="AD217" s="92"/>
      <c r="AE217" s="92"/>
      <c r="AF217" s="92"/>
      <c r="AG217" s="92"/>
      <c r="AH217" s="92"/>
      <c r="AI217" s="92"/>
      <c r="AJ217" s="92"/>
      <c r="AK217" s="92"/>
      <c r="AL217" s="92"/>
      <c r="AM217" s="92"/>
      <c r="AN217" s="92"/>
      <c r="AO217" s="92"/>
      <c r="AP217" s="92"/>
      <c r="AQ217" s="92"/>
      <c r="AR217" s="92"/>
      <c r="AS217" s="92"/>
      <c r="AT217" s="92"/>
      <c r="AU217" s="92"/>
      <c r="AV217" s="92"/>
      <c r="AW217" s="92"/>
      <c r="AX217" s="92"/>
      <c r="AY217" s="92"/>
      <c r="AZ217" s="92"/>
      <c r="BA217" s="92"/>
      <c r="BB217" s="92"/>
      <c r="BC217" s="92"/>
      <c r="BD217" s="92"/>
      <c r="BE217" s="92"/>
      <c r="BF217" s="92"/>
      <c r="BG217" s="92"/>
      <c r="BH217" s="92"/>
      <c r="BI217" s="92"/>
      <c r="BJ217" s="92"/>
      <c r="BK217" s="92"/>
      <c r="BL217" s="92"/>
      <c r="BM217" s="92"/>
      <c r="BN217" s="92"/>
      <c r="BO217" s="92"/>
      <c r="BP217" s="92"/>
      <c r="BQ217" s="92"/>
      <c r="BR217" s="92"/>
      <c r="BS217" s="92"/>
      <c r="BT217" s="92"/>
      <c r="BU217" s="92"/>
      <c r="BV217" s="92"/>
      <c r="BW217" s="92"/>
      <c r="BX217" s="92"/>
      <c r="BY217" s="92"/>
      <c r="BZ217" s="92"/>
      <c r="CA217" s="92"/>
      <c r="CB217" s="92"/>
      <c r="CC217" s="92"/>
      <c r="CD217" s="92"/>
      <c r="CE217" s="92"/>
      <c r="CF217" s="92"/>
      <c r="CG217" s="92"/>
      <c r="CH217" s="92"/>
      <c r="CI217" s="92"/>
      <c r="CJ217" s="92"/>
      <c r="CK217" s="92"/>
      <c r="CL217" s="92"/>
      <c r="CM217" s="92"/>
      <c r="CN217" s="92"/>
      <c r="CO217" s="92"/>
      <c r="CP217" s="92"/>
      <c r="CQ217" s="92"/>
      <c r="CR217" s="92"/>
      <c r="CS217" s="92"/>
      <c r="CT217" s="92"/>
      <c r="CU217" s="92"/>
      <c r="CV217" s="92"/>
      <c r="CW217" s="92"/>
      <c r="CX217" s="92"/>
      <c r="CY217" s="92"/>
      <c r="CZ217" s="92"/>
      <c r="DA217" s="92"/>
      <c r="DB217" s="92"/>
      <c r="DC217" s="92"/>
      <c r="DD217" s="92"/>
      <c r="DE217" s="92"/>
      <c r="DF217" s="92"/>
      <c r="DG217" s="92"/>
      <c r="DH217" s="92"/>
      <c r="DI217" s="92"/>
      <c r="DJ217" s="92"/>
      <c r="DK217" s="92"/>
      <c r="DL217" s="92"/>
      <c r="DM217" s="92"/>
      <c r="DN217" s="92"/>
      <c r="DO217" s="92"/>
      <c r="DP217" s="92"/>
      <c r="DQ217" s="92"/>
      <c r="DR217" s="92"/>
      <c r="DS217" s="92"/>
      <c r="DT217" s="92"/>
      <c r="DU217" s="92"/>
      <c r="DV217" s="92"/>
      <c r="DW217" s="92"/>
      <c r="DX217" s="92"/>
      <c r="DY217" s="92"/>
      <c r="DZ217" s="92"/>
      <c r="EA217" s="92"/>
      <c r="EB217" s="92"/>
      <c r="EC217" s="92"/>
      <c r="ED217" s="92"/>
      <c r="EE217" s="92"/>
      <c r="EF217" s="92"/>
      <c r="EG217" s="92"/>
      <c r="EH217" s="92"/>
      <c r="EI217" s="92"/>
      <c r="EJ217" s="92"/>
      <c r="EK217" s="92"/>
      <c r="EL217" s="92"/>
      <c r="EM217" s="92"/>
      <c r="EN217" s="92"/>
      <c r="EO217" s="92"/>
      <c r="EP217" s="92"/>
      <c r="EQ217" s="92"/>
      <c r="ER217" s="92"/>
      <c r="ES217" s="92"/>
      <c r="ET217" s="92"/>
      <c r="EU217" s="92"/>
      <c r="EV217" s="92"/>
      <c r="EW217" s="92"/>
      <c r="EX217" s="92"/>
      <c r="EY217" s="92"/>
      <c r="EZ217" s="92"/>
      <c r="FA217" s="92"/>
      <c r="FB217" s="92"/>
      <c r="FC217" s="92"/>
      <c r="FD217" s="92"/>
      <c r="FE217" s="92"/>
      <c r="FF217" s="92"/>
      <c r="FG217" s="92"/>
      <c r="FH217" s="92"/>
    </row>
    <row r="218">
      <c r="A218" s="27" t="s">
        <v>45</v>
      </c>
      <c r="B218" s="27" t="s">
        <v>46</v>
      </c>
      <c r="C218" s="27" t="s">
        <v>15</v>
      </c>
      <c r="D218" s="98">
        <f t="shared" si="1"/>
        <v>3552.528833</v>
      </c>
      <c r="E218" s="92">
        <f>(SUBSTITUTE(Audio!E218, "RE-", "", 1))*1</f>
        <v>0</v>
      </c>
      <c r="F218" s="92">
        <f>(SUBSTITUTE(Audio!F218, "RE-", "", 1))*1</f>
        <v>307.982</v>
      </c>
      <c r="G218" s="92">
        <f>(SUBSTITUTE(Audio!G218, "RE-", "", 1))*1</f>
        <v>1.7884</v>
      </c>
      <c r="H218" s="92">
        <f>(SUBSTITUTE(Audio!H218, "RE-", "", 1))*1</f>
        <v>88.0594</v>
      </c>
      <c r="I218" s="92">
        <f>(SUBSTITUTE(Audio!I218, "RE-", "", 1))*1</f>
        <v>0.3278</v>
      </c>
      <c r="J218" s="92">
        <f>(SUBSTITUTE(Audio!J218, "RE-", "", 1))*1</f>
        <v>80.7099</v>
      </c>
      <c r="K218" s="92">
        <f>(SUBSTITUTE(Audio!K218, "RE-", "", 1))*1</f>
        <v>0</v>
      </c>
      <c r="L218" s="92">
        <f>(SUBSTITUTE(Audio!L218, "RE-", "", 1))*1</f>
        <v>26.1771</v>
      </c>
      <c r="M218" s="92">
        <f>(SUBSTITUTE(Audio!M218, "RE-", "", 1))*1</f>
        <v>0</v>
      </c>
      <c r="N218" s="92">
        <f>(SUBSTITUTE(Audio!N218, "RE-", "", 1))*1</f>
        <v>2459.29</v>
      </c>
      <c r="O218" s="92">
        <f>(SUBSTITUTE(Audio!O218, "RE-", "", 1))*1</f>
        <v>16.3786</v>
      </c>
      <c r="P218" s="92">
        <f>(SUBSTITUTE(Audio!P218, "RE-", "", 1))*1</f>
        <v>17.718</v>
      </c>
      <c r="Q218" s="92">
        <f>(SUBSTITUTE(Audio!Q218, "RE-", "", 1))*1</f>
        <v>12.2771</v>
      </c>
      <c r="R218" s="92">
        <f>(SUBSTITUTE(Audio!R218, "RE-", "", 1))*1</f>
        <v>23.1136</v>
      </c>
      <c r="S218" s="92">
        <f>(SUBSTITUTE(Audio!S218, "RE-", "", 1))*1</f>
        <v>0.303133</v>
      </c>
      <c r="T218" s="92">
        <f>(SUBSTITUTE(Audio!T218, "RE-", "", 1))*1</f>
        <v>460.772</v>
      </c>
      <c r="U218" s="92">
        <f>(SUBSTITUTE(Audio!U218, "RE-", "", 1))*1</f>
        <v>18.4942</v>
      </c>
      <c r="V218" s="92">
        <f>(SUBSTITUTE(Audio!V218, "RE-", "", 1))*1</f>
        <v>39.1376</v>
      </c>
      <c r="W218" s="92">
        <f>(SUBSTITUTE(Audio!W218, "RE-", "", 1))*1</f>
        <v>0</v>
      </c>
      <c r="X218" s="92">
        <f>(SUBSTITUTE(Audio!X218, "RE-", "", 1))*1</f>
        <v>0</v>
      </c>
      <c r="Y218" s="92">
        <f>(SUBSTITUTE(Audio!Y218, "RE-", "", 1))*1</f>
        <v>0</v>
      </c>
      <c r="Z218" s="92">
        <f>(SUBSTITUTE(Audio!Z218, "RE-", "", 1))*1</f>
        <v>0</v>
      </c>
      <c r="AA218" s="92"/>
      <c r="AB218" s="92"/>
      <c r="AC218" s="92"/>
      <c r="AD218" s="92"/>
      <c r="AE218" s="92"/>
      <c r="AF218" s="92"/>
      <c r="AG218" s="92"/>
      <c r="AH218" s="92"/>
      <c r="AI218" s="92"/>
      <c r="AJ218" s="92"/>
      <c r="AK218" s="92"/>
      <c r="AL218" s="92"/>
      <c r="AM218" s="92"/>
      <c r="AN218" s="92"/>
      <c r="AO218" s="92"/>
      <c r="AP218" s="92"/>
      <c r="AQ218" s="92"/>
      <c r="AR218" s="92"/>
      <c r="AS218" s="92"/>
      <c r="AT218" s="92"/>
      <c r="AU218" s="92"/>
      <c r="AV218" s="92"/>
      <c r="AW218" s="92"/>
      <c r="AX218" s="92"/>
      <c r="AY218" s="92"/>
      <c r="AZ218" s="92"/>
      <c r="BA218" s="92"/>
      <c r="BB218" s="92"/>
      <c r="BC218" s="92"/>
      <c r="BD218" s="92"/>
      <c r="BE218" s="92"/>
      <c r="BF218" s="92"/>
      <c r="BG218" s="92"/>
      <c r="BH218" s="92"/>
      <c r="BI218" s="92"/>
      <c r="BJ218" s="92"/>
      <c r="BK218" s="92"/>
      <c r="BL218" s="92"/>
      <c r="BM218" s="92"/>
      <c r="BN218" s="92"/>
      <c r="BO218" s="92"/>
      <c r="BP218" s="92"/>
      <c r="BQ218" s="92"/>
      <c r="BR218" s="92"/>
      <c r="BS218" s="92"/>
      <c r="BT218" s="92"/>
      <c r="BU218" s="92"/>
      <c r="BV218" s="92"/>
      <c r="BW218" s="92"/>
      <c r="BX218" s="92"/>
      <c r="BY218" s="92"/>
      <c r="BZ218" s="92"/>
      <c r="CA218" s="92"/>
      <c r="CB218" s="92"/>
      <c r="CC218" s="92"/>
      <c r="CD218" s="92"/>
      <c r="CE218" s="92"/>
      <c r="CF218" s="92"/>
      <c r="CG218" s="92"/>
      <c r="CH218" s="92"/>
      <c r="CI218" s="92"/>
      <c r="CJ218" s="92"/>
      <c r="CK218" s="92"/>
      <c r="CL218" s="92"/>
      <c r="CM218" s="92"/>
      <c r="CN218" s="92"/>
      <c r="CO218" s="92"/>
      <c r="CP218" s="92"/>
      <c r="CQ218" s="92"/>
      <c r="CR218" s="92"/>
      <c r="CS218" s="92"/>
      <c r="CT218" s="92"/>
      <c r="CU218" s="92"/>
      <c r="CV218" s="92"/>
      <c r="CW218" s="92"/>
      <c r="CX218" s="92"/>
      <c r="CY218" s="92"/>
      <c r="CZ218" s="92"/>
      <c r="DA218" s="92"/>
      <c r="DB218" s="92"/>
      <c r="DC218" s="92"/>
      <c r="DD218" s="92"/>
      <c r="DE218" s="92"/>
      <c r="DF218" s="92"/>
      <c r="DG218" s="92"/>
      <c r="DH218" s="92"/>
      <c r="DI218" s="92"/>
      <c r="DJ218" s="92"/>
      <c r="DK218" s="92"/>
      <c r="DL218" s="92"/>
      <c r="DM218" s="92"/>
      <c r="DN218" s="92"/>
      <c r="DO218" s="92"/>
      <c r="DP218" s="92"/>
      <c r="DQ218" s="92"/>
      <c r="DR218" s="92"/>
      <c r="DS218" s="92"/>
      <c r="DT218" s="92"/>
      <c r="DU218" s="92"/>
      <c r="DV218" s="92"/>
      <c r="DW218" s="92"/>
      <c r="DX218" s="92"/>
      <c r="DY218" s="92"/>
      <c r="DZ218" s="92"/>
      <c r="EA218" s="92"/>
      <c r="EB218" s="92"/>
      <c r="EC218" s="92"/>
      <c r="ED218" s="92"/>
      <c r="EE218" s="92"/>
      <c r="EF218" s="92"/>
      <c r="EG218" s="92"/>
      <c r="EH218" s="92"/>
      <c r="EI218" s="92"/>
      <c r="EJ218" s="92"/>
      <c r="EK218" s="92"/>
      <c r="EL218" s="92"/>
      <c r="EM218" s="92"/>
      <c r="EN218" s="92"/>
      <c r="EO218" s="92"/>
      <c r="EP218" s="92"/>
      <c r="EQ218" s="92"/>
      <c r="ER218" s="92"/>
      <c r="ES218" s="92"/>
      <c r="ET218" s="92"/>
      <c r="EU218" s="92"/>
      <c r="EV218" s="92"/>
      <c r="EW218" s="92"/>
      <c r="EX218" s="92"/>
      <c r="EY218" s="92"/>
      <c r="EZ218" s="92"/>
      <c r="FA218" s="92"/>
      <c r="FB218" s="92"/>
      <c r="FC218" s="92"/>
      <c r="FD218" s="92"/>
      <c r="FE218" s="92"/>
      <c r="FF218" s="92"/>
      <c r="FG218" s="92"/>
      <c r="FH218" s="92"/>
    </row>
    <row r="219">
      <c r="A219" s="30" t="s">
        <v>47</v>
      </c>
      <c r="B219" s="30" t="s">
        <v>48</v>
      </c>
      <c r="C219" s="31" t="str">
        <f>HYPERLINK("https://docs.google.com/spreadsheets/d/16A1DvICL5fl49l_SMDPwLmguriUou-Sq/edit?usp=sharing&amp;ouid=118279477453217743021&amp;rtpof=true&amp;sd=true", "Raw Delivered")</f>
        <v>Raw Delivered</v>
      </c>
      <c r="D219" s="96">
        <f t="shared" si="1"/>
        <v>7932.094533</v>
      </c>
      <c r="E219" s="92">
        <f>(SUBSTITUTE(Audio!E219, "RE-", "", 1))*1</f>
        <v>0</v>
      </c>
      <c r="F219" s="92">
        <f>(SUBSTITUTE(Audio!F219, "RE-", "", 1))*1</f>
        <v>2082.533419</v>
      </c>
      <c r="G219" s="92">
        <f>(SUBSTITUTE(Audio!G219, "RE-", "", 1))*1</f>
        <v>0</v>
      </c>
      <c r="H219" s="92">
        <f>(SUBSTITUTE(Audio!H219, "RE-", "", 1))*1</f>
        <v>213.213149</v>
      </c>
      <c r="I219" s="92">
        <f>(SUBSTITUTE(Audio!I219, "RE-", "", 1))*1</f>
        <v>0</v>
      </c>
      <c r="J219" s="92">
        <f>(SUBSTITUTE(Audio!J219, "RE-", "", 1))*1</f>
        <v>1644.489874</v>
      </c>
      <c r="K219" s="92">
        <f>(SUBSTITUTE(Audio!K219, "RE-", "", 1))*1</f>
        <v>0</v>
      </c>
      <c r="L219" s="92">
        <f>(SUBSTITUTE(Audio!L219, "RE-", "", 1))*1</f>
        <v>2399.541442</v>
      </c>
      <c r="M219" s="92">
        <f>(SUBSTITUTE(Audio!M219, "RE-", "", 1))*1</f>
        <v>0</v>
      </c>
      <c r="N219" s="92">
        <f>(SUBSTITUTE(Audio!N219, "RE-", "", 1))*1</f>
        <v>294.4906115</v>
      </c>
      <c r="O219" s="92">
        <f>(SUBSTITUTE(Audio!O219, "RE-", "", 1))*1</f>
        <v>0</v>
      </c>
      <c r="P219" s="92">
        <f>(SUBSTITUTE(Audio!P219, "RE-", "", 1))*1</f>
        <v>851.7923125</v>
      </c>
      <c r="Q219" s="92">
        <f>(SUBSTITUTE(Audio!Q219, "RE-", "", 1))*1</f>
        <v>0</v>
      </c>
      <c r="R219" s="92">
        <f>(SUBSTITUTE(Audio!R219, "RE-", "", 1))*1</f>
        <v>285.9700229</v>
      </c>
      <c r="S219" s="92">
        <f>(SUBSTITUTE(Audio!S219, "RE-", "", 1))*1</f>
        <v>0</v>
      </c>
      <c r="T219" s="92">
        <f>(SUBSTITUTE(Audio!T219, "RE-", "", 1))*1</f>
        <v>160.0637021</v>
      </c>
      <c r="U219" s="92">
        <f>(SUBSTITUTE(Audio!U219, "RE-", "", 1))*1</f>
        <v>0</v>
      </c>
      <c r="V219" s="92">
        <f>(SUBSTITUTE(Audio!V219, "RE-", "", 1))*1</f>
        <v>0</v>
      </c>
      <c r="W219" s="92">
        <f>(SUBSTITUTE(Audio!W219, "RE-", "", 1))*1</f>
        <v>0</v>
      </c>
      <c r="X219" s="92">
        <f>(SUBSTITUTE(Audio!X219, "RE-", "", 1))*1</f>
        <v>0</v>
      </c>
      <c r="Y219" s="92">
        <f>(SUBSTITUTE(Audio!Y219, "RE-", "", 1))*1</f>
        <v>0</v>
      </c>
      <c r="Z219" s="92">
        <f>(SUBSTITUTE(Audio!Z219, "RE-", "", 1))*1</f>
        <v>0</v>
      </c>
      <c r="AA219" s="92"/>
      <c r="AB219" s="92"/>
      <c r="AC219" s="92"/>
      <c r="AD219" s="92"/>
      <c r="AE219" s="92"/>
      <c r="AF219" s="92"/>
      <c r="AG219" s="92"/>
      <c r="AH219" s="92"/>
      <c r="AI219" s="92"/>
      <c r="AJ219" s="92"/>
      <c r="AK219" s="92"/>
      <c r="AL219" s="92"/>
      <c r="AM219" s="92"/>
      <c r="AN219" s="92"/>
      <c r="AO219" s="92"/>
      <c r="AP219" s="92"/>
      <c r="AQ219" s="92"/>
      <c r="AR219" s="92"/>
      <c r="AS219" s="92"/>
      <c r="AT219" s="92"/>
      <c r="AU219" s="92"/>
      <c r="AV219" s="92"/>
      <c r="AW219" s="92"/>
      <c r="AX219" s="92"/>
      <c r="AY219" s="92"/>
      <c r="AZ219" s="92"/>
      <c r="BA219" s="92"/>
      <c r="BB219" s="92"/>
      <c r="BC219" s="92"/>
      <c r="BD219" s="92"/>
      <c r="BE219" s="92"/>
      <c r="BF219" s="92"/>
      <c r="BG219" s="92"/>
      <c r="BH219" s="92"/>
      <c r="BI219" s="92"/>
      <c r="BJ219" s="92"/>
      <c r="BK219" s="92"/>
      <c r="BL219" s="92"/>
      <c r="BM219" s="92"/>
      <c r="BN219" s="92"/>
      <c r="BO219" s="92"/>
      <c r="BP219" s="92"/>
      <c r="BQ219" s="92"/>
      <c r="BR219" s="92"/>
      <c r="BS219" s="92"/>
      <c r="BT219" s="92"/>
      <c r="BU219" s="92"/>
      <c r="BV219" s="92"/>
      <c r="BW219" s="92"/>
      <c r="BX219" s="92"/>
      <c r="BY219" s="92"/>
      <c r="BZ219" s="92"/>
      <c r="CA219" s="92"/>
      <c r="CB219" s="92"/>
      <c r="CC219" s="92"/>
      <c r="CD219" s="92"/>
      <c r="CE219" s="92"/>
      <c r="CF219" s="92"/>
      <c r="CG219" s="92"/>
      <c r="CH219" s="92"/>
      <c r="CI219" s="92"/>
      <c r="CJ219" s="92"/>
      <c r="CK219" s="92"/>
      <c r="CL219" s="92"/>
      <c r="CM219" s="92"/>
      <c r="CN219" s="92"/>
      <c r="CO219" s="92"/>
      <c r="CP219" s="92"/>
      <c r="CQ219" s="92"/>
      <c r="CR219" s="92"/>
      <c r="CS219" s="92"/>
      <c r="CT219" s="92"/>
      <c r="CU219" s="92"/>
      <c r="CV219" s="92"/>
      <c r="CW219" s="92"/>
      <c r="CX219" s="92"/>
      <c r="CY219" s="92"/>
      <c r="CZ219" s="92"/>
      <c r="DA219" s="92"/>
      <c r="DB219" s="92"/>
      <c r="DC219" s="92"/>
      <c r="DD219" s="92"/>
      <c r="DE219" s="92"/>
      <c r="DF219" s="92"/>
      <c r="DG219" s="92"/>
      <c r="DH219" s="92"/>
      <c r="DI219" s="92"/>
      <c r="DJ219" s="92"/>
      <c r="DK219" s="92"/>
      <c r="DL219" s="92"/>
      <c r="DM219" s="92"/>
      <c r="DN219" s="92"/>
      <c r="DO219" s="92"/>
      <c r="DP219" s="92"/>
      <c r="DQ219" s="92"/>
      <c r="DR219" s="92"/>
      <c r="DS219" s="92"/>
      <c r="DT219" s="92"/>
      <c r="DU219" s="92"/>
      <c r="DV219" s="92"/>
      <c r="DW219" s="92"/>
      <c r="DX219" s="92"/>
      <c r="DY219" s="92"/>
      <c r="DZ219" s="92"/>
      <c r="EA219" s="92"/>
      <c r="EB219" s="92"/>
      <c r="EC219" s="92"/>
      <c r="ED219" s="92"/>
      <c r="EE219" s="92"/>
      <c r="EF219" s="92"/>
      <c r="EG219" s="92"/>
      <c r="EH219" s="92"/>
      <c r="EI219" s="92"/>
      <c r="EJ219" s="92"/>
      <c r="EK219" s="92"/>
      <c r="EL219" s="92"/>
      <c r="EM219" s="92"/>
      <c r="EN219" s="92"/>
      <c r="EO219" s="92"/>
      <c r="EP219" s="92"/>
      <c r="EQ219" s="92"/>
      <c r="ER219" s="92"/>
      <c r="ES219" s="92"/>
      <c r="ET219" s="92"/>
      <c r="EU219" s="92"/>
      <c r="EV219" s="92"/>
      <c r="EW219" s="92"/>
      <c r="EX219" s="92"/>
      <c r="EY219" s="92"/>
      <c r="EZ219" s="92"/>
      <c r="FA219" s="92"/>
      <c r="FB219" s="92"/>
      <c r="FC219" s="92"/>
      <c r="FD219" s="92"/>
      <c r="FE219" s="92"/>
      <c r="FF219" s="92"/>
      <c r="FG219" s="92"/>
      <c r="FH219" s="92"/>
    </row>
    <row r="220">
      <c r="A220" s="32" t="s">
        <v>47</v>
      </c>
      <c r="B220" s="32" t="s">
        <v>48</v>
      </c>
      <c r="C220" s="32" t="s">
        <v>9</v>
      </c>
      <c r="D220" s="97">
        <f t="shared" si="1"/>
        <v>7932.094533</v>
      </c>
      <c r="E220" s="92">
        <f>(SUBSTITUTE(Audio!E220, "RE-", "", 1))*1</f>
        <v>0</v>
      </c>
      <c r="F220" s="92">
        <f>(SUBSTITUTE(Audio!F220, "RE-", "", 1))*1</f>
        <v>2082.533419</v>
      </c>
      <c r="G220" s="92">
        <f>(SUBSTITUTE(Audio!G220, "RE-", "", 1))*1</f>
        <v>0</v>
      </c>
      <c r="H220" s="92">
        <f>(SUBSTITUTE(Audio!H220, "RE-", "", 1))*1</f>
        <v>213.213149</v>
      </c>
      <c r="I220" s="92">
        <f>(SUBSTITUTE(Audio!I220, "RE-", "", 1))*1</f>
        <v>0</v>
      </c>
      <c r="J220" s="92">
        <f>(SUBSTITUTE(Audio!J220, "RE-", "", 1))*1</f>
        <v>1644.489874</v>
      </c>
      <c r="K220" s="92">
        <f>(SUBSTITUTE(Audio!K220, "RE-", "", 1))*1</f>
        <v>0</v>
      </c>
      <c r="L220" s="92">
        <f>(SUBSTITUTE(Audio!L220, "RE-", "", 1))*1</f>
        <v>2399.541442</v>
      </c>
      <c r="M220" s="92">
        <f>(SUBSTITUTE(Audio!M220, "RE-", "", 1))*1</f>
        <v>0</v>
      </c>
      <c r="N220" s="92">
        <f>(SUBSTITUTE(Audio!N220, "RE-", "", 1))*1</f>
        <v>294.4906115</v>
      </c>
      <c r="O220" s="92">
        <f>(SUBSTITUTE(Audio!O220, "RE-", "", 1))*1</f>
        <v>0</v>
      </c>
      <c r="P220" s="92">
        <f>(SUBSTITUTE(Audio!P220, "RE-", "", 1))*1</f>
        <v>851.7923125</v>
      </c>
      <c r="Q220" s="92">
        <f>(SUBSTITUTE(Audio!Q220, "RE-", "", 1))*1</f>
        <v>0</v>
      </c>
      <c r="R220" s="92">
        <f>(SUBSTITUTE(Audio!R220, "RE-", "", 1))*1</f>
        <v>285.9700229</v>
      </c>
      <c r="S220" s="92">
        <f>(SUBSTITUTE(Audio!S220, "RE-", "", 1))*1</f>
        <v>0</v>
      </c>
      <c r="T220" s="92">
        <f>(SUBSTITUTE(Audio!T220, "RE-", "", 1))*1</f>
        <v>160.0637021</v>
      </c>
      <c r="U220" s="92">
        <f>(SUBSTITUTE(Audio!U220, "RE-", "", 1))*1</f>
        <v>0</v>
      </c>
      <c r="V220" s="92">
        <f>(SUBSTITUTE(Audio!V220, "RE-", "", 1))*1</f>
        <v>0</v>
      </c>
      <c r="W220" s="92">
        <f>(SUBSTITUTE(Audio!W220, "RE-", "", 1))*1</f>
        <v>0</v>
      </c>
      <c r="X220" s="92">
        <f>(SUBSTITUTE(Audio!X220, "RE-", "", 1))*1</f>
        <v>0</v>
      </c>
      <c r="Y220" s="92">
        <f>(SUBSTITUTE(Audio!Y220, "RE-", "", 1))*1</f>
        <v>0</v>
      </c>
      <c r="Z220" s="92">
        <f>(SUBSTITUTE(Audio!Z220, "RE-", "", 1))*1</f>
        <v>0</v>
      </c>
      <c r="AA220" s="92"/>
      <c r="AB220" s="92"/>
      <c r="AC220" s="92"/>
      <c r="AD220" s="92"/>
      <c r="AE220" s="92"/>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2"/>
      <c r="BB220" s="92"/>
      <c r="BC220" s="92"/>
      <c r="BD220" s="92"/>
      <c r="BE220" s="92"/>
      <c r="BF220" s="92"/>
      <c r="BG220" s="92"/>
      <c r="BH220" s="92"/>
      <c r="BI220" s="92"/>
      <c r="BJ220" s="92"/>
      <c r="BK220" s="92"/>
      <c r="BL220" s="92"/>
      <c r="BM220" s="92"/>
      <c r="BN220" s="92"/>
      <c r="BO220" s="92"/>
      <c r="BP220" s="92"/>
      <c r="BQ220" s="92"/>
      <c r="BR220" s="92"/>
      <c r="BS220" s="92"/>
      <c r="BT220" s="92"/>
      <c r="BU220" s="92"/>
      <c r="BV220" s="92"/>
      <c r="BW220" s="92"/>
      <c r="BX220" s="92"/>
      <c r="BY220" s="92"/>
      <c r="BZ220" s="92"/>
      <c r="CA220" s="92"/>
      <c r="CB220" s="92"/>
      <c r="CC220" s="92"/>
      <c r="CD220" s="92"/>
      <c r="CE220" s="92"/>
      <c r="CF220" s="92"/>
      <c r="CG220" s="92"/>
      <c r="CH220" s="92"/>
      <c r="CI220" s="92"/>
      <c r="CJ220" s="92"/>
      <c r="CK220" s="92"/>
      <c r="CL220" s="92"/>
      <c r="CM220" s="92"/>
      <c r="CN220" s="92"/>
      <c r="CO220" s="92"/>
      <c r="CP220" s="92"/>
      <c r="CQ220" s="92"/>
      <c r="CR220" s="92"/>
      <c r="CS220" s="92"/>
      <c r="CT220" s="92"/>
      <c r="CU220" s="92"/>
      <c r="CV220" s="92"/>
      <c r="CW220" s="92"/>
      <c r="CX220" s="92"/>
      <c r="CY220" s="92"/>
      <c r="CZ220" s="92"/>
      <c r="DA220" s="92"/>
      <c r="DB220" s="92"/>
      <c r="DC220" s="92"/>
      <c r="DD220" s="92"/>
      <c r="DE220" s="92"/>
      <c r="DF220" s="92"/>
      <c r="DG220" s="92"/>
      <c r="DH220" s="92"/>
      <c r="DI220" s="92"/>
      <c r="DJ220" s="92"/>
      <c r="DK220" s="92"/>
      <c r="DL220" s="92"/>
      <c r="DM220" s="92"/>
      <c r="DN220" s="92"/>
      <c r="DO220" s="92"/>
      <c r="DP220" s="92"/>
      <c r="DQ220" s="92"/>
      <c r="DR220" s="92"/>
      <c r="DS220" s="92"/>
      <c r="DT220" s="92"/>
      <c r="DU220" s="92"/>
      <c r="DV220" s="92"/>
      <c r="DW220" s="92"/>
      <c r="DX220" s="92"/>
      <c r="DY220" s="92"/>
      <c r="DZ220" s="92"/>
      <c r="EA220" s="92"/>
      <c r="EB220" s="92"/>
      <c r="EC220" s="92"/>
      <c r="ED220" s="92"/>
      <c r="EE220" s="92"/>
      <c r="EF220" s="92"/>
      <c r="EG220" s="92"/>
      <c r="EH220" s="92"/>
      <c r="EI220" s="92"/>
      <c r="EJ220" s="92"/>
      <c r="EK220" s="92"/>
      <c r="EL220" s="92"/>
      <c r="EM220" s="92"/>
      <c r="EN220" s="92"/>
      <c r="EO220" s="92"/>
      <c r="EP220" s="92"/>
      <c r="EQ220" s="92"/>
      <c r="ER220" s="92"/>
      <c r="ES220" s="92"/>
      <c r="ET220" s="92"/>
      <c r="EU220" s="92"/>
      <c r="EV220" s="92"/>
      <c r="EW220" s="92"/>
      <c r="EX220" s="92"/>
      <c r="EY220" s="92"/>
      <c r="EZ220" s="92"/>
      <c r="FA220" s="92"/>
      <c r="FB220" s="92"/>
      <c r="FC220" s="92"/>
      <c r="FD220" s="92"/>
      <c r="FE220" s="92"/>
      <c r="FF220" s="92"/>
      <c r="FG220" s="92"/>
      <c r="FH220" s="92"/>
    </row>
    <row r="221">
      <c r="A221" s="32" t="s">
        <v>47</v>
      </c>
      <c r="B221" s="32" t="s">
        <v>48</v>
      </c>
      <c r="C221" s="32" t="s">
        <v>10</v>
      </c>
      <c r="D221" s="97">
        <f t="shared" si="1"/>
        <v>547.1519937</v>
      </c>
      <c r="E221" s="92">
        <f>(SUBSTITUTE(Audio!E221, "RE-", "", 1))*1</f>
        <v>0</v>
      </c>
      <c r="F221" s="92">
        <f>(SUBSTITUTE(Audio!F221, "RE-", "", 1))*1</f>
        <v>0</v>
      </c>
      <c r="G221" s="92">
        <f>(SUBSTITUTE(Audio!G221, "RE-", "", 1))*1</f>
        <v>166.4527656</v>
      </c>
      <c r="H221" s="92">
        <f>(SUBSTITUTE(Audio!H221, "RE-", "", 1))*1</f>
        <v>0</v>
      </c>
      <c r="I221" s="92">
        <f>(SUBSTITUTE(Audio!I221, "RE-", "", 1))*1</f>
        <v>15.96067083</v>
      </c>
      <c r="J221" s="92">
        <f>(SUBSTITUTE(Audio!J221, "RE-", "", 1))*1</f>
        <v>0</v>
      </c>
      <c r="K221" s="92">
        <f>(SUBSTITUTE(Audio!K221, "RE-", "", 1))*1</f>
        <v>93.58951979</v>
      </c>
      <c r="L221" s="92">
        <f>(SUBSTITUTE(Audio!L221, "RE-", "", 1))*1</f>
        <v>0</v>
      </c>
      <c r="M221" s="92">
        <f>(SUBSTITUTE(Audio!M221, "RE-", "", 1))*1</f>
        <v>103.718751</v>
      </c>
      <c r="N221" s="92">
        <f>(SUBSTITUTE(Audio!N221, "RE-", "", 1))*1</f>
        <v>0</v>
      </c>
      <c r="O221" s="92">
        <f>(SUBSTITUTE(Audio!O221, "RE-", "", 1))*1</f>
        <v>42.59858854</v>
      </c>
      <c r="P221" s="92">
        <f>(SUBSTITUTE(Audio!P221, "RE-", "", 1))*1</f>
        <v>0</v>
      </c>
      <c r="Q221" s="92">
        <f>(SUBSTITUTE(Audio!Q221, "RE-", "", 1))*1</f>
        <v>64.06338229</v>
      </c>
      <c r="R221" s="92">
        <f>(SUBSTITUTE(Audio!R221, "RE-", "", 1))*1</f>
        <v>0</v>
      </c>
      <c r="S221" s="92">
        <f>(SUBSTITUTE(Audio!S221, "RE-", "", 1))*1</f>
        <v>36.29811458</v>
      </c>
      <c r="T221" s="92">
        <f>(SUBSTITUTE(Audio!T221, "RE-", "", 1))*1</f>
        <v>0</v>
      </c>
      <c r="U221" s="92">
        <f>(SUBSTITUTE(Audio!U221, "RE-", "", 1))*1</f>
        <v>13.91615</v>
      </c>
      <c r="V221" s="92">
        <f>(SUBSTITUTE(Audio!V221, "RE-", "", 1))*1</f>
        <v>10.55405104</v>
      </c>
      <c r="W221" s="92">
        <f>(SUBSTITUTE(Audio!W221, "RE-", "", 1))*1</f>
        <v>0</v>
      </c>
      <c r="X221" s="92">
        <f>(SUBSTITUTE(Audio!X221, "RE-", "", 1))*1</f>
        <v>0</v>
      </c>
      <c r="Y221" s="92">
        <f>(SUBSTITUTE(Audio!Y221, "RE-", "", 1))*1</f>
        <v>0</v>
      </c>
      <c r="Z221" s="92">
        <f>(SUBSTITUTE(Audio!Z221, "RE-", "", 1))*1</f>
        <v>0</v>
      </c>
      <c r="AA221" s="92"/>
      <c r="AB221" s="92"/>
      <c r="AC221" s="92"/>
      <c r="AD221" s="92"/>
      <c r="AE221" s="92"/>
      <c r="AF221" s="92"/>
      <c r="AG221" s="92"/>
      <c r="AH221" s="92"/>
      <c r="AI221" s="92"/>
      <c r="AJ221" s="92"/>
      <c r="AK221" s="92"/>
      <c r="AL221" s="92"/>
      <c r="AM221" s="92"/>
      <c r="AN221" s="92"/>
      <c r="AO221" s="92"/>
      <c r="AP221" s="92"/>
      <c r="AQ221" s="92"/>
      <c r="AR221" s="92"/>
      <c r="AS221" s="92"/>
      <c r="AT221" s="92"/>
      <c r="AU221" s="92"/>
      <c r="AV221" s="92"/>
      <c r="AW221" s="92"/>
      <c r="AX221" s="92"/>
      <c r="AY221" s="92"/>
      <c r="AZ221" s="92"/>
      <c r="BA221" s="92"/>
      <c r="BB221" s="92"/>
      <c r="BC221" s="92"/>
      <c r="BD221" s="92"/>
      <c r="BE221" s="92"/>
      <c r="BF221" s="92"/>
      <c r="BG221" s="92"/>
      <c r="BH221" s="92"/>
      <c r="BI221" s="92"/>
      <c r="BJ221" s="92"/>
      <c r="BK221" s="92"/>
      <c r="BL221" s="92"/>
      <c r="BM221" s="92"/>
      <c r="BN221" s="92"/>
      <c r="BO221" s="92"/>
      <c r="BP221" s="92"/>
      <c r="BQ221" s="92"/>
      <c r="BR221" s="92"/>
      <c r="BS221" s="92"/>
      <c r="BT221" s="92"/>
      <c r="BU221" s="92"/>
      <c r="BV221" s="92"/>
      <c r="BW221" s="92"/>
      <c r="BX221" s="92"/>
      <c r="BY221" s="92"/>
      <c r="BZ221" s="92"/>
      <c r="CA221" s="92"/>
      <c r="CB221" s="92"/>
      <c r="CC221" s="92"/>
      <c r="CD221" s="92"/>
      <c r="CE221" s="92"/>
      <c r="CF221" s="92"/>
      <c r="CG221" s="92"/>
      <c r="CH221" s="92"/>
      <c r="CI221" s="92"/>
      <c r="CJ221" s="92"/>
      <c r="CK221" s="92"/>
      <c r="CL221" s="92"/>
      <c r="CM221" s="92"/>
      <c r="CN221" s="92"/>
      <c r="CO221" s="92"/>
      <c r="CP221" s="92"/>
      <c r="CQ221" s="92"/>
      <c r="CR221" s="92"/>
      <c r="CS221" s="92"/>
      <c r="CT221" s="92"/>
      <c r="CU221" s="92"/>
      <c r="CV221" s="92"/>
      <c r="CW221" s="92"/>
      <c r="CX221" s="92"/>
      <c r="CY221" s="92"/>
      <c r="CZ221" s="92"/>
      <c r="DA221" s="92"/>
      <c r="DB221" s="92"/>
      <c r="DC221" s="92"/>
      <c r="DD221" s="92"/>
      <c r="DE221" s="92"/>
      <c r="DF221" s="92"/>
      <c r="DG221" s="92"/>
      <c r="DH221" s="92"/>
      <c r="DI221" s="92"/>
      <c r="DJ221" s="92"/>
      <c r="DK221" s="92"/>
      <c r="DL221" s="92"/>
      <c r="DM221" s="92"/>
      <c r="DN221" s="92"/>
      <c r="DO221" s="92"/>
      <c r="DP221" s="92"/>
      <c r="DQ221" s="92"/>
      <c r="DR221" s="92"/>
      <c r="DS221" s="92"/>
      <c r="DT221" s="92"/>
      <c r="DU221" s="92"/>
      <c r="DV221" s="92"/>
      <c r="DW221" s="92"/>
      <c r="DX221" s="92"/>
      <c r="DY221" s="92"/>
      <c r="DZ221" s="92"/>
      <c r="EA221" s="92"/>
      <c r="EB221" s="92"/>
      <c r="EC221" s="92"/>
      <c r="ED221" s="92"/>
      <c r="EE221" s="92"/>
      <c r="EF221" s="92"/>
      <c r="EG221" s="92"/>
      <c r="EH221" s="92"/>
      <c r="EI221" s="92"/>
      <c r="EJ221" s="92"/>
      <c r="EK221" s="92"/>
      <c r="EL221" s="92"/>
      <c r="EM221" s="92"/>
      <c r="EN221" s="92"/>
      <c r="EO221" s="92"/>
      <c r="EP221" s="92"/>
      <c r="EQ221" s="92"/>
      <c r="ER221" s="92"/>
      <c r="ES221" s="92"/>
      <c r="ET221" s="92"/>
      <c r="EU221" s="92"/>
      <c r="EV221" s="92"/>
      <c r="EW221" s="92"/>
      <c r="EX221" s="92"/>
      <c r="EY221" s="92"/>
      <c r="EZ221" s="92"/>
      <c r="FA221" s="92"/>
      <c r="FB221" s="92"/>
      <c r="FC221" s="92"/>
      <c r="FD221" s="92"/>
      <c r="FE221" s="92"/>
      <c r="FF221" s="92"/>
      <c r="FG221" s="92"/>
      <c r="FH221" s="92"/>
    </row>
    <row r="222">
      <c r="A222" s="32" t="s">
        <v>47</v>
      </c>
      <c r="B222" s="32" t="s">
        <v>48</v>
      </c>
      <c r="C222" s="32" t="s">
        <v>11</v>
      </c>
      <c r="D222" s="97">
        <f t="shared" si="1"/>
        <v>547.1519937</v>
      </c>
      <c r="E222" s="92">
        <f>(SUBSTITUTE(Audio!E222, "RE-", "", 1))*1</f>
        <v>0</v>
      </c>
      <c r="F222" s="92">
        <f>(SUBSTITUTE(Audio!F222, "RE-", "", 1))*1</f>
        <v>0</v>
      </c>
      <c r="G222" s="92">
        <f>(SUBSTITUTE(Audio!G222, "RE-", "", 1))*1</f>
        <v>166.4527656</v>
      </c>
      <c r="H222" s="92">
        <f>(SUBSTITUTE(Audio!H222, "RE-", "", 1))*1</f>
        <v>0</v>
      </c>
      <c r="I222" s="92">
        <f>(SUBSTITUTE(Audio!I222, "RE-", "", 1))*1</f>
        <v>15.96067083</v>
      </c>
      <c r="J222" s="92">
        <f>(SUBSTITUTE(Audio!J222, "RE-", "", 1))*1</f>
        <v>0</v>
      </c>
      <c r="K222" s="92">
        <f>(SUBSTITUTE(Audio!K222, "RE-", "", 1))*1</f>
        <v>93.58951979</v>
      </c>
      <c r="L222" s="92">
        <f>(SUBSTITUTE(Audio!L222, "RE-", "", 1))*1</f>
        <v>0</v>
      </c>
      <c r="M222" s="92">
        <f>(SUBSTITUTE(Audio!M222, "RE-", "", 1))*1</f>
        <v>103.718751</v>
      </c>
      <c r="N222" s="92">
        <f>(SUBSTITUTE(Audio!N222, "RE-", "", 1))*1</f>
        <v>0</v>
      </c>
      <c r="O222" s="92">
        <f>(SUBSTITUTE(Audio!O222, "RE-", "", 1))*1</f>
        <v>42.59858854</v>
      </c>
      <c r="P222" s="92">
        <f>(SUBSTITUTE(Audio!P222, "RE-", "", 1))*1</f>
        <v>0</v>
      </c>
      <c r="Q222" s="92">
        <f>(SUBSTITUTE(Audio!Q222, "RE-", "", 1))*1</f>
        <v>64.06338229</v>
      </c>
      <c r="R222" s="92">
        <f>(SUBSTITUTE(Audio!R222, "RE-", "", 1))*1</f>
        <v>0</v>
      </c>
      <c r="S222" s="92">
        <f>(SUBSTITUTE(Audio!S222, "RE-", "", 1))*1</f>
        <v>36.29811458</v>
      </c>
      <c r="T222" s="92">
        <f>(SUBSTITUTE(Audio!T222, "RE-", "", 1))*1</f>
        <v>0</v>
      </c>
      <c r="U222" s="92">
        <f>(SUBSTITUTE(Audio!U222, "RE-", "", 1))*1</f>
        <v>13.91615</v>
      </c>
      <c r="V222" s="92">
        <f>(SUBSTITUTE(Audio!V222, "RE-", "", 1))*1</f>
        <v>10.55405104</v>
      </c>
      <c r="W222" s="92">
        <f>(SUBSTITUTE(Audio!W222, "RE-", "", 1))*1</f>
        <v>0</v>
      </c>
      <c r="X222" s="92">
        <f>(SUBSTITUTE(Audio!X222, "RE-", "", 1))*1</f>
        <v>0</v>
      </c>
      <c r="Y222" s="92">
        <f>(SUBSTITUTE(Audio!Y222, "RE-", "", 1))*1</f>
        <v>0</v>
      </c>
      <c r="Z222" s="92">
        <f>(SUBSTITUTE(Audio!Z222, "RE-", "", 1))*1</f>
        <v>0</v>
      </c>
      <c r="AA222" s="92"/>
      <c r="AB222" s="92"/>
      <c r="AC222" s="92"/>
      <c r="AD222" s="92"/>
      <c r="AE222" s="92"/>
      <c r="AF222" s="92"/>
      <c r="AG222" s="92"/>
      <c r="AH222" s="92"/>
      <c r="AI222" s="92"/>
      <c r="AJ222" s="92"/>
      <c r="AK222" s="92"/>
      <c r="AL222" s="92"/>
      <c r="AM222" s="92"/>
      <c r="AN222" s="92"/>
      <c r="AO222" s="92"/>
      <c r="AP222" s="92"/>
      <c r="AQ222" s="92"/>
      <c r="AR222" s="92"/>
      <c r="AS222" s="92"/>
      <c r="AT222" s="92"/>
      <c r="AU222" s="92"/>
      <c r="AV222" s="92"/>
      <c r="AW222" s="92"/>
      <c r="AX222" s="92"/>
      <c r="AY222" s="92"/>
      <c r="AZ222" s="92"/>
      <c r="BA222" s="92"/>
      <c r="BB222" s="92"/>
      <c r="BC222" s="92"/>
      <c r="BD222" s="92"/>
      <c r="BE222" s="92"/>
      <c r="BF222" s="92"/>
      <c r="BG222" s="92"/>
      <c r="BH222" s="92"/>
      <c r="BI222" s="92"/>
      <c r="BJ222" s="92"/>
      <c r="BK222" s="92"/>
      <c r="BL222" s="92"/>
      <c r="BM222" s="92"/>
      <c r="BN222" s="92"/>
      <c r="BO222" s="92"/>
      <c r="BP222" s="92"/>
      <c r="BQ222" s="92"/>
      <c r="BR222" s="92"/>
      <c r="BS222" s="92"/>
      <c r="BT222" s="92"/>
      <c r="BU222" s="92"/>
      <c r="BV222" s="92"/>
      <c r="BW222" s="92"/>
      <c r="BX222" s="92"/>
      <c r="BY222" s="92"/>
      <c r="BZ222" s="92"/>
      <c r="CA222" s="92"/>
      <c r="CB222" s="92"/>
      <c r="CC222" s="92"/>
      <c r="CD222" s="92"/>
      <c r="CE222" s="92"/>
      <c r="CF222" s="92"/>
      <c r="CG222" s="92"/>
      <c r="CH222" s="92"/>
      <c r="CI222" s="92"/>
      <c r="CJ222" s="92"/>
      <c r="CK222" s="92"/>
      <c r="CL222" s="92"/>
      <c r="CM222" s="92"/>
      <c r="CN222" s="92"/>
      <c r="CO222" s="92"/>
      <c r="CP222" s="92"/>
      <c r="CQ222" s="92"/>
      <c r="CR222" s="92"/>
      <c r="CS222" s="92"/>
      <c r="CT222" s="92"/>
      <c r="CU222" s="92"/>
      <c r="CV222" s="92"/>
      <c r="CW222" s="92"/>
      <c r="CX222" s="92"/>
      <c r="CY222" s="92"/>
      <c r="CZ222" s="92"/>
      <c r="DA222" s="92"/>
      <c r="DB222" s="92"/>
      <c r="DC222" s="92"/>
      <c r="DD222" s="92"/>
      <c r="DE222" s="92"/>
      <c r="DF222" s="92"/>
      <c r="DG222" s="92"/>
      <c r="DH222" s="92"/>
      <c r="DI222" s="92"/>
      <c r="DJ222" s="92"/>
      <c r="DK222" s="92"/>
      <c r="DL222" s="92"/>
      <c r="DM222" s="92"/>
      <c r="DN222" s="92"/>
      <c r="DO222" s="92"/>
      <c r="DP222" s="92"/>
      <c r="DQ222" s="92"/>
      <c r="DR222" s="92"/>
      <c r="DS222" s="92"/>
      <c r="DT222" s="92"/>
      <c r="DU222" s="92"/>
      <c r="DV222" s="92"/>
      <c r="DW222" s="92"/>
      <c r="DX222" s="92"/>
      <c r="DY222" s="92"/>
      <c r="DZ222" s="92"/>
      <c r="EA222" s="92"/>
      <c r="EB222" s="92"/>
      <c r="EC222" s="92"/>
      <c r="ED222" s="92"/>
      <c r="EE222" s="92"/>
      <c r="EF222" s="92"/>
      <c r="EG222" s="92"/>
      <c r="EH222" s="92"/>
      <c r="EI222" s="92"/>
      <c r="EJ222" s="92"/>
      <c r="EK222" s="92"/>
      <c r="EL222" s="92"/>
      <c r="EM222" s="92"/>
      <c r="EN222" s="92"/>
      <c r="EO222" s="92"/>
      <c r="EP222" s="92"/>
      <c r="EQ222" s="92"/>
      <c r="ER222" s="92"/>
      <c r="ES222" s="92"/>
      <c r="ET222" s="92"/>
      <c r="EU222" s="92"/>
      <c r="EV222" s="92"/>
      <c r="EW222" s="92"/>
      <c r="EX222" s="92"/>
      <c r="EY222" s="92"/>
      <c r="EZ222" s="92"/>
      <c r="FA222" s="92"/>
      <c r="FB222" s="92"/>
      <c r="FC222" s="92"/>
      <c r="FD222" s="92"/>
      <c r="FE222" s="92"/>
      <c r="FF222" s="92"/>
      <c r="FG222" s="92"/>
      <c r="FH222" s="92"/>
    </row>
    <row r="223">
      <c r="A223" s="32" t="s">
        <v>47</v>
      </c>
      <c r="B223" s="32" t="s">
        <v>48</v>
      </c>
      <c r="C223" s="32" t="s">
        <v>12</v>
      </c>
      <c r="D223" s="97">
        <f t="shared" si="1"/>
        <v>6939.735524</v>
      </c>
      <c r="E223" s="92">
        <f>(SUBSTITUTE(Audio!E223, "RE-", "", 1))*1</f>
        <v>0</v>
      </c>
      <c r="F223" s="92">
        <f>(SUBSTITUTE(Audio!F223, "RE-", "", 1))*1</f>
        <v>1699.035789</v>
      </c>
      <c r="G223" s="92">
        <f>(SUBSTITUTE(Audio!G223, "RE-", "", 1))*1</f>
        <v>3.449414583</v>
      </c>
      <c r="H223" s="92">
        <f>(SUBSTITUTE(Audio!H223, "RE-", "", 1))*1</f>
        <v>196.3190531</v>
      </c>
      <c r="I223" s="92">
        <f>(SUBSTITUTE(Audio!I223, "RE-", "", 1))*1</f>
        <v>0.3330104167</v>
      </c>
      <c r="J223" s="92">
        <f>(SUBSTITUTE(Audio!J223, "RE-", "", 1))*1</f>
        <v>1389.994657</v>
      </c>
      <c r="K223" s="92">
        <f>(SUBSTITUTE(Audio!K223, "RE-", "", 1))*1</f>
        <v>7.409089583</v>
      </c>
      <c r="L223" s="92">
        <f>(SUBSTITUTE(Audio!L223, "RE-", "", 1))*1</f>
        <v>2226.321927</v>
      </c>
      <c r="M223" s="92">
        <f>(SUBSTITUTE(Audio!M223, "RE-", "", 1))*1</f>
        <v>15.32188333</v>
      </c>
      <c r="N223" s="92">
        <f>(SUBSTITUTE(Audio!N223, "RE-", "", 1))*1</f>
        <v>139.1377469</v>
      </c>
      <c r="O223" s="92">
        <f>(SUBSTITUTE(Audio!O223, "RE-", "", 1))*1</f>
        <v>5.302488542</v>
      </c>
      <c r="P223" s="92">
        <f>(SUBSTITUTE(Audio!P223, "RE-", "", 1))*1</f>
        <v>808.9570917</v>
      </c>
      <c r="Q223" s="92">
        <f>(SUBSTITUTE(Audio!Q223, "RE-", "", 1))*1</f>
        <v>19.35869271</v>
      </c>
      <c r="R223" s="92">
        <f>(SUBSTITUTE(Audio!R223, "RE-", "", 1))*1</f>
        <v>269.0430312</v>
      </c>
      <c r="S223" s="92">
        <f>(SUBSTITUTE(Audio!S223, "RE-", "", 1))*1</f>
        <v>11.30530417</v>
      </c>
      <c r="T223" s="92">
        <f>(SUBSTITUTE(Audio!T223, "RE-", "", 1))*1</f>
        <v>137.4428625</v>
      </c>
      <c r="U223" s="92">
        <f>(SUBSTITUTE(Audio!U223, "RE-", "", 1))*1</f>
        <v>6.537204167</v>
      </c>
      <c r="V223" s="92">
        <f>(SUBSTITUTE(Audio!V223, "RE-", "", 1))*1</f>
        <v>4.466278125</v>
      </c>
      <c r="W223" s="92">
        <f>(SUBSTITUTE(Audio!W223, "RE-", "", 1))*1</f>
        <v>0</v>
      </c>
      <c r="X223" s="92">
        <f>(SUBSTITUTE(Audio!X223, "RE-", "", 1))*1</f>
        <v>0</v>
      </c>
      <c r="Y223" s="92">
        <f>(SUBSTITUTE(Audio!Y223, "RE-", "", 1))*1</f>
        <v>0</v>
      </c>
      <c r="Z223" s="92">
        <f>(SUBSTITUTE(Audio!Z223, "RE-", "", 1))*1</f>
        <v>0</v>
      </c>
      <c r="AA223" s="92"/>
      <c r="AB223" s="92"/>
      <c r="AC223" s="92"/>
      <c r="AD223" s="92"/>
      <c r="AE223" s="92"/>
      <c r="AF223" s="92"/>
      <c r="AG223" s="92"/>
      <c r="AH223" s="92"/>
      <c r="AI223" s="92"/>
      <c r="AJ223" s="92"/>
      <c r="AK223" s="92"/>
      <c r="AL223" s="92"/>
      <c r="AM223" s="92"/>
      <c r="AN223" s="92"/>
      <c r="AO223" s="92"/>
      <c r="AP223" s="92"/>
      <c r="AQ223" s="92"/>
      <c r="AR223" s="92"/>
      <c r="AS223" s="92"/>
      <c r="AT223" s="92"/>
      <c r="AU223" s="92"/>
      <c r="AV223" s="92"/>
      <c r="AW223" s="92"/>
      <c r="AX223" s="92"/>
      <c r="AY223" s="92"/>
      <c r="AZ223" s="92"/>
      <c r="BA223" s="92"/>
      <c r="BB223" s="92"/>
      <c r="BC223" s="92"/>
      <c r="BD223" s="92"/>
      <c r="BE223" s="92"/>
      <c r="BF223" s="92"/>
      <c r="BG223" s="92"/>
      <c r="BH223" s="92"/>
      <c r="BI223" s="92"/>
      <c r="BJ223" s="92"/>
      <c r="BK223" s="92"/>
      <c r="BL223" s="92"/>
      <c r="BM223" s="92"/>
      <c r="BN223" s="92"/>
      <c r="BO223" s="92"/>
      <c r="BP223" s="92"/>
      <c r="BQ223" s="92"/>
      <c r="BR223" s="92"/>
      <c r="BS223" s="92"/>
      <c r="BT223" s="92"/>
      <c r="BU223" s="92"/>
      <c r="BV223" s="92"/>
      <c r="BW223" s="92"/>
      <c r="BX223" s="92"/>
      <c r="BY223" s="92"/>
      <c r="BZ223" s="92"/>
      <c r="CA223" s="92"/>
      <c r="CB223" s="92"/>
      <c r="CC223" s="92"/>
      <c r="CD223" s="92"/>
      <c r="CE223" s="92"/>
      <c r="CF223" s="92"/>
      <c r="CG223" s="92"/>
      <c r="CH223" s="92"/>
      <c r="CI223" s="92"/>
      <c r="CJ223" s="92"/>
      <c r="CK223" s="92"/>
      <c r="CL223" s="92"/>
      <c r="CM223" s="92"/>
      <c r="CN223" s="92"/>
      <c r="CO223" s="92"/>
      <c r="CP223" s="92"/>
      <c r="CQ223" s="92"/>
      <c r="CR223" s="92"/>
      <c r="CS223" s="92"/>
      <c r="CT223" s="92"/>
      <c r="CU223" s="92"/>
      <c r="CV223" s="92"/>
      <c r="CW223" s="92"/>
      <c r="CX223" s="92"/>
      <c r="CY223" s="92"/>
      <c r="CZ223" s="92"/>
      <c r="DA223" s="92"/>
      <c r="DB223" s="92"/>
      <c r="DC223" s="92"/>
      <c r="DD223" s="92"/>
      <c r="DE223" s="92"/>
      <c r="DF223" s="92"/>
      <c r="DG223" s="92"/>
      <c r="DH223" s="92"/>
      <c r="DI223" s="92"/>
      <c r="DJ223" s="92"/>
      <c r="DK223" s="92"/>
      <c r="DL223" s="92"/>
      <c r="DM223" s="92"/>
      <c r="DN223" s="92"/>
      <c r="DO223" s="92"/>
      <c r="DP223" s="92"/>
      <c r="DQ223" s="92"/>
      <c r="DR223" s="92"/>
      <c r="DS223" s="92"/>
      <c r="DT223" s="92"/>
      <c r="DU223" s="92"/>
      <c r="DV223" s="92"/>
      <c r="DW223" s="92"/>
      <c r="DX223" s="92"/>
      <c r="DY223" s="92"/>
      <c r="DZ223" s="92"/>
      <c r="EA223" s="92"/>
      <c r="EB223" s="92"/>
      <c r="EC223" s="92"/>
      <c r="ED223" s="92"/>
      <c r="EE223" s="92"/>
      <c r="EF223" s="92"/>
      <c r="EG223" s="92"/>
      <c r="EH223" s="92"/>
      <c r="EI223" s="92"/>
      <c r="EJ223" s="92"/>
      <c r="EK223" s="92"/>
      <c r="EL223" s="92"/>
      <c r="EM223" s="92"/>
      <c r="EN223" s="92"/>
      <c r="EO223" s="92"/>
      <c r="EP223" s="92"/>
      <c r="EQ223" s="92"/>
      <c r="ER223" s="92"/>
      <c r="ES223" s="92"/>
      <c r="ET223" s="92"/>
      <c r="EU223" s="92"/>
      <c r="EV223" s="92"/>
      <c r="EW223" s="92"/>
      <c r="EX223" s="92"/>
      <c r="EY223" s="92"/>
      <c r="EZ223" s="92"/>
      <c r="FA223" s="92"/>
      <c r="FB223" s="92"/>
      <c r="FC223" s="92"/>
      <c r="FD223" s="92"/>
      <c r="FE223" s="92"/>
      <c r="FF223" s="92"/>
      <c r="FG223" s="92"/>
      <c r="FH223" s="92"/>
    </row>
    <row r="224">
      <c r="A224" s="32" t="s">
        <v>47</v>
      </c>
      <c r="B224" s="32" t="s">
        <v>48</v>
      </c>
      <c r="C224" s="32" t="s">
        <v>13</v>
      </c>
      <c r="D224" s="97">
        <f t="shared" si="1"/>
        <v>6720.374767</v>
      </c>
      <c r="E224" s="92">
        <f>(SUBSTITUTE(Audio!E224, "RE-", "", 1))*1</f>
        <v>0</v>
      </c>
      <c r="F224" s="92">
        <f>(SUBSTITUTE(Audio!F224, "RE-", "", 1))*1</f>
        <v>1666.19</v>
      </c>
      <c r="G224" s="92">
        <f>(SUBSTITUTE(Audio!G224, "RE-", "", 1))*1</f>
        <v>3.3585</v>
      </c>
      <c r="H224" s="92">
        <f>(SUBSTITUTE(Audio!H224, "RE-", "", 1))*1</f>
        <v>192.867</v>
      </c>
      <c r="I224" s="92">
        <f>(SUBSTITUTE(Audio!I224, "RE-", "", 1))*1</f>
        <v>0.332717</v>
      </c>
      <c r="J224" s="92">
        <f>(SUBSTITUTE(Audio!J224, "RE-", "", 1))*1</f>
        <v>1358.97</v>
      </c>
      <c r="K224" s="92">
        <f>(SUBSTITUTE(Audio!K224, "RE-", "", 1))*1</f>
        <v>7.01325</v>
      </c>
      <c r="L224" s="92">
        <f>(SUBSTITUTE(Audio!L224, "RE-", "", 1))*1</f>
        <v>2138.71</v>
      </c>
      <c r="M224" s="92">
        <f>(SUBSTITUTE(Audio!M224, "RE-", "", 1))*1</f>
        <v>14.7823</v>
      </c>
      <c r="N224" s="92">
        <f>(SUBSTITUTE(Audio!N224, "RE-", "", 1))*1</f>
        <v>133.85</v>
      </c>
      <c r="O224" s="92">
        <f>(SUBSTITUTE(Audio!O224, "RE-", "", 1))*1</f>
        <v>5.02073</v>
      </c>
      <c r="P224" s="92">
        <f>(SUBSTITUTE(Audio!P224, "RE-", "", 1))*1</f>
        <v>773.454</v>
      </c>
      <c r="Q224" s="92">
        <f>(SUBSTITUTE(Audio!Q224, "RE-", "", 1))*1</f>
        <v>18.5543</v>
      </c>
      <c r="R224" s="92">
        <f>(SUBSTITUTE(Audio!R224, "RE-", "", 1))*1</f>
        <v>254.548</v>
      </c>
      <c r="S224" s="92">
        <f>(SUBSTITUTE(Audio!S224, "RE-", "", 1))*1</f>
        <v>10.8466</v>
      </c>
      <c r="T224" s="92">
        <f>(SUBSTITUTE(Audio!T224, "RE-", "", 1))*1</f>
        <v>131.633</v>
      </c>
      <c r="U224" s="92">
        <f>(SUBSTITUTE(Audio!U224, "RE-", "", 1))*1</f>
        <v>6.16972</v>
      </c>
      <c r="V224" s="92">
        <f>(SUBSTITUTE(Audio!V224, "RE-", "", 1))*1</f>
        <v>4.07465</v>
      </c>
      <c r="W224" s="92">
        <f>(SUBSTITUTE(Audio!W224, "RE-", "", 1))*1</f>
        <v>0</v>
      </c>
      <c r="X224" s="92">
        <f>(SUBSTITUTE(Audio!X224, "RE-", "", 1))*1</f>
        <v>0</v>
      </c>
      <c r="Y224" s="92">
        <f>(SUBSTITUTE(Audio!Y224, "RE-", "", 1))*1</f>
        <v>0</v>
      </c>
      <c r="Z224" s="92">
        <f>(SUBSTITUTE(Audio!Z224, "RE-", "", 1))*1</f>
        <v>0</v>
      </c>
      <c r="AA224" s="92"/>
      <c r="AB224" s="92"/>
      <c r="AC224" s="92"/>
      <c r="AD224" s="92"/>
      <c r="AE224" s="92"/>
      <c r="AF224" s="92"/>
      <c r="AG224" s="92"/>
      <c r="AH224" s="92"/>
      <c r="AI224" s="92"/>
      <c r="AJ224" s="92"/>
      <c r="AK224" s="92"/>
      <c r="AL224" s="92"/>
      <c r="AM224" s="92"/>
      <c r="AN224" s="92"/>
      <c r="AO224" s="92"/>
      <c r="AP224" s="92"/>
      <c r="AQ224" s="92"/>
      <c r="AR224" s="92"/>
      <c r="AS224" s="92"/>
      <c r="AT224" s="92"/>
      <c r="AU224" s="92"/>
      <c r="AV224" s="92"/>
      <c r="AW224" s="92"/>
      <c r="AX224" s="92"/>
      <c r="AY224" s="92"/>
      <c r="AZ224" s="92"/>
      <c r="BA224" s="92"/>
      <c r="BB224" s="92"/>
      <c r="BC224" s="92"/>
      <c r="BD224" s="92"/>
      <c r="BE224" s="92"/>
      <c r="BF224" s="92"/>
      <c r="BG224" s="92"/>
      <c r="BH224" s="92"/>
      <c r="BI224" s="92"/>
      <c r="BJ224" s="92"/>
      <c r="BK224" s="92"/>
      <c r="BL224" s="92"/>
      <c r="BM224" s="92"/>
      <c r="BN224" s="92"/>
      <c r="BO224" s="92"/>
      <c r="BP224" s="92"/>
      <c r="BQ224" s="92"/>
      <c r="BR224" s="92"/>
      <c r="BS224" s="92"/>
      <c r="BT224" s="92"/>
      <c r="BU224" s="92"/>
      <c r="BV224" s="92"/>
      <c r="BW224" s="92"/>
      <c r="BX224" s="92"/>
      <c r="BY224" s="92"/>
      <c r="BZ224" s="92"/>
      <c r="CA224" s="92"/>
      <c r="CB224" s="92"/>
      <c r="CC224" s="92"/>
      <c r="CD224" s="92"/>
      <c r="CE224" s="92"/>
      <c r="CF224" s="92"/>
      <c r="CG224" s="92"/>
      <c r="CH224" s="92"/>
      <c r="CI224" s="92"/>
      <c r="CJ224" s="92"/>
      <c r="CK224" s="92"/>
      <c r="CL224" s="92"/>
      <c r="CM224" s="92"/>
      <c r="CN224" s="92"/>
      <c r="CO224" s="92"/>
      <c r="CP224" s="92"/>
      <c r="CQ224" s="92"/>
      <c r="CR224" s="92"/>
      <c r="CS224" s="92"/>
      <c r="CT224" s="92"/>
      <c r="CU224" s="92"/>
      <c r="CV224" s="92"/>
      <c r="CW224" s="92"/>
      <c r="CX224" s="92"/>
      <c r="CY224" s="92"/>
      <c r="CZ224" s="92"/>
      <c r="DA224" s="92"/>
      <c r="DB224" s="92"/>
      <c r="DC224" s="92"/>
      <c r="DD224" s="92"/>
      <c r="DE224" s="92"/>
      <c r="DF224" s="92"/>
      <c r="DG224" s="92"/>
      <c r="DH224" s="92"/>
      <c r="DI224" s="92"/>
      <c r="DJ224" s="92"/>
      <c r="DK224" s="92"/>
      <c r="DL224" s="92"/>
      <c r="DM224" s="92"/>
      <c r="DN224" s="92"/>
      <c r="DO224" s="92"/>
      <c r="DP224" s="92"/>
      <c r="DQ224" s="92"/>
      <c r="DR224" s="92"/>
      <c r="DS224" s="92"/>
      <c r="DT224" s="92"/>
      <c r="DU224" s="92"/>
      <c r="DV224" s="92"/>
      <c r="DW224" s="92"/>
      <c r="DX224" s="92"/>
      <c r="DY224" s="92"/>
      <c r="DZ224" s="92"/>
      <c r="EA224" s="92"/>
      <c r="EB224" s="92"/>
      <c r="EC224" s="92"/>
      <c r="ED224" s="92"/>
      <c r="EE224" s="92"/>
      <c r="EF224" s="92"/>
      <c r="EG224" s="92"/>
      <c r="EH224" s="92"/>
      <c r="EI224" s="92"/>
      <c r="EJ224" s="92"/>
      <c r="EK224" s="92"/>
      <c r="EL224" s="92"/>
      <c r="EM224" s="92"/>
      <c r="EN224" s="92"/>
      <c r="EO224" s="92"/>
      <c r="EP224" s="92"/>
      <c r="EQ224" s="92"/>
      <c r="ER224" s="92"/>
      <c r="ES224" s="92"/>
      <c r="ET224" s="92"/>
      <c r="EU224" s="92"/>
      <c r="EV224" s="92"/>
      <c r="EW224" s="92"/>
      <c r="EX224" s="92"/>
      <c r="EY224" s="92"/>
      <c r="EZ224" s="92"/>
      <c r="FA224" s="92"/>
      <c r="FB224" s="92"/>
      <c r="FC224" s="92"/>
      <c r="FD224" s="92"/>
      <c r="FE224" s="92"/>
      <c r="FF224" s="92"/>
      <c r="FG224" s="92"/>
      <c r="FH224" s="92"/>
    </row>
    <row r="225">
      <c r="A225" s="32" t="s">
        <v>47</v>
      </c>
      <c r="B225" s="32" t="s">
        <v>48</v>
      </c>
      <c r="C225" s="32" t="s">
        <v>14</v>
      </c>
      <c r="D225" s="97">
        <f t="shared" si="1"/>
        <v>5982.124797</v>
      </c>
      <c r="E225" s="92">
        <f>(SUBSTITUTE(Audio!E225, "RE-", "", 1))*1</f>
        <v>0</v>
      </c>
      <c r="F225" s="92">
        <f>(SUBSTITUTE(Audio!F225, "RE-", "", 1))*1</f>
        <v>1487.05</v>
      </c>
      <c r="G225" s="92">
        <f>(SUBSTITUTE(Audio!G225, "RE-", "", 1))*1</f>
        <v>3.09462</v>
      </c>
      <c r="H225" s="92">
        <f>(SUBSTITUTE(Audio!H225, "RE-", "", 1))*1</f>
        <v>170.125</v>
      </c>
      <c r="I225" s="92">
        <f>(SUBSTITUTE(Audio!I225, "RE-", "", 1))*1</f>
        <v>0.332717</v>
      </c>
      <c r="J225" s="92">
        <f>(SUBSTITUTE(Audio!J225, "RE-", "", 1))*1</f>
        <v>1251.77</v>
      </c>
      <c r="K225" s="92">
        <f>(SUBSTITUTE(Audio!K225, "RE-", "", 1))*1</f>
        <v>5.74685</v>
      </c>
      <c r="L225" s="92">
        <f>(SUBSTITUTE(Audio!L225, "RE-", "", 1))*1</f>
        <v>1907.19</v>
      </c>
      <c r="M225" s="92">
        <f>(SUBSTITUTE(Audio!M225, "RE-", "", 1))*1</f>
        <v>13.1153</v>
      </c>
      <c r="N225" s="92">
        <f>(SUBSTITUTE(Audio!N225, "RE-", "", 1))*1</f>
        <v>112.858</v>
      </c>
      <c r="O225" s="92">
        <f>(SUBSTITUTE(Audio!O225, "RE-", "", 1))*1</f>
        <v>5.02073</v>
      </c>
      <c r="P225" s="92">
        <f>(SUBSTITUTE(Audio!P225, "RE-", "", 1))*1</f>
        <v>661.41</v>
      </c>
      <c r="Q225" s="92">
        <f>(SUBSTITUTE(Audio!Q225, "RE-", "", 1))*1</f>
        <v>16.185</v>
      </c>
      <c r="R225" s="92">
        <f>(SUBSTITUTE(Audio!R225, "RE-", "", 1))*1</f>
        <v>216.793</v>
      </c>
      <c r="S225" s="92">
        <f>(SUBSTITUTE(Audio!S225, "RE-", "", 1))*1</f>
        <v>9.47378</v>
      </c>
      <c r="T225" s="92">
        <f>(SUBSTITUTE(Audio!T225, "RE-", "", 1))*1</f>
        <v>113.054</v>
      </c>
      <c r="U225" s="92">
        <f>(SUBSTITUTE(Audio!U225, "RE-", "", 1))*1</f>
        <v>5.06412</v>
      </c>
      <c r="V225" s="92">
        <f>(SUBSTITUTE(Audio!V225, "RE-", "", 1))*1</f>
        <v>3.84168</v>
      </c>
      <c r="W225" s="92">
        <f>(SUBSTITUTE(Audio!W225, "RE-", "", 1))*1</f>
        <v>0</v>
      </c>
      <c r="X225" s="92">
        <f>(SUBSTITUTE(Audio!X225, "RE-", "", 1))*1</f>
        <v>0</v>
      </c>
      <c r="Y225" s="92">
        <f>(SUBSTITUTE(Audio!Y225, "RE-", "", 1))*1</f>
        <v>0</v>
      </c>
      <c r="Z225" s="92">
        <f>(SUBSTITUTE(Audio!Z225, "RE-", "", 1))*1</f>
        <v>0</v>
      </c>
      <c r="AA225" s="92"/>
      <c r="AB225" s="92"/>
      <c r="AC225" s="92"/>
      <c r="AD225" s="92"/>
      <c r="AE225" s="92"/>
      <c r="AF225" s="92"/>
      <c r="AG225" s="92"/>
      <c r="AH225" s="92"/>
      <c r="AI225" s="92"/>
      <c r="AJ225" s="92"/>
      <c r="AK225" s="92"/>
      <c r="AL225" s="92"/>
      <c r="AM225" s="92"/>
      <c r="AN225" s="92"/>
      <c r="AO225" s="92"/>
      <c r="AP225" s="92"/>
      <c r="AQ225" s="92"/>
      <c r="AR225" s="92"/>
      <c r="AS225" s="92"/>
      <c r="AT225" s="92"/>
      <c r="AU225" s="92"/>
      <c r="AV225" s="92"/>
      <c r="AW225" s="92"/>
      <c r="AX225" s="92"/>
      <c r="AY225" s="92"/>
      <c r="AZ225" s="92"/>
      <c r="BA225" s="92"/>
      <c r="BB225" s="92"/>
      <c r="BC225" s="92"/>
      <c r="BD225" s="92"/>
      <c r="BE225" s="92"/>
      <c r="BF225" s="92"/>
      <c r="BG225" s="92"/>
      <c r="BH225" s="92"/>
      <c r="BI225" s="92"/>
      <c r="BJ225" s="92"/>
      <c r="BK225" s="92"/>
      <c r="BL225" s="92"/>
      <c r="BM225" s="92"/>
      <c r="BN225" s="92"/>
      <c r="BO225" s="92"/>
      <c r="BP225" s="92"/>
      <c r="BQ225" s="92"/>
      <c r="BR225" s="92"/>
      <c r="BS225" s="92"/>
      <c r="BT225" s="92"/>
      <c r="BU225" s="92"/>
      <c r="BV225" s="92"/>
      <c r="BW225" s="92"/>
      <c r="BX225" s="92"/>
      <c r="BY225" s="92"/>
      <c r="BZ225" s="92"/>
      <c r="CA225" s="92"/>
      <c r="CB225" s="92"/>
      <c r="CC225" s="92"/>
      <c r="CD225" s="92"/>
      <c r="CE225" s="92"/>
      <c r="CF225" s="92"/>
      <c r="CG225" s="92"/>
      <c r="CH225" s="92"/>
      <c r="CI225" s="92"/>
      <c r="CJ225" s="92"/>
      <c r="CK225" s="92"/>
      <c r="CL225" s="92"/>
      <c r="CM225" s="92"/>
      <c r="CN225" s="92"/>
      <c r="CO225" s="92"/>
      <c r="CP225" s="92"/>
      <c r="CQ225" s="92"/>
      <c r="CR225" s="92"/>
      <c r="CS225" s="92"/>
      <c r="CT225" s="92"/>
      <c r="CU225" s="92"/>
      <c r="CV225" s="92"/>
      <c r="CW225" s="92"/>
      <c r="CX225" s="92"/>
      <c r="CY225" s="92"/>
      <c r="CZ225" s="92"/>
      <c r="DA225" s="92"/>
      <c r="DB225" s="92"/>
      <c r="DC225" s="92"/>
      <c r="DD225" s="92"/>
      <c r="DE225" s="92"/>
      <c r="DF225" s="92"/>
      <c r="DG225" s="92"/>
      <c r="DH225" s="92"/>
      <c r="DI225" s="92"/>
      <c r="DJ225" s="92"/>
      <c r="DK225" s="92"/>
      <c r="DL225" s="92"/>
      <c r="DM225" s="92"/>
      <c r="DN225" s="92"/>
      <c r="DO225" s="92"/>
      <c r="DP225" s="92"/>
      <c r="DQ225" s="92"/>
      <c r="DR225" s="92"/>
      <c r="DS225" s="92"/>
      <c r="DT225" s="92"/>
      <c r="DU225" s="92"/>
      <c r="DV225" s="92"/>
      <c r="DW225" s="92"/>
      <c r="DX225" s="92"/>
      <c r="DY225" s="92"/>
      <c r="DZ225" s="92"/>
      <c r="EA225" s="92"/>
      <c r="EB225" s="92"/>
      <c r="EC225" s="92"/>
      <c r="ED225" s="92"/>
      <c r="EE225" s="92"/>
      <c r="EF225" s="92"/>
      <c r="EG225" s="92"/>
      <c r="EH225" s="92"/>
      <c r="EI225" s="92"/>
      <c r="EJ225" s="92"/>
      <c r="EK225" s="92"/>
      <c r="EL225" s="92"/>
      <c r="EM225" s="92"/>
      <c r="EN225" s="92"/>
      <c r="EO225" s="92"/>
      <c r="EP225" s="92"/>
      <c r="EQ225" s="92"/>
      <c r="ER225" s="92"/>
      <c r="ES225" s="92"/>
      <c r="ET225" s="92"/>
      <c r="EU225" s="92"/>
      <c r="EV225" s="92"/>
      <c r="EW225" s="92"/>
      <c r="EX225" s="92"/>
      <c r="EY225" s="92"/>
      <c r="EZ225" s="92"/>
      <c r="FA225" s="92"/>
      <c r="FB225" s="92"/>
      <c r="FC225" s="92"/>
      <c r="FD225" s="92"/>
      <c r="FE225" s="92"/>
      <c r="FF225" s="92"/>
      <c r="FG225" s="92"/>
      <c r="FH225" s="92"/>
    </row>
    <row r="226">
      <c r="A226" s="27" t="s">
        <v>47</v>
      </c>
      <c r="B226" s="27" t="s">
        <v>48</v>
      </c>
      <c r="C226" s="27" t="s">
        <v>15</v>
      </c>
      <c r="D226" s="98">
        <f t="shared" si="1"/>
        <v>6720.354767</v>
      </c>
      <c r="E226" s="92">
        <f>(SUBSTITUTE(Audio!E226, "RE-", "", 1))*1</f>
        <v>0</v>
      </c>
      <c r="F226" s="92">
        <f>(SUBSTITUTE(Audio!F226, "RE-", "", 1))*1</f>
        <v>1666.18</v>
      </c>
      <c r="G226" s="92">
        <f>(SUBSTITUTE(Audio!G226, "RE-", "", 1))*1</f>
        <v>3.3585</v>
      </c>
      <c r="H226" s="92">
        <f>(SUBSTITUTE(Audio!H226, "RE-", "", 1))*1</f>
        <v>192.867</v>
      </c>
      <c r="I226" s="92">
        <f>(SUBSTITUTE(Audio!I226, "RE-", "", 1))*1</f>
        <v>0.332717</v>
      </c>
      <c r="J226" s="92">
        <f>(SUBSTITUTE(Audio!J226, "RE-", "", 1))*1</f>
        <v>1358.97</v>
      </c>
      <c r="K226" s="92">
        <f>(SUBSTITUTE(Audio!K226, "RE-", "", 1))*1</f>
        <v>7.01325</v>
      </c>
      <c r="L226" s="92">
        <f>(SUBSTITUTE(Audio!L226, "RE-", "", 1))*1</f>
        <v>2138.71</v>
      </c>
      <c r="M226" s="92">
        <f>(SUBSTITUTE(Audio!M226, "RE-", "", 1))*1</f>
        <v>14.7823</v>
      </c>
      <c r="N226" s="92">
        <f>(SUBSTITUTE(Audio!N226, "RE-", "", 1))*1</f>
        <v>133.85</v>
      </c>
      <c r="O226" s="92">
        <f>(SUBSTITUTE(Audio!O226, "RE-", "", 1))*1</f>
        <v>5.02073</v>
      </c>
      <c r="P226" s="92">
        <f>(SUBSTITUTE(Audio!P226, "RE-", "", 1))*1</f>
        <v>773.444</v>
      </c>
      <c r="Q226" s="92">
        <f>(SUBSTITUTE(Audio!Q226, "RE-", "", 1))*1</f>
        <v>18.5543</v>
      </c>
      <c r="R226" s="92">
        <f>(SUBSTITUTE(Audio!R226, "RE-", "", 1))*1</f>
        <v>254.548</v>
      </c>
      <c r="S226" s="92">
        <f>(SUBSTITUTE(Audio!S226, "RE-", "", 1))*1</f>
        <v>10.8466</v>
      </c>
      <c r="T226" s="92">
        <f>(SUBSTITUTE(Audio!T226, "RE-", "", 1))*1</f>
        <v>131.633</v>
      </c>
      <c r="U226" s="92">
        <f>(SUBSTITUTE(Audio!U226, "RE-", "", 1))*1</f>
        <v>6.16972</v>
      </c>
      <c r="V226" s="92">
        <f>(SUBSTITUTE(Audio!V226, "RE-", "", 1))*1</f>
        <v>4.07465</v>
      </c>
      <c r="W226" s="92">
        <f>(SUBSTITUTE(Audio!W226, "RE-", "", 1))*1</f>
        <v>0</v>
      </c>
      <c r="X226" s="92">
        <f>(SUBSTITUTE(Audio!X226, "RE-", "", 1))*1</f>
        <v>0</v>
      </c>
      <c r="Y226" s="92">
        <f>(SUBSTITUTE(Audio!Y226, "RE-", "", 1))*1</f>
        <v>0</v>
      </c>
      <c r="Z226" s="92">
        <f>(SUBSTITUTE(Audio!Z226, "RE-", "", 1))*1</f>
        <v>0</v>
      </c>
      <c r="AA226" s="92"/>
      <c r="AB226" s="92"/>
      <c r="AC226" s="92"/>
      <c r="AD226" s="92"/>
      <c r="AE226" s="92"/>
      <c r="AF226" s="92"/>
      <c r="AG226" s="92"/>
      <c r="AH226" s="92"/>
      <c r="AI226" s="92"/>
      <c r="AJ226" s="92"/>
      <c r="AK226" s="92"/>
      <c r="AL226" s="92"/>
      <c r="AM226" s="92"/>
      <c r="AN226" s="92"/>
      <c r="AO226" s="92"/>
      <c r="AP226" s="92"/>
      <c r="AQ226" s="92"/>
      <c r="AR226" s="92"/>
      <c r="AS226" s="92"/>
      <c r="AT226" s="92"/>
      <c r="AU226" s="92"/>
      <c r="AV226" s="92"/>
      <c r="AW226" s="92"/>
      <c r="AX226" s="92"/>
      <c r="AY226" s="92"/>
      <c r="AZ226" s="92"/>
      <c r="BA226" s="92"/>
      <c r="BB226" s="92"/>
      <c r="BC226" s="92"/>
      <c r="BD226" s="92"/>
      <c r="BE226" s="92"/>
      <c r="BF226" s="92"/>
      <c r="BG226" s="92"/>
      <c r="BH226" s="92"/>
      <c r="BI226" s="92"/>
      <c r="BJ226" s="92"/>
      <c r="BK226" s="92"/>
      <c r="BL226" s="92"/>
      <c r="BM226" s="92"/>
      <c r="BN226" s="92"/>
      <c r="BO226" s="92"/>
      <c r="BP226" s="92"/>
      <c r="BQ226" s="92"/>
      <c r="BR226" s="92"/>
      <c r="BS226" s="92"/>
      <c r="BT226" s="92"/>
      <c r="BU226" s="92"/>
      <c r="BV226" s="92"/>
      <c r="BW226" s="92"/>
      <c r="BX226" s="92"/>
      <c r="BY226" s="92"/>
      <c r="BZ226" s="92"/>
      <c r="CA226" s="92"/>
      <c r="CB226" s="92"/>
      <c r="CC226" s="92"/>
      <c r="CD226" s="92"/>
      <c r="CE226" s="92"/>
      <c r="CF226" s="92"/>
      <c r="CG226" s="92"/>
      <c r="CH226" s="92"/>
      <c r="CI226" s="92"/>
      <c r="CJ226" s="92"/>
      <c r="CK226" s="92"/>
      <c r="CL226" s="92"/>
      <c r="CM226" s="92"/>
      <c r="CN226" s="92"/>
      <c r="CO226" s="92"/>
      <c r="CP226" s="92"/>
      <c r="CQ226" s="92"/>
      <c r="CR226" s="92"/>
      <c r="CS226" s="92"/>
      <c r="CT226" s="92"/>
      <c r="CU226" s="92"/>
      <c r="CV226" s="92"/>
      <c r="CW226" s="92"/>
      <c r="CX226" s="92"/>
      <c r="CY226" s="92"/>
      <c r="CZ226" s="92"/>
      <c r="DA226" s="92"/>
      <c r="DB226" s="92"/>
      <c r="DC226" s="92"/>
      <c r="DD226" s="92"/>
      <c r="DE226" s="92"/>
      <c r="DF226" s="92"/>
      <c r="DG226" s="92"/>
      <c r="DH226" s="92"/>
      <c r="DI226" s="92"/>
      <c r="DJ226" s="92"/>
      <c r="DK226" s="92"/>
      <c r="DL226" s="92"/>
      <c r="DM226" s="92"/>
      <c r="DN226" s="92"/>
      <c r="DO226" s="92"/>
      <c r="DP226" s="92"/>
      <c r="DQ226" s="92"/>
      <c r="DR226" s="92"/>
      <c r="DS226" s="92"/>
      <c r="DT226" s="92"/>
      <c r="DU226" s="92"/>
      <c r="DV226" s="92"/>
      <c r="DW226" s="92"/>
      <c r="DX226" s="92"/>
      <c r="DY226" s="92"/>
      <c r="DZ226" s="92"/>
      <c r="EA226" s="92"/>
      <c r="EB226" s="92"/>
      <c r="EC226" s="92"/>
      <c r="ED226" s="92"/>
      <c r="EE226" s="92"/>
      <c r="EF226" s="92"/>
      <c r="EG226" s="92"/>
      <c r="EH226" s="92"/>
      <c r="EI226" s="92"/>
      <c r="EJ226" s="92"/>
      <c r="EK226" s="92"/>
      <c r="EL226" s="92"/>
      <c r="EM226" s="92"/>
      <c r="EN226" s="92"/>
      <c r="EO226" s="92"/>
      <c r="EP226" s="92"/>
      <c r="EQ226" s="92"/>
      <c r="ER226" s="92"/>
      <c r="ES226" s="92"/>
      <c r="ET226" s="92"/>
      <c r="EU226" s="92"/>
      <c r="EV226" s="92"/>
      <c r="EW226" s="92"/>
      <c r="EX226" s="92"/>
      <c r="EY226" s="92"/>
      <c r="EZ226" s="92"/>
      <c r="FA226" s="92"/>
      <c r="FB226" s="92"/>
      <c r="FC226" s="92"/>
      <c r="FD226" s="92"/>
      <c r="FE226" s="92"/>
      <c r="FF226" s="92"/>
      <c r="FG226" s="92"/>
      <c r="FH226" s="92"/>
    </row>
    <row r="227">
      <c r="A227" s="30" t="s">
        <v>47</v>
      </c>
      <c r="B227" s="30" t="s">
        <v>49</v>
      </c>
      <c r="C227" s="31" t="str">
        <f>HYPERLINK("https://docs.google.com/spreadsheets/d/1lAn9eA5VP0rsqyZmzX3XQKoMw2OggD_G/edit?usp=share_link&amp;ouid=118279477453217743021&amp;rtpof=true&amp;sd=true", "Raw Delivered")</f>
        <v>Raw Delivered</v>
      </c>
      <c r="D227" s="96">
        <f t="shared" si="1"/>
        <v>5774.619622</v>
      </c>
      <c r="E227" s="92">
        <f>(SUBSTITUTE(Audio!E227, "RE-", "", 1))*1</f>
        <v>0</v>
      </c>
      <c r="F227" s="92">
        <f>(SUBSTITUTE(Audio!F227, "RE-", "", 1))*1</f>
        <v>847.9600063</v>
      </c>
      <c r="G227" s="92">
        <f>(SUBSTITUTE(Audio!G227, "RE-", "", 1))*1</f>
        <v>0</v>
      </c>
      <c r="H227" s="92">
        <f>(SUBSTITUTE(Audio!H227, "RE-", "", 1))*1</f>
        <v>169.2688458</v>
      </c>
      <c r="I227" s="92">
        <f>(SUBSTITUTE(Audio!I227, "RE-", "", 1))*1</f>
        <v>0</v>
      </c>
      <c r="J227" s="92">
        <f>(SUBSTITUTE(Audio!J227, "RE-", "", 1))*1</f>
        <v>1524.048832</v>
      </c>
      <c r="K227" s="92">
        <f>(SUBSTITUTE(Audio!K227, "RE-", "", 1))*1</f>
        <v>0</v>
      </c>
      <c r="L227" s="92">
        <f>(SUBSTITUTE(Audio!L227, "RE-", "", 1))*1</f>
        <v>2036.80185</v>
      </c>
      <c r="M227" s="92">
        <f>(SUBSTITUTE(Audio!M227, "RE-", "", 1))*1</f>
        <v>0</v>
      </c>
      <c r="N227" s="92">
        <f>(SUBSTITUTE(Audio!N227, "RE-", "", 1))*1</f>
        <v>197.6792021</v>
      </c>
      <c r="O227" s="92">
        <f>(SUBSTITUTE(Audio!O227, "RE-", "", 1))*1</f>
        <v>0</v>
      </c>
      <c r="P227" s="92">
        <f>(SUBSTITUTE(Audio!P227, "RE-", "", 1))*1</f>
        <v>635.0685823</v>
      </c>
      <c r="Q227" s="92">
        <f>(SUBSTITUTE(Audio!Q227, "RE-", "", 1))*1</f>
        <v>0</v>
      </c>
      <c r="R227" s="92">
        <f>(SUBSTITUTE(Audio!R227, "RE-", "", 1))*1</f>
        <v>220.9743885</v>
      </c>
      <c r="S227" s="92">
        <f>(SUBSTITUTE(Audio!S227, "RE-", "", 1))*1</f>
        <v>0</v>
      </c>
      <c r="T227" s="92">
        <f>(SUBSTITUTE(Audio!T227, "RE-", "", 1))*1</f>
        <v>142.8179146</v>
      </c>
      <c r="U227" s="92">
        <f>(SUBSTITUTE(Audio!U227, "RE-", "", 1))*1</f>
        <v>0</v>
      </c>
      <c r="V227" s="92">
        <f>(SUBSTITUTE(Audio!V227, "RE-", "", 1))*1</f>
        <v>0</v>
      </c>
      <c r="W227" s="92">
        <f>(SUBSTITUTE(Audio!W227, "RE-", "", 1))*1</f>
        <v>0</v>
      </c>
      <c r="X227" s="92">
        <f>(SUBSTITUTE(Audio!X227, "RE-", "", 1))*1</f>
        <v>0</v>
      </c>
      <c r="Y227" s="92">
        <f>(SUBSTITUTE(Audio!Y227, "RE-", "", 1))*1</f>
        <v>0</v>
      </c>
      <c r="Z227" s="92">
        <f>(SUBSTITUTE(Audio!Z227, "RE-", "", 1))*1</f>
        <v>0</v>
      </c>
      <c r="AA227" s="92"/>
      <c r="AB227" s="92"/>
      <c r="AC227" s="92"/>
      <c r="AD227" s="92"/>
      <c r="AE227" s="92"/>
      <c r="AF227" s="92"/>
      <c r="AG227" s="92"/>
      <c r="AH227" s="92"/>
      <c r="AI227" s="92"/>
      <c r="AJ227" s="92"/>
      <c r="AK227" s="92"/>
      <c r="AL227" s="92"/>
      <c r="AM227" s="92"/>
      <c r="AN227" s="92"/>
      <c r="AO227" s="92"/>
      <c r="AP227" s="92"/>
      <c r="AQ227" s="92"/>
      <c r="AR227" s="92"/>
      <c r="AS227" s="92"/>
      <c r="AT227" s="92"/>
      <c r="AU227" s="92"/>
      <c r="AV227" s="92"/>
      <c r="AW227" s="92"/>
      <c r="AX227" s="92"/>
      <c r="AY227" s="92"/>
      <c r="AZ227" s="92"/>
      <c r="BA227" s="92"/>
      <c r="BB227" s="92"/>
      <c r="BC227" s="92"/>
      <c r="BD227" s="92"/>
      <c r="BE227" s="92"/>
      <c r="BF227" s="92"/>
      <c r="BG227" s="92"/>
      <c r="BH227" s="92"/>
      <c r="BI227" s="92"/>
      <c r="BJ227" s="92"/>
      <c r="BK227" s="92"/>
      <c r="BL227" s="92"/>
      <c r="BM227" s="92"/>
      <c r="BN227" s="92"/>
      <c r="BO227" s="92"/>
      <c r="BP227" s="92"/>
      <c r="BQ227" s="92"/>
      <c r="BR227" s="92"/>
      <c r="BS227" s="92"/>
      <c r="BT227" s="92"/>
      <c r="BU227" s="92"/>
      <c r="BV227" s="92"/>
      <c r="BW227" s="92"/>
      <c r="BX227" s="92"/>
      <c r="BY227" s="92"/>
      <c r="BZ227" s="92"/>
      <c r="CA227" s="92"/>
      <c r="CB227" s="92"/>
      <c r="CC227" s="92"/>
      <c r="CD227" s="92"/>
      <c r="CE227" s="92"/>
      <c r="CF227" s="92"/>
      <c r="CG227" s="92"/>
      <c r="CH227" s="92"/>
      <c r="CI227" s="92"/>
      <c r="CJ227" s="92"/>
      <c r="CK227" s="92"/>
      <c r="CL227" s="92"/>
      <c r="CM227" s="92"/>
      <c r="CN227" s="92"/>
      <c r="CO227" s="92"/>
      <c r="CP227" s="92"/>
      <c r="CQ227" s="92"/>
      <c r="CR227" s="92"/>
      <c r="CS227" s="92"/>
      <c r="CT227" s="92"/>
      <c r="CU227" s="92"/>
      <c r="CV227" s="92"/>
      <c r="CW227" s="92"/>
      <c r="CX227" s="92"/>
      <c r="CY227" s="92"/>
      <c r="CZ227" s="92"/>
      <c r="DA227" s="92"/>
      <c r="DB227" s="92"/>
      <c r="DC227" s="92"/>
      <c r="DD227" s="92"/>
      <c r="DE227" s="92"/>
      <c r="DF227" s="92"/>
      <c r="DG227" s="92"/>
      <c r="DH227" s="92"/>
      <c r="DI227" s="92"/>
      <c r="DJ227" s="92"/>
      <c r="DK227" s="92"/>
      <c r="DL227" s="92"/>
      <c r="DM227" s="92"/>
      <c r="DN227" s="92"/>
      <c r="DO227" s="92"/>
      <c r="DP227" s="92"/>
      <c r="DQ227" s="92"/>
      <c r="DR227" s="92"/>
      <c r="DS227" s="92"/>
      <c r="DT227" s="92"/>
      <c r="DU227" s="92"/>
      <c r="DV227" s="92"/>
      <c r="DW227" s="92"/>
      <c r="DX227" s="92"/>
      <c r="DY227" s="92"/>
      <c r="DZ227" s="92"/>
      <c r="EA227" s="92"/>
      <c r="EB227" s="92"/>
      <c r="EC227" s="92"/>
      <c r="ED227" s="92"/>
      <c r="EE227" s="92"/>
      <c r="EF227" s="92"/>
      <c r="EG227" s="92"/>
      <c r="EH227" s="92"/>
      <c r="EI227" s="92"/>
      <c r="EJ227" s="92"/>
      <c r="EK227" s="92"/>
      <c r="EL227" s="92"/>
      <c r="EM227" s="92"/>
      <c r="EN227" s="92"/>
      <c r="EO227" s="92"/>
      <c r="EP227" s="92"/>
      <c r="EQ227" s="92"/>
      <c r="ER227" s="92"/>
      <c r="ES227" s="92"/>
      <c r="ET227" s="92"/>
      <c r="EU227" s="92"/>
      <c r="EV227" s="92"/>
      <c r="EW227" s="92"/>
      <c r="EX227" s="92"/>
      <c r="EY227" s="92"/>
      <c r="EZ227" s="92"/>
      <c r="FA227" s="92"/>
      <c r="FB227" s="92"/>
      <c r="FC227" s="92"/>
      <c r="FD227" s="92"/>
      <c r="FE227" s="92"/>
      <c r="FF227" s="92"/>
      <c r="FG227" s="92"/>
      <c r="FH227" s="92"/>
    </row>
    <row r="228">
      <c r="A228" s="32" t="s">
        <v>47</v>
      </c>
      <c r="B228" s="32" t="s">
        <v>49</v>
      </c>
      <c r="C228" s="32" t="s">
        <v>9</v>
      </c>
      <c r="D228" s="97">
        <f t="shared" si="1"/>
        <v>5774.619622</v>
      </c>
      <c r="E228" s="92">
        <f>(SUBSTITUTE(Audio!E228, "RE-", "", 1))*1</f>
        <v>0</v>
      </c>
      <c r="F228" s="92">
        <f>(SUBSTITUTE(Audio!F228, "RE-", "", 1))*1</f>
        <v>847.9600063</v>
      </c>
      <c r="G228" s="92">
        <f>(SUBSTITUTE(Audio!G228, "RE-", "", 1))*1</f>
        <v>0</v>
      </c>
      <c r="H228" s="92">
        <f>(SUBSTITUTE(Audio!H228, "RE-", "", 1))*1</f>
        <v>169.2688458</v>
      </c>
      <c r="I228" s="92">
        <f>(SUBSTITUTE(Audio!I228, "RE-", "", 1))*1</f>
        <v>0</v>
      </c>
      <c r="J228" s="92">
        <f>(SUBSTITUTE(Audio!J228, "RE-", "", 1))*1</f>
        <v>1524.048832</v>
      </c>
      <c r="K228" s="92">
        <f>(SUBSTITUTE(Audio!K228, "RE-", "", 1))*1</f>
        <v>0</v>
      </c>
      <c r="L228" s="92">
        <f>(SUBSTITUTE(Audio!L228, "RE-", "", 1))*1</f>
        <v>2036.80185</v>
      </c>
      <c r="M228" s="92">
        <f>(SUBSTITUTE(Audio!M228, "RE-", "", 1))*1</f>
        <v>0</v>
      </c>
      <c r="N228" s="92">
        <f>(SUBSTITUTE(Audio!N228, "RE-", "", 1))*1</f>
        <v>197.6792021</v>
      </c>
      <c r="O228" s="92">
        <f>(SUBSTITUTE(Audio!O228, "RE-", "", 1))*1</f>
        <v>0</v>
      </c>
      <c r="P228" s="92">
        <f>(SUBSTITUTE(Audio!P228, "RE-", "", 1))*1</f>
        <v>635.0685823</v>
      </c>
      <c r="Q228" s="92">
        <f>(SUBSTITUTE(Audio!Q228, "RE-", "", 1))*1</f>
        <v>0</v>
      </c>
      <c r="R228" s="92">
        <f>(SUBSTITUTE(Audio!R228, "RE-", "", 1))*1</f>
        <v>220.9743885</v>
      </c>
      <c r="S228" s="92">
        <f>(SUBSTITUTE(Audio!S228, "RE-", "", 1))*1</f>
        <v>0</v>
      </c>
      <c r="T228" s="92">
        <f>(SUBSTITUTE(Audio!T228, "RE-", "", 1))*1</f>
        <v>142.8179146</v>
      </c>
      <c r="U228" s="92">
        <f>(SUBSTITUTE(Audio!U228, "RE-", "", 1))*1</f>
        <v>0</v>
      </c>
      <c r="V228" s="92">
        <f>(SUBSTITUTE(Audio!V228, "RE-", "", 1))*1</f>
        <v>0</v>
      </c>
      <c r="W228" s="92">
        <f>(SUBSTITUTE(Audio!W228, "RE-", "", 1))*1</f>
        <v>0</v>
      </c>
      <c r="X228" s="92">
        <f>(SUBSTITUTE(Audio!X228, "RE-", "", 1))*1</f>
        <v>0</v>
      </c>
      <c r="Y228" s="92">
        <f>(SUBSTITUTE(Audio!Y228, "RE-", "", 1))*1</f>
        <v>0</v>
      </c>
      <c r="Z228" s="92">
        <f>(SUBSTITUTE(Audio!Z228, "RE-", "", 1))*1</f>
        <v>0</v>
      </c>
      <c r="AA228" s="92"/>
      <c r="AB228" s="92"/>
      <c r="AC228" s="92"/>
      <c r="AD228" s="92"/>
      <c r="AE228" s="92"/>
      <c r="AF228" s="92"/>
      <c r="AG228" s="92"/>
      <c r="AH228" s="92"/>
      <c r="AI228" s="92"/>
      <c r="AJ228" s="92"/>
      <c r="AK228" s="92"/>
      <c r="AL228" s="92"/>
      <c r="AM228" s="92"/>
      <c r="AN228" s="92"/>
      <c r="AO228" s="92"/>
      <c r="AP228" s="92"/>
      <c r="AQ228" s="92"/>
      <c r="AR228" s="92"/>
      <c r="AS228" s="92"/>
      <c r="AT228" s="92"/>
      <c r="AU228" s="92"/>
      <c r="AV228" s="92"/>
      <c r="AW228" s="92"/>
      <c r="AX228" s="92"/>
      <c r="AY228" s="92"/>
      <c r="AZ228" s="92"/>
      <c r="BA228" s="92"/>
      <c r="BB228" s="92"/>
      <c r="BC228" s="92"/>
      <c r="BD228" s="92"/>
      <c r="BE228" s="92"/>
      <c r="BF228" s="92"/>
      <c r="BG228" s="92"/>
      <c r="BH228" s="92"/>
      <c r="BI228" s="92"/>
      <c r="BJ228" s="92"/>
      <c r="BK228" s="92"/>
      <c r="BL228" s="92"/>
      <c r="BM228" s="92"/>
      <c r="BN228" s="92"/>
      <c r="BO228" s="92"/>
      <c r="BP228" s="92"/>
      <c r="BQ228" s="92"/>
      <c r="BR228" s="92"/>
      <c r="BS228" s="92"/>
      <c r="BT228" s="92"/>
      <c r="BU228" s="92"/>
      <c r="BV228" s="92"/>
      <c r="BW228" s="92"/>
      <c r="BX228" s="92"/>
      <c r="BY228" s="92"/>
      <c r="BZ228" s="92"/>
      <c r="CA228" s="92"/>
      <c r="CB228" s="92"/>
      <c r="CC228" s="92"/>
      <c r="CD228" s="92"/>
      <c r="CE228" s="92"/>
      <c r="CF228" s="92"/>
      <c r="CG228" s="92"/>
      <c r="CH228" s="92"/>
      <c r="CI228" s="92"/>
      <c r="CJ228" s="92"/>
      <c r="CK228" s="92"/>
      <c r="CL228" s="92"/>
      <c r="CM228" s="92"/>
      <c r="CN228" s="92"/>
      <c r="CO228" s="92"/>
      <c r="CP228" s="92"/>
      <c r="CQ228" s="92"/>
      <c r="CR228" s="92"/>
      <c r="CS228" s="92"/>
      <c r="CT228" s="92"/>
      <c r="CU228" s="92"/>
      <c r="CV228" s="92"/>
      <c r="CW228" s="92"/>
      <c r="CX228" s="92"/>
      <c r="CY228" s="92"/>
      <c r="CZ228" s="92"/>
      <c r="DA228" s="92"/>
      <c r="DB228" s="92"/>
      <c r="DC228" s="92"/>
      <c r="DD228" s="92"/>
      <c r="DE228" s="92"/>
      <c r="DF228" s="92"/>
      <c r="DG228" s="92"/>
      <c r="DH228" s="92"/>
      <c r="DI228" s="92"/>
      <c r="DJ228" s="92"/>
      <c r="DK228" s="92"/>
      <c r="DL228" s="92"/>
      <c r="DM228" s="92"/>
      <c r="DN228" s="92"/>
      <c r="DO228" s="92"/>
      <c r="DP228" s="92"/>
      <c r="DQ228" s="92"/>
      <c r="DR228" s="92"/>
      <c r="DS228" s="92"/>
      <c r="DT228" s="92"/>
      <c r="DU228" s="92"/>
      <c r="DV228" s="92"/>
      <c r="DW228" s="92"/>
      <c r="DX228" s="92"/>
      <c r="DY228" s="92"/>
      <c r="DZ228" s="92"/>
      <c r="EA228" s="92"/>
      <c r="EB228" s="92"/>
      <c r="EC228" s="92"/>
      <c r="ED228" s="92"/>
      <c r="EE228" s="92"/>
      <c r="EF228" s="92"/>
      <c r="EG228" s="92"/>
      <c r="EH228" s="92"/>
      <c r="EI228" s="92"/>
      <c r="EJ228" s="92"/>
      <c r="EK228" s="92"/>
      <c r="EL228" s="92"/>
      <c r="EM228" s="92"/>
      <c r="EN228" s="92"/>
      <c r="EO228" s="92"/>
      <c r="EP228" s="92"/>
      <c r="EQ228" s="92"/>
      <c r="ER228" s="92"/>
      <c r="ES228" s="92"/>
      <c r="ET228" s="92"/>
      <c r="EU228" s="92"/>
      <c r="EV228" s="92"/>
      <c r="EW228" s="92"/>
      <c r="EX228" s="92"/>
      <c r="EY228" s="92"/>
      <c r="EZ228" s="92"/>
      <c r="FA228" s="92"/>
      <c r="FB228" s="92"/>
      <c r="FC228" s="92"/>
      <c r="FD228" s="92"/>
      <c r="FE228" s="92"/>
      <c r="FF228" s="92"/>
      <c r="FG228" s="92"/>
      <c r="FH228" s="92"/>
    </row>
    <row r="229">
      <c r="A229" s="32" t="s">
        <v>47</v>
      </c>
      <c r="B229" s="32" t="s">
        <v>49</v>
      </c>
      <c r="C229" s="32" t="s">
        <v>10</v>
      </c>
      <c r="D229" s="97">
        <f t="shared" si="1"/>
        <v>428.3750417</v>
      </c>
      <c r="E229" s="92">
        <f>(SUBSTITUTE(Audio!E229, "RE-", "", 1))*1</f>
        <v>0</v>
      </c>
      <c r="F229" s="92">
        <f>(SUBSTITUTE(Audio!F229, "RE-", "", 1))*1</f>
        <v>0</v>
      </c>
      <c r="G229" s="92">
        <f>(SUBSTITUTE(Audio!G229, "RE-", "", 1))*1</f>
        <v>72.52201146</v>
      </c>
      <c r="H229" s="92">
        <f>(SUBSTITUTE(Audio!H229, "RE-", "", 1))*1</f>
        <v>0</v>
      </c>
      <c r="I229" s="92">
        <f>(SUBSTITUTE(Audio!I229, "RE-", "", 1))*1</f>
        <v>10.8531125</v>
      </c>
      <c r="J229" s="92">
        <f>(SUBSTITUTE(Audio!J229, "RE-", "", 1))*1</f>
        <v>0</v>
      </c>
      <c r="K229" s="92">
        <f>(SUBSTITUTE(Audio!K229, "RE-", "", 1))*1</f>
        <v>138.6866844</v>
      </c>
      <c r="L229" s="92">
        <f>(SUBSTITUTE(Audio!L229, "RE-", "", 1))*1</f>
        <v>0</v>
      </c>
      <c r="M229" s="92">
        <f>(SUBSTITUTE(Audio!M229, "RE-", "", 1))*1</f>
        <v>88.36040729</v>
      </c>
      <c r="N229" s="92">
        <f>(SUBSTITUTE(Audio!N229, "RE-", "", 1))*1</f>
        <v>0</v>
      </c>
      <c r="O229" s="92">
        <f>(SUBSTITUTE(Audio!O229, "RE-", "", 1))*1</f>
        <v>22.41169167</v>
      </c>
      <c r="P229" s="92">
        <f>(SUBSTITUTE(Audio!P229, "RE-", "", 1))*1</f>
        <v>0</v>
      </c>
      <c r="Q229" s="92">
        <f>(SUBSTITUTE(Audio!Q229, "RE-", "", 1))*1</f>
        <v>58.11254062</v>
      </c>
      <c r="R229" s="92">
        <f>(SUBSTITUTE(Audio!R229, "RE-", "", 1))*1</f>
        <v>0</v>
      </c>
      <c r="S229" s="92">
        <f>(SUBSTITUTE(Audio!S229, "RE-", "", 1))*1</f>
        <v>19.14480208</v>
      </c>
      <c r="T229" s="92">
        <f>(SUBSTITUTE(Audio!T229, "RE-", "", 1))*1</f>
        <v>0</v>
      </c>
      <c r="U229" s="92">
        <f>(SUBSTITUTE(Audio!U229, "RE-", "", 1))*1</f>
        <v>14.55201667</v>
      </c>
      <c r="V229" s="92">
        <f>(SUBSTITUTE(Audio!V229, "RE-", "", 1))*1</f>
        <v>3.731775</v>
      </c>
      <c r="W229" s="92">
        <f>(SUBSTITUTE(Audio!W229, "RE-", "", 1))*1</f>
        <v>0</v>
      </c>
      <c r="X229" s="92">
        <f>(SUBSTITUTE(Audio!X229, "RE-", "", 1))*1</f>
        <v>0</v>
      </c>
      <c r="Y229" s="92">
        <f>(SUBSTITUTE(Audio!Y229, "RE-", "", 1))*1</f>
        <v>0</v>
      </c>
      <c r="Z229" s="92">
        <f>(SUBSTITUTE(Audio!Z229, "RE-", "", 1))*1</f>
        <v>0</v>
      </c>
      <c r="AA229" s="92"/>
      <c r="AB229" s="92"/>
      <c r="AC229" s="92"/>
      <c r="AD229" s="92"/>
      <c r="AE229" s="92"/>
      <c r="AF229" s="92"/>
      <c r="AG229" s="92"/>
      <c r="AH229" s="92"/>
      <c r="AI229" s="92"/>
      <c r="AJ229" s="92"/>
      <c r="AK229" s="92"/>
      <c r="AL229" s="92"/>
      <c r="AM229" s="92"/>
      <c r="AN229" s="92"/>
      <c r="AO229" s="92"/>
      <c r="AP229" s="92"/>
      <c r="AQ229" s="92"/>
      <c r="AR229" s="92"/>
      <c r="AS229" s="92"/>
      <c r="AT229" s="92"/>
      <c r="AU229" s="92"/>
      <c r="AV229" s="92"/>
      <c r="AW229" s="92"/>
      <c r="AX229" s="92"/>
      <c r="AY229" s="92"/>
      <c r="AZ229" s="92"/>
      <c r="BA229" s="92"/>
      <c r="BB229" s="92"/>
      <c r="BC229" s="92"/>
      <c r="BD229" s="92"/>
      <c r="BE229" s="92"/>
      <c r="BF229" s="92"/>
      <c r="BG229" s="92"/>
      <c r="BH229" s="92"/>
      <c r="BI229" s="92"/>
      <c r="BJ229" s="92"/>
      <c r="BK229" s="92"/>
      <c r="BL229" s="92"/>
      <c r="BM229" s="92"/>
      <c r="BN229" s="92"/>
      <c r="BO229" s="92"/>
      <c r="BP229" s="92"/>
      <c r="BQ229" s="92"/>
      <c r="BR229" s="92"/>
      <c r="BS229" s="92"/>
      <c r="BT229" s="92"/>
      <c r="BU229" s="92"/>
      <c r="BV229" s="92"/>
      <c r="BW229" s="92"/>
      <c r="BX229" s="92"/>
      <c r="BY229" s="92"/>
      <c r="BZ229" s="92"/>
      <c r="CA229" s="92"/>
      <c r="CB229" s="92"/>
      <c r="CC229" s="92"/>
      <c r="CD229" s="92"/>
      <c r="CE229" s="92"/>
      <c r="CF229" s="92"/>
      <c r="CG229" s="92"/>
      <c r="CH229" s="92"/>
      <c r="CI229" s="92"/>
      <c r="CJ229" s="92"/>
      <c r="CK229" s="92"/>
      <c r="CL229" s="92"/>
      <c r="CM229" s="92"/>
      <c r="CN229" s="92"/>
      <c r="CO229" s="92"/>
      <c r="CP229" s="92"/>
      <c r="CQ229" s="92"/>
      <c r="CR229" s="92"/>
      <c r="CS229" s="92"/>
      <c r="CT229" s="92"/>
      <c r="CU229" s="92"/>
      <c r="CV229" s="92"/>
      <c r="CW229" s="92"/>
      <c r="CX229" s="92"/>
      <c r="CY229" s="92"/>
      <c r="CZ229" s="92"/>
      <c r="DA229" s="92"/>
      <c r="DB229" s="92"/>
      <c r="DC229" s="92"/>
      <c r="DD229" s="92"/>
      <c r="DE229" s="92"/>
      <c r="DF229" s="92"/>
      <c r="DG229" s="92"/>
      <c r="DH229" s="92"/>
      <c r="DI229" s="92"/>
      <c r="DJ229" s="92"/>
      <c r="DK229" s="92"/>
      <c r="DL229" s="92"/>
      <c r="DM229" s="92"/>
      <c r="DN229" s="92"/>
      <c r="DO229" s="92"/>
      <c r="DP229" s="92"/>
      <c r="DQ229" s="92"/>
      <c r="DR229" s="92"/>
      <c r="DS229" s="92"/>
      <c r="DT229" s="92"/>
      <c r="DU229" s="92"/>
      <c r="DV229" s="92"/>
      <c r="DW229" s="92"/>
      <c r="DX229" s="92"/>
      <c r="DY229" s="92"/>
      <c r="DZ229" s="92"/>
      <c r="EA229" s="92"/>
      <c r="EB229" s="92"/>
      <c r="EC229" s="92"/>
      <c r="ED229" s="92"/>
      <c r="EE229" s="92"/>
      <c r="EF229" s="92"/>
      <c r="EG229" s="92"/>
      <c r="EH229" s="92"/>
      <c r="EI229" s="92"/>
      <c r="EJ229" s="92"/>
      <c r="EK229" s="92"/>
      <c r="EL229" s="92"/>
      <c r="EM229" s="92"/>
      <c r="EN229" s="92"/>
      <c r="EO229" s="92"/>
      <c r="EP229" s="92"/>
      <c r="EQ229" s="92"/>
      <c r="ER229" s="92"/>
      <c r="ES229" s="92"/>
      <c r="ET229" s="92"/>
      <c r="EU229" s="92"/>
      <c r="EV229" s="92"/>
      <c r="EW229" s="92"/>
      <c r="EX229" s="92"/>
      <c r="EY229" s="92"/>
      <c r="EZ229" s="92"/>
      <c r="FA229" s="92"/>
      <c r="FB229" s="92"/>
      <c r="FC229" s="92"/>
      <c r="FD229" s="92"/>
      <c r="FE229" s="92"/>
      <c r="FF229" s="92"/>
      <c r="FG229" s="92"/>
      <c r="FH229" s="92"/>
    </row>
    <row r="230">
      <c r="A230" s="32" t="s">
        <v>47</v>
      </c>
      <c r="B230" s="32" t="s">
        <v>49</v>
      </c>
      <c r="C230" s="32" t="s">
        <v>11</v>
      </c>
      <c r="D230" s="97">
        <f t="shared" si="1"/>
        <v>428.3750417</v>
      </c>
      <c r="E230" s="92">
        <f>(SUBSTITUTE(Audio!E230, "RE-", "", 1))*1</f>
        <v>0</v>
      </c>
      <c r="F230" s="92">
        <f>(SUBSTITUTE(Audio!F230, "RE-", "", 1))*1</f>
        <v>0</v>
      </c>
      <c r="G230" s="92">
        <f>(SUBSTITUTE(Audio!G230, "RE-", "", 1))*1</f>
        <v>72.52201146</v>
      </c>
      <c r="H230" s="92">
        <f>(SUBSTITUTE(Audio!H230, "RE-", "", 1))*1</f>
        <v>0</v>
      </c>
      <c r="I230" s="92">
        <f>(SUBSTITUTE(Audio!I230, "RE-", "", 1))*1</f>
        <v>10.8531125</v>
      </c>
      <c r="J230" s="92">
        <f>(SUBSTITUTE(Audio!J230, "RE-", "", 1))*1</f>
        <v>0</v>
      </c>
      <c r="K230" s="92">
        <f>(SUBSTITUTE(Audio!K230, "RE-", "", 1))*1</f>
        <v>138.6866844</v>
      </c>
      <c r="L230" s="92">
        <f>(SUBSTITUTE(Audio!L230, "RE-", "", 1))*1</f>
        <v>0</v>
      </c>
      <c r="M230" s="92">
        <f>(SUBSTITUTE(Audio!M230, "RE-", "", 1))*1</f>
        <v>88.36040729</v>
      </c>
      <c r="N230" s="92">
        <f>(SUBSTITUTE(Audio!N230, "RE-", "", 1))*1</f>
        <v>0</v>
      </c>
      <c r="O230" s="92">
        <f>(SUBSTITUTE(Audio!O230, "RE-", "", 1))*1</f>
        <v>22.41169167</v>
      </c>
      <c r="P230" s="92">
        <f>(SUBSTITUTE(Audio!P230, "RE-", "", 1))*1</f>
        <v>0</v>
      </c>
      <c r="Q230" s="92">
        <f>(SUBSTITUTE(Audio!Q230, "RE-", "", 1))*1</f>
        <v>58.11254062</v>
      </c>
      <c r="R230" s="92">
        <f>(SUBSTITUTE(Audio!R230, "RE-", "", 1))*1</f>
        <v>0</v>
      </c>
      <c r="S230" s="92">
        <f>(SUBSTITUTE(Audio!S230, "RE-", "", 1))*1</f>
        <v>19.14480208</v>
      </c>
      <c r="T230" s="92">
        <f>(SUBSTITUTE(Audio!T230, "RE-", "", 1))*1</f>
        <v>0</v>
      </c>
      <c r="U230" s="92">
        <f>(SUBSTITUTE(Audio!U230, "RE-", "", 1))*1</f>
        <v>14.55201667</v>
      </c>
      <c r="V230" s="92">
        <f>(SUBSTITUTE(Audio!V230, "RE-", "", 1))*1</f>
        <v>3.731775</v>
      </c>
      <c r="W230" s="92">
        <f>(SUBSTITUTE(Audio!W230, "RE-", "", 1))*1</f>
        <v>0</v>
      </c>
      <c r="X230" s="92">
        <f>(SUBSTITUTE(Audio!X230, "RE-", "", 1))*1</f>
        <v>0</v>
      </c>
      <c r="Y230" s="92">
        <f>(SUBSTITUTE(Audio!Y230, "RE-", "", 1))*1</f>
        <v>0</v>
      </c>
      <c r="Z230" s="92">
        <f>(SUBSTITUTE(Audio!Z230, "RE-", "", 1))*1</f>
        <v>0</v>
      </c>
      <c r="AA230" s="92"/>
      <c r="AB230" s="92"/>
      <c r="AC230" s="92"/>
      <c r="AD230" s="92"/>
      <c r="AE230" s="92"/>
      <c r="AF230" s="92"/>
      <c r="AG230" s="92"/>
      <c r="AH230" s="92"/>
      <c r="AI230" s="92"/>
      <c r="AJ230" s="92"/>
      <c r="AK230" s="92"/>
      <c r="AL230" s="92"/>
      <c r="AM230" s="92"/>
      <c r="AN230" s="92"/>
      <c r="AO230" s="92"/>
      <c r="AP230" s="92"/>
      <c r="AQ230" s="92"/>
      <c r="AR230" s="92"/>
      <c r="AS230" s="92"/>
      <c r="AT230" s="92"/>
      <c r="AU230" s="92"/>
      <c r="AV230" s="92"/>
      <c r="AW230" s="92"/>
      <c r="AX230" s="92"/>
      <c r="AY230" s="92"/>
      <c r="AZ230" s="92"/>
      <c r="BA230" s="92"/>
      <c r="BB230" s="92"/>
      <c r="BC230" s="92"/>
      <c r="BD230" s="92"/>
      <c r="BE230" s="92"/>
      <c r="BF230" s="92"/>
      <c r="BG230" s="92"/>
      <c r="BH230" s="92"/>
      <c r="BI230" s="92"/>
      <c r="BJ230" s="92"/>
      <c r="BK230" s="92"/>
      <c r="BL230" s="92"/>
      <c r="BM230" s="92"/>
      <c r="BN230" s="92"/>
      <c r="BO230" s="92"/>
      <c r="BP230" s="92"/>
      <c r="BQ230" s="92"/>
      <c r="BR230" s="92"/>
      <c r="BS230" s="92"/>
      <c r="BT230" s="92"/>
      <c r="BU230" s="92"/>
      <c r="BV230" s="92"/>
      <c r="BW230" s="92"/>
      <c r="BX230" s="92"/>
      <c r="BY230" s="92"/>
      <c r="BZ230" s="92"/>
      <c r="CA230" s="92"/>
      <c r="CB230" s="92"/>
      <c r="CC230" s="92"/>
      <c r="CD230" s="92"/>
      <c r="CE230" s="92"/>
      <c r="CF230" s="92"/>
      <c r="CG230" s="92"/>
      <c r="CH230" s="92"/>
      <c r="CI230" s="92"/>
      <c r="CJ230" s="92"/>
      <c r="CK230" s="92"/>
      <c r="CL230" s="92"/>
      <c r="CM230" s="92"/>
      <c r="CN230" s="92"/>
      <c r="CO230" s="92"/>
      <c r="CP230" s="92"/>
      <c r="CQ230" s="92"/>
      <c r="CR230" s="92"/>
      <c r="CS230" s="92"/>
      <c r="CT230" s="92"/>
      <c r="CU230" s="92"/>
      <c r="CV230" s="92"/>
      <c r="CW230" s="92"/>
      <c r="CX230" s="92"/>
      <c r="CY230" s="92"/>
      <c r="CZ230" s="92"/>
      <c r="DA230" s="92"/>
      <c r="DB230" s="92"/>
      <c r="DC230" s="92"/>
      <c r="DD230" s="92"/>
      <c r="DE230" s="92"/>
      <c r="DF230" s="92"/>
      <c r="DG230" s="92"/>
      <c r="DH230" s="92"/>
      <c r="DI230" s="92"/>
      <c r="DJ230" s="92"/>
      <c r="DK230" s="92"/>
      <c r="DL230" s="92"/>
      <c r="DM230" s="92"/>
      <c r="DN230" s="92"/>
      <c r="DO230" s="92"/>
      <c r="DP230" s="92"/>
      <c r="DQ230" s="92"/>
      <c r="DR230" s="92"/>
      <c r="DS230" s="92"/>
      <c r="DT230" s="92"/>
      <c r="DU230" s="92"/>
      <c r="DV230" s="92"/>
      <c r="DW230" s="92"/>
      <c r="DX230" s="92"/>
      <c r="DY230" s="92"/>
      <c r="DZ230" s="92"/>
      <c r="EA230" s="92"/>
      <c r="EB230" s="92"/>
      <c r="EC230" s="92"/>
      <c r="ED230" s="92"/>
      <c r="EE230" s="92"/>
      <c r="EF230" s="92"/>
      <c r="EG230" s="92"/>
      <c r="EH230" s="92"/>
      <c r="EI230" s="92"/>
      <c r="EJ230" s="92"/>
      <c r="EK230" s="92"/>
      <c r="EL230" s="92"/>
      <c r="EM230" s="92"/>
      <c r="EN230" s="92"/>
      <c r="EO230" s="92"/>
      <c r="EP230" s="92"/>
      <c r="EQ230" s="92"/>
      <c r="ER230" s="92"/>
      <c r="ES230" s="92"/>
      <c r="ET230" s="92"/>
      <c r="EU230" s="92"/>
      <c r="EV230" s="92"/>
      <c r="EW230" s="92"/>
      <c r="EX230" s="92"/>
      <c r="EY230" s="92"/>
      <c r="EZ230" s="92"/>
      <c r="FA230" s="92"/>
      <c r="FB230" s="92"/>
      <c r="FC230" s="92"/>
      <c r="FD230" s="92"/>
      <c r="FE230" s="92"/>
      <c r="FF230" s="92"/>
      <c r="FG230" s="92"/>
      <c r="FH230" s="92"/>
    </row>
    <row r="231">
      <c r="A231" s="32" t="s">
        <v>47</v>
      </c>
      <c r="B231" s="32" t="s">
        <v>49</v>
      </c>
      <c r="C231" s="32" t="s">
        <v>12</v>
      </c>
      <c r="D231" s="97">
        <f t="shared" si="1"/>
        <v>4963.848466</v>
      </c>
      <c r="E231" s="92">
        <f>(SUBSTITUTE(Audio!E231, "RE-", "", 1))*1</f>
        <v>0</v>
      </c>
      <c r="F231" s="92">
        <f>(SUBSTITUTE(Audio!F231, "RE-", "", 1))*1</f>
        <v>647.8770146</v>
      </c>
      <c r="G231" s="92">
        <f>(SUBSTITUTE(Audio!G231, "RE-", "", 1))*1</f>
        <v>1.01223125</v>
      </c>
      <c r="H231" s="92">
        <f>(SUBSTITUTE(Audio!H231, "RE-", "", 1))*1</f>
        <v>154.269575</v>
      </c>
      <c r="I231" s="92">
        <f>(SUBSTITUTE(Audio!I231, "RE-", "", 1))*1</f>
        <v>0.5328875</v>
      </c>
      <c r="J231" s="92">
        <f>(SUBSTITUTE(Audio!J231, "RE-", "", 1))*1</f>
        <v>1202.649195</v>
      </c>
      <c r="K231" s="92">
        <f>(SUBSTITUTE(Audio!K231, "RE-", "", 1))*1</f>
        <v>12.07688125</v>
      </c>
      <c r="L231" s="92">
        <f>(SUBSTITUTE(Audio!L231, "RE-", "", 1))*1</f>
        <v>1881.334661</v>
      </c>
      <c r="M231" s="92">
        <f>(SUBSTITUTE(Audio!M231, "RE-", "", 1))*1</f>
        <v>13.665625</v>
      </c>
      <c r="N231" s="92">
        <f>(SUBSTITUTE(Audio!N231, "RE-", "", 1))*1</f>
        <v>92.57059271</v>
      </c>
      <c r="O231" s="92">
        <f>(SUBSTITUTE(Audio!O231, "RE-", "", 1))*1</f>
        <v>4.302865625</v>
      </c>
      <c r="P231" s="92">
        <f>(SUBSTITUTE(Audio!P231, "RE-", "", 1))*1</f>
        <v>580.9154354</v>
      </c>
      <c r="Q231" s="92">
        <f>(SUBSTITUTE(Audio!Q231, "RE-", "", 1))*1</f>
        <v>17.82647917</v>
      </c>
      <c r="R231" s="92">
        <f>(SUBSTITUTE(Audio!R231, "RE-", "", 1))*1</f>
        <v>202.1407344</v>
      </c>
      <c r="S231" s="92">
        <f>(SUBSTITUTE(Audio!S231, "RE-", "", 1))*1</f>
        <v>11.45448333</v>
      </c>
      <c r="T231" s="92">
        <f>(SUBSTITUTE(Audio!T231, "RE-", "", 1))*1</f>
        <v>128.6035021</v>
      </c>
      <c r="U231" s="92">
        <f>(SUBSTITUTE(Audio!U231, "RE-", "", 1))*1</f>
        <v>9.175488542</v>
      </c>
      <c r="V231" s="92">
        <f>(SUBSTITUTE(Audio!V231, "RE-", "", 1))*1</f>
        <v>3.440814583</v>
      </c>
      <c r="W231" s="92">
        <f>(SUBSTITUTE(Audio!W231, "RE-", "", 1))*1</f>
        <v>0</v>
      </c>
      <c r="X231" s="92">
        <f>(SUBSTITUTE(Audio!X231, "RE-", "", 1))*1</f>
        <v>0</v>
      </c>
      <c r="Y231" s="92">
        <f>(SUBSTITUTE(Audio!Y231, "RE-", "", 1))*1</f>
        <v>0</v>
      </c>
      <c r="Z231" s="92">
        <f>(SUBSTITUTE(Audio!Z231, "RE-", "", 1))*1</f>
        <v>0</v>
      </c>
      <c r="AA231" s="92"/>
      <c r="AB231" s="92"/>
      <c r="AC231" s="92"/>
      <c r="AD231" s="92"/>
      <c r="AE231" s="92"/>
      <c r="AF231" s="92"/>
      <c r="AG231" s="92"/>
      <c r="AH231" s="92"/>
      <c r="AI231" s="92"/>
      <c r="AJ231" s="92"/>
      <c r="AK231" s="92"/>
      <c r="AL231" s="92"/>
      <c r="AM231" s="92"/>
      <c r="AN231" s="92"/>
      <c r="AO231" s="92"/>
      <c r="AP231" s="92"/>
      <c r="AQ231" s="92"/>
      <c r="AR231" s="92"/>
      <c r="AS231" s="92"/>
      <c r="AT231" s="92"/>
      <c r="AU231" s="92"/>
      <c r="AV231" s="92"/>
      <c r="AW231" s="92"/>
      <c r="AX231" s="92"/>
      <c r="AY231" s="92"/>
      <c r="AZ231" s="92"/>
      <c r="BA231" s="92"/>
      <c r="BB231" s="92"/>
      <c r="BC231" s="92"/>
      <c r="BD231" s="92"/>
      <c r="BE231" s="92"/>
      <c r="BF231" s="92"/>
      <c r="BG231" s="92"/>
      <c r="BH231" s="92"/>
      <c r="BI231" s="92"/>
      <c r="BJ231" s="92"/>
      <c r="BK231" s="92"/>
      <c r="BL231" s="92"/>
      <c r="BM231" s="92"/>
      <c r="BN231" s="92"/>
      <c r="BO231" s="92"/>
      <c r="BP231" s="92"/>
      <c r="BQ231" s="92"/>
      <c r="BR231" s="92"/>
      <c r="BS231" s="92"/>
      <c r="BT231" s="92"/>
      <c r="BU231" s="92"/>
      <c r="BV231" s="92"/>
      <c r="BW231" s="92"/>
      <c r="BX231" s="92"/>
      <c r="BY231" s="92"/>
      <c r="BZ231" s="92"/>
      <c r="CA231" s="92"/>
      <c r="CB231" s="92"/>
      <c r="CC231" s="92"/>
      <c r="CD231" s="92"/>
      <c r="CE231" s="92"/>
      <c r="CF231" s="92"/>
      <c r="CG231" s="92"/>
      <c r="CH231" s="92"/>
      <c r="CI231" s="92"/>
      <c r="CJ231" s="92"/>
      <c r="CK231" s="92"/>
      <c r="CL231" s="92"/>
      <c r="CM231" s="92"/>
      <c r="CN231" s="92"/>
      <c r="CO231" s="92"/>
      <c r="CP231" s="92"/>
      <c r="CQ231" s="92"/>
      <c r="CR231" s="92"/>
      <c r="CS231" s="92"/>
      <c r="CT231" s="92"/>
      <c r="CU231" s="92"/>
      <c r="CV231" s="92"/>
      <c r="CW231" s="92"/>
      <c r="CX231" s="92"/>
      <c r="CY231" s="92"/>
      <c r="CZ231" s="92"/>
      <c r="DA231" s="92"/>
      <c r="DB231" s="92"/>
      <c r="DC231" s="92"/>
      <c r="DD231" s="92"/>
      <c r="DE231" s="92"/>
      <c r="DF231" s="92"/>
      <c r="DG231" s="92"/>
      <c r="DH231" s="92"/>
      <c r="DI231" s="92"/>
      <c r="DJ231" s="92"/>
      <c r="DK231" s="92"/>
      <c r="DL231" s="92"/>
      <c r="DM231" s="92"/>
      <c r="DN231" s="92"/>
      <c r="DO231" s="92"/>
      <c r="DP231" s="92"/>
      <c r="DQ231" s="92"/>
      <c r="DR231" s="92"/>
      <c r="DS231" s="92"/>
      <c r="DT231" s="92"/>
      <c r="DU231" s="92"/>
      <c r="DV231" s="92"/>
      <c r="DW231" s="92"/>
      <c r="DX231" s="92"/>
      <c r="DY231" s="92"/>
      <c r="DZ231" s="92"/>
      <c r="EA231" s="92"/>
      <c r="EB231" s="92"/>
      <c r="EC231" s="92"/>
      <c r="ED231" s="92"/>
      <c r="EE231" s="92"/>
      <c r="EF231" s="92"/>
      <c r="EG231" s="92"/>
      <c r="EH231" s="92"/>
      <c r="EI231" s="92"/>
      <c r="EJ231" s="92"/>
      <c r="EK231" s="92"/>
      <c r="EL231" s="92"/>
      <c r="EM231" s="92"/>
      <c r="EN231" s="92"/>
      <c r="EO231" s="92"/>
      <c r="EP231" s="92"/>
      <c r="EQ231" s="92"/>
      <c r="ER231" s="92"/>
      <c r="ES231" s="92"/>
      <c r="ET231" s="92"/>
      <c r="EU231" s="92"/>
      <c r="EV231" s="92"/>
      <c r="EW231" s="92"/>
      <c r="EX231" s="92"/>
      <c r="EY231" s="92"/>
      <c r="EZ231" s="92"/>
      <c r="FA231" s="92"/>
      <c r="FB231" s="92"/>
      <c r="FC231" s="92"/>
      <c r="FD231" s="92"/>
      <c r="FE231" s="92"/>
      <c r="FF231" s="92"/>
      <c r="FG231" s="92"/>
      <c r="FH231" s="92"/>
    </row>
    <row r="232">
      <c r="A232" s="32" t="s">
        <v>47</v>
      </c>
      <c r="B232" s="32" t="s">
        <v>49</v>
      </c>
      <c r="C232" s="32" t="s">
        <v>13</v>
      </c>
      <c r="D232" s="97">
        <f t="shared" si="1"/>
        <v>4800.066183</v>
      </c>
      <c r="E232" s="92">
        <f>(SUBSTITUTE(Audio!E232, "RE-", "", 1))*1</f>
        <v>0</v>
      </c>
      <c r="F232" s="92">
        <f>(SUBSTITUTE(Audio!F232, "RE-", "", 1))*1</f>
        <v>633.672</v>
      </c>
      <c r="G232" s="92">
        <f>(SUBSTITUTE(Audio!G232, "RE-", "", 1))*1</f>
        <v>0.966583</v>
      </c>
      <c r="H232" s="92">
        <f>(SUBSTITUTE(Audio!H232, "RE-", "", 1))*1</f>
        <v>152.08</v>
      </c>
      <c r="I232" s="92">
        <f>(SUBSTITUTE(Audio!I232, "RE-", "", 1))*1</f>
        <v>0.5317</v>
      </c>
      <c r="J232" s="92">
        <f>(SUBSTITUTE(Audio!J232, "RE-", "", 1))*1</f>
        <v>1178.57</v>
      </c>
      <c r="K232" s="92">
        <f>(SUBSTITUTE(Audio!K232, "RE-", "", 1))*1</f>
        <v>11.7064</v>
      </c>
      <c r="L232" s="92">
        <f>(SUBSTITUTE(Audio!L232, "RE-", "", 1))*1</f>
        <v>1805.99</v>
      </c>
      <c r="M232" s="92">
        <f>(SUBSTITUTE(Audio!M232, "RE-", "", 1))*1</f>
        <v>13.233</v>
      </c>
      <c r="N232" s="92">
        <f>(SUBSTITUTE(Audio!N232, "RE-", "", 1))*1</f>
        <v>90.475</v>
      </c>
      <c r="O232" s="92">
        <f>(SUBSTITUTE(Audio!O232, "RE-", "", 1))*1</f>
        <v>3.97788</v>
      </c>
      <c r="P232" s="92">
        <f>(SUBSTITUTE(Audio!P232, "RE-", "", 1))*1</f>
        <v>553.715</v>
      </c>
      <c r="Q232" s="92">
        <f>(SUBSTITUTE(Audio!Q232, "RE-", "", 1))*1</f>
        <v>16.4564</v>
      </c>
      <c r="R232" s="92">
        <f>(SUBSTITUTE(Audio!R232, "RE-", "", 1))*1</f>
        <v>192.861</v>
      </c>
      <c r="S232" s="92">
        <f>(SUBSTITUTE(Audio!S232, "RE-", "", 1))*1</f>
        <v>10.7487</v>
      </c>
      <c r="T232" s="92">
        <f>(SUBSTITUTE(Audio!T232, "RE-", "", 1))*1</f>
        <v>123.538</v>
      </c>
      <c r="U232" s="92">
        <f>(SUBSTITUTE(Audio!U232, "RE-", "", 1))*1</f>
        <v>8.50892</v>
      </c>
      <c r="V232" s="92">
        <f>(SUBSTITUTE(Audio!V232, "RE-", "", 1))*1</f>
        <v>3.0356</v>
      </c>
      <c r="W232" s="92">
        <f>(SUBSTITUTE(Audio!W232, "RE-", "", 1))*1</f>
        <v>0</v>
      </c>
      <c r="X232" s="92">
        <f>(SUBSTITUTE(Audio!X232, "RE-", "", 1))*1</f>
        <v>0</v>
      </c>
      <c r="Y232" s="92">
        <f>(SUBSTITUTE(Audio!Y232, "RE-", "", 1))*1</f>
        <v>0</v>
      </c>
      <c r="Z232" s="92">
        <f>(SUBSTITUTE(Audio!Z232, "RE-", "", 1))*1</f>
        <v>0</v>
      </c>
      <c r="AA232" s="92"/>
      <c r="AB232" s="92"/>
      <c r="AC232" s="92"/>
      <c r="AD232" s="92"/>
      <c r="AE232" s="92"/>
      <c r="AF232" s="92"/>
      <c r="AG232" s="92"/>
      <c r="AH232" s="92"/>
      <c r="AI232" s="92"/>
      <c r="AJ232" s="92"/>
      <c r="AK232" s="92"/>
      <c r="AL232" s="92"/>
      <c r="AM232" s="92"/>
      <c r="AN232" s="92"/>
      <c r="AO232" s="92"/>
      <c r="AP232" s="92"/>
      <c r="AQ232" s="92"/>
      <c r="AR232" s="92"/>
      <c r="AS232" s="92"/>
      <c r="AT232" s="92"/>
      <c r="AU232" s="92"/>
      <c r="AV232" s="92"/>
      <c r="AW232" s="92"/>
      <c r="AX232" s="92"/>
      <c r="AY232" s="92"/>
      <c r="AZ232" s="92"/>
      <c r="BA232" s="92"/>
      <c r="BB232" s="92"/>
      <c r="BC232" s="92"/>
      <c r="BD232" s="92"/>
      <c r="BE232" s="92"/>
      <c r="BF232" s="92"/>
      <c r="BG232" s="92"/>
      <c r="BH232" s="92"/>
      <c r="BI232" s="92"/>
      <c r="BJ232" s="92"/>
      <c r="BK232" s="92"/>
      <c r="BL232" s="92"/>
      <c r="BM232" s="92"/>
      <c r="BN232" s="92"/>
      <c r="BO232" s="92"/>
      <c r="BP232" s="92"/>
      <c r="BQ232" s="92"/>
      <c r="BR232" s="92"/>
      <c r="BS232" s="92"/>
      <c r="BT232" s="92"/>
      <c r="BU232" s="92"/>
      <c r="BV232" s="92"/>
      <c r="BW232" s="92"/>
      <c r="BX232" s="92"/>
      <c r="BY232" s="92"/>
      <c r="BZ232" s="92"/>
      <c r="CA232" s="92"/>
      <c r="CB232" s="92"/>
      <c r="CC232" s="92"/>
      <c r="CD232" s="92"/>
      <c r="CE232" s="92"/>
      <c r="CF232" s="92"/>
      <c r="CG232" s="92"/>
      <c r="CH232" s="92"/>
      <c r="CI232" s="92"/>
      <c r="CJ232" s="92"/>
      <c r="CK232" s="92"/>
      <c r="CL232" s="92"/>
      <c r="CM232" s="92"/>
      <c r="CN232" s="92"/>
      <c r="CO232" s="92"/>
      <c r="CP232" s="92"/>
      <c r="CQ232" s="92"/>
      <c r="CR232" s="92"/>
      <c r="CS232" s="92"/>
      <c r="CT232" s="92"/>
      <c r="CU232" s="92"/>
      <c r="CV232" s="92"/>
      <c r="CW232" s="92"/>
      <c r="CX232" s="92"/>
      <c r="CY232" s="92"/>
      <c r="CZ232" s="92"/>
      <c r="DA232" s="92"/>
      <c r="DB232" s="92"/>
      <c r="DC232" s="92"/>
      <c r="DD232" s="92"/>
      <c r="DE232" s="92"/>
      <c r="DF232" s="92"/>
      <c r="DG232" s="92"/>
      <c r="DH232" s="92"/>
      <c r="DI232" s="92"/>
      <c r="DJ232" s="92"/>
      <c r="DK232" s="92"/>
      <c r="DL232" s="92"/>
      <c r="DM232" s="92"/>
      <c r="DN232" s="92"/>
      <c r="DO232" s="92"/>
      <c r="DP232" s="92"/>
      <c r="DQ232" s="92"/>
      <c r="DR232" s="92"/>
      <c r="DS232" s="92"/>
      <c r="DT232" s="92"/>
      <c r="DU232" s="92"/>
      <c r="DV232" s="92"/>
      <c r="DW232" s="92"/>
      <c r="DX232" s="92"/>
      <c r="DY232" s="92"/>
      <c r="DZ232" s="92"/>
      <c r="EA232" s="92"/>
      <c r="EB232" s="92"/>
      <c r="EC232" s="92"/>
      <c r="ED232" s="92"/>
      <c r="EE232" s="92"/>
      <c r="EF232" s="92"/>
      <c r="EG232" s="92"/>
      <c r="EH232" s="92"/>
      <c r="EI232" s="92"/>
      <c r="EJ232" s="92"/>
      <c r="EK232" s="92"/>
      <c r="EL232" s="92"/>
      <c r="EM232" s="92"/>
      <c r="EN232" s="92"/>
      <c r="EO232" s="92"/>
      <c r="EP232" s="92"/>
      <c r="EQ232" s="92"/>
      <c r="ER232" s="92"/>
      <c r="ES232" s="92"/>
      <c r="ET232" s="92"/>
      <c r="EU232" s="92"/>
      <c r="EV232" s="92"/>
      <c r="EW232" s="92"/>
      <c r="EX232" s="92"/>
      <c r="EY232" s="92"/>
      <c r="EZ232" s="92"/>
      <c r="FA232" s="92"/>
      <c r="FB232" s="92"/>
      <c r="FC232" s="92"/>
      <c r="FD232" s="92"/>
      <c r="FE232" s="92"/>
      <c r="FF232" s="92"/>
      <c r="FG232" s="92"/>
      <c r="FH232" s="92"/>
    </row>
    <row r="233">
      <c r="A233" s="32" t="s">
        <v>47</v>
      </c>
      <c r="B233" s="32" t="s">
        <v>49</v>
      </c>
      <c r="C233" s="32" t="s">
        <v>14</v>
      </c>
      <c r="D233" s="97">
        <f t="shared" si="1"/>
        <v>4225.348263</v>
      </c>
      <c r="E233" s="92">
        <f>(SUBSTITUTE(Audio!E233, "RE-", "", 1))*1</f>
        <v>0</v>
      </c>
      <c r="F233" s="92">
        <f>(SUBSTITUTE(Audio!F233, "RE-", "", 1))*1</f>
        <v>577.104</v>
      </c>
      <c r="G233" s="92">
        <f>(SUBSTITUTE(Audio!G233, "RE-", "", 1))*1</f>
        <v>0.966583</v>
      </c>
      <c r="H233" s="92">
        <f>(SUBSTITUTE(Audio!H233, "RE-", "", 1))*1</f>
        <v>140.536</v>
      </c>
      <c r="I233" s="92">
        <f>(SUBSTITUTE(Audio!I233, "RE-", "", 1))*1</f>
        <v>0.5317</v>
      </c>
      <c r="J233" s="92">
        <f>(SUBSTITUTE(Audio!J233, "RE-", "", 1))*1</f>
        <v>1070.03</v>
      </c>
      <c r="K233" s="92">
        <f>(SUBSTITUTE(Audio!K233, "RE-", "", 1))*1</f>
        <v>10.1405</v>
      </c>
      <c r="L233" s="92">
        <f>(SUBSTITUTE(Audio!L233, "RE-", "", 1))*1</f>
        <v>1579.94</v>
      </c>
      <c r="M233" s="92">
        <f>(SUBSTITUTE(Audio!M233, "RE-", "", 1))*1</f>
        <v>12.5236</v>
      </c>
      <c r="N233" s="92">
        <f>(SUBSTITUTE(Audio!N233, "RE-", "", 1))*1</f>
        <v>78.1134</v>
      </c>
      <c r="O233" s="92">
        <f>(SUBSTITUTE(Audio!O233, "RE-", "", 1))*1</f>
        <v>3.16722</v>
      </c>
      <c r="P233" s="92">
        <f>(SUBSTITUTE(Audio!P233, "RE-", "", 1))*1</f>
        <v>463.792</v>
      </c>
      <c r="Q233" s="92">
        <f>(SUBSTITUTE(Audio!Q233, "RE-", "", 1))*1</f>
        <v>14.1588</v>
      </c>
      <c r="R233" s="92">
        <f>(SUBSTITUTE(Audio!R233, "RE-", "", 1))*1</f>
        <v>157.562</v>
      </c>
      <c r="S233" s="92">
        <f>(SUBSTITUTE(Audio!S233, "RE-", "", 1))*1</f>
        <v>7.43328</v>
      </c>
      <c r="T233" s="92">
        <f>(SUBSTITUTE(Audio!T233, "RE-", "", 1))*1</f>
        <v>98.7814</v>
      </c>
      <c r="U233" s="92">
        <f>(SUBSTITUTE(Audio!U233, "RE-", "", 1))*1</f>
        <v>7.86893</v>
      </c>
      <c r="V233" s="92">
        <f>(SUBSTITUTE(Audio!V233, "RE-", "", 1))*1</f>
        <v>2.69885</v>
      </c>
      <c r="W233" s="92">
        <f>(SUBSTITUTE(Audio!W233, "RE-", "", 1))*1</f>
        <v>0</v>
      </c>
      <c r="X233" s="92">
        <f>(SUBSTITUTE(Audio!X233, "RE-", "", 1))*1</f>
        <v>0</v>
      </c>
      <c r="Y233" s="92">
        <f>(SUBSTITUTE(Audio!Y233, "RE-", "", 1))*1</f>
        <v>0</v>
      </c>
      <c r="Z233" s="92">
        <f>(SUBSTITUTE(Audio!Z233, "RE-", "", 1))*1</f>
        <v>0</v>
      </c>
      <c r="AA233" s="92"/>
      <c r="AB233" s="92"/>
      <c r="AC233" s="92"/>
      <c r="AD233" s="92"/>
      <c r="AE233" s="92"/>
      <c r="AF233" s="92"/>
      <c r="AG233" s="92"/>
      <c r="AH233" s="92"/>
      <c r="AI233" s="92"/>
      <c r="AJ233" s="92"/>
      <c r="AK233" s="92"/>
      <c r="AL233" s="92"/>
      <c r="AM233" s="92"/>
      <c r="AN233" s="92"/>
      <c r="AO233" s="92"/>
      <c r="AP233" s="92"/>
      <c r="AQ233" s="92"/>
      <c r="AR233" s="92"/>
      <c r="AS233" s="92"/>
      <c r="AT233" s="92"/>
      <c r="AU233" s="92"/>
      <c r="AV233" s="92"/>
      <c r="AW233" s="92"/>
      <c r="AX233" s="92"/>
      <c r="AY233" s="92"/>
      <c r="AZ233" s="92"/>
      <c r="BA233" s="92"/>
      <c r="BB233" s="92"/>
      <c r="BC233" s="92"/>
      <c r="BD233" s="92"/>
      <c r="BE233" s="92"/>
      <c r="BF233" s="92"/>
      <c r="BG233" s="92"/>
      <c r="BH233" s="92"/>
      <c r="BI233" s="92"/>
      <c r="BJ233" s="92"/>
      <c r="BK233" s="92"/>
      <c r="BL233" s="92"/>
      <c r="BM233" s="92"/>
      <c r="BN233" s="92"/>
      <c r="BO233" s="92"/>
      <c r="BP233" s="92"/>
      <c r="BQ233" s="92"/>
      <c r="BR233" s="92"/>
      <c r="BS233" s="92"/>
      <c r="BT233" s="92"/>
      <c r="BU233" s="92"/>
      <c r="BV233" s="92"/>
      <c r="BW233" s="92"/>
      <c r="BX233" s="92"/>
      <c r="BY233" s="92"/>
      <c r="BZ233" s="92"/>
      <c r="CA233" s="92"/>
      <c r="CB233" s="92"/>
      <c r="CC233" s="92"/>
      <c r="CD233" s="92"/>
      <c r="CE233" s="92"/>
      <c r="CF233" s="92"/>
      <c r="CG233" s="92"/>
      <c r="CH233" s="92"/>
      <c r="CI233" s="92"/>
      <c r="CJ233" s="92"/>
      <c r="CK233" s="92"/>
      <c r="CL233" s="92"/>
      <c r="CM233" s="92"/>
      <c r="CN233" s="92"/>
      <c r="CO233" s="92"/>
      <c r="CP233" s="92"/>
      <c r="CQ233" s="92"/>
      <c r="CR233" s="92"/>
      <c r="CS233" s="92"/>
      <c r="CT233" s="92"/>
      <c r="CU233" s="92"/>
      <c r="CV233" s="92"/>
      <c r="CW233" s="92"/>
      <c r="CX233" s="92"/>
      <c r="CY233" s="92"/>
      <c r="CZ233" s="92"/>
      <c r="DA233" s="92"/>
      <c r="DB233" s="92"/>
      <c r="DC233" s="92"/>
      <c r="DD233" s="92"/>
      <c r="DE233" s="92"/>
      <c r="DF233" s="92"/>
      <c r="DG233" s="92"/>
      <c r="DH233" s="92"/>
      <c r="DI233" s="92"/>
      <c r="DJ233" s="92"/>
      <c r="DK233" s="92"/>
      <c r="DL233" s="92"/>
      <c r="DM233" s="92"/>
      <c r="DN233" s="92"/>
      <c r="DO233" s="92"/>
      <c r="DP233" s="92"/>
      <c r="DQ233" s="92"/>
      <c r="DR233" s="92"/>
      <c r="DS233" s="92"/>
      <c r="DT233" s="92"/>
      <c r="DU233" s="92"/>
      <c r="DV233" s="92"/>
      <c r="DW233" s="92"/>
      <c r="DX233" s="92"/>
      <c r="DY233" s="92"/>
      <c r="DZ233" s="92"/>
      <c r="EA233" s="92"/>
      <c r="EB233" s="92"/>
      <c r="EC233" s="92"/>
      <c r="ED233" s="92"/>
      <c r="EE233" s="92"/>
      <c r="EF233" s="92"/>
      <c r="EG233" s="92"/>
      <c r="EH233" s="92"/>
      <c r="EI233" s="92"/>
      <c r="EJ233" s="92"/>
      <c r="EK233" s="92"/>
      <c r="EL233" s="92"/>
      <c r="EM233" s="92"/>
      <c r="EN233" s="92"/>
      <c r="EO233" s="92"/>
      <c r="EP233" s="92"/>
      <c r="EQ233" s="92"/>
      <c r="ER233" s="92"/>
      <c r="ES233" s="92"/>
      <c r="ET233" s="92"/>
      <c r="EU233" s="92"/>
      <c r="EV233" s="92"/>
      <c r="EW233" s="92"/>
      <c r="EX233" s="92"/>
      <c r="EY233" s="92"/>
      <c r="EZ233" s="92"/>
      <c r="FA233" s="92"/>
      <c r="FB233" s="92"/>
      <c r="FC233" s="92"/>
      <c r="FD233" s="92"/>
      <c r="FE233" s="92"/>
      <c r="FF233" s="92"/>
      <c r="FG233" s="92"/>
      <c r="FH233" s="92"/>
    </row>
    <row r="234">
      <c r="A234" s="27" t="s">
        <v>47</v>
      </c>
      <c r="B234" s="27" t="s">
        <v>49</v>
      </c>
      <c r="C234" s="27" t="s">
        <v>15</v>
      </c>
      <c r="D234" s="98">
        <f t="shared" si="1"/>
        <v>4799.930983</v>
      </c>
      <c r="E234" s="92">
        <f>(SUBSTITUTE(Audio!E234, "RE-", "", 1))*1</f>
        <v>0</v>
      </c>
      <c r="F234" s="92">
        <f>(SUBSTITUTE(Audio!F234, "RE-", "", 1))*1</f>
        <v>633.672</v>
      </c>
      <c r="G234" s="92">
        <f>(SUBSTITUTE(Audio!G234, "RE-", "", 1))*1</f>
        <v>0.966583</v>
      </c>
      <c r="H234" s="92">
        <f>(SUBSTITUTE(Audio!H234, "RE-", "", 1))*1</f>
        <v>152.08</v>
      </c>
      <c r="I234" s="92">
        <f>(SUBSTITUTE(Audio!I234, "RE-", "", 1))*1</f>
        <v>0.5317</v>
      </c>
      <c r="J234" s="92">
        <f>(SUBSTITUTE(Audio!J234, "RE-", "", 1))*1</f>
        <v>1178.47</v>
      </c>
      <c r="K234" s="92">
        <f>(SUBSTITUTE(Audio!K234, "RE-", "", 1))*1</f>
        <v>11.7064</v>
      </c>
      <c r="L234" s="92">
        <f>(SUBSTITUTE(Audio!L234, "RE-", "", 1))*1</f>
        <v>1805.97</v>
      </c>
      <c r="M234" s="92">
        <f>(SUBSTITUTE(Audio!M234, "RE-", "", 1))*1</f>
        <v>13.233</v>
      </c>
      <c r="N234" s="92">
        <f>(SUBSTITUTE(Audio!N234, "RE-", "", 1))*1</f>
        <v>90.475</v>
      </c>
      <c r="O234" s="92">
        <f>(SUBSTITUTE(Audio!O234, "RE-", "", 1))*1</f>
        <v>3.97788</v>
      </c>
      <c r="P234" s="92">
        <f>(SUBSTITUTE(Audio!P234, "RE-", "", 1))*1</f>
        <v>553.715</v>
      </c>
      <c r="Q234" s="92">
        <f>(SUBSTITUTE(Audio!Q234, "RE-", "", 1))*1</f>
        <v>16.4412</v>
      </c>
      <c r="R234" s="92">
        <f>(SUBSTITUTE(Audio!R234, "RE-", "", 1))*1</f>
        <v>192.861</v>
      </c>
      <c r="S234" s="92">
        <f>(SUBSTITUTE(Audio!S234, "RE-", "", 1))*1</f>
        <v>10.7487</v>
      </c>
      <c r="T234" s="92">
        <f>(SUBSTITUTE(Audio!T234, "RE-", "", 1))*1</f>
        <v>123.538</v>
      </c>
      <c r="U234" s="92">
        <f>(SUBSTITUTE(Audio!U234, "RE-", "", 1))*1</f>
        <v>8.50892</v>
      </c>
      <c r="V234" s="92">
        <f>(SUBSTITUTE(Audio!V234, "RE-", "", 1))*1</f>
        <v>3.0356</v>
      </c>
      <c r="W234" s="92">
        <f>(SUBSTITUTE(Audio!W234, "RE-", "", 1))*1</f>
        <v>0</v>
      </c>
      <c r="X234" s="92">
        <f>(SUBSTITUTE(Audio!X234, "RE-", "", 1))*1</f>
        <v>0</v>
      </c>
      <c r="Y234" s="92">
        <f>(SUBSTITUTE(Audio!Y234, "RE-", "", 1))*1</f>
        <v>0</v>
      </c>
      <c r="Z234" s="92">
        <f>(SUBSTITUTE(Audio!Z234, "RE-", "", 1))*1</f>
        <v>0</v>
      </c>
      <c r="AA234" s="92"/>
      <c r="AB234" s="92"/>
      <c r="AC234" s="92"/>
      <c r="AD234" s="92"/>
      <c r="AE234" s="92"/>
      <c r="AF234" s="92"/>
      <c r="AG234" s="92"/>
      <c r="AH234" s="92"/>
      <c r="AI234" s="92"/>
      <c r="AJ234" s="92"/>
      <c r="AK234" s="92"/>
      <c r="AL234" s="92"/>
      <c r="AM234" s="92"/>
      <c r="AN234" s="92"/>
      <c r="AO234" s="92"/>
      <c r="AP234" s="92"/>
      <c r="AQ234" s="92"/>
      <c r="AR234" s="92"/>
      <c r="AS234" s="92"/>
      <c r="AT234" s="92"/>
      <c r="AU234" s="92"/>
      <c r="AV234" s="92"/>
      <c r="AW234" s="92"/>
      <c r="AX234" s="92"/>
      <c r="AY234" s="92"/>
      <c r="AZ234" s="92"/>
      <c r="BA234" s="92"/>
      <c r="BB234" s="92"/>
      <c r="BC234" s="92"/>
      <c r="BD234" s="92"/>
      <c r="BE234" s="92"/>
      <c r="BF234" s="92"/>
      <c r="BG234" s="92"/>
      <c r="BH234" s="92"/>
      <c r="BI234" s="92"/>
      <c r="BJ234" s="92"/>
      <c r="BK234" s="92"/>
      <c r="BL234" s="92"/>
      <c r="BM234" s="92"/>
      <c r="BN234" s="92"/>
      <c r="BO234" s="92"/>
      <c r="BP234" s="92"/>
      <c r="BQ234" s="92"/>
      <c r="BR234" s="92"/>
      <c r="BS234" s="92"/>
      <c r="BT234" s="92"/>
      <c r="BU234" s="92"/>
      <c r="BV234" s="92"/>
      <c r="BW234" s="92"/>
      <c r="BX234" s="92"/>
      <c r="BY234" s="92"/>
      <c r="BZ234" s="92"/>
      <c r="CA234" s="92"/>
      <c r="CB234" s="92"/>
      <c r="CC234" s="92"/>
      <c r="CD234" s="92"/>
      <c r="CE234" s="92"/>
      <c r="CF234" s="92"/>
      <c r="CG234" s="92"/>
      <c r="CH234" s="92"/>
      <c r="CI234" s="92"/>
      <c r="CJ234" s="92"/>
      <c r="CK234" s="92"/>
      <c r="CL234" s="92"/>
      <c r="CM234" s="92"/>
      <c r="CN234" s="92"/>
      <c r="CO234" s="92"/>
      <c r="CP234" s="92"/>
      <c r="CQ234" s="92"/>
      <c r="CR234" s="92"/>
      <c r="CS234" s="92"/>
      <c r="CT234" s="92"/>
      <c r="CU234" s="92"/>
      <c r="CV234" s="92"/>
      <c r="CW234" s="92"/>
      <c r="CX234" s="92"/>
      <c r="CY234" s="92"/>
      <c r="CZ234" s="92"/>
      <c r="DA234" s="92"/>
      <c r="DB234" s="92"/>
      <c r="DC234" s="92"/>
      <c r="DD234" s="92"/>
      <c r="DE234" s="92"/>
      <c r="DF234" s="92"/>
      <c r="DG234" s="92"/>
      <c r="DH234" s="92"/>
      <c r="DI234" s="92"/>
      <c r="DJ234" s="92"/>
      <c r="DK234" s="92"/>
      <c r="DL234" s="92"/>
      <c r="DM234" s="92"/>
      <c r="DN234" s="92"/>
      <c r="DO234" s="92"/>
      <c r="DP234" s="92"/>
      <c r="DQ234" s="92"/>
      <c r="DR234" s="92"/>
      <c r="DS234" s="92"/>
      <c r="DT234" s="92"/>
      <c r="DU234" s="92"/>
      <c r="DV234" s="92"/>
      <c r="DW234" s="92"/>
      <c r="DX234" s="92"/>
      <c r="DY234" s="92"/>
      <c r="DZ234" s="92"/>
      <c r="EA234" s="92"/>
      <c r="EB234" s="92"/>
      <c r="EC234" s="92"/>
      <c r="ED234" s="92"/>
      <c r="EE234" s="92"/>
      <c r="EF234" s="92"/>
      <c r="EG234" s="92"/>
      <c r="EH234" s="92"/>
      <c r="EI234" s="92"/>
      <c r="EJ234" s="92"/>
      <c r="EK234" s="92"/>
      <c r="EL234" s="92"/>
      <c r="EM234" s="92"/>
      <c r="EN234" s="92"/>
      <c r="EO234" s="92"/>
      <c r="EP234" s="92"/>
      <c r="EQ234" s="92"/>
      <c r="ER234" s="92"/>
      <c r="ES234" s="92"/>
      <c r="ET234" s="92"/>
      <c r="EU234" s="92"/>
      <c r="EV234" s="92"/>
      <c r="EW234" s="92"/>
      <c r="EX234" s="92"/>
      <c r="EY234" s="92"/>
      <c r="EZ234" s="92"/>
      <c r="FA234" s="92"/>
      <c r="FB234" s="92"/>
      <c r="FC234" s="92"/>
      <c r="FD234" s="92"/>
      <c r="FE234" s="92"/>
      <c r="FF234" s="92"/>
      <c r="FG234" s="92"/>
      <c r="FH234" s="92"/>
    </row>
    <row r="235">
      <c r="A235" s="30" t="s">
        <v>47</v>
      </c>
      <c r="B235" s="30" t="s">
        <v>50</v>
      </c>
      <c r="C235" s="31" t="str">
        <f>HYPERLINK("https://docs.google.com/spreadsheets/d/1ML1i_4vArwhktGphgusa35DeHc7iW0G_/edit?usp=share_link&amp;ouid=118279477453217743021&amp;rtpof=true&amp;sd=true", "Raw Delivered")</f>
        <v>Raw Delivered</v>
      </c>
      <c r="D235" s="96">
        <f t="shared" si="1"/>
        <v>7356.927549</v>
      </c>
      <c r="E235" s="92">
        <f>(SUBSTITUTE(Audio!E235, "RE-", "", 1))*1</f>
        <v>0</v>
      </c>
      <c r="F235" s="92">
        <f>(SUBSTITUTE(Audio!F235, "RE-", "", 1))*1</f>
        <v>1593.699937</v>
      </c>
      <c r="G235" s="92">
        <f>(SUBSTITUTE(Audio!G235, "RE-", "", 1))*1</f>
        <v>0</v>
      </c>
      <c r="H235" s="92">
        <f>(SUBSTITUTE(Audio!H235, "RE-", "", 1))*1</f>
        <v>257.9811646</v>
      </c>
      <c r="I235" s="92">
        <f>(SUBSTITUTE(Audio!I235, "RE-", "", 1))*1</f>
        <v>0</v>
      </c>
      <c r="J235" s="92">
        <f>(SUBSTITUTE(Audio!J235, "RE-", "", 1))*1</f>
        <v>1304.081174</v>
      </c>
      <c r="K235" s="92">
        <f>(SUBSTITUTE(Audio!K235, "RE-", "", 1))*1</f>
        <v>0</v>
      </c>
      <c r="L235" s="92">
        <f>(SUBSTITUTE(Audio!L235, "RE-", "", 1))*1</f>
        <v>2383.098873</v>
      </c>
      <c r="M235" s="92">
        <f>(SUBSTITUTE(Audio!M235, "RE-", "", 1))*1</f>
        <v>0</v>
      </c>
      <c r="N235" s="92">
        <f>(SUBSTITUTE(Audio!N235, "RE-", "", 1))*1</f>
        <v>310.2722969</v>
      </c>
      <c r="O235" s="92">
        <f>(SUBSTITUTE(Audio!O235, "RE-", "", 1))*1</f>
        <v>0</v>
      </c>
      <c r="P235" s="92">
        <f>(SUBSTITUTE(Audio!P235, "RE-", "", 1))*1</f>
        <v>1005.406488</v>
      </c>
      <c r="Q235" s="92">
        <f>(SUBSTITUTE(Audio!Q235, "RE-", "", 1))*1</f>
        <v>0</v>
      </c>
      <c r="R235" s="92">
        <f>(SUBSTITUTE(Audio!R235, "RE-", "", 1))*1</f>
        <v>264.1840313</v>
      </c>
      <c r="S235" s="92">
        <f>(SUBSTITUTE(Audio!S235, "RE-", "", 1))*1</f>
        <v>0</v>
      </c>
      <c r="T235" s="92">
        <f>(SUBSTITUTE(Audio!T235, "RE-", "", 1))*1</f>
        <v>238.2035844</v>
      </c>
      <c r="U235" s="92">
        <f>(SUBSTITUTE(Audio!U235, "RE-", "", 1))*1</f>
        <v>0</v>
      </c>
      <c r="V235" s="92">
        <f>(SUBSTITUTE(Audio!V235, "RE-", "", 1))*1</f>
        <v>0</v>
      </c>
      <c r="W235" s="92">
        <f>(SUBSTITUTE(Audio!W235, "RE-", "", 1))*1</f>
        <v>0</v>
      </c>
      <c r="X235" s="92">
        <f>(SUBSTITUTE(Audio!X235, "RE-", "", 1))*1</f>
        <v>0</v>
      </c>
      <c r="Y235" s="92">
        <f>(SUBSTITUTE(Audio!Y235, "RE-", "", 1))*1</f>
        <v>0</v>
      </c>
      <c r="Z235" s="92">
        <f>(SUBSTITUTE(Audio!Z235, "RE-", "", 1))*1</f>
        <v>0</v>
      </c>
      <c r="AA235" s="92"/>
      <c r="AB235" s="92"/>
      <c r="AC235" s="92"/>
      <c r="AD235" s="92"/>
      <c r="AE235" s="92"/>
      <c r="AF235" s="92"/>
      <c r="AG235" s="92"/>
      <c r="AH235" s="92"/>
      <c r="AI235" s="92"/>
      <c r="AJ235" s="92"/>
      <c r="AK235" s="92"/>
      <c r="AL235" s="92"/>
      <c r="AM235" s="92"/>
      <c r="AN235" s="92"/>
      <c r="AO235" s="92"/>
      <c r="AP235" s="92"/>
      <c r="AQ235" s="92"/>
      <c r="AR235" s="92"/>
      <c r="AS235" s="92"/>
      <c r="AT235" s="92"/>
      <c r="AU235" s="92"/>
      <c r="AV235" s="92"/>
      <c r="AW235" s="92"/>
      <c r="AX235" s="92"/>
      <c r="AY235" s="92"/>
      <c r="AZ235" s="92"/>
      <c r="BA235" s="92"/>
      <c r="BB235" s="92"/>
      <c r="BC235" s="92"/>
      <c r="BD235" s="92"/>
      <c r="BE235" s="92"/>
      <c r="BF235" s="92"/>
      <c r="BG235" s="92"/>
      <c r="BH235" s="92"/>
      <c r="BI235" s="92"/>
      <c r="BJ235" s="92"/>
      <c r="BK235" s="92"/>
      <c r="BL235" s="92"/>
      <c r="BM235" s="92"/>
      <c r="BN235" s="92"/>
      <c r="BO235" s="92"/>
      <c r="BP235" s="92"/>
      <c r="BQ235" s="92"/>
      <c r="BR235" s="92"/>
      <c r="BS235" s="92"/>
      <c r="BT235" s="92"/>
      <c r="BU235" s="92"/>
      <c r="BV235" s="92"/>
      <c r="BW235" s="92"/>
      <c r="BX235" s="92"/>
      <c r="BY235" s="92"/>
      <c r="BZ235" s="92"/>
      <c r="CA235" s="92"/>
      <c r="CB235" s="92"/>
      <c r="CC235" s="92"/>
      <c r="CD235" s="92"/>
      <c r="CE235" s="92"/>
      <c r="CF235" s="92"/>
      <c r="CG235" s="92"/>
      <c r="CH235" s="92"/>
      <c r="CI235" s="92"/>
      <c r="CJ235" s="92"/>
      <c r="CK235" s="92"/>
      <c r="CL235" s="92"/>
      <c r="CM235" s="92"/>
      <c r="CN235" s="92"/>
      <c r="CO235" s="92"/>
      <c r="CP235" s="92"/>
      <c r="CQ235" s="92"/>
      <c r="CR235" s="92"/>
      <c r="CS235" s="92"/>
      <c r="CT235" s="92"/>
      <c r="CU235" s="92"/>
      <c r="CV235" s="92"/>
      <c r="CW235" s="92"/>
      <c r="CX235" s="92"/>
      <c r="CY235" s="92"/>
      <c r="CZ235" s="92"/>
      <c r="DA235" s="92"/>
      <c r="DB235" s="92"/>
      <c r="DC235" s="92"/>
      <c r="DD235" s="92"/>
      <c r="DE235" s="92"/>
      <c r="DF235" s="92"/>
      <c r="DG235" s="92"/>
      <c r="DH235" s="92"/>
      <c r="DI235" s="92"/>
      <c r="DJ235" s="92"/>
      <c r="DK235" s="92"/>
      <c r="DL235" s="92"/>
      <c r="DM235" s="92"/>
      <c r="DN235" s="92"/>
      <c r="DO235" s="92"/>
      <c r="DP235" s="92"/>
      <c r="DQ235" s="92"/>
      <c r="DR235" s="92"/>
      <c r="DS235" s="92"/>
      <c r="DT235" s="92"/>
      <c r="DU235" s="92"/>
      <c r="DV235" s="92"/>
      <c r="DW235" s="92"/>
      <c r="DX235" s="92"/>
      <c r="DY235" s="92"/>
      <c r="DZ235" s="92"/>
      <c r="EA235" s="92"/>
      <c r="EB235" s="92"/>
      <c r="EC235" s="92"/>
      <c r="ED235" s="92"/>
      <c r="EE235" s="92"/>
      <c r="EF235" s="92"/>
      <c r="EG235" s="92"/>
      <c r="EH235" s="92"/>
      <c r="EI235" s="92"/>
      <c r="EJ235" s="92"/>
      <c r="EK235" s="92"/>
      <c r="EL235" s="92"/>
      <c r="EM235" s="92"/>
      <c r="EN235" s="92"/>
      <c r="EO235" s="92"/>
      <c r="EP235" s="92"/>
      <c r="EQ235" s="92"/>
      <c r="ER235" s="92"/>
      <c r="ES235" s="92"/>
      <c r="ET235" s="92"/>
      <c r="EU235" s="92"/>
      <c r="EV235" s="92"/>
      <c r="EW235" s="92"/>
      <c r="EX235" s="92"/>
      <c r="EY235" s="92"/>
      <c r="EZ235" s="92"/>
      <c r="FA235" s="92"/>
      <c r="FB235" s="92"/>
      <c r="FC235" s="92"/>
      <c r="FD235" s="92"/>
      <c r="FE235" s="92"/>
      <c r="FF235" s="92"/>
      <c r="FG235" s="92"/>
      <c r="FH235" s="92"/>
    </row>
    <row r="236">
      <c r="A236" s="32" t="s">
        <v>47</v>
      </c>
      <c r="B236" s="32" t="s">
        <v>50</v>
      </c>
      <c r="C236" s="32" t="s">
        <v>9</v>
      </c>
      <c r="D236" s="97">
        <f t="shared" si="1"/>
        <v>7356.92755</v>
      </c>
      <c r="E236" s="92">
        <f>(SUBSTITUTE(Audio!E236, "RE-", "", 1))*1</f>
        <v>0</v>
      </c>
      <c r="F236" s="92">
        <f>(SUBSTITUTE(Audio!F236, "RE-", "", 1))*1</f>
        <v>1593.699937</v>
      </c>
      <c r="G236" s="92">
        <f>(SUBSTITUTE(Audio!G236, "RE-", "", 1))*1</f>
        <v>0</v>
      </c>
      <c r="H236" s="92">
        <f>(SUBSTITUTE(Audio!H236, "RE-", "", 1))*1</f>
        <v>257.9811646</v>
      </c>
      <c r="I236" s="92">
        <f>(SUBSTITUTE(Audio!I236, "RE-", "", 1))*1</f>
        <v>0</v>
      </c>
      <c r="J236" s="92">
        <f>(SUBSTITUTE(Audio!J236, "RE-", "", 1))*1</f>
        <v>1304.081174</v>
      </c>
      <c r="K236" s="92">
        <f>(SUBSTITUTE(Audio!K236, "RE-", "", 1))*1</f>
        <v>0</v>
      </c>
      <c r="L236" s="92">
        <f>(SUBSTITUTE(Audio!L236, "RE-", "", 1))*1</f>
        <v>2383.098873</v>
      </c>
      <c r="M236" s="92">
        <f>(SUBSTITUTE(Audio!M236, "RE-", "", 1))*1</f>
        <v>0</v>
      </c>
      <c r="N236" s="92">
        <f>(SUBSTITUTE(Audio!N236, "RE-", "", 1))*1</f>
        <v>310.2722969</v>
      </c>
      <c r="O236" s="92">
        <f>(SUBSTITUTE(Audio!O236, "RE-", "", 1))*1</f>
        <v>0</v>
      </c>
      <c r="P236" s="92">
        <f>(SUBSTITUTE(Audio!P236, "RE-", "", 1))*1</f>
        <v>1005.406488</v>
      </c>
      <c r="Q236" s="92">
        <f>(SUBSTITUTE(Audio!Q236, "RE-", "", 1))*1</f>
        <v>0</v>
      </c>
      <c r="R236" s="92">
        <f>(SUBSTITUTE(Audio!R236, "RE-", "", 1))*1</f>
        <v>264.1840313</v>
      </c>
      <c r="S236" s="92">
        <f>(SUBSTITUTE(Audio!S236, "RE-", "", 1))*1</f>
        <v>0</v>
      </c>
      <c r="T236" s="92">
        <f>(SUBSTITUTE(Audio!T236, "RE-", "", 1))*1</f>
        <v>238.2035844</v>
      </c>
      <c r="U236" s="92">
        <f>(SUBSTITUTE(Audio!U236, "RE-", "", 1))*1</f>
        <v>0</v>
      </c>
      <c r="V236" s="92">
        <f>(SUBSTITUTE(Audio!V236, "RE-", "", 1))*1</f>
        <v>0</v>
      </c>
      <c r="W236" s="92">
        <f>(SUBSTITUTE(Audio!W236, "RE-", "", 1))*1</f>
        <v>0</v>
      </c>
      <c r="X236" s="92">
        <f>(SUBSTITUTE(Audio!X236, "RE-", "", 1))*1</f>
        <v>0</v>
      </c>
      <c r="Y236" s="92">
        <f>(SUBSTITUTE(Audio!Y236, "RE-", "", 1))*1</f>
        <v>0</v>
      </c>
      <c r="Z236" s="92">
        <f>(SUBSTITUTE(Audio!Z236, "RE-", "", 1))*1</f>
        <v>0</v>
      </c>
      <c r="AA236" s="92"/>
      <c r="AB236" s="92"/>
      <c r="AC236" s="92"/>
      <c r="AD236" s="92"/>
      <c r="AE236" s="92"/>
      <c r="AF236" s="92"/>
      <c r="AG236" s="92"/>
      <c r="AH236" s="92"/>
      <c r="AI236" s="92"/>
      <c r="AJ236" s="92"/>
      <c r="AK236" s="92"/>
      <c r="AL236" s="92"/>
      <c r="AM236" s="92"/>
      <c r="AN236" s="92"/>
      <c r="AO236" s="92"/>
      <c r="AP236" s="92"/>
      <c r="AQ236" s="92"/>
      <c r="AR236" s="92"/>
      <c r="AS236" s="92"/>
      <c r="AT236" s="92"/>
      <c r="AU236" s="92"/>
      <c r="AV236" s="92"/>
      <c r="AW236" s="92"/>
      <c r="AX236" s="92"/>
      <c r="AY236" s="92"/>
      <c r="AZ236" s="92"/>
      <c r="BA236" s="92"/>
      <c r="BB236" s="92"/>
      <c r="BC236" s="92"/>
      <c r="BD236" s="92"/>
      <c r="BE236" s="92"/>
      <c r="BF236" s="92"/>
      <c r="BG236" s="92"/>
      <c r="BH236" s="92"/>
      <c r="BI236" s="92"/>
      <c r="BJ236" s="92"/>
      <c r="BK236" s="92"/>
      <c r="BL236" s="92"/>
      <c r="BM236" s="92"/>
      <c r="BN236" s="92"/>
      <c r="BO236" s="92"/>
      <c r="BP236" s="92"/>
      <c r="BQ236" s="92"/>
      <c r="BR236" s="92"/>
      <c r="BS236" s="92"/>
      <c r="BT236" s="92"/>
      <c r="BU236" s="92"/>
      <c r="BV236" s="92"/>
      <c r="BW236" s="92"/>
      <c r="BX236" s="92"/>
      <c r="BY236" s="92"/>
      <c r="BZ236" s="92"/>
      <c r="CA236" s="92"/>
      <c r="CB236" s="92"/>
      <c r="CC236" s="92"/>
      <c r="CD236" s="92"/>
      <c r="CE236" s="92"/>
      <c r="CF236" s="92"/>
      <c r="CG236" s="92"/>
      <c r="CH236" s="92"/>
      <c r="CI236" s="92"/>
      <c r="CJ236" s="92"/>
      <c r="CK236" s="92"/>
      <c r="CL236" s="92"/>
      <c r="CM236" s="92"/>
      <c r="CN236" s="92"/>
      <c r="CO236" s="92"/>
      <c r="CP236" s="92"/>
      <c r="CQ236" s="92"/>
      <c r="CR236" s="92"/>
      <c r="CS236" s="92"/>
      <c r="CT236" s="92"/>
      <c r="CU236" s="92"/>
      <c r="CV236" s="92"/>
      <c r="CW236" s="92"/>
      <c r="CX236" s="92"/>
      <c r="CY236" s="92"/>
      <c r="CZ236" s="92"/>
      <c r="DA236" s="92"/>
      <c r="DB236" s="92"/>
      <c r="DC236" s="92"/>
      <c r="DD236" s="92"/>
      <c r="DE236" s="92"/>
      <c r="DF236" s="92"/>
      <c r="DG236" s="92"/>
      <c r="DH236" s="92"/>
      <c r="DI236" s="92"/>
      <c r="DJ236" s="92"/>
      <c r="DK236" s="92"/>
      <c r="DL236" s="92"/>
      <c r="DM236" s="92"/>
      <c r="DN236" s="92"/>
      <c r="DO236" s="92"/>
      <c r="DP236" s="92"/>
      <c r="DQ236" s="92"/>
      <c r="DR236" s="92"/>
      <c r="DS236" s="92"/>
      <c r="DT236" s="92"/>
      <c r="DU236" s="92"/>
      <c r="DV236" s="92"/>
      <c r="DW236" s="92"/>
      <c r="DX236" s="92"/>
      <c r="DY236" s="92"/>
      <c r="DZ236" s="92"/>
      <c r="EA236" s="92"/>
      <c r="EB236" s="92"/>
      <c r="EC236" s="92"/>
      <c r="ED236" s="92"/>
      <c r="EE236" s="92"/>
      <c r="EF236" s="92"/>
      <c r="EG236" s="92"/>
      <c r="EH236" s="92"/>
      <c r="EI236" s="92"/>
      <c r="EJ236" s="92"/>
      <c r="EK236" s="92"/>
      <c r="EL236" s="92"/>
      <c r="EM236" s="92"/>
      <c r="EN236" s="92"/>
      <c r="EO236" s="92"/>
      <c r="EP236" s="92"/>
      <c r="EQ236" s="92"/>
      <c r="ER236" s="92"/>
      <c r="ES236" s="92"/>
      <c r="ET236" s="92"/>
      <c r="EU236" s="92"/>
      <c r="EV236" s="92"/>
      <c r="EW236" s="92"/>
      <c r="EX236" s="92"/>
      <c r="EY236" s="92"/>
      <c r="EZ236" s="92"/>
      <c r="FA236" s="92"/>
      <c r="FB236" s="92"/>
      <c r="FC236" s="92"/>
      <c r="FD236" s="92"/>
      <c r="FE236" s="92"/>
      <c r="FF236" s="92"/>
      <c r="FG236" s="92"/>
      <c r="FH236" s="92"/>
    </row>
    <row r="237">
      <c r="A237" s="32" t="s">
        <v>47</v>
      </c>
      <c r="B237" s="32" t="s">
        <v>50</v>
      </c>
      <c r="C237" s="32" t="s">
        <v>10</v>
      </c>
      <c r="D237" s="97">
        <f t="shared" si="1"/>
        <v>555.8468937</v>
      </c>
      <c r="E237" s="92">
        <f>(SUBSTITUTE(Audio!E237, "RE-", "", 1))*1</f>
        <v>0</v>
      </c>
      <c r="F237" s="92">
        <f>(SUBSTITUTE(Audio!F237, "RE-", "", 1))*1</f>
        <v>0</v>
      </c>
      <c r="G237" s="92">
        <f>(SUBSTITUTE(Audio!G237, "RE-", "", 1))*1</f>
        <v>143.4335229</v>
      </c>
      <c r="H237" s="92">
        <f>(SUBSTITUTE(Audio!H237, "RE-", "", 1))*1</f>
        <v>0</v>
      </c>
      <c r="I237" s="92">
        <f>(SUBSTITUTE(Audio!I237, "RE-", "", 1))*1</f>
        <v>29.6228625</v>
      </c>
      <c r="J237" s="92">
        <f>(SUBSTITUTE(Audio!J237, "RE-", "", 1))*1</f>
        <v>0</v>
      </c>
      <c r="K237" s="92">
        <f>(SUBSTITUTE(Audio!K237, "RE-", "", 1))*1</f>
        <v>69.90194375</v>
      </c>
      <c r="L237" s="92">
        <f>(SUBSTITUTE(Audio!L237, "RE-", "", 1))*1</f>
        <v>0</v>
      </c>
      <c r="M237" s="92">
        <f>(SUBSTITUTE(Audio!M237, "RE-", "", 1))*1</f>
        <v>121.6270406</v>
      </c>
      <c r="N237" s="92">
        <f>(SUBSTITUTE(Audio!N237, "RE-", "", 1))*1</f>
        <v>0</v>
      </c>
      <c r="O237" s="92">
        <f>(SUBSTITUTE(Audio!O237, "RE-", "", 1))*1</f>
        <v>43.45508958</v>
      </c>
      <c r="P237" s="92">
        <f>(SUBSTITUTE(Audio!P237, "RE-", "", 1))*1</f>
        <v>0</v>
      </c>
      <c r="Q237" s="92">
        <f>(SUBSTITUTE(Audio!Q237, "RE-", "", 1))*1</f>
        <v>101.1668406</v>
      </c>
      <c r="R237" s="92">
        <f>(SUBSTITUTE(Audio!R237, "RE-", "", 1))*1</f>
        <v>0</v>
      </c>
      <c r="S237" s="92">
        <f>(SUBSTITUTE(Audio!S237, "RE-", "", 1))*1</f>
        <v>27.04573542</v>
      </c>
      <c r="T237" s="92">
        <f>(SUBSTITUTE(Audio!T237, "RE-", "", 1))*1</f>
        <v>0</v>
      </c>
      <c r="U237" s="92">
        <f>(SUBSTITUTE(Audio!U237, "RE-", "", 1))*1</f>
        <v>15.23800625</v>
      </c>
      <c r="V237" s="92">
        <f>(SUBSTITUTE(Audio!V237, "RE-", "", 1))*1</f>
        <v>4.355852083</v>
      </c>
      <c r="W237" s="92">
        <f>(SUBSTITUTE(Audio!W237, "RE-", "", 1))*1</f>
        <v>0</v>
      </c>
      <c r="X237" s="92">
        <f>(SUBSTITUTE(Audio!X237, "RE-", "", 1))*1</f>
        <v>0</v>
      </c>
      <c r="Y237" s="92">
        <f>(SUBSTITUTE(Audio!Y237, "RE-", "", 1))*1</f>
        <v>0</v>
      </c>
      <c r="Z237" s="92">
        <f>(SUBSTITUTE(Audio!Z237, "RE-", "", 1))*1</f>
        <v>0</v>
      </c>
      <c r="AA237" s="92"/>
      <c r="AB237" s="92"/>
      <c r="AC237" s="92"/>
      <c r="AD237" s="92"/>
      <c r="AE237" s="92"/>
      <c r="AF237" s="92"/>
      <c r="AG237" s="92"/>
      <c r="AH237" s="92"/>
      <c r="AI237" s="92"/>
      <c r="AJ237" s="92"/>
      <c r="AK237" s="92"/>
      <c r="AL237" s="92"/>
      <c r="AM237" s="92"/>
      <c r="AN237" s="92"/>
      <c r="AO237" s="92"/>
      <c r="AP237" s="92"/>
      <c r="AQ237" s="92"/>
      <c r="AR237" s="92"/>
      <c r="AS237" s="92"/>
      <c r="AT237" s="92"/>
      <c r="AU237" s="92"/>
      <c r="AV237" s="92"/>
      <c r="AW237" s="92"/>
      <c r="AX237" s="92"/>
      <c r="AY237" s="92"/>
      <c r="AZ237" s="92"/>
      <c r="BA237" s="92"/>
      <c r="BB237" s="92"/>
      <c r="BC237" s="92"/>
      <c r="BD237" s="92"/>
      <c r="BE237" s="92"/>
      <c r="BF237" s="92"/>
      <c r="BG237" s="92"/>
      <c r="BH237" s="92"/>
      <c r="BI237" s="92"/>
      <c r="BJ237" s="92"/>
      <c r="BK237" s="92"/>
      <c r="BL237" s="92"/>
      <c r="BM237" s="92"/>
      <c r="BN237" s="92"/>
      <c r="BO237" s="92"/>
      <c r="BP237" s="92"/>
      <c r="BQ237" s="92"/>
      <c r="BR237" s="92"/>
      <c r="BS237" s="92"/>
      <c r="BT237" s="92"/>
      <c r="BU237" s="92"/>
      <c r="BV237" s="92"/>
      <c r="BW237" s="92"/>
      <c r="BX237" s="92"/>
      <c r="BY237" s="92"/>
      <c r="BZ237" s="92"/>
      <c r="CA237" s="92"/>
      <c r="CB237" s="92"/>
      <c r="CC237" s="92"/>
      <c r="CD237" s="92"/>
      <c r="CE237" s="92"/>
      <c r="CF237" s="92"/>
      <c r="CG237" s="92"/>
      <c r="CH237" s="92"/>
      <c r="CI237" s="92"/>
      <c r="CJ237" s="92"/>
      <c r="CK237" s="92"/>
      <c r="CL237" s="92"/>
      <c r="CM237" s="92"/>
      <c r="CN237" s="92"/>
      <c r="CO237" s="92"/>
      <c r="CP237" s="92"/>
      <c r="CQ237" s="92"/>
      <c r="CR237" s="92"/>
      <c r="CS237" s="92"/>
      <c r="CT237" s="92"/>
      <c r="CU237" s="92"/>
      <c r="CV237" s="92"/>
      <c r="CW237" s="92"/>
      <c r="CX237" s="92"/>
      <c r="CY237" s="92"/>
      <c r="CZ237" s="92"/>
      <c r="DA237" s="92"/>
      <c r="DB237" s="92"/>
      <c r="DC237" s="92"/>
      <c r="DD237" s="92"/>
      <c r="DE237" s="92"/>
      <c r="DF237" s="92"/>
      <c r="DG237" s="92"/>
      <c r="DH237" s="92"/>
      <c r="DI237" s="92"/>
      <c r="DJ237" s="92"/>
      <c r="DK237" s="92"/>
      <c r="DL237" s="92"/>
      <c r="DM237" s="92"/>
      <c r="DN237" s="92"/>
      <c r="DO237" s="92"/>
      <c r="DP237" s="92"/>
      <c r="DQ237" s="92"/>
      <c r="DR237" s="92"/>
      <c r="DS237" s="92"/>
      <c r="DT237" s="92"/>
      <c r="DU237" s="92"/>
      <c r="DV237" s="92"/>
      <c r="DW237" s="92"/>
      <c r="DX237" s="92"/>
      <c r="DY237" s="92"/>
      <c r="DZ237" s="92"/>
      <c r="EA237" s="92"/>
      <c r="EB237" s="92"/>
      <c r="EC237" s="92"/>
      <c r="ED237" s="92"/>
      <c r="EE237" s="92"/>
      <c r="EF237" s="92"/>
      <c r="EG237" s="92"/>
      <c r="EH237" s="92"/>
      <c r="EI237" s="92"/>
      <c r="EJ237" s="92"/>
      <c r="EK237" s="92"/>
      <c r="EL237" s="92"/>
      <c r="EM237" s="92"/>
      <c r="EN237" s="92"/>
      <c r="EO237" s="92"/>
      <c r="EP237" s="92"/>
      <c r="EQ237" s="92"/>
      <c r="ER237" s="92"/>
      <c r="ES237" s="92"/>
      <c r="ET237" s="92"/>
      <c r="EU237" s="92"/>
      <c r="EV237" s="92"/>
      <c r="EW237" s="92"/>
      <c r="EX237" s="92"/>
      <c r="EY237" s="92"/>
      <c r="EZ237" s="92"/>
      <c r="FA237" s="92"/>
      <c r="FB237" s="92"/>
      <c r="FC237" s="92"/>
      <c r="FD237" s="92"/>
      <c r="FE237" s="92"/>
      <c r="FF237" s="92"/>
      <c r="FG237" s="92"/>
      <c r="FH237" s="92"/>
    </row>
    <row r="238">
      <c r="A238" s="32" t="s">
        <v>47</v>
      </c>
      <c r="B238" s="32" t="s">
        <v>50</v>
      </c>
      <c r="C238" s="32" t="s">
        <v>11</v>
      </c>
      <c r="D238" s="97">
        <f t="shared" si="1"/>
        <v>555.8468937</v>
      </c>
      <c r="E238" s="92">
        <f>(SUBSTITUTE(Audio!E238, "RE-", "", 1))*1</f>
        <v>0</v>
      </c>
      <c r="F238" s="92">
        <f>(SUBSTITUTE(Audio!F238, "RE-", "", 1))*1</f>
        <v>0</v>
      </c>
      <c r="G238" s="92">
        <f>(SUBSTITUTE(Audio!G238, "RE-", "", 1))*1</f>
        <v>143.4335229</v>
      </c>
      <c r="H238" s="92">
        <f>(SUBSTITUTE(Audio!H238, "RE-", "", 1))*1</f>
        <v>0</v>
      </c>
      <c r="I238" s="92">
        <f>(SUBSTITUTE(Audio!I238, "RE-", "", 1))*1</f>
        <v>29.6228625</v>
      </c>
      <c r="J238" s="92">
        <f>(SUBSTITUTE(Audio!J238, "RE-", "", 1))*1</f>
        <v>0</v>
      </c>
      <c r="K238" s="92">
        <f>(SUBSTITUTE(Audio!K238, "RE-", "", 1))*1</f>
        <v>69.90194375</v>
      </c>
      <c r="L238" s="92">
        <f>(SUBSTITUTE(Audio!L238, "RE-", "", 1))*1</f>
        <v>0</v>
      </c>
      <c r="M238" s="92">
        <f>(SUBSTITUTE(Audio!M238, "RE-", "", 1))*1</f>
        <v>121.6270406</v>
      </c>
      <c r="N238" s="92">
        <f>(SUBSTITUTE(Audio!N238, "RE-", "", 1))*1</f>
        <v>0</v>
      </c>
      <c r="O238" s="92">
        <f>(SUBSTITUTE(Audio!O238, "RE-", "", 1))*1</f>
        <v>43.45508958</v>
      </c>
      <c r="P238" s="92">
        <f>(SUBSTITUTE(Audio!P238, "RE-", "", 1))*1</f>
        <v>0</v>
      </c>
      <c r="Q238" s="92">
        <f>(SUBSTITUTE(Audio!Q238, "RE-", "", 1))*1</f>
        <v>101.1668406</v>
      </c>
      <c r="R238" s="92">
        <f>(SUBSTITUTE(Audio!R238, "RE-", "", 1))*1</f>
        <v>0</v>
      </c>
      <c r="S238" s="92">
        <f>(SUBSTITUTE(Audio!S238, "RE-", "", 1))*1</f>
        <v>27.04573542</v>
      </c>
      <c r="T238" s="92">
        <f>(SUBSTITUTE(Audio!T238, "RE-", "", 1))*1</f>
        <v>0</v>
      </c>
      <c r="U238" s="92">
        <f>(SUBSTITUTE(Audio!U238, "RE-", "", 1))*1</f>
        <v>15.23800625</v>
      </c>
      <c r="V238" s="92">
        <f>(SUBSTITUTE(Audio!V238, "RE-", "", 1))*1</f>
        <v>4.355852083</v>
      </c>
      <c r="W238" s="92">
        <f>(SUBSTITUTE(Audio!W238, "RE-", "", 1))*1</f>
        <v>0</v>
      </c>
      <c r="X238" s="92">
        <f>(SUBSTITUTE(Audio!X238, "RE-", "", 1))*1</f>
        <v>0</v>
      </c>
      <c r="Y238" s="92">
        <f>(SUBSTITUTE(Audio!Y238, "RE-", "", 1))*1</f>
        <v>0</v>
      </c>
      <c r="Z238" s="92">
        <f>(SUBSTITUTE(Audio!Z238, "RE-", "", 1))*1</f>
        <v>0</v>
      </c>
      <c r="AA238" s="92"/>
      <c r="AB238" s="92"/>
      <c r="AC238" s="92"/>
      <c r="AD238" s="92"/>
      <c r="AE238" s="92"/>
      <c r="AF238" s="92"/>
      <c r="AG238" s="92"/>
      <c r="AH238" s="92"/>
      <c r="AI238" s="92"/>
      <c r="AJ238" s="92"/>
      <c r="AK238" s="92"/>
      <c r="AL238" s="92"/>
      <c r="AM238" s="92"/>
      <c r="AN238" s="92"/>
      <c r="AO238" s="92"/>
      <c r="AP238" s="92"/>
      <c r="AQ238" s="92"/>
      <c r="AR238" s="92"/>
      <c r="AS238" s="92"/>
      <c r="AT238" s="92"/>
      <c r="AU238" s="92"/>
      <c r="AV238" s="92"/>
      <c r="AW238" s="92"/>
      <c r="AX238" s="92"/>
      <c r="AY238" s="92"/>
      <c r="AZ238" s="92"/>
      <c r="BA238" s="92"/>
      <c r="BB238" s="92"/>
      <c r="BC238" s="92"/>
      <c r="BD238" s="92"/>
      <c r="BE238" s="92"/>
      <c r="BF238" s="92"/>
      <c r="BG238" s="92"/>
      <c r="BH238" s="92"/>
      <c r="BI238" s="92"/>
      <c r="BJ238" s="92"/>
      <c r="BK238" s="92"/>
      <c r="BL238" s="92"/>
      <c r="BM238" s="92"/>
      <c r="BN238" s="92"/>
      <c r="BO238" s="92"/>
      <c r="BP238" s="92"/>
      <c r="BQ238" s="92"/>
      <c r="BR238" s="92"/>
      <c r="BS238" s="92"/>
      <c r="BT238" s="92"/>
      <c r="BU238" s="92"/>
      <c r="BV238" s="92"/>
      <c r="BW238" s="92"/>
      <c r="BX238" s="92"/>
      <c r="BY238" s="92"/>
      <c r="BZ238" s="92"/>
      <c r="CA238" s="92"/>
      <c r="CB238" s="92"/>
      <c r="CC238" s="92"/>
      <c r="CD238" s="92"/>
      <c r="CE238" s="92"/>
      <c r="CF238" s="92"/>
      <c r="CG238" s="92"/>
      <c r="CH238" s="92"/>
      <c r="CI238" s="92"/>
      <c r="CJ238" s="92"/>
      <c r="CK238" s="92"/>
      <c r="CL238" s="92"/>
      <c r="CM238" s="92"/>
      <c r="CN238" s="92"/>
      <c r="CO238" s="92"/>
      <c r="CP238" s="92"/>
      <c r="CQ238" s="92"/>
      <c r="CR238" s="92"/>
      <c r="CS238" s="92"/>
      <c r="CT238" s="92"/>
      <c r="CU238" s="92"/>
      <c r="CV238" s="92"/>
      <c r="CW238" s="92"/>
      <c r="CX238" s="92"/>
      <c r="CY238" s="92"/>
      <c r="CZ238" s="92"/>
      <c r="DA238" s="92"/>
      <c r="DB238" s="92"/>
      <c r="DC238" s="92"/>
      <c r="DD238" s="92"/>
      <c r="DE238" s="92"/>
      <c r="DF238" s="92"/>
      <c r="DG238" s="92"/>
      <c r="DH238" s="92"/>
      <c r="DI238" s="92"/>
      <c r="DJ238" s="92"/>
      <c r="DK238" s="92"/>
      <c r="DL238" s="92"/>
      <c r="DM238" s="92"/>
      <c r="DN238" s="92"/>
      <c r="DO238" s="92"/>
      <c r="DP238" s="92"/>
      <c r="DQ238" s="92"/>
      <c r="DR238" s="92"/>
      <c r="DS238" s="92"/>
      <c r="DT238" s="92"/>
      <c r="DU238" s="92"/>
      <c r="DV238" s="92"/>
      <c r="DW238" s="92"/>
      <c r="DX238" s="92"/>
      <c r="DY238" s="92"/>
      <c r="DZ238" s="92"/>
      <c r="EA238" s="92"/>
      <c r="EB238" s="92"/>
      <c r="EC238" s="92"/>
      <c r="ED238" s="92"/>
      <c r="EE238" s="92"/>
      <c r="EF238" s="92"/>
      <c r="EG238" s="92"/>
      <c r="EH238" s="92"/>
      <c r="EI238" s="92"/>
      <c r="EJ238" s="92"/>
      <c r="EK238" s="92"/>
      <c r="EL238" s="92"/>
      <c r="EM238" s="92"/>
      <c r="EN238" s="92"/>
      <c r="EO238" s="92"/>
      <c r="EP238" s="92"/>
      <c r="EQ238" s="92"/>
      <c r="ER238" s="92"/>
      <c r="ES238" s="92"/>
      <c r="ET238" s="92"/>
      <c r="EU238" s="92"/>
      <c r="EV238" s="92"/>
      <c r="EW238" s="92"/>
      <c r="EX238" s="92"/>
      <c r="EY238" s="92"/>
      <c r="EZ238" s="92"/>
      <c r="FA238" s="92"/>
      <c r="FB238" s="92"/>
      <c r="FC238" s="92"/>
      <c r="FD238" s="92"/>
      <c r="FE238" s="92"/>
      <c r="FF238" s="92"/>
      <c r="FG238" s="92"/>
      <c r="FH238" s="92"/>
    </row>
    <row r="239">
      <c r="A239" s="32" t="s">
        <v>47</v>
      </c>
      <c r="B239" s="32" t="s">
        <v>50</v>
      </c>
      <c r="C239" s="32" t="s">
        <v>12</v>
      </c>
      <c r="D239" s="97">
        <f t="shared" si="1"/>
        <v>6273.294164</v>
      </c>
      <c r="E239" s="92">
        <f>(SUBSTITUTE(Audio!E239, "RE-", "", 1))*1</f>
        <v>0</v>
      </c>
      <c r="F239" s="92">
        <f>(SUBSTITUTE(Audio!F239, "RE-", "", 1))*1</f>
        <v>1189.857787</v>
      </c>
      <c r="G239" s="92">
        <f>(SUBSTITUTE(Audio!G239, "RE-", "", 1))*1</f>
        <v>4.620172917</v>
      </c>
      <c r="H239" s="92">
        <f>(SUBSTITUTE(Audio!H239, "RE-", "", 1))*1</f>
        <v>218.3034271</v>
      </c>
      <c r="I239" s="92">
        <f>(SUBSTITUTE(Audio!I239, "RE-", "", 1))*1</f>
        <v>0.3420104167</v>
      </c>
      <c r="J239" s="92">
        <f>(SUBSTITUTE(Audio!J239, "RE-", "", 1))*1</f>
        <v>1073.815383</v>
      </c>
      <c r="K239" s="92">
        <f>(SUBSTITUTE(Audio!K239, "RE-", "", 1))*1</f>
        <v>2.321566667</v>
      </c>
      <c r="L239" s="92">
        <f>(SUBSTITUTE(Audio!L239, "RE-", "", 1))*1</f>
        <v>2181.105426</v>
      </c>
      <c r="M239" s="92">
        <f>(SUBSTITUTE(Audio!M239, "RE-", "", 1))*1</f>
        <v>11.90839583</v>
      </c>
      <c r="N239" s="92">
        <f>(SUBSTITUTE(Audio!N239, "RE-", "", 1))*1</f>
        <v>138.3344385</v>
      </c>
      <c r="O239" s="92">
        <f>(SUBSTITUTE(Audio!O239, "RE-", "", 1))*1</f>
        <v>7.458932292</v>
      </c>
      <c r="P239" s="92">
        <f>(SUBSTITUTE(Audio!P239, "RE-", "", 1))*1</f>
        <v>923.2411375</v>
      </c>
      <c r="Q239" s="92">
        <f>(SUBSTITUTE(Audio!Q239, "RE-", "", 1))*1</f>
        <v>30.47740208</v>
      </c>
      <c r="R239" s="92">
        <f>(SUBSTITUTE(Audio!R239, "RE-", "", 1))*1</f>
        <v>246.0940313</v>
      </c>
      <c r="S239" s="92">
        <f>(SUBSTITUTE(Audio!S239, "RE-", "", 1))*1</f>
        <v>13.30783125</v>
      </c>
      <c r="T239" s="92">
        <f>(SUBSTITUTE(Audio!T239, "RE-", "", 1))*1</f>
        <v>218.1461729</v>
      </c>
      <c r="U239" s="92">
        <f>(SUBSTITUTE(Audio!U239, "RE-", "", 1))*1</f>
        <v>10.24326667</v>
      </c>
      <c r="V239" s="92">
        <f>(SUBSTITUTE(Audio!V239, "RE-", "", 1))*1</f>
        <v>3.71678125</v>
      </c>
      <c r="W239" s="92">
        <f>(SUBSTITUTE(Audio!W239, "RE-", "", 1))*1</f>
        <v>0</v>
      </c>
      <c r="X239" s="92">
        <f>(SUBSTITUTE(Audio!X239, "RE-", "", 1))*1</f>
        <v>0</v>
      </c>
      <c r="Y239" s="92">
        <f>(SUBSTITUTE(Audio!Y239, "RE-", "", 1))*1</f>
        <v>0</v>
      </c>
      <c r="Z239" s="92">
        <f>(SUBSTITUTE(Audio!Z239, "RE-", "", 1))*1</f>
        <v>0</v>
      </c>
      <c r="AA239" s="92"/>
      <c r="AB239" s="92"/>
      <c r="AC239" s="92"/>
      <c r="AD239" s="92"/>
      <c r="AE239" s="92"/>
      <c r="AF239" s="92"/>
      <c r="AG239" s="92"/>
      <c r="AH239" s="92"/>
      <c r="AI239" s="92"/>
      <c r="AJ239" s="92"/>
      <c r="AK239" s="92"/>
      <c r="AL239" s="92"/>
      <c r="AM239" s="92"/>
      <c r="AN239" s="92"/>
      <c r="AO239" s="92"/>
      <c r="AP239" s="92"/>
      <c r="AQ239" s="92"/>
      <c r="AR239" s="92"/>
      <c r="AS239" s="92"/>
      <c r="AT239" s="92"/>
      <c r="AU239" s="92"/>
      <c r="AV239" s="92"/>
      <c r="AW239" s="92"/>
      <c r="AX239" s="92"/>
      <c r="AY239" s="92"/>
      <c r="AZ239" s="92"/>
      <c r="BA239" s="92"/>
      <c r="BB239" s="92"/>
      <c r="BC239" s="92"/>
      <c r="BD239" s="92"/>
      <c r="BE239" s="92"/>
      <c r="BF239" s="92"/>
      <c r="BG239" s="92"/>
      <c r="BH239" s="92"/>
      <c r="BI239" s="92"/>
      <c r="BJ239" s="92"/>
      <c r="BK239" s="92"/>
      <c r="BL239" s="92"/>
      <c r="BM239" s="92"/>
      <c r="BN239" s="92"/>
      <c r="BO239" s="92"/>
      <c r="BP239" s="92"/>
      <c r="BQ239" s="92"/>
      <c r="BR239" s="92"/>
      <c r="BS239" s="92"/>
      <c r="BT239" s="92"/>
      <c r="BU239" s="92"/>
      <c r="BV239" s="92"/>
      <c r="BW239" s="92"/>
      <c r="BX239" s="92"/>
      <c r="BY239" s="92"/>
      <c r="BZ239" s="92"/>
      <c r="CA239" s="92"/>
      <c r="CB239" s="92"/>
      <c r="CC239" s="92"/>
      <c r="CD239" s="92"/>
      <c r="CE239" s="92"/>
      <c r="CF239" s="92"/>
      <c r="CG239" s="92"/>
      <c r="CH239" s="92"/>
      <c r="CI239" s="92"/>
      <c r="CJ239" s="92"/>
      <c r="CK239" s="92"/>
      <c r="CL239" s="92"/>
      <c r="CM239" s="92"/>
      <c r="CN239" s="92"/>
      <c r="CO239" s="92"/>
      <c r="CP239" s="92"/>
      <c r="CQ239" s="92"/>
      <c r="CR239" s="92"/>
      <c r="CS239" s="92"/>
      <c r="CT239" s="92"/>
      <c r="CU239" s="92"/>
      <c r="CV239" s="92"/>
      <c r="CW239" s="92"/>
      <c r="CX239" s="92"/>
      <c r="CY239" s="92"/>
      <c r="CZ239" s="92"/>
      <c r="DA239" s="92"/>
      <c r="DB239" s="92"/>
      <c r="DC239" s="92"/>
      <c r="DD239" s="92"/>
      <c r="DE239" s="92"/>
      <c r="DF239" s="92"/>
      <c r="DG239" s="92"/>
      <c r="DH239" s="92"/>
      <c r="DI239" s="92"/>
      <c r="DJ239" s="92"/>
      <c r="DK239" s="92"/>
      <c r="DL239" s="92"/>
      <c r="DM239" s="92"/>
      <c r="DN239" s="92"/>
      <c r="DO239" s="92"/>
      <c r="DP239" s="92"/>
      <c r="DQ239" s="92"/>
      <c r="DR239" s="92"/>
      <c r="DS239" s="92"/>
      <c r="DT239" s="92"/>
      <c r="DU239" s="92"/>
      <c r="DV239" s="92"/>
      <c r="DW239" s="92"/>
      <c r="DX239" s="92"/>
      <c r="DY239" s="92"/>
      <c r="DZ239" s="92"/>
      <c r="EA239" s="92"/>
      <c r="EB239" s="92"/>
      <c r="EC239" s="92"/>
      <c r="ED239" s="92"/>
      <c r="EE239" s="92"/>
      <c r="EF239" s="92"/>
      <c r="EG239" s="92"/>
      <c r="EH239" s="92"/>
      <c r="EI239" s="92"/>
      <c r="EJ239" s="92"/>
      <c r="EK239" s="92"/>
      <c r="EL239" s="92"/>
      <c r="EM239" s="92"/>
      <c r="EN239" s="92"/>
      <c r="EO239" s="92"/>
      <c r="EP239" s="92"/>
      <c r="EQ239" s="92"/>
      <c r="ER239" s="92"/>
      <c r="ES239" s="92"/>
      <c r="ET239" s="92"/>
      <c r="EU239" s="92"/>
      <c r="EV239" s="92"/>
      <c r="EW239" s="92"/>
      <c r="EX239" s="92"/>
      <c r="EY239" s="92"/>
      <c r="EZ239" s="92"/>
      <c r="FA239" s="92"/>
      <c r="FB239" s="92"/>
      <c r="FC239" s="92"/>
      <c r="FD239" s="92"/>
      <c r="FE239" s="92"/>
      <c r="FF239" s="92"/>
      <c r="FG239" s="92"/>
      <c r="FH239" s="92"/>
    </row>
    <row r="240">
      <c r="A240" s="32" t="s">
        <v>47</v>
      </c>
      <c r="B240" s="32" t="s">
        <v>50</v>
      </c>
      <c r="C240" s="32" t="s">
        <v>13</v>
      </c>
      <c r="D240" s="97">
        <f t="shared" si="1"/>
        <v>6055.963917</v>
      </c>
      <c r="E240" s="92">
        <f>(SUBSTITUTE(Audio!E240, "RE-", "", 1))*1</f>
        <v>0</v>
      </c>
      <c r="F240" s="92">
        <f>(SUBSTITUTE(Audio!F240, "RE-", "", 1))*1</f>
        <v>1161.96</v>
      </c>
      <c r="G240" s="92">
        <f>(SUBSTITUTE(Audio!G240, "RE-", "", 1))*1</f>
        <v>4.47963</v>
      </c>
      <c r="H240" s="92">
        <f>(SUBSTITUTE(Audio!H240, "RE-", "", 1))*1</f>
        <v>213.737</v>
      </c>
      <c r="I240" s="92">
        <f>(SUBSTITUTE(Audio!I240, "RE-", "", 1))*1</f>
        <v>0.340867</v>
      </c>
      <c r="J240" s="92">
        <f>(SUBSTITUTE(Audio!J240, "RE-", "", 1))*1</f>
        <v>1053.63</v>
      </c>
      <c r="K240" s="92">
        <f>(SUBSTITUTE(Audio!K240, "RE-", "", 1))*1</f>
        <v>2.25928</v>
      </c>
      <c r="L240" s="92">
        <f>(SUBSTITUTE(Audio!L240, "RE-", "", 1))*1</f>
        <v>2092.47</v>
      </c>
      <c r="M240" s="92">
        <f>(SUBSTITUTE(Audio!M240, "RE-", "", 1))*1</f>
        <v>11.1929</v>
      </c>
      <c r="N240" s="92">
        <f>(SUBSTITUTE(Audio!N240, "RE-", "", 1))*1</f>
        <v>134.113</v>
      </c>
      <c r="O240" s="92">
        <f>(SUBSTITUTE(Audio!O240, "RE-", "", 1))*1</f>
        <v>7.05037</v>
      </c>
      <c r="P240" s="92">
        <f>(SUBSTITUTE(Audio!P240, "RE-", "", 1))*1</f>
        <v>878.655</v>
      </c>
      <c r="Q240" s="92">
        <f>(SUBSTITUTE(Audio!Q240, "RE-", "", 1))*1</f>
        <v>28.408</v>
      </c>
      <c r="R240" s="92">
        <f>(SUBSTITUTE(Audio!R240, "RE-", "", 1))*1</f>
        <v>233.739</v>
      </c>
      <c r="S240" s="92">
        <f>(SUBSTITUTE(Audio!S240, "RE-", "", 1))*1</f>
        <v>12.5263</v>
      </c>
      <c r="T240" s="92">
        <f>(SUBSTITUTE(Audio!T240, "RE-", "", 1))*1</f>
        <v>208.037</v>
      </c>
      <c r="U240" s="92">
        <f>(SUBSTITUTE(Audio!U240, "RE-", "", 1))*1</f>
        <v>9.79912</v>
      </c>
      <c r="V240" s="92">
        <f>(SUBSTITUTE(Audio!V240, "RE-", "", 1))*1</f>
        <v>3.56645</v>
      </c>
      <c r="W240" s="92">
        <f>(SUBSTITUTE(Audio!W240, "RE-", "", 1))*1</f>
        <v>0</v>
      </c>
      <c r="X240" s="92">
        <f>(SUBSTITUTE(Audio!X240, "RE-", "", 1))*1</f>
        <v>0</v>
      </c>
      <c r="Y240" s="92">
        <f>(SUBSTITUTE(Audio!Y240, "RE-", "", 1))*1</f>
        <v>0</v>
      </c>
      <c r="Z240" s="92">
        <f>(SUBSTITUTE(Audio!Z240, "RE-", "", 1))*1</f>
        <v>0</v>
      </c>
      <c r="AA240" s="92"/>
      <c r="AB240" s="92"/>
      <c r="AC240" s="92"/>
      <c r="AD240" s="92"/>
      <c r="AE240" s="92"/>
      <c r="AF240" s="92"/>
      <c r="AG240" s="92"/>
      <c r="AH240" s="92"/>
      <c r="AI240" s="92"/>
      <c r="AJ240" s="92"/>
      <c r="AK240" s="92"/>
      <c r="AL240" s="92"/>
      <c r="AM240" s="92"/>
      <c r="AN240" s="92"/>
      <c r="AO240" s="92"/>
      <c r="AP240" s="92"/>
      <c r="AQ240" s="92"/>
      <c r="AR240" s="92"/>
      <c r="AS240" s="92"/>
      <c r="AT240" s="92"/>
      <c r="AU240" s="92"/>
      <c r="AV240" s="92"/>
      <c r="AW240" s="92"/>
      <c r="AX240" s="92"/>
      <c r="AY240" s="92"/>
      <c r="AZ240" s="92"/>
      <c r="BA240" s="92"/>
      <c r="BB240" s="92"/>
      <c r="BC240" s="92"/>
      <c r="BD240" s="92"/>
      <c r="BE240" s="92"/>
      <c r="BF240" s="92"/>
      <c r="BG240" s="92"/>
      <c r="BH240" s="92"/>
      <c r="BI240" s="92"/>
      <c r="BJ240" s="92"/>
      <c r="BK240" s="92"/>
      <c r="BL240" s="92"/>
      <c r="BM240" s="92"/>
      <c r="BN240" s="92"/>
      <c r="BO240" s="92"/>
      <c r="BP240" s="92"/>
      <c r="BQ240" s="92"/>
      <c r="BR240" s="92"/>
      <c r="BS240" s="92"/>
      <c r="BT240" s="92"/>
      <c r="BU240" s="92"/>
      <c r="BV240" s="92"/>
      <c r="BW240" s="92"/>
      <c r="BX240" s="92"/>
      <c r="BY240" s="92"/>
      <c r="BZ240" s="92"/>
      <c r="CA240" s="92"/>
      <c r="CB240" s="92"/>
      <c r="CC240" s="92"/>
      <c r="CD240" s="92"/>
      <c r="CE240" s="92"/>
      <c r="CF240" s="92"/>
      <c r="CG240" s="92"/>
      <c r="CH240" s="92"/>
      <c r="CI240" s="92"/>
      <c r="CJ240" s="92"/>
      <c r="CK240" s="92"/>
      <c r="CL240" s="92"/>
      <c r="CM240" s="92"/>
      <c r="CN240" s="92"/>
      <c r="CO240" s="92"/>
      <c r="CP240" s="92"/>
      <c r="CQ240" s="92"/>
      <c r="CR240" s="92"/>
      <c r="CS240" s="92"/>
      <c r="CT240" s="92"/>
      <c r="CU240" s="92"/>
      <c r="CV240" s="92"/>
      <c r="CW240" s="92"/>
      <c r="CX240" s="92"/>
      <c r="CY240" s="92"/>
      <c r="CZ240" s="92"/>
      <c r="DA240" s="92"/>
      <c r="DB240" s="92"/>
      <c r="DC240" s="92"/>
      <c r="DD240" s="92"/>
      <c r="DE240" s="92"/>
      <c r="DF240" s="92"/>
      <c r="DG240" s="92"/>
      <c r="DH240" s="92"/>
      <c r="DI240" s="92"/>
      <c r="DJ240" s="92"/>
      <c r="DK240" s="92"/>
      <c r="DL240" s="92"/>
      <c r="DM240" s="92"/>
      <c r="DN240" s="92"/>
      <c r="DO240" s="92"/>
      <c r="DP240" s="92"/>
      <c r="DQ240" s="92"/>
      <c r="DR240" s="92"/>
      <c r="DS240" s="92"/>
      <c r="DT240" s="92"/>
      <c r="DU240" s="92"/>
      <c r="DV240" s="92"/>
      <c r="DW240" s="92"/>
      <c r="DX240" s="92"/>
      <c r="DY240" s="92"/>
      <c r="DZ240" s="92"/>
      <c r="EA240" s="92"/>
      <c r="EB240" s="92"/>
      <c r="EC240" s="92"/>
      <c r="ED240" s="92"/>
      <c r="EE240" s="92"/>
      <c r="EF240" s="92"/>
      <c r="EG240" s="92"/>
      <c r="EH240" s="92"/>
      <c r="EI240" s="92"/>
      <c r="EJ240" s="92"/>
      <c r="EK240" s="92"/>
      <c r="EL240" s="92"/>
      <c r="EM240" s="92"/>
      <c r="EN240" s="92"/>
      <c r="EO240" s="92"/>
      <c r="EP240" s="92"/>
      <c r="EQ240" s="92"/>
      <c r="ER240" s="92"/>
      <c r="ES240" s="92"/>
      <c r="ET240" s="92"/>
      <c r="EU240" s="92"/>
      <c r="EV240" s="92"/>
      <c r="EW240" s="92"/>
      <c r="EX240" s="92"/>
      <c r="EY240" s="92"/>
      <c r="EZ240" s="92"/>
      <c r="FA240" s="92"/>
      <c r="FB240" s="92"/>
      <c r="FC240" s="92"/>
      <c r="FD240" s="92"/>
      <c r="FE240" s="92"/>
      <c r="FF240" s="92"/>
      <c r="FG240" s="92"/>
      <c r="FH240" s="92"/>
    </row>
    <row r="241">
      <c r="A241" s="32" t="s">
        <v>47</v>
      </c>
      <c r="B241" s="32" t="s">
        <v>50</v>
      </c>
      <c r="C241" s="32" t="s">
        <v>14</v>
      </c>
      <c r="D241" s="97">
        <f t="shared" si="1"/>
        <v>5272.384857</v>
      </c>
      <c r="E241" s="92">
        <f>(SUBSTITUTE(Audio!E241, "RE-", "", 1))*1</f>
        <v>0</v>
      </c>
      <c r="F241" s="92">
        <f>(SUBSTITUTE(Audio!F241, "RE-", "", 1))*1</f>
        <v>1019.78</v>
      </c>
      <c r="G241" s="92">
        <f>(SUBSTITUTE(Audio!G241, "RE-", "", 1))*1</f>
        <v>4.16652</v>
      </c>
      <c r="H241" s="92">
        <f>(SUBSTITUTE(Audio!H241, "RE-", "", 1))*1</f>
        <v>186.227</v>
      </c>
      <c r="I241" s="92">
        <f>(SUBSTITUTE(Audio!I241, "RE-", "", 1))*1</f>
        <v>0.340867</v>
      </c>
      <c r="J241" s="92">
        <f>(SUBSTITUTE(Audio!J241, "RE-", "", 1))*1</f>
        <v>948.278</v>
      </c>
      <c r="K241" s="92">
        <f>(SUBSTITUTE(Audio!K241, "RE-", "", 1))*1</f>
        <v>2.25928</v>
      </c>
      <c r="L241" s="92">
        <f>(SUBSTITUTE(Audio!L241, "RE-", "", 1))*1</f>
        <v>1823.99</v>
      </c>
      <c r="M241" s="92">
        <f>(SUBSTITUTE(Audio!M241, "RE-", "", 1))*1</f>
        <v>9.85832</v>
      </c>
      <c r="N241" s="92">
        <f>(SUBSTITUTE(Audio!N241, "RE-", "", 1))*1</f>
        <v>112.814</v>
      </c>
      <c r="O241" s="92">
        <f>(SUBSTITUTE(Audio!O241, "RE-", "", 1))*1</f>
        <v>5.09577</v>
      </c>
      <c r="P241" s="92">
        <f>(SUBSTITUTE(Audio!P241, "RE-", "", 1))*1</f>
        <v>749.906</v>
      </c>
      <c r="Q241" s="92">
        <f>(SUBSTITUTE(Audio!Q241, "RE-", "", 1))*1</f>
        <v>26.5367</v>
      </c>
      <c r="R241" s="92">
        <f>(SUBSTITUTE(Audio!R241, "RE-", "", 1))*1</f>
        <v>192.475</v>
      </c>
      <c r="S241" s="92">
        <f>(SUBSTITUTE(Audio!S241, "RE-", "", 1))*1</f>
        <v>10.503</v>
      </c>
      <c r="T241" s="92">
        <f>(SUBSTITUTE(Audio!T241, "RE-", "", 1))*1</f>
        <v>168.462</v>
      </c>
      <c r="U241" s="92">
        <f>(SUBSTITUTE(Audio!U241, "RE-", "", 1))*1</f>
        <v>8.12595</v>
      </c>
      <c r="V241" s="92">
        <f>(SUBSTITUTE(Audio!V241, "RE-", "", 1))*1</f>
        <v>3.56645</v>
      </c>
      <c r="W241" s="92">
        <f>(SUBSTITUTE(Audio!W241, "RE-", "", 1))*1</f>
        <v>0</v>
      </c>
      <c r="X241" s="92">
        <f>(SUBSTITUTE(Audio!X241, "RE-", "", 1))*1</f>
        <v>0</v>
      </c>
      <c r="Y241" s="92">
        <f>(SUBSTITUTE(Audio!Y241, "RE-", "", 1))*1</f>
        <v>0</v>
      </c>
      <c r="Z241" s="92">
        <f>(SUBSTITUTE(Audio!Z241, "RE-", "", 1))*1</f>
        <v>0</v>
      </c>
      <c r="AA241" s="92"/>
      <c r="AB241" s="92"/>
      <c r="AC241" s="92"/>
      <c r="AD241" s="92"/>
      <c r="AE241" s="92"/>
      <c r="AF241" s="92"/>
      <c r="AG241" s="92"/>
      <c r="AH241" s="92"/>
      <c r="AI241" s="92"/>
      <c r="AJ241" s="92"/>
      <c r="AK241" s="92"/>
      <c r="AL241" s="92"/>
      <c r="AM241" s="92"/>
      <c r="AN241" s="92"/>
      <c r="AO241" s="92"/>
      <c r="AP241" s="92"/>
      <c r="AQ241" s="92"/>
      <c r="AR241" s="92"/>
      <c r="AS241" s="92"/>
      <c r="AT241" s="92"/>
      <c r="AU241" s="92"/>
      <c r="AV241" s="92"/>
      <c r="AW241" s="92"/>
      <c r="AX241" s="92"/>
      <c r="AY241" s="92"/>
      <c r="AZ241" s="92"/>
      <c r="BA241" s="92"/>
      <c r="BB241" s="92"/>
      <c r="BC241" s="92"/>
      <c r="BD241" s="92"/>
      <c r="BE241" s="92"/>
      <c r="BF241" s="92"/>
      <c r="BG241" s="92"/>
      <c r="BH241" s="92"/>
      <c r="BI241" s="92"/>
      <c r="BJ241" s="92"/>
      <c r="BK241" s="92"/>
      <c r="BL241" s="92"/>
      <c r="BM241" s="92"/>
      <c r="BN241" s="92"/>
      <c r="BO241" s="92"/>
      <c r="BP241" s="92"/>
      <c r="BQ241" s="92"/>
      <c r="BR241" s="92"/>
      <c r="BS241" s="92"/>
      <c r="BT241" s="92"/>
      <c r="BU241" s="92"/>
      <c r="BV241" s="92"/>
      <c r="BW241" s="92"/>
      <c r="BX241" s="92"/>
      <c r="BY241" s="92"/>
      <c r="BZ241" s="92"/>
      <c r="CA241" s="92"/>
      <c r="CB241" s="92"/>
      <c r="CC241" s="92"/>
      <c r="CD241" s="92"/>
      <c r="CE241" s="92"/>
      <c r="CF241" s="92"/>
      <c r="CG241" s="92"/>
      <c r="CH241" s="92"/>
      <c r="CI241" s="92"/>
      <c r="CJ241" s="92"/>
      <c r="CK241" s="92"/>
      <c r="CL241" s="92"/>
      <c r="CM241" s="92"/>
      <c r="CN241" s="92"/>
      <c r="CO241" s="92"/>
      <c r="CP241" s="92"/>
      <c r="CQ241" s="92"/>
      <c r="CR241" s="92"/>
      <c r="CS241" s="92"/>
      <c r="CT241" s="92"/>
      <c r="CU241" s="92"/>
      <c r="CV241" s="92"/>
      <c r="CW241" s="92"/>
      <c r="CX241" s="92"/>
      <c r="CY241" s="92"/>
      <c r="CZ241" s="92"/>
      <c r="DA241" s="92"/>
      <c r="DB241" s="92"/>
      <c r="DC241" s="92"/>
      <c r="DD241" s="92"/>
      <c r="DE241" s="92"/>
      <c r="DF241" s="92"/>
      <c r="DG241" s="92"/>
      <c r="DH241" s="92"/>
      <c r="DI241" s="92"/>
      <c r="DJ241" s="92"/>
      <c r="DK241" s="92"/>
      <c r="DL241" s="92"/>
      <c r="DM241" s="92"/>
      <c r="DN241" s="92"/>
      <c r="DO241" s="92"/>
      <c r="DP241" s="92"/>
      <c r="DQ241" s="92"/>
      <c r="DR241" s="92"/>
      <c r="DS241" s="92"/>
      <c r="DT241" s="92"/>
      <c r="DU241" s="92"/>
      <c r="DV241" s="92"/>
      <c r="DW241" s="92"/>
      <c r="DX241" s="92"/>
      <c r="DY241" s="92"/>
      <c r="DZ241" s="92"/>
      <c r="EA241" s="92"/>
      <c r="EB241" s="92"/>
      <c r="EC241" s="92"/>
      <c r="ED241" s="92"/>
      <c r="EE241" s="92"/>
      <c r="EF241" s="92"/>
      <c r="EG241" s="92"/>
      <c r="EH241" s="92"/>
      <c r="EI241" s="92"/>
      <c r="EJ241" s="92"/>
      <c r="EK241" s="92"/>
      <c r="EL241" s="92"/>
      <c r="EM241" s="92"/>
      <c r="EN241" s="92"/>
      <c r="EO241" s="92"/>
      <c r="EP241" s="92"/>
      <c r="EQ241" s="92"/>
      <c r="ER241" s="92"/>
      <c r="ES241" s="92"/>
      <c r="ET241" s="92"/>
      <c r="EU241" s="92"/>
      <c r="EV241" s="92"/>
      <c r="EW241" s="92"/>
      <c r="EX241" s="92"/>
      <c r="EY241" s="92"/>
      <c r="EZ241" s="92"/>
      <c r="FA241" s="92"/>
      <c r="FB241" s="92"/>
      <c r="FC241" s="92"/>
      <c r="FD241" s="92"/>
      <c r="FE241" s="92"/>
      <c r="FF241" s="92"/>
      <c r="FG241" s="92"/>
      <c r="FH241" s="92"/>
    </row>
    <row r="242">
      <c r="A242" s="27" t="s">
        <v>47</v>
      </c>
      <c r="B242" s="27" t="s">
        <v>50</v>
      </c>
      <c r="C242" s="27" t="s">
        <v>15</v>
      </c>
      <c r="D242" s="98">
        <f t="shared" si="1"/>
        <v>6055.899917</v>
      </c>
      <c r="E242" s="92">
        <f>(SUBSTITUTE(Audio!E242, "RE-", "", 1))*1</f>
        <v>0</v>
      </c>
      <c r="F242" s="92">
        <f>(SUBSTITUTE(Audio!F242, "RE-", "", 1))*1</f>
        <v>1161.96</v>
      </c>
      <c r="G242" s="92">
        <f>(SUBSTITUTE(Audio!G242, "RE-", "", 1))*1</f>
        <v>4.47963</v>
      </c>
      <c r="H242" s="92">
        <f>(SUBSTITUTE(Audio!H242, "RE-", "", 1))*1</f>
        <v>213.737</v>
      </c>
      <c r="I242" s="92">
        <f>(SUBSTITUTE(Audio!I242, "RE-", "", 1))*1</f>
        <v>0.340867</v>
      </c>
      <c r="J242" s="92">
        <f>(SUBSTITUTE(Audio!J242, "RE-", "", 1))*1</f>
        <v>1053.63</v>
      </c>
      <c r="K242" s="92">
        <f>(SUBSTITUTE(Audio!K242, "RE-", "", 1))*1</f>
        <v>2.25928</v>
      </c>
      <c r="L242" s="92">
        <f>(SUBSTITUTE(Audio!L242, "RE-", "", 1))*1</f>
        <v>2092.45</v>
      </c>
      <c r="M242" s="92">
        <f>(SUBSTITUTE(Audio!M242, "RE-", "", 1))*1</f>
        <v>11.1929</v>
      </c>
      <c r="N242" s="92">
        <f>(SUBSTITUTE(Audio!N242, "RE-", "", 1))*1</f>
        <v>134.113</v>
      </c>
      <c r="O242" s="92">
        <f>(SUBSTITUTE(Audio!O242, "RE-", "", 1))*1</f>
        <v>7.05037</v>
      </c>
      <c r="P242" s="92">
        <f>(SUBSTITUTE(Audio!P242, "RE-", "", 1))*1</f>
        <v>878.611</v>
      </c>
      <c r="Q242" s="92">
        <f>(SUBSTITUTE(Audio!Q242, "RE-", "", 1))*1</f>
        <v>28.408</v>
      </c>
      <c r="R242" s="92">
        <f>(SUBSTITUTE(Audio!R242, "RE-", "", 1))*1</f>
        <v>233.739</v>
      </c>
      <c r="S242" s="92">
        <f>(SUBSTITUTE(Audio!S242, "RE-", "", 1))*1</f>
        <v>12.5263</v>
      </c>
      <c r="T242" s="92">
        <f>(SUBSTITUTE(Audio!T242, "RE-", "", 1))*1</f>
        <v>208.037</v>
      </c>
      <c r="U242" s="92">
        <f>(SUBSTITUTE(Audio!U242, "RE-", "", 1))*1</f>
        <v>9.79912</v>
      </c>
      <c r="V242" s="92">
        <f>(SUBSTITUTE(Audio!V242, "RE-", "", 1))*1</f>
        <v>3.56645</v>
      </c>
      <c r="W242" s="92">
        <f>(SUBSTITUTE(Audio!W242, "RE-", "", 1))*1</f>
        <v>0</v>
      </c>
      <c r="X242" s="92">
        <f>(SUBSTITUTE(Audio!X242, "RE-", "", 1))*1</f>
        <v>0</v>
      </c>
      <c r="Y242" s="92">
        <f>(SUBSTITUTE(Audio!Y242, "RE-", "", 1))*1</f>
        <v>0</v>
      </c>
      <c r="Z242" s="92">
        <f>(SUBSTITUTE(Audio!Z242, "RE-", "", 1))*1</f>
        <v>0</v>
      </c>
      <c r="AA242" s="92"/>
      <c r="AB242" s="92"/>
      <c r="AC242" s="92"/>
      <c r="AD242" s="92"/>
      <c r="AE242" s="92"/>
      <c r="AF242" s="92"/>
      <c r="AG242" s="92"/>
      <c r="AH242" s="92"/>
      <c r="AI242" s="92"/>
      <c r="AJ242" s="92"/>
      <c r="AK242" s="92"/>
      <c r="AL242" s="92"/>
      <c r="AM242" s="92"/>
      <c r="AN242" s="92"/>
      <c r="AO242" s="92"/>
      <c r="AP242" s="92"/>
      <c r="AQ242" s="92"/>
      <c r="AR242" s="92"/>
      <c r="AS242" s="92"/>
      <c r="AT242" s="92"/>
      <c r="AU242" s="92"/>
      <c r="AV242" s="92"/>
      <c r="AW242" s="92"/>
      <c r="AX242" s="92"/>
      <c r="AY242" s="92"/>
      <c r="AZ242" s="92"/>
      <c r="BA242" s="92"/>
      <c r="BB242" s="92"/>
      <c r="BC242" s="92"/>
      <c r="BD242" s="92"/>
      <c r="BE242" s="92"/>
      <c r="BF242" s="92"/>
      <c r="BG242" s="92"/>
      <c r="BH242" s="92"/>
      <c r="BI242" s="92"/>
      <c r="BJ242" s="92"/>
      <c r="BK242" s="92"/>
      <c r="BL242" s="92"/>
      <c r="BM242" s="92"/>
      <c r="BN242" s="92"/>
      <c r="BO242" s="92"/>
      <c r="BP242" s="92"/>
      <c r="BQ242" s="92"/>
      <c r="BR242" s="92"/>
      <c r="BS242" s="92"/>
      <c r="BT242" s="92"/>
      <c r="BU242" s="92"/>
      <c r="BV242" s="92"/>
      <c r="BW242" s="92"/>
      <c r="BX242" s="92"/>
      <c r="BY242" s="92"/>
      <c r="BZ242" s="92"/>
      <c r="CA242" s="92"/>
      <c r="CB242" s="92"/>
      <c r="CC242" s="92"/>
      <c r="CD242" s="92"/>
      <c r="CE242" s="92"/>
      <c r="CF242" s="92"/>
      <c r="CG242" s="92"/>
      <c r="CH242" s="92"/>
      <c r="CI242" s="92"/>
      <c r="CJ242" s="92"/>
      <c r="CK242" s="92"/>
      <c r="CL242" s="92"/>
      <c r="CM242" s="92"/>
      <c r="CN242" s="92"/>
      <c r="CO242" s="92"/>
      <c r="CP242" s="92"/>
      <c r="CQ242" s="92"/>
      <c r="CR242" s="92"/>
      <c r="CS242" s="92"/>
      <c r="CT242" s="92"/>
      <c r="CU242" s="92"/>
      <c r="CV242" s="92"/>
      <c r="CW242" s="92"/>
      <c r="CX242" s="92"/>
      <c r="CY242" s="92"/>
      <c r="CZ242" s="92"/>
      <c r="DA242" s="92"/>
      <c r="DB242" s="92"/>
      <c r="DC242" s="92"/>
      <c r="DD242" s="92"/>
      <c r="DE242" s="92"/>
      <c r="DF242" s="92"/>
      <c r="DG242" s="92"/>
      <c r="DH242" s="92"/>
      <c r="DI242" s="92"/>
      <c r="DJ242" s="92"/>
      <c r="DK242" s="92"/>
      <c r="DL242" s="92"/>
      <c r="DM242" s="92"/>
      <c r="DN242" s="92"/>
      <c r="DO242" s="92"/>
      <c r="DP242" s="92"/>
      <c r="DQ242" s="92"/>
      <c r="DR242" s="92"/>
      <c r="DS242" s="92"/>
      <c r="DT242" s="92"/>
      <c r="DU242" s="92"/>
      <c r="DV242" s="92"/>
      <c r="DW242" s="92"/>
      <c r="DX242" s="92"/>
      <c r="DY242" s="92"/>
      <c r="DZ242" s="92"/>
      <c r="EA242" s="92"/>
      <c r="EB242" s="92"/>
      <c r="EC242" s="92"/>
      <c r="ED242" s="92"/>
      <c r="EE242" s="92"/>
      <c r="EF242" s="92"/>
      <c r="EG242" s="92"/>
      <c r="EH242" s="92"/>
      <c r="EI242" s="92"/>
      <c r="EJ242" s="92"/>
      <c r="EK242" s="92"/>
      <c r="EL242" s="92"/>
      <c r="EM242" s="92"/>
      <c r="EN242" s="92"/>
      <c r="EO242" s="92"/>
      <c r="EP242" s="92"/>
      <c r="EQ242" s="92"/>
      <c r="ER242" s="92"/>
      <c r="ES242" s="92"/>
      <c r="ET242" s="92"/>
      <c r="EU242" s="92"/>
      <c r="EV242" s="92"/>
      <c r="EW242" s="92"/>
      <c r="EX242" s="92"/>
      <c r="EY242" s="92"/>
      <c r="EZ242" s="92"/>
      <c r="FA242" s="92"/>
      <c r="FB242" s="92"/>
      <c r="FC242" s="92"/>
      <c r="FD242" s="92"/>
      <c r="FE242" s="92"/>
      <c r="FF242" s="92"/>
      <c r="FG242" s="92"/>
      <c r="FH242" s="92"/>
    </row>
    <row r="243">
      <c r="A243" s="30" t="s">
        <v>47</v>
      </c>
      <c r="B243" s="30" t="s">
        <v>51</v>
      </c>
      <c r="C243" s="31" t="str">
        <f>HYPERLINK("https://docs.google.com/spreadsheets/d/1ZI6R62bTv2LFik8Yf4SmU8Uequ4Ye57M/edit?usp=share_link&amp;ouid=118279477453217743021&amp;rtpof=true&amp;sd=true", "Raw Delivered")</f>
        <v>Raw Delivered</v>
      </c>
      <c r="D243" s="96">
        <f t="shared" si="1"/>
        <v>4419.998652</v>
      </c>
      <c r="E243" s="92">
        <f>(SUBSTITUTE(Audio!E243, "RE-", "", 1))*1</f>
        <v>0</v>
      </c>
      <c r="F243" s="92">
        <f>(SUBSTITUTE(Audio!F243, "RE-", "", 1))*1</f>
        <v>963.3486198</v>
      </c>
      <c r="G243" s="92">
        <f>(SUBSTITUTE(Audio!G243, "RE-", "", 1))*1</f>
        <v>0</v>
      </c>
      <c r="H243" s="92">
        <f>(SUBSTITUTE(Audio!H243, "RE-", "", 1))*1</f>
        <v>169.1849208</v>
      </c>
      <c r="I243" s="92">
        <f>(SUBSTITUTE(Audio!I243, "RE-", "", 1))*1</f>
        <v>0</v>
      </c>
      <c r="J243" s="92">
        <f>(SUBSTITUTE(Audio!J243, "RE-", "", 1))*1</f>
        <v>978.5267063</v>
      </c>
      <c r="K243" s="92">
        <f>(SUBSTITUTE(Audio!K243, "RE-", "", 1))*1</f>
        <v>0</v>
      </c>
      <c r="L243" s="92">
        <f>(SUBSTITUTE(Audio!L243, "RE-", "", 1))*1</f>
        <v>1394.78932</v>
      </c>
      <c r="M243" s="92">
        <f>(SUBSTITUTE(Audio!M243, "RE-", "", 1))*1</f>
        <v>0</v>
      </c>
      <c r="N243" s="92">
        <f>(SUBSTITUTE(Audio!N243, "RE-", "", 1))*1</f>
        <v>203.8927521</v>
      </c>
      <c r="O243" s="92">
        <f>(SUBSTITUTE(Audio!O243, "RE-", "", 1))*1</f>
        <v>0</v>
      </c>
      <c r="P243" s="92">
        <f>(SUBSTITUTE(Audio!P243, "RE-", "", 1))*1</f>
        <v>411.7167146</v>
      </c>
      <c r="Q243" s="92">
        <f>(SUBSTITUTE(Audio!Q243, "RE-", "", 1))*1</f>
        <v>0</v>
      </c>
      <c r="R243" s="92">
        <f>(SUBSTITUTE(Audio!R243, "RE-", "", 1))*1</f>
        <v>174.6169135</v>
      </c>
      <c r="S243" s="92">
        <f>(SUBSTITUTE(Audio!S243, "RE-", "", 1))*1</f>
        <v>0</v>
      </c>
      <c r="T243" s="92">
        <f>(SUBSTITUTE(Audio!T243, "RE-", "", 1))*1</f>
        <v>123.9227052</v>
      </c>
      <c r="U243" s="92">
        <f>(SUBSTITUTE(Audio!U243, "RE-", "", 1))*1</f>
        <v>0</v>
      </c>
      <c r="V243" s="92">
        <f>(SUBSTITUTE(Audio!V243, "RE-", "", 1))*1</f>
        <v>0</v>
      </c>
      <c r="W243" s="92">
        <f>(SUBSTITUTE(Audio!W243, "RE-", "", 1))*1</f>
        <v>0</v>
      </c>
      <c r="X243" s="92">
        <f>(SUBSTITUTE(Audio!X243, "RE-", "", 1))*1</f>
        <v>0</v>
      </c>
      <c r="Y243" s="92">
        <f>(SUBSTITUTE(Audio!Y243, "RE-", "", 1))*1</f>
        <v>0</v>
      </c>
      <c r="Z243" s="92">
        <f>(SUBSTITUTE(Audio!Z243, "RE-", "", 1))*1</f>
        <v>0</v>
      </c>
      <c r="AA243" s="92"/>
      <c r="AB243" s="92"/>
      <c r="AC243" s="92"/>
      <c r="AD243" s="92"/>
      <c r="AE243" s="92"/>
      <c r="AF243" s="92"/>
      <c r="AG243" s="92"/>
      <c r="AH243" s="92"/>
      <c r="AI243" s="92"/>
      <c r="AJ243" s="92"/>
      <c r="AK243" s="92"/>
      <c r="AL243" s="92"/>
      <c r="AM243" s="92"/>
      <c r="AN243" s="92"/>
      <c r="AO243" s="92"/>
      <c r="AP243" s="92"/>
      <c r="AQ243" s="92"/>
      <c r="AR243" s="92"/>
      <c r="AS243" s="92"/>
      <c r="AT243" s="92"/>
      <c r="AU243" s="92"/>
      <c r="AV243" s="92"/>
      <c r="AW243" s="92"/>
      <c r="AX243" s="92"/>
      <c r="AY243" s="92"/>
      <c r="AZ243" s="92"/>
      <c r="BA243" s="92"/>
      <c r="BB243" s="92"/>
      <c r="BC243" s="92"/>
      <c r="BD243" s="92"/>
      <c r="BE243" s="92"/>
      <c r="BF243" s="92"/>
      <c r="BG243" s="92"/>
      <c r="BH243" s="92"/>
      <c r="BI243" s="92"/>
      <c r="BJ243" s="92"/>
      <c r="BK243" s="92"/>
      <c r="BL243" s="92"/>
      <c r="BM243" s="92"/>
      <c r="BN243" s="92"/>
      <c r="BO243" s="92"/>
      <c r="BP243" s="92"/>
      <c r="BQ243" s="92"/>
      <c r="BR243" s="92"/>
      <c r="BS243" s="92"/>
      <c r="BT243" s="92"/>
      <c r="BU243" s="92"/>
      <c r="BV243" s="92"/>
      <c r="BW243" s="92"/>
      <c r="BX243" s="92"/>
      <c r="BY243" s="92"/>
      <c r="BZ243" s="92"/>
      <c r="CA243" s="92"/>
      <c r="CB243" s="92"/>
      <c r="CC243" s="92"/>
      <c r="CD243" s="92"/>
      <c r="CE243" s="92"/>
      <c r="CF243" s="92"/>
      <c r="CG243" s="92"/>
      <c r="CH243" s="92"/>
      <c r="CI243" s="92"/>
      <c r="CJ243" s="92"/>
      <c r="CK243" s="92"/>
      <c r="CL243" s="92"/>
      <c r="CM243" s="92"/>
      <c r="CN243" s="92"/>
      <c r="CO243" s="92"/>
      <c r="CP243" s="92"/>
      <c r="CQ243" s="92"/>
      <c r="CR243" s="92"/>
      <c r="CS243" s="92"/>
      <c r="CT243" s="92"/>
      <c r="CU243" s="92"/>
      <c r="CV243" s="92"/>
      <c r="CW243" s="92"/>
      <c r="CX243" s="92"/>
      <c r="CY243" s="92"/>
      <c r="CZ243" s="92"/>
      <c r="DA243" s="92"/>
      <c r="DB243" s="92"/>
      <c r="DC243" s="92"/>
      <c r="DD243" s="92"/>
      <c r="DE243" s="92"/>
      <c r="DF243" s="92"/>
      <c r="DG243" s="92"/>
      <c r="DH243" s="92"/>
      <c r="DI243" s="92"/>
      <c r="DJ243" s="92"/>
      <c r="DK243" s="92"/>
      <c r="DL243" s="92"/>
      <c r="DM243" s="92"/>
      <c r="DN243" s="92"/>
      <c r="DO243" s="92"/>
      <c r="DP243" s="92"/>
      <c r="DQ243" s="92"/>
      <c r="DR243" s="92"/>
      <c r="DS243" s="92"/>
      <c r="DT243" s="92"/>
      <c r="DU243" s="92"/>
      <c r="DV243" s="92"/>
      <c r="DW243" s="92"/>
      <c r="DX243" s="92"/>
      <c r="DY243" s="92"/>
      <c r="DZ243" s="92"/>
      <c r="EA243" s="92"/>
      <c r="EB243" s="92"/>
      <c r="EC243" s="92"/>
      <c r="ED243" s="92"/>
      <c r="EE243" s="92"/>
      <c r="EF243" s="92"/>
      <c r="EG243" s="92"/>
      <c r="EH243" s="92"/>
      <c r="EI243" s="92"/>
      <c r="EJ243" s="92"/>
      <c r="EK243" s="92"/>
      <c r="EL243" s="92"/>
      <c r="EM243" s="92"/>
      <c r="EN243" s="92"/>
      <c r="EO243" s="92"/>
      <c r="EP243" s="92"/>
      <c r="EQ243" s="92"/>
      <c r="ER243" s="92"/>
      <c r="ES243" s="92"/>
      <c r="ET243" s="92"/>
      <c r="EU243" s="92"/>
      <c r="EV243" s="92"/>
      <c r="EW243" s="92"/>
      <c r="EX243" s="92"/>
      <c r="EY243" s="92"/>
      <c r="EZ243" s="92"/>
      <c r="FA243" s="92"/>
      <c r="FB243" s="92"/>
      <c r="FC243" s="92"/>
      <c r="FD243" s="92"/>
      <c r="FE243" s="92"/>
      <c r="FF243" s="92"/>
      <c r="FG243" s="92"/>
      <c r="FH243" s="92"/>
    </row>
    <row r="244">
      <c r="A244" s="32" t="s">
        <v>47</v>
      </c>
      <c r="B244" s="32" t="s">
        <v>51</v>
      </c>
      <c r="C244" s="32" t="s">
        <v>9</v>
      </c>
      <c r="D244" s="97">
        <f t="shared" si="1"/>
        <v>4419.998652</v>
      </c>
      <c r="E244" s="92">
        <f>(SUBSTITUTE(Audio!E244, "RE-", "", 1))*1</f>
        <v>0</v>
      </c>
      <c r="F244" s="92">
        <f>(SUBSTITUTE(Audio!F244, "RE-", "", 1))*1</f>
        <v>963.3486198</v>
      </c>
      <c r="G244" s="92">
        <f>(SUBSTITUTE(Audio!G244, "RE-", "", 1))*1</f>
        <v>0</v>
      </c>
      <c r="H244" s="92">
        <f>(SUBSTITUTE(Audio!H244, "RE-", "", 1))*1</f>
        <v>169.1849208</v>
      </c>
      <c r="I244" s="92">
        <f>(SUBSTITUTE(Audio!I244, "RE-", "", 1))*1</f>
        <v>0</v>
      </c>
      <c r="J244" s="92">
        <f>(SUBSTITUTE(Audio!J244, "RE-", "", 1))*1</f>
        <v>978.5267063</v>
      </c>
      <c r="K244" s="92">
        <f>(SUBSTITUTE(Audio!K244, "RE-", "", 1))*1</f>
        <v>0</v>
      </c>
      <c r="L244" s="92">
        <f>(SUBSTITUTE(Audio!L244, "RE-", "", 1))*1</f>
        <v>1394.78932</v>
      </c>
      <c r="M244" s="92">
        <f>(SUBSTITUTE(Audio!M244, "RE-", "", 1))*1</f>
        <v>0</v>
      </c>
      <c r="N244" s="92">
        <f>(SUBSTITUTE(Audio!N244, "RE-", "", 1))*1</f>
        <v>203.8927521</v>
      </c>
      <c r="O244" s="92">
        <f>(SUBSTITUTE(Audio!O244, "RE-", "", 1))*1</f>
        <v>0</v>
      </c>
      <c r="P244" s="92">
        <f>(SUBSTITUTE(Audio!P244, "RE-", "", 1))*1</f>
        <v>411.7167146</v>
      </c>
      <c r="Q244" s="92">
        <f>(SUBSTITUTE(Audio!Q244, "RE-", "", 1))*1</f>
        <v>0</v>
      </c>
      <c r="R244" s="92">
        <f>(SUBSTITUTE(Audio!R244, "RE-", "", 1))*1</f>
        <v>174.6169135</v>
      </c>
      <c r="S244" s="92">
        <f>(SUBSTITUTE(Audio!S244, "RE-", "", 1))*1</f>
        <v>0</v>
      </c>
      <c r="T244" s="92">
        <f>(SUBSTITUTE(Audio!T244, "RE-", "", 1))*1</f>
        <v>123.9227052</v>
      </c>
      <c r="U244" s="92">
        <f>(SUBSTITUTE(Audio!U244, "RE-", "", 1))*1</f>
        <v>0</v>
      </c>
      <c r="V244" s="92">
        <f>(SUBSTITUTE(Audio!V244, "RE-", "", 1))*1</f>
        <v>0</v>
      </c>
      <c r="W244" s="92">
        <f>(SUBSTITUTE(Audio!W244, "RE-", "", 1))*1</f>
        <v>0</v>
      </c>
      <c r="X244" s="92">
        <f>(SUBSTITUTE(Audio!X244, "RE-", "", 1))*1</f>
        <v>0</v>
      </c>
      <c r="Y244" s="92">
        <f>(SUBSTITUTE(Audio!Y244, "RE-", "", 1))*1</f>
        <v>0</v>
      </c>
      <c r="Z244" s="92">
        <f>(SUBSTITUTE(Audio!Z244, "RE-", "", 1))*1</f>
        <v>0</v>
      </c>
      <c r="AA244" s="92"/>
      <c r="AB244" s="92"/>
      <c r="AC244" s="92"/>
      <c r="AD244" s="92"/>
      <c r="AE244" s="92"/>
      <c r="AF244" s="92"/>
      <c r="AG244" s="92"/>
      <c r="AH244" s="92"/>
      <c r="AI244" s="92"/>
      <c r="AJ244" s="92"/>
      <c r="AK244" s="92"/>
      <c r="AL244" s="92"/>
      <c r="AM244" s="92"/>
      <c r="AN244" s="92"/>
      <c r="AO244" s="92"/>
      <c r="AP244" s="92"/>
      <c r="AQ244" s="92"/>
      <c r="AR244" s="92"/>
      <c r="AS244" s="92"/>
      <c r="AT244" s="92"/>
      <c r="AU244" s="92"/>
      <c r="AV244" s="92"/>
      <c r="AW244" s="92"/>
      <c r="AX244" s="92"/>
      <c r="AY244" s="92"/>
      <c r="AZ244" s="92"/>
      <c r="BA244" s="92"/>
      <c r="BB244" s="92"/>
      <c r="BC244" s="92"/>
      <c r="BD244" s="92"/>
      <c r="BE244" s="92"/>
      <c r="BF244" s="92"/>
      <c r="BG244" s="92"/>
      <c r="BH244" s="92"/>
      <c r="BI244" s="92"/>
      <c r="BJ244" s="92"/>
      <c r="BK244" s="92"/>
      <c r="BL244" s="92"/>
      <c r="BM244" s="92"/>
      <c r="BN244" s="92"/>
      <c r="BO244" s="92"/>
      <c r="BP244" s="92"/>
      <c r="BQ244" s="92"/>
      <c r="BR244" s="92"/>
      <c r="BS244" s="92"/>
      <c r="BT244" s="92"/>
      <c r="BU244" s="92"/>
      <c r="BV244" s="92"/>
      <c r="BW244" s="92"/>
      <c r="BX244" s="92"/>
      <c r="BY244" s="92"/>
      <c r="BZ244" s="92"/>
      <c r="CA244" s="92"/>
      <c r="CB244" s="92"/>
      <c r="CC244" s="92"/>
      <c r="CD244" s="92"/>
      <c r="CE244" s="92"/>
      <c r="CF244" s="92"/>
      <c r="CG244" s="92"/>
      <c r="CH244" s="92"/>
      <c r="CI244" s="92"/>
      <c r="CJ244" s="92"/>
      <c r="CK244" s="92"/>
      <c r="CL244" s="92"/>
      <c r="CM244" s="92"/>
      <c r="CN244" s="92"/>
      <c r="CO244" s="92"/>
      <c r="CP244" s="92"/>
      <c r="CQ244" s="92"/>
      <c r="CR244" s="92"/>
      <c r="CS244" s="92"/>
      <c r="CT244" s="92"/>
      <c r="CU244" s="92"/>
      <c r="CV244" s="92"/>
      <c r="CW244" s="92"/>
      <c r="CX244" s="92"/>
      <c r="CY244" s="92"/>
      <c r="CZ244" s="92"/>
      <c r="DA244" s="92"/>
      <c r="DB244" s="92"/>
      <c r="DC244" s="92"/>
      <c r="DD244" s="92"/>
      <c r="DE244" s="92"/>
      <c r="DF244" s="92"/>
      <c r="DG244" s="92"/>
      <c r="DH244" s="92"/>
      <c r="DI244" s="92"/>
      <c r="DJ244" s="92"/>
      <c r="DK244" s="92"/>
      <c r="DL244" s="92"/>
      <c r="DM244" s="92"/>
      <c r="DN244" s="92"/>
      <c r="DO244" s="92"/>
      <c r="DP244" s="92"/>
      <c r="DQ244" s="92"/>
      <c r="DR244" s="92"/>
      <c r="DS244" s="92"/>
      <c r="DT244" s="92"/>
      <c r="DU244" s="92"/>
      <c r="DV244" s="92"/>
      <c r="DW244" s="92"/>
      <c r="DX244" s="92"/>
      <c r="DY244" s="92"/>
      <c r="DZ244" s="92"/>
      <c r="EA244" s="92"/>
      <c r="EB244" s="92"/>
      <c r="EC244" s="92"/>
      <c r="ED244" s="92"/>
      <c r="EE244" s="92"/>
      <c r="EF244" s="92"/>
      <c r="EG244" s="92"/>
      <c r="EH244" s="92"/>
      <c r="EI244" s="92"/>
      <c r="EJ244" s="92"/>
      <c r="EK244" s="92"/>
      <c r="EL244" s="92"/>
      <c r="EM244" s="92"/>
      <c r="EN244" s="92"/>
      <c r="EO244" s="92"/>
      <c r="EP244" s="92"/>
      <c r="EQ244" s="92"/>
      <c r="ER244" s="92"/>
      <c r="ES244" s="92"/>
      <c r="ET244" s="92"/>
      <c r="EU244" s="92"/>
      <c r="EV244" s="92"/>
      <c r="EW244" s="92"/>
      <c r="EX244" s="92"/>
      <c r="EY244" s="92"/>
      <c r="EZ244" s="92"/>
      <c r="FA244" s="92"/>
      <c r="FB244" s="92"/>
      <c r="FC244" s="92"/>
      <c r="FD244" s="92"/>
      <c r="FE244" s="92"/>
      <c r="FF244" s="92"/>
      <c r="FG244" s="92"/>
      <c r="FH244" s="92"/>
    </row>
    <row r="245">
      <c r="A245" s="32" t="s">
        <v>47</v>
      </c>
      <c r="B245" s="32" t="s">
        <v>51</v>
      </c>
      <c r="C245" s="32" t="s">
        <v>10</v>
      </c>
      <c r="D245" s="97">
        <f t="shared" si="1"/>
        <v>348.923076</v>
      </c>
      <c r="E245" s="92">
        <f>(SUBSTITUTE(Audio!E245, "RE-", "", 1))*1</f>
        <v>0</v>
      </c>
      <c r="F245" s="92">
        <f>(SUBSTITUTE(Audio!F245, "RE-", "", 1))*1</f>
        <v>0</v>
      </c>
      <c r="G245" s="92">
        <f>(SUBSTITUTE(Audio!G245, "RE-", "", 1))*1</f>
        <v>109.5371583</v>
      </c>
      <c r="H245" s="92">
        <f>(SUBSTITUTE(Audio!H245, "RE-", "", 1))*1</f>
        <v>0</v>
      </c>
      <c r="I245" s="92">
        <f>(SUBSTITUTE(Audio!I245, "RE-", "", 1))*1</f>
        <v>14.53272708</v>
      </c>
      <c r="J245" s="92">
        <f>(SUBSTITUTE(Audio!J245, "RE-", "", 1))*1</f>
        <v>0</v>
      </c>
      <c r="K245" s="92">
        <f>(SUBSTITUTE(Audio!K245, "RE-", "", 1))*1</f>
        <v>67.19564896</v>
      </c>
      <c r="L245" s="92">
        <f>(SUBSTITUTE(Audio!L245, "RE-", "", 1))*1</f>
        <v>0</v>
      </c>
      <c r="M245" s="92">
        <f>(SUBSTITUTE(Audio!M245, "RE-", "", 1))*1</f>
        <v>57.17846042</v>
      </c>
      <c r="N245" s="92">
        <f>(SUBSTITUTE(Audio!N245, "RE-", "", 1))*1</f>
        <v>0</v>
      </c>
      <c r="O245" s="92">
        <f>(SUBSTITUTE(Audio!O245, "RE-", "", 1))*1</f>
        <v>16.85231146</v>
      </c>
      <c r="P245" s="92">
        <f>(SUBSTITUTE(Audio!P245, "RE-", "", 1))*1</f>
        <v>0</v>
      </c>
      <c r="Q245" s="92">
        <f>(SUBSTITUTE(Audio!Q245, "RE-", "", 1))*1</f>
        <v>44.61486771</v>
      </c>
      <c r="R245" s="92">
        <f>(SUBSTITUTE(Audio!R245, "RE-", "", 1))*1</f>
        <v>0</v>
      </c>
      <c r="S245" s="92">
        <f>(SUBSTITUTE(Audio!S245, "RE-", "", 1))*1</f>
        <v>23.26852708</v>
      </c>
      <c r="T245" s="92">
        <f>(SUBSTITUTE(Audio!T245, "RE-", "", 1))*1</f>
        <v>0</v>
      </c>
      <c r="U245" s="92">
        <f>(SUBSTITUTE(Audio!U245, "RE-", "", 1))*1</f>
        <v>9.12179375</v>
      </c>
      <c r="V245" s="92">
        <f>(SUBSTITUTE(Audio!V245, "RE-", "", 1))*1</f>
        <v>6.62158125</v>
      </c>
      <c r="W245" s="92">
        <f>(SUBSTITUTE(Audio!W245, "RE-", "", 1))*1</f>
        <v>0</v>
      </c>
      <c r="X245" s="92">
        <f>(SUBSTITUTE(Audio!X245, "RE-", "", 1))*1</f>
        <v>0</v>
      </c>
      <c r="Y245" s="92">
        <f>(SUBSTITUTE(Audio!Y245, "RE-", "", 1))*1</f>
        <v>0</v>
      </c>
      <c r="Z245" s="92">
        <f>(SUBSTITUTE(Audio!Z245, "RE-", "", 1))*1</f>
        <v>0</v>
      </c>
      <c r="AA245" s="92"/>
      <c r="AB245" s="92"/>
      <c r="AC245" s="92"/>
      <c r="AD245" s="92"/>
      <c r="AE245" s="92"/>
      <c r="AF245" s="92"/>
      <c r="AG245" s="92"/>
      <c r="AH245" s="92"/>
      <c r="AI245" s="92"/>
      <c r="AJ245" s="92"/>
      <c r="AK245" s="92"/>
      <c r="AL245" s="92"/>
      <c r="AM245" s="92"/>
      <c r="AN245" s="92"/>
      <c r="AO245" s="92"/>
      <c r="AP245" s="92"/>
      <c r="AQ245" s="92"/>
      <c r="AR245" s="92"/>
      <c r="AS245" s="92"/>
      <c r="AT245" s="92"/>
      <c r="AU245" s="92"/>
      <c r="AV245" s="92"/>
      <c r="AW245" s="92"/>
      <c r="AX245" s="92"/>
      <c r="AY245" s="92"/>
      <c r="AZ245" s="92"/>
      <c r="BA245" s="92"/>
      <c r="BB245" s="92"/>
      <c r="BC245" s="92"/>
      <c r="BD245" s="92"/>
      <c r="BE245" s="92"/>
      <c r="BF245" s="92"/>
      <c r="BG245" s="92"/>
      <c r="BH245" s="92"/>
      <c r="BI245" s="92"/>
      <c r="BJ245" s="92"/>
      <c r="BK245" s="92"/>
      <c r="BL245" s="92"/>
      <c r="BM245" s="92"/>
      <c r="BN245" s="92"/>
      <c r="BO245" s="92"/>
      <c r="BP245" s="92"/>
      <c r="BQ245" s="92"/>
      <c r="BR245" s="92"/>
      <c r="BS245" s="92"/>
      <c r="BT245" s="92"/>
      <c r="BU245" s="92"/>
      <c r="BV245" s="92"/>
      <c r="BW245" s="92"/>
      <c r="BX245" s="92"/>
      <c r="BY245" s="92"/>
      <c r="BZ245" s="92"/>
      <c r="CA245" s="92"/>
      <c r="CB245" s="92"/>
      <c r="CC245" s="92"/>
      <c r="CD245" s="92"/>
      <c r="CE245" s="92"/>
      <c r="CF245" s="92"/>
      <c r="CG245" s="92"/>
      <c r="CH245" s="92"/>
      <c r="CI245" s="92"/>
      <c r="CJ245" s="92"/>
      <c r="CK245" s="92"/>
      <c r="CL245" s="92"/>
      <c r="CM245" s="92"/>
      <c r="CN245" s="92"/>
      <c r="CO245" s="92"/>
      <c r="CP245" s="92"/>
      <c r="CQ245" s="92"/>
      <c r="CR245" s="92"/>
      <c r="CS245" s="92"/>
      <c r="CT245" s="92"/>
      <c r="CU245" s="92"/>
      <c r="CV245" s="92"/>
      <c r="CW245" s="92"/>
      <c r="CX245" s="92"/>
      <c r="CY245" s="92"/>
      <c r="CZ245" s="92"/>
      <c r="DA245" s="92"/>
      <c r="DB245" s="92"/>
      <c r="DC245" s="92"/>
      <c r="DD245" s="92"/>
      <c r="DE245" s="92"/>
      <c r="DF245" s="92"/>
      <c r="DG245" s="92"/>
      <c r="DH245" s="92"/>
      <c r="DI245" s="92"/>
      <c r="DJ245" s="92"/>
      <c r="DK245" s="92"/>
      <c r="DL245" s="92"/>
      <c r="DM245" s="92"/>
      <c r="DN245" s="92"/>
      <c r="DO245" s="92"/>
      <c r="DP245" s="92"/>
      <c r="DQ245" s="92"/>
      <c r="DR245" s="92"/>
      <c r="DS245" s="92"/>
      <c r="DT245" s="92"/>
      <c r="DU245" s="92"/>
      <c r="DV245" s="92"/>
      <c r="DW245" s="92"/>
      <c r="DX245" s="92"/>
      <c r="DY245" s="92"/>
      <c r="DZ245" s="92"/>
      <c r="EA245" s="92"/>
      <c r="EB245" s="92"/>
      <c r="EC245" s="92"/>
      <c r="ED245" s="92"/>
      <c r="EE245" s="92"/>
      <c r="EF245" s="92"/>
      <c r="EG245" s="92"/>
      <c r="EH245" s="92"/>
      <c r="EI245" s="92"/>
      <c r="EJ245" s="92"/>
      <c r="EK245" s="92"/>
      <c r="EL245" s="92"/>
      <c r="EM245" s="92"/>
      <c r="EN245" s="92"/>
      <c r="EO245" s="92"/>
      <c r="EP245" s="92"/>
      <c r="EQ245" s="92"/>
      <c r="ER245" s="92"/>
      <c r="ES245" s="92"/>
      <c r="ET245" s="92"/>
      <c r="EU245" s="92"/>
      <c r="EV245" s="92"/>
      <c r="EW245" s="92"/>
      <c r="EX245" s="92"/>
      <c r="EY245" s="92"/>
      <c r="EZ245" s="92"/>
      <c r="FA245" s="92"/>
      <c r="FB245" s="92"/>
      <c r="FC245" s="92"/>
      <c r="FD245" s="92"/>
      <c r="FE245" s="92"/>
      <c r="FF245" s="92"/>
      <c r="FG245" s="92"/>
      <c r="FH245" s="92"/>
    </row>
    <row r="246">
      <c r="A246" s="32" t="s">
        <v>47</v>
      </c>
      <c r="B246" s="32" t="s">
        <v>51</v>
      </c>
      <c r="C246" s="32" t="s">
        <v>11</v>
      </c>
      <c r="D246" s="97">
        <f t="shared" si="1"/>
        <v>348.923076</v>
      </c>
      <c r="E246" s="92">
        <f>(SUBSTITUTE(Audio!E246, "RE-", "", 1))*1</f>
        <v>0</v>
      </c>
      <c r="F246" s="92">
        <f>(SUBSTITUTE(Audio!F246, "RE-", "", 1))*1</f>
        <v>0</v>
      </c>
      <c r="G246" s="92">
        <f>(SUBSTITUTE(Audio!G246, "RE-", "", 1))*1</f>
        <v>109.5371583</v>
      </c>
      <c r="H246" s="92">
        <f>(SUBSTITUTE(Audio!H246, "RE-", "", 1))*1</f>
        <v>0</v>
      </c>
      <c r="I246" s="92">
        <f>(SUBSTITUTE(Audio!I246, "RE-", "", 1))*1</f>
        <v>14.53272708</v>
      </c>
      <c r="J246" s="92">
        <f>(SUBSTITUTE(Audio!J246, "RE-", "", 1))*1</f>
        <v>0</v>
      </c>
      <c r="K246" s="92">
        <f>(SUBSTITUTE(Audio!K246, "RE-", "", 1))*1</f>
        <v>67.19564896</v>
      </c>
      <c r="L246" s="92">
        <f>(SUBSTITUTE(Audio!L246, "RE-", "", 1))*1</f>
        <v>0</v>
      </c>
      <c r="M246" s="92">
        <f>(SUBSTITUTE(Audio!M246, "RE-", "", 1))*1</f>
        <v>57.17846042</v>
      </c>
      <c r="N246" s="92">
        <f>(SUBSTITUTE(Audio!N246, "RE-", "", 1))*1</f>
        <v>0</v>
      </c>
      <c r="O246" s="92">
        <f>(SUBSTITUTE(Audio!O246, "RE-", "", 1))*1</f>
        <v>16.85231146</v>
      </c>
      <c r="P246" s="92">
        <f>(SUBSTITUTE(Audio!P246, "RE-", "", 1))*1</f>
        <v>0</v>
      </c>
      <c r="Q246" s="92">
        <f>(SUBSTITUTE(Audio!Q246, "RE-", "", 1))*1</f>
        <v>44.61486771</v>
      </c>
      <c r="R246" s="92">
        <f>(SUBSTITUTE(Audio!R246, "RE-", "", 1))*1</f>
        <v>0</v>
      </c>
      <c r="S246" s="92">
        <f>(SUBSTITUTE(Audio!S246, "RE-", "", 1))*1</f>
        <v>23.26852708</v>
      </c>
      <c r="T246" s="92">
        <f>(SUBSTITUTE(Audio!T246, "RE-", "", 1))*1</f>
        <v>0</v>
      </c>
      <c r="U246" s="92">
        <f>(SUBSTITUTE(Audio!U246, "RE-", "", 1))*1</f>
        <v>9.12179375</v>
      </c>
      <c r="V246" s="92">
        <f>(SUBSTITUTE(Audio!V246, "RE-", "", 1))*1</f>
        <v>6.62158125</v>
      </c>
      <c r="W246" s="92">
        <f>(SUBSTITUTE(Audio!W246, "RE-", "", 1))*1</f>
        <v>0</v>
      </c>
      <c r="X246" s="92">
        <f>(SUBSTITUTE(Audio!X246, "RE-", "", 1))*1</f>
        <v>0</v>
      </c>
      <c r="Y246" s="92">
        <f>(SUBSTITUTE(Audio!Y246, "RE-", "", 1))*1</f>
        <v>0</v>
      </c>
      <c r="Z246" s="92">
        <f>(SUBSTITUTE(Audio!Z246, "RE-", "", 1))*1</f>
        <v>0</v>
      </c>
      <c r="AA246" s="92"/>
      <c r="AB246" s="92"/>
      <c r="AC246" s="92"/>
      <c r="AD246" s="92"/>
      <c r="AE246" s="92"/>
      <c r="AF246" s="92"/>
      <c r="AG246" s="92"/>
      <c r="AH246" s="92"/>
      <c r="AI246" s="92"/>
      <c r="AJ246" s="92"/>
      <c r="AK246" s="92"/>
      <c r="AL246" s="92"/>
      <c r="AM246" s="92"/>
      <c r="AN246" s="92"/>
      <c r="AO246" s="92"/>
      <c r="AP246" s="92"/>
      <c r="AQ246" s="92"/>
      <c r="AR246" s="92"/>
      <c r="AS246" s="92"/>
      <c r="AT246" s="92"/>
      <c r="AU246" s="92"/>
      <c r="AV246" s="92"/>
      <c r="AW246" s="92"/>
      <c r="AX246" s="92"/>
      <c r="AY246" s="92"/>
      <c r="AZ246" s="92"/>
      <c r="BA246" s="92"/>
      <c r="BB246" s="92"/>
      <c r="BC246" s="92"/>
      <c r="BD246" s="92"/>
      <c r="BE246" s="92"/>
      <c r="BF246" s="92"/>
      <c r="BG246" s="92"/>
      <c r="BH246" s="92"/>
      <c r="BI246" s="92"/>
      <c r="BJ246" s="92"/>
      <c r="BK246" s="92"/>
      <c r="BL246" s="92"/>
      <c r="BM246" s="92"/>
      <c r="BN246" s="92"/>
      <c r="BO246" s="92"/>
      <c r="BP246" s="92"/>
      <c r="BQ246" s="92"/>
      <c r="BR246" s="92"/>
      <c r="BS246" s="92"/>
      <c r="BT246" s="92"/>
      <c r="BU246" s="92"/>
      <c r="BV246" s="92"/>
      <c r="BW246" s="92"/>
      <c r="BX246" s="92"/>
      <c r="BY246" s="92"/>
      <c r="BZ246" s="92"/>
      <c r="CA246" s="92"/>
      <c r="CB246" s="92"/>
      <c r="CC246" s="92"/>
      <c r="CD246" s="92"/>
      <c r="CE246" s="92"/>
      <c r="CF246" s="92"/>
      <c r="CG246" s="92"/>
      <c r="CH246" s="92"/>
      <c r="CI246" s="92"/>
      <c r="CJ246" s="92"/>
      <c r="CK246" s="92"/>
      <c r="CL246" s="92"/>
      <c r="CM246" s="92"/>
      <c r="CN246" s="92"/>
      <c r="CO246" s="92"/>
      <c r="CP246" s="92"/>
      <c r="CQ246" s="92"/>
      <c r="CR246" s="92"/>
      <c r="CS246" s="92"/>
      <c r="CT246" s="92"/>
      <c r="CU246" s="92"/>
      <c r="CV246" s="92"/>
      <c r="CW246" s="92"/>
      <c r="CX246" s="92"/>
      <c r="CY246" s="92"/>
      <c r="CZ246" s="92"/>
      <c r="DA246" s="92"/>
      <c r="DB246" s="92"/>
      <c r="DC246" s="92"/>
      <c r="DD246" s="92"/>
      <c r="DE246" s="92"/>
      <c r="DF246" s="92"/>
      <c r="DG246" s="92"/>
      <c r="DH246" s="92"/>
      <c r="DI246" s="92"/>
      <c r="DJ246" s="92"/>
      <c r="DK246" s="92"/>
      <c r="DL246" s="92"/>
      <c r="DM246" s="92"/>
      <c r="DN246" s="92"/>
      <c r="DO246" s="92"/>
      <c r="DP246" s="92"/>
      <c r="DQ246" s="92"/>
      <c r="DR246" s="92"/>
      <c r="DS246" s="92"/>
      <c r="DT246" s="92"/>
      <c r="DU246" s="92"/>
      <c r="DV246" s="92"/>
      <c r="DW246" s="92"/>
      <c r="DX246" s="92"/>
      <c r="DY246" s="92"/>
      <c r="DZ246" s="92"/>
      <c r="EA246" s="92"/>
      <c r="EB246" s="92"/>
      <c r="EC246" s="92"/>
      <c r="ED246" s="92"/>
      <c r="EE246" s="92"/>
      <c r="EF246" s="92"/>
      <c r="EG246" s="92"/>
      <c r="EH246" s="92"/>
      <c r="EI246" s="92"/>
      <c r="EJ246" s="92"/>
      <c r="EK246" s="92"/>
      <c r="EL246" s="92"/>
      <c r="EM246" s="92"/>
      <c r="EN246" s="92"/>
      <c r="EO246" s="92"/>
      <c r="EP246" s="92"/>
      <c r="EQ246" s="92"/>
      <c r="ER246" s="92"/>
      <c r="ES246" s="92"/>
      <c r="ET246" s="92"/>
      <c r="EU246" s="92"/>
      <c r="EV246" s="92"/>
      <c r="EW246" s="92"/>
      <c r="EX246" s="92"/>
      <c r="EY246" s="92"/>
      <c r="EZ246" s="92"/>
      <c r="FA246" s="92"/>
      <c r="FB246" s="92"/>
      <c r="FC246" s="92"/>
      <c r="FD246" s="92"/>
      <c r="FE246" s="92"/>
      <c r="FF246" s="92"/>
      <c r="FG246" s="92"/>
      <c r="FH246" s="92"/>
    </row>
    <row r="247">
      <c r="A247" s="32" t="s">
        <v>47</v>
      </c>
      <c r="B247" s="32" t="s">
        <v>51</v>
      </c>
      <c r="C247" s="32" t="s">
        <v>12</v>
      </c>
      <c r="D247" s="97">
        <f t="shared" si="1"/>
        <v>3743.029313</v>
      </c>
      <c r="E247" s="92">
        <f>(SUBSTITUTE(Audio!E247, "RE-", "", 1))*1</f>
        <v>0</v>
      </c>
      <c r="F247" s="92">
        <f>(SUBSTITUTE(Audio!F247, "RE-", "", 1))*1</f>
        <v>703.4041896</v>
      </c>
      <c r="G247" s="92">
        <f>(SUBSTITUTE(Audio!G247, "RE-", "", 1))*1</f>
        <v>2.997370833</v>
      </c>
      <c r="H247" s="92">
        <f>(SUBSTITUTE(Audio!H247, "RE-", "", 1))*1</f>
        <v>143.3328667</v>
      </c>
      <c r="I247" s="92">
        <f>(SUBSTITUTE(Audio!I247, "RE-", "", 1))*1</f>
        <v>0.6533104167</v>
      </c>
      <c r="J247" s="92">
        <f>(SUBSTITUTE(Audio!J247, "RE-", "", 1))*1</f>
        <v>792.6665302</v>
      </c>
      <c r="K247" s="92">
        <f>(SUBSTITUTE(Audio!K247, "RE-", "", 1))*1</f>
        <v>6.6477875</v>
      </c>
      <c r="L247" s="92">
        <f>(SUBSTITUTE(Audio!L247, "RE-", "", 1))*1</f>
        <v>1290.654718</v>
      </c>
      <c r="M247" s="92">
        <f>(SUBSTITUTE(Audio!M247, "RE-", "", 1))*1</f>
        <v>8.4152</v>
      </c>
      <c r="N247" s="92">
        <f>(SUBSTITUTE(Audio!N247, "RE-", "", 1))*1</f>
        <v>103.4948698</v>
      </c>
      <c r="O247" s="92">
        <f>(SUBSTITUTE(Audio!O247, "RE-", "", 1))*1</f>
        <v>6.392864583</v>
      </c>
      <c r="P247" s="92">
        <f>(SUBSTITUTE(Audio!P247, "RE-", "", 1))*1</f>
        <v>371.9174958</v>
      </c>
      <c r="Q247" s="92">
        <f>(SUBSTITUTE(Audio!Q247, "RE-", "", 1))*1</f>
        <v>16.58141042</v>
      </c>
      <c r="R247" s="92">
        <f>(SUBSTITUTE(Audio!R247, "RE-", "", 1))*1</f>
        <v>168.0860615</v>
      </c>
      <c r="S247" s="92">
        <f>(SUBSTITUTE(Audio!S247, "RE-", "", 1))*1</f>
        <v>12.68867188</v>
      </c>
      <c r="T247" s="92">
        <f>(SUBSTITUTE(Audio!T247, "RE-", "", 1))*1</f>
        <v>108.0952573</v>
      </c>
      <c r="U247" s="92">
        <f>(SUBSTITUTE(Audio!U247, "RE-", "", 1))*1</f>
        <v>4.206364583</v>
      </c>
      <c r="V247" s="92">
        <f>(SUBSTITUTE(Audio!V247, "RE-", "", 1))*1</f>
        <v>2.79434375</v>
      </c>
      <c r="W247" s="92">
        <f>(SUBSTITUTE(Audio!W247, "RE-", "", 1))*1</f>
        <v>0</v>
      </c>
      <c r="X247" s="92">
        <f>(SUBSTITUTE(Audio!X247, "RE-", "", 1))*1</f>
        <v>0</v>
      </c>
      <c r="Y247" s="92">
        <f>(SUBSTITUTE(Audio!Y247, "RE-", "", 1))*1</f>
        <v>0</v>
      </c>
      <c r="Z247" s="92">
        <f>(SUBSTITUTE(Audio!Z247, "RE-", "", 1))*1</f>
        <v>0</v>
      </c>
      <c r="AA247" s="92"/>
      <c r="AB247" s="92"/>
      <c r="AC247" s="92"/>
      <c r="AD247" s="92"/>
      <c r="AE247" s="92"/>
      <c r="AF247" s="92"/>
      <c r="AG247" s="92"/>
      <c r="AH247" s="92"/>
      <c r="AI247" s="92"/>
      <c r="AJ247" s="92"/>
      <c r="AK247" s="92"/>
      <c r="AL247" s="92"/>
      <c r="AM247" s="92"/>
      <c r="AN247" s="92"/>
      <c r="AO247" s="92"/>
      <c r="AP247" s="92"/>
      <c r="AQ247" s="92"/>
      <c r="AR247" s="92"/>
      <c r="AS247" s="92"/>
      <c r="AT247" s="92"/>
      <c r="AU247" s="92"/>
      <c r="AV247" s="92"/>
      <c r="AW247" s="92"/>
      <c r="AX247" s="92"/>
      <c r="AY247" s="92"/>
      <c r="AZ247" s="92"/>
      <c r="BA247" s="92"/>
      <c r="BB247" s="92"/>
      <c r="BC247" s="92"/>
      <c r="BD247" s="92"/>
      <c r="BE247" s="92"/>
      <c r="BF247" s="92"/>
      <c r="BG247" s="92"/>
      <c r="BH247" s="92"/>
      <c r="BI247" s="92"/>
      <c r="BJ247" s="92"/>
      <c r="BK247" s="92"/>
      <c r="BL247" s="92"/>
      <c r="BM247" s="92"/>
      <c r="BN247" s="92"/>
      <c r="BO247" s="92"/>
      <c r="BP247" s="92"/>
      <c r="BQ247" s="92"/>
      <c r="BR247" s="92"/>
      <c r="BS247" s="92"/>
      <c r="BT247" s="92"/>
      <c r="BU247" s="92"/>
      <c r="BV247" s="92"/>
      <c r="BW247" s="92"/>
      <c r="BX247" s="92"/>
      <c r="BY247" s="92"/>
      <c r="BZ247" s="92"/>
      <c r="CA247" s="92"/>
      <c r="CB247" s="92"/>
      <c r="CC247" s="92"/>
      <c r="CD247" s="92"/>
      <c r="CE247" s="92"/>
      <c r="CF247" s="92"/>
      <c r="CG247" s="92"/>
      <c r="CH247" s="92"/>
      <c r="CI247" s="92"/>
      <c r="CJ247" s="92"/>
      <c r="CK247" s="92"/>
      <c r="CL247" s="92"/>
      <c r="CM247" s="92"/>
      <c r="CN247" s="92"/>
      <c r="CO247" s="92"/>
      <c r="CP247" s="92"/>
      <c r="CQ247" s="92"/>
      <c r="CR247" s="92"/>
      <c r="CS247" s="92"/>
      <c r="CT247" s="92"/>
      <c r="CU247" s="92"/>
      <c r="CV247" s="92"/>
      <c r="CW247" s="92"/>
      <c r="CX247" s="92"/>
      <c r="CY247" s="92"/>
      <c r="CZ247" s="92"/>
      <c r="DA247" s="92"/>
      <c r="DB247" s="92"/>
      <c r="DC247" s="92"/>
      <c r="DD247" s="92"/>
      <c r="DE247" s="92"/>
      <c r="DF247" s="92"/>
      <c r="DG247" s="92"/>
      <c r="DH247" s="92"/>
      <c r="DI247" s="92"/>
      <c r="DJ247" s="92"/>
      <c r="DK247" s="92"/>
      <c r="DL247" s="92"/>
      <c r="DM247" s="92"/>
      <c r="DN247" s="92"/>
      <c r="DO247" s="92"/>
      <c r="DP247" s="92"/>
      <c r="DQ247" s="92"/>
      <c r="DR247" s="92"/>
      <c r="DS247" s="92"/>
      <c r="DT247" s="92"/>
      <c r="DU247" s="92"/>
      <c r="DV247" s="92"/>
      <c r="DW247" s="92"/>
      <c r="DX247" s="92"/>
      <c r="DY247" s="92"/>
      <c r="DZ247" s="92"/>
      <c r="EA247" s="92"/>
      <c r="EB247" s="92"/>
      <c r="EC247" s="92"/>
      <c r="ED247" s="92"/>
      <c r="EE247" s="92"/>
      <c r="EF247" s="92"/>
      <c r="EG247" s="92"/>
      <c r="EH247" s="92"/>
      <c r="EI247" s="92"/>
      <c r="EJ247" s="92"/>
      <c r="EK247" s="92"/>
      <c r="EL247" s="92"/>
      <c r="EM247" s="92"/>
      <c r="EN247" s="92"/>
      <c r="EO247" s="92"/>
      <c r="EP247" s="92"/>
      <c r="EQ247" s="92"/>
      <c r="ER247" s="92"/>
      <c r="ES247" s="92"/>
      <c r="ET247" s="92"/>
      <c r="EU247" s="92"/>
      <c r="EV247" s="92"/>
      <c r="EW247" s="92"/>
      <c r="EX247" s="92"/>
      <c r="EY247" s="92"/>
      <c r="EZ247" s="92"/>
      <c r="FA247" s="92"/>
      <c r="FB247" s="92"/>
      <c r="FC247" s="92"/>
      <c r="FD247" s="92"/>
      <c r="FE247" s="92"/>
      <c r="FF247" s="92"/>
      <c r="FG247" s="92"/>
      <c r="FH247" s="92"/>
    </row>
    <row r="248">
      <c r="A248" s="32" t="s">
        <v>47</v>
      </c>
      <c r="B248" s="32" t="s">
        <v>51</v>
      </c>
      <c r="C248" s="32" t="s">
        <v>13</v>
      </c>
      <c r="D248" s="97">
        <f t="shared" si="1"/>
        <v>3626.8788</v>
      </c>
      <c r="E248" s="92">
        <f>(SUBSTITUTE(Audio!E248, "RE-", "", 1))*1</f>
        <v>0</v>
      </c>
      <c r="F248" s="92">
        <f>(SUBSTITUTE(Audio!F248, "RE-", "", 1))*1</f>
        <v>691.282</v>
      </c>
      <c r="G248" s="92">
        <f>(SUBSTITUTE(Audio!G248, "RE-", "", 1))*1</f>
        <v>2.90195</v>
      </c>
      <c r="H248" s="92">
        <f>(SUBSTITUTE(Audio!H248, "RE-", "", 1))*1</f>
        <v>141.251</v>
      </c>
      <c r="I248" s="92">
        <f>(SUBSTITUTE(Audio!I248, "RE-", "", 1))*1</f>
        <v>0.6502</v>
      </c>
      <c r="J248" s="92">
        <f>(SUBSTITUTE(Audio!J248, "RE-", "", 1))*1</f>
        <v>777.059</v>
      </c>
      <c r="K248" s="92">
        <f>(SUBSTITUTE(Audio!K248, "RE-", "", 1))*1</f>
        <v>6.46795</v>
      </c>
      <c r="L248" s="92">
        <f>(SUBSTITUTE(Audio!L248, "RE-", "", 1))*1</f>
        <v>1242.96</v>
      </c>
      <c r="M248" s="92">
        <f>(SUBSTITUTE(Audio!M248, "RE-", "", 1))*1</f>
        <v>7.99942</v>
      </c>
      <c r="N248" s="92">
        <f>(SUBSTITUTE(Audio!N248, "RE-", "", 1))*1</f>
        <v>100.214</v>
      </c>
      <c r="O248" s="92">
        <f>(SUBSTITUTE(Audio!O248, "RE-", "", 1))*1</f>
        <v>5.98188</v>
      </c>
      <c r="P248" s="92">
        <f>(SUBSTITUTE(Audio!P248, "RE-", "", 1))*1</f>
        <v>352.759</v>
      </c>
      <c r="Q248" s="92">
        <f>(SUBSTITUTE(Audio!Q248, "RE-", "", 1))*1</f>
        <v>15.7481</v>
      </c>
      <c r="R248" s="92">
        <f>(SUBSTITUTE(Audio!R248, "RE-", "", 1))*1</f>
        <v>159.644</v>
      </c>
      <c r="S248" s="92">
        <f>(SUBSTITUTE(Audio!S248, "RE-", "", 1))*1</f>
        <v>11.9493</v>
      </c>
      <c r="T248" s="92">
        <f>(SUBSTITUTE(Audio!T248, "RE-", "", 1))*1</f>
        <v>103.272</v>
      </c>
      <c r="U248" s="92">
        <f>(SUBSTITUTE(Audio!U248, "RE-", "", 1))*1</f>
        <v>4.01465</v>
      </c>
      <c r="V248" s="92">
        <f>(SUBSTITUTE(Audio!V248, "RE-", "", 1))*1</f>
        <v>2.72435</v>
      </c>
      <c r="W248" s="92">
        <f>(SUBSTITUTE(Audio!W248, "RE-", "", 1))*1</f>
        <v>0</v>
      </c>
      <c r="X248" s="92">
        <f>(SUBSTITUTE(Audio!X248, "RE-", "", 1))*1</f>
        <v>0</v>
      </c>
      <c r="Y248" s="92">
        <f>(SUBSTITUTE(Audio!Y248, "RE-", "", 1))*1</f>
        <v>0</v>
      </c>
      <c r="Z248" s="92">
        <f>(SUBSTITUTE(Audio!Z248, "RE-", "", 1))*1</f>
        <v>0</v>
      </c>
      <c r="AA248" s="92"/>
      <c r="AB248" s="92"/>
      <c r="AC248" s="92"/>
      <c r="AD248" s="92"/>
      <c r="AE248" s="92"/>
      <c r="AF248" s="92"/>
      <c r="AG248" s="92"/>
      <c r="AH248" s="92"/>
      <c r="AI248" s="92"/>
      <c r="AJ248" s="92"/>
      <c r="AK248" s="92"/>
      <c r="AL248" s="92"/>
      <c r="AM248" s="92"/>
      <c r="AN248" s="92"/>
      <c r="AO248" s="92"/>
      <c r="AP248" s="92"/>
      <c r="AQ248" s="92"/>
      <c r="AR248" s="92"/>
      <c r="AS248" s="92"/>
      <c r="AT248" s="92"/>
      <c r="AU248" s="92"/>
      <c r="AV248" s="92"/>
      <c r="AW248" s="92"/>
      <c r="AX248" s="92"/>
      <c r="AY248" s="92"/>
      <c r="AZ248" s="92"/>
      <c r="BA248" s="92"/>
      <c r="BB248" s="92"/>
      <c r="BC248" s="92"/>
      <c r="BD248" s="92"/>
      <c r="BE248" s="92"/>
      <c r="BF248" s="92"/>
      <c r="BG248" s="92"/>
      <c r="BH248" s="92"/>
      <c r="BI248" s="92"/>
      <c r="BJ248" s="92"/>
      <c r="BK248" s="92"/>
      <c r="BL248" s="92"/>
      <c r="BM248" s="92"/>
      <c r="BN248" s="92"/>
      <c r="BO248" s="92"/>
      <c r="BP248" s="92"/>
      <c r="BQ248" s="92"/>
      <c r="BR248" s="92"/>
      <c r="BS248" s="92"/>
      <c r="BT248" s="92"/>
      <c r="BU248" s="92"/>
      <c r="BV248" s="92"/>
      <c r="BW248" s="92"/>
      <c r="BX248" s="92"/>
      <c r="BY248" s="92"/>
      <c r="BZ248" s="92"/>
      <c r="CA248" s="92"/>
      <c r="CB248" s="92"/>
      <c r="CC248" s="92"/>
      <c r="CD248" s="92"/>
      <c r="CE248" s="92"/>
      <c r="CF248" s="92"/>
      <c r="CG248" s="92"/>
      <c r="CH248" s="92"/>
      <c r="CI248" s="92"/>
      <c r="CJ248" s="92"/>
      <c r="CK248" s="92"/>
      <c r="CL248" s="92"/>
      <c r="CM248" s="92"/>
      <c r="CN248" s="92"/>
      <c r="CO248" s="92"/>
      <c r="CP248" s="92"/>
      <c r="CQ248" s="92"/>
      <c r="CR248" s="92"/>
      <c r="CS248" s="92"/>
      <c r="CT248" s="92"/>
      <c r="CU248" s="92"/>
      <c r="CV248" s="92"/>
      <c r="CW248" s="92"/>
      <c r="CX248" s="92"/>
      <c r="CY248" s="92"/>
      <c r="CZ248" s="92"/>
      <c r="DA248" s="92"/>
      <c r="DB248" s="92"/>
      <c r="DC248" s="92"/>
      <c r="DD248" s="92"/>
      <c r="DE248" s="92"/>
      <c r="DF248" s="92"/>
      <c r="DG248" s="92"/>
      <c r="DH248" s="92"/>
      <c r="DI248" s="92"/>
      <c r="DJ248" s="92"/>
      <c r="DK248" s="92"/>
      <c r="DL248" s="92"/>
      <c r="DM248" s="92"/>
      <c r="DN248" s="92"/>
      <c r="DO248" s="92"/>
      <c r="DP248" s="92"/>
      <c r="DQ248" s="92"/>
      <c r="DR248" s="92"/>
      <c r="DS248" s="92"/>
      <c r="DT248" s="92"/>
      <c r="DU248" s="92"/>
      <c r="DV248" s="92"/>
      <c r="DW248" s="92"/>
      <c r="DX248" s="92"/>
      <c r="DY248" s="92"/>
      <c r="DZ248" s="92"/>
      <c r="EA248" s="92"/>
      <c r="EB248" s="92"/>
      <c r="EC248" s="92"/>
      <c r="ED248" s="92"/>
      <c r="EE248" s="92"/>
      <c r="EF248" s="92"/>
      <c r="EG248" s="92"/>
      <c r="EH248" s="92"/>
      <c r="EI248" s="92"/>
      <c r="EJ248" s="92"/>
      <c r="EK248" s="92"/>
      <c r="EL248" s="92"/>
      <c r="EM248" s="92"/>
      <c r="EN248" s="92"/>
      <c r="EO248" s="92"/>
      <c r="EP248" s="92"/>
      <c r="EQ248" s="92"/>
      <c r="ER248" s="92"/>
      <c r="ES248" s="92"/>
      <c r="ET248" s="92"/>
      <c r="EU248" s="92"/>
      <c r="EV248" s="92"/>
      <c r="EW248" s="92"/>
      <c r="EX248" s="92"/>
      <c r="EY248" s="92"/>
      <c r="EZ248" s="92"/>
      <c r="FA248" s="92"/>
      <c r="FB248" s="92"/>
      <c r="FC248" s="92"/>
      <c r="FD248" s="92"/>
      <c r="FE248" s="92"/>
      <c r="FF248" s="92"/>
      <c r="FG248" s="92"/>
      <c r="FH248" s="92"/>
    </row>
    <row r="249">
      <c r="A249" s="32" t="s">
        <v>47</v>
      </c>
      <c r="B249" s="32" t="s">
        <v>51</v>
      </c>
      <c r="C249" s="32" t="s">
        <v>14</v>
      </c>
      <c r="D249" s="97">
        <f t="shared" si="1"/>
        <v>3199.67567</v>
      </c>
      <c r="E249" s="92">
        <f>(SUBSTITUTE(Audio!E249, "RE-", "", 1))*1</f>
        <v>0</v>
      </c>
      <c r="F249" s="92">
        <f>(SUBSTITUTE(Audio!F249, "RE-", "", 1))*1</f>
        <v>617.062</v>
      </c>
      <c r="G249" s="92">
        <f>(SUBSTITUTE(Audio!G249, "RE-", "", 1))*1</f>
        <v>2.71502</v>
      </c>
      <c r="H249" s="92">
        <f>(SUBSTITUTE(Audio!H249, "RE-", "", 1))*1</f>
        <v>120.512</v>
      </c>
      <c r="I249" s="92">
        <f>(SUBSTITUTE(Audio!I249, "RE-", "", 1))*1</f>
        <v>0.6502</v>
      </c>
      <c r="J249" s="92">
        <f>(SUBSTITUTE(Audio!J249, "RE-", "", 1))*1</f>
        <v>709.419</v>
      </c>
      <c r="K249" s="92">
        <f>(SUBSTITUTE(Audio!K249, "RE-", "", 1))*1</f>
        <v>5.53278</v>
      </c>
      <c r="L249" s="92">
        <f>(SUBSTITUTE(Audio!L249, "RE-", "", 1))*1</f>
        <v>1088.39</v>
      </c>
      <c r="M249" s="92">
        <f>(SUBSTITUTE(Audio!M249, "RE-", "", 1))*1</f>
        <v>6.85142</v>
      </c>
      <c r="N249" s="92">
        <f>(SUBSTITUTE(Audio!N249, "RE-", "", 1))*1</f>
        <v>84.8024</v>
      </c>
      <c r="O249" s="92">
        <f>(SUBSTITUTE(Audio!O249, "RE-", "", 1))*1</f>
        <v>5.1412</v>
      </c>
      <c r="P249" s="92">
        <f>(SUBSTITUTE(Audio!P249, "RE-", "", 1))*1</f>
        <v>306.688</v>
      </c>
      <c r="Q249" s="92">
        <f>(SUBSTITUTE(Audio!Q249, "RE-", "", 1))*1</f>
        <v>13.228</v>
      </c>
      <c r="R249" s="92">
        <f>(SUBSTITUTE(Audio!R249, "RE-", "", 1))*1</f>
        <v>133.199</v>
      </c>
      <c r="S249" s="92">
        <f>(SUBSTITUTE(Audio!S249, "RE-", "", 1))*1</f>
        <v>10.7153</v>
      </c>
      <c r="T249" s="92">
        <f>(SUBSTITUTE(Audio!T249, "RE-", "", 1))*1</f>
        <v>88.8887</v>
      </c>
      <c r="U249" s="92">
        <f>(SUBSTITUTE(Audio!U249, "RE-", "", 1))*1</f>
        <v>3.5747</v>
      </c>
      <c r="V249" s="92">
        <f>(SUBSTITUTE(Audio!V249, "RE-", "", 1))*1</f>
        <v>2.30595</v>
      </c>
      <c r="W249" s="92">
        <f>(SUBSTITUTE(Audio!W249, "RE-", "", 1))*1</f>
        <v>0</v>
      </c>
      <c r="X249" s="92">
        <f>(SUBSTITUTE(Audio!X249, "RE-", "", 1))*1</f>
        <v>0</v>
      </c>
      <c r="Y249" s="92">
        <f>(SUBSTITUTE(Audio!Y249, "RE-", "", 1))*1</f>
        <v>0</v>
      </c>
      <c r="Z249" s="92">
        <f>(SUBSTITUTE(Audio!Z249, "RE-", "", 1))*1</f>
        <v>0</v>
      </c>
      <c r="AA249" s="92"/>
      <c r="AB249" s="92"/>
      <c r="AC249" s="92"/>
      <c r="AD249" s="92"/>
      <c r="AE249" s="92"/>
      <c r="AF249" s="92"/>
      <c r="AG249" s="92"/>
      <c r="AH249" s="92"/>
      <c r="AI249" s="92"/>
      <c r="AJ249" s="92"/>
      <c r="AK249" s="92"/>
      <c r="AL249" s="92"/>
      <c r="AM249" s="92"/>
      <c r="AN249" s="92"/>
      <c r="AO249" s="92"/>
      <c r="AP249" s="92"/>
      <c r="AQ249" s="92"/>
      <c r="AR249" s="92"/>
      <c r="AS249" s="92"/>
      <c r="AT249" s="92"/>
      <c r="AU249" s="92"/>
      <c r="AV249" s="92"/>
      <c r="AW249" s="92"/>
      <c r="AX249" s="92"/>
      <c r="AY249" s="92"/>
      <c r="AZ249" s="92"/>
      <c r="BA249" s="92"/>
      <c r="BB249" s="92"/>
      <c r="BC249" s="92"/>
      <c r="BD249" s="92"/>
      <c r="BE249" s="92"/>
      <c r="BF249" s="92"/>
      <c r="BG249" s="92"/>
      <c r="BH249" s="92"/>
      <c r="BI249" s="92"/>
      <c r="BJ249" s="92"/>
      <c r="BK249" s="92"/>
      <c r="BL249" s="92"/>
      <c r="BM249" s="92"/>
      <c r="BN249" s="92"/>
      <c r="BO249" s="92"/>
      <c r="BP249" s="92"/>
      <c r="BQ249" s="92"/>
      <c r="BR249" s="92"/>
      <c r="BS249" s="92"/>
      <c r="BT249" s="92"/>
      <c r="BU249" s="92"/>
      <c r="BV249" s="92"/>
      <c r="BW249" s="92"/>
      <c r="BX249" s="92"/>
      <c r="BY249" s="92"/>
      <c r="BZ249" s="92"/>
      <c r="CA249" s="92"/>
      <c r="CB249" s="92"/>
      <c r="CC249" s="92"/>
      <c r="CD249" s="92"/>
      <c r="CE249" s="92"/>
      <c r="CF249" s="92"/>
      <c r="CG249" s="92"/>
      <c r="CH249" s="92"/>
      <c r="CI249" s="92"/>
      <c r="CJ249" s="92"/>
      <c r="CK249" s="92"/>
      <c r="CL249" s="92"/>
      <c r="CM249" s="92"/>
      <c r="CN249" s="92"/>
      <c r="CO249" s="92"/>
      <c r="CP249" s="92"/>
      <c r="CQ249" s="92"/>
      <c r="CR249" s="92"/>
      <c r="CS249" s="92"/>
      <c r="CT249" s="92"/>
      <c r="CU249" s="92"/>
      <c r="CV249" s="92"/>
      <c r="CW249" s="92"/>
      <c r="CX249" s="92"/>
      <c r="CY249" s="92"/>
      <c r="CZ249" s="92"/>
      <c r="DA249" s="92"/>
      <c r="DB249" s="92"/>
      <c r="DC249" s="92"/>
      <c r="DD249" s="92"/>
      <c r="DE249" s="92"/>
      <c r="DF249" s="92"/>
      <c r="DG249" s="92"/>
      <c r="DH249" s="92"/>
      <c r="DI249" s="92"/>
      <c r="DJ249" s="92"/>
      <c r="DK249" s="92"/>
      <c r="DL249" s="92"/>
      <c r="DM249" s="92"/>
      <c r="DN249" s="92"/>
      <c r="DO249" s="92"/>
      <c r="DP249" s="92"/>
      <c r="DQ249" s="92"/>
      <c r="DR249" s="92"/>
      <c r="DS249" s="92"/>
      <c r="DT249" s="92"/>
      <c r="DU249" s="92"/>
      <c r="DV249" s="92"/>
      <c r="DW249" s="92"/>
      <c r="DX249" s="92"/>
      <c r="DY249" s="92"/>
      <c r="DZ249" s="92"/>
      <c r="EA249" s="92"/>
      <c r="EB249" s="92"/>
      <c r="EC249" s="92"/>
      <c r="ED249" s="92"/>
      <c r="EE249" s="92"/>
      <c r="EF249" s="92"/>
      <c r="EG249" s="92"/>
      <c r="EH249" s="92"/>
      <c r="EI249" s="92"/>
      <c r="EJ249" s="92"/>
      <c r="EK249" s="92"/>
      <c r="EL249" s="92"/>
      <c r="EM249" s="92"/>
      <c r="EN249" s="92"/>
      <c r="EO249" s="92"/>
      <c r="EP249" s="92"/>
      <c r="EQ249" s="92"/>
      <c r="ER249" s="92"/>
      <c r="ES249" s="92"/>
      <c r="ET249" s="92"/>
      <c r="EU249" s="92"/>
      <c r="EV249" s="92"/>
      <c r="EW249" s="92"/>
      <c r="EX249" s="92"/>
      <c r="EY249" s="92"/>
      <c r="EZ249" s="92"/>
      <c r="FA249" s="92"/>
      <c r="FB249" s="92"/>
      <c r="FC249" s="92"/>
      <c r="FD249" s="92"/>
      <c r="FE249" s="92"/>
      <c r="FF249" s="92"/>
      <c r="FG249" s="92"/>
      <c r="FH249" s="92"/>
    </row>
    <row r="250">
      <c r="A250" s="27" t="s">
        <v>47</v>
      </c>
      <c r="B250" s="27" t="s">
        <v>51</v>
      </c>
      <c r="C250" s="27" t="s">
        <v>15</v>
      </c>
      <c r="D250" s="98">
        <f t="shared" si="1"/>
        <v>3626.7148</v>
      </c>
      <c r="E250" s="92">
        <f>(SUBSTITUTE(Audio!E250, "RE-", "", 1))*1</f>
        <v>0</v>
      </c>
      <c r="F250" s="92">
        <f>(SUBSTITUTE(Audio!F250, "RE-", "", 1))*1</f>
        <v>691.282</v>
      </c>
      <c r="G250" s="92">
        <f>(SUBSTITUTE(Audio!G250, "RE-", "", 1))*1</f>
        <v>2.90195</v>
      </c>
      <c r="H250" s="92">
        <f>(SUBSTITUTE(Audio!H250, "RE-", "", 1))*1</f>
        <v>141.251</v>
      </c>
      <c r="I250" s="92">
        <f>(SUBSTITUTE(Audio!I250, "RE-", "", 1))*1</f>
        <v>0.6502</v>
      </c>
      <c r="J250" s="92">
        <f>(SUBSTITUTE(Audio!J250, "RE-", "", 1))*1</f>
        <v>776.915</v>
      </c>
      <c r="K250" s="92">
        <f>(SUBSTITUTE(Audio!K250, "RE-", "", 1))*1</f>
        <v>6.46795</v>
      </c>
      <c r="L250" s="92">
        <f>(SUBSTITUTE(Audio!L250, "RE-", "", 1))*1</f>
        <v>1242.94</v>
      </c>
      <c r="M250" s="92">
        <f>(SUBSTITUTE(Audio!M250, "RE-", "", 1))*1</f>
        <v>7.99942</v>
      </c>
      <c r="N250" s="92">
        <f>(SUBSTITUTE(Audio!N250, "RE-", "", 1))*1</f>
        <v>100.214</v>
      </c>
      <c r="O250" s="92">
        <f>(SUBSTITUTE(Audio!O250, "RE-", "", 1))*1</f>
        <v>5.98188</v>
      </c>
      <c r="P250" s="92">
        <f>(SUBSTITUTE(Audio!P250, "RE-", "", 1))*1</f>
        <v>352.759</v>
      </c>
      <c r="Q250" s="92">
        <f>(SUBSTITUTE(Audio!Q250, "RE-", "", 1))*1</f>
        <v>15.7481</v>
      </c>
      <c r="R250" s="92">
        <f>(SUBSTITUTE(Audio!R250, "RE-", "", 1))*1</f>
        <v>159.644</v>
      </c>
      <c r="S250" s="92">
        <f>(SUBSTITUTE(Audio!S250, "RE-", "", 1))*1</f>
        <v>11.9493</v>
      </c>
      <c r="T250" s="92">
        <f>(SUBSTITUTE(Audio!T250, "RE-", "", 1))*1</f>
        <v>103.272</v>
      </c>
      <c r="U250" s="92">
        <f>(SUBSTITUTE(Audio!U250, "RE-", "", 1))*1</f>
        <v>4.01465</v>
      </c>
      <c r="V250" s="92">
        <f>(SUBSTITUTE(Audio!V250, "RE-", "", 1))*1</f>
        <v>2.72435</v>
      </c>
      <c r="W250" s="92">
        <f>(SUBSTITUTE(Audio!W250, "RE-", "", 1))*1</f>
        <v>0</v>
      </c>
      <c r="X250" s="92">
        <f>(SUBSTITUTE(Audio!X250, "RE-", "", 1))*1</f>
        <v>0</v>
      </c>
      <c r="Y250" s="92">
        <f>(SUBSTITUTE(Audio!Y250, "RE-", "", 1))*1</f>
        <v>0</v>
      </c>
      <c r="Z250" s="92">
        <f>(SUBSTITUTE(Audio!Z250, "RE-", "", 1))*1</f>
        <v>0</v>
      </c>
      <c r="AA250" s="92"/>
      <c r="AB250" s="92"/>
      <c r="AC250" s="92"/>
      <c r="AD250" s="92"/>
      <c r="AE250" s="92"/>
      <c r="AF250" s="92"/>
      <c r="AG250" s="92"/>
      <c r="AH250" s="92"/>
      <c r="AI250" s="92"/>
      <c r="AJ250" s="92"/>
      <c r="AK250" s="92"/>
      <c r="AL250" s="92"/>
      <c r="AM250" s="92"/>
      <c r="AN250" s="92"/>
      <c r="AO250" s="92"/>
      <c r="AP250" s="92"/>
      <c r="AQ250" s="92"/>
      <c r="AR250" s="92"/>
      <c r="AS250" s="92"/>
      <c r="AT250" s="92"/>
      <c r="AU250" s="92"/>
      <c r="AV250" s="92"/>
      <c r="AW250" s="92"/>
      <c r="AX250" s="92"/>
      <c r="AY250" s="92"/>
      <c r="AZ250" s="92"/>
      <c r="BA250" s="92"/>
      <c r="BB250" s="92"/>
      <c r="BC250" s="92"/>
      <c r="BD250" s="92"/>
      <c r="BE250" s="92"/>
      <c r="BF250" s="92"/>
      <c r="BG250" s="92"/>
      <c r="BH250" s="92"/>
      <c r="BI250" s="92"/>
      <c r="BJ250" s="92"/>
      <c r="BK250" s="92"/>
      <c r="BL250" s="92"/>
      <c r="BM250" s="92"/>
      <c r="BN250" s="92"/>
      <c r="BO250" s="92"/>
      <c r="BP250" s="92"/>
      <c r="BQ250" s="92"/>
      <c r="BR250" s="92"/>
      <c r="BS250" s="92"/>
      <c r="BT250" s="92"/>
      <c r="BU250" s="92"/>
      <c r="BV250" s="92"/>
      <c r="BW250" s="92"/>
      <c r="BX250" s="92"/>
      <c r="BY250" s="92"/>
      <c r="BZ250" s="92"/>
      <c r="CA250" s="92"/>
      <c r="CB250" s="92"/>
      <c r="CC250" s="92"/>
      <c r="CD250" s="92"/>
      <c r="CE250" s="92"/>
      <c r="CF250" s="92"/>
      <c r="CG250" s="92"/>
      <c r="CH250" s="92"/>
      <c r="CI250" s="92"/>
      <c r="CJ250" s="92"/>
      <c r="CK250" s="92"/>
      <c r="CL250" s="92"/>
      <c r="CM250" s="92"/>
      <c r="CN250" s="92"/>
      <c r="CO250" s="92"/>
      <c r="CP250" s="92"/>
      <c r="CQ250" s="92"/>
      <c r="CR250" s="92"/>
      <c r="CS250" s="92"/>
      <c r="CT250" s="92"/>
      <c r="CU250" s="92"/>
      <c r="CV250" s="92"/>
      <c r="CW250" s="92"/>
      <c r="CX250" s="92"/>
      <c r="CY250" s="92"/>
      <c r="CZ250" s="92"/>
      <c r="DA250" s="92"/>
      <c r="DB250" s="92"/>
      <c r="DC250" s="92"/>
      <c r="DD250" s="92"/>
      <c r="DE250" s="92"/>
      <c r="DF250" s="92"/>
      <c r="DG250" s="92"/>
      <c r="DH250" s="92"/>
      <c r="DI250" s="92"/>
      <c r="DJ250" s="92"/>
      <c r="DK250" s="92"/>
      <c r="DL250" s="92"/>
      <c r="DM250" s="92"/>
      <c r="DN250" s="92"/>
      <c r="DO250" s="92"/>
      <c r="DP250" s="92"/>
      <c r="DQ250" s="92"/>
      <c r="DR250" s="92"/>
      <c r="DS250" s="92"/>
      <c r="DT250" s="92"/>
      <c r="DU250" s="92"/>
      <c r="DV250" s="92"/>
      <c r="DW250" s="92"/>
      <c r="DX250" s="92"/>
      <c r="DY250" s="92"/>
      <c r="DZ250" s="92"/>
      <c r="EA250" s="92"/>
      <c r="EB250" s="92"/>
      <c r="EC250" s="92"/>
      <c r="ED250" s="92"/>
      <c r="EE250" s="92"/>
      <c r="EF250" s="92"/>
      <c r="EG250" s="92"/>
      <c r="EH250" s="92"/>
      <c r="EI250" s="92"/>
      <c r="EJ250" s="92"/>
      <c r="EK250" s="92"/>
      <c r="EL250" s="92"/>
      <c r="EM250" s="92"/>
      <c r="EN250" s="92"/>
      <c r="EO250" s="92"/>
      <c r="EP250" s="92"/>
      <c r="EQ250" s="92"/>
      <c r="ER250" s="92"/>
      <c r="ES250" s="92"/>
      <c r="ET250" s="92"/>
      <c r="EU250" s="92"/>
      <c r="EV250" s="92"/>
      <c r="EW250" s="92"/>
      <c r="EX250" s="92"/>
      <c r="EY250" s="92"/>
      <c r="EZ250" s="92"/>
      <c r="FA250" s="92"/>
      <c r="FB250" s="92"/>
      <c r="FC250" s="92"/>
      <c r="FD250" s="92"/>
      <c r="FE250" s="92"/>
      <c r="FF250" s="92"/>
      <c r="FG250" s="92"/>
      <c r="FH250" s="92"/>
    </row>
    <row r="251">
      <c r="A251" s="30" t="s">
        <v>47</v>
      </c>
      <c r="B251" s="30" t="s">
        <v>52</v>
      </c>
      <c r="C251" s="31" t="str">
        <f>HYPERLINK("https://docs.google.com/spreadsheets/d/1WH0bUcHNNlmNP-7Pd6vP3-brZHb9JqPu/edit?usp=share_link&amp;ouid=118279477453217743021&amp;rtpof=true&amp;sd=true", "Raw Delivered")</f>
        <v>Raw Delivered</v>
      </c>
      <c r="D251" s="96">
        <f t="shared" si="1"/>
        <v>8599.49165</v>
      </c>
      <c r="E251" s="92">
        <f>(SUBSTITUTE(Audio!E251, "RE-", "", 1))*1</f>
        <v>0</v>
      </c>
      <c r="F251" s="92">
        <f>(SUBSTITUTE(Audio!F251, "RE-", "", 1))*1</f>
        <v>1945.460579</v>
      </c>
      <c r="G251" s="92">
        <f>(SUBSTITUTE(Audio!G251, "RE-", "", 1))*1</f>
        <v>0</v>
      </c>
      <c r="H251" s="92">
        <f>(SUBSTITUTE(Audio!H251, "RE-", "", 1))*1</f>
        <v>318.3580396</v>
      </c>
      <c r="I251" s="92">
        <f>(SUBSTITUTE(Audio!I251, "RE-", "", 1))*1</f>
        <v>0</v>
      </c>
      <c r="J251" s="92">
        <f>(SUBSTITUTE(Audio!J251, "RE-", "", 1))*1</f>
        <v>767.9750917</v>
      </c>
      <c r="K251" s="92">
        <f>(SUBSTITUTE(Audio!K251, "RE-", "", 1))*1</f>
        <v>0</v>
      </c>
      <c r="L251" s="92">
        <f>(SUBSTITUTE(Audio!L251, "RE-", "", 1))*1</f>
        <v>3061.070628</v>
      </c>
      <c r="M251" s="92">
        <f>(SUBSTITUTE(Audio!M251, "RE-", "", 1))*1</f>
        <v>0</v>
      </c>
      <c r="N251" s="92">
        <f>(SUBSTITUTE(Audio!N251, "RE-", "", 1))*1</f>
        <v>420.3937177</v>
      </c>
      <c r="O251" s="92">
        <f>(SUBSTITUTE(Audio!O251, "RE-", "", 1))*1</f>
        <v>0</v>
      </c>
      <c r="P251" s="92">
        <f>(SUBSTITUTE(Audio!P251, "RE-", "", 1))*1</f>
        <v>1204.634417</v>
      </c>
      <c r="Q251" s="92">
        <f>(SUBSTITUTE(Audio!Q251, "RE-", "", 1))*1</f>
        <v>0</v>
      </c>
      <c r="R251" s="92">
        <f>(SUBSTITUTE(Audio!R251, "RE-", "", 1))*1</f>
        <v>542.681099</v>
      </c>
      <c r="S251" s="92">
        <f>(SUBSTITUTE(Audio!S251, "RE-", "", 1))*1</f>
        <v>0</v>
      </c>
      <c r="T251" s="92">
        <f>(SUBSTITUTE(Audio!T251, "RE-", "", 1))*1</f>
        <v>338.9180781</v>
      </c>
      <c r="U251" s="92">
        <f>(SUBSTITUTE(Audio!U251, "RE-", "", 1))*1</f>
        <v>0</v>
      </c>
      <c r="V251" s="92">
        <f>(SUBSTITUTE(Audio!V251, "RE-", "", 1))*1</f>
        <v>0</v>
      </c>
      <c r="W251" s="92">
        <f>(SUBSTITUTE(Audio!W251, "RE-", "", 1))*1</f>
        <v>0</v>
      </c>
      <c r="X251" s="92">
        <f>(SUBSTITUTE(Audio!X251, "RE-", "", 1))*1</f>
        <v>0</v>
      </c>
      <c r="Y251" s="92">
        <f>(SUBSTITUTE(Audio!Y251, "RE-", "", 1))*1</f>
        <v>0</v>
      </c>
      <c r="Z251" s="92">
        <f>(SUBSTITUTE(Audio!Z251, "RE-", "", 1))*1</f>
        <v>0</v>
      </c>
      <c r="AA251" s="92"/>
      <c r="AB251" s="92"/>
      <c r="AC251" s="92"/>
      <c r="AD251" s="92"/>
      <c r="AE251" s="92"/>
      <c r="AF251" s="92"/>
      <c r="AG251" s="92"/>
      <c r="AH251" s="92"/>
      <c r="AI251" s="92"/>
      <c r="AJ251" s="92"/>
      <c r="AK251" s="92"/>
      <c r="AL251" s="92"/>
      <c r="AM251" s="92"/>
      <c r="AN251" s="92"/>
      <c r="AO251" s="92"/>
      <c r="AP251" s="92"/>
      <c r="AQ251" s="92"/>
      <c r="AR251" s="92"/>
      <c r="AS251" s="92"/>
      <c r="AT251" s="92"/>
      <c r="AU251" s="92"/>
      <c r="AV251" s="92"/>
      <c r="AW251" s="92"/>
      <c r="AX251" s="92"/>
      <c r="AY251" s="92"/>
      <c r="AZ251" s="92"/>
      <c r="BA251" s="92"/>
      <c r="BB251" s="92"/>
      <c r="BC251" s="92"/>
      <c r="BD251" s="92"/>
      <c r="BE251" s="92"/>
      <c r="BF251" s="92"/>
      <c r="BG251" s="92"/>
      <c r="BH251" s="92"/>
      <c r="BI251" s="92"/>
      <c r="BJ251" s="92"/>
      <c r="BK251" s="92"/>
      <c r="BL251" s="92"/>
      <c r="BM251" s="92"/>
      <c r="BN251" s="92"/>
      <c r="BO251" s="92"/>
      <c r="BP251" s="92"/>
      <c r="BQ251" s="92"/>
      <c r="BR251" s="92"/>
      <c r="BS251" s="92"/>
      <c r="BT251" s="92"/>
      <c r="BU251" s="92"/>
      <c r="BV251" s="92"/>
      <c r="BW251" s="92"/>
      <c r="BX251" s="92"/>
      <c r="BY251" s="92"/>
      <c r="BZ251" s="92"/>
      <c r="CA251" s="92"/>
      <c r="CB251" s="92"/>
      <c r="CC251" s="92"/>
      <c r="CD251" s="92"/>
      <c r="CE251" s="92"/>
      <c r="CF251" s="92"/>
      <c r="CG251" s="92"/>
      <c r="CH251" s="92"/>
      <c r="CI251" s="92"/>
      <c r="CJ251" s="92"/>
      <c r="CK251" s="92"/>
      <c r="CL251" s="92"/>
      <c r="CM251" s="92"/>
      <c r="CN251" s="92"/>
      <c r="CO251" s="92"/>
      <c r="CP251" s="92"/>
      <c r="CQ251" s="92"/>
      <c r="CR251" s="92"/>
      <c r="CS251" s="92"/>
      <c r="CT251" s="92"/>
      <c r="CU251" s="92"/>
      <c r="CV251" s="92"/>
      <c r="CW251" s="92"/>
      <c r="CX251" s="92"/>
      <c r="CY251" s="92"/>
      <c r="CZ251" s="92"/>
      <c r="DA251" s="92"/>
      <c r="DB251" s="92"/>
      <c r="DC251" s="92"/>
      <c r="DD251" s="92"/>
      <c r="DE251" s="92"/>
      <c r="DF251" s="92"/>
      <c r="DG251" s="92"/>
      <c r="DH251" s="92"/>
      <c r="DI251" s="92"/>
      <c r="DJ251" s="92"/>
      <c r="DK251" s="92"/>
      <c r="DL251" s="92"/>
      <c r="DM251" s="92"/>
      <c r="DN251" s="92"/>
      <c r="DO251" s="92"/>
      <c r="DP251" s="92"/>
      <c r="DQ251" s="92"/>
      <c r="DR251" s="92"/>
      <c r="DS251" s="92"/>
      <c r="DT251" s="92"/>
      <c r="DU251" s="92"/>
      <c r="DV251" s="92"/>
      <c r="DW251" s="92"/>
      <c r="DX251" s="92"/>
      <c r="DY251" s="92"/>
      <c r="DZ251" s="92"/>
      <c r="EA251" s="92"/>
      <c r="EB251" s="92"/>
      <c r="EC251" s="92"/>
      <c r="ED251" s="92"/>
      <c r="EE251" s="92"/>
      <c r="EF251" s="92"/>
      <c r="EG251" s="92"/>
      <c r="EH251" s="92"/>
      <c r="EI251" s="92"/>
      <c r="EJ251" s="92"/>
      <c r="EK251" s="92"/>
      <c r="EL251" s="92"/>
      <c r="EM251" s="92"/>
      <c r="EN251" s="92"/>
      <c r="EO251" s="92"/>
      <c r="EP251" s="92"/>
      <c r="EQ251" s="92"/>
      <c r="ER251" s="92"/>
      <c r="ES251" s="92"/>
      <c r="ET251" s="92"/>
      <c r="EU251" s="92"/>
      <c r="EV251" s="92"/>
      <c r="EW251" s="92"/>
      <c r="EX251" s="92"/>
      <c r="EY251" s="92"/>
      <c r="EZ251" s="92"/>
      <c r="FA251" s="92"/>
      <c r="FB251" s="92"/>
      <c r="FC251" s="92"/>
      <c r="FD251" s="92"/>
      <c r="FE251" s="92"/>
      <c r="FF251" s="92"/>
      <c r="FG251" s="92"/>
      <c r="FH251" s="92"/>
    </row>
    <row r="252">
      <c r="A252" s="32" t="s">
        <v>47</v>
      </c>
      <c r="B252" s="32" t="s">
        <v>52</v>
      </c>
      <c r="C252" s="32" t="s">
        <v>9</v>
      </c>
      <c r="D252" s="97">
        <f t="shared" si="1"/>
        <v>8599.49165</v>
      </c>
      <c r="E252" s="92">
        <f>(SUBSTITUTE(Audio!E252, "RE-", "", 1))*1</f>
        <v>0</v>
      </c>
      <c r="F252" s="92">
        <f>(SUBSTITUTE(Audio!F252, "RE-", "", 1))*1</f>
        <v>1945.460579</v>
      </c>
      <c r="G252" s="92">
        <f>(SUBSTITUTE(Audio!G252, "RE-", "", 1))*1</f>
        <v>0</v>
      </c>
      <c r="H252" s="92">
        <f>(SUBSTITUTE(Audio!H252, "RE-", "", 1))*1</f>
        <v>318.3580396</v>
      </c>
      <c r="I252" s="92">
        <f>(SUBSTITUTE(Audio!I252, "RE-", "", 1))*1</f>
        <v>0</v>
      </c>
      <c r="J252" s="92">
        <f>(SUBSTITUTE(Audio!J252, "RE-", "", 1))*1</f>
        <v>767.9750917</v>
      </c>
      <c r="K252" s="92">
        <f>(SUBSTITUTE(Audio!K252, "RE-", "", 1))*1</f>
        <v>0</v>
      </c>
      <c r="L252" s="92">
        <f>(SUBSTITUTE(Audio!L252, "RE-", "", 1))*1</f>
        <v>3061.070628</v>
      </c>
      <c r="M252" s="92">
        <f>(SUBSTITUTE(Audio!M252, "RE-", "", 1))*1</f>
        <v>0</v>
      </c>
      <c r="N252" s="92">
        <f>(SUBSTITUTE(Audio!N252, "RE-", "", 1))*1</f>
        <v>420.3937177</v>
      </c>
      <c r="O252" s="92">
        <f>(SUBSTITUTE(Audio!O252, "RE-", "", 1))*1</f>
        <v>0</v>
      </c>
      <c r="P252" s="92">
        <f>(SUBSTITUTE(Audio!P252, "RE-", "", 1))*1</f>
        <v>1204.634417</v>
      </c>
      <c r="Q252" s="92">
        <f>(SUBSTITUTE(Audio!Q252, "RE-", "", 1))*1</f>
        <v>0</v>
      </c>
      <c r="R252" s="92">
        <f>(SUBSTITUTE(Audio!R252, "RE-", "", 1))*1</f>
        <v>542.681099</v>
      </c>
      <c r="S252" s="92">
        <f>(SUBSTITUTE(Audio!S252, "RE-", "", 1))*1</f>
        <v>0</v>
      </c>
      <c r="T252" s="92">
        <f>(SUBSTITUTE(Audio!T252, "RE-", "", 1))*1</f>
        <v>338.9180781</v>
      </c>
      <c r="U252" s="92">
        <f>(SUBSTITUTE(Audio!U252, "RE-", "", 1))*1</f>
        <v>0</v>
      </c>
      <c r="V252" s="92">
        <f>(SUBSTITUTE(Audio!V252, "RE-", "", 1))*1</f>
        <v>0</v>
      </c>
      <c r="W252" s="92">
        <f>(SUBSTITUTE(Audio!W252, "RE-", "", 1))*1</f>
        <v>0</v>
      </c>
      <c r="X252" s="92">
        <f>(SUBSTITUTE(Audio!X252, "RE-", "", 1))*1</f>
        <v>0</v>
      </c>
      <c r="Y252" s="92">
        <f>(SUBSTITUTE(Audio!Y252, "RE-", "", 1))*1</f>
        <v>0</v>
      </c>
      <c r="Z252" s="92">
        <f>(SUBSTITUTE(Audio!Z252, "RE-", "", 1))*1</f>
        <v>0</v>
      </c>
      <c r="AA252" s="92"/>
      <c r="AB252" s="92"/>
      <c r="AC252" s="92"/>
      <c r="AD252" s="92"/>
      <c r="AE252" s="92"/>
      <c r="AF252" s="92"/>
      <c r="AG252" s="92"/>
      <c r="AH252" s="92"/>
      <c r="AI252" s="92"/>
      <c r="AJ252" s="92"/>
      <c r="AK252" s="92"/>
      <c r="AL252" s="92"/>
      <c r="AM252" s="92"/>
      <c r="AN252" s="92"/>
      <c r="AO252" s="92"/>
      <c r="AP252" s="92"/>
      <c r="AQ252" s="92"/>
      <c r="AR252" s="92"/>
      <c r="AS252" s="92"/>
      <c r="AT252" s="92"/>
      <c r="AU252" s="92"/>
      <c r="AV252" s="92"/>
      <c r="AW252" s="92"/>
      <c r="AX252" s="92"/>
      <c r="AY252" s="92"/>
      <c r="AZ252" s="92"/>
      <c r="BA252" s="92"/>
      <c r="BB252" s="92"/>
      <c r="BC252" s="92"/>
      <c r="BD252" s="92"/>
      <c r="BE252" s="92"/>
      <c r="BF252" s="92"/>
      <c r="BG252" s="92"/>
      <c r="BH252" s="92"/>
      <c r="BI252" s="92"/>
      <c r="BJ252" s="92"/>
      <c r="BK252" s="92"/>
      <c r="BL252" s="92"/>
      <c r="BM252" s="92"/>
      <c r="BN252" s="92"/>
      <c r="BO252" s="92"/>
      <c r="BP252" s="92"/>
      <c r="BQ252" s="92"/>
      <c r="BR252" s="92"/>
      <c r="BS252" s="92"/>
      <c r="BT252" s="92"/>
      <c r="BU252" s="92"/>
      <c r="BV252" s="92"/>
      <c r="BW252" s="92"/>
      <c r="BX252" s="92"/>
      <c r="BY252" s="92"/>
      <c r="BZ252" s="92"/>
      <c r="CA252" s="92"/>
      <c r="CB252" s="92"/>
      <c r="CC252" s="92"/>
      <c r="CD252" s="92"/>
      <c r="CE252" s="92"/>
      <c r="CF252" s="92"/>
      <c r="CG252" s="92"/>
      <c r="CH252" s="92"/>
      <c r="CI252" s="92"/>
      <c r="CJ252" s="92"/>
      <c r="CK252" s="92"/>
      <c r="CL252" s="92"/>
      <c r="CM252" s="92"/>
      <c r="CN252" s="92"/>
      <c r="CO252" s="92"/>
      <c r="CP252" s="92"/>
      <c r="CQ252" s="92"/>
      <c r="CR252" s="92"/>
      <c r="CS252" s="92"/>
      <c r="CT252" s="92"/>
      <c r="CU252" s="92"/>
      <c r="CV252" s="92"/>
      <c r="CW252" s="92"/>
      <c r="CX252" s="92"/>
      <c r="CY252" s="92"/>
      <c r="CZ252" s="92"/>
      <c r="DA252" s="92"/>
      <c r="DB252" s="92"/>
      <c r="DC252" s="92"/>
      <c r="DD252" s="92"/>
      <c r="DE252" s="92"/>
      <c r="DF252" s="92"/>
      <c r="DG252" s="92"/>
      <c r="DH252" s="92"/>
      <c r="DI252" s="92"/>
      <c r="DJ252" s="92"/>
      <c r="DK252" s="92"/>
      <c r="DL252" s="92"/>
      <c r="DM252" s="92"/>
      <c r="DN252" s="92"/>
      <c r="DO252" s="92"/>
      <c r="DP252" s="92"/>
      <c r="DQ252" s="92"/>
      <c r="DR252" s="92"/>
      <c r="DS252" s="92"/>
      <c r="DT252" s="92"/>
      <c r="DU252" s="92"/>
      <c r="DV252" s="92"/>
      <c r="DW252" s="92"/>
      <c r="DX252" s="92"/>
      <c r="DY252" s="92"/>
      <c r="DZ252" s="92"/>
      <c r="EA252" s="92"/>
      <c r="EB252" s="92"/>
      <c r="EC252" s="92"/>
      <c r="ED252" s="92"/>
      <c r="EE252" s="92"/>
      <c r="EF252" s="92"/>
      <c r="EG252" s="92"/>
      <c r="EH252" s="92"/>
      <c r="EI252" s="92"/>
      <c r="EJ252" s="92"/>
      <c r="EK252" s="92"/>
      <c r="EL252" s="92"/>
      <c r="EM252" s="92"/>
      <c r="EN252" s="92"/>
      <c r="EO252" s="92"/>
      <c r="EP252" s="92"/>
      <c r="EQ252" s="92"/>
      <c r="ER252" s="92"/>
      <c r="ES252" s="92"/>
      <c r="ET252" s="92"/>
      <c r="EU252" s="92"/>
      <c r="EV252" s="92"/>
      <c r="EW252" s="92"/>
      <c r="EX252" s="92"/>
      <c r="EY252" s="92"/>
      <c r="EZ252" s="92"/>
      <c r="FA252" s="92"/>
      <c r="FB252" s="92"/>
      <c r="FC252" s="92"/>
      <c r="FD252" s="92"/>
      <c r="FE252" s="92"/>
      <c r="FF252" s="92"/>
      <c r="FG252" s="92"/>
      <c r="FH252" s="92"/>
    </row>
    <row r="253">
      <c r="A253" s="32" t="s">
        <v>47</v>
      </c>
      <c r="B253" s="32" t="s">
        <v>52</v>
      </c>
      <c r="C253" s="32" t="s">
        <v>10</v>
      </c>
      <c r="D253" s="97">
        <f t="shared" si="1"/>
        <v>648.7422782</v>
      </c>
      <c r="E253" s="92">
        <f>(SUBSTITUTE(Audio!E253, "RE-", "", 1))*1</f>
        <v>0</v>
      </c>
      <c r="F253" s="92">
        <f>(SUBSTITUTE(Audio!F253, "RE-", "", 1))*1</f>
        <v>0</v>
      </c>
      <c r="G253" s="92">
        <f>(SUBSTITUTE(Audio!G253, "RE-", "", 1))*1</f>
        <v>175.061749</v>
      </c>
      <c r="H253" s="92">
        <f>(SUBSTITUTE(Audio!H253, "RE-", "", 1))*1</f>
        <v>0</v>
      </c>
      <c r="I253" s="92">
        <f>(SUBSTITUTE(Audio!I253, "RE-", "", 1))*1</f>
        <v>25.88088542</v>
      </c>
      <c r="J253" s="92">
        <f>(SUBSTITUTE(Audio!J253, "RE-", "", 1))*1</f>
        <v>0</v>
      </c>
      <c r="K253" s="92">
        <f>(SUBSTITUTE(Audio!K253, "RE-", "", 1))*1</f>
        <v>36.69802292</v>
      </c>
      <c r="L253" s="92">
        <f>(SUBSTITUTE(Audio!L253, "RE-", "", 1))*1</f>
        <v>0</v>
      </c>
      <c r="M253" s="92">
        <f>(SUBSTITUTE(Audio!M253, "RE-", "", 1))*1</f>
        <v>142.0579302</v>
      </c>
      <c r="N253" s="92">
        <f>(SUBSTITUTE(Audio!N253, "RE-", "", 1))*1</f>
        <v>0</v>
      </c>
      <c r="O253" s="92">
        <f>(SUBSTITUTE(Audio!O253, "RE-", "", 1))*1</f>
        <v>69.99630938</v>
      </c>
      <c r="P253" s="92">
        <f>(SUBSTITUTE(Audio!P253, "RE-", "", 1))*1</f>
        <v>0</v>
      </c>
      <c r="Q253" s="92">
        <f>(SUBSTITUTE(Audio!Q253, "RE-", "", 1))*1</f>
        <v>103.6231927</v>
      </c>
      <c r="R253" s="92">
        <f>(SUBSTITUTE(Audio!R253, "RE-", "", 1))*1</f>
        <v>0</v>
      </c>
      <c r="S253" s="92">
        <f>(SUBSTITUTE(Audio!S253, "RE-", "", 1))*1</f>
        <v>57.03290208</v>
      </c>
      <c r="T253" s="92">
        <f>(SUBSTITUTE(Audio!T253, "RE-", "", 1))*1</f>
        <v>0</v>
      </c>
      <c r="U253" s="92">
        <f>(SUBSTITUTE(Audio!U253, "RE-", "", 1))*1</f>
        <v>34.05163854</v>
      </c>
      <c r="V253" s="92">
        <f>(SUBSTITUTE(Audio!V253, "RE-", "", 1))*1</f>
        <v>4.339647917</v>
      </c>
      <c r="W253" s="92">
        <f>(SUBSTITUTE(Audio!W253, "RE-", "", 1))*1</f>
        <v>0</v>
      </c>
      <c r="X253" s="92">
        <f>(SUBSTITUTE(Audio!X253, "RE-", "", 1))*1</f>
        <v>0</v>
      </c>
      <c r="Y253" s="92">
        <f>(SUBSTITUTE(Audio!Y253, "RE-", "", 1))*1</f>
        <v>0</v>
      </c>
      <c r="Z253" s="92">
        <f>(SUBSTITUTE(Audio!Z253, "RE-", "", 1))*1</f>
        <v>0</v>
      </c>
      <c r="AA253" s="92"/>
      <c r="AB253" s="92"/>
      <c r="AC253" s="92"/>
      <c r="AD253" s="92"/>
      <c r="AE253" s="92"/>
      <c r="AF253" s="92"/>
      <c r="AG253" s="92"/>
      <c r="AH253" s="92"/>
      <c r="AI253" s="92"/>
      <c r="AJ253" s="92"/>
      <c r="AK253" s="92"/>
      <c r="AL253" s="92"/>
      <c r="AM253" s="92"/>
      <c r="AN253" s="92"/>
      <c r="AO253" s="92"/>
      <c r="AP253" s="92"/>
      <c r="AQ253" s="92"/>
      <c r="AR253" s="92"/>
      <c r="AS253" s="92"/>
      <c r="AT253" s="92"/>
      <c r="AU253" s="92"/>
      <c r="AV253" s="92"/>
      <c r="AW253" s="92"/>
      <c r="AX253" s="92"/>
      <c r="AY253" s="92"/>
      <c r="AZ253" s="92"/>
      <c r="BA253" s="92"/>
      <c r="BB253" s="92"/>
      <c r="BC253" s="92"/>
      <c r="BD253" s="92"/>
      <c r="BE253" s="92"/>
      <c r="BF253" s="92"/>
      <c r="BG253" s="92"/>
      <c r="BH253" s="92"/>
      <c r="BI253" s="92"/>
      <c r="BJ253" s="92"/>
      <c r="BK253" s="92"/>
      <c r="BL253" s="92"/>
      <c r="BM253" s="92"/>
      <c r="BN253" s="92"/>
      <c r="BO253" s="92"/>
      <c r="BP253" s="92"/>
      <c r="BQ253" s="92"/>
      <c r="BR253" s="92"/>
      <c r="BS253" s="92"/>
      <c r="BT253" s="92"/>
      <c r="BU253" s="92"/>
      <c r="BV253" s="92"/>
      <c r="BW253" s="92"/>
      <c r="BX253" s="92"/>
      <c r="BY253" s="92"/>
      <c r="BZ253" s="92"/>
      <c r="CA253" s="92"/>
      <c r="CB253" s="92"/>
      <c r="CC253" s="92"/>
      <c r="CD253" s="92"/>
      <c r="CE253" s="92"/>
      <c r="CF253" s="92"/>
      <c r="CG253" s="92"/>
      <c r="CH253" s="92"/>
      <c r="CI253" s="92"/>
      <c r="CJ253" s="92"/>
      <c r="CK253" s="92"/>
      <c r="CL253" s="92"/>
      <c r="CM253" s="92"/>
      <c r="CN253" s="92"/>
      <c r="CO253" s="92"/>
      <c r="CP253" s="92"/>
      <c r="CQ253" s="92"/>
      <c r="CR253" s="92"/>
      <c r="CS253" s="92"/>
      <c r="CT253" s="92"/>
      <c r="CU253" s="92"/>
      <c r="CV253" s="92"/>
      <c r="CW253" s="92"/>
      <c r="CX253" s="92"/>
      <c r="CY253" s="92"/>
      <c r="CZ253" s="92"/>
      <c r="DA253" s="92"/>
      <c r="DB253" s="92"/>
      <c r="DC253" s="92"/>
      <c r="DD253" s="92"/>
      <c r="DE253" s="92"/>
      <c r="DF253" s="92"/>
      <c r="DG253" s="92"/>
      <c r="DH253" s="92"/>
      <c r="DI253" s="92"/>
      <c r="DJ253" s="92"/>
      <c r="DK253" s="92"/>
      <c r="DL253" s="92"/>
      <c r="DM253" s="92"/>
      <c r="DN253" s="92"/>
      <c r="DO253" s="92"/>
      <c r="DP253" s="92"/>
      <c r="DQ253" s="92"/>
      <c r="DR253" s="92"/>
      <c r="DS253" s="92"/>
      <c r="DT253" s="92"/>
      <c r="DU253" s="92"/>
      <c r="DV253" s="92"/>
      <c r="DW253" s="92"/>
      <c r="DX253" s="92"/>
      <c r="DY253" s="92"/>
      <c r="DZ253" s="92"/>
      <c r="EA253" s="92"/>
      <c r="EB253" s="92"/>
      <c r="EC253" s="92"/>
      <c r="ED253" s="92"/>
      <c r="EE253" s="92"/>
      <c r="EF253" s="92"/>
      <c r="EG253" s="92"/>
      <c r="EH253" s="92"/>
      <c r="EI253" s="92"/>
      <c r="EJ253" s="92"/>
      <c r="EK253" s="92"/>
      <c r="EL253" s="92"/>
      <c r="EM253" s="92"/>
      <c r="EN253" s="92"/>
      <c r="EO253" s="92"/>
      <c r="EP253" s="92"/>
      <c r="EQ253" s="92"/>
      <c r="ER253" s="92"/>
      <c r="ES253" s="92"/>
      <c r="ET253" s="92"/>
      <c r="EU253" s="92"/>
      <c r="EV253" s="92"/>
      <c r="EW253" s="92"/>
      <c r="EX253" s="92"/>
      <c r="EY253" s="92"/>
      <c r="EZ253" s="92"/>
      <c r="FA253" s="92"/>
      <c r="FB253" s="92"/>
      <c r="FC253" s="92"/>
      <c r="FD253" s="92"/>
      <c r="FE253" s="92"/>
      <c r="FF253" s="92"/>
      <c r="FG253" s="92"/>
      <c r="FH253" s="92"/>
    </row>
    <row r="254">
      <c r="A254" s="32" t="s">
        <v>47</v>
      </c>
      <c r="B254" s="32" t="s">
        <v>52</v>
      </c>
      <c r="C254" s="32" t="s">
        <v>11</v>
      </c>
      <c r="D254" s="97">
        <f t="shared" si="1"/>
        <v>648.7422781</v>
      </c>
      <c r="E254" s="92">
        <f>(SUBSTITUTE(Audio!E254, "RE-", "", 1))*1</f>
        <v>0</v>
      </c>
      <c r="F254" s="92">
        <f>(SUBSTITUTE(Audio!F254, "RE-", "", 1))*1</f>
        <v>0</v>
      </c>
      <c r="G254" s="92">
        <f>(SUBSTITUTE(Audio!G254, "RE-", "", 1))*1</f>
        <v>175.061749</v>
      </c>
      <c r="H254" s="92">
        <f>(SUBSTITUTE(Audio!H254, "RE-", "", 1))*1</f>
        <v>0</v>
      </c>
      <c r="I254" s="92">
        <f>(SUBSTITUTE(Audio!I254, "RE-", "", 1))*1</f>
        <v>25.88088542</v>
      </c>
      <c r="J254" s="92">
        <f>(SUBSTITUTE(Audio!J254, "RE-", "", 1))*1</f>
        <v>0</v>
      </c>
      <c r="K254" s="92">
        <f>(SUBSTITUTE(Audio!K254, "RE-", "", 1))*1</f>
        <v>36.69802292</v>
      </c>
      <c r="L254" s="92">
        <f>(SUBSTITUTE(Audio!L254, "RE-", "", 1))*1</f>
        <v>0</v>
      </c>
      <c r="M254" s="92">
        <f>(SUBSTITUTE(Audio!M254, "RE-", "", 1))*1</f>
        <v>142.0579302</v>
      </c>
      <c r="N254" s="92">
        <f>(SUBSTITUTE(Audio!N254, "RE-", "", 1))*1</f>
        <v>0</v>
      </c>
      <c r="O254" s="92">
        <f>(SUBSTITUTE(Audio!O254, "RE-", "", 1))*1</f>
        <v>69.99630938</v>
      </c>
      <c r="P254" s="92">
        <f>(SUBSTITUTE(Audio!P254, "RE-", "", 1))*1</f>
        <v>0</v>
      </c>
      <c r="Q254" s="92">
        <f>(SUBSTITUTE(Audio!Q254, "RE-", "", 1))*1</f>
        <v>103.6231927</v>
      </c>
      <c r="R254" s="92">
        <f>(SUBSTITUTE(Audio!R254, "RE-", "", 1))*1</f>
        <v>0</v>
      </c>
      <c r="S254" s="92">
        <f>(SUBSTITUTE(Audio!S254, "RE-", "", 1))*1</f>
        <v>57.03290208</v>
      </c>
      <c r="T254" s="92">
        <f>(SUBSTITUTE(Audio!T254, "RE-", "", 1))*1</f>
        <v>0</v>
      </c>
      <c r="U254" s="92">
        <f>(SUBSTITUTE(Audio!U254, "RE-", "", 1))*1</f>
        <v>34.05163854</v>
      </c>
      <c r="V254" s="92">
        <f>(SUBSTITUTE(Audio!V254, "RE-", "", 1))*1</f>
        <v>4.339647917</v>
      </c>
      <c r="W254" s="92">
        <f>(SUBSTITUTE(Audio!W254, "RE-", "", 1))*1</f>
        <v>0</v>
      </c>
      <c r="X254" s="92">
        <f>(SUBSTITUTE(Audio!X254, "RE-", "", 1))*1</f>
        <v>0</v>
      </c>
      <c r="Y254" s="92">
        <f>(SUBSTITUTE(Audio!Y254, "RE-", "", 1))*1</f>
        <v>0</v>
      </c>
      <c r="Z254" s="92">
        <f>(SUBSTITUTE(Audio!Z254, "RE-", "", 1))*1</f>
        <v>0</v>
      </c>
      <c r="AA254" s="92"/>
      <c r="AB254" s="92"/>
      <c r="AC254" s="92"/>
      <c r="AD254" s="92"/>
      <c r="AE254" s="92"/>
      <c r="AF254" s="92"/>
      <c r="AG254" s="92"/>
      <c r="AH254" s="92"/>
      <c r="AI254" s="92"/>
      <c r="AJ254" s="92"/>
      <c r="AK254" s="92"/>
      <c r="AL254" s="92"/>
      <c r="AM254" s="92"/>
      <c r="AN254" s="92"/>
      <c r="AO254" s="92"/>
      <c r="AP254" s="92"/>
      <c r="AQ254" s="92"/>
      <c r="AR254" s="92"/>
      <c r="AS254" s="92"/>
      <c r="AT254" s="92"/>
      <c r="AU254" s="92"/>
      <c r="AV254" s="92"/>
      <c r="AW254" s="92"/>
      <c r="AX254" s="92"/>
      <c r="AY254" s="92"/>
      <c r="AZ254" s="92"/>
      <c r="BA254" s="92"/>
      <c r="BB254" s="92"/>
      <c r="BC254" s="92"/>
      <c r="BD254" s="92"/>
      <c r="BE254" s="92"/>
      <c r="BF254" s="92"/>
      <c r="BG254" s="92"/>
      <c r="BH254" s="92"/>
      <c r="BI254" s="92"/>
      <c r="BJ254" s="92"/>
      <c r="BK254" s="92"/>
      <c r="BL254" s="92"/>
      <c r="BM254" s="92"/>
      <c r="BN254" s="92"/>
      <c r="BO254" s="92"/>
      <c r="BP254" s="92"/>
      <c r="BQ254" s="92"/>
      <c r="BR254" s="92"/>
      <c r="BS254" s="92"/>
      <c r="BT254" s="92"/>
      <c r="BU254" s="92"/>
      <c r="BV254" s="92"/>
      <c r="BW254" s="92"/>
      <c r="BX254" s="92"/>
      <c r="BY254" s="92"/>
      <c r="BZ254" s="92"/>
      <c r="CA254" s="92"/>
      <c r="CB254" s="92"/>
      <c r="CC254" s="92"/>
      <c r="CD254" s="92"/>
      <c r="CE254" s="92"/>
      <c r="CF254" s="92"/>
      <c r="CG254" s="92"/>
      <c r="CH254" s="92"/>
      <c r="CI254" s="92"/>
      <c r="CJ254" s="92"/>
      <c r="CK254" s="92"/>
      <c r="CL254" s="92"/>
      <c r="CM254" s="92"/>
      <c r="CN254" s="92"/>
      <c r="CO254" s="92"/>
      <c r="CP254" s="92"/>
      <c r="CQ254" s="92"/>
      <c r="CR254" s="92"/>
      <c r="CS254" s="92"/>
      <c r="CT254" s="92"/>
      <c r="CU254" s="92"/>
      <c r="CV254" s="92"/>
      <c r="CW254" s="92"/>
      <c r="CX254" s="92"/>
      <c r="CY254" s="92"/>
      <c r="CZ254" s="92"/>
      <c r="DA254" s="92"/>
      <c r="DB254" s="92"/>
      <c r="DC254" s="92"/>
      <c r="DD254" s="92"/>
      <c r="DE254" s="92"/>
      <c r="DF254" s="92"/>
      <c r="DG254" s="92"/>
      <c r="DH254" s="92"/>
      <c r="DI254" s="92"/>
      <c r="DJ254" s="92"/>
      <c r="DK254" s="92"/>
      <c r="DL254" s="92"/>
      <c r="DM254" s="92"/>
      <c r="DN254" s="92"/>
      <c r="DO254" s="92"/>
      <c r="DP254" s="92"/>
      <c r="DQ254" s="92"/>
      <c r="DR254" s="92"/>
      <c r="DS254" s="92"/>
      <c r="DT254" s="92"/>
      <c r="DU254" s="92"/>
      <c r="DV254" s="92"/>
      <c r="DW254" s="92"/>
      <c r="DX254" s="92"/>
      <c r="DY254" s="92"/>
      <c r="DZ254" s="92"/>
      <c r="EA254" s="92"/>
      <c r="EB254" s="92"/>
      <c r="EC254" s="92"/>
      <c r="ED254" s="92"/>
      <c r="EE254" s="92"/>
      <c r="EF254" s="92"/>
      <c r="EG254" s="92"/>
      <c r="EH254" s="92"/>
      <c r="EI254" s="92"/>
      <c r="EJ254" s="92"/>
      <c r="EK254" s="92"/>
      <c r="EL254" s="92"/>
      <c r="EM254" s="92"/>
      <c r="EN254" s="92"/>
      <c r="EO254" s="92"/>
      <c r="EP254" s="92"/>
      <c r="EQ254" s="92"/>
      <c r="ER254" s="92"/>
      <c r="ES254" s="92"/>
      <c r="ET254" s="92"/>
      <c r="EU254" s="92"/>
      <c r="EV254" s="92"/>
      <c r="EW254" s="92"/>
      <c r="EX254" s="92"/>
      <c r="EY254" s="92"/>
      <c r="EZ254" s="92"/>
      <c r="FA254" s="92"/>
      <c r="FB254" s="92"/>
      <c r="FC254" s="92"/>
      <c r="FD254" s="92"/>
      <c r="FE254" s="92"/>
      <c r="FF254" s="92"/>
      <c r="FG254" s="92"/>
      <c r="FH254" s="92"/>
    </row>
    <row r="255">
      <c r="A255" s="32" t="s">
        <v>47</v>
      </c>
      <c r="B255" s="32" t="s">
        <v>52</v>
      </c>
      <c r="C255" s="32" t="s">
        <v>12</v>
      </c>
      <c r="D255" s="97">
        <f t="shared" si="1"/>
        <v>7400.906058</v>
      </c>
      <c r="E255" s="92">
        <f>(SUBSTITUTE(Audio!E255, "RE-", "", 1))*1</f>
        <v>0</v>
      </c>
      <c r="F255" s="92">
        <f>(SUBSTITUTE(Audio!F255, "RE-", "", 1))*1</f>
        <v>1541.218732</v>
      </c>
      <c r="G255" s="92">
        <f>(SUBSTITUTE(Audio!G255, "RE-", "", 1))*1</f>
        <v>3.213475</v>
      </c>
      <c r="H255" s="92">
        <f>(SUBSTITUTE(Audio!H255, "RE-", "", 1))*1</f>
        <v>279.2519562</v>
      </c>
      <c r="I255" s="92">
        <f>(SUBSTITUTE(Audio!I255, "RE-", "", 1))*1</f>
        <v>0.4106875</v>
      </c>
      <c r="J255" s="92">
        <f>(SUBSTITUTE(Audio!J255, "RE-", "", 1))*1</f>
        <v>666.048025</v>
      </c>
      <c r="K255" s="92">
        <f>(SUBSTITUTE(Audio!K255, "RE-", "", 1))*1</f>
        <v>3.742447917</v>
      </c>
      <c r="L255" s="92">
        <f>(SUBSTITUTE(Audio!L255, "RE-", "", 1))*1</f>
        <v>2699.415284</v>
      </c>
      <c r="M255" s="92">
        <f>(SUBSTITUTE(Audio!M255, "RE-", "", 1))*1</f>
        <v>10.00538646</v>
      </c>
      <c r="N255" s="92">
        <f>(SUBSTITUTE(Audio!N255, "RE-", "", 1))*1</f>
        <v>195.426599</v>
      </c>
      <c r="O255" s="92">
        <f>(SUBSTITUTE(Audio!O255, "RE-", "", 1))*1</f>
        <v>4.191370833</v>
      </c>
      <c r="P255" s="92">
        <f>(SUBSTITUTE(Audio!P255, "RE-", "", 1))*1</f>
        <v>1083.532739</v>
      </c>
      <c r="Q255" s="92">
        <f>(SUBSTITUTE(Audio!Q255, "RE-", "", 1))*1</f>
        <v>36.80626354</v>
      </c>
      <c r="R255" s="92">
        <f>(SUBSTITUTE(Audio!R255, "RE-", "", 1))*1</f>
        <v>509.6608948</v>
      </c>
      <c r="S255" s="92">
        <f>(SUBSTITUTE(Audio!S255, "RE-", "", 1))*1</f>
        <v>26.37011146</v>
      </c>
      <c r="T255" s="92">
        <f>(SUBSTITUTE(Audio!T255, "RE-", "", 1))*1</f>
        <v>319.7647823</v>
      </c>
      <c r="U255" s="92">
        <f>(SUBSTITUTE(Audio!U255, "RE-", "", 1))*1</f>
        <v>19.42459062</v>
      </c>
      <c r="V255" s="92">
        <f>(SUBSTITUTE(Audio!V255, "RE-", "", 1))*1</f>
        <v>2.4227125</v>
      </c>
      <c r="W255" s="92">
        <f>(SUBSTITUTE(Audio!W255, "RE-", "", 1))*1</f>
        <v>0</v>
      </c>
      <c r="X255" s="92">
        <f>(SUBSTITUTE(Audio!X255, "RE-", "", 1))*1</f>
        <v>0</v>
      </c>
      <c r="Y255" s="92">
        <f>(SUBSTITUTE(Audio!Y255, "RE-", "", 1))*1</f>
        <v>0</v>
      </c>
      <c r="Z255" s="92">
        <f>(SUBSTITUTE(Audio!Z255, "RE-", "", 1))*1</f>
        <v>0</v>
      </c>
      <c r="AA255" s="92"/>
      <c r="AB255" s="92"/>
      <c r="AC255" s="92"/>
      <c r="AD255" s="92"/>
      <c r="AE255" s="92"/>
      <c r="AF255" s="92"/>
      <c r="AG255" s="92"/>
      <c r="AH255" s="92"/>
      <c r="AI255" s="92"/>
      <c r="AJ255" s="92"/>
      <c r="AK255" s="92"/>
      <c r="AL255" s="92"/>
      <c r="AM255" s="92"/>
      <c r="AN255" s="92"/>
      <c r="AO255" s="92"/>
      <c r="AP255" s="92"/>
      <c r="AQ255" s="92"/>
      <c r="AR255" s="92"/>
      <c r="AS255" s="92"/>
      <c r="AT255" s="92"/>
      <c r="AU255" s="92"/>
      <c r="AV255" s="92"/>
      <c r="AW255" s="92"/>
      <c r="AX255" s="92"/>
      <c r="AY255" s="92"/>
      <c r="AZ255" s="92"/>
      <c r="BA255" s="92"/>
      <c r="BB255" s="92"/>
      <c r="BC255" s="92"/>
      <c r="BD255" s="92"/>
      <c r="BE255" s="92"/>
      <c r="BF255" s="92"/>
      <c r="BG255" s="92"/>
      <c r="BH255" s="92"/>
      <c r="BI255" s="92"/>
      <c r="BJ255" s="92"/>
      <c r="BK255" s="92"/>
      <c r="BL255" s="92"/>
      <c r="BM255" s="92"/>
      <c r="BN255" s="92"/>
      <c r="BO255" s="92"/>
      <c r="BP255" s="92"/>
      <c r="BQ255" s="92"/>
      <c r="BR255" s="92"/>
      <c r="BS255" s="92"/>
      <c r="BT255" s="92"/>
      <c r="BU255" s="92"/>
      <c r="BV255" s="92"/>
      <c r="BW255" s="92"/>
      <c r="BX255" s="92"/>
      <c r="BY255" s="92"/>
      <c r="BZ255" s="92"/>
      <c r="CA255" s="92"/>
      <c r="CB255" s="92"/>
      <c r="CC255" s="92"/>
      <c r="CD255" s="92"/>
      <c r="CE255" s="92"/>
      <c r="CF255" s="92"/>
      <c r="CG255" s="92"/>
      <c r="CH255" s="92"/>
      <c r="CI255" s="92"/>
      <c r="CJ255" s="92"/>
      <c r="CK255" s="92"/>
      <c r="CL255" s="92"/>
      <c r="CM255" s="92"/>
      <c r="CN255" s="92"/>
      <c r="CO255" s="92"/>
      <c r="CP255" s="92"/>
      <c r="CQ255" s="92"/>
      <c r="CR255" s="92"/>
      <c r="CS255" s="92"/>
      <c r="CT255" s="92"/>
      <c r="CU255" s="92"/>
      <c r="CV255" s="92"/>
      <c r="CW255" s="92"/>
      <c r="CX255" s="92"/>
      <c r="CY255" s="92"/>
      <c r="CZ255" s="92"/>
      <c r="DA255" s="92"/>
      <c r="DB255" s="92"/>
      <c r="DC255" s="92"/>
      <c r="DD255" s="92"/>
      <c r="DE255" s="92"/>
      <c r="DF255" s="92"/>
      <c r="DG255" s="92"/>
      <c r="DH255" s="92"/>
      <c r="DI255" s="92"/>
      <c r="DJ255" s="92"/>
      <c r="DK255" s="92"/>
      <c r="DL255" s="92"/>
      <c r="DM255" s="92"/>
      <c r="DN255" s="92"/>
      <c r="DO255" s="92"/>
      <c r="DP255" s="92"/>
      <c r="DQ255" s="92"/>
      <c r="DR255" s="92"/>
      <c r="DS255" s="92"/>
      <c r="DT255" s="92"/>
      <c r="DU255" s="92"/>
      <c r="DV255" s="92"/>
      <c r="DW255" s="92"/>
      <c r="DX255" s="92"/>
      <c r="DY255" s="92"/>
      <c r="DZ255" s="92"/>
      <c r="EA255" s="92"/>
      <c r="EB255" s="92"/>
      <c r="EC255" s="92"/>
      <c r="ED255" s="92"/>
      <c r="EE255" s="92"/>
      <c r="EF255" s="92"/>
      <c r="EG255" s="92"/>
      <c r="EH255" s="92"/>
      <c r="EI255" s="92"/>
      <c r="EJ255" s="92"/>
      <c r="EK255" s="92"/>
      <c r="EL255" s="92"/>
      <c r="EM255" s="92"/>
      <c r="EN255" s="92"/>
      <c r="EO255" s="92"/>
      <c r="EP255" s="92"/>
      <c r="EQ255" s="92"/>
      <c r="ER255" s="92"/>
      <c r="ES255" s="92"/>
      <c r="ET255" s="92"/>
      <c r="EU255" s="92"/>
      <c r="EV255" s="92"/>
      <c r="EW255" s="92"/>
      <c r="EX255" s="92"/>
      <c r="EY255" s="92"/>
      <c r="EZ255" s="92"/>
      <c r="FA255" s="92"/>
      <c r="FB255" s="92"/>
      <c r="FC255" s="92"/>
      <c r="FD255" s="92"/>
      <c r="FE255" s="92"/>
      <c r="FF255" s="92"/>
      <c r="FG255" s="92"/>
      <c r="FH255" s="92"/>
    </row>
    <row r="256">
      <c r="A256" s="32" t="s">
        <v>47</v>
      </c>
      <c r="B256" s="32" t="s">
        <v>52</v>
      </c>
      <c r="C256" s="32" t="s">
        <v>13</v>
      </c>
      <c r="D256" s="97">
        <f t="shared" si="1"/>
        <v>7095.43374</v>
      </c>
      <c r="E256" s="92">
        <f>(SUBSTITUTE(Audio!E256, "RE-", "", 1))*1</f>
        <v>0</v>
      </c>
      <c r="F256" s="92">
        <f>(SUBSTITUTE(Audio!F256, "RE-", "", 1))*1</f>
        <v>1511.01</v>
      </c>
      <c r="G256" s="92">
        <f>(SUBSTITUTE(Audio!G256, "RE-", "", 1))*1</f>
        <v>3.12482</v>
      </c>
      <c r="H256" s="92">
        <f>(SUBSTITUTE(Audio!H256, "RE-", "", 1))*1</f>
        <v>274.855</v>
      </c>
      <c r="I256" s="92">
        <f>(SUBSTITUTE(Audio!I256, "RE-", "", 1))*1</f>
        <v>0.3451</v>
      </c>
      <c r="J256" s="92">
        <f>(SUBSTITUTE(Audio!J256, "RE-", "", 1))*1</f>
        <v>655.324</v>
      </c>
      <c r="K256" s="92">
        <f>(SUBSTITUTE(Audio!K256, "RE-", "", 1))*1</f>
        <v>3.57602</v>
      </c>
      <c r="L256" s="92">
        <f>(SUBSTITUTE(Audio!L256, "RE-", "", 1))*1</f>
        <v>2556.08</v>
      </c>
      <c r="M256" s="92">
        <f>(SUBSTITUTE(Audio!M256, "RE-", "", 1))*1</f>
        <v>9.51515</v>
      </c>
      <c r="N256" s="92">
        <f>(SUBSTITUTE(Audio!N256, "RE-", "", 1))*1</f>
        <v>187.424</v>
      </c>
      <c r="O256" s="92">
        <f>(SUBSTITUTE(Audio!O256, "RE-", "", 1))*1</f>
        <v>3.98033</v>
      </c>
      <c r="P256" s="92">
        <f>(SUBSTITUTE(Audio!P256, "RE-", "", 1))*1</f>
        <v>1022.23</v>
      </c>
      <c r="Q256" s="92">
        <f>(SUBSTITUTE(Audio!Q256, "RE-", "", 1))*1</f>
        <v>34.2454</v>
      </c>
      <c r="R256" s="92">
        <f>(SUBSTITUTE(Audio!R256, "RE-", "", 1))*1</f>
        <v>482.746</v>
      </c>
      <c r="S256" s="92">
        <f>(SUBSTITUTE(Audio!S256, "RE-", "", 1))*1</f>
        <v>23.734</v>
      </c>
      <c r="T256" s="92">
        <f>(SUBSTITUTE(Audio!T256, "RE-", "", 1))*1</f>
        <v>306.503</v>
      </c>
      <c r="U256" s="92">
        <f>(SUBSTITUTE(Audio!U256, "RE-", "", 1))*1</f>
        <v>18.431</v>
      </c>
      <c r="V256" s="92">
        <f>(SUBSTITUTE(Audio!V256, "RE-", "", 1))*1</f>
        <v>2.30992</v>
      </c>
      <c r="W256" s="92">
        <f>(SUBSTITUTE(Audio!W256, "RE-", "", 1))*1</f>
        <v>0</v>
      </c>
      <c r="X256" s="92">
        <f>(SUBSTITUTE(Audio!X256, "RE-", "", 1))*1</f>
        <v>0</v>
      </c>
      <c r="Y256" s="92">
        <f>(SUBSTITUTE(Audio!Y256, "RE-", "", 1))*1</f>
        <v>0</v>
      </c>
      <c r="Z256" s="92">
        <f>(SUBSTITUTE(Audio!Z256, "RE-", "", 1))*1</f>
        <v>0</v>
      </c>
      <c r="AA256" s="92"/>
      <c r="AB256" s="92"/>
      <c r="AC256" s="92"/>
      <c r="AD256" s="92"/>
      <c r="AE256" s="92"/>
      <c r="AF256" s="92"/>
      <c r="AG256" s="92"/>
      <c r="AH256" s="92"/>
      <c r="AI256" s="92"/>
      <c r="AJ256" s="92"/>
      <c r="AK256" s="92"/>
      <c r="AL256" s="92"/>
      <c r="AM256" s="92"/>
      <c r="AN256" s="92"/>
      <c r="AO256" s="92"/>
      <c r="AP256" s="92"/>
      <c r="AQ256" s="92"/>
      <c r="AR256" s="92"/>
      <c r="AS256" s="92"/>
      <c r="AT256" s="92"/>
      <c r="AU256" s="92"/>
      <c r="AV256" s="92"/>
      <c r="AW256" s="92"/>
      <c r="AX256" s="92"/>
      <c r="AY256" s="92"/>
      <c r="AZ256" s="92"/>
      <c r="BA256" s="92"/>
      <c r="BB256" s="92"/>
      <c r="BC256" s="92"/>
      <c r="BD256" s="92"/>
      <c r="BE256" s="92"/>
      <c r="BF256" s="92"/>
      <c r="BG256" s="92"/>
      <c r="BH256" s="92"/>
      <c r="BI256" s="92"/>
      <c r="BJ256" s="92"/>
      <c r="BK256" s="92"/>
      <c r="BL256" s="92"/>
      <c r="BM256" s="92"/>
      <c r="BN256" s="92"/>
      <c r="BO256" s="92"/>
      <c r="BP256" s="92"/>
      <c r="BQ256" s="92"/>
      <c r="BR256" s="92"/>
      <c r="BS256" s="92"/>
      <c r="BT256" s="92"/>
      <c r="BU256" s="92"/>
      <c r="BV256" s="92"/>
      <c r="BW256" s="92"/>
      <c r="BX256" s="92"/>
      <c r="BY256" s="92"/>
      <c r="BZ256" s="92"/>
      <c r="CA256" s="92"/>
      <c r="CB256" s="92"/>
      <c r="CC256" s="92"/>
      <c r="CD256" s="92"/>
      <c r="CE256" s="92"/>
      <c r="CF256" s="92"/>
      <c r="CG256" s="92"/>
      <c r="CH256" s="92"/>
      <c r="CI256" s="92"/>
      <c r="CJ256" s="92"/>
      <c r="CK256" s="92"/>
      <c r="CL256" s="92"/>
      <c r="CM256" s="92"/>
      <c r="CN256" s="92"/>
      <c r="CO256" s="92"/>
      <c r="CP256" s="92"/>
      <c r="CQ256" s="92"/>
      <c r="CR256" s="92"/>
      <c r="CS256" s="92"/>
      <c r="CT256" s="92"/>
      <c r="CU256" s="92"/>
      <c r="CV256" s="92"/>
      <c r="CW256" s="92"/>
      <c r="CX256" s="92"/>
      <c r="CY256" s="92"/>
      <c r="CZ256" s="92"/>
      <c r="DA256" s="92"/>
      <c r="DB256" s="92"/>
      <c r="DC256" s="92"/>
      <c r="DD256" s="92"/>
      <c r="DE256" s="92"/>
      <c r="DF256" s="92"/>
      <c r="DG256" s="92"/>
      <c r="DH256" s="92"/>
      <c r="DI256" s="92"/>
      <c r="DJ256" s="92"/>
      <c r="DK256" s="92"/>
      <c r="DL256" s="92"/>
      <c r="DM256" s="92"/>
      <c r="DN256" s="92"/>
      <c r="DO256" s="92"/>
      <c r="DP256" s="92"/>
      <c r="DQ256" s="92"/>
      <c r="DR256" s="92"/>
      <c r="DS256" s="92"/>
      <c r="DT256" s="92"/>
      <c r="DU256" s="92"/>
      <c r="DV256" s="92"/>
      <c r="DW256" s="92"/>
      <c r="DX256" s="92"/>
      <c r="DY256" s="92"/>
      <c r="DZ256" s="92"/>
      <c r="EA256" s="92"/>
      <c r="EB256" s="92"/>
      <c r="EC256" s="92"/>
      <c r="ED256" s="92"/>
      <c r="EE256" s="92"/>
      <c r="EF256" s="92"/>
      <c r="EG256" s="92"/>
      <c r="EH256" s="92"/>
      <c r="EI256" s="92"/>
      <c r="EJ256" s="92"/>
      <c r="EK256" s="92"/>
      <c r="EL256" s="92"/>
      <c r="EM256" s="92"/>
      <c r="EN256" s="92"/>
      <c r="EO256" s="92"/>
      <c r="EP256" s="92"/>
      <c r="EQ256" s="92"/>
      <c r="ER256" s="92"/>
      <c r="ES256" s="92"/>
      <c r="ET256" s="92"/>
      <c r="EU256" s="92"/>
      <c r="EV256" s="92"/>
      <c r="EW256" s="92"/>
      <c r="EX256" s="92"/>
      <c r="EY256" s="92"/>
      <c r="EZ256" s="92"/>
      <c r="FA256" s="92"/>
      <c r="FB256" s="92"/>
      <c r="FC256" s="92"/>
      <c r="FD256" s="92"/>
      <c r="FE256" s="92"/>
      <c r="FF256" s="92"/>
      <c r="FG256" s="92"/>
      <c r="FH256" s="92"/>
    </row>
    <row r="257">
      <c r="A257" s="32" t="s">
        <v>47</v>
      </c>
      <c r="B257" s="32" t="s">
        <v>52</v>
      </c>
      <c r="C257" s="32" t="s">
        <v>14</v>
      </c>
      <c r="D257" s="97">
        <f t="shared" si="1"/>
        <v>6175.98306</v>
      </c>
      <c r="E257" s="92">
        <f>(SUBSTITUTE(Audio!E257, "RE-", "", 1))*1</f>
        <v>0</v>
      </c>
      <c r="F257" s="92">
        <f>(SUBSTITUTE(Audio!F257, "RE-", "", 1))*1</f>
        <v>1335.03</v>
      </c>
      <c r="G257" s="92">
        <f>(SUBSTITUTE(Audio!G257, "RE-", "", 1))*1</f>
        <v>2.97582</v>
      </c>
      <c r="H257" s="92">
        <f>(SUBSTITUTE(Audio!H257, "RE-", "", 1))*1</f>
        <v>231.086</v>
      </c>
      <c r="I257" s="92">
        <f>(SUBSTITUTE(Audio!I257, "RE-", "", 1))*1</f>
        <v>0.3451</v>
      </c>
      <c r="J257" s="92">
        <f>(SUBSTITUTE(Audio!J257, "RE-", "", 1))*1</f>
        <v>583.169</v>
      </c>
      <c r="K257" s="92">
        <f>(SUBSTITUTE(Audio!K257, "RE-", "", 1))*1</f>
        <v>3.13082</v>
      </c>
      <c r="L257" s="92">
        <f>(SUBSTITUTE(Audio!L257, "RE-", "", 1))*1</f>
        <v>2253.54</v>
      </c>
      <c r="M257" s="92">
        <f>(SUBSTITUTE(Audio!M257, "RE-", "", 1))*1</f>
        <v>8.037</v>
      </c>
      <c r="N257" s="92">
        <f>(SUBSTITUTE(Audio!N257, "RE-", "", 1))*1</f>
        <v>153.582</v>
      </c>
      <c r="O257" s="92">
        <f>(SUBSTITUTE(Audio!O257, "RE-", "", 1))*1</f>
        <v>3.08</v>
      </c>
      <c r="P257" s="92">
        <f>(SUBSTITUTE(Audio!P257, "RE-", "", 1))*1</f>
        <v>864.924</v>
      </c>
      <c r="Q257" s="92">
        <f>(SUBSTITUTE(Audio!Q257, "RE-", "", 1))*1</f>
        <v>29.0358</v>
      </c>
      <c r="R257" s="92">
        <f>(SUBSTITUTE(Audio!R257, "RE-", "", 1))*1</f>
        <v>405.668</v>
      </c>
      <c r="S257" s="92">
        <f>(SUBSTITUTE(Audio!S257, "RE-", "", 1))*1</f>
        <v>21.949</v>
      </c>
      <c r="T257" s="92">
        <f>(SUBSTITUTE(Audio!T257, "RE-", "", 1))*1</f>
        <v>261.652</v>
      </c>
      <c r="U257" s="92">
        <f>(SUBSTITUTE(Audio!U257, "RE-", "", 1))*1</f>
        <v>16.8359</v>
      </c>
      <c r="V257" s="92">
        <f>(SUBSTITUTE(Audio!V257, "RE-", "", 1))*1</f>
        <v>1.94262</v>
      </c>
      <c r="W257" s="92">
        <f>(SUBSTITUTE(Audio!W257, "RE-", "", 1))*1</f>
        <v>0</v>
      </c>
      <c r="X257" s="92">
        <f>(SUBSTITUTE(Audio!X257, "RE-", "", 1))*1</f>
        <v>0</v>
      </c>
      <c r="Y257" s="92">
        <f>(SUBSTITUTE(Audio!Y257, "RE-", "", 1))*1</f>
        <v>0</v>
      </c>
      <c r="Z257" s="92">
        <f>(SUBSTITUTE(Audio!Z257, "RE-", "", 1))*1</f>
        <v>0</v>
      </c>
      <c r="AA257" s="92"/>
      <c r="AB257" s="92"/>
      <c r="AC257" s="92"/>
      <c r="AD257" s="92"/>
      <c r="AE257" s="92"/>
      <c r="AF257" s="92"/>
      <c r="AG257" s="92"/>
      <c r="AH257" s="92"/>
      <c r="AI257" s="92"/>
      <c r="AJ257" s="92"/>
      <c r="AK257" s="92"/>
      <c r="AL257" s="92"/>
      <c r="AM257" s="92"/>
      <c r="AN257" s="92"/>
      <c r="AO257" s="92"/>
      <c r="AP257" s="92"/>
      <c r="AQ257" s="92"/>
      <c r="AR257" s="92"/>
      <c r="AS257" s="92"/>
      <c r="AT257" s="92"/>
      <c r="AU257" s="92"/>
      <c r="AV257" s="92"/>
      <c r="AW257" s="92"/>
      <c r="AX257" s="92"/>
      <c r="AY257" s="92"/>
      <c r="AZ257" s="92"/>
      <c r="BA257" s="92"/>
      <c r="BB257" s="92"/>
      <c r="BC257" s="92"/>
      <c r="BD257" s="92"/>
      <c r="BE257" s="92"/>
      <c r="BF257" s="92"/>
      <c r="BG257" s="92"/>
      <c r="BH257" s="92"/>
      <c r="BI257" s="92"/>
      <c r="BJ257" s="92"/>
      <c r="BK257" s="92"/>
      <c r="BL257" s="92"/>
      <c r="BM257" s="92"/>
      <c r="BN257" s="92"/>
      <c r="BO257" s="92"/>
      <c r="BP257" s="92"/>
      <c r="BQ257" s="92"/>
      <c r="BR257" s="92"/>
      <c r="BS257" s="92"/>
      <c r="BT257" s="92"/>
      <c r="BU257" s="92"/>
      <c r="BV257" s="92"/>
      <c r="BW257" s="92"/>
      <c r="BX257" s="92"/>
      <c r="BY257" s="92"/>
      <c r="BZ257" s="92"/>
      <c r="CA257" s="92"/>
      <c r="CB257" s="92"/>
      <c r="CC257" s="92"/>
      <c r="CD257" s="92"/>
      <c r="CE257" s="92"/>
      <c r="CF257" s="92"/>
      <c r="CG257" s="92"/>
      <c r="CH257" s="92"/>
      <c r="CI257" s="92"/>
      <c r="CJ257" s="92"/>
      <c r="CK257" s="92"/>
      <c r="CL257" s="92"/>
      <c r="CM257" s="92"/>
      <c r="CN257" s="92"/>
      <c r="CO257" s="92"/>
      <c r="CP257" s="92"/>
      <c r="CQ257" s="92"/>
      <c r="CR257" s="92"/>
      <c r="CS257" s="92"/>
      <c r="CT257" s="92"/>
      <c r="CU257" s="92"/>
      <c r="CV257" s="92"/>
      <c r="CW257" s="92"/>
      <c r="CX257" s="92"/>
      <c r="CY257" s="92"/>
      <c r="CZ257" s="92"/>
      <c r="DA257" s="92"/>
      <c r="DB257" s="92"/>
      <c r="DC257" s="92"/>
      <c r="DD257" s="92"/>
      <c r="DE257" s="92"/>
      <c r="DF257" s="92"/>
      <c r="DG257" s="92"/>
      <c r="DH257" s="92"/>
      <c r="DI257" s="92"/>
      <c r="DJ257" s="92"/>
      <c r="DK257" s="92"/>
      <c r="DL257" s="92"/>
      <c r="DM257" s="92"/>
      <c r="DN257" s="92"/>
      <c r="DO257" s="92"/>
      <c r="DP257" s="92"/>
      <c r="DQ257" s="92"/>
      <c r="DR257" s="92"/>
      <c r="DS257" s="92"/>
      <c r="DT257" s="92"/>
      <c r="DU257" s="92"/>
      <c r="DV257" s="92"/>
      <c r="DW257" s="92"/>
      <c r="DX257" s="92"/>
      <c r="DY257" s="92"/>
      <c r="DZ257" s="92"/>
      <c r="EA257" s="92"/>
      <c r="EB257" s="92"/>
      <c r="EC257" s="92"/>
      <c r="ED257" s="92"/>
      <c r="EE257" s="92"/>
      <c r="EF257" s="92"/>
      <c r="EG257" s="92"/>
      <c r="EH257" s="92"/>
      <c r="EI257" s="92"/>
      <c r="EJ257" s="92"/>
      <c r="EK257" s="92"/>
      <c r="EL257" s="92"/>
      <c r="EM257" s="92"/>
      <c r="EN257" s="92"/>
      <c r="EO257" s="92"/>
      <c r="EP257" s="92"/>
      <c r="EQ257" s="92"/>
      <c r="ER257" s="92"/>
      <c r="ES257" s="92"/>
      <c r="ET257" s="92"/>
      <c r="EU257" s="92"/>
      <c r="EV257" s="92"/>
      <c r="EW257" s="92"/>
      <c r="EX257" s="92"/>
      <c r="EY257" s="92"/>
      <c r="EZ257" s="92"/>
      <c r="FA257" s="92"/>
      <c r="FB257" s="92"/>
      <c r="FC257" s="92"/>
      <c r="FD257" s="92"/>
      <c r="FE257" s="92"/>
      <c r="FF257" s="92"/>
      <c r="FG257" s="92"/>
      <c r="FH257" s="92"/>
    </row>
    <row r="258">
      <c r="A258" s="27" t="s">
        <v>47</v>
      </c>
      <c r="B258" s="27" t="s">
        <v>52</v>
      </c>
      <c r="C258" s="27" t="s">
        <v>15</v>
      </c>
      <c r="D258" s="98">
        <f t="shared" si="1"/>
        <v>7095.31274</v>
      </c>
      <c r="E258" s="92">
        <f>(SUBSTITUTE(Audio!E258, "RE-", "", 1))*1</f>
        <v>0</v>
      </c>
      <c r="F258" s="92">
        <f>(SUBSTITUTE(Audio!F258, "RE-", "", 1))*1</f>
        <v>1511.01</v>
      </c>
      <c r="G258" s="92">
        <f>(SUBSTITUTE(Audio!G258, "RE-", "", 1))*1</f>
        <v>3.12482</v>
      </c>
      <c r="H258" s="92">
        <f>(SUBSTITUTE(Audio!H258, "RE-", "", 1))*1</f>
        <v>274.855</v>
      </c>
      <c r="I258" s="92">
        <f>(SUBSTITUTE(Audio!I258, "RE-", "", 1))*1</f>
        <v>0.3451</v>
      </c>
      <c r="J258" s="92">
        <f>(SUBSTITUTE(Audio!J258, "RE-", "", 1))*1</f>
        <v>655.324</v>
      </c>
      <c r="K258" s="92">
        <f>(SUBSTITUTE(Audio!K258, "RE-", "", 1))*1</f>
        <v>3.57602</v>
      </c>
      <c r="L258" s="92">
        <f>(SUBSTITUTE(Audio!L258, "RE-", "", 1))*1</f>
        <v>2556.07</v>
      </c>
      <c r="M258" s="92">
        <f>(SUBSTITUTE(Audio!M258, "RE-", "", 1))*1</f>
        <v>9.51515</v>
      </c>
      <c r="N258" s="92">
        <f>(SUBSTITUTE(Audio!N258, "RE-", "", 1))*1</f>
        <v>187.393</v>
      </c>
      <c r="O258" s="92">
        <f>(SUBSTITUTE(Audio!O258, "RE-", "", 1))*1</f>
        <v>3.98033</v>
      </c>
      <c r="P258" s="92">
        <f>(SUBSTITUTE(Audio!P258, "RE-", "", 1))*1</f>
        <v>1022.15</v>
      </c>
      <c r="Q258" s="92">
        <f>(SUBSTITUTE(Audio!Q258, "RE-", "", 1))*1</f>
        <v>34.2454</v>
      </c>
      <c r="R258" s="92">
        <f>(SUBSTITUTE(Audio!R258, "RE-", "", 1))*1</f>
        <v>482.746</v>
      </c>
      <c r="S258" s="92">
        <f>(SUBSTITUTE(Audio!S258, "RE-", "", 1))*1</f>
        <v>23.734</v>
      </c>
      <c r="T258" s="92">
        <f>(SUBSTITUTE(Audio!T258, "RE-", "", 1))*1</f>
        <v>306.503</v>
      </c>
      <c r="U258" s="92">
        <f>(SUBSTITUTE(Audio!U258, "RE-", "", 1))*1</f>
        <v>18.431</v>
      </c>
      <c r="V258" s="92">
        <f>(SUBSTITUTE(Audio!V258, "RE-", "", 1))*1</f>
        <v>2.30992</v>
      </c>
      <c r="W258" s="92">
        <f>(SUBSTITUTE(Audio!W258, "RE-", "", 1))*1</f>
        <v>0</v>
      </c>
      <c r="X258" s="92">
        <f>(SUBSTITUTE(Audio!X258, "RE-", "", 1))*1</f>
        <v>0</v>
      </c>
      <c r="Y258" s="92">
        <f>(SUBSTITUTE(Audio!Y258, "RE-", "", 1))*1</f>
        <v>0</v>
      </c>
      <c r="Z258" s="92">
        <f>(SUBSTITUTE(Audio!Z258, "RE-", "", 1))*1</f>
        <v>0</v>
      </c>
      <c r="AA258" s="92"/>
      <c r="AB258" s="92"/>
      <c r="AC258" s="92"/>
      <c r="AD258" s="92"/>
      <c r="AE258" s="92"/>
      <c r="AF258" s="92"/>
      <c r="AG258" s="92"/>
      <c r="AH258" s="92"/>
      <c r="AI258" s="92"/>
      <c r="AJ258" s="92"/>
      <c r="AK258" s="92"/>
      <c r="AL258" s="92"/>
      <c r="AM258" s="92"/>
      <c r="AN258" s="92"/>
      <c r="AO258" s="92"/>
      <c r="AP258" s="92"/>
      <c r="AQ258" s="92"/>
      <c r="AR258" s="92"/>
      <c r="AS258" s="92"/>
      <c r="AT258" s="92"/>
      <c r="AU258" s="92"/>
      <c r="AV258" s="92"/>
      <c r="AW258" s="92"/>
      <c r="AX258" s="92"/>
      <c r="AY258" s="92"/>
      <c r="AZ258" s="92"/>
      <c r="BA258" s="92"/>
      <c r="BB258" s="92"/>
      <c r="BC258" s="92"/>
      <c r="BD258" s="92"/>
      <c r="BE258" s="92"/>
      <c r="BF258" s="92"/>
      <c r="BG258" s="92"/>
      <c r="BH258" s="92"/>
      <c r="BI258" s="92"/>
      <c r="BJ258" s="92"/>
      <c r="BK258" s="92"/>
      <c r="BL258" s="92"/>
      <c r="BM258" s="92"/>
      <c r="BN258" s="92"/>
      <c r="BO258" s="92"/>
      <c r="BP258" s="92"/>
      <c r="BQ258" s="92"/>
      <c r="BR258" s="92"/>
      <c r="BS258" s="92"/>
      <c r="BT258" s="92"/>
      <c r="BU258" s="92"/>
      <c r="BV258" s="92"/>
      <c r="BW258" s="92"/>
      <c r="BX258" s="92"/>
      <c r="BY258" s="92"/>
      <c r="BZ258" s="92"/>
      <c r="CA258" s="92"/>
      <c r="CB258" s="92"/>
      <c r="CC258" s="92"/>
      <c r="CD258" s="92"/>
      <c r="CE258" s="92"/>
      <c r="CF258" s="92"/>
      <c r="CG258" s="92"/>
      <c r="CH258" s="92"/>
      <c r="CI258" s="92"/>
      <c r="CJ258" s="92"/>
      <c r="CK258" s="92"/>
      <c r="CL258" s="92"/>
      <c r="CM258" s="92"/>
      <c r="CN258" s="92"/>
      <c r="CO258" s="92"/>
      <c r="CP258" s="92"/>
      <c r="CQ258" s="92"/>
      <c r="CR258" s="92"/>
      <c r="CS258" s="92"/>
      <c r="CT258" s="92"/>
      <c r="CU258" s="92"/>
      <c r="CV258" s="92"/>
      <c r="CW258" s="92"/>
      <c r="CX258" s="92"/>
      <c r="CY258" s="92"/>
      <c r="CZ258" s="92"/>
      <c r="DA258" s="92"/>
      <c r="DB258" s="92"/>
      <c r="DC258" s="92"/>
      <c r="DD258" s="92"/>
      <c r="DE258" s="92"/>
      <c r="DF258" s="92"/>
      <c r="DG258" s="92"/>
      <c r="DH258" s="92"/>
      <c r="DI258" s="92"/>
      <c r="DJ258" s="92"/>
      <c r="DK258" s="92"/>
      <c r="DL258" s="92"/>
      <c r="DM258" s="92"/>
      <c r="DN258" s="92"/>
      <c r="DO258" s="92"/>
      <c r="DP258" s="92"/>
      <c r="DQ258" s="92"/>
      <c r="DR258" s="92"/>
      <c r="DS258" s="92"/>
      <c r="DT258" s="92"/>
      <c r="DU258" s="92"/>
      <c r="DV258" s="92"/>
      <c r="DW258" s="92"/>
      <c r="DX258" s="92"/>
      <c r="DY258" s="92"/>
      <c r="DZ258" s="92"/>
      <c r="EA258" s="92"/>
      <c r="EB258" s="92"/>
      <c r="EC258" s="92"/>
      <c r="ED258" s="92"/>
      <c r="EE258" s="92"/>
      <c r="EF258" s="92"/>
      <c r="EG258" s="92"/>
      <c r="EH258" s="92"/>
      <c r="EI258" s="92"/>
      <c r="EJ258" s="92"/>
      <c r="EK258" s="92"/>
      <c r="EL258" s="92"/>
      <c r="EM258" s="92"/>
      <c r="EN258" s="92"/>
      <c r="EO258" s="92"/>
      <c r="EP258" s="92"/>
      <c r="EQ258" s="92"/>
      <c r="ER258" s="92"/>
      <c r="ES258" s="92"/>
      <c r="ET258" s="92"/>
      <c r="EU258" s="92"/>
      <c r="EV258" s="92"/>
      <c r="EW258" s="92"/>
      <c r="EX258" s="92"/>
      <c r="EY258" s="92"/>
      <c r="EZ258" s="92"/>
      <c r="FA258" s="92"/>
      <c r="FB258" s="92"/>
      <c r="FC258" s="92"/>
      <c r="FD258" s="92"/>
      <c r="FE258" s="92"/>
      <c r="FF258" s="92"/>
      <c r="FG258" s="92"/>
      <c r="FH258" s="92"/>
    </row>
    <row r="259">
      <c r="A259" s="30" t="s">
        <v>47</v>
      </c>
      <c r="B259" s="30" t="s">
        <v>53</v>
      </c>
      <c r="C259" s="31" t="str">
        <f>HYPERLINK("https://docs.google.com/spreadsheets/d/1zXTZ4SBUcGEO_piFXWhf7i5wyymCkt5P/edit?usp=share_link&amp;ouid=106501987799020758802&amp;rtpof=true&amp;sd=true", "Raw Delivered")</f>
        <v>Raw Delivered</v>
      </c>
      <c r="D259" s="96">
        <f t="shared" si="1"/>
        <v>4549.214147</v>
      </c>
      <c r="E259" s="92">
        <f>(SUBSTITUTE(Audio!E259, "RE-", "", 1))*1</f>
        <v>0</v>
      </c>
      <c r="F259" s="92">
        <f>(SUBSTITUTE(Audio!F259, "RE-", "", 1))*1</f>
        <v>1275.954227</v>
      </c>
      <c r="G259" s="92">
        <f>(SUBSTITUTE(Audio!G259, "RE-", "", 1))*1</f>
        <v>0</v>
      </c>
      <c r="H259" s="92">
        <f>(SUBSTITUTE(Audio!H259, "RE-", "", 1))*1</f>
        <v>320.9008125</v>
      </c>
      <c r="I259" s="92">
        <f>(SUBSTITUTE(Audio!I259, "RE-", "", 1))*1</f>
        <v>0</v>
      </c>
      <c r="J259" s="92">
        <f>(SUBSTITUTE(Audio!J259, "RE-", "", 1))*1</f>
        <v>905.4161521</v>
      </c>
      <c r="K259" s="92">
        <f>(SUBSTITUTE(Audio!K259, "RE-", "", 1))*1</f>
        <v>0</v>
      </c>
      <c r="L259" s="92">
        <f>(SUBSTITUTE(Audio!L259, "RE-", "", 1))*1</f>
        <v>1038.404741</v>
      </c>
      <c r="M259" s="92">
        <f>(SUBSTITUTE(Audio!M259, "RE-", "", 1))*1</f>
        <v>0</v>
      </c>
      <c r="N259" s="92">
        <f>(SUBSTITUTE(Audio!N259, "RE-", "", 1))*1</f>
        <v>162.4885323</v>
      </c>
      <c r="O259" s="92">
        <f>(SUBSTITUTE(Audio!O259, "RE-", "", 1))*1</f>
        <v>0</v>
      </c>
      <c r="P259" s="92">
        <f>(SUBSTITUTE(Audio!P259, "RE-", "", 1))*1</f>
        <v>379.3293927</v>
      </c>
      <c r="Q259" s="92">
        <f>(SUBSTITUTE(Audio!Q259, "RE-", "", 1))*1</f>
        <v>0</v>
      </c>
      <c r="R259" s="92">
        <f>(SUBSTITUTE(Audio!R259, "RE-", "", 1))*1</f>
        <v>157.4205156</v>
      </c>
      <c r="S259" s="92">
        <f>(SUBSTITUTE(Audio!S259, "RE-", "", 1))*1</f>
        <v>0</v>
      </c>
      <c r="T259" s="92">
        <f>(SUBSTITUTE(Audio!T259, "RE-", "", 1))*1</f>
        <v>309.299774</v>
      </c>
      <c r="U259" s="92">
        <f>(SUBSTITUTE(Audio!U259, "RE-", "", 1))*1</f>
        <v>0</v>
      </c>
      <c r="V259" s="92">
        <f>(SUBSTITUTE(Audio!V259, "RE-", "", 1))*1</f>
        <v>0</v>
      </c>
      <c r="W259" s="92">
        <f>(SUBSTITUTE(Audio!W259, "RE-", "", 1))*1</f>
        <v>0</v>
      </c>
      <c r="X259" s="92">
        <f>(SUBSTITUTE(Audio!X259, "RE-", "", 1))*1</f>
        <v>0</v>
      </c>
      <c r="Y259" s="92">
        <f>(SUBSTITUTE(Audio!Y259, "RE-", "", 1))*1</f>
        <v>0</v>
      </c>
      <c r="Z259" s="92">
        <f>(SUBSTITUTE(Audio!Z259, "RE-", "", 1))*1</f>
        <v>0</v>
      </c>
      <c r="AA259" s="92"/>
      <c r="AB259" s="92"/>
      <c r="AC259" s="92"/>
      <c r="AD259" s="92"/>
      <c r="AE259" s="92"/>
      <c r="AF259" s="92"/>
      <c r="AG259" s="92"/>
      <c r="AH259" s="92"/>
      <c r="AI259" s="92"/>
      <c r="AJ259" s="92"/>
      <c r="AK259" s="92"/>
      <c r="AL259" s="92"/>
      <c r="AM259" s="92"/>
      <c r="AN259" s="92"/>
      <c r="AO259" s="92"/>
      <c r="AP259" s="92"/>
      <c r="AQ259" s="92"/>
      <c r="AR259" s="92"/>
      <c r="AS259" s="92"/>
      <c r="AT259" s="92"/>
      <c r="AU259" s="92"/>
      <c r="AV259" s="92"/>
      <c r="AW259" s="92"/>
      <c r="AX259" s="92"/>
      <c r="AY259" s="92"/>
      <c r="AZ259" s="92"/>
      <c r="BA259" s="92"/>
      <c r="BB259" s="92"/>
      <c r="BC259" s="92"/>
      <c r="BD259" s="92"/>
      <c r="BE259" s="92"/>
      <c r="BF259" s="92"/>
      <c r="BG259" s="92"/>
      <c r="BH259" s="92"/>
      <c r="BI259" s="92"/>
      <c r="BJ259" s="92"/>
      <c r="BK259" s="92"/>
      <c r="BL259" s="92"/>
      <c r="BM259" s="92"/>
      <c r="BN259" s="92"/>
      <c r="BO259" s="92"/>
      <c r="BP259" s="92"/>
      <c r="BQ259" s="92"/>
      <c r="BR259" s="92"/>
      <c r="BS259" s="92"/>
      <c r="BT259" s="92"/>
      <c r="BU259" s="92"/>
      <c r="BV259" s="92"/>
      <c r="BW259" s="92"/>
      <c r="BX259" s="92"/>
      <c r="BY259" s="92"/>
      <c r="BZ259" s="92"/>
      <c r="CA259" s="92"/>
      <c r="CB259" s="92"/>
      <c r="CC259" s="92"/>
      <c r="CD259" s="92"/>
      <c r="CE259" s="92"/>
      <c r="CF259" s="92"/>
      <c r="CG259" s="92"/>
      <c r="CH259" s="92"/>
      <c r="CI259" s="92"/>
      <c r="CJ259" s="92"/>
      <c r="CK259" s="92"/>
      <c r="CL259" s="92"/>
      <c r="CM259" s="92"/>
      <c r="CN259" s="92"/>
      <c r="CO259" s="92"/>
      <c r="CP259" s="92"/>
      <c r="CQ259" s="92"/>
      <c r="CR259" s="92"/>
      <c r="CS259" s="92"/>
      <c r="CT259" s="92"/>
      <c r="CU259" s="92"/>
      <c r="CV259" s="92"/>
      <c r="CW259" s="92"/>
      <c r="CX259" s="92"/>
      <c r="CY259" s="92"/>
      <c r="CZ259" s="92"/>
      <c r="DA259" s="92"/>
      <c r="DB259" s="92"/>
      <c r="DC259" s="92"/>
      <c r="DD259" s="92"/>
      <c r="DE259" s="92"/>
      <c r="DF259" s="92"/>
      <c r="DG259" s="92"/>
      <c r="DH259" s="92"/>
      <c r="DI259" s="92"/>
      <c r="DJ259" s="92"/>
      <c r="DK259" s="92"/>
      <c r="DL259" s="92"/>
      <c r="DM259" s="92"/>
      <c r="DN259" s="92"/>
      <c r="DO259" s="92"/>
      <c r="DP259" s="92"/>
      <c r="DQ259" s="92"/>
      <c r="DR259" s="92"/>
      <c r="DS259" s="92"/>
      <c r="DT259" s="92"/>
      <c r="DU259" s="92"/>
      <c r="DV259" s="92"/>
      <c r="DW259" s="92"/>
      <c r="DX259" s="92"/>
      <c r="DY259" s="92"/>
      <c r="DZ259" s="92"/>
      <c r="EA259" s="92"/>
      <c r="EB259" s="92"/>
      <c r="EC259" s="92"/>
      <c r="ED259" s="92"/>
      <c r="EE259" s="92"/>
      <c r="EF259" s="92"/>
      <c r="EG259" s="92"/>
      <c r="EH259" s="92"/>
      <c r="EI259" s="92"/>
      <c r="EJ259" s="92"/>
      <c r="EK259" s="92"/>
      <c r="EL259" s="92"/>
      <c r="EM259" s="92"/>
      <c r="EN259" s="92"/>
      <c r="EO259" s="92"/>
      <c r="EP259" s="92"/>
      <c r="EQ259" s="92"/>
      <c r="ER259" s="92"/>
      <c r="ES259" s="92"/>
      <c r="ET259" s="92"/>
      <c r="EU259" s="92"/>
      <c r="EV259" s="92"/>
      <c r="EW259" s="92"/>
      <c r="EX259" s="92"/>
      <c r="EY259" s="92"/>
      <c r="EZ259" s="92"/>
      <c r="FA259" s="92"/>
      <c r="FB259" s="92"/>
      <c r="FC259" s="92"/>
      <c r="FD259" s="92"/>
      <c r="FE259" s="92"/>
      <c r="FF259" s="92"/>
      <c r="FG259" s="92"/>
      <c r="FH259" s="92"/>
    </row>
    <row r="260">
      <c r="A260" s="32" t="s">
        <v>47</v>
      </c>
      <c r="B260" s="32" t="s">
        <v>53</v>
      </c>
      <c r="C260" s="32" t="s">
        <v>9</v>
      </c>
      <c r="D260" s="97">
        <f t="shared" si="1"/>
        <v>4549.214147</v>
      </c>
      <c r="E260" s="92">
        <f>(SUBSTITUTE(Audio!E260, "RE-", "", 1))*1</f>
        <v>0</v>
      </c>
      <c r="F260" s="92">
        <f>(SUBSTITUTE(Audio!F260, "RE-", "", 1))*1</f>
        <v>1275.954227</v>
      </c>
      <c r="G260" s="92">
        <f>(SUBSTITUTE(Audio!G260, "RE-", "", 1))*1</f>
        <v>0</v>
      </c>
      <c r="H260" s="92">
        <f>(SUBSTITUTE(Audio!H260, "RE-", "", 1))*1</f>
        <v>320.9008125</v>
      </c>
      <c r="I260" s="92">
        <f>(SUBSTITUTE(Audio!I260, "RE-", "", 1))*1</f>
        <v>0</v>
      </c>
      <c r="J260" s="92">
        <f>(SUBSTITUTE(Audio!J260, "RE-", "", 1))*1</f>
        <v>905.4161521</v>
      </c>
      <c r="K260" s="92">
        <f>(SUBSTITUTE(Audio!K260, "RE-", "", 1))*1</f>
        <v>0</v>
      </c>
      <c r="L260" s="92">
        <f>(SUBSTITUTE(Audio!L260, "RE-", "", 1))*1</f>
        <v>1038.404741</v>
      </c>
      <c r="M260" s="92">
        <f>(SUBSTITUTE(Audio!M260, "RE-", "", 1))*1</f>
        <v>0</v>
      </c>
      <c r="N260" s="92">
        <f>(SUBSTITUTE(Audio!N260, "RE-", "", 1))*1</f>
        <v>162.4885323</v>
      </c>
      <c r="O260" s="92">
        <f>(SUBSTITUTE(Audio!O260, "RE-", "", 1))*1</f>
        <v>0</v>
      </c>
      <c r="P260" s="92">
        <f>(SUBSTITUTE(Audio!P260, "RE-", "", 1))*1</f>
        <v>379.3293927</v>
      </c>
      <c r="Q260" s="92">
        <f>(SUBSTITUTE(Audio!Q260, "RE-", "", 1))*1</f>
        <v>0</v>
      </c>
      <c r="R260" s="92">
        <f>(SUBSTITUTE(Audio!R260, "RE-", "", 1))*1</f>
        <v>157.4205156</v>
      </c>
      <c r="S260" s="92">
        <f>(SUBSTITUTE(Audio!S260, "RE-", "", 1))*1</f>
        <v>0</v>
      </c>
      <c r="T260" s="92">
        <f>(SUBSTITUTE(Audio!T260, "RE-", "", 1))*1</f>
        <v>309.299774</v>
      </c>
      <c r="U260" s="92">
        <f>(SUBSTITUTE(Audio!U260, "RE-", "", 1))*1</f>
        <v>0</v>
      </c>
      <c r="V260" s="92">
        <f>(SUBSTITUTE(Audio!V260, "RE-", "", 1))*1</f>
        <v>0</v>
      </c>
      <c r="W260" s="92">
        <f>(SUBSTITUTE(Audio!W260, "RE-", "", 1))*1</f>
        <v>0</v>
      </c>
      <c r="X260" s="92">
        <f>(SUBSTITUTE(Audio!X260, "RE-", "", 1))*1</f>
        <v>0</v>
      </c>
      <c r="Y260" s="92">
        <f>(SUBSTITUTE(Audio!Y260, "RE-", "", 1))*1</f>
        <v>0</v>
      </c>
      <c r="Z260" s="92">
        <f>(SUBSTITUTE(Audio!Z260, "RE-", "", 1))*1</f>
        <v>0</v>
      </c>
      <c r="AA260" s="92"/>
      <c r="AB260" s="92"/>
      <c r="AC260" s="92"/>
      <c r="AD260" s="92"/>
      <c r="AE260" s="92"/>
      <c r="AF260" s="92"/>
      <c r="AG260" s="92"/>
      <c r="AH260" s="92"/>
      <c r="AI260" s="92"/>
      <c r="AJ260" s="92"/>
      <c r="AK260" s="92"/>
      <c r="AL260" s="92"/>
      <c r="AM260" s="92"/>
      <c r="AN260" s="92"/>
      <c r="AO260" s="92"/>
      <c r="AP260" s="92"/>
      <c r="AQ260" s="92"/>
      <c r="AR260" s="92"/>
      <c r="AS260" s="92"/>
      <c r="AT260" s="92"/>
      <c r="AU260" s="92"/>
      <c r="AV260" s="92"/>
      <c r="AW260" s="92"/>
      <c r="AX260" s="92"/>
      <c r="AY260" s="92"/>
      <c r="AZ260" s="92"/>
      <c r="BA260" s="92"/>
      <c r="BB260" s="92"/>
      <c r="BC260" s="92"/>
      <c r="BD260" s="92"/>
      <c r="BE260" s="92"/>
      <c r="BF260" s="92"/>
      <c r="BG260" s="92"/>
      <c r="BH260" s="92"/>
      <c r="BI260" s="92"/>
      <c r="BJ260" s="92"/>
      <c r="BK260" s="92"/>
      <c r="BL260" s="92"/>
      <c r="BM260" s="92"/>
      <c r="BN260" s="92"/>
      <c r="BO260" s="92"/>
      <c r="BP260" s="92"/>
      <c r="BQ260" s="92"/>
      <c r="BR260" s="92"/>
      <c r="BS260" s="92"/>
      <c r="BT260" s="92"/>
      <c r="BU260" s="92"/>
      <c r="BV260" s="92"/>
      <c r="BW260" s="92"/>
      <c r="BX260" s="92"/>
      <c r="BY260" s="92"/>
      <c r="BZ260" s="92"/>
      <c r="CA260" s="92"/>
      <c r="CB260" s="92"/>
      <c r="CC260" s="92"/>
      <c r="CD260" s="92"/>
      <c r="CE260" s="92"/>
      <c r="CF260" s="92"/>
      <c r="CG260" s="92"/>
      <c r="CH260" s="92"/>
      <c r="CI260" s="92"/>
      <c r="CJ260" s="92"/>
      <c r="CK260" s="92"/>
      <c r="CL260" s="92"/>
      <c r="CM260" s="92"/>
      <c r="CN260" s="92"/>
      <c r="CO260" s="92"/>
      <c r="CP260" s="92"/>
      <c r="CQ260" s="92"/>
      <c r="CR260" s="92"/>
      <c r="CS260" s="92"/>
      <c r="CT260" s="92"/>
      <c r="CU260" s="92"/>
      <c r="CV260" s="92"/>
      <c r="CW260" s="92"/>
      <c r="CX260" s="92"/>
      <c r="CY260" s="92"/>
      <c r="CZ260" s="92"/>
      <c r="DA260" s="92"/>
      <c r="DB260" s="92"/>
      <c r="DC260" s="92"/>
      <c r="DD260" s="92"/>
      <c r="DE260" s="92"/>
      <c r="DF260" s="92"/>
      <c r="DG260" s="92"/>
      <c r="DH260" s="92"/>
      <c r="DI260" s="92"/>
      <c r="DJ260" s="92"/>
      <c r="DK260" s="92"/>
      <c r="DL260" s="92"/>
      <c r="DM260" s="92"/>
      <c r="DN260" s="92"/>
      <c r="DO260" s="92"/>
      <c r="DP260" s="92"/>
      <c r="DQ260" s="92"/>
      <c r="DR260" s="92"/>
      <c r="DS260" s="92"/>
      <c r="DT260" s="92"/>
      <c r="DU260" s="92"/>
      <c r="DV260" s="92"/>
      <c r="DW260" s="92"/>
      <c r="DX260" s="92"/>
      <c r="DY260" s="92"/>
      <c r="DZ260" s="92"/>
      <c r="EA260" s="92"/>
      <c r="EB260" s="92"/>
      <c r="EC260" s="92"/>
      <c r="ED260" s="92"/>
      <c r="EE260" s="92"/>
      <c r="EF260" s="92"/>
      <c r="EG260" s="92"/>
      <c r="EH260" s="92"/>
      <c r="EI260" s="92"/>
      <c r="EJ260" s="92"/>
      <c r="EK260" s="92"/>
      <c r="EL260" s="92"/>
      <c r="EM260" s="92"/>
      <c r="EN260" s="92"/>
      <c r="EO260" s="92"/>
      <c r="EP260" s="92"/>
      <c r="EQ260" s="92"/>
      <c r="ER260" s="92"/>
      <c r="ES260" s="92"/>
      <c r="ET260" s="92"/>
      <c r="EU260" s="92"/>
      <c r="EV260" s="92"/>
      <c r="EW260" s="92"/>
      <c r="EX260" s="92"/>
      <c r="EY260" s="92"/>
      <c r="EZ260" s="92"/>
      <c r="FA260" s="92"/>
      <c r="FB260" s="92"/>
      <c r="FC260" s="92"/>
      <c r="FD260" s="92"/>
      <c r="FE260" s="92"/>
      <c r="FF260" s="92"/>
      <c r="FG260" s="92"/>
      <c r="FH260" s="92"/>
    </row>
    <row r="261">
      <c r="A261" s="32" t="s">
        <v>47</v>
      </c>
      <c r="B261" s="32" t="s">
        <v>53</v>
      </c>
      <c r="C261" s="32" t="s">
        <v>10</v>
      </c>
      <c r="D261" s="97">
        <f t="shared" si="1"/>
        <v>323.4046666</v>
      </c>
      <c r="E261" s="92">
        <f>(SUBSTITUTE(Audio!E261, "RE-", "", 1))*1</f>
        <v>0</v>
      </c>
      <c r="F261" s="92">
        <f>(SUBSTITUTE(Audio!F261, "RE-", "", 1))*1</f>
        <v>0</v>
      </c>
      <c r="G261" s="92">
        <f>(SUBSTITUTE(Audio!G261, "RE-", "", 1))*1</f>
        <v>120.5252458</v>
      </c>
      <c r="H261" s="92">
        <f>(SUBSTITUTE(Audio!H261, "RE-", "", 1))*1</f>
        <v>0</v>
      </c>
      <c r="I261" s="92">
        <f>(SUBSTITUTE(Audio!I261, "RE-", "", 1))*1</f>
        <v>14.48887708</v>
      </c>
      <c r="J261" s="92">
        <f>(SUBSTITUTE(Audio!J261, "RE-", "", 1))*1</f>
        <v>0</v>
      </c>
      <c r="K261" s="92">
        <f>(SUBSTITUTE(Audio!K261, "RE-", "", 1))*1</f>
        <v>45.17281042</v>
      </c>
      <c r="L261" s="92">
        <f>(SUBSTITUTE(Audio!L261, "RE-", "", 1))*1</f>
        <v>0</v>
      </c>
      <c r="M261" s="92">
        <f>(SUBSTITUTE(Audio!M261, "RE-", "", 1))*1</f>
        <v>51.88206875</v>
      </c>
      <c r="N261" s="92">
        <f>(SUBSTITUTE(Audio!N261, "RE-", "", 1))*1</f>
        <v>0</v>
      </c>
      <c r="O261" s="92">
        <f>(SUBSTITUTE(Audio!O261, "RE-", "", 1))*1</f>
        <v>22.78543229</v>
      </c>
      <c r="P261" s="92">
        <f>(SUBSTITUTE(Audio!P261, "RE-", "", 1))*1</f>
        <v>0</v>
      </c>
      <c r="Q261" s="92">
        <f>(SUBSTITUTE(Audio!Q261, "RE-", "", 1))*1</f>
        <v>24.03679062</v>
      </c>
      <c r="R261" s="92">
        <f>(SUBSTITUTE(Audio!R261, "RE-", "", 1))*1</f>
        <v>0</v>
      </c>
      <c r="S261" s="92">
        <f>(SUBSTITUTE(Audio!S261, "RE-", "", 1))*1</f>
        <v>18.05974167</v>
      </c>
      <c r="T261" s="92">
        <f>(SUBSTITUTE(Audio!T261, "RE-", "", 1))*1</f>
        <v>0</v>
      </c>
      <c r="U261" s="92">
        <f>(SUBSTITUTE(Audio!U261, "RE-", "", 1))*1</f>
        <v>21.53498333</v>
      </c>
      <c r="V261" s="92">
        <f>(SUBSTITUTE(Audio!V261, "RE-", "", 1))*1</f>
        <v>4.918716667</v>
      </c>
      <c r="W261" s="92">
        <f>(SUBSTITUTE(Audio!W261, "RE-", "", 1))*1</f>
        <v>0</v>
      </c>
      <c r="X261" s="92">
        <f>(SUBSTITUTE(Audio!X261, "RE-", "", 1))*1</f>
        <v>0</v>
      </c>
      <c r="Y261" s="92">
        <f>(SUBSTITUTE(Audio!Y261, "RE-", "", 1))*1</f>
        <v>0</v>
      </c>
      <c r="Z261" s="92">
        <f>(SUBSTITUTE(Audio!Z261, "RE-", "", 1))*1</f>
        <v>0</v>
      </c>
      <c r="AA261" s="92"/>
      <c r="AB261" s="92"/>
      <c r="AC261" s="92"/>
      <c r="AD261" s="92"/>
      <c r="AE261" s="92"/>
      <c r="AF261" s="92"/>
      <c r="AG261" s="92"/>
      <c r="AH261" s="92"/>
      <c r="AI261" s="92"/>
      <c r="AJ261" s="92"/>
      <c r="AK261" s="92"/>
      <c r="AL261" s="92"/>
      <c r="AM261" s="92"/>
      <c r="AN261" s="92"/>
      <c r="AO261" s="92"/>
      <c r="AP261" s="92"/>
      <c r="AQ261" s="92"/>
      <c r="AR261" s="92"/>
      <c r="AS261" s="92"/>
      <c r="AT261" s="92"/>
      <c r="AU261" s="92"/>
      <c r="AV261" s="92"/>
      <c r="AW261" s="92"/>
      <c r="AX261" s="92"/>
      <c r="AY261" s="92"/>
      <c r="AZ261" s="92"/>
      <c r="BA261" s="92"/>
      <c r="BB261" s="92"/>
      <c r="BC261" s="92"/>
      <c r="BD261" s="92"/>
      <c r="BE261" s="92"/>
      <c r="BF261" s="92"/>
      <c r="BG261" s="92"/>
      <c r="BH261" s="92"/>
      <c r="BI261" s="92"/>
      <c r="BJ261" s="92"/>
      <c r="BK261" s="92"/>
      <c r="BL261" s="92"/>
      <c r="BM261" s="92"/>
      <c r="BN261" s="92"/>
      <c r="BO261" s="92"/>
      <c r="BP261" s="92"/>
      <c r="BQ261" s="92"/>
      <c r="BR261" s="92"/>
      <c r="BS261" s="92"/>
      <c r="BT261" s="92"/>
      <c r="BU261" s="92"/>
      <c r="BV261" s="92"/>
      <c r="BW261" s="92"/>
      <c r="BX261" s="92"/>
      <c r="BY261" s="92"/>
      <c r="BZ261" s="92"/>
      <c r="CA261" s="92"/>
      <c r="CB261" s="92"/>
      <c r="CC261" s="92"/>
      <c r="CD261" s="92"/>
      <c r="CE261" s="92"/>
      <c r="CF261" s="92"/>
      <c r="CG261" s="92"/>
      <c r="CH261" s="92"/>
      <c r="CI261" s="92"/>
      <c r="CJ261" s="92"/>
      <c r="CK261" s="92"/>
      <c r="CL261" s="92"/>
      <c r="CM261" s="92"/>
      <c r="CN261" s="92"/>
      <c r="CO261" s="92"/>
      <c r="CP261" s="92"/>
      <c r="CQ261" s="92"/>
      <c r="CR261" s="92"/>
      <c r="CS261" s="92"/>
      <c r="CT261" s="92"/>
      <c r="CU261" s="92"/>
      <c r="CV261" s="92"/>
      <c r="CW261" s="92"/>
      <c r="CX261" s="92"/>
      <c r="CY261" s="92"/>
      <c r="CZ261" s="92"/>
      <c r="DA261" s="92"/>
      <c r="DB261" s="92"/>
      <c r="DC261" s="92"/>
      <c r="DD261" s="92"/>
      <c r="DE261" s="92"/>
      <c r="DF261" s="92"/>
      <c r="DG261" s="92"/>
      <c r="DH261" s="92"/>
      <c r="DI261" s="92"/>
      <c r="DJ261" s="92"/>
      <c r="DK261" s="92"/>
      <c r="DL261" s="92"/>
      <c r="DM261" s="92"/>
      <c r="DN261" s="92"/>
      <c r="DO261" s="92"/>
      <c r="DP261" s="92"/>
      <c r="DQ261" s="92"/>
      <c r="DR261" s="92"/>
      <c r="DS261" s="92"/>
      <c r="DT261" s="92"/>
      <c r="DU261" s="92"/>
      <c r="DV261" s="92"/>
      <c r="DW261" s="92"/>
      <c r="DX261" s="92"/>
      <c r="DY261" s="92"/>
      <c r="DZ261" s="92"/>
      <c r="EA261" s="92"/>
      <c r="EB261" s="92"/>
      <c r="EC261" s="92"/>
      <c r="ED261" s="92"/>
      <c r="EE261" s="92"/>
      <c r="EF261" s="92"/>
      <c r="EG261" s="92"/>
      <c r="EH261" s="92"/>
      <c r="EI261" s="92"/>
      <c r="EJ261" s="92"/>
      <c r="EK261" s="92"/>
      <c r="EL261" s="92"/>
      <c r="EM261" s="92"/>
      <c r="EN261" s="92"/>
      <c r="EO261" s="92"/>
      <c r="EP261" s="92"/>
      <c r="EQ261" s="92"/>
      <c r="ER261" s="92"/>
      <c r="ES261" s="92"/>
      <c r="ET261" s="92"/>
      <c r="EU261" s="92"/>
      <c r="EV261" s="92"/>
      <c r="EW261" s="92"/>
      <c r="EX261" s="92"/>
      <c r="EY261" s="92"/>
      <c r="EZ261" s="92"/>
      <c r="FA261" s="92"/>
      <c r="FB261" s="92"/>
      <c r="FC261" s="92"/>
      <c r="FD261" s="92"/>
      <c r="FE261" s="92"/>
      <c r="FF261" s="92"/>
      <c r="FG261" s="92"/>
      <c r="FH261" s="92"/>
    </row>
    <row r="262">
      <c r="A262" s="32" t="s">
        <v>47</v>
      </c>
      <c r="B262" s="32" t="s">
        <v>53</v>
      </c>
      <c r="C262" s="32" t="s">
        <v>11</v>
      </c>
      <c r="D262" s="97">
        <f t="shared" si="1"/>
        <v>323.4046667</v>
      </c>
      <c r="E262" s="92">
        <f>(SUBSTITUTE(Audio!E262, "RE-", "", 1))*1</f>
        <v>0</v>
      </c>
      <c r="F262" s="92">
        <f>(SUBSTITUTE(Audio!F262, "RE-", "", 1))*1</f>
        <v>0</v>
      </c>
      <c r="G262" s="92">
        <f>(SUBSTITUTE(Audio!G262, "RE-", "", 1))*1</f>
        <v>120.5252458</v>
      </c>
      <c r="H262" s="92">
        <f>(SUBSTITUTE(Audio!H262, "RE-", "", 1))*1</f>
        <v>0</v>
      </c>
      <c r="I262" s="92">
        <f>(SUBSTITUTE(Audio!I262, "RE-", "", 1))*1</f>
        <v>14.48887708</v>
      </c>
      <c r="J262" s="92">
        <f>(SUBSTITUTE(Audio!J262, "RE-", "", 1))*1</f>
        <v>0</v>
      </c>
      <c r="K262" s="92">
        <f>(SUBSTITUTE(Audio!K262, "RE-", "", 1))*1</f>
        <v>45.17281042</v>
      </c>
      <c r="L262" s="92">
        <f>(SUBSTITUTE(Audio!L262, "RE-", "", 1))*1</f>
        <v>0</v>
      </c>
      <c r="M262" s="92">
        <f>(SUBSTITUTE(Audio!M262, "RE-", "", 1))*1</f>
        <v>51.88206875</v>
      </c>
      <c r="N262" s="92">
        <f>(SUBSTITUTE(Audio!N262, "RE-", "", 1))*1</f>
        <v>0</v>
      </c>
      <c r="O262" s="92">
        <f>(SUBSTITUTE(Audio!O262, "RE-", "", 1))*1</f>
        <v>22.78543229</v>
      </c>
      <c r="P262" s="92">
        <f>(SUBSTITUTE(Audio!P262, "RE-", "", 1))*1</f>
        <v>0</v>
      </c>
      <c r="Q262" s="92">
        <f>(SUBSTITUTE(Audio!Q262, "RE-", "", 1))*1</f>
        <v>24.03679062</v>
      </c>
      <c r="R262" s="92">
        <f>(SUBSTITUTE(Audio!R262, "RE-", "", 1))*1</f>
        <v>0</v>
      </c>
      <c r="S262" s="92">
        <f>(SUBSTITUTE(Audio!S262, "RE-", "", 1))*1</f>
        <v>18.05974167</v>
      </c>
      <c r="T262" s="92">
        <f>(SUBSTITUTE(Audio!T262, "RE-", "", 1))*1</f>
        <v>0</v>
      </c>
      <c r="U262" s="92">
        <f>(SUBSTITUTE(Audio!U262, "RE-", "", 1))*1</f>
        <v>21.53498333</v>
      </c>
      <c r="V262" s="92">
        <f>(SUBSTITUTE(Audio!V262, "RE-", "", 1))*1</f>
        <v>4.918716667</v>
      </c>
      <c r="W262" s="92">
        <f>(SUBSTITUTE(Audio!W262, "RE-", "", 1))*1</f>
        <v>0</v>
      </c>
      <c r="X262" s="92">
        <f>(SUBSTITUTE(Audio!X262, "RE-", "", 1))*1</f>
        <v>0</v>
      </c>
      <c r="Y262" s="92">
        <f>(SUBSTITUTE(Audio!Y262, "RE-", "", 1))*1</f>
        <v>0</v>
      </c>
      <c r="Z262" s="92">
        <f>(SUBSTITUTE(Audio!Z262, "RE-", "", 1))*1</f>
        <v>0</v>
      </c>
      <c r="AA262" s="92"/>
      <c r="AB262" s="92"/>
      <c r="AC262" s="92"/>
      <c r="AD262" s="92"/>
      <c r="AE262" s="92"/>
      <c r="AF262" s="92"/>
      <c r="AG262" s="92"/>
      <c r="AH262" s="92"/>
      <c r="AI262" s="92"/>
      <c r="AJ262" s="92"/>
      <c r="AK262" s="92"/>
      <c r="AL262" s="92"/>
      <c r="AM262" s="92"/>
      <c r="AN262" s="92"/>
      <c r="AO262" s="92"/>
      <c r="AP262" s="92"/>
      <c r="AQ262" s="92"/>
      <c r="AR262" s="92"/>
      <c r="AS262" s="92"/>
      <c r="AT262" s="92"/>
      <c r="AU262" s="92"/>
      <c r="AV262" s="92"/>
      <c r="AW262" s="92"/>
      <c r="AX262" s="92"/>
      <c r="AY262" s="92"/>
      <c r="AZ262" s="92"/>
      <c r="BA262" s="92"/>
      <c r="BB262" s="92"/>
      <c r="BC262" s="92"/>
      <c r="BD262" s="92"/>
      <c r="BE262" s="92"/>
      <c r="BF262" s="92"/>
      <c r="BG262" s="92"/>
      <c r="BH262" s="92"/>
      <c r="BI262" s="92"/>
      <c r="BJ262" s="92"/>
      <c r="BK262" s="92"/>
      <c r="BL262" s="92"/>
      <c r="BM262" s="92"/>
      <c r="BN262" s="92"/>
      <c r="BO262" s="92"/>
      <c r="BP262" s="92"/>
      <c r="BQ262" s="92"/>
      <c r="BR262" s="92"/>
      <c r="BS262" s="92"/>
      <c r="BT262" s="92"/>
      <c r="BU262" s="92"/>
      <c r="BV262" s="92"/>
      <c r="BW262" s="92"/>
      <c r="BX262" s="92"/>
      <c r="BY262" s="92"/>
      <c r="BZ262" s="92"/>
      <c r="CA262" s="92"/>
      <c r="CB262" s="92"/>
      <c r="CC262" s="92"/>
      <c r="CD262" s="92"/>
      <c r="CE262" s="92"/>
      <c r="CF262" s="92"/>
      <c r="CG262" s="92"/>
      <c r="CH262" s="92"/>
      <c r="CI262" s="92"/>
      <c r="CJ262" s="92"/>
      <c r="CK262" s="92"/>
      <c r="CL262" s="92"/>
      <c r="CM262" s="92"/>
      <c r="CN262" s="92"/>
      <c r="CO262" s="92"/>
      <c r="CP262" s="92"/>
      <c r="CQ262" s="92"/>
      <c r="CR262" s="92"/>
      <c r="CS262" s="92"/>
      <c r="CT262" s="92"/>
      <c r="CU262" s="92"/>
      <c r="CV262" s="92"/>
      <c r="CW262" s="92"/>
      <c r="CX262" s="92"/>
      <c r="CY262" s="92"/>
      <c r="CZ262" s="92"/>
      <c r="DA262" s="92"/>
      <c r="DB262" s="92"/>
      <c r="DC262" s="92"/>
      <c r="DD262" s="92"/>
      <c r="DE262" s="92"/>
      <c r="DF262" s="92"/>
      <c r="DG262" s="92"/>
      <c r="DH262" s="92"/>
      <c r="DI262" s="92"/>
      <c r="DJ262" s="92"/>
      <c r="DK262" s="92"/>
      <c r="DL262" s="92"/>
      <c r="DM262" s="92"/>
      <c r="DN262" s="92"/>
      <c r="DO262" s="92"/>
      <c r="DP262" s="92"/>
      <c r="DQ262" s="92"/>
      <c r="DR262" s="92"/>
      <c r="DS262" s="92"/>
      <c r="DT262" s="92"/>
      <c r="DU262" s="92"/>
      <c r="DV262" s="92"/>
      <c r="DW262" s="92"/>
      <c r="DX262" s="92"/>
      <c r="DY262" s="92"/>
      <c r="DZ262" s="92"/>
      <c r="EA262" s="92"/>
      <c r="EB262" s="92"/>
      <c r="EC262" s="92"/>
      <c r="ED262" s="92"/>
      <c r="EE262" s="92"/>
      <c r="EF262" s="92"/>
      <c r="EG262" s="92"/>
      <c r="EH262" s="92"/>
      <c r="EI262" s="92"/>
      <c r="EJ262" s="92"/>
      <c r="EK262" s="92"/>
      <c r="EL262" s="92"/>
      <c r="EM262" s="92"/>
      <c r="EN262" s="92"/>
      <c r="EO262" s="92"/>
      <c r="EP262" s="92"/>
      <c r="EQ262" s="92"/>
      <c r="ER262" s="92"/>
      <c r="ES262" s="92"/>
      <c r="ET262" s="92"/>
      <c r="EU262" s="92"/>
      <c r="EV262" s="92"/>
      <c r="EW262" s="92"/>
      <c r="EX262" s="92"/>
      <c r="EY262" s="92"/>
      <c r="EZ262" s="92"/>
      <c r="FA262" s="92"/>
      <c r="FB262" s="92"/>
      <c r="FC262" s="92"/>
      <c r="FD262" s="92"/>
      <c r="FE262" s="92"/>
      <c r="FF262" s="92"/>
      <c r="FG262" s="92"/>
      <c r="FH262" s="92"/>
    </row>
    <row r="263">
      <c r="A263" s="32" t="s">
        <v>47</v>
      </c>
      <c r="B263" s="32" t="s">
        <v>53</v>
      </c>
      <c r="C263" s="32" t="s">
        <v>12</v>
      </c>
      <c r="D263" s="97">
        <f t="shared" si="1"/>
        <v>3943.332675</v>
      </c>
      <c r="E263" s="92">
        <f>(SUBSTITUTE(Audio!E263, "RE-", "", 1))*1</f>
        <v>0</v>
      </c>
      <c r="F263" s="92">
        <f>(SUBSTITUTE(Audio!F263, "RE-", "", 1))*1</f>
        <v>1042.635096</v>
      </c>
      <c r="G263" s="92">
        <f>(SUBSTITUTE(Audio!G263, "RE-", "", 1))*1</f>
        <v>3.430991667</v>
      </c>
      <c r="H263" s="92">
        <f>(SUBSTITUTE(Audio!H263, "RE-", "", 1))*1</f>
        <v>291.4980417</v>
      </c>
      <c r="I263" s="92">
        <f>(SUBSTITUTE(Audio!I263, "RE-", "", 1))*1</f>
        <v>0.6281208333</v>
      </c>
      <c r="J263" s="92">
        <f>(SUBSTITUTE(Audio!J263, "RE-", "", 1))*1</f>
        <v>763.8861792</v>
      </c>
      <c r="K263" s="92">
        <f>(SUBSTITUTE(Audio!K263, "RE-", "", 1))*1</f>
        <v>1.714113542</v>
      </c>
      <c r="L263" s="92">
        <f>(SUBSTITUTE(Audio!L263, "RE-", "", 1))*1</f>
        <v>939.5646365</v>
      </c>
      <c r="M263" s="92">
        <f>(SUBSTITUTE(Audio!M263, "RE-", "", 1))*1</f>
        <v>13.33629375</v>
      </c>
      <c r="N263" s="92">
        <f>(SUBSTITUTE(Audio!N263, "RE-", "", 1))*1</f>
        <v>79.96581979</v>
      </c>
      <c r="O263" s="92">
        <f>(SUBSTITUTE(Audio!O263, "RE-", "", 1))*1</f>
        <v>4.327707292</v>
      </c>
      <c r="P263" s="92">
        <f>(SUBSTITUTE(Audio!P263, "RE-", "", 1))*1</f>
        <v>343.5641958</v>
      </c>
      <c r="Q263" s="92">
        <f>(SUBSTITUTE(Audio!Q263, "RE-", "", 1))*1</f>
        <v>7.95529375</v>
      </c>
      <c r="R263" s="92">
        <f>(SUBSTITUTE(Audio!R263, "RE-", "", 1))*1</f>
        <v>140.7885448</v>
      </c>
      <c r="S263" s="92">
        <f>(SUBSTITUTE(Audio!S263, "RE-", "", 1))*1</f>
        <v>8.3856625</v>
      </c>
      <c r="T263" s="92">
        <f>(SUBSTITUTE(Audio!T263, "RE-", "", 1))*1</f>
        <v>289.4719906</v>
      </c>
      <c r="U263" s="92">
        <f>(SUBSTITUTE(Audio!U263, "RE-", "", 1))*1</f>
        <v>8.220735417</v>
      </c>
      <c r="V263" s="92">
        <f>(SUBSTITUTE(Audio!V263, "RE-", "", 1))*1</f>
        <v>3.959252083</v>
      </c>
      <c r="W263" s="92">
        <f>(SUBSTITUTE(Audio!W263, "RE-", "", 1))*1</f>
        <v>0</v>
      </c>
      <c r="X263" s="92">
        <f>(SUBSTITUTE(Audio!X263, "RE-", "", 1))*1</f>
        <v>0</v>
      </c>
      <c r="Y263" s="92">
        <f>(SUBSTITUTE(Audio!Y263, "RE-", "", 1))*1</f>
        <v>0</v>
      </c>
      <c r="Z263" s="92">
        <f>(SUBSTITUTE(Audio!Z263, "RE-", "", 1))*1</f>
        <v>0</v>
      </c>
      <c r="AA263" s="92"/>
      <c r="AB263" s="92"/>
      <c r="AC263" s="92"/>
      <c r="AD263" s="92"/>
      <c r="AE263" s="92"/>
      <c r="AF263" s="92"/>
      <c r="AG263" s="92"/>
      <c r="AH263" s="92"/>
      <c r="AI263" s="92"/>
      <c r="AJ263" s="92"/>
      <c r="AK263" s="92"/>
      <c r="AL263" s="92"/>
      <c r="AM263" s="92"/>
      <c r="AN263" s="92"/>
      <c r="AO263" s="92"/>
      <c r="AP263" s="92"/>
      <c r="AQ263" s="92"/>
      <c r="AR263" s="92"/>
      <c r="AS263" s="92"/>
      <c r="AT263" s="92"/>
      <c r="AU263" s="92"/>
      <c r="AV263" s="92"/>
      <c r="AW263" s="92"/>
      <c r="AX263" s="92"/>
      <c r="AY263" s="92"/>
      <c r="AZ263" s="92"/>
      <c r="BA263" s="92"/>
      <c r="BB263" s="92"/>
      <c r="BC263" s="92"/>
      <c r="BD263" s="92"/>
      <c r="BE263" s="92"/>
      <c r="BF263" s="92"/>
      <c r="BG263" s="92"/>
      <c r="BH263" s="92"/>
      <c r="BI263" s="92"/>
      <c r="BJ263" s="92"/>
      <c r="BK263" s="92"/>
      <c r="BL263" s="92"/>
      <c r="BM263" s="92"/>
      <c r="BN263" s="92"/>
      <c r="BO263" s="92"/>
      <c r="BP263" s="92"/>
      <c r="BQ263" s="92"/>
      <c r="BR263" s="92"/>
      <c r="BS263" s="92"/>
      <c r="BT263" s="92"/>
      <c r="BU263" s="92"/>
      <c r="BV263" s="92"/>
      <c r="BW263" s="92"/>
      <c r="BX263" s="92"/>
      <c r="BY263" s="92"/>
      <c r="BZ263" s="92"/>
      <c r="CA263" s="92"/>
      <c r="CB263" s="92"/>
      <c r="CC263" s="92"/>
      <c r="CD263" s="92"/>
      <c r="CE263" s="92"/>
      <c r="CF263" s="92"/>
      <c r="CG263" s="92"/>
      <c r="CH263" s="92"/>
      <c r="CI263" s="92"/>
      <c r="CJ263" s="92"/>
      <c r="CK263" s="92"/>
      <c r="CL263" s="92"/>
      <c r="CM263" s="92"/>
      <c r="CN263" s="92"/>
      <c r="CO263" s="92"/>
      <c r="CP263" s="92"/>
      <c r="CQ263" s="92"/>
      <c r="CR263" s="92"/>
      <c r="CS263" s="92"/>
      <c r="CT263" s="92"/>
      <c r="CU263" s="92"/>
      <c r="CV263" s="92"/>
      <c r="CW263" s="92"/>
      <c r="CX263" s="92"/>
      <c r="CY263" s="92"/>
      <c r="CZ263" s="92"/>
      <c r="DA263" s="92"/>
      <c r="DB263" s="92"/>
      <c r="DC263" s="92"/>
      <c r="DD263" s="92"/>
      <c r="DE263" s="92"/>
      <c r="DF263" s="92"/>
      <c r="DG263" s="92"/>
      <c r="DH263" s="92"/>
      <c r="DI263" s="92"/>
      <c r="DJ263" s="92"/>
      <c r="DK263" s="92"/>
      <c r="DL263" s="92"/>
      <c r="DM263" s="92"/>
      <c r="DN263" s="92"/>
      <c r="DO263" s="92"/>
      <c r="DP263" s="92"/>
      <c r="DQ263" s="92"/>
      <c r="DR263" s="92"/>
      <c r="DS263" s="92"/>
      <c r="DT263" s="92"/>
      <c r="DU263" s="92"/>
      <c r="DV263" s="92"/>
      <c r="DW263" s="92"/>
      <c r="DX263" s="92"/>
      <c r="DY263" s="92"/>
      <c r="DZ263" s="92"/>
      <c r="EA263" s="92"/>
      <c r="EB263" s="92"/>
      <c r="EC263" s="92"/>
      <c r="ED263" s="92"/>
      <c r="EE263" s="92"/>
      <c r="EF263" s="92"/>
      <c r="EG263" s="92"/>
      <c r="EH263" s="92"/>
      <c r="EI263" s="92"/>
      <c r="EJ263" s="92"/>
      <c r="EK263" s="92"/>
      <c r="EL263" s="92"/>
      <c r="EM263" s="92"/>
      <c r="EN263" s="92"/>
      <c r="EO263" s="92"/>
      <c r="EP263" s="92"/>
      <c r="EQ263" s="92"/>
      <c r="ER263" s="92"/>
      <c r="ES263" s="92"/>
      <c r="ET263" s="92"/>
      <c r="EU263" s="92"/>
      <c r="EV263" s="92"/>
      <c r="EW263" s="92"/>
      <c r="EX263" s="92"/>
      <c r="EY263" s="92"/>
      <c r="EZ263" s="92"/>
      <c r="FA263" s="92"/>
      <c r="FB263" s="92"/>
      <c r="FC263" s="92"/>
      <c r="FD263" s="92"/>
      <c r="FE263" s="92"/>
      <c r="FF263" s="92"/>
      <c r="FG263" s="92"/>
      <c r="FH263" s="92"/>
    </row>
    <row r="264">
      <c r="A264" s="32" t="s">
        <v>47</v>
      </c>
      <c r="B264" s="32" t="s">
        <v>53</v>
      </c>
      <c r="C264" s="32" t="s">
        <v>13</v>
      </c>
      <c r="D264" s="97">
        <f t="shared" si="1"/>
        <v>3831.68785</v>
      </c>
      <c r="E264" s="92">
        <f>(SUBSTITUTE(Audio!E264, "RE-", "", 1))*1</f>
        <v>0</v>
      </c>
      <c r="F264" s="92">
        <f>(SUBSTITUTE(Audio!F264, "RE-", "", 1))*1</f>
        <v>1017.73</v>
      </c>
      <c r="G264" s="92">
        <f>(SUBSTITUTE(Audio!G264, "RE-", "", 1))*1</f>
        <v>3.24055</v>
      </c>
      <c r="H264" s="92">
        <f>(SUBSTITUTE(Audio!H264, "RE-", "", 1))*1</f>
        <v>286.964</v>
      </c>
      <c r="I264" s="92">
        <f>(SUBSTITUTE(Audio!I264, "RE-", "", 1))*1</f>
        <v>0.5668</v>
      </c>
      <c r="J264" s="92">
        <f>(SUBSTITUTE(Audio!J264, "RE-", "", 1))*1</f>
        <v>752.787</v>
      </c>
      <c r="K264" s="92">
        <f>(SUBSTITUTE(Audio!K264, "RE-", "", 1))*1</f>
        <v>1.69182</v>
      </c>
      <c r="L264" s="92">
        <f>(SUBSTITUTE(Audio!L264, "RE-", "", 1))*1</f>
        <v>907.734</v>
      </c>
      <c r="M264" s="92">
        <f>(SUBSTITUTE(Audio!M264, "RE-", "", 1))*1</f>
        <v>12.57</v>
      </c>
      <c r="N264" s="92">
        <f>(SUBSTITUTE(Audio!N264, "RE-", "", 1))*1</f>
        <v>76.9322</v>
      </c>
      <c r="O264" s="92">
        <f>(SUBSTITUTE(Audio!O264, "RE-", "", 1))*1</f>
        <v>4.01347</v>
      </c>
      <c r="P264" s="92">
        <f>(SUBSTITUTE(Audio!P264, "RE-", "", 1))*1</f>
        <v>328.613</v>
      </c>
      <c r="Q264" s="92">
        <f>(SUBSTITUTE(Audio!Q264, "RE-", "", 1))*1</f>
        <v>7.34828</v>
      </c>
      <c r="R264" s="92">
        <f>(SUBSTITUTE(Audio!R264, "RE-", "", 1))*1</f>
        <v>135.732</v>
      </c>
      <c r="S264" s="92">
        <f>(SUBSTITUTE(Audio!S264, "RE-", "", 1))*1</f>
        <v>7.83298</v>
      </c>
      <c r="T264" s="92">
        <f>(SUBSTITUTE(Audio!T264, "RE-", "", 1))*1</f>
        <v>276.605</v>
      </c>
      <c r="U264" s="92">
        <f>(SUBSTITUTE(Audio!U264, "RE-", "", 1))*1</f>
        <v>7.62333</v>
      </c>
      <c r="V264" s="92">
        <f>(SUBSTITUTE(Audio!V264, "RE-", "", 1))*1</f>
        <v>3.70342</v>
      </c>
      <c r="W264" s="92">
        <f>(SUBSTITUTE(Audio!W264, "RE-", "", 1))*1</f>
        <v>0</v>
      </c>
      <c r="X264" s="92">
        <f>(SUBSTITUTE(Audio!X264, "RE-", "", 1))*1</f>
        <v>0</v>
      </c>
      <c r="Y264" s="92">
        <f>(SUBSTITUTE(Audio!Y264, "RE-", "", 1))*1</f>
        <v>0</v>
      </c>
      <c r="Z264" s="92">
        <f>(SUBSTITUTE(Audio!Z264, "RE-", "", 1))*1</f>
        <v>0</v>
      </c>
      <c r="AA264" s="92"/>
      <c r="AB264" s="92"/>
      <c r="AC264" s="92"/>
      <c r="AD264" s="92"/>
      <c r="AE264" s="92"/>
      <c r="AF264" s="92"/>
      <c r="AG264" s="92"/>
      <c r="AH264" s="92"/>
      <c r="AI264" s="92"/>
      <c r="AJ264" s="92"/>
      <c r="AK264" s="92"/>
      <c r="AL264" s="92"/>
      <c r="AM264" s="92"/>
      <c r="AN264" s="92"/>
      <c r="AO264" s="92"/>
      <c r="AP264" s="92"/>
      <c r="AQ264" s="92"/>
      <c r="AR264" s="92"/>
      <c r="AS264" s="92"/>
      <c r="AT264" s="92"/>
      <c r="AU264" s="92"/>
      <c r="AV264" s="92"/>
      <c r="AW264" s="92"/>
      <c r="AX264" s="92"/>
      <c r="AY264" s="92"/>
      <c r="AZ264" s="92"/>
      <c r="BA264" s="92"/>
      <c r="BB264" s="92"/>
      <c r="BC264" s="92"/>
      <c r="BD264" s="92"/>
      <c r="BE264" s="92"/>
      <c r="BF264" s="92"/>
      <c r="BG264" s="92"/>
      <c r="BH264" s="92"/>
      <c r="BI264" s="92"/>
      <c r="BJ264" s="92"/>
      <c r="BK264" s="92"/>
      <c r="BL264" s="92"/>
      <c r="BM264" s="92"/>
      <c r="BN264" s="92"/>
      <c r="BO264" s="92"/>
      <c r="BP264" s="92"/>
      <c r="BQ264" s="92"/>
      <c r="BR264" s="92"/>
      <c r="BS264" s="92"/>
      <c r="BT264" s="92"/>
      <c r="BU264" s="92"/>
      <c r="BV264" s="92"/>
      <c r="BW264" s="92"/>
      <c r="BX264" s="92"/>
      <c r="BY264" s="92"/>
      <c r="BZ264" s="92"/>
      <c r="CA264" s="92"/>
      <c r="CB264" s="92"/>
      <c r="CC264" s="92"/>
      <c r="CD264" s="92"/>
      <c r="CE264" s="92"/>
      <c r="CF264" s="92"/>
      <c r="CG264" s="92"/>
      <c r="CH264" s="92"/>
      <c r="CI264" s="92"/>
      <c r="CJ264" s="92"/>
      <c r="CK264" s="92"/>
      <c r="CL264" s="92"/>
      <c r="CM264" s="92"/>
      <c r="CN264" s="92"/>
      <c r="CO264" s="92"/>
      <c r="CP264" s="92"/>
      <c r="CQ264" s="92"/>
      <c r="CR264" s="92"/>
      <c r="CS264" s="92"/>
      <c r="CT264" s="92"/>
      <c r="CU264" s="92"/>
      <c r="CV264" s="92"/>
      <c r="CW264" s="92"/>
      <c r="CX264" s="92"/>
      <c r="CY264" s="92"/>
      <c r="CZ264" s="92"/>
      <c r="DA264" s="92"/>
      <c r="DB264" s="92"/>
      <c r="DC264" s="92"/>
      <c r="DD264" s="92"/>
      <c r="DE264" s="92"/>
      <c r="DF264" s="92"/>
      <c r="DG264" s="92"/>
      <c r="DH264" s="92"/>
      <c r="DI264" s="92"/>
      <c r="DJ264" s="92"/>
      <c r="DK264" s="92"/>
      <c r="DL264" s="92"/>
      <c r="DM264" s="92"/>
      <c r="DN264" s="92"/>
      <c r="DO264" s="92"/>
      <c r="DP264" s="92"/>
      <c r="DQ264" s="92"/>
      <c r="DR264" s="92"/>
      <c r="DS264" s="92"/>
      <c r="DT264" s="92"/>
      <c r="DU264" s="92"/>
      <c r="DV264" s="92"/>
      <c r="DW264" s="92"/>
      <c r="DX264" s="92"/>
      <c r="DY264" s="92"/>
      <c r="DZ264" s="92"/>
      <c r="EA264" s="92"/>
      <c r="EB264" s="92"/>
      <c r="EC264" s="92"/>
      <c r="ED264" s="92"/>
      <c r="EE264" s="92"/>
      <c r="EF264" s="92"/>
      <c r="EG264" s="92"/>
      <c r="EH264" s="92"/>
      <c r="EI264" s="92"/>
      <c r="EJ264" s="92"/>
      <c r="EK264" s="92"/>
      <c r="EL264" s="92"/>
      <c r="EM264" s="92"/>
      <c r="EN264" s="92"/>
      <c r="EO264" s="92"/>
      <c r="EP264" s="92"/>
      <c r="EQ264" s="92"/>
      <c r="ER264" s="92"/>
      <c r="ES264" s="92"/>
      <c r="ET264" s="92"/>
      <c r="EU264" s="92"/>
      <c r="EV264" s="92"/>
      <c r="EW264" s="92"/>
      <c r="EX264" s="92"/>
      <c r="EY264" s="92"/>
      <c r="EZ264" s="92"/>
      <c r="FA264" s="92"/>
      <c r="FB264" s="92"/>
      <c r="FC264" s="92"/>
      <c r="FD264" s="92"/>
      <c r="FE264" s="92"/>
      <c r="FF264" s="92"/>
      <c r="FG264" s="92"/>
      <c r="FH264" s="92"/>
    </row>
    <row r="265">
      <c r="A265" s="32" t="s">
        <v>47</v>
      </c>
      <c r="B265" s="32" t="s">
        <v>53</v>
      </c>
      <c r="C265" s="32" t="s">
        <v>14</v>
      </c>
      <c r="D265" s="97">
        <f t="shared" si="1"/>
        <v>3385.85135</v>
      </c>
      <c r="E265" s="92">
        <f>(SUBSTITUTE(Audio!E265, "RE-", "", 1))*1</f>
        <v>0</v>
      </c>
      <c r="F265" s="92">
        <f>(SUBSTITUTE(Audio!F265, "RE-", "", 1))*1</f>
        <v>923.377</v>
      </c>
      <c r="G265" s="92">
        <f>(SUBSTITUTE(Audio!G265, "RE-", "", 1))*1</f>
        <v>2.98483</v>
      </c>
      <c r="H265" s="92">
        <f>(SUBSTITUTE(Audio!H265, "RE-", "", 1))*1</f>
        <v>257.827</v>
      </c>
      <c r="I265" s="92">
        <f>(SUBSTITUTE(Audio!I265, "RE-", "", 1))*1</f>
        <v>0.5668</v>
      </c>
      <c r="J265" s="92">
        <f>(SUBSTITUTE(Audio!J265, "RE-", "", 1))*1</f>
        <v>667.929</v>
      </c>
      <c r="K265" s="92">
        <f>(SUBSTITUTE(Audio!K265, "RE-", "", 1))*1</f>
        <v>1.69182</v>
      </c>
      <c r="L265" s="92">
        <f>(SUBSTITUTE(Audio!L265, "RE-", "", 1))*1</f>
        <v>791.677</v>
      </c>
      <c r="M265" s="92">
        <f>(SUBSTITUTE(Audio!M265, "RE-", "", 1))*1</f>
        <v>11.1144</v>
      </c>
      <c r="N265" s="92">
        <f>(SUBSTITUTE(Audio!N265, "RE-", "", 1))*1</f>
        <v>66.0506</v>
      </c>
      <c r="O265" s="92">
        <f>(SUBSTITUTE(Audio!O265, "RE-", "", 1))*1</f>
        <v>3.45663</v>
      </c>
      <c r="P265" s="92">
        <f>(SUBSTITUTE(Audio!P265, "RE-", "", 1))*1</f>
        <v>282.563</v>
      </c>
      <c r="Q265" s="92">
        <f>(SUBSTITUTE(Audio!Q265, "RE-", "", 1))*1</f>
        <v>7.18027</v>
      </c>
      <c r="R265" s="92">
        <f>(SUBSTITUTE(Audio!R265, "RE-", "", 1))*1</f>
        <v>112.858</v>
      </c>
      <c r="S265" s="92">
        <f>(SUBSTITUTE(Audio!S265, "RE-", "", 1))*1</f>
        <v>5.88633</v>
      </c>
      <c r="T265" s="92">
        <f>(SUBSTITUTE(Audio!T265, "RE-", "", 1))*1</f>
        <v>241.692</v>
      </c>
      <c r="U265" s="92">
        <f>(SUBSTITUTE(Audio!U265, "RE-", "", 1))*1</f>
        <v>6.50587</v>
      </c>
      <c r="V265" s="92">
        <f>(SUBSTITUTE(Audio!V265, "RE-", "", 1))*1</f>
        <v>2.4908</v>
      </c>
      <c r="W265" s="92">
        <f>(SUBSTITUTE(Audio!W265, "RE-", "", 1))*1</f>
        <v>0</v>
      </c>
      <c r="X265" s="92">
        <f>(SUBSTITUTE(Audio!X265, "RE-", "", 1))*1</f>
        <v>0</v>
      </c>
      <c r="Y265" s="92">
        <f>(SUBSTITUTE(Audio!Y265, "RE-", "", 1))*1</f>
        <v>0</v>
      </c>
      <c r="Z265" s="92">
        <f>(SUBSTITUTE(Audio!Z265, "RE-", "", 1))*1</f>
        <v>0</v>
      </c>
      <c r="AA265" s="92"/>
      <c r="AB265" s="92"/>
      <c r="AC265" s="92"/>
      <c r="AD265" s="92"/>
      <c r="AE265" s="92"/>
      <c r="AF265" s="92"/>
      <c r="AG265" s="92"/>
      <c r="AH265" s="92"/>
      <c r="AI265" s="92"/>
      <c r="AJ265" s="92"/>
      <c r="AK265" s="92"/>
      <c r="AL265" s="92"/>
      <c r="AM265" s="92"/>
      <c r="AN265" s="92"/>
      <c r="AO265" s="92"/>
      <c r="AP265" s="92"/>
      <c r="AQ265" s="92"/>
      <c r="AR265" s="92"/>
      <c r="AS265" s="92"/>
      <c r="AT265" s="92"/>
      <c r="AU265" s="92"/>
      <c r="AV265" s="92"/>
      <c r="AW265" s="92"/>
      <c r="AX265" s="92"/>
      <c r="AY265" s="92"/>
      <c r="AZ265" s="92"/>
      <c r="BA265" s="92"/>
      <c r="BB265" s="92"/>
      <c r="BC265" s="92"/>
      <c r="BD265" s="92"/>
      <c r="BE265" s="92"/>
      <c r="BF265" s="92"/>
      <c r="BG265" s="92"/>
      <c r="BH265" s="92"/>
      <c r="BI265" s="92"/>
      <c r="BJ265" s="92"/>
      <c r="BK265" s="92"/>
      <c r="BL265" s="92"/>
      <c r="BM265" s="92"/>
      <c r="BN265" s="92"/>
      <c r="BO265" s="92"/>
      <c r="BP265" s="92"/>
      <c r="BQ265" s="92"/>
      <c r="BR265" s="92"/>
      <c r="BS265" s="92"/>
      <c r="BT265" s="92"/>
      <c r="BU265" s="92"/>
      <c r="BV265" s="92"/>
      <c r="BW265" s="92"/>
      <c r="BX265" s="92"/>
      <c r="BY265" s="92"/>
      <c r="BZ265" s="92"/>
      <c r="CA265" s="92"/>
      <c r="CB265" s="92"/>
      <c r="CC265" s="92"/>
      <c r="CD265" s="92"/>
      <c r="CE265" s="92"/>
      <c r="CF265" s="92"/>
      <c r="CG265" s="92"/>
      <c r="CH265" s="92"/>
      <c r="CI265" s="92"/>
      <c r="CJ265" s="92"/>
      <c r="CK265" s="92"/>
      <c r="CL265" s="92"/>
      <c r="CM265" s="92"/>
      <c r="CN265" s="92"/>
      <c r="CO265" s="92"/>
      <c r="CP265" s="92"/>
      <c r="CQ265" s="92"/>
      <c r="CR265" s="92"/>
      <c r="CS265" s="92"/>
      <c r="CT265" s="92"/>
      <c r="CU265" s="92"/>
      <c r="CV265" s="92"/>
      <c r="CW265" s="92"/>
      <c r="CX265" s="92"/>
      <c r="CY265" s="92"/>
      <c r="CZ265" s="92"/>
      <c r="DA265" s="92"/>
      <c r="DB265" s="92"/>
      <c r="DC265" s="92"/>
      <c r="DD265" s="92"/>
      <c r="DE265" s="92"/>
      <c r="DF265" s="92"/>
      <c r="DG265" s="92"/>
      <c r="DH265" s="92"/>
      <c r="DI265" s="92"/>
      <c r="DJ265" s="92"/>
      <c r="DK265" s="92"/>
      <c r="DL265" s="92"/>
      <c r="DM265" s="92"/>
      <c r="DN265" s="92"/>
      <c r="DO265" s="92"/>
      <c r="DP265" s="92"/>
      <c r="DQ265" s="92"/>
      <c r="DR265" s="92"/>
      <c r="DS265" s="92"/>
      <c r="DT265" s="92"/>
      <c r="DU265" s="92"/>
      <c r="DV265" s="92"/>
      <c r="DW265" s="92"/>
      <c r="DX265" s="92"/>
      <c r="DY265" s="92"/>
      <c r="DZ265" s="92"/>
      <c r="EA265" s="92"/>
      <c r="EB265" s="92"/>
      <c r="EC265" s="92"/>
      <c r="ED265" s="92"/>
      <c r="EE265" s="92"/>
      <c r="EF265" s="92"/>
      <c r="EG265" s="92"/>
      <c r="EH265" s="92"/>
      <c r="EI265" s="92"/>
      <c r="EJ265" s="92"/>
      <c r="EK265" s="92"/>
      <c r="EL265" s="92"/>
      <c r="EM265" s="92"/>
      <c r="EN265" s="92"/>
      <c r="EO265" s="92"/>
      <c r="EP265" s="92"/>
      <c r="EQ265" s="92"/>
      <c r="ER265" s="92"/>
      <c r="ES265" s="92"/>
      <c r="ET265" s="92"/>
      <c r="EU265" s="92"/>
      <c r="EV265" s="92"/>
      <c r="EW265" s="92"/>
      <c r="EX265" s="92"/>
      <c r="EY265" s="92"/>
      <c r="EZ265" s="92"/>
      <c r="FA265" s="92"/>
      <c r="FB265" s="92"/>
      <c r="FC265" s="92"/>
      <c r="FD265" s="92"/>
      <c r="FE265" s="92"/>
      <c r="FF265" s="92"/>
      <c r="FG265" s="92"/>
      <c r="FH265" s="92"/>
    </row>
    <row r="266">
      <c r="A266" s="27" t="s">
        <v>47</v>
      </c>
      <c r="B266" s="27" t="s">
        <v>53</v>
      </c>
      <c r="C266" s="27" t="s">
        <v>15</v>
      </c>
      <c r="D266" s="98">
        <f t="shared" si="1"/>
        <v>3831.64685</v>
      </c>
      <c r="E266" s="92">
        <f>(SUBSTITUTE(Audio!E266, "RE-", "", 1))*1</f>
        <v>0</v>
      </c>
      <c r="F266" s="92">
        <f>(SUBSTITUTE(Audio!F266, "RE-", "", 1))*1</f>
        <v>1017.73</v>
      </c>
      <c r="G266" s="92">
        <f>(SUBSTITUTE(Audio!G266, "RE-", "", 1))*1</f>
        <v>3.24055</v>
      </c>
      <c r="H266" s="92">
        <f>(SUBSTITUTE(Audio!H266, "RE-", "", 1))*1</f>
        <v>286.964</v>
      </c>
      <c r="I266" s="92">
        <f>(SUBSTITUTE(Audio!I266, "RE-", "", 1))*1</f>
        <v>0.5668</v>
      </c>
      <c r="J266" s="92">
        <f>(SUBSTITUTE(Audio!J266, "RE-", "", 1))*1</f>
        <v>752.787</v>
      </c>
      <c r="K266" s="92">
        <f>(SUBSTITUTE(Audio!K266, "RE-", "", 1))*1</f>
        <v>1.69182</v>
      </c>
      <c r="L266" s="92">
        <f>(SUBSTITUTE(Audio!L266, "RE-", "", 1))*1</f>
        <v>907.734</v>
      </c>
      <c r="M266" s="92">
        <f>(SUBSTITUTE(Audio!M266, "RE-", "", 1))*1</f>
        <v>12.57</v>
      </c>
      <c r="N266" s="92">
        <f>(SUBSTITUTE(Audio!N266, "RE-", "", 1))*1</f>
        <v>76.9322</v>
      </c>
      <c r="O266" s="92">
        <f>(SUBSTITUTE(Audio!O266, "RE-", "", 1))*1</f>
        <v>4.01347</v>
      </c>
      <c r="P266" s="92">
        <f>(SUBSTITUTE(Audio!P266, "RE-", "", 1))*1</f>
        <v>328.572</v>
      </c>
      <c r="Q266" s="92">
        <f>(SUBSTITUTE(Audio!Q266, "RE-", "", 1))*1</f>
        <v>7.34828</v>
      </c>
      <c r="R266" s="92">
        <f>(SUBSTITUTE(Audio!R266, "RE-", "", 1))*1</f>
        <v>135.732</v>
      </c>
      <c r="S266" s="92">
        <f>(SUBSTITUTE(Audio!S266, "RE-", "", 1))*1</f>
        <v>7.83298</v>
      </c>
      <c r="T266" s="92">
        <f>(SUBSTITUTE(Audio!T266, "RE-", "", 1))*1</f>
        <v>276.605</v>
      </c>
      <c r="U266" s="92">
        <f>(SUBSTITUTE(Audio!U266, "RE-", "", 1))*1</f>
        <v>7.62333</v>
      </c>
      <c r="V266" s="92">
        <f>(SUBSTITUTE(Audio!V266, "RE-", "", 1))*1</f>
        <v>3.70342</v>
      </c>
      <c r="W266" s="92">
        <f>(SUBSTITUTE(Audio!W266, "RE-", "", 1))*1</f>
        <v>0</v>
      </c>
      <c r="X266" s="92">
        <f>(SUBSTITUTE(Audio!X266, "RE-", "", 1))*1</f>
        <v>0</v>
      </c>
      <c r="Y266" s="92">
        <f>(SUBSTITUTE(Audio!Y266, "RE-", "", 1))*1</f>
        <v>0</v>
      </c>
      <c r="Z266" s="92">
        <f>(SUBSTITUTE(Audio!Z266, "RE-", "", 1))*1</f>
        <v>0</v>
      </c>
      <c r="AA266" s="92"/>
      <c r="AB266" s="92"/>
      <c r="AC266" s="92"/>
      <c r="AD266" s="92"/>
      <c r="AE266" s="92"/>
      <c r="AF266" s="92"/>
      <c r="AG266" s="92"/>
      <c r="AH266" s="92"/>
      <c r="AI266" s="92"/>
      <c r="AJ266" s="92"/>
      <c r="AK266" s="92"/>
      <c r="AL266" s="92"/>
      <c r="AM266" s="92"/>
      <c r="AN266" s="92"/>
      <c r="AO266" s="92"/>
      <c r="AP266" s="92"/>
      <c r="AQ266" s="92"/>
      <c r="AR266" s="92"/>
      <c r="AS266" s="92"/>
      <c r="AT266" s="92"/>
      <c r="AU266" s="92"/>
      <c r="AV266" s="92"/>
      <c r="AW266" s="92"/>
      <c r="AX266" s="92"/>
      <c r="AY266" s="92"/>
      <c r="AZ266" s="92"/>
      <c r="BA266" s="92"/>
      <c r="BB266" s="92"/>
      <c r="BC266" s="92"/>
      <c r="BD266" s="92"/>
      <c r="BE266" s="92"/>
      <c r="BF266" s="92"/>
      <c r="BG266" s="92"/>
      <c r="BH266" s="92"/>
      <c r="BI266" s="92"/>
      <c r="BJ266" s="92"/>
      <c r="BK266" s="92"/>
      <c r="BL266" s="92"/>
      <c r="BM266" s="92"/>
      <c r="BN266" s="92"/>
      <c r="BO266" s="92"/>
      <c r="BP266" s="92"/>
      <c r="BQ266" s="92"/>
      <c r="BR266" s="92"/>
      <c r="BS266" s="92"/>
      <c r="BT266" s="92"/>
      <c r="BU266" s="92"/>
      <c r="BV266" s="92"/>
      <c r="BW266" s="92"/>
      <c r="BX266" s="92"/>
      <c r="BY266" s="92"/>
      <c r="BZ266" s="92"/>
      <c r="CA266" s="92"/>
      <c r="CB266" s="92"/>
      <c r="CC266" s="92"/>
      <c r="CD266" s="92"/>
      <c r="CE266" s="92"/>
      <c r="CF266" s="92"/>
      <c r="CG266" s="92"/>
      <c r="CH266" s="92"/>
      <c r="CI266" s="92"/>
      <c r="CJ266" s="92"/>
      <c r="CK266" s="92"/>
      <c r="CL266" s="92"/>
      <c r="CM266" s="92"/>
      <c r="CN266" s="92"/>
      <c r="CO266" s="92"/>
      <c r="CP266" s="92"/>
      <c r="CQ266" s="92"/>
      <c r="CR266" s="92"/>
      <c r="CS266" s="92"/>
      <c r="CT266" s="92"/>
      <c r="CU266" s="92"/>
      <c r="CV266" s="92"/>
      <c r="CW266" s="92"/>
      <c r="CX266" s="92"/>
      <c r="CY266" s="92"/>
      <c r="CZ266" s="92"/>
      <c r="DA266" s="92"/>
      <c r="DB266" s="92"/>
      <c r="DC266" s="92"/>
      <c r="DD266" s="92"/>
      <c r="DE266" s="92"/>
      <c r="DF266" s="92"/>
      <c r="DG266" s="92"/>
      <c r="DH266" s="92"/>
      <c r="DI266" s="92"/>
      <c r="DJ266" s="92"/>
      <c r="DK266" s="92"/>
      <c r="DL266" s="92"/>
      <c r="DM266" s="92"/>
      <c r="DN266" s="92"/>
      <c r="DO266" s="92"/>
      <c r="DP266" s="92"/>
      <c r="DQ266" s="92"/>
      <c r="DR266" s="92"/>
      <c r="DS266" s="92"/>
      <c r="DT266" s="92"/>
      <c r="DU266" s="92"/>
      <c r="DV266" s="92"/>
      <c r="DW266" s="92"/>
      <c r="DX266" s="92"/>
      <c r="DY266" s="92"/>
      <c r="DZ266" s="92"/>
      <c r="EA266" s="92"/>
      <c r="EB266" s="92"/>
      <c r="EC266" s="92"/>
      <c r="ED266" s="92"/>
      <c r="EE266" s="92"/>
      <c r="EF266" s="92"/>
      <c r="EG266" s="92"/>
      <c r="EH266" s="92"/>
      <c r="EI266" s="92"/>
      <c r="EJ266" s="92"/>
      <c r="EK266" s="92"/>
      <c r="EL266" s="92"/>
      <c r="EM266" s="92"/>
      <c r="EN266" s="92"/>
      <c r="EO266" s="92"/>
      <c r="EP266" s="92"/>
      <c r="EQ266" s="92"/>
      <c r="ER266" s="92"/>
      <c r="ES266" s="92"/>
      <c r="ET266" s="92"/>
      <c r="EU266" s="92"/>
      <c r="EV266" s="92"/>
      <c r="EW266" s="92"/>
      <c r="EX266" s="92"/>
      <c r="EY266" s="92"/>
      <c r="EZ266" s="92"/>
      <c r="FA266" s="92"/>
      <c r="FB266" s="92"/>
      <c r="FC266" s="92"/>
      <c r="FD266" s="92"/>
      <c r="FE266" s="92"/>
      <c r="FF266" s="92"/>
      <c r="FG266" s="92"/>
      <c r="FH266" s="92"/>
    </row>
    <row r="267">
      <c r="A267" s="30" t="s">
        <v>54</v>
      </c>
      <c r="B267" s="30" t="s">
        <v>55</v>
      </c>
      <c r="C267" s="31" t="str">
        <f>HYPERLINK("https://docs.google.com/spreadsheets/d/1FX_eOsB2buJgfOR8cwHv-UgbJ4pAwP0W/edit?usp=share_link&amp;ouid=106501987799020758802&amp;rtpof=true&amp;sd=true", "Raw Delivered")</f>
        <v>Raw Delivered</v>
      </c>
      <c r="D267" s="96">
        <f t="shared" si="1"/>
        <v>4875.231018</v>
      </c>
      <c r="E267" s="92">
        <f>(SUBSTITUTE(Audio!E267, "RE-", "", 1))*1</f>
        <v>0</v>
      </c>
      <c r="F267" s="92">
        <f>(SUBSTITUTE(Audio!F267, "RE-", "", 1))*1</f>
        <v>929.6040073</v>
      </c>
      <c r="G267" s="92">
        <f>(SUBSTITUTE(Audio!G267, "RE-", "", 1))*1</f>
        <v>0</v>
      </c>
      <c r="H267" s="92">
        <f>(SUBSTITUTE(Audio!H267, "RE-", "", 1))*1</f>
        <v>94.73660208</v>
      </c>
      <c r="I267" s="92">
        <f>(SUBSTITUTE(Audio!I267, "RE-", "", 1))*1</f>
        <v>0</v>
      </c>
      <c r="J267" s="92">
        <f>(SUBSTITUTE(Audio!J267, "RE-", "", 1))*1</f>
        <v>787.2806281</v>
      </c>
      <c r="K267" s="92">
        <f>(SUBSTITUTE(Audio!K267, "RE-", "", 1))*1</f>
        <v>0</v>
      </c>
      <c r="L267" s="92">
        <f>(SUBSTITUTE(Audio!L267, "RE-", "", 1))*1</f>
        <v>996.934225</v>
      </c>
      <c r="M267" s="92">
        <f>(SUBSTITUTE(Audio!M267, "RE-", "", 1))*1</f>
        <v>0</v>
      </c>
      <c r="N267" s="92">
        <f>(SUBSTITUTE(Audio!N267, "RE-", "", 1))*1</f>
        <v>1596.971389</v>
      </c>
      <c r="O267" s="92">
        <f>(SUBSTITUTE(Audio!O267, "RE-", "", 1))*1</f>
        <v>0</v>
      </c>
      <c r="P267" s="92">
        <f>(SUBSTITUTE(Audio!P267, "RE-", "", 1))*1</f>
        <v>252.9484781</v>
      </c>
      <c r="Q267" s="92">
        <f>(SUBSTITUTE(Audio!Q267, "RE-", "", 1))*1</f>
        <v>0</v>
      </c>
      <c r="R267" s="92">
        <f>(SUBSTITUTE(Audio!R267, "RE-", "", 1))*1</f>
        <v>41.423</v>
      </c>
      <c r="S267" s="92">
        <f>(SUBSTITUTE(Audio!S267, "RE-", "", 1))*1</f>
        <v>0</v>
      </c>
      <c r="T267" s="92">
        <f>(SUBSTITUTE(Audio!T267, "RE-", "", 1))*1</f>
        <v>175.3326885</v>
      </c>
      <c r="U267" s="92">
        <f>(SUBSTITUTE(Audio!U267, "RE-", "", 1))*1</f>
        <v>0</v>
      </c>
      <c r="V267" s="92">
        <f>(SUBSTITUTE(Audio!V267, "RE-", "", 1))*1</f>
        <v>0</v>
      </c>
      <c r="W267" s="92">
        <f>(SUBSTITUTE(Audio!W267, "RE-", "", 1))*1</f>
        <v>0</v>
      </c>
      <c r="X267" s="92">
        <f>(SUBSTITUTE(Audio!X267, "RE-", "", 1))*1</f>
        <v>0</v>
      </c>
      <c r="Y267" s="92">
        <f>(SUBSTITUTE(Audio!Y267, "RE-", "", 1))*1</f>
        <v>0</v>
      </c>
      <c r="Z267" s="92">
        <f>(SUBSTITUTE(Audio!Z267, "RE-", "", 1))*1</f>
        <v>0</v>
      </c>
      <c r="AA267" s="92"/>
      <c r="AB267" s="92"/>
      <c r="AC267" s="92"/>
      <c r="AD267" s="92"/>
      <c r="AE267" s="92"/>
      <c r="AF267" s="92"/>
      <c r="AG267" s="92"/>
      <c r="AH267" s="92"/>
      <c r="AI267" s="92"/>
      <c r="AJ267" s="92"/>
      <c r="AK267" s="92"/>
      <c r="AL267" s="92"/>
      <c r="AM267" s="92"/>
      <c r="AN267" s="92"/>
      <c r="AO267" s="92"/>
      <c r="AP267" s="92"/>
      <c r="AQ267" s="92"/>
      <c r="AR267" s="92"/>
      <c r="AS267" s="92"/>
      <c r="AT267" s="92"/>
      <c r="AU267" s="92"/>
      <c r="AV267" s="92"/>
      <c r="AW267" s="92"/>
      <c r="AX267" s="92"/>
      <c r="AY267" s="92"/>
      <c r="AZ267" s="92"/>
      <c r="BA267" s="92"/>
      <c r="BB267" s="92"/>
      <c r="BC267" s="92"/>
      <c r="BD267" s="92"/>
      <c r="BE267" s="92"/>
      <c r="BF267" s="92"/>
      <c r="BG267" s="92"/>
      <c r="BH267" s="92"/>
      <c r="BI267" s="92"/>
      <c r="BJ267" s="92"/>
      <c r="BK267" s="92"/>
      <c r="BL267" s="92"/>
      <c r="BM267" s="92"/>
      <c r="BN267" s="92"/>
      <c r="BO267" s="92"/>
      <c r="BP267" s="92"/>
      <c r="BQ267" s="92"/>
      <c r="BR267" s="92"/>
      <c r="BS267" s="92"/>
      <c r="BT267" s="92"/>
      <c r="BU267" s="92"/>
      <c r="BV267" s="92"/>
      <c r="BW267" s="92"/>
      <c r="BX267" s="92"/>
      <c r="BY267" s="92"/>
      <c r="BZ267" s="92"/>
      <c r="CA267" s="92"/>
      <c r="CB267" s="92"/>
      <c r="CC267" s="92"/>
      <c r="CD267" s="92"/>
      <c r="CE267" s="92"/>
      <c r="CF267" s="92"/>
      <c r="CG267" s="92"/>
      <c r="CH267" s="92"/>
      <c r="CI267" s="92"/>
      <c r="CJ267" s="92"/>
      <c r="CK267" s="92"/>
      <c r="CL267" s="92"/>
      <c r="CM267" s="92"/>
      <c r="CN267" s="92"/>
      <c r="CO267" s="92"/>
      <c r="CP267" s="92"/>
      <c r="CQ267" s="92"/>
      <c r="CR267" s="92"/>
      <c r="CS267" s="92"/>
      <c r="CT267" s="92"/>
      <c r="CU267" s="92"/>
      <c r="CV267" s="92"/>
      <c r="CW267" s="92"/>
      <c r="CX267" s="92"/>
      <c r="CY267" s="92"/>
      <c r="CZ267" s="92"/>
      <c r="DA267" s="92"/>
      <c r="DB267" s="92"/>
      <c r="DC267" s="92"/>
      <c r="DD267" s="92"/>
      <c r="DE267" s="92"/>
      <c r="DF267" s="92"/>
      <c r="DG267" s="92"/>
      <c r="DH267" s="92"/>
      <c r="DI267" s="92"/>
      <c r="DJ267" s="92"/>
      <c r="DK267" s="92"/>
      <c r="DL267" s="92"/>
      <c r="DM267" s="92"/>
      <c r="DN267" s="92"/>
      <c r="DO267" s="92"/>
      <c r="DP267" s="92"/>
      <c r="DQ267" s="92"/>
      <c r="DR267" s="92"/>
      <c r="DS267" s="92"/>
      <c r="DT267" s="92"/>
      <c r="DU267" s="92"/>
      <c r="DV267" s="92"/>
      <c r="DW267" s="92"/>
      <c r="DX267" s="92"/>
      <c r="DY267" s="92"/>
      <c r="DZ267" s="92"/>
      <c r="EA267" s="92"/>
      <c r="EB267" s="92"/>
      <c r="EC267" s="92"/>
      <c r="ED267" s="92"/>
      <c r="EE267" s="92"/>
      <c r="EF267" s="92"/>
      <c r="EG267" s="92"/>
      <c r="EH267" s="92"/>
      <c r="EI267" s="92"/>
      <c r="EJ267" s="92"/>
      <c r="EK267" s="92"/>
      <c r="EL267" s="92"/>
      <c r="EM267" s="92"/>
      <c r="EN267" s="92"/>
      <c r="EO267" s="92"/>
      <c r="EP267" s="92"/>
      <c r="EQ267" s="92"/>
      <c r="ER267" s="92"/>
      <c r="ES267" s="92"/>
      <c r="ET267" s="92"/>
      <c r="EU267" s="92"/>
      <c r="EV267" s="92"/>
      <c r="EW267" s="92"/>
      <c r="EX267" s="92"/>
      <c r="EY267" s="92"/>
      <c r="EZ267" s="92"/>
      <c r="FA267" s="92"/>
      <c r="FB267" s="92"/>
      <c r="FC267" s="92"/>
      <c r="FD267" s="92"/>
      <c r="FE267" s="92"/>
      <c r="FF267" s="92"/>
      <c r="FG267" s="92"/>
      <c r="FH267" s="92"/>
    </row>
    <row r="268">
      <c r="A268" s="32" t="s">
        <v>54</v>
      </c>
      <c r="B268" s="32" t="s">
        <v>55</v>
      </c>
      <c r="C268" s="32" t="s">
        <v>9</v>
      </c>
      <c r="D268" s="97">
        <f t="shared" si="1"/>
        <v>4875.231018</v>
      </c>
      <c r="E268" s="92">
        <f>(SUBSTITUTE(Audio!E268, "RE-", "", 1))*1</f>
        <v>0</v>
      </c>
      <c r="F268" s="92">
        <f>(SUBSTITUTE(Audio!F268, "RE-", "", 1))*1</f>
        <v>929.6040073</v>
      </c>
      <c r="G268" s="92">
        <f>(SUBSTITUTE(Audio!G268, "RE-", "", 1))*1</f>
        <v>0</v>
      </c>
      <c r="H268" s="92">
        <f>(SUBSTITUTE(Audio!H268, "RE-", "", 1))*1</f>
        <v>94.73660208</v>
      </c>
      <c r="I268" s="92">
        <f>(SUBSTITUTE(Audio!I268, "RE-", "", 1))*1</f>
        <v>0</v>
      </c>
      <c r="J268" s="92">
        <f>(SUBSTITUTE(Audio!J268, "RE-", "", 1))*1</f>
        <v>787.2806281</v>
      </c>
      <c r="K268" s="92">
        <f>(SUBSTITUTE(Audio!K268, "RE-", "", 1))*1</f>
        <v>0</v>
      </c>
      <c r="L268" s="92">
        <f>(SUBSTITUTE(Audio!L268, "RE-", "", 1))*1</f>
        <v>996.934225</v>
      </c>
      <c r="M268" s="92">
        <f>(SUBSTITUTE(Audio!M268, "RE-", "", 1))*1</f>
        <v>0</v>
      </c>
      <c r="N268" s="92">
        <f>(SUBSTITUTE(Audio!N268, "RE-", "", 1))*1</f>
        <v>1596.971389</v>
      </c>
      <c r="O268" s="92">
        <f>(SUBSTITUTE(Audio!O268, "RE-", "", 1))*1</f>
        <v>0</v>
      </c>
      <c r="P268" s="92">
        <f>(SUBSTITUTE(Audio!P268, "RE-", "", 1))*1</f>
        <v>252.9484781</v>
      </c>
      <c r="Q268" s="92">
        <f>(SUBSTITUTE(Audio!Q268, "RE-", "", 1))*1</f>
        <v>0</v>
      </c>
      <c r="R268" s="92">
        <f>(SUBSTITUTE(Audio!R268, "RE-", "", 1))*1</f>
        <v>41.423</v>
      </c>
      <c r="S268" s="92">
        <f>(SUBSTITUTE(Audio!S268, "RE-", "", 1))*1</f>
        <v>0</v>
      </c>
      <c r="T268" s="92">
        <f>(SUBSTITUTE(Audio!T268, "RE-", "", 1))*1</f>
        <v>175.3326885</v>
      </c>
      <c r="U268" s="92">
        <f>(SUBSTITUTE(Audio!U268, "RE-", "", 1))*1</f>
        <v>0</v>
      </c>
      <c r="V268" s="92">
        <f>(SUBSTITUTE(Audio!V268, "RE-", "", 1))*1</f>
        <v>0</v>
      </c>
      <c r="W268" s="92">
        <f>(SUBSTITUTE(Audio!W268, "RE-", "", 1))*1</f>
        <v>0</v>
      </c>
      <c r="X268" s="92">
        <f>(SUBSTITUTE(Audio!X268, "RE-", "", 1))*1</f>
        <v>0</v>
      </c>
      <c r="Y268" s="92">
        <f>(SUBSTITUTE(Audio!Y268, "RE-", "", 1))*1</f>
        <v>0</v>
      </c>
      <c r="Z268" s="92">
        <f>(SUBSTITUTE(Audio!Z268, "RE-", "", 1))*1</f>
        <v>0</v>
      </c>
      <c r="AA268" s="92"/>
      <c r="AB268" s="92"/>
      <c r="AC268" s="92"/>
      <c r="AD268" s="92"/>
      <c r="AE268" s="92"/>
      <c r="AF268" s="92"/>
      <c r="AG268" s="92"/>
      <c r="AH268" s="92"/>
      <c r="AI268" s="92"/>
      <c r="AJ268" s="92"/>
      <c r="AK268" s="92"/>
      <c r="AL268" s="92"/>
      <c r="AM268" s="92"/>
      <c r="AN268" s="92"/>
      <c r="AO268" s="92"/>
      <c r="AP268" s="92"/>
      <c r="AQ268" s="92"/>
      <c r="AR268" s="92"/>
      <c r="AS268" s="92"/>
      <c r="AT268" s="92"/>
      <c r="AU268" s="92"/>
      <c r="AV268" s="92"/>
      <c r="AW268" s="92"/>
      <c r="AX268" s="92"/>
      <c r="AY268" s="92"/>
      <c r="AZ268" s="92"/>
      <c r="BA268" s="92"/>
      <c r="BB268" s="92"/>
      <c r="BC268" s="92"/>
      <c r="BD268" s="92"/>
      <c r="BE268" s="92"/>
      <c r="BF268" s="92"/>
      <c r="BG268" s="92"/>
      <c r="BH268" s="92"/>
      <c r="BI268" s="92"/>
      <c r="BJ268" s="92"/>
      <c r="BK268" s="92"/>
      <c r="BL268" s="92"/>
      <c r="BM268" s="92"/>
      <c r="BN268" s="92"/>
      <c r="BO268" s="92"/>
      <c r="BP268" s="92"/>
      <c r="BQ268" s="92"/>
      <c r="BR268" s="92"/>
      <c r="BS268" s="92"/>
      <c r="BT268" s="92"/>
      <c r="BU268" s="92"/>
      <c r="BV268" s="92"/>
      <c r="BW268" s="92"/>
      <c r="BX268" s="92"/>
      <c r="BY268" s="92"/>
      <c r="BZ268" s="92"/>
      <c r="CA268" s="92"/>
      <c r="CB268" s="92"/>
      <c r="CC268" s="92"/>
      <c r="CD268" s="92"/>
      <c r="CE268" s="92"/>
      <c r="CF268" s="92"/>
      <c r="CG268" s="92"/>
      <c r="CH268" s="92"/>
      <c r="CI268" s="92"/>
      <c r="CJ268" s="92"/>
      <c r="CK268" s="92"/>
      <c r="CL268" s="92"/>
      <c r="CM268" s="92"/>
      <c r="CN268" s="92"/>
      <c r="CO268" s="92"/>
      <c r="CP268" s="92"/>
      <c r="CQ268" s="92"/>
      <c r="CR268" s="92"/>
      <c r="CS268" s="92"/>
      <c r="CT268" s="92"/>
      <c r="CU268" s="92"/>
      <c r="CV268" s="92"/>
      <c r="CW268" s="92"/>
      <c r="CX268" s="92"/>
      <c r="CY268" s="92"/>
      <c r="CZ268" s="92"/>
      <c r="DA268" s="92"/>
      <c r="DB268" s="92"/>
      <c r="DC268" s="92"/>
      <c r="DD268" s="92"/>
      <c r="DE268" s="92"/>
      <c r="DF268" s="92"/>
      <c r="DG268" s="92"/>
      <c r="DH268" s="92"/>
      <c r="DI268" s="92"/>
      <c r="DJ268" s="92"/>
      <c r="DK268" s="92"/>
      <c r="DL268" s="92"/>
      <c r="DM268" s="92"/>
      <c r="DN268" s="92"/>
      <c r="DO268" s="92"/>
      <c r="DP268" s="92"/>
      <c r="DQ268" s="92"/>
      <c r="DR268" s="92"/>
      <c r="DS268" s="92"/>
      <c r="DT268" s="92"/>
      <c r="DU268" s="92"/>
      <c r="DV268" s="92"/>
      <c r="DW268" s="92"/>
      <c r="DX268" s="92"/>
      <c r="DY268" s="92"/>
      <c r="DZ268" s="92"/>
      <c r="EA268" s="92"/>
      <c r="EB268" s="92"/>
      <c r="EC268" s="92"/>
      <c r="ED268" s="92"/>
      <c r="EE268" s="92"/>
      <c r="EF268" s="92"/>
      <c r="EG268" s="92"/>
      <c r="EH268" s="92"/>
      <c r="EI268" s="92"/>
      <c r="EJ268" s="92"/>
      <c r="EK268" s="92"/>
      <c r="EL268" s="92"/>
      <c r="EM268" s="92"/>
      <c r="EN268" s="92"/>
      <c r="EO268" s="92"/>
      <c r="EP268" s="92"/>
      <c r="EQ268" s="92"/>
      <c r="ER268" s="92"/>
      <c r="ES268" s="92"/>
      <c r="ET268" s="92"/>
      <c r="EU268" s="92"/>
      <c r="EV268" s="92"/>
      <c r="EW268" s="92"/>
      <c r="EX268" s="92"/>
      <c r="EY268" s="92"/>
      <c r="EZ268" s="92"/>
      <c r="FA268" s="92"/>
      <c r="FB268" s="92"/>
      <c r="FC268" s="92"/>
      <c r="FD268" s="92"/>
      <c r="FE268" s="92"/>
      <c r="FF268" s="92"/>
      <c r="FG268" s="92"/>
      <c r="FH268" s="92"/>
    </row>
    <row r="269">
      <c r="A269" s="32" t="s">
        <v>54</v>
      </c>
      <c r="B269" s="32" t="s">
        <v>55</v>
      </c>
      <c r="C269" s="32" t="s">
        <v>10</v>
      </c>
      <c r="D269" s="97">
        <f t="shared" si="1"/>
        <v>482.3692531</v>
      </c>
      <c r="E269" s="92">
        <f>(SUBSTITUTE(Audio!E269, "RE-", "", 1))*1</f>
        <v>0</v>
      </c>
      <c r="F269" s="92">
        <f>(SUBSTITUTE(Audio!F269, "RE-", "", 1))*1</f>
        <v>0</v>
      </c>
      <c r="G269" s="92">
        <f>(SUBSTITUTE(Audio!G269, "RE-", "", 1))*1</f>
        <v>75.60183333</v>
      </c>
      <c r="H269" s="92">
        <f>(SUBSTITUTE(Audio!H269, "RE-", "", 1))*1</f>
        <v>0</v>
      </c>
      <c r="I269" s="92">
        <f>(SUBSTITUTE(Audio!I269, "RE-", "", 1))*1</f>
        <v>14.43989583</v>
      </c>
      <c r="J269" s="92">
        <f>(SUBSTITUTE(Audio!J269, "RE-", "", 1))*1</f>
        <v>0</v>
      </c>
      <c r="K269" s="92">
        <f>(SUBSTITUTE(Audio!K269, "RE-", "", 1))*1</f>
        <v>49.03320833</v>
      </c>
      <c r="L269" s="92">
        <f>(SUBSTITUTE(Audio!L269, "RE-", "", 1))*1</f>
        <v>0</v>
      </c>
      <c r="M269" s="92">
        <f>(SUBSTITUTE(Audio!M269, "RE-", "", 1))*1</f>
        <v>42.65036458</v>
      </c>
      <c r="N269" s="92">
        <f>(SUBSTITUTE(Audio!N269, "RE-", "", 1))*1</f>
        <v>0</v>
      </c>
      <c r="O269" s="92">
        <f>(SUBSTITUTE(Audio!O269, "RE-", "", 1))*1</f>
        <v>185.0233656</v>
      </c>
      <c r="P269" s="92">
        <f>(SUBSTITUTE(Audio!P269, "RE-", "", 1))*1</f>
        <v>0</v>
      </c>
      <c r="Q269" s="92">
        <f>(SUBSTITUTE(Audio!Q269, "RE-", "", 1))*1</f>
        <v>80.99586771</v>
      </c>
      <c r="R269" s="92">
        <f>(SUBSTITUTE(Audio!R269, "RE-", "", 1))*1</f>
        <v>0</v>
      </c>
      <c r="S269" s="92">
        <f>(SUBSTITUTE(Audio!S269, "RE-", "", 1))*1</f>
        <v>13.44004271</v>
      </c>
      <c r="T269" s="92">
        <f>(SUBSTITUTE(Audio!T269, "RE-", "", 1))*1</f>
        <v>0</v>
      </c>
      <c r="U269" s="92">
        <f>(SUBSTITUTE(Audio!U269, "RE-", "", 1))*1</f>
        <v>13.65477292</v>
      </c>
      <c r="V269" s="92">
        <f>(SUBSTITUTE(Audio!V269, "RE-", "", 1))*1</f>
        <v>7.529902083</v>
      </c>
      <c r="W269" s="92">
        <f>(SUBSTITUTE(Audio!W269, "RE-", "", 1))*1</f>
        <v>0</v>
      </c>
      <c r="X269" s="92">
        <f>(SUBSTITUTE(Audio!X269, "RE-", "", 1))*1</f>
        <v>0</v>
      </c>
      <c r="Y269" s="92">
        <f>(SUBSTITUTE(Audio!Y269, "RE-", "", 1))*1</f>
        <v>0</v>
      </c>
      <c r="Z269" s="92">
        <f>(SUBSTITUTE(Audio!Z269, "RE-", "", 1))*1</f>
        <v>0</v>
      </c>
      <c r="AA269" s="92"/>
      <c r="AB269" s="92"/>
      <c r="AC269" s="92"/>
      <c r="AD269" s="92"/>
      <c r="AE269" s="92"/>
      <c r="AF269" s="92"/>
      <c r="AG269" s="92"/>
      <c r="AH269" s="92"/>
      <c r="AI269" s="92"/>
      <c r="AJ269" s="92"/>
      <c r="AK269" s="92"/>
      <c r="AL269" s="92"/>
      <c r="AM269" s="92"/>
      <c r="AN269" s="92"/>
      <c r="AO269" s="92"/>
      <c r="AP269" s="92"/>
      <c r="AQ269" s="92"/>
      <c r="AR269" s="92"/>
      <c r="AS269" s="92"/>
      <c r="AT269" s="92"/>
      <c r="AU269" s="92"/>
      <c r="AV269" s="92"/>
      <c r="AW269" s="92"/>
      <c r="AX269" s="92"/>
      <c r="AY269" s="92"/>
      <c r="AZ269" s="92"/>
      <c r="BA269" s="92"/>
      <c r="BB269" s="92"/>
      <c r="BC269" s="92"/>
      <c r="BD269" s="92"/>
      <c r="BE269" s="92"/>
      <c r="BF269" s="92"/>
      <c r="BG269" s="92"/>
      <c r="BH269" s="92"/>
      <c r="BI269" s="92"/>
      <c r="BJ269" s="92"/>
      <c r="BK269" s="92"/>
      <c r="BL269" s="92"/>
      <c r="BM269" s="92"/>
      <c r="BN269" s="92"/>
      <c r="BO269" s="92"/>
      <c r="BP269" s="92"/>
      <c r="BQ269" s="92"/>
      <c r="BR269" s="92"/>
      <c r="BS269" s="92"/>
      <c r="BT269" s="92"/>
      <c r="BU269" s="92"/>
      <c r="BV269" s="92"/>
      <c r="BW269" s="92"/>
      <c r="BX269" s="92"/>
      <c r="BY269" s="92"/>
      <c r="BZ269" s="92"/>
      <c r="CA269" s="92"/>
      <c r="CB269" s="92"/>
      <c r="CC269" s="92"/>
      <c r="CD269" s="92"/>
      <c r="CE269" s="92"/>
      <c r="CF269" s="92"/>
      <c r="CG269" s="92"/>
      <c r="CH269" s="92"/>
      <c r="CI269" s="92"/>
      <c r="CJ269" s="92"/>
      <c r="CK269" s="92"/>
      <c r="CL269" s="92"/>
      <c r="CM269" s="92"/>
      <c r="CN269" s="92"/>
      <c r="CO269" s="92"/>
      <c r="CP269" s="92"/>
      <c r="CQ269" s="92"/>
      <c r="CR269" s="92"/>
      <c r="CS269" s="92"/>
      <c r="CT269" s="92"/>
      <c r="CU269" s="92"/>
      <c r="CV269" s="92"/>
      <c r="CW269" s="92"/>
      <c r="CX269" s="92"/>
      <c r="CY269" s="92"/>
      <c r="CZ269" s="92"/>
      <c r="DA269" s="92"/>
      <c r="DB269" s="92"/>
      <c r="DC269" s="92"/>
      <c r="DD269" s="92"/>
      <c r="DE269" s="92"/>
      <c r="DF269" s="92"/>
      <c r="DG269" s="92"/>
      <c r="DH269" s="92"/>
      <c r="DI269" s="92"/>
      <c r="DJ269" s="92"/>
      <c r="DK269" s="92"/>
      <c r="DL269" s="92"/>
      <c r="DM269" s="92"/>
      <c r="DN269" s="92"/>
      <c r="DO269" s="92"/>
      <c r="DP269" s="92"/>
      <c r="DQ269" s="92"/>
      <c r="DR269" s="92"/>
      <c r="DS269" s="92"/>
      <c r="DT269" s="92"/>
      <c r="DU269" s="92"/>
      <c r="DV269" s="92"/>
      <c r="DW269" s="92"/>
      <c r="DX269" s="92"/>
      <c r="DY269" s="92"/>
      <c r="DZ269" s="92"/>
      <c r="EA269" s="92"/>
      <c r="EB269" s="92"/>
      <c r="EC269" s="92"/>
      <c r="ED269" s="92"/>
      <c r="EE269" s="92"/>
      <c r="EF269" s="92"/>
      <c r="EG269" s="92"/>
      <c r="EH269" s="92"/>
      <c r="EI269" s="92"/>
      <c r="EJ269" s="92"/>
      <c r="EK269" s="92"/>
      <c r="EL269" s="92"/>
      <c r="EM269" s="92"/>
      <c r="EN269" s="92"/>
      <c r="EO269" s="92"/>
      <c r="EP269" s="92"/>
      <c r="EQ269" s="92"/>
      <c r="ER269" s="92"/>
      <c r="ES269" s="92"/>
      <c r="ET269" s="92"/>
      <c r="EU269" s="92"/>
      <c r="EV269" s="92"/>
      <c r="EW269" s="92"/>
      <c r="EX269" s="92"/>
      <c r="EY269" s="92"/>
      <c r="EZ269" s="92"/>
      <c r="FA269" s="92"/>
      <c r="FB269" s="92"/>
      <c r="FC269" s="92"/>
      <c r="FD269" s="92"/>
      <c r="FE269" s="92"/>
      <c r="FF269" s="92"/>
      <c r="FG269" s="92"/>
      <c r="FH269" s="92"/>
    </row>
    <row r="270">
      <c r="A270" s="32" t="s">
        <v>54</v>
      </c>
      <c r="B270" s="32" t="s">
        <v>55</v>
      </c>
      <c r="C270" s="32" t="s">
        <v>11</v>
      </c>
      <c r="D270" s="97">
        <f t="shared" si="1"/>
        <v>482.3692531</v>
      </c>
      <c r="E270" s="92">
        <f>(SUBSTITUTE(Audio!E270, "RE-", "", 1))*1</f>
        <v>0</v>
      </c>
      <c r="F270" s="92">
        <f>(SUBSTITUTE(Audio!F270, "RE-", "", 1))*1</f>
        <v>0</v>
      </c>
      <c r="G270" s="92">
        <f>(SUBSTITUTE(Audio!G270, "RE-", "", 1))*1</f>
        <v>75.60183333</v>
      </c>
      <c r="H270" s="92">
        <f>(SUBSTITUTE(Audio!H270, "RE-", "", 1))*1</f>
        <v>0</v>
      </c>
      <c r="I270" s="92">
        <f>(SUBSTITUTE(Audio!I270, "RE-", "", 1))*1</f>
        <v>14.43989583</v>
      </c>
      <c r="J270" s="92">
        <f>(SUBSTITUTE(Audio!J270, "RE-", "", 1))*1</f>
        <v>0</v>
      </c>
      <c r="K270" s="92">
        <f>(SUBSTITUTE(Audio!K270, "RE-", "", 1))*1</f>
        <v>49.03320833</v>
      </c>
      <c r="L270" s="92">
        <f>(SUBSTITUTE(Audio!L270, "RE-", "", 1))*1</f>
        <v>0</v>
      </c>
      <c r="M270" s="92">
        <f>(SUBSTITUTE(Audio!M270, "RE-", "", 1))*1</f>
        <v>42.65036458</v>
      </c>
      <c r="N270" s="92">
        <f>(SUBSTITUTE(Audio!N270, "RE-", "", 1))*1</f>
        <v>0</v>
      </c>
      <c r="O270" s="92">
        <f>(SUBSTITUTE(Audio!O270, "RE-", "", 1))*1</f>
        <v>185.0233656</v>
      </c>
      <c r="P270" s="92">
        <f>(SUBSTITUTE(Audio!P270, "RE-", "", 1))*1</f>
        <v>0</v>
      </c>
      <c r="Q270" s="92">
        <f>(SUBSTITUTE(Audio!Q270, "RE-", "", 1))*1</f>
        <v>80.99586771</v>
      </c>
      <c r="R270" s="92">
        <f>(SUBSTITUTE(Audio!R270, "RE-", "", 1))*1</f>
        <v>0</v>
      </c>
      <c r="S270" s="92">
        <f>(SUBSTITUTE(Audio!S270, "RE-", "", 1))*1</f>
        <v>13.44004271</v>
      </c>
      <c r="T270" s="92">
        <f>(SUBSTITUTE(Audio!T270, "RE-", "", 1))*1</f>
        <v>0</v>
      </c>
      <c r="U270" s="92">
        <f>(SUBSTITUTE(Audio!U270, "RE-", "", 1))*1</f>
        <v>13.65477292</v>
      </c>
      <c r="V270" s="92">
        <f>(SUBSTITUTE(Audio!V270, "RE-", "", 1))*1</f>
        <v>7.529902083</v>
      </c>
      <c r="W270" s="92">
        <f>(SUBSTITUTE(Audio!W270, "RE-", "", 1))*1</f>
        <v>0</v>
      </c>
      <c r="X270" s="92">
        <f>(SUBSTITUTE(Audio!X270, "RE-", "", 1))*1</f>
        <v>0</v>
      </c>
      <c r="Y270" s="92">
        <f>(SUBSTITUTE(Audio!Y270, "RE-", "", 1))*1</f>
        <v>0</v>
      </c>
      <c r="Z270" s="92">
        <f>(SUBSTITUTE(Audio!Z270, "RE-", "", 1))*1</f>
        <v>0</v>
      </c>
      <c r="AA270" s="92"/>
      <c r="AB270" s="92"/>
      <c r="AC270" s="92"/>
      <c r="AD270" s="92"/>
      <c r="AE270" s="92"/>
      <c r="AF270" s="92"/>
      <c r="AG270" s="92"/>
      <c r="AH270" s="92"/>
      <c r="AI270" s="92"/>
      <c r="AJ270" s="92"/>
      <c r="AK270" s="92"/>
      <c r="AL270" s="92"/>
      <c r="AM270" s="92"/>
      <c r="AN270" s="92"/>
      <c r="AO270" s="92"/>
      <c r="AP270" s="92"/>
      <c r="AQ270" s="92"/>
      <c r="AR270" s="92"/>
      <c r="AS270" s="92"/>
      <c r="AT270" s="92"/>
      <c r="AU270" s="92"/>
      <c r="AV270" s="92"/>
      <c r="AW270" s="92"/>
      <c r="AX270" s="92"/>
      <c r="AY270" s="92"/>
      <c r="AZ270" s="92"/>
      <c r="BA270" s="92"/>
      <c r="BB270" s="92"/>
      <c r="BC270" s="92"/>
      <c r="BD270" s="92"/>
      <c r="BE270" s="92"/>
      <c r="BF270" s="92"/>
      <c r="BG270" s="92"/>
      <c r="BH270" s="92"/>
      <c r="BI270" s="92"/>
      <c r="BJ270" s="92"/>
      <c r="BK270" s="92"/>
      <c r="BL270" s="92"/>
      <c r="BM270" s="92"/>
      <c r="BN270" s="92"/>
      <c r="BO270" s="92"/>
      <c r="BP270" s="92"/>
      <c r="BQ270" s="92"/>
      <c r="BR270" s="92"/>
      <c r="BS270" s="92"/>
      <c r="BT270" s="92"/>
      <c r="BU270" s="92"/>
      <c r="BV270" s="92"/>
      <c r="BW270" s="92"/>
      <c r="BX270" s="92"/>
      <c r="BY270" s="92"/>
      <c r="BZ270" s="92"/>
      <c r="CA270" s="92"/>
      <c r="CB270" s="92"/>
      <c r="CC270" s="92"/>
      <c r="CD270" s="92"/>
      <c r="CE270" s="92"/>
      <c r="CF270" s="92"/>
      <c r="CG270" s="92"/>
      <c r="CH270" s="92"/>
      <c r="CI270" s="92"/>
      <c r="CJ270" s="92"/>
      <c r="CK270" s="92"/>
      <c r="CL270" s="92"/>
      <c r="CM270" s="92"/>
      <c r="CN270" s="92"/>
      <c r="CO270" s="92"/>
      <c r="CP270" s="92"/>
      <c r="CQ270" s="92"/>
      <c r="CR270" s="92"/>
      <c r="CS270" s="92"/>
      <c r="CT270" s="92"/>
      <c r="CU270" s="92"/>
      <c r="CV270" s="92"/>
      <c r="CW270" s="92"/>
      <c r="CX270" s="92"/>
      <c r="CY270" s="92"/>
      <c r="CZ270" s="92"/>
      <c r="DA270" s="92"/>
      <c r="DB270" s="92"/>
      <c r="DC270" s="92"/>
      <c r="DD270" s="92"/>
      <c r="DE270" s="92"/>
      <c r="DF270" s="92"/>
      <c r="DG270" s="92"/>
      <c r="DH270" s="92"/>
      <c r="DI270" s="92"/>
      <c r="DJ270" s="92"/>
      <c r="DK270" s="92"/>
      <c r="DL270" s="92"/>
      <c r="DM270" s="92"/>
      <c r="DN270" s="92"/>
      <c r="DO270" s="92"/>
      <c r="DP270" s="92"/>
      <c r="DQ270" s="92"/>
      <c r="DR270" s="92"/>
      <c r="DS270" s="92"/>
      <c r="DT270" s="92"/>
      <c r="DU270" s="92"/>
      <c r="DV270" s="92"/>
      <c r="DW270" s="92"/>
      <c r="DX270" s="92"/>
      <c r="DY270" s="92"/>
      <c r="DZ270" s="92"/>
      <c r="EA270" s="92"/>
      <c r="EB270" s="92"/>
      <c r="EC270" s="92"/>
      <c r="ED270" s="92"/>
      <c r="EE270" s="92"/>
      <c r="EF270" s="92"/>
      <c r="EG270" s="92"/>
      <c r="EH270" s="92"/>
      <c r="EI270" s="92"/>
      <c r="EJ270" s="92"/>
      <c r="EK270" s="92"/>
      <c r="EL270" s="92"/>
      <c r="EM270" s="92"/>
      <c r="EN270" s="92"/>
      <c r="EO270" s="92"/>
      <c r="EP270" s="92"/>
      <c r="EQ270" s="92"/>
      <c r="ER270" s="92"/>
      <c r="ES270" s="92"/>
      <c r="ET270" s="92"/>
      <c r="EU270" s="92"/>
      <c r="EV270" s="92"/>
      <c r="EW270" s="92"/>
      <c r="EX270" s="92"/>
      <c r="EY270" s="92"/>
      <c r="EZ270" s="92"/>
      <c r="FA270" s="92"/>
      <c r="FB270" s="92"/>
      <c r="FC270" s="92"/>
      <c r="FD270" s="92"/>
      <c r="FE270" s="92"/>
      <c r="FF270" s="92"/>
      <c r="FG270" s="92"/>
      <c r="FH270" s="92"/>
    </row>
    <row r="271">
      <c r="A271" s="32" t="s">
        <v>54</v>
      </c>
      <c r="B271" s="32" t="s">
        <v>55</v>
      </c>
      <c r="C271" s="32" t="s">
        <v>12</v>
      </c>
      <c r="D271" s="97">
        <f t="shared" si="1"/>
        <v>3951.182877</v>
      </c>
      <c r="E271" s="92">
        <f>(SUBSTITUTE(Audio!E271, "RE-", "", 1))*1</f>
        <v>0</v>
      </c>
      <c r="F271" s="92">
        <f>(SUBSTITUTE(Audio!F271, "RE-", "", 1))*1</f>
        <v>735.1623302</v>
      </c>
      <c r="G271" s="92">
        <f>(SUBSTITUTE(Audio!G271, "RE-", "", 1))*1</f>
        <v>3.98228125</v>
      </c>
      <c r="H271" s="92">
        <f>(SUBSTITUTE(Audio!H271, "RE-", "", 1))*1</f>
        <v>81.82650417</v>
      </c>
      <c r="I271" s="92">
        <f>(SUBSTITUTE(Audio!I271, "RE-", "", 1))*1</f>
        <v>0.28049375</v>
      </c>
      <c r="J271" s="92">
        <f>(SUBSTITUTE(Audio!J271, "RE-", "", 1))*1</f>
        <v>612.621449</v>
      </c>
      <c r="K271" s="92">
        <f>(SUBSTITUTE(Audio!K271, "RE-", "", 1))*1</f>
        <v>5.53089375</v>
      </c>
      <c r="L271" s="92">
        <f>(SUBSTITUTE(Audio!L271, "RE-", "", 1))*1</f>
        <v>919.6564448</v>
      </c>
      <c r="M271" s="92">
        <f>(SUBSTITUTE(Audio!M271, "RE-", "", 1))*1</f>
        <v>7.508195833</v>
      </c>
      <c r="N271" s="92">
        <f>(SUBSTITUTE(Audio!N271, "RE-", "", 1))*1</f>
        <v>1108.999981</v>
      </c>
      <c r="O271" s="92">
        <f>(SUBSTITUTE(Audio!O271, "RE-", "", 1))*1</f>
        <v>13.62238125</v>
      </c>
      <c r="P271" s="92">
        <f>(SUBSTITUTE(Audio!P271, "RE-", "", 1))*1</f>
        <v>221.5768458</v>
      </c>
      <c r="Q271" s="92">
        <f>(SUBSTITUTE(Audio!Q271, "RE-", "", 1))*1</f>
        <v>34.86988958</v>
      </c>
      <c r="R271" s="92">
        <f>(SUBSTITUTE(Audio!R271, "RE-", "", 1))*1</f>
        <v>32.40435833</v>
      </c>
      <c r="S271" s="92">
        <f>(SUBSTITUTE(Audio!S271, "RE-", "", 1))*1</f>
        <v>4.9291625</v>
      </c>
      <c r="T271" s="92">
        <f>(SUBSTITUTE(Audio!T271, "RE-", "", 1))*1</f>
        <v>154.6540802</v>
      </c>
      <c r="U271" s="92">
        <f>(SUBSTITUTE(Audio!U271, "RE-", "", 1))*1</f>
        <v>9.220354167</v>
      </c>
      <c r="V271" s="92">
        <f>(SUBSTITUTE(Audio!V271, "RE-", "", 1))*1</f>
        <v>4.33723125</v>
      </c>
      <c r="W271" s="92">
        <f>(SUBSTITUTE(Audio!W271, "RE-", "", 1))*1</f>
        <v>0</v>
      </c>
      <c r="X271" s="92">
        <f>(SUBSTITUTE(Audio!X271, "RE-", "", 1))*1</f>
        <v>0</v>
      </c>
      <c r="Y271" s="92">
        <f>(SUBSTITUTE(Audio!Y271, "RE-", "", 1))*1</f>
        <v>0</v>
      </c>
      <c r="Z271" s="92">
        <f>(SUBSTITUTE(Audio!Z271, "RE-", "", 1))*1</f>
        <v>0</v>
      </c>
      <c r="AA271" s="92"/>
      <c r="AB271" s="92"/>
      <c r="AC271" s="92"/>
      <c r="AD271" s="92"/>
      <c r="AE271" s="92"/>
      <c r="AF271" s="92"/>
      <c r="AG271" s="92"/>
      <c r="AH271" s="92"/>
      <c r="AI271" s="92"/>
      <c r="AJ271" s="92"/>
      <c r="AK271" s="92"/>
      <c r="AL271" s="92"/>
      <c r="AM271" s="92"/>
      <c r="AN271" s="92"/>
      <c r="AO271" s="92"/>
      <c r="AP271" s="92"/>
      <c r="AQ271" s="92"/>
      <c r="AR271" s="92"/>
      <c r="AS271" s="92"/>
      <c r="AT271" s="92"/>
      <c r="AU271" s="92"/>
      <c r="AV271" s="92"/>
      <c r="AW271" s="92"/>
      <c r="AX271" s="92"/>
      <c r="AY271" s="92"/>
      <c r="AZ271" s="92"/>
      <c r="BA271" s="92"/>
      <c r="BB271" s="92"/>
      <c r="BC271" s="92"/>
      <c r="BD271" s="92"/>
      <c r="BE271" s="92"/>
      <c r="BF271" s="92"/>
      <c r="BG271" s="92"/>
      <c r="BH271" s="92"/>
      <c r="BI271" s="92"/>
      <c r="BJ271" s="92"/>
      <c r="BK271" s="92"/>
      <c r="BL271" s="92"/>
      <c r="BM271" s="92"/>
      <c r="BN271" s="92"/>
      <c r="BO271" s="92"/>
      <c r="BP271" s="92"/>
      <c r="BQ271" s="92"/>
      <c r="BR271" s="92"/>
      <c r="BS271" s="92"/>
      <c r="BT271" s="92"/>
      <c r="BU271" s="92"/>
      <c r="BV271" s="92"/>
      <c r="BW271" s="92"/>
      <c r="BX271" s="92"/>
      <c r="BY271" s="92"/>
      <c r="BZ271" s="92"/>
      <c r="CA271" s="92"/>
      <c r="CB271" s="92"/>
      <c r="CC271" s="92"/>
      <c r="CD271" s="92"/>
      <c r="CE271" s="92"/>
      <c r="CF271" s="92"/>
      <c r="CG271" s="92"/>
      <c r="CH271" s="92"/>
      <c r="CI271" s="92"/>
      <c r="CJ271" s="92"/>
      <c r="CK271" s="92"/>
      <c r="CL271" s="92"/>
      <c r="CM271" s="92"/>
      <c r="CN271" s="92"/>
      <c r="CO271" s="92"/>
      <c r="CP271" s="92"/>
      <c r="CQ271" s="92"/>
      <c r="CR271" s="92"/>
      <c r="CS271" s="92"/>
      <c r="CT271" s="92"/>
      <c r="CU271" s="92"/>
      <c r="CV271" s="92"/>
      <c r="CW271" s="92"/>
      <c r="CX271" s="92"/>
      <c r="CY271" s="92"/>
      <c r="CZ271" s="92"/>
      <c r="DA271" s="92"/>
      <c r="DB271" s="92"/>
      <c r="DC271" s="92"/>
      <c r="DD271" s="92"/>
      <c r="DE271" s="92"/>
      <c r="DF271" s="92"/>
      <c r="DG271" s="92"/>
      <c r="DH271" s="92"/>
      <c r="DI271" s="92"/>
      <c r="DJ271" s="92"/>
      <c r="DK271" s="92"/>
      <c r="DL271" s="92"/>
      <c r="DM271" s="92"/>
      <c r="DN271" s="92"/>
      <c r="DO271" s="92"/>
      <c r="DP271" s="92"/>
      <c r="DQ271" s="92"/>
      <c r="DR271" s="92"/>
      <c r="DS271" s="92"/>
      <c r="DT271" s="92"/>
      <c r="DU271" s="92"/>
      <c r="DV271" s="92"/>
      <c r="DW271" s="92"/>
      <c r="DX271" s="92"/>
      <c r="DY271" s="92"/>
      <c r="DZ271" s="92"/>
      <c r="EA271" s="92"/>
      <c r="EB271" s="92"/>
      <c r="EC271" s="92"/>
      <c r="ED271" s="92"/>
      <c r="EE271" s="92"/>
      <c r="EF271" s="92"/>
      <c r="EG271" s="92"/>
      <c r="EH271" s="92"/>
      <c r="EI271" s="92"/>
      <c r="EJ271" s="92"/>
      <c r="EK271" s="92"/>
      <c r="EL271" s="92"/>
      <c r="EM271" s="92"/>
      <c r="EN271" s="92"/>
      <c r="EO271" s="92"/>
      <c r="EP271" s="92"/>
      <c r="EQ271" s="92"/>
      <c r="ER271" s="92"/>
      <c r="ES271" s="92"/>
      <c r="ET271" s="92"/>
      <c r="EU271" s="92"/>
      <c r="EV271" s="92"/>
      <c r="EW271" s="92"/>
      <c r="EX271" s="92"/>
      <c r="EY271" s="92"/>
      <c r="EZ271" s="92"/>
      <c r="FA271" s="92"/>
      <c r="FB271" s="92"/>
      <c r="FC271" s="92"/>
      <c r="FD271" s="92"/>
      <c r="FE271" s="92"/>
      <c r="FF271" s="92"/>
      <c r="FG271" s="92"/>
      <c r="FH271" s="92"/>
    </row>
    <row r="272">
      <c r="A272" s="32" t="s">
        <v>54</v>
      </c>
      <c r="B272" s="32" t="s">
        <v>55</v>
      </c>
      <c r="C272" s="32" t="s">
        <v>13</v>
      </c>
      <c r="D272" s="97">
        <f t="shared" si="1"/>
        <v>3819.473633</v>
      </c>
      <c r="E272" s="92">
        <f>(SUBSTITUTE(Audio!E272, "RE-", "", 1))*1</f>
        <v>0</v>
      </c>
      <c r="F272" s="92">
        <f>(SUBSTITUTE(Audio!F272, "RE-", "", 1))*1</f>
        <v>723.827</v>
      </c>
      <c r="G272" s="92">
        <f>(SUBSTITUTE(Audio!G272, "RE-", "", 1))*1</f>
        <v>3.87135</v>
      </c>
      <c r="H272" s="92">
        <f>(SUBSTITUTE(Audio!H272, "RE-", "", 1))*1</f>
        <v>80.9774</v>
      </c>
      <c r="I272" s="92">
        <f>(SUBSTITUTE(Audio!I272, "RE-", "", 1))*1</f>
        <v>0.278883</v>
      </c>
      <c r="J272" s="92">
        <f>(SUBSTITUTE(Audio!J272, "RE-", "", 1))*1</f>
        <v>597.336</v>
      </c>
      <c r="K272" s="92">
        <f>(SUBSTITUTE(Audio!K272, "RE-", "", 1))*1</f>
        <v>5.41272</v>
      </c>
      <c r="L272" s="92">
        <f>(SUBSTITUTE(Audio!L272, "RE-", "", 1))*1</f>
        <v>883.252</v>
      </c>
      <c r="M272" s="92">
        <f>(SUBSTITUTE(Audio!M272, "RE-", "", 1))*1</f>
        <v>7.12275</v>
      </c>
      <c r="N272" s="92">
        <f>(SUBSTITUTE(Audio!N272, "RE-", "", 1))*1</f>
        <v>1063.02</v>
      </c>
      <c r="O272" s="92">
        <f>(SUBSTITUTE(Audio!O272, "RE-", "", 1))*1</f>
        <v>12.9044</v>
      </c>
      <c r="P272" s="92">
        <f>(SUBSTITUTE(Audio!P272, "RE-", "", 1))*1</f>
        <v>210.547</v>
      </c>
      <c r="Q272" s="92">
        <f>(SUBSTITUTE(Audio!Q272, "RE-", "", 1))*1</f>
        <v>33.5626</v>
      </c>
      <c r="R272" s="92">
        <f>(SUBSTITUTE(Audio!R272, "RE-", "", 1))*1</f>
        <v>31.244</v>
      </c>
      <c r="S272" s="92">
        <f>(SUBSTITUTE(Audio!S272, "RE-", "", 1))*1</f>
        <v>4.62733</v>
      </c>
      <c r="T272" s="92">
        <f>(SUBSTITUTE(Audio!T272, "RE-", "", 1))*1</f>
        <v>148.581</v>
      </c>
      <c r="U272" s="92">
        <f>(SUBSTITUTE(Audio!U272, "RE-", "", 1))*1</f>
        <v>8.77878</v>
      </c>
      <c r="V272" s="92">
        <f>(SUBSTITUTE(Audio!V272, "RE-", "", 1))*1</f>
        <v>4.13042</v>
      </c>
      <c r="W272" s="92">
        <f>(SUBSTITUTE(Audio!W272, "RE-", "", 1))*1</f>
        <v>0</v>
      </c>
      <c r="X272" s="92">
        <f>(SUBSTITUTE(Audio!X272, "RE-", "", 1))*1</f>
        <v>0</v>
      </c>
      <c r="Y272" s="92">
        <f>(SUBSTITUTE(Audio!Y272, "RE-", "", 1))*1</f>
        <v>0</v>
      </c>
      <c r="Z272" s="92">
        <f>(SUBSTITUTE(Audio!Z272, "RE-", "", 1))*1</f>
        <v>0</v>
      </c>
      <c r="AA272" s="92"/>
      <c r="AB272" s="92"/>
      <c r="AC272" s="92"/>
      <c r="AD272" s="92"/>
      <c r="AE272" s="92"/>
      <c r="AF272" s="92"/>
      <c r="AG272" s="92"/>
      <c r="AH272" s="92"/>
      <c r="AI272" s="92"/>
      <c r="AJ272" s="92"/>
      <c r="AK272" s="92"/>
      <c r="AL272" s="92"/>
      <c r="AM272" s="92"/>
      <c r="AN272" s="92"/>
      <c r="AO272" s="92"/>
      <c r="AP272" s="92"/>
      <c r="AQ272" s="92"/>
      <c r="AR272" s="92"/>
      <c r="AS272" s="92"/>
      <c r="AT272" s="92"/>
      <c r="AU272" s="92"/>
      <c r="AV272" s="92"/>
      <c r="AW272" s="92"/>
      <c r="AX272" s="92"/>
      <c r="AY272" s="92"/>
      <c r="AZ272" s="92"/>
      <c r="BA272" s="92"/>
      <c r="BB272" s="92"/>
      <c r="BC272" s="92"/>
      <c r="BD272" s="92"/>
      <c r="BE272" s="92"/>
      <c r="BF272" s="92"/>
      <c r="BG272" s="92"/>
      <c r="BH272" s="92"/>
      <c r="BI272" s="92"/>
      <c r="BJ272" s="92"/>
      <c r="BK272" s="92"/>
      <c r="BL272" s="92"/>
      <c r="BM272" s="92"/>
      <c r="BN272" s="92"/>
      <c r="BO272" s="92"/>
      <c r="BP272" s="92"/>
      <c r="BQ272" s="92"/>
      <c r="BR272" s="92"/>
      <c r="BS272" s="92"/>
      <c r="BT272" s="92"/>
      <c r="BU272" s="92"/>
      <c r="BV272" s="92"/>
      <c r="BW272" s="92"/>
      <c r="BX272" s="92"/>
      <c r="BY272" s="92"/>
      <c r="BZ272" s="92"/>
      <c r="CA272" s="92"/>
      <c r="CB272" s="92"/>
      <c r="CC272" s="92"/>
      <c r="CD272" s="92"/>
      <c r="CE272" s="92"/>
      <c r="CF272" s="92"/>
      <c r="CG272" s="92"/>
      <c r="CH272" s="92"/>
      <c r="CI272" s="92"/>
      <c r="CJ272" s="92"/>
      <c r="CK272" s="92"/>
      <c r="CL272" s="92"/>
      <c r="CM272" s="92"/>
      <c r="CN272" s="92"/>
      <c r="CO272" s="92"/>
      <c r="CP272" s="92"/>
      <c r="CQ272" s="92"/>
      <c r="CR272" s="92"/>
      <c r="CS272" s="92"/>
      <c r="CT272" s="92"/>
      <c r="CU272" s="92"/>
      <c r="CV272" s="92"/>
      <c r="CW272" s="92"/>
      <c r="CX272" s="92"/>
      <c r="CY272" s="92"/>
      <c r="CZ272" s="92"/>
      <c r="DA272" s="92"/>
      <c r="DB272" s="92"/>
      <c r="DC272" s="92"/>
      <c r="DD272" s="92"/>
      <c r="DE272" s="92"/>
      <c r="DF272" s="92"/>
      <c r="DG272" s="92"/>
      <c r="DH272" s="92"/>
      <c r="DI272" s="92"/>
      <c r="DJ272" s="92"/>
      <c r="DK272" s="92"/>
      <c r="DL272" s="92"/>
      <c r="DM272" s="92"/>
      <c r="DN272" s="92"/>
      <c r="DO272" s="92"/>
      <c r="DP272" s="92"/>
      <c r="DQ272" s="92"/>
      <c r="DR272" s="92"/>
      <c r="DS272" s="92"/>
      <c r="DT272" s="92"/>
      <c r="DU272" s="92"/>
      <c r="DV272" s="92"/>
      <c r="DW272" s="92"/>
      <c r="DX272" s="92"/>
      <c r="DY272" s="92"/>
      <c r="DZ272" s="92"/>
      <c r="EA272" s="92"/>
      <c r="EB272" s="92"/>
      <c r="EC272" s="92"/>
      <c r="ED272" s="92"/>
      <c r="EE272" s="92"/>
      <c r="EF272" s="92"/>
      <c r="EG272" s="92"/>
      <c r="EH272" s="92"/>
      <c r="EI272" s="92"/>
      <c r="EJ272" s="92"/>
      <c r="EK272" s="92"/>
      <c r="EL272" s="92"/>
      <c r="EM272" s="92"/>
      <c r="EN272" s="92"/>
      <c r="EO272" s="92"/>
      <c r="EP272" s="92"/>
      <c r="EQ272" s="92"/>
      <c r="ER272" s="92"/>
      <c r="ES272" s="92"/>
      <c r="ET272" s="92"/>
      <c r="EU272" s="92"/>
      <c r="EV272" s="92"/>
      <c r="EW272" s="92"/>
      <c r="EX272" s="92"/>
      <c r="EY272" s="92"/>
      <c r="EZ272" s="92"/>
      <c r="FA272" s="92"/>
      <c r="FB272" s="92"/>
      <c r="FC272" s="92"/>
      <c r="FD272" s="92"/>
      <c r="FE272" s="92"/>
      <c r="FF272" s="92"/>
      <c r="FG272" s="92"/>
      <c r="FH272" s="92"/>
    </row>
    <row r="273">
      <c r="A273" s="32" t="s">
        <v>54</v>
      </c>
      <c r="B273" s="32" t="s">
        <v>55</v>
      </c>
      <c r="C273" s="32" t="s">
        <v>14</v>
      </c>
      <c r="D273" s="97">
        <f t="shared" si="1"/>
        <v>3376.210983</v>
      </c>
      <c r="E273" s="92">
        <f>(SUBSTITUTE(Audio!E273, "RE-", "", 1))*1</f>
        <v>0</v>
      </c>
      <c r="F273" s="92">
        <f>(SUBSTITUTE(Audio!F273, "RE-", "", 1))*1</f>
        <v>643.063</v>
      </c>
      <c r="G273" s="92">
        <f>(SUBSTITUTE(Audio!G273, "RE-", "", 1))*1</f>
        <v>3.75617</v>
      </c>
      <c r="H273" s="92">
        <f>(SUBSTITUTE(Audio!H273, "RE-", "", 1))*1</f>
        <v>74.7093</v>
      </c>
      <c r="I273" s="92">
        <f>(SUBSTITUTE(Audio!I273, "RE-", "", 1))*1</f>
        <v>0.278883</v>
      </c>
      <c r="J273" s="92">
        <f>(SUBSTITUTE(Audio!J273, "RE-", "", 1))*1</f>
        <v>554.923</v>
      </c>
      <c r="K273" s="92">
        <f>(SUBSTITUTE(Audio!K273, "RE-", "", 1))*1</f>
        <v>4.97597</v>
      </c>
      <c r="L273" s="92">
        <f>(SUBSTITUTE(Audio!L273, "RE-", "", 1))*1</f>
        <v>773.235</v>
      </c>
      <c r="M273" s="92">
        <f>(SUBSTITUTE(Audio!M273, "RE-", "", 1))*1</f>
        <v>6.82793</v>
      </c>
      <c r="N273" s="92">
        <f>(SUBSTITUTE(Audio!N273, "RE-", "", 1))*1</f>
        <v>933.785</v>
      </c>
      <c r="O273" s="92">
        <f>(SUBSTITUTE(Audio!O273, "RE-", "", 1))*1</f>
        <v>11.0015</v>
      </c>
      <c r="P273" s="92">
        <f>(SUBSTITUTE(Audio!P273, "RE-", "", 1))*1</f>
        <v>179.966</v>
      </c>
      <c r="Q273" s="92">
        <f>(SUBSTITUTE(Audio!Q273, "RE-", "", 1))*1</f>
        <v>26.9661</v>
      </c>
      <c r="R273" s="92">
        <f>(SUBSTITUTE(Audio!R273, "RE-", "", 1))*1</f>
        <v>26.4363</v>
      </c>
      <c r="S273" s="92">
        <f>(SUBSTITUTE(Audio!S273, "RE-", "", 1))*1</f>
        <v>4.22348</v>
      </c>
      <c r="T273" s="92">
        <f>(SUBSTITUTE(Audio!T273, "RE-", "", 1))*1</f>
        <v>121.239</v>
      </c>
      <c r="U273" s="92">
        <f>(SUBSTITUTE(Audio!U273, "RE-", "", 1))*1</f>
        <v>7.08185</v>
      </c>
      <c r="V273" s="92">
        <f>(SUBSTITUTE(Audio!V273, "RE-", "", 1))*1</f>
        <v>3.7425</v>
      </c>
      <c r="W273" s="92">
        <f>(SUBSTITUTE(Audio!W273, "RE-", "", 1))*1</f>
        <v>0</v>
      </c>
      <c r="X273" s="92">
        <f>(SUBSTITUTE(Audio!X273, "RE-", "", 1))*1</f>
        <v>0</v>
      </c>
      <c r="Y273" s="92">
        <f>(SUBSTITUTE(Audio!Y273, "RE-", "", 1))*1</f>
        <v>0</v>
      </c>
      <c r="Z273" s="92">
        <f>(SUBSTITUTE(Audio!Z273, "RE-", "", 1))*1</f>
        <v>0</v>
      </c>
      <c r="AA273" s="92"/>
      <c r="AB273" s="92"/>
      <c r="AC273" s="92"/>
      <c r="AD273" s="92"/>
      <c r="AE273" s="92"/>
      <c r="AF273" s="92"/>
      <c r="AG273" s="92"/>
      <c r="AH273" s="92"/>
      <c r="AI273" s="92"/>
      <c r="AJ273" s="92"/>
      <c r="AK273" s="92"/>
      <c r="AL273" s="92"/>
      <c r="AM273" s="92"/>
      <c r="AN273" s="92"/>
      <c r="AO273" s="92"/>
      <c r="AP273" s="92"/>
      <c r="AQ273" s="92"/>
      <c r="AR273" s="92"/>
      <c r="AS273" s="92"/>
      <c r="AT273" s="92"/>
      <c r="AU273" s="92"/>
      <c r="AV273" s="92"/>
      <c r="AW273" s="92"/>
      <c r="AX273" s="92"/>
      <c r="AY273" s="92"/>
      <c r="AZ273" s="92"/>
      <c r="BA273" s="92"/>
      <c r="BB273" s="92"/>
      <c r="BC273" s="92"/>
      <c r="BD273" s="92"/>
      <c r="BE273" s="92"/>
      <c r="BF273" s="92"/>
      <c r="BG273" s="92"/>
      <c r="BH273" s="92"/>
      <c r="BI273" s="92"/>
      <c r="BJ273" s="92"/>
      <c r="BK273" s="92"/>
      <c r="BL273" s="92"/>
      <c r="BM273" s="92"/>
      <c r="BN273" s="92"/>
      <c r="BO273" s="92"/>
      <c r="BP273" s="92"/>
      <c r="BQ273" s="92"/>
      <c r="BR273" s="92"/>
      <c r="BS273" s="92"/>
      <c r="BT273" s="92"/>
      <c r="BU273" s="92"/>
      <c r="BV273" s="92"/>
      <c r="BW273" s="92"/>
      <c r="BX273" s="92"/>
      <c r="BY273" s="92"/>
      <c r="BZ273" s="92"/>
      <c r="CA273" s="92"/>
      <c r="CB273" s="92"/>
      <c r="CC273" s="92"/>
      <c r="CD273" s="92"/>
      <c r="CE273" s="92"/>
      <c r="CF273" s="92"/>
      <c r="CG273" s="92"/>
      <c r="CH273" s="92"/>
      <c r="CI273" s="92"/>
      <c r="CJ273" s="92"/>
      <c r="CK273" s="92"/>
      <c r="CL273" s="92"/>
      <c r="CM273" s="92"/>
      <c r="CN273" s="92"/>
      <c r="CO273" s="92"/>
      <c r="CP273" s="92"/>
      <c r="CQ273" s="92"/>
      <c r="CR273" s="92"/>
      <c r="CS273" s="92"/>
      <c r="CT273" s="92"/>
      <c r="CU273" s="92"/>
      <c r="CV273" s="92"/>
      <c r="CW273" s="92"/>
      <c r="CX273" s="92"/>
      <c r="CY273" s="92"/>
      <c r="CZ273" s="92"/>
      <c r="DA273" s="92"/>
      <c r="DB273" s="92"/>
      <c r="DC273" s="92"/>
      <c r="DD273" s="92"/>
      <c r="DE273" s="92"/>
      <c r="DF273" s="92"/>
      <c r="DG273" s="92"/>
      <c r="DH273" s="92"/>
      <c r="DI273" s="92"/>
      <c r="DJ273" s="92"/>
      <c r="DK273" s="92"/>
      <c r="DL273" s="92"/>
      <c r="DM273" s="92"/>
      <c r="DN273" s="92"/>
      <c r="DO273" s="92"/>
      <c r="DP273" s="92"/>
      <c r="DQ273" s="92"/>
      <c r="DR273" s="92"/>
      <c r="DS273" s="92"/>
      <c r="DT273" s="92"/>
      <c r="DU273" s="92"/>
      <c r="DV273" s="92"/>
      <c r="DW273" s="92"/>
      <c r="DX273" s="92"/>
      <c r="DY273" s="92"/>
      <c r="DZ273" s="92"/>
      <c r="EA273" s="92"/>
      <c r="EB273" s="92"/>
      <c r="EC273" s="92"/>
      <c r="ED273" s="92"/>
      <c r="EE273" s="92"/>
      <c r="EF273" s="92"/>
      <c r="EG273" s="92"/>
      <c r="EH273" s="92"/>
      <c r="EI273" s="92"/>
      <c r="EJ273" s="92"/>
      <c r="EK273" s="92"/>
      <c r="EL273" s="92"/>
      <c r="EM273" s="92"/>
      <c r="EN273" s="92"/>
      <c r="EO273" s="92"/>
      <c r="EP273" s="92"/>
      <c r="EQ273" s="92"/>
      <c r="ER273" s="92"/>
      <c r="ES273" s="92"/>
      <c r="ET273" s="92"/>
      <c r="EU273" s="92"/>
      <c r="EV273" s="92"/>
      <c r="EW273" s="92"/>
      <c r="EX273" s="92"/>
      <c r="EY273" s="92"/>
      <c r="EZ273" s="92"/>
      <c r="FA273" s="92"/>
      <c r="FB273" s="92"/>
      <c r="FC273" s="92"/>
      <c r="FD273" s="92"/>
      <c r="FE273" s="92"/>
      <c r="FF273" s="92"/>
      <c r="FG273" s="92"/>
      <c r="FH273" s="92"/>
    </row>
    <row r="274">
      <c r="A274" s="27" t="s">
        <v>54</v>
      </c>
      <c r="B274" s="27" t="s">
        <v>55</v>
      </c>
      <c r="C274" s="27" t="s">
        <v>15</v>
      </c>
      <c r="D274" s="98">
        <f t="shared" si="1"/>
        <v>3816.175633</v>
      </c>
      <c r="E274" s="92">
        <f>(SUBSTITUTE(Audio!E274, "RE-", "", 1))*1</f>
        <v>0</v>
      </c>
      <c r="F274" s="92">
        <f>(SUBSTITUTE(Audio!F274, "RE-", "", 1))*1</f>
        <v>720.647</v>
      </c>
      <c r="G274" s="92">
        <f>(SUBSTITUTE(Audio!G274, "RE-", "", 1))*1</f>
        <v>3.87135</v>
      </c>
      <c r="H274" s="92">
        <f>(SUBSTITUTE(Audio!H274, "RE-", "", 1))*1</f>
        <v>80.9774</v>
      </c>
      <c r="I274" s="92">
        <f>(SUBSTITUTE(Audio!I274, "RE-", "", 1))*1</f>
        <v>0.278883</v>
      </c>
      <c r="J274" s="92">
        <f>(SUBSTITUTE(Audio!J274, "RE-", "", 1))*1</f>
        <v>597.218</v>
      </c>
      <c r="K274" s="92">
        <f>(SUBSTITUTE(Audio!K274, "RE-", "", 1))*1</f>
        <v>5.41272</v>
      </c>
      <c r="L274" s="92">
        <f>(SUBSTITUTE(Audio!L274, "RE-", "", 1))*1</f>
        <v>883.252</v>
      </c>
      <c r="M274" s="92">
        <f>(SUBSTITUTE(Audio!M274, "RE-", "", 1))*1</f>
        <v>7.12275</v>
      </c>
      <c r="N274" s="92">
        <f>(SUBSTITUTE(Audio!N274, "RE-", "", 1))*1</f>
        <v>1063.02</v>
      </c>
      <c r="O274" s="92">
        <f>(SUBSTITUTE(Audio!O274, "RE-", "", 1))*1</f>
        <v>12.9044</v>
      </c>
      <c r="P274" s="92">
        <f>(SUBSTITUTE(Audio!P274, "RE-", "", 1))*1</f>
        <v>210.547</v>
      </c>
      <c r="Q274" s="92">
        <f>(SUBSTITUTE(Audio!Q274, "RE-", "", 1))*1</f>
        <v>33.5626</v>
      </c>
      <c r="R274" s="92">
        <f>(SUBSTITUTE(Audio!R274, "RE-", "", 1))*1</f>
        <v>31.244</v>
      </c>
      <c r="S274" s="92">
        <f>(SUBSTITUTE(Audio!S274, "RE-", "", 1))*1</f>
        <v>4.62733</v>
      </c>
      <c r="T274" s="92">
        <f>(SUBSTITUTE(Audio!T274, "RE-", "", 1))*1</f>
        <v>148.581</v>
      </c>
      <c r="U274" s="92">
        <f>(SUBSTITUTE(Audio!U274, "RE-", "", 1))*1</f>
        <v>8.77878</v>
      </c>
      <c r="V274" s="92">
        <f>(SUBSTITUTE(Audio!V274, "RE-", "", 1))*1</f>
        <v>4.13042</v>
      </c>
      <c r="W274" s="92">
        <f>(SUBSTITUTE(Audio!W274, "RE-", "", 1))*1</f>
        <v>0</v>
      </c>
      <c r="X274" s="92">
        <f>(SUBSTITUTE(Audio!X274, "RE-", "", 1))*1</f>
        <v>0</v>
      </c>
      <c r="Y274" s="92">
        <f>(SUBSTITUTE(Audio!Y274, "RE-", "", 1))*1</f>
        <v>0</v>
      </c>
      <c r="Z274" s="92">
        <f>(SUBSTITUTE(Audio!Z274, "RE-", "", 1))*1</f>
        <v>0</v>
      </c>
      <c r="AA274" s="92"/>
      <c r="AB274" s="92"/>
      <c r="AC274" s="92"/>
      <c r="AD274" s="92"/>
      <c r="AE274" s="92"/>
      <c r="AF274" s="92"/>
      <c r="AG274" s="92"/>
      <c r="AH274" s="92"/>
      <c r="AI274" s="92"/>
      <c r="AJ274" s="92"/>
      <c r="AK274" s="92"/>
      <c r="AL274" s="92"/>
      <c r="AM274" s="92"/>
      <c r="AN274" s="92"/>
      <c r="AO274" s="92"/>
      <c r="AP274" s="92"/>
      <c r="AQ274" s="92"/>
      <c r="AR274" s="92"/>
      <c r="AS274" s="92"/>
      <c r="AT274" s="92"/>
      <c r="AU274" s="92"/>
      <c r="AV274" s="92"/>
      <c r="AW274" s="92"/>
      <c r="AX274" s="92"/>
      <c r="AY274" s="92"/>
      <c r="AZ274" s="92"/>
      <c r="BA274" s="92"/>
      <c r="BB274" s="92"/>
      <c r="BC274" s="92"/>
      <c r="BD274" s="92"/>
      <c r="BE274" s="92"/>
      <c r="BF274" s="92"/>
      <c r="BG274" s="92"/>
      <c r="BH274" s="92"/>
      <c r="BI274" s="92"/>
      <c r="BJ274" s="92"/>
      <c r="BK274" s="92"/>
      <c r="BL274" s="92"/>
      <c r="BM274" s="92"/>
      <c r="BN274" s="92"/>
      <c r="BO274" s="92"/>
      <c r="BP274" s="92"/>
      <c r="BQ274" s="92"/>
      <c r="BR274" s="92"/>
      <c r="BS274" s="92"/>
      <c r="BT274" s="92"/>
      <c r="BU274" s="92"/>
      <c r="BV274" s="92"/>
      <c r="BW274" s="92"/>
      <c r="BX274" s="92"/>
      <c r="BY274" s="92"/>
      <c r="BZ274" s="92"/>
      <c r="CA274" s="92"/>
      <c r="CB274" s="92"/>
      <c r="CC274" s="92"/>
      <c r="CD274" s="92"/>
      <c r="CE274" s="92"/>
      <c r="CF274" s="92"/>
      <c r="CG274" s="92"/>
      <c r="CH274" s="92"/>
      <c r="CI274" s="92"/>
      <c r="CJ274" s="92"/>
      <c r="CK274" s="92"/>
      <c r="CL274" s="92"/>
      <c r="CM274" s="92"/>
      <c r="CN274" s="92"/>
      <c r="CO274" s="92"/>
      <c r="CP274" s="92"/>
      <c r="CQ274" s="92"/>
      <c r="CR274" s="92"/>
      <c r="CS274" s="92"/>
      <c r="CT274" s="92"/>
      <c r="CU274" s="92"/>
      <c r="CV274" s="92"/>
      <c r="CW274" s="92"/>
      <c r="CX274" s="92"/>
      <c r="CY274" s="92"/>
      <c r="CZ274" s="92"/>
      <c r="DA274" s="92"/>
      <c r="DB274" s="92"/>
      <c r="DC274" s="92"/>
      <c r="DD274" s="92"/>
      <c r="DE274" s="92"/>
      <c r="DF274" s="92"/>
      <c r="DG274" s="92"/>
      <c r="DH274" s="92"/>
      <c r="DI274" s="92"/>
      <c r="DJ274" s="92"/>
      <c r="DK274" s="92"/>
      <c r="DL274" s="92"/>
      <c r="DM274" s="92"/>
      <c r="DN274" s="92"/>
      <c r="DO274" s="92"/>
      <c r="DP274" s="92"/>
      <c r="DQ274" s="92"/>
      <c r="DR274" s="92"/>
      <c r="DS274" s="92"/>
      <c r="DT274" s="92"/>
      <c r="DU274" s="92"/>
      <c r="DV274" s="92"/>
      <c r="DW274" s="92"/>
      <c r="DX274" s="92"/>
      <c r="DY274" s="92"/>
      <c r="DZ274" s="92"/>
      <c r="EA274" s="92"/>
      <c r="EB274" s="92"/>
      <c r="EC274" s="92"/>
      <c r="ED274" s="92"/>
      <c r="EE274" s="92"/>
      <c r="EF274" s="92"/>
      <c r="EG274" s="92"/>
      <c r="EH274" s="92"/>
      <c r="EI274" s="92"/>
      <c r="EJ274" s="92"/>
      <c r="EK274" s="92"/>
      <c r="EL274" s="92"/>
      <c r="EM274" s="92"/>
      <c r="EN274" s="92"/>
      <c r="EO274" s="92"/>
      <c r="EP274" s="92"/>
      <c r="EQ274" s="92"/>
      <c r="ER274" s="92"/>
      <c r="ES274" s="92"/>
      <c r="ET274" s="92"/>
      <c r="EU274" s="92"/>
      <c r="EV274" s="92"/>
      <c r="EW274" s="92"/>
      <c r="EX274" s="92"/>
      <c r="EY274" s="92"/>
      <c r="EZ274" s="92"/>
      <c r="FA274" s="92"/>
      <c r="FB274" s="92"/>
      <c r="FC274" s="92"/>
      <c r="FD274" s="92"/>
      <c r="FE274" s="92"/>
      <c r="FF274" s="92"/>
      <c r="FG274" s="92"/>
      <c r="FH274" s="92"/>
    </row>
    <row r="275">
      <c r="A275" s="30" t="s">
        <v>54</v>
      </c>
      <c r="B275" s="30" t="s">
        <v>56</v>
      </c>
      <c r="C275" s="31" t="str">
        <f>HYPERLINK("https://docs.google.com/spreadsheets/d/18Tvr1DEtm-pw8DGuWk87CNSUxb-amf8Q/edit?usp=share_link&amp;ouid=106501987799020758802&amp;rtpof=true&amp;sd=true", "Raw Delivered")</f>
        <v>Raw Delivered</v>
      </c>
      <c r="D275" s="96">
        <f t="shared" si="1"/>
        <v>6125.160661</v>
      </c>
      <c r="E275" s="92">
        <f>(SUBSTITUTE(Audio!E275, "RE-", "", 1))*1</f>
        <v>0</v>
      </c>
      <c r="F275" s="92">
        <f>(SUBSTITUTE(Audio!F275, "RE-", "", 1))*1</f>
        <v>2380.741581</v>
      </c>
      <c r="G275" s="92">
        <f>(SUBSTITUTE(Audio!G275, "RE-", "", 1))*1</f>
        <v>0</v>
      </c>
      <c r="H275" s="92">
        <f>(SUBSTITUTE(Audio!H275, "RE-", "", 1))*1</f>
        <v>147.0132375</v>
      </c>
      <c r="I275" s="92">
        <f>(SUBSTITUTE(Audio!I275, "RE-", "", 1))*1</f>
        <v>0</v>
      </c>
      <c r="J275" s="92">
        <f>(SUBSTITUTE(Audio!J275, "RE-", "", 1))*1</f>
        <v>239.0187208</v>
      </c>
      <c r="K275" s="92">
        <f>(SUBSTITUTE(Audio!K275, "RE-", "", 1))*1</f>
        <v>0</v>
      </c>
      <c r="L275" s="92">
        <f>(SUBSTITUTE(Audio!L275, "RE-", "", 1))*1</f>
        <v>1155.29826</v>
      </c>
      <c r="M275" s="92">
        <f>(SUBSTITUTE(Audio!M275, "RE-", "", 1))*1</f>
        <v>0</v>
      </c>
      <c r="N275" s="92">
        <f>(SUBSTITUTE(Audio!N275, "RE-", "", 1))*1</f>
        <v>1722.735136</v>
      </c>
      <c r="O275" s="92">
        <f>(SUBSTITUTE(Audio!O275, "RE-", "", 1))*1</f>
        <v>0</v>
      </c>
      <c r="P275" s="92">
        <f>(SUBSTITUTE(Audio!P275, "RE-", "", 1))*1</f>
        <v>206.456925</v>
      </c>
      <c r="Q275" s="92">
        <f>(SUBSTITUTE(Audio!Q275, "RE-", "", 1))*1</f>
        <v>0</v>
      </c>
      <c r="R275" s="92">
        <f>(SUBSTITUTE(Audio!R275, "RE-", "", 1))*1</f>
        <v>57.48326563</v>
      </c>
      <c r="S275" s="92">
        <f>(SUBSTITUTE(Audio!S275, "RE-", "", 1))*1</f>
        <v>0</v>
      </c>
      <c r="T275" s="92">
        <f>(SUBSTITUTE(Audio!T275, "RE-", "", 1))*1</f>
        <v>216.4135354</v>
      </c>
      <c r="U275" s="92">
        <f>(SUBSTITUTE(Audio!U275, "RE-", "", 1))*1</f>
        <v>0</v>
      </c>
      <c r="V275" s="92">
        <f>(SUBSTITUTE(Audio!V275, "RE-", "", 1))*1</f>
        <v>0</v>
      </c>
      <c r="W275" s="92">
        <f>(SUBSTITUTE(Audio!W275, "RE-", "", 1))*1</f>
        <v>0</v>
      </c>
      <c r="X275" s="92">
        <f>(SUBSTITUTE(Audio!X275, "RE-", "", 1))*1</f>
        <v>0</v>
      </c>
      <c r="Y275" s="92">
        <f>(SUBSTITUTE(Audio!Y275, "RE-", "", 1))*1</f>
        <v>0</v>
      </c>
      <c r="Z275" s="92">
        <f>(SUBSTITUTE(Audio!Z275, "RE-", "", 1))*1</f>
        <v>0</v>
      </c>
      <c r="AA275" s="92"/>
      <c r="AB275" s="92"/>
      <c r="AC275" s="92"/>
      <c r="AD275" s="92"/>
      <c r="AE275" s="92"/>
      <c r="AF275" s="92"/>
      <c r="AG275" s="92"/>
      <c r="AH275" s="92"/>
      <c r="AI275" s="92"/>
      <c r="AJ275" s="92"/>
      <c r="AK275" s="92"/>
      <c r="AL275" s="92"/>
      <c r="AM275" s="92"/>
      <c r="AN275" s="92"/>
      <c r="AO275" s="92"/>
      <c r="AP275" s="92"/>
      <c r="AQ275" s="92"/>
      <c r="AR275" s="92"/>
      <c r="AS275" s="92"/>
      <c r="AT275" s="92"/>
      <c r="AU275" s="92"/>
      <c r="AV275" s="92"/>
      <c r="AW275" s="92"/>
      <c r="AX275" s="92"/>
      <c r="AY275" s="92"/>
      <c r="AZ275" s="92"/>
      <c r="BA275" s="92"/>
      <c r="BB275" s="92"/>
      <c r="BC275" s="92"/>
      <c r="BD275" s="92"/>
      <c r="BE275" s="92"/>
      <c r="BF275" s="92"/>
      <c r="BG275" s="92"/>
      <c r="BH275" s="92"/>
      <c r="BI275" s="92"/>
      <c r="BJ275" s="92"/>
      <c r="BK275" s="92"/>
      <c r="BL275" s="92"/>
      <c r="BM275" s="92"/>
      <c r="BN275" s="92"/>
      <c r="BO275" s="92"/>
      <c r="BP275" s="92"/>
      <c r="BQ275" s="92"/>
      <c r="BR275" s="92"/>
      <c r="BS275" s="92"/>
      <c r="BT275" s="92"/>
      <c r="BU275" s="92"/>
      <c r="BV275" s="92"/>
      <c r="BW275" s="92"/>
      <c r="BX275" s="92"/>
      <c r="BY275" s="92"/>
      <c r="BZ275" s="92"/>
      <c r="CA275" s="92"/>
      <c r="CB275" s="92"/>
      <c r="CC275" s="92"/>
      <c r="CD275" s="92"/>
      <c r="CE275" s="92"/>
      <c r="CF275" s="92"/>
      <c r="CG275" s="92"/>
      <c r="CH275" s="92"/>
      <c r="CI275" s="92"/>
      <c r="CJ275" s="92"/>
      <c r="CK275" s="92"/>
      <c r="CL275" s="92"/>
      <c r="CM275" s="92"/>
      <c r="CN275" s="92"/>
      <c r="CO275" s="92"/>
      <c r="CP275" s="92"/>
      <c r="CQ275" s="92"/>
      <c r="CR275" s="92"/>
      <c r="CS275" s="92"/>
      <c r="CT275" s="92"/>
      <c r="CU275" s="92"/>
      <c r="CV275" s="92"/>
      <c r="CW275" s="92"/>
      <c r="CX275" s="92"/>
      <c r="CY275" s="92"/>
      <c r="CZ275" s="92"/>
      <c r="DA275" s="92"/>
      <c r="DB275" s="92"/>
      <c r="DC275" s="92"/>
      <c r="DD275" s="92"/>
      <c r="DE275" s="92"/>
      <c r="DF275" s="92"/>
      <c r="DG275" s="92"/>
      <c r="DH275" s="92"/>
      <c r="DI275" s="92"/>
      <c r="DJ275" s="92"/>
      <c r="DK275" s="92"/>
      <c r="DL275" s="92"/>
      <c r="DM275" s="92"/>
      <c r="DN275" s="92"/>
      <c r="DO275" s="92"/>
      <c r="DP275" s="92"/>
      <c r="DQ275" s="92"/>
      <c r="DR275" s="92"/>
      <c r="DS275" s="92"/>
      <c r="DT275" s="92"/>
      <c r="DU275" s="92"/>
      <c r="DV275" s="92"/>
      <c r="DW275" s="92"/>
      <c r="DX275" s="92"/>
      <c r="DY275" s="92"/>
      <c r="DZ275" s="92"/>
      <c r="EA275" s="92"/>
      <c r="EB275" s="92"/>
      <c r="EC275" s="92"/>
      <c r="ED275" s="92"/>
      <c r="EE275" s="92"/>
      <c r="EF275" s="92"/>
      <c r="EG275" s="92"/>
      <c r="EH275" s="92"/>
      <c r="EI275" s="92"/>
      <c r="EJ275" s="92"/>
      <c r="EK275" s="92"/>
      <c r="EL275" s="92"/>
      <c r="EM275" s="92"/>
      <c r="EN275" s="92"/>
      <c r="EO275" s="92"/>
      <c r="EP275" s="92"/>
      <c r="EQ275" s="92"/>
      <c r="ER275" s="92"/>
      <c r="ES275" s="92"/>
      <c r="ET275" s="92"/>
      <c r="EU275" s="92"/>
      <c r="EV275" s="92"/>
      <c r="EW275" s="92"/>
      <c r="EX275" s="92"/>
      <c r="EY275" s="92"/>
      <c r="EZ275" s="92"/>
      <c r="FA275" s="92"/>
      <c r="FB275" s="92"/>
      <c r="FC275" s="92"/>
      <c r="FD275" s="92"/>
      <c r="FE275" s="92"/>
      <c r="FF275" s="92"/>
      <c r="FG275" s="92"/>
      <c r="FH275" s="92"/>
    </row>
    <row r="276">
      <c r="A276" s="32" t="s">
        <v>54</v>
      </c>
      <c r="B276" s="32" t="s">
        <v>56</v>
      </c>
      <c r="C276" s="32" t="s">
        <v>9</v>
      </c>
      <c r="D276" s="97">
        <f t="shared" si="1"/>
        <v>6125.160662</v>
      </c>
      <c r="E276" s="92">
        <f>(SUBSTITUTE(Audio!E276, "RE-", "", 1))*1</f>
        <v>0</v>
      </c>
      <c r="F276" s="92">
        <f>(SUBSTITUTE(Audio!F276, "RE-", "", 1))*1</f>
        <v>2380.741581</v>
      </c>
      <c r="G276" s="92">
        <f>(SUBSTITUTE(Audio!G276, "RE-", "", 1))*1</f>
        <v>0</v>
      </c>
      <c r="H276" s="92">
        <f>(SUBSTITUTE(Audio!H276, "RE-", "", 1))*1</f>
        <v>147.0132375</v>
      </c>
      <c r="I276" s="92">
        <f>(SUBSTITUTE(Audio!I276, "RE-", "", 1))*1</f>
        <v>0</v>
      </c>
      <c r="J276" s="92">
        <f>(SUBSTITUTE(Audio!J276, "RE-", "", 1))*1</f>
        <v>239.0187208</v>
      </c>
      <c r="K276" s="92">
        <f>(SUBSTITUTE(Audio!K276, "RE-", "", 1))*1</f>
        <v>0</v>
      </c>
      <c r="L276" s="92">
        <f>(SUBSTITUTE(Audio!L276, "RE-", "", 1))*1</f>
        <v>1155.29826</v>
      </c>
      <c r="M276" s="92">
        <f>(SUBSTITUTE(Audio!M276, "RE-", "", 1))*1</f>
        <v>0</v>
      </c>
      <c r="N276" s="92">
        <f>(SUBSTITUTE(Audio!N276, "RE-", "", 1))*1</f>
        <v>1722.735136</v>
      </c>
      <c r="O276" s="92">
        <f>(SUBSTITUTE(Audio!O276, "RE-", "", 1))*1</f>
        <v>0</v>
      </c>
      <c r="P276" s="92">
        <f>(SUBSTITUTE(Audio!P276, "RE-", "", 1))*1</f>
        <v>206.456925</v>
      </c>
      <c r="Q276" s="92">
        <f>(SUBSTITUTE(Audio!Q276, "RE-", "", 1))*1</f>
        <v>0</v>
      </c>
      <c r="R276" s="92">
        <f>(SUBSTITUTE(Audio!R276, "RE-", "", 1))*1</f>
        <v>57.48326563</v>
      </c>
      <c r="S276" s="92">
        <f>(SUBSTITUTE(Audio!S276, "RE-", "", 1))*1</f>
        <v>0</v>
      </c>
      <c r="T276" s="92">
        <f>(SUBSTITUTE(Audio!T276, "RE-", "", 1))*1</f>
        <v>216.4135354</v>
      </c>
      <c r="U276" s="92">
        <f>(SUBSTITUTE(Audio!U276, "RE-", "", 1))*1</f>
        <v>0</v>
      </c>
      <c r="V276" s="92">
        <f>(SUBSTITUTE(Audio!V276, "RE-", "", 1))*1</f>
        <v>0</v>
      </c>
      <c r="W276" s="92">
        <f>(SUBSTITUTE(Audio!W276, "RE-", "", 1))*1</f>
        <v>0</v>
      </c>
      <c r="X276" s="92">
        <f>(SUBSTITUTE(Audio!X276, "RE-", "", 1))*1</f>
        <v>0</v>
      </c>
      <c r="Y276" s="92">
        <f>(SUBSTITUTE(Audio!Y276, "RE-", "", 1))*1</f>
        <v>0</v>
      </c>
      <c r="Z276" s="92">
        <f>(SUBSTITUTE(Audio!Z276, "RE-", "", 1))*1</f>
        <v>0</v>
      </c>
      <c r="AA276" s="92"/>
      <c r="AB276" s="92"/>
      <c r="AC276" s="92"/>
      <c r="AD276" s="92"/>
      <c r="AE276" s="92"/>
      <c r="AF276" s="92"/>
      <c r="AG276" s="92"/>
      <c r="AH276" s="92"/>
      <c r="AI276" s="92"/>
      <c r="AJ276" s="92"/>
      <c r="AK276" s="92"/>
      <c r="AL276" s="92"/>
      <c r="AM276" s="92"/>
      <c r="AN276" s="92"/>
      <c r="AO276" s="92"/>
      <c r="AP276" s="92"/>
      <c r="AQ276" s="92"/>
      <c r="AR276" s="92"/>
      <c r="AS276" s="92"/>
      <c r="AT276" s="92"/>
      <c r="AU276" s="92"/>
      <c r="AV276" s="92"/>
      <c r="AW276" s="92"/>
      <c r="AX276" s="92"/>
      <c r="AY276" s="92"/>
      <c r="AZ276" s="92"/>
      <c r="BA276" s="92"/>
      <c r="BB276" s="92"/>
      <c r="BC276" s="92"/>
      <c r="BD276" s="92"/>
      <c r="BE276" s="92"/>
      <c r="BF276" s="92"/>
      <c r="BG276" s="92"/>
      <c r="BH276" s="92"/>
      <c r="BI276" s="92"/>
      <c r="BJ276" s="92"/>
      <c r="BK276" s="92"/>
      <c r="BL276" s="92"/>
      <c r="BM276" s="92"/>
      <c r="BN276" s="92"/>
      <c r="BO276" s="92"/>
      <c r="BP276" s="92"/>
      <c r="BQ276" s="92"/>
      <c r="BR276" s="92"/>
      <c r="BS276" s="92"/>
      <c r="BT276" s="92"/>
      <c r="BU276" s="92"/>
      <c r="BV276" s="92"/>
      <c r="BW276" s="92"/>
      <c r="BX276" s="92"/>
      <c r="BY276" s="92"/>
      <c r="BZ276" s="92"/>
      <c r="CA276" s="92"/>
      <c r="CB276" s="92"/>
      <c r="CC276" s="92"/>
      <c r="CD276" s="92"/>
      <c r="CE276" s="92"/>
      <c r="CF276" s="92"/>
      <c r="CG276" s="92"/>
      <c r="CH276" s="92"/>
      <c r="CI276" s="92"/>
      <c r="CJ276" s="92"/>
      <c r="CK276" s="92"/>
      <c r="CL276" s="92"/>
      <c r="CM276" s="92"/>
      <c r="CN276" s="92"/>
      <c r="CO276" s="92"/>
      <c r="CP276" s="92"/>
      <c r="CQ276" s="92"/>
      <c r="CR276" s="92"/>
      <c r="CS276" s="92"/>
      <c r="CT276" s="92"/>
      <c r="CU276" s="92"/>
      <c r="CV276" s="92"/>
      <c r="CW276" s="92"/>
      <c r="CX276" s="92"/>
      <c r="CY276" s="92"/>
      <c r="CZ276" s="92"/>
      <c r="DA276" s="92"/>
      <c r="DB276" s="92"/>
      <c r="DC276" s="92"/>
      <c r="DD276" s="92"/>
      <c r="DE276" s="92"/>
      <c r="DF276" s="92"/>
      <c r="DG276" s="92"/>
      <c r="DH276" s="92"/>
      <c r="DI276" s="92"/>
      <c r="DJ276" s="92"/>
      <c r="DK276" s="92"/>
      <c r="DL276" s="92"/>
      <c r="DM276" s="92"/>
      <c r="DN276" s="92"/>
      <c r="DO276" s="92"/>
      <c r="DP276" s="92"/>
      <c r="DQ276" s="92"/>
      <c r="DR276" s="92"/>
      <c r="DS276" s="92"/>
      <c r="DT276" s="92"/>
      <c r="DU276" s="92"/>
      <c r="DV276" s="92"/>
      <c r="DW276" s="92"/>
      <c r="DX276" s="92"/>
      <c r="DY276" s="92"/>
      <c r="DZ276" s="92"/>
      <c r="EA276" s="92"/>
      <c r="EB276" s="92"/>
      <c r="EC276" s="92"/>
      <c r="ED276" s="92"/>
      <c r="EE276" s="92"/>
      <c r="EF276" s="92"/>
      <c r="EG276" s="92"/>
      <c r="EH276" s="92"/>
      <c r="EI276" s="92"/>
      <c r="EJ276" s="92"/>
      <c r="EK276" s="92"/>
      <c r="EL276" s="92"/>
      <c r="EM276" s="92"/>
      <c r="EN276" s="92"/>
      <c r="EO276" s="92"/>
      <c r="EP276" s="92"/>
      <c r="EQ276" s="92"/>
      <c r="ER276" s="92"/>
      <c r="ES276" s="92"/>
      <c r="ET276" s="92"/>
      <c r="EU276" s="92"/>
      <c r="EV276" s="92"/>
      <c r="EW276" s="92"/>
      <c r="EX276" s="92"/>
      <c r="EY276" s="92"/>
      <c r="EZ276" s="92"/>
      <c r="FA276" s="92"/>
      <c r="FB276" s="92"/>
      <c r="FC276" s="92"/>
      <c r="FD276" s="92"/>
      <c r="FE276" s="92"/>
      <c r="FF276" s="92"/>
      <c r="FG276" s="92"/>
      <c r="FH276" s="92"/>
    </row>
    <row r="277">
      <c r="A277" s="32" t="s">
        <v>54</v>
      </c>
      <c r="B277" s="32" t="s">
        <v>56</v>
      </c>
      <c r="C277" s="32" t="s">
        <v>10</v>
      </c>
      <c r="D277" s="97">
        <f t="shared" si="1"/>
        <v>599.8571834</v>
      </c>
      <c r="E277" s="92">
        <f>(SUBSTITUTE(Audio!E277, "RE-", "", 1))*1</f>
        <v>0</v>
      </c>
      <c r="F277" s="92">
        <f>(SUBSTITUTE(Audio!F277, "RE-", "", 1))*1</f>
        <v>0</v>
      </c>
      <c r="G277" s="92">
        <f>(SUBSTITUTE(Audio!G277, "RE-", "", 1))*1</f>
        <v>234.1002375</v>
      </c>
      <c r="H277" s="92">
        <f>(SUBSTITUTE(Audio!H277, "RE-", "", 1))*1</f>
        <v>0</v>
      </c>
      <c r="I277" s="92">
        <f>(SUBSTITUTE(Audio!I277, "RE-", "", 1))*1</f>
        <v>17.64310521</v>
      </c>
      <c r="J277" s="92">
        <f>(SUBSTITUTE(Audio!J277, "RE-", "", 1))*1</f>
        <v>0</v>
      </c>
      <c r="K277" s="92">
        <f>(SUBSTITUTE(Audio!K277, "RE-", "", 1))*1</f>
        <v>18.84475417</v>
      </c>
      <c r="L277" s="92">
        <f>(SUBSTITUTE(Audio!L277, "RE-", "", 1))*1</f>
        <v>0</v>
      </c>
      <c r="M277" s="92">
        <f>(SUBSTITUTE(Audio!M277, "RE-", "", 1))*1</f>
        <v>42.49047708</v>
      </c>
      <c r="N277" s="92">
        <f>(SUBSTITUTE(Audio!N277, "RE-", "", 1))*1</f>
        <v>0</v>
      </c>
      <c r="O277" s="92">
        <f>(SUBSTITUTE(Audio!O277, "RE-", "", 1))*1</f>
        <v>214.4599167</v>
      </c>
      <c r="P277" s="92">
        <f>(SUBSTITUTE(Audio!P277, "RE-", "", 1))*1</f>
        <v>0</v>
      </c>
      <c r="Q277" s="92">
        <f>(SUBSTITUTE(Audio!Q277, "RE-", "", 1))*1</f>
        <v>62.96084583</v>
      </c>
      <c r="R277" s="92">
        <f>(SUBSTITUTE(Audio!R277, "RE-", "", 1))*1</f>
        <v>0</v>
      </c>
      <c r="S277" s="92">
        <f>(SUBSTITUTE(Audio!S277, "RE-", "", 1))*1</f>
        <v>1.230508333</v>
      </c>
      <c r="T277" s="92">
        <f>(SUBSTITUTE(Audio!T277, "RE-", "", 1))*1</f>
        <v>0</v>
      </c>
      <c r="U277" s="92">
        <f>(SUBSTITUTE(Audio!U277, "RE-", "", 1))*1</f>
        <v>7.348873958</v>
      </c>
      <c r="V277" s="92">
        <f>(SUBSTITUTE(Audio!V277, "RE-", "", 1))*1</f>
        <v>0.7784645833</v>
      </c>
      <c r="W277" s="92">
        <f>(SUBSTITUTE(Audio!W277, "RE-", "", 1))*1</f>
        <v>0</v>
      </c>
      <c r="X277" s="92">
        <f>(SUBSTITUTE(Audio!X277, "RE-", "", 1))*1</f>
        <v>0</v>
      </c>
      <c r="Y277" s="92">
        <f>(SUBSTITUTE(Audio!Y277, "RE-", "", 1))*1</f>
        <v>0</v>
      </c>
      <c r="Z277" s="92">
        <f>(SUBSTITUTE(Audio!Z277, "RE-", "", 1))*1</f>
        <v>0</v>
      </c>
      <c r="AA277" s="92"/>
      <c r="AB277" s="92"/>
      <c r="AC277" s="92"/>
      <c r="AD277" s="92"/>
      <c r="AE277" s="92"/>
      <c r="AF277" s="92"/>
      <c r="AG277" s="92"/>
      <c r="AH277" s="92"/>
      <c r="AI277" s="92"/>
      <c r="AJ277" s="92"/>
      <c r="AK277" s="92"/>
      <c r="AL277" s="92"/>
      <c r="AM277" s="92"/>
      <c r="AN277" s="92"/>
      <c r="AO277" s="92"/>
      <c r="AP277" s="92"/>
      <c r="AQ277" s="92"/>
      <c r="AR277" s="92"/>
      <c r="AS277" s="92"/>
      <c r="AT277" s="92"/>
      <c r="AU277" s="92"/>
      <c r="AV277" s="92"/>
      <c r="AW277" s="92"/>
      <c r="AX277" s="92"/>
      <c r="AY277" s="92"/>
      <c r="AZ277" s="92"/>
      <c r="BA277" s="92"/>
      <c r="BB277" s="92"/>
      <c r="BC277" s="92"/>
      <c r="BD277" s="92"/>
      <c r="BE277" s="92"/>
      <c r="BF277" s="92"/>
      <c r="BG277" s="92"/>
      <c r="BH277" s="92"/>
      <c r="BI277" s="92"/>
      <c r="BJ277" s="92"/>
      <c r="BK277" s="92"/>
      <c r="BL277" s="92"/>
      <c r="BM277" s="92"/>
      <c r="BN277" s="92"/>
      <c r="BO277" s="92"/>
      <c r="BP277" s="92"/>
      <c r="BQ277" s="92"/>
      <c r="BR277" s="92"/>
      <c r="BS277" s="92"/>
      <c r="BT277" s="92"/>
      <c r="BU277" s="92"/>
      <c r="BV277" s="92"/>
      <c r="BW277" s="92"/>
      <c r="BX277" s="92"/>
      <c r="BY277" s="92"/>
      <c r="BZ277" s="92"/>
      <c r="CA277" s="92"/>
      <c r="CB277" s="92"/>
      <c r="CC277" s="92"/>
      <c r="CD277" s="92"/>
      <c r="CE277" s="92"/>
      <c r="CF277" s="92"/>
      <c r="CG277" s="92"/>
      <c r="CH277" s="92"/>
      <c r="CI277" s="92"/>
      <c r="CJ277" s="92"/>
      <c r="CK277" s="92"/>
      <c r="CL277" s="92"/>
      <c r="CM277" s="92"/>
      <c r="CN277" s="92"/>
      <c r="CO277" s="92"/>
      <c r="CP277" s="92"/>
      <c r="CQ277" s="92"/>
      <c r="CR277" s="92"/>
      <c r="CS277" s="92"/>
      <c r="CT277" s="92"/>
      <c r="CU277" s="92"/>
      <c r="CV277" s="92"/>
      <c r="CW277" s="92"/>
      <c r="CX277" s="92"/>
      <c r="CY277" s="92"/>
      <c r="CZ277" s="92"/>
      <c r="DA277" s="92"/>
      <c r="DB277" s="92"/>
      <c r="DC277" s="92"/>
      <c r="DD277" s="92"/>
      <c r="DE277" s="92"/>
      <c r="DF277" s="92"/>
      <c r="DG277" s="92"/>
      <c r="DH277" s="92"/>
      <c r="DI277" s="92"/>
      <c r="DJ277" s="92"/>
      <c r="DK277" s="92"/>
      <c r="DL277" s="92"/>
      <c r="DM277" s="92"/>
      <c r="DN277" s="92"/>
      <c r="DO277" s="92"/>
      <c r="DP277" s="92"/>
      <c r="DQ277" s="92"/>
      <c r="DR277" s="92"/>
      <c r="DS277" s="92"/>
      <c r="DT277" s="92"/>
      <c r="DU277" s="92"/>
      <c r="DV277" s="92"/>
      <c r="DW277" s="92"/>
      <c r="DX277" s="92"/>
      <c r="DY277" s="92"/>
      <c r="DZ277" s="92"/>
      <c r="EA277" s="92"/>
      <c r="EB277" s="92"/>
      <c r="EC277" s="92"/>
      <c r="ED277" s="92"/>
      <c r="EE277" s="92"/>
      <c r="EF277" s="92"/>
      <c r="EG277" s="92"/>
      <c r="EH277" s="92"/>
      <c r="EI277" s="92"/>
      <c r="EJ277" s="92"/>
      <c r="EK277" s="92"/>
      <c r="EL277" s="92"/>
      <c r="EM277" s="92"/>
      <c r="EN277" s="92"/>
      <c r="EO277" s="92"/>
      <c r="EP277" s="92"/>
      <c r="EQ277" s="92"/>
      <c r="ER277" s="92"/>
      <c r="ES277" s="92"/>
      <c r="ET277" s="92"/>
      <c r="EU277" s="92"/>
      <c r="EV277" s="92"/>
      <c r="EW277" s="92"/>
      <c r="EX277" s="92"/>
      <c r="EY277" s="92"/>
      <c r="EZ277" s="92"/>
      <c r="FA277" s="92"/>
      <c r="FB277" s="92"/>
      <c r="FC277" s="92"/>
      <c r="FD277" s="92"/>
      <c r="FE277" s="92"/>
      <c r="FF277" s="92"/>
      <c r="FG277" s="92"/>
      <c r="FH277" s="92"/>
    </row>
    <row r="278">
      <c r="A278" s="32" t="s">
        <v>54</v>
      </c>
      <c r="B278" s="32" t="s">
        <v>56</v>
      </c>
      <c r="C278" s="32" t="s">
        <v>11</v>
      </c>
      <c r="D278" s="97">
        <f t="shared" si="1"/>
        <v>599.8571833</v>
      </c>
      <c r="E278" s="92">
        <f>(SUBSTITUTE(Audio!E278, "RE-", "", 1))*1</f>
        <v>0</v>
      </c>
      <c r="F278" s="92">
        <f>(SUBSTITUTE(Audio!F278, "RE-", "", 1))*1</f>
        <v>0</v>
      </c>
      <c r="G278" s="92">
        <f>(SUBSTITUTE(Audio!G278, "RE-", "", 1))*1</f>
        <v>234.1002375</v>
      </c>
      <c r="H278" s="92">
        <f>(SUBSTITUTE(Audio!H278, "RE-", "", 1))*1</f>
        <v>0</v>
      </c>
      <c r="I278" s="92">
        <f>(SUBSTITUTE(Audio!I278, "RE-", "", 1))*1</f>
        <v>17.64310521</v>
      </c>
      <c r="J278" s="92">
        <f>(SUBSTITUTE(Audio!J278, "RE-", "", 1))*1</f>
        <v>0</v>
      </c>
      <c r="K278" s="92">
        <f>(SUBSTITUTE(Audio!K278, "RE-", "", 1))*1</f>
        <v>18.84475417</v>
      </c>
      <c r="L278" s="92">
        <f>(SUBSTITUTE(Audio!L278, "RE-", "", 1))*1</f>
        <v>0</v>
      </c>
      <c r="M278" s="92">
        <f>(SUBSTITUTE(Audio!M278, "RE-", "", 1))*1</f>
        <v>42.49047708</v>
      </c>
      <c r="N278" s="92">
        <f>(SUBSTITUTE(Audio!N278, "RE-", "", 1))*1</f>
        <v>0</v>
      </c>
      <c r="O278" s="92">
        <f>(SUBSTITUTE(Audio!O278, "RE-", "", 1))*1</f>
        <v>214.4599167</v>
      </c>
      <c r="P278" s="92">
        <f>(SUBSTITUTE(Audio!P278, "RE-", "", 1))*1</f>
        <v>0</v>
      </c>
      <c r="Q278" s="92">
        <f>(SUBSTITUTE(Audio!Q278, "RE-", "", 1))*1</f>
        <v>62.96084583</v>
      </c>
      <c r="R278" s="92">
        <f>(SUBSTITUTE(Audio!R278, "RE-", "", 1))*1</f>
        <v>0</v>
      </c>
      <c r="S278" s="92">
        <f>(SUBSTITUTE(Audio!S278, "RE-", "", 1))*1</f>
        <v>1.230508333</v>
      </c>
      <c r="T278" s="92">
        <f>(SUBSTITUTE(Audio!T278, "RE-", "", 1))*1</f>
        <v>0</v>
      </c>
      <c r="U278" s="92">
        <f>(SUBSTITUTE(Audio!U278, "RE-", "", 1))*1</f>
        <v>7.348873958</v>
      </c>
      <c r="V278" s="92">
        <f>(SUBSTITUTE(Audio!V278, "RE-", "", 1))*1</f>
        <v>0.7784645833</v>
      </c>
      <c r="W278" s="92">
        <f>(SUBSTITUTE(Audio!W278, "RE-", "", 1))*1</f>
        <v>0</v>
      </c>
      <c r="X278" s="92">
        <f>(SUBSTITUTE(Audio!X278, "RE-", "", 1))*1</f>
        <v>0</v>
      </c>
      <c r="Y278" s="92">
        <f>(SUBSTITUTE(Audio!Y278, "RE-", "", 1))*1</f>
        <v>0</v>
      </c>
      <c r="Z278" s="92">
        <f>(SUBSTITUTE(Audio!Z278, "RE-", "", 1))*1</f>
        <v>0</v>
      </c>
      <c r="AA278" s="92"/>
      <c r="AB278" s="92"/>
      <c r="AC278" s="92"/>
      <c r="AD278" s="92"/>
      <c r="AE278" s="92"/>
      <c r="AF278" s="92"/>
      <c r="AG278" s="92"/>
      <c r="AH278" s="92"/>
      <c r="AI278" s="92"/>
      <c r="AJ278" s="92"/>
      <c r="AK278" s="92"/>
      <c r="AL278" s="92"/>
      <c r="AM278" s="92"/>
      <c r="AN278" s="92"/>
      <c r="AO278" s="92"/>
      <c r="AP278" s="92"/>
      <c r="AQ278" s="92"/>
      <c r="AR278" s="92"/>
      <c r="AS278" s="92"/>
      <c r="AT278" s="92"/>
      <c r="AU278" s="92"/>
      <c r="AV278" s="92"/>
      <c r="AW278" s="92"/>
      <c r="AX278" s="92"/>
      <c r="AY278" s="92"/>
      <c r="AZ278" s="92"/>
      <c r="BA278" s="92"/>
      <c r="BB278" s="92"/>
      <c r="BC278" s="92"/>
      <c r="BD278" s="92"/>
      <c r="BE278" s="92"/>
      <c r="BF278" s="92"/>
      <c r="BG278" s="92"/>
      <c r="BH278" s="92"/>
      <c r="BI278" s="92"/>
      <c r="BJ278" s="92"/>
      <c r="BK278" s="92"/>
      <c r="BL278" s="92"/>
      <c r="BM278" s="92"/>
      <c r="BN278" s="92"/>
      <c r="BO278" s="92"/>
      <c r="BP278" s="92"/>
      <c r="BQ278" s="92"/>
      <c r="BR278" s="92"/>
      <c r="BS278" s="92"/>
      <c r="BT278" s="92"/>
      <c r="BU278" s="92"/>
      <c r="BV278" s="92"/>
      <c r="BW278" s="92"/>
      <c r="BX278" s="92"/>
      <c r="BY278" s="92"/>
      <c r="BZ278" s="92"/>
      <c r="CA278" s="92"/>
      <c r="CB278" s="92"/>
      <c r="CC278" s="92"/>
      <c r="CD278" s="92"/>
      <c r="CE278" s="92"/>
      <c r="CF278" s="92"/>
      <c r="CG278" s="92"/>
      <c r="CH278" s="92"/>
      <c r="CI278" s="92"/>
      <c r="CJ278" s="92"/>
      <c r="CK278" s="92"/>
      <c r="CL278" s="92"/>
      <c r="CM278" s="92"/>
      <c r="CN278" s="92"/>
      <c r="CO278" s="92"/>
      <c r="CP278" s="92"/>
      <c r="CQ278" s="92"/>
      <c r="CR278" s="92"/>
      <c r="CS278" s="92"/>
      <c r="CT278" s="92"/>
      <c r="CU278" s="92"/>
      <c r="CV278" s="92"/>
      <c r="CW278" s="92"/>
      <c r="CX278" s="92"/>
      <c r="CY278" s="92"/>
      <c r="CZ278" s="92"/>
      <c r="DA278" s="92"/>
      <c r="DB278" s="92"/>
      <c r="DC278" s="92"/>
      <c r="DD278" s="92"/>
      <c r="DE278" s="92"/>
      <c r="DF278" s="92"/>
      <c r="DG278" s="92"/>
      <c r="DH278" s="92"/>
      <c r="DI278" s="92"/>
      <c r="DJ278" s="92"/>
      <c r="DK278" s="92"/>
      <c r="DL278" s="92"/>
      <c r="DM278" s="92"/>
      <c r="DN278" s="92"/>
      <c r="DO278" s="92"/>
      <c r="DP278" s="92"/>
      <c r="DQ278" s="92"/>
      <c r="DR278" s="92"/>
      <c r="DS278" s="92"/>
      <c r="DT278" s="92"/>
      <c r="DU278" s="92"/>
      <c r="DV278" s="92"/>
      <c r="DW278" s="92"/>
      <c r="DX278" s="92"/>
      <c r="DY278" s="92"/>
      <c r="DZ278" s="92"/>
      <c r="EA278" s="92"/>
      <c r="EB278" s="92"/>
      <c r="EC278" s="92"/>
      <c r="ED278" s="92"/>
      <c r="EE278" s="92"/>
      <c r="EF278" s="92"/>
      <c r="EG278" s="92"/>
      <c r="EH278" s="92"/>
      <c r="EI278" s="92"/>
      <c r="EJ278" s="92"/>
      <c r="EK278" s="92"/>
      <c r="EL278" s="92"/>
      <c r="EM278" s="92"/>
      <c r="EN278" s="92"/>
      <c r="EO278" s="92"/>
      <c r="EP278" s="92"/>
      <c r="EQ278" s="92"/>
      <c r="ER278" s="92"/>
      <c r="ES278" s="92"/>
      <c r="ET278" s="92"/>
      <c r="EU278" s="92"/>
      <c r="EV278" s="92"/>
      <c r="EW278" s="92"/>
      <c r="EX278" s="92"/>
      <c r="EY278" s="92"/>
      <c r="EZ278" s="92"/>
      <c r="FA278" s="92"/>
      <c r="FB278" s="92"/>
      <c r="FC278" s="92"/>
      <c r="FD278" s="92"/>
      <c r="FE278" s="92"/>
      <c r="FF278" s="92"/>
      <c r="FG278" s="92"/>
      <c r="FH278" s="92"/>
    </row>
    <row r="279">
      <c r="A279" s="32" t="s">
        <v>54</v>
      </c>
      <c r="B279" s="32" t="s">
        <v>56</v>
      </c>
      <c r="C279" s="32" t="s">
        <v>12</v>
      </c>
      <c r="D279" s="97">
        <f t="shared" si="1"/>
        <v>4982.294988</v>
      </c>
      <c r="E279" s="92">
        <f>(SUBSTITUTE(Audio!E279, "RE-", "", 1))*1</f>
        <v>0</v>
      </c>
      <c r="F279" s="92">
        <f>(SUBSTITUTE(Audio!F279, "RE-", "", 1))*1</f>
        <v>1862.185526</v>
      </c>
      <c r="G279" s="92">
        <f>(SUBSTITUTE(Audio!G279, "RE-", "", 1))*1</f>
        <v>7.937029167</v>
      </c>
      <c r="H279" s="92">
        <f>(SUBSTITUTE(Audio!H279, "RE-", "", 1))*1</f>
        <v>132.6211313</v>
      </c>
      <c r="I279" s="92">
        <f>(SUBSTITUTE(Audio!I279, "RE-", "", 1))*1</f>
        <v>0</v>
      </c>
      <c r="J279" s="92">
        <f>(SUBSTITUTE(Audio!J279, "RE-", "", 1))*1</f>
        <v>183.2167938</v>
      </c>
      <c r="K279" s="92">
        <f>(SUBSTITUTE(Audio!K279, "RE-", "", 1))*1</f>
        <v>0.6888375</v>
      </c>
      <c r="L279" s="92">
        <f>(SUBSTITUTE(Audio!L279, "RE-", "", 1))*1</f>
        <v>1065.894297</v>
      </c>
      <c r="M279" s="92">
        <f>(SUBSTITUTE(Audio!M279, "RE-", "", 1))*1</f>
        <v>11.963875</v>
      </c>
      <c r="N279" s="92">
        <f>(SUBSTITUTE(Audio!N279, "RE-", "", 1))*1</f>
        <v>1222.062434</v>
      </c>
      <c r="O279" s="92">
        <f>(SUBSTITUTE(Audio!O279, "RE-", "", 1))*1</f>
        <v>14.53175833</v>
      </c>
      <c r="P279" s="92">
        <f>(SUBSTITUTE(Audio!P279, "RE-", "", 1))*1</f>
        <v>183.2287635</v>
      </c>
      <c r="Q279" s="92">
        <f>(SUBSTITUTE(Audio!Q279, "RE-", "", 1))*1</f>
        <v>29.05666667</v>
      </c>
      <c r="R279" s="92">
        <f>(SUBSTITUTE(Audio!R279, "RE-", "", 1))*1</f>
        <v>56.86489479</v>
      </c>
      <c r="S279" s="92">
        <f>(SUBSTITUTE(Audio!S279, "RE-", "", 1))*1</f>
        <v>0.6121375</v>
      </c>
      <c r="T279" s="92">
        <f>(SUBSTITUTE(Audio!T279, "RE-", "", 1))*1</f>
        <v>205.9909813</v>
      </c>
      <c r="U279" s="92">
        <f>(SUBSTITUTE(Audio!U279, "RE-", "", 1))*1</f>
        <v>4.873523958</v>
      </c>
      <c r="V279" s="92">
        <f>(SUBSTITUTE(Audio!V279, "RE-", "", 1))*1</f>
        <v>0.5663375</v>
      </c>
      <c r="W279" s="92">
        <f>(SUBSTITUTE(Audio!W279, "RE-", "", 1))*1</f>
        <v>0</v>
      </c>
      <c r="X279" s="92">
        <f>(SUBSTITUTE(Audio!X279, "RE-", "", 1))*1</f>
        <v>0</v>
      </c>
      <c r="Y279" s="92">
        <f>(SUBSTITUTE(Audio!Y279, "RE-", "", 1))*1</f>
        <v>0</v>
      </c>
      <c r="Z279" s="92">
        <f>(SUBSTITUTE(Audio!Z279, "RE-", "", 1))*1</f>
        <v>0</v>
      </c>
      <c r="AA279" s="92"/>
      <c r="AB279" s="92"/>
      <c r="AC279" s="92"/>
      <c r="AD279" s="92"/>
      <c r="AE279" s="92"/>
      <c r="AF279" s="92"/>
      <c r="AG279" s="92"/>
      <c r="AH279" s="92"/>
      <c r="AI279" s="92"/>
      <c r="AJ279" s="92"/>
      <c r="AK279" s="92"/>
      <c r="AL279" s="92"/>
      <c r="AM279" s="92"/>
      <c r="AN279" s="92"/>
      <c r="AO279" s="92"/>
      <c r="AP279" s="92"/>
      <c r="AQ279" s="92"/>
      <c r="AR279" s="92"/>
      <c r="AS279" s="92"/>
      <c r="AT279" s="92"/>
      <c r="AU279" s="92"/>
      <c r="AV279" s="92"/>
      <c r="AW279" s="92"/>
      <c r="AX279" s="92"/>
      <c r="AY279" s="92"/>
      <c r="AZ279" s="92"/>
      <c r="BA279" s="92"/>
      <c r="BB279" s="92"/>
      <c r="BC279" s="92"/>
      <c r="BD279" s="92"/>
      <c r="BE279" s="92"/>
      <c r="BF279" s="92"/>
      <c r="BG279" s="92"/>
      <c r="BH279" s="92"/>
      <c r="BI279" s="92"/>
      <c r="BJ279" s="92"/>
      <c r="BK279" s="92"/>
      <c r="BL279" s="92"/>
      <c r="BM279" s="92"/>
      <c r="BN279" s="92"/>
      <c r="BO279" s="92"/>
      <c r="BP279" s="92"/>
      <c r="BQ279" s="92"/>
      <c r="BR279" s="92"/>
      <c r="BS279" s="92"/>
      <c r="BT279" s="92"/>
      <c r="BU279" s="92"/>
      <c r="BV279" s="92"/>
      <c r="BW279" s="92"/>
      <c r="BX279" s="92"/>
      <c r="BY279" s="92"/>
      <c r="BZ279" s="92"/>
      <c r="CA279" s="92"/>
      <c r="CB279" s="92"/>
      <c r="CC279" s="92"/>
      <c r="CD279" s="92"/>
      <c r="CE279" s="92"/>
      <c r="CF279" s="92"/>
      <c r="CG279" s="92"/>
      <c r="CH279" s="92"/>
      <c r="CI279" s="92"/>
      <c r="CJ279" s="92"/>
      <c r="CK279" s="92"/>
      <c r="CL279" s="92"/>
      <c r="CM279" s="92"/>
      <c r="CN279" s="92"/>
      <c r="CO279" s="92"/>
      <c r="CP279" s="92"/>
      <c r="CQ279" s="92"/>
      <c r="CR279" s="92"/>
      <c r="CS279" s="92"/>
      <c r="CT279" s="92"/>
      <c r="CU279" s="92"/>
      <c r="CV279" s="92"/>
      <c r="CW279" s="92"/>
      <c r="CX279" s="92"/>
      <c r="CY279" s="92"/>
      <c r="CZ279" s="92"/>
      <c r="DA279" s="92"/>
      <c r="DB279" s="92"/>
      <c r="DC279" s="92"/>
      <c r="DD279" s="92"/>
      <c r="DE279" s="92"/>
      <c r="DF279" s="92"/>
      <c r="DG279" s="92"/>
      <c r="DH279" s="92"/>
      <c r="DI279" s="92"/>
      <c r="DJ279" s="92"/>
      <c r="DK279" s="92"/>
      <c r="DL279" s="92"/>
      <c r="DM279" s="92"/>
      <c r="DN279" s="92"/>
      <c r="DO279" s="92"/>
      <c r="DP279" s="92"/>
      <c r="DQ279" s="92"/>
      <c r="DR279" s="92"/>
      <c r="DS279" s="92"/>
      <c r="DT279" s="92"/>
      <c r="DU279" s="92"/>
      <c r="DV279" s="92"/>
      <c r="DW279" s="92"/>
      <c r="DX279" s="92"/>
      <c r="DY279" s="92"/>
      <c r="DZ279" s="92"/>
      <c r="EA279" s="92"/>
      <c r="EB279" s="92"/>
      <c r="EC279" s="92"/>
      <c r="ED279" s="92"/>
      <c r="EE279" s="92"/>
      <c r="EF279" s="92"/>
      <c r="EG279" s="92"/>
      <c r="EH279" s="92"/>
      <c r="EI279" s="92"/>
      <c r="EJ279" s="92"/>
      <c r="EK279" s="92"/>
      <c r="EL279" s="92"/>
      <c r="EM279" s="92"/>
      <c r="EN279" s="92"/>
      <c r="EO279" s="92"/>
      <c r="EP279" s="92"/>
      <c r="EQ279" s="92"/>
      <c r="ER279" s="92"/>
      <c r="ES279" s="92"/>
      <c r="ET279" s="92"/>
      <c r="EU279" s="92"/>
      <c r="EV279" s="92"/>
      <c r="EW279" s="92"/>
      <c r="EX279" s="92"/>
      <c r="EY279" s="92"/>
      <c r="EZ279" s="92"/>
      <c r="FA279" s="92"/>
      <c r="FB279" s="92"/>
      <c r="FC279" s="92"/>
      <c r="FD279" s="92"/>
      <c r="FE279" s="92"/>
      <c r="FF279" s="92"/>
      <c r="FG279" s="92"/>
      <c r="FH279" s="92"/>
    </row>
    <row r="280">
      <c r="A280" s="32" t="s">
        <v>54</v>
      </c>
      <c r="B280" s="32" t="s">
        <v>56</v>
      </c>
      <c r="C280" s="32" t="s">
        <v>13</v>
      </c>
      <c r="D280" s="97">
        <f t="shared" si="1"/>
        <v>4801.198284</v>
      </c>
      <c r="E280" s="92">
        <f>(SUBSTITUTE(Audio!E280, "RE-", "", 1))*1</f>
        <v>0</v>
      </c>
      <c r="F280" s="92">
        <f>(SUBSTITUTE(Audio!F280, "RE-", "", 1))*1</f>
        <v>1815.56</v>
      </c>
      <c r="G280" s="92">
        <f>(SUBSTITUTE(Audio!G280, "RE-", "", 1))*1</f>
        <v>7.66995</v>
      </c>
      <c r="H280" s="92">
        <f>(SUBSTITUTE(Audio!H280, "RE-", "", 1))*1</f>
        <v>129.745</v>
      </c>
      <c r="I280" s="92">
        <f>(SUBSTITUTE(Audio!I280, "RE-", "", 1))*1</f>
        <v>0</v>
      </c>
      <c r="J280" s="92">
        <f>(SUBSTITUTE(Audio!J280, "RE-", "", 1))*1</f>
        <v>179.497</v>
      </c>
      <c r="K280" s="92">
        <f>(SUBSTITUTE(Audio!K280, "RE-", "", 1))*1</f>
        <v>0.6781</v>
      </c>
      <c r="L280" s="92">
        <f>(SUBSTITUTE(Audio!L280, "RE-", "", 1))*1</f>
        <v>1019.31</v>
      </c>
      <c r="M280" s="92">
        <f>(SUBSTITUTE(Audio!M280, "RE-", "", 1))*1</f>
        <v>11.4575</v>
      </c>
      <c r="N280" s="92">
        <f>(SUBSTITUTE(Audio!N280, "RE-", "", 1))*1</f>
        <v>1162.63</v>
      </c>
      <c r="O280" s="92">
        <f>(SUBSTITUTE(Audio!O280, "RE-", "", 1))*1</f>
        <v>13.9718</v>
      </c>
      <c r="P280" s="92">
        <f>(SUBSTITUTE(Audio!P280, "RE-", "", 1))*1</f>
        <v>174.65</v>
      </c>
      <c r="Q280" s="92">
        <f>(SUBSTITUTE(Audio!Q280, "RE-", "", 1))*1</f>
        <v>27.8319</v>
      </c>
      <c r="R280" s="92">
        <f>(SUBSTITUTE(Audio!R280, "RE-", "", 1))*1</f>
        <v>55.3008</v>
      </c>
      <c r="S280" s="92">
        <f>(SUBSTITUTE(Audio!S280, "RE-", "", 1))*1</f>
        <v>0.545217</v>
      </c>
      <c r="T280" s="92">
        <f>(SUBSTITUTE(Audio!T280, "RE-", "", 1))*1</f>
        <v>197.141</v>
      </c>
      <c r="U280" s="92">
        <f>(SUBSTITUTE(Audio!U280, "RE-", "", 1))*1</f>
        <v>4.66215</v>
      </c>
      <c r="V280" s="92">
        <f>(SUBSTITUTE(Audio!V280, "RE-", "", 1))*1</f>
        <v>0.547867</v>
      </c>
      <c r="W280" s="92">
        <f>(SUBSTITUTE(Audio!W280, "RE-", "", 1))*1</f>
        <v>0</v>
      </c>
      <c r="X280" s="92">
        <f>(SUBSTITUTE(Audio!X280, "RE-", "", 1))*1</f>
        <v>0</v>
      </c>
      <c r="Y280" s="92">
        <f>(SUBSTITUTE(Audio!Y280, "RE-", "", 1))*1</f>
        <v>0</v>
      </c>
      <c r="Z280" s="92">
        <f>(SUBSTITUTE(Audio!Z280, "RE-", "", 1))*1</f>
        <v>0</v>
      </c>
      <c r="AA280" s="92"/>
      <c r="AB280" s="92"/>
      <c r="AC280" s="92"/>
      <c r="AD280" s="92"/>
      <c r="AE280" s="92"/>
      <c r="AF280" s="92"/>
      <c r="AG280" s="92"/>
      <c r="AH280" s="92"/>
      <c r="AI280" s="92"/>
      <c r="AJ280" s="92"/>
      <c r="AK280" s="92"/>
      <c r="AL280" s="92"/>
      <c r="AM280" s="92"/>
      <c r="AN280" s="92"/>
      <c r="AO280" s="92"/>
      <c r="AP280" s="92"/>
      <c r="AQ280" s="92"/>
      <c r="AR280" s="92"/>
      <c r="AS280" s="92"/>
      <c r="AT280" s="92"/>
      <c r="AU280" s="92"/>
      <c r="AV280" s="92"/>
      <c r="AW280" s="92"/>
      <c r="AX280" s="92"/>
      <c r="AY280" s="92"/>
      <c r="AZ280" s="92"/>
      <c r="BA280" s="92"/>
      <c r="BB280" s="92"/>
      <c r="BC280" s="92"/>
      <c r="BD280" s="92"/>
      <c r="BE280" s="92"/>
      <c r="BF280" s="92"/>
      <c r="BG280" s="92"/>
      <c r="BH280" s="92"/>
      <c r="BI280" s="92"/>
      <c r="BJ280" s="92"/>
      <c r="BK280" s="92"/>
      <c r="BL280" s="92"/>
      <c r="BM280" s="92"/>
      <c r="BN280" s="92"/>
      <c r="BO280" s="92"/>
      <c r="BP280" s="92"/>
      <c r="BQ280" s="92"/>
      <c r="BR280" s="92"/>
      <c r="BS280" s="92"/>
      <c r="BT280" s="92"/>
      <c r="BU280" s="92"/>
      <c r="BV280" s="92"/>
      <c r="BW280" s="92"/>
      <c r="BX280" s="92"/>
      <c r="BY280" s="92"/>
      <c r="BZ280" s="92"/>
      <c r="CA280" s="92"/>
      <c r="CB280" s="92"/>
      <c r="CC280" s="92"/>
      <c r="CD280" s="92"/>
      <c r="CE280" s="92"/>
      <c r="CF280" s="92"/>
      <c r="CG280" s="92"/>
      <c r="CH280" s="92"/>
      <c r="CI280" s="92"/>
      <c r="CJ280" s="92"/>
      <c r="CK280" s="92"/>
      <c r="CL280" s="92"/>
      <c r="CM280" s="92"/>
      <c r="CN280" s="92"/>
      <c r="CO280" s="92"/>
      <c r="CP280" s="92"/>
      <c r="CQ280" s="92"/>
      <c r="CR280" s="92"/>
      <c r="CS280" s="92"/>
      <c r="CT280" s="92"/>
      <c r="CU280" s="92"/>
      <c r="CV280" s="92"/>
      <c r="CW280" s="92"/>
      <c r="CX280" s="92"/>
      <c r="CY280" s="92"/>
      <c r="CZ280" s="92"/>
      <c r="DA280" s="92"/>
      <c r="DB280" s="92"/>
      <c r="DC280" s="92"/>
      <c r="DD280" s="92"/>
      <c r="DE280" s="92"/>
      <c r="DF280" s="92"/>
      <c r="DG280" s="92"/>
      <c r="DH280" s="92"/>
      <c r="DI280" s="92"/>
      <c r="DJ280" s="92"/>
      <c r="DK280" s="92"/>
      <c r="DL280" s="92"/>
      <c r="DM280" s="92"/>
      <c r="DN280" s="92"/>
      <c r="DO280" s="92"/>
      <c r="DP280" s="92"/>
      <c r="DQ280" s="92"/>
      <c r="DR280" s="92"/>
      <c r="DS280" s="92"/>
      <c r="DT280" s="92"/>
      <c r="DU280" s="92"/>
      <c r="DV280" s="92"/>
      <c r="DW280" s="92"/>
      <c r="DX280" s="92"/>
      <c r="DY280" s="92"/>
      <c r="DZ280" s="92"/>
      <c r="EA280" s="92"/>
      <c r="EB280" s="92"/>
      <c r="EC280" s="92"/>
      <c r="ED280" s="92"/>
      <c r="EE280" s="92"/>
      <c r="EF280" s="92"/>
      <c r="EG280" s="92"/>
      <c r="EH280" s="92"/>
      <c r="EI280" s="92"/>
      <c r="EJ280" s="92"/>
      <c r="EK280" s="92"/>
      <c r="EL280" s="92"/>
      <c r="EM280" s="92"/>
      <c r="EN280" s="92"/>
      <c r="EO280" s="92"/>
      <c r="EP280" s="92"/>
      <c r="EQ280" s="92"/>
      <c r="ER280" s="92"/>
      <c r="ES280" s="92"/>
      <c r="ET280" s="92"/>
      <c r="EU280" s="92"/>
      <c r="EV280" s="92"/>
      <c r="EW280" s="92"/>
      <c r="EX280" s="92"/>
      <c r="EY280" s="92"/>
      <c r="EZ280" s="92"/>
      <c r="FA280" s="92"/>
      <c r="FB280" s="92"/>
      <c r="FC280" s="92"/>
      <c r="FD280" s="92"/>
      <c r="FE280" s="92"/>
      <c r="FF280" s="92"/>
      <c r="FG280" s="92"/>
      <c r="FH280" s="92"/>
    </row>
    <row r="281">
      <c r="A281" s="32" t="s">
        <v>54</v>
      </c>
      <c r="B281" s="32" t="s">
        <v>56</v>
      </c>
      <c r="C281" s="32" t="s">
        <v>14</v>
      </c>
      <c r="D281" s="97">
        <f t="shared" si="1"/>
        <v>4316.145324</v>
      </c>
      <c r="E281" s="92">
        <f>(SUBSTITUTE(Audio!E281, "RE-", "", 1))*1</f>
        <v>0</v>
      </c>
      <c r="F281" s="92">
        <f>(SUBSTITUTE(Audio!F281, "RE-", "", 1))*1</f>
        <v>1685.17</v>
      </c>
      <c r="G281" s="92">
        <f>(SUBSTITUTE(Audio!G281, "RE-", "", 1))*1</f>
        <v>7.62607</v>
      </c>
      <c r="H281" s="92">
        <f>(SUBSTITUTE(Audio!H281, "RE-", "", 1))*1</f>
        <v>117.318</v>
      </c>
      <c r="I281" s="92">
        <f>(SUBSTITUTE(Audio!I281, "RE-", "", 1))*1</f>
        <v>0</v>
      </c>
      <c r="J281" s="92">
        <f>(SUBSTITUTE(Audio!J281, "RE-", "", 1))*1</f>
        <v>164.118</v>
      </c>
      <c r="K281" s="92">
        <f>(SUBSTITUTE(Audio!K281, "RE-", "", 1))*1</f>
        <v>0.537817</v>
      </c>
      <c r="L281" s="92">
        <f>(SUBSTITUTE(Audio!L281, "RE-", "", 1))*1</f>
        <v>901.827</v>
      </c>
      <c r="M281" s="92">
        <f>(SUBSTITUTE(Audio!M281, "RE-", "", 1))*1</f>
        <v>9.19952</v>
      </c>
      <c r="N281" s="92">
        <f>(SUBSTITUTE(Audio!N281, "RE-", "", 1))*1</f>
        <v>1024.35</v>
      </c>
      <c r="O281" s="92">
        <f>(SUBSTITUTE(Audio!O281, "RE-", "", 1))*1</f>
        <v>13.2197</v>
      </c>
      <c r="P281" s="92">
        <f>(SUBSTITUTE(Audio!P281, "RE-", "", 1))*1</f>
        <v>145.225</v>
      </c>
      <c r="Q281" s="92">
        <f>(SUBSTITUTE(Audio!Q281, "RE-", "", 1))*1</f>
        <v>24.0417</v>
      </c>
      <c r="R281" s="92">
        <f>(SUBSTITUTE(Audio!R281, "RE-", "", 1))*1</f>
        <v>49.4006</v>
      </c>
      <c r="S281" s="92">
        <f>(SUBSTITUTE(Audio!S281, "RE-", "", 1))*1</f>
        <v>0.545217</v>
      </c>
      <c r="T281" s="92">
        <f>(SUBSTITUTE(Audio!T281, "RE-", "", 1))*1</f>
        <v>168.97</v>
      </c>
      <c r="U281" s="92">
        <f>(SUBSTITUTE(Audio!U281, "RE-", "", 1))*1</f>
        <v>4.15665</v>
      </c>
      <c r="V281" s="92">
        <f>(SUBSTITUTE(Audio!V281, "RE-", "", 1))*1</f>
        <v>0.44005</v>
      </c>
      <c r="W281" s="92">
        <f>(SUBSTITUTE(Audio!W281, "RE-", "", 1))*1</f>
        <v>0</v>
      </c>
      <c r="X281" s="92">
        <f>(SUBSTITUTE(Audio!X281, "RE-", "", 1))*1</f>
        <v>0</v>
      </c>
      <c r="Y281" s="92">
        <f>(SUBSTITUTE(Audio!Y281, "RE-", "", 1))*1</f>
        <v>0</v>
      </c>
      <c r="Z281" s="92">
        <f>(SUBSTITUTE(Audio!Z281, "RE-", "", 1))*1</f>
        <v>0</v>
      </c>
      <c r="AA281" s="92"/>
      <c r="AB281" s="92"/>
      <c r="AC281" s="92"/>
      <c r="AD281" s="92"/>
      <c r="AE281" s="92"/>
      <c r="AF281" s="92"/>
      <c r="AG281" s="92"/>
      <c r="AH281" s="92"/>
      <c r="AI281" s="92"/>
      <c r="AJ281" s="92"/>
      <c r="AK281" s="92"/>
      <c r="AL281" s="92"/>
      <c r="AM281" s="92"/>
      <c r="AN281" s="92"/>
      <c r="AO281" s="92"/>
      <c r="AP281" s="92"/>
      <c r="AQ281" s="92"/>
      <c r="AR281" s="92"/>
      <c r="AS281" s="92"/>
      <c r="AT281" s="92"/>
      <c r="AU281" s="92"/>
      <c r="AV281" s="92"/>
      <c r="AW281" s="92"/>
      <c r="AX281" s="92"/>
      <c r="AY281" s="92"/>
      <c r="AZ281" s="92"/>
      <c r="BA281" s="92"/>
      <c r="BB281" s="92"/>
      <c r="BC281" s="92"/>
      <c r="BD281" s="92"/>
      <c r="BE281" s="92"/>
      <c r="BF281" s="92"/>
      <c r="BG281" s="92"/>
      <c r="BH281" s="92"/>
      <c r="BI281" s="92"/>
      <c r="BJ281" s="92"/>
      <c r="BK281" s="92"/>
      <c r="BL281" s="92"/>
      <c r="BM281" s="92"/>
      <c r="BN281" s="92"/>
      <c r="BO281" s="92"/>
      <c r="BP281" s="92"/>
      <c r="BQ281" s="92"/>
      <c r="BR281" s="92"/>
      <c r="BS281" s="92"/>
      <c r="BT281" s="92"/>
      <c r="BU281" s="92"/>
      <c r="BV281" s="92"/>
      <c r="BW281" s="92"/>
      <c r="BX281" s="92"/>
      <c r="BY281" s="92"/>
      <c r="BZ281" s="92"/>
      <c r="CA281" s="92"/>
      <c r="CB281" s="92"/>
      <c r="CC281" s="92"/>
      <c r="CD281" s="92"/>
      <c r="CE281" s="92"/>
      <c r="CF281" s="92"/>
      <c r="CG281" s="92"/>
      <c r="CH281" s="92"/>
      <c r="CI281" s="92"/>
      <c r="CJ281" s="92"/>
      <c r="CK281" s="92"/>
      <c r="CL281" s="92"/>
      <c r="CM281" s="92"/>
      <c r="CN281" s="92"/>
      <c r="CO281" s="92"/>
      <c r="CP281" s="92"/>
      <c r="CQ281" s="92"/>
      <c r="CR281" s="92"/>
      <c r="CS281" s="92"/>
      <c r="CT281" s="92"/>
      <c r="CU281" s="92"/>
      <c r="CV281" s="92"/>
      <c r="CW281" s="92"/>
      <c r="CX281" s="92"/>
      <c r="CY281" s="92"/>
      <c r="CZ281" s="92"/>
      <c r="DA281" s="92"/>
      <c r="DB281" s="92"/>
      <c r="DC281" s="92"/>
      <c r="DD281" s="92"/>
      <c r="DE281" s="92"/>
      <c r="DF281" s="92"/>
      <c r="DG281" s="92"/>
      <c r="DH281" s="92"/>
      <c r="DI281" s="92"/>
      <c r="DJ281" s="92"/>
      <c r="DK281" s="92"/>
      <c r="DL281" s="92"/>
      <c r="DM281" s="92"/>
      <c r="DN281" s="92"/>
      <c r="DO281" s="92"/>
      <c r="DP281" s="92"/>
      <c r="DQ281" s="92"/>
      <c r="DR281" s="92"/>
      <c r="DS281" s="92"/>
      <c r="DT281" s="92"/>
      <c r="DU281" s="92"/>
      <c r="DV281" s="92"/>
      <c r="DW281" s="92"/>
      <c r="DX281" s="92"/>
      <c r="DY281" s="92"/>
      <c r="DZ281" s="92"/>
      <c r="EA281" s="92"/>
      <c r="EB281" s="92"/>
      <c r="EC281" s="92"/>
      <c r="ED281" s="92"/>
      <c r="EE281" s="92"/>
      <c r="EF281" s="92"/>
      <c r="EG281" s="92"/>
      <c r="EH281" s="92"/>
      <c r="EI281" s="92"/>
      <c r="EJ281" s="92"/>
      <c r="EK281" s="92"/>
      <c r="EL281" s="92"/>
      <c r="EM281" s="92"/>
      <c r="EN281" s="92"/>
      <c r="EO281" s="92"/>
      <c r="EP281" s="92"/>
      <c r="EQ281" s="92"/>
      <c r="ER281" s="92"/>
      <c r="ES281" s="92"/>
      <c r="ET281" s="92"/>
      <c r="EU281" s="92"/>
      <c r="EV281" s="92"/>
      <c r="EW281" s="92"/>
      <c r="EX281" s="92"/>
      <c r="EY281" s="92"/>
      <c r="EZ281" s="92"/>
      <c r="FA281" s="92"/>
      <c r="FB281" s="92"/>
      <c r="FC281" s="92"/>
      <c r="FD281" s="92"/>
      <c r="FE281" s="92"/>
      <c r="FF281" s="92"/>
      <c r="FG281" s="92"/>
      <c r="FH281" s="92"/>
    </row>
    <row r="282">
      <c r="A282" s="27" t="s">
        <v>54</v>
      </c>
      <c r="B282" s="27" t="s">
        <v>56</v>
      </c>
      <c r="C282" s="27" t="s">
        <v>15</v>
      </c>
      <c r="D282" s="98">
        <f t="shared" si="1"/>
        <v>4800.619484</v>
      </c>
      <c r="E282" s="92">
        <f>(SUBSTITUTE(Audio!E282, "RE-", "", 1))*1</f>
        <v>0</v>
      </c>
      <c r="F282" s="92">
        <f>(SUBSTITUTE(Audio!F282, "RE-", "", 1))*1</f>
        <v>1815.26</v>
      </c>
      <c r="G282" s="92">
        <f>(SUBSTITUTE(Audio!G282, "RE-", "", 1))*1</f>
        <v>7.66995</v>
      </c>
      <c r="H282" s="92">
        <f>(SUBSTITUTE(Audio!H282, "RE-", "", 1))*1</f>
        <v>129.745</v>
      </c>
      <c r="I282" s="92">
        <f>(SUBSTITUTE(Audio!I282, "RE-", "", 1))*1</f>
        <v>0</v>
      </c>
      <c r="J282" s="92">
        <f>(SUBSTITUTE(Audio!J282, "RE-", "", 1))*1</f>
        <v>179.497</v>
      </c>
      <c r="K282" s="92">
        <f>(SUBSTITUTE(Audio!K282, "RE-", "", 1))*1</f>
        <v>0.6781</v>
      </c>
      <c r="L282" s="92">
        <f>(SUBSTITUTE(Audio!L282, "RE-", "", 1))*1</f>
        <v>1019.3</v>
      </c>
      <c r="M282" s="92">
        <f>(SUBSTITUTE(Audio!M282, "RE-", "", 1))*1</f>
        <v>11.4575</v>
      </c>
      <c r="N282" s="92">
        <f>(SUBSTITUTE(Audio!N282, "RE-", "", 1))*1</f>
        <v>1162.6</v>
      </c>
      <c r="O282" s="92">
        <f>(SUBSTITUTE(Audio!O282, "RE-", "", 1))*1</f>
        <v>13.9718</v>
      </c>
      <c r="P282" s="92">
        <f>(SUBSTITUTE(Audio!P282, "RE-", "", 1))*1</f>
        <v>174.61</v>
      </c>
      <c r="Q282" s="92">
        <f>(SUBSTITUTE(Audio!Q282, "RE-", "", 1))*1</f>
        <v>27.8319</v>
      </c>
      <c r="R282" s="92">
        <f>(SUBSTITUTE(Audio!R282, "RE-", "", 1))*1</f>
        <v>55.143</v>
      </c>
      <c r="S282" s="92">
        <f>(SUBSTITUTE(Audio!S282, "RE-", "", 1))*1</f>
        <v>0.545217</v>
      </c>
      <c r="T282" s="92">
        <f>(SUBSTITUTE(Audio!T282, "RE-", "", 1))*1</f>
        <v>197.1</v>
      </c>
      <c r="U282" s="92">
        <f>(SUBSTITUTE(Audio!U282, "RE-", "", 1))*1</f>
        <v>4.66215</v>
      </c>
      <c r="V282" s="92">
        <f>(SUBSTITUTE(Audio!V282, "RE-", "", 1))*1</f>
        <v>0.547867</v>
      </c>
      <c r="W282" s="92">
        <f>(SUBSTITUTE(Audio!W282, "RE-", "", 1))*1</f>
        <v>0</v>
      </c>
      <c r="X282" s="92">
        <f>(SUBSTITUTE(Audio!X282, "RE-", "", 1))*1</f>
        <v>0</v>
      </c>
      <c r="Y282" s="92">
        <f>(SUBSTITUTE(Audio!Y282, "RE-", "", 1))*1</f>
        <v>0</v>
      </c>
      <c r="Z282" s="92">
        <f>(SUBSTITUTE(Audio!Z282, "RE-", "", 1))*1</f>
        <v>0</v>
      </c>
      <c r="AA282" s="92"/>
      <c r="AB282" s="92"/>
      <c r="AC282" s="92"/>
      <c r="AD282" s="92"/>
      <c r="AE282" s="92"/>
      <c r="AF282" s="92"/>
      <c r="AG282" s="92"/>
      <c r="AH282" s="92"/>
      <c r="AI282" s="92"/>
      <c r="AJ282" s="92"/>
      <c r="AK282" s="92"/>
      <c r="AL282" s="92"/>
      <c r="AM282" s="92"/>
      <c r="AN282" s="92"/>
      <c r="AO282" s="92"/>
      <c r="AP282" s="92"/>
      <c r="AQ282" s="92"/>
      <c r="AR282" s="92"/>
      <c r="AS282" s="92"/>
      <c r="AT282" s="92"/>
      <c r="AU282" s="92"/>
      <c r="AV282" s="92"/>
      <c r="AW282" s="92"/>
      <c r="AX282" s="92"/>
      <c r="AY282" s="92"/>
      <c r="AZ282" s="92"/>
      <c r="BA282" s="92"/>
      <c r="BB282" s="92"/>
      <c r="BC282" s="92"/>
      <c r="BD282" s="92"/>
      <c r="BE282" s="92"/>
      <c r="BF282" s="92"/>
      <c r="BG282" s="92"/>
      <c r="BH282" s="92"/>
      <c r="BI282" s="92"/>
      <c r="BJ282" s="92"/>
      <c r="BK282" s="92"/>
      <c r="BL282" s="92"/>
      <c r="BM282" s="92"/>
      <c r="BN282" s="92"/>
      <c r="BO282" s="92"/>
      <c r="BP282" s="92"/>
      <c r="BQ282" s="92"/>
      <c r="BR282" s="92"/>
      <c r="BS282" s="92"/>
      <c r="BT282" s="92"/>
      <c r="BU282" s="92"/>
      <c r="BV282" s="92"/>
      <c r="BW282" s="92"/>
      <c r="BX282" s="92"/>
      <c r="BY282" s="92"/>
      <c r="BZ282" s="92"/>
      <c r="CA282" s="92"/>
      <c r="CB282" s="92"/>
      <c r="CC282" s="92"/>
      <c r="CD282" s="92"/>
      <c r="CE282" s="92"/>
      <c r="CF282" s="92"/>
      <c r="CG282" s="92"/>
      <c r="CH282" s="92"/>
      <c r="CI282" s="92"/>
      <c r="CJ282" s="92"/>
      <c r="CK282" s="92"/>
      <c r="CL282" s="92"/>
      <c r="CM282" s="92"/>
      <c r="CN282" s="92"/>
      <c r="CO282" s="92"/>
      <c r="CP282" s="92"/>
      <c r="CQ282" s="92"/>
      <c r="CR282" s="92"/>
      <c r="CS282" s="92"/>
      <c r="CT282" s="92"/>
      <c r="CU282" s="92"/>
      <c r="CV282" s="92"/>
      <c r="CW282" s="92"/>
      <c r="CX282" s="92"/>
      <c r="CY282" s="92"/>
      <c r="CZ282" s="92"/>
      <c r="DA282" s="92"/>
      <c r="DB282" s="92"/>
      <c r="DC282" s="92"/>
      <c r="DD282" s="92"/>
      <c r="DE282" s="92"/>
      <c r="DF282" s="92"/>
      <c r="DG282" s="92"/>
      <c r="DH282" s="92"/>
      <c r="DI282" s="92"/>
      <c r="DJ282" s="92"/>
      <c r="DK282" s="92"/>
      <c r="DL282" s="92"/>
      <c r="DM282" s="92"/>
      <c r="DN282" s="92"/>
      <c r="DO282" s="92"/>
      <c r="DP282" s="92"/>
      <c r="DQ282" s="92"/>
      <c r="DR282" s="92"/>
      <c r="DS282" s="92"/>
      <c r="DT282" s="92"/>
      <c r="DU282" s="92"/>
      <c r="DV282" s="92"/>
      <c r="DW282" s="92"/>
      <c r="DX282" s="92"/>
      <c r="DY282" s="92"/>
      <c r="DZ282" s="92"/>
      <c r="EA282" s="92"/>
      <c r="EB282" s="92"/>
      <c r="EC282" s="92"/>
      <c r="ED282" s="92"/>
      <c r="EE282" s="92"/>
      <c r="EF282" s="92"/>
      <c r="EG282" s="92"/>
      <c r="EH282" s="92"/>
      <c r="EI282" s="92"/>
      <c r="EJ282" s="92"/>
      <c r="EK282" s="92"/>
      <c r="EL282" s="92"/>
      <c r="EM282" s="92"/>
      <c r="EN282" s="92"/>
      <c r="EO282" s="92"/>
      <c r="EP282" s="92"/>
      <c r="EQ282" s="92"/>
      <c r="ER282" s="92"/>
      <c r="ES282" s="92"/>
      <c r="ET282" s="92"/>
      <c r="EU282" s="92"/>
      <c r="EV282" s="92"/>
      <c r="EW282" s="92"/>
      <c r="EX282" s="92"/>
      <c r="EY282" s="92"/>
      <c r="EZ282" s="92"/>
      <c r="FA282" s="92"/>
      <c r="FB282" s="92"/>
      <c r="FC282" s="92"/>
      <c r="FD282" s="92"/>
      <c r="FE282" s="92"/>
      <c r="FF282" s="92"/>
      <c r="FG282" s="92"/>
      <c r="FH282" s="92"/>
    </row>
    <row r="283">
      <c r="A283" s="30" t="s">
        <v>38</v>
      </c>
      <c r="B283" s="30" t="s">
        <v>57</v>
      </c>
      <c r="C283" s="31" t="str">
        <f>HYPERLINK("https://docs.google.com/spreadsheets/d/110Bf4WdomCSJ_LSEGX6q_4U4mvVmuw68/edit?usp=share_link&amp;ouid=106501987799020758802&amp;rtpof=true&amp;sd=true", "Raw Delivered")</f>
        <v>Raw Delivered</v>
      </c>
      <c r="D283" s="96">
        <f t="shared" si="1"/>
        <v>7374.490856</v>
      </c>
      <c r="E283" s="92">
        <f>(SUBSTITUTE(Audio!E283, "RE-", "", 1))*1</f>
        <v>0</v>
      </c>
      <c r="F283" s="92">
        <f>(SUBSTITUTE(Audio!F283, "RE-", "", 1))*1</f>
        <v>407.6999969</v>
      </c>
      <c r="G283" s="92">
        <f>(SUBSTITUTE(Audio!G283, "RE-", "", 1))*1</f>
        <v>0</v>
      </c>
      <c r="H283" s="92">
        <f>(SUBSTITUTE(Audio!H283, "RE-", "", 1))*1</f>
        <v>90.10824792</v>
      </c>
      <c r="I283" s="92">
        <f>(SUBSTITUTE(Audio!I283, "RE-", "", 1))*1</f>
        <v>0</v>
      </c>
      <c r="J283" s="92">
        <f>(SUBSTITUTE(Audio!J283, "RE-", "", 1))*1</f>
        <v>774.3129427</v>
      </c>
      <c r="K283" s="92">
        <f>(SUBSTITUTE(Audio!K283, "RE-", "", 1))*1</f>
        <v>0</v>
      </c>
      <c r="L283" s="92">
        <f>(SUBSTITUTE(Audio!L283, "RE-", "", 1))*1</f>
        <v>1523.097318</v>
      </c>
      <c r="M283" s="92">
        <f>(SUBSTITUTE(Audio!M283, "RE-", "", 1))*1</f>
        <v>0</v>
      </c>
      <c r="N283" s="92">
        <f>(SUBSTITUTE(Audio!N283, "RE-", "", 1))*1</f>
        <v>3223.377277</v>
      </c>
      <c r="O283" s="92">
        <f>(SUBSTITUTE(Audio!O283, "RE-", "", 1))*1</f>
        <v>0</v>
      </c>
      <c r="P283" s="92">
        <f>(SUBSTITUTE(Audio!P283, "RE-", "", 1))*1</f>
        <v>673.4898073</v>
      </c>
      <c r="Q283" s="92">
        <f>(SUBSTITUTE(Audio!Q283, "RE-", "", 1))*1</f>
        <v>0</v>
      </c>
      <c r="R283" s="92">
        <f>(SUBSTITUTE(Audio!R283, "RE-", "", 1))*1</f>
        <v>113.2344469</v>
      </c>
      <c r="S283" s="92">
        <f>(SUBSTITUTE(Audio!S283, "RE-", "", 1))*1</f>
        <v>0</v>
      </c>
      <c r="T283" s="92">
        <f>(SUBSTITUTE(Audio!T283, "RE-", "", 1))*1</f>
        <v>569.1708188</v>
      </c>
      <c r="U283" s="92">
        <f>(SUBSTITUTE(Audio!U283, "RE-", "", 1))*1</f>
        <v>0</v>
      </c>
      <c r="V283" s="92">
        <f>(SUBSTITUTE(Audio!V283, "RE-", "", 1))*1</f>
        <v>0</v>
      </c>
      <c r="W283" s="92">
        <f>(SUBSTITUTE(Audio!W283, "RE-", "", 1))*1</f>
        <v>0</v>
      </c>
      <c r="X283" s="92">
        <f>(SUBSTITUTE(Audio!X283, "RE-", "", 1))*1</f>
        <v>0</v>
      </c>
      <c r="Y283" s="92">
        <f>(SUBSTITUTE(Audio!Y283, "RE-", "", 1))*1</f>
        <v>0</v>
      </c>
      <c r="Z283" s="92">
        <f>(SUBSTITUTE(Audio!Z283, "RE-", "", 1))*1</f>
        <v>0</v>
      </c>
      <c r="AA283" s="92"/>
      <c r="AB283" s="92"/>
      <c r="AC283" s="92"/>
      <c r="AD283" s="92"/>
      <c r="AE283" s="92"/>
      <c r="AF283" s="92"/>
      <c r="AG283" s="92"/>
      <c r="AH283" s="92"/>
      <c r="AI283" s="92"/>
      <c r="AJ283" s="92"/>
      <c r="AK283" s="92"/>
      <c r="AL283" s="92"/>
      <c r="AM283" s="92"/>
      <c r="AN283" s="92"/>
      <c r="AO283" s="92"/>
      <c r="AP283" s="92"/>
      <c r="AQ283" s="92"/>
      <c r="AR283" s="92"/>
      <c r="AS283" s="92"/>
      <c r="AT283" s="92"/>
      <c r="AU283" s="92"/>
      <c r="AV283" s="92"/>
      <c r="AW283" s="92"/>
      <c r="AX283" s="92"/>
      <c r="AY283" s="92"/>
      <c r="AZ283" s="92"/>
      <c r="BA283" s="92"/>
      <c r="BB283" s="92"/>
      <c r="BC283" s="92"/>
      <c r="BD283" s="92"/>
      <c r="BE283" s="92"/>
      <c r="BF283" s="92"/>
      <c r="BG283" s="92"/>
      <c r="BH283" s="92"/>
      <c r="BI283" s="92"/>
      <c r="BJ283" s="92"/>
      <c r="BK283" s="92"/>
      <c r="BL283" s="92"/>
      <c r="BM283" s="92"/>
      <c r="BN283" s="92"/>
      <c r="BO283" s="92"/>
      <c r="BP283" s="92"/>
      <c r="BQ283" s="92"/>
      <c r="BR283" s="92"/>
      <c r="BS283" s="92"/>
      <c r="BT283" s="92"/>
      <c r="BU283" s="92"/>
      <c r="BV283" s="92"/>
      <c r="BW283" s="92"/>
      <c r="BX283" s="92"/>
      <c r="BY283" s="92"/>
      <c r="BZ283" s="92"/>
      <c r="CA283" s="92"/>
      <c r="CB283" s="92"/>
      <c r="CC283" s="92"/>
      <c r="CD283" s="92"/>
      <c r="CE283" s="92"/>
      <c r="CF283" s="92"/>
      <c r="CG283" s="92"/>
      <c r="CH283" s="92"/>
      <c r="CI283" s="92"/>
      <c r="CJ283" s="92"/>
      <c r="CK283" s="92"/>
      <c r="CL283" s="92"/>
      <c r="CM283" s="92"/>
      <c r="CN283" s="92"/>
      <c r="CO283" s="92"/>
      <c r="CP283" s="92"/>
      <c r="CQ283" s="92"/>
      <c r="CR283" s="92"/>
      <c r="CS283" s="92"/>
      <c r="CT283" s="92"/>
      <c r="CU283" s="92"/>
      <c r="CV283" s="92"/>
      <c r="CW283" s="92"/>
      <c r="CX283" s="92"/>
      <c r="CY283" s="92"/>
      <c r="CZ283" s="92"/>
      <c r="DA283" s="92"/>
      <c r="DB283" s="92"/>
      <c r="DC283" s="92"/>
      <c r="DD283" s="92"/>
      <c r="DE283" s="92"/>
      <c r="DF283" s="92"/>
      <c r="DG283" s="92"/>
      <c r="DH283" s="92"/>
      <c r="DI283" s="92"/>
      <c r="DJ283" s="92"/>
      <c r="DK283" s="92"/>
      <c r="DL283" s="92"/>
      <c r="DM283" s="92"/>
      <c r="DN283" s="92"/>
      <c r="DO283" s="92"/>
      <c r="DP283" s="92"/>
      <c r="DQ283" s="92"/>
      <c r="DR283" s="92"/>
      <c r="DS283" s="92"/>
      <c r="DT283" s="92"/>
      <c r="DU283" s="92"/>
      <c r="DV283" s="92"/>
      <c r="DW283" s="92"/>
      <c r="DX283" s="92"/>
      <c r="DY283" s="92"/>
      <c r="DZ283" s="92"/>
      <c r="EA283" s="92"/>
      <c r="EB283" s="92"/>
      <c r="EC283" s="92"/>
      <c r="ED283" s="92"/>
      <c r="EE283" s="92"/>
      <c r="EF283" s="92"/>
      <c r="EG283" s="92"/>
      <c r="EH283" s="92"/>
      <c r="EI283" s="92"/>
      <c r="EJ283" s="92"/>
      <c r="EK283" s="92"/>
      <c r="EL283" s="92"/>
      <c r="EM283" s="92"/>
      <c r="EN283" s="92"/>
      <c r="EO283" s="92"/>
      <c r="EP283" s="92"/>
      <c r="EQ283" s="92"/>
      <c r="ER283" s="92"/>
      <c r="ES283" s="92"/>
      <c r="ET283" s="92"/>
      <c r="EU283" s="92"/>
      <c r="EV283" s="92"/>
      <c r="EW283" s="92"/>
      <c r="EX283" s="92"/>
      <c r="EY283" s="92"/>
      <c r="EZ283" s="92"/>
      <c r="FA283" s="92"/>
      <c r="FB283" s="92"/>
      <c r="FC283" s="92"/>
      <c r="FD283" s="92"/>
      <c r="FE283" s="92"/>
      <c r="FF283" s="92"/>
      <c r="FG283" s="92"/>
      <c r="FH283" s="92"/>
    </row>
    <row r="284">
      <c r="A284" s="32" t="s">
        <v>38</v>
      </c>
      <c r="B284" s="32" t="s">
        <v>57</v>
      </c>
      <c r="C284" s="32" t="s">
        <v>9</v>
      </c>
      <c r="D284" s="97">
        <f t="shared" si="1"/>
        <v>7374.490856</v>
      </c>
      <c r="E284" s="92">
        <f>(SUBSTITUTE(Audio!E284, "RE-", "", 1))*1</f>
        <v>0</v>
      </c>
      <c r="F284" s="92">
        <f>(SUBSTITUTE(Audio!F284, "RE-", "", 1))*1</f>
        <v>407.6999969</v>
      </c>
      <c r="G284" s="92">
        <f>(SUBSTITUTE(Audio!G284, "RE-", "", 1))*1</f>
        <v>0</v>
      </c>
      <c r="H284" s="92">
        <f>(SUBSTITUTE(Audio!H284, "RE-", "", 1))*1</f>
        <v>90.10824792</v>
      </c>
      <c r="I284" s="92">
        <f>(SUBSTITUTE(Audio!I284, "RE-", "", 1))*1</f>
        <v>0</v>
      </c>
      <c r="J284" s="92">
        <f>(SUBSTITUTE(Audio!J284, "RE-", "", 1))*1</f>
        <v>774.3129427</v>
      </c>
      <c r="K284" s="92">
        <f>(SUBSTITUTE(Audio!K284, "RE-", "", 1))*1</f>
        <v>0</v>
      </c>
      <c r="L284" s="92">
        <f>(SUBSTITUTE(Audio!L284, "RE-", "", 1))*1</f>
        <v>1523.097318</v>
      </c>
      <c r="M284" s="92">
        <f>(SUBSTITUTE(Audio!M284, "RE-", "", 1))*1</f>
        <v>0</v>
      </c>
      <c r="N284" s="92">
        <f>(SUBSTITUTE(Audio!N284, "RE-", "", 1))*1</f>
        <v>3223.377277</v>
      </c>
      <c r="O284" s="92">
        <f>(SUBSTITUTE(Audio!O284, "RE-", "", 1))*1</f>
        <v>0</v>
      </c>
      <c r="P284" s="92">
        <f>(SUBSTITUTE(Audio!P284, "RE-", "", 1))*1</f>
        <v>673.4898073</v>
      </c>
      <c r="Q284" s="92">
        <f>(SUBSTITUTE(Audio!Q284, "RE-", "", 1))*1</f>
        <v>0</v>
      </c>
      <c r="R284" s="92">
        <f>(SUBSTITUTE(Audio!R284, "RE-", "", 1))*1</f>
        <v>113.2344469</v>
      </c>
      <c r="S284" s="92">
        <f>(SUBSTITUTE(Audio!S284, "RE-", "", 1))*1</f>
        <v>0</v>
      </c>
      <c r="T284" s="92">
        <f>(SUBSTITUTE(Audio!T284, "RE-", "", 1))*1</f>
        <v>569.1708188</v>
      </c>
      <c r="U284" s="92">
        <f>(SUBSTITUTE(Audio!U284, "RE-", "", 1))*1</f>
        <v>0</v>
      </c>
      <c r="V284" s="92">
        <f>(SUBSTITUTE(Audio!V284, "RE-", "", 1))*1</f>
        <v>0</v>
      </c>
      <c r="W284" s="92">
        <f>(SUBSTITUTE(Audio!W284, "RE-", "", 1))*1</f>
        <v>0</v>
      </c>
      <c r="X284" s="92">
        <f>(SUBSTITUTE(Audio!X284, "RE-", "", 1))*1</f>
        <v>0</v>
      </c>
      <c r="Y284" s="92">
        <f>(SUBSTITUTE(Audio!Y284, "RE-", "", 1))*1</f>
        <v>0</v>
      </c>
      <c r="Z284" s="92">
        <f>(SUBSTITUTE(Audio!Z284, "RE-", "", 1))*1</f>
        <v>0</v>
      </c>
      <c r="AA284" s="92"/>
      <c r="AB284" s="92"/>
      <c r="AC284" s="92"/>
      <c r="AD284" s="92"/>
      <c r="AE284" s="92"/>
      <c r="AF284" s="92"/>
      <c r="AG284" s="92"/>
      <c r="AH284" s="92"/>
      <c r="AI284" s="92"/>
      <c r="AJ284" s="92"/>
      <c r="AK284" s="92"/>
      <c r="AL284" s="92"/>
      <c r="AM284" s="92"/>
      <c r="AN284" s="92"/>
      <c r="AO284" s="92"/>
      <c r="AP284" s="92"/>
      <c r="AQ284" s="92"/>
      <c r="AR284" s="92"/>
      <c r="AS284" s="92"/>
      <c r="AT284" s="92"/>
      <c r="AU284" s="92"/>
      <c r="AV284" s="92"/>
      <c r="AW284" s="92"/>
      <c r="AX284" s="92"/>
      <c r="AY284" s="92"/>
      <c r="AZ284" s="92"/>
      <c r="BA284" s="92"/>
      <c r="BB284" s="92"/>
      <c r="BC284" s="92"/>
      <c r="BD284" s="92"/>
      <c r="BE284" s="92"/>
      <c r="BF284" s="92"/>
      <c r="BG284" s="92"/>
      <c r="BH284" s="92"/>
      <c r="BI284" s="92"/>
      <c r="BJ284" s="92"/>
      <c r="BK284" s="92"/>
      <c r="BL284" s="92"/>
      <c r="BM284" s="92"/>
      <c r="BN284" s="92"/>
      <c r="BO284" s="92"/>
      <c r="BP284" s="92"/>
      <c r="BQ284" s="92"/>
      <c r="BR284" s="92"/>
      <c r="BS284" s="92"/>
      <c r="BT284" s="92"/>
      <c r="BU284" s="92"/>
      <c r="BV284" s="92"/>
      <c r="BW284" s="92"/>
      <c r="BX284" s="92"/>
      <c r="BY284" s="92"/>
      <c r="BZ284" s="92"/>
      <c r="CA284" s="92"/>
      <c r="CB284" s="92"/>
      <c r="CC284" s="92"/>
      <c r="CD284" s="92"/>
      <c r="CE284" s="92"/>
      <c r="CF284" s="92"/>
      <c r="CG284" s="92"/>
      <c r="CH284" s="92"/>
      <c r="CI284" s="92"/>
      <c r="CJ284" s="92"/>
      <c r="CK284" s="92"/>
      <c r="CL284" s="92"/>
      <c r="CM284" s="92"/>
      <c r="CN284" s="92"/>
      <c r="CO284" s="92"/>
      <c r="CP284" s="92"/>
      <c r="CQ284" s="92"/>
      <c r="CR284" s="92"/>
      <c r="CS284" s="92"/>
      <c r="CT284" s="92"/>
      <c r="CU284" s="92"/>
      <c r="CV284" s="92"/>
      <c r="CW284" s="92"/>
      <c r="CX284" s="92"/>
      <c r="CY284" s="92"/>
      <c r="CZ284" s="92"/>
      <c r="DA284" s="92"/>
      <c r="DB284" s="92"/>
      <c r="DC284" s="92"/>
      <c r="DD284" s="92"/>
      <c r="DE284" s="92"/>
      <c r="DF284" s="92"/>
      <c r="DG284" s="92"/>
      <c r="DH284" s="92"/>
      <c r="DI284" s="92"/>
      <c r="DJ284" s="92"/>
      <c r="DK284" s="92"/>
      <c r="DL284" s="92"/>
      <c r="DM284" s="92"/>
      <c r="DN284" s="92"/>
      <c r="DO284" s="92"/>
      <c r="DP284" s="92"/>
      <c r="DQ284" s="92"/>
      <c r="DR284" s="92"/>
      <c r="DS284" s="92"/>
      <c r="DT284" s="92"/>
      <c r="DU284" s="92"/>
      <c r="DV284" s="92"/>
      <c r="DW284" s="92"/>
      <c r="DX284" s="92"/>
      <c r="DY284" s="92"/>
      <c r="DZ284" s="92"/>
      <c r="EA284" s="92"/>
      <c r="EB284" s="92"/>
      <c r="EC284" s="92"/>
      <c r="ED284" s="92"/>
      <c r="EE284" s="92"/>
      <c r="EF284" s="92"/>
      <c r="EG284" s="92"/>
      <c r="EH284" s="92"/>
      <c r="EI284" s="92"/>
      <c r="EJ284" s="92"/>
      <c r="EK284" s="92"/>
      <c r="EL284" s="92"/>
      <c r="EM284" s="92"/>
      <c r="EN284" s="92"/>
      <c r="EO284" s="92"/>
      <c r="EP284" s="92"/>
      <c r="EQ284" s="92"/>
      <c r="ER284" s="92"/>
      <c r="ES284" s="92"/>
      <c r="ET284" s="92"/>
      <c r="EU284" s="92"/>
      <c r="EV284" s="92"/>
      <c r="EW284" s="92"/>
      <c r="EX284" s="92"/>
      <c r="EY284" s="92"/>
      <c r="EZ284" s="92"/>
      <c r="FA284" s="92"/>
      <c r="FB284" s="92"/>
      <c r="FC284" s="92"/>
      <c r="FD284" s="92"/>
      <c r="FE284" s="92"/>
      <c r="FF284" s="92"/>
      <c r="FG284" s="92"/>
      <c r="FH284" s="92"/>
    </row>
    <row r="285">
      <c r="A285" s="32" t="s">
        <v>38</v>
      </c>
      <c r="B285" s="32" t="s">
        <v>57</v>
      </c>
      <c r="C285" s="32" t="s">
        <v>10</v>
      </c>
      <c r="D285" s="97">
        <f t="shared" si="1"/>
        <v>818.1377854</v>
      </c>
      <c r="E285" s="92">
        <f>(SUBSTITUTE(Audio!E285, "RE-", "", 1))*1</f>
        <v>0</v>
      </c>
      <c r="F285" s="92">
        <f>(SUBSTITUTE(Audio!F285, "RE-", "", 1))*1</f>
        <v>0</v>
      </c>
      <c r="G285" s="92">
        <f>(SUBSTITUTE(Audio!G285, "RE-", "", 1))*1</f>
        <v>44.85735</v>
      </c>
      <c r="H285" s="92">
        <f>(SUBSTITUTE(Audio!H285, "RE-", "", 1))*1</f>
        <v>0</v>
      </c>
      <c r="I285" s="92">
        <f>(SUBSTITUTE(Audio!I285, "RE-", "", 1))*1</f>
        <v>4.256038542</v>
      </c>
      <c r="J285" s="92">
        <f>(SUBSTITUTE(Audio!J285, "RE-", "", 1))*1</f>
        <v>0</v>
      </c>
      <c r="K285" s="92">
        <f>(SUBSTITUTE(Audio!K285, "RE-", "", 1))*1</f>
        <v>63.50617812</v>
      </c>
      <c r="L285" s="92">
        <f>(SUBSTITUTE(Audio!L285, "RE-", "", 1))*1</f>
        <v>0</v>
      </c>
      <c r="M285" s="92">
        <f>(SUBSTITUTE(Audio!M285, "RE-", "", 1))*1</f>
        <v>64.65667083</v>
      </c>
      <c r="N285" s="92">
        <f>(SUBSTITUTE(Audio!N285, "RE-", "", 1))*1</f>
        <v>0</v>
      </c>
      <c r="O285" s="92">
        <f>(SUBSTITUTE(Audio!O285, "RE-", "", 1))*1</f>
        <v>437.5412844</v>
      </c>
      <c r="P285" s="92">
        <f>(SUBSTITUTE(Audio!P285, "RE-", "", 1))*1</f>
        <v>0</v>
      </c>
      <c r="Q285" s="92">
        <f>(SUBSTITUTE(Audio!Q285, "RE-", "", 1))*1</f>
        <v>97.60086146</v>
      </c>
      <c r="R285" s="92">
        <f>(SUBSTITUTE(Audio!R285, "RE-", "", 1))*1</f>
        <v>0</v>
      </c>
      <c r="S285" s="92">
        <f>(SUBSTITUTE(Audio!S285, "RE-", "", 1))*1</f>
        <v>47.29539479</v>
      </c>
      <c r="T285" s="92">
        <f>(SUBSTITUTE(Audio!T285, "RE-", "", 1))*1</f>
        <v>0</v>
      </c>
      <c r="U285" s="92">
        <f>(SUBSTITUTE(Audio!U285, "RE-", "", 1))*1</f>
        <v>48.44467813</v>
      </c>
      <c r="V285" s="92">
        <f>(SUBSTITUTE(Audio!V285, "RE-", "", 1))*1</f>
        <v>9.979329167</v>
      </c>
      <c r="W285" s="92">
        <f>(SUBSTITUTE(Audio!W285, "RE-", "", 1))*1</f>
        <v>0</v>
      </c>
      <c r="X285" s="92">
        <f>(SUBSTITUTE(Audio!X285, "RE-", "", 1))*1</f>
        <v>0</v>
      </c>
      <c r="Y285" s="92">
        <f>(SUBSTITUTE(Audio!Y285, "RE-", "", 1))*1</f>
        <v>0</v>
      </c>
      <c r="Z285" s="92">
        <f>(SUBSTITUTE(Audio!Z285, "RE-", "", 1))*1</f>
        <v>0</v>
      </c>
      <c r="AA285" s="92"/>
      <c r="AB285" s="92"/>
      <c r="AC285" s="92"/>
      <c r="AD285" s="92"/>
      <c r="AE285" s="92"/>
      <c r="AF285" s="92"/>
      <c r="AG285" s="92"/>
      <c r="AH285" s="92"/>
      <c r="AI285" s="92"/>
      <c r="AJ285" s="92"/>
      <c r="AK285" s="92"/>
      <c r="AL285" s="92"/>
      <c r="AM285" s="92"/>
      <c r="AN285" s="92"/>
      <c r="AO285" s="92"/>
      <c r="AP285" s="92"/>
      <c r="AQ285" s="92"/>
      <c r="AR285" s="92"/>
      <c r="AS285" s="92"/>
      <c r="AT285" s="92"/>
      <c r="AU285" s="92"/>
      <c r="AV285" s="92"/>
      <c r="AW285" s="92"/>
      <c r="AX285" s="92"/>
      <c r="AY285" s="92"/>
      <c r="AZ285" s="92"/>
      <c r="BA285" s="92"/>
      <c r="BB285" s="92"/>
      <c r="BC285" s="92"/>
      <c r="BD285" s="92"/>
      <c r="BE285" s="92"/>
      <c r="BF285" s="92"/>
      <c r="BG285" s="92"/>
      <c r="BH285" s="92"/>
      <c r="BI285" s="92"/>
      <c r="BJ285" s="92"/>
      <c r="BK285" s="92"/>
      <c r="BL285" s="92"/>
      <c r="BM285" s="92"/>
      <c r="BN285" s="92"/>
      <c r="BO285" s="92"/>
      <c r="BP285" s="92"/>
      <c r="BQ285" s="92"/>
      <c r="BR285" s="92"/>
      <c r="BS285" s="92"/>
      <c r="BT285" s="92"/>
      <c r="BU285" s="92"/>
      <c r="BV285" s="92"/>
      <c r="BW285" s="92"/>
      <c r="BX285" s="92"/>
      <c r="BY285" s="92"/>
      <c r="BZ285" s="92"/>
      <c r="CA285" s="92"/>
      <c r="CB285" s="92"/>
      <c r="CC285" s="92"/>
      <c r="CD285" s="92"/>
      <c r="CE285" s="92"/>
      <c r="CF285" s="92"/>
      <c r="CG285" s="92"/>
      <c r="CH285" s="92"/>
      <c r="CI285" s="92"/>
      <c r="CJ285" s="92"/>
      <c r="CK285" s="92"/>
      <c r="CL285" s="92"/>
      <c r="CM285" s="92"/>
      <c r="CN285" s="92"/>
      <c r="CO285" s="92"/>
      <c r="CP285" s="92"/>
      <c r="CQ285" s="92"/>
      <c r="CR285" s="92"/>
      <c r="CS285" s="92"/>
      <c r="CT285" s="92"/>
      <c r="CU285" s="92"/>
      <c r="CV285" s="92"/>
      <c r="CW285" s="92"/>
      <c r="CX285" s="92"/>
      <c r="CY285" s="92"/>
      <c r="CZ285" s="92"/>
      <c r="DA285" s="92"/>
      <c r="DB285" s="92"/>
      <c r="DC285" s="92"/>
      <c r="DD285" s="92"/>
      <c r="DE285" s="92"/>
      <c r="DF285" s="92"/>
      <c r="DG285" s="92"/>
      <c r="DH285" s="92"/>
      <c r="DI285" s="92"/>
      <c r="DJ285" s="92"/>
      <c r="DK285" s="92"/>
      <c r="DL285" s="92"/>
      <c r="DM285" s="92"/>
      <c r="DN285" s="92"/>
      <c r="DO285" s="92"/>
      <c r="DP285" s="92"/>
      <c r="DQ285" s="92"/>
      <c r="DR285" s="92"/>
      <c r="DS285" s="92"/>
      <c r="DT285" s="92"/>
      <c r="DU285" s="92"/>
      <c r="DV285" s="92"/>
      <c r="DW285" s="92"/>
      <c r="DX285" s="92"/>
      <c r="DY285" s="92"/>
      <c r="DZ285" s="92"/>
      <c r="EA285" s="92"/>
      <c r="EB285" s="92"/>
      <c r="EC285" s="92"/>
      <c r="ED285" s="92"/>
      <c r="EE285" s="92"/>
      <c r="EF285" s="92"/>
      <c r="EG285" s="92"/>
      <c r="EH285" s="92"/>
      <c r="EI285" s="92"/>
      <c r="EJ285" s="92"/>
      <c r="EK285" s="92"/>
      <c r="EL285" s="92"/>
      <c r="EM285" s="92"/>
      <c r="EN285" s="92"/>
      <c r="EO285" s="92"/>
      <c r="EP285" s="92"/>
      <c r="EQ285" s="92"/>
      <c r="ER285" s="92"/>
      <c r="ES285" s="92"/>
      <c r="ET285" s="92"/>
      <c r="EU285" s="92"/>
      <c r="EV285" s="92"/>
      <c r="EW285" s="92"/>
      <c r="EX285" s="92"/>
      <c r="EY285" s="92"/>
      <c r="EZ285" s="92"/>
      <c r="FA285" s="92"/>
      <c r="FB285" s="92"/>
      <c r="FC285" s="92"/>
      <c r="FD285" s="92"/>
      <c r="FE285" s="92"/>
      <c r="FF285" s="92"/>
      <c r="FG285" s="92"/>
      <c r="FH285" s="92"/>
    </row>
    <row r="286">
      <c r="A286" s="32" t="s">
        <v>38</v>
      </c>
      <c r="B286" s="32" t="s">
        <v>57</v>
      </c>
      <c r="C286" s="32" t="s">
        <v>11</v>
      </c>
      <c r="D286" s="97">
        <f t="shared" si="1"/>
        <v>818.1377854</v>
      </c>
      <c r="E286" s="92">
        <f>(SUBSTITUTE(Audio!E286, "RE-", "", 1))*1</f>
        <v>0</v>
      </c>
      <c r="F286" s="92">
        <f>(SUBSTITUTE(Audio!F286, "RE-", "", 1))*1</f>
        <v>0</v>
      </c>
      <c r="G286" s="92">
        <f>(SUBSTITUTE(Audio!G286, "RE-", "", 1))*1</f>
        <v>44.85735</v>
      </c>
      <c r="H286" s="92">
        <f>(SUBSTITUTE(Audio!H286, "RE-", "", 1))*1</f>
        <v>0</v>
      </c>
      <c r="I286" s="92">
        <f>(SUBSTITUTE(Audio!I286, "RE-", "", 1))*1</f>
        <v>4.256038542</v>
      </c>
      <c r="J286" s="92">
        <f>(SUBSTITUTE(Audio!J286, "RE-", "", 1))*1</f>
        <v>0</v>
      </c>
      <c r="K286" s="92">
        <f>(SUBSTITUTE(Audio!K286, "RE-", "", 1))*1</f>
        <v>63.50617812</v>
      </c>
      <c r="L286" s="92">
        <f>(SUBSTITUTE(Audio!L286, "RE-", "", 1))*1</f>
        <v>0</v>
      </c>
      <c r="M286" s="92">
        <f>(SUBSTITUTE(Audio!M286, "RE-", "", 1))*1</f>
        <v>64.65667083</v>
      </c>
      <c r="N286" s="92">
        <f>(SUBSTITUTE(Audio!N286, "RE-", "", 1))*1</f>
        <v>0</v>
      </c>
      <c r="O286" s="92">
        <f>(SUBSTITUTE(Audio!O286, "RE-", "", 1))*1</f>
        <v>437.5412844</v>
      </c>
      <c r="P286" s="92">
        <f>(SUBSTITUTE(Audio!P286, "RE-", "", 1))*1</f>
        <v>0</v>
      </c>
      <c r="Q286" s="92">
        <f>(SUBSTITUTE(Audio!Q286, "RE-", "", 1))*1</f>
        <v>97.60086146</v>
      </c>
      <c r="R286" s="92">
        <f>(SUBSTITUTE(Audio!R286, "RE-", "", 1))*1</f>
        <v>0</v>
      </c>
      <c r="S286" s="92">
        <f>(SUBSTITUTE(Audio!S286, "RE-", "", 1))*1</f>
        <v>47.29539479</v>
      </c>
      <c r="T286" s="92">
        <f>(SUBSTITUTE(Audio!T286, "RE-", "", 1))*1</f>
        <v>0</v>
      </c>
      <c r="U286" s="92">
        <f>(SUBSTITUTE(Audio!U286, "RE-", "", 1))*1</f>
        <v>48.44467813</v>
      </c>
      <c r="V286" s="92">
        <f>(SUBSTITUTE(Audio!V286, "RE-", "", 1))*1</f>
        <v>9.979329167</v>
      </c>
      <c r="W286" s="92">
        <f>(SUBSTITUTE(Audio!W286, "RE-", "", 1))*1</f>
        <v>0</v>
      </c>
      <c r="X286" s="92">
        <f>(SUBSTITUTE(Audio!X286, "RE-", "", 1))*1</f>
        <v>0</v>
      </c>
      <c r="Y286" s="92">
        <f>(SUBSTITUTE(Audio!Y286, "RE-", "", 1))*1</f>
        <v>0</v>
      </c>
      <c r="Z286" s="92">
        <f>(SUBSTITUTE(Audio!Z286, "RE-", "", 1))*1</f>
        <v>0</v>
      </c>
      <c r="AA286" s="92"/>
      <c r="AB286" s="92"/>
      <c r="AC286" s="92"/>
      <c r="AD286" s="92"/>
      <c r="AE286" s="92"/>
      <c r="AF286" s="92"/>
      <c r="AG286" s="92"/>
      <c r="AH286" s="92"/>
      <c r="AI286" s="92"/>
      <c r="AJ286" s="92"/>
      <c r="AK286" s="92"/>
      <c r="AL286" s="92"/>
      <c r="AM286" s="92"/>
      <c r="AN286" s="92"/>
      <c r="AO286" s="92"/>
      <c r="AP286" s="92"/>
      <c r="AQ286" s="92"/>
      <c r="AR286" s="92"/>
      <c r="AS286" s="92"/>
      <c r="AT286" s="92"/>
      <c r="AU286" s="92"/>
      <c r="AV286" s="92"/>
      <c r="AW286" s="92"/>
      <c r="AX286" s="92"/>
      <c r="AY286" s="92"/>
      <c r="AZ286" s="92"/>
      <c r="BA286" s="92"/>
      <c r="BB286" s="92"/>
      <c r="BC286" s="92"/>
      <c r="BD286" s="92"/>
      <c r="BE286" s="92"/>
      <c r="BF286" s="92"/>
      <c r="BG286" s="92"/>
      <c r="BH286" s="92"/>
      <c r="BI286" s="92"/>
      <c r="BJ286" s="92"/>
      <c r="BK286" s="92"/>
      <c r="BL286" s="92"/>
      <c r="BM286" s="92"/>
      <c r="BN286" s="92"/>
      <c r="BO286" s="92"/>
      <c r="BP286" s="92"/>
      <c r="BQ286" s="92"/>
      <c r="BR286" s="92"/>
      <c r="BS286" s="92"/>
      <c r="BT286" s="92"/>
      <c r="BU286" s="92"/>
      <c r="BV286" s="92"/>
      <c r="BW286" s="92"/>
      <c r="BX286" s="92"/>
      <c r="BY286" s="92"/>
      <c r="BZ286" s="92"/>
      <c r="CA286" s="92"/>
      <c r="CB286" s="92"/>
      <c r="CC286" s="92"/>
      <c r="CD286" s="92"/>
      <c r="CE286" s="92"/>
      <c r="CF286" s="92"/>
      <c r="CG286" s="92"/>
      <c r="CH286" s="92"/>
      <c r="CI286" s="92"/>
      <c r="CJ286" s="92"/>
      <c r="CK286" s="92"/>
      <c r="CL286" s="92"/>
      <c r="CM286" s="92"/>
      <c r="CN286" s="92"/>
      <c r="CO286" s="92"/>
      <c r="CP286" s="92"/>
      <c r="CQ286" s="92"/>
      <c r="CR286" s="92"/>
      <c r="CS286" s="92"/>
      <c r="CT286" s="92"/>
      <c r="CU286" s="92"/>
      <c r="CV286" s="92"/>
      <c r="CW286" s="92"/>
      <c r="CX286" s="92"/>
      <c r="CY286" s="92"/>
      <c r="CZ286" s="92"/>
      <c r="DA286" s="92"/>
      <c r="DB286" s="92"/>
      <c r="DC286" s="92"/>
      <c r="DD286" s="92"/>
      <c r="DE286" s="92"/>
      <c r="DF286" s="92"/>
      <c r="DG286" s="92"/>
      <c r="DH286" s="92"/>
      <c r="DI286" s="92"/>
      <c r="DJ286" s="92"/>
      <c r="DK286" s="92"/>
      <c r="DL286" s="92"/>
      <c r="DM286" s="92"/>
      <c r="DN286" s="92"/>
      <c r="DO286" s="92"/>
      <c r="DP286" s="92"/>
      <c r="DQ286" s="92"/>
      <c r="DR286" s="92"/>
      <c r="DS286" s="92"/>
      <c r="DT286" s="92"/>
      <c r="DU286" s="92"/>
      <c r="DV286" s="92"/>
      <c r="DW286" s="92"/>
      <c r="DX286" s="92"/>
      <c r="DY286" s="92"/>
      <c r="DZ286" s="92"/>
      <c r="EA286" s="92"/>
      <c r="EB286" s="92"/>
      <c r="EC286" s="92"/>
      <c r="ED286" s="92"/>
      <c r="EE286" s="92"/>
      <c r="EF286" s="92"/>
      <c r="EG286" s="92"/>
      <c r="EH286" s="92"/>
      <c r="EI286" s="92"/>
      <c r="EJ286" s="92"/>
      <c r="EK286" s="92"/>
      <c r="EL286" s="92"/>
      <c r="EM286" s="92"/>
      <c r="EN286" s="92"/>
      <c r="EO286" s="92"/>
      <c r="EP286" s="92"/>
      <c r="EQ286" s="92"/>
      <c r="ER286" s="92"/>
      <c r="ES286" s="92"/>
      <c r="ET286" s="92"/>
      <c r="EU286" s="92"/>
      <c r="EV286" s="92"/>
      <c r="EW286" s="92"/>
      <c r="EX286" s="92"/>
      <c r="EY286" s="92"/>
      <c r="EZ286" s="92"/>
      <c r="FA286" s="92"/>
      <c r="FB286" s="92"/>
      <c r="FC286" s="92"/>
      <c r="FD286" s="92"/>
      <c r="FE286" s="92"/>
      <c r="FF286" s="92"/>
      <c r="FG286" s="92"/>
      <c r="FH286" s="92"/>
    </row>
    <row r="287">
      <c r="A287" s="32" t="s">
        <v>38</v>
      </c>
      <c r="B287" s="32" t="s">
        <v>57</v>
      </c>
      <c r="C287" s="32" t="s">
        <v>12</v>
      </c>
      <c r="D287" s="97">
        <f t="shared" si="1"/>
        <v>5913.330562</v>
      </c>
      <c r="E287" s="92">
        <f>(SUBSTITUTE(Audio!E287, "RE-", "", 1))*1</f>
        <v>0</v>
      </c>
      <c r="F287" s="92">
        <f>(SUBSTITUTE(Audio!F287, "RE-", "", 1))*1</f>
        <v>332.5240958</v>
      </c>
      <c r="G287" s="92">
        <f>(SUBSTITUTE(Audio!G287, "RE-", "", 1))*1</f>
        <v>1.352708333</v>
      </c>
      <c r="H287" s="92">
        <f>(SUBSTITUTE(Audio!H287, "RE-", "", 1))*1</f>
        <v>85.83856875</v>
      </c>
      <c r="I287" s="92">
        <f>(SUBSTITUTE(Audio!I287, "RE-", "", 1))*1</f>
        <v>0</v>
      </c>
      <c r="J287" s="92">
        <f>(SUBSTITUTE(Audio!J287, "RE-", "", 1))*1</f>
        <v>575.9226073</v>
      </c>
      <c r="K287" s="92">
        <f>(SUBSTITUTE(Audio!K287, "RE-", "", 1))*1</f>
        <v>3.595497917</v>
      </c>
      <c r="L287" s="92">
        <f>(SUBSTITUTE(Audio!L287, "RE-", "", 1))*1</f>
        <v>1424.196437</v>
      </c>
      <c r="M287" s="92">
        <f>(SUBSTITUTE(Audio!M287, "RE-", "", 1))*1</f>
        <v>12.97447396</v>
      </c>
      <c r="N287" s="92">
        <f>(SUBSTITUTE(Audio!N287, "RE-", "", 1))*1</f>
        <v>2136.549171</v>
      </c>
      <c r="O287" s="92">
        <f>(SUBSTITUTE(Audio!O287, "RE-", "", 1))*1</f>
        <v>11.62919375</v>
      </c>
      <c r="P287" s="92">
        <f>(SUBSTITUTE(Audio!P287, "RE-", "", 1))*1</f>
        <v>601.940975</v>
      </c>
      <c r="Q287" s="92">
        <f>(SUBSTITUTE(Audio!Q287, "RE-", "", 1))*1</f>
        <v>30.42804167</v>
      </c>
      <c r="R287" s="92">
        <f>(SUBSTITUTE(Audio!R287, "RE-", "", 1))*1</f>
        <v>100.9772573</v>
      </c>
      <c r="S287" s="92">
        <f>(SUBSTITUTE(Audio!S287, "RE-", "", 1))*1</f>
        <v>26.49537708</v>
      </c>
      <c r="T287" s="92">
        <f>(SUBSTITUTE(Audio!T287, "RE-", "", 1))*1</f>
        <v>538.5822938</v>
      </c>
      <c r="U287" s="92">
        <f>(SUBSTITUTE(Audio!U287, "RE-", "", 1))*1</f>
        <v>25.93572188</v>
      </c>
      <c r="V287" s="92">
        <f>(SUBSTITUTE(Audio!V287, "RE-", "", 1))*1</f>
        <v>4.388141667</v>
      </c>
      <c r="W287" s="92">
        <f>(SUBSTITUTE(Audio!W287, "RE-", "", 1))*1</f>
        <v>0</v>
      </c>
      <c r="X287" s="92">
        <f>(SUBSTITUTE(Audio!X287, "RE-", "", 1))*1</f>
        <v>0</v>
      </c>
      <c r="Y287" s="92">
        <f>(SUBSTITUTE(Audio!Y287, "RE-", "", 1))*1</f>
        <v>0</v>
      </c>
      <c r="Z287" s="92">
        <f>(SUBSTITUTE(Audio!Z287, "RE-", "", 1))*1</f>
        <v>0</v>
      </c>
      <c r="AA287" s="92"/>
      <c r="AB287" s="92"/>
      <c r="AC287" s="92"/>
      <c r="AD287" s="92"/>
      <c r="AE287" s="92"/>
      <c r="AF287" s="92"/>
      <c r="AG287" s="92"/>
      <c r="AH287" s="92"/>
      <c r="AI287" s="92"/>
      <c r="AJ287" s="92"/>
      <c r="AK287" s="92"/>
      <c r="AL287" s="92"/>
      <c r="AM287" s="92"/>
      <c r="AN287" s="92"/>
      <c r="AO287" s="92"/>
      <c r="AP287" s="92"/>
      <c r="AQ287" s="92"/>
      <c r="AR287" s="92"/>
      <c r="AS287" s="92"/>
      <c r="AT287" s="92"/>
      <c r="AU287" s="92"/>
      <c r="AV287" s="92"/>
      <c r="AW287" s="92"/>
      <c r="AX287" s="92"/>
      <c r="AY287" s="92"/>
      <c r="AZ287" s="92"/>
      <c r="BA287" s="92"/>
      <c r="BB287" s="92"/>
      <c r="BC287" s="92"/>
      <c r="BD287" s="92"/>
      <c r="BE287" s="92"/>
      <c r="BF287" s="92"/>
      <c r="BG287" s="92"/>
      <c r="BH287" s="92"/>
      <c r="BI287" s="92"/>
      <c r="BJ287" s="92"/>
      <c r="BK287" s="92"/>
      <c r="BL287" s="92"/>
      <c r="BM287" s="92"/>
      <c r="BN287" s="92"/>
      <c r="BO287" s="92"/>
      <c r="BP287" s="92"/>
      <c r="BQ287" s="92"/>
      <c r="BR287" s="92"/>
      <c r="BS287" s="92"/>
      <c r="BT287" s="92"/>
      <c r="BU287" s="92"/>
      <c r="BV287" s="92"/>
      <c r="BW287" s="92"/>
      <c r="BX287" s="92"/>
      <c r="BY287" s="92"/>
      <c r="BZ287" s="92"/>
      <c r="CA287" s="92"/>
      <c r="CB287" s="92"/>
      <c r="CC287" s="92"/>
      <c r="CD287" s="92"/>
      <c r="CE287" s="92"/>
      <c r="CF287" s="92"/>
      <c r="CG287" s="92"/>
      <c r="CH287" s="92"/>
      <c r="CI287" s="92"/>
      <c r="CJ287" s="92"/>
      <c r="CK287" s="92"/>
      <c r="CL287" s="92"/>
      <c r="CM287" s="92"/>
      <c r="CN287" s="92"/>
      <c r="CO287" s="92"/>
      <c r="CP287" s="92"/>
      <c r="CQ287" s="92"/>
      <c r="CR287" s="92"/>
      <c r="CS287" s="92"/>
      <c r="CT287" s="92"/>
      <c r="CU287" s="92"/>
      <c r="CV287" s="92"/>
      <c r="CW287" s="92"/>
      <c r="CX287" s="92"/>
      <c r="CY287" s="92"/>
      <c r="CZ287" s="92"/>
      <c r="DA287" s="92"/>
      <c r="DB287" s="92"/>
      <c r="DC287" s="92"/>
      <c r="DD287" s="92"/>
      <c r="DE287" s="92"/>
      <c r="DF287" s="92"/>
      <c r="DG287" s="92"/>
      <c r="DH287" s="92"/>
      <c r="DI287" s="92"/>
      <c r="DJ287" s="92"/>
      <c r="DK287" s="92"/>
      <c r="DL287" s="92"/>
      <c r="DM287" s="92"/>
      <c r="DN287" s="92"/>
      <c r="DO287" s="92"/>
      <c r="DP287" s="92"/>
      <c r="DQ287" s="92"/>
      <c r="DR287" s="92"/>
      <c r="DS287" s="92"/>
      <c r="DT287" s="92"/>
      <c r="DU287" s="92"/>
      <c r="DV287" s="92"/>
      <c r="DW287" s="92"/>
      <c r="DX287" s="92"/>
      <c r="DY287" s="92"/>
      <c r="DZ287" s="92"/>
      <c r="EA287" s="92"/>
      <c r="EB287" s="92"/>
      <c r="EC287" s="92"/>
      <c r="ED287" s="92"/>
      <c r="EE287" s="92"/>
      <c r="EF287" s="92"/>
      <c r="EG287" s="92"/>
      <c r="EH287" s="92"/>
      <c r="EI287" s="92"/>
      <c r="EJ287" s="92"/>
      <c r="EK287" s="92"/>
      <c r="EL287" s="92"/>
      <c r="EM287" s="92"/>
      <c r="EN287" s="92"/>
      <c r="EO287" s="92"/>
      <c r="EP287" s="92"/>
      <c r="EQ287" s="92"/>
      <c r="ER287" s="92"/>
      <c r="ES287" s="92"/>
      <c r="ET287" s="92"/>
      <c r="EU287" s="92"/>
      <c r="EV287" s="92"/>
      <c r="EW287" s="92"/>
      <c r="EX287" s="92"/>
      <c r="EY287" s="92"/>
      <c r="EZ287" s="92"/>
      <c r="FA287" s="92"/>
      <c r="FB287" s="92"/>
      <c r="FC287" s="92"/>
      <c r="FD287" s="92"/>
      <c r="FE287" s="92"/>
      <c r="FF287" s="92"/>
      <c r="FG287" s="92"/>
      <c r="FH287" s="92"/>
    </row>
    <row r="288">
      <c r="A288" s="32" t="s">
        <v>38</v>
      </c>
      <c r="B288" s="32" t="s">
        <v>57</v>
      </c>
      <c r="C288" s="32" t="s">
        <v>13</v>
      </c>
      <c r="D288" s="97">
        <f t="shared" si="1"/>
        <v>5643.80773</v>
      </c>
      <c r="E288" s="92">
        <f>(SUBSTITUTE(Audio!E288, "RE-", "", 1))*1</f>
        <v>0</v>
      </c>
      <c r="F288" s="92">
        <f>(SUBSTITUTE(Audio!F288, "RE-", "", 1))*1</f>
        <v>321.535</v>
      </c>
      <c r="G288" s="92">
        <f>(SUBSTITUTE(Audio!G288, "RE-", "", 1))*1</f>
        <v>1.24248</v>
      </c>
      <c r="H288" s="92">
        <f>(SUBSTITUTE(Audio!H288, "RE-", "", 1))*1</f>
        <v>83.1044</v>
      </c>
      <c r="I288" s="92">
        <f>(SUBSTITUTE(Audio!I288, "RE-", "", 1))*1</f>
        <v>0</v>
      </c>
      <c r="J288" s="92">
        <f>(SUBSTITUTE(Audio!J288, "RE-", "", 1))*1</f>
        <v>554.704</v>
      </c>
      <c r="K288" s="92">
        <f>(SUBSTITUTE(Audio!K288, "RE-", "", 1))*1</f>
        <v>3.18342</v>
      </c>
      <c r="L288" s="92">
        <f>(SUBSTITUTE(Audio!L288, "RE-", "", 1))*1</f>
        <v>1349.37</v>
      </c>
      <c r="M288" s="92">
        <f>(SUBSTITUTE(Audio!M288, "RE-", "", 1))*1</f>
        <v>11.7797</v>
      </c>
      <c r="N288" s="92">
        <f>(SUBSTITUTE(Audio!N288, "RE-", "", 1))*1</f>
        <v>2052.8</v>
      </c>
      <c r="O288" s="92">
        <f>(SUBSTITUTE(Audio!O288, "RE-", "", 1))*1</f>
        <v>11.1012</v>
      </c>
      <c r="P288" s="92">
        <f>(SUBSTITUTE(Audio!P288, "RE-", "", 1))*1</f>
        <v>566.381</v>
      </c>
      <c r="Q288" s="92">
        <f>(SUBSTITUTE(Audio!Q288, "RE-", "", 1))*1</f>
        <v>28.6469</v>
      </c>
      <c r="R288" s="92">
        <f>(SUBSTITUTE(Audio!R288, "RE-", "", 1))*1</f>
        <v>95.5784</v>
      </c>
      <c r="S288" s="92">
        <f>(SUBSTITUTE(Audio!S288, "RE-", "", 1))*1</f>
        <v>24.7825</v>
      </c>
      <c r="T288" s="92">
        <f>(SUBSTITUTE(Audio!T288, "RE-", "", 1))*1</f>
        <v>510.86</v>
      </c>
      <c r="U288" s="92">
        <f>(SUBSTITUTE(Audio!U288, "RE-", "", 1))*1</f>
        <v>24.5067</v>
      </c>
      <c r="V288" s="92">
        <f>(SUBSTITUTE(Audio!V288, "RE-", "", 1))*1</f>
        <v>4.23203</v>
      </c>
      <c r="W288" s="92">
        <f>(SUBSTITUTE(Audio!W288, "RE-", "", 1))*1</f>
        <v>0</v>
      </c>
      <c r="X288" s="92">
        <f>(SUBSTITUTE(Audio!X288, "RE-", "", 1))*1</f>
        <v>0</v>
      </c>
      <c r="Y288" s="92">
        <f>(SUBSTITUTE(Audio!Y288, "RE-", "", 1))*1</f>
        <v>0</v>
      </c>
      <c r="Z288" s="92">
        <f>(SUBSTITUTE(Audio!Z288, "RE-", "", 1))*1</f>
        <v>0</v>
      </c>
      <c r="AA288" s="92"/>
      <c r="AB288" s="92"/>
      <c r="AC288" s="92"/>
      <c r="AD288" s="92"/>
      <c r="AE288" s="92"/>
      <c r="AF288" s="92"/>
      <c r="AG288" s="92"/>
      <c r="AH288" s="92"/>
      <c r="AI288" s="92"/>
      <c r="AJ288" s="92"/>
      <c r="AK288" s="92"/>
      <c r="AL288" s="92"/>
      <c r="AM288" s="92"/>
      <c r="AN288" s="92"/>
      <c r="AO288" s="92"/>
      <c r="AP288" s="92"/>
      <c r="AQ288" s="92"/>
      <c r="AR288" s="92"/>
      <c r="AS288" s="92"/>
      <c r="AT288" s="92"/>
      <c r="AU288" s="92"/>
      <c r="AV288" s="92"/>
      <c r="AW288" s="92"/>
      <c r="AX288" s="92"/>
      <c r="AY288" s="92"/>
      <c r="AZ288" s="92"/>
      <c r="BA288" s="92"/>
      <c r="BB288" s="92"/>
      <c r="BC288" s="92"/>
      <c r="BD288" s="92"/>
      <c r="BE288" s="92"/>
      <c r="BF288" s="92"/>
      <c r="BG288" s="92"/>
      <c r="BH288" s="92"/>
      <c r="BI288" s="92"/>
      <c r="BJ288" s="92"/>
      <c r="BK288" s="92"/>
      <c r="BL288" s="92"/>
      <c r="BM288" s="92"/>
      <c r="BN288" s="92"/>
      <c r="BO288" s="92"/>
      <c r="BP288" s="92"/>
      <c r="BQ288" s="92"/>
      <c r="BR288" s="92"/>
      <c r="BS288" s="92"/>
      <c r="BT288" s="92"/>
      <c r="BU288" s="92"/>
      <c r="BV288" s="92"/>
      <c r="BW288" s="92"/>
      <c r="BX288" s="92"/>
      <c r="BY288" s="92"/>
      <c r="BZ288" s="92"/>
      <c r="CA288" s="92"/>
      <c r="CB288" s="92"/>
      <c r="CC288" s="92"/>
      <c r="CD288" s="92"/>
      <c r="CE288" s="92"/>
      <c r="CF288" s="92"/>
      <c r="CG288" s="92"/>
      <c r="CH288" s="92"/>
      <c r="CI288" s="92"/>
      <c r="CJ288" s="92"/>
      <c r="CK288" s="92"/>
      <c r="CL288" s="92"/>
      <c r="CM288" s="92"/>
      <c r="CN288" s="92"/>
      <c r="CO288" s="92"/>
      <c r="CP288" s="92"/>
      <c r="CQ288" s="92"/>
      <c r="CR288" s="92"/>
      <c r="CS288" s="92"/>
      <c r="CT288" s="92"/>
      <c r="CU288" s="92"/>
      <c r="CV288" s="92"/>
      <c r="CW288" s="92"/>
      <c r="CX288" s="92"/>
      <c r="CY288" s="92"/>
      <c r="CZ288" s="92"/>
      <c r="DA288" s="92"/>
      <c r="DB288" s="92"/>
      <c r="DC288" s="92"/>
      <c r="DD288" s="92"/>
      <c r="DE288" s="92"/>
      <c r="DF288" s="92"/>
      <c r="DG288" s="92"/>
      <c r="DH288" s="92"/>
      <c r="DI288" s="92"/>
      <c r="DJ288" s="92"/>
      <c r="DK288" s="92"/>
      <c r="DL288" s="92"/>
      <c r="DM288" s="92"/>
      <c r="DN288" s="92"/>
      <c r="DO288" s="92"/>
      <c r="DP288" s="92"/>
      <c r="DQ288" s="92"/>
      <c r="DR288" s="92"/>
      <c r="DS288" s="92"/>
      <c r="DT288" s="92"/>
      <c r="DU288" s="92"/>
      <c r="DV288" s="92"/>
      <c r="DW288" s="92"/>
      <c r="DX288" s="92"/>
      <c r="DY288" s="92"/>
      <c r="DZ288" s="92"/>
      <c r="EA288" s="92"/>
      <c r="EB288" s="92"/>
      <c r="EC288" s="92"/>
      <c r="ED288" s="92"/>
      <c r="EE288" s="92"/>
      <c r="EF288" s="92"/>
      <c r="EG288" s="92"/>
      <c r="EH288" s="92"/>
      <c r="EI288" s="92"/>
      <c r="EJ288" s="92"/>
      <c r="EK288" s="92"/>
      <c r="EL288" s="92"/>
      <c r="EM288" s="92"/>
      <c r="EN288" s="92"/>
      <c r="EO288" s="92"/>
      <c r="EP288" s="92"/>
      <c r="EQ288" s="92"/>
      <c r="ER288" s="92"/>
      <c r="ES288" s="92"/>
      <c r="ET288" s="92"/>
      <c r="EU288" s="92"/>
      <c r="EV288" s="92"/>
      <c r="EW288" s="92"/>
      <c r="EX288" s="92"/>
      <c r="EY288" s="92"/>
      <c r="EZ288" s="92"/>
      <c r="FA288" s="92"/>
      <c r="FB288" s="92"/>
      <c r="FC288" s="92"/>
      <c r="FD288" s="92"/>
      <c r="FE288" s="92"/>
      <c r="FF288" s="92"/>
      <c r="FG288" s="92"/>
      <c r="FH288" s="92"/>
    </row>
    <row r="289">
      <c r="A289" s="32" t="s">
        <v>38</v>
      </c>
      <c r="B289" s="32" t="s">
        <v>57</v>
      </c>
      <c r="C289" s="32" t="s">
        <v>14</v>
      </c>
      <c r="D289" s="97">
        <f t="shared" si="1"/>
        <v>4962.21452</v>
      </c>
      <c r="E289" s="92">
        <f>(SUBSTITUTE(Audio!E289, "RE-", "", 1))*1</f>
        <v>0</v>
      </c>
      <c r="F289" s="92">
        <f>(SUBSTITUTE(Audio!F289, "RE-", "", 1))*1</f>
        <v>278.891</v>
      </c>
      <c r="G289" s="92">
        <f>(SUBSTITUTE(Audio!G289, "RE-", "", 1))*1</f>
        <v>1.24248</v>
      </c>
      <c r="H289" s="92">
        <f>(SUBSTITUTE(Audio!H289, "RE-", "", 1))*1</f>
        <v>77.1397</v>
      </c>
      <c r="I289" s="92">
        <f>(SUBSTITUTE(Audio!I289, "RE-", "", 1))*1</f>
        <v>0</v>
      </c>
      <c r="J289" s="92">
        <f>(SUBSTITUTE(Audio!J289, "RE-", "", 1))*1</f>
        <v>505.679</v>
      </c>
      <c r="K289" s="92">
        <f>(SUBSTITUTE(Audio!K289, "RE-", "", 1))*1</f>
        <v>2.65287</v>
      </c>
      <c r="L289" s="92">
        <f>(SUBSTITUTE(Audio!L289, "RE-", "", 1))*1</f>
        <v>1187.98</v>
      </c>
      <c r="M289" s="92">
        <f>(SUBSTITUTE(Audio!M289, "RE-", "", 1))*1</f>
        <v>9.34343</v>
      </c>
      <c r="N289" s="92">
        <f>(SUBSTITUTE(Audio!N289, "RE-", "", 1))*1</f>
        <v>1819.64</v>
      </c>
      <c r="O289" s="92">
        <f>(SUBSTITUTE(Audio!O289, "RE-", "", 1))*1</f>
        <v>9.96342</v>
      </c>
      <c r="P289" s="92">
        <f>(SUBSTITUTE(Audio!P289, "RE-", "", 1))*1</f>
        <v>486.98</v>
      </c>
      <c r="Q289" s="92">
        <f>(SUBSTITUTE(Audio!Q289, "RE-", "", 1))*1</f>
        <v>25.3185</v>
      </c>
      <c r="R289" s="92">
        <f>(SUBSTITUTE(Audio!R289, "RE-", "", 1))*1</f>
        <v>79.1017</v>
      </c>
      <c r="S289" s="92">
        <f>(SUBSTITUTE(Audio!S289, "RE-", "", 1))*1</f>
        <v>22.5527</v>
      </c>
      <c r="T289" s="92">
        <f>(SUBSTITUTE(Audio!T289, "RE-", "", 1))*1</f>
        <v>431.268</v>
      </c>
      <c r="U289" s="92">
        <f>(SUBSTITUTE(Audio!U289, "RE-", "", 1))*1</f>
        <v>21.0555</v>
      </c>
      <c r="V289" s="92">
        <f>(SUBSTITUTE(Audio!V289, "RE-", "", 1))*1</f>
        <v>3.40622</v>
      </c>
      <c r="W289" s="92">
        <f>(SUBSTITUTE(Audio!W289, "RE-", "", 1))*1</f>
        <v>0</v>
      </c>
      <c r="X289" s="92">
        <f>(SUBSTITUTE(Audio!X289, "RE-", "", 1))*1</f>
        <v>0</v>
      </c>
      <c r="Y289" s="92">
        <f>(SUBSTITUTE(Audio!Y289, "RE-", "", 1))*1</f>
        <v>0</v>
      </c>
      <c r="Z289" s="92">
        <f>(SUBSTITUTE(Audio!Z289, "RE-", "", 1))*1</f>
        <v>0</v>
      </c>
      <c r="AA289" s="92"/>
      <c r="AB289" s="92"/>
      <c r="AC289" s="92"/>
      <c r="AD289" s="92"/>
      <c r="AE289" s="92"/>
      <c r="AF289" s="92"/>
      <c r="AG289" s="92"/>
      <c r="AH289" s="92"/>
      <c r="AI289" s="92"/>
      <c r="AJ289" s="92"/>
      <c r="AK289" s="92"/>
      <c r="AL289" s="92"/>
      <c r="AM289" s="92"/>
      <c r="AN289" s="92"/>
      <c r="AO289" s="92"/>
      <c r="AP289" s="92"/>
      <c r="AQ289" s="92"/>
      <c r="AR289" s="92"/>
      <c r="AS289" s="92"/>
      <c r="AT289" s="92"/>
      <c r="AU289" s="92"/>
      <c r="AV289" s="92"/>
      <c r="AW289" s="92"/>
      <c r="AX289" s="92"/>
      <c r="AY289" s="92"/>
      <c r="AZ289" s="92"/>
      <c r="BA289" s="92"/>
      <c r="BB289" s="92"/>
      <c r="BC289" s="92"/>
      <c r="BD289" s="92"/>
      <c r="BE289" s="92"/>
      <c r="BF289" s="92"/>
      <c r="BG289" s="92"/>
      <c r="BH289" s="92"/>
      <c r="BI289" s="92"/>
      <c r="BJ289" s="92"/>
      <c r="BK289" s="92"/>
      <c r="BL289" s="92"/>
      <c r="BM289" s="92"/>
      <c r="BN289" s="92"/>
      <c r="BO289" s="92"/>
      <c r="BP289" s="92"/>
      <c r="BQ289" s="92"/>
      <c r="BR289" s="92"/>
      <c r="BS289" s="92"/>
      <c r="BT289" s="92"/>
      <c r="BU289" s="92"/>
      <c r="BV289" s="92"/>
      <c r="BW289" s="92"/>
      <c r="BX289" s="92"/>
      <c r="BY289" s="92"/>
      <c r="BZ289" s="92"/>
      <c r="CA289" s="92"/>
      <c r="CB289" s="92"/>
      <c r="CC289" s="92"/>
      <c r="CD289" s="92"/>
      <c r="CE289" s="92"/>
      <c r="CF289" s="92"/>
      <c r="CG289" s="92"/>
      <c r="CH289" s="92"/>
      <c r="CI289" s="92"/>
      <c r="CJ289" s="92"/>
      <c r="CK289" s="92"/>
      <c r="CL289" s="92"/>
      <c r="CM289" s="92"/>
      <c r="CN289" s="92"/>
      <c r="CO289" s="92"/>
      <c r="CP289" s="92"/>
      <c r="CQ289" s="92"/>
      <c r="CR289" s="92"/>
      <c r="CS289" s="92"/>
      <c r="CT289" s="92"/>
      <c r="CU289" s="92"/>
      <c r="CV289" s="92"/>
      <c r="CW289" s="92"/>
      <c r="CX289" s="92"/>
      <c r="CY289" s="92"/>
      <c r="CZ289" s="92"/>
      <c r="DA289" s="92"/>
      <c r="DB289" s="92"/>
      <c r="DC289" s="92"/>
      <c r="DD289" s="92"/>
      <c r="DE289" s="92"/>
      <c r="DF289" s="92"/>
      <c r="DG289" s="92"/>
      <c r="DH289" s="92"/>
      <c r="DI289" s="92"/>
      <c r="DJ289" s="92"/>
      <c r="DK289" s="92"/>
      <c r="DL289" s="92"/>
      <c r="DM289" s="92"/>
      <c r="DN289" s="92"/>
      <c r="DO289" s="92"/>
      <c r="DP289" s="92"/>
      <c r="DQ289" s="92"/>
      <c r="DR289" s="92"/>
      <c r="DS289" s="92"/>
      <c r="DT289" s="92"/>
      <c r="DU289" s="92"/>
      <c r="DV289" s="92"/>
      <c r="DW289" s="92"/>
      <c r="DX289" s="92"/>
      <c r="DY289" s="92"/>
      <c r="DZ289" s="92"/>
      <c r="EA289" s="92"/>
      <c r="EB289" s="92"/>
      <c r="EC289" s="92"/>
      <c r="ED289" s="92"/>
      <c r="EE289" s="92"/>
      <c r="EF289" s="92"/>
      <c r="EG289" s="92"/>
      <c r="EH289" s="92"/>
      <c r="EI289" s="92"/>
      <c r="EJ289" s="92"/>
      <c r="EK289" s="92"/>
      <c r="EL289" s="92"/>
      <c r="EM289" s="92"/>
      <c r="EN289" s="92"/>
      <c r="EO289" s="92"/>
      <c r="EP289" s="92"/>
      <c r="EQ289" s="92"/>
      <c r="ER289" s="92"/>
      <c r="ES289" s="92"/>
      <c r="ET289" s="92"/>
      <c r="EU289" s="92"/>
      <c r="EV289" s="92"/>
      <c r="EW289" s="92"/>
      <c r="EX289" s="92"/>
      <c r="EY289" s="92"/>
      <c r="EZ289" s="92"/>
      <c r="FA289" s="92"/>
      <c r="FB289" s="92"/>
      <c r="FC289" s="92"/>
      <c r="FD289" s="92"/>
      <c r="FE289" s="92"/>
      <c r="FF289" s="92"/>
      <c r="FG289" s="92"/>
      <c r="FH289" s="92"/>
    </row>
    <row r="290">
      <c r="A290" s="27" t="s">
        <v>38</v>
      </c>
      <c r="B290" s="27" t="s">
        <v>57</v>
      </c>
      <c r="C290" s="27" t="s">
        <v>15</v>
      </c>
      <c r="D290" s="98">
        <f t="shared" si="1"/>
        <v>5643.21973</v>
      </c>
      <c r="E290" s="92">
        <f>(SUBSTITUTE(Audio!E290, "RE-", "", 1))*1</f>
        <v>0</v>
      </c>
      <c r="F290" s="92">
        <f>(SUBSTITUTE(Audio!F290, "RE-", "", 1))*1</f>
        <v>321.449</v>
      </c>
      <c r="G290" s="92">
        <f>(SUBSTITUTE(Audio!G290, "RE-", "", 1))*1</f>
        <v>1.24248</v>
      </c>
      <c r="H290" s="92">
        <f>(SUBSTITUTE(Audio!H290, "RE-", "", 1))*1</f>
        <v>83.1044</v>
      </c>
      <c r="I290" s="92">
        <f>(SUBSTITUTE(Audio!I290, "RE-", "", 1))*1</f>
        <v>0</v>
      </c>
      <c r="J290" s="92">
        <f>(SUBSTITUTE(Audio!J290, "RE-", "", 1))*1</f>
        <v>554.704</v>
      </c>
      <c r="K290" s="92">
        <f>(SUBSTITUTE(Audio!K290, "RE-", "", 1))*1</f>
        <v>3.18342</v>
      </c>
      <c r="L290" s="92">
        <f>(SUBSTITUTE(Audio!L290, "RE-", "", 1))*1</f>
        <v>1349.36</v>
      </c>
      <c r="M290" s="92">
        <f>(SUBSTITUTE(Audio!M290, "RE-", "", 1))*1</f>
        <v>11.7797</v>
      </c>
      <c r="N290" s="92">
        <f>(SUBSTITUTE(Audio!N290, "RE-", "", 1))*1</f>
        <v>2052.64</v>
      </c>
      <c r="O290" s="92">
        <f>(SUBSTITUTE(Audio!O290, "RE-", "", 1))*1</f>
        <v>11.1012</v>
      </c>
      <c r="P290" s="92">
        <f>(SUBSTITUTE(Audio!P290, "RE-", "", 1))*1</f>
        <v>566.074</v>
      </c>
      <c r="Q290" s="92">
        <f>(SUBSTITUTE(Audio!Q290, "RE-", "", 1))*1</f>
        <v>28.6469</v>
      </c>
      <c r="R290" s="92">
        <f>(SUBSTITUTE(Audio!R290, "RE-", "", 1))*1</f>
        <v>95.5784</v>
      </c>
      <c r="S290" s="92">
        <f>(SUBSTITUTE(Audio!S290, "RE-", "", 1))*1</f>
        <v>24.7825</v>
      </c>
      <c r="T290" s="92">
        <f>(SUBSTITUTE(Audio!T290, "RE-", "", 1))*1</f>
        <v>510.835</v>
      </c>
      <c r="U290" s="92">
        <f>(SUBSTITUTE(Audio!U290, "RE-", "", 1))*1</f>
        <v>24.5067</v>
      </c>
      <c r="V290" s="92">
        <f>(SUBSTITUTE(Audio!V290, "RE-", "", 1))*1</f>
        <v>4.23203</v>
      </c>
      <c r="W290" s="92">
        <f>(SUBSTITUTE(Audio!W290, "RE-", "", 1))*1</f>
        <v>0</v>
      </c>
      <c r="X290" s="92">
        <f>(SUBSTITUTE(Audio!X290, "RE-", "", 1))*1</f>
        <v>0</v>
      </c>
      <c r="Y290" s="92">
        <f>(SUBSTITUTE(Audio!Y290, "RE-", "", 1))*1</f>
        <v>0</v>
      </c>
      <c r="Z290" s="92">
        <f>(SUBSTITUTE(Audio!Z290, "RE-", "", 1))*1</f>
        <v>0</v>
      </c>
      <c r="AA290" s="92"/>
      <c r="AB290" s="92"/>
      <c r="AC290" s="92"/>
      <c r="AD290" s="92"/>
      <c r="AE290" s="92"/>
      <c r="AF290" s="92"/>
      <c r="AG290" s="92"/>
      <c r="AH290" s="92"/>
      <c r="AI290" s="92"/>
      <c r="AJ290" s="92"/>
      <c r="AK290" s="92"/>
      <c r="AL290" s="92"/>
      <c r="AM290" s="92"/>
      <c r="AN290" s="92"/>
      <c r="AO290" s="92"/>
      <c r="AP290" s="92"/>
      <c r="AQ290" s="92"/>
      <c r="AR290" s="92"/>
      <c r="AS290" s="92"/>
      <c r="AT290" s="92"/>
      <c r="AU290" s="92"/>
      <c r="AV290" s="92"/>
      <c r="AW290" s="92"/>
      <c r="AX290" s="92"/>
      <c r="AY290" s="92"/>
      <c r="AZ290" s="92"/>
      <c r="BA290" s="92"/>
      <c r="BB290" s="92"/>
      <c r="BC290" s="92"/>
      <c r="BD290" s="92"/>
      <c r="BE290" s="92"/>
      <c r="BF290" s="92"/>
      <c r="BG290" s="92"/>
      <c r="BH290" s="92"/>
      <c r="BI290" s="92"/>
      <c r="BJ290" s="92"/>
      <c r="BK290" s="92"/>
      <c r="BL290" s="92"/>
      <c r="BM290" s="92"/>
      <c r="BN290" s="92"/>
      <c r="BO290" s="92"/>
      <c r="BP290" s="92"/>
      <c r="BQ290" s="92"/>
      <c r="BR290" s="92"/>
      <c r="BS290" s="92"/>
      <c r="BT290" s="92"/>
      <c r="BU290" s="92"/>
      <c r="BV290" s="92"/>
      <c r="BW290" s="92"/>
      <c r="BX290" s="92"/>
      <c r="BY290" s="92"/>
      <c r="BZ290" s="92"/>
      <c r="CA290" s="92"/>
      <c r="CB290" s="92"/>
      <c r="CC290" s="92"/>
      <c r="CD290" s="92"/>
      <c r="CE290" s="92"/>
      <c r="CF290" s="92"/>
      <c r="CG290" s="92"/>
      <c r="CH290" s="92"/>
      <c r="CI290" s="92"/>
      <c r="CJ290" s="92"/>
      <c r="CK290" s="92"/>
      <c r="CL290" s="92"/>
      <c r="CM290" s="92"/>
      <c r="CN290" s="92"/>
      <c r="CO290" s="92"/>
      <c r="CP290" s="92"/>
      <c r="CQ290" s="92"/>
      <c r="CR290" s="92"/>
      <c r="CS290" s="92"/>
      <c r="CT290" s="92"/>
      <c r="CU290" s="92"/>
      <c r="CV290" s="92"/>
      <c r="CW290" s="92"/>
      <c r="CX290" s="92"/>
      <c r="CY290" s="92"/>
      <c r="CZ290" s="92"/>
      <c r="DA290" s="92"/>
      <c r="DB290" s="92"/>
      <c r="DC290" s="92"/>
      <c r="DD290" s="92"/>
      <c r="DE290" s="92"/>
      <c r="DF290" s="92"/>
      <c r="DG290" s="92"/>
      <c r="DH290" s="92"/>
      <c r="DI290" s="92"/>
      <c r="DJ290" s="92"/>
      <c r="DK290" s="92"/>
      <c r="DL290" s="92"/>
      <c r="DM290" s="92"/>
      <c r="DN290" s="92"/>
      <c r="DO290" s="92"/>
      <c r="DP290" s="92"/>
      <c r="DQ290" s="92"/>
      <c r="DR290" s="92"/>
      <c r="DS290" s="92"/>
      <c r="DT290" s="92"/>
      <c r="DU290" s="92"/>
      <c r="DV290" s="92"/>
      <c r="DW290" s="92"/>
      <c r="DX290" s="92"/>
      <c r="DY290" s="92"/>
      <c r="DZ290" s="92"/>
      <c r="EA290" s="92"/>
      <c r="EB290" s="92"/>
      <c r="EC290" s="92"/>
      <c r="ED290" s="92"/>
      <c r="EE290" s="92"/>
      <c r="EF290" s="92"/>
      <c r="EG290" s="92"/>
      <c r="EH290" s="92"/>
      <c r="EI290" s="92"/>
      <c r="EJ290" s="92"/>
      <c r="EK290" s="92"/>
      <c r="EL290" s="92"/>
      <c r="EM290" s="92"/>
      <c r="EN290" s="92"/>
      <c r="EO290" s="92"/>
      <c r="EP290" s="92"/>
      <c r="EQ290" s="92"/>
      <c r="ER290" s="92"/>
      <c r="ES290" s="92"/>
      <c r="ET290" s="92"/>
      <c r="EU290" s="92"/>
      <c r="EV290" s="92"/>
      <c r="EW290" s="92"/>
      <c r="EX290" s="92"/>
      <c r="EY290" s="92"/>
      <c r="EZ290" s="92"/>
      <c r="FA290" s="92"/>
      <c r="FB290" s="92"/>
      <c r="FC290" s="92"/>
      <c r="FD290" s="92"/>
      <c r="FE290" s="92"/>
      <c r="FF290" s="92"/>
      <c r="FG290" s="92"/>
      <c r="FH290" s="92"/>
    </row>
    <row r="291">
      <c r="A291" s="30" t="s">
        <v>54</v>
      </c>
      <c r="B291" s="30" t="s">
        <v>58</v>
      </c>
      <c r="C291" s="31" t="str">
        <f>HYPERLINK("https://docs.google.com/spreadsheets/d/13QP1Vx9mn7YlBYVIY9b65hmr9L0k56CG/edit?usp=share_link&amp;ouid=106501987799020758802&amp;rtpof=true&amp;sd=true", "Raw Delivered")</f>
        <v>Raw Delivered</v>
      </c>
      <c r="D291" s="96">
        <f t="shared" si="1"/>
        <v>5934.866612</v>
      </c>
      <c r="E291" s="92">
        <f>(SUBSTITUTE(Audio!E291, "RE-", "", 1))*1</f>
        <v>0</v>
      </c>
      <c r="F291" s="92">
        <f>(SUBSTITUTE(Audio!F291, "RE-", "", 1))*1</f>
        <v>996.5673844</v>
      </c>
      <c r="G291" s="92">
        <f>(SUBSTITUTE(Audio!G291, "RE-", "", 1))*1</f>
        <v>0</v>
      </c>
      <c r="H291" s="92">
        <f>(SUBSTITUTE(Audio!H291, "RE-", "", 1))*1</f>
        <v>93.95518958</v>
      </c>
      <c r="I291" s="92">
        <f>(SUBSTITUTE(Audio!I291, "RE-", "", 1))*1</f>
        <v>0</v>
      </c>
      <c r="J291" s="92">
        <f>(SUBSTITUTE(Audio!J291, "RE-", "", 1))*1</f>
        <v>1358.206459</v>
      </c>
      <c r="K291" s="92">
        <f>(SUBSTITUTE(Audio!K291, "RE-", "", 1))*1</f>
        <v>0</v>
      </c>
      <c r="L291" s="92">
        <f>(SUBSTITUTE(Audio!L291, "RE-", "", 1))*1</f>
        <v>1237.197237</v>
      </c>
      <c r="M291" s="92">
        <f>(SUBSTITUTE(Audio!M291, "RE-", "", 1))*1</f>
        <v>0</v>
      </c>
      <c r="N291" s="92">
        <f>(SUBSTITUTE(Audio!N291, "RE-", "", 1))*1</f>
        <v>1012.009664</v>
      </c>
      <c r="O291" s="92">
        <f>(SUBSTITUTE(Audio!O291, "RE-", "", 1))*1</f>
        <v>0</v>
      </c>
      <c r="P291" s="92">
        <f>(SUBSTITUTE(Audio!P291, "RE-", "", 1))*1</f>
        <v>895.5654906</v>
      </c>
      <c r="Q291" s="92">
        <f>(SUBSTITUTE(Audio!Q291, "RE-", "", 1))*1</f>
        <v>0</v>
      </c>
      <c r="R291" s="92">
        <f>(SUBSTITUTE(Audio!R291, "RE-", "", 1))*1</f>
        <v>81.26606563</v>
      </c>
      <c r="S291" s="92">
        <f>(SUBSTITUTE(Audio!S291, "RE-", "", 1))*1</f>
        <v>0</v>
      </c>
      <c r="T291" s="92">
        <f>(SUBSTITUTE(Audio!T291, "RE-", "", 1))*1</f>
        <v>260.0991219</v>
      </c>
      <c r="U291" s="92">
        <f>(SUBSTITUTE(Audio!U291, "RE-", "", 1))*1</f>
        <v>0</v>
      </c>
      <c r="V291" s="92">
        <f>(SUBSTITUTE(Audio!V291, "RE-", "", 1))*1</f>
        <v>0</v>
      </c>
      <c r="W291" s="92">
        <f>(SUBSTITUTE(Audio!W291, "RE-", "", 1))*1</f>
        <v>0</v>
      </c>
      <c r="X291" s="92">
        <f>(SUBSTITUTE(Audio!X291, "RE-", "", 1))*1</f>
        <v>0</v>
      </c>
      <c r="Y291" s="92">
        <f>(SUBSTITUTE(Audio!Y291, "RE-", "", 1))*1</f>
        <v>0</v>
      </c>
      <c r="Z291" s="92">
        <f>(SUBSTITUTE(Audio!Z291, "RE-", "", 1))*1</f>
        <v>0</v>
      </c>
      <c r="AA291" s="92"/>
      <c r="AB291" s="92"/>
      <c r="AC291" s="92"/>
      <c r="AD291" s="92"/>
      <c r="AE291" s="92"/>
      <c r="AF291" s="92"/>
      <c r="AG291" s="92"/>
      <c r="AH291" s="92"/>
      <c r="AI291" s="92"/>
      <c r="AJ291" s="92"/>
      <c r="AK291" s="92"/>
      <c r="AL291" s="92"/>
      <c r="AM291" s="92"/>
      <c r="AN291" s="92"/>
      <c r="AO291" s="92"/>
      <c r="AP291" s="92"/>
      <c r="AQ291" s="92"/>
      <c r="AR291" s="92"/>
      <c r="AS291" s="92"/>
      <c r="AT291" s="92"/>
      <c r="AU291" s="92"/>
      <c r="AV291" s="92"/>
      <c r="AW291" s="92"/>
      <c r="AX291" s="92"/>
      <c r="AY291" s="92"/>
      <c r="AZ291" s="92"/>
      <c r="BA291" s="92"/>
      <c r="BB291" s="92"/>
      <c r="BC291" s="92"/>
      <c r="BD291" s="92"/>
      <c r="BE291" s="92"/>
      <c r="BF291" s="92"/>
      <c r="BG291" s="92"/>
      <c r="BH291" s="92"/>
      <c r="BI291" s="92"/>
      <c r="BJ291" s="92"/>
      <c r="BK291" s="92"/>
      <c r="BL291" s="92"/>
      <c r="BM291" s="92"/>
      <c r="BN291" s="92"/>
      <c r="BO291" s="92"/>
      <c r="BP291" s="92"/>
      <c r="BQ291" s="92"/>
      <c r="BR291" s="92"/>
      <c r="BS291" s="92"/>
      <c r="BT291" s="92"/>
      <c r="BU291" s="92"/>
      <c r="BV291" s="92"/>
      <c r="BW291" s="92"/>
      <c r="BX291" s="92"/>
      <c r="BY291" s="92"/>
      <c r="BZ291" s="92"/>
      <c r="CA291" s="92"/>
      <c r="CB291" s="92"/>
      <c r="CC291" s="92"/>
      <c r="CD291" s="92"/>
      <c r="CE291" s="92"/>
      <c r="CF291" s="92"/>
      <c r="CG291" s="92"/>
      <c r="CH291" s="92"/>
      <c r="CI291" s="92"/>
      <c r="CJ291" s="92"/>
      <c r="CK291" s="92"/>
      <c r="CL291" s="92"/>
      <c r="CM291" s="92"/>
      <c r="CN291" s="92"/>
      <c r="CO291" s="92"/>
      <c r="CP291" s="92"/>
      <c r="CQ291" s="92"/>
      <c r="CR291" s="92"/>
      <c r="CS291" s="92"/>
      <c r="CT291" s="92"/>
      <c r="CU291" s="92"/>
      <c r="CV291" s="92"/>
      <c r="CW291" s="92"/>
      <c r="CX291" s="92"/>
      <c r="CY291" s="92"/>
      <c r="CZ291" s="92"/>
      <c r="DA291" s="92"/>
      <c r="DB291" s="92"/>
      <c r="DC291" s="92"/>
      <c r="DD291" s="92"/>
      <c r="DE291" s="92"/>
      <c r="DF291" s="92"/>
      <c r="DG291" s="92"/>
      <c r="DH291" s="92"/>
      <c r="DI291" s="92"/>
      <c r="DJ291" s="92"/>
      <c r="DK291" s="92"/>
      <c r="DL291" s="92"/>
      <c r="DM291" s="92"/>
      <c r="DN291" s="92"/>
      <c r="DO291" s="92"/>
      <c r="DP291" s="92"/>
      <c r="DQ291" s="92"/>
      <c r="DR291" s="92"/>
      <c r="DS291" s="92"/>
      <c r="DT291" s="92"/>
      <c r="DU291" s="92"/>
      <c r="DV291" s="92"/>
      <c r="DW291" s="92"/>
      <c r="DX291" s="92"/>
      <c r="DY291" s="92"/>
      <c r="DZ291" s="92"/>
      <c r="EA291" s="92"/>
      <c r="EB291" s="92"/>
      <c r="EC291" s="92"/>
      <c r="ED291" s="92"/>
      <c r="EE291" s="92"/>
      <c r="EF291" s="92"/>
      <c r="EG291" s="92"/>
      <c r="EH291" s="92"/>
      <c r="EI291" s="92"/>
      <c r="EJ291" s="92"/>
      <c r="EK291" s="92"/>
      <c r="EL291" s="92"/>
      <c r="EM291" s="92"/>
      <c r="EN291" s="92"/>
      <c r="EO291" s="92"/>
      <c r="EP291" s="92"/>
      <c r="EQ291" s="92"/>
      <c r="ER291" s="92"/>
      <c r="ES291" s="92"/>
      <c r="ET291" s="92"/>
      <c r="EU291" s="92"/>
      <c r="EV291" s="92"/>
      <c r="EW291" s="92"/>
      <c r="EX291" s="92"/>
      <c r="EY291" s="92"/>
      <c r="EZ291" s="92"/>
      <c r="FA291" s="92"/>
      <c r="FB291" s="92"/>
      <c r="FC291" s="92"/>
      <c r="FD291" s="92"/>
      <c r="FE291" s="92"/>
      <c r="FF291" s="92"/>
      <c r="FG291" s="92"/>
      <c r="FH291" s="92"/>
    </row>
    <row r="292">
      <c r="A292" s="32" t="s">
        <v>54</v>
      </c>
      <c r="B292" s="32" t="s">
        <v>58</v>
      </c>
      <c r="C292" s="32" t="s">
        <v>9</v>
      </c>
      <c r="D292" s="97">
        <f t="shared" si="1"/>
        <v>5934.866612</v>
      </c>
      <c r="E292" s="92">
        <f>(SUBSTITUTE(Audio!E292, "RE-", "", 1))*1</f>
        <v>0</v>
      </c>
      <c r="F292" s="92">
        <f>(SUBSTITUTE(Audio!F292, "RE-", "", 1))*1</f>
        <v>996.5673844</v>
      </c>
      <c r="G292" s="92">
        <f>(SUBSTITUTE(Audio!G292, "RE-", "", 1))*1</f>
        <v>0</v>
      </c>
      <c r="H292" s="92">
        <f>(SUBSTITUTE(Audio!H292, "RE-", "", 1))*1</f>
        <v>93.95518958</v>
      </c>
      <c r="I292" s="92">
        <f>(SUBSTITUTE(Audio!I292, "RE-", "", 1))*1</f>
        <v>0</v>
      </c>
      <c r="J292" s="92">
        <f>(SUBSTITUTE(Audio!J292, "RE-", "", 1))*1</f>
        <v>1358.206459</v>
      </c>
      <c r="K292" s="92">
        <f>(SUBSTITUTE(Audio!K292, "RE-", "", 1))*1</f>
        <v>0</v>
      </c>
      <c r="L292" s="92">
        <f>(SUBSTITUTE(Audio!L292, "RE-", "", 1))*1</f>
        <v>1237.197237</v>
      </c>
      <c r="M292" s="92">
        <f>(SUBSTITUTE(Audio!M292, "RE-", "", 1))*1</f>
        <v>0</v>
      </c>
      <c r="N292" s="92">
        <f>(SUBSTITUTE(Audio!N292, "RE-", "", 1))*1</f>
        <v>1012.009664</v>
      </c>
      <c r="O292" s="92">
        <f>(SUBSTITUTE(Audio!O292, "RE-", "", 1))*1</f>
        <v>0</v>
      </c>
      <c r="P292" s="92">
        <f>(SUBSTITUTE(Audio!P292, "RE-", "", 1))*1</f>
        <v>895.5654906</v>
      </c>
      <c r="Q292" s="92">
        <f>(SUBSTITUTE(Audio!Q292, "RE-", "", 1))*1</f>
        <v>0</v>
      </c>
      <c r="R292" s="92">
        <f>(SUBSTITUTE(Audio!R292, "RE-", "", 1))*1</f>
        <v>81.26606563</v>
      </c>
      <c r="S292" s="92">
        <f>(SUBSTITUTE(Audio!S292, "RE-", "", 1))*1</f>
        <v>0</v>
      </c>
      <c r="T292" s="92">
        <f>(SUBSTITUTE(Audio!T292, "RE-", "", 1))*1</f>
        <v>260.0991219</v>
      </c>
      <c r="U292" s="92">
        <f>(SUBSTITUTE(Audio!U292, "RE-", "", 1))*1</f>
        <v>0</v>
      </c>
      <c r="V292" s="92">
        <f>(SUBSTITUTE(Audio!V292, "RE-", "", 1))*1</f>
        <v>0</v>
      </c>
      <c r="W292" s="92">
        <f>(SUBSTITUTE(Audio!W292, "RE-", "", 1))*1</f>
        <v>0</v>
      </c>
      <c r="X292" s="92">
        <f>(SUBSTITUTE(Audio!X292, "RE-", "", 1))*1</f>
        <v>0</v>
      </c>
      <c r="Y292" s="92">
        <f>(SUBSTITUTE(Audio!Y292, "RE-", "", 1))*1</f>
        <v>0</v>
      </c>
      <c r="Z292" s="92">
        <f>(SUBSTITUTE(Audio!Z292, "RE-", "", 1))*1</f>
        <v>0</v>
      </c>
      <c r="AA292" s="92"/>
      <c r="AB292" s="92"/>
      <c r="AC292" s="92"/>
      <c r="AD292" s="92"/>
      <c r="AE292" s="92"/>
      <c r="AF292" s="92"/>
      <c r="AG292" s="92"/>
      <c r="AH292" s="92"/>
      <c r="AI292" s="92"/>
      <c r="AJ292" s="92"/>
      <c r="AK292" s="92"/>
      <c r="AL292" s="92"/>
      <c r="AM292" s="92"/>
      <c r="AN292" s="92"/>
      <c r="AO292" s="92"/>
      <c r="AP292" s="92"/>
      <c r="AQ292" s="92"/>
      <c r="AR292" s="92"/>
      <c r="AS292" s="92"/>
      <c r="AT292" s="92"/>
      <c r="AU292" s="92"/>
      <c r="AV292" s="92"/>
      <c r="AW292" s="92"/>
      <c r="AX292" s="92"/>
      <c r="AY292" s="92"/>
      <c r="AZ292" s="92"/>
      <c r="BA292" s="92"/>
      <c r="BB292" s="92"/>
      <c r="BC292" s="92"/>
      <c r="BD292" s="92"/>
      <c r="BE292" s="92"/>
      <c r="BF292" s="92"/>
      <c r="BG292" s="92"/>
      <c r="BH292" s="92"/>
      <c r="BI292" s="92"/>
      <c r="BJ292" s="92"/>
      <c r="BK292" s="92"/>
      <c r="BL292" s="92"/>
      <c r="BM292" s="92"/>
      <c r="BN292" s="92"/>
      <c r="BO292" s="92"/>
      <c r="BP292" s="92"/>
      <c r="BQ292" s="92"/>
      <c r="BR292" s="92"/>
      <c r="BS292" s="92"/>
      <c r="BT292" s="92"/>
      <c r="BU292" s="92"/>
      <c r="BV292" s="92"/>
      <c r="BW292" s="92"/>
      <c r="BX292" s="92"/>
      <c r="BY292" s="92"/>
      <c r="BZ292" s="92"/>
      <c r="CA292" s="92"/>
      <c r="CB292" s="92"/>
      <c r="CC292" s="92"/>
      <c r="CD292" s="92"/>
      <c r="CE292" s="92"/>
      <c r="CF292" s="92"/>
      <c r="CG292" s="92"/>
      <c r="CH292" s="92"/>
      <c r="CI292" s="92"/>
      <c r="CJ292" s="92"/>
      <c r="CK292" s="92"/>
      <c r="CL292" s="92"/>
      <c r="CM292" s="92"/>
      <c r="CN292" s="92"/>
      <c r="CO292" s="92"/>
      <c r="CP292" s="92"/>
      <c r="CQ292" s="92"/>
      <c r="CR292" s="92"/>
      <c r="CS292" s="92"/>
      <c r="CT292" s="92"/>
      <c r="CU292" s="92"/>
      <c r="CV292" s="92"/>
      <c r="CW292" s="92"/>
      <c r="CX292" s="92"/>
      <c r="CY292" s="92"/>
      <c r="CZ292" s="92"/>
      <c r="DA292" s="92"/>
      <c r="DB292" s="92"/>
      <c r="DC292" s="92"/>
      <c r="DD292" s="92"/>
      <c r="DE292" s="92"/>
      <c r="DF292" s="92"/>
      <c r="DG292" s="92"/>
      <c r="DH292" s="92"/>
      <c r="DI292" s="92"/>
      <c r="DJ292" s="92"/>
      <c r="DK292" s="92"/>
      <c r="DL292" s="92"/>
      <c r="DM292" s="92"/>
      <c r="DN292" s="92"/>
      <c r="DO292" s="92"/>
      <c r="DP292" s="92"/>
      <c r="DQ292" s="92"/>
      <c r="DR292" s="92"/>
      <c r="DS292" s="92"/>
      <c r="DT292" s="92"/>
      <c r="DU292" s="92"/>
      <c r="DV292" s="92"/>
      <c r="DW292" s="92"/>
      <c r="DX292" s="92"/>
      <c r="DY292" s="92"/>
      <c r="DZ292" s="92"/>
      <c r="EA292" s="92"/>
      <c r="EB292" s="92"/>
      <c r="EC292" s="92"/>
      <c r="ED292" s="92"/>
      <c r="EE292" s="92"/>
      <c r="EF292" s="92"/>
      <c r="EG292" s="92"/>
      <c r="EH292" s="92"/>
      <c r="EI292" s="92"/>
      <c r="EJ292" s="92"/>
      <c r="EK292" s="92"/>
      <c r="EL292" s="92"/>
      <c r="EM292" s="92"/>
      <c r="EN292" s="92"/>
      <c r="EO292" s="92"/>
      <c r="EP292" s="92"/>
      <c r="EQ292" s="92"/>
      <c r="ER292" s="92"/>
      <c r="ES292" s="92"/>
      <c r="ET292" s="92"/>
      <c r="EU292" s="92"/>
      <c r="EV292" s="92"/>
      <c r="EW292" s="92"/>
      <c r="EX292" s="92"/>
      <c r="EY292" s="92"/>
      <c r="EZ292" s="92"/>
      <c r="FA292" s="92"/>
      <c r="FB292" s="92"/>
      <c r="FC292" s="92"/>
      <c r="FD292" s="92"/>
      <c r="FE292" s="92"/>
      <c r="FF292" s="92"/>
      <c r="FG292" s="92"/>
      <c r="FH292" s="92"/>
    </row>
    <row r="293">
      <c r="A293" s="32" t="s">
        <v>54</v>
      </c>
      <c r="B293" s="32" t="s">
        <v>58</v>
      </c>
      <c r="C293" s="32" t="s">
        <v>10</v>
      </c>
      <c r="D293" s="97">
        <f t="shared" si="1"/>
        <v>473.0713052</v>
      </c>
      <c r="E293" s="92">
        <f>(SUBSTITUTE(Audio!E293, "RE-", "", 1))*1</f>
        <v>0</v>
      </c>
      <c r="F293" s="92">
        <f>(SUBSTITUTE(Audio!F293, "RE-", "", 1))*1</f>
        <v>0</v>
      </c>
      <c r="G293" s="92">
        <f>(SUBSTITUTE(Audio!G293, "RE-", "", 1))*1</f>
        <v>71.41000104</v>
      </c>
      <c r="H293" s="92">
        <f>(SUBSTITUTE(Audio!H293, "RE-", "", 1))*1</f>
        <v>0</v>
      </c>
      <c r="I293" s="92">
        <f>(SUBSTITUTE(Audio!I293, "RE-", "", 1))*1</f>
        <v>5.103779167</v>
      </c>
      <c r="J293" s="92">
        <f>(SUBSTITUTE(Audio!J293, "RE-", "", 1))*1</f>
        <v>0</v>
      </c>
      <c r="K293" s="92">
        <f>(SUBSTITUTE(Audio!K293, "RE-", "", 1))*1</f>
        <v>70.39587604</v>
      </c>
      <c r="L293" s="92">
        <f>(SUBSTITUTE(Audio!L293, "RE-", "", 1))*1</f>
        <v>0</v>
      </c>
      <c r="M293" s="92">
        <f>(SUBSTITUTE(Audio!M293, "RE-", "", 1))*1</f>
        <v>54.62237292</v>
      </c>
      <c r="N293" s="92">
        <f>(SUBSTITUTE(Audio!N293, "RE-", "", 1))*1</f>
        <v>0</v>
      </c>
      <c r="O293" s="92">
        <f>(SUBSTITUTE(Audio!O293, "RE-", "", 1))*1</f>
        <v>95.43725</v>
      </c>
      <c r="P293" s="92">
        <f>(SUBSTITUTE(Audio!P293, "RE-", "", 1))*1</f>
        <v>0</v>
      </c>
      <c r="Q293" s="92">
        <f>(SUBSTITUTE(Audio!Q293, "RE-", "", 1))*1</f>
        <v>122.7675594</v>
      </c>
      <c r="R293" s="92">
        <f>(SUBSTITUTE(Audio!R293, "RE-", "", 1))*1</f>
        <v>0</v>
      </c>
      <c r="S293" s="92">
        <f>(SUBSTITUTE(Audio!S293, "RE-", "", 1))*1</f>
        <v>14.81402917</v>
      </c>
      <c r="T293" s="92">
        <f>(SUBSTITUTE(Audio!T293, "RE-", "", 1))*1</f>
        <v>0</v>
      </c>
      <c r="U293" s="92">
        <f>(SUBSTITUTE(Audio!U293, "RE-", "", 1))*1</f>
        <v>30.18341458</v>
      </c>
      <c r="V293" s="92">
        <f>(SUBSTITUTE(Audio!V293, "RE-", "", 1))*1</f>
        <v>8.337022917</v>
      </c>
      <c r="W293" s="92">
        <f>(SUBSTITUTE(Audio!W293, "RE-", "", 1))*1</f>
        <v>0</v>
      </c>
      <c r="X293" s="92">
        <f>(SUBSTITUTE(Audio!X293, "RE-", "", 1))*1</f>
        <v>0</v>
      </c>
      <c r="Y293" s="92">
        <f>(SUBSTITUTE(Audio!Y293, "RE-", "", 1))*1</f>
        <v>0</v>
      </c>
      <c r="Z293" s="92">
        <f>(SUBSTITUTE(Audio!Z293, "RE-", "", 1))*1</f>
        <v>0</v>
      </c>
      <c r="AA293" s="92"/>
      <c r="AB293" s="92"/>
      <c r="AC293" s="92"/>
      <c r="AD293" s="92"/>
      <c r="AE293" s="92"/>
      <c r="AF293" s="92"/>
      <c r="AG293" s="92"/>
      <c r="AH293" s="92"/>
      <c r="AI293" s="92"/>
      <c r="AJ293" s="92"/>
      <c r="AK293" s="92"/>
      <c r="AL293" s="92"/>
      <c r="AM293" s="92"/>
      <c r="AN293" s="92"/>
      <c r="AO293" s="92"/>
      <c r="AP293" s="92"/>
      <c r="AQ293" s="92"/>
      <c r="AR293" s="92"/>
      <c r="AS293" s="92"/>
      <c r="AT293" s="92"/>
      <c r="AU293" s="92"/>
      <c r="AV293" s="92"/>
      <c r="AW293" s="92"/>
      <c r="AX293" s="92"/>
      <c r="AY293" s="92"/>
      <c r="AZ293" s="92"/>
      <c r="BA293" s="92"/>
      <c r="BB293" s="92"/>
      <c r="BC293" s="92"/>
      <c r="BD293" s="92"/>
      <c r="BE293" s="92"/>
      <c r="BF293" s="92"/>
      <c r="BG293" s="92"/>
      <c r="BH293" s="92"/>
      <c r="BI293" s="92"/>
      <c r="BJ293" s="92"/>
      <c r="BK293" s="92"/>
      <c r="BL293" s="92"/>
      <c r="BM293" s="92"/>
      <c r="BN293" s="92"/>
      <c r="BO293" s="92"/>
      <c r="BP293" s="92"/>
      <c r="BQ293" s="92"/>
      <c r="BR293" s="92"/>
      <c r="BS293" s="92"/>
      <c r="BT293" s="92"/>
      <c r="BU293" s="92"/>
      <c r="BV293" s="92"/>
      <c r="BW293" s="92"/>
      <c r="BX293" s="92"/>
      <c r="BY293" s="92"/>
      <c r="BZ293" s="92"/>
      <c r="CA293" s="92"/>
      <c r="CB293" s="92"/>
      <c r="CC293" s="92"/>
      <c r="CD293" s="92"/>
      <c r="CE293" s="92"/>
      <c r="CF293" s="92"/>
      <c r="CG293" s="92"/>
      <c r="CH293" s="92"/>
      <c r="CI293" s="92"/>
      <c r="CJ293" s="92"/>
      <c r="CK293" s="92"/>
      <c r="CL293" s="92"/>
      <c r="CM293" s="92"/>
      <c r="CN293" s="92"/>
      <c r="CO293" s="92"/>
      <c r="CP293" s="92"/>
      <c r="CQ293" s="92"/>
      <c r="CR293" s="92"/>
      <c r="CS293" s="92"/>
      <c r="CT293" s="92"/>
      <c r="CU293" s="92"/>
      <c r="CV293" s="92"/>
      <c r="CW293" s="92"/>
      <c r="CX293" s="92"/>
      <c r="CY293" s="92"/>
      <c r="CZ293" s="92"/>
      <c r="DA293" s="92"/>
      <c r="DB293" s="92"/>
      <c r="DC293" s="92"/>
      <c r="DD293" s="92"/>
      <c r="DE293" s="92"/>
      <c r="DF293" s="92"/>
      <c r="DG293" s="92"/>
      <c r="DH293" s="92"/>
      <c r="DI293" s="92"/>
      <c r="DJ293" s="92"/>
      <c r="DK293" s="92"/>
      <c r="DL293" s="92"/>
      <c r="DM293" s="92"/>
      <c r="DN293" s="92"/>
      <c r="DO293" s="92"/>
      <c r="DP293" s="92"/>
      <c r="DQ293" s="92"/>
      <c r="DR293" s="92"/>
      <c r="DS293" s="92"/>
      <c r="DT293" s="92"/>
      <c r="DU293" s="92"/>
      <c r="DV293" s="92"/>
      <c r="DW293" s="92"/>
      <c r="DX293" s="92"/>
      <c r="DY293" s="92"/>
      <c r="DZ293" s="92"/>
      <c r="EA293" s="92"/>
      <c r="EB293" s="92"/>
      <c r="EC293" s="92"/>
      <c r="ED293" s="92"/>
      <c r="EE293" s="92"/>
      <c r="EF293" s="92"/>
      <c r="EG293" s="92"/>
      <c r="EH293" s="92"/>
      <c r="EI293" s="92"/>
      <c r="EJ293" s="92"/>
      <c r="EK293" s="92"/>
      <c r="EL293" s="92"/>
      <c r="EM293" s="92"/>
      <c r="EN293" s="92"/>
      <c r="EO293" s="92"/>
      <c r="EP293" s="92"/>
      <c r="EQ293" s="92"/>
      <c r="ER293" s="92"/>
      <c r="ES293" s="92"/>
      <c r="ET293" s="92"/>
      <c r="EU293" s="92"/>
      <c r="EV293" s="92"/>
      <c r="EW293" s="92"/>
      <c r="EX293" s="92"/>
      <c r="EY293" s="92"/>
      <c r="EZ293" s="92"/>
      <c r="FA293" s="92"/>
      <c r="FB293" s="92"/>
      <c r="FC293" s="92"/>
      <c r="FD293" s="92"/>
      <c r="FE293" s="92"/>
      <c r="FF293" s="92"/>
      <c r="FG293" s="92"/>
      <c r="FH293" s="92"/>
    </row>
    <row r="294">
      <c r="A294" s="32" t="s">
        <v>54</v>
      </c>
      <c r="B294" s="32" t="s">
        <v>58</v>
      </c>
      <c r="C294" s="32" t="s">
        <v>11</v>
      </c>
      <c r="D294" s="97">
        <f t="shared" si="1"/>
        <v>473.0713052</v>
      </c>
      <c r="E294" s="92">
        <f>(SUBSTITUTE(Audio!E294, "RE-", "", 1))*1</f>
        <v>0</v>
      </c>
      <c r="F294" s="92">
        <f>(SUBSTITUTE(Audio!F294, "RE-", "", 1))*1</f>
        <v>0</v>
      </c>
      <c r="G294" s="92">
        <f>(SUBSTITUTE(Audio!G294, "RE-", "", 1))*1</f>
        <v>71.41000104</v>
      </c>
      <c r="H294" s="92">
        <f>(SUBSTITUTE(Audio!H294, "RE-", "", 1))*1</f>
        <v>0</v>
      </c>
      <c r="I294" s="92">
        <f>(SUBSTITUTE(Audio!I294, "RE-", "", 1))*1</f>
        <v>5.103779167</v>
      </c>
      <c r="J294" s="92">
        <f>(SUBSTITUTE(Audio!J294, "RE-", "", 1))*1</f>
        <v>0</v>
      </c>
      <c r="K294" s="92">
        <f>(SUBSTITUTE(Audio!K294, "RE-", "", 1))*1</f>
        <v>70.39587604</v>
      </c>
      <c r="L294" s="92">
        <f>(SUBSTITUTE(Audio!L294, "RE-", "", 1))*1</f>
        <v>0</v>
      </c>
      <c r="M294" s="92">
        <f>(SUBSTITUTE(Audio!M294, "RE-", "", 1))*1</f>
        <v>54.62237292</v>
      </c>
      <c r="N294" s="92">
        <f>(SUBSTITUTE(Audio!N294, "RE-", "", 1))*1</f>
        <v>0</v>
      </c>
      <c r="O294" s="92">
        <f>(SUBSTITUTE(Audio!O294, "RE-", "", 1))*1</f>
        <v>95.43725</v>
      </c>
      <c r="P294" s="92">
        <f>(SUBSTITUTE(Audio!P294, "RE-", "", 1))*1</f>
        <v>0</v>
      </c>
      <c r="Q294" s="92">
        <f>(SUBSTITUTE(Audio!Q294, "RE-", "", 1))*1</f>
        <v>122.7675594</v>
      </c>
      <c r="R294" s="92">
        <f>(SUBSTITUTE(Audio!R294, "RE-", "", 1))*1</f>
        <v>0</v>
      </c>
      <c r="S294" s="92">
        <f>(SUBSTITUTE(Audio!S294, "RE-", "", 1))*1</f>
        <v>14.81402917</v>
      </c>
      <c r="T294" s="92">
        <f>(SUBSTITUTE(Audio!T294, "RE-", "", 1))*1</f>
        <v>0</v>
      </c>
      <c r="U294" s="92">
        <f>(SUBSTITUTE(Audio!U294, "RE-", "", 1))*1</f>
        <v>30.18341458</v>
      </c>
      <c r="V294" s="92">
        <f>(SUBSTITUTE(Audio!V294, "RE-", "", 1))*1</f>
        <v>8.337022917</v>
      </c>
      <c r="W294" s="92">
        <f>(SUBSTITUTE(Audio!W294, "RE-", "", 1))*1</f>
        <v>0</v>
      </c>
      <c r="X294" s="92">
        <f>(SUBSTITUTE(Audio!X294, "RE-", "", 1))*1</f>
        <v>0</v>
      </c>
      <c r="Y294" s="92">
        <f>(SUBSTITUTE(Audio!Y294, "RE-", "", 1))*1</f>
        <v>0</v>
      </c>
      <c r="Z294" s="92">
        <f>(SUBSTITUTE(Audio!Z294, "RE-", "", 1))*1</f>
        <v>0</v>
      </c>
      <c r="AA294" s="92"/>
      <c r="AB294" s="92"/>
      <c r="AC294" s="92"/>
      <c r="AD294" s="92"/>
      <c r="AE294" s="92"/>
      <c r="AF294" s="92"/>
      <c r="AG294" s="92"/>
      <c r="AH294" s="92"/>
      <c r="AI294" s="92"/>
      <c r="AJ294" s="92"/>
      <c r="AK294" s="92"/>
      <c r="AL294" s="92"/>
      <c r="AM294" s="92"/>
      <c r="AN294" s="92"/>
      <c r="AO294" s="92"/>
      <c r="AP294" s="92"/>
      <c r="AQ294" s="92"/>
      <c r="AR294" s="92"/>
      <c r="AS294" s="92"/>
      <c r="AT294" s="92"/>
      <c r="AU294" s="92"/>
      <c r="AV294" s="92"/>
      <c r="AW294" s="92"/>
      <c r="AX294" s="92"/>
      <c r="AY294" s="92"/>
      <c r="AZ294" s="92"/>
      <c r="BA294" s="92"/>
      <c r="BB294" s="92"/>
      <c r="BC294" s="92"/>
      <c r="BD294" s="92"/>
      <c r="BE294" s="92"/>
      <c r="BF294" s="92"/>
      <c r="BG294" s="92"/>
      <c r="BH294" s="92"/>
      <c r="BI294" s="92"/>
      <c r="BJ294" s="92"/>
      <c r="BK294" s="92"/>
      <c r="BL294" s="92"/>
      <c r="BM294" s="92"/>
      <c r="BN294" s="92"/>
      <c r="BO294" s="92"/>
      <c r="BP294" s="92"/>
      <c r="BQ294" s="92"/>
      <c r="BR294" s="92"/>
      <c r="BS294" s="92"/>
      <c r="BT294" s="92"/>
      <c r="BU294" s="92"/>
      <c r="BV294" s="92"/>
      <c r="BW294" s="92"/>
      <c r="BX294" s="92"/>
      <c r="BY294" s="92"/>
      <c r="BZ294" s="92"/>
      <c r="CA294" s="92"/>
      <c r="CB294" s="92"/>
      <c r="CC294" s="92"/>
      <c r="CD294" s="92"/>
      <c r="CE294" s="92"/>
      <c r="CF294" s="92"/>
      <c r="CG294" s="92"/>
      <c r="CH294" s="92"/>
      <c r="CI294" s="92"/>
      <c r="CJ294" s="92"/>
      <c r="CK294" s="92"/>
      <c r="CL294" s="92"/>
      <c r="CM294" s="92"/>
      <c r="CN294" s="92"/>
      <c r="CO294" s="92"/>
      <c r="CP294" s="92"/>
      <c r="CQ294" s="92"/>
      <c r="CR294" s="92"/>
      <c r="CS294" s="92"/>
      <c r="CT294" s="92"/>
      <c r="CU294" s="92"/>
      <c r="CV294" s="92"/>
      <c r="CW294" s="92"/>
      <c r="CX294" s="92"/>
      <c r="CY294" s="92"/>
      <c r="CZ294" s="92"/>
      <c r="DA294" s="92"/>
      <c r="DB294" s="92"/>
      <c r="DC294" s="92"/>
      <c r="DD294" s="92"/>
      <c r="DE294" s="92"/>
      <c r="DF294" s="92"/>
      <c r="DG294" s="92"/>
      <c r="DH294" s="92"/>
      <c r="DI294" s="92"/>
      <c r="DJ294" s="92"/>
      <c r="DK294" s="92"/>
      <c r="DL294" s="92"/>
      <c r="DM294" s="92"/>
      <c r="DN294" s="92"/>
      <c r="DO294" s="92"/>
      <c r="DP294" s="92"/>
      <c r="DQ294" s="92"/>
      <c r="DR294" s="92"/>
      <c r="DS294" s="92"/>
      <c r="DT294" s="92"/>
      <c r="DU294" s="92"/>
      <c r="DV294" s="92"/>
      <c r="DW294" s="92"/>
      <c r="DX294" s="92"/>
      <c r="DY294" s="92"/>
      <c r="DZ294" s="92"/>
      <c r="EA294" s="92"/>
      <c r="EB294" s="92"/>
      <c r="EC294" s="92"/>
      <c r="ED294" s="92"/>
      <c r="EE294" s="92"/>
      <c r="EF294" s="92"/>
      <c r="EG294" s="92"/>
      <c r="EH294" s="92"/>
      <c r="EI294" s="92"/>
      <c r="EJ294" s="92"/>
      <c r="EK294" s="92"/>
      <c r="EL294" s="92"/>
      <c r="EM294" s="92"/>
      <c r="EN294" s="92"/>
      <c r="EO294" s="92"/>
      <c r="EP294" s="92"/>
      <c r="EQ294" s="92"/>
      <c r="ER294" s="92"/>
      <c r="ES294" s="92"/>
      <c r="ET294" s="92"/>
      <c r="EU294" s="92"/>
      <c r="EV294" s="92"/>
      <c r="EW294" s="92"/>
      <c r="EX294" s="92"/>
      <c r="EY294" s="92"/>
      <c r="EZ294" s="92"/>
      <c r="FA294" s="92"/>
      <c r="FB294" s="92"/>
      <c r="FC294" s="92"/>
      <c r="FD294" s="92"/>
      <c r="FE294" s="92"/>
      <c r="FF294" s="92"/>
      <c r="FG294" s="92"/>
      <c r="FH294" s="92"/>
    </row>
    <row r="295">
      <c r="A295" s="32" t="s">
        <v>54</v>
      </c>
      <c r="B295" s="32" t="s">
        <v>58</v>
      </c>
      <c r="C295" s="32" t="s">
        <v>12</v>
      </c>
      <c r="D295" s="97">
        <f t="shared" si="1"/>
        <v>5126.298762</v>
      </c>
      <c r="E295" s="92">
        <f>(SUBSTITUTE(Audio!E295, "RE-", "", 1))*1</f>
        <v>0</v>
      </c>
      <c r="F295" s="92">
        <f>(SUBSTITUTE(Audio!F295, "RE-", "", 1))*1</f>
        <v>850.6312885</v>
      </c>
      <c r="G295" s="92">
        <f>(SUBSTITUTE(Audio!G295, "RE-", "", 1))*1</f>
        <v>1.694863542</v>
      </c>
      <c r="H295" s="92">
        <f>(SUBSTITUTE(Audio!H295, "RE-", "", 1))*1</f>
        <v>77.60858958</v>
      </c>
      <c r="I295" s="92">
        <f>(SUBSTITUTE(Audio!I295, "RE-", "", 1))*1</f>
        <v>0</v>
      </c>
      <c r="J295" s="92">
        <f>(SUBSTITUTE(Audio!J295, "RE-", "", 1))*1</f>
        <v>1158.173275</v>
      </c>
      <c r="K295" s="92">
        <f>(SUBSTITUTE(Audio!K295, "RE-", "", 1))*1</f>
        <v>2.88030625</v>
      </c>
      <c r="L295" s="92">
        <f>(SUBSTITUTE(Audio!L295, "RE-", "", 1))*1</f>
        <v>1154.343789</v>
      </c>
      <c r="M295" s="92">
        <f>(SUBSTITUTE(Audio!M295, "RE-", "", 1))*1</f>
        <v>13.80428333</v>
      </c>
      <c r="N295" s="92">
        <f>(SUBSTITUTE(Audio!N295, "RE-", "", 1))*1</f>
        <v>608.9977323</v>
      </c>
      <c r="O295" s="92">
        <f>(SUBSTITUTE(Audio!O295, "RE-", "", 1))*1</f>
        <v>15.38414167</v>
      </c>
      <c r="P295" s="92">
        <f>(SUBSTITUTE(Audio!P295, "RE-", "", 1))*1</f>
        <v>851.4493906</v>
      </c>
      <c r="Q295" s="92">
        <f>(SUBSTITUTE(Audio!Q295, "RE-", "", 1))*1</f>
        <v>47.83663854</v>
      </c>
      <c r="R295" s="92">
        <f>(SUBSTITUTE(Audio!R295, "RE-", "", 1))*1</f>
        <v>71.65381458</v>
      </c>
      <c r="S295" s="92">
        <f>(SUBSTITUTE(Audio!S295, "RE-", "", 1))*1</f>
        <v>9.339495833</v>
      </c>
      <c r="T295" s="92">
        <f>(SUBSTITUTE(Audio!T295, "RE-", "", 1))*1</f>
        <v>240.234524</v>
      </c>
      <c r="U295" s="92">
        <f>(SUBSTITUTE(Audio!U295, "RE-", "", 1))*1</f>
        <v>18.0762375</v>
      </c>
      <c r="V295" s="92">
        <f>(SUBSTITUTE(Audio!V295, "RE-", "", 1))*1</f>
        <v>4.190391667</v>
      </c>
      <c r="W295" s="92">
        <f>(SUBSTITUTE(Audio!W295, "RE-", "", 1))*1</f>
        <v>0</v>
      </c>
      <c r="X295" s="92">
        <f>(SUBSTITUTE(Audio!X295, "RE-", "", 1))*1</f>
        <v>0</v>
      </c>
      <c r="Y295" s="92">
        <f>(SUBSTITUTE(Audio!Y295, "RE-", "", 1))*1</f>
        <v>0</v>
      </c>
      <c r="Z295" s="92">
        <f>(SUBSTITUTE(Audio!Z295, "RE-", "", 1))*1</f>
        <v>0</v>
      </c>
      <c r="AA295" s="92"/>
      <c r="AB295" s="92"/>
      <c r="AC295" s="92"/>
      <c r="AD295" s="92"/>
      <c r="AE295" s="92"/>
      <c r="AF295" s="92"/>
      <c r="AG295" s="92"/>
      <c r="AH295" s="92"/>
      <c r="AI295" s="92"/>
      <c r="AJ295" s="92"/>
      <c r="AK295" s="92"/>
      <c r="AL295" s="92"/>
      <c r="AM295" s="92"/>
      <c r="AN295" s="92"/>
      <c r="AO295" s="92"/>
      <c r="AP295" s="92"/>
      <c r="AQ295" s="92"/>
      <c r="AR295" s="92"/>
      <c r="AS295" s="92"/>
      <c r="AT295" s="92"/>
      <c r="AU295" s="92"/>
      <c r="AV295" s="92"/>
      <c r="AW295" s="92"/>
      <c r="AX295" s="92"/>
      <c r="AY295" s="92"/>
      <c r="AZ295" s="92"/>
      <c r="BA295" s="92"/>
      <c r="BB295" s="92"/>
      <c r="BC295" s="92"/>
      <c r="BD295" s="92"/>
      <c r="BE295" s="92"/>
      <c r="BF295" s="92"/>
      <c r="BG295" s="92"/>
      <c r="BH295" s="92"/>
      <c r="BI295" s="92"/>
      <c r="BJ295" s="92"/>
      <c r="BK295" s="92"/>
      <c r="BL295" s="92"/>
      <c r="BM295" s="92"/>
      <c r="BN295" s="92"/>
      <c r="BO295" s="92"/>
      <c r="BP295" s="92"/>
      <c r="BQ295" s="92"/>
      <c r="BR295" s="92"/>
      <c r="BS295" s="92"/>
      <c r="BT295" s="92"/>
      <c r="BU295" s="92"/>
      <c r="BV295" s="92"/>
      <c r="BW295" s="92"/>
      <c r="BX295" s="92"/>
      <c r="BY295" s="92"/>
      <c r="BZ295" s="92"/>
      <c r="CA295" s="92"/>
      <c r="CB295" s="92"/>
      <c r="CC295" s="92"/>
      <c r="CD295" s="92"/>
      <c r="CE295" s="92"/>
      <c r="CF295" s="92"/>
      <c r="CG295" s="92"/>
      <c r="CH295" s="92"/>
      <c r="CI295" s="92"/>
      <c r="CJ295" s="92"/>
      <c r="CK295" s="92"/>
      <c r="CL295" s="92"/>
      <c r="CM295" s="92"/>
      <c r="CN295" s="92"/>
      <c r="CO295" s="92"/>
      <c r="CP295" s="92"/>
      <c r="CQ295" s="92"/>
      <c r="CR295" s="92"/>
      <c r="CS295" s="92"/>
      <c r="CT295" s="92"/>
      <c r="CU295" s="92"/>
      <c r="CV295" s="92"/>
      <c r="CW295" s="92"/>
      <c r="CX295" s="92"/>
      <c r="CY295" s="92"/>
      <c r="CZ295" s="92"/>
      <c r="DA295" s="92"/>
      <c r="DB295" s="92"/>
      <c r="DC295" s="92"/>
      <c r="DD295" s="92"/>
      <c r="DE295" s="92"/>
      <c r="DF295" s="92"/>
      <c r="DG295" s="92"/>
      <c r="DH295" s="92"/>
      <c r="DI295" s="92"/>
      <c r="DJ295" s="92"/>
      <c r="DK295" s="92"/>
      <c r="DL295" s="92"/>
      <c r="DM295" s="92"/>
      <c r="DN295" s="92"/>
      <c r="DO295" s="92"/>
      <c r="DP295" s="92"/>
      <c r="DQ295" s="92"/>
      <c r="DR295" s="92"/>
      <c r="DS295" s="92"/>
      <c r="DT295" s="92"/>
      <c r="DU295" s="92"/>
      <c r="DV295" s="92"/>
      <c r="DW295" s="92"/>
      <c r="DX295" s="92"/>
      <c r="DY295" s="92"/>
      <c r="DZ295" s="92"/>
      <c r="EA295" s="92"/>
      <c r="EB295" s="92"/>
      <c r="EC295" s="92"/>
      <c r="ED295" s="92"/>
      <c r="EE295" s="92"/>
      <c r="EF295" s="92"/>
      <c r="EG295" s="92"/>
      <c r="EH295" s="92"/>
      <c r="EI295" s="92"/>
      <c r="EJ295" s="92"/>
      <c r="EK295" s="92"/>
      <c r="EL295" s="92"/>
      <c r="EM295" s="92"/>
      <c r="EN295" s="92"/>
      <c r="EO295" s="92"/>
      <c r="EP295" s="92"/>
      <c r="EQ295" s="92"/>
      <c r="ER295" s="92"/>
      <c r="ES295" s="92"/>
      <c r="ET295" s="92"/>
      <c r="EU295" s="92"/>
      <c r="EV295" s="92"/>
      <c r="EW295" s="92"/>
      <c r="EX295" s="92"/>
      <c r="EY295" s="92"/>
      <c r="EZ295" s="92"/>
      <c r="FA295" s="92"/>
      <c r="FB295" s="92"/>
      <c r="FC295" s="92"/>
      <c r="FD295" s="92"/>
      <c r="FE295" s="92"/>
      <c r="FF295" s="92"/>
      <c r="FG295" s="92"/>
      <c r="FH295" s="92"/>
    </row>
    <row r="296">
      <c r="A296" s="32" t="s">
        <v>54</v>
      </c>
      <c r="B296" s="32" t="s">
        <v>58</v>
      </c>
      <c r="C296" s="32" t="s">
        <v>13</v>
      </c>
      <c r="D296" s="97">
        <f t="shared" si="1"/>
        <v>4966.94075</v>
      </c>
      <c r="E296" s="92">
        <f>(SUBSTITUTE(Audio!E296, "RE-", "", 1))*1</f>
        <v>0</v>
      </c>
      <c r="F296" s="92">
        <f>(SUBSTITUTE(Audio!F296, "RE-", "", 1))*1</f>
        <v>837.279</v>
      </c>
      <c r="G296" s="92">
        <f>(SUBSTITUTE(Audio!G296, "RE-", "", 1))*1</f>
        <v>1.66013</v>
      </c>
      <c r="H296" s="92">
        <f>(SUBSTITUTE(Audio!H296, "RE-", "", 1))*1</f>
        <v>76.1956</v>
      </c>
      <c r="I296" s="92">
        <f>(SUBSTITUTE(Audio!I296, "RE-", "", 1))*1</f>
        <v>0</v>
      </c>
      <c r="J296" s="92">
        <f>(SUBSTITUTE(Audio!J296, "RE-", "", 1))*1</f>
        <v>1135.11</v>
      </c>
      <c r="K296" s="92">
        <f>(SUBSTITUTE(Audio!K296, "RE-", "", 1))*1</f>
        <v>2.80837</v>
      </c>
      <c r="L296" s="92">
        <f>(SUBSTITUTE(Audio!L296, "RE-", "", 1))*1</f>
        <v>1112.02</v>
      </c>
      <c r="M296" s="92">
        <f>(SUBSTITUTE(Audio!M296, "RE-", "", 1))*1</f>
        <v>13.4208</v>
      </c>
      <c r="N296" s="92">
        <f>(SUBSTITUTE(Audio!N296, "RE-", "", 1))*1</f>
        <v>582.197</v>
      </c>
      <c r="O296" s="92">
        <f>(SUBSTITUTE(Audio!O296, "RE-", "", 1))*1</f>
        <v>14.9479</v>
      </c>
      <c r="P296" s="92">
        <f>(SUBSTITUTE(Audio!P296, "RE-", "", 1))*1</f>
        <v>814.789</v>
      </c>
      <c r="Q296" s="92">
        <f>(SUBSTITUTE(Audio!Q296, "RE-", "", 1))*1</f>
        <v>45.9127</v>
      </c>
      <c r="R296" s="92">
        <f>(SUBSTITUTE(Audio!R296, "RE-", "", 1))*1</f>
        <v>69.2661</v>
      </c>
      <c r="S296" s="92">
        <f>(SUBSTITUTE(Audio!S296, "RE-", "", 1))*1</f>
        <v>8.93692</v>
      </c>
      <c r="T296" s="92">
        <f>(SUBSTITUTE(Audio!T296, "RE-", "", 1))*1</f>
        <v>231.245</v>
      </c>
      <c r="U296" s="92">
        <f>(SUBSTITUTE(Audio!U296, "RE-", "", 1))*1</f>
        <v>17.2044</v>
      </c>
      <c r="V296" s="92">
        <f>(SUBSTITUTE(Audio!V296, "RE-", "", 1))*1</f>
        <v>3.94783</v>
      </c>
      <c r="W296" s="92">
        <f>(SUBSTITUTE(Audio!W296, "RE-", "", 1))*1</f>
        <v>0</v>
      </c>
      <c r="X296" s="92">
        <f>(SUBSTITUTE(Audio!X296, "RE-", "", 1))*1</f>
        <v>0</v>
      </c>
      <c r="Y296" s="92">
        <f>(SUBSTITUTE(Audio!Y296, "RE-", "", 1))*1</f>
        <v>0</v>
      </c>
      <c r="Z296" s="92">
        <f>(SUBSTITUTE(Audio!Z296, "RE-", "", 1))*1</f>
        <v>0</v>
      </c>
      <c r="AA296" s="92"/>
      <c r="AB296" s="92"/>
      <c r="AC296" s="92"/>
      <c r="AD296" s="92"/>
      <c r="AE296" s="92"/>
      <c r="AF296" s="92"/>
      <c r="AG296" s="92"/>
      <c r="AH296" s="92"/>
      <c r="AI296" s="92"/>
      <c r="AJ296" s="92"/>
      <c r="AK296" s="92"/>
      <c r="AL296" s="92"/>
      <c r="AM296" s="92"/>
      <c r="AN296" s="92"/>
      <c r="AO296" s="92"/>
      <c r="AP296" s="92"/>
      <c r="AQ296" s="92"/>
      <c r="AR296" s="92"/>
      <c r="AS296" s="92"/>
      <c r="AT296" s="92"/>
      <c r="AU296" s="92"/>
      <c r="AV296" s="92"/>
      <c r="AW296" s="92"/>
      <c r="AX296" s="92"/>
      <c r="AY296" s="92"/>
      <c r="AZ296" s="92"/>
      <c r="BA296" s="92"/>
      <c r="BB296" s="92"/>
      <c r="BC296" s="92"/>
      <c r="BD296" s="92"/>
      <c r="BE296" s="92"/>
      <c r="BF296" s="92"/>
      <c r="BG296" s="92"/>
      <c r="BH296" s="92"/>
      <c r="BI296" s="92"/>
      <c r="BJ296" s="92"/>
      <c r="BK296" s="92"/>
      <c r="BL296" s="92"/>
      <c r="BM296" s="92"/>
      <c r="BN296" s="92"/>
      <c r="BO296" s="92"/>
      <c r="BP296" s="92"/>
      <c r="BQ296" s="92"/>
      <c r="BR296" s="92"/>
      <c r="BS296" s="92"/>
      <c r="BT296" s="92"/>
      <c r="BU296" s="92"/>
      <c r="BV296" s="92"/>
      <c r="BW296" s="92"/>
      <c r="BX296" s="92"/>
      <c r="BY296" s="92"/>
      <c r="BZ296" s="92"/>
      <c r="CA296" s="92"/>
      <c r="CB296" s="92"/>
      <c r="CC296" s="92"/>
      <c r="CD296" s="92"/>
      <c r="CE296" s="92"/>
      <c r="CF296" s="92"/>
      <c r="CG296" s="92"/>
      <c r="CH296" s="92"/>
      <c r="CI296" s="92"/>
      <c r="CJ296" s="92"/>
      <c r="CK296" s="92"/>
      <c r="CL296" s="92"/>
      <c r="CM296" s="92"/>
      <c r="CN296" s="92"/>
      <c r="CO296" s="92"/>
      <c r="CP296" s="92"/>
      <c r="CQ296" s="92"/>
      <c r="CR296" s="92"/>
      <c r="CS296" s="92"/>
      <c r="CT296" s="92"/>
      <c r="CU296" s="92"/>
      <c r="CV296" s="92"/>
      <c r="CW296" s="92"/>
      <c r="CX296" s="92"/>
      <c r="CY296" s="92"/>
      <c r="CZ296" s="92"/>
      <c r="DA296" s="92"/>
      <c r="DB296" s="92"/>
      <c r="DC296" s="92"/>
      <c r="DD296" s="92"/>
      <c r="DE296" s="92"/>
      <c r="DF296" s="92"/>
      <c r="DG296" s="92"/>
      <c r="DH296" s="92"/>
      <c r="DI296" s="92"/>
      <c r="DJ296" s="92"/>
      <c r="DK296" s="92"/>
      <c r="DL296" s="92"/>
      <c r="DM296" s="92"/>
      <c r="DN296" s="92"/>
      <c r="DO296" s="92"/>
      <c r="DP296" s="92"/>
      <c r="DQ296" s="92"/>
      <c r="DR296" s="92"/>
      <c r="DS296" s="92"/>
      <c r="DT296" s="92"/>
      <c r="DU296" s="92"/>
      <c r="DV296" s="92"/>
      <c r="DW296" s="92"/>
      <c r="DX296" s="92"/>
      <c r="DY296" s="92"/>
      <c r="DZ296" s="92"/>
      <c r="EA296" s="92"/>
      <c r="EB296" s="92"/>
      <c r="EC296" s="92"/>
      <c r="ED296" s="92"/>
      <c r="EE296" s="92"/>
      <c r="EF296" s="92"/>
      <c r="EG296" s="92"/>
      <c r="EH296" s="92"/>
      <c r="EI296" s="92"/>
      <c r="EJ296" s="92"/>
      <c r="EK296" s="92"/>
      <c r="EL296" s="92"/>
      <c r="EM296" s="92"/>
      <c r="EN296" s="92"/>
      <c r="EO296" s="92"/>
      <c r="EP296" s="92"/>
      <c r="EQ296" s="92"/>
      <c r="ER296" s="92"/>
      <c r="ES296" s="92"/>
      <c r="ET296" s="92"/>
      <c r="EU296" s="92"/>
      <c r="EV296" s="92"/>
      <c r="EW296" s="92"/>
      <c r="EX296" s="92"/>
      <c r="EY296" s="92"/>
      <c r="EZ296" s="92"/>
      <c r="FA296" s="92"/>
      <c r="FB296" s="92"/>
      <c r="FC296" s="92"/>
      <c r="FD296" s="92"/>
      <c r="FE296" s="92"/>
      <c r="FF296" s="92"/>
      <c r="FG296" s="92"/>
      <c r="FH296" s="92"/>
    </row>
    <row r="297">
      <c r="A297" s="32" t="s">
        <v>54</v>
      </c>
      <c r="B297" s="32" t="s">
        <v>58</v>
      </c>
      <c r="C297" s="32" t="s">
        <v>14</v>
      </c>
      <c r="D297" s="97">
        <f t="shared" si="1"/>
        <v>4461.07983</v>
      </c>
      <c r="E297" s="92">
        <f>(SUBSTITUTE(Audio!E297, "RE-", "", 1))*1</f>
        <v>0</v>
      </c>
      <c r="F297" s="92">
        <f>(SUBSTITUTE(Audio!F297, "RE-", "", 1))*1</f>
        <v>747.671</v>
      </c>
      <c r="G297" s="92">
        <f>(SUBSTITUTE(Audio!G297, "RE-", "", 1))*1</f>
        <v>1.66013</v>
      </c>
      <c r="H297" s="92">
        <f>(SUBSTITUTE(Audio!H297, "RE-", "", 1))*1</f>
        <v>72.1661</v>
      </c>
      <c r="I297" s="92">
        <f>(SUBSTITUTE(Audio!I297, "RE-", "", 1))*1</f>
        <v>0</v>
      </c>
      <c r="J297" s="92">
        <f>(SUBSTITUTE(Audio!J297, "RE-", "", 1))*1</f>
        <v>1060.48</v>
      </c>
      <c r="K297" s="92">
        <f>(SUBSTITUTE(Audio!K297, "RE-", "", 1))*1</f>
        <v>2.80837</v>
      </c>
      <c r="L297" s="92">
        <f>(SUBSTITUTE(Audio!L297, "RE-", "", 1))*1</f>
        <v>988.177</v>
      </c>
      <c r="M297" s="92">
        <f>(SUBSTITUTE(Audio!M297, "RE-", "", 1))*1</f>
        <v>11.8617</v>
      </c>
      <c r="N297" s="92">
        <f>(SUBSTITUTE(Audio!N297, "RE-", "", 1))*1</f>
        <v>509.043</v>
      </c>
      <c r="O297" s="92">
        <f>(SUBSTITUTE(Audio!O297, "RE-", "", 1))*1</f>
        <v>12.6998</v>
      </c>
      <c r="P297" s="92">
        <f>(SUBSTITUTE(Audio!P297, "RE-", "", 1))*1</f>
        <v>727.784</v>
      </c>
      <c r="Q297" s="92">
        <f>(SUBSTITUTE(Audio!Q297, "RE-", "", 1))*1</f>
        <v>39.7174</v>
      </c>
      <c r="R297" s="92">
        <f>(SUBSTITUTE(Audio!R297, "RE-", "", 1))*1</f>
        <v>58.3684</v>
      </c>
      <c r="S297" s="92">
        <f>(SUBSTITUTE(Audio!S297, "RE-", "", 1))*1</f>
        <v>7.8939</v>
      </c>
      <c r="T297" s="92">
        <f>(SUBSTITUTE(Audio!T297, "RE-", "", 1))*1</f>
        <v>201.713</v>
      </c>
      <c r="U297" s="92">
        <f>(SUBSTITUTE(Audio!U297, "RE-", "", 1))*1</f>
        <v>15.2336</v>
      </c>
      <c r="V297" s="92">
        <f>(SUBSTITUTE(Audio!V297, "RE-", "", 1))*1</f>
        <v>3.80243</v>
      </c>
      <c r="W297" s="92">
        <f>(SUBSTITUTE(Audio!W297, "RE-", "", 1))*1</f>
        <v>0</v>
      </c>
      <c r="X297" s="92">
        <f>(SUBSTITUTE(Audio!X297, "RE-", "", 1))*1</f>
        <v>0</v>
      </c>
      <c r="Y297" s="92">
        <f>(SUBSTITUTE(Audio!Y297, "RE-", "", 1))*1</f>
        <v>0</v>
      </c>
      <c r="Z297" s="92">
        <f>(SUBSTITUTE(Audio!Z297, "RE-", "", 1))*1</f>
        <v>0</v>
      </c>
      <c r="AA297" s="92"/>
      <c r="AB297" s="92"/>
      <c r="AC297" s="92"/>
      <c r="AD297" s="92"/>
      <c r="AE297" s="92"/>
      <c r="AF297" s="92"/>
      <c r="AG297" s="92"/>
      <c r="AH297" s="92"/>
      <c r="AI297" s="92"/>
      <c r="AJ297" s="92"/>
      <c r="AK297" s="92"/>
      <c r="AL297" s="92"/>
      <c r="AM297" s="92"/>
      <c r="AN297" s="92"/>
      <c r="AO297" s="92"/>
      <c r="AP297" s="92"/>
      <c r="AQ297" s="92"/>
      <c r="AR297" s="92"/>
      <c r="AS297" s="92"/>
      <c r="AT297" s="92"/>
      <c r="AU297" s="92"/>
      <c r="AV297" s="92"/>
      <c r="AW297" s="92"/>
      <c r="AX297" s="92"/>
      <c r="AY297" s="92"/>
      <c r="AZ297" s="92"/>
      <c r="BA297" s="92"/>
      <c r="BB297" s="92"/>
      <c r="BC297" s="92"/>
      <c r="BD297" s="92"/>
      <c r="BE297" s="92"/>
      <c r="BF297" s="92"/>
      <c r="BG297" s="92"/>
      <c r="BH297" s="92"/>
      <c r="BI297" s="92"/>
      <c r="BJ297" s="92"/>
      <c r="BK297" s="92"/>
      <c r="BL297" s="92"/>
      <c r="BM297" s="92"/>
      <c r="BN297" s="92"/>
      <c r="BO297" s="92"/>
      <c r="BP297" s="92"/>
      <c r="BQ297" s="92"/>
      <c r="BR297" s="92"/>
      <c r="BS297" s="92"/>
      <c r="BT297" s="92"/>
      <c r="BU297" s="92"/>
      <c r="BV297" s="92"/>
      <c r="BW297" s="92"/>
      <c r="BX297" s="92"/>
      <c r="BY297" s="92"/>
      <c r="BZ297" s="92"/>
      <c r="CA297" s="92"/>
      <c r="CB297" s="92"/>
      <c r="CC297" s="92"/>
      <c r="CD297" s="92"/>
      <c r="CE297" s="92"/>
      <c r="CF297" s="92"/>
      <c r="CG297" s="92"/>
      <c r="CH297" s="92"/>
      <c r="CI297" s="92"/>
      <c r="CJ297" s="92"/>
      <c r="CK297" s="92"/>
      <c r="CL297" s="92"/>
      <c r="CM297" s="92"/>
      <c r="CN297" s="92"/>
      <c r="CO297" s="92"/>
      <c r="CP297" s="92"/>
      <c r="CQ297" s="92"/>
      <c r="CR297" s="92"/>
      <c r="CS297" s="92"/>
      <c r="CT297" s="92"/>
      <c r="CU297" s="92"/>
      <c r="CV297" s="92"/>
      <c r="CW297" s="92"/>
      <c r="CX297" s="92"/>
      <c r="CY297" s="92"/>
      <c r="CZ297" s="92"/>
      <c r="DA297" s="92"/>
      <c r="DB297" s="92"/>
      <c r="DC297" s="92"/>
      <c r="DD297" s="92"/>
      <c r="DE297" s="92"/>
      <c r="DF297" s="92"/>
      <c r="DG297" s="92"/>
      <c r="DH297" s="92"/>
      <c r="DI297" s="92"/>
      <c r="DJ297" s="92"/>
      <c r="DK297" s="92"/>
      <c r="DL297" s="92"/>
      <c r="DM297" s="92"/>
      <c r="DN297" s="92"/>
      <c r="DO297" s="92"/>
      <c r="DP297" s="92"/>
      <c r="DQ297" s="92"/>
      <c r="DR297" s="92"/>
      <c r="DS297" s="92"/>
      <c r="DT297" s="92"/>
      <c r="DU297" s="92"/>
      <c r="DV297" s="92"/>
      <c r="DW297" s="92"/>
      <c r="DX297" s="92"/>
      <c r="DY297" s="92"/>
      <c r="DZ297" s="92"/>
      <c r="EA297" s="92"/>
      <c r="EB297" s="92"/>
      <c r="EC297" s="92"/>
      <c r="ED297" s="92"/>
      <c r="EE297" s="92"/>
      <c r="EF297" s="92"/>
      <c r="EG297" s="92"/>
      <c r="EH297" s="92"/>
      <c r="EI297" s="92"/>
      <c r="EJ297" s="92"/>
      <c r="EK297" s="92"/>
      <c r="EL297" s="92"/>
      <c r="EM297" s="92"/>
      <c r="EN297" s="92"/>
      <c r="EO297" s="92"/>
      <c r="EP297" s="92"/>
      <c r="EQ297" s="92"/>
      <c r="ER297" s="92"/>
      <c r="ES297" s="92"/>
      <c r="ET297" s="92"/>
      <c r="EU297" s="92"/>
      <c r="EV297" s="92"/>
      <c r="EW297" s="92"/>
      <c r="EX297" s="92"/>
      <c r="EY297" s="92"/>
      <c r="EZ297" s="92"/>
      <c r="FA297" s="92"/>
      <c r="FB297" s="92"/>
      <c r="FC297" s="92"/>
      <c r="FD297" s="92"/>
      <c r="FE297" s="92"/>
      <c r="FF297" s="92"/>
      <c r="FG297" s="92"/>
      <c r="FH297" s="92"/>
    </row>
    <row r="298">
      <c r="A298" s="27" t="s">
        <v>54</v>
      </c>
      <c r="B298" s="27" t="s">
        <v>58</v>
      </c>
      <c r="C298" s="27" t="s">
        <v>15</v>
      </c>
      <c r="D298" s="98">
        <f t="shared" si="1"/>
        <v>4966.15815</v>
      </c>
      <c r="E298" s="92">
        <f>(SUBSTITUTE(Audio!E298, "RE-", "", 1))*1</f>
        <v>0</v>
      </c>
      <c r="F298" s="92">
        <f>(SUBSTITUTE(Audio!F298, "RE-", "", 1))*1</f>
        <v>836.715</v>
      </c>
      <c r="G298" s="92">
        <f>(SUBSTITUTE(Audio!G298, "RE-", "", 1))*1</f>
        <v>1.66013</v>
      </c>
      <c r="H298" s="92">
        <f>(SUBSTITUTE(Audio!H298, "RE-", "", 1))*1</f>
        <v>76.1956</v>
      </c>
      <c r="I298" s="92">
        <f>(SUBSTITUTE(Audio!I298, "RE-", "", 1))*1</f>
        <v>0</v>
      </c>
      <c r="J298" s="92">
        <f>(SUBSTITUTE(Audio!J298, "RE-", "", 1))*1</f>
        <v>1135.11</v>
      </c>
      <c r="K298" s="92">
        <f>(SUBSTITUTE(Audio!K298, "RE-", "", 1))*1</f>
        <v>2.80837</v>
      </c>
      <c r="L298" s="92">
        <f>(SUBSTITUTE(Audio!L298, "RE-", "", 1))*1</f>
        <v>1112.02</v>
      </c>
      <c r="M298" s="92">
        <f>(SUBSTITUTE(Audio!M298, "RE-", "", 1))*1</f>
        <v>13.4208</v>
      </c>
      <c r="N298" s="92">
        <f>(SUBSTITUTE(Audio!N298, "RE-", "", 1))*1</f>
        <v>582.197</v>
      </c>
      <c r="O298" s="92">
        <f>(SUBSTITUTE(Audio!O298, "RE-", "", 1))*1</f>
        <v>14.9479</v>
      </c>
      <c r="P298" s="92">
        <f>(SUBSTITUTE(Audio!P298, "RE-", "", 1))*1</f>
        <v>814.789</v>
      </c>
      <c r="Q298" s="92">
        <f>(SUBSTITUTE(Audio!Q298, "RE-", "", 1))*1</f>
        <v>45.9127</v>
      </c>
      <c r="R298" s="92">
        <f>(SUBSTITUTE(Audio!R298, "RE-", "", 1))*1</f>
        <v>69.0475</v>
      </c>
      <c r="S298" s="92">
        <f>(SUBSTITUTE(Audio!S298, "RE-", "", 1))*1</f>
        <v>8.93692</v>
      </c>
      <c r="T298" s="92">
        <f>(SUBSTITUTE(Audio!T298, "RE-", "", 1))*1</f>
        <v>231.245</v>
      </c>
      <c r="U298" s="92">
        <f>(SUBSTITUTE(Audio!U298, "RE-", "", 1))*1</f>
        <v>17.2044</v>
      </c>
      <c r="V298" s="92">
        <f>(SUBSTITUTE(Audio!V298, "RE-", "", 1))*1</f>
        <v>3.94783</v>
      </c>
      <c r="W298" s="92">
        <f>(SUBSTITUTE(Audio!W298, "RE-", "", 1))*1</f>
        <v>0</v>
      </c>
      <c r="X298" s="92">
        <f>(SUBSTITUTE(Audio!X298, "RE-", "", 1))*1</f>
        <v>0</v>
      </c>
      <c r="Y298" s="92">
        <f>(SUBSTITUTE(Audio!Y298, "RE-", "", 1))*1</f>
        <v>0</v>
      </c>
      <c r="Z298" s="92">
        <f>(SUBSTITUTE(Audio!Z298, "RE-", "", 1))*1</f>
        <v>0</v>
      </c>
      <c r="AA298" s="92"/>
      <c r="AB298" s="92"/>
      <c r="AC298" s="92"/>
      <c r="AD298" s="92"/>
      <c r="AE298" s="92"/>
      <c r="AF298" s="92"/>
      <c r="AG298" s="92"/>
      <c r="AH298" s="92"/>
      <c r="AI298" s="92"/>
      <c r="AJ298" s="92"/>
      <c r="AK298" s="92"/>
      <c r="AL298" s="92"/>
      <c r="AM298" s="92"/>
      <c r="AN298" s="92"/>
      <c r="AO298" s="92"/>
      <c r="AP298" s="92"/>
      <c r="AQ298" s="92"/>
      <c r="AR298" s="92"/>
      <c r="AS298" s="92"/>
      <c r="AT298" s="92"/>
      <c r="AU298" s="92"/>
      <c r="AV298" s="92"/>
      <c r="AW298" s="92"/>
      <c r="AX298" s="92"/>
      <c r="AY298" s="92"/>
      <c r="AZ298" s="92"/>
      <c r="BA298" s="92"/>
      <c r="BB298" s="92"/>
      <c r="BC298" s="92"/>
      <c r="BD298" s="92"/>
      <c r="BE298" s="92"/>
      <c r="BF298" s="92"/>
      <c r="BG298" s="92"/>
      <c r="BH298" s="92"/>
      <c r="BI298" s="92"/>
      <c r="BJ298" s="92"/>
      <c r="BK298" s="92"/>
      <c r="BL298" s="92"/>
      <c r="BM298" s="92"/>
      <c r="BN298" s="92"/>
      <c r="BO298" s="92"/>
      <c r="BP298" s="92"/>
      <c r="BQ298" s="92"/>
      <c r="BR298" s="92"/>
      <c r="BS298" s="92"/>
      <c r="BT298" s="92"/>
      <c r="BU298" s="92"/>
      <c r="BV298" s="92"/>
      <c r="BW298" s="92"/>
      <c r="BX298" s="92"/>
      <c r="BY298" s="92"/>
      <c r="BZ298" s="92"/>
      <c r="CA298" s="92"/>
      <c r="CB298" s="92"/>
      <c r="CC298" s="92"/>
      <c r="CD298" s="92"/>
      <c r="CE298" s="92"/>
      <c r="CF298" s="92"/>
      <c r="CG298" s="92"/>
      <c r="CH298" s="92"/>
      <c r="CI298" s="92"/>
      <c r="CJ298" s="92"/>
      <c r="CK298" s="92"/>
      <c r="CL298" s="92"/>
      <c r="CM298" s="92"/>
      <c r="CN298" s="92"/>
      <c r="CO298" s="92"/>
      <c r="CP298" s="92"/>
      <c r="CQ298" s="92"/>
      <c r="CR298" s="92"/>
      <c r="CS298" s="92"/>
      <c r="CT298" s="92"/>
      <c r="CU298" s="92"/>
      <c r="CV298" s="92"/>
      <c r="CW298" s="92"/>
      <c r="CX298" s="92"/>
      <c r="CY298" s="92"/>
      <c r="CZ298" s="92"/>
      <c r="DA298" s="92"/>
      <c r="DB298" s="92"/>
      <c r="DC298" s="92"/>
      <c r="DD298" s="92"/>
      <c r="DE298" s="92"/>
      <c r="DF298" s="92"/>
      <c r="DG298" s="92"/>
      <c r="DH298" s="92"/>
      <c r="DI298" s="92"/>
      <c r="DJ298" s="92"/>
      <c r="DK298" s="92"/>
      <c r="DL298" s="92"/>
      <c r="DM298" s="92"/>
      <c r="DN298" s="92"/>
      <c r="DO298" s="92"/>
      <c r="DP298" s="92"/>
      <c r="DQ298" s="92"/>
      <c r="DR298" s="92"/>
      <c r="DS298" s="92"/>
      <c r="DT298" s="92"/>
      <c r="DU298" s="92"/>
      <c r="DV298" s="92"/>
      <c r="DW298" s="92"/>
      <c r="DX298" s="92"/>
      <c r="DY298" s="92"/>
      <c r="DZ298" s="92"/>
      <c r="EA298" s="92"/>
      <c r="EB298" s="92"/>
      <c r="EC298" s="92"/>
      <c r="ED298" s="92"/>
      <c r="EE298" s="92"/>
      <c r="EF298" s="92"/>
      <c r="EG298" s="92"/>
      <c r="EH298" s="92"/>
      <c r="EI298" s="92"/>
      <c r="EJ298" s="92"/>
      <c r="EK298" s="92"/>
      <c r="EL298" s="92"/>
      <c r="EM298" s="92"/>
      <c r="EN298" s="92"/>
      <c r="EO298" s="92"/>
      <c r="EP298" s="92"/>
      <c r="EQ298" s="92"/>
      <c r="ER298" s="92"/>
      <c r="ES298" s="92"/>
      <c r="ET298" s="92"/>
      <c r="EU298" s="92"/>
      <c r="EV298" s="92"/>
      <c r="EW298" s="92"/>
      <c r="EX298" s="92"/>
      <c r="EY298" s="92"/>
      <c r="EZ298" s="92"/>
      <c r="FA298" s="92"/>
      <c r="FB298" s="92"/>
      <c r="FC298" s="92"/>
      <c r="FD298" s="92"/>
      <c r="FE298" s="92"/>
      <c r="FF298" s="92"/>
      <c r="FG298" s="92"/>
      <c r="FH298" s="92"/>
    </row>
    <row r="299">
      <c r="A299" s="30" t="s">
        <v>54</v>
      </c>
      <c r="B299" s="30" t="s">
        <v>59</v>
      </c>
      <c r="C299" s="31" t="str">
        <f>HYPERLINK("https://docs.google.com/spreadsheets/d/1CLq8_Z3hl1oYGL-ktfLc71Mhq36Qzwxc/edit?usp=share_link&amp;ouid=106501987799020758802&amp;rtpof=true&amp;sd=true", "Raw Delivered")</f>
        <v>Raw Delivered</v>
      </c>
      <c r="D299" s="96">
        <f t="shared" si="1"/>
        <v>4372.636381</v>
      </c>
      <c r="E299" s="92">
        <f>(SUBSTITUTE(Audio!E299, "RE-", "", 1))*1</f>
        <v>0</v>
      </c>
      <c r="F299" s="92">
        <f>(SUBSTITUTE(Audio!F299, "RE-", "", 1))*1</f>
        <v>923.2639573</v>
      </c>
      <c r="G299" s="92">
        <f>(SUBSTITUTE(Audio!G299, "RE-", "", 1))*1</f>
        <v>0</v>
      </c>
      <c r="H299" s="92">
        <f>(SUBSTITUTE(Audio!H299, "RE-", "", 1))*1</f>
        <v>71.1752</v>
      </c>
      <c r="I299" s="92">
        <f>(SUBSTITUTE(Audio!I299, "RE-", "", 1))*1</f>
        <v>0</v>
      </c>
      <c r="J299" s="92">
        <f>(SUBSTITUTE(Audio!J299, "RE-", "", 1))*1</f>
        <v>289.6624625</v>
      </c>
      <c r="K299" s="92">
        <f>(SUBSTITUTE(Audio!K299, "RE-", "", 1))*1</f>
        <v>0</v>
      </c>
      <c r="L299" s="92">
        <f>(SUBSTITUTE(Audio!L299, "RE-", "", 1))*1</f>
        <v>999.8501583</v>
      </c>
      <c r="M299" s="92">
        <f>(SUBSTITUTE(Audio!M299, "RE-", "", 1))*1</f>
        <v>0</v>
      </c>
      <c r="N299" s="92">
        <f>(SUBSTITUTE(Audio!N299, "RE-", "", 1))*1</f>
        <v>1455.983503</v>
      </c>
      <c r="O299" s="92">
        <f>(SUBSTITUTE(Audio!O299, "RE-", "", 1))*1</f>
        <v>0</v>
      </c>
      <c r="P299" s="92">
        <f>(SUBSTITUTE(Audio!P299, "RE-", "", 1))*1</f>
        <v>393.8731438</v>
      </c>
      <c r="Q299" s="92">
        <f>(SUBSTITUTE(Audio!Q299, "RE-", "", 1))*1</f>
        <v>0</v>
      </c>
      <c r="R299" s="92">
        <f>(SUBSTITUTE(Audio!R299, "RE-", "", 1))*1</f>
        <v>45.68538021</v>
      </c>
      <c r="S299" s="92">
        <f>(SUBSTITUTE(Audio!S299, "RE-", "", 1))*1</f>
        <v>0</v>
      </c>
      <c r="T299" s="92">
        <f>(SUBSTITUTE(Audio!T299, "RE-", "", 1))*1</f>
        <v>193.142576</v>
      </c>
      <c r="U299" s="92">
        <f>(SUBSTITUTE(Audio!U299, "RE-", "", 1))*1</f>
        <v>0</v>
      </c>
      <c r="V299" s="92">
        <f>(SUBSTITUTE(Audio!V299, "RE-", "", 1))*1</f>
        <v>0</v>
      </c>
      <c r="W299" s="92">
        <f>(SUBSTITUTE(Audio!W299, "RE-", "", 1))*1</f>
        <v>0</v>
      </c>
      <c r="X299" s="92">
        <f>(SUBSTITUTE(Audio!X299, "RE-", "", 1))*1</f>
        <v>0</v>
      </c>
      <c r="Y299" s="92">
        <f>(SUBSTITUTE(Audio!Y299, "RE-", "", 1))*1</f>
        <v>0</v>
      </c>
      <c r="Z299" s="92">
        <f>(SUBSTITUTE(Audio!Z299, "RE-", "", 1))*1</f>
        <v>0</v>
      </c>
      <c r="AA299" s="92"/>
      <c r="AB299" s="92"/>
      <c r="AC299" s="92"/>
      <c r="AD299" s="92"/>
      <c r="AE299" s="92"/>
      <c r="AF299" s="92"/>
      <c r="AG299" s="92"/>
      <c r="AH299" s="92"/>
      <c r="AI299" s="92"/>
      <c r="AJ299" s="92"/>
      <c r="AK299" s="92"/>
      <c r="AL299" s="92"/>
      <c r="AM299" s="92"/>
      <c r="AN299" s="92"/>
      <c r="AO299" s="92"/>
      <c r="AP299" s="92"/>
      <c r="AQ299" s="92"/>
      <c r="AR299" s="92"/>
      <c r="AS299" s="92"/>
      <c r="AT299" s="92"/>
      <c r="AU299" s="92"/>
      <c r="AV299" s="92"/>
      <c r="AW299" s="92"/>
      <c r="AX299" s="92"/>
      <c r="AY299" s="92"/>
      <c r="AZ299" s="92"/>
      <c r="BA299" s="92"/>
      <c r="BB299" s="92"/>
      <c r="BC299" s="92"/>
      <c r="BD299" s="92"/>
      <c r="BE299" s="92"/>
      <c r="BF299" s="92"/>
      <c r="BG299" s="92"/>
      <c r="BH299" s="92"/>
      <c r="BI299" s="92"/>
      <c r="BJ299" s="92"/>
      <c r="BK299" s="92"/>
      <c r="BL299" s="92"/>
      <c r="BM299" s="92"/>
      <c r="BN299" s="92"/>
      <c r="BO299" s="92"/>
      <c r="BP299" s="92"/>
      <c r="BQ299" s="92"/>
      <c r="BR299" s="92"/>
      <c r="BS299" s="92"/>
      <c r="BT299" s="92"/>
      <c r="BU299" s="92"/>
      <c r="BV299" s="92"/>
      <c r="BW299" s="92"/>
      <c r="BX299" s="92"/>
      <c r="BY299" s="92"/>
      <c r="BZ299" s="92"/>
      <c r="CA299" s="92"/>
      <c r="CB299" s="92"/>
      <c r="CC299" s="92"/>
      <c r="CD299" s="92"/>
      <c r="CE299" s="92"/>
      <c r="CF299" s="92"/>
      <c r="CG299" s="92"/>
      <c r="CH299" s="92"/>
      <c r="CI299" s="92"/>
      <c r="CJ299" s="92"/>
      <c r="CK299" s="92"/>
      <c r="CL299" s="92"/>
      <c r="CM299" s="92"/>
      <c r="CN299" s="92"/>
      <c r="CO299" s="92"/>
      <c r="CP299" s="92"/>
      <c r="CQ299" s="92"/>
      <c r="CR299" s="92"/>
      <c r="CS299" s="92"/>
      <c r="CT299" s="92"/>
      <c r="CU299" s="92"/>
      <c r="CV299" s="92"/>
      <c r="CW299" s="92"/>
      <c r="CX299" s="92"/>
      <c r="CY299" s="92"/>
      <c r="CZ299" s="92"/>
      <c r="DA299" s="92"/>
      <c r="DB299" s="92"/>
      <c r="DC299" s="92"/>
      <c r="DD299" s="92"/>
      <c r="DE299" s="92"/>
      <c r="DF299" s="92"/>
      <c r="DG299" s="92"/>
      <c r="DH299" s="92"/>
      <c r="DI299" s="92"/>
      <c r="DJ299" s="92"/>
      <c r="DK299" s="92"/>
      <c r="DL299" s="92"/>
      <c r="DM299" s="92"/>
      <c r="DN299" s="92"/>
      <c r="DO299" s="92"/>
      <c r="DP299" s="92"/>
      <c r="DQ299" s="92"/>
      <c r="DR299" s="92"/>
      <c r="DS299" s="92"/>
      <c r="DT299" s="92"/>
      <c r="DU299" s="92"/>
      <c r="DV299" s="92"/>
      <c r="DW299" s="92"/>
      <c r="DX299" s="92"/>
      <c r="DY299" s="92"/>
      <c r="DZ299" s="92"/>
      <c r="EA299" s="92"/>
      <c r="EB299" s="92"/>
      <c r="EC299" s="92"/>
      <c r="ED299" s="92"/>
      <c r="EE299" s="92"/>
      <c r="EF299" s="92"/>
      <c r="EG299" s="92"/>
      <c r="EH299" s="92"/>
      <c r="EI299" s="92"/>
      <c r="EJ299" s="92"/>
      <c r="EK299" s="92"/>
      <c r="EL299" s="92"/>
      <c r="EM299" s="92"/>
      <c r="EN299" s="92"/>
      <c r="EO299" s="92"/>
      <c r="EP299" s="92"/>
      <c r="EQ299" s="92"/>
      <c r="ER299" s="92"/>
      <c r="ES299" s="92"/>
      <c r="ET299" s="92"/>
      <c r="EU299" s="92"/>
      <c r="EV299" s="92"/>
      <c r="EW299" s="92"/>
      <c r="EX299" s="92"/>
      <c r="EY299" s="92"/>
      <c r="EZ299" s="92"/>
      <c r="FA299" s="92"/>
      <c r="FB299" s="92"/>
      <c r="FC299" s="92"/>
      <c r="FD299" s="92"/>
      <c r="FE299" s="92"/>
      <c r="FF299" s="92"/>
      <c r="FG299" s="92"/>
      <c r="FH299" s="92"/>
    </row>
    <row r="300">
      <c r="A300" s="32" t="s">
        <v>54</v>
      </c>
      <c r="B300" s="32" t="s">
        <v>59</v>
      </c>
      <c r="C300" s="32" t="s">
        <v>9</v>
      </c>
      <c r="D300" s="97">
        <f t="shared" si="1"/>
        <v>4372.636381</v>
      </c>
      <c r="E300" s="92">
        <f>(SUBSTITUTE(Audio!E300, "RE-", "", 1))*1</f>
        <v>0</v>
      </c>
      <c r="F300" s="92">
        <f>(SUBSTITUTE(Audio!F300, "RE-", "", 1))*1</f>
        <v>923.2639573</v>
      </c>
      <c r="G300" s="92">
        <f>(SUBSTITUTE(Audio!G300, "RE-", "", 1))*1</f>
        <v>0</v>
      </c>
      <c r="H300" s="92">
        <f>(SUBSTITUTE(Audio!H300, "RE-", "", 1))*1</f>
        <v>71.1752</v>
      </c>
      <c r="I300" s="92">
        <f>(SUBSTITUTE(Audio!I300, "RE-", "", 1))*1</f>
        <v>0</v>
      </c>
      <c r="J300" s="92">
        <f>(SUBSTITUTE(Audio!J300, "RE-", "", 1))*1</f>
        <v>289.6624625</v>
      </c>
      <c r="K300" s="92">
        <f>(SUBSTITUTE(Audio!K300, "RE-", "", 1))*1</f>
        <v>0</v>
      </c>
      <c r="L300" s="92">
        <f>(SUBSTITUTE(Audio!L300, "RE-", "", 1))*1</f>
        <v>999.8501583</v>
      </c>
      <c r="M300" s="92">
        <f>(SUBSTITUTE(Audio!M300, "RE-", "", 1))*1</f>
        <v>0</v>
      </c>
      <c r="N300" s="92">
        <f>(SUBSTITUTE(Audio!N300, "RE-", "", 1))*1</f>
        <v>1455.983503</v>
      </c>
      <c r="O300" s="92">
        <f>(SUBSTITUTE(Audio!O300, "RE-", "", 1))*1</f>
        <v>0</v>
      </c>
      <c r="P300" s="92">
        <f>(SUBSTITUTE(Audio!P300, "RE-", "", 1))*1</f>
        <v>393.8731438</v>
      </c>
      <c r="Q300" s="92">
        <f>(SUBSTITUTE(Audio!Q300, "RE-", "", 1))*1</f>
        <v>0</v>
      </c>
      <c r="R300" s="92">
        <f>(SUBSTITUTE(Audio!R300, "RE-", "", 1))*1</f>
        <v>45.68538021</v>
      </c>
      <c r="S300" s="92">
        <f>(SUBSTITUTE(Audio!S300, "RE-", "", 1))*1</f>
        <v>0</v>
      </c>
      <c r="T300" s="92">
        <f>(SUBSTITUTE(Audio!T300, "RE-", "", 1))*1</f>
        <v>193.142576</v>
      </c>
      <c r="U300" s="92">
        <f>(SUBSTITUTE(Audio!U300, "RE-", "", 1))*1</f>
        <v>0</v>
      </c>
      <c r="V300" s="92">
        <f>(SUBSTITUTE(Audio!V300, "RE-", "", 1))*1</f>
        <v>0</v>
      </c>
      <c r="W300" s="92">
        <f>(SUBSTITUTE(Audio!W300, "RE-", "", 1))*1</f>
        <v>0</v>
      </c>
      <c r="X300" s="92">
        <f>(SUBSTITUTE(Audio!X300, "RE-", "", 1))*1</f>
        <v>0</v>
      </c>
      <c r="Y300" s="92">
        <f>(SUBSTITUTE(Audio!Y300, "RE-", "", 1))*1</f>
        <v>0</v>
      </c>
      <c r="Z300" s="92">
        <f>(SUBSTITUTE(Audio!Z300, "RE-", "", 1))*1</f>
        <v>0</v>
      </c>
      <c r="AA300" s="92"/>
      <c r="AB300" s="92"/>
      <c r="AC300" s="92"/>
      <c r="AD300" s="92"/>
      <c r="AE300" s="92"/>
      <c r="AF300" s="92"/>
      <c r="AG300" s="92"/>
      <c r="AH300" s="92"/>
      <c r="AI300" s="92"/>
      <c r="AJ300" s="92"/>
      <c r="AK300" s="92"/>
      <c r="AL300" s="92"/>
      <c r="AM300" s="92"/>
      <c r="AN300" s="92"/>
      <c r="AO300" s="92"/>
      <c r="AP300" s="92"/>
      <c r="AQ300" s="92"/>
      <c r="AR300" s="92"/>
      <c r="AS300" s="92"/>
      <c r="AT300" s="92"/>
      <c r="AU300" s="92"/>
      <c r="AV300" s="92"/>
      <c r="AW300" s="92"/>
      <c r="AX300" s="92"/>
      <c r="AY300" s="92"/>
      <c r="AZ300" s="92"/>
      <c r="BA300" s="92"/>
      <c r="BB300" s="92"/>
      <c r="BC300" s="92"/>
      <c r="BD300" s="92"/>
      <c r="BE300" s="92"/>
      <c r="BF300" s="92"/>
      <c r="BG300" s="92"/>
      <c r="BH300" s="92"/>
      <c r="BI300" s="92"/>
      <c r="BJ300" s="92"/>
      <c r="BK300" s="92"/>
      <c r="BL300" s="92"/>
      <c r="BM300" s="92"/>
      <c r="BN300" s="92"/>
      <c r="BO300" s="92"/>
      <c r="BP300" s="92"/>
      <c r="BQ300" s="92"/>
      <c r="BR300" s="92"/>
      <c r="BS300" s="92"/>
      <c r="BT300" s="92"/>
      <c r="BU300" s="92"/>
      <c r="BV300" s="92"/>
      <c r="BW300" s="92"/>
      <c r="BX300" s="92"/>
      <c r="BY300" s="92"/>
      <c r="BZ300" s="92"/>
      <c r="CA300" s="92"/>
      <c r="CB300" s="92"/>
      <c r="CC300" s="92"/>
      <c r="CD300" s="92"/>
      <c r="CE300" s="92"/>
      <c r="CF300" s="92"/>
      <c r="CG300" s="92"/>
      <c r="CH300" s="92"/>
      <c r="CI300" s="92"/>
      <c r="CJ300" s="92"/>
      <c r="CK300" s="92"/>
      <c r="CL300" s="92"/>
      <c r="CM300" s="92"/>
      <c r="CN300" s="92"/>
      <c r="CO300" s="92"/>
      <c r="CP300" s="92"/>
      <c r="CQ300" s="92"/>
      <c r="CR300" s="92"/>
      <c r="CS300" s="92"/>
      <c r="CT300" s="92"/>
      <c r="CU300" s="92"/>
      <c r="CV300" s="92"/>
      <c r="CW300" s="92"/>
      <c r="CX300" s="92"/>
      <c r="CY300" s="92"/>
      <c r="CZ300" s="92"/>
      <c r="DA300" s="92"/>
      <c r="DB300" s="92"/>
      <c r="DC300" s="92"/>
      <c r="DD300" s="92"/>
      <c r="DE300" s="92"/>
      <c r="DF300" s="92"/>
      <c r="DG300" s="92"/>
      <c r="DH300" s="92"/>
      <c r="DI300" s="92"/>
      <c r="DJ300" s="92"/>
      <c r="DK300" s="92"/>
      <c r="DL300" s="92"/>
      <c r="DM300" s="92"/>
      <c r="DN300" s="92"/>
      <c r="DO300" s="92"/>
      <c r="DP300" s="92"/>
      <c r="DQ300" s="92"/>
      <c r="DR300" s="92"/>
      <c r="DS300" s="92"/>
      <c r="DT300" s="92"/>
      <c r="DU300" s="92"/>
      <c r="DV300" s="92"/>
      <c r="DW300" s="92"/>
      <c r="DX300" s="92"/>
      <c r="DY300" s="92"/>
      <c r="DZ300" s="92"/>
      <c r="EA300" s="92"/>
      <c r="EB300" s="92"/>
      <c r="EC300" s="92"/>
      <c r="ED300" s="92"/>
      <c r="EE300" s="92"/>
      <c r="EF300" s="92"/>
      <c r="EG300" s="92"/>
      <c r="EH300" s="92"/>
      <c r="EI300" s="92"/>
      <c r="EJ300" s="92"/>
      <c r="EK300" s="92"/>
      <c r="EL300" s="92"/>
      <c r="EM300" s="92"/>
      <c r="EN300" s="92"/>
      <c r="EO300" s="92"/>
      <c r="EP300" s="92"/>
      <c r="EQ300" s="92"/>
      <c r="ER300" s="92"/>
      <c r="ES300" s="92"/>
      <c r="ET300" s="92"/>
      <c r="EU300" s="92"/>
      <c r="EV300" s="92"/>
      <c r="EW300" s="92"/>
      <c r="EX300" s="92"/>
      <c r="EY300" s="92"/>
      <c r="EZ300" s="92"/>
      <c r="FA300" s="92"/>
      <c r="FB300" s="92"/>
      <c r="FC300" s="92"/>
      <c r="FD300" s="92"/>
      <c r="FE300" s="92"/>
      <c r="FF300" s="92"/>
      <c r="FG300" s="92"/>
      <c r="FH300" s="92"/>
    </row>
    <row r="301">
      <c r="A301" s="32" t="s">
        <v>54</v>
      </c>
      <c r="B301" s="32" t="s">
        <v>59</v>
      </c>
      <c r="C301" s="32" t="s">
        <v>10</v>
      </c>
      <c r="D301" s="97">
        <f t="shared" si="1"/>
        <v>388.2154271</v>
      </c>
      <c r="E301" s="92">
        <f>(SUBSTITUTE(Audio!E301, "RE-", "", 1))*1</f>
        <v>0</v>
      </c>
      <c r="F301" s="92">
        <f>(SUBSTITUTE(Audio!F301, "RE-", "", 1))*1</f>
        <v>0</v>
      </c>
      <c r="G301" s="92">
        <f>(SUBSTITUTE(Audio!G301, "RE-", "", 1))*1</f>
        <v>71.81947812</v>
      </c>
      <c r="H301" s="92">
        <f>(SUBSTITUTE(Audio!H301, "RE-", "", 1))*1</f>
        <v>0</v>
      </c>
      <c r="I301" s="92">
        <f>(SUBSTITUTE(Audio!I301, "RE-", "", 1))*1</f>
        <v>17.18387083</v>
      </c>
      <c r="J301" s="92">
        <f>(SUBSTITUTE(Audio!J301, "RE-", "", 1))*1</f>
        <v>0</v>
      </c>
      <c r="K301" s="92">
        <f>(SUBSTITUTE(Audio!K301, "RE-", "", 1))*1</f>
        <v>18.57387917</v>
      </c>
      <c r="L301" s="92">
        <f>(SUBSTITUTE(Audio!L301, "RE-", "", 1))*1</f>
        <v>0</v>
      </c>
      <c r="M301" s="92">
        <f>(SUBSTITUTE(Audio!M301, "RE-", "", 1))*1</f>
        <v>32.72489792</v>
      </c>
      <c r="N301" s="92">
        <f>(SUBSTITUTE(Audio!N301, "RE-", "", 1))*1</f>
        <v>0</v>
      </c>
      <c r="O301" s="92">
        <f>(SUBSTITUTE(Audio!O301, "RE-", "", 1))*1</f>
        <v>166.0794802</v>
      </c>
      <c r="P301" s="92">
        <f>(SUBSTITUTE(Audio!P301, "RE-", "", 1))*1</f>
        <v>0</v>
      </c>
      <c r="Q301" s="92">
        <f>(SUBSTITUTE(Audio!Q301, "RE-", "", 1))*1</f>
        <v>67.38260417</v>
      </c>
      <c r="R301" s="92">
        <f>(SUBSTITUTE(Audio!R301, "RE-", "", 1))*1</f>
        <v>0</v>
      </c>
      <c r="S301" s="92">
        <f>(SUBSTITUTE(Audio!S301, "RE-", "", 1))*1</f>
        <v>3.238827083</v>
      </c>
      <c r="T301" s="92">
        <f>(SUBSTITUTE(Audio!T301, "RE-", "", 1))*1</f>
        <v>0</v>
      </c>
      <c r="U301" s="92">
        <f>(SUBSTITUTE(Audio!U301, "RE-", "", 1))*1</f>
        <v>10.01629792</v>
      </c>
      <c r="V301" s="92">
        <f>(SUBSTITUTE(Audio!V301, "RE-", "", 1))*1</f>
        <v>1.196091667</v>
      </c>
      <c r="W301" s="92">
        <f>(SUBSTITUTE(Audio!W301, "RE-", "", 1))*1</f>
        <v>0</v>
      </c>
      <c r="X301" s="92">
        <f>(SUBSTITUTE(Audio!X301, "RE-", "", 1))*1</f>
        <v>0</v>
      </c>
      <c r="Y301" s="92">
        <f>(SUBSTITUTE(Audio!Y301, "RE-", "", 1))*1</f>
        <v>0</v>
      </c>
      <c r="Z301" s="92">
        <f>(SUBSTITUTE(Audio!Z301, "RE-", "", 1))*1</f>
        <v>0</v>
      </c>
      <c r="AA301" s="92"/>
      <c r="AB301" s="92"/>
      <c r="AC301" s="92"/>
      <c r="AD301" s="92"/>
      <c r="AE301" s="92"/>
      <c r="AF301" s="92"/>
      <c r="AG301" s="92"/>
      <c r="AH301" s="92"/>
      <c r="AI301" s="92"/>
      <c r="AJ301" s="92"/>
      <c r="AK301" s="92"/>
      <c r="AL301" s="92"/>
      <c r="AM301" s="92"/>
      <c r="AN301" s="92"/>
      <c r="AO301" s="92"/>
      <c r="AP301" s="92"/>
      <c r="AQ301" s="92"/>
      <c r="AR301" s="92"/>
      <c r="AS301" s="92"/>
      <c r="AT301" s="92"/>
      <c r="AU301" s="92"/>
      <c r="AV301" s="92"/>
      <c r="AW301" s="92"/>
      <c r="AX301" s="92"/>
      <c r="AY301" s="92"/>
      <c r="AZ301" s="92"/>
      <c r="BA301" s="92"/>
      <c r="BB301" s="92"/>
      <c r="BC301" s="92"/>
      <c r="BD301" s="92"/>
      <c r="BE301" s="92"/>
      <c r="BF301" s="92"/>
      <c r="BG301" s="92"/>
      <c r="BH301" s="92"/>
      <c r="BI301" s="92"/>
      <c r="BJ301" s="92"/>
      <c r="BK301" s="92"/>
      <c r="BL301" s="92"/>
      <c r="BM301" s="92"/>
      <c r="BN301" s="92"/>
      <c r="BO301" s="92"/>
      <c r="BP301" s="92"/>
      <c r="BQ301" s="92"/>
      <c r="BR301" s="92"/>
      <c r="BS301" s="92"/>
      <c r="BT301" s="92"/>
      <c r="BU301" s="92"/>
      <c r="BV301" s="92"/>
      <c r="BW301" s="92"/>
      <c r="BX301" s="92"/>
      <c r="BY301" s="92"/>
      <c r="BZ301" s="92"/>
      <c r="CA301" s="92"/>
      <c r="CB301" s="92"/>
      <c r="CC301" s="92"/>
      <c r="CD301" s="92"/>
      <c r="CE301" s="92"/>
      <c r="CF301" s="92"/>
      <c r="CG301" s="92"/>
      <c r="CH301" s="92"/>
      <c r="CI301" s="92"/>
      <c r="CJ301" s="92"/>
      <c r="CK301" s="92"/>
      <c r="CL301" s="92"/>
      <c r="CM301" s="92"/>
      <c r="CN301" s="92"/>
      <c r="CO301" s="92"/>
      <c r="CP301" s="92"/>
      <c r="CQ301" s="92"/>
      <c r="CR301" s="92"/>
      <c r="CS301" s="92"/>
      <c r="CT301" s="92"/>
      <c r="CU301" s="92"/>
      <c r="CV301" s="92"/>
      <c r="CW301" s="92"/>
      <c r="CX301" s="92"/>
      <c r="CY301" s="92"/>
      <c r="CZ301" s="92"/>
      <c r="DA301" s="92"/>
      <c r="DB301" s="92"/>
      <c r="DC301" s="92"/>
      <c r="DD301" s="92"/>
      <c r="DE301" s="92"/>
      <c r="DF301" s="92"/>
      <c r="DG301" s="92"/>
      <c r="DH301" s="92"/>
      <c r="DI301" s="92"/>
      <c r="DJ301" s="92"/>
      <c r="DK301" s="92"/>
      <c r="DL301" s="92"/>
      <c r="DM301" s="92"/>
      <c r="DN301" s="92"/>
      <c r="DO301" s="92"/>
      <c r="DP301" s="92"/>
      <c r="DQ301" s="92"/>
      <c r="DR301" s="92"/>
      <c r="DS301" s="92"/>
      <c r="DT301" s="92"/>
      <c r="DU301" s="92"/>
      <c r="DV301" s="92"/>
      <c r="DW301" s="92"/>
      <c r="DX301" s="92"/>
      <c r="DY301" s="92"/>
      <c r="DZ301" s="92"/>
      <c r="EA301" s="92"/>
      <c r="EB301" s="92"/>
      <c r="EC301" s="92"/>
      <c r="ED301" s="92"/>
      <c r="EE301" s="92"/>
      <c r="EF301" s="92"/>
      <c r="EG301" s="92"/>
      <c r="EH301" s="92"/>
      <c r="EI301" s="92"/>
      <c r="EJ301" s="92"/>
      <c r="EK301" s="92"/>
      <c r="EL301" s="92"/>
      <c r="EM301" s="92"/>
      <c r="EN301" s="92"/>
      <c r="EO301" s="92"/>
      <c r="EP301" s="92"/>
      <c r="EQ301" s="92"/>
      <c r="ER301" s="92"/>
      <c r="ES301" s="92"/>
      <c r="ET301" s="92"/>
      <c r="EU301" s="92"/>
      <c r="EV301" s="92"/>
      <c r="EW301" s="92"/>
      <c r="EX301" s="92"/>
      <c r="EY301" s="92"/>
      <c r="EZ301" s="92"/>
      <c r="FA301" s="92"/>
      <c r="FB301" s="92"/>
      <c r="FC301" s="92"/>
      <c r="FD301" s="92"/>
      <c r="FE301" s="92"/>
      <c r="FF301" s="92"/>
      <c r="FG301" s="92"/>
      <c r="FH301" s="92"/>
    </row>
    <row r="302">
      <c r="A302" s="32" t="s">
        <v>54</v>
      </c>
      <c r="B302" s="32" t="s">
        <v>59</v>
      </c>
      <c r="C302" s="32" t="s">
        <v>11</v>
      </c>
      <c r="D302" s="97">
        <f t="shared" si="1"/>
        <v>388.2154271</v>
      </c>
      <c r="E302" s="92">
        <f>(SUBSTITUTE(Audio!E302, "RE-", "", 1))*1</f>
        <v>0</v>
      </c>
      <c r="F302" s="92">
        <f>(SUBSTITUTE(Audio!F302, "RE-", "", 1))*1</f>
        <v>0</v>
      </c>
      <c r="G302" s="92">
        <f>(SUBSTITUTE(Audio!G302, "RE-", "", 1))*1</f>
        <v>71.81947812</v>
      </c>
      <c r="H302" s="92">
        <f>(SUBSTITUTE(Audio!H302, "RE-", "", 1))*1</f>
        <v>0</v>
      </c>
      <c r="I302" s="92">
        <f>(SUBSTITUTE(Audio!I302, "RE-", "", 1))*1</f>
        <v>17.18387083</v>
      </c>
      <c r="J302" s="92">
        <f>(SUBSTITUTE(Audio!J302, "RE-", "", 1))*1</f>
        <v>0</v>
      </c>
      <c r="K302" s="92">
        <f>(SUBSTITUTE(Audio!K302, "RE-", "", 1))*1</f>
        <v>18.57387917</v>
      </c>
      <c r="L302" s="92">
        <f>(SUBSTITUTE(Audio!L302, "RE-", "", 1))*1</f>
        <v>0</v>
      </c>
      <c r="M302" s="92">
        <f>(SUBSTITUTE(Audio!M302, "RE-", "", 1))*1</f>
        <v>32.72489792</v>
      </c>
      <c r="N302" s="92">
        <f>(SUBSTITUTE(Audio!N302, "RE-", "", 1))*1</f>
        <v>0</v>
      </c>
      <c r="O302" s="92">
        <f>(SUBSTITUTE(Audio!O302, "RE-", "", 1))*1</f>
        <v>166.0794802</v>
      </c>
      <c r="P302" s="92">
        <f>(SUBSTITUTE(Audio!P302, "RE-", "", 1))*1</f>
        <v>0</v>
      </c>
      <c r="Q302" s="92">
        <f>(SUBSTITUTE(Audio!Q302, "RE-", "", 1))*1</f>
        <v>67.38260417</v>
      </c>
      <c r="R302" s="92">
        <f>(SUBSTITUTE(Audio!R302, "RE-", "", 1))*1</f>
        <v>0</v>
      </c>
      <c r="S302" s="92">
        <f>(SUBSTITUTE(Audio!S302, "RE-", "", 1))*1</f>
        <v>3.238827083</v>
      </c>
      <c r="T302" s="92">
        <f>(SUBSTITUTE(Audio!T302, "RE-", "", 1))*1</f>
        <v>0</v>
      </c>
      <c r="U302" s="92">
        <f>(SUBSTITUTE(Audio!U302, "RE-", "", 1))*1</f>
        <v>10.01629792</v>
      </c>
      <c r="V302" s="92">
        <f>(SUBSTITUTE(Audio!V302, "RE-", "", 1))*1</f>
        <v>1.196091667</v>
      </c>
      <c r="W302" s="92">
        <f>(SUBSTITUTE(Audio!W302, "RE-", "", 1))*1</f>
        <v>0</v>
      </c>
      <c r="X302" s="92">
        <f>(SUBSTITUTE(Audio!X302, "RE-", "", 1))*1</f>
        <v>0</v>
      </c>
      <c r="Y302" s="92">
        <f>(SUBSTITUTE(Audio!Y302, "RE-", "", 1))*1</f>
        <v>0</v>
      </c>
      <c r="Z302" s="92">
        <f>(SUBSTITUTE(Audio!Z302, "RE-", "", 1))*1</f>
        <v>0</v>
      </c>
      <c r="AA302" s="92"/>
      <c r="AB302" s="92"/>
      <c r="AC302" s="92"/>
      <c r="AD302" s="92"/>
      <c r="AE302" s="92"/>
      <c r="AF302" s="92"/>
      <c r="AG302" s="92"/>
      <c r="AH302" s="92"/>
      <c r="AI302" s="92"/>
      <c r="AJ302" s="92"/>
      <c r="AK302" s="92"/>
      <c r="AL302" s="92"/>
      <c r="AM302" s="92"/>
      <c r="AN302" s="92"/>
      <c r="AO302" s="92"/>
      <c r="AP302" s="92"/>
      <c r="AQ302" s="92"/>
      <c r="AR302" s="92"/>
      <c r="AS302" s="92"/>
      <c r="AT302" s="92"/>
      <c r="AU302" s="92"/>
      <c r="AV302" s="92"/>
      <c r="AW302" s="92"/>
      <c r="AX302" s="92"/>
      <c r="AY302" s="92"/>
      <c r="AZ302" s="92"/>
      <c r="BA302" s="92"/>
      <c r="BB302" s="92"/>
      <c r="BC302" s="92"/>
      <c r="BD302" s="92"/>
      <c r="BE302" s="92"/>
      <c r="BF302" s="92"/>
      <c r="BG302" s="92"/>
      <c r="BH302" s="92"/>
      <c r="BI302" s="92"/>
      <c r="BJ302" s="92"/>
      <c r="BK302" s="92"/>
      <c r="BL302" s="92"/>
      <c r="BM302" s="92"/>
      <c r="BN302" s="92"/>
      <c r="BO302" s="92"/>
      <c r="BP302" s="92"/>
      <c r="BQ302" s="92"/>
      <c r="BR302" s="92"/>
      <c r="BS302" s="92"/>
      <c r="BT302" s="92"/>
      <c r="BU302" s="92"/>
      <c r="BV302" s="92"/>
      <c r="BW302" s="92"/>
      <c r="BX302" s="92"/>
      <c r="BY302" s="92"/>
      <c r="BZ302" s="92"/>
      <c r="CA302" s="92"/>
      <c r="CB302" s="92"/>
      <c r="CC302" s="92"/>
      <c r="CD302" s="92"/>
      <c r="CE302" s="92"/>
      <c r="CF302" s="92"/>
      <c r="CG302" s="92"/>
      <c r="CH302" s="92"/>
      <c r="CI302" s="92"/>
      <c r="CJ302" s="92"/>
      <c r="CK302" s="92"/>
      <c r="CL302" s="92"/>
      <c r="CM302" s="92"/>
      <c r="CN302" s="92"/>
      <c r="CO302" s="92"/>
      <c r="CP302" s="92"/>
      <c r="CQ302" s="92"/>
      <c r="CR302" s="92"/>
      <c r="CS302" s="92"/>
      <c r="CT302" s="92"/>
      <c r="CU302" s="92"/>
      <c r="CV302" s="92"/>
      <c r="CW302" s="92"/>
      <c r="CX302" s="92"/>
      <c r="CY302" s="92"/>
      <c r="CZ302" s="92"/>
      <c r="DA302" s="92"/>
      <c r="DB302" s="92"/>
      <c r="DC302" s="92"/>
      <c r="DD302" s="92"/>
      <c r="DE302" s="92"/>
      <c r="DF302" s="92"/>
      <c r="DG302" s="92"/>
      <c r="DH302" s="92"/>
      <c r="DI302" s="92"/>
      <c r="DJ302" s="92"/>
      <c r="DK302" s="92"/>
      <c r="DL302" s="92"/>
      <c r="DM302" s="92"/>
      <c r="DN302" s="92"/>
      <c r="DO302" s="92"/>
      <c r="DP302" s="92"/>
      <c r="DQ302" s="92"/>
      <c r="DR302" s="92"/>
      <c r="DS302" s="92"/>
      <c r="DT302" s="92"/>
      <c r="DU302" s="92"/>
      <c r="DV302" s="92"/>
      <c r="DW302" s="92"/>
      <c r="DX302" s="92"/>
      <c r="DY302" s="92"/>
      <c r="DZ302" s="92"/>
      <c r="EA302" s="92"/>
      <c r="EB302" s="92"/>
      <c r="EC302" s="92"/>
      <c r="ED302" s="92"/>
      <c r="EE302" s="92"/>
      <c r="EF302" s="92"/>
      <c r="EG302" s="92"/>
      <c r="EH302" s="92"/>
      <c r="EI302" s="92"/>
      <c r="EJ302" s="92"/>
      <c r="EK302" s="92"/>
      <c r="EL302" s="92"/>
      <c r="EM302" s="92"/>
      <c r="EN302" s="92"/>
      <c r="EO302" s="92"/>
      <c r="EP302" s="92"/>
      <c r="EQ302" s="92"/>
      <c r="ER302" s="92"/>
      <c r="ES302" s="92"/>
      <c r="ET302" s="92"/>
      <c r="EU302" s="92"/>
      <c r="EV302" s="92"/>
      <c r="EW302" s="92"/>
      <c r="EX302" s="92"/>
      <c r="EY302" s="92"/>
      <c r="EZ302" s="92"/>
      <c r="FA302" s="92"/>
      <c r="FB302" s="92"/>
      <c r="FC302" s="92"/>
      <c r="FD302" s="92"/>
      <c r="FE302" s="92"/>
      <c r="FF302" s="92"/>
      <c r="FG302" s="92"/>
      <c r="FH302" s="92"/>
    </row>
    <row r="303">
      <c r="A303" s="32" t="s">
        <v>54</v>
      </c>
      <c r="B303" s="32" t="s">
        <v>59</v>
      </c>
      <c r="C303" s="32" t="s">
        <v>12</v>
      </c>
      <c r="D303" s="97">
        <f t="shared" si="1"/>
        <v>3593.906609</v>
      </c>
      <c r="E303" s="92">
        <f>(SUBSTITUTE(Audio!E303, "RE-", "", 1))*1</f>
        <v>0</v>
      </c>
      <c r="F303" s="92">
        <f>(SUBSTITUTE(Audio!F303, "RE-", "", 1))*1</f>
        <v>739.050501</v>
      </c>
      <c r="G303" s="92">
        <f>(SUBSTITUTE(Audio!G303, "RE-", "", 1))*1</f>
        <v>4.452547917</v>
      </c>
      <c r="H303" s="92">
        <f>(SUBSTITUTE(Audio!H303, "RE-", "", 1))*1</f>
        <v>60.81896042</v>
      </c>
      <c r="I303" s="92">
        <f>(SUBSTITUTE(Audio!I303, "RE-", "", 1))*1</f>
        <v>0.3329104167</v>
      </c>
      <c r="J303" s="92">
        <f>(SUBSTITUTE(Audio!J303, "RE-", "", 1))*1</f>
        <v>217.4882146</v>
      </c>
      <c r="K303" s="92">
        <f>(SUBSTITUTE(Audio!K303, "RE-", "", 1))*1</f>
        <v>2.064195833</v>
      </c>
      <c r="L303" s="92">
        <f>(SUBSTITUTE(Audio!L303, "RE-", "", 1))*1</f>
        <v>941.0622885</v>
      </c>
      <c r="M303" s="92">
        <f>(SUBSTITUTE(Audio!M303, "RE-", "", 1))*1</f>
        <v>7.773495833</v>
      </c>
      <c r="N303" s="92">
        <f>(SUBSTITUTE(Audio!N303, "RE-", "", 1))*1</f>
        <v>1001.79545</v>
      </c>
      <c r="O303" s="92">
        <f>(SUBSTITUTE(Audio!O303, "RE-", "", 1))*1</f>
        <v>12.46214687</v>
      </c>
      <c r="P303" s="92">
        <f>(SUBSTITUTE(Audio!P303, "RE-", "", 1))*1</f>
        <v>361.1373875</v>
      </c>
      <c r="Q303" s="92">
        <f>(SUBSTITUTE(Audio!Q303, "RE-", "", 1))*1</f>
        <v>20.37526667</v>
      </c>
      <c r="R303" s="92">
        <f>(SUBSTITUTE(Audio!R303, "RE-", "", 1))*1</f>
        <v>40.05193021</v>
      </c>
      <c r="S303" s="92">
        <f>(SUBSTITUTE(Audio!S303, "RE-", "", 1))*1</f>
        <v>1.643658333</v>
      </c>
      <c r="T303" s="92">
        <f>(SUBSTITUTE(Audio!T303, "RE-", "", 1))*1</f>
        <v>178.5996031</v>
      </c>
      <c r="U303" s="92">
        <f>(SUBSTITUTE(Audio!U303, "RE-", "", 1))*1</f>
        <v>4.233764583</v>
      </c>
      <c r="V303" s="92">
        <f>(SUBSTITUTE(Audio!V303, "RE-", "", 1))*1</f>
        <v>0.5642875</v>
      </c>
      <c r="W303" s="92">
        <f>(SUBSTITUTE(Audio!W303, "RE-", "", 1))*1</f>
        <v>0</v>
      </c>
      <c r="X303" s="92">
        <f>(SUBSTITUTE(Audio!X303, "RE-", "", 1))*1</f>
        <v>0</v>
      </c>
      <c r="Y303" s="92">
        <f>(SUBSTITUTE(Audio!Y303, "RE-", "", 1))*1</f>
        <v>0</v>
      </c>
      <c r="Z303" s="92">
        <f>(SUBSTITUTE(Audio!Z303, "RE-", "", 1))*1</f>
        <v>0</v>
      </c>
      <c r="AA303" s="92"/>
      <c r="AB303" s="92"/>
      <c r="AC303" s="92"/>
      <c r="AD303" s="92"/>
      <c r="AE303" s="92"/>
      <c r="AF303" s="92"/>
      <c r="AG303" s="92"/>
      <c r="AH303" s="92"/>
      <c r="AI303" s="92"/>
      <c r="AJ303" s="92"/>
      <c r="AK303" s="92"/>
      <c r="AL303" s="92"/>
      <c r="AM303" s="92"/>
      <c r="AN303" s="92"/>
      <c r="AO303" s="92"/>
      <c r="AP303" s="92"/>
      <c r="AQ303" s="92"/>
      <c r="AR303" s="92"/>
      <c r="AS303" s="92"/>
      <c r="AT303" s="92"/>
      <c r="AU303" s="92"/>
      <c r="AV303" s="92"/>
      <c r="AW303" s="92"/>
      <c r="AX303" s="92"/>
      <c r="AY303" s="92"/>
      <c r="AZ303" s="92"/>
      <c r="BA303" s="92"/>
      <c r="BB303" s="92"/>
      <c r="BC303" s="92"/>
      <c r="BD303" s="92"/>
      <c r="BE303" s="92"/>
      <c r="BF303" s="92"/>
      <c r="BG303" s="92"/>
      <c r="BH303" s="92"/>
      <c r="BI303" s="92"/>
      <c r="BJ303" s="92"/>
      <c r="BK303" s="92"/>
      <c r="BL303" s="92"/>
      <c r="BM303" s="92"/>
      <c r="BN303" s="92"/>
      <c r="BO303" s="92"/>
      <c r="BP303" s="92"/>
      <c r="BQ303" s="92"/>
      <c r="BR303" s="92"/>
      <c r="BS303" s="92"/>
      <c r="BT303" s="92"/>
      <c r="BU303" s="92"/>
      <c r="BV303" s="92"/>
      <c r="BW303" s="92"/>
      <c r="BX303" s="92"/>
      <c r="BY303" s="92"/>
      <c r="BZ303" s="92"/>
      <c r="CA303" s="92"/>
      <c r="CB303" s="92"/>
      <c r="CC303" s="92"/>
      <c r="CD303" s="92"/>
      <c r="CE303" s="92"/>
      <c r="CF303" s="92"/>
      <c r="CG303" s="92"/>
      <c r="CH303" s="92"/>
      <c r="CI303" s="92"/>
      <c r="CJ303" s="92"/>
      <c r="CK303" s="92"/>
      <c r="CL303" s="92"/>
      <c r="CM303" s="92"/>
      <c r="CN303" s="92"/>
      <c r="CO303" s="92"/>
      <c r="CP303" s="92"/>
      <c r="CQ303" s="92"/>
      <c r="CR303" s="92"/>
      <c r="CS303" s="92"/>
      <c r="CT303" s="92"/>
      <c r="CU303" s="92"/>
      <c r="CV303" s="92"/>
      <c r="CW303" s="92"/>
      <c r="CX303" s="92"/>
      <c r="CY303" s="92"/>
      <c r="CZ303" s="92"/>
      <c r="DA303" s="92"/>
      <c r="DB303" s="92"/>
      <c r="DC303" s="92"/>
      <c r="DD303" s="92"/>
      <c r="DE303" s="92"/>
      <c r="DF303" s="92"/>
      <c r="DG303" s="92"/>
      <c r="DH303" s="92"/>
      <c r="DI303" s="92"/>
      <c r="DJ303" s="92"/>
      <c r="DK303" s="92"/>
      <c r="DL303" s="92"/>
      <c r="DM303" s="92"/>
      <c r="DN303" s="92"/>
      <c r="DO303" s="92"/>
      <c r="DP303" s="92"/>
      <c r="DQ303" s="92"/>
      <c r="DR303" s="92"/>
      <c r="DS303" s="92"/>
      <c r="DT303" s="92"/>
      <c r="DU303" s="92"/>
      <c r="DV303" s="92"/>
      <c r="DW303" s="92"/>
      <c r="DX303" s="92"/>
      <c r="DY303" s="92"/>
      <c r="DZ303" s="92"/>
      <c r="EA303" s="92"/>
      <c r="EB303" s="92"/>
      <c r="EC303" s="92"/>
      <c r="ED303" s="92"/>
      <c r="EE303" s="92"/>
      <c r="EF303" s="92"/>
      <c r="EG303" s="92"/>
      <c r="EH303" s="92"/>
      <c r="EI303" s="92"/>
      <c r="EJ303" s="92"/>
      <c r="EK303" s="92"/>
      <c r="EL303" s="92"/>
      <c r="EM303" s="92"/>
      <c r="EN303" s="92"/>
      <c r="EO303" s="92"/>
      <c r="EP303" s="92"/>
      <c r="EQ303" s="92"/>
      <c r="ER303" s="92"/>
      <c r="ES303" s="92"/>
      <c r="ET303" s="92"/>
      <c r="EU303" s="92"/>
      <c r="EV303" s="92"/>
      <c r="EW303" s="92"/>
      <c r="EX303" s="92"/>
      <c r="EY303" s="92"/>
      <c r="EZ303" s="92"/>
      <c r="FA303" s="92"/>
      <c r="FB303" s="92"/>
      <c r="FC303" s="92"/>
      <c r="FD303" s="92"/>
      <c r="FE303" s="92"/>
      <c r="FF303" s="92"/>
      <c r="FG303" s="92"/>
      <c r="FH303" s="92"/>
    </row>
    <row r="304">
      <c r="A304" s="32" t="s">
        <v>54</v>
      </c>
      <c r="B304" s="32" t="s">
        <v>59</v>
      </c>
      <c r="C304" s="32" t="s">
        <v>13</v>
      </c>
      <c r="D304" s="97">
        <f t="shared" si="1"/>
        <v>3450.4735</v>
      </c>
      <c r="E304" s="92">
        <f>(SUBSTITUTE(Audio!E304, "RE-", "", 1))*1</f>
        <v>0</v>
      </c>
      <c r="F304" s="92">
        <f>(SUBSTITUTE(Audio!F304, "RE-", "", 1))*1</f>
        <v>714.832</v>
      </c>
      <c r="G304" s="92">
        <f>(SUBSTITUTE(Audio!G304, "RE-", "", 1))*1</f>
        <v>4.14387</v>
      </c>
      <c r="H304" s="92">
        <f>(SUBSTITUTE(Audio!H304, "RE-", "", 1))*1</f>
        <v>59.9977</v>
      </c>
      <c r="I304" s="92">
        <f>(SUBSTITUTE(Audio!I304, "RE-", "", 1))*1</f>
        <v>0.293983</v>
      </c>
      <c r="J304" s="92">
        <f>(SUBSTITUTE(Audio!J304, "RE-", "", 1))*1</f>
        <v>212.683</v>
      </c>
      <c r="K304" s="92">
        <f>(SUBSTITUTE(Audio!K304, "RE-", "", 1))*1</f>
        <v>2.01922</v>
      </c>
      <c r="L304" s="92">
        <f>(SUBSTITUTE(Audio!L304, "RE-", "", 1))*1</f>
        <v>899.835</v>
      </c>
      <c r="M304" s="92">
        <f>(SUBSTITUTE(Audio!M304, "RE-", "", 1))*1</f>
        <v>7.09687</v>
      </c>
      <c r="N304" s="92">
        <f>(SUBSTITUTE(Audio!N304, "RE-", "", 1))*1</f>
        <v>958.368</v>
      </c>
      <c r="O304" s="92">
        <f>(SUBSTITUTE(Audio!O304, "RE-", "", 1))*1</f>
        <v>12.0369</v>
      </c>
      <c r="P304" s="92">
        <f>(SUBSTITUTE(Audio!P304, "RE-", "", 1))*1</f>
        <v>344.886</v>
      </c>
      <c r="Q304" s="92">
        <f>(SUBSTITUTE(Audio!Q304, "RE-", "", 1))*1</f>
        <v>19.419</v>
      </c>
      <c r="R304" s="92">
        <f>(SUBSTITUTE(Audio!R304, "RE-", "", 1))*1</f>
        <v>38.6916</v>
      </c>
      <c r="S304" s="92">
        <f>(SUBSTITUTE(Audio!S304, "RE-", "", 1))*1</f>
        <v>1.47417</v>
      </c>
      <c r="T304" s="92">
        <f>(SUBSTITUTE(Audio!T304, "RE-", "", 1))*1</f>
        <v>170.157</v>
      </c>
      <c r="U304" s="92">
        <f>(SUBSTITUTE(Audio!U304, "RE-", "", 1))*1</f>
        <v>4.03452</v>
      </c>
      <c r="V304" s="92">
        <f>(SUBSTITUTE(Audio!V304, "RE-", "", 1))*1</f>
        <v>0.504667</v>
      </c>
      <c r="W304" s="92">
        <f>(SUBSTITUTE(Audio!W304, "RE-", "", 1))*1</f>
        <v>0</v>
      </c>
      <c r="X304" s="92">
        <f>(SUBSTITUTE(Audio!X304, "RE-", "", 1))*1</f>
        <v>0</v>
      </c>
      <c r="Y304" s="92">
        <f>(SUBSTITUTE(Audio!Y304, "RE-", "", 1))*1</f>
        <v>0</v>
      </c>
      <c r="Z304" s="92">
        <f>(SUBSTITUTE(Audio!Z304, "RE-", "", 1))*1</f>
        <v>0</v>
      </c>
      <c r="AA304" s="92"/>
      <c r="AB304" s="92"/>
      <c r="AC304" s="92"/>
      <c r="AD304" s="92"/>
      <c r="AE304" s="92"/>
      <c r="AF304" s="92"/>
      <c r="AG304" s="92"/>
      <c r="AH304" s="92"/>
      <c r="AI304" s="92"/>
      <c r="AJ304" s="92"/>
      <c r="AK304" s="92"/>
      <c r="AL304" s="92"/>
      <c r="AM304" s="92"/>
      <c r="AN304" s="92"/>
      <c r="AO304" s="92"/>
      <c r="AP304" s="92"/>
      <c r="AQ304" s="92"/>
      <c r="AR304" s="92"/>
      <c r="AS304" s="92"/>
      <c r="AT304" s="92"/>
      <c r="AU304" s="92"/>
      <c r="AV304" s="92"/>
      <c r="AW304" s="92"/>
      <c r="AX304" s="92"/>
      <c r="AY304" s="92"/>
      <c r="AZ304" s="92"/>
      <c r="BA304" s="92"/>
      <c r="BB304" s="92"/>
      <c r="BC304" s="92"/>
      <c r="BD304" s="92"/>
      <c r="BE304" s="92"/>
      <c r="BF304" s="92"/>
      <c r="BG304" s="92"/>
      <c r="BH304" s="92"/>
      <c r="BI304" s="92"/>
      <c r="BJ304" s="92"/>
      <c r="BK304" s="92"/>
      <c r="BL304" s="92"/>
      <c r="BM304" s="92"/>
      <c r="BN304" s="92"/>
      <c r="BO304" s="92"/>
      <c r="BP304" s="92"/>
      <c r="BQ304" s="92"/>
      <c r="BR304" s="92"/>
      <c r="BS304" s="92"/>
      <c r="BT304" s="92"/>
      <c r="BU304" s="92"/>
      <c r="BV304" s="92"/>
      <c r="BW304" s="92"/>
      <c r="BX304" s="92"/>
      <c r="BY304" s="92"/>
      <c r="BZ304" s="92"/>
      <c r="CA304" s="92"/>
      <c r="CB304" s="92"/>
      <c r="CC304" s="92"/>
      <c r="CD304" s="92"/>
      <c r="CE304" s="92"/>
      <c r="CF304" s="92"/>
      <c r="CG304" s="92"/>
      <c r="CH304" s="92"/>
      <c r="CI304" s="92"/>
      <c r="CJ304" s="92"/>
      <c r="CK304" s="92"/>
      <c r="CL304" s="92"/>
      <c r="CM304" s="92"/>
      <c r="CN304" s="92"/>
      <c r="CO304" s="92"/>
      <c r="CP304" s="92"/>
      <c r="CQ304" s="92"/>
      <c r="CR304" s="92"/>
      <c r="CS304" s="92"/>
      <c r="CT304" s="92"/>
      <c r="CU304" s="92"/>
      <c r="CV304" s="92"/>
      <c r="CW304" s="92"/>
      <c r="CX304" s="92"/>
      <c r="CY304" s="92"/>
      <c r="CZ304" s="92"/>
      <c r="DA304" s="92"/>
      <c r="DB304" s="92"/>
      <c r="DC304" s="92"/>
      <c r="DD304" s="92"/>
      <c r="DE304" s="92"/>
      <c r="DF304" s="92"/>
      <c r="DG304" s="92"/>
      <c r="DH304" s="92"/>
      <c r="DI304" s="92"/>
      <c r="DJ304" s="92"/>
      <c r="DK304" s="92"/>
      <c r="DL304" s="92"/>
      <c r="DM304" s="92"/>
      <c r="DN304" s="92"/>
      <c r="DO304" s="92"/>
      <c r="DP304" s="92"/>
      <c r="DQ304" s="92"/>
      <c r="DR304" s="92"/>
      <c r="DS304" s="92"/>
      <c r="DT304" s="92"/>
      <c r="DU304" s="92"/>
      <c r="DV304" s="92"/>
      <c r="DW304" s="92"/>
      <c r="DX304" s="92"/>
      <c r="DY304" s="92"/>
      <c r="DZ304" s="92"/>
      <c r="EA304" s="92"/>
      <c r="EB304" s="92"/>
      <c r="EC304" s="92"/>
      <c r="ED304" s="92"/>
      <c r="EE304" s="92"/>
      <c r="EF304" s="92"/>
      <c r="EG304" s="92"/>
      <c r="EH304" s="92"/>
      <c r="EI304" s="92"/>
      <c r="EJ304" s="92"/>
      <c r="EK304" s="92"/>
      <c r="EL304" s="92"/>
      <c r="EM304" s="92"/>
      <c r="EN304" s="92"/>
      <c r="EO304" s="92"/>
      <c r="EP304" s="92"/>
      <c r="EQ304" s="92"/>
      <c r="ER304" s="92"/>
      <c r="ES304" s="92"/>
      <c r="ET304" s="92"/>
      <c r="EU304" s="92"/>
      <c r="EV304" s="92"/>
      <c r="EW304" s="92"/>
      <c r="EX304" s="92"/>
      <c r="EY304" s="92"/>
      <c r="EZ304" s="92"/>
      <c r="FA304" s="92"/>
      <c r="FB304" s="92"/>
      <c r="FC304" s="92"/>
      <c r="FD304" s="92"/>
      <c r="FE304" s="92"/>
      <c r="FF304" s="92"/>
      <c r="FG304" s="92"/>
      <c r="FH304" s="92"/>
    </row>
    <row r="305">
      <c r="A305" s="32" t="s">
        <v>54</v>
      </c>
      <c r="B305" s="32" t="s">
        <v>59</v>
      </c>
      <c r="C305" s="32" t="s">
        <v>14</v>
      </c>
      <c r="D305" s="97">
        <f t="shared" si="1"/>
        <v>3058.91224</v>
      </c>
      <c r="E305" s="92">
        <f>(SUBSTITUTE(Audio!E305, "RE-", "", 1))*1</f>
        <v>0</v>
      </c>
      <c r="F305" s="92">
        <f>(SUBSTITUTE(Audio!F305, "RE-", "", 1))*1</f>
        <v>646.828</v>
      </c>
      <c r="G305" s="92">
        <f>(SUBSTITUTE(Audio!G305, "RE-", "", 1))*1</f>
        <v>3.82143</v>
      </c>
      <c r="H305" s="92">
        <f>(SUBSTITUTE(Audio!H305, "RE-", "", 1))*1</f>
        <v>49.8792</v>
      </c>
      <c r="I305" s="92">
        <f>(SUBSTITUTE(Audio!I305, "RE-", "", 1))*1</f>
        <v>0.257583</v>
      </c>
      <c r="J305" s="92">
        <f>(SUBSTITUTE(Audio!J305, "RE-", "", 1))*1</f>
        <v>200.998</v>
      </c>
      <c r="K305" s="92">
        <f>(SUBSTITUTE(Audio!K305, "RE-", "", 1))*1</f>
        <v>1.42507</v>
      </c>
      <c r="L305" s="92">
        <f>(SUBSTITUTE(Audio!L305, "RE-", "", 1))*1</f>
        <v>793.152</v>
      </c>
      <c r="M305" s="92">
        <f>(SUBSTITUTE(Audio!M305, "RE-", "", 1))*1</f>
        <v>4.97967</v>
      </c>
      <c r="N305" s="92">
        <f>(SUBSTITUTE(Audio!N305, "RE-", "", 1))*1</f>
        <v>843.639</v>
      </c>
      <c r="O305" s="92">
        <f>(SUBSTITUTE(Audio!O305, "RE-", "", 1))*1</f>
        <v>10.8194</v>
      </c>
      <c r="P305" s="92">
        <f>(SUBSTITUTE(Audio!P305, "RE-", "", 1))*1</f>
        <v>303.4</v>
      </c>
      <c r="Q305" s="92">
        <f>(SUBSTITUTE(Audio!Q305, "RE-", "", 1))*1</f>
        <v>16.449</v>
      </c>
      <c r="R305" s="92">
        <f>(SUBSTITUTE(Audio!R305, "RE-", "", 1))*1</f>
        <v>33.9097</v>
      </c>
      <c r="S305" s="92">
        <f>(SUBSTITUTE(Audio!S305, "RE-", "", 1))*1</f>
        <v>1.3825</v>
      </c>
      <c r="T305" s="92">
        <f>(SUBSTITUTE(Audio!T305, "RE-", "", 1))*1</f>
        <v>144.255</v>
      </c>
      <c r="U305" s="92">
        <f>(SUBSTITUTE(Audio!U305, "RE-", "", 1))*1</f>
        <v>3.21202</v>
      </c>
      <c r="V305" s="92">
        <f>(SUBSTITUTE(Audio!V305, "RE-", "", 1))*1</f>
        <v>0.504667</v>
      </c>
      <c r="W305" s="92">
        <f>(SUBSTITUTE(Audio!W305, "RE-", "", 1))*1</f>
        <v>0</v>
      </c>
      <c r="X305" s="92">
        <f>(SUBSTITUTE(Audio!X305, "RE-", "", 1))*1</f>
        <v>0</v>
      </c>
      <c r="Y305" s="92">
        <f>(SUBSTITUTE(Audio!Y305, "RE-", "", 1))*1</f>
        <v>0</v>
      </c>
      <c r="Z305" s="92">
        <f>(SUBSTITUTE(Audio!Z305, "RE-", "", 1))*1</f>
        <v>0</v>
      </c>
      <c r="AA305" s="92"/>
      <c r="AB305" s="92"/>
      <c r="AC305" s="92"/>
      <c r="AD305" s="92"/>
      <c r="AE305" s="92"/>
      <c r="AF305" s="92"/>
      <c r="AG305" s="92"/>
      <c r="AH305" s="92"/>
      <c r="AI305" s="92"/>
      <c r="AJ305" s="92"/>
      <c r="AK305" s="92"/>
      <c r="AL305" s="92"/>
      <c r="AM305" s="92"/>
      <c r="AN305" s="92"/>
      <c r="AO305" s="92"/>
      <c r="AP305" s="92"/>
      <c r="AQ305" s="92"/>
      <c r="AR305" s="92"/>
      <c r="AS305" s="92"/>
      <c r="AT305" s="92"/>
      <c r="AU305" s="92"/>
      <c r="AV305" s="92"/>
      <c r="AW305" s="92"/>
      <c r="AX305" s="92"/>
      <c r="AY305" s="92"/>
      <c r="AZ305" s="92"/>
      <c r="BA305" s="92"/>
      <c r="BB305" s="92"/>
      <c r="BC305" s="92"/>
      <c r="BD305" s="92"/>
      <c r="BE305" s="92"/>
      <c r="BF305" s="92"/>
      <c r="BG305" s="92"/>
      <c r="BH305" s="92"/>
      <c r="BI305" s="92"/>
      <c r="BJ305" s="92"/>
      <c r="BK305" s="92"/>
      <c r="BL305" s="92"/>
      <c r="BM305" s="92"/>
      <c r="BN305" s="92"/>
      <c r="BO305" s="92"/>
      <c r="BP305" s="92"/>
      <c r="BQ305" s="92"/>
      <c r="BR305" s="92"/>
      <c r="BS305" s="92"/>
      <c r="BT305" s="92"/>
      <c r="BU305" s="92"/>
      <c r="BV305" s="92"/>
      <c r="BW305" s="92"/>
      <c r="BX305" s="92"/>
      <c r="BY305" s="92"/>
      <c r="BZ305" s="92"/>
      <c r="CA305" s="92"/>
      <c r="CB305" s="92"/>
      <c r="CC305" s="92"/>
      <c r="CD305" s="92"/>
      <c r="CE305" s="92"/>
      <c r="CF305" s="92"/>
      <c r="CG305" s="92"/>
      <c r="CH305" s="92"/>
      <c r="CI305" s="92"/>
      <c r="CJ305" s="92"/>
      <c r="CK305" s="92"/>
      <c r="CL305" s="92"/>
      <c r="CM305" s="92"/>
      <c r="CN305" s="92"/>
      <c r="CO305" s="92"/>
      <c r="CP305" s="92"/>
      <c r="CQ305" s="92"/>
      <c r="CR305" s="92"/>
      <c r="CS305" s="92"/>
      <c r="CT305" s="92"/>
      <c r="CU305" s="92"/>
      <c r="CV305" s="92"/>
      <c r="CW305" s="92"/>
      <c r="CX305" s="92"/>
      <c r="CY305" s="92"/>
      <c r="CZ305" s="92"/>
      <c r="DA305" s="92"/>
      <c r="DB305" s="92"/>
      <c r="DC305" s="92"/>
      <c r="DD305" s="92"/>
      <c r="DE305" s="92"/>
      <c r="DF305" s="92"/>
      <c r="DG305" s="92"/>
      <c r="DH305" s="92"/>
      <c r="DI305" s="92"/>
      <c r="DJ305" s="92"/>
      <c r="DK305" s="92"/>
      <c r="DL305" s="92"/>
      <c r="DM305" s="92"/>
      <c r="DN305" s="92"/>
      <c r="DO305" s="92"/>
      <c r="DP305" s="92"/>
      <c r="DQ305" s="92"/>
      <c r="DR305" s="92"/>
      <c r="DS305" s="92"/>
      <c r="DT305" s="92"/>
      <c r="DU305" s="92"/>
      <c r="DV305" s="92"/>
      <c r="DW305" s="92"/>
      <c r="DX305" s="92"/>
      <c r="DY305" s="92"/>
      <c r="DZ305" s="92"/>
      <c r="EA305" s="92"/>
      <c r="EB305" s="92"/>
      <c r="EC305" s="92"/>
      <c r="ED305" s="92"/>
      <c r="EE305" s="92"/>
      <c r="EF305" s="92"/>
      <c r="EG305" s="92"/>
      <c r="EH305" s="92"/>
      <c r="EI305" s="92"/>
      <c r="EJ305" s="92"/>
      <c r="EK305" s="92"/>
      <c r="EL305" s="92"/>
      <c r="EM305" s="92"/>
      <c r="EN305" s="92"/>
      <c r="EO305" s="92"/>
      <c r="EP305" s="92"/>
      <c r="EQ305" s="92"/>
      <c r="ER305" s="92"/>
      <c r="ES305" s="92"/>
      <c r="ET305" s="92"/>
      <c r="EU305" s="92"/>
      <c r="EV305" s="92"/>
      <c r="EW305" s="92"/>
      <c r="EX305" s="92"/>
      <c r="EY305" s="92"/>
      <c r="EZ305" s="92"/>
      <c r="FA305" s="92"/>
      <c r="FB305" s="92"/>
      <c r="FC305" s="92"/>
      <c r="FD305" s="92"/>
      <c r="FE305" s="92"/>
      <c r="FF305" s="92"/>
      <c r="FG305" s="92"/>
      <c r="FH305" s="92"/>
    </row>
    <row r="306">
      <c r="A306" s="27" t="s">
        <v>54</v>
      </c>
      <c r="B306" s="27" t="s">
        <v>59</v>
      </c>
      <c r="C306" s="27" t="s">
        <v>15</v>
      </c>
      <c r="D306" s="98">
        <f t="shared" si="1"/>
        <v>3449.4499</v>
      </c>
      <c r="E306" s="92">
        <f>(SUBSTITUTE(Audio!E306, "RE-", "", 1))*1</f>
        <v>0</v>
      </c>
      <c r="F306" s="92">
        <f>(SUBSTITUTE(Audio!F306, "RE-", "", 1))*1</f>
        <v>714.259</v>
      </c>
      <c r="G306" s="92">
        <f>(SUBSTITUTE(Audio!G306, "RE-", "", 1))*1</f>
        <v>4.14387</v>
      </c>
      <c r="H306" s="92">
        <f>(SUBSTITUTE(Audio!H306, "RE-", "", 1))*1</f>
        <v>59.9977</v>
      </c>
      <c r="I306" s="92">
        <f>(SUBSTITUTE(Audio!I306, "RE-", "", 1))*1</f>
        <v>0.293983</v>
      </c>
      <c r="J306" s="92">
        <f>(SUBSTITUTE(Audio!J306, "RE-", "", 1))*1</f>
        <v>212.683</v>
      </c>
      <c r="K306" s="92">
        <f>(SUBSTITUTE(Audio!K306, "RE-", "", 1))*1</f>
        <v>2.01922</v>
      </c>
      <c r="L306" s="92">
        <f>(SUBSTITUTE(Audio!L306, "RE-", "", 1))*1</f>
        <v>899.835</v>
      </c>
      <c r="M306" s="92">
        <f>(SUBSTITUTE(Audio!M306, "RE-", "", 1))*1</f>
        <v>7.09687</v>
      </c>
      <c r="N306" s="92">
        <f>(SUBSTITUTE(Audio!N306, "RE-", "", 1))*1</f>
        <v>958.279</v>
      </c>
      <c r="O306" s="92">
        <f>(SUBSTITUTE(Audio!O306, "RE-", "", 1))*1</f>
        <v>12.0369</v>
      </c>
      <c r="P306" s="92">
        <f>(SUBSTITUTE(Audio!P306, "RE-", "", 1))*1</f>
        <v>344.778</v>
      </c>
      <c r="Q306" s="92">
        <f>(SUBSTITUTE(Audio!Q306, "RE-", "", 1))*1</f>
        <v>19.419</v>
      </c>
      <c r="R306" s="92">
        <f>(SUBSTITUTE(Audio!R306, "RE-", "", 1))*1</f>
        <v>38.438</v>
      </c>
      <c r="S306" s="92">
        <f>(SUBSTITUTE(Audio!S306, "RE-", "", 1))*1</f>
        <v>1.47417</v>
      </c>
      <c r="T306" s="92">
        <f>(SUBSTITUTE(Audio!T306, "RE-", "", 1))*1</f>
        <v>170.157</v>
      </c>
      <c r="U306" s="92">
        <f>(SUBSTITUTE(Audio!U306, "RE-", "", 1))*1</f>
        <v>4.03452</v>
      </c>
      <c r="V306" s="92">
        <f>(SUBSTITUTE(Audio!V306, "RE-", "", 1))*1</f>
        <v>0.504667</v>
      </c>
      <c r="W306" s="92">
        <f>(SUBSTITUTE(Audio!W306, "RE-", "", 1))*1</f>
        <v>0</v>
      </c>
      <c r="X306" s="92">
        <f>(SUBSTITUTE(Audio!X306, "RE-", "", 1))*1</f>
        <v>0</v>
      </c>
      <c r="Y306" s="92">
        <f>(SUBSTITUTE(Audio!Y306, "RE-", "", 1))*1</f>
        <v>0</v>
      </c>
      <c r="Z306" s="92">
        <f>(SUBSTITUTE(Audio!Z306, "RE-", "", 1))*1</f>
        <v>0</v>
      </c>
      <c r="AA306" s="92"/>
      <c r="AB306" s="92"/>
      <c r="AC306" s="92"/>
      <c r="AD306" s="92"/>
      <c r="AE306" s="92"/>
      <c r="AF306" s="92"/>
      <c r="AG306" s="92"/>
      <c r="AH306" s="92"/>
      <c r="AI306" s="92"/>
      <c r="AJ306" s="92"/>
      <c r="AK306" s="92"/>
      <c r="AL306" s="92"/>
      <c r="AM306" s="92"/>
      <c r="AN306" s="92"/>
      <c r="AO306" s="92"/>
      <c r="AP306" s="92"/>
      <c r="AQ306" s="92"/>
      <c r="AR306" s="92"/>
      <c r="AS306" s="92"/>
      <c r="AT306" s="92"/>
      <c r="AU306" s="92"/>
      <c r="AV306" s="92"/>
      <c r="AW306" s="92"/>
      <c r="AX306" s="92"/>
      <c r="AY306" s="92"/>
      <c r="AZ306" s="92"/>
      <c r="BA306" s="92"/>
      <c r="BB306" s="92"/>
      <c r="BC306" s="92"/>
      <c r="BD306" s="92"/>
      <c r="BE306" s="92"/>
      <c r="BF306" s="92"/>
      <c r="BG306" s="92"/>
      <c r="BH306" s="92"/>
      <c r="BI306" s="92"/>
      <c r="BJ306" s="92"/>
      <c r="BK306" s="92"/>
      <c r="BL306" s="92"/>
      <c r="BM306" s="92"/>
      <c r="BN306" s="92"/>
      <c r="BO306" s="92"/>
      <c r="BP306" s="92"/>
      <c r="BQ306" s="92"/>
      <c r="BR306" s="92"/>
      <c r="BS306" s="92"/>
      <c r="BT306" s="92"/>
      <c r="BU306" s="92"/>
      <c r="BV306" s="92"/>
      <c r="BW306" s="92"/>
      <c r="BX306" s="92"/>
      <c r="BY306" s="92"/>
      <c r="BZ306" s="92"/>
      <c r="CA306" s="92"/>
      <c r="CB306" s="92"/>
      <c r="CC306" s="92"/>
      <c r="CD306" s="92"/>
      <c r="CE306" s="92"/>
      <c r="CF306" s="92"/>
      <c r="CG306" s="92"/>
      <c r="CH306" s="92"/>
      <c r="CI306" s="92"/>
      <c r="CJ306" s="92"/>
      <c r="CK306" s="92"/>
      <c r="CL306" s="92"/>
      <c r="CM306" s="92"/>
      <c r="CN306" s="92"/>
      <c r="CO306" s="92"/>
      <c r="CP306" s="92"/>
      <c r="CQ306" s="92"/>
      <c r="CR306" s="92"/>
      <c r="CS306" s="92"/>
      <c r="CT306" s="92"/>
      <c r="CU306" s="92"/>
      <c r="CV306" s="92"/>
      <c r="CW306" s="92"/>
      <c r="CX306" s="92"/>
      <c r="CY306" s="92"/>
      <c r="CZ306" s="92"/>
      <c r="DA306" s="92"/>
      <c r="DB306" s="92"/>
      <c r="DC306" s="92"/>
      <c r="DD306" s="92"/>
      <c r="DE306" s="92"/>
      <c r="DF306" s="92"/>
      <c r="DG306" s="92"/>
      <c r="DH306" s="92"/>
      <c r="DI306" s="92"/>
      <c r="DJ306" s="92"/>
      <c r="DK306" s="92"/>
      <c r="DL306" s="92"/>
      <c r="DM306" s="92"/>
      <c r="DN306" s="92"/>
      <c r="DO306" s="92"/>
      <c r="DP306" s="92"/>
      <c r="DQ306" s="92"/>
      <c r="DR306" s="92"/>
      <c r="DS306" s="92"/>
      <c r="DT306" s="92"/>
      <c r="DU306" s="92"/>
      <c r="DV306" s="92"/>
      <c r="DW306" s="92"/>
      <c r="DX306" s="92"/>
      <c r="DY306" s="92"/>
      <c r="DZ306" s="92"/>
      <c r="EA306" s="92"/>
      <c r="EB306" s="92"/>
      <c r="EC306" s="92"/>
      <c r="ED306" s="92"/>
      <c r="EE306" s="92"/>
      <c r="EF306" s="92"/>
      <c r="EG306" s="92"/>
      <c r="EH306" s="92"/>
      <c r="EI306" s="92"/>
      <c r="EJ306" s="92"/>
      <c r="EK306" s="92"/>
      <c r="EL306" s="92"/>
      <c r="EM306" s="92"/>
      <c r="EN306" s="92"/>
      <c r="EO306" s="92"/>
      <c r="EP306" s="92"/>
      <c r="EQ306" s="92"/>
      <c r="ER306" s="92"/>
      <c r="ES306" s="92"/>
      <c r="ET306" s="92"/>
      <c r="EU306" s="92"/>
      <c r="EV306" s="92"/>
      <c r="EW306" s="92"/>
      <c r="EX306" s="92"/>
      <c r="EY306" s="92"/>
      <c r="EZ306" s="92"/>
      <c r="FA306" s="92"/>
      <c r="FB306" s="92"/>
      <c r="FC306" s="92"/>
      <c r="FD306" s="92"/>
      <c r="FE306" s="92"/>
      <c r="FF306" s="92"/>
      <c r="FG306" s="92"/>
      <c r="FH306" s="92"/>
    </row>
    <row r="307">
      <c r="A307" s="30" t="s">
        <v>54</v>
      </c>
      <c r="B307" s="30" t="s">
        <v>60</v>
      </c>
      <c r="C307" s="31" t="str">
        <f>HYPERLINK("https://docs.google.com/spreadsheets/d/1SVJMtY3D4kRNYUsfizj4B-h2qzfqovvj/edit?usp=share_link&amp;ouid=106501987799020758802&amp;rtpof=true&amp;sd=true", "Raw Delivered")</f>
        <v>Raw Delivered</v>
      </c>
      <c r="D307" s="96">
        <f t="shared" si="1"/>
        <v>5605.497476</v>
      </c>
      <c r="E307" s="92">
        <f>(SUBSTITUTE(Audio!E307, "RE-", "", 1))*1</f>
        <v>0</v>
      </c>
      <c r="F307" s="92">
        <f>(SUBSTITUTE(Audio!F307, "RE-", "", 1))*1</f>
        <v>250.8026615</v>
      </c>
      <c r="G307" s="92">
        <f>(SUBSTITUTE(Audio!G307, "RE-", "", 1))*1</f>
        <v>0</v>
      </c>
      <c r="H307" s="92">
        <f>(SUBSTITUTE(Audio!H307, "RE-", "", 1))*1</f>
        <v>35.47974792</v>
      </c>
      <c r="I307" s="92">
        <f>(SUBSTITUTE(Audio!I307, "RE-", "", 1))*1</f>
        <v>0</v>
      </c>
      <c r="J307" s="92">
        <f>(SUBSTITUTE(Audio!J307, "RE-", "", 1))*1</f>
        <v>465.6751927</v>
      </c>
      <c r="K307" s="92">
        <f>(SUBSTITUTE(Audio!K307, "RE-", "", 1))*1</f>
        <v>0</v>
      </c>
      <c r="L307" s="92">
        <f>(SUBSTITUTE(Audio!L307, "RE-", "", 1))*1</f>
        <v>1798.539339</v>
      </c>
      <c r="M307" s="92">
        <f>(SUBSTITUTE(Audio!M307, "RE-", "", 1))*1</f>
        <v>0</v>
      </c>
      <c r="N307" s="92">
        <f>(SUBSTITUTE(Audio!N307, "RE-", "", 1))*1</f>
        <v>2317.405775</v>
      </c>
      <c r="O307" s="92">
        <f>(SUBSTITUTE(Audio!O307, "RE-", "", 1))*1</f>
        <v>0</v>
      </c>
      <c r="P307" s="92">
        <f>(SUBSTITUTE(Audio!P307, "RE-", "", 1))*1</f>
        <v>278.2466135</v>
      </c>
      <c r="Q307" s="92">
        <f>(SUBSTITUTE(Audio!Q307, "RE-", "", 1))*1</f>
        <v>0</v>
      </c>
      <c r="R307" s="92">
        <f>(SUBSTITUTE(Audio!R307, "RE-", "", 1))*1</f>
        <v>117.3319969</v>
      </c>
      <c r="S307" s="92">
        <f>(SUBSTITUTE(Audio!S307, "RE-", "", 1))*1</f>
        <v>0</v>
      </c>
      <c r="T307" s="92">
        <f>(SUBSTITUTE(Audio!T307, "RE-", "", 1))*1</f>
        <v>342.016149</v>
      </c>
      <c r="U307" s="92">
        <f>(SUBSTITUTE(Audio!U307, "RE-", "", 1))*1</f>
        <v>0</v>
      </c>
      <c r="V307" s="92">
        <f>(SUBSTITUTE(Audio!V307, "RE-", "", 1))*1</f>
        <v>0</v>
      </c>
      <c r="W307" s="92">
        <f>(SUBSTITUTE(Audio!W307, "RE-", "", 1))*1</f>
        <v>0</v>
      </c>
      <c r="X307" s="92">
        <f>(SUBSTITUTE(Audio!X307, "RE-", "", 1))*1</f>
        <v>0</v>
      </c>
      <c r="Y307" s="92">
        <f>(SUBSTITUTE(Audio!Y307, "RE-", "", 1))*1</f>
        <v>0</v>
      </c>
      <c r="Z307" s="92">
        <f>(SUBSTITUTE(Audio!Z307, "RE-", "", 1))*1</f>
        <v>0</v>
      </c>
      <c r="AA307" s="92"/>
      <c r="AB307" s="92"/>
      <c r="AC307" s="92"/>
      <c r="AD307" s="92"/>
      <c r="AE307" s="92"/>
      <c r="AF307" s="92"/>
      <c r="AG307" s="92"/>
      <c r="AH307" s="92"/>
      <c r="AI307" s="92"/>
      <c r="AJ307" s="92"/>
      <c r="AK307" s="92"/>
      <c r="AL307" s="92"/>
      <c r="AM307" s="92"/>
      <c r="AN307" s="92"/>
      <c r="AO307" s="92"/>
      <c r="AP307" s="92"/>
      <c r="AQ307" s="92"/>
      <c r="AR307" s="92"/>
      <c r="AS307" s="92"/>
      <c r="AT307" s="92"/>
      <c r="AU307" s="92"/>
      <c r="AV307" s="92"/>
      <c r="AW307" s="92"/>
      <c r="AX307" s="92"/>
      <c r="AY307" s="92"/>
      <c r="AZ307" s="92"/>
      <c r="BA307" s="92"/>
      <c r="BB307" s="92"/>
      <c r="BC307" s="92"/>
      <c r="BD307" s="92"/>
      <c r="BE307" s="92"/>
      <c r="BF307" s="92"/>
      <c r="BG307" s="92"/>
      <c r="BH307" s="92"/>
      <c r="BI307" s="92"/>
      <c r="BJ307" s="92"/>
      <c r="BK307" s="92"/>
      <c r="BL307" s="92"/>
      <c r="BM307" s="92"/>
      <c r="BN307" s="92"/>
      <c r="BO307" s="92"/>
      <c r="BP307" s="92"/>
      <c r="BQ307" s="92"/>
      <c r="BR307" s="92"/>
      <c r="BS307" s="92"/>
      <c r="BT307" s="92"/>
      <c r="BU307" s="92"/>
      <c r="BV307" s="92"/>
      <c r="BW307" s="92"/>
      <c r="BX307" s="92"/>
      <c r="BY307" s="92"/>
      <c r="BZ307" s="92"/>
      <c r="CA307" s="92"/>
      <c r="CB307" s="92"/>
      <c r="CC307" s="92"/>
      <c r="CD307" s="92"/>
      <c r="CE307" s="92"/>
      <c r="CF307" s="92"/>
      <c r="CG307" s="92"/>
      <c r="CH307" s="92"/>
      <c r="CI307" s="92"/>
      <c r="CJ307" s="92"/>
      <c r="CK307" s="92"/>
      <c r="CL307" s="92"/>
      <c r="CM307" s="92"/>
      <c r="CN307" s="92"/>
      <c r="CO307" s="92"/>
      <c r="CP307" s="92"/>
      <c r="CQ307" s="92"/>
      <c r="CR307" s="92"/>
      <c r="CS307" s="92"/>
      <c r="CT307" s="92"/>
      <c r="CU307" s="92"/>
      <c r="CV307" s="92"/>
      <c r="CW307" s="92"/>
      <c r="CX307" s="92"/>
      <c r="CY307" s="92"/>
      <c r="CZ307" s="92"/>
      <c r="DA307" s="92"/>
      <c r="DB307" s="92"/>
      <c r="DC307" s="92"/>
      <c r="DD307" s="92"/>
      <c r="DE307" s="92"/>
      <c r="DF307" s="92"/>
      <c r="DG307" s="92"/>
      <c r="DH307" s="92"/>
      <c r="DI307" s="92"/>
      <c r="DJ307" s="92"/>
      <c r="DK307" s="92"/>
      <c r="DL307" s="92"/>
      <c r="DM307" s="92"/>
      <c r="DN307" s="92"/>
      <c r="DO307" s="92"/>
      <c r="DP307" s="92"/>
      <c r="DQ307" s="92"/>
      <c r="DR307" s="92"/>
      <c r="DS307" s="92"/>
      <c r="DT307" s="92"/>
      <c r="DU307" s="92"/>
      <c r="DV307" s="92"/>
      <c r="DW307" s="92"/>
      <c r="DX307" s="92"/>
      <c r="DY307" s="92"/>
      <c r="DZ307" s="92"/>
      <c r="EA307" s="92"/>
      <c r="EB307" s="92"/>
      <c r="EC307" s="92"/>
      <c r="ED307" s="92"/>
      <c r="EE307" s="92"/>
      <c r="EF307" s="92"/>
      <c r="EG307" s="92"/>
      <c r="EH307" s="92"/>
      <c r="EI307" s="92"/>
      <c r="EJ307" s="92"/>
      <c r="EK307" s="92"/>
      <c r="EL307" s="92"/>
      <c r="EM307" s="92"/>
      <c r="EN307" s="92"/>
      <c r="EO307" s="92"/>
      <c r="EP307" s="92"/>
      <c r="EQ307" s="92"/>
      <c r="ER307" s="92"/>
      <c r="ES307" s="92"/>
      <c r="ET307" s="92"/>
      <c r="EU307" s="92"/>
      <c r="EV307" s="92"/>
      <c r="EW307" s="92"/>
      <c r="EX307" s="92"/>
      <c r="EY307" s="92"/>
      <c r="EZ307" s="92"/>
      <c r="FA307" s="92"/>
      <c r="FB307" s="92"/>
      <c r="FC307" s="92"/>
      <c r="FD307" s="92"/>
      <c r="FE307" s="92"/>
      <c r="FF307" s="92"/>
      <c r="FG307" s="92"/>
      <c r="FH307" s="92"/>
    </row>
    <row r="308">
      <c r="A308" s="32" t="s">
        <v>54</v>
      </c>
      <c r="B308" s="32" t="s">
        <v>60</v>
      </c>
      <c r="C308" s="32" t="s">
        <v>9</v>
      </c>
      <c r="D308" s="97">
        <f t="shared" si="1"/>
        <v>5605.497475</v>
      </c>
      <c r="E308" s="92">
        <f>(SUBSTITUTE(Audio!E308, "RE-", "", 1))*1</f>
        <v>0</v>
      </c>
      <c r="F308" s="92">
        <f>(SUBSTITUTE(Audio!F308, "RE-", "", 1))*1</f>
        <v>250.8026615</v>
      </c>
      <c r="G308" s="92">
        <f>(SUBSTITUTE(Audio!G308, "RE-", "", 1))*1</f>
        <v>0</v>
      </c>
      <c r="H308" s="92">
        <f>(SUBSTITUTE(Audio!H308, "RE-", "", 1))*1</f>
        <v>35.47974792</v>
      </c>
      <c r="I308" s="92">
        <f>(SUBSTITUTE(Audio!I308, "RE-", "", 1))*1</f>
        <v>0</v>
      </c>
      <c r="J308" s="92">
        <f>(SUBSTITUTE(Audio!J308, "RE-", "", 1))*1</f>
        <v>465.6751927</v>
      </c>
      <c r="K308" s="92">
        <f>(SUBSTITUTE(Audio!K308, "RE-", "", 1))*1</f>
        <v>0</v>
      </c>
      <c r="L308" s="92">
        <f>(SUBSTITUTE(Audio!L308, "RE-", "", 1))*1</f>
        <v>1798.539339</v>
      </c>
      <c r="M308" s="92">
        <f>(SUBSTITUTE(Audio!M308, "RE-", "", 1))*1</f>
        <v>0</v>
      </c>
      <c r="N308" s="92">
        <f>(SUBSTITUTE(Audio!N308, "RE-", "", 1))*1</f>
        <v>2317.405775</v>
      </c>
      <c r="O308" s="92">
        <f>(SUBSTITUTE(Audio!O308, "RE-", "", 1))*1</f>
        <v>0</v>
      </c>
      <c r="P308" s="92">
        <f>(SUBSTITUTE(Audio!P308, "RE-", "", 1))*1</f>
        <v>278.2466135</v>
      </c>
      <c r="Q308" s="92">
        <f>(SUBSTITUTE(Audio!Q308, "RE-", "", 1))*1</f>
        <v>0</v>
      </c>
      <c r="R308" s="92">
        <f>(SUBSTITUTE(Audio!R308, "RE-", "", 1))*1</f>
        <v>117.3319969</v>
      </c>
      <c r="S308" s="92">
        <f>(SUBSTITUTE(Audio!S308, "RE-", "", 1))*1</f>
        <v>0</v>
      </c>
      <c r="T308" s="92">
        <f>(SUBSTITUTE(Audio!T308, "RE-", "", 1))*1</f>
        <v>342.016149</v>
      </c>
      <c r="U308" s="92">
        <f>(SUBSTITUTE(Audio!U308, "RE-", "", 1))*1</f>
        <v>0</v>
      </c>
      <c r="V308" s="92">
        <f>(SUBSTITUTE(Audio!V308, "RE-", "", 1))*1</f>
        <v>0</v>
      </c>
      <c r="W308" s="92">
        <f>(SUBSTITUTE(Audio!W308, "RE-", "", 1))*1</f>
        <v>0</v>
      </c>
      <c r="X308" s="92">
        <f>(SUBSTITUTE(Audio!X308, "RE-", "", 1))*1</f>
        <v>0</v>
      </c>
      <c r="Y308" s="92">
        <f>(SUBSTITUTE(Audio!Y308, "RE-", "", 1))*1</f>
        <v>0</v>
      </c>
      <c r="Z308" s="92">
        <f>(SUBSTITUTE(Audio!Z308, "RE-", "", 1))*1</f>
        <v>0</v>
      </c>
      <c r="AA308" s="92"/>
      <c r="AB308" s="92"/>
      <c r="AC308" s="92"/>
      <c r="AD308" s="92"/>
      <c r="AE308" s="92"/>
      <c r="AF308" s="92"/>
      <c r="AG308" s="92"/>
      <c r="AH308" s="92"/>
      <c r="AI308" s="92"/>
      <c r="AJ308" s="92"/>
      <c r="AK308" s="92"/>
      <c r="AL308" s="92"/>
      <c r="AM308" s="92"/>
      <c r="AN308" s="92"/>
      <c r="AO308" s="92"/>
      <c r="AP308" s="92"/>
      <c r="AQ308" s="92"/>
      <c r="AR308" s="92"/>
      <c r="AS308" s="92"/>
      <c r="AT308" s="92"/>
      <c r="AU308" s="92"/>
      <c r="AV308" s="92"/>
      <c r="AW308" s="92"/>
      <c r="AX308" s="92"/>
      <c r="AY308" s="92"/>
      <c r="AZ308" s="92"/>
      <c r="BA308" s="92"/>
      <c r="BB308" s="92"/>
      <c r="BC308" s="92"/>
      <c r="BD308" s="92"/>
      <c r="BE308" s="92"/>
      <c r="BF308" s="92"/>
      <c r="BG308" s="92"/>
      <c r="BH308" s="92"/>
      <c r="BI308" s="92"/>
      <c r="BJ308" s="92"/>
      <c r="BK308" s="92"/>
      <c r="BL308" s="92"/>
      <c r="BM308" s="92"/>
      <c r="BN308" s="92"/>
      <c r="BO308" s="92"/>
      <c r="BP308" s="92"/>
      <c r="BQ308" s="92"/>
      <c r="BR308" s="92"/>
      <c r="BS308" s="92"/>
      <c r="BT308" s="92"/>
      <c r="BU308" s="92"/>
      <c r="BV308" s="92"/>
      <c r="BW308" s="92"/>
      <c r="BX308" s="92"/>
      <c r="BY308" s="92"/>
      <c r="BZ308" s="92"/>
      <c r="CA308" s="92"/>
      <c r="CB308" s="92"/>
      <c r="CC308" s="92"/>
      <c r="CD308" s="92"/>
      <c r="CE308" s="92"/>
      <c r="CF308" s="92"/>
      <c r="CG308" s="92"/>
      <c r="CH308" s="92"/>
      <c r="CI308" s="92"/>
      <c r="CJ308" s="92"/>
      <c r="CK308" s="92"/>
      <c r="CL308" s="92"/>
      <c r="CM308" s="92"/>
      <c r="CN308" s="92"/>
      <c r="CO308" s="92"/>
      <c r="CP308" s="92"/>
      <c r="CQ308" s="92"/>
      <c r="CR308" s="92"/>
      <c r="CS308" s="92"/>
      <c r="CT308" s="92"/>
      <c r="CU308" s="92"/>
      <c r="CV308" s="92"/>
      <c r="CW308" s="92"/>
      <c r="CX308" s="92"/>
      <c r="CY308" s="92"/>
      <c r="CZ308" s="92"/>
      <c r="DA308" s="92"/>
      <c r="DB308" s="92"/>
      <c r="DC308" s="92"/>
      <c r="DD308" s="92"/>
      <c r="DE308" s="92"/>
      <c r="DF308" s="92"/>
      <c r="DG308" s="92"/>
      <c r="DH308" s="92"/>
      <c r="DI308" s="92"/>
      <c r="DJ308" s="92"/>
      <c r="DK308" s="92"/>
      <c r="DL308" s="92"/>
      <c r="DM308" s="92"/>
      <c r="DN308" s="92"/>
      <c r="DO308" s="92"/>
      <c r="DP308" s="92"/>
      <c r="DQ308" s="92"/>
      <c r="DR308" s="92"/>
      <c r="DS308" s="92"/>
      <c r="DT308" s="92"/>
      <c r="DU308" s="92"/>
      <c r="DV308" s="92"/>
      <c r="DW308" s="92"/>
      <c r="DX308" s="92"/>
      <c r="DY308" s="92"/>
      <c r="DZ308" s="92"/>
      <c r="EA308" s="92"/>
      <c r="EB308" s="92"/>
      <c r="EC308" s="92"/>
      <c r="ED308" s="92"/>
      <c r="EE308" s="92"/>
      <c r="EF308" s="92"/>
      <c r="EG308" s="92"/>
      <c r="EH308" s="92"/>
      <c r="EI308" s="92"/>
      <c r="EJ308" s="92"/>
      <c r="EK308" s="92"/>
      <c r="EL308" s="92"/>
      <c r="EM308" s="92"/>
      <c r="EN308" s="92"/>
      <c r="EO308" s="92"/>
      <c r="EP308" s="92"/>
      <c r="EQ308" s="92"/>
      <c r="ER308" s="92"/>
      <c r="ES308" s="92"/>
      <c r="ET308" s="92"/>
      <c r="EU308" s="92"/>
      <c r="EV308" s="92"/>
      <c r="EW308" s="92"/>
      <c r="EX308" s="92"/>
      <c r="EY308" s="92"/>
      <c r="EZ308" s="92"/>
      <c r="FA308" s="92"/>
      <c r="FB308" s="92"/>
      <c r="FC308" s="92"/>
      <c r="FD308" s="92"/>
      <c r="FE308" s="92"/>
      <c r="FF308" s="92"/>
      <c r="FG308" s="92"/>
      <c r="FH308" s="92"/>
    </row>
    <row r="309">
      <c r="A309" s="32" t="s">
        <v>54</v>
      </c>
      <c r="B309" s="32" t="s">
        <v>60</v>
      </c>
      <c r="C309" s="32" t="s">
        <v>10</v>
      </c>
      <c r="D309" s="97">
        <f t="shared" si="1"/>
        <v>571.4007875</v>
      </c>
      <c r="E309" s="92">
        <f>(SUBSTITUTE(Audio!E309, "RE-", "", 1))*1</f>
        <v>0</v>
      </c>
      <c r="F309" s="92">
        <f>(SUBSTITUTE(Audio!F309, "RE-", "", 1))*1</f>
        <v>0</v>
      </c>
      <c r="G309" s="92">
        <f>(SUBSTITUTE(Audio!G309, "RE-", "", 1))*1</f>
        <v>23.45236042</v>
      </c>
      <c r="H309" s="92">
        <f>(SUBSTITUTE(Audio!H309, "RE-", "", 1))*1</f>
        <v>0</v>
      </c>
      <c r="I309" s="92">
        <f>(SUBSTITUTE(Audio!I309, "RE-", "", 1))*1</f>
        <v>7.42536875</v>
      </c>
      <c r="J309" s="92">
        <f>(SUBSTITUTE(Audio!J309, "RE-", "", 1))*1</f>
        <v>0</v>
      </c>
      <c r="K309" s="92">
        <f>(SUBSTITUTE(Audio!K309, "RE-", "", 1))*1</f>
        <v>28.96701458</v>
      </c>
      <c r="L309" s="92">
        <f>(SUBSTITUTE(Audio!L309, "RE-", "", 1))*1</f>
        <v>0</v>
      </c>
      <c r="M309" s="92">
        <f>(SUBSTITUTE(Audio!M309, "RE-", "", 1))*1</f>
        <v>69.57361667</v>
      </c>
      <c r="N309" s="92">
        <f>(SUBSTITUTE(Audio!N309, "RE-", "", 1))*1</f>
        <v>0</v>
      </c>
      <c r="O309" s="92">
        <f>(SUBSTITUTE(Audio!O309, "RE-", "", 1))*1</f>
        <v>269.7170094</v>
      </c>
      <c r="P309" s="92">
        <f>(SUBSTITUTE(Audio!P309, "RE-", "", 1))*1</f>
        <v>0</v>
      </c>
      <c r="Q309" s="92">
        <f>(SUBSTITUTE(Audio!Q309, "RE-", "", 1))*1</f>
        <v>117.6345479</v>
      </c>
      <c r="R309" s="92">
        <f>(SUBSTITUTE(Audio!R309, "RE-", "", 1))*1</f>
        <v>0</v>
      </c>
      <c r="S309" s="92">
        <f>(SUBSTITUTE(Audio!S309, "RE-", "", 1))*1</f>
        <v>23.74426354</v>
      </c>
      <c r="T309" s="92">
        <f>(SUBSTITUTE(Audio!T309, "RE-", "", 1))*1</f>
        <v>0</v>
      </c>
      <c r="U309" s="92">
        <f>(SUBSTITUTE(Audio!U309, "RE-", "", 1))*1</f>
        <v>24.35990208</v>
      </c>
      <c r="V309" s="92">
        <f>(SUBSTITUTE(Audio!V309, "RE-", "", 1))*1</f>
        <v>6.526704167</v>
      </c>
      <c r="W309" s="92">
        <f>(SUBSTITUTE(Audio!W309, "RE-", "", 1))*1</f>
        <v>0</v>
      </c>
      <c r="X309" s="92">
        <f>(SUBSTITUTE(Audio!X309, "RE-", "", 1))*1</f>
        <v>0</v>
      </c>
      <c r="Y309" s="92">
        <f>(SUBSTITUTE(Audio!Y309, "RE-", "", 1))*1</f>
        <v>0</v>
      </c>
      <c r="Z309" s="92">
        <f>(SUBSTITUTE(Audio!Z309, "RE-", "", 1))*1</f>
        <v>0</v>
      </c>
      <c r="AA309" s="92"/>
      <c r="AB309" s="92"/>
      <c r="AC309" s="92"/>
      <c r="AD309" s="92"/>
      <c r="AE309" s="92"/>
      <c r="AF309" s="92"/>
      <c r="AG309" s="92"/>
      <c r="AH309" s="92"/>
      <c r="AI309" s="92"/>
      <c r="AJ309" s="92"/>
      <c r="AK309" s="92"/>
      <c r="AL309" s="92"/>
      <c r="AM309" s="92"/>
      <c r="AN309" s="92"/>
      <c r="AO309" s="92"/>
      <c r="AP309" s="92"/>
      <c r="AQ309" s="92"/>
      <c r="AR309" s="92"/>
      <c r="AS309" s="92"/>
      <c r="AT309" s="92"/>
      <c r="AU309" s="92"/>
      <c r="AV309" s="92"/>
      <c r="AW309" s="92"/>
      <c r="AX309" s="92"/>
      <c r="AY309" s="92"/>
      <c r="AZ309" s="92"/>
      <c r="BA309" s="92"/>
      <c r="BB309" s="92"/>
      <c r="BC309" s="92"/>
      <c r="BD309" s="92"/>
      <c r="BE309" s="92"/>
      <c r="BF309" s="92"/>
      <c r="BG309" s="92"/>
      <c r="BH309" s="92"/>
      <c r="BI309" s="92"/>
      <c r="BJ309" s="92"/>
      <c r="BK309" s="92"/>
      <c r="BL309" s="92"/>
      <c r="BM309" s="92"/>
      <c r="BN309" s="92"/>
      <c r="BO309" s="92"/>
      <c r="BP309" s="92"/>
      <c r="BQ309" s="92"/>
      <c r="BR309" s="92"/>
      <c r="BS309" s="92"/>
      <c r="BT309" s="92"/>
      <c r="BU309" s="92"/>
      <c r="BV309" s="92"/>
      <c r="BW309" s="92"/>
      <c r="BX309" s="92"/>
      <c r="BY309" s="92"/>
      <c r="BZ309" s="92"/>
      <c r="CA309" s="92"/>
      <c r="CB309" s="92"/>
      <c r="CC309" s="92"/>
      <c r="CD309" s="92"/>
      <c r="CE309" s="92"/>
      <c r="CF309" s="92"/>
      <c r="CG309" s="92"/>
      <c r="CH309" s="92"/>
      <c r="CI309" s="92"/>
      <c r="CJ309" s="92"/>
      <c r="CK309" s="92"/>
      <c r="CL309" s="92"/>
      <c r="CM309" s="92"/>
      <c r="CN309" s="92"/>
      <c r="CO309" s="92"/>
      <c r="CP309" s="92"/>
      <c r="CQ309" s="92"/>
      <c r="CR309" s="92"/>
      <c r="CS309" s="92"/>
      <c r="CT309" s="92"/>
      <c r="CU309" s="92"/>
      <c r="CV309" s="92"/>
      <c r="CW309" s="92"/>
      <c r="CX309" s="92"/>
      <c r="CY309" s="92"/>
      <c r="CZ309" s="92"/>
      <c r="DA309" s="92"/>
      <c r="DB309" s="92"/>
      <c r="DC309" s="92"/>
      <c r="DD309" s="92"/>
      <c r="DE309" s="92"/>
      <c r="DF309" s="92"/>
      <c r="DG309" s="92"/>
      <c r="DH309" s="92"/>
      <c r="DI309" s="92"/>
      <c r="DJ309" s="92"/>
      <c r="DK309" s="92"/>
      <c r="DL309" s="92"/>
      <c r="DM309" s="92"/>
      <c r="DN309" s="92"/>
      <c r="DO309" s="92"/>
      <c r="DP309" s="92"/>
      <c r="DQ309" s="92"/>
      <c r="DR309" s="92"/>
      <c r="DS309" s="92"/>
      <c r="DT309" s="92"/>
      <c r="DU309" s="92"/>
      <c r="DV309" s="92"/>
      <c r="DW309" s="92"/>
      <c r="DX309" s="92"/>
      <c r="DY309" s="92"/>
      <c r="DZ309" s="92"/>
      <c r="EA309" s="92"/>
      <c r="EB309" s="92"/>
      <c r="EC309" s="92"/>
      <c r="ED309" s="92"/>
      <c r="EE309" s="92"/>
      <c r="EF309" s="92"/>
      <c r="EG309" s="92"/>
      <c r="EH309" s="92"/>
      <c r="EI309" s="92"/>
      <c r="EJ309" s="92"/>
      <c r="EK309" s="92"/>
      <c r="EL309" s="92"/>
      <c r="EM309" s="92"/>
      <c r="EN309" s="92"/>
      <c r="EO309" s="92"/>
      <c r="EP309" s="92"/>
      <c r="EQ309" s="92"/>
      <c r="ER309" s="92"/>
      <c r="ES309" s="92"/>
      <c r="ET309" s="92"/>
      <c r="EU309" s="92"/>
      <c r="EV309" s="92"/>
      <c r="EW309" s="92"/>
      <c r="EX309" s="92"/>
      <c r="EY309" s="92"/>
      <c r="EZ309" s="92"/>
      <c r="FA309" s="92"/>
      <c r="FB309" s="92"/>
      <c r="FC309" s="92"/>
      <c r="FD309" s="92"/>
      <c r="FE309" s="92"/>
      <c r="FF309" s="92"/>
      <c r="FG309" s="92"/>
      <c r="FH309" s="92"/>
    </row>
    <row r="310">
      <c r="A310" s="32" t="s">
        <v>54</v>
      </c>
      <c r="B310" s="32" t="s">
        <v>60</v>
      </c>
      <c r="C310" s="32" t="s">
        <v>11</v>
      </c>
      <c r="D310" s="97">
        <f t="shared" si="1"/>
        <v>571.4007875</v>
      </c>
      <c r="E310" s="92">
        <f>(SUBSTITUTE(Audio!E310, "RE-", "", 1))*1</f>
        <v>0</v>
      </c>
      <c r="F310" s="92">
        <f>(SUBSTITUTE(Audio!F310, "RE-", "", 1))*1</f>
        <v>0</v>
      </c>
      <c r="G310" s="92">
        <f>(SUBSTITUTE(Audio!G310, "RE-", "", 1))*1</f>
        <v>23.45236042</v>
      </c>
      <c r="H310" s="92">
        <f>(SUBSTITUTE(Audio!H310, "RE-", "", 1))*1</f>
        <v>0</v>
      </c>
      <c r="I310" s="92">
        <f>(SUBSTITUTE(Audio!I310, "RE-", "", 1))*1</f>
        <v>7.42536875</v>
      </c>
      <c r="J310" s="92">
        <f>(SUBSTITUTE(Audio!J310, "RE-", "", 1))*1</f>
        <v>0</v>
      </c>
      <c r="K310" s="92">
        <f>(SUBSTITUTE(Audio!K310, "RE-", "", 1))*1</f>
        <v>28.96701458</v>
      </c>
      <c r="L310" s="92">
        <f>(SUBSTITUTE(Audio!L310, "RE-", "", 1))*1</f>
        <v>0</v>
      </c>
      <c r="M310" s="92">
        <f>(SUBSTITUTE(Audio!M310, "RE-", "", 1))*1</f>
        <v>69.57361667</v>
      </c>
      <c r="N310" s="92">
        <f>(SUBSTITUTE(Audio!N310, "RE-", "", 1))*1</f>
        <v>0</v>
      </c>
      <c r="O310" s="92">
        <f>(SUBSTITUTE(Audio!O310, "RE-", "", 1))*1</f>
        <v>269.7170094</v>
      </c>
      <c r="P310" s="92">
        <f>(SUBSTITUTE(Audio!P310, "RE-", "", 1))*1</f>
        <v>0</v>
      </c>
      <c r="Q310" s="92">
        <f>(SUBSTITUTE(Audio!Q310, "RE-", "", 1))*1</f>
        <v>117.6345479</v>
      </c>
      <c r="R310" s="92">
        <f>(SUBSTITUTE(Audio!R310, "RE-", "", 1))*1</f>
        <v>0</v>
      </c>
      <c r="S310" s="92">
        <f>(SUBSTITUTE(Audio!S310, "RE-", "", 1))*1</f>
        <v>23.74426354</v>
      </c>
      <c r="T310" s="92">
        <f>(SUBSTITUTE(Audio!T310, "RE-", "", 1))*1</f>
        <v>0</v>
      </c>
      <c r="U310" s="92">
        <f>(SUBSTITUTE(Audio!U310, "RE-", "", 1))*1</f>
        <v>24.35990208</v>
      </c>
      <c r="V310" s="92">
        <f>(SUBSTITUTE(Audio!V310, "RE-", "", 1))*1</f>
        <v>6.526704167</v>
      </c>
      <c r="W310" s="92">
        <f>(SUBSTITUTE(Audio!W310, "RE-", "", 1))*1</f>
        <v>0</v>
      </c>
      <c r="X310" s="92">
        <f>(SUBSTITUTE(Audio!X310, "RE-", "", 1))*1</f>
        <v>0</v>
      </c>
      <c r="Y310" s="92">
        <f>(SUBSTITUTE(Audio!Y310, "RE-", "", 1))*1</f>
        <v>0</v>
      </c>
      <c r="Z310" s="92">
        <f>(SUBSTITUTE(Audio!Z310, "RE-", "", 1))*1</f>
        <v>0</v>
      </c>
      <c r="AA310" s="92"/>
      <c r="AB310" s="92"/>
      <c r="AC310" s="92"/>
      <c r="AD310" s="92"/>
      <c r="AE310" s="92"/>
      <c r="AF310" s="92"/>
      <c r="AG310" s="92"/>
      <c r="AH310" s="92"/>
      <c r="AI310" s="92"/>
      <c r="AJ310" s="92"/>
      <c r="AK310" s="92"/>
      <c r="AL310" s="92"/>
      <c r="AM310" s="92"/>
      <c r="AN310" s="92"/>
      <c r="AO310" s="92"/>
      <c r="AP310" s="92"/>
      <c r="AQ310" s="92"/>
      <c r="AR310" s="92"/>
      <c r="AS310" s="92"/>
      <c r="AT310" s="92"/>
      <c r="AU310" s="92"/>
      <c r="AV310" s="92"/>
      <c r="AW310" s="92"/>
      <c r="AX310" s="92"/>
      <c r="AY310" s="92"/>
      <c r="AZ310" s="92"/>
      <c r="BA310" s="92"/>
      <c r="BB310" s="92"/>
      <c r="BC310" s="92"/>
      <c r="BD310" s="92"/>
      <c r="BE310" s="92"/>
      <c r="BF310" s="92"/>
      <c r="BG310" s="92"/>
      <c r="BH310" s="92"/>
      <c r="BI310" s="92"/>
      <c r="BJ310" s="92"/>
      <c r="BK310" s="92"/>
      <c r="BL310" s="92"/>
      <c r="BM310" s="92"/>
      <c r="BN310" s="92"/>
      <c r="BO310" s="92"/>
      <c r="BP310" s="92"/>
      <c r="BQ310" s="92"/>
      <c r="BR310" s="92"/>
      <c r="BS310" s="92"/>
      <c r="BT310" s="92"/>
      <c r="BU310" s="92"/>
      <c r="BV310" s="92"/>
      <c r="BW310" s="92"/>
      <c r="BX310" s="92"/>
      <c r="BY310" s="92"/>
      <c r="BZ310" s="92"/>
      <c r="CA310" s="92"/>
      <c r="CB310" s="92"/>
      <c r="CC310" s="92"/>
      <c r="CD310" s="92"/>
      <c r="CE310" s="92"/>
      <c r="CF310" s="92"/>
      <c r="CG310" s="92"/>
      <c r="CH310" s="92"/>
      <c r="CI310" s="92"/>
      <c r="CJ310" s="92"/>
      <c r="CK310" s="92"/>
      <c r="CL310" s="92"/>
      <c r="CM310" s="92"/>
      <c r="CN310" s="92"/>
      <c r="CO310" s="92"/>
      <c r="CP310" s="92"/>
      <c r="CQ310" s="92"/>
      <c r="CR310" s="92"/>
      <c r="CS310" s="92"/>
      <c r="CT310" s="92"/>
      <c r="CU310" s="92"/>
      <c r="CV310" s="92"/>
      <c r="CW310" s="92"/>
      <c r="CX310" s="92"/>
      <c r="CY310" s="92"/>
      <c r="CZ310" s="92"/>
      <c r="DA310" s="92"/>
      <c r="DB310" s="92"/>
      <c r="DC310" s="92"/>
      <c r="DD310" s="92"/>
      <c r="DE310" s="92"/>
      <c r="DF310" s="92"/>
      <c r="DG310" s="92"/>
      <c r="DH310" s="92"/>
      <c r="DI310" s="92"/>
      <c r="DJ310" s="92"/>
      <c r="DK310" s="92"/>
      <c r="DL310" s="92"/>
      <c r="DM310" s="92"/>
      <c r="DN310" s="92"/>
      <c r="DO310" s="92"/>
      <c r="DP310" s="92"/>
      <c r="DQ310" s="92"/>
      <c r="DR310" s="92"/>
      <c r="DS310" s="92"/>
      <c r="DT310" s="92"/>
      <c r="DU310" s="92"/>
      <c r="DV310" s="92"/>
      <c r="DW310" s="92"/>
      <c r="DX310" s="92"/>
      <c r="DY310" s="92"/>
      <c r="DZ310" s="92"/>
      <c r="EA310" s="92"/>
      <c r="EB310" s="92"/>
      <c r="EC310" s="92"/>
      <c r="ED310" s="92"/>
      <c r="EE310" s="92"/>
      <c r="EF310" s="92"/>
      <c r="EG310" s="92"/>
      <c r="EH310" s="92"/>
      <c r="EI310" s="92"/>
      <c r="EJ310" s="92"/>
      <c r="EK310" s="92"/>
      <c r="EL310" s="92"/>
      <c r="EM310" s="92"/>
      <c r="EN310" s="92"/>
      <c r="EO310" s="92"/>
      <c r="EP310" s="92"/>
      <c r="EQ310" s="92"/>
      <c r="ER310" s="92"/>
      <c r="ES310" s="92"/>
      <c r="ET310" s="92"/>
      <c r="EU310" s="92"/>
      <c r="EV310" s="92"/>
      <c r="EW310" s="92"/>
      <c r="EX310" s="92"/>
      <c r="EY310" s="92"/>
      <c r="EZ310" s="92"/>
      <c r="FA310" s="92"/>
      <c r="FB310" s="92"/>
      <c r="FC310" s="92"/>
      <c r="FD310" s="92"/>
      <c r="FE310" s="92"/>
      <c r="FF310" s="92"/>
      <c r="FG310" s="92"/>
      <c r="FH310" s="92"/>
    </row>
    <row r="311">
      <c r="A311" s="32" t="s">
        <v>54</v>
      </c>
      <c r="B311" s="32" t="s">
        <v>60</v>
      </c>
      <c r="C311" s="32" t="s">
        <v>12</v>
      </c>
      <c r="D311" s="97">
        <f t="shared" si="1"/>
        <v>4638.693474</v>
      </c>
      <c r="E311" s="92">
        <f>(SUBSTITUTE(Audio!E311, "RE-", "", 1))*1</f>
        <v>0</v>
      </c>
      <c r="F311" s="92">
        <f>(SUBSTITUTE(Audio!F311, "RE-", "", 1))*1</f>
        <v>197.2783823</v>
      </c>
      <c r="G311" s="92">
        <f>(SUBSTITUTE(Audio!G311, "RE-", "", 1))*1</f>
        <v>0.34634375</v>
      </c>
      <c r="H311" s="92">
        <f>(SUBSTITUTE(Audio!H311, "RE-", "", 1))*1</f>
        <v>29.70834792</v>
      </c>
      <c r="I311" s="92">
        <f>(SUBSTITUTE(Audio!I311, "RE-", "", 1))*1</f>
        <v>0</v>
      </c>
      <c r="J311" s="92">
        <f>(SUBSTITUTE(Audio!J311, "RE-", "", 1))*1</f>
        <v>363.7406427</v>
      </c>
      <c r="K311" s="92">
        <f>(SUBSTITUTE(Audio!K311, "RE-", "", 1))*1</f>
        <v>0.9737145833</v>
      </c>
      <c r="L311" s="92">
        <f>(SUBSTITUTE(Audio!L311, "RE-", "", 1))*1</f>
        <v>1680.705685</v>
      </c>
      <c r="M311" s="92">
        <f>(SUBSTITUTE(Audio!M311, "RE-", "", 1))*1</f>
        <v>15.44906875</v>
      </c>
      <c r="N311" s="92">
        <f>(SUBSTITUTE(Audio!N311, "RE-", "", 1))*1</f>
        <v>1600.847793</v>
      </c>
      <c r="O311" s="92">
        <f>(SUBSTITUTE(Audio!O311, "RE-", "", 1))*1</f>
        <v>16.35282708</v>
      </c>
      <c r="P311" s="92">
        <f>(SUBSTITUTE(Audio!P311, "RE-", "", 1))*1</f>
        <v>240.256174</v>
      </c>
      <c r="Q311" s="92">
        <f>(SUBSTITUTE(Audio!Q311, "RE-", "", 1))*1</f>
        <v>45.67299271</v>
      </c>
      <c r="R311" s="92">
        <f>(SUBSTITUTE(Audio!R311, "RE-", "", 1))*1</f>
        <v>100.8818542</v>
      </c>
      <c r="S311" s="92">
        <f>(SUBSTITUTE(Audio!S311, "RE-", "", 1))*1</f>
        <v>11.08052812</v>
      </c>
      <c r="T311" s="92">
        <f>(SUBSTITUTE(Audio!T311, "RE-", "", 1))*1</f>
        <v>321.4312385</v>
      </c>
      <c r="U311" s="92">
        <f>(SUBSTITUTE(Audio!U311, "RE-", "", 1))*1</f>
        <v>10.74188125</v>
      </c>
      <c r="V311" s="92">
        <f>(SUBSTITUTE(Audio!V311, "RE-", "", 1))*1</f>
        <v>3.226</v>
      </c>
      <c r="W311" s="92">
        <f>(SUBSTITUTE(Audio!W311, "RE-", "", 1))*1</f>
        <v>0</v>
      </c>
      <c r="X311" s="92">
        <f>(SUBSTITUTE(Audio!X311, "RE-", "", 1))*1</f>
        <v>0</v>
      </c>
      <c r="Y311" s="92">
        <f>(SUBSTITUTE(Audio!Y311, "RE-", "", 1))*1</f>
        <v>0</v>
      </c>
      <c r="Z311" s="92">
        <f>(SUBSTITUTE(Audio!Z311, "RE-", "", 1))*1</f>
        <v>0</v>
      </c>
      <c r="AA311" s="92"/>
      <c r="AB311" s="92"/>
      <c r="AC311" s="92"/>
      <c r="AD311" s="92"/>
      <c r="AE311" s="92"/>
      <c r="AF311" s="92"/>
      <c r="AG311" s="92"/>
      <c r="AH311" s="92"/>
      <c r="AI311" s="92"/>
      <c r="AJ311" s="92"/>
      <c r="AK311" s="92"/>
      <c r="AL311" s="92"/>
      <c r="AM311" s="92"/>
      <c r="AN311" s="92"/>
      <c r="AO311" s="92"/>
      <c r="AP311" s="92"/>
      <c r="AQ311" s="92"/>
      <c r="AR311" s="92"/>
      <c r="AS311" s="92"/>
      <c r="AT311" s="92"/>
      <c r="AU311" s="92"/>
      <c r="AV311" s="92"/>
      <c r="AW311" s="92"/>
      <c r="AX311" s="92"/>
      <c r="AY311" s="92"/>
      <c r="AZ311" s="92"/>
      <c r="BA311" s="92"/>
      <c r="BB311" s="92"/>
      <c r="BC311" s="92"/>
      <c r="BD311" s="92"/>
      <c r="BE311" s="92"/>
      <c r="BF311" s="92"/>
      <c r="BG311" s="92"/>
      <c r="BH311" s="92"/>
      <c r="BI311" s="92"/>
      <c r="BJ311" s="92"/>
      <c r="BK311" s="92"/>
      <c r="BL311" s="92"/>
      <c r="BM311" s="92"/>
      <c r="BN311" s="92"/>
      <c r="BO311" s="92"/>
      <c r="BP311" s="92"/>
      <c r="BQ311" s="92"/>
      <c r="BR311" s="92"/>
      <c r="BS311" s="92"/>
      <c r="BT311" s="92"/>
      <c r="BU311" s="92"/>
      <c r="BV311" s="92"/>
      <c r="BW311" s="92"/>
      <c r="BX311" s="92"/>
      <c r="BY311" s="92"/>
      <c r="BZ311" s="92"/>
      <c r="CA311" s="92"/>
      <c r="CB311" s="92"/>
      <c r="CC311" s="92"/>
      <c r="CD311" s="92"/>
      <c r="CE311" s="92"/>
      <c r="CF311" s="92"/>
      <c r="CG311" s="92"/>
      <c r="CH311" s="92"/>
      <c r="CI311" s="92"/>
      <c r="CJ311" s="92"/>
      <c r="CK311" s="92"/>
      <c r="CL311" s="92"/>
      <c r="CM311" s="92"/>
      <c r="CN311" s="92"/>
      <c r="CO311" s="92"/>
      <c r="CP311" s="92"/>
      <c r="CQ311" s="92"/>
      <c r="CR311" s="92"/>
      <c r="CS311" s="92"/>
      <c r="CT311" s="92"/>
      <c r="CU311" s="92"/>
      <c r="CV311" s="92"/>
      <c r="CW311" s="92"/>
      <c r="CX311" s="92"/>
      <c r="CY311" s="92"/>
      <c r="CZ311" s="92"/>
      <c r="DA311" s="92"/>
      <c r="DB311" s="92"/>
      <c r="DC311" s="92"/>
      <c r="DD311" s="92"/>
      <c r="DE311" s="92"/>
      <c r="DF311" s="92"/>
      <c r="DG311" s="92"/>
      <c r="DH311" s="92"/>
      <c r="DI311" s="92"/>
      <c r="DJ311" s="92"/>
      <c r="DK311" s="92"/>
      <c r="DL311" s="92"/>
      <c r="DM311" s="92"/>
      <c r="DN311" s="92"/>
      <c r="DO311" s="92"/>
      <c r="DP311" s="92"/>
      <c r="DQ311" s="92"/>
      <c r="DR311" s="92"/>
      <c r="DS311" s="92"/>
      <c r="DT311" s="92"/>
      <c r="DU311" s="92"/>
      <c r="DV311" s="92"/>
      <c r="DW311" s="92"/>
      <c r="DX311" s="92"/>
      <c r="DY311" s="92"/>
      <c r="DZ311" s="92"/>
      <c r="EA311" s="92"/>
      <c r="EB311" s="92"/>
      <c r="EC311" s="92"/>
      <c r="ED311" s="92"/>
      <c r="EE311" s="92"/>
      <c r="EF311" s="92"/>
      <c r="EG311" s="92"/>
      <c r="EH311" s="92"/>
      <c r="EI311" s="92"/>
      <c r="EJ311" s="92"/>
      <c r="EK311" s="92"/>
      <c r="EL311" s="92"/>
      <c r="EM311" s="92"/>
      <c r="EN311" s="92"/>
      <c r="EO311" s="92"/>
      <c r="EP311" s="92"/>
      <c r="EQ311" s="92"/>
      <c r="ER311" s="92"/>
      <c r="ES311" s="92"/>
      <c r="ET311" s="92"/>
      <c r="EU311" s="92"/>
      <c r="EV311" s="92"/>
      <c r="EW311" s="92"/>
      <c r="EX311" s="92"/>
      <c r="EY311" s="92"/>
      <c r="EZ311" s="92"/>
      <c r="FA311" s="92"/>
      <c r="FB311" s="92"/>
      <c r="FC311" s="92"/>
      <c r="FD311" s="92"/>
      <c r="FE311" s="92"/>
      <c r="FF311" s="92"/>
      <c r="FG311" s="92"/>
      <c r="FH311" s="92"/>
    </row>
    <row r="312">
      <c r="A312" s="32" t="s">
        <v>54</v>
      </c>
      <c r="B312" s="32" t="s">
        <v>60</v>
      </c>
      <c r="C312" s="32" t="s">
        <v>13</v>
      </c>
      <c r="D312" s="97">
        <f t="shared" si="1"/>
        <v>4452.97118</v>
      </c>
      <c r="E312" s="92">
        <f>(SUBSTITUTE(Audio!E312, "RE-", "", 1))*1</f>
        <v>0</v>
      </c>
      <c r="F312" s="92">
        <f>(SUBSTITUTE(Audio!F312, "RE-", "", 1))*1</f>
        <v>192.383</v>
      </c>
      <c r="G312" s="92">
        <f>(SUBSTITUTE(Audio!G312, "RE-", "", 1))*1</f>
        <v>0.2922</v>
      </c>
      <c r="H312" s="92">
        <f>(SUBSTITUTE(Audio!H312, "RE-", "", 1))*1</f>
        <v>29.1821</v>
      </c>
      <c r="I312" s="92">
        <f>(SUBSTITUTE(Audio!I312, "RE-", "", 1))*1</f>
        <v>0</v>
      </c>
      <c r="J312" s="92">
        <f>(SUBSTITUTE(Audio!J312, "RE-", "", 1))*1</f>
        <v>352.607</v>
      </c>
      <c r="K312" s="92">
        <f>(SUBSTITUTE(Audio!K312, "RE-", "", 1))*1</f>
        <v>0.9697</v>
      </c>
      <c r="L312" s="92">
        <f>(SUBSTITUTE(Audio!L312, "RE-", "", 1))*1</f>
        <v>1609.46</v>
      </c>
      <c r="M312" s="92">
        <f>(SUBSTITUTE(Audio!M312, "RE-", "", 1))*1</f>
        <v>14.3477</v>
      </c>
      <c r="N312" s="92">
        <f>(SUBSTITUTE(Audio!N312, "RE-", "", 1))*1</f>
        <v>1533.56</v>
      </c>
      <c r="O312" s="92">
        <f>(SUBSTITUTE(Audio!O312, "RE-", "", 1))*1</f>
        <v>15.3235</v>
      </c>
      <c r="P312" s="92">
        <f>(SUBSTITUTE(Audio!P312, "RE-", "", 1))*1</f>
        <v>227.627</v>
      </c>
      <c r="Q312" s="92">
        <f>(SUBSTITUTE(Audio!Q312, "RE-", "", 1))*1</f>
        <v>44.3949</v>
      </c>
      <c r="R312" s="92">
        <f>(SUBSTITUTE(Audio!R312, "RE-", "", 1))*1</f>
        <v>97.3953</v>
      </c>
      <c r="S312" s="92">
        <f>(SUBSTITUTE(Audio!S312, "RE-", "", 1))*1</f>
        <v>10.6879</v>
      </c>
      <c r="T312" s="92">
        <f>(SUBSTITUTE(Audio!T312, "RE-", "", 1))*1</f>
        <v>311.383</v>
      </c>
      <c r="U312" s="92">
        <f>(SUBSTITUTE(Audio!U312, "RE-", "", 1))*1</f>
        <v>10.2358</v>
      </c>
      <c r="V312" s="92">
        <f>(SUBSTITUTE(Audio!V312, "RE-", "", 1))*1</f>
        <v>3.12208</v>
      </c>
      <c r="W312" s="92">
        <f>(SUBSTITUTE(Audio!W312, "RE-", "", 1))*1</f>
        <v>0</v>
      </c>
      <c r="X312" s="92">
        <f>(SUBSTITUTE(Audio!X312, "RE-", "", 1))*1</f>
        <v>0</v>
      </c>
      <c r="Y312" s="92">
        <f>(SUBSTITUTE(Audio!Y312, "RE-", "", 1))*1</f>
        <v>0</v>
      </c>
      <c r="Z312" s="92">
        <f>(SUBSTITUTE(Audio!Z312, "RE-", "", 1))*1</f>
        <v>0</v>
      </c>
      <c r="AA312" s="92"/>
      <c r="AB312" s="92"/>
      <c r="AC312" s="92"/>
      <c r="AD312" s="92"/>
      <c r="AE312" s="92"/>
      <c r="AF312" s="92"/>
      <c r="AG312" s="92"/>
      <c r="AH312" s="92"/>
      <c r="AI312" s="92"/>
      <c r="AJ312" s="92"/>
      <c r="AK312" s="92"/>
      <c r="AL312" s="92"/>
      <c r="AM312" s="92"/>
      <c r="AN312" s="92"/>
      <c r="AO312" s="92"/>
      <c r="AP312" s="92"/>
      <c r="AQ312" s="92"/>
      <c r="AR312" s="92"/>
      <c r="AS312" s="92"/>
      <c r="AT312" s="92"/>
      <c r="AU312" s="92"/>
      <c r="AV312" s="92"/>
      <c r="AW312" s="92"/>
      <c r="AX312" s="92"/>
      <c r="AY312" s="92"/>
      <c r="AZ312" s="92"/>
      <c r="BA312" s="92"/>
      <c r="BB312" s="92"/>
      <c r="BC312" s="92"/>
      <c r="BD312" s="92"/>
      <c r="BE312" s="92"/>
      <c r="BF312" s="92"/>
      <c r="BG312" s="92"/>
      <c r="BH312" s="92"/>
      <c r="BI312" s="92"/>
      <c r="BJ312" s="92"/>
      <c r="BK312" s="92"/>
      <c r="BL312" s="92"/>
      <c r="BM312" s="92"/>
      <c r="BN312" s="92"/>
      <c r="BO312" s="92"/>
      <c r="BP312" s="92"/>
      <c r="BQ312" s="92"/>
      <c r="BR312" s="92"/>
      <c r="BS312" s="92"/>
      <c r="BT312" s="92"/>
      <c r="BU312" s="92"/>
      <c r="BV312" s="92"/>
      <c r="BW312" s="92"/>
      <c r="BX312" s="92"/>
      <c r="BY312" s="92"/>
      <c r="BZ312" s="92"/>
      <c r="CA312" s="92"/>
      <c r="CB312" s="92"/>
      <c r="CC312" s="92"/>
      <c r="CD312" s="92"/>
      <c r="CE312" s="92"/>
      <c r="CF312" s="92"/>
      <c r="CG312" s="92"/>
      <c r="CH312" s="92"/>
      <c r="CI312" s="92"/>
      <c r="CJ312" s="92"/>
      <c r="CK312" s="92"/>
      <c r="CL312" s="92"/>
      <c r="CM312" s="92"/>
      <c r="CN312" s="92"/>
      <c r="CO312" s="92"/>
      <c r="CP312" s="92"/>
      <c r="CQ312" s="92"/>
      <c r="CR312" s="92"/>
      <c r="CS312" s="92"/>
      <c r="CT312" s="92"/>
      <c r="CU312" s="92"/>
      <c r="CV312" s="92"/>
      <c r="CW312" s="92"/>
      <c r="CX312" s="92"/>
      <c r="CY312" s="92"/>
      <c r="CZ312" s="92"/>
      <c r="DA312" s="92"/>
      <c r="DB312" s="92"/>
      <c r="DC312" s="92"/>
      <c r="DD312" s="92"/>
      <c r="DE312" s="92"/>
      <c r="DF312" s="92"/>
      <c r="DG312" s="92"/>
      <c r="DH312" s="92"/>
      <c r="DI312" s="92"/>
      <c r="DJ312" s="92"/>
      <c r="DK312" s="92"/>
      <c r="DL312" s="92"/>
      <c r="DM312" s="92"/>
      <c r="DN312" s="92"/>
      <c r="DO312" s="92"/>
      <c r="DP312" s="92"/>
      <c r="DQ312" s="92"/>
      <c r="DR312" s="92"/>
      <c r="DS312" s="92"/>
      <c r="DT312" s="92"/>
      <c r="DU312" s="92"/>
      <c r="DV312" s="92"/>
      <c r="DW312" s="92"/>
      <c r="DX312" s="92"/>
      <c r="DY312" s="92"/>
      <c r="DZ312" s="92"/>
      <c r="EA312" s="92"/>
      <c r="EB312" s="92"/>
      <c r="EC312" s="92"/>
      <c r="ED312" s="92"/>
      <c r="EE312" s="92"/>
      <c r="EF312" s="92"/>
      <c r="EG312" s="92"/>
      <c r="EH312" s="92"/>
      <c r="EI312" s="92"/>
      <c r="EJ312" s="92"/>
      <c r="EK312" s="92"/>
      <c r="EL312" s="92"/>
      <c r="EM312" s="92"/>
      <c r="EN312" s="92"/>
      <c r="EO312" s="92"/>
      <c r="EP312" s="92"/>
      <c r="EQ312" s="92"/>
      <c r="ER312" s="92"/>
      <c r="ES312" s="92"/>
      <c r="ET312" s="92"/>
      <c r="EU312" s="92"/>
      <c r="EV312" s="92"/>
      <c r="EW312" s="92"/>
      <c r="EX312" s="92"/>
      <c r="EY312" s="92"/>
      <c r="EZ312" s="92"/>
      <c r="FA312" s="92"/>
      <c r="FB312" s="92"/>
      <c r="FC312" s="92"/>
      <c r="FD312" s="92"/>
      <c r="FE312" s="92"/>
      <c r="FF312" s="92"/>
      <c r="FG312" s="92"/>
      <c r="FH312" s="92"/>
    </row>
    <row r="313">
      <c r="A313" s="32" t="s">
        <v>54</v>
      </c>
      <c r="B313" s="32" t="s">
        <v>60</v>
      </c>
      <c r="C313" s="32" t="s">
        <v>14</v>
      </c>
      <c r="D313" s="97">
        <f t="shared" si="1"/>
        <v>3937.92079</v>
      </c>
      <c r="E313" s="92">
        <f>(SUBSTITUTE(Audio!E313, "RE-", "", 1))*1</f>
        <v>0</v>
      </c>
      <c r="F313" s="92">
        <f>(SUBSTITUTE(Audio!F313, "RE-", "", 1))*1</f>
        <v>173.724</v>
      </c>
      <c r="G313" s="92">
        <f>(SUBSTITUTE(Audio!G313, "RE-", "", 1))*1</f>
        <v>0.2922</v>
      </c>
      <c r="H313" s="92">
        <f>(SUBSTITUTE(Audio!H313, "RE-", "", 1))*1</f>
        <v>23.946</v>
      </c>
      <c r="I313" s="92">
        <f>(SUBSTITUTE(Audio!I313, "RE-", "", 1))*1</f>
        <v>0</v>
      </c>
      <c r="J313" s="92">
        <f>(SUBSTITUTE(Audio!J313, "RE-", "", 1))*1</f>
        <v>315.992</v>
      </c>
      <c r="K313" s="92">
        <f>(SUBSTITUTE(Audio!K313, "RE-", "", 1))*1</f>
        <v>0.9697</v>
      </c>
      <c r="L313" s="92">
        <f>(SUBSTITUTE(Audio!L313, "RE-", "", 1))*1</f>
        <v>1433.46</v>
      </c>
      <c r="M313" s="92">
        <f>(SUBSTITUTE(Audio!M313, "RE-", "", 1))*1</f>
        <v>12.4993</v>
      </c>
      <c r="N313" s="92">
        <f>(SUBSTITUTE(Audio!N313, "RE-", "", 1))*1</f>
        <v>1361.76</v>
      </c>
      <c r="O313" s="92">
        <f>(SUBSTITUTE(Audio!O313, "RE-", "", 1))*1</f>
        <v>13.7903</v>
      </c>
      <c r="P313" s="92">
        <f>(SUBSTITUTE(Audio!P313, "RE-", "", 1))*1</f>
        <v>193.178</v>
      </c>
      <c r="Q313" s="92">
        <f>(SUBSTITUTE(Audio!Q313, "RE-", "", 1))*1</f>
        <v>39.9743</v>
      </c>
      <c r="R313" s="92">
        <f>(SUBSTITUTE(Audio!R313, "RE-", "", 1))*1</f>
        <v>82.8845</v>
      </c>
      <c r="S313" s="92">
        <f>(SUBSTITUTE(Audio!S313, "RE-", "", 1))*1</f>
        <v>9.61273</v>
      </c>
      <c r="T313" s="92">
        <f>(SUBSTITUTE(Audio!T313, "RE-", "", 1))*1</f>
        <v>263.291</v>
      </c>
      <c r="U313" s="92">
        <f>(SUBSTITUTE(Audio!U313, "RE-", "", 1))*1</f>
        <v>9.42468</v>
      </c>
      <c r="V313" s="92">
        <f>(SUBSTITUTE(Audio!V313, "RE-", "", 1))*1</f>
        <v>3.12208</v>
      </c>
      <c r="W313" s="92">
        <f>(SUBSTITUTE(Audio!W313, "RE-", "", 1))*1</f>
        <v>0</v>
      </c>
      <c r="X313" s="92">
        <f>(SUBSTITUTE(Audio!X313, "RE-", "", 1))*1</f>
        <v>0</v>
      </c>
      <c r="Y313" s="92">
        <f>(SUBSTITUTE(Audio!Y313, "RE-", "", 1))*1</f>
        <v>0</v>
      </c>
      <c r="Z313" s="92">
        <f>(SUBSTITUTE(Audio!Z313, "RE-", "", 1))*1</f>
        <v>0</v>
      </c>
      <c r="AA313" s="92"/>
      <c r="AB313" s="92"/>
      <c r="AC313" s="92"/>
      <c r="AD313" s="92"/>
      <c r="AE313" s="92"/>
      <c r="AF313" s="92"/>
      <c r="AG313" s="92"/>
      <c r="AH313" s="92"/>
      <c r="AI313" s="92"/>
      <c r="AJ313" s="92"/>
      <c r="AK313" s="92"/>
      <c r="AL313" s="92"/>
      <c r="AM313" s="92"/>
      <c r="AN313" s="92"/>
      <c r="AO313" s="92"/>
      <c r="AP313" s="92"/>
      <c r="AQ313" s="92"/>
      <c r="AR313" s="92"/>
      <c r="AS313" s="92"/>
      <c r="AT313" s="92"/>
      <c r="AU313" s="92"/>
      <c r="AV313" s="92"/>
      <c r="AW313" s="92"/>
      <c r="AX313" s="92"/>
      <c r="AY313" s="92"/>
      <c r="AZ313" s="92"/>
      <c r="BA313" s="92"/>
      <c r="BB313" s="92"/>
      <c r="BC313" s="92"/>
      <c r="BD313" s="92"/>
      <c r="BE313" s="92"/>
      <c r="BF313" s="92"/>
      <c r="BG313" s="92"/>
      <c r="BH313" s="92"/>
      <c r="BI313" s="92"/>
      <c r="BJ313" s="92"/>
      <c r="BK313" s="92"/>
      <c r="BL313" s="92"/>
      <c r="BM313" s="92"/>
      <c r="BN313" s="92"/>
      <c r="BO313" s="92"/>
      <c r="BP313" s="92"/>
      <c r="BQ313" s="92"/>
      <c r="BR313" s="92"/>
      <c r="BS313" s="92"/>
      <c r="BT313" s="92"/>
      <c r="BU313" s="92"/>
      <c r="BV313" s="92"/>
      <c r="BW313" s="92"/>
      <c r="BX313" s="92"/>
      <c r="BY313" s="92"/>
      <c r="BZ313" s="92"/>
      <c r="CA313" s="92"/>
      <c r="CB313" s="92"/>
      <c r="CC313" s="92"/>
      <c r="CD313" s="92"/>
      <c r="CE313" s="92"/>
      <c r="CF313" s="92"/>
      <c r="CG313" s="92"/>
      <c r="CH313" s="92"/>
      <c r="CI313" s="92"/>
      <c r="CJ313" s="92"/>
      <c r="CK313" s="92"/>
      <c r="CL313" s="92"/>
      <c r="CM313" s="92"/>
      <c r="CN313" s="92"/>
      <c r="CO313" s="92"/>
      <c r="CP313" s="92"/>
      <c r="CQ313" s="92"/>
      <c r="CR313" s="92"/>
      <c r="CS313" s="92"/>
      <c r="CT313" s="92"/>
      <c r="CU313" s="92"/>
      <c r="CV313" s="92"/>
      <c r="CW313" s="92"/>
      <c r="CX313" s="92"/>
      <c r="CY313" s="92"/>
      <c r="CZ313" s="92"/>
      <c r="DA313" s="92"/>
      <c r="DB313" s="92"/>
      <c r="DC313" s="92"/>
      <c r="DD313" s="92"/>
      <c r="DE313" s="92"/>
      <c r="DF313" s="92"/>
      <c r="DG313" s="92"/>
      <c r="DH313" s="92"/>
      <c r="DI313" s="92"/>
      <c r="DJ313" s="92"/>
      <c r="DK313" s="92"/>
      <c r="DL313" s="92"/>
      <c r="DM313" s="92"/>
      <c r="DN313" s="92"/>
      <c r="DO313" s="92"/>
      <c r="DP313" s="92"/>
      <c r="DQ313" s="92"/>
      <c r="DR313" s="92"/>
      <c r="DS313" s="92"/>
      <c r="DT313" s="92"/>
      <c r="DU313" s="92"/>
      <c r="DV313" s="92"/>
      <c r="DW313" s="92"/>
      <c r="DX313" s="92"/>
      <c r="DY313" s="92"/>
      <c r="DZ313" s="92"/>
      <c r="EA313" s="92"/>
      <c r="EB313" s="92"/>
      <c r="EC313" s="92"/>
      <c r="ED313" s="92"/>
      <c r="EE313" s="92"/>
      <c r="EF313" s="92"/>
      <c r="EG313" s="92"/>
      <c r="EH313" s="92"/>
      <c r="EI313" s="92"/>
      <c r="EJ313" s="92"/>
      <c r="EK313" s="92"/>
      <c r="EL313" s="92"/>
      <c r="EM313" s="92"/>
      <c r="EN313" s="92"/>
      <c r="EO313" s="92"/>
      <c r="EP313" s="92"/>
      <c r="EQ313" s="92"/>
      <c r="ER313" s="92"/>
      <c r="ES313" s="92"/>
      <c r="ET313" s="92"/>
      <c r="EU313" s="92"/>
      <c r="EV313" s="92"/>
      <c r="EW313" s="92"/>
      <c r="EX313" s="92"/>
      <c r="EY313" s="92"/>
      <c r="EZ313" s="92"/>
      <c r="FA313" s="92"/>
      <c r="FB313" s="92"/>
      <c r="FC313" s="92"/>
      <c r="FD313" s="92"/>
      <c r="FE313" s="92"/>
      <c r="FF313" s="92"/>
      <c r="FG313" s="92"/>
      <c r="FH313" s="92"/>
    </row>
    <row r="314">
      <c r="A314" s="27" t="s">
        <v>54</v>
      </c>
      <c r="B314" s="27" t="s">
        <v>60</v>
      </c>
      <c r="C314" s="27" t="s">
        <v>15</v>
      </c>
      <c r="D314" s="98">
        <f t="shared" si="1"/>
        <v>4451.37418</v>
      </c>
      <c r="E314" s="92">
        <f>(SUBSTITUTE(Audio!E314, "RE-", "", 1))*1</f>
        <v>0</v>
      </c>
      <c r="F314" s="92">
        <f>(SUBSTITUTE(Audio!F314, "RE-", "", 1))*1</f>
        <v>192.291</v>
      </c>
      <c r="G314" s="92">
        <f>(SUBSTITUTE(Audio!G314, "RE-", "", 1))*1</f>
        <v>0.2922</v>
      </c>
      <c r="H314" s="92">
        <f>(SUBSTITUTE(Audio!H314, "RE-", "", 1))*1</f>
        <v>29.1821</v>
      </c>
      <c r="I314" s="92">
        <f>(SUBSTITUTE(Audio!I314, "RE-", "", 1))*1</f>
        <v>0</v>
      </c>
      <c r="J314" s="92">
        <f>(SUBSTITUTE(Audio!J314, "RE-", "", 1))*1</f>
        <v>352.607</v>
      </c>
      <c r="K314" s="92">
        <f>(SUBSTITUTE(Audio!K314, "RE-", "", 1))*1</f>
        <v>0.9697</v>
      </c>
      <c r="L314" s="92">
        <f>(SUBSTITUTE(Audio!L314, "RE-", "", 1))*1</f>
        <v>1609.46</v>
      </c>
      <c r="M314" s="92">
        <f>(SUBSTITUTE(Audio!M314, "RE-", "", 1))*1</f>
        <v>14.3477</v>
      </c>
      <c r="N314" s="92">
        <f>(SUBSTITUTE(Audio!N314, "RE-", "", 1))*1</f>
        <v>1533.4</v>
      </c>
      <c r="O314" s="92">
        <f>(SUBSTITUTE(Audio!O314, "RE-", "", 1))*1</f>
        <v>15.3235</v>
      </c>
      <c r="P314" s="92">
        <f>(SUBSTITUTE(Audio!P314, "RE-", "", 1))*1</f>
        <v>226.282</v>
      </c>
      <c r="Q314" s="92">
        <f>(SUBSTITUTE(Audio!Q314, "RE-", "", 1))*1</f>
        <v>44.3949</v>
      </c>
      <c r="R314" s="92">
        <f>(SUBSTITUTE(Audio!R314, "RE-", "", 1))*1</f>
        <v>97.3953</v>
      </c>
      <c r="S314" s="92">
        <f>(SUBSTITUTE(Audio!S314, "RE-", "", 1))*1</f>
        <v>10.6879</v>
      </c>
      <c r="T314" s="92">
        <f>(SUBSTITUTE(Audio!T314, "RE-", "", 1))*1</f>
        <v>311.383</v>
      </c>
      <c r="U314" s="92">
        <f>(SUBSTITUTE(Audio!U314, "RE-", "", 1))*1</f>
        <v>10.2358</v>
      </c>
      <c r="V314" s="92">
        <f>(SUBSTITUTE(Audio!V314, "RE-", "", 1))*1</f>
        <v>3.12208</v>
      </c>
      <c r="W314" s="92">
        <f>(SUBSTITUTE(Audio!W314, "RE-", "", 1))*1</f>
        <v>0</v>
      </c>
      <c r="X314" s="92">
        <f>(SUBSTITUTE(Audio!X314, "RE-", "", 1))*1</f>
        <v>0</v>
      </c>
      <c r="Y314" s="92">
        <f>(SUBSTITUTE(Audio!Y314, "RE-", "", 1))*1</f>
        <v>0</v>
      </c>
      <c r="Z314" s="92">
        <f>(SUBSTITUTE(Audio!Z314, "RE-", "", 1))*1</f>
        <v>0</v>
      </c>
      <c r="AA314" s="92"/>
      <c r="AB314" s="92"/>
      <c r="AC314" s="92"/>
      <c r="AD314" s="92"/>
      <c r="AE314" s="92"/>
      <c r="AF314" s="92"/>
      <c r="AG314" s="92"/>
      <c r="AH314" s="92"/>
      <c r="AI314" s="92"/>
      <c r="AJ314" s="92"/>
      <c r="AK314" s="92"/>
      <c r="AL314" s="92"/>
      <c r="AM314" s="92"/>
      <c r="AN314" s="92"/>
      <c r="AO314" s="92"/>
      <c r="AP314" s="92"/>
      <c r="AQ314" s="92"/>
      <c r="AR314" s="92"/>
      <c r="AS314" s="92"/>
      <c r="AT314" s="92"/>
      <c r="AU314" s="92"/>
      <c r="AV314" s="92"/>
      <c r="AW314" s="92"/>
      <c r="AX314" s="92"/>
      <c r="AY314" s="92"/>
      <c r="AZ314" s="92"/>
      <c r="BA314" s="92"/>
      <c r="BB314" s="92"/>
      <c r="BC314" s="92"/>
      <c r="BD314" s="92"/>
      <c r="BE314" s="92"/>
      <c r="BF314" s="92"/>
      <c r="BG314" s="92"/>
      <c r="BH314" s="92"/>
      <c r="BI314" s="92"/>
      <c r="BJ314" s="92"/>
      <c r="BK314" s="92"/>
      <c r="BL314" s="92"/>
      <c r="BM314" s="92"/>
      <c r="BN314" s="92"/>
      <c r="BO314" s="92"/>
      <c r="BP314" s="92"/>
      <c r="BQ314" s="92"/>
      <c r="BR314" s="92"/>
      <c r="BS314" s="92"/>
      <c r="BT314" s="92"/>
      <c r="BU314" s="92"/>
      <c r="BV314" s="92"/>
      <c r="BW314" s="92"/>
      <c r="BX314" s="92"/>
      <c r="BY314" s="92"/>
      <c r="BZ314" s="92"/>
      <c r="CA314" s="92"/>
      <c r="CB314" s="92"/>
      <c r="CC314" s="92"/>
      <c r="CD314" s="92"/>
      <c r="CE314" s="92"/>
      <c r="CF314" s="92"/>
      <c r="CG314" s="92"/>
      <c r="CH314" s="92"/>
      <c r="CI314" s="92"/>
      <c r="CJ314" s="92"/>
      <c r="CK314" s="92"/>
      <c r="CL314" s="92"/>
      <c r="CM314" s="92"/>
      <c r="CN314" s="92"/>
      <c r="CO314" s="92"/>
      <c r="CP314" s="92"/>
      <c r="CQ314" s="92"/>
      <c r="CR314" s="92"/>
      <c r="CS314" s="92"/>
      <c r="CT314" s="92"/>
      <c r="CU314" s="92"/>
      <c r="CV314" s="92"/>
      <c r="CW314" s="92"/>
      <c r="CX314" s="92"/>
      <c r="CY314" s="92"/>
      <c r="CZ314" s="92"/>
      <c r="DA314" s="92"/>
      <c r="DB314" s="92"/>
      <c r="DC314" s="92"/>
      <c r="DD314" s="92"/>
      <c r="DE314" s="92"/>
      <c r="DF314" s="92"/>
      <c r="DG314" s="92"/>
      <c r="DH314" s="92"/>
      <c r="DI314" s="92"/>
      <c r="DJ314" s="92"/>
      <c r="DK314" s="92"/>
      <c r="DL314" s="92"/>
      <c r="DM314" s="92"/>
      <c r="DN314" s="92"/>
      <c r="DO314" s="92"/>
      <c r="DP314" s="92"/>
      <c r="DQ314" s="92"/>
      <c r="DR314" s="92"/>
      <c r="DS314" s="92"/>
      <c r="DT314" s="92"/>
      <c r="DU314" s="92"/>
      <c r="DV314" s="92"/>
      <c r="DW314" s="92"/>
      <c r="DX314" s="92"/>
      <c r="DY314" s="92"/>
      <c r="DZ314" s="92"/>
      <c r="EA314" s="92"/>
      <c r="EB314" s="92"/>
      <c r="EC314" s="92"/>
      <c r="ED314" s="92"/>
      <c r="EE314" s="92"/>
      <c r="EF314" s="92"/>
      <c r="EG314" s="92"/>
      <c r="EH314" s="92"/>
      <c r="EI314" s="92"/>
      <c r="EJ314" s="92"/>
      <c r="EK314" s="92"/>
      <c r="EL314" s="92"/>
      <c r="EM314" s="92"/>
      <c r="EN314" s="92"/>
      <c r="EO314" s="92"/>
      <c r="EP314" s="92"/>
      <c r="EQ314" s="92"/>
      <c r="ER314" s="92"/>
      <c r="ES314" s="92"/>
      <c r="ET314" s="92"/>
      <c r="EU314" s="92"/>
      <c r="EV314" s="92"/>
      <c r="EW314" s="92"/>
      <c r="EX314" s="92"/>
      <c r="EY314" s="92"/>
      <c r="EZ314" s="92"/>
      <c r="FA314" s="92"/>
      <c r="FB314" s="92"/>
      <c r="FC314" s="92"/>
      <c r="FD314" s="92"/>
      <c r="FE314" s="92"/>
      <c r="FF314" s="92"/>
      <c r="FG314" s="92"/>
      <c r="FH314" s="92"/>
    </row>
    <row r="315">
      <c r="A315" s="30" t="s">
        <v>38</v>
      </c>
      <c r="B315" s="30" t="s">
        <v>61</v>
      </c>
      <c r="C315" s="31" t="str">
        <f>HYPERLINK("https://docs.google.com/spreadsheets/d/1R8rK1O1oDonHCfq0v-ygqJY-66vJOb_j/edit#gid=1290202973", "Raw Delivered")</f>
        <v>Raw Delivered</v>
      </c>
      <c r="D315" s="96">
        <f t="shared" si="1"/>
        <v>5455.416133</v>
      </c>
      <c r="E315" s="92">
        <f>(SUBSTITUTE(Audio!E315, "RE-", "", 1))*1</f>
        <v>0</v>
      </c>
      <c r="F315" s="92">
        <f>(SUBSTITUTE(Audio!F315, "RE-", "", 1))*1</f>
        <v>1322.502893</v>
      </c>
      <c r="G315" s="92">
        <f>(SUBSTITUTE(Audio!G315, "RE-", "", 1))*1</f>
        <v>0</v>
      </c>
      <c r="H315" s="92">
        <f>(SUBSTITUTE(Audio!H315, "RE-", "", 1))*1</f>
        <v>184.6171812</v>
      </c>
      <c r="I315" s="92">
        <f>(SUBSTITUTE(Audio!I315, "RE-", "", 1))*1</f>
        <v>0</v>
      </c>
      <c r="J315" s="92">
        <f>(SUBSTITUTE(Audio!J315, "RE-", "", 1))*1</f>
        <v>1263.389419</v>
      </c>
      <c r="K315" s="92">
        <f>(SUBSTITUTE(Audio!K315, "RE-", "", 1))*1</f>
        <v>0</v>
      </c>
      <c r="L315" s="92">
        <f>(SUBSTITUTE(Audio!L315, "RE-", "", 1))*1</f>
        <v>1079.596961</v>
      </c>
      <c r="M315" s="92">
        <f>(SUBSTITUTE(Audio!M315, "RE-", "", 1))*1</f>
        <v>0</v>
      </c>
      <c r="N315" s="92">
        <f>(SUBSTITUTE(Audio!N315, "RE-", "", 1))*1</f>
        <v>867.5966708</v>
      </c>
      <c r="O315" s="92">
        <f>(SUBSTITUTE(Audio!O315, "RE-", "", 1))*1</f>
        <v>0</v>
      </c>
      <c r="P315" s="92">
        <f>(SUBSTITUTE(Audio!P315, "RE-", "", 1))*1</f>
        <v>391.4282312</v>
      </c>
      <c r="Q315" s="92">
        <f>(SUBSTITUTE(Audio!Q315, "RE-", "", 1))*1</f>
        <v>0</v>
      </c>
      <c r="R315" s="92">
        <f>(SUBSTITUTE(Audio!R315, "RE-", "", 1))*1</f>
        <v>68.08955</v>
      </c>
      <c r="S315" s="92">
        <f>(SUBSTITUTE(Audio!S315, "RE-", "", 1))*1</f>
        <v>0</v>
      </c>
      <c r="T315" s="92">
        <f>(SUBSTITUTE(Audio!T315, "RE-", "", 1))*1</f>
        <v>278.1952271</v>
      </c>
      <c r="U315" s="92">
        <f>(SUBSTITUTE(Audio!U315, "RE-", "", 1))*1</f>
        <v>0</v>
      </c>
      <c r="V315" s="92">
        <f>(SUBSTITUTE(Audio!V315, "RE-", "", 1))*1</f>
        <v>0</v>
      </c>
      <c r="W315" s="92">
        <f>(SUBSTITUTE(Audio!W315, "RE-", "", 1))*1</f>
        <v>0</v>
      </c>
      <c r="X315" s="92">
        <f>(SUBSTITUTE(Audio!X315, "RE-", "", 1))*1</f>
        <v>0</v>
      </c>
      <c r="Y315" s="92">
        <f>(SUBSTITUTE(Audio!Y315, "RE-", "", 1))*1</f>
        <v>0</v>
      </c>
      <c r="Z315" s="92">
        <f>(SUBSTITUTE(Audio!Z315, "RE-", "", 1))*1</f>
        <v>0</v>
      </c>
      <c r="AA315" s="92"/>
      <c r="AB315" s="92"/>
      <c r="AC315" s="92"/>
      <c r="AD315" s="92"/>
      <c r="AE315" s="92"/>
      <c r="AF315" s="92"/>
      <c r="AG315" s="92"/>
      <c r="AH315" s="92"/>
      <c r="AI315" s="92"/>
      <c r="AJ315" s="92"/>
      <c r="AK315" s="92"/>
      <c r="AL315" s="92"/>
      <c r="AM315" s="92"/>
      <c r="AN315" s="92"/>
      <c r="AO315" s="92"/>
      <c r="AP315" s="92"/>
      <c r="AQ315" s="92"/>
      <c r="AR315" s="92"/>
      <c r="AS315" s="92"/>
      <c r="AT315" s="92"/>
      <c r="AU315" s="92"/>
      <c r="AV315" s="92"/>
      <c r="AW315" s="92"/>
      <c r="AX315" s="92"/>
      <c r="AY315" s="92"/>
      <c r="AZ315" s="92"/>
      <c r="BA315" s="92"/>
      <c r="BB315" s="92"/>
      <c r="BC315" s="92"/>
      <c r="BD315" s="92"/>
      <c r="BE315" s="92"/>
      <c r="BF315" s="92"/>
      <c r="BG315" s="92"/>
      <c r="BH315" s="92"/>
      <c r="BI315" s="92"/>
      <c r="BJ315" s="92"/>
      <c r="BK315" s="92"/>
      <c r="BL315" s="92"/>
      <c r="BM315" s="92"/>
      <c r="BN315" s="92"/>
      <c r="BO315" s="92"/>
      <c r="BP315" s="92"/>
      <c r="BQ315" s="92"/>
      <c r="BR315" s="92"/>
      <c r="BS315" s="92"/>
      <c r="BT315" s="92"/>
      <c r="BU315" s="92"/>
      <c r="BV315" s="92"/>
      <c r="BW315" s="92"/>
      <c r="BX315" s="92"/>
      <c r="BY315" s="92"/>
      <c r="BZ315" s="92"/>
      <c r="CA315" s="92"/>
      <c r="CB315" s="92"/>
      <c r="CC315" s="92"/>
      <c r="CD315" s="92"/>
      <c r="CE315" s="92"/>
      <c r="CF315" s="92"/>
      <c r="CG315" s="92"/>
      <c r="CH315" s="92"/>
      <c r="CI315" s="92"/>
      <c r="CJ315" s="92"/>
      <c r="CK315" s="92"/>
      <c r="CL315" s="92"/>
      <c r="CM315" s="92"/>
      <c r="CN315" s="92"/>
      <c r="CO315" s="92"/>
      <c r="CP315" s="92"/>
      <c r="CQ315" s="92"/>
      <c r="CR315" s="92"/>
      <c r="CS315" s="92"/>
      <c r="CT315" s="92"/>
      <c r="CU315" s="92"/>
      <c r="CV315" s="92"/>
      <c r="CW315" s="92"/>
      <c r="CX315" s="92"/>
      <c r="CY315" s="92"/>
      <c r="CZ315" s="92"/>
      <c r="DA315" s="92"/>
      <c r="DB315" s="92"/>
      <c r="DC315" s="92"/>
      <c r="DD315" s="92"/>
      <c r="DE315" s="92"/>
      <c r="DF315" s="92"/>
      <c r="DG315" s="92"/>
      <c r="DH315" s="92"/>
      <c r="DI315" s="92"/>
      <c r="DJ315" s="92"/>
      <c r="DK315" s="92"/>
      <c r="DL315" s="92"/>
      <c r="DM315" s="92"/>
      <c r="DN315" s="92"/>
      <c r="DO315" s="92"/>
      <c r="DP315" s="92"/>
      <c r="DQ315" s="92"/>
      <c r="DR315" s="92"/>
      <c r="DS315" s="92"/>
      <c r="DT315" s="92"/>
      <c r="DU315" s="92"/>
      <c r="DV315" s="92"/>
      <c r="DW315" s="92"/>
      <c r="DX315" s="92"/>
      <c r="DY315" s="92"/>
      <c r="DZ315" s="92"/>
      <c r="EA315" s="92"/>
      <c r="EB315" s="92"/>
      <c r="EC315" s="92"/>
      <c r="ED315" s="92"/>
      <c r="EE315" s="92"/>
      <c r="EF315" s="92"/>
      <c r="EG315" s="92"/>
      <c r="EH315" s="92"/>
      <c r="EI315" s="92"/>
      <c r="EJ315" s="92"/>
      <c r="EK315" s="92"/>
      <c r="EL315" s="92"/>
      <c r="EM315" s="92"/>
      <c r="EN315" s="92"/>
      <c r="EO315" s="92"/>
      <c r="EP315" s="92"/>
      <c r="EQ315" s="92"/>
      <c r="ER315" s="92"/>
      <c r="ES315" s="92"/>
      <c r="ET315" s="92"/>
      <c r="EU315" s="92"/>
      <c r="EV315" s="92"/>
      <c r="EW315" s="92"/>
      <c r="EX315" s="92"/>
      <c r="EY315" s="92"/>
      <c r="EZ315" s="92"/>
      <c r="FA315" s="92"/>
      <c r="FB315" s="92"/>
      <c r="FC315" s="92"/>
      <c r="FD315" s="92"/>
      <c r="FE315" s="92"/>
      <c r="FF315" s="92"/>
      <c r="FG315" s="92"/>
      <c r="FH315" s="92"/>
    </row>
    <row r="316">
      <c r="A316" s="32" t="s">
        <v>38</v>
      </c>
      <c r="B316" s="32" t="s">
        <v>61</v>
      </c>
      <c r="C316" s="32" t="s">
        <v>9</v>
      </c>
      <c r="D316" s="97">
        <f t="shared" si="1"/>
        <v>5455.416133</v>
      </c>
      <c r="E316" s="92">
        <f>(SUBSTITUTE(Audio!E316, "RE-", "", 1))*1</f>
        <v>0</v>
      </c>
      <c r="F316" s="92">
        <f>(SUBSTITUTE(Audio!F316, "RE-", "", 1))*1</f>
        <v>1322.502893</v>
      </c>
      <c r="G316" s="92">
        <f>(SUBSTITUTE(Audio!G316, "RE-", "", 1))*1</f>
        <v>0</v>
      </c>
      <c r="H316" s="92">
        <f>(SUBSTITUTE(Audio!H316, "RE-", "", 1))*1</f>
        <v>184.6171812</v>
      </c>
      <c r="I316" s="92">
        <f>(SUBSTITUTE(Audio!I316, "RE-", "", 1))*1</f>
        <v>0</v>
      </c>
      <c r="J316" s="92">
        <f>(SUBSTITUTE(Audio!J316, "RE-", "", 1))*1</f>
        <v>1263.389419</v>
      </c>
      <c r="K316" s="92">
        <f>(SUBSTITUTE(Audio!K316, "RE-", "", 1))*1</f>
        <v>0</v>
      </c>
      <c r="L316" s="92">
        <f>(SUBSTITUTE(Audio!L316, "RE-", "", 1))*1</f>
        <v>1079.596961</v>
      </c>
      <c r="M316" s="92">
        <f>(SUBSTITUTE(Audio!M316, "RE-", "", 1))*1</f>
        <v>0</v>
      </c>
      <c r="N316" s="92">
        <f>(SUBSTITUTE(Audio!N316, "RE-", "", 1))*1</f>
        <v>867.5966708</v>
      </c>
      <c r="O316" s="92">
        <f>(SUBSTITUTE(Audio!O316, "RE-", "", 1))*1</f>
        <v>0</v>
      </c>
      <c r="P316" s="92">
        <f>(SUBSTITUTE(Audio!P316, "RE-", "", 1))*1</f>
        <v>391.4282312</v>
      </c>
      <c r="Q316" s="92">
        <f>(SUBSTITUTE(Audio!Q316, "RE-", "", 1))*1</f>
        <v>0</v>
      </c>
      <c r="R316" s="92">
        <f>(SUBSTITUTE(Audio!R316, "RE-", "", 1))*1</f>
        <v>68.08955</v>
      </c>
      <c r="S316" s="92">
        <f>(SUBSTITUTE(Audio!S316, "RE-", "", 1))*1</f>
        <v>0</v>
      </c>
      <c r="T316" s="92">
        <f>(SUBSTITUTE(Audio!T316, "RE-", "", 1))*1</f>
        <v>278.1952271</v>
      </c>
      <c r="U316" s="92">
        <f>(SUBSTITUTE(Audio!U316, "RE-", "", 1))*1</f>
        <v>0</v>
      </c>
      <c r="V316" s="92">
        <f>(SUBSTITUTE(Audio!V316, "RE-", "", 1))*1</f>
        <v>0</v>
      </c>
      <c r="W316" s="92">
        <f>(SUBSTITUTE(Audio!W316, "RE-", "", 1))*1</f>
        <v>0</v>
      </c>
      <c r="X316" s="92">
        <f>(SUBSTITUTE(Audio!X316, "RE-", "", 1))*1</f>
        <v>0</v>
      </c>
      <c r="Y316" s="92">
        <f>(SUBSTITUTE(Audio!Y316, "RE-", "", 1))*1</f>
        <v>0</v>
      </c>
      <c r="Z316" s="92">
        <f>(SUBSTITUTE(Audio!Z316, "RE-", "", 1))*1</f>
        <v>0</v>
      </c>
      <c r="AA316" s="92"/>
      <c r="AB316" s="92"/>
      <c r="AC316" s="92"/>
      <c r="AD316" s="92"/>
      <c r="AE316" s="92"/>
      <c r="AF316" s="92"/>
      <c r="AG316" s="92"/>
      <c r="AH316" s="92"/>
      <c r="AI316" s="92"/>
      <c r="AJ316" s="92"/>
      <c r="AK316" s="92"/>
      <c r="AL316" s="92"/>
      <c r="AM316" s="92"/>
      <c r="AN316" s="92"/>
      <c r="AO316" s="92"/>
      <c r="AP316" s="92"/>
      <c r="AQ316" s="92"/>
      <c r="AR316" s="92"/>
      <c r="AS316" s="92"/>
      <c r="AT316" s="92"/>
      <c r="AU316" s="92"/>
      <c r="AV316" s="92"/>
      <c r="AW316" s="92"/>
      <c r="AX316" s="92"/>
      <c r="AY316" s="92"/>
      <c r="AZ316" s="92"/>
      <c r="BA316" s="92"/>
      <c r="BB316" s="92"/>
      <c r="BC316" s="92"/>
      <c r="BD316" s="92"/>
      <c r="BE316" s="92"/>
      <c r="BF316" s="92"/>
      <c r="BG316" s="92"/>
      <c r="BH316" s="92"/>
      <c r="BI316" s="92"/>
      <c r="BJ316" s="92"/>
      <c r="BK316" s="92"/>
      <c r="BL316" s="92"/>
      <c r="BM316" s="92"/>
      <c r="BN316" s="92"/>
      <c r="BO316" s="92"/>
      <c r="BP316" s="92"/>
      <c r="BQ316" s="92"/>
      <c r="BR316" s="92"/>
      <c r="BS316" s="92"/>
      <c r="BT316" s="92"/>
      <c r="BU316" s="92"/>
      <c r="BV316" s="92"/>
      <c r="BW316" s="92"/>
      <c r="BX316" s="92"/>
      <c r="BY316" s="92"/>
      <c r="BZ316" s="92"/>
      <c r="CA316" s="92"/>
      <c r="CB316" s="92"/>
      <c r="CC316" s="92"/>
      <c r="CD316" s="92"/>
      <c r="CE316" s="92"/>
      <c r="CF316" s="92"/>
      <c r="CG316" s="92"/>
      <c r="CH316" s="92"/>
      <c r="CI316" s="92"/>
      <c r="CJ316" s="92"/>
      <c r="CK316" s="92"/>
      <c r="CL316" s="92"/>
      <c r="CM316" s="92"/>
      <c r="CN316" s="92"/>
      <c r="CO316" s="92"/>
      <c r="CP316" s="92"/>
      <c r="CQ316" s="92"/>
      <c r="CR316" s="92"/>
      <c r="CS316" s="92"/>
      <c r="CT316" s="92"/>
      <c r="CU316" s="92"/>
      <c r="CV316" s="92"/>
      <c r="CW316" s="92"/>
      <c r="CX316" s="92"/>
      <c r="CY316" s="92"/>
      <c r="CZ316" s="92"/>
      <c r="DA316" s="92"/>
      <c r="DB316" s="92"/>
      <c r="DC316" s="92"/>
      <c r="DD316" s="92"/>
      <c r="DE316" s="92"/>
      <c r="DF316" s="92"/>
      <c r="DG316" s="92"/>
      <c r="DH316" s="92"/>
      <c r="DI316" s="92"/>
      <c r="DJ316" s="92"/>
      <c r="DK316" s="92"/>
      <c r="DL316" s="92"/>
      <c r="DM316" s="92"/>
      <c r="DN316" s="92"/>
      <c r="DO316" s="92"/>
      <c r="DP316" s="92"/>
      <c r="DQ316" s="92"/>
      <c r="DR316" s="92"/>
      <c r="DS316" s="92"/>
      <c r="DT316" s="92"/>
      <c r="DU316" s="92"/>
      <c r="DV316" s="92"/>
      <c r="DW316" s="92"/>
      <c r="DX316" s="92"/>
      <c r="DY316" s="92"/>
      <c r="DZ316" s="92"/>
      <c r="EA316" s="92"/>
      <c r="EB316" s="92"/>
      <c r="EC316" s="92"/>
      <c r="ED316" s="92"/>
      <c r="EE316" s="92"/>
      <c r="EF316" s="92"/>
      <c r="EG316" s="92"/>
      <c r="EH316" s="92"/>
      <c r="EI316" s="92"/>
      <c r="EJ316" s="92"/>
      <c r="EK316" s="92"/>
      <c r="EL316" s="92"/>
      <c r="EM316" s="92"/>
      <c r="EN316" s="92"/>
      <c r="EO316" s="92"/>
      <c r="EP316" s="92"/>
      <c r="EQ316" s="92"/>
      <c r="ER316" s="92"/>
      <c r="ES316" s="92"/>
      <c r="ET316" s="92"/>
      <c r="EU316" s="92"/>
      <c r="EV316" s="92"/>
      <c r="EW316" s="92"/>
      <c r="EX316" s="92"/>
      <c r="EY316" s="92"/>
      <c r="EZ316" s="92"/>
      <c r="FA316" s="92"/>
      <c r="FB316" s="92"/>
      <c r="FC316" s="92"/>
      <c r="FD316" s="92"/>
      <c r="FE316" s="92"/>
      <c r="FF316" s="92"/>
      <c r="FG316" s="92"/>
      <c r="FH316" s="92"/>
    </row>
    <row r="317">
      <c r="A317" s="32" t="s">
        <v>38</v>
      </c>
      <c r="B317" s="32" t="s">
        <v>61</v>
      </c>
      <c r="C317" s="32" t="s">
        <v>10</v>
      </c>
      <c r="D317" s="97">
        <f t="shared" si="1"/>
        <v>643.2159521</v>
      </c>
      <c r="E317" s="92">
        <f>(SUBSTITUTE(Audio!E317, "RE-", "", 1))*1</f>
        <v>0</v>
      </c>
      <c r="F317" s="92">
        <f>(SUBSTITUTE(Audio!F317, "RE-", "", 1))*1</f>
        <v>0</v>
      </c>
      <c r="G317" s="92">
        <f>(SUBSTITUTE(Audio!G317, "RE-", "", 1))*1</f>
        <v>176.5878698</v>
      </c>
      <c r="H317" s="92">
        <f>(SUBSTITUTE(Audio!H317, "RE-", "", 1))*1</f>
        <v>0</v>
      </c>
      <c r="I317" s="92">
        <f>(SUBSTITUTE(Audio!I317, "RE-", "", 1))*1</f>
        <v>24.36296042</v>
      </c>
      <c r="J317" s="92">
        <f>(SUBSTITUTE(Audio!J317, "RE-", "", 1))*1</f>
        <v>0</v>
      </c>
      <c r="K317" s="92">
        <f>(SUBSTITUTE(Audio!K317, "RE-", "", 1))*1</f>
        <v>100.0600771</v>
      </c>
      <c r="L317" s="92">
        <f>(SUBSTITUTE(Audio!L317, "RE-", "", 1))*1</f>
        <v>0</v>
      </c>
      <c r="M317" s="92">
        <f>(SUBSTITUTE(Audio!M317, "RE-", "", 1))*1</f>
        <v>69.58134167</v>
      </c>
      <c r="N317" s="92">
        <f>(SUBSTITUTE(Audio!N317, "RE-", "", 1))*1</f>
        <v>0</v>
      </c>
      <c r="O317" s="92">
        <f>(SUBSTITUTE(Audio!O317, "RE-", "", 1))*1</f>
        <v>98.73704167</v>
      </c>
      <c r="P317" s="92">
        <f>(SUBSTITUTE(Audio!P317, "RE-", "", 1))*1</f>
        <v>0</v>
      </c>
      <c r="Q317" s="92">
        <f>(SUBSTITUTE(Audio!Q317, "RE-", "", 1))*1</f>
        <v>112.2687229</v>
      </c>
      <c r="R317" s="92">
        <f>(SUBSTITUTE(Audio!R317, "RE-", "", 1))*1</f>
        <v>0</v>
      </c>
      <c r="S317" s="92">
        <f>(SUBSTITUTE(Audio!S317, "RE-", "", 1))*1</f>
        <v>23.16315625</v>
      </c>
      <c r="T317" s="92">
        <f>(SUBSTITUTE(Audio!T317, "RE-", "", 1))*1</f>
        <v>0</v>
      </c>
      <c r="U317" s="92">
        <f>(SUBSTITUTE(Audio!U317, "RE-", "", 1))*1</f>
        <v>27.04929687</v>
      </c>
      <c r="V317" s="92">
        <f>(SUBSTITUTE(Audio!V317, "RE-", "", 1))*1</f>
        <v>11.40548542</v>
      </c>
      <c r="W317" s="92">
        <f>(SUBSTITUTE(Audio!W317, "RE-", "", 1))*1</f>
        <v>0</v>
      </c>
      <c r="X317" s="92">
        <f>(SUBSTITUTE(Audio!X317, "RE-", "", 1))*1</f>
        <v>0</v>
      </c>
      <c r="Y317" s="92">
        <f>(SUBSTITUTE(Audio!Y317, "RE-", "", 1))*1</f>
        <v>0</v>
      </c>
      <c r="Z317" s="92">
        <f>(SUBSTITUTE(Audio!Z317, "RE-", "", 1))*1</f>
        <v>0</v>
      </c>
      <c r="AA317" s="92"/>
      <c r="AB317" s="92"/>
      <c r="AC317" s="92"/>
      <c r="AD317" s="92"/>
      <c r="AE317" s="92"/>
      <c r="AF317" s="92"/>
      <c r="AG317" s="92"/>
      <c r="AH317" s="92"/>
      <c r="AI317" s="92"/>
      <c r="AJ317" s="92"/>
      <c r="AK317" s="92"/>
      <c r="AL317" s="92"/>
      <c r="AM317" s="92"/>
      <c r="AN317" s="92"/>
      <c r="AO317" s="92"/>
      <c r="AP317" s="92"/>
      <c r="AQ317" s="92"/>
      <c r="AR317" s="92"/>
      <c r="AS317" s="92"/>
      <c r="AT317" s="92"/>
      <c r="AU317" s="92"/>
      <c r="AV317" s="92"/>
      <c r="AW317" s="92"/>
      <c r="AX317" s="92"/>
      <c r="AY317" s="92"/>
      <c r="AZ317" s="92"/>
      <c r="BA317" s="92"/>
      <c r="BB317" s="92"/>
      <c r="BC317" s="92"/>
      <c r="BD317" s="92"/>
      <c r="BE317" s="92"/>
      <c r="BF317" s="92"/>
      <c r="BG317" s="92"/>
      <c r="BH317" s="92"/>
      <c r="BI317" s="92"/>
      <c r="BJ317" s="92"/>
      <c r="BK317" s="92"/>
      <c r="BL317" s="92"/>
      <c r="BM317" s="92"/>
      <c r="BN317" s="92"/>
      <c r="BO317" s="92"/>
      <c r="BP317" s="92"/>
      <c r="BQ317" s="92"/>
      <c r="BR317" s="92"/>
      <c r="BS317" s="92"/>
      <c r="BT317" s="92"/>
      <c r="BU317" s="92"/>
      <c r="BV317" s="92"/>
      <c r="BW317" s="92"/>
      <c r="BX317" s="92"/>
      <c r="BY317" s="92"/>
      <c r="BZ317" s="92"/>
      <c r="CA317" s="92"/>
      <c r="CB317" s="92"/>
      <c r="CC317" s="92"/>
      <c r="CD317" s="92"/>
      <c r="CE317" s="92"/>
      <c r="CF317" s="92"/>
      <c r="CG317" s="92"/>
      <c r="CH317" s="92"/>
      <c r="CI317" s="92"/>
      <c r="CJ317" s="92"/>
      <c r="CK317" s="92"/>
      <c r="CL317" s="92"/>
      <c r="CM317" s="92"/>
      <c r="CN317" s="92"/>
      <c r="CO317" s="92"/>
      <c r="CP317" s="92"/>
      <c r="CQ317" s="92"/>
      <c r="CR317" s="92"/>
      <c r="CS317" s="92"/>
      <c r="CT317" s="92"/>
      <c r="CU317" s="92"/>
      <c r="CV317" s="92"/>
      <c r="CW317" s="92"/>
      <c r="CX317" s="92"/>
      <c r="CY317" s="92"/>
      <c r="CZ317" s="92"/>
      <c r="DA317" s="92"/>
      <c r="DB317" s="92"/>
      <c r="DC317" s="92"/>
      <c r="DD317" s="92"/>
      <c r="DE317" s="92"/>
      <c r="DF317" s="92"/>
      <c r="DG317" s="92"/>
      <c r="DH317" s="92"/>
      <c r="DI317" s="92"/>
      <c r="DJ317" s="92"/>
      <c r="DK317" s="92"/>
      <c r="DL317" s="92"/>
      <c r="DM317" s="92"/>
      <c r="DN317" s="92"/>
      <c r="DO317" s="92"/>
      <c r="DP317" s="92"/>
      <c r="DQ317" s="92"/>
      <c r="DR317" s="92"/>
      <c r="DS317" s="92"/>
      <c r="DT317" s="92"/>
      <c r="DU317" s="92"/>
      <c r="DV317" s="92"/>
      <c r="DW317" s="92"/>
      <c r="DX317" s="92"/>
      <c r="DY317" s="92"/>
      <c r="DZ317" s="92"/>
      <c r="EA317" s="92"/>
      <c r="EB317" s="92"/>
      <c r="EC317" s="92"/>
      <c r="ED317" s="92"/>
      <c r="EE317" s="92"/>
      <c r="EF317" s="92"/>
      <c r="EG317" s="92"/>
      <c r="EH317" s="92"/>
      <c r="EI317" s="92"/>
      <c r="EJ317" s="92"/>
      <c r="EK317" s="92"/>
      <c r="EL317" s="92"/>
      <c r="EM317" s="92"/>
      <c r="EN317" s="92"/>
      <c r="EO317" s="92"/>
      <c r="EP317" s="92"/>
      <c r="EQ317" s="92"/>
      <c r="ER317" s="92"/>
      <c r="ES317" s="92"/>
      <c r="ET317" s="92"/>
      <c r="EU317" s="92"/>
      <c r="EV317" s="92"/>
      <c r="EW317" s="92"/>
      <c r="EX317" s="92"/>
      <c r="EY317" s="92"/>
      <c r="EZ317" s="92"/>
      <c r="FA317" s="92"/>
      <c r="FB317" s="92"/>
      <c r="FC317" s="92"/>
      <c r="FD317" s="92"/>
      <c r="FE317" s="92"/>
      <c r="FF317" s="92"/>
      <c r="FG317" s="92"/>
      <c r="FH317" s="92"/>
    </row>
    <row r="318">
      <c r="A318" s="32" t="s">
        <v>38</v>
      </c>
      <c r="B318" s="32" t="s">
        <v>61</v>
      </c>
      <c r="C318" s="32" t="s">
        <v>11</v>
      </c>
      <c r="D318" s="97">
        <f t="shared" si="1"/>
        <v>643.2159521</v>
      </c>
      <c r="E318" s="92">
        <f>(SUBSTITUTE(Audio!E318, "RE-", "", 1))*1</f>
        <v>0</v>
      </c>
      <c r="F318" s="92">
        <f>(SUBSTITUTE(Audio!F318, "RE-", "", 1))*1</f>
        <v>0</v>
      </c>
      <c r="G318" s="92">
        <f>(SUBSTITUTE(Audio!G318, "RE-", "", 1))*1</f>
        <v>176.5878698</v>
      </c>
      <c r="H318" s="92">
        <f>(SUBSTITUTE(Audio!H318, "RE-", "", 1))*1</f>
        <v>0</v>
      </c>
      <c r="I318" s="92">
        <f>(SUBSTITUTE(Audio!I318, "RE-", "", 1))*1</f>
        <v>24.36296042</v>
      </c>
      <c r="J318" s="92">
        <f>(SUBSTITUTE(Audio!J318, "RE-", "", 1))*1</f>
        <v>0</v>
      </c>
      <c r="K318" s="92">
        <f>(SUBSTITUTE(Audio!K318, "RE-", "", 1))*1</f>
        <v>100.0600771</v>
      </c>
      <c r="L318" s="92">
        <f>(SUBSTITUTE(Audio!L318, "RE-", "", 1))*1</f>
        <v>0</v>
      </c>
      <c r="M318" s="92">
        <f>(SUBSTITUTE(Audio!M318, "RE-", "", 1))*1</f>
        <v>69.58134167</v>
      </c>
      <c r="N318" s="92">
        <f>(SUBSTITUTE(Audio!N318, "RE-", "", 1))*1</f>
        <v>0</v>
      </c>
      <c r="O318" s="92">
        <f>(SUBSTITUTE(Audio!O318, "RE-", "", 1))*1</f>
        <v>98.73704167</v>
      </c>
      <c r="P318" s="92">
        <f>(SUBSTITUTE(Audio!P318, "RE-", "", 1))*1</f>
        <v>0</v>
      </c>
      <c r="Q318" s="92">
        <f>(SUBSTITUTE(Audio!Q318, "RE-", "", 1))*1</f>
        <v>112.2687229</v>
      </c>
      <c r="R318" s="92">
        <f>(SUBSTITUTE(Audio!R318, "RE-", "", 1))*1</f>
        <v>0</v>
      </c>
      <c r="S318" s="92">
        <f>(SUBSTITUTE(Audio!S318, "RE-", "", 1))*1</f>
        <v>23.16315625</v>
      </c>
      <c r="T318" s="92">
        <f>(SUBSTITUTE(Audio!T318, "RE-", "", 1))*1</f>
        <v>0</v>
      </c>
      <c r="U318" s="92">
        <f>(SUBSTITUTE(Audio!U318, "RE-", "", 1))*1</f>
        <v>27.04929687</v>
      </c>
      <c r="V318" s="92">
        <f>(SUBSTITUTE(Audio!V318, "RE-", "", 1))*1</f>
        <v>11.40548542</v>
      </c>
      <c r="W318" s="92">
        <f>(SUBSTITUTE(Audio!W318, "RE-", "", 1))*1</f>
        <v>0</v>
      </c>
      <c r="X318" s="92">
        <f>(SUBSTITUTE(Audio!X318, "RE-", "", 1))*1</f>
        <v>0</v>
      </c>
      <c r="Y318" s="92">
        <f>(SUBSTITUTE(Audio!Y318, "RE-", "", 1))*1</f>
        <v>0</v>
      </c>
      <c r="Z318" s="92">
        <f>(SUBSTITUTE(Audio!Z318, "RE-", "", 1))*1</f>
        <v>0</v>
      </c>
      <c r="AA318" s="92"/>
      <c r="AB318" s="92"/>
      <c r="AC318" s="92"/>
      <c r="AD318" s="92"/>
      <c r="AE318" s="92"/>
      <c r="AF318" s="92"/>
      <c r="AG318" s="92"/>
      <c r="AH318" s="92"/>
      <c r="AI318" s="92"/>
      <c r="AJ318" s="92"/>
      <c r="AK318" s="92"/>
      <c r="AL318" s="92"/>
      <c r="AM318" s="92"/>
      <c r="AN318" s="92"/>
      <c r="AO318" s="92"/>
      <c r="AP318" s="92"/>
      <c r="AQ318" s="92"/>
      <c r="AR318" s="92"/>
      <c r="AS318" s="92"/>
      <c r="AT318" s="92"/>
      <c r="AU318" s="92"/>
      <c r="AV318" s="92"/>
      <c r="AW318" s="92"/>
      <c r="AX318" s="92"/>
      <c r="AY318" s="92"/>
      <c r="AZ318" s="92"/>
      <c r="BA318" s="92"/>
      <c r="BB318" s="92"/>
      <c r="BC318" s="92"/>
      <c r="BD318" s="92"/>
      <c r="BE318" s="92"/>
      <c r="BF318" s="92"/>
      <c r="BG318" s="92"/>
      <c r="BH318" s="92"/>
      <c r="BI318" s="92"/>
      <c r="BJ318" s="92"/>
      <c r="BK318" s="92"/>
      <c r="BL318" s="92"/>
      <c r="BM318" s="92"/>
      <c r="BN318" s="92"/>
      <c r="BO318" s="92"/>
      <c r="BP318" s="92"/>
      <c r="BQ318" s="92"/>
      <c r="BR318" s="92"/>
      <c r="BS318" s="92"/>
      <c r="BT318" s="92"/>
      <c r="BU318" s="92"/>
      <c r="BV318" s="92"/>
      <c r="BW318" s="92"/>
      <c r="BX318" s="92"/>
      <c r="BY318" s="92"/>
      <c r="BZ318" s="92"/>
      <c r="CA318" s="92"/>
      <c r="CB318" s="92"/>
      <c r="CC318" s="92"/>
      <c r="CD318" s="92"/>
      <c r="CE318" s="92"/>
      <c r="CF318" s="92"/>
      <c r="CG318" s="92"/>
      <c r="CH318" s="92"/>
      <c r="CI318" s="92"/>
      <c r="CJ318" s="92"/>
      <c r="CK318" s="92"/>
      <c r="CL318" s="92"/>
      <c r="CM318" s="92"/>
      <c r="CN318" s="92"/>
      <c r="CO318" s="92"/>
      <c r="CP318" s="92"/>
      <c r="CQ318" s="92"/>
      <c r="CR318" s="92"/>
      <c r="CS318" s="92"/>
      <c r="CT318" s="92"/>
      <c r="CU318" s="92"/>
      <c r="CV318" s="92"/>
      <c r="CW318" s="92"/>
      <c r="CX318" s="92"/>
      <c r="CY318" s="92"/>
      <c r="CZ318" s="92"/>
      <c r="DA318" s="92"/>
      <c r="DB318" s="92"/>
      <c r="DC318" s="92"/>
      <c r="DD318" s="92"/>
      <c r="DE318" s="92"/>
      <c r="DF318" s="92"/>
      <c r="DG318" s="92"/>
      <c r="DH318" s="92"/>
      <c r="DI318" s="92"/>
      <c r="DJ318" s="92"/>
      <c r="DK318" s="92"/>
      <c r="DL318" s="92"/>
      <c r="DM318" s="92"/>
      <c r="DN318" s="92"/>
      <c r="DO318" s="92"/>
      <c r="DP318" s="92"/>
      <c r="DQ318" s="92"/>
      <c r="DR318" s="92"/>
      <c r="DS318" s="92"/>
      <c r="DT318" s="92"/>
      <c r="DU318" s="92"/>
      <c r="DV318" s="92"/>
      <c r="DW318" s="92"/>
      <c r="DX318" s="92"/>
      <c r="DY318" s="92"/>
      <c r="DZ318" s="92"/>
      <c r="EA318" s="92"/>
      <c r="EB318" s="92"/>
      <c r="EC318" s="92"/>
      <c r="ED318" s="92"/>
      <c r="EE318" s="92"/>
      <c r="EF318" s="92"/>
      <c r="EG318" s="92"/>
      <c r="EH318" s="92"/>
      <c r="EI318" s="92"/>
      <c r="EJ318" s="92"/>
      <c r="EK318" s="92"/>
      <c r="EL318" s="92"/>
      <c r="EM318" s="92"/>
      <c r="EN318" s="92"/>
      <c r="EO318" s="92"/>
      <c r="EP318" s="92"/>
      <c r="EQ318" s="92"/>
      <c r="ER318" s="92"/>
      <c r="ES318" s="92"/>
      <c r="ET318" s="92"/>
      <c r="EU318" s="92"/>
      <c r="EV318" s="92"/>
      <c r="EW318" s="92"/>
      <c r="EX318" s="92"/>
      <c r="EY318" s="92"/>
      <c r="EZ318" s="92"/>
      <c r="FA318" s="92"/>
      <c r="FB318" s="92"/>
      <c r="FC318" s="92"/>
      <c r="FD318" s="92"/>
      <c r="FE318" s="92"/>
      <c r="FF318" s="92"/>
      <c r="FG318" s="92"/>
      <c r="FH318" s="92"/>
    </row>
    <row r="319">
      <c r="A319" s="32" t="s">
        <v>38</v>
      </c>
      <c r="B319" s="32" t="s">
        <v>61</v>
      </c>
      <c r="C319" s="32" t="s">
        <v>12</v>
      </c>
      <c r="D319" s="97">
        <f t="shared" si="1"/>
        <v>4468.81967</v>
      </c>
      <c r="E319" s="92">
        <f>(SUBSTITUTE(Audio!E319, "RE-", "", 1))*1</f>
        <v>0</v>
      </c>
      <c r="F319" s="92">
        <f>(SUBSTITUTE(Audio!F319, "RE-", "", 1))*1</f>
        <v>1056.267541</v>
      </c>
      <c r="G319" s="92">
        <f>(SUBSTITUTE(Audio!G319, "RE-", "", 1))*1</f>
        <v>4.602439583</v>
      </c>
      <c r="H319" s="92">
        <f>(SUBSTITUTE(Audio!H319, "RE-", "", 1))*1</f>
        <v>161.4322958</v>
      </c>
      <c r="I319" s="92">
        <f>(SUBSTITUTE(Audio!I319, "RE-", "", 1))*1</f>
        <v>0.3370104167</v>
      </c>
      <c r="J319" s="92">
        <f>(SUBSTITUTE(Audio!J319, "RE-", "", 1))*1</f>
        <v>1017.201511</v>
      </c>
      <c r="K319" s="92">
        <f>(SUBSTITUTE(Audio!K319, "RE-", "", 1))*1</f>
        <v>2.1200125</v>
      </c>
      <c r="L319" s="92">
        <f>(SUBSTITUTE(Audio!L319, "RE-", "", 1))*1</f>
        <v>994.5847937</v>
      </c>
      <c r="M319" s="92">
        <f>(SUBSTITUTE(Audio!M319, "RE-", "", 1))*1</f>
        <v>16.15659167</v>
      </c>
      <c r="N319" s="92">
        <f>(SUBSTITUTE(Audio!N319, "RE-", "", 1))*1</f>
        <v>515.9310948</v>
      </c>
      <c r="O319" s="92">
        <f>(SUBSTITUTE(Audio!O319, "RE-", "", 1))*1</f>
        <v>14.4442875</v>
      </c>
      <c r="P319" s="92">
        <f>(SUBSTITUTE(Audio!P319, "RE-", "", 1))*1</f>
        <v>323.4043344</v>
      </c>
      <c r="Q319" s="92">
        <f>(SUBSTITUTE(Audio!Q319, "RE-", "", 1))*1</f>
        <v>26.27403646</v>
      </c>
      <c r="R319" s="92">
        <f>(SUBSTITUTE(Audio!R319, "RE-", "", 1))*1</f>
        <v>51.71168125</v>
      </c>
      <c r="S319" s="92">
        <f>(SUBSTITUTE(Audio!S319, "RE-", "", 1))*1</f>
        <v>11.52412083</v>
      </c>
      <c r="T319" s="92">
        <f>(SUBSTITUTE(Audio!T319, "RE-", "", 1))*1</f>
        <v>255.5911333</v>
      </c>
      <c r="U319" s="92">
        <f>(SUBSTITUTE(Audio!U319, "RE-", "", 1))*1</f>
        <v>16.54616458</v>
      </c>
      <c r="V319" s="92">
        <f>(SUBSTITUTE(Audio!V319, "RE-", "", 1))*1</f>
        <v>0.6906208333</v>
      </c>
      <c r="W319" s="92">
        <f>(SUBSTITUTE(Audio!W319, "RE-", "", 1))*1</f>
        <v>0</v>
      </c>
      <c r="X319" s="92">
        <f>(SUBSTITUTE(Audio!X319, "RE-", "", 1))*1</f>
        <v>0</v>
      </c>
      <c r="Y319" s="92">
        <f>(SUBSTITUTE(Audio!Y319, "RE-", "", 1))*1</f>
        <v>0</v>
      </c>
      <c r="Z319" s="92">
        <f>(SUBSTITUTE(Audio!Z319, "RE-", "", 1))*1</f>
        <v>0</v>
      </c>
      <c r="AA319" s="92"/>
      <c r="AB319" s="92"/>
      <c r="AC319" s="92"/>
      <c r="AD319" s="92"/>
      <c r="AE319" s="92"/>
      <c r="AF319" s="92"/>
      <c r="AG319" s="92"/>
      <c r="AH319" s="92"/>
      <c r="AI319" s="92"/>
      <c r="AJ319" s="92"/>
      <c r="AK319" s="92"/>
      <c r="AL319" s="92"/>
      <c r="AM319" s="92"/>
      <c r="AN319" s="92"/>
      <c r="AO319" s="92"/>
      <c r="AP319" s="92"/>
      <c r="AQ319" s="92"/>
      <c r="AR319" s="92"/>
      <c r="AS319" s="92"/>
      <c r="AT319" s="92"/>
      <c r="AU319" s="92"/>
      <c r="AV319" s="92"/>
      <c r="AW319" s="92"/>
      <c r="AX319" s="92"/>
      <c r="AY319" s="92"/>
      <c r="AZ319" s="92"/>
      <c r="BA319" s="92"/>
      <c r="BB319" s="92"/>
      <c r="BC319" s="92"/>
      <c r="BD319" s="92"/>
      <c r="BE319" s="92"/>
      <c r="BF319" s="92"/>
      <c r="BG319" s="92"/>
      <c r="BH319" s="92"/>
      <c r="BI319" s="92"/>
      <c r="BJ319" s="92"/>
      <c r="BK319" s="92"/>
      <c r="BL319" s="92"/>
      <c r="BM319" s="92"/>
      <c r="BN319" s="92"/>
      <c r="BO319" s="92"/>
      <c r="BP319" s="92"/>
      <c r="BQ319" s="92"/>
      <c r="BR319" s="92"/>
      <c r="BS319" s="92"/>
      <c r="BT319" s="92"/>
      <c r="BU319" s="92"/>
      <c r="BV319" s="92"/>
      <c r="BW319" s="92"/>
      <c r="BX319" s="92"/>
      <c r="BY319" s="92"/>
      <c r="BZ319" s="92"/>
      <c r="CA319" s="92"/>
      <c r="CB319" s="92"/>
      <c r="CC319" s="92"/>
      <c r="CD319" s="92"/>
      <c r="CE319" s="92"/>
      <c r="CF319" s="92"/>
      <c r="CG319" s="92"/>
      <c r="CH319" s="92"/>
      <c r="CI319" s="92"/>
      <c r="CJ319" s="92"/>
      <c r="CK319" s="92"/>
      <c r="CL319" s="92"/>
      <c r="CM319" s="92"/>
      <c r="CN319" s="92"/>
      <c r="CO319" s="92"/>
      <c r="CP319" s="92"/>
      <c r="CQ319" s="92"/>
      <c r="CR319" s="92"/>
      <c r="CS319" s="92"/>
      <c r="CT319" s="92"/>
      <c r="CU319" s="92"/>
      <c r="CV319" s="92"/>
      <c r="CW319" s="92"/>
      <c r="CX319" s="92"/>
      <c r="CY319" s="92"/>
      <c r="CZ319" s="92"/>
      <c r="DA319" s="92"/>
      <c r="DB319" s="92"/>
      <c r="DC319" s="92"/>
      <c r="DD319" s="92"/>
      <c r="DE319" s="92"/>
      <c r="DF319" s="92"/>
      <c r="DG319" s="92"/>
      <c r="DH319" s="92"/>
      <c r="DI319" s="92"/>
      <c r="DJ319" s="92"/>
      <c r="DK319" s="92"/>
      <c r="DL319" s="92"/>
      <c r="DM319" s="92"/>
      <c r="DN319" s="92"/>
      <c r="DO319" s="92"/>
      <c r="DP319" s="92"/>
      <c r="DQ319" s="92"/>
      <c r="DR319" s="92"/>
      <c r="DS319" s="92"/>
      <c r="DT319" s="92"/>
      <c r="DU319" s="92"/>
      <c r="DV319" s="92"/>
      <c r="DW319" s="92"/>
      <c r="DX319" s="92"/>
      <c r="DY319" s="92"/>
      <c r="DZ319" s="92"/>
      <c r="EA319" s="92"/>
      <c r="EB319" s="92"/>
      <c r="EC319" s="92"/>
      <c r="ED319" s="92"/>
      <c r="EE319" s="92"/>
      <c r="EF319" s="92"/>
      <c r="EG319" s="92"/>
      <c r="EH319" s="92"/>
      <c r="EI319" s="92"/>
      <c r="EJ319" s="92"/>
      <c r="EK319" s="92"/>
      <c r="EL319" s="92"/>
      <c r="EM319" s="92"/>
      <c r="EN319" s="92"/>
      <c r="EO319" s="92"/>
      <c r="EP319" s="92"/>
      <c r="EQ319" s="92"/>
      <c r="ER319" s="92"/>
      <c r="ES319" s="92"/>
      <c r="ET319" s="92"/>
      <c r="EU319" s="92"/>
      <c r="EV319" s="92"/>
      <c r="EW319" s="92"/>
      <c r="EX319" s="92"/>
      <c r="EY319" s="92"/>
      <c r="EZ319" s="92"/>
      <c r="FA319" s="92"/>
      <c r="FB319" s="92"/>
      <c r="FC319" s="92"/>
      <c r="FD319" s="92"/>
      <c r="FE319" s="92"/>
      <c r="FF319" s="92"/>
      <c r="FG319" s="92"/>
      <c r="FH319" s="92"/>
    </row>
    <row r="320">
      <c r="A320" s="32" t="s">
        <v>38</v>
      </c>
      <c r="B320" s="32" t="s">
        <v>61</v>
      </c>
      <c r="C320" s="32" t="s">
        <v>13</v>
      </c>
      <c r="D320" s="97">
        <f t="shared" si="1"/>
        <v>4258.196964</v>
      </c>
      <c r="E320" s="92">
        <f>(SUBSTITUTE(Audio!E320, "RE-", "", 1))*1</f>
        <v>0</v>
      </c>
      <c r="F320" s="92">
        <f>(SUBSTITUTE(Audio!F320, "RE-", "", 1))*1</f>
        <v>1003.71</v>
      </c>
      <c r="G320" s="92">
        <f>(SUBSTITUTE(Audio!G320, "RE-", "", 1))*1</f>
        <v>4.23015</v>
      </c>
      <c r="H320" s="92">
        <f>(SUBSTITUTE(Audio!H320, "RE-", "", 1))*1</f>
        <v>155.638</v>
      </c>
      <c r="I320" s="92">
        <f>(SUBSTITUTE(Audio!I320, "RE-", "", 1))*1</f>
        <v>0.327917</v>
      </c>
      <c r="J320" s="92">
        <f>(SUBSTITUTE(Audio!J320, "RE-", "", 1))*1</f>
        <v>975.844</v>
      </c>
      <c r="K320" s="92">
        <f>(SUBSTITUTE(Audio!K320, "RE-", "", 1))*1</f>
        <v>2.06213</v>
      </c>
      <c r="L320" s="92">
        <f>(SUBSTITUTE(Audio!L320, "RE-", "", 1))*1</f>
        <v>940.699</v>
      </c>
      <c r="M320" s="92">
        <f>(SUBSTITUTE(Audio!M320, "RE-", "", 1))*1</f>
        <v>15.0881</v>
      </c>
      <c r="N320" s="92">
        <f>(SUBSTITUTE(Audio!N320, "RE-", "", 1))*1</f>
        <v>494.868</v>
      </c>
      <c r="O320" s="92">
        <f>(SUBSTITUTE(Audio!O320, "RE-", "", 1))*1</f>
        <v>13.3583</v>
      </c>
      <c r="P320" s="92">
        <f>(SUBSTITUTE(Audio!P320, "RE-", "", 1))*1</f>
        <v>305.942</v>
      </c>
      <c r="Q320" s="92">
        <f>(SUBSTITUTE(Audio!Q320, "RE-", "", 1))*1</f>
        <v>24.9228</v>
      </c>
      <c r="R320" s="92">
        <f>(SUBSTITUTE(Audio!R320, "RE-", "", 1))*1</f>
        <v>49.411</v>
      </c>
      <c r="S320" s="92">
        <f>(SUBSTITUTE(Audio!S320, "RE-", "", 1))*1</f>
        <v>10.3826</v>
      </c>
      <c r="T320" s="92">
        <f>(SUBSTITUTE(Audio!T320, "RE-", "", 1))*1</f>
        <v>245.563</v>
      </c>
      <c r="U320" s="92">
        <f>(SUBSTITUTE(Audio!U320, "RE-", "", 1))*1</f>
        <v>15.5377</v>
      </c>
      <c r="V320" s="92">
        <f>(SUBSTITUTE(Audio!V320, "RE-", "", 1))*1</f>
        <v>0.612267</v>
      </c>
      <c r="W320" s="92">
        <f>(SUBSTITUTE(Audio!W320, "RE-", "", 1))*1</f>
        <v>0</v>
      </c>
      <c r="X320" s="92">
        <f>(SUBSTITUTE(Audio!X320, "RE-", "", 1))*1</f>
        <v>0</v>
      </c>
      <c r="Y320" s="92">
        <f>(SUBSTITUTE(Audio!Y320, "RE-", "", 1))*1</f>
        <v>0</v>
      </c>
      <c r="Z320" s="92">
        <f>(SUBSTITUTE(Audio!Z320, "RE-", "", 1))*1</f>
        <v>0</v>
      </c>
      <c r="AA320" s="92"/>
      <c r="AB320" s="92"/>
      <c r="AC320" s="92"/>
      <c r="AD320" s="92"/>
      <c r="AE320" s="92"/>
      <c r="AF320" s="92"/>
      <c r="AG320" s="92"/>
      <c r="AH320" s="92"/>
      <c r="AI320" s="92"/>
      <c r="AJ320" s="92"/>
      <c r="AK320" s="92"/>
      <c r="AL320" s="92"/>
      <c r="AM320" s="92"/>
      <c r="AN320" s="92"/>
      <c r="AO320" s="92"/>
      <c r="AP320" s="92"/>
      <c r="AQ320" s="92"/>
      <c r="AR320" s="92"/>
      <c r="AS320" s="92"/>
      <c r="AT320" s="92"/>
      <c r="AU320" s="92"/>
      <c r="AV320" s="92"/>
      <c r="AW320" s="92"/>
      <c r="AX320" s="92"/>
      <c r="AY320" s="92"/>
      <c r="AZ320" s="92"/>
      <c r="BA320" s="92"/>
      <c r="BB320" s="92"/>
      <c r="BC320" s="92"/>
      <c r="BD320" s="92"/>
      <c r="BE320" s="92"/>
      <c r="BF320" s="92"/>
      <c r="BG320" s="92"/>
      <c r="BH320" s="92"/>
      <c r="BI320" s="92"/>
      <c r="BJ320" s="92"/>
      <c r="BK320" s="92"/>
      <c r="BL320" s="92"/>
      <c r="BM320" s="92"/>
      <c r="BN320" s="92"/>
      <c r="BO320" s="92"/>
      <c r="BP320" s="92"/>
      <c r="BQ320" s="92"/>
      <c r="BR320" s="92"/>
      <c r="BS320" s="92"/>
      <c r="BT320" s="92"/>
      <c r="BU320" s="92"/>
      <c r="BV320" s="92"/>
      <c r="BW320" s="92"/>
      <c r="BX320" s="92"/>
      <c r="BY320" s="92"/>
      <c r="BZ320" s="92"/>
      <c r="CA320" s="92"/>
      <c r="CB320" s="92"/>
      <c r="CC320" s="92"/>
      <c r="CD320" s="92"/>
      <c r="CE320" s="92"/>
      <c r="CF320" s="92"/>
      <c r="CG320" s="92"/>
      <c r="CH320" s="92"/>
      <c r="CI320" s="92"/>
      <c r="CJ320" s="92"/>
      <c r="CK320" s="92"/>
      <c r="CL320" s="92"/>
      <c r="CM320" s="92"/>
      <c r="CN320" s="92"/>
      <c r="CO320" s="92"/>
      <c r="CP320" s="92"/>
      <c r="CQ320" s="92"/>
      <c r="CR320" s="92"/>
      <c r="CS320" s="92"/>
      <c r="CT320" s="92"/>
      <c r="CU320" s="92"/>
      <c r="CV320" s="92"/>
      <c r="CW320" s="92"/>
      <c r="CX320" s="92"/>
      <c r="CY320" s="92"/>
      <c r="CZ320" s="92"/>
      <c r="DA320" s="92"/>
      <c r="DB320" s="92"/>
      <c r="DC320" s="92"/>
      <c r="DD320" s="92"/>
      <c r="DE320" s="92"/>
      <c r="DF320" s="92"/>
      <c r="DG320" s="92"/>
      <c r="DH320" s="92"/>
      <c r="DI320" s="92"/>
      <c r="DJ320" s="92"/>
      <c r="DK320" s="92"/>
      <c r="DL320" s="92"/>
      <c r="DM320" s="92"/>
      <c r="DN320" s="92"/>
      <c r="DO320" s="92"/>
      <c r="DP320" s="92"/>
      <c r="DQ320" s="92"/>
      <c r="DR320" s="92"/>
      <c r="DS320" s="92"/>
      <c r="DT320" s="92"/>
      <c r="DU320" s="92"/>
      <c r="DV320" s="92"/>
      <c r="DW320" s="92"/>
      <c r="DX320" s="92"/>
      <c r="DY320" s="92"/>
      <c r="DZ320" s="92"/>
      <c r="EA320" s="92"/>
      <c r="EB320" s="92"/>
      <c r="EC320" s="92"/>
      <c r="ED320" s="92"/>
      <c r="EE320" s="92"/>
      <c r="EF320" s="92"/>
      <c r="EG320" s="92"/>
      <c r="EH320" s="92"/>
      <c r="EI320" s="92"/>
      <c r="EJ320" s="92"/>
      <c r="EK320" s="92"/>
      <c r="EL320" s="92"/>
      <c r="EM320" s="92"/>
      <c r="EN320" s="92"/>
      <c r="EO320" s="92"/>
      <c r="EP320" s="92"/>
      <c r="EQ320" s="92"/>
      <c r="ER320" s="92"/>
      <c r="ES320" s="92"/>
      <c r="ET320" s="92"/>
      <c r="EU320" s="92"/>
      <c r="EV320" s="92"/>
      <c r="EW320" s="92"/>
      <c r="EX320" s="92"/>
      <c r="EY320" s="92"/>
      <c r="EZ320" s="92"/>
      <c r="FA320" s="92"/>
      <c r="FB320" s="92"/>
      <c r="FC320" s="92"/>
      <c r="FD320" s="92"/>
      <c r="FE320" s="92"/>
      <c r="FF320" s="92"/>
      <c r="FG320" s="92"/>
      <c r="FH320" s="92"/>
    </row>
    <row r="321">
      <c r="A321" s="32" t="s">
        <v>38</v>
      </c>
      <c r="B321" s="32" t="s">
        <v>61</v>
      </c>
      <c r="C321" s="32" t="s">
        <v>14</v>
      </c>
      <c r="D321" s="97">
        <f t="shared" si="1"/>
        <v>3730.114784</v>
      </c>
      <c r="E321" s="92">
        <f>(SUBSTITUTE(Audio!E321, "RE-", "", 1))*1</f>
        <v>0</v>
      </c>
      <c r="F321" s="92">
        <f>(SUBSTITUTE(Audio!F321, "RE-", "", 1))*1</f>
        <v>848.797</v>
      </c>
      <c r="G321" s="92">
        <f>(SUBSTITUTE(Audio!G321, "RE-", "", 1))*1</f>
        <v>4.17278</v>
      </c>
      <c r="H321" s="92">
        <f>(SUBSTITUTE(Audio!H321, "RE-", "", 1))*1</f>
        <v>135.655</v>
      </c>
      <c r="I321" s="92">
        <f>(SUBSTITUTE(Audio!I321, "RE-", "", 1))*1</f>
        <v>0.327917</v>
      </c>
      <c r="J321" s="92">
        <f>(SUBSTITUTE(Audio!J321, "RE-", "", 1))*1</f>
        <v>887.792</v>
      </c>
      <c r="K321" s="92">
        <f>(SUBSTITUTE(Audio!K321, "RE-", "", 1))*1</f>
        <v>1.84167</v>
      </c>
      <c r="L321" s="92">
        <f>(SUBSTITUTE(Audio!L321, "RE-", "", 1))*1</f>
        <v>836.891</v>
      </c>
      <c r="M321" s="92">
        <f>(SUBSTITUTE(Audio!M321, "RE-", "", 1))*1</f>
        <v>13.2528</v>
      </c>
      <c r="N321" s="92">
        <f>(SUBSTITUTE(Audio!N321, "RE-", "", 1))*1</f>
        <v>423.782</v>
      </c>
      <c r="O321" s="92">
        <f>(SUBSTITUTE(Audio!O321, "RE-", "", 1))*1</f>
        <v>11.3789</v>
      </c>
      <c r="P321" s="92">
        <f>(SUBSTITUTE(Audio!P321, "RE-", "", 1))*1</f>
        <v>260.556</v>
      </c>
      <c r="Q321" s="92">
        <f>(SUBSTITUTE(Audio!Q321, "RE-", "", 1))*1</f>
        <v>23.5118</v>
      </c>
      <c r="R321" s="92">
        <f>(SUBSTITUTE(Audio!R321, "RE-", "", 1))*1</f>
        <v>41.2672</v>
      </c>
      <c r="S321" s="92">
        <f>(SUBSTITUTE(Audio!S321, "RE-", "", 1))*1</f>
        <v>8.91455</v>
      </c>
      <c r="T321" s="92">
        <f>(SUBSTITUTE(Audio!T321, "RE-", "", 1))*1</f>
        <v>216.756</v>
      </c>
      <c r="U321" s="92">
        <f>(SUBSTITUTE(Audio!U321, "RE-", "", 1))*1</f>
        <v>14.6059</v>
      </c>
      <c r="V321" s="92">
        <f>(SUBSTITUTE(Audio!V321, "RE-", "", 1))*1</f>
        <v>0.612267</v>
      </c>
      <c r="W321" s="92">
        <f>(SUBSTITUTE(Audio!W321, "RE-", "", 1))*1</f>
        <v>0</v>
      </c>
      <c r="X321" s="92">
        <f>(SUBSTITUTE(Audio!X321, "RE-", "", 1))*1</f>
        <v>0</v>
      </c>
      <c r="Y321" s="92">
        <f>(SUBSTITUTE(Audio!Y321, "RE-", "", 1))*1</f>
        <v>0</v>
      </c>
      <c r="Z321" s="92">
        <f>(SUBSTITUTE(Audio!Z321, "RE-", "", 1))*1</f>
        <v>0</v>
      </c>
      <c r="AA321" s="92"/>
      <c r="AB321" s="92"/>
      <c r="AC321" s="92"/>
      <c r="AD321" s="92"/>
      <c r="AE321" s="92"/>
      <c r="AF321" s="92"/>
      <c r="AG321" s="92"/>
      <c r="AH321" s="92"/>
      <c r="AI321" s="92"/>
      <c r="AJ321" s="92"/>
      <c r="AK321" s="92"/>
      <c r="AL321" s="92"/>
      <c r="AM321" s="92"/>
      <c r="AN321" s="92"/>
      <c r="AO321" s="92"/>
      <c r="AP321" s="92"/>
      <c r="AQ321" s="92"/>
      <c r="AR321" s="92"/>
      <c r="AS321" s="92"/>
      <c r="AT321" s="92"/>
      <c r="AU321" s="92"/>
      <c r="AV321" s="92"/>
      <c r="AW321" s="92"/>
      <c r="AX321" s="92"/>
      <c r="AY321" s="92"/>
      <c r="AZ321" s="92"/>
      <c r="BA321" s="92"/>
      <c r="BB321" s="92"/>
      <c r="BC321" s="92"/>
      <c r="BD321" s="92"/>
      <c r="BE321" s="92"/>
      <c r="BF321" s="92"/>
      <c r="BG321" s="92"/>
      <c r="BH321" s="92"/>
      <c r="BI321" s="92"/>
      <c r="BJ321" s="92"/>
      <c r="BK321" s="92"/>
      <c r="BL321" s="92"/>
      <c r="BM321" s="92"/>
      <c r="BN321" s="92"/>
      <c r="BO321" s="92"/>
      <c r="BP321" s="92"/>
      <c r="BQ321" s="92"/>
      <c r="BR321" s="92"/>
      <c r="BS321" s="92"/>
      <c r="BT321" s="92"/>
      <c r="BU321" s="92"/>
      <c r="BV321" s="92"/>
      <c r="BW321" s="92"/>
      <c r="BX321" s="92"/>
      <c r="BY321" s="92"/>
      <c r="BZ321" s="92"/>
      <c r="CA321" s="92"/>
      <c r="CB321" s="92"/>
      <c r="CC321" s="92"/>
      <c r="CD321" s="92"/>
      <c r="CE321" s="92"/>
      <c r="CF321" s="92"/>
      <c r="CG321" s="92"/>
      <c r="CH321" s="92"/>
      <c r="CI321" s="92"/>
      <c r="CJ321" s="92"/>
      <c r="CK321" s="92"/>
      <c r="CL321" s="92"/>
      <c r="CM321" s="92"/>
      <c r="CN321" s="92"/>
      <c r="CO321" s="92"/>
      <c r="CP321" s="92"/>
      <c r="CQ321" s="92"/>
      <c r="CR321" s="92"/>
      <c r="CS321" s="92"/>
      <c r="CT321" s="92"/>
      <c r="CU321" s="92"/>
      <c r="CV321" s="92"/>
      <c r="CW321" s="92"/>
      <c r="CX321" s="92"/>
      <c r="CY321" s="92"/>
      <c r="CZ321" s="92"/>
      <c r="DA321" s="92"/>
      <c r="DB321" s="92"/>
      <c r="DC321" s="92"/>
      <c r="DD321" s="92"/>
      <c r="DE321" s="92"/>
      <c r="DF321" s="92"/>
      <c r="DG321" s="92"/>
      <c r="DH321" s="92"/>
      <c r="DI321" s="92"/>
      <c r="DJ321" s="92"/>
      <c r="DK321" s="92"/>
      <c r="DL321" s="92"/>
      <c r="DM321" s="92"/>
      <c r="DN321" s="92"/>
      <c r="DO321" s="92"/>
      <c r="DP321" s="92"/>
      <c r="DQ321" s="92"/>
      <c r="DR321" s="92"/>
      <c r="DS321" s="92"/>
      <c r="DT321" s="92"/>
      <c r="DU321" s="92"/>
      <c r="DV321" s="92"/>
      <c r="DW321" s="92"/>
      <c r="DX321" s="92"/>
      <c r="DY321" s="92"/>
      <c r="DZ321" s="92"/>
      <c r="EA321" s="92"/>
      <c r="EB321" s="92"/>
      <c r="EC321" s="92"/>
      <c r="ED321" s="92"/>
      <c r="EE321" s="92"/>
      <c r="EF321" s="92"/>
      <c r="EG321" s="92"/>
      <c r="EH321" s="92"/>
      <c r="EI321" s="92"/>
      <c r="EJ321" s="92"/>
      <c r="EK321" s="92"/>
      <c r="EL321" s="92"/>
      <c r="EM321" s="92"/>
      <c r="EN321" s="92"/>
      <c r="EO321" s="92"/>
      <c r="EP321" s="92"/>
      <c r="EQ321" s="92"/>
      <c r="ER321" s="92"/>
      <c r="ES321" s="92"/>
      <c r="ET321" s="92"/>
      <c r="EU321" s="92"/>
      <c r="EV321" s="92"/>
      <c r="EW321" s="92"/>
      <c r="EX321" s="92"/>
      <c r="EY321" s="92"/>
      <c r="EZ321" s="92"/>
      <c r="FA321" s="92"/>
      <c r="FB321" s="92"/>
      <c r="FC321" s="92"/>
      <c r="FD321" s="92"/>
      <c r="FE321" s="92"/>
      <c r="FF321" s="92"/>
      <c r="FG321" s="92"/>
      <c r="FH321" s="92"/>
    </row>
    <row r="322">
      <c r="A322" s="27" t="s">
        <v>38</v>
      </c>
      <c r="B322" s="27" t="s">
        <v>61</v>
      </c>
      <c r="C322" s="27" t="s">
        <v>15</v>
      </c>
      <c r="D322" s="98">
        <f t="shared" si="1"/>
        <v>4250.429924</v>
      </c>
      <c r="E322" s="92">
        <f>(SUBSTITUTE(Audio!E322, "RE-", "", 1))*1</f>
        <v>0</v>
      </c>
      <c r="F322" s="92">
        <f>(SUBSTITUTE(Audio!F322, "RE-", "", 1))*1</f>
        <v>1003.66</v>
      </c>
      <c r="G322" s="92">
        <f>(SUBSTITUTE(Audio!G322, "RE-", "", 1))*1</f>
        <v>4.23015</v>
      </c>
      <c r="H322" s="92">
        <f>(SUBSTITUTE(Audio!H322, "RE-", "", 1))*1</f>
        <v>155.638</v>
      </c>
      <c r="I322" s="92">
        <f>(SUBSTITUTE(Audio!I322, "RE-", "", 1))*1</f>
        <v>0.327917</v>
      </c>
      <c r="J322" s="92">
        <f>(SUBSTITUTE(Audio!J322, "RE-", "", 1))*1</f>
        <v>975.844</v>
      </c>
      <c r="K322" s="92">
        <f>(SUBSTITUTE(Audio!K322, "RE-", "", 1))*1</f>
        <v>1.84167</v>
      </c>
      <c r="L322" s="92">
        <f>(SUBSTITUTE(Audio!L322, "RE-", "", 1))*1</f>
        <v>940.682</v>
      </c>
      <c r="M322" s="92">
        <f>(SUBSTITUTE(Audio!M322, "RE-", "", 1))*1</f>
        <v>13.2528</v>
      </c>
      <c r="N322" s="92">
        <f>(SUBSTITUTE(Audio!N322, "RE-", "", 1))*1</f>
        <v>494.868</v>
      </c>
      <c r="O322" s="92">
        <f>(SUBSTITUTE(Audio!O322, "RE-", "", 1))*1</f>
        <v>11.3789</v>
      </c>
      <c r="P322" s="92">
        <f>(SUBSTITUTE(Audio!P322, "RE-", "", 1))*1</f>
        <v>305.872</v>
      </c>
      <c r="Q322" s="92">
        <f>(SUBSTITUTE(Audio!Q322, "RE-", "", 1))*1</f>
        <v>23.5118</v>
      </c>
      <c r="R322" s="92">
        <f>(SUBSTITUTE(Audio!R322, "RE-", "", 1))*1</f>
        <v>49.411</v>
      </c>
      <c r="S322" s="92">
        <f>(SUBSTITUTE(Audio!S322, "RE-", "", 1))*1</f>
        <v>9.13052</v>
      </c>
      <c r="T322" s="92">
        <f>(SUBSTITUTE(Audio!T322, "RE-", "", 1))*1</f>
        <v>245.563</v>
      </c>
      <c r="U322" s="92">
        <f>(SUBSTITUTE(Audio!U322, "RE-", "", 1))*1</f>
        <v>14.6059</v>
      </c>
      <c r="V322" s="92">
        <f>(SUBSTITUTE(Audio!V322, "RE-", "", 1))*1</f>
        <v>0.612267</v>
      </c>
      <c r="W322" s="92">
        <f>(SUBSTITUTE(Audio!W322, "RE-", "", 1))*1</f>
        <v>0</v>
      </c>
      <c r="X322" s="92">
        <f>(SUBSTITUTE(Audio!X322, "RE-", "", 1))*1</f>
        <v>0</v>
      </c>
      <c r="Y322" s="92">
        <f>(SUBSTITUTE(Audio!Y322, "RE-", "", 1))*1</f>
        <v>0</v>
      </c>
      <c r="Z322" s="92">
        <f>(SUBSTITUTE(Audio!Z322, "RE-", "", 1))*1</f>
        <v>0</v>
      </c>
      <c r="AA322" s="92"/>
      <c r="AB322" s="92"/>
      <c r="AC322" s="92"/>
      <c r="AD322" s="92"/>
      <c r="AE322" s="92"/>
      <c r="AF322" s="92"/>
      <c r="AG322" s="92"/>
      <c r="AH322" s="92"/>
      <c r="AI322" s="92"/>
      <c r="AJ322" s="92"/>
      <c r="AK322" s="92"/>
      <c r="AL322" s="92"/>
      <c r="AM322" s="92"/>
      <c r="AN322" s="92"/>
      <c r="AO322" s="92"/>
      <c r="AP322" s="92"/>
      <c r="AQ322" s="92"/>
      <c r="AR322" s="92"/>
      <c r="AS322" s="92"/>
      <c r="AT322" s="92"/>
      <c r="AU322" s="92"/>
      <c r="AV322" s="92"/>
      <c r="AW322" s="92"/>
      <c r="AX322" s="92"/>
      <c r="AY322" s="92"/>
      <c r="AZ322" s="92"/>
      <c r="BA322" s="92"/>
      <c r="BB322" s="92"/>
      <c r="BC322" s="92"/>
      <c r="BD322" s="92"/>
      <c r="BE322" s="92"/>
      <c r="BF322" s="92"/>
      <c r="BG322" s="92"/>
      <c r="BH322" s="92"/>
      <c r="BI322" s="92"/>
      <c r="BJ322" s="92"/>
      <c r="BK322" s="92"/>
      <c r="BL322" s="92"/>
      <c r="BM322" s="92"/>
      <c r="BN322" s="92"/>
      <c r="BO322" s="92"/>
      <c r="BP322" s="92"/>
      <c r="BQ322" s="92"/>
      <c r="BR322" s="92"/>
      <c r="BS322" s="92"/>
      <c r="BT322" s="92"/>
      <c r="BU322" s="92"/>
      <c r="BV322" s="92"/>
      <c r="BW322" s="92"/>
      <c r="BX322" s="92"/>
      <c r="BY322" s="92"/>
      <c r="BZ322" s="92"/>
      <c r="CA322" s="92"/>
      <c r="CB322" s="92"/>
      <c r="CC322" s="92"/>
      <c r="CD322" s="92"/>
      <c r="CE322" s="92"/>
      <c r="CF322" s="92"/>
      <c r="CG322" s="92"/>
      <c r="CH322" s="92"/>
      <c r="CI322" s="92"/>
      <c r="CJ322" s="92"/>
      <c r="CK322" s="92"/>
      <c r="CL322" s="92"/>
      <c r="CM322" s="92"/>
      <c r="CN322" s="92"/>
      <c r="CO322" s="92"/>
      <c r="CP322" s="92"/>
      <c r="CQ322" s="92"/>
      <c r="CR322" s="92"/>
      <c r="CS322" s="92"/>
      <c r="CT322" s="92"/>
      <c r="CU322" s="92"/>
      <c r="CV322" s="92"/>
      <c r="CW322" s="92"/>
      <c r="CX322" s="92"/>
      <c r="CY322" s="92"/>
      <c r="CZ322" s="92"/>
      <c r="DA322" s="92"/>
      <c r="DB322" s="92"/>
      <c r="DC322" s="92"/>
      <c r="DD322" s="92"/>
      <c r="DE322" s="92"/>
      <c r="DF322" s="92"/>
      <c r="DG322" s="92"/>
      <c r="DH322" s="92"/>
      <c r="DI322" s="92"/>
      <c r="DJ322" s="92"/>
      <c r="DK322" s="92"/>
      <c r="DL322" s="92"/>
      <c r="DM322" s="92"/>
      <c r="DN322" s="92"/>
      <c r="DO322" s="92"/>
      <c r="DP322" s="92"/>
      <c r="DQ322" s="92"/>
      <c r="DR322" s="92"/>
      <c r="DS322" s="92"/>
      <c r="DT322" s="92"/>
      <c r="DU322" s="92"/>
      <c r="DV322" s="92"/>
      <c r="DW322" s="92"/>
      <c r="DX322" s="92"/>
      <c r="DY322" s="92"/>
      <c r="DZ322" s="92"/>
      <c r="EA322" s="92"/>
      <c r="EB322" s="92"/>
      <c r="EC322" s="92"/>
      <c r="ED322" s="92"/>
      <c r="EE322" s="92"/>
      <c r="EF322" s="92"/>
      <c r="EG322" s="92"/>
      <c r="EH322" s="92"/>
      <c r="EI322" s="92"/>
      <c r="EJ322" s="92"/>
      <c r="EK322" s="92"/>
      <c r="EL322" s="92"/>
      <c r="EM322" s="92"/>
      <c r="EN322" s="92"/>
      <c r="EO322" s="92"/>
      <c r="EP322" s="92"/>
      <c r="EQ322" s="92"/>
      <c r="ER322" s="92"/>
      <c r="ES322" s="92"/>
      <c r="ET322" s="92"/>
      <c r="EU322" s="92"/>
      <c r="EV322" s="92"/>
      <c r="EW322" s="92"/>
      <c r="EX322" s="92"/>
      <c r="EY322" s="92"/>
      <c r="EZ322" s="92"/>
      <c r="FA322" s="92"/>
      <c r="FB322" s="92"/>
      <c r="FC322" s="92"/>
      <c r="FD322" s="92"/>
      <c r="FE322" s="92"/>
      <c r="FF322" s="92"/>
      <c r="FG322" s="92"/>
      <c r="FH322" s="92"/>
    </row>
    <row r="323">
      <c r="A323" s="30" t="s">
        <v>54</v>
      </c>
      <c r="B323" s="30" t="s">
        <v>62</v>
      </c>
      <c r="C323" s="31" t="str">
        <f>HYPERLINK("https://docs.google.com/spreadsheets/d/15oYBGUX1143N7rziu9fyWtq-evoU7N7l/edit?usp=share_link&amp;ouid=106501987799020758802&amp;rtpof=true&amp;sd=true", "Raw Delivered")</f>
        <v>Raw Delivered</v>
      </c>
      <c r="D323" s="96">
        <f t="shared" si="1"/>
        <v>4813.914394</v>
      </c>
      <c r="E323" s="92">
        <f>(SUBSTITUTE(Audio!E323, "RE-", "", 1))*1</f>
        <v>0</v>
      </c>
      <c r="F323" s="92">
        <f>(SUBSTITUTE(Audio!F323, "RE-", "", 1))*1</f>
        <v>1245.0487</v>
      </c>
      <c r="G323" s="92">
        <f>(SUBSTITUTE(Audio!G323, "RE-", "", 1))*1</f>
        <v>0</v>
      </c>
      <c r="H323" s="92">
        <f>(SUBSTITUTE(Audio!H323, "RE-", "", 1))*1</f>
        <v>169.3876375</v>
      </c>
      <c r="I323" s="92">
        <f>(SUBSTITUTE(Audio!I323, "RE-", "", 1))*1</f>
        <v>0</v>
      </c>
      <c r="J323" s="92">
        <f>(SUBSTITUTE(Audio!J323, "RE-", "", 1))*1</f>
        <v>989.2731802</v>
      </c>
      <c r="K323" s="92">
        <f>(SUBSTITUTE(Audio!K323, "RE-", "", 1))*1</f>
        <v>0</v>
      </c>
      <c r="L323" s="92">
        <f>(SUBSTITUTE(Audio!L323, "RE-", "", 1))*1</f>
        <v>1184.096646</v>
      </c>
      <c r="M323" s="92">
        <f>(SUBSTITUTE(Audio!M323, "RE-", "", 1))*1</f>
        <v>0</v>
      </c>
      <c r="N323" s="92">
        <f>(SUBSTITUTE(Audio!N323, "RE-", "", 1))*1</f>
        <v>887.1777896</v>
      </c>
      <c r="O323" s="92">
        <f>(SUBSTITUTE(Audio!O323, "RE-", "", 1))*1</f>
        <v>0</v>
      </c>
      <c r="P323" s="92">
        <f>(SUBSTITUTE(Audio!P323, "RE-", "", 1))*1</f>
        <v>140.9644031</v>
      </c>
      <c r="Q323" s="92">
        <f>(SUBSTITUTE(Audio!Q323, "RE-", "", 1))*1</f>
        <v>0</v>
      </c>
      <c r="R323" s="92">
        <f>(SUBSTITUTE(Audio!R323, "RE-", "", 1))*1</f>
        <v>29.78029792</v>
      </c>
      <c r="S323" s="92">
        <f>(SUBSTITUTE(Audio!S323, "RE-", "", 1))*1</f>
        <v>0</v>
      </c>
      <c r="T323" s="92">
        <f>(SUBSTITUTE(Audio!T323, "RE-", "", 1))*1</f>
        <v>168.1857396</v>
      </c>
      <c r="U323" s="92">
        <f>(SUBSTITUTE(Audio!U323, "RE-", "", 1))*1</f>
        <v>0</v>
      </c>
      <c r="V323" s="92">
        <f>(SUBSTITUTE(Audio!V323, "RE-", "", 1))*1</f>
        <v>0</v>
      </c>
      <c r="W323" s="92">
        <f>(SUBSTITUTE(Audio!W323, "RE-", "", 1))*1</f>
        <v>0</v>
      </c>
      <c r="X323" s="92">
        <f>(SUBSTITUTE(Audio!X323, "RE-", "", 1))*1</f>
        <v>0</v>
      </c>
      <c r="Y323" s="92">
        <f>(SUBSTITUTE(Audio!Y323, "RE-", "", 1))*1</f>
        <v>0</v>
      </c>
      <c r="Z323" s="92">
        <f>(SUBSTITUTE(Audio!Z323, "RE-", "", 1))*1</f>
        <v>0</v>
      </c>
      <c r="AA323" s="92"/>
      <c r="AB323" s="92"/>
      <c r="AC323" s="92"/>
      <c r="AD323" s="92"/>
      <c r="AE323" s="92"/>
      <c r="AF323" s="92"/>
      <c r="AG323" s="92"/>
      <c r="AH323" s="92"/>
      <c r="AI323" s="92"/>
      <c r="AJ323" s="92"/>
      <c r="AK323" s="92"/>
      <c r="AL323" s="92"/>
      <c r="AM323" s="92"/>
      <c r="AN323" s="92"/>
      <c r="AO323" s="92"/>
      <c r="AP323" s="92"/>
      <c r="AQ323" s="92"/>
      <c r="AR323" s="92"/>
      <c r="AS323" s="92"/>
      <c r="AT323" s="92"/>
      <c r="AU323" s="92"/>
      <c r="AV323" s="92"/>
      <c r="AW323" s="92"/>
      <c r="AX323" s="92"/>
      <c r="AY323" s="92"/>
      <c r="AZ323" s="92"/>
      <c r="BA323" s="92"/>
      <c r="BB323" s="92"/>
      <c r="BC323" s="92"/>
      <c r="BD323" s="92"/>
      <c r="BE323" s="92"/>
      <c r="BF323" s="92"/>
      <c r="BG323" s="92"/>
      <c r="BH323" s="92"/>
      <c r="BI323" s="92"/>
      <c r="BJ323" s="92"/>
      <c r="BK323" s="92"/>
      <c r="BL323" s="92"/>
      <c r="BM323" s="92"/>
      <c r="BN323" s="92"/>
      <c r="BO323" s="92"/>
      <c r="BP323" s="92"/>
      <c r="BQ323" s="92"/>
      <c r="BR323" s="92"/>
      <c r="BS323" s="92"/>
      <c r="BT323" s="92"/>
      <c r="BU323" s="92"/>
      <c r="BV323" s="92"/>
      <c r="BW323" s="92"/>
      <c r="BX323" s="92"/>
      <c r="BY323" s="92"/>
      <c r="BZ323" s="92"/>
      <c r="CA323" s="92"/>
      <c r="CB323" s="92"/>
      <c r="CC323" s="92"/>
      <c r="CD323" s="92"/>
      <c r="CE323" s="92"/>
      <c r="CF323" s="92"/>
      <c r="CG323" s="92"/>
      <c r="CH323" s="92"/>
      <c r="CI323" s="92"/>
      <c r="CJ323" s="92"/>
      <c r="CK323" s="92"/>
      <c r="CL323" s="92"/>
      <c r="CM323" s="92"/>
      <c r="CN323" s="92"/>
      <c r="CO323" s="92"/>
      <c r="CP323" s="92"/>
      <c r="CQ323" s="92"/>
      <c r="CR323" s="92"/>
      <c r="CS323" s="92"/>
      <c r="CT323" s="92"/>
      <c r="CU323" s="92"/>
      <c r="CV323" s="92"/>
      <c r="CW323" s="92"/>
      <c r="CX323" s="92"/>
      <c r="CY323" s="92"/>
      <c r="CZ323" s="92"/>
      <c r="DA323" s="92"/>
      <c r="DB323" s="92"/>
      <c r="DC323" s="92"/>
      <c r="DD323" s="92"/>
      <c r="DE323" s="92"/>
      <c r="DF323" s="92"/>
      <c r="DG323" s="92"/>
      <c r="DH323" s="92"/>
      <c r="DI323" s="92"/>
      <c r="DJ323" s="92"/>
      <c r="DK323" s="92"/>
      <c r="DL323" s="92"/>
      <c r="DM323" s="92"/>
      <c r="DN323" s="92"/>
      <c r="DO323" s="92"/>
      <c r="DP323" s="92"/>
      <c r="DQ323" s="92"/>
      <c r="DR323" s="92"/>
      <c r="DS323" s="92"/>
      <c r="DT323" s="92"/>
      <c r="DU323" s="92"/>
      <c r="DV323" s="92"/>
      <c r="DW323" s="92"/>
      <c r="DX323" s="92"/>
      <c r="DY323" s="92"/>
      <c r="DZ323" s="92"/>
      <c r="EA323" s="92"/>
      <c r="EB323" s="92"/>
      <c r="EC323" s="92"/>
      <c r="ED323" s="92"/>
      <c r="EE323" s="92"/>
      <c r="EF323" s="92"/>
      <c r="EG323" s="92"/>
      <c r="EH323" s="92"/>
      <c r="EI323" s="92"/>
      <c r="EJ323" s="92"/>
      <c r="EK323" s="92"/>
      <c r="EL323" s="92"/>
      <c r="EM323" s="92"/>
      <c r="EN323" s="92"/>
      <c r="EO323" s="92"/>
      <c r="EP323" s="92"/>
      <c r="EQ323" s="92"/>
      <c r="ER323" s="92"/>
      <c r="ES323" s="92"/>
      <c r="ET323" s="92"/>
      <c r="EU323" s="92"/>
      <c r="EV323" s="92"/>
      <c r="EW323" s="92"/>
      <c r="EX323" s="92"/>
      <c r="EY323" s="92"/>
      <c r="EZ323" s="92"/>
      <c r="FA323" s="92"/>
      <c r="FB323" s="92"/>
      <c r="FC323" s="92"/>
      <c r="FD323" s="92"/>
      <c r="FE323" s="92"/>
      <c r="FF323" s="92"/>
      <c r="FG323" s="92"/>
      <c r="FH323" s="92"/>
    </row>
    <row r="324">
      <c r="A324" s="32" t="s">
        <v>54</v>
      </c>
      <c r="B324" s="32" t="s">
        <v>62</v>
      </c>
      <c r="C324" s="32" t="s">
        <v>9</v>
      </c>
      <c r="D324" s="97">
        <f t="shared" si="1"/>
        <v>4813.914394</v>
      </c>
      <c r="E324" s="92">
        <f>(SUBSTITUTE(Audio!E324, "RE-", "", 1))*1</f>
        <v>0</v>
      </c>
      <c r="F324" s="92">
        <f>(SUBSTITUTE(Audio!F324, "RE-", "", 1))*1</f>
        <v>1245.0487</v>
      </c>
      <c r="G324" s="92">
        <f>(SUBSTITUTE(Audio!G324, "RE-", "", 1))*1</f>
        <v>0</v>
      </c>
      <c r="H324" s="92">
        <f>(SUBSTITUTE(Audio!H324, "RE-", "", 1))*1</f>
        <v>169.3876375</v>
      </c>
      <c r="I324" s="92">
        <f>(SUBSTITUTE(Audio!I324, "RE-", "", 1))*1</f>
        <v>0</v>
      </c>
      <c r="J324" s="92">
        <f>(SUBSTITUTE(Audio!J324, "RE-", "", 1))*1</f>
        <v>989.2731802</v>
      </c>
      <c r="K324" s="92">
        <f>(SUBSTITUTE(Audio!K324, "RE-", "", 1))*1</f>
        <v>0</v>
      </c>
      <c r="L324" s="92">
        <f>(SUBSTITUTE(Audio!L324, "RE-", "", 1))*1</f>
        <v>1184.096646</v>
      </c>
      <c r="M324" s="92">
        <f>(SUBSTITUTE(Audio!M324, "RE-", "", 1))*1</f>
        <v>0</v>
      </c>
      <c r="N324" s="92">
        <f>(SUBSTITUTE(Audio!N324, "RE-", "", 1))*1</f>
        <v>887.1777896</v>
      </c>
      <c r="O324" s="92">
        <f>(SUBSTITUTE(Audio!O324, "RE-", "", 1))*1</f>
        <v>0</v>
      </c>
      <c r="P324" s="92">
        <f>(SUBSTITUTE(Audio!P324, "RE-", "", 1))*1</f>
        <v>140.9644031</v>
      </c>
      <c r="Q324" s="92">
        <f>(SUBSTITUTE(Audio!Q324, "RE-", "", 1))*1</f>
        <v>0</v>
      </c>
      <c r="R324" s="92">
        <f>(SUBSTITUTE(Audio!R324, "RE-", "", 1))*1</f>
        <v>29.78029792</v>
      </c>
      <c r="S324" s="92">
        <f>(SUBSTITUTE(Audio!S324, "RE-", "", 1))*1</f>
        <v>0</v>
      </c>
      <c r="T324" s="92">
        <f>(SUBSTITUTE(Audio!T324, "RE-", "", 1))*1</f>
        <v>168.1857396</v>
      </c>
      <c r="U324" s="92">
        <f>(SUBSTITUTE(Audio!U324, "RE-", "", 1))*1</f>
        <v>0</v>
      </c>
      <c r="V324" s="92">
        <f>(SUBSTITUTE(Audio!V324, "RE-", "", 1))*1</f>
        <v>0</v>
      </c>
      <c r="W324" s="92">
        <f>(SUBSTITUTE(Audio!W324, "RE-", "", 1))*1</f>
        <v>0</v>
      </c>
      <c r="X324" s="92">
        <f>(SUBSTITUTE(Audio!X324, "RE-", "", 1))*1</f>
        <v>0</v>
      </c>
      <c r="Y324" s="92">
        <f>(SUBSTITUTE(Audio!Y324, "RE-", "", 1))*1</f>
        <v>0</v>
      </c>
      <c r="Z324" s="92">
        <f>(SUBSTITUTE(Audio!Z324, "RE-", "", 1))*1</f>
        <v>0</v>
      </c>
      <c r="AA324" s="92"/>
      <c r="AB324" s="92"/>
      <c r="AC324" s="92"/>
      <c r="AD324" s="92"/>
      <c r="AE324" s="92"/>
      <c r="AF324" s="92"/>
      <c r="AG324" s="92"/>
      <c r="AH324" s="92"/>
      <c r="AI324" s="92"/>
      <c r="AJ324" s="92"/>
      <c r="AK324" s="92"/>
      <c r="AL324" s="92"/>
      <c r="AM324" s="92"/>
      <c r="AN324" s="92"/>
      <c r="AO324" s="92"/>
      <c r="AP324" s="92"/>
      <c r="AQ324" s="92"/>
      <c r="AR324" s="92"/>
      <c r="AS324" s="92"/>
      <c r="AT324" s="92"/>
      <c r="AU324" s="92"/>
      <c r="AV324" s="92"/>
      <c r="AW324" s="92"/>
      <c r="AX324" s="92"/>
      <c r="AY324" s="92"/>
      <c r="AZ324" s="92"/>
      <c r="BA324" s="92"/>
      <c r="BB324" s="92"/>
      <c r="BC324" s="92"/>
      <c r="BD324" s="92"/>
      <c r="BE324" s="92"/>
      <c r="BF324" s="92"/>
      <c r="BG324" s="92"/>
      <c r="BH324" s="92"/>
      <c r="BI324" s="92"/>
      <c r="BJ324" s="92"/>
      <c r="BK324" s="92"/>
      <c r="BL324" s="92"/>
      <c r="BM324" s="92"/>
      <c r="BN324" s="92"/>
      <c r="BO324" s="92"/>
      <c r="BP324" s="92"/>
      <c r="BQ324" s="92"/>
      <c r="BR324" s="92"/>
      <c r="BS324" s="92"/>
      <c r="BT324" s="92"/>
      <c r="BU324" s="92"/>
      <c r="BV324" s="92"/>
      <c r="BW324" s="92"/>
      <c r="BX324" s="92"/>
      <c r="BY324" s="92"/>
      <c r="BZ324" s="92"/>
      <c r="CA324" s="92"/>
      <c r="CB324" s="92"/>
      <c r="CC324" s="92"/>
      <c r="CD324" s="92"/>
      <c r="CE324" s="92"/>
      <c r="CF324" s="92"/>
      <c r="CG324" s="92"/>
      <c r="CH324" s="92"/>
      <c r="CI324" s="92"/>
      <c r="CJ324" s="92"/>
      <c r="CK324" s="92"/>
      <c r="CL324" s="92"/>
      <c r="CM324" s="92"/>
      <c r="CN324" s="92"/>
      <c r="CO324" s="92"/>
      <c r="CP324" s="92"/>
      <c r="CQ324" s="92"/>
      <c r="CR324" s="92"/>
      <c r="CS324" s="92"/>
      <c r="CT324" s="92"/>
      <c r="CU324" s="92"/>
      <c r="CV324" s="92"/>
      <c r="CW324" s="92"/>
      <c r="CX324" s="92"/>
      <c r="CY324" s="92"/>
      <c r="CZ324" s="92"/>
      <c r="DA324" s="92"/>
      <c r="DB324" s="92"/>
      <c r="DC324" s="92"/>
      <c r="DD324" s="92"/>
      <c r="DE324" s="92"/>
      <c r="DF324" s="92"/>
      <c r="DG324" s="92"/>
      <c r="DH324" s="92"/>
      <c r="DI324" s="92"/>
      <c r="DJ324" s="92"/>
      <c r="DK324" s="92"/>
      <c r="DL324" s="92"/>
      <c r="DM324" s="92"/>
      <c r="DN324" s="92"/>
      <c r="DO324" s="92"/>
      <c r="DP324" s="92"/>
      <c r="DQ324" s="92"/>
      <c r="DR324" s="92"/>
      <c r="DS324" s="92"/>
      <c r="DT324" s="92"/>
      <c r="DU324" s="92"/>
      <c r="DV324" s="92"/>
      <c r="DW324" s="92"/>
      <c r="DX324" s="92"/>
      <c r="DY324" s="92"/>
      <c r="DZ324" s="92"/>
      <c r="EA324" s="92"/>
      <c r="EB324" s="92"/>
      <c r="EC324" s="92"/>
      <c r="ED324" s="92"/>
      <c r="EE324" s="92"/>
      <c r="EF324" s="92"/>
      <c r="EG324" s="92"/>
      <c r="EH324" s="92"/>
      <c r="EI324" s="92"/>
      <c r="EJ324" s="92"/>
      <c r="EK324" s="92"/>
      <c r="EL324" s="92"/>
      <c r="EM324" s="92"/>
      <c r="EN324" s="92"/>
      <c r="EO324" s="92"/>
      <c r="EP324" s="92"/>
      <c r="EQ324" s="92"/>
      <c r="ER324" s="92"/>
      <c r="ES324" s="92"/>
      <c r="ET324" s="92"/>
      <c r="EU324" s="92"/>
      <c r="EV324" s="92"/>
      <c r="EW324" s="92"/>
      <c r="EX324" s="92"/>
      <c r="EY324" s="92"/>
      <c r="EZ324" s="92"/>
      <c r="FA324" s="92"/>
      <c r="FB324" s="92"/>
      <c r="FC324" s="92"/>
      <c r="FD324" s="92"/>
      <c r="FE324" s="92"/>
      <c r="FF324" s="92"/>
      <c r="FG324" s="92"/>
      <c r="FH324" s="92"/>
    </row>
    <row r="325">
      <c r="A325" s="32" t="s">
        <v>54</v>
      </c>
      <c r="B325" s="32" t="s">
        <v>62</v>
      </c>
      <c r="C325" s="32" t="s">
        <v>10</v>
      </c>
      <c r="D325" s="97">
        <f t="shared" si="1"/>
        <v>502.0861396</v>
      </c>
      <c r="E325" s="92">
        <f>(SUBSTITUTE(Audio!E325, "RE-", "", 1))*1</f>
        <v>0</v>
      </c>
      <c r="F325" s="92">
        <f>(SUBSTITUTE(Audio!F325, "RE-", "", 1))*1</f>
        <v>0</v>
      </c>
      <c r="G325" s="92">
        <f>(SUBSTITUTE(Audio!G325, "RE-", "", 1))*1</f>
        <v>91.11860208</v>
      </c>
      <c r="H325" s="92">
        <f>(SUBSTITUTE(Audio!H325, "RE-", "", 1))*1</f>
        <v>0</v>
      </c>
      <c r="I325" s="92">
        <f>(SUBSTITUTE(Audio!I325, "RE-", "", 1))*1</f>
        <v>26.68722708</v>
      </c>
      <c r="J325" s="92">
        <f>(SUBSTITUTE(Audio!J325, "RE-", "", 1))*1</f>
        <v>0</v>
      </c>
      <c r="K325" s="92">
        <f>(SUBSTITUTE(Audio!K325, "RE-", "", 1))*1</f>
        <v>77.626275</v>
      </c>
      <c r="L325" s="92">
        <f>(SUBSTITUTE(Audio!L325, "RE-", "", 1))*1</f>
        <v>0</v>
      </c>
      <c r="M325" s="92">
        <f>(SUBSTITUTE(Audio!M325, "RE-", "", 1))*1</f>
        <v>68.46048438</v>
      </c>
      <c r="N325" s="92">
        <f>(SUBSTITUTE(Audio!N325, "RE-", "", 1))*1</f>
        <v>0</v>
      </c>
      <c r="O325" s="92">
        <f>(SUBSTITUTE(Audio!O325, "RE-", "", 1))*1</f>
        <v>89.92719375</v>
      </c>
      <c r="P325" s="92">
        <f>(SUBSTITUTE(Audio!P325, "RE-", "", 1))*1</f>
        <v>0</v>
      </c>
      <c r="Q325" s="92">
        <f>(SUBSTITUTE(Audio!Q325, "RE-", "", 1))*1</f>
        <v>127.2064406</v>
      </c>
      <c r="R325" s="92">
        <f>(SUBSTITUTE(Audio!R325, "RE-", "", 1))*1</f>
        <v>0</v>
      </c>
      <c r="S325" s="92">
        <f>(SUBSTITUTE(Audio!S325, "RE-", "", 1))*1</f>
        <v>9.488185417</v>
      </c>
      <c r="T325" s="92">
        <f>(SUBSTITUTE(Audio!T325, "RE-", "", 1))*1</f>
        <v>0</v>
      </c>
      <c r="U325" s="92">
        <f>(SUBSTITUTE(Audio!U325, "RE-", "", 1))*1</f>
        <v>5.759327083</v>
      </c>
      <c r="V325" s="92">
        <f>(SUBSTITUTE(Audio!V325, "RE-", "", 1))*1</f>
        <v>5.812404167</v>
      </c>
      <c r="W325" s="92">
        <f>(SUBSTITUTE(Audio!W325, "RE-", "", 1))*1</f>
        <v>0</v>
      </c>
      <c r="X325" s="92">
        <f>(SUBSTITUTE(Audio!X325, "RE-", "", 1))*1</f>
        <v>0</v>
      </c>
      <c r="Y325" s="92">
        <f>(SUBSTITUTE(Audio!Y325, "RE-", "", 1))*1</f>
        <v>0</v>
      </c>
      <c r="Z325" s="92">
        <f>(SUBSTITUTE(Audio!Z325, "RE-", "", 1))*1</f>
        <v>0</v>
      </c>
      <c r="AA325" s="92"/>
      <c r="AB325" s="92"/>
      <c r="AC325" s="92"/>
      <c r="AD325" s="92"/>
      <c r="AE325" s="92"/>
      <c r="AF325" s="92"/>
      <c r="AG325" s="92"/>
      <c r="AH325" s="92"/>
      <c r="AI325" s="92"/>
      <c r="AJ325" s="92"/>
      <c r="AK325" s="92"/>
      <c r="AL325" s="92"/>
      <c r="AM325" s="92"/>
      <c r="AN325" s="92"/>
      <c r="AO325" s="92"/>
      <c r="AP325" s="92"/>
      <c r="AQ325" s="92"/>
      <c r="AR325" s="92"/>
      <c r="AS325" s="92"/>
      <c r="AT325" s="92"/>
      <c r="AU325" s="92"/>
      <c r="AV325" s="92"/>
      <c r="AW325" s="92"/>
      <c r="AX325" s="92"/>
      <c r="AY325" s="92"/>
      <c r="AZ325" s="92"/>
      <c r="BA325" s="92"/>
      <c r="BB325" s="92"/>
      <c r="BC325" s="92"/>
      <c r="BD325" s="92"/>
      <c r="BE325" s="92"/>
      <c r="BF325" s="92"/>
      <c r="BG325" s="92"/>
      <c r="BH325" s="92"/>
      <c r="BI325" s="92"/>
      <c r="BJ325" s="92"/>
      <c r="BK325" s="92"/>
      <c r="BL325" s="92"/>
      <c r="BM325" s="92"/>
      <c r="BN325" s="92"/>
      <c r="BO325" s="92"/>
      <c r="BP325" s="92"/>
      <c r="BQ325" s="92"/>
      <c r="BR325" s="92"/>
      <c r="BS325" s="92"/>
      <c r="BT325" s="92"/>
      <c r="BU325" s="92"/>
      <c r="BV325" s="92"/>
      <c r="BW325" s="92"/>
      <c r="BX325" s="92"/>
      <c r="BY325" s="92"/>
      <c r="BZ325" s="92"/>
      <c r="CA325" s="92"/>
      <c r="CB325" s="92"/>
      <c r="CC325" s="92"/>
      <c r="CD325" s="92"/>
      <c r="CE325" s="92"/>
      <c r="CF325" s="92"/>
      <c r="CG325" s="92"/>
      <c r="CH325" s="92"/>
      <c r="CI325" s="92"/>
      <c r="CJ325" s="92"/>
      <c r="CK325" s="92"/>
      <c r="CL325" s="92"/>
      <c r="CM325" s="92"/>
      <c r="CN325" s="92"/>
      <c r="CO325" s="92"/>
      <c r="CP325" s="92"/>
      <c r="CQ325" s="92"/>
      <c r="CR325" s="92"/>
      <c r="CS325" s="92"/>
      <c r="CT325" s="92"/>
      <c r="CU325" s="92"/>
      <c r="CV325" s="92"/>
      <c r="CW325" s="92"/>
      <c r="CX325" s="92"/>
      <c r="CY325" s="92"/>
      <c r="CZ325" s="92"/>
      <c r="DA325" s="92"/>
      <c r="DB325" s="92"/>
      <c r="DC325" s="92"/>
      <c r="DD325" s="92"/>
      <c r="DE325" s="92"/>
      <c r="DF325" s="92"/>
      <c r="DG325" s="92"/>
      <c r="DH325" s="92"/>
      <c r="DI325" s="92"/>
      <c r="DJ325" s="92"/>
      <c r="DK325" s="92"/>
      <c r="DL325" s="92"/>
      <c r="DM325" s="92"/>
      <c r="DN325" s="92"/>
      <c r="DO325" s="92"/>
      <c r="DP325" s="92"/>
      <c r="DQ325" s="92"/>
      <c r="DR325" s="92"/>
      <c r="DS325" s="92"/>
      <c r="DT325" s="92"/>
      <c r="DU325" s="92"/>
      <c r="DV325" s="92"/>
      <c r="DW325" s="92"/>
      <c r="DX325" s="92"/>
      <c r="DY325" s="92"/>
      <c r="DZ325" s="92"/>
      <c r="EA325" s="92"/>
      <c r="EB325" s="92"/>
      <c r="EC325" s="92"/>
      <c r="ED325" s="92"/>
      <c r="EE325" s="92"/>
      <c r="EF325" s="92"/>
      <c r="EG325" s="92"/>
      <c r="EH325" s="92"/>
      <c r="EI325" s="92"/>
      <c r="EJ325" s="92"/>
      <c r="EK325" s="92"/>
      <c r="EL325" s="92"/>
      <c r="EM325" s="92"/>
      <c r="EN325" s="92"/>
      <c r="EO325" s="92"/>
      <c r="EP325" s="92"/>
      <c r="EQ325" s="92"/>
      <c r="ER325" s="92"/>
      <c r="ES325" s="92"/>
      <c r="ET325" s="92"/>
      <c r="EU325" s="92"/>
      <c r="EV325" s="92"/>
      <c r="EW325" s="92"/>
      <c r="EX325" s="92"/>
      <c r="EY325" s="92"/>
      <c r="EZ325" s="92"/>
      <c r="FA325" s="92"/>
      <c r="FB325" s="92"/>
      <c r="FC325" s="92"/>
      <c r="FD325" s="92"/>
      <c r="FE325" s="92"/>
      <c r="FF325" s="92"/>
      <c r="FG325" s="92"/>
      <c r="FH325" s="92"/>
    </row>
    <row r="326">
      <c r="A326" s="32" t="s">
        <v>54</v>
      </c>
      <c r="B326" s="32" t="s">
        <v>62</v>
      </c>
      <c r="C326" s="32" t="s">
        <v>11</v>
      </c>
      <c r="D326" s="97">
        <f t="shared" si="1"/>
        <v>502.0861396</v>
      </c>
      <c r="E326" s="92">
        <f>(SUBSTITUTE(Audio!E326, "RE-", "", 1))*1</f>
        <v>0</v>
      </c>
      <c r="F326" s="92">
        <f>(SUBSTITUTE(Audio!F326, "RE-", "", 1))*1</f>
        <v>0</v>
      </c>
      <c r="G326" s="92">
        <f>(SUBSTITUTE(Audio!G326, "RE-", "", 1))*1</f>
        <v>91.11860208</v>
      </c>
      <c r="H326" s="92">
        <f>(SUBSTITUTE(Audio!H326, "RE-", "", 1))*1</f>
        <v>0</v>
      </c>
      <c r="I326" s="92">
        <f>(SUBSTITUTE(Audio!I326, "RE-", "", 1))*1</f>
        <v>26.68722708</v>
      </c>
      <c r="J326" s="92">
        <f>(SUBSTITUTE(Audio!J326, "RE-", "", 1))*1</f>
        <v>0</v>
      </c>
      <c r="K326" s="92">
        <f>(SUBSTITUTE(Audio!K326, "RE-", "", 1))*1</f>
        <v>77.626275</v>
      </c>
      <c r="L326" s="92">
        <f>(SUBSTITUTE(Audio!L326, "RE-", "", 1))*1</f>
        <v>0</v>
      </c>
      <c r="M326" s="92">
        <f>(SUBSTITUTE(Audio!M326, "RE-", "", 1))*1</f>
        <v>68.46048438</v>
      </c>
      <c r="N326" s="92">
        <f>(SUBSTITUTE(Audio!N326, "RE-", "", 1))*1</f>
        <v>0</v>
      </c>
      <c r="O326" s="92">
        <f>(SUBSTITUTE(Audio!O326, "RE-", "", 1))*1</f>
        <v>89.92719375</v>
      </c>
      <c r="P326" s="92">
        <f>(SUBSTITUTE(Audio!P326, "RE-", "", 1))*1</f>
        <v>0</v>
      </c>
      <c r="Q326" s="92">
        <f>(SUBSTITUTE(Audio!Q326, "RE-", "", 1))*1</f>
        <v>127.2064406</v>
      </c>
      <c r="R326" s="92">
        <f>(SUBSTITUTE(Audio!R326, "RE-", "", 1))*1</f>
        <v>0</v>
      </c>
      <c r="S326" s="92">
        <f>(SUBSTITUTE(Audio!S326, "RE-", "", 1))*1</f>
        <v>9.488185417</v>
      </c>
      <c r="T326" s="92">
        <f>(SUBSTITUTE(Audio!T326, "RE-", "", 1))*1</f>
        <v>0</v>
      </c>
      <c r="U326" s="92">
        <f>(SUBSTITUTE(Audio!U326, "RE-", "", 1))*1</f>
        <v>5.759327083</v>
      </c>
      <c r="V326" s="92">
        <f>(SUBSTITUTE(Audio!V326, "RE-", "", 1))*1</f>
        <v>5.812404167</v>
      </c>
      <c r="W326" s="92">
        <f>(SUBSTITUTE(Audio!W326, "RE-", "", 1))*1</f>
        <v>0</v>
      </c>
      <c r="X326" s="92">
        <f>(SUBSTITUTE(Audio!X326, "RE-", "", 1))*1</f>
        <v>0</v>
      </c>
      <c r="Y326" s="92">
        <f>(SUBSTITUTE(Audio!Y326, "RE-", "", 1))*1</f>
        <v>0</v>
      </c>
      <c r="Z326" s="92">
        <f>(SUBSTITUTE(Audio!Z326, "RE-", "", 1))*1</f>
        <v>0</v>
      </c>
      <c r="AA326" s="92"/>
      <c r="AB326" s="92"/>
      <c r="AC326" s="92"/>
      <c r="AD326" s="92"/>
      <c r="AE326" s="92"/>
      <c r="AF326" s="92"/>
      <c r="AG326" s="92"/>
      <c r="AH326" s="92"/>
      <c r="AI326" s="92"/>
      <c r="AJ326" s="92"/>
      <c r="AK326" s="92"/>
      <c r="AL326" s="92"/>
      <c r="AM326" s="92"/>
      <c r="AN326" s="92"/>
      <c r="AO326" s="92"/>
      <c r="AP326" s="92"/>
      <c r="AQ326" s="92"/>
      <c r="AR326" s="92"/>
      <c r="AS326" s="92"/>
      <c r="AT326" s="92"/>
      <c r="AU326" s="92"/>
      <c r="AV326" s="92"/>
      <c r="AW326" s="92"/>
      <c r="AX326" s="92"/>
      <c r="AY326" s="92"/>
      <c r="AZ326" s="92"/>
      <c r="BA326" s="92"/>
      <c r="BB326" s="92"/>
      <c r="BC326" s="92"/>
      <c r="BD326" s="92"/>
      <c r="BE326" s="92"/>
      <c r="BF326" s="92"/>
      <c r="BG326" s="92"/>
      <c r="BH326" s="92"/>
      <c r="BI326" s="92"/>
      <c r="BJ326" s="92"/>
      <c r="BK326" s="92"/>
      <c r="BL326" s="92"/>
      <c r="BM326" s="92"/>
      <c r="BN326" s="92"/>
      <c r="BO326" s="92"/>
      <c r="BP326" s="92"/>
      <c r="BQ326" s="92"/>
      <c r="BR326" s="92"/>
      <c r="BS326" s="92"/>
      <c r="BT326" s="92"/>
      <c r="BU326" s="92"/>
      <c r="BV326" s="92"/>
      <c r="BW326" s="92"/>
      <c r="BX326" s="92"/>
      <c r="BY326" s="92"/>
      <c r="BZ326" s="92"/>
      <c r="CA326" s="92"/>
      <c r="CB326" s="92"/>
      <c r="CC326" s="92"/>
      <c r="CD326" s="92"/>
      <c r="CE326" s="92"/>
      <c r="CF326" s="92"/>
      <c r="CG326" s="92"/>
      <c r="CH326" s="92"/>
      <c r="CI326" s="92"/>
      <c r="CJ326" s="92"/>
      <c r="CK326" s="92"/>
      <c r="CL326" s="92"/>
      <c r="CM326" s="92"/>
      <c r="CN326" s="92"/>
      <c r="CO326" s="92"/>
      <c r="CP326" s="92"/>
      <c r="CQ326" s="92"/>
      <c r="CR326" s="92"/>
      <c r="CS326" s="92"/>
      <c r="CT326" s="92"/>
      <c r="CU326" s="92"/>
      <c r="CV326" s="92"/>
      <c r="CW326" s="92"/>
      <c r="CX326" s="92"/>
      <c r="CY326" s="92"/>
      <c r="CZ326" s="92"/>
      <c r="DA326" s="92"/>
      <c r="DB326" s="92"/>
      <c r="DC326" s="92"/>
      <c r="DD326" s="92"/>
      <c r="DE326" s="92"/>
      <c r="DF326" s="92"/>
      <c r="DG326" s="92"/>
      <c r="DH326" s="92"/>
      <c r="DI326" s="92"/>
      <c r="DJ326" s="92"/>
      <c r="DK326" s="92"/>
      <c r="DL326" s="92"/>
      <c r="DM326" s="92"/>
      <c r="DN326" s="92"/>
      <c r="DO326" s="92"/>
      <c r="DP326" s="92"/>
      <c r="DQ326" s="92"/>
      <c r="DR326" s="92"/>
      <c r="DS326" s="92"/>
      <c r="DT326" s="92"/>
      <c r="DU326" s="92"/>
      <c r="DV326" s="92"/>
      <c r="DW326" s="92"/>
      <c r="DX326" s="92"/>
      <c r="DY326" s="92"/>
      <c r="DZ326" s="92"/>
      <c r="EA326" s="92"/>
      <c r="EB326" s="92"/>
      <c r="EC326" s="92"/>
      <c r="ED326" s="92"/>
      <c r="EE326" s="92"/>
      <c r="EF326" s="92"/>
      <c r="EG326" s="92"/>
      <c r="EH326" s="92"/>
      <c r="EI326" s="92"/>
      <c r="EJ326" s="92"/>
      <c r="EK326" s="92"/>
      <c r="EL326" s="92"/>
      <c r="EM326" s="92"/>
      <c r="EN326" s="92"/>
      <c r="EO326" s="92"/>
      <c r="EP326" s="92"/>
      <c r="EQ326" s="92"/>
      <c r="ER326" s="92"/>
      <c r="ES326" s="92"/>
      <c r="ET326" s="92"/>
      <c r="EU326" s="92"/>
      <c r="EV326" s="92"/>
      <c r="EW326" s="92"/>
      <c r="EX326" s="92"/>
      <c r="EY326" s="92"/>
      <c r="EZ326" s="92"/>
      <c r="FA326" s="92"/>
      <c r="FB326" s="92"/>
      <c r="FC326" s="92"/>
      <c r="FD326" s="92"/>
      <c r="FE326" s="92"/>
      <c r="FF326" s="92"/>
      <c r="FG326" s="92"/>
      <c r="FH326" s="92"/>
    </row>
    <row r="327">
      <c r="A327" s="32" t="s">
        <v>54</v>
      </c>
      <c r="B327" s="32" t="s">
        <v>62</v>
      </c>
      <c r="C327" s="32" t="s">
        <v>12</v>
      </c>
      <c r="D327" s="97">
        <f t="shared" si="1"/>
        <v>3909.694439</v>
      </c>
      <c r="E327" s="92">
        <f>(SUBSTITUTE(Audio!E327, "RE-", "", 1))*1</f>
        <v>0</v>
      </c>
      <c r="F327" s="92">
        <f>(SUBSTITUTE(Audio!F327, "RE-", "", 1))*1</f>
        <v>997.5984927</v>
      </c>
      <c r="G327" s="92">
        <f>(SUBSTITUTE(Audio!G327, "RE-", "", 1))*1</f>
        <v>2.639083333</v>
      </c>
      <c r="H327" s="92">
        <f>(SUBSTITUTE(Audio!H327, "RE-", "", 1))*1</f>
        <v>144.2705917</v>
      </c>
      <c r="I327" s="92">
        <f>(SUBSTITUTE(Audio!I327, "RE-", "", 1))*1</f>
        <v>0</v>
      </c>
      <c r="J327" s="92">
        <f>(SUBSTITUTE(Audio!J327, "RE-", "", 1))*1</f>
        <v>767.5342271</v>
      </c>
      <c r="K327" s="92">
        <f>(SUBSTITUTE(Audio!K327, "RE-", "", 1))*1</f>
        <v>4.869552083</v>
      </c>
      <c r="L327" s="92">
        <f>(SUBSTITUTE(Audio!L327, "RE-", "", 1))*1</f>
        <v>1105.682097</v>
      </c>
      <c r="M327" s="92">
        <f>(SUBSTITUTE(Audio!M327, "RE-", "", 1))*1</f>
        <v>20.16793333</v>
      </c>
      <c r="N327" s="92">
        <f>(SUBSTITUTE(Audio!N327, "RE-", "", 1))*1</f>
        <v>495.7624333</v>
      </c>
      <c r="O327" s="92">
        <f>(SUBSTITUTE(Audio!O327, "RE-", "", 1))*1</f>
        <v>12.98325313</v>
      </c>
      <c r="P327" s="92">
        <f>(SUBSTITUTE(Audio!P327, "RE-", "", 1))*1</f>
        <v>116.9228573</v>
      </c>
      <c r="Q327" s="92">
        <f>(SUBSTITUTE(Audio!Q327, "RE-", "", 1))*1</f>
        <v>47.56922708</v>
      </c>
      <c r="R327" s="92">
        <f>(SUBSTITUTE(Audio!R327, "RE-", "", 1))*1</f>
        <v>26.57231875</v>
      </c>
      <c r="S327" s="92">
        <f>(SUBSTITUTE(Audio!S327, "RE-", "", 1))*1</f>
        <v>8.31969375</v>
      </c>
      <c r="T327" s="92">
        <f>(SUBSTITUTE(Audio!T327, "RE-", "", 1))*1</f>
        <v>151.5198823</v>
      </c>
      <c r="U327" s="92">
        <f>(SUBSTITUTE(Audio!U327, "RE-", "", 1))*1</f>
        <v>2.405639583</v>
      </c>
      <c r="V327" s="92">
        <f>(SUBSTITUTE(Audio!V327, "RE-", "", 1))*1</f>
        <v>4.87715625</v>
      </c>
      <c r="W327" s="92">
        <f>(SUBSTITUTE(Audio!W327, "RE-", "", 1))*1</f>
        <v>0</v>
      </c>
      <c r="X327" s="92">
        <f>(SUBSTITUTE(Audio!X327, "RE-", "", 1))*1</f>
        <v>0</v>
      </c>
      <c r="Y327" s="92">
        <f>(SUBSTITUTE(Audio!Y327, "RE-", "", 1))*1</f>
        <v>0</v>
      </c>
      <c r="Z327" s="92">
        <f>(SUBSTITUTE(Audio!Z327, "RE-", "", 1))*1</f>
        <v>0</v>
      </c>
      <c r="AA327" s="92"/>
      <c r="AB327" s="92"/>
      <c r="AC327" s="92"/>
      <c r="AD327" s="92"/>
      <c r="AE327" s="92"/>
      <c r="AF327" s="92"/>
      <c r="AG327" s="92"/>
      <c r="AH327" s="92"/>
      <c r="AI327" s="92"/>
      <c r="AJ327" s="92"/>
      <c r="AK327" s="92"/>
      <c r="AL327" s="92"/>
      <c r="AM327" s="92"/>
      <c r="AN327" s="92"/>
      <c r="AO327" s="92"/>
      <c r="AP327" s="92"/>
      <c r="AQ327" s="92"/>
      <c r="AR327" s="92"/>
      <c r="AS327" s="92"/>
      <c r="AT327" s="92"/>
      <c r="AU327" s="92"/>
      <c r="AV327" s="92"/>
      <c r="AW327" s="92"/>
      <c r="AX327" s="92"/>
      <c r="AY327" s="92"/>
      <c r="AZ327" s="92"/>
      <c r="BA327" s="92"/>
      <c r="BB327" s="92"/>
      <c r="BC327" s="92"/>
      <c r="BD327" s="92"/>
      <c r="BE327" s="92"/>
      <c r="BF327" s="92"/>
      <c r="BG327" s="92"/>
      <c r="BH327" s="92"/>
      <c r="BI327" s="92"/>
      <c r="BJ327" s="92"/>
      <c r="BK327" s="92"/>
      <c r="BL327" s="92"/>
      <c r="BM327" s="92"/>
      <c r="BN327" s="92"/>
      <c r="BO327" s="92"/>
      <c r="BP327" s="92"/>
      <c r="BQ327" s="92"/>
      <c r="BR327" s="92"/>
      <c r="BS327" s="92"/>
      <c r="BT327" s="92"/>
      <c r="BU327" s="92"/>
      <c r="BV327" s="92"/>
      <c r="BW327" s="92"/>
      <c r="BX327" s="92"/>
      <c r="BY327" s="92"/>
      <c r="BZ327" s="92"/>
      <c r="CA327" s="92"/>
      <c r="CB327" s="92"/>
      <c r="CC327" s="92"/>
      <c r="CD327" s="92"/>
      <c r="CE327" s="92"/>
      <c r="CF327" s="92"/>
      <c r="CG327" s="92"/>
      <c r="CH327" s="92"/>
      <c r="CI327" s="92"/>
      <c r="CJ327" s="92"/>
      <c r="CK327" s="92"/>
      <c r="CL327" s="92"/>
      <c r="CM327" s="92"/>
      <c r="CN327" s="92"/>
      <c r="CO327" s="92"/>
      <c r="CP327" s="92"/>
      <c r="CQ327" s="92"/>
      <c r="CR327" s="92"/>
      <c r="CS327" s="92"/>
      <c r="CT327" s="92"/>
      <c r="CU327" s="92"/>
      <c r="CV327" s="92"/>
      <c r="CW327" s="92"/>
      <c r="CX327" s="92"/>
      <c r="CY327" s="92"/>
      <c r="CZ327" s="92"/>
      <c r="DA327" s="92"/>
      <c r="DB327" s="92"/>
      <c r="DC327" s="92"/>
      <c r="DD327" s="92"/>
      <c r="DE327" s="92"/>
      <c r="DF327" s="92"/>
      <c r="DG327" s="92"/>
      <c r="DH327" s="92"/>
      <c r="DI327" s="92"/>
      <c r="DJ327" s="92"/>
      <c r="DK327" s="92"/>
      <c r="DL327" s="92"/>
      <c r="DM327" s="92"/>
      <c r="DN327" s="92"/>
      <c r="DO327" s="92"/>
      <c r="DP327" s="92"/>
      <c r="DQ327" s="92"/>
      <c r="DR327" s="92"/>
      <c r="DS327" s="92"/>
      <c r="DT327" s="92"/>
      <c r="DU327" s="92"/>
      <c r="DV327" s="92"/>
      <c r="DW327" s="92"/>
      <c r="DX327" s="92"/>
      <c r="DY327" s="92"/>
      <c r="DZ327" s="92"/>
      <c r="EA327" s="92"/>
      <c r="EB327" s="92"/>
      <c r="EC327" s="92"/>
      <c r="ED327" s="92"/>
      <c r="EE327" s="92"/>
      <c r="EF327" s="92"/>
      <c r="EG327" s="92"/>
      <c r="EH327" s="92"/>
      <c r="EI327" s="92"/>
      <c r="EJ327" s="92"/>
      <c r="EK327" s="92"/>
      <c r="EL327" s="92"/>
      <c r="EM327" s="92"/>
      <c r="EN327" s="92"/>
      <c r="EO327" s="92"/>
      <c r="EP327" s="92"/>
      <c r="EQ327" s="92"/>
      <c r="ER327" s="92"/>
      <c r="ES327" s="92"/>
      <c r="ET327" s="92"/>
      <c r="EU327" s="92"/>
      <c r="EV327" s="92"/>
      <c r="EW327" s="92"/>
      <c r="EX327" s="92"/>
      <c r="EY327" s="92"/>
      <c r="EZ327" s="92"/>
      <c r="FA327" s="92"/>
      <c r="FB327" s="92"/>
      <c r="FC327" s="92"/>
      <c r="FD327" s="92"/>
      <c r="FE327" s="92"/>
      <c r="FF327" s="92"/>
      <c r="FG327" s="92"/>
      <c r="FH327" s="92"/>
    </row>
    <row r="328">
      <c r="A328" s="32" t="s">
        <v>54</v>
      </c>
      <c r="B328" s="32" t="s">
        <v>62</v>
      </c>
      <c r="C328" s="32" t="s">
        <v>13</v>
      </c>
      <c r="D328" s="97">
        <f t="shared" si="1"/>
        <v>3790.92788</v>
      </c>
      <c r="E328" s="92">
        <f>(SUBSTITUTE(Audio!E328, "RE-", "", 1))*1</f>
        <v>0</v>
      </c>
      <c r="F328" s="92">
        <f>(SUBSTITUTE(Audio!F328, "RE-", "", 1))*1</f>
        <v>974.271</v>
      </c>
      <c r="G328" s="92">
        <f>(SUBSTITUTE(Audio!G328, "RE-", "", 1))*1</f>
        <v>2.54762</v>
      </c>
      <c r="H328" s="92">
        <f>(SUBSTITUTE(Audio!H328, "RE-", "", 1))*1</f>
        <v>142.576</v>
      </c>
      <c r="I328" s="92">
        <f>(SUBSTITUTE(Audio!I328, "RE-", "", 1))*1</f>
        <v>0</v>
      </c>
      <c r="J328" s="92">
        <f>(SUBSTITUTE(Audio!J328, "RE-", "", 1))*1</f>
        <v>746.754</v>
      </c>
      <c r="K328" s="92">
        <f>(SUBSTITUTE(Audio!K328, "RE-", "", 1))*1</f>
        <v>4.74607</v>
      </c>
      <c r="L328" s="92">
        <f>(SUBSTITUTE(Audio!L328, "RE-", "", 1))*1</f>
        <v>1063</v>
      </c>
      <c r="M328" s="92">
        <f>(SUBSTITUTE(Audio!M328, "RE-", "", 1))*1</f>
        <v>19.3572</v>
      </c>
      <c r="N328" s="92">
        <f>(SUBSTITUTE(Audio!N328, "RE-", "", 1))*1</f>
        <v>480.367</v>
      </c>
      <c r="O328" s="92">
        <f>(SUBSTITUTE(Audio!O328, "RE-", "", 1))*1</f>
        <v>12.2543</v>
      </c>
      <c r="P328" s="92">
        <f>(SUBSTITUTE(Audio!P328, "RE-", "", 1))*1</f>
        <v>112.855</v>
      </c>
      <c r="Q328" s="92">
        <f>(SUBSTITUTE(Audio!Q328, "RE-", "", 1))*1</f>
        <v>45.78</v>
      </c>
      <c r="R328" s="92">
        <f>(SUBSTITUTE(Audio!R328, "RE-", "", 1))*1</f>
        <v>25.8594</v>
      </c>
      <c r="S328" s="92">
        <f>(SUBSTITUTE(Audio!S328, "RE-", "", 1))*1</f>
        <v>7.65832</v>
      </c>
      <c r="T328" s="92">
        <f>(SUBSTITUTE(Audio!T328, "RE-", "", 1))*1</f>
        <v>145.952</v>
      </c>
      <c r="U328" s="92">
        <f>(SUBSTITUTE(Audio!U328, "RE-", "", 1))*1</f>
        <v>2.36402</v>
      </c>
      <c r="V328" s="92">
        <f>(SUBSTITUTE(Audio!V328, "RE-", "", 1))*1</f>
        <v>4.58595</v>
      </c>
      <c r="W328" s="92">
        <f>(SUBSTITUTE(Audio!W328, "RE-", "", 1))*1</f>
        <v>0</v>
      </c>
      <c r="X328" s="92">
        <f>(SUBSTITUTE(Audio!X328, "RE-", "", 1))*1</f>
        <v>0</v>
      </c>
      <c r="Y328" s="92">
        <f>(SUBSTITUTE(Audio!Y328, "RE-", "", 1))*1</f>
        <v>0</v>
      </c>
      <c r="Z328" s="92">
        <f>(SUBSTITUTE(Audio!Z328, "RE-", "", 1))*1</f>
        <v>0</v>
      </c>
      <c r="AA328" s="92"/>
      <c r="AB328" s="92"/>
      <c r="AC328" s="92"/>
      <c r="AD328" s="92"/>
      <c r="AE328" s="92"/>
      <c r="AF328" s="92"/>
      <c r="AG328" s="92"/>
      <c r="AH328" s="92"/>
      <c r="AI328" s="92"/>
      <c r="AJ328" s="92"/>
      <c r="AK328" s="92"/>
      <c r="AL328" s="92"/>
      <c r="AM328" s="92"/>
      <c r="AN328" s="92"/>
      <c r="AO328" s="92"/>
      <c r="AP328" s="92"/>
      <c r="AQ328" s="92"/>
      <c r="AR328" s="92"/>
      <c r="AS328" s="92"/>
      <c r="AT328" s="92"/>
      <c r="AU328" s="92"/>
      <c r="AV328" s="92"/>
      <c r="AW328" s="92"/>
      <c r="AX328" s="92"/>
      <c r="AY328" s="92"/>
      <c r="AZ328" s="92"/>
      <c r="BA328" s="92"/>
      <c r="BB328" s="92"/>
      <c r="BC328" s="92"/>
      <c r="BD328" s="92"/>
      <c r="BE328" s="92"/>
      <c r="BF328" s="92"/>
      <c r="BG328" s="92"/>
      <c r="BH328" s="92"/>
      <c r="BI328" s="92"/>
      <c r="BJ328" s="92"/>
      <c r="BK328" s="92"/>
      <c r="BL328" s="92"/>
      <c r="BM328" s="92"/>
      <c r="BN328" s="92"/>
      <c r="BO328" s="92"/>
      <c r="BP328" s="92"/>
      <c r="BQ328" s="92"/>
      <c r="BR328" s="92"/>
      <c r="BS328" s="92"/>
      <c r="BT328" s="92"/>
      <c r="BU328" s="92"/>
      <c r="BV328" s="92"/>
      <c r="BW328" s="92"/>
      <c r="BX328" s="92"/>
      <c r="BY328" s="92"/>
      <c r="BZ328" s="92"/>
      <c r="CA328" s="92"/>
      <c r="CB328" s="92"/>
      <c r="CC328" s="92"/>
      <c r="CD328" s="92"/>
      <c r="CE328" s="92"/>
      <c r="CF328" s="92"/>
      <c r="CG328" s="92"/>
      <c r="CH328" s="92"/>
      <c r="CI328" s="92"/>
      <c r="CJ328" s="92"/>
      <c r="CK328" s="92"/>
      <c r="CL328" s="92"/>
      <c r="CM328" s="92"/>
      <c r="CN328" s="92"/>
      <c r="CO328" s="92"/>
      <c r="CP328" s="92"/>
      <c r="CQ328" s="92"/>
      <c r="CR328" s="92"/>
      <c r="CS328" s="92"/>
      <c r="CT328" s="92"/>
      <c r="CU328" s="92"/>
      <c r="CV328" s="92"/>
      <c r="CW328" s="92"/>
      <c r="CX328" s="92"/>
      <c r="CY328" s="92"/>
      <c r="CZ328" s="92"/>
      <c r="DA328" s="92"/>
      <c r="DB328" s="92"/>
      <c r="DC328" s="92"/>
      <c r="DD328" s="92"/>
      <c r="DE328" s="92"/>
      <c r="DF328" s="92"/>
      <c r="DG328" s="92"/>
      <c r="DH328" s="92"/>
      <c r="DI328" s="92"/>
      <c r="DJ328" s="92"/>
      <c r="DK328" s="92"/>
      <c r="DL328" s="92"/>
      <c r="DM328" s="92"/>
      <c r="DN328" s="92"/>
      <c r="DO328" s="92"/>
      <c r="DP328" s="92"/>
      <c r="DQ328" s="92"/>
      <c r="DR328" s="92"/>
      <c r="DS328" s="92"/>
      <c r="DT328" s="92"/>
      <c r="DU328" s="92"/>
      <c r="DV328" s="92"/>
      <c r="DW328" s="92"/>
      <c r="DX328" s="92"/>
      <c r="DY328" s="92"/>
      <c r="DZ328" s="92"/>
      <c r="EA328" s="92"/>
      <c r="EB328" s="92"/>
      <c r="EC328" s="92"/>
      <c r="ED328" s="92"/>
      <c r="EE328" s="92"/>
      <c r="EF328" s="92"/>
      <c r="EG328" s="92"/>
      <c r="EH328" s="92"/>
      <c r="EI328" s="92"/>
      <c r="EJ328" s="92"/>
      <c r="EK328" s="92"/>
      <c r="EL328" s="92"/>
      <c r="EM328" s="92"/>
      <c r="EN328" s="92"/>
      <c r="EO328" s="92"/>
      <c r="EP328" s="92"/>
      <c r="EQ328" s="92"/>
      <c r="ER328" s="92"/>
      <c r="ES328" s="92"/>
      <c r="ET328" s="92"/>
      <c r="EU328" s="92"/>
      <c r="EV328" s="92"/>
      <c r="EW328" s="92"/>
      <c r="EX328" s="92"/>
      <c r="EY328" s="92"/>
      <c r="EZ328" s="92"/>
      <c r="FA328" s="92"/>
      <c r="FB328" s="92"/>
      <c r="FC328" s="92"/>
      <c r="FD328" s="92"/>
      <c r="FE328" s="92"/>
      <c r="FF328" s="92"/>
      <c r="FG328" s="92"/>
      <c r="FH328" s="92"/>
    </row>
    <row r="329">
      <c r="A329" s="32" t="s">
        <v>54</v>
      </c>
      <c r="B329" s="32" t="s">
        <v>62</v>
      </c>
      <c r="C329" s="32" t="s">
        <v>14</v>
      </c>
      <c r="D329" s="97">
        <f t="shared" si="1"/>
        <v>3432.90429</v>
      </c>
      <c r="E329" s="92">
        <f>(SUBSTITUTE(Audio!E329, "RE-", "", 1))*1</f>
        <v>0</v>
      </c>
      <c r="F329" s="92">
        <f>(SUBSTITUTE(Audio!F329, "RE-", "", 1))*1</f>
        <v>905.199</v>
      </c>
      <c r="G329" s="92">
        <f>(SUBSTITUTE(Audio!G329, "RE-", "", 1))*1</f>
        <v>2.54762</v>
      </c>
      <c r="H329" s="92">
        <f>(SUBSTITUTE(Audio!H329, "RE-", "", 1))*1</f>
        <v>131.783</v>
      </c>
      <c r="I329" s="92">
        <f>(SUBSTITUTE(Audio!I329, "RE-", "", 1))*1</f>
        <v>0</v>
      </c>
      <c r="J329" s="92">
        <f>(SUBSTITUTE(Audio!J329, "RE-", "", 1))*1</f>
        <v>696.963</v>
      </c>
      <c r="K329" s="92">
        <f>(SUBSTITUTE(Audio!K329, "RE-", "", 1))*1</f>
        <v>4.38317</v>
      </c>
      <c r="L329" s="92">
        <f>(SUBSTITUTE(Audio!L329, "RE-", "", 1))*1</f>
        <v>950.567</v>
      </c>
      <c r="M329" s="92">
        <f>(SUBSTITUTE(Audio!M329, "RE-", "", 1))*1</f>
        <v>16.9783</v>
      </c>
      <c r="N329" s="92">
        <f>(SUBSTITUTE(Audio!N329, "RE-", "", 1))*1</f>
        <v>416</v>
      </c>
      <c r="O329" s="92">
        <f>(SUBSTITUTE(Audio!O329, "RE-", "", 1))*1</f>
        <v>11.8211</v>
      </c>
      <c r="P329" s="92">
        <f>(SUBSTITUTE(Audio!P329, "RE-", "", 1))*1</f>
        <v>95.7296</v>
      </c>
      <c r="Q329" s="92">
        <f>(SUBSTITUTE(Audio!Q329, "RE-", "", 1))*1</f>
        <v>39.9286</v>
      </c>
      <c r="R329" s="92">
        <f>(SUBSTITUTE(Audio!R329, "RE-", "", 1))*1</f>
        <v>21.7997</v>
      </c>
      <c r="S329" s="92">
        <f>(SUBSTITUTE(Audio!S329, "RE-", "", 1))*1</f>
        <v>6.63235</v>
      </c>
      <c r="T329" s="92">
        <f>(SUBSTITUTE(Audio!T329, "RE-", "", 1))*1</f>
        <v>126.122</v>
      </c>
      <c r="U329" s="92">
        <f>(SUBSTITUTE(Audio!U329, "RE-", "", 1))*1</f>
        <v>2.36402</v>
      </c>
      <c r="V329" s="92">
        <f>(SUBSTITUTE(Audio!V329, "RE-", "", 1))*1</f>
        <v>4.08583</v>
      </c>
      <c r="W329" s="92">
        <f>(SUBSTITUTE(Audio!W329, "RE-", "", 1))*1</f>
        <v>0</v>
      </c>
      <c r="X329" s="92">
        <f>(SUBSTITUTE(Audio!X329, "RE-", "", 1))*1</f>
        <v>0</v>
      </c>
      <c r="Y329" s="92">
        <f>(SUBSTITUTE(Audio!Y329, "RE-", "", 1))*1</f>
        <v>0</v>
      </c>
      <c r="Z329" s="92">
        <f>(SUBSTITUTE(Audio!Z329, "RE-", "", 1))*1</f>
        <v>0</v>
      </c>
      <c r="AA329" s="92"/>
      <c r="AB329" s="92"/>
      <c r="AC329" s="92"/>
      <c r="AD329" s="92"/>
      <c r="AE329" s="92"/>
      <c r="AF329" s="92"/>
      <c r="AG329" s="92"/>
      <c r="AH329" s="92"/>
      <c r="AI329" s="92"/>
      <c r="AJ329" s="92"/>
      <c r="AK329" s="92"/>
      <c r="AL329" s="92"/>
      <c r="AM329" s="92"/>
      <c r="AN329" s="92"/>
      <c r="AO329" s="92"/>
      <c r="AP329" s="92"/>
      <c r="AQ329" s="92"/>
      <c r="AR329" s="92"/>
      <c r="AS329" s="92"/>
      <c r="AT329" s="92"/>
      <c r="AU329" s="92"/>
      <c r="AV329" s="92"/>
      <c r="AW329" s="92"/>
      <c r="AX329" s="92"/>
      <c r="AY329" s="92"/>
      <c r="AZ329" s="92"/>
      <c r="BA329" s="92"/>
      <c r="BB329" s="92"/>
      <c r="BC329" s="92"/>
      <c r="BD329" s="92"/>
      <c r="BE329" s="92"/>
      <c r="BF329" s="92"/>
      <c r="BG329" s="92"/>
      <c r="BH329" s="92"/>
      <c r="BI329" s="92"/>
      <c r="BJ329" s="92"/>
      <c r="BK329" s="92"/>
      <c r="BL329" s="92"/>
      <c r="BM329" s="92"/>
      <c r="BN329" s="92"/>
      <c r="BO329" s="92"/>
      <c r="BP329" s="92"/>
      <c r="BQ329" s="92"/>
      <c r="BR329" s="92"/>
      <c r="BS329" s="92"/>
      <c r="BT329" s="92"/>
      <c r="BU329" s="92"/>
      <c r="BV329" s="92"/>
      <c r="BW329" s="92"/>
      <c r="BX329" s="92"/>
      <c r="BY329" s="92"/>
      <c r="BZ329" s="92"/>
      <c r="CA329" s="92"/>
      <c r="CB329" s="92"/>
      <c r="CC329" s="92"/>
      <c r="CD329" s="92"/>
      <c r="CE329" s="92"/>
      <c r="CF329" s="92"/>
      <c r="CG329" s="92"/>
      <c r="CH329" s="92"/>
      <c r="CI329" s="92"/>
      <c r="CJ329" s="92"/>
      <c r="CK329" s="92"/>
      <c r="CL329" s="92"/>
      <c r="CM329" s="92"/>
      <c r="CN329" s="92"/>
      <c r="CO329" s="92"/>
      <c r="CP329" s="92"/>
      <c r="CQ329" s="92"/>
      <c r="CR329" s="92"/>
      <c r="CS329" s="92"/>
      <c r="CT329" s="92"/>
      <c r="CU329" s="92"/>
      <c r="CV329" s="92"/>
      <c r="CW329" s="92"/>
      <c r="CX329" s="92"/>
      <c r="CY329" s="92"/>
      <c r="CZ329" s="92"/>
      <c r="DA329" s="92"/>
      <c r="DB329" s="92"/>
      <c r="DC329" s="92"/>
      <c r="DD329" s="92"/>
      <c r="DE329" s="92"/>
      <c r="DF329" s="92"/>
      <c r="DG329" s="92"/>
      <c r="DH329" s="92"/>
      <c r="DI329" s="92"/>
      <c r="DJ329" s="92"/>
      <c r="DK329" s="92"/>
      <c r="DL329" s="92"/>
      <c r="DM329" s="92"/>
      <c r="DN329" s="92"/>
      <c r="DO329" s="92"/>
      <c r="DP329" s="92"/>
      <c r="DQ329" s="92"/>
      <c r="DR329" s="92"/>
      <c r="DS329" s="92"/>
      <c r="DT329" s="92"/>
      <c r="DU329" s="92"/>
      <c r="DV329" s="92"/>
      <c r="DW329" s="92"/>
      <c r="DX329" s="92"/>
      <c r="DY329" s="92"/>
      <c r="DZ329" s="92"/>
      <c r="EA329" s="92"/>
      <c r="EB329" s="92"/>
      <c r="EC329" s="92"/>
      <c r="ED329" s="92"/>
      <c r="EE329" s="92"/>
      <c r="EF329" s="92"/>
      <c r="EG329" s="92"/>
      <c r="EH329" s="92"/>
      <c r="EI329" s="92"/>
      <c r="EJ329" s="92"/>
      <c r="EK329" s="92"/>
      <c r="EL329" s="92"/>
      <c r="EM329" s="92"/>
      <c r="EN329" s="92"/>
      <c r="EO329" s="92"/>
      <c r="EP329" s="92"/>
      <c r="EQ329" s="92"/>
      <c r="ER329" s="92"/>
      <c r="ES329" s="92"/>
      <c r="ET329" s="92"/>
      <c r="EU329" s="92"/>
      <c r="EV329" s="92"/>
      <c r="EW329" s="92"/>
      <c r="EX329" s="92"/>
      <c r="EY329" s="92"/>
      <c r="EZ329" s="92"/>
      <c r="FA329" s="92"/>
      <c r="FB329" s="92"/>
      <c r="FC329" s="92"/>
      <c r="FD329" s="92"/>
      <c r="FE329" s="92"/>
      <c r="FF329" s="92"/>
      <c r="FG329" s="92"/>
      <c r="FH329" s="92"/>
    </row>
    <row r="330">
      <c r="A330" s="27" t="s">
        <v>54</v>
      </c>
      <c r="B330" s="27" t="s">
        <v>62</v>
      </c>
      <c r="C330" s="27" t="s">
        <v>15</v>
      </c>
      <c r="D330" s="98">
        <f t="shared" si="1"/>
        <v>3790.59388</v>
      </c>
      <c r="E330" s="92">
        <f>(SUBSTITUTE(Audio!E330, "RE-", "", 1))*1</f>
        <v>0</v>
      </c>
      <c r="F330" s="92">
        <f>(SUBSTITUTE(Audio!F330, "RE-", "", 1))*1</f>
        <v>973.951</v>
      </c>
      <c r="G330" s="92">
        <f>(SUBSTITUTE(Audio!G330, "RE-", "", 1))*1</f>
        <v>2.54762</v>
      </c>
      <c r="H330" s="92">
        <f>(SUBSTITUTE(Audio!H330, "RE-", "", 1))*1</f>
        <v>142.576</v>
      </c>
      <c r="I330" s="92">
        <f>(SUBSTITUTE(Audio!I330, "RE-", "", 1))*1</f>
        <v>0</v>
      </c>
      <c r="J330" s="92">
        <f>(SUBSTITUTE(Audio!J330, "RE-", "", 1))*1</f>
        <v>746.754</v>
      </c>
      <c r="K330" s="92">
        <f>(SUBSTITUTE(Audio!K330, "RE-", "", 1))*1</f>
        <v>4.74607</v>
      </c>
      <c r="L330" s="92">
        <f>(SUBSTITUTE(Audio!L330, "RE-", "", 1))*1</f>
        <v>1063</v>
      </c>
      <c r="M330" s="92">
        <f>(SUBSTITUTE(Audio!M330, "RE-", "", 1))*1</f>
        <v>19.3572</v>
      </c>
      <c r="N330" s="92">
        <f>(SUBSTITUTE(Audio!N330, "RE-", "", 1))*1</f>
        <v>480.353</v>
      </c>
      <c r="O330" s="92">
        <f>(SUBSTITUTE(Audio!O330, "RE-", "", 1))*1</f>
        <v>12.2543</v>
      </c>
      <c r="P330" s="92">
        <f>(SUBSTITUTE(Audio!P330, "RE-", "", 1))*1</f>
        <v>112.855</v>
      </c>
      <c r="Q330" s="92">
        <f>(SUBSTITUTE(Audio!Q330, "RE-", "", 1))*1</f>
        <v>45.78</v>
      </c>
      <c r="R330" s="92">
        <f>(SUBSTITUTE(Audio!R330, "RE-", "", 1))*1</f>
        <v>25.8594</v>
      </c>
      <c r="S330" s="92">
        <f>(SUBSTITUTE(Audio!S330, "RE-", "", 1))*1</f>
        <v>7.65832</v>
      </c>
      <c r="T330" s="92">
        <f>(SUBSTITUTE(Audio!T330, "RE-", "", 1))*1</f>
        <v>145.952</v>
      </c>
      <c r="U330" s="92">
        <f>(SUBSTITUTE(Audio!U330, "RE-", "", 1))*1</f>
        <v>2.36402</v>
      </c>
      <c r="V330" s="92">
        <f>(SUBSTITUTE(Audio!V330, "RE-", "", 1))*1</f>
        <v>4.58595</v>
      </c>
      <c r="W330" s="92">
        <f>(SUBSTITUTE(Audio!W330, "RE-", "", 1))*1</f>
        <v>0</v>
      </c>
      <c r="X330" s="92">
        <f>(SUBSTITUTE(Audio!X330, "RE-", "", 1))*1</f>
        <v>0</v>
      </c>
      <c r="Y330" s="92">
        <f>(SUBSTITUTE(Audio!Y330, "RE-", "", 1))*1</f>
        <v>0</v>
      </c>
      <c r="Z330" s="92">
        <f>(SUBSTITUTE(Audio!Z330, "RE-", "", 1))*1</f>
        <v>0</v>
      </c>
      <c r="AA330" s="92"/>
      <c r="AB330" s="92"/>
      <c r="AC330" s="92"/>
      <c r="AD330" s="92"/>
      <c r="AE330" s="92"/>
      <c r="AF330" s="92"/>
      <c r="AG330" s="92"/>
      <c r="AH330" s="92"/>
      <c r="AI330" s="92"/>
      <c r="AJ330" s="92"/>
      <c r="AK330" s="92"/>
      <c r="AL330" s="92"/>
      <c r="AM330" s="92"/>
      <c r="AN330" s="92"/>
      <c r="AO330" s="92"/>
      <c r="AP330" s="92"/>
      <c r="AQ330" s="92"/>
      <c r="AR330" s="92"/>
      <c r="AS330" s="92"/>
      <c r="AT330" s="92"/>
      <c r="AU330" s="92"/>
      <c r="AV330" s="92"/>
      <c r="AW330" s="92"/>
      <c r="AX330" s="92"/>
      <c r="AY330" s="92"/>
      <c r="AZ330" s="92"/>
      <c r="BA330" s="92"/>
      <c r="BB330" s="92"/>
      <c r="BC330" s="92"/>
      <c r="BD330" s="92"/>
      <c r="BE330" s="92"/>
      <c r="BF330" s="92"/>
      <c r="BG330" s="92"/>
      <c r="BH330" s="92"/>
      <c r="BI330" s="92"/>
      <c r="BJ330" s="92"/>
      <c r="BK330" s="92"/>
      <c r="BL330" s="92"/>
      <c r="BM330" s="92"/>
      <c r="BN330" s="92"/>
      <c r="BO330" s="92"/>
      <c r="BP330" s="92"/>
      <c r="BQ330" s="92"/>
      <c r="BR330" s="92"/>
      <c r="BS330" s="92"/>
      <c r="BT330" s="92"/>
      <c r="BU330" s="92"/>
      <c r="BV330" s="92"/>
      <c r="BW330" s="92"/>
      <c r="BX330" s="92"/>
      <c r="BY330" s="92"/>
      <c r="BZ330" s="92"/>
      <c r="CA330" s="92"/>
      <c r="CB330" s="92"/>
      <c r="CC330" s="92"/>
      <c r="CD330" s="92"/>
      <c r="CE330" s="92"/>
      <c r="CF330" s="92"/>
      <c r="CG330" s="92"/>
      <c r="CH330" s="92"/>
      <c r="CI330" s="92"/>
      <c r="CJ330" s="92"/>
      <c r="CK330" s="92"/>
      <c r="CL330" s="92"/>
      <c r="CM330" s="92"/>
      <c r="CN330" s="92"/>
      <c r="CO330" s="92"/>
      <c r="CP330" s="92"/>
      <c r="CQ330" s="92"/>
      <c r="CR330" s="92"/>
      <c r="CS330" s="92"/>
      <c r="CT330" s="92"/>
      <c r="CU330" s="92"/>
      <c r="CV330" s="92"/>
      <c r="CW330" s="92"/>
      <c r="CX330" s="92"/>
      <c r="CY330" s="92"/>
      <c r="CZ330" s="92"/>
      <c r="DA330" s="92"/>
      <c r="DB330" s="92"/>
      <c r="DC330" s="92"/>
      <c r="DD330" s="92"/>
      <c r="DE330" s="92"/>
      <c r="DF330" s="92"/>
      <c r="DG330" s="92"/>
      <c r="DH330" s="92"/>
      <c r="DI330" s="92"/>
      <c r="DJ330" s="92"/>
      <c r="DK330" s="92"/>
      <c r="DL330" s="92"/>
      <c r="DM330" s="92"/>
      <c r="DN330" s="92"/>
      <c r="DO330" s="92"/>
      <c r="DP330" s="92"/>
      <c r="DQ330" s="92"/>
      <c r="DR330" s="92"/>
      <c r="DS330" s="92"/>
      <c r="DT330" s="92"/>
      <c r="DU330" s="92"/>
      <c r="DV330" s="92"/>
      <c r="DW330" s="92"/>
      <c r="DX330" s="92"/>
      <c r="DY330" s="92"/>
      <c r="DZ330" s="92"/>
      <c r="EA330" s="92"/>
      <c r="EB330" s="92"/>
      <c r="EC330" s="92"/>
      <c r="ED330" s="92"/>
      <c r="EE330" s="92"/>
      <c r="EF330" s="92"/>
      <c r="EG330" s="92"/>
      <c r="EH330" s="92"/>
      <c r="EI330" s="92"/>
      <c r="EJ330" s="92"/>
      <c r="EK330" s="92"/>
      <c r="EL330" s="92"/>
      <c r="EM330" s="92"/>
      <c r="EN330" s="92"/>
      <c r="EO330" s="92"/>
      <c r="EP330" s="92"/>
      <c r="EQ330" s="92"/>
      <c r="ER330" s="92"/>
      <c r="ES330" s="92"/>
      <c r="ET330" s="92"/>
      <c r="EU330" s="92"/>
      <c r="EV330" s="92"/>
      <c r="EW330" s="92"/>
      <c r="EX330" s="92"/>
      <c r="EY330" s="92"/>
      <c r="EZ330" s="92"/>
      <c r="FA330" s="92"/>
      <c r="FB330" s="92"/>
      <c r="FC330" s="92"/>
      <c r="FD330" s="92"/>
      <c r="FE330" s="92"/>
      <c r="FF330" s="92"/>
      <c r="FG330" s="92"/>
      <c r="FH330" s="92"/>
    </row>
    <row r="331">
      <c r="A331" s="30" t="s">
        <v>54</v>
      </c>
      <c r="B331" s="30" t="s">
        <v>63</v>
      </c>
      <c r="C331" s="31" t="str">
        <f>HYPERLINK("https://docs.google.com/spreadsheets/d/1P4fT3awO51oRgxi16yhxNBVAMNNlDA0Y/edit?usp=share_link&amp;ouid=106501987799020758802&amp;rtpof=true&amp;sd=true", "Raw Delivered")</f>
        <v>Raw Delivered</v>
      </c>
      <c r="D331" s="96">
        <f t="shared" si="1"/>
        <v>5365.944358</v>
      </c>
      <c r="E331" s="92">
        <f>(SUBSTITUTE(Audio!E331, "RE-", "", 1))*1</f>
        <v>0</v>
      </c>
      <c r="F331" s="92">
        <f>(SUBSTITUTE(Audio!F331, "RE-", "", 1))*1</f>
        <v>572.1464271</v>
      </c>
      <c r="G331" s="92">
        <f>(SUBSTITUTE(Audio!G331, "RE-", "", 1))*1</f>
        <v>0</v>
      </c>
      <c r="H331" s="92">
        <f>(SUBSTITUTE(Audio!H331, "RE-", "", 1))*1</f>
        <v>47.00947292</v>
      </c>
      <c r="I331" s="92">
        <f>(SUBSTITUTE(Audio!I331, "RE-", "", 1))*1</f>
        <v>0</v>
      </c>
      <c r="J331" s="92">
        <f>(SUBSTITUTE(Audio!J331, "RE-", "", 1))*1</f>
        <v>340.5925833</v>
      </c>
      <c r="K331" s="92">
        <f>(SUBSTITUTE(Audio!K331, "RE-", "", 1))*1</f>
        <v>0</v>
      </c>
      <c r="L331" s="92">
        <f>(SUBSTITUTE(Audio!L331, "RE-", "", 1))*1</f>
        <v>1614.193408</v>
      </c>
      <c r="M331" s="92">
        <f>(SUBSTITUTE(Audio!M331, "RE-", "", 1))*1</f>
        <v>0</v>
      </c>
      <c r="N331" s="92">
        <f>(SUBSTITUTE(Audio!N331, "RE-", "", 1))*1</f>
        <v>1878.229168</v>
      </c>
      <c r="O331" s="92">
        <f>(SUBSTITUTE(Audio!O331, "RE-", "", 1))*1</f>
        <v>0</v>
      </c>
      <c r="P331" s="92">
        <f>(SUBSTITUTE(Audio!P331, "RE-", "", 1))*1</f>
        <v>488.6485917</v>
      </c>
      <c r="Q331" s="92">
        <f>(SUBSTITUTE(Audio!Q331, "RE-", "", 1))*1</f>
        <v>0</v>
      </c>
      <c r="R331" s="92">
        <f>(SUBSTITUTE(Audio!R331, "RE-", "", 1))*1</f>
        <v>75.74675833</v>
      </c>
      <c r="S331" s="92">
        <f>(SUBSTITUTE(Audio!S331, "RE-", "", 1))*1</f>
        <v>0</v>
      </c>
      <c r="T331" s="92">
        <f>(SUBSTITUTE(Audio!T331, "RE-", "", 1))*1</f>
        <v>349.377949</v>
      </c>
      <c r="U331" s="92">
        <f>(SUBSTITUTE(Audio!U331, "RE-", "", 1))*1</f>
        <v>0</v>
      </c>
      <c r="V331" s="92">
        <f>(SUBSTITUTE(Audio!V331, "RE-", "", 1))*1</f>
        <v>0</v>
      </c>
      <c r="W331" s="92">
        <f>(SUBSTITUTE(Audio!W331, "RE-", "", 1))*1</f>
        <v>0</v>
      </c>
      <c r="X331" s="92">
        <f>(SUBSTITUTE(Audio!X331, "RE-", "", 1))*1</f>
        <v>0</v>
      </c>
      <c r="Y331" s="92">
        <f>(SUBSTITUTE(Audio!Y331, "RE-", "", 1))*1</f>
        <v>0</v>
      </c>
      <c r="Z331" s="92">
        <f>(SUBSTITUTE(Audio!Z331, "RE-", "", 1))*1</f>
        <v>0</v>
      </c>
      <c r="AA331" s="92"/>
      <c r="AB331" s="92"/>
      <c r="AC331" s="92"/>
      <c r="AD331" s="92"/>
      <c r="AE331" s="92"/>
      <c r="AF331" s="92"/>
      <c r="AG331" s="92"/>
      <c r="AH331" s="92"/>
      <c r="AI331" s="92"/>
      <c r="AJ331" s="92"/>
      <c r="AK331" s="92"/>
      <c r="AL331" s="92"/>
      <c r="AM331" s="92"/>
      <c r="AN331" s="92"/>
      <c r="AO331" s="92"/>
      <c r="AP331" s="92"/>
      <c r="AQ331" s="92"/>
      <c r="AR331" s="92"/>
      <c r="AS331" s="92"/>
      <c r="AT331" s="92"/>
      <c r="AU331" s="92"/>
      <c r="AV331" s="92"/>
      <c r="AW331" s="92"/>
      <c r="AX331" s="92"/>
      <c r="AY331" s="92"/>
      <c r="AZ331" s="92"/>
      <c r="BA331" s="92"/>
      <c r="BB331" s="92"/>
      <c r="BC331" s="92"/>
      <c r="BD331" s="92"/>
      <c r="BE331" s="92"/>
      <c r="BF331" s="92"/>
      <c r="BG331" s="92"/>
      <c r="BH331" s="92"/>
      <c r="BI331" s="92"/>
      <c r="BJ331" s="92"/>
      <c r="BK331" s="92"/>
      <c r="BL331" s="92"/>
      <c r="BM331" s="92"/>
      <c r="BN331" s="92"/>
      <c r="BO331" s="92"/>
      <c r="BP331" s="92"/>
      <c r="BQ331" s="92"/>
      <c r="BR331" s="92"/>
      <c r="BS331" s="92"/>
      <c r="BT331" s="92"/>
      <c r="BU331" s="92"/>
      <c r="BV331" s="92"/>
      <c r="BW331" s="92"/>
      <c r="BX331" s="92"/>
      <c r="BY331" s="92"/>
      <c r="BZ331" s="92"/>
      <c r="CA331" s="92"/>
      <c r="CB331" s="92"/>
      <c r="CC331" s="92"/>
      <c r="CD331" s="92"/>
      <c r="CE331" s="92"/>
      <c r="CF331" s="92"/>
      <c r="CG331" s="92"/>
      <c r="CH331" s="92"/>
      <c r="CI331" s="92"/>
      <c r="CJ331" s="92"/>
      <c r="CK331" s="92"/>
      <c r="CL331" s="92"/>
      <c r="CM331" s="92"/>
      <c r="CN331" s="92"/>
      <c r="CO331" s="92"/>
      <c r="CP331" s="92"/>
      <c r="CQ331" s="92"/>
      <c r="CR331" s="92"/>
      <c r="CS331" s="92"/>
      <c r="CT331" s="92"/>
      <c r="CU331" s="92"/>
      <c r="CV331" s="92"/>
      <c r="CW331" s="92"/>
      <c r="CX331" s="92"/>
      <c r="CY331" s="92"/>
      <c r="CZ331" s="92"/>
      <c r="DA331" s="92"/>
      <c r="DB331" s="92"/>
      <c r="DC331" s="92"/>
      <c r="DD331" s="92"/>
      <c r="DE331" s="92"/>
      <c r="DF331" s="92"/>
      <c r="DG331" s="92"/>
      <c r="DH331" s="92"/>
      <c r="DI331" s="92"/>
      <c r="DJ331" s="92"/>
      <c r="DK331" s="92"/>
      <c r="DL331" s="92"/>
      <c r="DM331" s="92"/>
      <c r="DN331" s="92"/>
      <c r="DO331" s="92"/>
      <c r="DP331" s="92"/>
      <c r="DQ331" s="92"/>
      <c r="DR331" s="92"/>
      <c r="DS331" s="92"/>
      <c r="DT331" s="92"/>
      <c r="DU331" s="92"/>
      <c r="DV331" s="92"/>
      <c r="DW331" s="92"/>
      <c r="DX331" s="92"/>
      <c r="DY331" s="92"/>
      <c r="DZ331" s="92"/>
      <c r="EA331" s="92"/>
      <c r="EB331" s="92"/>
      <c r="EC331" s="92"/>
      <c r="ED331" s="92"/>
      <c r="EE331" s="92"/>
      <c r="EF331" s="92"/>
      <c r="EG331" s="92"/>
      <c r="EH331" s="92"/>
      <c r="EI331" s="92"/>
      <c r="EJ331" s="92"/>
      <c r="EK331" s="92"/>
      <c r="EL331" s="92"/>
      <c r="EM331" s="92"/>
      <c r="EN331" s="92"/>
      <c r="EO331" s="92"/>
      <c r="EP331" s="92"/>
      <c r="EQ331" s="92"/>
      <c r="ER331" s="92"/>
      <c r="ES331" s="92"/>
      <c r="ET331" s="92"/>
      <c r="EU331" s="92"/>
      <c r="EV331" s="92"/>
      <c r="EW331" s="92"/>
      <c r="EX331" s="92"/>
      <c r="EY331" s="92"/>
      <c r="EZ331" s="92"/>
      <c r="FA331" s="92"/>
      <c r="FB331" s="92"/>
      <c r="FC331" s="92"/>
      <c r="FD331" s="92"/>
      <c r="FE331" s="92"/>
      <c r="FF331" s="92"/>
      <c r="FG331" s="92"/>
      <c r="FH331" s="92"/>
    </row>
    <row r="332">
      <c r="A332" s="32" t="s">
        <v>54</v>
      </c>
      <c r="B332" s="32" t="s">
        <v>63</v>
      </c>
      <c r="C332" s="32" t="s">
        <v>9</v>
      </c>
      <c r="D332" s="97">
        <f t="shared" si="1"/>
        <v>5365.944358</v>
      </c>
      <c r="E332" s="92">
        <f>(SUBSTITUTE(Audio!E332, "RE-", "", 1))*1</f>
        <v>0</v>
      </c>
      <c r="F332" s="92">
        <f>(SUBSTITUTE(Audio!F332, "RE-", "", 1))*1</f>
        <v>572.1464271</v>
      </c>
      <c r="G332" s="92">
        <f>(SUBSTITUTE(Audio!G332, "RE-", "", 1))*1</f>
        <v>0</v>
      </c>
      <c r="H332" s="92">
        <f>(SUBSTITUTE(Audio!H332, "RE-", "", 1))*1</f>
        <v>47.00947292</v>
      </c>
      <c r="I332" s="92">
        <f>(SUBSTITUTE(Audio!I332, "RE-", "", 1))*1</f>
        <v>0</v>
      </c>
      <c r="J332" s="92">
        <f>(SUBSTITUTE(Audio!J332, "RE-", "", 1))*1</f>
        <v>340.5925833</v>
      </c>
      <c r="K332" s="92">
        <f>(SUBSTITUTE(Audio!K332, "RE-", "", 1))*1</f>
        <v>0</v>
      </c>
      <c r="L332" s="92">
        <f>(SUBSTITUTE(Audio!L332, "RE-", "", 1))*1</f>
        <v>1614.193408</v>
      </c>
      <c r="M332" s="92">
        <f>(SUBSTITUTE(Audio!M332, "RE-", "", 1))*1</f>
        <v>0</v>
      </c>
      <c r="N332" s="92">
        <f>(SUBSTITUTE(Audio!N332, "RE-", "", 1))*1</f>
        <v>1878.229168</v>
      </c>
      <c r="O332" s="92">
        <f>(SUBSTITUTE(Audio!O332, "RE-", "", 1))*1</f>
        <v>0</v>
      </c>
      <c r="P332" s="92">
        <f>(SUBSTITUTE(Audio!P332, "RE-", "", 1))*1</f>
        <v>488.6485917</v>
      </c>
      <c r="Q332" s="92">
        <f>(SUBSTITUTE(Audio!Q332, "RE-", "", 1))*1</f>
        <v>0</v>
      </c>
      <c r="R332" s="92">
        <f>(SUBSTITUTE(Audio!R332, "RE-", "", 1))*1</f>
        <v>75.74675833</v>
      </c>
      <c r="S332" s="92">
        <f>(SUBSTITUTE(Audio!S332, "RE-", "", 1))*1</f>
        <v>0</v>
      </c>
      <c r="T332" s="92">
        <f>(SUBSTITUTE(Audio!T332, "RE-", "", 1))*1</f>
        <v>349.377949</v>
      </c>
      <c r="U332" s="92">
        <f>(SUBSTITUTE(Audio!U332, "RE-", "", 1))*1</f>
        <v>0</v>
      </c>
      <c r="V332" s="92">
        <f>(SUBSTITUTE(Audio!V332, "RE-", "", 1))*1</f>
        <v>0</v>
      </c>
      <c r="W332" s="92">
        <f>(SUBSTITUTE(Audio!W332, "RE-", "", 1))*1</f>
        <v>0</v>
      </c>
      <c r="X332" s="92">
        <f>(SUBSTITUTE(Audio!X332, "RE-", "", 1))*1</f>
        <v>0</v>
      </c>
      <c r="Y332" s="92">
        <f>(SUBSTITUTE(Audio!Y332, "RE-", "", 1))*1</f>
        <v>0</v>
      </c>
      <c r="Z332" s="92">
        <f>(SUBSTITUTE(Audio!Z332, "RE-", "", 1))*1</f>
        <v>0</v>
      </c>
      <c r="AA332" s="92"/>
      <c r="AB332" s="92"/>
      <c r="AC332" s="92"/>
      <c r="AD332" s="92"/>
      <c r="AE332" s="92"/>
      <c r="AF332" s="92"/>
      <c r="AG332" s="92"/>
      <c r="AH332" s="92"/>
      <c r="AI332" s="92"/>
      <c r="AJ332" s="92"/>
      <c r="AK332" s="92"/>
      <c r="AL332" s="92"/>
      <c r="AM332" s="92"/>
      <c r="AN332" s="92"/>
      <c r="AO332" s="92"/>
      <c r="AP332" s="92"/>
      <c r="AQ332" s="92"/>
      <c r="AR332" s="92"/>
      <c r="AS332" s="92"/>
      <c r="AT332" s="92"/>
      <c r="AU332" s="92"/>
      <c r="AV332" s="92"/>
      <c r="AW332" s="92"/>
      <c r="AX332" s="92"/>
      <c r="AY332" s="92"/>
      <c r="AZ332" s="92"/>
      <c r="BA332" s="92"/>
      <c r="BB332" s="92"/>
      <c r="BC332" s="92"/>
      <c r="BD332" s="92"/>
      <c r="BE332" s="92"/>
      <c r="BF332" s="92"/>
      <c r="BG332" s="92"/>
      <c r="BH332" s="92"/>
      <c r="BI332" s="92"/>
      <c r="BJ332" s="92"/>
      <c r="BK332" s="92"/>
      <c r="BL332" s="92"/>
      <c r="BM332" s="92"/>
      <c r="BN332" s="92"/>
      <c r="BO332" s="92"/>
      <c r="BP332" s="92"/>
      <c r="BQ332" s="92"/>
      <c r="BR332" s="92"/>
      <c r="BS332" s="92"/>
      <c r="BT332" s="92"/>
      <c r="BU332" s="92"/>
      <c r="BV332" s="92"/>
      <c r="BW332" s="92"/>
      <c r="BX332" s="92"/>
      <c r="BY332" s="92"/>
      <c r="BZ332" s="92"/>
      <c r="CA332" s="92"/>
      <c r="CB332" s="92"/>
      <c r="CC332" s="92"/>
      <c r="CD332" s="92"/>
      <c r="CE332" s="92"/>
      <c r="CF332" s="92"/>
      <c r="CG332" s="92"/>
      <c r="CH332" s="92"/>
      <c r="CI332" s="92"/>
      <c r="CJ332" s="92"/>
      <c r="CK332" s="92"/>
      <c r="CL332" s="92"/>
      <c r="CM332" s="92"/>
      <c r="CN332" s="92"/>
      <c r="CO332" s="92"/>
      <c r="CP332" s="92"/>
      <c r="CQ332" s="92"/>
      <c r="CR332" s="92"/>
      <c r="CS332" s="92"/>
      <c r="CT332" s="92"/>
      <c r="CU332" s="92"/>
      <c r="CV332" s="92"/>
      <c r="CW332" s="92"/>
      <c r="CX332" s="92"/>
      <c r="CY332" s="92"/>
      <c r="CZ332" s="92"/>
      <c r="DA332" s="92"/>
      <c r="DB332" s="92"/>
      <c r="DC332" s="92"/>
      <c r="DD332" s="92"/>
      <c r="DE332" s="92"/>
      <c r="DF332" s="92"/>
      <c r="DG332" s="92"/>
      <c r="DH332" s="92"/>
      <c r="DI332" s="92"/>
      <c r="DJ332" s="92"/>
      <c r="DK332" s="92"/>
      <c r="DL332" s="92"/>
      <c r="DM332" s="92"/>
      <c r="DN332" s="92"/>
      <c r="DO332" s="92"/>
      <c r="DP332" s="92"/>
      <c r="DQ332" s="92"/>
      <c r="DR332" s="92"/>
      <c r="DS332" s="92"/>
      <c r="DT332" s="92"/>
      <c r="DU332" s="92"/>
      <c r="DV332" s="92"/>
      <c r="DW332" s="92"/>
      <c r="DX332" s="92"/>
      <c r="DY332" s="92"/>
      <c r="DZ332" s="92"/>
      <c r="EA332" s="92"/>
      <c r="EB332" s="92"/>
      <c r="EC332" s="92"/>
      <c r="ED332" s="92"/>
      <c r="EE332" s="92"/>
      <c r="EF332" s="92"/>
      <c r="EG332" s="92"/>
      <c r="EH332" s="92"/>
      <c r="EI332" s="92"/>
      <c r="EJ332" s="92"/>
      <c r="EK332" s="92"/>
      <c r="EL332" s="92"/>
      <c r="EM332" s="92"/>
      <c r="EN332" s="92"/>
      <c r="EO332" s="92"/>
      <c r="EP332" s="92"/>
      <c r="EQ332" s="92"/>
      <c r="ER332" s="92"/>
      <c r="ES332" s="92"/>
      <c r="ET332" s="92"/>
      <c r="EU332" s="92"/>
      <c r="EV332" s="92"/>
      <c r="EW332" s="92"/>
      <c r="EX332" s="92"/>
      <c r="EY332" s="92"/>
      <c r="EZ332" s="92"/>
      <c r="FA332" s="92"/>
      <c r="FB332" s="92"/>
      <c r="FC332" s="92"/>
      <c r="FD332" s="92"/>
      <c r="FE332" s="92"/>
      <c r="FF332" s="92"/>
      <c r="FG332" s="92"/>
      <c r="FH332" s="92"/>
    </row>
    <row r="333">
      <c r="A333" s="32" t="s">
        <v>54</v>
      </c>
      <c r="B333" s="32" t="s">
        <v>63</v>
      </c>
      <c r="C333" s="32" t="s">
        <v>10</v>
      </c>
      <c r="D333" s="97">
        <f t="shared" si="1"/>
        <v>451.1327396</v>
      </c>
      <c r="E333" s="92">
        <f>(SUBSTITUTE(Audio!E333, "RE-", "", 1))*1</f>
        <v>0</v>
      </c>
      <c r="F333" s="92">
        <f>(SUBSTITUTE(Audio!F333, "RE-", "", 1))*1</f>
        <v>0</v>
      </c>
      <c r="G333" s="92">
        <f>(SUBSTITUTE(Audio!G333, "RE-", "", 1))*1</f>
        <v>51.53591667</v>
      </c>
      <c r="H333" s="92">
        <f>(SUBSTITUTE(Audio!H333, "RE-", "", 1))*1</f>
        <v>0</v>
      </c>
      <c r="I333" s="92">
        <f>(SUBSTITUTE(Audio!I333, "RE-", "", 1))*1</f>
        <v>10.11253958</v>
      </c>
      <c r="J333" s="92">
        <f>(SUBSTITUTE(Audio!J333, "RE-", "", 1))*1</f>
        <v>0</v>
      </c>
      <c r="K333" s="92">
        <f>(SUBSTITUTE(Audio!K333, "RE-", "", 1))*1</f>
        <v>20.11686875</v>
      </c>
      <c r="L333" s="92">
        <f>(SUBSTITUTE(Audio!L333, "RE-", "", 1))*1</f>
        <v>0</v>
      </c>
      <c r="M333" s="92">
        <f>(SUBSTITUTE(Audio!M333, "RE-", "", 1))*1</f>
        <v>45.30232292</v>
      </c>
      <c r="N333" s="92">
        <f>(SUBSTITUTE(Audio!N333, "RE-", "", 1))*1</f>
        <v>0</v>
      </c>
      <c r="O333" s="92">
        <f>(SUBSTITUTE(Audio!O333, "RE-", "", 1))*1</f>
        <v>202.7091927</v>
      </c>
      <c r="P333" s="92">
        <f>(SUBSTITUTE(Audio!P333, "RE-", "", 1))*1</f>
        <v>0</v>
      </c>
      <c r="Q333" s="92">
        <f>(SUBSTITUTE(Audio!Q333, "RE-", "", 1))*1</f>
        <v>88.80211354</v>
      </c>
      <c r="R333" s="92">
        <f>(SUBSTITUTE(Audio!R333, "RE-", "", 1))*1</f>
        <v>0</v>
      </c>
      <c r="S333" s="92">
        <f>(SUBSTITUTE(Audio!S333, "RE-", "", 1))*1</f>
        <v>10.95870833</v>
      </c>
      <c r="T333" s="92">
        <f>(SUBSTITUTE(Audio!T333, "RE-", "", 1))*1</f>
        <v>0</v>
      </c>
      <c r="U333" s="92">
        <f>(SUBSTITUTE(Audio!U333, "RE-", "", 1))*1</f>
        <v>16.145075</v>
      </c>
      <c r="V333" s="92">
        <f>(SUBSTITUTE(Audio!V333, "RE-", "", 1))*1</f>
        <v>5.450002083</v>
      </c>
      <c r="W333" s="92">
        <f>(SUBSTITUTE(Audio!W333, "RE-", "", 1))*1</f>
        <v>0</v>
      </c>
      <c r="X333" s="92">
        <f>(SUBSTITUTE(Audio!X333, "RE-", "", 1))*1</f>
        <v>0</v>
      </c>
      <c r="Y333" s="92">
        <f>(SUBSTITUTE(Audio!Y333, "RE-", "", 1))*1</f>
        <v>0</v>
      </c>
      <c r="Z333" s="92">
        <f>(SUBSTITUTE(Audio!Z333, "RE-", "", 1))*1</f>
        <v>0</v>
      </c>
      <c r="AA333" s="92"/>
      <c r="AB333" s="92"/>
      <c r="AC333" s="92"/>
      <c r="AD333" s="92"/>
      <c r="AE333" s="92"/>
      <c r="AF333" s="92"/>
      <c r="AG333" s="92"/>
      <c r="AH333" s="92"/>
      <c r="AI333" s="92"/>
      <c r="AJ333" s="92"/>
      <c r="AK333" s="92"/>
      <c r="AL333" s="92"/>
      <c r="AM333" s="92"/>
      <c r="AN333" s="92"/>
      <c r="AO333" s="92"/>
      <c r="AP333" s="92"/>
      <c r="AQ333" s="92"/>
      <c r="AR333" s="92"/>
      <c r="AS333" s="92"/>
      <c r="AT333" s="92"/>
      <c r="AU333" s="92"/>
      <c r="AV333" s="92"/>
      <c r="AW333" s="92"/>
      <c r="AX333" s="92"/>
      <c r="AY333" s="92"/>
      <c r="AZ333" s="92"/>
      <c r="BA333" s="92"/>
      <c r="BB333" s="92"/>
      <c r="BC333" s="92"/>
      <c r="BD333" s="92"/>
      <c r="BE333" s="92"/>
      <c r="BF333" s="92"/>
      <c r="BG333" s="92"/>
      <c r="BH333" s="92"/>
      <c r="BI333" s="92"/>
      <c r="BJ333" s="92"/>
      <c r="BK333" s="92"/>
      <c r="BL333" s="92"/>
      <c r="BM333" s="92"/>
      <c r="BN333" s="92"/>
      <c r="BO333" s="92"/>
      <c r="BP333" s="92"/>
      <c r="BQ333" s="92"/>
      <c r="BR333" s="92"/>
      <c r="BS333" s="92"/>
      <c r="BT333" s="92"/>
      <c r="BU333" s="92"/>
      <c r="BV333" s="92"/>
      <c r="BW333" s="92"/>
      <c r="BX333" s="92"/>
      <c r="BY333" s="92"/>
      <c r="BZ333" s="92"/>
      <c r="CA333" s="92"/>
      <c r="CB333" s="92"/>
      <c r="CC333" s="92"/>
      <c r="CD333" s="92"/>
      <c r="CE333" s="92"/>
      <c r="CF333" s="92"/>
      <c r="CG333" s="92"/>
      <c r="CH333" s="92"/>
      <c r="CI333" s="92"/>
      <c r="CJ333" s="92"/>
      <c r="CK333" s="92"/>
      <c r="CL333" s="92"/>
      <c r="CM333" s="92"/>
      <c r="CN333" s="92"/>
      <c r="CO333" s="92"/>
      <c r="CP333" s="92"/>
      <c r="CQ333" s="92"/>
      <c r="CR333" s="92"/>
      <c r="CS333" s="92"/>
      <c r="CT333" s="92"/>
      <c r="CU333" s="92"/>
      <c r="CV333" s="92"/>
      <c r="CW333" s="92"/>
      <c r="CX333" s="92"/>
      <c r="CY333" s="92"/>
      <c r="CZ333" s="92"/>
      <c r="DA333" s="92"/>
      <c r="DB333" s="92"/>
      <c r="DC333" s="92"/>
      <c r="DD333" s="92"/>
      <c r="DE333" s="92"/>
      <c r="DF333" s="92"/>
      <c r="DG333" s="92"/>
      <c r="DH333" s="92"/>
      <c r="DI333" s="92"/>
      <c r="DJ333" s="92"/>
      <c r="DK333" s="92"/>
      <c r="DL333" s="92"/>
      <c r="DM333" s="92"/>
      <c r="DN333" s="92"/>
      <c r="DO333" s="92"/>
      <c r="DP333" s="92"/>
      <c r="DQ333" s="92"/>
      <c r="DR333" s="92"/>
      <c r="DS333" s="92"/>
      <c r="DT333" s="92"/>
      <c r="DU333" s="92"/>
      <c r="DV333" s="92"/>
      <c r="DW333" s="92"/>
      <c r="DX333" s="92"/>
      <c r="DY333" s="92"/>
      <c r="DZ333" s="92"/>
      <c r="EA333" s="92"/>
      <c r="EB333" s="92"/>
      <c r="EC333" s="92"/>
      <c r="ED333" s="92"/>
      <c r="EE333" s="92"/>
      <c r="EF333" s="92"/>
      <c r="EG333" s="92"/>
      <c r="EH333" s="92"/>
      <c r="EI333" s="92"/>
      <c r="EJ333" s="92"/>
      <c r="EK333" s="92"/>
      <c r="EL333" s="92"/>
      <c r="EM333" s="92"/>
      <c r="EN333" s="92"/>
      <c r="EO333" s="92"/>
      <c r="EP333" s="92"/>
      <c r="EQ333" s="92"/>
      <c r="ER333" s="92"/>
      <c r="ES333" s="92"/>
      <c r="ET333" s="92"/>
      <c r="EU333" s="92"/>
      <c r="EV333" s="92"/>
      <c r="EW333" s="92"/>
      <c r="EX333" s="92"/>
      <c r="EY333" s="92"/>
      <c r="EZ333" s="92"/>
      <c r="FA333" s="92"/>
      <c r="FB333" s="92"/>
      <c r="FC333" s="92"/>
      <c r="FD333" s="92"/>
      <c r="FE333" s="92"/>
      <c r="FF333" s="92"/>
      <c r="FG333" s="92"/>
      <c r="FH333" s="92"/>
    </row>
    <row r="334">
      <c r="A334" s="32" t="s">
        <v>54</v>
      </c>
      <c r="B334" s="32" t="s">
        <v>63</v>
      </c>
      <c r="C334" s="32" t="s">
        <v>11</v>
      </c>
      <c r="D334" s="97">
        <f t="shared" si="1"/>
        <v>451.1327396</v>
      </c>
      <c r="E334" s="92">
        <f>(SUBSTITUTE(Audio!E334, "RE-", "", 1))*1</f>
        <v>0</v>
      </c>
      <c r="F334" s="92">
        <f>(SUBSTITUTE(Audio!F334, "RE-", "", 1))*1</f>
        <v>0</v>
      </c>
      <c r="G334" s="92">
        <f>(SUBSTITUTE(Audio!G334, "RE-", "", 1))*1</f>
        <v>51.53591667</v>
      </c>
      <c r="H334" s="92">
        <f>(SUBSTITUTE(Audio!H334, "RE-", "", 1))*1</f>
        <v>0</v>
      </c>
      <c r="I334" s="92">
        <f>(SUBSTITUTE(Audio!I334, "RE-", "", 1))*1</f>
        <v>10.11253958</v>
      </c>
      <c r="J334" s="92">
        <f>(SUBSTITUTE(Audio!J334, "RE-", "", 1))*1</f>
        <v>0</v>
      </c>
      <c r="K334" s="92">
        <f>(SUBSTITUTE(Audio!K334, "RE-", "", 1))*1</f>
        <v>20.11686875</v>
      </c>
      <c r="L334" s="92">
        <f>(SUBSTITUTE(Audio!L334, "RE-", "", 1))*1</f>
        <v>0</v>
      </c>
      <c r="M334" s="92">
        <f>(SUBSTITUTE(Audio!M334, "RE-", "", 1))*1</f>
        <v>45.30232292</v>
      </c>
      <c r="N334" s="92">
        <f>(SUBSTITUTE(Audio!N334, "RE-", "", 1))*1</f>
        <v>0</v>
      </c>
      <c r="O334" s="92">
        <f>(SUBSTITUTE(Audio!O334, "RE-", "", 1))*1</f>
        <v>202.7091927</v>
      </c>
      <c r="P334" s="92">
        <f>(SUBSTITUTE(Audio!P334, "RE-", "", 1))*1</f>
        <v>0</v>
      </c>
      <c r="Q334" s="92">
        <f>(SUBSTITUTE(Audio!Q334, "RE-", "", 1))*1</f>
        <v>88.80211354</v>
      </c>
      <c r="R334" s="92">
        <f>(SUBSTITUTE(Audio!R334, "RE-", "", 1))*1</f>
        <v>0</v>
      </c>
      <c r="S334" s="92">
        <f>(SUBSTITUTE(Audio!S334, "RE-", "", 1))*1</f>
        <v>10.95870833</v>
      </c>
      <c r="T334" s="92">
        <f>(SUBSTITUTE(Audio!T334, "RE-", "", 1))*1</f>
        <v>0</v>
      </c>
      <c r="U334" s="92">
        <f>(SUBSTITUTE(Audio!U334, "RE-", "", 1))*1</f>
        <v>16.145075</v>
      </c>
      <c r="V334" s="92">
        <f>(SUBSTITUTE(Audio!V334, "RE-", "", 1))*1</f>
        <v>5.450002083</v>
      </c>
      <c r="W334" s="92">
        <f>(SUBSTITUTE(Audio!W334, "RE-", "", 1))*1</f>
        <v>0</v>
      </c>
      <c r="X334" s="92">
        <f>(SUBSTITUTE(Audio!X334, "RE-", "", 1))*1</f>
        <v>0</v>
      </c>
      <c r="Y334" s="92">
        <f>(SUBSTITUTE(Audio!Y334, "RE-", "", 1))*1</f>
        <v>0</v>
      </c>
      <c r="Z334" s="92">
        <f>(SUBSTITUTE(Audio!Z334, "RE-", "", 1))*1</f>
        <v>0</v>
      </c>
      <c r="AA334" s="92"/>
      <c r="AB334" s="92"/>
      <c r="AC334" s="92"/>
      <c r="AD334" s="92"/>
      <c r="AE334" s="92"/>
      <c r="AF334" s="92"/>
      <c r="AG334" s="92"/>
      <c r="AH334" s="92"/>
      <c r="AI334" s="92"/>
      <c r="AJ334" s="92"/>
      <c r="AK334" s="92"/>
      <c r="AL334" s="92"/>
      <c r="AM334" s="92"/>
      <c r="AN334" s="92"/>
      <c r="AO334" s="92"/>
      <c r="AP334" s="92"/>
      <c r="AQ334" s="92"/>
      <c r="AR334" s="92"/>
      <c r="AS334" s="92"/>
      <c r="AT334" s="92"/>
      <c r="AU334" s="92"/>
      <c r="AV334" s="92"/>
      <c r="AW334" s="92"/>
      <c r="AX334" s="92"/>
      <c r="AY334" s="92"/>
      <c r="AZ334" s="92"/>
      <c r="BA334" s="92"/>
      <c r="BB334" s="92"/>
      <c r="BC334" s="92"/>
      <c r="BD334" s="92"/>
      <c r="BE334" s="92"/>
      <c r="BF334" s="92"/>
      <c r="BG334" s="92"/>
      <c r="BH334" s="92"/>
      <c r="BI334" s="92"/>
      <c r="BJ334" s="92"/>
      <c r="BK334" s="92"/>
      <c r="BL334" s="92"/>
      <c r="BM334" s="92"/>
      <c r="BN334" s="92"/>
      <c r="BO334" s="92"/>
      <c r="BP334" s="92"/>
      <c r="BQ334" s="92"/>
      <c r="BR334" s="92"/>
      <c r="BS334" s="92"/>
      <c r="BT334" s="92"/>
      <c r="BU334" s="92"/>
      <c r="BV334" s="92"/>
      <c r="BW334" s="92"/>
      <c r="BX334" s="92"/>
      <c r="BY334" s="92"/>
      <c r="BZ334" s="92"/>
      <c r="CA334" s="92"/>
      <c r="CB334" s="92"/>
      <c r="CC334" s="92"/>
      <c r="CD334" s="92"/>
      <c r="CE334" s="92"/>
      <c r="CF334" s="92"/>
      <c r="CG334" s="92"/>
      <c r="CH334" s="92"/>
      <c r="CI334" s="92"/>
      <c r="CJ334" s="92"/>
      <c r="CK334" s="92"/>
      <c r="CL334" s="92"/>
      <c r="CM334" s="92"/>
      <c r="CN334" s="92"/>
      <c r="CO334" s="92"/>
      <c r="CP334" s="92"/>
      <c r="CQ334" s="92"/>
      <c r="CR334" s="92"/>
      <c r="CS334" s="92"/>
      <c r="CT334" s="92"/>
      <c r="CU334" s="92"/>
      <c r="CV334" s="92"/>
      <c r="CW334" s="92"/>
      <c r="CX334" s="92"/>
      <c r="CY334" s="92"/>
      <c r="CZ334" s="92"/>
      <c r="DA334" s="92"/>
      <c r="DB334" s="92"/>
      <c r="DC334" s="92"/>
      <c r="DD334" s="92"/>
      <c r="DE334" s="92"/>
      <c r="DF334" s="92"/>
      <c r="DG334" s="92"/>
      <c r="DH334" s="92"/>
      <c r="DI334" s="92"/>
      <c r="DJ334" s="92"/>
      <c r="DK334" s="92"/>
      <c r="DL334" s="92"/>
      <c r="DM334" s="92"/>
      <c r="DN334" s="92"/>
      <c r="DO334" s="92"/>
      <c r="DP334" s="92"/>
      <c r="DQ334" s="92"/>
      <c r="DR334" s="92"/>
      <c r="DS334" s="92"/>
      <c r="DT334" s="92"/>
      <c r="DU334" s="92"/>
      <c r="DV334" s="92"/>
      <c r="DW334" s="92"/>
      <c r="DX334" s="92"/>
      <c r="DY334" s="92"/>
      <c r="DZ334" s="92"/>
      <c r="EA334" s="92"/>
      <c r="EB334" s="92"/>
      <c r="EC334" s="92"/>
      <c r="ED334" s="92"/>
      <c r="EE334" s="92"/>
      <c r="EF334" s="92"/>
      <c r="EG334" s="92"/>
      <c r="EH334" s="92"/>
      <c r="EI334" s="92"/>
      <c r="EJ334" s="92"/>
      <c r="EK334" s="92"/>
      <c r="EL334" s="92"/>
      <c r="EM334" s="92"/>
      <c r="EN334" s="92"/>
      <c r="EO334" s="92"/>
      <c r="EP334" s="92"/>
      <c r="EQ334" s="92"/>
      <c r="ER334" s="92"/>
      <c r="ES334" s="92"/>
      <c r="ET334" s="92"/>
      <c r="EU334" s="92"/>
      <c r="EV334" s="92"/>
      <c r="EW334" s="92"/>
      <c r="EX334" s="92"/>
      <c r="EY334" s="92"/>
      <c r="EZ334" s="92"/>
      <c r="FA334" s="92"/>
      <c r="FB334" s="92"/>
      <c r="FC334" s="92"/>
      <c r="FD334" s="92"/>
      <c r="FE334" s="92"/>
      <c r="FF334" s="92"/>
      <c r="FG334" s="92"/>
      <c r="FH334" s="92"/>
    </row>
    <row r="335">
      <c r="A335" s="32" t="s">
        <v>54</v>
      </c>
      <c r="B335" s="32" t="s">
        <v>63</v>
      </c>
      <c r="C335" s="32" t="s">
        <v>12</v>
      </c>
      <c r="D335" s="97">
        <f t="shared" si="1"/>
        <v>4541.730751</v>
      </c>
      <c r="E335" s="92">
        <f>(SUBSTITUTE(Audio!E335, "RE-", "", 1))*1</f>
        <v>0</v>
      </c>
      <c r="F335" s="92">
        <f>(SUBSTITUTE(Audio!F335, "RE-", "", 1))*1</f>
        <v>472.3039562</v>
      </c>
      <c r="G335" s="92">
        <f>(SUBSTITUTE(Audio!G335, "RE-", "", 1))*1</f>
        <v>2.1988125</v>
      </c>
      <c r="H335" s="92">
        <f>(SUBSTITUTE(Audio!H335, "RE-", "", 1))*1</f>
        <v>37.665525</v>
      </c>
      <c r="I335" s="92">
        <f>(SUBSTITUTE(Audio!I335, "RE-", "", 1))*1</f>
        <v>0.3156666667</v>
      </c>
      <c r="J335" s="92">
        <f>(SUBSTITUTE(Audio!J335, "RE-", "", 1))*1</f>
        <v>281.6956146</v>
      </c>
      <c r="K335" s="92">
        <f>(SUBSTITUTE(Audio!K335, "RE-", "", 1))*1</f>
        <v>2.40500625</v>
      </c>
      <c r="L335" s="92">
        <f>(SUBSTITUTE(Audio!L335, "RE-", "", 1))*1</f>
        <v>1516.819339</v>
      </c>
      <c r="M335" s="92">
        <f>(SUBSTITUTE(Audio!M335, "RE-", "", 1))*1</f>
        <v>6.999814583</v>
      </c>
      <c r="N335" s="92">
        <f>(SUBSTITUTE(Audio!N335, "RE-", "", 1))*1</f>
        <v>1289.028066</v>
      </c>
      <c r="O335" s="92">
        <f>(SUBSTITUTE(Audio!O335, "RE-", "", 1))*1</f>
        <v>13.33325521</v>
      </c>
      <c r="P335" s="92">
        <f>(SUBSTITUTE(Audio!P335, "RE-", "", 1))*1</f>
        <v>452.452951</v>
      </c>
      <c r="Q335" s="92">
        <f>(SUBSTITUTE(Audio!Q335, "RE-", "", 1))*1</f>
        <v>38.61870833</v>
      </c>
      <c r="R335" s="92">
        <f>(SUBSTITUTE(Audio!R335, "RE-", "", 1))*1</f>
        <v>73.21206875</v>
      </c>
      <c r="S335" s="92">
        <f>(SUBSTITUTE(Audio!S335, "RE-", "", 1))*1</f>
        <v>9.215589583</v>
      </c>
      <c r="T335" s="92">
        <f>(SUBSTITUTE(Audio!T335, "RE-", "", 1))*1</f>
        <v>332.221376</v>
      </c>
      <c r="U335" s="92">
        <f>(SUBSTITUTE(Audio!U335, "RE-", "", 1))*1</f>
        <v>9.516658333</v>
      </c>
      <c r="V335" s="92">
        <f>(SUBSTITUTE(Audio!V335, "RE-", "", 1))*1</f>
        <v>3.72834375</v>
      </c>
      <c r="W335" s="92">
        <f>(SUBSTITUTE(Audio!W335, "RE-", "", 1))*1</f>
        <v>0</v>
      </c>
      <c r="X335" s="92">
        <f>(SUBSTITUTE(Audio!X335, "RE-", "", 1))*1</f>
        <v>0</v>
      </c>
      <c r="Y335" s="92">
        <f>(SUBSTITUTE(Audio!Y335, "RE-", "", 1))*1</f>
        <v>0</v>
      </c>
      <c r="Z335" s="92">
        <f>(SUBSTITUTE(Audio!Z335, "RE-", "", 1))*1</f>
        <v>0</v>
      </c>
      <c r="AA335" s="92"/>
      <c r="AB335" s="92"/>
      <c r="AC335" s="92"/>
      <c r="AD335" s="92"/>
      <c r="AE335" s="92"/>
      <c r="AF335" s="92"/>
      <c r="AG335" s="92"/>
      <c r="AH335" s="92"/>
      <c r="AI335" s="92"/>
      <c r="AJ335" s="92"/>
      <c r="AK335" s="92"/>
      <c r="AL335" s="92"/>
      <c r="AM335" s="92"/>
      <c r="AN335" s="92"/>
      <c r="AO335" s="92"/>
      <c r="AP335" s="92"/>
      <c r="AQ335" s="92"/>
      <c r="AR335" s="92"/>
      <c r="AS335" s="92"/>
      <c r="AT335" s="92"/>
      <c r="AU335" s="92"/>
      <c r="AV335" s="92"/>
      <c r="AW335" s="92"/>
      <c r="AX335" s="92"/>
      <c r="AY335" s="92"/>
      <c r="AZ335" s="92"/>
      <c r="BA335" s="92"/>
      <c r="BB335" s="92"/>
      <c r="BC335" s="92"/>
      <c r="BD335" s="92"/>
      <c r="BE335" s="92"/>
      <c r="BF335" s="92"/>
      <c r="BG335" s="92"/>
      <c r="BH335" s="92"/>
      <c r="BI335" s="92"/>
      <c r="BJ335" s="92"/>
      <c r="BK335" s="92"/>
      <c r="BL335" s="92"/>
      <c r="BM335" s="92"/>
      <c r="BN335" s="92"/>
      <c r="BO335" s="92"/>
      <c r="BP335" s="92"/>
      <c r="BQ335" s="92"/>
      <c r="BR335" s="92"/>
      <c r="BS335" s="92"/>
      <c r="BT335" s="92"/>
      <c r="BU335" s="92"/>
      <c r="BV335" s="92"/>
      <c r="BW335" s="92"/>
      <c r="BX335" s="92"/>
      <c r="BY335" s="92"/>
      <c r="BZ335" s="92"/>
      <c r="CA335" s="92"/>
      <c r="CB335" s="92"/>
      <c r="CC335" s="92"/>
      <c r="CD335" s="92"/>
      <c r="CE335" s="92"/>
      <c r="CF335" s="92"/>
      <c r="CG335" s="92"/>
      <c r="CH335" s="92"/>
      <c r="CI335" s="92"/>
      <c r="CJ335" s="92"/>
      <c r="CK335" s="92"/>
      <c r="CL335" s="92"/>
      <c r="CM335" s="92"/>
      <c r="CN335" s="92"/>
      <c r="CO335" s="92"/>
      <c r="CP335" s="92"/>
      <c r="CQ335" s="92"/>
      <c r="CR335" s="92"/>
      <c r="CS335" s="92"/>
      <c r="CT335" s="92"/>
      <c r="CU335" s="92"/>
      <c r="CV335" s="92"/>
      <c r="CW335" s="92"/>
      <c r="CX335" s="92"/>
      <c r="CY335" s="92"/>
      <c r="CZ335" s="92"/>
      <c r="DA335" s="92"/>
      <c r="DB335" s="92"/>
      <c r="DC335" s="92"/>
      <c r="DD335" s="92"/>
      <c r="DE335" s="92"/>
      <c r="DF335" s="92"/>
      <c r="DG335" s="92"/>
      <c r="DH335" s="92"/>
      <c r="DI335" s="92"/>
      <c r="DJ335" s="92"/>
      <c r="DK335" s="92"/>
      <c r="DL335" s="92"/>
      <c r="DM335" s="92"/>
      <c r="DN335" s="92"/>
      <c r="DO335" s="92"/>
      <c r="DP335" s="92"/>
      <c r="DQ335" s="92"/>
      <c r="DR335" s="92"/>
      <c r="DS335" s="92"/>
      <c r="DT335" s="92"/>
      <c r="DU335" s="92"/>
      <c r="DV335" s="92"/>
      <c r="DW335" s="92"/>
      <c r="DX335" s="92"/>
      <c r="DY335" s="92"/>
      <c r="DZ335" s="92"/>
      <c r="EA335" s="92"/>
      <c r="EB335" s="92"/>
      <c r="EC335" s="92"/>
      <c r="ED335" s="92"/>
      <c r="EE335" s="92"/>
      <c r="EF335" s="92"/>
      <c r="EG335" s="92"/>
      <c r="EH335" s="92"/>
      <c r="EI335" s="92"/>
      <c r="EJ335" s="92"/>
      <c r="EK335" s="92"/>
      <c r="EL335" s="92"/>
      <c r="EM335" s="92"/>
      <c r="EN335" s="92"/>
      <c r="EO335" s="92"/>
      <c r="EP335" s="92"/>
      <c r="EQ335" s="92"/>
      <c r="ER335" s="92"/>
      <c r="ES335" s="92"/>
      <c r="ET335" s="92"/>
      <c r="EU335" s="92"/>
      <c r="EV335" s="92"/>
      <c r="EW335" s="92"/>
      <c r="EX335" s="92"/>
      <c r="EY335" s="92"/>
      <c r="EZ335" s="92"/>
      <c r="FA335" s="92"/>
      <c r="FB335" s="92"/>
      <c r="FC335" s="92"/>
      <c r="FD335" s="92"/>
      <c r="FE335" s="92"/>
      <c r="FF335" s="92"/>
      <c r="FG335" s="92"/>
      <c r="FH335" s="92"/>
    </row>
    <row r="336">
      <c r="A336" s="32" t="s">
        <v>54</v>
      </c>
      <c r="B336" s="32" t="s">
        <v>63</v>
      </c>
      <c r="C336" s="32" t="s">
        <v>13</v>
      </c>
      <c r="D336" s="97">
        <f t="shared" si="1"/>
        <v>4352.952123</v>
      </c>
      <c r="E336" s="92">
        <f>(SUBSTITUTE(Audio!E336, "RE-", "", 1))*1</f>
        <v>0</v>
      </c>
      <c r="F336" s="92">
        <f>(SUBSTITUTE(Audio!F336, "RE-", "", 1))*1</f>
        <v>461.279</v>
      </c>
      <c r="G336" s="92">
        <f>(SUBSTITUTE(Audio!G336, "RE-", "", 1))*1</f>
        <v>2.15093</v>
      </c>
      <c r="H336" s="92">
        <f>(SUBSTITUTE(Audio!H336, "RE-", "", 1))*1</f>
        <v>36.4927</v>
      </c>
      <c r="I336" s="92">
        <f>(SUBSTITUTE(Audio!I336, "RE-", "", 1))*1</f>
        <v>0.314333</v>
      </c>
      <c r="J336" s="92">
        <f>(SUBSTITUTE(Audio!J336, "RE-", "", 1))*1</f>
        <v>275.92</v>
      </c>
      <c r="K336" s="92">
        <f>(SUBSTITUTE(Audio!K336, "RE-", "", 1))*1</f>
        <v>2.25383</v>
      </c>
      <c r="L336" s="92">
        <f>(SUBSTITUTE(Audio!L336, "RE-", "", 1))*1</f>
        <v>1448.93</v>
      </c>
      <c r="M336" s="92">
        <f>(SUBSTITUTE(Audio!M336, "RE-", "", 1))*1</f>
        <v>6.72933</v>
      </c>
      <c r="N336" s="92">
        <f>(SUBSTITUTE(Audio!N336, "RE-", "", 1))*1</f>
        <v>1227.36</v>
      </c>
      <c r="O336" s="92">
        <f>(SUBSTITUTE(Audio!O336, "RE-", "", 1))*1</f>
        <v>12.3476</v>
      </c>
      <c r="P336" s="92">
        <f>(SUBSTITUTE(Audio!P336, "RE-", "", 1))*1</f>
        <v>431.44</v>
      </c>
      <c r="Q336" s="92">
        <f>(SUBSTITUTE(Audio!Q336, "RE-", "", 1))*1</f>
        <v>37.0527</v>
      </c>
      <c r="R336" s="92">
        <f>(SUBSTITUTE(Audio!R336, "RE-", "", 1))*1</f>
        <v>70.7053</v>
      </c>
      <c r="S336" s="92">
        <f>(SUBSTITUTE(Audio!S336, "RE-", "", 1))*1</f>
        <v>8.74655</v>
      </c>
      <c r="T336" s="92">
        <f>(SUBSTITUTE(Audio!T336, "RE-", "", 1))*1</f>
        <v>318.497</v>
      </c>
      <c r="U336" s="92">
        <f>(SUBSTITUTE(Audio!U336, "RE-", "", 1))*1</f>
        <v>9.1414</v>
      </c>
      <c r="V336" s="92">
        <f>(SUBSTITUTE(Audio!V336, "RE-", "", 1))*1</f>
        <v>3.59145</v>
      </c>
      <c r="W336" s="92">
        <f>(SUBSTITUTE(Audio!W336, "RE-", "", 1))*1</f>
        <v>0</v>
      </c>
      <c r="X336" s="92">
        <f>(SUBSTITUTE(Audio!X336, "RE-", "", 1))*1</f>
        <v>0</v>
      </c>
      <c r="Y336" s="92">
        <f>(SUBSTITUTE(Audio!Y336, "RE-", "", 1))*1</f>
        <v>0</v>
      </c>
      <c r="Z336" s="92">
        <f>(SUBSTITUTE(Audio!Z336, "RE-", "", 1))*1</f>
        <v>0</v>
      </c>
      <c r="AA336" s="92"/>
      <c r="AB336" s="92"/>
      <c r="AC336" s="92"/>
      <c r="AD336" s="92"/>
      <c r="AE336" s="92"/>
      <c r="AF336" s="92"/>
      <c r="AG336" s="92"/>
      <c r="AH336" s="92"/>
      <c r="AI336" s="92"/>
      <c r="AJ336" s="92"/>
      <c r="AK336" s="92"/>
      <c r="AL336" s="92"/>
      <c r="AM336" s="92"/>
      <c r="AN336" s="92"/>
      <c r="AO336" s="92"/>
      <c r="AP336" s="92"/>
      <c r="AQ336" s="92"/>
      <c r="AR336" s="92"/>
      <c r="AS336" s="92"/>
      <c r="AT336" s="92"/>
      <c r="AU336" s="92"/>
      <c r="AV336" s="92"/>
      <c r="AW336" s="92"/>
      <c r="AX336" s="92"/>
      <c r="AY336" s="92"/>
      <c r="AZ336" s="92"/>
      <c r="BA336" s="92"/>
      <c r="BB336" s="92"/>
      <c r="BC336" s="92"/>
      <c r="BD336" s="92"/>
      <c r="BE336" s="92"/>
      <c r="BF336" s="92"/>
      <c r="BG336" s="92"/>
      <c r="BH336" s="92"/>
      <c r="BI336" s="92"/>
      <c r="BJ336" s="92"/>
      <c r="BK336" s="92"/>
      <c r="BL336" s="92"/>
      <c r="BM336" s="92"/>
      <c r="BN336" s="92"/>
      <c r="BO336" s="92"/>
      <c r="BP336" s="92"/>
      <c r="BQ336" s="92"/>
      <c r="BR336" s="92"/>
      <c r="BS336" s="92"/>
      <c r="BT336" s="92"/>
      <c r="BU336" s="92"/>
      <c r="BV336" s="92"/>
      <c r="BW336" s="92"/>
      <c r="BX336" s="92"/>
      <c r="BY336" s="92"/>
      <c r="BZ336" s="92"/>
      <c r="CA336" s="92"/>
      <c r="CB336" s="92"/>
      <c r="CC336" s="92"/>
      <c r="CD336" s="92"/>
      <c r="CE336" s="92"/>
      <c r="CF336" s="92"/>
      <c r="CG336" s="92"/>
      <c r="CH336" s="92"/>
      <c r="CI336" s="92"/>
      <c r="CJ336" s="92"/>
      <c r="CK336" s="92"/>
      <c r="CL336" s="92"/>
      <c r="CM336" s="92"/>
      <c r="CN336" s="92"/>
      <c r="CO336" s="92"/>
      <c r="CP336" s="92"/>
      <c r="CQ336" s="92"/>
      <c r="CR336" s="92"/>
      <c r="CS336" s="92"/>
      <c r="CT336" s="92"/>
      <c r="CU336" s="92"/>
      <c r="CV336" s="92"/>
      <c r="CW336" s="92"/>
      <c r="CX336" s="92"/>
      <c r="CY336" s="92"/>
      <c r="CZ336" s="92"/>
      <c r="DA336" s="92"/>
      <c r="DB336" s="92"/>
      <c r="DC336" s="92"/>
      <c r="DD336" s="92"/>
      <c r="DE336" s="92"/>
      <c r="DF336" s="92"/>
      <c r="DG336" s="92"/>
      <c r="DH336" s="92"/>
      <c r="DI336" s="92"/>
      <c r="DJ336" s="92"/>
      <c r="DK336" s="92"/>
      <c r="DL336" s="92"/>
      <c r="DM336" s="92"/>
      <c r="DN336" s="92"/>
      <c r="DO336" s="92"/>
      <c r="DP336" s="92"/>
      <c r="DQ336" s="92"/>
      <c r="DR336" s="92"/>
      <c r="DS336" s="92"/>
      <c r="DT336" s="92"/>
      <c r="DU336" s="92"/>
      <c r="DV336" s="92"/>
      <c r="DW336" s="92"/>
      <c r="DX336" s="92"/>
      <c r="DY336" s="92"/>
      <c r="DZ336" s="92"/>
      <c r="EA336" s="92"/>
      <c r="EB336" s="92"/>
      <c r="EC336" s="92"/>
      <c r="ED336" s="92"/>
      <c r="EE336" s="92"/>
      <c r="EF336" s="92"/>
      <c r="EG336" s="92"/>
      <c r="EH336" s="92"/>
      <c r="EI336" s="92"/>
      <c r="EJ336" s="92"/>
      <c r="EK336" s="92"/>
      <c r="EL336" s="92"/>
      <c r="EM336" s="92"/>
      <c r="EN336" s="92"/>
      <c r="EO336" s="92"/>
      <c r="EP336" s="92"/>
      <c r="EQ336" s="92"/>
      <c r="ER336" s="92"/>
      <c r="ES336" s="92"/>
      <c r="ET336" s="92"/>
      <c r="EU336" s="92"/>
      <c r="EV336" s="92"/>
      <c r="EW336" s="92"/>
      <c r="EX336" s="92"/>
      <c r="EY336" s="92"/>
      <c r="EZ336" s="92"/>
      <c r="FA336" s="92"/>
      <c r="FB336" s="92"/>
      <c r="FC336" s="92"/>
      <c r="FD336" s="92"/>
      <c r="FE336" s="92"/>
      <c r="FF336" s="92"/>
      <c r="FG336" s="92"/>
      <c r="FH336" s="92"/>
    </row>
    <row r="337">
      <c r="A337" s="32" t="s">
        <v>54</v>
      </c>
      <c r="B337" s="32" t="s">
        <v>63</v>
      </c>
      <c r="C337" s="32" t="s">
        <v>14</v>
      </c>
      <c r="D337" s="97">
        <f t="shared" si="1"/>
        <v>3870.448133</v>
      </c>
      <c r="E337" s="92">
        <f>(SUBSTITUTE(Audio!E337, "RE-", "", 1))*1</f>
        <v>0</v>
      </c>
      <c r="F337" s="92">
        <f>(SUBSTITUTE(Audio!F337, "RE-", "", 1))*1</f>
        <v>419.545</v>
      </c>
      <c r="G337" s="92">
        <f>(SUBSTITUTE(Audio!G337, "RE-", "", 1))*1</f>
        <v>2.04458</v>
      </c>
      <c r="H337" s="92">
        <f>(SUBSTITUTE(Audio!H337, "RE-", "", 1))*1</f>
        <v>32.6288</v>
      </c>
      <c r="I337" s="92">
        <f>(SUBSTITUTE(Audio!I337, "RE-", "", 1))*1</f>
        <v>0.314333</v>
      </c>
      <c r="J337" s="92">
        <f>(SUBSTITUTE(Audio!J337, "RE-", "", 1))*1</f>
        <v>257.682</v>
      </c>
      <c r="K337" s="92">
        <f>(SUBSTITUTE(Audio!K337, "RE-", "", 1))*1</f>
        <v>1.96227</v>
      </c>
      <c r="L337" s="92">
        <f>(SUBSTITUTE(Audio!L337, "RE-", "", 1))*1</f>
        <v>1300.41</v>
      </c>
      <c r="M337" s="92">
        <f>(SUBSTITUTE(Audio!M337, "RE-", "", 1))*1</f>
        <v>5.8801</v>
      </c>
      <c r="N337" s="92">
        <f>(SUBSTITUTE(Audio!N337, "RE-", "", 1))*1</f>
        <v>1079.59</v>
      </c>
      <c r="O337" s="92">
        <f>(SUBSTITUTE(Audio!O337, "RE-", "", 1))*1</f>
        <v>10.2308</v>
      </c>
      <c r="P337" s="92">
        <f>(SUBSTITUTE(Audio!P337, "RE-", "", 1))*1</f>
        <v>377.2</v>
      </c>
      <c r="Q337" s="92">
        <f>(SUBSTITUTE(Audio!Q337, "RE-", "", 1))*1</f>
        <v>34.1086</v>
      </c>
      <c r="R337" s="92">
        <f>(SUBSTITUTE(Audio!R337, "RE-", "", 1))*1</f>
        <v>55.6948</v>
      </c>
      <c r="S337" s="92">
        <f>(SUBSTITUTE(Audio!S337, "RE-", "", 1))*1</f>
        <v>6.07042</v>
      </c>
      <c r="T337" s="92">
        <f>(SUBSTITUTE(Audio!T337, "RE-", "", 1))*1</f>
        <v>275.836</v>
      </c>
      <c r="U337" s="92">
        <f>(SUBSTITUTE(Audio!U337, "RE-", "", 1))*1</f>
        <v>7.77713</v>
      </c>
      <c r="V337" s="92">
        <f>(SUBSTITUTE(Audio!V337, "RE-", "", 1))*1</f>
        <v>3.4733</v>
      </c>
      <c r="W337" s="92">
        <f>(SUBSTITUTE(Audio!W337, "RE-", "", 1))*1</f>
        <v>0</v>
      </c>
      <c r="X337" s="92">
        <f>(SUBSTITUTE(Audio!X337, "RE-", "", 1))*1</f>
        <v>0</v>
      </c>
      <c r="Y337" s="92">
        <f>(SUBSTITUTE(Audio!Y337, "RE-", "", 1))*1</f>
        <v>0</v>
      </c>
      <c r="Z337" s="92">
        <f>(SUBSTITUTE(Audio!Z337, "RE-", "", 1))*1</f>
        <v>0</v>
      </c>
      <c r="AA337" s="92"/>
      <c r="AB337" s="92"/>
      <c r="AC337" s="92"/>
      <c r="AD337" s="92"/>
      <c r="AE337" s="92"/>
      <c r="AF337" s="92"/>
      <c r="AG337" s="92"/>
      <c r="AH337" s="92"/>
      <c r="AI337" s="92"/>
      <c r="AJ337" s="92"/>
      <c r="AK337" s="92"/>
      <c r="AL337" s="92"/>
      <c r="AM337" s="92"/>
      <c r="AN337" s="92"/>
      <c r="AO337" s="92"/>
      <c r="AP337" s="92"/>
      <c r="AQ337" s="92"/>
      <c r="AR337" s="92"/>
      <c r="AS337" s="92"/>
      <c r="AT337" s="92"/>
      <c r="AU337" s="92"/>
      <c r="AV337" s="92"/>
      <c r="AW337" s="92"/>
      <c r="AX337" s="92"/>
      <c r="AY337" s="92"/>
      <c r="AZ337" s="92"/>
      <c r="BA337" s="92"/>
      <c r="BB337" s="92"/>
      <c r="BC337" s="92"/>
      <c r="BD337" s="92"/>
      <c r="BE337" s="92"/>
      <c r="BF337" s="92"/>
      <c r="BG337" s="92"/>
      <c r="BH337" s="92"/>
      <c r="BI337" s="92"/>
      <c r="BJ337" s="92"/>
      <c r="BK337" s="92"/>
      <c r="BL337" s="92"/>
      <c r="BM337" s="92"/>
      <c r="BN337" s="92"/>
      <c r="BO337" s="92"/>
      <c r="BP337" s="92"/>
      <c r="BQ337" s="92"/>
      <c r="BR337" s="92"/>
      <c r="BS337" s="92"/>
      <c r="BT337" s="92"/>
      <c r="BU337" s="92"/>
      <c r="BV337" s="92"/>
      <c r="BW337" s="92"/>
      <c r="BX337" s="92"/>
      <c r="BY337" s="92"/>
      <c r="BZ337" s="92"/>
      <c r="CA337" s="92"/>
      <c r="CB337" s="92"/>
      <c r="CC337" s="92"/>
      <c r="CD337" s="92"/>
      <c r="CE337" s="92"/>
      <c r="CF337" s="92"/>
      <c r="CG337" s="92"/>
      <c r="CH337" s="92"/>
      <c r="CI337" s="92"/>
      <c r="CJ337" s="92"/>
      <c r="CK337" s="92"/>
      <c r="CL337" s="92"/>
      <c r="CM337" s="92"/>
      <c r="CN337" s="92"/>
      <c r="CO337" s="92"/>
      <c r="CP337" s="92"/>
      <c r="CQ337" s="92"/>
      <c r="CR337" s="92"/>
      <c r="CS337" s="92"/>
      <c r="CT337" s="92"/>
      <c r="CU337" s="92"/>
      <c r="CV337" s="92"/>
      <c r="CW337" s="92"/>
      <c r="CX337" s="92"/>
      <c r="CY337" s="92"/>
      <c r="CZ337" s="92"/>
      <c r="DA337" s="92"/>
      <c r="DB337" s="92"/>
      <c r="DC337" s="92"/>
      <c r="DD337" s="92"/>
      <c r="DE337" s="92"/>
      <c r="DF337" s="92"/>
      <c r="DG337" s="92"/>
      <c r="DH337" s="92"/>
      <c r="DI337" s="92"/>
      <c r="DJ337" s="92"/>
      <c r="DK337" s="92"/>
      <c r="DL337" s="92"/>
      <c r="DM337" s="92"/>
      <c r="DN337" s="92"/>
      <c r="DO337" s="92"/>
      <c r="DP337" s="92"/>
      <c r="DQ337" s="92"/>
      <c r="DR337" s="92"/>
      <c r="DS337" s="92"/>
      <c r="DT337" s="92"/>
      <c r="DU337" s="92"/>
      <c r="DV337" s="92"/>
      <c r="DW337" s="92"/>
      <c r="DX337" s="92"/>
      <c r="DY337" s="92"/>
      <c r="DZ337" s="92"/>
      <c r="EA337" s="92"/>
      <c r="EB337" s="92"/>
      <c r="EC337" s="92"/>
      <c r="ED337" s="92"/>
      <c r="EE337" s="92"/>
      <c r="EF337" s="92"/>
      <c r="EG337" s="92"/>
      <c r="EH337" s="92"/>
      <c r="EI337" s="92"/>
      <c r="EJ337" s="92"/>
      <c r="EK337" s="92"/>
      <c r="EL337" s="92"/>
      <c r="EM337" s="92"/>
      <c r="EN337" s="92"/>
      <c r="EO337" s="92"/>
      <c r="EP337" s="92"/>
      <c r="EQ337" s="92"/>
      <c r="ER337" s="92"/>
      <c r="ES337" s="92"/>
      <c r="ET337" s="92"/>
      <c r="EU337" s="92"/>
      <c r="EV337" s="92"/>
      <c r="EW337" s="92"/>
      <c r="EX337" s="92"/>
      <c r="EY337" s="92"/>
      <c r="EZ337" s="92"/>
      <c r="FA337" s="92"/>
      <c r="FB337" s="92"/>
      <c r="FC337" s="92"/>
      <c r="FD337" s="92"/>
      <c r="FE337" s="92"/>
      <c r="FF337" s="92"/>
      <c r="FG337" s="92"/>
      <c r="FH337" s="92"/>
    </row>
    <row r="338">
      <c r="A338" s="27" t="s">
        <v>54</v>
      </c>
      <c r="B338" s="27" t="s">
        <v>63</v>
      </c>
      <c r="C338" s="27" t="s">
        <v>15</v>
      </c>
      <c r="D338" s="98">
        <f t="shared" si="1"/>
        <v>4352.240223</v>
      </c>
      <c r="E338" s="92">
        <f>(SUBSTITUTE(Audio!E338, "RE-", "", 1))*1</f>
        <v>0</v>
      </c>
      <c r="F338" s="92">
        <f>(SUBSTITUTE(Audio!F338, "RE-", "", 1))*1</f>
        <v>460.827</v>
      </c>
      <c r="G338" s="92">
        <f>(SUBSTITUTE(Audio!G338, "RE-", "", 1))*1</f>
        <v>2.15093</v>
      </c>
      <c r="H338" s="92">
        <f>(SUBSTITUTE(Audio!H338, "RE-", "", 1))*1</f>
        <v>36.4185</v>
      </c>
      <c r="I338" s="92">
        <f>(SUBSTITUTE(Audio!I338, "RE-", "", 1))*1</f>
        <v>0.314333</v>
      </c>
      <c r="J338" s="92">
        <f>(SUBSTITUTE(Audio!J338, "RE-", "", 1))*1</f>
        <v>275.92</v>
      </c>
      <c r="K338" s="92">
        <f>(SUBSTITUTE(Audio!K338, "RE-", "", 1))*1</f>
        <v>2.25383</v>
      </c>
      <c r="L338" s="92">
        <f>(SUBSTITUTE(Audio!L338, "RE-", "", 1))*1</f>
        <v>1448.92</v>
      </c>
      <c r="M338" s="92">
        <f>(SUBSTITUTE(Audio!M338, "RE-", "", 1))*1</f>
        <v>6.72933</v>
      </c>
      <c r="N338" s="92">
        <f>(SUBSTITUTE(Audio!N338, "RE-", "", 1))*1</f>
        <v>1227.36</v>
      </c>
      <c r="O338" s="92">
        <f>(SUBSTITUTE(Audio!O338, "RE-", "", 1))*1</f>
        <v>12.3476</v>
      </c>
      <c r="P338" s="92">
        <f>(SUBSTITUTE(Audio!P338, "RE-", "", 1))*1</f>
        <v>431.273</v>
      </c>
      <c r="Q338" s="92">
        <f>(SUBSTITUTE(Audio!Q338, "RE-", "", 1))*1</f>
        <v>37.0527</v>
      </c>
      <c r="R338" s="92">
        <f>(SUBSTITUTE(Audio!R338, "RE-", "", 1))*1</f>
        <v>70.6966</v>
      </c>
      <c r="S338" s="92">
        <f>(SUBSTITUTE(Audio!S338, "RE-", "", 1))*1</f>
        <v>8.74655</v>
      </c>
      <c r="T338" s="92">
        <f>(SUBSTITUTE(Audio!T338, "RE-", "", 1))*1</f>
        <v>318.497</v>
      </c>
      <c r="U338" s="92">
        <f>(SUBSTITUTE(Audio!U338, "RE-", "", 1))*1</f>
        <v>9.1414</v>
      </c>
      <c r="V338" s="92">
        <f>(SUBSTITUTE(Audio!V338, "RE-", "", 1))*1</f>
        <v>3.59145</v>
      </c>
      <c r="W338" s="92">
        <f>(SUBSTITUTE(Audio!W338, "RE-", "", 1))*1</f>
        <v>0</v>
      </c>
      <c r="X338" s="92">
        <f>(SUBSTITUTE(Audio!X338, "RE-", "", 1))*1</f>
        <v>0</v>
      </c>
      <c r="Y338" s="92">
        <f>(SUBSTITUTE(Audio!Y338, "RE-", "", 1))*1</f>
        <v>0</v>
      </c>
      <c r="Z338" s="92">
        <f>(SUBSTITUTE(Audio!Z338, "RE-", "", 1))*1</f>
        <v>0</v>
      </c>
      <c r="AA338" s="92"/>
      <c r="AB338" s="92"/>
      <c r="AC338" s="92"/>
      <c r="AD338" s="92"/>
      <c r="AE338" s="92"/>
      <c r="AF338" s="92"/>
      <c r="AG338" s="92"/>
      <c r="AH338" s="92"/>
      <c r="AI338" s="92"/>
      <c r="AJ338" s="92"/>
      <c r="AK338" s="92"/>
      <c r="AL338" s="92"/>
      <c r="AM338" s="92"/>
      <c r="AN338" s="92"/>
      <c r="AO338" s="92"/>
      <c r="AP338" s="92"/>
      <c r="AQ338" s="92"/>
      <c r="AR338" s="92"/>
      <c r="AS338" s="92"/>
      <c r="AT338" s="92"/>
      <c r="AU338" s="92"/>
      <c r="AV338" s="92"/>
      <c r="AW338" s="92"/>
      <c r="AX338" s="92"/>
      <c r="AY338" s="92"/>
      <c r="AZ338" s="92"/>
      <c r="BA338" s="92"/>
      <c r="BB338" s="92"/>
      <c r="BC338" s="92"/>
      <c r="BD338" s="92"/>
      <c r="BE338" s="92"/>
      <c r="BF338" s="92"/>
      <c r="BG338" s="92"/>
      <c r="BH338" s="92"/>
      <c r="BI338" s="92"/>
      <c r="BJ338" s="92"/>
      <c r="BK338" s="92"/>
      <c r="BL338" s="92"/>
      <c r="BM338" s="92"/>
      <c r="BN338" s="92"/>
      <c r="BO338" s="92"/>
      <c r="BP338" s="92"/>
      <c r="BQ338" s="92"/>
      <c r="BR338" s="92"/>
      <c r="BS338" s="92"/>
      <c r="BT338" s="92"/>
      <c r="BU338" s="92"/>
      <c r="BV338" s="92"/>
      <c r="BW338" s="92"/>
      <c r="BX338" s="92"/>
      <c r="BY338" s="92"/>
      <c r="BZ338" s="92"/>
      <c r="CA338" s="92"/>
      <c r="CB338" s="92"/>
      <c r="CC338" s="92"/>
      <c r="CD338" s="92"/>
      <c r="CE338" s="92"/>
      <c r="CF338" s="92"/>
      <c r="CG338" s="92"/>
      <c r="CH338" s="92"/>
      <c r="CI338" s="92"/>
      <c r="CJ338" s="92"/>
      <c r="CK338" s="92"/>
      <c r="CL338" s="92"/>
      <c r="CM338" s="92"/>
      <c r="CN338" s="92"/>
      <c r="CO338" s="92"/>
      <c r="CP338" s="92"/>
      <c r="CQ338" s="92"/>
      <c r="CR338" s="92"/>
      <c r="CS338" s="92"/>
      <c r="CT338" s="92"/>
      <c r="CU338" s="92"/>
      <c r="CV338" s="92"/>
      <c r="CW338" s="92"/>
      <c r="CX338" s="92"/>
      <c r="CY338" s="92"/>
      <c r="CZ338" s="92"/>
      <c r="DA338" s="92"/>
      <c r="DB338" s="92"/>
      <c r="DC338" s="92"/>
      <c r="DD338" s="92"/>
      <c r="DE338" s="92"/>
      <c r="DF338" s="92"/>
      <c r="DG338" s="92"/>
      <c r="DH338" s="92"/>
      <c r="DI338" s="92"/>
      <c r="DJ338" s="92"/>
      <c r="DK338" s="92"/>
      <c r="DL338" s="92"/>
      <c r="DM338" s="92"/>
      <c r="DN338" s="92"/>
      <c r="DO338" s="92"/>
      <c r="DP338" s="92"/>
      <c r="DQ338" s="92"/>
      <c r="DR338" s="92"/>
      <c r="DS338" s="92"/>
      <c r="DT338" s="92"/>
      <c r="DU338" s="92"/>
      <c r="DV338" s="92"/>
      <c r="DW338" s="92"/>
      <c r="DX338" s="92"/>
      <c r="DY338" s="92"/>
      <c r="DZ338" s="92"/>
      <c r="EA338" s="92"/>
      <c r="EB338" s="92"/>
      <c r="EC338" s="92"/>
      <c r="ED338" s="92"/>
      <c r="EE338" s="92"/>
      <c r="EF338" s="92"/>
      <c r="EG338" s="92"/>
      <c r="EH338" s="92"/>
      <c r="EI338" s="92"/>
      <c r="EJ338" s="92"/>
      <c r="EK338" s="92"/>
      <c r="EL338" s="92"/>
      <c r="EM338" s="92"/>
      <c r="EN338" s="92"/>
      <c r="EO338" s="92"/>
      <c r="EP338" s="92"/>
      <c r="EQ338" s="92"/>
      <c r="ER338" s="92"/>
      <c r="ES338" s="92"/>
      <c r="ET338" s="92"/>
      <c r="EU338" s="92"/>
      <c r="EV338" s="92"/>
      <c r="EW338" s="92"/>
      <c r="EX338" s="92"/>
      <c r="EY338" s="92"/>
      <c r="EZ338" s="92"/>
      <c r="FA338" s="92"/>
      <c r="FB338" s="92"/>
      <c r="FC338" s="92"/>
      <c r="FD338" s="92"/>
      <c r="FE338" s="92"/>
      <c r="FF338" s="92"/>
      <c r="FG338" s="92"/>
      <c r="FH338" s="92"/>
    </row>
    <row r="339">
      <c r="A339" s="30" t="s">
        <v>54</v>
      </c>
      <c r="B339" s="30" t="s">
        <v>64</v>
      </c>
      <c r="C339" s="31" t="str">
        <f>HYPERLINK("https://docs.google.com/spreadsheets/d/1FVNNDeiM30_azOvOAGthdwHhV8XRA3ya/edit?usp=share_link&amp;ouid=106501987799020758802&amp;rtpof=true&amp;sd=true", "Raw Delivered")</f>
        <v>Raw Delivered</v>
      </c>
      <c r="D339" s="96">
        <f t="shared" si="1"/>
        <v>5241.37617</v>
      </c>
      <c r="E339" s="92">
        <f>(SUBSTITUTE(Audio!E339, "RE-", "", 1))*1</f>
        <v>0</v>
      </c>
      <c r="F339" s="92">
        <f>(SUBSTITUTE(Audio!F339, "RE-", "", 1))*1</f>
        <v>518.1460927</v>
      </c>
      <c r="G339" s="92">
        <f>(SUBSTITUTE(Audio!G339, "RE-", "", 1))*1</f>
        <v>0</v>
      </c>
      <c r="H339" s="92">
        <f>(SUBSTITUTE(Audio!H339, "RE-", "", 1))*1</f>
        <v>80.36775208</v>
      </c>
      <c r="I339" s="92">
        <f>(SUBSTITUTE(Audio!I339, "RE-", "", 1))*1</f>
        <v>0</v>
      </c>
      <c r="J339" s="92">
        <f>(SUBSTITUTE(Audio!J339, "RE-", "", 1))*1</f>
        <v>799.8935813</v>
      </c>
      <c r="K339" s="92">
        <f>(SUBSTITUTE(Audio!K339, "RE-", "", 1))*1</f>
        <v>0</v>
      </c>
      <c r="L339" s="92">
        <f>(SUBSTITUTE(Audio!L339, "RE-", "", 1))*1</f>
        <v>1126.078012</v>
      </c>
      <c r="M339" s="92">
        <f>(SUBSTITUTE(Audio!M339, "RE-", "", 1))*1</f>
        <v>0</v>
      </c>
      <c r="N339" s="92">
        <f>(SUBSTITUTE(Audio!N339, "RE-", "", 1))*1</f>
        <v>2108.773441</v>
      </c>
      <c r="O339" s="92">
        <f>(SUBSTITUTE(Audio!O339, "RE-", "", 1))*1</f>
        <v>0</v>
      </c>
      <c r="P339" s="92">
        <f>(SUBSTITUTE(Audio!P339, "RE-", "", 1))*1</f>
        <v>241.6319521</v>
      </c>
      <c r="Q339" s="92">
        <f>(SUBSTITUTE(Audio!Q339, "RE-", "", 1))*1</f>
        <v>0</v>
      </c>
      <c r="R339" s="92">
        <f>(SUBSTITUTE(Audio!R339, "RE-", "", 1))*1</f>
        <v>55.85053438</v>
      </c>
      <c r="S339" s="92">
        <f>(SUBSTITUTE(Audio!S339, "RE-", "", 1))*1</f>
        <v>0</v>
      </c>
      <c r="T339" s="92">
        <f>(SUBSTITUTE(Audio!T339, "RE-", "", 1))*1</f>
        <v>310.6348042</v>
      </c>
      <c r="U339" s="92">
        <f>(SUBSTITUTE(Audio!U339, "RE-", "", 1))*1</f>
        <v>0</v>
      </c>
      <c r="V339" s="92">
        <f>(SUBSTITUTE(Audio!V339, "RE-", "", 1))*1</f>
        <v>0</v>
      </c>
      <c r="W339" s="92">
        <f>(SUBSTITUTE(Audio!W339, "RE-", "", 1))*1</f>
        <v>0</v>
      </c>
      <c r="X339" s="92">
        <f>(SUBSTITUTE(Audio!X339, "RE-", "", 1))*1</f>
        <v>0</v>
      </c>
      <c r="Y339" s="92">
        <f>(SUBSTITUTE(Audio!Y339, "RE-", "", 1))*1</f>
        <v>0</v>
      </c>
      <c r="Z339" s="92">
        <f>(SUBSTITUTE(Audio!Z339, "RE-", "", 1))*1</f>
        <v>0</v>
      </c>
      <c r="AA339" s="92"/>
      <c r="AB339" s="92"/>
      <c r="AC339" s="92"/>
      <c r="AD339" s="92"/>
      <c r="AE339" s="92"/>
      <c r="AF339" s="92"/>
      <c r="AG339" s="92"/>
      <c r="AH339" s="92"/>
      <c r="AI339" s="92"/>
      <c r="AJ339" s="92"/>
      <c r="AK339" s="92"/>
      <c r="AL339" s="92"/>
      <c r="AM339" s="92"/>
      <c r="AN339" s="92"/>
      <c r="AO339" s="92"/>
      <c r="AP339" s="92"/>
      <c r="AQ339" s="92"/>
      <c r="AR339" s="92"/>
      <c r="AS339" s="92"/>
      <c r="AT339" s="92"/>
      <c r="AU339" s="92"/>
      <c r="AV339" s="92"/>
      <c r="AW339" s="92"/>
      <c r="AX339" s="92"/>
      <c r="AY339" s="92"/>
      <c r="AZ339" s="92"/>
      <c r="BA339" s="92"/>
      <c r="BB339" s="92"/>
      <c r="BC339" s="92"/>
      <c r="BD339" s="92"/>
      <c r="BE339" s="92"/>
      <c r="BF339" s="92"/>
      <c r="BG339" s="92"/>
      <c r="BH339" s="92"/>
      <c r="BI339" s="92"/>
      <c r="BJ339" s="92"/>
      <c r="BK339" s="92"/>
      <c r="BL339" s="92"/>
      <c r="BM339" s="92"/>
      <c r="BN339" s="92"/>
      <c r="BO339" s="92"/>
      <c r="BP339" s="92"/>
      <c r="BQ339" s="92"/>
      <c r="BR339" s="92"/>
      <c r="BS339" s="92"/>
      <c r="BT339" s="92"/>
      <c r="BU339" s="92"/>
      <c r="BV339" s="92"/>
      <c r="BW339" s="92"/>
      <c r="BX339" s="92"/>
      <c r="BY339" s="92"/>
      <c r="BZ339" s="92"/>
      <c r="CA339" s="92"/>
      <c r="CB339" s="92"/>
      <c r="CC339" s="92"/>
      <c r="CD339" s="92"/>
      <c r="CE339" s="92"/>
      <c r="CF339" s="92"/>
      <c r="CG339" s="92"/>
      <c r="CH339" s="92"/>
      <c r="CI339" s="92"/>
      <c r="CJ339" s="92"/>
      <c r="CK339" s="92"/>
      <c r="CL339" s="92"/>
      <c r="CM339" s="92"/>
      <c r="CN339" s="92"/>
      <c r="CO339" s="92"/>
      <c r="CP339" s="92"/>
      <c r="CQ339" s="92"/>
      <c r="CR339" s="92"/>
      <c r="CS339" s="92"/>
      <c r="CT339" s="92"/>
      <c r="CU339" s="92"/>
      <c r="CV339" s="92"/>
      <c r="CW339" s="92"/>
      <c r="CX339" s="92"/>
      <c r="CY339" s="92"/>
      <c r="CZ339" s="92"/>
      <c r="DA339" s="92"/>
      <c r="DB339" s="92"/>
      <c r="DC339" s="92"/>
      <c r="DD339" s="92"/>
      <c r="DE339" s="92"/>
      <c r="DF339" s="92"/>
      <c r="DG339" s="92"/>
      <c r="DH339" s="92"/>
      <c r="DI339" s="92"/>
      <c r="DJ339" s="92"/>
      <c r="DK339" s="92"/>
      <c r="DL339" s="92"/>
      <c r="DM339" s="92"/>
      <c r="DN339" s="92"/>
      <c r="DO339" s="92"/>
      <c r="DP339" s="92"/>
      <c r="DQ339" s="92"/>
      <c r="DR339" s="92"/>
      <c r="DS339" s="92"/>
      <c r="DT339" s="92"/>
      <c r="DU339" s="92"/>
      <c r="DV339" s="92"/>
      <c r="DW339" s="92"/>
      <c r="DX339" s="92"/>
      <c r="DY339" s="92"/>
      <c r="DZ339" s="92"/>
      <c r="EA339" s="92"/>
      <c r="EB339" s="92"/>
      <c r="EC339" s="92"/>
      <c r="ED339" s="92"/>
      <c r="EE339" s="92"/>
      <c r="EF339" s="92"/>
      <c r="EG339" s="92"/>
      <c r="EH339" s="92"/>
      <c r="EI339" s="92"/>
      <c r="EJ339" s="92"/>
      <c r="EK339" s="92"/>
      <c r="EL339" s="92"/>
      <c r="EM339" s="92"/>
      <c r="EN339" s="92"/>
      <c r="EO339" s="92"/>
      <c r="EP339" s="92"/>
      <c r="EQ339" s="92"/>
      <c r="ER339" s="92"/>
      <c r="ES339" s="92"/>
      <c r="ET339" s="92"/>
      <c r="EU339" s="92"/>
      <c r="EV339" s="92"/>
      <c r="EW339" s="92"/>
      <c r="EX339" s="92"/>
      <c r="EY339" s="92"/>
      <c r="EZ339" s="92"/>
      <c r="FA339" s="92"/>
      <c r="FB339" s="92"/>
      <c r="FC339" s="92"/>
      <c r="FD339" s="92"/>
      <c r="FE339" s="92"/>
      <c r="FF339" s="92"/>
      <c r="FG339" s="92"/>
      <c r="FH339" s="92"/>
    </row>
    <row r="340">
      <c r="A340" s="32" t="s">
        <v>54</v>
      </c>
      <c r="B340" s="32" t="s">
        <v>64</v>
      </c>
      <c r="C340" s="32" t="s">
        <v>9</v>
      </c>
      <c r="D340" s="97">
        <f t="shared" si="1"/>
        <v>5241.376169</v>
      </c>
      <c r="E340" s="92">
        <f>(SUBSTITUTE(Audio!E340, "RE-", "", 1))*1</f>
        <v>0</v>
      </c>
      <c r="F340" s="92">
        <f>(SUBSTITUTE(Audio!F340, "RE-", "", 1))*1</f>
        <v>518.1460927</v>
      </c>
      <c r="G340" s="92">
        <f>(SUBSTITUTE(Audio!G340, "RE-", "", 1))*1</f>
        <v>0</v>
      </c>
      <c r="H340" s="92">
        <f>(SUBSTITUTE(Audio!H340, "RE-", "", 1))*1</f>
        <v>80.36775208</v>
      </c>
      <c r="I340" s="92">
        <f>(SUBSTITUTE(Audio!I340, "RE-", "", 1))*1</f>
        <v>0</v>
      </c>
      <c r="J340" s="92">
        <f>(SUBSTITUTE(Audio!J340, "RE-", "", 1))*1</f>
        <v>799.8935813</v>
      </c>
      <c r="K340" s="92">
        <f>(SUBSTITUTE(Audio!K340, "RE-", "", 1))*1</f>
        <v>0</v>
      </c>
      <c r="L340" s="92">
        <f>(SUBSTITUTE(Audio!L340, "RE-", "", 1))*1</f>
        <v>1126.078012</v>
      </c>
      <c r="M340" s="92">
        <f>(SUBSTITUTE(Audio!M340, "RE-", "", 1))*1</f>
        <v>0</v>
      </c>
      <c r="N340" s="92">
        <f>(SUBSTITUTE(Audio!N340, "RE-", "", 1))*1</f>
        <v>2108.773441</v>
      </c>
      <c r="O340" s="92">
        <f>(SUBSTITUTE(Audio!O340, "RE-", "", 1))*1</f>
        <v>0</v>
      </c>
      <c r="P340" s="92">
        <f>(SUBSTITUTE(Audio!P340, "RE-", "", 1))*1</f>
        <v>241.6319521</v>
      </c>
      <c r="Q340" s="92">
        <f>(SUBSTITUTE(Audio!Q340, "RE-", "", 1))*1</f>
        <v>0</v>
      </c>
      <c r="R340" s="92">
        <f>(SUBSTITUTE(Audio!R340, "RE-", "", 1))*1</f>
        <v>55.85053438</v>
      </c>
      <c r="S340" s="92">
        <f>(SUBSTITUTE(Audio!S340, "RE-", "", 1))*1</f>
        <v>0</v>
      </c>
      <c r="T340" s="92">
        <f>(SUBSTITUTE(Audio!T340, "RE-", "", 1))*1</f>
        <v>310.6348042</v>
      </c>
      <c r="U340" s="92">
        <f>(SUBSTITUTE(Audio!U340, "RE-", "", 1))*1</f>
        <v>0</v>
      </c>
      <c r="V340" s="92">
        <f>(SUBSTITUTE(Audio!V340, "RE-", "", 1))*1</f>
        <v>0</v>
      </c>
      <c r="W340" s="92">
        <f>(SUBSTITUTE(Audio!W340, "RE-", "", 1))*1</f>
        <v>0</v>
      </c>
      <c r="X340" s="92">
        <f>(SUBSTITUTE(Audio!X340, "RE-", "", 1))*1</f>
        <v>0</v>
      </c>
      <c r="Y340" s="92">
        <f>(SUBSTITUTE(Audio!Y340, "RE-", "", 1))*1</f>
        <v>0</v>
      </c>
      <c r="Z340" s="92">
        <f>(SUBSTITUTE(Audio!Z340, "RE-", "", 1))*1</f>
        <v>0</v>
      </c>
      <c r="AA340" s="92"/>
      <c r="AB340" s="92"/>
      <c r="AC340" s="92"/>
      <c r="AD340" s="92"/>
      <c r="AE340" s="92"/>
      <c r="AF340" s="92"/>
      <c r="AG340" s="92"/>
      <c r="AH340" s="92"/>
      <c r="AI340" s="92"/>
      <c r="AJ340" s="92"/>
      <c r="AK340" s="92"/>
      <c r="AL340" s="92"/>
      <c r="AM340" s="92"/>
      <c r="AN340" s="92"/>
      <c r="AO340" s="92"/>
      <c r="AP340" s="92"/>
      <c r="AQ340" s="92"/>
      <c r="AR340" s="92"/>
      <c r="AS340" s="92"/>
      <c r="AT340" s="92"/>
      <c r="AU340" s="92"/>
      <c r="AV340" s="92"/>
      <c r="AW340" s="92"/>
      <c r="AX340" s="92"/>
      <c r="AY340" s="92"/>
      <c r="AZ340" s="92"/>
      <c r="BA340" s="92"/>
      <c r="BB340" s="92"/>
      <c r="BC340" s="92"/>
      <c r="BD340" s="92"/>
      <c r="BE340" s="92"/>
      <c r="BF340" s="92"/>
      <c r="BG340" s="92"/>
      <c r="BH340" s="92"/>
      <c r="BI340" s="92"/>
      <c r="BJ340" s="92"/>
      <c r="BK340" s="92"/>
      <c r="BL340" s="92"/>
      <c r="BM340" s="92"/>
      <c r="BN340" s="92"/>
      <c r="BO340" s="92"/>
      <c r="BP340" s="92"/>
      <c r="BQ340" s="92"/>
      <c r="BR340" s="92"/>
      <c r="BS340" s="92"/>
      <c r="BT340" s="92"/>
      <c r="BU340" s="92"/>
      <c r="BV340" s="92"/>
      <c r="BW340" s="92"/>
      <c r="BX340" s="92"/>
      <c r="BY340" s="92"/>
      <c r="BZ340" s="92"/>
      <c r="CA340" s="92"/>
      <c r="CB340" s="92"/>
      <c r="CC340" s="92"/>
      <c r="CD340" s="92"/>
      <c r="CE340" s="92"/>
      <c r="CF340" s="92"/>
      <c r="CG340" s="92"/>
      <c r="CH340" s="92"/>
      <c r="CI340" s="92"/>
      <c r="CJ340" s="92"/>
      <c r="CK340" s="92"/>
      <c r="CL340" s="92"/>
      <c r="CM340" s="92"/>
      <c r="CN340" s="92"/>
      <c r="CO340" s="92"/>
      <c r="CP340" s="92"/>
      <c r="CQ340" s="92"/>
      <c r="CR340" s="92"/>
      <c r="CS340" s="92"/>
      <c r="CT340" s="92"/>
      <c r="CU340" s="92"/>
      <c r="CV340" s="92"/>
      <c r="CW340" s="92"/>
      <c r="CX340" s="92"/>
      <c r="CY340" s="92"/>
      <c r="CZ340" s="92"/>
      <c r="DA340" s="92"/>
      <c r="DB340" s="92"/>
      <c r="DC340" s="92"/>
      <c r="DD340" s="92"/>
      <c r="DE340" s="92"/>
      <c r="DF340" s="92"/>
      <c r="DG340" s="92"/>
      <c r="DH340" s="92"/>
      <c r="DI340" s="92"/>
      <c r="DJ340" s="92"/>
      <c r="DK340" s="92"/>
      <c r="DL340" s="92"/>
      <c r="DM340" s="92"/>
      <c r="DN340" s="92"/>
      <c r="DO340" s="92"/>
      <c r="DP340" s="92"/>
      <c r="DQ340" s="92"/>
      <c r="DR340" s="92"/>
      <c r="DS340" s="92"/>
      <c r="DT340" s="92"/>
      <c r="DU340" s="92"/>
      <c r="DV340" s="92"/>
      <c r="DW340" s="92"/>
      <c r="DX340" s="92"/>
      <c r="DY340" s="92"/>
      <c r="DZ340" s="92"/>
      <c r="EA340" s="92"/>
      <c r="EB340" s="92"/>
      <c r="EC340" s="92"/>
      <c r="ED340" s="92"/>
      <c r="EE340" s="92"/>
      <c r="EF340" s="92"/>
      <c r="EG340" s="92"/>
      <c r="EH340" s="92"/>
      <c r="EI340" s="92"/>
      <c r="EJ340" s="92"/>
      <c r="EK340" s="92"/>
      <c r="EL340" s="92"/>
      <c r="EM340" s="92"/>
      <c r="EN340" s="92"/>
      <c r="EO340" s="92"/>
      <c r="EP340" s="92"/>
      <c r="EQ340" s="92"/>
      <c r="ER340" s="92"/>
      <c r="ES340" s="92"/>
      <c r="ET340" s="92"/>
      <c r="EU340" s="92"/>
      <c r="EV340" s="92"/>
      <c r="EW340" s="92"/>
      <c r="EX340" s="92"/>
      <c r="EY340" s="92"/>
      <c r="EZ340" s="92"/>
      <c r="FA340" s="92"/>
      <c r="FB340" s="92"/>
      <c r="FC340" s="92"/>
      <c r="FD340" s="92"/>
      <c r="FE340" s="92"/>
      <c r="FF340" s="92"/>
      <c r="FG340" s="92"/>
      <c r="FH340" s="92"/>
    </row>
    <row r="341">
      <c r="A341" s="32" t="s">
        <v>54</v>
      </c>
      <c r="B341" s="32" t="s">
        <v>64</v>
      </c>
      <c r="C341" s="32" t="s">
        <v>10</v>
      </c>
      <c r="D341" s="97">
        <f t="shared" si="1"/>
        <v>560.6579344</v>
      </c>
      <c r="E341" s="92">
        <f>(SUBSTITUTE(Audio!E341, "RE-", "", 1))*1</f>
        <v>0</v>
      </c>
      <c r="F341" s="92">
        <f>(SUBSTITUTE(Audio!F341, "RE-", "", 1))*1</f>
        <v>0</v>
      </c>
      <c r="G341" s="92">
        <f>(SUBSTITUTE(Audio!G341, "RE-", "", 1))*1</f>
        <v>29.13803958</v>
      </c>
      <c r="H341" s="92">
        <f>(SUBSTITUTE(Audio!H341, "RE-", "", 1))*1</f>
        <v>0</v>
      </c>
      <c r="I341" s="92">
        <f>(SUBSTITUTE(Audio!I341, "RE-", "", 1))*1</f>
        <v>4.293752083</v>
      </c>
      <c r="J341" s="92">
        <f>(SUBSTITUTE(Audio!J341, "RE-", "", 1))*1</f>
        <v>0</v>
      </c>
      <c r="K341" s="92">
        <f>(SUBSTITUTE(Audio!K341, "RE-", "", 1))*1</f>
        <v>68.99243958</v>
      </c>
      <c r="L341" s="92">
        <f>(SUBSTITUTE(Audio!L341, "RE-", "", 1))*1</f>
        <v>0</v>
      </c>
      <c r="M341" s="92">
        <f>(SUBSTITUTE(Audio!M341, "RE-", "", 1))*1</f>
        <v>42.08873646</v>
      </c>
      <c r="N341" s="92">
        <f>(SUBSTITUTE(Audio!N341, "RE-", "", 1))*1</f>
        <v>0</v>
      </c>
      <c r="O341" s="92">
        <f>(SUBSTITUTE(Audio!O341, "RE-", "", 1))*1</f>
        <v>269.3350615</v>
      </c>
      <c r="P341" s="92">
        <f>(SUBSTITUTE(Audio!P341, "RE-", "", 1))*1</f>
        <v>0</v>
      </c>
      <c r="Q341" s="92">
        <f>(SUBSTITUTE(Audio!Q341, "RE-", "", 1))*1</f>
        <v>118.4483875</v>
      </c>
      <c r="R341" s="92">
        <f>(SUBSTITUTE(Audio!R341, "RE-", "", 1))*1</f>
        <v>0</v>
      </c>
      <c r="S341" s="92">
        <f>(SUBSTITUTE(Audio!S341, "RE-", "", 1))*1</f>
        <v>2.786217708</v>
      </c>
      <c r="T341" s="92">
        <f>(SUBSTITUTE(Audio!T341, "RE-", "", 1))*1</f>
        <v>0</v>
      </c>
      <c r="U341" s="92">
        <f>(SUBSTITUTE(Audio!U341, "RE-", "", 1))*1</f>
        <v>20.66672083</v>
      </c>
      <c r="V341" s="92">
        <f>(SUBSTITUTE(Audio!V341, "RE-", "", 1))*1</f>
        <v>4.908579167</v>
      </c>
      <c r="W341" s="92">
        <f>(SUBSTITUTE(Audio!W341, "RE-", "", 1))*1</f>
        <v>0</v>
      </c>
      <c r="X341" s="92">
        <f>(SUBSTITUTE(Audio!X341, "RE-", "", 1))*1</f>
        <v>0</v>
      </c>
      <c r="Y341" s="92">
        <f>(SUBSTITUTE(Audio!Y341, "RE-", "", 1))*1</f>
        <v>0</v>
      </c>
      <c r="Z341" s="92">
        <f>(SUBSTITUTE(Audio!Z341, "RE-", "", 1))*1</f>
        <v>0</v>
      </c>
      <c r="AA341" s="92"/>
      <c r="AB341" s="92"/>
      <c r="AC341" s="92"/>
      <c r="AD341" s="92"/>
      <c r="AE341" s="92"/>
      <c r="AF341" s="92"/>
      <c r="AG341" s="92"/>
      <c r="AH341" s="92"/>
      <c r="AI341" s="92"/>
      <c r="AJ341" s="92"/>
      <c r="AK341" s="92"/>
      <c r="AL341" s="92"/>
      <c r="AM341" s="92"/>
      <c r="AN341" s="92"/>
      <c r="AO341" s="92"/>
      <c r="AP341" s="92"/>
      <c r="AQ341" s="92"/>
      <c r="AR341" s="92"/>
      <c r="AS341" s="92"/>
      <c r="AT341" s="92"/>
      <c r="AU341" s="92"/>
      <c r="AV341" s="92"/>
      <c r="AW341" s="92"/>
      <c r="AX341" s="92"/>
      <c r="AY341" s="92"/>
      <c r="AZ341" s="92"/>
      <c r="BA341" s="92"/>
      <c r="BB341" s="92"/>
      <c r="BC341" s="92"/>
      <c r="BD341" s="92"/>
      <c r="BE341" s="92"/>
      <c r="BF341" s="92"/>
      <c r="BG341" s="92"/>
      <c r="BH341" s="92"/>
      <c r="BI341" s="92"/>
      <c r="BJ341" s="92"/>
      <c r="BK341" s="92"/>
      <c r="BL341" s="92"/>
      <c r="BM341" s="92"/>
      <c r="BN341" s="92"/>
      <c r="BO341" s="92"/>
      <c r="BP341" s="92"/>
      <c r="BQ341" s="92"/>
      <c r="BR341" s="92"/>
      <c r="BS341" s="92"/>
      <c r="BT341" s="92"/>
      <c r="BU341" s="92"/>
      <c r="BV341" s="92"/>
      <c r="BW341" s="92"/>
      <c r="BX341" s="92"/>
      <c r="BY341" s="92"/>
      <c r="BZ341" s="92"/>
      <c r="CA341" s="92"/>
      <c r="CB341" s="92"/>
      <c r="CC341" s="92"/>
      <c r="CD341" s="92"/>
      <c r="CE341" s="92"/>
      <c r="CF341" s="92"/>
      <c r="CG341" s="92"/>
      <c r="CH341" s="92"/>
      <c r="CI341" s="92"/>
      <c r="CJ341" s="92"/>
      <c r="CK341" s="92"/>
      <c r="CL341" s="92"/>
      <c r="CM341" s="92"/>
      <c r="CN341" s="92"/>
      <c r="CO341" s="92"/>
      <c r="CP341" s="92"/>
      <c r="CQ341" s="92"/>
      <c r="CR341" s="92"/>
      <c r="CS341" s="92"/>
      <c r="CT341" s="92"/>
      <c r="CU341" s="92"/>
      <c r="CV341" s="92"/>
      <c r="CW341" s="92"/>
      <c r="CX341" s="92"/>
      <c r="CY341" s="92"/>
      <c r="CZ341" s="92"/>
      <c r="DA341" s="92"/>
      <c r="DB341" s="92"/>
      <c r="DC341" s="92"/>
      <c r="DD341" s="92"/>
      <c r="DE341" s="92"/>
      <c r="DF341" s="92"/>
      <c r="DG341" s="92"/>
      <c r="DH341" s="92"/>
      <c r="DI341" s="92"/>
      <c r="DJ341" s="92"/>
      <c r="DK341" s="92"/>
      <c r="DL341" s="92"/>
      <c r="DM341" s="92"/>
      <c r="DN341" s="92"/>
      <c r="DO341" s="92"/>
      <c r="DP341" s="92"/>
      <c r="DQ341" s="92"/>
      <c r="DR341" s="92"/>
      <c r="DS341" s="92"/>
      <c r="DT341" s="92"/>
      <c r="DU341" s="92"/>
      <c r="DV341" s="92"/>
      <c r="DW341" s="92"/>
      <c r="DX341" s="92"/>
      <c r="DY341" s="92"/>
      <c r="DZ341" s="92"/>
      <c r="EA341" s="92"/>
      <c r="EB341" s="92"/>
      <c r="EC341" s="92"/>
      <c r="ED341" s="92"/>
      <c r="EE341" s="92"/>
      <c r="EF341" s="92"/>
      <c r="EG341" s="92"/>
      <c r="EH341" s="92"/>
      <c r="EI341" s="92"/>
      <c r="EJ341" s="92"/>
      <c r="EK341" s="92"/>
      <c r="EL341" s="92"/>
      <c r="EM341" s="92"/>
      <c r="EN341" s="92"/>
      <c r="EO341" s="92"/>
      <c r="EP341" s="92"/>
      <c r="EQ341" s="92"/>
      <c r="ER341" s="92"/>
      <c r="ES341" s="92"/>
      <c r="ET341" s="92"/>
      <c r="EU341" s="92"/>
      <c r="EV341" s="92"/>
      <c r="EW341" s="92"/>
      <c r="EX341" s="92"/>
      <c r="EY341" s="92"/>
      <c r="EZ341" s="92"/>
      <c r="FA341" s="92"/>
      <c r="FB341" s="92"/>
      <c r="FC341" s="92"/>
      <c r="FD341" s="92"/>
      <c r="FE341" s="92"/>
      <c r="FF341" s="92"/>
      <c r="FG341" s="92"/>
      <c r="FH341" s="92"/>
    </row>
    <row r="342">
      <c r="A342" s="32" t="s">
        <v>54</v>
      </c>
      <c r="B342" s="32" t="s">
        <v>64</v>
      </c>
      <c r="C342" s="32" t="s">
        <v>11</v>
      </c>
      <c r="D342" s="97">
        <f t="shared" si="1"/>
        <v>560.6579344</v>
      </c>
      <c r="E342" s="92">
        <f>(SUBSTITUTE(Audio!E342, "RE-", "", 1))*1</f>
        <v>0</v>
      </c>
      <c r="F342" s="92">
        <f>(SUBSTITUTE(Audio!F342, "RE-", "", 1))*1</f>
        <v>0</v>
      </c>
      <c r="G342" s="92">
        <f>(SUBSTITUTE(Audio!G342, "RE-", "", 1))*1</f>
        <v>29.13803958</v>
      </c>
      <c r="H342" s="92">
        <f>(SUBSTITUTE(Audio!H342, "RE-", "", 1))*1</f>
        <v>0</v>
      </c>
      <c r="I342" s="92">
        <f>(SUBSTITUTE(Audio!I342, "RE-", "", 1))*1</f>
        <v>4.293752083</v>
      </c>
      <c r="J342" s="92">
        <f>(SUBSTITUTE(Audio!J342, "RE-", "", 1))*1</f>
        <v>0</v>
      </c>
      <c r="K342" s="92">
        <f>(SUBSTITUTE(Audio!K342, "RE-", "", 1))*1</f>
        <v>68.99243958</v>
      </c>
      <c r="L342" s="92">
        <f>(SUBSTITUTE(Audio!L342, "RE-", "", 1))*1</f>
        <v>0</v>
      </c>
      <c r="M342" s="92">
        <f>(SUBSTITUTE(Audio!M342, "RE-", "", 1))*1</f>
        <v>42.08873646</v>
      </c>
      <c r="N342" s="92">
        <f>(SUBSTITUTE(Audio!N342, "RE-", "", 1))*1</f>
        <v>0</v>
      </c>
      <c r="O342" s="92">
        <f>(SUBSTITUTE(Audio!O342, "RE-", "", 1))*1</f>
        <v>269.3350615</v>
      </c>
      <c r="P342" s="92">
        <f>(SUBSTITUTE(Audio!P342, "RE-", "", 1))*1</f>
        <v>0</v>
      </c>
      <c r="Q342" s="92">
        <f>(SUBSTITUTE(Audio!Q342, "RE-", "", 1))*1</f>
        <v>118.4483875</v>
      </c>
      <c r="R342" s="92">
        <f>(SUBSTITUTE(Audio!R342, "RE-", "", 1))*1</f>
        <v>0</v>
      </c>
      <c r="S342" s="92">
        <f>(SUBSTITUTE(Audio!S342, "RE-", "", 1))*1</f>
        <v>2.786217708</v>
      </c>
      <c r="T342" s="92">
        <f>(SUBSTITUTE(Audio!T342, "RE-", "", 1))*1</f>
        <v>0</v>
      </c>
      <c r="U342" s="92">
        <f>(SUBSTITUTE(Audio!U342, "RE-", "", 1))*1</f>
        <v>20.66672083</v>
      </c>
      <c r="V342" s="92">
        <f>(SUBSTITUTE(Audio!V342, "RE-", "", 1))*1</f>
        <v>4.908579167</v>
      </c>
      <c r="W342" s="92">
        <f>(SUBSTITUTE(Audio!W342, "RE-", "", 1))*1</f>
        <v>0</v>
      </c>
      <c r="X342" s="92">
        <f>(SUBSTITUTE(Audio!X342, "RE-", "", 1))*1</f>
        <v>0</v>
      </c>
      <c r="Y342" s="92">
        <f>(SUBSTITUTE(Audio!Y342, "RE-", "", 1))*1</f>
        <v>0</v>
      </c>
      <c r="Z342" s="92">
        <f>(SUBSTITUTE(Audio!Z342, "RE-", "", 1))*1</f>
        <v>0</v>
      </c>
      <c r="AA342" s="92"/>
      <c r="AB342" s="92"/>
      <c r="AC342" s="92"/>
      <c r="AD342" s="92"/>
      <c r="AE342" s="92"/>
      <c r="AF342" s="92"/>
      <c r="AG342" s="92"/>
      <c r="AH342" s="92"/>
      <c r="AI342" s="92"/>
      <c r="AJ342" s="92"/>
      <c r="AK342" s="92"/>
      <c r="AL342" s="92"/>
      <c r="AM342" s="92"/>
      <c r="AN342" s="92"/>
      <c r="AO342" s="92"/>
      <c r="AP342" s="92"/>
      <c r="AQ342" s="92"/>
      <c r="AR342" s="92"/>
      <c r="AS342" s="92"/>
      <c r="AT342" s="92"/>
      <c r="AU342" s="92"/>
      <c r="AV342" s="92"/>
      <c r="AW342" s="92"/>
      <c r="AX342" s="92"/>
      <c r="AY342" s="92"/>
      <c r="AZ342" s="92"/>
      <c r="BA342" s="92"/>
      <c r="BB342" s="92"/>
      <c r="BC342" s="92"/>
      <c r="BD342" s="92"/>
      <c r="BE342" s="92"/>
      <c r="BF342" s="92"/>
      <c r="BG342" s="92"/>
      <c r="BH342" s="92"/>
      <c r="BI342" s="92"/>
      <c r="BJ342" s="92"/>
      <c r="BK342" s="92"/>
      <c r="BL342" s="92"/>
      <c r="BM342" s="92"/>
      <c r="BN342" s="92"/>
      <c r="BO342" s="92"/>
      <c r="BP342" s="92"/>
      <c r="BQ342" s="92"/>
      <c r="BR342" s="92"/>
      <c r="BS342" s="92"/>
      <c r="BT342" s="92"/>
      <c r="BU342" s="92"/>
      <c r="BV342" s="92"/>
      <c r="BW342" s="92"/>
      <c r="BX342" s="92"/>
      <c r="BY342" s="92"/>
      <c r="BZ342" s="92"/>
      <c r="CA342" s="92"/>
      <c r="CB342" s="92"/>
      <c r="CC342" s="92"/>
      <c r="CD342" s="92"/>
      <c r="CE342" s="92"/>
      <c r="CF342" s="92"/>
      <c r="CG342" s="92"/>
      <c r="CH342" s="92"/>
      <c r="CI342" s="92"/>
      <c r="CJ342" s="92"/>
      <c r="CK342" s="92"/>
      <c r="CL342" s="92"/>
      <c r="CM342" s="92"/>
      <c r="CN342" s="92"/>
      <c r="CO342" s="92"/>
      <c r="CP342" s="92"/>
      <c r="CQ342" s="92"/>
      <c r="CR342" s="92"/>
      <c r="CS342" s="92"/>
      <c r="CT342" s="92"/>
      <c r="CU342" s="92"/>
      <c r="CV342" s="92"/>
      <c r="CW342" s="92"/>
      <c r="CX342" s="92"/>
      <c r="CY342" s="92"/>
      <c r="CZ342" s="92"/>
      <c r="DA342" s="92"/>
      <c r="DB342" s="92"/>
      <c r="DC342" s="92"/>
      <c r="DD342" s="92"/>
      <c r="DE342" s="92"/>
      <c r="DF342" s="92"/>
      <c r="DG342" s="92"/>
      <c r="DH342" s="92"/>
      <c r="DI342" s="92"/>
      <c r="DJ342" s="92"/>
      <c r="DK342" s="92"/>
      <c r="DL342" s="92"/>
      <c r="DM342" s="92"/>
      <c r="DN342" s="92"/>
      <c r="DO342" s="92"/>
      <c r="DP342" s="92"/>
      <c r="DQ342" s="92"/>
      <c r="DR342" s="92"/>
      <c r="DS342" s="92"/>
      <c r="DT342" s="92"/>
      <c r="DU342" s="92"/>
      <c r="DV342" s="92"/>
      <c r="DW342" s="92"/>
      <c r="DX342" s="92"/>
      <c r="DY342" s="92"/>
      <c r="DZ342" s="92"/>
      <c r="EA342" s="92"/>
      <c r="EB342" s="92"/>
      <c r="EC342" s="92"/>
      <c r="ED342" s="92"/>
      <c r="EE342" s="92"/>
      <c r="EF342" s="92"/>
      <c r="EG342" s="92"/>
      <c r="EH342" s="92"/>
      <c r="EI342" s="92"/>
      <c r="EJ342" s="92"/>
      <c r="EK342" s="92"/>
      <c r="EL342" s="92"/>
      <c r="EM342" s="92"/>
      <c r="EN342" s="92"/>
      <c r="EO342" s="92"/>
      <c r="EP342" s="92"/>
      <c r="EQ342" s="92"/>
      <c r="ER342" s="92"/>
      <c r="ES342" s="92"/>
      <c r="ET342" s="92"/>
      <c r="EU342" s="92"/>
      <c r="EV342" s="92"/>
      <c r="EW342" s="92"/>
      <c r="EX342" s="92"/>
      <c r="EY342" s="92"/>
      <c r="EZ342" s="92"/>
      <c r="FA342" s="92"/>
      <c r="FB342" s="92"/>
      <c r="FC342" s="92"/>
      <c r="FD342" s="92"/>
      <c r="FE342" s="92"/>
      <c r="FF342" s="92"/>
      <c r="FG342" s="92"/>
      <c r="FH342" s="92"/>
    </row>
    <row r="343">
      <c r="A343" s="32" t="s">
        <v>54</v>
      </c>
      <c r="B343" s="32" t="s">
        <v>64</v>
      </c>
      <c r="C343" s="32" t="s">
        <v>12</v>
      </c>
      <c r="D343" s="97">
        <f t="shared" si="1"/>
        <v>4376.313332</v>
      </c>
      <c r="E343" s="92">
        <f>(SUBSTITUTE(Audio!E343, "RE-", "", 1))*1</f>
        <v>0</v>
      </c>
      <c r="F343" s="92">
        <f>(SUBSTITUTE(Audio!F343, "RE-", "", 1))*1</f>
        <v>440.4612521</v>
      </c>
      <c r="G343" s="92">
        <f>(SUBSTITUTE(Audio!G343, "RE-", "", 1))*1</f>
        <v>1.115791667</v>
      </c>
      <c r="H343" s="92">
        <f>(SUBSTITUTE(Audio!H343, "RE-", "", 1))*1</f>
        <v>70.65081667</v>
      </c>
      <c r="I343" s="92">
        <f>(SUBSTITUTE(Audio!I343, "RE-", "", 1))*1</f>
        <v>0</v>
      </c>
      <c r="J343" s="92">
        <f>(SUBSTITUTE(Audio!J343, "RE-", "", 1))*1</f>
        <v>662.7494104</v>
      </c>
      <c r="K343" s="92">
        <f>(SUBSTITUTE(Audio!K343, "RE-", "", 1))*1</f>
        <v>3.253710417</v>
      </c>
      <c r="L343" s="92">
        <f>(SUBSTITUTE(Audio!L343, "RE-", "", 1))*1</f>
        <v>1053.806829</v>
      </c>
      <c r="M343" s="92">
        <f>(SUBSTITUTE(Audio!M343, "RE-", "", 1))*1</f>
        <v>7.909283333</v>
      </c>
      <c r="N343" s="92">
        <f>(SUBSTITUTE(Audio!N343, "RE-", "", 1))*1</f>
        <v>1492.472142</v>
      </c>
      <c r="O343" s="92">
        <f>(SUBSTITUTE(Audio!O343, "RE-", "", 1))*1</f>
        <v>10.88733958</v>
      </c>
      <c r="P343" s="92">
        <f>(SUBSTITUTE(Audio!P343, "RE-", "", 1))*1</f>
        <v>229.1753625</v>
      </c>
      <c r="Q343" s="92">
        <f>(SUBSTITUTE(Audio!Q343, "RE-", "", 1))*1</f>
        <v>42.59101354</v>
      </c>
      <c r="R343" s="92">
        <f>(SUBSTITUTE(Audio!R343, "RE-", "", 1))*1</f>
        <v>49.80316146</v>
      </c>
      <c r="S343" s="92">
        <f>(SUBSTITUTE(Audio!S343, "RE-", "", 1))*1</f>
        <v>2.074946875</v>
      </c>
      <c r="T343" s="92">
        <f>(SUBSTITUTE(Audio!T343, "RE-", "", 1))*1</f>
        <v>295.7590771</v>
      </c>
      <c r="U343" s="92">
        <f>(SUBSTITUTE(Audio!U343, "RE-", "", 1))*1</f>
        <v>12.10440417</v>
      </c>
      <c r="V343" s="92">
        <f>(SUBSTITUTE(Audio!V343, "RE-", "", 1))*1</f>
        <v>1.498791667</v>
      </c>
      <c r="W343" s="92">
        <f>(SUBSTITUTE(Audio!W343, "RE-", "", 1))*1</f>
        <v>0</v>
      </c>
      <c r="X343" s="92">
        <f>(SUBSTITUTE(Audio!X343, "RE-", "", 1))*1</f>
        <v>0</v>
      </c>
      <c r="Y343" s="92">
        <f>(SUBSTITUTE(Audio!Y343, "RE-", "", 1))*1</f>
        <v>0</v>
      </c>
      <c r="Z343" s="92">
        <f>(SUBSTITUTE(Audio!Z343, "RE-", "", 1))*1</f>
        <v>0</v>
      </c>
      <c r="AA343" s="92"/>
      <c r="AB343" s="92"/>
      <c r="AC343" s="92"/>
      <c r="AD343" s="92"/>
      <c r="AE343" s="92"/>
      <c r="AF343" s="92"/>
      <c r="AG343" s="92"/>
      <c r="AH343" s="92"/>
      <c r="AI343" s="92"/>
      <c r="AJ343" s="92"/>
      <c r="AK343" s="92"/>
      <c r="AL343" s="92"/>
      <c r="AM343" s="92"/>
      <c r="AN343" s="92"/>
      <c r="AO343" s="92"/>
      <c r="AP343" s="92"/>
      <c r="AQ343" s="92"/>
      <c r="AR343" s="92"/>
      <c r="AS343" s="92"/>
      <c r="AT343" s="92"/>
      <c r="AU343" s="92"/>
      <c r="AV343" s="92"/>
      <c r="AW343" s="92"/>
      <c r="AX343" s="92"/>
      <c r="AY343" s="92"/>
      <c r="AZ343" s="92"/>
      <c r="BA343" s="92"/>
      <c r="BB343" s="92"/>
      <c r="BC343" s="92"/>
      <c r="BD343" s="92"/>
      <c r="BE343" s="92"/>
      <c r="BF343" s="92"/>
      <c r="BG343" s="92"/>
      <c r="BH343" s="92"/>
      <c r="BI343" s="92"/>
      <c r="BJ343" s="92"/>
      <c r="BK343" s="92"/>
      <c r="BL343" s="92"/>
      <c r="BM343" s="92"/>
      <c r="BN343" s="92"/>
      <c r="BO343" s="92"/>
      <c r="BP343" s="92"/>
      <c r="BQ343" s="92"/>
      <c r="BR343" s="92"/>
      <c r="BS343" s="92"/>
      <c r="BT343" s="92"/>
      <c r="BU343" s="92"/>
      <c r="BV343" s="92"/>
      <c r="BW343" s="92"/>
      <c r="BX343" s="92"/>
      <c r="BY343" s="92"/>
      <c r="BZ343" s="92"/>
      <c r="CA343" s="92"/>
      <c r="CB343" s="92"/>
      <c r="CC343" s="92"/>
      <c r="CD343" s="92"/>
      <c r="CE343" s="92"/>
      <c r="CF343" s="92"/>
      <c r="CG343" s="92"/>
      <c r="CH343" s="92"/>
      <c r="CI343" s="92"/>
      <c r="CJ343" s="92"/>
      <c r="CK343" s="92"/>
      <c r="CL343" s="92"/>
      <c r="CM343" s="92"/>
      <c r="CN343" s="92"/>
      <c r="CO343" s="92"/>
      <c r="CP343" s="92"/>
      <c r="CQ343" s="92"/>
      <c r="CR343" s="92"/>
      <c r="CS343" s="92"/>
      <c r="CT343" s="92"/>
      <c r="CU343" s="92"/>
      <c r="CV343" s="92"/>
      <c r="CW343" s="92"/>
      <c r="CX343" s="92"/>
      <c r="CY343" s="92"/>
      <c r="CZ343" s="92"/>
      <c r="DA343" s="92"/>
      <c r="DB343" s="92"/>
      <c r="DC343" s="92"/>
      <c r="DD343" s="92"/>
      <c r="DE343" s="92"/>
      <c r="DF343" s="92"/>
      <c r="DG343" s="92"/>
      <c r="DH343" s="92"/>
      <c r="DI343" s="92"/>
      <c r="DJ343" s="92"/>
      <c r="DK343" s="92"/>
      <c r="DL343" s="92"/>
      <c r="DM343" s="92"/>
      <c r="DN343" s="92"/>
      <c r="DO343" s="92"/>
      <c r="DP343" s="92"/>
      <c r="DQ343" s="92"/>
      <c r="DR343" s="92"/>
      <c r="DS343" s="92"/>
      <c r="DT343" s="92"/>
      <c r="DU343" s="92"/>
      <c r="DV343" s="92"/>
      <c r="DW343" s="92"/>
      <c r="DX343" s="92"/>
      <c r="DY343" s="92"/>
      <c r="DZ343" s="92"/>
      <c r="EA343" s="92"/>
      <c r="EB343" s="92"/>
      <c r="EC343" s="92"/>
      <c r="ED343" s="92"/>
      <c r="EE343" s="92"/>
      <c r="EF343" s="92"/>
      <c r="EG343" s="92"/>
      <c r="EH343" s="92"/>
      <c r="EI343" s="92"/>
      <c r="EJ343" s="92"/>
      <c r="EK343" s="92"/>
      <c r="EL343" s="92"/>
      <c r="EM343" s="92"/>
      <c r="EN343" s="92"/>
      <c r="EO343" s="92"/>
      <c r="EP343" s="92"/>
      <c r="EQ343" s="92"/>
      <c r="ER343" s="92"/>
      <c r="ES343" s="92"/>
      <c r="ET343" s="92"/>
      <c r="EU343" s="92"/>
      <c r="EV343" s="92"/>
      <c r="EW343" s="92"/>
      <c r="EX343" s="92"/>
      <c r="EY343" s="92"/>
      <c r="EZ343" s="92"/>
      <c r="FA343" s="92"/>
      <c r="FB343" s="92"/>
      <c r="FC343" s="92"/>
      <c r="FD343" s="92"/>
      <c r="FE343" s="92"/>
      <c r="FF343" s="92"/>
      <c r="FG343" s="92"/>
      <c r="FH343" s="92"/>
    </row>
    <row r="344">
      <c r="A344" s="32" t="s">
        <v>54</v>
      </c>
      <c r="B344" s="32" t="s">
        <v>64</v>
      </c>
      <c r="C344" s="32" t="s">
        <v>13</v>
      </c>
      <c r="D344" s="97">
        <f t="shared" si="1"/>
        <v>4222.06865</v>
      </c>
      <c r="E344" s="92">
        <f>(SUBSTITUTE(Audio!E344, "RE-", "", 1))*1</f>
        <v>0</v>
      </c>
      <c r="F344" s="92">
        <f>(SUBSTITUTE(Audio!F344, "RE-", "", 1))*1</f>
        <v>429.756</v>
      </c>
      <c r="G344" s="92">
        <f>(SUBSTITUTE(Audio!G344, "RE-", "", 1))*1</f>
        <v>1.1074</v>
      </c>
      <c r="H344" s="92">
        <f>(SUBSTITUTE(Audio!H344, "RE-", "", 1))*1</f>
        <v>68.8657</v>
      </c>
      <c r="I344" s="92">
        <f>(SUBSTITUTE(Audio!I344, "RE-", "", 1))*1</f>
        <v>0</v>
      </c>
      <c r="J344" s="92">
        <f>(SUBSTITUTE(Audio!J344, "RE-", "", 1))*1</f>
        <v>647.087</v>
      </c>
      <c r="K344" s="92">
        <f>(SUBSTITUTE(Audio!K344, "RE-", "", 1))*1</f>
        <v>3.18078</v>
      </c>
      <c r="L344" s="92">
        <f>(SUBSTITUTE(Audio!L344, "RE-", "", 1))*1</f>
        <v>1012.65</v>
      </c>
      <c r="M344" s="92">
        <f>(SUBSTITUTE(Audio!M344, "RE-", "", 1))*1</f>
        <v>7.42752</v>
      </c>
      <c r="N344" s="92">
        <f>(SUBSTITUTE(Audio!N344, "RE-", "", 1))*1</f>
        <v>1435.01</v>
      </c>
      <c r="O344" s="92">
        <f>(SUBSTITUTE(Audio!O344, "RE-", "", 1))*1</f>
        <v>10.4539</v>
      </c>
      <c r="P344" s="92">
        <f>(SUBSTITUTE(Audio!P344, "RE-", "", 1))*1</f>
        <v>218.376</v>
      </c>
      <c r="Q344" s="92">
        <f>(SUBSTITUTE(Audio!Q344, "RE-", "", 1))*1</f>
        <v>40.9612</v>
      </c>
      <c r="R344" s="92">
        <f>(SUBSTITUTE(Audio!R344, "RE-", "", 1))*1</f>
        <v>47.7502</v>
      </c>
      <c r="S344" s="92">
        <f>(SUBSTITUTE(Audio!S344, "RE-", "", 1))*1</f>
        <v>1.96402</v>
      </c>
      <c r="T344" s="92">
        <f>(SUBSTITUTE(Audio!T344, "RE-", "", 1))*1</f>
        <v>284.983</v>
      </c>
      <c r="U344" s="92">
        <f>(SUBSTITUTE(Audio!U344, "RE-", "", 1))*1</f>
        <v>11.1642</v>
      </c>
      <c r="V344" s="92">
        <f>(SUBSTITUTE(Audio!V344, "RE-", "", 1))*1</f>
        <v>1.33173</v>
      </c>
      <c r="W344" s="92">
        <f>(SUBSTITUTE(Audio!W344, "RE-", "", 1))*1</f>
        <v>0</v>
      </c>
      <c r="X344" s="92">
        <f>(SUBSTITUTE(Audio!X344, "RE-", "", 1))*1</f>
        <v>0</v>
      </c>
      <c r="Y344" s="92">
        <f>(SUBSTITUTE(Audio!Y344, "RE-", "", 1))*1</f>
        <v>0</v>
      </c>
      <c r="Z344" s="92">
        <f>(SUBSTITUTE(Audio!Z344, "RE-", "", 1))*1</f>
        <v>0</v>
      </c>
      <c r="AA344" s="92"/>
      <c r="AB344" s="92"/>
      <c r="AC344" s="92"/>
      <c r="AD344" s="92"/>
      <c r="AE344" s="92"/>
      <c r="AF344" s="92"/>
      <c r="AG344" s="92"/>
      <c r="AH344" s="92"/>
      <c r="AI344" s="92"/>
      <c r="AJ344" s="92"/>
      <c r="AK344" s="92"/>
      <c r="AL344" s="92"/>
      <c r="AM344" s="92"/>
      <c r="AN344" s="92"/>
      <c r="AO344" s="92"/>
      <c r="AP344" s="92"/>
      <c r="AQ344" s="92"/>
      <c r="AR344" s="92"/>
      <c r="AS344" s="92"/>
      <c r="AT344" s="92"/>
      <c r="AU344" s="92"/>
      <c r="AV344" s="92"/>
      <c r="AW344" s="92"/>
      <c r="AX344" s="92"/>
      <c r="AY344" s="92"/>
      <c r="AZ344" s="92"/>
      <c r="BA344" s="92"/>
      <c r="BB344" s="92"/>
      <c r="BC344" s="92"/>
      <c r="BD344" s="92"/>
      <c r="BE344" s="92"/>
      <c r="BF344" s="92"/>
      <c r="BG344" s="92"/>
      <c r="BH344" s="92"/>
      <c r="BI344" s="92"/>
      <c r="BJ344" s="92"/>
      <c r="BK344" s="92"/>
      <c r="BL344" s="92"/>
      <c r="BM344" s="92"/>
      <c r="BN344" s="92"/>
      <c r="BO344" s="92"/>
      <c r="BP344" s="92"/>
      <c r="BQ344" s="92"/>
      <c r="BR344" s="92"/>
      <c r="BS344" s="92"/>
      <c r="BT344" s="92"/>
      <c r="BU344" s="92"/>
      <c r="BV344" s="92"/>
      <c r="BW344" s="92"/>
      <c r="BX344" s="92"/>
      <c r="BY344" s="92"/>
      <c r="BZ344" s="92"/>
      <c r="CA344" s="92"/>
      <c r="CB344" s="92"/>
      <c r="CC344" s="92"/>
      <c r="CD344" s="92"/>
      <c r="CE344" s="92"/>
      <c r="CF344" s="92"/>
      <c r="CG344" s="92"/>
      <c r="CH344" s="92"/>
      <c r="CI344" s="92"/>
      <c r="CJ344" s="92"/>
      <c r="CK344" s="92"/>
      <c r="CL344" s="92"/>
      <c r="CM344" s="92"/>
      <c r="CN344" s="92"/>
      <c r="CO344" s="92"/>
      <c r="CP344" s="92"/>
      <c r="CQ344" s="92"/>
      <c r="CR344" s="92"/>
      <c r="CS344" s="92"/>
      <c r="CT344" s="92"/>
      <c r="CU344" s="92"/>
      <c r="CV344" s="92"/>
      <c r="CW344" s="92"/>
      <c r="CX344" s="92"/>
      <c r="CY344" s="92"/>
      <c r="CZ344" s="92"/>
      <c r="DA344" s="92"/>
      <c r="DB344" s="92"/>
      <c r="DC344" s="92"/>
      <c r="DD344" s="92"/>
      <c r="DE344" s="92"/>
      <c r="DF344" s="92"/>
      <c r="DG344" s="92"/>
      <c r="DH344" s="92"/>
      <c r="DI344" s="92"/>
      <c r="DJ344" s="92"/>
      <c r="DK344" s="92"/>
      <c r="DL344" s="92"/>
      <c r="DM344" s="92"/>
      <c r="DN344" s="92"/>
      <c r="DO344" s="92"/>
      <c r="DP344" s="92"/>
      <c r="DQ344" s="92"/>
      <c r="DR344" s="92"/>
      <c r="DS344" s="92"/>
      <c r="DT344" s="92"/>
      <c r="DU344" s="92"/>
      <c r="DV344" s="92"/>
      <c r="DW344" s="92"/>
      <c r="DX344" s="92"/>
      <c r="DY344" s="92"/>
      <c r="DZ344" s="92"/>
      <c r="EA344" s="92"/>
      <c r="EB344" s="92"/>
      <c r="EC344" s="92"/>
      <c r="ED344" s="92"/>
      <c r="EE344" s="92"/>
      <c r="EF344" s="92"/>
      <c r="EG344" s="92"/>
      <c r="EH344" s="92"/>
      <c r="EI344" s="92"/>
      <c r="EJ344" s="92"/>
      <c r="EK344" s="92"/>
      <c r="EL344" s="92"/>
      <c r="EM344" s="92"/>
      <c r="EN344" s="92"/>
      <c r="EO344" s="92"/>
      <c r="EP344" s="92"/>
      <c r="EQ344" s="92"/>
      <c r="ER344" s="92"/>
      <c r="ES344" s="92"/>
      <c r="ET344" s="92"/>
      <c r="EU344" s="92"/>
      <c r="EV344" s="92"/>
      <c r="EW344" s="92"/>
      <c r="EX344" s="92"/>
      <c r="EY344" s="92"/>
      <c r="EZ344" s="92"/>
      <c r="FA344" s="92"/>
      <c r="FB344" s="92"/>
      <c r="FC344" s="92"/>
      <c r="FD344" s="92"/>
      <c r="FE344" s="92"/>
      <c r="FF344" s="92"/>
      <c r="FG344" s="92"/>
      <c r="FH344" s="92"/>
    </row>
    <row r="345">
      <c r="A345" s="32" t="s">
        <v>54</v>
      </c>
      <c r="B345" s="32" t="s">
        <v>64</v>
      </c>
      <c r="C345" s="32" t="s">
        <v>14</v>
      </c>
      <c r="D345" s="97">
        <f t="shared" si="1"/>
        <v>3736.83402</v>
      </c>
      <c r="E345" s="92">
        <f>(SUBSTITUTE(Audio!E345, "RE-", "", 1))*1</f>
        <v>0</v>
      </c>
      <c r="F345" s="92">
        <f>(SUBSTITUTE(Audio!F345, "RE-", "", 1))*1</f>
        <v>387.78</v>
      </c>
      <c r="G345" s="92">
        <f>(SUBSTITUTE(Audio!G345, "RE-", "", 1))*1</f>
        <v>1.1074</v>
      </c>
      <c r="H345" s="92">
        <f>(SUBSTITUTE(Audio!H345, "RE-", "", 1))*1</f>
        <v>62.1997</v>
      </c>
      <c r="I345" s="92">
        <f>(SUBSTITUTE(Audio!I345, "RE-", "", 1))*1</f>
        <v>0</v>
      </c>
      <c r="J345" s="92">
        <f>(SUBSTITUTE(Audio!J345, "RE-", "", 1))*1</f>
        <v>589.52</v>
      </c>
      <c r="K345" s="92">
        <f>(SUBSTITUTE(Audio!K345, "RE-", "", 1))*1</f>
        <v>2.92757</v>
      </c>
      <c r="L345" s="92">
        <f>(SUBSTITUTE(Audio!L345, "RE-", "", 1))*1</f>
        <v>896.578</v>
      </c>
      <c r="M345" s="92">
        <f>(SUBSTITUTE(Audio!M345, "RE-", "", 1))*1</f>
        <v>6.89032</v>
      </c>
      <c r="N345" s="92">
        <f>(SUBSTITUTE(Audio!N345, "RE-", "", 1))*1</f>
        <v>1267.17</v>
      </c>
      <c r="O345" s="92">
        <f>(SUBSTITUTE(Audio!O345, "RE-", "", 1))*1</f>
        <v>9.4868</v>
      </c>
      <c r="P345" s="92">
        <f>(SUBSTITUTE(Audio!P345, "RE-", "", 1))*1</f>
        <v>179.34</v>
      </c>
      <c r="Q345" s="92">
        <f>(SUBSTITUTE(Audio!Q345, "RE-", "", 1))*1</f>
        <v>34.1442</v>
      </c>
      <c r="R345" s="92">
        <f>(SUBSTITUTE(Audio!R345, "RE-", "", 1))*1</f>
        <v>41.5926</v>
      </c>
      <c r="S345" s="92">
        <f>(SUBSTITUTE(Audio!S345, "RE-", "", 1))*1</f>
        <v>1.96402</v>
      </c>
      <c r="T345" s="92">
        <f>(SUBSTITUTE(Audio!T345, "RE-", "", 1))*1</f>
        <v>245.116</v>
      </c>
      <c r="U345" s="92">
        <f>(SUBSTITUTE(Audio!U345, "RE-", "", 1))*1</f>
        <v>9.68568</v>
      </c>
      <c r="V345" s="92">
        <f>(SUBSTITUTE(Audio!V345, "RE-", "", 1))*1</f>
        <v>1.33173</v>
      </c>
      <c r="W345" s="92">
        <f>(SUBSTITUTE(Audio!W345, "RE-", "", 1))*1</f>
        <v>0</v>
      </c>
      <c r="X345" s="92">
        <f>(SUBSTITUTE(Audio!X345, "RE-", "", 1))*1</f>
        <v>0</v>
      </c>
      <c r="Y345" s="92">
        <f>(SUBSTITUTE(Audio!Y345, "RE-", "", 1))*1</f>
        <v>0</v>
      </c>
      <c r="Z345" s="92">
        <f>(SUBSTITUTE(Audio!Z345, "RE-", "", 1))*1</f>
        <v>0</v>
      </c>
      <c r="AA345" s="92"/>
      <c r="AB345" s="92"/>
      <c r="AC345" s="92"/>
      <c r="AD345" s="92"/>
      <c r="AE345" s="92"/>
      <c r="AF345" s="92"/>
      <c r="AG345" s="92"/>
      <c r="AH345" s="92"/>
      <c r="AI345" s="92"/>
      <c r="AJ345" s="92"/>
      <c r="AK345" s="92"/>
      <c r="AL345" s="92"/>
      <c r="AM345" s="92"/>
      <c r="AN345" s="92"/>
      <c r="AO345" s="92"/>
      <c r="AP345" s="92"/>
      <c r="AQ345" s="92"/>
      <c r="AR345" s="92"/>
      <c r="AS345" s="92"/>
      <c r="AT345" s="92"/>
      <c r="AU345" s="92"/>
      <c r="AV345" s="92"/>
      <c r="AW345" s="92"/>
      <c r="AX345" s="92"/>
      <c r="AY345" s="92"/>
      <c r="AZ345" s="92"/>
      <c r="BA345" s="92"/>
      <c r="BB345" s="92"/>
      <c r="BC345" s="92"/>
      <c r="BD345" s="92"/>
      <c r="BE345" s="92"/>
      <c r="BF345" s="92"/>
      <c r="BG345" s="92"/>
      <c r="BH345" s="92"/>
      <c r="BI345" s="92"/>
      <c r="BJ345" s="92"/>
      <c r="BK345" s="92"/>
      <c r="BL345" s="92"/>
      <c r="BM345" s="92"/>
      <c r="BN345" s="92"/>
      <c r="BO345" s="92"/>
      <c r="BP345" s="92"/>
      <c r="BQ345" s="92"/>
      <c r="BR345" s="92"/>
      <c r="BS345" s="92"/>
      <c r="BT345" s="92"/>
      <c r="BU345" s="92"/>
      <c r="BV345" s="92"/>
      <c r="BW345" s="92"/>
      <c r="BX345" s="92"/>
      <c r="BY345" s="92"/>
      <c r="BZ345" s="92"/>
      <c r="CA345" s="92"/>
      <c r="CB345" s="92"/>
      <c r="CC345" s="92"/>
      <c r="CD345" s="92"/>
      <c r="CE345" s="92"/>
      <c r="CF345" s="92"/>
      <c r="CG345" s="92"/>
      <c r="CH345" s="92"/>
      <c r="CI345" s="92"/>
      <c r="CJ345" s="92"/>
      <c r="CK345" s="92"/>
      <c r="CL345" s="92"/>
      <c r="CM345" s="92"/>
      <c r="CN345" s="92"/>
      <c r="CO345" s="92"/>
      <c r="CP345" s="92"/>
      <c r="CQ345" s="92"/>
      <c r="CR345" s="92"/>
      <c r="CS345" s="92"/>
      <c r="CT345" s="92"/>
      <c r="CU345" s="92"/>
      <c r="CV345" s="92"/>
      <c r="CW345" s="92"/>
      <c r="CX345" s="92"/>
      <c r="CY345" s="92"/>
      <c r="CZ345" s="92"/>
      <c r="DA345" s="92"/>
      <c r="DB345" s="92"/>
      <c r="DC345" s="92"/>
      <c r="DD345" s="92"/>
      <c r="DE345" s="92"/>
      <c r="DF345" s="92"/>
      <c r="DG345" s="92"/>
      <c r="DH345" s="92"/>
      <c r="DI345" s="92"/>
      <c r="DJ345" s="92"/>
      <c r="DK345" s="92"/>
      <c r="DL345" s="92"/>
      <c r="DM345" s="92"/>
      <c r="DN345" s="92"/>
      <c r="DO345" s="92"/>
      <c r="DP345" s="92"/>
      <c r="DQ345" s="92"/>
      <c r="DR345" s="92"/>
      <c r="DS345" s="92"/>
      <c r="DT345" s="92"/>
      <c r="DU345" s="92"/>
      <c r="DV345" s="92"/>
      <c r="DW345" s="92"/>
      <c r="DX345" s="92"/>
      <c r="DY345" s="92"/>
      <c r="DZ345" s="92"/>
      <c r="EA345" s="92"/>
      <c r="EB345" s="92"/>
      <c r="EC345" s="92"/>
      <c r="ED345" s="92"/>
      <c r="EE345" s="92"/>
      <c r="EF345" s="92"/>
      <c r="EG345" s="92"/>
      <c r="EH345" s="92"/>
      <c r="EI345" s="92"/>
      <c r="EJ345" s="92"/>
      <c r="EK345" s="92"/>
      <c r="EL345" s="92"/>
      <c r="EM345" s="92"/>
      <c r="EN345" s="92"/>
      <c r="EO345" s="92"/>
      <c r="EP345" s="92"/>
      <c r="EQ345" s="92"/>
      <c r="ER345" s="92"/>
      <c r="ES345" s="92"/>
      <c r="ET345" s="92"/>
      <c r="EU345" s="92"/>
      <c r="EV345" s="92"/>
      <c r="EW345" s="92"/>
      <c r="EX345" s="92"/>
      <c r="EY345" s="92"/>
      <c r="EZ345" s="92"/>
      <c r="FA345" s="92"/>
      <c r="FB345" s="92"/>
      <c r="FC345" s="92"/>
      <c r="FD345" s="92"/>
      <c r="FE345" s="92"/>
      <c r="FF345" s="92"/>
      <c r="FG345" s="92"/>
      <c r="FH345" s="92"/>
    </row>
    <row r="346">
      <c r="A346" s="27" t="s">
        <v>54</v>
      </c>
      <c r="B346" s="27" t="s">
        <v>64</v>
      </c>
      <c r="C346" s="27" t="s">
        <v>15</v>
      </c>
      <c r="D346" s="98">
        <f t="shared" si="1"/>
        <v>4220.68365</v>
      </c>
      <c r="E346" s="92">
        <f>(SUBSTITUTE(Audio!E346, "RE-", "", 1))*1</f>
        <v>0</v>
      </c>
      <c r="F346" s="92">
        <f>(SUBSTITUTE(Audio!F346, "RE-", "", 1))*1</f>
        <v>428.401</v>
      </c>
      <c r="G346" s="92">
        <f>(SUBSTITUTE(Audio!G346, "RE-", "", 1))*1</f>
        <v>1.1074</v>
      </c>
      <c r="H346" s="92">
        <f>(SUBSTITUTE(Audio!H346, "RE-", "", 1))*1</f>
        <v>68.8657</v>
      </c>
      <c r="I346" s="92">
        <f>(SUBSTITUTE(Audio!I346, "RE-", "", 1))*1</f>
        <v>0</v>
      </c>
      <c r="J346" s="92">
        <f>(SUBSTITUTE(Audio!J346, "RE-", "", 1))*1</f>
        <v>647.087</v>
      </c>
      <c r="K346" s="92">
        <f>(SUBSTITUTE(Audio!K346, "RE-", "", 1))*1</f>
        <v>3.18078</v>
      </c>
      <c r="L346" s="92">
        <f>(SUBSTITUTE(Audio!L346, "RE-", "", 1))*1</f>
        <v>1012.65</v>
      </c>
      <c r="M346" s="92">
        <f>(SUBSTITUTE(Audio!M346, "RE-", "", 1))*1</f>
        <v>7.42752</v>
      </c>
      <c r="N346" s="92">
        <f>(SUBSTITUTE(Audio!N346, "RE-", "", 1))*1</f>
        <v>1434.98</v>
      </c>
      <c r="O346" s="92">
        <f>(SUBSTITUTE(Audio!O346, "RE-", "", 1))*1</f>
        <v>10.4539</v>
      </c>
      <c r="P346" s="92">
        <f>(SUBSTITUTE(Audio!P346, "RE-", "", 1))*1</f>
        <v>218.376</v>
      </c>
      <c r="Q346" s="92">
        <f>(SUBSTITUTE(Audio!Q346, "RE-", "", 1))*1</f>
        <v>40.9612</v>
      </c>
      <c r="R346" s="92">
        <f>(SUBSTITUTE(Audio!R346, "RE-", "", 1))*1</f>
        <v>47.7502</v>
      </c>
      <c r="S346" s="92">
        <f>(SUBSTITUTE(Audio!S346, "RE-", "", 1))*1</f>
        <v>1.96402</v>
      </c>
      <c r="T346" s="92">
        <f>(SUBSTITUTE(Audio!T346, "RE-", "", 1))*1</f>
        <v>284.983</v>
      </c>
      <c r="U346" s="92">
        <f>(SUBSTITUTE(Audio!U346, "RE-", "", 1))*1</f>
        <v>11.1642</v>
      </c>
      <c r="V346" s="92">
        <f>(SUBSTITUTE(Audio!V346, "RE-", "", 1))*1</f>
        <v>1.33173</v>
      </c>
      <c r="W346" s="92">
        <f>(SUBSTITUTE(Audio!W346, "RE-", "", 1))*1</f>
        <v>0</v>
      </c>
      <c r="X346" s="92">
        <f>(SUBSTITUTE(Audio!X346, "RE-", "", 1))*1</f>
        <v>0</v>
      </c>
      <c r="Y346" s="92">
        <f>(SUBSTITUTE(Audio!Y346, "RE-", "", 1))*1</f>
        <v>0</v>
      </c>
      <c r="Z346" s="92">
        <f>(SUBSTITUTE(Audio!Z346, "RE-", "", 1))*1</f>
        <v>0</v>
      </c>
      <c r="AA346" s="92"/>
      <c r="AB346" s="92"/>
      <c r="AC346" s="92"/>
      <c r="AD346" s="92"/>
      <c r="AE346" s="92"/>
      <c r="AF346" s="92"/>
      <c r="AG346" s="92"/>
      <c r="AH346" s="92"/>
      <c r="AI346" s="92"/>
      <c r="AJ346" s="92"/>
      <c r="AK346" s="92"/>
      <c r="AL346" s="92"/>
      <c r="AM346" s="92"/>
      <c r="AN346" s="92"/>
      <c r="AO346" s="92"/>
      <c r="AP346" s="92"/>
      <c r="AQ346" s="92"/>
      <c r="AR346" s="92"/>
      <c r="AS346" s="92"/>
      <c r="AT346" s="92"/>
      <c r="AU346" s="92"/>
      <c r="AV346" s="92"/>
      <c r="AW346" s="92"/>
      <c r="AX346" s="92"/>
      <c r="AY346" s="92"/>
      <c r="AZ346" s="92"/>
      <c r="BA346" s="92"/>
      <c r="BB346" s="92"/>
      <c r="BC346" s="92"/>
      <c r="BD346" s="92"/>
      <c r="BE346" s="92"/>
      <c r="BF346" s="92"/>
      <c r="BG346" s="92"/>
      <c r="BH346" s="92"/>
      <c r="BI346" s="92"/>
      <c r="BJ346" s="92"/>
      <c r="BK346" s="92"/>
      <c r="BL346" s="92"/>
      <c r="BM346" s="92"/>
      <c r="BN346" s="92"/>
      <c r="BO346" s="92"/>
      <c r="BP346" s="92"/>
      <c r="BQ346" s="92"/>
      <c r="BR346" s="92"/>
      <c r="BS346" s="92"/>
      <c r="BT346" s="92"/>
      <c r="BU346" s="92"/>
      <c r="BV346" s="92"/>
      <c r="BW346" s="92"/>
      <c r="BX346" s="92"/>
      <c r="BY346" s="92"/>
      <c r="BZ346" s="92"/>
      <c r="CA346" s="92"/>
      <c r="CB346" s="92"/>
      <c r="CC346" s="92"/>
      <c r="CD346" s="92"/>
      <c r="CE346" s="92"/>
      <c r="CF346" s="92"/>
      <c r="CG346" s="92"/>
      <c r="CH346" s="92"/>
      <c r="CI346" s="92"/>
      <c r="CJ346" s="92"/>
      <c r="CK346" s="92"/>
      <c r="CL346" s="92"/>
      <c r="CM346" s="92"/>
      <c r="CN346" s="92"/>
      <c r="CO346" s="92"/>
      <c r="CP346" s="92"/>
      <c r="CQ346" s="92"/>
      <c r="CR346" s="92"/>
      <c r="CS346" s="92"/>
      <c r="CT346" s="92"/>
      <c r="CU346" s="92"/>
      <c r="CV346" s="92"/>
      <c r="CW346" s="92"/>
      <c r="CX346" s="92"/>
      <c r="CY346" s="92"/>
      <c r="CZ346" s="92"/>
      <c r="DA346" s="92"/>
      <c r="DB346" s="92"/>
      <c r="DC346" s="92"/>
      <c r="DD346" s="92"/>
      <c r="DE346" s="92"/>
      <c r="DF346" s="92"/>
      <c r="DG346" s="92"/>
      <c r="DH346" s="92"/>
      <c r="DI346" s="92"/>
      <c r="DJ346" s="92"/>
      <c r="DK346" s="92"/>
      <c r="DL346" s="92"/>
      <c r="DM346" s="92"/>
      <c r="DN346" s="92"/>
      <c r="DO346" s="92"/>
      <c r="DP346" s="92"/>
      <c r="DQ346" s="92"/>
      <c r="DR346" s="92"/>
      <c r="DS346" s="92"/>
      <c r="DT346" s="92"/>
      <c r="DU346" s="92"/>
      <c r="DV346" s="92"/>
      <c r="DW346" s="92"/>
      <c r="DX346" s="92"/>
      <c r="DY346" s="92"/>
      <c r="DZ346" s="92"/>
      <c r="EA346" s="92"/>
      <c r="EB346" s="92"/>
      <c r="EC346" s="92"/>
      <c r="ED346" s="92"/>
      <c r="EE346" s="92"/>
      <c r="EF346" s="92"/>
      <c r="EG346" s="92"/>
      <c r="EH346" s="92"/>
      <c r="EI346" s="92"/>
      <c r="EJ346" s="92"/>
      <c r="EK346" s="92"/>
      <c r="EL346" s="92"/>
      <c r="EM346" s="92"/>
      <c r="EN346" s="92"/>
      <c r="EO346" s="92"/>
      <c r="EP346" s="92"/>
      <c r="EQ346" s="92"/>
      <c r="ER346" s="92"/>
      <c r="ES346" s="92"/>
      <c r="ET346" s="92"/>
      <c r="EU346" s="92"/>
      <c r="EV346" s="92"/>
      <c r="EW346" s="92"/>
      <c r="EX346" s="92"/>
      <c r="EY346" s="92"/>
      <c r="EZ346" s="92"/>
      <c r="FA346" s="92"/>
      <c r="FB346" s="92"/>
      <c r="FC346" s="92"/>
      <c r="FD346" s="92"/>
      <c r="FE346" s="92"/>
      <c r="FF346" s="92"/>
      <c r="FG346" s="92"/>
      <c r="FH346" s="92"/>
    </row>
    <row r="347">
      <c r="A347" s="30" t="s">
        <v>54</v>
      </c>
      <c r="B347" s="30" t="s">
        <v>65</v>
      </c>
      <c r="C347" s="31" t="str">
        <f>HYPERLINK("https://docs.google.com/spreadsheets/d/1ukv0_urm5BtiTnsm9GX2qnGYV1bNrbGI/edit?usp=share_link&amp;ouid=106501987799020758802&amp;rtpof=true&amp;sd=true", "Raw Delivered")</f>
        <v>Raw Delivered</v>
      </c>
      <c r="D347" s="96">
        <f t="shared" si="1"/>
        <v>4966.533109</v>
      </c>
      <c r="E347" s="92">
        <f>(SUBSTITUTE(Audio!E347, "RE-", "", 1))*1</f>
        <v>0</v>
      </c>
      <c r="F347" s="92">
        <f>(SUBSTITUTE(Audio!F347, "RE-", "", 1))*1</f>
        <v>789.8732698</v>
      </c>
      <c r="G347" s="92">
        <f>(SUBSTITUTE(Audio!G347, "RE-", "", 1))*1</f>
        <v>0</v>
      </c>
      <c r="H347" s="92">
        <f>(SUBSTITUTE(Audio!H347, "RE-", "", 1))*1</f>
        <v>24.84095208</v>
      </c>
      <c r="I347" s="92">
        <f>(SUBSTITUTE(Audio!I347, "RE-", "", 1))*1</f>
        <v>0</v>
      </c>
      <c r="J347" s="92">
        <f>(SUBSTITUTE(Audio!J347, "RE-", "", 1))*1</f>
        <v>428.9381552</v>
      </c>
      <c r="K347" s="92">
        <f>(SUBSTITUTE(Audio!K347, "RE-", "", 1))*1</f>
        <v>0</v>
      </c>
      <c r="L347" s="92">
        <f>(SUBSTITUTE(Audio!L347, "RE-", "", 1))*1</f>
        <v>1254.112085</v>
      </c>
      <c r="M347" s="92">
        <f>(SUBSTITUTE(Audio!M347, "RE-", "", 1))*1</f>
        <v>0</v>
      </c>
      <c r="N347" s="92">
        <f>(SUBSTITUTE(Audio!N347, "RE-", "", 1))*1</f>
        <v>1863.194101</v>
      </c>
      <c r="O347" s="92">
        <f>(SUBSTITUTE(Audio!O347, "RE-", "", 1))*1</f>
        <v>0</v>
      </c>
      <c r="P347" s="92">
        <f>(SUBSTITUTE(Audio!P347, "RE-", "", 1))*1</f>
        <v>356.2810146</v>
      </c>
      <c r="Q347" s="92">
        <f>(SUBSTITUTE(Audio!Q347, "RE-", "", 1))*1</f>
        <v>0</v>
      </c>
      <c r="R347" s="92">
        <f>(SUBSTITUTE(Audio!R347, "RE-", "", 1))*1</f>
        <v>69.54575417</v>
      </c>
      <c r="S347" s="92">
        <f>(SUBSTITUTE(Audio!S347, "RE-", "", 1))*1</f>
        <v>0</v>
      </c>
      <c r="T347" s="92">
        <f>(SUBSTITUTE(Audio!T347, "RE-", "", 1))*1</f>
        <v>179.7477771</v>
      </c>
      <c r="U347" s="92">
        <f>(SUBSTITUTE(Audio!U347, "RE-", "", 1))*1</f>
        <v>0</v>
      </c>
      <c r="V347" s="92">
        <f>(SUBSTITUTE(Audio!V347, "RE-", "", 1))*1</f>
        <v>0</v>
      </c>
      <c r="W347" s="92">
        <f>(SUBSTITUTE(Audio!W347, "RE-", "", 1))*1</f>
        <v>0</v>
      </c>
      <c r="X347" s="92">
        <f>(SUBSTITUTE(Audio!X347, "RE-", "", 1))*1</f>
        <v>0</v>
      </c>
      <c r="Y347" s="92">
        <f>(SUBSTITUTE(Audio!Y347, "RE-", "", 1))*1</f>
        <v>0</v>
      </c>
      <c r="Z347" s="92">
        <f>(SUBSTITUTE(Audio!Z347, "RE-", "", 1))*1</f>
        <v>0</v>
      </c>
      <c r="AA347" s="92"/>
      <c r="AB347" s="92"/>
      <c r="AC347" s="92"/>
      <c r="AD347" s="92"/>
      <c r="AE347" s="92"/>
      <c r="AF347" s="92"/>
      <c r="AG347" s="92"/>
      <c r="AH347" s="92"/>
      <c r="AI347" s="92"/>
      <c r="AJ347" s="92"/>
      <c r="AK347" s="92"/>
      <c r="AL347" s="92"/>
      <c r="AM347" s="92"/>
      <c r="AN347" s="92"/>
      <c r="AO347" s="92"/>
      <c r="AP347" s="92"/>
      <c r="AQ347" s="92"/>
      <c r="AR347" s="92"/>
      <c r="AS347" s="92"/>
      <c r="AT347" s="92"/>
      <c r="AU347" s="92"/>
      <c r="AV347" s="92"/>
      <c r="AW347" s="92"/>
      <c r="AX347" s="92"/>
      <c r="AY347" s="92"/>
      <c r="AZ347" s="92"/>
      <c r="BA347" s="92"/>
      <c r="BB347" s="92"/>
      <c r="BC347" s="92"/>
      <c r="BD347" s="92"/>
      <c r="BE347" s="92"/>
      <c r="BF347" s="92"/>
      <c r="BG347" s="92"/>
      <c r="BH347" s="92"/>
      <c r="BI347" s="92"/>
      <c r="BJ347" s="92"/>
      <c r="BK347" s="92"/>
      <c r="BL347" s="92"/>
      <c r="BM347" s="92"/>
      <c r="BN347" s="92"/>
      <c r="BO347" s="92"/>
      <c r="BP347" s="92"/>
      <c r="BQ347" s="92"/>
      <c r="BR347" s="92"/>
      <c r="BS347" s="92"/>
      <c r="BT347" s="92"/>
      <c r="BU347" s="92"/>
      <c r="BV347" s="92"/>
      <c r="BW347" s="92"/>
      <c r="BX347" s="92"/>
      <c r="BY347" s="92"/>
      <c r="BZ347" s="92"/>
      <c r="CA347" s="92"/>
      <c r="CB347" s="92"/>
      <c r="CC347" s="92"/>
      <c r="CD347" s="92"/>
      <c r="CE347" s="92"/>
      <c r="CF347" s="92"/>
      <c r="CG347" s="92"/>
      <c r="CH347" s="92"/>
      <c r="CI347" s="92"/>
      <c r="CJ347" s="92"/>
      <c r="CK347" s="92"/>
      <c r="CL347" s="92"/>
      <c r="CM347" s="92"/>
      <c r="CN347" s="92"/>
      <c r="CO347" s="92"/>
      <c r="CP347" s="92"/>
      <c r="CQ347" s="92"/>
      <c r="CR347" s="92"/>
      <c r="CS347" s="92"/>
      <c r="CT347" s="92"/>
      <c r="CU347" s="92"/>
      <c r="CV347" s="92"/>
      <c r="CW347" s="92"/>
      <c r="CX347" s="92"/>
      <c r="CY347" s="92"/>
      <c r="CZ347" s="92"/>
      <c r="DA347" s="92"/>
      <c r="DB347" s="92"/>
      <c r="DC347" s="92"/>
      <c r="DD347" s="92"/>
      <c r="DE347" s="92"/>
      <c r="DF347" s="92"/>
      <c r="DG347" s="92"/>
      <c r="DH347" s="92"/>
      <c r="DI347" s="92"/>
      <c r="DJ347" s="92"/>
      <c r="DK347" s="92"/>
      <c r="DL347" s="92"/>
      <c r="DM347" s="92"/>
      <c r="DN347" s="92"/>
      <c r="DO347" s="92"/>
      <c r="DP347" s="92"/>
      <c r="DQ347" s="92"/>
      <c r="DR347" s="92"/>
      <c r="DS347" s="92"/>
      <c r="DT347" s="92"/>
      <c r="DU347" s="92"/>
      <c r="DV347" s="92"/>
      <c r="DW347" s="92"/>
      <c r="DX347" s="92"/>
      <c r="DY347" s="92"/>
      <c r="DZ347" s="92"/>
      <c r="EA347" s="92"/>
      <c r="EB347" s="92"/>
      <c r="EC347" s="92"/>
      <c r="ED347" s="92"/>
      <c r="EE347" s="92"/>
      <c r="EF347" s="92"/>
      <c r="EG347" s="92"/>
      <c r="EH347" s="92"/>
      <c r="EI347" s="92"/>
      <c r="EJ347" s="92"/>
      <c r="EK347" s="92"/>
      <c r="EL347" s="92"/>
      <c r="EM347" s="92"/>
      <c r="EN347" s="92"/>
      <c r="EO347" s="92"/>
      <c r="EP347" s="92"/>
      <c r="EQ347" s="92"/>
      <c r="ER347" s="92"/>
      <c r="ES347" s="92"/>
      <c r="ET347" s="92"/>
      <c r="EU347" s="92"/>
      <c r="EV347" s="92"/>
      <c r="EW347" s="92"/>
      <c r="EX347" s="92"/>
      <c r="EY347" s="92"/>
      <c r="EZ347" s="92"/>
      <c r="FA347" s="92"/>
      <c r="FB347" s="92"/>
      <c r="FC347" s="92"/>
      <c r="FD347" s="92"/>
      <c r="FE347" s="92"/>
      <c r="FF347" s="92"/>
      <c r="FG347" s="92"/>
      <c r="FH347" s="92"/>
    </row>
    <row r="348">
      <c r="A348" s="32" t="s">
        <v>54</v>
      </c>
      <c r="B348" s="32" t="s">
        <v>65</v>
      </c>
      <c r="C348" s="32" t="s">
        <v>9</v>
      </c>
      <c r="D348" s="97">
        <f t="shared" si="1"/>
        <v>4966.533109</v>
      </c>
      <c r="E348" s="92">
        <f>(SUBSTITUTE(Audio!E348, "RE-", "", 1))*1</f>
        <v>0</v>
      </c>
      <c r="F348" s="92">
        <f>(SUBSTITUTE(Audio!F348, "RE-", "", 1))*1</f>
        <v>789.8732698</v>
      </c>
      <c r="G348" s="92">
        <f>(SUBSTITUTE(Audio!G348, "RE-", "", 1))*1</f>
        <v>0</v>
      </c>
      <c r="H348" s="92">
        <f>(SUBSTITUTE(Audio!H348, "RE-", "", 1))*1</f>
        <v>24.84095208</v>
      </c>
      <c r="I348" s="92">
        <f>(SUBSTITUTE(Audio!I348, "RE-", "", 1))*1</f>
        <v>0</v>
      </c>
      <c r="J348" s="92">
        <f>(SUBSTITUTE(Audio!J348, "RE-", "", 1))*1</f>
        <v>428.9381552</v>
      </c>
      <c r="K348" s="92">
        <f>(SUBSTITUTE(Audio!K348, "RE-", "", 1))*1</f>
        <v>0</v>
      </c>
      <c r="L348" s="92">
        <f>(SUBSTITUTE(Audio!L348, "RE-", "", 1))*1</f>
        <v>1254.112085</v>
      </c>
      <c r="M348" s="92">
        <f>(SUBSTITUTE(Audio!M348, "RE-", "", 1))*1</f>
        <v>0</v>
      </c>
      <c r="N348" s="92">
        <f>(SUBSTITUTE(Audio!N348, "RE-", "", 1))*1</f>
        <v>1863.194101</v>
      </c>
      <c r="O348" s="92">
        <f>(SUBSTITUTE(Audio!O348, "RE-", "", 1))*1</f>
        <v>0</v>
      </c>
      <c r="P348" s="92">
        <f>(SUBSTITUTE(Audio!P348, "RE-", "", 1))*1</f>
        <v>356.2810146</v>
      </c>
      <c r="Q348" s="92">
        <f>(SUBSTITUTE(Audio!Q348, "RE-", "", 1))*1</f>
        <v>0</v>
      </c>
      <c r="R348" s="92">
        <f>(SUBSTITUTE(Audio!R348, "RE-", "", 1))*1</f>
        <v>69.54575417</v>
      </c>
      <c r="S348" s="92">
        <f>(SUBSTITUTE(Audio!S348, "RE-", "", 1))*1</f>
        <v>0</v>
      </c>
      <c r="T348" s="92">
        <f>(SUBSTITUTE(Audio!T348, "RE-", "", 1))*1</f>
        <v>179.7477771</v>
      </c>
      <c r="U348" s="92">
        <f>(SUBSTITUTE(Audio!U348, "RE-", "", 1))*1</f>
        <v>0</v>
      </c>
      <c r="V348" s="92">
        <f>(SUBSTITUTE(Audio!V348, "RE-", "", 1))*1</f>
        <v>0</v>
      </c>
      <c r="W348" s="92">
        <f>(SUBSTITUTE(Audio!W348, "RE-", "", 1))*1</f>
        <v>0</v>
      </c>
      <c r="X348" s="92">
        <f>(SUBSTITUTE(Audio!X348, "RE-", "", 1))*1</f>
        <v>0</v>
      </c>
      <c r="Y348" s="92">
        <f>(SUBSTITUTE(Audio!Y348, "RE-", "", 1))*1</f>
        <v>0</v>
      </c>
      <c r="Z348" s="92">
        <f>(SUBSTITUTE(Audio!Z348, "RE-", "", 1))*1</f>
        <v>0</v>
      </c>
      <c r="AA348" s="92"/>
      <c r="AB348" s="92"/>
      <c r="AC348" s="92"/>
      <c r="AD348" s="92"/>
      <c r="AE348" s="92"/>
      <c r="AF348" s="92"/>
      <c r="AG348" s="92"/>
      <c r="AH348" s="92"/>
      <c r="AI348" s="92"/>
      <c r="AJ348" s="92"/>
      <c r="AK348" s="92"/>
      <c r="AL348" s="92"/>
      <c r="AM348" s="92"/>
      <c r="AN348" s="92"/>
      <c r="AO348" s="92"/>
      <c r="AP348" s="92"/>
      <c r="AQ348" s="92"/>
      <c r="AR348" s="92"/>
      <c r="AS348" s="92"/>
      <c r="AT348" s="92"/>
      <c r="AU348" s="92"/>
      <c r="AV348" s="92"/>
      <c r="AW348" s="92"/>
      <c r="AX348" s="92"/>
      <c r="AY348" s="92"/>
      <c r="AZ348" s="92"/>
      <c r="BA348" s="92"/>
      <c r="BB348" s="92"/>
      <c r="BC348" s="92"/>
      <c r="BD348" s="92"/>
      <c r="BE348" s="92"/>
      <c r="BF348" s="92"/>
      <c r="BG348" s="92"/>
      <c r="BH348" s="92"/>
      <c r="BI348" s="92"/>
      <c r="BJ348" s="92"/>
      <c r="BK348" s="92"/>
      <c r="BL348" s="92"/>
      <c r="BM348" s="92"/>
      <c r="BN348" s="92"/>
      <c r="BO348" s="92"/>
      <c r="BP348" s="92"/>
      <c r="BQ348" s="92"/>
      <c r="BR348" s="92"/>
      <c r="BS348" s="92"/>
      <c r="BT348" s="92"/>
      <c r="BU348" s="92"/>
      <c r="BV348" s="92"/>
      <c r="BW348" s="92"/>
      <c r="BX348" s="92"/>
      <c r="BY348" s="92"/>
      <c r="BZ348" s="92"/>
      <c r="CA348" s="92"/>
      <c r="CB348" s="92"/>
      <c r="CC348" s="92"/>
      <c r="CD348" s="92"/>
      <c r="CE348" s="92"/>
      <c r="CF348" s="92"/>
      <c r="CG348" s="92"/>
      <c r="CH348" s="92"/>
      <c r="CI348" s="92"/>
      <c r="CJ348" s="92"/>
      <c r="CK348" s="92"/>
      <c r="CL348" s="92"/>
      <c r="CM348" s="92"/>
      <c r="CN348" s="92"/>
      <c r="CO348" s="92"/>
      <c r="CP348" s="92"/>
      <c r="CQ348" s="92"/>
      <c r="CR348" s="92"/>
      <c r="CS348" s="92"/>
      <c r="CT348" s="92"/>
      <c r="CU348" s="92"/>
      <c r="CV348" s="92"/>
      <c r="CW348" s="92"/>
      <c r="CX348" s="92"/>
      <c r="CY348" s="92"/>
      <c r="CZ348" s="92"/>
      <c r="DA348" s="92"/>
      <c r="DB348" s="92"/>
      <c r="DC348" s="92"/>
      <c r="DD348" s="92"/>
      <c r="DE348" s="92"/>
      <c r="DF348" s="92"/>
      <c r="DG348" s="92"/>
      <c r="DH348" s="92"/>
      <c r="DI348" s="92"/>
      <c r="DJ348" s="92"/>
      <c r="DK348" s="92"/>
      <c r="DL348" s="92"/>
      <c r="DM348" s="92"/>
      <c r="DN348" s="92"/>
      <c r="DO348" s="92"/>
      <c r="DP348" s="92"/>
      <c r="DQ348" s="92"/>
      <c r="DR348" s="92"/>
      <c r="DS348" s="92"/>
      <c r="DT348" s="92"/>
      <c r="DU348" s="92"/>
      <c r="DV348" s="92"/>
      <c r="DW348" s="92"/>
      <c r="DX348" s="92"/>
      <c r="DY348" s="92"/>
      <c r="DZ348" s="92"/>
      <c r="EA348" s="92"/>
      <c r="EB348" s="92"/>
      <c r="EC348" s="92"/>
      <c r="ED348" s="92"/>
      <c r="EE348" s="92"/>
      <c r="EF348" s="92"/>
      <c r="EG348" s="92"/>
      <c r="EH348" s="92"/>
      <c r="EI348" s="92"/>
      <c r="EJ348" s="92"/>
      <c r="EK348" s="92"/>
      <c r="EL348" s="92"/>
      <c r="EM348" s="92"/>
      <c r="EN348" s="92"/>
      <c r="EO348" s="92"/>
      <c r="EP348" s="92"/>
      <c r="EQ348" s="92"/>
      <c r="ER348" s="92"/>
      <c r="ES348" s="92"/>
      <c r="ET348" s="92"/>
      <c r="EU348" s="92"/>
      <c r="EV348" s="92"/>
      <c r="EW348" s="92"/>
      <c r="EX348" s="92"/>
      <c r="EY348" s="92"/>
      <c r="EZ348" s="92"/>
      <c r="FA348" s="92"/>
      <c r="FB348" s="92"/>
      <c r="FC348" s="92"/>
      <c r="FD348" s="92"/>
      <c r="FE348" s="92"/>
      <c r="FF348" s="92"/>
      <c r="FG348" s="92"/>
      <c r="FH348" s="92"/>
    </row>
    <row r="349">
      <c r="A349" s="32" t="s">
        <v>54</v>
      </c>
      <c r="B349" s="32" t="s">
        <v>65</v>
      </c>
      <c r="C349" s="32" t="s">
        <v>10</v>
      </c>
      <c r="D349" s="97">
        <f t="shared" si="1"/>
        <v>477.5081135</v>
      </c>
      <c r="E349" s="92">
        <f>(SUBSTITUTE(Audio!E349, "RE-", "", 1))*1</f>
        <v>0</v>
      </c>
      <c r="F349" s="92">
        <f>(SUBSTITUTE(Audio!F349, "RE-", "", 1))*1</f>
        <v>0</v>
      </c>
      <c r="G349" s="92">
        <f>(SUBSTITUTE(Audio!G349, "RE-", "", 1))*1</f>
        <v>62.30474583</v>
      </c>
      <c r="H349" s="92">
        <f>(SUBSTITUTE(Audio!H349, "RE-", "", 1))*1</f>
        <v>0</v>
      </c>
      <c r="I349" s="92">
        <f>(SUBSTITUTE(Audio!I349, "RE-", "", 1))*1</f>
        <v>13.58156042</v>
      </c>
      <c r="J349" s="92">
        <f>(SUBSTITUTE(Audio!J349, "RE-", "", 1))*1</f>
        <v>0</v>
      </c>
      <c r="K349" s="92">
        <f>(SUBSTITUTE(Audio!K349, "RE-", "", 1))*1</f>
        <v>25.93984167</v>
      </c>
      <c r="L349" s="92">
        <f>(SUBSTITUTE(Audio!L349, "RE-", "", 1))*1</f>
        <v>0</v>
      </c>
      <c r="M349" s="92">
        <f>(SUBSTITUTE(Audio!M349, "RE-", "", 1))*1</f>
        <v>46.81666354</v>
      </c>
      <c r="N349" s="92">
        <f>(SUBSTITUTE(Audio!N349, "RE-", "", 1))*1</f>
        <v>0</v>
      </c>
      <c r="O349" s="92">
        <f>(SUBSTITUTE(Audio!O349, "RE-", "", 1))*1</f>
        <v>212.403376</v>
      </c>
      <c r="P349" s="92">
        <f>(SUBSTITUTE(Audio!P349, "RE-", "", 1))*1</f>
        <v>0</v>
      </c>
      <c r="Q349" s="92">
        <f>(SUBSTITUTE(Audio!Q349, "RE-", "", 1))*1</f>
        <v>86.72097708</v>
      </c>
      <c r="R349" s="92">
        <f>(SUBSTITUTE(Audio!R349, "RE-", "", 1))*1</f>
        <v>0</v>
      </c>
      <c r="S349" s="92">
        <f>(SUBSTITUTE(Audio!S349, "RE-", "", 1))*1</f>
        <v>17.04553542</v>
      </c>
      <c r="T349" s="92">
        <f>(SUBSTITUTE(Audio!T349, "RE-", "", 1))*1</f>
        <v>0</v>
      </c>
      <c r="U349" s="92">
        <f>(SUBSTITUTE(Audio!U349, "RE-", "", 1))*1</f>
        <v>9.776003125</v>
      </c>
      <c r="V349" s="92">
        <f>(SUBSTITUTE(Audio!V349, "RE-", "", 1))*1</f>
        <v>2.919410417</v>
      </c>
      <c r="W349" s="92">
        <f>(SUBSTITUTE(Audio!W349, "RE-", "", 1))*1</f>
        <v>0</v>
      </c>
      <c r="X349" s="92">
        <f>(SUBSTITUTE(Audio!X349, "RE-", "", 1))*1</f>
        <v>0</v>
      </c>
      <c r="Y349" s="92">
        <f>(SUBSTITUTE(Audio!Y349, "RE-", "", 1))*1</f>
        <v>0</v>
      </c>
      <c r="Z349" s="92">
        <f>(SUBSTITUTE(Audio!Z349, "RE-", "", 1))*1</f>
        <v>0</v>
      </c>
      <c r="AA349" s="92"/>
      <c r="AB349" s="92"/>
      <c r="AC349" s="92"/>
      <c r="AD349" s="92"/>
      <c r="AE349" s="92"/>
      <c r="AF349" s="92"/>
      <c r="AG349" s="92"/>
      <c r="AH349" s="92"/>
      <c r="AI349" s="92"/>
      <c r="AJ349" s="92"/>
      <c r="AK349" s="92"/>
      <c r="AL349" s="92"/>
      <c r="AM349" s="92"/>
      <c r="AN349" s="92"/>
      <c r="AO349" s="92"/>
      <c r="AP349" s="92"/>
      <c r="AQ349" s="92"/>
      <c r="AR349" s="92"/>
      <c r="AS349" s="92"/>
      <c r="AT349" s="92"/>
      <c r="AU349" s="92"/>
      <c r="AV349" s="92"/>
      <c r="AW349" s="92"/>
      <c r="AX349" s="92"/>
      <c r="AY349" s="92"/>
      <c r="AZ349" s="92"/>
      <c r="BA349" s="92"/>
      <c r="BB349" s="92"/>
      <c r="BC349" s="92"/>
      <c r="BD349" s="92"/>
      <c r="BE349" s="92"/>
      <c r="BF349" s="92"/>
      <c r="BG349" s="92"/>
      <c r="BH349" s="92"/>
      <c r="BI349" s="92"/>
      <c r="BJ349" s="92"/>
      <c r="BK349" s="92"/>
      <c r="BL349" s="92"/>
      <c r="BM349" s="92"/>
      <c r="BN349" s="92"/>
      <c r="BO349" s="92"/>
      <c r="BP349" s="92"/>
      <c r="BQ349" s="92"/>
      <c r="BR349" s="92"/>
      <c r="BS349" s="92"/>
      <c r="BT349" s="92"/>
      <c r="BU349" s="92"/>
      <c r="BV349" s="92"/>
      <c r="BW349" s="92"/>
      <c r="BX349" s="92"/>
      <c r="BY349" s="92"/>
      <c r="BZ349" s="92"/>
      <c r="CA349" s="92"/>
      <c r="CB349" s="92"/>
      <c r="CC349" s="92"/>
      <c r="CD349" s="92"/>
      <c r="CE349" s="92"/>
      <c r="CF349" s="92"/>
      <c r="CG349" s="92"/>
      <c r="CH349" s="92"/>
      <c r="CI349" s="92"/>
      <c r="CJ349" s="92"/>
      <c r="CK349" s="92"/>
      <c r="CL349" s="92"/>
      <c r="CM349" s="92"/>
      <c r="CN349" s="92"/>
      <c r="CO349" s="92"/>
      <c r="CP349" s="92"/>
      <c r="CQ349" s="92"/>
      <c r="CR349" s="92"/>
      <c r="CS349" s="92"/>
      <c r="CT349" s="92"/>
      <c r="CU349" s="92"/>
      <c r="CV349" s="92"/>
      <c r="CW349" s="92"/>
      <c r="CX349" s="92"/>
      <c r="CY349" s="92"/>
      <c r="CZ349" s="92"/>
      <c r="DA349" s="92"/>
      <c r="DB349" s="92"/>
      <c r="DC349" s="92"/>
      <c r="DD349" s="92"/>
      <c r="DE349" s="92"/>
      <c r="DF349" s="92"/>
      <c r="DG349" s="92"/>
      <c r="DH349" s="92"/>
      <c r="DI349" s="92"/>
      <c r="DJ349" s="92"/>
      <c r="DK349" s="92"/>
      <c r="DL349" s="92"/>
      <c r="DM349" s="92"/>
      <c r="DN349" s="92"/>
      <c r="DO349" s="92"/>
      <c r="DP349" s="92"/>
      <c r="DQ349" s="92"/>
      <c r="DR349" s="92"/>
      <c r="DS349" s="92"/>
      <c r="DT349" s="92"/>
      <c r="DU349" s="92"/>
      <c r="DV349" s="92"/>
      <c r="DW349" s="92"/>
      <c r="DX349" s="92"/>
      <c r="DY349" s="92"/>
      <c r="DZ349" s="92"/>
      <c r="EA349" s="92"/>
      <c r="EB349" s="92"/>
      <c r="EC349" s="92"/>
      <c r="ED349" s="92"/>
      <c r="EE349" s="92"/>
      <c r="EF349" s="92"/>
      <c r="EG349" s="92"/>
      <c r="EH349" s="92"/>
      <c r="EI349" s="92"/>
      <c r="EJ349" s="92"/>
      <c r="EK349" s="92"/>
      <c r="EL349" s="92"/>
      <c r="EM349" s="92"/>
      <c r="EN349" s="92"/>
      <c r="EO349" s="92"/>
      <c r="EP349" s="92"/>
      <c r="EQ349" s="92"/>
      <c r="ER349" s="92"/>
      <c r="ES349" s="92"/>
      <c r="ET349" s="92"/>
      <c r="EU349" s="92"/>
      <c r="EV349" s="92"/>
      <c r="EW349" s="92"/>
      <c r="EX349" s="92"/>
      <c r="EY349" s="92"/>
      <c r="EZ349" s="92"/>
      <c r="FA349" s="92"/>
      <c r="FB349" s="92"/>
      <c r="FC349" s="92"/>
      <c r="FD349" s="92"/>
      <c r="FE349" s="92"/>
      <c r="FF349" s="92"/>
      <c r="FG349" s="92"/>
      <c r="FH349" s="92"/>
    </row>
    <row r="350">
      <c r="A350" s="32" t="s">
        <v>54</v>
      </c>
      <c r="B350" s="32" t="s">
        <v>65</v>
      </c>
      <c r="C350" s="32" t="s">
        <v>11</v>
      </c>
      <c r="D350" s="97">
        <f t="shared" si="1"/>
        <v>477.5081135</v>
      </c>
      <c r="E350" s="92">
        <f>(SUBSTITUTE(Audio!E350, "RE-", "", 1))*1</f>
        <v>0</v>
      </c>
      <c r="F350" s="92">
        <f>(SUBSTITUTE(Audio!F350, "RE-", "", 1))*1</f>
        <v>0</v>
      </c>
      <c r="G350" s="92">
        <f>(SUBSTITUTE(Audio!G350, "RE-", "", 1))*1</f>
        <v>62.30474583</v>
      </c>
      <c r="H350" s="92">
        <f>(SUBSTITUTE(Audio!H350, "RE-", "", 1))*1</f>
        <v>0</v>
      </c>
      <c r="I350" s="92">
        <f>(SUBSTITUTE(Audio!I350, "RE-", "", 1))*1</f>
        <v>13.58156042</v>
      </c>
      <c r="J350" s="92">
        <f>(SUBSTITUTE(Audio!J350, "RE-", "", 1))*1</f>
        <v>0</v>
      </c>
      <c r="K350" s="92">
        <f>(SUBSTITUTE(Audio!K350, "RE-", "", 1))*1</f>
        <v>25.93984167</v>
      </c>
      <c r="L350" s="92">
        <f>(SUBSTITUTE(Audio!L350, "RE-", "", 1))*1</f>
        <v>0</v>
      </c>
      <c r="M350" s="92">
        <f>(SUBSTITUTE(Audio!M350, "RE-", "", 1))*1</f>
        <v>46.81666354</v>
      </c>
      <c r="N350" s="92">
        <f>(SUBSTITUTE(Audio!N350, "RE-", "", 1))*1</f>
        <v>0</v>
      </c>
      <c r="O350" s="92">
        <f>(SUBSTITUTE(Audio!O350, "RE-", "", 1))*1</f>
        <v>212.403376</v>
      </c>
      <c r="P350" s="92">
        <f>(SUBSTITUTE(Audio!P350, "RE-", "", 1))*1</f>
        <v>0</v>
      </c>
      <c r="Q350" s="92">
        <f>(SUBSTITUTE(Audio!Q350, "RE-", "", 1))*1</f>
        <v>86.72097708</v>
      </c>
      <c r="R350" s="92">
        <f>(SUBSTITUTE(Audio!R350, "RE-", "", 1))*1</f>
        <v>0</v>
      </c>
      <c r="S350" s="92">
        <f>(SUBSTITUTE(Audio!S350, "RE-", "", 1))*1</f>
        <v>17.04553542</v>
      </c>
      <c r="T350" s="92">
        <f>(SUBSTITUTE(Audio!T350, "RE-", "", 1))*1</f>
        <v>0</v>
      </c>
      <c r="U350" s="92">
        <f>(SUBSTITUTE(Audio!U350, "RE-", "", 1))*1</f>
        <v>9.776003125</v>
      </c>
      <c r="V350" s="92">
        <f>(SUBSTITUTE(Audio!V350, "RE-", "", 1))*1</f>
        <v>2.919410417</v>
      </c>
      <c r="W350" s="92">
        <f>(SUBSTITUTE(Audio!W350, "RE-", "", 1))*1</f>
        <v>0</v>
      </c>
      <c r="X350" s="92">
        <f>(SUBSTITUTE(Audio!X350, "RE-", "", 1))*1</f>
        <v>0</v>
      </c>
      <c r="Y350" s="92">
        <f>(SUBSTITUTE(Audio!Y350, "RE-", "", 1))*1</f>
        <v>0</v>
      </c>
      <c r="Z350" s="92">
        <f>(SUBSTITUTE(Audio!Z350, "RE-", "", 1))*1</f>
        <v>0</v>
      </c>
      <c r="AA350" s="92"/>
      <c r="AB350" s="92"/>
      <c r="AC350" s="92"/>
      <c r="AD350" s="92"/>
      <c r="AE350" s="92"/>
      <c r="AF350" s="92"/>
      <c r="AG350" s="92"/>
      <c r="AH350" s="92"/>
      <c r="AI350" s="92"/>
      <c r="AJ350" s="92"/>
      <c r="AK350" s="92"/>
      <c r="AL350" s="92"/>
      <c r="AM350" s="92"/>
      <c r="AN350" s="92"/>
      <c r="AO350" s="92"/>
      <c r="AP350" s="92"/>
      <c r="AQ350" s="92"/>
      <c r="AR350" s="92"/>
      <c r="AS350" s="92"/>
      <c r="AT350" s="92"/>
      <c r="AU350" s="92"/>
      <c r="AV350" s="92"/>
      <c r="AW350" s="92"/>
      <c r="AX350" s="92"/>
      <c r="AY350" s="92"/>
      <c r="AZ350" s="92"/>
      <c r="BA350" s="92"/>
      <c r="BB350" s="92"/>
      <c r="BC350" s="92"/>
      <c r="BD350" s="92"/>
      <c r="BE350" s="92"/>
      <c r="BF350" s="92"/>
      <c r="BG350" s="92"/>
      <c r="BH350" s="92"/>
      <c r="BI350" s="92"/>
      <c r="BJ350" s="92"/>
      <c r="BK350" s="92"/>
      <c r="BL350" s="92"/>
      <c r="BM350" s="92"/>
      <c r="BN350" s="92"/>
      <c r="BO350" s="92"/>
      <c r="BP350" s="92"/>
      <c r="BQ350" s="92"/>
      <c r="BR350" s="92"/>
      <c r="BS350" s="92"/>
      <c r="BT350" s="92"/>
      <c r="BU350" s="92"/>
      <c r="BV350" s="92"/>
      <c r="BW350" s="92"/>
      <c r="BX350" s="92"/>
      <c r="BY350" s="92"/>
      <c r="BZ350" s="92"/>
      <c r="CA350" s="92"/>
      <c r="CB350" s="92"/>
      <c r="CC350" s="92"/>
      <c r="CD350" s="92"/>
      <c r="CE350" s="92"/>
      <c r="CF350" s="92"/>
      <c r="CG350" s="92"/>
      <c r="CH350" s="92"/>
      <c r="CI350" s="92"/>
      <c r="CJ350" s="92"/>
      <c r="CK350" s="92"/>
      <c r="CL350" s="92"/>
      <c r="CM350" s="92"/>
      <c r="CN350" s="92"/>
      <c r="CO350" s="92"/>
      <c r="CP350" s="92"/>
      <c r="CQ350" s="92"/>
      <c r="CR350" s="92"/>
      <c r="CS350" s="92"/>
      <c r="CT350" s="92"/>
      <c r="CU350" s="92"/>
      <c r="CV350" s="92"/>
      <c r="CW350" s="92"/>
      <c r="CX350" s="92"/>
      <c r="CY350" s="92"/>
      <c r="CZ350" s="92"/>
      <c r="DA350" s="92"/>
      <c r="DB350" s="92"/>
      <c r="DC350" s="92"/>
      <c r="DD350" s="92"/>
      <c r="DE350" s="92"/>
      <c r="DF350" s="92"/>
      <c r="DG350" s="92"/>
      <c r="DH350" s="92"/>
      <c r="DI350" s="92"/>
      <c r="DJ350" s="92"/>
      <c r="DK350" s="92"/>
      <c r="DL350" s="92"/>
      <c r="DM350" s="92"/>
      <c r="DN350" s="92"/>
      <c r="DO350" s="92"/>
      <c r="DP350" s="92"/>
      <c r="DQ350" s="92"/>
      <c r="DR350" s="92"/>
      <c r="DS350" s="92"/>
      <c r="DT350" s="92"/>
      <c r="DU350" s="92"/>
      <c r="DV350" s="92"/>
      <c r="DW350" s="92"/>
      <c r="DX350" s="92"/>
      <c r="DY350" s="92"/>
      <c r="DZ350" s="92"/>
      <c r="EA350" s="92"/>
      <c r="EB350" s="92"/>
      <c r="EC350" s="92"/>
      <c r="ED350" s="92"/>
      <c r="EE350" s="92"/>
      <c r="EF350" s="92"/>
      <c r="EG350" s="92"/>
      <c r="EH350" s="92"/>
      <c r="EI350" s="92"/>
      <c r="EJ350" s="92"/>
      <c r="EK350" s="92"/>
      <c r="EL350" s="92"/>
      <c r="EM350" s="92"/>
      <c r="EN350" s="92"/>
      <c r="EO350" s="92"/>
      <c r="EP350" s="92"/>
      <c r="EQ350" s="92"/>
      <c r="ER350" s="92"/>
      <c r="ES350" s="92"/>
      <c r="ET350" s="92"/>
      <c r="EU350" s="92"/>
      <c r="EV350" s="92"/>
      <c r="EW350" s="92"/>
      <c r="EX350" s="92"/>
      <c r="EY350" s="92"/>
      <c r="EZ350" s="92"/>
      <c r="FA350" s="92"/>
      <c r="FB350" s="92"/>
      <c r="FC350" s="92"/>
      <c r="FD350" s="92"/>
      <c r="FE350" s="92"/>
      <c r="FF350" s="92"/>
      <c r="FG350" s="92"/>
      <c r="FH350" s="92"/>
    </row>
    <row r="351">
      <c r="A351" s="32" t="s">
        <v>54</v>
      </c>
      <c r="B351" s="32" t="s">
        <v>65</v>
      </c>
      <c r="C351" s="32" t="s">
        <v>12</v>
      </c>
      <c r="D351" s="97">
        <f t="shared" si="1"/>
        <v>3984.894523</v>
      </c>
      <c r="E351" s="92">
        <f>(SUBSTITUTE(Audio!E351, "RE-", "", 1))*1</f>
        <v>0</v>
      </c>
      <c r="F351" s="92">
        <f>(SUBSTITUTE(Audio!F351, "RE-", "", 1))*1</f>
        <v>596.1976802</v>
      </c>
      <c r="G351" s="92">
        <f>(SUBSTITUTE(Audio!G351, "RE-", "", 1))*1</f>
        <v>1.551575</v>
      </c>
      <c r="H351" s="92">
        <f>(SUBSTITUTE(Audio!H351, "RE-", "", 1))*1</f>
        <v>23.31465</v>
      </c>
      <c r="I351" s="92">
        <f>(SUBSTITUTE(Audio!I351, "RE-", "", 1))*1</f>
        <v>0</v>
      </c>
      <c r="J351" s="92">
        <f>(SUBSTITUTE(Audio!J351, "RE-", "", 1))*1</f>
        <v>327.0415635</v>
      </c>
      <c r="K351" s="92">
        <f>(SUBSTITUTE(Audio!K351, "RE-", "", 1))*1</f>
        <v>1.483241667</v>
      </c>
      <c r="L351" s="92">
        <f>(SUBSTITUTE(Audio!L351, "RE-", "", 1))*1</f>
        <v>1142.997741</v>
      </c>
      <c r="M351" s="92">
        <f>(SUBSTITUTE(Audio!M351, "RE-", "", 1))*1</f>
        <v>13.84749167</v>
      </c>
      <c r="N351" s="92">
        <f>(SUBSTITUTE(Audio!N351, "RE-", "", 1))*1</f>
        <v>1267.305909</v>
      </c>
      <c r="O351" s="92">
        <f>(SUBSTITUTE(Audio!O351, "RE-", "", 1))*1</f>
        <v>17.33767292</v>
      </c>
      <c r="P351" s="92">
        <f>(SUBSTITUTE(Audio!P351, "RE-", "", 1))*1</f>
        <v>307.1568937</v>
      </c>
      <c r="Q351" s="92">
        <f>(SUBSTITUTE(Audio!Q351, "RE-", "", 1))*1</f>
        <v>31.63345104</v>
      </c>
      <c r="R351" s="92">
        <f>(SUBSTITUTE(Audio!R351, "RE-", "", 1))*1</f>
        <v>65.10353125</v>
      </c>
      <c r="S351" s="92">
        <f>(SUBSTITUTE(Audio!S351, "RE-", "", 1))*1</f>
        <v>11.54734583</v>
      </c>
      <c r="T351" s="92">
        <f>(SUBSTITUTE(Audio!T351, "RE-", "", 1))*1</f>
        <v>169.7826208</v>
      </c>
      <c r="U351" s="92">
        <f>(SUBSTITUTE(Audio!U351, "RE-", "", 1))*1</f>
        <v>6.321282292</v>
      </c>
      <c r="V351" s="92">
        <f>(SUBSTITUTE(Audio!V351, "RE-", "", 1))*1</f>
        <v>2.271872917</v>
      </c>
      <c r="W351" s="92">
        <f>(SUBSTITUTE(Audio!W351, "RE-", "", 1))*1</f>
        <v>0</v>
      </c>
      <c r="X351" s="92">
        <f>(SUBSTITUTE(Audio!X351, "RE-", "", 1))*1</f>
        <v>0</v>
      </c>
      <c r="Y351" s="92">
        <f>(SUBSTITUTE(Audio!Y351, "RE-", "", 1))*1</f>
        <v>0</v>
      </c>
      <c r="Z351" s="92">
        <f>(SUBSTITUTE(Audio!Z351, "RE-", "", 1))*1</f>
        <v>0</v>
      </c>
      <c r="AA351" s="92"/>
      <c r="AB351" s="92"/>
      <c r="AC351" s="92"/>
      <c r="AD351" s="92"/>
      <c r="AE351" s="92"/>
      <c r="AF351" s="92"/>
      <c r="AG351" s="92"/>
      <c r="AH351" s="92"/>
      <c r="AI351" s="92"/>
      <c r="AJ351" s="92"/>
      <c r="AK351" s="92"/>
      <c r="AL351" s="92"/>
      <c r="AM351" s="92"/>
      <c r="AN351" s="92"/>
      <c r="AO351" s="92"/>
      <c r="AP351" s="92"/>
      <c r="AQ351" s="92"/>
      <c r="AR351" s="92"/>
      <c r="AS351" s="92"/>
      <c r="AT351" s="92"/>
      <c r="AU351" s="92"/>
      <c r="AV351" s="92"/>
      <c r="AW351" s="92"/>
      <c r="AX351" s="92"/>
      <c r="AY351" s="92"/>
      <c r="AZ351" s="92"/>
      <c r="BA351" s="92"/>
      <c r="BB351" s="92"/>
      <c r="BC351" s="92"/>
      <c r="BD351" s="92"/>
      <c r="BE351" s="92"/>
      <c r="BF351" s="92"/>
      <c r="BG351" s="92"/>
      <c r="BH351" s="92"/>
      <c r="BI351" s="92"/>
      <c r="BJ351" s="92"/>
      <c r="BK351" s="92"/>
      <c r="BL351" s="92"/>
      <c r="BM351" s="92"/>
      <c r="BN351" s="92"/>
      <c r="BO351" s="92"/>
      <c r="BP351" s="92"/>
      <c r="BQ351" s="92"/>
      <c r="BR351" s="92"/>
      <c r="BS351" s="92"/>
      <c r="BT351" s="92"/>
      <c r="BU351" s="92"/>
      <c r="BV351" s="92"/>
      <c r="BW351" s="92"/>
      <c r="BX351" s="92"/>
      <c r="BY351" s="92"/>
      <c r="BZ351" s="92"/>
      <c r="CA351" s="92"/>
      <c r="CB351" s="92"/>
      <c r="CC351" s="92"/>
      <c r="CD351" s="92"/>
      <c r="CE351" s="92"/>
      <c r="CF351" s="92"/>
      <c r="CG351" s="92"/>
      <c r="CH351" s="92"/>
      <c r="CI351" s="92"/>
      <c r="CJ351" s="92"/>
      <c r="CK351" s="92"/>
      <c r="CL351" s="92"/>
      <c r="CM351" s="92"/>
      <c r="CN351" s="92"/>
      <c r="CO351" s="92"/>
      <c r="CP351" s="92"/>
      <c r="CQ351" s="92"/>
      <c r="CR351" s="92"/>
      <c r="CS351" s="92"/>
      <c r="CT351" s="92"/>
      <c r="CU351" s="92"/>
      <c r="CV351" s="92"/>
      <c r="CW351" s="92"/>
      <c r="CX351" s="92"/>
      <c r="CY351" s="92"/>
      <c r="CZ351" s="92"/>
      <c r="DA351" s="92"/>
      <c r="DB351" s="92"/>
      <c r="DC351" s="92"/>
      <c r="DD351" s="92"/>
      <c r="DE351" s="92"/>
      <c r="DF351" s="92"/>
      <c r="DG351" s="92"/>
      <c r="DH351" s="92"/>
      <c r="DI351" s="92"/>
      <c r="DJ351" s="92"/>
      <c r="DK351" s="92"/>
      <c r="DL351" s="92"/>
      <c r="DM351" s="92"/>
      <c r="DN351" s="92"/>
      <c r="DO351" s="92"/>
      <c r="DP351" s="92"/>
      <c r="DQ351" s="92"/>
      <c r="DR351" s="92"/>
      <c r="DS351" s="92"/>
      <c r="DT351" s="92"/>
      <c r="DU351" s="92"/>
      <c r="DV351" s="92"/>
      <c r="DW351" s="92"/>
      <c r="DX351" s="92"/>
      <c r="DY351" s="92"/>
      <c r="DZ351" s="92"/>
      <c r="EA351" s="92"/>
      <c r="EB351" s="92"/>
      <c r="EC351" s="92"/>
      <c r="ED351" s="92"/>
      <c r="EE351" s="92"/>
      <c r="EF351" s="92"/>
      <c r="EG351" s="92"/>
      <c r="EH351" s="92"/>
      <c r="EI351" s="92"/>
      <c r="EJ351" s="92"/>
      <c r="EK351" s="92"/>
      <c r="EL351" s="92"/>
      <c r="EM351" s="92"/>
      <c r="EN351" s="92"/>
      <c r="EO351" s="92"/>
      <c r="EP351" s="92"/>
      <c r="EQ351" s="92"/>
      <c r="ER351" s="92"/>
      <c r="ES351" s="92"/>
      <c r="ET351" s="92"/>
      <c r="EU351" s="92"/>
      <c r="EV351" s="92"/>
      <c r="EW351" s="92"/>
      <c r="EX351" s="92"/>
      <c r="EY351" s="92"/>
      <c r="EZ351" s="92"/>
      <c r="FA351" s="92"/>
      <c r="FB351" s="92"/>
      <c r="FC351" s="92"/>
      <c r="FD351" s="92"/>
      <c r="FE351" s="92"/>
      <c r="FF351" s="92"/>
      <c r="FG351" s="92"/>
      <c r="FH351" s="92"/>
    </row>
    <row r="352">
      <c r="A352" s="32" t="s">
        <v>54</v>
      </c>
      <c r="B352" s="32" t="s">
        <v>65</v>
      </c>
      <c r="C352" s="32" t="s">
        <v>13</v>
      </c>
      <c r="D352" s="97">
        <f t="shared" si="1"/>
        <v>3810.34893</v>
      </c>
      <c r="E352" s="92">
        <f>(SUBSTITUTE(Audio!E352, "RE-", "", 1))*1</f>
        <v>0</v>
      </c>
      <c r="F352" s="92">
        <f>(SUBSTITUTE(Audio!F352, "RE-", "", 1))*1</f>
        <v>583.774</v>
      </c>
      <c r="G352" s="92">
        <f>(SUBSTITUTE(Audio!G352, "RE-", "", 1))*1</f>
        <v>1.48815</v>
      </c>
      <c r="H352" s="92">
        <f>(SUBSTITUTE(Audio!H352, "RE-", "", 1))*1</f>
        <v>23.0037</v>
      </c>
      <c r="I352" s="92">
        <f>(SUBSTITUTE(Audio!I352, "RE-", "", 1))*1</f>
        <v>0</v>
      </c>
      <c r="J352" s="92">
        <f>(SUBSTITUTE(Audio!J352, "RE-", "", 1))*1</f>
        <v>317.906</v>
      </c>
      <c r="K352" s="92">
        <f>(SUBSTITUTE(Audio!K352, "RE-", "", 1))*1</f>
        <v>1.41058</v>
      </c>
      <c r="L352" s="92">
        <f>(SUBSTITUTE(Audio!L352, "RE-", "", 1))*1</f>
        <v>1090.39</v>
      </c>
      <c r="M352" s="92">
        <f>(SUBSTITUTE(Audio!M352, "RE-", "", 1))*1</f>
        <v>13.2459</v>
      </c>
      <c r="N352" s="92">
        <f>(SUBSTITUTE(Audio!N352, "RE-", "", 1))*1</f>
        <v>1196.79</v>
      </c>
      <c r="O352" s="92">
        <f>(SUBSTITUTE(Audio!O352, "RE-", "", 1))*1</f>
        <v>16.0882</v>
      </c>
      <c r="P352" s="92">
        <f>(SUBSTITUTE(Audio!P352, "RE-", "", 1))*1</f>
        <v>291.69</v>
      </c>
      <c r="Q352" s="92">
        <f>(SUBSTITUTE(Audio!Q352, "RE-", "", 1))*1</f>
        <v>30.0151</v>
      </c>
      <c r="R352" s="92">
        <f>(SUBSTITUTE(Audio!R352, "RE-", "", 1))*1</f>
        <v>62.8769</v>
      </c>
      <c r="S352" s="92">
        <f>(SUBSTITUTE(Audio!S352, "RE-", "", 1))*1</f>
        <v>10.9034</v>
      </c>
      <c r="T352" s="92">
        <f>(SUBSTITUTE(Audio!T352, "RE-", "", 1))*1</f>
        <v>162.459</v>
      </c>
      <c r="U352" s="92">
        <f>(SUBSTITUTE(Audio!U352, "RE-", "", 1))*1</f>
        <v>6.10707</v>
      </c>
      <c r="V352" s="92">
        <f>(SUBSTITUTE(Audio!V352, "RE-", "", 1))*1</f>
        <v>2.20093</v>
      </c>
      <c r="W352" s="92">
        <f>(SUBSTITUTE(Audio!W352, "RE-", "", 1))*1</f>
        <v>0</v>
      </c>
      <c r="X352" s="92">
        <f>(SUBSTITUTE(Audio!X352, "RE-", "", 1))*1</f>
        <v>0</v>
      </c>
      <c r="Y352" s="92">
        <f>(SUBSTITUTE(Audio!Y352, "RE-", "", 1))*1</f>
        <v>0</v>
      </c>
      <c r="Z352" s="92">
        <f>(SUBSTITUTE(Audio!Z352, "RE-", "", 1))*1</f>
        <v>0</v>
      </c>
      <c r="AA352" s="92"/>
      <c r="AB352" s="92"/>
      <c r="AC352" s="92"/>
      <c r="AD352" s="92"/>
      <c r="AE352" s="92"/>
      <c r="AF352" s="92"/>
      <c r="AG352" s="92"/>
      <c r="AH352" s="92"/>
      <c r="AI352" s="92"/>
      <c r="AJ352" s="92"/>
      <c r="AK352" s="92"/>
      <c r="AL352" s="92"/>
      <c r="AM352" s="92"/>
      <c r="AN352" s="92"/>
      <c r="AO352" s="92"/>
      <c r="AP352" s="92"/>
      <c r="AQ352" s="92"/>
      <c r="AR352" s="92"/>
      <c r="AS352" s="92"/>
      <c r="AT352" s="92"/>
      <c r="AU352" s="92"/>
      <c r="AV352" s="92"/>
      <c r="AW352" s="92"/>
      <c r="AX352" s="92"/>
      <c r="AY352" s="92"/>
      <c r="AZ352" s="92"/>
      <c r="BA352" s="92"/>
      <c r="BB352" s="92"/>
      <c r="BC352" s="92"/>
      <c r="BD352" s="92"/>
      <c r="BE352" s="92"/>
      <c r="BF352" s="92"/>
      <c r="BG352" s="92"/>
      <c r="BH352" s="92"/>
      <c r="BI352" s="92"/>
      <c r="BJ352" s="92"/>
      <c r="BK352" s="92"/>
      <c r="BL352" s="92"/>
      <c r="BM352" s="92"/>
      <c r="BN352" s="92"/>
      <c r="BO352" s="92"/>
      <c r="BP352" s="92"/>
      <c r="BQ352" s="92"/>
      <c r="BR352" s="92"/>
      <c r="BS352" s="92"/>
      <c r="BT352" s="92"/>
      <c r="BU352" s="92"/>
      <c r="BV352" s="92"/>
      <c r="BW352" s="92"/>
      <c r="BX352" s="92"/>
      <c r="BY352" s="92"/>
      <c r="BZ352" s="92"/>
      <c r="CA352" s="92"/>
      <c r="CB352" s="92"/>
      <c r="CC352" s="92"/>
      <c r="CD352" s="92"/>
      <c r="CE352" s="92"/>
      <c r="CF352" s="92"/>
      <c r="CG352" s="92"/>
      <c r="CH352" s="92"/>
      <c r="CI352" s="92"/>
      <c r="CJ352" s="92"/>
      <c r="CK352" s="92"/>
      <c r="CL352" s="92"/>
      <c r="CM352" s="92"/>
      <c r="CN352" s="92"/>
      <c r="CO352" s="92"/>
      <c r="CP352" s="92"/>
      <c r="CQ352" s="92"/>
      <c r="CR352" s="92"/>
      <c r="CS352" s="92"/>
      <c r="CT352" s="92"/>
      <c r="CU352" s="92"/>
      <c r="CV352" s="92"/>
      <c r="CW352" s="92"/>
      <c r="CX352" s="92"/>
      <c r="CY352" s="92"/>
      <c r="CZ352" s="92"/>
      <c r="DA352" s="92"/>
      <c r="DB352" s="92"/>
      <c r="DC352" s="92"/>
      <c r="DD352" s="92"/>
      <c r="DE352" s="92"/>
      <c r="DF352" s="92"/>
      <c r="DG352" s="92"/>
      <c r="DH352" s="92"/>
      <c r="DI352" s="92"/>
      <c r="DJ352" s="92"/>
      <c r="DK352" s="92"/>
      <c r="DL352" s="92"/>
      <c r="DM352" s="92"/>
      <c r="DN352" s="92"/>
      <c r="DO352" s="92"/>
      <c r="DP352" s="92"/>
      <c r="DQ352" s="92"/>
      <c r="DR352" s="92"/>
      <c r="DS352" s="92"/>
      <c r="DT352" s="92"/>
      <c r="DU352" s="92"/>
      <c r="DV352" s="92"/>
      <c r="DW352" s="92"/>
      <c r="DX352" s="92"/>
      <c r="DY352" s="92"/>
      <c r="DZ352" s="92"/>
      <c r="EA352" s="92"/>
      <c r="EB352" s="92"/>
      <c r="EC352" s="92"/>
      <c r="ED352" s="92"/>
      <c r="EE352" s="92"/>
      <c r="EF352" s="92"/>
      <c r="EG352" s="92"/>
      <c r="EH352" s="92"/>
      <c r="EI352" s="92"/>
      <c r="EJ352" s="92"/>
      <c r="EK352" s="92"/>
      <c r="EL352" s="92"/>
      <c r="EM352" s="92"/>
      <c r="EN352" s="92"/>
      <c r="EO352" s="92"/>
      <c r="EP352" s="92"/>
      <c r="EQ352" s="92"/>
      <c r="ER352" s="92"/>
      <c r="ES352" s="92"/>
      <c r="ET352" s="92"/>
      <c r="EU352" s="92"/>
      <c r="EV352" s="92"/>
      <c r="EW352" s="92"/>
      <c r="EX352" s="92"/>
      <c r="EY352" s="92"/>
      <c r="EZ352" s="92"/>
      <c r="FA352" s="92"/>
      <c r="FB352" s="92"/>
      <c r="FC352" s="92"/>
      <c r="FD352" s="92"/>
      <c r="FE352" s="92"/>
      <c r="FF352" s="92"/>
      <c r="FG352" s="92"/>
      <c r="FH352" s="92"/>
    </row>
    <row r="353">
      <c r="A353" s="32" t="s">
        <v>54</v>
      </c>
      <c r="B353" s="32" t="s">
        <v>65</v>
      </c>
      <c r="C353" s="32" t="s">
        <v>14</v>
      </c>
      <c r="D353" s="97">
        <f t="shared" si="1"/>
        <v>3403.34469</v>
      </c>
      <c r="E353" s="92">
        <f>(SUBSTITUTE(Audio!E353, "RE-", "", 1))*1</f>
        <v>0</v>
      </c>
      <c r="F353" s="92">
        <f>(SUBSTITUTE(Audio!F353, "RE-", "", 1))*1</f>
        <v>534.037</v>
      </c>
      <c r="G353" s="92">
        <f>(SUBSTITUTE(Audio!G353, "RE-", "", 1))*1</f>
        <v>1.48815</v>
      </c>
      <c r="H353" s="92">
        <f>(SUBSTITUTE(Audio!H353, "RE-", "", 1))*1</f>
        <v>21.5984</v>
      </c>
      <c r="I353" s="92">
        <f>(SUBSTITUTE(Audio!I353, "RE-", "", 1))*1</f>
        <v>0</v>
      </c>
      <c r="J353" s="92">
        <f>(SUBSTITUTE(Audio!J353, "RE-", "", 1))*1</f>
        <v>298.029</v>
      </c>
      <c r="K353" s="92">
        <f>(SUBSTITUTE(Audio!K353, "RE-", "", 1))*1</f>
        <v>1.41058</v>
      </c>
      <c r="L353" s="92">
        <f>(SUBSTITUTE(Audio!L353, "RE-", "", 1))*1</f>
        <v>972.616</v>
      </c>
      <c r="M353" s="92">
        <f>(SUBSTITUTE(Audio!M353, "RE-", "", 1))*1</f>
        <v>12.5974</v>
      </c>
      <c r="N353" s="92">
        <f>(SUBSTITUTE(Audio!N353, "RE-", "", 1))*1</f>
        <v>1052.77</v>
      </c>
      <c r="O353" s="92">
        <f>(SUBSTITUTE(Audio!O353, "RE-", "", 1))*1</f>
        <v>14.4186</v>
      </c>
      <c r="P353" s="92">
        <f>(SUBSTITUTE(Audio!P353, "RE-", "", 1))*1</f>
        <v>254.807</v>
      </c>
      <c r="Q353" s="92">
        <f>(SUBSTITUTE(Audio!Q353, "RE-", "", 1))*1</f>
        <v>28.2373</v>
      </c>
      <c r="R353" s="92">
        <f>(SUBSTITUTE(Audio!R353, "RE-", "", 1))*1</f>
        <v>54.346</v>
      </c>
      <c r="S353" s="92">
        <f>(SUBSTITUTE(Audio!S353, "RE-", "", 1))*1</f>
        <v>9.97115</v>
      </c>
      <c r="T353" s="92">
        <f>(SUBSTITUTE(Audio!T353, "RE-", "", 1))*1</f>
        <v>139.733</v>
      </c>
      <c r="U353" s="92">
        <f>(SUBSTITUTE(Audio!U353, "RE-", "", 1))*1</f>
        <v>5.08418</v>
      </c>
      <c r="V353" s="92">
        <f>(SUBSTITUTE(Audio!V353, "RE-", "", 1))*1</f>
        <v>2.20093</v>
      </c>
      <c r="W353" s="92">
        <f>(SUBSTITUTE(Audio!W353, "RE-", "", 1))*1</f>
        <v>0</v>
      </c>
      <c r="X353" s="92">
        <f>(SUBSTITUTE(Audio!X353, "RE-", "", 1))*1</f>
        <v>0</v>
      </c>
      <c r="Y353" s="92">
        <f>(SUBSTITUTE(Audio!Y353, "RE-", "", 1))*1</f>
        <v>0</v>
      </c>
      <c r="Z353" s="92">
        <f>(SUBSTITUTE(Audio!Z353, "RE-", "", 1))*1</f>
        <v>0</v>
      </c>
      <c r="AA353" s="92"/>
      <c r="AB353" s="92"/>
      <c r="AC353" s="92"/>
      <c r="AD353" s="92"/>
      <c r="AE353" s="92"/>
      <c r="AF353" s="92"/>
      <c r="AG353" s="92"/>
      <c r="AH353" s="92"/>
      <c r="AI353" s="92"/>
      <c r="AJ353" s="92"/>
      <c r="AK353" s="92"/>
      <c r="AL353" s="92"/>
      <c r="AM353" s="92"/>
      <c r="AN353" s="92"/>
      <c r="AO353" s="92"/>
      <c r="AP353" s="92"/>
      <c r="AQ353" s="92"/>
      <c r="AR353" s="92"/>
      <c r="AS353" s="92"/>
      <c r="AT353" s="92"/>
      <c r="AU353" s="92"/>
      <c r="AV353" s="92"/>
      <c r="AW353" s="92"/>
      <c r="AX353" s="92"/>
      <c r="AY353" s="92"/>
      <c r="AZ353" s="92"/>
      <c r="BA353" s="92"/>
      <c r="BB353" s="92"/>
      <c r="BC353" s="92"/>
      <c r="BD353" s="92"/>
      <c r="BE353" s="92"/>
      <c r="BF353" s="92"/>
      <c r="BG353" s="92"/>
      <c r="BH353" s="92"/>
      <c r="BI353" s="92"/>
      <c r="BJ353" s="92"/>
      <c r="BK353" s="92"/>
      <c r="BL353" s="92"/>
      <c r="BM353" s="92"/>
      <c r="BN353" s="92"/>
      <c r="BO353" s="92"/>
      <c r="BP353" s="92"/>
      <c r="BQ353" s="92"/>
      <c r="BR353" s="92"/>
      <c r="BS353" s="92"/>
      <c r="BT353" s="92"/>
      <c r="BU353" s="92"/>
      <c r="BV353" s="92"/>
      <c r="BW353" s="92"/>
      <c r="BX353" s="92"/>
      <c r="BY353" s="92"/>
      <c r="BZ353" s="92"/>
      <c r="CA353" s="92"/>
      <c r="CB353" s="92"/>
      <c r="CC353" s="92"/>
      <c r="CD353" s="92"/>
      <c r="CE353" s="92"/>
      <c r="CF353" s="92"/>
      <c r="CG353" s="92"/>
      <c r="CH353" s="92"/>
      <c r="CI353" s="92"/>
      <c r="CJ353" s="92"/>
      <c r="CK353" s="92"/>
      <c r="CL353" s="92"/>
      <c r="CM353" s="92"/>
      <c r="CN353" s="92"/>
      <c r="CO353" s="92"/>
      <c r="CP353" s="92"/>
      <c r="CQ353" s="92"/>
      <c r="CR353" s="92"/>
      <c r="CS353" s="92"/>
      <c r="CT353" s="92"/>
      <c r="CU353" s="92"/>
      <c r="CV353" s="92"/>
      <c r="CW353" s="92"/>
      <c r="CX353" s="92"/>
      <c r="CY353" s="92"/>
      <c r="CZ353" s="92"/>
      <c r="DA353" s="92"/>
      <c r="DB353" s="92"/>
      <c r="DC353" s="92"/>
      <c r="DD353" s="92"/>
      <c r="DE353" s="92"/>
      <c r="DF353" s="92"/>
      <c r="DG353" s="92"/>
      <c r="DH353" s="92"/>
      <c r="DI353" s="92"/>
      <c r="DJ353" s="92"/>
      <c r="DK353" s="92"/>
      <c r="DL353" s="92"/>
      <c r="DM353" s="92"/>
      <c r="DN353" s="92"/>
      <c r="DO353" s="92"/>
      <c r="DP353" s="92"/>
      <c r="DQ353" s="92"/>
      <c r="DR353" s="92"/>
      <c r="DS353" s="92"/>
      <c r="DT353" s="92"/>
      <c r="DU353" s="92"/>
      <c r="DV353" s="92"/>
      <c r="DW353" s="92"/>
      <c r="DX353" s="92"/>
      <c r="DY353" s="92"/>
      <c r="DZ353" s="92"/>
      <c r="EA353" s="92"/>
      <c r="EB353" s="92"/>
      <c r="EC353" s="92"/>
      <c r="ED353" s="92"/>
      <c r="EE353" s="92"/>
      <c r="EF353" s="92"/>
      <c r="EG353" s="92"/>
      <c r="EH353" s="92"/>
      <c r="EI353" s="92"/>
      <c r="EJ353" s="92"/>
      <c r="EK353" s="92"/>
      <c r="EL353" s="92"/>
      <c r="EM353" s="92"/>
      <c r="EN353" s="92"/>
      <c r="EO353" s="92"/>
      <c r="EP353" s="92"/>
      <c r="EQ353" s="92"/>
      <c r="ER353" s="92"/>
      <c r="ES353" s="92"/>
      <c r="ET353" s="92"/>
      <c r="EU353" s="92"/>
      <c r="EV353" s="92"/>
      <c r="EW353" s="92"/>
      <c r="EX353" s="92"/>
      <c r="EY353" s="92"/>
      <c r="EZ353" s="92"/>
      <c r="FA353" s="92"/>
      <c r="FB353" s="92"/>
      <c r="FC353" s="92"/>
      <c r="FD353" s="92"/>
      <c r="FE353" s="92"/>
      <c r="FF353" s="92"/>
      <c r="FG353" s="92"/>
      <c r="FH353" s="92"/>
    </row>
    <row r="354">
      <c r="A354" s="27" t="s">
        <v>54</v>
      </c>
      <c r="B354" s="27" t="s">
        <v>65</v>
      </c>
      <c r="C354" s="27" t="s">
        <v>15</v>
      </c>
      <c r="D354" s="98">
        <f t="shared" si="1"/>
        <v>3809.88893</v>
      </c>
      <c r="E354" s="92">
        <f>(SUBSTITUTE(Audio!E354, "RE-", "", 1))*1</f>
        <v>0</v>
      </c>
      <c r="F354" s="92">
        <f>(SUBSTITUTE(Audio!F354, "RE-", "", 1))*1</f>
        <v>583.655</v>
      </c>
      <c r="G354" s="92">
        <f>(SUBSTITUTE(Audio!G354, "RE-", "", 1))*1</f>
        <v>1.48815</v>
      </c>
      <c r="H354" s="92">
        <f>(SUBSTITUTE(Audio!H354, "RE-", "", 1))*1</f>
        <v>23.0037</v>
      </c>
      <c r="I354" s="92">
        <f>(SUBSTITUTE(Audio!I354, "RE-", "", 1))*1</f>
        <v>0</v>
      </c>
      <c r="J354" s="92">
        <f>(SUBSTITUTE(Audio!J354, "RE-", "", 1))*1</f>
        <v>317.906</v>
      </c>
      <c r="K354" s="92">
        <f>(SUBSTITUTE(Audio!K354, "RE-", "", 1))*1</f>
        <v>1.41058</v>
      </c>
      <c r="L354" s="92">
        <f>(SUBSTITUTE(Audio!L354, "RE-", "", 1))*1</f>
        <v>1090.39</v>
      </c>
      <c r="M354" s="92">
        <f>(SUBSTITUTE(Audio!M354, "RE-", "", 1))*1</f>
        <v>13.2459</v>
      </c>
      <c r="N354" s="92">
        <f>(SUBSTITUTE(Audio!N354, "RE-", "", 1))*1</f>
        <v>1196.73</v>
      </c>
      <c r="O354" s="92">
        <f>(SUBSTITUTE(Audio!O354, "RE-", "", 1))*1</f>
        <v>16.0882</v>
      </c>
      <c r="P354" s="92">
        <f>(SUBSTITUTE(Audio!P354, "RE-", "", 1))*1</f>
        <v>291.69</v>
      </c>
      <c r="Q354" s="92">
        <f>(SUBSTITUTE(Audio!Q354, "RE-", "", 1))*1</f>
        <v>30.0151</v>
      </c>
      <c r="R354" s="92">
        <f>(SUBSTITUTE(Audio!R354, "RE-", "", 1))*1</f>
        <v>62.8769</v>
      </c>
      <c r="S354" s="92">
        <f>(SUBSTITUTE(Audio!S354, "RE-", "", 1))*1</f>
        <v>10.9034</v>
      </c>
      <c r="T354" s="92">
        <f>(SUBSTITUTE(Audio!T354, "RE-", "", 1))*1</f>
        <v>162.178</v>
      </c>
      <c r="U354" s="92">
        <f>(SUBSTITUTE(Audio!U354, "RE-", "", 1))*1</f>
        <v>6.10707</v>
      </c>
      <c r="V354" s="92">
        <f>(SUBSTITUTE(Audio!V354, "RE-", "", 1))*1</f>
        <v>2.20093</v>
      </c>
      <c r="W354" s="92">
        <f>(SUBSTITUTE(Audio!W354, "RE-", "", 1))*1</f>
        <v>0</v>
      </c>
      <c r="X354" s="92">
        <f>(SUBSTITUTE(Audio!X354, "RE-", "", 1))*1</f>
        <v>0</v>
      </c>
      <c r="Y354" s="92">
        <f>(SUBSTITUTE(Audio!Y354, "RE-", "", 1))*1</f>
        <v>0</v>
      </c>
      <c r="Z354" s="92">
        <f>(SUBSTITUTE(Audio!Z354, "RE-", "", 1))*1</f>
        <v>0</v>
      </c>
      <c r="AA354" s="92"/>
      <c r="AB354" s="92"/>
      <c r="AC354" s="92"/>
      <c r="AD354" s="92"/>
      <c r="AE354" s="92"/>
      <c r="AF354" s="92"/>
      <c r="AG354" s="92"/>
      <c r="AH354" s="92"/>
      <c r="AI354" s="92"/>
      <c r="AJ354" s="92"/>
      <c r="AK354" s="92"/>
      <c r="AL354" s="92"/>
      <c r="AM354" s="92"/>
      <c r="AN354" s="92"/>
      <c r="AO354" s="92"/>
      <c r="AP354" s="92"/>
      <c r="AQ354" s="92"/>
      <c r="AR354" s="92"/>
      <c r="AS354" s="92"/>
      <c r="AT354" s="92"/>
      <c r="AU354" s="92"/>
      <c r="AV354" s="92"/>
      <c r="AW354" s="92"/>
      <c r="AX354" s="92"/>
      <c r="AY354" s="92"/>
      <c r="AZ354" s="92"/>
      <c r="BA354" s="92"/>
      <c r="BB354" s="92"/>
      <c r="BC354" s="92"/>
      <c r="BD354" s="92"/>
      <c r="BE354" s="92"/>
      <c r="BF354" s="92"/>
      <c r="BG354" s="92"/>
      <c r="BH354" s="92"/>
      <c r="BI354" s="92"/>
      <c r="BJ354" s="92"/>
      <c r="BK354" s="92"/>
      <c r="BL354" s="92"/>
      <c r="BM354" s="92"/>
      <c r="BN354" s="92"/>
      <c r="BO354" s="92"/>
      <c r="BP354" s="92"/>
      <c r="BQ354" s="92"/>
      <c r="BR354" s="92"/>
      <c r="BS354" s="92"/>
      <c r="BT354" s="92"/>
      <c r="BU354" s="92"/>
      <c r="BV354" s="92"/>
      <c r="BW354" s="92"/>
      <c r="BX354" s="92"/>
      <c r="BY354" s="92"/>
      <c r="BZ354" s="92"/>
      <c r="CA354" s="92"/>
      <c r="CB354" s="92"/>
      <c r="CC354" s="92"/>
      <c r="CD354" s="92"/>
      <c r="CE354" s="92"/>
      <c r="CF354" s="92"/>
      <c r="CG354" s="92"/>
      <c r="CH354" s="92"/>
      <c r="CI354" s="92"/>
      <c r="CJ354" s="92"/>
      <c r="CK354" s="92"/>
      <c r="CL354" s="92"/>
      <c r="CM354" s="92"/>
      <c r="CN354" s="92"/>
      <c r="CO354" s="92"/>
      <c r="CP354" s="92"/>
      <c r="CQ354" s="92"/>
      <c r="CR354" s="92"/>
      <c r="CS354" s="92"/>
      <c r="CT354" s="92"/>
      <c r="CU354" s="92"/>
      <c r="CV354" s="92"/>
      <c r="CW354" s="92"/>
      <c r="CX354" s="92"/>
      <c r="CY354" s="92"/>
      <c r="CZ354" s="92"/>
      <c r="DA354" s="92"/>
      <c r="DB354" s="92"/>
      <c r="DC354" s="92"/>
      <c r="DD354" s="92"/>
      <c r="DE354" s="92"/>
      <c r="DF354" s="92"/>
      <c r="DG354" s="92"/>
      <c r="DH354" s="92"/>
      <c r="DI354" s="92"/>
      <c r="DJ354" s="92"/>
      <c r="DK354" s="92"/>
      <c r="DL354" s="92"/>
      <c r="DM354" s="92"/>
      <c r="DN354" s="92"/>
      <c r="DO354" s="92"/>
      <c r="DP354" s="92"/>
      <c r="DQ354" s="92"/>
      <c r="DR354" s="92"/>
      <c r="DS354" s="92"/>
      <c r="DT354" s="92"/>
      <c r="DU354" s="92"/>
      <c r="DV354" s="92"/>
      <c r="DW354" s="92"/>
      <c r="DX354" s="92"/>
      <c r="DY354" s="92"/>
      <c r="DZ354" s="92"/>
      <c r="EA354" s="92"/>
      <c r="EB354" s="92"/>
      <c r="EC354" s="92"/>
      <c r="ED354" s="92"/>
      <c r="EE354" s="92"/>
      <c r="EF354" s="92"/>
      <c r="EG354" s="92"/>
      <c r="EH354" s="92"/>
      <c r="EI354" s="92"/>
      <c r="EJ354" s="92"/>
      <c r="EK354" s="92"/>
      <c r="EL354" s="92"/>
      <c r="EM354" s="92"/>
      <c r="EN354" s="92"/>
      <c r="EO354" s="92"/>
      <c r="EP354" s="92"/>
      <c r="EQ354" s="92"/>
      <c r="ER354" s="92"/>
      <c r="ES354" s="92"/>
      <c r="ET354" s="92"/>
      <c r="EU354" s="92"/>
      <c r="EV354" s="92"/>
      <c r="EW354" s="92"/>
      <c r="EX354" s="92"/>
      <c r="EY354" s="92"/>
      <c r="EZ354" s="92"/>
      <c r="FA354" s="92"/>
      <c r="FB354" s="92"/>
      <c r="FC354" s="92"/>
      <c r="FD354" s="92"/>
      <c r="FE354" s="92"/>
      <c r="FF354" s="92"/>
      <c r="FG354" s="92"/>
      <c r="FH354" s="92"/>
    </row>
    <row r="355">
      <c r="A355" s="30" t="s">
        <v>54</v>
      </c>
      <c r="B355" s="30" t="s">
        <v>66</v>
      </c>
      <c r="C355" s="31" t="str">
        <f>HYPERLINK("https://docs.google.com/spreadsheets/d/1-BOPiCxFoppPs_ORi2KsNAU-DVmCrmVT/edit?usp=share_link&amp;ouid=118279477453217743021&amp;rtpof=true&amp;sd=true", "Raw Delivered")</f>
        <v>Raw Delivered</v>
      </c>
      <c r="D355" s="96">
        <f t="shared" si="1"/>
        <v>1998.144032</v>
      </c>
      <c r="E355" s="92">
        <f>(SUBSTITUTE(Audio!E355, "RE-", "", 1))*1</f>
        <v>0</v>
      </c>
      <c r="F355" s="92">
        <f>(SUBSTITUTE(Audio!F355, "RE-", "", 1))*1</f>
        <v>154.7838375</v>
      </c>
      <c r="G355" s="92">
        <f>(SUBSTITUTE(Audio!G355, "RE-", "", 1))*1</f>
        <v>0</v>
      </c>
      <c r="H355" s="92">
        <f>(SUBSTITUTE(Audio!H355, "RE-", "", 1))*1</f>
        <v>20.53485</v>
      </c>
      <c r="I355" s="92">
        <f>(SUBSTITUTE(Audio!I355, "RE-", "", 1))*1</f>
        <v>0</v>
      </c>
      <c r="J355" s="92">
        <f>(SUBSTITUTE(Audio!J355, "RE-", "", 1))*1</f>
        <v>189.0985281</v>
      </c>
      <c r="K355" s="92">
        <f>(SUBSTITUTE(Audio!K355, "RE-", "", 1))*1</f>
        <v>0</v>
      </c>
      <c r="L355" s="92">
        <f>(SUBSTITUTE(Audio!L355, "RE-", "", 1))*1</f>
        <v>743.1679333</v>
      </c>
      <c r="M355" s="92">
        <f>(SUBSTITUTE(Audio!M355, "RE-", "", 1))*1</f>
        <v>0</v>
      </c>
      <c r="N355" s="92">
        <f>(SUBSTITUTE(Audio!N355, "RE-", "", 1))*1</f>
        <v>464.5656365</v>
      </c>
      <c r="O355" s="92">
        <f>(SUBSTITUTE(Audio!O355, "RE-", "", 1))*1</f>
        <v>0</v>
      </c>
      <c r="P355" s="92">
        <f>(SUBSTITUTE(Audio!P355, "RE-", "", 1))*1</f>
        <v>86.10830417</v>
      </c>
      <c r="Q355" s="92">
        <f>(SUBSTITUTE(Audio!Q355, "RE-", "", 1))*1</f>
        <v>0</v>
      </c>
      <c r="R355" s="92">
        <f>(SUBSTITUTE(Audio!R355, "RE-", "", 1))*1</f>
        <v>65.20791042</v>
      </c>
      <c r="S355" s="92">
        <f>(SUBSTITUTE(Audio!S355, "RE-", "", 1))*1</f>
        <v>0</v>
      </c>
      <c r="T355" s="92">
        <f>(SUBSTITUTE(Audio!T355, "RE-", "", 1))*1</f>
        <v>274.6770323</v>
      </c>
      <c r="U355" s="92">
        <f>(SUBSTITUTE(Audio!U355, "RE-", "", 1))*1</f>
        <v>0</v>
      </c>
      <c r="V355" s="92">
        <f>(SUBSTITUTE(Audio!V355, "RE-", "", 1))*1</f>
        <v>0</v>
      </c>
      <c r="W355" s="92">
        <f>(SUBSTITUTE(Audio!W355, "RE-", "", 1))*1</f>
        <v>0</v>
      </c>
      <c r="X355" s="92">
        <f>(SUBSTITUTE(Audio!X355, "RE-", "", 1))*1</f>
        <v>0</v>
      </c>
      <c r="Y355" s="92">
        <f>(SUBSTITUTE(Audio!Y355, "RE-", "", 1))*1</f>
        <v>0</v>
      </c>
      <c r="Z355" s="92">
        <f>(SUBSTITUTE(Audio!Z355, "RE-", "", 1))*1</f>
        <v>0</v>
      </c>
      <c r="AA355" s="92"/>
      <c r="AB355" s="92"/>
      <c r="AC355" s="92"/>
      <c r="AD355" s="92"/>
      <c r="AE355" s="92"/>
      <c r="AF355" s="92"/>
      <c r="AG355" s="92"/>
      <c r="AH355" s="92"/>
      <c r="AI355" s="92"/>
      <c r="AJ355" s="92"/>
      <c r="AK355" s="92"/>
      <c r="AL355" s="92"/>
      <c r="AM355" s="92"/>
      <c r="AN355" s="92"/>
      <c r="AO355" s="92"/>
      <c r="AP355" s="92"/>
      <c r="AQ355" s="92"/>
      <c r="AR355" s="92"/>
      <c r="AS355" s="92"/>
      <c r="AT355" s="92"/>
      <c r="AU355" s="92"/>
      <c r="AV355" s="92"/>
      <c r="AW355" s="92"/>
      <c r="AX355" s="92"/>
      <c r="AY355" s="92"/>
      <c r="AZ355" s="92"/>
      <c r="BA355" s="92"/>
      <c r="BB355" s="92"/>
      <c r="BC355" s="92"/>
      <c r="BD355" s="92"/>
      <c r="BE355" s="92"/>
      <c r="BF355" s="92"/>
      <c r="BG355" s="92"/>
      <c r="BH355" s="92"/>
      <c r="BI355" s="92"/>
      <c r="BJ355" s="92"/>
      <c r="BK355" s="92"/>
      <c r="BL355" s="92"/>
      <c r="BM355" s="92"/>
      <c r="BN355" s="92"/>
      <c r="BO355" s="92"/>
      <c r="BP355" s="92"/>
      <c r="BQ355" s="92"/>
      <c r="BR355" s="92"/>
      <c r="BS355" s="92"/>
      <c r="BT355" s="92"/>
      <c r="BU355" s="92"/>
      <c r="BV355" s="92"/>
      <c r="BW355" s="92"/>
      <c r="BX355" s="92"/>
      <c r="BY355" s="92"/>
      <c r="BZ355" s="92"/>
      <c r="CA355" s="92"/>
      <c r="CB355" s="92"/>
      <c r="CC355" s="92"/>
      <c r="CD355" s="92"/>
      <c r="CE355" s="92"/>
      <c r="CF355" s="92"/>
      <c r="CG355" s="92"/>
      <c r="CH355" s="92"/>
      <c r="CI355" s="92"/>
      <c r="CJ355" s="92"/>
      <c r="CK355" s="92"/>
      <c r="CL355" s="92"/>
      <c r="CM355" s="92"/>
      <c r="CN355" s="92"/>
      <c r="CO355" s="92"/>
      <c r="CP355" s="92"/>
      <c r="CQ355" s="92"/>
      <c r="CR355" s="92"/>
      <c r="CS355" s="92"/>
      <c r="CT355" s="92"/>
      <c r="CU355" s="92"/>
      <c r="CV355" s="92"/>
      <c r="CW355" s="92"/>
      <c r="CX355" s="92"/>
      <c r="CY355" s="92"/>
      <c r="CZ355" s="92"/>
      <c r="DA355" s="92"/>
      <c r="DB355" s="92"/>
      <c r="DC355" s="92"/>
      <c r="DD355" s="92"/>
      <c r="DE355" s="92"/>
      <c r="DF355" s="92"/>
      <c r="DG355" s="92"/>
      <c r="DH355" s="92"/>
      <c r="DI355" s="92"/>
      <c r="DJ355" s="92"/>
      <c r="DK355" s="92"/>
      <c r="DL355" s="92"/>
      <c r="DM355" s="92"/>
      <c r="DN355" s="92"/>
      <c r="DO355" s="92"/>
      <c r="DP355" s="92"/>
      <c r="DQ355" s="92"/>
      <c r="DR355" s="92"/>
      <c r="DS355" s="92"/>
      <c r="DT355" s="92"/>
      <c r="DU355" s="92"/>
      <c r="DV355" s="92"/>
      <c r="DW355" s="92"/>
      <c r="DX355" s="92"/>
      <c r="DY355" s="92"/>
      <c r="DZ355" s="92"/>
      <c r="EA355" s="92"/>
      <c r="EB355" s="92"/>
      <c r="EC355" s="92"/>
      <c r="ED355" s="92"/>
      <c r="EE355" s="92"/>
      <c r="EF355" s="92"/>
      <c r="EG355" s="92"/>
      <c r="EH355" s="92"/>
      <c r="EI355" s="92"/>
      <c r="EJ355" s="92"/>
      <c r="EK355" s="92"/>
      <c r="EL355" s="92"/>
      <c r="EM355" s="92"/>
      <c r="EN355" s="92"/>
      <c r="EO355" s="92"/>
      <c r="EP355" s="92"/>
      <c r="EQ355" s="92"/>
      <c r="ER355" s="92"/>
      <c r="ES355" s="92"/>
      <c r="ET355" s="92"/>
      <c r="EU355" s="92"/>
      <c r="EV355" s="92"/>
      <c r="EW355" s="92"/>
      <c r="EX355" s="92"/>
      <c r="EY355" s="92"/>
      <c r="EZ355" s="92"/>
      <c r="FA355" s="92"/>
      <c r="FB355" s="92"/>
      <c r="FC355" s="92"/>
      <c r="FD355" s="92"/>
      <c r="FE355" s="92"/>
      <c r="FF355" s="92"/>
      <c r="FG355" s="92"/>
      <c r="FH355" s="92"/>
    </row>
    <row r="356">
      <c r="A356" s="32" t="s">
        <v>54</v>
      </c>
      <c r="B356" s="32" t="s">
        <v>66</v>
      </c>
      <c r="C356" s="32" t="s">
        <v>9</v>
      </c>
      <c r="D356" s="97">
        <f t="shared" si="1"/>
        <v>1998.144032</v>
      </c>
      <c r="E356" s="92">
        <f>(SUBSTITUTE(Audio!E356, "RE-", "", 1))*1</f>
        <v>0</v>
      </c>
      <c r="F356" s="92">
        <f>(SUBSTITUTE(Audio!F356, "RE-", "", 1))*1</f>
        <v>154.7838375</v>
      </c>
      <c r="G356" s="92">
        <f>(SUBSTITUTE(Audio!G356, "RE-", "", 1))*1</f>
        <v>0</v>
      </c>
      <c r="H356" s="92">
        <f>(SUBSTITUTE(Audio!H356, "RE-", "", 1))*1</f>
        <v>20.53485</v>
      </c>
      <c r="I356" s="92">
        <f>(SUBSTITUTE(Audio!I356, "RE-", "", 1))*1</f>
        <v>0</v>
      </c>
      <c r="J356" s="92">
        <f>(SUBSTITUTE(Audio!J356, "RE-", "", 1))*1</f>
        <v>189.0985281</v>
      </c>
      <c r="K356" s="92">
        <f>(SUBSTITUTE(Audio!K356, "RE-", "", 1))*1</f>
        <v>0</v>
      </c>
      <c r="L356" s="92">
        <f>(SUBSTITUTE(Audio!L356, "RE-", "", 1))*1</f>
        <v>743.1679333</v>
      </c>
      <c r="M356" s="92">
        <f>(SUBSTITUTE(Audio!M356, "RE-", "", 1))*1</f>
        <v>0</v>
      </c>
      <c r="N356" s="92">
        <f>(SUBSTITUTE(Audio!N356, "RE-", "", 1))*1</f>
        <v>464.5656365</v>
      </c>
      <c r="O356" s="92">
        <f>(SUBSTITUTE(Audio!O356, "RE-", "", 1))*1</f>
        <v>0</v>
      </c>
      <c r="P356" s="92">
        <f>(SUBSTITUTE(Audio!P356, "RE-", "", 1))*1</f>
        <v>86.10830417</v>
      </c>
      <c r="Q356" s="92">
        <f>(SUBSTITUTE(Audio!Q356, "RE-", "", 1))*1</f>
        <v>0</v>
      </c>
      <c r="R356" s="92">
        <f>(SUBSTITUTE(Audio!R356, "RE-", "", 1))*1</f>
        <v>65.20791042</v>
      </c>
      <c r="S356" s="92">
        <f>(SUBSTITUTE(Audio!S356, "RE-", "", 1))*1</f>
        <v>0</v>
      </c>
      <c r="T356" s="92">
        <f>(SUBSTITUTE(Audio!T356, "RE-", "", 1))*1</f>
        <v>274.6770323</v>
      </c>
      <c r="U356" s="92">
        <f>(SUBSTITUTE(Audio!U356, "RE-", "", 1))*1</f>
        <v>0</v>
      </c>
      <c r="V356" s="92">
        <f>(SUBSTITUTE(Audio!V356, "RE-", "", 1))*1</f>
        <v>0</v>
      </c>
      <c r="W356" s="92">
        <f>(SUBSTITUTE(Audio!W356, "RE-", "", 1))*1</f>
        <v>0</v>
      </c>
      <c r="X356" s="92">
        <f>(SUBSTITUTE(Audio!X356, "RE-", "", 1))*1</f>
        <v>0</v>
      </c>
      <c r="Y356" s="92">
        <f>(SUBSTITUTE(Audio!Y356, "RE-", "", 1))*1</f>
        <v>0</v>
      </c>
      <c r="Z356" s="92">
        <f>(SUBSTITUTE(Audio!Z356, "RE-", "", 1))*1</f>
        <v>0</v>
      </c>
      <c r="AA356" s="92"/>
      <c r="AB356" s="92"/>
      <c r="AC356" s="92"/>
      <c r="AD356" s="92"/>
      <c r="AE356" s="92"/>
      <c r="AF356" s="92"/>
      <c r="AG356" s="92"/>
      <c r="AH356" s="92"/>
      <c r="AI356" s="92"/>
      <c r="AJ356" s="92"/>
      <c r="AK356" s="92"/>
      <c r="AL356" s="92"/>
      <c r="AM356" s="92"/>
      <c r="AN356" s="92"/>
      <c r="AO356" s="92"/>
      <c r="AP356" s="92"/>
      <c r="AQ356" s="92"/>
      <c r="AR356" s="92"/>
      <c r="AS356" s="92"/>
      <c r="AT356" s="92"/>
      <c r="AU356" s="92"/>
      <c r="AV356" s="92"/>
      <c r="AW356" s="92"/>
      <c r="AX356" s="92"/>
      <c r="AY356" s="92"/>
      <c r="AZ356" s="92"/>
      <c r="BA356" s="92"/>
      <c r="BB356" s="92"/>
      <c r="BC356" s="92"/>
      <c r="BD356" s="92"/>
      <c r="BE356" s="92"/>
      <c r="BF356" s="92"/>
      <c r="BG356" s="92"/>
      <c r="BH356" s="92"/>
      <c r="BI356" s="92"/>
      <c r="BJ356" s="92"/>
      <c r="BK356" s="92"/>
      <c r="BL356" s="92"/>
      <c r="BM356" s="92"/>
      <c r="BN356" s="92"/>
      <c r="BO356" s="92"/>
      <c r="BP356" s="92"/>
      <c r="BQ356" s="92"/>
      <c r="BR356" s="92"/>
      <c r="BS356" s="92"/>
      <c r="BT356" s="92"/>
      <c r="BU356" s="92"/>
      <c r="BV356" s="92"/>
      <c r="BW356" s="92"/>
      <c r="BX356" s="92"/>
      <c r="BY356" s="92"/>
      <c r="BZ356" s="92"/>
      <c r="CA356" s="92"/>
      <c r="CB356" s="92"/>
      <c r="CC356" s="92"/>
      <c r="CD356" s="92"/>
      <c r="CE356" s="92"/>
      <c r="CF356" s="92"/>
      <c r="CG356" s="92"/>
      <c r="CH356" s="92"/>
      <c r="CI356" s="92"/>
      <c r="CJ356" s="92"/>
      <c r="CK356" s="92"/>
      <c r="CL356" s="92"/>
      <c r="CM356" s="92"/>
      <c r="CN356" s="92"/>
      <c r="CO356" s="92"/>
      <c r="CP356" s="92"/>
      <c r="CQ356" s="92"/>
      <c r="CR356" s="92"/>
      <c r="CS356" s="92"/>
      <c r="CT356" s="92"/>
      <c r="CU356" s="92"/>
      <c r="CV356" s="92"/>
      <c r="CW356" s="92"/>
      <c r="CX356" s="92"/>
      <c r="CY356" s="92"/>
      <c r="CZ356" s="92"/>
      <c r="DA356" s="92"/>
      <c r="DB356" s="92"/>
      <c r="DC356" s="92"/>
      <c r="DD356" s="92"/>
      <c r="DE356" s="92"/>
      <c r="DF356" s="92"/>
      <c r="DG356" s="92"/>
      <c r="DH356" s="92"/>
      <c r="DI356" s="92"/>
      <c r="DJ356" s="92"/>
      <c r="DK356" s="92"/>
      <c r="DL356" s="92"/>
      <c r="DM356" s="92"/>
      <c r="DN356" s="92"/>
      <c r="DO356" s="92"/>
      <c r="DP356" s="92"/>
      <c r="DQ356" s="92"/>
      <c r="DR356" s="92"/>
      <c r="DS356" s="92"/>
      <c r="DT356" s="92"/>
      <c r="DU356" s="92"/>
      <c r="DV356" s="92"/>
      <c r="DW356" s="92"/>
      <c r="DX356" s="92"/>
      <c r="DY356" s="92"/>
      <c r="DZ356" s="92"/>
      <c r="EA356" s="92"/>
      <c r="EB356" s="92"/>
      <c r="EC356" s="92"/>
      <c r="ED356" s="92"/>
      <c r="EE356" s="92"/>
      <c r="EF356" s="92"/>
      <c r="EG356" s="92"/>
      <c r="EH356" s="92"/>
      <c r="EI356" s="92"/>
      <c r="EJ356" s="92"/>
      <c r="EK356" s="92"/>
      <c r="EL356" s="92"/>
      <c r="EM356" s="92"/>
      <c r="EN356" s="92"/>
      <c r="EO356" s="92"/>
      <c r="EP356" s="92"/>
      <c r="EQ356" s="92"/>
      <c r="ER356" s="92"/>
      <c r="ES356" s="92"/>
      <c r="ET356" s="92"/>
      <c r="EU356" s="92"/>
      <c r="EV356" s="92"/>
      <c r="EW356" s="92"/>
      <c r="EX356" s="92"/>
      <c r="EY356" s="92"/>
      <c r="EZ356" s="92"/>
      <c r="FA356" s="92"/>
      <c r="FB356" s="92"/>
      <c r="FC356" s="92"/>
      <c r="FD356" s="92"/>
      <c r="FE356" s="92"/>
      <c r="FF356" s="92"/>
      <c r="FG356" s="92"/>
      <c r="FH356" s="92"/>
    </row>
    <row r="357">
      <c r="A357" s="32" t="s">
        <v>54</v>
      </c>
      <c r="B357" s="32" t="s">
        <v>66</v>
      </c>
      <c r="C357" s="32" t="s">
        <v>10</v>
      </c>
      <c r="D357" s="97">
        <f t="shared" si="1"/>
        <v>177.6765719</v>
      </c>
      <c r="E357" s="92">
        <f>(SUBSTITUTE(Audio!E357, "RE-", "", 1))*1</f>
        <v>0</v>
      </c>
      <c r="F357" s="92">
        <f>(SUBSTITUTE(Audio!F357, "RE-", "", 1))*1</f>
        <v>0</v>
      </c>
      <c r="G357" s="92">
        <f>(SUBSTITUTE(Audio!G357, "RE-", "", 1))*1</f>
        <v>15.40968542</v>
      </c>
      <c r="H357" s="92">
        <f>(SUBSTITUTE(Audio!H357, "RE-", "", 1))*1</f>
        <v>0</v>
      </c>
      <c r="I357" s="92">
        <f>(SUBSTITUTE(Audio!I357, "RE-", "", 1))*1</f>
        <v>0.6035041667</v>
      </c>
      <c r="J357" s="92">
        <f>(SUBSTITUTE(Audio!J357, "RE-", "", 1))*1</f>
        <v>0</v>
      </c>
      <c r="K357" s="92">
        <f>(SUBSTITUTE(Audio!K357, "RE-", "", 1))*1</f>
        <v>13.74655417</v>
      </c>
      <c r="L357" s="92">
        <f>(SUBSTITUTE(Audio!L357, "RE-", "", 1))*1</f>
        <v>0</v>
      </c>
      <c r="M357" s="92">
        <f>(SUBSTITUTE(Audio!M357, "RE-", "", 1))*1</f>
        <v>28.07300729</v>
      </c>
      <c r="N357" s="92">
        <f>(SUBSTITUTE(Audio!N357, "RE-", "", 1))*1</f>
        <v>0</v>
      </c>
      <c r="O357" s="92">
        <f>(SUBSTITUTE(Audio!O357, "RE-", "", 1))*1</f>
        <v>43.02666875</v>
      </c>
      <c r="P357" s="92">
        <f>(SUBSTITUTE(Audio!P357, "RE-", "", 1))*1</f>
        <v>0</v>
      </c>
      <c r="Q357" s="92">
        <f>(SUBSTITUTE(Audio!Q357, "RE-", "", 1))*1</f>
        <v>52.69024375</v>
      </c>
      <c r="R357" s="92">
        <f>(SUBSTITUTE(Audio!R357, "RE-", "", 1))*1</f>
        <v>0</v>
      </c>
      <c r="S357" s="92">
        <f>(SUBSTITUTE(Audio!S357, "RE-", "", 1))*1</f>
        <v>4.294322917</v>
      </c>
      <c r="T357" s="92">
        <f>(SUBSTITUTE(Audio!T357, "RE-", "", 1))*1</f>
        <v>0</v>
      </c>
      <c r="U357" s="92">
        <f>(SUBSTITUTE(Audio!U357, "RE-", "", 1))*1</f>
        <v>19.83258542</v>
      </c>
      <c r="V357" s="92">
        <f>(SUBSTITUTE(Audio!V357, "RE-", "", 1))*1</f>
        <v>0</v>
      </c>
      <c r="W357" s="92">
        <f>(SUBSTITUTE(Audio!W357, "RE-", "", 1))*1</f>
        <v>0</v>
      </c>
      <c r="X357" s="92">
        <f>(SUBSTITUTE(Audio!X357, "RE-", "", 1))*1</f>
        <v>0</v>
      </c>
      <c r="Y357" s="92">
        <f>(SUBSTITUTE(Audio!Y357, "RE-", "", 1))*1</f>
        <v>0</v>
      </c>
      <c r="Z357" s="92">
        <f>(SUBSTITUTE(Audio!Z357, "RE-", "", 1))*1</f>
        <v>0</v>
      </c>
      <c r="AA357" s="92"/>
      <c r="AB357" s="92"/>
      <c r="AC357" s="92"/>
      <c r="AD357" s="92"/>
      <c r="AE357" s="92"/>
      <c r="AF357" s="92"/>
      <c r="AG357" s="92"/>
      <c r="AH357" s="92"/>
      <c r="AI357" s="92"/>
      <c r="AJ357" s="92"/>
      <c r="AK357" s="92"/>
      <c r="AL357" s="92"/>
      <c r="AM357" s="92"/>
      <c r="AN357" s="92"/>
      <c r="AO357" s="92"/>
      <c r="AP357" s="92"/>
      <c r="AQ357" s="92"/>
      <c r="AR357" s="92"/>
      <c r="AS357" s="92"/>
      <c r="AT357" s="92"/>
      <c r="AU357" s="92"/>
      <c r="AV357" s="92"/>
      <c r="AW357" s="92"/>
      <c r="AX357" s="92"/>
      <c r="AY357" s="92"/>
      <c r="AZ357" s="92"/>
      <c r="BA357" s="92"/>
      <c r="BB357" s="92"/>
      <c r="BC357" s="92"/>
      <c r="BD357" s="92"/>
      <c r="BE357" s="92"/>
      <c r="BF357" s="92"/>
      <c r="BG357" s="92"/>
      <c r="BH357" s="92"/>
      <c r="BI357" s="92"/>
      <c r="BJ357" s="92"/>
      <c r="BK357" s="92"/>
      <c r="BL357" s="92"/>
      <c r="BM357" s="92"/>
      <c r="BN357" s="92"/>
      <c r="BO357" s="92"/>
      <c r="BP357" s="92"/>
      <c r="BQ357" s="92"/>
      <c r="BR357" s="92"/>
      <c r="BS357" s="92"/>
      <c r="BT357" s="92"/>
      <c r="BU357" s="92"/>
      <c r="BV357" s="92"/>
      <c r="BW357" s="92"/>
      <c r="BX357" s="92"/>
      <c r="BY357" s="92"/>
      <c r="BZ357" s="92"/>
      <c r="CA357" s="92"/>
      <c r="CB357" s="92"/>
      <c r="CC357" s="92"/>
      <c r="CD357" s="92"/>
      <c r="CE357" s="92"/>
      <c r="CF357" s="92"/>
      <c r="CG357" s="92"/>
      <c r="CH357" s="92"/>
      <c r="CI357" s="92"/>
      <c r="CJ357" s="92"/>
      <c r="CK357" s="92"/>
      <c r="CL357" s="92"/>
      <c r="CM357" s="92"/>
      <c r="CN357" s="92"/>
      <c r="CO357" s="92"/>
      <c r="CP357" s="92"/>
      <c r="CQ357" s="92"/>
      <c r="CR357" s="92"/>
      <c r="CS357" s="92"/>
      <c r="CT357" s="92"/>
      <c r="CU357" s="92"/>
      <c r="CV357" s="92"/>
      <c r="CW357" s="92"/>
      <c r="CX357" s="92"/>
      <c r="CY357" s="92"/>
      <c r="CZ357" s="92"/>
      <c r="DA357" s="92"/>
      <c r="DB357" s="92"/>
      <c r="DC357" s="92"/>
      <c r="DD357" s="92"/>
      <c r="DE357" s="92"/>
      <c r="DF357" s="92"/>
      <c r="DG357" s="92"/>
      <c r="DH357" s="92"/>
      <c r="DI357" s="92"/>
      <c r="DJ357" s="92"/>
      <c r="DK357" s="92"/>
      <c r="DL357" s="92"/>
      <c r="DM357" s="92"/>
      <c r="DN357" s="92"/>
      <c r="DO357" s="92"/>
      <c r="DP357" s="92"/>
      <c r="DQ357" s="92"/>
      <c r="DR357" s="92"/>
      <c r="DS357" s="92"/>
      <c r="DT357" s="92"/>
      <c r="DU357" s="92"/>
      <c r="DV357" s="92"/>
      <c r="DW357" s="92"/>
      <c r="DX357" s="92"/>
      <c r="DY357" s="92"/>
      <c r="DZ357" s="92"/>
      <c r="EA357" s="92"/>
      <c r="EB357" s="92"/>
      <c r="EC357" s="92"/>
      <c r="ED357" s="92"/>
      <c r="EE357" s="92"/>
      <c r="EF357" s="92"/>
      <c r="EG357" s="92"/>
      <c r="EH357" s="92"/>
      <c r="EI357" s="92"/>
      <c r="EJ357" s="92"/>
      <c r="EK357" s="92"/>
      <c r="EL357" s="92"/>
      <c r="EM357" s="92"/>
      <c r="EN357" s="92"/>
      <c r="EO357" s="92"/>
      <c r="EP357" s="92"/>
      <c r="EQ357" s="92"/>
      <c r="ER357" s="92"/>
      <c r="ES357" s="92"/>
      <c r="ET357" s="92"/>
      <c r="EU357" s="92"/>
      <c r="EV357" s="92"/>
      <c r="EW357" s="92"/>
      <c r="EX357" s="92"/>
      <c r="EY357" s="92"/>
      <c r="EZ357" s="92"/>
      <c r="FA357" s="92"/>
      <c r="FB357" s="92"/>
      <c r="FC357" s="92"/>
      <c r="FD357" s="92"/>
      <c r="FE357" s="92"/>
      <c r="FF357" s="92"/>
      <c r="FG357" s="92"/>
      <c r="FH357" s="92"/>
    </row>
    <row r="358">
      <c r="A358" s="32" t="s">
        <v>54</v>
      </c>
      <c r="B358" s="32" t="s">
        <v>66</v>
      </c>
      <c r="C358" s="32" t="s">
        <v>11</v>
      </c>
      <c r="D358" s="97">
        <f t="shared" si="1"/>
        <v>177.6765719</v>
      </c>
      <c r="E358" s="92">
        <f>(SUBSTITUTE(Audio!E358, "RE-", "", 1))*1</f>
        <v>0</v>
      </c>
      <c r="F358" s="92">
        <f>(SUBSTITUTE(Audio!F358, "RE-", "", 1))*1</f>
        <v>0</v>
      </c>
      <c r="G358" s="92">
        <f>(SUBSTITUTE(Audio!G358, "RE-", "", 1))*1</f>
        <v>15.40968542</v>
      </c>
      <c r="H358" s="92">
        <f>(SUBSTITUTE(Audio!H358, "RE-", "", 1))*1</f>
        <v>0</v>
      </c>
      <c r="I358" s="92">
        <f>(SUBSTITUTE(Audio!I358, "RE-", "", 1))*1</f>
        <v>0.6035041667</v>
      </c>
      <c r="J358" s="92">
        <f>(SUBSTITUTE(Audio!J358, "RE-", "", 1))*1</f>
        <v>0</v>
      </c>
      <c r="K358" s="92">
        <f>(SUBSTITUTE(Audio!K358, "RE-", "", 1))*1</f>
        <v>13.74655417</v>
      </c>
      <c r="L358" s="92">
        <f>(SUBSTITUTE(Audio!L358, "RE-", "", 1))*1</f>
        <v>0</v>
      </c>
      <c r="M358" s="92">
        <f>(SUBSTITUTE(Audio!M358, "RE-", "", 1))*1</f>
        <v>28.07300729</v>
      </c>
      <c r="N358" s="92">
        <f>(SUBSTITUTE(Audio!N358, "RE-", "", 1))*1</f>
        <v>0</v>
      </c>
      <c r="O358" s="92">
        <f>(SUBSTITUTE(Audio!O358, "RE-", "", 1))*1</f>
        <v>43.02666875</v>
      </c>
      <c r="P358" s="92">
        <f>(SUBSTITUTE(Audio!P358, "RE-", "", 1))*1</f>
        <v>0</v>
      </c>
      <c r="Q358" s="92">
        <f>(SUBSTITUTE(Audio!Q358, "RE-", "", 1))*1</f>
        <v>52.69024375</v>
      </c>
      <c r="R358" s="92">
        <f>(SUBSTITUTE(Audio!R358, "RE-", "", 1))*1</f>
        <v>0</v>
      </c>
      <c r="S358" s="92">
        <f>(SUBSTITUTE(Audio!S358, "RE-", "", 1))*1</f>
        <v>4.294322917</v>
      </c>
      <c r="T358" s="92">
        <f>(SUBSTITUTE(Audio!T358, "RE-", "", 1))*1</f>
        <v>0</v>
      </c>
      <c r="U358" s="92">
        <f>(SUBSTITUTE(Audio!U358, "RE-", "", 1))*1</f>
        <v>19.83258542</v>
      </c>
      <c r="V358" s="92">
        <f>(SUBSTITUTE(Audio!V358, "RE-", "", 1))*1</f>
        <v>0</v>
      </c>
      <c r="W358" s="92">
        <f>(SUBSTITUTE(Audio!W358, "RE-", "", 1))*1</f>
        <v>0</v>
      </c>
      <c r="X358" s="92">
        <f>(SUBSTITUTE(Audio!X358, "RE-", "", 1))*1</f>
        <v>0</v>
      </c>
      <c r="Y358" s="92">
        <f>(SUBSTITUTE(Audio!Y358, "RE-", "", 1))*1</f>
        <v>0</v>
      </c>
      <c r="Z358" s="92">
        <f>(SUBSTITUTE(Audio!Z358, "RE-", "", 1))*1</f>
        <v>0</v>
      </c>
      <c r="AA358" s="92"/>
      <c r="AB358" s="92"/>
      <c r="AC358" s="92"/>
      <c r="AD358" s="92"/>
      <c r="AE358" s="92"/>
      <c r="AF358" s="92"/>
      <c r="AG358" s="92"/>
      <c r="AH358" s="92"/>
      <c r="AI358" s="92"/>
      <c r="AJ358" s="92"/>
      <c r="AK358" s="92"/>
      <c r="AL358" s="92"/>
      <c r="AM358" s="92"/>
      <c r="AN358" s="92"/>
      <c r="AO358" s="92"/>
      <c r="AP358" s="92"/>
      <c r="AQ358" s="92"/>
      <c r="AR358" s="92"/>
      <c r="AS358" s="92"/>
      <c r="AT358" s="92"/>
      <c r="AU358" s="92"/>
      <c r="AV358" s="92"/>
      <c r="AW358" s="92"/>
      <c r="AX358" s="92"/>
      <c r="AY358" s="92"/>
      <c r="AZ358" s="92"/>
      <c r="BA358" s="92"/>
      <c r="BB358" s="92"/>
      <c r="BC358" s="92"/>
      <c r="BD358" s="92"/>
      <c r="BE358" s="92"/>
      <c r="BF358" s="92"/>
      <c r="BG358" s="92"/>
      <c r="BH358" s="92"/>
      <c r="BI358" s="92"/>
      <c r="BJ358" s="92"/>
      <c r="BK358" s="92"/>
      <c r="BL358" s="92"/>
      <c r="BM358" s="92"/>
      <c r="BN358" s="92"/>
      <c r="BO358" s="92"/>
      <c r="BP358" s="92"/>
      <c r="BQ358" s="92"/>
      <c r="BR358" s="92"/>
      <c r="BS358" s="92"/>
      <c r="BT358" s="92"/>
      <c r="BU358" s="92"/>
      <c r="BV358" s="92"/>
      <c r="BW358" s="92"/>
      <c r="BX358" s="92"/>
      <c r="BY358" s="92"/>
      <c r="BZ358" s="92"/>
      <c r="CA358" s="92"/>
      <c r="CB358" s="92"/>
      <c r="CC358" s="92"/>
      <c r="CD358" s="92"/>
      <c r="CE358" s="92"/>
      <c r="CF358" s="92"/>
      <c r="CG358" s="92"/>
      <c r="CH358" s="92"/>
      <c r="CI358" s="92"/>
      <c r="CJ358" s="92"/>
      <c r="CK358" s="92"/>
      <c r="CL358" s="92"/>
      <c r="CM358" s="92"/>
      <c r="CN358" s="92"/>
      <c r="CO358" s="92"/>
      <c r="CP358" s="92"/>
      <c r="CQ358" s="92"/>
      <c r="CR358" s="92"/>
      <c r="CS358" s="92"/>
      <c r="CT358" s="92"/>
      <c r="CU358" s="92"/>
      <c r="CV358" s="92"/>
      <c r="CW358" s="92"/>
      <c r="CX358" s="92"/>
      <c r="CY358" s="92"/>
      <c r="CZ358" s="92"/>
      <c r="DA358" s="92"/>
      <c r="DB358" s="92"/>
      <c r="DC358" s="92"/>
      <c r="DD358" s="92"/>
      <c r="DE358" s="92"/>
      <c r="DF358" s="92"/>
      <c r="DG358" s="92"/>
      <c r="DH358" s="92"/>
      <c r="DI358" s="92"/>
      <c r="DJ358" s="92"/>
      <c r="DK358" s="92"/>
      <c r="DL358" s="92"/>
      <c r="DM358" s="92"/>
      <c r="DN358" s="92"/>
      <c r="DO358" s="92"/>
      <c r="DP358" s="92"/>
      <c r="DQ358" s="92"/>
      <c r="DR358" s="92"/>
      <c r="DS358" s="92"/>
      <c r="DT358" s="92"/>
      <c r="DU358" s="92"/>
      <c r="DV358" s="92"/>
      <c r="DW358" s="92"/>
      <c r="DX358" s="92"/>
      <c r="DY358" s="92"/>
      <c r="DZ358" s="92"/>
      <c r="EA358" s="92"/>
      <c r="EB358" s="92"/>
      <c r="EC358" s="92"/>
      <c r="ED358" s="92"/>
      <c r="EE358" s="92"/>
      <c r="EF358" s="92"/>
      <c r="EG358" s="92"/>
      <c r="EH358" s="92"/>
      <c r="EI358" s="92"/>
      <c r="EJ358" s="92"/>
      <c r="EK358" s="92"/>
      <c r="EL358" s="92"/>
      <c r="EM358" s="92"/>
      <c r="EN358" s="92"/>
      <c r="EO358" s="92"/>
      <c r="EP358" s="92"/>
      <c r="EQ358" s="92"/>
      <c r="ER358" s="92"/>
      <c r="ES358" s="92"/>
      <c r="ET358" s="92"/>
      <c r="EU358" s="92"/>
      <c r="EV358" s="92"/>
      <c r="EW358" s="92"/>
      <c r="EX358" s="92"/>
      <c r="EY358" s="92"/>
      <c r="EZ358" s="92"/>
      <c r="FA358" s="92"/>
      <c r="FB358" s="92"/>
      <c r="FC358" s="92"/>
      <c r="FD358" s="92"/>
      <c r="FE358" s="92"/>
      <c r="FF358" s="92"/>
      <c r="FG358" s="92"/>
      <c r="FH358" s="92"/>
    </row>
    <row r="359">
      <c r="A359" s="32" t="s">
        <v>54</v>
      </c>
      <c r="B359" s="32" t="s">
        <v>66</v>
      </c>
      <c r="C359" s="32" t="s">
        <v>12</v>
      </c>
      <c r="D359" s="97">
        <f t="shared" si="1"/>
        <v>1709.714209</v>
      </c>
      <c r="E359" s="92">
        <f>(SUBSTITUTE(Audio!E359, "RE-", "", 1))*1</f>
        <v>0</v>
      </c>
      <c r="F359" s="92">
        <f>(SUBSTITUTE(Audio!F359, "RE-", "", 1))*1</f>
        <v>120.7833625</v>
      </c>
      <c r="G359" s="92">
        <f>(SUBSTITUTE(Audio!G359, "RE-", "", 1))*1</f>
        <v>2.234022917</v>
      </c>
      <c r="H359" s="92">
        <f>(SUBSTITUTE(Audio!H359, "RE-", "", 1))*1</f>
        <v>19.77879583</v>
      </c>
      <c r="I359" s="92">
        <f>(SUBSTITUTE(Audio!I359, "RE-", "", 1))*1</f>
        <v>0</v>
      </c>
      <c r="J359" s="92">
        <f>(SUBSTITUTE(Audio!J359, "RE-", "", 1))*1</f>
        <v>141.7931385</v>
      </c>
      <c r="K359" s="92">
        <f>(SUBSTITUTE(Audio!K359, "RE-", "", 1))*1</f>
        <v>2.49435</v>
      </c>
      <c r="L359" s="92">
        <f>(SUBSTITUTE(Audio!L359, "RE-", "", 1))*1</f>
        <v>700.6422969</v>
      </c>
      <c r="M359" s="92">
        <f>(SUBSTITUTE(Audio!M359, "RE-", "", 1))*1</f>
        <v>5.062628125</v>
      </c>
      <c r="N359" s="92">
        <f>(SUBSTITUTE(Audio!N359, "RE-", "", 1))*1</f>
        <v>266.2568615</v>
      </c>
      <c r="O359" s="92">
        <f>(SUBSTITUTE(Audio!O359, "RE-", "", 1))*1</f>
        <v>4.536629167</v>
      </c>
      <c r="P359" s="92">
        <f>(SUBSTITUTE(Audio!P359, "RE-", "", 1))*1</f>
        <v>78.81568125</v>
      </c>
      <c r="Q359" s="92">
        <f>(SUBSTITUTE(Audio!Q359, "RE-", "", 1))*1</f>
        <v>29.0757875</v>
      </c>
      <c r="R359" s="92">
        <f>(SUBSTITUTE(Audio!R359, "RE-", "", 1))*1</f>
        <v>56.49890833</v>
      </c>
      <c r="S359" s="92">
        <f>(SUBSTITUTE(Audio!S359, "RE-", "", 1))*1</f>
        <v>3.175158333</v>
      </c>
      <c r="T359" s="92">
        <f>(SUBSTITUTE(Audio!T359, "RE-", "", 1))*1</f>
        <v>269.366726</v>
      </c>
      <c r="U359" s="92">
        <f>(SUBSTITUTE(Audio!U359, "RE-", "", 1))*1</f>
        <v>9.1998625</v>
      </c>
      <c r="V359" s="92">
        <f>(SUBSTITUTE(Audio!V359, "RE-", "", 1))*1</f>
        <v>0</v>
      </c>
      <c r="W359" s="92">
        <f>(SUBSTITUTE(Audio!W359, "RE-", "", 1))*1</f>
        <v>0</v>
      </c>
      <c r="X359" s="92">
        <f>(SUBSTITUTE(Audio!X359, "RE-", "", 1))*1</f>
        <v>0</v>
      </c>
      <c r="Y359" s="92">
        <f>(SUBSTITUTE(Audio!Y359, "RE-", "", 1))*1</f>
        <v>0</v>
      </c>
      <c r="Z359" s="92">
        <f>(SUBSTITUTE(Audio!Z359, "RE-", "", 1))*1</f>
        <v>0</v>
      </c>
      <c r="AA359" s="92"/>
      <c r="AB359" s="92"/>
      <c r="AC359" s="92"/>
      <c r="AD359" s="92"/>
      <c r="AE359" s="92"/>
      <c r="AF359" s="92"/>
      <c r="AG359" s="92"/>
      <c r="AH359" s="92"/>
      <c r="AI359" s="92"/>
      <c r="AJ359" s="92"/>
      <c r="AK359" s="92"/>
      <c r="AL359" s="92"/>
      <c r="AM359" s="92"/>
      <c r="AN359" s="92"/>
      <c r="AO359" s="92"/>
      <c r="AP359" s="92"/>
      <c r="AQ359" s="92"/>
      <c r="AR359" s="92"/>
      <c r="AS359" s="92"/>
      <c r="AT359" s="92"/>
      <c r="AU359" s="92"/>
      <c r="AV359" s="92"/>
      <c r="AW359" s="92"/>
      <c r="AX359" s="92"/>
      <c r="AY359" s="92"/>
      <c r="AZ359" s="92"/>
      <c r="BA359" s="92"/>
      <c r="BB359" s="92"/>
      <c r="BC359" s="92"/>
      <c r="BD359" s="92"/>
      <c r="BE359" s="92"/>
      <c r="BF359" s="92"/>
      <c r="BG359" s="92"/>
      <c r="BH359" s="92"/>
      <c r="BI359" s="92"/>
      <c r="BJ359" s="92"/>
      <c r="BK359" s="92"/>
      <c r="BL359" s="92"/>
      <c r="BM359" s="92"/>
      <c r="BN359" s="92"/>
      <c r="BO359" s="92"/>
      <c r="BP359" s="92"/>
      <c r="BQ359" s="92"/>
      <c r="BR359" s="92"/>
      <c r="BS359" s="92"/>
      <c r="BT359" s="92"/>
      <c r="BU359" s="92"/>
      <c r="BV359" s="92"/>
      <c r="BW359" s="92"/>
      <c r="BX359" s="92"/>
      <c r="BY359" s="92"/>
      <c r="BZ359" s="92"/>
      <c r="CA359" s="92"/>
      <c r="CB359" s="92"/>
      <c r="CC359" s="92"/>
      <c r="CD359" s="92"/>
      <c r="CE359" s="92"/>
      <c r="CF359" s="92"/>
      <c r="CG359" s="92"/>
      <c r="CH359" s="92"/>
      <c r="CI359" s="92"/>
      <c r="CJ359" s="92"/>
      <c r="CK359" s="92"/>
      <c r="CL359" s="92"/>
      <c r="CM359" s="92"/>
      <c r="CN359" s="92"/>
      <c r="CO359" s="92"/>
      <c r="CP359" s="92"/>
      <c r="CQ359" s="92"/>
      <c r="CR359" s="92"/>
      <c r="CS359" s="92"/>
      <c r="CT359" s="92"/>
      <c r="CU359" s="92"/>
      <c r="CV359" s="92"/>
      <c r="CW359" s="92"/>
      <c r="CX359" s="92"/>
      <c r="CY359" s="92"/>
      <c r="CZ359" s="92"/>
      <c r="DA359" s="92"/>
      <c r="DB359" s="92"/>
      <c r="DC359" s="92"/>
      <c r="DD359" s="92"/>
      <c r="DE359" s="92"/>
      <c r="DF359" s="92"/>
      <c r="DG359" s="92"/>
      <c r="DH359" s="92"/>
      <c r="DI359" s="92"/>
      <c r="DJ359" s="92"/>
      <c r="DK359" s="92"/>
      <c r="DL359" s="92"/>
      <c r="DM359" s="92"/>
      <c r="DN359" s="92"/>
      <c r="DO359" s="92"/>
      <c r="DP359" s="92"/>
      <c r="DQ359" s="92"/>
      <c r="DR359" s="92"/>
      <c r="DS359" s="92"/>
      <c r="DT359" s="92"/>
      <c r="DU359" s="92"/>
      <c r="DV359" s="92"/>
      <c r="DW359" s="92"/>
      <c r="DX359" s="92"/>
      <c r="DY359" s="92"/>
      <c r="DZ359" s="92"/>
      <c r="EA359" s="92"/>
      <c r="EB359" s="92"/>
      <c r="EC359" s="92"/>
      <c r="ED359" s="92"/>
      <c r="EE359" s="92"/>
      <c r="EF359" s="92"/>
      <c r="EG359" s="92"/>
      <c r="EH359" s="92"/>
      <c r="EI359" s="92"/>
      <c r="EJ359" s="92"/>
      <c r="EK359" s="92"/>
      <c r="EL359" s="92"/>
      <c r="EM359" s="92"/>
      <c r="EN359" s="92"/>
      <c r="EO359" s="92"/>
      <c r="EP359" s="92"/>
      <c r="EQ359" s="92"/>
      <c r="ER359" s="92"/>
      <c r="ES359" s="92"/>
      <c r="ET359" s="92"/>
      <c r="EU359" s="92"/>
      <c r="EV359" s="92"/>
      <c r="EW359" s="92"/>
      <c r="EX359" s="92"/>
      <c r="EY359" s="92"/>
      <c r="EZ359" s="92"/>
      <c r="FA359" s="92"/>
      <c r="FB359" s="92"/>
      <c r="FC359" s="92"/>
      <c r="FD359" s="92"/>
      <c r="FE359" s="92"/>
      <c r="FF359" s="92"/>
      <c r="FG359" s="92"/>
      <c r="FH359" s="92"/>
    </row>
    <row r="360">
      <c r="A360" s="32" t="s">
        <v>54</v>
      </c>
      <c r="B360" s="32" t="s">
        <v>66</v>
      </c>
      <c r="C360" s="32" t="s">
        <v>13</v>
      </c>
      <c r="D360" s="97">
        <f t="shared" si="1"/>
        <v>1642.73243</v>
      </c>
      <c r="E360" s="92">
        <f>(SUBSTITUTE(Audio!E360, "RE-", "", 1))*1</f>
        <v>0</v>
      </c>
      <c r="F360" s="92">
        <f>(SUBSTITUTE(Audio!F360, "RE-", "", 1))*1</f>
        <v>118.123</v>
      </c>
      <c r="G360" s="92">
        <f>(SUBSTITUTE(Audio!G360, "RE-", "", 1))*1</f>
        <v>2.17862</v>
      </c>
      <c r="H360" s="92">
        <f>(SUBSTITUTE(Audio!H360, "RE-", "", 1))*1</f>
        <v>19.5857</v>
      </c>
      <c r="I360" s="92">
        <f>(SUBSTITUTE(Audio!I360, "RE-", "", 1))*1</f>
        <v>0</v>
      </c>
      <c r="J360" s="92">
        <f>(SUBSTITUTE(Audio!J360, "RE-", "", 1))*1</f>
        <v>140.116</v>
      </c>
      <c r="K360" s="92">
        <f>(SUBSTITUTE(Audio!K360, "RE-", "", 1))*1</f>
        <v>2.47798</v>
      </c>
      <c r="L360" s="92">
        <f>(SUBSTITUTE(Audio!L360, "RE-", "", 1))*1</f>
        <v>669.076</v>
      </c>
      <c r="M360" s="92">
        <f>(SUBSTITUTE(Audio!M360, "RE-", "", 1))*1</f>
        <v>4.72008</v>
      </c>
      <c r="N360" s="92">
        <f>(SUBSTITUTE(Audio!N360, "RE-", "", 1))*1</f>
        <v>256.926</v>
      </c>
      <c r="O360" s="92">
        <f>(SUBSTITUTE(Audio!O360, "RE-", "", 1))*1</f>
        <v>4.23677</v>
      </c>
      <c r="P360" s="92">
        <f>(SUBSTITUTE(Audio!P360, "RE-", "", 1))*1</f>
        <v>74.1532</v>
      </c>
      <c r="Q360" s="92">
        <f>(SUBSTITUTE(Audio!Q360, "RE-", "", 1))*1</f>
        <v>27.6114</v>
      </c>
      <c r="R360" s="92">
        <f>(SUBSTITUTE(Audio!R360, "RE-", "", 1))*1</f>
        <v>54.4583</v>
      </c>
      <c r="S360" s="92">
        <f>(SUBSTITUTE(Audio!S360, "RE-", "", 1))*1</f>
        <v>3.08795</v>
      </c>
      <c r="T360" s="92">
        <f>(SUBSTITUTE(Audio!T360, "RE-", "", 1))*1</f>
        <v>257.305</v>
      </c>
      <c r="U360" s="92">
        <f>(SUBSTITUTE(Audio!U360, "RE-", "", 1))*1</f>
        <v>8.67643</v>
      </c>
      <c r="V360" s="92">
        <f>(SUBSTITUTE(Audio!V360, "RE-", "", 1))*1</f>
        <v>0</v>
      </c>
      <c r="W360" s="92">
        <f>(SUBSTITUTE(Audio!W360, "RE-", "", 1))*1</f>
        <v>0</v>
      </c>
      <c r="X360" s="92">
        <f>(SUBSTITUTE(Audio!X360, "RE-", "", 1))*1</f>
        <v>0</v>
      </c>
      <c r="Y360" s="92">
        <f>(SUBSTITUTE(Audio!Y360, "RE-", "", 1))*1</f>
        <v>0</v>
      </c>
      <c r="Z360" s="92">
        <f>(SUBSTITUTE(Audio!Z360, "RE-", "", 1))*1</f>
        <v>0</v>
      </c>
      <c r="AA360" s="92"/>
      <c r="AB360" s="92"/>
      <c r="AC360" s="92"/>
      <c r="AD360" s="92"/>
      <c r="AE360" s="92"/>
      <c r="AF360" s="92"/>
      <c r="AG360" s="92"/>
      <c r="AH360" s="92"/>
      <c r="AI360" s="92"/>
      <c r="AJ360" s="92"/>
      <c r="AK360" s="92"/>
      <c r="AL360" s="92"/>
      <c r="AM360" s="92"/>
      <c r="AN360" s="92"/>
      <c r="AO360" s="92"/>
      <c r="AP360" s="92"/>
      <c r="AQ360" s="92"/>
      <c r="AR360" s="92"/>
      <c r="AS360" s="92"/>
      <c r="AT360" s="92"/>
      <c r="AU360" s="92"/>
      <c r="AV360" s="92"/>
      <c r="AW360" s="92"/>
      <c r="AX360" s="92"/>
      <c r="AY360" s="92"/>
      <c r="AZ360" s="92"/>
      <c r="BA360" s="92"/>
      <c r="BB360" s="92"/>
      <c r="BC360" s="92"/>
      <c r="BD360" s="92"/>
      <c r="BE360" s="92"/>
      <c r="BF360" s="92"/>
      <c r="BG360" s="92"/>
      <c r="BH360" s="92"/>
      <c r="BI360" s="92"/>
      <c r="BJ360" s="92"/>
      <c r="BK360" s="92"/>
      <c r="BL360" s="92"/>
      <c r="BM360" s="92"/>
      <c r="BN360" s="92"/>
      <c r="BO360" s="92"/>
      <c r="BP360" s="92"/>
      <c r="BQ360" s="92"/>
      <c r="BR360" s="92"/>
      <c r="BS360" s="92"/>
      <c r="BT360" s="92"/>
      <c r="BU360" s="92"/>
      <c r="BV360" s="92"/>
      <c r="BW360" s="92"/>
      <c r="BX360" s="92"/>
      <c r="BY360" s="92"/>
      <c r="BZ360" s="92"/>
      <c r="CA360" s="92"/>
      <c r="CB360" s="92"/>
      <c r="CC360" s="92"/>
      <c r="CD360" s="92"/>
      <c r="CE360" s="92"/>
      <c r="CF360" s="92"/>
      <c r="CG360" s="92"/>
      <c r="CH360" s="92"/>
      <c r="CI360" s="92"/>
      <c r="CJ360" s="92"/>
      <c r="CK360" s="92"/>
      <c r="CL360" s="92"/>
      <c r="CM360" s="92"/>
      <c r="CN360" s="92"/>
      <c r="CO360" s="92"/>
      <c r="CP360" s="92"/>
      <c r="CQ360" s="92"/>
      <c r="CR360" s="92"/>
      <c r="CS360" s="92"/>
      <c r="CT360" s="92"/>
      <c r="CU360" s="92"/>
      <c r="CV360" s="92"/>
      <c r="CW360" s="92"/>
      <c r="CX360" s="92"/>
      <c r="CY360" s="92"/>
      <c r="CZ360" s="92"/>
      <c r="DA360" s="92"/>
      <c r="DB360" s="92"/>
      <c r="DC360" s="92"/>
      <c r="DD360" s="92"/>
      <c r="DE360" s="92"/>
      <c r="DF360" s="92"/>
      <c r="DG360" s="92"/>
      <c r="DH360" s="92"/>
      <c r="DI360" s="92"/>
      <c r="DJ360" s="92"/>
      <c r="DK360" s="92"/>
      <c r="DL360" s="92"/>
      <c r="DM360" s="92"/>
      <c r="DN360" s="92"/>
      <c r="DO360" s="92"/>
      <c r="DP360" s="92"/>
      <c r="DQ360" s="92"/>
      <c r="DR360" s="92"/>
      <c r="DS360" s="92"/>
      <c r="DT360" s="92"/>
      <c r="DU360" s="92"/>
      <c r="DV360" s="92"/>
      <c r="DW360" s="92"/>
      <c r="DX360" s="92"/>
      <c r="DY360" s="92"/>
      <c r="DZ360" s="92"/>
      <c r="EA360" s="92"/>
      <c r="EB360" s="92"/>
      <c r="EC360" s="92"/>
      <c r="ED360" s="92"/>
      <c r="EE360" s="92"/>
      <c r="EF360" s="92"/>
      <c r="EG360" s="92"/>
      <c r="EH360" s="92"/>
      <c r="EI360" s="92"/>
      <c r="EJ360" s="92"/>
      <c r="EK360" s="92"/>
      <c r="EL360" s="92"/>
      <c r="EM360" s="92"/>
      <c r="EN360" s="92"/>
      <c r="EO360" s="92"/>
      <c r="EP360" s="92"/>
      <c r="EQ360" s="92"/>
      <c r="ER360" s="92"/>
      <c r="ES360" s="92"/>
      <c r="ET360" s="92"/>
      <c r="EU360" s="92"/>
      <c r="EV360" s="92"/>
      <c r="EW360" s="92"/>
      <c r="EX360" s="92"/>
      <c r="EY360" s="92"/>
      <c r="EZ360" s="92"/>
      <c r="FA360" s="92"/>
      <c r="FB360" s="92"/>
      <c r="FC360" s="92"/>
      <c r="FD360" s="92"/>
      <c r="FE360" s="92"/>
      <c r="FF360" s="92"/>
      <c r="FG360" s="92"/>
      <c r="FH360" s="92"/>
    </row>
    <row r="361">
      <c r="A361" s="32" t="s">
        <v>54</v>
      </c>
      <c r="B361" s="32" t="s">
        <v>66</v>
      </c>
      <c r="C361" s="32" t="s">
        <v>14</v>
      </c>
      <c r="D361" s="97">
        <f t="shared" si="1"/>
        <v>1465.01206</v>
      </c>
      <c r="E361" s="92">
        <f>(SUBSTITUTE(Audio!E361, "RE-", "", 1))*1</f>
        <v>0</v>
      </c>
      <c r="F361" s="92">
        <f>(SUBSTITUTE(Audio!F361, "RE-", "", 1))*1</f>
        <v>99.2875</v>
      </c>
      <c r="G361" s="92">
        <f>(SUBSTITUTE(Audio!G361, "RE-", "", 1))*1</f>
        <v>1.97503</v>
      </c>
      <c r="H361" s="92">
        <f>(SUBSTITUTE(Audio!H361, "RE-", "", 1))*1</f>
        <v>18.0694</v>
      </c>
      <c r="I361" s="92">
        <f>(SUBSTITUTE(Audio!I361, "RE-", "", 1))*1</f>
        <v>0</v>
      </c>
      <c r="J361" s="92">
        <f>(SUBSTITUTE(Audio!J361, "RE-", "", 1))*1</f>
        <v>131.346</v>
      </c>
      <c r="K361" s="92">
        <f>(SUBSTITUTE(Audio!K361, "RE-", "", 1))*1</f>
        <v>2.47798</v>
      </c>
      <c r="L361" s="92">
        <f>(SUBSTITUTE(Audio!L361, "RE-", "", 1))*1</f>
        <v>602.14</v>
      </c>
      <c r="M361" s="92">
        <f>(SUBSTITUTE(Audio!M361, "RE-", "", 1))*1</f>
        <v>4.72008</v>
      </c>
      <c r="N361" s="92">
        <f>(SUBSTITUTE(Audio!N361, "RE-", "", 1))*1</f>
        <v>225.9</v>
      </c>
      <c r="O361" s="92">
        <f>(SUBSTITUTE(Audio!O361, "RE-", "", 1))*1</f>
        <v>4.08347</v>
      </c>
      <c r="P361" s="92">
        <f>(SUBSTITUTE(Audio!P361, "RE-", "", 1))*1</f>
        <v>63.3513</v>
      </c>
      <c r="Q361" s="92">
        <f>(SUBSTITUTE(Audio!Q361, "RE-", "", 1))*1</f>
        <v>24.6568</v>
      </c>
      <c r="R361" s="92">
        <f>(SUBSTITUTE(Audio!R361, "RE-", "", 1))*1</f>
        <v>49.2369</v>
      </c>
      <c r="S361" s="92">
        <f>(SUBSTITUTE(Audio!S361, "RE-", "", 1))*1</f>
        <v>2.68678</v>
      </c>
      <c r="T361" s="92">
        <f>(SUBSTITUTE(Audio!T361, "RE-", "", 1))*1</f>
        <v>227.29</v>
      </c>
      <c r="U361" s="92">
        <f>(SUBSTITUTE(Audio!U361, "RE-", "", 1))*1</f>
        <v>7.79082</v>
      </c>
      <c r="V361" s="92">
        <f>(SUBSTITUTE(Audio!V361, "RE-", "", 1))*1</f>
        <v>0</v>
      </c>
      <c r="W361" s="92">
        <f>(SUBSTITUTE(Audio!W361, "RE-", "", 1))*1</f>
        <v>0</v>
      </c>
      <c r="X361" s="92">
        <f>(SUBSTITUTE(Audio!X361, "RE-", "", 1))*1</f>
        <v>0</v>
      </c>
      <c r="Y361" s="92">
        <f>(SUBSTITUTE(Audio!Y361, "RE-", "", 1))*1</f>
        <v>0</v>
      </c>
      <c r="Z361" s="92">
        <f>(SUBSTITUTE(Audio!Z361, "RE-", "", 1))*1</f>
        <v>0</v>
      </c>
      <c r="AA361" s="92"/>
      <c r="AB361" s="92"/>
      <c r="AC361" s="92"/>
      <c r="AD361" s="92"/>
      <c r="AE361" s="92"/>
      <c r="AF361" s="92"/>
      <c r="AG361" s="92"/>
      <c r="AH361" s="92"/>
      <c r="AI361" s="92"/>
      <c r="AJ361" s="92"/>
      <c r="AK361" s="92"/>
      <c r="AL361" s="92"/>
      <c r="AM361" s="92"/>
      <c r="AN361" s="92"/>
      <c r="AO361" s="92"/>
      <c r="AP361" s="92"/>
      <c r="AQ361" s="92"/>
      <c r="AR361" s="92"/>
      <c r="AS361" s="92"/>
      <c r="AT361" s="92"/>
      <c r="AU361" s="92"/>
      <c r="AV361" s="92"/>
      <c r="AW361" s="92"/>
      <c r="AX361" s="92"/>
      <c r="AY361" s="92"/>
      <c r="AZ361" s="92"/>
      <c r="BA361" s="92"/>
      <c r="BB361" s="92"/>
      <c r="BC361" s="92"/>
      <c r="BD361" s="92"/>
      <c r="BE361" s="92"/>
      <c r="BF361" s="92"/>
      <c r="BG361" s="92"/>
      <c r="BH361" s="92"/>
      <c r="BI361" s="92"/>
      <c r="BJ361" s="92"/>
      <c r="BK361" s="92"/>
      <c r="BL361" s="92"/>
      <c r="BM361" s="92"/>
      <c r="BN361" s="92"/>
      <c r="BO361" s="92"/>
      <c r="BP361" s="92"/>
      <c r="BQ361" s="92"/>
      <c r="BR361" s="92"/>
      <c r="BS361" s="92"/>
      <c r="BT361" s="92"/>
      <c r="BU361" s="92"/>
      <c r="BV361" s="92"/>
      <c r="BW361" s="92"/>
      <c r="BX361" s="92"/>
      <c r="BY361" s="92"/>
      <c r="BZ361" s="92"/>
      <c r="CA361" s="92"/>
      <c r="CB361" s="92"/>
      <c r="CC361" s="92"/>
      <c r="CD361" s="92"/>
      <c r="CE361" s="92"/>
      <c r="CF361" s="92"/>
      <c r="CG361" s="92"/>
      <c r="CH361" s="92"/>
      <c r="CI361" s="92"/>
      <c r="CJ361" s="92"/>
      <c r="CK361" s="92"/>
      <c r="CL361" s="92"/>
      <c r="CM361" s="92"/>
      <c r="CN361" s="92"/>
      <c r="CO361" s="92"/>
      <c r="CP361" s="92"/>
      <c r="CQ361" s="92"/>
      <c r="CR361" s="92"/>
      <c r="CS361" s="92"/>
      <c r="CT361" s="92"/>
      <c r="CU361" s="92"/>
      <c r="CV361" s="92"/>
      <c r="CW361" s="92"/>
      <c r="CX361" s="92"/>
      <c r="CY361" s="92"/>
      <c r="CZ361" s="92"/>
      <c r="DA361" s="92"/>
      <c r="DB361" s="92"/>
      <c r="DC361" s="92"/>
      <c r="DD361" s="92"/>
      <c r="DE361" s="92"/>
      <c r="DF361" s="92"/>
      <c r="DG361" s="92"/>
      <c r="DH361" s="92"/>
      <c r="DI361" s="92"/>
      <c r="DJ361" s="92"/>
      <c r="DK361" s="92"/>
      <c r="DL361" s="92"/>
      <c r="DM361" s="92"/>
      <c r="DN361" s="92"/>
      <c r="DO361" s="92"/>
      <c r="DP361" s="92"/>
      <c r="DQ361" s="92"/>
      <c r="DR361" s="92"/>
      <c r="DS361" s="92"/>
      <c r="DT361" s="92"/>
      <c r="DU361" s="92"/>
      <c r="DV361" s="92"/>
      <c r="DW361" s="92"/>
      <c r="DX361" s="92"/>
      <c r="DY361" s="92"/>
      <c r="DZ361" s="92"/>
      <c r="EA361" s="92"/>
      <c r="EB361" s="92"/>
      <c r="EC361" s="92"/>
      <c r="ED361" s="92"/>
      <c r="EE361" s="92"/>
      <c r="EF361" s="92"/>
      <c r="EG361" s="92"/>
      <c r="EH361" s="92"/>
      <c r="EI361" s="92"/>
      <c r="EJ361" s="92"/>
      <c r="EK361" s="92"/>
      <c r="EL361" s="92"/>
      <c r="EM361" s="92"/>
      <c r="EN361" s="92"/>
      <c r="EO361" s="92"/>
      <c r="EP361" s="92"/>
      <c r="EQ361" s="92"/>
      <c r="ER361" s="92"/>
      <c r="ES361" s="92"/>
      <c r="ET361" s="92"/>
      <c r="EU361" s="92"/>
      <c r="EV361" s="92"/>
      <c r="EW361" s="92"/>
      <c r="EX361" s="92"/>
      <c r="EY361" s="92"/>
      <c r="EZ361" s="92"/>
      <c r="FA361" s="92"/>
      <c r="FB361" s="92"/>
      <c r="FC361" s="92"/>
      <c r="FD361" s="92"/>
      <c r="FE361" s="92"/>
      <c r="FF361" s="92"/>
      <c r="FG361" s="92"/>
      <c r="FH361" s="92"/>
    </row>
    <row r="362">
      <c r="A362" s="27" t="s">
        <v>54</v>
      </c>
      <c r="B362" s="27" t="s">
        <v>66</v>
      </c>
      <c r="C362" s="27" t="s">
        <v>15</v>
      </c>
      <c r="D362" s="98">
        <f t="shared" si="1"/>
        <v>1642.59843</v>
      </c>
      <c r="E362" s="92">
        <f>(SUBSTITUTE(Audio!E362, "RE-", "", 1))*1</f>
        <v>0</v>
      </c>
      <c r="F362" s="92">
        <f>(SUBSTITUTE(Audio!F362, "RE-", "", 1))*1</f>
        <v>118.123</v>
      </c>
      <c r="G362" s="92">
        <f>(SUBSTITUTE(Audio!G362, "RE-", "", 1))*1</f>
        <v>2.17862</v>
      </c>
      <c r="H362" s="92">
        <f>(SUBSTITUTE(Audio!H362, "RE-", "", 1))*1</f>
        <v>19.5857</v>
      </c>
      <c r="I362" s="92">
        <f>(SUBSTITUTE(Audio!I362, "RE-", "", 1))*1</f>
        <v>0</v>
      </c>
      <c r="J362" s="92">
        <f>(SUBSTITUTE(Audio!J362, "RE-", "", 1))*1</f>
        <v>140.116</v>
      </c>
      <c r="K362" s="92">
        <f>(SUBSTITUTE(Audio!K362, "RE-", "", 1))*1</f>
        <v>2.47798</v>
      </c>
      <c r="L362" s="92">
        <f>(SUBSTITUTE(Audio!L362, "RE-", "", 1))*1</f>
        <v>669.076</v>
      </c>
      <c r="M362" s="92">
        <f>(SUBSTITUTE(Audio!M362, "RE-", "", 1))*1</f>
        <v>4.72008</v>
      </c>
      <c r="N362" s="92">
        <f>(SUBSTITUTE(Audio!N362, "RE-", "", 1))*1</f>
        <v>256.926</v>
      </c>
      <c r="O362" s="92">
        <f>(SUBSTITUTE(Audio!O362, "RE-", "", 1))*1</f>
        <v>4.23677</v>
      </c>
      <c r="P362" s="92">
        <f>(SUBSTITUTE(Audio!P362, "RE-", "", 1))*1</f>
        <v>74.1397</v>
      </c>
      <c r="Q362" s="92">
        <f>(SUBSTITUTE(Audio!Q362, "RE-", "", 1))*1</f>
        <v>27.6114</v>
      </c>
      <c r="R362" s="92">
        <f>(SUBSTITUTE(Audio!R362, "RE-", "", 1))*1</f>
        <v>54.3378</v>
      </c>
      <c r="S362" s="92">
        <f>(SUBSTITUTE(Audio!S362, "RE-", "", 1))*1</f>
        <v>3.08795</v>
      </c>
      <c r="T362" s="92">
        <f>(SUBSTITUTE(Audio!T362, "RE-", "", 1))*1</f>
        <v>257.305</v>
      </c>
      <c r="U362" s="92">
        <f>(SUBSTITUTE(Audio!U362, "RE-", "", 1))*1</f>
        <v>8.67643</v>
      </c>
      <c r="V362" s="92">
        <f>(SUBSTITUTE(Audio!V362, "RE-", "", 1))*1</f>
        <v>0</v>
      </c>
      <c r="W362" s="92">
        <f>(SUBSTITUTE(Audio!W362, "RE-", "", 1))*1</f>
        <v>0</v>
      </c>
      <c r="X362" s="92">
        <f>(SUBSTITUTE(Audio!X362, "RE-", "", 1))*1</f>
        <v>0</v>
      </c>
      <c r="Y362" s="92">
        <f>(SUBSTITUTE(Audio!Y362, "RE-", "", 1))*1</f>
        <v>0</v>
      </c>
      <c r="Z362" s="92">
        <f>(SUBSTITUTE(Audio!Z362, "RE-", "", 1))*1</f>
        <v>0</v>
      </c>
      <c r="AA362" s="92"/>
      <c r="AB362" s="92"/>
      <c r="AC362" s="92"/>
      <c r="AD362" s="92"/>
      <c r="AE362" s="92"/>
      <c r="AF362" s="92"/>
      <c r="AG362" s="92"/>
      <c r="AH362" s="92"/>
      <c r="AI362" s="92"/>
      <c r="AJ362" s="92"/>
      <c r="AK362" s="92"/>
      <c r="AL362" s="92"/>
      <c r="AM362" s="92"/>
      <c r="AN362" s="92"/>
      <c r="AO362" s="92"/>
      <c r="AP362" s="92"/>
      <c r="AQ362" s="92"/>
      <c r="AR362" s="92"/>
      <c r="AS362" s="92"/>
      <c r="AT362" s="92"/>
      <c r="AU362" s="92"/>
      <c r="AV362" s="92"/>
      <c r="AW362" s="92"/>
      <c r="AX362" s="92"/>
      <c r="AY362" s="92"/>
      <c r="AZ362" s="92"/>
      <c r="BA362" s="92"/>
      <c r="BB362" s="92"/>
      <c r="BC362" s="92"/>
      <c r="BD362" s="92"/>
      <c r="BE362" s="92"/>
      <c r="BF362" s="92"/>
      <c r="BG362" s="92"/>
      <c r="BH362" s="92"/>
      <c r="BI362" s="92"/>
      <c r="BJ362" s="92"/>
      <c r="BK362" s="92"/>
      <c r="BL362" s="92"/>
      <c r="BM362" s="92"/>
      <c r="BN362" s="92"/>
      <c r="BO362" s="92"/>
      <c r="BP362" s="92"/>
      <c r="BQ362" s="92"/>
      <c r="BR362" s="92"/>
      <c r="BS362" s="92"/>
      <c r="BT362" s="92"/>
      <c r="BU362" s="92"/>
      <c r="BV362" s="92"/>
      <c r="BW362" s="92"/>
      <c r="BX362" s="92"/>
      <c r="BY362" s="92"/>
      <c r="BZ362" s="92"/>
      <c r="CA362" s="92"/>
      <c r="CB362" s="92"/>
      <c r="CC362" s="92"/>
      <c r="CD362" s="92"/>
      <c r="CE362" s="92"/>
      <c r="CF362" s="92"/>
      <c r="CG362" s="92"/>
      <c r="CH362" s="92"/>
      <c r="CI362" s="92"/>
      <c r="CJ362" s="92"/>
      <c r="CK362" s="92"/>
      <c r="CL362" s="92"/>
      <c r="CM362" s="92"/>
      <c r="CN362" s="92"/>
      <c r="CO362" s="92"/>
      <c r="CP362" s="92"/>
      <c r="CQ362" s="92"/>
      <c r="CR362" s="92"/>
      <c r="CS362" s="92"/>
      <c r="CT362" s="92"/>
      <c r="CU362" s="92"/>
      <c r="CV362" s="92"/>
      <c r="CW362" s="92"/>
      <c r="CX362" s="92"/>
      <c r="CY362" s="92"/>
      <c r="CZ362" s="92"/>
      <c r="DA362" s="92"/>
      <c r="DB362" s="92"/>
      <c r="DC362" s="92"/>
      <c r="DD362" s="92"/>
      <c r="DE362" s="92"/>
      <c r="DF362" s="92"/>
      <c r="DG362" s="92"/>
      <c r="DH362" s="92"/>
      <c r="DI362" s="92"/>
      <c r="DJ362" s="92"/>
      <c r="DK362" s="92"/>
      <c r="DL362" s="92"/>
      <c r="DM362" s="92"/>
      <c r="DN362" s="92"/>
      <c r="DO362" s="92"/>
      <c r="DP362" s="92"/>
      <c r="DQ362" s="92"/>
      <c r="DR362" s="92"/>
      <c r="DS362" s="92"/>
      <c r="DT362" s="92"/>
      <c r="DU362" s="92"/>
      <c r="DV362" s="92"/>
      <c r="DW362" s="92"/>
      <c r="DX362" s="92"/>
      <c r="DY362" s="92"/>
      <c r="DZ362" s="92"/>
      <c r="EA362" s="92"/>
      <c r="EB362" s="92"/>
      <c r="EC362" s="92"/>
      <c r="ED362" s="92"/>
      <c r="EE362" s="92"/>
      <c r="EF362" s="92"/>
      <c r="EG362" s="92"/>
      <c r="EH362" s="92"/>
      <c r="EI362" s="92"/>
      <c r="EJ362" s="92"/>
      <c r="EK362" s="92"/>
      <c r="EL362" s="92"/>
      <c r="EM362" s="92"/>
      <c r="EN362" s="92"/>
      <c r="EO362" s="92"/>
      <c r="EP362" s="92"/>
      <c r="EQ362" s="92"/>
      <c r="ER362" s="92"/>
      <c r="ES362" s="92"/>
      <c r="ET362" s="92"/>
      <c r="EU362" s="92"/>
      <c r="EV362" s="92"/>
      <c r="EW362" s="92"/>
      <c r="EX362" s="92"/>
      <c r="EY362" s="92"/>
      <c r="EZ362" s="92"/>
      <c r="FA362" s="92"/>
      <c r="FB362" s="92"/>
      <c r="FC362" s="92"/>
      <c r="FD362" s="92"/>
      <c r="FE362" s="92"/>
      <c r="FF362" s="92"/>
      <c r="FG362" s="92"/>
      <c r="FH362" s="92"/>
    </row>
    <row r="363">
      <c r="A363" s="30" t="s">
        <v>67</v>
      </c>
      <c r="B363" s="30" t="s">
        <v>68</v>
      </c>
      <c r="C363" s="31" t="str">
        <f>HYPERLINK("https://docs.google.com/spreadsheets/d/1j7f4PQU_1iVOjLWBWjDknTCzpUY8ynrH/edit?usp=share_link&amp;ouid=106501987799020758802&amp;rtpof=true&amp;sd=true", "Raw Delivered")</f>
        <v>Raw Delivered</v>
      </c>
      <c r="D363" s="96">
        <f t="shared" si="1"/>
        <v>6188.12548</v>
      </c>
      <c r="E363" s="92">
        <f>(SUBSTITUTE(Audio!E363, "RE-", "", 1))*1</f>
        <v>0</v>
      </c>
      <c r="F363" s="92">
        <f>(SUBSTITUTE(Audio!F363, "RE-", "", 1))*1</f>
        <v>456.8182396</v>
      </c>
      <c r="G363" s="92">
        <f>(SUBSTITUTE(Audio!G363, "RE-", "", 1))*1</f>
        <v>0</v>
      </c>
      <c r="H363" s="92">
        <f>(SUBSTITUTE(Audio!H363, "RE-", "", 1))*1</f>
        <v>44.88873125</v>
      </c>
      <c r="I363" s="92">
        <f>(SUBSTITUTE(Audio!I363, "RE-", "", 1))*1</f>
        <v>0</v>
      </c>
      <c r="J363" s="92">
        <f>(SUBSTITUTE(Audio!J363, "RE-", "", 1))*1</f>
        <v>2948.999955</v>
      </c>
      <c r="K363" s="92">
        <f>(SUBSTITUTE(Audio!K363, "RE-", "", 1))*1</f>
        <v>0</v>
      </c>
      <c r="L363" s="92">
        <f>(SUBSTITUTE(Audio!L363, "RE-", "", 1))*1</f>
        <v>376.4845167</v>
      </c>
      <c r="M363" s="92">
        <f>(SUBSTITUTE(Audio!M363, "RE-", "", 1))*1</f>
        <v>0</v>
      </c>
      <c r="N363" s="92">
        <f>(SUBSTITUTE(Audio!N363, "RE-", "", 1))*1</f>
        <v>1251.931491</v>
      </c>
      <c r="O363" s="92">
        <f>(SUBSTITUTE(Audio!O363, "RE-", "", 1))*1</f>
        <v>0</v>
      </c>
      <c r="P363" s="92">
        <f>(SUBSTITUTE(Audio!P363, "RE-", "", 1))*1</f>
        <v>651.3494635</v>
      </c>
      <c r="Q363" s="92">
        <f>(SUBSTITUTE(Audio!Q363, "RE-", "", 1))*1</f>
        <v>0</v>
      </c>
      <c r="R363" s="92">
        <f>(SUBSTITUTE(Audio!R363, "RE-", "", 1))*1</f>
        <v>188.0137031</v>
      </c>
      <c r="S363" s="92">
        <f>(SUBSTITUTE(Audio!S363, "RE-", "", 1))*1</f>
        <v>0</v>
      </c>
      <c r="T363" s="92">
        <f>(SUBSTITUTE(Audio!T363, "RE-", "", 1))*1</f>
        <v>269.6393802</v>
      </c>
      <c r="U363" s="92">
        <f>(SUBSTITUTE(Audio!U363, "RE-", "", 1))*1</f>
        <v>0</v>
      </c>
      <c r="V363" s="92">
        <f>(SUBSTITUTE(Audio!V363, "RE-", "", 1))*1</f>
        <v>0</v>
      </c>
      <c r="W363" s="92">
        <f>(SUBSTITUTE(Audio!W363, "RE-", "", 1))*1</f>
        <v>0</v>
      </c>
      <c r="X363" s="92">
        <f>(SUBSTITUTE(Audio!X363, "RE-", "", 1))*1</f>
        <v>0</v>
      </c>
      <c r="Y363" s="92">
        <f>(SUBSTITUTE(Audio!Y363, "RE-", "", 1))*1</f>
        <v>0</v>
      </c>
      <c r="Z363" s="92">
        <f>(SUBSTITUTE(Audio!Z363, "RE-", "", 1))*1</f>
        <v>0</v>
      </c>
      <c r="AA363" s="92"/>
      <c r="AB363" s="92"/>
      <c r="AC363" s="92"/>
      <c r="AD363" s="92"/>
      <c r="AE363" s="92"/>
      <c r="AF363" s="92"/>
      <c r="AG363" s="92"/>
      <c r="AH363" s="92"/>
      <c r="AI363" s="92"/>
      <c r="AJ363" s="92"/>
      <c r="AK363" s="92"/>
      <c r="AL363" s="92"/>
      <c r="AM363" s="92"/>
      <c r="AN363" s="92"/>
      <c r="AO363" s="92"/>
      <c r="AP363" s="92"/>
      <c r="AQ363" s="92"/>
      <c r="AR363" s="92"/>
      <c r="AS363" s="92"/>
      <c r="AT363" s="92"/>
      <c r="AU363" s="92"/>
      <c r="AV363" s="92"/>
      <c r="AW363" s="92"/>
      <c r="AX363" s="92"/>
      <c r="AY363" s="92"/>
      <c r="AZ363" s="92"/>
      <c r="BA363" s="92"/>
      <c r="BB363" s="92"/>
      <c r="BC363" s="92"/>
      <c r="BD363" s="92"/>
      <c r="BE363" s="92"/>
      <c r="BF363" s="92"/>
      <c r="BG363" s="92"/>
      <c r="BH363" s="92"/>
      <c r="BI363" s="92"/>
      <c r="BJ363" s="92"/>
      <c r="BK363" s="92"/>
      <c r="BL363" s="92"/>
      <c r="BM363" s="92"/>
      <c r="BN363" s="92"/>
      <c r="BO363" s="92"/>
      <c r="BP363" s="92"/>
      <c r="BQ363" s="92"/>
      <c r="BR363" s="92"/>
      <c r="BS363" s="92"/>
      <c r="BT363" s="92"/>
      <c r="BU363" s="92"/>
      <c r="BV363" s="92"/>
      <c r="BW363" s="92"/>
      <c r="BX363" s="92"/>
      <c r="BY363" s="92"/>
      <c r="BZ363" s="92"/>
      <c r="CA363" s="92"/>
      <c r="CB363" s="92"/>
      <c r="CC363" s="92"/>
      <c r="CD363" s="92"/>
      <c r="CE363" s="92"/>
      <c r="CF363" s="92"/>
      <c r="CG363" s="92"/>
      <c r="CH363" s="92"/>
      <c r="CI363" s="92"/>
      <c r="CJ363" s="92"/>
      <c r="CK363" s="92"/>
      <c r="CL363" s="92"/>
      <c r="CM363" s="92"/>
      <c r="CN363" s="92"/>
      <c r="CO363" s="92"/>
      <c r="CP363" s="92"/>
      <c r="CQ363" s="92"/>
      <c r="CR363" s="92"/>
      <c r="CS363" s="92"/>
      <c r="CT363" s="92"/>
      <c r="CU363" s="92"/>
      <c r="CV363" s="92"/>
      <c r="CW363" s="92"/>
      <c r="CX363" s="92"/>
      <c r="CY363" s="92"/>
      <c r="CZ363" s="92"/>
      <c r="DA363" s="92"/>
      <c r="DB363" s="92"/>
      <c r="DC363" s="92"/>
      <c r="DD363" s="92"/>
      <c r="DE363" s="92"/>
      <c r="DF363" s="92"/>
      <c r="DG363" s="92"/>
      <c r="DH363" s="92"/>
      <c r="DI363" s="92"/>
      <c r="DJ363" s="92"/>
      <c r="DK363" s="92"/>
      <c r="DL363" s="92"/>
      <c r="DM363" s="92"/>
      <c r="DN363" s="92"/>
      <c r="DO363" s="92"/>
      <c r="DP363" s="92"/>
      <c r="DQ363" s="92"/>
      <c r="DR363" s="92"/>
      <c r="DS363" s="92"/>
      <c r="DT363" s="92"/>
      <c r="DU363" s="92"/>
      <c r="DV363" s="92"/>
      <c r="DW363" s="92"/>
      <c r="DX363" s="92"/>
      <c r="DY363" s="92"/>
      <c r="DZ363" s="92"/>
      <c r="EA363" s="92"/>
      <c r="EB363" s="92"/>
      <c r="EC363" s="92"/>
      <c r="ED363" s="92"/>
      <c r="EE363" s="92"/>
      <c r="EF363" s="92"/>
      <c r="EG363" s="92"/>
      <c r="EH363" s="92"/>
      <c r="EI363" s="92"/>
      <c r="EJ363" s="92"/>
      <c r="EK363" s="92"/>
      <c r="EL363" s="92"/>
      <c r="EM363" s="92"/>
      <c r="EN363" s="92"/>
      <c r="EO363" s="92"/>
      <c r="EP363" s="92"/>
      <c r="EQ363" s="92"/>
      <c r="ER363" s="92"/>
      <c r="ES363" s="92"/>
      <c r="ET363" s="92"/>
      <c r="EU363" s="92"/>
      <c r="EV363" s="92"/>
      <c r="EW363" s="92"/>
      <c r="EX363" s="92"/>
      <c r="EY363" s="92"/>
      <c r="EZ363" s="92"/>
      <c r="FA363" s="92"/>
      <c r="FB363" s="92"/>
      <c r="FC363" s="92"/>
      <c r="FD363" s="92"/>
      <c r="FE363" s="92"/>
      <c r="FF363" s="92"/>
      <c r="FG363" s="92"/>
      <c r="FH363" s="92"/>
    </row>
    <row r="364">
      <c r="A364" s="32" t="s">
        <v>67</v>
      </c>
      <c r="B364" s="32" t="s">
        <v>68</v>
      </c>
      <c r="C364" s="32" t="s">
        <v>9</v>
      </c>
      <c r="D364" s="97">
        <f t="shared" si="1"/>
        <v>6188.12548</v>
      </c>
      <c r="E364" s="92">
        <f>(SUBSTITUTE(Audio!E364, "RE-", "", 1))*1</f>
        <v>0</v>
      </c>
      <c r="F364" s="92">
        <f>(SUBSTITUTE(Audio!F364, "RE-", "", 1))*1</f>
        <v>456.8182396</v>
      </c>
      <c r="G364" s="92">
        <f>(SUBSTITUTE(Audio!G364, "RE-", "", 1))*1</f>
        <v>0</v>
      </c>
      <c r="H364" s="92">
        <f>(SUBSTITUTE(Audio!H364, "RE-", "", 1))*1</f>
        <v>44.88873125</v>
      </c>
      <c r="I364" s="92">
        <f>(SUBSTITUTE(Audio!I364, "RE-", "", 1))*1</f>
        <v>0</v>
      </c>
      <c r="J364" s="92">
        <f>(SUBSTITUTE(Audio!J364, "RE-", "", 1))*1</f>
        <v>2948.999955</v>
      </c>
      <c r="K364" s="92">
        <f>(SUBSTITUTE(Audio!K364, "RE-", "", 1))*1</f>
        <v>0</v>
      </c>
      <c r="L364" s="92">
        <f>(SUBSTITUTE(Audio!L364, "RE-", "", 1))*1</f>
        <v>376.4845167</v>
      </c>
      <c r="M364" s="92">
        <f>(SUBSTITUTE(Audio!M364, "RE-", "", 1))*1</f>
        <v>0</v>
      </c>
      <c r="N364" s="92">
        <f>(SUBSTITUTE(Audio!N364, "RE-", "", 1))*1</f>
        <v>1251.931491</v>
      </c>
      <c r="O364" s="92">
        <f>(SUBSTITUTE(Audio!O364, "RE-", "", 1))*1</f>
        <v>0</v>
      </c>
      <c r="P364" s="92">
        <f>(SUBSTITUTE(Audio!P364, "RE-", "", 1))*1</f>
        <v>651.3494635</v>
      </c>
      <c r="Q364" s="92">
        <f>(SUBSTITUTE(Audio!Q364, "RE-", "", 1))*1</f>
        <v>0</v>
      </c>
      <c r="R364" s="92">
        <f>(SUBSTITUTE(Audio!R364, "RE-", "", 1))*1</f>
        <v>188.0137031</v>
      </c>
      <c r="S364" s="92">
        <f>(SUBSTITUTE(Audio!S364, "RE-", "", 1))*1</f>
        <v>0</v>
      </c>
      <c r="T364" s="92">
        <f>(SUBSTITUTE(Audio!T364, "RE-", "", 1))*1</f>
        <v>269.6393802</v>
      </c>
      <c r="U364" s="92">
        <f>(SUBSTITUTE(Audio!U364, "RE-", "", 1))*1</f>
        <v>0</v>
      </c>
      <c r="V364" s="92">
        <f>(SUBSTITUTE(Audio!V364, "RE-", "", 1))*1</f>
        <v>0</v>
      </c>
      <c r="W364" s="92">
        <f>(SUBSTITUTE(Audio!W364, "RE-", "", 1))*1</f>
        <v>0</v>
      </c>
      <c r="X364" s="92">
        <f>(SUBSTITUTE(Audio!X364, "RE-", "", 1))*1</f>
        <v>0</v>
      </c>
      <c r="Y364" s="92">
        <f>(SUBSTITUTE(Audio!Y364, "RE-", "", 1))*1</f>
        <v>0</v>
      </c>
      <c r="Z364" s="92">
        <f>(SUBSTITUTE(Audio!Z364, "RE-", "", 1))*1</f>
        <v>0</v>
      </c>
      <c r="AA364" s="92"/>
      <c r="AB364" s="92"/>
      <c r="AC364" s="92"/>
      <c r="AD364" s="92"/>
      <c r="AE364" s="92"/>
      <c r="AF364" s="92"/>
      <c r="AG364" s="92"/>
      <c r="AH364" s="92"/>
      <c r="AI364" s="92"/>
      <c r="AJ364" s="92"/>
      <c r="AK364" s="92"/>
      <c r="AL364" s="92"/>
      <c r="AM364" s="92"/>
      <c r="AN364" s="92"/>
      <c r="AO364" s="92"/>
      <c r="AP364" s="92"/>
      <c r="AQ364" s="92"/>
      <c r="AR364" s="92"/>
      <c r="AS364" s="92"/>
      <c r="AT364" s="92"/>
      <c r="AU364" s="92"/>
      <c r="AV364" s="92"/>
      <c r="AW364" s="92"/>
      <c r="AX364" s="92"/>
      <c r="AY364" s="92"/>
      <c r="AZ364" s="92"/>
      <c r="BA364" s="92"/>
      <c r="BB364" s="92"/>
      <c r="BC364" s="92"/>
      <c r="BD364" s="92"/>
      <c r="BE364" s="92"/>
      <c r="BF364" s="92"/>
      <c r="BG364" s="92"/>
      <c r="BH364" s="92"/>
      <c r="BI364" s="92"/>
      <c r="BJ364" s="92"/>
      <c r="BK364" s="92"/>
      <c r="BL364" s="92"/>
      <c r="BM364" s="92"/>
      <c r="BN364" s="92"/>
      <c r="BO364" s="92"/>
      <c r="BP364" s="92"/>
      <c r="BQ364" s="92"/>
      <c r="BR364" s="92"/>
      <c r="BS364" s="92"/>
      <c r="BT364" s="92"/>
      <c r="BU364" s="92"/>
      <c r="BV364" s="92"/>
      <c r="BW364" s="92"/>
      <c r="BX364" s="92"/>
      <c r="BY364" s="92"/>
      <c r="BZ364" s="92"/>
      <c r="CA364" s="92"/>
      <c r="CB364" s="92"/>
      <c r="CC364" s="92"/>
      <c r="CD364" s="92"/>
      <c r="CE364" s="92"/>
      <c r="CF364" s="92"/>
      <c r="CG364" s="92"/>
      <c r="CH364" s="92"/>
      <c r="CI364" s="92"/>
      <c r="CJ364" s="92"/>
      <c r="CK364" s="92"/>
      <c r="CL364" s="92"/>
      <c r="CM364" s="92"/>
      <c r="CN364" s="92"/>
      <c r="CO364" s="92"/>
      <c r="CP364" s="92"/>
      <c r="CQ364" s="92"/>
      <c r="CR364" s="92"/>
      <c r="CS364" s="92"/>
      <c r="CT364" s="92"/>
      <c r="CU364" s="92"/>
      <c r="CV364" s="92"/>
      <c r="CW364" s="92"/>
      <c r="CX364" s="92"/>
      <c r="CY364" s="92"/>
      <c r="CZ364" s="92"/>
      <c r="DA364" s="92"/>
      <c r="DB364" s="92"/>
      <c r="DC364" s="92"/>
      <c r="DD364" s="92"/>
      <c r="DE364" s="92"/>
      <c r="DF364" s="92"/>
      <c r="DG364" s="92"/>
      <c r="DH364" s="92"/>
      <c r="DI364" s="92"/>
      <c r="DJ364" s="92"/>
      <c r="DK364" s="92"/>
      <c r="DL364" s="92"/>
      <c r="DM364" s="92"/>
      <c r="DN364" s="92"/>
      <c r="DO364" s="92"/>
      <c r="DP364" s="92"/>
      <c r="DQ364" s="92"/>
      <c r="DR364" s="92"/>
      <c r="DS364" s="92"/>
      <c r="DT364" s="92"/>
      <c r="DU364" s="92"/>
      <c r="DV364" s="92"/>
      <c r="DW364" s="92"/>
      <c r="DX364" s="92"/>
      <c r="DY364" s="92"/>
      <c r="DZ364" s="92"/>
      <c r="EA364" s="92"/>
      <c r="EB364" s="92"/>
      <c r="EC364" s="92"/>
      <c r="ED364" s="92"/>
      <c r="EE364" s="92"/>
      <c r="EF364" s="92"/>
      <c r="EG364" s="92"/>
      <c r="EH364" s="92"/>
      <c r="EI364" s="92"/>
      <c r="EJ364" s="92"/>
      <c r="EK364" s="92"/>
      <c r="EL364" s="92"/>
      <c r="EM364" s="92"/>
      <c r="EN364" s="92"/>
      <c r="EO364" s="92"/>
      <c r="EP364" s="92"/>
      <c r="EQ364" s="92"/>
      <c r="ER364" s="92"/>
      <c r="ES364" s="92"/>
      <c r="ET364" s="92"/>
      <c r="EU364" s="92"/>
      <c r="EV364" s="92"/>
      <c r="EW364" s="92"/>
      <c r="EX364" s="92"/>
      <c r="EY364" s="92"/>
      <c r="EZ364" s="92"/>
      <c r="FA364" s="92"/>
      <c r="FB364" s="92"/>
      <c r="FC364" s="92"/>
      <c r="FD364" s="92"/>
      <c r="FE364" s="92"/>
      <c r="FF364" s="92"/>
      <c r="FG364" s="92"/>
      <c r="FH364" s="92"/>
    </row>
    <row r="365">
      <c r="A365" s="32" t="s">
        <v>67</v>
      </c>
      <c r="B365" s="32" t="s">
        <v>68</v>
      </c>
      <c r="C365" s="32" t="s">
        <v>10</v>
      </c>
      <c r="D365" s="97">
        <f t="shared" si="1"/>
        <v>557.2926906</v>
      </c>
      <c r="E365" s="92">
        <f>(SUBSTITUTE(Audio!E365, "RE-", "", 1))*1</f>
        <v>0</v>
      </c>
      <c r="F365" s="92">
        <f>(SUBSTITUTE(Audio!F365, "RE-", "", 1))*1</f>
        <v>0</v>
      </c>
      <c r="G365" s="92">
        <f>(SUBSTITUTE(Audio!G365, "RE-", "", 1))*1</f>
        <v>49.12707604</v>
      </c>
      <c r="H365" s="92">
        <f>(SUBSTITUTE(Audio!H365, "RE-", "", 1))*1</f>
        <v>0</v>
      </c>
      <c r="I365" s="92">
        <f>(SUBSTITUTE(Audio!I365, "RE-", "", 1))*1</f>
        <v>0.5015708333</v>
      </c>
      <c r="J365" s="92">
        <f>(SUBSTITUTE(Audio!J365, "RE-", "", 1))*1</f>
        <v>0</v>
      </c>
      <c r="K365" s="92">
        <f>(SUBSTITUTE(Audio!K365, "RE-", "", 1))*1</f>
        <v>223.1985281</v>
      </c>
      <c r="L365" s="92">
        <f>(SUBSTITUTE(Audio!L365, "RE-", "", 1))*1</f>
        <v>0</v>
      </c>
      <c r="M365" s="92">
        <f>(SUBSTITUTE(Audio!M365, "RE-", "", 1))*1</f>
        <v>14.36603854</v>
      </c>
      <c r="N365" s="92">
        <f>(SUBSTITUTE(Audio!N365, "RE-", "", 1))*1</f>
        <v>0</v>
      </c>
      <c r="O365" s="92">
        <f>(SUBSTITUTE(Audio!O365, "RE-", "", 1))*1</f>
        <v>188.8221844</v>
      </c>
      <c r="P365" s="92">
        <f>(SUBSTITUTE(Audio!P365, "RE-", "", 1))*1</f>
        <v>0</v>
      </c>
      <c r="Q365" s="92">
        <f>(SUBSTITUTE(Audio!Q365, "RE-", "", 1))*1</f>
        <v>61.04408021</v>
      </c>
      <c r="R365" s="92">
        <f>(SUBSTITUTE(Audio!R365, "RE-", "", 1))*1</f>
        <v>0</v>
      </c>
      <c r="S365" s="92">
        <f>(SUBSTITUTE(Audio!S365, "RE-", "", 1))*1</f>
        <v>1.390297917</v>
      </c>
      <c r="T365" s="92">
        <f>(SUBSTITUTE(Audio!T365, "RE-", "", 1))*1</f>
        <v>0</v>
      </c>
      <c r="U365" s="92">
        <f>(SUBSTITUTE(Audio!U365, "RE-", "", 1))*1</f>
        <v>15.15795</v>
      </c>
      <c r="V365" s="92">
        <f>(SUBSTITUTE(Audio!V365, "RE-", "", 1))*1</f>
        <v>3.684964583</v>
      </c>
      <c r="W365" s="92">
        <f>(SUBSTITUTE(Audio!W365, "RE-", "", 1))*1</f>
        <v>0</v>
      </c>
      <c r="X365" s="92">
        <f>(SUBSTITUTE(Audio!X365, "RE-", "", 1))*1</f>
        <v>0</v>
      </c>
      <c r="Y365" s="92">
        <f>(SUBSTITUTE(Audio!Y365, "RE-", "", 1))*1</f>
        <v>0</v>
      </c>
      <c r="Z365" s="92">
        <f>(SUBSTITUTE(Audio!Z365, "RE-", "", 1))*1</f>
        <v>0</v>
      </c>
      <c r="AA365" s="92"/>
      <c r="AB365" s="92"/>
      <c r="AC365" s="92"/>
      <c r="AD365" s="92"/>
      <c r="AE365" s="92"/>
      <c r="AF365" s="92"/>
      <c r="AG365" s="92"/>
      <c r="AH365" s="92"/>
      <c r="AI365" s="92"/>
      <c r="AJ365" s="92"/>
      <c r="AK365" s="92"/>
      <c r="AL365" s="92"/>
      <c r="AM365" s="92"/>
      <c r="AN365" s="92"/>
      <c r="AO365" s="92"/>
      <c r="AP365" s="92"/>
      <c r="AQ365" s="92"/>
      <c r="AR365" s="92"/>
      <c r="AS365" s="92"/>
      <c r="AT365" s="92"/>
      <c r="AU365" s="92"/>
      <c r="AV365" s="92"/>
      <c r="AW365" s="92"/>
      <c r="AX365" s="92"/>
      <c r="AY365" s="92"/>
      <c r="AZ365" s="92"/>
      <c r="BA365" s="92"/>
      <c r="BB365" s="92"/>
      <c r="BC365" s="92"/>
      <c r="BD365" s="92"/>
      <c r="BE365" s="92"/>
      <c r="BF365" s="92"/>
      <c r="BG365" s="92"/>
      <c r="BH365" s="92"/>
      <c r="BI365" s="92"/>
      <c r="BJ365" s="92"/>
      <c r="BK365" s="92"/>
      <c r="BL365" s="92"/>
      <c r="BM365" s="92"/>
      <c r="BN365" s="92"/>
      <c r="BO365" s="92"/>
      <c r="BP365" s="92"/>
      <c r="BQ365" s="92"/>
      <c r="BR365" s="92"/>
      <c r="BS365" s="92"/>
      <c r="BT365" s="92"/>
      <c r="BU365" s="92"/>
      <c r="BV365" s="92"/>
      <c r="BW365" s="92"/>
      <c r="BX365" s="92"/>
      <c r="BY365" s="92"/>
      <c r="BZ365" s="92"/>
      <c r="CA365" s="92"/>
      <c r="CB365" s="92"/>
      <c r="CC365" s="92"/>
      <c r="CD365" s="92"/>
      <c r="CE365" s="92"/>
      <c r="CF365" s="92"/>
      <c r="CG365" s="92"/>
      <c r="CH365" s="92"/>
      <c r="CI365" s="92"/>
      <c r="CJ365" s="92"/>
      <c r="CK365" s="92"/>
      <c r="CL365" s="92"/>
      <c r="CM365" s="92"/>
      <c r="CN365" s="92"/>
      <c r="CO365" s="92"/>
      <c r="CP365" s="92"/>
      <c r="CQ365" s="92"/>
      <c r="CR365" s="92"/>
      <c r="CS365" s="92"/>
      <c r="CT365" s="92"/>
      <c r="CU365" s="92"/>
      <c r="CV365" s="92"/>
      <c r="CW365" s="92"/>
      <c r="CX365" s="92"/>
      <c r="CY365" s="92"/>
      <c r="CZ365" s="92"/>
      <c r="DA365" s="92"/>
      <c r="DB365" s="92"/>
      <c r="DC365" s="92"/>
      <c r="DD365" s="92"/>
      <c r="DE365" s="92"/>
      <c r="DF365" s="92"/>
      <c r="DG365" s="92"/>
      <c r="DH365" s="92"/>
      <c r="DI365" s="92"/>
      <c r="DJ365" s="92"/>
      <c r="DK365" s="92"/>
      <c r="DL365" s="92"/>
      <c r="DM365" s="92"/>
      <c r="DN365" s="92"/>
      <c r="DO365" s="92"/>
      <c r="DP365" s="92"/>
      <c r="DQ365" s="92"/>
      <c r="DR365" s="92"/>
      <c r="DS365" s="92"/>
      <c r="DT365" s="92"/>
      <c r="DU365" s="92"/>
      <c r="DV365" s="92"/>
      <c r="DW365" s="92"/>
      <c r="DX365" s="92"/>
      <c r="DY365" s="92"/>
      <c r="DZ365" s="92"/>
      <c r="EA365" s="92"/>
      <c r="EB365" s="92"/>
      <c r="EC365" s="92"/>
      <c r="ED365" s="92"/>
      <c r="EE365" s="92"/>
      <c r="EF365" s="92"/>
      <c r="EG365" s="92"/>
      <c r="EH365" s="92"/>
      <c r="EI365" s="92"/>
      <c r="EJ365" s="92"/>
      <c r="EK365" s="92"/>
      <c r="EL365" s="92"/>
      <c r="EM365" s="92"/>
      <c r="EN365" s="92"/>
      <c r="EO365" s="92"/>
      <c r="EP365" s="92"/>
      <c r="EQ365" s="92"/>
      <c r="ER365" s="92"/>
      <c r="ES365" s="92"/>
      <c r="ET365" s="92"/>
      <c r="EU365" s="92"/>
      <c r="EV365" s="92"/>
      <c r="EW365" s="92"/>
      <c r="EX365" s="92"/>
      <c r="EY365" s="92"/>
      <c r="EZ365" s="92"/>
      <c r="FA365" s="92"/>
      <c r="FB365" s="92"/>
      <c r="FC365" s="92"/>
      <c r="FD365" s="92"/>
      <c r="FE365" s="92"/>
      <c r="FF365" s="92"/>
      <c r="FG365" s="92"/>
      <c r="FH365" s="92"/>
    </row>
    <row r="366">
      <c r="A366" s="32" t="s">
        <v>67</v>
      </c>
      <c r="B366" s="32" t="s">
        <v>68</v>
      </c>
      <c r="C366" s="32" t="s">
        <v>11</v>
      </c>
      <c r="D366" s="97">
        <f t="shared" si="1"/>
        <v>557.2926906</v>
      </c>
      <c r="E366" s="92">
        <f>(SUBSTITUTE(Audio!E366, "RE-", "", 1))*1</f>
        <v>0</v>
      </c>
      <c r="F366" s="92">
        <f>(SUBSTITUTE(Audio!F366, "RE-", "", 1))*1</f>
        <v>0</v>
      </c>
      <c r="G366" s="92">
        <f>(SUBSTITUTE(Audio!G366, "RE-", "", 1))*1</f>
        <v>49.12707604</v>
      </c>
      <c r="H366" s="92">
        <f>(SUBSTITUTE(Audio!H366, "RE-", "", 1))*1</f>
        <v>0</v>
      </c>
      <c r="I366" s="92">
        <f>(SUBSTITUTE(Audio!I366, "RE-", "", 1))*1</f>
        <v>0.5015708333</v>
      </c>
      <c r="J366" s="92">
        <f>(SUBSTITUTE(Audio!J366, "RE-", "", 1))*1</f>
        <v>0</v>
      </c>
      <c r="K366" s="92">
        <f>(SUBSTITUTE(Audio!K366, "RE-", "", 1))*1</f>
        <v>223.1985281</v>
      </c>
      <c r="L366" s="92">
        <f>(SUBSTITUTE(Audio!L366, "RE-", "", 1))*1</f>
        <v>0</v>
      </c>
      <c r="M366" s="92">
        <f>(SUBSTITUTE(Audio!M366, "RE-", "", 1))*1</f>
        <v>14.36603854</v>
      </c>
      <c r="N366" s="92">
        <f>(SUBSTITUTE(Audio!N366, "RE-", "", 1))*1</f>
        <v>0</v>
      </c>
      <c r="O366" s="92">
        <f>(SUBSTITUTE(Audio!O366, "RE-", "", 1))*1</f>
        <v>188.8221844</v>
      </c>
      <c r="P366" s="92">
        <f>(SUBSTITUTE(Audio!P366, "RE-", "", 1))*1</f>
        <v>0</v>
      </c>
      <c r="Q366" s="92">
        <f>(SUBSTITUTE(Audio!Q366, "RE-", "", 1))*1</f>
        <v>61.04408021</v>
      </c>
      <c r="R366" s="92">
        <f>(SUBSTITUTE(Audio!R366, "RE-", "", 1))*1</f>
        <v>0</v>
      </c>
      <c r="S366" s="92">
        <f>(SUBSTITUTE(Audio!S366, "RE-", "", 1))*1</f>
        <v>1.390297917</v>
      </c>
      <c r="T366" s="92">
        <f>(SUBSTITUTE(Audio!T366, "RE-", "", 1))*1</f>
        <v>0</v>
      </c>
      <c r="U366" s="92">
        <f>(SUBSTITUTE(Audio!U366, "RE-", "", 1))*1</f>
        <v>15.15795</v>
      </c>
      <c r="V366" s="92">
        <f>(SUBSTITUTE(Audio!V366, "RE-", "", 1))*1</f>
        <v>3.684964583</v>
      </c>
      <c r="W366" s="92">
        <f>(SUBSTITUTE(Audio!W366, "RE-", "", 1))*1</f>
        <v>0</v>
      </c>
      <c r="X366" s="92">
        <f>(SUBSTITUTE(Audio!X366, "RE-", "", 1))*1</f>
        <v>0</v>
      </c>
      <c r="Y366" s="92">
        <f>(SUBSTITUTE(Audio!Y366, "RE-", "", 1))*1</f>
        <v>0</v>
      </c>
      <c r="Z366" s="92">
        <f>(SUBSTITUTE(Audio!Z366, "RE-", "", 1))*1</f>
        <v>0</v>
      </c>
      <c r="AA366" s="92"/>
      <c r="AB366" s="92"/>
      <c r="AC366" s="92"/>
      <c r="AD366" s="92"/>
      <c r="AE366" s="92"/>
      <c r="AF366" s="92"/>
      <c r="AG366" s="92"/>
      <c r="AH366" s="92"/>
      <c r="AI366" s="92"/>
      <c r="AJ366" s="92"/>
      <c r="AK366" s="92"/>
      <c r="AL366" s="92"/>
      <c r="AM366" s="92"/>
      <c r="AN366" s="92"/>
      <c r="AO366" s="92"/>
      <c r="AP366" s="92"/>
      <c r="AQ366" s="92"/>
      <c r="AR366" s="92"/>
      <c r="AS366" s="92"/>
      <c r="AT366" s="92"/>
      <c r="AU366" s="92"/>
      <c r="AV366" s="92"/>
      <c r="AW366" s="92"/>
      <c r="AX366" s="92"/>
      <c r="AY366" s="92"/>
      <c r="AZ366" s="92"/>
      <c r="BA366" s="92"/>
      <c r="BB366" s="92"/>
      <c r="BC366" s="92"/>
      <c r="BD366" s="92"/>
      <c r="BE366" s="92"/>
      <c r="BF366" s="92"/>
      <c r="BG366" s="92"/>
      <c r="BH366" s="92"/>
      <c r="BI366" s="92"/>
      <c r="BJ366" s="92"/>
      <c r="BK366" s="92"/>
      <c r="BL366" s="92"/>
      <c r="BM366" s="92"/>
      <c r="BN366" s="92"/>
      <c r="BO366" s="92"/>
      <c r="BP366" s="92"/>
      <c r="BQ366" s="92"/>
      <c r="BR366" s="92"/>
      <c r="BS366" s="92"/>
      <c r="BT366" s="92"/>
      <c r="BU366" s="92"/>
      <c r="BV366" s="92"/>
      <c r="BW366" s="92"/>
      <c r="BX366" s="92"/>
      <c r="BY366" s="92"/>
      <c r="BZ366" s="92"/>
      <c r="CA366" s="92"/>
      <c r="CB366" s="92"/>
      <c r="CC366" s="92"/>
      <c r="CD366" s="92"/>
      <c r="CE366" s="92"/>
      <c r="CF366" s="92"/>
      <c r="CG366" s="92"/>
      <c r="CH366" s="92"/>
      <c r="CI366" s="92"/>
      <c r="CJ366" s="92"/>
      <c r="CK366" s="92"/>
      <c r="CL366" s="92"/>
      <c r="CM366" s="92"/>
      <c r="CN366" s="92"/>
      <c r="CO366" s="92"/>
      <c r="CP366" s="92"/>
      <c r="CQ366" s="92"/>
      <c r="CR366" s="92"/>
      <c r="CS366" s="92"/>
      <c r="CT366" s="92"/>
      <c r="CU366" s="92"/>
      <c r="CV366" s="92"/>
      <c r="CW366" s="92"/>
      <c r="CX366" s="92"/>
      <c r="CY366" s="92"/>
      <c r="CZ366" s="92"/>
      <c r="DA366" s="92"/>
      <c r="DB366" s="92"/>
      <c r="DC366" s="92"/>
      <c r="DD366" s="92"/>
      <c r="DE366" s="92"/>
      <c r="DF366" s="92"/>
      <c r="DG366" s="92"/>
      <c r="DH366" s="92"/>
      <c r="DI366" s="92"/>
      <c r="DJ366" s="92"/>
      <c r="DK366" s="92"/>
      <c r="DL366" s="92"/>
      <c r="DM366" s="92"/>
      <c r="DN366" s="92"/>
      <c r="DO366" s="92"/>
      <c r="DP366" s="92"/>
      <c r="DQ366" s="92"/>
      <c r="DR366" s="92"/>
      <c r="DS366" s="92"/>
      <c r="DT366" s="92"/>
      <c r="DU366" s="92"/>
      <c r="DV366" s="92"/>
      <c r="DW366" s="92"/>
      <c r="DX366" s="92"/>
      <c r="DY366" s="92"/>
      <c r="DZ366" s="92"/>
      <c r="EA366" s="92"/>
      <c r="EB366" s="92"/>
      <c r="EC366" s="92"/>
      <c r="ED366" s="92"/>
      <c r="EE366" s="92"/>
      <c r="EF366" s="92"/>
      <c r="EG366" s="92"/>
      <c r="EH366" s="92"/>
      <c r="EI366" s="92"/>
      <c r="EJ366" s="92"/>
      <c r="EK366" s="92"/>
      <c r="EL366" s="92"/>
      <c r="EM366" s="92"/>
      <c r="EN366" s="92"/>
      <c r="EO366" s="92"/>
      <c r="EP366" s="92"/>
      <c r="EQ366" s="92"/>
      <c r="ER366" s="92"/>
      <c r="ES366" s="92"/>
      <c r="ET366" s="92"/>
      <c r="EU366" s="92"/>
      <c r="EV366" s="92"/>
      <c r="EW366" s="92"/>
      <c r="EX366" s="92"/>
      <c r="EY366" s="92"/>
      <c r="EZ366" s="92"/>
      <c r="FA366" s="92"/>
      <c r="FB366" s="92"/>
      <c r="FC366" s="92"/>
      <c r="FD366" s="92"/>
      <c r="FE366" s="92"/>
      <c r="FF366" s="92"/>
      <c r="FG366" s="92"/>
      <c r="FH366" s="92"/>
    </row>
    <row r="367">
      <c r="A367" s="32" t="s">
        <v>67</v>
      </c>
      <c r="B367" s="32" t="s">
        <v>68</v>
      </c>
      <c r="C367" s="32" t="s">
        <v>12</v>
      </c>
      <c r="D367" s="97">
        <f t="shared" si="1"/>
        <v>5275.993609</v>
      </c>
      <c r="E367" s="92">
        <f>(SUBSTITUTE(Audio!E367, "RE-", "", 1))*1</f>
        <v>0</v>
      </c>
      <c r="F367" s="92">
        <f>(SUBSTITUTE(Audio!F367, "RE-", "", 1))*1</f>
        <v>381.5132115</v>
      </c>
      <c r="G367" s="92">
        <f>(SUBSTITUTE(Audio!G367, "RE-", "", 1))*1</f>
        <v>1.215308333</v>
      </c>
      <c r="H367" s="92">
        <f>(SUBSTITUTE(Audio!H367, "RE-", "", 1))*1</f>
        <v>43.90922292</v>
      </c>
      <c r="I367" s="92">
        <f>(SUBSTITUTE(Audio!I367, "RE-", "", 1))*1</f>
        <v>0</v>
      </c>
      <c r="J367" s="92">
        <f>(SUBSTITUTE(Audio!J367, "RE-", "", 1))*1</f>
        <v>2536.370006</v>
      </c>
      <c r="K367" s="92">
        <f>(SUBSTITUTE(Audio!K367, "RE-", "", 1))*1</f>
        <v>8.19895</v>
      </c>
      <c r="L367" s="92">
        <f>(SUBSTITUTE(Audio!L367, "RE-", "", 1))*1</f>
        <v>361.3095937</v>
      </c>
      <c r="M367" s="92">
        <f>(SUBSTITUTE(Audio!M367, "RE-", "", 1))*1</f>
        <v>1.947572917</v>
      </c>
      <c r="N367" s="92">
        <f>(SUBSTITUTE(Audio!N367, "RE-", "", 1))*1</f>
        <v>838.4121427</v>
      </c>
      <c r="O367" s="92">
        <f>(SUBSTITUTE(Audio!O367, "RE-", "", 1))*1</f>
        <v>7.987122917</v>
      </c>
      <c r="P367" s="92">
        <f>(SUBSTITUTE(Audio!P367, "RE-", "", 1))*1</f>
        <v>628.1942625</v>
      </c>
      <c r="Q367" s="92">
        <f>(SUBSTITUTE(Audio!Q367, "RE-", "", 1))*1</f>
        <v>14.95001771</v>
      </c>
      <c r="R367" s="92">
        <f>(SUBSTITUTE(Audio!R367, "RE-", "", 1))*1</f>
        <v>182.0744844</v>
      </c>
      <c r="S367" s="92">
        <f>(SUBSTITUTE(Audio!S367, "RE-", "", 1))*1</f>
        <v>0.6822041667</v>
      </c>
      <c r="T367" s="92">
        <f>(SUBSTITUTE(Audio!T367, "RE-", "", 1))*1</f>
        <v>259.4122885</v>
      </c>
      <c r="U367" s="92">
        <f>(SUBSTITUTE(Audio!U367, "RE-", "", 1))*1</f>
        <v>7.0260875</v>
      </c>
      <c r="V367" s="92">
        <f>(SUBSTITUTE(Audio!V367, "RE-", "", 1))*1</f>
        <v>2.791133333</v>
      </c>
      <c r="W367" s="92">
        <f>(SUBSTITUTE(Audio!W367, "RE-", "", 1))*1</f>
        <v>0</v>
      </c>
      <c r="X367" s="92">
        <f>(SUBSTITUTE(Audio!X367, "RE-", "", 1))*1</f>
        <v>0</v>
      </c>
      <c r="Y367" s="92">
        <f>(SUBSTITUTE(Audio!Y367, "RE-", "", 1))*1</f>
        <v>0</v>
      </c>
      <c r="Z367" s="92">
        <f>(SUBSTITUTE(Audio!Z367, "RE-", "", 1))*1</f>
        <v>0</v>
      </c>
      <c r="AA367" s="92"/>
      <c r="AB367" s="92"/>
      <c r="AC367" s="92"/>
      <c r="AD367" s="92"/>
      <c r="AE367" s="92"/>
      <c r="AF367" s="92"/>
      <c r="AG367" s="92"/>
      <c r="AH367" s="92"/>
      <c r="AI367" s="92"/>
      <c r="AJ367" s="92"/>
      <c r="AK367" s="92"/>
      <c r="AL367" s="92"/>
      <c r="AM367" s="92"/>
      <c r="AN367" s="92"/>
      <c r="AO367" s="92"/>
      <c r="AP367" s="92"/>
      <c r="AQ367" s="92"/>
      <c r="AR367" s="92"/>
      <c r="AS367" s="92"/>
      <c r="AT367" s="92"/>
      <c r="AU367" s="92"/>
      <c r="AV367" s="92"/>
      <c r="AW367" s="92"/>
      <c r="AX367" s="92"/>
      <c r="AY367" s="92"/>
      <c r="AZ367" s="92"/>
      <c r="BA367" s="92"/>
      <c r="BB367" s="92"/>
      <c r="BC367" s="92"/>
      <c r="BD367" s="92"/>
      <c r="BE367" s="92"/>
      <c r="BF367" s="92"/>
      <c r="BG367" s="92"/>
      <c r="BH367" s="92"/>
      <c r="BI367" s="92"/>
      <c r="BJ367" s="92"/>
      <c r="BK367" s="92"/>
      <c r="BL367" s="92"/>
      <c r="BM367" s="92"/>
      <c r="BN367" s="92"/>
      <c r="BO367" s="92"/>
      <c r="BP367" s="92"/>
      <c r="BQ367" s="92"/>
      <c r="BR367" s="92"/>
      <c r="BS367" s="92"/>
      <c r="BT367" s="92"/>
      <c r="BU367" s="92"/>
      <c r="BV367" s="92"/>
      <c r="BW367" s="92"/>
      <c r="BX367" s="92"/>
      <c r="BY367" s="92"/>
      <c r="BZ367" s="92"/>
      <c r="CA367" s="92"/>
      <c r="CB367" s="92"/>
      <c r="CC367" s="92"/>
      <c r="CD367" s="92"/>
      <c r="CE367" s="92"/>
      <c r="CF367" s="92"/>
      <c r="CG367" s="92"/>
      <c r="CH367" s="92"/>
      <c r="CI367" s="92"/>
      <c r="CJ367" s="92"/>
      <c r="CK367" s="92"/>
      <c r="CL367" s="92"/>
      <c r="CM367" s="92"/>
      <c r="CN367" s="92"/>
      <c r="CO367" s="92"/>
      <c r="CP367" s="92"/>
      <c r="CQ367" s="92"/>
      <c r="CR367" s="92"/>
      <c r="CS367" s="92"/>
      <c r="CT367" s="92"/>
      <c r="CU367" s="92"/>
      <c r="CV367" s="92"/>
      <c r="CW367" s="92"/>
      <c r="CX367" s="92"/>
      <c r="CY367" s="92"/>
      <c r="CZ367" s="92"/>
      <c r="DA367" s="92"/>
      <c r="DB367" s="92"/>
      <c r="DC367" s="92"/>
      <c r="DD367" s="92"/>
      <c r="DE367" s="92"/>
      <c r="DF367" s="92"/>
      <c r="DG367" s="92"/>
      <c r="DH367" s="92"/>
      <c r="DI367" s="92"/>
      <c r="DJ367" s="92"/>
      <c r="DK367" s="92"/>
      <c r="DL367" s="92"/>
      <c r="DM367" s="92"/>
      <c r="DN367" s="92"/>
      <c r="DO367" s="92"/>
      <c r="DP367" s="92"/>
      <c r="DQ367" s="92"/>
      <c r="DR367" s="92"/>
      <c r="DS367" s="92"/>
      <c r="DT367" s="92"/>
      <c r="DU367" s="92"/>
      <c r="DV367" s="92"/>
      <c r="DW367" s="92"/>
      <c r="DX367" s="92"/>
      <c r="DY367" s="92"/>
      <c r="DZ367" s="92"/>
      <c r="EA367" s="92"/>
      <c r="EB367" s="92"/>
      <c r="EC367" s="92"/>
      <c r="ED367" s="92"/>
      <c r="EE367" s="92"/>
      <c r="EF367" s="92"/>
      <c r="EG367" s="92"/>
      <c r="EH367" s="92"/>
      <c r="EI367" s="92"/>
      <c r="EJ367" s="92"/>
      <c r="EK367" s="92"/>
      <c r="EL367" s="92"/>
      <c r="EM367" s="92"/>
      <c r="EN367" s="92"/>
      <c r="EO367" s="92"/>
      <c r="EP367" s="92"/>
      <c r="EQ367" s="92"/>
      <c r="ER367" s="92"/>
      <c r="ES367" s="92"/>
      <c r="ET367" s="92"/>
      <c r="EU367" s="92"/>
      <c r="EV367" s="92"/>
      <c r="EW367" s="92"/>
      <c r="EX367" s="92"/>
      <c r="EY367" s="92"/>
      <c r="EZ367" s="92"/>
      <c r="FA367" s="92"/>
      <c r="FB367" s="92"/>
      <c r="FC367" s="92"/>
      <c r="FD367" s="92"/>
      <c r="FE367" s="92"/>
      <c r="FF367" s="92"/>
      <c r="FG367" s="92"/>
      <c r="FH367" s="92"/>
    </row>
    <row r="368">
      <c r="A368" s="32" t="s">
        <v>67</v>
      </c>
      <c r="B368" s="32" t="s">
        <v>68</v>
      </c>
      <c r="C368" s="32" t="s">
        <v>13</v>
      </c>
      <c r="D368" s="97">
        <f t="shared" si="1"/>
        <v>5075.57924</v>
      </c>
      <c r="E368" s="92">
        <f>(SUBSTITUTE(Audio!E368, "RE-", "", 1))*1</f>
        <v>0</v>
      </c>
      <c r="F368" s="92">
        <f>(SUBSTITUTE(Audio!F368, "RE-", "", 1))*1</f>
        <v>368.754</v>
      </c>
      <c r="G368" s="92">
        <f>(SUBSTITUTE(Audio!G368, "RE-", "", 1))*1</f>
        <v>1.16322</v>
      </c>
      <c r="H368" s="92">
        <f>(SUBSTITUTE(Audio!H368, "RE-", "", 1))*1</f>
        <v>42.5859</v>
      </c>
      <c r="I368" s="92">
        <f>(SUBSTITUTE(Audio!I368, "RE-", "", 1))*1</f>
        <v>0</v>
      </c>
      <c r="J368" s="92">
        <f>(SUBSTITUTE(Audio!J368, "RE-", "", 1))*1</f>
        <v>2438.43</v>
      </c>
      <c r="K368" s="92">
        <f>(SUBSTITUTE(Audio!K368, "RE-", "", 1))*1</f>
        <v>7.98502</v>
      </c>
      <c r="L368" s="92">
        <f>(SUBSTITUTE(Audio!L368, "RE-", "", 1))*1</f>
        <v>352.436</v>
      </c>
      <c r="M368" s="92">
        <f>(SUBSTITUTE(Audio!M368, "RE-", "", 1))*1</f>
        <v>1.86225</v>
      </c>
      <c r="N368" s="92">
        <f>(SUBSTITUTE(Audio!N368, "RE-", "", 1))*1</f>
        <v>807.352</v>
      </c>
      <c r="O368" s="92">
        <f>(SUBSTITUTE(Audio!O368, "RE-", "", 1))*1</f>
        <v>7.8175</v>
      </c>
      <c r="P368" s="92">
        <f>(SUBSTITUTE(Audio!P368, "RE-", "", 1))*1</f>
        <v>596.592</v>
      </c>
      <c r="Q368" s="92">
        <f>(SUBSTITUTE(Audio!Q368, "RE-", "", 1))*1</f>
        <v>14.3699</v>
      </c>
      <c r="R368" s="92">
        <f>(SUBSTITUTE(Audio!R368, "RE-", "", 1))*1</f>
        <v>176.449</v>
      </c>
      <c r="S368" s="92">
        <f>(SUBSTITUTE(Audio!S368, "RE-", "", 1))*1</f>
        <v>0.6616</v>
      </c>
      <c r="T368" s="92">
        <f>(SUBSTITUTE(Audio!T368, "RE-", "", 1))*1</f>
        <v>249.715</v>
      </c>
      <c r="U368" s="92">
        <f>(SUBSTITUTE(Audio!U368, "RE-", "", 1))*1</f>
        <v>6.66995</v>
      </c>
      <c r="V368" s="92">
        <f>(SUBSTITUTE(Audio!V368, "RE-", "", 1))*1</f>
        <v>2.7359</v>
      </c>
      <c r="W368" s="92">
        <f>(SUBSTITUTE(Audio!W368, "RE-", "", 1))*1</f>
        <v>0</v>
      </c>
      <c r="X368" s="92">
        <f>(SUBSTITUTE(Audio!X368, "RE-", "", 1))*1</f>
        <v>0</v>
      </c>
      <c r="Y368" s="92">
        <f>(SUBSTITUTE(Audio!Y368, "RE-", "", 1))*1</f>
        <v>0</v>
      </c>
      <c r="Z368" s="92">
        <f>(SUBSTITUTE(Audio!Z368, "RE-", "", 1))*1</f>
        <v>0</v>
      </c>
      <c r="AA368" s="92"/>
      <c r="AB368" s="92"/>
      <c r="AC368" s="92"/>
      <c r="AD368" s="92"/>
      <c r="AE368" s="92"/>
      <c r="AF368" s="92"/>
      <c r="AG368" s="92"/>
      <c r="AH368" s="92"/>
      <c r="AI368" s="92"/>
      <c r="AJ368" s="92"/>
      <c r="AK368" s="92"/>
      <c r="AL368" s="92"/>
      <c r="AM368" s="92"/>
      <c r="AN368" s="92"/>
      <c r="AO368" s="92"/>
      <c r="AP368" s="92"/>
      <c r="AQ368" s="92"/>
      <c r="AR368" s="92"/>
      <c r="AS368" s="92"/>
      <c r="AT368" s="92"/>
      <c r="AU368" s="92"/>
      <c r="AV368" s="92"/>
      <c r="AW368" s="92"/>
      <c r="AX368" s="92"/>
      <c r="AY368" s="92"/>
      <c r="AZ368" s="92"/>
      <c r="BA368" s="92"/>
      <c r="BB368" s="92"/>
      <c r="BC368" s="92"/>
      <c r="BD368" s="92"/>
      <c r="BE368" s="92"/>
      <c r="BF368" s="92"/>
      <c r="BG368" s="92"/>
      <c r="BH368" s="92"/>
      <c r="BI368" s="92"/>
      <c r="BJ368" s="92"/>
      <c r="BK368" s="92"/>
      <c r="BL368" s="92"/>
      <c r="BM368" s="92"/>
      <c r="BN368" s="92"/>
      <c r="BO368" s="92"/>
      <c r="BP368" s="92"/>
      <c r="BQ368" s="92"/>
      <c r="BR368" s="92"/>
      <c r="BS368" s="92"/>
      <c r="BT368" s="92"/>
      <c r="BU368" s="92"/>
      <c r="BV368" s="92"/>
      <c r="BW368" s="92"/>
      <c r="BX368" s="92"/>
      <c r="BY368" s="92"/>
      <c r="BZ368" s="92"/>
      <c r="CA368" s="92"/>
      <c r="CB368" s="92"/>
      <c r="CC368" s="92"/>
      <c r="CD368" s="92"/>
      <c r="CE368" s="92"/>
      <c r="CF368" s="92"/>
      <c r="CG368" s="92"/>
      <c r="CH368" s="92"/>
      <c r="CI368" s="92"/>
      <c r="CJ368" s="92"/>
      <c r="CK368" s="92"/>
      <c r="CL368" s="92"/>
      <c r="CM368" s="92"/>
      <c r="CN368" s="92"/>
      <c r="CO368" s="92"/>
      <c r="CP368" s="92"/>
      <c r="CQ368" s="92"/>
      <c r="CR368" s="92"/>
      <c r="CS368" s="92"/>
      <c r="CT368" s="92"/>
      <c r="CU368" s="92"/>
      <c r="CV368" s="92"/>
      <c r="CW368" s="92"/>
      <c r="CX368" s="92"/>
      <c r="CY368" s="92"/>
      <c r="CZ368" s="92"/>
      <c r="DA368" s="92"/>
      <c r="DB368" s="92"/>
      <c r="DC368" s="92"/>
      <c r="DD368" s="92"/>
      <c r="DE368" s="92"/>
      <c r="DF368" s="92"/>
      <c r="DG368" s="92"/>
      <c r="DH368" s="92"/>
      <c r="DI368" s="92"/>
      <c r="DJ368" s="92"/>
      <c r="DK368" s="92"/>
      <c r="DL368" s="92"/>
      <c r="DM368" s="92"/>
      <c r="DN368" s="92"/>
      <c r="DO368" s="92"/>
      <c r="DP368" s="92"/>
      <c r="DQ368" s="92"/>
      <c r="DR368" s="92"/>
      <c r="DS368" s="92"/>
      <c r="DT368" s="92"/>
      <c r="DU368" s="92"/>
      <c r="DV368" s="92"/>
      <c r="DW368" s="92"/>
      <c r="DX368" s="92"/>
      <c r="DY368" s="92"/>
      <c r="DZ368" s="92"/>
      <c r="EA368" s="92"/>
      <c r="EB368" s="92"/>
      <c r="EC368" s="92"/>
      <c r="ED368" s="92"/>
      <c r="EE368" s="92"/>
      <c r="EF368" s="92"/>
      <c r="EG368" s="92"/>
      <c r="EH368" s="92"/>
      <c r="EI368" s="92"/>
      <c r="EJ368" s="92"/>
      <c r="EK368" s="92"/>
      <c r="EL368" s="92"/>
      <c r="EM368" s="92"/>
      <c r="EN368" s="92"/>
      <c r="EO368" s="92"/>
      <c r="EP368" s="92"/>
      <c r="EQ368" s="92"/>
      <c r="ER368" s="92"/>
      <c r="ES368" s="92"/>
      <c r="ET368" s="92"/>
      <c r="EU368" s="92"/>
      <c r="EV368" s="92"/>
      <c r="EW368" s="92"/>
      <c r="EX368" s="92"/>
      <c r="EY368" s="92"/>
      <c r="EZ368" s="92"/>
      <c r="FA368" s="92"/>
      <c r="FB368" s="92"/>
      <c r="FC368" s="92"/>
      <c r="FD368" s="92"/>
      <c r="FE368" s="92"/>
      <c r="FF368" s="92"/>
      <c r="FG368" s="92"/>
      <c r="FH368" s="92"/>
    </row>
    <row r="369">
      <c r="A369" s="32" t="s">
        <v>67</v>
      </c>
      <c r="B369" s="32" t="s">
        <v>68</v>
      </c>
      <c r="C369" s="32" t="s">
        <v>14</v>
      </c>
      <c r="D369" s="97">
        <f t="shared" si="1"/>
        <v>4600.03466</v>
      </c>
      <c r="E369" s="92">
        <f>(SUBSTITUTE(Audio!E369, "RE-", "", 1))*1</f>
        <v>0</v>
      </c>
      <c r="F369" s="92">
        <f>(SUBSTITUTE(Audio!F369, "RE-", "", 1))*1</f>
        <v>334.194</v>
      </c>
      <c r="G369" s="92">
        <f>(SUBSTITUTE(Audio!G369, "RE-", "", 1))*1</f>
        <v>1.04602</v>
      </c>
      <c r="H369" s="92">
        <f>(SUBSTITUTE(Audio!H369, "RE-", "", 1))*1</f>
        <v>39.3504</v>
      </c>
      <c r="I369" s="92">
        <f>(SUBSTITUTE(Audio!I369, "RE-", "", 1))*1</f>
        <v>0</v>
      </c>
      <c r="J369" s="92">
        <f>(SUBSTITUTE(Audio!J369, "RE-", "", 1))*1</f>
        <v>2266.79</v>
      </c>
      <c r="K369" s="92">
        <f>(SUBSTITUTE(Audio!K369, "RE-", "", 1))*1</f>
        <v>7.40707</v>
      </c>
      <c r="L369" s="92">
        <f>(SUBSTITUTE(Audio!L369, "RE-", "", 1))*1</f>
        <v>308.35</v>
      </c>
      <c r="M369" s="92">
        <f>(SUBSTITUTE(Audio!M369, "RE-", "", 1))*1</f>
        <v>1.43475</v>
      </c>
      <c r="N369" s="92">
        <f>(SUBSTITUTE(Audio!N369, "RE-", "", 1))*1</f>
        <v>716.892</v>
      </c>
      <c r="O369" s="92">
        <f>(SUBSTITUTE(Audio!O369, "RE-", "", 1))*1</f>
        <v>6.91342</v>
      </c>
      <c r="P369" s="92">
        <f>(SUBSTITUTE(Audio!P369, "RE-", "", 1))*1</f>
        <v>534.28</v>
      </c>
      <c r="Q369" s="92">
        <f>(SUBSTITUTE(Audio!Q369, "RE-", "", 1))*1</f>
        <v>13.9286</v>
      </c>
      <c r="R369" s="92">
        <f>(SUBSTITUTE(Audio!R369, "RE-", "", 1))*1</f>
        <v>147.194</v>
      </c>
      <c r="S369" s="92">
        <f>(SUBSTITUTE(Audio!S369, "RE-", "", 1))*1</f>
        <v>0.6616</v>
      </c>
      <c r="T369" s="92">
        <f>(SUBSTITUTE(Audio!T369, "RE-", "", 1))*1</f>
        <v>213.144</v>
      </c>
      <c r="U369" s="92">
        <f>(SUBSTITUTE(Audio!U369, "RE-", "", 1))*1</f>
        <v>6.2588</v>
      </c>
      <c r="V369" s="92">
        <f>(SUBSTITUTE(Audio!V369, "RE-", "", 1))*1</f>
        <v>2.19</v>
      </c>
      <c r="W369" s="92">
        <f>(SUBSTITUTE(Audio!W369, "RE-", "", 1))*1</f>
        <v>0</v>
      </c>
      <c r="X369" s="92">
        <f>(SUBSTITUTE(Audio!X369, "RE-", "", 1))*1</f>
        <v>0</v>
      </c>
      <c r="Y369" s="92">
        <f>(SUBSTITUTE(Audio!Y369, "RE-", "", 1))*1</f>
        <v>0</v>
      </c>
      <c r="Z369" s="92">
        <f>(SUBSTITUTE(Audio!Z369, "RE-", "", 1))*1</f>
        <v>0</v>
      </c>
      <c r="AA369" s="92"/>
      <c r="AB369" s="92"/>
      <c r="AC369" s="92"/>
      <c r="AD369" s="92"/>
      <c r="AE369" s="92"/>
      <c r="AF369" s="92"/>
      <c r="AG369" s="92"/>
      <c r="AH369" s="92"/>
      <c r="AI369" s="92"/>
      <c r="AJ369" s="92"/>
      <c r="AK369" s="92"/>
      <c r="AL369" s="92"/>
      <c r="AM369" s="92"/>
      <c r="AN369" s="92"/>
      <c r="AO369" s="92"/>
      <c r="AP369" s="92"/>
      <c r="AQ369" s="92"/>
      <c r="AR369" s="92"/>
      <c r="AS369" s="92"/>
      <c r="AT369" s="92"/>
      <c r="AU369" s="92"/>
      <c r="AV369" s="92"/>
      <c r="AW369" s="92"/>
      <c r="AX369" s="92"/>
      <c r="AY369" s="92"/>
      <c r="AZ369" s="92"/>
      <c r="BA369" s="92"/>
      <c r="BB369" s="92"/>
      <c r="BC369" s="92"/>
      <c r="BD369" s="92"/>
      <c r="BE369" s="92"/>
      <c r="BF369" s="92"/>
      <c r="BG369" s="92"/>
      <c r="BH369" s="92"/>
      <c r="BI369" s="92"/>
      <c r="BJ369" s="92"/>
      <c r="BK369" s="92"/>
      <c r="BL369" s="92"/>
      <c r="BM369" s="92"/>
      <c r="BN369" s="92"/>
      <c r="BO369" s="92"/>
      <c r="BP369" s="92"/>
      <c r="BQ369" s="92"/>
      <c r="BR369" s="92"/>
      <c r="BS369" s="92"/>
      <c r="BT369" s="92"/>
      <c r="BU369" s="92"/>
      <c r="BV369" s="92"/>
      <c r="BW369" s="92"/>
      <c r="BX369" s="92"/>
      <c r="BY369" s="92"/>
      <c r="BZ369" s="92"/>
      <c r="CA369" s="92"/>
      <c r="CB369" s="92"/>
      <c r="CC369" s="92"/>
      <c r="CD369" s="92"/>
      <c r="CE369" s="92"/>
      <c r="CF369" s="92"/>
      <c r="CG369" s="92"/>
      <c r="CH369" s="92"/>
      <c r="CI369" s="92"/>
      <c r="CJ369" s="92"/>
      <c r="CK369" s="92"/>
      <c r="CL369" s="92"/>
      <c r="CM369" s="92"/>
      <c r="CN369" s="92"/>
      <c r="CO369" s="92"/>
      <c r="CP369" s="92"/>
      <c r="CQ369" s="92"/>
      <c r="CR369" s="92"/>
      <c r="CS369" s="92"/>
      <c r="CT369" s="92"/>
      <c r="CU369" s="92"/>
      <c r="CV369" s="92"/>
      <c r="CW369" s="92"/>
      <c r="CX369" s="92"/>
      <c r="CY369" s="92"/>
      <c r="CZ369" s="92"/>
      <c r="DA369" s="92"/>
      <c r="DB369" s="92"/>
      <c r="DC369" s="92"/>
      <c r="DD369" s="92"/>
      <c r="DE369" s="92"/>
      <c r="DF369" s="92"/>
      <c r="DG369" s="92"/>
      <c r="DH369" s="92"/>
      <c r="DI369" s="92"/>
      <c r="DJ369" s="92"/>
      <c r="DK369" s="92"/>
      <c r="DL369" s="92"/>
      <c r="DM369" s="92"/>
      <c r="DN369" s="92"/>
      <c r="DO369" s="92"/>
      <c r="DP369" s="92"/>
      <c r="DQ369" s="92"/>
      <c r="DR369" s="92"/>
      <c r="DS369" s="92"/>
      <c r="DT369" s="92"/>
      <c r="DU369" s="92"/>
      <c r="DV369" s="92"/>
      <c r="DW369" s="92"/>
      <c r="DX369" s="92"/>
      <c r="DY369" s="92"/>
      <c r="DZ369" s="92"/>
      <c r="EA369" s="92"/>
      <c r="EB369" s="92"/>
      <c r="EC369" s="92"/>
      <c r="ED369" s="92"/>
      <c r="EE369" s="92"/>
      <c r="EF369" s="92"/>
      <c r="EG369" s="92"/>
      <c r="EH369" s="92"/>
      <c r="EI369" s="92"/>
      <c r="EJ369" s="92"/>
      <c r="EK369" s="92"/>
      <c r="EL369" s="92"/>
      <c r="EM369" s="92"/>
      <c r="EN369" s="92"/>
      <c r="EO369" s="92"/>
      <c r="EP369" s="92"/>
      <c r="EQ369" s="92"/>
      <c r="ER369" s="92"/>
      <c r="ES369" s="92"/>
      <c r="ET369" s="92"/>
      <c r="EU369" s="92"/>
      <c r="EV369" s="92"/>
      <c r="EW369" s="92"/>
      <c r="EX369" s="92"/>
      <c r="EY369" s="92"/>
      <c r="EZ369" s="92"/>
      <c r="FA369" s="92"/>
      <c r="FB369" s="92"/>
      <c r="FC369" s="92"/>
      <c r="FD369" s="92"/>
      <c r="FE369" s="92"/>
      <c r="FF369" s="92"/>
      <c r="FG369" s="92"/>
      <c r="FH369" s="92"/>
    </row>
    <row r="370">
      <c r="A370" s="27" t="s">
        <v>67</v>
      </c>
      <c r="B370" s="27" t="s">
        <v>68</v>
      </c>
      <c r="C370" s="27" t="s">
        <v>15</v>
      </c>
      <c r="D370" s="98">
        <f t="shared" si="1"/>
        <v>5075.54224</v>
      </c>
      <c r="E370" s="92">
        <f>(SUBSTITUTE(Audio!E370, "RE-", "", 1))*1</f>
        <v>0</v>
      </c>
      <c r="F370" s="92">
        <f>(SUBSTITUTE(Audio!F370, "RE-", "", 1))*1</f>
        <v>368.717</v>
      </c>
      <c r="G370" s="92">
        <f>(SUBSTITUTE(Audio!G370, "RE-", "", 1))*1</f>
        <v>1.16322</v>
      </c>
      <c r="H370" s="92">
        <f>(SUBSTITUTE(Audio!H370, "RE-", "", 1))*1</f>
        <v>42.5859</v>
      </c>
      <c r="I370" s="92">
        <f>(SUBSTITUTE(Audio!I370, "RE-", "", 1))*1</f>
        <v>0</v>
      </c>
      <c r="J370" s="92">
        <f>(SUBSTITUTE(Audio!J370, "RE-", "", 1))*1</f>
        <v>2438.43</v>
      </c>
      <c r="K370" s="92">
        <f>(SUBSTITUTE(Audio!K370, "RE-", "", 1))*1</f>
        <v>7.98502</v>
      </c>
      <c r="L370" s="92">
        <f>(SUBSTITUTE(Audio!L370, "RE-", "", 1))*1</f>
        <v>352.436</v>
      </c>
      <c r="M370" s="92">
        <f>(SUBSTITUTE(Audio!M370, "RE-", "", 1))*1</f>
        <v>1.86225</v>
      </c>
      <c r="N370" s="92">
        <f>(SUBSTITUTE(Audio!N370, "RE-", "", 1))*1</f>
        <v>807.352</v>
      </c>
      <c r="O370" s="92">
        <f>(SUBSTITUTE(Audio!O370, "RE-", "", 1))*1</f>
        <v>7.8175</v>
      </c>
      <c r="P370" s="92">
        <f>(SUBSTITUTE(Audio!P370, "RE-", "", 1))*1</f>
        <v>596.592</v>
      </c>
      <c r="Q370" s="92">
        <f>(SUBSTITUTE(Audio!Q370, "RE-", "", 1))*1</f>
        <v>14.3699</v>
      </c>
      <c r="R370" s="92">
        <f>(SUBSTITUTE(Audio!R370, "RE-", "", 1))*1</f>
        <v>176.449</v>
      </c>
      <c r="S370" s="92">
        <f>(SUBSTITUTE(Audio!S370, "RE-", "", 1))*1</f>
        <v>0.6616</v>
      </c>
      <c r="T370" s="92">
        <f>(SUBSTITUTE(Audio!T370, "RE-", "", 1))*1</f>
        <v>249.715</v>
      </c>
      <c r="U370" s="92">
        <f>(SUBSTITUTE(Audio!U370, "RE-", "", 1))*1</f>
        <v>6.66995</v>
      </c>
      <c r="V370" s="92">
        <f>(SUBSTITUTE(Audio!V370, "RE-", "", 1))*1</f>
        <v>2.7359</v>
      </c>
      <c r="W370" s="92">
        <f>(SUBSTITUTE(Audio!W370, "RE-", "", 1))*1</f>
        <v>0</v>
      </c>
      <c r="X370" s="92">
        <f>(SUBSTITUTE(Audio!X370, "RE-", "", 1))*1</f>
        <v>0</v>
      </c>
      <c r="Y370" s="92">
        <f>(SUBSTITUTE(Audio!Y370, "RE-", "", 1))*1</f>
        <v>0</v>
      </c>
      <c r="Z370" s="92">
        <f>(SUBSTITUTE(Audio!Z370, "RE-", "", 1))*1</f>
        <v>0</v>
      </c>
      <c r="AA370" s="92"/>
      <c r="AB370" s="92"/>
      <c r="AC370" s="92"/>
      <c r="AD370" s="92"/>
      <c r="AE370" s="92"/>
      <c r="AF370" s="92"/>
      <c r="AG370" s="92"/>
      <c r="AH370" s="92"/>
      <c r="AI370" s="92"/>
      <c r="AJ370" s="92"/>
      <c r="AK370" s="92"/>
      <c r="AL370" s="92"/>
      <c r="AM370" s="92"/>
      <c r="AN370" s="92"/>
      <c r="AO370" s="92"/>
      <c r="AP370" s="92"/>
      <c r="AQ370" s="92"/>
      <c r="AR370" s="92"/>
      <c r="AS370" s="92"/>
      <c r="AT370" s="92"/>
      <c r="AU370" s="92"/>
      <c r="AV370" s="92"/>
      <c r="AW370" s="92"/>
      <c r="AX370" s="92"/>
      <c r="AY370" s="92"/>
      <c r="AZ370" s="92"/>
      <c r="BA370" s="92"/>
      <c r="BB370" s="92"/>
      <c r="BC370" s="92"/>
      <c r="BD370" s="92"/>
      <c r="BE370" s="92"/>
      <c r="BF370" s="92"/>
      <c r="BG370" s="92"/>
      <c r="BH370" s="92"/>
      <c r="BI370" s="92"/>
      <c r="BJ370" s="92"/>
      <c r="BK370" s="92"/>
      <c r="BL370" s="92"/>
      <c r="BM370" s="92"/>
      <c r="BN370" s="92"/>
      <c r="BO370" s="92"/>
      <c r="BP370" s="92"/>
      <c r="BQ370" s="92"/>
      <c r="BR370" s="92"/>
      <c r="BS370" s="92"/>
      <c r="BT370" s="92"/>
      <c r="BU370" s="92"/>
      <c r="BV370" s="92"/>
      <c r="BW370" s="92"/>
      <c r="BX370" s="92"/>
      <c r="BY370" s="92"/>
      <c r="BZ370" s="92"/>
      <c r="CA370" s="92"/>
      <c r="CB370" s="92"/>
      <c r="CC370" s="92"/>
      <c r="CD370" s="92"/>
      <c r="CE370" s="92"/>
      <c r="CF370" s="92"/>
      <c r="CG370" s="92"/>
      <c r="CH370" s="92"/>
      <c r="CI370" s="92"/>
      <c r="CJ370" s="92"/>
      <c r="CK370" s="92"/>
      <c r="CL370" s="92"/>
      <c r="CM370" s="92"/>
      <c r="CN370" s="92"/>
      <c r="CO370" s="92"/>
      <c r="CP370" s="92"/>
      <c r="CQ370" s="92"/>
      <c r="CR370" s="92"/>
      <c r="CS370" s="92"/>
      <c r="CT370" s="92"/>
      <c r="CU370" s="92"/>
      <c r="CV370" s="92"/>
      <c r="CW370" s="92"/>
      <c r="CX370" s="92"/>
      <c r="CY370" s="92"/>
      <c r="CZ370" s="92"/>
      <c r="DA370" s="92"/>
      <c r="DB370" s="92"/>
      <c r="DC370" s="92"/>
      <c r="DD370" s="92"/>
      <c r="DE370" s="92"/>
      <c r="DF370" s="92"/>
      <c r="DG370" s="92"/>
      <c r="DH370" s="92"/>
      <c r="DI370" s="92"/>
      <c r="DJ370" s="92"/>
      <c r="DK370" s="92"/>
      <c r="DL370" s="92"/>
      <c r="DM370" s="92"/>
      <c r="DN370" s="92"/>
      <c r="DO370" s="92"/>
      <c r="DP370" s="92"/>
      <c r="DQ370" s="92"/>
      <c r="DR370" s="92"/>
      <c r="DS370" s="92"/>
      <c r="DT370" s="92"/>
      <c r="DU370" s="92"/>
      <c r="DV370" s="92"/>
      <c r="DW370" s="92"/>
      <c r="DX370" s="92"/>
      <c r="DY370" s="92"/>
      <c r="DZ370" s="92"/>
      <c r="EA370" s="92"/>
      <c r="EB370" s="92"/>
      <c r="EC370" s="92"/>
      <c r="ED370" s="92"/>
      <c r="EE370" s="92"/>
      <c r="EF370" s="92"/>
      <c r="EG370" s="92"/>
      <c r="EH370" s="92"/>
      <c r="EI370" s="92"/>
      <c r="EJ370" s="92"/>
      <c r="EK370" s="92"/>
      <c r="EL370" s="92"/>
      <c r="EM370" s="92"/>
      <c r="EN370" s="92"/>
      <c r="EO370" s="92"/>
      <c r="EP370" s="92"/>
      <c r="EQ370" s="92"/>
      <c r="ER370" s="92"/>
      <c r="ES370" s="92"/>
      <c r="ET370" s="92"/>
      <c r="EU370" s="92"/>
      <c r="EV370" s="92"/>
      <c r="EW370" s="92"/>
      <c r="EX370" s="92"/>
      <c r="EY370" s="92"/>
      <c r="EZ370" s="92"/>
      <c r="FA370" s="92"/>
      <c r="FB370" s="92"/>
      <c r="FC370" s="92"/>
      <c r="FD370" s="92"/>
      <c r="FE370" s="92"/>
      <c r="FF370" s="92"/>
      <c r="FG370" s="92"/>
      <c r="FH370" s="92"/>
    </row>
    <row r="371">
      <c r="A371" s="30" t="s">
        <v>69</v>
      </c>
      <c r="B371" s="30" t="s">
        <v>70</v>
      </c>
      <c r="C371" s="31" t="str">
        <f>HYPERLINK("https://docs.google.com/spreadsheets/d/1mrZxelYvjyxg3kZoL16D8KcACchrYZWd/edit?usp=share_link&amp;ouid=106501987799020758802&amp;rtpof=true&amp;sd=true", "Raw Delivered")</f>
        <v>Raw Delivered</v>
      </c>
      <c r="D371" s="96">
        <f t="shared" si="1"/>
        <v>6705.415579</v>
      </c>
      <c r="E371" s="92">
        <f>(SUBSTITUTE(Audio!E371, "RE-", "", 1))*1</f>
        <v>0</v>
      </c>
      <c r="F371" s="92">
        <f>(SUBSTITUTE(Audio!F371, "RE-", "", 1))*1</f>
        <v>994.8820396</v>
      </c>
      <c r="G371" s="92">
        <f>(SUBSTITUTE(Audio!G371, "RE-", "", 1))*1</f>
        <v>0</v>
      </c>
      <c r="H371" s="92">
        <f>(SUBSTITUTE(Audio!H371, "RE-", "", 1))*1</f>
        <v>27.84498958</v>
      </c>
      <c r="I371" s="92">
        <f>(SUBSTITUTE(Audio!I371, "RE-", "", 1))*1</f>
        <v>0</v>
      </c>
      <c r="J371" s="92">
        <f>(SUBSTITUTE(Audio!J371, "RE-", "", 1))*1</f>
        <v>1233.438682</v>
      </c>
      <c r="K371" s="92">
        <f>(SUBSTITUTE(Audio!K371, "RE-", "", 1))*1</f>
        <v>0</v>
      </c>
      <c r="L371" s="92">
        <f>(SUBSTITUTE(Audio!L371, "RE-", "", 1))*1</f>
        <v>106.7771031</v>
      </c>
      <c r="M371" s="92">
        <f>(SUBSTITUTE(Audio!M371, "RE-", "", 1))*1</f>
        <v>0</v>
      </c>
      <c r="N371" s="92">
        <f>(SUBSTITUTE(Audio!N371, "RE-", "", 1))*1</f>
        <v>3502.612465</v>
      </c>
      <c r="O371" s="92">
        <f>(SUBSTITUTE(Audio!O371, "RE-", "", 1))*1</f>
        <v>0</v>
      </c>
      <c r="P371" s="92">
        <f>(SUBSTITUTE(Audio!P371, "RE-", "", 1))*1</f>
        <v>281.4856406</v>
      </c>
      <c r="Q371" s="92">
        <f>(SUBSTITUTE(Audio!Q371, "RE-", "", 1))*1</f>
        <v>0</v>
      </c>
      <c r="R371" s="92">
        <f>(SUBSTITUTE(Audio!R371, "RE-", "", 1))*1</f>
        <v>211.1177958</v>
      </c>
      <c r="S371" s="92">
        <f>(SUBSTITUTE(Audio!S371, "RE-", "", 1))*1</f>
        <v>0</v>
      </c>
      <c r="T371" s="92">
        <f>(SUBSTITUTE(Audio!T371, "RE-", "", 1))*1</f>
        <v>347.2568635</v>
      </c>
      <c r="U371" s="92">
        <f>(SUBSTITUTE(Audio!U371, "RE-", "", 1))*1</f>
        <v>0</v>
      </c>
      <c r="V371" s="92">
        <f>(SUBSTITUTE(Audio!V371, "RE-", "", 1))*1</f>
        <v>0</v>
      </c>
      <c r="W371" s="92">
        <f>(SUBSTITUTE(Audio!W371, "RE-", "", 1))*1</f>
        <v>0</v>
      </c>
      <c r="X371" s="92">
        <f>(SUBSTITUTE(Audio!X371, "RE-", "", 1))*1</f>
        <v>0</v>
      </c>
      <c r="Y371" s="92">
        <f>(SUBSTITUTE(Audio!Y371, "RE-", "", 1))*1</f>
        <v>0</v>
      </c>
      <c r="Z371" s="92">
        <f>(SUBSTITUTE(Audio!Z371, "RE-", "", 1))*1</f>
        <v>0</v>
      </c>
      <c r="AA371" s="92"/>
      <c r="AB371" s="92"/>
      <c r="AC371" s="92"/>
      <c r="AD371" s="92"/>
      <c r="AE371" s="92"/>
      <c r="AF371" s="92"/>
      <c r="AG371" s="92"/>
      <c r="AH371" s="92"/>
      <c r="AI371" s="92"/>
      <c r="AJ371" s="92"/>
      <c r="AK371" s="92"/>
      <c r="AL371" s="92"/>
      <c r="AM371" s="92"/>
      <c r="AN371" s="92"/>
      <c r="AO371" s="92"/>
      <c r="AP371" s="92"/>
      <c r="AQ371" s="92"/>
      <c r="AR371" s="92"/>
      <c r="AS371" s="92"/>
      <c r="AT371" s="92"/>
      <c r="AU371" s="92"/>
      <c r="AV371" s="92"/>
      <c r="AW371" s="92"/>
      <c r="AX371" s="92"/>
      <c r="AY371" s="92"/>
      <c r="AZ371" s="92"/>
      <c r="BA371" s="92"/>
      <c r="BB371" s="92"/>
      <c r="BC371" s="92"/>
      <c r="BD371" s="92"/>
      <c r="BE371" s="92"/>
      <c r="BF371" s="92"/>
      <c r="BG371" s="92"/>
      <c r="BH371" s="92"/>
      <c r="BI371" s="92"/>
      <c r="BJ371" s="92"/>
      <c r="BK371" s="92"/>
      <c r="BL371" s="92"/>
      <c r="BM371" s="92"/>
      <c r="BN371" s="92"/>
      <c r="BO371" s="92"/>
      <c r="BP371" s="92"/>
      <c r="BQ371" s="92"/>
      <c r="BR371" s="92"/>
      <c r="BS371" s="92"/>
      <c r="BT371" s="92"/>
      <c r="BU371" s="92"/>
      <c r="BV371" s="92"/>
      <c r="BW371" s="92"/>
      <c r="BX371" s="92"/>
      <c r="BY371" s="92"/>
      <c r="BZ371" s="92"/>
      <c r="CA371" s="92"/>
      <c r="CB371" s="92"/>
      <c r="CC371" s="92"/>
      <c r="CD371" s="92"/>
      <c r="CE371" s="92"/>
      <c r="CF371" s="92"/>
      <c r="CG371" s="92"/>
      <c r="CH371" s="92"/>
      <c r="CI371" s="92"/>
      <c r="CJ371" s="92"/>
      <c r="CK371" s="92"/>
      <c r="CL371" s="92"/>
      <c r="CM371" s="92"/>
      <c r="CN371" s="92"/>
      <c r="CO371" s="92"/>
      <c r="CP371" s="92"/>
      <c r="CQ371" s="92"/>
      <c r="CR371" s="92"/>
      <c r="CS371" s="92"/>
      <c r="CT371" s="92"/>
      <c r="CU371" s="92"/>
      <c r="CV371" s="92"/>
      <c r="CW371" s="92"/>
      <c r="CX371" s="92"/>
      <c r="CY371" s="92"/>
      <c r="CZ371" s="92"/>
      <c r="DA371" s="92"/>
      <c r="DB371" s="92"/>
      <c r="DC371" s="92"/>
      <c r="DD371" s="92"/>
      <c r="DE371" s="92"/>
      <c r="DF371" s="92"/>
      <c r="DG371" s="92"/>
      <c r="DH371" s="92"/>
      <c r="DI371" s="92"/>
      <c r="DJ371" s="92"/>
      <c r="DK371" s="92"/>
      <c r="DL371" s="92"/>
      <c r="DM371" s="92"/>
      <c r="DN371" s="92"/>
      <c r="DO371" s="92"/>
      <c r="DP371" s="92"/>
      <c r="DQ371" s="92"/>
      <c r="DR371" s="92"/>
      <c r="DS371" s="92"/>
      <c r="DT371" s="92"/>
      <c r="DU371" s="92"/>
      <c r="DV371" s="92"/>
      <c r="DW371" s="92"/>
      <c r="DX371" s="92"/>
      <c r="DY371" s="92"/>
      <c r="DZ371" s="92"/>
      <c r="EA371" s="92"/>
      <c r="EB371" s="92"/>
      <c r="EC371" s="92"/>
      <c r="ED371" s="92"/>
      <c r="EE371" s="92"/>
      <c r="EF371" s="92"/>
      <c r="EG371" s="92"/>
      <c r="EH371" s="92"/>
      <c r="EI371" s="92"/>
      <c r="EJ371" s="92"/>
      <c r="EK371" s="92"/>
      <c r="EL371" s="92"/>
      <c r="EM371" s="92"/>
      <c r="EN371" s="92"/>
      <c r="EO371" s="92"/>
      <c r="EP371" s="92"/>
      <c r="EQ371" s="92"/>
      <c r="ER371" s="92"/>
      <c r="ES371" s="92"/>
      <c r="ET371" s="92"/>
      <c r="EU371" s="92"/>
      <c r="EV371" s="92"/>
      <c r="EW371" s="92"/>
      <c r="EX371" s="92"/>
      <c r="EY371" s="92"/>
      <c r="EZ371" s="92"/>
      <c r="FA371" s="92"/>
      <c r="FB371" s="92"/>
      <c r="FC371" s="92"/>
      <c r="FD371" s="92"/>
      <c r="FE371" s="92"/>
      <c r="FF371" s="92"/>
      <c r="FG371" s="92"/>
      <c r="FH371" s="92"/>
    </row>
    <row r="372">
      <c r="A372" s="32" t="s">
        <v>69</v>
      </c>
      <c r="B372" s="32" t="s">
        <v>70</v>
      </c>
      <c r="C372" s="32" t="s">
        <v>9</v>
      </c>
      <c r="D372" s="97">
        <f t="shared" si="1"/>
        <v>6705.415579</v>
      </c>
      <c r="E372" s="92">
        <f>(SUBSTITUTE(Audio!E372, "RE-", "", 1))*1</f>
        <v>0</v>
      </c>
      <c r="F372" s="92">
        <f>(SUBSTITUTE(Audio!F372, "RE-", "", 1))*1</f>
        <v>994.8820396</v>
      </c>
      <c r="G372" s="92">
        <f>(SUBSTITUTE(Audio!G372, "RE-", "", 1))*1</f>
        <v>0</v>
      </c>
      <c r="H372" s="92">
        <f>(SUBSTITUTE(Audio!H372, "RE-", "", 1))*1</f>
        <v>27.84498958</v>
      </c>
      <c r="I372" s="92">
        <f>(SUBSTITUTE(Audio!I372, "RE-", "", 1))*1</f>
        <v>0</v>
      </c>
      <c r="J372" s="92">
        <f>(SUBSTITUTE(Audio!J372, "RE-", "", 1))*1</f>
        <v>1233.438682</v>
      </c>
      <c r="K372" s="92">
        <f>(SUBSTITUTE(Audio!K372, "RE-", "", 1))*1</f>
        <v>0</v>
      </c>
      <c r="L372" s="92">
        <f>(SUBSTITUTE(Audio!L372, "RE-", "", 1))*1</f>
        <v>106.7771031</v>
      </c>
      <c r="M372" s="92">
        <f>(SUBSTITUTE(Audio!M372, "RE-", "", 1))*1</f>
        <v>0</v>
      </c>
      <c r="N372" s="92">
        <f>(SUBSTITUTE(Audio!N372, "RE-", "", 1))*1</f>
        <v>3502.612465</v>
      </c>
      <c r="O372" s="92">
        <f>(SUBSTITUTE(Audio!O372, "RE-", "", 1))*1</f>
        <v>0</v>
      </c>
      <c r="P372" s="92">
        <f>(SUBSTITUTE(Audio!P372, "RE-", "", 1))*1</f>
        <v>281.4856406</v>
      </c>
      <c r="Q372" s="92">
        <f>(SUBSTITUTE(Audio!Q372, "RE-", "", 1))*1</f>
        <v>0</v>
      </c>
      <c r="R372" s="92">
        <f>(SUBSTITUTE(Audio!R372, "RE-", "", 1))*1</f>
        <v>211.1177958</v>
      </c>
      <c r="S372" s="92">
        <f>(SUBSTITUTE(Audio!S372, "RE-", "", 1))*1</f>
        <v>0</v>
      </c>
      <c r="T372" s="92">
        <f>(SUBSTITUTE(Audio!T372, "RE-", "", 1))*1</f>
        <v>347.2568635</v>
      </c>
      <c r="U372" s="92">
        <f>(SUBSTITUTE(Audio!U372, "RE-", "", 1))*1</f>
        <v>0</v>
      </c>
      <c r="V372" s="92">
        <f>(SUBSTITUTE(Audio!V372, "RE-", "", 1))*1</f>
        <v>0</v>
      </c>
      <c r="W372" s="92">
        <f>(SUBSTITUTE(Audio!W372, "RE-", "", 1))*1</f>
        <v>0</v>
      </c>
      <c r="X372" s="92">
        <f>(SUBSTITUTE(Audio!X372, "RE-", "", 1))*1</f>
        <v>0</v>
      </c>
      <c r="Y372" s="92">
        <f>(SUBSTITUTE(Audio!Y372, "RE-", "", 1))*1</f>
        <v>0</v>
      </c>
      <c r="Z372" s="92">
        <f>(SUBSTITUTE(Audio!Z372, "RE-", "", 1))*1</f>
        <v>0</v>
      </c>
      <c r="AA372" s="92"/>
      <c r="AB372" s="92"/>
      <c r="AC372" s="92"/>
      <c r="AD372" s="92"/>
      <c r="AE372" s="92"/>
      <c r="AF372" s="92"/>
      <c r="AG372" s="92"/>
      <c r="AH372" s="92"/>
      <c r="AI372" s="92"/>
      <c r="AJ372" s="92"/>
      <c r="AK372" s="92"/>
      <c r="AL372" s="92"/>
      <c r="AM372" s="92"/>
      <c r="AN372" s="92"/>
      <c r="AO372" s="92"/>
      <c r="AP372" s="92"/>
      <c r="AQ372" s="92"/>
      <c r="AR372" s="92"/>
      <c r="AS372" s="92"/>
      <c r="AT372" s="92"/>
      <c r="AU372" s="92"/>
      <c r="AV372" s="92"/>
      <c r="AW372" s="92"/>
      <c r="AX372" s="92"/>
      <c r="AY372" s="92"/>
      <c r="AZ372" s="92"/>
      <c r="BA372" s="92"/>
      <c r="BB372" s="92"/>
      <c r="BC372" s="92"/>
      <c r="BD372" s="92"/>
      <c r="BE372" s="92"/>
      <c r="BF372" s="92"/>
      <c r="BG372" s="92"/>
      <c r="BH372" s="92"/>
      <c r="BI372" s="92"/>
      <c r="BJ372" s="92"/>
      <c r="BK372" s="92"/>
      <c r="BL372" s="92"/>
      <c r="BM372" s="92"/>
      <c r="BN372" s="92"/>
      <c r="BO372" s="92"/>
      <c r="BP372" s="92"/>
      <c r="BQ372" s="92"/>
      <c r="BR372" s="92"/>
      <c r="BS372" s="92"/>
      <c r="BT372" s="92"/>
      <c r="BU372" s="92"/>
      <c r="BV372" s="92"/>
      <c r="BW372" s="92"/>
      <c r="BX372" s="92"/>
      <c r="BY372" s="92"/>
      <c r="BZ372" s="92"/>
      <c r="CA372" s="92"/>
      <c r="CB372" s="92"/>
      <c r="CC372" s="92"/>
      <c r="CD372" s="92"/>
      <c r="CE372" s="92"/>
      <c r="CF372" s="92"/>
      <c r="CG372" s="92"/>
      <c r="CH372" s="92"/>
      <c r="CI372" s="92"/>
      <c r="CJ372" s="92"/>
      <c r="CK372" s="92"/>
      <c r="CL372" s="92"/>
      <c r="CM372" s="92"/>
      <c r="CN372" s="92"/>
      <c r="CO372" s="92"/>
      <c r="CP372" s="92"/>
      <c r="CQ372" s="92"/>
      <c r="CR372" s="92"/>
      <c r="CS372" s="92"/>
      <c r="CT372" s="92"/>
      <c r="CU372" s="92"/>
      <c r="CV372" s="92"/>
      <c r="CW372" s="92"/>
      <c r="CX372" s="92"/>
      <c r="CY372" s="92"/>
      <c r="CZ372" s="92"/>
      <c r="DA372" s="92"/>
      <c r="DB372" s="92"/>
      <c r="DC372" s="92"/>
      <c r="DD372" s="92"/>
      <c r="DE372" s="92"/>
      <c r="DF372" s="92"/>
      <c r="DG372" s="92"/>
      <c r="DH372" s="92"/>
      <c r="DI372" s="92"/>
      <c r="DJ372" s="92"/>
      <c r="DK372" s="92"/>
      <c r="DL372" s="92"/>
      <c r="DM372" s="92"/>
      <c r="DN372" s="92"/>
      <c r="DO372" s="92"/>
      <c r="DP372" s="92"/>
      <c r="DQ372" s="92"/>
      <c r="DR372" s="92"/>
      <c r="DS372" s="92"/>
      <c r="DT372" s="92"/>
      <c r="DU372" s="92"/>
      <c r="DV372" s="92"/>
      <c r="DW372" s="92"/>
      <c r="DX372" s="92"/>
      <c r="DY372" s="92"/>
      <c r="DZ372" s="92"/>
      <c r="EA372" s="92"/>
      <c r="EB372" s="92"/>
      <c r="EC372" s="92"/>
      <c r="ED372" s="92"/>
      <c r="EE372" s="92"/>
      <c r="EF372" s="92"/>
      <c r="EG372" s="92"/>
      <c r="EH372" s="92"/>
      <c r="EI372" s="92"/>
      <c r="EJ372" s="92"/>
      <c r="EK372" s="92"/>
      <c r="EL372" s="92"/>
      <c r="EM372" s="92"/>
      <c r="EN372" s="92"/>
      <c r="EO372" s="92"/>
      <c r="EP372" s="92"/>
      <c r="EQ372" s="92"/>
      <c r="ER372" s="92"/>
      <c r="ES372" s="92"/>
      <c r="ET372" s="92"/>
      <c r="EU372" s="92"/>
      <c r="EV372" s="92"/>
      <c r="EW372" s="92"/>
      <c r="EX372" s="92"/>
      <c r="EY372" s="92"/>
      <c r="EZ372" s="92"/>
      <c r="FA372" s="92"/>
      <c r="FB372" s="92"/>
      <c r="FC372" s="92"/>
      <c r="FD372" s="92"/>
      <c r="FE372" s="92"/>
      <c r="FF372" s="92"/>
      <c r="FG372" s="92"/>
      <c r="FH372" s="92"/>
    </row>
    <row r="373">
      <c r="A373" s="32" t="s">
        <v>69</v>
      </c>
      <c r="B373" s="32" t="s">
        <v>70</v>
      </c>
      <c r="C373" s="32" t="s">
        <v>10</v>
      </c>
      <c r="D373" s="97">
        <f t="shared" si="1"/>
        <v>1127.394831</v>
      </c>
      <c r="E373" s="92">
        <f>(SUBSTITUTE(Audio!E373, "RE-", "", 1))*1</f>
        <v>0</v>
      </c>
      <c r="F373" s="92">
        <f>(SUBSTITUTE(Audio!F373, "RE-", "", 1))*1</f>
        <v>0</v>
      </c>
      <c r="G373" s="92">
        <f>(SUBSTITUTE(Audio!G373, "RE-", "", 1))*1</f>
        <v>120.7026354</v>
      </c>
      <c r="H373" s="92">
        <f>(SUBSTITUTE(Audio!H373, "RE-", "", 1))*1</f>
        <v>0</v>
      </c>
      <c r="I373" s="92">
        <f>(SUBSTITUTE(Audio!I373, "RE-", "", 1))*1</f>
        <v>6.663014583</v>
      </c>
      <c r="J373" s="92">
        <f>(SUBSTITUTE(Audio!J373, "RE-", "", 1))*1</f>
        <v>0</v>
      </c>
      <c r="K373" s="92">
        <f>(SUBSTITUTE(Audio!K373, "RE-", "", 1))*1</f>
        <v>151.4620635</v>
      </c>
      <c r="L373" s="92">
        <f>(SUBSTITUTE(Audio!L373, "RE-", "", 1))*1</f>
        <v>0</v>
      </c>
      <c r="M373" s="92">
        <f>(SUBSTITUTE(Audio!M373, "RE-", "", 1))*1</f>
        <v>29.15313333</v>
      </c>
      <c r="N373" s="92">
        <f>(SUBSTITUTE(Audio!N373, "RE-", "", 1))*1</f>
        <v>0</v>
      </c>
      <c r="O373" s="92">
        <f>(SUBSTITUTE(Audio!O373, "RE-", "", 1))*1</f>
        <v>550.2371708</v>
      </c>
      <c r="P373" s="92">
        <f>(SUBSTITUTE(Audio!P373, "RE-", "", 1))*1</f>
        <v>0</v>
      </c>
      <c r="Q373" s="92">
        <f>(SUBSTITUTE(Audio!Q373, "RE-", "", 1))*1</f>
        <v>122.4151708</v>
      </c>
      <c r="R373" s="92">
        <f>(SUBSTITUTE(Audio!R373, "RE-", "", 1))*1</f>
        <v>0</v>
      </c>
      <c r="S373" s="92">
        <f>(SUBSTITUTE(Audio!S373, "RE-", "", 1))*1</f>
        <v>45.47514792</v>
      </c>
      <c r="T373" s="92">
        <f>(SUBSTITUTE(Audio!T373, "RE-", "", 1))*1</f>
        <v>0</v>
      </c>
      <c r="U373" s="92">
        <f>(SUBSTITUTE(Audio!U373, "RE-", "", 1))*1</f>
        <v>85.79753646</v>
      </c>
      <c r="V373" s="92">
        <f>(SUBSTITUTE(Audio!V373, "RE-", "", 1))*1</f>
        <v>15.48895833</v>
      </c>
      <c r="W373" s="92">
        <f>(SUBSTITUTE(Audio!W373, "RE-", "", 1))*1</f>
        <v>0</v>
      </c>
      <c r="X373" s="92">
        <f>(SUBSTITUTE(Audio!X373, "RE-", "", 1))*1</f>
        <v>0</v>
      </c>
      <c r="Y373" s="92">
        <f>(SUBSTITUTE(Audio!Y373, "RE-", "", 1))*1</f>
        <v>0</v>
      </c>
      <c r="Z373" s="92">
        <f>(SUBSTITUTE(Audio!Z373, "RE-", "", 1))*1</f>
        <v>0</v>
      </c>
      <c r="AA373" s="92"/>
      <c r="AB373" s="92"/>
      <c r="AC373" s="92"/>
      <c r="AD373" s="92"/>
      <c r="AE373" s="92"/>
      <c r="AF373" s="92"/>
      <c r="AG373" s="92"/>
      <c r="AH373" s="92"/>
      <c r="AI373" s="92"/>
      <c r="AJ373" s="92"/>
      <c r="AK373" s="92"/>
      <c r="AL373" s="92"/>
      <c r="AM373" s="92"/>
      <c r="AN373" s="92"/>
      <c r="AO373" s="92"/>
      <c r="AP373" s="92"/>
      <c r="AQ373" s="92"/>
      <c r="AR373" s="92"/>
      <c r="AS373" s="92"/>
      <c r="AT373" s="92"/>
      <c r="AU373" s="92"/>
      <c r="AV373" s="92"/>
      <c r="AW373" s="92"/>
      <c r="AX373" s="92"/>
      <c r="AY373" s="92"/>
      <c r="AZ373" s="92"/>
      <c r="BA373" s="92"/>
      <c r="BB373" s="92"/>
      <c r="BC373" s="92"/>
      <c r="BD373" s="92"/>
      <c r="BE373" s="92"/>
      <c r="BF373" s="92"/>
      <c r="BG373" s="92"/>
      <c r="BH373" s="92"/>
      <c r="BI373" s="92"/>
      <c r="BJ373" s="92"/>
      <c r="BK373" s="92"/>
      <c r="BL373" s="92"/>
      <c r="BM373" s="92"/>
      <c r="BN373" s="92"/>
      <c r="BO373" s="92"/>
      <c r="BP373" s="92"/>
      <c r="BQ373" s="92"/>
      <c r="BR373" s="92"/>
      <c r="BS373" s="92"/>
      <c r="BT373" s="92"/>
      <c r="BU373" s="92"/>
      <c r="BV373" s="92"/>
      <c r="BW373" s="92"/>
      <c r="BX373" s="92"/>
      <c r="BY373" s="92"/>
      <c r="BZ373" s="92"/>
      <c r="CA373" s="92"/>
      <c r="CB373" s="92"/>
      <c r="CC373" s="92"/>
      <c r="CD373" s="92"/>
      <c r="CE373" s="92"/>
      <c r="CF373" s="92"/>
      <c r="CG373" s="92"/>
      <c r="CH373" s="92"/>
      <c r="CI373" s="92"/>
      <c r="CJ373" s="92"/>
      <c r="CK373" s="92"/>
      <c r="CL373" s="92"/>
      <c r="CM373" s="92"/>
      <c r="CN373" s="92"/>
      <c r="CO373" s="92"/>
      <c r="CP373" s="92"/>
      <c r="CQ373" s="92"/>
      <c r="CR373" s="92"/>
      <c r="CS373" s="92"/>
      <c r="CT373" s="92"/>
      <c r="CU373" s="92"/>
      <c r="CV373" s="92"/>
      <c r="CW373" s="92"/>
      <c r="CX373" s="92"/>
      <c r="CY373" s="92"/>
      <c r="CZ373" s="92"/>
      <c r="DA373" s="92"/>
      <c r="DB373" s="92"/>
      <c r="DC373" s="92"/>
      <c r="DD373" s="92"/>
      <c r="DE373" s="92"/>
      <c r="DF373" s="92"/>
      <c r="DG373" s="92"/>
      <c r="DH373" s="92"/>
      <c r="DI373" s="92"/>
      <c r="DJ373" s="92"/>
      <c r="DK373" s="92"/>
      <c r="DL373" s="92"/>
      <c r="DM373" s="92"/>
      <c r="DN373" s="92"/>
      <c r="DO373" s="92"/>
      <c r="DP373" s="92"/>
      <c r="DQ373" s="92"/>
      <c r="DR373" s="92"/>
      <c r="DS373" s="92"/>
      <c r="DT373" s="92"/>
      <c r="DU373" s="92"/>
      <c r="DV373" s="92"/>
      <c r="DW373" s="92"/>
      <c r="DX373" s="92"/>
      <c r="DY373" s="92"/>
      <c r="DZ373" s="92"/>
      <c r="EA373" s="92"/>
      <c r="EB373" s="92"/>
      <c r="EC373" s="92"/>
      <c r="ED373" s="92"/>
      <c r="EE373" s="92"/>
      <c r="EF373" s="92"/>
      <c r="EG373" s="92"/>
      <c r="EH373" s="92"/>
      <c r="EI373" s="92"/>
      <c r="EJ373" s="92"/>
      <c r="EK373" s="92"/>
      <c r="EL373" s="92"/>
      <c r="EM373" s="92"/>
      <c r="EN373" s="92"/>
      <c r="EO373" s="92"/>
      <c r="EP373" s="92"/>
      <c r="EQ373" s="92"/>
      <c r="ER373" s="92"/>
      <c r="ES373" s="92"/>
      <c r="ET373" s="92"/>
      <c r="EU373" s="92"/>
      <c r="EV373" s="92"/>
      <c r="EW373" s="92"/>
      <c r="EX373" s="92"/>
      <c r="EY373" s="92"/>
      <c r="EZ373" s="92"/>
      <c r="FA373" s="92"/>
      <c r="FB373" s="92"/>
      <c r="FC373" s="92"/>
      <c r="FD373" s="92"/>
      <c r="FE373" s="92"/>
      <c r="FF373" s="92"/>
      <c r="FG373" s="92"/>
      <c r="FH373" s="92"/>
    </row>
    <row r="374">
      <c r="A374" s="32" t="s">
        <v>69</v>
      </c>
      <c r="B374" s="32" t="s">
        <v>70</v>
      </c>
      <c r="C374" s="32" t="s">
        <v>11</v>
      </c>
      <c r="D374" s="97">
        <f t="shared" si="1"/>
        <v>1127.394831</v>
      </c>
      <c r="E374" s="92">
        <f>(SUBSTITUTE(Audio!E374, "RE-", "", 1))*1</f>
        <v>0</v>
      </c>
      <c r="F374" s="92">
        <f>(SUBSTITUTE(Audio!F374, "RE-", "", 1))*1</f>
        <v>0</v>
      </c>
      <c r="G374" s="92">
        <f>(SUBSTITUTE(Audio!G374, "RE-", "", 1))*1</f>
        <v>120.7026354</v>
      </c>
      <c r="H374" s="92">
        <f>(SUBSTITUTE(Audio!H374, "RE-", "", 1))*1</f>
        <v>0</v>
      </c>
      <c r="I374" s="92">
        <f>(SUBSTITUTE(Audio!I374, "RE-", "", 1))*1</f>
        <v>6.663014583</v>
      </c>
      <c r="J374" s="92">
        <f>(SUBSTITUTE(Audio!J374, "RE-", "", 1))*1</f>
        <v>0</v>
      </c>
      <c r="K374" s="92">
        <f>(SUBSTITUTE(Audio!K374, "RE-", "", 1))*1</f>
        <v>151.4620635</v>
      </c>
      <c r="L374" s="92">
        <f>(SUBSTITUTE(Audio!L374, "RE-", "", 1))*1</f>
        <v>0</v>
      </c>
      <c r="M374" s="92">
        <f>(SUBSTITUTE(Audio!M374, "RE-", "", 1))*1</f>
        <v>29.15313333</v>
      </c>
      <c r="N374" s="92">
        <f>(SUBSTITUTE(Audio!N374, "RE-", "", 1))*1</f>
        <v>0</v>
      </c>
      <c r="O374" s="92">
        <f>(SUBSTITUTE(Audio!O374, "RE-", "", 1))*1</f>
        <v>550.2371708</v>
      </c>
      <c r="P374" s="92">
        <f>(SUBSTITUTE(Audio!P374, "RE-", "", 1))*1</f>
        <v>0</v>
      </c>
      <c r="Q374" s="92">
        <f>(SUBSTITUTE(Audio!Q374, "RE-", "", 1))*1</f>
        <v>122.4151708</v>
      </c>
      <c r="R374" s="92">
        <f>(SUBSTITUTE(Audio!R374, "RE-", "", 1))*1</f>
        <v>0</v>
      </c>
      <c r="S374" s="92">
        <f>(SUBSTITUTE(Audio!S374, "RE-", "", 1))*1</f>
        <v>45.47514792</v>
      </c>
      <c r="T374" s="92">
        <f>(SUBSTITUTE(Audio!T374, "RE-", "", 1))*1</f>
        <v>0</v>
      </c>
      <c r="U374" s="92">
        <f>(SUBSTITUTE(Audio!U374, "RE-", "", 1))*1</f>
        <v>85.79753646</v>
      </c>
      <c r="V374" s="92">
        <f>(SUBSTITUTE(Audio!V374, "RE-", "", 1))*1</f>
        <v>15.48895833</v>
      </c>
      <c r="W374" s="92">
        <f>(SUBSTITUTE(Audio!W374, "RE-", "", 1))*1</f>
        <v>0</v>
      </c>
      <c r="X374" s="92">
        <f>(SUBSTITUTE(Audio!X374, "RE-", "", 1))*1</f>
        <v>0</v>
      </c>
      <c r="Y374" s="92">
        <f>(SUBSTITUTE(Audio!Y374, "RE-", "", 1))*1</f>
        <v>0</v>
      </c>
      <c r="Z374" s="92">
        <f>(SUBSTITUTE(Audio!Z374, "RE-", "", 1))*1</f>
        <v>0</v>
      </c>
      <c r="AA374" s="92"/>
      <c r="AB374" s="92"/>
      <c r="AC374" s="92"/>
      <c r="AD374" s="92"/>
      <c r="AE374" s="92"/>
      <c r="AF374" s="92"/>
      <c r="AG374" s="92"/>
      <c r="AH374" s="92"/>
      <c r="AI374" s="92"/>
      <c r="AJ374" s="92"/>
      <c r="AK374" s="92"/>
      <c r="AL374" s="92"/>
      <c r="AM374" s="92"/>
      <c r="AN374" s="92"/>
      <c r="AO374" s="92"/>
      <c r="AP374" s="92"/>
      <c r="AQ374" s="92"/>
      <c r="AR374" s="92"/>
      <c r="AS374" s="92"/>
      <c r="AT374" s="92"/>
      <c r="AU374" s="92"/>
      <c r="AV374" s="92"/>
      <c r="AW374" s="92"/>
      <c r="AX374" s="92"/>
      <c r="AY374" s="92"/>
      <c r="AZ374" s="92"/>
      <c r="BA374" s="92"/>
      <c r="BB374" s="92"/>
      <c r="BC374" s="92"/>
      <c r="BD374" s="92"/>
      <c r="BE374" s="92"/>
      <c r="BF374" s="92"/>
      <c r="BG374" s="92"/>
      <c r="BH374" s="92"/>
      <c r="BI374" s="92"/>
      <c r="BJ374" s="92"/>
      <c r="BK374" s="92"/>
      <c r="BL374" s="92"/>
      <c r="BM374" s="92"/>
      <c r="BN374" s="92"/>
      <c r="BO374" s="92"/>
      <c r="BP374" s="92"/>
      <c r="BQ374" s="92"/>
      <c r="BR374" s="92"/>
      <c r="BS374" s="92"/>
      <c r="BT374" s="92"/>
      <c r="BU374" s="92"/>
      <c r="BV374" s="92"/>
      <c r="BW374" s="92"/>
      <c r="BX374" s="92"/>
      <c r="BY374" s="92"/>
      <c r="BZ374" s="92"/>
      <c r="CA374" s="92"/>
      <c r="CB374" s="92"/>
      <c r="CC374" s="92"/>
      <c r="CD374" s="92"/>
      <c r="CE374" s="92"/>
      <c r="CF374" s="92"/>
      <c r="CG374" s="92"/>
      <c r="CH374" s="92"/>
      <c r="CI374" s="92"/>
      <c r="CJ374" s="92"/>
      <c r="CK374" s="92"/>
      <c r="CL374" s="92"/>
      <c r="CM374" s="92"/>
      <c r="CN374" s="92"/>
      <c r="CO374" s="92"/>
      <c r="CP374" s="92"/>
      <c r="CQ374" s="92"/>
      <c r="CR374" s="92"/>
      <c r="CS374" s="92"/>
      <c r="CT374" s="92"/>
      <c r="CU374" s="92"/>
      <c r="CV374" s="92"/>
      <c r="CW374" s="92"/>
      <c r="CX374" s="92"/>
      <c r="CY374" s="92"/>
      <c r="CZ374" s="92"/>
      <c r="DA374" s="92"/>
      <c r="DB374" s="92"/>
      <c r="DC374" s="92"/>
      <c r="DD374" s="92"/>
      <c r="DE374" s="92"/>
      <c r="DF374" s="92"/>
      <c r="DG374" s="92"/>
      <c r="DH374" s="92"/>
      <c r="DI374" s="92"/>
      <c r="DJ374" s="92"/>
      <c r="DK374" s="92"/>
      <c r="DL374" s="92"/>
      <c r="DM374" s="92"/>
      <c r="DN374" s="92"/>
      <c r="DO374" s="92"/>
      <c r="DP374" s="92"/>
      <c r="DQ374" s="92"/>
      <c r="DR374" s="92"/>
      <c r="DS374" s="92"/>
      <c r="DT374" s="92"/>
      <c r="DU374" s="92"/>
      <c r="DV374" s="92"/>
      <c r="DW374" s="92"/>
      <c r="DX374" s="92"/>
      <c r="DY374" s="92"/>
      <c r="DZ374" s="92"/>
      <c r="EA374" s="92"/>
      <c r="EB374" s="92"/>
      <c r="EC374" s="92"/>
      <c r="ED374" s="92"/>
      <c r="EE374" s="92"/>
      <c r="EF374" s="92"/>
      <c r="EG374" s="92"/>
      <c r="EH374" s="92"/>
      <c r="EI374" s="92"/>
      <c r="EJ374" s="92"/>
      <c r="EK374" s="92"/>
      <c r="EL374" s="92"/>
      <c r="EM374" s="92"/>
      <c r="EN374" s="92"/>
      <c r="EO374" s="92"/>
      <c r="EP374" s="92"/>
      <c r="EQ374" s="92"/>
      <c r="ER374" s="92"/>
      <c r="ES374" s="92"/>
      <c r="ET374" s="92"/>
      <c r="EU374" s="92"/>
      <c r="EV374" s="92"/>
      <c r="EW374" s="92"/>
      <c r="EX374" s="92"/>
      <c r="EY374" s="92"/>
      <c r="EZ374" s="92"/>
      <c r="FA374" s="92"/>
      <c r="FB374" s="92"/>
      <c r="FC374" s="92"/>
      <c r="FD374" s="92"/>
      <c r="FE374" s="92"/>
      <c r="FF374" s="92"/>
      <c r="FG374" s="92"/>
      <c r="FH374" s="92"/>
    </row>
    <row r="375">
      <c r="A375" s="32" t="s">
        <v>69</v>
      </c>
      <c r="B375" s="32" t="s">
        <v>70</v>
      </c>
      <c r="C375" s="32" t="s">
        <v>12</v>
      </c>
      <c r="D375" s="97">
        <f t="shared" si="1"/>
        <v>5303.110505</v>
      </c>
      <c r="E375" s="92">
        <f>(SUBSTITUTE(Audio!E375, "RE-", "", 1))*1</f>
        <v>0</v>
      </c>
      <c r="F375" s="92">
        <f>(SUBSTITUTE(Audio!F375, "RE-", "", 1))*1</f>
        <v>748.0681427</v>
      </c>
      <c r="G375" s="92">
        <f>(SUBSTITUTE(Audio!G375, "RE-", "", 1))*1</f>
        <v>4.6506125</v>
      </c>
      <c r="H375" s="92">
        <f>(SUBSTITUTE(Audio!H375, "RE-", "", 1))*1</f>
        <v>26.04545417</v>
      </c>
      <c r="I375" s="92">
        <f>(SUBSTITUTE(Audio!I375, "RE-", "", 1))*1</f>
        <v>0</v>
      </c>
      <c r="J375" s="92">
        <f>(SUBSTITUTE(Audio!J375, "RE-", "", 1))*1</f>
        <v>958.6066792</v>
      </c>
      <c r="K375" s="92">
        <f>(SUBSTITUTE(Audio!K375, "RE-", "", 1))*1</f>
        <v>7.16756875</v>
      </c>
      <c r="L375" s="92">
        <f>(SUBSTITUTE(Audio!L375, "RE-", "", 1))*1</f>
        <v>89.18212708</v>
      </c>
      <c r="M375" s="92">
        <f>(SUBSTITUTE(Audio!M375, "RE-", "", 1))*1</f>
        <v>9.187502083</v>
      </c>
      <c r="N375" s="92">
        <f>(SUBSTITUTE(Audio!N375, "RE-", "", 1))*1</f>
        <v>2516.441849</v>
      </c>
      <c r="O375" s="92">
        <f>(SUBSTITUTE(Audio!O375, "RE-", "", 1))*1</f>
        <v>62.67164062</v>
      </c>
      <c r="P375" s="92">
        <f>(SUBSTITUTE(Audio!P375, "RE-", "", 1))*1</f>
        <v>249.8668719</v>
      </c>
      <c r="Q375" s="92">
        <f>(SUBSTITUTE(Audio!Q375, "RE-", "", 1))*1</f>
        <v>42.28545833</v>
      </c>
      <c r="R375" s="92">
        <f>(SUBSTITUTE(Audio!R375, "RE-", "", 1))*1</f>
        <v>194.2114302</v>
      </c>
      <c r="S375" s="92">
        <f>(SUBSTITUTE(Audio!S375, "RE-", "", 1))*1</f>
        <v>24.10020417</v>
      </c>
      <c r="T375" s="92">
        <f>(SUBSTITUTE(Audio!T375, "RE-", "", 1))*1</f>
        <v>310.6628198</v>
      </c>
      <c r="U375" s="92">
        <f>(SUBSTITUTE(Audio!U375, "RE-", "", 1))*1</f>
        <v>46.68790938</v>
      </c>
      <c r="V375" s="92">
        <f>(SUBSTITUTE(Audio!V375, "RE-", "", 1))*1</f>
        <v>13.27423542</v>
      </c>
      <c r="W375" s="92">
        <f>(SUBSTITUTE(Audio!W375, "RE-", "", 1))*1</f>
        <v>0</v>
      </c>
      <c r="X375" s="92">
        <f>(SUBSTITUTE(Audio!X375, "RE-", "", 1))*1</f>
        <v>0</v>
      </c>
      <c r="Y375" s="92">
        <f>(SUBSTITUTE(Audio!Y375, "RE-", "", 1))*1</f>
        <v>0</v>
      </c>
      <c r="Z375" s="92">
        <f>(SUBSTITUTE(Audio!Z375, "RE-", "", 1))*1</f>
        <v>0</v>
      </c>
      <c r="AA375" s="92"/>
      <c r="AB375" s="92"/>
      <c r="AC375" s="92"/>
      <c r="AD375" s="92"/>
      <c r="AE375" s="92"/>
      <c r="AF375" s="92"/>
      <c r="AG375" s="92"/>
      <c r="AH375" s="92"/>
      <c r="AI375" s="92"/>
      <c r="AJ375" s="92"/>
      <c r="AK375" s="92"/>
      <c r="AL375" s="92"/>
      <c r="AM375" s="92"/>
      <c r="AN375" s="92"/>
      <c r="AO375" s="92"/>
      <c r="AP375" s="92"/>
      <c r="AQ375" s="92"/>
      <c r="AR375" s="92"/>
      <c r="AS375" s="92"/>
      <c r="AT375" s="92"/>
      <c r="AU375" s="92"/>
      <c r="AV375" s="92"/>
      <c r="AW375" s="92"/>
      <c r="AX375" s="92"/>
      <c r="AY375" s="92"/>
      <c r="AZ375" s="92"/>
      <c r="BA375" s="92"/>
      <c r="BB375" s="92"/>
      <c r="BC375" s="92"/>
      <c r="BD375" s="92"/>
      <c r="BE375" s="92"/>
      <c r="BF375" s="92"/>
      <c r="BG375" s="92"/>
      <c r="BH375" s="92"/>
      <c r="BI375" s="92"/>
      <c r="BJ375" s="92"/>
      <c r="BK375" s="92"/>
      <c r="BL375" s="92"/>
      <c r="BM375" s="92"/>
      <c r="BN375" s="92"/>
      <c r="BO375" s="92"/>
      <c r="BP375" s="92"/>
      <c r="BQ375" s="92"/>
      <c r="BR375" s="92"/>
      <c r="BS375" s="92"/>
      <c r="BT375" s="92"/>
      <c r="BU375" s="92"/>
      <c r="BV375" s="92"/>
      <c r="BW375" s="92"/>
      <c r="BX375" s="92"/>
      <c r="BY375" s="92"/>
      <c r="BZ375" s="92"/>
      <c r="CA375" s="92"/>
      <c r="CB375" s="92"/>
      <c r="CC375" s="92"/>
      <c r="CD375" s="92"/>
      <c r="CE375" s="92"/>
      <c r="CF375" s="92"/>
      <c r="CG375" s="92"/>
      <c r="CH375" s="92"/>
      <c r="CI375" s="92"/>
      <c r="CJ375" s="92"/>
      <c r="CK375" s="92"/>
      <c r="CL375" s="92"/>
      <c r="CM375" s="92"/>
      <c r="CN375" s="92"/>
      <c r="CO375" s="92"/>
      <c r="CP375" s="92"/>
      <c r="CQ375" s="92"/>
      <c r="CR375" s="92"/>
      <c r="CS375" s="92"/>
      <c r="CT375" s="92"/>
      <c r="CU375" s="92"/>
      <c r="CV375" s="92"/>
      <c r="CW375" s="92"/>
      <c r="CX375" s="92"/>
      <c r="CY375" s="92"/>
      <c r="CZ375" s="92"/>
      <c r="DA375" s="92"/>
      <c r="DB375" s="92"/>
      <c r="DC375" s="92"/>
      <c r="DD375" s="92"/>
      <c r="DE375" s="92"/>
      <c r="DF375" s="92"/>
      <c r="DG375" s="92"/>
      <c r="DH375" s="92"/>
      <c r="DI375" s="92"/>
      <c r="DJ375" s="92"/>
      <c r="DK375" s="92"/>
      <c r="DL375" s="92"/>
      <c r="DM375" s="92"/>
      <c r="DN375" s="92"/>
      <c r="DO375" s="92"/>
      <c r="DP375" s="92"/>
      <c r="DQ375" s="92"/>
      <c r="DR375" s="92"/>
      <c r="DS375" s="92"/>
      <c r="DT375" s="92"/>
      <c r="DU375" s="92"/>
      <c r="DV375" s="92"/>
      <c r="DW375" s="92"/>
      <c r="DX375" s="92"/>
      <c r="DY375" s="92"/>
      <c r="DZ375" s="92"/>
      <c r="EA375" s="92"/>
      <c r="EB375" s="92"/>
      <c r="EC375" s="92"/>
      <c r="ED375" s="92"/>
      <c r="EE375" s="92"/>
      <c r="EF375" s="92"/>
      <c r="EG375" s="92"/>
      <c r="EH375" s="92"/>
      <c r="EI375" s="92"/>
      <c r="EJ375" s="92"/>
      <c r="EK375" s="92"/>
      <c r="EL375" s="92"/>
      <c r="EM375" s="92"/>
      <c r="EN375" s="92"/>
      <c r="EO375" s="92"/>
      <c r="EP375" s="92"/>
      <c r="EQ375" s="92"/>
      <c r="ER375" s="92"/>
      <c r="ES375" s="92"/>
      <c r="ET375" s="92"/>
      <c r="EU375" s="92"/>
      <c r="EV375" s="92"/>
      <c r="EW375" s="92"/>
      <c r="EX375" s="92"/>
      <c r="EY375" s="92"/>
      <c r="EZ375" s="92"/>
      <c r="FA375" s="92"/>
      <c r="FB375" s="92"/>
      <c r="FC375" s="92"/>
      <c r="FD375" s="92"/>
      <c r="FE375" s="92"/>
      <c r="FF375" s="92"/>
      <c r="FG375" s="92"/>
      <c r="FH375" s="92"/>
    </row>
    <row r="376">
      <c r="A376" s="32" t="s">
        <v>69</v>
      </c>
      <c r="B376" s="32" t="s">
        <v>70</v>
      </c>
      <c r="C376" s="32" t="s">
        <v>13</v>
      </c>
      <c r="D376" s="97">
        <f t="shared" si="1"/>
        <v>5087.99128</v>
      </c>
      <c r="E376" s="92">
        <f>(SUBSTITUTE(Audio!E376, "RE-", "", 1))*1</f>
        <v>0</v>
      </c>
      <c r="F376" s="92">
        <f>(SUBSTITUTE(Audio!F376, "RE-", "", 1))*1</f>
        <v>717.944</v>
      </c>
      <c r="G376" s="92">
        <f>(SUBSTITUTE(Audio!G376, "RE-", "", 1))*1</f>
        <v>4.36872</v>
      </c>
      <c r="H376" s="92">
        <f>(SUBSTITUTE(Audio!H376, "RE-", "", 1))*1</f>
        <v>25.6744</v>
      </c>
      <c r="I376" s="92">
        <f>(SUBSTITUTE(Audio!I376, "RE-", "", 1))*1</f>
        <v>0</v>
      </c>
      <c r="J376" s="92">
        <f>(SUBSTITUTE(Audio!J376, "RE-", "", 1))*1</f>
        <v>903.83</v>
      </c>
      <c r="K376" s="92">
        <f>(SUBSTITUTE(Audio!K376, "RE-", "", 1))*1</f>
        <v>6.67873</v>
      </c>
      <c r="L376" s="92">
        <f>(SUBSTITUTE(Audio!L376, "RE-", "", 1))*1</f>
        <v>84.5093</v>
      </c>
      <c r="M376" s="92">
        <f>(SUBSTITUTE(Audio!M376, "RE-", "", 1))*1</f>
        <v>8.76163</v>
      </c>
      <c r="N376" s="92">
        <f>(SUBSTITUTE(Audio!N376, "RE-", "", 1))*1</f>
        <v>2434.24</v>
      </c>
      <c r="O376" s="92">
        <f>(SUBSTITUTE(Audio!O376, "RE-", "", 1))*1</f>
        <v>58.8463</v>
      </c>
      <c r="P376" s="92">
        <f>(SUBSTITUTE(Audio!P376, "RE-", "", 1))*1</f>
        <v>238.375</v>
      </c>
      <c r="Q376" s="92">
        <f>(SUBSTITUTE(Audio!Q376, "RE-", "", 1))*1</f>
        <v>39.9826</v>
      </c>
      <c r="R376" s="92">
        <f>(SUBSTITUTE(Audio!R376, "RE-", "", 1))*1</f>
        <v>186.975</v>
      </c>
      <c r="S376" s="92">
        <f>(SUBSTITUTE(Audio!S376, "RE-", "", 1))*1</f>
        <v>21.9624</v>
      </c>
      <c r="T376" s="92">
        <f>(SUBSTITUTE(Audio!T376, "RE-", "", 1))*1</f>
        <v>299.103</v>
      </c>
      <c r="U376" s="92">
        <f>(SUBSTITUTE(Audio!U376, "RE-", "", 1))*1</f>
        <v>44.0018</v>
      </c>
      <c r="V376" s="92">
        <f>(SUBSTITUTE(Audio!V376, "RE-", "", 1))*1</f>
        <v>12.7384</v>
      </c>
      <c r="W376" s="92">
        <f>(SUBSTITUTE(Audio!W376, "RE-", "", 1))*1</f>
        <v>0</v>
      </c>
      <c r="X376" s="92">
        <f>(SUBSTITUTE(Audio!X376, "RE-", "", 1))*1</f>
        <v>0</v>
      </c>
      <c r="Y376" s="92">
        <f>(SUBSTITUTE(Audio!Y376, "RE-", "", 1))*1</f>
        <v>0</v>
      </c>
      <c r="Z376" s="92">
        <f>(SUBSTITUTE(Audio!Z376, "RE-", "", 1))*1</f>
        <v>0</v>
      </c>
      <c r="AA376" s="92"/>
      <c r="AB376" s="92"/>
      <c r="AC376" s="92"/>
      <c r="AD376" s="92"/>
      <c r="AE376" s="92"/>
      <c r="AF376" s="92"/>
      <c r="AG376" s="92"/>
      <c r="AH376" s="92"/>
      <c r="AI376" s="92"/>
      <c r="AJ376" s="92"/>
      <c r="AK376" s="92"/>
      <c r="AL376" s="92"/>
      <c r="AM376" s="92"/>
      <c r="AN376" s="92"/>
      <c r="AO376" s="92"/>
      <c r="AP376" s="92"/>
      <c r="AQ376" s="92"/>
      <c r="AR376" s="92"/>
      <c r="AS376" s="92"/>
      <c r="AT376" s="92"/>
      <c r="AU376" s="92"/>
      <c r="AV376" s="92"/>
      <c r="AW376" s="92"/>
      <c r="AX376" s="92"/>
      <c r="AY376" s="92"/>
      <c r="AZ376" s="92"/>
      <c r="BA376" s="92"/>
      <c r="BB376" s="92"/>
      <c r="BC376" s="92"/>
      <c r="BD376" s="92"/>
      <c r="BE376" s="92"/>
      <c r="BF376" s="92"/>
      <c r="BG376" s="92"/>
      <c r="BH376" s="92"/>
      <c r="BI376" s="92"/>
      <c r="BJ376" s="92"/>
      <c r="BK376" s="92"/>
      <c r="BL376" s="92"/>
      <c r="BM376" s="92"/>
      <c r="BN376" s="92"/>
      <c r="BO376" s="92"/>
      <c r="BP376" s="92"/>
      <c r="BQ376" s="92"/>
      <c r="BR376" s="92"/>
      <c r="BS376" s="92"/>
      <c r="BT376" s="92"/>
      <c r="BU376" s="92"/>
      <c r="BV376" s="92"/>
      <c r="BW376" s="92"/>
      <c r="BX376" s="92"/>
      <c r="BY376" s="92"/>
      <c r="BZ376" s="92"/>
      <c r="CA376" s="92"/>
      <c r="CB376" s="92"/>
      <c r="CC376" s="92"/>
      <c r="CD376" s="92"/>
      <c r="CE376" s="92"/>
      <c r="CF376" s="92"/>
      <c r="CG376" s="92"/>
      <c r="CH376" s="92"/>
      <c r="CI376" s="92"/>
      <c r="CJ376" s="92"/>
      <c r="CK376" s="92"/>
      <c r="CL376" s="92"/>
      <c r="CM376" s="92"/>
      <c r="CN376" s="92"/>
      <c r="CO376" s="92"/>
      <c r="CP376" s="92"/>
      <c r="CQ376" s="92"/>
      <c r="CR376" s="92"/>
      <c r="CS376" s="92"/>
      <c r="CT376" s="92"/>
      <c r="CU376" s="92"/>
      <c r="CV376" s="92"/>
      <c r="CW376" s="92"/>
      <c r="CX376" s="92"/>
      <c r="CY376" s="92"/>
      <c r="CZ376" s="92"/>
      <c r="DA376" s="92"/>
      <c r="DB376" s="92"/>
      <c r="DC376" s="92"/>
      <c r="DD376" s="92"/>
      <c r="DE376" s="92"/>
      <c r="DF376" s="92"/>
      <c r="DG376" s="92"/>
      <c r="DH376" s="92"/>
      <c r="DI376" s="92"/>
      <c r="DJ376" s="92"/>
      <c r="DK376" s="92"/>
      <c r="DL376" s="92"/>
      <c r="DM376" s="92"/>
      <c r="DN376" s="92"/>
      <c r="DO376" s="92"/>
      <c r="DP376" s="92"/>
      <c r="DQ376" s="92"/>
      <c r="DR376" s="92"/>
      <c r="DS376" s="92"/>
      <c r="DT376" s="92"/>
      <c r="DU376" s="92"/>
      <c r="DV376" s="92"/>
      <c r="DW376" s="92"/>
      <c r="DX376" s="92"/>
      <c r="DY376" s="92"/>
      <c r="DZ376" s="92"/>
      <c r="EA376" s="92"/>
      <c r="EB376" s="92"/>
      <c r="EC376" s="92"/>
      <c r="ED376" s="92"/>
      <c r="EE376" s="92"/>
      <c r="EF376" s="92"/>
      <c r="EG376" s="92"/>
      <c r="EH376" s="92"/>
      <c r="EI376" s="92"/>
      <c r="EJ376" s="92"/>
      <c r="EK376" s="92"/>
      <c r="EL376" s="92"/>
      <c r="EM376" s="92"/>
      <c r="EN376" s="92"/>
      <c r="EO376" s="92"/>
      <c r="EP376" s="92"/>
      <c r="EQ376" s="92"/>
      <c r="ER376" s="92"/>
      <c r="ES376" s="92"/>
      <c r="ET376" s="92"/>
      <c r="EU376" s="92"/>
      <c r="EV376" s="92"/>
      <c r="EW376" s="92"/>
      <c r="EX376" s="92"/>
      <c r="EY376" s="92"/>
      <c r="EZ376" s="92"/>
      <c r="FA376" s="92"/>
      <c r="FB376" s="92"/>
      <c r="FC376" s="92"/>
      <c r="FD376" s="92"/>
      <c r="FE376" s="92"/>
      <c r="FF376" s="92"/>
      <c r="FG376" s="92"/>
      <c r="FH376" s="92"/>
    </row>
    <row r="377">
      <c r="A377" s="32" t="s">
        <v>69</v>
      </c>
      <c r="B377" s="32" t="s">
        <v>70</v>
      </c>
      <c r="C377" s="32" t="s">
        <v>14</v>
      </c>
      <c r="D377" s="97">
        <f t="shared" si="1"/>
        <v>4553.46939</v>
      </c>
      <c r="E377" s="92">
        <f>(SUBSTITUTE(Audio!E377, "RE-", "", 1))*1</f>
        <v>0</v>
      </c>
      <c r="F377" s="92">
        <f>(SUBSTITUTE(Audio!F377, "RE-", "", 1))*1</f>
        <v>652.992</v>
      </c>
      <c r="G377" s="92">
        <f>(SUBSTITUTE(Audio!G377, "RE-", "", 1))*1</f>
        <v>4.36872</v>
      </c>
      <c r="H377" s="92">
        <f>(SUBSTITUTE(Audio!H377, "RE-", "", 1))*1</f>
        <v>23.5477</v>
      </c>
      <c r="I377" s="92">
        <f>(SUBSTITUTE(Audio!I377, "RE-", "", 1))*1</f>
        <v>0</v>
      </c>
      <c r="J377" s="92">
        <f>(SUBSTITUTE(Audio!J377, "RE-", "", 1))*1</f>
        <v>834.033</v>
      </c>
      <c r="K377" s="92">
        <f>(SUBSTITUTE(Audio!K377, "RE-", "", 1))*1</f>
        <v>6.02555</v>
      </c>
      <c r="L377" s="92">
        <f>(SUBSTITUTE(Audio!L377, "RE-", "", 1))*1</f>
        <v>72.2562</v>
      </c>
      <c r="M377" s="92">
        <f>(SUBSTITUTE(Audio!M377, "RE-", "", 1))*1</f>
        <v>7.57992</v>
      </c>
      <c r="N377" s="92">
        <f>(SUBSTITUTE(Audio!N377, "RE-", "", 1))*1</f>
        <v>2184.46</v>
      </c>
      <c r="O377" s="92">
        <f>(SUBSTITUTE(Audio!O377, "RE-", "", 1))*1</f>
        <v>49.3332</v>
      </c>
      <c r="P377" s="92">
        <f>(SUBSTITUTE(Audio!P377, "RE-", "", 1))*1</f>
        <v>208.235</v>
      </c>
      <c r="Q377" s="92">
        <f>(SUBSTITUTE(Audio!Q377, "RE-", "", 1))*1</f>
        <v>35.1726</v>
      </c>
      <c r="R377" s="92">
        <f>(SUBSTITUTE(Audio!R377, "RE-", "", 1))*1</f>
        <v>156.051</v>
      </c>
      <c r="S377" s="92">
        <f>(SUBSTITUTE(Audio!S377, "RE-", "", 1))*1</f>
        <v>18.424</v>
      </c>
      <c r="T377" s="92">
        <f>(SUBSTITUTE(Audio!T377, "RE-", "", 1))*1</f>
        <v>253.393</v>
      </c>
      <c r="U377" s="92">
        <f>(SUBSTITUTE(Audio!U377, "RE-", "", 1))*1</f>
        <v>36.3369</v>
      </c>
      <c r="V377" s="92">
        <f>(SUBSTITUTE(Audio!V377, "RE-", "", 1))*1</f>
        <v>11.2606</v>
      </c>
      <c r="W377" s="92">
        <f>(SUBSTITUTE(Audio!W377, "RE-", "", 1))*1</f>
        <v>0</v>
      </c>
      <c r="X377" s="92">
        <f>(SUBSTITUTE(Audio!X377, "RE-", "", 1))*1</f>
        <v>0</v>
      </c>
      <c r="Y377" s="92">
        <f>(SUBSTITUTE(Audio!Y377, "RE-", "", 1))*1</f>
        <v>0</v>
      </c>
      <c r="Z377" s="92">
        <f>(SUBSTITUTE(Audio!Z377, "RE-", "", 1))*1</f>
        <v>0</v>
      </c>
      <c r="AA377" s="92"/>
      <c r="AB377" s="92"/>
      <c r="AC377" s="92"/>
      <c r="AD377" s="92"/>
      <c r="AE377" s="92"/>
      <c r="AF377" s="92"/>
      <c r="AG377" s="92"/>
      <c r="AH377" s="92"/>
      <c r="AI377" s="92"/>
      <c r="AJ377" s="92"/>
      <c r="AK377" s="92"/>
      <c r="AL377" s="92"/>
      <c r="AM377" s="92"/>
      <c r="AN377" s="92"/>
      <c r="AO377" s="92"/>
      <c r="AP377" s="92"/>
      <c r="AQ377" s="92"/>
      <c r="AR377" s="92"/>
      <c r="AS377" s="92"/>
      <c r="AT377" s="92"/>
      <c r="AU377" s="92"/>
      <c r="AV377" s="92"/>
      <c r="AW377" s="92"/>
      <c r="AX377" s="92"/>
      <c r="AY377" s="92"/>
      <c r="AZ377" s="92"/>
      <c r="BA377" s="92"/>
      <c r="BB377" s="92"/>
      <c r="BC377" s="92"/>
      <c r="BD377" s="92"/>
      <c r="BE377" s="92"/>
      <c r="BF377" s="92"/>
      <c r="BG377" s="92"/>
      <c r="BH377" s="92"/>
      <c r="BI377" s="92"/>
      <c r="BJ377" s="92"/>
      <c r="BK377" s="92"/>
      <c r="BL377" s="92"/>
      <c r="BM377" s="92"/>
      <c r="BN377" s="92"/>
      <c r="BO377" s="92"/>
      <c r="BP377" s="92"/>
      <c r="BQ377" s="92"/>
      <c r="BR377" s="92"/>
      <c r="BS377" s="92"/>
      <c r="BT377" s="92"/>
      <c r="BU377" s="92"/>
      <c r="BV377" s="92"/>
      <c r="BW377" s="92"/>
      <c r="BX377" s="92"/>
      <c r="BY377" s="92"/>
      <c r="BZ377" s="92"/>
      <c r="CA377" s="92"/>
      <c r="CB377" s="92"/>
      <c r="CC377" s="92"/>
      <c r="CD377" s="92"/>
      <c r="CE377" s="92"/>
      <c r="CF377" s="92"/>
      <c r="CG377" s="92"/>
      <c r="CH377" s="92"/>
      <c r="CI377" s="92"/>
      <c r="CJ377" s="92"/>
      <c r="CK377" s="92"/>
      <c r="CL377" s="92"/>
      <c r="CM377" s="92"/>
      <c r="CN377" s="92"/>
      <c r="CO377" s="92"/>
      <c r="CP377" s="92"/>
      <c r="CQ377" s="92"/>
      <c r="CR377" s="92"/>
      <c r="CS377" s="92"/>
      <c r="CT377" s="92"/>
      <c r="CU377" s="92"/>
      <c r="CV377" s="92"/>
      <c r="CW377" s="92"/>
      <c r="CX377" s="92"/>
      <c r="CY377" s="92"/>
      <c r="CZ377" s="92"/>
      <c r="DA377" s="92"/>
      <c r="DB377" s="92"/>
      <c r="DC377" s="92"/>
      <c r="DD377" s="92"/>
      <c r="DE377" s="92"/>
      <c r="DF377" s="92"/>
      <c r="DG377" s="92"/>
      <c r="DH377" s="92"/>
      <c r="DI377" s="92"/>
      <c r="DJ377" s="92"/>
      <c r="DK377" s="92"/>
      <c r="DL377" s="92"/>
      <c r="DM377" s="92"/>
      <c r="DN377" s="92"/>
      <c r="DO377" s="92"/>
      <c r="DP377" s="92"/>
      <c r="DQ377" s="92"/>
      <c r="DR377" s="92"/>
      <c r="DS377" s="92"/>
      <c r="DT377" s="92"/>
      <c r="DU377" s="92"/>
      <c r="DV377" s="92"/>
      <c r="DW377" s="92"/>
      <c r="DX377" s="92"/>
      <c r="DY377" s="92"/>
      <c r="DZ377" s="92"/>
      <c r="EA377" s="92"/>
      <c r="EB377" s="92"/>
      <c r="EC377" s="92"/>
      <c r="ED377" s="92"/>
      <c r="EE377" s="92"/>
      <c r="EF377" s="92"/>
      <c r="EG377" s="92"/>
      <c r="EH377" s="92"/>
      <c r="EI377" s="92"/>
      <c r="EJ377" s="92"/>
      <c r="EK377" s="92"/>
      <c r="EL377" s="92"/>
      <c r="EM377" s="92"/>
      <c r="EN377" s="92"/>
      <c r="EO377" s="92"/>
      <c r="EP377" s="92"/>
      <c r="EQ377" s="92"/>
      <c r="ER377" s="92"/>
      <c r="ES377" s="92"/>
      <c r="ET377" s="92"/>
      <c r="EU377" s="92"/>
      <c r="EV377" s="92"/>
      <c r="EW377" s="92"/>
      <c r="EX377" s="92"/>
      <c r="EY377" s="92"/>
      <c r="EZ377" s="92"/>
      <c r="FA377" s="92"/>
      <c r="FB377" s="92"/>
      <c r="FC377" s="92"/>
      <c r="FD377" s="92"/>
      <c r="FE377" s="92"/>
      <c r="FF377" s="92"/>
      <c r="FG377" s="92"/>
      <c r="FH377" s="92"/>
    </row>
    <row r="378">
      <c r="A378" s="27" t="s">
        <v>69</v>
      </c>
      <c r="B378" s="27" t="s">
        <v>70</v>
      </c>
      <c r="C378" s="27" t="s">
        <v>15</v>
      </c>
      <c r="D378" s="98">
        <f t="shared" si="1"/>
        <v>5087.97428</v>
      </c>
      <c r="E378" s="92">
        <f>(SUBSTITUTE(Audio!E378, "RE-", "", 1))*1</f>
        <v>0</v>
      </c>
      <c r="F378" s="92">
        <f>(SUBSTITUTE(Audio!F378, "RE-", "", 1))*1</f>
        <v>717.927</v>
      </c>
      <c r="G378" s="92">
        <f>(SUBSTITUTE(Audio!G378, "RE-", "", 1))*1</f>
        <v>4.36872</v>
      </c>
      <c r="H378" s="92">
        <f>(SUBSTITUTE(Audio!H378, "RE-", "", 1))*1</f>
        <v>25.6744</v>
      </c>
      <c r="I378" s="92">
        <f>(SUBSTITUTE(Audio!I378, "RE-", "", 1))*1</f>
        <v>0</v>
      </c>
      <c r="J378" s="92">
        <f>(SUBSTITUTE(Audio!J378, "RE-", "", 1))*1</f>
        <v>903.83</v>
      </c>
      <c r="K378" s="92">
        <f>(SUBSTITUTE(Audio!K378, "RE-", "", 1))*1</f>
        <v>6.67873</v>
      </c>
      <c r="L378" s="92">
        <f>(SUBSTITUTE(Audio!L378, "RE-", "", 1))*1</f>
        <v>84.5093</v>
      </c>
      <c r="M378" s="92">
        <f>(SUBSTITUTE(Audio!M378, "RE-", "", 1))*1</f>
        <v>8.76163</v>
      </c>
      <c r="N378" s="92">
        <f>(SUBSTITUTE(Audio!N378, "RE-", "", 1))*1</f>
        <v>2434.24</v>
      </c>
      <c r="O378" s="92">
        <f>(SUBSTITUTE(Audio!O378, "RE-", "", 1))*1</f>
        <v>58.8463</v>
      </c>
      <c r="P378" s="92">
        <f>(SUBSTITUTE(Audio!P378, "RE-", "", 1))*1</f>
        <v>238.375</v>
      </c>
      <c r="Q378" s="92">
        <f>(SUBSTITUTE(Audio!Q378, "RE-", "", 1))*1</f>
        <v>39.9826</v>
      </c>
      <c r="R378" s="92">
        <f>(SUBSTITUTE(Audio!R378, "RE-", "", 1))*1</f>
        <v>186.975</v>
      </c>
      <c r="S378" s="92">
        <f>(SUBSTITUTE(Audio!S378, "RE-", "", 1))*1</f>
        <v>21.9624</v>
      </c>
      <c r="T378" s="92">
        <f>(SUBSTITUTE(Audio!T378, "RE-", "", 1))*1</f>
        <v>299.103</v>
      </c>
      <c r="U378" s="92">
        <f>(SUBSTITUTE(Audio!U378, "RE-", "", 1))*1</f>
        <v>44.0018</v>
      </c>
      <c r="V378" s="92">
        <f>(SUBSTITUTE(Audio!V378, "RE-", "", 1))*1</f>
        <v>12.7384</v>
      </c>
      <c r="W378" s="92">
        <f>(SUBSTITUTE(Audio!W378, "RE-", "", 1))*1</f>
        <v>0</v>
      </c>
      <c r="X378" s="92">
        <f>(SUBSTITUTE(Audio!X378, "RE-", "", 1))*1</f>
        <v>0</v>
      </c>
      <c r="Y378" s="92">
        <f>(SUBSTITUTE(Audio!Y378, "RE-", "", 1))*1</f>
        <v>0</v>
      </c>
      <c r="Z378" s="92">
        <f>(SUBSTITUTE(Audio!Z378, "RE-", "", 1))*1</f>
        <v>0</v>
      </c>
      <c r="AA378" s="92"/>
      <c r="AB378" s="92"/>
      <c r="AC378" s="92"/>
      <c r="AD378" s="92"/>
      <c r="AE378" s="92"/>
      <c r="AF378" s="92"/>
      <c r="AG378" s="92"/>
      <c r="AH378" s="92"/>
      <c r="AI378" s="92"/>
      <c r="AJ378" s="92"/>
      <c r="AK378" s="92"/>
      <c r="AL378" s="92"/>
      <c r="AM378" s="92"/>
      <c r="AN378" s="92"/>
      <c r="AO378" s="92"/>
      <c r="AP378" s="92"/>
      <c r="AQ378" s="92"/>
      <c r="AR378" s="92"/>
      <c r="AS378" s="92"/>
      <c r="AT378" s="92"/>
      <c r="AU378" s="92"/>
      <c r="AV378" s="92"/>
      <c r="AW378" s="92"/>
      <c r="AX378" s="92"/>
      <c r="AY378" s="92"/>
      <c r="AZ378" s="92"/>
      <c r="BA378" s="92"/>
      <c r="BB378" s="92"/>
      <c r="BC378" s="92"/>
      <c r="BD378" s="92"/>
      <c r="BE378" s="92"/>
      <c r="BF378" s="92"/>
      <c r="BG378" s="92"/>
      <c r="BH378" s="92"/>
      <c r="BI378" s="92"/>
      <c r="BJ378" s="92"/>
      <c r="BK378" s="92"/>
      <c r="BL378" s="92"/>
      <c r="BM378" s="92"/>
      <c r="BN378" s="92"/>
      <c r="BO378" s="92"/>
      <c r="BP378" s="92"/>
      <c r="BQ378" s="92"/>
      <c r="BR378" s="92"/>
      <c r="BS378" s="92"/>
      <c r="BT378" s="92"/>
      <c r="BU378" s="92"/>
      <c r="BV378" s="92"/>
      <c r="BW378" s="92"/>
      <c r="BX378" s="92"/>
      <c r="BY378" s="92"/>
      <c r="BZ378" s="92"/>
      <c r="CA378" s="92"/>
      <c r="CB378" s="92"/>
      <c r="CC378" s="92"/>
      <c r="CD378" s="92"/>
      <c r="CE378" s="92"/>
      <c r="CF378" s="92"/>
      <c r="CG378" s="92"/>
      <c r="CH378" s="92"/>
      <c r="CI378" s="92"/>
      <c r="CJ378" s="92"/>
      <c r="CK378" s="92"/>
      <c r="CL378" s="92"/>
      <c r="CM378" s="92"/>
      <c r="CN378" s="92"/>
      <c r="CO378" s="92"/>
      <c r="CP378" s="92"/>
      <c r="CQ378" s="92"/>
      <c r="CR378" s="92"/>
      <c r="CS378" s="92"/>
      <c r="CT378" s="92"/>
      <c r="CU378" s="92"/>
      <c r="CV378" s="92"/>
      <c r="CW378" s="92"/>
      <c r="CX378" s="92"/>
      <c r="CY378" s="92"/>
      <c r="CZ378" s="92"/>
      <c r="DA378" s="92"/>
      <c r="DB378" s="92"/>
      <c r="DC378" s="92"/>
      <c r="DD378" s="92"/>
      <c r="DE378" s="92"/>
      <c r="DF378" s="92"/>
      <c r="DG378" s="92"/>
      <c r="DH378" s="92"/>
      <c r="DI378" s="92"/>
      <c r="DJ378" s="92"/>
      <c r="DK378" s="92"/>
      <c r="DL378" s="92"/>
      <c r="DM378" s="92"/>
      <c r="DN378" s="92"/>
      <c r="DO378" s="92"/>
      <c r="DP378" s="92"/>
      <c r="DQ378" s="92"/>
      <c r="DR378" s="92"/>
      <c r="DS378" s="92"/>
      <c r="DT378" s="92"/>
      <c r="DU378" s="92"/>
      <c r="DV378" s="92"/>
      <c r="DW378" s="92"/>
      <c r="DX378" s="92"/>
      <c r="DY378" s="92"/>
      <c r="DZ378" s="92"/>
      <c r="EA378" s="92"/>
      <c r="EB378" s="92"/>
      <c r="EC378" s="92"/>
      <c r="ED378" s="92"/>
      <c r="EE378" s="92"/>
      <c r="EF378" s="92"/>
      <c r="EG378" s="92"/>
      <c r="EH378" s="92"/>
      <c r="EI378" s="92"/>
      <c r="EJ378" s="92"/>
      <c r="EK378" s="92"/>
      <c r="EL378" s="92"/>
      <c r="EM378" s="92"/>
      <c r="EN378" s="92"/>
      <c r="EO378" s="92"/>
      <c r="EP378" s="92"/>
      <c r="EQ378" s="92"/>
      <c r="ER378" s="92"/>
      <c r="ES378" s="92"/>
      <c r="ET378" s="92"/>
      <c r="EU378" s="92"/>
      <c r="EV378" s="92"/>
      <c r="EW378" s="92"/>
      <c r="EX378" s="92"/>
      <c r="EY378" s="92"/>
      <c r="EZ378" s="92"/>
      <c r="FA378" s="92"/>
      <c r="FB378" s="92"/>
      <c r="FC378" s="92"/>
      <c r="FD378" s="92"/>
      <c r="FE378" s="92"/>
      <c r="FF378" s="92"/>
      <c r="FG378" s="92"/>
      <c r="FH378" s="92"/>
    </row>
    <row r="379">
      <c r="A379" s="30" t="s">
        <v>69</v>
      </c>
      <c r="B379" s="30" t="s">
        <v>71</v>
      </c>
      <c r="C379" s="31" t="str">
        <f>HYPERLINK("https://docs.google.com/spreadsheets/d/1YGtor32YHE9p1k358NazsrTDlo8o0vr4/edit?usp=share_link&amp;ouid=118279477453217743021&amp;rtpof=true&amp;sd=true", "Raw Delivered")</f>
        <v>Raw Delivered</v>
      </c>
      <c r="D379" s="96">
        <f t="shared" si="1"/>
        <v>5903.958335</v>
      </c>
      <c r="E379" s="92">
        <f>(SUBSTITUTE(Audio!E379, "RE-", "", 1))*1</f>
        <v>0</v>
      </c>
      <c r="F379" s="92">
        <f>(SUBSTITUTE(Audio!F379, "RE-", "", 1))*1</f>
        <v>951.9855042</v>
      </c>
      <c r="G379" s="92">
        <f>(SUBSTITUTE(Audio!G379, "RE-", "", 1))*1</f>
        <v>0</v>
      </c>
      <c r="H379" s="92">
        <f>(SUBSTITUTE(Audio!H379, "RE-", "", 1))*1</f>
        <v>99.56625208</v>
      </c>
      <c r="I379" s="92">
        <f>(SUBSTITUTE(Audio!I379, "RE-", "", 1))*1</f>
        <v>0</v>
      </c>
      <c r="J379" s="92">
        <f>(SUBSTITUTE(Audio!J379, "RE-", "", 1))*1</f>
        <v>1006.87242</v>
      </c>
      <c r="K379" s="92">
        <f>(SUBSTITUTE(Audio!K379, "RE-", "", 1))*1</f>
        <v>0</v>
      </c>
      <c r="L379" s="92">
        <f>(SUBSTITUTE(Audio!L379, "RE-", "", 1))*1</f>
        <v>86.1762875</v>
      </c>
      <c r="M379" s="92">
        <f>(SUBSTITUTE(Audio!M379, "RE-", "", 1))*1</f>
        <v>0</v>
      </c>
      <c r="N379" s="92">
        <f>(SUBSTITUTE(Audio!N379, "RE-", "", 1))*1</f>
        <v>3171.204038</v>
      </c>
      <c r="O379" s="92">
        <f>(SUBSTITUTE(Audio!O379, "RE-", "", 1))*1</f>
        <v>0</v>
      </c>
      <c r="P379" s="92">
        <f>(SUBSTITUTE(Audio!P379, "RE-", "", 1))*1</f>
        <v>181.9447771</v>
      </c>
      <c r="Q379" s="92">
        <f>(SUBSTITUTE(Audio!Q379, "RE-", "", 1))*1</f>
        <v>0</v>
      </c>
      <c r="R379" s="92">
        <f>(SUBSTITUTE(Audio!R379, "RE-", "", 1))*1</f>
        <v>145.2718938</v>
      </c>
      <c r="S379" s="92">
        <f>(SUBSTITUTE(Audio!S379, "RE-", "", 1))*1</f>
        <v>0</v>
      </c>
      <c r="T379" s="92">
        <f>(SUBSTITUTE(Audio!T379, "RE-", "", 1))*1</f>
        <v>260.9371625</v>
      </c>
      <c r="U379" s="92">
        <f>(SUBSTITUTE(Audio!U379, "RE-", "", 1))*1</f>
        <v>0</v>
      </c>
      <c r="V379" s="92">
        <f>(SUBSTITUTE(Audio!V379, "RE-", "", 1))*1</f>
        <v>0</v>
      </c>
      <c r="W379" s="92">
        <f>(SUBSTITUTE(Audio!W379, "RE-", "", 1))*1</f>
        <v>0</v>
      </c>
      <c r="X379" s="92">
        <f>(SUBSTITUTE(Audio!X379, "RE-", "", 1))*1</f>
        <v>0</v>
      </c>
      <c r="Y379" s="92">
        <f>(SUBSTITUTE(Audio!Y379, "RE-", "", 1))*1</f>
        <v>0</v>
      </c>
      <c r="Z379" s="92">
        <f>(SUBSTITUTE(Audio!Z379, "RE-", "", 1))*1</f>
        <v>0</v>
      </c>
      <c r="AA379" s="92"/>
      <c r="AB379" s="92"/>
      <c r="AC379" s="92"/>
      <c r="AD379" s="92"/>
      <c r="AE379" s="92"/>
      <c r="AF379" s="92"/>
      <c r="AG379" s="92"/>
      <c r="AH379" s="92"/>
      <c r="AI379" s="92"/>
      <c r="AJ379" s="92"/>
      <c r="AK379" s="92"/>
      <c r="AL379" s="92"/>
      <c r="AM379" s="92"/>
      <c r="AN379" s="92"/>
      <c r="AO379" s="92"/>
      <c r="AP379" s="92"/>
      <c r="AQ379" s="92"/>
      <c r="AR379" s="92"/>
      <c r="AS379" s="92"/>
      <c r="AT379" s="92"/>
      <c r="AU379" s="92"/>
      <c r="AV379" s="92"/>
      <c r="AW379" s="92"/>
      <c r="AX379" s="92"/>
      <c r="AY379" s="92"/>
      <c r="AZ379" s="92"/>
      <c r="BA379" s="92"/>
      <c r="BB379" s="92"/>
      <c r="BC379" s="92"/>
      <c r="BD379" s="92"/>
      <c r="BE379" s="92"/>
      <c r="BF379" s="92"/>
      <c r="BG379" s="92"/>
      <c r="BH379" s="92"/>
      <c r="BI379" s="92"/>
      <c r="BJ379" s="92"/>
      <c r="BK379" s="92"/>
      <c r="BL379" s="92"/>
      <c r="BM379" s="92"/>
      <c r="BN379" s="92"/>
      <c r="BO379" s="92"/>
      <c r="BP379" s="92"/>
      <c r="BQ379" s="92"/>
      <c r="BR379" s="92"/>
      <c r="BS379" s="92"/>
      <c r="BT379" s="92"/>
      <c r="BU379" s="92"/>
      <c r="BV379" s="92"/>
      <c r="BW379" s="92"/>
      <c r="BX379" s="92"/>
      <c r="BY379" s="92"/>
      <c r="BZ379" s="92"/>
      <c r="CA379" s="92"/>
      <c r="CB379" s="92"/>
      <c r="CC379" s="92"/>
      <c r="CD379" s="92"/>
      <c r="CE379" s="92"/>
      <c r="CF379" s="92"/>
      <c r="CG379" s="92"/>
      <c r="CH379" s="92"/>
      <c r="CI379" s="92"/>
      <c r="CJ379" s="92"/>
      <c r="CK379" s="92"/>
      <c r="CL379" s="92"/>
      <c r="CM379" s="92"/>
      <c r="CN379" s="92"/>
      <c r="CO379" s="92"/>
      <c r="CP379" s="92"/>
      <c r="CQ379" s="92"/>
      <c r="CR379" s="92"/>
      <c r="CS379" s="92"/>
      <c r="CT379" s="92"/>
      <c r="CU379" s="92"/>
      <c r="CV379" s="92"/>
      <c r="CW379" s="92"/>
      <c r="CX379" s="92"/>
      <c r="CY379" s="92"/>
      <c r="CZ379" s="92"/>
      <c r="DA379" s="92"/>
      <c r="DB379" s="92"/>
      <c r="DC379" s="92"/>
      <c r="DD379" s="92"/>
      <c r="DE379" s="92"/>
      <c r="DF379" s="92"/>
      <c r="DG379" s="92"/>
      <c r="DH379" s="92"/>
      <c r="DI379" s="92"/>
      <c r="DJ379" s="92"/>
      <c r="DK379" s="92"/>
      <c r="DL379" s="92"/>
      <c r="DM379" s="92"/>
      <c r="DN379" s="92"/>
      <c r="DO379" s="92"/>
      <c r="DP379" s="92"/>
      <c r="DQ379" s="92"/>
      <c r="DR379" s="92"/>
      <c r="DS379" s="92"/>
      <c r="DT379" s="92"/>
      <c r="DU379" s="92"/>
      <c r="DV379" s="92"/>
      <c r="DW379" s="92"/>
      <c r="DX379" s="92"/>
      <c r="DY379" s="92"/>
      <c r="DZ379" s="92"/>
      <c r="EA379" s="92"/>
      <c r="EB379" s="92"/>
      <c r="EC379" s="92"/>
      <c r="ED379" s="92"/>
      <c r="EE379" s="92"/>
      <c r="EF379" s="92"/>
      <c r="EG379" s="92"/>
      <c r="EH379" s="92"/>
      <c r="EI379" s="92"/>
      <c r="EJ379" s="92"/>
      <c r="EK379" s="92"/>
      <c r="EL379" s="92"/>
      <c r="EM379" s="92"/>
      <c r="EN379" s="92"/>
      <c r="EO379" s="92"/>
      <c r="EP379" s="92"/>
      <c r="EQ379" s="92"/>
      <c r="ER379" s="92"/>
      <c r="ES379" s="92"/>
      <c r="ET379" s="92"/>
      <c r="EU379" s="92"/>
      <c r="EV379" s="92"/>
      <c r="EW379" s="92"/>
      <c r="EX379" s="92"/>
      <c r="EY379" s="92"/>
      <c r="EZ379" s="92"/>
      <c r="FA379" s="92"/>
      <c r="FB379" s="92"/>
      <c r="FC379" s="92"/>
      <c r="FD379" s="92"/>
      <c r="FE379" s="92"/>
      <c r="FF379" s="92"/>
      <c r="FG379" s="92"/>
      <c r="FH379" s="92"/>
    </row>
    <row r="380">
      <c r="A380" s="32" t="s">
        <v>69</v>
      </c>
      <c r="B380" s="32" t="s">
        <v>71</v>
      </c>
      <c r="C380" s="32" t="s">
        <v>9</v>
      </c>
      <c r="D380" s="97">
        <f t="shared" si="1"/>
        <v>5903.958334</v>
      </c>
      <c r="E380" s="92">
        <f>(SUBSTITUTE(Audio!E380, "RE-", "", 1))*1</f>
        <v>0</v>
      </c>
      <c r="F380" s="92">
        <f>(SUBSTITUTE(Audio!F380, "RE-", "", 1))*1</f>
        <v>951.9855042</v>
      </c>
      <c r="G380" s="92">
        <f>(SUBSTITUTE(Audio!G380, "RE-", "", 1))*1</f>
        <v>0</v>
      </c>
      <c r="H380" s="92">
        <f>(SUBSTITUTE(Audio!H380, "RE-", "", 1))*1</f>
        <v>99.56625208</v>
      </c>
      <c r="I380" s="92">
        <f>(SUBSTITUTE(Audio!I380, "RE-", "", 1))*1</f>
        <v>0</v>
      </c>
      <c r="J380" s="92">
        <f>(SUBSTITUTE(Audio!J380, "RE-", "", 1))*1</f>
        <v>1006.87242</v>
      </c>
      <c r="K380" s="92">
        <f>(SUBSTITUTE(Audio!K380, "RE-", "", 1))*1</f>
        <v>0</v>
      </c>
      <c r="L380" s="92">
        <f>(SUBSTITUTE(Audio!L380, "RE-", "", 1))*1</f>
        <v>86.1762875</v>
      </c>
      <c r="M380" s="92">
        <f>(SUBSTITUTE(Audio!M380, "RE-", "", 1))*1</f>
        <v>0</v>
      </c>
      <c r="N380" s="92">
        <f>(SUBSTITUTE(Audio!N380, "RE-", "", 1))*1</f>
        <v>3171.204038</v>
      </c>
      <c r="O380" s="92">
        <f>(SUBSTITUTE(Audio!O380, "RE-", "", 1))*1</f>
        <v>0</v>
      </c>
      <c r="P380" s="92">
        <f>(SUBSTITUTE(Audio!P380, "RE-", "", 1))*1</f>
        <v>181.9447771</v>
      </c>
      <c r="Q380" s="92">
        <f>(SUBSTITUTE(Audio!Q380, "RE-", "", 1))*1</f>
        <v>0</v>
      </c>
      <c r="R380" s="92">
        <f>(SUBSTITUTE(Audio!R380, "RE-", "", 1))*1</f>
        <v>145.2718938</v>
      </c>
      <c r="S380" s="92">
        <f>(SUBSTITUTE(Audio!S380, "RE-", "", 1))*1</f>
        <v>0</v>
      </c>
      <c r="T380" s="92">
        <f>(SUBSTITUTE(Audio!T380, "RE-", "", 1))*1</f>
        <v>260.9371625</v>
      </c>
      <c r="U380" s="92">
        <f>(SUBSTITUTE(Audio!U380, "RE-", "", 1))*1</f>
        <v>0</v>
      </c>
      <c r="V380" s="92">
        <f>(SUBSTITUTE(Audio!V380, "RE-", "", 1))*1</f>
        <v>0</v>
      </c>
      <c r="W380" s="92">
        <f>(SUBSTITUTE(Audio!W380, "RE-", "", 1))*1</f>
        <v>0</v>
      </c>
      <c r="X380" s="92">
        <f>(SUBSTITUTE(Audio!X380, "RE-", "", 1))*1</f>
        <v>0</v>
      </c>
      <c r="Y380" s="92">
        <f>(SUBSTITUTE(Audio!Y380, "RE-", "", 1))*1</f>
        <v>0</v>
      </c>
      <c r="Z380" s="92">
        <f>(SUBSTITUTE(Audio!Z380, "RE-", "", 1))*1</f>
        <v>0</v>
      </c>
      <c r="AA380" s="92"/>
      <c r="AB380" s="92"/>
      <c r="AC380" s="92"/>
      <c r="AD380" s="92"/>
      <c r="AE380" s="92"/>
      <c r="AF380" s="92"/>
      <c r="AG380" s="92"/>
      <c r="AH380" s="92"/>
      <c r="AI380" s="92"/>
      <c r="AJ380" s="92"/>
      <c r="AK380" s="92"/>
      <c r="AL380" s="92"/>
      <c r="AM380" s="92"/>
      <c r="AN380" s="92"/>
      <c r="AO380" s="92"/>
      <c r="AP380" s="92"/>
      <c r="AQ380" s="92"/>
      <c r="AR380" s="92"/>
      <c r="AS380" s="92"/>
      <c r="AT380" s="92"/>
      <c r="AU380" s="92"/>
      <c r="AV380" s="92"/>
      <c r="AW380" s="92"/>
      <c r="AX380" s="92"/>
      <c r="AY380" s="92"/>
      <c r="AZ380" s="92"/>
      <c r="BA380" s="92"/>
      <c r="BB380" s="92"/>
      <c r="BC380" s="92"/>
      <c r="BD380" s="92"/>
      <c r="BE380" s="92"/>
      <c r="BF380" s="92"/>
      <c r="BG380" s="92"/>
      <c r="BH380" s="92"/>
      <c r="BI380" s="92"/>
      <c r="BJ380" s="92"/>
      <c r="BK380" s="92"/>
      <c r="BL380" s="92"/>
      <c r="BM380" s="92"/>
      <c r="BN380" s="92"/>
      <c r="BO380" s="92"/>
      <c r="BP380" s="92"/>
      <c r="BQ380" s="92"/>
      <c r="BR380" s="92"/>
      <c r="BS380" s="92"/>
      <c r="BT380" s="92"/>
      <c r="BU380" s="92"/>
      <c r="BV380" s="92"/>
      <c r="BW380" s="92"/>
      <c r="BX380" s="92"/>
      <c r="BY380" s="92"/>
      <c r="BZ380" s="92"/>
      <c r="CA380" s="92"/>
      <c r="CB380" s="92"/>
      <c r="CC380" s="92"/>
      <c r="CD380" s="92"/>
      <c r="CE380" s="92"/>
      <c r="CF380" s="92"/>
      <c r="CG380" s="92"/>
      <c r="CH380" s="92"/>
      <c r="CI380" s="92"/>
      <c r="CJ380" s="92"/>
      <c r="CK380" s="92"/>
      <c r="CL380" s="92"/>
      <c r="CM380" s="92"/>
      <c r="CN380" s="92"/>
      <c r="CO380" s="92"/>
      <c r="CP380" s="92"/>
      <c r="CQ380" s="92"/>
      <c r="CR380" s="92"/>
      <c r="CS380" s="92"/>
      <c r="CT380" s="92"/>
      <c r="CU380" s="92"/>
      <c r="CV380" s="92"/>
      <c r="CW380" s="92"/>
      <c r="CX380" s="92"/>
      <c r="CY380" s="92"/>
      <c r="CZ380" s="92"/>
      <c r="DA380" s="92"/>
      <c r="DB380" s="92"/>
      <c r="DC380" s="92"/>
      <c r="DD380" s="92"/>
      <c r="DE380" s="92"/>
      <c r="DF380" s="92"/>
      <c r="DG380" s="92"/>
      <c r="DH380" s="92"/>
      <c r="DI380" s="92"/>
      <c r="DJ380" s="92"/>
      <c r="DK380" s="92"/>
      <c r="DL380" s="92"/>
      <c r="DM380" s="92"/>
      <c r="DN380" s="92"/>
      <c r="DO380" s="92"/>
      <c r="DP380" s="92"/>
      <c r="DQ380" s="92"/>
      <c r="DR380" s="92"/>
      <c r="DS380" s="92"/>
      <c r="DT380" s="92"/>
      <c r="DU380" s="92"/>
      <c r="DV380" s="92"/>
      <c r="DW380" s="92"/>
      <c r="DX380" s="92"/>
      <c r="DY380" s="92"/>
      <c r="DZ380" s="92"/>
      <c r="EA380" s="92"/>
      <c r="EB380" s="92"/>
      <c r="EC380" s="92"/>
      <c r="ED380" s="92"/>
      <c r="EE380" s="92"/>
      <c r="EF380" s="92"/>
      <c r="EG380" s="92"/>
      <c r="EH380" s="92"/>
      <c r="EI380" s="92"/>
      <c r="EJ380" s="92"/>
      <c r="EK380" s="92"/>
      <c r="EL380" s="92"/>
      <c r="EM380" s="92"/>
      <c r="EN380" s="92"/>
      <c r="EO380" s="92"/>
      <c r="EP380" s="92"/>
      <c r="EQ380" s="92"/>
      <c r="ER380" s="92"/>
      <c r="ES380" s="92"/>
      <c r="ET380" s="92"/>
      <c r="EU380" s="92"/>
      <c r="EV380" s="92"/>
      <c r="EW380" s="92"/>
      <c r="EX380" s="92"/>
      <c r="EY380" s="92"/>
      <c r="EZ380" s="92"/>
      <c r="FA380" s="92"/>
      <c r="FB380" s="92"/>
      <c r="FC380" s="92"/>
      <c r="FD380" s="92"/>
      <c r="FE380" s="92"/>
      <c r="FF380" s="92"/>
      <c r="FG380" s="92"/>
      <c r="FH380" s="92"/>
    </row>
    <row r="381">
      <c r="A381" s="32" t="s">
        <v>69</v>
      </c>
      <c r="B381" s="32" t="s">
        <v>71</v>
      </c>
      <c r="C381" s="32" t="s">
        <v>10</v>
      </c>
      <c r="D381" s="97">
        <f t="shared" si="1"/>
        <v>970.8309459</v>
      </c>
      <c r="E381" s="92">
        <f>(SUBSTITUTE(Audio!E381, "RE-", "", 1))*1</f>
        <v>0</v>
      </c>
      <c r="F381" s="92">
        <f>(SUBSTITUTE(Audio!F381, "RE-", "", 1))*1</f>
        <v>0</v>
      </c>
      <c r="G381" s="92">
        <f>(SUBSTITUTE(Audio!G381, "RE-", "", 1))*1</f>
        <v>106.6948573</v>
      </c>
      <c r="H381" s="92">
        <f>(SUBSTITUTE(Audio!H381, "RE-", "", 1))*1</f>
        <v>0</v>
      </c>
      <c r="I381" s="92">
        <f>(SUBSTITUTE(Audio!I381, "RE-", "", 1))*1</f>
        <v>6.1947875</v>
      </c>
      <c r="J381" s="92">
        <f>(SUBSTITUTE(Audio!J381, "RE-", "", 1))*1</f>
        <v>0</v>
      </c>
      <c r="K381" s="92">
        <f>(SUBSTITUTE(Audio!K381, "RE-", "", 1))*1</f>
        <v>135.9828896</v>
      </c>
      <c r="L381" s="92">
        <f>(SUBSTITUTE(Audio!L381, "RE-", "", 1))*1</f>
        <v>0</v>
      </c>
      <c r="M381" s="92">
        <f>(SUBSTITUTE(Audio!M381, "RE-", "", 1))*1</f>
        <v>14.1316125</v>
      </c>
      <c r="N381" s="92">
        <f>(SUBSTITUTE(Audio!N381, "RE-", "", 1))*1</f>
        <v>0</v>
      </c>
      <c r="O381" s="92">
        <f>(SUBSTITUTE(Audio!O381, "RE-", "", 1))*1</f>
        <v>520.1325521</v>
      </c>
      <c r="P381" s="92">
        <f>(SUBSTITUTE(Audio!P381, "RE-", "", 1))*1</f>
        <v>0</v>
      </c>
      <c r="Q381" s="92">
        <f>(SUBSTITUTE(Audio!Q381, "RE-", "", 1))*1</f>
        <v>116.5660552</v>
      </c>
      <c r="R381" s="92">
        <f>(SUBSTITUTE(Audio!R381, "RE-", "", 1))*1</f>
        <v>0</v>
      </c>
      <c r="S381" s="92">
        <f>(SUBSTITUTE(Audio!S381, "RE-", "", 1))*1</f>
        <v>22.79160104</v>
      </c>
      <c r="T381" s="92">
        <f>(SUBSTITUTE(Audio!T381, "RE-", "", 1))*1</f>
        <v>0</v>
      </c>
      <c r="U381" s="92">
        <f>(SUBSTITUTE(Audio!U381, "RE-", "", 1))*1</f>
        <v>41.42484896</v>
      </c>
      <c r="V381" s="92">
        <f>(SUBSTITUTE(Audio!V381, "RE-", "", 1))*1</f>
        <v>6.911741667</v>
      </c>
      <c r="W381" s="92">
        <f>(SUBSTITUTE(Audio!W381, "RE-", "", 1))*1</f>
        <v>0</v>
      </c>
      <c r="X381" s="92">
        <f>(SUBSTITUTE(Audio!X381, "RE-", "", 1))*1</f>
        <v>0</v>
      </c>
      <c r="Y381" s="92">
        <f>(SUBSTITUTE(Audio!Y381, "RE-", "", 1))*1</f>
        <v>0</v>
      </c>
      <c r="Z381" s="92">
        <f>(SUBSTITUTE(Audio!Z381, "RE-", "", 1))*1</f>
        <v>0</v>
      </c>
      <c r="AA381" s="92"/>
      <c r="AB381" s="92"/>
      <c r="AC381" s="92"/>
      <c r="AD381" s="92"/>
      <c r="AE381" s="92"/>
      <c r="AF381" s="92"/>
      <c r="AG381" s="92"/>
      <c r="AH381" s="92"/>
      <c r="AI381" s="92"/>
      <c r="AJ381" s="92"/>
      <c r="AK381" s="92"/>
      <c r="AL381" s="92"/>
      <c r="AM381" s="92"/>
      <c r="AN381" s="92"/>
      <c r="AO381" s="92"/>
      <c r="AP381" s="92"/>
      <c r="AQ381" s="92"/>
      <c r="AR381" s="92"/>
      <c r="AS381" s="92"/>
      <c r="AT381" s="92"/>
      <c r="AU381" s="92"/>
      <c r="AV381" s="92"/>
      <c r="AW381" s="92"/>
      <c r="AX381" s="92"/>
      <c r="AY381" s="92"/>
      <c r="AZ381" s="92"/>
      <c r="BA381" s="92"/>
      <c r="BB381" s="92"/>
      <c r="BC381" s="92"/>
      <c r="BD381" s="92"/>
      <c r="BE381" s="92"/>
      <c r="BF381" s="92"/>
      <c r="BG381" s="92"/>
      <c r="BH381" s="92"/>
      <c r="BI381" s="92"/>
      <c r="BJ381" s="92"/>
      <c r="BK381" s="92"/>
      <c r="BL381" s="92"/>
      <c r="BM381" s="92"/>
      <c r="BN381" s="92"/>
      <c r="BO381" s="92"/>
      <c r="BP381" s="92"/>
      <c r="BQ381" s="92"/>
      <c r="BR381" s="92"/>
      <c r="BS381" s="92"/>
      <c r="BT381" s="92"/>
      <c r="BU381" s="92"/>
      <c r="BV381" s="92"/>
      <c r="BW381" s="92"/>
      <c r="BX381" s="92"/>
      <c r="BY381" s="92"/>
      <c r="BZ381" s="92"/>
      <c r="CA381" s="92"/>
      <c r="CB381" s="92"/>
      <c r="CC381" s="92"/>
      <c r="CD381" s="92"/>
      <c r="CE381" s="92"/>
      <c r="CF381" s="92"/>
      <c r="CG381" s="92"/>
      <c r="CH381" s="92"/>
      <c r="CI381" s="92"/>
      <c r="CJ381" s="92"/>
      <c r="CK381" s="92"/>
      <c r="CL381" s="92"/>
      <c r="CM381" s="92"/>
      <c r="CN381" s="92"/>
      <c r="CO381" s="92"/>
      <c r="CP381" s="92"/>
      <c r="CQ381" s="92"/>
      <c r="CR381" s="92"/>
      <c r="CS381" s="92"/>
      <c r="CT381" s="92"/>
      <c r="CU381" s="92"/>
      <c r="CV381" s="92"/>
      <c r="CW381" s="92"/>
      <c r="CX381" s="92"/>
      <c r="CY381" s="92"/>
      <c r="CZ381" s="92"/>
      <c r="DA381" s="92"/>
      <c r="DB381" s="92"/>
      <c r="DC381" s="92"/>
      <c r="DD381" s="92"/>
      <c r="DE381" s="92"/>
      <c r="DF381" s="92"/>
      <c r="DG381" s="92"/>
      <c r="DH381" s="92"/>
      <c r="DI381" s="92"/>
      <c r="DJ381" s="92"/>
      <c r="DK381" s="92"/>
      <c r="DL381" s="92"/>
      <c r="DM381" s="92"/>
      <c r="DN381" s="92"/>
      <c r="DO381" s="92"/>
      <c r="DP381" s="92"/>
      <c r="DQ381" s="92"/>
      <c r="DR381" s="92"/>
      <c r="DS381" s="92"/>
      <c r="DT381" s="92"/>
      <c r="DU381" s="92"/>
      <c r="DV381" s="92"/>
      <c r="DW381" s="92"/>
      <c r="DX381" s="92"/>
      <c r="DY381" s="92"/>
      <c r="DZ381" s="92"/>
      <c r="EA381" s="92"/>
      <c r="EB381" s="92"/>
      <c r="EC381" s="92"/>
      <c r="ED381" s="92"/>
      <c r="EE381" s="92"/>
      <c r="EF381" s="92"/>
      <c r="EG381" s="92"/>
      <c r="EH381" s="92"/>
      <c r="EI381" s="92"/>
      <c r="EJ381" s="92"/>
      <c r="EK381" s="92"/>
      <c r="EL381" s="92"/>
      <c r="EM381" s="92"/>
      <c r="EN381" s="92"/>
      <c r="EO381" s="92"/>
      <c r="EP381" s="92"/>
      <c r="EQ381" s="92"/>
      <c r="ER381" s="92"/>
      <c r="ES381" s="92"/>
      <c r="ET381" s="92"/>
      <c r="EU381" s="92"/>
      <c r="EV381" s="92"/>
      <c r="EW381" s="92"/>
      <c r="EX381" s="92"/>
      <c r="EY381" s="92"/>
      <c r="EZ381" s="92"/>
      <c r="FA381" s="92"/>
      <c r="FB381" s="92"/>
      <c r="FC381" s="92"/>
      <c r="FD381" s="92"/>
      <c r="FE381" s="92"/>
      <c r="FF381" s="92"/>
      <c r="FG381" s="92"/>
      <c r="FH381" s="92"/>
    </row>
    <row r="382">
      <c r="A382" s="32" t="s">
        <v>69</v>
      </c>
      <c r="B382" s="32" t="s">
        <v>71</v>
      </c>
      <c r="C382" s="32" t="s">
        <v>11</v>
      </c>
      <c r="D382" s="97">
        <f t="shared" si="1"/>
        <v>970.8309458</v>
      </c>
      <c r="E382" s="92">
        <f>(SUBSTITUTE(Audio!E382, "RE-", "", 1))*1</f>
        <v>0</v>
      </c>
      <c r="F382" s="92">
        <f>(SUBSTITUTE(Audio!F382, "RE-", "", 1))*1</f>
        <v>0</v>
      </c>
      <c r="G382" s="92">
        <f>(SUBSTITUTE(Audio!G382, "RE-", "", 1))*1</f>
        <v>106.6948573</v>
      </c>
      <c r="H382" s="92">
        <f>(SUBSTITUTE(Audio!H382, "RE-", "", 1))*1</f>
        <v>0</v>
      </c>
      <c r="I382" s="92">
        <f>(SUBSTITUTE(Audio!I382, "RE-", "", 1))*1</f>
        <v>6.1947875</v>
      </c>
      <c r="J382" s="92">
        <f>(SUBSTITUTE(Audio!J382, "RE-", "", 1))*1</f>
        <v>0</v>
      </c>
      <c r="K382" s="92">
        <f>(SUBSTITUTE(Audio!K382, "RE-", "", 1))*1</f>
        <v>135.9828896</v>
      </c>
      <c r="L382" s="92">
        <f>(SUBSTITUTE(Audio!L382, "RE-", "", 1))*1</f>
        <v>0</v>
      </c>
      <c r="M382" s="92">
        <f>(SUBSTITUTE(Audio!M382, "RE-", "", 1))*1</f>
        <v>14.1316125</v>
      </c>
      <c r="N382" s="92">
        <f>(SUBSTITUTE(Audio!N382, "RE-", "", 1))*1</f>
        <v>0</v>
      </c>
      <c r="O382" s="92">
        <f>(SUBSTITUTE(Audio!O382, "RE-", "", 1))*1</f>
        <v>520.1325521</v>
      </c>
      <c r="P382" s="92">
        <f>(SUBSTITUTE(Audio!P382, "RE-", "", 1))*1</f>
        <v>0</v>
      </c>
      <c r="Q382" s="92">
        <f>(SUBSTITUTE(Audio!Q382, "RE-", "", 1))*1</f>
        <v>116.5660552</v>
      </c>
      <c r="R382" s="92">
        <f>(SUBSTITUTE(Audio!R382, "RE-", "", 1))*1</f>
        <v>0</v>
      </c>
      <c r="S382" s="92">
        <f>(SUBSTITUTE(Audio!S382, "RE-", "", 1))*1</f>
        <v>22.79160104</v>
      </c>
      <c r="T382" s="92">
        <f>(SUBSTITUTE(Audio!T382, "RE-", "", 1))*1</f>
        <v>0</v>
      </c>
      <c r="U382" s="92">
        <f>(SUBSTITUTE(Audio!U382, "RE-", "", 1))*1</f>
        <v>41.42484896</v>
      </c>
      <c r="V382" s="92">
        <f>(SUBSTITUTE(Audio!V382, "RE-", "", 1))*1</f>
        <v>6.911741667</v>
      </c>
      <c r="W382" s="92">
        <f>(SUBSTITUTE(Audio!W382, "RE-", "", 1))*1</f>
        <v>0</v>
      </c>
      <c r="X382" s="92">
        <f>(SUBSTITUTE(Audio!X382, "RE-", "", 1))*1</f>
        <v>0</v>
      </c>
      <c r="Y382" s="92">
        <f>(SUBSTITUTE(Audio!Y382, "RE-", "", 1))*1</f>
        <v>0</v>
      </c>
      <c r="Z382" s="92">
        <f>(SUBSTITUTE(Audio!Z382, "RE-", "", 1))*1</f>
        <v>0</v>
      </c>
      <c r="AA382" s="92"/>
      <c r="AB382" s="92"/>
      <c r="AC382" s="92"/>
      <c r="AD382" s="92"/>
      <c r="AE382" s="92"/>
      <c r="AF382" s="92"/>
      <c r="AG382" s="92"/>
      <c r="AH382" s="92"/>
      <c r="AI382" s="92"/>
      <c r="AJ382" s="92"/>
      <c r="AK382" s="92"/>
      <c r="AL382" s="92"/>
      <c r="AM382" s="92"/>
      <c r="AN382" s="92"/>
      <c r="AO382" s="92"/>
      <c r="AP382" s="92"/>
      <c r="AQ382" s="92"/>
      <c r="AR382" s="92"/>
      <c r="AS382" s="92"/>
      <c r="AT382" s="92"/>
      <c r="AU382" s="92"/>
      <c r="AV382" s="92"/>
      <c r="AW382" s="92"/>
      <c r="AX382" s="92"/>
      <c r="AY382" s="92"/>
      <c r="AZ382" s="92"/>
      <c r="BA382" s="92"/>
      <c r="BB382" s="92"/>
      <c r="BC382" s="92"/>
      <c r="BD382" s="92"/>
      <c r="BE382" s="92"/>
      <c r="BF382" s="92"/>
      <c r="BG382" s="92"/>
      <c r="BH382" s="92"/>
      <c r="BI382" s="92"/>
      <c r="BJ382" s="92"/>
      <c r="BK382" s="92"/>
      <c r="BL382" s="92"/>
      <c r="BM382" s="92"/>
      <c r="BN382" s="92"/>
      <c r="BO382" s="92"/>
      <c r="BP382" s="92"/>
      <c r="BQ382" s="92"/>
      <c r="BR382" s="92"/>
      <c r="BS382" s="92"/>
      <c r="BT382" s="92"/>
      <c r="BU382" s="92"/>
      <c r="BV382" s="92"/>
      <c r="BW382" s="92"/>
      <c r="BX382" s="92"/>
      <c r="BY382" s="92"/>
      <c r="BZ382" s="92"/>
      <c r="CA382" s="92"/>
      <c r="CB382" s="92"/>
      <c r="CC382" s="92"/>
      <c r="CD382" s="92"/>
      <c r="CE382" s="92"/>
      <c r="CF382" s="92"/>
      <c r="CG382" s="92"/>
      <c r="CH382" s="92"/>
      <c r="CI382" s="92"/>
      <c r="CJ382" s="92"/>
      <c r="CK382" s="92"/>
      <c r="CL382" s="92"/>
      <c r="CM382" s="92"/>
      <c r="CN382" s="92"/>
      <c r="CO382" s="92"/>
      <c r="CP382" s="92"/>
      <c r="CQ382" s="92"/>
      <c r="CR382" s="92"/>
      <c r="CS382" s="92"/>
      <c r="CT382" s="92"/>
      <c r="CU382" s="92"/>
      <c r="CV382" s="92"/>
      <c r="CW382" s="92"/>
      <c r="CX382" s="92"/>
      <c r="CY382" s="92"/>
      <c r="CZ382" s="92"/>
      <c r="DA382" s="92"/>
      <c r="DB382" s="92"/>
      <c r="DC382" s="92"/>
      <c r="DD382" s="92"/>
      <c r="DE382" s="92"/>
      <c r="DF382" s="92"/>
      <c r="DG382" s="92"/>
      <c r="DH382" s="92"/>
      <c r="DI382" s="92"/>
      <c r="DJ382" s="92"/>
      <c r="DK382" s="92"/>
      <c r="DL382" s="92"/>
      <c r="DM382" s="92"/>
      <c r="DN382" s="92"/>
      <c r="DO382" s="92"/>
      <c r="DP382" s="92"/>
      <c r="DQ382" s="92"/>
      <c r="DR382" s="92"/>
      <c r="DS382" s="92"/>
      <c r="DT382" s="92"/>
      <c r="DU382" s="92"/>
      <c r="DV382" s="92"/>
      <c r="DW382" s="92"/>
      <c r="DX382" s="92"/>
      <c r="DY382" s="92"/>
      <c r="DZ382" s="92"/>
      <c r="EA382" s="92"/>
      <c r="EB382" s="92"/>
      <c r="EC382" s="92"/>
      <c r="ED382" s="92"/>
      <c r="EE382" s="92"/>
      <c r="EF382" s="92"/>
      <c r="EG382" s="92"/>
      <c r="EH382" s="92"/>
      <c r="EI382" s="92"/>
      <c r="EJ382" s="92"/>
      <c r="EK382" s="92"/>
      <c r="EL382" s="92"/>
      <c r="EM382" s="92"/>
      <c r="EN382" s="92"/>
      <c r="EO382" s="92"/>
      <c r="EP382" s="92"/>
      <c r="EQ382" s="92"/>
      <c r="ER382" s="92"/>
      <c r="ES382" s="92"/>
      <c r="ET382" s="92"/>
      <c r="EU382" s="92"/>
      <c r="EV382" s="92"/>
      <c r="EW382" s="92"/>
      <c r="EX382" s="92"/>
      <c r="EY382" s="92"/>
      <c r="EZ382" s="92"/>
      <c r="FA382" s="92"/>
      <c r="FB382" s="92"/>
      <c r="FC382" s="92"/>
      <c r="FD382" s="92"/>
      <c r="FE382" s="92"/>
      <c r="FF382" s="92"/>
      <c r="FG382" s="92"/>
      <c r="FH382" s="92"/>
    </row>
    <row r="383">
      <c r="A383" s="32" t="s">
        <v>69</v>
      </c>
      <c r="B383" s="32" t="s">
        <v>71</v>
      </c>
      <c r="C383" s="32" t="s">
        <v>12</v>
      </c>
      <c r="D383" s="97">
        <f t="shared" si="1"/>
        <v>4608.094356</v>
      </c>
      <c r="E383" s="92">
        <f>(SUBSTITUTE(Audio!E383, "RE-", "", 1))*1</f>
        <v>0</v>
      </c>
      <c r="F383" s="92">
        <f>(SUBSTITUTE(Audio!F383, "RE-", "", 1))*1</f>
        <v>771.8587427</v>
      </c>
      <c r="G383" s="92">
        <f>(SUBSTITUTE(Audio!G383, "RE-", "", 1))*1</f>
        <v>3.527814583</v>
      </c>
      <c r="H383" s="92">
        <f>(SUBSTITUTE(Audio!H383, "RE-", "", 1))*1</f>
        <v>91.70961875</v>
      </c>
      <c r="I383" s="92">
        <f>(SUBSTITUTE(Audio!I383, "RE-", "", 1))*1</f>
        <v>0</v>
      </c>
      <c r="J383" s="92">
        <f>(SUBSTITUTE(Audio!J383, "RE-", "", 1))*1</f>
        <v>753.8561448</v>
      </c>
      <c r="K383" s="92">
        <f>(SUBSTITUTE(Audio!K383, "RE-", "", 1))*1</f>
        <v>5.417383333</v>
      </c>
      <c r="L383" s="92">
        <f>(SUBSTITUTE(Audio!L383, "RE-", "", 1))*1</f>
        <v>71.63273958</v>
      </c>
      <c r="M383" s="92">
        <f>(SUBSTITUTE(Audio!M383, "RE-", "", 1))*1</f>
        <v>3.237120833</v>
      </c>
      <c r="N383" s="92">
        <f>(SUBSTITUTE(Audio!N383, "RE-", "", 1))*1</f>
        <v>2242.544608</v>
      </c>
      <c r="O383" s="92">
        <f>(SUBSTITUTE(Audio!O383, "RE-", "", 1))*1</f>
        <v>41.69307708</v>
      </c>
      <c r="P383" s="92">
        <f>(SUBSTITUTE(Audio!P383, "RE-", "", 1))*1</f>
        <v>167.3174802</v>
      </c>
      <c r="Q383" s="92">
        <f>(SUBSTITUTE(Audio!Q383, "RE-", "", 1))*1</f>
        <v>30.89453958</v>
      </c>
      <c r="R383" s="92">
        <f>(SUBSTITUTE(Audio!R383, "RE-", "", 1))*1</f>
        <v>139.0111375</v>
      </c>
      <c r="S383" s="92">
        <f>(SUBSTITUTE(Audio!S383, "RE-", "", 1))*1</f>
        <v>11.32728125</v>
      </c>
      <c r="T383" s="92">
        <f>(SUBSTITUTE(Audio!T383, "RE-", "", 1))*1</f>
        <v>245.7875208</v>
      </c>
      <c r="U383" s="92">
        <f>(SUBSTITUTE(Audio!U383, "RE-", "", 1))*1</f>
        <v>25.06404896</v>
      </c>
      <c r="V383" s="92">
        <f>(SUBSTITUTE(Audio!V383, "RE-", "", 1))*1</f>
        <v>3.215097917</v>
      </c>
      <c r="W383" s="92">
        <f>(SUBSTITUTE(Audio!W383, "RE-", "", 1))*1</f>
        <v>0</v>
      </c>
      <c r="X383" s="92">
        <f>(SUBSTITUTE(Audio!X383, "RE-", "", 1))*1</f>
        <v>0</v>
      </c>
      <c r="Y383" s="92">
        <f>(SUBSTITUTE(Audio!Y383, "RE-", "", 1))*1</f>
        <v>0</v>
      </c>
      <c r="Z383" s="92">
        <f>(SUBSTITUTE(Audio!Z383, "RE-", "", 1))*1</f>
        <v>0</v>
      </c>
      <c r="AA383" s="92"/>
      <c r="AB383" s="92"/>
      <c r="AC383" s="92"/>
      <c r="AD383" s="92"/>
      <c r="AE383" s="92"/>
      <c r="AF383" s="92"/>
      <c r="AG383" s="92"/>
      <c r="AH383" s="92"/>
      <c r="AI383" s="92"/>
      <c r="AJ383" s="92"/>
      <c r="AK383" s="92"/>
      <c r="AL383" s="92"/>
      <c r="AM383" s="92"/>
      <c r="AN383" s="92"/>
      <c r="AO383" s="92"/>
      <c r="AP383" s="92"/>
      <c r="AQ383" s="92"/>
      <c r="AR383" s="92"/>
      <c r="AS383" s="92"/>
      <c r="AT383" s="92"/>
      <c r="AU383" s="92"/>
      <c r="AV383" s="92"/>
      <c r="AW383" s="92"/>
      <c r="AX383" s="92"/>
      <c r="AY383" s="92"/>
      <c r="AZ383" s="92"/>
      <c r="BA383" s="92"/>
      <c r="BB383" s="92"/>
      <c r="BC383" s="92"/>
      <c r="BD383" s="92"/>
      <c r="BE383" s="92"/>
      <c r="BF383" s="92"/>
      <c r="BG383" s="92"/>
      <c r="BH383" s="92"/>
      <c r="BI383" s="92"/>
      <c r="BJ383" s="92"/>
      <c r="BK383" s="92"/>
      <c r="BL383" s="92"/>
      <c r="BM383" s="92"/>
      <c r="BN383" s="92"/>
      <c r="BO383" s="92"/>
      <c r="BP383" s="92"/>
      <c r="BQ383" s="92"/>
      <c r="BR383" s="92"/>
      <c r="BS383" s="92"/>
      <c r="BT383" s="92"/>
      <c r="BU383" s="92"/>
      <c r="BV383" s="92"/>
      <c r="BW383" s="92"/>
      <c r="BX383" s="92"/>
      <c r="BY383" s="92"/>
      <c r="BZ383" s="92"/>
      <c r="CA383" s="92"/>
      <c r="CB383" s="92"/>
      <c r="CC383" s="92"/>
      <c r="CD383" s="92"/>
      <c r="CE383" s="92"/>
      <c r="CF383" s="92"/>
      <c r="CG383" s="92"/>
      <c r="CH383" s="92"/>
      <c r="CI383" s="92"/>
      <c r="CJ383" s="92"/>
      <c r="CK383" s="92"/>
      <c r="CL383" s="92"/>
      <c r="CM383" s="92"/>
      <c r="CN383" s="92"/>
      <c r="CO383" s="92"/>
      <c r="CP383" s="92"/>
      <c r="CQ383" s="92"/>
      <c r="CR383" s="92"/>
      <c r="CS383" s="92"/>
      <c r="CT383" s="92"/>
      <c r="CU383" s="92"/>
      <c r="CV383" s="92"/>
      <c r="CW383" s="92"/>
      <c r="CX383" s="92"/>
      <c r="CY383" s="92"/>
      <c r="CZ383" s="92"/>
      <c r="DA383" s="92"/>
      <c r="DB383" s="92"/>
      <c r="DC383" s="92"/>
      <c r="DD383" s="92"/>
      <c r="DE383" s="92"/>
      <c r="DF383" s="92"/>
      <c r="DG383" s="92"/>
      <c r="DH383" s="92"/>
      <c r="DI383" s="92"/>
      <c r="DJ383" s="92"/>
      <c r="DK383" s="92"/>
      <c r="DL383" s="92"/>
      <c r="DM383" s="92"/>
      <c r="DN383" s="92"/>
      <c r="DO383" s="92"/>
      <c r="DP383" s="92"/>
      <c r="DQ383" s="92"/>
      <c r="DR383" s="92"/>
      <c r="DS383" s="92"/>
      <c r="DT383" s="92"/>
      <c r="DU383" s="92"/>
      <c r="DV383" s="92"/>
      <c r="DW383" s="92"/>
      <c r="DX383" s="92"/>
      <c r="DY383" s="92"/>
      <c r="DZ383" s="92"/>
      <c r="EA383" s="92"/>
      <c r="EB383" s="92"/>
      <c r="EC383" s="92"/>
      <c r="ED383" s="92"/>
      <c r="EE383" s="92"/>
      <c r="EF383" s="92"/>
      <c r="EG383" s="92"/>
      <c r="EH383" s="92"/>
      <c r="EI383" s="92"/>
      <c r="EJ383" s="92"/>
      <c r="EK383" s="92"/>
      <c r="EL383" s="92"/>
      <c r="EM383" s="92"/>
      <c r="EN383" s="92"/>
      <c r="EO383" s="92"/>
      <c r="EP383" s="92"/>
      <c r="EQ383" s="92"/>
      <c r="ER383" s="92"/>
      <c r="ES383" s="92"/>
      <c r="ET383" s="92"/>
      <c r="EU383" s="92"/>
      <c r="EV383" s="92"/>
      <c r="EW383" s="92"/>
      <c r="EX383" s="92"/>
      <c r="EY383" s="92"/>
      <c r="EZ383" s="92"/>
      <c r="FA383" s="92"/>
      <c r="FB383" s="92"/>
      <c r="FC383" s="92"/>
      <c r="FD383" s="92"/>
      <c r="FE383" s="92"/>
      <c r="FF383" s="92"/>
      <c r="FG383" s="92"/>
      <c r="FH383" s="92"/>
    </row>
    <row r="384">
      <c r="A384" s="32" t="s">
        <v>69</v>
      </c>
      <c r="B384" s="32" t="s">
        <v>71</v>
      </c>
      <c r="C384" s="32" t="s">
        <v>13</v>
      </c>
      <c r="D384" s="97">
        <f t="shared" si="1"/>
        <v>4424.12771</v>
      </c>
      <c r="E384" s="92">
        <f>(SUBSTITUTE(Audio!E384, "RE-", "", 1))*1</f>
        <v>0</v>
      </c>
      <c r="F384" s="92">
        <f>(SUBSTITUTE(Audio!F384, "RE-", "", 1))*1</f>
        <v>743.975</v>
      </c>
      <c r="G384" s="92">
        <f>(SUBSTITUTE(Audio!G384, "RE-", "", 1))*1</f>
        <v>3.38895</v>
      </c>
      <c r="H384" s="92">
        <f>(SUBSTITUTE(Audio!H384, "RE-", "", 1))*1</f>
        <v>90.5863</v>
      </c>
      <c r="I384" s="92">
        <f>(SUBSTITUTE(Audio!I384, "RE-", "", 1))*1</f>
        <v>0</v>
      </c>
      <c r="J384" s="92">
        <f>(SUBSTITUTE(Audio!J384, "RE-", "", 1))*1</f>
        <v>711.094</v>
      </c>
      <c r="K384" s="92">
        <f>(SUBSTITUTE(Audio!K384, "RE-", "", 1))*1</f>
        <v>5.02687</v>
      </c>
      <c r="L384" s="92">
        <f>(SUBSTITUTE(Audio!L384, "RE-", "", 1))*1</f>
        <v>67.5015</v>
      </c>
      <c r="M384" s="92">
        <f>(SUBSTITUTE(Audio!M384, "RE-", "", 1))*1</f>
        <v>3.12067</v>
      </c>
      <c r="N384" s="92">
        <f>(SUBSTITUTE(Audio!N384, "RE-", "", 1))*1</f>
        <v>2165.72</v>
      </c>
      <c r="O384" s="92">
        <f>(SUBSTITUTE(Audio!O384, "RE-", "", 1))*1</f>
        <v>39.2282</v>
      </c>
      <c r="P384" s="92">
        <f>(SUBSTITUTE(Audio!P384, "RE-", "", 1))*1</f>
        <v>160.082</v>
      </c>
      <c r="Q384" s="92">
        <f>(SUBSTITUTE(Audio!Q384, "RE-", "", 1))*1</f>
        <v>29.0676</v>
      </c>
      <c r="R384" s="92">
        <f>(SUBSTITUTE(Audio!R384, "RE-", "", 1))*1</f>
        <v>133.645</v>
      </c>
      <c r="S384" s="92">
        <f>(SUBSTITUTE(Audio!S384, "RE-", "", 1))*1</f>
        <v>10.4969</v>
      </c>
      <c r="T384" s="92">
        <f>(SUBSTITUTE(Audio!T384, "RE-", "", 1))*1</f>
        <v>235.309</v>
      </c>
      <c r="U384" s="92">
        <f>(SUBSTITUTE(Audio!U384, "RE-", "", 1))*1</f>
        <v>22.8508</v>
      </c>
      <c r="V384" s="92">
        <f>(SUBSTITUTE(Audio!V384, "RE-", "", 1))*1</f>
        <v>3.03492</v>
      </c>
      <c r="W384" s="92">
        <f>(SUBSTITUTE(Audio!W384, "RE-", "", 1))*1</f>
        <v>0</v>
      </c>
      <c r="X384" s="92">
        <f>(SUBSTITUTE(Audio!X384, "RE-", "", 1))*1</f>
        <v>0</v>
      </c>
      <c r="Y384" s="92">
        <f>(SUBSTITUTE(Audio!Y384, "RE-", "", 1))*1</f>
        <v>0</v>
      </c>
      <c r="Z384" s="92">
        <f>(SUBSTITUTE(Audio!Z384, "RE-", "", 1))*1</f>
        <v>0</v>
      </c>
      <c r="AA384" s="92"/>
      <c r="AB384" s="92"/>
      <c r="AC384" s="92"/>
      <c r="AD384" s="92"/>
      <c r="AE384" s="92"/>
      <c r="AF384" s="92"/>
      <c r="AG384" s="92"/>
      <c r="AH384" s="92"/>
      <c r="AI384" s="92"/>
      <c r="AJ384" s="92"/>
      <c r="AK384" s="92"/>
      <c r="AL384" s="92"/>
      <c r="AM384" s="92"/>
      <c r="AN384" s="92"/>
      <c r="AO384" s="92"/>
      <c r="AP384" s="92"/>
      <c r="AQ384" s="92"/>
      <c r="AR384" s="92"/>
      <c r="AS384" s="92"/>
      <c r="AT384" s="92"/>
      <c r="AU384" s="92"/>
      <c r="AV384" s="92"/>
      <c r="AW384" s="92"/>
      <c r="AX384" s="92"/>
      <c r="AY384" s="92"/>
      <c r="AZ384" s="92"/>
      <c r="BA384" s="92"/>
      <c r="BB384" s="92"/>
      <c r="BC384" s="92"/>
      <c r="BD384" s="92"/>
      <c r="BE384" s="92"/>
      <c r="BF384" s="92"/>
      <c r="BG384" s="92"/>
      <c r="BH384" s="92"/>
      <c r="BI384" s="92"/>
      <c r="BJ384" s="92"/>
      <c r="BK384" s="92"/>
      <c r="BL384" s="92"/>
      <c r="BM384" s="92"/>
      <c r="BN384" s="92"/>
      <c r="BO384" s="92"/>
      <c r="BP384" s="92"/>
      <c r="BQ384" s="92"/>
      <c r="BR384" s="92"/>
      <c r="BS384" s="92"/>
      <c r="BT384" s="92"/>
      <c r="BU384" s="92"/>
      <c r="BV384" s="92"/>
      <c r="BW384" s="92"/>
      <c r="BX384" s="92"/>
      <c r="BY384" s="92"/>
      <c r="BZ384" s="92"/>
      <c r="CA384" s="92"/>
      <c r="CB384" s="92"/>
      <c r="CC384" s="92"/>
      <c r="CD384" s="92"/>
      <c r="CE384" s="92"/>
      <c r="CF384" s="92"/>
      <c r="CG384" s="92"/>
      <c r="CH384" s="92"/>
      <c r="CI384" s="92"/>
      <c r="CJ384" s="92"/>
      <c r="CK384" s="92"/>
      <c r="CL384" s="92"/>
      <c r="CM384" s="92"/>
      <c r="CN384" s="92"/>
      <c r="CO384" s="92"/>
      <c r="CP384" s="92"/>
      <c r="CQ384" s="92"/>
      <c r="CR384" s="92"/>
      <c r="CS384" s="92"/>
      <c r="CT384" s="92"/>
      <c r="CU384" s="92"/>
      <c r="CV384" s="92"/>
      <c r="CW384" s="92"/>
      <c r="CX384" s="92"/>
      <c r="CY384" s="92"/>
      <c r="CZ384" s="92"/>
      <c r="DA384" s="92"/>
      <c r="DB384" s="92"/>
      <c r="DC384" s="92"/>
      <c r="DD384" s="92"/>
      <c r="DE384" s="92"/>
      <c r="DF384" s="92"/>
      <c r="DG384" s="92"/>
      <c r="DH384" s="92"/>
      <c r="DI384" s="92"/>
      <c r="DJ384" s="92"/>
      <c r="DK384" s="92"/>
      <c r="DL384" s="92"/>
      <c r="DM384" s="92"/>
      <c r="DN384" s="92"/>
      <c r="DO384" s="92"/>
      <c r="DP384" s="92"/>
      <c r="DQ384" s="92"/>
      <c r="DR384" s="92"/>
      <c r="DS384" s="92"/>
      <c r="DT384" s="92"/>
      <c r="DU384" s="92"/>
      <c r="DV384" s="92"/>
      <c r="DW384" s="92"/>
      <c r="DX384" s="92"/>
      <c r="DY384" s="92"/>
      <c r="DZ384" s="92"/>
      <c r="EA384" s="92"/>
      <c r="EB384" s="92"/>
      <c r="EC384" s="92"/>
      <c r="ED384" s="92"/>
      <c r="EE384" s="92"/>
      <c r="EF384" s="92"/>
      <c r="EG384" s="92"/>
      <c r="EH384" s="92"/>
      <c r="EI384" s="92"/>
      <c r="EJ384" s="92"/>
      <c r="EK384" s="92"/>
      <c r="EL384" s="92"/>
      <c r="EM384" s="92"/>
      <c r="EN384" s="92"/>
      <c r="EO384" s="92"/>
      <c r="EP384" s="92"/>
      <c r="EQ384" s="92"/>
      <c r="ER384" s="92"/>
      <c r="ES384" s="92"/>
      <c r="ET384" s="92"/>
      <c r="EU384" s="92"/>
      <c r="EV384" s="92"/>
      <c r="EW384" s="92"/>
      <c r="EX384" s="92"/>
      <c r="EY384" s="92"/>
      <c r="EZ384" s="92"/>
      <c r="FA384" s="92"/>
      <c r="FB384" s="92"/>
      <c r="FC384" s="92"/>
      <c r="FD384" s="92"/>
      <c r="FE384" s="92"/>
      <c r="FF384" s="92"/>
      <c r="FG384" s="92"/>
      <c r="FH384" s="92"/>
    </row>
    <row r="385">
      <c r="A385" s="32" t="s">
        <v>69</v>
      </c>
      <c r="B385" s="32" t="s">
        <v>71</v>
      </c>
      <c r="C385" s="32" t="s">
        <v>14</v>
      </c>
      <c r="D385" s="97">
        <f t="shared" si="1"/>
        <v>3931.31397</v>
      </c>
      <c r="E385" s="92">
        <f>(SUBSTITUTE(Audio!E385, "RE-", "", 1))*1</f>
        <v>0</v>
      </c>
      <c r="F385" s="92">
        <f>(SUBSTITUTE(Audio!F385, "RE-", "", 1))*1</f>
        <v>670.301</v>
      </c>
      <c r="G385" s="92">
        <f>(SUBSTITUTE(Audio!G385, "RE-", "", 1))*1</f>
        <v>3.06307</v>
      </c>
      <c r="H385" s="92">
        <f>(SUBSTITUTE(Audio!H385, "RE-", "", 1))*1</f>
        <v>84.9006</v>
      </c>
      <c r="I385" s="92">
        <f>(SUBSTITUTE(Audio!I385, "RE-", "", 1))*1</f>
        <v>0</v>
      </c>
      <c r="J385" s="92">
        <f>(SUBSTITUTE(Audio!J385, "RE-", "", 1))*1</f>
        <v>642.435</v>
      </c>
      <c r="K385" s="92">
        <f>(SUBSTITUTE(Audio!K385, "RE-", "", 1))*1</f>
        <v>4.57548</v>
      </c>
      <c r="L385" s="92">
        <f>(SUBSTITUTE(Audio!L385, "RE-", "", 1))*1</f>
        <v>55.5864</v>
      </c>
      <c r="M385" s="92">
        <f>(SUBSTITUTE(Audio!M385, "RE-", "", 1))*1</f>
        <v>3.12067</v>
      </c>
      <c r="N385" s="92">
        <f>(SUBSTITUTE(Audio!N385, "RE-", "", 1))*1</f>
        <v>1936.18</v>
      </c>
      <c r="O385" s="92">
        <f>(SUBSTITUTE(Audio!O385, "RE-", "", 1))*1</f>
        <v>32.3833</v>
      </c>
      <c r="P385" s="92">
        <f>(SUBSTITUTE(Audio!P385, "RE-", "", 1))*1</f>
        <v>138.518</v>
      </c>
      <c r="Q385" s="92">
        <f>(SUBSTITUTE(Audio!Q385, "RE-", "", 1))*1</f>
        <v>24.157</v>
      </c>
      <c r="R385" s="92">
        <f>(SUBSTITUTE(Audio!R385, "RE-", "", 1))*1</f>
        <v>112.54</v>
      </c>
      <c r="S385" s="92">
        <f>(SUBSTITUTE(Audio!S385, "RE-", "", 1))*1</f>
        <v>8.69323</v>
      </c>
      <c r="T385" s="92">
        <f>(SUBSTITUTE(Audio!T385, "RE-", "", 1))*1</f>
        <v>194.633</v>
      </c>
      <c r="U385" s="92">
        <f>(SUBSTITUTE(Audio!U385, "RE-", "", 1))*1</f>
        <v>17.1923</v>
      </c>
      <c r="V385" s="92">
        <f>(SUBSTITUTE(Audio!V385, "RE-", "", 1))*1</f>
        <v>3.03492</v>
      </c>
      <c r="W385" s="92">
        <f>(SUBSTITUTE(Audio!W385, "RE-", "", 1))*1</f>
        <v>0</v>
      </c>
      <c r="X385" s="92">
        <f>(SUBSTITUTE(Audio!X385, "RE-", "", 1))*1</f>
        <v>0</v>
      </c>
      <c r="Y385" s="92">
        <f>(SUBSTITUTE(Audio!Y385, "RE-", "", 1))*1</f>
        <v>0</v>
      </c>
      <c r="Z385" s="92">
        <f>(SUBSTITUTE(Audio!Z385, "RE-", "", 1))*1</f>
        <v>0</v>
      </c>
      <c r="AA385" s="92"/>
      <c r="AB385" s="92"/>
      <c r="AC385" s="92"/>
      <c r="AD385" s="92"/>
      <c r="AE385" s="92"/>
      <c r="AF385" s="92"/>
      <c r="AG385" s="92"/>
      <c r="AH385" s="92"/>
      <c r="AI385" s="92"/>
      <c r="AJ385" s="92"/>
      <c r="AK385" s="92"/>
      <c r="AL385" s="92"/>
      <c r="AM385" s="92"/>
      <c r="AN385" s="92"/>
      <c r="AO385" s="92"/>
      <c r="AP385" s="92"/>
      <c r="AQ385" s="92"/>
      <c r="AR385" s="92"/>
      <c r="AS385" s="92"/>
      <c r="AT385" s="92"/>
      <c r="AU385" s="92"/>
      <c r="AV385" s="92"/>
      <c r="AW385" s="92"/>
      <c r="AX385" s="92"/>
      <c r="AY385" s="92"/>
      <c r="AZ385" s="92"/>
      <c r="BA385" s="92"/>
      <c r="BB385" s="92"/>
      <c r="BC385" s="92"/>
      <c r="BD385" s="92"/>
      <c r="BE385" s="92"/>
      <c r="BF385" s="92"/>
      <c r="BG385" s="92"/>
      <c r="BH385" s="92"/>
      <c r="BI385" s="92"/>
      <c r="BJ385" s="92"/>
      <c r="BK385" s="92"/>
      <c r="BL385" s="92"/>
      <c r="BM385" s="92"/>
      <c r="BN385" s="92"/>
      <c r="BO385" s="92"/>
      <c r="BP385" s="92"/>
      <c r="BQ385" s="92"/>
      <c r="BR385" s="92"/>
      <c r="BS385" s="92"/>
      <c r="BT385" s="92"/>
      <c r="BU385" s="92"/>
      <c r="BV385" s="92"/>
      <c r="BW385" s="92"/>
      <c r="BX385" s="92"/>
      <c r="BY385" s="92"/>
      <c r="BZ385" s="92"/>
      <c r="CA385" s="92"/>
      <c r="CB385" s="92"/>
      <c r="CC385" s="92"/>
      <c r="CD385" s="92"/>
      <c r="CE385" s="92"/>
      <c r="CF385" s="92"/>
      <c r="CG385" s="92"/>
      <c r="CH385" s="92"/>
      <c r="CI385" s="92"/>
      <c r="CJ385" s="92"/>
      <c r="CK385" s="92"/>
      <c r="CL385" s="92"/>
      <c r="CM385" s="92"/>
      <c r="CN385" s="92"/>
      <c r="CO385" s="92"/>
      <c r="CP385" s="92"/>
      <c r="CQ385" s="92"/>
      <c r="CR385" s="92"/>
      <c r="CS385" s="92"/>
      <c r="CT385" s="92"/>
      <c r="CU385" s="92"/>
      <c r="CV385" s="92"/>
      <c r="CW385" s="92"/>
      <c r="CX385" s="92"/>
      <c r="CY385" s="92"/>
      <c r="CZ385" s="92"/>
      <c r="DA385" s="92"/>
      <c r="DB385" s="92"/>
      <c r="DC385" s="92"/>
      <c r="DD385" s="92"/>
      <c r="DE385" s="92"/>
      <c r="DF385" s="92"/>
      <c r="DG385" s="92"/>
      <c r="DH385" s="92"/>
      <c r="DI385" s="92"/>
      <c r="DJ385" s="92"/>
      <c r="DK385" s="92"/>
      <c r="DL385" s="92"/>
      <c r="DM385" s="92"/>
      <c r="DN385" s="92"/>
      <c r="DO385" s="92"/>
      <c r="DP385" s="92"/>
      <c r="DQ385" s="92"/>
      <c r="DR385" s="92"/>
      <c r="DS385" s="92"/>
      <c r="DT385" s="92"/>
      <c r="DU385" s="92"/>
      <c r="DV385" s="92"/>
      <c r="DW385" s="92"/>
      <c r="DX385" s="92"/>
      <c r="DY385" s="92"/>
      <c r="DZ385" s="92"/>
      <c r="EA385" s="92"/>
      <c r="EB385" s="92"/>
      <c r="EC385" s="92"/>
      <c r="ED385" s="92"/>
      <c r="EE385" s="92"/>
      <c r="EF385" s="92"/>
      <c r="EG385" s="92"/>
      <c r="EH385" s="92"/>
      <c r="EI385" s="92"/>
      <c r="EJ385" s="92"/>
      <c r="EK385" s="92"/>
      <c r="EL385" s="92"/>
      <c r="EM385" s="92"/>
      <c r="EN385" s="92"/>
      <c r="EO385" s="92"/>
      <c r="EP385" s="92"/>
      <c r="EQ385" s="92"/>
      <c r="ER385" s="92"/>
      <c r="ES385" s="92"/>
      <c r="ET385" s="92"/>
      <c r="EU385" s="92"/>
      <c r="EV385" s="92"/>
      <c r="EW385" s="92"/>
      <c r="EX385" s="92"/>
      <c r="EY385" s="92"/>
      <c r="EZ385" s="92"/>
      <c r="FA385" s="92"/>
      <c r="FB385" s="92"/>
      <c r="FC385" s="92"/>
      <c r="FD385" s="92"/>
      <c r="FE385" s="92"/>
      <c r="FF385" s="92"/>
      <c r="FG385" s="92"/>
      <c r="FH385" s="92"/>
    </row>
    <row r="386">
      <c r="A386" s="27" t="s">
        <v>69</v>
      </c>
      <c r="B386" s="27" t="s">
        <v>71</v>
      </c>
      <c r="C386" s="27" t="s">
        <v>15</v>
      </c>
      <c r="D386" s="98">
        <f t="shared" si="1"/>
        <v>4424.08771</v>
      </c>
      <c r="E386" s="92">
        <f>(SUBSTITUTE(Audio!E386, "RE-", "", 1))*1</f>
        <v>0</v>
      </c>
      <c r="F386" s="92">
        <f>(SUBSTITUTE(Audio!F386, "RE-", "", 1))*1</f>
        <v>743.975</v>
      </c>
      <c r="G386" s="92">
        <f>(SUBSTITUTE(Audio!G386, "RE-", "", 1))*1</f>
        <v>3.38895</v>
      </c>
      <c r="H386" s="92">
        <f>(SUBSTITUTE(Audio!H386, "RE-", "", 1))*1</f>
        <v>90.5863</v>
      </c>
      <c r="I386" s="92">
        <f>(SUBSTITUTE(Audio!I386, "RE-", "", 1))*1</f>
        <v>0</v>
      </c>
      <c r="J386" s="92">
        <f>(SUBSTITUTE(Audio!J386, "RE-", "", 1))*1</f>
        <v>711.094</v>
      </c>
      <c r="K386" s="92">
        <f>(SUBSTITUTE(Audio!K386, "RE-", "", 1))*1</f>
        <v>5.02687</v>
      </c>
      <c r="L386" s="92">
        <f>(SUBSTITUTE(Audio!L386, "RE-", "", 1))*1</f>
        <v>67.5015</v>
      </c>
      <c r="M386" s="92">
        <f>(SUBSTITUTE(Audio!M386, "RE-", "", 1))*1</f>
        <v>3.12067</v>
      </c>
      <c r="N386" s="92">
        <f>(SUBSTITUTE(Audio!N386, "RE-", "", 1))*1</f>
        <v>2165.68</v>
      </c>
      <c r="O386" s="92">
        <f>(SUBSTITUTE(Audio!O386, "RE-", "", 1))*1</f>
        <v>39.2282</v>
      </c>
      <c r="P386" s="92">
        <f>(SUBSTITUTE(Audio!P386, "RE-", "", 1))*1</f>
        <v>160.082</v>
      </c>
      <c r="Q386" s="92">
        <f>(SUBSTITUTE(Audio!Q386, "RE-", "", 1))*1</f>
        <v>29.0676</v>
      </c>
      <c r="R386" s="92">
        <f>(SUBSTITUTE(Audio!R386, "RE-", "", 1))*1</f>
        <v>133.645</v>
      </c>
      <c r="S386" s="92">
        <f>(SUBSTITUTE(Audio!S386, "RE-", "", 1))*1</f>
        <v>10.4969</v>
      </c>
      <c r="T386" s="92">
        <f>(SUBSTITUTE(Audio!T386, "RE-", "", 1))*1</f>
        <v>235.309</v>
      </c>
      <c r="U386" s="92">
        <f>(SUBSTITUTE(Audio!U386, "RE-", "", 1))*1</f>
        <v>22.8508</v>
      </c>
      <c r="V386" s="92">
        <f>(SUBSTITUTE(Audio!V386, "RE-", "", 1))*1</f>
        <v>3.03492</v>
      </c>
      <c r="W386" s="92">
        <f>(SUBSTITUTE(Audio!W386, "RE-", "", 1))*1</f>
        <v>0</v>
      </c>
      <c r="X386" s="92">
        <f>(SUBSTITUTE(Audio!X386, "RE-", "", 1))*1</f>
        <v>0</v>
      </c>
      <c r="Y386" s="92">
        <f>(SUBSTITUTE(Audio!Y386, "RE-", "", 1))*1</f>
        <v>0</v>
      </c>
      <c r="Z386" s="92">
        <f>(SUBSTITUTE(Audio!Z386, "RE-", "", 1))*1</f>
        <v>0</v>
      </c>
      <c r="AA386" s="92"/>
      <c r="AB386" s="92"/>
      <c r="AC386" s="92"/>
      <c r="AD386" s="92"/>
      <c r="AE386" s="92"/>
      <c r="AF386" s="92"/>
      <c r="AG386" s="92"/>
      <c r="AH386" s="92"/>
      <c r="AI386" s="92"/>
      <c r="AJ386" s="92"/>
      <c r="AK386" s="92"/>
      <c r="AL386" s="92"/>
      <c r="AM386" s="92"/>
      <c r="AN386" s="92"/>
      <c r="AO386" s="92"/>
      <c r="AP386" s="92"/>
      <c r="AQ386" s="92"/>
      <c r="AR386" s="92"/>
      <c r="AS386" s="92"/>
      <c r="AT386" s="92"/>
      <c r="AU386" s="92"/>
      <c r="AV386" s="92"/>
      <c r="AW386" s="92"/>
      <c r="AX386" s="92"/>
      <c r="AY386" s="92"/>
      <c r="AZ386" s="92"/>
      <c r="BA386" s="92"/>
      <c r="BB386" s="92"/>
      <c r="BC386" s="92"/>
      <c r="BD386" s="92"/>
      <c r="BE386" s="92"/>
      <c r="BF386" s="92"/>
      <c r="BG386" s="92"/>
      <c r="BH386" s="92"/>
      <c r="BI386" s="92"/>
      <c r="BJ386" s="92"/>
      <c r="BK386" s="92"/>
      <c r="BL386" s="92"/>
      <c r="BM386" s="92"/>
      <c r="BN386" s="92"/>
      <c r="BO386" s="92"/>
      <c r="BP386" s="92"/>
      <c r="BQ386" s="92"/>
      <c r="BR386" s="92"/>
      <c r="BS386" s="92"/>
      <c r="BT386" s="92"/>
      <c r="BU386" s="92"/>
      <c r="BV386" s="92"/>
      <c r="BW386" s="92"/>
      <c r="BX386" s="92"/>
      <c r="BY386" s="92"/>
      <c r="BZ386" s="92"/>
      <c r="CA386" s="92"/>
      <c r="CB386" s="92"/>
      <c r="CC386" s="92"/>
      <c r="CD386" s="92"/>
      <c r="CE386" s="92"/>
      <c r="CF386" s="92"/>
      <c r="CG386" s="92"/>
      <c r="CH386" s="92"/>
      <c r="CI386" s="92"/>
      <c r="CJ386" s="92"/>
      <c r="CK386" s="92"/>
      <c r="CL386" s="92"/>
      <c r="CM386" s="92"/>
      <c r="CN386" s="92"/>
      <c r="CO386" s="92"/>
      <c r="CP386" s="92"/>
      <c r="CQ386" s="92"/>
      <c r="CR386" s="92"/>
      <c r="CS386" s="92"/>
      <c r="CT386" s="92"/>
      <c r="CU386" s="92"/>
      <c r="CV386" s="92"/>
      <c r="CW386" s="92"/>
      <c r="CX386" s="92"/>
      <c r="CY386" s="92"/>
      <c r="CZ386" s="92"/>
      <c r="DA386" s="92"/>
      <c r="DB386" s="92"/>
      <c r="DC386" s="92"/>
      <c r="DD386" s="92"/>
      <c r="DE386" s="92"/>
      <c r="DF386" s="92"/>
      <c r="DG386" s="92"/>
      <c r="DH386" s="92"/>
      <c r="DI386" s="92"/>
      <c r="DJ386" s="92"/>
      <c r="DK386" s="92"/>
      <c r="DL386" s="92"/>
      <c r="DM386" s="92"/>
      <c r="DN386" s="92"/>
      <c r="DO386" s="92"/>
      <c r="DP386" s="92"/>
      <c r="DQ386" s="92"/>
      <c r="DR386" s="92"/>
      <c r="DS386" s="92"/>
      <c r="DT386" s="92"/>
      <c r="DU386" s="92"/>
      <c r="DV386" s="92"/>
      <c r="DW386" s="92"/>
      <c r="DX386" s="92"/>
      <c r="DY386" s="92"/>
      <c r="DZ386" s="92"/>
      <c r="EA386" s="92"/>
      <c r="EB386" s="92"/>
      <c r="EC386" s="92"/>
      <c r="ED386" s="92"/>
      <c r="EE386" s="92"/>
      <c r="EF386" s="92"/>
      <c r="EG386" s="92"/>
      <c r="EH386" s="92"/>
      <c r="EI386" s="92"/>
      <c r="EJ386" s="92"/>
      <c r="EK386" s="92"/>
      <c r="EL386" s="92"/>
      <c r="EM386" s="92"/>
      <c r="EN386" s="92"/>
      <c r="EO386" s="92"/>
      <c r="EP386" s="92"/>
      <c r="EQ386" s="92"/>
      <c r="ER386" s="92"/>
      <c r="ES386" s="92"/>
      <c r="ET386" s="92"/>
      <c r="EU386" s="92"/>
      <c r="EV386" s="92"/>
      <c r="EW386" s="92"/>
      <c r="EX386" s="92"/>
      <c r="EY386" s="92"/>
      <c r="EZ386" s="92"/>
      <c r="FA386" s="92"/>
      <c r="FB386" s="92"/>
      <c r="FC386" s="92"/>
      <c r="FD386" s="92"/>
      <c r="FE386" s="92"/>
      <c r="FF386" s="92"/>
      <c r="FG386" s="92"/>
      <c r="FH386" s="92"/>
    </row>
    <row r="387">
      <c r="A387" s="30" t="s">
        <v>35</v>
      </c>
      <c r="B387" s="30" t="s">
        <v>72</v>
      </c>
      <c r="C387" s="31" t="str">
        <f>HYPERLINK("https://docs.google.com/spreadsheets/d/1TcbmR3YYPqaL27EE3xEVY6pOO1Dw7sAo/edit?usp=share_link&amp;ouid=118279477453217743021&amp;rtpof=true&amp;sd=true", "Raw Delivered")</f>
        <v>Raw Delivered</v>
      </c>
      <c r="D387" s="96">
        <f t="shared" si="1"/>
        <v>5883.863712</v>
      </c>
      <c r="E387" s="92">
        <f>(SUBSTITUTE(Audio!E387, "RE-", "", 1))*1</f>
        <v>0</v>
      </c>
      <c r="F387" s="92">
        <f>(SUBSTITUTE(Audio!F387, "RE-", "", 1))*1</f>
        <v>1202.717451</v>
      </c>
      <c r="G387" s="92">
        <f>(SUBSTITUTE(Audio!G387, "RE-", "", 1))*1</f>
        <v>0</v>
      </c>
      <c r="H387" s="92">
        <f>(SUBSTITUTE(Audio!H387, "RE-", "", 1))*1</f>
        <v>140.4485188</v>
      </c>
      <c r="I387" s="92">
        <f>(SUBSTITUTE(Audio!I387, "RE-", "", 1))*1</f>
        <v>0</v>
      </c>
      <c r="J387" s="92">
        <f>(SUBSTITUTE(Audio!J387, "RE-", "", 1))*1</f>
        <v>1575.190701</v>
      </c>
      <c r="K387" s="92">
        <f>(SUBSTITUTE(Audio!K387, "RE-", "", 1))*1</f>
        <v>0</v>
      </c>
      <c r="L387" s="92">
        <f>(SUBSTITUTE(Audio!L387, "RE-", "", 1))*1</f>
        <v>1273.9504</v>
      </c>
      <c r="M387" s="92">
        <f>(SUBSTITUTE(Audio!M387, "RE-", "", 1))*1</f>
        <v>0</v>
      </c>
      <c r="N387" s="92">
        <f>(SUBSTITUTE(Audio!N387, "RE-", "", 1))*1</f>
        <v>437.0298896</v>
      </c>
      <c r="O387" s="92">
        <f>(SUBSTITUTE(Audio!O387, "RE-", "", 1))*1</f>
        <v>0</v>
      </c>
      <c r="P387" s="92">
        <f>(SUBSTITUTE(Audio!P387, "RE-", "", 1))*1</f>
        <v>224.4410052</v>
      </c>
      <c r="Q387" s="92">
        <f>(SUBSTITUTE(Audio!Q387, "RE-", "", 1))*1</f>
        <v>0</v>
      </c>
      <c r="R387" s="92">
        <f>(SUBSTITUTE(Audio!R387, "RE-", "", 1))*1</f>
        <v>50.54385417</v>
      </c>
      <c r="S387" s="92">
        <f>(SUBSTITUTE(Audio!S387, "RE-", "", 1))*1</f>
        <v>0</v>
      </c>
      <c r="T387" s="92">
        <f>(SUBSTITUTE(Audio!T387, "RE-", "", 1))*1</f>
        <v>979.5418927</v>
      </c>
      <c r="U387" s="92">
        <f>(SUBSTITUTE(Audio!U387, "RE-", "", 1))*1</f>
        <v>0</v>
      </c>
      <c r="V387" s="92">
        <f>(SUBSTITUTE(Audio!V387, "RE-", "", 1))*1</f>
        <v>0</v>
      </c>
      <c r="W387" s="92">
        <f>(SUBSTITUTE(Audio!W387, "RE-", "", 1))*1</f>
        <v>0</v>
      </c>
      <c r="X387" s="92">
        <f>(SUBSTITUTE(Audio!X387, "RE-", "", 1))*1</f>
        <v>0</v>
      </c>
      <c r="Y387" s="92">
        <f>(SUBSTITUTE(Audio!Y387, "RE-", "", 1))*1</f>
        <v>0</v>
      </c>
      <c r="Z387" s="92">
        <f>(SUBSTITUTE(Audio!Z387, "RE-", "", 1))*1</f>
        <v>0</v>
      </c>
      <c r="AA387" s="92"/>
      <c r="AB387" s="92"/>
      <c r="AC387" s="92"/>
      <c r="AD387" s="92"/>
      <c r="AE387" s="92"/>
      <c r="AF387" s="92"/>
      <c r="AG387" s="92"/>
      <c r="AH387" s="92"/>
      <c r="AI387" s="92"/>
      <c r="AJ387" s="92"/>
      <c r="AK387" s="92"/>
      <c r="AL387" s="92"/>
      <c r="AM387" s="92"/>
      <c r="AN387" s="92"/>
      <c r="AO387" s="92"/>
      <c r="AP387" s="92"/>
      <c r="AQ387" s="92"/>
      <c r="AR387" s="92"/>
      <c r="AS387" s="92"/>
      <c r="AT387" s="92"/>
      <c r="AU387" s="92"/>
      <c r="AV387" s="92"/>
      <c r="AW387" s="92"/>
      <c r="AX387" s="92"/>
      <c r="AY387" s="92"/>
      <c r="AZ387" s="92"/>
      <c r="BA387" s="92"/>
      <c r="BB387" s="92"/>
      <c r="BC387" s="92"/>
      <c r="BD387" s="92"/>
      <c r="BE387" s="92"/>
      <c r="BF387" s="92"/>
      <c r="BG387" s="92"/>
      <c r="BH387" s="92"/>
      <c r="BI387" s="92"/>
      <c r="BJ387" s="92"/>
      <c r="BK387" s="92"/>
      <c r="BL387" s="92"/>
      <c r="BM387" s="92"/>
      <c r="BN387" s="92"/>
      <c r="BO387" s="92"/>
      <c r="BP387" s="92"/>
      <c r="BQ387" s="92"/>
      <c r="BR387" s="92"/>
      <c r="BS387" s="92"/>
      <c r="BT387" s="92"/>
      <c r="BU387" s="92"/>
      <c r="BV387" s="92"/>
      <c r="BW387" s="92"/>
      <c r="BX387" s="92"/>
      <c r="BY387" s="92"/>
      <c r="BZ387" s="92"/>
      <c r="CA387" s="92"/>
      <c r="CB387" s="92"/>
      <c r="CC387" s="92"/>
      <c r="CD387" s="92"/>
      <c r="CE387" s="92"/>
      <c r="CF387" s="92"/>
      <c r="CG387" s="92"/>
      <c r="CH387" s="92"/>
      <c r="CI387" s="92"/>
      <c r="CJ387" s="92"/>
      <c r="CK387" s="92"/>
      <c r="CL387" s="92"/>
      <c r="CM387" s="92"/>
      <c r="CN387" s="92"/>
      <c r="CO387" s="92"/>
      <c r="CP387" s="92"/>
      <c r="CQ387" s="92"/>
      <c r="CR387" s="92"/>
      <c r="CS387" s="92"/>
      <c r="CT387" s="92"/>
      <c r="CU387" s="92"/>
      <c r="CV387" s="92"/>
      <c r="CW387" s="92"/>
      <c r="CX387" s="92"/>
      <c r="CY387" s="92"/>
      <c r="CZ387" s="92"/>
      <c r="DA387" s="92"/>
      <c r="DB387" s="92"/>
      <c r="DC387" s="92"/>
      <c r="DD387" s="92"/>
      <c r="DE387" s="92"/>
      <c r="DF387" s="92"/>
      <c r="DG387" s="92"/>
      <c r="DH387" s="92"/>
      <c r="DI387" s="92"/>
      <c r="DJ387" s="92"/>
      <c r="DK387" s="92"/>
      <c r="DL387" s="92"/>
      <c r="DM387" s="92"/>
      <c r="DN387" s="92"/>
      <c r="DO387" s="92"/>
      <c r="DP387" s="92"/>
      <c r="DQ387" s="92"/>
      <c r="DR387" s="92"/>
      <c r="DS387" s="92"/>
      <c r="DT387" s="92"/>
      <c r="DU387" s="92"/>
      <c r="DV387" s="92"/>
      <c r="DW387" s="92"/>
      <c r="DX387" s="92"/>
      <c r="DY387" s="92"/>
      <c r="DZ387" s="92"/>
      <c r="EA387" s="92"/>
      <c r="EB387" s="92"/>
      <c r="EC387" s="92"/>
      <c r="ED387" s="92"/>
      <c r="EE387" s="92"/>
      <c r="EF387" s="92"/>
      <c r="EG387" s="92"/>
      <c r="EH387" s="92"/>
      <c r="EI387" s="92"/>
      <c r="EJ387" s="92"/>
      <c r="EK387" s="92"/>
      <c r="EL387" s="92"/>
      <c r="EM387" s="92"/>
      <c r="EN387" s="92"/>
      <c r="EO387" s="92"/>
      <c r="EP387" s="92"/>
      <c r="EQ387" s="92"/>
      <c r="ER387" s="92"/>
      <c r="ES387" s="92"/>
      <c r="ET387" s="92"/>
      <c r="EU387" s="92"/>
      <c r="EV387" s="92"/>
      <c r="EW387" s="92"/>
      <c r="EX387" s="92"/>
      <c r="EY387" s="92"/>
      <c r="EZ387" s="92"/>
      <c r="FA387" s="92"/>
      <c r="FB387" s="92"/>
      <c r="FC387" s="92"/>
      <c r="FD387" s="92"/>
      <c r="FE387" s="92"/>
      <c r="FF387" s="92"/>
      <c r="FG387" s="92"/>
      <c r="FH387" s="92"/>
    </row>
    <row r="388">
      <c r="A388" s="32" t="s">
        <v>35</v>
      </c>
      <c r="B388" s="32" t="s">
        <v>72</v>
      </c>
      <c r="C388" s="32" t="s">
        <v>9</v>
      </c>
      <c r="D388" s="97">
        <f t="shared" si="1"/>
        <v>5883.863712</v>
      </c>
      <c r="E388" s="92">
        <f>(SUBSTITUTE(Audio!E388, "RE-", "", 1))*1</f>
        <v>0</v>
      </c>
      <c r="F388" s="92">
        <f>(SUBSTITUTE(Audio!F388, "RE-", "", 1))*1</f>
        <v>1202.717451</v>
      </c>
      <c r="G388" s="92">
        <f>(SUBSTITUTE(Audio!G388, "RE-", "", 1))*1</f>
        <v>0</v>
      </c>
      <c r="H388" s="92">
        <f>(SUBSTITUTE(Audio!H388, "RE-", "", 1))*1</f>
        <v>140.4485188</v>
      </c>
      <c r="I388" s="92">
        <f>(SUBSTITUTE(Audio!I388, "RE-", "", 1))*1</f>
        <v>0</v>
      </c>
      <c r="J388" s="92">
        <f>(SUBSTITUTE(Audio!J388, "RE-", "", 1))*1</f>
        <v>1575.190701</v>
      </c>
      <c r="K388" s="92">
        <f>(SUBSTITUTE(Audio!K388, "RE-", "", 1))*1</f>
        <v>0</v>
      </c>
      <c r="L388" s="92">
        <f>(SUBSTITUTE(Audio!L388, "RE-", "", 1))*1</f>
        <v>1273.9504</v>
      </c>
      <c r="M388" s="92">
        <f>(SUBSTITUTE(Audio!M388, "RE-", "", 1))*1</f>
        <v>0</v>
      </c>
      <c r="N388" s="92">
        <f>(SUBSTITUTE(Audio!N388, "RE-", "", 1))*1</f>
        <v>437.0298896</v>
      </c>
      <c r="O388" s="92">
        <f>(SUBSTITUTE(Audio!O388, "RE-", "", 1))*1</f>
        <v>0</v>
      </c>
      <c r="P388" s="92">
        <f>(SUBSTITUTE(Audio!P388, "RE-", "", 1))*1</f>
        <v>224.4410052</v>
      </c>
      <c r="Q388" s="92">
        <f>(SUBSTITUTE(Audio!Q388, "RE-", "", 1))*1</f>
        <v>0</v>
      </c>
      <c r="R388" s="92">
        <f>(SUBSTITUTE(Audio!R388, "RE-", "", 1))*1</f>
        <v>50.54385417</v>
      </c>
      <c r="S388" s="92">
        <f>(SUBSTITUTE(Audio!S388, "RE-", "", 1))*1</f>
        <v>0</v>
      </c>
      <c r="T388" s="92">
        <f>(SUBSTITUTE(Audio!T388, "RE-", "", 1))*1</f>
        <v>979.5418927</v>
      </c>
      <c r="U388" s="92">
        <f>(SUBSTITUTE(Audio!U388, "RE-", "", 1))*1</f>
        <v>0</v>
      </c>
      <c r="V388" s="92">
        <f>(SUBSTITUTE(Audio!V388, "RE-", "", 1))*1</f>
        <v>0</v>
      </c>
      <c r="W388" s="92">
        <f>(SUBSTITUTE(Audio!W388, "RE-", "", 1))*1</f>
        <v>0</v>
      </c>
      <c r="X388" s="92">
        <f>(SUBSTITUTE(Audio!X388, "RE-", "", 1))*1</f>
        <v>0</v>
      </c>
      <c r="Y388" s="92">
        <f>(SUBSTITUTE(Audio!Y388, "RE-", "", 1))*1</f>
        <v>0</v>
      </c>
      <c r="Z388" s="92">
        <f>(SUBSTITUTE(Audio!Z388, "RE-", "", 1))*1</f>
        <v>0</v>
      </c>
      <c r="AA388" s="92"/>
      <c r="AB388" s="92"/>
      <c r="AC388" s="92"/>
      <c r="AD388" s="92"/>
      <c r="AE388" s="92"/>
      <c r="AF388" s="92"/>
      <c r="AG388" s="92"/>
      <c r="AH388" s="92"/>
      <c r="AI388" s="92"/>
      <c r="AJ388" s="92"/>
      <c r="AK388" s="92"/>
      <c r="AL388" s="92"/>
      <c r="AM388" s="92"/>
      <c r="AN388" s="92"/>
      <c r="AO388" s="92"/>
      <c r="AP388" s="92"/>
      <c r="AQ388" s="92"/>
      <c r="AR388" s="92"/>
      <c r="AS388" s="92"/>
      <c r="AT388" s="92"/>
      <c r="AU388" s="92"/>
      <c r="AV388" s="92"/>
      <c r="AW388" s="92"/>
      <c r="AX388" s="92"/>
      <c r="AY388" s="92"/>
      <c r="AZ388" s="92"/>
      <c r="BA388" s="92"/>
      <c r="BB388" s="92"/>
      <c r="BC388" s="92"/>
      <c r="BD388" s="92"/>
      <c r="BE388" s="92"/>
      <c r="BF388" s="92"/>
      <c r="BG388" s="92"/>
      <c r="BH388" s="92"/>
      <c r="BI388" s="92"/>
      <c r="BJ388" s="92"/>
      <c r="BK388" s="92"/>
      <c r="BL388" s="92"/>
      <c r="BM388" s="92"/>
      <c r="BN388" s="92"/>
      <c r="BO388" s="92"/>
      <c r="BP388" s="92"/>
      <c r="BQ388" s="92"/>
      <c r="BR388" s="92"/>
      <c r="BS388" s="92"/>
      <c r="BT388" s="92"/>
      <c r="BU388" s="92"/>
      <c r="BV388" s="92"/>
      <c r="BW388" s="92"/>
      <c r="BX388" s="92"/>
      <c r="BY388" s="92"/>
      <c r="BZ388" s="92"/>
      <c r="CA388" s="92"/>
      <c r="CB388" s="92"/>
      <c r="CC388" s="92"/>
      <c r="CD388" s="92"/>
      <c r="CE388" s="92"/>
      <c r="CF388" s="92"/>
      <c r="CG388" s="92"/>
      <c r="CH388" s="92"/>
      <c r="CI388" s="92"/>
      <c r="CJ388" s="92"/>
      <c r="CK388" s="92"/>
      <c r="CL388" s="92"/>
      <c r="CM388" s="92"/>
      <c r="CN388" s="92"/>
      <c r="CO388" s="92"/>
      <c r="CP388" s="92"/>
      <c r="CQ388" s="92"/>
      <c r="CR388" s="92"/>
      <c r="CS388" s="92"/>
      <c r="CT388" s="92"/>
      <c r="CU388" s="92"/>
      <c r="CV388" s="92"/>
      <c r="CW388" s="92"/>
      <c r="CX388" s="92"/>
      <c r="CY388" s="92"/>
      <c r="CZ388" s="92"/>
      <c r="DA388" s="92"/>
      <c r="DB388" s="92"/>
      <c r="DC388" s="92"/>
      <c r="DD388" s="92"/>
      <c r="DE388" s="92"/>
      <c r="DF388" s="92"/>
      <c r="DG388" s="92"/>
      <c r="DH388" s="92"/>
      <c r="DI388" s="92"/>
      <c r="DJ388" s="92"/>
      <c r="DK388" s="92"/>
      <c r="DL388" s="92"/>
      <c r="DM388" s="92"/>
      <c r="DN388" s="92"/>
      <c r="DO388" s="92"/>
      <c r="DP388" s="92"/>
      <c r="DQ388" s="92"/>
      <c r="DR388" s="92"/>
      <c r="DS388" s="92"/>
      <c r="DT388" s="92"/>
      <c r="DU388" s="92"/>
      <c r="DV388" s="92"/>
      <c r="DW388" s="92"/>
      <c r="DX388" s="92"/>
      <c r="DY388" s="92"/>
      <c r="DZ388" s="92"/>
      <c r="EA388" s="92"/>
      <c r="EB388" s="92"/>
      <c r="EC388" s="92"/>
      <c r="ED388" s="92"/>
      <c r="EE388" s="92"/>
      <c r="EF388" s="92"/>
      <c r="EG388" s="92"/>
      <c r="EH388" s="92"/>
      <c r="EI388" s="92"/>
      <c r="EJ388" s="92"/>
      <c r="EK388" s="92"/>
      <c r="EL388" s="92"/>
      <c r="EM388" s="92"/>
      <c r="EN388" s="92"/>
      <c r="EO388" s="92"/>
      <c r="EP388" s="92"/>
      <c r="EQ388" s="92"/>
      <c r="ER388" s="92"/>
      <c r="ES388" s="92"/>
      <c r="ET388" s="92"/>
      <c r="EU388" s="92"/>
      <c r="EV388" s="92"/>
      <c r="EW388" s="92"/>
      <c r="EX388" s="92"/>
      <c r="EY388" s="92"/>
      <c r="EZ388" s="92"/>
      <c r="FA388" s="92"/>
      <c r="FB388" s="92"/>
      <c r="FC388" s="92"/>
      <c r="FD388" s="92"/>
      <c r="FE388" s="92"/>
      <c r="FF388" s="92"/>
      <c r="FG388" s="92"/>
      <c r="FH388" s="92"/>
    </row>
    <row r="389">
      <c r="A389" s="32" t="s">
        <v>35</v>
      </c>
      <c r="B389" s="32" t="s">
        <v>72</v>
      </c>
      <c r="C389" s="32" t="s">
        <v>10</v>
      </c>
      <c r="D389" s="97">
        <f t="shared" si="1"/>
        <v>464.6788833</v>
      </c>
      <c r="E389" s="92">
        <f>(SUBSTITUTE(Audio!E389, "RE-", "", 1))*1</f>
        <v>0</v>
      </c>
      <c r="F389" s="92">
        <f>(SUBSTITUTE(Audio!F389, "RE-", "", 1))*1</f>
        <v>0</v>
      </c>
      <c r="G389" s="92">
        <f>(SUBSTITUTE(Audio!G389, "RE-", "", 1))*1</f>
        <v>158.5756979</v>
      </c>
      <c r="H389" s="92">
        <f>(SUBSTITUTE(Audio!H389, "RE-", "", 1))*1</f>
        <v>0</v>
      </c>
      <c r="I389" s="92">
        <f>(SUBSTITUTE(Audio!I389, "RE-", "", 1))*1</f>
        <v>18.26853125</v>
      </c>
      <c r="J389" s="92">
        <f>(SUBSTITUTE(Audio!J389, "RE-", "", 1))*1</f>
        <v>0</v>
      </c>
      <c r="K389" s="92">
        <f>(SUBSTITUTE(Audio!K389, "RE-", "", 1))*1</f>
        <v>101.0454458</v>
      </c>
      <c r="L389" s="92">
        <f>(SUBSTITUTE(Audio!L389, "RE-", "", 1))*1</f>
        <v>0</v>
      </c>
      <c r="M389" s="92">
        <f>(SUBSTITUTE(Audio!M389, "RE-", "", 1))*1</f>
        <v>62.30552708</v>
      </c>
      <c r="N389" s="92">
        <f>(SUBSTITUTE(Audio!N389, "RE-", "", 1))*1</f>
        <v>0</v>
      </c>
      <c r="O389" s="92">
        <f>(SUBSTITUTE(Audio!O389, "RE-", "", 1))*1</f>
        <v>39.29037917</v>
      </c>
      <c r="P389" s="92">
        <f>(SUBSTITUTE(Audio!P389, "RE-", "", 1))*1</f>
        <v>0</v>
      </c>
      <c r="Q389" s="92">
        <f>(SUBSTITUTE(Audio!Q389, "RE-", "", 1))*1</f>
        <v>16.9677</v>
      </c>
      <c r="R389" s="92">
        <f>(SUBSTITUTE(Audio!R389, "RE-", "", 1))*1</f>
        <v>0</v>
      </c>
      <c r="S389" s="92">
        <f>(SUBSTITUTE(Audio!S389, "RE-", "", 1))*1</f>
        <v>4.128954167</v>
      </c>
      <c r="T389" s="92">
        <f>(SUBSTITUTE(Audio!T389, "RE-", "", 1))*1</f>
        <v>0</v>
      </c>
      <c r="U389" s="92">
        <f>(SUBSTITUTE(Audio!U389, "RE-", "", 1))*1</f>
        <v>43.62471458</v>
      </c>
      <c r="V389" s="92">
        <f>(SUBSTITUTE(Audio!V389, "RE-", "", 1))*1</f>
        <v>20.47193333</v>
      </c>
      <c r="W389" s="92">
        <f>(SUBSTITUTE(Audio!W389, "RE-", "", 1))*1</f>
        <v>0</v>
      </c>
      <c r="X389" s="92">
        <f>(SUBSTITUTE(Audio!X389, "RE-", "", 1))*1</f>
        <v>0</v>
      </c>
      <c r="Y389" s="92">
        <f>(SUBSTITUTE(Audio!Y389, "RE-", "", 1))*1</f>
        <v>0</v>
      </c>
      <c r="Z389" s="92">
        <f>(SUBSTITUTE(Audio!Z389, "RE-", "", 1))*1</f>
        <v>0</v>
      </c>
      <c r="AA389" s="92"/>
      <c r="AB389" s="92"/>
      <c r="AC389" s="92"/>
      <c r="AD389" s="92"/>
      <c r="AE389" s="92"/>
      <c r="AF389" s="92"/>
      <c r="AG389" s="92"/>
      <c r="AH389" s="92"/>
      <c r="AI389" s="92"/>
      <c r="AJ389" s="92"/>
      <c r="AK389" s="92"/>
      <c r="AL389" s="92"/>
      <c r="AM389" s="92"/>
      <c r="AN389" s="92"/>
      <c r="AO389" s="92"/>
      <c r="AP389" s="92"/>
      <c r="AQ389" s="92"/>
      <c r="AR389" s="92"/>
      <c r="AS389" s="92"/>
      <c r="AT389" s="92"/>
      <c r="AU389" s="92"/>
      <c r="AV389" s="92"/>
      <c r="AW389" s="92"/>
      <c r="AX389" s="92"/>
      <c r="AY389" s="92"/>
      <c r="AZ389" s="92"/>
      <c r="BA389" s="92"/>
      <c r="BB389" s="92"/>
      <c r="BC389" s="92"/>
      <c r="BD389" s="92"/>
      <c r="BE389" s="92"/>
      <c r="BF389" s="92"/>
      <c r="BG389" s="92"/>
      <c r="BH389" s="92"/>
      <c r="BI389" s="92"/>
      <c r="BJ389" s="92"/>
      <c r="BK389" s="92"/>
      <c r="BL389" s="92"/>
      <c r="BM389" s="92"/>
      <c r="BN389" s="92"/>
      <c r="BO389" s="92"/>
      <c r="BP389" s="92"/>
      <c r="BQ389" s="92"/>
      <c r="BR389" s="92"/>
      <c r="BS389" s="92"/>
      <c r="BT389" s="92"/>
      <c r="BU389" s="92"/>
      <c r="BV389" s="92"/>
      <c r="BW389" s="92"/>
      <c r="BX389" s="92"/>
      <c r="BY389" s="92"/>
      <c r="BZ389" s="92"/>
      <c r="CA389" s="92"/>
      <c r="CB389" s="92"/>
      <c r="CC389" s="92"/>
      <c r="CD389" s="92"/>
      <c r="CE389" s="92"/>
      <c r="CF389" s="92"/>
      <c r="CG389" s="92"/>
      <c r="CH389" s="92"/>
      <c r="CI389" s="92"/>
      <c r="CJ389" s="92"/>
      <c r="CK389" s="92"/>
      <c r="CL389" s="92"/>
      <c r="CM389" s="92"/>
      <c r="CN389" s="92"/>
      <c r="CO389" s="92"/>
      <c r="CP389" s="92"/>
      <c r="CQ389" s="92"/>
      <c r="CR389" s="92"/>
      <c r="CS389" s="92"/>
      <c r="CT389" s="92"/>
      <c r="CU389" s="92"/>
      <c r="CV389" s="92"/>
      <c r="CW389" s="92"/>
      <c r="CX389" s="92"/>
      <c r="CY389" s="92"/>
      <c r="CZ389" s="92"/>
      <c r="DA389" s="92"/>
      <c r="DB389" s="92"/>
      <c r="DC389" s="92"/>
      <c r="DD389" s="92"/>
      <c r="DE389" s="92"/>
      <c r="DF389" s="92"/>
      <c r="DG389" s="92"/>
      <c r="DH389" s="92"/>
      <c r="DI389" s="92"/>
      <c r="DJ389" s="92"/>
      <c r="DK389" s="92"/>
      <c r="DL389" s="92"/>
      <c r="DM389" s="92"/>
      <c r="DN389" s="92"/>
      <c r="DO389" s="92"/>
      <c r="DP389" s="92"/>
      <c r="DQ389" s="92"/>
      <c r="DR389" s="92"/>
      <c r="DS389" s="92"/>
      <c r="DT389" s="92"/>
      <c r="DU389" s="92"/>
      <c r="DV389" s="92"/>
      <c r="DW389" s="92"/>
      <c r="DX389" s="92"/>
      <c r="DY389" s="92"/>
      <c r="DZ389" s="92"/>
      <c r="EA389" s="92"/>
      <c r="EB389" s="92"/>
      <c r="EC389" s="92"/>
      <c r="ED389" s="92"/>
      <c r="EE389" s="92"/>
      <c r="EF389" s="92"/>
      <c r="EG389" s="92"/>
      <c r="EH389" s="92"/>
      <c r="EI389" s="92"/>
      <c r="EJ389" s="92"/>
      <c r="EK389" s="92"/>
      <c r="EL389" s="92"/>
      <c r="EM389" s="92"/>
      <c r="EN389" s="92"/>
      <c r="EO389" s="92"/>
      <c r="EP389" s="92"/>
      <c r="EQ389" s="92"/>
      <c r="ER389" s="92"/>
      <c r="ES389" s="92"/>
      <c r="ET389" s="92"/>
      <c r="EU389" s="92"/>
      <c r="EV389" s="92"/>
      <c r="EW389" s="92"/>
      <c r="EX389" s="92"/>
      <c r="EY389" s="92"/>
      <c r="EZ389" s="92"/>
      <c r="FA389" s="92"/>
      <c r="FB389" s="92"/>
      <c r="FC389" s="92"/>
      <c r="FD389" s="92"/>
      <c r="FE389" s="92"/>
      <c r="FF389" s="92"/>
      <c r="FG389" s="92"/>
      <c r="FH389" s="92"/>
    </row>
    <row r="390">
      <c r="A390" s="32" t="s">
        <v>35</v>
      </c>
      <c r="B390" s="32" t="s">
        <v>72</v>
      </c>
      <c r="C390" s="32" t="s">
        <v>11</v>
      </c>
      <c r="D390" s="97">
        <f t="shared" si="1"/>
        <v>464.6788833</v>
      </c>
      <c r="E390" s="92">
        <f>(SUBSTITUTE(Audio!E390, "RE-", "", 1))*1</f>
        <v>0</v>
      </c>
      <c r="F390" s="92">
        <f>(SUBSTITUTE(Audio!F390, "RE-", "", 1))*1</f>
        <v>0</v>
      </c>
      <c r="G390" s="92">
        <f>(SUBSTITUTE(Audio!G390, "RE-", "", 1))*1</f>
        <v>158.5756979</v>
      </c>
      <c r="H390" s="92">
        <f>(SUBSTITUTE(Audio!H390, "RE-", "", 1))*1</f>
        <v>0</v>
      </c>
      <c r="I390" s="92">
        <f>(SUBSTITUTE(Audio!I390, "RE-", "", 1))*1</f>
        <v>18.26853125</v>
      </c>
      <c r="J390" s="92">
        <f>(SUBSTITUTE(Audio!J390, "RE-", "", 1))*1</f>
        <v>0</v>
      </c>
      <c r="K390" s="92">
        <f>(SUBSTITUTE(Audio!K390, "RE-", "", 1))*1</f>
        <v>101.0454458</v>
      </c>
      <c r="L390" s="92">
        <f>(SUBSTITUTE(Audio!L390, "RE-", "", 1))*1</f>
        <v>0</v>
      </c>
      <c r="M390" s="92">
        <f>(SUBSTITUTE(Audio!M390, "RE-", "", 1))*1</f>
        <v>62.30552708</v>
      </c>
      <c r="N390" s="92">
        <f>(SUBSTITUTE(Audio!N390, "RE-", "", 1))*1</f>
        <v>0</v>
      </c>
      <c r="O390" s="92">
        <f>(SUBSTITUTE(Audio!O390, "RE-", "", 1))*1</f>
        <v>39.29037917</v>
      </c>
      <c r="P390" s="92">
        <f>(SUBSTITUTE(Audio!P390, "RE-", "", 1))*1</f>
        <v>0</v>
      </c>
      <c r="Q390" s="92">
        <f>(SUBSTITUTE(Audio!Q390, "RE-", "", 1))*1</f>
        <v>16.9677</v>
      </c>
      <c r="R390" s="92">
        <f>(SUBSTITUTE(Audio!R390, "RE-", "", 1))*1</f>
        <v>0</v>
      </c>
      <c r="S390" s="92">
        <f>(SUBSTITUTE(Audio!S390, "RE-", "", 1))*1</f>
        <v>4.128954167</v>
      </c>
      <c r="T390" s="92">
        <f>(SUBSTITUTE(Audio!T390, "RE-", "", 1))*1</f>
        <v>0</v>
      </c>
      <c r="U390" s="92">
        <f>(SUBSTITUTE(Audio!U390, "RE-", "", 1))*1</f>
        <v>43.62471458</v>
      </c>
      <c r="V390" s="92">
        <f>(SUBSTITUTE(Audio!V390, "RE-", "", 1))*1</f>
        <v>20.47193333</v>
      </c>
      <c r="W390" s="92">
        <f>(SUBSTITUTE(Audio!W390, "RE-", "", 1))*1</f>
        <v>0</v>
      </c>
      <c r="X390" s="92">
        <f>(SUBSTITUTE(Audio!X390, "RE-", "", 1))*1</f>
        <v>0</v>
      </c>
      <c r="Y390" s="92">
        <f>(SUBSTITUTE(Audio!Y390, "RE-", "", 1))*1</f>
        <v>0</v>
      </c>
      <c r="Z390" s="92">
        <f>(SUBSTITUTE(Audio!Z390, "RE-", "", 1))*1</f>
        <v>0</v>
      </c>
      <c r="AA390" s="92"/>
      <c r="AB390" s="92"/>
      <c r="AC390" s="92"/>
      <c r="AD390" s="92"/>
      <c r="AE390" s="92"/>
      <c r="AF390" s="92"/>
      <c r="AG390" s="92"/>
      <c r="AH390" s="92"/>
      <c r="AI390" s="92"/>
      <c r="AJ390" s="92"/>
      <c r="AK390" s="92"/>
      <c r="AL390" s="92"/>
      <c r="AM390" s="92"/>
      <c r="AN390" s="92"/>
      <c r="AO390" s="92"/>
      <c r="AP390" s="92"/>
      <c r="AQ390" s="92"/>
      <c r="AR390" s="92"/>
      <c r="AS390" s="92"/>
      <c r="AT390" s="92"/>
      <c r="AU390" s="92"/>
      <c r="AV390" s="92"/>
      <c r="AW390" s="92"/>
      <c r="AX390" s="92"/>
      <c r="AY390" s="92"/>
      <c r="AZ390" s="92"/>
      <c r="BA390" s="92"/>
      <c r="BB390" s="92"/>
      <c r="BC390" s="92"/>
      <c r="BD390" s="92"/>
      <c r="BE390" s="92"/>
      <c r="BF390" s="92"/>
      <c r="BG390" s="92"/>
      <c r="BH390" s="92"/>
      <c r="BI390" s="92"/>
      <c r="BJ390" s="92"/>
      <c r="BK390" s="92"/>
      <c r="BL390" s="92"/>
      <c r="BM390" s="92"/>
      <c r="BN390" s="92"/>
      <c r="BO390" s="92"/>
      <c r="BP390" s="92"/>
      <c r="BQ390" s="92"/>
      <c r="BR390" s="92"/>
      <c r="BS390" s="92"/>
      <c r="BT390" s="92"/>
      <c r="BU390" s="92"/>
      <c r="BV390" s="92"/>
      <c r="BW390" s="92"/>
      <c r="BX390" s="92"/>
      <c r="BY390" s="92"/>
      <c r="BZ390" s="92"/>
      <c r="CA390" s="92"/>
      <c r="CB390" s="92"/>
      <c r="CC390" s="92"/>
      <c r="CD390" s="92"/>
      <c r="CE390" s="92"/>
      <c r="CF390" s="92"/>
      <c r="CG390" s="92"/>
      <c r="CH390" s="92"/>
      <c r="CI390" s="92"/>
      <c r="CJ390" s="92"/>
      <c r="CK390" s="92"/>
      <c r="CL390" s="92"/>
      <c r="CM390" s="92"/>
      <c r="CN390" s="92"/>
      <c r="CO390" s="92"/>
      <c r="CP390" s="92"/>
      <c r="CQ390" s="92"/>
      <c r="CR390" s="92"/>
      <c r="CS390" s="92"/>
      <c r="CT390" s="92"/>
      <c r="CU390" s="92"/>
      <c r="CV390" s="92"/>
      <c r="CW390" s="92"/>
      <c r="CX390" s="92"/>
      <c r="CY390" s="92"/>
      <c r="CZ390" s="92"/>
      <c r="DA390" s="92"/>
      <c r="DB390" s="92"/>
      <c r="DC390" s="92"/>
      <c r="DD390" s="92"/>
      <c r="DE390" s="92"/>
      <c r="DF390" s="92"/>
      <c r="DG390" s="92"/>
      <c r="DH390" s="92"/>
      <c r="DI390" s="92"/>
      <c r="DJ390" s="92"/>
      <c r="DK390" s="92"/>
      <c r="DL390" s="92"/>
      <c r="DM390" s="92"/>
      <c r="DN390" s="92"/>
      <c r="DO390" s="92"/>
      <c r="DP390" s="92"/>
      <c r="DQ390" s="92"/>
      <c r="DR390" s="92"/>
      <c r="DS390" s="92"/>
      <c r="DT390" s="92"/>
      <c r="DU390" s="92"/>
      <c r="DV390" s="92"/>
      <c r="DW390" s="92"/>
      <c r="DX390" s="92"/>
      <c r="DY390" s="92"/>
      <c r="DZ390" s="92"/>
      <c r="EA390" s="92"/>
      <c r="EB390" s="92"/>
      <c r="EC390" s="92"/>
      <c r="ED390" s="92"/>
      <c r="EE390" s="92"/>
      <c r="EF390" s="92"/>
      <c r="EG390" s="92"/>
      <c r="EH390" s="92"/>
      <c r="EI390" s="92"/>
      <c r="EJ390" s="92"/>
      <c r="EK390" s="92"/>
      <c r="EL390" s="92"/>
      <c r="EM390" s="92"/>
      <c r="EN390" s="92"/>
      <c r="EO390" s="92"/>
      <c r="EP390" s="92"/>
      <c r="EQ390" s="92"/>
      <c r="ER390" s="92"/>
      <c r="ES390" s="92"/>
      <c r="ET390" s="92"/>
      <c r="EU390" s="92"/>
      <c r="EV390" s="92"/>
      <c r="EW390" s="92"/>
      <c r="EX390" s="92"/>
      <c r="EY390" s="92"/>
      <c r="EZ390" s="92"/>
      <c r="FA390" s="92"/>
      <c r="FB390" s="92"/>
      <c r="FC390" s="92"/>
      <c r="FD390" s="92"/>
      <c r="FE390" s="92"/>
      <c r="FF390" s="92"/>
      <c r="FG390" s="92"/>
      <c r="FH390" s="92"/>
    </row>
    <row r="391">
      <c r="A391" s="32" t="s">
        <v>35</v>
      </c>
      <c r="B391" s="32" t="s">
        <v>72</v>
      </c>
      <c r="C391" s="32" t="s">
        <v>12</v>
      </c>
      <c r="D391" s="97">
        <f t="shared" si="1"/>
        <v>5020.821565</v>
      </c>
      <c r="E391" s="92">
        <f>(SUBSTITUTE(Audio!E391, "RE-", "", 1))*1</f>
        <v>0</v>
      </c>
      <c r="F391" s="92">
        <f>(SUBSTITUTE(Audio!F391, "RE-", "", 1))*1</f>
        <v>902.9485156</v>
      </c>
      <c r="G391" s="92">
        <f>(SUBSTITUTE(Audio!G391, "RE-", "", 1))*1</f>
        <v>3.72173125</v>
      </c>
      <c r="H391" s="92">
        <f>(SUBSTITUTE(Audio!H391, "RE-", "", 1))*1</f>
        <v>116.5437333</v>
      </c>
      <c r="I391" s="92">
        <f>(SUBSTITUTE(Audio!I391, "RE-", "", 1))*1</f>
        <v>0.2919104167</v>
      </c>
      <c r="J391" s="92">
        <f>(SUBSTITUTE(Audio!J391, "RE-", "", 1))*1</f>
        <v>1335.854902</v>
      </c>
      <c r="K391" s="92">
        <f>(SUBSTITUTE(Audio!K391, "RE-", "", 1))*1</f>
        <v>7.310885417</v>
      </c>
      <c r="L391" s="92">
        <f>(SUBSTITUTE(Audio!L391, "RE-", "", 1))*1</f>
        <v>1171.824008</v>
      </c>
      <c r="M391" s="92">
        <f>(SUBSTITUTE(Audio!M391, "RE-", "", 1))*1</f>
        <v>8.31960625</v>
      </c>
      <c r="N391" s="92">
        <f>(SUBSTITUTE(Audio!N391, "RE-", "", 1))*1</f>
        <v>313.2639938</v>
      </c>
      <c r="O391" s="92">
        <f>(SUBSTITUTE(Audio!O391, "RE-", "", 1))*1</f>
        <v>3.927527083</v>
      </c>
      <c r="P391" s="92">
        <f>(SUBSTITUTE(Audio!P391, "RE-", "", 1))*1</f>
        <v>203.4294167</v>
      </c>
      <c r="Q391" s="92">
        <f>(SUBSTITUTE(Audio!Q391, "RE-", "", 1))*1</f>
        <v>4.96425</v>
      </c>
      <c r="R391" s="92">
        <f>(SUBSTITUTE(Audio!R391, "RE-", "", 1))*1</f>
        <v>47.05707708</v>
      </c>
      <c r="S391" s="92">
        <f>(SUBSTITUTE(Audio!S391, "RE-", "", 1))*1</f>
        <v>2.737939583</v>
      </c>
      <c r="T391" s="92">
        <f>(SUBSTITUTE(Audio!T391, "RE-", "", 1))*1</f>
        <v>881.0942302</v>
      </c>
      <c r="U391" s="92">
        <f>(SUBSTITUTE(Audio!U391, "RE-", "", 1))*1</f>
        <v>15.40285938</v>
      </c>
      <c r="V391" s="92">
        <f>(SUBSTITUTE(Audio!V391, "RE-", "", 1))*1</f>
        <v>2.128979167</v>
      </c>
      <c r="W391" s="92">
        <f>(SUBSTITUTE(Audio!W391, "RE-", "", 1))*1</f>
        <v>0</v>
      </c>
      <c r="X391" s="92">
        <f>(SUBSTITUTE(Audio!X391, "RE-", "", 1))*1</f>
        <v>0</v>
      </c>
      <c r="Y391" s="92">
        <f>(SUBSTITUTE(Audio!Y391, "RE-", "", 1))*1</f>
        <v>0</v>
      </c>
      <c r="Z391" s="92">
        <f>(SUBSTITUTE(Audio!Z391, "RE-", "", 1))*1</f>
        <v>0</v>
      </c>
      <c r="AA391" s="92"/>
      <c r="AB391" s="92"/>
      <c r="AC391" s="92"/>
      <c r="AD391" s="92"/>
      <c r="AE391" s="92"/>
      <c r="AF391" s="92"/>
      <c r="AG391" s="92"/>
      <c r="AH391" s="92"/>
      <c r="AI391" s="92"/>
      <c r="AJ391" s="92"/>
      <c r="AK391" s="92"/>
      <c r="AL391" s="92"/>
      <c r="AM391" s="92"/>
      <c r="AN391" s="92"/>
      <c r="AO391" s="92"/>
      <c r="AP391" s="92"/>
      <c r="AQ391" s="92"/>
      <c r="AR391" s="92"/>
      <c r="AS391" s="92"/>
      <c r="AT391" s="92"/>
      <c r="AU391" s="92"/>
      <c r="AV391" s="92"/>
      <c r="AW391" s="92"/>
      <c r="AX391" s="92"/>
      <c r="AY391" s="92"/>
      <c r="AZ391" s="92"/>
      <c r="BA391" s="92"/>
      <c r="BB391" s="92"/>
      <c r="BC391" s="92"/>
      <c r="BD391" s="92"/>
      <c r="BE391" s="92"/>
      <c r="BF391" s="92"/>
      <c r="BG391" s="92"/>
      <c r="BH391" s="92"/>
      <c r="BI391" s="92"/>
      <c r="BJ391" s="92"/>
      <c r="BK391" s="92"/>
      <c r="BL391" s="92"/>
      <c r="BM391" s="92"/>
      <c r="BN391" s="92"/>
      <c r="BO391" s="92"/>
      <c r="BP391" s="92"/>
      <c r="BQ391" s="92"/>
      <c r="BR391" s="92"/>
      <c r="BS391" s="92"/>
      <c r="BT391" s="92"/>
      <c r="BU391" s="92"/>
      <c r="BV391" s="92"/>
      <c r="BW391" s="92"/>
      <c r="BX391" s="92"/>
      <c r="BY391" s="92"/>
      <c r="BZ391" s="92"/>
      <c r="CA391" s="92"/>
      <c r="CB391" s="92"/>
      <c r="CC391" s="92"/>
      <c r="CD391" s="92"/>
      <c r="CE391" s="92"/>
      <c r="CF391" s="92"/>
      <c r="CG391" s="92"/>
      <c r="CH391" s="92"/>
      <c r="CI391" s="92"/>
      <c r="CJ391" s="92"/>
      <c r="CK391" s="92"/>
      <c r="CL391" s="92"/>
      <c r="CM391" s="92"/>
      <c r="CN391" s="92"/>
      <c r="CO391" s="92"/>
      <c r="CP391" s="92"/>
      <c r="CQ391" s="92"/>
      <c r="CR391" s="92"/>
      <c r="CS391" s="92"/>
      <c r="CT391" s="92"/>
      <c r="CU391" s="92"/>
      <c r="CV391" s="92"/>
      <c r="CW391" s="92"/>
      <c r="CX391" s="92"/>
      <c r="CY391" s="92"/>
      <c r="CZ391" s="92"/>
      <c r="DA391" s="92"/>
      <c r="DB391" s="92"/>
      <c r="DC391" s="92"/>
      <c r="DD391" s="92"/>
      <c r="DE391" s="92"/>
      <c r="DF391" s="92"/>
      <c r="DG391" s="92"/>
      <c r="DH391" s="92"/>
      <c r="DI391" s="92"/>
      <c r="DJ391" s="92"/>
      <c r="DK391" s="92"/>
      <c r="DL391" s="92"/>
      <c r="DM391" s="92"/>
      <c r="DN391" s="92"/>
      <c r="DO391" s="92"/>
      <c r="DP391" s="92"/>
      <c r="DQ391" s="92"/>
      <c r="DR391" s="92"/>
      <c r="DS391" s="92"/>
      <c r="DT391" s="92"/>
      <c r="DU391" s="92"/>
      <c r="DV391" s="92"/>
      <c r="DW391" s="92"/>
      <c r="DX391" s="92"/>
      <c r="DY391" s="92"/>
      <c r="DZ391" s="92"/>
      <c r="EA391" s="92"/>
      <c r="EB391" s="92"/>
      <c r="EC391" s="92"/>
      <c r="ED391" s="92"/>
      <c r="EE391" s="92"/>
      <c r="EF391" s="92"/>
      <c r="EG391" s="92"/>
      <c r="EH391" s="92"/>
      <c r="EI391" s="92"/>
      <c r="EJ391" s="92"/>
      <c r="EK391" s="92"/>
      <c r="EL391" s="92"/>
      <c r="EM391" s="92"/>
      <c r="EN391" s="92"/>
      <c r="EO391" s="92"/>
      <c r="EP391" s="92"/>
      <c r="EQ391" s="92"/>
      <c r="ER391" s="92"/>
      <c r="ES391" s="92"/>
      <c r="ET391" s="92"/>
      <c r="EU391" s="92"/>
      <c r="EV391" s="92"/>
      <c r="EW391" s="92"/>
      <c r="EX391" s="92"/>
      <c r="EY391" s="92"/>
      <c r="EZ391" s="92"/>
      <c r="FA391" s="92"/>
      <c r="FB391" s="92"/>
      <c r="FC391" s="92"/>
      <c r="FD391" s="92"/>
      <c r="FE391" s="92"/>
      <c r="FF391" s="92"/>
      <c r="FG391" s="92"/>
      <c r="FH391" s="92"/>
    </row>
    <row r="392">
      <c r="A392" s="32" t="s">
        <v>35</v>
      </c>
      <c r="B392" s="32" t="s">
        <v>72</v>
      </c>
      <c r="C392" s="32" t="s">
        <v>13</v>
      </c>
      <c r="D392" s="97">
        <f t="shared" si="1"/>
        <v>4876.591917</v>
      </c>
      <c r="E392" s="92">
        <f>(SUBSTITUTE(Audio!E392, "RE-", "", 1))*1</f>
        <v>0</v>
      </c>
      <c r="F392" s="92">
        <f>(SUBSTITUTE(Audio!F392, "RE-", "", 1))*1</f>
        <v>881.322</v>
      </c>
      <c r="G392" s="92">
        <f>(SUBSTITUTE(Audio!G392, "RE-", "", 1))*1</f>
        <v>3.56375</v>
      </c>
      <c r="H392" s="92">
        <f>(SUBSTITUTE(Audio!H392, "RE-", "", 1))*1</f>
        <v>114.73</v>
      </c>
      <c r="I392" s="92">
        <f>(SUBSTITUTE(Audio!I392, "RE-", "", 1))*1</f>
        <v>0.290817</v>
      </c>
      <c r="J392" s="92">
        <f>(SUBSTITUTE(Audio!J392, "RE-", "", 1))*1</f>
        <v>1304.17</v>
      </c>
      <c r="K392" s="92">
        <f>(SUBSTITUTE(Audio!K392, "RE-", "", 1))*1</f>
        <v>7.1319</v>
      </c>
      <c r="L392" s="92">
        <f>(SUBSTITUTE(Audio!L392, "RE-", "", 1))*1</f>
        <v>1129.51</v>
      </c>
      <c r="M392" s="92">
        <f>(SUBSTITUTE(Audio!M392, "RE-", "", 1))*1</f>
        <v>7.93563</v>
      </c>
      <c r="N392" s="92">
        <f>(SUBSTITUTE(Audio!N392, "RE-", "", 1))*1</f>
        <v>303.374</v>
      </c>
      <c r="O392" s="92">
        <f>(SUBSTITUTE(Audio!O392, "RE-", "", 1))*1</f>
        <v>3.85823</v>
      </c>
      <c r="P392" s="92">
        <f>(SUBSTITUTE(Audio!P392, "RE-", "", 1))*1</f>
        <v>195.934</v>
      </c>
      <c r="Q392" s="92">
        <f>(SUBSTITUTE(Audio!Q392, "RE-", "", 1))*1</f>
        <v>4.75355</v>
      </c>
      <c r="R392" s="92">
        <f>(SUBSTITUTE(Audio!R392, "RE-", "", 1))*1</f>
        <v>44.9683</v>
      </c>
      <c r="S392" s="92">
        <f>(SUBSTITUTE(Audio!S392, "RE-", "", 1))*1</f>
        <v>2.65547</v>
      </c>
      <c r="T392" s="92">
        <f>(SUBSTITUTE(Audio!T392, "RE-", "", 1))*1</f>
        <v>855.523</v>
      </c>
      <c r="U392" s="92">
        <f>(SUBSTITUTE(Audio!U392, "RE-", "", 1))*1</f>
        <v>14.8089</v>
      </c>
      <c r="V392" s="92">
        <f>(SUBSTITUTE(Audio!V392, "RE-", "", 1))*1</f>
        <v>2.06237</v>
      </c>
      <c r="W392" s="92">
        <f>(SUBSTITUTE(Audio!W392, "RE-", "", 1))*1</f>
        <v>0</v>
      </c>
      <c r="X392" s="92">
        <f>(SUBSTITUTE(Audio!X392, "RE-", "", 1))*1</f>
        <v>0</v>
      </c>
      <c r="Y392" s="92">
        <f>(SUBSTITUTE(Audio!Y392, "RE-", "", 1))*1</f>
        <v>0</v>
      </c>
      <c r="Z392" s="92">
        <f>(SUBSTITUTE(Audio!Z392, "RE-", "", 1))*1</f>
        <v>0</v>
      </c>
      <c r="AA392" s="92"/>
      <c r="AB392" s="92"/>
      <c r="AC392" s="92"/>
      <c r="AD392" s="92"/>
      <c r="AE392" s="92"/>
      <c r="AF392" s="92"/>
      <c r="AG392" s="92"/>
      <c r="AH392" s="92"/>
      <c r="AI392" s="92"/>
      <c r="AJ392" s="92"/>
      <c r="AK392" s="92"/>
      <c r="AL392" s="92"/>
      <c r="AM392" s="92"/>
      <c r="AN392" s="92"/>
      <c r="AO392" s="92"/>
      <c r="AP392" s="92"/>
      <c r="AQ392" s="92"/>
      <c r="AR392" s="92"/>
      <c r="AS392" s="92"/>
      <c r="AT392" s="92"/>
      <c r="AU392" s="92"/>
      <c r="AV392" s="92"/>
      <c r="AW392" s="92"/>
      <c r="AX392" s="92"/>
      <c r="AY392" s="92"/>
      <c r="AZ392" s="92"/>
      <c r="BA392" s="92"/>
      <c r="BB392" s="92"/>
      <c r="BC392" s="92"/>
      <c r="BD392" s="92"/>
      <c r="BE392" s="92"/>
      <c r="BF392" s="92"/>
      <c r="BG392" s="92"/>
      <c r="BH392" s="92"/>
      <c r="BI392" s="92"/>
      <c r="BJ392" s="92"/>
      <c r="BK392" s="92"/>
      <c r="BL392" s="92"/>
      <c r="BM392" s="92"/>
      <c r="BN392" s="92"/>
      <c r="BO392" s="92"/>
      <c r="BP392" s="92"/>
      <c r="BQ392" s="92"/>
      <c r="BR392" s="92"/>
      <c r="BS392" s="92"/>
      <c r="BT392" s="92"/>
      <c r="BU392" s="92"/>
      <c r="BV392" s="92"/>
      <c r="BW392" s="92"/>
      <c r="BX392" s="92"/>
      <c r="BY392" s="92"/>
      <c r="BZ392" s="92"/>
      <c r="CA392" s="92"/>
      <c r="CB392" s="92"/>
      <c r="CC392" s="92"/>
      <c r="CD392" s="92"/>
      <c r="CE392" s="92"/>
      <c r="CF392" s="92"/>
      <c r="CG392" s="92"/>
      <c r="CH392" s="92"/>
      <c r="CI392" s="92"/>
      <c r="CJ392" s="92"/>
      <c r="CK392" s="92"/>
      <c r="CL392" s="92"/>
      <c r="CM392" s="92"/>
      <c r="CN392" s="92"/>
      <c r="CO392" s="92"/>
      <c r="CP392" s="92"/>
      <c r="CQ392" s="92"/>
      <c r="CR392" s="92"/>
      <c r="CS392" s="92"/>
      <c r="CT392" s="92"/>
      <c r="CU392" s="92"/>
      <c r="CV392" s="92"/>
      <c r="CW392" s="92"/>
      <c r="CX392" s="92"/>
      <c r="CY392" s="92"/>
      <c r="CZ392" s="92"/>
      <c r="DA392" s="92"/>
      <c r="DB392" s="92"/>
      <c r="DC392" s="92"/>
      <c r="DD392" s="92"/>
      <c r="DE392" s="92"/>
      <c r="DF392" s="92"/>
      <c r="DG392" s="92"/>
      <c r="DH392" s="92"/>
      <c r="DI392" s="92"/>
      <c r="DJ392" s="92"/>
      <c r="DK392" s="92"/>
      <c r="DL392" s="92"/>
      <c r="DM392" s="92"/>
      <c r="DN392" s="92"/>
      <c r="DO392" s="92"/>
      <c r="DP392" s="92"/>
      <c r="DQ392" s="92"/>
      <c r="DR392" s="92"/>
      <c r="DS392" s="92"/>
      <c r="DT392" s="92"/>
      <c r="DU392" s="92"/>
      <c r="DV392" s="92"/>
      <c r="DW392" s="92"/>
      <c r="DX392" s="92"/>
      <c r="DY392" s="92"/>
      <c r="DZ392" s="92"/>
      <c r="EA392" s="92"/>
      <c r="EB392" s="92"/>
      <c r="EC392" s="92"/>
      <c r="ED392" s="92"/>
      <c r="EE392" s="92"/>
      <c r="EF392" s="92"/>
      <c r="EG392" s="92"/>
      <c r="EH392" s="92"/>
      <c r="EI392" s="92"/>
      <c r="EJ392" s="92"/>
      <c r="EK392" s="92"/>
      <c r="EL392" s="92"/>
      <c r="EM392" s="92"/>
      <c r="EN392" s="92"/>
      <c r="EO392" s="92"/>
      <c r="EP392" s="92"/>
      <c r="EQ392" s="92"/>
      <c r="ER392" s="92"/>
      <c r="ES392" s="92"/>
      <c r="ET392" s="92"/>
      <c r="EU392" s="92"/>
      <c r="EV392" s="92"/>
      <c r="EW392" s="92"/>
      <c r="EX392" s="92"/>
      <c r="EY392" s="92"/>
      <c r="EZ392" s="92"/>
      <c r="FA392" s="92"/>
      <c r="FB392" s="92"/>
      <c r="FC392" s="92"/>
      <c r="FD392" s="92"/>
      <c r="FE392" s="92"/>
      <c r="FF392" s="92"/>
      <c r="FG392" s="92"/>
      <c r="FH392" s="92"/>
    </row>
    <row r="393">
      <c r="A393" s="32" t="s">
        <v>35</v>
      </c>
      <c r="B393" s="32" t="s">
        <v>72</v>
      </c>
      <c r="C393" s="32" t="s">
        <v>14</v>
      </c>
      <c r="D393" s="97">
        <f t="shared" si="1"/>
        <v>4361.541017</v>
      </c>
      <c r="E393" s="92">
        <f>(SUBSTITUTE(Audio!E393, "RE-", "", 1))*1</f>
        <v>0</v>
      </c>
      <c r="F393" s="92">
        <f>(SUBSTITUTE(Audio!F393, "RE-", "", 1))*1</f>
        <v>796.078</v>
      </c>
      <c r="G393" s="92">
        <f>(SUBSTITUTE(Audio!G393, "RE-", "", 1))*1</f>
        <v>3.56375</v>
      </c>
      <c r="H393" s="92">
        <f>(SUBSTITUTE(Audio!H393, "RE-", "", 1))*1</f>
        <v>104.629</v>
      </c>
      <c r="I393" s="92">
        <f>(SUBSTITUTE(Audio!I393, "RE-", "", 1))*1</f>
        <v>0.290817</v>
      </c>
      <c r="J393" s="92">
        <f>(SUBSTITUTE(Audio!J393, "RE-", "", 1))*1</f>
        <v>1206.98</v>
      </c>
      <c r="K393" s="92">
        <f>(SUBSTITUTE(Audio!K393, "RE-", "", 1))*1</f>
        <v>6.92852</v>
      </c>
      <c r="L393" s="92">
        <f>(SUBSTITUTE(Audio!L393, "RE-", "", 1))*1</f>
        <v>1011.85</v>
      </c>
      <c r="M393" s="92">
        <f>(SUBSTITUTE(Audio!M393, "RE-", "", 1))*1</f>
        <v>6.8994</v>
      </c>
      <c r="N393" s="92">
        <f>(SUBSTITUTE(Audio!N393, "RE-", "", 1))*1</f>
        <v>258.11</v>
      </c>
      <c r="O393" s="92">
        <f>(SUBSTITUTE(Audio!O393, "RE-", "", 1))*1</f>
        <v>3.16477</v>
      </c>
      <c r="P393" s="92">
        <f>(SUBSTITUTE(Audio!P393, "RE-", "", 1))*1</f>
        <v>159.316</v>
      </c>
      <c r="Q393" s="92">
        <f>(SUBSTITUTE(Audio!Q393, "RE-", "", 1))*1</f>
        <v>4.2427</v>
      </c>
      <c r="R393" s="92">
        <f>(SUBSTITUTE(Audio!R393, "RE-", "", 1))*1</f>
        <v>34.8693</v>
      </c>
      <c r="S393" s="92">
        <f>(SUBSTITUTE(Audio!S393, "RE-", "", 1))*1</f>
        <v>2.12863</v>
      </c>
      <c r="T393" s="92">
        <f>(SUBSTITUTE(Audio!T393, "RE-", "", 1))*1</f>
        <v>748.334</v>
      </c>
      <c r="U393" s="92">
        <f>(SUBSTITUTE(Audio!U393, "RE-", "", 1))*1</f>
        <v>12.7253</v>
      </c>
      <c r="V393" s="92">
        <f>(SUBSTITUTE(Audio!V393, "RE-", "", 1))*1</f>
        <v>1.43083</v>
      </c>
      <c r="W393" s="92">
        <f>(SUBSTITUTE(Audio!W393, "RE-", "", 1))*1</f>
        <v>0</v>
      </c>
      <c r="X393" s="92">
        <f>(SUBSTITUTE(Audio!X393, "RE-", "", 1))*1</f>
        <v>0</v>
      </c>
      <c r="Y393" s="92">
        <f>(SUBSTITUTE(Audio!Y393, "RE-", "", 1))*1</f>
        <v>0</v>
      </c>
      <c r="Z393" s="92">
        <f>(SUBSTITUTE(Audio!Z393, "RE-", "", 1))*1</f>
        <v>0</v>
      </c>
      <c r="AA393" s="92"/>
      <c r="AB393" s="92"/>
      <c r="AC393" s="92"/>
      <c r="AD393" s="92"/>
      <c r="AE393" s="92"/>
      <c r="AF393" s="92"/>
      <c r="AG393" s="92"/>
      <c r="AH393" s="92"/>
      <c r="AI393" s="92"/>
      <c r="AJ393" s="92"/>
      <c r="AK393" s="92"/>
      <c r="AL393" s="92"/>
      <c r="AM393" s="92"/>
      <c r="AN393" s="92"/>
      <c r="AO393" s="92"/>
      <c r="AP393" s="92"/>
      <c r="AQ393" s="92"/>
      <c r="AR393" s="92"/>
      <c r="AS393" s="92"/>
      <c r="AT393" s="92"/>
      <c r="AU393" s="92"/>
      <c r="AV393" s="92"/>
      <c r="AW393" s="92"/>
      <c r="AX393" s="92"/>
      <c r="AY393" s="92"/>
      <c r="AZ393" s="92"/>
      <c r="BA393" s="92"/>
      <c r="BB393" s="92"/>
      <c r="BC393" s="92"/>
      <c r="BD393" s="92"/>
      <c r="BE393" s="92"/>
      <c r="BF393" s="92"/>
      <c r="BG393" s="92"/>
      <c r="BH393" s="92"/>
      <c r="BI393" s="92"/>
      <c r="BJ393" s="92"/>
      <c r="BK393" s="92"/>
      <c r="BL393" s="92"/>
      <c r="BM393" s="92"/>
      <c r="BN393" s="92"/>
      <c r="BO393" s="92"/>
      <c r="BP393" s="92"/>
      <c r="BQ393" s="92"/>
      <c r="BR393" s="92"/>
      <c r="BS393" s="92"/>
      <c r="BT393" s="92"/>
      <c r="BU393" s="92"/>
      <c r="BV393" s="92"/>
      <c r="BW393" s="92"/>
      <c r="BX393" s="92"/>
      <c r="BY393" s="92"/>
      <c r="BZ393" s="92"/>
      <c r="CA393" s="92"/>
      <c r="CB393" s="92"/>
      <c r="CC393" s="92"/>
      <c r="CD393" s="92"/>
      <c r="CE393" s="92"/>
      <c r="CF393" s="92"/>
      <c r="CG393" s="92"/>
      <c r="CH393" s="92"/>
      <c r="CI393" s="92"/>
      <c r="CJ393" s="92"/>
      <c r="CK393" s="92"/>
      <c r="CL393" s="92"/>
      <c r="CM393" s="92"/>
      <c r="CN393" s="92"/>
      <c r="CO393" s="92"/>
      <c r="CP393" s="92"/>
      <c r="CQ393" s="92"/>
      <c r="CR393" s="92"/>
      <c r="CS393" s="92"/>
      <c r="CT393" s="92"/>
      <c r="CU393" s="92"/>
      <c r="CV393" s="92"/>
      <c r="CW393" s="92"/>
      <c r="CX393" s="92"/>
      <c r="CY393" s="92"/>
      <c r="CZ393" s="92"/>
      <c r="DA393" s="92"/>
      <c r="DB393" s="92"/>
      <c r="DC393" s="92"/>
      <c r="DD393" s="92"/>
      <c r="DE393" s="92"/>
      <c r="DF393" s="92"/>
      <c r="DG393" s="92"/>
      <c r="DH393" s="92"/>
      <c r="DI393" s="92"/>
      <c r="DJ393" s="92"/>
      <c r="DK393" s="92"/>
      <c r="DL393" s="92"/>
      <c r="DM393" s="92"/>
      <c r="DN393" s="92"/>
      <c r="DO393" s="92"/>
      <c r="DP393" s="92"/>
      <c r="DQ393" s="92"/>
      <c r="DR393" s="92"/>
      <c r="DS393" s="92"/>
      <c r="DT393" s="92"/>
      <c r="DU393" s="92"/>
      <c r="DV393" s="92"/>
      <c r="DW393" s="92"/>
      <c r="DX393" s="92"/>
      <c r="DY393" s="92"/>
      <c r="DZ393" s="92"/>
      <c r="EA393" s="92"/>
      <c r="EB393" s="92"/>
      <c r="EC393" s="92"/>
      <c r="ED393" s="92"/>
      <c r="EE393" s="92"/>
      <c r="EF393" s="92"/>
      <c r="EG393" s="92"/>
      <c r="EH393" s="92"/>
      <c r="EI393" s="92"/>
      <c r="EJ393" s="92"/>
      <c r="EK393" s="92"/>
      <c r="EL393" s="92"/>
      <c r="EM393" s="92"/>
      <c r="EN393" s="92"/>
      <c r="EO393" s="92"/>
      <c r="EP393" s="92"/>
      <c r="EQ393" s="92"/>
      <c r="ER393" s="92"/>
      <c r="ES393" s="92"/>
      <c r="ET393" s="92"/>
      <c r="EU393" s="92"/>
      <c r="EV393" s="92"/>
      <c r="EW393" s="92"/>
      <c r="EX393" s="92"/>
      <c r="EY393" s="92"/>
      <c r="EZ393" s="92"/>
      <c r="FA393" s="92"/>
      <c r="FB393" s="92"/>
      <c r="FC393" s="92"/>
      <c r="FD393" s="92"/>
      <c r="FE393" s="92"/>
      <c r="FF393" s="92"/>
      <c r="FG393" s="92"/>
      <c r="FH393" s="92"/>
    </row>
    <row r="394">
      <c r="A394" s="27" t="s">
        <v>35</v>
      </c>
      <c r="B394" s="27" t="s">
        <v>72</v>
      </c>
      <c r="C394" s="27" t="s">
        <v>15</v>
      </c>
      <c r="D394" s="98">
        <f t="shared" si="1"/>
        <v>4875.481617</v>
      </c>
      <c r="E394" s="92">
        <f>(SUBSTITUTE(Audio!E394, "RE-", "", 1))*1</f>
        <v>0</v>
      </c>
      <c r="F394" s="92">
        <f>(SUBSTITUTE(Audio!F394, "RE-", "", 1))*1</f>
        <v>881.322</v>
      </c>
      <c r="G394" s="92">
        <f>(SUBSTITUTE(Audio!G394, "RE-", "", 1))*1</f>
        <v>3.56375</v>
      </c>
      <c r="H394" s="92">
        <f>(SUBSTITUTE(Audio!H394, "RE-", "", 1))*1</f>
        <v>114.73</v>
      </c>
      <c r="I394" s="92">
        <f>(SUBSTITUTE(Audio!I394, "RE-", "", 1))*1</f>
        <v>0.290817</v>
      </c>
      <c r="J394" s="92">
        <f>(SUBSTITUTE(Audio!J394, "RE-", "", 1))*1</f>
        <v>1304.17</v>
      </c>
      <c r="K394" s="92">
        <f>(SUBSTITUTE(Audio!K394, "RE-", "", 1))*1</f>
        <v>7.1319</v>
      </c>
      <c r="L394" s="92">
        <f>(SUBSTITUTE(Audio!L394, "RE-", "", 1))*1</f>
        <v>1128.63</v>
      </c>
      <c r="M394" s="92">
        <f>(SUBSTITUTE(Audio!M394, "RE-", "", 1))*1</f>
        <v>7.93563</v>
      </c>
      <c r="N394" s="92">
        <f>(SUBSTITUTE(Audio!N394, "RE-", "", 1))*1</f>
        <v>303.374</v>
      </c>
      <c r="O394" s="92">
        <f>(SUBSTITUTE(Audio!O394, "RE-", "", 1))*1</f>
        <v>3.85823</v>
      </c>
      <c r="P394" s="92">
        <f>(SUBSTITUTE(Audio!P394, "RE-", "", 1))*1</f>
        <v>195.934</v>
      </c>
      <c r="Q394" s="92">
        <f>(SUBSTITUTE(Audio!Q394, "RE-", "", 1))*1</f>
        <v>4.75355</v>
      </c>
      <c r="R394" s="92">
        <f>(SUBSTITUTE(Audio!R394, "RE-", "", 1))*1</f>
        <v>44.738</v>
      </c>
      <c r="S394" s="92">
        <f>(SUBSTITUTE(Audio!S394, "RE-", "", 1))*1</f>
        <v>2.65547</v>
      </c>
      <c r="T394" s="92">
        <f>(SUBSTITUTE(Audio!T394, "RE-", "", 1))*1</f>
        <v>855.523</v>
      </c>
      <c r="U394" s="92">
        <f>(SUBSTITUTE(Audio!U394, "RE-", "", 1))*1</f>
        <v>14.8089</v>
      </c>
      <c r="V394" s="92">
        <f>(SUBSTITUTE(Audio!V394, "RE-", "", 1))*1</f>
        <v>2.06237</v>
      </c>
      <c r="W394" s="92">
        <f>(SUBSTITUTE(Audio!W394, "RE-", "", 1))*1</f>
        <v>0</v>
      </c>
      <c r="X394" s="92">
        <f>(SUBSTITUTE(Audio!X394, "RE-", "", 1))*1</f>
        <v>0</v>
      </c>
      <c r="Y394" s="92">
        <f>(SUBSTITUTE(Audio!Y394, "RE-", "", 1))*1</f>
        <v>0</v>
      </c>
      <c r="Z394" s="92">
        <f>(SUBSTITUTE(Audio!Z394, "RE-", "", 1))*1</f>
        <v>0</v>
      </c>
      <c r="AA394" s="92"/>
      <c r="AB394" s="92"/>
      <c r="AC394" s="92"/>
      <c r="AD394" s="92"/>
      <c r="AE394" s="92"/>
      <c r="AF394" s="92"/>
      <c r="AG394" s="92"/>
      <c r="AH394" s="92"/>
      <c r="AI394" s="92"/>
      <c r="AJ394" s="92"/>
      <c r="AK394" s="92"/>
      <c r="AL394" s="92"/>
      <c r="AM394" s="92"/>
      <c r="AN394" s="92"/>
      <c r="AO394" s="92"/>
      <c r="AP394" s="92"/>
      <c r="AQ394" s="92"/>
      <c r="AR394" s="92"/>
      <c r="AS394" s="92"/>
      <c r="AT394" s="92"/>
      <c r="AU394" s="92"/>
      <c r="AV394" s="92"/>
      <c r="AW394" s="92"/>
      <c r="AX394" s="92"/>
      <c r="AY394" s="92"/>
      <c r="AZ394" s="92"/>
      <c r="BA394" s="92"/>
      <c r="BB394" s="92"/>
      <c r="BC394" s="92"/>
      <c r="BD394" s="92"/>
      <c r="BE394" s="92"/>
      <c r="BF394" s="92"/>
      <c r="BG394" s="92"/>
      <c r="BH394" s="92"/>
      <c r="BI394" s="92"/>
      <c r="BJ394" s="92"/>
      <c r="BK394" s="92"/>
      <c r="BL394" s="92"/>
      <c r="BM394" s="92"/>
      <c r="BN394" s="92"/>
      <c r="BO394" s="92"/>
      <c r="BP394" s="92"/>
      <c r="BQ394" s="92"/>
      <c r="BR394" s="92"/>
      <c r="BS394" s="92"/>
      <c r="BT394" s="92"/>
      <c r="BU394" s="92"/>
      <c r="BV394" s="92"/>
      <c r="BW394" s="92"/>
      <c r="BX394" s="92"/>
      <c r="BY394" s="92"/>
      <c r="BZ394" s="92"/>
      <c r="CA394" s="92"/>
      <c r="CB394" s="92"/>
      <c r="CC394" s="92"/>
      <c r="CD394" s="92"/>
      <c r="CE394" s="92"/>
      <c r="CF394" s="92"/>
      <c r="CG394" s="92"/>
      <c r="CH394" s="92"/>
      <c r="CI394" s="92"/>
      <c r="CJ394" s="92"/>
      <c r="CK394" s="92"/>
      <c r="CL394" s="92"/>
      <c r="CM394" s="92"/>
      <c r="CN394" s="92"/>
      <c r="CO394" s="92"/>
      <c r="CP394" s="92"/>
      <c r="CQ394" s="92"/>
      <c r="CR394" s="92"/>
      <c r="CS394" s="92"/>
      <c r="CT394" s="92"/>
      <c r="CU394" s="92"/>
      <c r="CV394" s="92"/>
      <c r="CW394" s="92"/>
      <c r="CX394" s="92"/>
      <c r="CY394" s="92"/>
      <c r="CZ394" s="92"/>
      <c r="DA394" s="92"/>
      <c r="DB394" s="92"/>
      <c r="DC394" s="92"/>
      <c r="DD394" s="92"/>
      <c r="DE394" s="92"/>
      <c r="DF394" s="92"/>
      <c r="DG394" s="92"/>
      <c r="DH394" s="92"/>
      <c r="DI394" s="92"/>
      <c r="DJ394" s="92"/>
      <c r="DK394" s="92"/>
      <c r="DL394" s="92"/>
      <c r="DM394" s="92"/>
      <c r="DN394" s="92"/>
      <c r="DO394" s="92"/>
      <c r="DP394" s="92"/>
      <c r="DQ394" s="92"/>
      <c r="DR394" s="92"/>
      <c r="DS394" s="92"/>
      <c r="DT394" s="92"/>
      <c r="DU394" s="92"/>
      <c r="DV394" s="92"/>
      <c r="DW394" s="92"/>
      <c r="DX394" s="92"/>
      <c r="DY394" s="92"/>
      <c r="DZ394" s="92"/>
      <c r="EA394" s="92"/>
      <c r="EB394" s="92"/>
      <c r="EC394" s="92"/>
      <c r="ED394" s="92"/>
      <c r="EE394" s="92"/>
      <c r="EF394" s="92"/>
      <c r="EG394" s="92"/>
      <c r="EH394" s="92"/>
      <c r="EI394" s="92"/>
      <c r="EJ394" s="92"/>
      <c r="EK394" s="92"/>
      <c r="EL394" s="92"/>
      <c r="EM394" s="92"/>
      <c r="EN394" s="92"/>
      <c r="EO394" s="92"/>
      <c r="EP394" s="92"/>
      <c r="EQ394" s="92"/>
      <c r="ER394" s="92"/>
      <c r="ES394" s="92"/>
      <c r="ET394" s="92"/>
      <c r="EU394" s="92"/>
      <c r="EV394" s="92"/>
      <c r="EW394" s="92"/>
      <c r="EX394" s="92"/>
      <c r="EY394" s="92"/>
      <c r="EZ394" s="92"/>
      <c r="FA394" s="92"/>
      <c r="FB394" s="92"/>
      <c r="FC394" s="92"/>
      <c r="FD394" s="92"/>
      <c r="FE394" s="92"/>
      <c r="FF394" s="92"/>
      <c r="FG394" s="92"/>
      <c r="FH394" s="92"/>
    </row>
    <row r="395">
      <c r="A395" s="30" t="s">
        <v>35</v>
      </c>
      <c r="B395" s="30" t="s">
        <v>73</v>
      </c>
      <c r="C395" s="31" t="str">
        <f>HYPERLINK("https://docs.google.com/spreadsheets/d/1m6-7wQOg9l-C70XauEFAEHkBRvZDXHLx/edit?usp=share_link&amp;ouid=106501987799020758802&amp;rtpof=true&amp;sd=true", "Raw Delivered")</f>
        <v>Raw Delivered</v>
      </c>
      <c r="D395" s="96">
        <f t="shared" si="1"/>
        <v>7324.481671</v>
      </c>
      <c r="E395" s="92">
        <f>(SUBSTITUTE(Audio!E395, "RE-", "", 1))*1</f>
        <v>0</v>
      </c>
      <c r="F395" s="92">
        <f>(SUBSTITUTE(Audio!F395, "RE-", "", 1))*1</f>
        <v>1058.29046</v>
      </c>
      <c r="G395" s="92">
        <f>(SUBSTITUTE(Audio!G395, "RE-", "", 1))*1</f>
        <v>0</v>
      </c>
      <c r="H395" s="92">
        <f>(SUBSTITUTE(Audio!H395, "RE-", "", 1))*1</f>
        <v>171.5428271</v>
      </c>
      <c r="I395" s="92">
        <f>(SUBSTITUTE(Audio!I395, "RE-", "", 1))*1</f>
        <v>0</v>
      </c>
      <c r="J395" s="92">
        <f>(SUBSTITUTE(Audio!J395, "RE-", "", 1))*1</f>
        <v>1925.078845</v>
      </c>
      <c r="K395" s="92">
        <f>(SUBSTITUTE(Audio!K395, "RE-", "", 1))*1</f>
        <v>0</v>
      </c>
      <c r="L395" s="92">
        <f>(SUBSTITUTE(Audio!L395, "RE-", "", 1))*1</f>
        <v>1333.495447</v>
      </c>
      <c r="M395" s="92">
        <f>(SUBSTITUTE(Audio!M395, "RE-", "", 1))*1</f>
        <v>0</v>
      </c>
      <c r="N395" s="92">
        <f>(SUBSTITUTE(Audio!N395, "RE-", "", 1))*1</f>
        <v>818.4634094</v>
      </c>
      <c r="O395" s="92">
        <f>(SUBSTITUTE(Audio!O395, "RE-", "", 1))*1</f>
        <v>0</v>
      </c>
      <c r="P395" s="92">
        <f>(SUBSTITUTE(Audio!P395, "RE-", "", 1))*1</f>
        <v>340.3376385</v>
      </c>
      <c r="Q395" s="92">
        <f>(SUBSTITUTE(Audio!Q395, "RE-", "", 1))*1</f>
        <v>0</v>
      </c>
      <c r="R395" s="92">
        <f>(SUBSTITUTE(Audio!R395, "RE-", "", 1))*1</f>
        <v>65.45542083</v>
      </c>
      <c r="S395" s="92">
        <f>(SUBSTITUTE(Audio!S395, "RE-", "", 1))*1</f>
        <v>0</v>
      </c>
      <c r="T395" s="92">
        <f>(SUBSTITUTE(Audio!T395, "RE-", "", 1))*1</f>
        <v>1611.817623</v>
      </c>
      <c r="U395" s="92">
        <f>(SUBSTITUTE(Audio!U395, "RE-", "", 1))*1</f>
        <v>0</v>
      </c>
      <c r="V395" s="92">
        <f>(SUBSTITUTE(Audio!V395, "RE-", "", 1))*1</f>
        <v>0</v>
      </c>
      <c r="W395" s="92">
        <f>(SUBSTITUTE(Audio!W395, "RE-", "", 1))*1</f>
        <v>0</v>
      </c>
      <c r="X395" s="92">
        <f>(SUBSTITUTE(Audio!X395, "RE-", "", 1))*1</f>
        <v>0</v>
      </c>
      <c r="Y395" s="92">
        <f>(SUBSTITUTE(Audio!Y395, "RE-", "", 1))*1</f>
        <v>0</v>
      </c>
      <c r="Z395" s="92">
        <f>(SUBSTITUTE(Audio!Z395, "RE-", "", 1))*1</f>
        <v>0</v>
      </c>
      <c r="AA395" s="92"/>
      <c r="AB395" s="92"/>
      <c r="AC395" s="92"/>
      <c r="AD395" s="92"/>
      <c r="AE395" s="92"/>
      <c r="AF395" s="92"/>
      <c r="AG395" s="92"/>
      <c r="AH395" s="92"/>
      <c r="AI395" s="92"/>
      <c r="AJ395" s="92"/>
      <c r="AK395" s="92"/>
      <c r="AL395" s="92"/>
      <c r="AM395" s="92"/>
      <c r="AN395" s="92"/>
      <c r="AO395" s="92"/>
      <c r="AP395" s="92"/>
      <c r="AQ395" s="92"/>
      <c r="AR395" s="92"/>
      <c r="AS395" s="92"/>
      <c r="AT395" s="92"/>
      <c r="AU395" s="92"/>
      <c r="AV395" s="92"/>
      <c r="AW395" s="92"/>
      <c r="AX395" s="92"/>
      <c r="AY395" s="92"/>
      <c r="AZ395" s="92"/>
      <c r="BA395" s="92"/>
      <c r="BB395" s="92"/>
      <c r="BC395" s="92"/>
      <c r="BD395" s="92"/>
      <c r="BE395" s="92"/>
      <c r="BF395" s="92"/>
      <c r="BG395" s="92"/>
      <c r="BH395" s="92"/>
      <c r="BI395" s="92"/>
      <c r="BJ395" s="92"/>
      <c r="BK395" s="92"/>
      <c r="BL395" s="92"/>
      <c r="BM395" s="92"/>
      <c r="BN395" s="92"/>
      <c r="BO395" s="92"/>
      <c r="BP395" s="92"/>
      <c r="BQ395" s="92"/>
      <c r="BR395" s="92"/>
      <c r="BS395" s="92"/>
      <c r="BT395" s="92"/>
      <c r="BU395" s="92"/>
      <c r="BV395" s="92"/>
      <c r="BW395" s="92"/>
      <c r="BX395" s="92"/>
      <c r="BY395" s="92"/>
      <c r="BZ395" s="92"/>
      <c r="CA395" s="92"/>
      <c r="CB395" s="92"/>
      <c r="CC395" s="92"/>
      <c r="CD395" s="92"/>
      <c r="CE395" s="92"/>
      <c r="CF395" s="92"/>
      <c r="CG395" s="92"/>
      <c r="CH395" s="92"/>
      <c r="CI395" s="92"/>
      <c r="CJ395" s="92"/>
      <c r="CK395" s="92"/>
      <c r="CL395" s="92"/>
      <c r="CM395" s="92"/>
      <c r="CN395" s="92"/>
      <c r="CO395" s="92"/>
      <c r="CP395" s="92"/>
      <c r="CQ395" s="92"/>
      <c r="CR395" s="92"/>
      <c r="CS395" s="92"/>
      <c r="CT395" s="92"/>
      <c r="CU395" s="92"/>
      <c r="CV395" s="92"/>
      <c r="CW395" s="92"/>
      <c r="CX395" s="92"/>
      <c r="CY395" s="92"/>
      <c r="CZ395" s="92"/>
      <c r="DA395" s="92"/>
      <c r="DB395" s="92"/>
      <c r="DC395" s="92"/>
      <c r="DD395" s="92"/>
      <c r="DE395" s="92"/>
      <c r="DF395" s="92"/>
      <c r="DG395" s="92"/>
      <c r="DH395" s="92"/>
      <c r="DI395" s="92"/>
      <c r="DJ395" s="92"/>
      <c r="DK395" s="92"/>
      <c r="DL395" s="92"/>
      <c r="DM395" s="92"/>
      <c r="DN395" s="92"/>
      <c r="DO395" s="92"/>
      <c r="DP395" s="92"/>
      <c r="DQ395" s="92"/>
      <c r="DR395" s="92"/>
      <c r="DS395" s="92"/>
      <c r="DT395" s="92"/>
      <c r="DU395" s="92"/>
      <c r="DV395" s="92"/>
      <c r="DW395" s="92"/>
      <c r="DX395" s="92"/>
      <c r="DY395" s="92"/>
      <c r="DZ395" s="92"/>
      <c r="EA395" s="92"/>
      <c r="EB395" s="92"/>
      <c r="EC395" s="92"/>
      <c r="ED395" s="92"/>
      <c r="EE395" s="92"/>
      <c r="EF395" s="92"/>
      <c r="EG395" s="92"/>
      <c r="EH395" s="92"/>
      <c r="EI395" s="92"/>
      <c r="EJ395" s="92"/>
      <c r="EK395" s="92"/>
      <c r="EL395" s="92"/>
      <c r="EM395" s="92"/>
      <c r="EN395" s="92"/>
      <c r="EO395" s="92"/>
      <c r="EP395" s="92"/>
      <c r="EQ395" s="92"/>
      <c r="ER395" s="92"/>
      <c r="ES395" s="92"/>
      <c r="ET395" s="92"/>
      <c r="EU395" s="92"/>
      <c r="EV395" s="92"/>
      <c r="EW395" s="92"/>
      <c r="EX395" s="92"/>
      <c r="EY395" s="92"/>
      <c r="EZ395" s="92"/>
      <c r="FA395" s="92"/>
      <c r="FB395" s="92"/>
      <c r="FC395" s="92"/>
      <c r="FD395" s="92"/>
      <c r="FE395" s="92"/>
      <c r="FF395" s="92"/>
      <c r="FG395" s="92"/>
      <c r="FH395" s="92"/>
    </row>
    <row r="396">
      <c r="A396" s="32" t="s">
        <v>35</v>
      </c>
      <c r="B396" s="32" t="s">
        <v>73</v>
      </c>
      <c r="C396" s="32" t="s">
        <v>9</v>
      </c>
      <c r="D396" s="97">
        <f t="shared" si="1"/>
        <v>7324.481671</v>
      </c>
      <c r="E396" s="92">
        <f>(SUBSTITUTE(Audio!E396, "RE-", "", 1))*1</f>
        <v>0</v>
      </c>
      <c r="F396" s="92">
        <f>(SUBSTITUTE(Audio!F396, "RE-", "", 1))*1</f>
        <v>1058.29046</v>
      </c>
      <c r="G396" s="92">
        <f>(SUBSTITUTE(Audio!G396, "RE-", "", 1))*1</f>
        <v>0</v>
      </c>
      <c r="H396" s="92">
        <f>(SUBSTITUTE(Audio!H396, "RE-", "", 1))*1</f>
        <v>171.5428271</v>
      </c>
      <c r="I396" s="92">
        <f>(SUBSTITUTE(Audio!I396, "RE-", "", 1))*1</f>
        <v>0</v>
      </c>
      <c r="J396" s="92">
        <f>(SUBSTITUTE(Audio!J396, "RE-", "", 1))*1</f>
        <v>1925.078845</v>
      </c>
      <c r="K396" s="92">
        <f>(SUBSTITUTE(Audio!K396, "RE-", "", 1))*1</f>
        <v>0</v>
      </c>
      <c r="L396" s="92">
        <f>(SUBSTITUTE(Audio!L396, "RE-", "", 1))*1</f>
        <v>1333.495447</v>
      </c>
      <c r="M396" s="92">
        <f>(SUBSTITUTE(Audio!M396, "RE-", "", 1))*1</f>
        <v>0</v>
      </c>
      <c r="N396" s="92">
        <f>(SUBSTITUTE(Audio!N396, "RE-", "", 1))*1</f>
        <v>818.4634094</v>
      </c>
      <c r="O396" s="92">
        <f>(SUBSTITUTE(Audio!O396, "RE-", "", 1))*1</f>
        <v>0</v>
      </c>
      <c r="P396" s="92">
        <f>(SUBSTITUTE(Audio!P396, "RE-", "", 1))*1</f>
        <v>340.3376385</v>
      </c>
      <c r="Q396" s="92">
        <f>(SUBSTITUTE(Audio!Q396, "RE-", "", 1))*1</f>
        <v>0</v>
      </c>
      <c r="R396" s="92">
        <f>(SUBSTITUTE(Audio!R396, "RE-", "", 1))*1</f>
        <v>65.45542083</v>
      </c>
      <c r="S396" s="92">
        <f>(SUBSTITUTE(Audio!S396, "RE-", "", 1))*1</f>
        <v>0</v>
      </c>
      <c r="T396" s="92">
        <f>(SUBSTITUTE(Audio!T396, "RE-", "", 1))*1</f>
        <v>1611.817623</v>
      </c>
      <c r="U396" s="92">
        <f>(SUBSTITUTE(Audio!U396, "RE-", "", 1))*1</f>
        <v>0</v>
      </c>
      <c r="V396" s="92">
        <f>(SUBSTITUTE(Audio!V396, "RE-", "", 1))*1</f>
        <v>0</v>
      </c>
      <c r="W396" s="92">
        <f>(SUBSTITUTE(Audio!W396, "RE-", "", 1))*1</f>
        <v>0</v>
      </c>
      <c r="X396" s="92">
        <f>(SUBSTITUTE(Audio!X396, "RE-", "", 1))*1</f>
        <v>0</v>
      </c>
      <c r="Y396" s="92">
        <f>(SUBSTITUTE(Audio!Y396, "RE-", "", 1))*1</f>
        <v>0</v>
      </c>
      <c r="Z396" s="92">
        <f>(SUBSTITUTE(Audio!Z396, "RE-", "", 1))*1</f>
        <v>0</v>
      </c>
      <c r="AA396" s="92"/>
      <c r="AB396" s="92"/>
      <c r="AC396" s="92"/>
      <c r="AD396" s="92"/>
      <c r="AE396" s="92"/>
      <c r="AF396" s="92"/>
      <c r="AG396" s="92"/>
      <c r="AH396" s="92"/>
      <c r="AI396" s="92"/>
      <c r="AJ396" s="92"/>
      <c r="AK396" s="92"/>
      <c r="AL396" s="92"/>
      <c r="AM396" s="92"/>
      <c r="AN396" s="92"/>
      <c r="AO396" s="92"/>
      <c r="AP396" s="92"/>
      <c r="AQ396" s="92"/>
      <c r="AR396" s="92"/>
      <c r="AS396" s="92"/>
      <c r="AT396" s="92"/>
      <c r="AU396" s="92"/>
      <c r="AV396" s="92"/>
      <c r="AW396" s="92"/>
      <c r="AX396" s="92"/>
      <c r="AY396" s="92"/>
      <c r="AZ396" s="92"/>
      <c r="BA396" s="92"/>
      <c r="BB396" s="92"/>
      <c r="BC396" s="92"/>
      <c r="BD396" s="92"/>
      <c r="BE396" s="92"/>
      <c r="BF396" s="92"/>
      <c r="BG396" s="92"/>
      <c r="BH396" s="92"/>
      <c r="BI396" s="92"/>
      <c r="BJ396" s="92"/>
      <c r="BK396" s="92"/>
      <c r="BL396" s="92"/>
      <c r="BM396" s="92"/>
      <c r="BN396" s="92"/>
      <c r="BO396" s="92"/>
      <c r="BP396" s="92"/>
      <c r="BQ396" s="92"/>
      <c r="BR396" s="92"/>
      <c r="BS396" s="92"/>
      <c r="BT396" s="92"/>
      <c r="BU396" s="92"/>
      <c r="BV396" s="92"/>
      <c r="BW396" s="92"/>
      <c r="BX396" s="92"/>
      <c r="BY396" s="92"/>
      <c r="BZ396" s="92"/>
      <c r="CA396" s="92"/>
      <c r="CB396" s="92"/>
      <c r="CC396" s="92"/>
      <c r="CD396" s="92"/>
      <c r="CE396" s="92"/>
      <c r="CF396" s="92"/>
      <c r="CG396" s="92"/>
      <c r="CH396" s="92"/>
      <c r="CI396" s="92"/>
      <c r="CJ396" s="92"/>
      <c r="CK396" s="92"/>
      <c r="CL396" s="92"/>
      <c r="CM396" s="92"/>
      <c r="CN396" s="92"/>
      <c r="CO396" s="92"/>
      <c r="CP396" s="92"/>
      <c r="CQ396" s="92"/>
      <c r="CR396" s="92"/>
      <c r="CS396" s="92"/>
      <c r="CT396" s="92"/>
      <c r="CU396" s="92"/>
      <c r="CV396" s="92"/>
      <c r="CW396" s="92"/>
      <c r="CX396" s="92"/>
      <c r="CY396" s="92"/>
      <c r="CZ396" s="92"/>
      <c r="DA396" s="92"/>
      <c r="DB396" s="92"/>
      <c r="DC396" s="92"/>
      <c r="DD396" s="92"/>
      <c r="DE396" s="92"/>
      <c r="DF396" s="92"/>
      <c r="DG396" s="92"/>
      <c r="DH396" s="92"/>
      <c r="DI396" s="92"/>
      <c r="DJ396" s="92"/>
      <c r="DK396" s="92"/>
      <c r="DL396" s="92"/>
      <c r="DM396" s="92"/>
      <c r="DN396" s="92"/>
      <c r="DO396" s="92"/>
      <c r="DP396" s="92"/>
      <c r="DQ396" s="92"/>
      <c r="DR396" s="92"/>
      <c r="DS396" s="92"/>
      <c r="DT396" s="92"/>
      <c r="DU396" s="92"/>
      <c r="DV396" s="92"/>
      <c r="DW396" s="92"/>
      <c r="DX396" s="92"/>
      <c r="DY396" s="92"/>
      <c r="DZ396" s="92"/>
      <c r="EA396" s="92"/>
      <c r="EB396" s="92"/>
      <c r="EC396" s="92"/>
      <c r="ED396" s="92"/>
      <c r="EE396" s="92"/>
      <c r="EF396" s="92"/>
      <c r="EG396" s="92"/>
      <c r="EH396" s="92"/>
      <c r="EI396" s="92"/>
      <c r="EJ396" s="92"/>
      <c r="EK396" s="92"/>
      <c r="EL396" s="92"/>
      <c r="EM396" s="92"/>
      <c r="EN396" s="92"/>
      <c r="EO396" s="92"/>
      <c r="EP396" s="92"/>
      <c r="EQ396" s="92"/>
      <c r="ER396" s="92"/>
      <c r="ES396" s="92"/>
      <c r="ET396" s="92"/>
      <c r="EU396" s="92"/>
      <c r="EV396" s="92"/>
      <c r="EW396" s="92"/>
      <c r="EX396" s="92"/>
      <c r="EY396" s="92"/>
      <c r="EZ396" s="92"/>
      <c r="FA396" s="92"/>
      <c r="FB396" s="92"/>
      <c r="FC396" s="92"/>
      <c r="FD396" s="92"/>
      <c r="FE396" s="92"/>
      <c r="FF396" s="92"/>
      <c r="FG396" s="92"/>
      <c r="FH396" s="92"/>
    </row>
    <row r="397">
      <c r="A397" s="32" t="s">
        <v>35</v>
      </c>
      <c r="B397" s="32" t="s">
        <v>73</v>
      </c>
      <c r="C397" s="32" t="s">
        <v>10</v>
      </c>
      <c r="D397" s="97">
        <f t="shared" si="1"/>
        <v>522.6920698</v>
      </c>
      <c r="E397" s="92">
        <f>(SUBSTITUTE(Audio!E397, "RE-", "", 1))*1</f>
        <v>0</v>
      </c>
      <c r="F397" s="92">
        <f>(SUBSTITUTE(Audio!F397, "RE-", "", 1))*1</f>
        <v>0</v>
      </c>
      <c r="G397" s="92">
        <f>(SUBSTITUTE(Audio!G397, "RE-", "", 1))*1</f>
        <v>79.34618854</v>
      </c>
      <c r="H397" s="92">
        <f>(SUBSTITUTE(Audio!H397, "RE-", "", 1))*1</f>
        <v>0</v>
      </c>
      <c r="I397" s="92">
        <f>(SUBSTITUTE(Audio!I397, "RE-", "", 1))*1</f>
        <v>14.07738125</v>
      </c>
      <c r="J397" s="92">
        <f>(SUBSTITUTE(Audio!J397, "RE-", "", 1))*1</f>
        <v>0</v>
      </c>
      <c r="K397" s="92">
        <f>(SUBSTITUTE(Audio!K397, "RE-", "", 1))*1</f>
        <v>108.5187021</v>
      </c>
      <c r="L397" s="92">
        <f>(SUBSTITUTE(Audio!L397, "RE-", "", 1))*1</f>
        <v>0</v>
      </c>
      <c r="M397" s="92">
        <f>(SUBSTITUTE(Audio!M397, "RE-", "", 1))*1</f>
        <v>78.42308125</v>
      </c>
      <c r="N397" s="92">
        <f>(SUBSTITUTE(Audio!N397, "RE-", "", 1))*1</f>
        <v>0</v>
      </c>
      <c r="O397" s="92">
        <f>(SUBSTITUTE(Audio!O397, "RE-", "", 1))*1</f>
        <v>57.27404792</v>
      </c>
      <c r="P397" s="92">
        <f>(SUBSTITUTE(Audio!P397, "RE-", "", 1))*1</f>
        <v>0</v>
      </c>
      <c r="Q397" s="92">
        <f>(SUBSTITUTE(Audio!Q397, "RE-", "", 1))*1</f>
        <v>66.44099062</v>
      </c>
      <c r="R397" s="92">
        <f>(SUBSTITUTE(Audio!R397, "RE-", "", 1))*1</f>
        <v>0</v>
      </c>
      <c r="S397" s="92">
        <f>(SUBSTITUTE(Audio!S397, "RE-", "", 1))*1</f>
        <v>4.294214583</v>
      </c>
      <c r="T397" s="92">
        <f>(SUBSTITUTE(Audio!T397, "RE-", "", 1))*1</f>
        <v>0</v>
      </c>
      <c r="U397" s="92">
        <f>(SUBSTITUTE(Audio!U397, "RE-", "", 1))*1</f>
        <v>98.77202188</v>
      </c>
      <c r="V397" s="92">
        <f>(SUBSTITUTE(Audio!V397, "RE-", "", 1))*1</f>
        <v>15.54544167</v>
      </c>
      <c r="W397" s="92">
        <f>(SUBSTITUTE(Audio!W397, "RE-", "", 1))*1</f>
        <v>0</v>
      </c>
      <c r="X397" s="92">
        <f>(SUBSTITUTE(Audio!X397, "RE-", "", 1))*1</f>
        <v>0</v>
      </c>
      <c r="Y397" s="92">
        <f>(SUBSTITUTE(Audio!Y397, "RE-", "", 1))*1</f>
        <v>0</v>
      </c>
      <c r="Z397" s="92">
        <f>(SUBSTITUTE(Audio!Z397, "RE-", "", 1))*1</f>
        <v>0</v>
      </c>
      <c r="AA397" s="92"/>
      <c r="AB397" s="92"/>
      <c r="AC397" s="92"/>
      <c r="AD397" s="92"/>
      <c r="AE397" s="92"/>
      <c r="AF397" s="92"/>
      <c r="AG397" s="92"/>
      <c r="AH397" s="92"/>
      <c r="AI397" s="92"/>
      <c r="AJ397" s="92"/>
      <c r="AK397" s="92"/>
      <c r="AL397" s="92"/>
      <c r="AM397" s="92"/>
      <c r="AN397" s="92"/>
      <c r="AO397" s="92"/>
      <c r="AP397" s="92"/>
      <c r="AQ397" s="92"/>
      <c r="AR397" s="92"/>
      <c r="AS397" s="92"/>
      <c r="AT397" s="92"/>
      <c r="AU397" s="92"/>
      <c r="AV397" s="92"/>
      <c r="AW397" s="92"/>
      <c r="AX397" s="92"/>
      <c r="AY397" s="92"/>
      <c r="AZ397" s="92"/>
      <c r="BA397" s="92"/>
      <c r="BB397" s="92"/>
      <c r="BC397" s="92"/>
      <c r="BD397" s="92"/>
      <c r="BE397" s="92"/>
      <c r="BF397" s="92"/>
      <c r="BG397" s="92"/>
      <c r="BH397" s="92"/>
      <c r="BI397" s="92"/>
      <c r="BJ397" s="92"/>
      <c r="BK397" s="92"/>
      <c r="BL397" s="92"/>
      <c r="BM397" s="92"/>
      <c r="BN397" s="92"/>
      <c r="BO397" s="92"/>
      <c r="BP397" s="92"/>
      <c r="BQ397" s="92"/>
      <c r="BR397" s="92"/>
      <c r="BS397" s="92"/>
      <c r="BT397" s="92"/>
      <c r="BU397" s="92"/>
      <c r="BV397" s="92"/>
      <c r="BW397" s="92"/>
      <c r="BX397" s="92"/>
      <c r="BY397" s="92"/>
      <c r="BZ397" s="92"/>
      <c r="CA397" s="92"/>
      <c r="CB397" s="92"/>
      <c r="CC397" s="92"/>
      <c r="CD397" s="92"/>
      <c r="CE397" s="92"/>
      <c r="CF397" s="92"/>
      <c r="CG397" s="92"/>
      <c r="CH397" s="92"/>
      <c r="CI397" s="92"/>
      <c r="CJ397" s="92"/>
      <c r="CK397" s="92"/>
      <c r="CL397" s="92"/>
      <c r="CM397" s="92"/>
      <c r="CN397" s="92"/>
      <c r="CO397" s="92"/>
      <c r="CP397" s="92"/>
      <c r="CQ397" s="92"/>
      <c r="CR397" s="92"/>
      <c r="CS397" s="92"/>
      <c r="CT397" s="92"/>
      <c r="CU397" s="92"/>
      <c r="CV397" s="92"/>
      <c r="CW397" s="92"/>
      <c r="CX397" s="92"/>
      <c r="CY397" s="92"/>
      <c r="CZ397" s="92"/>
      <c r="DA397" s="92"/>
      <c r="DB397" s="92"/>
      <c r="DC397" s="92"/>
      <c r="DD397" s="92"/>
      <c r="DE397" s="92"/>
      <c r="DF397" s="92"/>
      <c r="DG397" s="92"/>
      <c r="DH397" s="92"/>
      <c r="DI397" s="92"/>
      <c r="DJ397" s="92"/>
      <c r="DK397" s="92"/>
      <c r="DL397" s="92"/>
      <c r="DM397" s="92"/>
      <c r="DN397" s="92"/>
      <c r="DO397" s="92"/>
      <c r="DP397" s="92"/>
      <c r="DQ397" s="92"/>
      <c r="DR397" s="92"/>
      <c r="DS397" s="92"/>
      <c r="DT397" s="92"/>
      <c r="DU397" s="92"/>
      <c r="DV397" s="92"/>
      <c r="DW397" s="92"/>
      <c r="DX397" s="92"/>
      <c r="DY397" s="92"/>
      <c r="DZ397" s="92"/>
      <c r="EA397" s="92"/>
      <c r="EB397" s="92"/>
      <c r="EC397" s="92"/>
      <c r="ED397" s="92"/>
      <c r="EE397" s="92"/>
      <c r="EF397" s="92"/>
      <c r="EG397" s="92"/>
      <c r="EH397" s="92"/>
      <c r="EI397" s="92"/>
      <c r="EJ397" s="92"/>
      <c r="EK397" s="92"/>
      <c r="EL397" s="92"/>
      <c r="EM397" s="92"/>
      <c r="EN397" s="92"/>
      <c r="EO397" s="92"/>
      <c r="EP397" s="92"/>
      <c r="EQ397" s="92"/>
      <c r="ER397" s="92"/>
      <c r="ES397" s="92"/>
      <c r="ET397" s="92"/>
      <c r="EU397" s="92"/>
      <c r="EV397" s="92"/>
      <c r="EW397" s="92"/>
      <c r="EX397" s="92"/>
      <c r="EY397" s="92"/>
      <c r="EZ397" s="92"/>
      <c r="FA397" s="92"/>
      <c r="FB397" s="92"/>
      <c r="FC397" s="92"/>
      <c r="FD397" s="92"/>
      <c r="FE397" s="92"/>
      <c r="FF397" s="92"/>
      <c r="FG397" s="92"/>
      <c r="FH397" s="92"/>
    </row>
    <row r="398">
      <c r="A398" s="32" t="s">
        <v>35</v>
      </c>
      <c r="B398" s="32" t="s">
        <v>73</v>
      </c>
      <c r="C398" s="32" t="s">
        <v>11</v>
      </c>
      <c r="D398" s="97">
        <f t="shared" si="1"/>
        <v>522.6920698</v>
      </c>
      <c r="E398" s="92">
        <f>(SUBSTITUTE(Audio!E398, "RE-", "", 1))*1</f>
        <v>0</v>
      </c>
      <c r="F398" s="92">
        <f>(SUBSTITUTE(Audio!F398, "RE-", "", 1))*1</f>
        <v>0</v>
      </c>
      <c r="G398" s="92">
        <f>(SUBSTITUTE(Audio!G398, "RE-", "", 1))*1</f>
        <v>79.34618854</v>
      </c>
      <c r="H398" s="92">
        <f>(SUBSTITUTE(Audio!H398, "RE-", "", 1))*1</f>
        <v>0</v>
      </c>
      <c r="I398" s="92">
        <f>(SUBSTITUTE(Audio!I398, "RE-", "", 1))*1</f>
        <v>14.07738125</v>
      </c>
      <c r="J398" s="92">
        <f>(SUBSTITUTE(Audio!J398, "RE-", "", 1))*1</f>
        <v>0</v>
      </c>
      <c r="K398" s="92">
        <f>(SUBSTITUTE(Audio!K398, "RE-", "", 1))*1</f>
        <v>108.5187021</v>
      </c>
      <c r="L398" s="92">
        <f>(SUBSTITUTE(Audio!L398, "RE-", "", 1))*1</f>
        <v>0</v>
      </c>
      <c r="M398" s="92">
        <f>(SUBSTITUTE(Audio!M398, "RE-", "", 1))*1</f>
        <v>78.42308125</v>
      </c>
      <c r="N398" s="92">
        <f>(SUBSTITUTE(Audio!N398, "RE-", "", 1))*1</f>
        <v>0</v>
      </c>
      <c r="O398" s="92">
        <f>(SUBSTITUTE(Audio!O398, "RE-", "", 1))*1</f>
        <v>57.27404792</v>
      </c>
      <c r="P398" s="92">
        <f>(SUBSTITUTE(Audio!P398, "RE-", "", 1))*1</f>
        <v>0</v>
      </c>
      <c r="Q398" s="92">
        <f>(SUBSTITUTE(Audio!Q398, "RE-", "", 1))*1</f>
        <v>66.44099062</v>
      </c>
      <c r="R398" s="92">
        <f>(SUBSTITUTE(Audio!R398, "RE-", "", 1))*1</f>
        <v>0</v>
      </c>
      <c r="S398" s="92">
        <f>(SUBSTITUTE(Audio!S398, "RE-", "", 1))*1</f>
        <v>4.294214583</v>
      </c>
      <c r="T398" s="92">
        <f>(SUBSTITUTE(Audio!T398, "RE-", "", 1))*1</f>
        <v>0</v>
      </c>
      <c r="U398" s="92">
        <f>(SUBSTITUTE(Audio!U398, "RE-", "", 1))*1</f>
        <v>98.77202188</v>
      </c>
      <c r="V398" s="92">
        <f>(SUBSTITUTE(Audio!V398, "RE-", "", 1))*1</f>
        <v>15.54544167</v>
      </c>
      <c r="W398" s="92">
        <f>(SUBSTITUTE(Audio!W398, "RE-", "", 1))*1</f>
        <v>0</v>
      </c>
      <c r="X398" s="92">
        <f>(SUBSTITUTE(Audio!X398, "RE-", "", 1))*1</f>
        <v>0</v>
      </c>
      <c r="Y398" s="92">
        <f>(SUBSTITUTE(Audio!Y398, "RE-", "", 1))*1</f>
        <v>0</v>
      </c>
      <c r="Z398" s="92">
        <f>(SUBSTITUTE(Audio!Z398, "RE-", "", 1))*1</f>
        <v>0</v>
      </c>
      <c r="AA398" s="92"/>
      <c r="AB398" s="92"/>
      <c r="AC398" s="92"/>
      <c r="AD398" s="92"/>
      <c r="AE398" s="92"/>
      <c r="AF398" s="92"/>
      <c r="AG398" s="92"/>
      <c r="AH398" s="92"/>
      <c r="AI398" s="92"/>
      <c r="AJ398" s="92"/>
      <c r="AK398" s="92"/>
      <c r="AL398" s="92"/>
      <c r="AM398" s="92"/>
      <c r="AN398" s="92"/>
      <c r="AO398" s="92"/>
      <c r="AP398" s="92"/>
      <c r="AQ398" s="92"/>
      <c r="AR398" s="92"/>
      <c r="AS398" s="92"/>
      <c r="AT398" s="92"/>
      <c r="AU398" s="92"/>
      <c r="AV398" s="92"/>
      <c r="AW398" s="92"/>
      <c r="AX398" s="92"/>
      <c r="AY398" s="92"/>
      <c r="AZ398" s="92"/>
      <c r="BA398" s="92"/>
      <c r="BB398" s="92"/>
      <c r="BC398" s="92"/>
      <c r="BD398" s="92"/>
      <c r="BE398" s="92"/>
      <c r="BF398" s="92"/>
      <c r="BG398" s="92"/>
      <c r="BH398" s="92"/>
      <c r="BI398" s="92"/>
      <c r="BJ398" s="92"/>
      <c r="BK398" s="92"/>
      <c r="BL398" s="92"/>
      <c r="BM398" s="92"/>
      <c r="BN398" s="92"/>
      <c r="BO398" s="92"/>
      <c r="BP398" s="92"/>
      <c r="BQ398" s="92"/>
      <c r="BR398" s="92"/>
      <c r="BS398" s="92"/>
      <c r="BT398" s="92"/>
      <c r="BU398" s="92"/>
      <c r="BV398" s="92"/>
      <c r="BW398" s="92"/>
      <c r="BX398" s="92"/>
      <c r="BY398" s="92"/>
      <c r="BZ398" s="92"/>
      <c r="CA398" s="92"/>
      <c r="CB398" s="92"/>
      <c r="CC398" s="92"/>
      <c r="CD398" s="92"/>
      <c r="CE398" s="92"/>
      <c r="CF398" s="92"/>
      <c r="CG398" s="92"/>
      <c r="CH398" s="92"/>
      <c r="CI398" s="92"/>
      <c r="CJ398" s="92"/>
      <c r="CK398" s="92"/>
      <c r="CL398" s="92"/>
      <c r="CM398" s="92"/>
      <c r="CN398" s="92"/>
      <c r="CO398" s="92"/>
      <c r="CP398" s="92"/>
      <c r="CQ398" s="92"/>
      <c r="CR398" s="92"/>
      <c r="CS398" s="92"/>
      <c r="CT398" s="92"/>
      <c r="CU398" s="92"/>
      <c r="CV398" s="92"/>
      <c r="CW398" s="92"/>
      <c r="CX398" s="92"/>
      <c r="CY398" s="92"/>
      <c r="CZ398" s="92"/>
      <c r="DA398" s="92"/>
      <c r="DB398" s="92"/>
      <c r="DC398" s="92"/>
      <c r="DD398" s="92"/>
      <c r="DE398" s="92"/>
      <c r="DF398" s="92"/>
      <c r="DG398" s="92"/>
      <c r="DH398" s="92"/>
      <c r="DI398" s="92"/>
      <c r="DJ398" s="92"/>
      <c r="DK398" s="92"/>
      <c r="DL398" s="92"/>
      <c r="DM398" s="92"/>
      <c r="DN398" s="92"/>
      <c r="DO398" s="92"/>
      <c r="DP398" s="92"/>
      <c r="DQ398" s="92"/>
      <c r="DR398" s="92"/>
      <c r="DS398" s="92"/>
      <c r="DT398" s="92"/>
      <c r="DU398" s="92"/>
      <c r="DV398" s="92"/>
      <c r="DW398" s="92"/>
      <c r="DX398" s="92"/>
      <c r="DY398" s="92"/>
      <c r="DZ398" s="92"/>
      <c r="EA398" s="92"/>
      <c r="EB398" s="92"/>
      <c r="EC398" s="92"/>
      <c r="ED398" s="92"/>
      <c r="EE398" s="92"/>
      <c r="EF398" s="92"/>
      <c r="EG398" s="92"/>
      <c r="EH398" s="92"/>
      <c r="EI398" s="92"/>
      <c r="EJ398" s="92"/>
      <c r="EK398" s="92"/>
      <c r="EL398" s="92"/>
      <c r="EM398" s="92"/>
      <c r="EN398" s="92"/>
      <c r="EO398" s="92"/>
      <c r="EP398" s="92"/>
      <c r="EQ398" s="92"/>
      <c r="ER398" s="92"/>
      <c r="ES398" s="92"/>
      <c r="ET398" s="92"/>
      <c r="EU398" s="92"/>
      <c r="EV398" s="92"/>
      <c r="EW398" s="92"/>
      <c r="EX398" s="92"/>
      <c r="EY398" s="92"/>
      <c r="EZ398" s="92"/>
      <c r="FA398" s="92"/>
      <c r="FB398" s="92"/>
      <c r="FC398" s="92"/>
      <c r="FD398" s="92"/>
      <c r="FE398" s="92"/>
      <c r="FF398" s="92"/>
      <c r="FG398" s="92"/>
      <c r="FH398" s="92"/>
    </row>
    <row r="399">
      <c r="A399" s="32" t="s">
        <v>35</v>
      </c>
      <c r="B399" s="32" t="s">
        <v>73</v>
      </c>
      <c r="C399" s="32" t="s">
        <v>12</v>
      </c>
      <c r="D399" s="97">
        <f t="shared" si="1"/>
        <v>6396.98697</v>
      </c>
      <c r="E399" s="92">
        <f>(SUBSTITUTE(Audio!E399, "RE-", "", 1))*1</f>
        <v>0</v>
      </c>
      <c r="F399" s="92">
        <f>(SUBSTITUTE(Audio!F399, "RE-", "", 1))*1</f>
        <v>859.4052656</v>
      </c>
      <c r="G399" s="92">
        <f>(SUBSTITUTE(Audio!G399, "RE-", "", 1))*1</f>
        <v>3.957625</v>
      </c>
      <c r="H399" s="92">
        <f>(SUBSTITUTE(Audio!H399, "RE-", "", 1))*1</f>
        <v>139.9368729</v>
      </c>
      <c r="I399" s="92">
        <f>(SUBSTITUTE(Audio!I399, "RE-", "", 1))*1</f>
        <v>0</v>
      </c>
      <c r="J399" s="92">
        <f>(SUBSTITUTE(Audio!J399, "RE-", "", 1))*1</f>
        <v>1629.408024</v>
      </c>
      <c r="K399" s="92">
        <f>(SUBSTITUTE(Audio!K399, "RE-", "", 1))*1</f>
        <v>6.058033333</v>
      </c>
      <c r="L399" s="92">
        <f>(SUBSTITUTE(Audio!L399, "RE-", "", 1))*1</f>
        <v>1184.817259</v>
      </c>
      <c r="M399" s="92">
        <f>(SUBSTITUTE(Audio!M399, "RE-", "", 1))*1</f>
        <v>16.16150625</v>
      </c>
      <c r="N399" s="92">
        <f>(SUBSTITUTE(Audio!N399, "RE-", "", 1))*1</f>
        <v>560.0489354</v>
      </c>
      <c r="O399" s="92">
        <f>(SUBSTITUTE(Audio!O399, "RE-", "", 1))*1</f>
        <v>8.06354375</v>
      </c>
      <c r="P399" s="92">
        <f>(SUBSTITUTE(Audio!P399, "RE-", "", 1))*1</f>
        <v>309.7330854</v>
      </c>
      <c r="Q399" s="92">
        <f>(SUBSTITUTE(Audio!Q399, "RE-", "", 1))*1</f>
        <v>17.54834271</v>
      </c>
      <c r="R399" s="92">
        <f>(SUBSTITUTE(Audio!R399, "RE-", "", 1))*1</f>
        <v>61.9741125</v>
      </c>
      <c r="S399" s="92">
        <f>(SUBSTITUTE(Audio!S399, "RE-", "", 1))*1</f>
        <v>0.31825</v>
      </c>
      <c r="T399" s="92">
        <f>(SUBSTITUTE(Audio!T399, "RE-", "", 1))*1</f>
        <v>1546.246637</v>
      </c>
      <c r="U399" s="92">
        <f>(SUBSTITUTE(Audio!U399, "RE-", "", 1))*1</f>
        <v>51.52825833</v>
      </c>
      <c r="V399" s="92">
        <f>(SUBSTITUTE(Audio!V399, "RE-", "", 1))*1</f>
        <v>1.78121875</v>
      </c>
      <c r="W399" s="92">
        <f>(SUBSTITUTE(Audio!W399, "RE-", "", 1))*1</f>
        <v>0</v>
      </c>
      <c r="X399" s="92">
        <f>(SUBSTITUTE(Audio!X399, "RE-", "", 1))*1</f>
        <v>0</v>
      </c>
      <c r="Y399" s="92">
        <f>(SUBSTITUTE(Audio!Y399, "RE-", "", 1))*1</f>
        <v>0</v>
      </c>
      <c r="Z399" s="92">
        <f>(SUBSTITUTE(Audio!Z399, "RE-", "", 1))*1</f>
        <v>0</v>
      </c>
      <c r="AA399" s="92"/>
      <c r="AB399" s="92"/>
      <c r="AC399" s="92"/>
      <c r="AD399" s="92"/>
      <c r="AE399" s="92"/>
      <c r="AF399" s="92"/>
      <c r="AG399" s="92"/>
      <c r="AH399" s="92"/>
      <c r="AI399" s="92"/>
      <c r="AJ399" s="92"/>
      <c r="AK399" s="92"/>
      <c r="AL399" s="92"/>
      <c r="AM399" s="92"/>
      <c r="AN399" s="92"/>
      <c r="AO399" s="92"/>
      <c r="AP399" s="92"/>
      <c r="AQ399" s="92"/>
      <c r="AR399" s="92"/>
      <c r="AS399" s="92"/>
      <c r="AT399" s="92"/>
      <c r="AU399" s="92"/>
      <c r="AV399" s="92"/>
      <c r="AW399" s="92"/>
      <c r="AX399" s="92"/>
      <c r="AY399" s="92"/>
      <c r="AZ399" s="92"/>
      <c r="BA399" s="92"/>
      <c r="BB399" s="92"/>
      <c r="BC399" s="92"/>
      <c r="BD399" s="92"/>
      <c r="BE399" s="92"/>
      <c r="BF399" s="92"/>
      <c r="BG399" s="92"/>
      <c r="BH399" s="92"/>
      <c r="BI399" s="92"/>
      <c r="BJ399" s="92"/>
      <c r="BK399" s="92"/>
      <c r="BL399" s="92"/>
      <c r="BM399" s="92"/>
      <c r="BN399" s="92"/>
      <c r="BO399" s="92"/>
      <c r="BP399" s="92"/>
      <c r="BQ399" s="92"/>
      <c r="BR399" s="92"/>
      <c r="BS399" s="92"/>
      <c r="BT399" s="92"/>
      <c r="BU399" s="92"/>
      <c r="BV399" s="92"/>
      <c r="BW399" s="92"/>
      <c r="BX399" s="92"/>
      <c r="BY399" s="92"/>
      <c r="BZ399" s="92"/>
      <c r="CA399" s="92"/>
      <c r="CB399" s="92"/>
      <c r="CC399" s="92"/>
      <c r="CD399" s="92"/>
      <c r="CE399" s="92"/>
      <c r="CF399" s="92"/>
      <c r="CG399" s="92"/>
      <c r="CH399" s="92"/>
      <c r="CI399" s="92"/>
      <c r="CJ399" s="92"/>
      <c r="CK399" s="92"/>
      <c r="CL399" s="92"/>
      <c r="CM399" s="92"/>
      <c r="CN399" s="92"/>
      <c r="CO399" s="92"/>
      <c r="CP399" s="92"/>
      <c r="CQ399" s="92"/>
      <c r="CR399" s="92"/>
      <c r="CS399" s="92"/>
      <c r="CT399" s="92"/>
      <c r="CU399" s="92"/>
      <c r="CV399" s="92"/>
      <c r="CW399" s="92"/>
      <c r="CX399" s="92"/>
      <c r="CY399" s="92"/>
      <c r="CZ399" s="92"/>
      <c r="DA399" s="92"/>
      <c r="DB399" s="92"/>
      <c r="DC399" s="92"/>
      <c r="DD399" s="92"/>
      <c r="DE399" s="92"/>
      <c r="DF399" s="92"/>
      <c r="DG399" s="92"/>
      <c r="DH399" s="92"/>
      <c r="DI399" s="92"/>
      <c r="DJ399" s="92"/>
      <c r="DK399" s="92"/>
      <c r="DL399" s="92"/>
      <c r="DM399" s="92"/>
      <c r="DN399" s="92"/>
      <c r="DO399" s="92"/>
      <c r="DP399" s="92"/>
      <c r="DQ399" s="92"/>
      <c r="DR399" s="92"/>
      <c r="DS399" s="92"/>
      <c r="DT399" s="92"/>
      <c r="DU399" s="92"/>
      <c r="DV399" s="92"/>
      <c r="DW399" s="92"/>
      <c r="DX399" s="92"/>
      <c r="DY399" s="92"/>
      <c r="DZ399" s="92"/>
      <c r="EA399" s="92"/>
      <c r="EB399" s="92"/>
      <c r="EC399" s="92"/>
      <c r="ED399" s="92"/>
      <c r="EE399" s="92"/>
      <c r="EF399" s="92"/>
      <c r="EG399" s="92"/>
      <c r="EH399" s="92"/>
      <c r="EI399" s="92"/>
      <c r="EJ399" s="92"/>
      <c r="EK399" s="92"/>
      <c r="EL399" s="92"/>
      <c r="EM399" s="92"/>
      <c r="EN399" s="92"/>
      <c r="EO399" s="92"/>
      <c r="EP399" s="92"/>
      <c r="EQ399" s="92"/>
      <c r="ER399" s="92"/>
      <c r="ES399" s="92"/>
      <c r="ET399" s="92"/>
      <c r="EU399" s="92"/>
      <c r="EV399" s="92"/>
      <c r="EW399" s="92"/>
      <c r="EX399" s="92"/>
      <c r="EY399" s="92"/>
      <c r="EZ399" s="92"/>
      <c r="FA399" s="92"/>
      <c r="FB399" s="92"/>
      <c r="FC399" s="92"/>
      <c r="FD399" s="92"/>
      <c r="FE399" s="92"/>
      <c r="FF399" s="92"/>
      <c r="FG399" s="92"/>
      <c r="FH399" s="92"/>
    </row>
    <row r="400">
      <c r="A400" s="32" t="s">
        <v>35</v>
      </c>
      <c r="B400" s="32" t="s">
        <v>73</v>
      </c>
      <c r="C400" s="32" t="s">
        <v>13</v>
      </c>
      <c r="D400" s="97">
        <f t="shared" si="1"/>
        <v>6229.454663</v>
      </c>
      <c r="E400" s="92">
        <f>(SUBSTITUTE(Audio!E400, "RE-", "", 1))*1</f>
        <v>0</v>
      </c>
      <c r="F400" s="92">
        <f>(SUBSTITUTE(Audio!F400, "RE-", "", 1))*1</f>
        <v>840.543</v>
      </c>
      <c r="G400" s="92">
        <f>(SUBSTITUTE(Audio!G400, "RE-", "", 1))*1</f>
        <v>3.84633</v>
      </c>
      <c r="H400" s="92">
        <f>(SUBSTITUTE(Audio!H400, "RE-", "", 1))*1</f>
        <v>137.576</v>
      </c>
      <c r="I400" s="92">
        <f>(SUBSTITUTE(Audio!I400, "RE-", "", 1))*1</f>
        <v>0</v>
      </c>
      <c r="J400" s="92">
        <f>(SUBSTITUTE(Audio!J400, "RE-", "", 1))*1</f>
        <v>1595.08</v>
      </c>
      <c r="K400" s="92">
        <f>(SUBSTITUTE(Audio!K400, "RE-", "", 1))*1</f>
        <v>5.90592</v>
      </c>
      <c r="L400" s="92">
        <f>(SUBSTITUTE(Audio!L400, "RE-", "", 1))*1</f>
        <v>1154.17</v>
      </c>
      <c r="M400" s="92">
        <f>(SUBSTITUTE(Audio!M400, "RE-", "", 1))*1</f>
        <v>15.624</v>
      </c>
      <c r="N400" s="92">
        <f>(SUBSTITUTE(Audio!N400, "RE-", "", 1))*1</f>
        <v>542.585</v>
      </c>
      <c r="O400" s="92">
        <f>(SUBSTITUTE(Audio!O400, "RE-", "", 1))*1</f>
        <v>7.8211</v>
      </c>
      <c r="P400" s="92">
        <f>(SUBSTITUTE(Audio!P400, "RE-", "", 1))*1</f>
        <v>298.265</v>
      </c>
      <c r="Q400" s="92">
        <f>(SUBSTITUTE(Audio!Q400, "RE-", "", 1))*1</f>
        <v>16.6798</v>
      </c>
      <c r="R400" s="92">
        <f>(SUBSTITUTE(Audio!R400, "RE-", "", 1))*1</f>
        <v>59.7872</v>
      </c>
      <c r="S400" s="92">
        <f>(SUBSTITUTE(Audio!S400, "RE-", "", 1))*1</f>
        <v>0.310883</v>
      </c>
      <c r="T400" s="92">
        <f>(SUBSTITUTE(Audio!T400, "RE-", "", 1))*1</f>
        <v>1499.94</v>
      </c>
      <c r="U400" s="92">
        <f>(SUBSTITUTE(Audio!U400, "RE-", "", 1))*1</f>
        <v>49.6613</v>
      </c>
      <c r="V400" s="92">
        <f>(SUBSTITUTE(Audio!V400, "RE-", "", 1))*1</f>
        <v>1.65913</v>
      </c>
      <c r="W400" s="92">
        <f>(SUBSTITUTE(Audio!W400, "RE-", "", 1))*1</f>
        <v>0</v>
      </c>
      <c r="X400" s="92">
        <f>(SUBSTITUTE(Audio!X400, "RE-", "", 1))*1</f>
        <v>0</v>
      </c>
      <c r="Y400" s="92">
        <f>(SUBSTITUTE(Audio!Y400, "RE-", "", 1))*1</f>
        <v>0</v>
      </c>
      <c r="Z400" s="92">
        <f>(SUBSTITUTE(Audio!Z400, "RE-", "", 1))*1</f>
        <v>0</v>
      </c>
      <c r="AA400" s="92"/>
      <c r="AB400" s="92"/>
      <c r="AC400" s="92"/>
      <c r="AD400" s="92"/>
      <c r="AE400" s="92"/>
      <c r="AF400" s="92"/>
      <c r="AG400" s="92"/>
      <c r="AH400" s="92"/>
      <c r="AI400" s="92"/>
      <c r="AJ400" s="92"/>
      <c r="AK400" s="92"/>
      <c r="AL400" s="92"/>
      <c r="AM400" s="92"/>
      <c r="AN400" s="92"/>
      <c r="AO400" s="92"/>
      <c r="AP400" s="92"/>
      <c r="AQ400" s="92"/>
      <c r="AR400" s="92"/>
      <c r="AS400" s="92"/>
      <c r="AT400" s="92"/>
      <c r="AU400" s="92"/>
      <c r="AV400" s="92"/>
      <c r="AW400" s="92"/>
      <c r="AX400" s="92"/>
      <c r="AY400" s="92"/>
      <c r="AZ400" s="92"/>
      <c r="BA400" s="92"/>
      <c r="BB400" s="92"/>
      <c r="BC400" s="92"/>
      <c r="BD400" s="92"/>
      <c r="BE400" s="92"/>
      <c r="BF400" s="92"/>
      <c r="BG400" s="92"/>
      <c r="BH400" s="92"/>
      <c r="BI400" s="92"/>
      <c r="BJ400" s="92"/>
      <c r="BK400" s="92"/>
      <c r="BL400" s="92"/>
      <c r="BM400" s="92"/>
      <c r="BN400" s="92"/>
      <c r="BO400" s="92"/>
      <c r="BP400" s="92"/>
      <c r="BQ400" s="92"/>
      <c r="BR400" s="92"/>
      <c r="BS400" s="92"/>
      <c r="BT400" s="92"/>
      <c r="BU400" s="92"/>
      <c r="BV400" s="92"/>
      <c r="BW400" s="92"/>
      <c r="BX400" s="92"/>
      <c r="BY400" s="92"/>
      <c r="BZ400" s="92"/>
      <c r="CA400" s="92"/>
      <c r="CB400" s="92"/>
      <c r="CC400" s="92"/>
      <c r="CD400" s="92"/>
      <c r="CE400" s="92"/>
      <c r="CF400" s="92"/>
      <c r="CG400" s="92"/>
      <c r="CH400" s="92"/>
      <c r="CI400" s="92"/>
      <c r="CJ400" s="92"/>
      <c r="CK400" s="92"/>
      <c r="CL400" s="92"/>
      <c r="CM400" s="92"/>
      <c r="CN400" s="92"/>
      <c r="CO400" s="92"/>
      <c r="CP400" s="92"/>
      <c r="CQ400" s="92"/>
      <c r="CR400" s="92"/>
      <c r="CS400" s="92"/>
      <c r="CT400" s="92"/>
      <c r="CU400" s="92"/>
      <c r="CV400" s="92"/>
      <c r="CW400" s="92"/>
      <c r="CX400" s="92"/>
      <c r="CY400" s="92"/>
      <c r="CZ400" s="92"/>
      <c r="DA400" s="92"/>
      <c r="DB400" s="92"/>
      <c r="DC400" s="92"/>
      <c r="DD400" s="92"/>
      <c r="DE400" s="92"/>
      <c r="DF400" s="92"/>
      <c r="DG400" s="92"/>
      <c r="DH400" s="92"/>
      <c r="DI400" s="92"/>
      <c r="DJ400" s="92"/>
      <c r="DK400" s="92"/>
      <c r="DL400" s="92"/>
      <c r="DM400" s="92"/>
      <c r="DN400" s="92"/>
      <c r="DO400" s="92"/>
      <c r="DP400" s="92"/>
      <c r="DQ400" s="92"/>
      <c r="DR400" s="92"/>
      <c r="DS400" s="92"/>
      <c r="DT400" s="92"/>
      <c r="DU400" s="92"/>
      <c r="DV400" s="92"/>
      <c r="DW400" s="92"/>
      <c r="DX400" s="92"/>
      <c r="DY400" s="92"/>
      <c r="DZ400" s="92"/>
      <c r="EA400" s="92"/>
      <c r="EB400" s="92"/>
      <c r="EC400" s="92"/>
      <c r="ED400" s="92"/>
      <c r="EE400" s="92"/>
      <c r="EF400" s="92"/>
      <c r="EG400" s="92"/>
      <c r="EH400" s="92"/>
      <c r="EI400" s="92"/>
      <c r="EJ400" s="92"/>
      <c r="EK400" s="92"/>
      <c r="EL400" s="92"/>
      <c r="EM400" s="92"/>
      <c r="EN400" s="92"/>
      <c r="EO400" s="92"/>
      <c r="EP400" s="92"/>
      <c r="EQ400" s="92"/>
      <c r="ER400" s="92"/>
      <c r="ES400" s="92"/>
      <c r="ET400" s="92"/>
      <c r="EU400" s="92"/>
      <c r="EV400" s="92"/>
      <c r="EW400" s="92"/>
      <c r="EX400" s="92"/>
      <c r="EY400" s="92"/>
      <c r="EZ400" s="92"/>
      <c r="FA400" s="92"/>
      <c r="FB400" s="92"/>
      <c r="FC400" s="92"/>
      <c r="FD400" s="92"/>
      <c r="FE400" s="92"/>
      <c r="FF400" s="92"/>
      <c r="FG400" s="92"/>
      <c r="FH400" s="92"/>
    </row>
    <row r="401">
      <c r="A401" s="32" t="s">
        <v>35</v>
      </c>
      <c r="B401" s="32" t="s">
        <v>73</v>
      </c>
      <c r="C401" s="32" t="s">
        <v>14</v>
      </c>
      <c r="D401" s="97">
        <f t="shared" si="1"/>
        <v>5519.221653</v>
      </c>
      <c r="E401" s="92">
        <f>(SUBSTITUTE(Audio!E401, "RE-", "", 1))*1</f>
        <v>0</v>
      </c>
      <c r="F401" s="92">
        <f>(SUBSTITUTE(Audio!F401, "RE-", "", 1))*1</f>
        <v>757.086</v>
      </c>
      <c r="G401" s="92">
        <f>(SUBSTITUTE(Audio!G401, "RE-", "", 1))*1</f>
        <v>3.84633</v>
      </c>
      <c r="H401" s="92">
        <f>(SUBSTITUTE(Audio!H401, "RE-", "", 1))*1</f>
        <v>128.524</v>
      </c>
      <c r="I401" s="92">
        <f>(SUBSTITUTE(Audio!I401, "RE-", "", 1))*1</f>
        <v>0</v>
      </c>
      <c r="J401" s="92">
        <f>(SUBSTITUTE(Audio!J401, "RE-", "", 1))*1</f>
        <v>1451.14</v>
      </c>
      <c r="K401" s="92">
        <f>(SUBSTITUTE(Audio!K401, "RE-", "", 1))*1</f>
        <v>4.99078</v>
      </c>
      <c r="L401" s="92">
        <f>(SUBSTITUTE(Audio!L401, "RE-", "", 1))*1</f>
        <v>1016.13</v>
      </c>
      <c r="M401" s="92">
        <f>(SUBSTITUTE(Audio!M401, "RE-", "", 1))*1</f>
        <v>14.5992</v>
      </c>
      <c r="N401" s="92">
        <f>(SUBSTITUTE(Audio!N401, "RE-", "", 1))*1</f>
        <v>457.66</v>
      </c>
      <c r="O401" s="92">
        <f>(SUBSTITUTE(Audio!O401, "RE-", "", 1))*1</f>
        <v>6.08878</v>
      </c>
      <c r="P401" s="92">
        <f>(SUBSTITUTE(Audio!P401, "RE-", "", 1))*1</f>
        <v>258.465</v>
      </c>
      <c r="Q401" s="92">
        <f>(SUBSTITUTE(Audio!Q401, "RE-", "", 1))*1</f>
        <v>15.5503</v>
      </c>
      <c r="R401" s="92">
        <f>(SUBSTITUTE(Audio!R401, "RE-", "", 1))*1</f>
        <v>45.4836</v>
      </c>
      <c r="S401" s="92">
        <f>(SUBSTITUTE(Audio!S401, "RE-", "", 1))*1</f>
        <v>0.310883</v>
      </c>
      <c r="T401" s="92">
        <f>(SUBSTITUTE(Audio!T401, "RE-", "", 1))*1</f>
        <v>1315.41</v>
      </c>
      <c r="U401" s="92">
        <f>(SUBSTITUTE(Audio!U401, "RE-", "", 1))*1</f>
        <v>42.7717</v>
      </c>
      <c r="V401" s="92">
        <f>(SUBSTITUTE(Audio!V401, "RE-", "", 1))*1</f>
        <v>1.16508</v>
      </c>
      <c r="W401" s="92">
        <f>(SUBSTITUTE(Audio!W401, "RE-", "", 1))*1</f>
        <v>0</v>
      </c>
      <c r="X401" s="92">
        <f>(SUBSTITUTE(Audio!X401, "RE-", "", 1))*1</f>
        <v>0</v>
      </c>
      <c r="Y401" s="92">
        <f>(SUBSTITUTE(Audio!Y401, "RE-", "", 1))*1</f>
        <v>0</v>
      </c>
      <c r="Z401" s="92">
        <f>(SUBSTITUTE(Audio!Z401, "RE-", "", 1))*1</f>
        <v>0</v>
      </c>
      <c r="AA401" s="92"/>
      <c r="AB401" s="92"/>
      <c r="AC401" s="92"/>
      <c r="AD401" s="92"/>
      <c r="AE401" s="92"/>
      <c r="AF401" s="92"/>
      <c r="AG401" s="92"/>
      <c r="AH401" s="92"/>
      <c r="AI401" s="92"/>
      <c r="AJ401" s="92"/>
      <c r="AK401" s="92"/>
      <c r="AL401" s="92"/>
      <c r="AM401" s="92"/>
      <c r="AN401" s="92"/>
      <c r="AO401" s="92"/>
      <c r="AP401" s="92"/>
      <c r="AQ401" s="92"/>
      <c r="AR401" s="92"/>
      <c r="AS401" s="92"/>
      <c r="AT401" s="92"/>
      <c r="AU401" s="92"/>
      <c r="AV401" s="92"/>
      <c r="AW401" s="92"/>
      <c r="AX401" s="92"/>
      <c r="AY401" s="92"/>
      <c r="AZ401" s="92"/>
      <c r="BA401" s="92"/>
      <c r="BB401" s="92"/>
      <c r="BC401" s="92"/>
      <c r="BD401" s="92"/>
      <c r="BE401" s="92"/>
      <c r="BF401" s="92"/>
      <c r="BG401" s="92"/>
      <c r="BH401" s="92"/>
      <c r="BI401" s="92"/>
      <c r="BJ401" s="92"/>
      <c r="BK401" s="92"/>
      <c r="BL401" s="92"/>
      <c r="BM401" s="92"/>
      <c r="BN401" s="92"/>
      <c r="BO401" s="92"/>
      <c r="BP401" s="92"/>
      <c r="BQ401" s="92"/>
      <c r="BR401" s="92"/>
      <c r="BS401" s="92"/>
      <c r="BT401" s="92"/>
      <c r="BU401" s="92"/>
      <c r="BV401" s="92"/>
      <c r="BW401" s="92"/>
      <c r="BX401" s="92"/>
      <c r="BY401" s="92"/>
      <c r="BZ401" s="92"/>
      <c r="CA401" s="92"/>
      <c r="CB401" s="92"/>
      <c r="CC401" s="92"/>
      <c r="CD401" s="92"/>
      <c r="CE401" s="92"/>
      <c r="CF401" s="92"/>
      <c r="CG401" s="92"/>
      <c r="CH401" s="92"/>
      <c r="CI401" s="92"/>
      <c r="CJ401" s="92"/>
      <c r="CK401" s="92"/>
      <c r="CL401" s="92"/>
      <c r="CM401" s="92"/>
      <c r="CN401" s="92"/>
      <c r="CO401" s="92"/>
      <c r="CP401" s="92"/>
      <c r="CQ401" s="92"/>
      <c r="CR401" s="92"/>
      <c r="CS401" s="92"/>
      <c r="CT401" s="92"/>
      <c r="CU401" s="92"/>
      <c r="CV401" s="92"/>
      <c r="CW401" s="92"/>
      <c r="CX401" s="92"/>
      <c r="CY401" s="92"/>
      <c r="CZ401" s="92"/>
      <c r="DA401" s="92"/>
      <c r="DB401" s="92"/>
      <c r="DC401" s="92"/>
      <c r="DD401" s="92"/>
      <c r="DE401" s="92"/>
      <c r="DF401" s="92"/>
      <c r="DG401" s="92"/>
      <c r="DH401" s="92"/>
      <c r="DI401" s="92"/>
      <c r="DJ401" s="92"/>
      <c r="DK401" s="92"/>
      <c r="DL401" s="92"/>
      <c r="DM401" s="92"/>
      <c r="DN401" s="92"/>
      <c r="DO401" s="92"/>
      <c r="DP401" s="92"/>
      <c r="DQ401" s="92"/>
      <c r="DR401" s="92"/>
      <c r="DS401" s="92"/>
      <c r="DT401" s="92"/>
      <c r="DU401" s="92"/>
      <c r="DV401" s="92"/>
      <c r="DW401" s="92"/>
      <c r="DX401" s="92"/>
      <c r="DY401" s="92"/>
      <c r="DZ401" s="92"/>
      <c r="EA401" s="92"/>
      <c r="EB401" s="92"/>
      <c r="EC401" s="92"/>
      <c r="ED401" s="92"/>
      <c r="EE401" s="92"/>
      <c r="EF401" s="92"/>
      <c r="EG401" s="92"/>
      <c r="EH401" s="92"/>
      <c r="EI401" s="92"/>
      <c r="EJ401" s="92"/>
      <c r="EK401" s="92"/>
      <c r="EL401" s="92"/>
      <c r="EM401" s="92"/>
      <c r="EN401" s="92"/>
      <c r="EO401" s="92"/>
      <c r="EP401" s="92"/>
      <c r="EQ401" s="92"/>
      <c r="ER401" s="92"/>
      <c r="ES401" s="92"/>
      <c r="ET401" s="92"/>
      <c r="EU401" s="92"/>
      <c r="EV401" s="92"/>
      <c r="EW401" s="92"/>
      <c r="EX401" s="92"/>
      <c r="EY401" s="92"/>
      <c r="EZ401" s="92"/>
      <c r="FA401" s="92"/>
      <c r="FB401" s="92"/>
      <c r="FC401" s="92"/>
      <c r="FD401" s="92"/>
      <c r="FE401" s="92"/>
      <c r="FF401" s="92"/>
      <c r="FG401" s="92"/>
      <c r="FH401" s="92"/>
    </row>
    <row r="402">
      <c r="A402" s="27" t="s">
        <v>35</v>
      </c>
      <c r="B402" s="27" t="s">
        <v>73</v>
      </c>
      <c r="C402" s="27" t="s">
        <v>15</v>
      </c>
      <c r="D402" s="98">
        <f t="shared" si="1"/>
        <v>6229.121663</v>
      </c>
      <c r="E402" s="92">
        <f>(SUBSTITUTE(Audio!E402, "RE-", "", 1))*1</f>
        <v>0</v>
      </c>
      <c r="F402" s="92">
        <f>(SUBSTITUTE(Audio!F402, "RE-", "", 1))*1</f>
        <v>840.543</v>
      </c>
      <c r="G402" s="92">
        <f>(SUBSTITUTE(Audio!G402, "RE-", "", 1))*1</f>
        <v>3.84633</v>
      </c>
      <c r="H402" s="92">
        <f>(SUBSTITUTE(Audio!H402, "RE-", "", 1))*1</f>
        <v>137.576</v>
      </c>
      <c r="I402" s="92">
        <f>(SUBSTITUTE(Audio!I402, "RE-", "", 1))*1</f>
        <v>0</v>
      </c>
      <c r="J402" s="92">
        <f>(SUBSTITUTE(Audio!J402, "RE-", "", 1))*1</f>
        <v>1595.08</v>
      </c>
      <c r="K402" s="92">
        <f>(SUBSTITUTE(Audio!K402, "RE-", "", 1))*1</f>
        <v>5.90592</v>
      </c>
      <c r="L402" s="92">
        <f>(SUBSTITUTE(Audio!L402, "RE-", "", 1))*1</f>
        <v>1154.17</v>
      </c>
      <c r="M402" s="92">
        <f>(SUBSTITUTE(Audio!M402, "RE-", "", 1))*1</f>
        <v>15.624</v>
      </c>
      <c r="N402" s="92">
        <f>(SUBSTITUTE(Audio!N402, "RE-", "", 1))*1</f>
        <v>542.585</v>
      </c>
      <c r="O402" s="92">
        <f>(SUBSTITUTE(Audio!O402, "RE-", "", 1))*1</f>
        <v>7.8211</v>
      </c>
      <c r="P402" s="92">
        <f>(SUBSTITUTE(Audio!P402, "RE-", "", 1))*1</f>
        <v>298.102</v>
      </c>
      <c r="Q402" s="92">
        <f>(SUBSTITUTE(Audio!Q402, "RE-", "", 1))*1</f>
        <v>16.6798</v>
      </c>
      <c r="R402" s="92">
        <f>(SUBSTITUTE(Audio!R402, "RE-", "", 1))*1</f>
        <v>59.7872</v>
      </c>
      <c r="S402" s="92">
        <f>(SUBSTITUTE(Audio!S402, "RE-", "", 1))*1</f>
        <v>0.310883</v>
      </c>
      <c r="T402" s="92">
        <f>(SUBSTITUTE(Audio!T402, "RE-", "", 1))*1</f>
        <v>1499.77</v>
      </c>
      <c r="U402" s="92">
        <f>(SUBSTITUTE(Audio!U402, "RE-", "", 1))*1</f>
        <v>49.6613</v>
      </c>
      <c r="V402" s="92">
        <f>(SUBSTITUTE(Audio!V402, "RE-", "", 1))*1</f>
        <v>1.65913</v>
      </c>
      <c r="W402" s="92">
        <f>(SUBSTITUTE(Audio!W402, "RE-", "", 1))*1</f>
        <v>0</v>
      </c>
      <c r="X402" s="92">
        <f>(SUBSTITUTE(Audio!X402, "RE-", "", 1))*1</f>
        <v>0</v>
      </c>
      <c r="Y402" s="92">
        <f>(SUBSTITUTE(Audio!Y402, "RE-", "", 1))*1</f>
        <v>0</v>
      </c>
      <c r="Z402" s="92">
        <f>(SUBSTITUTE(Audio!Z402, "RE-", "", 1))*1</f>
        <v>0</v>
      </c>
      <c r="AA402" s="92"/>
      <c r="AB402" s="92"/>
      <c r="AC402" s="92"/>
      <c r="AD402" s="92"/>
      <c r="AE402" s="92"/>
      <c r="AF402" s="92"/>
      <c r="AG402" s="92"/>
      <c r="AH402" s="92"/>
      <c r="AI402" s="92"/>
      <c r="AJ402" s="92"/>
      <c r="AK402" s="92"/>
      <c r="AL402" s="92"/>
      <c r="AM402" s="92"/>
      <c r="AN402" s="92"/>
      <c r="AO402" s="92"/>
      <c r="AP402" s="92"/>
      <c r="AQ402" s="92"/>
      <c r="AR402" s="92"/>
      <c r="AS402" s="92"/>
      <c r="AT402" s="92"/>
      <c r="AU402" s="92"/>
      <c r="AV402" s="92"/>
      <c r="AW402" s="92"/>
      <c r="AX402" s="92"/>
      <c r="AY402" s="92"/>
      <c r="AZ402" s="92"/>
      <c r="BA402" s="92"/>
      <c r="BB402" s="92"/>
      <c r="BC402" s="92"/>
      <c r="BD402" s="92"/>
      <c r="BE402" s="92"/>
      <c r="BF402" s="92"/>
      <c r="BG402" s="92"/>
      <c r="BH402" s="92"/>
      <c r="BI402" s="92"/>
      <c r="BJ402" s="92"/>
      <c r="BK402" s="92"/>
      <c r="BL402" s="92"/>
      <c r="BM402" s="92"/>
      <c r="BN402" s="92"/>
      <c r="BO402" s="92"/>
      <c r="BP402" s="92"/>
      <c r="BQ402" s="92"/>
      <c r="BR402" s="92"/>
      <c r="BS402" s="92"/>
      <c r="BT402" s="92"/>
      <c r="BU402" s="92"/>
      <c r="BV402" s="92"/>
      <c r="BW402" s="92"/>
      <c r="BX402" s="92"/>
      <c r="BY402" s="92"/>
      <c r="BZ402" s="92"/>
      <c r="CA402" s="92"/>
      <c r="CB402" s="92"/>
      <c r="CC402" s="92"/>
      <c r="CD402" s="92"/>
      <c r="CE402" s="92"/>
      <c r="CF402" s="92"/>
      <c r="CG402" s="92"/>
      <c r="CH402" s="92"/>
      <c r="CI402" s="92"/>
      <c r="CJ402" s="92"/>
      <c r="CK402" s="92"/>
      <c r="CL402" s="92"/>
      <c r="CM402" s="92"/>
      <c r="CN402" s="92"/>
      <c r="CO402" s="92"/>
      <c r="CP402" s="92"/>
      <c r="CQ402" s="92"/>
      <c r="CR402" s="92"/>
      <c r="CS402" s="92"/>
      <c r="CT402" s="92"/>
      <c r="CU402" s="92"/>
      <c r="CV402" s="92"/>
      <c r="CW402" s="92"/>
      <c r="CX402" s="92"/>
      <c r="CY402" s="92"/>
      <c r="CZ402" s="92"/>
      <c r="DA402" s="92"/>
      <c r="DB402" s="92"/>
      <c r="DC402" s="92"/>
      <c r="DD402" s="92"/>
      <c r="DE402" s="92"/>
      <c r="DF402" s="92"/>
      <c r="DG402" s="92"/>
      <c r="DH402" s="92"/>
      <c r="DI402" s="92"/>
      <c r="DJ402" s="92"/>
      <c r="DK402" s="92"/>
      <c r="DL402" s="92"/>
      <c r="DM402" s="92"/>
      <c r="DN402" s="92"/>
      <c r="DO402" s="92"/>
      <c r="DP402" s="92"/>
      <c r="DQ402" s="92"/>
      <c r="DR402" s="92"/>
      <c r="DS402" s="92"/>
      <c r="DT402" s="92"/>
      <c r="DU402" s="92"/>
      <c r="DV402" s="92"/>
      <c r="DW402" s="92"/>
      <c r="DX402" s="92"/>
      <c r="DY402" s="92"/>
      <c r="DZ402" s="92"/>
      <c r="EA402" s="92"/>
      <c r="EB402" s="92"/>
      <c r="EC402" s="92"/>
      <c r="ED402" s="92"/>
      <c r="EE402" s="92"/>
      <c r="EF402" s="92"/>
      <c r="EG402" s="92"/>
      <c r="EH402" s="92"/>
      <c r="EI402" s="92"/>
      <c r="EJ402" s="92"/>
      <c r="EK402" s="92"/>
      <c r="EL402" s="92"/>
      <c r="EM402" s="92"/>
      <c r="EN402" s="92"/>
      <c r="EO402" s="92"/>
      <c r="EP402" s="92"/>
      <c r="EQ402" s="92"/>
      <c r="ER402" s="92"/>
      <c r="ES402" s="92"/>
      <c r="ET402" s="92"/>
      <c r="EU402" s="92"/>
      <c r="EV402" s="92"/>
      <c r="EW402" s="92"/>
      <c r="EX402" s="92"/>
      <c r="EY402" s="92"/>
      <c r="EZ402" s="92"/>
      <c r="FA402" s="92"/>
      <c r="FB402" s="92"/>
      <c r="FC402" s="92"/>
      <c r="FD402" s="92"/>
      <c r="FE402" s="92"/>
      <c r="FF402" s="92"/>
      <c r="FG402" s="92"/>
      <c r="FH402" s="92"/>
    </row>
    <row r="403">
      <c r="A403" s="30" t="s">
        <v>35</v>
      </c>
      <c r="B403" s="30" t="s">
        <v>74</v>
      </c>
      <c r="C403" s="31" t="str">
        <f>HYPERLINK("https://docs.google.com/spreadsheets/d/1O4p3lQ7L3u8yTRLRkPm16K7kmx9-RMfX/edit?usp=share_link&amp;ouid=106501987799020758802&amp;rtpof=true&amp;sd=true", "Raw Delivered")</f>
        <v>Raw Delivered</v>
      </c>
      <c r="D403" s="96">
        <f t="shared" si="1"/>
        <v>5555.020226</v>
      </c>
      <c r="E403" s="92">
        <f>(SUBSTITUTE(Audio!E403, "RE-", "", 1))*1</f>
        <v>0</v>
      </c>
      <c r="F403" s="92">
        <f>(SUBSTITUTE(Audio!F403, "RE-", "", 1))*1</f>
        <v>1022.953875</v>
      </c>
      <c r="G403" s="92">
        <f>(SUBSTITUTE(Audio!G403, "RE-", "", 1))*1</f>
        <v>0</v>
      </c>
      <c r="H403" s="92">
        <f>(SUBSTITUTE(Audio!H403, "RE-", "", 1))*1</f>
        <v>155.4806646</v>
      </c>
      <c r="I403" s="92">
        <f>(SUBSTITUTE(Audio!I403, "RE-", "", 1))*1</f>
        <v>0</v>
      </c>
      <c r="J403" s="92">
        <f>(SUBSTITUTE(Audio!J403, "RE-", "", 1))*1</f>
        <v>1363.042065</v>
      </c>
      <c r="K403" s="92">
        <f>(SUBSTITUTE(Audio!K403, "RE-", "", 1))*1</f>
        <v>0</v>
      </c>
      <c r="L403" s="92">
        <f>(SUBSTITUTE(Audio!L403, "RE-", "", 1))*1</f>
        <v>1248.903567</v>
      </c>
      <c r="M403" s="92">
        <f>(SUBSTITUTE(Audio!M403, "RE-", "", 1))*1</f>
        <v>0</v>
      </c>
      <c r="N403" s="92">
        <f>(SUBSTITUTE(Audio!N403, "RE-", "", 1))*1</f>
        <v>383.0070823</v>
      </c>
      <c r="O403" s="92">
        <f>(SUBSTITUTE(Audio!O403, "RE-", "", 1))*1</f>
        <v>0</v>
      </c>
      <c r="P403" s="92">
        <f>(SUBSTITUTE(Audio!P403, "RE-", "", 1))*1</f>
        <v>268.0390823</v>
      </c>
      <c r="Q403" s="92">
        <f>(SUBSTITUTE(Audio!Q403, "RE-", "", 1))*1</f>
        <v>0</v>
      </c>
      <c r="R403" s="92">
        <f>(SUBSTITUTE(Audio!R403, "RE-", "", 1))*1</f>
        <v>51.90752083</v>
      </c>
      <c r="S403" s="92">
        <f>(SUBSTITUTE(Audio!S403, "RE-", "", 1))*1</f>
        <v>0</v>
      </c>
      <c r="T403" s="92">
        <f>(SUBSTITUTE(Audio!T403, "RE-", "", 1))*1</f>
        <v>1061.686369</v>
      </c>
      <c r="U403" s="92">
        <f>(SUBSTITUTE(Audio!U403, "RE-", "", 1))*1</f>
        <v>0</v>
      </c>
      <c r="V403" s="92">
        <f>(SUBSTITUTE(Audio!V403, "RE-", "", 1))*1</f>
        <v>0</v>
      </c>
      <c r="W403" s="92">
        <f>(SUBSTITUTE(Audio!W403, "RE-", "", 1))*1</f>
        <v>0</v>
      </c>
      <c r="X403" s="92">
        <f>(SUBSTITUTE(Audio!X403, "RE-", "", 1))*1</f>
        <v>0</v>
      </c>
      <c r="Y403" s="92">
        <f>(SUBSTITUTE(Audio!Y403, "RE-", "", 1))*1</f>
        <v>0</v>
      </c>
      <c r="Z403" s="92">
        <f>(SUBSTITUTE(Audio!Z403, "RE-", "", 1))*1</f>
        <v>0</v>
      </c>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92"/>
      <c r="BV403" s="92"/>
      <c r="BW403" s="92"/>
      <c r="BX403" s="92"/>
      <c r="BY403" s="92"/>
      <c r="BZ403" s="92"/>
      <c r="CA403" s="92"/>
      <c r="CB403" s="92"/>
      <c r="CC403" s="92"/>
      <c r="CD403" s="92"/>
      <c r="CE403" s="92"/>
      <c r="CF403" s="92"/>
      <c r="CG403" s="92"/>
      <c r="CH403" s="92"/>
      <c r="CI403" s="92"/>
      <c r="CJ403" s="92"/>
      <c r="CK403" s="92"/>
      <c r="CL403" s="92"/>
      <c r="CM403" s="92"/>
      <c r="CN403" s="92"/>
      <c r="CO403" s="92"/>
      <c r="CP403" s="92"/>
      <c r="CQ403" s="92"/>
      <c r="CR403" s="92"/>
      <c r="CS403" s="92"/>
      <c r="CT403" s="92"/>
      <c r="CU403" s="92"/>
      <c r="CV403" s="92"/>
      <c r="CW403" s="92"/>
      <c r="CX403" s="92"/>
      <c r="CY403" s="92"/>
      <c r="CZ403" s="92"/>
      <c r="DA403" s="92"/>
      <c r="DB403" s="92"/>
      <c r="DC403" s="92"/>
      <c r="DD403" s="92"/>
      <c r="DE403" s="92"/>
      <c r="DF403" s="92"/>
      <c r="DG403" s="92"/>
      <c r="DH403" s="92"/>
      <c r="DI403" s="92"/>
      <c r="DJ403" s="92"/>
      <c r="DK403" s="92"/>
      <c r="DL403" s="92"/>
      <c r="DM403" s="92"/>
      <c r="DN403" s="92"/>
      <c r="DO403" s="92"/>
      <c r="DP403" s="92"/>
      <c r="DQ403" s="92"/>
      <c r="DR403" s="92"/>
      <c r="DS403" s="92"/>
      <c r="DT403" s="92"/>
      <c r="DU403" s="92"/>
      <c r="DV403" s="92"/>
      <c r="DW403" s="92"/>
      <c r="DX403" s="92"/>
      <c r="DY403" s="92"/>
      <c r="DZ403" s="92"/>
      <c r="EA403" s="92"/>
      <c r="EB403" s="92"/>
      <c r="EC403" s="92"/>
      <c r="ED403" s="92"/>
      <c r="EE403" s="92"/>
      <c r="EF403" s="92"/>
      <c r="EG403" s="92"/>
      <c r="EH403" s="92"/>
      <c r="EI403" s="92"/>
      <c r="EJ403" s="92"/>
      <c r="EK403" s="92"/>
      <c r="EL403" s="92"/>
      <c r="EM403" s="92"/>
      <c r="EN403" s="92"/>
      <c r="EO403" s="92"/>
      <c r="EP403" s="92"/>
      <c r="EQ403" s="92"/>
      <c r="ER403" s="92"/>
      <c r="ES403" s="92"/>
      <c r="ET403" s="92"/>
      <c r="EU403" s="92"/>
      <c r="EV403" s="92"/>
      <c r="EW403" s="92"/>
      <c r="EX403" s="92"/>
      <c r="EY403" s="92"/>
      <c r="EZ403" s="92"/>
      <c r="FA403" s="92"/>
      <c r="FB403" s="92"/>
      <c r="FC403" s="92"/>
      <c r="FD403" s="92"/>
      <c r="FE403" s="92"/>
      <c r="FF403" s="92"/>
      <c r="FG403" s="92"/>
      <c r="FH403" s="92"/>
    </row>
    <row r="404">
      <c r="A404" s="32" t="s">
        <v>35</v>
      </c>
      <c r="B404" s="32" t="s">
        <v>74</v>
      </c>
      <c r="C404" s="32" t="s">
        <v>9</v>
      </c>
      <c r="D404" s="97">
        <f t="shared" si="1"/>
        <v>5555.020226</v>
      </c>
      <c r="E404" s="92">
        <f>(SUBSTITUTE(Audio!E404, "RE-", "", 1))*1</f>
        <v>0</v>
      </c>
      <c r="F404" s="92">
        <f>(SUBSTITUTE(Audio!F404, "RE-", "", 1))*1</f>
        <v>1022.953875</v>
      </c>
      <c r="G404" s="92">
        <f>(SUBSTITUTE(Audio!G404, "RE-", "", 1))*1</f>
        <v>0</v>
      </c>
      <c r="H404" s="92">
        <f>(SUBSTITUTE(Audio!H404, "RE-", "", 1))*1</f>
        <v>155.4806646</v>
      </c>
      <c r="I404" s="92">
        <f>(SUBSTITUTE(Audio!I404, "RE-", "", 1))*1</f>
        <v>0</v>
      </c>
      <c r="J404" s="92">
        <f>(SUBSTITUTE(Audio!J404, "RE-", "", 1))*1</f>
        <v>1363.042065</v>
      </c>
      <c r="K404" s="92">
        <f>(SUBSTITUTE(Audio!K404, "RE-", "", 1))*1</f>
        <v>0</v>
      </c>
      <c r="L404" s="92">
        <f>(SUBSTITUTE(Audio!L404, "RE-", "", 1))*1</f>
        <v>1248.903567</v>
      </c>
      <c r="M404" s="92">
        <f>(SUBSTITUTE(Audio!M404, "RE-", "", 1))*1</f>
        <v>0</v>
      </c>
      <c r="N404" s="92">
        <f>(SUBSTITUTE(Audio!N404, "RE-", "", 1))*1</f>
        <v>383.0070823</v>
      </c>
      <c r="O404" s="92">
        <f>(SUBSTITUTE(Audio!O404, "RE-", "", 1))*1</f>
        <v>0</v>
      </c>
      <c r="P404" s="92">
        <f>(SUBSTITUTE(Audio!P404, "RE-", "", 1))*1</f>
        <v>268.0390823</v>
      </c>
      <c r="Q404" s="92">
        <f>(SUBSTITUTE(Audio!Q404, "RE-", "", 1))*1</f>
        <v>0</v>
      </c>
      <c r="R404" s="92">
        <f>(SUBSTITUTE(Audio!R404, "RE-", "", 1))*1</f>
        <v>51.90752083</v>
      </c>
      <c r="S404" s="92">
        <f>(SUBSTITUTE(Audio!S404, "RE-", "", 1))*1</f>
        <v>0</v>
      </c>
      <c r="T404" s="92">
        <f>(SUBSTITUTE(Audio!T404, "RE-", "", 1))*1</f>
        <v>1061.686369</v>
      </c>
      <c r="U404" s="92">
        <f>(SUBSTITUTE(Audio!U404, "RE-", "", 1))*1</f>
        <v>0</v>
      </c>
      <c r="V404" s="92">
        <f>(SUBSTITUTE(Audio!V404, "RE-", "", 1))*1</f>
        <v>0</v>
      </c>
      <c r="W404" s="92">
        <f>(SUBSTITUTE(Audio!W404, "RE-", "", 1))*1</f>
        <v>0</v>
      </c>
      <c r="X404" s="92">
        <f>(SUBSTITUTE(Audio!X404, "RE-", "", 1))*1</f>
        <v>0</v>
      </c>
      <c r="Y404" s="92">
        <f>(SUBSTITUTE(Audio!Y404, "RE-", "", 1))*1</f>
        <v>0</v>
      </c>
      <c r="Z404" s="92">
        <f>(SUBSTITUTE(Audio!Z404, "RE-", "", 1))*1</f>
        <v>0</v>
      </c>
      <c r="AA404" s="92"/>
      <c r="AB404" s="92"/>
      <c r="AC404" s="92"/>
      <c r="AD404" s="92"/>
      <c r="AE404" s="92"/>
      <c r="AF404" s="92"/>
      <c r="AG404" s="92"/>
      <c r="AH404" s="92"/>
      <c r="AI404" s="92"/>
      <c r="AJ404" s="92"/>
      <c r="AK404" s="92"/>
      <c r="AL404" s="92"/>
      <c r="AM404" s="92"/>
      <c r="AN404" s="92"/>
      <c r="AO404" s="92"/>
      <c r="AP404" s="92"/>
      <c r="AQ404" s="92"/>
      <c r="AR404" s="92"/>
      <c r="AS404" s="92"/>
      <c r="AT404" s="92"/>
      <c r="AU404" s="92"/>
      <c r="AV404" s="92"/>
      <c r="AW404" s="92"/>
      <c r="AX404" s="92"/>
      <c r="AY404" s="92"/>
      <c r="AZ404" s="92"/>
      <c r="BA404" s="92"/>
      <c r="BB404" s="92"/>
      <c r="BC404" s="92"/>
      <c r="BD404" s="92"/>
      <c r="BE404" s="92"/>
      <c r="BF404" s="92"/>
      <c r="BG404" s="92"/>
      <c r="BH404" s="92"/>
      <c r="BI404" s="92"/>
      <c r="BJ404" s="92"/>
      <c r="BK404" s="92"/>
      <c r="BL404" s="92"/>
      <c r="BM404" s="92"/>
      <c r="BN404" s="92"/>
      <c r="BO404" s="92"/>
      <c r="BP404" s="92"/>
      <c r="BQ404" s="92"/>
      <c r="BR404" s="92"/>
      <c r="BS404" s="92"/>
      <c r="BT404" s="92"/>
      <c r="BU404" s="92"/>
      <c r="BV404" s="92"/>
      <c r="BW404" s="92"/>
      <c r="BX404" s="92"/>
      <c r="BY404" s="92"/>
      <c r="BZ404" s="92"/>
      <c r="CA404" s="92"/>
      <c r="CB404" s="92"/>
      <c r="CC404" s="92"/>
      <c r="CD404" s="92"/>
      <c r="CE404" s="92"/>
      <c r="CF404" s="92"/>
      <c r="CG404" s="92"/>
      <c r="CH404" s="92"/>
      <c r="CI404" s="92"/>
      <c r="CJ404" s="92"/>
      <c r="CK404" s="92"/>
      <c r="CL404" s="92"/>
      <c r="CM404" s="92"/>
      <c r="CN404" s="92"/>
      <c r="CO404" s="92"/>
      <c r="CP404" s="92"/>
      <c r="CQ404" s="92"/>
      <c r="CR404" s="92"/>
      <c r="CS404" s="92"/>
      <c r="CT404" s="92"/>
      <c r="CU404" s="92"/>
      <c r="CV404" s="92"/>
      <c r="CW404" s="92"/>
      <c r="CX404" s="92"/>
      <c r="CY404" s="92"/>
      <c r="CZ404" s="92"/>
      <c r="DA404" s="92"/>
      <c r="DB404" s="92"/>
      <c r="DC404" s="92"/>
      <c r="DD404" s="92"/>
      <c r="DE404" s="92"/>
      <c r="DF404" s="92"/>
      <c r="DG404" s="92"/>
      <c r="DH404" s="92"/>
      <c r="DI404" s="92"/>
      <c r="DJ404" s="92"/>
      <c r="DK404" s="92"/>
      <c r="DL404" s="92"/>
      <c r="DM404" s="92"/>
      <c r="DN404" s="92"/>
      <c r="DO404" s="92"/>
      <c r="DP404" s="92"/>
      <c r="DQ404" s="92"/>
      <c r="DR404" s="92"/>
      <c r="DS404" s="92"/>
      <c r="DT404" s="92"/>
      <c r="DU404" s="92"/>
      <c r="DV404" s="92"/>
      <c r="DW404" s="92"/>
      <c r="DX404" s="92"/>
      <c r="DY404" s="92"/>
      <c r="DZ404" s="92"/>
      <c r="EA404" s="92"/>
      <c r="EB404" s="92"/>
      <c r="EC404" s="92"/>
      <c r="ED404" s="92"/>
      <c r="EE404" s="92"/>
      <c r="EF404" s="92"/>
      <c r="EG404" s="92"/>
      <c r="EH404" s="92"/>
      <c r="EI404" s="92"/>
      <c r="EJ404" s="92"/>
      <c r="EK404" s="92"/>
      <c r="EL404" s="92"/>
      <c r="EM404" s="92"/>
      <c r="EN404" s="92"/>
      <c r="EO404" s="92"/>
      <c r="EP404" s="92"/>
      <c r="EQ404" s="92"/>
      <c r="ER404" s="92"/>
      <c r="ES404" s="92"/>
      <c r="ET404" s="92"/>
      <c r="EU404" s="92"/>
      <c r="EV404" s="92"/>
      <c r="EW404" s="92"/>
      <c r="EX404" s="92"/>
      <c r="EY404" s="92"/>
      <c r="EZ404" s="92"/>
      <c r="FA404" s="92"/>
      <c r="FB404" s="92"/>
      <c r="FC404" s="92"/>
      <c r="FD404" s="92"/>
      <c r="FE404" s="92"/>
      <c r="FF404" s="92"/>
      <c r="FG404" s="92"/>
      <c r="FH404" s="92"/>
    </row>
    <row r="405">
      <c r="A405" s="32" t="s">
        <v>35</v>
      </c>
      <c r="B405" s="32" t="s">
        <v>74</v>
      </c>
      <c r="C405" s="32" t="s">
        <v>10</v>
      </c>
      <c r="D405" s="97">
        <f t="shared" si="1"/>
        <v>483.2522958</v>
      </c>
      <c r="E405" s="92">
        <f>(SUBSTITUTE(Audio!E405, "RE-", "", 1))*1</f>
        <v>0</v>
      </c>
      <c r="F405" s="92">
        <f>(SUBSTITUTE(Audio!F405, "RE-", "", 1))*1</f>
        <v>0</v>
      </c>
      <c r="G405" s="92">
        <f>(SUBSTITUTE(Audio!G405, "RE-", "", 1))*1</f>
        <v>112.8332906</v>
      </c>
      <c r="H405" s="92">
        <f>(SUBSTITUTE(Audio!H405, "RE-", "", 1))*1</f>
        <v>0</v>
      </c>
      <c r="I405" s="92">
        <f>(SUBSTITUTE(Audio!I405, "RE-", "", 1))*1</f>
        <v>11.81993125</v>
      </c>
      <c r="J405" s="92">
        <f>(SUBSTITUTE(Audio!J405, "RE-", "", 1))*1</f>
        <v>0</v>
      </c>
      <c r="K405" s="92">
        <f>(SUBSTITUTE(Audio!K405, "RE-", "", 1))*1</f>
        <v>119.1593458</v>
      </c>
      <c r="L405" s="92">
        <f>(SUBSTITUTE(Audio!L405, "RE-", "", 1))*1</f>
        <v>0</v>
      </c>
      <c r="M405" s="92">
        <f>(SUBSTITUTE(Audio!M405, "RE-", "", 1))*1</f>
        <v>97.37030521</v>
      </c>
      <c r="N405" s="92">
        <f>(SUBSTITUTE(Audio!N405, "RE-", "", 1))*1</f>
        <v>0</v>
      </c>
      <c r="O405" s="92">
        <f>(SUBSTITUTE(Audio!O405, "RE-", "", 1))*1</f>
        <v>39.08051771</v>
      </c>
      <c r="P405" s="92">
        <f>(SUBSTITUTE(Audio!P405, "RE-", "", 1))*1</f>
        <v>0</v>
      </c>
      <c r="Q405" s="92">
        <f>(SUBSTITUTE(Audio!Q405, "RE-", "", 1))*1</f>
        <v>39.08349271</v>
      </c>
      <c r="R405" s="92">
        <f>(SUBSTITUTE(Audio!R405, "RE-", "", 1))*1</f>
        <v>0</v>
      </c>
      <c r="S405" s="92">
        <f>(SUBSTITUTE(Audio!S405, "RE-", "", 1))*1</f>
        <v>1.003920833</v>
      </c>
      <c r="T405" s="92">
        <f>(SUBSTITUTE(Audio!T405, "RE-", "", 1))*1</f>
        <v>0</v>
      </c>
      <c r="U405" s="92">
        <f>(SUBSTITUTE(Audio!U405, "RE-", "", 1))*1</f>
        <v>42.01894167</v>
      </c>
      <c r="V405" s="92">
        <f>(SUBSTITUTE(Audio!V405, "RE-", "", 1))*1</f>
        <v>20.88255</v>
      </c>
      <c r="W405" s="92">
        <f>(SUBSTITUTE(Audio!W405, "RE-", "", 1))*1</f>
        <v>0</v>
      </c>
      <c r="X405" s="92">
        <f>(SUBSTITUTE(Audio!X405, "RE-", "", 1))*1</f>
        <v>0</v>
      </c>
      <c r="Y405" s="92">
        <f>(SUBSTITUTE(Audio!Y405, "RE-", "", 1))*1</f>
        <v>0</v>
      </c>
      <c r="Z405" s="92">
        <f>(SUBSTITUTE(Audio!Z405, "RE-", "", 1))*1</f>
        <v>0</v>
      </c>
      <c r="AA405" s="92"/>
      <c r="AB405" s="92"/>
      <c r="AC405" s="92"/>
      <c r="AD405" s="92"/>
      <c r="AE405" s="92"/>
      <c r="AF405" s="92"/>
      <c r="AG405" s="92"/>
      <c r="AH405" s="92"/>
      <c r="AI405" s="92"/>
      <c r="AJ405" s="92"/>
      <c r="AK405" s="92"/>
      <c r="AL405" s="92"/>
      <c r="AM405" s="92"/>
      <c r="AN405" s="92"/>
      <c r="AO405" s="92"/>
      <c r="AP405" s="92"/>
      <c r="AQ405" s="92"/>
      <c r="AR405" s="92"/>
      <c r="AS405" s="92"/>
      <c r="AT405" s="92"/>
      <c r="AU405" s="92"/>
      <c r="AV405" s="92"/>
      <c r="AW405" s="92"/>
      <c r="AX405" s="92"/>
      <c r="AY405" s="92"/>
      <c r="AZ405" s="92"/>
      <c r="BA405" s="92"/>
      <c r="BB405" s="92"/>
      <c r="BC405" s="92"/>
      <c r="BD405" s="92"/>
      <c r="BE405" s="92"/>
      <c r="BF405" s="92"/>
      <c r="BG405" s="92"/>
      <c r="BH405" s="92"/>
      <c r="BI405" s="92"/>
      <c r="BJ405" s="92"/>
      <c r="BK405" s="92"/>
      <c r="BL405" s="92"/>
      <c r="BM405" s="92"/>
      <c r="BN405" s="92"/>
      <c r="BO405" s="92"/>
      <c r="BP405" s="92"/>
      <c r="BQ405" s="92"/>
      <c r="BR405" s="92"/>
      <c r="BS405" s="92"/>
      <c r="BT405" s="92"/>
      <c r="BU405" s="92"/>
      <c r="BV405" s="92"/>
      <c r="BW405" s="92"/>
      <c r="BX405" s="92"/>
      <c r="BY405" s="92"/>
      <c r="BZ405" s="92"/>
      <c r="CA405" s="92"/>
      <c r="CB405" s="92"/>
      <c r="CC405" s="92"/>
      <c r="CD405" s="92"/>
      <c r="CE405" s="92"/>
      <c r="CF405" s="92"/>
      <c r="CG405" s="92"/>
      <c r="CH405" s="92"/>
      <c r="CI405" s="92"/>
      <c r="CJ405" s="92"/>
      <c r="CK405" s="92"/>
      <c r="CL405" s="92"/>
      <c r="CM405" s="92"/>
      <c r="CN405" s="92"/>
      <c r="CO405" s="92"/>
      <c r="CP405" s="92"/>
      <c r="CQ405" s="92"/>
      <c r="CR405" s="92"/>
      <c r="CS405" s="92"/>
      <c r="CT405" s="92"/>
      <c r="CU405" s="92"/>
      <c r="CV405" s="92"/>
      <c r="CW405" s="92"/>
      <c r="CX405" s="92"/>
      <c r="CY405" s="92"/>
      <c r="CZ405" s="92"/>
      <c r="DA405" s="92"/>
      <c r="DB405" s="92"/>
      <c r="DC405" s="92"/>
      <c r="DD405" s="92"/>
      <c r="DE405" s="92"/>
      <c r="DF405" s="92"/>
      <c r="DG405" s="92"/>
      <c r="DH405" s="92"/>
      <c r="DI405" s="92"/>
      <c r="DJ405" s="92"/>
      <c r="DK405" s="92"/>
      <c r="DL405" s="92"/>
      <c r="DM405" s="92"/>
      <c r="DN405" s="92"/>
      <c r="DO405" s="92"/>
      <c r="DP405" s="92"/>
      <c r="DQ405" s="92"/>
      <c r="DR405" s="92"/>
      <c r="DS405" s="92"/>
      <c r="DT405" s="92"/>
      <c r="DU405" s="92"/>
      <c r="DV405" s="92"/>
      <c r="DW405" s="92"/>
      <c r="DX405" s="92"/>
      <c r="DY405" s="92"/>
      <c r="DZ405" s="92"/>
      <c r="EA405" s="92"/>
      <c r="EB405" s="92"/>
      <c r="EC405" s="92"/>
      <c r="ED405" s="92"/>
      <c r="EE405" s="92"/>
      <c r="EF405" s="92"/>
      <c r="EG405" s="92"/>
      <c r="EH405" s="92"/>
      <c r="EI405" s="92"/>
      <c r="EJ405" s="92"/>
      <c r="EK405" s="92"/>
      <c r="EL405" s="92"/>
      <c r="EM405" s="92"/>
      <c r="EN405" s="92"/>
      <c r="EO405" s="92"/>
      <c r="EP405" s="92"/>
      <c r="EQ405" s="92"/>
      <c r="ER405" s="92"/>
      <c r="ES405" s="92"/>
      <c r="ET405" s="92"/>
      <c r="EU405" s="92"/>
      <c r="EV405" s="92"/>
      <c r="EW405" s="92"/>
      <c r="EX405" s="92"/>
      <c r="EY405" s="92"/>
      <c r="EZ405" s="92"/>
      <c r="FA405" s="92"/>
      <c r="FB405" s="92"/>
      <c r="FC405" s="92"/>
      <c r="FD405" s="92"/>
      <c r="FE405" s="92"/>
      <c r="FF405" s="92"/>
      <c r="FG405" s="92"/>
      <c r="FH405" s="92"/>
    </row>
    <row r="406">
      <c r="A406" s="32" t="s">
        <v>35</v>
      </c>
      <c r="B406" s="32" t="s">
        <v>74</v>
      </c>
      <c r="C406" s="32" t="s">
        <v>11</v>
      </c>
      <c r="D406" s="97">
        <f t="shared" si="1"/>
        <v>483.2522958</v>
      </c>
      <c r="E406" s="92">
        <f>(SUBSTITUTE(Audio!E406, "RE-", "", 1))*1</f>
        <v>0</v>
      </c>
      <c r="F406" s="92">
        <f>(SUBSTITUTE(Audio!F406, "RE-", "", 1))*1</f>
        <v>0</v>
      </c>
      <c r="G406" s="92">
        <f>(SUBSTITUTE(Audio!G406, "RE-", "", 1))*1</f>
        <v>112.8332906</v>
      </c>
      <c r="H406" s="92">
        <f>(SUBSTITUTE(Audio!H406, "RE-", "", 1))*1</f>
        <v>0</v>
      </c>
      <c r="I406" s="92">
        <f>(SUBSTITUTE(Audio!I406, "RE-", "", 1))*1</f>
        <v>11.81993125</v>
      </c>
      <c r="J406" s="92">
        <f>(SUBSTITUTE(Audio!J406, "RE-", "", 1))*1</f>
        <v>0</v>
      </c>
      <c r="K406" s="92">
        <f>(SUBSTITUTE(Audio!K406, "RE-", "", 1))*1</f>
        <v>119.1593458</v>
      </c>
      <c r="L406" s="92">
        <f>(SUBSTITUTE(Audio!L406, "RE-", "", 1))*1</f>
        <v>0</v>
      </c>
      <c r="M406" s="92">
        <f>(SUBSTITUTE(Audio!M406, "RE-", "", 1))*1</f>
        <v>97.37030521</v>
      </c>
      <c r="N406" s="92">
        <f>(SUBSTITUTE(Audio!N406, "RE-", "", 1))*1</f>
        <v>0</v>
      </c>
      <c r="O406" s="92">
        <f>(SUBSTITUTE(Audio!O406, "RE-", "", 1))*1</f>
        <v>39.08051771</v>
      </c>
      <c r="P406" s="92">
        <f>(SUBSTITUTE(Audio!P406, "RE-", "", 1))*1</f>
        <v>0</v>
      </c>
      <c r="Q406" s="92">
        <f>(SUBSTITUTE(Audio!Q406, "RE-", "", 1))*1</f>
        <v>39.08349271</v>
      </c>
      <c r="R406" s="92">
        <f>(SUBSTITUTE(Audio!R406, "RE-", "", 1))*1</f>
        <v>0</v>
      </c>
      <c r="S406" s="92">
        <f>(SUBSTITUTE(Audio!S406, "RE-", "", 1))*1</f>
        <v>1.003920833</v>
      </c>
      <c r="T406" s="92">
        <f>(SUBSTITUTE(Audio!T406, "RE-", "", 1))*1</f>
        <v>0</v>
      </c>
      <c r="U406" s="92">
        <f>(SUBSTITUTE(Audio!U406, "RE-", "", 1))*1</f>
        <v>42.01894167</v>
      </c>
      <c r="V406" s="92">
        <f>(SUBSTITUTE(Audio!V406, "RE-", "", 1))*1</f>
        <v>20.88255</v>
      </c>
      <c r="W406" s="92">
        <f>(SUBSTITUTE(Audio!W406, "RE-", "", 1))*1</f>
        <v>0</v>
      </c>
      <c r="X406" s="92">
        <f>(SUBSTITUTE(Audio!X406, "RE-", "", 1))*1</f>
        <v>0</v>
      </c>
      <c r="Y406" s="92">
        <f>(SUBSTITUTE(Audio!Y406, "RE-", "", 1))*1</f>
        <v>0</v>
      </c>
      <c r="Z406" s="92">
        <f>(SUBSTITUTE(Audio!Z406, "RE-", "", 1))*1</f>
        <v>0</v>
      </c>
      <c r="AA406" s="92"/>
      <c r="AB406" s="92"/>
      <c r="AC406" s="92"/>
      <c r="AD406" s="92"/>
      <c r="AE406" s="92"/>
      <c r="AF406" s="92"/>
      <c r="AG406" s="92"/>
      <c r="AH406" s="92"/>
      <c r="AI406" s="92"/>
      <c r="AJ406" s="92"/>
      <c r="AK406" s="92"/>
      <c r="AL406" s="92"/>
      <c r="AM406" s="92"/>
      <c r="AN406" s="92"/>
      <c r="AO406" s="92"/>
      <c r="AP406" s="92"/>
      <c r="AQ406" s="92"/>
      <c r="AR406" s="92"/>
      <c r="AS406" s="92"/>
      <c r="AT406" s="92"/>
      <c r="AU406" s="92"/>
      <c r="AV406" s="92"/>
      <c r="AW406" s="92"/>
      <c r="AX406" s="92"/>
      <c r="AY406" s="92"/>
      <c r="AZ406" s="92"/>
      <c r="BA406" s="92"/>
      <c r="BB406" s="92"/>
      <c r="BC406" s="92"/>
      <c r="BD406" s="92"/>
      <c r="BE406" s="92"/>
      <c r="BF406" s="92"/>
      <c r="BG406" s="92"/>
      <c r="BH406" s="92"/>
      <c r="BI406" s="92"/>
      <c r="BJ406" s="92"/>
      <c r="BK406" s="92"/>
      <c r="BL406" s="92"/>
      <c r="BM406" s="92"/>
      <c r="BN406" s="92"/>
      <c r="BO406" s="92"/>
      <c r="BP406" s="92"/>
      <c r="BQ406" s="92"/>
      <c r="BR406" s="92"/>
      <c r="BS406" s="92"/>
      <c r="BT406" s="92"/>
      <c r="BU406" s="92"/>
      <c r="BV406" s="92"/>
      <c r="BW406" s="92"/>
      <c r="BX406" s="92"/>
      <c r="BY406" s="92"/>
      <c r="BZ406" s="92"/>
      <c r="CA406" s="92"/>
      <c r="CB406" s="92"/>
      <c r="CC406" s="92"/>
      <c r="CD406" s="92"/>
      <c r="CE406" s="92"/>
      <c r="CF406" s="92"/>
      <c r="CG406" s="92"/>
      <c r="CH406" s="92"/>
      <c r="CI406" s="92"/>
      <c r="CJ406" s="92"/>
      <c r="CK406" s="92"/>
      <c r="CL406" s="92"/>
      <c r="CM406" s="92"/>
      <c r="CN406" s="92"/>
      <c r="CO406" s="92"/>
      <c r="CP406" s="92"/>
      <c r="CQ406" s="92"/>
      <c r="CR406" s="92"/>
      <c r="CS406" s="92"/>
      <c r="CT406" s="92"/>
      <c r="CU406" s="92"/>
      <c r="CV406" s="92"/>
      <c r="CW406" s="92"/>
      <c r="CX406" s="92"/>
      <c r="CY406" s="92"/>
      <c r="CZ406" s="92"/>
      <c r="DA406" s="92"/>
      <c r="DB406" s="92"/>
      <c r="DC406" s="92"/>
      <c r="DD406" s="92"/>
      <c r="DE406" s="92"/>
      <c r="DF406" s="92"/>
      <c r="DG406" s="92"/>
      <c r="DH406" s="92"/>
      <c r="DI406" s="92"/>
      <c r="DJ406" s="92"/>
      <c r="DK406" s="92"/>
      <c r="DL406" s="92"/>
      <c r="DM406" s="92"/>
      <c r="DN406" s="92"/>
      <c r="DO406" s="92"/>
      <c r="DP406" s="92"/>
      <c r="DQ406" s="92"/>
      <c r="DR406" s="92"/>
      <c r="DS406" s="92"/>
      <c r="DT406" s="92"/>
      <c r="DU406" s="92"/>
      <c r="DV406" s="92"/>
      <c r="DW406" s="92"/>
      <c r="DX406" s="92"/>
      <c r="DY406" s="92"/>
      <c r="DZ406" s="92"/>
      <c r="EA406" s="92"/>
      <c r="EB406" s="92"/>
      <c r="EC406" s="92"/>
      <c r="ED406" s="92"/>
      <c r="EE406" s="92"/>
      <c r="EF406" s="92"/>
      <c r="EG406" s="92"/>
      <c r="EH406" s="92"/>
      <c r="EI406" s="92"/>
      <c r="EJ406" s="92"/>
      <c r="EK406" s="92"/>
      <c r="EL406" s="92"/>
      <c r="EM406" s="92"/>
      <c r="EN406" s="92"/>
      <c r="EO406" s="92"/>
      <c r="EP406" s="92"/>
      <c r="EQ406" s="92"/>
      <c r="ER406" s="92"/>
      <c r="ES406" s="92"/>
      <c r="ET406" s="92"/>
      <c r="EU406" s="92"/>
      <c r="EV406" s="92"/>
      <c r="EW406" s="92"/>
      <c r="EX406" s="92"/>
      <c r="EY406" s="92"/>
      <c r="EZ406" s="92"/>
      <c r="FA406" s="92"/>
      <c r="FB406" s="92"/>
      <c r="FC406" s="92"/>
      <c r="FD406" s="92"/>
      <c r="FE406" s="92"/>
      <c r="FF406" s="92"/>
      <c r="FG406" s="92"/>
      <c r="FH406" s="92"/>
    </row>
    <row r="407">
      <c r="A407" s="32" t="s">
        <v>35</v>
      </c>
      <c r="B407" s="32" t="s">
        <v>74</v>
      </c>
      <c r="C407" s="32" t="s">
        <v>12</v>
      </c>
      <c r="D407" s="97">
        <f t="shared" si="1"/>
        <v>4659.66844</v>
      </c>
      <c r="E407" s="92">
        <f>(SUBSTITUTE(Audio!E407, "RE-", "", 1))*1</f>
        <v>0</v>
      </c>
      <c r="F407" s="92">
        <f>(SUBSTITUTE(Audio!F407, "RE-", "", 1))*1</f>
        <v>794.3361385</v>
      </c>
      <c r="G407" s="92">
        <f>(SUBSTITUTE(Audio!G407, "RE-", "", 1))*1</f>
        <v>5.381</v>
      </c>
      <c r="H407" s="92">
        <f>(SUBSTITUTE(Audio!H407, "RE-", "", 1))*1</f>
        <v>132.6288813</v>
      </c>
      <c r="I407" s="92">
        <f>(SUBSTITUTE(Audio!I407, "RE-", "", 1))*1</f>
        <v>0</v>
      </c>
      <c r="J407" s="92">
        <f>(SUBSTITUTE(Audio!J407, "RE-", "", 1))*1</f>
        <v>1048.233579</v>
      </c>
      <c r="K407" s="92">
        <f>(SUBSTITUTE(Audio!K407, "RE-", "", 1))*1</f>
        <v>14.07012708</v>
      </c>
      <c r="L407" s="92">
        <f>(SUBSTITUTE(Audio!L407, "RE-", "", 1))*1</f>
        <v>1100.105693</v>
      </c>
      <c r="M407" s="92">
        <f>(SUBSTITUTE(Audio!M407, "RE-", "", 1))*1</f>
        <v>11.90740208</v>
      </c>
      <c r="N407" s="92">
        <f>(SUBSTITUTE(Audio!N407, "RE-", "", 1))*1</f>
        <v>249.6589583</v>
      </c>
      <c r="O407" s="92">
        <f>(SUBSTITUTE(Audio!O407, "RE-", "", 1))*1</f>
        <v>6.425048958</v>
      </c>
      <c r="P407" s="92">
        <f>(SUBSTITUTE(Audio!P407, "RE-", "", 1))*1</f>
        <v>240.5707625</v>
      </c>
      <c r="Q407" s="92">
        <f>(SUBSTITUTE(Audio!Q407, "RE-", "", 1))*1</f>
        <v>11.92943333</v>
      </c>
      <c r="R407" s="92">
        <f>(SUBSTITUTE(Audio!R407, "RE-", "", 1))*1</f>
        <v>44.60390104</v>
      </c>
      <c r="S407" s="92">
        <f>(SUBSTITUTE(Audio!S407, "RE-", "", 1))*1</f>
        <v>0.65429375</v>
      </c>
      <c r="T407" s="92">
        <f>(SUBSTITUTE(Audio!T407, "RE-", "", 1))*1</f>
        <v>977.1987375</v>
      </c>
      <c r="U407" s="92">
        <f>(SUBSTITUTE(Audio!U407, "RE-", "", 1))*1</f>
        <v>19.78897083</v>
      </c>
      <c r="V407" s="92">
        <f>(SUBSTITUTE(Audio!V407, "RE-", "", 1))*1</f>
        <v>2.1755125</v>
      </c>
      <c r="W407" s="92">
        <f>(SUBSTITUTE(Audio!W407, "RE-", "", 1))*1</f>
        <v>0</v>
      </c>
      <c r="X407" s="92">
        <f>(SUBSTITUTE(Audio!X407, "RE-", "", 1))*1</f>
        <v>0</v>
      </c>
      <c r="Y407" s="92">
        <f>(SUBSTITUTE(Audio!Y407, "RE-", "", 1))*1</f>
        <v>0</v>
      </c>
      <c r="Z407" s="92">
        <f>(SUBSTITUTE(Audio!Z407, "RE-", "", 1))*1</f>
        <v>0</v>
      </c>
      <c r="AA407" s="92"/>
      <c r="AB407" s="92"/>
      <c r="AC407" s="92"/>
      <c r="AD407" s="92"/>
      <c r="AE407" s="92"/>
      <c r="AF407" s="92"/>
      <c r="AG407" s="92"/>
      <c r="AH407" s="92"/>
      <c r="AI407" s="92"/>
      <c r="AJ407" s="92"/>
      <c r="AK407" s="92"/>
      <c r="AL407" s="92"/>
      <c r="AM407" s="92"/>
      <c r="AN407" s="92"/>
      <c r="AO407" s="92"/>
      <c r="AP407" s="92"/>
      <c r="AQ407" s="92"/>
      <c r="AR407" s="92"/>
      <c r="AS407" s="92"/>
      <c r="AT407" s="92"/>
      <c r="AU407" s="92"/>
      <c r="AV407" s="92"/>
      <c r="AW407" s="92"/>
      <c r="AX407" s="92"/>
      <c r="AY407" s="92"/>
      <c r="AZ407" s="92"/>
      <c r="BA407" s="92"/>
      <c r="BB407" s="92"/>
      <c r="BC407" s="92"/>
      <c r="BD407" s="92"/>
      <c r="BE407" s="92"/>
      <c r="BF407" s="92"/>
      <c r="BG407" s="92"/>
      <c r="BH407" s="92"/>
      <c r="BI407" s="92"/>
      <c r="BJ407" s="92"/>
      <c r="BK407" s="92"/>
      <c r="BL407" s="92"/>
      <c r="BM407" s="92"/>
      <c r="BN407" s="92"/>
      <c r="BO407" s="92"/>
      <c r="BP407" s="92"/>
      <c r="BQ407" s="92"/>
      <c r="BR407" s="92"/>
      <c r="BS407" s="92"/>
      <c r="BT407" s="92"/>
      <c r="BU407" s="92"/>
      <c r="BV407" s="92"/>
      <c r="BW407" s="92"/>
      <c r="BX407" s="92"/>
      <c r="BY407" s="92"/>
      <c r="BZ407" s="92"/>
      <c r="CA407" s="92"/>
      <c r="CB407" s="92"/>
      <c r="CC407" s="92"/>
      <c r="CD407" s="92"/>
      <c r="CE407" s="92"/>
      <c r="CF407" s="92"/>
      <c r="CG407" s="92"/>
      <c r="CH407" s="92"/>
      <c r="CI407" s="92"/>
      <c r="CJ407" s="92"/>
      <c r="CK407" s="92"/>
      <c r="CL407" s="92"/>
      <c r="CM407" s="92"/>
      <c r="CN407" s="92"/>
      <c r="CO407" s="92"/>
      <c r="CP407" s="92"/>
      <c r="CQ407" s="92"/>
      <c r="CR407" s="92"/>
      <c r="CS407" s="92"/>
      <c r="CT407" s="92"/>
      <c r="CU407" s="92"/>
      <c r="CV407" s="92"/>
      <c r="CW407" s="92"/>
      <c r="CX407" s="92"/>
      <c r="CY407" s="92"/>
      <c r="CZ407" s="92"/>
      <c r="DA407" s="92"/>
      <c r="DB407" s="92"/>
      <c r="DC407" s="92"/>
      <c r="DD407" s="92"/>
      <c r="DE407" s="92"/>
      <c r="DF407" s="92"/>
      <c r="DG407" s="92"/>
      <c r="DH407" s="92"/>
      <c r="DI407" s="92"/>
      <c r="DJ407" s="92"/>
      <c r="DK407" s="92"/>
      <c r="DL407" s="92"/>
      <c r="DM407" s="92"/>
      <c r="DN407" s="92"/>
      <c r="DO407" s="92"/>
      <c r="DP407" s="92"/>
      <c r="DQ407" s="92"/>
      <c r="DR407" s="92"/>
      <c r="DS407" s="92"/>
      <c r="DT407" s="92"/>
      <c r="DU407" s="92"/>
      <c r="DV407" s="92"/>
      <c r="DW407" s="92"/>
      <c r="DX407" s="92"/>
      <c r="DY407" s="92"/>
      <c r="DZ407" s="92"/>
      <c r="EA407" s="92"/>
      <c r="EB407" s="92"/>
      <c r="EC407" s="92"/>
      <c r="ED407" s="92"/>
      <c r="EE407" s="92"/>
      <c r="EF407" s="92"/>
      <c r="EG407" s="92"/>
      <c r="EH407" s="92"/>
      <c r="EI407" s="92"/>
      <c r="EJ407" s="92"/>
      <c r="EK407" s="92"/>
      <c r="EL407" s="92"/>
      <c r="EM407" s="92"/>
      <c r="EN407" s="92"/>
      <c r="EO407" s="92"/>
      <c r="EP407" s="92"/>
      <c r="EQ407" s="92"/>
      <c r="ER407" s="92"/>
      <c r="ES407" s="92"/>
      <c r="ET407" s="92"/>
      <c r="EU407" s="92"/>
      <c r="EV407" s="92"/>
      <c r="EW407" s="92"/>
      <c r="EX407" s="92"/>
      <c r="EY407" s="92"/>
      <c r="EZ407" s="92"/>
      <c r="FA407" s="92"/>
      <c r="FB407" s="92"/>
      <c r="FC407" s="92"/>
      <c r="FD407" s="92"/>
      <c r="FE407" s="92"/>
      <c r="FF407" s="92"/>
      <c r="FG407" s="92"/>
      <c r="FH407" s="92"/>
    </row>
    <row r="408">
      <c r="A408" s="32" t="s">
        <v>35</v>
      </c>
      <c r="B408" s="32" t="s">
        <v>74</v>
      </c>
      <c r="C408" s="32" t="s">
        <v>13</v>
      </c>
      <c r="D408" s="97">
        <f t="shared" si="1"/>
        <v>4521.290363</v>
      </c>
      <c r="E408" s="92">
        <f>(SUBSTITUTE(Audio!E408, "RE-", "", 1))*1</f>
        <v>0</v>
      </c>
      <c r="F408" s="92">
        <f>(SUBSTITUTE(Audio!F408, "RE-", "", 1))*1</f>
        <v>775.651</v>
      </c>
      <c r="G408" s="92">
        <f>(SUBSTITUTE(Audio!G408, "RE-", "", 1))*1</f>
        <v>5.2251</v>
      </c>
      <c r="H408" s="92">
        <f>(SUBSTITUTE(Audio!H408, "RE-", "", 1))*1</f>
        <v>130.198</v>
      </c>
      <c r="I408" s="92">
        <f>(SUBSTITUTE(Audio!I408, "RE-", "", 1))*1</f>
        <v>0</v>
      </c>
      <c r="J408" s="92">
        <f>(SUBSTITUTE(Audio!J408, "RE-", "", 1))*1</f>
        <v>1025.57</v>
      </c>
      <c r="K408" s="92">
        <f>(SUBSTITUTE(Audio!K408, "RE-", "", 1))*1</f>
        <v>13.4204</v>
      </c>
      <c r="L408" s="92">
        <f>(SUBSTITUTE(Audio!L408, "RE-", "", 1))*1</f>
        <v>1061.86</v>
      </c>
      <c r="M408" s="92">
        <f>(SUBSTITUTE(Audio!M408, "RE-", "", 1))*1</f>
        <v>11.2783</v>
      </c>
      <c r="N408" s="92">
        <f>(SUBSTITUTE(Audio!N408, "RE-", "", 1))*1</f>
        <v>240.306</v>
      </c>
      <c r="O408" s="92">
        <f>(SUBSTITUTE(Audio!O408, "RE-", "", 1))*1</f>
        <v>6.1198</v>
      </c>
      <c r="P408" s="92">
        <f>(SUBSTITUTE(Audio!P408, "RE-", "", 1))*1</f>
        <v>232.181</v>
      </c>
      <c r="Q408" s="92">
        <f>(SUBSTITUTE(Audio!Q408, "RE-", "", 1))*1</f>
        <v>11.4561</v>
      </c>
      <c r="R408" s="92">
        <f>(SUBSTITUTE(Audio!R408, "RE-", "", 1))*1</f>
        <v>42.3673</v>
      </c>
      <c r="S408" s="92">
        <f>(SUBSTITUTE(Audio!S408, "RE-", "", 1))*1</f>
        <v>0.639383</v>
      </c>
      <c r="T408" s="92">
        <f>(SUBSTITUTE(Audio!T408, "RE-", "", 1))*1</f>
        <v>943.715</v>
      </c>
      <c r="U408" s="92">
        <f>(SUBSTITUTE(Audio!U408, "RE-", "", 1))*1</f>
        <v>19.2013</v>
      </c>
      <c r="V408" s="92">
        <f>(SUBSTITUTE(Audio!V408, "RE-", "", 1))*1</f>
        <v>2.10168</v>
      </c>
      <c r="W408" s="92">
        <f>(SUBSTITUTE(Audio!W408, "RE-", "", 1))*1</f>
        <v>0</v>
      </c>
      <c r="X408" s="92">
        <f>(SUBSTITUTE(Audio!X408, "RE-", "", 1))*1</f>
        <v>0</v>
      </c>
      <c r="Y408" s="92">
        <f>(SUBSTITUTE(Audio!Y408, "RE-", "", 1))*1</f>
        <v>0</v>
      </c>
      <c r="Z408" s="92">
        <f>(SUBSTITUTE(Audio!Z408, "RE-", "", 1))*1</f>
        <v>0</v>
      </c>
      <c r="AA408" s="92"/>
      <c r="AB408" s="92"/>
      <c r="AC408" s="92"/>
      <c r="AD408" s="92"/>
      <c r="AE408" s="92"/>
      <c r="AF408" s="92"/>
      <c r="AG408" s="92"/>
      <c r="AH408" s="92"/>
      <c r="AI408" s="92"/>
      <c r="AJ408" s="92"/>
      <c r="AK408" s="92"/>
      <c r="AL408" s="92"/>
      <c r="AM408" s="92"/>
      <c r="AN408" s="92"/>
      <c r="AO408" s="92"/>
      <c r="AP408" s="92"/>
      <c r="AQ408" s="92"/>
      <c r="AR408" s="92"/>
      <c r="AS408" s="92"/>
      <c r="AT408" s="92"/>
      <c r="AU408" s="92"/>
      <c r="AV408" s="92"/>
      <c r="AW408" s="92"/>
      <c r="AX408" s="92"/>
      <c r="AY408" s="92"/>
      <c r="AZ408" s="92"/>
      <c r="BA408" s="92"/>
      <c r="BB408" s="92"/>
      <c r="BC408" s="92"/>
      <c r="BD408" s="92"/>
      <c r="BE408" s="92"/>
      <c r="BF408" s="92"/>
      <c r="BG408" s="92"/>
      <c r="BH408" s="92"/>
      <c r="BI408" s="92"/>
      <c r="BJ408" s="92"/>
      <c r="BK408" s="92"/>
      <c r="BL408" s="92"/>
      <c r="BM408" s="92"/>
      <c r="BN408" s="92"/>
      <c r="BO408" s="92"/>
      <c r="BP408" s="92"/>
      <c r="BQ408" s="92"/>
      <c r="BR408" s="92"/>
      <c r="BS408" s="92"/>
      <c r="BT408" s="92"/>
      <c r="BU408" s="92"/>
      <c r="BV408" s="92"/>
      <c r="BW408" s="92"/>
      <c r="BX408" s="92"/>
      <c r="BY408" s="92"/>
      <c r="BZ408" s="92"/>
      <c r="CA408" s="92"/>
      <c r="CB408" s="92"/>
      <c r="CC408" s="92"/>
      <c r="CD408" s="92"/>
      <c r="CE408" s="92"/>
      <c r="CF408" s="92"/>
      <c r="CG408" s="92"/>
      <c r="CH408" s="92"/>
      <c r="CI408" s="92"/>
      <c r="CJ408" s="92"/>
      <c r="CK408" s="92"/>
      <c r="CL408" s="92"/>
      <c r="CM408" s="92"/>
      <c r="CN408" s="92"/>
      <c r="CO408" s="92"/>
      <c r="CP408" s="92"/>
      <c r="CQ408" s="92"/>
      <c r="CR408" s="92"/>
      <c r="CS408" s="92"/>
      <c r="CT408" s="92"/>
      <c r="CU408" s="92"/>
      <c r="CV408" s="92"/>
      <c r="CW408" s="92"/>
      <c r="CX408" s="92"/>
      <c r="CY408" s="92"/>
      <c r="CZ408" s="92"/>
      <c r="DA408" s="92"/>
      <c r="DB408" s="92"/>
      <c r="DC408" s="92"/>
      <c r="DD408" s="92"/>
      <c r="DE408" s="92"/>
      <c r="DF408" s="92"/>
      <c r="DG408" s="92"/>
      <c r="DH408" s="92"/>
      <c r="DI408" s="92"/>
      <c r="DJ408" s="92"/>
      <c r="DK408" s="92"/>
      <c r="DL408" s="92"/>
      <c r="DM408" s="92"/>
      <c r="DN408" s="92"/>
      <c r="DO408" s="92"/>
      <c r="DP408" s="92"/>
      <c r="DQ408" s="92"/>
      <c r="DR408" s="92"/>
      <c r="DS408" s="92"/>
      <c r="DT408" s="92"/>
      <c r="DU408" s="92"/>
      <c r="DV408" s="92"/>
      <c r="DW408" s="92"/>
      <c r="DX408" s="92"/>
      <c r="DY408" s="92"/>
      <c r="DZ408" s="92"/>
      <c r="EA408" s="92"/>
      <c r="EB408" s="92"/>
      <c r="EC408" s="92"/>
      <c r="ED408" s="92"/>
      <c r="EE408" s="92"/>
      <c r="EF408" s="92"/>
      <c r="EG408" s="92"/>
      <c r="EH408" s="92"/>
      <c r="EI408" s="92"/>
      <c r="EJ408" s="92"/>
      <c r="EK408" s="92"/>
      <c r="EL408" s="92"/>
      <c r="EM408" s="92"/>
      <c r="EN408" s="92"/>
      <c r="EO408" s="92"/>
      <c r="EP408" s="92"/>
      <c r="EQ408" s="92"/>
      <c r="ER408" s="92"/>
      <c r="ES408" s="92"/>
      <c r="ET408" s="92"/>
      <c r="EU408" s="92"/>
      <c r="EV408" s="92"/>
      <c r="EW408" s="92"/>
      <c r="EX408" s="92"/>
      <c r="EY408" s="92"/>
      <c r="EZ408" s="92"/>
      <c r="FA408" s="92"/>
      <c r="FB408" s="92"/>
      <c r="FC408" s="92"/>
      <c r="FD408" s="92"/>
      <c r="FE408" s="92"/>
      <c r="FF408" s="92"/>
      <c r="FG408" s="92"/>
      <c r="FH408" s="92"/>
    </row>
    <row r="409">
      <c r="A409" s="32" t="s">
        <v>35</v>
      </c>
      <c r="B409" s="32" t="s">
        <v>74</v>
      </c>
      <c r="C409" s="32" t="s">
        <v>14</v>
      </c>
      <c r="D409" s="97">
        <f t="shared" si="1"/>
        <v>3968.046533</v>
      </c>
      <c r="E409" s="92">
        <f>(SUBSTITUTE(Audio!E409, "RE-", "", 1))*1</f>
        <v>0</v>
      </c>
      <c r="F409" s="92">
        <f>(SUBSTITUTE(Audio!F409, "RE-", "", 1))*1</f>
        <v>683.37</v>
      </c>
      <c r="G409" s="92">
        <f>(SUBSTITUTE(Audio!G409, "RE-", "", 1))*1</f>
        <v>4.67987</v>
      </c>
      <c r="H409" s="92">
        <f>(SUBSTITUTE(Audio!H409, "RE-", "", 1))*1</f>
        <v>117.459</v>
      </c>
      <c r="I409" s="92">
        <f>(SUBSTITUTE(Audio!I409, "RE-", "", 1))*1</f>
        <v>0</v>
      </c>
      <c r="J409" s="92">
        <f>(SUBSTITUTE(Audio!J409, "RE-", "", 1))*1</f>
        <v>931.468</v>
      </c>
      <c r="K409" s="92">
        <f>(SUBSTITUTE(Audio!K409, "RE-", "", 1))*1</f>
        <v>12.5601</v>
      </c>
      <c r="L409" s="92">
        <f>(SUBSTITUTE(Audio!L409, "RE-", "", 1))*1</f>
        <v>925.204</v>
      </c>
      <c r="M409" s="92">
        <f>(SUBSTITUTE(Audio!M409, "RE-", "", 1))*1</f>
        <v>10.2498</v>
      </c>
      <c r="N409" s="92">
        <f>(SUBSTITUTE(Audio!N409, "RE-", "", 1))*1</f>
        <v>203.358</v>
      </c>
      <c r="O409" s="92">
        <f>(SUBSTITUTE(Audio!O409, "RE-", "", 1))*1</f>
        <v>5.44735</v>
      </c>
      <c r="P409" s="92">
        <f>(SUBSTITUTE(Audio!P409, "RE-", "", 1))*1</f>
        <v>201.627</v>
      </c>
      <c r="Q409" s="92">
        <f>(SUBSTITUTE(Audio!Q409, "RE-", "", 1))*1</f>
        <v>9.89865</v>
      </c>
      <c r="R409" s="92">
        <f>(SUBSTITUTE(Audio!R409, "RE-", "", 1))*1</f>
        <v>33.0393</v>
      </c>
      <c r="S409" s="92">
        <f>(SUBSTITUTE(Audio!S409, "RE-", "", 1))*1</f>
        <v>0.639383</v>
      </c>
      <c r="T409" s="92">
        <f>(SUBSTITUTE(Audio!T409, "RE-", "", 1))*1</f>
        <v>810.794</v>
      </c>
      <c r="U409" s="92">
        <f>(SUBSTITUTE(Audio!U409, "RE-", "", 1))*1</f>
        <v>16.1504</v>
      </c>
      <c r="V409" s="92">
        <f>(SUBSTITUTE(Audio!V409, "RE-", "", 1))*1</f>
        <v>2.10168</v>
      </c>
      <c r="W409" s="92">
        <f>(SUBSTITUTE(Audio!W409, "RE-", "", 1))*1</f>
        <v>0</v>
      </c>
      <c r="X409" s="92">
        <f>(SUBSTITUTE(Audio!X409, "RE-", "", 1))*1</f>
        <v>0</v>
      </c>
      <c r="Y409" s="92">
        <f>(SUBSTITUTE(Audio!Y409, "RE-", "", 1))*1</f>
        <v>0</v>
      </c>
      <c r="Z409" s="92">
        <f>(SUBSTITUTE(Audio!Z409, "RE-", "", 1))*1</f>
        <v>0</v>
      </c>
      <c r="AA409" s="92"/>
      <c r="AB409" s="92"/>
      <c r="AC409" s="92"/>
      <c r="AD409" s="92"/>
      <c r="AE409" s="92"/>
      <c r="AF409" s="92"/>
      <c r="AG409" s="92"/>
      <c r="AH409" s="92"/>
      <c r="AI409" s="92"/>
      <c r="AJ409" s="92"/>
      <c r="AK409" s="92"/>
      <c r="AL409" s="92"/>
      <c r="AM409" s="92"/>
      <c r="AN409" s="92"/>
      <c r="AO409" s="92"/>
      <c r="AP409" s="92"/>
      <c r="AQ409" s="92"/>
      <c r="AR409" s="92"/>
      <c r="AS409" s="92"/>
      <c r="AT409" s="92"/>
      <c r="AU409" s="92"/>
      <c r="AV409" s="92"/>
      <c r="AW409" s="92"/>
      <c r="AX409" s="92"/>
      <c r="AY409" s="92"/>
      <c r="AZ409" s="92"/>
      <c r="BA409" s="92"/>
      <c r="BB409" s="92"/>
      <c r="BC409" s="92"/>
      <c r="BD409" s="92"/>
      <c r="BE409" s="92"/>
      <c r="BF409" s="92"/>
      <c r="BG409" s="92"/>
      <c r="BH409" s="92"/>
      <c r="BI409" s="92"/>
      <c r="BJ409" s="92"/>
      <c r="BK409" s="92"/>
      <c r="BL409" s="92"/>
      <c r="BM409" s="92"/>
      <c r="BN409" s="92"/>
      <c r="BO409" s="92"/>
      <c r="BP409" s="92"/>
      <c r="BQ409" s="92"/>
      <c r="BR409" s="92"/>
      <c r="BS409" s="92"/>
      <c r="BT409" s="92"/>
      <c r="BU409" s="92"/>
      <c r="BV409" s="92"/>
      <c r="BW409" s="92"/>
      <c r="BX409" s="92"/>
      <c r="BY409" s="92"/>
      <c r="BZ409" s="92"/>
      <c r="CA409" s="92"/>
      <c r="CB409" s="92"/>
      <c r="CC409" s="92"/>
      <c r="CD409" s="92"/>
      <c r="CE409" s="92"/>
      <c r="CF409" s="92"/>
      <c r="CG409" s="92"/>
      <c r="CH409" s="92"/>
      <c r="CI409" s="92"/>
      <c r="CJ409" s="92"/>
      <c r="CK409" s="92"/>
      <c r="CL409" s="92"/>
      <c r="CM409" s="92"/>
      <c r="CN409" s="92"/>
      <c r="CO409" s="92"/>
      <c r="CP409" s="92"/>
      <c r="CQ409" s="92"/>
      <c r="CR409" s="92"/>
      <c r="CS409" s="92"/>
      <c r="CT409" s="92"/>
      <c r="CU409" s="92"/>
      <c r="CV409" s="92"/>
      <c r="CW409" s="92"/>
      <c r="CX409" s="92"/>
      <c r="CY409" s="92"/>
      <c r="CZ409" s="92"/>
      <c r="DA409" s="92"/>
      <c r="DB409" s="92"/>
      <c r="DC409" s="92"/>
      <c r="DD409" s="92"/>
      <c r="DE409" s="92"/>
      <c r="DF409" s="92"/>
      <c r="DG409" s="92"/>
      <c r="DH409" s="92"/>
      <c r="DI409" s="92"/>
      <c r="DJ409" s="92"/>
      <c r="DK409" s="92"/>
      <c r="DL409" s="92"/>
      <c r="DM409" s="92"/>
      <c r="DN409" s="92"/>
      <c r="DO409" s="92"/>
      <c r="DP409" s="92"/>
      <c r="DQ409" s="92"/>
      <c r="DR409" s="92"/>
      <c r="DS409" s="92"/>
      <c r="DT409" s="92"/>
      <c r="DU409" s="92"/>
      <c r="DV409" s="92"/>
      <c r="DW409" s="92"/>
      <c r="DX409" s="92"/>
      <c r="DY409" s="92"/>
      <c r="DZ409" s="92"/>
      <c r="EA409" s="92"/>
      <c r="EB409" s="92"/>
      <c r="EC409" s="92"/>
      <c r="ED409" s="92"/>
      <c r="EE409" s="92"/>
      <c r="EF409" s="92"/>
      <c r="EG409" s="92"/>
      <c r="EH409" s="92"/>
      <c r="EI409" s="92"/>
      <c r="EJ409" s="92"/>
      <c r="EK409" s="92"/>
      <c r="EL409" s="92"/>
      <c r="EM409" s="92"/>
      <c r="EN409" s="92"/>
      <c r="EO409" s="92"/>
      <c r="EP409" s="92"/>
      <c r="EQ409" s="92"/>
      <c r="ER409" s="92"/>
      <c r="ES409" s="92"/>
      <c r="ET409" s="92"/>
      <c r="EU409" s="92"/>
      <c r="EV409" s="92"/>
      <c r="EW409" s="92"/>
      <c r="EX409" s="92"/>
      <c r="EY409" s="92"/>
      <c r="EZ409" s="92"/>
      <c r="FA409" s="92"/>
      <c r="FB409" s="92"/>
      <c r="FC409" s="92"/>
      <c r="FD409" s="92"/>
      <c r="FE409" s="92"/>
      <c r="FF409" s="92"/>
      <c r="FG409" s="92"/>
      <c r="FH409" s="92"/>
    </row>
    <row r="410">
      <c r="A410" s="27" t="s">
        <v>35</v>
      </c>
      <c r="B410" s="27" t="s">
        <v>74</v>
      </c>
      <c r="C410" s="27" t="s">
        <v>15</v>
      </c>
      <c r="D410" s="98">
        <f t="shared" si="1"/>
        <v>4518.682163</v>
      </c>
      <c r="E410" s="92">
        <f>(SUBSTITUTE(Audio!E410, "RE-", "", 1))*1</f>
        <v>0</v>
      </c>
      <c r="F410" s="92">
        <f>(SUBSTITUTE(Audio!F410, "RE-", "", 1))*1</f>
        <v>775.651</v>
      </c>
      <c r="G410" s="92">
        <f>(SUBSTITUTE(Audio!G410, "RE-", "", 1))*1</f>
        <v>5.2251</v>
      </c>
      <c r="H410" s="92">
        <f>(SUBSTITUTE(Audio!H410, "RE-", "", 1))*1</f>
        <v>130.198</v>
      </c>
      <c r="I410" s="92">
        <f>(SUBSTITUTE(Audio!I410, "RE-", "", 1))*1</f>
        <v>0</v>
      </c>
      <c r="J410" s="92">
        <f>(SUBSTITUTE(Audio!J410, "RE-", "", 1))*1</f>
        <v>1025.57</v>
      </c>
      <c r="K410" s="92">
        <f>(SUBSTITUTE(Audio!K410, "RE-", "", 1))*1</f>
        <v>13.3948</v>
      </c>
      <c r="L410" s="92">
        <f>(SUBSTITUTE(Audio!L410, "RE-", "", 1))*1</f>
        <v>1060.25</v>
      </c>
      <c r="M410" s="92">
        <f>(SUBSTITUTE(Audio!M410, "RE-", "", 1))*1</f>
        <v>11.2783</v>
      </c>
      <c r="N410" s="92">
        <f>(SUBSTITUTE(Audio!N410, "RE-", "", 1))*1</f>
        <v>240.306</v>
      </c>
      <c r="O410" s="92">
        <f>(SUBSTITUTE(Audio!O410, "RE-", "", 1))*1</f>
        <v>6.1198</v>
      </c>
      <c r="P410" s="92">
        <f>(SUBSTITUTE(Audio!P410, "RE-", "", 1))*1</f>
        <v>231.857</v>
      </c>
      <c r="Q410" s="92">
        <f>(SUBSTITUTE(Audio!Q410, "RE-", "", 1))*1</f>
        <v>10.8255</v>
      </c>
      <c r="R410" s="92">
        <f>(SUBSTITUTE(Audio!R410, "RE-", "", 1))*1</f>
        <v>42.3673</v>
      </c>
      <c r="S410" s="92">
        <f>(SUBSTITUTE(Audio!S410, "RE-", "", 1))*1</f>
        <v>0.639383</v>
      </c>
      <c r="T410" s="92">
        <f>(SUBSTITUTE(Audio!T410, "RE-", "", 1))*1</f>
        <v>943.697</v>
      </c>
      <c r="U410" s="92">
        <f>(SUBSTITUTE(Audio!U410, "RE-", "", 1))*1</f>
        <v>19.2013</v>
      </c>
      <c r="V410" s="92">
        <f>(SUBSTITUTE(Audio!V410, "RE-", "", 1))*1</f>
        <v>2.10168</v>
      </c>
      <c r="W410" s="92">
        <f>(SUBSTITUTE(Audio!W410, "RE-", "", 1))*1</f>
        <v>0</v>
      </c>
      <c r="X410" s="92">
        <f>(SUBSTITUTE(Audio!X410, "RE-", "", 1))*1</f>
        <v>0</v>
      </c>
      <c r="Y410" s="92">
        <f>(SUBSTITUTE(Audio!Y410, "RE-", "", 1))*1</f>
        <v>0</v>
      </c>
      <c r="Z410" s="92">
        <f>(SUBSTITUTE(Audio!Z410, "RE-", "", 1))*1</f>
        <v>0</v>
      </c>
      <c r="AA410" s="92"/>
      <c r="AB410" s="92"/>
      <c r="AC410" s="92"/>
      <c r="AD410" s="92"/>
      <c r="AE410" s="92"/>
      <c r="AF410" s="92"/>
      <c r="AG410" s="92"/>
      <c r="AH410" s="92"/>
      <c r="AI410" s="92"/>
      <c r="AJ410" s="92"/>
      <c r="AK410" s="92"/>
      <c r="AL410" s="92"/>
      <c r="AM410" s="92"/>
      <c r="AN410" s="92"/>
      <c r="AO410" s="92"/>
      <c r="AP410" s="92"/>
      <c r="AQ410" s="92"/>
      <c r="AR410" s="92"/>
      <c r="AS410" s="92"/>
      <c r="AT410" s="92"/>
      <c r="AU410" s="92"/>
      <c r="AV410" s="92"/>
      <c r="AW410" s="92"/>
      <c r="AX410" s="92"/>
      <c r="AY410" s="92"/>
      <c r="AZ410" s="92"/>
      <c r="BA410" s="92"/>
      <c r="BB410" s="92"/>
      <c r="BC410" s="92"/>
      <c r="BD410" s="92"/>
      <c r="BE410" s="92"/>
      <c r="BF410" s="92"/>
      <c r="BG410" s="92"/>
      <c r="BH410" s="92"/>
      <c r="BI410" s="92"/>
      <c r="BJ410" s="92"/>
      <c r="BK410" s="92"/>
      <c r="BL410" s="92"/>
      <c r="BM410" s="92"/>
      <c r="BN410" s="92"/>
      <c r="BO410" s="92"/>
      <c r="BP410" s="92"/>
      <c r="BQ410" s="92"/>
      <c r="BR410" s="92"/>
      <c r="BS410" s="92"/>
      <c r="BT410" s="92"/>
      <c r="BU410" s="92"/>
      <c r="BV410" s="92"/>
      <c r="BW410" s="92"/>
      <c r="BX410" s="92"/>
      <c r="BY410" s="92"/>
      <c r="BZ410" s="92"/>
      <c r="CA410" s="92"/>
      <c r="CB410" s="92"/>
      <c r="CC410" s="92"/>
      <c r="CD410" s="92"/>
      <c r="CE410" s="92"/>
      <c r="CF410" s="92"/>
      <c r="CG410" s="92"/>
      <c r="CH410" s="92"/>
      <c r="CI410" s="92"/>
      <c r="CJ410" s="92"/>
      <c r="CK410" s="92"/>
      <c r="CL410" s="92"/>
      <c r="CM410" s="92"/>
      <c r="CN410" s="92"/>
      <c r="CO410" s="92"/>
      <c r="CP410" s="92"/>
      <c r="CQ410" s="92"/>
      <c r="CR410" s="92"/>
      <c r="CS410" s="92"/>
      <c r="CT410" s="92"/>
      <c r="CU410" s="92"/>
      <c r="CV410" s="92"/>
      <c r="CW410" s="92"/>
      <c r="CX410" s="92"/>
      <c r="CY410" s="92"/>
      <c r="CZ410" s="92"/>
      <c r="DA410" s="92"/>
      <c r="DB410" s="92"/>
      <c r="DC410" s="92"/>
      <c r="DD410" s="92"/>
      <c r="DE410" s="92"/>
      <c r="DF410" s="92"/>
      <c r="DG410" s="92"/>
      <c r="DH410" s="92"/>
      <c r="DI410" s="92"/>
      <c r="DJ410" s="92"/>
      <c r="DK410" s="92"/>
      <c r="DL410" s="92"/>
      <c r="DM410" s="92"/>
      <c r="DN410" s="92"/>
      <c r="DO410" s="92"/>
      <c r="DP410" s="92"/>
      <c r="DQ410" s="92"/>
      <c r="DR410" s="92"/>
      <c r="DS410" s="92"/>
      <c r="DT410" s="92"/>
      <c r="DU410" s="92"/>
      <c r="DV410" s="92"/>
      <c r="DW410" s="92"/>
      <c r="DX410" s="92"/>
      <c r="DY410" s="92"/>
      <c r="DZ410" s="92"/>
      <c r="EA410" s="92"/>
      <c r="EB410" s="92"/>
      <c r="EC410" s="92"/>
      <c r="ED410" s="92"/>
      <c r="EE410" s="92"/>
      <c r="EF410" s="92"/>
      <c r="EG410" s="92"/>
      <c r="EH410" s="92"/>
      <c r="EI410" s="92"/>
      <c r="EJ410" s="92"/>
      <c r="EK410" s="92"/>
      <c r="EL410" s="92"/>
      <c r="EM410" s="92"/>
      <c r="EN410" s="92"/>
      <c r="EO410" s="92"/>
      <c r="EP410" s="92"/>
      <c r="EQ410" s="92"/>
      <c r="ER410" s="92"/>
      <c r="ES410" s="92"/>
      <c r="ET410" s="92"/>
      <c r="EU410" s="92"/>
      <c r="EV410" s="92"/>
      <c r="EW410" s="92"/>
      <c r="EX410" s="92"/>
      <c r="EY410" s="92"/>
      <c r="EZ410" s="92"/>
      <c r="FA410" s="92"/>
      <c r="FB410" s="92"/>
      <c r="FC410" s="92"/>
      <c r="FD410" s="92"/>
      <c r="FE410" s="92"/>
      <c r="FF410" s="92"/>
      <c r="FG410" s="92"/>
      <c r="FH410" s="92"/>
    </row>
    <row r="411">
      <c r="A411" s="30" t="s">
        <v>35</v>
      </c>
      <c r="B411" s="30" t="s">
        <v>75</v>
      </c>
      <c r="C411" s="31" t="str">
        <f>HYPERLINK("https://docs.google.com/spreadsheets/d/14bTvkw4_UMz8psXZHR7I4WWskMHdLotQ/edit?usp=share_link&amp;ouid=106501987799020758802&amp;rtpof=true&amp;sd=true", "Raw Delivered")</f>
        <v>Raw Delivered</v>
      </c>
      <c r="D411" s="96">
        <f t="shared" si="1"/>
        <v>5702.479613</v>
      </c>
      <c r="E411" s="92">
        <f>(SUBSTITUTE(Audio!E411, "RE-", "", 1))*1</f>
        <v>0</v>
      </c>
      <c r="F411" s="92">
        <f>(SUBSTITUTE(Audio!F411, "RE-", "", 1))*1</f>
        <v>725.3613927</v>
      </c>
      <c r="G411" s="92">
        <f>(SUBSTITUTE(Audio!G411, "RE-", "", 1))*1</f>
        <v>0</v>
      </c>
      <c r="H411" s="92">
        <f>(SUBSTITUTE(Audio!H411, "RE-", "", 1))*1</f>
        <v>194.7878708</v>
      </c>
      <c r="I411" s="92">
        <f>(SUBSTITUTE(Audio!I411, "RE-", "", 1))*1</f>
        <v>0</v>
      </c>
      <c r="J411" s="92">
        <f>(SUBSTITUTE(Audio!J411, "RE-", "", 1))*1</f>
        <v>1587.818615</v>
      </c>
      <c r="K411" s="92">
        <f>(SUBSTITUTE(Audio!K411, "RE-", "", 1))*1</f>
        <v>0</v>
      </c>
      <c r="L411" s="92">
        <f>(SUBSTITUTE(Audio!L411, "RE-", "", 1))*1</f>
        <v>1084.698209</v>
      </c>
      <c r="M411" s="92">
        <f>(SUBSTITUTE(Audio!M411, "RE-", "", 1))*1</f>
        <v>0</v>
      </c>
      <c r="N411" s="92">
        <f>(SUBSTITUTE(Audio!N411, "RE-", "", 1))*1</f>
        <v>577.7050885</v>
      </c>
      <c r="O411" s="92">
        <f>(SUBSTITUTE(Audio!O411, "RE-", "", 1))*1</f>
        <v>0</v>
      </c>
      <c r="P411" s="92">
        <f>(SUBSTITUTE(Audio!P411, "RE-", "", 1))*1</f>
        <v>287.5985375</v>
      </c>
      <c r="Q411" s="92">
        <f>(SUBSTITUTE(Audio!Q411, "RE-", "", 1))*1</f>
        <v>0</v>
      </c>
      <c r="R411" s="92">
        <f>(SUBSTITUTE(Audio!R411, "RE-", "", 1))*1</f>
        <v>84.68895729</v>
      </c>
      <c r="S411" s="92">
        <f>(SUBSTITUTE(Audio!S411, "RE-", "", 1))*1</f>
        <v>0</v>
      </c>
      <c r="T411" s="92">
        <f>(SUBSTITUTE(Audio!T411, "RE-", "", 1))*1</f>
        <v>1159.820942</v>
      </c>
      <c r="U411" s="92">
        <f>(SUBSTITUTE(Audio!U411, "RE-", "", 1))*1</f>
        <v>0</v>
      </c>
      <c r="V411" s="92">
        <f>(SUBSTITUTE(Audio!V411, "RE-", "", 1))*1</f>
        <v>0</v>
      </c>
      <c r="W411" s="92">
        <f>(SUBSTITUTE(Audio!W411, "RE-", "", 1))*1</f>
        <v>0</v>
      </c>
      <c r="X411" s="92">
        <f>(SUBSTITUTE(Audio!X411, "RE-", "", 1))*1</f>
        <v>0</v>
      </c>
      <c r="Y411" s="92">
        <f>(SUBSTITUTE(Audio!Y411, "RE-", "", 1))*1</f>
        <v>0</v>
      </c>
      <c r="Z411" s="92">
        <f>(SUBSTITUTE(Audio!Z411, "RE-", "", 1))*1</f>
        <v>0</v>
      </c>
      <c r="AA411" s="92"/>
      <c r="AB411" s="92"/>
      <c r="AC411" s="92"/>
      <c r="AD411" s="92"/>
      <c r="AE411" s="92"/>
      <c r="AF411" s="92"/>
      <c r="AG411" s="92"/>
      <c r="AH411" s="92"/>
      <c r="AI411" s="92"/>
      <c r="AJ411" s="92"/>
      <c r="AK411" s="92"/>
      <c r="AL411" s="92"/>
      <c r="AM411" s="92"/>
      <c r="AN411" s="92"/>
      <c r="AO411" s="92"/>
      <c r="AP411" s="92"/>
      <c r="AQ411" s="92"/>
      <c r="AR411" s="92"/>
      <c r="AS411" s="92"/>
      <c r="AT411" s="92"/>
      <c r="AU411" s="92"/>
      <c r="AV411" s="92"/>
      <c r="AW411" s="92"/>
      <c r="AX411" s="92"/>
      <c r="AY411" s="92"/>
      <c r="AZ411" s="92"/>
      <c r="BA411" s="92"/>
      <c r="BB411" s="92"/>
      <c r="BC411" s="92"/>
      <c r="BD411" s="92"/>
      <c r="BE411" s="92"/>
      <c r="BF411" s="92"/>
      <c r="BG411" s="92"/>
      <c r="BH411" s="92"/>
      <c r="BI411" s="92"/>
      <c r="BJ411" s="92"/>
      <c r="BK411" s="92"/>
      <c r="BL411" s="92"/>
      <c r="BM411" s="92"/>
      <c r="BN411" s="92"/>
      <c r="BO411" s="92"/>
      <c r="BP411" s="92"/>
      <c r="BQ411" s="92"/>
      <c r="BR411" s="92"/>
      <c r="BS411" s="92"/>
      <c r="BT411" s="92"/>
      <c r="BU411" s="92"/>
      <c r="BV411" s="92"/>
      <c r="BW411" s="92"/>
      <c r="BX411" s="92"/>
      <c r="BY411" s="92"/>
      <c r="BZ411" s="92"/>
      <c r="CA411" s="92"/>
      <c r="CB411" s="92"/>
      <c r="CC411" s="92"/>
      <c r="CD411" s="92"/>
      <c r="CE411" s="92"/>
      <c r="CF411" s="92"/>
      <c r="CG411" s="92"/>
      <c r="CH411" s="92"/>
      <c r="CI411" s="92"/>
      <c r="CJ411" s="92"/>
      <c r="CK411" s="92"/>
      <c r="CL411" s="92"/>
      <c r="CM411" s="92"/>
      <c r="CN411" s="92"/>
      <c r="CO411" s="92"/>
      <c r="CP411" s="92"/>
      <c r="CQ411" s="92"/>
      <c r="CR411" s="92"/>
      <c r="CS411" s="92"/>
      <c r="CT411" s="92"/>
      <c r="CU411" s="92"/>
      <c r="CV411" s="92"/>
      <c r="CW411" s="92"/>
      <c r="CX411" s="92"/>
      <c r="CY411" s="92"/>
      <c r="CZ411" s="92"/>
      <c r="DA411" s="92"/>
      <c r="DB411" s="92"/>
      <c r="DC411" s="92"/>
      <c r="DD411" s="92"/>
      <c r="DE411" s="92"/>
      <c r="DF411" s="92"/>
      <c r="DG411" s="92"/>
      <c r="DH411" s="92"/>
      <c r="DI411" s="92"/>
      <c r="DJ411" s="92"/>
      <c r="DK411" s="92"/>
      <c r="DL411" s="92"/>
      <c r="DM411" s="92"/>
      <c r="DN411" s="92"/>
      <c r="DO411" s="92"/>
      <c r="DP411" s="92"/>
      <c r="DQ411" s="92"/>
      <c r="DR411" s="92"/>
      <c r="DS411" s="92"/>
      <c r="DT411" s="92"/>
      <c r="DU411" s="92"/>
      <c r="DV411" s="92"/>
      <c r="DW411" s="92"/>
      <c r="DX411" s="92"/>
      <c r="DY411" s="92"/>
      <c r="DZ411" s="92"/>
      <c r="EA411" s="92"/>
      <c r="EB411" s="92"/>
      <c r="EC411" s="92"/>
      <c r="ED411" s="92"/>
      <c r="EE411" s="92"/>
      <c r="EF411" s="92"/>
      <c r="EG411" s="92"/>
      <c r="EH411" s="92"/>
      <c r="EI411" s="92"/>
      <c r="EJ411" s="92"/>
      <c r="EK411" s="92"/>
      <c r="EL411" s="92"/>
      <c r="EM411" s="92"/>
      <c r="EN411" s="92"/>
      <c r="EO411" s="92"/>
      <c r="EP411" s="92"/>
      <c r="EQ411" s="92"/>
      <c r="ER411" s="92"/>
      <c r="ES411" s="92"/>
      <c r="ET411" s="92"/>
      <c r="EU411" s="92"/>
      <c r="EV411" s="92"/>
      <c r="EW411" s="92"/>
      <c r="EX411" s="92"/>
      <c r="EY411" s="92"/>
      <c r="EZ411" s="92"/>
      <c r="FA411" s="92"/>
      <c r="FB411" s="92"/>
      <c r="FC411" s="92"/>
      <c r="FD411" s="92"/>
      <c r="FE411" s="92"/>
      <c r="FF411" s="92"/>
      <c r="FG411" s="92"/>
      <c r="FH411" s="92"/>
    </row>
    <row r="412">
      <c r="A412" s="32" t="s">
        <v>35</v>
      </c>
      <c r="B412" s="32" t="s">
        <v>75</v>
      </c>
      <c r="C412" s="32" t="s">
        <v>9</v>
      </c>
      <c r="D412" s="97">
        <f t="shared" si="1"/>
        <v>5702.479612</v>
      </c>
      <c r="E412" s="92">
        <f>(SUBSTITUTE(Audio!E412, "RE-", "", 1))*1</f>
        <v>0</v>
      </c>
      <c r="F412" s="92">
        <f>(SUBSTITUTE(Audio!F412, "RE-", "", 1))*1</f>
        <v>725.3613927</v>
      </c>
      <c r="G412" s="92">
        <f>(SUBSTITUTE(Audio!G412, "RE-", "", 1))*1</f>
        <v>0</v>
      </c>
      <c r="H412" s="92">
        <f>(SUBSTITUTE(Audio!H412, "RE-", "", 1))*1</f>
        <v>194.7878708</v>
      </c>
      <c r="I412" s="92">
        <f>(SUBSTITUTE(Audio!I412, "RE-", "", 1))*1</f>
        <v>0</v>
      </c>
      <c r="J412" s="92">
        <f>(SUBSTITUTE(Audio!J412, "RE-", "", 1))*1</f>
        <v>1587.818615</v>
      </c>
      <c r="K412" s="92">
        <f>(SUBSTITUTE(Audio!K412, "RE-", "", 1))*1</f>
        <v>0</v>
      </c>
      <c r="L412" s="92">
        <f>(SUBSTITUTE(Audio!L412, "RE-", "", 1))*1</f>
        <v>1084.698209</v>
      </c>
      <c r="M412" s="92">
        <f>(SUBSTITUTE(Audio!M412, "RE-", "", 1))*1</f>
        <v>0</v>
      </c>
      <c r="N412" s="92">
        <f>(SUBSTITUTE(Audio!N412, "RE-", "", 1))*1</f>
        <v>577.7050885</v>
      </c>
      <c r="O412" s="92">
        <f>(SUBSTITUTE(Audio!O412, "RE-", "", 1))*1</f>
        <v>0</v>
      </c>
      <c r="P412" s="92">
        <f>(SUBSTITUTE(Audio!P412, "RE-", "", 1))*1</f>
        <v>287.5985375</v>
      </c>
      <c r="Q412" s="92">
        <f>(SUBSTITUTE(Audio!Q412, "RE-", "", 1))*1</f>
        <v>0</v>
      </c>
      <c r="R412" s="92">
        <f>(SUBSTITUTE(Audio!R412, "RE-", "", 1))*1</f>
        <v>84.68895729</v>
      </c>
      <c r="S412" s="92">
        <f>(SUBSTITUTE(Audio!S412, "RE-", "", 1))*1</f>
        <v>0</v>
      </c>
      <c r="T412" s="92">
        <f>(SUBSTITUTE(Audio!T412, "RE-", "", 1))*1</f>
        <v>1159.820942</v>
      </c>
      <c r="U412" s="92">
        <f>(SUBSTITUTE(Audio!U412, "RE-", "", 1))*1</f>
        <v>0</v>
      </c>
      <c r="V412" s="92">
        <f>(SUBSTITUTE(Audio!V412, "RE-", "", 1))*1</f>
        <v>0</v>
      </c>
      <c r="W412" s="92">
        <f>(SUBSTITUTE(Audio!W412, "RE-", "", 1))*1</f>
        <v>0</v>
      </c>
      <c r="X412" s="92">
        <f>(SUBSTITUTE(Audio!X412, "RE-", "", 1))*1</f>
        <v>0</v>
      </c>
      <c r="Y412" s="92">
        <f>(SUBSTITUTE(Audio!Y412, "RE-", "", 1))*1</f>
        <v>0</v>
      </c>
      <c r="Z412" s="92">
        <f>(SUBSTITUTE(Audio!Z412, "RE-", "", 1))*1</f>
        <v>0</v>
      </c>
      <c r="AA412" s="92"/>
      <c r="AB412" s="92"/>
      <c r="AC412" s="92"/>
      <c r="AD412" s="92"/>
      <c r="AE412" s="92"/>
      <c r="AF412" s="92"/>
      <c r="AG412" s="92"/>
      <c r="AH412" s="92"/>
      <c r="AI412" s="92"/>
      <c r="AJ412" s="92"/>
      <c r="AK412" s="92"/>
      <c r="AL412" s="92"/>
      <c r="AM412" s="92"/>
      <c r="AN412" s="92"/>
      <c r="AO412" s="92"/>
      <c r="AP412" s="92"/>
      <c r="AQ412" s="92"/>
      <c r="AR412" s="92"/>
      <c r="AS412" s="92"/>
      <c r="AT412" s="92"/>
      <c r="AU412" s="92"/>
      <c r="AV412" s="92"/>
      <c r="AW412" s="92"/>
      <c r="AX412" s="92"/>
      <c r="AY412" s="92"/>
      <c r="AZ412" s="92"/>
      <c r="BA412" s="92"/>
      <c r="BB412" s="92"/>
      <c r="BC412" s="92"/>
      <c r="BD412" s="92"/>
      <c r="BE412" s="92"/>
      <c r="BF412" s="92"/>
      <c r="BG412" s="92"/>
      <c r="BH412" s="92"/>
      <c r="BI412" s="92"/>
      <c r="BJ412" s="92"/>
      <c r="BK412" s="92"/>
      <c r="BL412" s="92"/>
      <c r="BM412" s="92"/>
      <c r="BN412" s="92"/>
      <c r="BO412" s="92"/>
      <c r="BP412" s="92"/>
      <c r="BQ412" s="92"/>
      <c r="BR412" s="92"/>
      <c r="BS412" s="92"/>
      <c r="BT412" s="92"/>
      <c r="BU412" s="92"/>
      <c r="BV412" s="92"/>
      <c r="BW412" s="92"/>
      <c r="BX412" s="92"/>
      <c r="BY412" s="92"/>
      <c r="BZ412" s="92"/>
      <c r="CA412" s="92"/>
      <c r="CB412" s="92"/>
      <c r="CC412" s="92"/>
      <c r="CD412" s="92"/>
      <c r="CE412" s="92"/>
      <c r="CF412" s="92"/>
      <c r="CG412" s="92"/>
      <c r="CH412" s="92"/>
      <c r="CI412" s="92"/>
      <c r="CJ412" s="92"/>
      <c r="CK412" s="92"/>
      <c r="CL412" s="92"/>
      <c r="CM412" s="92"/>
      <c r="CN412" s="92"/>
      <c r="CO412" s="92"/>
      <c r="CP412" s="92"/>
      <c r="CQ412" s="92"/>
      <c r="CR412" s="92"/>
      <c r="CS412" s="92"/>
      <c r="CT412" s="92"/>
      <c r="CU412" s="92"/>
      <c r="CV412" s="92"/>
      <c r="CW412" s="92"/>
      <c r="CX412" s="92"/>
      <c r="CY412" s="92"/>
      <c r="CZ412" s="92"/>
      <c r="DA412" s="92"/>
      <c r="DB412" s="92"/>
      <c r="DC412" s="92"/>
      <c r="DD412" s="92"/>
      <c r="DE412" s="92"/>
      <c r="DF412" s="92"/>
      <c r="DG412" s="92"/>
      <c r="DH412" s="92"/>
      <c r="DI412" s="92"/>
      <c r="DJ412" s="92"/>
      <c r="DK412" s="92"/>
      <c r="DL412" s="92"/>
      <c r="DM412" s="92"/>
      <c r="DN412" s="92"/>
      <c r="DO412" s="92"/>
      <c r="DP412" s="92"/>
      <c r="DQ412" s="92"/>
      <c r="DR412" s="92"/>
      <c r="DS412" s="92"/>
      <c r="DT412" s="92"/>
      <c r="DU412" s="92"/>
      <c r="DV412" s="92"/>
      <c r="DW412" s="92"/>
      <c r="DX412" s="92"/>
      <c r="DY412" s="92"/>
      <c r="DZ412" s="92"/>
      <c r="EA412" s="92"/>
      <c r="EB412" s="92"/>
      <c r="EC412" s="92"/>
      <c r="ED412" s="92"/>
      <c r="EE412" s="92"/>
      <c r="EF412" s="92"/>
      <c r="EG412" s="92"/>
      <c r="EH412" s="92"/>
      <c r="EI412" s="92"/>
      <c r="EJ412" s="92"/>
      <c r="EK412" s="92"/>
      <c r="EL412" s="92"/>
      <c r="EM412" s="92"/>
      <c r="EN412" s="92"/>
      <c r="EO412" s="92"/>
      <c r="EP412" s="92"/>
      <c r="EQ412" s="92"/>
      <c r="ER412" s="92"/>
      <c r="ES412" s="92"/>
      <c r="ET412" s="92"/>
      <c r="EU412" s="92"/>
      <c r="EV412" s="92"/>
      <c r="EW412" s="92"/>
      <c r="EX412" s="92"/>
      <c r="EY412" s="92"/>
      <c r="EZ412" s="92"/>
      <c r="FA412" s="92"/>
      <c r="FB412" s="92"/>
      <c r="FC412" s="92"/>
      <c r="FD412" s="92"/>
      <c r="FE412" s="92"/>
      <c r="FF412" s="92"/>
      <c r="FG412" s="92"/>
      <c r="FH412" s="92"/>
    </row>
    <row r="413">
      <c r="A413" s="32" t="s">
        <v>35</v>
      </c>
      <c r="B413" s="32" t="s">
        <v>75</v>
      </c>
      <c r="C413" s="32" t="s">
        <v>10</v>
      </c>
      <c r="D413" s="97">
        <f t="shared" si="1"/>
        <v>488.9524375</v>
      </c>
      <c r="E413" s="92">
        <f>(SUBSTITUTE(Audio!E413, "RE-", "", 1))*1</f>
        <v>0</v>
      </c>
      <c r="F413" s="92">
        <f>(SUBSTITUTE(Audio!F413, "RE-", "", 1))*1</f>
        <v>0</v>
      </c>
      <c r="G413" s="92">
        <f>(SUBSTITUTE(Audio!G413, "RE-", "", 1))*1</f>
        <v>87.68066875</v>
      </c>
      <c r="H413" s="92">
        <f>(SUBSTITUTE(Audio!H413, "RE-", "", 1))*1</f>
        <v>0</v>
      </c>
      <c r="I413" s="92">
        <f>(SUBSTITUTE(Audio!I413, "RE-", "", 1))*1</f>
        <v>8.056777083</v>
      </c>
      <c r="J413" s="92">
        <f>(SUBSTITUTE(Audio!J413, "RE-", "", 1))*1</f>
        <v>0</v>
      </c>
      <c r="K413" s="92">
        <f>(SUBSTITUTE(Audio!K413, "RE-", "", 1))*1</f>
        <v>103.6729594</v>
      </c>
      <c r="L413" s="92">
        <f>(SUBSTITUTE(Audio!L413, "RE-", "", 1))*1</f>
        <v>0</v>
      </c>
      <c r="M413" s="92">
        <f>(SUBSTITUTE(Audio!M413, "RE-", "", 1))*1</f>
        <v>71.32992917</v>
      </c>
      <c r="N413" s="92">
        <f>(SUBSTITUTE(Audio!N413, "RE-", "", 1))*1</f>
        <v>0</v>
      </c>
      <c r="O413" s="92">
        <f>(SUBSTITUTE(Audio!O413, "RE-", "", 1))*1</f>
        <v>39.57541042</v>
      </c>
      <c r="P413" s="92">
        <f>(SUBSTITUTE(Audio!P413, "RE-", "", 1))*1</f>
        <v>0</v>
      </c>
      <c r="Q413" s="92">
        <f>(SUBSTITUTE(Audio!Q413, "RE-", "", 1))*1</f>
        <v>77.01487812</v>
      </c>
      <c r="R413" s="92">
        <f>(SUBSTITUTE(Audio!R413, "RE-", "", 1))*1</f>
        <v>0</v>
      </c>
      <c r="S413" s="92">
        <f>(SUBSTITUTE(Audio!S413, "RE-", "", 1))*1</f>
        <v>8.134565625</v>
      </c>
      <c r="T413" s="92">
        <f>(SUBSTITUTE(Audio!T413, "RE-", "", 1))*1</f>
        <v>0</v>
      </c>
      <c r="U413" s="92">
        <f>(SUBSTITUTE(Audio!U413, "RE-", "", 1))*1</f>
        <v>82.24186563</v>
      </c>
      <c r="V413" s="92">
        <f>(SUBSTITUTE(Audio!V413, "RE-", "", 1))*1</f>
        <v>11.24538333</v>
      </c>
      <c r="W413" s="92">
        <f>(SUBSTITUTE(Audio!W413, "RE-", "", 1))*1</f>
        <v>0</v>
      </c>
      <c r="X413" s="92">
        <f>(SUBSTITUTE(Audio!X413, "RE-", "", 1))*1</f>
        <v>0</v>
      </c>
      <c r="Y413" s="92">
        <f>(SUBSTITUTE(Audio!Y413, "RE-", "", 1))*1</f>
        <v>0</v>
      </c>
      <c r="Z413" s="92">
        <f>(SUBSTITUTE(Audio!Z413, "RE-", "", 1))*1</f>
        <v>0</v>
      </c>
      <c r="AA413" s="92"/>
      <c r="AB413" s="92"/>
      <c r="AC413" s="92"/>
      <c r="AD413" s="92"/>
      <c r="AE413" s="92"/>
      <c r="AF413" s="92"/>
      <c r="AG413" s="92"/>
      <c r="AH413" s="92"/>
      <c r="AI413" s="92"/>
      <c r="AJ413" s="92"/>
      <c r="AK413" s="92"/>
      <c r="AL413" s="92"/>
      <c r="AM413" s="92"/>
      <c r="AN413" s="92"/>
      <c r="AO413" s="92"/>
      <c r="AP413" s="92"/>
      <c r="AQ413" s="92"/>
      <c r="AR413" s="92"/>
      <c r="AS413" s="92"/>
      <c r="AT413" s="92"/>
      <c r="AU413" s="92"/>
      <c r="AV413" s="92"/>
      <c r="AW413" s="92"/>
      <c r="AX413" s="92"/>
      <c r="AY413" s="92"/>
      <c r="AZ413" s="92"/>
      <c r="BA413" s="92"/>
      <c r="BB413" s="92"/>
      <c r="BC413" s="92"/>
      <c r="BD413" s="92"/>
      <c r="BE413" s="92"/>
      <c r="BF413" s="92"/>
      <c r="BG413" s="92"/>
      <c r="BH413" s="92"/>
      <c r="BI413" s="92"/>
      <c r="BJ413" s="92"/>
      <c r="BK413" s="92"/>
      <c r="BL413" s="92"/>
      <c r="BM413" s="92"/>
      <c r="BN413" s="92"/>
      <c r="BO413" s="92"/>
      <c r="BP413" s="92"/>
      <c r="BQ413" s="92"/>
      <c r="BR413" s="92"/>
      <c r="BS413" s="92"/>
      <c r="BT413" s="92"/>
      <c r="BU413" s="92"/>
      <c r="BV413" s="92"/>
      <c r="BW413" s="92"/>
      <c r="BX413" s="92"/>
      <c r="BY413" s="92"/>
      <c r="BZ413" s="92"/>
      <c r="CA413" s="92"/>
      <c r="CB413" s="92"/>
      <c r="CC413" s="92"/>
      <c r="CD413" s="92"/>
      <c r="CE413" s="92"/>
      <c r="CF413" s="92"/>
      <c r="CG413" s="92"/>
      <c r="CH413" s="92"/>
      <c r="CI413" s="92"/>
      <c r="CJ413" s="92"/>
      <c r="CK413" s="92"/>
      <c r="CL413" s="92"/>
      <c r="CM413" s="92"/>
      <c r="CN413" s="92"/>
      <c r="CO413" s="92"/>
      <c r="CP413" s="92"/>
      <c r="CQ413" s="92"/>
      <c r="CR413" s="92"/>
      <c r="CS413" s="92"/>
      <c r="CT413" s="92"/>
      <c r="CU413" s="92"/>
      <c r="CV413" s="92"/>
      <c r="CW413" s="92"/>
      <c r="CX413" s="92"/>
      <c r="CY413" s="92"/>
      <c r="CZ413" s="92"/>
      <c r="DA413" s="92"/>
      <c r="DB413" s="92"/>
      <c r="DC413" s="92"/>
      <c r="DD413" s="92"/>
      <c r="DE413" s="92"/>
      <c r="DF413" s="92"/>
      <c r="DG413" s="92"/>
      <c r="DH413" s="92"/>
      <c r="DI413" s="92"/>
      <c r="DJ413" s="92"/>
      <c r="DK413" s="92"/>
      <c r="DL413" s="92"/>
      <c r="DM413" s="92"/>
      <c r="DN413" s="92"/>
      <c r="DO413" s="92"/>
      <c r="DP413" s="92"/>
      <c r="DQ413" s="92"/>
      <c r="DR413" s="92"/>
      <c r="DS413" s="92"/>
      <c r="DT413" s="92"/>
      <c r="DU413" s="92"/>
      <c r="DV413" s="92"/>
      <c r="DW413" s="92"/>
      <c r="DX413" s="92"/>
      <c r="DY413" s="92"/>
      <c r="DZ413" s="92"/>
      <c r="EA413" s="92"/>
      <c r="EB413" s="92"/>
      <c r="EC413" s="92"/>
      <c r="ED413" s="92"/>
      <c r="EE413" s="92"/>
      <c r="EF413" s="92"/>
      <c r="EG413" s="92"/>
      <c r="EH413" s="92"/>
      <c r="EI413" s="92"/>
      <c r="EJ413" s="92"/>
      <c r="EK413" s="92"/>
      <c r="EL413" s="92"/>
      <c r="EM413" s="92"/>
      <c r="EN413" s="92"/>
      <c r="EO413" s="92"/>
      <c r="EP413" s="92"/>
      <c r="EQ413" s="92"/>
      <c r="ER413" s="92"/>
      <c r="ES413" s="92"/>
      <c r="ET413" s="92"/>
      <c r="EU413" s="92"/>
      <c r="EV413" s="92"/>
      <c r="EW413" s="92"/>
      <c r="EX413" s="92"/>
      <c r="EY413" s="92"/>
      <c r="EZ413" s="92"/>
      <c r="FA413" s="92"/>
      <c r="FB413" s="92"/>
      <c r="FC413" s="92"/>
      <c r="FD413" s="92"/>
      <c r="FE413" s="92"/>
      <c r="FF413" s="92"/>
      <c r="FG413" s="92"/>
      <c r="FH413" s="92"/>
    </row>
    <row r="414">
      <c r="A414" s="32" t="s">
        <v>35</v>
      </c>
      <c r="B414" s="32" t="s">
        <v>75</v>
      </c>
      <c r="C414" s="32" t="s">
        <v>11</v>
      </c>
      <c r="D414" s="97">
        <f t="shared" si="1"/>
        <v>488.9524375</v>
      </c>
      <c r="E414" s="92">
        <f>(SUBSTITUTE(Audio!E414, "RE-", "", 1))*1</f>
        <v>0</v>
      </c>
      <c r="F414" s="92">
        <f>(SUBSTITUTE(Audio!F414, "RE-", "", 1))*1</f>
        <v>0</v>
      </c>
      <c r="G414" s="92">
        <f>(SUBSTITUTE(Audio!G414, "RE-", "", 1))*1</f>
        <v>87.68066875</v>
      </c>
      <c r="H414" s="92">
        <f>(SUBSTITUTE(Audio!H414, "RE-", "", 1))*1</f>
        <v>0</v>
      </c>
      <c r="I414" s="92">
        <f>(SUBSTITUTE(Audio!I414, "RE-", "", 1))*1</f>
        <v>8.056777083</v>
      </c>
      <c r="J414" s="92">
        <f>(SUBSTITUTE(Audio!J414, "RE-", "", 1))*1</f>
        <v>0</v>
      </c>
      <c r="K414" s="92">
        <f>(SUBSTITUTE(Audio!K414, "RE-", "", 1))*1</f>
        <v>103.6729594</v>
      </c>
      <c r="L414" s="92">
        <f>(SUBSTITUTE(Audio!L414, "RE-", "", 1))*1</f>
        <v>0</v>
      </c>
      <c r="M414" s="92">
        <f>(SUBSTITUTE(Audio!M414, "RE-", "", 1))*1</f>
        <v>71.32992917</v>
      </c>
      <c r="N414" s="92">
        <f>(SUBSTITUTE(Audio!N414, "RE-", "", 1))*1</f>
        <v>0</v>
      </c>
      <c r="O414" s="92">
        <f>(SUBSTITUTE(Audio!O414, "RE-", "", 1))*1</f>
        <v>39.57541042</v>
      </c>
      <c r="P414" s="92">
        <f>(SUBSTITUTE(Audio!P414, "RE-", "", 1))*1</f>
        <v>0</v>
      </c>
      <c r="Q414" s="92">
        <f>(SUBSTITUTE(Audio!Q414, "RE-", "", 1))*1</f>
        <v>77.01487812</v>
      </c>
      <c r="R414" s="92">
        <f>(SUBSTITUTE(Audio!R414, "RE-", "", 1))*1</f>
        <v>0</v>
      </c>
      <c r="S414" s="92">
        <f>(SUBSTITUTE(Audio!S414, "RE-", "", 1))*1</f>
        <v>8.134565625</v>
      </c>
      <c r="T414" s="92">
        <f>(SUBSTITUTE(Audio!T414, "RE-", "", 1))*1</f>
        <v>0</v>
      </c>
      <c r="U414" s="92">
        <f>(SUBSTITUTE(Audio!U414, "RE-", "", 1))*1</f>
        <v>82.24186563</v>
      </c>
      <c r="V414" s="92">
        <f>(SUBSTITUTE(Audio!V414, "RE-", "", 1))*1</f>
        <v>11.24538333</v>
      </c>
      <c r="W414" s="92">
        <f>(SUBSTITUTE(Audio!W414, "RE-", "", 1))*1</f>
        <v>0</v>
      </c>
      <c r="X414" s="92">
        <f>(SUBSTITUTE(Audio!X414, "RE-", "", 1))*1</f>
        <v>0</v>
      </c>
      <c r="Y414" s="92">
        <f>(SUBSTITUTE(Audio!Y414, "RE-", "", 1))*1</f>
        <v>0</v>
      </c>
      <c r="Z414" s="92">
        <f>(SUBSTITUTE(Audio!Z414, "RE-", "", 1))*1</f>
        <v>0</v>
      </c>
      <c r="AA414" s="92"/>
      <c r="AB414" s="92"/>
      <c r="AC414" s="92"/>
      <c r="AD414" s="92"/>
      <c r="AE414" s="92"/>
      <c r="AF414" s="92"/>
      <c r="AG414" s="92"/>
      <c r="AH414" s="92"/>
      <c r="AI414" s="92"/>
      <c r="AJ414" s="92"/>
      <c r="AK414" s="92"/>
      <c r="AL414" s="92"/>
      <c r="AM414" s="92"/>
      <c r="AN414" s="92"/>
      <c r="AO414" s="92"/>
      <c r="AP414" s="92"/>
      <c r="AQ414" s="92"/>
      <c r="AR414" s="92"/>
      <c r="AS414" s="92"/>
      <c r="AT414" s="92"/>
      <c r="AU414" s="92"/>
      <c r="AV414" s="92"/>
      <c r="AW414" s="92"/>
      <c r="AX414" s="92"/>
      <c r="AY414" s="92"/>
      <c r="AZ414" s="92"/>
      <c r="BA414" s="92"/>
      <c r="BB414" s="92"/>
      <c r="BC414" s="92"/>
      <c r="BD414" s="92"/>
      <c r="BE414" s="92"/>
      <c r="BF414" s="92"/>
      <c r="BG414" s="92"/>
      <c r="BH414" s="92"/>
      <c r="BI414" s="92"/>
      <c r="BJ414" s="92"/>
      <c r="BK414" s="92"/>
      <c r="BL414" s="92"/>
      <c r="BM414" s="92"/>
      <c r="BN414" s="92"/>
      <c r="BO414" s="92"/>
      <c r="BP414" s="92"/>
      <c r="BQ414" s="92"/>
      <c r="BR414" s="92"/>
      <c r="BS414" s="92"/>
      <c r="BT414" s="92"/>
      <c r="BU414" s="92"/>
      <c r="BV414" s="92"/>
      <c r="BW414" s="92"/>
      <c r="BX414" s="92"/>
      <c r="BY414" s="92"/>
      <c r="BZ414" s="92"/>
      <c r="CA414" s="92"/>
      <c r="CB414" s="92"/>
      <c r="CC414" s="92"/>
      <c r="CD414" s="92"/>
      <c r="CE414" s="92"/>
      <c r="CF414" s="92"/>
      <c r="CG414" s="92"/>
      <c r="CH414" s="92"/>
      <c r="CI414" s="92"/>
      <c r="CJ414" s="92"/>
      <c r="CK414" s="92"/>
      <c r="CL414" s="92"/>
      <c r="CM414" s="92"/>
      <c r="CN414" s="92"/>
      <c r="CO414" s="92"/>
      <c r="CP414" s="92"/>
      <c r="CQ414" s="92"/>
      <c r="CR414" s="92"/>
      <c r="CS414" s="92"/>
      <c r="CT414" s="92"/>
      <c r="CU414" s="92"/>
      <c r="CV414" s="92"/>
      <c r="CW414" s="92"/>
      <c r="CX414" s="92"/>
      <c r="CY414" s="92"/>
      <c r="CZ414" s="92"/>
      <c r="DA414" s="92"/>
      <c r="DB414" s="92"/>
      <c r="DC414" s="92"/>
      <c r="DD414" s="92"/>
      <c r="DE414" s="92"/>
      <c r="DF414" s="92"/>
      <c r="DG414" s="92"/>
      <c r="DH414" s="92"/>
      <c r="DI414" s="92"/>
      <c r="DJ414" s="92"/>
      <c r="DK414" s="92"/>
      <c r="DL414" s="92"/>
      <c r="DM414" s="92"/>
      <c r="DN414" s="92"/>
      <c r="DO414" s="92"/>
      <c r="DP414" s="92"/>
      <c r="DQ414" s="92"/>
      <c r="DR414" s="92"/>
      <c r="DS414" s="92"/>
      <c r="DT414" s="92"/>
      <c r="DU414" s="92"/>
      <c r="DV414" s="92"/>
      <c r="DW414" s="92"/>
      <c r="DX414" s="92"/>
      <c r="DY414" s="92"/>
      <c r="DZ414" s="92"/>
      <c r="EA414" s="92"/>
      <c r="EB414" s="92"/>
      <c r="EC414" s="92"/>
      <c r="ED414" s="92"/>
      <c r="EE414" s="92"/>
      <c r="EF414" s="92"/>
      <c r="EG414" s="92"/>
      <c r="EH414" s="92"/>
      <c r="EI414" s="92"/>
      <c r="EJ414" s="92"/>
      <c r="EK414" s="92"/>
      <c r="EL414" s="92"/>
      <c r="EM414" s="92"/>
      <c r="EN414" s="92"/>
      <c r="EO414" s="92"/>
      <c r="EP414" s="92"/>
      <c r="EQ414" s="92"/>
      <c r="ER414" s="92"/>
      <c r="ES414" s="92"/>
      <c r="ET414" s="92"/>
      <c r="EU414" s="92"/>
      <c r="EV414" s="92"/>
      <c r="EW414" s="92"/>
      <c r="EX414" s="92"/>
      <c r="EY414" s="92"/>
      <c r="EZ414" s="92"/>
      <c r="FA414" s="92"/>
      <c r="FB414" s="92"/>
      <c r="FC414" s="92"/>
      <c r="FD414" s="92"/>
      <c r="FE414" s="92"/>
      <c r="FF414" s="92"/>
      <c r="FG414" s="92"/>
      <c r="FH414" s="92"/>
    </row>
    <row r="415">
      <c r="A415" s="32" t="s">
        <v>35</v>
      </c>
      <c r="B415" s="32" t="s">
        <v>75</v>
      </c>
      <c r="C415" s="32" t="s">
        <v>12</v>
      </c>
      <c r="D415" s="97">
        <f t="shared" si="1"/>
        <v>4851.283041</v>
      </c>
      <c r="E415" s="92">
        <f>(SUBSTITUTE(Audio!E415, "RE-", "", 1))*1</f>
        <v>0</v>
      </c>
      <c r="F415" s="92">
        <f>(SUBSTITUTE(Audio!F415, "RE-", "", 1))*1</f>
        <v>551.5608906</v>
      </c>
      <c r="G415" s="92">
        <f>(SUBSTITUTE(Audio!G415, "RE-", "", 1))*1</f>
        <v>1.409308333</v>
      </c>
      <c r="H415" s="92">
        <f>(SUBSTITUTE(Audio!H415, "RE-", "", 1))*1</f>
        <v>161.9167167</v>
      </c>
      <c r="I415" s="92">
        <f>(SUBSTITUTE(Audio!I415, "RE-", "", 1))*1</f>
        <v>0.3076104167</v>
      </c>
      <c r="J415" s="92">
        <f>(SUBSTITUTE(Audio!J415, "RE-", "", 1))*1</f>
        <v>1297.537441</v>
      </c>
      <c r="K415" s="92">
        <f>(SUBSTITUTE(Audio!K415, "RE-", "", 1))*1</f>
        <v>5.97664375</v>
      </c>
      <c r="L415" s="92">
        <f>(SUBSTITUTE(Audio!L415, "RE-", "", 1))*1</f>
        <v>968.9144927</v>
      </c>
      <c r="M415" s="92">
        <f>(SUBSTITUTE(Audio!M415, "RE-", "", 1))*1</f>
        <v>14.84543542</v>
      </c>
      <c r="N415" s="92">
        <f>(SUBSTITUTE(Audio!N415, "RE-", "", 1))*1</f>
        <v>331.426276</v>
      </c>
      <c r="O415" s="92">
        <f>(SUBSTITUTE(Audio!O415, "RE-", "", 1))*1</f>
        <v>7.711607292</v>
      </c>
      <c r="P415" s="92">
        <f>(SUBSTITUTE(Audio!P415, "RE-", "", 1))*1</f>
        <v>255.865351</v>
      </c>
      <c r="Q415" s="92">
        <f>(SUBSTITUTE(Audio!Q415, "RE-", "", 1))*1</f>
        <v>23.15422917</v>
      </c>
      <c r="R415" s="92">
        <f>(SUBSTITUTE(Audio!R415, "RE-", "", 1))*1</f>
        <v>74.28104375</v>
      </c>
      <c r="S415" s="92">
        <f>(SUBSTITUTE(Audio!S415, "RE-", "", 1))*1</f>
        <v>4.6297625</v>
      </c>
      <c r="T415" s="92">
        <f>(SUBSTITUTE(Audio!T415, "RE-", "", 1))*1</f>
        <v>1107.908687</v>
      </c>
      <c r="U415" s="92">
        <f>(SUBSTITUTE(Audio!U415, "RE-", "", 1))*1</f>
        <v>40.82688542</v>
      </c>
      <c r="V415" s="92">
        <f>(SUBSTITUTE(Audio!V415, "RE-", "", 1))*1</f>
        <v>3.010660417</v>
      </c>
      <c r="W415" s="92">
        <f>(SUBSTITUTE(Audio!W415, "RE-", "", 1))*1</f>
        <v>0</v>
      </c>
      <c r="X415" s="92">
        <f>(SUBSTITUTE(Audio!X415, "RE-", "", 1))*1</f>
        <v>0</v>
      </c>
      <c r="Y415" s="92">
        <f>(SUBSTITUTE(Audio!Y415, "RE-", "", 1))*1</f>
        <v>0</v>
      </c>
      <c r="Z415" s="92">
        <f>(SUBSTITUTE(Audio!Z415, "RE-", "", 1))*1</f>
        <v>0</v>
      </c>
      <c r="AA415" s="92"/>
      <c r="AB415" s="92"/>
      <c r="AC415" s="92"/>
      <c r="AD415" s="92"/>
      <c r="AE415" s="92"/>
      <c r="AF415" s="92"/>
      <c r="AG415" s="92"/>
      <c r="AH415" s="92"/>
      <c r="AI415" s="92"/>
      <c r="AJ415" s="92"/>
      <c r="AK415" s="92"/>
      <c r="AL415" s="92"/>
      <c r="AM415" s="92"/>
      <c r="AN415" s="92"/>
      <c r="AO415" s="92"/>
      <c r="AP415" s="92"/>
      <c r="AQ415" s="92"/>
      <c r="AR415" s="92"/>
      <c r="AS415" s="92"/>
      <c r="AT415" s="92"/>
      <c r="AU415" s="92"/>
      <c r="AV415" s="92"/>
      <c r="AW415" s="92"/>
      <c r="AX415" s="92"/>
      <c r="AY415" s="92"/>
      <c r="AZ415" s="92"/>
      <c r="BA415" s="92"/>
      <c r="BB415" s="92"/>
      <c r="BC415" s="92"/>
      <c r="BD415" s="92"/>
      <c r="BE415" s="92"/>
      <c r="BF415" s="92"/>
      <c r="BG415" s="92"/>
      <c r="BH415" s="92"/>
      <c r="BI415" s="92"/>
      <c r="BJ415" s="92"/>
      <c r="BK415" s="92"/>
      <c r="BL415" s="92"/>
      <c r="BM415" s="92"/>
      <c r="BN415" s="92"/>
      <c r="BO415" s="92"/>
      <c r="BP415" s="92"/>
      <c r="BQ415" s="92"/>
      <c r="BR415" s="92"/>
      <c r="BS415" s="92"/>
      <c r="BT415" s="92"/>
      <c r="BU415" s="92"/>
      <c r="BV415" s="92"/>
      <c r="BW415" s="92"/>
      <c r="BX415" s="92"/>
      <c r="BY415" s="92"/>
      <c r="BZ415" s="92"/>
      <c r="CA415" s="92"/>
      <c r="CB415" s="92"/>
      <c r="CC415" s="92"/>
      <c r="CD415" s="92"/>
      <c r="CE415" s="92"/>
      <c r="CF415" s="92"/>
      <c r="CG415" s="92"/>
      <c r="CH415" s="92"/>
      <c r="CI415" s="92"/>
      <c r="CJ415" s="92"/>
      <c r="CK415" s="92"/>
      <c r="CL415" s="92"/>
      <c r="CM415" s="92"/>
      <c r="CN415" s="92"/>
      <c r="CO415" s="92"/>
      <c r="CP415" s="92"/>
      <c r="CQ415" s="92"/>
      <c r="CR415" s="92"/>
      <c r="CS415" s="92"/>
      <c r="CT415" s="92"/>
      <c r="CU415" s="92"/>
      <c r="CV415" s="92"/>
      <c r="CW415" s="92"/>
      <c r="CX415" s="92"/>
      <c r="CY415" s="92"/>
      <c r="CZ415" s="92"/>
      <c r="DA415" s="92"/>
      <c r="DB415" s="92"/>
      <c r="DC415" s="92"/>
      <c r="DD415" s="92"/>
      <c r="DE415" s="92"/>
      <c r="DF415" s="92"/>
      <c r="DG415" s="92"/>
      <c r="DH415" s="92"/>
      <c r="DI415" s="92"/>
      <c r="DJ415" s="92"/>
      <c r="DK415" s="92"/>
      <c r="DL415" s="92"/>
      <c r="DM415" s="92"/>
      <c r="DN415" s="92"/>
      <c r="DO415" s="92"/>
      <c r="DP415" s="92"/>
      <c r="DQ415" s="92"/>
      <c r="DR415" s="92"/>
      <c r="DS415" s="92"/>
      <c r="DT415" s="92"/>
      <c r="DU415" s="92"/>
      <c r="DV415" s="92"/>
      <c r="DW415" s="92"/>
      <c r="DX415" s="92"/>
      <c r="DY415" s="92"/>
      <c r="DZ415" s="92"/>
      <c r="EA415" s="92"/>
      <c r="EB415" s="92"/>
      <c r="EC415" s="92"/>
      <c r="ED415" s="92"/>
      <c r="EE415" s="92"/>
      <c r="EF415" s="92"/>
      <c r="EG415" s="92"/>
      <c r="EH415" s="92"/>
      <c r="EI415" s="92"/>
      <c r="EJ415" s="92"/>
      <c r="EK415" s="92"/>
      <c r="EL415" s="92"/>
      <c r="EM415" s="92"/>
      <c r="EN415" s="92"/>
      <c r="EO415" s="92"/>
      <c r="EP415" s="92"/>
      <c r="EQ415" s="92"/>
      <c r="ER415" s="92"/>
      <c r="ES415" s="92"/>
      <c r="ET415" s="92"/>
      <c r="EU415" s="92"/>
      <c r="EV415" s="92"/>
      <c r="EW415" s="92"/>
      <c r="EX415" s="92"/>
      <c r="EY415" s="92"/>
      <c r="EZ415" s="92"/>
      <c r="FA415" s="92"/>
      <c r="FB415" s="92"/>
      <c r="FC415" s="92"/>
      <c r="FD415" s="92"/>
      <c r="FE415" s="92"/>
      <c r="FF415" s="92"/>
      <c r="FG415" s="92"/>
      <c r="FH415" s="92"/>
    </row>
    <row r="416">
      <c r="A416" s="32" t="s">
        <v>35</v>
      </c>
      <c r="B416" s="32" t="s">
        <v>75</v>
      </c>
      <c r="C416" s="32" t="s">
        <v>13</v>
      </c>
      <c r="D416" s="97">
        <f t="shared" si="1"/>
        <v>4718.898393</v>
      </c>
      <c r="E416" s="92">
        <f>(SUBSTITUTE(Audio!E416, "RE-", "", 1))*1</f>
        <v>0</v>
      </c>
      <c r="F416" s="92">
        <f>(SUBSTITUTE(Audio!F416, "RE-", "", 1))*1</f>
        <v>542.556</v>
      </c>
      <c r="G416" s="92">
        <f>(SUBSTITUTE(Audio!G416, "RE-", "", 1))*1</f>
        <v>1.34988</v>
      </c>
      <c r="H416" s="92">
        <f>(SUBSTITUTE(Audio!H416, "RE-", "", 1))*1</f>
        <v>159.684</v>
      </c>
      <c r="I416" s="92">
        <f>(SUBSTITUTE(Audio!I416, "RE-", "", 1))*1</f>
        <v>0.287733</v>
      </c>
      <c r="J416" s="92">
        <f>(SUBSTITUTE(Audio!J416, "RE-", "", 1))*1</f>
        <v>1269.96</v>
      </c>
      <c r="K416" s="92">
        <f>(SUBSTITUTE(Audio!K416, "RE-", "", 1))*1</f>
        <v>5.80113</v>
      </c>
      <c r="L416" s="92">
        <f>(SUBSTITUTE(Audio!L416, "RE-", "", 1))*1</f>
        <v>941.527</v>
      </c>
      <c r="M416" s="92">
        <f>(SUBSTITUTE(Audio!M416, "RE-", "", 1))*1</f>
        <v>14.3849</v>
      </c>
      <c r="N416" s="92">
        <f>(SUBSTITUTE(Audio!N416, "RE-", "", 1))*1</f>
        <v>319.762</v>
      </c>
      <c r="O416" s="92">
        <f>(SUBSTITUTE(Audio!O416, "RE-", "", 1))*1</f>
        <v>7.50907</v>
      </c>
      <c r="P416" s="92">
        <f>(SUBSTITUTE(Audio!P416, "RE-", "", 1))*1</f>
        <v>245.794</v>
      </c>
      <c r="Q416" s="92">
        <f>(SUBSTITUTE(Audio!Q416, "RE-", "", 1))*1</f>
        <v>21.6597</v>
      </c>
      <c r="R416" s="92">
        <f>(SUBSTITUTE(Audio!R416, "RE-", "", 1))*1</f>
        <v>70.8977</v>
      </c>
      <c r="S416" s="92">
        <f>(SUBSTITUTE(Audio!S416, "RE-", "", 1))*1</f>
        <v>4.47203</v>
      </c>
      <c r="T416" s="92">
        <f>(SUBSTITUTE(Audio!T416, "RE-", "", 1))*1</f>
        <v>1071.75</v>
      </c>
      <c r="U416" s="92">
        <f>(SUBSTITUTE(Audio!U416, "RE-", "", 1))*1</f>
        <v>38.5997</v>
      </c>
      <c r="V416" s="92">
        <f>(SUBSTITUTE(Audio!V416, "RE-", "", 1))*1</f>
        <v>2.90355</v>
      </c>
      <c r="W416" s="92">
        <f>(SUBSTITUTE(Audio!W416, "RE-", "", 1))*1</f>
        <v>0</v>
      </c>
      <c r="X416" s="92">
        <f>(SUBSTITUTE(Audio!X416, "RE-", "", 1))*1</f>
        <v>0</v>
      </c>
      <c r="Y416" s="92">
        <f>(SUBSTITUTE(Audio!Y416, "RE-", "", 1))*1</f>
        <v>0</v>
      </c>
      <c r="Z416" s="92">
        <f>(SUBSTITUTE(Audio!Z416, "RE-", "", 1))*1</f>
        <v>0</v>
      </c>
      <c r="AA416" s="92"/>
      <c r="AB416" s="92"/>
      <c r="AC416" s="92"/>
      <c r="AD416" s="92"/>
      <c r="AE416" s="92"/>
      <c r="AF416" s="92"/>
      <c r="AG416" s="92"/>
      <c r="AH416" s="92"/>
      <c r="AI416" s="92"/>
      <c r="AJ416" s="92"/>
      <c r="AK416" s="92"/>
      <c r="AL416" s="92"/>
      <c r="AM416" s="92"/>
      <c r="AN416" s="92"/>
      <c r="AO416" s="92"/>
      <c r="AP416" s="92"/>
      <c r="AQ416" s="92"/>
      <c r="AR416" s="92"/>
      <c r="AS416" s="92"/>
      <c r="AT416" s="92"/>
      <c r="AU416" s="92"/>
      <c r="AV416" s="92"/>
      <c r="AW416" s="92"/>
      <c r="AX416" s="92"/>
      <c r="AY416" s="92"/>
      <c r="AZ416" s="92"/>
      <c r="BA416" s="92"/>
      <c r="BB416" s="92"/>
      <c r="BC416" s="92"/>
      <c r="BD416" s="92"/>
      <c r="BE416" s="92"/>
      <c r="BF416" s="92"/>
      <c r="BG416" s="92"/>
      <c r="BH416" s="92"/>
      <c r="BI416" s="92"/>
      <c r="BJ416" s="92"/>
      <c r="BK416" s="92"/>
      <c r="BL416" s="92"/>
      <c r="BM416" s="92"/>
      <c r="BN416" s="92"/>
      <c r="BO416" s="92"/>
      <c r="BP416" s="92"/>
      <c r="BQ416" s="92"/>
      <c r="BR416" s="92"/>
      <c r="BS416" s="92"/>
      <c r="BT416" s="92"/>
      <c r="BU416" s="92"/>
      <c r="BV416" s="92"/>
      <c r="BW416" s="92"/>
      <c r="BX416" s="92"/>
      <c r="BY416" s="92"/>
      <c r="BZ416" s="92"/>
      <c r="CA416" s="92"/>
      <c r="CB416" s="92"/>
      <c r="CC416" s="92"/>
      <c r="CD416" s="92"/>
      <c r="CE416" s="92"/>
      <c r="CF416" s="92"/>
      <c r="CG416" s="92"/>
      <c r="CH416" s="92"/>
      <c r="CI416" s="92"/>
      <c r="CJ416" s="92"/>
      <c r="CK416" s="92"/>
      <c r="CL416" s="92"/>
      <c r="CM416" s="92"/>
      <c r="CN416" s="92"/>
      <c r="CO416" s="92"/>
      <c r="CP416" s="92"/>
      <c r="CQ416" s="92"/>
      <c r="CR416" s="92"/>
      <c r="CS416" s="92"/>
      <c r="CT416" s="92"/>
      <c r="CU416" s="92"/>
      <c r="CV416" s="92"/>
      <c r="CW416" s="92"/>
      <c r="CX416" s="92"/>
      <c r="CY416" s="92"/>
      <c r="CZ416" s="92"/>
      <c r="DA416" s="92"/>
      <c r="DB416" s="92"/>
      <c r="DC416" s="92"/>
      <c r="DD416" s="92"/>
      <c r="DE416" s="92"/>
      <c r="DF416" s="92"/>
      <c r="DG416" s="92"/>
      <c r="DH416" s="92"/>
      <c r="DI416" s="92"/>
      <c r="DJ416" s="92"/>
      <c r="DK416" s="92"/>
      <c r="DL416" s="92"/>
      <c r="DM416" s="92"/>
      <c r="DN416" s="92"/>
      <c r="DO416" s="92"/>
      <c r="DP416" s="92"/>
      <c r="DQ416" s="92"/>
      <c r="DR416" s="92"/>
      <c r="DS416" s="92"/>
      <c r="DT416" s="92"/>
      <c r="DU416" s="92"/>
      <c r="DV416" s="92"/>
      <c r="DW416" s="92"/>
      <c r="DX416" s="92"/>
      <c r="DY416" s="92"/>
      <c r="DZ416" s="92"/>
      <c r="EA416" s="92"/>
      <c r="EB416" s="92"/>
      <c r="EC416" s="92"/>
      <c r="ED416" s="92"/>
      <c r="EE416" s="92"/>
      <c r="EF416" s="92"/>
      <c r="EG416" s="92"/>
      <c r="EH416" s="92"/>
      <c r="EI416" s="92"/>
      <c r="EJ416" s="92"/>
      <c r="EK416" s="92"/>
      <c r="EL416" s="92"/>
      <c r="EM416" s="92"/>
      <c r="EN416" s="92"/>
      <c r="EO416" s="92"/>
      <c r="EP416" s="92"/>
      <c r="EQ416" s="92"/>
      <c r="ER416" s="92"/>
      <c r="ES416" s="92"/>
      <c r="ET416" s="92"/>
      <c r="EU416" s="92"/>
      <c r="EV416" s="92"/>
      <c r="EW416" s="92"/>
      <c r="EX416" s="92"/>
      <c r="EY416" s="92"/>
      <c r="EZ416" s="92"/>
      <c r="FA416" s="92"/>
      <c r="FB416" s="92"/>
      <c r="FC416" s="92"/>
      <c r="FD416" s="92"/>
      <c r="FE416" s="92"/>
      <c r="FF416" s="92"/>
      <c r="FG416" s="92"/>
      <c r="FH416" s="92"/>
    </row>
    <row r="417">
      <c r="A417" s="32" t="s">
        <v>35</v>
      </c>
      <c r="B417" s="32" t="s">
        <v>75</v>
      </c>
      <c r="C417" s="32" t="s">
        <v>14</v>
      </c>
      <c r="D417" s="97">
        <f t="shared" si="1"/>
        <v>4145.020583</v>
      </c>
      <c r="E417" s="92">
        <f>(SUBSTITUTE(Audio!E417, "RE-", "", 1))*1</f>
        <v>0</v>
      </c>
      <c r="F417" s="92">
        <f>(SUBSTITUTE(Audio!F417, "RE-", "", 1))*1</f>
        <v>491.277</v>
      </c>
      <c r="G417" s="92">
        <f>(SUBSTITUTE(Audio!G417, "RE-", "", 1))*1</f>
        <v>1.34988</v>
      </c>
      <c r="H417" s="92">
        <f>(SUBSTITUTE(Audio!H417, "RE-", "", 1))*1</f>
        <v>148.117</v>
      </c>
      <c r="I417" s="92">
        <f>(SUBSTITUTE(Audio!I417, "RE-", "", 1))*1</f>
        <v>0.287733</v>
      </c>
      <c r="J417" s="92">
        <f>(SUBSTITUTE(Audio!J417, "RE-", "", 1))*1</f>
        <v>1150.46</v>
      </c>
      <c r="K417" s="92">
        <f>(SUBSTITUTE(Audio!K417, "RE-", "", 1))*1</f>
        <v>5.23823</v>
      </c>
      <c r="L417" s="92">
        <f>(SUBSTITUTE(Audio!L417, "RE-", "", 1))*1</f>
        <v>828.573</v>
      </c>
      <c r="M417" s="92">
        <f>(SUBSTITUTE(Audio!M417, "RE-", "", 1))*1</f>
        <v>13.3328</v>
      </c>
      <c r="N417" s="92">
        <f>(SUBSTITUTE(Audio!N417, "RE-", "", 1))*1</f>
        <v>265.241</v>
      </c>
      <c r="O417" s="92">
        <f>(SUBSTITUTE(Audio!O417, "RE-", "", 1))*1</f>
        <v>5.97982</v>
      </c>
      <c r="P417" s="92">
        <f>(SUBSTITUTE(Audio!P417, "RE-", "", 1))*1</f>
        <v>202.725</v>
      </c>
      <c r="Q417" s="92">
        <f>(SUBSTITUTE(Audio!Q417, "RE-", "", 1))*1</f>
        <v>18.1057</v>
      </c>
      <c r="R417" s="92">
        <f>(SUBSTITUTE(Audio!R417, "RE-", "", 1))*1</f>
        <v>59.3499</v>
      </c>
      <c r="S417" s="92">
        <f>(SUBSTITUTE(Audio!S417, "RE-", "", 1))*1</f>
        <v>3.1733</v>
      </c>
      <c r="T417" s="92">
        <f>(SUBSTITUTE(Audio!T417, "RE-", "", 1))*1</f>
        <v>916.53</v>
      </c>
      <c r="U417" s="92">
        <f>(SUBSTITUTE(Audio!U417, "RE-", "", 1))*1</f>
        <v>33.2077</v>
      </c>
      <c r="V417" s="92">
        <f>(SUBSTITUTE(Audio!V417, "RE-", "", 1))*1</f>
        <v>2.07252</v>
      </c>
      <c r="W417" s="92">
        <f>(SUBSTITUTE(Audio!W417, "RE-", "", 1))*1</f>
        <v>0</v>
      </c>
      <c r="X417" s="92">
        <f>(SUBSTITUTE(Audio!X417, "RE-", "", 1))*1</f>
        <v>0</v>
      </c>
      <c r="Y417" s="92">
        <f>(SUBSTITUTE(Audio!Y417, "RE-", "", 1))*1</f>
        <v>0</v>
      </c>
      <c r="Z417" s="92">
        <f>(SUBSTITUTE(Audio!Z417, "RE-", "", 1))*1</f>
        <v>0</v>
      </c>
      <c r="AA417" s="92"/>
      <c r="AB417" s="92"/>
      <c r="AC417" s="92"/>
      <c r="AD417" s="92"/>
      <c r="AE417" s="92"/>
      <c r="AF417" s="92"/>
      <c r="AG417" s="92"/>
      <c r="AH417" s="92"/>
      <c r="AI417" s="92"/>
      <c r="AJ417" s="92"/>
      <c r="AK417" s="92"/>
      <c r="AL417" s="92"/>
      <c r="AM417" s="92"/>
      <c r="AN417" s="92"/>
      <c r="AO417" s="92"/>
      <c r="AP417" s="92"/>
      <c r="AQ417" s="92"/>
      <c r="AR417" s="92"/>
      <c r="AS417" s="92"/>
      <c r="AT417" s="92"/>
      <c r="AU417" s="92"/>
      <c r="AV417" s="92"/>
      <c r="AW417" s="92"/>
      <c r="AX417" s="92"/>
      <c r="AY417" s="92"/>
      <c r="AZ417" s="92"/>
      <c r="BA417" s="92"/>
      <c r="BB417" s="92"/>
      <c r="BC417" s="92"/>
      <c r="BD417" s="92"/>
      <c r="BE417" s="92"/>
      <c r="BF417" s="92"/>
      <c r="BG417" s="92"/>
      <c r="BH417" s="92"/>
      <c r="BI417" s="92"/>
      <c r="BJ417" s="92"/>
      <c r="BK417" s="92"/>
      <c r="BL417" s="92"/>
      <c r="BM417" s="92"/>
      <c r="BN417" s="92"/>
      <c r="BO417" s="92"/>
      <c r="BP417" s="92"/>
      <c r="BQ417" s="92"/>
      <c r="BR417" s="92"/>
      <c r="BS417" s="92"/>
      <c r="BT417" s="92"/>
      <c r="BU417" s="92"/>
      <c r="BV417" s="92"/>
      <c r="BW417" s="92"/>
      <c r="BX417" s="92"/>
      <c r="BY417" s="92"/>
      <c r="BZ417" s="92"/>
      <c r="CA417" s="92"/>
      <c r="CB417" s="92"/>
      <c r="CC417" s="92"/>
      <c r="CD417" s="92"/>
      <c r="CE417" s="92"/>
      <c r="CF417" s="92"/>
      <c r="CG417" s="92"/>
      <c r="CH417" s="92"/>
      <c r="CI417" s="92"/>
      <c r="CJ417" s="92"/>
      <c r="CK417" s="92"/>
      <c r="CL417" s="92"/>
      <c r="CM417" s="92"/>
      <c r="CN417" s="92"/>
      <c r="CO417" s="92"/>
      <c r="CP417" s="92"/>
      <c r="CQ417" s="92"/>
      <c r="CR417" s="92"/>
      <c r="CS417" s="92"/>
      <c r="CT417" s="92"/>
      <c r="CU417" s="92"/>
      <c r="CV417" s="92"/>
      <c r="CW417" s="92"/>
      <c r="CX417" s="92"/>
      <c r="CY417" s="92"/>
      <c r="CZ417" s="92"/>
      <c r="DA417" s="92"/>
      <c r="DB417" s="92"/>
      <c r="DC417" s="92"/>
      <c r="DD417" s="92"/>
      <c r="DE417" s="92"/>
      <c r="DF417" s="92"/>
      <c r="DG417" s="92"/>
      <c r="DH417" s="92"/>
      <c r="DI417" s="92"/>
      <c r="DJ417" s="92"/>
      <c r="DK417" s="92"/>
      <c r="DL417" s="92"/>
      <c r="DM417" s="92"/>
      <c r="DN417" s="92"/>
      <c r="DO417" s="92"/>
      <c r="DP417" s="92"/>
      <c r="DQ417" s="92"/>
      <c r="DR417" s="92"/>
      <c r="DS417" s="92"/>
      <c r="DT417" s="92"/>
      <c r="DU417" s="92"/>
      <c r="DV417" s="92"/>
      <c r="DW417" s="92"/>
      <c r="DX417" s="92"/>
      <c r="DY417" s="92"/>
      <c r="DZ417" s="92"/>
      <c r="EA417" s="92"/>
      <c r="EB417" s="92"/>
      <c r="EC417" s="92"/>
      <c r="ED417" s="92"/>
      <c r="EE417" s="92"/>
      <c r="EF417" s="92"/>
      <c r="EG417" s="92"/>
      <c r="EH417" s="92"/>
      <c r="EI417" s="92"/>
      <c r="EJ417" s="92"/>
      <c r="EK417" s="92"/>
      <c r="EL417" s="92"/>
      <c r="EM417" s="92"/>
      <c r="EN417" s="92"/>
      <c r="EO417" s="92"/>
      <c r="EP417" s="92"/>
      <c r="EQ417" s="92"/>
      <c r="ER417" s="92"/>
      <c r="ES417" s="92"/>
      <c r="ET417" s="92"/>
      <c r="EU417" s="92"/>
      <c r="EV417" s="92"/>
      <c r="EW417" s="92"/>
      <c r="EX417" s="92"/>
      <c r="EY417" s="92"/>
      <c r="EZ417" s="92"/>
      <c r="FA417" s="92"/>
      <c r="FB417" s="92"/>
      <c r="FC417" s="92"/>
      <c r="FD417" s="92"/>
      <c r="FE417" s="92"/>
      <c r="FF417" s="92"/>
      <c r="FG417" s="92"/>
      <c r="FH417" s="92"/>
    </row>
    <row r="418">
      <c r="A418" s="27" t="s">
        <v>35</v>
      </c>
      <c r="B418" s="27" t="s">
        <v>75</v>
      </c>
      <c r="C418" s="27" t="s">
        <v>15</v>
      </c>
      <c r="D418" s="98">
        <f t="shared" si="1"/>
        <v>4718.555393</v>
      </c>
      <c r="E418" s="92">
        <f>(SUBSTITUTE(Audio!E418, "RE-", "", 1))*1</f>
        <v>0</v>
      </c>
      <c r="F418" s="92">
        <f>(SUBSTITUTE(Audio!F418, "RE-", "", 1))*1</f>
        <v>542.556</v>
      </c>
      <c r="G418" s="92">
        <f>(SUBSTITUTE(Audio!G418, "RE-", "", 1))*1</f>
        <v>1.34988</v>
      </c>
      <c r="H418" s="92">
        <f>(SUBSTITUTE(Audio!H418, "RE-", "", 1))*1</f>
        <v>159.684</v>
      </c>
      <c r="I418" s="92">
        <f>(SUBSTITUTE(Audio!I418, "RE-", "", 1))*1</f>
        <v>0.287733</v>
      </c>
      <c r="J418" s="92">
        <f>(SUBSTITUTE(Audio!J418, "RE-", "", 1))*1</f>
        <v>1269.96</v>
      </c>
      <c r="K418" s="92">
        <f>(SUBSTITUTE(Audio!K418, "RE-", "", 1))*1</f>
        <v>5.80113</v>
      </c>
      <c r="L418" s="92">
        <f>(SUBSTITUTE(Audio!L418, "RE-", "", 1))*1</f>
        <v>941.527</v>
      </c>
      <c r="M418" s="92">
        <f>(SUBSTITUTE(Audio!M418, "RE-", "", 1))*1</f>
        <v>14.3849</v>
      </c>
      <c r="N418" s="92">
        <f>(SUBSTITUTE(Audio!N418, "RE-", "", 1))*1</f>
        <v>319.699</v>
      </c>
      <c r="O418" s="92">
        <f>(SUBSTITUTE(Audio!O418, "RE-", "", 1))*1</f>
        <v>7.50907</v>
      </c>
      <c r="P418" s="92">
        <f>(SUBSTITUTE(Audio!P418, "RE-", "", 1))*1</f>
        <v>245.794</v>
      </c>
      <c r="Q418" s="92">
        <f>(SUBSTITUTE(Audio!Q418, "RE-", "", 1))*1</f>
        <v>21.6597</v>
      </c>
      <c r="R418" s="92">
        <f>(SUBSTITUTE(Audio!R418, "RE-", "", 1))*1</f>
        <v>70.8977</v>
      </c>
      <c r="S418" s="92">
        <f>(SUBSTITUTE(Audio!S418, "RE-", "", 1))*1</f>
        <v>4.47203</v>
      </c>
      <c r="T418" s="92">
        <f>(SUBSTITUTE(Audio!T418, "RE-", "", 1))*1</f>
        <v>1071.47</v>
      </c>
      <c r="U418" s="92">
        <f>(SUBSTITUTE(Audio!U418, "RE-", "", 1))*1</f>
        <v>38.5997</v>
      </c>
      <c r="V418" s="92">
        <f>(SUBSTITUTE(Audio!V418, "RE-", "", 1))*1</f>
        <v>2.90355</v>
      </c>
      <c r="W418" s="92">
        <f>(SUBSTITUTE(Audio!W418, "RE-", "", 1))*1</f>
        <v>0</v>
      </c>
      <c r="X418" s="92">
        <f>(SUBSTITUTE(Audio!X418, "RE-", "", 1))*1</f>
        <v>0</v>
      </c>
      <c r="Y418" s="92">
        <f>(SUBSTITUTE(Audio!Y418, "RE-", "", 1))*1</f>
        <v>0</v>
      </c>
      <c r="Z418" s="92">
        <f>(SUBSTITUTE(Audio!Z418, "RE-", "", 1))*1</f>
        <v>0</v>
      </c>
      <c r="AA418" s="92"/>
      <c r="AB418" s="92"/>
      <c r="AC418" s="92"/>
      <c r="AD418" s="92"/>
      <c r="AE418" s="92"/>
      <c r="AF418" s="92"/>
      <c r="AG418" s="92"/>
      <c r="AH418" s="92"/>
      <c r="AI418" s="92"/>
      <c r="AJ418" s="92"/>
      <c r="AK418" s="92"/>
      <c r="AL418" s="92"/>
      <c r="AM418" s="92"/>
      <c r="AN418" s="92"/>
      <c r="AO418" s="92"/>
      <c r="AP418" s="92"/>
      <c r="AQ418" s="92"/>
      <c r="AR418" s="92"/>
      <c r="AS418" s="92"/>
      <c r="AT418" s="92"/>
      <c r="AU418" s="92"/>
      <c r="AV418" s="92"/>
      <c r="AW418" s="92"/>
      <c r="AX418" s="92"/>
      <c r="AY418" s="92"/>
      <c r="AZ418" s="92"/>
      <c r="BA418" s="92"/>
      <c r="BB418" s="92"/>
      <c r="BC418" s="92"/>
      <c r="BD418" s="92"/>
      <c r="BE418" s="92"/>
      <c r="BF418" s="92"/>
      <c r="BG418" s="92"/>
      <c r="BH418" s="92"/>
      <c r="BI418" s="92"/>
      <c r="BJ418" s="92"/>
      <c r="BK418" s="92"/>
      <c r="BL418" s="92"/>
      <c r="BM418" s="92"/>
      <c r="BN418" s="92"/>
      <c r="BO418" s="92"/>
      <c r="BP418" s="92"/>
      <c r="BQ418" s="92"/>
      <c r="BR418" s="92"/>
      <c r="BS418" s="92"/>
      <c r="BT418" s="92"/>
      <c r="BU418" s="92"/>
      <c r="BV418" s="92"/>
      <c r="BW418" s="92"/>
      <c r="BX418" s="92"/>
      <c r="BY418" s="92"/>
      <c r="BZ418" s="92"/>
      <c r="CA418" s="92"/>
      <c r="CB418" s="92"/>
      <c r="CC418" s="92"/>
      <c r="CD418" s="92"/>
      <c r="CE418" s="92"/>
      <c r="CF418" s="92"/>
      <c r="CG418" s="92"/>
      <c r="CH418" s="92"/>
      <c r="CI418" s="92"/>
      <c r="CJ418" s="92"/>
      <c r="CK418" s="92"/>
      <c r="CL418" s="92"/>
      <c r="CM418" s="92"/>
      <c r="CN418" s="92"/>
      <c r="CO418" s="92"/>
      <c r="CP418" s="92"/>
      <c r="CQ418" s="92"/>
      <c r="CR418" s="92"/>
      <c r="CS418" s="92"/>
      <c r="CT418" s="92"/>
      <c r="CU418" s="92"/>
      <c r="CV418" s="92"/>
      <c r="CW418" s="92"/>
      <c r="CX418" s="92"/>
      <c r="CY418" s="92"/>
      <c r="CZ418" s="92"/>
      <c r="DA418" s="92"/>
      <c r="DB418" s="92"/>
      <c r="DC418" s="92"/>
      <c r="DD418" s="92"/>
      <c r="DE418" s="92"/>
      <c r="DF418" s="92"/>
      <c r="DG418" s="92"/>
      <c r="DH418" s="92"/>
      <c r="DI418" s="92"/>
      <c r="DJ418" s="92"/>
      <c r="DK418" s="92"/>
      <c r="DL418" s="92"/>
      <c r="DM418" s="92"/>
      <c r="DN418" s="92"/>
      <c r="DO418" s="92"/>
      <c r="DP418" s="92"/>
      <c r="DQ418" s="92"/>
      <c r="DR418" s="92"/>
      <c r="DS418" s="92"/>
      <c r="DT418" s="92"/>
      <c r="DU418" s="92"/>
      <c r="DV418" s="92"/>
      <c r="DW418" s="92"/>
      <c r="DX418" s="92"/>
      <c r="DY418" s="92"/>
      <c r="DZ418" s="92"/>
      <c r="EA418" s="92"/>
      <c r="EB418" s="92"/>
      <c r="EC418" s="92"/>
      <c r="ED418" s="92"/>
      <c r="EE418" s="92"/>
      <c r="EF418" s="92"/>
      <c r="EG418" s="92"/>
      <c r="EH418" s="92"/>
      <c r="EI418" s="92"/>
      <c r="EJ418" s="92"/>
      <c r="EK418" s="92"/>
      <c r="EL418" s="92"/>
      <c r="EM418" s="92"/>
      <c r="EN418" s="92"/>
      <c r="EO418" s="92"/>
      <c r="EP418" s="92"/>
      <c r="EQ418" s="92"/>
      <c r="ER418" s="92"/>
      <c r="ES418" s="92"/>
      <c r="ET418" s="92"/>
      <c r="EU418" s="92"/>
      <c r="EV418" s="92"/>
      <c r="EW418" s="92"/>
      <c r="EX418" s="92"/>
      <c r="EY418" s="92"/>
      <c r="EZ418" s="92"/>
      <c r="FA418" s="92"/>
      <c r="FB418" s="92"/>
      <c r="FC418" s="92"/>
      <c r="FD418" s="92"/>
      <c r="FE418" s="92"/>
      <c r="FF418" s="92"/>
      <c r="FG418" s="92"/>
      <c r="FH418" s="92"/>
    </row>
    <row r="419">
      <c r="A419" s="30" t="s">
        <v>35</v>
      </c>
      <c r="B419" s="30" t="s">
        <v>76</v>
      </c>
      <c r="C419" s="31" t="str">
        <f>HYPERLINK("https://docs.google.com/spreadsheets/d/16wssRDF0NW48bL2aLSj2NzpvC17cpi7h/edit?usp=share_link&amp;ouid=106501987799020758802&amp;rtpof=true&amp;sd=true", "Raw Delivered")</f>
        <v>Raw Delivered</v>
      </c>
      <c r="D419" s="96">
        <f t="shared" si="1"/>
        <v>5160.137666</v>
      </c>
      <c r="E419" s="92">
        <f>(SUBSTITUTE(Audio!E419, "RE-", "", 1))*1</f>
        <v>0</v>
      </c>
      <c r="F419" s="92">
        <f>(SUBSTITUTE(Audio!F419, "RE-", "", 1))*1</f>
        <v>680.4163875</v>
      </c>
      <c r="G419" s="92">
        <f>(SUBSTITUTE(Audio!G419, "RE-", "", 1))*1</f>
        <v>0</v>
      </c>
      <c r="H419" s="92">
        <f>(SUBSTITUTE(Audio!H419, "RE-", "", 1))*1</f>
        <v>245.0390188</v>
      </c>
      <c r="I419" s="92">
        <f>(SUBSTITUTE(Audio!I419, "RE-", "", 1))*1</f>
        <v>0</v>
      </c>
      <c r="J419" s="92">
        <f>(SUBSTITUTE(Audio!J419, "RE-", "", 1))*1</f>
        <v>904.269051</v>
      </c>
      <c r="K419" s="92">
        <f>(SUBSTITUTE(Audio!K419, "RE-", "", 1))*1</f>
        <v>0</v>
      </c>
      <c r="L419" s="92">
        <f>(SUBSTITUTE(Audio!L419, "RE-", "", 1))*1</f>
        <v>1156.290378</v>
      </c>
      <c r="M419" s="92">
        <f>(SUBSTITUTE(Audio!M419, "RE-", "", 1))*1</f>
        <v>0</v>
      </c>
      <c r="N419" s="92">
        <f>(SUBSTITUTE(Audio!N419, "RE-", "", 1))*1</f>
        <v>554.1763198</v>
      </c>
      <c r="O419" s="92">
        <f>(SUBSTITUTE(Audio!O419, "RE-", "", 1))*1</f>
        <v>0</v>
      </c>
      <c r="P419" s="92">
        <f>(SUBSTITUTE(Audio!P419, "RE-", "", 1))*1</f>
        <v>307.2528375</v>
      </c>
      <c r="Q419" s="92">
        <f>(SUBSTITUTE(Audio!Q419, "RE-", "", 1))*1</f>
        <v>0</v>
      </c>
      <c r="R419" s="92">
        <f>(SUBSTITUTE(Audio!R419, "RE-", "", 1))*1</f>
        <v>251.266926</v>
      </c>
      <c r="S419" s="92">
        <f>(SUBSTITUTE(Audio!S419, "RE-", "", 1))*1</f>
        <v>0</v>
      </c>
      <c r="T419" s="92">
        <f>(SUBSTITUTE(Audio!T419, "RE-", "", 1))*1</f>
        <v>1061.426747</v>
      </c>
      <c r="U419" s="92">
        <f>(SUBSTITUTE(Audio!U419, "RE-", "", 1))*1</f>
        <v>0</v>
      </c>
      <c r="V419" s="92">
        <f>(SUBSTITUTE(Audio!V419, "RE-", "", 1))*1</f>
        <v>0</v>
      </c>
      <c r="W419" s="92">
        <f>(SUBSTITUTE(Audio!W419, "RE-", "", 1))*1</f>
        <v>0</v>
      </c>
      <c r="X419" s="92">
        <f>(SUBSTITUTE(Audio!X419, "RE-", "", 1))*1</f>
        <v>0</v>
      </c>
      <c r="Y419" s="92">
        <f>(SUBSTITUTE(Audio!Y419, "RE-", "", 1))*1</f>
        <v>0</v>
      </c>
      <c r="Z419" s="92">
        <f>(SUBSTITUTE(Audio!Z419, "RE-", "", 1))*1</f>
        <v>0</v>
      </c>
      <c r="AA419" s="92"/>
      <c r="AB419" s="92"/>
      <c r="AC419" s="92"/>
      <c r="AD419" s="92"/>
      <c r="AE419" s="92"/>
      <c r="AF419" s="92"/>
      <c r="AG419" s="92"/>
      <c r="AH419" s="92"/>
      <c r="AI419" s="92"/>
      <c r="AJ419" s="92"/>
      <c r="AK419" s="92"/>
      <c r="AL419" s="92"/>
      <c r="AM419" s="92"/>
      <c r="AN419" s="92"/>
      <c r="AO419" s="92"/>
      <c r="AP419" s="92"/>
      <c r="AQ419" s="92"/>
      <c r="AR419" s="92"/>
      <c r="AS419" s="92"/>
      <c r="AT419" s="92"/>
      <c r="AU419" s="92"/>
      <c r="AV419" s="92"/>
      <c r="AW419" s="92"/>
      <c r="AX419" s="92"/>
      <c r="AY419" s="92"/>
      <c r="AZ419" s="92"/>
      <c r="BA419" s="92"/>
      <c r="BB419" s="92"/>
      <c r="BC419" s="92"/>
      <c r="BD419" s="92"/>
      <c r="BE419" s="92"/>
      <c r="BF419" s="92"/>
      <c r="BG419" s="92"/>
      <c r="BH419" s="92"/>
      <c r="BI419" s="92"/>
      <c r="BJ419" s="92"/>
      <c r="BK419" s="92"/>
      <c r="BL419" s="92"/>
      <c r="BM419" s="92"/>
      <c r="BN419" s="92"/>
      <c r="BO419" s="92"/>
      <c r="BP419" s="92"/>
      <c r="BQ419" s="92"/>
      <c r="BR419" s="92"/>
      <c r="BS419" s="92"/>
      <c r="BT419" s="92"/>
      <c r="BU419" s="92"/>
      <c r="BV419" s="92"/>
      <c r="BW419" s="92"/>
      <c r="BX419" s="92"/>
      <c r="BY419" s="92"/>
      <c r="BZ419" s="92"/>
      <c r="CA419" s="92"/>
      <c r="CB419" s="92"/>
      <c r="CC419" s="92"/>
      <c r="CD419" s="92"/>
      <c r="CE419" s="92"/>
      <c r="CF419" s="92"/>
      <c r="CG419" s="92"/>
      <c r="CH419" s="92"/>
      <c r="CI419" s="92"/>
      <c r="CJ419" s="92"/>
      <c r="CK419" s="92"/>
      <c r="CL419" s="92"/>
      <c r="CM419" s="92"/>
      <c r="CN419" s="92"/>
      <c r="CO419" s="92"/>
      <c r="CP419" s="92"/>
      <c r="CQ419" s="92"/>
      <c r="CR419" s="92"/>
      <c r="CS419" s="92"/>
      <c r="CT419" s="92"/>
      <c r="CU419" s="92"/>
      <c r="CV419" s="92"/>
      <c r="CW419" s="92"/>
      <c r="CX419" s="92"/>
      <c r="CY419" s="92"/>
      <c r="CZ419" s="92"/>
      <c r="DA419" s="92"/>
      <c r="DB419" s="92"/>
      <c r="DC419" s="92"/>
      <c r="DD419" s="92"/>
      <c r="DE419" s="92"/>
      <c r="DF419" s="92"/>
      <c r="DG419" s="92"/>
      <c r="DH419" s="92"/>
      <c r="DI419" s="92"/>
      <c r="DJ419" s="92"/>
      <c r="DK419" s="92"/>
      <c r="DL419" s="92"/>
      <c r="DM419" s="92"/>
      <c r="DN419" s="92"/>
      <c r="DO419" s="92"/>
      <c r="DP419" s="92"/>
      <c r="DQ419" s="92"/>
      <c r="DR419" s="92"/>
      <c r="DS419" s="92"/>
      <c r="DT419" s="92"/>
      <c r="DU419" s="92"/>
      <c r="DV419" s="92"/>
      <c r="DW419" s="92"/>
      <c r="DX419" s="92"/>
      <c r="DY419" s="92"/>
      <c r="DZ419" s="92"/>
      <c r="EA419" s="92"/>
      <c r="EB419" s="92"/>
      <c r="EC419" s="92"/>
      <c r="ED419" s="92"/>
      <c r="EE419" s="92"/>
      <c r="EF419" s="92"/>
      <c r="EG419" s="92"/>
      <c r="EH419" s="92"/>
      <c r="EI419" s="92"/>
      <c r="EJ419" s="92"/>
      <c r="EK419" s="92"/>
      <c r="EL419" s="92"/>
      <c r="EM419" s="92"/>
      <c r="EN419" s="92"/>
      <c r="EO419" s="92"/>
      <c r="EP419" s="92"/>
      <c r="EQ419" s="92"/>
      <c r="ER419" s="92"/>
      <c r="ES419" s="92"/>
      <c r="ET419" s="92"/>
      <c r="EU419" s="92"/>
      <c r="EV419" s="92"/>
      <c r="EW419" s="92"/>
      <c r="EX419" s="92"/>
      <c r="EY419" s="92"/>
      <c r="EZ419" s="92"/>
      <c r="FA419" s="92"/>
      <c r="FB419" s="92"/>
      <c r="FC419" s="92"/>
      <c r="FD419" s="92"/>
      <c r="FE419" s="92"/>
      <c r="FF419" s="92"/>
      <c r="FG419" s="92"/>
      <c r="FH419" s="92"/>
    </row>
    <row r="420">
      <c r="A420" s="32" t="s">
        <v>35</v>
      </c>
      <c r="B420" s="32" t="s">
        <v>76</v>
      </c>
      <c r="C420" s="32" t="s">
        <v>9</v>
      </c>
      <c r="D420" s="97">
        <f t="shared" si="1"/>
        <v>5160.137666</v>
      </c>
      <c r="E420" s="92">
        <f>(SUBSTITUTE(Audio!E420, "RE-", "", 1))*1</f>
        <v>0</v>
      </c>
      <c r="F420" s="92">
        <f>(SUBSTITUTE(Audio!F420, "RE-", "", 1))*1</f>
        <v>680.4163875</v>
      </c>
      <c r="G420" s="92">
        <f>(SUBSTITUTE(Audio!G420, "RE-", "", 1))*1</f>
        <v>0</v>
      </c>
      <c r="H420" s="92">
        <f>(SUBSTITUTE(Audio!H420, "RE-", "", 1))*1</f>
        <v>245.0390188</v>
      </c>
      <c r="I420" s="92">
        <f>(SUBSTITUTE(Audio!I420, "RE-", "", 1))*1</f>
        <v>0</v>
      </c>
      <c r="J420" s="92">
        <f>(SUBSTITUTE(Audio!J420, "RE-", "", 1))*1</f>
        <v>904.269051</v>
      </c>
      <c r="K420" s="92">
        <f>(SUBSTITUTE(Audio!K420, "RE-", "", 1))*1</f>
        <v>0</v>
      </c>
      <c r="L420" s="92">
        <f>(SUBSTITUTE(Audio!L420, "RE-", "", 1))*1</f>
        <v>1156.290378</v>
      </c>
      <c r="M420" s="92">
        <f>(SUBSTITUTE(Audio!M420, "RE-", "", 1))*1</f>
        <v>0</v>
      </c>
      <c r="N420" s="92">
        <f>(SUBSTITUTE(Audio!N420, "RE-", "", 1))*1</f>
        <v>554.1763198</v>
      </c>
      <c r="O420" s="92">
        <f>(SUBSTITUTE(Audio!O420, "RE-", "", 1))*1</f>
        <v>0</v>
      </c>
      <c r="P420" s="92">
        <f>(SUBSTITUTE(Audio!P420, "RE-", "", 1))*1</f>
        <v>307.2528375</v>
      </c>
      <c r="Q420" s="92">
        <f>(SUBSTITUTE(Audio!Q420, "RE-", "", 1))*1</f>
        <v>0</v>
      </c>
      <c r="R420" s="92">
        <f>(SUBSTITUTE(Audio!R420, "RE-", "", 1))*1</f>
        <v>251.266926</v>
      </c>
      <c r="S420" s="92">
        <f>(SUBSTITUTE(Audio!S420, "RE-", "", 1))*1</f>
        <v>0</v>
      </c>
      <c r="T420" s="92">
        <f>(SUBSTITUTE(Audio!T420, "RE-", "", 1))*1</f>
        <v>1061.426747</v>
      </c>
      <c r="U420" s="92">
        <f>(SUBSTITUTE(Audio!U420, "RE-", "", 1))*1</f>
        <v>0</v>
      </c>
      <c r="V420" s="92">
        <f>(SUBSTITUTE(Audio!V420, "RE-", "", 1))*1</f>
        <v>0</v>
      </c>
      <c r="W420" s="92">
        <f>(SUBSTITUTE(Audio!W420, "RE-", "", 1))*1</f>
        <v>0</v>
      </c>
      <c r="X420" s="92">
        <f>(SUBSTITUTE(Audio!X420, "RE-", "", 1))*1</f>
        <v>0</v>
      </c>
      <c r="Y420" s="92">
        <f>(SUBSTITUTE(Audio!Y420, "RE-", "", 1))*1</f>
        <v>0</v>
      </c>
      <c r="Z420" s="92">
        <f>(SUBSTITUTE(Audio!Z420, "RE-", "", 1))*1</f>
        <v>0</v>
      </c>
      <c r="AA420" s="92"/>
      <c r="AB420" s="92"/>
      <c r="AC420" s="92"/>
      <c r="AD420" s="92"/>
      <c r="AE420" s="92"/>
      <c r="AF420" s="92"/>
      <c r="AG420" s="92"/>
      <c r="AH420" s="92"/>
      <c r="AI420" s="92"/>
      <c r="AJ420" s="92"/>
      <c r="AK420" s="92"/>
      <c r="AL420" s="92"/>
      <c r="AM420" s="92"/>
      <c r="AN420" s="92"/>
      <c r="AO420" s="92"/>
      <c r="AP420" s="92"/>
      <c r="AQ420" s="92"/>
      <c r="AR420" s="92"/>
      <c r="AS420" s="92"/>
      <c r="AT420" s="92"/>
      <c r="AU420" s="92"/>
      <c r="AV420" s="92"/>
      <c r="AW420" s="92"/>
      <c r="AX420" s="92"/>
      <c r="AY420" s="92"/>
      <c r="AZ420" s="92"/>
      <c r="BA420" s="92"/>
      <c r="BB420" s="92"/>
      <c r="BC420" s="92"/>
      <c r="BD420" s="92"/>
      <c r="BE420" s="92"/>
      <c r="BF420" s="92"/>
      <c r="BG420" s="92"/>
      <c r="BH420" s="92"/>
      <c r="BI420" s="92"/>
      <c r="BJ420" s="92"/>
      <c r="BK420" s="92"/>
      <c r="BL420" s="92"/>
      <c r="BM420" s="92"/>
      <c r="BN420" s="92"/>
      <c r="BO420" s="92"/>
      <c r="BP420" s="92"/>
      <c r="BQ420" s="92"/>
      <c r="BR420" s="92"/>
      <c r="BS420" s="92"/>
      <c r="BT420" s="92"/>
      <c r="BU420" s="92"/>
      <c r="BV420" s="92"/>
      <c r="BW420" s="92"/>
      <c r="BX420" s="92"/>
      <c r="BY420" s="92"/>
      <c r="BZ420" s="92"/>
      <c r="CA420" s="92"/>
      <c r="CB420" s="92"/>
      <c r="CC420" s="92"/>
      <c r="CD420" s="92"/>
      <c r="CE420" s="92"/>
      <c r="CF420" s="92"/>
      <c r="CG420" s="92"/>
      <c r="CH420" s="92"/>
      <c r="CI420" s="92"/>
      <c r="CJ420" s="92"/>
      <c r="CK420" s="92"/>
      <c r="CL420" s="92"/>
      <c r="CM420" s="92"/>
      <c r="CN420" s="92"/>
      <c r="CO420" s="92"/>
      <c r="CP420" s="92"/>
      <c r="CQ420" s="92"/>
      <c r="CR420" s="92"/>
      <c r="CS420" s="92"/>
      <c r="CT420" s="92"/>
      <c r="CU420" s="92"/>
      <c r="CV420" s="92"/>
      <c r="CW420" s="92"/>
      <c r="CX420" s="92"/>
      <c r="CY420" s="92"/>
      <c r="CZ420" s="92"/>
      <c r="DA420" s="92"/>
      <c r="DB420" s="92"/>
      <c r="DC420" s="92"/>
      <c r="DD420" s="92"/>
      <c r="DE420" s="92"/>
      <c r="DF420" s="92"/>
      <c r="DG420" s="92"/>
      <c r="DH420" s="92"/>
      <c r="DI420" s="92"/>
      <c r="DJ420" s="92"/>
      <c r="DK420" s="92"/>
      <c r="DL420" s="92"/>
      <c r="DM420" s="92"/>
      <c r="DN420" s="92"/>
      <c r="DO420" s="92"/>
      <c r="DP420" s="92"/>
      <c r="DQ420" s="92"/>
      <c r="DR420" s="92"/>
      <c r="DS420" s="92"/>
      <c r="DT420" s="92"/>
      <c r="DU420" s="92"/>
      <c r="DV420" s="92"/>
      <c r="DW420" s="92"/>
      <c r="DX420" s="92"/>
      <c r="DY420" s="92"/>
      <c r="DZ420" s="92"/>
      <c r="EA420" s="92"/>
      <c r="EB420" s="92"/>
      <c r="EC420" s="92"/>
      <c r="ED420" s="92"/>
      <c r="EE420" s="92"/>
      <c r="EF420" s="92"/>
      <c r="EG420" s="92"/>
      <c r="EH420" s="92"/>
      <c r="EI420" s="92"/>
      <c r="EJ420" s="92"/>
      <c r="EK420" s="92"/>
      <c r="EL420" s="92"/>
      <c r="EM420" s="92"/>
      <c r="EN420" s="92"/>
      <c r="EO420" s="92"/>
      <c r="EP420" s="92"/>
      <c r="EQ420" s="92"/>
      <c r="ER420" s="92"/>
      <c r="ES420" s="92"/>
      <c r="ET420" s="92"/>
      <c r="EU420" s="92"/>
      <c r="EV420" s="92"/>
      <c r="EW420" s="92"/>
      <c r="EX420" s="92"/>
      <c r="EY420" s="92"/>
      <c r="EZ420" s="92"/>
      <c r="FA420" s="92"/>
      <c r="FB420" s="92"/>
      <c r="FC420" s="92"/>
      <c r="FD420" s="92"/>
      <c r="FE420" s="92"/>
      <c r="FF420" s="92"/>
      <c r="FG420" s="92"/>
      <c r="FH420" s="92"/>
    </row>
    <row r="421">
      <c r="A421" s="32" t="s">
        <v>35</v>
      </c>
      <c r="B421" s="32" t="s">
        <v>76</v>
      </c>
      <c r="C421" s="32" t="s">
        <v>10</v>
      </c>
      <c r="D421" s="97">
        <f t="shared" si="1"/>
        <v>380.2790354</v>
      </c>
      <c r="E421" s="92">
        <f>(SUBSTITUTE(Audio!E421, "RE-", "", 1))*1</f>
        <v>0</v>
      </c>
      <c r="F421" s="92">
        <f>(SUBSTITUTE(Audio!F421, "RE-", "", 1))*1</f>
        <v>0</v>
      </c>
      <c r="G421" s="92">
        <f>(SUBSTITUTE(Audio!G421, "RE-", "", 1))*1</f>
        <v>76.61786354</v>
      </c>
      <c r="H421" s="92">
        <f>(SUBSTITUTE(Audio!H421, "RE-", "", 1))*1</f>
        <v>0</v>
      </c>
      <c r="I421" s="92">
        <f>(SUBSTITUTE(Audio!I421, "RE-", "", 1))*1</f>
        <v>14.90851875</v>
      </c>
      <c r="J421" s="92">
        <f>(SUBSTITUTE(Audio!J421, "RE-", "", 1))*1</f>
        <v>0</v>
      </c>
      <c r="K421" s="92">
        <f>(SUBSTITUTE(Audio!K421, "RE-", "", 1))*1</f>
        <v>55.24062604</v>
      </c>
      <c r="L421" s="92">
        <f>(SUBSTITUTE(Audio!L421, "RE-", "", 1))*1</f>
        <v>0</v>
      </c>
      <c r="M421" s="92">
        <f>(SUBSTITUTE(Audio!M421, "RE-", "", 1))*1</f>
        <v>70.49967604</v>
      </c>
      <c r="N421" s="92">
        <f>(SUBSTITUTE(Audio!N421, "RE-", "", 1))*1</f>
        <v>0</v>
      </c>
      <c r="O421" s="92">
        <f>(SUBSTITUTE(Audio!O421, "RE-", "", 1))*1</f>
        <v>46.97470625</v>
      </c>
      <c r="P421" s="92">
        <f>(SUBSTITUTE(Audio!P421, "RE-", "", 1))*1</f>
        <v>0</v>
      </c>
      <c r="Q421" s="92">
        <f>(SUBSTITUTE(Audio!Q421, "RE-", "", 1))*1</f>
        <v>51.20136667</v>
      </c>
      <c r="R421" s="92">
        <f>(SUBSTITUTE(Audio!R421, "RE-", "", 1))*1</f>
        <v>0</v>
      </c>
      <c r="S421" s="92">
        <f>(SUBSTITUTE(Audio!S421, "RE-", "", 1))*1</f>
        <v>11.07992604</v>
      </c>
      <c r="T421" s="92">
        <f>(SUBSTITUTE(Audio!T421, "RE-", "", 1))*1</f>
        <v>0</v>
      </c>
      <c r="U421" s="92">
        <f>(SUBSTITUTE(Audio!U421, "RE-", "", 1))*1</f>
        <v>49.82070417</v>
      </c>
      <c r="V421" s="92">
        <f>(SUBSTITUTE(Audio!V421, "RE-", "", 1))*1</f>
        <v>3.935647917</v>
      </c>
      <c r="W421" s="92">
        <f>(SUBSTITUTE(Audio!W421, "RE-", "", 1))*1</f>
        <v>0</v>
      </c>
      <c r="X421" s="92">
        <f>(SUBSTITUTE(Audio!X421, "RE-", "", 1))*1</f>
        <v>0</v>
      </c>
      <c r="Y421" s="92">
        <f>(SUBSTITUTE(Audio!Y421, "RE-", "", 1))*1</f>
        <v>0</v>
      </c>
      <c r="Z421" s="92">
        <f>(SUBSTITUTE(Audio!Z421, "RE-", "", 1))*1</f>
        <v>0</v>
      </c>
      <c r="AA421" s="92"/>
      <c r="AB421" s="92"/>
      <c r="AC421" s="92"/>
      <c r="AD421" s="92"/>
      <c r="AE421" s="92"/>
      <c r="AF421" s="92"/>
      <c r="AG421" s="92"/>
      <c r="AH421" s="92"/>
      <c r="AI421" s="92"/>
      <c r="AJ421" s="92"/>
      <c r="AK421" s="92"/>
      <c r="AL421" s="92"/>
      <c r="AM421" s="92"/>
      <c r="AN421" s="92"/>
      <c r="AO421" s="92"/>
      <c r="AP421" s="92"/>
      <c r="AQ421" s="92"/>
      <c r="AR421" s="92"/>
      <c r="AS421" s="92"/>
      <c r="AT421" s="92"/>
      <c r="AU421" s="92"/>
      <c r="AV421" s="92"/>
      <c r="AW421" s="92"/>
      <c r="AX421" s="92"/>
      <c r="AY421" s="92"/>
      <c r="AZ421" s="92"/>
      <c r="BA421" s="92"/>
      <c r="BB421" s="92"/>
      <c r="BC421" s="92"/>
      <c r="BD421" s="92"/>
      <c r="BE421" s="92"/>
      <c r="BF421" s="92"/>
      <c r="BG421" s="92"/>
      <c r="BH421" s="92"/>
      <c r="BI421" s="92"/>
      <c r="BJ421" s="92"/>
      <c r="BK421" s="92"/>
      <c r="BL421" s="92"/>
      <c r="BM421" s="92"/>
      <c r="BN421" s="92"/>
      <c r="BO421" s="92"/>
      <c r="BP421" s="92"/>
      <c r="BQ421" s="92"/>
      <c r="BR421" s="92"/>
      <c r="BS421" s="92"/>
      <c r="BT421" s="92"/>
      <c r="BU421" s="92"/>
      <c r="BV421" s="92"/>
      <c r="BW421" s="92"/>
      <c r="BX421" s="92"/>
      <c r="BY421" s="92"/>
      <c r="BZ421" s="92"/>
      <c r="CA421" s="92"/>
      <c r="CB421" s="92"/>
      <c r="CC421" s="92"/>
      <c r="CD421" s="92"/>
      <c r="CE421" s="92"/>
      <c r="CF421" s="92"/>
      <c r="CG421" s="92"/>
      <c r="CH421" s="92"/>
      <c r="CI421" s="92"/>
      <c r="CJ421" s="92"/>
      <c r="CK421" s="92"/>
      <c r="CL421" s="92"/>
      <c r="CM421" s="92"/>
      <c r="CN421" s="92"/>
      <c r="CO421" s="92"/>
      <c r="CP421" s="92"/>
      <c r="CQ421" s="92"/>
      <c r="CR421" s="92"/>
      <c r="CS421" s="92"/>
      <c r="CT421" s="92"/>
      <c r="CU421" s="92"/>
      <c r="CV421" s="92"/>
      <c r="CW421" s="92"/>
      <c r="CX421" s="92"/>
      <c r="CY421" s="92"/>
      <c r="CZ421" s="92"/>
      <c r="DA421" s="92"/>
      <c r="DB421" s="92"/>
      <c r="DC421" s="92"/>
      <c r="DD421" s="92"/>
      <c r="DE421" s="92"/>
      <c r="DF421" s="92"/>
      <c r="DG421" s="92"/>
      <c r="DH421" s="92"/>
      <c r="DI421" s="92"/>
      <c r="DJ421" s="92"/>
      <c r="DK421" s="92"/>
      <c r="DL421" s="92"/>
      <c r="DM421" s="92"/>
      <c r="DN421" s="92"/>
      <c r="DO421" s="92"/>
      <c r="DP421" s="92"/>
      <c r="DQ421" s="92"/>
      <c r="DR421" s="92"/>
      <c r="DS421" s="92"/>
      <c r="DT421" s="92"/>
      <c r="DU421" s="92"/>
      <c r="DV421" s="92"/>
      <c r="DW421" s="92"/>
      <c r="DX421" s="92"/>
      <c r="DY421" s="92"/>
      <c r="DZ421" s="92"/>
      <c r="EA421" s="92"/>
      <c r="EB421" s="92"/>
      <c r="EC421" s="92"/>
      <c r="ED421" s="92"/>
      <c r="EE421" s="92"/>
      <c r="EF421" s="92"/>
      <c r="EG421" s="92"/>
      <c r="EH421" s="92"/>
      <c r="EI421" s="92"/>
      <c r="EJ421" s="92"/>
      <c r="EK421" s="92"/>
      <c r="EL421" s="92"/>
      <c r="EM421" s="92"/>
      <c r="EN421" s="92"/>
      <c r="EO421" s="92"/>
      <c r="EP421" s="92"/>
      <c r="EQ421" s="92"/>
      <c r="ER421" s="92"/>
      <c r="ES421" s="92"/>
      <c r="ET421" s="92"/>
      <c r="EU421" s="92"/>
      <c r="EV421" s="92"/>
      <c r="EW421" s="92"/>
      <c r="EX421" s="92"/>
      <c r="EY421" s="92"/>
      <c r="EZ421" s="92"/>
      <c r="FA421" s="92"/>
      <c r="FB421" s="92"/>
      <c r="FC421" s="92"/>
      <c r="FD421" s="92"/>
      <c r="FE421" s="92"/>
      <c r="FF421" s="92"/>
      <c r="FG421" s="92"/>
      <c r="FH421" s="92"/>
    </row>
    <row r="422">
      <c r="A422" s="32" t="s">
        <v>35</v>
      </c>
      <c r="B422" s="32" t="s">
        <v>76</v>
      </c>
      <c r="C422" s="32" t="s">
        <v>11</v>
      </c>
      <c r="D422" s="97">
        <f t="shared" si="1"/>
        <v>380.2790354</v>
      </c>
      <c r="E422" s="92">
        <f>(SUBSTITUTE(Audio!E422, "RE-", "", 1))*1</f>
        <v>0</v>
      </c>
      <c r="F422" s="92">
        <f>(SUBSTITUTE(Audio!F422, "RE-", "", 1))*1</f>
        <v>0</v>
      </c>
      <c r="G422" s="92">
        <f>(SUBSTITUTE(Audio!G422, "RE-", "", 1))*1</f>
        <v>76.61786354</v>
      </c>
      <c r="H422" s="92">
        <f>(SUBSTITUTE(Audio!H422, "RE-", "", 1))*1</f>
        <v>0</v>
      </c>
      <c r="I422" s="92">
        <f>(SUBSTITUTE(Audio!I422, "RE-", "", 1))*1</f>
        <v>14.90851875</v>
      </c>
      <c r="J422" s="92">
        <f>(SUBSTITUTE(Audio!J422, "RE-", "", 1))*1</f>
        <v>0</v>
      </c>
      <c r="K422" s="92">
        <f>(SUBSTITUTE(Audio!K422, "RE-", "", 1))*1</f>
        <v>55.24062604</v>
      </c>
      <c r="L422" s="92">
        <f>(SUBSTITUTE(Audio!L422, "RE-", "", 1))*1</f>
        <v>0</v>
      </c>
      <c r="M422" s="92">
        <f>(SUBSTITUTE(Audio!M422, "RE-", "", 1))*1</f>
        <v>70.49967604</v>
      </c>
      <c r="N422" s="92">
        <f>(SUBSTITUTE(Audio!N422, "RE-", "", 1))*1</f>
        <v>0</v>
      </c>
      <c r="O422" s="92">
        <f>(SUBSTITUTE(Audio!O422, "RE-", "", 1))*1</f>
        <v>46.97470625</v>
      </c>
      <c r="P422" s="92">
        <f>(SUBSTITUTE(Audio!P422, "RE-", "", 1))*1</f>
        <v>0</v>
      </c>
      <c r="Q422" s="92">
        <f>(SUBSTITUTE(Audio!Q422, "RE-", "", 1))*1</f>
        <v>51.20136667</v>
      </c>
      <c r="R422" s="92">
        <f>(SUBSTITUTE(Audio!R422, "RE-", "", 1))*1</f>
        <v>0</v>
      </c>
      <c r="S422" s="92">
        <f>(SUBSTITUTE(Audio!S422, "RE-", "", 1))*1</f>
        <v>11.07992604</v>
      </c>
      <c r="T422" s="92">
        <f>(SUBSTITUTE(Audio!T422, "RE-", "", 1))*1</f>
        <v>0</v>
      </c>
      <c r="U422" s="92">
        <f>(SUBSTITUTE(Audio!U422, "RE-", "", 1))*1</f>
        <v>49.82070417</v>
      </c>
      <c r="V422" s="92">
        <f>(SUBSTITUTE(Audio!V422, "RE-", "", 1))*1</f>
        <v>3.935647917</v>
      </c>
      <c r="W422" s="92">
        <f>(SUBSTITUTE(Audio!W422, "RE-", "", 1))*1</f>
        <v>0</v>
      </c>
      <c r="X422" s="92">
        <f>(SUBSTITUTE(Audio!X422, "RE-", "", 1))*1</f>
        <v>0</v>
      </c>
      <c r="Y422" s="92">
        <f>(SUBSTITUTE(Audio!Y422, "RE-", "", 1))*1</f>
        <v>0</v>
      </c>
      <c r="Z422" s="92">
        <f>(SUBSTITUTE(Audio!Z422, "RE-", "", 1))*1</f>
        <v>0</v>
      </c>
      <c r="AA422" s="92"/>
      <c r="AB422" s="92"/>
      <c r="AC422" s="92"/>
      <c r="AD422" s="92"/>
      <c r="AE422" s="92"/>
      <c r="AF422" s="92"/>
      <c r="AG422" s="92"/>
      <c r="AH422" s="92"/>
      <c r="AI422" s="92"/>
      <c r="AJ422" s="92"/>
      <c r="AK422" s="92"/>
      <c r="AL422" s="92"/>
      <c r="AM422" s="92"/>
      <c r="AN422" s="92"/>
      <c r="AO422" s="92"/>
      <c r="AP422" s="92"/>
      <c r="AQ422" s="92"/>
      <c r="AR422" s="92"/>
      <c r="AS422" s="92"/>
      <c r="AT422" s="92"/>
      <c r="AU422" s="92"/>
      <c r="AV422" s="92"/>
      <c r="AW422" s="92"/>
      <c r="AX422" s="92"/>
      <c r="AY422" s="92"/>
      <c r="AZ422" s="92"/>
      <c r="BA422" s="92"/>
      <c r="BB422" s="92"/>
      <c r="BC422" s="92"/>
      <c r="BD422" s="92"/>
      <c r="BE422" s="92"/>
      <c r="BF422" s="92"/>
      <c r="BG422" s="92"/>
      <c r="BH422" s="92"/>
      <c r="BI422" s="92"/>
      <c r="BJ422" s="92"/>
      <c r="BK422" s="92"/>
      <c r="BL422" s="92"/>
      <c r="BM422" s="92"/>
      <c r="BN422" s="92"/>
      <c r="BO422" s="92"/>
      <c r="BP422" s="92"/>
      <c r="BQ422" s="92"/>
      <c r="BR422" s="92"/>
      <c r="BS422" s="92"/>
      <c r="BT422" s="92"/>
      <c r="BU422" s="92"/>
      <c r="BV422" s="92"/>
      <c r="BW422" s="92"/>
      <c r="BX422" s="92"/>
      <c r="BY422" s="92"/>
      <c r="BZ422" s="92"/>
      <c r="CA422" s="92"/>
      <c r="CB422" s="92"/>
      <c r="CC422" s="92"/>
      <c r="CD422" s="92"/>
      <c r="CE422" s="92"/>
      <c r="CF422" s="92"/>
      <c r="CG422" s="92"/>
      <c r="CH422" s="92"/>
      <c r="CI422" s="92"/>
      <c r="CJ422" s="92"/>
      <c r="CK422" s="92"/>
      <c r="CL422" s="92"/>
      <c r="CM422" s="92"/>
      <c r="CN422" s="92"/>
      <c r="CO422" s="92"/>
      <c r="CP422" s="92"/>
      <c r="CQ422" s="92"/>
      <c r="CR422" s="92"/>
      <c r="CS422" s="92"/>
      <c r="CT422" s="92"/>
      <c r="CU422" s="92"/>
      <c r="CV422" s="92"/>
      <c r="CW422" s="92"/>
      <c r="CX422" s="92"/>
      <c r="CY422" s="92"/>
      <c r="CZ422" s="92"/>
      <c r="DA422" s="92"/>
      <c r="DB422" s="92"/>
      <c r="DC422" s="92"/>
      <c r="DD422" s="92"/>
      <c r="DE422" s="92"/>
      <c r="DF422" s="92"/>
      <c r="DG422" s="92"/>
      <c r="DH422" s="92"/>
      <c r="DI422" s="92"/>
      <c r="DJ422" s="92"/>
      <c r="DK422" s="92"/>
      <c r="DL422" s="92"/>
      <c r="DM422" s="92"/>
      <c r="DN422" s="92"/>
      <c r="DO422" s="92"/>
      <c r="DP422" s="92"/>
      <c r="DQ422" s="92"/>
      <c r="DR422" s="92"/>
      <c r="DS422" s="92"/>
      <c r="DT422" s="92"/>
      <c r="DU422" s="92"/>
      <c r="DV422" s="92"/>
      <c r="DW422" s="92"/>
      <c r="DX422" s="92"/>
      <c r="DY422" s="92"/>
      <c r="DZ422" s="92"/>
      <c r="EA422" s="92"/>
      <c r="EB422" s="92"/>
      <c r="EC422" s="92"/>
      <c r="ED422" s="92"/>
      <c r="EE422" s="92"/>
      <c r="EF422" s="92"/>
      <c r="EG422" s="92"/>
      <c r="EH422" s="92"/>
      <c r="EI422" s="92"/>
      <c r="EJ422" s="92"/>
      <c r="EK422" s="92"/>
      <c r="EL422" s="92"/>
      <c r="EM422" s="92"/>
      <c r="EN422" s="92"/>
      <c r="EO422" s="92"/>
      <c r="EP422" s="92"/>
      <c r="EQ422" s="92"/>
      <c r="ER422" s="92"/>
      <c r="ES422" s="92"/>
      <c r="ET422" s="92"/>
      <c r="EU422" s="92"/>
      <c r="EV422" s="92"/>
      <c r="EW422" s="92"/>
      <c r="EX422" s="92"/>
      <c r="EY422" s="92"/>
      <c r="EZ422" s="92"/>
      <c r="FA422" s="92"/>
      <c r="FB422" s="92"/>
      <c r="FC422" s="92"/>
      <c r="FD422" s="92"/>
      <c r="FE422" s="92"/>
      <c r="FF422" s="92"/>
      <c r="FG422" s="92"/>
      <c r="FH422" s="92"/>
    </row>
    <row r="423">
      <c r="A423" s="32" t="s">
        <v>35</v>
      </c>
      <c r="B423" s="32" t="s">
        <v>76</v>
      </c>
      <c r="C423" s="32" t="s">
        <v>12</v>
      </c>
      <c r="D423" s="97">
        <f t="shared" si="1"/>
        <v>4479.123537</v>
      </c>
      <c r="E423" s="92">
        <f>(SUBSTITUTE(Audio!E423, "RE-", "", 1))*1</f>
        <v>0</v>
      </c>
      <c r="F423" s="92">
        <f>(SUBSTITUTE(Audio!F423, "RE-", "", 1))*1</f>
        <v>518.0955844</v>
      </c>
      <c r="G423" s="92">
        <f>(SUBSTITUTE(Audio!G423, "RE-", "", 1))*1</f>
        <v>2.905016667</v>
      </c>
      <c r="H423" s="92">
        <f>(SUBSTITUTE(Audio!H423, "RE-", "", 1))*1</f>
        <v>214.7614604</v>
      </c>
      <c r="I423" s="92">
        <f>(SUBSTITUTE(Audio!I423, "RE-", "", 1))*1</f>
        <v>0.6332875</v>
      </c>
      <c r="J423" s="92">
        <f>(SUBSTITUTE(Audio!J423, "RE-", "", 1))*1</f>
        <v>774.8388688</v>
      </c>
      <c r="K423" s="92">
        <f>(SUBSTITUTE(Audio!K423, "RE-", "", 1))*1</f>
        <v>3.90028125</v>
      </c>
      <c r="L423" s="92">
        <f>(SUBSTITUTE(Audio!L423, "RE-", "", 1))*1</f>
        <v>1019.03074</v>
      </c>
      <c r="M423" s="92">
        <f>(SUBSTITUTE(Audio!M423, "RE-", "", 1))*1</f>
        <v>7.492661458</v>
      </c>
      <c r="N423" s="92">
        <f>(SUBSTITUTE(Audio!N423, "RE-", "", 1))*1</f>
        <v>336.6242281</v>
      </c>
      <c r="O423" s="92">
        <f>(SUBSTITUTE(Audio!O423, "RE-", "", 1))*1</f>
        <v>3.108001042</v>
      </c>
      <c r="P423" s="92">
        <f>(SUBSTITUTE(Audio!P423, "RE-", "", 1))*1</f>
        <v>288.3450156</v>
      </c>
      <c r="Q423" s="92">
        <f>(SUBSTITUTE(Audio!Q423, "RE-", "", 1))*1</f>
        <v>13.22679167</v>
      </c>
      <c r="R423" s="92">
        <f>(SUBSTITUTE(Audio!R423, "RE-", "", 1))*1</f>
        <v>237.9088583</v>
      </c>
      <c r="S423" s="92">
        <f>(SUBSTITUTE(Audio!S423, "RE-", "", 1))*1</f>
        <v>4.51720625</v>
      </c>
      <c r="T423" s="92">
        <f>(SUBSTITUTE(Audio!T423, "RE-", "", 1))*1</f>
        <v>1032.183335</v>
      </c>
      <c r="U423" s="92">
        <f>(SUBSTITUTE(Audio!U423, "RE-", "", 1))*1</f>
        <v>21.55220104</v>
      </c>
      <c r="V423" s="92">
        <f>(SUBSTITUTE(Audio!V423, "RE-", "", 1))*1</f>
        <v>0</v>
      </c>
      <c r="W423" s="92">
        <f>(SUBSTITUTE(Audio!W423, "RE-", "", 1))*1</f>
        <v>0</v>
      </c>
      <c r="X423" s="92">
        <f>(SUBSTITUTE(Audio!X423, "RE-", "", 1))*1</f>
        <v>0</v>
      </c>
      <c r="Y423" s="92">
        <f>(SUBSTITUTE(Audio!Y423, "RE-", "", 1))*1</f>
        <v>0</v>
      </c>
      <c r="Z423" s="92">
        <f>(SUBSTITUTE(Audio!Z423, "RE-", "", 1))*1</f>
        <v>0</v>
      </c>
      <c r="AA423" s="92"/>
      <c r="AB423" s="92"/>
      <c r="AC423" s="92"/>
      <c r="AD423" s="92"/>
      <c r="AE423" s="92"/>
      <c r="AF423" s="92"/>
      <c r="AG423" s="92"/>
      <c r="AH423" s="92"/>
      <c r="AI423" s="92"/>
      <c r="AJ423" s="92"/>
      <c r="AK423" s="92"/>
      <c r="AL423" s="92"/>
      <c r="AM423" s="92"/>
      <c r="AN423" s="92"/>
      <c r="AO423" s="92"/>
      <c r="AP423" s="92"/>
      <c r="AQ423" s="92"/>
      <c r="AR423" s="92"/>
      <c r="AS423" s="92"/>
      <c r="AT423" s="92"/>
      <c r="AU423" s="92"/>
      <c r="AV423" s="92"/>
      <c r="AW423" s="92"/>
      <c r="AX423" s="92"/>
      <c r="AY423" s="92"/>
      <c r="AZ423" s="92"/>
      <c r="BA423" s="92"/>
      <c r="BB423" s="92"/>
      <c r="BC423" s="92"/>
      <c r="BD423" s="92"/>
      <c r="BE423" s="92"/>
      <c r="BF423" s="92"/>
      <c r="BG423" s="92"/>
      <c r="BH423" s="92"/>
      <c r="BI423" s="92"/>
      <c r="BJ423" s="92"/>
      <c r="BK423" s="92"/>
      <c r="BL423" s="92"/>
      <c r="BM423" s="92"/>
      <c r="BN423" s="92"/>
      <c r="BO423" s="92"/>
      <c r="BP423" s="92"/>
      <c r="BQ423" s="92"/>
      <c r="BR423" s="92"/>
      <c r="BS423" s="92"/>
      <c r="BT423" s="92"/>
      <c r="BU423" s="92"/>
      <c r="BV423" s="92"/>
      <c r="BW423" s="92"/>
      <c r="BX423" s="92"/>
      <c r="BY423" s="92"/>
      <c r="BZ423" s="92"/>
      <c r="CA423" s="92"/>
      <c r="CB423" s="92"/>
      <c r="CC423" s="92"/>
      <c r="CD423" s="92"/>
      <c r="CE423" s="92"/>
      <c r="CF423" s="92"/>
      <c r="CG423" s="92"/>
      <c r="CH423" s="92"/>
      <c r="CI423" s="92"/>
      <c r="CJ423" s="92"/>
      <c r="CK423" s="92"/>
      <c r="CL423" s="92"/>
      <c r="CM423" s="92"/>
      <c r="CN423" s="92"/>
      <c r="CO423" s="92"/>
      <c r="CP423" s="92"/>
      <c r="CQ423" s="92"/>
      <c r="CR423" s="92"/>
      <c r="CS423" s="92"/>
      <c r="CT423" s="92"/>
      <c r="CU423" s="92"/>
      <c r="CV423" s="92"/>
      <c r="CW423" s="92"/>
      <c r="CX423" s="92"/>
      <c r="CY423" s="92"/>
      <c r="CZ423" s="92"/>
      <c r="DA423" s="92"/>
      <c r="DB423" s="92"/>
      <c r="DC423" s="92"/>
      <c r="DD423" s="92"/>
      <c r="DE423" s="92"/>
      <c r="DF423" s="92"/>
      <c r="DG423" s="92"/>
      <c r="DH423" s="92"/>
      <c r="DI423" s="92"/>
      <c r="DJ423" s="92"/>
      <c r="DK423" s="92"/>
      <c r="DL423" s="92"/>
      <c r="DM423" s="92"/>
      <c r="DN423" s="92"/>
      <c r="DO423" s="92"/>
      <c r="DP423" s="92"/>
      <c r="DQ423" s="92"/>
      <c r="DR423" s="92"/>
      <c r="DS423" s="92"/>
      <c r="DT423" s="92"/>
      <c r="DU423" s="92"/>
      <c r="DV423" s="92"/>
      <c r="DW423" s="92"/>
      <c r="DX423" s="92"/>
      <c r="DY423" s="92"/>
      <c r="DZ423" s="92"/>
      <c r="EA423" s="92"/>
      <c r="EB423" s="92"/>
      <c r="EC423" s="92"/>
      <c r="ED423" s="92"/>
      <c r="EE423" s="92"/>
      <c r="EF423" s="92"/>
      <c r="EG423" s="92"/>
      <c r="EH423" s="92"/>
      <c r="EI423" s="92"/>
      <c r="EJ423" s="92"/>
      <c r="EK423" s="92"/>
      <c r="EL423" s="92"/>
      <c r="EM423" s="92"/>
      <c r="EN423" s="92"/>
      <c r="EO423" s="92"/>
      <c r="EP423" s="92"/>
      <c r="EQ423" s="92"/>
      <c r="ER423" s="92"/>
      <c r="ES423" s="92"/>
      <c r="ET423" s="92"/>
      <c r="EU423" s="92"/>
      <c r="EV423" s="92"/>
      <c r="EW423" s="92"/>
      <c r="EX423" s="92"/>
      <c r="EY423" s="92"/>
      <c r="EZ423" s="92"/>
      <c r="FA423" s="92"/>
      <c r="FB423" s="92"/>
      <c r="FC423" s="92"/>
      <c r="FD423" s="92"/>
      <c r="FE423" s="92"/>
      <c r="FF423" s="92"/>
      <c r="FG423" s="92"/>
      <c r="FH423" s="92"/>
    </row>
    <row r="424">
      <c r="A424" s="32" t="s">
        <v>35</v>
      </c>
      <c r="B424" s="32" t="s">
        <v>76</v>
      </c>
      <c r="C424" s="32" t="s">
        <v>13</v>
      </c>
      <c r="D424" s="97">
        <f t="shared" si="1"/>
        <v>4346.530047</v>
      </c>
      <c r="E424" s="92">
        <f>(SUBSTITUTE(Audio!E424, "RE-", "", 1))*1</f>
        <v>0</v>
      </c>
      <c r="F424" s="92">
        <f>(SUBSTITUTE(Audio!F424, "RE-", "", 1))*1</f>
        <v>508.474</v>
      </c>
      <c r="G424" s="92">
        <f>(SUBSTITUTE(Audio!G424, "RE-", "", 1))*1</f>
        <v>2.82835</v>
      </c>
      <c r="H424" s="92">
        <f>(SUBSTITUTE(Audio!H424, "RE-", "", 1))*1</f>
        <v>212.233</v>
      </c>
      <c r="I424" s="92">
        <f>(SUBSTITUTE(Audio!I424, "RE-", "", 1))*1</f>
        <v>0.619867</v>
      </c>
      <c r="J424" s="92">
        <f>(SUBSTITUTE(Audio!J424, "RE-", "", 1))*1</f>
        <v>759.556</v>
      </c>
      <c r="K424" s="92">
        <f>(SUBSTITUTE(Audio!K424, "RE-", "", 1))*1</f>
        <v>3.85298</v>
      </c>
      <c r="L424" s="92">
        <f>(SUBSTITUTE(Audio!L424, "RE-", "", 1))*1</f>
        <v>984.484</v>
      </c>
      <c r="M424" s="92">
        <f>(SUBSTITUTE(Audio!M424, "RE-", "", 1))*1</f>
        <v>7.20245</v>
      </c>
      <c r="N424" s="92">
        <f>(SUBSTITUTE(Audio!N424, "RE-", "", 1))*1</f>
        <v>327.674</v>
      </c>
      <c r="O424" s="92">
        <f>(SUBSTITUTE(Audio!O424, "RE-", "", 1))*1</f>
        <v>2.99308</v>
      </c>
      <c r="P424" s="92">
        <f>(SUBSTITUTE(Audio!P424, "RE-", "", 1))*1</f>
        <v>274.142</v>
      </c>
      <c r="Q424" s="92">
        <f>(SUBSTITUTE(Audio!Q424, "RE-", "", 1))*1</f>
        <v>12.6832</v>
      </c>
      <c r="R424" s="92">
        <f>(SUBSTITUTE(Audio!R424, "RE-", "", 1))*1</f>
        <v>222.993</v>
      </c>
      <c r="S424" s="92">
        <f>(SUBSTITUTE(Audio!S424, "RE-", "", 1))*1</f>
        <v>4.27682</v>
      </c>
      <c r="T424" s="92">
        <f>(SUBSTITUTE(Audio!T424, "RE-", "", 1))*1</f>
        <v>1001.97</v>
      </c>
      <c r="U424" s="92">
        <f>(SUBSTITUTE(Audio!U424, "RE-", "", 1))*1</f>
        <v>20.5473</v>
      </c>
      <c r="V424" s="92">
        <f>(SUBSTITUTE(Audio!V424, "RE-", "", 1))*1</f>
        <v>0</v>
      </c>
      <c r="W424" s="92">
        <f>(SUBSTITUTE(Audio!W424, "RE-", "", 1))*1</f>
        <v>0</v>
      </c>
      <c r="X424" s="92">
        <f>(SUBSTITUTE(Audio!X424, "RE-", "", 1))*1</f>
        <v>0</v>
      </c>
      <c r="Y424" s="92">
        <f>(SUBSTITUTE(Audio!Y424, "RE-", "", 1))*1</f>
        <v>0</v>
      </c>
      <c r="Z424" s="92">
        <f>(SUBSTITUTE(Audio!Z424, "RE-", "", 1))*1</f>
        <v>0</v>
      </c>
      <c r="AA424" s="92"/>
      <c r="AB424" s="92"/>
      <c r="AC424" s="92"/>
      <c r="AD424" s="92"/>
      <c r="AE424" s="92"/>
      <c r="AF424" s="92"/>
      <c r="AG424" s="92"/>
      <c r="AH424" s="92"/>
      <c r="AI424" s="92"/>
      <c r="AJ424" s="92"/>
      <c r="AK424" s="92"/>
      <c r="AL424" s="92"/>
      <c r="AM424" s="92"/>
      <c r="AN424" s="92"/>
      <c r="AO424" s="92"/>
      <c r="AP424" s="92"/>
      <c r="AQ424" s="92"/>
      <c r="AR424" s="92"/>
      <c r="AS424" s="92"/>
      <c r="AT424" s="92"/>
      <c r="AU424" s="92"/>
      <c r="AV424" s="92"/>
      <c r="AW424" s="92"/>
      <c r="AX424" s="92"/>
      <c r="AY424" s="92"/>
      <c r="AZ424" s="92"/>
      <c r="BA424" s="92"/>
      <c r="BB424" s="92"/>
      <c r="BC424" s="92"/>
      <c r="BD424" s="92"/>
      <c r="BE424" s="92"/>
      <c r="BF424" s="92"/>
      <c r="BG424" s="92"/>
      <c r="BH424" s="92"/>
      <c r="BI424" s="92"/>
      <c r="BJ424" s="92"/>
      <c r="BK424" s="92"/>
      <c r="BL424" s="92"/>
      <c r="BM424" s="92"/>
      <c r="BN424" s="92"/>
      <c r="BO424" s="92"/>
      <c r="BP424" s="92"/>
      <c r="BQ424" s="92"/>
      <c r="BR424" s="92"/>
      <c r="BS424" s="92"/>
      <c r="BT424" s="92"/>
      <c r="BU424" s="92"/>
      <c r="BV424" s="92"/>
      <c r="BW424" s="92"/>
      <c r="BX424" s="92"/>
      <c r="BY424" s="92"/>
      <c r="BZ424" s="92"/>
      <c r="CA424" s="92"/>
      <c r="CB424" s="92"/>
      <c r="CC424" s="92"/>
      <c r="CD424" s="92"/>
      <c r="CE424" s="92"/>
      <c r="CF424" s="92"/>
      <c r="CG424" s="92"/>
      <c r="CH424" s="92"/>
      <c r="CI424" s="92"/>
      <c r="CJ424" s="92"/>
      <c r="CK424" s="92"/>
      <c r="CL424" s="92"/>
      <c r="CM424" s="92"/>
      <c r="CN424" s="92"/>
      <c r="CO424" s="92"/>
      <c r="CP424" s="92"/>
      <c r="CQ424" s="92"/>
      <c r="CR424" s="92"/>
      <c r="CS424" s="92"/>
      <c r="CT424" s="92"/>
      <c r="CU424" s="92"/>
      <c r="CV424" s="92"/>
      <c r="CW424" s="92"/>
      <c r="CX424" s="92"/>
      <c r="CY424" s="92"/>
      <c r="CZ424" s="92"/>
      <c r="DA424" s="92"/>
      <c r="DB424" s="92"/>
      <c r="DC424" s="92"/>
      <c r="DD424" s="92"/>
      <c r="DE424" s="92"/>
      <c r="DF424" s="92"/>
      <c r="DG424" s="92"/>
      <c r="DH424" s="92"/>
      <c r="DI424" s="92"/>
      <c r="DJ424" s="92"/>
      <c r="DK424" s="92"/>
      <c r="DL424" s="92"/>
      <c r="DM424" s="92"/>
      <c r="DN424" s="92"/>
      <c r="DO424" s="92"/>
      <c r="DP424" s="92"/>
      <c r="DQ424" s="92"/>
      <c r="DR424" s="92"/>
      <c r="DS424" s="92"/>
      <c r="DT424" s="92"/>
      <c r="DU424" s="92"/>
      <c r="DV424" s="92"/>
      <c r="DW424" s="92"/>
      <c r="DX424" s="92"/>
      <c r="DY424" s="92"/>
      <c r="DZ424" s="92"/>
      <c r="EA424" s="92"/>
      <c r="EB424" s="92"/>
      <c r="EC424" s="92"/>
      <c r="ED424" s="92"/>
      <c r="EE424" s="92"/>
      <c r="EF424" s="92"/>
      <c r="EG424" s="92"/>
      <c r="EH424" s="92"/>
      <c r="EI424" s="92"/>
      <c r="EJ424" s="92"/>
      <c r="EK424" s="92"/>
      <c r="EL424" s="92"/>
      <c r="EM424" s="92"/>
      <c r="EN424" s="92"/>
      <c r="EO424" s="92"/>
      <c r="EP424" s="92"/>
      <c r="EQ424" s="92"/>
      <c r="ER424" s="92"/>
      <c r="ES424" s="92"/>
      <c r="ET424" s="92"/>
      <c r="EU424" s="92"/>
      <c r="EV424" s="92"/>
      <c r="EW424" s="92"/>
      <c r="EX424" s="92"/>
      <c r="EY424" s="92"/>
      <c r="EZ424" s="92"/>
      <c r="FA424" s="92"/>
      <c r="FB424" s="92"/>
      <c r="FC424" s="92"/>
      <c r="FD424" s="92"/>
      <c r="FE424" s="92"/>
      <c r="FF424" s="92"/>
      <c r="FG424" s="92"/>
      <c r="FH424" s="92"/>
    </row>
    <row r="425">
      <c r="A425" s="32" t="s">
        <v>35</v>
      </c>
      <c r="B425" s="32" t="s">
        <v>76</v>
      </c>
      <c r="C425" s="32" t="s">
        <v>14</v>
      </c>
      <c r="D425" s="97">
        <f t="shared" si="1"/>
        <v>3805.735157</v>
      </c>
      <c r="E425" s="92">
        <f>(SUBSTITUTE(Audio!E425, "RE-", "", 1))*1</f>
        <v>0</v>
      </c>
      <c r="F425" s="92">
        <f>(SUBSTITUTE(Audio!F425, "RE-", "", 1))*1</f>
        <v>461.476</v>
      </c>
      <c r="G425" s="92">
        <f>(SUBSTITUTE(Audio!G425, "RE-", "", 1))*1</f>
        <v>2.52993</v>
      </c>
      <c r="H425" s="92">
        <f>(SUBSTITUTE(Audio!H425, "RE-", "", 1))*1</f>
        <v>191.977</v>
      </c>
      <c r="I425" s="92">
        <f>(SUBSTITUTE(Audio!I425, "RE-", "", 1))*1</f>
        <v>0.619867</v>
      </c>
      <c r="J425" s="92">
        <f>(SUBSTITUTE(Audio!J425, "RE-", "", 1))*1</f>
        <v>691.075</v>
      </c>
      <c r="K425" s="92">
        <f>(SUBSTITUTE(Audio!K425, "RE-", "", 1))*1</f>
        <v>3.37157</v>
      </c>
      <c r="L425" s="92">
        <f>(SUBSTITUTE(Audio!L425, "RE-", "", 1))*1</f>
        <v>859.103</v>
      </c>
      <c r="M425" s="92">
        <f>(SUBSTITUTE(Audio!M425, "RE-", "", 1))*1</f>
        <v>6.67935</v>
      </c>
      <c r="N425" s="92">
        <f>(SUBSTITUTE(Audio!N425, "RE-", "", 1))*1</f>
        <v>273.419</v>
      </c>
      <c r="O425" s="92">
        <f>(SUBSTITUTE(Audio!O425, "RE-", "", 1))*1</f>
        <v>2.08337</v>
      </c>
      <c r="P425" s="92">
        <f>(SUBSTITUTE(Audio!P425, "RE-", "", 1))*1</f>
        <v>235.444</v>
      </c>
      <c r="Q425" s="92">
        <f>(SUBSTITUTE(Audio!Q425, "RE-", "", 1))*1</f>
        <v>10.5974</v>
      </c>
      <c r="R425" s="92">
        <f>(SUBSTITUTE(Audio!R425, "RE-", "", 1))*1</f>
        <v>190.343</v>
      </c>
      <c r="S425" s="92">
        <f>(SUBSTITUTE(Audio!S425, "RE-", "", 1))*1</f>
        <v>3.81667</v>
      </c>
      <c r="T425" s="92">
        <f>(SUBSTITUTE(Audio!T425, "RE-", "", 1))*1</f>
        <v>855.989</v>
      </c>
      <c r="U425" s="92">
        <f>(SUBSTITUTE(Audio!U425, "RE-", "", 1))*1</f>
        <v>17.211</v>
      </c>
      <c r="V425" s="92">
        <f>(SUBSTITUTE(Audio!V425, "RE-", "", 1))*1</f>
        <v>0</v>
      </c>
      <c r="W425" s="92">
        <f>(SUBSTITUTE(Audio!W425, "RE-", "", 1))*1</f>
        <v>0</v>
      </c>
      <c r="X425" s="92">
        <f>(SUBSTITUTE(Audio!X425, "RE-", "", 1))*1</f>
        <v>0</v>
      </c>
      <c r="Y425" s="92">
        <f>(SUBSTITUTE(Audio!Y425, "RE-", "", 1))*1</f>
        <v>0</v>
      </c>
      <c r="Z425" s="92">
        <f>(SUBSTITUTE(Audio!Z425, "RE-", "", 1))*1</f>
        <v>0</v>
      </c>
      <c r="AA425" s="92"/>
      <c r="AB425" s="92"/>
      <c r="AC425" s="92"/>
      <c r="AD425" s="92"/>
      <c r="AE425" s="92"/>
      <c r="AF425" s="92"/>
      <c r="AG425" s="92"/>
      <c r="AH425" s="92"/>
      <c r="AI425" s="92"/>
      <c r="AJ425" s="92"/>
      <c r="AK425" s="92"/>
      <c r="AL425" s="92"/>
      <c r="AM425" s="92"/>
      <c r="AN425" s="92"/>
      <c r="AO425" s="92"/>
      <c r="AP425" s="92"/>
      <c r="AQ425" s="92"/>
      <c r="AR425" s="92"/>
      <c r="AS425" s="92"/>
      <c r="AT425" s="92"/>
      <c r="AU425" s="92"/>
      <c r="AV425" s="92"/>
      <c r="AW425" s="92"/>
      <c r="AX425" s="92"/>
      <c r="AY425" s="92"/>
      <c r="AZ425" s="92"/>
      <c r="BA425" s="92"/>
      <c r="BB425" s="92"/>
      <c r="BC425" s="92"/>
      <c r="BD425" s="92"/>
      <c r="BE425" s="92"/>
      <c r="BF425" s="92"/>
      <c r="BG425" s="92"/>
      <c r="BH425" s="92"/>
      <c r="BI425" s="92"/>
      <c r="BJ425" s="92"/>
      <c r="BK425" s="92"/>
      <c r="BL425" s="92"/>
      <c r="BM425" s="92"/>
      <c r="BN425" s="92"/>
      <c r="BO425" s="92"/>
      <c r="BP425" s="92"/>
      <c r="BQ425" s="92"/>
      <c r="BR425" s="92"/>
      <c r="BS425" s="92"/>
      <c r="BT425" s="92"/>
      <c r="BU425" s="92"/>
      <c r="BV425" s="92"/>
      <c r="BW425" s="92"/>
      <c r="BX425" s="92"/>
      <c r="BY425" s="92"/>
      <c r="BZ425" s="92"/>
      <c r="CA425" s="92"/>
      <c r="CB425" s="92"/>
      <c r="CC425" s="92"/>
      <c r="CD425" s="92"/>
      <c r="CE425" s="92"/>
      <c r="CF425" s="92"/>
      <c r="CG425" s="92"/>
      <c r="CH425" s="92"/>
      <c r="CI425" s="92"/>
      <c r="CJ425" s="92"/>
      <c r="CK425" s="92"/>
      <c r="CL425" s="92"/>
      <c r="CM425" s="92"/>
      <c r="CN425" s="92"/>
      <c r="CO425" s="92"/>
      <c r="CP425" s="92"/>
      <c r="CQ425" s="92"/>
      <c r="CR425" s="92"/>
      <c r="CS425" s="92"/>
      <c r="CT425" s="92"/>
      <c r="CU425" s="92"/>
      <c r="CV425" s="92"/>
      <c r="CW425" s="92"/>
      <c r="CX425" s="92"/>
      <c r="CY425" s="92"/>
      <c r="CZ425" s="92"/>
      <c r="DA425" s="92"/>
      <c r="DB425" s="92"/>
      <c r="DC425" s="92"/>
      <c r="DD425" s="92"/>
      <c r="DE425" s="92"/>
      <c r="DF425" s="92"/>
      <c r="DG425" s="92"/>
      <c r="DH425" s="92"/>
      <c r="DI425" s="92"/>
      <c r="DJ425" s="92"/>
      <c r="DK425" s="92"/>
      <c r="DL425" s="92"/>
      <c r="DM425" s="92"/>
      <c r="DN425" s="92"/>
      <c r="DO425" s="92"/>
      <c r="DP425" s="92"/>
      <c r="DQ425" s="92"/>
      <c r="DR425" s="92"/>
      <c r="DS425" s="92"/>
      <c r="DT425" s="92"/>
      <c r="DU425" s="92"/>
      <c r="DV425" s="92"/>
      <c r="DW425" s="92"/>
      <c r="DX425" s="92"/>
      <c r="DY425" s="92"/>
      <c r="DZ425" s="92"/>
      <c r="EA425" s="92"/>
      <c r="EB425" s="92"/>
      <c r="EC425" s="92"/>
      <c r="ED425" s="92"/>
      <c r="EE425" s="92"/>
      <c r="EF425" s="92"/>
      <c r="EG425" s="92"/>
      <c r="EH425" s="92"/>
      <c r="EI425" s="92"/>
      <c r="EJ425" s="92"/>
      <c r="EK425" s="92"/>
      <c r="EL425" s="92"/>
      <c r="EM425" s="92"/>
      <c r="EN425" s="92"/>
      <c r="EO425" s="92"/>
      <c r="EP425" s="92"/>
      <c r="EQ425" s="92"/>
      <c r="ER425" s="92"/>
      <c r="ES425" s="92"/>
      <c r="ET425" s="92"/>
      <c r="EU425" s="92"/>
      <c r="EV425" s="92"/>
      <c r="EW425" s="92"/>
      <c r="EX425" s="92"/>
      <c r="EY425" s="92"/>
      <c r="EZ425" s="92"/>
      <c r="FA425" s="92"/>
      <c r="FB425" s="92"/>
      <c r="FC425" s="92"/>
      <c r="FD425" s="92"/>
      <c r="FE425" s="92"/>
      <c r="FF425" s="92"/>
      <c r="FG425" s="92"/>
      <c r="FH425" s="92"/>
    </row>
    <row r="426">
      <c r="A426" s="27" t="s">
        <v>35</v>
      </c>
      <c r="B426" s="27" t="s">
        <v>76</v>
      </c>
      <c r="C426" s="27" t="s">
        <v>15</v>
      </c>
      <c r="D426" s="98">
        <f t="shared" si="1"/>
        <v>4341.027447</v>
      </c>
      <c r="E426" s="92">
        <f>(SUBSTITUTE(Audio!E426, "RE-", "", 1))*1</f>
        <v>0</v>
      </c>
      <c r="F426" s="92">
        <f>(SUBSTITUTE(Audio!F426, "RE-", "", 1))*1</f>
        <v>508.474</v>
      </c>
      <c r="G426" s="92">
        <f>(SUBSTITUTE(Audio!G426, "RE-", "", 1))*1</f>
        <v>2.82835</v>
      </c>
      <c r="H426" s="92">
        <f>(SUBSTITUTE(Audio!H426, "RE-", "", 1))*1</f>
        <v>212.233</v>
      </c>
      <c r="I426" s="92">
        <f>(SUBSTITUTE(Audio!I426, "RE-", "", 1))*1</f>
        <v>0.619867</v>
      </c>
      <c r="J426" s="92">
        <f>(SUBSTITUTE(Audio!J426, "RE-", "", 1))*1</f>
        <v>759.556</v>
      </c>
      <c r="K426" s="92">
        <f>(SUBSTITUTE(Audio!K426, "RE-", "", 1))*1</f>
        <v>3.85298</v>
      </c>
      <c r="L426" s="92">
        <f>(SUBSTITUTE(Audio!L426, "RE-", "", 1))*1</f>
        <v>979.801</v>
      </c>
      <c r="M426" s="92">
        <f>(SUBSTITUTE(Audio!M426, "RE-", "", 1))*1</f>
        <v>7.20245</v>
      </c>
      <c r="N426" s="92">
        <f>(SUBSTITUTE(Audio!N426, "RE-", "", 1))*1</f>
        <v>327.144</v>
      </c>
      <c r="O426" s="92">
        <f>(SUBSTITUTE(Audio!O426, "RE-", "", 1))*1</f>
        <v>2.99308</v>
      </c>
      <c r="P426" s="92">
        <f>(SUBSTITUTE(Audio!P426, "RE-", "", 1))*1</f>
        <v>274.142</v>
      </c>
      <c r="Q426" s="92">
        <f>(SUBSTITUTE(Audio!Q426, "RE-", "", 1))*1</f>
        <v>12.6832</v>
      </c>
      <c r="R426" s="92">
        <f>(SUBSTITUTE(Audio!R426, "RE-", "", 1))*1</f>
        <v>222.837</v>
      </c>
      <c r="S426" s="92">
        <f>(SUBSTITUTE(Audio!S426, "RE-", "", 1))*1</f>
        <v>4.27682</v>
      </c>
      <c r="T426" s="92">
        <f>(SUBSTITUTE(Audio!T426, "RE-", "", 1))*1</f>
        <v>1001.95</v>
      </c>
      <c r="U426" s="92">
        <f>(SUBSTITUTE(Audio!U426, "RE-", "", 1))*1</f>
        <v>20.4337</v>
      </c>
      <c r="V426" s="92">
        <f>(SUBSTITUTE(Audio!V426, "RE-", "", 1))*1</f>
        <v>0</v>
      </c>
      <c r="W426" s="92">
        <f>(SUBSTITUTE(Audio!W426, "RE-", "", 1))*1</f>
        <v>0</v>
      </c>
      <c r="X426" s="92">
        <f>(SUBSTITUTE(Audio!X426, "RE-", "", 1))*1</f>
        <v>0</v>
      </c>
      <c r="Y426" s="92">
        <f>(SUBSTITUTE(Audio!Y426, "RE-", "", 1))*1</f>
        <v>0</v>
      </c>
      <c r="Z426" s="92">
        <f>(SUBSTITUTE(Audio!Z426, "RE-", "", 1))*1</f>
        <v>0</v>
      </c>
      <c r="AA426" s="92"/>
      <c r="AB426" s="92"/>
      <c r="AC426" s="92"/>
      <c r="AD426" s="92"/>
      <c r="AE426" s="92"/>
      <c r="AF426" s="92"/>
      <c r="AG426" s="92"/>
      <c r="AH426" s="92"/>
      <c r="AI426" s="92"/>
      <c r="AJ426" s="92"/>
      <c r="AK426" s="92"/>
      <c r="AL426" s="92"/>
      <c r="AM426" s="92"/>
      <c r="AN426" s="92"/>
      <c r="AO426" s="92"/>
      <c r="AP426" s="92"/>
      <c r="AQ426" s="92"/>
      <c r="AR426" s="92"/>
      <c r="AS426" s="92"/>
      <c r="AT426" s="92"/>
      <c r="AU426" s="92"/>
      <c r="AV426" s="92"/>
      <c r="AW426" s="92"/>
      <c r="AX426" s="92"/>
      <c r="AY426" s="92"/>
      <c r="AZ426" s="92"/>
      <c r="BA426" s="92"/>
      <c r="BB426" s="92"/>
      <c r="BC426" s="92"/>
      <c r="BD426" s="92"/>
      <c r="BE426" s="92"/>
      <c r="BF426" s="92"/>
      <c r="BG426" s="92"/>
      <c r="BH426" s="92"/>
      <c r="BI426" s="92"/>
      <c r="BJ426" s="92"/>
      <c r="BK426" s="92"/>
      <c r="BL426" s="92"/>
      <c r="BM426" s="92"/>
      <c r="BN426" s="92"/>
      <c r="BO426" s="92"/>
      <c r="BP426" s="92"/>
      <c r="BQ426" s="92"/>
      <c r="BR426" s="92"/>
      <c r="BS426" s="92"/>
      <c r="BT426" s="92"/>
      <c r="BU426" s="92"/>
      <c r="BV426" s="92"/>
      <c r="BW426" s="92"/>
      <c r="BX426" s="92"/>
      <c r="BY426" s="92"/>
      <c r="BZ426" s="92"/>
      <c r="CA426" s="92"/>
      <c r="CB426" s="92"/>
      <c r="CC426" s="92"/>
      <c r="CD426" s="92"/>
      <c r="CE426" s="92"/>
      <c r="CF426" s="92"/>
      <c r="CG426" s="92"/>
      <c r="CH426" s="92"/>
      <c r="CI426" s="92"/>
      <c r="CJ426" s="92"/>
      <c r="CK426" s="92"/>
      <c r="CL426" s="92"/>
      <c r="CM426" s="92"/>
      <c r="CN426" s="92"/>
      <c r="CO426" s="92"/>
      <c r="CP426" s="92"/>
      <c r="CQ426" s="92"/>
      <c r="CR426" s="92"/>
      <c r="CS426" s="92"/>
      <c r="CT426" s="92"/>
      <c r="CU426" s="92"/>
      <c r="CV426" s="92"/>
      <c r="CW426" s="92"/>
      <c r="CX426" s="92"/>
      <c r="CY426" s="92"/>
      <c r="CZ426" s="92"/>
      <c r="DA426" s="92"/>
      <c r="DB426" s="92"/>
      <c r="DC426" s="92"/>
      <c r="DD426" s="92"/>
      <c r="DE426" s="92"/>
      <c r="DF426" s="92"/>
      <c r="DG426" s="92"/>
      <c r="DH426" s="92"/>
      <c r="DI426" s="92"/>
      <c r="DJ426" s="92"/>
      <c r="DK426" s="92"/>
      <c r="DL426" s="92"/>
      <c r="DM426" s="92"/>
      <c r="DN426" s="92"/>
      <c r="DO426" s="92"/>
      <c r="DP426" s="92"/>
      <c r="DQ426" s="92"/>
      <c r="DR426" s="92"/>
      <c r="DS426" s="92"/>
      <c r="DT426" s="92"/>
      <c r="DU426" s="92"/>
      <c r="DV426" s="92"/>
      <c r="DW426" s="92"/>
      <c r="DX426" s="92"/>
      <c r="DY426" s="92"/>
      <c r="DZ426" s="92"/>
      <c r="EA426" s="92"/>
      <c r="EB426" s="92"/>
      <c r="EC426" s="92"/>
      <c r="ED426" s="92"/>
      <c r="EE426" s="92"/>
      <c r="EF426" s="92"/>
      <c r="EG426" s="92"/>
      <c r="EH426" s="92"/>
      <c r="EI426" s="92"/>
      <c r="EJ426" s="92"/>
      <c r="EK426" s="92"/>
      <c r="EL426" s="92"/>
      <c r="EM426" s="92"/>
      <c r="EN426" s="92"/>
      <c r="EO426" s="92"/>
      <c r="EP426" s="92"/>
      <c r="EQ426" s="92"/>
      <c r="ER426" s="92"/>
      <c r="ES426" s="92"/>
      <c r="ET426" s="92"/>
      <c r="EU426" s="92"/>
      <c r="EV426" s="92"/>
      <c r="EW426" s="92"/>
      <c r="EX426" s="92"/>
      <c r="EY426" s="92"/>
      <c r="EZ426" s="92"/>
      <c r="FA426" s="92"/>
      <c r="FB426" s="92"/>
      <c r="FC426" s="92"/>
      <c r="FD426" s="92"/>
      <c r="FE426" s="92"/>
      <c r="FF426" s="92"/>
      <c r="FG426" s="92"/>
      <c r="FH426" s="92"/>
    </row>
    <row r="427">
      <c r="A427" s="30" t="s">
        <v>77</v>
      </c>
      <c r="B427" s="30" t="s">
        <v>78</v>
      </c>
      <c r="C427" s="31" t="str">
        <f>HYPERLINK("https://docs.google.com/spreadsheets/d/1yTYSpseNawBbKr73aETA8G9nqWXs-5Wr/edit?usp=share_link&amp;ouid=118279477453217743021&amp;rtpof=true&amp;sd=true", "Raw Delivered")</f>
        <v>Raw Delivered</v>
      </c>
      <c r="D427" s="96">
        <f t="shared" si="1"/>
        <v>8431.217057</v>
      </c>
      <c r="E427" s="92">
        <f>(SUBSTITUTE(Audio!E427, "RE-", "", 1))*1</f>
        <v>0</v>
      </c>
      <c r="F427" s="92">
        <f>(SUBSTITUTE(Audio!F427, "RE-", "", 1))*1</f>
        <v>2251.991464</v>
      </c>
      <c r="G427" s="92">
        <f>(SUBSTITUTE(Audio!G427, "RE-", "", 1))*1</f>
        <v>0</v>
      </c>
      <c r="H427" s="92">
        <f>(SUBSTITUTE(Audio!H427, "RE-", "", 1))*1</f>
        <v>313.545775</v>
      </c>
      <c r="I427" s="92">
        <f>(SUBSTITUTE(Audio!I427, "RE-", "", 1))*1</f>
        <v>0</v>
      </c>
      <c r="J427" s="92">
        <f>(SUBSTITUTE(Audio!J427, "RE-", "", 1))*1</f>
        <v>597.4207396</v>
      </c>
      <c r="K427" s="92">
        <f>(SUBSTITUTE(Audio!K427, "RE-", "", 1))*1</f>
        <v>0</v>
      </c>
      <c r="L427" s="92">
        <f>(SUBSTITUTE(Audio!L427, "RE-", "", 1))*1</f>
        <v>3018.688948</v>
      </c>
      <c r="M427" s="92">
        <f>(SUBSTITUTE(Audio!M427, "RE-", "", 1))*1</f>
        <v>0</v>
      </c>
      <c r="N427" s="92">
        <f>(SUBSTITUTE(Audio!N427, "RE-", "", 1))*1</f>
        <v>355.7414771</v>
      </c>
      <c r="O427" s="92">
        <f>(SUBSTITUTE(Audio!O427, "RE-", "", 1))*1</f>
        <v>0</v>
      </c>
      <c r="P427" s="92">
        <f>(SUBSTITUTE(Audio!P427, "RE-", "", 1))*1</f>
        <v>686.3520812</v>
      </c>
      <c r="Q427" s="92">
        <f>(SUBSTITUTE(Audio!Q427, "RE-", "", 1))*1</f>
        <v>0</v>
      </c>
      <c r="R427" s="92">
        <f>(SUBSTITUTE(Audio!R427, "RE-", "", 1))*1</f>
        <v>808.2174917</v>
      </c>
      <c r="S427" s="92">
        <f>(SUBSTITUTE(Audio!S427, "RE-", "", 1))*1</f>
        <v>0</v>
      </c>
      <c r="T427" s="92">
        <f>(SUBSTITUTE(Audio!T427, "RE-", "", 1))*1</f>
        <v>399.2590802</v>
      </c>
      <c r="U427" s="92">
        <f>(SUBSTITUTE(Audio!U427, "RE-", "", 1))*1</f>
        <v>0</v>
      </c>
      <c r="V427" s="92">
        <f>(SUBSTITUTE(Audio!V427, "RE-", "", 1))*1</f>
        <v>0</v>
      </c>
      <c r="W427" s="92">
        <f>(SUBSTITUTE(Audio!W427, "RE-", "", 1))*1</f>
        <v>0</v>
      </c>
      <c r="X427" s="92">
        <f>(SUBSTITUTE(Audio!X427, "RE-", "", 1))*1</f>
        <v>0</v>
      </c>
      <c r="Y427" s="92">
        <f>(SUBSTITUTE(Audio!Y427, "RE-", "", 1))*1</f>
        <v>0</v>
      </c>
      <c r="Z427" s="92">
        <f>(SUBSTITUTE(Audio!Z427, "RE-", "", 1))*1</f>
        <v>0</v>
      </c>
      <c r="AA427" s="92"/>
      <c r="AB427" s="92"/>
      <c r="AC427" s="92"/>
      <c r="AD427" s="92"/>
      <c r="AE427" s="92"/>
      <c r="AF427" s="92"/>
      <c r="AG427" s="92"/>
      <c r="AH427" s="92"/>
      <c r="AI427" s="92"/>
      <c r="AJ427" s="92"/>
      <c r="AK427" s="92"/>
      <c r="AL427" s="92"/>
      <c r="AM427" s="92"/>
      <c r="AN427" s="92"/>
      <c r="AO427" s="92"/>
      <c r="AP427" s="92"/>
      <c r="AQ427" s="92"/>
      <c r="AR427" s="92"/>
      <c r="AS427" s="92"/>
      <c r="AT427" s="92"/>
      <c r="AU427" s="92"/>
      <c r="AV427" s="92"/>
      <c r="AW427" s="92"/>
      <c r="AX427" s="92"/>
      <c r="AY427" s="92"/>
      <c r="AZ427" s="92"/>
      <c r="BA427" s="92"/>
      <c r="BB427" s="92"/>
      <c r="BC427" s="92"/>
      <c r="BD427" s="92"/>
      <c r="BE427" s="92"/>
      <c r="BF427" s="92"/>
      <c r="BG427" s="92"/>
      <c r="BH427" s="92"/>
      <c r="BI427" s="92"/>
      <c r="BJ427" s="92"/>
      <c r="BK427" s="92"/>
      <c r="BL427" s="92"/>
      <c r="BM427" s="92"/>
      <c r="BN427" s="92"/>
      <c r="BO427" s="92"/>
      <c r="BP427" s="92"/>
      <c r="BQ427" s="92"/>
      <c r="BR427" s="92"/>
      <c r="BS427" s="92"/>
      <c r="BT427" s="92"/>
      <c r="BU427" s="92"/>
      <c r="BV427" s="92"/>
      <c r="BW427" s="92"/>
      <c r="BX427" s="92"/>
      <c r="BY427" s="92"/>
      <c r="BZ427" s="92"/>
      <c r="CA427" s="92"/>
      <c r="CB427" s="92"/>
      <c r="CC427" s="92"/>
      <c r="CD427" s="92"/>
      <c r="CE427" s="92"/>
      <c r="CF427" s="92"/>
      <c r="CG427" s="92"/>
      <c r="CH427" s="92"/>
      <c r="CI427" s="92"/>
      <c r="CJ427" s="92"/>
      <c r="CK427" s="92"/>
      <c r="CL427" s="92"/>
      <c r="CM427" s="92"/>
      <c r="CN427" s="92"/>
      <c r="CO427" s="92"/>
      <c r="CP427" s="92"/>
      <c r="CQ427" s="92"/>
      <c r="CR427" s="92"/>
      <c r="CS427" s="92"/>
      <c r="CT427" s="92"/>
      <c r="CU427" s="92"/>
      <c r="CV427" s="92"/>
      <c r="CW427" s="92"/>
      <c r="CX427" s="92"/>
      <c r="CY427" s="92"/>
      <c r="CZ427" s="92"/>
      <c r="DA427" s="92"/>
      <c r="DB427" s="92"/>
      <c r="DC427" s="92"/>
      <c r="DD427" s="92"/>
      <c r="DE427" s="92"/>
      <c r="DF427" s="92"/>
      <c r="DG427" s="92"/>
      <c r="DH427" s="92"/>
      <c r="DI427" s="92"/>
      <c r="DJ427" s="92"/>
      <c r="DK427" s="92"/>
      <c r="DL427" s="92"/>
      <c r="DM427" s="92"/>
      <c r="DN427" s="92"/>
      <c r="DO427" s="92"/>
      <c r="DP427" s="92"/>
      <c r="DQ427" s="92"/>
      <c r="DR427" s="92"/>
      <c r="DS427" s="92"/>
      <c r="DT427" s="92"/>
      <c r="DU427" s="92"/>
      <c r="DV427" s="92"/>
      <c r="DW427" s="92"/>
      <c r="DX427" s="92"/>
      <c r="DY427" s="92"/>
      <c r="DZ427" s="92"/>
      <c r="EA427" s="92"/>
      <c r="EB427" s="92"/>
      <c r="EC427" s="92"/>
      <c r="ED427" s="92"/>
      <c r="EE427" s="92"/>
      <c r="EF427" s="92"/>
      <c r="EG427" s="92"/>
      <c r="EH427" s="92"/>
      <c r="EI427" s="92"/>
      <c r="EJ427" s="92"/>
      <c r="EK427" s="92"/>
      <c r="EL427" s="92"/>
      <c r="EM427" s="92"/>
      <c r="EN427" s="92"/>
      <c r="EO427" s="92"/>
      <c r="EP427" s="92"/>
      <c r="EQ427" s="92"/>
      <c r="ER427" s="92"/>
      <c r="ES427" s="92"/>
      <c r="ET427" s="92"/>
      <c r="EU427" s="92"/>
      <c r="EV427" s="92"/>
      <c r="EW427" s="92"/>
      <c r="EX427" s="92"/>
      <c r="EY427" s="92"/>
      <c r="EZ427" s="92"/>
      <c r="FA427" s="92"/>
      <c r="FB427" s="92"/>
      <c r="FC427" s="92"/>
      <c r="FD427" s="92"/>
      <c r="FE427" s="92"/>
      <c r="FF427" s="92"/>
      <c r="FG427" s="92"/>
      <c r="FH427" s="92"/>
    </row>
    <row r="428">
      <c r="A428" s="32" t="s">
        <v>77</v>
      </c>
      <c r="B428" s="32" t="s">
        <v>78</v>
      </c>
      <c r="C428" s="32" t="s">
        <v>9</v>
      </c>
      <c r="D428" s="97">
        <f t="shared" si="1"/>
        <v>8431.217056</v>
      </c>
      <c r="E428" s="92">
        <f>(SUBSTITUTE(Audio!E428, "RE-", "", 1))*1</f>
        <v>0</v>
      </c>
      <c r="F428" s="92">
        <f>(SUBSTITUTE(Audio!F428, "RE-", "", 1))*1</f>
        <v>2251.991464</v>
      </c>
      <c r="G428" s="92">
        <f>(SUBSTITUTE(Audio!G428, "RE-", "", 1))*1</f>
        <v>0</v>
      </c>
      <c r="H428" s="92">
        <f>(SUBSTITUTE(Audio!H428, "RE-", "", 1))*1</f>
        <v>313.545775</v>
      </c>
      <c r="I428" s="92">
        <f>(SUBSTITUTE(Audio!I428, "RE-", "", 1))*1</f>
        <v>0</v>
      </c>
      <c r="J428" s="92">
        <f>(SUBSTITUTE(Audio!J428, "RE-", "", 1))*1</f>
        <v>597.4207396</v>
      </c>
      <c r="K428" s="92">
        <f>(SUBSTITUTE(Audio!K428, "RE-", "", 1))*1</f>
        <v>0</v>
      </c>
      <c r="L428" s="92">
        <f>(SUBSTITUTE(Audio!L428, "RE-", "", 1))*1</f>
        <v>3018.688948</v>
      </c>
      <c r="M428" s="92">
        <f>(SUBSTITUTE(Audio!M428, "RE-", "", 1))*1</f>
        <v>0</v>
      </c>
      <c r="N428" s="92">
        <f>(SUBSTITUTE(Audio!N428, "RE-", "", 1))*1</f>
        <v>355.7414771</v>
      </c>
      <c r="O428" s="92">
        <f>(SUBSTITUTE(Audio!O428, "RE-", "", 1))*1</f>
        <v>0</v>
      </c>
      <c r="P428" s="92">
        <f>(SUBSTITUTE(Audio!P428, "RE-", "", 1))*1</f>
        <v>686.3520812</v>
      </c>
      <c r="Q428" s="92">
        <f>(SUBSTITUTE(Audio!Q428, "RE-", "", 1))*1</f>
        <v>0</v>
      </c>
      <c r="R428" s="92">
        <f>(SUBSTITUTE(Audio!R428, "RE-", "", 1))*1</f>
        <v>808.2174917</v>
      </c>
      <c r="S428" s="92">
        <f>(SUBSTITUTE(Audio!S428, "RE-", "", 1))*1</f>
        <v>0</v>
      </c>
      <c r="T428" s="92">
        <f>(SUBSTITUTE(Audio!T428, "RE-", "", 1))*1</f>
        <v>399.2590802</v>
      </c>
      <c r="U428" s="92">
        <f>(SUBSTITUTE(Audio!U428, "RE-", "", 1))*1</f>
        <v>0</v>
      </c>
      <c r="V428" s="92">
        <f>(SUBSTITUTE(Audio!V428, "RE-", "", 1))*1</f>
        <v>0</v>
      </c>
      <c r="W428" s="92">
        <f>(SUBSTITUTE(Audio!W428, "RE-", "", 1))*1</f>
        <v>0</v>
      </c>
      <c r="X428" s="92">
        <f>(SUBSTITUTE(Audio!X428, "RE-", "", 1))*1</f>
        <v>0</v>
      </c>
      <c r="Y428" s="92">
        <f>(SUBSTITUTE(Audio!Y428, "RE-", "", 1))*1</f>
        <v>0</v>
      </c>
      <c r="Z428" s="92">
        <f>(SUBSTITUTE(Audio!Z428, "RE-", "", 1))*1</f>
        <v>0</v>
      </c>
      <c r="AA428" s="92"/>
      <c r="AB428" s="92"/>
      <c r="AC428" s="92"/>
      <c r="AD428" s="92"/>
      <c r="AE428" s="92"/>
      <c r="AF428" s="92"/>
      <c r="AG428" s="92"/>
      <c r="AH428" s="92"/>
      <c r="AI428" s="92"/>
      <c r="AJ428" s="92"/>
      <c r="AK428" s="92"/>
      <c r="AL428" s="92"/>
      <c r="AM428" s="92"/>
      <c r="AN428" s="92"/>
      <c r="AO428" s="92"/>
      <c r="AP428" s="92"/>
      <c r="AQ428" s="92"/>
      <c r="AR428" s="92"/>
      <c r="AS428" s="92"/>
      <c r="AT428" s="92"/>
      <c r="AU428" s="92"/>
      <c r="AV428" s="92"/>
      <c r="AW428" s="92"/>
      <c r="AX428" s="92"/>
      <c r="AY428" s="92"/>
      <c r="AZ428" s="92"/>
      <c r="BA428" s="92"/>
      <c r="BB428" s="92"/>
      <c r="BC428" s="92"/>
      <c r="BD428" s="92"/>
      <c r="BE428" s="92"/>
      <c r="BF428" s="92"/>
      <c r="BG428" s="92"/>
      <c r="BH428" s="92"/>
      <c r="BI428" s="92"/>
      <c r="BJ428" s="92"/>
      <c r="BK428" s="92"/>
      <c r="BL428" s="92"/>
      <c r="BM428" s="92"/>
      <c r="BN428" s="92"/>
      <c r="BO428" s="92"/>
      <c r="BP428" s="92"/>
      <c r="BQ428" s="92"/>
      <c r="BR428" s="92"/>
      <c r="BS428" s="92"/>
      <c r="BT428" s="92"/>
      <c r="BU428" s="92"/>
      <c r="BV428" s="92"/>
      <c r="BW428" s="92"/>
      <c r="BX428" s="92"/>
      <c r="BY428" s="92"/>
      <c r="BZ428" s="92"/>
      <c r="CA428" s="92"/>
      <c r="CB428" s="92"/>
      <c r="CC428" s="92"/>
      <c r="CD428" s="92"/>
      <c r="CE428" s="92"/>
      <c r="CF428" s="92"/>
      <c r="CG428" s="92"/>
      <c r="CH428" s="92"/>
      <c r="CI428" s="92"/>
      <c r="CJ428" s="92"/>
      <c r="CK428" s="92"/>
      <c r="CL428" s="92"/>
      <c r="CM428" s="92"/>
      <c r="CN428" s="92"/>
      <c r="CO428" s="92"/>
      <c r="CP428" s="92"/>
      <c r="CQ428" s="92"/>
      <c r="CR428" s="92"/>
      <c r="CS428" s="92"/>
      <c r="CT428" s="92"/>
      <c r="CU428" s="92"/>
      <c r="CV428" s="92"/>
      <c r="CW428" s="92"/>
      <c r="CX428" s="92"/>
      <c r="CY428" s="92"/>
      <c r="CZ428" s="92"/>
      <c r="DA428" s="92"/>
      <c r="DB428" s="92"/>
      <c r="DC428" s="92"/>
      <c r="DD428" s="92"/>
      <c r="DE428" s="92"/>
      <c r="DF428" s="92"/>
      <c r="DG428" s="92"/>
      <c r="DH428" s="92"/>
      <c r="DI428" s="92"/>
      <c r="DJ428" s="92"/>
      <c r="DK428" s="92"/>
      <c r="DL428" s="92"/>
      <c r="DM428" s="92"/>
      <c r="DN428" s="92"/>
      <c r="DO428" s="92"/>
      <c r="DP428" s="92"/>
      <c r="DQ428" s="92"/>
      <c r="DR428" s="92"/>
      <c r="DS428" s="92"/>
      <c r="DT428" s="92"/>
      <c r="DU428" s="92"/>
      <c r="DV428" s="92"/>
      <c r="DW428" s="92"/>
      <c r="DX428" s="92"/>
      <c r="DY428" s="92"/>
      <c r="DZ428" s="92"/>
      <c r="EA428" s="92"/>
      <c r="EB428" s="92"/>
      <c r="EC428" s="92"/>
      <c r="ED428" s="92"/>
      <c r="EE428" s="92"/>
      <c r="EF428" s="92"/>
      <c r="EG428" s="92"/>
      <c r="EH428" s="92"/>
      <c r="EI428" s="92"/>
      <c r="EJ428" s="92"/>
      <c r="EK428" s="92"/>
      <c r="EL428" s="92"/>
      <c r="EM428" s="92"/>
      <c r="EN428" s="92"/>
      <c r="EO428" s="92"/>
      <c r="EP428" s="92"/>
      <c r="EQ428" s="92"/>
      <c r="ER428" s="92"/>
      <c r="ES428" s="92"/>
      <c r="ET428" s="92"/>
      <c r="EU428" s="92"/>
      <c r="EV428" s="92"/>
      <c r="EW428" s="92"/>
      <c r="EX428" s="92"/>
      <c r="EY428" s="92"/>
      <c r="EZ428" s="92"/>
      <c r="FA428" s="92"/>
      <c r="FB428" s="92"/>
      <c r="FC428" s="92"/>
      <c r="FD428" s="92"/>
      <c r="FE428" s="92"/>
      <c r="FF428" s="92"/>
      <c r="FG428" s="92"/>
      <c r="FH428" s="92"/>
    </row>
    <row r="429">
      <c r="A429" s="32" t="s">
        <v>77</v>
      </c>
      <c r="B429" s="32" t="s">
        <v>78</v>
      </c>
      <c r="C429" s="32" t="s">
        <v>10</v>
      </c>
      <c r="D429" s="97">
        <f t="shared" si="1"/>
        <v>524.6980969</v>
      </c>
      <c r="E429" s="92">
        <f>(SUBSTITUTE(Audio!E429, "RE-", "", 1))*1</f>
        <v>0</v>
      </c>
      <c r="F429" s="92">
        <f>(SUBSTITUTE(Audio!F429, "RE-", "", 1))*1</f>
        <v>0</v>
      </c>
      <c r="G429" s="92">
        <f>(SUBSTITUTE(Audio!G429, "RE-", "", 1))*1</f>
        <v>190.1575375</v>
      </c>
      <c r="H429" s="92">
        <f>(SUBSTITUTE(Audio!H429, "RE-", "", 1))*1</f>
        <v>0</v>
      </c>
      <c r="I429" s="92">
        <f>(SUBSTITUTE(Audio!I429, "RE-", "", 1))*1</f>
        <v>18.08495</v>
      </c>
      <c r="J429" s="92">
        <f>(SUBSTITUTE(Audio!J429, "RE-", "", 1))*1</f>
        <v>0</v>
      </c>
      <c r="K429" s="92">
        <f>(SUBSTITUTE(Audio!K429, "RE-", "", 1))*1</f>
        <v>35.670225</v>
      </c>
      <c r="L429" s="92">
        <f>(SUBSTITUTE(Audio!L429, "RE-", "", 1))*1</f>
        <v>0</v>
      </c>
      <c r="M429" s="92">
        <f>(SUBSTITUTE(Audio!M429, "RE-", "", 1))*1</f>
        <v>96.74358021</v>
      </c>
      <c r="N429" s="92">
        <f>(SUBSTITUTE(Audio!N429, "RE-", "", 1))*1</f>
        <v>0</v>
      </c>
      <c r="O429" s="92">
        <f>(SUBSTITUTE(Audio!O429, "RE-", "", 1))*1</f>
        <v>33.95225</v>
      </c>
      <c r="P429" s="92">
        <f>(SUBSTITUTE(Audio!P429, "RE-", "", 1))*1</f>
        <v>0</v>
      </c>
      <c r="Q429" s="92">
        <f>(SUBSTITUTE(Audio!Q429, "RE-", "", 1))*1</f>
        <v>60.46161875</v>
      </c>
      <c r="R429" s="92">
        <f>(SUBSTITUTE(Audio!R429, "RE-", "", 1))*1</f>
        <v>0</v>
      </c>
      <c r="S429" s="92">
        <f>(SUBSTITUTE(Audio!S429, "RE-", "", 1))*1</f>
        <v>45.06568333</v>
      </c>
      <c r="T429" s="92">
        <f>(SUBSTITUTE(Audio!T429, "RE-", "", 1))*1</f>
        <v>0</v>
      </c>
      <c r="U429" s="92">
        <f>(SUBSTITUTE(Audio!U429, "RE-", "", 1))*1</f>
        <v>37.37205417</v>
      </c>
      <c r="V429" s="92">
        <f>(SUBSTITUTE(Audio!V429, "RE-", "", 1))*1</f>
        <v>7.190197917</v>
      </c>
      <c r="W429" s="92">
        <f>(SUBSTITUTE(Audio!W429, "RE-", "", 1))*1</f>
        <v>0</v>
      </c>
      <c r="X429" s="92">
        <f>(SUBSTITUTE(Audio!X429, "RE-", "", 1))*1</f>
        <v>0</v>
      </c>
      <c r="Y429" s="92">
        <f>(SUBSTITUTE(Audio!Y429, "RE-", "", 1))*1</f>
        <v>0</v>
      </c>
      <c r="Z429" s="92">
        <f>(SUBSTITUTE(Audio!Z429, "RE-", "", 1))*1</f>
        <v>0</v>
      </c>
      <c r="AA429" s="92"/>
      <c r="AB429" s="92"/>
      <c r="AC429" s="92"/>
      <c r="AD429" s="92"/>
      <c r="AE429" s="92"/>
      <c r="AF429" s="92"/>
      <c r="AG429" s="92"/>
      <c r="AH429" s="92"/>
      <c r="AI429" s="92"/>
      <c r="AJ429" s="92"/>
      <c r="AK429" s="92"/>
      <c r="AL429" s="92"/>
      <c r="AM429" s="92"/>
      <c r="AN429" s="92"/>
      <c r="AO429" s="92"/>
      <c r="AP429" s="92"/>
      <c r="AQ429" s="92"/>
      <c r="AR429" s="92"/>
      <c r="AS429" s="92"/>
      <c r="AT429" s="92"/>
      <c r="AU429" s="92"/>
      <c r="AV429" s="92"/>
      <c r="AW429" s="92"/>
      <c r="AX429" s="92"/>
      <c r="AY429" s="92"/>
      <c r="AZ429" s="92"/>
      <c r="BA429" s="92"/>
      <c r="BB429" s="92"/>
      <c r="BC429" s="92"/>
      <c r="BD429" s="92"/>
      <c r="BE429" s="92"/>
      <c r="BF429" s="92"/>
      <c r="BG429" s="92"/>
      <c r="BH429" s="92"/>
      <c r="BI429" s="92"/>
      <c r="BJ429" s="92"/>
      <c r="BK429" s="92"/>
      <c r="BL429" s="92"/>
      <c r="BM429" s="92"/>
      <c r="BN429" s="92"/>
      <c r="BO429" s="92"/>
      <c r="BP429" s="92"/>
      <c r="BQ429" s="92"/>
      <c r="BR429" s="92"/>
      <c r="BS429" s="92"/>
      <c r="BT429" s="92"/>
      <c r="BU429" s="92"/>
      <c r="BV429" s="92"/>
      <c r="BW429" s="92"/>
      <c r="BX429" s="92"/>
      <c r="BY429" s="92"/>
      <c r="BZ429" s="92"/>
      <c r="CA429" s="92"/>
      <c r="CB429" s="92"/>
      <c r="CC429" s="92"/>
      <c r="CD429" s="92"/>
      <c r="CE429" s="92"/>
      <c r="CF429" s="92"/>
      <c r="CG429" s="92"/>
      <c r="CH429" s="92"/>
      <c r="CI429" s="92"/>
      <c r="CJ429" s="92"/>
      <c r="CK429" s="92"/>
      <c r="CL429" s="92"/>
      <c r="CM429" s="92"/>
      <c r="CN429" s="92"/>
      <c r="CO429" s="92"/>
      <c r="CP429" s="92"/>
      <c r="CQ429" s="92"/>
      <c r="CR429" s="92"/>
      <c r="CS429" s="92"/>
      <c r="CT429" s="92"/>
      <c r="CU429" s="92"/>
      <c r="CV429" s="92"/>
      <c r="CW429" s="92"/>
      <c r="CX429" s="92"/>
      <c r="CY429" s="92"/>
      <c r="CZ429" s="92"/>
      <c r="DA429" s="92"/>
      <c r="DB429" s="92"/>
      <c r="DC429" s="92"/>
      <c r="DD429" s="92"/>
      <c r="DE429" s="92"/>
      <c r="DF429" s="92"/>
      <c r="DG429" s="92"/>
      <c r="DH429" s="92"/>
      <c r="DI429" s="92"/>
      <c r="DJ429" s="92"/>
      <c r="DK429" s="92"/>
      <c r="DL429" s="92"/>
      <c r="DM429" s="92"/>
      <c r="DN429" s="92"/>
      <c r="DO429" s="92"/>
      <c r="DP429" s="92"/>
      <c r="DQ429" s="92"/>
      <c r="DR429" s="92"/>
      <c r="DS429" s="92"/>
      <c r="DT429" s="92"/>
      <c r="DU429" s="92"/>
      <c r="DV429" s="92"/>
      <c r="DW429" s="92"/>
      <c r="DX429" s="92"/>
      <c r="DY429" s="92"/>
      <c r="DZ429" s="92"/>
      <c r="EA429" s="92"/>
      <c r="EB429" s="92"/>
      <c r="EC429" s="92"/>
      <c r="ED429" s="92"/>
      <c r="EE429" s="92"/>
      <c r="EF429" s="92"/>
      <c r="EG429" s="92"/>
      <c r="EH429" s="92"/>
      <c r="EI429" s="92"/>
      <c r="EJ429" s="92"/>
      <c r="EK429" s="92"/>
      <c r="EL429" s="92"/>
      <c r="EM429" s="92"/>
      <c r="EN429" s="92"/>
      <c r="EO429" s="92"/>
      <c r="EP429" s="92"/>
      <c r="EQ429" s="92"/>
      <c r="ER429" s="92"/>
      <c r="ES429" s="92"/>
      <c r="ET429" s="92"/>
      <c r="EU429" s="92"/>
      <c r="EV429" s="92"/>
      <c r="EW429" s="92"/>
      <c r="EX429" s="92"/>
      <c r="EY429" s="92"/>
      <c r="EZ429" s="92"/>
      <c r="FA429" s="92"/>
      <c r="FB429" s="92"/>
      <c r="FC429" s="92"/>
      <c r="FD429" s="92"/>
      <c r="FE429" s="92"/>
      <c r="FF429" s="92"/>
      <c r="FG429" s="92"/>
      <c r="FH429" s="92"/>
    </row>
    <row r="430">
      <c r="A430" s="32" t="s">
        <v>77</v>
      </c>
      <c r="B430" s="32" t="s">
        <v>78</v>
      </c>
      <c r="C430" s="32" t="s">
        <v>11</v>
      </c>
      <c r="D430" s="97">
        <f t="shared" si="1"/>
        <v>524.6980969</v>
      </c>
      <c r="E430" s="92">
        <f>(SUBSTITUTE(Audio!E430, "RE-", "", 1))*1</f>
        <v>0</v>
      </c>
      <c r="F430" s="92">
        <f>(SUBSTITUTE(Audio!F430, "RE-", "", 1))*1</f>
        <v>0</v>
      </c>
      <c r="G430" s="92">
        <f>(SUBSTITUTE(Audio!G430, "RE-", "", 1))*1</f>
        <v>190.1575375</v>
      </c>
      <c r="H430" s="92">
        <f>(SUBSTITUTE(Audio!H430, "RE-", "", 1))*1</f>
        <v>0</v>
      </c>
      <c r="I430" s="92">
        <f>(SUBSTITUTE(Audio!I430, "RE-", "", 1))*1</f>
        <v>18.08495</v>
      </c>
      <c r="J430" s="92">
        <f>(SUBSTITUTE(Audio!J430, "RE-", "", 1))*1</f>
        <v>0</v>
      </c>
      <c r="K430" s="92">
        <f>(SUBSTITUTE(Audio!K430, "RE-", "", 1))*1</f>
        <v>35.670225</v>
      </c>
      <c r="L430" s="92">
        <f>(SUBSTITUTE(Audio!L430, "RE-", "", 1))*1</f>
        <v>0</v>
      </c>
      <c r="M430" s="92">
        <f>(SUBSTITUTE(Audio!M430, "RE-", "", 1))*1</f>
        <v>96.74358021</v>
      </c>
      <c r="N430" s="92">
        <f>(SUBSTITUTE(Audio!N430, "RE-", "", 1))*1</f>
        <v>0</v>
      </c>
      <c r="O430" s="92">
        <f>(SUBSTITUTE(Audio!O430, "RE-", "", 1))*1</f>
        <v>33.95225</v>
      </c>
      <c r="P430" s="92">
        <f>(SUBSTITUTE(Audio!P430, "RE-", "", 1))*1</f>
        <v>0</v>
      </c>
      <c r="Q430" s="92">
        <f>(SUBSTITUTE(Audio!Q430, "RE-", "", 1))*1</f>
        <v>60.46161875</v>
      </c>
      <c r="R430" s="92">
        <f>(SUBSTITUTE(Audio!R430, "RE-", "", 1))*1</f>
        <v>0</v>
      </c>
      <c r="S430" s="92">
        <f>(SUBSTITUTE(Audio!S430, "RE-", "", 1))*1</f>
        <v>45.06568333</v>
      </c>
      <c r="T430" s="92">
        <f>(SUBSTITUTE(Audio!T430, "RE-", "", 1))*1</f>
        <v>0</v>
      </c>
      <c r="U430" s="92">
        <f>(SUBSTITUTE(Audio!U430, "RE-", "", 1))*1</f>
        <v>37.37205417</v>
      </c>
      <c r="V430" s="92">
        <f>(SUBSTITUTE(Audio!V430, "RE-", "", 1))*1</f>
        <v>7.190197917</v>
      </c>
      <c r="W430" s="92">
        <f>(SUBSTITUTE(Audio!W430, "RE-", "", 1))*1</f>
        <v>0</v>
      </c>
      <c r="X430" s="92">
        <f>(SUBSTITUTE(Audio!X430, "RE-", "", 1))*1</f>
        <v>0</v>
      </c>
      <c r="Y430" s="92">
        <f>(SUBSTITUTE(Audio!Y430, "RE-", "", 1))*1</f>
        <v>0</v>
      </c>
      <c r="Z430" s="92">
        <f>(SUBSTITUTE(Audio!Z430, "RE-", "", 1))*1</f>
        <v>0</v>
      </c>
      <c r="AA430" s="92"/>
      <c r="AB430" s="92"/>
      <c r="AC430" s="92"/>
      <c r="AD430" s="92"/>
      <c r="AE430" s="92"/>
      <c r="AF430" s="92"/>
      <c r="AG430" s="92"/>
      <c r="AH430" s="92"/>
      <c r="AI430" s="92"/>
      <c r="AJ430" s="92"/>
      <c r="AK430" s="92"/>
      <c r="AL430" s="92"/>
      <c r="AM430" s="92"/>
      <c r="AN430" s="92"/>
      <c r="AO430" s="92"/>
      <c r="AP430" s="92"/>
      <c r="AQ430" s="92"/>
      <c r="AR430" s="92"/>
      <c r="AS430" s="92"/>
      <c r="AT430" s="92"/>
      <c r="AU430" s="92"/>
      <c r="AV430" s="92"/>
      <c r="AW430" s="92"/>
      <c r="AX430" s="92"/>
      <c r="AY430" s="92"/>
      <c r="AZ430" s="92"/>
      <c r="BA430" s="92"/>
      <c r="BB430" s="92"/>
      <c r="BC430" s="92"/>
      <c r="BD430" s="92"/>
      <c r="BE430" s="92"/>
      <c r="BF430" s="92"/>
      <c r="BG430" s="92"/>
      <c r="BH430" s="92"/>
      <c r="BI430" s="92"/>
      <c r="BJ430" s="92"/>
      <c r="BK430" s="92"/>
      <c r="BL430" s="92"/>
      <c r="BM430" s="92"/>
      <c r="BN430" s="92"/>
      <c r="BO430" s="92"/>
      <c r="BP430" s="92"/>
      <c r="BQ430" s="92"/>
      <c r="BR430" s="92"/>
      <c r="BS430" s="92"/>
      <c r="BT430" s="92"/>
      <c r="BU430" s="92"/>
      <c r="BV430" s="92"/>
      <c r="BW430" s="92"/>
      <c r="BX430" s="92"/>
      <c r="BY430" s="92"/>
      <c r="BZ430" s="92"/>
      <c r="CA430" s="92"/>
      <c r="CB430" s="92"/>
      <c r="CC430" s="92"/>
      <c r="CD430" s="92"/>
      <c r="CE430" s="92"/>
      <c r="CF430" s="92"/>
      <c r="CG430" s="92"/>
      <c r="CH430" s="92"/>
      <c r="CI430" s="92"/>
      <c r="CJ430" s="92"/>
      <c r="CK430" s="92"/>
      <c r="CL430" s="92"/>
      <c r="CM430" s="92"/>
      <c r="CN430" s="92"/>
      <c r="CO430" s="92"/>
      <c r="CP430" s="92"/>
      <c r="CQ430" s="92"/>
      <c r="CR430" s="92"/>
      <c r="CS430" s="92"/>
      <c r="CT430" s="92"/>
      <c r="CU430" s="92"/>
      <c r="CV430" s="92"/>
      <c r="CW430" s="92"/>
      <c r="CX430" s="92"/>
      <c r="CY430" s="92"/>
      <c r="CZ430" s="92"/>
      <c r="DA430" s="92"/>
      <c r="DB430" s="92"/>
      <c r="DC430" s="92"/>
      <c r="DD430" s="92"/>
      <c r="DE430" s="92"/>
      <c r="DF430" s="92"/>
      <c r="DG430" s="92"/>
      <c r="DH430" s="92"/>
      <c r="DI430" s="92"/>
      <c r="DJ430" s="92"/>
      <c r="DK430" s="92"/>
      <c r="DL430" s="92"/>
      <c r="DM430" s="92"/>
      <c r="DN430" s="92"/>
      <c r="DO430" s="92"/>
      <c r="DP430" s="92"/>
      <c r="DQ430" s="92"/>
      <c r="DR430" s="92"/>
      <c r="DS430" s="92"/>
      <c r="DT430" s="92"/>
      <c r="DU430" s="92"/>
      <c r="DV430" s="92"/>
      <c r="DW430" s="92"/>
      <c r="DX430" s="92"/>
      <c r="DY430" s="92"/>
      <c r="DZ430" s="92"/>
      <c r="EA430" s="92"/>
      <c r="EB430" s="92"/>
      <c r="EC430" s="92"/>
      <c r="ED430" s="92"/>
      <c r="EE430" s="92"/>
      <c r="EF430" s="92"/>
      <c r="EG430" s="92"/>
      <c r="EH430" s="92"/>
      <c r="EI430" s="92"/>
      <c r="EJ430" s="92"/>
      <c r="EK430" s="92"/>
      <c r="EL430" s="92"/>
      <c r="EM430" s="92"/>
      <c r="EN430" s="92"/>
      <c r="EO430" s="92"/>
      <c r="EP430" s="92"/>
      <c r="EQ430" s="92"/>
      <c r="ER430" s="92"/>
      <c r="ES430" s="92"/>
      <c r="ET430" s="92"/>
      <c r="EU430" s="92"/>
      <c r="EV430" s="92"/>
      <c r="EW430" s="92"/>
      <c r="EX430" s="92"/>
      <c r="EY430" s="92"/>
      <c r="EZ430" s="92"/>
      <c r="FA430" s="92"/>
      <c r="FB430" s="92"/>
      <c r="FC430" s="92"/>
      <c r="FD430" s="92"/>
      <c r="FE430" s="92"/>
      <c r="FF430" s="92"/>
      <c r="FG430" s="92"/>
      <c r="FH430" s="92"/>
    </row>
    <row r="431">
      <c r="A431" s="32" t="s">
        <v>77</v>
      </c>
      <c r="B431" s="32" t="s">
        <v>78</v>
      </c>
      <c r="C431" s="32" t="s">
        <v>12</v>
      </c>
      <c r="D431" s="97">
        <f t="shared" si="1"/>
        <v>7370.456228</v>
      </c>
      <c r="E431" s="92">
        <f>(SUBSTITUTE(Audio!E431, "RE-", "", 1))*1</f>
        <v>0</v>
      </c>
      <c r="F431" s="92">
        <f>(SUBSTITUTE(Audio!F431, "RE-", "", 1))*1</f>
        <v>1811.84648</v>
      </c>
      <c r="G431" s="92">
        <f>(SUBSTITUTE(Audio!G431, "RE-", "", 1))*1</f>
        <v>4.865489583</v>
      </c>
      <c r="H431" s="92">
        <f>(SUBSTITUTE(Audio!H431, "RE-", "", 1))*1</f>
        <v>271.9518938</v>
      </c>
      <c r="I431" s="92">
        <f>(SUBSTITUTE(Audio!I431, "RE-", "", 1))*1</f>
        <v>0</v>
      </c>
      <c r="J431" s="92">
        <f>(SUBSTITUTE(Audio!J431, "RE-", "", 1))*1</f>
        <v>457.0708115</v>
      </c>
      <c r="K431" s="92">
        <f>(SUBSTITUTE(Audio!K431, "RE-", "", 1))*1</f>
        <v>2.660866667</v>
      </c>
      <c r="L431" s="92">
        <f>(SUBSTITUTE(Audio!L431, "RE-", "", 1))*1</f>
        <v>2811.406639</v>
      </c>
      <c r="M431" s="92">
        <f>(SUBSTITUTE(Audio!M431, "RE-", "", 1))*1</f>
        <v>14.56519271</v>
      </c>
      <c r="N431" s="92">
        <f>(SUBSTITUTE(Audio!N431, "RE-", "", 1))*1</f>
        <v>182.0965208</v>
      </c>
      <c r="O431" s="92">
        <f>(SUBSTITUTE(Audio!O431, "RE-", "", 1))*1</f>
        <v>1.543352083</v>
      </c>
      <c r="P431" s="92">
        <f>(SUBSTITUTE(Audio!P431, "RE-", "", 1))*1</f>
        <v>615.1524865</v>
      </c>
      <c r="Q431" s="92">
        <f>(SUBSTITUTE(Audio!Q431, "RE-", "", 1))*1</f>
        <v>19.03912292</v>
      </c>
      <c r="R431" s="92">
        <f>(SUBSTITUTE(Audio!R431, "RE-", "", 1))*1</f>
        <v>770.0997802</v>
      </c>
      <c r="S431" s="92">
        <f>(SUBSTITUTE(Audio!S431, "RE-", "", 1))*1</f>
        <v>12.89527604</v>
      </c>
      <c r="T431" s="92">
        <f>(SUBSTITUTE(Audio!T431, "RE-", "", 1))*1</f>
        <v>371.7165406</v>
      </c>
      <c r="U431" s="92">
        <f>(SUBSTITUTE(Audio!U431, "RE-", "", 1))*1</f>
        <v>19.3061</v>
      </c>
      <c r="V431" s="92">
        <f>(SUBSTITUTE(Audio!V431, "RE-", "", 1))*1</f>
        <v>4.239675</v>
      </c>
      <c r="W431" s="92">
        <f>(SUBSTITUTE(Audio!W431, "RE-", "", 1))*1</f>
        <v>0</v>
      </c>
      <c r="X431" s="92">
        <f>(SUBSTITUTE(Audio!X431, "RE-", "", 1))*1</f>
        <v>0</v>
      </c>
      <c r="Y431" s="92">
        <f>(SUBSTITUTE(Audio!Y431, "RE-", "", 1))*1</f>
        <v>0</v>
      </c>
      <c r="Z431" s="92">
        <f>(SUBSTITUTE(Audio!Z431, "RE-", "", 1))*1</f>
        <v>0</v>
      </c>
      <c r="AA431" s="92"/>
      <c r="AB431" s="92"/>
      <c r="AC431" s="92"/>
      <c r="AD431" s="92"/>
      <c r="AE431" s="92"/>
      <c r="AF431" s="92"/>
      <c r="AG431" s="92"/>
      <c r="AH431" s="92"/>
      <c r="AI431" s="92"/>
      <c r="AJ431" s="92"/>
      <c r="AK431" s="92"/>
      <c r="AL431" s="92"/>
      <c r="AM431" s="92"/>
      <c r="AN431" s="92"/>
      <c r="AO431" s="92"/>
      <c r="AP431" s="92"/>
      <c r="AQ431" s="92"/>
      <c r="AR431" s="92"/>
      <c r="AS431" s="92"/>
      <c r="AT431" s="92"/>
      <c r="AU431" s="92"/>
      <c r="AV431" s="92"/>
      <c r="AW431" s="92"/>
      <c r="AX431" s="92"/>
      <c r="AY431" s="92"/>
      <c r="AZ431" s="92"/>
      <c r="BA431" s="92"/>
      <c r="BB431" s="92"/>
      <c r="BC431" s="92"/>
      <c r="BD431" s="92"/>
      <c r="BE431" s="92"/>
      <c r="BF431" s="92"/>
      <c r="BG431" s="92"/>
      <c r="BH431" s="92"/>
      <c r="BI431" s="92"/>
      <c r="BJ431" s="92"/>
      <c r="BK431" s="92"/>
      <c r="BL431" s="92"/>
      <c r="BM431" s="92"/>
      <c r="BN431" s="92"/>
      <c r="BO431" s="92"/>
      <c r="BP431" s="92"/>
      <c r="BQ431" s="92"/>
      <c r="BR431" s="92"/>
      <c r="BS431" s="92"/>
      <c r="BT431" s="92"/>
      <c r="BU431" s="92"/>
      <c r="BV431" s="92"/>
      <c r="BW431" s="92"/>
      <c r="BX431" s="92"/>
      <c r="BY431" s="92"/>
      <c r="BZ431" s="92"/>
      <c r="CA431" s="92"/>
      <c r="CB431" s="92"/>
      <c r="CC431" s="92"/>
      <c r="CD431" s="92"/>
      <c r="CE431" s="92"/>
      <c r="CF431" s="92"/>
      <c r="CG431" s="92"/>
      <c r="CH431" s="92"/>
      <c r="CI431" s="92"/>
      <c r="CJ431" s="92"/>
      <c r="CK431" s="92"/>
      <c r="CL431" s="92"/>
      <c r="CM431" s="92"/>
      <c r="CN431" s="92"/>
      <c r="CO431" s="92"/>
      <c r="CP431" s="92"/>
      <c r="CQ431" s="92"/>
      <c r="CR431" s="92"/>
      <c r="CS431" s="92"/>
      <c r="CT431" s="92"/>
      <c r="CU431" s="92"/>
      <c r="CV431" s="92"/>
      <c r="CW431" s="92"/>
      <c r="CX431" s="92"/>
      <c r="CY431" s="92"/>
      <c r="CZ431" s="92"/>
      <c r="DA431" s="92"/>
      <c r="DB431" s="92"/>
      <c r="DC431" s="92"/>
      <c r="DD431" s="92"/>
      <c r="DE431" s="92"/>
      <c r="DF431" s="92"/>
      <c r="DG431" s="92"/>
      <c r="DH431" s="92"/>
      <c r="DI431" s="92"/>
      <c r="DJ431" s="92"/>
      <c r="DK431" s="92"/>
      <c r="DL431" s="92"/>
      <c r="DM431" s="92"/>
      <c r="DN431" s="92"/>
      <c r="DO431" s="92"/>
      <c r="DP431" s="92"/>
      <c r="DQ431" s="92"/>
      <c r="DR431" s="92"/>
      <c r="DS431" s="92"/>
      <c r="DT431" s="92"/>
      <c r="DU431" s="92"/>
      <c r="DV431" s="92"/>
      <c r="DW431" s="92"/>
      <c r="DX431" s="92"/>
      <c r="DY431" s="92"/>
      <c r="DZ431" s="92"/>
      <c r="EA431" s="92"/>
      <c r="EB431" s="92"/>
      <c r="EC431" s="92"/>
      <c r="ED431" s="92"/>
      <c r="EE431" s="92"/>
      <c r="EF431" s="92"/>
      <c r="EG431" s="92"/>
      <c r="EH431" s="92"/>
      <c r="EI431" s="92"/>
      <c r="EJ431" s="92"/>
      <c r="EK431" s="92"/>
      <c r="EL431" s="92"/>
      <c r="EM431" s="92"/>
      <c r="EN431" s="92"/>
      <c r="EO431" s="92"/>
      <c r="EP431" s="92"/>
      <c r="EQ431" s="92"/>
      <c r="ER431" s="92"/>
      <c r="ES431" s="92"/>
      <c r="ET431" s="92"/>
      <c r="EU431" s="92"/>
      <c r="EV431" s="92"/>
      <c r="EW431" s="92"/>
      <c r="EX431" s="92"/>
      <c r="EY431" s="92"/>
      <c r="EZ431" s="92"/>
      <c r="FA431" s="92"/>
      <c r="FB431" s="92"/>
      <c r="FC431" s="92"/>
      <c r="FD431" s="92"/>
      <c r="FE431" s="92"/>
      <c r="FF431" s="92"/>
      <c r="FG431" s="92"/>
      <c r="FH431" s="92"/>
    </row>
    <row r="432">
      <c r="A432" s="32" t="s">
        <v>77</v>
      </c>
      <c r="B432" s="32" t="s">
        <v>78</v>
      </c>
      <c r="C432" s="32" t="s">
        <v>13</v>
      </c>
      <c r="D432" s="97">
        <f t="shared" si="1"/>
        <v>7103.71179</v>
      </c>
      <c r="E432" s="92">
        <f>(SUBSTITUTE(Audio!E432, "RE-", "", 1))*1</f>
        <v>0</v>
      </c>
      <c r="F432" s="92">
        <f>(SUBSTITUTE(Audio!F432, "RE-", "", 1))*1</f>
        <v>1774.03</v>
      </c>
      <c r="G432" s="92">
        <f>(SUBSTITUTE(Audio!G432, "RE-", "", 1))*1</f>
        <v>4.69913</v>
      </c>
      <c r="H432" s="92">
        <f>(SUBSTITUTE(Audio!H432, "RE-", "", 1))*1</f>
        <v>265.437</v>
      </c>
      <c r="I432" s="92">
        <f>(SUBSTITUTE(Audio!I432, "RE-", "", 1))*1</f>
        <v>0</v>
      </c>
      <c r="J432" s="92">
        <f>(SUBSTITUTE(Audio!J432, "RE-", "", 1))*1</f>
        <v>450.864</v>
      </c>
      <c r="K432" s="92">
        <f>(SUBSTITUTE(Audio!K432, "RE-", "", 1))*1</f>
        <v>2.62005</v>
      </c>
      <c r="L432" s="92">
        <f>(SUBSTITUTE(Audio!L432, "RE-", "", 1))*1</f>
        <v>2691.17</v>
      </c>
      <c r="M432" s="92">
        <f>(SUBSTITUTE(Audio!M432, "RE-", "", 1))*1</f>
        <v>13.8484</v>
      </c>
      <c r="N432" s="92">
        <f>(SUBSTITUTE(Audio!N432, "RE-", "", 1))*1</f>
        <v>176.387</v>
      </c>
      <c r="O432" s="92">
        <f>(SUBSTITUTE(Audio!O432, "RE-", "", 1))*1</f>
        <v>1.52063</v>
      </c>
      <c r="P432" s="92">
        <f>(SUBSTITUTE(Audio!P432, "RE-", "", 1))*1</f>
        <v>584.323</v>
      </c>
      <c r="Q432" s="92">
        <f>(SUBSTITUTE(Audio!Q432, "RE-", "", 1))*1</f>
        <v>17.4902</v>
      </c>
      <c r="R432" s="92">
        <f>(SUBSTITUTE(Audio!R432, "RE-", "", 1))*1</f>
        <v>733.468</v>
      </c>
      <c r="S432" s="92">
        <f>(SUBSTITUTE(Audio!S432, "RE-", "", 1))*1</f>
        <v>12.0467</v>
      </c>
      <c r="T432" s="92">
        <f>(SUBSTITUTE(Audio!T432, "RE-", "", 1))*1</f>
        <v>354.443</v>
      </c>
      <c r="U432" s="92">
        <f>(SUBSTITUTE(Audio!U432, "RE-", "", 1))*1</f>
        <v>17.4668</v>
      </c>
      <c r="V432" s="92">
        <f>(SUBSTITUTE(Audio!V432, "RE-", "", 1))*1</f>
        <v>3.89788</v>
      </c>
      <c r="W432" s="92">
        <f>(SUBSTITUTE(Audio!W432, "RE-", "", 1))*1</f>
        <v>0</v>
      </c>
      <c r="X432" s="92">
        <f>(SUBSTITUTE(Audio!X432, "RE-", "", 1))*1</f>
        <v>0</v>
      </c>
      <c r="Y432" s="92">
        <f>(SUBSTITUTE(Audio!Y432, "RE-", "", 1))*1</f>
        <v>0</v>
      </c>
      <c r="Z432" s="92">
        <f>(SUBSTITUTE(Audio!Z432, "RE-", "", 1))*1</f>
        <v>0</v>
      </c>
      <c r="AA432" s="92"/>
      <c r="AB432" s="92"/>
      <c r="AC432" s="92"/>
      <c r="AD432" s="92"/>
      <c r="AE432" s="92"/>
      <c r="AF432" s="92"/>
      <c r="AG432" s="92"/>
      <c r="AH432" s="92"/>
      <c r="AI432" s="92"/>
      <c r="AJ432" s="92"/>
      <c r="AK432" s="92"/>
      <c r="AL432" s="92"/>
      <c r="AM432" s="92"/>
      <c r="AN432" s="92"/>
      <c r="AO432" s="92"/>
      <c r="AP432" s="92"/>
      <c r="AQ432" s="92"/>
      <c r="AR432" s="92"/>
      <c r="AS432" s="92"/>
      <c r="AT432" s="92"/>
      <c r="AU432" s="92"/>
      <c r="AV432" s="92"/>
      <c r="AW432" s="92"/>
      <c r="AX432" s="92"/>
      <c r="AY432" s="92"/>
      <c r="AZ432" s="92"/>
      <c r="BA432" s="92"/>
      <c r="BB432" s="92"/>
      <c r="BC432" s="92"/>
      <c r="BD432" s="92"/>
      <c r="BE432" s="92"/>
      <c r="BF432" s="92"/>
      <c r="BG432" s="92"/>
      <c r="BH432" s="92"/>
      <c r="BI432" s="92"/>
      <c r="BJ432" s="92"/>
      <c r="BK432" s="92"/>
      <c r="BL432" s="92"/>
      <c r="BM432" s="92"/>
      <c r="BN432" s="92"/>
      <c r="BO432" s="92"/>
      <c r="BP432" s="92"/>
      <c r="BQ432" s="92"/>
      <c r="BR432" s="92"/>
      <c r="BS432" s="92"/>
      <c r="BT432" s="92"/>
      <c r="BU432" s="92"/>
      <c r="BV432" s="92"/>
      <c r="BW432" s="92"/>
      <c r="BX432" s="92"/>
      <c r="BY432" s="92"/>
      <c r="BZ432" s="92"/>
      <c r="CA432" s="92"/>
      <c r="CB432" s="92"/>
      <c r="CC432" s="92"/>
      <c r="CD432" s="92"/>
      <c r="CE432" s="92"/>
      <c r="CF432" s="92"/>
      <c r="CG432" s="92"/>
      <c r="CH432" s="92"/>
      <c r="CI432" s="92"/>
      <c r="CJ432" s="92"/>
      <c r="CK432" s="92"/>
      <c r="CL432" s="92"/>
      <c r="CM432" s="92"/>
      <c r="CN432" s="92"/>
      <c r="CO432" s="92"/>
      <c r="CP432" s="92"/>
      <c r="CQ432" s="92"/>
      <c r="CR432" s="92"/>
      <c r="CS432" s="92"/>
      <c r="CT432" s="92"/>
      <c r="CU432" s="92"/>
      <c r="CV432" s="92"/>
      <c r="CW432" s="92"/>
      <c r="CX432" s="92"/>
      <c r="CY432" s="92"/>
      <c r="CZ432" s="92"/>
      <c r="DA432" s="92"/>
      <c r="DB432" s="92"/>
      <c r="DC432" s="92"/>
      <c r="DD432" s="92"/>
      <c r="DE432" s="92"/>
      <c r="DF432" s="92"/>
      <c r="DG432" s="92"/>
      <c r="DH432" s="92"/>
      <c r="DI432" s="92"/>
      <c r="DJ432" s="92"/>
      <c r="DK432" s="92"/>
      <c r="DL432" s="92"/>
      <c r="DM432" s="92"/>
      <c r="DN432" s="92"/>
      <c r="DO432" s="92"/>
      <c r="DP432" s="92"/>
      <c r="DQ432" s="92"/>
      <c r="DR432" s="92"/>
      <c r="DS432" s="92"/>
      <c r="DT432" s="92"/>
      <c r="DU432" s="92"/>
      <c r="DV432" s="92"/>
      <c r="DW432" s="92"/>
      <c r="DX432" s="92"/>
      <c r="DY432" s="92"/>
      <c r="DZ432" s="92"/>
      <c r="EA432" s="92"/>
      <c r="EB432" s="92"/>
      <c r="EC432" s="92"/>
      <c r="ED432" s="92"/>
      <c r="EE432" s="92"/>
      <c r="EF432" s="92"/>
      <c r="EG432" s="92"/>
      <c r="EH432" s="92"/>
      <c r="EI432" s="92"/>
      <c r="EJ432" s="92"/>
      <c r="EK432" s="92"/>
      <c r="EL432" s="92"/>
      <c r="EM432" s="92"/>
      <c r="EN432" s="92"/>
      <c r="EO432" s="92"/>
      <c r="EP432" s="92"/>
      <c r="EQ432" s="92"/>
      <c r="ER432" s="92"/>
      <c r="ES432" s="92"/>
      <c r="ET432" s="92"/>
      <c r="EU432" s="92"/>
      <c r="EV432" s="92"/>
      <c r="EW432" s="92"/>
      <c r="EX432" s="92"/>
      <c r="EY432" s="92"/>
      <c r="EZ432" s="92"/>
      <c r="FA432" s="92"/>
      <c r="FB432" s="92"/>
      <c r="FC432" s="92"/>
      <c r="FD432" s="92"/>
      <c r="FE432" s="92"/>
      <c r="FF432" s="92"/>
      <c r="FG432" s="92"/>
      <c r="FH432" s="92"/>
    </row>
    <row r="433">
      <c r="A433" s="32" t="s">
        <v>77</v>
      </c>
      <c r="B433" s="32" t="s">
        <v>78</v>
      </c>
      <c r="C433" s="32" t="s">
        <v>14</v>
      </c>
      <c r="D433" s="97">
        <f t="shared" si="1"/>
        <v>6257.52399</v>
      </c>
      <c r="E433" s="92">
        <f>(SUBSTITUTE(Audio!E433, "RE-", "", 1))*1</f>
        <v>0</v>
      </c>
      <c r="F433" s="92">
        <f>(SUBSTITUTE(Audio!F433, "RE-", "", 1))*1</f>
        <v>1599.52</v>
      </c>
      <c r="G433" s="92">
        <f>(SUBSTITUTE(Audio!G433, "RE-", "", 1))*1</f>
        <v>4.69913</v>
      </c>
      <c r="H433" s="92">
        <f>(SUBSTITUTE(Audio!H433, "RE-", "", 1))*1</f>
        <v>238.331</v>
      </c>
      <c r="I433" s="92">
        <f>(SUBSTITUTE(Audio!I433, "RE-", "", 1))*1</f>
        <v>0</v>
      </c>
      <c r="J433" s="92">
        <f>(SUBSTITUTE(Audio!J433, "RE-", "", 1))*1</f>
        <v>419.701</v>
      </c>
      <c r="K433" s="92">
        <f>(SUBSTITUTE(Audio!K433, "RE-", "", 1))*1</f>
        <v>2.62005</v>
      </c>
      <c r="L433" s="92">
        <f>(SUBSTITUTE(Audio!L433, "RE-", "", 1))*1</f>
        <v>2366.94</v>
      </c>
      <c r="M433" s="92">
        <f>(SUBSTITUTE(Audio!M433, "RE-", "", 1))*1</f>
        <v>12.7358</v>
      </c>
      <c r="N433" s="92">
        <f>(SUBSTITUTE(Audio!N433, "RE-", "", 1))*1</f>
        <v>151.209</v>
      </c>
      <c r="O433" s="92">
        <f>(SUBSTITUTE(Audio!O433, "RE-", "", 1))*1</f>
        <v>1.52063</v>
      </c>
      <c r="P433" s="92">
        <f>(SUBSTITUTE(Audio!P433, "RE-", "", 1))*1</f>
        <v>484.546</v>
      </c>
      <c r="Q433" s="92">
        <f>(SUBSTITUTE(Audio!Q433, "RE-", "", 1))*1</f>
        <v>14.7004</v>
      </c>
      <c r="R433" s="92">
        <f>(SUBSTITUTE(Audio!R433, "RE-", "", 1))*1</f>
        <v>628.147</v>
      </c>
      <c r="S433" s="92">
        <f>(SUBSTITUTE(Audio!S433, "RE-", "", 1))*1</f>
        <v>11.3154</v>
      </c>
      <c r="T433" s="92">
        <f>(SUBSTITUTE(Audio!T433, "RE-", "", 1))*1</f>
        <v>302.66</v>
      </c>
      <c r="U433" s="92">
        <f>(SUBSTITUTE(Audio!U433, "RE-", "", 1))*1</f>
        <v>14.9807</v>
      </c>
      <c r="V433" s="92">
        <f>(SUBSTITUTE(Audio!V433, "RE-", "", 1))*1</f>
        <v>3.89788</v>
      </c>
      <c r="W433" s="92">
        <f>(SUBSTITUTE(Audio!W433, "RE-", "", 1))*1</f>
        <v>0</v>
      </c>
      <c r="X433" s="92">
        <f>(SUBSTITUTE(Audio!X433, "RE-", "", 1))*1</f>
        <v>0</v>
      </c>
      <c r="Y433" s="92">
        <f>(SUBSTITUTE(Audio!Y433, "RE-", "", 1))*1</f>
        <v>0</v>
      </c>
      <c r="Z433" s="92">
        <f>(SUBSTITUTE(Audio!Z433, "RE-", "", 1))*1</f>
        <v>0</v>
      </c>
      <c r="AA433" s="92"/>
      <c r="AB433" s="92"/>
      <c r="AC433" s="92"/>
      <c r="AD433" s="92"/>
      <c r="AE433" s="92"/>
      <c r="AF433" s="92"/>
      <c r="AG433" s="92"/>
      <c r="AH433" s="92"/>
      <c r="AI433" s="92"/>
      <c r="AJ433" s="92"/>
      <c r="AK433" s="92"/>
      <c r="AL433" s="92"/>
      <c r="AM433" s="92"/>
      <c r="AN433" s="92"/>
      <c r="AO433" s="92"/>
      <c r="AP433" s="92"/>
      <c r="AQ433" s="92"/>
      <c r="AR433" s="92"/>
      <c r="AS433" s="92"/>
      <c r="AT433" s="92"/>
      <c r="AU433" s="92"/>
      <c r="AV433" s="92"/>
      <c r="AW433" s="92"/>
      <c r="AX433" s="92"/>
      <c r="AY433" s="92"/>
      <c r="AZ433" s="92"/>
      <c r="BA433" s="92"/>
      <c r="BB433" s="92"/>
      <c r="BC433" s="92"/>
      <c r="BD433" s="92"/>
      <c r="BE433" s="92"/>
      <c r="BF433" s="92"/>
      <c r="BG433" s="92"/>
      <c r="BH433" s="92"/>
      <c r="BI433" s="92"/>
      <c r="BJ433" s="92"/>
      <c r="BK433" s="92"/>
      <c r="BL433" s="92"/>
      <c r="BM433" s="92"/>
      <c r="BN433" s="92"/>
      <c r="BO433" s="92"/>
      <c r="BP433" s="92"/>
      <c r="BQ433" s="92"/>
      <c r="BR433" s="92"/>
      <c r="BS433" s="92"/>
      <c r="BT433" s="92"/>
      <c r="BU433" s="92"/>
      <c r="BV433" s="92"/>
      <c r="BW433" s="92"/>
      <c r="BX433" s="92"/>
      <c r="BY433" s="92"/>
      <c r="BZ433" s="92"/>
      <c r="CA433" s="92"/>
      <c r="CB433" s="92"/>
      <c r="CC433" s="92"/>
      <c r="CD433" s="92"/>
      <c r="CE433" s="92"/>
      <c r="CF433" s="92"/>
      <c r="CG433" s="92"/>
      <c r="CH433" s="92"/>
      <c r="CI433" s="92"/>
      <c r="CJ433" s="92"/>
      <c r="CK433" s="92"/>
      <c r="CL433" s="92"/>
      <c r="CM433" s="92"/>
      <c r="CN433" s="92"/>
      <c r="CO433" s="92"/>
      <c r="CP433" s="92"/>
      <c r="CQ433" s="92"/>
      <c r="CR433" s="92"/>
      <c r="CS433" s="92"/>
      <c r="CT433" s="92"/>
      <c r="CU433" s="92"/>
      <c r="CV433" s="92"/>
      <c r="CW433" s="92"/>
      <c r="CX433" s="92"/>
      <c r="CY433" s="92"/>
      <c r="CZ433" s="92"/>
      <c r="DA433" s="92"/>
      <c r="DB433" s="92"/>
      <c r="DC433" s="92"/>
      <c r="DD433" s="92"/>
      <c r="DE433" s="92"/>
      <c r="DF433" s="92"/>
      <c r="DG433" s="92"/>
      <c r="DH433" s="92"/>
      <c r="DI433" s="92"/>
      <c r="DJ433" s="92"/>
      <c r="DK433" s="92"/>
      <c r="DL433" s="92"/>
      <c r="DM433" s="92"/>
      <c r="DN433" s="92"/>
      <c r="DO433" s="92"/>
      <c r="DP433" s="92"/>
      <c r="DQ433" s="92"/>
      <c r="DR433" s="92"/>
      <c r="DS433" s="92"/>
      <c r="DT433" s="92"/>
      <c r="DU433" s="92"/>
      <c r="DV433" s="92"/>
      <c r="DW433" s="92"/>
      <c r="DX433" s="92"/>
      <c r="DY433" s="92"/>
      <c r="DZ433" s="92"/>
      <c r="EA433" s="92"/>
      <c r="EB433" s="92"/>
      <c r="EC433" s="92"/>
      <c r="ED433" s="92"/>
      <c r="EE433" s="92"/>
      <c r="EF433" s="92"/>
      <c r="EG433" s="92"/>
      <c r="EH433" s="92"/>
      <c r="EI433" s="92"/>
      <c r="EJ433" s="92"/>
      <c r="EK433" s="92"/>
      <c r="EL433" s="92"/>
      <c r="EM433" s="92"/>
      <c r="EN433" s="92"/>
      <c r="EO433" s="92"/>
      <c r="EP433" s="92"/>
      <c r="EQ433" s="92"/>
      <c r="ER433" s="92"/>
      <c r="ES433" s="92"/>
      <c r="ET433" s="92"/>
      <c r="EU433" s="92"/>
      <c r="EV433" s="92"/>
      <c r="EW433" s="92"/>
      <c r="EX433" s="92"/>
      <c r="EY433" s="92"/>
      <c r="EZ433" s="92"/>
      <c r="FA433" s="92"/>
      <c r="FB433" s="92"/>
      <c r="FC433" s="92"/>
      <c r="FD433" s="92"/>
      <c r="FE433" s="92"/>
      <c r="FF433" s="92"/>
      <c r="FG433" s="92"/>
      <c r="FH433" s="92"/>
    </row>
    <row r="434">
      <c r="A434" s="27" t="s">
        <v>77</v>
      </c>
      <c r="B434" s="27" t="s">
        <v>78</v>
      </c>
      <c r="C434" s="27" t="s">
        <v>15</v>
      </c>
      <c r="D434" s="98">
        <f t="shared" si="1"/>
        <v>7103.43349</v>
      </c>
      <c r="E434" s="92">
        <f>(SUBSTITUTE(Audio!E434, "RE-", "", 1))*1</f>
        <v>0</v>
      </c>
      <c r="F434" s="92">
        <f>(SUBSTITUTE(Audio!F434, "RE-", "", 1))*1</f>
        <v>1774.03</v>
      </c>
      <c r="G434" s="92">
        <f>(SUBSTITUTE(Audio!G434, "RE-", "", 1))*1</f>
        <v>4.69913</v>
      </c>
      <c r="H434" s="92">
        <f>(SUBSTITUTE(Audio!H434, "RE-", "", 1))*1</f>
        <v>265.437</v>
      </c>
      <c r="I434" s="92">
        <f>(SUBSTITUTE(Audio!I434, "RE-", "", 1))*1</f>
        <v>0</v>
      </c>
      <c r="J434" s="92">
        <f>(SUBSTITUTE(Audio!J434, "RE-", "", 1))*1</f>
        <v>450.864</v>
      </c>
      <c r="K434" s="92">
        <f>(SUBSTITUTE(Audio!K434, "RE-", "", 1))*1</f>
        <v>2.62005</v>
      </c>
      <c r="L434" s="92">
        <f>(SUBSTITUTE(Audio!L434, "RE-", "", 1))*1</f>
        <v>2690.99</v>
      </c>
      <c r="M434" s="92">
        <f>(SUBSTITUTE(Audio!M434, "RE-", "", 1))*1</f>
        <v>13.8484</v>
      </c>
      <c r="N434" s="92">
        <f>(SUBSTITUTE(Audio!N434, "RE-", "", 1))*1</f>
        <v>176.354</v>
      </c>
      <c r="O434" s="92">
        <f>(SUBSTITUTE(Audio!O434, "RE-", "", 1))*1</f>
        <v>1.52063</v>
      </c>
      <c r="P434" s="92">
        <f>(SUBSTITUTE(Audio!P434, "RE-", "", 1))*1</f>
        <v>584.298</v>
      </c>
      <c r="Q434" s="92">
        <f>(SUBSTITUTE(Audio!Q434, "RE-", "", 1))*1</f>
        <v>17.4902</v>
      </c>
      <c r="R434" s="92">
        <f>(SUBSTITUTE(Audio!R434, "RE-", "", 1))*1</f>
        <v>733.468</v>
      </c>
      <c r="S434" s="92">
        <f>(SUBSTITUTE(Audio!S434, "RE-", "", 1))*1</f>
        <v>12.0364</v>
      </c>
      <c r="T434" s="92">
        <f>(SUBSTITUTE(Audio!T434, "RE-", "", 1))*1</f>
        <v>354.413</v>
      </c>
      <c r="U434" s="92">
        <f>(SUBSTITUTE(Audio!U434, "RE-", "", 1))*1</f>
        <v>17.4668</v>
      </c>
      <c r="V434" s="92">
        <f>(SUBSTITUTE(Audio!V434, "RE-", "", 1))*1</f>
        <v>3.89788</v>
      </c>
      <c r="W434" s="92">
        <f>(SUBSTITUTE(Audio!W434, "RE-", "", 1))*1</f>
        <v>0</v>
      </c>
      <c r="X434" s="92">
        <f>(SUBSTITUTE(Audio!X434, "RE-", "", 1))*1</f>
        <v>0</v>
      </c>
      <c r="Y434" s="92">
        <f>(SUBSTITUTE(Audio!Y434, "RE-", "", 1))*1</f>
        <v>0</v>
      </c>
      <c r="Z434" s="92">
        <f>(SUBSTITUTE(Audio!Z434, "RE-", "", 1))*1</f>
        <v>0</v>
      </c>
      <c r="AA434" s="92"/>
      <c r="AB434" s="92"/>
      <c r="AC434" s="92"/>
      <c r="AD434" s="92"/>
      <c r="AE434" s="92"/>
      <c r="AF434" s="92"/>
      <c r="AG434" s="92"/>
      <c r="AH434" s="92"/>
      <c r="AI434" s="92"/>
      <c r="AJ434" s="92"/>
      <c r="AK434" s="92"/>
      <c r="AL434" s="92"/>
      <c r="AM434" s="92"/>
      <c r="AN434" s="92"/>
      <c r="AO434" s="92"/>
      <c r="AP434" s="92"/>
      <c r="AQ434" s="92"/>
      <c r="AR434" s="92"/>
      <c r="AS434" s="92"/>
      <c r="AT434" s="92"/>
      <c r="AU434" s="92"/>
      <c r="AV434" s="92"/>
      <c r="AW434" s="92"/>
      <c r="AX434" s="92"/>
      <c r="AY434" s="92"/>
      <c r="AZ434" s="92"/>
      <c r="BA434" s="92"/>
      <c r="BB434" s="92"/>
      <c r="BC434" s="92"/>
      <c r="BD434" s="92"/>
      <c r="BE434" s="92"/>
      <c r="BF434" s="92"/>
      <c r="BG434" s="92"/>
      <c r="BH434" s="92"/>
      <c r="BI434" s="92"/>
      <c r="BJ434" s="92"/>
      <c r="BK434" s="92"/>
      <c r="BL434" s="92"/>
      <c r="BM434" s="92"/>
      <c r="BN434" s="92"/>
      <c r="BO434" s="92"/>
      <c r="BP434" s="92"/>
      <c r="BQ434" s="92"/>
      <c r="BR434" s="92"/>
      <c r="BS434" s="92"/>
      <c r="BT434" s="92"/>
      <c r="BU434" s="92"/>
      <c r="BV434" s="92"/>
      <c r="BW434" s="92"/>
      <c r="BX434" s="92"/>
      <c r="BY434" s="92"/>
      <c r="BZ434" s="92"/>
      <c r="CA434" s="92"/>
      <c r="CB434" s="92"/>
      <c r="CC434" s="92"/>
      <c r="CD434" s="92"/>
      <c r="CE434" s="92"/>
      <c r="CF434" s="92"/>
      <c r="CG434" s="92"/>
      <c r="CH434" s="92"/>
      <c r="CI434" s="92"/>
      <c r="CJ434" s="92"/>
      <c r="CK434" s="92"/>
      <c r="CL434" s="92"/>
      <c r="CM434" s="92"/>
      <c r="CN434" s="92"/>
      <c r="CO434" s="92"/>
      <c r="CP434" s="92"/>
      <c r="CQ434" s="92"/>
      <c r="CR434" s="92"/>
      <c r="CS434" s="92"/>
      <c r="CT434" s="92"/>
      <c r="CU434" s="92"/>
      <c r="CV434" s="92"/>
      <c r="CW434" s="92"/>
      <c r="CX434" s="92"/>
      <c r="CY434" s="92"/>
      <c r="CZ434" s="92"/>
      <c r="DA434" s="92"/>
      <c r="DB434" s="92"/>
      <c r="DC434" s="92"/>
      <c r="DD434" s="92"/>
      <c r="DE434" s="92"/>
      <c r="DF434" s="92"/>
      <c r="DG434" s="92"/>
      <c r="DH434" s="92"/>
      <c r="DI434" s="92"/>
      <c r="DJ434" s="92"/>
      <c r="DK434" s="92"/>
      <c r="DL434" s="92"/>
      <c r="DM434" s="92"/>
      <c r="DN434" s="92"/>
      <c r="DO434" s="92"/>
      <c r="DP434" s="92"/>
      <c r="DQ434" s="92"/>
      <c r="DR434" s="92"/>
      <c r="DS434" s="92"/>
      <c r="DT434" s="92"/>
      <c r="DU434" s="92"/>
      <c r="DV434" s="92"/>
      <c r="DW434" s="92"/>
      <c r="DX434" s="92"/>
      <c r="DY434" s="92"/>
      <c r="DZ434" s="92"/>
      <c r="EA434" s="92"/>
      <c r="EB434" s="92"/>
      <c r="EC434" s="92"/>
      <c r="ED434" s="92"/>
      <c r="EE434" s="92"/>
      <c r="EF434" s="92"/>
      <c r="EG434" s="92"/>
      <c r="EH434" s="92"/>
      <c r="EI434" s="92"/>
      <c r="EJ434" s="92"/>
      <c r="EK434" s="92"/>
      <c r="EL434" s="92"/>
      <c r="EM434" s="92"/>
      <c r="EN434" s="92"/>
      <c r="EO434" s="92"/>
      <c r="EP434" s="92"/>
      <c r="EQ434" s="92"/>
      <c r="ER434" s="92"/>
      <c r="ES434" s="92"/>
      <c r="ET434" s="92"/>
      <c r="EU434" s="92"/>
      <c r="EV434" s="92"/>
      <c r="EW434" s="92"/>
      <c r="EX434" s="92"/>
      <c r="EY434" s="92"/>
      <c r="EZ434" s="92"/>
      <c r="FA434" s="92"/>
      <c r="FB434" s="92"/>
      <c r="FC434" s="92"/>
      <c r="FD434" s="92"/>
      <c r="FE434" s="92"/>
      <c r="FF434" s="92"/>
      <c r="FG434" s="92"/>
      <c r="FH434" s="92"/>
    </row>
    <row r="435">
      <c r="A435" s="30" t="s">
        <v>17</v>
      </c>
      <c r="B435" s="30" t="s">
        <v>79</v>
      </c>
      <c r="C435" s="31" t="str">
        <f>HYPERLINK("https://docs.google.com/spreadsheets/d/1J4iOhAuwObNbPc7g7_bN2rjcLmfFDINX/edit?usp=share_link&amp;ouid=118279477453217743021&amp;rtpof=true&amp;sd=true", "Raw Delivered")</f>
        <v>Raw Delivered</v>
      </c>
      <c r="D435" s="96">
        <f t="shared" si="1"/>
        <v>5774.775479</v>
      </c>
      <c r="E435" s="92">
        <f>(SUBSTITUTE(Audio!E435, "RE-", "", 1))*1</f>
        <v>0</v>
      </c>
      <c r="F435" s="92">
        <f>(SUBSTITUTE(Audio!F435, "RE-", "", 1))*1</f>
        <v>223.3807354</v>
      </c>
      <c r="G435" s="92">
        <f>(SUBSTITUTE(Audio!G435, "RE-", "", 1))*1</f>
        <v>0</v>
      </c>
      <c r="H435" s="92">
        <f>(SUBSTITUTE(Audio!H435, "RE-", "", 1))*1</f>
        <v>32.38791458</v>
      </c>
      <c r="I435" s="92">
        <f>(SUBSTITUTE(Audio!I435, "RE-", "", 1))*1</f>
        <v>0</v>
      </c>
      <c r="J435" s="92">
        <f>(SUBSTITUTE(Audio!J435, "RE-", "", 1))*1</f>
        <v>441.6185021</v>
      </c>
      <c r="K435" s="92">
        <f>(SUBSTITUTE(Audio!K435, "RE-", "", 1))*1</f>
        <v>0</v>
      </c>
      <c r="L435" s="92">
        <f>(SUBSTITUTE(Audio!L435, "RE-", "", 1))*1</f>
        <v>522.4588458</v>
      </c>
      <c r="M435" s="92">
        <f>(SUBSTITUTE(Audio!M435, "RE-", "", 1))*1</f>
        <v>0</v>
      </c>
      <c r="N435" s="92">
        <f>(SUBSTITUTE(Audio!N435, "RE-", "", 1))*1</f>
        <v>3301.038524</v>
      </c>
      <c r="O435" s="92">
        <f>(SUBSTITUTE(Audio!O435, "RE-", "", 1))*1</f>
        <v>0</v>
      </c>
      <c r="P435" s="92">
        <f>(SUBSTITUTE(Audio!P435, "RE-", "", 1))*1</f>
        <v>237.3667542</v>
      </c>
      <c r="Q435" s="92">
        <f>(SUBSTITUTE(Audio!Q435, "RE-", "", 1))*1</f>
        <v>0</v>
      </c>
      <c r="R435" s="92">
        <f>(SUBSTITUTE(Audio!R435, "RE-", "", 1))*1</f>
        <v>638.7475896</v>
      </c>
      <c r="S435" s="92">
        <f>(SUBSTITUTE(Audio!S435, "RE-", "", 1))*1</f>
        <v>0</v>
      </c>
      <c r="T435" s="92">
        <f>(SUBSTITUTE(Audio!T435, "RE-", "", 1))*1</f>
        <v>377.7766135</v>
      </c>
      <c r="U435" s="92">
        <f>(SUBSTITUTE(Audio!U435, "RE-", "", 1))*1</f>
        <v>0</v>
      </c>
      <c r="V435" s="92">
        <f>(SUBSTITUTE(Audio!V435, "RE-", "", 1))*1</f>
        <v>0</v>
      </c>
      <c r="W435" s="92">
        <f>(SUBSTITUTE(Audio!W435, "RE-", "", 1))*1</f>
        <v>0</v>
      </c>
      <c r="X435" s="92">
        <f>(SUBSTITUTE(Audio!X435, "RE-", "", 1))*1</f>
        <v>0</v>
      </c>
      <c r="Y435" s="92">
        <f>(SUBSTITUTE(Audio!Y435, "RE-", "", 1))*1</f>
        <v>0</v>
      </c>
      <c r="Z435" s="92">
        <f>(SUBSTITUTE(Audio!Z435, "RE-", "", 1))*1</f>
        <v>0</v>
      </c>
      <c r="AA435" s="92"/>
      <c r="AB435" s="92"/>
      <c r="AC435" s="92"/>
      <c r="AD435" s="92"/>
      <c r="AE435" s="92"/>
      <c r="AF435" s="92"/>
      <c r="AG435" s="92"/>
      <c r="AH435" s="92"/>
      <c r="AI435" s="92"/>
      <c r="AJ435" s="92"/>
      <c r="AK435" s="92"/>
      <c r="AL435" s="92"/>
      <c r="AM435" s="92"/>
      <c r="AN435" s="92"/>
      <c r="AO435" s="92"/>
      <c r="AP435" s="92"/>
      <c r="AQ435" s="92"/>
      <c r="AR435" s="92"/>
      <c r="AS435" s="92"/>
      <c r="AT435" s="92"/>
      <c r="AU435" s="92"/>
      <c r="AV435" s="92"/>
      <c r="AW435" s="92"/>
      <c r="AX435" s="92"/>
      <c r="AY435" s="92"/>
      <c r="AZ435" s="92"/>
      <c r="BA435" s="92"/>
      <c r="BB435" s="92"/>
      <c r="BC435" s="92"/>
      <c r="BD435" s="92"/>
      <c r="BE435" s="92"/>
      <c r="BF435" s="92"/>
      <c r="BG435" s="92"/>
      <c r="BH435" s="92"/>
      <c r="BI435" s="92"/>
      <c r="BJ435" s="92"/>
      <c r="BK435" s="92"/>
      <c r="BL435" s="92"/>
      <c r="BM435" s="92"/>
      <c r="BN435" s="92"/>
      <c r="BO435" s="92"/>
      <c r="BP435" s="92"/>
      <c r="BQ435" s="92"/>
      <c r="BR435" s="92"/>
      <c r="BS435" s="92"/>
      <c r="BT435" s="92"/>
      <c r="BU435" s="92"/>
      <c r="BV435" s="92"/>
      <c r="BW435" s="92"/>
      <c r="BX435" s="92"/>
      <c r="BY435" s="92"/>
      <c r="BZ435" s="92"/>
      <c r="CA435" s="92"/>
      <c r="CB435" s="92"/>
      <c r="CC435" s="92"/>
      <c r="CD435" s="92"/>
      <c r="CE435" s="92"/>
      <c r="CF435" s="92"/>
      <c r="CG435" s="92"/>
      <c r="CH435" s="92"/>
      <c r="CI435" s="92"/>
      <c r="CJ435" s="92"/>
      <c r="CK435" s="92"/>
      <c r="CL435" s="92"/>
      <c r="CM435" s="92"/>
      <c r="CN435" s="92"/>
      <c r="CO435" s="92"/>
      <c r="CP435" s="92"/>
      <c r="CQ435" s="92"/>
      <c r="CR435" s="92"/>
      <c r="CS435" s="92"/>
      <c r="CT435" s="92"/>
      <c r="CU435" s="92"/>
      <c r="CV435" s="92"/>
      <c r="CW435" s="92"/>
      <c r="CX435" s="92"/>
      <c r="CY435" s="92"/>
      <c r="CZ435" s="92"/>
      <c r="DA435" s="92"/>
      <c r="DB435" s="92"/>
      <c r="DC435" s="92"/>
      <c r="DD435" s="92"/>
      <c r="DE435" s="92"/>
      <c r="DF435" s="92"/>
      <c r="DG435" s="92"/>
      <c r="DH435" s="92"/>
      <c r="DI435" s="92"/>
      <c r="DJ435" s="92"/>
      <c r="DK435" s="92"/>
      <c r="DL435" s="92"/>
      <c r="DM435" s="92"/>
      <c r="DN435" s="92"/>
      <c r="DO435" s="92"/>
      <c r="DP435" s="92"/>
      <c r="DQ435" s="92"/>
      <c r="DR435" s="92"/>
      <c r="DS435" s="92"/>
      <c r="DT435" s="92"/>
      <c r="DU435" s="92"/>
      <c r="DV435" s="92"/>
      <c r="DW435" s="92"/>
      <c r="DX435" s="92"/>
      <c r="DY435" s="92"/>
      <c r="DZ435" s="92"/>
      <c r="EA435" s="92"/>
      <c r="EB435" s="92"/>
      <c r="EC435" s="92"/>
      <c r="ED435" s="92"/>
      <c r="EE435" s="92"/>
      <c r="EF435" s="92"/>
      <c r="EG435" s="92"/>
      <c r="EH435" s="92"/>
      <c r="EI435" s="92"/>
      <c r="EJ435" s="92"/>
      <c r="EK435" s="92"/>
      <c r="EL435" s="92"/>
      <c r="EM435" s="92"/>
      <c r="EN435" s="92"/>
      <c r="EO435" s="92"/>
      <c r="EP435" s="92"/>
      <c r="EQ435" s="92"/>
      <c r="ER435" s="92"/>
      <c r="ES435" s="92"/>
      <c r="ET435" s="92"/>
      <c r="EU435" s="92"/>
      <c r="EV435" s="92"/>
      <c r="EW435" s="92"/>
      <c r="EX435" s="92"/>
      <c r="EY435" s="92"/>
      <c r="EZ435" s="92"/>
      <c r="FA435" s="92"/>
      <c r="FB435" s="92"/>
      <c r="FC435" s="92"/>
      <c r="FD435" s="92"/>
      <c r="FE435" s="92"/>
      <c r="FF435" s="92"/>
      <c r="FG435" s="92"/>
      <c r="FH435" s="92"/>
    </row>
    <row r="436">
      <c r="A436" s="32" t="s">
        <v>17</v>
      </c>
      <c r="B436" s="32" t="s">
        <v>79</v>
      </c>
      <c r="C436" s="32" t="s">
        <v>9</v>
      </c>
      <c r="D436" s="97">
        <f t="shared" si="1"/>
        <v>5774.775479</v>
      </c>
      <c r="E436" s="92">
        <f>(SUBSTITUTE(Audio!E436, "RE-", "", 1))*1</f>
        <v>0</v>
      </c>
      <c r="F436" s="92">
        <f>(SUBSTITUTE(Audio!F436, "RE-", "", 1))*1</f>
        <v>223.3807354</v>
      </c>
      <c r="G436" s="92">
        <f>(SUBSTITUTE(Audio!G436, "RE-", "", 1))*1</f>
        <v>0</v>
      </c>
      <c r="H436" s="92">
        <f>(SUBSTITUTE(Audio!H436, "RE-", "", 1))*1</f>
        <v>32.38791458</v>
      </c>
      <c r="I436" s="92">
        <f>(SUBSTITUTE(Audio!I436, "RE-", "", 1))*1</f>
        <v>0</v>
      </c>
      <c r="J436" s="92">
        <f>(SUBSTITUTE(Audio!J436, "RE-", "", 1))*1</f>
        <v>441.6185021</v>
      </c>
      <c r="K436" s="92">
        <f>(SUBSTITUTE(Audio!K436, "RE-", "", 1))*1</f>
        <v>0</v>
      </c>
      <c r="L436" s="92">
        <f>(SUBSTITUTE(Audio!L436, "RE-", "", 1))*1</f>
        <v>522.4588458</v>
      </c>
      <c r="M436" s="92">
        <f>(SUBSTITUTE(Audio!M436, "RE-", "", 1))*1</f>
        <v>0</v>
      </c>
      <c r="N436" s="92">
        <f>(SUBSTITUTE(Audio!N436, "RE-", "", 1))*1</f>
        <v>3301.038524</v>
      </c>
      <c r="O436" s="92">
        <f>(SUBSTITUTE(Audio!O436, "RE-", "", 1))*1</f>
        <v>0</v>
      </c>
      <c r="P436" s="92">
        <f>(SUBSTITUTE(Audio!P436, "RE-", "", 1))*1</f>
        <v>237.3667542</v>
      </c>
      <c r="Q436" s="92">
        <f>(SUBSTITUTE(Audio!Q436, "RE-", "", 1))*1</f>
        <v>0</v>
      </c>
      <c r="R436" s="92">
        <f>(SUBSTITUTE(Audio!R436, "RE-", "", 1))*1</f>
        <v>638.7475896</v>
      </c>
      <c r="S436" s="92">
        <f>(SUBSTITUTE(Audio!S436, "RE-", "", 1))*1</f>
        <v>0</v>
      </c>
      <c r="T436" s="92">
        <f>(SUBSTITUTE(Audio!T436, "RE-", "", 1))*1</f>
        <v>377.7766135</v>
      </c>
      <c r="U436" s="92">
        <f>(SUBSTITUTE(Audio!U436, "RE-", "", 1))*1</f>
        <v>0</v>
      </c>
      <c r="V436" s="92">
        <f>(SUBSTITUTE(Audio!V436, "RE-", "", 1))*1</f>
        <v>0</v>
      </c>
      <c r="W436" s="92">
        <f>(SUBSTITUTE(Audio!W436, "RE-", "", 1))*1</f>
        <v>0</v>
      </c>
      <c r="X436" s="92">
        <f>(SUBSTITUTE(Audio!X436, "RE-", "", 1))*1</f>
        <v>0</v>
      </c>
      <c r="Y436" s="92">
        <f>(SUBSTITUTE(Audio!Y436, "RE-", "", 1))*1</f>
        <v>0</v>
      </c>
      <c r="Z436" s="92">
        <f>(SUBSTITUTE(Audio!Z436, "RE-", "", 1))*1</f>
        <v>0</v>
      </c>
      <c r="AA436" s="92"/>
      <c r="AB436" s="92"/>
      <c r="AC436" s="92"/>
      <c r="AD436" s="92"/>
      <c r="AE436" s="92"/>
      <c r="AF436" s="92"/>
      <c r="AG436" s="92"/>
      <c r="AH436" s="92"/>
      <c r="AI436" s="92"/>
      <c r="AJ436" s="92"/>
      <c r="AK436" s="92"/>
      <c r="AL436" s="92"/>
      <c r="AM436" s="92"/>
      <c r="AN436" s="92"/>
      <c r="AO436" s="92"/>
      <c r="AP436" s="92"/>
      <c r="AQ436" s="92"/>
      <c r="AR436" s="92"/>
      <c r="AS436" s="92"/>
      <c r="AT436" s="92"/>
      <c r="AU436" s="92"/>
      <c r="AV436" s="92"/>
      <c r="AW436" s="92"/>
      <c r="AX436" s="92"/>
      <c r="AY436" s="92"/>
      <c r="AZ436" s="92"/>
      <c r="BA436" s="92"/>
      <c r="BB436" s="92"/>
      <c r="BC436" s="92"/>
      <c r="BD436" s="92"/>
      <c r="BE436" s="92"/>
      <c r="BF436" s="92"/>
      <c r="BG436" s="92"/>
      <c r="BH436" s="92"/>
      <c r="BI436" s="92"/>
      <c r="BJ436" s="92"/>
      <c r="BK436" s="92"/>
      <c r="BL436" s="92"/>
      <c r="BM436" s="92"/>
      <c r="BN436" s="92"/>
      <c r="BO436" s="92"/>
      <c r="BP436" s="92"/>
      <c r="BQ436" s="92"/>
      <c r="BR436" s="92"/>
      <c r="BS436" s="92"/>
      <c r="BT436" s="92"/>
      <c r="BU436" s="92"/>
      <c r="BV436" s="92"/>
      <c r="BW436" s="92"/>
      <c r="BX436" s="92"/>
      <c r="BY436" s="92"/>
      <c r="BZ436" s="92"/>
      <c r="CA436" s="92"/>
      <c r="CB436" s="92"/>
      <c r="CC436" s="92"/>
      <c r="CD436" s="92"/>
      <c r="CE436" s="92"/>
      <c r="CF436" s="92"/>
      <c r="CG436" s="92"/>
      <c r="CH436" s="92"/>
      <c r="CI436" s="92"/>
      <c r="CJ436" s="92"/>
      <c r="CK436" s="92"/>
      <c r="CL436" s="92"/>
      <c r="CM436" s="92"/>
      <c r="CN436" s="92"/>
      <c r="CO436" s="92"/>
      <c r="CP436" s="92"/>
      <c r="CQ436" s="92"/>
      <c r="CR436" s="92"/>
      <c r="CS436" s="92"/>
      <c r="CT436" s="92"/>
      <c r="CU436" s="92"/>
      <c r="CV436" s="92"/>
      <c r="CW436" s="92"/>
      <c r="CX436" s="92"/>
      <c r="CY436" s="92"/>
      <c r="CZ436" s="92"/>
      <c r="DA436" s="92"/>
      <c r="DB436" s="92"/>
      <c r="DC436" s="92"/>
      <c r="DD436" s="92"/>
      <c r="DE436" s="92"/>
      <c r="DF436" s="92"/>
      <c r="DG436" s="92"/>
      <c r="DH436" s="92"/>
      <c r="DI436" s="92"/>
      <c r="DJ436" s="92"/>
      <c r="DK436" s="92"/>
      <c r="DL436" s="92"/>
      <c r="DM436" s="92"/>
      <c r="DN436" s="92"/>
      <c r="DO436" s="92"/>
      <c r="DP436" s="92"/>
      <c r="DQ436" s="92"/>
      <c r="DR436" s="92"/>
      <c r="DS436" s="92"/>
      <c r="DT436" s="92"/>
      <c r="DU436" s="92"/>
      <c r="DV436" s="92"/>
      <c r="DW436" s="92"/>
      <c r="DX436" s="92"/>
      <c r="DY436" s="92"/>
      <c r="DZ436" s="92"/>
      <c r="EA436" s="92"/>
      <c r="EB436" s="92"/>
      <c r="EC436" s="92"/>
      <c r="ED436" s="92"/>
      <c r="EE436" s="92"/>
      <c r="EF436" s="92"/>
      <c r="EG436" s="92"/>
      <c r="EH436" s="92"/>
      <c r="EI436" s="92"/>
      <c r="EJ436" s="92"/>
      <c r="EK436" s="92"/>
      <c r="EL436" s="92"/>
      <c r="EM436" s="92"/>
      <c r="EN436" s="92"/>
      <c r="EO436" s="92"/>
      <c r="EP436" s="92"/>
      <c r="EQ436" s="92"/>
      <c r="ER436" s="92"/>
      <c r="ES436" s="92"/>
      <c r="ET436" s="92"/>
      <c r="EU436" s="92"/>
      <c r="EV436" s="92"/>
      <c r="EW436" s="92"/>
      <c r="EX436" s="92"/>
      <c r="EY436" s="92"/>
      <c r="EZ436" s="92"/>
      <c r="FA436" s="92"/>
      <c r="FB436" s="92"/>
      <c r="FC436" s="92"/>
      <c r="FD436" s="92"/>
      <c r="FE436" s="92"/>
      <c r="FF436" s="92"/>
      <c r="FG436" s="92"/>
      <c r="FH436" s="92"/>
    </row>
    <row r="437">
      <c r="A437" s="32" t="s">
        <v>17</v>
      </c>
      <c r="B437" s="32" t="s">
        <v>79</v>
      </c>
      <c r="C437" s="32" t="s">
        <v>10</v>
      </c>
      <c r="D437" s="97">
        <f t="shared" si="1"/>
        <v>577.0282521</v>
      </c>
      <c r="E437" s="92">
        <f>(SUBSTITUTE(Audio!E437, "RE-", "", 1))*1</f>
        <v>0</v>
      </c>
      <c r="F437" s="92">
        <f>(SUBSTITUTE(Audio!F437, "RE-", "", 1))*1</f>
        <v>0</v>
      </c>
      <c r="G437" s="92">
        <f>(SUBSTITUTE(Audio!G437, "RE-", "", 1))*1</f>
        <v>20.895675</v>
      </c>
      <c r="H437" s="92">
        <f>(SUBSTITUTE(Audio!H437, "RE-", "", 1))*1</f>
        <v>0</v>
      </c>
      <c r="I437" s="92">
        <f>(SUBSTITUTE(Audio!I437, "RE-", "", 1))*1</f>
        <v>2.298995833</v>
      </c>
      <c r="J437" s="92">
        <f>(SUBSTITUTE(Audio!J437, "RE-", "", 1))*1</f>
        <v>0</v>
      </c>
      <c r="K437" s="92">
        <f>(SUBSTITUTE(Audio!K437, "RE-", "", 1))*1</f>
        <v>9.335479167</v>
      </c>
      <c r="L437" s="92">
        <f>(SUBSTITUTE(Audio!L437, "RE-", "", 1))*1</f>
        <v>0</v>
      </c>
      <c r="M437" s="92">
        <f>(SUBSTITUTE(Audio!M437, "RE-", "", 1))*1</f>
        <v>12.63361979</v>
      </c>
      <c r="N437" s="92">
        <f>(SUBSTITUTE(Audio!N437, "RE-", "", 1))*1</f>
        <v>0</v>
      </c>
      <c r="O437" s="92">
        <f>(SUBSTITUTE(Audio!O437, "RE-", "", 1))*1</f>
        <v>446.5232938</v>
      </c>
      <c r="P437" s="92">
        <f>(SUBSTITUTE(Audio!P437, "RE-", "", 1))*1</f>
        <v>0</v>
      </c>
      <c r="Q437" s="92">
        <f>(SUBSTITUTE(Audio!Q437, "RE-", "", 1))*1</f>
        <v>27.25110625</v>
      </c>
      <c r="R437" s="92">
        <f>(SUBSTITUTE(Audio!R437, "RE-", "", 1))*1</f>
        <v>0</v>
      </c>
      <c r="S437" s="92">
        <f>(SUBSTITUTE(Audio!S437, "RE-", "", 1))*1</f>
        <v>26.90398229</v>
      </c>
      <c r="T437" s="92">
        <f>(SUBSTITUTE(Audio!T437, "RE-", "", 1))*1</f>
        <v>0</v>
      </c>
      <c r="U437" s="92">
        <f>(SUBSTITUTE(Audio!U437, "RE-", "", 1))*1</f>
        <v>27.39923958</v>
      </c>
      <c r="V437" s="92">
        <f>(SUBSTITUTE(Audio!V437, "RE-", "", 1))*1</f>
        <v>3.786860417</v>
      </c>
      <c r="W437" s="92">
        <f>(SUBSTITUTE(Audio!W437, "RE-", "", 1))*1</f>
        <v>0</v>
      </c>
      <c r="X437" s="92">
        <f>(SUBSTITUTE(Audio!X437, "RE-", "", 1))*1</f>
        <v>0</v>
      </c>
      <c r="Y437" s="92">
        <f>(SUBSTITUTE(Audio!Y437, "RE-", "", 1))*1</f>
        <v>0</v>
      </c>
      <c r="Z437" s="92">
        <f>(SUBSTITUTE(Audio!Z437, "RE-", "", 1))*1</f>
        <v>0</v>
      </c>
      <c r="AA437" s="92"/>
      <c r="AB437" s="92"/>
      <c r="AC437" s="92"/>
      <c r="AD437" s="92"/>
      <c r="AE437" s="92"/>
      <c r="AF437" s="92"/>
      <c r="AG437" s="92"/>
      <c r="AH437" s="92"/>
      <c r="AI437" s="92"/>
      <c r="AJ437" s="92"/>
      <c r="AK437" s="92"/>
      <c r="AL437" s="92"/>
      <c r="AM437" s="92"/>
      <c r="AN437" s="92"/>
      <c r="AO437" s="92"/>
      <c r="AP437" s="92"/>
      <c r="AQ437" s="92"/>
      <c r="AR437" s="92"/>
      <c r="AS437" s="92"/>
      <c r="AT437" s="92"/>
      <c r="AU437" s="92"/>
      <c r="AV437" s="92"/>
      <c r="AW437" s="92"/>
      <c r="AX437" s="92"/>
      <c r="AY437" s="92"/>
      <c r="AZ437" s="92"/>
      <c r="BA437" s="92"/>
      <c r="BB437" s="92"/>
      <c r="BC437" s="92"/>
      <c r="BD437" s="92"/>
      <c r="BE437" s="92"/>
      <c r="BF437" s="92"/>
      <c r="BG437" s="92"/>
      <c r="BH437" s="92"/>
      <c r="BI437" s="92"/>
      <c r="BJ437" s="92"/>
      <c r="BK437" s="92"/>
      <c r="BL437" s="92"/>
      <c r="BM437" s="92"/>
      <c r="BN437" s="92"/>
      <c r="BO437" s="92"/>
      <c r="BP437" s="92"/>
      <c r="BQ437" s="92"/>
      <c r="BR437" s="92"/>
      <c r="BS437" s="92"/>
      <c r="BT437" s="92"/>
      <c r="BU437" s="92"/>
      <c r="BV437" s="92"/>
      <c r="BW437" s="92"/>
      <c r="BX437" s="92"/>
      <c r="BY437" s="92"/>
      <c r="BZ437" s="92"/>
      <c r="CA437" s="92"/>
      <c r="CB437" s="92"/>
      <c r="CC437" s="92"/>
      <c r="CD437" s="92"/>
      <c r="CE437" s="92"/>
      <c r="CF437" s="92"/>
      <c r="CG437" s="92"/>
      <c r="CH437" s="92"/>
      <c r="CI437" s="92"/>
      <c r="CJ437" s="92"/>
      <c r="CK437" s="92"/>
      <c r="CL437" s="92"/>
      <c r="CM437" s="92"/>
      <c r="CN437" s="92"/>
      <c r="CO437" s="92"/>
      <c r="CP437" s="92"/>
      <c r="CQ437" s="92"/>
      <c r="CR437" s="92"/>
      <c r="CS437" s="92"/>
      <c r="CT437" s="92"/>
      <c r="CU437" s="92"/>
      <c r="CV437" s="92"/>
      <c r="CW437" s="92"/>
      <c r="CX437" s="92"/>
      <c r="CY437" s="92"/>
      <c r="CZ437" s="92"/>
      <c r="DA437" s="92"/>
      <c r="DB437" s="92"/>
      <c r="DC437" s="92"/>
      <c r="DD437" s="92"/>
      <c r="DE437" s="92"/>
      <c r="DF437" s="92"/>
      <c r="DG437" s="92"/>
      <c r="DH437" s="92"/>
      <c r="DI437" s="92"/>
      <c r="DJ437" s="92"/>
      <c r="DK437" s="92"/>
      <c r="DL437" s="92"/>
      <c r="DM437" s="92"/>
      <c r="DN437" s="92"/>
      <c r="DO437" s="92"/>
      <c r="DP437" s="92"/>
      <c r="DQ437" s="92"/>
      <c r="DR437" s="92"/>
      <c r="DS437" s="92"/>
      <c r="DT437" s="92"/>
      <c r="DU437" s="92"/>
      <c r="DV437" s="92"/>
      <c r="DW437" s="92"/>
      <c r="DX437" s="92"/>
      <c r="DY437" s="92"/>
      <c r="DZ437" s="92"/>
      <c r="EA437" s="92"/>
      <c r="EB437" s="92"/>
      <c r="EC437" s="92"/>
      <c r="ED437" s="92"/>
      <c r="EE437" s="92"/>
      <c r="EF437" s="92"/>
      <c r="EG437" s="92"/>
      <c r="EH437" s="92"/>
      <c r="EI437" s="92"/>
      <c r="EJ437" s="92"/>
      <c r="EK437" s="92"/>
      <c r="EL437" s="92"/>
      <c r="EM437" s="92"/>
      <c r="EN437" s="92"/>
      <c r="EO437" s="92"/>
      <c r="EP437" s="92"/>
      <c r="EQ437" s="92"/>
      <c r="ER437" s="92"/>
      <c r="ES437" s="92"/>
      <c r="ET437" s="92"/>
      <c r="EU437" s="92"/>
      <c r="EV437" s="92"/>
      <c r="EW437" s="92"/>
      <c r="EX437" s="92"/>
      <c r="EY437" s="92"/>
      <c r="EZ437" s="92"/>
      <c r="FA437" s="92"/>
      <c r="FB437" s="92"/>
      <c r="FC437" s="92"/>
      <c r="FD437" s="92"/>
      <c r="FE437" s="92"/>
      <c r="FF437" s="92"/>
      <c r="FG437" s="92"/>
      <c r="FH437" s="92"/>
    </row>
    <row r="438">
      <c r="A438" s="32" t="s">
        <v>17</v>
      </c>
      <c r="B438" s="32" t="s">
        <v>79</v>
      </c>
      <c r="C438" s="32" t="s">
        <v>11</v>
      </c>
      <c r="D438" s="97">
        <f t="shared" si="1"/>
        <v>577.0282521</v>
      </c>
      <c r="E438" s="92">
        <f>(SUBSTITUTE(Audio!E438, "RE-", "", 1))*1</f>
        <v>0</v>
      </c>
      <c r="F438" s="92">
        <f>(SUBSTITUTE(Audio!F438, "RE-", "", 1))*1</f>
        <v>0</v>
      </c>
      <c r="G438" s="92">
        <f>(SUBSTITUTE(Audio!G438, "RE-", "", 1))*1</f>
        <v>20.895675</v>
      </c>
      <c r="H438" s="92">
        <f>(SUBSTITUTE(Audio!H438, "RE-", "", 1))*1</f>
        <v>0</v>
      </c>
      <c r="I438" s="92">
        <f>(SUBSTITUTE(Audio!I438, "RE-", "", 1))*1</f>
        <v>2.298995833</v>
      </c>
      <c r="J438" s="92">
        <f>(SUBSTITUTE(Audio!J438, "RE-", "", 1))*1</f>
        <v>0</v>
      </c>
      <c r="K438" s="92">
        <f>(SUBSTITUTE(Audio!K438, "RE-", "", 1))*1</f>
        <v>9.335479167</v>
      </c>
      <c r="L438" s="92">
        <f>(SUBSTITUTE(Audio!L438, "RE-", "", 1))*1</f>
        <v>0</v>
      </c>
      <c r="M438" s="92">
        <f>(SUBSTITUTE(Audio!M438, "RE-", "", 1))*1</f>
        <v>12.63361979</v>
      </c>
      <c r="N438" s="92">
        <f>(SUBSTITUTE(Audio!N438, "RE-", "", 1))*1</f>
        <v>0</v>
      </c>
      <c r="O438" s="92">
        <f>(SUBSTITUTE(Audio!O438, "RE-", "", 1))*1</f>
        <v>446.5232938</v>
      </c>
      <c r="P438" s="92">
        <f>(SUBSTITUTE(Audio!P438, "RE-", "", 1))*1</f>
        <v>0</v>
      </c>
      <c r="Q438" s="92">
        <f>(SUBSTITUTE(Audio!Q438, "RE-", "", 1))*1</f>
        <v>27.25110625</v>
      </c>
      <c r="R438" s="92">
        <f>(SUBSTITUTE(Audio!R438, "RE-", "", 1))*1</f>
        <v>0</v>
      </c>
      <c r="S438" s="92">
        <f>(SUBSTITUTE(Audio!S438, "RE-", "", 1))*1</f>
        <v>26.90398229</v>
      </c>
      <c r="T438" s="92">
        <f>(SUBSTITUTE(Audio!T438, "RE-", "", 1))*1</f>
        <v>0</v>
      </c>
      <c r="U438" s="92">
        <f>(SUBSTITUTE(Audio!U438, "RE-", "", 1))*1</f>
        <v>27.39923958</v>
      </c>
      <c r="V438" s="92">
        <f>(SUBSTITUTE(Audio!V438, "RE-", "", 1))*1</f>
        <v>3.786860417</v>
      </c>
      <c r="W438" s="92">
        <f>(SUBSTITUTE(Audio!W438, "RE-", "", 1))*1</f>
        <v>0</v>
      </c>
      <c r="X438" s="92">
        <f>(SUBSTITUTE(Audio!X438, "RE-", "", 1))*1</f>
        <v>0</v>
      </c>
      <c r="Y438" s="92">
        <f>(SUBSTITUTE(Audio!Y438, "RE-", "", 1))*1</f>
        <v>0</v>
      </c>
      <c r="Z438" s="92">
        <f>(SUBSTITUTE(Audio!Z438, "RE-", "", 1))*1</f>
        <v>0</v>
      </c>
      <c r="AA438" s="92"/>
      <c r="AB438" s="92"/>
      <c r="AC438" s="92"/>
      <c r="AD438" s="92"/>
      <c r="AE438" s="92"/>
      <c r="AF438" s="92"/>
      <c r="AG438" s="92"/>
      <c r="AH438" s="92"/>
      <c r="AI438" s="92"/>
      <c r="AJ438" s="92"/>
      <c r="AK438" s="92"/>
      <c r="AL438" s="92"/>
      <c r="AM438" s="92"/>
      <c r="AN438" s="92"/>
      <c r="AO438" s="92"/>
      <c r="AP438" s="92"/>
      <c r="AQ438" s="92"/>
      <c r="AR438" s="92"/>
      <c r="AS438" s="92"/>
      <c r="AT438" s="92"/>
      <c r="AU438" s="92"/>
      <c r="AV438" s="92"/>
      <c r="AW438" s="92"/>
      <c r="AX438" s="92"/>
      <c r="AY438" s="92"/>
      <c r="AZ438" s="92"/>
      <c r="BA438" s="92"/>
      <c r="BB438" s="92"/>
      <c r="BC438" s="92"/>
      <c r="BD438" s="92"/>
      <c r="BE438" s="92"/>
      <c r="BF438" s="92"/>
      <c r="BG438" s="92"/>
      <c r="BH438" s="92"/>
      <c r="BI438" s="92"/>
      <c r="BJ438" s="92"/>
      <c r="BK438" s="92"/>
      <c r="BL438" s="92"/>
      <c r="BM438" s="92"/>
      <c r="BN438" s="92"/>
      <c r="BO438" s="92"/>
      <c r="BP438" s="92"/>
      <c r="BQ438" s="92"/>
      <c r="BR438" s="92"/>
      <c r="BS438" s="92"/>
      <c r="BT438" s="92"/>
      <c r="BU438" s="92"/>
      <c r="BV438" s="92"/>
      <c r="BW438" s="92"/>
      <c r="BX438" s="92"/>
      <c r="BY438" s="92"/>
      <c r="BZ438" s="92"/>
      <c r="CA438" s="92"/>
      <c r="CB438" s="92"/>
      <c r="CC438" s="92"/>
      <c r="CD438" s="92"/>
      <c r="CE438" s="92"/>
      <c r="CF438" s="92"/>
      <c r="CG438" s="92"/>
      <c r="CH438" s="92"/>
      <c r="CI438" s="92"/>
      <c r="CJ438" s="92"/>
      <c r="CK438" s="92"/>
      <c r="CL438" s="92"/>
      <c r="CM438" s="92"/>
      <c r="CN438" s="92"/>
      <c r="CO438" s="92"/>
      <c r="CP438" s="92"/>
      <c r="CQ438" s="92"/>
      <c r="CR438" s="92"/>
      <c r="CS438" s="92"/>
      <c r="CT438" s="92"/>
      <c r="CU438" s="92"/>
      <c r="CV438" s="92"/>
      <c r="CW438" s="92"/>
      <c r="CX438" s="92"/>
      <c r="CY438" s="92"/>
      <c r="CZ438" s="92"/>
      <c r="DA438" s="92"/>
      <c r="DB438" s="92"/>
      <c r="DC438" s="92"/>
      <c r="DD438" s="92"/>
      <c r="DE438" s="92"/>
      <c r="DF438" s="92"/>
      <c r="DG438" s="92"/>
      <c r="DH438" s="92"/>
      <c r="DI438" s="92"/>
      <c r="DJ438" s="92"/>
      <c r="DK438" s="92"/>
      <c r="DL438" s="92"/>
      <c r="DM438" s="92"/>
      <c r="DN438" s="92"/>
      <c r="DO438" s="92"/>
      <c r="DP438" s="92"/>
      <c r="DQ438" s="92"/>
      <c r="DR438" s="92"/>
      <c r="DS438" s="92"/>
      <c r="DT438" s="92"/>
      <c r="DU438" s="92"/>
      <c r="DV438" s="92"/>
      <c r="DW438" s="92"/>
      <c r="DX438" s="92"/>
      <c r="DY438" s="92"/>
      <c r="DZ438" s="92"/>
      <c r="EA438" s="92"/>
      <c r="EB438" s="92"/>
      <c r="EC438" s="92"/>
      <c r="ED438" s="92"/>
      <c r="EE438" s="92"/>
      <c r="EF438" s="92"/>
      <c r="EG438" s="92"/>
      <c r="EH438" s="92"/>
      <c r="EI438" s="92"/>
      <c r="EJ438" s="92"/>
      <c r="EK438" s="92"/>
      <c r="EL438" s="92"/>
      <c r="EM438" s="92"/>
      <c r="EN438" s="92"/>
      <c r="EO438" s="92"/>
      <c r="EP438" s="92"/>
      <c r="EQ438" s="92"/>
      <c r="ER438" s="92"/>
      <c r="ES438" s="92"/>
      <c r="ET438" s="92"/>
      <c r="EU438" s="92"/>
      <c r="EV438" s="92"/>
      <c r="EW438" s="92"/>
      <c r="EX438" s="92"/>
      <c r="EY438" s="92"/>
      <c r="EZ438" s="92"/>
      <c r="FA438" s="92"/>
      <c r="FB438" s="92"/>
      <c r="FC438" s="92"/>
      <c r="FD438" s="92"/>
      <c r="FE438" s="92"/>
      <c r="FF438" s="92"/>
      <c r="FG438" s="92"/>
      <c r="FH438" s="92"/>
    </row>
    <row r="439">
      <c r="A439" s="32" t="s">
        <v>17</v>
      </c>
      <c r="B439" s="32" t="s">
        <v>79</v>
      </c>
      <c r="C439" s="32" t="s">
        <v>12</v>
      </c>
      <c r="D439" s="97">
        <f t="shared" si="1"/>
        <v>4806.831986</v>
      </c>
      <c r="E439" s="92">
        <f>(SUBSTITUTE(Audio!E439, "RE-", "", 1))*1</f>
        <v>0</v>
      </c>
      <c r="F439" s="92">
        <f>(SUBSTITUTE(Audio!F439, "RE-", "", 1))*1</f>
        <v>188.9567979</v>
      </c>
      <c r="G439" s="92">
        <f>(SUBSTITUTE(Audio!G439, "RE-", "", 1))*1</f>
        <v>1.46681875</v>
      </c>
      <c r="H439" s="92">
        <f>(SUBSTITUTE(Audio!H439, "RE-", "", 1))*1</f>
        <v>29.55625208</v>
      </c>
      <c r="I439" s="92">
        <f>(SUBSTITUTE(Audio!I439, "RE-", "", 1))*1</f>
        <v>0</v>
      </c>
      <c r="J439" s="92">
        <f>(SUBSTITUTE(Audio!J439, "RE-", "", 1))*1</f>
        <v>405.8907625</v>
      </c>
      <c r="K439" s="92">
        <f>(SUBSTITUTE(Audio!K439, "RE-", "", 1))*1</f>
        <v>1.218925</v>
      </c>
      <c r="L439" s="92">
        <f>(SUBSTITUTE(Audio!L439, "RE-", "", 1))*1</f>
        <v>489.6649708</v>
      </c>
      <c r="M439" s="92">
        <f>(SUBSTITUTE(Audio!M439, "RE-", "", 1))*1</f>
        <v>2.498066667</v>
      </c>
      <c r="N439" s="92">
        <f>(SUBSTITUTE(Audio!N439, "RE-", "", 1))*1</f>
        <v>2468.172027</v>
      </c>
      <c r="O439" s="92">
        <f>(SUBSTITUTE(Audio!O439, "RE-", "", 1))*1</f>
        <v>6.8952875</v>
      </c>
      <c r="P439" s="92">
        <f>(SUBSTITUTE(Audio!P439, "RE-", "", 1))*1</f>
        <v>218.2809125</v>
      </c>
      <c r="Q439" s="92">
        <f>(SUBSTITUTE(Audio!Q439, "RE-", "", 1))*1</f>
        <v>8.42841875</v>
      </c>
      <c r="R439" s="92">
        <f>(SUBSTITUTE(Audio!R439, "RE-", "", 1))*1</f>
        <v>604.5317563</v>
      </c>
      <c r="S439" s="92">
        <f>(SUBSTITUTE(Audio!S439, "RE-", "", 1))*1</f>
        <v>12.22580521</v>
      </c>
      <c r="T439" s="92">
        <f>(SUBSTITUTE(Audio!T439, "RE-", "", 1))*1</f>
        <v>355.0241396</v>
      </c>
      <c r="U439" s="92">
        <f>(SUBSTITUTE(Audio!U439, "RE-", "", 1))*1</f>
        <v>11.78194375</v>
      </c>
      <c r="V439" s="92">
        <f>(SUBSTITUTE(Audio!V439, "RE-", "", 1))*1</f>
        <v>2.239102083</v>
      </c>
      <c r="W439" s="92">
        <f>(SUBSTITUTE(Audio!W439, "RE-", "", 1))*1</f>
        <v>0</v>
      </c>
      <c r="X439" s="92">
        <f>(SUBSTITUTE(Audio!X439, "RE-", "", 1))*1</f>
        <v>0</v>
      </c>
      <c r="Y439" s="92">
        <f>(SUBSTITUTE(Audio!Y439, "RE-", "", 1))*1</f>
        <v>0</v>
      </c>
      <c r="Z439" s="92">
        <f>(SUBSTITUTE(Audio!Z439, "RE-", "", 1))*1</f>
        <v>0</v>
      </c>
      <c r="AA439" s="92"/>
      <c r="AB439" s="92"/>
      <c r="AC439" s="92"/>
      <c r="AD439" s="92"/>
      <c r="AE439" s="92"/>
      <c r="AF439" s="92"/>
      <c r="AG439" s="92"/>
      <c r="AH439" s="92"/>
      <c r="AI439" s="92"/>
      <c r="AJ439" s="92"/>
      <c r="AK439" s="92"/>
      <c r="AL439" s="92"/>
      <c r="AM439" s="92"/>
      <c r="AN439" s="92"/>
      <c r="AO439" s="92"/>
      <c r="AP439" s="92"/>
      <c r="AQ439" s="92"/>
      <c r="AR439" s="92"/>
      <c r="AS439" s="92"/>
      <c r="AT439" s="92"/>
      <c r="AU439" s="92"/>
      <c r="AV439" s="92"/>
      <c r="AW439" s="92"/>
      <c r="AX439" s="92"/>
      <c r="AY439" s="92"/>
      <c r="AZ439" s="92"/>
      <c r="BA439" s="92"/>
      <c r="BB439" s="92"/>
      <c r="BC439" s="92"/>
      <c r="BD439" s="92"/>
      <c r="BE439" s="92"/>
      <c r="BF439" s="92"/>
      <c r="BG439" s="92"/>
      <c r="BH439" s="92"/>
      <c r="BI439" s="92"/>
      <c r="BJ439" s="92"/>
      <c r="BK439" s="92"/>
      <c r="BL439" s="92"/>
      <c r="BM439" s="92"/>
      <c r="BN439" s="92"/>
      <c r="BO439" s="92"/>
      <c r="BP439" s="92"/>
      <c r="BQ439" s="92"/>
      <c r="BR439" s="92"/>
      <c r="BS439" s="92"/>
      <c r="BT439" s="92"/>
      <c r="BU439" s="92"/>
      <c r="BV439" s="92"/>
      <c r="BW439" s="92"/>
      <c r="BX439" s="92"/>
      <c r="BY439" s="92"/>
      <c r="BZ439" s="92"/>
      <c r="CA439" s="92"/>
      <c r="CB439" s="92"/>
      <c r="CC439" s="92"/>
      <c r="CD439" s="92"/>
      <c r="CE439" s="92"/>
      <c r="CF439" s="92"/>
      <c r="CG439" s="92"/>
      <c r="CH439" s="92"/>
      <c r="CI439" s="92"/>
      <c r="CJ439" s="92"/>
      <c r="CK439" s="92"/>
      <c r="CL439" s="92"/>
      <c r="CM439" s="92"/>
      <c r="CN439" s="92"/>
      <c r="CO439" s="92"/>
      <c r="CP439" s="92"/>
      <c r="CQ439" s="92"/>
      <c r="CR439" s="92"/>
      <c r="CS439" s="92"/>
      <c r="CT439" s="92"/>
      <c r="CU439" s="92"/>
      <c r="CV439" s="92"/>
      <c r="CW439" s="92"/>
      <c r="CX439" s="92"/>
      <c r="CY439" s="92"/>
      <c r="CZ439" s="92"/>
      <c r="DA439" s="92"/>
      <c r="DB439" s="92"/>
      <c r="DC439" s="92"/>
      <c r="DD439" s="92"/>
      <c r="DE439" s="92"/>
      <c r="DF439" s="92"/>
      <c r="DG439" s="92"/>
      <c r="DH439" s="92"/>
      <c r="DI439" s="92"/>
      <c r="DJ439" s="92"/>
      <c r="DK439" s="92"/>
      <c r="DL439" s="92"/>
      <c r="DM439" s="92"/>
      <c r="DN439" s="92"/>
      <c r="DO439" s="92"/>
      <c r="DP439" s="92"/>
      <c r="DQ439" s="92"/>
      <c r="DR439" s="92"/>
      <c r="DS439" s="92"/>
      <c r="DT439" s="92"/>
      <c r="DU439" s="92"/>
      <c r="DV439" s="92"/>
      <c r="DW439" s="92"/>
      <c r="DX439" s="92"/>
      <c r="DY439" s="92"/>
      <c r="DZ439" s="92"/>
      <c r="EA439" s="92"/>
      <c r="EB439" s="92"/>
      <c r="EC439" s="92"/>
      <c r="ED439" s="92"/>
      <c r="EE439" s="92"/>
      <c r="EF439" s="92"/>
      <c r="EG439" s="92"/>
      <c r="EH439" s="92"/>
      <c r="EI439" s="92"/>
      <c r="EJ439" s="92"/>
      <c r="EK439" s="92"/>
      <c r="EL439" s="92"/>
      <c r="EM439" s="92"/>
      <c r="EN439" s="92"/>
      <c r="EO439" s="92"/>
      <c r="EP439" s="92"/>
      <c r="EQ439" s="92"/>
      <c r="ER439" s="92"/>
      <c r="ES439" s="92"/>
      <c r="ET439" s="92"/>
      <c r="EU439" s="92"/>
      <c r="EV439" s="92"/>
      <c r="EW439" s="92"/>
      <c r="EX439" s="92"/>
      <c r="EY439" s="92"/>
      <c r="EZ439" s="92"/>
      <c r="FA439" s="92"/>
      <c r="FB439" s="92"/>
      <c r="FC439" s="92"/>
      <c r="FD439" s="92"/>
      <c r="FE439" s="92"/>
      <c r="FF439" s="92"/>
      <c r="FG439" s="92"/>
      <c r="FH439" s="92"/>
    </row>
    <row r="440">
      <c r="A440" s="32" t="s">
        <v>17</v>
      </c>
      <c r="B440" s="32" t="s">
        <v>79</v>
      </c>
      <c r="C440" s="32" t="s">
        <v>13</v>
      </c>
      <c r="D440" s="97">
        <f t="shared" si="1"/>
        <v>4642.55325</v>
      </c>
      <c r="E440" s="92">
        <f>(SUBSTITUTE(Audio!E440, "RE-", "", 1))*1</f>
        <v>0</v>
      </c>
      <c r="F440" s="92">
        <f>(SUBSTITUTE(Audio!F440, "RE-", "", 1))*1</f>
        <v>179.103</v>
      </c>
      <c r="G440" s="92">
        <f>(SUBSTITUTE(Audio!G440, "RE-", "", 1))*1</f>
        <v>1.40035</v>
      </c>
      <c r="H440" s="92">
        <f>(SUBSTITUTE(Audio!H440, "RE-", "", 1))*1</f>
        <v>27.1197</v>
      </c>
      <c r="I440" s="92">
        <f>(SUBSTITUTE(Audio!I440, "RE-", "", 1))*1</f>
        <v>0</v>
      </c>
      <c r="J440" s="92">
        <f>(SUBSTITUTE(Audio!J440, "RE-", "", 1))*1</f>
        <v>401.507</v>
      </c>
      <c r="K440" s="92">
        <f>(SUBSTITUTE(Audio!K440, "RE-", "", 1))*1</f>
        <v>1.16672</v>
      </c>
      <c r="L440" s="92">
        <f>(SUBSTITUTE(Audio!L440, "RE-", "", 1))*1</f>
        <v>472.491</v>
      </c>
      <c r="M440" s="92">
        <f>(SUBSTITUTE(Audio!M440, "RE-", "", 1))*1</f>
        <v>2.16158</v>
      </c>
      <c r="N440" s="92">
        <f>(SUBSTITUTE(Audio!N440, "RE-", "", 1))*1</f>
        <v>2388.52</v>
      </c>
      <c r="O440" s="92">
        <f>(SUBSTITUTE(Audio!O440, "RE-", "", 1))*1</f>
        <v>6.52713</v>
      </c>
      <c r="P440" s="92">
        <f>(SUBSTITUTE(Audio!P440, "RE-", "", 1))*1</f>
        <v>208.86</v>
      </c>
      <c r="Q440" s="92">
        <f>(SUBSTITUTE(Audio!Q440, "RE-", "", 1))*1</f>
        <v>7.28452</v>
      </c>
      <c r="R440" s="92">
        <f>(SUBSTITUTE(Audio!R440, "RE-", "", 1))*1</f>
        <v>579.459</v>
      </c>
      <c r="S440" s="92">
        <f>(SUBSTITUTE(Audio!S440, "RE-", "", 1))*1</f>
        <v>11.4473</v>
      </c>
      <c r="T440" s="92">
        <f>(SUBSTITUTE(Audio!T440, "RE-", "", 1))*1</f>
        <v>342.153</v>
      </c>
      <c r="U440" s="92">
        <f>(SUBSTITUTE(Audio!U440, "RE-", "", 1))*1</f>
        <v>11.205</v>
      </c>
      <c r="V440" s="92">
        <f>(SUBSTITUTE(Audio!V440, "RE-", "", 1))*1</f>
        <v>2.14795</v>
      </c>
      <c r="W440" s="92">
        <f>(SUBSTITUTE(Audio!W440, "RE-", "", 1))*1</f>
        <v>0</v>
      </c>
      <c r="X440" s="92">
        <f>(SUBSTITUTE(Audio!X440, "RE-", "", 1))*1</f>
        <v>0</v>
      </c>
      <c r="Y440" s="92">
        <f>(SUBSTITUTE(Audio!Y440, "RE-", "", 1))*1</f>
        <v>0</v>
      </c>
      <c r="Z440" s="92">
        <f>(SUBSTITUTE(Audio!Z440, "RE-", "", 1))*1</f>
        <v>0</v>
      </c>
      <c r="AA440" s="92"/>
      <c r="AB440" s="92"/>
      <c r="AC440" s="92"/>
      <c r="AD440" s="92"/>
      <c r="AE440" s="92"/>
      <c r="AF440" s="92"/>
      <c r="AG440" s="92"/>
      <c r="AH440" s="92"/>
      <c r="AI440" s="92"/>
      <c r="AJ440" s="92"/>
      <c r="AK440" s="92"/>
      <c r="AL440" s="92"/>
      <c r="AM440" s="92"/>
      <c r="AN440" s="92"/>
      <c r="AO440" s="92"/>
      <c r="AP440" s="92"/>
      <c r="AQ440" s="92"/>
      <c r="AR440" s="92"/>
      <c r="AS440" s="92"/>
      <c r="AT440" s="92"/>
      <c r="AU440" s="92"/>
      <c r="AV440" s="92"/>
      <c r="AW440" s="92"/>
      <c r="AX440" s="92"/>
      <c r="AY440" s="92"/>
      <c r="AZ440" s="92"/>
      <c r="BA440" s="92"/>
      <c r="BB440" s="92"/>
      <c r="BC440" s="92"/>
      <c r="BD440" s="92"/>
      <c r="BE440" s="92"/>
      <c r="BF440" s="92"/>
      <c r="BG440" s="92"/>
      <c r="BH440" s="92"/>
      <c r="BI440" s="92"/>
      <c r="BJ440" s="92"/>
      <c r="BK440" s="92"/>
      <c r="BL440" s="92"/>
      <c r="BM440" s="92"/>
      <c r="BN440" s="92"/>
      <c r="BO440" s="92"/>
      <c r="BP440" s="92"/>
      <c r="BQ440" s="92"/>
      <c r="BR440" s="92"/>
      <c r="BS440" s="92"/>
      <c r="BT440" s="92"/>
      <c r="BU440" s="92"/>
      <c r="BV440" s="92"/>
      <c r="BW440" s="92"/>
      <c r="BX440" s="92"/>
      <c r="BY440" s="92"/>
      <c r="BZ440" s="92"/>
      <c r="CA440" s="92"/>
      <c r="CB440" s="92"/>
      <c r="CC440" s="92"/>
      <c r="CD440" s="92"/>
      <c r="CE440" s="92"/>
      <c r="CF440" s="92"/>
      <c r="CG440" s="92"/>
      <c r="CH440" s="92"/>
      <c r="CI440" s="92"/>
      <c r="CJ440" s="92"/>
      <c r="CK440" s="92"/>
      <c r="CL440" s="92"/>
      <c r="CM440" s="92"/>
      <c r="CN440" s="92"/>
      <c r="CO440" s="92"/>
      <c r="CP440" s="92"/>
      <c r="CQ440" s="92"/>
      <c r="CR440" s="92"/>
      <c r="CS440" s="92"/>
      <c r="CT440" s="92"/>
      <c r="CU440" s="92"/>
      <c r="CV440" s="92"/>
      <c r="CW440" s="92"/>
      <c r="CX440" s="92"/>
      <c r="CY440" s="92"/>
      <c r="CZ440" s="92"/>
      <c r="DA440" s="92"/>
      <c r="DB440" s="92"/>
      <c r="DC440" s="92"/>
      <c r="DD440" s="92"/>
      <c r="DE440" s="92"/>
      <c r="DF440" s="92"/>
      <c r="DG440" s="92"/>
      <c r="DH440" s="92"/>
      <c r="DI440" s="92"/>
      <c r="DJ440" s="92"/>
      <c r="DK440" s="92"/>
      <c r="DL440" s="92"/>
      <c r="DM440" s="92"/>
      <c r="DN440" s="92"/>
      <c r="DO440" s="92"/>
      <c r="DP440" s="92"/>
      <c r="DQ440" s="92"/>
      <c r="DR440" s="92"/>
      <c r="DS440" s="92"/>
      <c r="DT440" s="92"/>
      <c r="DU440" s="92"/>
      <c r="DV440" s="92"/>
      <c r="DW440" s="92"/>
      <c r="DX440" s="92"/>
      <c r="DY440" s="92"/>
      <c r="DZ440" s="92"/>
      <c r="EA440" s="92"/>
      <c r="EB440" s="92"/>
      <c r="EC440" s="92"/>
      <c r="ED440" s="92"/>
      <c r="EE440" s="92"/>
      <c r="EF440" s="92"/>
      <c r="EG440" s="92"/>
      <c r="EH440" s="92"/>
      <c r="EI440" s="92"/>
      <c r="EJ440" s="92"/>
      <c r="EK440" s="92"/>
      <c r="EL440" s="92"/>
      <c r="EM440" s="92"/>
      <c r="EN440" s="92"/>
      <c r="EO440" s="92"/>
      <c r="EP440" s="92"/>
      <c r="EQ440" s="92"/>
      <c r="ER440" s="92"/>
      <c r="ES440" s="92"/>
      <c r="ET440" s="92"/>
      <c r="EU440" s="92"/>
      <c r="EV440" s="92"/>
      <c r="EW440" s="92"/>
      <c r="EX440" s="92"/>
      <c r="EY440" s="92"/>
      <c r="EZ440" s="92"/>
      <c r="FA440" s="92"/>
      <c r="FB440" s="92"/>
      <c r="FC440" s="92"/>
      <c r="FD440" s="92"/>
      <c r="FE440" s="92"/>
      <c r="FF440" s="92"/>
      <c r="FG440" s="92"/>
      <c r="FH440" s="92"/>
    </row>
    <row r="441">
      <c r="A441" s="32" t="s">
        <v>17</v>
      </c>
      <c r="B441" s="32" t="s">
        <v>79</v>
      </c>
      <c r="C441" s="32" t="s">
        <v>14</v>
      </c>
      <c r="D441" s="97">
        <f t="shared" si="1"/>
        <v>4090.2331</v>
      </c>
      <c r="E441" s="92">
        <f>(SUBSTITUTE(Audio!E441, "RE-", "", 1))*1</f>
        <v>0</v>
      </c>
      <c r="F441" s="92">
        <f>(SUBSTITUTE(Audio!F441, "RE-", "", 1))*1</f>
        <v>158.603</v>
      </c>
      <c r="G441" s="92">
        <f>(SUBSTITUTE(Audio!G441, "RE-", "", 1))*1</f>
        <v>1.40035</v>
      </c>
      <c r="H441" s="92">
        <f>(SUBSTITUTE(Audio!H441, "RE-", "", 1))*1</f>
        <v>20.9996</v>
      </c>
      <c r="I441" s="92">
        <f>(SUBSTITUTE(Audio!I441, "RE-", "", 1))*1</f>
        <v>0</v>
      </c>
      <c r="J441" s="92">
        <f>(SUBSTITUTE(Audio!J441, "RE-", "", 1))*1</f>
        <v>376.363</v>
      </c>
      <c r="K441" s="92">
        <f>(SUBSTITUTE(Audio!K441, "RE-", "", 1))*1</f>
        <v>1.16672</v>
      </c>
      <c r="L441" s="92">
        <f>(SUBSTITUTE(Audio!L441, "RE-", "", 1))*1</f>
        <v>406.94</v>
      </c>
      <c r="M441" s="92">
        <f>(SUBSTITUTE(Audio!M441, "RE-", "", 1))*1</f>
        <v>1.78038</v>
      </c>
      <c r="N441" s="92">
        <f>(SUBSTITUTE(Audio!N441, "RE-", "", 1))*1</f>
        <v>2130.75</v>
      </c>
      <c r="O441" s="92">
        <f>(SUBSTITUTE(Audio!O441, "RE-", "", 1))*1</f>
        <v>6.43357</v>
      </c>
      <c r="P441" s="92">
        <f>(SUBSTITUTE(Audio!P441, "RE-", "", 1))*1</f>
        <v>176.029</v>
      </c>
      <c r="Q441" s="92">
        <f>(SUBSTITUTE(Audio!Q441, "RE-", "", 1))*1</f>
        <v>6.17533</v>
      </c>
      <c r="R441" s="92">
        <f>(SUBSTITUTE(Audio!R441, "RE-", "", 1))*1</f>
        <v>494.094</v>
      </c>
      <c r="S441" s="92">
        <f>(SUBSTITUTE(Audio!S441, "RE-", "", 1))*1</f>
        <v>10.8125</v>
      </c>
      <c r="T441" s="92">
        <f>(SUBSTITUTE(Audio!T441, "RE-", "", 1))*1</f>
        <v>286.015</v>
      </c>
      <c r="U441" s="92">
        <f>(SUBSTITUTE(Audio!U441, "RE-", "", 1))*1</f>
        <v>10.5227</v>
      </c>
      <c r="V441" s="92">
        <f>(SUBSTITUTE(Audio!V441, "RE-", "", 1))*1</f>
        <v>2.14795</v>
      </c>
      <c r="W441" s="92">
        <f>(SUBSTITUTE(Audio!W441, "RE-", "", 1))*1</f>
        <v>0</v>
      </c>
      <c r="X441" s="92">
        <f>(SUBSTITUTE(Audio!X441, "RE-", "", 1))*1</f>
        <v>0</v>
      </c>
      <c r="Y441" s="92">
        <f>(SUBSTITUTE(Audio!Y441, "RE-", "", 1))*1</f>
        <v>0</v>
      </c>
      <c r="Z441" s="92">
        <f>(SUBSTITUTE(Audio!Z441, "RE-", "", 1))*1</f>
        <v>0</v>
      </c>
      <c r="AA441" s="92"/>
      <c r="AB441" s="92"/>
      <c r="AC441" s="92"/>
      <c r="AD441" s="92"/>
      <c r="AE441" s="92"/>
      <c r="AF441" s="92"/>
      <c r="AG441" s="92"/>
      <c r="AH441" s="92"/>
      <c r="AI441" s="92"/>
      <c r="AJ441" s="92"/>
      <c r="AK441" s="92"/>
      <c r="AL441" s="92"/>
      <c r="AM441" s="92"/>
      <c r="AN441" s="92"/>
      <c r="AO441" s="92"/>
      <c r="AP441" s="92"/>
      <c r="AQ441" s="92"/>
      <c r="AR441" s="92"/>
      <c r="AS441" s="92"/>
      <c r="AT441" s="92"/>
      <c r="AU441" s="92"/>
      <c r="AV441" s="92"/>
      <c r="AW441" s="92"/>
      <c r="AX441" s="92"/>
      <c r="AY441" s="92"/>
      <c r="AZ441" s="92"/>
      <c r="BA441" s="92"/>
      <c r="BB441" s="92"/>
      <c r="BC441" s="92"/>
      <c r="BD441" s="92"/>
      <c r="BE441" s="92"/>
      <c r="BF441" s="92"/>
      <c r="BG441" s="92"/>
      <c r="BH441" s="92"/>
      <c r="BI441" s="92"/>
      <c r="BJ441" s="92"/>
      <c r="BK441" s="92"/>
      <c r="BL441" s="92"/>
      <c r="BM441" s="92"/>
      <c r="BN441" s="92"/>
      <c r="BO441" s="92"/>
      <c r="BP441" s="92"/>
      <c r="BQ441" s="92"/>
      <c r="BR441" s="92"/>
      <c r="BS441" s="92"/>
      <c r="BT441" s="92"/>
      <c r="BU441" s="92"/>
      <c r="BV441" s="92"/>
      <c r="BW441" s="92"/>
      <c r="BX441" s="92"/>
      <c r="BY441" s="92"/>
      <c r="BZ441" s="92"/>
      <c r="CA441" s="92"/>
      <c r="CB441" s="92"/>
      <c r="CC441" s="92"/>
      <c r="CD441" s="92"/>
      <c r="CE441" s="92"/>
      <c r="CF441" s="92"/>
      <c r="CG441" s="92"/>
      <c r="CH441" s="92"/>
      <c r="CI441" s="92"/>
      <c r="CJ441" s="92"/>
      <c r="CK441" s="92"/>
      <c r="CL441" s="92"/>
      <c r="CM441" s="92"/>
      <c r="CN441" s="92"/>
      <c r="CO441" s="92"/>
      <c r="CP441" s="92"/>
      <c r="CQ441" s="92"/>
      <c r="CR441" s="92"/>
      <c r="CS441" s="92"/>
      <c r="CT441" s="92"/>
      <c r="CU441" s="92"/>
      <c r="CV441" s="92"/>
      <c r="CW441" s="92"/>
      <c r="CX441" s="92"/>
      <c r="CY441" s="92"/>
      <c r="CZ441" s="92"/>
      <c r="DA441" s="92"/>
      <c r="DB441" s="92"/>
      <c r="DC441" s="92"/>
      <c r="DD441" s="92"/>
      <c r="DE441" s="92"/>
      <c r="DF441" s="92"/>
      <c r="DG441" s="92"/>
      <c r="DH441" s="92"/>
      <c r="DI441" s="92"/>
      <c r="DJ441" s="92"/>
      <c r="DK441" s="92"/>
      <c r="DL441" s="92"/>
      <c r="DM441" s="92"/>
      <c r="DN441" s="92"/>
      <c r="DO441" s="92"/>
      <c r="DP441" s="92"/>
      <c r="DQ441" s="92"/>
      <c r="DR441" s="92"/>
      <c r="DS441" s="92"/>
      <c r="DT441" s="92"/>
      <c r="DU441" s="92"/>
      <c r="DV441" s="92"/>
      <c r="DW441" s="92"/>
      <c r="DX441" s="92"/>
      <c r="DY441" s="92"/>
      <c r="DZ441" s="92"/>
      <c r="EA441" s="92"/>
      <c r="EB441" s="92"/>
      <c r="EC441" s="92"/>
      <c r="ED441" s="92"/>
      <c r="EE441" s="92"/>
      <c r="EF441" s="92"/>
      <c r="EG441" s="92"/>
      <c r="EH441" s="92"/>
      <c r="EI441" s="92"/>
      <c r="EJ441" s="92"/>
      <c r="EK441" s="92"/>
      <c r="EL441" s="92"/>
      <c r="EM441" s="92"/>
      <c r="EN441" s="92"/>
      <c r="EO441" s="92"/>
      <c r="EP441" s="92"/>
      <c r="EQ441" s="92"/>
      <c r="ER441" s="92"/>
      <c r="ES441" s="92"/>
      <c r="ET441" s="92"/>
      <c r="EU441" s="92"/>
      <c r="EV441" s="92"/>
      <c r="EW441" s="92"/>
      <c r="EX441" s="92"/>
      <c r="EY441" s="92"/>
      <c r="EZ441" s="92"/>
      <c r="FA441" s="92"/>
      <c r="FB441" s="92"/>
      <c r="FC441" s="92"/>
      <c r="FD441" s="92"/>
      <c r="FE441" s="92"/>
      <c r="FF441" s="92"/>
      <c r="FG441" s="92"/>
      <c r="FH441" s="92"/>
    </row>
    <row r="442">
      <c r="A442" s="27" t="s">
        <v>17</v>
      </c>
      <c r="B442" s="27" t="s">
        <v>79</v>
      </c>
      <c r="C442" s="27" t="s">
        <v>15</v>
      </c>
      <c r="D442" s="98">
        <f t="shared" si="1"/>
        <v>4642.43325</v>
      </c>
      <c r="E442" s="92">
        <f>(SUBSTITUTE(Audio!E442, "RE-", "", 1))*1</f>
        <v>0</v>
      </c>
      <c r="F442" s="92">
        <f>(SUBSTITUTE(Audio!F442, "RE-", "", 1))*1</f>
        <v>179.103</v>
      </c>
      <c r="G442" s="92">
        <f>(SUBSTITUTE(Audio!G442, "RE-", "", 1))*1</f>
        <v>1.40035</v>
      </c>
      <c r="H442" s="92">
        <f>(SUBSTITUTE(Audio!H442, "RE-", "", 1))*1</f>
        <v>27.1197</v>
      </c>
      <c r="I442" s="92">
        <f>(SUBSTITUTE(Audio!I442, "RE-", "", 1))*1</f>
        <v>0</v>
      </c>
      <c r="J442" s="92">
        <f>(SUBSTITUTE(Audio!J442, "RE-", "", 1))*1</f>
        <v>401.507</v>
      </c>
      <c r="K442" s="92">
        <f>(SUBSTITUTE(Audio!K442, "RE-", "", 1))*1</f>
        <v>1.16672</v>
      </c>
      <c r="L442" s="92">
        <f>(SUBSTITUTE(Audio!L442, "RE-", "", 1))*1</f>
        <v>472.491</v>
      </c>
      <c r="M442" s="92">
        <f>(SUBSTITUTE(Audio!M442, "RE-", "", 1))*1</f>
        <v>2.16158</v>
      </c>
      <c r="N442" s="92">
        <f>(SUBSTITUTE(Audio!N442, "RE-", "", 1))*1</f>
        <v>2388.4</v>
      </c>
      <c r="O442" s="92">
        <f>(SUBSTITUTE(Audio!O442, "RE-", "", 1))*1</f>
        <v>6.52713</v>
      </c>
      <c r="P442" s="92">
        <f>(SUBSTITUTE(Audio!P442, "RE-", "", 1))*1</f>
        <v>208.86</v>
      </c>
      <c r="Q442" s="92">
        <f>(SUBSTITUTE(Audio!Q442, "RE-", "", 1))*1</f>
        <v>7.28452</v>
      </c>
      <c r="R442" s="92">
        <f>(SUBSTITUTE(Audio!R442, "RE-", "", 1))*1</f>
        <v>579.459</v>
      </c>
      <c r="S442" s="92">
        <f>(SUBSTITUTE(Audio!S442, "RE-", "", 1))*1</f>
        <v>11.4473</v>
      </c>
      <c r="T442" s="92">
        <f>(SUBSTITUTE(Audio!T442, "RE-", "", 1))*1</f>
        <v>342.153</v>
      </c>
      <c r="U442" s="92">
        <f>(SUBSTITUTE(Audio!U442, "RE-", "", 1))*1</f>
        <v>11.205</v>
      </c>
      <c r="V442" s="92">
        <f>(SUBSTITUTE(Audio!V442, "RE-", "", 1))*1</f>
        <v>2.14795</v>
      </c>
      <c r="W442" s="92">
        <f>(SUBSTITUTE(Audio!W442, "RE-", "", 1))*1</f>
        <v>0</v>
      </c>
      <c r="X442" s="92">
        <f>(SUBSTITUTE(Audio!X442, "RE-", "", 1))*1</f>
        <v>0</v>
      </c>
      <c r="Y442" s="92">
        <f>(SUBSTITUTE(Audio!Y442, "RE-", "", 1))*1</f>
        <v>0</v>
      </c>
      <c r="Z442" s="92">
        <f>(SUBSTITUTE(Audio!Z442, "RE-", "", 1))*1</f>
        <v>0</v>
      </c>
      <c r="AA442" s="92"/>
      <c r="AB442" s="92"/>
      <c r="AC442" s="92"/>
      <c r="AD442" s="92"/>
      <c r="AE442" s="92"/>
      <c r="AF442" s="92"/>
      <c r="AG442" s="92"/>
      <c r="AH442" s="92"/>
      <c r="AI442" s="92"/>
      <c r="AJ442" s="92"/>
      <c r="AK442" s="92"/>
      <c r="AL442" s="92"/>
      <c r="AM442" s="92"/>
      <c r="AN442" s="92"/>
      <c r="AO442" s="92"/>
      <c r="AP442" s="92"/>
      <c r="AQ442" s="92"/>
      <c r="AR442" s="92"/>
      <c r="AS442" s="92"/>
      <c r="AT442" s="92"/>
      <c r="AU442" s="92"/>
      <c r="AV442" s="92"/>
      <c r="AW442" s="92"/>
      <c r="AX442" s="92"/>
      <c r="AY442" s="92"/>
      <c r="AZ442" s="92"/>
      <c r="BA442" s="92"/>
      <c r="BB442" s="92"/>
      <c r="BC442" s="92"/>
      <c r="BD442" s="92"/>
      <c r="BE442" s="92"/>
      <c r="BF442" s="92"/>
      <c r="BG442" s="92"/>
      <c r="BH442" s="92"/>
      <c r="BI442" s="92"/>
      <c r="BJ442" s="92"/>
      <c r="BK442" s="92"/>
      <c r="BL442" s="92"/>
      <c r="BM442" s="92"/>
      <c r="BN442" s="92"/>
      <c r="BO442" s="92"/>
      <c r="BP442" s="92"/>
      <c r="BQ442" s="92"/>
      <c r="BR442" s="92"/>
      <c r="BS442" s="92"/>
      <c r="BT442" s="92"/>
      <c r="BU442" s="92"/>
      <c r="BV442" s="92"/>
      <c r="BW442" s="92"/>
      <c r="BX442" s="92"/>
      <c r="BY442" s="92"/>
      <c r="BZ442" s="92"/>
      <c r="CA442" s="92"/>
      <c r="CB442" s="92"/>
      <c r="CC442" s="92"/>
      <c r="CD442" s="92"/>
      <c r="CE442" s="92"/>
      <c r="CF442" s="92"/>
      <c r="CG442" s="92"/>
      <c r="CH442" s="92"/>
      <c r="CI442" s="92"/>
      <c r="CJ442" s="92"/>
      <c r="CK442" s="92"/>
      <c r="CL442" s="92"/>
      <c r="CM442" s="92"/>
      <c r="CN442" s="92"/>
      <c r="CO442" s="92"/>
      <c r="CP442" s="92"/>
      <c r="CQ442" s="92"/>
      <c r="CR442" s="92"/>
      <c r="CS442" s="92"/>
      <c r="CT442" s="92"/>
      <c r="CU442" s="92"/>
      <c r="CV442" s="92"/>
      <c r="CW442" s="92"/>
      <c r="CX442" s="92"/>
      <c r="CY442" s="92"/>
      <c r="CZ442" s="92"/>
      <c r="DA442" s="92"/>
      <c r="DB442" s="92"/>
      <c r="DC442" s="92"/>
      <c r="DD442" s="92"/>
      <c r="DE442" s="92"/>
      <c r="DF442" s="92"/>
      <c r="DG442" s="92"/>
      <c r="DH442" s="92"/>
      <c r="DI442" s="92"/>
      <c r="DJ442" s="92"/>
      <c r="DK442" s="92"/>
      <c r="DL442" s="92"/>
      <c r="DM442" s="92"/>
      <c r="DN442" s="92"/>
      <c r="DO442" s="92"/>
      <c r="DP442" s="92"/>
      <c r="DQ442" s="92"/>
      <c r="DR442" s="92"/>
      <c r="DS442" s="92"/>
      <c r="DT442" s="92"/>
      <c r="DU442" s="92"/>
      <c r="DV442" s="92"/>
      <c r="DW442" s="92"/>
      <c r="DX442" s="92"/>
      <c r="DY442" s="92"/>
      <c r="DZ442" s="92"/>
      <c r="EA442" s="92"/>
      <c r="EB442" s="92"/>
      <c r="EC442" s="92"/>
      <c r="ED442" s="92"/>
      <c r="EE442" s="92"/>
      <c r="EF442" s="92"/>
      <c r="EG442" s="92"/>
      <c r="EH442" s="92"/>
      <c r="EI442" s="92"/>
      <c r="EJ442" s="92"/>
      <c r="EK442" s="92"/>
      <c r="EL442" s="92"/>
      <c r="EM442" s="92"/>
      <c r="EN442" s="92"/>
      <c r="EO442" s="92"/>
      <c r="EP442" s="92"/>
      <c r="EQ442" s="92"/>
      <c r="ER442" s="92"/>
      <c r="ES442" s="92"/>
      <c r="ET442" s="92"/>
      <c r="EU442" s="92"/>
      <c r="EV442" s="92"/>
      <c r="EW442" s="92"/>
      <c r="EX442" s="92"/>
      <c r="EY442" s="92"/>
      <c r="EZ442" s="92"/>
      <c r="FA442" s="92"/>
      <c r="FB442" s="92"/>
      <c r="FC442" s="92"/>
      <c r="FD442" s="92"/>
      <c r="FE442" s="92"/>
      <c r="FF442" s="92"/>
      <c r="FG442" s="92"/>
      <c r="FH442" s="92"/>
    </row>
    <row r="443">
      <c r="A443" s="30" t="s">
        <v>35</v>
      </c>
      <c r="B443" s="30" t="s">
        <v>80</v>
      </c>
      <c r="C443" s="31" t="str">
        <f>HYPERLINK("https://docs.google.com/spreadsheets/d/1WzAVm7d_26EAijQrg_MQPQOAb6YqF57N/edit?usp=share_link&amp;ouid=106501987799020758802&amp;rtpof=true&amp;sd=true", "Raw Delivered")</f>
        <v>Raw Delivered</v>
      </c>
      <c r="D443" s="96">
        <f t="shared" si="1"/>
        <v>5143.650813</v>
      </c>
      <c r="E443" s="92">
        <f>(SUBSTITUTE(Audio!E443, "RE-", "", 1))*1</f>
        <v>0</v>
      </c>
      <c r="F443" s="92">
        <f>(SUBSTITUTE(Audio!F443, "RE-", "", 1))*1</f>
        <v>537.0593427</v>
      </c>
      <c r="G443" s="92">
        <f>(SUBSTITUTE(Audio!G443, "RE-", "", 1))*1</f>
        <v>0</v>
      </c>
      <c r="H443" s="92">
        <f>(SUBSTITUTE(Audio!H443, "RE-", "", 1))*1</f>
        <v>40.8169</v>
      </c>
      <c r="I443" s="92">
        <f>(SUBSTITUTE(Audio!I443, "RE-", "", 1))*1</f>
        <v>0</v>
      </c>
      <c r="J443" s="92">
        <f>(SUBSTITUTE(Audio!J443, "RE-", "", 1))*1</f>
        <v>1112.80943</v>
      </c>
      <c r="K443" s="92">
        <f>(SUBSTITUTE(Audio!K443, "RE-", "", 1))*1</f>
        <v>0</v>
      </c>
      <c r="L443" s="92">
        <f>(SUBSTITUTE(Audio!L443, "RE-", "", 1))*1</f>
        <v>1237.197661</v>
      </c>
      <c r="M443" s="92">
        <f>(SUBSTITUTE(Audio!M443, "RE-", "", 1))*1</f>
        <v>0</v>
      </c>
      <c r="N443" s="92">
        <f>(SUBSTITUTE(Audio!N443, "RE-", "", 1))*1</f>
        <v>728.5448021</v>
      </c>
      <c r="O443" s="92">
        <f>(SUBSTITUTE(Audio!O443, "RE-", "", 1))*1</f>
        <v>0</v>
      </c>
      <c r="P443" s="92">
        <f>(SUBSTITUTE(Audio!P443, "RE-", "", 1))*1</f>
        <v>351.547575</v>
      </c>
      <c r="Q443" s="92">
        <f>(SUBSTITUTE(Audio!Q443, "RE-", "", 1))*1</f>
        <v>0</v>
      </c>
      <c r="R443" s="92">
        <f>(SUBSTITUTE(Audio!R443, "RE-", "", 1))*1</f>
        <v>50.55084896</v>
      </c>
      <c r="S443" s="92">
        <f>(SUBSTITUTE(Audio!S443, "RE-", "", 1))*1</f>
        <v>0</v>
      </c>
      <c r="T443" s="92">
        <f>(SUBSTITUTE(Audio!T443, "RE-", "", 1))*1</f>
        <v>1085.124253</v>
      </c>
      <c r="U443" s="92">
        <f>(SUBSTITUTE(Audio!U443, "RE-", "", 1))*1</f>
        <v>0</v>
      </c>
      <c r="V443" s="92">
        <f>(SUBSTITUTE(Audio!V443, "RE-", "", 1))*1</f>
        <v>0</v>
      </c>
      <c r="W443" s="92">
        <f>(SUBSTITUTE(Audio!W443, "RE-", "", 1))*1</f>
        <v>0</v>
      </c>
      <c r="X443" s="92">
        <f>(SUBSTITUTE(Audio!X443, "RE-", "", 1))*1</f>
        <v>0</v>
      </c>
      <c r="Y443" s="92">
        <f>(SUBSTITUTE(Audio!Y443, "RE-", "", 1))*1</f>
        <v>0</v>
      </c>
      <c r="Z443" s="92">
        <f>(SUBSTITUTE(Audio!Z443, "RE-", "", 1))*1</f>
        <v>0</v>
      </c>
      <c r="AA443" s="92"/>
      <c r="AB443" s="92"/>
      <c r="AC443" s="92"/>
      <c r="AD443" s="92"/>
      <c r="AE443" s="92"/>
      <c r="AF443" s="92"/>
      <c r="AG443" s="92"/>
      <c r="AH443" s="92"/>
      <c r="AI443" s="92"/>
      <c r="AJ443" s="92"/>
      <c r="AK443" s="92"/>
      <c r="AL443" s="92"/>
      <c r="AM443" s="92"/>
      <c r="AN443" s="92"/>
      <c r="AO443" s="92"/>
      <c r="AP443" s="92"/>
      <c r="AQ443" s="92"/>
      <c r="AR443" s="92"/>
      <c r="AS443" s="92"/>
      <c r="AT443" s="92"/>
      <c r="AU443" s="92"/>
      <c r="AV443" s="92"/>
      <c r="AW443" s="92"/>
      <c r="AX443" s="92"/>
      <c r="AY443" s="92"/>
      <c r="AZ443" s="92"/>
      <c r="BA443" s="92"/>
      <c r="BB443" s="92"/>
      <c r="BC443" s="92"/>
      <c r="BD443" s="92"/>
      <c r="BE443" s="92"/>
      <c r="BF443" s="92"/>
      <c r="BG443" s="92"/>
      <c r="BH443" s="92"/>
      <c r="BI443" s="92"/>
      <c r="BJ443" s="92"/>
      <c r="BK443" s="92"/>
      <c r="BL443" s="92"/>
      <c r="BM443" s="92"/>
      <c r="BN443" s="92"/>
      <c r="BO443" s="92"/>
      <c r="BP443" s="92"/>
      <c r="BQ443" s="92"/>
      <c r="BR443" s="92"/>
      <c r="BS443" s="92"/>
      <c r="BT443" s="92"/>
      <c r="BU443" s="92"/>
      <c r="BV443" s="92"/>
      <c r="BW443" s="92"/>
      <c r="BX443" s="92"/>
      <c r="BY443" s="92"/>
      <c r="BZ443" s="92"/>
      <c r="CA443" s="92"/>
      <c r="CB443" s="92"/>
      <c r="CC443" s="92"/>
      <c r="CD443" s="92"/>
      <c r="CE443" s="92"/>
      <c r="CF443" s="92"/>
      <c r="CG443" s="92"/>
      <c r="CH443" s="92"/>
      <c r="CI443" s="92"/>
      <c r="CJ443" s="92"/>
      <c r="CK443" s="92"/>
      <c r="CL443" s="92"/>
      <c r="CM443" s="92"/>
      <c r="CN443" s="92"/>
      <c r="CO443" s="92"/>
      <c r="CP443" s="92"/>
      <c r="CQ443" s="92"/>
      <c r="CR443" s="92"/>
      <c r="CS443" s="92"/>
      <c r="CT443" s="92"/>
      <c r="CU443" s="92"/>
      <c r="CV443" s="92"/>
      <c r="CW443" s="92"/>
      <c r="CX443" s="92"/>
      <c r="CY443" s="92"/>
      <c r="CZ443" s="92"/>
      <c r="DA443" s="92"/>
      <c r="DB443" s="92"/>
      <c r="DC443" s="92"/>
      <c r="DD443" s="92"/>
      <c r="DE443" s="92"/>
      <c r="DF443" s="92"/>
      <c r="DG443" s="92"/>
      <c r="DH443" s="92"/>
      <c r="DI443" s="92"/>
      <c r="DJ443" s="92"/>
      <c r="DK443" s="92"/>
      <c r="DL443" s="92"/>
      <c r="DM443" s="92"/>
      <c r="DN443" s="92"/>
      <c r="DO443" s="92"/>
      <c r="DP443" s="92"/>
      <c r="DQ443" s="92"/>
      <c r="DR443" s="92"/>
      <c r="DS443" s="92"/>
      <c r="DT443" s="92"/>
      <c r="DU443" s="92"/>
      <c r="DV443" s="92"/>
      <c r="DW443" s="92"/>
      <c r="DX443" s="92"/>
      <c r="DY443" s="92"/>
      <c r="DZ443" s="92"/>
      <c r="EA443" s="92"/>
      <c r="EB443" s="92"/>
      <c r="EC443" s="92"/>
      <c r="ED443" s="92"/>
      <c r="EE443" s="92"/>
      <c r="EF443" s="92"/>
      <c r="EG443" s="92"/>
      <c r="EH443" s="92"/>
      <c r="EI443" s="92"/>
      <c r="EJ443" s="92"/>
      <c r="EK443" s="92"/>
      <c r="EL443" s="92"/>
      <c r="EM443" s="92"/>
      <c r="EN443" s="92"/>
      <c r="EO443" s="92"/>
      <c r="EP443" s="92"/>
      <c r="EQ443" s="92"/>
      <c r="ER443" s="92"/>
      <c r="ES443" s="92"/>
      <c r="ET443" s="92"/>
      <c r="EU443" s="92"/>
      <c r="EV443" s="92"/>
      <c r="EW443" s="92"/>
      <c r="EX443" s="92"/>
      <c r="EY443" s="92"/>
      <c r="EZ443" s="92"/>
      <c r="FA443" s="92"/>
      <c r="FB443" s="92"/>
      <c r="FC443" s="92"/>
      <c r="FD443" s="92"/>
      <c r="FE443" s="92"/>
      <c r="FF443" s="92"/>
      <c r="FG443" s="92"/>
      <c r="FH443" s="92"/>
    </row>
    <row r="444">
      <c r="A444" s="32" t="s">
        <v>35</v>
      </c>
      <c r="B444" s="32" t="s">
        <v>80</v>
      </c>
      <c r="C444" s="32" t="s">
        <v>9</v>
      </c>
      <c r="D444" s="97">
        <f t="shared" si="1"/>
        <v>5143.650813</v>
      </c>
      <c r="E444" s="92">
        <f>(SUBSTITUTE(Audio!E444, "RE-", "", 1))*1</f>
        <v>0</v>
      </c>
      <c r="F444" s="92">
        <f>(SUBSTITUTE(Audio!F444, "RE-", "", 1))*1</f>
        <v>537.0593427</v>
      </c>
      <c r="G444" s="92">
        <f>(SUBSTITUTE(Audio!G444, "RE-", "", 1))*1</f>
        <v>0</v>
      </c>
      <c r="H444" s="92">
        <f>(SUBSTITUTE(Audio!H444, "RE-", "", 1))*1</f>
        <v>40.8169</v>
      </c>
      <c r="I444" s="92">
        <f>(SUBSTITUTE(Audio!I444, "RE-", "", 1))*1</f>
        <v>0</v>
      </c>
      <c r="J444" s="92">
        <f>(SUBSTITUTE(Audio!J444, "RE-", "", 1))*1</f>
        <v>1112.80943</v>
      </c>
      <c r="K444" s="92">
        <f>(SUBSTITUTE(Audio!K444, "RE-", "", 1))*1</f>
        <v>0</v>
      </c>
      <c r="L444" s="92">
        <f>(SUBSTITUTE(Audio!L444, "RE-", "", 1))*1</f>
        <v>1237.197661</v>
      </c>
      <c r="M444" s="92">
        <f>(SUBSTITUTE(Audio!M444, "RE-", "", 1))*1</f>
        <v>0</v>
      </c>
      <c r="N444" s="92">
        <f>(SUBSTITUTE(Audio!N444, "RE-", "", 1))*1</f>
        <v>728.5448021</v>
      </c>
      <c r="O444" s="92">
        <f>(SUBSTITUTE(Audio!O444, "RE-", "", 1))*1</f>
        <v>0</v>
      </c>
      <c r="P444" s="92">
        <f>(SUBSTITUTE(Audio!P444, "RE-", "", 1))*1</f>
        <v>351.547575</v>
      </c>
      <c r="Q444" s="92">
        <f>(SUBSTITUTE(Audio!Q444, "RE-", "", 1))*1</f>
        <v>0</v>
      </c>
      <c r="R444" s="92">
        <f>(SUBSTITUTE(Audio!R444, "RE-", "", 1))*1</f>
        <v>50.55084896</v>
      </c>
      <c r="S444" s="92">
        <f>(SUBSTITUTE(Audio!S444, "RE-", "", 1))*1</f>
        <v>0</v>
      </c>
      <c r="T444" s="92">
        <f>(SUBSTITUTE(Audio!T444, "RE-", "", 1))*1</f>
        <v>1085.124253</v>
      </c>
      <c r="U444" s="92">
        <f>(SUBSTITUTE(Audio!U444, "RE-", "", 1))*1</f>
        <v>0</v>
      </c>
      <c r="V444" s="92">
        <f>(SUBSTITUTE(Audio!V444, "RE-", "", 1))*1</f>
        <v>0</v>
      </c>
      <c r="W444" s="92">
        <f>(SUBSTITUTE(Audio!W444, "RE-", "", 1))*1</f>
        <v>0</v>
      </c>
      <c r="X444" s="92">
        <f>(SUBSTITUTE(Audio!X444, "RE-", "", 1))*1</f>
        <v>0</v>
      </c>
      <c r="Y444" s="92">
        <f>(SUBSTITUTE(Audio!Y444, "RE-", "", 1))*1</f>
        <v>0</v>
      </c>
      <c r="Z444" s="92">
        <f>(SUBSTITUTE(Audio!Z444, "RE-", "", 1))*1</f>
        <v>0</v>
      </c>
      <c r="AA444" s="92"/>
      <c r="AB444" s="92"/>
      <c r="AC444" s="92"/>
      <c r="AD444" s="92"/>
      <c r="AE444" s="92"/>
      <c r="AF444" s="92"/>
      <c r="AG444" s="92"/>
      <c r="AH444" s="92"/>
      <c r="AI444" s="92"/>
      <c r="AJ444" s="92"/>
      <c r="AK444" s="92"/>
      <c r="AL444" s="92"/>
      <c r="AM444" s="92"/>
      <c r="AN444" s="92"/>
      <c r="AO444" s="92"/>
      <c r="AP444" s="92"/>
      <c r="AQ444" s="92"/>
      <c r="AR444" s="92"/>
      <c r="AS444" s="92"/>
      <c r="AT444" s="92"/>
      <c r="AU444" s="92"/>
      <c r="AV444" s="92"/>
      <c r="AW444" s="92"/>
      <c r="AX444" s="92"/>
      <c r="AY444" s="92"/>
      <c r="AZ444" s="92"/>
      <c r="BA444" s="92"/>
      <c r="BB444" s="92"/>
      <c r="BC444" s="92"/>
      <c r="BD444" s="92"/>
      <c r="BE444" s="92"/>
      <c r="BF444" s="92"/>
      <c r="BG444" s="92"/>
      <c r="BH444" s="92"/>
      <c r="BI444" s="92"/>
      <c r="BJ444" s="92"/>
      <c r="BK444" s="92"/>
      <c r="BL444" s="92"/>
      <c r="BM444" s="92"/>
      <c r="BN444" s="92"/>
      <c r="BO444" s="92"/>
      <c r="BP444" s="92"/>
      <c r="BQ444" s="92"/>
      <c r="BR444" s="92"/>
      <c r="BS444" s="92"/>
      <c r="BT444" s="92"/>
      <c r="BU444" s="92"/>
      <c r="BV444" s="92"/>
      <c r="BW444" s="92"/>
      <c r="BX444" s="92"/>
      <c r="BY444" s="92"/>
      <c r="BZ444" s="92"/>
      <c r="CA444" s="92"/>
      <c r="CB444" s="92"/>
      <c r="CC444" s="92"/>
      <c r="CD444" s="92"/>
      <c r="CE444" s="92"/>
      <c r="CF444" s="92"/>
      <c r="CG444" s="92"/>
      <c r="CH444" s="92"/>
      <c r="CI444" s="92"/>
      <c r="CJ444" s="92"/>
      <c r="CK444" s="92"/>
      <c r="CL444" s="92"/>
      <c r="CM444" s="92"/>
      <c r="CN444" s="92"/>
      <c r="CO444" s="92"/>
      <c r="CP444" s="92"/>
      <c r="CQ444" s="92"/>
      <c r="CR444" s="92"/>
      <c r="CS444" s="92"/>
      <c r="CT444" s="92"/>
      <c r="CU444" s="92"/>
      <c r="CV444" s="92"/>
      <c r="CW444" s="92"/>
      <c r="CX444" s="92"/>
      <c r="CY444" s="92"/>
      <c r="CZ444" s="92"/>
      <c r="DA444" s="92"/>
      <c r="DB444" s="92"/>
      <c r="DC444" s="92"/>
      <c r="DD444" s="92"/>
      <c r="DE444" s="92"/>
      <c r="DF444" s="92"/>
      <c r="DG444" s="92"/>
      <c r="DH444" s="92"/>
      <c r="DI444" s="92"/>
      <c r="DJ444" s="92"/>
      <c r="DK444" s="92"/>
      <c r="DL444" s="92"/>
      <c r="DM444" s="92"/>
      <c r="DN444" s="92"/>
      <c r="DO444" s="92"/>
      <c r="DP444" s="92"/>
      <c r="DQ444" s="92"/>
      <c r="DR444" s="92"/>
      <c r="DS444" s="92"/>
      <c r="DT444" s="92"/>
      <c r="DU444" s="92"/>
      <c r="DV444" s="92"/>
      <c r="DW444" s="92"/>
      <c r="DX444" s="92"/>
      <c r="DY444" s="92"/>
      <c r="DZ444" s="92"/>
      <c r="EA444" s="92"/>
      <c r="EB444" s="92"/>
      <c r="EC444" s="92"/>
      <c r="ED444" s="92"/>
      <c r="EE444" s="92"/>
      <c r="EF444" s="92"/>
      <c r="EG444" s="92"/>
      <c r="EH444" s="92"/>
      <c r="EI444" s="92"/>
      <c r="EJ444" s="92"/>
      <c r="EK444" s="92"/>
      <c r="EL444" s="92"/>
      <c r="EM444" s="92"/>
      <c r="EN444" s="92"/>
      <c r="EO444" s="92"/>
      <c r="EP444" s="92"/>
      <c r="EQ444" s="92"/>
      <c r="ER444" s="92"/>
      <c r="ES444" s="92"/>
      <c r="ET444" s="92"/>
      <c r="EU444" s="92"/>
      <c r="EV444" s="92"/>
      <c r="EW444" s="92"/>
      <c r="EX444" s="92"/>
      <c r="EY444" s="92"/>
      <c r="EZ444" s="92"/>
      <c r="FA444" s="92"/>
      <c r="FB444" s="92"/>
      <c r="FC444" s="92"/>
      <c r="FD444" s="92"/>
      <c r="FE444" s="92"/>
      <c r="FF444" s="92"/>
      <c r="FG444" s="92"/>
      <c r="FH444" s="92"/>
    </row>
    <row r="445">
      <c r="A445" s="32" t="s">
        <v>35</v>
      </c>
      <c r="B445" s="32" t="s">
        <v>80</v>
      </c>
      <c r="C445" s="32" t="s">
        <v>10</v>
      </c>
      <c r="D445" s="97">
        <f t="shared" si="1"/>
        <v>353.8947938</v>
      </c>
      <c r="E445" s="92">
        <f>(SUBSTITUTE(Audio!E445, "RE-", "", 1))*1</f>
        <v>0</v>
      </c>
      <c r="F445" s="92">
        <f>(SUBSTITUTE(Audio!F445, "RE-", "", 1))*1</f>
        <v>0</v>
      </c>
      <c r="G445" s="92">
        <f>(SUBSTITUTE(Audio!G445, "RE-", "", 1))*1</f>
        <v>68.95856979</v>
      </c>
      <c r="H445" s="92">
        <f>(SUBSTITUTE(Audio!H445, "RE-", "", 1))*1</f>
        <v>0</v>
      </c>
      <c r="I445" s="92">
        <f>(SUBSTITUTE(Audio!I445, "RE-", "", 1))*1</f>
        <v>2.623516667</v>
      </c>
      <c r="J445" s="92">
        <f>(SUBSTITUTE(Audio!J445, "RE-", "", 1))*1</f>
        <v>0</v>
      </c>
      <c r="K445" s="92">
        <f>(SUBSTITUTE(Audio!K445, "RE-", "", 1))*1</f>
        <v>72.36843958</v>
      </c>
      <c r="L445" s="92">
        <f>(SUBSTITUTE(Audio!L445, "RE-", "", 1))*1</f>
        <v>0</v>
      </c>
      <c r="M445" s="92">
        <f>(SUBSTITUTE(Audio!M445, "RE-", "", 1))*1</f>
        <v>47.09113542</v>
      </c>
      <c r="N445" s="92">
        <f>(SUBSTITUTE(Audio!N445, "RE-", "", 1))*1</f>
        <v>0</v>
      </c>
      <c r="O445" s="92">
        <f>(SUBSTITUTE(Audio!O445, "RE-", "", 1))*1</f>
        <v>34.60296667</v>
      </c>
      <c r="P445" s="92">
        <f>(SUBSTITUTE(Audio!P445, "RE-", "", 1))*1</f>
        <v>0</v>
      </c>
      <c r="Q445" s="92">
        <f>(SUBSTITUTE(Audio!Q445, "RE-", "", 1))*1</f>
        <v>50.49646458</v>
      </c>
      <c r="R445" s="92">
        <f>(SUBSTITUTE(Audio!R445, "RE-", "", 1))*1</f>
        <v>0</v>
      </c>
      <c r="S445" s="92">
        <f>(SUBSTITUTE(Audio!S445, "RE-", "", 1))*1</f>
        <v>3.442316667</v>
      </c>
      <c r="T445" s="92">
        <f>(SUBSTITUTE(Audio!T445, "RE-", "", 1))*1</f>
        <v>0</v>
      </c>
      <c r="U445" s="92">
        <f>(SUBSTITUTE(Audio!U445, "RE-", "", 1))*1</f>
        <v>54.54190521</v>
      </c>
      <c r="V445" s="92">
        <f>(SUBSTITUTE(Audio!V445, "RE-", "", 1))*1</f>
        <v>19.76947917</v>
      </c>
      <c r="W445" s="92">
        <f>(SUBSTITUTE(Audio!W445, "RE-", "", 1))*1</f>
        <v>0</v>
      </c>
      <c r="X445" s="92">
        <f>(SUBSTITUTE(Audio!X445, "RE-", "", 1))*1</f>
        <v>0</v>
      </c>
      <c r="Y445" s="92">
        <f>(SUBSTITUTE(Audio!Y445, "RE-", "", 1))*1</f>
        <v>0</v>
      </c>
      <c r="Z445" s="92">
        <f>(SUBSTITUTE(Audio!Z445, "RE-", "", 1))*1</f>
        <v>0</v>
      </c>
      <c r="AA445" s="92"/>
      <c r="AB445" s="92"/>
      <c r="AC445" s="92"/>
      <c r="AD445" s="92"/>
      <c r="AE445" s="92"/>
      <c r="AF445" s="92"/>
      <c r="AG445" s="92"/>
      <c r="AH445" s="92"/>
      <c r="AI445" s="92"/>
      <c r="AJ445" s="92"/>
      <c r="AK445" s="92"/>
      <c r="AL445" s="92"/>
      <c r="AM445" s="92"/>
      <c r="AN445" s="92"/>
      <c r="AO445" s="92"/>
      <c r="AP445" s="92"/>
      <c r="AQ445" s="92"/>
      <c r="AR445" s="92"/>
      <c r="AS445" s="92"/>
      <c r="AT445" s="92"/>
      <c r="AU445" s="92"/>
      <c r="AV445" s="92"/>
      <c r="AW445" s="92"/>
      <c r="AX445" s="92"/>
      <c r="AY445" s="92"/>
      <c r="AZ445" s="92"/>
      <c r="BA445" s="92"/>
      <c r="BB445" s="92"/>
      <c r="BC445" s="92"/>
      <c r="BD445" s="92"/>
      <c r="BE445" s="92"/>
      <c r="BF445" s="92"/>
      <c r="BG445" s="92"/>
      <c r="BH445" s="92"/>
      <c r="BI445" s="92"/>
      <c r="BJ445" s="92"/>
      <c r="BK445" s="92"/>
      <c r="BL445" s="92"/>
      <c r="BM445" s="92"/>
      <c r="BN445" s="92"/>
      <c r="BO445" s="92"/>
      <c r="BP445" s="92"/>
      <c r="BQ445" s="92"/>
      <c r="BR445" s="92"/>
      <c r="BS445" s="92"/>
      <c r="BT445" s="92"/>
      <c r="BU445" s="92"/>
      <c r="BV445" s="92"/>
      <c r="BW445" s="92"/>
      <c r="BX445" s="92"/>
      <c r="BY445" s="92"/>
      <c r="BZ445" s="92"/>
      <c r="CA445" s="92"/>
      <c r="CB445" s="92"/>
      <c r="CC445" s="92"/>
      <c r="CD445" s="92"/>
      <c r="CE445" s="92"/>
      <c r="CF445" s="92"/>
      <c r="CG445" s="92"/>
      <c r="CH445" s="92"/>
      <c r="CI445" s="92"/>
      <c r="CJ445" s="92"/>
      <c r="CK445" s="92"/>
      <c r="CL445" s="92"/>
      <c r="CM445" s="92"/>
      <c r="CN445" s="92"/>
      <c r="CO445" s="92"/>
      <c r="CP445" s="92"/>
      <c r="CQ445" s="92"/>
      <c r="CR445" s="92"/>
      <c r="CS445" s="92"/>
      <c r="CT445" s="92"/>
      <c r="CU445" s="92"/>
      <c r="CV445" s="92"/>
      <c r="CW445" s="92"/>
      <c r="CX445" s="92"/>
      <c r="CY445" s="92"/>
      <c r="CZ445" s="92"/>
      <c r="DA445" s="92"/>
      <c r="DB445" s="92"/>
      <c r="DC445" s="92"/>
      <c r="DD445" s="92"/>
      <c r="DE445" s="92"/>
      <c r="DF445" s="92"/>
      <c r="DG445" s="92"/>
      <c r="DH445" s="92"/>
      <c r="DI445" s="92"/>
      <c r="DJ445" s="92"/>
      <c r="DK445" s="92"/>
      <c r="DL445" s="92"/>
      <c r="DM445" s="92"/>
      <c r="DN445" s="92"/>
      <c r="DO445" s="92"/>
      <c r="DP445" s="92"/>
      <c r="DQ445" s="92"/>
      <c r="DR445" s="92"/>
      <c r="DS445" s="92"/>
      <c r="DT445" s="92"/>
      <c r="DU445" s="92"/>
      <c r="DV445" s="92"/>
      <c r="DW445" s="92"/>
      <c r="DX445" s="92"/>
      <c r="DY445" s="92"/>
      <c r="DZ445" s="92"/>
      <c r="EA445" s="92"/>
      <c r="EB445" s="92"/>
      <c r="EC445" s="92"/>
      <c r="ED445" s="92"/>
      <c r="EE445" s="92"/>
      <c r="EF445" s="92"/>
      <c r="EG445" s="92"/>
      <c r="EH445" s="92"/>
      <c r="EI445" s="92"/>
      <c r="EJ445" s="92"/>
      <c r="EK445" s="92"/>
      <c r="EL445" s="92"/>
      <c r="EM445" s="92"/>
      <c r="EN445" s="92"/>
      <c r="EO445" s="92"/>
      <c r="EP445" s="92"/>
      <c r="EQ445" s="92"/>
      <c r="ER445" s="92"/>
      <c r="ES445" s="92"/>
      <c r="ET445" s="92"/>
      <c r="EU445" s="92"/>
      <c r="EV445" s="92"/>
      <c r="EW445" s="92"/>
      <c r="EX445" s="92"/>
      <c r="EY445" s="92"/>
      <c r="EZ445" s="92"/>
      <c r="FA445" s="92"/>
      <c r="FB445" s="92"/>
      <c r="FC445" s="92"/>
      <c r="FD445" s="92"/>
      <c r="FE445" s="92"/>
      <c r="FF445" s="92"/>
      <c r="FG445" s="92"/>
      <c r="FH445" s="92"/>
    </row>
    <row r="446">
      <c r="A446" s="32" t="s">
        <v>35</v>
      </c>
      <c r="B446" s="32" t="s">
        <v>80</v>
      </c>
      <c r="C446" s="32" t="s">
        <v>11</v>
      </c>
      <c r="D446" s="97">
        <f t="shared" si="1"/>
        <v>353.8947938</v>
      </c>
      <c r="E446" s="92">
        <f>(SUBSTITUTE(Audio!E446, "RE-", "", 1))*1</f>
        <v>0</v>
      </c>
      <c r="F446" s="92">
        <f>(SUBSTITUTE(Audio!F446, "RE-", "", 1))*1</f>
        <v>0</v>
      </c>
      <c r="G446" s="92">
        <f>(SUBSTITUTE(Audio!G446, "RE-", "", 1))*1</f>
        <v>68.95856979</v>
      </c>
      <c r="H446" s="92">
        <f>(SUBSTITUTE(Audio!H446, "RE-", "", 1))*1</f>
        <v>0</v>
      </c>
      <c r="I446" s="92">
        <f>(SUBSTITUTE(Audio!I446, "RE-", "", 1))*1</f>
        <v>2.623516667</v>
      </c>
      <c r="J446" s="92">
        <f>(SUBSTITUTE(Audio!J446, "RE-", "", 1))*1</f>
        <v>0</v>
      </c>
      <c r="K446" s="92">
        <f>(SUBSTITUTE(Audio!K446, "RE-", "", 1))*1</f>
        <v>72.36843958</v>
      </c>
      <c r="L446" s="92">
        <f>(SUBSTITUTE(Audio!L446, "RE-", "", 1))*1</f>
        <v>0</v>
      </c>
      <c r="M446" s="92">
        <f>(SUBSTITUTE(Audio!M446, "RE-", "", 1))*1</f>
        <v>47.09113542</v>
      </c>
      <c r="N446" s="92">
        <f>(SUBSTITUTE(Audio!N446, "RE-", "", 1))*1</f>
        <v>0</v>
      </c>
      <c r="O446" s="92">
        <f>(SUBSTITUTE(Audio!O446, "RE-", "", 1))*1</f>
        <v>34.60296667</v>
      </c>
      <c r="P446" s="92">
        <f>(SUBSTITUTE(Audio!P446, "RE-", "", 1))*1</f>
        <v>0</v>
      </c>
      <c r="Q446" s="92">
        <f>(SUBSTITUTE(Audio!Q446, "RE-", "", 1))*1</f>
        <v>50.49646458</v>
      </c>
      <c r="R446" s="92">
        <f>(SUBSTITUTE(Audio!R446, "RE-", "", 1))*1</f>
        <v>0</v>
      </c>
      <c r="S446" s="92">
        <f>(SUBSTITUTE(Audio!S446, "RE-", "", 1))*1</f>
        <v>3.442316667</v>
      </c>
      <c r="T446" s="92">
        <f>(SUBSTITUTE(Audio!T446, "RE-", "", 1))*1</f>
        <v>0</v>
      </c>
      <c r="U446" s="92">
        <f>(SUBSTITUTE(Audio!U446, "RE-", "", 1))*1</f>
        <v>54.54190521</v>
      </c>
      <c r="V446" s="92">
        <f>(SUBSTITUTE(Audio!V446, "RE-", "", 1))*1</f>
        <v>19.76947917</v>
      </c>
      <c r="W446" s="92">
        <f>(SUBSTITUTE(Audio!W446, "RE-", "", 1))*1</f>
        <v>0</v>
      </c>
      <c r="X446" s="92">
        <f>(SUBSTITUTE(Audio!X446, "RE-", "", 1))*1</f>
        <v>0</v>
      </c>
      <c r="Y446" s="92">
        <f>(SUBSTITUTE(Audio!Y446, "RE-", "", 1))*1</f>
        <v>0</v>
      </c>
      <c r="Z446" s="92">
        <f>(SUBSTITUTE(Audio!Z446, "RE-", "", 1))*1</f>
        <v>0</v>
      </c>
      <c r="AA446" s="92"/>
      <c r="AB446" s="92"/>
      <c r="AC446" s="92"/>
      <c r="AD446" s="92"/>
      <c r="AE446" s="92"/>
      <c r="AF446" s="92"/>
      <c r="AG446" s="92"/>
      <c r="AH446" s="92"/>
      <c r="AI446" s="92"/>
      <c r="AJ446" s="92"/>
      <c r="AK446" s="92"/>
      <c r="AL446" s="92"/>
      <c r="AM446" s="92"/>
      <c r="AN446" s="92"/>
      <c r="AO446" s="92"/>
      <c r="AP446" s="92"/>
      <c r="AQ446" s="92"/>
      <c r="AR446" s="92"/>
      <c r="AS446" s="92"/>
      <c r="AT446" s="92"/>
      <c r="AU446" s="92"/>
      <c r="AV446" s="92"/>
      <c r="AW446" s="92"/>
      <c r="AX446" s="92"/>
      <c r="AY446" s="92"/>
      <c r="AZ446" s="92"/>
      <c r="BA446" s="92"/>
      <c r="BB446" s="92"/>
      <c r="BC446" s="92"/>
      <c r="BD446" s="92"/>
      <c r="BE446" s="92"/>
      <c r="BF446" s="92"/>
      <c r="BG446" s="92"/>
      <c r="BH446" s="92"/>
      <c r="BI446" s="92"/>
      <c r="BJ446" s="92"/>
      <c r="BK446" s="92"/>
      <c r="BL446" s="92"/>
      <c r="BM446" s="92"/>
      <c r="BN446" s="92"/>
      <c r="BO446" s="92"/>
      <c r="BP446" s="92"/>
      <c r="BQ446" s="92"/>
      <c r="BR446" s="92"/>
      <c r="BS446" s="92"/>
      <c r="BT446" s="92"/>
      <c r="BU446" s="92"/>
      <c r="BV446" s="92"/>
      <c r="BW446" s="92"/>
      <c r="BX446" s="92"/>
      <c r="BY446" s="92"/>
      <c r="BZ446" s="92"/>
      <c r="CA446" s="92"/>
      <c r="CB446" s="92"/>
      <c r="CC446" s="92"/>
      <c r="CD446" s="92"/>
      <c r="CE446" s="92"/>
      <c r="CF446" s="92"/>
      <c r="CG446" s="92"/>
      <c r="CH446" s="92"/>
      <c r="CI446" s="92"/>
      <c r="CJ446" s="92"/>
      <c r="CK446" s="92"/>
      <c r="CL446" s="92"/>
      <c r="CM446" s="92"/>
      <c r="CN446" s="92"/>
      <c r="CO446" s="92"/>
      <c r="CP446" s="92"/>
      <c r="CQ446" s="92"/>
      <c r="CR446" s="92"/>
      <c r="CS446" s="92"/>
      <c r="CT446" s="92"/>
      <c r="CU446" s="92"/>
      <c r="CV446" s="92"/>
      <c r="CW446" s="92"/>
      <c r="CX446" s="92"/>
      <c r="CY446" s="92"/>
      <c r="CZ446" s="92"/>
      <c r="DA446" s="92"/>
      <c r="DB446" s="92"/>
      <c r="DC446" s="92"/>
      <c r="DD446" s="92"/>
      <c r="DE446" s="92"/>
      <c r="DF446" s="92"/>
      <c r="DG446" s="92"/>
      <c r="DH446" s="92"/>
      <c r="DI446" s="92"/>
      <c r="DJ446" s="92"/>
      <c r="DK446" s="92"/>
      <c r="DL446" s="92"/>
      <c r="DM446" s="92"/>
      <c r="DN446" s="92"/>
      <c r="DO446" s="92"/>
      <c r="DP446" s="92"/>
      <c r="DQ446" s="92"/>
      <c r="DR446" s="92"/>
      <c r="DS446" s="92"/>
      <c r="DT446" s="92"/>
      <c r="DU446" s="92"/>
      <c r="DV446" s="92"/>
      <c r="DW446" s="92"/>
      <c r="DX446" s="92"/>
      <c r="DY446" s="92"/>
      <c r="DZ446" s="92"/>
      <c r="EA446" s="92"/>
      <c r="EB446" s="92"/>
      <c r="EC446" s="92"/>
      <c r="ED446" s="92"/>
      <c r="EE446" s="92"/>
      <c r="EF446" s="92"/>
      <c r="EG446" s="92"/>
      <c r="EH446" s="92"/>
      <c r="EI446" s="92"/>
      <c r="EJ446" s="92"/>
      <c r="EK446" s="92"/>
      <c r="EL446" s="92"/>
      <c r="EM446" s="92"/>
      <c r="EN446" s="92"/>
      <c r="EO446" s="92"/>
      <c r="EP446" s="92"/>
      <c r="EQ446" s="92"/>
      <c r="ER446" s="92"/>
      <c r="ES446" s="92"/>
      <c r="ET446" s="92"/>
      <c r="EU446" s="92"/>
      <c r="EV446" s="92"/>
      <c r="EW446" s="92"/>
      <c r="EX446" s="92"/>
      <c r="EY446" s="92"/>
      <c r="EZ446" s="92"/>
      <c r="FA446" s="92"/>
      <c r="FB446" s="92"/>
      <c r="FC446" s="92"/>
      <c r="FD446" s="92"/>
      <c r="FE446" s="92"/>
      <c r="FF446" s="92"/>
      <c r="FG446" s="92"/>
      <c r="FH446" s="92"/>
    </row>
    <row r="447">
      <c r="A447" s="32" t="s">
        <v>35</v>
      </c>
      <c r="B447" s="32" t="s">
        <v>80</v>
      </c>
      <c r="C447" s="32" t="s">
        <v>12</v>
      </c>
      <c r="D447" s="97">
        <f t="shared" si="1"/>
        <v>4508.827425</v>
      </c>
      <c r="E447" s="92">
        <f>(SUBSTITUTE(Audio!E447, "RE-", "", 1))*1</f>
        <v>0</v>
      </c>
      <c r="F447" s="92">
        <f>(SUBSTITUTE(Audio!F447, "RE-", "", 1))*1</f>
        <v>437.8796479</v>
      </c>
      <c r="G447" s="92">
        <f>(SUBSTITUTE(Audio!G447, "RE-", "", 1))*1</f>
        <v>1.619602083</v>
      </c>
      <c r="H447" s="92">
        <f>(SUBSTITUTE(Audio!H447, "RE-", "", 1))*1</f>
        <v>31.71847083</v>
      </c>
      <c r="I447" s="92">
        <f>(SUBSTITUTE(Audio!I447, "RE-", "", 1))*1</f>
        <v>0</v>
      </c>
      <c r="J447" s="92">
        <f>(SUBSTITUTE(Audio!J447, "RE-", "", 1))*1</f>
        <v>926.9413844</v>
      </c>
      <c r="K447" s="92">
        <f>(SUBSTITUTE(Audio!K447, "RE-", "", 1))*1</f>
        <v>4.372552083</v>
      </c>
      <c r="L447" s="92">
        <f>(SUBSTITUTE(Audio!L447, "RE-", "", 1))*1</f>
        <v>1131.613981</v>
      </c>
      <c r="M447" s="92">
        <f>(SUBSTITUTE(Audio!M447, "RE-", "", 1))*1</f>
        <v>5.48355</v>
      </c>
      <c r="N447" s="92">
        <f>(SUBSTITUTE(Audio!N447, "RE-", "", 1))*1</f>
        <v>530.9657979</v>
      </c>
      <c r="O447" s="92">
        <f>(SUBSTITUTE(Audio!O447, "RE-", "", 1))*1</f>
        <v>2.31640625</v>
      </c>
      <c r="P447" s="92">
        <f>(SUBSTITUTE(Audio!P447, "RE-", "", 1))*1</f>
        <v>314.8234229</v>
      </c>
      <c r="Q447" s="92">
        <f>(SUBSTITUTE(Audio!Q447, "RE-", "", 1))*1</f>
        <v>22.63007396</v>
      </c>
      <c r="R447" s="92">
        <f>(SUBSTITUTE(Audio!R447, "RE-", "", 1))*1</f>
        <v>46.77443229</v>
      </c>
      <c r="S447" s="92">
        <f>(SUBSTITUTE(Audio!S447, "RE-", "", 1))*1</f>
        <v>2.726139583</v>
      </c>
      <c r="T447" s="92">
        <f>(SUBSTITUTE(Audio!T447, "RE-", "", 1))*1</f>
        <v>1014.979389</v>
      </c>
      <c r="U447" s="92">
        <f>(SUBSTITUTE(Audio!U447, "RE-", "", 1))*1</f>
        <v>27.16328958</v>
      </c>
      <c r="V447" s="92">
        <f>(SUBSTITUTE(Audio!V447, "RE-", "", 1))*1</f>
        <v>6.819285417</v>
      </c>
      <c r="W447" s="92">
        <f>(SUBSTITUTE(Audio!W447, "RE-", "", 1))*1</f>
        <v>0</v>
      </c>
      <c r="X447" s="92">
        <f>(SUBSTITUTE(Audio!X447, "RE-", "", 1))*1</f>
        <v>0</v>
      </c>
      <c r="Y447" s="92">
        <f>(SUBSTITUTE(Audio!Y447, "RE-", "", 1))*1</f>
        <v>0</v>
      </c>
      <c r="Z447" s="92">
        <f>(SUBSTITUTE(Audio!Z447, "RE-", "", 1))*1</f>
        <v>0</v>
      </c>
      <c r="AA447" s="92"/>
      <c r="AB447" s="92"/>
      <c r="AC447" s="92"/>
      <c r="AD447" s="92"/>
      <c r="AE447" s="92"/>
      <c r="AF447" s="92"/>
      <c r="AG447" s="92"/>
      <c r="AH447" s="92"/>
      <c r="AI447" s="92"/>
      <c r="AJ447" s="92"/>
      <c r="AK447" s="92"/>
      <c r="AL447" s="92"/>
      <c r="AM447" s="92"/>
      <c r="AN447" s="92"/>
      <c r="AO447" s="92"/>
      <c r="AP447" s="92"/>
      <c r="AQ447" s="92"/>
      <c r="AR447" s="92"/>
      <c r="AS447" s="92"/>
      <c r="AT447" s="92"/>
      <c r="AU447" s="92"/>
      <c r="AV447" s="92"/>
      <c r="AW447" s="92"/>
      <c r="AX447" s="92"/>
      <c r="AY447" s="92"/>
      <c r="AZ447" s="92"/>
      <c r="BA447" s="92"/>
      <c r="BB447" s="92"/>
      <c r="BC447" s="92"/>
      <c r="BD447" s="92"/>
      <c r="BE447" s="92"/>
      <c r="BF447" s="92"/>
      <c r="BG447" s="92"/>
      <c r="BH447" s="92"/>
      <c r="BI447" s="92"/>
      <c r="BJ447" s="92"/>
      <c r="BK447" s="92"/>
      <c r="BL447" s="92"/>
      <c r="BM447" s="92"/>
      <c r="BN447" s="92"/>
      <c r="BO447" s="92"/>
      <c r="BP447" s="92"/>
      <c r="BQ447" s="92"/>
      <c r="BR447" s="92"/>
      <c r="BS447" s="92"/>
      <c r="BT447" s="92"/>
      <c r="BU447" s="92"/>
      <c r="BV447" s="92"/>
      <c r="BW447" s="92"/>
      <c r="BX447" s="92"/>
      <c r="BY447" s="92"/>
      <c r="BZ447" s="92"/>
      <c r="CA447" s="92"/>
      <c r="CB447" s="92"/>
      <c r="CC447" s="92"/>
      <c r="CD447" s="92"/>
      <c r="CE447" s="92"/>
      <c r="CF447" s="92"/>
      <c r="CG447" s="92"/>
      <c r="CH447" s="92"/>
      <c r="CI447" s="92"/>
      <c r="CJ447" s="92"/>
      <c r="CK447" s="92"/>
      <c r="CL447" s="92"/>
      <c r="CM447" s="92"/>
      <c r="CN447" s="92"/>
      <c r="CO447" s="92"/>
      <c r="CP447" s="92"/>
      <c r="CQ447" s="92"/>
      <c r="CR447" s="92"/>
      <c r="CS447" s="92"/>
      <c r="CT447" s="92"/>
      <c r="CU447" s="92"/>
      <c r="CV447" s="92"/>
      <c r="CW447" s="92"/>
      <c r="CX447" s="92"/>
      <c r="CY447" s="92"/>
      <c r="CZ447" s="92"/>
      <c r="DA447" s="92"/>
      <c r="DB447" s="92"/>
      <c r="DC447" s="92"/>
      <c r="DD447" s="92"/>
      <c r="DE447" s="92"/>
      <c r="DF447" s="92"/>
      <c r="DG447" s="92"/>
      <c r="DH447" s="92"/>
      <c r="DI447" s="92"/>
      <c r="DJ447" s="92"/>
      <c r="DK447" s="92"/>
      <c r="DL447" s="92"/>
      <c r="DM447" s="92"/>
      <c r="DN447" s="92"/>
      <c r="DO447" s="92"/>
      <c r="DP447" s="92"/>
      <c r="DQ447" s="92"/>
      <c r="DR447" s="92"/>
      <c r="DS447" s="92"/>
      <c r="DT447" s="92"/>
      <c r="DU447" s="92"/>
      <c r="DV447" s="92"/>
      <c r="DW447" s="92"/>
      <c r="DX447" s="92"/>
      <c r="DY447" s="92"/>
      <c r="DZ447" s="92"/>
      <c r="EA447" s="92"/>
      <c r="EB447" s="92"/>
      <c r="EC447" s="92"/>
      <c r="ED447" s="92"/>
      <c r="EE447" s="92"/>
      <c r="EF447" s="92"/>
      <c r="EG447" s="92"/>
      <c r="EH447" s="92"/>
      <c r="EI447" s="92"/>
      <c r="EJ447" s="92"/>
      <c r="EK447" s="92"/>
      <c r="EL447" s="92"/>
      <c r="EM447" s="92"/>
      <c r="EN447" s="92"/>
      <c r="EO447" s="92"/>
      <c r="EP447" s="92"/>
      <c r="EQ447" s="92"/>
      <c r="ER447" s="92"/>
      <c r="ES447" s="92"/>
      <c r="ET447" s="92"/>
      <c r="EU447" s="92"/>
      <c r="EV447" s="92"/>
      <c r="EW447" s="92"/>
      <c r="EX447" s="92"/>
      <c r="EY447" s="92"/>
      <c r="EZ447" s="92"/>
      <c r="FA447" s="92"/>
      <c r="FB447" s="92"/>
      <c r="FC447" s="92"/>
      <c r="FD447" s="92"/>
      <c r="FE447" s="92"/>
      <c r="FF447" s="92"/>
      <c r="FG447" s="92"/>
      <c r="FH447" s="92"/>
    </row>
    <row r="448">
      <c r="A448" s="32" t="s">
        <v>35</v>
      </c>
      <c r="B448" s="32" t="s">
        <v>80</v>
      </c>
      <c r="C448" s="32" t="s">
        <v>13</v>
      </c>
      <c r="D448" s="97">
        <f t="shared" si="1"/>
        <v>4386.22982</v>
      </c>
      <c r="E448" s="92">
        <f>(SUBSTITUTE(Audio!E448, "RE-", "", 1))*1</f>
        <v>0</v>
      </c>
      <c r="F448" s="92">
        <f>(SUBSTITUTE(Audio!F448, "RE-", "", 1))*1</f>
        <v>429.127</v>
      </c>
      <c r="G448" s="92">
        <f>(SUBSTITUTE(Audio!G448, "RE-", "", 1))*1</f>
        <v>1.53772</v>
      </c>
      <c r="H448" s="92">
        <f>(SUBSTITUTE(Audio!H448, "RE-", "", 1))*1</f>
        <v>30.7817</v>
      </c>
      <c r="I448" s="92">
        <f>(SUBSTITUTE(Audio!I448, "RE-", "", 1))*1</f>
        <v>0</v>
      </c>
      <c r="J448" s="92">
        <f>(SUBSTITUTE(Audio!J448, "RE-", "", 1))*1</f>
        <v>905.269</v>
      </c>
      <c r="K448" s="92">
        <f>(SUBSTITUTE(Audio!K448, "RE-", "", 1))*1</f>
        <v>4.2755</v>
      </c>
      <c r="L448" s="92">
        <f>(SUBSTITUTE(Audio!L448, "RE-", "", 1))*1</f>
        <v>1101.68</v>
      </c>
      <c r="M448" s="92">
        <f>(SUBSTITUTE(Audio!M448, "RE-", "", 1))*1</f>
        <v>5.288</v>
      </c>
      <c r="N448" s="92">
        <f>(SUBSTITUTE(Audio!N448, "RE-", "", 1))*1</f>
        <v>516.767</v>
      </c>
      <c r="O448" s="92">
        <f>(SUBSTITUTE(Audio!O448, "RE-", "", 1))*1</f>
        <v>2.28252</v>
      </c>
      <c r="P448" s="92">
        <f>(SUBSTITUTE(Audio!P448, "RE-", "", 1))*1</f>
        <v>303.684</v>
      </c>
      <c r="Q448" s="92">
        <f>(SUBSTITUTE(Audio!Q448, "RE-", "", 1))*1</f>
        <v>20.8778</v>
      </c>
      <c r="R448" s="92">
        <f>(SUBSTITUTE(Audio!R448, "RE-", "", 1))*1</f>
        <v>45.0485</v>
      </c>
      <c r="S448" s="92">
        <f>(SUBSTITUTE(Audio!S448, "RE-", "", 1))*1</f>
        <v>2.64593</v>
      </c>
      <c r="T448" s="92">
        <f>(SUBSTITUTE(Audio!T448, "RE-", "", 1))*1</f>
        <v>984.281</v>
      </c>
      <c r="U448" s="92">
        <f>(SUBSTITUTE(Audio!U448, "RE-", "", 1))*1</f>
        <v>26.1441</v>
      </c>
      <c r="V448" s="92">
        <f>(SUBSTITUTE(Audio!V448, "RE-", "", 1))*1</f>
        <v>6.54005</v>
      </c>
      <c r="W448" s="92">
        <f>(SUBSTITUTE(Audio!W448, "RE-", "", 1))*1</f>
        <v>0</v>
      </c>
      <c r="X448" s="92">
        <f>(SUBSTITUTE(Audio!X448, "RE-", "", 1))*1</f>
        <v>0</v>
      </c>
      <c r="Y448" s="92">
        <f>(SUBSTITUTE(Audio!Y448, "RE-", "", 1))*1</f>
        <v>0</v>
      </c>
      <c r="Z448" s="92">
        <f>(SUBSTITUTE(Audio!Z448, "RE-", "", 1))*1</f>
        <v>0</v>
      </c>
      <c r="AA448" s="92"/>
      <c r="AB448" s="92"/>
      <c r="AC448" s="92"/>
      <c r="AD448" s="92"/>
      <c r="AE448" s="92"/>
      <c r="AF448" s="92"/>
      <c r="AG448" s="92"/>
      <c r="AH448" s="92"/>
      <c r="AI448" s="92"/>
      <c r="AJ448" s="92"/>
      <c r="AK448" s="92"/>
      <c r="AL448" s="92"/>
      <c r="AM448" s="92"/>
      <c r="AN448" s="92"/>
      <c r="AO448" s="92"/>
      <c r="AP448" s="92"/>
      <c r="AQ448" s="92"/>
      <c r="AR448" s="92"/>
      <c r="AS448" s="92"/>
      <c r="AT448" s="92"/>
      <c r="AU448" s="92"/>
      <c r="AV448" s="92"/>
      <c r="AW448" s="92"/>
      <c r="AX448" s="92"/>
      <c r="AY448" s="92"/>
      <c r="AZ448" s="92"/>
      <c r="BA448" s="92"/>
      <c r="BB448" s="92"/>
      <c r="BC448" s="92"/>
      <c r="BD448" s="92"/>
      <c r="BE448" s="92"/>
      <c r="BF448" s="92"/>
      <c r="BG448" s="92"/>
      <c r="BH448" s="92"/>
      <c r="BI448" s="92"/>
      <c r="BJ448" s="92"/>
      <c r="BK448" s="92"/>
      <c r="BL448" s="92"/>
      <c r="BM448" s="92"/>
      <c r="BN448" s="92"/>
      <c r="BO448" s="92"/>
      <c r="BP448" s="92"/>
      <c r="BQ448" s="92"/>
      <c r="BR448" s="92"/>
      <c r="BS448" s="92"/>
      <c r="BT448" s="92"/>
      <c r="BU448" s="92"/>
      <c r="BV448" s="92"/>
      <c r="BW448" s="92"/>
      <c r="BX448" s="92"/>
      <c r="BY448" s="92"/>
      <c r="BZ448" s="92"/>
      <c r="CA448" s="92"/>
      <c r="CB448" s="92"/>
      <c r="CC448" s="92"/>
      <c r="CD448" s="92"/>
      <c r="CE448" s="92"/>
      <c r="CF448" s="92"/>
      <c r="CG448" s="92"/>
      <c r="CH448" s="92"/>
      <c r="CI448" s="92"/>
      <c r="CJ448" s="92"/>
      <c r="CK448" s="92"/>
      <c r="CL448" s="92"/>
      <c r="CM448" s="92"/>
      <c r="CN448" s="92"/>
      <c r="CO448" s="92"/>
      <c r="CP448" s="92"/>
      <c r="CQ448" s="92"/>
      <c r="CR448" s="92"/>
      <c r="CS448" s="92"/>
      <c r="CT448" s="92"/>
      <c r="CU448" s="92"/>
      <c r="CV448" s="92"/>
      <c r="CW448" s="92"/>
      <c r="CX448" s="92"/>
      <c r="CY448" s="92"/>
      <c r="CZ448" s="92"/>
      <c r="DA448" s="92"/>
      <c r="DB448" s="92"/>
      <c r="DC448" s="92"/>
      <c r="DD448" s="92"/>
      <c r="DE448" s="92"/>
      <c r="DF448" s="92"/>
      <c r="DG448" s="92"/>
      <c r="DH448" s="92"/>
      <c r="DI448" s="92"/>
      <c r="DJ448" s="92"/>
      <c r="DK448" s="92"/>
      <c r="DL448" s="92"/>
      <c r="DM448" s="92"/>
      <c r="DN448" s="92"/>
      <c r="DO448" s="92"/>
      <c r="DP448" s="92"/>
      <c r="DQ448" s="92"/>
      <c r="DR448" s="92"/>
      <c r="DS448" s="92"/>
      <c r="DT448" s="92"/>
      <c r="DU448" s="92"/>
      <c r="DV448" s="92"/>
      <c r="DW448" s="92"/>
      <c r="DX448" s="92"/>
      <c r="DY448" s="92"/>
      <c r="DZ448" s="92"/>
      <c r="EA448" s="92"/>
      <c r="EB448" s="92"/>
      <c r="EC448" s="92"/>
      <c r="ED448" s="92"/>
      <c r="EE448" s="92"/>
      <c r="EF448" s="92"/>
      <c r="EG448" s="92"/>
      <c r="EH448" s="92"/>
      <c r="EI448" s="92"/>
      <c r="EJ448" s="92"/>
      <c r="EK448" s="92"/>
      <c r="EL448" s="92"/>
      <c r="EM448" s="92"/>
      <c r="EN448" s="92"/>
      <c r="EO448" s="92"/>
      <c r="EP448" s="92"/>
      <c r="EQ448" s="92"/>
      <c r="ER448" s="92"/>
      <c r="ES448" s="92"/>
      <c r="ET448" s="92"/>
      <c r="EU448" s="92"/>
      <c r="EV448" s="92"/>
      <c r="EW448" s="92"/>
      <c r="EX448" s="92"/>
      <c r="EY448" s="92"/>
      <c r="EZ448" s="92"/>
      <c r="FA448" s="92"/>
      <c r="FB448" s="92"/>
      <c r="FC448" s="92"/>
      <c r="FD448" s="92"/>
      <c r="FE448" s="92"/>
      <c r="FF448" s="92"/>
      <c r="FG448" s="92"/>
      <c r="FH448" s="92"/>
    </row>
    <row r="449">
      <c r="A449" s="32" t="s">
        <v>35</v>
      </c>
      <c r="B449" s="32" t="s">
        <v>80</v>
      </c>
      <c r="C449" s="32" t="s">
        <v>14</v>
      </c>
      <c r="D449" s="97">
        <f t="shared" si="1"/>
        <v>3895.73217</v>
      </c>
      <c r="E449" s="92">
        <f>(SUBSTITUTE(Audio!E449, "RE-", "", 1))*1</f>
        <v>0</v>
      </c>
      <c r="F449" s="92">
        <f>(SUBSTITUTE(Audio!F449, "RE-", "", 1))*1</f>
        <v>391.495</v>
      </c>
      <c r="G449" s="92">
        <f>(SUBSTITUTE(Audio!G449, "RE-", "", 1))*1</f>
        <v>1.53772</v>
      </c>
      <c r="H449" s="92">
        <f>(SUBSTITUTE(Audio!H449, "RE-", "", 1))*1</f>
        <v>27.6476</v>
      </c>
      <c r="I449" s="92">
        <f>(SUBSTITUTE(Audio!I449, "RE-", "", 1))*1</f>
        <v>0</v>
      </c>
      <c r="J449" s="92">
        <f>(SUBSTITUTE(Audio!J449, "RE-", "", 1))*1</f>
        <v>836.474</v>
      </c>
      <c r="K449" s="92">
        <f>(SUBSTITUTE(Audio!K449, "RE-", "", 1))*1</f>
        <v>3.94307</v>
      </c>
      <c r="L449" s="92">
        <f>(SUBSTITUTE(Audio!L449, "RE-", "", 1))*1</f>
        <v>976.953</v>
      </c>
      <c r="M449" s="92">
        <f>(SUBSTITUTE(Audio!M449, "RE-", "", 1))*1</f>
        <v>4.6012</v>
      </c>
      <c r="N449" s="92">
        <f>(SUBSTITUTE(Audio!N449, "RE-", "", 1))*1</f>
        <v>443.719</v>
      </c>
      <c r="O449" s="92">
        <f>(SUBSTITUTE(Audio!O449, "RE-", "", 1))*1</f>
        <v>2.28252</v>
      </c>
      <c r="P449" s="92">
        <f>(SUBSTITUTE(Audio!P449, "RE-", "", 1))*1</f>
        <v>260.971</v>
      </c>
      <c r="Q449" s="92">
        <f>(SUBSTITUTE(Audio!Q449, "RE-", "", 1))*1</f>
        <v>16.7938</v>
      </c>
      <c r="R449" s="92">
        <f>(SUBSTITUTE(Audio!R449, "RE-", "", 1))*1</f>
        <v>37.62</v>
      </c>
      <c r="S449" s="92">
        <f>(SUBSTITUTE(Audio!S449, "RE-", "", 1))*1</f>
        <v>2.45358</v>
      </c>
      <c r="T449" s="92">
        <f>(SUBSTITUTE(Audio!T449, "RE-", "", 1))*1</f>
        <v>862.706</v>
      </c>
      <c r="U449" s="92">
        <f>(SUBSTITUTE(Audio!U449, "RE-", "", 1))*1</f>
        <v>21.2478</v>
      </c>
      <c r="V449" s="92">
        <f>(SUBSTITUTE(Audio!V449, "RE-", "", 1))*1</f>
        <v>5.28688</v>
      </c>
      <c r="W449" s="92">
        <f>(SUBSTITUTE(Audio!W449, "RE-", "", 1))*1</f>
        <v>0</v>
      </c>
      <c r="X449" s="92">
        <f>(SUBSTITUTE(Audio!X449, "RE-", "", 1))*1</f>
        <v>0</v>
      </c>
      <c r="Y449" s="92">
        <f>(SUBSTITUTE(Audio!Y449, "RE-", "", 1))*1</f>
        <v>0</v>
      </c>
      <c r="Z449" s="92">
        <f>(SUBSTITUTE(Audio!Z449, "RE-", "", 1))*1</f>
        <v>0</v>
      </c>
      <c r="AA449" s="92"/>
      <c r="AB449" s="92"/>
      <c r="AC449" s="92"/>
      <c r="AD449" s="92"/>
      <c r="AE449" s="92"/>
      <c r="AF449" s="92"/>
      <c r="AG449" s="92"/>
      <c r="AH449" s="92"/>
      <c r="AI449" s="92"/>
      <c r="AJ449" s="92"/>
      <c r="AK449" s="92"/>
      <c r="AL449" s="92"/>
      <c r="AM449" s="92"/>
      <c r="AN449" s="92"/>
      <c r="AO449" s="92"/>
      <c r="AP449" s="92"/>
      <c r="AQ449" s="92"/>
      <c r="AR449" s="92"/>
      <c r="AS449" s="92"/>
      <c r="AT449" s="92"/>
      <c r="AU449" s="92"/>
      <c r="AV449" s="92"/>
      <c r="AW449" s="92"/>
      <c r="AX449" s="92"/>
      <c r="AY449" s="92"/>
      <c r="AZ449" s="92"/>
      <c r="BA449" s="92"/>
      <c r="BB449" s="92"/>
      <c r="BC449" s="92"/>
      <c r="BD449" s="92"/>
      <c r="BE449" s="92"/>
      <c r="BF449" s="92"/>
      <c r="BG449" s="92"/>
      <c r="BH449" s="92"/>
      <c r="BI449" s="92"/>
      <c r="BJ449" s="92"/>
      <c r="BK449" s="92"/>
      <c r="BL449" s="92"/>
      <c r="BM449" s="92"/>
      <c r="BN449" s="92"/>
      <c r="BO449" s="92"/>
      <c r="BP449" s="92"/>
      <c r="BQ449" s="92"/>
      <c r="BR449" s="92"/>
      <c r="BS449" s="92"/>
      <c r="BT449" s="92"/>
      <c r="BU449" s="92"/>
      <c r="BV449" s="92"/>
      <c r="BW449" s="92"/>
      <c r="BX449" s="92"/>
      <c r="BY449" s="92"/>
      <c r="BZ449" s="92"/>
      <c r="CA449" s="92"/>
      <c r="CB449" s="92"/>
      <c r="CC449" s="92"/>
      <c r="CD449" s="92"/>
      <c r="CE449" s="92"/>
      <c r="CF449" s="92"/>
      <c r="CG449" s="92"/>
      <c r="CH449" s="92"/>
      <c r="CI449" s="92"/>
      <c r="CJ449" s="92"/>
      <c r="CK449" s="92"/>
      <c r="CL449" s="92"/>
      <c r="CM449" s="92"/>
      <c r="CN449" s="92"/>
      <c r="CO449" s="92"/>
      <c r="CP449" s="92"/>
      <c r="CQ449" s="92"/>
      <c r="CR449" s="92"/>
      <c r="CS449" s="92"/>
      <c r="CT449" s="92"/>
      <c r="CU449" s="92"/>
      <c r="CV449" s="92"/>
      <c r="CW449" s="92"/>
      <c r="CX449" s="92"/>
      <c r="CY449" s="92"/>
      <c r="CZ449" s="92"/>
      <c r="DA449" s="92"/>
      <c r="DB449" s="92"/>
      <c r="DC449" s="92"/>
      <c r="DD449" s="92"/>
      <c r="DE449" s="92"/>
      <c r="DF449" s="92"/>
      <c r="DG449" s="92"/>
      <c r="DH449" s="92"/>
      <c r="DI449" s="92"/>
      <c r="DJ449" s="92"/>
      <c r="DK449" s="92"/>
      <c r="DL449" s="92"/>
      <c r="DM449" s="92"/>
      <c r="DN449" s="92"/>
      <c r="DO449" s="92"/>
      <c r="DP449" s="92"/>
      <c r="DQ449" s="92"/>
      <c r="DR449" s="92"/>
      <c r="DS449" s="92"/>
      <c r="DT449" s="92"/>
      <c r="DU449" s="92"/>
      <c r="DV449" s="92"/>
      <c r="DW449" s="92"/>
      <c r="DX449" s="92"/>
      <c r="DY449" s="92"/>
      <c r="DZ449" s="92"/>
      <c r="EA449" s="92"/>
      <c r="EB449" s="92"/>
      <c r="EC449" s="92"/>
      <c r="ED449" s="92"/>
      <c r="EE449" s="92"/>
      <c r="EF449" s="92"/>
      <c r="EG449" s="92"/>
      <c r="EH449" s="92"/>
      <c r="EI449" s="92"/>
      <c r="EJ449" s="92"/>
      <c r="EK449" s="92"/>
      <c r="EL449" s="92"/>
      <c r="EM449" s="92"/>
      <c r="EN449" s="92"/>
      <c r="EO449" s="92"/>
      <c r="EP449" s="92"/>
      <c r="EQ449" s="92"/>
      <c r="ER449" s="92"/>
      <c r="ES449" s="92"/>
      <c r="ET449" s="92"/>
      <c r="EU449" s="92"/>
      <c r="EV449" s="92"/>
      <c r="EW449" s="92"/>
      <c r="EX449" s="92"/>
      <c r="EY449" s="92"/>
      <c r="EZ449" s="92"/>
      <c r="FA449" s="92"/>
      <c r="FB449" s="92"/>
      <c r="FC449" s="92"/>
      <c r="FD449" s="92"/>
      <c r="FE449" s="92"/>
      <c r="FF449" s="92"/>
      <c r="FG449" s="92"/>
      <c r="FH449" s="92"/>
    </row>
    <row r="450">
      <c r="A450" s="27" t="s">
        <v>35</v>
      </c>
      <c r="B450" s="27" t="s">
        <v>80</v>
      </c>
      <c r="C450" s="27" t="s">
        <v>15</v>
      </c>
      <c r="D450" s="98">
        <f t="shared" si="1"/>
        <v>4385.90982</v>
      </c>
      <c r="E450" s="92">
        <f>(SUBSTITUTE(Audio!E450, "RE-", "", 1))*1</f>
        <v>0</v>
      </c>
      <c r="F450" s="92">
        <f>(SUBSTITUTE(Audio!F450, "RE-", "", 1))*1</f>
        <v>429.127</v>
      </c>
      <c r="G450" s="92">
        <f>(SUBSTITUTE(Audio!G450, "RE-", "", 1))*1</f>
        <v>1.53772</v>
      </c>
      <c r="H450" s="92">
        <f>(SUBSTITUTE(Audio!H450, "RE-", "", 1))*1</f>
        <v>30.7817</v>
      </c>
      <c r="I450" s="92">
        <f>(SUBSTITUTE(Audio!I450, "RE-", "", 1))*1</f>
        <v>0</v>
      </c>
      <c r="J450" s="92">
        <f>(SUBSTITUTE(Audio!J450, "RE-", "", 1))*1</f>
        <v>905.269</v>
      </c>
      <c r="K450" s="92">
        <f>(SUBSTITUTE(Audio!K450, "RE-", "", 1))*1</f>
        <v>4.2755</v>
      </c>
      <c r="L450" s="92">
        <f>(SUBSTITUTE(Audio!L450, "RE-", "", 1))*1</f>
        <v>1101.37</v>
      </c>
      <c r="M450" s="92">
        <f>(SUBSTITUTE(Audio!M450, "RE-", "", 1))*1</f>
        <v>5.288</v>
      </c>
      <c r="N450" s="92">
        <f>(SUBSTITUTE(Audio!N450, "RE-", "", 1))*1</f>
        <v>516.757</v>
      </c>
      <c r="O450" s="92">
        <f>(SUBSTITUTE(Audio!O450, "RE-", "", 1))*1</f>
        <v>2.28252</v>
      </c>
      <c r="P450" s="92">
        <f>(SUBSTITUTE(Audio!P450, "RE-", "", 1))*1</f>
        <v>303.684</v>
      </c>
      <c r="Q450" s="92">
        <f>(SUBSTITUTE(Audio!Q450, "RE-", "", 1))*1</f>
        <v>20.8778</v>
      </c>
      <c r="R450" s="92">
        <f>(SUBSTITUTE(Audio!R450, "RE-", "", 1))*1</f>
        <v>45.0485</v>
      </c>
      <c r="S450" s="92">
        <f>(SUBSTITUTE(Audio!S450, "RE-", "", 1))*1</f>
        <v>2.64593</v>
      </c>
      <c r="T450" s="92">
        <f>(SUBSTITUTE(Audio!T450, "RE-", "", 1))*1</f>
        <v>984.281</v>
      </c>
      <c r="U450" s="92">
        <f>(SUBSTITUTE(Audio!U450, "RE-", "", 1))*1</f>
        <v>26.1441</v>
      </c>
      <c r="V450" s="92">
        <f>(SUBSTITUTE(Audio!V450, "RE-", "", 1))*1</f>
        <v>6.54005</v>
      </c>
      <c r="W450" s="92">
        <f>(SUBSTITUTE(Audio!W450, "RE-", "", 1))*1</f>
        <v>0</v>
      </c>
      <c r="X450" s="92">
        <f>(SUBSTITUTE(Audio!X450, "RE-", "", 1))*1</f>
        <v>0</v>
      </c>
      <c r="Y450" s="92">
        <f>(SUBSTITUTE(Audio!Y450, "RE-", "", 1))*1</f>
        <v>0</v>
      </c>
      <c r="Z450" s="92">
        <f>(SUBSTITUTE(Audio!Z450, "RE-", "", 1))*1</f>
        <v>0</v>
      </c>
      <c r="AA450" s="92"/>
      <c r="AB450" s="92"/>
      <c r="AC450" s="92"/>
      <c r="AD450" s="92"/>
      <c r="AE450" s="92"/>
      <c r="AF450" s="92"/>
      <c r="AG450" s="92"/>
      <c r="AH450" s="92"/>
      <c r="AI450" s="92"/>
      <c r="AJ450" s="92"/>
      <c r="AK450" s="92"/>
      <c r="AL450" s="92"/>
      <c r="AM450" s="92"/>
      <c r="AN450" s="92"/>
      <c r="AO450" s="92"/>
      <c r="AP450" s="92"/>
      <c r="AQ450" s="92"/>
      <c r="AR450" s="92"/>
      <c r="AS450" s="92"/>
      <c r="AT450" s="92"/>
      <c r="AU450" s="92"/>
      <c r="AV450" s="92"/>
      <c r="AW450" s="92"/>
      <c r="AX450" s="92"/>
      <c r="AY450" s="92"/>
      <c r="AZ450" s="92"/>
      <c r="BA450" s="92"/>
      <c r="BB450" s="92"/>
      <c r="BC450" s="92"/>
      <c r="BD450" s="92"/>
      <c r="BE450" s="92"/>
      <c r="BF450" s="92"/>
      <c r="BG450" s="92"/>
      <c r="BH450" s="92"/>
      <c r="BI450" s="92"/>
      <c r="BJ450" s="92"/>
      <c r="BK450" s="92"/>
      <c r="BL450" s="92"/>
      <c r="BM450" s="92"/>
      <c r="BN450" s="92"/>
      <c r="BO450" s="92"/>
      <c r="BP450" s="92"/>
      <c r="BQ450" s="92"/>
      <c r="BR450" s="92"/>
      <c r="BS450" s="92"/>
      <c r="BT450" s="92"/>
      <c r="BU450" s="92"/>
      <c r="BV450" s="92"/>
      <c r="BW450" s="92"/>
      <c r="BX450" s="92"/>
      <c r="BY450" s="92"/>
      <c r="BZ450" s="92"/>
      <c r="CA450" s="92"/>
      <c r="CB450" s="92"/>
      <c r="CC450" s="92"/>
      <c r="CD450" s="92"/>
      <c r="CE450" s="92"/>
      <c r="CF450" s="92"/>
      <c r="CG450" s="92"/>
      <c r="CH450" s="92"/>
      <c r="CI450" s="92"/>
      <c r="CJ450" s="92"/>
      <c r="CK450" s="92"/>
      <c r="CL450" s="92"/>
      <c r="CM450" s="92"/>
      <c r="CN450" s="92"/>
      <c r="CO450" s="92"/>
      <c r="CP450" s="92"/>
      <c r="CQ450" s="92"/>
      <c r="CR450" s="92"/>
      <c r="CS450" s="92"/>
      <c r="CT450" s="92"/>
      <c r="CU450" s="92"/>
      <c r="CV450" s="92"/>
      <c r="CW450" s="92"/>
      <c r="CX450" s="92"/>
      <c r="CY450" s="92"/>
      <c r="CZ450" s="92"/>
      <c r="DA450" s="92"/>
      <c r="DB450" s="92"/>
      <c r="DC450" s="92"/>
      <c r="DD450" s="92"/>
      <c r="DE450" s="92"/>
      <c r="DF450" s="92"/>
      <c r="DG450" s="92"/>
      <c r="DH450" s="92"/>
      <c r="DI450" s="92"/>
      <c r="DJ450" s="92"/>
      <c r="DK450" s="92"/>
      <c r="DL450" s="92"/>
      <c r="DM450" s="92"/>
      <c r="DN450" s="92"/>
      <c r="DO450" s="92"/>
      <c r="DP450" s="92"/>
      <c r="DQ450" s="92"/>
      <c r="DR450" s="92"/>
      <c r="DS450" s="92"/>
      <c r="DT450" s="92"/>
      <c r="DU450" s="92"/>
      <c r="DV450" s="92"/>
      <c r="DW450" s="92"/>
      <c r="DX450" s="92"/>
      <c r="DY450" s="92"/>
      <c r="DZ450" s="92"/>
      <c r="EA450" s="92"/>
      <c r="EB450" s="92"/>
      <c r="EC450" s="92"/>
      <c r="ED450" s="92"/>
      <c r="EE450" s="92"/>
      <c r="EF450" s="92"/>
      <c r="EG450" s="92"/>
      <c r="EH450" s="92"/>
      <c r="EI450" s="92"/>
      <c r="EJ450" s="92"/>
      <c r="EK450" s="92"/>
      <c r="EL450" s="92"/>
      <c r="EM450" s="92"/>
      <c r="EN450" s="92"/>
      <c r="EO450" s="92"/>
      <c r="EP450" s="92"/>
      <c r="EQ450" s="92"/>
      <c r="ER450" s="92"/>
      <c r="ES450" s="92"/>
      <c r="ET450" s="92"/>
      <c r="EU450" s="92"/>
      <c r="EV450" s="92"/>
      <c r="EW450" s="92"/>
      <c r="EX450" s="92"/>
      <c r="EY450" s="92"/>
      <c r="EZ450" s="92"/>
      <c r="FA450" s="92"/>
      <c r="FB450" s="92"/>
      <c r="FC450" s="92"/>
      <c r="FD450" s="92"/>
      <c r="FE450" s="92"/>
      <c r="FF450" s="92"/>
      <c r="FG450" s="92"/>
      <c r="FH450" s="92"/>
    </row>
    <row r="451">
      <c r="A451" s="30" t="s">
        <v>28</v>
      </c>
      <c r="B451" s="30" t="s">
        <v>81</v>
      </c>
      <c r="C451" s="31" t="str">
        <f>HYPERLINK("https://docs.google.com/spreadsheets/d/1h-7EhCz1QWm7oau-k9ZLL2hIV9gab08y/edit?usp=share_link&amp;ouid=106501987799020758802&amp;rtpof=true&amp;sd=true", "Raw Delivered")</f>
        <v>Raw Delivered</v>
      </c>
      <c r="D451" s="96">
        <f t="shared" si="1"/>
        <v>5575.050744</v>
      </c>
      <c r="E451" s="92">
        <f>(SUBSTITUTE(Audio!E451, "RE-", "", 1))*1</f>
        <v>0</v>
      </c>
      <c r="F451" s="92">
        <f>(SUBSTITUTE(Audio!F451, "RE-", "", 1))*1</f>
        <v>703.8634146</v>
      </c>
      <c r="G451" s="92">
        <f>(SUBSTITUTE(Audio!G451, "RE-", "", 1))*1</f>
        <v>0</v>
      </c>
      <c r="H451" s="92">
        <f>(SUBSTITUTE(Audio!H451, "RE-", "", 1))*1</f>
        <v>346.2903104</v>
      </c>
      <c r="I451" s="92">
        <f>(SUBSTITUTE(Audio!I451, "RE-", "", 1))*1</f>
        <v>0</v>
      </c>
      <c r="J451" s="92">
        <f>(SUBSTITUTE(Audio!J451, "RE-", "", 1))*1</f>
        <v>67.72006042</v>
      </c>
      <c r="K451" s="92">
        <f>(SUBSTITUTE(Audio!K451, "RE-", "", 1))*1</f>
        <v>0</v>
      </c>
      <c r="L451" s="92">
        <f>(SUBSTITUTE(Audio!L451, "RE-", "", 1))*1</f>
        <v>518.9383437</v>
      </c>
      <c r="M451" s="92">
        <f>(SUBSTITUTE(Audio!M451, "RE-", "", 1))*1</f>
        <v>0</v>
      </c>
      <c r="N451" s="92">
        <f>(SUBSTITUTE(Audio!N451, "RE-", "", 1))*1</f>
        <v>1388.241464</v>
      </c>
      <c r="O451" s="92">
        <f>(SUBSTITUTE(Audio!O451, "RE-", "", 1))*1</f>
        <v>0</v>
      </c>
      <c r="P451" s="92">
        <f>(SUBSTITUTE(Audio!P451, "RE-", "", 1))*1</f>
        <v>1361.472882</v>
      </c>
      <c r="Q451" s="92">
        <f>(SUBSTITUTE(Audio!Q451, "RE-", "", 1))*1</f>
        <v>0</v>
      </c>
      <c r="R451" s="92">
        <f>(SUBSTITUTE(Audio!R451, "RE-", "", 1))*1</f>
        <v>773.6536281</v>
      </c>
      <c r="S451" s="92">
        <f>(SUBSTITUTE(Audio!S451, "RE-", "", 1))*1</f>
        <v>0</v>
      </c>
      <c r="T451" s="92">
        <f>(SUBSTITUTE(Audio!T451, "RE-", "", 1))*1</f>
        <v>414.8706406</v>
      </c>
      <c r="U451" s="92">
        <f>(SUBSTITUTE(Audio!U451, "RE-", "", 1))*1</f>
        <v>0</v>
      </c>
      <c r="V451" s="92">
        <f>(SUBSTITUTE(Audio!V451, "RE-", "", 1))*1</f>
        <v>0</v>
      </c>
      <c r="W451" s="92">
        <f>(SUBSTITUTE(Audio!W451, "RE-", "", 1))*1</f>
        <v>0</v>
      </c>
      <c r="X451" s="92">
        <f>(SUBSTITUTE(Audio!X451, "RE-", "", 1))*1</f>
        <v>0</v>
      </c>
      <c r="Y451" s="92">
        <f>(SUBSTITUTE(Audio!Y451, "RE-", "", 1))*1</f>
        <v>0</v>
      </c>
      <c r="Z451" s="92">
        <f>(SUBSTITUTE(Audio!Z451, "RE-", "", 1))*1</f>
        <v>0</v>
      </c>
      <c r="AA451" s="92"/>
      <c r="AB451" s="92"/>
      <c r="AC451" s="92"/>
      <c r="AD451" s="92"/>
      <c r="AE451" s="92"/>
      <c r="AF451" s="92"/>
      <c r="AG451" s="92"/>
      <c r="AH451" s="92"/>
      <c r="AI451" s="92"/>
      <c r="AJ451" s="92"/>
      <c r="AK451" s="92"/>
      <c r="AL451" s="92"/>
      <c r="AM451" s="92"/>
      <c r="AN451" s="92"/>
      <c r="AO451" s="92"/>
      <c r="AP451" s="92"/>
      <c r="AQ451" s="92"/>
      <c r="AR451" s="92"/>
      <c r="AS451" s="92"/>
      <c r="AT451" s="92"/>
      <c r="AU451" s="92"/>
      <c r="AV451" s="92"/>
      <c r="AW451" s="92"/>
      <c r="AX451" s="92"/>
      <c r="AY451" s="92"/>
      <c r="AZ451" s="92"/>
      <c r="BA451" s="92"/>
      <c r="BB451" s="92"/>
      <c r="BC451" s="92"/>
      <c r="BD451" s="92"/>
      <c r="BE451" s="92"/>
      <c r="BF451" s="92"/>
      <c r="BG451" s="92"/>
      <c r="BH451" s="92"/>
      <c r="BI451" s="92"/>
      <c r="BJ451" s="92"/>
      <c r="BK451" s="92"/>
      <c r="BL451" s="92"/>
      <c r="BM451" s="92"/>
      <c r="BN451" s="92"/>
      <c r="BO451" s="92"/>
      <c r="BP451" s="92"/>
      <c r="BQ451" s="92"/>
      <c r="BR451" s="92"/>
      <c r="BS451" s="92"/>
      <c r="BT451" s="92"/>
      <c r="BU451" s="92"/>
      <c r="BV451" s="92"/>
      <c r="BW451" s="92"/>
      <c r="BX451" s="92"/>
      <c r="BY451" s="92"/>
      <c r="BZ451" s="92"/>
      <c r="CA451" s="92"/>
      <c r="CB451" s="92"/>
      <c r="CC451" s="92"/>
      <c r="CD451" s="92"/>
      <c r="CE451" s="92"/>
      <c r="CF451" s="92"/>
      <c r="CG451" s="92"/>
      <c r="CH451" s="92"/>
      <c r="CI451" s="92"/>
      <c r="CJ451" s="92"/>
      <c r="CK451" s="92"/>
      <c r="CL451" s="92"/>
      <c r="CM451" s="92"/>
      <c r="CN451" s="92"/>
      <c r="CO451" s="92"/>
      <c r="CP451" s="92"/>
      <c r="CQ451" s="92"/>
      <c r="CR451" s="92"/>
      <c r="CS451" s="92"/>
      <c r="CT451" s="92"/>
      <c r="CU451" s="92"/>
      <c r="CV451" s="92"/>
      <c r="CW451" s="92"/>
      <c r="CX451" s="92"/>
      <c r="CY451" s="92"/>
      <c r="CZ451" s="92"/>
      <c r="DA451" s="92"/>
      <c r="DB451" s="92"/>
      <c r="DC451" s="92"/>
      <c r="DD451" s="92"/>
      <c r="DE451" s="92"/>
      <c r="DF451" s="92"/>
      <c r="DG451" s="92"/>
      <c r="DH451" s="92"/>
      <c r="DI451" s="92"/>
      <c r="DJ451" s="92"/>
      <c r="DK451" s="92"/>
      <c r="DL451" s="92"/>
      <c r="DM451" s="92"/>
      <c r="DN451" s="92"/>
      <c r="DO451" s="92"/>
      <c r="DP451" s="92"/>
      <c r="DQ451" s="92"/>
      <c r="DR451" s="92"/>
      <c r="DS451" s="92"/>
      <c r="DT451" s="92"/>
      <c r="DU451" s="92"/>
      <c r="DV451" s="92"/>
      <c r="DW451" s="92"/>
      <c r="DX451" s="92"/>
      <c r="DY451" s="92"/>
      <c r="DZ451" s="92"/>
      <c r="EA451" s="92"/>
      <c r="EB451" s="92"/>
      <c r="EC451" s="92"/>
      <c r="ED451" s="92"/>
      <c r="EE451" s="92"/>
      <c r="EF451" s="92"/>
      <c r="EG451" s="92"/>
      <c r="EH451" s="92"/>
      <c r="EI451" s="92"/>
      <c r="EJ451" s="92"/>
      <c r="EK451" s="92"/>
      <c r="EL451" s="92"/>
      <c r="EM451" s="92"/>
      <c r="EN451" s="92"/>
      <c r="EO451" s="92"/>
      <c r="EP451" s="92"/>
      <c r="EQ451" s="92"/>
      <c r="ER451" s="92"/>
      <c r="ES451" s="92"/>
      <c r="ET451" s="92"/>
      <c r="EU451" s="92"/>
      <c r="EV451" s="92"/>
      <c r="EW451" s="92"/>
      <c r="EX451" s="92"/>
      <c r="EY451" s="92"/>
      <c r="EZ451" s="92"/>
      <c r="FA451" s="92"/>
      <c r="FB451" s="92"/>
      <c r="FC451" s="92"/>
      <c r="FD451" s="92"/>
      <c r="FE451" s="92"/>
      <c r="FF451" s="92"/>
      <c r="FG451" s="92"/>
      <c r="FH451" s="92"/>
    </row>
    <row r="452">
      <c r="A452" s="32" t="s">
        <v>28</v>
      </c>
      <c r="B452" s="32" t="s">
        <v>81</v>
      </c>
      <c r="C452" s="32" t="s">
        <v>9</v>
      </c>
      <c r="D452" s="97">
        <f t="shared" si="1"/>
        <v>5575.050743</v>
      </c>
      <c r="E452" s="92">
        <f>(SUBSTITUTE(Audio!E452, "RE-", "", 1))*1</f>
        <v>0</v>
      </c>
      <c r="F452" s="92">
        <f>(SUBSTITUTE(Audio!F452, "RE-", "", 1))*1</f>
        <v>703.8634146</v>
      </c>
      <c r="G452" s="92">
        <f>(SUBSTITUTE(Audio!G452, "RE-", "", 1))*1</f>
        <v>0</v>
      </c>
      <c r="H452" s="92">
        <f>(SUBSTITUTE(Audio!H452, "RE-", "", 1))*1</f>
        <v>346.2903104</v>
      </c>
      <c r="I452" s="92">
        <f>(SUBSTITUTE(Audio!I452, "RE-", "", 1))*1</f>
        <v>0</v>
      </c>
      <c r="J452" s="92">
        <f>(SUBSTITUTE(Audio!J452, "RE-", "", 1))*1</f>
        <v>67.72006042</v>
      </c>
      <c r="K452" s="92">
        <f>(SUBSTITUTE(Audio!K452, "RE-", "", 1))*1</f>
        <v>0</v>
      </c>
      <c r="L452" s="92">
        <f>(SUBSTITUTE(Audio!L452, "RE-", "", 1))*1</f>
        <v>518.9383437</v>
      </c>
      <c r="M452" s="92">
        <f>(SUBSTITUTE(Audio!M452, "RE-", "", 1))*1</f>
        <v>0</v>
      </c>
      <c r="N452" s="92">
        <f>(SUBSTITUTE(Audio!N452, "RE-", "", 1))*1</f>
        <v>1388.241464</v>
      </c>
      <c r="O452" s="92">
        <f>(SUBSTITUTE(Audio!O452, "RE-", "", 1))*1</f>
        <v>0</v>
      </c>
      <c r="P452" s="92">
        <f>(SUBSTITUTE(Audio!P452, "RE-", "", 1))*1</f>
        <v>1361.472882</v>
      </c>
      <c r="Q452" s="92">
        <f>(SUBSTITUTE(Audio!Q452, "RE-", "", 1))*1</f>
        <v>0</v>
      </c>
      <c r="R452" s="92">
        <f>(SUBSTITUTE(Audio!R452, "RE-", "", 1))*1</f>
        <v>773.6536281</v>
      </c>
      <c r="S452" s="92">
        <f>(SUBSTITUTE(Audio!S452, "RE-", "", 1))*1</f>
        <v>0</v>
      </c>
      <c r="T452" s="92">
        <f>(SUBSTITUTE(Audio!T452, "RE-", "", 1))*1</f>
        <v>414.8706406</v>
      </c>
      <c r="U452" s="92">
        <f>(SUBSTITUTE(Audio!U452, "RE-", "", 1))*1</f>
        <v>0</v>
      </c>
      <c r="V452" s="92">
        <f>(SUBSTITUTE(Audio!V452, "RE-", "", 1))*1</f>
        <v>0</v>
      </c>
      <c r="W452" s="92">
        <f>(SUBSTITUTE(Audio!W452, "RE-", "", 1))*1</f>
        <v>0</v>
      </c>
      <c r="X452" s="92">
        <f>(SUBSTITUTE(Audio!X452, "RE-", "", 1))*1</f>
        <v>0</v>
      </c>
      <c r="Y452" s="92">
        <f>(SUBSTITUTE(Audio!Y452, "RE-", "", 1))*1</f>
        <v>0</v>
      </c>
      <c r="Z452" s="92">
        <f>(SUBSTITUTE(Audio!Z452, "RE-", "", 1))*1</f>
        <v>0</v>
      </c>
      <c r="AA452" s="92"/>
      <c r="AB452" s="92"/>
      <c r="AC452" s="92"/>
      <c r="AD452" s="92"/>
      <c r="AE452" s="92"/>
      <c r="AF452" s="92"/>
      <c r="AG452" s="92"/>
      <c r="AH452" s="92"/>
      <c r="AI452" s="92"/>
      <c r="AJ452" s="92"/>
      <c r="AK452" s="92"/>
      <c r="AL452" s="92"/>
      <c r="AM452" s="92"/>
      <c r="AN452" s="92"/>
      <c r="AO452" s="92"/>
      <c r="AP452" s="92"/>
      <c r="AQ452" s="92"/>
      <c r="AR452" s="92"/>
      <c r="AS452" s="92"/>
      <c r="AT452" s="92"/>
      <c r="AU452" s="92"/>
      <c r="AV452" s="92"/>
      <c r="AW452" s="92"/>
      <c r="AX452" s="92"/>
      <c r="AY452" s="92"/>
      <c r="AZ452" s="92"/>
      <c r="BA452" s="92"/>
      <c r="BB452" s="92"/>
      <c r="BC452" s="92"/>
      <c r="BD452" s="92"/>
      <c r="BE452" s="92"/>
      <c r="BF452" s="92"/>
      <c r="BG452" s="92"/>
      <c r="BH452" s="92"/>
      <c r="BI452" s="92"/>
      <c r="BJ452" s="92"/>
      <c r="BK452" s="92"/>
      <c r="BL452" s="92"/>
      <c r="BM452" s="92"/>
      <c r="BN452" s="92"/>
      <c r="BO452" s="92"/>
      <c r="BP452" s="92"/>
      <c r="BQ452" s="92"/>
      <c r="BR452" s="92"/>
      <c r="BS452" s="92"/>
      <c r="BT452" s="92"/>
      <c r="BU452" s="92"/>
      <c r="BV452" s="92"/>
      <c r="BW452" s="92"/>
      <c r="BX452" s="92"/>
      <c r="BY452" s="92"/>
      <c r="BZ452" s="92"/>
      <c r="CA452" s="92"/>
      <c r="CB452" s="92"/>
      <c r="CC452" s="92"/>
      <c r="CD452" s="92"/>
      <c r="CE452" s="92"/>
      <c r="CF452" s="92"/>
      <c r="CG452" s="92"/>
      <c r="CH452" s="92"/>
      <c r="CI452" s="92"/>
      <c r="CJ452" s="92"/>
      <c r="CK452" s="92"/>
      <c r="CL452" s="92"/>
      <c r="CM452" s="92"/>
      <c r="CN452" s="92"/>
      <c r="CO452" s="92"/>
      <c r="CP452" s="92"/>
      <c r="CQ452" s="92"/>
      <c r="CR452" s="92"/>
      <c r="CS452" s="92"/>
      <c r="CT452" s="92"/>
      <c r="CU452" s="92"/>
      <c r="CV452" s="92"/>
      <c r="CW452" s="92"/>
      <c r="CX452" s="92"/>
      <c r="CY452" s="92"/>
      <c r="CZ452" s="92"/>
      <c r="DA452" s="92"/>
      <c r="DB452" s="92"/>
      <c r="DC452" s="92"/>
      <c r="DD452" s="92"/>
      <c r="DE452" s="92"/>
      <c r="DF452" s="92"/>
      <c r="DG452" s="92"/>
      <c r="DH452" s="92"/>
      <c r="DI452" s="92"/>
      <c r="DJ452" s="92"/>
      <c r="DK452" s="92"/>
      <c r="DL452" s="92"/>
      <c r="DM452" s="92"/>
      <c r="DN452" s="92"/>
      <c r="DO452" s="92"/>
      <c r="DP452" s="92"/>
      <c r="DQ452" s="92"/>
      <c r="DR452" s="92"/>
      <c r="DS452" s="92"/>
      <c r="DT452" s="92"/>
      <c r="DU452" s="92"/>
      <c r="DV452" s="92"/>
      <c r="DW452" s="92"/>
      <c r="DX452" s="92"/>
      <c r="DY452" s="92"/>
      <c r="DZ452" s="92"/>
      <c r="EA452" s="92"/>
      <c r="EB452" s="92"/>
      <c r="EC452" s="92"/>
      <c r="ED452" s="92"/>
      <c r="EE452" s="92"/>
      <c r="EF452" s="92"/>
      <c r="EG452" s="92"/>
      <c r="EH452" s="92"/>
      <c r="EI452" s="92"/>
      <c r="EJ452" s="92"/>
      <c r="EK452" s="92"/>
      <c r="EL452" s="92"/>
      <c r="EM452" s="92"/>
      <c r="EN452" s="92"/>
      <c r="EO452" s="92"/>
      <c r="EP452" s="92"/>
      <c r="EQ452" s="92"/>
      <c r="ER452" s="92"/>
      <c r="ES452" s="92"/>
      <c r="ET452" s="92"/>
      <c r="EU452" s="92"/>
      <c r="EV452" s="92"/>
      <c r="EW452" s="92"/>
      <c r="EX452" s="92"/>
      <c r="EY452" s="92"/>
      <c r="EZ452" s="92"/>
      <c r="FA452" s="92"/>
      <c r="FB452" s="92"/>
      <c r="FC452" s="92"/>
      <c r="FD452" s="92"/>
      <c r="FE452" s="92"/>
      <c r="FF452" s="92"/>
      <c r="FG452" s="92"/>
      <c r="FH452" s="92"/>
    </row>
    <row r="453">
      <c r="A453" s="32" t="s">
        <v>28</v>
      </c>
      <c r="B453" s="32" t="s">
        <v>81</v>
      </c>
      <c r="C453" s="32" t="s">
        <v>10</v>
      </c>
      <c r="D453" s="97">
        <f t="shared" si="1"/>
        <v>674.0485677</v>
      </c>
      <c r="E453" s="92">
        <f>(SUBSTITUTE(Audio!E453, "RE-", "", 1))*1</f>
        <v>0</v>
      </c>
      <c r="F453" s="92">
        <f>(SUBSTITUTE(Audio!F453, "RE-", "", 1))*1</f>
        <v>0</v>
      </c>
      <c r="G453" s="92">
        <f>(SUBSTITUTE(Audio!G453, "RE-", "", 1))*1</f>
        <v>98.49868021</v>
      </c>
      <c r="H453" s="92">
        <f>(SUBSTITUTE(Audio!H453, "RE-", "", 1))*1</f>
        <v>0</v>
      </c>
      <c r="I453" s="92">
        <f>(SUBSTITUTE(Audio!I453, "RE-", "", 1))*1</f>
        <v>33.16619583</v>
      </c>
      <c r="J453" s="92">
        <f>(SUBSTITUTE(Audio!J453, "RE-", "", 1))*1</f>
        <v>0</v>
      </c>
      <c r="K453" s="92">
        <f>(SUBSTITUTE(Audio!K453, "RE-", "", 1))*1</f>
        <v>12.449125</v>
      </c>
      <c r="L453" s="92">
        <f>(SUBSTITUTE(Audio!L453, "RE-", "", 1))*1</f>
        <v>0</v>
      </c>
      <c r="M453" s="92">
        <f>(SUBSTITUTE(Audio!M453, "RE-", "", 1))*1</f>
        <v>16.80360417</v>
      </c>
      <c r="N453" s="92">
        <f>(SUBSTITUTE(Audio!N453, "RE-", "", 1))*1</f>
        <v>0</v>
      </c>
      <c r="O453" s="92">
        <f>(SUBSTITUTE(Audio!O453, "RE-", "", 1))*1</f>
        <v>180.4491688</v>
      </c>
      <c r="P453" s="92">
        <f>(SUBSTITUTE(Audio!P453, "RE-", "", 1))*1</f>
        <v>0</v>
      </c>
      <c r="Q453" s="92">
        <f>(SUBSTITUTE(Audio!Q453, "RE-", "", 1))*1</f>
        <v>189.3867385</v>
      </c>
      <c r="R453" s="92">
        <f>(SUBSTITUTE(Audio!R453, "RE-", "", 1))*1</f>
        <v>0</v>
      </c>
      <c r="S453" s="92">
        <f>(SUBSTITUTE(Audio!S453, "RE-", "", 1))*1</f>
        <v>63.88155938</v>
      </c>
      <c r="T453" s="92">
        <f>(SUBSTITUTE(Audio!T453, "RE-", "", 1))*1</f>
        <v>0</v>
      </c>
      <c r="U453" s="92">
        <f>(SUBSTITUTE(Audio!U453, "RE-", "", 1))*1</f>
        <v>69.96681458</v>
      </c>
      <c r="V453" s="92">
        <f>(SUBSTITUTE(Audio!V453, "RE-", "", 1))*1</f>
        <v>9.44668125</v>
      </c>
      <c r="W453" s="92">
        <f>(SUBSTITUTE(Audio!W453, "RE-", "", 1))*1</f>
        <v>0</v>
      </c>
      <c r="X453" s="92">
        <f>(SUBSTITUTE(Audio!X453, "RE-", "", 1))*1</f>
        <v>0</v>
      </c>
      <c r="Y453" s="92">
        <f>(SUBSTITUTE(Audio!Y453, "RE-", "", 1))*1</f>
        <v>0</v>
      </c>
      <c r="Z453" s="92">
        <f>(SUBSTITUTE(Audio!Z453, "RE-", "", 1))*1</f>
        <v>0</v>
      </c>
      <c r="AA453" s="92"/>
      <c r="AB453" s="92"/>
      <c r="AC453" s="92"/>
      <c r="AD453" s="92"/>
      <c r="AE453" s="92"/>
      <c r="AF453" s="92"/>
      <c r="AG453" s="92"/>
      <c r="AH453" s="92"/>
      <c r="AI453" s="92"/>
      <c r="AJ453" s="92"/>
      <c r="AK453" s="92"/>
      <c r="AL453" s="92"/>
      <c r="AM453" s="92"/>
      <c r="AN453" s="92"/>
      <c r="AO453" s="92"/>
      <c r="AP453" s="92"/>
      <c r="AQ453" s="92"/>
      <c r="AR453" s="92"/>
      <c r="AS453" s="92"/>
      <c r="AT453" s="92"/>
      <c r="AU453" s="92"/>
      <c r="AV453" s="92"/>
      <c r="AW453" s="92"/>
      <c r="AX453" s="92"/>
      <c r="AY453" s="92"/>
      <c r="AZ453" s="92"/>
      <c r="BA453" s="92"/>
      <c r="BB453" s="92"/>
      <c r="BC453" s="92"/>
      <c r="BD453" s="92"/>
      <c r="BE453" s="92"/>
      <c r="BF453" s="92"/>
      <c r="BG453" s="92"/>
      <c r="BH453" s="92"/>
      <c r="BI453" s="92"/>
      <c r="BJ453" s="92"/>
      <c r="BK453" s="92"/>
      <c r="BL453" s="92"/>
      <c r="BM453" s="92"/>
      <c r="BN453" s="92"/>
      <c r="BO453" s="92"/>
      <c r="BP453" s="92"/>
      <c r="BQ453" s="92"/>
      <c r="BR453" s="92"/>
      <c r="BS453" s="92"/>
      <c r="BT453" s="92"/>
      <c r="BU453" s="92"/>
      <c r="BV453" s="92"/>
      <c r="BW453" s="92"/>
      <c r="BX453" s="92"/>
      <c r="BY453" s="92"/>
      <c r="BZ453" s="92"/>
      <c r="CA453" s="92"/>
      <c r="CB453" s="92"/>
      <c r="CC453" s="92"/>
      <c r="CD453" s="92"/>
      <c r="CE453" s="92"/>
      <c r="CF453" s="92"/>
      <c r="CG453" s="92"/>
      <c r="CH453" s="92"/>
      <c r="CI453" s="92"/>
      <c r="CJ453" s="92"/>
      <c r="CK453" s="92"/>
      <c r="CL453" s="92"/>
      <c r="CM453" s="92"/>
      <c r="CN453" s="92"/>
      <c r="CO453" s="92"/>
      <c r="CP453" s="92"/>
      <c r="CQ453" s="92"/>
      <c r="CR453" s="92"/>
      <c r="CS453" s="92"/>
      <c r="CT453" s="92"/>
      <c r="CU453" s="92"/>
      <c r="CV453" s="92"/>
      <c r="CW453" s="92"/>
      <c r="CX453" s="92"/>
      <c r="CY453" s="92"/>
      <c r="CZ453" s="92"/>
      <c r="DA453" s="92"/>
      <c r="DB453" s="92"/>
      <c r="DC453" s="92"/>
      <c r="DD453" s="92"/>
      <c r="DE453" s="92"/>
      <c r="DF453" s="92"/>
      <c r="DG453" s="92"/>
      <c r="DH453" s="92"/>
      <c r="DI453" s="92"/>
      <c r="DJ453" s="92"/>
      <c r="DK453" s="92"/>
      <c r="DL453" s="92"/>
      <c r="DM453" s="92"/>
      <c r="DN453" s="92"/>
      <c r="DO453" s="92"/>
      <c r="DP453" s="92"/>
      <c r="DQ453" s="92"/>
      <c r="DR453" s="92"/>
      <c r="DS453" s="92"/>
      <c r="DT453" s="92"/>
      <c r="DU453" s="92"/>
      <c r="DV453" s="92"/>
      <c r="DW453" s="92"/>
      <c r="DX453" s="92"/>
      <c r="DY453" s="92"/>
      <c r="DZ453" s="92"/>
      <c r="EA453" s="92"/>
      <c r="EB453" s="92"/>
      <c r="EC453" s="92"/>
      <c r="ED453" s="92"/>
      <c r="EE453" s="92"/>
      <c r="EF453" s="92"/>
      <c r="EG453" s="92"/>
      <c r="EH453" s="92"/>
      <c r="EI453" s="92"/>
      <c r="EJ453" s="92"/>
      <c r="EK453" s="92"/>
      <c r="EL453" s="92"/>
      <c r="EM453" s="92"/>
      <c r="EN453" s="92"/>
      <c r="EO453" s="92"/>
      <c r="EP453" s="92"/>
      <c r="EQ453" s="92"/>
      <c r="ER453" s="92"/>
      <c r="ES453" s="92"/>
      <c r="ET453" s="92"/>
      <c r="EU453" s="92"/>
      <c r="EV453" s="92"/>
      <c r="EW453" s="92"/>
      <c r="EX453" s="92"/>
      <c r="EY453" s="92"/>
      <c r="EZ453" s="92"/>
      <c r="FA453" s="92"/>
      <c r="FB453" s="92"/>
      <c r="FC453" s="92"/>
      <c r="FD453" s="92"/>
      <c r="FE453" s="92"/>
      <c r="FF453" s="92"/>
      <c r="FG453" s="92"/>
      <c r="FH453" s="92"/>
    </row>
    <row r="454">
      <c r="A454" s="32" t="s">
        <v>28</v>
      </c>
      <c r="B454" s="32" t="s">
        <v>81</v>
      </c>
      <c r="C454" s="32" t="s">
        <v>11</v>
      </c>
      <c r="D454" s="97">
        <f t="shared" si="1"/>
        <v>674.0485677</v>
      </c>
      <c r="E454" s="92">
        <f>(SUBSTITUTE(Audio!E454, "RE-", "", 1))*1</f>
        <v>0</v>
      </c>
      <c r="F454" s="92">
        <f>(SUBSTITUTE(Audio!F454, "RE-", "", 1))*1</f>
        <v>0</v>
      </c>
      <c r="G454" s="92">
        <f>(SUBSTITUTE(Audio!G454, "RE-", "", 1))*1</f>
        <v>98.49868021</v>
      </c>
      <c r="H454" s="92">
        <f>(SUBSTITUTE(Audio!H454, "RE-", "", 1))*1</f>
        <v>0</v>
      </c>
      <c r="I454" s="92">
        <f>(SUBSTITUTE(Audio!I454, "RE-", "", 1))*1</f>
        <v>33.16619583</v>
      </c>
      <c r="J454" s="92">
        <f>(SUBSTITUTE(Audio!J454, "RE-", "", 1))*1</f>
        <v>0</v>
      </c>
      <c r="K454" s="92">
        <f>(SUBSTITUTE(Audio!K454, "RE-", "", 1))*1</f>
        <v>12.449125</v>
      </c>
      <c r="L454" s="92">
        <f>(SUBSTITUTE(Audio!L454, "RE-", "", 1))*1</f>
        <v>0</v>
      </c>
      <c r="M454" s="92">
        <f>(SUBSTITUTE(Audio!M454, "RE-", "", 1))*1</f>
        <v>16.80360417</v>
      </c>
      <c r="N454" s="92">
        <f>(SUBSTITUTE(Audio!N454, "RE-", "", 1))*1</f>
        <v>0</v>
      </c>
      <c r="O454" s="92">
        <f>(SUBSTITUTE(Audio!O454, "RE-", "", 1))*1</f>
        <v>180.4491688</v>
      </c>
      <c r="P454" s="92">
        <f>(SUBSTITUTE(Audio!P454, "RE-", "", 1))*1</f>
        <v>0</v>
      </c>
      <c r="Q454" s="92">
        <f>(SUBSTITUTE(Audio!Q454, "RE-", "", 1))*1</f>
        <v>189.3867385</v>
      </c>
      <c r="R454" s="92">
        <f>(SUBSTITUTE(Audio!R454, "RE-", "", 1))*1</f>
        <v>0</v>
      </c>
      <c r="S454" s="92">
        <f>(SUBSTITUTE(Audio!S454, "RE-", "", 1))*1</f>
        <v>63.88155938</v>
      </c>
      <c r="T454" s="92">
        <f>(SUBSTITUTE(Audio!T454, "RE-", "", 1))*1</f>
        <v>0</v>
      </c>
      <c r="U454" s="92">
        <f>(SUBSTITUTE(Audio!U454, "RE-", "", 1))*1</f>
        <v>69.96681458</v>
      </c>
      <c r="V454" s="92">
        <f>(SUBSTITUTE(Audio!V454, "RE-", "", 1))*1</f>
        <v>9.44668125</v>
      </c>
      <c r="W454" s="92">
        <f>(SUBSTITUTE(Audio!W454, "RE-", "", 1))*1</f>
        <v>0</v>
      </c>
      <c r="X454" s="92">
        <f>(SUBSTITUTE(Audio!X454, "RE-", "", 1))*1</f>
        <v>0</v>
      </c>
      <c r="Y454" s="92">
        <f>(SUBSTITUTE(Audio!Y454, "RE-", "", 1))*1</f>
        <v>0</v>
      </c>
      <c r="Z454" s="92">
        <f>(SUBSTITUTE(Audio!Z454, "RE-", "", 1))*1</f>
        <v>0</v>
      </c>
      <c r="AA454" s="92"/>
      <c r="AB454" s="92"/>
      <c r="AC454" s="92"/>
      <c r="AD454" s="92"/>
      <c r="AE454" s="92"/>
      <c r="AF454" s="92"/>
      <c r="AG454" s="92"/>
      <c r="AH454" s="92"/>
      <c r="AI454" s="92"/>
      <c r="AJ454" s="92"/>
      <c r="AK454" s="92"/>
      <c r="AL454" s="92"/>
      <c r="AM454" s="92"/>
      <c r="AN454" s="92"/>
      <c r="AO454" s="92"/>
      <c r="AP454" s="92"/>
      <c r="AQ454" s="92"/>
      <c r="AR454" s="92"/>
      <c r="AS454" s="92"/>
      <c r="AT454" s="92"/>
      <c r="AU454" s="92"/>
      <c r="AV454" s="92"/>
      <c r="AW454" s="92"/>
      <c r="AX454" s="92"/>
      <c r="AY454" s="92"/>
      <c r="AZ454" s="92"/>
      <c r="BA454" s="92"/>
      <c r="BB454" s="92"/>
      <c r="BC454" s="92"/>
      <c r="BD454" s="92"/>
      <c r="BE454" s="92"/>
      <c r="BF454" s="92"/>
      <c r="BG454" s="92"/>
      <c r="BH454" s="92"/>
      <c r="BI454" s="92"/>
      <c r="BJ454" s="92"/>
      <c r="BK454" s="92"/>
      <c r="BL454" s="92"/>
      <c r="BM454" s="92"/>
      <c r="BN454" s="92"/>
      <c r="BO454" s="92"/>
      <c r="BP454" s="92"/>
      <c r="BQ454" s="92"/>
      <c r="BR454" s="92"/>
      <c r="BS454" s="92"/>
      <c r="BT454" s="92"/>
      <c r="BU454" s="92"/>
      <c r="BV454" s="92"/>
      <c r="BW454" s="92"/>
      <c r="BX454" s="92"/>
      <c r="BY454" s="92"/>
      <c r="BZ454" s="92"/>
      <c r="CA454" s="92"/>
      <c r="CB454" s="92"/>
      <c r="CC454" s="92"/>
      <c r="CD454" s="92"/>
      <c r="CE454" s="92"/>
      <c r="CF454" s="92"/>
      <c r="CG454" s="92"/>
      <c r="CH454" s="92"/>
      <c r="CI454" s="92"/>
      <c r="CJ454" s="92"/>
      <c r="CK454" s="92"/>
      <c r="CL454" s="92"/>
      <c r="CM454" s="92"/>
      <c r="CN454" s="92"/>
      <c r="CO454" s="92"/>
      <c r="CP454" s="92"/>
      <c r="CQ454" s="92"/>
      <c r="CR454" s="92"/>
      <c r="CS454" s="92"/>
      <c r="CT454" s="92"/>
      <c r="CU454" s="92"/>
      <c r="CV454" s="92"/>
      <c r="CW454" s="92"/>
      <c r="CX454" s="92"/>
      <c r="CY454" s="92"/>
      <c r="CZ454" s="92"/>
      <c r="DA454" s="92"/>
      <c r="DB454" s="92"/>
      <c r="DC454" s="92"/>
      <c r="DD454" s="92"/>
      <c r="DE454" s="92"/>
      <c r="DF454" s="92"/>
      <c r="DG454" s="92"/>
      <c r="DH454" s="92"/>
      <c r="DI454" s="92"/>
      <c r="DJ454" s="92"/>
      <c r="DK454" s="92"/>
      <c r="DL454" s="92"/>
      <c r="DM454" s="92"/>
      <c r="DN454" s="92"/>
      <c r="DO454" s="92"/>
      <c r="DP454" s="92"/>
      <c r="DQ454" s="92"/>
      <c r="DR454" s="92"/>
      <c r="DS454" s="92"/>
      <c r="DT454" s="92"/>
      <c r="DU454" s="92"/>
      <c r="DV454" s="92"/>
      <c r="DW454" s="92"/>
      <c r="DX454" s="92"/>
      <c r="DY454" s="92"/>
      <c r="DZ454" s="92"/>
      <c r="EA454" s="92"/>
      <c r="EB454" s="92"/>
      <c r="EC454" s="92"/>
      <c r="ED454" s="92"/>
      <c r="EE454" s="92"/>
      <c r="EF454" s="92"/>
      <c r="EG454" s="92"/>
      <c r="EH454" s="92"/>
      <c r="EI454" s="92"/>
      <c r="EJ454" s="92"/>
      <c r="EK454" s="92"/>
      <c r="EL454" s="92"/>
      <c r="EM454" s="92"/>
      <c r="EN454" s="92"/>
      <c r="EO454" s="92"/>
      <c r="EP454" s="92"/>
      <c r="EQ454" s="92"/>
      <c r="ER454" s="92"/>
      <c r="ES454" s="92"/>
      <c r="ET454" s="92"/>
      <c r="EU454" s="92"/>
      <c r="EV454" s="92"/>
      <c r="EW454" s="92"/>
      <c r="EX454" s="92"/>
      <c r="EY454" s="92"/>
      <c r="EZ454" s="92"/>
      <c r="FA454" s="92"/>
      <c r="FB454" s="92"/>
      <c r="FC454" s="92"/>
      <c r="FD454" s="92"/>
      <c r="FE454" s="92"/>
      <c r="FF454" s="92"/>
      <c r="FG454" s="92"/>
      <c r="FH454" s="92"/>
    </row>
    <row r="455">
      <c r="A455" s="32" t="s">
        <v>28</v>
      </c>
      <c r="B455" s="32" t="s">
        <v>81</v>
      </c>
      <c r="C455" s="32" t="s">
        <v>12</v>
      </c>
      <c r="D455" s="97">
        <f t="shared" si="1"/>
        <v>4598.778547</v>
      </c>
      <c r="E455" s="92">
        <f>(SUBSTITUTE(Audio!E455, "RE-", "", 1))*1</f>
        <v>0</v>
      </c>
      <c r="F455" s="92">
        <f>(SUBSTITUTE(Audio!F455, "RE-", "", 1))*1</f>
        <v>517.7056552</v>
      </c>
      <c r="G455" s="92">
        <f>(SUBSTITUTE(Audio!G455, "RE-", "", 1))*1</f>
        <v>2.03570625</v>
      </c>
      <c r="H455" s="92">
        <f>(SUBSTITUTE(Audio!H455, "RE-", "", 1))*1</f>
        <v>304.866125</v>
      </c>
      <c r="I455" s="92">
        <f>(SUBSTITUTE(Audio!I455, "RE-", "", 1))*1</f>
        <v>0.21494375</v>
      </c>
      <c r="J455" s="92">
        <f>(SUBSTITUTE(Audio!J455, "RE-", "", 1))*1</f>
        <v>37.67475417</v>
      </c>
      <c r="K455" s="92">
        <f>(SUBSTITUTE(Audio!K455, "RE-", "", 1))*1</f>
        <v>0.5800041667</v>
      </c>
      <c r="L455" s="92">
        <f>(SUBSTITUTE(Audio!L455, "RE-", "", 1))*1</f>
        <v>482.7361823</v>
      </c>
      <c r="M455" s="92">
        <f>(SUBSTITUTE(Audio!M455, "RE-", "", 1))*1</f>
        <v>0.3267770833</v>
      </c>
      <c r="N455" s="92">
        <f>(SUBSTITUTE(Audio!N455, "RE-", "", 1))*1</f>
        <v>729.9651906</v>
      </c>
      <c r="O455" s="92">
        <f>(SUBSTITUTE(Audio!O455, "RE-", "", 1))*1</f>
        <v>14.91810208</v>
      </c>
      <c r="P455" s="92">
        <f>(SUBSTITUTE(Audio!P455, "RE-", "", 1))*1</f>
        <v>1270.351429</v>
      </c>
      <c r="Q455" s="92">
        <f>(SUBSTITUTE(Audio!Q455, "RE-", "", 1))*1</f>
        <v>52.75416667</v>
      </c>
      <c r="R455" s="92">
        <f>(SUBSTITUTE(Audio!R455, "RE-", "", 1))*1</f>
        <v>734.978524</v>
      </c>
      <c r="S455" s="92">
        <f>(SUBSTITUTE(Audio!S455, "RE-", "", 1))*1</f>
        <v>30.71644792</v>
      </c>
      <c r="T455" s="92">
        <f>(SUBSTITUTE(Audio!T455, "RE-", "", 1))*1</f>
        <v>382.8988135</v>
      </c>
      <c r="U455" s="92">
        <f>(SUBSTITUTE(Audio!U455, "RE-", "", 1))*1</f>
        <v>31.07925</v>
      </c>
      <c r="V455" s="92">
        <f>(SUBSTITUTE(Audio!V455, "RE-", "", 1))*1</f>
        <v>4.976475</v>
      </c>
      <c r="W455" s="92">
        <f>(SUBSTITUTE(Audio!W455, "RE-", "", 1))*1</f>
        <v>0</v>
      </c>
      <c r="X455" s="92">
        <f>(SUBSTITUTE(Audio!X455, "RE-", "", 1))*1</f>
        <v>0</v>
      </c>
      <c r="Y455" s="92">
        <f>(SUBSTITUTE(Audio!Y455, "RE-", "", 1))*1</f>
        <v>0</v>
      </c>
      <c r="Z455" s="92">
        <f>(SUBSTITUTE(Audio!Z455, "RE-", "", 1))*1</f>
        <v>0</v>
      </c>
      <c r="AA455" s="92"/>
      <c r="AB455" s="92"/>
      <c r="AC455" s="92"/>
      <c r="AD455" s="92"/>
      <c r="AE455" s="92"/>
      <c r="AF455" s="92"/>
      <c r="AG455" s="92"/>
      <c r="AH455" s="92"/>
      <c r="AI455" s="92"/>
      <c r="AJ455" s="92"/>
      <c r="AK455" s="92"/>
      <c r="AL455" s="92"/>
      <c r="AM455" s="92"/>
      <c r="AN455" s="92"/>
      <c r="AO455" s="92"/>
      <c r="AP455" s="92"/>
      <c r="AQ455" s="92"/>
      <c r="AR455" s="92"/>
      <c r="AS455" s="92"/>
      <c r="AT455" s="92"/>
      <c r="AU455" s="92"/>
      <c r="AV455" s="92"/>
      <c r="AW455" s="92"/>
      <c r="AX455" s="92"/>
      <c r="AY455" s="92"/>
      <c r="AZ455" s="92"/>
      <c r="BA455" s="92"/>
      <c r="BB455" s="92"/>
      <c r="BC455" s="92"/>
      <c r="BD455" s="92"/>
      <c r="BE455" s="92"/>
      <c r="BF455" s="92"/>
      <c r="BG455" s="92"/>
      <c r="BH455" s="92"/>
      <c r="BI455" s="92"/>
      <c r="BJ455" s="92"/>
      <c r="BK455" s="92"/>
      <c r="BL455" s="92"/>
      <c r="BM455" s="92"/>
      <c r="BN455" s="92"/>
      <c r="BO455" s="92"/>
      <c r="BP455" s="92"/>
      <c r="BQ455" s="92"/>
      <c r="BR455" s="92"/>
      <c r="BS455" s="92"/>
      <c r="BT455" s="92"/>
      <c r="BU455" s="92"/>
      <c r="BV455" s="92"/>
      <c r="BW455" s="92"/>
      <c r="BX455" s="92"/>
      <c r="BY455" s="92"/>
      <c r="BZ455" s="92"/>
      <c r="CA455" s="92"/>
      <c r="CB455" s="92"/>
      <c r="CC455" s="92"/>
      <c r="CD455" s="92"/>
      <c r="CE455" s="92"/>
      <c r="CF455" s="92"/>
      <c r="CG455" s="92"/>
      <c r="CH455" s="92"/>
      <c r="CI455" s="92"/>
      <c r="CJ455" s="92"/>
      <c r="CK455" s="92"/>
      <c r="CL455" s="92"/>
      <c r="CM455" s="92"/>
      <c r="CN455" s="92"/>
      <c r="CO455" s="92"/>
      <c r="CP455" s="92"/>
      <c r="CQ455" s="92"/>
      <c r="CR455" s="92"/>
      <c r="CS455" s="92"/>
      <c r="CT455" s="92"/>
      <c r="CU455" s="92"/>
      <c r="CV455" s="92"/>
      <c r="CW455" s="92"/>
      <c r="CX455" s="92"/>
      <c r="CY455" s="92"/>
      <c r="CZ455" s="92"/>
      <c r="DA455" s="92"/>
      <c r="DB455" s="92"/>
      <c r="DC455" s="92"/>
      <c r="DD455" s="92"/>
      <c r="DE455" s="92"/>
      <c r="DF455" s="92"/>
      <c r="DG455" s="92"/>
      <c r="DH455" s="92"/>
      <c r="DI455" s="92"/>
      <c r="DJ455" s="92"/>
      <c r="DK455" s="92"/>
      <c r="DL455" s="92"/>
      <c r="DM455" s="92"/>
      <c r="DN455" s="92"/>
      <c r="DO455" s="92"/>
      <c r="DP455" s="92"/>
      <c r="DQ455" s="92"/>
      <c r="DR455" s="92"/>
      <c r="DS455" s="92"/>
      <c r="DT455" s="92"/>
      <c r="DU455" s="92"/>
      <c r="DV455" s="92"/>
      <c r="DW455" s="92"/>
      <c r="DX455" s="92"/>
      <c r="DY455" s="92"/>
      <c r="DZ455" s="92"/>
      <c r="EA455" s="92"/>
      <c r="EB455" s="92"/>
      <c r="EC455" s="92"/>
      <c r="ED455" s="92"/>
      <c r="EE455" s="92"/>
      <c r="EF455" s="92"/>
      <c r="EG455" s="92"/>
      <c r="EH455" s="92"/>
      <c r="EI455" s="92"/>
      <c r="EJ455" s="92"/>
      <c r="EK455" s="92"/>
      <c r="EL455" s="92"/>
      <c r="EM455" s="92"/>
      <c r="EN455" s="92"/>
      <c r="EO455" s="92"/>
      <c r="EP455" s="92"/>
      <c r="EQ455" s="92"/>
      <c r="ER455" s="92"/>
      <c r="ES455" s="92"/>
      <c r="ET455" s="92"/>
      <c r="EU455" s="92"/>
      <c r="EV455" s="92"/>
      <c r="EW455" s="92"/>
      <c r="EX455" s="92"/>
      <c r="EY455" s="92"/>
      <c r="EZ455" s="92"/>
      <c r="FA455" s="92"/>
      <c r="FB455" s="92"/>
      <c r="FC455" s="92"/>
      <c r="FD455" s="92"/>
      <c r="FE455" s="92"/>
      <c r="FF455" s="92"/>
      <c r="FG455" s="92"/>
      <c r="FH455" s="92"/>
    </row>
    <row r="456">
      <c r="A456" s="32" t="s">
        <v>28</v>
      </c>
      <c r="B456" s="32" t="s">
        <v>81</v>
      </c>
      <c r="C456" s="32" t="s">
        <v>13</v>
      </c>
      <c r="D456" s="97">
        <f t="shared" si="1"/>
        <v>4376.787087</v>
      </c>
      <c r="E456" s="92">
        <f>(SUBSTITUTE(Audio!E456, "RE-", "", 1))*1</f>
        <v>0</v>
      </c>
      <c r="F456" s="92">
        <f>(SUBSTITUTE(Audio!F456, "RE-", "", 1))*1</f>
        <v>490.387</v>
      </c>
      <c r="G456" s="92">
        <f>(SUBSTITUTE(Audio!G456, "RE-", "", 1))*1</f>
        <v>1.88042</v>
      </c>
      <c r="H456" s="92">
        <f>(SUBSTITUTE(Audio!H456, "RE-", "", 1))*1</f>
        <v>291.981</v>
      </c>
      <c r="I456" s="92">
        <f>(SUBSTITUTE(Audio!I456, "RE-", "", 1))*1</f>
        <v>0.208133</v>
      </c>
      <c r="J456" s="92">
        <f>(SUBSTITUTE(Audio!J456, "RE-", "", 1))*1</f>
        <v>36.2978</v>
      </c>
      <c r="K456" s="92">
        <f>(SUBSTITUTE(Audio!K456, "RE-", "", 1))*1</f>
        <v>0.547667</v>
      </c>
      <c r="L456" s="92">
        <f>(SUBSTITUTE(Audio!L456, "RE-", "", 1))*1</f>
        <v>461.541</v>
      </c>
      <c r="M456" s="92">
        <f>(SUBSTITUTE(Audio!M456, "RE-", "", 1))*1</f>
        <v>0.312467</v>
      </c>
      <c r="N456" s="92">
        <f>(SUBSTITUTE(Audio!N456, "RE-", "", 1))*1</f>
        <v>701.702</v>
      </c>
      <c r="O456" s="92">
        <f>(SUBSTITUTE(Audio!O456, "RE-", "", 1))*1</f>
        <v>13.991</v>
      </c>
      <c r="P456" s="92">
        <f>(SUBSTITUTE(Audio!P456, "RE-", "", 1))*1</f>
        <v>1204.6</v>
      </c>
      <c r="Q456" s="92">
        <f>(SUBSTITUTE(Audio!Q456, "RE-", "", 1))*1</f>
        <v>49.9358</v>
      </c>
      <c r="R456" s="92">
        <f>(SUBSTITUTE(Audio!R456, "RE-", "", 1))*1</f>
        <v>698.67</v>
      </c>
      <c r="S456" s="92">
        <f>(SUBSTITUTE(Audio!S456, "RE-", "", 1))*1</f>
        <v>28.0498</v>
      </c>
      <c r="T456" s="92">
        <f>(SUBSTITUTE(Audio!T456, "RE-", "", 1))*1</f>
        <v>362.807</v>
      </c>
      <c r="U456" s="92">
        <f>(SUBSTITUTE(Audio!U456, "RE-", "", 1))*1</f>
        <v>29.2736</v>
      </c>
      <c r="V456" s="92">
        <f>(SUBSTITUTE(Audio!V456, "RE-", "", 1))*1</f>
        <v>4.6024</v>
      </c>
      <c r="W456" s="92">
        <f>(SUBSTITUTE(Audio!W456, "RE-", "", 1))*1</f>
        <v>0</v>
      </c>
      <c r="X456" s="92">
        <f>(SUBSTITUTE(Audio!X456, "RE-", "", 1))*1</f>
        <v>0</v>
      </c>
      <c r="Y456" s="92">
        <f>(SUBSTITUTE(Audio!Y456, "RE-", "", 1))*1</f>
        <v>0</v>
      </c>
      <c r="Z456" s="92">
        <f>(SUBSTITUTE(Audio!Z456, "RE-", "", 1))*1</f>
        <v>0</v>
      </c>
      <c r="AA456" s="92"/>
      <c r="AB456" s="92"/>
      <c r="AC456" s="92"/>
      <c r="AD456" s="92"/>
      <c r="AE456" s="92"/>
      <c r="AF456" s="92"/>
      <c r="AG456" s="92"/>
      <c r="AH456" s="92"/>
      <c r="AI456" s="92"/>
      <c r="AJ456" s="92"/>
      <c r="AK456" s="92"/>
      <c r="AL456" s="92"/>
      <c r="AM456" s="92"/>
      <c r="AN456" s="92"/>
      <c r="AO456" s="92"/>
      <c r="AP456" s="92"/>
      <c r="AQ456" s="92"/>
      <c r="AR456" s="92"/>
      <c r="AS456" s="92"/>
      <c r="AT456" s="92"/>
      <c r="AU456" s="92"/>
      <c r="AV456" s="92"/>
      <c r="AW456" s="92"/>
      <c r="AX456" s="92"/>
      <c r="AY456" s="92"/>
      <c r="AZ456" s="92"/>
      <c r="BA456" s="92"/>
      <c r="BB456" s="92"/>
      <c r="BC456" s="92"/>
      <c r="BD456" s="92"/>
      <c r="BE456" s="92"/>
      <c r="BF456" s="92"/>
      <c r="BG456" s="92"/>
      <c r="BH456" s="92"/>
      <c r="BI456" s="92"/>
      <c r="BJ456" s="92"/>
      <c r="BK456" s="92"/>
      <c r="BL456" s="92"/>
      <c r="BM456" s="92"/>
      <c r="BN456" s="92"/>
      <c r="BO456" s="92"/>
      <c r="BP456" s="92"/>
      <c r="BQ456" s="92"/>
      <c r="BR456" s="92"/>
      <c r="BS456" s="92"/>
      <c r="BT456" s="92"/>
      <c r="BU456" s="92"/>
      <c r="BV456" s="92"/>
      <c r="BW456" s="92"/>
      <c r="BX456" s="92"/>
      <c r="BY456" s="92"/>
      <c r="BZ456" s="92"/>
      <c r="CA456" s="92"/>
      <c r="CB456" s="92"/>
      <c r="CC456" s="92"/>
      <c r="CD456" s="92"/>
      <c r="CE456" s="92"/>
      <c r="CF456" s="92"/>
      <c r="CG456" s="92"/>
      <c r="CH456" s="92"/>
      <c r="CI456" s="92"/>
      <c r="CJ456" s="92"/>
      <c r="CK456" s="92"/>
      <c r="CL456" s="92"/>
      <c r="CM456" s="92"/>
      <c r="CN456" s="92"/>
      <c r="CO456" s="92"/>
      <c r="CP456" s="92"/>
      <c r="CQ456" s="92"/>
      <c r="CR456" s="92"/>
      <c r="CS456" s="92"/>
      <c r="CT456" s="92"/>
      <c r="CU456" s="92"/>
      <c r="CV456" s="92"/>
      <c r="CW456" s="92"/>
      <c r="CX456" s="92"/>
      <c r="CY456" s="92"/>
      <c r="CZ456" s="92"/>
      <c r="DA456" s="92"/>
      <c r="DB456" s="92"/>
      <c r="DC456" s="92"/>
      <c r="DD456" s="92"/>
      <c r="DE456" s="92"/>
      <c r="DF456" s="92"/>
      <c r="DG456" s="92"/>
      <c r="DH456" s="92"/>
      <c r="DI456" s="92"/>
      <c r="DJ456" s="92"/>
      <c r="DK456" s="92"/>
      <c r="DL456" s="92"/>
      <c r="DM456" s="92"/>
      <c r="DN456" s="92"/>
      <c r="DO456" s="92"/>
      <c r="DP456" s="92"/>
      <c r="DQ456" s="92"/>
      <c r="DR456" s="92"/>
      <c r="DS456" s="92"/>
      <c r="DT456" s="92"/>
      <c r="DU456" s="92"/>
      <c r="DV456" s="92"/>
      <c r="DW456" s="92"/>
      <c r="DX456" s="92"/>
      <c r="DY456" s="92"/>
      <c r="DZ456" s="92"/>
      <c r="EA456" s="92"/>
      <c r="EB456" s="92"/>
      <c r="EC456" s="92"/>
      <c r="ED456" s="92"/>
      <c r="EE456" s="92"/>
      <c r="EF456" s="92"/>
      <c r="EG456" s="92"/>
      <c r="EH456" s="92"/>
      <c r="EI456" s="92"/>
      <c r="EJ456" s="92"/>
      <c r="EK456" s="92"/>
      <c r="EL456" s="92"/>
      <c r="EM456" s="92"/>
      <c r="EN456" s="92"/>
      <c r="EO456" s="92"/>
      <c r="EP456" s="92"/>
      <c r="EQ456" s="92"/>
      <c r="ER456" s="92"/>
      <c r="ES456" s="92"/>
      <c r="ET456" s="92"/>
      <c r="EU456" s="92"/>
      <c r="EV456" s="92"/>
      <c r="EW456" s="92"/>
      <c r="EX456" s="92"/>
      <c r="EY456" s="92"/>
      <c r="EZ456" s="92"/>
      <c r="FA456" s="92"/>
      <c r="FB456" s="92"/>
      <c r="FC456" s="92"/>
      <c r="FD456" s="92"/>
      <c r="FE456" s="92"/>
      <c r="FF456" s="92"/>
      <c r="FG456" s="92"/>
      <c r="FH456" s="92"/>
    </row>
    <row r="457">
      <c r="A457" s="32" t="s">
        <v>28</v>
      </c>
      <c r="B457" s="32" t="s">
        <v>81</v>
      </c>
      <c r="C457" s="32" t="s">
        <v>14</v>
      </c>
      <c r="D457" s="97">
        <f t="shared" si="1"/>
        <v>3788.608987</v>
      </c>
      <c r="E457" s="92">
        <f>(SUBSTITUTE(Audio!E457, "RE-", "", 1))*1</f>
        <v>0</v>
      </c>
      <c r="F457" s="92">
        <f>(SUBSTITUTE(Audio!F457, "RE-", "", 1))*1</f>
        <v>435.11</v>
      </c>
      <c r="G457" s="92">
        <f>(SUBSTITUTE(Audio!G457, "RE-", "", 1))*1</f>
        <v>1.88042</v>
      </c>
      <c r="H457" s="92">
        <f>(SUBSTITUTE(Audio!H457, "RE-", "", 1))*1</f>
        <v>269.947</v>
      </c>
      <c r="I457" s="92">
        <f>(SUBSTITUTE(Audio!I457, "RE-", "", 1))*1</f>
        <v>0.208133</v>
      </c>
      <c r="J457" s="92">
        <f>(SUBSTITUTE(Audio!J457, "RE-", "", 1))*1</f>
        <v>34.7941</v>
      </c>
      <c r="K457" s="92">
        <f>(SUBSTITUTE(Audio!K457, "RE-", "", 1))*1</f>
        <v>0.547667</v>
      </c>
      <c r="L457" s="92">
        <f>(SUBSTITUTE(Audio!L457, "RE-", "", 1))*1</f>
        <v>391.91</v>
      </c>
      <c r="M457" s="92">
        <f>(SUBSTITUTE(Audio!M457, "RE-", "", 1))*1</f>
        <v>0.312467</v>
      </c>
      <c r="N457" s="92">
        <f>(SUBSTITUTE(Audio!N457, "RE-", "", 1))*1</f>
        <v>601.681</v>
      </c>
      <c r="O457" s="92">
        <f>(SUBSTITUTE(Audio!O457, "RE-", "", 1))*1</f>
        <v>10.2147</v>
      </c>
      <c r="P457" s="92">
        <f>(SUBSTITUTE(Audio!P457, "RE-", "", 1))*1</f>
        <v>1049.56</v>
      </c>
      <c r="Q457" s="92">
        <f>(SUBSTITUTE(Audio!Q457, "RE-", "", 1))*1</f>
        <v>42.207</v>
      </c>
      <c r="R457" s="92">
        <f>(SUBSTITUTE(Audio!R457, "RE-", "", 1))*1</f>
        <v>589.067</v>
      </c>
      <c r="S457" s="92">
        <f>(SUBSTITUTE(Audio!S457, "RE-", "", 1))*1</f>
        <v>21.9614</v>
      </c>
      <c r="T457" s="92">
        <f>(SUBSTITUTE(Audio!T457, "RE-", "", 1))*1</f>
        <v>307.15</v>
      </c>
      <c r="U457" s="92">
        <f>(SUBSTITUTE(Audio!U457, "RE-", "", 1))*1</f>
        <v>27.4557</v>
      </c>
      <c r="V457" s="92">
        <f>(SUBSTITUTE(Audio!V457, "RE-", "", 1))*1</f>
        <v>4.6024</v>
      </c>
      <c r="W457" s="92">
        <f>(SUBSTITUTE(Audio!W457, "RE-", "", 1))*1</f>
        <v>0</v>
      </c>
      <c r="X457" s="92">
        <f>(SUBSTITUTE(Audio!X457, "RE-", "", 1))*1</f>
        <v>0</v>
      </c>
      <c r="Y457" s="92">
        <f>(SUBSTITUTE(Audio!Y457, "RE-", "", 1))*1</f>
        <v>0</v>
      </c>
      <c r="Z457" s="92">
        <f>(SUBSTITUTE(Audio!Z457, "RE-", "", 1))*1</f>
        <v>0</v>
      </c>
      <c r="AA457" s="92"/>
      <c r="AB457" s="92"/>
      <c r="AC457" s="92"/>
      <c r="AD457" s="92"/>
      <c r="AE457" s="92"/>
      <c r="AF457" s="92"/>
      <c r="AG457" s="92"/>
      <c r="AH457" s="92"/>
      <c r="AI457" s="92"/>
      <c r="AJ457" s="92"/>
      <c r="AK457" s="92"/>
      <c r="AL457" s="92"/>
      <c r="AM457" s="92"/>
      <c r="AN457" s="92"/>
      <c r="AO457" s="92"/>
      <c r="AP457" s="92"/>
      <c r="AQ457" s="92"/>
      <c r="AR457" s="92"/>
      <c r="AS457" s="92"/>
      <c r="AT457" s="92"/>
      <c r="AU457" s="92"/>
      <c r="AV457" s="92"/>
      <c r="AW457" s="92"/>
      <c r="AX457" s="92"/>
      <c r="AY457" s="92"/>
      <c r="AZ457" s="92"/>
      <c r="BA457" s="92"/>
      <c r="BB457" s="92"/>
      <c r="BC457" s="92"/>
      <c r="BD457" s="92"/>
      <c r="BE457" s="92"/>
      <c r="BF457" s="92"/>
      <c r="BG457" s="92"/>
      <c r="BH457" s="92"/>
      <c r="BI457" s="92"/>
      <c r="BJ457" s="92"/>
      <c r="BK457" s="92"/>
      <c r="BL457" s="92"/>
      <c r="BM457" s="92"/>
      <c r="BN457" s="92"/>
      <c r="BO457" s="92"/>
      <c r="BP457" s="92"/>
      <c r="BQ457" s="92"/>
      <c r="BR457" s="92"/>
      <c r="BS457" s="92"/>
      <c r="BT457" s="92"/>
      <c r="BU457" s="92"/>
      <c r="BV457" s="92"/>
      <c r="BW457" s="92"/>
      <c r="BX457" s="92"/>
      <c r="BY457" s="92"/>
      <c r="BZ457" s="92"/>
      <c r="CA457" s="92"/>
      <c r="CB457" s="92"/>
      <c r="CC457" s="92"/>
      <c r="CD457" s="92"/>
      <c r="CE457" s="92"/>
      <c r="CF457" s="92"/>
      <c r="CG457" s="92"/>
      <c r="CH457" s="92"/>
      <c r="CI457" s="92"/>
      <c r="CJ457" s="92"/>
      <c r="CK457" s="92"/>
      <c r="CL457" s="92"/>
      <c r="CM457" s="92"/>
      <c r="CN457" s="92"/>
      <c r="CO457" s="92"/>
      <c r="CP457" s="92"/>
      <c r="CQ457" s="92"/>
      <c r="CR457" s="92"/>
      <c r="CS457" s="92"/>
      <c r="CT457" s="92"/>
      <c r="CU457" s="92"/>
      <c r="CV457" s="92"/>
      <c r="CW457" s="92"/>
      <c r="CX457" s="92"/>
      <c r="CY457" s="92"/>
      <c r="CZ457" s="92"/>
      <c r="DA457" s="92"/>
      <c r="DB457" s="92"/>
      <c r="DC457" s="92"/>
      <c r="DD457" s="92"/>
      <c r="DE457" s="92"/>
      <c r="DF457" s="92"/>
      <c r="DG457" s="92"/>
      <c r="DH457" s="92"/>
      <c r="DI457" s="92"/>
      <c r="DJ457" s="92"/>
      <c r="DK457" s="92"/>
      <c r="DL457" s="92"/>
      <c r="DM457" s="92"/>
      <c r="DN457" s="92"/>
      <c r="DO457" s="92"/>
      <c r="DP457" s="92"/>
      <c r="DQ457" s="92"/>
      <c r="DR457" s="92"/>
      <c r="DS457" s="92"/>
      <c r="DT457" s="92"/>
      <c r="DU457" s="92"/>
      <c r="DV457" s="92"/>
      <c r="DW457" s="92"/>
      <c r="DX457" s="92"/>
      <c r="DY457" s="92"/>
      <c r="DZ457" s="92"/>
      <c r="EA457" s="92"/>
      <c r="EB457" s="92"/>
      <c r="EC457" s="92"/>
      <c r="ED457" s="92"/>
      <c r="EE457" s="92"/>
      <c r="EF457" s="92"/>
      <c r="EG457" s="92"/>
      <c r="EH457" s="92"/>
      <c r="EI457" s="92"/>
      <c r="EJ457" s="92"/>
      <c r="EK457" s="92"/>
      <c r="EL457" s="92"/>
      <c r="EM457" s="92"/>
      <c r="EN457" s="92"/>
      <c r="EO457" s="92"/>
      <c r="EP457" s="92"/>
      <c r="EQ457" s="92"/>
      <c r="ER457" s="92"/>
      <c r="ES457" s="92"/>
      <c r="ET457" s="92"/>
      <c r="EU457" s="92"/>
      <c r="EV457" s="92"/>
      <c r="EW457" s="92"/>
      <c r="EX457" s="92"/>
      <c r="EY457" s="92"/>
      <c r="EZ457" s="92"/>
      <c r="FA457" s="92"/>
      <c r="FB457" s="92"/>
      <c r="FC457" s="92"/>
      <c r="FD457" s="92"/>
      <c r="FE457" s="92"/>
      <c r="FF457" s="92"/>
      <c r="FG457" s="92"/>
      <c r="FH457" s="92"/>
    </row>
    <row r="458">
      <c r="A458" s="27" t="s">
        <v>28</v>
      </c>
      <c r="B458" s="27" t="s">
        <v>81</v>
      </c>
      <c r="C458" s="27" t="s">
        <v>15</v>
      </c>
      <c r="D458" s="98">
        <f t="shared" si="1"/>
        <v>4376.777087</v>
      </c>
      <c r="E458" s="92">
        <f>(SUBSTITUTE(Audio!E458, "RE-", "", 1))*1</f>
        <v>0</v>
      </c>
      <c r="F458" s="92">
        <f>(SUBSTITUTE(Audio!F458, "RE-", "", 1))*1</f>
        <v>490.387</v>
      </c>
      <c r="G458" s="92">
        <f>(SUBSTITUTE(Audio!G458, "RE-", "", 1))*1</f>
        <v>1.88042</v>
      </c>
      <c r="H458" s="92">
        <f>(SUBSTITUTE(Audio!H458, "RE-", "", 1))*1</f>
        <v>291.981</v>
      </c>
      <c r="I458" s="92">
        <f>(SUBSTITUTE(Audio!I458, "RE-", "", 1))*1</f>
        <v>0.208133</v>
      </c>
      <c r="J458" s="92">
        <f>(SUBSTITUTE(Audio!J458, "RE-", "", 1))*1</f>
        <v>36.2978</v>
      </c>
      <c r="K458" s="92">
        <f>(SUBSTITUTE(Audio!K458, "RE-", "", 1))*1</f>
        <v>0.547667</v>
      </c>
      <c r="L458" s="92">
        <f>(SUBSTITUTE(Audio!L458, "RE-", "", 1))*1</f>
        <v>461.541</v>
      </c>
      <c r="M458" s="92">
        <f>(SUBSTITUTE(Audio!M458, "RE-", "", 1))*1</f>
        <v>0.312467</v>
      </c>
      <c r="N458" s="92">
        <f>(SUBSTITUTE(Audio!N458, "RE-", "", 1))*1</f>
        <v>701.702</v>
      </c>
      <c r="O458" s="92">
        <f>(SUBSTITUTE(Audio!O458, "RE-", "", 1))*1</f>
        <v>13.991</v>
      </c>
      <c r="P458" s="92">
        <f>(SUBSTITUTE(Audio!P458, "RE-", "", 1))*1</f>
        <v>1204.59</v>
      </c>
      <c r="Q458" s="92">
        <f>(SUBSTITUTE(Audio!Q458, "RE-", "", 1))*1</f>
        <v>49.9358</v>
      </c>
      <c r="R458" s="92">
        <f>(SUBSTITUTE(Audio!R458, "RE-", "", 1))*1</f>
        <v>698.67</v>
      </c>
      <c r="S458" s="92">
        <f>(SUBSTITUTE(Audio!S458, "RE-", "", 1))*1</f>
        <v>28.0498</v>
      </c>
      <c r="T458" s="92">
        <f>(SUBSTITUTE(Audio!T458, "RE-", "", 1))*1</f>
        <v>362.807</v>
      </c>
      <c r="U458" s="92">
        <f>(SUBSTITUTE(Audio!U458, "RE-", "", 1))*1</f>
        <v>29.2736</v>
      </c>
      <c r="V458" s="92">
        <f>(SUBSTITUTE(Audio!V458, "RE-", "", 1))*1</f>
        <v>4.6024</v>
      </c>
      <c r="W458" s="92">
        <f>(SUBSTITUTE(Audio!W458, "RE-", "", 1))*1</f>
        <v>0</v>
      </c>
      <c r="X458" s="92">
        <f>(SUBSTITUTE(Audio!X458, "RE-", "", 1))*1</f>
        <v>0</v>
      </c>
      <c r="Y458" s="92">
        <f>(SUBSTITUTE(Audio!Y458, "RE-", "", 1))*1</f>
        <v>0</v>
      </c>
      <c r="Z458" s="92">
        <f>(SUBSTITUTE(Audio!Z458, "RE-", "", 1))*1</f>
        <v>0</v>
      </c>
      <c r="AA458" s="92"/>
      <c r="AB458" s="92"/>
      <c r="AC458" s="92"/>
      <c r="AD458" s="92"/>
      <c r="AE458" s="92"/>
      <c r="AF458" s="92"/>
      <c r="AG458" s="92"/>
      <c r="AH458" s="92"/>
      <c r="AI458" s="92"/>
      <c r="AJ458" s="92"/>
      <c r="AK458" s="92"/>
      <c r="AL458" s="92"/>
      <c r="AM458" s="92"/>
      <c r="AN458" s="92"/>
      <c r="AO458" s="92"/>
      <c r="AP458" s="92"/>
      <c r="AQ458" s="92"/>
      <c r="AR458" s="92"/>
      <c r="AS458" s="92"/>
      <c r="AT458" s="92"/>
      <c r="AU458" s="92"/>
      <c r="AV458" s="92"/>
      <c r="AW458" s="92"/>
      <c r="AX458" s="92"/>
      <c r="AY458" s="92"/>
      <c r="AZ458" s="92"/>
      <c r="BA458" s="92"/>
      <c r="BB458" s="92"/>
      <c r="BC458" s="92"/>
      <c r="BD458" s="92"/>
      <c r="BE458" s="92"/>
      <c r="BF458" s="92"/>
      <c r="BG458" s="92"/>
      <c r="BH458" s="92"/>
      <c r="BI458" s="92"/>
      <c r="BJ458" s="92"/>
      <c r="BK458" s="92"/>
      <c r="BL458" s="92"/>
      <c r="BM458" s="92"/>
      <c r="BN458" s="92"/>
      <c r="BO458" s="92"/>
      <c r="BP458" s="92"/>
      <c r="BQ458" s="92"/>
      <c r="BR458" s="92"/>
      <c r="BS458" s="92"/>
      <c r="BT458" s="92"/>
      <c r="BU458" s="92"/>
      <c r="BV458" s="92"/>
      <c r="BW458" s="92"/>
      <c r="BX458" s="92"/>
      <c r="BY458" s="92"/>
      <c r="BZ458" s="92"/>
      <c r="CA458" s="92"/>
      <c r="CB458" s="92"/>
      <c r="CC458" s="92"/>
      <c r="CD458" s="92"/>
      <c r="CE458" s="92"/>
      <c r="CF458" s="92"/>
      <c r="CG458" s="92"/>
      <c r="CH458" s="92"/>
      <c r="CI458" s="92"/>
      <c r="CJ458" s="92"/>
      <c r="CK458" s="92"/>
      <c r="CL458" s="92"/>
      <c r="CM458" s="92"/>
      <c r="CN458" s="92"/>
      <c r="CO458" s="92"/>
      <c r="CP458" s="92"/>
      <c r="CQ458" s="92"/>
      <c r="CR458" s="92"/>
      <c r="CS458" s="92"/>
      <c r="CT458" s="92"/>
      <c r="CU458" s="92"/>
      <c r="CV458" s="92"/>
      <c r="CW458" s="92"/>
      <c r="CX458" s="92"/>
      <c r="CY458" s="92"/>
      <c r="CZ458" s="92"/>
      <c r="DA458" s="92"/>
      <c r="DB458" s="92"/>
      <c r="DC458" s="92"/>
      <c r="DD458" s="92"/>
      <c r="DE458" s="92"/>
      <c r="DF458" s="92"/>
      <c r="DG458" s="92"/>
      <c r="DH458" s="92"/>
      <c r="DI458" s="92"/>
      <c r="DJ458" s="92"/>
      <c r="DK458" s="92"/>
      <c r="DL458" s="92"/>
      <c r="DM458" s="92"/>
      <c r="DN458" s="92"/>
      <c r="DO458" s="92"/>
      <c r="DP458" s="92"/>
      <c r="DQ458" s="92"/>
      <c r="DR458" s="92"/>
      <c r="DS458" s="92"/>
      <c r="DT458" s="92"/>
      <c r="DU458" s="92"/>
      <c r="DV458" s="92"/>
      <c r="DW458" s="92"/>
      <c r="DX458" s="92"/>
      <c r="DY458" s="92"/>
      <c r="DZ458" s="92"/>
      <c r="EA458" s="92"/>
      <c r="EB458" s="92"/>
      <c r="EC458" s="92"/>
      <c r="ED458" s="92"/>
      <c r="EE458" s="92"/>
      <c r="EF458" s="92"/>
      <c r="EG458" s="92"/>
      <c r="EH458" s="92"/>
      <c r="EI458" s="92"/>
      <c r="EJ458" s="92"/>
      <c r="EK458" s="92"/>
      <c r="EL458" s="92"/>
      <c r="EM458" s="92"/>
      <c r="EN458" s="92"/>
      <c r="EO458" s="92"/>
      <c r="EP458" s="92"/>
      <c r="EQ458" s="92"/>
      <c r="ER458" s="92"/>
      <c r="ES458" s="92"/>
      <c r="ET458" s="92"/>
      <c r="EU458" s="92"/>
      <c r="EV458" s="92"/>
      <c r="EW458" s="92"/>
      <c r="EX458" s="92"/>
      <c r="EY458" s="92"/>
      <c r="EZ458" s="92"/>
      <c r="FA458" s="92"/>
      <c r="FB458" s="92"/>
      <c r="FC458" s="92"/>
      <c r="FD458" s="92"/>
      <c r="FE458" s="92"/>
      <c r="FF458" s="92"/>
      <c r="FG458" s="92"/>
      <c r="FH458" s="92"/>
    </row>
    <row r="459">
      <c r="A459" s="30" t="s">
        <v>35</v>
      </c>
      <c r="B459" s="30" t="s">
        <v>82</v>
      </c>
      <c r="C459" s="31" t="str">
        <f>HYPERLINK("https://docs.google.com/spreadsheets/d/1-7GD4m0BuPjVzvBpiY7kFVUAqFMXR27v/edit?usp=share_link&amp;ouid=106501987799020758802&amp;rtpof=true&amp;sd=true", "Raw Delivered")</f>
        <v>Raw Delivered</v>
      </c>
      <c r="D459" s="96">
        <f t="shared" si="1"/>
        <v>7128.571386</v>
      </c>
      <c r="E459" s="92">
        <f>(SUBSTITUTE(Audio!E459, "RE-", "", 1))*1</f>
        <v>0</v>
      </c>
      <c r="F459" s="92">
        <f>(SUBSTITUTE(Audio!F459, "RE-", "", 1))*1</f>
        <v>1147.250334</v>
      </c>
      <c r="G459" s="92">
        <f>(SUBSTITUTE(Audio!G459, "RE-", "", 1))*1</f>
        <v>0</v>
      </c>
      <c r="H459" s="92">
        <f>(SUBSTITUTE(Audio!H459, "RE-", "", 1))*1</f>
        <v>305.6898667</v>
      </c>
      <c r="I459" s="92">
        <f>(SUBSTITUTE(Audio!I459, "RE-", "", 1))*1</f>
        <v>0</v>
      </c>
      <c r="J459" s="92">
        <f>(SUBSTITUTE(Audio!J459, "RE-", "", 1))*1</f>
        <v>1902.788905</v>
      </c>
      <c r="K459" s="92">
        <f>(SUBSTITUTE(Audio!K459, "RE-", "", 1))*1</f>
        <v>0</v>
      </c>
      <c r="L459" s="92">
        <f>(SUBSTITUTE(Audio!L459, "RE-", "", 1))*1</f>
        <v>1110.310086</v>
      </c>
      <c r="M459" s="92">
        <f>(SUBSTITUTE(Audio!M459, "RE-", "", 1))*1</f>
        <v>0</v>
      </c>
      <c r="N459" s="92">
        <f>(SUBSTITUTE(Audio!N459, "RE-", "", 1))*1</f>
        <v>566.0270104</v>
      </c>
      <c r="O459" s="92">
        <f>(SUBSTITUTE(Audio!O459, "RE-", "", 1))*1</f>
        <v>0</v>
      </c>
      <c r="P459" s="92">
        <f>(SUBSTITUTE(Audio!P459, "RE-", "", 1))*1</f>
        <v>348.150401</v>
      </c>
      <c r="Q459" s="92">
        <f>(SUBSTITUTE(Audio!Q459, "RE-", "", 1))*1</f>
        <v>0</v>
      </c>
      <c r="R459" s="92">
        <f>(SUBSTITUTE(Audio!R459, "RE-", "", 1))*1</f>
        <v>61.9164375</v>
      </c>
      <c r="S459" s="92">
        <f>(SUBSTITUTE(Audio!S459, "RE-", "", 1))*1</f>
        <v>0</v>
      </c>
      <c r="T459" s="92">
        <f>(SUBSTITUTE(Audio!T459, "RE-", "", 1))*1</f>
        <v>1686.438345</v>
      </c>
      <c r="U459" s="92">
        <f>(SUBSTITUTE(Audio!U459, "RE-", "", 1))*1</f>
        <v>0</v>
      </c>
      <c r="V459" s="92">
        <f>(SUBSTITUTE(Audio!V459, "RE-", "", 1))*1</f>
        <v>0</v>
      </c>
      <c r="W459" s="92">
        <f>(SUBSTITUTE(Audio!W459, "RE-", "", 1))*1</f>
        <v>0</v>
      </c>
      <c r="X459" s="92">
        <f>(SUBSTITUTE(Audio!X459, "RE-", "", 1))*1</f>
        <v>0</v>
      </c>
      <c r="Y459" s="92">
        <f>(SUBSTITUTE(Audio!Y459, "RE-", "", 1))*1</f>
        <v>0</v>
      </c>
      <c r="Z459" s="92">
        <f>(SUBSTITUTE(Audio!Z459, "RE-", "", 1))*1</f>
        <v>0</v>
      </c>
      <c r="AA459" s="92"/>
      <c r="AB459" s="92"/>
      <c r="AC459" s="92"/>
      <c r="AD459" s="92"/>
      <c r="AE459" s="92"/>
      <c r="AF459" s="92"/>
      <c r="AG459" s="92"/>
      <c r="AH459" s="92"/>
      <c r="AI459" s="92"/>
      <c r="AJ459" s="92"/>
      <c r="AK459" s="92"/>
      <c r="AL459" s="92"/>
      <c r="AM459" s="92"/>
      <c r="AN459" s="92"/>
      <c r="AO459" s="92"/>
      <c r="AP459" s="92"/>
      <c r="AQ459" s="92"/>
      <c r="AR459" s="92"/>
      <c r="AS459" s="92"/>
      <c r="AT459" s="92"/>
      <c r="AU459" s="92"/>
      <c r="AV459" s="92"/>
      <c r="AW459" s="92"/>
      <c r="AX459" s="92"/>
      <c r="AY459" s="92"/>
      <c r="AZ459" s="92"/>
      <c r="BA459" s="92"/>
      <c r="BB459" s="92"/>
      <c r="BC459" s="92"/>
      <c r="BD459" s="92"/>
      <c r="BE459" s="92"/>
      <c r="BF459" s="92"/>
      <c r="BG459" s="92"/>
      <c r="BH459" s="92"/>
      <c r="BI459" s="92"/>
      <c r="BJ459" s="92"/>
      <c r="BK459" s="92"/>
      <c r="BL459" s="92"/>
      <c r="BM459" s="92"/>
      <c r="BN459" s="92"/>
      <c r="BO459" s="92"/>
      <c r="BP459" s="92"/>
      <c r="BQ459" s="92"/>
      <c r="BR459" s="92"/>
      <c r="BS459" s="92"/>
      <c r="BT459" s="92"/>
      <c r="BU459" s="92"/>
      <c r="BV459" s="92"/>
      <c r="BW459" s="92"/>
      <c r="BX459" s="92"/>
      <c r="BY459" s="92"/>
      <c r="BZ459" s="92"/>
      <c r="CA459" s="92"/>
      <c r="CB459" s="92"/>
      <c r="CC459" s="92"/>
      <c r="CD459" s="92"/>
      <c r="CE459" s="92"/>
      <c r="CF459" s="92"/>
      <c r="CG459" s="92"/>
      <c r="CH459" s="92"/>
      <c r="CI459" s="92"/>
      <c r="CJ459" s="92"/>
      <c r="CK459" s="92"/>
      <c r="CL459" s="92"/>
      <c r="CM459" s="92"/>
      <c r="CN459" s="92"/>
      <c r="CO459" s="92"/>
      <c r="CP459" s="92"/>
      <c r="CQ459" s="92"/>
      <c r="CR459" s="92"/>
      <c r="CS459" s="92"/>
      <c r="CT459" s="92"/>
      <c r="CU459" s="92"/>
      <c r="CV459" s="92"/>
      <c r="CW459" s="92"/>
      <c r="CX459" s="92"/>
      <c r="CY459" s="92"/>
      <c r="CZ459" s="92"/>
      <c r="DA459" s="92"/>
      <c r="DB459" s="92"/>
      <c r="DC459" s="92"/>
      <c r="DD459" s="92"/>
      <c r="DE459" s="92"/>
      <c r="DF459" s="92"/>
      <c r="DG459" s="92"/>
      <c r="DH459" s="92"/>
      <c r="DI459" s="92"/>
      <c r="DJ459" s="92"/>
      <c r="DK459" s="92"/>
      <c r="DL459" s="92"/>
      <c r="DM459" s="92"/>
      <c r="DN459" s="92"/>
      <c r="DO459" s="92"/>
      <c r="DP459" s="92"/>
      <c r="DQ459" s="92"/>
      <c r="DR459" s="92"/>
      <c r="DS459" s="92"/>
      <c r="DT459" s="92"/>
      <c r="DU459" s="92"/>
      <c r="DV459" s="92"/>
      <c r="DW459" s="92"/>
      <c r="DX459" s="92"/>
      <c r="DY459" s="92"/>
      <c r="DZ459" s="92"/>
      <c r="EA459" s="92"/>
      <c r="EB459" s="92"/>
      <c r="EC459" s="92"/>
      <c r="ED459" s="92"/>
      <c r="EE459" s="92"/>
      <c r="EF459" s="92"/>
      <c r="EG459" s="92"/>
      <c r="EH459" s="92"/>
      <c r="EI459" s="92"/>
      <c r="EJ459" s="92"/>
      <c r="EK459" s="92"/>
      <c r="EL459" s="92"/>
      <c r="EM459" s="92"/>
      <c r="EN459" s="92"/>
      <c r="EO459" s="92"/>
      <c r="EP459" s="92"/>
      <c r="EQ459" s="92"/>
      <c r="ER459" s="92"/>
      <c r="ES459" s="92"/>
      <c r="ET459" s="92"/>
      <c r="EU459" s="92"/>
      <c r="EV459" s="92"/>
      <c r="EW459" s="92"/>
      <c r="EX459" s="92"/>
      <c r="EY459" s="92"/>
      <c r="EZ459" s="92"/>
      <c r="FA459" s="92"/>
      <c r="FB459" s="92"/>
      <c r="FC459" s="92"/>
      <c r="FD459" s="92"/>
      <c r="FE459" s="92"/>
      <c r="FF459" s="92"/>
      <c r="FG459" s="92"/>
      <c r="FH459" s="92"/>
    </row>
    <row r="460">
      <c r="A460" s="32" t="s">
        <v>35</v>
      </c>
      <c r="B460" s="32" t="s">
        <v>82</v>
      </c>
      <c r="C460" s="32" t="s">
        <v>9</v>
      </c>
      <c r="D460" s="97">
        <f t="shared" si="1"/>
        <v>7128.571386</v>
      </c>
      <c r="E460" s="92">
        <f>(SUBSTITUTE(Audio!E460, "RE-", "", 1))*1</f>
        <v>0</v>
      </c>
      <c r="F460" s="92">
        <f>(SUBSTITUTE(Audio!F460, "RE-", "", 1))*1</f>
        <v>1147.250334</v>
      </c>
      <c r="G460" s="92">
        <f>(SUBSTITUTE(Audio!G460, "RE-", "", 1))*1</f>
        <v>0</v>
      </c>
      <c r="H460" s="92">
        <f>(SUBSTITUTE(Audio!H460, "RE-", "", 1))*1</f>
        <v>305.6898667</v>
      </c>
      <c r="I460" s="92">
        <f>(SUBSTITUTE(Audio!I460, "RE-", "", 1))*1</f>
        <v>0</v>
      </c>
      <c r="J460" s="92">
        <f>(SUBSTITUTE(Audio!J460, "RE-", "", 1))*1</f>
        <v>1902.788905</v>
      </c>
      <c r="K460" s="92">
        <f>(SUBSTITUTE(Audio!K460, "RE-", "", 1))*1</f>
        <v>0</v>
      </c>
      <c r="L460" s="92">
        <f>(SUBSTITUTE(Audio!L460, "RE-", "", 1))*1</f>
        <v>1110.310086</v>
      </c>
      <c r="M460" s="92">
        <f>(SUBSTITUTE(Audio!M460, "RE-", "", 1))*1</f>
        <v>0</v>
      </c>
      <c r="N460" s="92">
        <f>(SUBSTITUTE(Audio!N460, "RE-", "", 1))*1</f>
        <v>566.0270104</v>
      </c>
      <c r="O460" s="92">
        <f>(SUBSTITUTE(Audio!O460, "RE-", "", 1))*1</f>
        <v>0</v>
      </c>
      <c r="P460" s="92">
        <f>(SUBSTITUTE(Audio!P460, "RE-", "", 1))*1</f>
        <v>348.150401</v>
      </c>
      <c r="Q460" s="92">
        <f>(SUBSTITUTE(Audio!Q460, "RE-", "", 1))*1</f>
        <v>0</v>
      </c>
      <c r="R460" s="92">
        <f>(SUBSTITUTE(Audio!R460, "RE-", "", 1))*1</f>
        <v>61.9164375</v>
      </c>
      <c r="S460" s="92">
        <f>(SUBSTITUTE(Audio!S460, "RE-", "", 1))*1</f>
        <v>0</v>
      </c>
      <c r="T460" s="92">
        <f>(SUBSTITUTE(Audio!T460, "RE-", "", 1))*1</f>
        <v>1686.438345</v>
      </c>
      <c r="U460" s="92">
        <f>(SUBSTITUTE(Audio!U460, "RE-", "", 1))*1</f>
        <v>0</v>
      </c>
      <c r="V460" s="92">
        <f>(SUBSTITUTE(Audio!V460, "RE-", "", 1))*1</f>
        <v>0</v>
      </c>
      <c r="W460" s="92">
        <f>(SUBSTITUTE(Audio!W460, "RE-", "", 1))*1</f>
        <v>0</v>
      </c>
      <c r="X460" s="92">
        <f>(SUBSTITUTE(Audio!X460, "RE-", "", 1))*1</f>
        <v>0</v>
      </c>
      <c r="Y460" s="92">
        <f>(SUBSTITUTE(Audio!Y460, "RE-", "", 1))*1</f>
        <v>0</v>
      </c>
      <c r="Z460" s="92">
        <f>(SUBSTITUTE(Audio!Z460, "RE-", "", 1))*1</f>
        <v>0</v>
      </c>
      <c r="AA460" s="92"/>
      <c r="AB460" s="92"/>
      <c r="AC460" s="92"/>
      <c r="AD460" s="92"/>
      <c r="AE460" s="92"/>
      <c r="AF460" s="92"/>
      <c r="AG460" s="92"/>
      <c r="AH460" s="92"/>
      <c r="AI460" s="92"/>
      <c r="AJ460" s="92"/>
      <c r="AK460" s="92"/>
      <c r="AL460" s="92"/>
      <c r="AM460" s="92"/>
      <c r="AN460" s="92"/>
      <c r="AO460" s="92"/>
      <c r="AP460" s="92"/>
      <c r="AQ460" s="92"/>
      <c r="AR460" s="92"/>
      <c r="AS460" s="92"/>
      <c r="AT460" s="92"/>
      <c r="AU460" s="92"/>
      <c r="AV460" s="92"/>
      <c r="AW460" s="92"/>
      <c r="AX460" s="92"/>
      <c r="AY460" s="92"/>
      <c r="AZ460" s="92"/>
      <c r="BA460" s="92"/>
      <c r="BB460" s="92"/>
      <c r="BC460" s="92"/>
      <c r="BD460" s="92"/>
      <c r="BE460" s="92"/>
      <c r="BF460" s="92"/>
      <c r="BG460" s="92"/>
      <c r="BH460" s="92"/>
      <c r="BI460" s="92"/>
      <c r="BJ460" s="92"/>
      <c r="BK460" s="92"/>
      <c r="BL460" s="92"/>
      <c r="BM460" s="92"/>
      <c r="BN460" s="92"/>
      <c r="BO460" s="92"/>
      <c r="BP460" s="92"/>
      <c r="BQ460" s="92"/>
      <c r="BR460" s="92"/>
      <c r="BS460" s="92"/>
      <c r="BT460" s="92"/>
      <c r="BU460" s="92"/>
      <c r="BV460" s="92"/>
      <c r="BW460" s="92"/>
      <c r="BX460" s="92"/>
      <c r="BY460" s="92"/>
      <c r="BZ460" s="92"/>
      <c r="CA460" s="92"/>
      <c r="CB460" s="92"/>
      <c r="CC460" s="92"/>
      <c r="CD460" s="92"/>
      <c r="CE460" s="92"/>
      <c r="CF460" s="92"/>
      <c r="CG460" s="92"/>
      <c r="CH460" s="92"/>
      <c r="CI460" s="92"/>
      <c r="CJ460" s="92"/>
      <c r="CK460" s="92"/>
      <c r="CL460" s="92"/>
      <c r="CM460" s="92"/>
      <c r="CN460" s="92"/>
      <c r="CO460" s="92"/>
      <c r="CP460" s="92"/>
      <c r="CQ460" s="92"/>
      <c r="CR460" s="92"/>
      <c r="CS460" s="92"/>
      <c r="CT460" s="92"/>
      <c r="CU460" s="92"/>
      <c r="CV460" s="92"/>
      <c r="CW460" s="92"/>
      <c r="CX460" s="92"/>
      <c r="CY460" s="92"/>
      <c r="CZ460" s="92"/>
      <c r="DA460" s="92"/>
      <c r="DB460" s="92"/>
      <c r="DC460" s="92"/>
      <c r="DD460" s="92"/>
      <c r="DE460" s="92"/>
      <c r="DF460" s="92"/>
      <c r="DG460" s="92"/>
      <c r="DH460" s="92"/>
      <c r="DI460" s="92"/>
      <c r="DJ460" s="92"/>
      <c r="DK460" s="92"/>
      <c r="DL460" s="92"/>
      <c r="DM460" s="92"/>
      <c r="DN460" s="92"/>
      <c r="DO460" s="92"/>
      <c r="DP460" s="92"/>
      <c r="DQ460" s="92"/>
      <c r="DR460" s="92"/>
      <c r="DS460" s="92"/>
      <c r="DT460" s="92"/>
      <c r="DU460" s="92"/>
      <c r="DV460" s="92"/>
      <c r="DW460" s="92"/>
      <c r="DX460" s="92"/>
      <c r="DY460" s="92"/>
      <c r="DZ460" s="92"/>
      <c r="EA460" s="92"/>
      <c r="EB460" s="92"/>
      <c r="EC460" s="92"/>
      <c r="ED460" s="92"/>
      <c r="EE460" s="92"/>
      <c r="EF460" s="92"/>
      <c r="EG460" s="92"/>
      <c r="EH460" s="92"/>
      <c r="EI460" s="92"/>
      <c r="EJ460" s="92"/>
      <c r="EK460" s="92"/>
      <c r="EL460" s="92"/>
      <c r="EM460" s="92"/>
      <c r="EN460" s="92"/>
      <c r="EO460" s="92"/>
      <c r="EP460" s="92"/>
      <c r="EQ460" s="92"/>
      <c r="ER460" s="92"/>
      <c r="ES460" s="92"/>
      <c r="ET460" s="92"/>
      <c r="EU460" s="92"/>
      <c r="EV460" s="92"/>
      <c r="EW460" s="92"/>
      <c r="EX460" s="92"/>
      <c r="EY460" s="92"/>
      <c r="EZ460" s="92"/>
      <c r="FA460" s="92"/>
      <c r="FB460" s="92"/>
      <c r="FC460" s="92"/>
      <c r="FD460" s="92"/>
      <c r="FE460" s="92"/>
      <c r="FF460" s="92"/>
      <c r="FG460" s="92"/>
      <c r="FH460" s="92"/>
    </row>
    <row r="461">
      <c r="A461" s="32" t="s">
        <v>35</v>
      </c>
      <c r="B461" s="32" t="s">
        <v>82</v>
      </c>
      <c r="C461" s="32" t="s">
        <v>10</v>
      </c>
      <c r="D461" s="97">
        <f t="shared" si="1"/>
        <v>498.2250011</v>
      </c>
      <c r="E461" s="92">
        <f>(SUBSTITUTE(Audio!E461, "RE-", "", 1))*1</f>
        <v>0</v>
      </c>
      <c r="F461" s="92">
        <f>(SUBSTITUTE(Audio!F461, "RE-", "", 1))*1</f>
        <v>0</v>
      </c>
      <c r="G461" s="92">
        <f>(SUBSTITUTE(Audio!G461, "RE-", "", 1))*1</f>
        <v>99.87076042</v>
      </c>
      <c r="H461" s="92">
        <f>(SUBSTITUTE(Audio!H461, "RE-", "", 1))*1</f>
        <v>0</v>
      </c>
      <c r="I461" s="92">
        <f>(SUBSTITUTE(Audio!I461, "RE-", "", 1))*1</f>
        <v>26.6101875</v>
      </c>
      <c r="J461" s="92">
        <f>(SUBSTITUTE(Audio!J461, "RE-", "", 1))*1</f>
        <v>0</v>
      </c>
      <c r="K461" s="92">
        <f>(SUBSTITUTE(Audio!K461, "RE-", "", 1))*1</f>
        <v>113.2470948</v>
      </c>
      <c r="L461" s="92">
        <f>(SUBSTITUTE(Audio!L461, "RE-", "", 1))*1</f>
        <v>0</v>
      </c>
      <c r="M461" s="92">
        <f>(SUBSTITUTE(Audio!M461, "RE-", "", 1))*1</f>
        <v>53.80671979</v>
      </c>
      <c r="N461" s="92">
        <f>(SUBSTITUTE(Audio!N461, "RE-", "", 1))*1</f>
        <v>0</v>
      </c>
      <c r="O461" s="92">
        <f>(SUBSTITUTE(Audio!O461, "RE-", "", 1))*1</f>
        <v>32.89474583</v>
      </c>
      <c r="P461" s="92">
        <f>(SUBSTITUTE(Audio!P461, "RE-", "", 1))*1</f>
        <v>0</v>
      </c>
      <c r="Q461" s="92">
        <f>(SUBSTITUTE(Audio!Q461, "RE-", "", 1))*1</f>
        <v>71.84541875</v>
      </c>
      <c r="R461" s="92">
        <f>(SUBSTITUTE(Audio!R461, "RE-", "", 1))*1</f>
        <v>0</v>
      </c>
      <c r="S461" s="92">
        <f>(SUBSTITUTE(Audio!S461, "RE-", "", 1))*1</f>
        <v>9.4201875</v>
      </c>
      <c r="T461" s="92">
        <f>(SUBSTITUTE(Audio!T461, "RE-", "", 1))*1</f>
        <v>0</v>
      </c>
      <c r="U461" s="92">
        <f>(SUBSTITUTE(Audio!U461, "RE-", "", 1))*1</f>
        <v>72.69376771</v>
      </c>
      <c r="V461" s="92">
        <f>(SUBSTITUTE(Audio!V461, "RE-", "", 1))*1</f>
        <v>17.83611875</v>
      </c>
      <c r="W461" s="92">
        <f>(SUBSTITUTE(Audio!W461, "RE-", "", 1))*1</f>
        <v>0</v>
      </c>
      <c r="X461" s="92">
        <f>(SUBSTITUTE(Audio!X461, "RE-", "", 1))*1</f>
        <v>0</v>
      </c>
      <c r="Y461" s="92">
        <f>(SUBSTITUTE(Audio!Y461, "RE-", "", 1))*1</f>
        <v>0</v>
      </c>
      <c r="Z461" s="92">
        <f>(SUBSTITUTE(Audio!Z461, "RE-", "", 1))*1</f>
        <v>0</v>
      </c>
      <c r="AA461" s="92"/>
      <c r="AB461" s="92"/>
      <c r="AC461" s="92"/>
      <c r="AD461" s="92"/>
      <c r="AE461" s="92"/>
      <c r="AF461" s="92"/>
      <c r="AG461" s="92"/>
      <c r="AH461" s="92"/>
      <c r="AI461" s="92"/>
      <c r="AJ461" s="92"/>
      <c r="AK461" s="92"/>
      <c r="AL461" s="92"/>
      <c r="AM461" s="92"/>
      <c r="AN461" s="92"/>
      <c r="AO461" s="92"/>
      <c r="AP461" s="92"/>
      <c r="AQ461" s="92"/>
      <c r="AR461" s="92"/>
      <c r="AS461" s="92"/>
      <c r="AT461" s="92"/>
      <c r="AU461" s="92"/>
      <c r="AV461" s="92"/>
      <c r="AW461" s="92"/>
      <c r="AX461" s="92"/>
      <c r="AY461" s="92"/>
      <c r="AZ461" s="92"/>
      <c r="BA461" s="92"/>
      <c r="BB461" s="92"/>
      <c r="BC461" s="92"/>
      <c r="BD461" s="92"/>
      <c r="BE461" s="92"/>
      <c r="BF461" s="92"/>
      <c r="BG461" s="92"/>
      <c r="BH461" s="92"/>
      <c r="BI461" s="92"/>
      <c r="BJ461" s="92"/>
      <c r="BK461" s="92"/>
      <c r="BL461" s="92"/>
      <c r="BM461" s="92"/>
      <c r="BN461" s="92"/>
      <c r="BO461" s="92"/>
      <c r="BP461" s="92"/>
      <c r="BQ461" s="92"/>
      <c r="BR461" s="92"/>
      <c r="BS461" s="92"/>
      <c r="BT461" s="92"/>
      <c r="BU461" s="92"/>
      <c r="BV461" s="92"/>
      <c r="BW461" s="92"/>
      <c r="BX461" s="92"/>
      <c r="BY461" s="92"/>
      <c r="BZ461" s="92"/>
      <c r="CA461" s="92"/>
      <c r="CB461" s="92"/>
      <c r="CC461" s="92"/>
      <c r="CD461" s="92"/>
      <c r="CE461" s="92"/>
      <c r="CF461" s="92"/>
      <c r="CG461" s="92"/>
      <c r="CH461" s="92"/>
      <c r="CI461" s="92"/>
      <c r="CJ461" s="92"/>
      <c r="CK461" s="92"/>
      <c r="CL461" s="92"/>
      <c r="CM461" s="92"/>
      <c r="CN461" s="92"/>
      <c r="CO461" s="92"/>
      <c r="CP461" s="92"/>
      <c r="CQ461" s="92"/>
      <c r="CR461" s="92"/>
      <c r="CS461" s="92"/>
      <c r="CT461" s="92"/>
      <c r="CU461" s="92"/>
      <c r="CV461" s="92"/>
      <c r="CW461" s="92"/>
      <c r="CX461" s="92"/>
      <c r="CY461" s="92"/>
      <c r="CZ461" s="92"/>
      <c r="DA461" s="92"/>
      <c r="DB461" s="92"/>
      <c r="DC461" s="92"/>
      <c r="DD461" s="92"/>
      <c r="DE461" s="92"/>
      <c r="DF461" s="92"/>
      <c r="DG461" s="92"/>
      <c r="DH461" s="92"/>
      <c r="DI461" s="92"/>
      <c r="DJ461" s="92"/>
      <c r="DK461" s="92"/>
      <c r="DL461" s="92"/>
      <c r="DM461" s="92"/>
      <c r="DN461" s="92"/>
      <c r="DO461" s="92"/>
      <c r="DP461" s="92"/>
      <c r="DQ461" s="92"/>
      <c r="DR461" s="92"/>
      <c r="DS461" s="92"/>
      <c r="DT461" s="92"/>
      <c r="DU461" s="92"/>
      <c r="DV461" s="92"/>
      <c r="DW461" s="92"/>
      <c r="DX461" s="92"/>
      <c r="DY461" s="92"/>
      <c r="DZ461" s="92"/>
      <c r="EA461" s="92"/>
      <c r="EB461" s="92"/>
      <c r="EC461" s="92"/>
      <c r="ED461" s="92"/>
      <c r="EE461" s="92"/>
      <c r="EF461" s="92"/>
      <c r="EG461" s="92"/>
      <c r="EH461" s="92"/>
      <c r="EI461" s="92"/>
      <c r="EJ461" s="92"/>
      <c r="EK461" s="92"/>
      <c r="EL461" s="92"/>
      <c r="EM461" s="92"/>
      <c r="EN461" s="92"/>
      <c r="EO461" s="92"/>
      <c r="EP461" s="92"/>
      <c r="EQ461" s="92"/>
      <c r="ER461" s="92"/>
      <c r="ES461" s="92"/>
      <c r="ET461" s="92"/>
      <c r="EU461" s="92"/>
      <c r="EV461" s="92"/>
      <c r="EW461" s="92"/>
      <c r="EX461" s="92"/>
      <c r="EY461" s="92"/>
      <c r="EZ461" s="92"/>
      <c r="FA461" s="92"/>
      <c r="FB461" s="92"/>
      <c r="FC461" s="92"/>
      <c r="FD461" s="92"/>
      <c r="FE461" s="92"/>
      <c r="FF461" s="92"/>
      <c r="FG461" s="92"/>
      <c r="FH461" s="92"/>
    </row>
    <row r="462">
      <c r="A462" s="32" t="s">
        <v>35</v>
      </c>
      <c r="B462" s="32" t="s">
        <v>82</v>
      </c>
      <c r="C462" s="32" t="s">
        <v>11</v>
      </c>
      <c r="D462" s="97">
        <f t="shared" si="1"/>
        <v>498.225001</v>
      </c>
      <c r="E462" s="92">
        <f>(SUBSTITUTE(Audio!E462, "RE-", "", 1))*1</f>
        <v>0</v>
      </c>
      <c r="F462" s="92">
        <f>(SUBSTITUTE(Audio!F462, "RE-", "", 1))*1</f>
        <v>0</v>
      </c>
      <c r="G462" s="92">
        <f>(SUBSTITUTE(Audio!G462, "RE-", "", 1))*1</f>
        <v>99.87076042</v>
      </c>
      <c r="H462" s="92">
        <f>(SUBSTITUTE(Audio!H462, "RE-", "", 1))*1</f>
        <v>0</v>
      </c>
      <c r="I462" s="92">
        <f>(SUBSTITUTE(Audio!I462, "RE-", "", 1))*1</f>
        <v>26.6101875</v>
      </c>
      <c r="J462" s="92">
        <f>(SUBSTITUTE(Audio!J462, "RE-", "", 1))*1</f>
        <v>0</v>
      </c>
      <c r="K462" s="92">
        <f>(SUBSTITUTE(Audio!K462, "RE-", "", 1))*1</f>
        <v>113.2470948</v>
      </c>
      <c r="L462" s="92">
        <f>(SUBSTITUTE(Audio!L462, "RE-", "", 1))*1</f>
        <v>0</v>
      </c>
      <c r="M462" s="92">
        <f>(SUBSTITUTE(Audio!M462, "RE-", "", 1))*1</f>
        <v>53.80671979</v>
      </c>
      <c r="N462" s="92">
        <f>(SUBSTITUTE(Audio!N462, "RE-", "", 1))*1</f>
        <v>0</v>
      </c>
      <c r="O462" s="92">
        <f>(SUBSTITUTE(Audio!O462, "RE-", "", 1))*1</f>
        <v>32.89474583</v>
      </c>
      <c r="P462" s="92">
        <f>(SUBSTITUTE(Audio!P462, "RE-", "", 1))*1</f>
        <v>0</v>
      </c>
      <c r="Q462" s="92">
        <f>(SUBSTITUTE(Audio!Q462, "RE-", "", 1))*1</f>
        <v>71.84541875</v>
      </c>
      <c r="R462" s="92">
        <f>(SUBSTITUTE(Audio!R462, "RE-", "", 1))*1</f>
        <v>0</v>
      </c>
      <c r="S462" s="92">
        <f>(SUBSTITUTE(Audio!S462, "RE-", "", 1))*1</f>
        <v>9.4201875</v>
      </c>
      <c r="T462" s="92">
        <f>(SUBSTITUTE(Audio!T462, "RE-", "", 1))*1</f>
        <v>0</v>
      </c>
      <c r="U462" s="92">
        <f>(SUBSTITUTE(Audio!U462, "RE-", "", 1))*1</f>
        <v>72.69376771</v>
      </c>
      <c r="V462" s="92">
        <f>(SUBSTITUTE(Audio!V462, "RE-", "", 1))*1</f>
        <v>17.83611875</v>
      </c>
      <c r="W462" s="92">
        <f>(SUBSTITUTE(Audio!W462, "RE-", "", 1))*1</f>
        <v>0</v>
      </c>
      <c r="X462" s="92">
        <f>(SUBSTITUTE(Audio!X462, "RE-", "", 1))*1</f>
        <v>0</v>
      </c>
      <c r="Y462" s="92">
        <f>(SUBSTITUTE(Audio!Y462, "RE-", "", 1))*1</f>
        <v>0</v>
      </c>
      <c r="Z462" s="92">
        <f>(SUBSTITUTE(Audio!Z462, "RE-", "", 1))*1</f>
        <v>0</v>
      </c>
      <c r="AA462" s="92"/>
      <c r="AB462" s="92"/>
      <c r="AC462" s="92"/>
      <c r="AD462" s="92"/>
      <c r="AE462" s="92"/>
      <c r="AF462" s="92"/>
      <c r="AG462" s="92"/>
      <c r="AH462" s="92"/>
      <c r="AI462" s="92"/>
      <c r="AJ462" s="92"/>
      <c r="AK462" s="92"/>
      <c r="AL462" s="92"/>
      <c r="AM462" s="92"/>
      <c r="AN462" s="92"/>
      <c r="AO462" s="92"/>
      <c r="AP462" s="92"/>
      <c r="AQ462" s="92"/>
      <c r="AR462" s="92"/>
      <c r="AS462" s="92"/>
      <c r="AT462" s="92"/>
      <c r="AU462" s="92"/>
      <c r="AV462" s="92"/>
      <c r="AW462" s="92"/>
      <c r="AX462" s="92"/>
      <c r="AY462" s="92"/>
      <c r="AZ462" s="92"/>
      <c r="BA462" s="92"/>
      <c r="BB462" s="92"/>
      <c r="BC462" s="92"/>
      <c r="BD462" s="92"/>
      <c r="BE462" s="92"/>
      <c r="BF462" s="92"/>
      <c r="BG462" s="92"/>
      <c r="BH462" s="92"/>
      <c r="BI462" s="92"/>
      <c r="BJ462" s="92"/>
      <c r="BK462" s="92"/>
      <c r="BL462" s="92"/>
      <c r="BM462" s="92"/>
      <c r="BN462" s="92"/>
      <c r="BO462" s="92"/>
      <c r="BP462" s="92"/>
      <c r="BQ462" s="92"/>
      <c r="BR462" s="92"/>
      <c r="BS462" s="92"/>
      <c r="BT462" s="92"/>
      <c r="BU462" s="92"/>
      <c r="BV462" s="92"/>
      <c r="BW462" s="92"/>
      <c r="BX462" s="92"/>
      <c r="BY462" s="92"/>
      <c r="BZ462" s="92"/>
      <c r="CA462" s="92"/>
      <c r="CB462" s="92"/>
      <c r="CC462" s="92"/>
      <c r="CD462" s="92"/>
      <c r="CE462" s="92"/>
      <c r="CF462" s="92"/>
      <c r="CG462" s="92"/>
      <c r="CH462" s="92"/>
      <c r="CI462" s="92"/>
      <c r="CJ462" s="92"/>
      <c r="CK462" s="92"/>
      <c r="CL462" s="92"/>
      <c r="CM462" s="92"/>
      <c r="CN462" s="92"/>
      <c r="CO462" s="92"/>
      <c r="CP462" s="92"/>
      <c r="CQ462" s="92"/>
      <c r="CR462" s="92"/>
      <c r="CS462" s="92"/>
      <c r="CT462" s="92"/>
      <c r="CU462" s="92"/>
      <c r="CV462" s="92"/>
      <c r="CW462" s="92"/>
      <c r="CX462" s="92"/>
      <c r="CY462" s="92"/>
      <c r="CZ462" s="92"/>
      <c r="DA462" s="92"/>
      <c r="DB462" s="92"/>
      <c r="DC462" s="92"/>
      <c r="DD462" s="92"/>
      <c r="DE462" s="92"/>
      <c r="DF462" s="92"/>
      <c r="DG462" s="92"/>
      <c r="DH462" s="92"/>
      <c r="DI462" s="92"/>
      <c r="DJ462" s="92"/>
      <c r="DK462" s="92"/>
      <c r="DL462" s="92"/>
      <c r="DM462" s="92"/>
      <c r="DN462" s="92"/>
      <c r="DO462" s="92"/>
      <c r="DP462" s="92"/>
      <c r="DQ462" s="92"/>
      <c r="DR462" s="92"/>
      <c r="DS462" s="92"/>
      <c r="DT462" s="92"/>
      <c r="DU462" s="92"/>
      <c r="DV462" s="92"/>
      <c r="DW462" s="92"/>
      <c r="DX462" s="92"/>
      <c r="DY462" s="92"/>
      <c r="DZ462" s="92"/>
      <c r="EA462" s="92"/>
      <c r="EB462" s="92"/>
      <c r="EC462" s="92"/>
      <c r="ED462" s="92"/>
      <c r="EE462" s="92"/>
      <c r="EF462" s="92"/>
      <c r="EG462" s="92"/>
      <c r="EH462" s="92"/>
      <c r="EI462" s="92"/>
      <c r="EJ462" s="92"/>
      <c r="EK462" s="92"/>
      <c r="EL462" s="92"/>
      <c r="EM462" s="92"/>
      <c r="EN462" s="92"/>
      <c r="EO462" s="92"/>
      <c r="EP462" s="92"/>
      <c r="EQ462" s="92"/>
      <c r="ER462" s="92"/>
      <c r="ES462" s="92"/>
      <c r="ET462" s="92"/>
      <c r="EU462" s="92"/>
      <c r="EV462" s="92"/>
      <c r="EW462" s="92"/>
      <c r="EX462" s="92"/>
      <c r="EY462" s="92"/>
      <c r="EZ462" s="92"/>
      <c r="FA462" s="92"/>
      <c r="FB462" s="92"/>
      <c r="FC462" s="92"/>
      <c r="FD462" s="92"/>
      <c r="FE462" s="92"/>
      <c r="FF462" s="92"/>
      <c r="FG462" s="92"/>
      <c r="FH462" s="92"/>
    </row>
    <row r="463">
      <c r="A463" s="32" t="s">
        <v>35</v>
      </c>
      <c r="B463" s="32" t="s">
        <v>82</v>
      </c>
      <c r="C463" s="32" t="s">
        <v>12</v>
      </c>
      <c r="D463" s="97">
        <f t="shared" si="1"/>
        <v>6193.383431</v>
      </c>
      <c r="E463" s="92">
        <f>(SUBSTITUTE(Audio!E463, "RE-", "", 1))*1</f>
        <v>0</v>
      </c>
      <c r="F463" s="92">
        <f>(SUBSTITUTE(Audio!F463, "RE-", "", 1))*1</f>
        <v>901.8155427</v>
      </c>
      <c r="G463" s="92">
        <f>(SUBSTITUTE(Audio!G463, "RE-", "", 1))*1</f>
        <v>2.883710417</v>
      </c>
      <c r="H463" s="92">
        <f>(SUBSTITUTE(Audio!H463, "RE-", "", 1))*1</f>
        <v>263.6697</v>
      </c>
      <c r="I463" s="92">
        <f>(SUBSTITUTE(Audio!I463, "RE-", "", 1))*1</f>
        <v>0.3080104167</v>
      </c>
      <c r="J463" s="92">
        <f>(SUBSTITUTE(Audio!J463, "RE-", "", 1))*1</f>
        <v>1592.02794</v>
      </c>
      <c r="K463" s="92">
        <f>(SUBSTITUTE(Audio!K463, "RE-", "", 1))*1</f>
        <v>11.51656562</v>
      </c>
      <c r="L463" s="92">
        <f>(SUBSTITUTE(Audio!L463, "RE-", "", 1))*1</f>
        <v>1010.087625</v>
      </c>
      <c r="M463" s="92">
        <f>(SUBSTITUTE(Audio!M463, "RE-", "", 1))*1</f>
        <v>7.08371875</v>
      </c>
      <c r="N463" s="92">
        <f>(SUBSTITUTE(Audio!N463, "RE-", "", 1))*1</f>
        <v>352.2077</v>
      </c>
      <c r="O463" s="92">
        <f>(SUBSTITUTE(Audio!O463, "RE-", "", 1))*1</f>
        <v>1.665785417</v>
      </c>
      <c r="P463" s="92">
        <f>(SUBSTITUTE(Audio!P463, "RE-", "", 1))*1</f>
        <v>323.7272031</v>
      </c>
      <c r="Q463" s="92">
        <f>(SUBSTITUTE(Audio!Q463, "RE-", "", 1))*1</f>
        <v>25.84771146</v>
      </c>
      <c r="R463" s="92">
        <f>(SUBSTITUTE(Audio!R463, "RE-", "", 1))*1</f>
        <v>58.44114167</v>
      </c>
      <c r="S463" s="92">
        <f>(SUBSTITUTE(Audio!S463, "RE-", "", 1))*1</f>
        <v>3.486627083</v>
      </c>
      <c r="T463" s="92">
        <f>(SUBSTITUTE(Audio!T463, "RE-", "", 1))*1</f>
        <v>1602.61631</v>
      </c>
      <c r="U463" s="92">
        <f>(SUBSTITUTE(Audio!U463, "RE-", "", 1))*1</f>
        <v>34.26662708</v>
      </c>
      <c r="V463" s="92">
        <f>(SUBSTITUTE(Audio!V463, "RE-", "", 1))*1</f>
        <v>1.7315125</v>
      </c>
      <c r="W463" s="92">
        <f>(SUBSTITUTE(Audio!W463, "RE-", "", 1))*1</f>
        <v>0</v>
      </c>
      <c r="X463" s="92">
        <f>(SUBSTITUTE(Audio!X463, "RE-", "", 1))*1</f>
        <v>0</v>
      </c>
      <c r="Y463" s="92">
        <f>(SUBSTITUTE(Audio!Y463, "RE-", "", 1))*1</f>
        <v>0</v>
      </c>
      <c r="Z463" s="92">
        <f>(SUBSTITUTE(Audio!Z463, "RE-", "", 1))*1</f>
        <v>0</v>
      </c>
      <c r="AA463" s="92"/>
      <c r="AB463" s="92"/>
      <c r="AC463" s="92"/>
      <c r="AD463" s="92"/>
      <c r="AE463" s="92"/>
      <c r="AF463" s="92"/>
      <c r="AG463" s="92"/>
      <c r="AH463" s="92"/>
      <c r="AI463" s="92"/>
      <c r="AJ463" s="92"/>
      <c r="AK463" s="92"/>
      <c r="AL463" s="92"/>
      <c r="AM463" s="92"/>
      <c r="AN463" s="92"/>
      <c r="AO463" s="92"/>
      <c r="AP463" s="92"/>
      <c r="AQ463" s="92"/>
      <c r="AR463" s="92"/>
      <c r="AS463" s="92"/>
      <c r="AT463" s="92"/>
      <c r="AU463" s="92"/>
      <c r="AV463" s="92"/>
      <c r="AW463" s="92"/>
      <c r="AX463" s="92"/>
      <c r="AY463" s="92"/>
      <c r="AZ463" s="92"/>
      <c r="BA463" s="92"/>
      <c r="BB463" s="92"/>
      <c r="BC463" s="92"/>
      <c r="BD463" s="92"/>
      <c r="BE463" s="92"/>
      <c r="BF463" s="92"/>
      <c r="BG463" s="92"/>
      <c r="BH463" s="92"/>
      <c r="BI463" s="92"/>
      <c r="BJ463" s="92"/>
      <c r="BK463" s="92"/>
      <c r="BL463" s="92"/>
      <c r="BM463" s="92"/>
      <c r="BN463" s="92"/>
      <c r="BO463" s="92"/>
      <c r="BP463" s="92"/>
      <c r="BQ463" s="92"/>
      <c r="BR463" s="92"/>
      <c r="BS463" s="92"/>
      <c r="BT463" s="92"/>
      <c r="BU463" s="92"/>
      <c r="BV463" s="92"/>
      <c r="BW463" s="92"/>
      <c r="BX463" s="92"/>
      <c r="BY463" s="92"/>
      <c r="BZ463" s="92"/>
      <c r="CA463" s="92"/>
      <c r="CB463" s="92"/>
      <c r="CC463" s="92"/>
      <c r="CD463" s="92"/>
      <c r="CE463" s="92"/>
      <c r="CF463" s="92"/>
      <c r="CG463" s="92"/>
      <c r="CH463" s="92"/>
      <c r="CI463" s="92"/>
      <c r="CJ463" s="92"/>
      <c r="CK463" s="92"/>
      <c r="CL463" s="92"/>
      <c r="CM463" s="92"/>
      <c r="CN463" s="92"/>
      <c r="CO463" s="92"/>
      <c r="CP463" s="92"/>
      <c r="CQ463" s="92"/>
      <c r="CR463" s="92"/>
      <c r="CS463" s="92"/>
      <c r="CT463" s="92"/>
      <c r="CU463" s="92"/>
      <c r="CV463" s="92"/>
      <c r="CW463" s="92"/>
      <c r="CX463" s="92"/>
      <c r="CY463" s="92"/>
      <c r="CZ463" s="92"/>
      <c r="DA463" s="92"/>
      <c r="DB463" s="92"/>
      <c r="DC463" s="92"/>
      <c r="DD463" s="92"/>
      <c r="DE463" s="92"/>
      <c r="DF463" s="92"/>
      <c r="DG463" s="92"/>
      <c r="DH463" s="92"/>
      <c r="DI463" s="92"/>
      <c r="DJ463" s="92"/>
      <c r="DK463" s="92"/>
      <c r="DL463" s="92"/>
      <c r="DM463" s="92"/>
      <c r="DN463" s="92"/>
      <c r="DO463" s="92"/>
      <c r="DP463" s="92"/>
      <c r="DQ463" s="92"/>
      <c r="DR463" s="92"/>
      <c r="DS463" s="92"/>
      <c r="DT463" s="92"/>
      <c r="DU463" s="92"/>
      <c r="DV463" s="92"/>
      <c r="DW463" s="92"/>
      <c r="DX463" s="92"/>
      <c r="DY463" s="92"/>
      <c r="DZ463" s="92"/>
      <c r="EA463" s="92"/>
      <c r="EB463" s="92"/>
      <c r="EC463" s="92"/>
      <c r="ED463" s="92"/>
      <c r="EE463" s="92"/>
      <c r="EF463" s="92"/>
      <c r="EG463" s="92"/>
      <c r="EH463" s="92"/>
      <c r="EI463" s="92"/>
      <c r="EJ463" s="92"/>
      <c r="EK463" s="92"/>
      <c r="EL463" s="92"/>
      <c r="EM463" s="92"/>
      <c r="EN463" s="92"/>
      <c r="EO463" s="92"/>
      <c r="EP463" s="92"/>
      <c r="EQ463" s="92"/>
      <c r="ER463" s="92"/>
      <c r="ES463" s="92"/>
      <c r="ET463" s="92"/>
      <c r="EU463" s="92"/>
      <c r="EV463" s="92"/>
      <c r="EW463" s="92"/>
      <c r="EX463" s="92"/>
      <c r="EY463" s="92"/>
      <c r="EZ463" s="92"/>
      <c r="FA463" s="92"/>
      <c r="FB463" s="92"/>
      <c r="FC463" s="92"/>
      <c r="FD463" s="92"/>
      <c r="FE463" s="92"/>
      <c r="FF463" s="92"/>
      <c r="FG463" s="92"/>
      <c r="FH463" s="92"/>
    </row>
    <row r="464">
      <c r="A464" s="32" t="s">
        <v>35</v>
      </c>
      <c r="B464" s="32" t="s">
        <v>82</v>
      </c>
      <c r="C464" s="32" t="s">
        <v>13</v>
      </c>
      <c r="D464" s="97">
        <f t="shared" si="1"/>
        <v>6029.479367</v>
      </c>
      <c r="E464" s="92">
        <f>(SUBSTITUTE(Audio!E464, "RE-", "", 1))*1</f>
        <v>0</v>
      </c>
      <c r="F464" s="92">
        <f>(SUBSTITUTE(Audio!F464, "RE-", "", 1))*1</f>
        <v>885.678</v>
      </c>
      <c r="G464" s="92">
        <f>(SUBSTITUTE(Audio!G464, "RE-", "", 1))*1</f>
        <v>2.82807</v>
      </c>
      <c r="H464" s="92">
        <f>(SUBSTITUTE(Audio!H464, "RE-", "", 1))*1</f>
        <v>259.48</v>
      </c>
      <c r="I464" s="92">
        <f>(SUBSTITUTE(Audio!I464, "RE-", "", 1))*1</f>
        <v>0.302217</v>
      </c>
      <c r="J464" s="92">
        <f>(SUBSTITUTE(Audio!J464, "RE-", "", 1))*1</f>
        <v>1561.84</v>
      </c>
      <c r="K464" s="92">
        <f>(SUBSTITUTE(Audio!K464, "RE-", "", 1))*1</f>
        <v>11.2161</v>
      </c>
      <c r="L464" s="92">
        <f>(SUBSTITUTE(Audio!L464, "RE-", "", 1))*1</f>
        <v>976.666</v>
      </c>
      <c r="M464" s="92">
        <f>(SUBSTITUTE(Audio!M464, "RE-", "", 1))*1</f>
        <v>6.93405</v>
      </c>
      <c r="N464" s="92">
        <f>(SUBSTITUTE(Audio!N464, "RE-", "", 1))*1</f>
        <v>339.914</v>
      </c>
      <c r="O464" s="92">
        <f>(SUBSTITUTE(Audio!O464, "RE-", "", 1))*1</f>
        <v>1.62853</v>
      </c>
      <c r="P464" s="92">
        <f>(SUBSTITUTE(Audio!P464, "RE-", "", 1))*1</f>
        <v>310.838</v>
      </c>
      <c r="Q464" s="92">
        <f>(SUBSTITUTE(Audio!Q464, "RE-", "", 1))*1</f>
        <v>24.6763</v>
      </c>
      <c r="R464" s="92">
        <f>(SUBSTITUTE(Audio!R464, "RE-", "", 1))*1</f>
        <v>56.302</v>
      </c>
      <c r="S464" s="92">
        <f>(SUBSTITUTE(Audio!S464, "RE-", "", 1))*1</f>
        <v>3.30503</v>
      </c>
      <c r="T464" s="92">
        <f>(SUBSTITUTE(Audio!T464, "RE-", "", 1))*1</f>
        <v>1553.52</v>
      </c>
      <c r="U464" s="92">
        <f>(SUBSTITUTE(Audio!U464, "RE-", "", 1))*1</f>
        <v>32.7139</v>
      </c>
      <c r="V464" s="92">
        <f>(SUBSTITUTE(Audio!V464, "RE-", "", 1))*1</f>
        <v>1.63717</v>
      </c>
      <c r="W464" s="92">
        <f>(SUBSTITUTE(Audio!W464, "RE-", "", 1))*1</f>
        <v>0</v>
      </c>
      <c r="X464" s="92">
        <f>(SUBSTITUTE(Audio!X464, "RE-", "", 1))*1</f>
        <v>0</v>
      </c>
      <c r="Y464" s="92">
        <f>(SUBSTITUTE(Audio!Y464, "RE-", "", 1))*1</f>
        <v>0</v>
      </c>
      <c r="Z464" s="92">
        <f>(SUBSTITUTE(Audio!Z464, "RE-", "", 1))*1</f>
        <v>0</v>
      </c>
      <c r="AA464" s="92"/>
      <c r="AB464" s="92"/>
      <c r="AC464" s="92"/>
      <c r="AD464" s="92"/>
      <c r="AE464" s="92"/>
      <c r="AF464" s="92"/>
      <c r="AG464" s="92"/>
      <c r="AH464" s="92"/>
      <c r="AI464" s="92"/>
      <c r="AJ464" s="92"/>
      <c r="AK464" s="92"/>
      <c r="AL464" s="92"/>
      <c r="AM464" s="92"/>
      <c r="AN464" s="92"/>
      <c r="AO464" s="92"/>
      <c r="AP464" s="92"/>
      <c r="AQ464" s="92"/>
      <c r="AR464" s="92"/>
      <c r="AS464" s="92"/>
      <c r="AT464" s="92"/>
      <c r="AU464" s="92"/>
      <c r="AV464" s="92"/>
      <c r="AW464" s="92"/>
      <c r="AX464" s="92"/>
      <c r="AY464" s="92"/>
      <c r="AZ464" s="92"/>
      <c r="BA464" s="92"/>
      <c r="BB464" s="92"/>
      <c r="BC464" s="92"/>
      <c r="BD464" s="92"/>
      <c r="BE464" s="92"/>
      <c r="BF464" s="92"/>
      <c r="BG464" s="92"/>
      <c r="BH464" s="92"/>
      <c r="BI464" s="92"/>
      <c r="BJ464" s="92"/>
      <c r="BK464" s="92"/>
      <c r="BL464" s="92"/>
      <c r="BM464" s="92"/>
      <c r="BN464" s="92"/>
      <c r="BO464" s="92"/>
      <c r="BP464" s="92"/>
      <c r="BQ464" s="92"/>
      <c r="BR464" s="92"/>
      <c r="BS464" s="92"/>
      <c r="BT464" s="92"/>
      <c r="BU464" s="92"/>
      <c r="BV464" s="92"/>
      <c r="BW464" s="92"/>
      <c r="BX464" s="92"/>
      <c r="BY464" s="92"/>
      <c r="BZ464" s="92"/>
      <c r="CA464" s="92"/>
      <c r="CB464" s="92"/>
      <c r="CC464" s="92"/>
      <c r="CD464" s="92"/>
      <c r="CE464" s="92"/>
      <c r="CF464" s="92"/>
      <c r="CG464" s="92"/>
      <c r="CH464" s="92"/>
      <c r="CI464" s="92"/>
      <c r="CJ464" s="92"/>
      <c r="CK464" s="92"/>
      <c r="CL464" s="92"/>
      <c r="CM464" s="92"/>
      <c r="CN464" s="92"/>
      <c r="CO464" s="92"/>
      <c r="CP464" s="92"/>
      <c r="CQ464" s="92"/>
      <c r="CR464" s="92"/>
      <c r="CS464" s="92"/>
      <c r="CT464" s="92"/>
      <c r="CU464" s="92"/>
      <c r="CV464" s="92"/>
      <c r="CW464" s="92"/>
      <c r="CX464" s="92"/>
      <c r="CY464" s="92"/>
      <c r="CZ464" s="92"/>
      <c r="DA464" s="92"/>
      <c r="DB464" s="92"/>
      <c r="DC464" s="92"/>
      <c r="DD464" s="92"/>
      <c r="DE464" s="92"/>
      <c r="DF464" s="92"/>
      <c r="DG464" s="92"/>
      <c r="DH464" s="92"/>
      <c r="DI464" s="92"/>
      <c r="DJ464" s="92"/>
      <c r="DK464" s="92"/>
      <c r="DL464" s="92"/>
      <c r="DM464" s="92"/>
      <c r="DN464" s="92"/>
      <c r="DO464" s="92"/>
      <c r="DP464" s="92"/>
      <c r="DQ464" s="92"/>
      <c r="DR464" s="92"/>
      <c r="DS464" s="92"/>
      <c r="DT464" s="92"/>
      <c r="DU464" s="92"/>
      <c r="DV464" s="92"/>
      <c r="DW464" s="92"/>
      <c r="DX464" s="92"/>
      <c r="DY464" s="92"/>
      <c r="DZ464" s="92"/>
      <c r="EA464" s="92"/>
      <c r="EB464" s="92"/>
      <c r="EC464" s="92"/>
      <c r="ED464" s="92"/>
      <c r="EE464" s="92"/>
      <c r="EF464" s="92"/>
      <c r="EG464" s="92"/>
      <c r="EH464" s="92"/>
      <c r="EI464" s="92"/>
      <c r="EJ464" s="92"/>
      <c r="EK464" s="92"/>
      <c r="EL464" s="92"/>
      <c r="EM464" s="92"/>
      <c r="EN464" s="92"/>
      <c r="EO464" s="92"/>
      <c r="EP464" s="92"/>
      <c r="EQ464" s="92"/>
      <c r="ER464" s="92"/>
      <c r="ES464" s="92"/>
      <c r="ET464" s="92"/>
      <c r="EU464" s="92"/>
      <c r="EV464" s="92"/>
      <c r="EW464" s="92"/>
      <c r="EX464" s="92"/>
      <c r="EY464" s="92"/>
      <c r="EZ464" s="92"/>
      <c r="FA464" s="92"/>
      <c r="FB464" s="92"/>
      <c r="FC464" s="92"/>
      <c r="FD464" s="92"/>
      <c r="FE464" s="92"/>
      <c r="FF464" s="92"/>
      <c r="FG464" s="92"/>
      <c r="FH464" s="92"/>
    </row>
    <row r="465">
      <c r="A465" s="32" t="s">
        <v>35</v>
      </c>
      <c r="B465" s="32" t="s">
        <v>82</v>
      </c>
      <c r="C465" s="32" t="s">
        <v>14</v>
      </c>
      <c r="D465" s="97">
        <f t="shared" si="1"/>
        <v>5316.682697</v>
      </c>
      <c r="E465" s="92">
        <f>(SUBSTITUTE(Audio!E465, "RE-", "", 1))*1</f>
        <v>0</v>
      </c>
      <c r="F465" s="92">
        <f>(SUBSTITUTE(Audio!F465, "RE-", "", 1))*1</f>
        <v>788.926</v>
      </c>
      <c r="G465" s="92">
        <f>(SUBSTITUTE(Audio!G465, "RE-", "", 1))*1</f>
        <v>2.63112</v>
      </c>
      <c r="H465" s="92">
        <f>(SUBSTITUTE(Audio!H465, "RE-", "", 1))*1</f>
        <v>234.372</v>
      </c>
      <c r="I465" s="92">
        <f>(SUBSTITUTE(Audio!I465, "RE-", "", 1))*1</f>
        <v>0.302217</v>
      </c>
      <c r="J465" s="92">
        <f>(SUBSTITUTE(Audio!J465, "RE-", "", 1))*1</f>
        <v>1428.89</v>
      </c>
      <c r="K465" s="92">
        <f>(SUBSTITUTE(Audio!K465, "RE-", "", 1))*1</f>
        <v>9.70855</v>
      </c>
      <c r="L465" s="92">
        <f>(SUBSTITUTE(Audio!L465, "RE-", "", 1))*1</f>
        <v>849.813</v>
      </c>
      <c r="M465" s="92">
        <f>(SUBSTITUTE(Audio!M465, "RE-", "", 1))*1</f>
        <v>6.40758</v>
      </c>
      <c r="N465" s="92">
        <f>(SUBSTITUTE(Audio!N465, "RE-", "", 1))*1</f>
        <v>287.193</v>
      </c>
      <c r="O465" s="92">
        <f>(SUBSTITUTE(Audio!O465, "RE-", "", 1))*1</f>
        <v>1.62853</v>
      </c>
      <c r="P465" s="92">
        <f>(SUBSTITUTE(Audio!P465, "RE-", "", 1))*1</f>
        <v>267.819</v>
      </c>
      <c r="Q465" s="92">
        <f>(SUBSTITUTE(Audio!Q465, "RE-", "", 1))*1</f>
        <v>22.346</v>
      </c>
      <c r="R465" s="92">
        <f>(SUBSTITUTE(Audio!R465, "RE-", "", 1))*1</f>
        <v>45.5709</v>
      </c>
      <c r="S465" s="92">
        <f>(SUBSTITUTE(Audio!S465, "RE-", "", 1))*1</f>
        <v>2.74383</v>
      </c>
      <c r="T465" s="92">
        <f>(SUBSTITUTE(Audio!T465, "RE-", "", 1))*1</f>
        <v>1340</v>
      </c>
      <c r="U465" s="92">
        <f>(SUBSTITUTE(Audio!U465, "RE-", "", 1))*1</f>
        <v>26.6938</v>
      </c>
      <c r="V465" s="92">
        <f>(SUBSTITUTE(Audio!V465, "RE-", "", 1))*1</f>
        <v>1.63717</v>
      </c>
      <c r="W465" s="92">
        <f>(SUBSTITUTE(Audio!W465, "RE-", "", 1))*1</f>
        <v>0</v>
      </c>
      <c r="X465" s="92">
        <f>(SUBSTITUTE(Audio!X465, "RE-", "", 1))*1</f>
        <v>0</v>
      </c>
      <c r="Y465" s="92">
        <f>(SUBSTITUTE(Audio!Y465, "RE-", "", 1))*1</f>
        <v>0</v>
      </c>
      <c r="Z465" s="92">
        <f>(SUBSTITUTE(Audio!Z465, "RE-", "", 1))*1</f>
        <v>0</v>
      </c>
      <c r="AA465" s="92"/>
      <c r="AB465" s="92"/>
      <c r="AC465" s="92"/>
      <c r="AD465" s="92"/>
      <c r="AE465" s="92"/>
      <c r="AF465" s="92"/>
      <c r="AG465" s="92"/>
      <c r="AH465" s="92"/>
      <c r="AI465" s="92"/>
      <c r="AJ465" s="92"/>
      <c r="AK465" s="92"/>
      <c r="AL465" s="92"/>
      <c r="AM465" s="92"/>
      <c r="AN465" s="92"/>
      <c r="AO465" s="92"/>
      <c r="AP465" s="92"/>
      <c r="AQ465" s="92"/>
      <c r="AR465" s="92"/>
      <c r="AS465" s="92"/>
      <c r="AT465" s="92"/>
      <c r="AU465" s="92"/>
      <c r="AV465" s="92"/>
      <c r="AW465" s="92"/>
      <c r="AX465" s="92"/>
      <c r="AY465" s="92"/>
      <c r="AZ465" s="92"/>
      <c r="BA465" s="92"/>
      <c r="BB465" s="92"/>
      <c r="BC465" s="92"/>
      <c r="BD465" s="92"/>
      <c r="BE465" s="92"/>
      <c r="BF465" s="92"/>
      <c r="BG465" s="92"/>
      <c r="BH465" s="92"/>
      <c r="BI465" s="92"/>
      <c r="BJ465" s="92"/>
      <c r="BK465" s="92"/>
      <c r="BL465" s="92"/>
      <c r="BM465" s="92"/>
      <c r="BN465" s="92"/>
      <c r="BO465" s="92"/>
      <c r="BP465" s="92"/>
      <c r="BQ465" s="92"/>
      <c r="BR465" s="92"/>
      <c r="BS465" s="92"/>
      <c r="BT465" s="92"/>
      <c r="BU465" s="92"/>
      <c r="BV465" s="92"/>
      <c r="BW465" s="92"/>
      <c r="BX465" s="92"/>
      <c r="BY465" s="92"/>
      <c r="BZ465" s="92"/>
      <c r="CA465" s="92"/>
      <c r="CB465" s="92"/>
      <c r="CC465" s="92"/>
      <c r="CD465" s="92"/>
      <c r="CE465" s="92"/>
      <c r="CF465" s="92"/>
      <c r="CG465" s="92"/>
      <c r="CH465" s="92"/>
      <c r="CI465" s="92"/>
      <c r="CJ465" s="92"/>
      <c r="CK465" s="92"/>
      <c r="CL465" s="92"/>
      <c r="CM465" s="92"/>
      <c r="CN465" s="92"/>
      <c r="CO465" s="92"/>
      <c r="CP465" s="92"/>
      <c r="CQ465" s="92"/>
      <c r="CR465" s="92"/>
      <c r="CS465" s="92"/>
      <c r="CT465" s="92"/>
      <c r="CU465" s="92"/>
      <c r="CV465" s="92"/>
      <c r="CW465" s="92"/>
      <c r="CX465" s="92"/>
      <c r="CY465" s="92"/>
      <c r="CZ465" s="92"/>
      <c r="DA465" s="92"/>
      <c r="DB465" s="92"/>
      <c r="DC465" s="92"/>
      <c r="DD465" s="92"/>
      <c r="DE465" s="92"/>
      <c r="DF465" s="92"/>
      <c r="DG465" s="92"/>
      <c r="DH465" s="92"/>
      <c r="DI465" s="92"/>
      <c r="DJ465" s="92"/>
      <c r="DK465" s="92"/>
      <c r="DL465" s="92"/>
      <c r="DM465" s="92"/>
      <c r="DN465" s="92"/>
      <c r="DO465" s="92"/>
      <c r="DP465" s="92"/>
      <c r="DQ465" s="92"/>
      <c r="DR465" s="92"/>
      <c r="DS465" s="92"/>
      <c r="DT465" s="92"/>
      <c r="DU465" s="92"/>
      <c r="DV465" s="92"/>
      <c r="DW465" s="92"/>
      <c r="DX465" s="92"/>
      <c r="DY465" s="92"/>
      <c r="DZ465" s="92"/>
      <c r="EA465" s="92"/>
      <c r="EB465" s="92"/>
      <c r="EC465" s="92"/>
      <c r="ED465" s="92"/>
      <c r="EE465" s="92"/>
      <c r="EF465" s="92"/>
      <c r="EG465" s="92"/>
      <c r="EH465" s="92"/>
      <c r="EI465" s="92"/>
      <c r="EJ465" s="92"/>
      <c r="EK465" s="92"/>
      <c r="EL465" s="92"/>
      <c r="EM465" s="92"/>
      <c r="EN465" s="92"/>
      <c r="EO465" s="92"/>
      <c r="EP465" s="92"/>
      <c r="EQ465" s="92"/>
      <c r="ER465" s="92"/>
      <c r="ES465" s="92"/>
      <c r="ET465" s="92"/>
      <c r="EU465" s="92"/>
      <c r="EV465" s="92"/>
      <c r="EW465" s="92"/>
      <c r="EX465" s="92"/>
      <c r="EY465" s="92"/>
      <c r="EZ465" s="92"/>
      <c r="FA465" s="92"/>
      <c r="FB465" s="92"/>
      <c r="FC465" s="92"/>
      <c r="FD465" s="92"/>
      <c r="FE465" s="92"/>
      <c r="FF465" s="92"/>
      <c r="FG465" s="92"/>
      <c r="FH465" s="92"/>
    </row>
    <row r="466">
      <c r="A466" s="27" t="s">
        <v>35</v>
      </c>
      <c r="B466" s="27" t="s">
        <v>82</v>
      </c>
      <c r="C466" s="27" t="s">
        <v>15</v>
      </c>
      <c r="D466" s="98">
        <f t="shared" si="1"/>
        <v>6029.310367</v>
      </c>
      <c r="E466" s="92">
        <f>(SUBSTITUTE(Audio!E466, "RE-", "", 1))*1</f>
        <v>0</v>
      </c>
      <c r="F466" s="92">
        <f>(SUBSTITUTE(Audio!F466, "RE-", "", 1))*1</f>
        <v>885.545</v>
      </c>
      <c r="G466" s="92">
        <f>(SUBSTITUTE(Audio!G466, "RE-", "", 1))*1</f>
        <v>2.82807</v>
      </c>
      <c r="H466" s="92">
        <f>(SUBSTITUTE(Audio!H466, "RE-", "", 1))*1</f>
        <v>259.48</v>
      </c>
      <c r="I466" s="92">
        <f>(SUBSTITUTE(Audio!I466, "RE-", "", 1))*1</f>
        <v>0.302217</v>
      </c>
      <c r="J466" s="92">
        <f>(SUBSTITUTE(Audio!J466, "RE-", "", 1))*1</f>
        <v>1561.84</v>
      </c>
      <c r="K466" s="92">
        <f>(SUBSTITUTE(Audio!K466, "RE-", "", 1))*1</f>
        <v>11.2161</v>
      </c>
      <c r="L466" s="92">
        <f>(SUBSTITUTE(Audio!L466, "RE-", "", 1))*1</f>
        <v>976.666</v>
      </c>
      <c r="M466" s="92">
        <f>(SUBSTITUTE(Audio!M466, "RE-", "", 1))*1</f>
        <v>6.93405</v>
      </c>
      <c r="N466" s="92">
        <f>(SUBSTITUTE(Audio!N466, "RE-", "", 1))*1</f>
        <v>339.878</v>
      </c>
      <c r="O466" s="92">
        <f>(SUBSTITUTE(Audio!O466, "RE-", "", 1))*1</f>
        <v>1.62853</v>
      </c>
      <c r="P466" s="92">
        <f>(SUBSTITUTE(Audio!P466, "RE-", "", 1))*1</f>
        <v>310.838</v>
      </c>
      <c r="Q466" s="92">
        <f>(SUBSTITUTE(Audio!Q466, "RE-", "", 1))*1</f>
        <v>24.6763</v>
      </c>
      <c r="R466" s="92">
        <f>(SUBSTITUTE(Audio!R466, "RE-", "", 1))*1</f>
        <v>56.302</v>
      </c>
      <c r="S466" s="92">
        <f>(SUBSTITUTE(Audio!S466, "RE-", "", 1))*1</f>
        <v>3.30503</v>
      </c>
      <c r="T466" s="92">
        <f>(SUBSTITUTE(Audio!T466, "RE-", "", 1))*1</f>
        <v>1553.52</v>
      </c>
      <c r="U466" s="92">
        <f>(SUBSTITUTE(Audio!U466, "RE-", "", 1))*1</f>
        <v>32.7139</v>
      </c>
      <c r="V466" s="92">
        <f>(SUBSTITUTE(Audio!V466, "RE-", "", 1))*1</f>
        <v>1.63717</v>
      </c>
      <c r="W466" s="92">
        <f>(SUBSTITUTE(Audio!W466, "RE-", "", 1))*1</f>
        <v>0</v>
      </c>
      <c r="X466" s="92">
        <f>(SUBSTITUTE(Audio!X466, "RE-", "", 1))*1</f>
        <v>0</v>
      </c>
      <c r="Y466" s="92">
        <f>(SUBSTITUTE(Audio!Y466, "RE-", "", 1))*1</f>
        <v>0</v>
      </c>
      <c r="Z466" s="92">
        <f>(SUBSTITUTE(Audio!Z466, "RE-", "", 1))*1</f>
        <v>0</v>
      </c>
      <c r="AA466" s="92"/>
      <c r="AB466" s="92"/>
      <c r="AC466" s="92"/>
      <c r="AD466" s="92"/>
      <c r="AE466" s="92"/>
      <c r="AF466" s="92"/>
      <c r="AG466" s="92"/>
      <c r="AH466" s="92"/>
      <c r="AI466" s="92"/>
      <c r="AJ466" s="92"/>
      <c r="AK466" s="92"/>
      <c r="AL466" s="92"/>
      <c r="AM466" s="92"/>
      <c r="AN466" s="92"/>
      <c r="AO466" s="92"/>
      <c r="AP466" s="92"/>
      <c r="AQ466" s="92"/>
      <c r="AR466" s="92"/>
      <c r="AS466" s="92"/>
      <c r="AT466" s="92"/>
      <c r="AU466" s="92"/>
      <c r="AV466" s="92"/>
      <c r="AW466" s="92"/>
      <c r="AX466" s="92"/>
      <c r="AY466" s="92"/>
      <c r="AZ466" s="92"/>
      <c r="BA466" s="92"/>
      <c r="BB466" s="92"/>
      <c r="BC466" s="92"/>
      <c r="BD466" s="92"/>
      <c r="BE466" s="92"/>
      <c r="BF466" s="92"/>
      <c r="BG466" s="92"/>
      <c r="BH466" s="92"/>
      <c r="BI466" s="92"/>
      <c r="BJ466" s="92"/>
      <c r="BK466" s="92"/>
      <c r="BL466" s="92"/>
      <c r="BM466" s="92"/>
      <c r="BN466" s="92"/>
      <c r="BO466" s="92"/>
      <c r="BP466" s="92"/>
      <c r="BQ466" s="92"/>
      <c r="BR466" s="92"/>
      <c r="BS466" s="92"/>
      <c r="BT466" s="92"/>
      <c r="BU466" s="92"/>
      <c r="BV466" s="92"/>
      <c r="BW466" s="92"/>
      <c r="BX466" s="92"/>
      <c r="BY466" s="92"/>
      <c r="BZ466" s="92"/>
      <c r="CA466" s="92"/>
      <c r="CB466" s="92"/>
      <c r="CC466" s="92"/>
      <c r="CD466" s="92"/>
      <c r="CE466" s="92"/>
      <c r="CF466" s="92"/>
      <c r="CG466" s="92"/>
      <c r="CH466" s="92"/>
      <c r="CI466" s="92"/>
      <c r="CJ466" s="92"/>
      <c r="CK466" s="92"/>
      <c r="CL466" s="92"/>
      <c r="CM466" s="92"/>
      <c r="CN466" s="92"/>
      <c r="CO466" s="92"/>
      <c r="CP466" s="92"/>
      <c r="CQ466" s="92"/>
      <c r="CR466" s="92"/>
      <c r="CS466" s="92"/>
      <c r="CT466" s="92"/>
      <c r="CU466" s="92"/>
      <c r="CV466" s="92"/>
      <c r="CW466" s="92"/>
      <c r="CX466" s="92"/>
      <c r="CY466" s="92"/>
      <c r="CZ466" s="92"/>
      <c r="DA466" s="92"/>
      <c r="DB466" s="92"/>
      <c r="DC466" s="92"/>
      <c r="DD466" s="92"/>
      <c r="DE466" s="92"/>
      <c r="DF466" s="92"/>
      <c r="DG466" s="92"/>
      <c r="DH466" s="92"/>
      <c r="DI466" s="92"/>
      <c r="DJ466" s="92"/>
      <c r="DK466" s="92"/>
      <c r="DL466" s="92"/>
      <c r="DM466" s="92"/>
      <c r="DN466" s="92"/>
      <c r="DO466" s="92"/>
      <c r="DP466" s="92"/>
      <c r="DQ466" s="92"/>
      <c r="DR466" s="92"/>
      <c r="DS466" s="92"/>
      <c r="DT466" s="92"/>
      <c r="DU466" s="92"/>
      <c r="DV466" s="92"/>
      <c r="DW466" s="92"/>
      <c r="DX466" s="92"/>
      <c r="DY466" s="92"/>
      <c r="DZ466" s="92"/>
      <c r="EA466" s="92"/>
      <c r="EB466" s="92"/>
      <c r="EC466" s="92"/>
      <c r="ED466" s="92"/>
      <c r="EE466" s="92"/>
      <c r="EF466" s="92"/>
      <c r="EG466" s="92"/>
      <c r="EH466" s="92"/>
      <c r="EI466" s="92"/>
      <c r="EJ466" s="92"/>
      <c r="EK466" s="92"/>
      <c r="EL466" s="92"/>
      <c r="EM466" s="92"/>
      <c r="EN466" s="92"/>
      <c r="EO466" s="92"/>
      <c r="EP466" s="92"/>
      <c r="EQ466" s="92"/>
      <c r="ER466" s="92"/>
      <c r="ES466" s="92"/>
      <c r="ET466" s="92"/>
      <c r="EU466" s="92"/>
      <c r="EV466" s="92"/>
      <c r="EW466" s="92"/>
      <c r="EX466" s="92"/>
      <c r="EY466" s="92"/>
      <c r="EZ466" s="92"/>
      <c r="FA466" s="92"/>
      <c r="FB466" s="92"/>
      <c r="FC466" s="92"/>
      <c r="FD466" s="92"/>
      <c r="FE466" s="92"/>
      <c r="FF466" s="92"/>
      <c r="FG466" s="92"/>
      <c r="FH466" s="92"/>
    </row>
    <row r="467">
      <c r="A467" s="30" t="s">
        <v>35</v>
      </c>
      <c r="B467" s="30" t="s">
        <v>83</v>
      </c>
      <c r="C467" s="31" t="str">
        <f>HYPERLINK("https://docs.google.com/spreadsheets/d/1FeIfR7Ur0m-DNJDoMMPcIkhXkY0W_12L/edit?usp=share_link&amp;ouid=106501987799020758802&amp;rtpof=true&amp;sd=true", "Raw Delivered")</f>
        <v>Raw Delivered</v>
      </c>
      <c r="D467" s="96">
        <f t="shared" si="1"/>
        <v>6439.649648</v>
      </c>
      <c r="E467" s="92">
        <f>(SUBSTITUTE(Audio!E467, "RE-", "", 1))*1</f>
        <v>0</v>
      </c>
      <c r="F467" s="92">
        <f>(SUBSTITUTE(Audio!F467, "RE-", "", 1))*1</f>
        <v>1037.245581</v>
      </c>
      <c r="G467" s="92">
        <f>(SUBSTITUTE(Audio!G467, "RE-", "", 1))*1</f>
        <v>0</v>
      </c>
      <c r="H467" s="92">
        <f>(SUBSTITUTE(Audio!H467, "RE-", "", 1))*1</f>
        <v>136.4009917</v>
      </c>
      <c r="I467" s="92">
        <f>(SUBSTITUTE(Audio!I467, "RE-", "", 1))*1</f>
        <v>0</v>
      </c>
      <c r="J467" s="92">
        <f>(SUBSTITUTE(Audio!J467, "RE-", "", 1))*1</f>
        <v>1753.526994</v>
      </c>
      <c r="K467" s="92">
        <f>(SUBSTITUTE(Audio!K467, "RE-", "", 1))*1</f>
        <v>0</v>
      </c>
      <c r="L467" s="92">
        <f>(SUBSTITUTE(Audio!L467, "RE-", "", 1))*1</f>
        <v>996.514376</v>
      </c>
      <c r="M467" s="92">
        <f>(SUBSTITUTE(Audio!M467, "RE-", "", 1))*1</f>
        <v>0</v>
      </c>
      <c r="N467" s="92">
        <f>(SUBSTITUTE(Audio!N467, "RE-", "", 1))*1</f>
        <v>755.3832406</v>
      </c>
      <c r="O467" s="92">
        <f>(SUBSTITUTE(Audio!O467, "RE-", "", 1))*1</f>
        <v>0</v>
      </c>
      <c r="P467" s="92">
        <f>(SUBSTITUTE(Audio!P467, "RE-", "", 1))*1</f>
        <v>336.7350406</v>
      </c>
      <c r="Q467" s="92">
        <f>(SUBSTITUTE(Audio!Q467, "RE-", "", 1))*1</f>
        <v>0</v>
      </c>
      <c r="R467" s="92">
        <f>(SUBSTITUTE(Audio!R467, "RE-", "", 1))*1</f>
        <v>61.96864375</v>
      </c>
      <c r="S467" s="92">
        <f>(SUBSTITUTE(Audio!S467, "RE-", "", 1))*1</f>
        <v>0</v>
      </c>
      <c r="T467" s="92">
        <f>(SUBSTITUTE(Audio!T467, "RE-", "", 1))*1</f>
        <v>1361.87478</v>
      </c>
      <c r="U467" s="92">
        <f>(SUBSTITUTE(Audio!U467, "RE-", "", 1))*1</f>
        <v>0</v>
      </c>
      <c r="V467" s="92">
        <f>(SUBSTITUTE(Audio!V467, "RE-", "", 1))*1</f>
        <v>0</v>
      </c>
      <c r="W467" s="92">
        <f>(SUBSTITUTE(Audio!W467, "RE-", "", 1))*1</f>
        <v>0</v>
      </c>
      <c r="X467" s="92">
        <f>(SUBSTITUTE(Audio!X467, "RE-", "", 1))*1</f>
        <v>0</v>
      </c>
      <c r="Y467" s="92">
        <f>(SUBSTITUTE(Audio!Y467, "RE-", "", 1))*1</f>
        <v>0</v>
      </c>
      <c r="Z467" s="92">
        <f>(SUBSTITUTE(Audio!Z467, "RE-", "", 1))*1</f>
        <v>0</v>
      </c>
      <c r="AA467" s="92"/>
      <c r="AB467" s="92"/>
      <c r="AC467" s="92"/>
      <c r="AD467" s="92"/>
      <c r="AE467" s="92"/>
      <c r="AF467" s="92"/>
      <c r="AG467" s="92"/>
      <c r="AH467" s="92"/>
      <c r="AI467" s="92"/>
      <c r="AJ467" s="92"/>
      <c r="AK467" s="92"/>
      <c r="AL467" s="92"/>
      <c r="AM467" s="92"/>
      <c r="AN467" s="92"/>
      <c r="AO467" s="92"/>
      <c r="AP467" s="92"/>
      <c r="AQ467" s="92"/>
      <c r="AR467" s="92"/>
      <c r="AS467" s="92"/>
      <c r="AT467" s="92"/>
      <c r="AU467" s="92"/>
      <c r="AV467" s="92"/>
      <c r="AW467" s="92"/>
      <c r="AX467" s="92"/>
      <c r="AY467" s="92"/>
      <c r="AZ467" s="92"/>
      <c r="BA467" s="92"/>
      <c r="BB467" s="92"/>
      <c r="BC467" s="92"/>
      <c r="BD467" s="92"/>
      <c r="BE467" s="92"/>
      <c r="BF467" s="92"/>
      <c r="BG467" s="92"/>
      <c r="BH467" s="92"/>
      <c r="BI467" s="92"/>
      <c r="BJ467" s="92"/>
      <c r="BK467" s="92"/>
      <c r="BL467" s="92"/>
      <c r="BM467" s="92"/>
      <c r="BN467" s="92"/>
      <c r="BO467" s="92"/>
      <c r="BP467" s="92"/>
      <c r="BQ467" s="92"/>
      <c r="BR467" s="92"/>
      <c r="BS467" s="92"/>
      <c r="BT467" s="92"/>
      <c r="BU467" s="92"/>
      <c r="BV467" s="92"/>
      <c r="BW467" s="92"/>
      <c r="BX467" s="92"/>
      <c r="BY467" s="92"/>
      <c r="BZ467" s="92"/>
      <c r="CA467" s="92"/>
      <c r="CB467" s="92"/>
      <c r="CC467" s="92"/>
      <c r="CD467" s="92"/>
      <c r="CE467" s="92"/>
      <c r="CF467" s="92"/>
      <c r="CG467" s="92"/>
      <c r="CH467" s="92"/>
      <c r="CI467" s="92"/>
      <c r="CJ467" s="92"/>
      <c r="CK467" s="92"/>
      <c r="CL467" s="92"/>
      <c r="CM467" s="92"/>
      <c r="CN467" s="92"/>
      <c r="CO467" s="92"/>
      <c r="CP467" s="92"/>
      <c r="CQ467" s="92"/>
      <c r="CR467" s="92"/>
      <c r="CS467" s="92"/>
      <c r="CT467" s="92"/>
      <c r="CU467" s="92"/>
      <c r="CV467" s="92"/>
      <c r="CW467" s="92"/>
      <c r="CX467" s="92"/>
      <c r="CY467" s="92"/>
      <c r="CZ467" s="92"/>
      <c r="DA467" s="92"/>
      <c r="DB467" s="92"/>
      <c r="DC467" s="92"/>
      <c r="DD467" s="92"/>
      <c r="DE467" s="92"/>
      <c r="DF467" s="92"/>
      <c r="DG467" s="92"/>
      <c r="DH467" s="92"/>
      <c r="DI467" s="92"/>
      <c r="DJ467" s="92"/>
      <c r="DK467" s="92"/>
      <c r="DL467" s="92"/>
      <c r="DM467" s="92"/>
      <c r="DN467" s="92"/>
      <c r="DO467" s="92"/>
      <c r="DP467" s="92"/>
      <c r="DQ467" s="92"/>
      <c r="DR467" s="92"/>
      <c r="DS467" s="92"/>
      <c r="DT467" s="92"/>
      <c r="DU467" s="92"/>
      <c r="DV467" s="92"/>
      <c r="DW467" s="92"/>
      <c r="DX467" s="92"/>
      <c r="DY467" s="92"/>
      <c r="DZ467" s="92"/>
      <c r="EA467" s="92"/>
      <c r="EB467" s="92"/>
      <c r="EC467" s="92"/>
      <c r="ED467" s="92"/>
      <c r="EE467" s="92"/>
      <c r="EF467" s="92"/>
      <c r="EG467" s="92"/>
      <c r="EH467" s="92"/>
      <c r="EI467" s="92"/>
      <c r="EJ467" s="92"/>
      <c r="EK467" s="92"/>
      <c r="EL467" s="92"/>
      <c r="EM467" s="92"/>
      <c r="EN467" s="92"/>
      <c r="EO467" s="92"/>
      <c r="EP467" s="92"/>
      <c r="EQ467" s="92"/>
      <c r="ER467" s="92"/>
      <c r="ES467" s="92"/>
      <c r="ET467" s="92"/>
      <c r="EU467" s="92"/>
      <c r="EV467" s="92"/>
      <c r="EW467" s="92"/>
      <c r="EX467" s="92"/>
      <c r="EY467" s="92"/>
      <c r="EZ467" s="92"/>
      <c r="FA467" s="92"/>
      <c r="FB467" s="92"/>
      <c r="FC467" s="92"/>
      <c r="FD467" s="92"/>
      <c r="FE467" s="92"/>
      <c r="FF467" s="92"/>
      <c r="FG467" s="92"/>
      <c r="FH467" s="92"/>
    </row>
    <row r="468">
      <c r="A468" s="32" t="s">
        <v>35</v>
      </c>
      <c r="B468" s="32" t="s">
        <v>83</v>
      </c>
      <c r="C468" s="32" t="s">
        <v>9</v>
      </c>
      <c r="D468" s="97">
        <f t="shared" si="1"/>
        <v>6439.649648</v>
      </c>
      <c r="E468" s="92">
        <f>(SUBSTITUTE(Audio!E468, "RE-", "", 1))*1</f>
        <v>0</v>
      </c>
      <c r="F468" s="92">
        <f>(SUBSTITUTE(Audio!F468, "RE-", "", 1))*1</f>
        <v>1037.245581</v>
      </c>
      <c r="G468" s="92">
        <f>(SUBSTITUTE(Audio!G468, "RE-", "", 1))*1</f>
        <v>0</v>
      </c>
      <c r="H468" s="92">
        <f>(SUBSTITUTE(Audio!H468, "RE-", "", 1))*1</f>
        <v>136.4009917</v>
      </c>
      <c r="I468" s="92">
        <f>(SUBSTITUTE(Audio!I468, "RE-", "", 1))*1</f>
        <v>0</v>
      </c>
      <c r="J468" s="92">
        <f>(SUBSTITUTE(Audio!J468, "RE-", "", 1))*1</f>
        <v>1753.526994</v>
      </c>
      <c r="K468" s="92">
        <f>(SUBSTITUTE(Audio!K468, "RE-", "", 1))*1</f>
        <v>0</v>
      </c>
      <c r="L468" s="92">
        <f>(SUBSTITUTE(Audio!L468, "RE-", "", 1))*1</f>
        <v>996.514376</v>
      </c>
      <c r="M468" s="92">
        <f>(SUBSTITUTE(Audio!M468, "RE-", "", 1))*1</f>
        <v>0</v>
      </c>
      <c r="N468" s="92">
        <f>(SUBSTITUTE(Audio!N468, "RE-", "", 1))*1</f>
        <v>755.3832406</v>
      </c>
      <c r="O468" s="92">
        <f>(SUBSTITUTE(Audio!O468, "RE-", "", 1))*1</f>
        <v>0</v>
      </c>
      <c r="P468" s="92">
        <f>(SUBSTITUTE(Audio!P468, "RE-", "", 1))*1</f>
        <v>336.7350406</v>
      </c>
      <c r="Q468" s="92">
        <f>(SUBSTITUTE(Audio!Q468, "RE-", "", 1))*1</f>
        <v>0</v>
      </c>
      <c r="R468" s="92">
        <f>(SUBSTITUTE(Audio!R468, "RE-", "", 1))*1</f>
        <v>61.96864375</v>
      </c>
      <c r="S468" s="92">
        <f>(SUBSTITUTE(Audio!S468, "RE-", "", 1))*1</f>
        <v>0</v>
      </c>
      <c r="T468" s="92">
        <f>(SUBSTITUTE(Audio!T468, "RE-", "", 1))*1</f>
        <v>1361.87478</v>
      </c>
      <c r="U468" s="92">
        <f>(SUBSTITUTE(Audio!U468, "RE-", "", 1))*1</f>
        <v>0</v>
      </c>
      <c r="V468" s="92">
        <f>(SUBSTITUTE(Audio!V468, "RE-", "", 1))*1</f>
        <v>0</v>
      </c>
      <c r="W468" s="92">
        <f>(SUBSTITUTE(Audio!W468, "RE-", "", 1))*1</f>
        <v>0</v>
      </c>
      <c r="X468" s="92">
        <f>(SUBSTITUTE(Audio!X468, "RE-", "", 1))*1</f>
        <v>0</v>
      </c>
      <c r="Y468" s="92">
        <f>(SUBSTITUTE(Audio!Y468, "RE-", "", 1))*1</f>
        <v>0</v>
      </c>
      <c r="Z468" s="92">
        <f>(SUBSTITUTE(Audio!Z468, "RE-", "", 1))*1</f>
        <v>0</v>
      </c>
      <c r="AA468" s="92"/>
      <c r="AB468" s="92"/>
      <c r="AC468" s="92"/>
      <c r="AD468" s="92"/>
      <c r="AE468" s="92"/>
      <c r="AF468" s="92"/>
      <c r="AG468" s="92"/>
      <c r="AH468" s="92"/>
      <c r="AI468" s="92"/>
      <c r="AJ468" s="92"/>
      <c r="AK468" s="92"/>
      <c r="AL468" s="92"/>
      <c r="AM468" s="92"/>
      <c r="AN468" s="92"/>
      <c r="AO468" s="92"/>
      <c r="AP468" s="92"/>
      <c r="AQ468" s="92"/>
      <c r="AR468" s="92"/>
      <c r="AS468" s="92"/>
      <c r="AT468" s="92"/>
      <c r="AU468" s="92"/>
      <c r="AV468" s="92"/>
      <c r="AW468" s="92"/>
      <c r="AX468" s="92"/>
      <c r="AY468" s="92"/>
      <c r="AZ468" s="92"/>
      <c r="BA468" s="92"/>
      <c r="BB468" s="92"/>
      <c r="BC468" s="92"/>
      <c r="BD468" s="92"/>
      <c r="BE468" s="92"/>
      <c r="BF468" s="92"/>
      <c r="BG468" s="92"/>
      <c r="BH468" s="92"/>
      <c r="BI468" s="92"/>
      <c r="BJ468" s="92"/>
      <c r="BK468" s="92"/>
      <c r="BL468" s="92"/>
      <c r="BM468" s="92"/>
      <c r="BN468" s="92"/>
      <c r="BO468" s="92"/>
      <c r="BP468" s="92"/>
      <c r="BQ468" s="92"/>
      <c r="BR468" s="92"/>
      <c r="BS468" s="92"/>
      <c r="BT468" s="92"/>
      <c r="BU468" s="92"/>
      <c r="BV468" s="92"/>
      <c r="BW468" s="92"/>
      <c r="BX468" s="92"/>
      <c r="BY468" s="92"/>
      <c r="BZ468" s="92"/>
      <c r="CA468" s="92"/>
      <c r="CB468" s="92"/>
      <c r="CC468" s="92"/>
      <c r="CD468" s="92"/>
      <c r="CE468" s="92"/>
      <c r="CF468" s="92"/>
      <c r="CG468" s="92"/>
      <c r="CH468" s="92"/>
      <c r="CI468" s="92"/>
      <c r="CJ468" s="92"/>
      <c r="CK468" s="92"/>
      <c r="CL468" s="92"/>
      <c r="CM468" s="92"/>
      <c r="CN468" s="92"/>
      <c r="CO468" s="92"/>
      <c r="CP468" s="92"/>
      <c r="CQ468" s="92"/>
      <c r="CR468" s="92"/>
      <c r="CS468" s="92"/>
      <c r="CT468" s="92"/>
      <c r="CU468" s="92"/>
      <c r="CV468" s="92"/>
      <c r="CW468" s="92"/>
      <c r="CX468" s="92"/>
      <c r="CY468" s="92"/>
      <c r="CZ468" s="92"/>
      <c r="DA468" s="92"/>
      <c r="DB468" s="92"/>
      <c r="DC468" s="92"/>
      <c r="DD468" s="92"/>
      <c r="DE468" s="92"/>
      <c r="DF468" s="92"/>
      <c r="DG468" s="92"/>
      <c r="DH468" s="92"/>
      <c r="DI468" s="92"/>
      <c r="DJ468" s="92"/>
      <c r="DK468" s="92"/>
      <c r="DL468" s="92"/>
      <c r="DM468" s="92"/>
      <c r="DN468" s="92"/>
      <c r="DO468" s="92"/>
      <c r="DP468" s="92"/>
      <c r="DQ468" s="92"/>
      <c r="DR468" s="92"/>
      <c r="DS468" s="92"/>
      <c r="DT468" s="92"/>
      <c r="DU468" s="92"/>
      <c r="DV468" s="92"/>
      <c r="DW468" s="92"/>
      <c r="DX468" s="92"/>
      <c r="DY468" s="92"/>
      <c r="DZ468" s="92"/>
      <c r="EA468" s="92"/>
      <c r="EB468" s="92"/>
      <c r="EC468" s="92"/>
      <c r="ED468" s="92"/>
      <c r="EE468" s="92"/>
      <c r="EF468" s="92"/>
      <c r="EG468" s="92"/>
      <c r="EH468" s="92"/>
      <c r="EI468" s="92"/>
      <c r="EJ468" s="92"/>
      <c r="EK468" s="92"/>
      <c r="EL468" s="92"/>
      <c r="EM468" s="92"/>
      <c r="EN468" s="92"/>
      <c r="EO468" s="92"/>
      <c r="EP468" s="92"/>
      <c r="EQ468" s="92"/>
      <c r="ER468" s="92"/>
      <c r="ES468" s="92"/>
      <c r="ET468" s="92"/>
      <c r="EU468" s="92"/>
      <c r="EV468" s="92"/>
      <c r="EW468" s="92"/>
      <c r="EX468" s="92"/>
      <c r="EY468" s="92"/>
      <c r="EZ468" s="92"/>
      <c r="FA468" s="92"/>
      <c r="FB468" s="92"/>
      <c r="FC468" s="92"/>
      <c r="FD468" s="92"/>
      <c r="FE468" s="92"/>
      <c r="FF468" s="92"/>
      <c r="FG468" s="92"/>
      <c r="FH468" s="92"/>
    </row>
    <row r="469">
      <c r="A469" s="32" t="s">
        <v>35</v>
      </c>
      <c r="B469" s="32" t="s">
        <v>83</v>
      </c>
      <c r="C469" s="32" t="s">
        <v>10</v>
      </c>
      <c r="D469" s="97">
        <f t="shared" si="1"/>
        <v>503.1765948</v>
      </c>
      <c r="E469" s="92">
        <f>(SUBSTITUTE(Audio!E469, "RE-", "", 1))*1</f>
        <v>0</v>
      </c>
      <c r="F469" s="92">
        <f>(SUBSTITUTE(Audio!F469, "RE-", "", 1))*1</f>
        <v>0</v>
      </c>
      <c r="G469" s="92">
        <f>(SUBSTITUTE(Audio!G469, "RE-", "", 1))*1</f>
        <v>133.2610771</v>
      </c>
      <c r="H469" s="92">
        <f>(SUBSTITUTE(Audio!H469, "RE-", "", 1))*1</f>
        <v>0</v>
      </c>
      <c r="I469" s="92">
        <f>(SUBSTITUTE(Audio!I469, "RE-", "", 1))*1</f>
        <v>16.65084583</v>
      </c>
      <c r="J469" s="92">
        <f>(SUBSTITUTE(Audio!J469, "RE-", "", 1))*1</f>
        <v>0</v>
      </c>
      <c r="K469" s="92">
        <f>(SUBSTITUTE(Audio!K469, "RE-", "", 1))*1</f>
        <v>104.7336792</v>
      </c>
      <c r="L469" s="92">
        <f>(SUBSTITUTE(Audio!L469, "RE-", "", 1))*1</f>
        <v>0</v>
      </c>
      <c r="M469" s="92">
        <f>(SUBSTITUTE(Audio!M469, "RE-", "", 1))*1</f>
        <v>62.54743333</v>
      </c>
      <c r="N469" s="92">
        <f>(SUBSTITUTE(Audio!N469, "RE-", "", 1))*1</f>
        <v>0</v>
      </c>
      <c r="O469" s="92">
        <f>(SUBSTITUTE(Audio!O469, "RE-", "", 1))*1</f>
        <v>57.47312604</v>
      </c>
      <c r="P469" s="92">
        <f>(SUBSTITUTE(Audio!P469, "RE-", "", 1))*1</f>
        <v>0</v>
      </c>
      <c r="Q469" s="92">
        <f>(SUBSTITUTE(Audio!Q469, "RE-", "", 1))*1</f>
        <v>51.50527917</v>
      </c>
      <c r="R469" s="92">
        <f>(SUBSTITUTE(Audio!R469, "RE-", "", 1))*1</f>
        <v>0</v>
      </c>
      <c r="S469" s="92">
        <f>(SUBSTITUTE(Audio!S469, "RE-", "", 1))*1</f>
        <v>0.3324770833</v>
      </c>
      <c r="T469" s="92">
        <f>(SUBSTITUTE(Audio!T469, "RE-", "", 1))*1</f>
        <v>0</v>
      </c>
      <c r="U469" s="92">
        <f>(SUBSTITUTE(Audio!U469, "RE-", "", 1))*1</f>
        <v>69.03044792</v>
      </c>
      <c r="V469" s="92">
        <f>(SUBSTITUTE(Audio!V469, "RE-", "", 1))*1</f>
        <v>7.642229167</v>
      </c>
      <c r="W469" s="92">
        <f>(SUBSTITUTE(Audio!W469, "RE-", "", 1))*1</f>
        <v>0</v>
      </c>
      <c r="X469" s="92">
        <f>(SUBSTITUTE(Audio!X469, "RE-", "", 1))*1</f>
        <v>0</v>
      </c>
      <c r="Y469" s="92">
        <f>(SUBSTITUTE(Audio!Y469, "RE-", "", 1))*1</f>
        <v>0</v>
      </c>
      <c r="Z469" s="92">
        <f>(SUBSTITUTE(Audio!Z469, "RE-", "", 1))*1</f>
        <v>0</v>
      </c>
      <c r="AA469" s="92"/>
      <c r="AB469" s="92"/>
      <c r="AC469" s="92"/>
      <c r="AD469" s="92"/>
      <c r="AE469" s="92"/>
      <c r="AF469" s="92"/>
      <c r="AG469" s="92"/>
      <c r="AH469" s="92"/>
      <c r="AI469" s="92"/>
      <c r="AJ469" s="92"/>
      <c r="AK469" s="92"/>
      <c r="AL469" s="92"/>
      <c r="AM469" s="92"/>
      <c r="AN469" s="92"/>
      <c r="AO469" s="92"/>
      <c r="AP469" s="92"/>
      <c r="AQ469" s="92"/>
      <c r="AR469" s="92"/>
      <c r="AS469" s="92"/>
      <c r="AT469" s="92"/>
      <c r="AU469" s="92"/>
      <c r="AV469" s="92"/>
      <c r="AW469" s="92"/>
      <c r="AX469" s="92"/>
      <c r="AY469" s="92"/>
      <c r="AZ469" s="92"/>
      <c r="BA469" s="92"/>
      <c r="BB469" s="92"/>
      <c r="BC469" s="92"/>
      <c r="BD469" s="92"/>
      <c r="BE469" s="92"/>
      <c r="BF469" s="92"/>
      <c r="BG469" s="92"/>
      <c r="BH469" s="92"/>
      <c r="BI469" s="92"/>
      <c r="BJ469" s="92"/>
      <c r="BK469" s="92"/>
      <c r="BL469" s="92"/>
      <c r="BM469" s="92"/>
      <c r="BN469" s="92"/>
      <c r="BO469" s="92"/>
      <c r="BP469" s="92"/>
      <c r="BQ469" s="92"/>
      <c r="BR469" s="92"/>
      <c r="BS469" s="92"/>
      <c r="BT469" s="92"/>
      <c r="BU469" s="92"/>
      <c r="BV469" s="92"/>
      <c r="BW469" s="92"/>
      <c r="BX469" s="92"/>
      <c r="BY469" s="92"/>
      <c r="BZ469" s="92"/>
      <c r="CA469" s="92"/>
      <c r="CB469" s="92"/>
      <c r="CC469" s="92"/>
      <c r="CD469" s="92"/>
      <c r="CE469" s="92"/>
      <c r="CF469" s="92"/>
      <c r="CG469" s="92"/>
      <c r="CH469" s="92"/>
      <c r="CI469" s="92"/>
      <c r="CJ469" s="92"/>
      <c r="CK469" s="92"/>
      <c r="CL469" s="92"/>
      <c r="CM469" s="92"/>
      <c r="CN469" s="92"/>
      <c r="CO469" s="92"/>
      <c r="CP469" s="92"/>
      <c r="CQ469" s="92"/>
      <c r="CR469" s="92"/>
      <c r="CS469" s="92"/>
      <c r="CT469" s="92"/>
      <c r="CU469" s="92"/>
      <c r="CV469" s="92"/>
      <c r="CW469" s="92"/>
      <c r="CX469" s="92"/>
      <c r="CY469" s="92"/>
      <c r="CZ469" s="92"/>
      <c r="DA469" s="92"/>
      <c r="DB469" s="92"/>
      <c r="DC469" s="92"/>
      <c r="DD469" s="92"/>
      <c r="DE469" s="92"/>
      <c r="DF469" s="92"/>
      <c r="DG469" s="92"/>
      <c r="DH469" s="92"/>
      <c r="DI469" s="92"/>
      <c r="DJ469" s="92"/>
      <c r="DK469" s="92"/>
      <c r="DL469" s="92"/>
      <c r="DM469" s="92"/>
      <c r="DN469" s="92"/>
      <c r="DO469" s="92"/>
      <c r="DP469" s="92"/>
      <c r="DQ469" s="92"/>
      <c r="DR469" s="92"/>
      <c r="DS469" s="92"/>
      <c r="DT469" s="92"/>
      <c r="DU469" s="92"/>
      <c r="DV469" s="92"/>
      <c r="DW469" s="92"/>
      <c r="DX469" s="92"/>
      <c r="DY469" s="92"/>
      <c r="DZ469" s="92"/>
      <c r="EA469" s="92"/>
      <c r="EB469" s="92"/>
      <c r="EC469" s="92"/>
      <c r="ED469" s="92"/>
      <c r="EE469" s="92"/>
      <c r="EF469" s="92"/>
      <c r="EG469" s="92"/>
      <c r="EH469" s="92"/>
      <c r="EI469" s="92"/>
      <c r="EJ469" s="92"/>
      <c r="EK469" s="92"/>
      <c r="EL469" s="92"/>
      <c r="EM469" s="92"/>
      <c r="EN469" s="92"/>
      <c r="EO469" s="92"/>
      <c r="EP469" s="92"/>
      <c r="EQ469" s="92"/>
      <c r="ER469" s="92"/>
      <c r="ES469" s="92"/>
      <c r="ET469" s="92"/>
      <c r="EU469" s="92"/>
      <c r="EV469" s="92"/>
      <c r="EW469" s="92"/>
      <c r="EX469" s="92"/>
      <c r="EY469" s="92"/>
      <c r="EZ469" s="92"/>
      <c r="FA469" s="92"/>
      <c r="FB469" s="92"/>
      <c r="FC469" s="92"/>
      <c r="FD469" s="92"/>
      <c r="FE469" s="92"/>
      <c r="FF469" s="92"/>
      <c r="FG469" s="92"/>
      <c r="FH469" s="92"/>
    </row>
    <row r="470">
      <c r="A470" s="32" t="s">
        <v>35</v>
      </c>
      <c r="B470" s="32" t="s">
        <v>83</v>
      </c>
      <c r="C470" s="32" t="s">
        <v>11</v>
      </c>
      <c r="D470" s="97">
        <f t="shared" si="1"/>
        <v>503.1765948</v>
      </c>
      <c r="E470" s="92">
        <f>(SUBSTITUTE(Audio!E470, "RE-", "", 1))*1</f>
        <v>0</v>
      </c>
      <c r="F470" s="92">
        <f>(SUBSTITUTE(Audio!F470, "RE-", "", 1))*1</f>
        <v>0</v>
      </c>
      <c r="G470" s="92">
        <f>(SUBSTITUTE(Audio!G470, "RE-", "", 1))*1</f>
        <v>133.2610771</v>
      </c>
      <c r="H470" s="92">
        <f>(SUBSTITUTE(Audio!H470, "RE-", "", 1))*1</f>
        <v>0</v>
      </c>
      <c r="I470" s="92">
        <f>(SUBSTITUTE(Audio!I470, "RE-", "", 1))*1</f>
        <v>16.65084583</v>
      </c>
      <c r="J470" s="92">
        <f>(SUBSTITUTE(Audio!J470, "RE-", "", 1))*1</f>
        <v>0</v>
      </c>
      <c r="K470" s="92">
        <f>(SUBSTITUTE(Audio!K470, "RE-", "", 1))*1</f>
        <v>104.7336792</v>
      </c>
      <c r="L470" s="92">
        <f>(SUBSTITUTE(Audio!L470, "RE-", "", 1))*1</f>
        <v>0</v>
      </c>
      <c r="M470" s="92">
        <f>(SUBSTITUTE(Audio!M470, "RE-", "", 1))*1</f>
        <v>62.54743333</v>
      </c>
      <c r="N470" s="92">
        <f>(SUBSTITUTE(Audio!N470, "RE-", "", 1))*1</f>
        <v>0</v>
      </c>
      <c r="O470" s="92">
        <f>(SUBSTITUTE(Audio!O470, "RE-", "", 1))*1</f>
        <v>57.47312604</v>
      </c>
      <c r="P470" s="92">
        <f>(SUBSTITUTE(Audio!P470, "RE-", "", 1))*1</f>
        <v>0</v>
      </c>
      <c r="Q470" s="92">
        <f>(SUBSTITUTE(Audio!Q470, "RE-", "", 1))*1</f>
        <v>51.50527917</v>
      </c>
      <c r="R470" s="92">
        <f>(SUBSTITUTE(Audio!R470, "RE-", "", 1))*1</f>
        <v>0</v>
      </c>
      <c r="S470" s="92">
        <f>(SUBSTITUTE(Audio!S470, "RE-", "", 1))*1</f>
        <v>0.3324770833</v>
      </c>
      <c r="T470" s="92">
        <f>(SUBSTITUTE(Audio!T470, "RE-", "", 1))*1</f>
        <v>0</v>
      </c>
      <c r="U470" s="92">
        <f>(SUBSTITUTE(Audio!U470, "RE-", "", 1))*1</f>
        <v>69.03044792</v>
      </c>
      <c r="V470" s="92">
        <f>(SUBSTITUTE(Audio!V470, "RE-", "", 1))*1</f>
        <v>7.642229167</v>
      </c>
      <c r="W470" s="92">
        <f>(SUBSTITUTE(Audio!W470, "RE-", "", 1))*1</f>
        <v>0</v>
      </c>
      <c r="X470" s="92">
        <f>(SUBSTITUTE(Audio!X470, "RE-", "", 1))*1</f>
        <v>0</v>
      </c>
      <c r="Y470" s="92">
        <f>(SUBSTITUTE(Audio!Y470, "RE-", "", 1))*1</f>
        <v>0</v>
      </c>
      <c r="Z470" s="92">
        <f>(SUBSTITUTE(Audio!Z470, "RE-", "", 1))*1</f>
        <v>0</v>
      </c>
      <c r="AA470" s="92"/>
      <c r="AB470" s="92"/>
      <c r="AC470" s="92"/>
      <c r="AD470" s="92"/>
      <c r="AE470" s="92"/>
      <c r="AF470" s="92"/>
      <c r="AG470" s="92"/>
      <c r="AH470" s="92"/>
      <c r="AI470" s="92"/>
      <c r="AJ470" s="92"/>
      <c r="AK470" s="92"/>
      <c r="AL470" s="92"/>
      <c r="AM470" s="92"/>
      <c r="AN470" s="92"/>
      <c r="AO470" s="92"/>
      <c r="AP470" s="92"/>
      <c r="AQ470" s="92"/>
      <c r="AR470" s="92"/>
      <c r="AS470" s="92"/>
      <c r="AT470" s="92"/>
      <c r="AU470" s="92"/>
      <c r="AV470" s="92"/>
      <c r="AW470" s="92"/>
      <c r="AX470" s="92"/>
      <c r="AY470" s="92"/>
      <c r="AZ470" s="92"/>
      <c r="BA470" s="92"/>
      <c r="BB470" s="92"/>
      <c r="BC470" s="92"/>
      <c r="BD470" s="92"/>
      <c r="BE470" s="92"/>
      <c r="BF470" s="92"/>
      <c r="BG470" s="92"/>
      <c r="BH470" s="92"/>
      <c r="BI470" s="92"/>
      <c r="BJ470" s="92"/>
      <c r="BK470" s="92"/>
      <c r="BL470" s="92"/>
      <c r="BM470" s="92"/>
      <c r="BN470" s="92"/>
      <c r="BO470" s="92"/>
      <c r="BP470" s="92"/>
      <c r="BQ470" s="92"/>
      <c r="BR470" s="92"/>
      <c r="BS470" s="92"/>
      <c r="BT470" s="92"/>
      <c r="BU470" s="92"/>
      <c r="BV470" s="92"/>
      <c r="BW470" s="92"/>
      <c r="BX470" s="92"/>
      <c r="BY470" s="92"/>
      <c r="BZ470" s="92"/>
      <c r="CA470" s="92"/>
      <c r="CB470" s="92"/>
      <c r="CC470" s="92"/>
      <c r="CD470" s="92"/>
      <c r="CE470" s="92"/>
      <c r="CF470" s="92"/>
      <c r="CG470" s="92"/>
      <c r="CH470" s="92"/>
      <c r="CI470" s="92"/>
      <c r="CJ470" s="92"/>
      <c r="CK470" s="92"/>
      <c r="CL470" s="92"/>
      <c r="CM470" s="92"/>
      <c r="CN470" s="92"/>
      <c r="CO470" s="92"/>
      <c r="CP470" s="92"/>
      <c r="CQ470" s="92"/>
      <c r="CR470" s="92"/>
      <c r="CS470" s="92"/>
      <c r="CT470" s="92"/>
      <c r="CU470" s="92"/>
      <c r="CV470" s="92"/>
      <c r="CW470" s="92"/>
      <c r="CX470" s="92"/>
      <c r="CY470" s="92"/>
      <c r="CZ470" s="92"/>
      <c r="DA470" s="92"/>
      <c r="DB470" s="92"/>
      <c r="DC470" s="92"/>
      <c r="DD470" s="92"/>
      <c r="DE470" s="92"/>
      <c r="DF470" s="92"/>
      <c r="DG470" s="92"/>
      <c r="DH470" s="92"/>
      <c r="DI470" s="92"/>
      <c r="DJ470" s="92"/>
      <c r="DK470" s="92"/>
      <c r="DL470" s="92"/>
      <c r="DM470" s="92"/>
      <c r="DN470" s="92"/>
      <c r="DO470" s="92"/>
      <c r="DP470" s="92"/>
      <c r="DQ470" s="92"/>
      <c r="DR470" s="92"/>
      <c r="DS470" s="92"/>
      <c r="DT470" s="92"/>
      <c r="DU470" s="92"/>
      <c r="DV470" s="92"/>
      <c r="DW470" s="92"/>
      <c r="DX470" s="92"/>
      <c r="DY470" s="92"/>
      <c r="DZ470" s="92"/>
      <c r="EA470" s="92"/>
      <c r="EB470" s="92"/>
      <c r="EC470" s="92"/>
      <c r="ED470" s="92"/>
      <c r="EE470" s="92"/>
      <c r="EF470" s="92"/>
      <c r="EG470" s="92"/>
      <c r="EH470" s="92"/>
      <c r="EI470" s="92"/>
      <c r="EJ470" s="92"/>
      <c r="EK470" s="92"/>
      <c r="EL470" s="92"/>
      <c r="EM470" s="92"/>
      <c r="EN470" s="92"/>
      <c r="EO470" s="92"/>
      <c r="EP470" s="92"/>
      <c r="EQ470" s="92"/>
      <c r="ER470" s="92"/>
      <c r="ES470" s="92"/>
      <c r="ET470" s="92"/>
      <c r="EU470" s="92"/>
      <c r="EV470" s="92"/>
      <c r="EW470" s="92"/>
      <c r="EX470" s="92"/>
      <c r="EY470" s="92"/>
      <c r="EZ470" s="92"/>
      <c r="FA470" s="92"/>
      <c r="FB470" s="92"/>
      <c r="FC470" s="92"/>
      <c r="FD470" s="92"/>
      <c r="FE470" s="92"/>
      <c r="FF470" s="92"/>
      <c r="FG470" s="92"/>
      <c r="FH470" s="92"/>
    </row>
    <row r="471">
      <c r="A471" s="32" t="s">
        <v>35</v>
      </c>
      <c r="B471" s="32" t="s">
        <v>83</v>
      </c>
      <c r="C471" s="32" t="s">
        <v>12</v>
      </c>
      <c r="D471" s="97">
        <f t="shared" si="1"/>
        <v>5530.887467</v>
      </c>
      <c r="E471" s="92">
        <f>(SUBSTITUTE(Audio!E471, "RE-", "", 1))*1</f>
        <v>0</v>
      </c>
      <c r="F471" s="92">
        <f>(SUBSTITUTE(Audio!F471, "RE-", "", 1))*1</f>
        <v>768.3624542</v>
      </c>
      <c r="G471" s="92">
        <f>(SUBSTITUTE(Audio!G471, "RE-", "", 1))*1</f>
        <v>4.217125</v>
      </c>
      <c r="H471" s="92">
        <f>(SUBSTITUTE(Audio!H471, "RE-", "", 1))*1</f>
        <v>113.0219396</v>
      </c>
      <c r="I471" s="92">
        <f>(SUBSTITUTE(Audio!I471, "RE-", "", 1))*1</f>
        <v>1.119591667</v>
      </c>
      <c r="J471" s="92">
        <f>(SUBSTITUTE(Audio!J471, "RE-", "", 1))*1</f>
        <v>1454.424584</v>
      </c>
      <c r="K471" s="92">
        <f>(SUBSTITUTE(Audio!K471, "RE-", "", 1))*1</f>
        <v>4.37611875</v>
      </c>
      <c r="L471" s="92">
        <f>(SUBSTITUTE(Audio!L471, "RE-", "", 1))*1</f>
        <v>888.0743698</v>
      </c>
      <c r="M471" s="92">
        <f>(SUBSTITUTE(Audio!M471, "RE-", "", 1))*1</f>
        <v>6.670641667</v>
      </c>
      <c r="N471" s="92">
        <f>(SUBSTITUTE(Audio!N471, "RE-", "", 1))*1</f>
        <v>541.957374</v>
      </c>
      <c r="O471" s="92">
        <f>(SUBSTITUTE(Audio!O471, "RE-", "", 1))*1</f>
        <v>3.306811458</v>
      </c>
      <c r="P471" s="92">
        <f>(SUBSTITUTE(Audio!P471, "RE-", "", 1))*1</f>
        <v>310.4228063</v>
      </c>
      <c r="Q471" s="92">
        <f>(SUBSTITUTE(Audio!Q471, "RE-", "", 1))*1</f>
        <v>23.01767188</v>
      </c>
      <c r="R471" s="92">
        <f>(SUBSTITUTE(Audio!R471, "RE-", "", 1))*1</f>
        <v>53.20917292</v>
      </c>
      <c r="S471" s="92">
        <f>(SUBSTITUTE(Audio!S471, "RE-", "", 1))*1</f>
        <v>0</v>
      </c>
      <c r="T471" s="92">
        <f>(SUBSTITUTE(Audio!T471, "RE-", "", 1))*1</f>
        <v>1318.676353</v>
      </c>
      <c r="U471" s="92">
        <f>(SUBSTITUTE(Audio!U471, "RE-", "", 1))*1</f>
        <v>37.39640208</v>
      </c>
      <c r="V471" s="92">
        <f>(SUBSTITUTE(Audio!V471, "RE-", "", 1))*1</f>
        <v>2.63405</v>
      </c>
      <c r="W471" s="92">
        <f>(SUBSTITUTE(Audio!W471, "RE-", "", 1))*1</f>
        <v>0</v>
      </c>
      <c r="X471" s="92">
        <f>(SUBSTITUTE(Audio!X471, "RE-", "", 1))*1</f>
        <v>0</v>
      </c>
      <c r="Y471" s="92">
        <f>(SUBSTITUTE(Audio!Y471, "RE-", "", 1))*1</f>
        <v>0</v>
      </c>
      <c r="Z471" s="92">
        <f>(SUBSTITUTE(Audio!Z471, "RE-", "", 1))*1</f>
        <v>0</v>
      </c>
      <c r="AA471" s="92"/>
      <c r="AB471" s="92"/>
      <c r="AC471" s="92"/>
      <c r="AD471" s="92"/>
      <c r="AE471" s="92"/>
      <c r="AF471" s="92"/>
      <c r="AG471" s="92"/>
      <c r="AH471" s="92"/>
      <c r="AI471" s="92"/>
      <c r="AJ471" s="92"/>
      <c r="AK471" s="92"/>
      <c r="AL471" s="92"/>
      <c r="AM471" s="92"/>
      <c r="AN471" s="92"/>
      <c r="AO471" s="92"/>
      <c r="AP471" s="92"/>
      <c r="AQ471" s="92"/>
      <c r="AR471" s="92"/>
      <c r="AS471" s="92"/>
      <c r="AT471" s="92"/>
      <c r="AU471" s="92"/>
      <c r="AV471" s="92"/>
      <c r="AW471" s="92"/>
      <c r="AX471" s="92"/>
      <c r="AY471" s="92"/>
      <c r="AZ471" s="92"/>
      <c r="BA471" s="92"/>
      <c r="BB471" s="92"/>
      <c r="BC471" s="92"/>
      <c r="BD471" s="92"/>
      <c r="BE471" s="92"/>
      <c r="BF471" s="92"/>
      <c r="BG471" s="92"/>
      <c r="BH471" s="92"/>
      <c r="BI471" s="92"/>
      <c r="BJ471" s="92"/>
      <c r="BK471" s="92"/>
      <c r="BL471" s="92"/>
      <c r="BM471" s="92"/>
      <c r="BN471" s="92"/>
      <c r="BO471" s="92"/>
      <c r="BP471" s="92"/>
      <c r="BQ471" s="92"/>
      <c r="BR471" s="92"/>
      <c r="BS471" s="92"/>
      <c r="BT471" s="92"/>
      <c r="BU471" s="92"/>
      <c r="BV471" s="92"/>
      <c r="BW471" s="92"/>
      <c r="BX471" s="92"/>
      <c r="BY471" s="92"/>
      <c r="BZ471" s="92"/>
      <c r="CA471" s="92"/>
      <c r="CB471" s="92"/>
      <c r="CC471" s="92"/>
      <c r="CD471" s="92"/>
      <c r="CE471" s="92"/>
      <c r="CF471" s="92"/>
      <c r="CG471" s="92"/>
      <c r="CH471" s="92"/>
      <c r="CI471" s="92"/>
      <c r="CJ471" s="92"/>
      <c r="CK471" s="92"/>
      <c r="CL471" s="92"/>
      <c r="CM471" s="92"/>
      <c r="CN471" s="92"/>
      <c r="CO471" s="92"/>
      <c r="CP471" s="92"/>
      <c r="CQ471" s="92"/>
      <c r="CR471" s="92"/>
      <c r="CS471" s="92"/>
      <c r="CT471" s="92"/>
      <c r="CU471" s="92"/>
      <c r="CV471" s="92"/>
      <c r="CW471" s="92"/>
      <c r="CX471" s="92"/>
      <c r="CY471" s="92"/>
      <c r="CZ471" s="92"/>
      <c r="DA471" s="92"/>
      <c r="DB471" s="92"/>
      <c r="DC471" s="92"/>
      <c r="DD471" s="92"/>
      <c r="DE471" s="92"/>
      <c r="DF471" s="92"/>
      <c r="DG471" s="92"/>
      <c r="DH471" s="92"/>
      <c r="DI471" s="92"/>
      <c r="DJ471" s="92"/>
      <c r="DK471" s="92"/>
      <c r="DL471" s="92"/>
      <c r="DM471" s="92"/>
      <c r="DN471" s="92"/>
      <c r="DO471" s="92"/>
      <c r="DP471" s="92"/>
      <c r="DQ471" s="92"/>
      <c r="DR471" s="92"/>
      <c r="DS471" s="92"/>
      <c r="DT471" s="92"/>
      <c r="DU471" s="92"/>
      <c r="DV471" s="92"/>
      <c r="DW471" s="92"/>
      <c r="DX471" s="92"/>
      <c r="DY471" s="92"/>
      <c r="DZ471" s="92"/>
      <c r="EA471" s="92"/>
      <c r="EB471" s="92"/>
      <c r="EC471" s="92"/>
      <c r="ED471" s="92"/>
      <c r="EE471" s="92"/>
      <c r="EF471" s="92"/>
      <c r="EG471" s="92"/>
      <c r="EH471" s="92"/>
      <c r="EI471" s="92"/>
      <c r="EJ471" s="92"/>
      <c r="EK471" s="92"/>
      <c r="EL471" s="92"/>
      <c r="EM471" s="92"/>
      <c r="EN471" s="92"/>
      <c r="EO471" s="92"/>
      <c r="EP471" s="92"/>
      <c r="EQ471" s="92"/>
      <c r="ER471" s="92"/>
      <c r="ES471" s="92"/>
      <c r="ET471" s="92"/>
      <c r="EU471" s="92"/>
      <c r="EV471" s="92"/>
      <c r="EW471" s="92"/>
      <c r="EX471" s="92"/>
      <c r="EY471" s="92"/>
      <c r="EZ471" s="92"/>
      <c r="FA471" s="92"/>
      <c r="FB471" s="92"/>
      <c r="FC471" s="92"/>
      <c r="FD471" s="92"/>
      <c r="FE471" s="92"/>
      <c r="FF471" s="92"/>
      <c r="FG471" s="92"/>
      <c r="FH471" s="92"/>
    </row>
    <row r="472">
      <c r="A472" s="32" t="s">
        <v>35</v>
      </c>
      <c r="B472" s="32" t="s">
        <v>83</v>
      </c>
      <c r="C472" s="32" t="s">
        <v>13</v>
      </c>
      <c r="D472" s="97">
        <f t="shared" si="1"/>
        <v>5388.99098</v>
      </c>
      <c r="E472" s="92">
        <f>(SUBSTITUTE(Audio!E472, "RE-", "", 1))*1</f>
        <v>0</v>
      </c>
      <c r="F472" s="92">
        <f>(SUBSTITUTE(Audio!F472, "RE-", "", 1))*1</f>
        <v>754.359</v>
      </c>
      <c r="G472" s="92">
        <f>(SUBSTITUTE(Audio!G472, "RE-", "", 1))*1</f>
        <v>4.05672</v>
      </c>
      <c r="H472" s="92">
        <f>(SUBSTITUTE(Audio!H472, "RE-", "", 1))*1</f>
        <v>111.153</v>
      </c>
      <c r="I472" s="92">
        <f>(SUBSTITUTE(Audio!I472, "RE-", "", 1))*1</f>
        <v>1.10748</v>
      </c>
      <c r="J472" s="92">
        <f>(SUBSTITUTE(Audio!J472, "RE-", "", 1))*1</f>
        <v>1427.56</v>
      </c>
      <c r="K472" s="92">
        <f>(SUBSTITUTE(Audio!K472, "RE-", "", 1))*1</f>
        <v>4.32097</v>
      </c>
      <c r="L472" s="92">
        <f>(SUBSTITUTE(Audio!L472, "RE-", "", 1))*1</f>
        <v>863.784</v>
      </c>
      <c r="M472" s="92">
        <f>(SUBSTITUTE(Audio!M472, "RE-", "", 1))*1</f>
        <v>6.56892</v>
      </c>
      <c r="N472" s="92">
        <f>(SUBSTITUTE(Audio!N472, "RE-", "", 1))*1</f>
        <v>524.836</v>
      </c>
      <c r="O472" s="92">
        <f>(SUBSTITUTE(Audio!O472, "RE-", "", 1))*1</f>
        <v>2.97297</v>
      </c>
      <c r="P472" s="92">
        <f>(SUBSTITUTE(Audio!P472, "RE-", "", 1))*1</f>
        <v>299.86</v>
      </c>
      <c r="Q472" s="92">
        <f>(SUBSTITUTE(Audio!Q472, "RE-", "", 1))*1</f>
        <v>22.2255</v>
      </c>
      <c r="R472" s="92">
        <f>(SUBSTITUTE(Audio!R472, "RE-", "", 1))*1</f>
        <v>49.7735</v>
      </c>
      <c r="S472" s="92">
        <f>(SUBSTITUTE(Audio!S472, "RE-", "", 1))*1</f>
        <v>0</v>
      </c>
      <c r="T472" s="92">
        <f>(SUBSTITUTE(Audio!T472, "RE-", "", 1))*1</f>
        <v>1278.5</v>
      </c>
      <c r="U472" s="92">
        <f>(SUBSTITUTE(Audio!U472, "RE-", "", 1))*1</f>
        <v>35.3863</v>
      </c>
      <c r="V472" s="92">
        <f>(SUBSTITUTE(Audio!V472, "RE-", "", 1))*1</f>
        <v>2.52662</v>
      </c>
      <c r="W472" s="92">
        <f>(SUBSTITUTE(Audio!W472, "RE-", "", 1))*1</f>
        <v>0</v>
      </c>
      <c r="X472" s="92">
        <f>(SUBSTITUTE(Audio!X472, "RE-", "", 1))*1</f>
        <v>0</v>
      </c>
      <c r="Y472" s="92">
        <f>(SUBSTITUTE(Audio!Y472, "RE-", "", 1))*1</f>
        <v>0</v>
      </c>
      <c r="Z472" s="92">
        <f>(SUBSTITUTE(Audio!Z472, "RE-", "", 1))*1</f>
        <v>0</v>
      </c>
      <c r="AA472" s="92"/>
      <c r="AB472" s="92"/>
      <c r="AC472" s="92"/>
      <c r="AD472" s="92"/>
      <c r="AE472" s="92"/>
      <c r="AF472" s="92"/>
      <c r="AG472" s="92"/>
      <c r="AH472" s="92"/>
      <c r="AI472" s="92"/>
      <c r="AJ472" s="92"/>
      <c r="AK472" s="92"/>
      <c r="AL472" s="92"/>
      <c r="AM472" s="92"/>
      <c r="AN472" s="92"/>
      <c r="AO472" s="92"/>
      <c r="AP472" s="92"/>
      <c r="AQ472" s="92"/>
      <c r="AR472" s="92"/>
      <c r="AS472" s="92"/>
      <c r="AT472" s="92"/>
      <c r="AU472" s="92"/>
      <c r="AV472" s="92"/>
      <c r="AW472" s="92"/>
      <c r="AX472" s="92"/>
      <c r="AY472" s="92"/>
      <c r="AZ472" s="92"/>
      <c r="BA472" s="92"/>
      <c r="BB472" s="92"/>
      <c r="BC472" s="92"/>
      <c r="BD472" s="92"/>
      <c r="BE472" s="92"/>
      <c r="BF472" s="92"/>
      <c r="BG472" s="92"/>
      <c r="BH472" s="92"/>
      <c r="BI472" s="92"/>
      <c r="BJ472" s="92"/>
      <c r="BK472" s="92"/>
      <c r="BL472" s="92"/>
      <c r="BM472" s="92"/>
      <c r="BN472" s="92"/>
      <c r="BO472" s="92"/>
      <c r="BP472" s="92"/>
      <c r="BQ472" s="92"/>
      <c r="BR472" s="92"/>
      <c r="BS472" s="92"/>
      <c r="BT472" s="92"/>
      <c r="BU472" s="92"/>
      <c r="BV472" s="92"/>
      <c r="BW472" s="92"/>
      <c r="BX472" s="92"/>
      <c r="BY472" s="92"/>
      <c r="BZ472" s="92"/>
      <c r="CA472" s="92"/>
      <c r="CB472" s="92"/>
      <c r="CC472" s="92"/>
      <c r="CD472" s="92"/>
      <c r="CE472" s="92"/>
      <c r="CF472" s="92"/>
      <c r="CG472" s="92"/>
      <c r="CH472" s="92"/>
      <c r="CI472" s="92"/>
      <c r="CJ472" s="92"/>
      <c r="CK472" s="92"/>
      <c r="CL472" s="92"/>
      <c r="CM472" s="92"/>
      <c r="CN472" s="92"/>
      <c r="CO472" s="92"/>
      <c r="CP472" s="92"/>
      <c r="CQ472" s="92"/>
      <c r="CR472" s="92"/>
      <c r="CS472" s="92"/>
      <c r="CT472" s="92"/>
      <c r="CU472" s="92"/>
      <c r="CV472" s="92"/>
      <c r="CW472" s="92"/>
      <c r="CX472" s="92"/>
      <c r="CY472" s="92"/>
      <c r="CZ472" s="92"/>
      <c r="DA472" s="92"/>
      <c r="DB472" s="92"/>
      <c r="DC472" s="92"/>
      <c r="DD472" s="92"/>
      <c r="DE472" s="92"/>
      <c r="DF472" s="92"/>
      <c r="DG472" s="92"/>
      <c r="DH472" s="92"/>
      <c r="DI472" s="92"/>
      <c r="DJ472" s="92"/>
      <c r="DK472" s="92"/>
      <c r="DL472" s="92"/>
      <c r="DM472" s="92"/>
      <c r="DN472" s="92"/>
      <c r="DO472" s="92"/>
      <c r="DP472" s="92"/>
      <c r="DQ472" s="92"/>
      <c r="DR472" s="92"/>
      <c r="DS472" s="92"/>
      <c r="DT472" s="92"/>
      <c r="DU472" s="92"/>
      <c r="DV472" s="92"/>
      <c r="DW472" s="92"/>
      <c r="DX472" s="92"/>
      <c r="DY472" s="92"/>
      <c r="DZ472" s="92"/>
      <c r="EA472" s="92"/>
      <c r="EB472" s="92"/>
      <c r="EC472" s="92"/>
      <c r="ED472" s="92"/>
      <c r="EE472" s="92"/>
      <c r="EF472" s="92"/>
      <c r="EG472" s="92"/>
      <c r="EH472" s="92"/>
      <c r="EI472" s="92"/>
      <c r="EJ472" s="92"/>
      <c r="EK472" s="92"/>
      <c r="EL472" s="92"/>
      <c r="EM472" s="92"/>
      <c r="EN472" s="92"/>
      <c r="EO472" s="92"/>
      <c r="EP472" s="92"/>
      <c r="EQ472" s="92"/>
      <c r="ER472" s="92"/>
      <c r="ES472" s="92"/>
      <c r="ET472" s="92"/>
      <c r="EU472" s="92"/>
      <c r="EV472" s="92"/>
      <c r="EW472" s="92"/>
      <c r="EX472" s="92"/>
      <c r="EY472" s="92"/>
      <c r="EZ472" s="92"/>
      <c r="FA472" s="92"/>
      <c r="FB472" s="92"/>
      <c r="FC472" s="92"/>
      <c r="FD472" s="92"/>
      <c r="FE472" s="92"/>
      <c r="FF472" s="92"/>
      <c r="FG472" s="92"/>
      <c r="FH472" s="92"/>
    </row>
    <row r="473">
      <c r="A473" s="32" t="s">
        <v>35</v>
      </c>
      <c r="B473" s="32" t="s">
        <v>83</v>
      </c>
      <c r="C473" s="32" t="s">
        <v>14</v>
      </c>
      <c r="D473" s="97">
        <f t="shared" si="1"/>
        <v>4757.96945</v>
      </c>
      <c r="E473" s="92">
        <f>(SUBSTITUTE(Audio!E473, "RE-", "", 1))*1</f>
        <v>0</v>
      </c>
      <c r="F473" s="92">
        <f>(SUBSTITUTE(Audio!F473, "RE-", "", 1))*1</f>
        <v>673.79</v>
      </c>
      <c r="G473" s="92">
        <f>(SUBSTITUTE(Audio!G473, "RE-", "", 1))*1</f>
        <v>3.8892</v>
      </c>
      <c r="H473" s="92">
        <f>(SUBSTITUTE(Audio!H473, "RE-", "", 1))*1</f>
        <v>102.209</v>
      </c>
      <c r="I473" s="92">
        <f>(SUBSTITUTE(Audio!I473, "RE-", "", 1))*1</f>
        <v>1.10748</v>
      </c>
      <c r="J473" s="92">
        <f>(SUBSTITUTE(Audio!J473, "RE-", "", 1))*1</f>
        <v>1296.69</v>
      </c>
      <c r="K473" s="92">
        <f>(SUBSTITUTE(Audio!K473, "RE-", "", 1))*1</f>
        <v>4.2067</v>
      </c>
      <c r="L473" s="92">
        <f>(SUBSTITUTE(Audio!L473, "RE-", "", 1))*1</f>
        <v>753.864</v>
      </c>
      <c r="M473" s="92">
        <f>(SUBSTITUTE(Audio!M473, "RE-", "", 1))*1</f>
        <v>6.33048</v>
      </c>
      <c r="N473" s="92">
        <f>(SUBSTITUTE(Audio!N473, "RE-", "", 1))*1</f>
        <v>452.323</v>
      </c>
      <c r="O473" s="92">
        <f>(SUBSTITUTE(Audio!O473, "RE-", "", 1))*1</f>
        <v>2.50967</v>
      </c>
      <c r="P473" s="92">
        <f>(SUBSTITUTE(Audio!P473, "RE-", "", 1))*1</f>
        <v>259.727</v>
      </c>
      <c r="Q473" s="92">
        <f>(SUBSTITUTE(Audio!Q473, "RE-", "", 1))*1</f>
        <v>17.5158</v>
      </c>
      <c r="R473" s="92">
        <f>(SUBSTITUTE(Audio!R473, "RE-", "", 1))*1</f>
        <v>39.8884</v>
      </c>
      <c r="S473" s="92">
        <f>(SUBSTITUTE(Audio!S473, "RE-", "", 1))*1</f>
        <v>0</v>
      </c>
      <c r="T473" s="92">
        <f>(SUBSTITUTE(Audio!T473, "RE-", "", 1))*1</f>
        <v>1113.54</v>
      </c>
      <c r="U473" s="92">
        <f>(SUBSTITUTE(Audio!U473, "RE-", "", 1))*1</f>
        <v>28.3091</v>
      </c>
      <c r="V473" s="92">
        <f>(SUBSTITUTE(Audio!V473, "RE-", "", 1))*1</f>
        <v>2.06962</v>
      </c>
      <c r="W473" s="92">
        <f>(SUBSTITUTE(Audio!W473, "RE-", "", 1))*1</f>
        <v>0</v>
      </c>
      <c r="X473" s="92">
        <f>(SUBSTITUTE(Audio!X473, "RE-", "", 1))*1</f>
        <v>0</v>
      </c>
      <c r="Y473" s="92">
        <f>(SUBSTITUTE(Audio!Y473, "RE-", "", 1))*1</f>
        <v>0</v>
      </c>
      <c r="Z473" s="92">
        <f>(SUBSTITUTE(Audio!Z473, "RE-", "", 1))*1</f>
        <v>0</v>
      </c>
      <c r="AA473" s="92"/>
      <c r="AB473" s="92"/>
      <c r="AC473" s="92"/>
      <c r="AD473" s="92"/>
      <c r="AE473" s="92"/>
      <c r="AF473" s="92"/>
      <c r="AG473" s="92"/>
      <c r="AH473" s="92"/>
      <c r="AI473" s="92"/>
      <c r="AJ473" s="92"/>
      <c r="AK473" s="92"/>
      <c r="AL473" s="92"/>
      <c r="AM473" s="92"/>
      <c r="AN473" s="92"/>
      <c r="AO473" s="92"/>
      <c r="AP473" s="92"/>
      <c r="AQ473" s="92"/>
      <c r="AR473" s="92"/>
      <c r="AS473" s="92"/>
      <c r="AT473" s="92"/>
      <c r="AU473" s="92"/>
      <c r="AV473" s="92"/>
      <c r="AW473" s="92"/>
      <c r="AX473" s="92"/>
      <c r="AY473" s="92"/>
      <c r="AZ473" s="92"/>
      <c r="BA473" s="92"/>
      <c r="BB473" s="92"/>
      <c r="BC473" s="92"/>
      <c r="BD473" s="92"/>
      <c r="BE473" s="92"/>
      <c r="BF473" s="92"/>
      <c r="BG473" s="92"/>
      <c r="BH473" s="92"/>
      <c r="BI473" s="92"/>
      <c r="BJ473" s="92"/>
      <c r="BK473" s="92"/>
      <c r="BL473" s="92"/>
      <c r="BM473" s="92"/>
      <c r="BN473" s="92"/>
      <c r="BO473" s="92"/>
      <c r="BP473" s="92"/>
      <c r="BQ473" s="92"/>
      <c r="BR473" s="92"/>
      <c r="BS473" s="92"/>
      <c r="BT473" s="92"/>
      <c r="BU473" s="92"/>
      <c r="BV473" s="92"/>
      <c r="BW473" s="92"/>
      <c r="BX473" s="92"/>
      <c r="BY473" s="92"/>
      <c r="BZ473" s="92"/>
      <c r="CA473" s="92"/>
      <c r="CB473" s="92"/>
      <c r="CC473" s="92"/>
      <c r="CD473" s="92"/>
      <c r="CE473" s="92"/>
      <c r="CF473" s="92"/>
      <c r="CG473" s="92"/>
      <c r="CH473" s="92"/>
      <c r="CI473" s="92"/>
      <c r="CJ473" s="92"/>
      <c r="CK473" s="92"/>
      <c r="CL473" s="92"/>
      <c r="CM473" s="92"/>
      <c r="CN473" s="92"/>
      <c r="CO473" s="92"/>
      <c r="CP473" s="92"/>
      <c r="CQ473" s="92"/>
      <c r="CR473" s="92"/>
      <c r="CS473" s="92"/>
      <c r="CT473" s="92"/>
      <c r="CU473" s="92"/>
      <c r="CV473" s="92"/>
      <c r="CW473" s="92"/>
      <c r="CX473" s="92"/>
      <c r="CY473" s="92"/>
      <c r="CZ473" s="92"/>
      <c r="DA473" s="92"/>
      <c r="DB473" s="92"/>
      <c r="DC473" s="92"/>
      <c r="DD473" s="92"/>
      <c r="DE473" s="92"/>
      <c r="DF473" s="92"/>
      <c r="DG473" s="92"/>
      <c r="DH473" s="92"/>
      <c r="DI473" s="92"/>
      <c r="DJ473" s="92"/>
      <c r="DK473" s="92"/>
      <c r="DL473" s="92"/>
      <c r="DM473" s="92"/>
      <c r="DN473" s="92"/>
      <c r="DO473" s="92"/>
      <c r="DP473" s="92"/>
      <c r="DQ473" s="92"/>
      <c r="DR473" s="92"/>
      <c r="DS473" s="92"/>
      <c r="DT473" s="92"/>
      <c r="DU473" s="92"/>
      <c r="DV473" s="92"/>
      <c r="DW473" s="92"/>
      <c r="DX473" s="92"/>
      <c r="DY473" s="92"/>
      <c r="DZ473" s="92"/>
      <c r="EA473" s="92"/>
      <c r="EB473" s="92"/>
      <c r="EC473" s="92"/>
      <c r="ED473" s="92"/>
      <c r="EE473" s="92"/>
      <c r="EF473" s="92"/>
      <c r="EG473" s="92"/>
      <c r="EH473" s="92"/>
      <c r="EI473" s="92"/>
      <c r="EJ473" s="92"/>
      <c r="EK473" s="92"/>
      <c r="EL473" s="92"/>
      <c r="EM473" s="92"/>
      <c r="EN473" s="92"/>
      <c r="EO473" s="92"/>
      <c r="EP473" s="92"/>
      <c r="EQ473" s="92"/>
      <c r="ER473" s="92"/>
      <c r="ES473" s="92"/>
      <c r="ET473" s="92"/>
      <c r="EU473" s="92"/>
      <c r="EV473" s="92"/>
      <c r="EW473" s="92"/>
      <c r="EX473" s="92"/>
      <c r="EY473" s="92"/>
      <c r="EZ473" s="92"/>
      <c r="FA473" s="92"/>
      <c r="FB473" s="92"/>
      <c r="FC473" s="92"/>
      <c r="FD473" s="92"/>
      <c r="FE473" s="92"/>
      <c r="FF473" s="92"/>
      <c r="FG473" s="92"/>
      <c r="FH473" s="92"/>
    </row>
    <row r="474">
      <c r="A474" s="27" t="s">
        <v>35</v>
      </c>
      <c r="B474" s="27" t="s">
        <v>83</v>
      </c>
      <c r="C474" s="27" t="s">
        <v>15</v>
      </c>
      <c r="D474" s="98">
        <f t="shared" si="1"/>
        <v>5388.47448</v>
      </c>
      <c r="E474" s="92">
        <f>(SUBSTITUTE(Audio!E474, "RE-", "", 1))*1</f>
        <v>0</v>
      </c>
      <c r="F474" s="92">
        <f>(SUBSTITUTE(Audio!F474, "RE-", "", 1))*1</f>
        <v>754.359</v>
      </c>
      <c r="G474" s="92">
        <f>(SUBSTITUTE(Audio!G474, "RE-", "", 1))*1</f>
        <v>4.05672</v>
      </c>
      <c r="H474" s="92">
        <f>(SUBSTITUTE(Audio!H474, "RE-", "", 1))*1</f>
        <v>111.128</v>
      </c>
      <c r="I474" s="92">
        <f>(SUBSTITUTE(Audio!I474, "RE-", "", 1))*1</f>
        <v>1.10748</v>
      </c>
      <c r="J474" s="92">
        <f>(SUBSTITUTE(Audio!J474, "RE-", "", 1))*1</f>
        <v>1427.56</v>
      </c>
      <c r="K474" s="92">
        <f>(SUBSTITUTE(Audio!K474, "RE-", "", 1))*1</f>
        <v>4.32097</v>
      </c>
      <c r="L474" s="92">
        <f>(SUBSTITUTE(Audio!L474, "RE-", "", 1))*1</f>
        <v>863.784</v>
      </c>
      <c r="M474" s="92">
        <f>(SUBSTITUTE(Audio!M474, "RE-", "", 1))*1</f>
        <v>6.56892</v>
      </c>
      <c r="N474" s="92">
        <f>(SUBSTITUTE(Audio!N474, "RE-", "", 1))*1</f>
        <v>524.836</v>
      </c>
      <c r="O474" s="92">
        <f>(SUBSTITUTE(Audio!O474, "RE-", "", 1))*1</f>
        <v>2.97297</v>
      </c>
      <c r="P474" s="92">
        <f>(SUBSTITUTE(Audio!P474, "RE-", "", 1))*1</f>
        <v>299.691</v>
      </c>
      <c r="Q474" s="92">
        <f>(SUBSTITUTE(Audio!Q474, "RE-", "", 1))*1</f>
        <v>22.2255</v>
      </c>
      <c r="R474" s="92">
        <f>(SUBSTITUTE(Audio!R474, "RE-", "", 1))*1</f>
        <v>49.451</v>
      </c>
      <c r="S474" s="92">
        <f>(SUBSTITUTE(Audio!S474, "RE-", "", 1))*1</f>
        <v>0</v>
      </c>
      <c r="T474" s="92">
        <f>(SUBSTITUTE(Audio!T474, "RE-", "", 1))*1</f>
        <v>1278.5</v>
      </c>
      <c r="U474" s="92">
        <f>(SUBSTITUTE(Audio!U474, "RE-", "", 1))*1</f>
        <v>35.3863</v>
      </c>
      <c r="V474" s="92">
        <f>(SUBSTITUTE(Audio!V474, "RE-", "", 1))*1</f>
        <v>2.52662</v>
      </c>
      <c r="W474" s="92">
        <f>(SUBSTITUTE(Audio!W474, "RE-", "", 1))*1</f>
        <v>0</v>
      </c>
      <c r="X474" s="92">
        <f>(SUBSTITUTE(Audio!X474, "RE-", "", 1))*1</f>
        <v>0</v>
      </c>
      <c r="Y474" s="92">
        <f>(SUBSTITUTE(Audio!Y474, "RE-", "", 1))*1</f>
        <v>0</v>
      </c>
      <c r="Z474" s="92">
        <f>(SUBSTITUTE(Audio!Z474, "RE-", "", 1))*1</f>
        <v>0</v>
      </c>
      <c r="AA474" s="92"/>
      <c r="AB474" s="92"/>
      <c r="AC474" s="92"/>
      <c r="AD474" s="92"/>
      <c r="AE474" s="92"/>
      <c r="AF474" s="92"/>
      <c r="AG474" s="92"/>
      <c r="AH474" s="92"/>
      <c r="AI474" s="92"/>
      <c r="AJ474" s="92"/>
      <c r="AK474" s="92"/>
      <c r="AL474" s="92"/>
      <c r="AM474" s="92"/>
      <c r="AN474" s="92"/>
      <c r="AO474" s="92"/>
      <c r="AP474" s="92"/>
      <c r="AQ474" s="92"/>
      <c r="AR474" s="92"/>
      <c r="AS474" s="92"/>
      <c r="AT474" s="92"/>
      <c r="AU474" s="92"/>
      <c r="AV474" s="92"/>
      <c r="AW474" s="92"/>
      <c r="AX474" s="92"/>
      <c r="AY474" s="92"/>
      <c r="AZ474" s="92"/>
      <c r="BA474" s="92"/>
      <c r="BB474" s="92"/>
      <c r="BC474" s="92"/>
      <c r="BD474" s="92"/>
      <c r="BE474" s="92"/>
      <c r="BF474" s="92"/>
      <c r="BG474" s="92"/>
      <c r="BH474" s="92"/>
      <c r="BI474" s="92"/>
      <c r="BJ474" s="92"/>
      <c r="BK474" s="92"/>
      <c r="BL474" s="92"/>
      <c r="BM474" s="92"/>
      <c r="BN474" s="92"/>
      <c r="BO474" s="92"/>
      <c r="BP474" s="92"/>
      <c r="BQ474" s="92"/>
      <c r="BR474" s="92"/>
      <c r="BS474" s="92"/>
      <c r="BT474" s="92"/>
      <c r="BU474" s="92"/>
      <c r="BV474" s="92"/>
      <c r="BW474" s="92"/>
      <c r="BX474" s="92"/>
      <c r="BY474" s="92"/>
      <c r="BZ474" s="92"/>
      <c r="CA474" s="92"/>
      <c r="CB474" s="92"/>
      <c r="CC474" s="92"/>
      <c r="CD474" s="92"/>
      <c r="CE474" s="92"/>
      <c r="CF474" s="92"/>
      <c r="CG474" s="92"/>
      <c r="CH474" s="92"/>
      <c r="CI474" s="92"/>
      <c r="CJ474" s="92"/>
      <c r="CK474" s="92"/>
      <c r="CL474" s="92"/>
      <c r="CM474" s="92"/>
      <c r="CN474" s="92"/>
      <c r="CO474" s="92"/>
      <c r="CP474" s="92"/>
      <c r="CQ474" s="92"/>
      <c r="CR474" s="92"/>
      <c r="CS474" s="92"/>
      <c r="CT474" s="92"/>
      <c r="CU474" s="92"/>
      <c r="CV474" s="92"/>
      <c r="CW474" s="92"/>
      <c r="CX474" s="92"/>
      <c r="CY474" s="92"/>
      <c r="CZ474" s="92"/>
      <c r="DA474" s="92"/>
      <c r="DB474" s="92"/>
      <c r="DC474" s="92"/>
      <c r="DD474" s="92"/>
      <c r="DE474" s="92"/>
      <c r="DF474" s="92"/>
      <c r="DG474" s="92"/>
      <c r="DH474" s="92"/>
      <c r="DI474" s="92"/>
      <c r="DJ474" s="92"/>
      <c r="DK474" s="92"/>
      <c r="DL474" s="92"/>
      <c r="DM474" s="92"/>
      <c r="DN474" s="92"/>
      <c r="DO474" s="92"/>
      <c r="DP474" s="92"/>
      <c r="DQ474" s="92"/>
      <c r="DR474" s="92"/>
      <c r="DS474" s="92"/>
      <c r="DT474" s="92"/>
      <c r="DU474" s="92"/>
      <c r="DV474" s="92"/>
      <c r="DW474" s="92"/>
      <c r="DX474" s="92"/>
      <c r="DY474" s="92"/>
      <c r="DZ474" s="92"/>
      <c r="EA474" s="92"/>
      <c r="EB474" s="92"/>
      <c r="EC474" s="92"/>
      <c r="ED474" s="92"/>
      <c r="EE474" s="92"/>
      <c r="EF474" s="92"/>
      <c r="EG474" s="92"/>
      <c r="EH474" s="92"/>
      <c r="EI474" s="92"/>
      <c r="EJ474" s="92"/>
      <c r="EK474" s="92"/>
      <c r="EL474" s="92"/>
      <c r="EM474" s="92"/>
      <c r="EN474" s="92"/>
      <c r="EO474" s="92"/>
      <c r="EP474" s="92"/>
      <c r="EQ474" s="92"/>
      <c r="ER474" s="92"/>
      <c r="ES474" s="92"/>
      <c r="ET474" s="92"/>
      <c r="EU474" s="92"/>
      <c r="EV474" s="92"/>
      <c r="EW474" s="92"/>
      <c r="EX474" s="92"/>
      <c r="EY474" s="92"/>
      <c r="EZ474" s="92"/>
      <c r="FA474" s="92"/>
      <c r="FB474" s="92"/>
      <c r="FC474" s="92"/>
      <c r="FD474" s="92"/>
      <c r="FE474" s="92"/>
      <c r="FF474" s="92"/>
      <c r="FG474" s="92"/>
      <c r="FH474" s="92"/>
    </row>
    <row r="475">
      <c r="A475" s="30" t="s">
        <v>17</v>
      </c>
      <c r="B475" s="30" t="s">
        <v>84</v>
      </c>
      <c r="C475" s="31" t="str">
        <f>HYPERLINK("https://docs.google.com/spreadsheets/d/1UcPX-asEDBu276P090a29fvabKwfGnYC/edit?usp=share_link&amp;ouid=106501987799020758802&amp;rtpof=true&amp;sd=true", "Raw Delivered")</f>
        <v>Raw Delivered</v>
      </c>
      <c r="D475" s="96">
        <f t="shared" si="1"/>
        <v>5336.763684</v>
      </c>
      <c r="E475" s="92">
        <f>(SUBSTITUTE(Audio!E475, "RE-", "", 1))*1</f>
        <v>0</v>
      </c>
      <c r="F475" s="92">
        <f>(SUBSTITUTE(Audio!F475, "RE-", "", 1))*1</f>
        <v>1070.97862</v>
      </c>
      <c r="G475" s="92">
        <f>(SUBSTITUTE(Audio!G475, "RE-", "", 1))*1</f>
        <v>0</v>
      </c>
      <c r="H475" s="92">
        <f>(SUBSTITUTE(Audio!H475, "RE-", "", 1))*1</f>
        <v>189.0756958</v>
      </c>
      <c r="I475" s="92">
        <f>(SUBSTITUTE(Audio!I475, "RE-", "", 1))*1</f>
        <v>0</v>
      </c>
      <c r="J475" s="92">
        <f>(SUBSTITUTE(Audio!J475, "RE-", "", 1))*1</f>
        <v>340.3817062</v>
      </c>
      <c r="K475" s="92">
        <f>(SUBSTITUTE(Audio!K475, "RE-", "", 1))*1</f>
        <v>0</v>
      </c>
      <c r="L475" s="92">
        <f>(SUBSTITUTE(Audio!L475, "RE-", "", 1))*1</f>
        <v>530.3940896</v>
      </c>
      <c r="M475" s="92">
        <f>(SUBSTITUTE(Audio!M475, "RE-", "", 1))*1</f>
        <v>0</v>
      </c>
      <c r="N475" s="92">
        <f>(SUBSTITUTE(Audio!N475, "RE-", "", 1))*1</f>
        <v>2285.678228</v>
      </c>
      <c r="O475" s="92">
        <f>(SUBSTITUTE(Audio!O475, "RE-", "", 1))*1</f>
        <v>0</v>
      </c>
      <c r="P475" s="92">
        <f>(SUBSTITUTE(Audio!P475, "RE-", "", 1))*1</f>
        <v>287.772</v>
      </c>
      <c r="Q475" s="92">
        <f>(SUBSTITUTE(Audio!Q475, "RE-", "", 1))*1</f>
        <v>0</v>
      </c>
      <c r="R475" s="92">
        <f>(SUBSTITUTE(Audio!R475, "RE-", "", 1))*1</f>
        <v>351.272626</v>
      </c>
      <c r="S475" s="92">
        <f>(SUBSTITUTE(Audio!S475, "RE-", "", 1))*1</f>
        <v>0</v>
      </c>
      <c r="T475" s="92">
        <f>(SUBSTITUTE(Audio!T475, "RE-", "", 1))*1</f>
        <v>281.2107188</v>
      </c>
      <c r="U475" s="92">
        <f>(SUBSTITUTE(Audio!U475, "RE-", "", 1))*1</f>
        <v>0</v>
      </c>
      <c r="V475" s="92">
        <f>(SUBSTITUTE(Audio!V475, "RE-", "", 1))*1</f>
        <v>0</v>
      </c>
      <c r="W475" s="92">
        <f>(SUBSTITUTE(Audio!W475, "RE-", "", 1))*1</f>
        <v>0</v>
      </c>
      <c r="X475" s="92">
        <f>(SUBSTITUTE(Audio!X475, "RE-", "", 1))*1</f>
        <v>0</v>
      </c>
      <c r="Y475" s="92">
        <f>(SUBSTITUTE(Audio!Y475, "RE-", "", 1))*1</f>
        <v>0</v>
      </c>
      <c r="Z475" s="92">
        <f>(SUBSTITUTE(Audio!Z475, "RE-", "", 1))*1</f>
        <v>0</v>
      </c>
      <c r="AA475" s="92"/>
      <c r="AB475" s="92"/>
      <c r="AC475" s="92"/>
      <c r="AD475" s="92"/>
      <c r="AE475" s="92"/>
      <c r="AF475" s="92"/>
      <c r="AG475" s="92"/>
      <c r="AH475" s="92"/>
      <c r="AI475" s="92"/>
      <c r="AJ475" s="92"/>
      <c r="AK475" s="92"/>
      <c r="AL475" s="92"/>
      <c r="AM475" s="92"/>
      <c r="AN475" s="92"/>
      <c r="AO475" s="92"/>
      <c r="AP475" s="92"/>
      <c r="AQ475" s="92"/>
      <c r="AR475" s="92"/>
      <c r="AS475" s="92"/>
      <c r="AT475" s="92"/>
      <c r="AU475" s="92"/>
      <c r="AV475" s="92"/>
      <c r="AW475" s="92"/>
      <c r="AX475" s="92"/>
      <c r="AY475" s="92"/>
      <c r="AZ475" s="92"/>
      <c r="BA475" s="92"/>
      <c r="BB475" s="92"/>
      <c r="BC475" s="92"/>
      <c r="BD475" s="92"/>
      <c r="BE475" s="92"/>
      <c r="BF475" s="92"/>
      <c r="BG475" s="92"/>
      <c r="BH475" s="92"/>
      <c r="BI475" s="92"/>
      <c r="BJ475" s="92"/>
      <c r="BK475" s="92"/>
      <c r="BL475" s="92"/>
      <c r="BM475" s="92"/>
      <c r="BN475" s="92"/>
      <c r="BO475" s="92"/>
      <c r="BP475" s="92"/>
      <c r="BQ475" s="92"/>
      <c r="BR475" s="92"/>
      <c r="BS475" s="92"/>
      <c r="BT475" s="92"/>
      <c r="BU475" s="92"/>
      <c r="BV475" s="92"/>
      <c r="BW475" s="92"/>
      <c r="BX475" s="92"/>
      <c r="BY475" s="92"/>
      <c r="BZ475" s="92"/>
      <c r="CA475" s="92"/>
      <c r="CB475" s="92"/>
      <c r="CC475" s="92"/>
      <c r="CD475" s="92"/>
      <c r="CE475" s="92"/>
      <c r="CF475" s="92"/>
      <c r="CG475" s="92"/>
      <c r="CH475" s="92"/>
      <c r="CI475" s="92"/>
      <c r="CJ475" s="92"/>
      <c r="CK475" s="92"/>
      <c r="CL475" s="92"/>
      <c r="CM475" s="92"/>
      <c r="CN475" s="92"/>
      <c r="CO475" s="92"/>
      <c r="CP475" s="92"/>
      <c r="CQ475" s="92"/>
      <c r="CR475" s="92"/>
      <c r="CS475" s="92"/>
      <c r="CT475" s="92"/>
      <c r="CU475" s="92"/>
      <c r="CV475" s="92"/>
      <c r="CW475" s="92"/>
      <c r="CX475" s="92"/>
      <c r="CY475" s="92"/>
      <c r="CZ475" s="92"/>
      <c r="DA475" s="92"/>
      <c r="DB475" s="92"/>
      <c r="DC475" s="92"/>
      <c r="DD475" s="92"/>
      <c r="DE475" s="92"/>
      <c r="DF475" s="92"/>
      <c r="DG475" s="92"/>
      <c r="DH475" s="92"/>
      <c r="DI475" s="92"/>
      <c r="DJ475" s="92"/>
      <c r="DK475" s="92"/>
      <c r="DL475" s="92"/>
      <c r="DM475" s="92"/>
      <c r="DN475" s="92"/>
      <c r="DO475" s="92"/>
      <c r="DP475" s="92"/>
      <c r="DQ475" s="92"/>
      <c r="DR475" s="92"/>
      <c r="DS475" s="92"/>
      <c r="DT475" s="92"/>
      <c r="DU475" s="92"/>
      <c r="DV475" s="92"/>
      <c r="DW475" s="92"/>
      <c r="DX475" s="92"/>
      <c r="DY475" s="92"/>
      <c r="DZ475" s="92"/>
      <c r="EA475" s="92"/>
      <c r="EB475" s="92"/>
      <c r="EC475" s="92"/>
      <c r="ED475" s="92"/>
      <c r="EE475" s="92"/>
      <c r="EF475" s="92"/>
      <c r="EG475" s="92"/>
      <c r="EH475" s="92"/>
      <c r="EI475" s="92"/>
      <c r="EJ475" s="92"/>
      <c r="EK475" s="92"/>
      <c r="EL475" s="92"/>
      <c r="EM475" s="92"/>
      <c r="EN475" s="92"/>
      <c r="EO475" s="92"/>
      <c r="EP475" s="92"/>
      <c r="EQ475" s="92"/>
      <c r="ER475" s="92"/>
      <c r="ES475" s="92"/>
      <c r="ET475" s="92"/>
      <c r="EU475" s="92"/>
      <c r="EV475" s="92"/>
      <c r="EW475" s="92"/>
      <c r="EX475" s="92"/>
      <c r="EY475" s="92"/>
      <c r="EZ475" s="92"/>
      <c r="FA475" s="92"/>
      <c r="FB475" s="92"/>
      <c r="FC475" s="92"/>
      <c r="FD475" s="92"/>
      <c r="FE475" s="92"/>
      <c r="FF475" s="92"/>
      <c r="FG475" s="92"/>
      <c r="FH475" s="92"/>
    </row>
    <row r="476">
      <c r="A476" s="32" t="s">
        <v>17</v>
      </c>
      <c r="B476" s="32" t="s">
        <v>84</v>
      </c>
      <c r="C476" s="32" t="s">
        <v>9</v>
      </c>
      <c r="D476" s="97">
        <f t="shared" si="1"/>
        <v>5336.763684</v>
      </c>
      <c r="E476" s="92">
        <f>(SUBSTITUTE(Audio!E476, "RE-", "", 1))*1</f>
        <v>0</v>
      </c>
      <c r="F476" s="92">
        <f>(SUBSTITUTE(Audio!F476, "RE-", "", 1))*1</f>
        <v>1070.97862</v>
      </c>
      <c r="G476" s="92">
        <f>(SUBSTITUTE(Audio!G476, "RE-", "", 1))*1</f>
        <v>0</v>
      </c>
      <c r="H476" s="92">
        <f>(SUBSTITUTE(Audio!H476, "RE-", "", 1))*1</f>
        <v>189.0756958</v>
      </c>
      <c r="I476" s="92">
        <f>(SUBSTITUTE(Audio!I476, "RE-", "", 1))*1</f>
        <v>0</v>
      </c>
      <c r="J476" s="92">
        <f>(SUBSTITUTE(Audio!J476, "RE-", "", 1))*1</f>
        <v>340.3817062</v>
      </c>
      <c r="K476" s="92">
        <f>(SUBSTITUTE(Audio!K476, "RE-", "", 1))*1</f>
        <v>0</v>
      </c>
      <c r="L476" s="92">
        <f>(SUBSTITUTE(Audio!L476, "RE-", "", 1))*1</f>
        <v>530.3940896</v>
      </c>
      <c r="M476" s="92">
        <f>(SUBSTITUTE(Audio!M476, "RE-", "", 1))*1</f>
        <v>0</v>
      </c>
      <c r="N476" s="92">
        <f>(SUBSTITUTE(Audio!N476, "RE-", "", 1))*1</f>
        <v>2285.678228</v>
      </c>
      <c r="O476" s="92">
        <f>(SUBSTITUTE(Audio!O476, "RE-", "", 1))*1</f>
        <v>0</v>
      </c>
      <c r="P476" s="92">
        <f>(SUBSTITUTE(Audio!P476, "RE-", "", 1))*1</f>
        <v>287.772</v>
      </c>
      <c r="Q476" s="92">
        <f>(SUBSTITUTE(Audio!Q476, "RE-", "", 1))*1</f>
        <v>0</v>
      </c>
      <c r="R476" s="92">
        <f>(SUBSTITUTE(Audio!R476, "RE-", "", 1))*1</f>
        <v>351.272626</v>
      </c>
      <c r="S476" s="92">
        <f>(SUBSTITUTE(Audio!S476, "RE-", "", 1))*1</f>
        <v>0</v>
      </c>
      <c r="T476" s="92">
        <f>(SUBSTITUTE(Audio!T476, "RE-", "", 1))*1</f>
        <v>281.2107188</v>
      </c>
      <c r="U476" s="92">
        <f>(SUBSTITUTE(Audio!U476, "RE-", "", 1))*1</f>
        <v>0</v>
      </c>
      <c r="V476" s="92">
        <f>(SUBSTITUTE(Audio!V476, "RE-", "", 1))*1</f>
        <v>0</v>
      </c>
      <c r="W476" s="92">
        <f>(SUBSTITUTE(Audio!W476, "RE-", "", 1))*1</f>
        <v>0</v>
      </c>
      <c r="X476" s="92">
        <f>(SUBSTITUTE(Audio!X476, "RE-", "", 1))*1</f>
        <v>0</v>
      </c>
      <c r="Y476" s="92">
        <f>(SUBSTITUTE(Audio!Y476, "RE-", "", 1))*1</f>
        <v>0</v>
      </c>
      <c r="Z476" s="92">
        <f>(SUBSTITUTE(Audio!Z476, "RE-", "", 1))*1</f>
        <v>0</v>
      </c>
      <c r="AA476" s="92"/>
      <c r="AB476" s="92"/>
      <c r="AC476" s="92"/>
      <c r="AD476" s="92"/>
      <c r="AE476" s="92"/>
      <c r="AF476" s="92"/>
      <c r="AG476" s="92"/>
      <c r="AH476" s="92"/>
      <c r="AI476" s="92"/>
      <c r="AJ476" s="92"/>
      <c r="AK476" s="92"/>
      <c r="AL476" s="92"/>
      <c r="AM476" s="92"/>
      <c r="AN476" s="92"/>
      <c r="AO476" s="92"/>
      <c r="AP476" s="92"/>
      <c r="AQ476" s="92"/>
      <c r="AR476" s="92"/>
      <c r="AS476" s="92"/>
      <c r="AT476" s="92"/>
      <c r="AU476" s="92"/>
      <c r="AV476" s="92"/>
      <c r="AW476" s="92"/>
      <c r="AX476" s="92"/>
      <c r="AY476" s="92"/>
      <c r="AZ476" s="92"/>
      <c r="BA476" s="92"/>
      <c r="BB476" s="92"/>
      <c r="BC476" s="92"/>
      <c r="BD476" s="92"/>
      <c r="BE476" s="92"/>
      <c r="BF476" s="92"/>
      <c r="BG476" s="92"/>
      <c r="BH476" s="92"/>
      <c r="BI476" s="92"/>
      <c r="BJ476" s="92"/>
      <c r="BK476" s="92"/>
      <c r="BL476" s="92"/>
      <c r="BM476" s="92"/>
      <c r="BN476" s="92"/>
      <c r="BO476" s="92"/>
      <c r="BP476" s="92"/>
      <c r="BQ476" s="92"/>
      <c r="BR476" s="92"/>
      <c r="BS476" s="92"/>
      <c r="BT476" s="92"/>
      <c r="BU476" s="92"/>
      <c r="BV476" s="92"/>
      <c r="BW476" s="92"/>
      <c r="BX476" s="92"/>
      <c r="BY476" s="92"/>
      <c r="BZ476" s="92"/>
      <c r="CA476" s="92"/>
      <c r="CB476" s="92"/>
      <c r="CC476" s="92"/>
      <c r="CD476" s="92"/>
      <c r="CE476" s="92"/>
      <c r="CF476" s="92"/>
      <c r="CG476" s="92"/>
      <c r="CH476" s="92"/>
      <c r="CI476" s="92"/>
      <c r="CJ476" s="92"/>
      <c r="CK476" s="92"/>
      <c r="CL476" s="92"/>
      <c r="CM476" s="92"/>
      <c r="CN476" s="92"/>
      <c r="CO476" s="92"/>
      <c r="CP476" s="92"/>
      <c r="CQ476" s="92"/>
      <c r="CR476" s="92"/>
      <c r="CS476" s="92"/>
      <c r="CT476" s="92"/>
      <c r="CU476" s="92"/>
      <c r="CV476" s="92"/>
      <c r="CW476" s="92"/>
      <c r="CX476" s="92"/>
      <c r="CY476" s="92"/>
      <c r="CZ476" s="92"/>
      <c r="DA476" s="92"/>
      <c r="DB476" s="92"/>
      <c r="DC476" s="92"/>
      <c r="DD476" s="92"/>
      <c r="DE476" s="92"/>
      <c r="DF476" s="92"/>
      <c r="DG476" s="92"/>
      <c r="DH476" s="92"/>
      <c r="DI476" s="92"/>
      <c r="DJ476" s="92"/>
      <c r="DK476" s="92"/>
      <c r="DL476" s="92"/>
      <c r="DM476" s="92"/>
      <c r="DN476" s="92"/>
      <c r="DO476" s="92"/>
      <c r="DP476" s="92"/>
      <c r="DQ476" s="92"/>
      <c r="DR476" s="92"/>
      <c r="DS476" s="92"/>
      <c r="DT476" s="92"/>
      <c r="DU476" s="92"/>
      <c r="DV476" s="92"/>
      <c r="DW476" s="92"/>
      <c r="DX476" s="92"/>
      <c r="DY476" s="92"/>
      <c r="DZ476" s="92"/>
      <c r="EA476" s="92"/>
      <c r="EB476" s="92"/>
      <c r="EC476" s="92"/>
      <c r="ED476" s="92"/>
      <c r="EE476" s="92"/>
      <c r="EF476" s="92"/>
      <c r="EG476" s="92"/>
      <c r="EH476" s="92"/>
      <c r="EI476" s="92"/>
      <c r="EJ476" s="92"/>
      <c r="EK476" s="92"/>
      <c r="EL476" s="92"/>
      <c r="EM476" s="92"/>
      <c r="EN476" s="92"/>
      <c r="EO476" s="92"/>
      <c r="EP476" s="92"/>
      <c r="EQ476" s="92"/>
      <c r="ER476" s="92"/>
      <c r="ES476" s="92"/>
      <c r="ET476" s="92"/>
      <c r="EU476" s="92"/>
      <c r="EV476" s="92"/>
      <c r="EW476" s="92"/>
      <c r="EX476" s="92"/>
      <c r="EY476" s="92"/>
      <c r="EZ476" s="92"/>
      <c r="FA476" s="92"/>
      <c r="FB476" s="92"/>
      <c r="FC476" s="92"/>
      <c r="FD476" s="92"/>
      <c r="FE476" s="92"/>
      <c r="FF476" s="92"/>
      <c r="FG476" s="92"/>
      <c r="FH476" s="92"/>
    </row>
    <row r="477">
      <c r="A477" s="32" t="s">
        <v>17</v>
      </c>
      <c r="B477" s="32" t="s">
        <v>84</v>
      </c>
      <c r="C477" s="32" t="s">
        <v>10</v>
      </c>
      <c r="D477" s="97">
        <f t="shared" si="1"/>
        <v>566.7641438</v>
      </c>
      <c r="E477" s="92">
        <f>(SUBSTITUTE(Audio!E477, "RE-", "", 1))*1</f>
        <v>0</v>
      </c>
      <c r="F477" s="92">
        <f>(SUBSTITUTE(Audio!F477, "RE-", "", 1))*1</f>
        <v>0</v>
      </c>
      <c r="G477" s="92">
        <f>(SUBSTITUTE(Audio!G477, "RE-", "", 1))*1</f>
        <v>140.1690042</v>
      </c>
      <c r="H477" s="92">
        <f>(SUBSTITUTE(Audio!H477, "RE-", "", 1))*1</f>
        <v>0</v>
      </c>
      <c r="I477" s="92">
        <f>(SUBSTITUTE(Audio!I477, "RE-", "", 1))*1</f>
        <v>13.91348542</v>
      </c>
      <c r="J477" s="92">
        <f>(SUBSTITUTE(Audio!J477, "RE-", "", 1))*1</f>
        <v>0</v>
      </c>
      <c r="K477" s="92">
        <f>(SUBSTITUTE(Audio!K477, "RE-", "", 1))*1</f>
        <v>19.18278125</v>
      </c>
      <c r="L477" s="92">
        <f>(SUBSTITUTE(Audio!L477, "RE-", "", 1))*1</f>
        <v>0</v>
      </c>
      <c r="M477" s="92">
        <f>(SUBSTITUTE(Audio!M477, "RE-", "", 1))*1</f>
        <v>15.09289271</v>
      </c>
      <c r="N477" s="92">
        <f>(SUBSTITUTE(Audio!N477, "RE-", "", 1))*1</f>
        <v>0</v>
      </c>
      <c r="O477" s="92">
        <f>(SUBSTITUTE(Audio!O477, "RE-", "", 1))*1</f>
        <v>290.9977146</v>
      </c>
      <c r="P477" s="92">
        <f>(SUBSTITUTE(Audio!P477, "RE-", "", 1))*1</f>
        <v>0</v>
      </c>
      <c r="Q477" s="92">
        <f>(SUBSTITUTE(Audio!Q477, "RE-", "", 1))*1</f>
        <v>50.55897917</v>
      </c>
      <c r="R477" s="92">
        <f>(SUBSTITUTE(Audio!R477, "RE-", "", 1))*1</f>
        <v>0</v>
      </c>
      <c r="S477" s="92">
        <f>(SUBSTITUTE(Audio!S477, "RE-", "", 1))*1</f>
        <v>12.77461979</v>
      </c>
      <c r="T477" s="92">
        <f>(SUBSTITUTE(Audio!T477, "RE-", "", 1))*1</f>
        <v>0</v>
      </c>
      <c r="U477" s="92">
        <f>(SUBSTITUTE(Audio!U477, "RE-", "", 1))*1</f>
        <v>18.21880417</v>
      </c>
      <c r="V477" s="92">
        <f>(SUBSTITUTE(Audio!V477, "RE-", "", 1))*1</f>
        <v>5.8558625</v>
      </c>
      <c r="W477" s="92">
        <f>(SUBSTITUTE(Audio!W477, "RE-", "", 1))*1</f>
        <v>0</v>
      </c>
      <c r="X477" s="92">
        <f>(SUBSTITUTE(Audio!X477, "RE-", "", 1))*1</f>
        <v>0</v>
      </c>
      <c r="Y477" s="92">
        <f>(SUBSTITUTE(Audio!Y477, "RE-", "", 1))*1</f>
        <v>0</v>
      </c>
      <c r="Z477" s="92">
        <f>(SUBSTITUTE(Audio!Z477, "RE-", "", 1))*1</f>
        <v>0</v>
      </c>
      <c r="AA477" s="92"/>
      <c r="AB477" s="92"/>
      <c r="AC477" s="92"/>
      <c r="AD477" s="92"/>
      <c r="AE477" s="92"/>
      <c r="AF477" s="92"/>
      <c r="AG477" s="92"/>
      <c r="AH477" s="92"/>
      <c r="AI477" s="92"/>
      <c r="AJ477" s="92"/>
      <c r="AK477" s="92"/>
      <c r="AL477" s="92"/>
      <c r="AM477" s="92"/>
      <c r="AN477" s="92"/>
      <c r="AO477" s="92"/>
      <c r="AP477" s="92"/>
      <c r="AQ477" s="92"/>
      <c r="AR477" s="92"/>
      <c r="AS477" s="92"/>
      <c r="AT477" s="92"/>
      <c r="AU477" s="92"/>
      <c r="AV477" s="92"/>
      <c r="AW477" s="92"/>
      <c r="AX477" s="92"/>
      <c r="AY477" s="92"/>
      <c r="AZ477" s="92"/>
      <c r="BA477" s="92"/>
      <c r="BB477" s="92"/>
      <c r="BC477" s="92"/>
      <c r="BD477" s="92"/>
      <c r="BE477" s="92"/>
      <c r="BF477" s="92"/>
      <c r="BG477" s="92"/>
      <c r="BH477" s="92"/>
      <c r="BI477" s="92"/>
      <c r="BJ477" s="92"/>
      <c r="BK477" s="92"/>
      <c r="BL477" s="92"/>
      <c r="BM477" s="92"/>
      <c r="BN477" s="92"/>
      <c r="BO477" s="92"/>
      <c r="BP477" s="92"/>
      <c r="BQ477" s="92"/>
      <c r="BR477" s="92"/>
      <c r="BS477" s="92"/>
      <c r="BT477" s="92"/>
      <c r="BU477" s="92"/>
      <c r="BV477" s="92"/>
      <c r="BW477" s="92"/>
      <c r="BX477" s="92"/>
      <c r="BY477" s="92"/>
      <c r="BZ477" s="92"/>
      <c r="CA477" s="92"/>
      <c r="CB477" s="92"/>
      <c r="CC477" s="92"/>
      <c r="CD477" s="92"/>
      <c r="CE477" s="92"/>
      <c r="CF477" s="92"/>
      <c r="CG477" s="92"/>
      <c r="CH477" s="92"/>
      <c r="CI477" s="92"/>
      <c r="CJ477" s="92"/>
      <c r="CK477" s="92"/>
      <c r="CL477" s="92"/>
      <c r="CM477" s="92"/>
      <c r="CN477" s="92"/>
      <c r="CO477" s="92"/>
      <c r="CP477" s="92"/>
      <c r="CQ477" s="92"/>
      <c r="CR477" s="92"/>
      <c r="CS477" s="92"/>
      <c r="CT477" s="92"/>
      <c r="CU477" s="92"/>
      <c r="CV477" s="92"/>
      <c r="CW477" s="92"/>
      <c r="CX477" s="92"/>
      <c r="CY477" s="92"/>
      <c r="CZ477" s="92"/>
      <c r="DA477" s="92"/>
      <c r="DB477" s="92"/>
      <c r="DC477" s="92"/>
      <c r="DD477" s="92"/>
      <c r="DE477" s="92"/>
      <c r="DF477" s="92"/>
      <c r="DG477" s="92"/>
      <c r="DH477" s="92"/>
      <c r="DI477" s="92"/>
      <c r="DJ477" s="92"/>
      <c r="DK477" s="92"/>
      <c r="DL477" s="92"/>
      <c r="DM477" s="92"/>
      <c r="DN477" s="92"/>
      <c r="DO477" s="92"/>
      <c r="DP477" s="92"/>
      <c r="DQ477" s="92"/>
      <c r="DR477" s="92"/>
      <c r="DS477" s="92"/>
      <c r="DT477" s="92"/>
      <c r="DU477" s="92"/>
      <c r="DV477" s="92"/>
      <c r="DW477" s="92"/>
      <c r="DX477" s="92"/>
      <c r="DY477" s="92"/>
      <c r="DZ477" s="92"/>
      <c r="EA477" s="92"/>
      <c r="EB477" s="92"/>
      <c r="EC477" s="92"/>
      <c r="ED477" s="92"/>
      <c r="EE477" s="92"/>
      <c r="EF477" s="92"/>
      <c r="EG477" s="92"/>
      <c r="EH477" s="92"/>
      <c r="EI477" s="92"/>
      <c r="EJ477" s="92"/>
      <c r="EK477" s="92"/>
      <c r="EL477" s="92"/>
      <c r="EM477" s="92"/>
      <c r="EN477" s="92"/>
      <c r="EO477" s="92"/>
      <c r="EP477" s="92"/>
      <c r="EQ477" s="92"/>
      <c r="ER477" s="92"/>
      <c r="ES477" s="92"/>
      <c r="ET477" s="92"/>
      <c r="EU477" s="92"/>
      <c r="EV477" s="92"/>
      <c r="EW477" s="92"/>
      <c r="EX477" s="92"/>
      <c r="EY477" s="92"/>
      <c r="EZ477" s="92"/>
      <c r="FA477" s="92"/>
      <c r="FB477" s="92"/>
      <c r="FC477" s="92"/>
      <c r="FD477" s="92"/>
      <c r="FE477" s="92"/>
      <c r="FF477" s="92"/>
      <c r="FG477" s="92"/>
      <c r="FH477" s="92"/>
    </row>
    <row r="478">
      <c r="A478" s="32" t="s">
        <v>17</v>
      </c>
      <c r="B478" s="32" t="s">
        <v>84</v>
      </c>
      <c r="C478" s="32" t="s">
        <v>11</v>
      </c>
      <c r="D478" s="97">
        <f t="shared" si="1"/>
        <v>566.7641437</v>
      </c>
      <c r="E478" s="92">
        <f>(SUBSTITUTE(Audio!E478, "RE-", "", 1))*1</f>
        <v>0</v>
      </c>
      <c r="F478" s="92">
        <f>(SUBSTITUTE(Audio!F478, "RE-", "", 1))*1</f>
        <v>0</v>
      </c>
      <c r="G478" s="92">
        <f>(SUBSTITUTE(Audio!G478, "RE-", "", 1))*1</f>
        <v>140.1690042</v>
      </c>
      <c r="H478" s="92">
        <f>(SUBSTITUTE(Audio!H478, "RE-", "", 1))*1</f>
        <v>0</v>
      </c>
      <c r="I478" s="92">
        <f>(SUBSTITUTE(Audio!I478, "RE-", "", 1))*1</f>
        <v>13.91348542</v>
      </c>
      <c r="J478" s="92">
        <f>(SUBSTITUTE(Audio!J478, "RE-", "", 1))*1</f>
        <v>0</v>
      </c>
      <c r="K478" s="92">
        <f>(SUBSTITUTE(Audio!K478, "RE-", "", 1))*1</f>
        <v>19.18278125</v>
      </c>
      <c r="L478" s="92">
        <f>(SUBSTITUTE(Audio!L478, "RE-", "", 1))*1</f>
        <v>0</v>
      </c>
      <c r="M478" s="92">
        <f>(SUBSTITUTE(Audio!M478, "RE-", "", 1))*1</f>
        <v>15.09289271</v>
      </c>
      <c r="N478" s="92">
        <f>(SUBSTITUTE(Audio!N478, "RE-", "", 1))*1</f>
        <v>0</v>
      </c>
      <c r="O478" s="92">
        <f>(SUBSTITUTE(Audio!O478, "RE-", "", 1))*1</f>
        <v>290.9977146</v>
      </c>
      <c r="P478" s="92">
        <f>(SUBSTITUTE(Audio!P478, "RE-", "", 1))*1</f>
        <v>0</v>
      </c>
      <c r="Q478" s="92">
        <f>(SUBSTITUTE(Audio!Q478, "RE-", "", 1))*1</f>
        <v>50.55897917</v>
      </c>
      <c r="R478" s="92">
        <f>(SUBSTITUTE(Audio!R478, "RE-", "", 1))*1</f>
        <v>0</v>
      </c>
      <c r="S478" s="92">
        <f>(SUBSTITUTE(Audio!S478, "RE-", "", 1))*1</f>
        <v>12.77461979</v>
      </c>
      <c r="T478" s="92">
        <f>(SUBSTITUTE(Audio!T478, "RE-", "", 1))*1</f>
        <v>0</v>
      </c>
      <c r="U478" s="92">
        <f>(SUBSTITUTE(Audio!U478, "RE-", "", 1))*1</f>
        <v>18.21880417</v>
      </c>
      <c r="V478" s="92">
        <f>(SUBSTITUTE(Audio!V478, "RE-", "", 1))*1</f>
        <v>5.8558625</v>
      </c>
      <c r="W478" s="92">
        <f>(SUBSTITUTE(Audio!W478, "RE-", "", 1))*1</f>
        <v>0</v>
      </c>
      <c r="X478" s="92">
        <f>(SUBSTITUTE(Audio!X478, "RE-", "", 1))*1</f>
        <v>0</v>
      </c>
      <c r="Y478" s="92">
        <f>(SUBSTITUTE(Audio!Y478, "RE-", "", 1))*1</f>
        <v>0</v>
      </c>
      <c r="Z478" s="92">
        <f>(SUBSTITUTE(Audio!Z478, "RE-", "", 1))*1</f>
        <v>0</v>
      </c>
      <c r="AA478" s="92"/>
      <c r="AB478" s="92"/>
      <c r="AC478" s="92"/>
      <c r="AD478" s="92"/>
      <c r="AE478" s="92"/>
      <c r="AF478" s="92"/>
      <c r="AG478" s="92"/>
      <c r="AH478" s="92"/>
      <c r="AI478" s="92"/>
      <c r="AJ478" s="92"/>
      <c r="AK478" s="92"/>
      <c r="AL478" s="92"/>
      <c r="AM478" s="92"/>
      <c r="AN478" s="92"/>
      <c r="AO478" s="92"/>
      <c r="AP478" s="92"/>
      <c r="AQ478" s="92"/>
      <c r="AR478" s="92"/>
      <c r="AS478" s="92"/>
      <c r="AT478" s="92"/>
      <c r="AU478" s="92"/>
      <c r="AV478" s="92"/>
      <c r="AW478" s="92"/>
      <c r="AX478" s="92"/>
      <c r="AY478" s="92"/>
      <c r="AZ478" s="92"/>
      <c r="BA478" s="92"/>
      <c r="BB478" s="92"/>
      <c r="BC478" s="92"/>
      <c r="BD478" s="92"/>
      <c r="BE478" s="92"/>
      <c r="BF478" s="92"/>
      <c r="BG478" s="92"/>
      <c r="BH478" s="92"/>
      <c r="BI478" s="92"/>
      <c r="BJ478" s="92"/>
      <c r="BK478" s="92"/>
      <c r="BL478" s="92"/>
      <c r="BM478" s="92"/>
      <c r="BN478" s="92"/>
      <c r="BO478" s="92"/>
      <c r="BP478" s="92"/>
      <c r="BQ478" s="92"/>
      <c r="BR478" s="92"/>
      <c r="BS478" s="92"/>
      <c r="BT478" s="92"/>
      <c r="BU478" s="92"/>
      <c r="BV478" s="92"/>
      <c r="BW478" s="92"/>
      <c r="BX478" s="92"/>
      <c r="BY478" s="92"/>
      <c r="BZ478" s="92"/>
      <c r="CA478" s="92"/>
      <c r="CB478" s="92"/>
      <c r="CC478" s="92"/>
      <c r="CD478" s="92"/>
      <c r="CE478" s="92"/>
      <c r="CF478" s="92"/>
      <c r="CG478" s="92"/>
      <c r="CH478" s="92"/>
      <c r="CI478" s="92"/>
      <c r="CJ478" s="92"/>
      <c r="CK478" s="92"/>
      <c r="CL478" s="92"/>
      <c r="CM478" s="92"/>
      <c r="CN478" s="92"/>
      <c r="CO478" s="92"/>
      <c r="CP478" s="92"/>
      <c r="CQ478" s="92"/>
      <c r="CR478" s="92"/>
      <c r="CS478" s="92"/>
      <c r="CT478" s="92"/>
      <c r="CU478" s="92"/>
      <c r="CV478" s="92"/>
      <c r="CW478" s="92"/>
      <c r="CX478" s="92"/>
      <c r="CY478" s="92"/>
      <c r="CZ478" s="92"/>
      <c r="DA478" s="92"/>
      <c r="DB478" s="92"/>
      <c r="DC478" s="92"/>
      <c r="DD478" s="92"/>
      <c r="DE478" s="92"/>
      <c r="DF478" s="92"/>
      <c r="DG478" s="92"/>
      <c r="DH478" s="92"/>
      <c r="DI478" s="92"/>
      <c r="DJ478" s="92"/>
      <c r="DK478" s="92"/>
      <c r="DL478" s="92"/>
      <c r="DM478" s="92"/>
      <c r="DN478" s="92"/>
      <c r="DO478" s="92"/>
      <c r="DP478" s="92"/>
      <c r="DQ478" s="92"/>
      <c r="DR478" s="92"/>
      <c r="DS478" s="92"/>
      <c r="DT478" s="92"/>
      <c r="DU478" s="92"/>
      <c r="DV478" s="92"/>
      <c r="DW478" s="92"/>
      <c r="DX478" s="92"/>
      <c r="DY478" s="92"/>
      <c r="DZ478" s="92"/>
      <c r="EA478" s="92"/>
      <c r="EB478" s="92"/>
      <c r="EC478" s="92"/>
      <c r="ED478" s="92"/>
      <c r="EE478" s="92"/>
      <c r="EF478" s="92"/>
      <c r="EG478" s="92"/>
      <c r="EH478" s="92"/>
      <c r="EI478" s="92"/>
      <c r="EJ478" s="92"/>
      <c r="EK478" s="92"/>
      <c r="EL478" s="92"/>
      <c r="EM478" s="92"/>
      <c r="EN478" s="92"/>
      <c r="EO478" s="92"/>
      <c r="EP478" s="92"/>
      <c r="EQ478" s="92"/>
      <c r="ER478" s="92"/>
      <c r="ES478" s="92"/>
      <c r="ET478" s="92"/>
      <c r="EU478" s="92"/>
      <c r="EV478" s="92"/>
      <c r="EW478" s="92"/>
      <c r="EX478" s="92"/>
      <c r="EY478" s="92"/>
      <c r="EZ478" s="92"/>
      <c r="FA478" s="92"/>
      <c r="FB478" s="92"/>
      <c r="FC478" s="92"/>
      <c r="FD478" s="92"/>
      <c r="FE478" s="92"/>
      <c r="FF478" s="92"/>
      <c r="FG478" s="92"/>
      <c r="FH478" s="92"/>
    </row>
    <row r="479">
      <c r="A479" s="32" t="s">
        <v>17</v>
      </c>
      <c r="B479" s="32" t="s">
        <v>84</v>
      </c>
      <c r="C479" s="32" t="s">
        <v>12</v>
      </c>
      <c r="D479" s="97">
        <f t="shared" si="1"/>
        <v>4380.846562</v>
      </c>
      <c r="E479" s="92">
        <f>(SUBSTITUTE(Audio!E479, "RE-", "", 1))*1</f>
        <v>0</v>
      </c>
      <c r="F479" s="92">
        <f>(SUBSTITUTE(Audio!F479, "RE-", "", 1))*1</f>
        <v>848.789875</v>
      </c>
      <c r="G479" s="92">
        <f>(SUBSTITUTE(Audio!G479, "RE-", "", 1))*1</f>
        <v>5.862820833</v>
      </c>
      <c r="H479" s="92">
        <f>(SUBSTITUTE(Audio!H479, "RE-", "", 1))*1</f>
        <v>168.4609417</v>
      </c>
      <c r="I479" s="92">
        <f>(SUBSTITUTE(Audio!I479, "RE-", "", 1))*1</f>
        <v>0</v>
      </c>
      <c r="J479" s="92">
        <f>(SUBSTITUTE(Audio!J479, "RE-", "", 1))*1</f>
        <v>273.9624417</v>
      </c>
      <c r="K479" s="92">
        <f>(SUBSTITUTE(Audio!K479, "RE-", "", 1))*1</f>
        <v>1.8736625</v>
      </c>
      <c r="L479" s="92">
        <f>(SUBSTITUTE(Audio!L479, "RE-", "", 1))*1</f>
        <v>496.1400312</v>
      </c>
      <c r="M479" s="92">
        <f>(SUBSTITUTE(Audio!M479, "RE-", "", 1))*1</f>
        <v>6.151704167</v>
      </c>
      <c r="N479" s="92">
        <f>(SUBSTITUTE(Audio!N479, "RE-", "", 1))*1</f>
        <v>1672.586804</v>
      </c>
      <c r="O479" s="92">
        <f>(SUBSTITUTE(Audio!O479, "RE-", "", 1))*1</f>
        <v>11.92287708</v>
      </c>
      <c r="P479" s="92">
        <f>(SUBSTITUTE(Audio!P479, "RE-", "", 1))*1</f>
        <v>261.6114563</v>
      </c>
      <c r="Q479" s="92">
        <f>(SUBSTITUTE(Audio!Q479, "RE-", "", 1))*1</f>
        <v>17.82778125</v>
      </c>
      <c r="R479" s="92">
        <f>(SUBSTITUTE(Audio!R479, "RE-", "", 1))*1</f>
        <v>339.4462031</v>
      </c>
      <c r="S479" s="92">
        <f>(SUBSTITUTE(Audio!S479, "RE-", "", 1))*1</f>
        <v>5.955588542</v>
      </c>
      <c r="T479" s="92">
        <f>(SUBSTITUTE(Audio!T479, "RE-", "", 1))*1</f>
        <v>257.0781646</v>
      </c>
      <c r="U479" s="92">
        <f>(SUBSTITUTE(Audio!U479, "RE-", "", 1))*1</f>
        <v>8.367445833</v>
      </c>
      <c r="V479" s="92">
        <f>(SUBSTITUTE(Audio!V479, "RE-", "", 1))*1</f>
        <v>4.808764583</v>
      </c>
      <c r="W479" s="92">
        <f>(SUBSTITUTE(Audio!W479, "RE-", "", 1))*1</f>
        <v>0</v>
      </c>
      <c r="X479" s="92">
        <f>(SUBSTITUTE(Audio!X479, "RE-", "", 1))*1</f>
        <v>0</v>
      </c>
      <c r="Y479" s="92">
        <f>(SUBSTITUTE(Audio!Y479, "RE-", "", 1))*1</f>
        <v>0</v>
      </c>
      <c r="Z479" s="92">
        <f>(SUBSTITUTE(Audio!Z479, "RE-", "", 1))*1</f>
        <v>0</v>
      </c>
      <c r="AA479" s="92"/>
      <c r="AB479" s="92"/>
      <c r="AC479" s="92"/>
      <c r="AD479" s="92"/>
      <c r="AE479" s="92"/>
      <c r="AF479" s="92"/>
      <c r="AG479" s="92"/>
      <c r="AH479" s="92"/>
      <c r="AI479" s="92"/>
      <c r="AJ479" s="92"/>
      <c r="AK479" s="92"/>
      <c r="AL479" s="92"/>
      <c r="AM479" s="92"/>
      <c r="AN479" s="92"/>
      <c r="AO479" s="92"/>
      <c r="AP479" s="92"/>
      <c r="AQ479" s="92"/>
      <c r="AR479" s="92"/>
      <c r="AS479" s="92"/>
      <c r="AT479" s="92"/>
      <c r="AU479" s="92"/>
      <c r="AV479" s="92"/>
      <c r="AW479" s="92"/>
      <c r="AX479" s="92"/>
      <c r="AY479" s="92"/>
      <c r="AZ479" s="92"/>
      <c r="BA479" s="92"/>
      <c r="BB479" s="92"/>
      <c r="BC479" s="92"/>
      <c r="BD479" s="92"/>
      <c r="BE479" s="92"/>
      <c r="BF479" s="92"/>
      <c r="BG479" s="92"/>
      <c r="BH479" s="92"/>
      <c r="BI479" s="92"/>
      <c r="BJ479" s="92"/>
      <c r="BK479" s="92"/>
      <c r="BL479" s="92"/>
      <c r="BM479" s="92"/>
      <c r="BN479" s="92"/>
      <c r="BO479" s="92"/>
      <c r="BP479" s="92"/>
      <c r="BQ479" s="92"/>
      <c r="BR479" s="92"/>
      <c r="BS479" s="92"/>
      <c r="BT479" s="92"/>
      <c r="BU479" s="92"/>
      <c r="BV479" s="92"/>
      <c r="BW479" s="92"/>
      <c r="BX479" s="92"/>
      <c r="BY479" s="92"/>
      <c r="BZ479" s="92"/>
      <c r="CA479" s="92"/>
      <c r="CB479" s="92"/>
      <c r="CC479" s="92"/>
      <c r="CD479" s="92"/>
      <c r="CE479" s="92"/>
      <c r="CF479" s="92"/>
      <c r="CG479" s="92"/>
      <c r="CH479" s="92"/>
      <c r="CI479" s="92"/>
      <c r="CJ479" s="92"/>
      <c r="CK479" s="92"/>
      <c r="CL479" s="92"/>
      <c r="CM479" s="92"/>
      <c r="CN479" s="92"/>
      <c r="CO479" s="92"/>
      <c r="CP479" s="92"/>
      <c r="CQ479" s="92"/>
      <c r="CR479" s="92"/>
      <c r="CS479" s="92"/>
      <c r="CT479" s="92"/>
      <c r="CU479" s="92"/>
      <c r="CV479" s="92"/>
      <c r="CW479" s="92"/>
      <c r="CX479" s="92"/>
      <c r="CY479" s="92"/>
      <c r="CZ479" s="92"/>
      <c r="DA479" s="92"/>
      <c r="DB479" s="92"/>
      <c r="DC479" s="92"/>
      <c r="DD479" s="92"/>
      <c r="DE479" s="92"/>
      <c r="DF479" s="92"/>
      <c r="DG479" s="92"/>
      <c r="DH479" s="92"/>
      <c r="DI479" s="92"/>
      <c r="DJ479" s="92"/>
      <c r="DK479" s="92"/>
      <c r="DL479" s="92"/>
      <c r="DM479" s="92"/>
      <c r="DN479" s="92"/>
      <c r="DO479" s="92"/>
      <c r="DP479" s="92"/>
      <c r="DQ479" s="92"/>
      <c r="DR479" s="92"/>
      <c r="DS479" s="92"/>
      <c r="DT479" s="92"/>
      <c r="DU479" s="92"/>
      <c r="DV479" s="92"/>
      <c r="DW479" s="92"/>
      <c r="DX479" s="92"/>
      <c r="DY479" s="92"/>
      <c r="DZ479" s="92"/>
      <c r="EA479" s="92"/>
      <c r="EB479" s="92"/>
      <c r="EC479" s="92"/>
      <c r="ED479" s="92"/>
      <c r="EE479" s="92"/>
      <c r="EF479" s="92"/>
      <c r="EG479" s="92"/>
      <c r="EH479" s="92"/>
      <c r="EI479" s="92"/>
      <c r="EJ479" s="92"/>
      <c r="EK479" s="92"/>
      <c r="EL479" s="92"/>
      <c r="EM479" s="92"/>
      <c r="EN479" s="92"/>
      <c r="EO479" s="92"/>
      <c r="EP479" s="92"/>
      <c r="EQ479" s="92"/>
      <c r="ER479" s="92"/>
      <c r="ES479" s="92"/>
      <c r="ET479" s="92"/>
      <c r="EU479" s="92"/>
      <c r="EV479" s="92"/>
      <c r="EW479" s="92"/>
      <c r="EX479" s="92"/>
      <c r="EY479" s="92"/>
      <c r="EZ479" s="92"/>
      <c r="FA479" s="92"/>
      <c r="FB479" s="92"/>
      <c r="FC479" s="92"/>
      <c r="FD479" s="92"/>
      <c r="FE479" s="92"/>
      <c r="FF479" s="92"/>
      <c r="FG479" s="92"/>
      <c r="FH479" s="92"/>
    </row>
    <row r="480">
      <c r="A480" s="32" t="s">
        <v>17</v>
      </c>
      <c r="B480" s="32" t="s">
        <v>84</v>
      </c>
      <c r="C480" s="32" t="s">
        <v>13</v>
      </c>
      <c r="D480" s="97">
        <f t="shared" si="1"/>
        <v>4216.07447</v>
      </c>
      <c r="E480" s="92">
        <f>(SUBSTITUTE(Audio!E480, "RE-", "", 1))*1</f>
        <v>0</v>
      </c>
      <c r="F480" s="92">
        <f>(SUBSTITUTE(Audio!F480, "RE-", "", 1))*1</f>
        <v>806.164</v>
      </c>
      <c r="G480" s="92">
        <f>(SUBSTITUTE(Audio!G480, "RE-", "", 1))*1</f>
        <v>5.40252</v>
      </c>
      <c r="H480" s="92">
        <f>(SUBSTITUTE(Audio!H480, "RE-", "", 1))*1</f>
        <v>161.081</v>
      </c>
      <c r="I480" s="92">
        <f>(SUBSTITUTE(Audio!I480, "RE-", "", 1))*1</f>
        <v>0</v>
      </c>
      <c r="J480" s="92">
        <f>(SUBSTITUTE(Audio!J480, "RE-", "", 1))*1</f>
        <v>268.717</v>
      </c>
      <c r="K480" s="92">
        <f>(SUBSTITUTE(Audio!K480, "RE-", "", 1))*1</f>
        <v>1.79457</v>
      </c>
      <c r="L480" s="92">
        <f>(SUBSTITUTE(Audio!L480, "RE-", "", 1))*1</f>
        <v>477.41</v>
      </c>
      <c r="M480" s="92">
        <f>(SUBSTITUTE(Audio!M480, "RE-", "", 1))*1</f>
        <v>5.84398</v>
      </c>
      <c r="N480" s="92">
        <f>(SUBSTITUTE(Audio!N480, "RE-", "", 1))*1</f>
        <v>1617.92</v>
      </c>
      <c r="O480" s="92">
        <f>(SUBSTITUTE(Audio!O480, "RE-", "", 1))*1</f>
        <v>11.3259</v>
      </c>
      <c r="P480" s="92">
        <f>(SUBSTITUTE(Audio!P480, "RE-", "", 1))*1</f>
        <v>251.331</v>
      </c>
      <c r="Q480" s="92">
        <f>(SUBSTITUTE(Audio!Q480, "RE-", "", 1))*1</f>
        <v>16.7889</v>
      </c>
      <c r="R480" s="92">
        <f>(SUBSTITUTE(Audio!R480, "RE-", "", 1))*1</f>
        <v>326.288</v>
      </c>
      <c r="S480" s="92">
        <f>(SUBSTITUTE(Audio!S480, "RE-", "", 1))*1</f>
        <v>5.35</v>
      </c>
      <c r="T480" s="92">
        <f>(SUBSTITUTE(Audio!T480, "RE-", "", 1))*1</f>
        <v>248.176</v>
      </c>
      <c r="U480" s="92">
        <f>(SUBSTITUTE(Audio!U480, "RE-", "", 1))*1</f>
        <v>7.92933</v>
      </c>
      <c r="V480" s="92">
        <f>(SUBSTITUTE(Audio!V480, "RE-", "", 1))*1</f>
        <v>4.55227</v>
      </c>
      <c r="W480" s="92">
        <f>(SUBSTITUTE(Audio!W480, "RE-", "", 1))*1</f>
        <v>0</v>
      </c>
      <c r="X480" s="92">
        <f>(SUBSTITUTE(Audio!X480, "RE-", "", 1))*1</f>
        <v>0</v>
      </c>
      <c r="Y480" s="92">
        <f>(SUBSTITUTE(Audio!Y480, "RE-", "", 1))*1</f>
        <v>0</v>
      </c>
      <c r="Z480" s="92">
        <f>(SUBSTITUTE(Audio!Z480, "RE-", "", 1))*1</f>
        <v>0</v>
      </c>
      <c r="AA480" s="92"/>
      <c r="AB480" s="92"/>
      <c r="AC480" s="92"/>
      <c r="AD480" s="92"/>
      <c r="AE480" s="92"/>
      <c r="AF480" s="92"/>
      <c r="AG480" s="92"/>
      <c r="AH480" s="92"/>
      <c r="AI480" s="92"/>
      <c r="AJ480" s="92"/>
      <c r="AK480" s="92"/>
      <c r="AL480" s="92"/>
      <c r="AM480" s="92"/>
      <c r="AN480" s="92"/>
      <c r="AO480" s="92"/>
      <c r="AP480" s="92"/>
      <c r="AQ480" s="92"/>
      <c r="AR480" s="92"/>
      <c r="AS480" s="92"/>
      <c r="AT480" s="92"/>
      <c r="AU480" s="92"/>
      <c r="AV480" s="92"/>
      <c r="AW480" s="92"/>
      <c r="AX480" s="92"/>
      <c r="AY480" s="92"/>
      <c r="AZ480" s="92"/>
      <c r="BA480" s="92"/>
      <c r="BB480" s="92"/>
      <c r="BC480" s="92"/>
      <c r="BD480" s="92"/>
      <c r="BE480" s="92"/>
      <c r="BF480" s="92"/>
      <c r="BG480" s="92"/>
      <c r="BH480" s="92"/>
      <c r="BI480" s="92"/>
      <c r="BJ480" s="92"/>
      <c r="BK480" s="92"/>
      <c r="BL480" s="92"/>
      <c r="BM480" s="92"/>
      <c r="BN480" s="92"/>
      <c r="BO480" s="92"/>
      <c r="BP480" s="92"/>
      <c r="BQ480" s="92"/>
      <c r="BR480" s="92"/>
      <c r="BS480" s="92"/>
      <c r="BT480" s="92"/>
      <c r="BU480" s="92"/>
      <c r="BV480" s="92"/>
      <c r="BW480" s="92"/>
      <c r="BX480" s="92"/>
      <c r="BY480" s="92"/>
      <c r="BZ480" s="92"/>
      <c r="CA480" s="92"/>
      <c r="CB480" s="92"/>
      <c r="CC480" s="92"/>
      <c r="CD480" s="92"/>
      <c r="CE480" s="92"/>
      <c r="CF480" s="92"/>
      <c r="CG480" s="92"/>
      <c r="CH480" s="92"/>
      <c r="CI480" s="92"/>
      <c r="CJ480" s="92"/>
      <c r="CK480" s="92"/>
      <c r="CL480" s="92"/>
      <c r="CM480" s="92"/>
      <c r="CN480" s="92"/>
      <c r="CO480" s="92"/>
      <c r="CP480" s="92"/>
      <c r="CQ480" s="92"/>
      <c r="CR480" s="92"/>
      <c r="CS480" s="92"/>
      <c r="CT480" s="92"/>
      <c r="CU480" s="92"/>
      <c r="CV480" s="92"/>
      <c r="CW480" s="92"/>
      <c r="CX480" s="92"/>
      <c r="CY480" s="92"/>
      <c r="CZ480" s="92"/>
      <c r="DA480" s="92"/>
      <c r="DB480" s="92"/>
      <c r="DC480" s="92"/>
      <c r="DD480" s="92"/>
      <c r="DE480" s="92"/>
      <c r="DF480" s="92"/>
      <c r="DG480" s="92"/>
      <c r="DH480" s="92"/>
      <c r="DI480" s="92"/>
      <c r="DJ480" s="92"/>
      <c r="DK480" s="92"/>
      <c r="DL480" s="92"/>
      <c r="DM480" s="92"/>
      <c r="DN480" s="92"/>
      <c r="DO480" s="92"/>
      <c r="DP480" s="92"/>
      <c r="DQ480" s="92"/>
      <c r="DR480" s="92"/>
      <c r="DS480" s="92"/>
      <c r="DT480" s="92"/>
      <c r="DU480" s="92"/>
      <c r="DV480" s="92"/>
      <c r="DW480" s="92"/>
      <c r="DX480" s="92"/>
      <c r="DY480" s="92"/>
      <c r="DZ480" s="92"/>
      <c r="EA480" s="92"/>
      <c r="EB480" s="92"/>
      <c r="EC480" s="92"/>
      <c r="ED480" s="92"/>
      <c r="EE480" s="92"/>
      <c r="EF480" s="92"/>
      <c r="EG480" s="92"/>
      <c r="EH480" s="92"/>
      <c r="EI480" s="92"/>
      <c r="EJ480" s="92"/>
      <c r="EK480" s="92"/>
      <c r="EL480" s="92"/>
      <c r="EM480" s="92"/>
      <c r="EN480" s="92"/>
      <c r="EO480" s="92"/>
      <c r="EP480" s="92"/>
      <c r="EQ480" s="92"/>
      <c r="ER480" s="92"/>
      <c r="ES480" s="92"/>
      <c r="ET480" s="92"/>
      <c r="EU480" s="92"/>
      <c r="EV480" s="92"/>
      <c r="EW480" s="92"/>
      <c r="EX480" s="92"/>
      <c r="EY480" s="92"/>
      <c r="EZ480" s="92"/>
      <c r="FA480" s="92"/>
      <c r="FB480" s="92"/>
      <c r="FC480" s="92"/>
      <c r="FD480" s="92"/>
      <c r="FE480" s="92"/>
      <c r="FF480" s="92"/>
      <c r="FG480" s="92"/>
      <c r="FH480" s="92"/>
    </row>
    <row r="481">
      <c r="A481" s="32" t="s">
        <v>17</v>
      </c>
      <c r="B481" s="32" t="s">
        <v>84</v>
      </c>
      <c r="C481" s="32" t="s">
        <v>14</v>
      </c>
      <c r="D481" s="97">
        <f t="shared" si="1"/>
        <v>3651.25786</v>
      </c>
      <c r="E481" s="92">
        <f>(SUBSTITUTE(Audio!E481, "RE-", "", 1))*1</f>
        <v>0</v>
      </c>
      <c r="F481" s="92">
        <f>(SUBSTITUTE(Audio!F481, "RE-", "", 1))*1</f>
        <v>716.301</v>
      </c>
      <c r="G481" s="92">
        <f>(SUBSTITUTE(Audio!G481, "RE-", "", 1))*1</f>
        <v>4.90322</v>
      </c>
      <c r="H481" s="92">
        <f>(SUBSTITUTE(Audio!H481, "RE-", "", 1))*1</f>
        <v>145.668</v>
      </c>
      <c r="I481" s="92">
        <f>(SUBSTITUTE(Audio!I481, "RE-", "", 1))*1</f>
        <v>0</v>
      </c>
      <c r="J481" s="92">
        <f>(SUBSTITUTE(Audio!J481, "RE-", "", 1))*1</f>
        <v>219.789</v>
      </c>
      <c r="K481" s="92">
        <f>(SUBSTITUTE(Audio!K481, "RE-", "", 1))*1</f>
        <v>1.79457</v>
      </c>
      <c r="L481" s="92">
        <f>(SUBSTITUTE(Audio!L481, "RE-", "", 1))*1</f>
        <v>410.799</v>
      </c>
      <c r="M481" s="92">
        <f>(SUBSTITUTE(Audio!M481, "RE-", "", 1))*1</f>
        <v>4.90845</v>
      </c>
      <c r="N481" s="92">
        <f>(SUBSTITUTE(Audio!N481, "RE-", "", 1))*1</f>
        <v>1421.76</v>
      </c>
      <c r="O481" s="92">
        <f>(SUBSTITUTE(Audio!O481, "RE-", "", 1))*1</f>
        <v>10.8554</v>
      </c>
      <c r="P481" s="92">
        <f>(SUBSTITUTE(Audio!P481, "RE-", "", 1))*1</f>
        <v>208.172</v>
      </c>
      <c r="Q481" s="92">
        <f>(SUBSTITUTE(Audio!Q481, "RE-", "", 1))*1</f>
        <v>14.5326</v>
      </c>
      <c r="R481" s="92">
        <f>(SUBSTITUTE(Audio!R481, "RE-", "", 1))*1</f>
        <v>275.233</v>
      </c>
      <c r="S481" s="92">
        <f>(SUBSTITUTE(Audio!S481, "RE-", "", 1))*1</f>
        <v>5.2277</v>
      </c>
      <c r="T481" s="92">
        <f>(SUBSTITUTE(Audio!T481, "RE-", "", 1))*1</f>
        <v>201.566</v>
      </c>
      <c r="U481" s="92">
        <f>(SUBSTITUTE(Audio!U481, "RE-", "", 1))*1</f>
        <v>6.4211</v>
      </c>
      <c r="V481" s="92">
        <f>(SUBSTITUTE(Audio!V481, "RE-", "", 1))*1</f>
        <v>3.32682</v>
      </c>
      <c r="W481" s="92">
        <f>(SUBSTITUTE(Audio!W481, "RE-", "", 1))*1</f>
        <v>0</v>
      </c>
      <c r="X481" s="92">
        <f>(SUBSTITUTE(Audio!X481, "RE-", "", 1))*1</f>
        <v>0</v>
      </c>
      <c r="Y481" s="92">
        <f>(SUBSTITUTE(Audio!Y481, "RE-", "", 1))*1</f>
        <v>0</v>
      </c>
      <c r="Z481" s="92">
        <f>(SUBSTITUTE(Audio!Z481, "RE-", "", 1))*1</f>
        <v>0</v>
      </c>
      <c r="AA481" s="92"/>
      <c r="AB481" s="92"/>
      <c r="AC481" s="92"/>
      <c r="AD481" s="92"/>
      <c r="AE481" s="92"/>
      <c r="AF481" s="92"/>
      <c r="AG481" s="92"/>
      <c r="AH481" s="92"/>
      <c r="AI481" s="92"/>
      <c r="AJ481" s="92"/>
      <c r="AK481" s="92"/>
      <c r="AL481" s="92"/>
      <c r="AM481" s="92"/>
      <c r="AN481" s="92"/>
      <c r="AO481" s="92"/>
      <c r="AP481" s="92"/>
      <c r="AQ481" s="92"/>
      <c r="AR481" s="92"/>
      <c r="AS481" s="92"/>
      <c r="AT481" s="92"/>
      <c r="AU481" s="92"/>
      <c r="AV481" s="92"/>
      <c r="AW481" s="92"/>
      <c r="AX481" s="92"/>
      <c r="AY481" s="92"/>
      <c r="AZ481" s="92"/>
      <c r="BA481" s="92"/>
      <c r="BB481" s="92"/>
      <c r="BC481" s="92"/>
      <c r="BD481" s="92"/>
      <c r="BE481" s="92"/>
      <c r="BF481" s="92"/>
      <c r="BG481" s="92"/>
      <c r="BH481" s="92"/>
      <c r="BI481" s="92"/>
      <c r="BJ481" s="92"/>
      <c r="BK481" s="92"/>
      <c r="BL481" s="92"/>
      <c r="BM481" s="92"/>
      <c r="BN481" s="92"/>
      <c r="BO481" s="92"/>
      <c r="BP481" s="92"/>
      <c r="BQ481" s="92"/>
      <c r="BR481" s="92"/>
      <c r="BS481" s="92"/>
      <c r="BT481" s="92"/>
      <c r="BU481" s="92"/>
      <c r="BV481" s="92"/>
      <c r="BW481" s="92"/>
      <c r="BX481" s="92"/>
      <c r="BY481" s="92"/>
      <c r="BZ481" s="92"/>
      <c r="CA481" s="92"/>
      <c r="CB481" s="92"/>
      <c r="CC481" s="92"/>
      <c r="CD481" s="92"/>
      <c r="CE481" s="92"/>
      <c r="CF481" s="92"/>
      <c r="CG481" s="92"/>
      <c r="CH481" s="92"/>
      <c r="CI481" s="92"/>
      <c r="CJ481" s="92"/>
      <c r="CK481" s="92"/>
      <c r="CL481" s="92"/>
      <c r="CM481" s="92"/>
      <c r="CN481" s="92"/>
      <c r="CO481" s="92"/>
      <c r="CP481" s="92"/>
      <c r="CQ481" s="92"/>
      <c r="CR481" s="92"/>
      <c r="CS481" s="92"/>
      <c r="CT481" s="92"/>
      <c r="CU481" s="92"/>
      <c r="CV481" s="92"/>
      <c r="CW481" s="92"/>
      <c r="CX481" s="92"/>
      <c r="CY481" s="92"/>
      <c r="CZ481" s="92"/>
      <c r="DA481" s="92"/>
      <c r="DB481" s="92"/>
      <c r="DC481" s="92"/>
      <c r="DD481" s="92"/>
      <c r="DE481" s="92"/>
      <c r="DF481" s="92"/>
      <c r="DG481" s="92"/>
      <c r="DH481" s="92"/>
      <c r="DI481" s="92"/>
      <c r="DJ481" s="92"/>
      <c r="DK481" s="92"/>
      <c r="DL481" s="92"/>
      <c r="DM481" s="92"/>
      <c r="DN481" s="92"/>
      <c r="DO481" s="92"/>
      <c r="DP481" s="92"/>
      <c r="DQ481" s="92"/>
      <c r="DR481" s="92"/>
      <c r="DS481" s="92"/>
      <c r="DT481" s="92"/>
      <c r="DU481" s="92"/>
      <c r="DV481" s="92"/>
      <c r="DW481" s="92"/>
      <c r="DX481" s="92"/>
      <c r="DY481" s="92"/>
      <c r="DZ481" s="92"/>
      <c r="EA481" s="92"/>
      <c r="EB481" s="92"/>
      <c r="EC481" s="92"/>
      <c r="ED481" s="92"/>
      <c r="EE481" s="92"/>
      <c r="EF481" s="92"/>
      <c r="EG481" s="92"/>
      <c r="EH481" s="92"/>
      <c r="EI481" s="92"/>
      <c r="EJ481" s="92"/>
      <c r="EK481" s="92"/>
      <c r="EL481" s="92"/>
      <c r="EM481" s="92"/>
      <c r="EN481" s="92"/>
      <c r="EO481" s="92"/>
      <c r="EP481" s="92"/>
      <c r="EQ481" s="92"/>
      <c r="ER481" s="92"/>
      <c r="ES481" s="92"/>
      <c r="ET481" s="92"/>
      <c r="EU481" s="92"/>
      <c r="EV481" s="92"/>
      <c r="EW481" s="92"/>
      <c r="EX481" s="92"/>
      <c r="EY481" s="92"/>
      <c r="EZ481" s="92"/>
      <c r="FA481" s="92"/>
      <c r="FB481" s="92"/>
      <c r="FC481" s="92"/>
      <c r="FD481" s="92"/>
      <c r="FE481" s="92"/>
      <c r="FF481" s="92"/>
      <c r="FG481" s="92"/>
      <c r="FH481" s="92"/>
    </row>
    <row r="482">
      <c r="A482" s="27" t="s">
        <v>17</v>
      </c>
      <c r="B482" s="27" t="s">
        <v>84</v>
      </c>
      <c r="C482" s="27" t="s">
        <v>15</v>
      </c>
      <c r="D482" s="98">
        <f t="shared" si="1"/>
        <v>4215.98847</v>
      </c>
      <c r="E482" s="92">
        <f>(SUBSTITUTE(Audio!E482, "RE-", "", 1))*1</f>
        <v>0</v>
      </c>
      <c r="F482" s="92">
        <f>(SUBSTITUTE(Audio!F482, "RE-", "", 1))*1</f>
        <v>806.164</v>
      </c>
      <c r="G482" s="92">
        <f>(SUBSTITUTE(Audio!G482, "RE-", "", 1))*1</f>
        <v>5.40252</v>
      </c>
      <c r="H482" s="92">
        <f>(SUBSTITUTE(Audio!H482, "RE-", "", 1))*1</f>
        <v>161.081</v>
      </c>
      <c r="I482" s="92">
        <f>(SUBSTITUTE(Audio!I482, "RE-", "", 1))*1</f>
        <v>0</v>
      </c>
      <c r="J482" s="92">
        <f>(SUBSTITUTE(Audio!J482, "RE-", "", 1))*1</f>
        <v>268.717</v>
      </c>
      <c r="K482" s="92">
        <f>(SUBSTITUTE(Audio!K482, "RE-", "", 1))*1</f>
        <v>1.79457</v>
      </c>
      <c r="L482" s="92">
        <f>(SUBSTITUTE(Audio!L482, "RE-", "", 1))*1</f>
        <v>477.324</v>
      </c>
      <c r="M482" s="92">
        <f>(SUBSTITUTE(Audio!M482, "RE-", "", 1))*1</f>
        <v>5.84398</v>
      </c>
      <c r="N482" s="92">
        <f>(SUBSTITUTE(Audio!N482, "RE-", "", 1))*1</f>
        <v>1617.92</v>
      </c>
      <c r="O482" s="92">
        <f>(SUBSTITUTE(Audio!O482, "RE-", "", 1))*1</f>
        <v>11.3259</v>
      </c>
      <c r="P482" s="92">
        <f>(SUBSTITUTE(Audio!P482, "RE-", "", 1))*1</f>
        <v>251.331</v>
      </c>
      <c r="Q482" s="92">
        <f>(SUBSTITUTE(Audio!Q482, "RE-", "", 1))*1</f>
        <v>16.7889</v>
      </c>
      <c r="R482" s="92">
        <f>(SUBSTITUTE(Audio!R482, "RE-", "", 1))*1</f>
        <v>326.288</v>
      </c>
      <c r="S482" s="92">
        <f>(SUBSTITUTE(Audio!S482, "RE-", "", 1))*1</f>
        <v>5.35</v>
      </c>
      <c r="T482" s="92">
        <f>(SUBSTITUTE(Audio!T482, "RE-", "", 1))*1</f>
        <v>248.176</v>
      </c>
      <c r="U482" s="92">
        <f>(SUBSTITUTE(Audio!U482, "RE-", "", 1))*1</f>
        <v>7.92933</v>
      </c>
      <c r="V482" s="92">
        <f>(SUBSTITUTE(Audio!V482, "RE-", "", 1))*1</f>
        <v>4.55227</v>
      </c>
      <c r="W482" s="92">
        <f>(SUBSTITUTE(Audio!W482, "RE-", "", 1))*1</f>
        <v>0</v>
      </c>
      <c r="X482" s="92">
        <f>(SUBSTITUTE(Audio!X482, "RE-", "", 1))*1</f>
        <v>0</v>
      </c>
      <c r="Y482" s="92">
        <f>(SUBSTITUTE(Audio!Y482, "RE-", "", 1))*1</f>
        <v>0</v>
      </c>
      <c r="Z482" s="92">
        <f>(SUBSTITUTE(Audio!Z482, "RE-", "", 1))*1</f>
        <v>0</v>
      </c>
      <c r="AA482" s="92"/>
      <c r="AB482" s="92"/>
      <c r="AC482" s="92"/>
      <c r="AD482" s="92"/>
      <c r="AE482" s="92"/>
      <c r="AF482" s="92"/>
      <c r="AG482" s="92"/>
      <c r="AH482" s="92"/>
      <c r="AI482" s="92"/>
      <c r="AJ482" s="92"/>
      <c r="AK482" s="92"/>
      <c r="AL482" s="92"/>
      <c r="AM482" s="92"/>
      <c r="AN482" s="92"/>
      <c r="AO482" s="92"/>
      <c r="AP482" s="92"/>
      <c r="AQ482" s="92"/>
      <c r="AR482" s="92"/>
      <c r="AS482" s="92"/>
      <c r="AT482" s="92"/>
      <c r="AU482" s="92"/>
      <c r="AV482" s="92"/>
      <c r="AW482" s="92"/>
      <c r="AX482" s="92"/>
      <c r="AY482" s="92"/>
      <c r="AZ482" s="92"/>
      <c r="BA482" s="92"/>
      <c r="BB482" s="92"/>
      <c r="BC482" s="92"/>
      <c r="BD482" s="92"/>
      <c r="BE482" s="92"/>
      <c r="BF482" s="92"/>
      <c r="BG482" s="92"/>
      <c r="BH482" s="92"/>
      <c r="BI482" s="92"/>
      <c r="BJ482" s="92"/>
      <c r="BK482" s="92"/>
      <c r="BL482" s="92"/>
      <c r="BM482" s="92"/>
      <c r="BN482" s="92"/>
      <c r="BO482" s="92"/>
      <c r="BP482" s="92"/>
      <c r="BQ482" s="92"/>
      <c r="BR482" s="92"/>
      <c r="BS482" s="92"/>
      <c r="BT482" s="92"/>
      <c r="BU482" s="92"/>
      <c r="BV482" s="92"/>
      <c r="BW482" s="92"/>
      <c r="BX482" s="92"/>
      <c r="BY482" s="92"/>
      <c r="BZ482" s="92"/>
      <c r="CA482" s="92"/>
      <c r="CB482" s="92"/>
      <c r="CC482" s="92"/>
      <c r="CD482" s="92"/>
      <c r="CE482" s="92"/>
      <c r="CF482" s="92"/>
      <c r="CG482" s="92"/>
      <c r="CH482" s="92"/>
      <c r="CI482" s="92"/>
      <c r="CJ482" s="92"/>
      <c r="CK482" s="92"/>
      <c r="CL482" s="92"/>
      <c r="CM482" s="92"/>
      <c r="CN482" s="92"/>
      <c r="CO482" s="92"/>
      <c r="CP482" s="92"/>
      <c r="CQ482" s="92"/>
      <c r="CR482" s="92"/>
      <c r="CS482" s="92"/>
      <c r="CT482" s="92"/>
      <c r="CU482" s="92"/>
      <c r="CV482" s="92"/>
      <c r="CW482" s="92"/>
      <c r="CX482" s="92"/>
      <c r="CY482" s="92"/>
      <c r="CZ482" s="92"/>
      <c r="DA482" s="92"/>
      <c r="DB482" s="92"/>
      <c r="DC482" s="92"/>
      <c r="DD482" s="92"/>
      <c r="DE482" s="92"/>
      <c r="DF482" s="92"/>
      <c r="DG482" s="92"/>
      <c r="DH482" s="92"/>
      <c r="DI482" s="92"/>
      <c r="DJ482" s="92"/>
      <c r="DK482" s="92"/>
      <c r="DL482" s="92"/>
      <c r="DM482" s="92"/>
      <c r="DN482" s="92"/>
      <c r="DO482" s="92"/>
      <c r="DP482" s="92"/>
      <c r="DQ482" s="92"/>
      <c r="DR482" s="92"/>
      <c r="DS482" s="92"/>
      <c r="DT482" s="92"/>
      <c r="DU482" s="92"/>
      <c r="DV482" s="92"/>
      <c r="DW482" s="92"/>
      <c r="DX482" s="92"/>
      <c r="DY482" s="92"/>
      <c r="DZ482" s="92"/>
      <c r="EA482" s="92"/>
      <c r="EB482" s="92"/>
      <c r="EC482" s="92"/>
      <c r="ED482" s="92"/>
      <c r="EE482" s="92"/>
      <c r="EF482" s="92"/>
      <c r="EG482" s="92"/>
      <c r="EH482" s="92"/>
      <c r="EI482" s="92"/>
      <c r="EJ482" s="92"/>
      <c r="EK482" s="92"/>
      <c r="EL482" s="92"/>
      <c r="EM482" s="92"/>
      <c r="EN482" s="92"/>
      <c r="EO482" s="92"/>
      <c r="EP482" s="92"/>
      <c r="EQ482" s="92"/>
      <c r="ER482" s="92"/>
      <c r="ES482" s="92"/>
      <c r="ET482" s="92"/>
      <c r="EU482" s="92"/>
      <c r="EV482" s="92"/>
      <c r="EW482" s="92"/>
      <c r="EX482" s="92"/>
      <c r="EY482" s="92"/>
      <c r="EZ482" s="92"/>
      <c r="FA482" s="92"/>
      <c r="FB482" s="92"/>
      <c r="FC482" s="92"/>
      <c r="FD482" s="92"/>
      <c r="FE482" s="92"/>
      <c r="FF482" s="92"/>
      <c r="FG482" s="92"/>
      <c r="FH482" s="92"/>
    </row>
    <row r="483">
      <c r="A483" s="30" t="s">
        <v>17</v>
      </c>
      <c r="B483" s="30" t="s">
        <v>85</v>
      </c>
      <c r="C483" s="31" t="str">
        <f>HYPERLINK("https://docs.google.com/spreadsheets/d/19A9Fo3srlMks7SGCOehN7GSghEdrtOro/edit?usp=share_link&amp;ouid=106501987799020758802&amp;rtpof=true&amp;sd=true", "Raw Delivered")</f>
        <v>Raw Delivered</v>
      </c>
      <c r="D483" s="96">
        <f t="shared" si="1"/>
        <v>5259.311985</v>
      </c>
      <c r="E483" s="92">
        <f>(SUBSTITUTE(Audio!E483, "RE-", "", 1))*1</f>
        <v>0</v>
      </c>
      <c r="F483" s="92">
        <f>(SUBSTITUTE(Audio!F483, "RE-", "", 1))*1</f>
        <v>420.6681396</v>
      </c>
      <c r="G483" s="92">
        <f>(SUBSTITUTE(Audio!G483, "RE-", "", 1))*1</f>
        <v>0</v>
      </c>
      <c r="H483" s="92">
        <f>(SUBSTITUTE(Audio!H483, "RE-", "", 1))*1</f>
        <v>115.4042729</v>
      </c>
      <c r="I483" s="92">
        <f>(SUBSTITUTE(Audio!I483, "RE-", "", 1))*1</f>
        <v>0</v>
      </c>
      <c r="J483" s="92">
        <f>(SUBSTITUTE(Audio!J483, "RE-", "", 1))*1</f>
        <v>924.2438167</v>
      </c>
      <c r="K483" s="92">
        <f>(SUBSTITUTE(Audio!K483, "RE-", "", 1))*1</f>
        <v>0</v>
      </c>
      <c r="L483" s="92">
        <f>(SUBSTITUTE(Audio!L483, "RE-", "", 1))*1</f>
        <v>356.2282438</v>
      </c>
      <c r="M483" s="92">
        <f>(SUBSTITUTE(Audio!M483, "RE-", "", 1))*1</f>
        <v>0</v>
      </c>
      <c r="N483" s="92">
        <f>(SUBSTITUTE(Audio!N483, "RE-", "", 1))*1</f>
        <v>2435.11503</v>
      </c>
      <c r="O483" s="92">
        <f>(SUBSTITUTE(Audio!O483, "RE-", "", 1))*1</f>
        <v>0</v>
      </c>
      <c r="P483" s="92">
        <f>(SUBSTITUTE(Audio!P483, "RE-", "", 1))*1</f>
        <v>160.4467562</v>
      </c>
      <c r="Q483" s="92">
        <f>(SUBSTITUTE(Audio!Q483, "RE-", "", 1))*1</f>
        <v>0</v>
      </c>
      <c r="R483" s="92">
        <f>(SUBSTITUTE(Audio!R483, "RE-", "", 1))*1</f>
        <v>485.6291792</v>
      </c>
      <c r="S483" s="92">
        <f>(SUBSTITUTE(Audio!S483, "RE-", "", 1))*1</f>
        <v>0</v>
      </c>
      <c r="T483" s="92">
        <f>(SUBSTITUTE(Audio!T483, "RE-", "", 1))*1</f>
        <v>361.5765469</v>
      </c>
      <c r="U483" s="92">
        <f>(SUBSTITUTE(Audio!U483, "RE-", "", 1))*1</f>
        <v>0</v>
      </c>
      <c r="V483" s="92">
        <f>(SUBSTITUTE(Audio!V483, "RE-", "", 1))*1</f>
        <v>0</v>
      </c>
      <c r="W483" s="92">
        <f>(SUBSTITUTE(Audio!W483, "RE-", "", 1))*1</f>
        <v>0</v>
      </c>
      <c r="X483" s="92">
        <f>(SUBSTITUTE(Audio!X483, "RE-", "", 1))*1</f>
        <v>0</v>
      </c>
      <c r="Y483" s="92">
        <f>(SUBSTITUTE(Audio!Y483, "RE-", "", 1))*1</f>
        <v>0</v>
      </c>
      <c r="Z483" s="92">
        <f>(SUBSTITUTE(Audio!Z483, "RE-", "", 1))*1</f>
        <v>0</v>
      </c>
      <c r="AA483" s="92"/>
      <c r="AB483" s="92"/>
      <c r="AC483" s="92"/>
      <c r="AD483" s="92"/>
      <c r="AE483" s="92"/>
      <c r="AF483" s="92"/>
      <c r="AG483" s="92"/>
      <c r="AH483" s="92"/>
      <c r="AI483" s="92"/>
      <c r="AJ483" s="92"/>
      <c r="AK483" s="92"/>
      <c r="AL483" s="92"/>
      <c r="AM483" s="92"/>
      <c r="AN483" s="92"/>
      <c r="AO483" s="92"/>
      <c r="AP483" s="92"/>
      <c r="AQ483" s="92"/>
      <c r="AR483" s="92"/>
      <c r="AS483" s="92"/>
      <c r="AT483" s="92"/>
      <c r="AU483" s="92"/>
      <c r="AV483" s="92"/>
      <c r="AW483" s="92"/>
      <c r="AX483" s="92"/>
      <c r="AY483" s="92"/>
      <c r="AZ483" s="92"/>
      <c r="BA483" s="92"/>
      <c r="BB483" s="92"/>
      <c r="BC483" s="92"/>
      <c r="BD483" s="92"/>
      <c r="BE483" s="92"/>
      <c r="BF483" s="92"/>
      <c r="BG483" s="92"/>
      <c r="BH483" s="92"/>
      <c r="BI483" s="92"/>
      <c r="BJ483" s="92"/>
      <c r="BK483" s="92"/>
      <c r="BL483" s="92"/>
      <c r="BM483" s="92"/>
      <c r="BN483" s="92"/>
      <c r="BO483" s="92"/>
      <c r="BP483" s="92"/>
      <c r="BQ483" s="92"/>
      <c r="BR483" s="92"/>
      <c r="BS483" s="92"/>
      <c r="BT483" s="92"/>
      <c r="BU483" s="92"/>
      <c r="BV483" s="92"/>
      <c r="BW483" s="92"/>
      <c r="BX483" s="92"/>
      <c r="BY483" s="92"/>
      <c r="BZ483" s="92"/>
      <c r="CA483" s="92"/>
      <c r="CB483" s="92"/>
      <c r="CC483" s="92"/>
      <c r="CD483" s="92"/>
      <c r="CE483" s="92"/>
      <c r="CF483" s="92"/>
      <c r="CG483" s="92"/>
      <c r="CH483" s="92"/>
      <c r="CI483" s="92"/>
      <c r="CJ483" s="92"/>
      <c r="CK483" s="92"/>
      <c r="CL483" s="92"/>
      <c r="CM483" s="92"/>
      <c r="CN483" s="92"/>
      <c r="CO483" s="92"/>
      <c r="CP483" s="92"/>
      <c r="CQ483" s="92"/>
      <c r="CR483" s="92"/>
      <c r="CS483" s="92"/>
      <c r="CT483" s="92"/>
      <c r="CU483" s="92"/>
      <c r="CV483" s="92"/>
      <c r="CW483" s="92"/>
      <c r="CX483" s="92"/>
      <c r="CY483" s="92"/>
      <c r="CZ483" s="92"/>
      <c r="DA483" s="92"/>
      <c r="DB483" s="92"/>
      <c r="DC483" s="92"/>
      <c r="DD483" s="92"/>
      <c r="DE483" s="92"/>
      <c r="DF483" s="92"/>
      <c r="DG483" s="92"/>
      <c r="DH483" s="92"/>
      <c r="DI483" s="92"/>
      <c r="DJ483" s="92"/>
      <c r="DK483" s="92"/>
      <c r="DL483" s="92"/>
      <c r="DM483" s="92"/>
      <c r="DN483" s="92"/>
      <c r="DO483" s="92"/>
      <c r="DP483" s="92"/>
      <c r="DQ483" s="92"/>
      <c r="DR483" s="92"/>
      <c r="DS483" s="92"/>
      <c r="DT483" s="92"/>
      <c r="DU483" s="92"/>
      <c r="DV483" s="92"/>
      <c r="DW483" s="92"/>
      <c r="DX483" s="92"/>
      <c r="DY483" s="92"/>
      <c r="DZ483" s="92"/>
      <c r="EA483" s="92"/>
      <c r="EB483" s="92"/>
      <c r="EC483" s="92"/>
      <c r="ED483" s="92"/>
      <c r="EE483" s="92"/>
      <c r="EF483" s="92"/>
      <c r="EG483" s="92"/>
      <c r="EH483" s="92"/>
      <c r="EI483" s="92"/>
      <c r="EJ483" s="92"/>
      <c r="EK483" s="92"/>
      <c r="EL483" s="92"/>
      <c r="EM483" s="92"/>
      <c r="EN483" s="92"/>
      <c r="EO483" s="92"/>
      <c r="EP483" s="92"/>
      <c r="EQ483" s="92"/>
      <c r="ER483" s="92"/>
      <c r="ES483" s="92"/>
      <c r="ET483" s="92"/>
      <c r="EU483" s="92"/>
      <c r="EV483" s="92"/>
      <c r="EW483" s="92"/>
      <c r="EX483" s="92"/>
      <c r="EY483" s="92"/>
      <c r="EZ483" s="92"/>
      <c r="FA483" s="92"/>
      <c r="FB483" s="92"/>
      <c r="FC483" s="92"/>
      <c r="FD483" s="92"/>
      <c r="FE483" s="92"/>
      <c r="FF483" s="92"/>
      <c r="FG483" s="92"/>
      <c r="FH483" s="92"/>
    </row>
    <row r="484">
      <c r="A484" s="32" t="s">
        <v>17</v>
      </c>
      <c r="B484" s="32" t="s">
        <v>85</v>
      </c>
      <c r="C484" s="32" t="s">
        <v>9</v>
      </c>
      <c r="D484" s="97">
        <f t="shared" si="1"/>
        <v>5259.311985</v>
      </c>
      <c r="E484" s="92">
        <f>(SUBSTITUTE(Audio!E484, "RE-", "", 1))*1</f>
        <v>0</v>
      </c>
      <c r="F484" s="92">
        <f>(SUBSTITUTE(Audio!F484, "RE-", "", 1))*1</f>
        <v>420.6681396</v>
      </c>
      <c r="G484" s="92">
        <f>(SUBSTITUTE(Audio!G484, "RE-", "", 1))*1</f>
        <v>0</v>
      </c>
      <c r="H484" s="92">
        <f>(SUBSTITUTE(Audio!H484, "RE-", "", 1))*1</f>
        <v>115.4042729</v>
      </c>
      <c r="I484" s="92">
        <f>(SUBSTITUTE(Audio!I484, "RE-", "", 1))*1</f>
        <v>0</v>
      </c>
      <c r="J484" s="92">
        <f>(SUBSTITUTE(Audio!J484, "RE-", "", 1))*1</f>
        <v>924.2438167</v>
      </c>
      <c r="K484" s="92">
        <f>(SUBSTITUTE(Audio!K484, "RE-", "", 1))*1</f>
        <v>0</v>
      </c>
      <c r="L484" s="92">
        <f>(SUBSTITUTE(Audio!L484, "RE-", "", 1))*1</f>
        <v>356.2282438</v>
      </c>
      <c r="M484" s="92">
        <f>(SUBSTITUTE(Audio!M484, "RE-", "", 1))*1</f>
        <v>0</v>
      </c>
      <c r="N484" s="92">
        <f>(SUBSTITUTE(Audio!N484, "RE-", "", 1))*1</f>
        <v>2435.11503</v>
      </c>
      <c r="O484" s="92">
        <f>(SUBSTITUTE(Audio!O484, "RE-", "", 1))*1</f>
        <v>0</v>
      </c>
      <c r="P484" s="92">
        <f>(SUBSTITUTE(Audio!P484, "RE-", "", 1))*1</f>
        <v>160.4467562</v>
      </c>
      <c r="Q484" s="92">
        <f>(SUBSTITUTE(Audio!Q484, "RE-", "", 1))*1</f>
        <v>0</v>
      </c>
      <c r="R484" s="92">
        <f>(SUBSTITUTE(Audio!R484, "RE-", "", 1))*1</f>
        <v>485.6291792</v>
      </c>
      <c r="S484" s="92">
        <f>(SUBSTITUTE(Audio!S484, "RE-", "", 1))*1</f>
        <v>0</v>
      </c>
      <c r="T484" s="92">
        <f>(SUBSTITUTE(Audio!T484, "RE-", "", 1))*1</f>
        <v>361.5765469</v>
      </c>
      <c r="U484" s="92">
        <f>(SUBSTITUTE(Audio!U484, "RE-", "", 1))*1</f>
        <v>0</v>
      </c>
      <c r="V484" s="92">
        <f>(SUBSTITUTE(Audio!V484, "RE-", "", 1))*1</f>
        <v>0</v>
      </c>
      <c r="W484" s="92">
        <f>(SUBSTITUTE(Audio!W484, "RE-", "", 1))*1</f>
        <v>0</v>
      </c>
      <c r="X484" s="92">
        <f>(SUBSTITUTE(Audio!X484, "RE-", "", 1))*1</f>
        <v>0</v>
      </c>
      <c r="Y484" s="92">
        <f>(SUBSTITUTE(Audio!Y484, "RE-", "", 1))*1</f>
        <v>0</v>
      </c>
      <c r="Z484" s="92">
        <f>(SUBSTITUTE(Audio!Z484, "RE-", "", 1))*1</f>
        <v>0</v>
      </c>
      <c r="AA484" s="92"/>
      <c r="AB484" s="92"/>
      <c r="AC484" s="92"/>
      <c r="AD484" s="92"/>
      <c r="AE484" s="92"/>
      <c r="AF484" s="92"/>
      <c r="AG484" s="92"/>
      <c r="AH484" s="92"/>
      <c r="AI484" s="92"/>
      <c r="AJ484" s="92"/>
      <c r="AK484" s="92"/>
      <c r="AL484" s="92"/>
      <c r="AM484" s="92"/>
      <c r="AN484" s="92"/>
      <c r="AO484" s="92"/>
      <c r="AP484" s="92"/>
      <c r="AQ484" s="92"/>
      <c r="AR484" s="92"/>
      <c r="AS484" s="92"/>
      <c r="AT484" s="92"/>
      <c r="AU484" s="92"/>
      <c r="AV484" s="92"/>
      <c r="AW484" s="92"/>
      <c r="AX484" s="92"/>
      <c r="AY484" s="92"/>
      <c r="AZ484" s="92"/>
      <c r="BA484" s="92"/>
      <c r="BB484" s="92"/>
      <c r="BC484" s="92"/>
      <c r="BD484" s="92"/>
      <c r="BE484" s="92"/>
      <c r="BF484" s="92"/>
      <c r="BG484" s="92"/>
      <c r="BH484" s="92"/>
      <c r="BI484" s="92"/>
      <c r="BJ484" s="92"/>
      <c r="BK484" s="92"/>
      <c r="BL484" s="92"/>
      <c r="BM484" s="92"/>
      <c r="BN484" s="92"/>
      <c r="BO484" s="92"/>
      <c r="BP484" s="92"/>
      <c r="BQ484" s="92"/>
      <c r="BR484" s="92"/>
      <c r="BS484" s="92"/>
      <c r="BT484" s="92"/>
      <c r="BU484" s="92"/>
      <c r="BV484" s="92"/>
      <c r="BW484" s="92"/>
      <c r="BX484" s="92"/>
      <c r="BY484" s="92"/>
      <c r="BZ484" s="92"/>
      <c r="CA484" s="92"/>
      <c r="CB484" s="92"/>
      <c r="CC484" s="92"/>
      <c r="CD484" s="92"/>
      <c r="CE484" s="92"/>
      <c r="CF484" s="92"/>
      <c r="CG484" s="92"/>
      <c r="CH484" s="92"/>
      <c r="CI484" s="92"/>
      <c r="CJ484" s="92"/>
      <c r="CK484" s="92"/>
      <c r="CL484" s="92"/>
      <c r="CM484" s="92"/>
      <c r="CN484" s="92"/>
      <c r="CO484" s="92"/>
      <c r="CP484" s="92"/>
      <c r="CQ484" s="92"/>
      <c r="CR484" s="92"/>
      <c r="CS484" s="92"/>
      <c r="CT484" s="92"/>
      <c r="CU484" s="92"/>
      <c r="CV484" s="92"/>
      <c r="CW484" s="92"/>
      <c r="CX484" s="92"/>
      <c r="CY484" s="92"/>
      <c r="CZ484" s="92"/>
      <c r="DA484" s="92"/>
      <c r="DB484" s="92"/>
      <c r="DC484" s="92"/>
      <c r="DD484" s="92"/>
      <c r="DE484" s="92"/>
      <c r="DF484" s="92"/>
      <c r="DG484" s="92"/>
      <c r="DH484" s="92"/>
      <c r="DI484" s="92"/>
      <c r="DJ484" s="92"/>
      <c r="DK484" s="92"/>
      <c r="DL484" s="92"/>
      <c r="DM484" s="92"/>
      <c r="DN484" s="92"/>
      <c r="DO484" s="92"/>
      <c r="DP484" s="92"/>
      <c r="DQ484" s="92"/>
      <c r="DR484" s="92"/>
      <c r="DS484" s="92"/>
      <c r="DT484" s="92"/>
      <c r="DU484" s="92"/>
      <c r="DV484" s="92"/>
      <c r="DW484" s="92"/>
      <c r="DX484" s="92"/>
      <c r="DY484" s="92"/>
      <c r="DZ484" s="92"/>
      <c r="EA484" s="92"/>
      <c r="EB484" s="92"/>
      <c r="EC484" s="92"/>
      <c r="ED484" s="92"/>
      <c r="EE484" s="92"/>
      <c r="EF484" s="92"/>
      <c r="EG484" s="92"/>
      <c r="EH484" s="92"/>
      <c r="EI484" s="92"/>
      <c r="EJ484" s="92"/>
      <c r="EK484" s="92"/>
      <c r="EL484" s="92"/>
      <c r="EM484" s="92"/>
      <c r="EN484" s="92"/>
      <c r="EO484" s="92"/>
      <c r="EP484" s="92"/>
      <c r="EQ484" s="92"/>
      <c r="ER484" s="92"/>
      <c r="ES484" s="92"/>
      <c r="ET484" s="92"/>
      <c r="EU484" s="92"/>
      <c r="EV484" s="92"/>
      <c r="EW484" s="92"/>
      <c r="EX484" s="92"/>
      <c r="EY484" s="92"/>
      <c r="EZ484" s="92"/>
      <c r="FA484" s="92"/>
      <c r="FB484" s="92"/>
      <c r="FC484" s="92"/>
      <c r="FD484" s="92"/>
      <c r="FE484" s="92"/>
      <c r="FF484" s="92"/>
      <c r="FG484" s="92"/>
      <c r="FH484" s="92"/>
    </row>
    <row r="485">
      <c r="A485" s="32" t="s">
        <v>17</v>
      </c>
      <c r="B485" s="32" t="s">
        <v>85</v>
      </c>
      <c r="C485" s="32" t="s">
        <v>10</v>
      </c>
      <c r="D485" s="97">
        <f t="shared" si="1"/>
        <v>505.5324948</v>
      </c>
      <c r="E485" s="92">
        <f>(SUBSTITUTE(Audio!E485, "RE-", "", 1))*1</f>
        <v>0</v>
      </c>
      <c r="F485" s="92">
        <f>(SUBSTITUTE(Audio!F485, "RE-", "", 1))*1</f>
        <v>0</v>
      </c>
      <c r="G485" s="92">
        <f>(SUBSTITUTE(Audio!G485, "RE-", "", 1))*1</f>
        <v>25.11692083</v>
      </c>
      <c r="H485" s="92">
        <f>(SUBSTITUTE(Audio!H485, "RE-", "", 1))*1</f>
        <v>0</v>
      </c>
      <c r="I485" s="92">
        <f>(SUBSTITUTE(Audio!I485, "RE-", "", 1))*1</f>
        <v>1.225841667</v>
      </c>
      <c r="J485" s="92">
        <f>(SUBSTITUTE(Audio!J485, "RE-", "", 1))*1</f>
        <v>0</v>
      </c>
      <c r="K485" s="92">
        <f>(SUBSTITUTE(Audio!K485, "RE-", "", 1))*1</f>
        <v>46.03949792</v>
      </c>
      <c r="L485" s="92">
        <f>(SUBSTITUTE(Audio!L485, "RE-", "", 1))*1</f>
        <v>0</v>
      </c>
      <c r="M485" s="92">
        <f>(SUBSTITUTE(Audio!M485, "RE-", "", 1))*1</f>
        <v>20.12288542</v>
      </c>
      <c r="N485" s="92">
        <f>(SUBSTITUTE(Audio!N485, "RE-", "", 1))*1</f>
        <v>0</v>
      </c>
      <c r="O485" s="92">
        <f>(SUBSTITUTE(Audio!O485, "RE-", "", 1))*1</f>
        <v>309.272726</v>
      </c>
      <c r="P485" s="92">
        <f>(SUBSTITUTE(Audio!P485, "RE-", "", 1))*1</f>
        <v>0</v>
      </c>
      <c r="Q485" s="92">
        <f>(SUBSTITUTE(Audio!Q485, "RE-", "", 1))*1</f>
        <v>36.71885</v>
      </c>
      <c r="R485" s="92">
        <f>(SUBSTITUTE(Audio!R485, "RE-", "", 1))*1</f>
        <v>0</v>
      </c>
      <c r="S485" s="92">
        <f>(SUBSTITUTE(Audio!S485, "RE-", "", 1))*1</f>
        <v>29.50784375</v>
      </c>
      <c r="T485" s="92">
        <f>(SUBSTITUTE(Audio!T485, "RE-", "", 1))*1</f>
        <v>0</v>
      </c>
      <c r="U485" s="92">
        <f>(SUBSTITUTE(Audio!U485, "RE-", "", 1))*1</f>
        <v>31.465675</v>
      </c>
      <c r="V485" s="92">
        <f>(SUBSTITUTE(Audio!V485, "RE-", "", 1))*1</f>
        <v>6.062254167</v>
      </c>
      <c r="W485" s="92">
        <f>(SUBSTITUTE(Audio!W485, "RE-", "", 1))*1</f>
        <v>0</v>
      </c>
      <c r="X485" s="92">
        <f>(SUBSTITUTE(Audio!X485, "RE-", "", 1))*1</f>
        <v>0</v>
      </c>
      <c r="Y485" s="92">
        <f>(SUBSTITUTE(Audio!Y485, "RE-", "", 1))*1</f>
        <v>0</v>
      </c>
      <c r="Z485" s="92">
        <f>(SUBSTITUTE(Audio!Z485, "RE-", "", 1))*1</f>
        <v>0</v>
      </c>
      <c r="AA485" s="92"/>
      <c r="AB485" s="92"/>
      <c r="AC485" s="92"/>
      <c r="AD485" s="92"/>
      <c r="AE485" s="92"/>
      <c r="AF485" s="92"/>
      <c r="AG485" s="92"/>
      <c r="AH485" s="92"/>
      <c r="AI485" s="92"/>
      <c r="AJ485" s="92"/>
      <c r="AK485" s="92"/>
      <c r="AL485" s="92"/>
      <c r="AM485" s="92"/>
      <c r="AN485" s="92"/>
      <c r="AO485" s="92"/>
      <c r="AP485" s="92"/>
      <c r="AQ485" s="92"/>
      <c r="AR485" s="92"/>
      <c r="AS485" s="92"/>
      <c r="AT485" s="92"/>
      <c r="AU485" s="92"/>
      <c r="AV485" s="92"/>
      <c r="AW485" s="92"/>
      <c r="AX485" s="92"/>
      <c r="AY485" s="92"/>
      <c r="AZ485" s="92"/>
      <c r="BA485" s="92"/>
      <c r="BB485" s="92"/>
      <c r="BC485" s="92"/>
      <c r="BD485" s="92"/>
      <c r="BE485" s="92"/>
      <c r="BF485" s="92"/>
      <c r="BG485" s="92"/>
      <c r="BH485" s="92"/>
      <c r="BI485" s="92"/>
      <c r="BJ485" s="92"/>
      <c r="BK485" s="92"/>
      <c r="BL485" s="92"/>
      <c r="BM485" s="92"/>
      <c r="BN485" s="92"/>
      <c r="BO485" s="92"/>
      <c r="BP485" s="92"/>
      <c r="BQ485" s="92"/>
      <c r="BR485" s="92"/>
      <c r="BS485" s="92"/>
      <c r="BT485" s="92"/>
      <c r="BU485" s="92"/>
      <c r="BV485" s="92"/>
      <c r="BW485" s="92"/>
      <c r="BX485" s="92"/>
      <c r="BY485" s="92"/>
      <c r="BZ485" s="92"/>
      <c r="CA485" s="92"/>
      <c r="CB485" s="92"/>
      <c r="CC485" s="92"/>
      <c r="CD485" s="92"/>
      <c r="CE485" s="92"/>
      <c r="CF485" s="92"/>
      <c r="CG485" s="92"/>
      <c r="CH485" s="92"/>
      <c r="CI485" s="92"/>
      <c r="CJ485" s="92"/>
      <c r="CK485" s="92"/>
      <c r="CL485" s="92"/>
      <c r="CM485" s="92"/>
      <c r="CN485" s="92"/>
      <c r="CO485" s="92"/>
      <c r="CP485" s="92"/>
      <c r="CQ485" s="92"/>
      <c r="CR485" s="92"/>
      <c r="CS485" s="92"/>
      <c r="CT485" s="92"/>
      <c r="CU485" s="92"/>
      <c r="CV485" s="92"/>
      <c r="CW485" s="92"/>
      <c r="CX485" s="92"/>
      <c r="CY485" s="92"/>
      <c r="CZ485" s="92"/>
      <c r="DA485" s="92"/>
      <c r="DB485" s="92"/>
      <c r="DC485" s="92"/>
      <c r="DD485" s="92"/>
      <c r="DE485" s="92"/>
      <c r="DF485" s="92"/>
      <c r="DG485" s="92"/>
      <c r="DH485" s="92"/>
      <c r="DI485" s="92"/>
      <c r="DJ485" s="92"/>
      <c r="DK485" s="92"/>
      <c r="DL485" s="92"/>
      <c r="DM485" s="92"/>
      <c r="DN485" s="92"/>
      <c r="DO485" s="92"/>
      <c r="DP485" s="92"/>
      <c r="DQ485" s="92"/>
      <c r="DR485" s="92"/>
      <c r="DS485" s="92"/>
      <c r="DT485" s="92"/>
      <c r="DU485" s="92"/>
      <c r="DV485" s="92"/>
      <c r="DW485" s="92"/>
      <c r="DX485" s="92"/>
      <c r="DY485" s="92"/>
      <c r="DZ485" s="92"/>
      <c r="EA485" s="92"/>
      <c r="EB485" s="92"/>
      <c r="EC485" s="92"/>
      <c r="ED485" s="92"/>
      <c r="EE485" s="92"/>
      <c r="EF485" s="92"/>
      <c r="EG485" s="92"/>
      <c r="EH485" s="92"/>
      <c r="EI485" s="92"/>
      <c r="EJ485" s="92"/>
      <c r="EK485" s="92"/>
      <c r="EL485" s="92"/>
      <c r="EM485" s="92"/>
      <c r="EN485" s="92"/>
      <c r="EO485" s="92"/>
      <c r="EP485" s="92"/>
      <c r="EQ485" s="92"/>
      <c r="ER485" s="92"/>
      <c r="ES485" s="92"/>
      <c r="ET485" s="92"/>
      <c r="EU485" s="92"/>
      <c r="EV485" s="92"/>
      <c r="EW485" s="92"/>
      <c r="EX485" s="92"/>
      <c r="EY485" s="92"/>
      <c r="EZ485" s="92"/>
      <c r="FA485" s="92"/>
      <c r="FB485" s="92"/>
      <c r="FC485" s="92"/>
      <c r="FD485" s="92"/>
      <c r="FE485" s="92"/>
      <c r="FF485" s="92"/>
      <c r="FG485" s="92"/>
      <c r="FH485" s="92"/>
    </row>
    <row r="486">
      <c r="A486" s="32" t="s">
        <v>17</v>
      </c>
      <c r="B486" s="32" t="s">
        <v>85</v>
      </c>
      <c r="C486" s="32" t="s">
        <v>11</v>
      </c>
      <c r="D486" s="97">
        <f t="shared" si="1"/>
        <v>505.5324948</v>
      </c>
      <c r="E486" s="92">
        <f>(SUBSTITUTE(Audio!E486, "RE-", "", 1))*1</f>
        <v>0</v>
      </c>
      <c r="F486" s="92">
        <f>(SUBSTITUTE(Audio!F486, "RE-", "", 1))*1</f>
        <v>0</v>
      </c>
      <c r="G486" s="92">
        <f>(SUBSTITUTE(Audio!G486, "RE-", "", 1))*1</f>
        <v>25.11692083</v>
      </c>
      <c r="H486" s="92">
        <f>(SUBSTITUTE(Audio!H486, "RE-", "", 1))*1</f>
        <v>0</v>
      </c>
      <c r="I486" s="92">
        <f>(SUBSTITUTE(Audio!I486, "RE-", "", 1))*1</f>
        <v>1.225841667</v>
      </c>
      <c r="J486" s="92">
        <f>(SUBSTITUTE(Audio!J486, "RE-", "", 1))*1</f>
        <v>0</v>
      </c>
      <c r="K486" s="92">
        <f>(SUBSTITUTE(Audio!K486, "RE-", "", 1))*1</f>
        <v>46.03949792</v>
      </c>
      <c r="L486" s="92">
        <f>(SUBSTITUTE(Audio!L486, "RE-", "", 1))*1</f>
        <v>0</v>
      </c>
      <c r="M486" s="92">
        <f>(SUBSTITUTE(Audio!M486, "RE-", "", 1))*1</f>
        <v>20.12288542</v>
      </c>
      <c r="N486" s="92">
        <f>(SUBSTITUTE(Audio!N486, "RE-", "", 1))*1</f>
        <v>0</v>
      </c>
      <c r="O486" s="92">
        <f>(SUBSTITUTE(Audio!O486, "RE-", "", 1))*1</f>
        <v>309.272726</v>
      </c>
      <c r="P486" s="92">
        <f>(SUBSTITUTE(Audio!P486, "RE-", "", 1))*1</f>
        <v>0</v>
      </c>
      <c r="Q486" s="92">
        <f>(SUBSTITUTE(Audio!Q486, "RE-", "", 1))*1</f>
        <v>36.71885</v>
      </c>
      <c r="R486" s="92">
        <f>(SUBSTITUTE(Audio!R486, "RE-", "", 1))*1</f>
        <v>0</v>
      </c>
      <c r="S486" s="92">
        <f>(SUBSTITUTE(Audio!S486, "RE-", "", 1))*1</f>
        <v>29.50784375</v>
      </c>
      <c r="T486" s="92">
        <f>(SUBSTITUTE(Audio!T486, "RE-", "", 1))*1</f>
        <v>0</v>
      </c>
      <c r="U486" s="92">
        <f>(SUBSTITUTE(Audio!U486, "RE-", "", 1))*1</f>
        <v>31.465675</v>
      </c>
      <c r="V486" s="92">
        <f>(SUBSTITUTE(Audio!V486, "RE-", "", 1))*1</f>
        <v>6.062254167</v>
      </c>
      <c r="W486" s="92">
        <f>(SUBSTITUTE(Audio!W486, "RE-", "", 1))*1</f>
        <v>0</v>
      </c>
      <c r="X486" s="92">
        <f>(SUBSTITUTE(Audio!X486, "RE-", "", 1))*1</f>
        <v>0</v>
      </c>
      <c r="Y486" s="92">
        <f>(SUBSTITUTE(Audio!Y486, "RE-", "", 1))*1</f>
        <v>0</v>
      </c>
      <c r="Z486" s="92">
        <f>(SUBSTITUTE(Audio!Z486, "RE-", "", 1))*1</f>
        <v>0</v>
      </c>
      <c r="AA486" s="92"/>
      <c r="AB486" s="92"/>
      <c r="AC486" s="92"/>
      <c r="AD486" s="92"/>
      <c r="AE486" s="92"/>
      <c r="AF486" s="92"/>
      <c r="AG486" s="92"/>
      <c r="AH486" s="92"/>
      <c r="AI486" s="92"/>
      <c r="AJ486" s="92"/>
      <c r="AK486" s="92"/>
      <c r="AL486" s="92"/>
      <c r="AM486" s="92"/>
      <c r="AN486" s="92"/>
      <c r="AO486" s="92"/>
      <c r="AP486" s="92"/>
      <c r="AQ486" s="92"/>
      <c r="AR486" s="92"/>
      <c r="AS486" s="92"/>
      <c r="AT486" s="92"/>
      <c r="AU486" s="92"/>
      <c r="AV486" s="92"/>
      <c r="AW486" s="92"/>
      <c r="AX486" s="92"/>
      <c r="AY486" s="92"/>
      <c r="AZ486" s="92"/>
      <c r="BA486" s="92"/>
      <c r="BB486" s="92"/>
      <c r="BC486" s="92"/>
      <c r="BD486" s="92"/>
      <c r="BE486" s="92"/>
      <c r="BF486" s="92"/>
      <c r="BG486" s="92"/>
      <c r="BH486" s="92"/>
      <c r="BI486" s="92"/>
      <c r="BJ486" s="92"/>
      <c r="BK486" s="92"/>
      <c r="BL486" s="92"/>
      <c r="BM486" s="92"/>
      <c r="BN486" s="92"/>
      <c r="BO486" s="92"/>
      <c r="BP486" s="92"/>
      <c r="BQ486" s="92"/>
      <c r="BR486" s="92"/>
      <c r="BS486" s="92"/>
      <c r="BT486" s="92"/>
      <c r="BU486" s="92"/>
      <c r="BV486" s="92"/>
      <c r="BW486" s="92"/>
      <c r="BX486" s="92"/>
      <c r="BY486" s="92"/>
      <c r="BZ486" s="92"/>
      <c r="CA486" s="92"/>
      <c r="CB486" s="92"/>
      <c r="CC486" s="92"/>
      <c r="CD486" s="92"/>
      <c r="CE486" s="92"/>
      <c r="CF486" s="92"/>
      <c r="CG486" s="92"/>
      <c r="CH486" s="92"/>
      <c r="CI486" s="92"/>
      <c r="CJ486" s="92"/>
      <c r="CK486" s="92"/>
      <c r="CL486" s="92"/>
      <c r="CM486" s="92"/>
      <c r="CN486" s="92"/>
      <c r="CO486" s="92"/>
      <c r="CP486" s="92"/>
      <c r="CQ486" s="92"/>
      <c r="CR486" s="92"/>
      <c r="CS486" s="92"/>
      <c r="CT486" s="92"/>
      <c r="CU486" s="92"/>
      <c r="CV486" s="92"/>
      <c r="CW486" s="92"/>
      <c r="CX486" s="92"/>
      <c r="CY486" s="92"/>
      <c r="CZ486" s="92"/>
      <c r="DA486" s="92"/>
      <c r="DB486" s="92"/>
      <c r="DC486" s="92"/>
      <c r="DD486" s="92"/>
      <c r="DE486" s="92"/>
      <c r="DF486" s="92"/>
      <c r="DG486" s="92"/>
      <c r="DH486" s="92"/>
      <c r="DI486" s="92"/>
      <c r="DJ486" s="92"/>
      <c r="DK486" s="92"/>
      <c r="DL486" s="92"/>
      <c r="DM486" s="92"/>
      <c r="DN486" s="92"/>
      <c r="DO486" s="92"/>
      <c r="DP486" s="92"/>
      <c r="DQ486" s="92"/>
      <c r="DR486" s="92"/>
      <c r="DS486" s="92"/>
      <c r="DT486" s="92"/>
      <c r="DU486" s="92"/>
      <c r="DV486" s="92"/>
      <c r="DW486" s="92"/>
      <c r="DX486" s="92"/>
      <c r="DY486" s="92"/>
      <c r="DZ486" s="92"/>
      <c r="EA486" s="92"/>
      <c r="EB486" s="92"/>
      <c r="EC486" s="92"/>
      <c r="ED486" s="92"/>
      <c r="EE486" s="92"/>
      <c r="EF486" s="92"/>
      <c r="EG486" s="92"/>
      <c r="EH486" s="92"/>
      <c r="EI486" s="92"/>
      <c r="EJ486" s="92"/>
      <c r="EK486" s="92"/>
      <c r="EL486" s="92"/>
      <c r="EM486" s="92"/>
      <c r="EN486" s="92"/>
      <c r="EO486" s="92"/>
      <c r="EP486" s="92"/>
      <c r="EQ486" s="92"/>
      <c r="ER486" s="92"/>
      <c r="ES486" s="92"/>
      <c r="ET486" s="92"/>
      <c r="EU486" s="92"/>
      <c r="EV486" s="92"/>
      <c r="EW486" s="92"/>
      <c r="EX486" s="92"/>
      <c r="EY486" s="92"/>
      <c r="EZ486" s="92"/>
      <c r="FA486" s="92"/>
      <c r="FB486" s="92"/>
      <c r="FC486" s="92"/>
      <c r="FD486" s="92"/>
      <c r="FE486" s="92"/>
      <c r="FF486" s="92"/>
      <c r="FG486" s="92"/>
      <c r="FH486" s="92"/>
    </row>
    <row r="487">
      <c r="A487" s="32" t="s">
        <v>17</v>
      </c>
      <c r="B487" s="32" t="s">
        <v>85</v>
      </c>
      <c r="C487" s="32" t="s">
        <v>12</v>
      </c>
      <c r="D487" s="97">
        <f t="shared" si="1"/>
        <v>4391.210106</v>
      </c>
      <c r="E487" s="92">
        <f>(SUBSTITUTE(Audio!E487, "RE-", "", 1))*1</f>
        <v>0</v>
      </c>
      <c r="F487" s="92">
        <f>(SUBSTITUTE(Audio!F487, "RE-", "", 1))*1</f>
        <v>358.467275</v>
      </c>
      <c r="G487" s="92">
        <f>(SUBSTITUTE(Audio!G487, "RE-", "", 1))*1</f>
        <v>0.8360875</v>
      </c>
      <c r="H487" s="92">
        <f>(SUBSTITUTE(Audio!H487, "RE-", "", 1))*1</f>
        <v>111.2333375</v>
      </c>
      <c r="I487" s="92">
        <f>(SUBSTITUTE(Audio!I487, "RE-", "", 1))*1</f>
        <v>0</v>
      </c>
      <c r="J487" s="92">
        <f>(SUBSTITUTE(Audio!J487, "RE-", "", 1))*1</f>
        <v>763.8558875</v>
      </c>
      <c r="K487" s="92">
        <f>(SUBSTITUTE(Audio!K487, "RE-", "", 1))*1</f>
        <v>1.665129167</v>
      </c>
      <c r="L487" s="92">
        <f>(SUBSTITUTE(Audio!L487, "RE-", "", 1))*1</f>
        <v>320.4251656</v>
      </c>
      <c r="M487" s="92">
        <f>(SUBSTITUTE(Audio!M487, "RE-", "", 1))*1</f>
        <v>6.859029167</v>
      </c>
      <c r="N487" s="92">
        <f>(SUBSTITUTE(Audio!N487, "RE-", "", 1))*1</f>
        <v>1819.389019</v>
      </c>
      <c r="O487" s="92">
        <f>(SUBSTITUTE(Audio!O487, "RE-", "", 1))*1</f>
        <v>6.9122</v>
      </c>
      <c r="P487" s="92">
        <f>(SUBSTITUTE(Audio!P487, "RE-", "", 1))*1</f>
        <v>150.8534896</v>
      </c>
      <c r="Q487" s="92">
        <f>(SUBSTITUTE(Audio!Q487, "RE-", "", 1))*1</f>
        <v>12.4477125</v>
      </c>
      <c r="R487" s="92">
        <f>(SUBSTITUTE(Audio!R487, "RE-", "", 1))*1</f>
        <v>457.0338615</v>
      </c>
      <c r="S487" s="92">
        <f>(SUBSTITUTE(Audio!S487, "RE-", "", 1))*1</f>
        <v>14.44112292</v>
      </c>
      <c r="T487" s="92">
        <f>(SUBSTITUTE(Audio!T487, "RE-", "", 1))*1</f>
        <v>346.8039042</v>
      </c>
      <c r="U487" s="92">
        <f>(SUBSTITUTE(Audio!U487, "RE-", "", 1))*1</f>
        <v>14.86889583</v>
      </c>
      <c r="V487" s="92">
        <f>(SUBSTITUTE(Audio!V487, "RE-", "", 1))*1</f>
        <v>5.117989583</v>
      </c>
      <c r="W487" s="92">
        <f>(SUBSTITUTE(Audio!W487, "RE-", "", 1))*1</f>
        <v>0</v>
      </c>
      <c r="X487" s="92">
        <f>(SUBSTITUTE(Audio!X487, "RE-", "", 1))*1</f>
        <v>0</v>
      </c>
      <c r="Y487" s="92">
        <f>(SUBSTITUTE(Audio!Y487, "RE-", "", 1))*1</f>
        <v>0</v>
      </c>
      <c r="Z487" s="92">
        <f>(SUBSTITUTE(Audio!Z487, "RE-", "", 1))*1</f>
        <v>0</v>
      </c>
      <c r="AA487" s="92"/>
      <c r="AB487" s="92"/>
      <c r="AC487" s="92"/>
      <c r="AD487" s="92"/>
      <c r="AE487" s="92"/>
      <c r="AF487" s="92"/>
      <c r="AG487" s="92"/>
      <c r="AH487" s="92"/>
      <c r="AI487" s="92"/>
      <c r="AJ487" s="92"/>
      <c r="AK487" s="92"/>
      <c r="AL487" s="92"/>
      <c r="AM487" s="92"/>
      <c r="AN487" s="92"/>
      <c r="AO487" s="92"/>
      <c r="AP487" s="92"/>
      <c r="AQ487" s="92"/>
      <c r="AR487" s="92"/>
      <c r="AS487" s="92"/>
      <c r="AT487" s="92"/>
      <c r="AU487" s="92"/>
      <c r="AV487" s="92"/>
      <c r="AW487" s="92"/>
      <c r="AX487" s="92"/>
      <c r="AY487" s="92"/>
      <c r="AZ487" s="92"/>
      <c r="BA487" s="92"/>
      <c r="BB487" s="92"/>
      <c r="BC487" s="92"/>
      <c r="BD487" s="92"/>
      <c r="BE487" s="92"/>
      <c r="BF487" s="92"/>
      <c r="BG487" s="92"/>
      <c r="BH487" s="92"/>
      <c r="BI487" s="92"/>
      <c r="BJ487" s="92"/>
      <c r="BK487" s="92"/>
      <c r="BL487" s="92"/>
      <c r="BM487" s="92"/>
      <c r="BN487" s="92"/>
      <c r="BO487" s="92"/>
      <c r="BP487" s="92"/>
      <c r="BQ487" s="92"/>
      <c r="BR487" s="92"/>
      <c r="BS487" s="92"/>
      <c r="BT487" s="92"/>
      <c r="BU487" s="92"/>
      <c r="BV487" s="92"/>
      <c r="BW487" s="92"/>
      <c r="BX487" s="92"/>
      <c r="BY487" s="92"/>
      <c r="BZ487" s="92"/>
      <c r="CA487" s="92"/>
      <c r="CB487" s="92"/>
      <c r="CC487" s="92"/>
      <c r="CD487" s="92"/>
      <c r="CE487" s="92"/>
      <c r="CF487" s="92"/>
      <c r="CG487" s="92"/>
      <c r="CH487" s="92"/>
      <c r="CI487" s="92"/>
      <c r="CJ487" s="92"/>
      <c r="CK487" s="92"/>
      <c r="CL487" s="92"/>
      <c r="CM487" s="92"/>
      <c r="CN487" s="92"/>
      <c r="CO487" s="92"/>
      <c r="CP487" s="92"/>
      <c r="CQ487" s="92"/>
      <c r="CR487" s="92"/>
      <c r="CS487" s="92"/>
      <c r="CT487" s="92"/>
      <c r="CU487" s="92"/>
      <c r="CV487" s="92"/>
      <c r="CW487" s="92"/>
      <c r="CX487" s="92"/>
      <c r="CY487" s="92"/>
      <c r="CZ487" s="92"/>
      <c r="DA487" s="92"/>
      <c r="DB487" s="92"/>
      <c r="DC487" s="92"/>
      <c r="DD487" s="92"/>
      <c r="DE487" s="92"/>
      <c r="DF487" s="92"/>
      <c r="DG487" s="92"/>
      <c r="DH487" s="92"/>
      <c r="DI487" s="92"/>
      <c r="DJ487" s="92"/>
      <c r="DK487" s="92"/>
      <c r="DL487" s="92"/>
      <c r="DM487" s="92"/>
      <c r="DN487" s="92"/>
      <c r="DO487" s="92"/>
      <c r="DP487" s="92"/>
      <c r="DQ487" s="92"/>
      <c r="DR487" s="92"/>
      <c r="DS487" s="92"/>
      <c r="DT487" s="92"/>
      <c r="DU487" s="92"/>
      <c r="DV487" s="92"/>
      <c r="DW487" s="92"/>
      <c r="DX487" s="92"/>
      <c r="DY487" s="92"/>
      <c r="DZ487" s="92"/>
      <c r="EA487" s="92"/>
      <c r="EB487" s="92"/>
      <c r="EC487" s="92"/>
      <c r="ED487" s="92"/>
      <c r="EE487" s="92"/>
      <c r="EF487" s="92"/>
      <c r="EG487" s="92"/>
      <c r="EH487" s="92"/>
      <c r="EI487" s="92"/>
      <c r="EJ487" s="92"/>
      <c r="EK487" s="92"/>
      <c r="EL487" s="92"/>
      <c r="EM487" s="92"/>
      <c r="EN487" s="92"/>
      <c r="EO487" s="92"/>
      <c r="EP487" s="92"/>
      <c r="EQ487" s="92"/>
      <c r="ER487" s="92"/>
      <c r="ES487" s="92"/>
      <c r="ET487" s="92"/>
      <c r="EU487" s="92"/>
      <c r="EV487" s="92"/>
      <c r="EW487" s="92"/>
      <c r="EX487" s="92"/>
      <c r="EY487" s="92"/>
      <c r="EZ487" s="92"/>
      <c r="FA487" s="92"/>
      <c r="FB487" s="92"/>
      <c r="FC487" s="92"/>
      <c r="FD487" s="92"/>
      <c r="FE487" s="92"/>
      <c r="FF487" s="92"/>
      <c r="FG487" s="92"/>
      <c r="FH487" s="92"/>
    </row>
    <row r="488">
      <c r="A488" s="32" t="s">
        <v>17</v>
      </c>
      <c r="B488" s="32" t="s">
        <v>85</v>
      </c>
      <c r="C488" s="32" t="s">
        <v>13</v>
      </c>
      <c r="D488" s="97">
        <f t="shared" si="1"/>
        <v>4257.128677</v>
      </c>
      <c r="E488" s="92">
        <f>(SUBSTITUTE(Audio!E488, "RE-", "", 1))*1</f>
        <v>0</v>
      </c>
      <c r="F488" s="92">
        <f>(SUBSTITUTE(Audio!F488, "RE-", "", 1))*1</f>
        <v>353.352</v>
      </c>
      <c r="G488" s="92">
        <f>(SUBSTITUTE(Audio!G488, "RE-", "", 1))*1</f>
        <v>0.834617</v>
      </c>
      <c r="H488" s="92">
        <f>(SUBSTITUTE(Audio!H488, "RE-", "", 1))*1</f>
        <v>109.906</v>
      </c>
      <c r="I488" s="92">
        <f>(SUBSTITUTE(Audio!I488, "RE-", "", 1))*1</f>
        <v>0</v>
      </c>
      <c r="J488" s="92">
        <f>(SUBSTITUTE(Audio!J488, "RE-", "", 1))*1</f>
        <v>757.679</v>
      </c>
      <c r="K488" s="92">
        <f>(SUBSTITUTE(Audio!K488, "RE-", "", 1))*1</f>
        <v>1.6533</v>
      </c>
      <c r="L488" s="92">
        <f>(SUBSTITUTE(Audio!L488, "RE-", "", 1))*1</f>
        <v>308.078</v>
      </c>
      <c r="M488" s="92">
        <f>(SUBSTITUTE(Audio!M488, "RE-", "", 1))*1</f>
        <v>6.54847</v>
      </c>
      <c r="N488" s="92">
        <f>(SUBSTITUTE(Audio!N488, "RE-", "", 1))*1</f>
        <v>1756.45</v>
      </c>
      <c r="O488" s="92">
        <f>(SUBSTITUTE(Audio!O488, "RE-", "", 1))*1</f>
        <v>6.66532</v>
      </c>
      <c r="P488" s="92">
        <f>(SUBSTITUTE(Audio!P488, "RE-", "", 1))*1</f>
        <v>144.479</v>
      </c>
      <c r="Q488" s="92">
        <f>(SUBSTITUTE(Audio!Q488, "RE-", "", 1))*1</f>
        <v>12.012</v>
      </c>
      <c r="R488" s="92">
        <f>(SUBSTITUTE(Audio!R488, "RE-", "", 1))*1</f>
        <v>433.751</v>
      </c>
      <c r="S488" s="92">
        <f>(SUBSTITUTE(Audio!S488, "RE-", "", 1))*1</f>
        <v>13.9254</v>
      </c>
      <c r="T488" s="92">
        <f>(SUBSTITUTE(Audio!T488, "RE-", "", 1))*1</f>
        <v>332.891</v>
      </c>
      <c r="U488" s="92">
        <f>(SUBSTITUTE(Audio!U488, "RE-", "", 1))*1</f>
        <v>14.0586</v>
      </c>
      <c r="V488" s="92">
        <f>(SUBSTITUTE(Audio!V488, "RE-", "", 1))*1</f>
        <v>4.84497</v>
      </c>
      <c r="W488" s="92">
        <f>(SUBSTITUTE(Audio!W488, "RE-", "", 1))*1</f>
        <v>0</v>
      </c>
      <c r="X488" s="92">
        <f>(SUBSTITUTE(Audio!X488, "RE-", "", 1))*1</f>
        <v>0</v>
      </c>
      <c r="Y488" s="92">
        <f>(SUBSTITUTE(Audio!Y488, "RE-", "", 1))*1</f>
        <v>0</v>
      </c>
      <c r="Z488" s="92">
        <f>(SUBSTITUTE(Audio!Z488, "RE-", "", 1))*1</f>
        <v>0</v>
      </c>
      <c r="AA488" s="92"/>
      <c r="AB488" s="92"/>
      <c r="AC488" s="92"/>
      <c r="AD488" s="92"/>
      <c r="AE488" s="92"/>
      <c r="AF488" s="92"/>
      <c r="AG488" s="92"/>
      <c r="AH488" s="92"/>
      <c r="AI488" s="92"/>
      <c r="AJ488" s="92"/>
      <c r="AK488" s="92"/>
      <c r="AL488" s="92"/>
      <c r="AM488" s="92"/>
      <c r="AN488" s="92"/>
      <c r="AO488" s="92"/>
      <c r="AP488" s="92"/>
      <c r="AQ488" s="92"/>
      <c r="AR488" s="92"/>
      <c r="AS488" s="92"/>
      <c r="AT488" s="92"/>
      <c r="AU488" s="92"/>
      <c r="AV488" s="92"/>
      <c r="AW488" s="92"/>
      <c r="AX488" s="92"/>
      <c r="AY488" s="92"/>
      <c r="AZ488" s="92"/>
      <c r="BA488" s="92"/>
      <c r="BB488" s="92"/>
      <c r="BC488" s="92"/>
      <c r="BD488" s="92"/>
      <c r="BE488" s="92"/>
      <c r="BF488" s="92"/>
      <c r="BG488" s="92"/>
      <c r="BH488" s="92"/>
      <c r="BI488" s="92"/>
      <c r="BJ488" s="92"/>
      <c r="BK488" s="92"/>
      <c r="BL488" s="92"/>
      <c r="BM488" s="92"/>
      <c r="BN488" s="92"/>
      <c r="BO488" s="92"/>
      <c r="BP488" s="92"/>
      <c r="BQ488" s="92"/>
      <c r="BR488" s="92"/>
      <c r="BS488" s="92"/>
      <c r="BT488" s="92"/>
      <c r="BU488" s="92"/>
      <c r="BV488" s="92"/>
      <c r="BW488" s="92"/>
      <c r="BX488" s="92"/>
      <c r="BY488" s="92"/>
      <c r="BZ488" s="92"/>
      <c r="CA488" s="92"/>
      <c r="CB488" s="92"/>
      <c r="CC488" s="92"/>
      <c r="CD488" s="92"/>
      <c r="CE488" s="92"/>
      <c r="CF488" s="92"/>
      <c r="CG488" s="92"/>
      <c r="CH488" s="92"/>
      <c r="CI488" s="92"/>
      <c r="CJ488" s="92"/>
      <c r="CK488" s="92"/>
      <c r="CL488" s="92"/>
      <c r="CM488" s="92"/>
      <c r="CN488" s="92"/>
      <c r="CO488" s="92"/>
      <c r="CP488" s="92"/>
      <c r="CQ488" s="92"/>
      <c r="CR488" s="92"/>
      <c r="CS488" s="92"/>
      <c r="CT488" s="92"/>
      <c r="CU488" s="92"/>
      <c r="CV488" s="92"/>
      <c r="CW488" s="92"/>
      <c r="CX488" s="92"/>
      <c r="CY488" s="92"/>
      <c r="CZ488" s="92"/>
      <c r="DA488" s="92"/>
      <c r="DB488" s="92"/>
      <c r="DC488" s="92"/>
      <c r="DD488" s="92"/>
      <c r="DE488" s="92"/>
      <c r="DF488" s="92"/>
      <c r="DG488" s="92"/>
      <c r="DH488" s="92"/>
      <c r="DI488" s="92"/>
      <c r="DJ488" s="92"/>
      <c r="DK488" s="92"/>
      <c r="DL488" s="92"/>
      <c r="DM488" s="92"/>
      <c r="DN488" s="92"/>
      <c r="DO488" s="92"/>
      <c r="DP488" s="92"/>
      <c r="DQ488" s="92"/>
      <c r="DR488" s="92"/>
      <c r="DS488" s="92"/>
      <c r="DT488" s="92"/>
      <c r="DU488" s="92"/>
      <c r="DV488" s="92"/>
      <c r="DW488" s="92"/>
      <c r="DX488" s="92"/>
      <c r="DY488" s="92"/>
      <c r="DZ488" s="92"/>
      <c r="EA488" s="92"/>
      <c r="EB488" s="92"/>
      <c r="EC488" s="92"/>
      <c r="ED488" s="92"/>
      <c r="EE488" s="92"/>
      <c r="EF488" s="92"/>
      <c r="EG488" s="92"/>
      <c r="EH488" s="92"/>
      <c r="EI488" s="92"/>
      <c r="EJ488" s="92"/>
      <c r="EK488" s="92"/>
      <c r="EL488" s="92"/>
      <c r="EM488" s="92"/>
      <c r="EN488" s="92"/>
      <c r="EO488" s="92"/>
      <c r="EP488" s="92"/>
      <c r="EQ488" s="92"/>
      <c r="ER488" s="92"/>
      <c r="ES488" s="92"/>
      <c r="ET488" s="92"/>
      <c r="EU488" s="92"/>
      <c r="EV488" s="92"/>
      <c r="EW488" s="92"/>
      <c r="EX488" s="92"/>
      <c r="EY488" s="92"/>
      <c r="EZ488" s="92"/>
      <c r="FA488" s="92"/>
      <c r="FB488" s="92"/>
      <c r="FC488" s="92"/>
      <c r="FD488" s="92"/>
      <c r="FE488" s="92"/>
      <c r="FF488" s="92"/>
      <c r="FG488" s="92"/>
      <c r="FH488" s="92"/>
    </row>
    <row r="489">
      <c r="A489" s="32" t="s">
        <v>17</v>
      </c>
      <c r="B489" s="32" t="s">
        <v>85</v>
      </c>
      <c r="C489" s="32" t="s">
        <v>14</v>
      </c>
      <c r="D489" s="97">
        <f t="shared" si="1"/>
        <v>3717.904767</v>
      </c>
      <c r="E489" s="92">
        <f>(SUBSTITUTE(Audio!E489, "RE-", "", 1))*1</f>
        <v>0</v>
      </c>
      <c r="F489" s="92">
        <f>(SUBSTITUTE(Audio!F489, "RE-", "", 1))*1</f>
        <v>319.188</v>
      </c>
      <c r="G489" s="92">
        <f>(SUBSTITUTE(Audio!G489, "RE-", "", 1))*1</f>
        <v>0.834617</v>
      </c>
      <c r="H489" s="92">
        <f>(SUBSTITUTE(Audio!H489, "RE-", "", 1))*1</f>
        <v>94.978</v>
      </c>
      <c r="I489" s="92">
        <f>(SUBSTITUTE(Audio!I489, "RE-", "", 1))*1</f>
        <v>0</v>
      </c>
      <c r="J489" s="92">
        <f>(SUBSTITUTE(Audio!J489, "RE-", "", 1))*1</f>
        <v>678.394</v>
      </c>
      <c r="K489" s="92">
        <f>(SUBSTITUTE(Audio!K489, "RE-", "", 1))*1</f>
        <v>1.6533</v>
      </c>
      <c r="L489" s="92">
        <f>(SUBSTITUTE(Audio!L489, "RE-", "", 1))*1</f>
        <v>269.162</v>
      </c>
      <c r="M489" s="92">
        <f>(SUBSTITUTE(Audio!M489, "RE-", "", 1))*1</f>
        <v>5.703</v>
      </c>
      <c r="N489" s="92">
        <f>(SUBSTITUTE(Audio!N489, "RE-", "", 1))*1</f>
        <v>1531.66</v>
      </c>
      <c r="O489" s="92">
        <f>(SUBSTITUTE(Audio!O489, "RE-", "", 1))*1</f>
        <v>5.73827</v>
      </c>
      <c r="P489" s="92">
        <f>(SUBSTITUTE(Audio!P489, "RE-", "", 1))*1</f>
        <v>122.63</v>
      </c>
      <c r="Q489" s="92">
        <f>(SUBSTITUTE(Audio!Q489, "RE-", "", 1))*1</f>
        <v>10.8537</v>
      </c>
      <c r="R489" s="92">
        <f>(SUBSTITUTE(Audio!R489, "RE-", "", 1))*1</f>
        <v>369.87</v>
      </c>
      <c r="S489" s="92">
        <f>(SUBSTITUTE(Audio!S489, "RE-", "", 1))*1</f>
        <v>11.5462</v>
      </c>
      <c r="T489" s="92">
        <f>(SUBSTITUTE(Audio!T489, "RE-", "", 1))*1</f>
        <v>279.62</v>
      </c>
      <c r="U489" s="92">
        <f>(SUBSTITUTE(Audio!U489, "RE-", "", 1))*1</f>
        <v>12.3487</v>
      </c>
      <c r="V489" s="92">
        <f>(SUBSTITUTE(Audio!V489, "RE-", "", 1))*1</f>
        <v>3.72498</v>
      </c>
      <c r="W489" s="92">
        <f>(SUBSTITUTE(Audio!W489, "RE-", "", 1))*1</f>
        <v>0</v>
      </c>
      <c r="X489" s="92">
        <f>(SUBSTITUTE(Audio!X489, "RE-", "", 1))*1</f>
        <v>0</v>
      </c>
      <c r="Y489" s="92">
        <f>(SUBSTITUTE(Audio!Y489, "RE-", "", 1))*1</f>
        <v>0</v>
      </c>
      <c r="Z489" s="92">
        <f>(SUBSTITUTE(Audio!Z489, "RE-", "", 1))*1</f>
        <v>0</v>
      </c>
      <c r="AA489" s="92"/>
      <c r="AB489" s="92"/>
      <c r="AC489" s="92"/>
      <c r="AD489" s="92"/>
      <c r="AE489" s="92"/>
      <c r="AF489" s="92"/>
      <c r="AG489" s="92"/>
      <c r="AH489" s="92"/>
      <c r="AI489" s="92"/>
      <c r="AJ489" s="92"/>
      <c r="AK489" s="92"/>
      <c r="AL489" s="92"/>
      <c r="AM489" s="92"/>
      <c r="AN489" s="92"/>
      <c r="AO489" s="92"/>
      <c r="AP489" s="92"/>
      <c r="AQ489" s="92"/>
      <c r="AR489" s="92"/>
      <c r="AS489" s="92"/>
      <c r="AT489" s="92"/>
      <c r="AU489" s="92"/>
      <c r="AV489" s="92"/>
      <c r="AW489" s="92"/>
      <c r="AX489" s="92"/>
      <c r="AY489" s="92"/>
      <c r="AZ489" s="92"/>
      <c r="BA489" s="92"/>
      <c r="BB489" s="92"/>
      <c r="BC489" s="92"/>
      <c r="BD489" s="92"/>
      <c r="BE489" s="92"/>
      <c r="BF489" s="92"/>
      <c r="BG489" s="92"/>
      <c r="BH489" s="92"/>
      <c r="BI489" s="92"/>
      <c r="BJ489" s="92"/>
      <c r="BK489" s="92"/>
      <c r="BL489" s="92"/>
      <c r="BM489" s="92"/>
      <c r="BN489" s="92"/>
      <c r="BO489" s="92"/>
      <c r="BP489" s="92"/>
      <c r="BQ489" s="92"/>
      <c r="BR489" s="92"/>
      <c r="BS489" s="92"/>
      <c r="BT489" s="92"/>
      <c r="BU489" s="92"/>
      <c r="BV489" s="92"/>
      <c r="BW489" s="92"/>
      <c r="BX489" s="92"/>
      <c r="BY489" s="92"/>
      <c r="BZ489" s="92"/>
      <c r="CA489" s="92"/>
      <c r="CB489" s="92"/>
      <c r="CC489" s="92"/>
      <c r="CD489" s="92"/>
      <c r="CE489" s="92"/>
      <c r="CF489" s="92"/>
      <c r="CG489" s="92"/>
      <c r="CH489" s="92"/>
      <c r="CI489" s="92"/>
      <c r="CJ489" s="92"/>
      <c r="CK489" s="92"/>
      <c r="CL489" s="92"/>
      <c r="CM489" s="92"/>
      <c r="CN489" s="92"/>
      <c r="CO489" s="92"/>
      <c r="CP489" s="92"/>
      <c r="CQ489" s="92"/>
      <c r="CR489" s="92"/>
      <c r="CS489" s="92"/>
      <c r="CT489" s="92"/>
      <c r="CU489" s="92"/>
      <c r="CV489" s="92"/>
      <c r="CW489" s="92"/>
      <c r="CX489" s="92"/>
      <c r="CY489" s="92"/>
      <c r="CZ489" s="92"/>
      <c r="DA489" s="92"/>
      <c r="DB489" s="92"/>
      <c r="DC489" s="92"/>
      <c r="DD489" s="92"/>
      <c r="DE489" s="92"/>
      <c r="DF489" s="92"/>
      <c r="DG489" s="92"/>
      <c r="DH489" s="92"/>
      <c r="DI489" s="92"/>
      <c r="DJ489" s="92"/>
      <c r="DK489" s="92"/>
      <c r="DL489" s="92"/>
      <c r="DM489" s="92"/>
      <c r="DN489" s="92"/>
      <c r="DO489" s="92"/>
      <c r="DP489" s="92"/>
      <c r="DQ489" s="92"/>
      <c r="DR489" s="92"/>
      <c r="DS489" s="92"/>
      <c r="DT489" s="92"/>
      <c r="DU489" s="92"/>
      <c r="DV489" s="92"/>
      <c r="DW489" s="92"/>
      <c r="DX489" s="92"/>
      <c r="DY489" s="92"/>
      <c r="DZ489" s="92"/>
      <c r="EA489" s="92"/>
      <c r="EB489" s="92"/>
      <c r="EC489" s="92"/>
      <c r="ED489" s="92"/>
      <c r="EE489" s="92"/>
      <c r="EF489" s="92"/>
      <c r="EG489" s="92"/>
      <c r="EH489" s="92"/>
      <c r="EI489" s="92"/>
      <c r="EJ489" s="92"/>
      <c r="EK489" s="92"/>
      <c r="EL489" s="92"/>
      <c r="EM489" s="92"/>
      <c r="EN489" s="92"/>
      <c r="EO489" s="92"/>
      <c r="EP489" s="92"/>
      <c r="EQ489" s="92"/>
      <c r="ER489" s="92"/>
      <c r="ES489" s="92"/>
      <c r="ET489" s="92"/>
      <c r="EU489" s="92"/>
      <c r="EV489" s="92"/>
      <c r="EW489" s="92"/>
      <c r="EX489" s="92"/>
      <c r="EY489" s="92"/>
      <c r="EZ489" s="92"/>
      <c r="FA489" s="92"/>
      <c r="FB489" s="92"/>
      <c r="FC489" s="92"/>
      <c r="FD489" s="92"/>
      <c r="FE489" s="92"/>
      <c r="FF489" s="92"/>
      <c r="FG489" s="92"/>
      <c r="FH489" s="92"/>
    </row>
    <row r="490">
      <c r="A490" s="27" t="s">
        <v>17</v>
      </c>
      <c r="B490" s="27" t="s">
        <v>85</v>
      </c>
      <c r="C490" s="27" t="s">
        <v>15</v>
      </c>
      <c r="D490" s="98">
        <f t="shared" si="1"/>
        <v>4239.961677</v>
      </c>
      <c r="E490" s="92">
        <f>(SUBSTITUTE(Audio!E490, "RE-", "", 1))*1</f>
        <v>0</v>
      </c>
      <c r="F490" s="92">
        <f>(SUBSTITUTE(Audio!F490, "RE-", "", 1))*1</f>
        <v>353.352</v>
      </c>
      <c r="G490" s="92">
        <f>(SUBSTITUTE(Audio!G490, "RE-", "", 1))*1</f>
        <v>0.834617</v>
      </c>
      <c r="H490" s="92">
        <f>(SUBSTITUTE(Audio!H490, "RE-", "", 1))*1</f>
        <v>109.906</v>
      </c>
      <c r="I490" s="92">
        <f>(SUBSTITUTE(Audio!I490, "RE-", "", 1))*1</f>
        <v>0</v>
      </c>
      <c r="J490" s="92">
        <f>(SUBSTITUTE(Audio!J490, "RE-", "", 1))*1</f>
        <v>742.392</v>
      </c>
      <c r="K490" s="92">
        <f>(SUBSTITUTE(Audio!K490, "RE-", "", 1))*1</f>
        <v>1.6533</v>
      </c>
      <c r="L490" s="92">
        <f>(SUBSTITUTE(Audio!L490, "RE-", "", 1))*1</f>
        <v>308.078</v>
      </c>
      <c r="M490" s="92">
        <f>(SUBSTITUTE(Audio!M490, "RE-", "", 1))*1</f>
        <v>6.54847</v>
      </c>
      <c r="N490" s="92">
        <f>(SUBSTITUTE(Audio!N490, "RE-", "", 1))*1</f>
        <v>1754.57</v>
      </c>
      <c r="O490" s="92">
        <f>(SUBSTITUTE(Audio!O490, "RE-", "", 1))*1</f>
        <v>6.66532</v>
      </c>
      <c r="P490" s="92">
        <f>(SUBSTITUTE(Audio!P490, "RE-", "", 1))*1</f>
        <v>144.479</v>
      </c>
      <c r="Q490" s="92">
        <f>(SUBSTITUTE(Audio!Q490, "RE-", "", 1))*1</f>
        <v>12.012</v>
      </c>
      <c r="R490" s="92">
        <f>(SUBSTITUTE(Audio!R490, "RE-", "", 1))*1</f>
        <v>433.751</v>
      </c>
      <c r="S490" s="92">
        <f>(SUBSTITUTE(Audio!S490, "RE-", "", 1))*1</f>
        <v>13.9254</v>
      </c>
      <c r="T490" s="92">
        <f>(SUBSTITUTE(Audio!T490, "RE-", "", 1))*1</f>
        <v>332.891</v>
      </c>
      <c r="U490" s="92">
        <f>(SUBSTITUTE(Audio!U490, "RE-", "", 1))*1</f>
        <v>14.0586</v>
      </c>
      <c r="V490" s="92">
        <f>(SUBSTITUTE(Audio!V490, "RE-", "", 1))*1</f>
        <v>4.84497</v>
      </c>
      <c r="W490" s="92">
        <f>(SUBSTITUTE(Audio!W490, "RE-", "", 1))*1</f>
        <v>0</v>
      </c>
      <c r="X490" s="92">
        <f>(SUBSTITUTE(Audio!X490, "RE-", "", 1))*1</f>
        <v>0</v>
      </c>
      <c r="Y490" s="92">
        <f>(SUBSTITUTE(Audio!Y490, "RE-", "", 1))*1</f>
        <v>0</v>
      </c>
      <c r="Z490" s="92">
        <f>(SUBSTITUTE(Audio!Z490, "RE-", "", 1))*1</f>
        <v>0</v>
      </c>
      <c r="AA490" s="92"/>
      <c r="AB490" s="92"/>
      <c r="AC490" s="92"/>
      <c r="AD490" s="92"/>
      <c r="AE490" s="92"/>
      <c r="AF490" s="92"/>
      <c r="AG490" s="92"/>
      <c r="AH490" s="92"/>
      <c r="AI490" s="92"/>
      <c r="AJ490" s="92"/>
      <c r="AK490" s="92"/>
      <c r="AL490" s="92"/>
      <c r="AM490" s="92"/>
      <c r="AN490" s="92"/>
      <c r="AO490" s="92"/>
      <c r="AP490" s="92"/>
      <c r="AQ490" s="92"/>
      <c r="AR490" s="92"/>
      <c r="AS490" s="92"/>
      <c r="AT490" s="92"/>
      <c r="AU490" s="92"/>
      <c r="AV490" s="92"/>
      <c r="AW490" s="92"/>
      <c r="AX490" s="92"/>
      <c r="AY490" s="92"/>
      <c r="AZ490" s="92"/>
      <c r="BA490" s="92"/>
      <c r="BB490" s="92"/>
      <c r="BC490" s="92"/>
      <c r="BD490" s="92"/>
      <c r="BE490" s="92"/>
      <c r="BF490" s="92"/>
      <c r="BG490" s="92"/>
      <c r="BH490" s="92"/>
      <c r="BI490" s="92"/>
      <c r="BJ490" s="92"/>
      <c r="BK490" s="92"/>
      <c r="BL490" s="92"/>
      <c r="BM490" s="92"/>
      <c r="BN490" s="92"/>
      <c r="BO490" s="92"/>
      <c r="BP490" s="92"/>
      <c r="BQ490" s="92"/>
      <c r="BR490" s="92"/>
      <c r="BS490" s="92"/>
      <c r="BT490" s="92"/>
      <c r="BU490" s="92"/>
      <c r="BV490" s="92"/>
      <c r="BW490" s="92"/>
      <c r="BX490" s="92"/>
      <c r="BY490" s="92"/>
      <c r="BZ490" s="92"/>
      <c r="CA490" s="92"/>
      <c r="CB490" s="92"/>
      <c r="CC490" s="92"/>
      <c r="CD490" s="92"/>
      <c r="CE490" s="92"/>
      <c r="CF490" s="92"/>
      <c r="CG490" s="92"/>
      <c r="CH490" s="92"/>
      <c r="CI490" s="92"/>
      <c r="CJ490" s="92"/>
      <c r="CK490" s="92"/>
      <c r="CL490" s="92"/>
      <c r="CM490" s="92"/>
      <c r="CN490" s="92"/>
      <c r="CO490" s="92"/>
      <c r="CP490" s="92"/>
      <c r="CQ490" s="92"/>
      <c r="CR490" s="92"/>
      <c r="CS490" s="92"/>
      <c r="CT490" s="92"/>
      <c r="CU490" s="92"/>
      <c r="CV490" s="92"/>
      <c r="CW490" s="92"/>
      <c r="CX490" s="92"/>
      <c r="CY490" s="92"/>
      <c r="CZ490" s="92"/>
      <c r="DA490" s="92"/>
      <c r="DB490" s="92"/>
      <c r="DC490" s="92"/>
      <c r="DD490" s="92"/>
      <c r="DE490" s="92"/>
      <c r="DF490" s="92"/>
      <c r="DG490" s="92"/>
      <c r="DH490" s="92"/>
      <c r="DI490" s="92"/>
      <c r="DJ490" s="92"/>
      <c r="DK490" s="92"/>
      <c r="DL490" s="92"/>
      <c r="DM490" s="92"/>
      <c r="DN490" s="92"/>
      <c r="DO490" s="92"/>
      <c r="DP490" s="92"/>
      <c r="DQ490" s="92"/>
      <c r="DR490" s="92"/>
      <c r="DS490" s="92"/>
      <c r="DT490" s="92"/>
      <c r="DU490" s="92"/>
      <c r="DV490" s="92"/>
      <c r="DW490" s="92"/>
      <c r="DX490" s="92"/>
      <c r="DY490" s="92"/>
      <c r="DZ490" s="92"/>
      <c r="EA490" s="92"/>
      <c r="EB490" s="92"/>
      <c r="EC490" s="92"/>
      <c r="ED490" s="92"/>
      <c r="EE490" s="92"/>
      <c r="EF490" s="92"/>
      <c r="EG490" s="92"/>
      <c r="EH490" s="92"/>
      <c r="EI490" s="92"/>
      <c r="EJ490" s="92"/>
      <c r="EK490" s="92"/>
      <c r="EL490" s="92"/>
      <c r="EM490" s="92"/>
      <c r="EN490" s="92"/>
      <c r="EO490" s="92"/>
      <c r="EP490" s="92"/>
      <c r="EQ490" s="92"/>
      <c r="ER490" s="92"/>
      <c r="ES490" s="92"/>
      <c r="ET490" s="92"/>
      <c r="EU490" s="92"/>
      <c r="EV490" s="92"/>
      <c r="EW490" s="92"/>
      <c r="EX490" s="92"/>
      <c r="EY490" s="92"/>
      <c r="EZ490" s="92"/>
      <c r="FA490" s="92"/>
      <c r="FB490" s="92"/>
      <c r="FC490" s="92"/>
      <c r="FD490" s="92"/>
      <c r="FE490" s="92"/>
      <c r="FF490" s="92"/>
      <c r="FG490" s="92"/>
      <c r="FH490" s="92"/>
    </row>
    <row r="491">
      <c r="A491" s="30" t="s">
        <v>17</v>
      </c>
      <c r="B491" s="30" t="s">
        <v>86</v>
      </c>
      <c r="C491" s="31" t="str">
        <f>HYPERLINK("https://docs.google.com/spreadsheets/d/1CJNuqSygj-kDuVYOtYFRFoo4_HIZ3Tlw/edit?usp=share_link&amp;ouid=118279477453217743021&amp;rtpof=true&amp;sd=true", "Raw Delivered")</f>
        <v>Raw Delivered</v>
      </c>
      <c r="D491" s="96">
        <f t="shared" si="1"/>
        <v>5230.490544</v>
      </c>
      <c r="E491" s="92">
        <f>(SUBSTITUTE(Audio!E491, "RE-", "", 1))*1</f>
        <v>0</v>
      </c>
      <c r="F491" s="92">
        <f>(SUBSTITUTE(Audio!F491, "RE-", "", 1))*1</f>
        <v>320.6321552</v>
      </c>
      <c r="G491" s="92">
        <f>(SUBSTITUTE(Audio!G491, "RE-", "", 1))*1</f>
        <v>0</v>
      </c>
      <c r="H491" s="92">
        <f>(SUBSTITUTE(Audio!H491, "RE-", "", 1))*1</f>
        <v>46.69525833</v>
      </c>
      <c r="I491" s="92">
        <f>(SUBSTITUTE(Audio!I491, "RE-", "", 1))*1</f>
        <v>0</v>
      </c>
      <c r="J491" s="92">
        <f>(SUBSTITUTE(Audio!J491, "RE-", "", 1))*1</f>
        <v>154.6174042</v>
      </c>
      <c r="K491" s="92">
        <f>(SUBSTITUTE(Audio!K491, "RE-", "", 1))*1</f>
        <v>0</v>
      </c>
      <c r="L491" s="92">
        <f>(SUBSTITUTE(Audio!L491, "RE-", "", 1))*1</f>
        <v>388.9305417</v>
      </c>
      <c r="M491" s="92">
        <f>(SUBSTITUTE(Audio!M491, "RE-", "", 1))*1</f>
        <v>0</v>
      </c>
      <c r="N491" s="92">
        <f>(SUBSTITUTE(Audio!N491, "RE-", "", 1))*1</f>
        <v>3354.316046</v>
      </c>
      <c r="O491" s="92">
        <f>(SUBSTITUTE(Audio!O491, "RE-", "", 1))*1</f>
        <v>0</v>
      </c>
      <c r="P491" s="92">
        <f>(SUBSTITUTE(Audio!P491, "RE-", "", 1))*1</f>
        <v>202.3386344</v>
      </c>
      <c r="Q491" s="92">
        <f>(SUBSTITUTE(Audio!Q491, "RE-", "", 1))*1</f>
        <v>0</v>
      </c>
      <c r="R491" s="92">
        <f>(SUBSTITUTE(Audio!R491, "RE-", "", 1))*1</f>
        <v>463.0987333</v>
      </c>
      <c r="S491" s="92">
        <f>(SUBSTITUTE(Audio!S491, "RE-", "", 1))*1</f>
        <v>0</v>
      </c>
      <c r="T491" s="92">
        <f>(SUBSTITUTE(Audio!T491, "RE-", "", 1))*1</f>
        <v>299.8617708</v>
      </c>
      <c r="U491" s="92">
        <f>(SUBSTITUTE(Audio!U491, "RE-", "", 1))*1</f>
        <v>0</v>
      </c>
      <c r="V491" s="92">
        <f>(SUBSTITUTE(Audio!V491, "RE-", "", 1))*1</f>
        <v>0</v>
      </c>
      <c r="W491" s="92">
        <f>(SUBSTITUTE(Audio!W491, "RE-", "", 1))*1</f>
        <v>0</v>
      </c>
      <c r="X491" s="92">
        <f>(SUBSTITUTE(Audio!X491, "RE-", "", 1))*1</f>
        <v>0</v>
      </c>
      <c r="Y491" s="92">
        <f>(SUBSTITUTE(Audio!Y491, "RE-", "", 1))*1</f>
        <v>0</v>
      </c>
      <c r="Z491" s="92">
        <f>(SUBSTITUTE(Audio!Z491, "RE-", "", 1))*1</f>
        <v>0</v>
      </c>
      <c r="AA491" s="92"/>
      <c r="AB491" s="92"/>
      <c r="AC491" s="92"/>
      <c r="AD491" s="92"/>
      <c r="AE491" s="92"/>
      <c r="AF491" s="92"/>
      <c r="AG491" s="92"/>
      <c r="AH491" s="92"/>
      <c r="AI491" s="92"/>
      <c r="AJ491" s="92"/>
      <c r="AK491" s="92"/>
      <c r="AL491" s="92"/>
      <c r="AM491" s="92"/>
      <c r="AN491" s="92"/>
      <c r="AO491" s="92"/>
      <c r="AP491" s="92"/>
      <c r="AQ491" s="92"/>
      <c r="AR491" s="92"/>
      <c r="AS491" s="92"/>
      <c r="AT491" s="92"/>
      <c r="AU491" s="92"/>
      <c r="AV491" s="92"/>
      <c r="AW491" s="92"/>
      <c r="AX491" s="92"/>
      <c r="AY491" s="92"/>
      <c r="AZ491" s="92"/>
      <c r="BA491" s="92"/>
      <c r="BB491" s="92"/>
      <c r="BC491" s="92"/>
      <c r="BD491" s="92"/>
      <c r="BE491" s="92"/>
      <c r="BF491" s="92"/>
      <c r="BG491" s="92"/>
      <c r="BH491" s="92"/>
      <c r="BI491" s="92"/>
      <c r="BJ491" s="92"/>
      <c r="BK491" s="92"/>
      <c r="BL491" s="92"/>
      <c r="BM491" s="92"/>
      <c r="BN491" s="92"/>
      <c r="BO491" s="92"/>
      <c r="BP491" s="92"/>
      <c r="BQ491" s="92"/>
      <c r="BR491" s="92"/>
      <c r="BS491" s="92"/>
      <c r="BT491" s="92"/>
      <c r="BU491" s="92"/>
      <c r="BV491" s="92"/>
      <c r="BW491" s="92"/>
      <c r="BX491" s="92"/>
      <c r="BY491" s="92"/>
      <c r="BZ491" s="92"/>
      <c r="CA491" s="92"/>
      <c r="CB491" s="92"/>
      <c r="CC491" s="92"/>
      <c r="CD491" s="92"/>
      <c r="CE491" s="92"/>
      <c r="CF491" s="92"/>
      <c r="CG491" s="92"/>
      <c r="CH491" s="92"/>
      <c r="CI491" s="92"/>
      <c r="CJ491" s="92"/>
      <c r="CK491" s="92"/>
      <c r="CL491" s="92"/>
      <c r="CM491" s="92"/>
      <c r="CN491" s="92"/>
      <c r="CO491" s="92"/>
      <c r="CP491" s="92"/>
      <c r="CQ491" s="92"/>
      <c r="CR491" s="92"/>
      <c r="CS491" s="92"/>
      <c r="CT491" s="92"/>
      <c r="CU491" s="92"/>
      <c r="CV491" s="92"/>
      <c r="CW491" s="92"/>
      <c r="CX491" s="92"/>
      <c r="CY491" s="92"/>
      <c r="CZ491" s="92"/>
      <c r="DA491" s="92"/>
      <c r="DB491" s="92"/>
      <c r="DC491" s="92"/>
      <c r="DD491" s="92"/>
      <c r="DE491" s="92"/>
      <c r="DF491" s="92"/>
      <c r="DG491" s="92"/>
      <c r="DH491" s="92"/>
      <c r="DI491" s="92"/>
      <c r="DJ491" s="92"/>
      <c r="DK491" s="92"/>
      <c r="DL491" s="92"/>
      <c r="DM491" s="92"/>
      <c r="DN491" s="92"/>
      <c r="DO491" s="92"/>
      <c r="DP491" s="92"/>
      <c r="DQ491" s="92"/>
      <c r="DR491" s="92"/>
      <c r="DS491" s="92"/>
      <c r="DT491" s="92"/>
      <c r="DU491" s="92"/>
      <c r="DV491" s="92"/>
      <c r="DW491" s="92"/>
      <c r="DX491" s="92"/>
      <c r="DY491" s="92"/>
      <c r="DZ491" s="92"/>
      <c r="EA491" s="92"/>
      <c r="EB491" s="92"/>
      <c r="EC491" s="92"/>
      <c r="ED491" s="92"/>
      <c r="EE491" s="92"/>
      <c r="EF491" s="92"/>
      <c r="EG491" s="92"/>
      <c r="EH491" s="92"/>
      <c r="EI491" s="92"/>
      <c r="EJ491" s="92"/>
      <c r="EK491" s="92"/>
      <c r="EL491" s="92"/>
      <c r="EM491" s="92"/>
      <c r="EN491" s="92"/>
      <c r="EO491" s="92"/>
      <c r="EP491" s="92"/>
      <c r="EQ491" s="92"/>
      <c r="ER491" s="92"/>
      <c r="ES491" s="92"/>
      <c r="ET491" s="92"/>
      <c r="EU491" s="92"/>
      <c r="EV491" s="92"/>
      <c r="EW491" s="92"/>
      <c r="EX491" s="92"/>
      <c r="EY491" s="92"/>
      <c r="EZ491" s="92"/>
      <c r="FA491" s="92"/>
      <c r="FB491" s="92"/>
      <c r="FC491" s="92"/>
      <c r="FD491" s="92"/>
      <c r="FE491" s="92"/>
      <c r="FF491" s="92"/>
      <c r="FG491" s="92"/>
      <c r="FH491" s="92"/>
    </row>
    <row r="492">
      <c r="A492" s="32" t="s">
        <v>17</v>
      </c>
      <c r="B492" s="32" t="s">
        <v>86</v>
      </c>
      <c r="C492" s="32" t="s">
        <v>9</v>
      </c>
      <c r="D492" s="97">
        <f t="shared" si="1"/>
        <v>5230.490544</v>
      </c>
      <c r="E492" s="92">
        <f>(SUBSTITUTE(Audio!E492, "RE-", "", 1))*1</f>
        <v>0</v>
      </c>
      <c r="F492" s="92">
        <f>(SUBSTITUTE(Audio!F492, "RE-", "", 1))*1</f>
        <v>320.6321552</v>
      </c>
      <c r="G492" s="92">
        <f>(SUBSTITUTE(Audio!G492, "RE-", "", 1))*1</f>
        <v>0</v>
      </c>
      <c r="H492" s="92">
        <f>(SUBSTITUTE(Audio!H492, "RE-", "", 1))*1</f>
        <v>46.69525833</v>
      </c>
      <c r="I492" s="92">
        <f>(SUBSTITUTE(Audio!I492, "RE-", "", 1))*1</f>
        <v>0</v>
      </c>
      <c r="J492" s="92">
        <f>(SUBSTITUTE(Audio!J492, "RE-", "", 1))*1</f>
        <v>154.6174042</v>
      </c>
      <c r="K492" s="92">
        <f>(SUBSTITUTE(Audio!K492, "RE-", "", 1))*1</f>
        <v>0</v>
      </c>
      <c r="L492" s="92">
        <f>(SUBSTITUTE(Audio!L492, "RE-", "", 1))*1</f>
        <v>388.9305417</v>
      </c>
      <c r="M492" s="92">
        <f>(SUBSTITUTE(Audio!M492, "RE-", "", 1))*1</f>
        <v>0</v>
      </c>
      <c r="N492" s="92">
        <f>(SUBSTITUTE(Audio!N492, "RE-", "", 1))*1</f>
        <v>3354.316046</v>
      </c>
      <c r="O492" s="92">
        <f>(SUBSTITUTE(Audio!O492, "RE-", "", 1))*1</f>
        <v>0</v>
      </c>
      <c r="P492" s="92">
        <f>(SUBSTITUTE(Audio!P492, "RE-", "", 1))*1</f>
        <v>202.3386344</v>
      </c>
      <c r="Q492" s="92">
        <f>(SUBSTITUTE(Audio!Q492, "RE-", "", 1))*1</f>
        <v>0</v>
      </c>
      <c r="R492" s="92">
        <f>(SUBSTITUTE(Audio!R492, "RE-", "", 1))*1</f>
        <v>463.0987333</v>
      </c>
      <c r="S492" s="92">
        <f>(SUBSTITUTE(Audio!S492, "RE-", "", 1))*1</f>
        <v>0</v>
      </c>
      <c r="T492" s="92">
        <f>(SUBSTITUTE(Audio!T492, "RE-", "", 1))*1</f>
        <v>299.8617708</v>
      </c>
      <c r="U492" s="92">
        <f>(SUBSTITUTE(Audio!U492, "RE-", "", 1))*1</f>
        <v>0</v>
      </c>
      <c r="V492" s="92">
        <f>(SUBSTITUTE(Audio!V492, "RE-", "", 1))*1</f>
        <v>0</v>
      </c>
      <c r="W492" s="92">
        <f>(SUBSTITUTE(Audio!W492, "RE-", "", 1))*1</f>
        <v>0</v>
      </c>
      <c r="X492" s="92">
        <f>(SUBSTITUTE(Audio!X492, "RE-", "", 1))*1</f>
        <v>0</v>
      </c>
      <c r="Y492" s="92">
        <f>(SUBSTITUTE(Audio!Y492, "RE-", "", 1))*1</f>
        <v>0</v>
      </c>
      <c r="Z492" s="92">
        <f>(SUBSTITUTE(Audio!Z492, "RE-", "", 1))*1</f>
        <v>0</v>
      </c>
      <c r="AA492" s="92"/>
      <c r="AB492" s="92"/>
      <c r="AC492" s="92"/>
      <c r="AD492" s="92"/>
      <c r="AE492" s="92"/>
      <c r="AF492" s="92"/>
      <c r="AG492" s="92"/>
      <c r="AH492" s="92"/>
      <c r="AI492" s="92"/>
      <c r="AJ492" s="92"/>
      <c r="AK492" s="92"/>
      <c r="AL492" s="92"/>
      <c r="AM492" s="92"/>
      <c r="AN492" s="92"/>
      <c r="AO492" s="92"/>
      <c r="AP492" s="92"/>
      <c r="AQ492" s="92"/>
      <c r="AR492" s="92"/>
      <c r="AS492" s="92"/>
      <c r="AT492" s="92"/>
      <c r="AU492" s="92"/>
      <c r="AV492" s="92"/>
      <c r="AW492" s="92"/>
      <c r="AX492" s="92"/>
      <c r="AY492" s="92"/>
      <c r="AZ492" s="92"/>
      <c r="BA492" s="92"/>
      <c r="BB492" s="92"/>
      <c r="BC492" s="92"/>
      <c r="BD492" s="92"/>
      <c r="BE492" s="92"/>
      <c r="BF492" s="92"/>
      <c r="BG492" s="92"/>
      <c r="BH492" s="92"/>
      <c r="BI492" s="92"/>
      <c r="BJ492" s="92"/>
      <c r="BK492" s="92"/>
      <c r="BL492" s="92"/>
      <c r="BM492" s="92"/>
      <c r="BN492" s="92"/>
      <c r="BO492" s="92"/>
      <c r="BP492" s="92"/>
      <c r="BQ492" s="92"/>
      <c r="BR492" s="92"/>
      <c r="BS492" s="92"/>
      <c r="BT492" s="92"/>
      <c r="BU492" s="92"/>
      <c r="BV492" s="92"/>
      <c r="BW492" s="92"/>
      <c r="BX492" s="92"/>
      <c r="BY492" s="92"/>
      <c r="BZ492" s="92"/>
      <c r="CA492" s="92"/>
      <c r="CB492" s="92"/>
      <c r="CC492" s="92"/>
      <c r="CD492" s="92"/>
      <c r="CE492" s="92"/>
      <c r="CF492" s="92"/>
      <c r="CG492" s="92"/>
      <c r="CH492" s="92"/>
      <c r="CI492" s="92"/>
      <c r="CJ492" s="92"/>
      <c r="CK492" s="92"/>
      <c r="CL492" s="92"/>
      <c r="CM492" s="92"/>
      <c r="CN492" s="92"/>
      <c r="CO492" s="92"/>
      <c r="CP492" s="92"/>
      <c r="CQ492" s="92"/>
      <c r="CR492" s="92"/>
      <c r="CS492" s="92"/>
      <c r="CT492" s="92"/>
      <c r="CU492" s="92"/>
      <c r="CV492" s="92"/>
      <c r="CW492" s="92"/>
      <c r="CX492" s="92"/>
      <c r="CY492" s="92"/>
      <c r="CZ492" s="92"/>
      <c r="DA492" s="92"/>
      <c r="DB492" s="92"/>
      <c r="DC492" s="92"/>
      <c r="DD492" s="92"/>
      <c r="DE492" s="92"/>
      <c r="DF492" s="92"/>
      <c r="DG492" s="92"/>
      <c r="DH492" s="92"/>
      <c r="DI492" s="92"/>
      <c r="DJ492" s="92"/>
      <c r="DK492" s="92"/>
      <c r="DL492" s="92"/>
      <c r="DM492" s="92"/>
      <c r="DN492" s="92"/>
      <c r="DO492" s="92"/>
      <c r="DP492" s="92"/>
      <c r="DQ492" s="92"/>
      <c r="DR492" s="92"/>
      <c r="DS492" s="92"/>
      <c r="DT492" s="92"/>
      <c r="DU492" s="92"/>
      <c r="DV492" s="92"/>
      <c r="DW492" s="92"/>
      <c r="DX492" s="92"/>
      <c r="DY492" s="92"/>
      <c r="DZ492" s="92"/>
      <c r="EA492" s="92"/>
      <c r="EB492" s="92"/>
      <c r="EC492" s="92"/>
      <c r="ED492" s="92"/>
      <c r="EE492" s="92"/>
      <c r="EF492" s="92"/>
      <c r="EG492" s="92"/>
      <c r="EH492" s="92"/>
      <c r="EI492" s="92"/>
      <c r="EJ492" s="92"/>
      <c r="EK492" s="92"/>
      <c r="EL492" s="92"/>
      <c r="EM492" s="92"/>
      <c r="EN492" s="92"/>
      <c r="EO492" s="92"/>
      <c r="EP492" s="92"/>
      <c r="EQ492" s="92"/>
      <c r="ER492" s="92"/>
      <c r="ES492" s="92"/>
      <c r="ET492" s="92"/>
      <c r="EU492" s="92"/>
      <c r="EV492" s="92"/>
      <c r="EW492" s="92"/>
      <c r="EX492" s="92"/>
      <c r="EY492" s="92"/>
      <c r="EZ492" s="92"/>
      <c r="FA492" s="92"/>
      <c r="FB492" s="92"/>
      <c r="FC492" s="92"/>
      <c r="FD492" s="92"/>
      <c r="FE492" s="92"/>
      <c r="FF492" s="92"/>
      <c r="FG492" s="92"/>
      <c r="FH492" s="92"/>
    </row>
    <row r="493">
      <c r="A493" s="32" t="s">
        <v>17</v>
      </c>
      <c r="B493" s="32" t="s">
        <v>86</v>
      </c>
      <c r="C493" s="32" t="s">
        <v>10</v>
      </c>
      <c r="D493" s="97">
        <f t="shared" si="1"/>
        <v>603.7635458</v>
      </c>
      <c r="E493" s="92">
        <f>(SUBSTITUTE(Audio!E493, "RE-", "", 1))*1</f>
        <v>0</v>
      </c>
      <c r="F493" s="92">
        <f>(SUBSTITUTE(Audio!F493, "RE-", "", 1))*1</f>
        <v>0</v>
      </c>
      <c r="G493" s="92">
        <f>(SUBSTITUTE(Audio!G493, "RE-", "", 1))*1</f>
        <v>52.67885937</v>
      </c>
      <c r="H493" s="92">
        <f>(SUBSTITUTE(Audio!H493, "RE-", "", 1))*1</f>
        <v>0</v>
      </c>
      <c r="I493" s="92">
        <f>(SUBSTITUTE(Audio!I493, "RE-", "", 1))*1</f>
        <v>1.704045833</v>
      </c>
      <c r="J493" s="92">
        <f>(SUBSTITUTE(Audio!J493, "RE-", "", 1))*1</f>
        <v>0</v>
      </c>
      <c r="K493" s="92">
        <f>(SUBSTITUTE(Audio!K493, "RE-", "", 1))*1</f>
        <v>5.1887125</v>
      </c>
      <c r="L493" s="92">
        <f>(SUBSTITUTE(Audio!L493, "RE-", "", 1))*1</f>
        <v>0</v>
      </c>
      <c r="M493" s="92">
        <f>(SUBSTITUTE(Audio!M493, "RE-", "", 1))*1</f>
        <v>8.029994792</v>
      </c>
      <c r="N493" s="92">
        <f>(SUBSTITUTE(Audio!N493, "RE-", "", 1))*1</f>
        <v>0</v>
      </c>
      <c r="O493" s="92">
        <f>(SUBSTITUTE(Audio!O493, "RE-", "", 1))*1</f>
        <v>453.1894781</v>
      </c>
      <c r="P493" s="92">
        <f>(SUBSTITUTE(Audio!P493, "RE-", "", 1))*1</f>
        <v>0</v>
      </c>
      <c r="Q493" s="92">
        <f>(SUBSTITUTE(Audio!Q493, "RE-", "", 1))*1</f>
        <v>27.46115938</v>
      </c>
      <c r="R493" s="92">
        <f>(SUBSTITUTE(Audio!R493, "RE-", "", 1))*1</f>
        <v>0</v>
      </c>
      <c r="S493" s="92">
        <f>(SUBSTITUTE(Audio!S493, "RE-", "", 1))*1</f>
        <v>29.52311354</v>
      </c>
      <c r="T493" s="92">
        <f>(SUBSTITUTE(Audio!T493, "RE-", "", 1))*1</f>
        <v>0</v>
      </c>
      <c r="U493" s="92">
        <f>(SUBSTITUTE(Audio!U493, "RE-", "", 1))*1</f>
        <v>18.61961146</v>
      </c>
      <c r="V493" s="92">
        <f>(SUBSTITUTE(Audio!V493, "RE-", "", 1))*1</f>
        <v>7.368570833</v>
      </c>
      <c r="W493" s="92">
        <f>(SUBSTITUTE(Audio!W493, "RE-", "", 1))*1</f>
        <v>0</v>
      </c>
      <c r="X493" s="92">
        <f>(SUBSTITUTE(Audio!X493, "RE-", "", 1))*1</f>
        <v>0</v>
      </c>
      <c r="Y493" s="92">
        <f>(SUBSTITUTE(Audio!Y493, "RE-", "", 1))*1</f>
        <v>0</v>
      </c>
      <c r="Z493" s="92">
        <f>(SUBSTITUTE(Audio!Z493, "RE-", "", 1))*1</f>
        <v>0</v>
      </c>
      <c r="AA493" s="92"/>
      <c r="AB493" s="92"/>
      <c r="AC493" s="92"/>
      <c r="AD493" s="92"/>
      <c r="AE493" s="92"/>
      <c r="AF493" s="92"/>
      <c r="AG493" s="92"/>
      <c r="AH493" s="92"/>
      <c r="AI493" s="92"/>
      <c r="AJ493" s="92"/>
      <c r="AK493" s="92"/>
      <c r="AL493" s="92"/>
      <c r="AM493" s="92"/>
      <c r="AN493" s="92"/>
      <c r="AO493" s="92"/>
      <c r="AP493" s="92"/>
      <c r="AQ493" s="92"/>
      <c r="AR493" s="92"/>
      <c r="AS493" s="92"/>
      <c r="AT493" s="92"/>
      <c r="AU493" s="92"/>
      <c r="AV493" s="92"/>
      <c r="AW493" s="92"/>
      <c r="AX493" s="92"/>
      <c r="AY493" s="92"/>
      <c r="AZ493" s="92"/>
      <c r="BA493" s="92"/>
      <c r="BB493" s="92"/>
      <c r="BC493" s="92"/>
      <c r="BD493" s="92"/>
      <c r="BE493" s="92"/>
      <c r="BF493" s="92"/>
      <c r="BG493" s="92"/>
      <c r="BH493" s="92"/>
      <c r="BI493" s="92"/>
      <c r="BJ493" s="92"/>
      <c r="BK493" s="92"/>
      <c r="BL493" s="92"/>
      <c r="BM493" s="92"/>
      <c r="BN493" s="92"/>
      <c r="BO493" s="92"/>
      <c r="BP493" s="92"/>
      <c r="BQ493" s="92"/>
      <c r="BR493" s="92"/>
      <c r="BS493" s="92"/>
      <c r="BT493" s="92"/>
      <c r="BU493" s="92"/>
      <c r="BV493" s="92"/>
      <c r="BW493" s="92"/>
      <c r="BX493" s="92"/>
      <c r="BY493" s="92"/>
      <c r="BZ493" s="92"/>
      <c r="CA493" s="92"/>
      <c r="CB493" s="92"/>
      <c r="CC493" s="92"/>
      <c r="CD493" s="92"/>
      <c r="CE493" s="92"/>
      <c r="CF493" s="92"/>
      <c r="CG493" s="92"/>
      <c r="CH493" s="92"/>
      <c r="CI493" s="92"/>
      <c r="CJ493" s="92"/>
      <c r="CK493" s="92"/>
      <c r="CL493" s="92"/>
      <c r="CM493" s="92"/>
      <c r="CN493" s="92"/>
      <c r="CO493" s="92"/>
      <c r="CP493" s="92"/>
      <c r="CQ493" s="92"/>
      <c r="CR493" s="92"/>
      <c r="CS493" s="92"/>
      <c r="CT493" s="92"/>
      <c r="CU493" s="92"/>
      <c r="CV493" s="92"/>
      <c r="CW493" s="92"/>
      <c r="CX493" s="92"/>
      <c r="CY493" s="92"/>
      <c r="CZ493" s="92"/>
      <c r="DA493" s="92"/>
      <c r="DB493" s="92"/>
      <c r="DC493" s="92"/>
      <c r="DD493" s="92"/>
      <c r="DE493" s="92"/>
      <c r="DF493" s="92"/>
      <c r="DG493" s="92"/>
      <c r="DH493" s="92"/>
      <c r="DI493" s="92"/>
      <c r="DJ493" s="92"/>
      <c r="DK493" s="92"/>
      <c r="DL493" s="92"/>
      <c r="DM493" s="92"/>
      <c r="DN493" s="92"/>
      <c r="DO493" s="92"/>
      <c r="DP493" s="92"/>
      <c r="DQ493" s="92"/>
      <c r="DR493" s="92"/>
      <c r="DS493" s="92"/>
      <c r="DT493" s="92"/>
      <c r="DU493" s="92"/>
      <c r="DV493" s="92"/>
      <c r="DW493" s="92"/>
      <c r="DX493" s="92"/>
      <c r="DY493" s="92"/>
      <c r="DZ493" s="92"/>
      <c r="EA493" s="92"/>
      <c r="EB493" s="92"/>
      <c r="EC493" s="92"/>
      <c r="ED493" s="92"/>
      <c r="EE493" s="92"/>
      <c r="EF493" s="92"/>
      <c r="EG493" s="92"/>
      <c r="EH493" s="92"/>
      <c r="EI493" s="92"/>
      <c r="EJ493" s="92"/>
      <c r="EK493" s="92"/>
      <c r="EL493" s="92"/>
      <c r="EM493" s="92"/>
      <c r="EN493" s="92"/>
      <c r="EO493" s="92"/>
      <c r="EP493" s="92"/>
      <c r="EQ493" s="92"/>
      <c r="ER493" s="92"/>
      <c r="ES493" s="92"/>
      <c r="ET493" s="92"/>
      <c r="EU493" s="92"/>
      <c r="EV493" s="92"/>
      <c r="EW493" s="92"/>
      <c r="EX493" s="92"/>
      <c r="EY493" s="92"/>
      <c r="EZ493" s="92"/>
      <c r="FA493" s="92"/>
      <c r="FB493" s="92"/>
      <c r="FC493" s="92"/>
      <c r="FD493" s="92"/>
      <c r="FE493" s="92"/>
      <c r="FF493" s="92"/>
      <c r="FG493" s="92"/>
      <c r="FH493" s="92"/>
    </row>
    <row r="494">
      <c r="A494" s="32" t="s">
        <v>17</v>
      </c>
      <c r="B494" s="32" t="s">
        <v>86</v>
      </c>
      <c r="C494" s="32" t="s">
        <v>11</v>
      </c>
      <c r="D494" s="97">
        <f t="shared" si="1"/>
        <v>603.7635458</v>
      </c>
      <c r="E494" s="92">
        <f>(SUBSTITUTE(Audio!E494, "RE-", "", 1))*1</f>
        <v>0</v>
      </c>
      <c r="F494" s="92">
        <f>(SUBSTITUTE(Audio!F494, "RE-", "", 1))*1</f>
        <v>0</v>
      </c>
      <c r="G494" s="92">
        <f>(SUBSTITUTE(Audio!G494, "RE-", "", 1))*1</f>
        <v>52.67885937</v>
      </c>
      <c r="H494" s="92">
        <f>(SUBSTITUTE(Audio!H494, "RE-", "", 1))*1</f>
        <v>0</v>
      </c>
      <c r="I494" s="92">
        <f>(SUBSTITUTE(Audio!I494, "RE-", "", 1))*1</f>
        <v>1.704045833</v>
      </c>
      <c r="J494" s="92">
        <f>(SUBSTITUTE(Audio!J494, "RE-", "", 1))*1</f>
        <v>0</v>
      </c>
      <c r="K494" s="92">
        <f>(SUBSTITUTE(Audio!K494, "RE-", "", 1))*1</f>
        <v>5.1887125</v>
      </c>
      <c r="L494" s="92">
        <f>(SUBSTITUTE(Audio!L494, "RE-", "", 1))*1</f>
        <v>0</v>
      </c>
      <c r="M494" s="92">
        <f>(SUBSTITUTE(Audio!M494, "RE-", "", 1))*1</f>
        <v>8.029994792</v>
      </c>
      <c r="N494" s="92">
        <f>(SUBSTITUTE(Audio!N494, "RE-", "", 1))*1</f>
        <v>0</v>
      </c>
      <c r="O494" s="92">
        <f>(SUBSTITUTE(Audio!O494, "RE-", "", 1))*1</f>
        <v>453.1894781</v>
      </c>
      <c r="P494" s="92">
        <f>(SUBSTITUTE(Audio!P494, "RE-", "", 1))*1</f>
        <v>0</v>
      </c>
      <c r="Q494" s="92">
        <f>(SUBSTITUTE(Audio!Q494, "RE-", "", 1))*1</f>
        <v>27.46115938</v>
      </c>
      <c r="R494" s="92">
        <f>(SUBSTITUTE(Audio!R494, "RE-", "", 1))*1</f>
        <v>0</v>
      </c>
      <c r="S494" s="92">
        <f>(SUBSTITUTE(Audio!S494, "RE-", "", 1))*1</f>
        <v>29.52311354</v>
      </c>
      <c r="T494" s="92">
        <f>(SUBSTITUTE(Audio!T494, "RE-", "", 1))*1</f>
        <v>0</v>
      </c>
      <c r="U494" s="92">
        <f>(SUBSTITUTE(Audio!U494, "RE-", "", 1))*1</f>
        <v>18.61961146</v>
      </c>
      <c r="V494" s="92">
        <f>(SUBSTITUTE(Audio!V494, "RE-", "", 1))*1</f>
        <v>7.368570833</v>
      </c>
      <c r="W494" s="92">
        <f>(SUBSTITUTE(Audio!W494, "RE-", "", 1))*1</f>
        <v>0</v>
      </c>
      <c r="X494" s="92">
        <f>(SUBSTITUTE(Audio!X494, "RE-", "", 1))*1</f>
        <v>0</v>
      </c>
      <c r="Y494" s="92">
        <f>(SUBSTITUTE(Audio!Y494, "RE-", "", 1))*1</f>
        <v>0</v>
      </c>
      <c r="Z494" s="92">
        <f>(SUBSTITUTE(Audio!Z494, "RE-", "", 1))*1</f>
        <v>0</v>
      </c>
      <c r="AA494" s="92"/>
      <c r="AB494" s="92"/>
      <c r="AC494" s="92"/>
      <c r="AD494" s="92"/>
      <c r="AE494" s="92"/>
      <c r="AF494" s="92"/>
      <c r="AG494" s="92"/>
      <c r="AH494" s="92"/>
      <c r="AI494" s="92"/>
      <c r="AJ494" s="92"/>
      <c r="AK494" s="92"/>
      <c r="AL494" s="92"/>
      <c r="AM494" s="92"/>
      <c r="AN494" s="92"/>
      <c r="AO494" s="92"/>
      <c r="AP494" s="92"/>
      <c r="AQ494" s="92"/>
      <c r="AR494" s="92"/>
      <c r="AS494" s="92"/>
      <c r="AT494" s="92"/>
      <c r="AU494" s="92"/>
      <c r="AV494" s="92"/>
      <c r="AW494" s="92"/>
      <c r="AX494" s="92"/>
      <c r="AY494" s="92"/>
      <c r="AZ494" s="92"/>
      <c r="BA494" s="92"/>
      <c r="BB494" s="92"/>
      <c r="BC494" s="92"/>
      <c r="BD494" s="92"/>
      <c r="BE494" s="92"/>
      <c r="BF494" s="92"/>
      <c r="BG494" s="92"/>
      <c r="BH494" s="92"/>
      <c r="BI494" s="92"/>
      <c r="BJ494" s="92"/>
      <c r="BK494" s="92"/>
      <c r="BL494" s="92"/>
      <c r="BM494" s="92"/>
      <c r="BN494" s="92"/>
      <c r="BO494" s="92"/>
      <c r="BP494" s="92"/>
      <c r="BQ494" s="92"/>
      <c r="BR494" s="92"/>
      <c r="BS494" s="92"/>
      <c r="BT494" s="92"/>
      <c r="BU494" s="92"/>
      <c r="BV494" s="92"/>
      <c r="BW494" s="92"/>
      <c r="BX494" s="92"/>
      <c r="BY494" s="92"/>
      <c r="BZ494" s="92"/>
      <c r="CA494" s="92"/>
      <c r="CB494" s="92"/>
      <c r="CC494" s="92"/>
      <c r="CD494" s="92"/>
      <c r="CE494" s="92"/>
      <c r="CF494" s="92"/>
      <c r="CG494" s="92"/>
      <c r="CH494" s="92"/>
      <c r="CI494" s="92"/>
      <c r="CJ494" s="92"/>
      <c r="CK494" s="92"/>
      <c r="CL494" s="92"/>
      <c r="CM494" s="92"/>
      <c r="CN494" s="92"/>
      <c r="CO494" s="92"/>
      <c r="CP494" s="92"/>
      <c r="CQ494" s="92"/>
      <c r="CR494" s="92"/>
      <c r="CS494" s="92"/>
      <c r="CT494" s="92"/>
      <c r="CU494" s="92"/>
      <c r="CV494" s="92"/>
      <c r="CW494" s="92"/>
      <c r="CX494" s="92"/>
      <c r="CY494" s="92"/>
      <c r="CZ494" s="92"/>
      <c r="DA494" s="92"/>
      <c r="DB494" s="92"/>
      <c r="DC494" s="92"/>
      <c r="DD494" s="92"/>
      <c r="DE494" s="92"/>
      <c r="DF494" s="92"/>
      <c r="DG494" s="92"/>
      <c r="DH494" s="92"/>
      <c r="DI494" s="92"/>
      <c r="DJ494" s="92"/>
      <c r="DK494" s="92"/>
      <c r="DL494" s="92"/>
      <c r="DM494" s="92"/>
      <c r="DN494" s="92"/>
      <c r="DO494" s="92"/>
      <c r="DP494" s="92"/>
      <c r="DQ494" s="92"/>
      <c r="DR494" s="92"/>
      <c r="DS494" s="92"/>
      <c r="DT494" s="92"/>
      <c r="DU494" s="92"/>
      <c r="DV494" s="92"/>
      <c r="DW494" s="92"/>
      <c r="DX494" s="92"/>
      <c r="DY494" s="92"/>
      <c r="DZ494" s="92"/>
      <c r="EA494" s="92"/>
      <c r="EB494" s="92"/>
      <c r="EC494" s="92"/>
      <c r="ED494" s="92"/>
      <c r="EE494" s="92"/>
      <c r="EF494" s="92"/>
      <c r="EG494" s="92"/>
      <c r="EH494" s="92"/>
      <c r="EI494" s="92"/>
      <c r="EJ494" s="92"/>
      <c r="EK494" s="92"/>
      <c r="EL494" s="92"/>
      <c r="EM494" s="92"/>
      <c r="EN494" s="92"/>
      <c r="EO494" s="92"/>
      <c r="EP494" s="92"/>
      <c r="EQ494" s="92"/>
      <c r="ER494" s="92"/>
      <c r="ES494" s="92"/>
      <c r="ET494" s="92"/>
      <c r="EU494" s="92"/>
      <c r="EV494" s="92"/>
      <c r="EW494" s="92"/>
      <c r="EX494" s="92"/>
      <c r="EY494" s="92"/>
      <c r="EZ494" s="92"/>
      <c r="FA494" s="92"/>
      <c r="FB494" s="92"/>
      <c r="FC494" s="92"/>
      <c r="FD494" s="92"/>
      <c r="FE494" s="92"/>
      <c r="FF494" s="92"/>
      <c r="FG494" s="92"/>
      <c r="FH494" s="92"/>
    </row>
    <row r="495">
      <c r="A495" s="32" t="s">
        <v>17</v>
      </c>
      <c r="B495" s="32" t="s">
        <v>86</v>
      </c>
      <c r="C495" s="32" t="s">
        <v>12</v>
      </c>
      <c r="D495" s="97">
        <f t="shared" si="1"/>
        <v>4243.124685</v>
      </c>
      <c r="E495" s="92">
        <f>(SUBSTITUTE(Audio!E495, "RE-", "", 1))*1</f>
        <v>0</v>
      </c>
      <c r="F495" s="92">
        <f>(SUBSTITUTE(Audio!F495, "RE-", "", 1))*1</f>
        <v>242.4928375</v>
      </c>
      <c r="G495" s="92">
        <f>(SUBSTITUTE(Audio!G495, "RE-", "", 1))*1</f>
        <v>1.54531875</v>
      </c>
      <c r="H495" s="92">
        <f>(SUBSTITUTE(Audio!H495, "RE-", "", 1))*1</f>
        <v>43.89017708</v>
      </c>
      <c r="I495" s="92">
        <f>(SUBSTITUTE(Audio!I495, "RE-", "", 1))*1</f>
        <v>0</v>
      </c>
      <c r="J495" s="92">
        <f>(SUBSTITUTE(Audio!J495, "RE-", "", 1))*1</f>
        <v>139.1686167</v>
      </c>
      <c r="K495" s="92">
        <f>(SUBSTITUTE(Audio!K495, "RE-", "", 1))*1</f>
        <v>0.91439375</v>
      </c>
      <c r="L495" s="92">
        <f>(SUBSTITUTE(Audio!L495, "RE-", "", 1))*1</f>
        <v>355.6413573</v>
      </c>
      <c r="M495" s="92">
        <f>(SUBSTITUTE(Audio!M495, "RE-", "", 1))*1</f>
        <v>0.33264375</v>
      </c>
      <c r="N495" s="92">
        <f>(SUBSTITUTE(Audio!N495, "RE-", "", 1))*1</f>
        <v>2502.399539</v>
      </c>
      <c r="O495" s="92">
        <f>(SUBSTITUTE(Audio!O495, "RE-", "", 1))*1</f>
        <v>10.56672708</v>
      </c>
      <c r="P495" s="92">
        <f>(SUBSTITUTE(Audio!P495, "RE-", "", 1))*1</f>
        <v>192.2318802</v>
      </c>
      <c r="Q495" s="92">
        <f>(SUBSTITUTE(Audio!Q495, "RE-", "", 1))*1</f>
        <v>1.378358333</v>
      </c>
      <c r="R495" s="92">
        <f>(SUBSTITUTE(Audio!R495, "RE-", "", 1))*1</f>
        <v>442.534575</v>
      </c>
      <c r="S495" s="92">
        <f>(SUBSTITUTE(Audio!S495, "RE-", "", 1))*1</f>
        <v>12.14034375</v>
      </c>
      <c r="T495" s="92">
        <f>(SUBSTITUTE(Audio!T495, "RE-", "", 1))*1</f>
        <v>281.1397344</v>
      </c>
      <c r="U495" s="92">
        <f>(SUBSTITUTE(Audio!U495, "RE-", "", 1))*1</f>
        <v>11.65435938</v>
      </c>
      <c r="V495" s="92">
        <f>(SUBSTITUTE(Audio!V495, "RE-", "", 1))*1</f>
        <v>5.093823958</v>
      </c>
      <c r="W495" s="92">
        <f>(SUBSTITUTE(Audio!W495, "RE-", "", 1))*1</f>
        <v>0</v>
      </c>
      <c r="X495" s="92">
        <f>(SUBSTITUTE(Audio!X495, "RE-", "", 1))*1</f>
        <v>0</v>
      </c>
      <c r="Y495" s="92">
        <f>(SUBSTITUTE(Audio!Y495, "RE-", "", 1))*1</f>
        <v>0</v>
      </c>
      <c r="Z495" s="92">
        <f>(SUBSTITUTE(Audio!Z495, "RE-", "", 1))*1</f>
        <v>0</v>
      </c>
      <c r="AA495" s="92"/>
      <c r="AB495" s="92"/>
      <c r="AC495" s="92"/>
      <c r="AD495" s="92"/>
      <c r="AE495" s="92"/>
      <c r="AF495" s="92"/>
      <c r="AG495" s="92"/>
      <c r="AH495" s="92"/>
      <c r="AI495" s="92"/>
      <c r="AJ495" s="92"/>
      <c r="AK495" s="92"/>
      <c r="AL495" s="92"/>
      <c r="AM495" s="92"/>
      <c r="AN495" s="92"/>
      <c r="AO495" s="92"/>
      <c r="AP495" s="92"/>
      <c r="AQ495" s="92"/>
      <c r="AR495" s="92"/>
      <c r="AS495" s="92"/>
      <c r="AT495" s="92"/>
      <c r="AU495" s="92"/>
      <c r="AV495" s="92"/>
      <c r="AW495" s="92"/>
      <c r="AX495" s="92"/>
      <c r="AY495" s="92"/>
      <c r="AZ495" s="92"/>
      <c r="BA495" s="92"/>
      <c r="BB495" s="92"/>
      <c r="BC495" s="92"/>
      <c r="BD495" s="92"/>
      <c r="BE495" s="92"/>
      <c r="BF495" s="92"/>
      <c r="BG495" s="92"/>
      <c r="BH495" s="92"/>
      <c r="BI495" s="92"/>
      <c r="BJ495" s="92"/>
      <c r="BK495" s="92"/>
      <c r="BL495" s="92"/>
      <c r="BM495" s="92"/>
      <c r="BN495" s="92"/>
      <c r="BO495" s="92"/>
      <c r="BP495" s="92"/>
      <c r="BQ495" s="92"/>
      <c r="BR495" s="92"/>
      <c r="BS495" s="92"/>
      <c r="BT495" s="92"/>
      <c r="BU495" s="92"/>
      <c r="BV495" s="92"/>
      <c r="BW495" s="92"/>
      <c r="BX495" s="92"/>
      <c r="BY495" s="92"/>
      <c r="BZ495" s="92"/>
      <c r="CA495" s="92"/>
      <c r="CB495" s="92"/>
      <c r="CC495" s="92"/>
      <c r="CD495" s="92"/>
      <c r="CE495" s="92"/>
      <c r="CF495" s="92"/>
      <c r="CG495" s="92"/>
      <c r="CH495" s="92"/>
      <c r="CI495" s="92"/>
      <c r="CJ495" s="92"/>
      <c r="CK495" s="92"/>
      <c r="CL495" s="92"/>
      <c r="CM495" s="92"/>
      <c r="CN495" s="92"/>
      <c r="CO495" s="92"/>
      <c r="CP495" s="92"/>
      <c r="CQ495" s="92"/>
      <c r="CR495" s="92"/>
      <c r="CS495" s="92"/>
      <c r="CT495" s="92"/>
      <c r="CU495" s="92"/>
      <c r="CV495" s="92"/>
      <c r="CW495" s="92"/>
      <c r="CX495" s="92"/>
      <c r="CY495" s="92"/>
      <c r="CZ495" s="92"/>
      <c r="DA495" s="92"/>
      <c r="DB495" s="92"/>
      <c r="DC495" s="92"/>
      <c r="DD495" s="92"/>
      <c r="DE495" s="92"/>
      <c r="DF495" s="92"/>
      <c r="DG495" s="92"/>
      <c r="DH495" s="92"/>
      <c r="DI495" s="92"/>
      <c r="DJ495" s="92"/>
      <c r="DK495" s="92"/>
      <c r="DL495" s="92"/>
      <c r="DM495" s="92"/>
      <c r="DN495" s="92"/>
      <c r="DO495" s="92"/>
      <c r="DP495" s="92"/>
      <c r="DQ495" s="92"/>
      <c r="DR495" s="92"/>
      <c r="DS495" s="92"/>
      <c r="DT495" s="92"/>
      <c r="DU495" s="92"/>
      <c r="DV495" s="92"/>
      <c r="DW495" s="92"/>
      <c r="DX495" s="92"/>
      <c r="DY495" s="92"/>
      <c r="DZ495" s="92"/>
      <c r="EA495" s="92"/>
      <c r="EB495" s="92"/>
      <c r="EC495" s="92"/>
      <c r="ED495" s="92"/>
      <c r="EE495" s="92"/>
      <c r="EF495" s="92"/>
      <c r="EG495" s="92"/>
      <c r="EH495" s="92"/>
      <c r="EI495" s="92"/>
      <c r="EJ495" s="92"/>
      <c r="EK495" s="92"/>
      <c r="EL495" s="92"/>
      <c r="EM495" s="92"/>
      <c r="EN495" s="92"/>
      <c r="EO495" s="92"/>
      <c r="EP495" s="92"/>
      <c r="EQ495" s="92"/>
      <c r="ER495" s="92"/>
      <c r="ES495" s="92"/>
      <c r="ET495" s="92"/>
      <c r="EU495" s="92"/>
      <c r="EV495" s="92"/>
      <c r="EW495" s="92"/>
      <c r="EX495" s="92"/>
      <c r="EY495" s="92"/>
      <c r="EZ495" s="92"/>
      <c r="FA495" s="92"/>
      <c r="FB495" s="92"/>
      <c r="FC495" s="92"/>
      <c r="FD495" s="92"/>
      <c r="FE495" s="92"/>
      <c r="FF495" s="92"/>
      <c r="FG495" s="92"/>
      <c r="FH495" s="92"/>
    </row>
    <row r="496">
      <c r="A496" s="32" t="s">
        <v>17</v>
      </c>
      <c r="B496" s="32" t="s">
        <v>86</v>
      </c>
      <c r="C496" s="32" t="s">
        <v>13</v>
      </c>
      <c r="D496" s="97">
        <f t="shared" si="1"/>
        <v>4095.37488</v>
      </c>
      <c r="E496" s="92">
        <f>(SUBSTITUTE(Audio!E496, "RE-", "", 1))*1</f>
        <v>0</v>
      </c>
      <c r="F496" s="92">
        <f>(SUBSTITUTE(Audio!F496, "RE-", "", 1))*1</f>
        <v>235.875</v>
      </c>
      <c r="G496" s="92">
        <f>(SUBSTITUTE(Audio!G496, "RE-", "", 1))*1</f>
        <v>1.51733</v>
      </c>
      <c r="H496" s="92">
        <f>(SUBSTITUTE(Audio!H496, "RE-", "", 1))*1</f>
        <v>42.6447</v>
      </c>
      <c r="I496" s="92">
        <f>(SUBSTITUTE(Audio!I496, "RE-", "", 1))*1</f>
        <v>0</v>
      </c>
      <c r="J496" s="92">
        <f>(SUBSTITUTE(Audio!J496, "RE-", "", 1))*1</f>
        <v>137.374</v>
      </c>
      <c r="K496" s="92">
        <f>(SUBSTITUTE(Audio!K496, "RE-", "", 1))*1</f>
        <v>0.812733</v>
      </c>
      <c r="L496" s="92">
        <f>(SUBSTITUTE(Audio!L496, "RE-", "", 1))*1</f>
        <v>341.979</v>
      </c>
      <c r="M496" s="92">
        <f>(SUBSTITUTE(Audio!M496, "RE-", "", 1))*1</f>
        <v>0.300417</v>
      </c>
      <c r="N496" s="92">
        <f>(SUBSTITUTE(Audio!N496, "RE-", "", 1))*1</f>
        <v>2418.58</v>
      </c>
      <c r="O496" s="92">
        <f>(SUBSTITUTE(Audio!O496, "RE-", "", 1))*1</f>
        <v>10.0506</v>
      </c>
      <c r="P496" s="92">
        <f>(SUBSTITUTE(Audio!P496, "RE-", "", 1))*1</f>
        <v>183.946</v>
      </c>
      <c r="Q496" s="92">
        <f>(SUBSTITUTE(Audio!Q496, "RE-", "", 1))*1</f>
        <v>1.3401</v>
      </c>
      <c r="R496" s="92">
        <f>(SUBSTITUTE(Audio!R496, "RE-", "", 1))*1</f>
        <v>422.569</v>
      </c>
      <c r="S496" s="92">
        <f>(SUBSTITUTE(Audio!S496, "RE-", "", 1))*1</f>
        <v>11.689</v>
      </c>
      <c r="T496" s="92">
        <f>(SUBSTITUTE(Audio!T496, "RE-", "", 1))*1</f>
        <v>270.633</v>
      </c>
      <c r="U496" s="92">
        <f>(SUBSTITUTE(Audio!U496, "RE-", "", 1))*1</f>
        <v>11.2384</v>
      </c>
      <c r="V496" s="92">
        <f>(SUBSTITUTE(Audio!V496, "RE-", "", 1))*1</f>
        <v>4.8256</v>
      </c>
      <c r="W496" s="92">
        <f>(SUBSTITUTE(Audio!W496, "RE-", "", 1))*1</f>
        <v>0</v>
      </c>
      <c r="X496" s="92">
        <f>(SUBSTITUTE(Audio!X496, "RE-", "", 1))*1</f>
        <v>0</v>
      </c>
      <c r="Y496" s="92">
        <f>(SUBSTITUTE(Audio!Y496, "RE-", "", 1))*1</f>
        <v>0</v>
      </c>
      <c r="Z496" s="92">
        <f>(SUBSTITUTE(Audio!Z496, "RE-", "", 1))*1</f>
        <v>0</v>
      </c>
      <c r="AA496" s="92"/>
      <c r="AB496" s="92"/>
      <c r="AC496" s="92"/>
      <c r="AD496" s="92"/>
      <c r="AE496" s="92"/>
      <c r="AF496" s="92"/>
      <c r="AG496" s="92"/>
      <c r="AH496" s="92"/>
      <c r="AI496" s="92"/>
      <c r="AJ496" s="92"/>
      <c r="AK496" s="92"/>
      <c r="AL496" s="92"/>
      <c r="AM496" s="92"/>
      <c r="AN496" s="92"/>
      <c r="AO496" s="92"/>
      <c r="AP496" s="92"/>
      <c r="AQ496" s="92"/>
      <c r="AR496" s="92"/>
      <c r="AS496" s="92"/>
      <c r="AT496" s="92"/>
      <c r="AU496" s="92"/>
      <c r="AV496" s="92"/>
      <c r="AW496" s="92"/>
      <c r="AX496" s="92"/>
      <c r="AY496" s="92"/>
      <c r="AZ496" s="92"/>
      <c r="BA496" s="92"/>
      <c r="BB496" s="92"/>
      <c r="BC496" s="92"/>
      <c r="BD496" s="92"/>
      <c r="BE496" s="92"/>
      <c r="BF496" s="92"/>
      <c r="BG496" s="92"/>
      <c r="BH496" s="92"/>
      <c r="BI496" s="92"/>
      <c r="BJ496" s="92"/>
      <c r="BK496" s="92"/>
      <c r="BL496" s="92"/>
      <c r="BM496" s="92"/>
      <c r="BN496" s="92"/>
      <c r="BO496" s="92"/>
      <c r="BP496" s="92"/>
      <c r="BQ496" s="92"/>
      <c r="BR496" s="92"/>
      <c r="BS496" s="92"/>
      <c r="BT496" s="92"/>
      <c r="BU496" s="92"/>
      <c r="BV496" s="92"/>
      <c r="BW496" s="92"/>
      <c r="BX496" s="92"/>
      <c r="BY496" s="92"/>
      <c r="BZ496" s="92"/>
      <c r="CA496" s="92"/>
      <c r="CB496" s="92"/>
      <c r="CC496" s="92"/>
      <c r="CD496" s="92"/>
      <c r="CE496" s="92"/>
      <c r="CF496" s="92"/>
      <c r="CG496" s="92"/>
      <c r="CH496" s="92"/>
      <c r="CI496" s="92"/>
      <c r="CJ496" s="92"/>
      <c r="CK496" s="92"/>
      <c r="CL496" s="92"/>
      <c r="CM496" s="92"/>
      <c r="CN496" s="92"/>
      <c r="CO496" s="92"/>
      <c r="CP496" s="92"/>
      <c r="CQ496" s="92"/>
      <c r="CR496" s="92"/>
      <c r="CS496" s="92"/>
      <c r="CT496" s="92"/>
      <c r="CU496" s="92"/>
      <c r="CV496" s="92"/>
      <c r="CW496" s="92"/>
      <c r="CX496" s="92"/>
      <c r="CY496" s="92"/>
      <c r="CZ496" s="92"/>
      <c r="DA496" s="92"/>
      <c r="DB496" s="92"/>
      <c r="DC496" s="92"/>
      <c r="DD496" s="92"/>
      <c r="DE496" s="92"/>
      <c r="DF496" s="92"/>
      <c r="DG496" s="92"/>
      <c r="DH496" s="92"/>
      <c r="DI496" s="92"/>
      <c r="DJ496" s="92"/>
      <c r="DK496" s="92"/>
      <c r="DL496" s="92"/>
      <c r="DM496" s="92"/>
      <c r="DN496" s="92"/>
      <c r="DO496" s="92"/>
      <c r="DP496" s="92"/>
      <c r="DQ496" s="92"/>
      <c r="DR496" s="92"/>
      <c r="DS496" s="92"/>
      <c r="DT496" s="92"/>
      <c r="DU496" s="92"/>
      <c r="DV496" s="92"/>
      <c r="DW496" s="92"/>
      <c r="DX496" s="92"/>
      <c r="DY496" s="92"/>
      <c r="DZ496" s="92"/>
      <c r="EA496" s="92"/>
      <c r="EB496" s="92"/>
      <c r="EC496" s="92"/>
      <c r="ED496" s="92"/>
      <c r="EE496" s="92"/>
      <c r="EF496" s="92"/>
      <c r="EG496" s="92"/>
      <c r="EH496" s="92"/>
      <c r="EI496" s="92"/>
      <c r="EJ496" s="92"/>
      <c r="EK496" s="92"/>
      <c r="EL496" s="92"/>
      <c r="EM496" s="92"/>
      <c r="EN496" s="92"/>
      <c r="EO496" s="92"/>
      <c r="EP496" s="92"/>
      <c r="EQ496" s="92"/>
      <c r="ER496" s="92"/>
      <c r="ES496" s="92"/>
      <c r="ET496" s="92"/>
      <c r="EU496" s="92"/>
      <c r="EV496" s="92"/>
      <c r="EW496" s="92"/>
      <c r="EX496" s="92"/>
      <c r="EY496" s="92"/>
      <c r="EZ496" s="92"/>
      <c r="FA496" s="92"/>
      <c r="FB496" s="92"/>
      <c r="FC496" s="92"/>
      <c r="FD496" s="92"/>
      <c r="FE496" s="92"/>
      <c r="FF496" s="92"/>
      <c r="FG496" s="92"/>
      <c r="FH496" s="92"/>
    </row>
    <row r="497">
      <c r="A497" s="32" t="s">
        <v>17</v>
      </c>
      <c r="B497" s="32" t="s">
        <v>86</v>
      </c>
      <c r="C497" s="32" t="s">
        <v>14</v>
      </c>
      <c r="D497" s="97">
        <f t="shared" si="1"/>
        <v>3598.234217</v>
      </c>
      <c r="E497" s="92">
        <f>(SUBSTITUTE(Audio!E497, "RE-", "", 1))*1</f>
        <v>0</v>
      </c>
      <c r="F497" s="92">
        <f>(SUBSTITUTE(Audio!F497, "RE-", "", 1))*1</f>
        <v>211.282</v>
      </c>
      <c r="G497" s="92">
        <f>(SUBSTITUTE(Audio!G497, "RE-", "", 1))*1</f>
        <v>1.51733</v>
      </c>
      <c r="H497" s="92">
        <f>(SUBSTITUTE(Audio!H497, "RE-", "", 1))*1</f>
        <v>36.2168</v>
      </c>
      <c r="I497" s="92">
        <f>(SUBSTITUTE(Audio!I497, "RE-", "", 1))*1</f>
        <v>0</v>
      </c>
      <c r="J497" s="92">
        <f>(SUBSTITUTE(Audio!J497, "RE-", "", 1))*1</f>
        <v>126.678</v>
      </c>
      <c r="K497" s="92">
        <f>(SUBSTITUTE(Audio!K497, "RE-", "", 1))*1</f>
        <v>0.812733</v>
      </c>
      <c r="L497" s="92">
        <f>(SUBSTITUTE(Audio!L497, "RE-", "", 1))*1</f>
        <v>290.348</v>
      </c>
      <c r="M497" s="92">
        <f>(SUBSTITUTE(Audio!M497, "RE-", "", 1))*1</f>
        <v>0.300417</v>
      </c>
      <c r="N497" s="92">
        <f>(SUBSTITUTE(Audio!N497, "RE-", "", 1))*1</f>
        <v>2160.77</v>
      </c>
      <c r="O497" s="92">
        <f>(SUBSTITUTE(Audio!O497, "RE-", "", 1))*1</f>
        <v>9.2424</v>
      </c>
      <c r="P497" s="92">
        <f>(SUBSTITUTE(Audio!P497, "RE-", "", 1))*1</f>
        <v>152.19</v>
      </c>
      <c r="Q497" s="92">
        <f>(SUBSTITUTE(Audio!Q497, "RE-", "", 1))*1</f>
        <v>0.795767</v>
      </c>
      <c r="R497" s="92">
        <f>(SUBSTITUTE(Audio!R497, "RE-", "", 1))*1</f>
        <v>358.753</v>
      </c>
      <c r="S497" s="92">
        <f>(SUBSTITUTE(Audio!S497, "RE-", "", 1))*1</f>
        <v>9.00947</v>
      </c>
      <c r="T497" s="92">
        <f>(SUBSTITUTE(Audio!T497, "RE-", "", 1))*1</f>
        <v>228.314</v>
      </c>
      <c r="U497" s="92">
        <f>(SUBSTITUTE(Audio!U497, "RE-", "", 1))*1</f>
        <v>7.96217</v>
      </c>
      <c r="V497" s="92">
        <f>(SUBSTITUTE(Audio!V497, "RE-", "", 1))*1</f>
        <v>4.04213</v>
      </c>
      <c r="W497" s="92">
        <f>(SUBSTITUTE(Audio!W497, "RE-", "", 1))*1</f>
        <v>0</v>
      </c>
      <c r="X497" s="92">
        <f>(SUBSTITUTE(Audio!X497, "RE-", "", 1))*1</f>
        <v>0</v>
      </c>
      <c r="Y497" s="92">
        <f>(SUBSTITUTE(Audio!Y497, "RE-", "", 1))*1</f>
        <v>0</v>
      </c>
      <c r="Z497" s="92">
        <f>(SUBSTITUTE(Audio!Z497, "RE-", "", 1))*1</f>
        <v>0</v>
      </c>
      <c r="AA497" s="92"/>
      <c r="AB497" s="92"/>
      <c r="AC497" s="92"/>
      <c r="AD497" s="92"/>
      <c r="AE497" s="92"/>
      <c r="AF497" s="92"/>
      <c r="AG497" s="92"/>
      <c r="AH497" s="92"/>
      <c r="AI497" s="92"/>
      <c r="AJ497" s="92"/>
      <c r="AK497" s="92"/>
      <c r="AL497" s="92"/>
      <c r="AM497" s="92"/>
      <c r="AN497" s="92"/>
      <c r="AO497" s="92"/>
      <c r="AP497" s="92"/>
      <c r="AQ497" s="92"/>
      <c r="AR497" s="92"/>
      <c r="AS497" s="92"/>
      <c r="AT497" s="92"/>
      <c r="AU497" s="92"/>
      <c r="AV497" s="92"/>
      <c r="AW497" s="92"/>
      <c r="AX497" s="92"/>
      <c r="AY497" s="92"/>
      <c r="AZ497" s="92"/>
      <c r="BA497" s="92"/>
      <c r="BB497" s="92"/>
      <c r="BC497" s="92"/>
      <c r="BD497" s="92"/>
      <c r="BE497" s="92"/>
      <c r="BF497" s="92"/>
      <c r="BG497" s="92"/>
      <c r="BH497" s="92"/>
      <c r="BI497" s="92"/>
      <c r="BJ497" s="92"/>
      <c r="BK497" s="92"/>
      <c r="BL497" s="92"/>
      <c r="BM497" s="92"/>
      <c r="BN497" s="92"/>
      <c r="BO497" s="92"/>
      <c r="BP497" s="92"/>
      <c r="BQ497" s="92"/>
      <c r="BR497" s="92"/>
      <c r="BS497" s="92"/>
      <c r="BT497" s="92"/>
      <c r="BU497" s="92"/>
      <c r="BV497" s="92"/>
      <c r="BW497" s="92"/>
      <c r="BX497" s="92"/>
      <c r="BY497" s="92"/>
      <c r="BZ497" s="92"/>
      <c r="CA497" s="92"/>
      <c r="CB497" s="92"/>
      <c r="CC497" s="92"/>
      <c r="CD497" s="92"/>
      <c r="CE497" s="92"/>
      <c r="CF497" s="92"/>
      <c r="CG497" s="92"/>
      <c r="CH497" s="92"/>
      <c r="CI497" s="92"/>
      <c r="CJ497" s="92"/>
      <c r="CK497" s="92"/>
      <c r="CL497" s="92"/>
      <c r="CM497" s="92"/>
      <c r="CN497" s="92"/>
      <c r="CO497" s="92"/>
      <c r="CP497" s="92"/>
      <c r="CQ497" s="92"/>
      <c r="CR497" s="92"/>
      <c r="CS497" s="92"/>
      <c r="CT497" s="92"/>
      <c r="CU497" s="92"/>
      <c r="CV497" s="92"/>
      <c r="CW497" s="92"/>
      <c r="CX497" s="92"/>
      <c r="CY497" s="92"/>
      <c r="CZ497" s="92"/>
      <c r="DA497" s="92"/>
      <c r="DB497" s="92"/>
      <c r="DC497" s="92"/>
      <c r="DD497" s="92"/>
      <c r="DE497" s="92"/>
      <c r="DF497" s="92"/>
      <c r="DG497" s="92"/>
      <c r="DH497" s="92"/>
      <c r="DI497" s="92"/>
      <c r="DJ497" s="92"/>
      <c r="DK497" s="92"/>
      <c r="DL497" s="92"/>
      <c r="DM497" s="92"/>
      <c r="DN497" s="92"/>
      <c r="DO497" s="92"/>
      <c r="DP497" s="92"/>
      <c r="DQ497" s="92"/>
      <c r="DR497" s="92"/>
      <c r="DS497" s="92"/>
      <c r="DT497" s="92"/>
      <c r="DU497" s="92"/>
      <c r="DV497" s="92"/>
      <c r="DW497" s="92"/>
      <c r="DX497" s="92"/>
      <c r="DY497" s="92"/>
      <c r="DZ497" s="92"/>
      <c r="EA497" s="92"/>
      <c r="EB497" s="92"/>
      <c r="EC497" s="92"/>
      <c r="ED497" s="92"/>
      <c r="EE497" s="92"/>
      <c r="EF497" s="92"/>
      <c r="EG497" s="92"/>
      <c r="EH497" s="92"/>
      <c r="EI497" s="92"/>
      <c r="EJ497" s="92"/>
      <c r="EK497" s="92"/>
      <c r="EL497" s="92"/>
      <c r="EM497" s="92"/>
      <c r="EN497" s="92"/>
      <c r="EO497" s="92"/>
      <c r="EP497" s="92"/>
      <c r="EQ497" s="92"/>
      <c r="ER497" s="92"/>
      <c r="ES497" s="92"/>
      <c r="ET497" s="92"/>
      <c r="EU497" s="92"/>
      <c r="EV497" s="92"/>
      <c r="EW497" s="92"/>
      <c r="EX497" s="92"/>
      <c r="EY497" s="92"/>
      <c r="EZ497" s="92"/>
      <c r="FA497" s="92"/>
      <c r="FB497" s="92"/>
      <c r="FC497" s="92"/>
      <c r="FD497" s="92"/>
      <c r="FE497" s="92"/>
      <c r="FF497" s="92"/>
      <c r="FG497" s="92"/>
      <c r="FH497" s="92"/>
    </row>
    <row r="498">
      <c r="A498" s="27" t="s">
        <v>17</v>
      </c>
      <c r="B498" s="27" t="s">
        <v>86</v>
      </c>
      <c r="C498" s="27" t="s">
        <v>15</v>
      </c>
      <c r="D498" s="98">
        <f t="shared" si="1"/>
        <v>4094.82488</v>
      </c>
      <c r="E498" s="92">
        <f>(SUBSTITUTE(Audio!E498, "RE-", "", 1))*1</f>
        <v>0</v>
      </c>
      <c r="F498" s="92">
        <f>(SUBSTITUTE(Audio!F498, "RE-", "", 1))*1</f>
        <v>235.875</v>
      </c>
      <c r="G498" s="92">
        <f>(SUBSTITUTE(Audio!G498, "RE-", "", 1))*1</f>
        <v>1.51733</v>
      </c>
      <c r="H498" s="92">
        <f>(SUBSTITUTE(Audio!H498, "RE-", "", 1))*1</f>
        <v>42.6447</v>
      </c>
      <c r="I498" s="92">
        <f>(SUBSTITUTE(Audio!I498, "RE-", "", 1))*1</f>
        <v>0</v>
      </c>
      <c r="J498" s="92">
        <f>(SUBSTITUTE(Audio!J498, "RE-", "", 1))*1</f>
        <v>137.374</v>
      </c>
      <c r="K498" s="92">
        <f>(SUBSTITUTE(Audio!K498, "RE-", "", 1))*1</f>
        <v>0.812733</v>
      </c>
      <c r="L498" s="92">
        <f>(SUBSTITUTE(Audio!L498, "RE-", "", 1))*1</f>
        <v>341.979</v>
      </c>
      <c r="M498" s="92">
        <f>(SUBSTITUTE(Audio!M498, "RE-", "", 1))*1</f>
        <v>0.300417</v>
      </c>
      <c r="N498" s="92">
        <f>(SUBSTITUTE(Audio!N498, "RE-", "", 1))*1</f>
        <v>2418.03</v>
      </c>
      <c r="O498" s="92">
        <f>(SUBSTITUTE(Audio!O498, "RE-", "", 1))*1</f>
        <v>10.0506</v>
      </c>
      <c r="P498" s="92">
        <f>(SUBSTITUTE(Audio!P498, "RE-", "", 1))*1</f>
        <v>183.946</v>
      </c>
      <c r="Q498" s="92">
        <f>(SUBSTITUTE(Audio!Q498, "RE-", "", 1))*1</f>
        <v>1.3401</v>
      </c>
      <c r="R498" s="92">
        <f>(SUBSTITUTE(Audio!R498, "RE-", "", 1))*1</f>
        <v>422.569</v>
      </c>
      <c r="S498" s="92">
        <f>(SUBSTITUTE(Audio!S498, "RE-", "", 1))*1</f>
        <v>11.689</v>
      </c>
      <c r="T498" s="92">
        <f>(SUBSTITUTE(Audio!T498, "RE-", "", 1))*1</f>
        <v>270.633</v>
      </c>
      <c r="U498" s="92">
        <f>(SUBSTITUTE(Audio!U498, "RE-", "", 1))*1</f>
        <v>11.2384</v>
      </c>
      <c r="V498" s="92">
        <f>(SUBSTITUTE(Audio!V498, "RE-", "", 1))*1</f>
        <v>4.8256</v>
      </c>
      <c r="W498" s="92">
        <f>(SUBSTITUTE(Audio!W498, "RE-", "", 1))*1</f>
        <v>0</v>
      </c>
      <c r="X498" s="92">
        <f>(SUBSTITUTE(Audio!X498, "RE-", "", 1))*1</f>
        <v>0</v>
      </c>
      <c r="Y498" s="92">
        <f>(SUBSTITUTE(Audio!Y498, "RE-", "", 1))*1</f>
        <v>0</v>
      </c>
      <c r="Z498" s="92">
        <f>(SUBSTITUTE(Audio!Z498, "RE-", "", 1))*1</f>
        <v>0</v>
      </c>
      <c r="AA498" s="92"/>
      <c r="AB498" s="92"/>
      <c r="AC498" s="92"/>
      <c r="AD498" s="92"/>
      <c r="AE498" s="92"/>
      <c r="AF498" s="92"/>
      <c r="AG498" s="92"/>
      <c r="AH498" s="92"/>
      <c r="AI498" s="92"/>
      <c r="AJ498" s="92"/>
      <c r="AK498" s="92"/>
      <c r="AL498" s="92"/>
      <c r="AM498" s="92"/>
      <c r="AN498" s="92"/>
      <c r="AO498" s="92"/>
      <c r="AP498" s="92"/>
      <c r="AQ498" s="92"/>
      <c r="AR498" s="92"/>
      <c r="AS498" s="92"/>
      <c r="AT498" s="92"/>
      <c r="AU498" s="92"/>
      <c r="AV498" s="92"/>
      <c r="AW498" s="92"/>
      <c r="AX498" s="92"/>
      <c r="AY498" s="92"/>
      <c r="AZ498" s="92"/>
      <c r="BA498" s="92"/>
      <c r="BB498" s="92"/>
      <c r="BC498" s="92"/>
      <c r="BD498" s="92"/>
      <c r="BE498" s="92"/>
      <c r="BF498" s="92"/>
      <c r="BG498" s="92"/>
      <c r="BH498" s="92"/>
      <c r="BI498" s="92"/>
      <c r="BJ498" s="92"/>
      <c r="BK498" s="92"/>
      <c r="BL498" s="92"/>
      <c r="BM498" s="92"/>
      <c r="BN498" s="92"/>
      <c r="BO498" s="92"/>
      <c r="BP498" s="92"/>
      <c r="BQ498" s="92"/>
      <c r="BR498" s="92"/>
      <c r="BS498" s="92"/>
      <c r="BT498" s="92"/>
      <c r="BU498" s="92"/>
      <c r="BV498" s="92"/>
      <c r="BW498" s="92"/>
      <c r="BX498" s="92"/>
      <c r="BY498" s="92"/>
      <c r="BZ498" s="92"/>
      <c r="CA498" s="92"/>
      <c r="CB498" s="92"/>
      <c r="CC498" s="92"/>
      <c r="CD498" s="92"/>
      <c r="CE498" s="92"/>
      <c r="CF498" s="92"/>
      <c r="CG498" s="92"/>
      <c r="CH498" s="92"/>
      <c r="CI498" s="92"/>
      <c r="CJ498" s="92"/>
      <c r="CK498" s="92"/>
      <c r="CL498" s="92"/>
      <c r="CM498" s="92"/>
      <c r="CN498" s="92"/>
      <c r="CO498" s="92"/>
      <c r="CP498" s="92"/>
      <c r="CQ498" s="92"/>
      <c r="CR498" s="92"/>
      <c r="CS498" s="92"/>
      <c r="CT498" s="92"/>
      <c r="CU498" s="92"/>
      <c r="CV498" s="92"/>
      <c r="CW498" s="92"/>
      <c r="CX498" s="92"/>
      <c r="CY498" s="92"/>
      <c r="CZ498" s="92"/>
      <c r="DA498" s="92"/>
      <c r="DB498" s="92"/>
      <c r="DC498" s="92"/>
      <c r="DD498" s="92"/>
      <c r="DE498" s="92"/>
      <c r="DF498" s="92"/>
      <c r="DG498" s="92"/>
      <c r="DH498" s="92"/>
      <c r="DI498" s="92"/>
      <c r="DJ498" s="92"/>
      <c r="DK498" s="92"/>
      <c r="DL498" s="92"/>
      <c r="DM498" s="92"/>
      <c r="DN498" s="92"/>
      <c r="DO498" s="92"/>
      <c r="DP498" s="92"/>
      <c r="DQ498" s="92"/>
      <c r="DR498" s="92"/>
      <c r="DS498" s="92"/>
      <c r="DT498" s="92"/>
      <c r="DU498" s="92"/>
      <c r="DV498" s="92"/>
      <c r="DW498" s="92"/>
      <c r="DX498" s="92"/>
      <c r="DY498" s="92"/>
      <c r="DZ498" s="92"/>
      <c r="EA498" s="92"/>
      <c r="EB498" s="92"/>
      <c r="EC498" s="92"/>
      <c r="ED498" s="92"/>
      <c r="EE498" s="92"/>
      <c r="EF498" s="92"/>
      <c r="EG498" s="92"/>
      <c r="EH498" s="92"/>
      <c r="EI498" s="92"/>
      <c r="EJ498" s="92"/>
      <c r="EK498" s="92"/>
      <c r="EL498" s="92"/>
      <c r="EM498" s="92"/>
      <c r="EN498" s="92"/>
      <c r="EO498" s="92"/>
      <c r="EP498" s="92"/>
      <c r="EQ498" s="92"/>
      <c r="ER498" s="92"/>
      <c r="ES498" s="92"/>
      <c r="ET498" s="92"/>
      <c r="EU498" s="92"/>
      <c r="EV498" s="92"/>
      <c r="EW498" s="92"/>
      <c r="EX498" s="92"/>
      <c r="EY498" s="92"/>
      <c r="EZ498" s="92"/>
      <c r="FA498" s="92"/>
      <c r="FB498" s="92"/>
      <c r="FC498" s="92"/>
      <c r="FD498" s="92"/>
      <c r="FE498" s="92"/>
      <c r="FF498" s="92"/>
      <c r="FG498" s="92"/>
      <c r="FH498" s="92"/>
    </row>
    <row r="499">
      <c r="A499" s="30" t="s">
        <v>17</v>
      </c>
      <c r="B499" s="30" t="s">
        <v>87</v>
      </c>
      <c r="C499" s="31" t="str">
        <f>HYPERLINK("https://docs.google.com/spreadsheets/d/161G0k2VA8DGpDKfAaw9DLT0ztqKxGAi8/edit?usp=share_link&amp;ouid=106501987799020758802&amp;rtpof=true&amp;sd=true", "Raw Delivered")</f>
        <v>Raw Delivered</v>
      </c>
      <c r="D499" s="96">
        <f t="shared" si="1"/>
        <v>5951.054752</v>
      </c>
      <c r="E499" s="92">
        <f>(SUBSTITUTE(Audio!E499, "RE-", "", 1))*1</f>
        <v>0</v>
      </c>
      <c r="F499" s="92">
        <f>(SUBSTITUTE(Audio!F499, "RE-", "", 1))*1</f>
        <v>1016.451148</v>
      </c>
      <c r="G499" s="92">
        <f>(SUBSTITUTE(Audio!G499, "RE-", "", 1))*1</f>
        <v>0</v>
      </c>
      <c r="H499" s="92">
        <f>(SUBSTITUTE(Audio!H499, "RE-", "", 1))*1</f>
        <v>168.8770771</v>
      </c>
      <c r="I499" s="92">
        <f>(SUBSTITUTE(Audio!I499, "RE-", "", 1))*1</f>
        <v>0</v>
      </c>
      <c r="J499" s="92">
        <f>(SUBSTITUTE(Audio!J499, "RE-", "", 1))*1</f>
        <v>1086.647677</v>
      </c>
      <c r="K499" s="92">
        <f>(SUBSTITUTE(Audio!K499, "RE-", "", 1))*1</f>
        <v>0</v>
      </c>
      <c r="L499" s="92">
        <f>(SUBSTITUTE(Audio!L499, "RE-", "", 1))*1</f>
        <v>357.2116969</v>
      </c>
      <c r="M499" s="92">
        <f>(SUBSTITUTE(Audio!M499, "RE-", "", 1))*1</f>
        <v>0</v>
      </c>
      <c r="N499" s="92">
        <f>(SUBSTITUTE(Audio!N499, "RE-", "", 1))*1</f>
        <v>2351.905393</v>
      </c>
      <c r="O499" s="92">
        <f>(SUBSTITUTE(Audio!O499, "RE-", "", 1))*1</f>
        <v>0</v>
      </c>
      <c r="P499" s="92">
        <f>(SUBSTITUTE(Audio!P499, "RE-", "", 1))*1</f>
        <v>289.0101094</v>
      </c>
      <c r="Q499" s="92">
        <f>(SUBSTITUTE(Audio!Q499, "RE-", "", 1))*1</f>
        <v>0</v>
      </c>
      <c r="R499" s="92">
        <f>(SUBSTITUTE(Audio!R499, "RE-", "", 1))*1</f>
        <v>416.8447063</v>
      </c>
      <c r="S499" s="92">
        <f>(SUBSTITUTE(Audio!S499, "RE-", "", 1))*1</f>
        <v>0</v>
      </c>
      <c r="T499" s="92">
        <f>(SUBSTITUTE(Audio!T499, "RE-", "", 1))*1</f>
        <v>264.1069438</v>
      </c>
      <c r="U499" s="92">
        <f>(SUBSTITUTE(Audio!U499, "RE-", "", 1))*1</f>
        <v>0</v>
      </c>
      <c r="V499" s="92">
        <f>(SUBSTITUTE(Audio!V499, "RE-", "", 1))*1</f>
        <v>0</v>
      </c>
      <c r="W499" s="92">
        <f>(SUBSTITUTE(Audio!W499, "RE-", "", 1))*1</f>
        <v>0</v>
      </c>
      <c r="X499" s="92">
        <f>(SUBSTITUTE(Audio!X499, "RE-", "", 1))*1</f>
        <v>0</v>
      </c>
      <c r="Y499" s="92">
        <f>(SUBSTITUTE(Audio!Y499, "RE-", "", 1))*1</f>
        <v>0</v>
      </c>
      <c r="Z499" s="92">
        <f>(SUBSTITUTE(Audio!Z499, "RE-", "", 1))*1</f>
        <v>0</v>
      </c>
      <c r="AA499" s="92"/>
      <c r="AB499" s="92"/>
      <c r="AC499" s="92"/>
      <c r="AD499" s="92"/>
      <c r="AE499" s="92"/>
      <c r="AF499" s="92"/>
      <c r="AG499" s="92"/>
      <c r="AH499" s="92"/>
      <c r="AI499" s="92"/>
      <c r="AJ499" s="92"/>
      <c r="AK499" s="92"/>
      <c r="AL499" s="92"/>
      <c r="AM499" s="92"/>
      <c r="AN499" s="92"/>
      <c r="AO499" s="92"/>
      <c r="AP499" s="92"/>
      <c r="AQ499" s="92"/>
      <c r="AR499" s="92"/>
      <c r="AS499" s="92"/>
      <c r="AT499" s="92"/>
      <c r="AU499" s="92"/>
      <c r="AV499" s="92"/>
      <c r="AW499" s="92"/>
      <c r="AX499" s="92"/>
      <c r="AY499" s="92"/>
      <c r="AZ499" s="92"/>
      <c r="BA499" s="92"/>
      <c r="BB499" s="92"/>
      <c r="BC499" s="92"/>
      <c r="BD499" s="92"/>
      <c r="BE499" s="92"/>
      <c r="BF499" s="92"/>
      <c r="BG499" s="92"/>
      <c r="BH499" s="92"/>
      <c r="BI499" s="92"/>
      <c r="BJ499" s="92"/>
      <c r="BK499" s="92"/>
      <c r="BL499" s="92"/>
      <c r="BM499" s="92"/>
      <c r="BN499" s="92"/>
      <c r="BO499" s="92"/>
      <c r="BP499" s="92"/>
      <c r="BQ499" s="92"/>
      <c r="BR499" s="92"/>
      <c r="BS499" s="92"/>
      <c r="BT499" s="92"/>
      <c r="BU499" s="92"/>
      <c r="BV499" s="92"/>
      <c r="BW499" s="92"/>
      <c r="BX499" s="92"/>
      <c r="BY499" s="92"/>
      <c r="BZ499" s="92"/>
      <c r="CA499" s="92"/>
      <c r="CB499" s="92"/>
      <c r="CC499" s="92"/>
      <c r="CD499" s="92"/>
      <c r="CE499" s="92"/>
      <c r="CF499" s="92"/>
      <c r="CG499" s="92"/>
      <c r="CH499" s="92"/>
      <c r="CI499" s="92"/>
      <c r="CJ499" s="92"/>
      <c r="CK499" s="92"/>
      <c r="CL499" s="92"/>
      <c r="CM499" s="92"/>
      <c r="CN499" s="92"/>
      <c r="CO499" s="92"/>
      <c r="CP499" s="92"/>
      <c r="CQ499" s="92"/>
      <c r="CR499" s="92"/>
      <c r="CS499" s="92"/>
      <c r="CT499" s="92"/>
      <c r="CU499" s="92"/>
      <c r="CV499" s="92"/>
      <c r="CW499" s="92"/>
      <c r="CX499" s="92"/>
      <c r="CY499" s="92"/>
      <c r="CZ499" s="92"/>
      <c r="DA499" s="92"/>
      <c r="DB499" s="92"/>
      <c r="DC499" s="92"/>
      <c r="DD499" s="92"/>
      <c r="DE499" s="92"/>
      <c r="DF499" s="92"/>
      <c r="DG499" s="92"/>
      <c r="DH499" s="92"/>
      <c r="DI499" s="92"/>
      <c r="DJ499" s="92"/>
      <c r="DK499" s="92"/>
      <c r="DL499" s="92"/>
      <c r="DM499" s="92"/>
      <c r="DN499" s="92"/>
      <c r="DO499" s="92"/>
      <c r="DP499" s="92"/>
      <c r="DQ499" s="92"/>
      <c r="DR499" s="92"/>
      <c r="DS499" s="92"/>
      <c r="DT499" s="92"/>
      <c r="DU499" s="92"/>
      <c r="DV499" s="92"/>
      <c r="DW499" s="92"/>
      <c r="DX499" s="92"/>
      <c r="DY499" s="92"/>
      <c r="DZ499" s="92"/>
      <c r="EA499" s="92"/>
      <c r="EB499" s="92"/>
      <c r="EC499" s="92"/>
      <c r="ED499" s="92"/>
      <c r="EE499" s="92"/>
      <c r="EF499" s="92"/>
      <c r="EG499" s="92"/>
      <c r="EH499" s="92"/>
      <c r="EI499" s="92"/>
      <c r="EJ499" s="92"/>
      <c r="EK499" s="92"/>
      <c r="EL499" s="92"/>
      <c r="EM499" s="92"/>
      <c r="EN499" s="92"/>
      <c r="EO499" s="92"/>
      <c r="EP499" s="92"/>
      <c r="EQ499" s="92"/>
      <c r="ER499" s="92"/>
      <c r="ES499" s="92"/>
      <c r="ET499" s="92"/>
      <c r="EU499" s="92"/>
      <c r="EV499" s="92"/>
      <c r="EW499" s="92"/>
      <c r="EX499" s="92"/>
      <c r="EY499" s="92"/>
      <c r="EZ499" s="92"/>
      <c r="FA499" s="92"/>
      <c r="FB499" s="92"/>
      <c r="FC499" s="92"/>
      <c r="FD499" s="92"/>
      <c r="FE499" s="92"/>
      <c r="FF499" s="92"/>
      <c r="FG499" s="92"/>
      <c r="FH499" s="92"/>
    </row>
    <row r="500">
      <c r="A500" s="32" t="s">
        <v>17</v>
      </c>
      <c r="B500" s="32" t="s">
        <v>87</v>
      </c>
      <c r="C500" s="32" t="s">
        <v>9</v>
      </c>
      <c r="D500" s="97">
        <f t="shared" si="1"/>
        <v>5951.054751</v>
      </c>
      <c r="E500" s="92">
        <f>(SUBSTITUTE(Audio!E500, "RE-", "", 1))*1</f>
        <v>0</v>
      </c>
      <c r="F500" s="92">
        <f>(SUBSTITUTE(Audio!F500, "RE-", "", 1))*1</f>
        <v>1016.451148</v>
      </c>
      <c r="G500" s="92">
        <f>(SUBSTITUTE(Audio!G500, "RE-", "", 1))*1</f>
        <v>0</v>
      </c>
      <c r="H500" s="92">
        <f>(SUBSTITUTE(Audio!H500, "RE-", "", 1))*1</f>
        <v>168.8770771</v>
      </c>
      <c r="I500" s="92">
        <f>(SUBSTITUTE(Audio!I500, "RE-", "", 1))*1</f>
        <v>0</v>
      </c>
      <c r="J500" s="92">
        <f>(SUBSTITUTE(Audio!J500, "RE-", "", 1))*1</f>
        <v>1086.647677</v>
      </c>
      <c r="K500" s="92">
        <f>(SUBSTITUTE(Audio!K500, "RE-", "", 1))*1</f>
        <v>0</v>
      </c>
      <c r="L500" s="92">
        <f>(SUBSTITUTE(Audio!L500, "RE-", "", 1))*1</f>
        <v>357.2116969</v>
      </c>
      <c r="M500" s="92">
        <f>(SUBSTITUTE(Audio!M500, "RE-", "", 1))*1</f>
        <v>0</v>
      </c>
      <c r="N500" s="92">
        <f>(SUBSTITUTE(Audio!N500, "RE-", "", 1))*1</f>
        <v>2351.905393</v>
      </c>
      <c r="O500" s="92">
        <f>(SUBSTITUTE(Audio!O500, "RE-", "", 1))*1</f>
        <v>0</v>
      </c>
      <c r="P500" s="92">
        <f>(SUBSTITUTE(Audio!P500, "RE-", "", 1))*1</f>
        <v>289.0101094</v>
      </c>
      <c r="Q500" s="92">
        <f>(SUBSTITUTE(Audio!Q500, "RE-", "", 1))*1</f>
        <v>0</v>
      </c>
      <c r="R500" s="92">
        <f>(SUBSTITUTE(Audio!R500, "RE-", "", 1))*1</f>
        <v>416.8447063</v>
      </c>
      <c r="S500" s="92">
        <f>(SUBSTITUTE(Audio!S500, "RE-", "", 1))*1</f>
        <v>0</v>
      </c>
      <c r="T500" s="92">
        <f>(SUBSTITUTE(Audio!T500, "RE-", "", 1))*1</f>
        <v>264.1069438</v>
      </c>
      <c r="U500" s="92">
        <f>(SUBSTITUTE(Audio!U500, "RE-", "", 1))*1</f>
        <v>0</v>
      </c>
      <c r="V500" s="92">
        <f>(SUBSTITUTE(Audio!V500, "RE-", "", 1))*1</f>
        <v>0</v>
      </c>
      <c r="W500" s="92">
        <f>(SUBSTITUTE(Audio!W500, "RE-", "", 1))*1</f>
        <v>0</v>
      </c>
      <c r="X500" s="92">
        <f>(SUBSTITUTE(Audio!X500, "RE-", "", 1))*1</f>
        <v>0</v>
      </c>
      <c r="Y500" s="92">
        <f>(SUBSTITUTE(Audio!Y500, "RE-", "", 1))*1</f>
        <v>0</v>
      </c>
      <c r="Z500" s="92">
        <f>(SUBSTITUTE(Audio!Z500, "RE-", "", 1))*1</f>
        <v>0</v>
      </c>
      <c r="AA500" s="92"/>
      <c r="AB500" s="92"/>
      <c r="AC500" s="92"/>
      <c r="AD500" s="92"/>
      <c r="AE500" s="92"/>
      <c r="AF500" s="92"/>
      <c r="AG500" s="92"/>
      <c r="AH500" s="92"/>
      <c r="AI500" s="92"/>
      <c r="AJ500" s="92"/>
      <c r="AK500" s="92"/>
      <c r="AL500" s="92"/>
      <c r="AM500" s="92"/>
      <c r="AN500" s="92"/>
      <c r="AO500" s="92"/>
      <c r="AP500" s="92"/>
      <c r="AQ500" s="92"/>
      <c r="AR500" s="92"/>
      <c r="AS500" s="92"/>
      <c r="AT500" s="92"/>
      <c r="AU500" s="92"/>
      <c r="AV500" s="92"/>
      <c r="AW500" s="92"/>
      <c r="AX500" s="92"/>
      <c r="AY500" s="92"/>
      <c r="AZ500" s="92"/>
      <c r="BA500" s="92"/>
      <c r="BB500" s="92"/>
      <c r="BC500" s="92"/>
      <c r="BD500" s="92"/>
      <c r="BE500" s="92"/>
      <c r="BF500" s="92"/>
      <c r="BG500" s="92"/>
      <c r="BH500" s="92"/>
      <c r="BI500" s="92"/>
      <c r="BJ500" s="92"/>
      <c r="BK500" s="92"/>
      <c r="BL500" s="92"/>
      <c r="BM500" s="92"/>
      <c r="BN500" s="92"/>
      <c r="BO500" s="92"/>
      <c r="BP500" s="92"/>
      <c r="BQ500" s="92"/>
      <c r="BR500" s="92"/>
      <c r="BS500" s="92"/>
      <c r="BT500" s="92"/>
      <c r="BU500" s="92"/>
      <c r="BV500" s="92"/>
      <c r="BW500" s="92"/>
      <c r="BX500" s="92"/>
      <c r="BY500" s="92"/>
      <c r="BZ500" s="92"/>
      <c r="CA500" s="92"/>
      <c r="CB500" s="92"/>
      <c r="CC500" s="92"/>
      <c r="CD500" s="92"/>
      <c r="CE500" s="92"/>
      <c r="CF500" s="92"/>
      <c r="CG500" s="92"/>
      <c r="CH500" s="92"/>
      <c r="CI500" s="92"/>
      <c r="CJ500" s="92"/>
      <c r="CK500" s="92"/>
      <c r="CL500" s="92"/>
      <c r="CM500" s="92"/>
      <c r="CN500" s="92"/>
      <c r="CO500" s="92"/>
      <c r="CP500" s="92"/>
      <c r="CQ500" s="92"/>
      <c r="CR500" s="92"/>
      <c r="CS500" s="92"/>
      <c r="CT500" s="92"/>
      <c r="CU500" s="92"/>
      <c r="CV500" s="92"/>
      <c r="CW500" s="92"/>
      <c r="CX500" s="92"/>
      <c r="CY500" s="92"/>
      <c r="CZ500" s="92"/>
      <c r="DA500" s="92"/>
      <c r="DB500" s="92"/>
      <c r="DC500" s="92"/>
      <c r="DD500" s="92"/>
      <c r="DE500" s="92"/>
      <c r="DF500" s="92"/>
      <c r="DG500" s="92"/>
      <c r="DH500" s="92"/>
      <c r="DI500" s="92"/>
      <c r="DJ500" s="92"/>
      <c r="DK500" s="92"/>
      <c r="DL500" s="92"/>
      <c r="DM500" s="92"/>
      <c r="DN500" s="92"/>
      <c r="DO500" s="92"/>
      <c r="DP500" s="92"/>
      <c r="DQ500" s="92"/>
      <c r="DR500" s="92"/>
      <c r="DS500" s="92"/>
      <c r="DT500" s="92"/>
      <c r="DU500" s="92"/>
      <c r="DV500" s="92"/>
      <c r="DW500" s="92"/>
      <c r="DX500" s="92"/>
      <c r="DY500" s="92"/>
      <c r="DZ500" s="92"/>
      <c r="EA500" s="92"/>
      <c r="EB500" s="92"/>
      <c r="EC500" s="92"/>
      <c r="ED500" s="92"/>
      <c r="EE500" s="92"/>
      <c r="EF500" s="92"/>
      <c r="EG500" s="92"/>
      <c r="EH500" s="92"/>
      <c r="EI500" s="92"/>
      <c r="EJ500" s="92"/>
      <c r="EK500" s="92"/>
      <c r="EL500" s="92"/>
      <c r="EM500" s="92"/>
      <c r="EN500" s="92"/>
      <c r="EO500" s="92"/>
      <c r="EP500" s="92"/>
      <c r="EQ500" s="92"/>
      <c r="ER500" s="92"/>
      <c r="ES500" s="92"/>
      <c r="ET500" s="92"/>
      <c r="EU500" s="92"/>
      <c r="EV500" s="92"/>
      <c r="EW500" s="92"/>
      <c r="EX500" s="92"/>
      <c r="EY500" s="92"/>
      <c r="EZ500" s="92"/>
      <c r="FA500" s="92"/>
      <c r="FB500" s="92"/>
      <c r="FC500" s="92"/>
      <c r="FD500" s="92"/>
      <c r="FE500" s="92"/>
      <c r="FF500" s="92"/>
      <c r="FG500" s="92"/>
      <c r="FH500" s="92"/>
    </row>
    <row r="501">
      <c r="A501" s="32" t="s">
        <v>17</v>
      </c>
      <c r="B501" s="32" t="s">
        <v>87</v>
      </c>
      <c r="C501" s="32" t="s">
        <v>10</v>
      </c>
      <c r="D501" s="97">
        <f t="shared" si="1"/>
        <v>550.0583427</v>
      </c>
      <c r="E501" s="92">
        <f>(SUBSTITUTE(Audio!E501, "RE-", "", 1))*1</f>
        <v>0</v>
      </c>
      <c r="F501" s="92">
        <f>(SUBSTITUTE(Audio!F501, "RE-", "", 1))*1</f>
        <v>0</v>
      </c>
      <c r="G501" s="92">
        <f>(SUBSTITUTE(Audio!G501, "RE-", "", 1))*1</f>
        <v>48.83183958</v>
      </c>
      <c r="H501" s="92">
        <f>(SUBSTITUTE(Audio!H501, "RE-", "", 1))*1</f>
        <v>0</v>
      </c>
      <c r="I501" s="92">
        <f>(SUBSTITUTE(Audio!I501, "RE-", "", 1))*1</f>
        <v>7.7674125</v>
      </c>
      <c r="J501" s="92">
        <f>(SUBSTITUTE(Audio!J501, "RE-", "", 1))*1</f>
        <v>0</v>
      </c>
      <c r="K501" s="92">
        <f>(SUBSTITUTE(Audio!K501, "RE-", "", 1))*1</f>
        <v>56.2255</v>
      </c>
      <c r="L501" s="92">
        <f>(SUBSTITUTE(Audio!L501, "RE-", "", 1))*1</f>
        <v>0</v>
      </c>
      <c r="M501" s="92">
        <f>(SUBSTITUTE(Audio!M501, "RE-", "", 1))*1</f>
        <v>17.5905</v>
      </c>
      <c r="N501" s="92">
        <f>(SUBSTITUTE(Audio!N501, "RE-", "", 1))*1</f>
        <v>0</v>
      </c>
      <c r="O501" s="92">
        <f>(SUBSTITUTE(Audio!O501, "RE-", "", 1))*1</f>
        <v>356.245751</v>
      </c>
      <c r="P501" s="92">
        <f>(SUBSTITUTE(Audio!P501, "RE-", "", 1))*1</f>
        <v>0</v>
      </c>
      <c r="Q501" s="92">
        <f>(SUBSTITUTE(Audio!Q501, "RE-", "", 1))*1</f>
        <v>29.02195</v>
      </c>
      <c r="R501" s="92">
        <f>(SUBSTITUTE(Audio!R501, "RE-", "", 1))*1</f>
        <v>0</v>
      </c>
      <c r="S501" s="92">
        <f>(SUBSTITUTE(Audio!S501, "RE-", "", 1))*1</f>
        <v>19.98063542</v>
      </c>
      <c r="T501" s="92">
        <f>(SUBSTITUTE(Audio!T501, "RE-", "", 1))*1</f>
        <v>0</v>
      </c>
      <c r="U501" s="92">
        <f>(SUBSTITUTE(Audio!U501, "RE-", "", 1))*1</f>
        <v>14.2339375</v>
      </c>
      <c r="V501" s="92">
        <f>(SUBSTITUTE(Audio!V501, "RE-", "", 1))*1</f>
        <v>0.1608166667</v>
      </c>
      <c r="W501" s="92">
        <f>(SUBSTITUTE(Audio!W501, "RE-", "", 1))*1</f>
        <v>0</v>
      </c>
      <c r="X501" s="92">
        <f>(SUBSTITUTE(Audio!X501, "RE-", "", 1))*1</f>
        <v>0</v>
      </c>
      <c r="Y501" s="92">
        <f>(SUBSTITUTE(Audio!Y501, "RE-", "", 1))*1</f>
        <v>0</v>
      </c>
      <c r="Z501" s="92">
        <f>(SUBSTITUTE(Audio!Z501, "RE-", "", 1))*1</f>
        <v>0</v>
      </c>
      <c r="AA501" s="92"/>
      <c r="AB501" s="92"/>
      <c r="AC501" s="92"/>
      <c r="AD501" s="92"/>
      <c r="AE501" s="92"/>
      <c r="AF501" s="92"/>
      <c r="AG501" s="92"/>
      <c r="AH501" s="92"/>
      <c r="AI501" s="92"/>
      <c r="AJ501" s="92"/>
      <c r="AK501" s="92"/>
      <c r="AL501" s="92"/>
      <c r="AM501" s="92"/>
      <c r="AN501" s="92"/>
      <c r="AO501" s="92"/>
      <c r="AP501" s="92"/>
      <c r="AQ501" s="92"/>
      <c r="AR501" s="92"/>
      <c r="AS501" s="92"/>
      <c r="AT501" s="92"/>
      <c r="AU501" s="92"/>
      <c r="AV501" s="92"/>
      <c r="AW501" s="92"/>
      <c r="AX501" s="92"/>
      <c r="AY501" s="92"/>
      <c r="AZ501" s="92"/>
      <c r="BA501" s="92"/>
      <c r="BB501" s="92"/>
      <c r="BC501" s="92"/>
      <c r="BD501" s="92"/>
      <c r="BE501" s="92"/>
      <c r="BF501" s="92"/>
      <c r="BG501" s="92"/>
      <c r="BH501" s="92"/>
      <c r="BI501" s="92"/>
      <c r="BJ501" s="92"/>
      <c r="BK501" s="92"/>
      <c r="BL501" s="92"/>
      <c r="BM501" s="92"/>
      <c r="BN501" s="92"/>
      <c r="BO501" s="92"/>
      <c r="BP501" s="92"/>
      <c r="BQ501" s="92"/>
      <c r="BR501" s="92"/>
      <c r="BS501" s="92"/>
      <c r="BT501" s="92"/>
      <c r="BU501" s="92"/>
      <c r="BV501" s="92"/>
      <c r="BW501" s="92"/>
      <c r="BX501" s="92"/>
      <c r="BY501" s="92"/>
      <c r="BZ501" s="92"/>
      <c r="CA501" s="92"/>
      <c r="CB501" s="92"/>
      <c r="CC501" s="92"/>
      <c r="CD501" s="92"/>
      <c r="CE501" s="92"/>
      <c r="CF501" s="92"/>
      <c r="CG501" s="92"/>
      <c r="CH501" s="92"/>
      <c r="CI501" s="92"/>
      <c r="CJ501" s="92"/>
      <c r="CK501" s="92"/>
      <c r="CL501" s="92"/>
      <c r="CM501" s="92"/>
      <c r="CN501" s="92"/>
      <c r="CO501" s="92"/>
      <c r="CP501" s="92"/>
      <c r="CQ501" s="92"/>
      <c r="CR501" s="92"/>
      <c r="CS501" s="92"/>
      <c r="CT501" s="92"/>
      <c r="CU501" s="92"/>
      <c r="CV501" s="92"/>
      <c r="CW501" s="92"/>
      <c r="CX501" s="92"/>
      <c r="CY501" s="92"/>
      <c r="CZ501" s="92"/>
      <c r="DA501" s="92"/>
      <c r="DB501" s="92"/>
      <c r="DC501" s="92"/>
      <c r="DD501" s="92"/>
      <c r="DE501" s="92"/>
      <c r="DF501" s="92"/>
      <c r="DG501" s="92"/>
      <c r="DH501" s="92"/>
      <c r="DI501" s="92"/>
      <c r="DJ501" s="92"/>
      <c r="DK501" s="92"/>
      <c r="DL501" s="92"/>
      <c r="DM501" s="92"/>
      <c r="DN501" s="92"/>
      <c r="DO501" s="92"/>
      <c r="DP501" s="92"/>
      <c r="DQ501" s="92"/>
      <c r="DR501" s="92"/>
      <c r="DS501" s="92"/>
      <c r="DT501" s="92"/>
      <c r="DU501" s="92"/>
      <c r="DV501" s="92"/>
      <c r="DW501" s="92"/>
      <c r="DX501" s="92"/>
      <c r="DY501" s="92"/>
      <c r="DZ501" s="92"/>
      <c r="EA501" s="92"/>
      <c r="EB501" s="92"/>
      <c r="EC501" s="92"/>
      <c r="ED501" s="92"/>
      <c r="EE501" s="92"/>
      <c r="EF501" s="92"/>
      <c r="EG501" s="92"/>
      <c r="EH501" s="92"/>
      <c r="EI501" s="92"/>
      <c r="EJ501" s="92"/>
      <c r="EK501" s="92"/>
      <c r="EL501" s="92"/>
      <c r="EM501" s="92"/>
      <c r="EN501" s="92"/>
      <c r="EO501" s="92"/>
      <c r="EP501" s="92"/>
      <c r="EQ501" s="92"/>
      <c r="ER501" s="92"/>
      <c r="ES501" s="92"/>
      <c r="ET501" s="92"/>
      <c r="EU501" s="92"/>
      <c r="EV501" s="92"/>
      <c r="EW501" s="92"/>
      <c r="EX501" s="92"/>
      <c r="EY501" s="92"/>
      <c r="EZ501" s="92"/>
      <c r="FA501" s="92"/>
      <c r="FB501" s="92"/>
      <c r="FC501" s="92"/>
      <c r="FD501" s="92"/>
      <c r="FE501" s="92"/>
      <c r="FF501" s="92"/>
      <c r="FG501" s="92"/>
      <c r="FH501" s="92"/>
    </row>
    <row r="502">
      <c r="A502" s="32" t="s">
        <v>17</v>
      </c>
      <c r="B502" s="32" t="s">
        <v>87</v>
      </c>
      <c r="C502" s="32" t="s">
        <v>11</v>
      </c>
      <c r="D502" s="97">
        <f t="shared" si="1"/>
        <v>550.0583427</v>
      </c>
      <c r="E502" s="92">
        <f>(SUBSTITUTE(Audio!E502, "RE-", "", 1))*1</f>
        <v>0</v>
      </c>
      <c r="F502" s="92">
        <f>(SUBSTITUTE(Audio!F502, "RE-", "", 1))*1</f>
        <v>0</v>
      </c>
      <c r="G502" s="92">
        <f>(SUBSTITUTE(Audio!G502, "RE-", "", 1))*1</f>
        <v>48.83183958</v>
      </c>
      <c r="H502" s="92">
        <f>(SUBSTITUTE(Audio!H502, "RE-", "", 1))*1</f>
        <v>0</v>
      </c>
      <c r="I502" s="92">
        <f>(SUBSTITUTE(Audio!I502, "RE-", "", 1))*1</f>
        <v>7.7674125</v>
      </c>
      <c r="J502" s="92">
        <f>(SUBSTITUTE(Audio!J502, "RE-", "", 1))*1</f>
        <v>0</v>
      </c>
      <c r="K502" s="92">
        <f>(SUBSTITUTE(Audio!K502, "RE-", "", 1))*1</f>
        <v>56.2255</v>
      </c>
      <c r="L502" s="92">
        <f>(SUBSTITUTE(Audio!L502, "RE-", "", 1))*1</f>
        <v>0</v>
      </c>
      <c r="M502" s="92">
        <f>(SUBSTITUTE(Audio!M502, "RE-", "", 1))*1</f>
        <v>17.5905</v>
      </c>
      <c r="N502" s="92">
        <f>(SUBSTITUTE(Audio!N502, "RE-", "", 1))*1</f>
        <v>0</v>
      </c>
      <c r="O502" s="92">
        <f>(SUBSTITUTE(Audio!O502, "RE-", "", 1))*1</f>
        <v>356.245751</v>
      </c>
      <c r="P502" s="92">
        <f>(SUBSTITUTE(Audio!P502, "RE-", "", 1))*1</f>
        <v>0</v>
      </c>
      <c r="Q502" s="92">
        <f>(SUBSTITUTE(Audio!Q502, "RE-", "", 1))*1</f>
        <v>29.02195</v>
      </c>
      <c r="R502" s="92">
        <f>(SUBSTITUTE(Audio!R502, "RE-", "", 1))*1</f>
        <v>0</v>
      </c>
      <c r="S502" s="92">
        <f>(SUBSTITUTE(Audio!S502, "RE-", "", 1))*1</f>
        <v>19.98063542</v>
      </c>
      <c r="T502" s="92">
        <f>(SUBSTITUTE(Audio!T502, "RE-", "", 1))*1</f>
        <v>0</v>
      </c>
      <c r="U502" s="92">
        <f>(SUBSTITUTE(Audio!U502, "RE-", "", 1))*1</f>
        <v>14.2339375</v>
      </c>
      <c r="V502" s="92">
        <f>(SUBSTITUTE(Audio!V502, "RE-", "", 1))*1</f>
        <v>0.1608166667</v>
      </c>
      <c r="W502" s="92">
        <f>(SUBSTITUTE(Audio!W502, "RE-", "", 1))*1</f>
        <v>0</v>
      </c>
      <c r="X502" s="92">
        <f>(SUBSTITUTE(Audio!X502, "RE-", "", 1))*1</f>
        <v>0</v>
      </c>
      <c r="Y502" s="92">
        <f>(SUBSTITUTE(Audio!Y502, "RE-", "", 1))*1</f>
        <v>0</v>
      </c>
      <c r="Z502" s="92">
        <f>(SUBSTITUTE(Audio!Z502, "RE-", "", 1))*1</f>
        <v>0</v>
      </c>
      <c r="AA502" s="92"/>
      <c r="AB502" s="92"/>
      <c r="AC502" s="92"/>
      <c r="AD502" s="92"/>
      <c r="AE502" s="92"/>
      <c r="AF502" s="92"/>
      <c r="AG502" s="92"/>
      <c r="AH502" s="92"/>
      <c r="AI502" s="92"/>
      <c r="AJ502" s="92"/>
      <c r="AK502" s="92"/>
      <c r="AL502" s="92"/>
      <c r="AM502" s="92"/>
      <c r="AN502" s="92"/>
      <c r="AO502" s="92"/>
      <c r="AP502" s="92"/>
      <c r="AQ502" s="92"/>
      <c r="AR502" s="92"/>
      <c r="AS502" s="92"/>
      <c r="AT502" s="92"/>
      <c r="AU502" s="92"/>
      <c r="AV502" s="92"/>
      <c r="AW502" s="92"/>
      <c r="AX502" s="92"/>
      <c r="AY502" s="92"/>
      <c r="AZ502" s="92"/>
      <c r="BA502" s="92"/>
      <c r="BB502" s="92"/>
      <c r="BC502" s="92"/>
      <c r="BD502" s="92"/>
      <c r="BE502" s="92"/>
      <c r="BF502" s="92"/>
      <c r="BG502" s="92"/>
      <c r="BH502" s="92"/>
      <c r="BI502" s="92"/>
      <c r="BJ502" s="92"/>
      <c r="BK502" s="92"/>
      <c r="BL502" s="92"/>
      <c r="BM502" s="92"/>
      <c r="BN502" s="92"/>
      <c r="BO502" s="92"/>
      <c r="BP502" s="92"/>
      <c r="BQ502" s="92"/>
      <c r="BR502" s="92"/>
      <c r="BS502" s="92"/>
      <c r="BT502" s="92"/>
      <c r="BU502" s="92"/>
      <c r="BV502" s="92"/>
      <c r="BW502" s="92"/>
      <c r="BX502" s="92"/>
      <c r="BY502" s="92"/>
      <c r="BZ502" s="92"/>
      <c r="CA502" s="92"/>
      <c r="CB502" s="92"/>
      <c r="CC502" s="92"/>
      <c r="CD502" s="92"/>
      <c r="CE502" s="92"/>
      <c r="CF502" s="92"/>
      <c r="CG502" s="92"/>
      <c r="CH502" s="92"/>
      <c r="CI502" s="92"/>
      <c r="CJ502" s="92"/>
      <c r="CK502" s="92"/>
      <c r="CL502" s="92"/>
      <c r="CM502" s="92"/>
      <c r="CN502" s="92"/>
      <c r="CO502" s="92"/>
      <c r="CP502" s="92"/>
      <c r="CQ502" s="92"/>
      <c r="CR502" s="92"/>
      <c r="CS502" s="92"/>
      <c r="CT502" s="92"/>
      <c r="CU502" s="92"/>
      <c r="CV502" s="92"/>
      <c r="CW502" s="92"/>
      <c r="CX502" s="92"/>
      <c r="CY502" s="92"/>
      <c r="CZ502" s="92"/>
      <c r="DA502" s="92"/>
      <c r="DB502" s="92"/>
      <c r="DC502" s="92"/>
      <c r="DD502" s="92"/>
      <c r="DE502" s="92"/>
      <c r="DF502" s="92"/>
      <c r="DG502" s="92"/>
      <c r="DH502" s="92"/>
      <c r="DI502" s="92"/>
      <c r="DJ502" s="92"/>
      <c r="DK502" s="92"/>
      <c r="DL502" s="92"/>
      <c r="DM502" s="92"/>
      <c r="DN502" s="92"/>
      <c r="DO502" s="92"/>
      <c r="DP502" s="92"/>
      <c r="DQ502" s="92"/>
      <c r="DR502" s="92"/>
      <c r="DS502" s="92"/>
      <c r="DT502" s="92"/>
      <c r="DU502" s="92"/>
      <c r="DV502" s="92"/>
      <c r="DW502" s="92"/>
      <c r="DX502" s="92"/>
      <c r="DY502" s="92"/>
      <c r="DZ502" s="92"/>
      <c r="EA502" s="92"/>
      <c r="EB502" s="92"/>
      <c r="EC502" s="92"/>
      <c r="ED502" s="92"/>
      <c r="EE502" s="92"/>
      <c r="EF502" s="92"/>
      <c r="EG502" s="92"/>
      <c r="EH502" s="92"/>
      <c r="EI502" s="92"/>
      <c r="EJ502" s="92"/>
      <c r="EK502" s="92"/>
      <c r="EL502" s="92"/>
      <c r="EM502" s="92"/>
      <c r="EN502" s="92"/>
      <c r="EO502" s="92"/>
      <c r="EP502" s="92"/>
      <c r="EQ502" s="92"/>
      <c r="ER502" s="92"/>
      <c r="ES502" s="92"/>
      <c r="ET502" s="92"/>
      <c r="EU502" s="92"/>
      <c r="EV502" s="92"/>
      <c r="EW502" s="92"/>
      <c r="EX502" s="92"/>
      <c r="EY502" s="92"/>
      <c r="EZ502" s="92"/>
      <c r="FA502" s="92"/>
      <c r="FB502" s="92"/>
      <c r="FC502" s="92"/>
      <c r="FD502" s="92"/>
      <c r="FE502" s="92"/>
      <c r="FF502" s="92"/>
      <c r="FG502" s="92"/>
      <c r="FH502" s="92"/>
    </row>
    <row r="503">
      <c r="A503" s="32" t="s">
        <v>17</v>
      </c>
      <c r="B503" s="32" t="s">
        <v>87</v>
      </c>
      <c r="C503" s="32" t="s">
        <v>12</v>
      </c>
      <c r="D503" s="97">
        <f t="shared" si="1"/>
        <v>5006.463204</v>
      </c>
      <c r="E503" s="92">
        <f>(SUBSTITUTE(Audio!E503, "RE-", "", 1))*1</f>
        <v>0</v>
      </c>
      <c r="F503" s="92">
        <f>(SUBSTITUTE(Audio!F503, "RE-", "", 1))*1</f>
        <v>885.3078875</v>
      </c>
      <c r="G503" s="92">
        <f>(SUBSTITUTE(Audio!G503, "RE-", "", 1))*1</f>
        <v>2.95205</v>
      </c>
      <c r="H503" s="92">
        <f>(SUBSTITUTE(Audio!H503, "RE-", "", 1))*1</f>
        <v>154.2707208</v>
      </c>
      <c r="I503" s="92">
        <f>(SUBSTITUTE(Audio!I503, "RE-", "", 1))*1</f>
        <v>0</v>
      </c>
      <c r="J503" s="92">
        <f>(SUBSTITUTE(Audio!J503, "RE-", "", 1))*1</f>
        <v>917.9892854</v>
      </c>
      <c r="K503" s="92">
        <f>(SUBSTITUTE(Audio!K503, "RE-", "", 1))*1</f>
        <v>1.06418125</v>
      </c>
      <c r="L503" s="92">
        <f>(SUBSTITUTE(Audio!L503, "RE-", "", 1))*1</f>
        <v>341.8498146</v>
      </c>
      <c r="M503" s="92">
        <f>(SUBSTITUTE(Audio!M503, "RE-", "", 1))*1</f>
        <v>2.030401042</v>
      </c>
      <c r="N503" s="92">
        <f>(SUBSTITUTE(Audio!N503, "RE-", "", 1))*1</f>
        <v>1747.649045</v>
      </c>
      <c r="O503" s="92">
        <f>(SUBSTITUTE(Audio!O503, "RE-", "", 1))*1</f>
        <v>3.506283333</v>
      </c>
      <c r="P503" s="92">
        <f>(SUBSTITUTE(Audio!P503, "RE-", "", 1))*1</f>
        <v>271.1154417</v>
      </c>
      <c r="Q503" s="92">
        <f>(SUBSTITUTE(Audio!Q503, "RE-", "", 1))*1</f>
        <v>12.41261667</v>
      </c>
      <c r="R503" s="92">
        <f>(SUBSTITUTE(Audio!R503, "RE-", "", 1))*1</f>
        <v>396.3322229</v>
      </c>
      <c r="S503" s="92">
        <f>(SUBSTITUTE(Audio!S503, "RE-", "", 1))*1</f>
        <v>5.181977083</v>
      </c>
      <c r="T503" s="92">
        <f>(SUBSTITUTE(Audio!T503, "RE-", "", 1))*1</f>
        <v>258.5521292</v>
      </c>
      <c r="U503" s="92">
        <f>(SUBSTITUTE(Audio!U503, "RE-", "", 1))*1</f>
        <v>6.08833125</v>
      </c>
      <c r="V503" s="92">
        <f>(SUBSTITUTE(Audio!V503, "RE-", "", 1))*1</f>
        <v>0.1608166667</v>
      </c>
      <c r="W503" s="92">
        <f>(SUBSTITUTE(Audio!W503, "RE-", "", 1))*1</f>
        <v>0</v>
      </c>
      <c r="X503" s="92">
        <f>(SUBSTITUTE(Audio!X503, "RE-", "", 1))*1</f>
        <v>0</v>
      </c>
      <c r="Y503" s="92">
        <f>(SUBSTITUTE(Audio!Y503, "RE-", "", 1))*1</f>
        <v>0</v>
      </c>
      <c r="Z503" s="92">
        <f>(SUBSTITUTE(Audio!Z503, "RE-", "", 1))*1</f>
        <v>0</v>
      </c>
      <c r="AA503" s="92"/>
      <c r="AB503" s="92"/>
      <c r="AC503" s="92"/>
      <c r="AD503" s="92"/>
      <c r="AE503" s="92"/>
      <c r="AF503" s="92"/>
      <c r="AG503" s="92"/>
      <c r="AH503" s="92"/>
      <c r="AI503" s="92"/>
      <c r="AJ503" s="92"/>
      <c r="AK503" s="92"/>
      <c r="AL503" s="92"/>
      <c r="AM503" s="92"/>
      <c r="AN503" s="92"/>
      <c r="AO503" s="92"/>
      <c r="AP503" s="92"/>
      <c r="AQ503" s="92"/>
      <c r="AR503" s="92"/>
      <c r="AS503" s="92"/>
      <c r="AT503" s="92"/>
      <c r="AU503" s="92"/>
      <c r="AV503" s="92"/>
      <c r="AW503" s="92"/>
      <c r="AX503" s="92"/>
      <c r="AY503" s="92"/>
      <c r="AZ503" s="92"/>
      <c r="BA503" s="92"/>
      <c r="BB503" s="92"/>
      <c r="BC503" s="92"/>
      <c r="BD503" s="92"/>
      <c r="BE503" s="92"/>
      <c r="BF503" s="92"/>
      <c r="BG503" s="92"/>
      <c r="BH503" s="92"/>
      <c r="BI503" s="92"/>
      <c r="BJ503" s="92"/>
      <c r="BK503" s="92"/>
      <c r="BL503" s="92"/>
      <c r="BM503" s="92"/>
      <c r="BN503" s="92"/>
      <c r="BO503" s="92"/>
      <c r="BP503" s="92"/>
      <c r="BQ503" s="92"/>
      <c r="BR503" s="92"/>
      <c r="BS503" s="92"/>
      <c r="BT503" s="92"/>
      <c r="BU503" s="92"/>
      <c r="BV503" s="92"/>
      <c r="BW503" s="92"/>
      <c r="BX503" s="92"/>
      <c r="BY503" s="92"/>
      <c r="BZ503" s="92"/>
      <c r="CA503" s="92"/>
      <c r="CB503" s="92"/>
      <c r="CC503" s="92"/>
      <c r="CD503" s="92"/>
      <c r="CE503" s="92"/>
      <c r="CF503" s="92"/>
      <c r="CG503" s="92"/>
      <c r="CH503" s="92"/>
      <c r="CI503" s="92"/>
      <c r="CJ503" s="92"/>
      <c r="CK503" s="92"/>
      <c r="CL503" s="92"/>
      <c r="CM503" s="92"/>
      <c r="CN503" s="92"/>
      <c r="CO503" s="92"/>
      <c r="CP503" s="92"/>
      <c r="CQ503" s="92"/>
      <c r="CR503" s="92"/>
      <c r="CS503" s="92"/>
      <c r="CT503" s="92"/>
      <c r="CU503" s="92"/>
      <c r="CV503" s="92"/>
      <c r="CW503" s="92"/>
      <c r="CX503" s="92"/>
      <c r="CY503" s="92"/>
      <c r="CZ503" s="92"/>
      <c r="DA503" s="92"/>
      <c r="DB503" s="92"/>
      <c r="DC503" s="92"/>
      <c r="DD503" s="92"/>
      <c r="DE503" s="92"/>
      <c r="DF503" s="92"/>
      <c r="DG503" s="92"/>
      <c r="DH503" s="92"/>
      <c r="DI503" s="92"/>
      <c r="DJ503" s="92"/>
      <c r="DK503" s="92"/>
      <c r="DL503" s="92"/>
      <c r="DM503" s="92"/>
      <c r="DN503" s="92"/>
      <c r="DO503" s="92"/>
      <c r="DP503" s="92"/>
      <c r="DQ503" s="92"/>
      <c r="DR503" s="92"/>
      <c r="DS503" s="92"/>
      <c r="DT503" s="92"/>
      <c r="DU503" s="92"/>
      <c r="DV503" s="92"/>
      <c r="DW503" s="92"/>
      <c r="DX503" s="92"/>
      <c r="DY503" s="92"/>
      <c r="DZ503" s="92"/>
      <c r="EA503" s="92"/>
      <c r="EB503" s="92"/>
      <c r="EC503" s="92"/>
      <c r="ED503" s="92"/>
      <c r="EE503" s="92"/>
      <c r="EF503" s="92"/>
      <c r="EG503" s="92"/>
      <c r="EH503" s="92"/>
      <c r="EI503" s="92"/>
      <c r="EJ503" s="92"/>
      <c r="EK503" s="92"/>
      <c r="EL503" s="92"/>
      <c r="EM503" s="92"/>
      <c r="EN503" s="92"/>
      <c r="EO503" s="92"/>
      <c r="EP503" s="92"/>
      <c r="EQ503" s="92"/>
      <c r="ER503" s="92"/>
      <c r="ES503" s="92"/>
      <c r="ET503" s="92"/>
      <c r="EU503" s="92"/>
      <c r="EV503" s="92"/>
      <c r="EW503" s="92"/>
      <c r="EX503" s="92"/>
      <c r="EY503" s="92"/>
      <c r="EZ503" s="92"/>
      <c r="FA503" s="92"/>
      <c r="FB503" s="92"/>
      <c r="FC503" s="92"/>
      <c r="FD503" s="92"/>
      <c r="FE503" s="92"/>
      <c r="FF503" s="92"/>
      <c r="FG503" s="92"/>
      <c r="FH503" s="92"/>
    </row>
    <row r="504">
      <c r="A504" s="32" t="s">
        <v>17</v>
      </c>
      <c r="B504" s="32" t="s">
        <v>87</v>
      </c>
      <c r="C504" s="32" t="s">
        <v>13</v>
      </c>
      <c r="D504" s="97">
        <f t="shared" si="1"/>
        <v>4864.086887</v>
      </c>
      <c r="E504" s="92">
        <f>(SUBSTITUTE(Audio!E504, "RE-", "", 1))*1</f>
        <v>0</v>
      </c>
      <c r="F504" s="92">
        <f>(SUBSTITUTE(Audio!F504, "RE-", "", 1))*1</f>
        <v>867.563</v>
      </c>
      <c r="G504" s="92">
        <f>(SUBSTITUTE(Audio!G504, "RE-", "", 1))*1</f>
        <v>2.88712</v>
      </c>
      <c r="H504" s="92">
        <f>(SUBSTITUTE(Audio!H504, "RE-", "", 1))*1</f>
        <v>151.306</v>
      </c>
      <c r="I504" s="92">
        <f>(SUBSTITUTE(Audio!I504, "RE-", "", 1))*1</f>
        <v>0</v>
      </c>
      <c r="J504" s="92">
        <f>(SUBSTITUTE(Audio!J504, "RE-", "", 1))*1</f>
        <v>905.369</v>
      </c>
      <c r="K504" s="92">
        <f>(SUBSTITUTE(Audio!K504, "RE-", "", 1))*1</f>
        <v>1.06082</v>
      </c>
      <c r="L504" s="92">
        <f>(SUBSTITUTE(Audio!L504, "RE-", "", 1))*1</f>
        <v>328.554</v>
      </c>
      <c r="M504" s="92">
        <f>(SUBSTITUTE(Audio!M504, "RE-", "", 1))*1</f>
        <v>1.95627</v>
      </c>
      <c r="N504" s="92">
        <f>(SUBSTITUTE(Audio!N504, "RE-", "", 1))*1</f>
        <v>1692.32</v>
      </c>
      <c r="O504" s="92">
        <f>(SUBSTITUTE(Audio!O504, "RE-", "", 1))*1</f>
        <v>3.41295</v>
      </c>
      <c r="P504" s="92">
        <f>(SUBSTITUTE(Audio!P504, "RE-", "", 1))*1</f>
        <v>259.466</v>
      </c>
      <c r="Q504" s="92">
        <f>(SUBSTITUTE(Audio!Q504, "RE-", "", 1))*1</f>
        <v>11.9446</v>
      </c>
      <c r="R504" s="92">
        <f>(SUBSTITUTE(Audio!R504, "RE-", "", 1))*1</f>
        <v>378.085</v>
      </c>
      <c r="S504" s="92">
        <f>(SUBSTITUTE(Audio!S504, "RE-", "", 1))*1</f>
        <v>4.86028</v>
      </c>
      <c r="T504" s="92">
        <f>(SUBSTITUTE(Audio!T504, "RE-", "", 1))*1</f>
        <v>249.56</v>
      </c>
      <c r="U504" s="92">
        <f>(SUBSTITUTE(Audio!U504, "RE-", "", 1))*1</f>
        <v>5.58223</v>
      </c>
      <c r="V504" s="92">
        <f>(SUBSTITUTE(Audio!V504, "RE-", "", 1))*1</f>
        <v>0.159617</v>
      </c>
      <c r="W504" s="92">
        <f>(SUBSTITUTE(Audio!W504, "RE-", "", 1))*1</f>
        <v>0</v>
      </c>
      <c r="X504" s="92">
        <f>(SUBSTITUTE(Audio!X504, "RE-", "", 1))*1</f>
        <v>0</v>
      </c>
      <c r="Y504" s="92">
        <f>(SUBSTITUTE(Audio!Y504, "RE-", "", 1))*1</f>
        <v>0</v>
      </c>
      <c r="Z504" s="92">
        <f>(SUBSTITUTE(Audio!Z504, "RE-", "", 1))*1</f>
        <v>0</v>
      </c>
      <c r="AA504" s="92"/>
      <c r="AB504" s="92"/>
      <c r="AC504" s="92"/>
      <c r="AD504" s="92"/>
      <c r="AE504" s="92"/>
      <c r="AF504" s="92"/>
      <c r="AG504" s="92"/>
      <c r="AH504" s="92"/>
      <c r="AI504" s="92"/>
      <c r="AJ504" s="92"/>
      <c r="AK504" s="92"/>
      <c r="AL504" s="92"/>
      <c r="AM504" s="92"/>
      <c r="AN504" s="92"/>
      <c r="AO504" s="92"/>
      <c r="AP504" s="92"/>
      <c r="AQ504" s="92"/>
      <c r="AR504" s="92"/>
      <c r="AS504" s="92"/>
      <c r="AT504" s="92"/>
      <c r="AU504" s="92"/>
      <c r="AV504" s="92"/>
      <c r="AW504" s="92"/>
      <c r="AX504" s="92"/>
      <c r="AY504" s="92"/>
      <c r="AZ504" s="92"/>
      <c r="BA504" s="92"/>
      <c r="BB504" s="92"/>
      <c r="BC504" s="92"/>
      <c r="BD504" s="92"/>
      <c r="BE504" s="92"/>
      <c r="BF504" s="92"/>
      <c r="BG504" s="92"/>
      <c r="BH504" s="92"/>
      <c r="BI504" s="92"/>
      <c r="BJ504" s="92"/>
      <c r="BK504" s="92"/>
      <c r="BL504" s="92"/>
      <c r="BM504" s="92"/>
      <c r="BN504" s="92"/>
      <c r="BO504" s="92"/>
      <c r="BP504" s="92"/>
      <c r="BQ504" s="92"/>
      <c r="BR504" s="92"/>
      <c r="BS504" s="92"/>
      <c r="BT504" s="92"/>
      <c r="BU504" s="92"/>
      <c r="BV504" s="92"/>
      <c r="BW504" s="92"/>
      <c r="BX504" s="92"/>
      <c r="BY504" s="92"/>
      <c r="BZ504" s="92"/>
      <c r="CA504" s="92"/>
      <c r="CB504" s="92"/>
      <c r="CC504" s="92"/>
      <c r="CD504" s="92"/>
      <c r="CE504" s="92"/>
      <c r="CF504" s="92"/>
      <c r="CG504" s="92"/>
      <c r="CH504" s="92"/>
      <c r="CI504" s="92"/>
      <c r="CJ504" s="92"/>
      <c r="CK504" s="92"/>
      <c r="CL504" s="92"/>
      <c r="CM504" s="92"/>
      <c r="CN504" s="92"/>
      <c r="CO504" s="92"/>
      <c r="CP504" s="92"/>
      <c r="CQ504" s="92"/>
      <c r="CR504" s="92"/>
      <c r="CS504" s="92"/>
      <c r="CT504" s="92"/>
      <c r="CU504" s="92"/>
      <c r="CV504" s="92"/>
      <c r="CW504" s="92"/>
      <c r="CX504" s="92"/>
      <c r="CY504" s="92"/>
      <c r="CZ504" s="92"/>
      <c r="DA504" s="92"/>
      <c r="DB504" s="92"/>
      <c r="DC504" s="92"/>
      <c r="DD504" s="92"/>
      <c r="DE504" s="92"/>
      <c r="DF504" s="92"/>
      <c r="DG504" s="92"/>
      <c r="DH504" s="92"/>
      <c r="DI504" s="92"/>
      <c r="DJ504" s="92"/>
      <c r="DK504" s="92"/>
      <c r="DL504" s="92"/>
      <c r="DM504" s="92"/>
      <c r="DN504" s="92"/>
      <c r="DO504" s="92"/>
      <c r="DP504" s="92"/>
      <c r="DQ504" s="92"/>
      <c r="DR504" s="92"/>
      <c r="DS504" s="92"/>
      <c r="DT504" s="92"/>
      <c r="DU504" s="92"/>
      <c r="DV504" s="92"/>
      <c r="DW504" s="92"/>
      <c r="DX504" s="92"/>
      <c r="DY504" s="92"/>
      <c r="DZ504" s="92"/>
      <c r="EA504" s="92"/>
      <c r="EB504" s="92"/>
      <c r="EC504" s="92"/>
      <c r="ED504" s="92"/>
      <c r="EE504" s="92"/>
      <c r="EF504" s="92"/>
      <c r="EG504" s="92"/>
      <c r="EH504" s="92"/>
      <c r="EI504" s="92"/>
      <c r="EJ504" s="92"/>
      <c r="EK504" s="92"/>
      <c r="EL504" s="92"/>
      <c r="EM504" s="92"/>
      <c r="EN504" s="92"/>
      <c r="EO504" s="92"/>
      <c r="EP504" s="92"/>
      <c r="EQ504" s="92"/>
      <c r="ER504" s="92"/>
      <c r="ES504" s="92"/>
      <c r="ET504" s="92"/>
      <c r="EU504" s="92"/>
      <c r="EV504" s="92"/>
      <c r="EW504" s="92"/>
      <c r="EX504" s="92"/>
      <c r="EY504" s="92"/>
      <c r="EZ504" s="92"/>
      <c r="FA504" s="92"/>
      <c r="FB504" s="92"/>
      <c r="FC504" s="92"/>
      <c r="FD504" s="92"/>
      <c r="FE504" s="92"/>
      <c r="FF504" s="92"/>
      <c r="FG504" s="92"/>
      <c r="FH504" s="92"/>
    </row>
    <row r="505">
      <c r="A505" s="32" t="s">
        <v>17</v>
      </c>
      <c r="B505" s="32" t="s">
        <v>87</v>
      </c>
      <c r="C505" s="32" t="s">
        <v>14</v>
      </c>
      <c r="D505" s="97">
        <f t="shared" si="1"/>
        <v>4270.499227</v>
      </c>
      <c r="E505" s="92">
        <f>(SUBSTITUTE(Audio!E505, "RE-", "", 1))*1</f>
        <v>0</v>
      </c>
      <c r="F505" s="92">
        <f>(SUBSTITUTE(Audio!F505, "RE-", "", 1))*1</f>
        <v>747.171</v>
      </c>
      <c r="G505" s="92">
        <f>(SUBSTITUTE(Audio!G505, "RE-", "", 1))*1</f>
        <v>2.88712</v>
      </c>
      <c r="H505" s="92">
        <f>(SUBSTITUTE(Audio!H505, "RE-", "", 1))*1</f>
        <v>127.731</v>
      </c>
      <c r="I505" s="92">
        <f>(SUBSTITUTE(Audio!I505, "RE-", "", 1))*1</f>
        <v>0</v>
      </c>
      <c r="J505" s="92">
        <f>(SUBSTITUTE(Audio!J505, "RE-", "", 1))*1</f>
        <v>829.304</v>
      </c>
      <c r="K505" s="92">
        <f>(SUBSTITUTE(Audio!K505, "RE-", "", 1))*1</f>
        <v>1.06082</v>
      </c>
      <c r="L505" s="92">
        <f>(SUBSTITUTE(Audio!L505, "RE-", "", 1))*1</f>
        <v>277.889</v>
      </c>
      <c r="M505" s="92">
        <f>(SUBSTITUTE(Audio!M505, "RE-", "", 1))*1</f>
        <v>1.95627</v>
      </c>
      <c r="N505" s="92">
        <f>(SUBSTITUTE(Audio!N505, "RE-", "", 1))*1</f>
        <v>1502.46</v>
      </c>
      <c r="O505" s="92">
        <f>(SUBSTITUTE(Audio!O505, "RE-", "", 1))*1</f>
        <v>3.41295</v>
      </c>
      <c r="P505" s="92">
        <f>(SUBSTITUTE(Audio!P505, "RE-", "", 1))*1</f>
        <v>220.103</v>
      </c>
      <c r="Q505" s="92">
        <f>(SUBSTITUTE(Audio!Q505, "RE-", "", 1))*1</f>
        <v>11.4669</v>
      </c>
      <c r="R505" s="92">
        <f>(SUBSTITUTE(Audio!R505, "RE-", "", 1))*1</f>
        <v>324.297</v>
      </c>
      <c r="S505" s="92">
        <f>(SUBSTITUTE(Audio!S505, "RE-", "", 1))*1</f>
        <v>4.40298</v>
      </c>
      <c r="T505" s="92">
        <f>(SUBSTITUTE(Audio!T505, "RE-", "", 1))*1</f>
        <v>211.213</v>
      </c>
      <c r="U505" s="92">
        <f>(SUBSTITUTE(Audio!U505, "RE-", "", 1))*1</f>
        <v>4.98457</v>
      </c>
      <c r="V505" s="92">
        <f>(SUBSTITUTE(Audio!V505, "RE-", "", 1))*1</f>
        <v>0.159617</v>
      </c>
      <c r="W505" s="92">
        <f>(SUBSTITUTE(Audio!W505, "RE-", "", 1))*1</f>
        <v>0</v>
      </c>
      <c r="X505" s="92">
        <f>(SUBSTITUTE(Audio!X505, "RE-", "", 1))*1</f>
        <v>0</v>
      </c>
      <c r="Y505" s="92">
        <f>(SUBSTITUTE(Audio!Y505, "RE-", "", 1))*1</f>
        <v>0</v>
      </c>
      <c r="Z505" s="92">
        <f>(SUBSTITUTE(Audio!Z505, "RE-", "", 1))*1</f>
        <v>0</v>
      </c>
      <c r="AA505" s="92"/>
      <c r="AB505" s="92"/>
      <c r="AC505" s="92"/>
      <c r="AD505" s="92"/>
      <c r="AE505" s="92"/>
      <c r="AF505" s="92"/>
      <c r="AG505" s="92"/>
      <c r="AH505" s="92"/>
      <c r="AI505" s="92"/>
      <c r="AJ505" s="92"/>
      <c r="AK505" s="92"/>
      <c r="AL505" s="92"/>
      <c r="AM505" s="92"/>
      <c r="AN505" s="92"/>
      <c r="AO505" s="92"/>
      <c r="AP505" s="92"/>
      <c r="AQ505" s="92"/>
      <c r="AR505" s="92"/>
      <c r="AS505" s="92"/>
      <c r="AT505" s="92"/>
      <c r="AU505" s="92"/>
      <c r="AV505" s="92"/>
      <c r="AW505" s="92"/>
      <c r="AX505" s="92"/>
      <c r="AY505" s="92"/>
      <c r="AZ505" s="92"/>
      <c r="BA505" s="92"/>
      <c r="BB505" s="92"/>
      <c r="BC505" s="92"/>
      <c r="BD505" s="92"/>
      <c r="BE505" s="92"/>
      <c r="BF505" s="92"/>
      <c r="BG505" s="92"/>
      <c r="BH505" s="92"/>
      <c r="BI505" s="92"/>
      <c r="BJ505" s="92"/>
      <c r="BK505" s="92"/>
      <c r="BL505" s="92"/>
      <c r="BM505" s="92"/>
      <c r="BN505" s="92"/>
      <c r="BO505" s="92"/>
      <c r="BP505" s="92"/>
      <c r="BQ505" s="92"/>
      <c r="BR505" s="92"/>
      <c r="BS505" s="92"/>
      <c r="BT505" s="92"/>
      <c r="BU505" s="92"/>
      <c r="BV505" s="92"/>
      <c r="BW505" s="92"/>
      <c r="BX505" s="92"/>
      <c r="BY505" s="92"/>
      <c r="BZ505" s="92"/>
      <c r="CA505" s="92"/>
      <c r="CB505" s="92"/>
      <c r="CC505" s="92"/>
      <c r="CD505" s="92"/>
      <c r="CE505" s="92"/>
      <c r="CF505" s="92"/>
      <c r="CG505" s="92"/>
      <c r="CH505" s="92"/>
      <c r="CI505" s="92"/>
      <c r="CJ505" s="92"/>
      <c r="CK505" s="92"/>
      <c r="CL505" s="92"/>
      <c r="CM505" s="92"/>
      <c r="CN505" s="92"/>
      <c r="CO505" s="92"/>
      <c r="CP505" s="92"/>
      <c r="CQ505" s="92"/>
      <c r="CR505" s="92"/>
      <c r="CS505" s="92"/>
      <c r="CT505" s="92"/>
      <c r="CU505" s="92"/>
      <c r="CV505" s="92"/>
      <c r="CW505" s="92"/>
      <c r="CX505" s="92"/>
      <c r="CY505" s="92"/>
      <c r="CZ505" s="92"/>
      <c r="DA505" s="92"/>
      <c r="DB505" s="92"/>
      <c r="DC505" s="92"/>
      <c r="DD505" s="92"/>
      <c r="DE505" s="92"/>
      <c r="DF505" s="92"/>
      <c r="DG505" s="92"/>
      <c r="DH505" s="92"/>
      <c r="DI505" s="92"/>
      <c r="DJ505" s="92"/>
      <c r="DK505" s="92"/>
      <c r="DL505" s="92"/>
      <c r="DM505" s="92"/>
      <c r="DN505" s="92"/>
      <c r="DO505" s="92"/>
      <c r="DP505" s="92"/>
      <c r="DQ505" s="92"/>
      <c r="DR505" s="92"/>
      <c r="DS505" s="92"/>
      <c r="DT505" s="92"/>
      <c r="DU505" s="92"/>
      <c r="DV505" s="92"/>
      <c r="DW505" s="92"/>
      <c r="DX505" s="92"/>
      <c r="DY505" s="92"/>
      <c r="DZ505" s="92"/>
      <c r="EA505" s="92"/>
      <c r="EB505" s="92"/>
      <c r="EC505" s="92"/>
      <c r="ED505" s="92"/>
      <c r="EE505" s="92"/>
      <c r="EF505" s="92"/>
      <c r="EG505" s="92"/>
      <c r="EH505" s="92"/>
      <c r="EI505" s="92"/>
      <c r="EJ505" s="92"/>
      <c r="EK505" s="92"/>
      <c r="EL505" s="92"/>
      <c r="EM505" s="92"/>
      <c r="EN505" s="92"/>
      <c r="EO505" s="92"/>
      <c r="EP505" s="92"/>
      <c r="EQ505" s="92"/>
      <c r="ER505" s="92"/>
      <c r="ES505" s="92"/>
      <c r="ET505" s="92"/>
      <c r="EU505" s="92"/>
      <c r="EV505" s="92"/>
      <c r="EW505" s="92"/>
      <c r="EX505" s="92"/>
      <c r="EY505" s="92"/>
      <c r="EZ505" s="92"/>
      <c r="FA505" s="92"/>
      <c r="FB505" s="92"/>
      <c r="FC505" s="92"/>
      <c r="FD505" s="92"/>
      <c r="FE505" s="92"/>
      <c r="FF505" s="92"/>
      <c r="FG505" s="92"/>
      <c r="FH505" s="92"/>
    </row>
    <row r="506">
      <c r="A506" s="27" t="s">
        <v>17</v>
      </c>
      <c r="B506" s="27" t="s">
        <v>87</v>
      </c>
      <c r="C506" s="27" t="s">
        <v>15</v>
      </c>
      <c r="D506" s="98">
        <f t="shared" si="1"/>
        <v>4863.705887</v>
      </c>
      <c r="E506" s="92">
        <f>(SUBSTITUTE(Audio!E506, "RE-", "", 1))*1</f>
        <v>0</v>
      </c>
      <c r="F506" s="92">
        <f>(SUBSTITUTE(Audio!F506, "RE-", "", 1))*1</f>
        <v>867.563</v>
      </c>
      <c r="G506" s="92">
        <f>(SUBSTITUTE(Audio!G506, "RE-", "", 1))*1</f>
        <v>2.88712</v>
      </c>
      <c r="H506" s="92">
        <f>(SUBSTITUTE(Audio!H506, "RE-", "", 1))*1</f>
        <v>151.306</v>
      </c>
      <c r="I506" s="92">
        <f>(SUBSTITUTE(Audio!I506, "RE-", "", 1))*1</f>
        <v>0</v>
      </c>
      <c r="J506" s="92">
        <f>(SUBSTITUTE(Audio!J506, "RE-", "", 1))*1</f>
        <v>905.369</v>
      </c>
      <c r="K506" s="92">
        <f>(SUBSTITUTE(Audio!K506, "RE-", "", 1))*1</f>
        <v>1.06082</v>
      </c>
      <c r="L506" s="92">
        <f>(SUBSTITUTE(Audio!L506, "RE-", "", 1))*1</f>
        <v>328.554</v>
      </c>
      <c r="M506" s="92">
        <f>(SUBSTITUTE(Audio!M506, "RE-", "", 1))*1</f>
        <v>1.95627</v>
      </c>
      <c r="N506" s="92">
        <f>(SUBSTITUTE(Audio!N506, "RE-", "", 1))*1</f>
        <v>1692.32</v>
      </c>
      <c r="O506" s="92">
        <f>(SUBSTITUTE(Audio!O506, "RE-", "", 1))*1</f>
        <v>3.41295</v>
      </c>
      <c r="P506" s="92">
        <f>(SUBSTITUTE(Audio!P506, "RE-", "", 1))*1</f>
        <v>259.466</v>
      </c>
      <c r="Q506" s="92">
        <f>(SUBSTITUTE(Audio!Q506, "RE-", "", 1))*1</f>
        <v>11.9446</v>
      </c>
      <c r="R506" s="92">
        <f>(SUBSTITUTE(Audio!R506, "RE-", "", 1))*1</f>
        <v>377.704</v>
      </c>
      <c r="S506" s="92">
        <f>(SUBSTITUTE(Audio!S506, "RE-", "", 1))*1</f>
        <v>4.86028</v>
      </c>
      <c r="T506" s="92">
        <f>(SUBSTITUTE(Audio!T506, "RE-", "", 1))*1</f>
        <v>249.56</v>
      </c>
      <c r="U506" s="92">
        <f>(SUBSTITUTE(Audio!U506, "RE-", "", 1))*1</f>
        <v>5.58223</v>
      </c>
      <c r="V506" s="92">
        <f>(SUBSTITUTE(Audio!V506, "RE-", "", 1))*1</f>
        <v>0.159617</v>
      </c>
      <c r="W506" s="92">
        <f>(SUBSTITUTE(Audio!W506, "RE-", "", 1))*1</f>
        <v>0</v>
      </c>
      <c r="X506" s="92">
        <f>(SUBSTITUTE(Audio!X506, "RE-", "", 1))*1</f>
        <v>0</v>
      </c>
      <c r="Y506" s="92">
        <f>(SUBSTITUTE(Audio!Y506, "RE-", "", 1))*1</f>
        <v>0</v>
      </c>
      <c r="Z506" s="92">
        <f>(SUBSTITUTE(Audio!Z506, "RE-", "", 1))*1</f>
        <v>0</v>
      </c>
      <c r="AA506" s="92"/>
      <c r="AB506" s="92"/>
      <c r="AC506" s="92"/>
      <c r="AD506" s="92"/>
      <c r="AE506" s="92"/>
      <c r="AF506" s="92"/>
      <c r="AG506" s="92"/>
      <c r="AH506" s="92"/>
      <c r="AI506" s="92"/>
      <c r="AJ506" s="92"/>
      <c r="AK506" s="92"/>
      <c r="AL506" s="92"/>
      <c r="AM506" s="92"/>
      <c r="AN506" s="92"/>
      <c r="AO506" s="92"/>
      <c r="AP506" s="92"/>
      <c r="AQ506" s="92"/>
      <c r="AR506" s="92"/>
      <c r="AS506" s="92"/>
      <c r="AT506" s="92"/>
      <c r="AU506" s="92"/>
      <c r="AV506" s="92"/>
      <c r="AW506" s="92"/>
      <c r="AX506" s="92"/>
      <c r="AY506" s="92"/>
      <c r="AZ506" s="92"/>
      <c r="BA506" s="92"/>
      <c r="BB506" s="92"/>
      <c r="BC506" s="92"/>
      <c r="BD506" s="92"/>
      <c r="BE506" s="92"/>
      <c r="BF506" s="92"/>
      <c r="BG506" s="92"/>
      <c r="BH506" s="92"/>
      <c r="BI506" s="92"/>
      <c r="BJ506" s="92"/>
      <c r="BK506" s="92"/>
      <c r="BL506" s="92"/>
      <c r="BM506" s="92"/>
      <c r="BN506" s="92"/>
      <c r="BO506" s="92"/>
      <c r="BP506" s="92"/>
      <c r="BQ506" s="92"/>
      <c r="BR506" s="92"/>
      <c r="BS506" s="92"/>
      <c r="BT506" s="92"/>
      <c r="BU506" s="92"/>
      <c r="BV506" s="92"/>
      <c r="BW506" s="92"/>
      <c r="BX506" s="92"/>
      <c r="BY506" s="92"/>
      <c r="BZ506" s="92"/>
      <c r="CA506" s="92"/>
      <c r="CB506" s="92"/>
      <c r="CC506" s="92"/>
      <c r="CD506" s="92"/>
      <c r="CE506" s="92"/>
      <c r="CF506" s="92"/>
      <c r="CG506" s="92"/>
      <c r="CH506" s="92"/>
      <c r="CI506" s="92"/>
      <c r="CJ506" s="92"/>
      <c r="CK506" s="92"/>
      <c r="CL506" s="92"/>
      <c r="CM506" s="92"/>
      <c r="CN506" s="92"/>
      <c r="CO506" s="92"/>
      <c r="CP506" s="92"/>
      <c r="CQ506" s="92"/>
      <c r="CR506" s="92"/>
      <c r="CS506" s="92"/>
      <c r="CT506" s="92"/>
      <c r="CU506" s="92"/>
      <c r="CV506" s="92"/>
      <c r="CW506" s="92"/>
      <c r="CX506" s="92"/>
      <c r="CY506" s="92"/>
      <c r="CZ506" s="92"/>
      <c r="DA506" s="92"/>
      <c r="DB506" s="92"/>
      <c r="DC506" s="92"/>
      <c r="DD506" s="92"/>
      <c r="DE506" s="92"/>
      <c r="DF506" s="92"/>
      <c r="DG506" s="92"/>
      <c r="DH506" s="92"/>
      <c r="DI506" s="92"/>
      <c r="DJ506" s="92"/>
      <c r="DK506" s="92"/>
      <c r="DL506" s="92"/>
      <c r="DM506" s="92"/>
      <c r="DN506" s="92"/>
      <c r="DO506" s="92"/>
      <c r="DP506" s="92"/>
      <c r="DQ506" s="92"/>
      <c r="DR506" s="92"/>
      <c r="DS506" s="92"/>
      <c r="DT506" s="92"/>
      <c r="DU506" s="92"/>
      <c r="DV506" s="92"/>
      <c r="DW506" s="92"/>
      <c r="DX506" s="92"/>
      <c r="DY506" s="92"/>
      <c r="DZ506" s="92"/>
      <c r="EA506" s="92"/>
      <c r="EB506" s="92"/>
      <c r="EC506" s="92"/>
      <c r="ED506" s="92"/>
      <c r="EE506" s="92"/>
      <c r="EF506" s="92"/>
      <c r="EG506" s="92"/>
      <c r="EH506" s="92"/>
      <c r="EI506" s="92"/>
      <c r="EJ506" s="92"/>
      <c r="EK506" s="92"/>
      <c r="EL506" s="92"/>
      <c r="EM506" s="92"/>
      <c r="EN506" s="92"/>
      <c r="EO506" s="92"/>
      <c r="EP506" s="92"/>
      <c r="EQ506" s="92"/>
      <c r="ER506" s="92"/>
      <c r="ES506" s="92"/>
      <c r="ET506" s="92"/>
      <c r="EU506" s="92"/>
      <c r="EV506" s="92"/>
      <c r="EW506" s="92"/>
      <c r="EX506" s="92"/>
      <c r="EY506" s="92"/>
      <c r="EZ506" s="92"/>
      <c r="FA506" s="92"/>
      <c r="FB506" s="92"/>
      <c r="FC506" s="92"/>
      <c r="FD506" s="92"/>
      <c r="FE506" s="92"/>
      <c r="FF506" s="92"/>
      <c r="FG506" s="92"/>
      <c r="FH506" s="92"/>
    </row>
    <row r="507">
      <c r="A507" s="30" t="s">
        <v>88</v>
      </c>
      <c r="B507" s="30" t="s">
        <v>89</v>
      </c>
      <c r="C507" s="31" t="str">
        <f>HYPERLINK("https://docs.google.com/spreadsheets/d/1qpq-Q09IN6upp0GQtxDokjlCQGfDY5i3/edit?usp=share_link&amp;ouid=106501987799020758802&amp;rtpof=true&amp;sd=true", "Raw Delivered")</f>
        <v>Raw Delivered</v>
      </c>
      <c r="D507" s="96">
        <f t="shared" si="1"/>
        <v>5659.137423</v>
      </c>
      <c r="E507" s="92">
        <f>(SUBSTITUTE(Audio!E507, "RE-", "", 1))*1</f>
        <v>0</v>
      </c>
      <c r="F507" s="92">
        <f>(SUBSTITUTE(Audio!F507, "RE-", "", 1))*1</f>
        <v>867.1098</v>
      </c>
      <c r="G507" s="92">
        <f>(SUBSTITUTE(Audio!G507, "RE-", "", 1))*1</f>
        <v>0</v>
      </c>
      <c r="H507" s="92">
        <f>(SUBSTITUTE(Audio!H507, "RE-", "", 1))*1</f>
        <v>37.6625875</v>
      </c>
      <c r="I507" s="92">
        <f>(SUBSTITUTE(Audio!I507, "RE-", "", 1))*1</f>
        <v>0</v>
      </c>
      <c r="J507" s="92">
        <f>(SUBSTITUTE(Audio!J507, "RE-", "", 1))*1</f>
        <v>469.1900458</v>
      </c>
      <c r="K507" s="92">
        <f>(SUBSTITUTE(Audio!K507, "RE-", "", 1))*1</f>
        <v>0</v>
      </c>
      <c r="L507" s="92">
        <f>(SUBSTITUTE(Audio!L507, "RE-", "", 1))*1</f>
        <v>373.3950646</v>
      </c>
      <c r="M507" s="92">
        <f>(SUBSTITUTE(Audio!M507, "RE-", "", 1))*1</f>
        <v>0</v>
      </c>
      <c r="N507" s="92">
        <f>(SUBSTITUTE(Audio!N507, "RE-", "", 1))*1</f>
        <v>1222.988871</v>
      </c>
      <c r="O507" s="92">
        <f>(SUBSTITUTE(Audio!O507, "RE-", "", 1))*1</f>
        <v>0</v>
      </c>
      <c r="P507" s="92">
        <f>(SUBSTITUTE(Audio!P507, "RE-", "", 1))*1</f>
        <v>1132.882974</v>
      </c>
      <c r="Q507" s="92">
        <f>(SUBSTITUTE(Audio!Q507, "RE-", "", 1))*1</f>
        <v>0</v>
      </c>
      <c r="R507" s="92">
        <f>(SUBSTITUTE(Audio!R507, "RE-", "", 1))*1</f>
        <v>565.435324</v>
      </c>
      <c r="S507" s="92">
        <f>(SUBSTITUTE(Audio!S507, "RE-", "", 1))*1</f>
        <v>0</v>
      </c>
      <c r="T507" s="92">
        <f>(SUBSTITUTE(Audio!T507, "RE-", "", 1))*1</f>
        <v>990.4727563</v>
      </c>
      <c r="U507" s="92">
        <f>(SUBSTITUTE(Audio!U507, "RE-", "", 1))*1</f>
        <v>0</v>
      </c>
      <c r="V507" s="92">
        <f>(SUBSTITUTE(Audio!V507, "RE-", "", 1))*1</f>
        <v>0</v>
      </c>
      <c r="W507" s="92">
        <f>(SUBSTITUTE(Audio!W507, "RE-", "", 1))*1</f>
        <v>0</v>
      </c>
      <c r="X507" s="92">
        <f>(SUBSTITUTE(Audio!X507, "RE-", "", 1))*1</f>
        <v>0</v>
      </c>
      <c r="Y507" s="92">
        <f>(SUBSTITUTE(Audio!Y507, "RE-", "", 1))*1</f>
        <v>0</v>
      </c>
      <c r="Z507" s="92">
        <f>(SUBSTITUTE(Audio!Z507, "RE-", "", 1))*1</f>
        <v>0</v>
      </c>
      <c r="AA507" s="92"/>
      <c r="AB507" s="92"/>
      <c r="AC507" s="92"/>
      <c r="AD507" s="92"/>
      <c r="AE507" s="92"/>
      <c r="AF507" s="92"/>
      <c r="AG507" s="92"/>
      <c r="AH507" s="92"/>
      <c r="AI507" s="92"/>
      <c r="AJ507" s="92"/>
      <c r="AK507" s="92"/>
      <c r="AL507" s="92"/>
      <c r="AM507" s="92"/>
      <c r="AN507" s="92"/>
      <c r="AO507" s="92"/>
      <c r="AP507" s="92"/>
      <c r="AQ507" s="92"/>
      <c r="AR507" s="92"/>
      <c r="AS507" s="92"/>
      <c r="AT507" s="92"/>
      <c r="AU507" s="92"/>
      <c r="AV507" s="92"/>
      <c r="AW507" s="92"/>
      <c r="AX507" s="92"/>
      <c r="AY507" s="92"/>
      <c r="AZ507" s="92"/>
      <c r="BA507" s="92"/>
      <c r="BB507" s="92"/>
      <c r="BC507" s="92"/>
      <c r="BD507" s="92"/>
      <c r="BE507" s="92"/>
      <c r="BF507" s="92"/>
      <c r="BG507" s="92"/>
      <c r="BH507" s="92"/>
      <c r="BI507" s="92"/>
      <c r="BJ507" s="92"/>
      <c r="BK507" s="92"/>
      <c r="BL507" s="92"/>
      <c r="BM507" s="92"/>
      <c r="BN507" s="92"/>
      <c r="BO507" s="92"/>
      <c r="BP507" s="92"/>
      <c r="BQ507" s="92"/>
      <c r="BR507" s="92"/>
      <c r="BS507" s="92"/>
      <c r="BT507" s="92"/>
      <c r="BU507" s="92"/>
      <c r="BV507" s="92"/>
      <c r="BW507" s="92"/>
      <c r="BX507" s="92"/>
      <c r="BY507" s="92"/>
      <c r="BZ507" s="92"/>
      <c r="CA507" s="92"/>
      <c r="CB507" s="92"/>
      <c r="CC507" s="92"/>
      <c r="CD507" s="92"/>
      <c r="CE507" s="92"/>
      <c r="CF507" s="92"/>
      <c r="CG507" s="92"/>
      <c r="CH507" s="92"/>
      <c r="CI507" s="92"/>
      <c r="CJ507" s="92"/>
      <c r="CK507" s="92"/>
      <c r="CL507" s="92"/>
      <c r="CM507" s="92"/>
      <c r="CN507" s="92"/>
      <c r="CO507" s="92"/>
      <c r="CP507" s="92"/>
      <c r="CQ507" s="92"/>
      <c r="CR507" s="92"/>
      <c r="CS507" s="92"/>
      <c r="CT507" s="92"/>
      <c r="CU507" s="92"/>
      <c r="CV507" s="92"/>
      <c r="CW507" s="92"/>
      <c r="CX507" s="92"/>
      <c r="CY507" s="92"/>
      <c r="CZ507" s="92"/>
      <c r="DA507" s="92"/>
      <c r="DB507" s="92"/>
      <c r="DC507" s="92"/>
      <c r="DD507" s="92"/>
      <c r="DE507" s="92"/>
      <c r="DF507" s="92"/>
      <c r="DG507" s="92"/>
      <c r="DH507" s="92"/>
      <c r="DI507" s="92"/>
      <c r="DJ507" s="92"/>
      <c r="DK507" s="92"/>
      <c r="DL507" s="92"/>
      <c r="DM507" s="92"/>
      <c r="DN507" s="92"/>
      <c r="DO507" s="92"/>
      <c r="DP507" s="92"/>
      <c r="DQ507" s="92"/>
      <c r="DR507" s="92"/>
      <c r="DS507" s="92"/>
      <c r="DT507" s="92"/>
      <c r="DU507" s="92"/>
      <c r="DV507" s="92"/>
      <c r="DW507" s="92"/>
      <c r="DX507" s="92"/>
      <c r="DY507" s="92"/>
      <c r="DZ507" s="92"/>
      <c r="EA507" s="92"/>
      <c r="EB507" s="92"/>
      <c r="EC507" s="92"/>
      <c r="ED507" s="92"/>
      <c r="EE507" s="92"/>
      <c r="EF507" s="92"/>
      <c r="EG507" s="92"/>
      <c r="EH507" s="92"/>
      <c r="EI507" s="92"/>
      <c r="EJ507" s="92"/>
      <c r="EK507" s="92"/>
      <c r="EL507" s="92"/>
      <c r="EM507" s="92"/>
      <c r="EN507" s="92"/>
      <c r="EO507" s="92"/>
      <c r="EP507" s="92"/>
      <c r="EQ507" s="92"/>
      <c r="ER507" s="92"/>
      <c r="ES507" s="92"/>
      <c r="ET507" s="92"/>
      <c r="EU507" s="92"/>
      <c r="EV507" s="92"/>
      <c r="EW507" s="92"/>
      <c r="EX507" s="92"/>
      <c r="EY507" s="92"/>
      <c r="EZ507" s="92"/>
      <c r="FA507" s="92"/>
      <c r="FB507" s="92"/>
      <c r="FC507" s="92"/>
      <c r="FD507" s="92"/>
      <c r="FE507" s="92"/>
      <c r="FF507" s="92"/>
      <c r="FG507" s="92"/>
      <c r="FH507" s="92"/>
    </row>
    <row r="508">
      <c r="A508" s="32" t="s">
        <v>88</v>
      </c>
      <c r="B508" s="32" t="s">
        <v>89</v>
      </c>
      <c r="C508" s="32" t="s">
        <v>9</v>
      </c>
      <c r="D508" s="97">
        <f t="shared" si="1"/>
        <v>5659.137423</v>
      </c>
      <c r="E508" s="92">
        <f>(SUBSTITUTE(Audio!E508, "RE-", "", 1))*1</f>
        <v>0</v>
      </c>
      <c r="F508" s="92">
        <f>(SUBSTITUTE(Audio!F508, "RE-", "", 1))*1</f>
        <v>867.1098</v>
      </c>
      <c r="G508" s="92">
        <f>(SUBSTITUTE(Audio!G508, "RE-", "", 1))*1</f>
        <v>0</v>
      </c>
      <c r="H508" s="92">
        <f>(SUBSTITUTE(Audio!H508, "RE-", "", 1))*1</f>
        <v>37.6625875</v>
      </c>
      <c r="I508" s="92">
        <f>(SUBSTITUTE(Audio!I508, "RE-", "", 1))*1</f>
        <v>0</v>
      </c>
      <c r="J508" s="92">
        <f>(SUBSTITUTE(Audio!J508, "RE-", "", 1))*1</f>
        <v>469.1900458</v>
      </c>
      <c r="K508" s="92">
        <f>(SUBSTITUTE(Audio!K508, "RE-", "", 1))*1</f>
        <v>0</v>
      </c>
      <c r="L508" s="92">
        <f>(SUBSTITUTE(Audio!L508, "RE-", "", 1))*1</f>
        <v>373.3950646</v>
      </c>
      <c r="M508" s="92">
        <f>(SUBSTITUTE(Audio!M508, "RE-", "", 1))*1</f>
        <v>0</v>
      </c>
      <c r="N508" s="92">
        <f>(SUBSTITUTE(Audio!N508, "RE-", "", 1))*1</f>
        <v>1222.988871</v>
      </c>
      <c r="O508" s="92">
        <f>(SUBSTITUTE(Audio!O508, "RE-", "", 1))*1</f>
        <v>0</v>
      </c>
      <c r="P508" s="92">
        <f>(SUBSTITUTE(Audio!P508, "RE-", "", 1))*1</f>
        <v>1132.882974</v>
      </c>
      <c r="Q508" s="92">
        <f>(SUBSTITUTE(Audio!Q508, "RE-", "", 1))*1</f>
        <v>0</v>
      </c>
      <c r="R508" s="92">
        <f>(SUBSTITUTE(Audio!R508, "RE-", "", 1))*1</f>
        <v>565.435324</v>
      </c>
      <c r="S508" s="92">
        <f>(SUBSTITUTE(Audio!S508, "RE-", "", 1))*1</f>
        <v>0</v>
      </c>
      <c r="T508" s="92">
        <f>(SUBSTITUTE(Audio!T508, "RE-", "", 1))*1</f>
        <v>990.4727563</v>
      </c>
      <c r="U508" s="92">
        <f>(SUBSTITUTE(Audio!U508, "RE-", "", 1))*1</f>
        <v>0</v>
      </c>
      <c r="V508" s="92">
        <f>(SUBSTITUTE(Audio!V508, "RE-", "", 1))*1</f>
        <v>0</v>
      </c>
      <c r="W508" s="92">
        <f>(SUBSTITUTE(Audio!W508, "RE-", "", 1))*1</f>
        <v>0</v>
      </c>
      <c r="X508" s="92">
        <f>(SUBSTITUTE(Audio!X508, "RE-", "", 1))*1</f>
        <v>0</v>
      </c>
      <c r="Y508" s="92">
        <f>(SUBSTITUTE(Audio!Y508, "RE-", "", 1))*1</f>
        <v>0</v>
      </c>
      <c r="Z508" s="92">
        <f>(SUBSTITUTE(Audio!Z508, "RE-", "", 1))*1</f>
        <v>0</v>
      </c>
      <c r="AA508" s="92"/>
      <c r="AB508" s="92"/>
      <c r="AC508" s="92"/>
      <c r="AD508" s="92"/>
      <c r="AE508" s="92"/>
      <c r="AF508" s="92"/>
      <c r="AG508" s="92"/>
      <c r="AH508" s="92"/>
      <c r="AI508" s="92"/>
      <c r="AJ508" s="92"/>
      <c r="AK508" s="92"/>
      <c r="AL508" s="92"/>
      <c r="AM508" s="92"/>
      <c r="AN508" s="92"/>
      <c r="AO508" s="92"/>
      <c r="AP508" s="92"/>
      <c r="AQ508" s="92"/>
      <c r="AR508" s="92"/>
      <c r="AS508" s="92"/>
      <c r="AT508" s="92"/>
      <c r="AU508" s="92"/>
      <c r="AV508" s="92"/>
      <c r="AW508" s="92"/>
      <c r="AX508" s="92"/>
      <c r="AY508" s="92"/>
      <c r="AZ508" s="92"/>
      <c r="BA508" s="92"/>
      <c r="BB508" s="92"/>
      <c r="BC508" s="92"/>
      <c r="BD508" s="92"/>
      <c r="BE508" s="92"/>
      <c r="BF508" s="92"/>
      <c r="BG508" s="92"/>
      <c r="BH508" s="92"/>
      <c r="BI508" s="92"/>
      <c r="BJ508" s="92"/>
      <c r="BK508" s="92"/>
      <c r="BL508" s="92"/>
      <c r="BM508" s="92"/>
      <c r="BN508" s="92"/>
      <c r="BO508" s="92"/>
      <c r="BP508" s="92"/>
      <c r="BQ508" s="92"/>
      <c r="BR508" s="92"/>
      <c r="BS508" s="92"/>
      <c r="BT508" s="92"/>
      <c r="BU508" s="92"/>
      <c r="BV508" s="92"/>
      <c r="BW508" s="92"/>
      <c r="BX508" s="92"/>
      <c r="BY508" s="92"/>
      <c r="BZ508" s="92"/>
      <c r="CA508" s="92"/>
      <c r="CB508" s="92"/>
      <c r="CC508" s="92"/>
      <c r="CD508" s="92"/>
      <c r="CE508" s="92"/>
      <c r="CF508" s="92"/>
      <c r="CG508" s="92"/>
      <c r="CH508" s="92"/>
      <c r="CI508" s="92"/>
      <c r="CJ508" s="92"/>
      <c r="CK508" s="92"/>
      <c r="CL508" s="92"/>
      <c r="CM508" s="92"/>
      <c r="CN508" s="92"/>
      <c r="CO508" s="92"/>
      <c r="CP508" s="92"/>
      <c r="CQ508" s="92"/>
      <c r="CR508" s="92"/>
      <c r="CS508" s="92"/>
      <c r="CT508" s="92"/>
      <c r="CU508" s="92"/>
      <c r="CV508" s="92"/>
      <c r="CW508" s="92"/>
      <c r="CX508" s="92"/>
      <c r="CY508" s="92"/>
      <c r="CZ508" s="92"/>
      <c r="DA508" s="92"/>
      <c r="DB508" s="92"/>
      <c r="DC508" s="92"/>
      <c r="DD508" s="92"/>
      <c r="DE508" s="92"/>
      <c r="DF508" s="92"/>
      <c r="DG508" s="92"/>
      <c r="DH508" s="92"/>
      <c r="DI508" s="92"/>
      <c r="DJ508" s="92"/>
      <c r="DK508" s="92"/>
      <c r="DL508" s="92"/>
      <c r="DM508" s="92"/>
      <c r="DN508" s="92"/>
      <c r="DO508" s="92"/>
      <c r="DP508" s="92"/>
      <c r="DQ508" s="92"/>
      <c r="DR508" s="92"/>
      <c r="DS508" s="92"/>
      <c r="DT508" s="92"/>
      <c r="DU508" s="92"/>
      <c r="DV508" s="92"/>
      <c r="DW508" s="92"/>
      <c r="DX508" s="92"/>
      <c r="DY508" s="92"/>
      <c r="DZ508" s="92"/>
      <c r="EA508" s="92"/>
      <c r="EB508" s="92"/>
      <c r="EC508" s="92"/>
      <c r="ED508" s="92"/>
      <c r="EE508" s="92"/>
      <c r="EF508" s="92"/>
      <c r="EG508" s="92"/>
      <c r="EH508" s="92"/>
      <c r="EI508" s="92"/>
      <c r="EJ508" s="92"/>
      <c r="EK508" s="92"/>
      <c r="EL508" s="92"/>
      <c r="EM508" s="92"/>
      <c r="EN508" s="92"/>
      <c r="EO508" s="92"/>
      <c r="EP508" s="92"/>
      <c r="EQ508" s="92"/>
      <c r="ER508" s="92"/>
      <c r="ES508" s="92"/>
      <c r="ET508" s="92"/>
      <c r="EU508" s="92"/>
      <c r="EV508" s="92"/>
      <c r="EW508" s="92"/>
      <c r="EX508" s="92"/>
      <c r="EY508" s="92"/>
      <c r="EZ508" s="92"/>
      <c r="FA508" s="92"/>
      <c r="FB508" s="92"/>
      <c r="FC508" s="92"/>
      <c r="FD508" s="92"/>
      <c r="FE508" s="92"/>
      <c r="FF508" s="92"/>
      <c r="FG508" s="92"/>
      <c r="FH508" s="92"/>
    </row>
    <row r="509">
      <c r="A509" s="32" t="s">
        <v>88</v>
      </c>
      <c r="B509" s="32" t="s">
        <v>89</v>
      </c>
      <c r="C509" s="32" t="s">
        <v>10</v>
      </c>
      <c r="D509" s="97">
        <f t="shared" si="1"/>
        <v>551.5374938</v>
      </c>
      <c r="E509" s="92">
        <f>(SUBSTITUTE(Audio!E509, "RE-", "", 1))*1</f>
        <v>0</v>
      </c>
      <c r="F509" s="92">
        <f>(SUBSTITUTE(Audio!F509, "RE-", "", 1))*1</f>
        <v>0</v>
      </c>
      <c r="G509" s="92">
        <f>(SUBSTITUTE(Audio!G509, "RE-", "", 1))*1</f>
        <v>73.40525833</v>
      </c>
      <c r="H509" s="92">
        <f>(SUBSTITUTE(Audio!H509, "RE-", "", 1))*1</f>
        <v>0</v>
      </c>
      <c r="I509" s="92">
        <f>(SUBSTITUTE(Audio!I509, "RE-", "", 1))*1</f>
        <v>16.16908958</v>
      </c>
      <c r="J509" s="92">
        <f>(SUBSTITUTE(Audio!J509, "RE-", "", 1))*1</f>
        <v>0</v>
      </c>
      <c r="K509" s="92">
        <f>(SUBSTITUTE(Audio!K509, "RE-", "", 1))*1</f>
        <v>41.01333958</v>
      </c>
      <c r="L509" s="92">
        <f>(SUBSTITUTE(Audio!L509, "RE-", "", 1))*1</f>
        <v>0</v>
      </c>
      <c r="M509" s="92">
        <f>(SUBSTITUTE(Audio!M509, "RE-", "", 1))*1</f>
        <v>28.25478646</v>
      </c>
      <c r="N509" s="92">
        <f>(SUBSTITUTE(Audio!N509, "RE-", "", 1))*1</f>
        <v>0</v>
      </c>
      <c r="O509" s="92">
        <f>(SUBSTITUTE(Audio!O509, "RE-", "", 1))*1</f>
        <v>163.1962542</v>
      </c>
      <c r="P509" s="92">
        <f>(SUBSTITUTE(Audio!P509, "RE-", "", 1))*1</f>
        <v>0</v>
      </c>
      <c r="Q509" s="92">
        <f>(SUBSTITUTE(Audio!Q509, "RE-", "", 1))*1</f>
        <v>69.61840521</v>
      </c>
      <c r="R509" s="92">
        <f>(SUBSTITUTE(Audio!R509, "RE-", "", 1))*1</f>
        <v>0</v>
      </c>
      <c r="S509" s="92">
        <f>(SUBSTITUTE(Audio!S509, "RE-", "", 1))*1</f>
        <v>50.51678125</v>
      </c>
      <c r="T509" s="92">
        <f>(SUBSTITUTE(Audio!T509, "RE-", "", 1))*1</f>
        <v>0</v>
      </c>
      <c r="U509" s="92">
        <f>(SUBSTITUTE(Audio!U509, "RE-", "", 1))*1</f>
        <v>107.0961323</v>
      </c>
      <c r="V509" s="92">
        <f>(SUBSTITUTE(Audio!V509, "RE-", "", 1))*1</f>
        <v>2.267446875</v>
      </c>
      <c r="W509" s="92">
        <f>(SUBSTITUTE(Audio!W509, "RE-", "", 1))*1</f>
        <v>0</v>
      </c>
      <c r="X509" s="92">
        <f>(SUBSTITUTE(Audio!X509, "RE-", "", 1))*1</f>
        <v>0</v>
      </c>
      <c r="Y509" s="92">
        <f>(SUBSTITUTE(Audio!Y509, "RE-", "", 1))*1</f>
        <v>0</v>
      </c>
      <c r="Z509" s="92">
        <f>(SUBSTITUTE(Audio!Z509, "RE-", "", 1))*1</f>
        <v>0</v>
      </c>
      <c r="AA509" s="92"/>
      <c r="AB509" s="92"/>
      <c r="AC509" s="92"/>
      <c r="AD509" s="92"/>
      <c r="AE509" s="92"/>
      <c r="AF509" s="92"/>
      <c r="AG509" s="92"/>
      <c r="AH509" s="92"/>
      <c r="AI509" s="92"/>
      <c r="AJ509" s="92"/>
      <c r="AK509" s="92"/>
      <c r="AL509" s="92"/>
      <c r="AM509" s="92"/>
      <c r="AN509" s="92"/>
      <c r="AO509" s="92"/>
      <c r="AP509" s="92"/>
      <c r="AQ509" s="92"/>
      <c r="AR509" s="92"/>
      <c r="AS509" s="92"/>
      <c r="AT509" s="92"/>
      <c r="AU509" s="92"/>
      <c r="AV509" s="92"/>
      <c r="AW509" s="92"/>
      <c r="AX509" s="92"/>
      <c r="AY509" s="92"/>
      <c r="AZ509" s="92"/>
      <c r="BA509" s="92"/>
      <c r="BB509" s="92"/>
      <c r="BC509" s="92"/>
      <c r="BD509" s="92"/>
      <c r="BE509" s="92"/>
      <c r="BF509" s="92"/>
      <c r="BG509" s="92"/>
      <c r="BH509" s="92"/>
      <c r="BI509" s="92"/>
      <c r="BJ509" s="92"/>
      <c r="BK509" s="92"/>
      <c r="BL509" s="92"/>
      <c r="BM509" s="92"/>
      <c r="BN509" s="92"/>
      <c r="BO509" s="92"/>
      <c r="BP509" s="92"/>
      <c r="BQ509" s="92"/>
      <c r="BR509" s="92"/>
      <c r="BS509" s="92"/>
      <c r="BT509" s="92"/>
      <c r="BU509" s="92"/>
      <c r="BV509" s="92"/>
      <c r="BW509" s="92"/>
      <c r="BX509" s="92"/>
      <c r="BY509" s="92"/>
      <c r="BZ509" s="92"/>
      <c r="CA509" s="92"/>
      <c r="CB509" s="92"/>
      <c r="CC509" s="92"/>
      <c r="CD509" s="92"/>
      <c r="CE509" s="92"/>
      <c r="CF509" s="92"/>
      <c r="CG509" s="92"/>
      <c r="CH509" s="92"/>
      <c r="CI509" s="92"/>
      <c r="CJ509" s="92"/>
      <c r="CK509" s="92"/>
      <c r="CL509" s="92"/>
      <c r="CM509" s="92"/>
      <c r="CN509" s="92"/>
      <c r="CO509" s="92"/>
      <c r="CP509" s="92"/>
      <c r="CQ509" s="92"/>
      <c r="CR509" s="92"/>
      <c r="CS509" s="92"/>
      <c r="CT509" s="92"/>
      <c r="CU509" s="92"/>
      <c r="CV509" s="92"/>
      <c r="CW509" s="92"/>
      <c r="CX509" s="92"/>
      <c r="CY509" s="92"/>
      <c r="CZ509" s="92"/>
      <c r="DA509" s="92"/>
      <c r="DB509" s="92"/>
      <c r="DC509" s="92"/>
      <c r="DD509" s="92"/>
      <c r="DE509" s="92"/>
      <c r="DF509" s="92"/>
      <c r="DG509" s="92"/>
      <c r="DH509" s="92"/>
      <c r="DI509" s="92"/>
      <c r="DJ509" s="92"/>
      <c r="DK509" s="92"/>
      <c r="DL509" s="92"/>
      <c r="DM509" s="92"/>
      <c r="DN509" s="92"/>
      <c r="DO509" s="92"/>
      <c r="DP509" s="92"/>
      <c r="DQ509" s="92"/>
      <c r="DR509" s="92"/>
      <c r="DS509" s="92"/>
      <c r="DT509" s="92"/>
      <c r="DU509" s="92"/>
      <c r="DV509" s="92"/>
      <c r="DW509" s="92"/>
      <c r="DX509" s="92"/>
      <c r="DY509" s="92"/>
      <c r="DZ509" s="92"/>
      <c r="EA509" s="92"/>
      <c r="EB509" s="92"/>
      <c r="EC509" s="92"/>
      <c r="ED509" s="92"/>
      <c r="EE509" s="92"/>
      <c r="EF509" s="92"/>
      <c r="EG509" s="92"/>
      <c r="EH509" s="92"/>
      <c r="EI509" s="92"/>
      <c r="EJ509" s="92"/>
      <c r="EK509" s="92"/>
      <c r="EL509" s="92"/>
      <c r="EM509" s="92"/>
      <c r="EN509" s="92"/>
      <c r="EO509" s="92"/>
      <c r="EP509" s="92"/>
      <c r="EQ509" s="92"/>
      <c r="ER509" s="92"/>
      <c r="ES509" s="92"/>
      <c r="ET509" s="92"/>
      <c r="EU509" s="92"/>
      <c r="EV509" s="92"/>
      <c r="EW509" s="92"/>
      <c r="EX509" s="92"/>
      <c r="EY509" s="92"/>
      <c r="EZ509" s="92"/>
      <c r="FA509" s="92"/>
      <c r="FB509" s="92"/>
      <c r="FC509" s="92"/>
      <c r="FD509" s="92"/>
      <c r="FE509" s="92"/>
      <c r="FF509" s="92"/>
      <c r="FG509" s="92"/>
      <c r="FH509" s="92"/>
    </row>
    <row r="510">
      <c r="A510" s="32" t="s">
        <v>88</v>
      </c>
      <c r="B510" s="32" t="s">
        <v>89</v>
      </c>
      <c r="C510" s="32" t="s">
        <v>11</v>
      </c>
      <c r="D510" s="97">
        <f t="shared" si="1"/>
        <v>551.5374937</v>
      </c>
      <c r="E510" s="92">
        <f>(SUBSTITUTE(Audio!E510, "RE-", "", 1))*1</f>
        <v>0</v>
      </c>
      <c r="F510" s="92">
        <f>(SUBSTITUTE(Audio!F510, "RE-", "", 1))*1</f>
        <v>0</v>
      </c>
      <c r="G510" s="92">
        <f>(SUBSTITUTE(Audio!G510, "RE-", "", 1))*1</f>
        <v>73.40525833</v>
      </c>
      <c r="H510" s="92">
        <f>(SUBSTITUTE(Audio!H510, "RE-", "", 1))*1</f>
        <v>0</v>
      </c>
      <c r="I510" s="92">
        <f>(SUBSTITUTE(Audio!I510, "RE-", "", 1))*1</f>
        <v>16.16908958</v>
      </c>
      <c r="J510" s="92">
        <f>(SUBSTITUTE(Audio!J510, "RE-", "", 1))*1</f>
        <v>0</v>
      </c>
      <c r="K510" s="92">
        <f>(SUBSTITUTE(Audio!K510, "RE-", "", 1))*1</f>
        <v>41.01333958</v>
      </c>
      <c r="L510" s="92">
        <f>(SUBSTITUTE(Audio!L510, "RE-", "", 1))*1</f>
        <v>0</v>
      </c>
      <c r="M510" s="92">
        <f>(SUBSTITUTE(Audio!M510, "RE-", "", 1))*1</f>
        <v>28.25478646</v>
      </c>
      <c r="N510" s="92">
        <f>(SUBSTITUTE(Audio!N510, "RE-", "", 1))*1</f>
        <v>0</v>
      </c>
      <c r="O510" s="92">
        <f>(SUBSTITUTE(Audio!O510, "RE-", "", 1))*1</f>
        <v>163.1962542</v>
      </c>
      <c r="P510" s="92">
        <f>(SUBSTITUTE(Audio!P510, "RE-", "", 1))*1</f>
        <v>0</v>
      </c>
      <c r="Q510" s="92">
        <f>(SUBSTITUTE(Audio!Q510, "RE-", "", 1))*1</f>
        <v>69.61840521</v>
      </c>
      <c r="R510" s="92">
        <f>(SUBSTITUTE(Audio!R510, "RE-", "", 1))*1</f>
        <v>0</v>
      </c>
      <c r="S510" s="92">
        <f>(SUBSTITUTE(Audio!S510, "RE-", "", 1))*1</f>
        <v>50.51678125</v>
      </c>
      <c r="T510" s="92">
        <f>(SUBSTITUTE(Audio!T510, "RE-", "", 1))*1</f>
        <v>0</v>
      </c>
      <c r="U510" s="92">
        <f>(SUBSTITUTE(Audio!U510, "RE-", "", 1))*1</f>
        <v>107.0961323</v>
      </c>
      <c r="V510" s="92">
        <f>(SUBSTITUTE(Audio!V510, "RE-", "", 1))*1</f>
        <v>2.267446875</v>
      </c>
      <c r="W510" s="92">
        <f>(SUBSTITUTE(Audio!W510, "RE-", "", 1))*1</f>
        <v>0</v>
      </c>
      <c r="X510" s="92">
        <f>(SUBSTITUTE(Audio!X510, "RE-", "", 1))*1</f>
        <v>0</v>
      </c>
      <c r="Y510" s="92">
        <f>(SUBSTITUTE(Audio!Y510, "RE-", "", 1))*1</f>
        <v>0</v>
      </c>
      <c r="Z510" s="92">
        <f>(SUBSTITUTE(Audio!Z510, "RE-", "", 1))*1</f>
        <v>0</v>
      </c>
      <c r="AA510" s="92"/>
      <c r="AB510" s="92"/>
      <c r="AC510" s="92"/>
      <c r="AD510" s="92"/>
      <c r="AE510" s="92"/>
      <c r="AF510" s="92"/>
      <c r="AG510" s="92"/>
      <c r="AH510" s="92"/>
      <c r="AI510" s="92"/>
      <c r="AJ510" s="92"/>
      <c r="AK510" s="92"/>
      <c r="AL510" s="92"/>
      <c r="AM510" s="92"/>
      <c r="AN510" s="92"/>
      <c r="AO510" s="92"/>
      <c r="AP510" s="92"/>
      <c r="AQ510" s="92"/>
      <c r="AR510" s="92"/>
      <c r="AS510" s="92"/>
      <c r="AT510" s="92"/>
      <c r="AU510" s="92"/>
      <c r="AV510" s="92"/>
      <c r="AW510" s="92"/>
      <c r="AX510" s="92"/>
      <c r="AY510" s="92"/>
      <c r="AZ510" s="92"/>
      <c r="BA510" s="92"/>
      <c r="BB510" s="92"/>
      <c r="BC510" s="92"/>
      <c r="BD510" s="92"/>
      <c r="BE510" s="92"/>
      <c r="BF510" s="92"/>
      <c r="BG510" s="92"/>
      <c r="BH510" s="92"/>
      <c r="BI510" s="92"/>
      <c r="BJ510" s="92"/>
      <c r="BK510" s="92"/>
      <c r="BL510" s="92"/>
      <c r="BM510" s="92"/>
      <c r="BN510" s="92"/>
      <c r="BO510" s="92"/>
      <c r="BP510" s="92"/>
      <c r="BQ510" s="92"/>
      <c r="BR510" s="92"/>
      <c r="BS510" s="92"/>
      <c r="BT510" s="92"/>
      <c r="BU510" s="92"/>
      <c r="BV510" s="92"/>
      <c r="BW510" s="92"/>
      <c r="BX510" s="92"/>
      <c r="BY510" s="92"/>
      <c r="BZ510" s="92"/>
      <c r="CA510" s="92"/>
      <c r="CB510" s="92"/>
      <c r="CC510" s="92"/>
      <c r="CD510" s="92"/>
      <c r="CE510" s="92"/>
      <c r="CF510" s="92"/>
      <c r="CG510" s="92"/>
      <c r="CH510" s="92"/>
      <c r="CI510" s="92"/>
      <c r="CJ510" s="92"/>
      <c r="CK510" s="92"/>
      <c r="CL510" s="92"/>
      <c r="CM510" s="92"/>
      <c r="CN510" s="92"/>
      <c r="CO510" s="92"/>
      <c r="CP510" s="92"/>
      <c r="CQ510" s="92"/>
      <c r="CR510" s="92"/>
      <c r="CS510" s="92"/>
      <c r="CT510" s="92"/>
      <c r="CU510" s="92"/>
      <c r="CV510" s="92"/>
      <c r="CW510" s="92"/>
      <c r="CX510" s="92"/>
      <c r="CY510" s="92"/>
      <c r="CZ510" s="92"/>
      <c r="DA510" s="92"/>
      <c r="DB510" s="92"/>
      <c r="DC510" s="92"/>
      <c r="DD510" s="92"/>
      <c r="DE510" s="92"/>
      <c r="DF510" s="92"/>
      <c r="DG510" s="92"/>
      <c r="DH510" s="92"/>
      <c r="DI510" s="92"/>
      <c r="DJ510" s="92"/>
      <c r="DK510" s="92"/>
      <c r="DL510" s="92"/>
      <c r="DM510" s="92"/>
      <c r="DN510" s="92"/>
      <c r="DO510" s="92"/>
      <c r="DP510" s="92"/>
      <c r="DQ510" s="92"/>
      <c r="DR510" s="92"/>
      <c r="DS510" s="92"/>
      <c r="DT510" s="92"/>
      <c r="DU510" s="92"/>
      <c r="DV510" s="92"/>
      <c r="DW510" s="92"/>
      <c r="DX510" s="92"/>
      <c r="DY510" s="92"/>
      <c r="DZ510" s="92"/>
      <c r="EA510" s="92"/>
      <c r="EB510" s="92"/>
      <c r="EC510" s="92"/>
      <c r="ED510" s="92"/>
      <c r="EE510" s="92"/>
      <c r="EF510" s="92"/>
      <c r="EG510" s="92"/>
      <c r="EH510" s="92"/>
      <c r="EI510" s="92"/>
      <c r="EJ510" s="92"/>
      <c r="EK510" s="92"/>
      <c r="EL510" s="92"/>
      <c r="EM510" s="92"/>
      <c r="EN510" s="92"/>
      <c r="EO510" s="92"/>
      <c r="EP510" s="92"/>
      <c r="EQ510" s="92"/>
      <c r="ER510" s="92"/>
      <c r="ES510" s="92"/>
      <c r="ET510" s="92"/>
      <c r="EU510" s="92"/>
      <c r="EV510" s="92"/>
      <c r="EW510" s="92"/>
      <c r="EX510" s="92"/>
      <c r="EY510" s="92"/>
      <c r="EZ510" s="92"/>
      <c r="FA510" s="92"/>
      <c r="FB510" s="92"/>
      <c r="FC510" s="92"/>
      <c r="FD510" s="92"/>
      <c r="FE510" s="92"/>
      <c r="FF510" s="92"/>
      <c r="FG510" s="92"/>
      <c r="FH510" s="92"/>
    </row>
    <row r="511">
      <c r="A511" s="32" t="s">
        <v>88</v>
      </c>
      <c r="B511" s="32" t="s">
        <v>89</v>
      </c>
      <c r="C511" s="32" t="s">
        <v>12</v>
      </c>
      <c r="D511" s="97">
        <f t="shared" si="1"/>
        <v>4777.498946</v>
      </c>
      <c r="E511" s="92">
        <f>(SUBSTITUTE(Audio!E511, "RE-", "", 1))*1</f>
        <v>0</v>
      </c>
      <c r="F511" s="92">
        <f>(SUBSTITUTE(Audio!F511, "RE-", "", 1))*1</f>
        <v>715.0894896</v>
      </c>
      <c r="G511" s="92">
        <f>(SUBSTITUTE(Audio!G511, "RE-", "", 1))*1</f>
        <v>3.41493125</v>
      </c>
      <c r="H511" s="92">
        <f>(SUBSTITUTE(Audio!H511, "RE-", "", 1))*1</f>
        <v>35.69289583</v>
      </c>
      <c r="I511" s="92">
        <f>(SUBSTITUTE(Audio!I511, "RE-", "", 1))*1</f>
        <v>0</v>
      </c>
      <c r="J511" s="92">
        <f>(SUBSTITUTE(Audio!J511, "RE-", "", 1))*1</f>
        <v>355.752925</v>
      </c>
      <c r="K511" s="92">
        <f>(SUBSTITUTE(Audio!K511, "RE-", "", 1))*1</f>
        <v>1.123225</v>
      </c>
      <c r="L511" s="92">
        <f>(SUBSTITUTE(Audio!L511, "RE-", "", 1))*1</f>
        <v>344.5402646</v>
      </c>
      <c r="M511" s="92">
        <f>(SUBSTITUTE(Audio!M511, "RE-", "", 1))*1</f>
        <v>9.832072917</v>
      </c>
      <c r="N511" s="92">
        <f>(SUBSTITUTE(Audio!N511, "RE-", "", 1))*1</f>
        <v>693.2911833</v>
      </c>
      <c r="O511" s="92">
        <f>(SUBSTITUTE(Audio!O511, "RE-", "", 1))*1</f>
        <v>1.883002083</v>
      </c>
      <c r="P511" s="92">
        <f>(SUBSTITUTE(Audio!P511, "RE-", "", 1))*1</f>
        <v>1060.005401</v>
      </c>
      <c r="Q511" s="92">
        <f>(SUBSTITUTE(Audio!Q511, "RE-", "", 1))*1</f>
        <v>14.69854167</v>
      </c>
      <c r="R511" s="92">
        <f>(SUBSTITUTE(Audio!R511, "RE-", "", 1))*1</f>
        <v>518.8764979</v>
      </c>
      <c r="S511" s="92">
        <f>(SUBSTITUTE(Audio!S511, "RE-", "", 1))*1</f>
        <v>22.41710312</v>
      </c>
      <c r="T511" s="92">
        <f>(SUBSTITUTE(Audio!T511, "RE-", "", 1))*1</f>
        <v>963.4180698</v>
      </c>
      <c r="U511" s="92">
        <f>(SUBSTITUTE(Audio!U511, "RE-", "", 1))*1</f>
        <v>36.63896042</v>
      </c>
      <c r="V511" s="92">
        <f>(SUBSTITUTE(Audio!V511, "RE-", "", 1))*1</f>
        <v>0.8243822917</v>
      </c>
      <c r="W511" s="92">
        <f>(SUBSTITUTE(Audio!W511, "RE-", "", 1))*1</f>
        <v>0</v>
      </c>
      <c r="X511" s="92">
        <f>(SUBSTITUTE(Audio!X511, "RE-", "", 1))*1</f>
        <v>0</v>
      </c>
      <c r="Y511" s="92">
        <f>(SUBSTITUTE(Audio!Y511, "RE-", "", 1))*1</f>
        <v>0</v>
      </c>
      <c r="Z511" s="92">
        <f>(SUBSTITUTE(Audio!Z511, "RE-", "", 1))*1</f>
        <v>0</v>
      </c>
      <c r="AA511" s="92"/>
      <c r="AB511" s="92"/>
      <c r="AC511" s="92"/>
      <c r="AD511" s="92"/>
      <c r="AE511" s="92"/>
      <c r="AF511" s="92"/>
      <c r="AG511" s="92"/>
      <c r="AH511" s="92"/>
      <c r="AI511" s="92"/>
      <c r="AJ511" s="92"/>
      <c r="AK511" s="92"/>
      <c r="AL511" s="92"/>
      <c r="AM511" s="92"/>
      <c r="AN511" s="92"/>
      <c r="AO511" s="92"/>
      <c r="AP511" s="92"/>
      <c r="AQ511" s="92"/>
      <c r="AR511" s="92"/>
      <c r="AS511" s="92"/>
      <c r="AT511" s="92"/>
      <c r="AU511" s="92"/>
      <c r="AV511" s="92"/>
      <c r="AW511" s="92"/>
      <c r="AX511" s="92"/>
      <c r="AY511" s="92"/>
      <c r="AZ511" s="92"/>
      <c r="BA511" s="92"/>
      <c r="BB511" s="92"/>
      <c r="BC511" s="92"/>
      <c r="BD511" s="92"/>
      <c r="BE511" s="92"/>
      <c r="BF511" s="92"/>
      <c r="BG511" s="92"/>
      <c r="BH511" s="92"/>
      <c r="BI511" s="92"/>
      <c r="BJ511" s="92"/>
      <c r="BK511" s="92"/>
      <c r="BL511" s="92"/>
      <c r="BM511" s="92"/>
      <c r="BN511" s="92"/>
      <c r="BO511" s="92"/>
      <c r="BP511" s="92"/>
      <c r="BQ511" s="92"/>
      <c r="BR511" s="92"/>
      <c r="BS511" s="92"/>
      <c r="BT511" s="92"/>
      <c r="BU511" s="92"/>
      <c r="BV511" s="92"/>
      <c r="BW511" s="92"/>
      <c r="BX511" s="92"/>
      <c r="BY511" s="92"/>
      <c r="BZ511" s="92"/>
      <c r="CA511" s="92"/>
      <c r="CB511" s="92"/>
      <c r="CC511" s="92"/>
      <c r="CD511" s="92"/>
      <c r="CE511" s="92"/>
      <c r="CF511" s="92"/>
      <c r="CG511" s="92"/>
      <c r="CH511" s="92"/>
      <c r="CI511" s="92"/>
      <c r="CJ511" s="92"/>
      <c r="CK511" s="92"/>
      <c r="CL511" s="92"/>
      <c r="CM511" s="92"/>
      <c r="CN511" s="92"/>
      <c r="CO511" s="92"/>
      <c r="CP511" s="92"/>
      <c r="CQ511" s="92"/>
      <c r="CR511" s="92"/>
      <c r="CS511" s="92"/>
      <c r="CT511" s="92"/>
      <c r="CU511" s="92"/>
      <c r="CV511" s="92"/>
      <c r="CW511" s="92"/>
      <c r="CX511" s="92"/>
      <c r="CY511" s="92"/>
      <c r="CZ511" s="92"/>
      <c r="DA511" s="92"/>
      <c r="DB511" s="92"/>
      <c r="DC511" s="92"/>
      <c r="DD511" s="92"/>
      <c r="DE511" s="92"/>
      <c r="DF511" s="92"/>
      <c r="DG511" s="92"/>
      <c r="DH511" s="92"/>
      <c r="DI511" s="92"/>
      <c r="DJ511" s="92"/>
      <c r="DK511" s="92"/>
      <c r="DL511" s="92"/>
      <c r="DM511" s="92"/>
      <c r="DN511" s="92"/>
      <c r="DO511" s="92"/>
      <c r="DP511" s="92"/>
      <c r="DQ511" s="92"/>
      <c r="DR511" s="92"/>
      <c r="DS511" s="92"/>
      <c r="DT511" s="92"/>
      <c r="DU511" s="92"/>
      <c r="DV511" s="92"/>
      <c r="DW511" s="92"/>
      <c r="DX511" s="92"/>
      <c r="DY511" s="92"/>
      <c r="DZ511" s="92"/>
      <c r="EA511" s="92"/>
      <c r="EB511" s="92"/>
      <c r="EC511" s="92"/>
      <c r="ED511" s="92"/>
      <c r="EE511" s="92"/>
      <c r="EF511" s="92"/>
      <c r="EG511" s="92"/>
      <c r="EH511" s="92"/>
      <c r="EI511" s="92"/>
      <c r="EJ511" s="92"/>
      <c r="EK511" s="92"/>
      <c r="EL511" s="92"/>
      <c r="EM511" s="92"/>
      <c r="EN511" s="92"/>
      <c r="EO511" s="92"/>
      <c r="EP511" s="92"/>
      <c r="EQ511" s="92"/>
      <c r="ER511" s="92"/>
      <c r="ES511" s="92"/>
      <c r="ET511" s="92"/>
      <c r="EU511" s="92"/>
      <c r="EV511" s="92"/>
      <c r="EW511" s="92"/>
      <c r="EX511" s="92"/>
      <c r="EY511" s="92"/>
      <c r="EZ511" s="92"/>
      <c r="FA511" s="92"/>
      <c r="FB511" s="92"/>
      <c r="FC511" s="92"/>
      <c r="FD511" s="92"/>
      <c r="FE511" s="92"/>
      <c r="FF511" s="92"/>
      <c r="FG511" s="92"/>
      <c r="FH511" s="92"/>
    </row>
    <row r="512">
      <c r="A512" s="32" t="s">
        <v>88</v>
      </c>
      <c r="B512" s="32" t="s">
        <v>89</v>
      </c>
      <c r="C512" s="32" t="s">
        <v>13</v>
      </c>
      <c r="D512" s="97">
        <f t="shared" si="1"/>
        <v>4571.844803</v>
      </c>
      <c r="E512" s="92">
        <f>(SUBSTITUTE(Audio!E512, "RE-", "", 1))*1</f>
        <v>0</v>
      </c>
      <c r="F512" s="92">
        <f>(SUBSTITUTE(Audio!F512, "RE-", "", 1))*1</f>
        <v>684.963</v>
      </c>
      <c r="G512" s="92">
        <f>(SUBSTITUTE(Audio!G512, "RE-", "", 1))*1</f>
        <v>3.28562</v>
      </c>
      <c r="H512" s="92">
        <f>(SUBSTITUTE(Audio!H512, "RE-", "", 1))*1</f>
        <v>35.2947</v>
      </c>
      <c r="I512" s="92">
        <f>(SUBSTITUTE(Audio!I512, "RE-", "", 1))*1</f>
        <v>0</v>
      </c>
      <c r="J512" s="92">
        <f>(SUBSTITUTE(Audio!J512, "RE-", "", 1))*1</f>
        <v>340.454</v>
      </c>
      <c r="K512" s="92">
        <f>(SUBSTITUTE(Audio!K512, "RE-", "", 1))*1</f>
        <v>1.05537</v>
      </c>
      <c r="L512" s="92">
        <f>(SUBSTITUTE(Audio!L512, "RE-", "", 1))*1</f>
        <v>327.502</v>
      </c>
      <c r="M512" s="92">
        <f>(SUBSTITUTE(Audio!M512, "RE-", "", 1))*1</f>
        <v>9.03915</v>
      </c>
      <c r="N512" s="92">
        <f>(SUBSTITUTE(Audio!N512, "RE-", "", 1))*1</f>
        <v>666.954</v>
      </c>
      <c r="O512" s="92">
        <f>(SUBSTITUTE(Audio!O512, "RE-", "", 1))*1</f>
        <v>1.62568</v>
      </c>
      <c r="P512" s="92">
        <f>(SUBSTITUTE(Audio!P512, "RE-", "", 1))*1</f>
        <v>1013.66</v>
      </c>
      <c r="Q512" s="92">
        <f>(SUBSTITUTE(Audio!Q512, "RE-", "", 1))*1</f>
        <v>13.9534</v>
      </c>
      <c r="R512" s="92">
        <f>(SUBSTITUTE(Audio!R512, "RE-", "", 1))*1</f>
        <v>495.726</v>
      </c>
      <c r="S512" s="92">
        <f>(SUBSTITUTE(Audio!S512, "RE-", "", 1))*1</f>
        <v>20.9432</v>
      </c>
      <c r="T512" s="92">
        <f>(SUBSTITUTE(Audio!T512, "RE-", "", 1))*1</f>
        <v>921.93</v>
      </c>
      <c r="U512" s="92">
        <f>(SUBSTITUTE(Audio!U512, "RE-", "", 1))*1</f>
        <v>34.6714</v>
      </c>
      <c r="V512" s="92">
        <f>(SUBSTITUTE(Audio!V512, "RE-", "", 1))*1</f>
        <v>0.787283</v>
      </c>
      <c r="W512" s="92">
        <f>(SUBSTITUTE(Audio!W512, "RE-", "", 1))*1</f>
        <v>0</v>
      </c>
      <c r="X512" s="92">
        <f>(SUBSTITUTE(Audio!X512, "RE-", "", 1))*1</f>
        <v>0</v>
      </c>
      <c r="Y512" s="92">
        <f>(SUBSTITUTE(Audio!Y512, "RE-", "", 1))*1</f>
        <v>0</v>
      </c>
      <c r="Z512" s="92">
        <f>(SUBSTITUTE(Audio!Z512, "RE-", "", 1))*1</f>
        <v>0</v>
      </c>
      <c r="AA512" s="92"/>
      <c r="AB512" s="92"/>
      <c r="AC512" s="92"/>
      <c r="AD512" s="92"/>
      <c r="AE512" s="92"/>
      <c r="AF512" s="92"/>
      <c r="AG512" s="92"/>
      <c r="AH512" s="92"/>
      <c r="AI512" s="92"/>
      <c r="AJ512" s="92"/>
      <c r="AK512" s="92"/>
      <c r="AL512" s="92"/>
      <c r="AM512" s="92"/>
      <c r="AN512" s="92"/>
      <c r="AO512" s="92"/>
      <c r="AP512" s="92"/>
      <c r="AQ512" s="92"/>
      <c r="AR512" s="92"/>
      <c r="AS512" s="92"/>
      <c r="AT512" s="92"/>
      <c r="AU512" s="92"/>
      <c r="AV512" s="92"/>
      <c r="AW512" s="92"/>
      <c r="AX512" s="92"/>
      <c r="AY512" s="92"/>
      <c r="AZ512" s="92"/>
      <c r="BA512" s="92"/>
      <c r="BB512" s="92"/>
      <c r="BC512" s="92"/>
      <c r="BD512" s="92"/>
      <c r="BE512" s="92"/>
      <c r="BF512" s="92"/>
      <c r="BG512" s="92"/>
      <c r="BH512" s="92"/>
      <c r="BI512" s="92"/>
      <c r="BJ512" s="92"/>
      <c r="BK512" s="92"/>
      <c r="BL512" s="92"/>
      <c r="BM512" s="92"/>
      <c r="BN512" s="92"/>
      <c r="BO512" s="92"/>
      <c r="BP512" s="92"/>
      <c r="BQ512" s="92"/>
      <c r="BR512" s="92"/>
      <c r="BS512" s="92"/>
      <c r="BT512" s="92"/>
      <c r="BU512" s="92"/>
      <c r="BV512" s="92"/>
      <c r="BW512" s="92"/>
      <c r="BX512" s="92"/>
      <c r="BY512" s="92"/>
      <c r="BZ512" s="92"/>
      <c r="CA512" s="92"/>
      <c r="CB512" s="92"/>
      <c r="CC512" s="92"/>
      <c r="CD512" s="92"/>
      <c r="CE512" s="92"/>
      <c r="CF512" s="92"/>
      <c r="CG512" s="92"/>
      <c r="CH512" s="92"/>
      <c r="CI512" s="92"/>
      <c r="CJ512" s="92"/>
      <c r="CK512" s="92"/>
      <c r="CL512" s="92"/>
      <c r="CM512" s="92"/>
      <c r="CN512" s="92"/>
      <c r="CO512" s="92"/>
      <c r="CP512" s="92"/>
      <c r="CQ512" s="92"/>
      <c r="CR512" s="92"/>
      <c r="CS512" s="92"/>
      <c r="CT512" s="92"/>
      <c r="CU512" s="92"/>
      <c r="CV512" s="92"/>
      <c r="CW512" s="92"/>
      <c r="CX512" s="92"/>
      <c r="CY512" s="92"/>
      <c r="CZ512" s="92"/>
      <c r="DA512" s="92"/>
      <c r="DB512" s="92"/>
      <c r="DC512" s="92"/>
      <c r="DD512" s="92"/>
      <c r="DE512" s="92"/>
      <c r="DF512" s="92"/>
      <c r="DG512" s="92"/>
      <c r="DH512" s="92"/>
      <c r="DI512" s="92"/>
      <c r="DJ512" s="92"/>
      <c r="DK512" s="92"/>
      <c r="DL512" s="92"/>
      <c r="DM512" s="92"/>
      <c r="DN512" s="92"/>
      <c r="DO512" s="92"/>
      <c r="DP512" s="92"/>
      <c r="DQ512" s="92"/>
      <c r="DR512" s="92"/>
      <c r="DS512" s="92"/>
      <c r="DT512" s="92"/>
      <c r="DU512" s="92"/>
      <c r="DV512" s="92"/>
      <c r="DW512" s="92"/>
      <c r="DX512" s="92"/>
      <c r="DY512" s="92"/>
      <c r="DZ512" s="92"/>
      <c r="EA512" s="92"/>
      <c r="EB512" s="92"/>
      <c r="EC512" s="92"/>
      <c r="ED512" s="92"/>
      <c r="EE512" s="92"/>
      <c r="EF512" s="92"/>
      <c r="EG512" s="92"/>
      <c r="EH512" s="92"/>
      <c r="EI512" s="92"/>
      <c r="EJ512" s="92"/>
      <c r="EK512" s="92"/>
      <c r="EL512" s="92"/>
      <c r="EM512" s="92"/>
      <c r="EN512" s="92"/>
      <c r="EO512" s="92"/>
      <c r="EP512" s="92"/>
      <c r="EQ512" s="92"/>
      <c r="ER512" s="92"/>
      <c r="ES512" s="92"/>
      <c r="ET512" s="92"/>
      <c r="EU512" s="92"/>
      <c r="EV512" s="92"/>
      <c r="EW512" s="92"/>
      <c r="EX512" s="92"/>
      <c r="EY512" s="92"/>
      <c r="EZ512" s="92"/>
      <c r="FA512" s="92"/>
      <c r="FB512" s="92"/>
      <c r="FC512" s="92"/>
      <c r="FD512" s="92"/>
      <c r="FE512" s="92"/>
      <c r="FF512" s="92"/>
      <c r="FG512" s="92"/>
      <c r="FH512" s="92"/>
    </row>
    <row r="513">
      <c r="A513" s="32" t="s">
        <v>88</v>
      </c>
      <c r="B513" s="32" t="s">
        <v>89</v>
      </c>
      <c r="C513" s="32" t="s">
        <v>14</v>
      </c>
      <c r="D513" s="97">
        <f t="shared" si="1"/>
        <v>4008.026333</v>
      </c>
      <c r="E513" s="92">
        <f>(SUBSTITUTE(Audio!E513, "RE-", "", 1))*1</f>
        <v>0</v>
      </c>
      <c r="F513" s="92">
        <f>(SUBSTITUTE(Audio!F513, "RE-", "", 1))*1</f>
        <v>588.754</v>
      </c>
      <c r="G513" s="92">
        <f>(SUBSTITUTE(Audio!G513, "RE-", "", 1))*1</f>
        <v>3.1079</v>
      </c>
      <c r="H513" s="92">
        <f>(SUBSTITUTE(Audio!H513, "RE-", "", 1))*1</f>
        <v>32.5438</v>
      </c>
      <c r="I513" s="92">
        <f>(SUBSTITUTE(Audio!I513, "RE-", "", 1))*1</f>
        <v>0</v>
      </c>
      <c r="J513" s="92">
        <f>(SUBSTITUTE(Audio!J513, "RE-", "", 1))*1</f>
        <v>318.397</v>
      </c>
      <c r="K513" s="92">
        <f>(SUBSTITUTE(Audio!K513, "RE-", "", 1))*1</f>
        <v>1.05537</v>
      </c>
      <c r="L513" s="92">
        <f>(SUBSTITUTE(Audio!L513, "RE-", "", 1))*1</f>
        <v>282.351</v>
      </c>
      <c r="M513" s="92">
        <f>(SUBSTITUTE(Audio!M513, "RE-", "", 1))*1</f>
        <v>7.3638</v>
      </c>
      <c r="N513" s="92">
        <f>(SUBSTITUTE(Audio!N513, "RE-", "", 1))*1</f>
        <v>568.337</v>
      </c>
      <c r="O513" s="92">
        <f>(SUBSTITUTE(Audio!O513, "RE-", "", 1))*1</f>
        <v>1.62568</v>
      </c>
      <c r="P513" s="92">
        <f>(SUBSTITUTE(Audio!P513, "RE-", "", 1))*1</f>
        <v>906.976</v>
      </c>
      <c r="Q513" s="92">
        <f>(SUBSTITUTE(Audio!Q513, "RE-", "", 1))*1</f>
        <v>12.6429</v>
      </c>
      <c r="R513" s="92">
        <f>(SUBSTITUTE(Audio!R513, "RE-", "", 1))*1</f>
        <v>429.344</v>
      </c>
      <c r="S513" s="92">
        <f>(SUBSTITUTE(Audio!S513, "RE-", "", 1))*1</f>
        <v>19.0417</v>
      </c>
      <c r="T513" s="92">
        <f>(SUBSTITUTE(Audio!T513, "RE-", "", 1))*1</f>
        <v>804.415</v>
      </c>
      <c r="U513" s="92">
        <f>(SUBSTITUTE(Audio!U513, "RE-", "", 1))*1</f>
        <v>31.2839</v>
      </c>
      <c r="V513" s="92">
        <f>(SUBSTITUTE(Audio!V513, "RE-", "", 1))*1</f>
        <v>0.787283</v>
      </c>
      <c r="W513" s="92">
        <f>(SUBSTITUTE(Audio!W513, "RE-", "", 1))*1</f>
        <v>0</v>
      </c>
      <c r="X513" s="92">
        <f>(SUBSTITUTE(Audio!X513, "RE-", "", 1))*1</f>
        <v>0</v>
      </c>
      <c r="Y513" s="92">
        <f>(SUBSTITUTE(Audio!Y513, "RE-", "", 1))*1</f>
        <v>0</v>
      </c>
      <c r="Z513" s="92">
        <f>(SUBSTITUTE(Audio!Z513, "RE-", "", 1))*1</f>
        <v>0</v>
      </c>
      <c r="AA513" s="92"/>
      <c r="AB513" s="92"/>
      <c r="AC513" s="92"/>
      <c r="AD513" s="92"/>
      <c r="AE513" s="92"/>
      <c r="AF513" s="92"/>
      <c r="AG513" s="92"/>
      <c r="AH513" s="92"/>
      <c r="AI513" s="92"/>
      <c r="AJ513" s="92"/>
      <c r="AK513" s="92"/>
      <c r="AL513" s="92"/>
      <c r="AM513" s="92"/>
      <c r="AN513" s="92"/>
      <c r="AO513" s="92"/>
      <c r="AP513" s="92"/>
      <c r="AQ513" s="92"/>
      <c r="AR513" s="92"/>
      <c r="AS513" s="92"/>
      <c r="AT513" s="92"/>
      <c r="AU513" s="92"/>
      <c r="AV513" s="92"/>
      <c r="AW513" s="92"/>
      <c r="AX513" s="92"/>
      <c r="AY513" s="92"/>
      <c r="AZ513" s="92"/>
      <c r="BA513" s="92"/>
      <c r="BB513" s="92"/>
      <c r="BC513" s="92"/>
      <c r="BD513" s="92"/>
      <c r="BE513" s="92"/>
      <c r="BF513" s="92"/>
      <c r="BG513" s="92"/>
      <c r="BH513" s="92"/>
      <c r="BI513" s="92"/>
      <c r="BJ513" s="92"/>
      <c r="BK513" s="92"/>
      <c r="BL513" s="92"/>
      <c r="BM513" s="92"/>
      <c r="BN513" s="92"/>
      <c r="BO513" s="92"/>
      <c r="BP513" s="92"/>
      <c r="BQ513" s="92"/>
      <c r="BR513" s="92"/>
      <c r="BS513" s="92"/>
      <c r="BT513" s="92"/>
      <c r="BU513" s="92"/>
      <c r="BV513" s="92"/>
      <c r="BW513" s="92"/>
      <c r="BX513" s="92"/>
      <c r="BY513" s="92"/>
      <c r="BZ513" s="92"/>
      <c r="CA513" s="92"/>
      <c r="CB513" s="92"/>
      <c r="CC513" s="92"/>
      <c r="CD513" s="92"/>
      <c r="CE513" s="92"/>
      <c r="CF513" s="92"/>
      <c r="CG513" s="92"/>
      <c r="CH513" s="92"/>
      <c r="CI513" s="92"/>
      <c r="CJ513" s="92"/>
      <c r="CK513" s="92"/>
      <c r="CL513" s="92"/>
      <c r="CM513" s="92"/>
      <c r="CN513" s="92"/>
      <c r="CO513" s="92"/>
      <c r="CP513" s="92"/>
      <c r="CQ513" s="92"/>
      <c r="CR513" s="92"/>
      <c r="CS513" s="92"/>
      <c r="CT513" s="92"/>
      <c r="CU513" s="92"/>
      <c r="CV513" s="92"/>
      <c r="CW513" s="92"/>
      <c r="CX513" s="92"/>
      <c r="CY513" s="92"/>
      <c r="CZ513" s="92"/>
      <c r="DA513" s="92"/>
      <c r="DB513" s="92"/>
      <c r="DC513" s="92"/>
      <c r="DD513" s="92"/>
      <c r="DE513" s="92"/>
      <c r="DF513" s="92"/>
      <c r="DG513" s="92"/>
      <c r="DH513" s="92"/>
      <c r="DI513" s="92"/>
      <c r="DJ513" s="92"/>
      <c r="DK513" s="92"/>
      <c r="DL513" s="92"/>
      <c r="DM513" s="92"/>
      <c r="DN513" s="92"/>
      <c r="DO513" s="92"/>
      <c r="DP513" s="92"/>
      <c r="DQ513" s="92"/>
      <c r="DR513" s="92"/>
      <c r="DS513" s="92"/>
      <c r="DT513" s="92"/>
      <c r="DU513" s="92"/>
      <c r="DV513" s="92"/>
      <c r="DW513" s="92"/>
      <c r="DX513" s="92"/>
      <c r="DY513" s="92"/>
      <c r="DZ513" s="92"/>
      <c r="EA513" s="92"/>
      <c r="EB513" s="92"/>
      <c r="EC513" s="92"/>
      <c r="ED513" s="92"/>
      <c r="EE513" s="92"/>
      <c r="EF513" s="92"/>
      <c r="EG513" s="92"/>
      <c r="EH513" s="92"/>
      <c r="EI513" s="92"/>
      <c r="EJ513" s="92"/>
      <c r="EK513" s="92"/>
      <c r="EL513" s="92"/>
      <c r="EM513" s="92"/>
      <c r="EN513" s="92"/>
      <c r="EO513" s="92"/>
      <c r="EP513" s="92"/>
      <c r="EQ513" s="92"/>
      <c r="ER513" s="92"/>
      <c r="ES513" s="92"/>
      <c r="ET513" s="92"/>
      <c r="EU513" s="92"/>
      <c r="EV513" s="92"/>
      <c r="EW513" s="92"/>
      <c r="EX513" s="92"/>
      <c r="EY513" s="92"/>
      <c r="EZ513" s="92"/>
      <c r="FA513" s="92"/>
      <c r="FB513" s="92"/>
      <c r="FC513" s="92"/>
      <c r="FD513" s="92"/>
      <c r="FE513" s="92"/>
      <c r="FF513" s="92"/>
      <c r="FG513" s="92"/>
      <c r="FH513" s="92"/>
    </row>
    <row r="514">
      <c r="A514" s="27" t="s">
        <v>88</v>
      </c>
      <c r="B514" s="27" t="s">
        <v>89</v>
      </c>
      <c r="C514" s="27" t="s">
        <v>15</v>
      </c>
      <c r="D514" s="98">
        <f t="shared" si="1"/>
        <v>4571.596083</v>
      </c>
      <c r="E514" s="92">
        <f>(SUBSTITUTE(Audio!E514, "RE-", "", 1))*1</f>
        <v>0</v>
      </c>
      <c r="F514" s="92">
        <f>(SUBSTITUTE(Audio!F514, "RE-", "", 1))*1</f>
        <v>684.963</v>
      </c>
      <c r="G514" s="92">
        <f>(SUBSTITUTE(Audio!G514, "RE-", "", 1))*1</f>
        <v>3.1079</v>
      </c>
      <c r="H514" s="92">
        <f>(SUBSTITUTE(Audio!H514, "RE-", "", 1))*1</f>
        <v>35.2947</v>
      </c>
      <c r="I514" s="92">
        <f>(SUBSTITUTE(Audio!I514, "RE-", "", 1))*1</f>
        <v>0</v>
      </c>
      <c r="J514" s="92">
        <f>(SUBSTITUTE(Audio!J514, "RE-", "", 1))*1</f>
        <v>340.454</v>
      </c>
      <c r="K514" s="92">
        <f>(SUBSTITUTE(Audio!K514, "RE-", "", 1))*1</f>
        <v>1.05537</v>
      </c>
      <c r="L514" s="92">
        <f>(SUBSTITUTE(Audio!L514, "RE-", "", 1))*1</f>
        <v>327.502</v>
      </c>
      <c r="M514" s="92">
        <f>(SUBSTITUTE(Audio!M514, "RE-", "", 1))*1</f>
        <v>9.03915</v>
      </c>
      <c r="N514" s="92">
        <f>(SUBSTITUTE(Audio!N514, "RE-", "", 1))*1</f>
        <v>666.954</v>
      </c>
      <c r="O514" s="92">
        <f>(SUBSTITUTE(Audio!O514, "RE-", "", 1))*1</f>
        <v>1.62568</v>
      </c>
      <c r="P514" s="92">
        <f>(SUBSTITUTE(Audio!P514, "RE-", "", 1))*1</f>
        <v>1013.66</v>
      </c>
      <c r="Q514" s="92">
        <f>(SUBSTITUTE(Audio!Q514, "RE-", "", 1))*1</f>
        <v>13.9534</v>
      </c>
      <c r="R514" s="92">
        <f>(SUBSTITUTE(Audio!R514, "RE-", "", 1))*1</f>
        <v>495.726</v>
      </c>
      <c r="S514" s="92">
        <f>(SUBSTITUTE(Audio!S514, "RE-", "", 1))*1</f>
        <v>20.9432</v>
      </c>
      <c r="T514" s="92">
        <f>(SUBSTITUTE(Audio!T514, "RE-", "", 1))*1</f>
        <v>921.859</v>
      </c>
      <c r="U514" s="92">
        <f>(SUBSTITUTE(Audio!U514, "RE-", "", 1))*1</f>
        <v>34.6714</v>
      </c>
      <c r="V514" s="92">
        <f>(SUBSTITUTE(Audio!V514, "RE-", "", 1))*1</f>
        <v>0.787283</v>
      </c>
      <c r="W514" s="92">
        <f>(SUBSTITUTE(Audio!W514, "RE-", "", 1))*1</f>
        <v>0</v>
      </c>
      <c r="X514" s="92">
        <f>(SUBSTITUTE(Audio!X514, "RE-", "", 1))*1</f>
        <v>0</v>
      </c>
      <c r="Y514" s="92">
        <f>(SUBSTITUTE(Audio!Y514, "RE-", "", 1))*1</f>
        <v>0</v>
      </c>
      <c r="Z514" s="92">
        <f>(SUBSTITUTE(Audio!Z514, "RE-", "", 1))*1</f>
        <v>0</v>
      </c>
      <c r="AA514" s="92"/>
      <c r="AB514" s="92"/>
      <c r="AC514" s="92"/>
      <c r="AD514" s="92"/>
      <c r="AE514" s="92"/>
      <c r="AF514" s="92"/>
      <c r="AG514" s="92"/>
      <c r="AH514" s="92"/>
      <c r="AI514" s="92"/>
      <c r="AJ514" s="92"/>
      <c r="AK514" s="92"/>
      <c r="AL514" s="92"/>
      <c r="AM514" s="92"/>
      <c r="AN514" s="92"/>
      <c r="AO514" s="92"/>
      <c r="AP514" s="92"/>
      <c r="AQ514" s="92"/>
      <c r="AR514" s="92"/>
      <c r="AS514" s="92"/>
      <c r="AT514" s="92"/>
      <c r="AU514" s="92"/>
      <c r="AV514" s="92"/>
      <c r="AW514" s="92"/>
      <c r="AX514" s="92"/>
      <c r="AY514" s="92"/>
      <c r="AZ514" s="92"/>
      <c r="BA514" s="92"/>
      <c r="BB514" s="92"/>
      <c r="BC514" s="92"/>
      <c r="BD514" s="92"/>
      <c r="BE514" s="92"/>
      <c r="BF514" s="92"/>
      <c r="BG514" s="92"/>
      <c r="BH514" s="92"/>
      <c r="BI514" s="92"/>
      <c r="BJ514" s="92"/>
      <c r="BK514" s="92"/>
      <c r="BL514" s="92"/>
      <c r="BM514" s="92"/>
      <c r="BN514" s="92"/>
      <c r="BO514" s="92"/>
      <c r="BP514" s="92"/>
      <c r="BQ514" s="92"/>
      <c r="BR514" s="92"/>
      <c r="BS514" s="92"/>
      <c r="BT514" s="92"/>
      <c r="BU514" s="92"/>
      <c r="BV514" s="92"/>
      <c r="BW514" s="92"/>
      <c r="BX514" s="92"/>
      <c r="BY514" s="92"/>
      <c r="BZ514" s="92"/>
      <c r="CA514" s="92"/>
      <c r="CB514" s="92"/>
      <c r="CC514" s="92"/>
      <c r="CD514" s="92"/>
      <c r="CE514" s="92"/>
      <c r="CF514" s="92"/>
      <c r="CG514" s="92"/>
      <c r="CH514" s="92"/>
      <c r="CI514" s="92"/>
      <c r="CJ514" s="92"/>
      <c r="CK514" s="92"/>
      <c r="CL514" s="92"/>
      <c r="CM514" s="92"/>
      <c r="CN514" s="92"/>
      <c r="CO514" s="92"/>
      <c r="CP514" s="92"/>
      <c r="CQ514" s="92"/>
      <c r="CR514" s="92"/>
      <c r="CS514" s="92"/>
      <c r="CT514" s="92"/>
      <c r="CU514" s="92"/>
      <c r="CV514" s="92"/>
      <c r="CW514" s="92"/>
      <c r="CX514" s="92"/>
      <c r="CY514" s="92"/>
      <c r="CZ514" s="92"/>
      <c r="DA514" s="92"/>
      <c r="DB514" s="92"/>
      <c r="DC514" s="92"/>
      <c r="DD514" s="92"/>
      <c r="DE514" s="92"/>
      <c r="DF514" s="92"/>
      <c r="DG514" s="92"/>
      <c r="DH514" s="92"/>
      <c r="DI514" s="92"/>
      <c r="DJ514" s="92"/>
      <c r="DK514" s="92"/>
      <c r="DL514" s="92"/>
      <c r="DM514" s="92"/>
      <c r="DN514" s="92"/>
      <c r="DO514" s="92"/>
      <c r="DP514" s="92"/>
      <c r="DQ514" s="92"/>
      <c r="DR514" s="92"/>
      <c r="DS514" s="92"/>
      <c r="DT514" s="92"/>
      <c r="DU514" s="92"/>
      <c r="DV514" s="92"/>
      <c r="DW514" s="92"/>
      <c r="DX514" s="92"/>
      <c r="DY514" s="92"/>
      <c r="DZ514" s="92"/>
      <c r="EA514" s="92"/>
      <c r="EB514" s="92"/>
      <c r="EC514" s="92"/>
      <c r="ED514" s="92"/>
      <c r="EE514" s="92"/>
      <c r="EF514" s="92"/>
      <c r="EG514" s="92"/>
      <c r="EH514" s="92"/>
      <c r="EI514" s="92"/>
      <c r="EJ514" s="92"/>
      <c r="EK514" s="92"/>
      <c r="EL514" s="92"/>
      <c r="EM514" s="92"/>
      <c r="EN514" s="92"/>
      <c r="EO514" s="92"/>
      <c r="EP514" s="92"/>
      <c r="EQ514" s="92"/>
      <c r="ER514" s="92"/>
      <c r="ES514" s="92"/>
      <c r="ET514" s="92"/>
      <c r="EU514" s="92"/>
      <c r="EV514" s="92"/>
      <c r="EW514" s="92"/>
      <c r="EX514" s="92"/>
      <c r="EY514" s="92"/>
      <c r="EZ514" s="92"/>
      <c r="FA514" s="92"/>
      <c r="FB514" s="92"/>
      <c r="FC514" s="92"/>
      <c r="FD514" s="92"/>
      <c r="FE514" s="92"/>
      <c r="FF514" s="92"/>
      <c r="FG514" s="92"/>
      <c r="FH514" s="92"/>
    </row>
    <row r="515">
      <c r="A515" s="30" t="s">
        <v>88</v>
      </c>
      <c r="B515" s="30" t="s">
        <v>90</v>
      </c>
      <c r="C515" s="31" t="str">
        <f>HYPERLINK("https://docs.google.com/spreadsheets/d/1dB9GPIF1i9biFddaoupCDAv4-b0V2K-p/edit?usp=share_link&amp;ouid=106501987799020758802&amp;rtpof=true&amp;sd=true", "Raw Delivered")</f>
        <v>Raw Delivered</v>
      </c>
      <c r="D515" s="96">
        <f t="shared" si="1"/>
        <v>5946.98302</v>
      </c>
      <c r="E515" s="92">
        <f>(SUBSTITUTE(Audio!E515, "RE-", "", 1))*1</f>
        <v>0</v>
      </c>
      <c r="F515" s="92">
        <f>(SUBSTITUTE(Audio!F515, "RE-", "", 1))*1</f>
        <v>902.4775437</v>
      </c>
      <c r="G515" s="92">
        <f>(SUBSTITUTE(Audio!G515, "RE-", "", 1))*1</f>
        <v>0</v>
      </c>
      <c r="H515" s="92">
        <f>(SUBSTITUTE(Audio!H515, "RE-", "", 1))*1</f>
        <v>15.82552083</v>
      </c>
      <c r="I515" s="92">
        <f>(SUBSTITUTE(Audio!I515, "RE-", "", 1))*1</f>
        <v>0</v>
      </c>
      <c r="J515" s="92">
        <f>(SUBSTITUTE(Audio!J515, "RE-", "", 1))*1</f>
        <v>294.2408667</v>
      </c>
      <c r="K515" s="92">
        <f>(SUBSTITUTE(Audio!K515, "RE-", "", 1))*1</f>
        <v>0</v>
      </c>
      <c r="L515" s="92">
        <f>(SUBSTITUTE(Audio!L515, "RE-", "", 1))*1</f>
        <v>347.8420375</v>
      </c>
      <c r="M515" s="92">
        <f>(SUBSTITUTE(Audio!M515, "RE-", "", 1))*1</f>
        <v>0</v>
      </c>
      <c r="N515" s="92">
        <f>(SUBSTITUTE(Audio!N515, "RE-", "", 1))*1</f>
        <v>1520.517137</v>
      </c>
      <c r="O515" s="92">
        <f>(SUBSTITUTE(Audio!O515, "RE-", "", 1))*1</f>
        <v>0</v>
      </c>
      <c r="P515" s="92">
        <f>(SUBSTITUTE(Audio!P515, "RE-", "", 1))*1</f>
        <v>986.0957646</v>
      </c>
      <c r="Q515" s="92">
        <f>(SUBSTITUTE(Audio!Q515, "RE-", "", 1))*1</f>
        <v>0</v>
      </c>
      <c r="R515" s="92">
        <f>(SUBSTITUTE(Audio!R515, "RE-", "", 1))*1</f>
        <v>747.9415552</v>
      </c>
      <c r="S515" s="92">
        <f>(SUBSTITUTE(Audio!S515, "RE-", "", 1))*1</f>
        <v>0</v>
      </c>
      <c r="T515" s="92">
        <f>(SUBSTITUTE(Audio!T515, "RE-", "", 1))*1</f>
        <v>1132.042594</v>
      </c>
      <c r="U515" s="92">
        <f>(SUBSTITUTE(Audio!U515, "RE-", "", 1))*1</f>
        <v>0</v>
      </c>
      <c r="V515" s="92">
        <f>(SUBSTITUTE(Audio!V515, "RE-", "", 1))*1</f>
        <v>0</v>
      </c>
      <c r="W515" s="92">
        <f>(SUBSTITUTE(Audio!W515, "RE-", "", 1))*1</f>
        <v>0</v>
      </c>
      <c r="X515" s="92">
        <f>(SUBSTITUTE(Audio!X515, "RE-", "", 1))*1</f>
        <v>0</v>
      </c>
      <c r="Y515" s="92">
        <f>(SUBSTITUTE(Audio!Y515, "RE-", "", 1))*1</f>
        <v>0</v>
      </c>
      <c r="Z515" s="92">
        <f>(SUBSTITUTE(Audio!Z515, "RE-", "", 1))*1</f>
        <v>0</v>
      </c>
      <c r="AA515" s="92"/>
      <c r="AB515" s="92"/>
      <c r="AC515" s="92"/>
      <c r="AD515" s="92"/>
      <c r="AE515" s="92"/>
      <c r="AF515" s="92"/>
      <c r="AG515" s="92"/>
      <c r="AH515" s="92"/>
      <c r="AI515" s="92"/>
      <c r="AJ515" s="92"/>
      <c r="AK515" s="92"/>
      <c r="AL515" s="92"/>
      <c r="AM515" s="92"/>
      <c r="AN515" s="92"/>
      <c r="AO515" s="92"/>
      <c r="AP515" s="92"/>
      <c r="AQ515" s="92"/>
      <c r="AR515" s="92"/>
      <c r="AS515" s="92"/>
      <c r="AT515" s="92"/>
      <c r="AU515" s="92"/>
      <c r="AV515" s="92"/>
      <c r="AW515" s="92"/>
      <c r="AX515" s="92"/>
      <c r="AY515" s="92"/>
      <c r="AZ515" s="92"/>
      <c r="BA515" s="92"/>
      <c r="BB515" s="92"/>
      <c r="BC515" s="92"/>
      <c r="BD515" s="92"/>
      <c r="BE515" s="92"/>
      <c r="BF515" s="92"/>
      <c r="BG515" s="92"/>
      <c r="BH515" s="92"/>
      <c r="BI515" s="92"/>
      <c r="BJ515" s="92"/>
      <c r="BK515" s="92"/>
      <c r="BL515" s="92"/>
      <c r="BM515" s="92"/>
      <c r="BN515" s="92"/>
      <c r="BO515" s="92"/>
      <c r="BP515" s="92"/>
      <c r="BQ515" s="92"/>
      <c r="BR515" s="92"/>
      <c r="BS515" s="92"/>
      <c r="BT515" s="92"/>
      <c r="BU515" s="92"/>
      <c r="BV515" s="92"/>
      <c r="BW515" s="92"/>
      <c r="BX515" s="92"/>
      <c r="BY515" s="92"/>
      <c r="BZ515" s="92"/>
      <c r="CA515" s="92"/>
      <c r="CB515" s="92"/>
      <c r="CC515" s="92"/>
      <c r="CD515" s="92"/>
      <c r="CE515" s="92"/>
      <c r="CF515" s="92"/>
      <c r="CG515" s="92"/>
      <c r="CH515" s="92"/>
      <c r="CI515" s="92"/>
      <c r="CJ515" s="92"/>
      <c r="CK515" s="92"/>
      <c r="CL515" s="92"/>
      <c r="CM515" s="92"/>
      <c r="CN515" s="92"/>
      <c r="CO515" s="92"/>
      <c r="CP515" s="92"/>
      <c r="CQ515" s="92"/>
      <c r="CR515" s="92"/>
      <c r="CS515" s="92"/>
      <c r="CT515" s="92"/>
      <c r="CU515" s="92"/>
      <c r="CV515" s="92"/>
      <c r="CW515" s="92"/>
      <c r="CX515" s="92"/>
      <c r="CY515" s="92"/>
      <c r="CZ515" s="92"/>
      <c r="DA515" s="92"/>
      <c r="DB515" s="92"/>
      <c r="DC515" s="92"/>
      <c r="DD515" s="92"/>
      <c r="DE515" s="92"/>
      <c r="DF515" s="92"/>
      <c r="DG515" s="92"/>
      <c r="DH515" s="92"/>
      <c r="DI515" s="92"/>
      <c r="DJ515" s="92"/>
      <c r="DK515" s="92"/>
      <c r="DL515" s="92"/>
      <c r="DM515" s="92"/>
      <c r="DN515" s="92"/>
      <c r="DO515" s="92"/>
      <c r="DP515" s="92"/>
      <c r="DQ515" s="92"/>
      <c r="DR515" s="92"/>
      <c r="DS515" s="92"/>
      <c r="DT515" s="92"/>
      <c r="DU515" s="92"/>
      <c r="DV515" s="92"/>
      <c r="DW515" s="92"/>
      <c r="DX515" s="92"/>
      <c r="DY515" s="92"/>
      <c r="DZ515" s="92"/>
      <c r="EA515" s="92"/>
      <c r="EB515" s="92"/>
      <c r="EC515" s="92"/>
      <c r="ED515" s="92"/>
      <c r="EE515" s="92"/>
      <c r="EF515" s="92"/>
      <c r="EG515" s="92"/>
      <c r="EH515" s="92"/>
      <c r="EI515" s="92"/>
      <c r="EJ515" s="92"/>
      <c r="EK515" s="92"/>
      <c r="EL515" s="92"/>
      <c r="EM515" s="92"/>
      <c r="EN515" s="92"/>
      <c r="EO515" s="92"/>
      <c r="EP515" s="92"/>
      <c r="EQ515" s="92"/>
      <c r="ER515" s="92"/>
      <c r="ES515" s="92"/>
      <c r="ET515" s="92"/>
      <c r="EU515" s="92"/>
      <c r="EV515" s="92"/>
      <c r="EW515" s="92"/>
      <c r="EX515" s="92"/>
      <c r="EY515" s="92"/>
      <c r="EZ515" s="92"/>
      <c r="FA515" s="92"/>
      <c r="FB515" s="92"/>
      <c r="FC515" s="92"/>
      <c r="FD515" s="92"/>
      <c r="FE515" s="92"/>
      <c r="FF515" s="92"/>
      <c r="FG515" s="92"/>
      <c r="FH515" s="92"/>
    </row>
    <row r="516">
      <c r="A516" s="32" t="s">
        <v>88</v>
      </c>
      <c r="B516" s="32" t="s">
        <v>90</v>
      </c>
      <c r="C516" s="32" t="s">
        <v>9</v>
      </c>
      <c r="D516" s="97">
        <f t="shared" si="1"/>
        <v>5946.98302</v>
      </c>
      <c r="E516" s="92">
        <f>(SUBSTITUTE(Audio!E516, "RE-", "", 1))*1</f>
        <v>0</v>
      </c>
      <c r="F516" s="92">
        <f>(SUBSTITUTE(Audio!F516, "RE-", "", 1))*1</f>
        <v>902.4775437</v>
      </c>
      <c r="G516" s="92">
        <f>(SUBSTITUTE(Audio!G516, "RE-", "", 1))*1</f>
        <v>0</v>
      </c>
      <c r="H516" s="92">
        <f>(SUBSTITUTE(Audio!H516, "RE-", "", 1))*1</f>
        <v>15.82552083</v>
      </c>
      <c r="I516" s="92">
        <f>(SUBSTITUTE(Audio!I516, "RE-", "", 1))*1</f>
        <v>0</v>
      </c>
      <c r="J516" s="92">
        <f>(SUBSTITUTE(Audio!J516, "RE-", "", 1))*1</f>
        <v>294.2408667</v>
      </c>
      <c r="K516" s="92">
        <f>(SUBSTITUTE(Audio!K516, "RE-", "", 1))*1</f>
        <v>0</v>
      </c>
      <c r="L516" s="92">
        <f>(SUBSTITUTE(Audio!L516, "RE-", "", 1))*1</f>
        <v>347.8420375</v>
      </c>
      <c r="M516" s="92">
        <f>(SUBSTITUTE(Audio!M516, "RE-", "", 1))*1</f>
        <v>0</v>
      </c>
      <c r="N516" s="92">
        <f>(SUBSTITUTE(Audio!N516, "RE-", "", 1))*1</f>
        <v>1520.517137</v>
      </c>
      <c r="O516" s="92">
        <f>(SUBSTITUTE(Audio!O516, "RE-", "", 1))*1</f>
        <v>0</v>
      </c>
      <c r="P516" s="92">
        <f>(SUBSTITUTE(Audio!P516, "RE-", "", 1))*1</f>
        <v>986.0957646</v>
      </c>
      <c r="Q516" s="92">
        <f>(SUBSTITUTE(Audio!Q516, "RE-", "", 1))*1</f>
        <v>0</v>
      </c>
      <c r="R516" s="92">
        <f>(SUBSTITUTE(Audio!R516, "RE-", "", 1))*1</f>
        <v>747.9415552</v>
      </c>
      <c r="S516" s="92">
        <f>(SUBSTITUTE(Audio!S516, "RE-", "", 1))*1</f>
        <v>0</v>
      </c>
      <c r="T516" s="92">
        <f>(SUBSTITUTE(Audio!T516, "RE-", "", 1))*1</f>
        <v>1132.042594</v>
      </c>
      <c r="U516" s="92">
        <f>(SUBSTITUTE(Audio!U516, "RE-", "", 1))*1</f>
        <v>0</v>
      </c>
      <c r="V516" s="92">
        <f>(SUBSTITUTE(Audio!V516, "RE-", "", 1))*1</f>
        <v>0</v>
      </c>
      <c r="W516" s="92">
        <f>(SUBSTITUTE(Audio!W516, "RE-", "", 1))*1</f>
        <v>0</v>
      </c>
      <c r="X516" s="92">
        <f>(SUBSTITUTE(Audio!X516, "RE-", "", 1))*1</f>
        <v>0</v>
      </c>
      <c r="Y516" s="92">
        <f>(SUBSTITUTE(Audio!Y516, "RE-", "", 1))*1</f>
        <v>0</v>
      </c>
      <c r="Z516" s="92">
        <f>(SUBSTITUTE(Audio!Z516, "RE-", "", 1))*1</f>
        <v>0</v>
      </c>
      <c r="AA516" s="92"/>
      <c r="AB516" s="92"/>
      <c r="AC516" s="92"/>
      <c r="AD516" s="92"/>
      <c r="AE516" s="92"/>
      <c r="AF516" s="92"/>
      <c r="AG516" s="92"/>
      <c r="AH516" s="92"/>
      <c r="AI516" s="92"/>
      <c r="AJ516" s="92"/>
      <c r="AK516" s="92"/>
      <c r="AL516" s="92"/>
      <c r="AM516" s="92"/>
      <c r="AN516" s="92"/>
      <c r="AO516" s="92"/>
      <c r="AP516" s="92"/>
      <c r="AQ516" s="92"/>
      <c r="AR516" s="92"/>
      <c r="AS516" s="92"/>
      <c r="AT516" s="92"/>
      <c r="AU516" s="92"/>
      <c r="AV516" s="92"/>
      <c r="AW516" s="92"/>
      <c r="AX516" s="92"/>
      <c r="AY516" s="92"/>
      <c r="AZ516" s="92"/>
      <c r="BA516" s="92"/>
      <c r="BB516" s="92"/>
      <c r="BC516" s="92"/>
      <c r="BD516" s="92"/>
      <c r="BE516" s="92"/>
      <c r="BF516" s="92"/>
      <c r="BG516" s="92"/>
      <c r="BH516" s="92"/>
      <c r="BI516" s="92"/>
      <c r="BJ516" s="92"/>
      <c r="BK516" s="92"/>
      <c r="BL516" s="92"/>
      <c r="BM516" s="92"/>
      <c r="BN516" s="92"/>
      <c r="BO516" s="92"/>
      <c r="BP516" s="92"/>
      <c r="BQ516" s="92"/>
      <c r="BR516" s="92"/>
      <c r="BS516" s="92"/>
      <c r="BT516" s="92"/>
      <c r="BU516" s="92"/>
      <c r="BV516" s="92"/>
      <c r="BW516" s="92"/>
      <c r="BX516" s="92"/>
      <c r="BY516" s="92"/>
      <c r="BZ516" s="92"/>
      <c r="CA516" s="92"/>
      <c r="CB516" s="92"/>
      <c r="CC516" s="92"/>
      <c r="CD516" s="92"/>
      <c r="CE516" s="92"/>
      <c r="CF516" s="92"/>
      <c r="CG516" s="92"/>
      <c r="CH516" s="92"/>
      <c r="CI516" s="92"/>
      <c r="CJ516" s="92"/>
      <c r="CK516" s="92"/>
      <c r="CL516" s="92"/>
      <c r="CM516" s="92"/>
      <c r="CN516" s="92"/>
      <c r="CO516" s="92"/>
      <c r="CP516" s="92"/>
      <c r="CQ516" s="92"/>
      <c r="CR516" s="92"/>
      <c r="CS516" s="92"/>
      <c r="CT516" s="92"/>
      <c r="CU516" s="92"/>
      <c r="CV516" s="92"/>
      <c r="CW516" s="92"/>
      <c r="CX516" s="92"/>
      <c r="CY516" s="92"/>
      <c r="CZ516" s="92"/>
      <c r="DA516" s="92"/>
      <c r="DB516" s="92"/>
      <c r="DC516" s="92"/>
      <c r="DD516" s="92"/>
      <c r="DE516" s="92"/>
      <c r="DF516" s="92"/>
      <c r="DG516" s="92"/>
      <c r="DH516" s="92"/>
      <c r="DI516" s="92"/>
      <c r="DJ516" s="92"/>
      <c r="DK516" s="92"/>
      <c r="DL516" s="92"/>
      <c r="DM516" s="92"/>
      <c r="DN516" s="92"/>
      <c r="DO516" s="92"/>
      <c r="DP516" s="92"/>
      <c r="DQ516" s="92"/>
      <c r="DR516" s="92"/>
      <c r="DS516" s="92"/>
      <c r="DT516" s="92"/>
      <c r="DU516" s="92"/>
      <c r="DV516" s="92"/>
      <c r="DW516" s="92"/>
      <c r="DX516" s="92"/>
      <c r="DY516" s="92"/>
      <c r="DZ516" s="92"/>
      <c r="EA516" s="92"/>
      <c r="EB516" s="92"/>
      <c r="EC516" s="92"/>
      <c r="ED516" s="92"/>
      <c r="EE516" s="92"/>
      <c r="EF516" s="92"/>
      <c r="EG516" s="92"/>
      <c r="EH516" s="92"/>
      <c r="EI516" s="92"/>
      <c r="EJ516" s="92"/>
      <c r="EK516" s="92"/>
      <c r="EL516" s="92"/>
      <c r="EM516" s="92"/>
      <c r="EN516" s="92"/>
      <c r="EO516" s="92"/>
      <c r="EP516" s="92"/>
      <c r="EQ516" s="92"/>
      <c r="ER516" s="92"/>
      <c r="ES516" s="92"/>
      <c r="ET516" s="92"/>
      <c r="EU516" s="92"/>
      <c r="EV516" s="92"/>
      <c r="EW516" s="92"/>
      <c r="EX516" s="92"/>
      <c r="EY516" s="92"/>
      <c r="EZ516" s="92"/>
      <c r="FA516" s="92"/>
      <c r="FB516" s="92"/>
      <c r="FC516" s="92"/>
      <c r="FD516" s="92"/>
      <c r="FE516" s="92"/>
      <c r="FF516" s="92"/>
      <c r="FG516" s="92"/>
      <c r="FH516" s="92"/>
    </row>
    <row r="517">
      <c r="A517" s="32" t="s">
        <v>88</v>
      </c>
      <c r="B517" s="32" t="s">
        <v>90</v>
      </c>
      <c r="C517" s="32" t="s">
        <v>10</v>
      </c>
      <c r="D517" s="97">
        <f t="shared" si="1"/>
        <v>613.3368688</v>
      </c>
      <c r="E517" s="92">
        <f>(SUBSTITUTE(Audio!E517, "RE-", "", 1))*1</f>
        <v>0</v>
      </c>
      <c r="F517" s="92">
        <f>(SUBSTITUTE(Audio!F517, "RE-", "", 1))*1</f>
        <v>0</v>
      </c>
      <c r="G517" s="92">
        <f>(SUBSTITUTE(Audio!G517, "RE-", "", 1))*1</f>
        <v>108.9489813</v>
      </c>
      <c r="H517" s="92">
        <f>(SUBSTITUTE(Audio!H517, "RE-", "", 1))*1</f>
        <v>0</v>
      </c>
      <c r="I517" s="92">
        <f>(SUBSTITUTE(Audio!I517, "RE-", "", 1))*1</f>
        <v>6.91660625</v>
      </c>
      <c r="J517" s="92">
        <f>(SUBSTITUTE(Audio!J517, "RE-", "", 1))*1</f>
        <v>0</v>
      </c>
      <c r="K517" s="92">
        <f>(SUBSTITUTE(Audio!K517, "RE-", "", 1))*1</f>
        <v>26.82852083</v>
      </c>
      <c r="L517" s="92">
        <f>(SUBSTITUTE(Audio!L517, "RE-", "", 1))*1</f>
        <v>0</v>
      </c>
      <c r="M517" s="92">
        <f>(SUBSTITUTE(Audio!M517, "RE-", "", 1))*1</f>
        <v>9.670708333</v>
      </c>
      <c r="N517" s="92">
        <f>(SUBSTITUTE(Audio!N517, "RE-", "", 1))*1</f>
        <v>0</v>
      </c>
      <c r="O517" s="92">
        <f>(SUBSTITUTE(Audio!O517, "RE-", "", 1))*1</f>
        <v>189.5890229</v>
      </c>
      <c r="P517" s="92">
        <f>(SUBSTITUTE(Audio!P517, "RE-", "", 1))*1</f>
        <v>0</v>
      </c>
      <c r="Q517" s="92">
        <f>(SUBSTITUTE(Audio!Q517, "RE-", "", 1))*1</f>
        <v>72.87640729</v>
      </c>
      <c r="R517" s="92">
        <f>(SUBSTITUTE(Audio!R517, "RE-", "", 1))*1</f>
        <v>0</v>
      </c>
      <c r="S517" s="92">
        <f>(SUBSTITUTE(Audio!S517, "RE-", "", 1))*1</f>
        <v>77.18527396</v>
      </c>
      <c r="T517" s="92">
        <f>(SUBSTITUTE(Audio!T517, "RE-", "", 1))*1</f>
        <v>0</v>
      </c>
      <c r="U517" s="92">
        <f>(SUBSTITUTE(Audio!U517, "RE-", "", 1))*1</f>
        <v>116.5972292</v>
      </c>
      <c r="V517" s="92">
        <f>(SUBSTITUTE(Audio!V517, "RE-", "", 1))*1</f>
        <v>4.72411875</v>
      </c>
      <c r="W517" s="92">
        <f>(SUBSTITUTE(Audio!W517, "RE-", "", 1))*1</f>
        <v>0</v>
      </c>
      <c r="X517" s="92">
        <f>(SUBSTITUTE(Audio!X517, "RE-", "", 1))*1</f>
        <v>0</v>
      </c>
      <c r="Y517" s="92">
        <f>(SUBSTITUTE(Audio!Y517, "RE-", "", 1))*1</f>
        <v>0</v>
      </c>
      <c r="Z517" s="92">
        <f>(SUBSTITUTE(Audio!Z517, "RE-", "", 1))*1</f>
        <v>0</v>
      </c>
      <c r="AA517" s="92"/>
      <c r="AB517" s="92"/>
      <c r="AC517" s="92"/>
      <c r="AD517" s="92"/>
      <c r="AE517" s="92"/>
      <c r="AF517" s="92"/>
      <c r="AG517" s="92"/>
      <c r="AH517" s="92"/>
      <c r="AI517" s="92"/>
      <c r="AJ517" s="92"/>
      <c r="AK517" s="92"/>
      <c r="AL517" s="92"/>
      <c r="AM517" s="92"/>
      <c r="AN517" s="92"/>
      <c r="AO517" s="92"/>
      <c r="AP517" s="92"/>
      <c r="AQ517" s="92"/>
      <c r="AR517" s="92"/>
      <c r="AS517" s="92"/>
      <c r="AT517" s="92"/>
      <c r="AU517" s="92"/>
      <c r="AV517" s="92"/>
      <c r="AW517" s="92"/>
      <c r="AX517" s="92"/>
      <c r="AY517" s="92"/>
      <c r="AZ517" s="92"/>
      <c r="BA517" s="92"/>
      <c r="BB517" s="92"/>
      <c r="BC517" s="92"/>
      <c r="BD517" s="92"/>
      <c r="BE517" s="92"/>
      <c r="BF517" s="92"/>
      <c r="BG517" s="92"/>
      <c r="BH517" s="92"/>
      <c r="BI517" s="92"/>
      <c r="BJ517" s="92"/>
      <c r="BK517" s="92"/>
      <c r="BL517" s="92"/>
      <c r="BM517" s="92"/>
      <c r="BN517" s="92"/>
      <c r="BO517" s="92"/>
      <c r="BP517" s="92"/>
      <c r="BQ517" s="92"/>
      <c r="BR517" s="92"/>
      <c r="BS517" s="92"/>
      <c r="BT517" s="92"/>
      <c r="BU517" s="92"/>
      <c r="BV517" s="92"/>
      <c r="BW517" s="92"/>
      <c r="BX517" s="92"/>
      <c r="BY517" s="92"/>
      <c r="BZ517" s="92"/>
      <c r="CA517" s="92"/>
      <c r="CB517" s="92"/>
      <c r="CC517" s="92"/>
      <c r="CD517" s="92"/>
      <c r="CE517" s="92"/>
      <c r="CF517" s="92"/>
      <c r="CG517" s="92"/>
      <c r="CH517" s="92"/>
      <c r="CI517" s="92"/>
      <c r="CJ517" s="92"/>
      <c r="CK517" s="92"/>
      <c r="CL517" s="92"/>
      <c r="CM517" s="92"/>
      <c r="CN517" s="92"/>
      <c r="CO517" s="92"/>
      <c r="CP517" s="92"/>
      <c r="CQ517" s="92"/>
      <c r="CR517" s="92"/>
      <c r="CS517" s="92"/>
      <c r="CT517" s="92"/>
      <c r="CU517" s="92"/>
      <c r="CV517" s="92"/>
      <c r="CW517" s="92"/>
      <c r="CX517" s="92"/>
      <c r="CY517" s="92"/>
      <c r="CZ517" s="92"/>
      <c r="DA517" s="92"/>
      <c r="DB517" s="92"/>
      <c r="DC517" s="92"/>
      <c r="DD517" s="92"/>
      <c r="DE517" s="92"/>
      <c r="DF517" s="92"/>
      <c r="DG517" s="92"/>
      <c r="DH517" s="92"/>
      <c r="DI517" s="92"/>
      <c r="DJ517" s="92"/>
      <c r="DK517" s="92"/>
      <c r="DL517" s="92"/>
      <c r="DM517" s="92"/>
      <c r="DN517" s="92"/>
      <c r="DO517" s="92"/>
      <c r="DP517" s="92"/>
      <c r="DQ517" s="92"/>
      <c r="DR517" s="92"/>
      <c r="DS517" s="92"/>
      <c r="DT517" s="92"/>
      <c r="DU517" s="92"/>
      <c r="DV517" s="92"/>
      <c r="DW517" s="92"/>
      <c r="DX517" s="92"/>
      <c r="DY517" s="92"/>
      <c r="DZ517" s="92"/>
      <c r="EA517" s="92"/>
      <c r="EB517" s="92"/>
      <c r="EC517" s="92"/>
      <c r="ED517" s="92"/>
      <c r="EE517" s="92"/>
      <c r="EF517" s="92"/>
      <c r="EG517" s="92"/>
      <c r="EH517" s="92"/>
      <c r="EI517" s="92"/>
      <c r="EJ517" s="92"/>
      <c r="EK517" s="92"/>
      <c r="EL517" s="92"/>
      <c r="EM517" s="92"/>
      <c r="EN517" s="92"/>
      <c r="EO517" s="92"/>
      <c r="EP517" s="92"/>
      <c r="EQ517" s="92"/>
      <c r="ER517" s="92"/>
      <c r="ES517" s="92"/>
      <c r="ET517" s="92"/>
      <c r="EU517" s="92"/>
      <c r="EV517" s="92"/>
      <c r="EW517" s="92"/>
      <c r="EX517" s="92"/>
      <c r="EY517" s="92"/>
      <c r="EZ517" s="92"/>
      <c r="FA517" s="92"/>
      <c r="FB517" s="92"/>
      <c r="FC517" s="92"/>
      <c r="FD517" s="92"/>
      <c r="FE517" s="92"/>
      <c r="FF517" s="92"/>
      <c r="FG517" s="92"/>
      <c r="FH517" s="92"/>
    </row>
    <row r="518">
      <c r="A518" s="32" t="s">
        <v>88</v>
      </c>
      <c r="B518" s="32" t="s">
        <v>90</v>
      </c>
      <c r="C518" s="32" t="s">
        <v>11</v>
      </c>
      <c r="D518" s="97">
        <f t="shared" si="1"/>
        <v>613.3368687</v>
      </c>
      <c r="E518" s="92">
        <f>(SUBSTITUTE(Audio!E518, "RE-", "", 1))*1</f>
        <v>0</v>
      </c>
      <c r="F518" s="92">
        <f>(SUBSTITUTE(Audio!F518, "RE-", "", 1))*1</f>
        <v>0</v>
      </c>
      <c r="G518" s="92">
        <f>(SUBSTITUTE(Audio!G518, "RE-", "", 1))*1</f>
        <v>108.9489813</v>
      </c>
      <c r="H518" s="92">
        <f>(SUBSTITUTE(Audio!H518, "RE-", "", 1))*1</f>
        <v>0</v>
      </c>
      <c r="I518" s="92">
        <f>(SUBSTITUTE(Audio!I518, "RE-", "", 1))*1</f>
        <v>6.91660625</v>
      </c>
      <c r="J518" s="92">
        <f>(SUBSTITUTE(Audio!J518, "RE-", "", 1))*1</f>
        <v>0</v>
      </c>
      <c r="K518" s="92">
        <f>(SUBSTITUTE(Audio!K518, "RE-", "", 1))*1</f>
        <v>26.82852083</v>
      </c>
      <c r="L518" s="92">
        <f>(SUBSTITUTE(Audio!L518, "RE-", "", 1))*1</f>
        <v>0</v>
      </c>
      <c r="M518" s="92">
        <f>(SUBSTITUTE(Audio!M518, "RE-", "", 1))*1</f>
        <v>9.670708333</v>
      </c>
      <c r="N518" s="92">
        <f>(SUBSTITUTE(Audio!N518, "RE-", "", 1))*1</f>
        <v>0</v>
      </c>
      <c r="O518" s="92">
        <f>(SUBSTITUTE(Audio!O518, "RE-", "", 1))*1</f>
        <v>189.5890229</v>
      </c>
      <c r="P518" s="92">
        <f>(SUBSTITUTE(Audio!P518, "RE-", "", 1))*1</f>
        <v>0</v>
      </c>
      <c r="Q518" s="92">
        <f>(SUBSTITUTE(Audio!Q518, "RE-", "", 1))*1</f>
        <v>72.87640729</v>
      </c>
      <c r="R518" s="92">
        <f>(SUBSTITUTE(Audio!R518, "RE-", "", 1))*1</f>
        <v>0</v>
      </c>
      <c r="S518" s="92">
        <f>(SUBSTITUTE(Audio!S518, "RE-", "", 1))*1</f>
        <v>77.18527396</v>
      </c>
      <c r="T518" s="92">
        <f>(SUBSTITUTE(Audio!T518, "RE-", "", 1))*1</f>
        <v>0</v>
      </c>
      <c r="U518" s="92">
        <f>(SUBSTITUTE(Audio!U518, "RE-", "", 1))*1</f>
        <v>116.5972292</v>
      </c>
      <c r="V518" s="92">
        <f>(SUBSTITUTE(Audio!V518, "RE-", "", 1))*1</f>
        <v>4.72411875</v>
      </c>
      <c r="W518" s="92">
        <f>(SUBSTITUTE(Audio!W518, "RE-", "", 1))*1</f>
        <v>0</v>
      </c>
      <c r="X518" s="92">
        <f>(SUBSTITUTE(Audio!X518, "RE-", "", 1))*1</f>
        <v>0</v>
      </c>
      <c r="Y518" s="92">
        <f>(SUBSTITUTE(Audio!Y518, "RE-", "", 1))*1</f>
        <v>0</v>
      </c>
      <c r="Z518" s="92">
        <f>(SUBSTITUTE(Audio!Z518, "RE-", "", 1))*1</f>
        <v>0</v>
      </c>
      <c r="AA518" s="92"/>
      <c r="AB518" s="92"/>
      <c r="AC518" s="92"/>
      <c r="AD518" s="92"/>
      <c r="AE518" s="92"/>
      <c r="AF518" s="92"/>
      <c r="AG518" s="92"/>
      <c r="AH518" s="92"/>
      <c r="AI518" s="92"/>
      <c r="AJ518" s="92"/>
      <c r="AK518" s="92"/>
      <c r="AL518" s="92"/>
      <c r="AM518" s="92"/>
      <c r="AN518" s="92"/>
      <c r="AO518" s="92"/>
      <c r="AP518" s="92"/>
      <c r="AQ518" s="92"/>
      <c r="AR518" s="92"/>
      <c r="AS518" s="92"/>
      <c r="AT518" s="92"/>
      <c r="AU518" s="92"/>
      <c r="AV518" s="92"/>
      <c r="AW518" s="92"/>
      <c r="AX518" s="92"/>
      <c r="AY518" s="92"/>
      <c r="AZ518" s="92"/>
      <c r="BA518" s="92"/>
      <c r="BB518" s="92"/>
      <c r="BC518" s="92"/>
      <c r="BD518" s="92"/>
      <c r="BE518" s="92"/>
      <c r="BF518" s="92"/>
      <c r="BG518" s="92"/>
      <c r="BH518" s="92"/>
      <c r="BI518" s="92"/>
      <c r="BJ518" s="92"/>
      <c r="BK518" s="92"/>
      <c r="BL518" s="92"/>
      <c r="BM518" s="92"/>
      <c r="BN518" s="92"/>
      <c r="BO518" s="92"/>
      <c r="BP518" s="92"/>
      <c r="BQ518" s="92"/>
      <c r="BR518" s="92"/>
      <c r="BS518" s="92"/>
      <c r="BT518" s="92"/>
      <c r="BU518" s="92"/>
      <c r="BV518" s="92"/>
      <c r="BW518" s="92"/>
      <c r="BX518" s="92"/>
      <c r="BY518" s="92"/>
      <c r="BZ518" s="92"/>
      <c r="CA518" s="92"/>
      <c r="CB518" s="92"/>
      <c r="CC518" s="92"/>
      <c r="CD518" s="92"/>
      <c r="CE518" s="92"/>
      <c r="CF518" s="92"/>
      <c r="CG518" s="92"/>
      <c r="CH518" s="92"/>
      <c r="CI518" s="92"/>
      <c r="CJ518" s="92"/>
      <c r="CK518" s="92"/>
      <c r="CL518" s="92"/>
      <c r="CM518" s="92"/>
      <c r="CN518" s="92"/>
      <c r="CO518" s="92"/>
      <c r="CP518" s="92"/>
      <c r="CQ518" s="92"/>
      <c r="CR518" s="92"/>
      <c r="CS518" s="92"/>
      <c r="CT518" s="92"/>
      <c r="CU518" s="92"/>
      <c r="CV518" s="92"/>
      <c r="CW518" s="92"/>
      <c r="CX518" s="92"/>
      <c r="CY518" s="92"/>
      <c r="CZ518" s="92"/>
      <c r="DA518" s="92"/>
      <c r="DB518" s="92"/>
      <c r="DC518" s="92"/>
      <c r="DD518" s="92"/>
      <c r="DE518" s="92"/>
      <c r="DF518" s="92"/>
      <c r="DG518" s="92"/>
      <c r="DH518" s="92"/>
      <c r="DI518" s="92"/>
      <c r="DJ518" s="92"/>
      <c r="DK518" s="92"/>
      <c r="DL518" s="92"/>
      <c r="DM518" s="92"/>
      <c r="DN518" s="92"/>
      <c r="DO518" s="92"/>
      <c r="DP518" s="92"/>
      <c r="DQ518" s="92"/>
      <c r="DR518" s="92"/>
      <c r="DS518" s="92"/>
      <c r="DT518" s="92"/>
      <c r="DU518" s="92"/>
      <c r="DV518" s="92"/>
      <c r="DW518" s="92"/>
      <c r="DX518" s="92"/>
      <c r="DY518" s="92"/>
      <c r="DZ518" s="92"/>
      <c r="EA518" s="92"/>
      <c r="EB518" s="92"/>
      <c r="EC518" s="92"/>
      <c r="ED518" s="92"/>
      <c r="EE518" s="92"/>
      <c r="EF518" s="92"/>
      <c r="EG518" s="92"/>
      <c r="EH518" s="92"/>
      <c r="EI518" s="92"/>
      <c r="EJ518" s="92"/>
      <c r="EK518" s="92"/>
      <c r="EL518" s="92"/>
      <c r="EM518" s="92"/>
      <c r="EN518" s="92"/>
      <c r="EO518" s="92"/>
      <c r="EP518" s="92"/>
      <c r="EQ518" s="92"/>
      <c r="ER518" s="92"/>
      <c r="ES518" s="92"/>
      <c r="ET518" s="92"/>
      <c r="EU518" s="92"/>
      <c r="EV518" s="92"/>
      <c r="EW518" s="92"/>
      <c r="EX518" s="92"/>
      <c r="EY518" s="92"/>
      <c r="EZ518" s="92"/>
      <c r="FA518" s="92"/>
      <c r="FB518" s="92"/>
      <c r="FC518" s="92"/>
      <c r="FD518" s="92"/>
      <c r="FE518" s="92"/>
      <c r="FF518" s="92"/>
      <c r="FG518" s="92"/>
      <c r="FH518" s="92"/>
    </row>
    <row r="519">
      <c r="A519" s="32" t="s">
        <v>88</v>
      </c>
      <c r="B519" s="32" t="s">
        <v>90</v>
      </c>
      <c r="C519" s="32" t="s">
        <v>12</v>
      </c>
      <c r="D519" s="97">
        <f t="shared" si="1"/>
        <v>4982.599908</v>
      </c>
      <c r="E519" s="92">
        <f>(SUBSTITUTE(Audio!E519, "RE-", "", 1))*1</f>
        <v>0</v>
      </c>
      <c r="F519" s="92">
        <f>(SUBSTITUTE(Audio!F519, "RE-", "", 1))*1</f>
        <v>715.9443</v>
      </c>
      <c r="G519" s="92">
        <f>(SUBSTITUTE(Audio!G519, "RE-", "", 1))*1</f>
        <v>1.965545833</v>
      </c>
      <c r="H519" s="92">
        <f>(SUBSTITUTE(Audio!H519, "RE-", "", 1))*1</f>
        <v>13.70849792</v>
      </c>
      <c r="I519" s="92">
        <f>(SUBSTITUTE(Audio!I519, "RE-", "", 1))*1</f>
        <v>0</v>
      </c>
      <c r="J519" s="92">
        <f>(SUBSTITUTE(Audio!J519, "RE-", "", 1))*1</f>
        <v>220.8272542</v>
      </c>
      <c r="K519" s="92">
        <f>(SUBSTITUTE(Audio!K519, "RE-", "", 1))*1</f>
        <v>0.2053104167</v>
      </c>
      <c r="L519" s="92">
        <f>(SUBSTITUTE(Audio!L519, "RE-", "", 1))*1</f>
        <v>313.1025719</v>
      </c>
      <c r="M519" s="92">
        <f>(SUBSTITUTE(Audio!M519, "RE-", "", 1))*1</f>
        <v>0.6943979167</v>
      </c>
      <c r="N519" s="92">
        <f>(SUBSTITUTE(Audio!N519, "RE-", "", 1))*1</f>
        <v>878.723426</v>
      </c>
      <c r="O519" s="92">
        <f>(SUBSTITUTE(Audio!O519, "RE-", "", 1))*1</f>
        <v>6.8382125</v>
      </c>
      <c r="P519" s="92">
        <f>(SUBSTITUTE(Audio!P519, "RE-", "", 1))*1</f>
        <v>918.6434906</v>
      </c>
      <c r="Q519" s="92">
        <f>(SUBSTITUTE(Audio!Q519, "RE-", "", 1))*1</f>
        <v>17.02534375</v>
      </c>
      <c r="R519" s="92">
        <f>(SUBSTITUTE(Audio!R519, "RE-", "", 1))*1</f>
        <v>724.6846635</v>
      </c>
      <c r="S519" s="92">
        <f>(SUBSTITUTE(Audio!S519, "RE-", "", 1))*1</f>
        <v>29.62076042</v>
      </c>
      <c r="T519" s="92">
        <f>(SUBSTITUTE(Audio!T519, "RE-", "", 1))*1</f>
        <v>1088.282046</v>
      </c>
      <c r="U519" s="92">
        <f>(SUBSTITUTE(Audio!U519, "RE-", "", 1))*1</f>
        <v>49.79734792</v>
      </c>
      <c r="V519" s="92">
        <f>(SUBSTITUTE(Audio!V519, "RE-", "", 1))*1</f>
        <v>2.536739583</v>
      </c>
      <c r="W519" s="92">
        <f>(SUBSTITUTE(Audio!W519, "RE-", "", 1))*1</f>
        <v>0</v>
      </c>
      <c r="X519" s="92">
        <f>(SUBSTITUTE(Audio!X519, "RE-", "", 1))*1</f>
        <v>0</v>
      </c>
      <c r="Y519" s="92">
        <f>(SUBSTITUTE(Audio!Y519, "RE-", "", 1))*1</f>
        <v>0</v>
      </c>
      <c r="Z519" s="92">
        <f>(SUBSTITUTE(Audio!Z519, "RE-", "", 1))*1</f>
        <v>0</v>
      </c>
      <c r="AA519" s="92"/>
      <c r="AB519" s="92"/>
      <c r="AC519" s="92"/>
      <c r="AD519" s="92"/>
      <c r="AE519" s="92"/>
      <c r="AF519" s="92"/>
      <c r="AG519" s="92"/>
      <c r="AH519" s="92"/>
      <c r="AI519" s="92"/>
      <c r="AJ519" s="92"/>
      <c r="AK519" s="92"/>
      <c r="AL519" s="92"/>
      <c r="AM519" s="92"/>
      <c r="AN519" s="92"/>
      <c r="AO519" s="92"/>
      <c r="AP519" s="92"/>
      <c r="AQ519" s="92"/>
      <c r="AR519" s="92"/>
      <c r="AS519" s="92"/>
      <c r="AT519" s="92"/>
      <c r="AU519" s="92"/>
      <c r="AV519" s="92"/>
      <c r="AW519" s="92"/>
      <c r="AX519" s="92"/>
      <c r="AY519" s="92"/>
      <c r="AZ519" s="92"/>
      <c r="BA519" s="92"/>
      <c r="BB519" s="92"/>
      <c r="BC519" s="92"/>
      <c r="BD519" s="92"/>
      <c r="BE519" s="92"/>
      <c r="BF519" s="92"/>
      <c r="BG519" s="92"/>
      <c r="BH519" s="92"/>
      <c r="BI519" s="92"/>
      <c r="BJ519" s="92"/>
      <c r="BK519" s="92"/>
      <c r="BL519" s="92"/>
      <c r="BM519" s="92"/>
      <c r="BN519" s="92"/>
      <c r="BO519" s="92"/>
      <c r="BP519" s="92"/>
      <c r="BQ519" s="92"/>
      <c r="BR519" s="92"/>
      <c r="BS519" s="92"/>
      <c r="BT519" s="92"/>
      <c r="BU519" s="92"/>
      <c r="BV519" s="92"/>
      <c r="BW519" s="92"/>
      <c r="BX519" s="92"/>
      <c r="BY519" s="92"/>
      <c r="BZ519" s="92"/>
      <c r="CA519" s="92"/>
      <c r="CB519" s="92"/>
      <c r="CC519" s="92"/>
      <c r="CD519" s="92"/>
      <c r="CE519" s="92"/>
      <c r="CF519" s="92"/>
      <c r="CG519" s="92"/>
      <c r="CH519" s="92"/>
      <c r="CI519" s="92"/>
      <c r="CJ519" s="92"/>
      <c r="CK519" s="92"/>
      <c r="CL519" s="92"/>
      <c r="CM519" s="92"/>
      <c r="CN519" s="92"/>
      <c r="CO519" s="92"/>
      <c r="CP519" s="92"/>
      <c r="CQ519" s="92"/>
      <c r="CR519" s="92"/>
      <c r="CS519" s="92"/>
      <c r="CT519" s="92"/>
      <c r="CU519" s="92"/>
      <c r="CV519" s="92"/>
      <c r="CW519" s="92"/>
      <c r="CX519" s="92"/>
      <c r="CY519" s="92"/>
      <c r="CZ519" s="92"/>
      <c r="DA519" s="92"/>
      <c r="DB519" s="92"/>
      <c r="DC519" s="92"/>
      <c r="DD519" s="92"/>
      <c r="DE519" s="92"/>
      <c r="DF519" s="92"/>
      <c r="DG519" s="92"/>
      <c r="DH519" s="92"/>
      <c r="DI519" s="92"/>
      <c r="DJ519" s="92"/>
      <c r="DK519" s="92"/>
      <c r="DL519" s="92"/>
      <c r="DM519" s="92"/>
      <c r="DN519" s="92"/>
      <c r="DO519" s="92"/>
      <c r="DP519" s="92"/>
      <c r="DQ519" s="92"/>
      <c r="DR519" s="92"/>
      <c r="DS519" s="92"/>
      <c r="DT519" s="92"/>
      <c r="DU519" s="92"/>
      <c r="DV519" s="92"/>
      <c r="DW519" s="92"/>
      <c r="DX519" s="92"/>
      <c r="DY519" s="92"/>
      <c r="DZ519" s="92"/>
      <c r="EA519" s="92"/>
      <c r="EB519" s="92"/>
      <c r="EC519" s="92"/>
      <c r="ED519" s="92"/>
      <c r="EE519" s="92"/>
      <c r="EF519" s="92"/>
      <c r="EG519" s="92"/>
      <c r="EH519" s="92"/>
      <c r="EI519" s="92"/>
      <c r="EJ519" s="92"/>
      <c r="EK519" s="92"/>
      <c r="EL519" s="92"/>
      <c r="EM519" s="92"/>
      <c r="EN519" s="92"/>
      <c r="EO519" s="92"/>
      <c r="EP519" s="92"/>
      <c r="EQ519" s="92"/>
      <c r="ER519" s="92"/>
      <c r="ES519" s="92"/>
      <c r="ET519" s="92"/>
      <c r="EU519" s="92"/>
      <c r="EV519" s="92"/>
      <c r="EW519" s="92"/>
      <c r="EX519" s="92"/>
      <c r="EY519" s="92"/>
      <c r="EZ519" s="92"/>
      <c r="FA519" s="92"/>
      <c r="FB519" s="92"/>
      <c r="FC519" s="92"/>
      <c r="FD519" s="92"/>
      <c r="FE519" s="92"/>
      <c r="FF519" s="92"/>
      <c r="FG519" s="92"/>
      <c r="FH519" s="92"/>
    </row>
    <row r="520">
      <c r="A520" s="32" t="s">
        <v>88</v>
      </c>
      <c r="B520" s="32" t="s">
        <v>90</v>
      </c>
      <c r="C520" s="32" t="s">
        <v>13</v>
      </c>
      <c r="D520" s="97">
        <f t="shared" si="1"/>
        <v>4764.98773</v>
      </c>
      <c r="E520" s="92">
        <f>(SUBSTITUTE(Audio!E520, "RE-", "", 1))*1</f>
        <v>0</v>
      </c>
      <c r="F520" s="92">
        <f>(SUBSTITUTE(Audio!F520, "RE-", "", 1))*1</f>
        <v>684.119</v>
      </c>
      <c r="G520" s="92">
        <f>(SUBSTITUTE(Audio!G520, "RE-", "", 1))*1</f>
        <v>1.76098</v>
      </c>
      <c r="H520" s="92">
        <f>(SUBSTITUTE(Audio!H520, "RE-", "", 1))*1</f>
        <v>12.6506</v>
      </c>
      <c r="I520" s="92">
        <f>(SUBSTITUTE(Audio!I520, "RE-", "", 1))*1</f>
        <v>0</v>
      </c>
      <c r="J520" s="92">
        <f>(SUBSTITUTE(Audio!J520, "RE-", "", 1))*1</f>
        <v>209.347</v>
      </c>
      <c r="K520" s="92">
        <f>(SUBSTITUTE(Audio!K520, "RE-", "", 1))*1</f>
        <v>0.203633</v>
      </c>
      <c r="L520" s="92">
        <f>(SUBSTITUTE(Audio!L520, "RE-", "", 1))*1</f>
        <v>295.268</v>
      </c>
      <c r="M520" s="92">
        <f>(SUBSTITUTE(Audio!M520, "RE-", "", 1))*1</f>
        <v>0.644067</v>
      </c>
      <c r="N520" s="92">
        <f>(SUBSTITUTE(Audio!N520, "RE-", "", 1))*1</f>
        <v>840.778</v>
      </c>
      <c r="O520" s="92">
        <f>(SUBSTITUTE(Audio!O520, "RE-", "", 1))*1</f>
        <v>6.47982</v>
      </c>
      <c r="P520" s="92">
        <f>(SUBSTITUTE(Audio!P520, "RE-", "", 1))*1</f>
        <v>876.136</v>
      </c>
      <c r="Q520" s="92">
        <f>(SUBSTITUTE(Audio!Q520, "RE-", "", 1))*1</f>
        <v>15.9754</v>
      </c>
      <c r="R520" s="92">
        <f>(SUBSTITUTE(Audio!R520, "RE-", "", 1))*1</f>
        <v>692.972</v>
      </c>
      <c r="S520" s="92">
        <f>(SUBSTITUTE(Audio!S520, "RE-", "", 1))*1</f>
        <v>27.7851</v>
      </c>
      <c r="T520" s="92">
        <f>(SUBSTITUTE(Audio!T520, "RE-", "", 1))*1</f>
        <v>1051.62</v>
      </c>
      <c r="U520" s="92">
        <f>(SUBSTITUTE(Audio!U520, "RE-", "", 1))*1</f>
        <v>47.012</v>
      </c>
      <c r="V520" s="92">
        <f>(SUBSTITUTE(Audio!V520, "RE-", "", 1))*1</f>
        <v>2.23613</v>
      </c>
      <c r="W520" s="92">
        <f>(SUBSTITUTE(Audio!W520, "RE-", "", 1))*1</f>
        <v>0</v>
      </c>
      <c r="X520" s="92">
        <f>(SUBSTITUTE(Audio!X520, "RE-", "", 1))*1</f>
        <v>0</v>
      </c>
      <c r="Y520" s="92">
        <f>(SUBSTITUTE(Audio!Y520, "RE-", "", 1))*1</f>
        <v>0</v>
      </c>
      <c r="Z520" s="92">
        <f>(SUBSTITUTE(Audio!Z520, "RE-", "", 1))*1</f>
        <v>0</v>
      </c>
      <c r="AA520" s="92"/>
      <c r="AB520" s="92"/>
      <c r="AC520" s="92"/>
      <c r="AD520" s="92"/>
      <c r="AE520" s="92"/>
      <c r="AF520" s="92"/>
      <c r="AG520" s="92"/>
      <c r="AH520" s="92"/>
      <c r="AI520" s="92"/>
      <c r="AJ520" s="92"/>
      <c r="AK520" s="92"/>
      <c r="AL520" s="92"/>
      <c r="AM520" s="92"/>
      <c r="AN520" s="92"/>
      <c r="AO520" s="92"/>
      <c r="AP520" s="92"/>
      <c r="AQ520" s="92"/>
      <c r="AR520" s="92"/>
      <c r="AS520" s="92"/>
      <c r="AT520" s="92"/>
      <c r="AU520" s="92"/>
      <c r="AV520" s="92"/>
      <c r="AW520" s="92"/>
      <c r="AX520" s="92"/>
      <c r="AY520" s="92"/>
      <c r="AZ520" s="92"/>
      <c r="BA520" s="92"/>
      <c r="BB520" s="92"/>
      <c r="BC520" s="92"/>
      <c r="BD520" s="92"/>
      <c r="BE520" s="92"/>
      <c r="BF520" s="92"/>
      <c r="BG520" s="92"/>
      <c r="BH520" s="92"/>
      <c r="BI520" s="92"/>
      <c r="BJ520" s="92"/>
      <c r="BK520" s="92"/>
      <c r="BL520" s="92"/>
      <c r="BM520" s="92"/>
      <c r="BN520" s="92"/>
      <c r="BO520" s="92"/>
      <c r="BP520" s="92"/>
      <c r="BQ520" s="92"/>
      <c r="BR520" s="92"/>
      <c r="BS520" s="92"/>
      <c r="BT520" s="92"/>
      <c r="BU520" s="92"/>
      <c r="BV520" s="92"/>
      <c r="BW520" s="92"/>
      <c r="BX520" s="92"/>
      <c r="BY520" s="92"/>
      <c r="BZ520" s="92"/>
      <c r="CA520" s="92"/>
      <c r="CB520" s="92"/>
      <c r="CC520" s="92"/>
      <c r="CD520" s="92"/>
      <c r="CE520" s="92"/>
      <c r="CF520" s="92"/>
      <c r="CG520" s="92"/>
      <c r="CH520" s="92"/>
      <c r="CI520" s="92"/>
      <c r="CJ520" s="92"/>
      <c r="CK520" s="92"/>
      <c r="CL520" s="92"/>
      <c r="CM520" s="92"/>
      <c r="CN520" s="92"/>
      <c r="CO520" s="92"/>
      <c r="CP520" s="92"/>
      <c r="CQ520" s="92"/>
      <c r="CR520" s="92"/>
      <c r="CS520" s="92"/>
      <c r="CT520" s="92"/>
      <c r="CU520" s="92"/>
      <c r="CV520" s="92"/>
      <c r="CW520" s="92"/>
      <c r="CX520" s="92"/>
      <c r="CY520" s="92"/>
      <c r="CZ520" s="92"/>
      <c r="DA520" s="92"/>
      <c r="DB520" s="92"/>
      <c r="DC520" s="92"/>
      <c r="DD520" s="92"/>
      <c r="DE520" s="92"/>
      <c r="DF520" s="92"/>
      <c r="DG520" s="92"/>
      <c r="DH520" s="92"/>
      <c r="DI520" s="92"/>
      <c r="DJ520" s="92"/>
      <c r="DK520" s="92"/>
      <c r="DL520" s="92"/>
      <c r="DM520" s="92"/>
      <c r="DN520" s="92"/>
      <c r="DO520" s="92"/>
      <c r="DP520" s="92"/>
      <c r="DQ520" s="92"/>
      <c r="DR520" s="92"/>
      <c r="DS520" s="92"/>
      <c r="DT520" s="92"/>
      <c r="DU520" s="92"/>
      <c r="DV520" s="92"/>
      <c r="DW520" s="92"/>
      <c r="DX520" s="92"/>
      <c r="DY520" s="92"/>
      <c r="DZ520" s="92"/>
      <c r="EA520" s="92"/>
      <c r="EB520" s="92"/>
      <c r="EC520" s="92"/>
      <c r="ED520" s="92"/>
      <c r="EE520" s="92"/>
      <c r="EF520" s="92"/>
      <c r="EG520" s="92"/>
      <c r="EH520" s="92"/>
      <c r="EI520" s="92"/>
      <c r="EJ520" s="92"/>
      <c r="EK520" s="92"/>
      <c r="EL520" s="92"/>
      <c r="EM520" s="92"/>
      <c r="EN520" s="92"/>
      <c r="EO520" s="92"/>
      <c r="EP520" s="92"/>
      <c r="EQ520" s="92"/>
      <c r="ER520" s="92"/>
      <c r="ES520" s="92"/>
      <c r="ET520" s="92"/>
      <c r="EU520" s="92"/>
      <c r="EV520" s="92"/>
      <c r="EW520" s="92"/>
      <c r="EX520" s="92"/>
      <c r="EY520" s="92"/>
      <c r="EZ520" s="92"/>
      <c r="FA520" s="92"/>
      <c r="FB520" s="92"/>
      <c r="FC520" s="92"/>
      <c r="FD520" s="92"/>
      <c r="FE520" s="92"/>
      <c r="FF520" s="92"/>
      <c r="FG520" s="92"/>
      <c r="FH520" s="92"/>
    </row>
    <row r="521">
      <c r="A521" s="32" t="s">
        <v>88</v>
      </c>
      <c r="B521" s="32" t="s">
        <v>90</v>
      </c>
      <c r="C521" s="32" t="s">
        <v>14</v>
      </c>
      <c r="D521" s="97">
        <f t="shared" si="1"/>
        <v>4151.15587</v>
      </c>
      <c r="E521" s="92">
        <f>(SUBSTITUTE(Audio!E521, "RE-", "", 1))*1</f>
        <v>0</v>
      </c>
      <c r="F521" s="92">
        <f>(SUBSTITUTE(Audio!F521, "RE-", "", 1))*1</f>
        <v>614.393</v>
      </c>
      <c r="G521" s="92">
        <f>(SUBSTITUTE(Audio!G521, "RE-", "", 1))*1</f>
        <v>1.43382</v>
      </c>
      <c r="H521" s="92">
        <f>(SUBSTITUTE(Audio!H521, "RE-", "", 1))*1</f>
        <v>11.1316</v>
      </c>
      <c r="I521" s="92">
        <f>(SUBSTITUTE(Audio!I521, "RE-", "", 1))*1</f>
        <v>0</v>
      </c>
      <c r="J521" s="92">
        <f>(SUBSTITUTE(Audio!J521, "RE-", "", 1))*1</f>
        <v>192.998</v>
      </c>
      <c r="K521" s="92">
        <f>(SUBSTITUTE(Audio!K521, "RE-", "", 1))*1</f>
        <v>0.203633</v>
      </c>
      <c r="L521" s="92">
        <f>(SUBSTITUTE(Audio!L521, "RE-", "", 1))*1</f>
        <v>254.136</v>
      </c>
      <c r="M521" s="92">
        <f>(SUBSTITUTE(Audio!M521, "RE-", "", 1))*1</f>
        <v>0.644067</v>
      </c>
      <c r="N521" s="92">
        <f>(SUBSTITUTE(Audio!N521, "RE-", "", 1))*1</f>
        <v>724.555</v>
      </c>
      <c r="O521" s="92">
        <f>(SUBSTITUTE(Audio!O521, "RE-", "", 1))*1</f>
        <v>5.5667</v>
      </c>
      <c r="P521" s="92">
        <f>(SUBSTITUTE(Audio!P521, "RE-", "", 1))*1</f>
        <v>761.147</v>
      </c>
      <c r="Q521" s="92">
        <f>(SUBSTITUTE(Audio!Q521, "RE-", "", 1))*1</f>
        <v>12.5739</v>
      </c>
      <c r="R521" s="92">
        <f>(SUBSTITUTE(Audio!R521, "RE-", "", 1))*1</f>
        <v>591.474</v>
      </c>
      <c r="S521" s="92">
        <f>(SUBSTITUTE(Audio!S521, "RE-", "", 1))*1</f>
        <v>24.4423</v>
      </c>
      <c r="T521" s="92">
        <f>(SUBSTITUTE(Audio!T521, "RE-", "", 1))*1</f>
        <v>916.167</v>
      </c>
      <c r="U521" s="92">
        <f>(SUBSTITUTE(Audio!U521, "RE-", "", 1))*1</f>
        <v>38.5179</v>
      </c>
      <c r="V521" s="92">
        <f>(SUBSTITUTE(Audio!V521, "RE-", "", 1))*1</f>
        <v>1.77195</v>
      </c>
      <c r="W521" s="92">
        <f>(SUBSTITUTE(Audio!W521, "RE-", "", 1))*1</f>
        <v>0</v>
      </c>
      <c r="X521" s="92">
        <f>(SUBSTITUTE(Audio!X521, "RE-", "", 1))*1</f>
        <v>0</v>
      </c>
      <c r="Y521" s="92">
        <f>(SUBSTITUTE(Audio!Y521, "RE-", "", 1))*1</f>
        <v>0</v>
      </c>
      <c r="Z521" s="92">
        <f>(SUBSTITUTE(Audio!Z521, "RE-", "", 1))*1</f>
        <v>0</v>
      </c>
      <c r="AA521" s="92"/>
      <c r="AB521" s="92"/>
      <c r="AC521" s="92"/>
      <c r="AD521" s="92"/>
      <c r="AE521" s="92"/>
      <c r="AF521" s="92"/>
      <c r="AG521" s="92"/>
      <c r="AH521" s="92"/>
      <c r="AI521" s="92"/>
      <c r="AJ521" s="92"/>
      <c r="AK521" s="92"/>
      <c r="AL521" s="92"/>
      <c r="AM521" s="92"/>
      <c r="AN521" s="92"/>
      <c r="AO521" s="92"/>
      <c r="AP521" s="92"/>
      <c r="AQ521" s="92"/>
      <c r="AR521" s="92"/>
      <c r="AS521" s="92"/>
      <c r="AT521" s="92"/>
      <c r="AU521" s="92"/>
      <c r="AV521" s="92"/>
      <c r="AW521" s="92"/>
      <c r="AX521" s="92"/>
      <c r="AY521" s="92"/>
      <c r="AZ521" s="92"/>
      <c r="BA521" s="92"/>
      <c r="BB521" s="92"/>
      <c r="BC521" s="92"/>
      <c r="BD521" s="92"/>
      <c r="BE521" s="92"/>
      <c r="BF521" s="92"/>
      <c r="BG521" s="92"/>
      <c r="BH521" s="92"/>
      <c r="BI521" s="92"/>
      <c r="BJ521" s="92"/>
      <c r="BK521" s="92"/>
      <c r="BL521" s="92"/>
      <c r="BM521" s="92"/>
      <c r="BN521" s="92"/>
      <c r="BO521" s="92"/>
      <c r="BP521" s="92"/>
      <c r="BQ521" s="92"/>
      <c r="BR521" s="92"/>
      <c r="BS521" s="92"/>
      <c r="BT521" s="92"/>
      <c r="BU521" s="92"/>
      <c r="BV521" s="92"/>
      <c r="BW521" s="92"/>
      <c r="BX521" s="92"/>
      <c r="BY521" s="92"/>
      <c r="BZ521" s="92"/>
      <c r="CA521" s="92"/>
      <c r="CB521" s="92"/>
      <c r="CC521" s="92"/>
      <c r="CD521" s="92"/>
      <c r="CE521" s="92"/>
      <c r="CF521" s="92"/>
      <c r="CG521" s="92"/>
      <c r="CH521" s="92"/>
      <c r="CI521" s="92"/>
      <c r="CJ521" s="92"/>
      <c r="CK521" s="92"/>
      <c r="CL521" s="92"/>
      <c r="CM521" s="92"/>
      <c r="CN521" s="92"/>
      <c r="CO521" s="92"/>
      <c r="CP521" s="92"/>
      <c r="CQ521" s="92"/>
      <c r="CR521" s="92"/>
      <c r="CS521" s="92"/>
      <c r="CT521" s="92"/>
      <c r="CU521" s="92"/>
      <c r="CV521" s="92"/>
      <c r="CW521" s="92"/>
      <c r="CX521" s="92"/>
      <c r="CY521" s="92"/>
      <c r="CZ521" s="92"/>
      <c r="DA521" s="92"/>
      <c r="DB521" s="92"/>
      <c r="DC521" s="92"/>
      <c r="DD521" s="92"/>
      <c r="DE521" s="92"/>
      <c r="DF521" s="92"/>
      <c r="DG521" s="92"/>
      <c r="DH521" s="92"/>
      <c r="DI521" s="92"/>
      <c r="DJ521" s="92"/>
      <c r="DK521" s="92"/>
      <c r="DL521" s="92"/>
      <c r="DM521" s="92"/>
      <c r="DN521" s="92"/>
      <c r="DO521" s="92"/>
      <c r="DP521" s="92"/>
      <c r="DQ521" s="92"/>
      <c r="DR521" s="92"/>
      <c r="DS521" s="92"/>
      <c r="DT521" s="92"/>
      <c r="DU521" s="92"/>
      <c r="DV521" s="92"/>
      <c r="DW521" s="92"/>
      <c r="DX521" s="92"/>
      <c r="DY521" s="92"/>
      <c r="DZ521" s="92"/>
      <c r="EA521" s="92"/>
      <c r="EB521" s="92"/>
      <c r="EC521" s="92"/>
      <c r="ED521" s="92"/>
      <c r="EE521" s="92"/>
      <c r="EF521" s="92"/>
      <c r="EG521" s="92"/>
      <c r="EH521" s="92"/>
      <c r="EI521" s="92"/>
      <c r="EJ521" s="92"/>
      <c r="EK521" s="92"/>
      <c r="EL521" s="92"/>
      <c r="EM521" s="92"/>
      <c r="EN521" s="92"/>
      <c r="EO521" s="92"/>
      <c r="EP521" s="92"/>
      <c r="EQ521" s="92"/>
      <c r="ER521" s="92"/>
      <c r="ES521" s="92"/>
      <c r="ET521" s="92"/>
      <c r="EU521" s="92"/>
      <c r="EV521" s="92"/>
      <c r="EW521" s="92"/>
      <c r="EX521" s="92"/>
      <c r="EY521" s="92"/>
      <c r="EZ521" s="92"/>
      <c r="FA521" s="92"/>
      <c r="FB521" s="92"/>
      <c r="FC521" s="92"/>
      <c r="FD521" s="92"/>
      <c r="FE521" s="92"/>
      <c r="FF521" s="92"/>
      <c r="FG521" s="92"/>
      <c r="FH521" s="92"/>
    </row>
    <row r="522">
      <c r="A522" s="27" t="s">
        <v>88</v>
      </c>
      <c r="B522" s="27" t="s">
        <v>90</v>
      </c>
      <c r="C522" s="27" t="s">
        <v>15</v>
      </c>
      <c r="D522" s="98">
        <f t="shared" si="1"/>
        <v>4764.94573</v>
      </c>
      <c r="E522" s="92">
        <f>(SUBSTITUTE(Audio!E522, "RE-", "", 1))*1</f>
        <v>0</v>
      </c>
      <c r="F522" s="92">
        <f>(SUBSTITUTE(Audio!F522, "RE-", "", 1))*1</f>
        <v>684.119</v>
      </c>
      <c r="G522" s="92">
        <f>(SUBSTITUTE(Audio!G522, "RE-", "", 1))*1</f>
        <v>1.76098</v>
      </c>
      <c r="H522" s="92">
        <f>(SUBSTITUTE(Audio!H522, "RE-", "", 1))*1</f>
        <v>12.6506</v>
      </c>
      <c r="I522" s="92">
        <f>(SUBSTITUTE(Audio!I522, "RE-", "", 1))*1</f>
        <v>0</v>
      </c>
      <c r="J522" s="92">
        <f>(SUBSTITUTE(Audio!J522, "RE-", "", 1))*1</f>
        <v>209.347</v>
      </c>
      <c r="K522" s="92">
        <f>(SUBSTITUTE(Audio!K522, "RE-", "", 1))*1</f>
        <v>0.203633</v>
      </c>
      <c r="L522" s="92">
        <f>(SUBSTITUTE(Audio!L522, "RE-", "", 1))*1</f>
        <v>295.268</v>
      </c>
      <c r="M522" s="92">
        <f>(SUBSTITUTE(Audio!M522, "RE-", "", 1))*1</f>
        <v>0.644067</v>
      </c>
      <c r="N522" s="92">
        <f>(SUBSTITUTE(Audio!N522, "RE-", "", 1))*1</f>
        <v>840.778</v>
      </c>
      <c r="O522" s="92">
        <f>(SUBSTITUTE(Audio!O522, "RE-", "", 1))*1</f>
        <v>6.47982</v>
      </c>
      <c r="P522" s="92">
        <f>(SUBSTITUTE(Audio!P522, "RE-", "", 1))*1</f>
        <v>876.094</v>
      </c>
      <c r="Q522" s="92">
        <f>(SUBSTITUTE(Audio!Q522, "RE-", "", 1))*1</f>
        <v>15.9754</v>
      </c>
      <c r="R522" s="92">
        <f>(SUBSTITUTE(Audio!R522, "RE-", "", 1))*1</f>
        <v>692.972</v>
      </c>
      <c r="S522" s="92">
        <f>(SUBSTITUTE(Audio!S522, "RE-", "", 1))*1</f>
        <v>27.7851</v>
      </c>
      <c r="T522" s="92">
        <f>(SUBSTITUTE(Audio!T522, "RE-", "", 1))*1</f>
        <v>1051.62</v>
      </c>
      <c r="U522" s="92">
        <f>(SUBSTITUTE(Audio!U522, "RE-", "", 1))*1</f>
        <v>47.012</v>
      </c>
      <c r="V522" s="92">
        <f>(SUBSTITUTE(Audio!V522, "RE-", "", 1))*1</f>
        <v>2.23613</v>
      </c>
      <c r="W522" s="92">
        <f>(SUBSTITUTE(Audio!W522, "RE-", "", 1))*1</f>
        <v>0</v>
      </c>
      <c r="X522" s="92">
        <f>(SUBSTITUTE(Audio!X522, "RE-", "", 1))*1</f>
        <v>0</v>
      </c>
      <c r="Y522" s="92">
        <f>(SUBSTITUTE(Audio!Y522, "RE-", "", 1))*1</f>
        <v>0</v>
      </c>
      <c r="Z522" s="92">
        <f>(SUBSTITUTE(Audio!Z522, "RE-", "", 1))*1</f>
        <v>0</v>
      </c>
      <c r="AA522" s="92"/>
      <c r="AB522" s="92"/>
      <c r="AC522" s="92"/>
      <c r="AD522" s="92"/>
      <c r="AE522" s="92"/>
      <c r="AF522" s="92"/>
      <c r="AG522" s="92"/>
      <c r="AH522" s="92"/>
      <c r="AI522" s="92"/>
      <c r="AJ522" s="92"/>
      <c r="AK522" s="92"/>
      <c r="AL522" s="92"/>
      <c r="AM522" s="92"/>
      <c r="AN522" s="92"/>
      <c r="AO522" s="92"/>
      <c r="AP522" s="92"/>
      <c r="AQ522" s="92"/>
      <c r="AR522" s="92"/>
      <c r="AS522" s="92"/>
      <c r="AT522" s="92"/>
      <c r="AU522" s="92"/>
      <c r="AV522" s="92"/>
      <c r="AW522" s="92"/>
      <c r="AX522" s="92"/>
      <c r="AY522" s="92"/>
      <c r="AZ522" s="92"/>
      <c r="BA522" s="92"/>
      <c r="BB522" s="92"/>
      <c r="BC522" s="92"/>
      <c r="BD522" s="92"/>
      <c r="BE522" s="92"/>
      <c r="BF522" s="92"/>
      <c r="BG522" s="92"/>
      <c r="BH522" s="92"/>
      <c r="BI522" s="92"/>
      <c r="BJ522" s="92"/>
      <c r="BK522" s="92"/>
      <c r="BL522" s="92"/>
      <c r="BM522" s="92"/>
      <c r="BN522" s="92"/>
      <c r="BO522" s="92"/>
      <c r="BP522" s="92"/>
      <c r="BQ522" s="92"/>
      <c r="BR522" s="92"/>
      <c r="BS522" s="92"/>
      <c r="BT522" s="92"/>
      <c r="BU522" s="92"/>
      <c r="BV522" s="92"/>
      <c r="BW522" s="92"/>
      <c r="BX522" s="92"/>
      <c r="BY522" s="92"/>
      <c r="BZ522" s="92"/>
      <c r="CA522" s="92"/>
      <c r="CB522" s="92"/>
      <c r="CC522" s="92"/>
      <c r="CD522" s="92"/>
      <c r="CE522" s="92"/>
      <c r="CF522" s="92"/>
      <c r="CG522" s="92"/>
      <c r="CH522" s="92"/>
      <c r="CI522" s="92"/>
      <c r="CJ522" s="92"/>
      <c r="CK522" s="92"/>
      <c r="CL522" s="92"/>
      <c r="CM522" s="92"/>
      <c r="CN522" s="92"/>
      <c r="CO522" s="92"/>
      <c r="CP522" s="92"/>
      <c r="CQ522" s="92"/>
      <c r="CR522" s="92"/>
      <c r="CS522" s="92"/>
      <c r="CT522" s="92"/>
      <c r="CU522" s="92"/>
      <c r="CV522" s="92"/>
      <c r="CW522" s="92"/>
      <c r="CX522" s="92"/>
      <c r="CY522" s="92"/>
      <c r="CZ522" s="92"/>
      <c r="DA522" s="92"/>
      <c r="DB522" s="92"/>
      <c r="DC522" s="92"/>
      <c r="DD522" s="92"/>
      <c r="DE522" s="92"/>
      <c r="DF522" s="92"/>
      <c r="DG522" s="92"/>
      <c r="DH522" s="92"/>
      <c r="DI522" s="92"/>
      <c r="DJ522" s="92"/>
      <c r="DK522" s="92"/>
      <c r="DL522" s="92"/>
      <c r="DM522" s="92"/>
      <c r="DN522" s="92"/>
      <c r="DO522" s="92"/>
      <c r="DP522" s="92"/>
      <c r="DQ522" s="92"/>
      <c r="DR522" s="92"/>
      <c r="DS522" s="92"/>
      <c r="DT522" s="92"/>
      <c r="DU522" s="92"/>
      <c r="DV522" s="92"/>
      <c r="DW522" s="92"/>
      <c r="DX522" s="92"/>
      <c r="DY522" s="92"/>
      <c r="DZ522" s="92"/>
      <c r="EA522" s="92"/>
      <c r="EB522" s="92"/>
      <c r="EC522" s="92"/>
      <c r="ED522" s="92"/>
      <c r="EE522" s="92"/>
      <c r="EF522" s="92"/>
      <c r="EG522" s="92"/>
      <c r="EH522" s="92"/>
      <c r="EI522" s="92"/>
      <c r="EJ522" s="92"/>
      <c r="EK522" s="92"/>
      <c r="EL522" s="92"/>
      <c r="EM522" s="92"/>
      <c r="EN522" s="92"/>
      <c r="EO522" s="92"/>
      <c r="EP522" s="92"/>
      <c r="EQ522" s="92"/>
      <c r="ER522" s="92"/>
      <c r="ES522" s="92"/>
      <c r="ET522" s="92"/>
      <c r="EU522" s="92"/>
      <c r="EV522" s="92"/>
      <c r="EW522" s="92"/>
      <c r="EX522" s="92"/>
      <c r="EY522" s="92"/>
      <c r="EZ522" s="92"/>
      <c r="FA522" s="92"/>
      <c r="FB522" s="92"/>
      <c r="FC522" s="92"/>
      <c r="FD522" s="92"/>
      <c r="FE522" s="92"/>
      <c r="FF522" s="92"/>
      <c r="FG522" s="92"/>
      <c r="FH522" s="92"/>
    </row>
    <row r="523">
      <c r="A523" s="30" t="s">
        <v>77</v>
      </c>
      <c r="B523" s="30" t="s">
        <v>91</v>
      </c>
      <c r="C523" s="31" t="str">
        <f>HYPERLINK("https://docs.google.com/spreadsheets/d/1nwHraYoctUrhPrKtgmWWd1EbPvw6BKQA/edit?usp=share_link&amp;ouid=118279477453217743021&amp;rtpof=true&amp;sd=true", "Raw Delivered")</f>
        <v>Raw Delivered</v>
      </c>
      <c r="D523" s="96">
        <f t="shared" si="1"/>
        <v>7188.913594</v>
      </c>
      <c r="E523" s="92">
        <f>(SUBSTITUTE(Audio!E523, "RE-", "", 1))*1</f>
        <v>0</v>
      </c>
      <c r="F523" s="92">
        <f>(SUBSTITUTE(Audio!F523, "RE-", "", 1))*1</f>
        <v>2183.859066</v>
      </c>
      <c r="G523" s="92">
        <f>(SUBSTITUTE(Audio!G523, "RE-", "", 1))*1</f>
        <v>0</v>
      </c>
      <c r="H523" s="92">
        <f>(SUBSTITUTE(Audio!H523, "RE-", "", 1))*1</f>
        <v>349.8502698</v>
      </c>
      <c r="I523" s="92">
        <f>(SUBSTITUTE(Audio!I523, "RE-", "", 1))*1</f>
        <v>0</v>
      </c>
      <c r="J523" s="92">
        <f>(SUBSTITUTE(Audio!J523, "RE-", "", 1))*1</f>
        <v>318.3778125</v>
      </c>
      <c r="K523" s="92">
        <f>(SUBSTITUTE(Audio!K523, "RE-", "", 1))*1</f>
        <v>0</v>
      </c>
      <c r="L523" s="92">
        <f>(SUBSTITUTE(Audio!L523, "RE-", "", 1))*1</f>
        <v>1999.664344</v>
      </c>
      <c r="M523" s="92">
        <f>(SUBSTITUTE(Audio!M523, "RE-", "", 1))*1</f>
        <v>0</v>
      </c>
      <c r="N523" s="92">
        <f>(SUBSTITUTE(Audio!N523, "RE-", "", 1))*1</f>
        <v>328.0391573</v>
      </c>
      <c r="O523" s="92">
        <f>(SUBSTITUTE(Audio!O523, "RE-", "", 1))*1</f>
        <v>0</v>
      </c>
      <c r="P523" s="92">
        <f>(SUBSTITUTE(Audio!P523, "RE-", "", 1))*1</f>
        <v>646.6750656</v>
      </c>
      <c r="Q523" s="92">
        <f>(SUBSTITUTE(Audio!Q523, "RE-", "", 1))*1</f>
        <v>0</v>
      </c>
      <c r="R523" s="92">
        <f>(SUBSTITUTE(Audio!R523, "RE-", "", 1))*1</f>
        <v>1203.555846</v>
      </c>
      <c r="S523" s="92">
        <f>(SUBSTITUTE(Audio!S523, "RE-", "", 1))*1</f>
        <v>0</v>
      </c>
      <c r="T523" s="92">
        <f>(SUBSTITUTE(Audio!T523, "RE-", "", 1))*1</f>
        <v>158.8920323</v>
      </c>
      <c r="U523" s="92">
        <f>(SUBSTITUTE(Audio!U523, "RE-", "", 1))*1</f>
        <v>0</v>
      </c>
      <c r="V523" s="92">
        <f>(SUBSTITUTE(Audio!V523, "RE-", "", 1))*1</f>
        <v>0</v>
      </c>
      <c r="W523" s="92">
        <f>(SUBSTITUTE(Audio!W523, "RE-", "", 1))*1</f>
        <v>0</v>
      </c>
      <c r="X523" s="92">
        <f>(SUBSTITUTE(Audio!X523, "RE-", "", 1))*1</f>
        <v>0</v>
      </c>
      <c r="Y523" s="92">
        <f>(SUBSTITUTE(Audio!Y523, "RE-", "", 1))*1</f>
        <v>0</v>
      </c>
      <c r="Z523" s="92">
        <f>(SUBSTITUTE(Audio!Z523, "RE-", "", 1))*1</f>
        <v>0</v>
      </c>
      <c r="AA523" s="92"/>
      <c r="AB523" s="92"/>
      <c r="AC523" s="92"/>
      <c r="AD523" s="92"/>
      <c r="AE523" s="92"/>
      <c r="AF523" s="92"/>
      <c r="AG523" s="92"/>
      <c r="AH523" s="92"/>
      <c r="AI523" s="92"/>
      <c r="AJ523" s="92"/>
      <c r="AK523" s="92"/>
      <c r="AL523" s="92"/>
      <c r="AM523" s="92"/>
      <c r="AN523" s="92"/>
      <c r="AO523" s="92"/>
      <c r="AP523" s="92"/>
      <c r="AQ523" s="92"/>
      <c r="AR523" s="92"/>
      <c r="AS523" s="92"/>
      <c r="AT523" s="92"/>
      <c r="AU523" s="92"/>
      <c r="AV523" s="92"/>
      <c r="AW523" s="92"/>
      <c r="AX523" s="92"/>
      <c r="AY523" s="92"/>
      <c r="AZ523" s="92"/>
      <c r="BA523" s="92"/>
      <c r="BB523" s="92"/>
      <c r="BC523" s="92"/>
      <c r="BD523" s="92"/>
      <c r="BE523" s="92"/>
      <c r="BF523" s="92"/>
      <c r="BG523" s="92"/>
      <c r="BH523" s="92"/>
      <c r="BI523" s="92"/>
      <c r="BJ523" s="92"/>
      <c r="BK523" s="92"/>
      <c r="BL523" s="92"/>
      <c r="BM523" s="92"/>
      <c r="BN523" s="92"/>
      <c r="BO523" s="92"/>
      <c r="BP523" s="92"/>
      <c r="BQ523" s="92"/>
      <c r="BR523" s="92"/>
      <c r="BS523" s="92"/>
      <c r="BT523" s="92"/>
      <c r="BU523" s="92"/>
      <c r="BV523" s="92"/>
      <c r="BW523" s="92"/>
      <c r="BX523" s="92"/>
      <c r="BY523" s="92"/>
      <c r="BZ523" s="92"/>
      <c r="CA523" s="92"/>
      <c r="CB523" s="92"/>
      <c r="CC523" s="92"/>
      <c r="CD523" s="92"/>
      <c r="CE523" s="92"/>
      <c r="CF523" s="92"/>
      <c r="CG523" s="92"/>
      <c r="CH523" s="92"/>
      <c r="CI523" s="92"/>
      <c r="CJ523" s="92"/>
      <c r="CK523" s="92"/>
      <c r="CL523" s="92"/>
      <c r="CM523" s="92"/>
      <c r="CN523" s="92"/>
      <c r="CO523" s="92"/>
      <c r="CP523" s="92"/>
      <c r="CQ523" s="92"/>
      <c r="CR523" s="92"/>
      <c r="CS523" s="92"/>
      <c r="CT523" s="92"/>
      <c r="CU523" s="92"/>
      <c r="CV523" s="92"/>
      <c r="CW523" s="92"/>
      <c r="CX523" s="92"/>
      <c r="CY523" s="92"/>
      <c r="CZ523" s="92"/>
      <c r="DA523" s="92"/>
      <c r="DB523" s="92"/>
      <c r="DC523" s="92"/>
      <c r="DD523" s="92"/>
      <c r="DE523" s="92"/>
      <c r="DF523" s="92"/>
      <c r="DG523" s="92"/>
      <c r="DH523" s="92"/>
      <c r="DI523" s="92"/>
      <c r="DJ523" s="92"/>
      <c r="DK523" s="92"/>
      <c r="DL523" s="92"/>
      <c r="DM523" s="92"/>
      <c r="DN523" s="92"/>
      <c r="DO523" s="92"/>
      <c r="DP523" s="92"/>
      <c r="DQ523" s="92"/>
      <c r="DR523" s="92"/>
      <c r="DS523" s="92"/>
      <c r="DT523" s="92"/>
      <c r="DU523" s="92"/>
      <c r="DV523" s="92"/>
      <c r="DW523" s="92"/>
      <c r="DX523" s="92"/>
      <c r="DY523" s="92"/>
      <c r="DZ523" s="92"/>
      <c r="EA523" s="92"/>
      <c r="EB523" s="92"/>
      <c r="EC523" s="92"/>
      <c r="ED523" s="92"/>
      <c r="EE523" s="92"/>
      <c r="EF523" s="92"/>
      <c r="EG523" s="92"/>
      <c r="EH523" s="92"/>
      <c r="EI523" s="92"/>
      <c r="EJ523" s="92"/>
      <c r="EK523" s="92"/>
      <c r="EL523" s="92"/>
      <c r="EM523" s="92"/>
      <c r="EN523" s="92"/>
      <c r="EO523" s="92"/>
      <c r="EP523" s="92"/>
      <c r="EQ523" s="92"/>
      <c r="ER523" s="92"/>
      <c r="ES523" s="92"/>
      <c r="ET523" s="92"/>
      <c r="EU523" s="92"/>
      <c r="EV523" s="92"/>
      <c r="EW523" s="92"/>
      <c r="EX523" s="92"/>
      <c r="EY523" s="92"/>
      <c r="EZ523" s="92"/>
      <c r="FA523" s="92"/>
      <c r="FB523" s="92"/>
      <c r="FC523" s="92"/>
      <c r="FD523" s="92"/>
      <c r="FE523" s="92"/>
      <c r="FF523" s="92"/>
      <c r="FG523" s="92"/>
      <c r="FH523" s="92"/>
    </row>
    <row r="524">
      <c r="A524" s="32" t="s">
        <v>77</v>
      </c>
      <c r="B524" s="32" t="s">
        <v>91</v>
      </c>
      <c r="C524" s="32" t="s">
        <v>9</v>
      </c>
      <c r="D524" s="97">
        <f t="shared" si="1"/>
        <v>7188.913593</v>
      </c>
      <c r="E524" s="92">
        <f>(SUBSTITUTE(Audio!E524, "RE-", "", 1))*1</f>
        <v>0</v>
      </c>
      <c r="F524" s="92">
        <f>(SUBSTITUTE(Audio!F524, "RE-", "", 1))*1</f>
        <v>2183.859066</v>
      </c>
      <c r="G524" s="92">
        <f>(SUBSTITUTE(Audio!G524, "RE-", "", 1))*1</f>
        <v>0</v>
      </c>
      <c r="H524" s="92">
        <f>(SUBSTITUTE(Audio!H524, "RE-", "", 1))*1</f>
        <v>349.8502698</v>
      </c>
      <c r="I524" s="92">
        <f>(SUBSTITUTE(Audio!I524, "RE-", "", 1))*1</f>
        <v>0</v>
      </c>
      <c r="J524" s="92">
        <f>(SUBSTITUTE(Audio!J524, "RE-", "", 1))*1</f>
        <v>318.3778125</v>
      </c>
      <c r="K524" s="92">
        <f>(SUBSTITUTE(Audio!K524, "RE-", "", 1))*1</f>
        <v>0</v>
      </c>
      <c r="L524" s="92">
        <f>(SUBSTITUTE(Audio!L524, "RE-", "", 1))*1</f>
        <v>1999.664344</v>
      </c>
      <c r="M524" s="92">
        <f>(SUBSTITUTE(Audio!M524, "RE-", "", 1))*1</f>
        <v>0</v>
      </c>
      <c r="N524" s="92">
        <f>(SUBSTITUTE(Audio!N524, "RE-", "", 1))*1</f>
        <v>328.0391573</v>
      </c>
      <c r="O524" s="92">
        <f>(SUBSTITUTE(Audio!O524, "RE-", "", 1))*1</f>
        <v>0</v>
      </c>
      <c r="P524" s="92">
        <f>(SUBSTITUTE(Audio!P524, "RE-", "", 1))*1</f>
        <v>646.6750656</v>
      </c>
      <c r="Q524" s="92">
        <f>(SUBSTITUTE(Audio!Q524, "RE-", "", 1))*1</f>
        <v>0</v>
      </c>
      <c r="R524" s="92">
        <f>(SUBSTITUTE(Audio!R524, "RE-", "", 1))*1</f>
        <v>1203.555846</v>
      </c>
      <c r="S524" s="92">
        <f>(SUBSTITUTE(Audio!S524, "RE-", "", 1))*1</f>
        <v>0</v>
      </c>
      <c r="T524" s="92">
        <f>(SUBSTITUTE(Audio!T524, "RE-", "", 1))*1</f>
        <v>158.8920323</v>
      </c>
      <c r="U524" s="92">
        <f>(SUBSTITUTE(Audio!U524, "RE-", "", 1))*1</f>
        <v>0</v>
      </c>
      <c r="V524" s="92">
        <f>(SUBSTITUTE(Audio!V524, "RE-", "", 1))*1</f>
        <v>0</v>
      </c>
      <c r="W524" s="92">
        <f>(SUBSTITUTE(Audio!W524, "RE-", "", 1))*1</f>
        <v>0</v>
      </c>
      <c r="X524" s="92">
        <f>(SUBSTITUTE(Audio!X524, "RE-", "", 1))*1</f>
        <v>0</v>
      </c>
      <c r="Y524" s="92">
        <f>(SUBSTITUTE(Audio!Y524, "RE-", "", 1))*1</f>
        <v>0</v>
      </c>
      <c r="Z524" s="92">
        <f>(SUBSTITUTE(Audio!Z524, "RE-", "", 1))*1</f>
        <v>0</v>
      </c>
      <c r="AA524" s="92"/>
      <c r="AB524" s="92"/>
      <c r="AC524" s="92"/>
      <c r="AD524" s="92"/>
      <c r="AE524" s="92"/>
      <c r="AF524" s="92"/>
      <c r="AG524" s="92"/>
      <c r="AH524" s="92"/>
      <c r="AI524" s="92"/>
      <c r="AJ524" s="92"/>
      <c r="AK524" s="92"/>
      <c r="AL524" s="92"/>
      <c r="AM524" s="92"/>
      <c r="AN524" s="92"/>
      <c r="AO524" s="92"/>
      <c r="AP524" s="92"/>
      <c r="AQ524" s="92"/>
      <c r="AR524" s="92"/>
      <c r="AS524" s="92"/>
      <c r="AT524" s="92"/>
      <c r="AU524" s="92"/>
      <c r="AV524" s="92"/>
      <c r="AW524" s="92"/>
      <c r="AX524" s="92"/>
      <c r="AY524" s="92"/>
      <c r="AZ524" s="92"/>
      <c r="BA524" s="92"/>
      <c r="BB524" s="92"/>
      <c r="BC524" s="92"/>
      <c r="BD524" s="92"/>
      <c r="BE524" s="92"/>
      <c r="BF524" s="92"/>
      <c r="BG524" s="92"/>
      <c r="BH524" s="92"/>
      <c r="BI524" s="92"/>
      <c r="BJ524" s="92"/>
      <c r="BK524" s="92"/>
      <c r="BL524" s="92"/>
      <c r="BM524" s="92"/>
      <c r="BN524" s="92"/>
      <c r="BO524" s="92"/>
      <c r="BP524" s="92"/>
      <c r="BQ524" s="92"/>
      <c r="BR524" s="92"/>
      <c r="BS524" s="92"/>
      <c r="BT524" s="92"/>
      <c r="BU524" s="92"/>
      <c r="BV524" s="92"/>
      <c r="BW524" s="92"/>
      <c r="BX524" s="92"/>
      <c r="BY524" s="92"/>
      <c r="BZ524" s="92"/>
      <c r="CA524" s="92"/>
      <c r="CB524" s="92"/>
      <c r="CC524" s="92"/>
      <c r="CD524" s="92"/>
      <c r="CE524" s="92"/>
      <c r="CF524" s="92"/>
      <c r="CG524" s="92"/>
      <c r="CH524" s="92"/>
      <c r="CI524" s="92"/>
      <c r="CJ524" s="92"/>
      <c r="CK524" s="92"/>
      <c r="CL524" s="92"/>
      <c r="CM524" s="92"/>
      <c r="CN524" s="92"/>
      <c r="CO524" s="92"/>
      <c r="CP524" s="92"/>
      <c r="CQ524" s="92"/>
      <c r="CR524" s="92"/>
      <c r="CS524" s="92"/>
      <c r="CT524" s="92"/>
      <c r="CU524" s="92"/>
      <c r="CV524" s="92"/>
      <c r="CW524" s="92"/>
      <c r="CX524" s="92"/>
      <c r="CY524" s="92"/>
      <c r="CZ524" s="92"/>
      <c r="DA524" s="92"/>
      <c r="DB524" s="92"/>
      <c r="DC524" s="92"/>
      <c r="DD524" s="92"/>
      <c r="DE524" s="92"/>
      <c r="DF524" s="92"/>
      <c r="DG524" s="92"/>
      <c r="DH524" s="92"/>
      <c r="DI524" s="92"/>
      <c r="DJ524" s="92"/>
      <c r="DK524" s="92"/>
      <c r="DL524" s="92"/>
      <c r="DM524" s="92"/>
      <c r="DN524" s="92"/>
      <c r="DO524" s="92"/>
      <c r="DP524" s="92"/>
      <c r="DQ524" s="92"/>
      <c r="DR524" s="92"/>
      <c r="DS524" s="92"/>
      <c r="DT524" s="92"/>
      <c r="DU524" s="92"/>
      <c r="DV524" s="92"/>
      <c r="DW524" s="92"/>
      <c r="DX524" s="92"/>
      <c r="DY524" s="92"/>
      <c r="DZ524" s="92"/>
      <c r="EA524" s="92"/>
      <c r="EB524" s="92"/>
      <c r="EC524" s="92"/>
      <c r="ED524" s="92"/>
      <c r="EE524" s="92"/>
      <c r="EF524" s="92"/>
      <c r="EG524" s="92"/>
      <c r="EH524" s="92"/>
      <c r="EI524" s="92"/>
      <c r="EJ524" s="92"/>
      <c r="EK524" s="92"/>
      <c r="EL524" s="92"/>
      <c r="EM524" s="92"/>
      <c r="EN524" s="92"/>
      <c r="EO524" s="92"/>
      <c r="EP524" s="92"/>
      <c r="EQ524" s="92"/>
      <c r="ER524" s="92"/>
      <c r="ES524" s="92"/>
      <c r="ET524" s="92"/>
      <c r="EU524" s="92"/>
      <c r="EV524" s="92"/>
      <c r="EW524" s="92"/>
      <c r="EX524" s="92"/>
      <c r="EY524" s="92"/>
      <c r="EZ524" s="92"/>
      <c r="FA524" s="92"/>
      <c r="FB524" s="92"/>
      <c r="FC524" s="92"/>
      <c r="FD524" s="92"/>
      <c r="FE524" s="92"/>
      <c r="FF524" s="92"/>
      <c r="FG524" s="92"/>
      <c r="FH524" s="92"/>
    </row>
    <row r="525">
      <c r="A525" s="32" t="s">
        <v>77</v>
      </c>
      <c r="B525" s="32" t="s">
        <v>91</v>
      </c>
      <c r="C525" s="32" t="s">
        <v>10</v>
      </c>
      <c r="D525" s="97">
        <f t="shared" si="1"/>
        <v>578.9960709</v>
      </c>
      <c r="E525" s="92">
        <f>(SUBSTITUTE(Audio!E525, "RE-", "", 1))*1</f>
        <v>0</v>
      </c>
      <c r="F525" s="92">
        <f>(SUBSTITUTE(Audio!F525, "RE-", "", 1))*1</f>
        <v>0</v>
      </c>
      <c r="G525" s="92">
        <f>(SUBSTITUTE(Audio!G525, "RE-", "", 1))*1</f>
        <v>226.4264167</v>
      </c>
      <c r="H525" s="92">
        <f>(SUBSTITUTE(Audio!H525, "RE-", "", 1))*1</f>
        <v>0</v>
      </c>
      <c r="I525" s="92">
        <f>(SUBSTITUTE(Audio!I525, "RE-", "", 1))*1</f>
        <v>14.72597708</v>
      </c>
      <c r="J525" s="92">
        <f>(SUBSTITUTE(Audio!J525, "RE-", "", 1))*1</f>
        <v>0</v>
      </c>
      <c r="K525" s="92">
        <f>(SUBSTITUTE(Audio!K525, "RE-", "", 1))*1</f>
        <v>32.38496667</v>
      </c>
      <c r="L525" s="92">
        <f>(SUBSTITUTE(Audio!L525, "RE-", "", 1))*1</f>
        <v>0</v>
      </c>
      <c r="M525" s="92">
        <f>(SUBSTITUTE(Audio!M525, "RE-", "", 1))*1</f>
        <v>87.99982813</v>
      </c>
      <c r="N525" s="92">
        <f>(SUBSTITUTE(Audio!N525, "RE-", "", 1))*1</f>
        <v>0</v>
      </c>
      <c r="O525" s="92">
        <f>(SUBSTITUTE(Audio!O525, "RE-", "", 1))*1</f>
        <v>19.26906979</v>
      </c>
      <c r="P525" s="92">
        <f>(SUBSTITUTE(Audio!P525, "RE-", "", 1))*1</f>
        <v>0</v>
      </c>
      <c r="Q525" s="92">
        <f>(SUBSTITUTE(Audio!Q525, "RE-", "", 1))*1</f>
        <v>60.45818125</v>
      </c>
      <c r="R525" s="92">
        <f>(SUBSTITUTE(Audio!R525, "RE-", "", 1))*1</f>
        <v>0</v>
      </c>
      <c r="S525" s="92">
        <f>(SUBSTITUTE(Audio!S525, "RE-", "", 1))*1</f>
        <v>103.0355302</v>
      </c>
      <c r="T525" s="92">
        <f>(SUBSTITUTE(Audio!T525, "RE-", "", 1))*1</f>
        <v>0</v>
      </c>
      <c r="U525" s="92">
        <f>(SUBSTITUTE(Audio!U525, "RE-", "", 1))*1</f>
        <v>34.35879063</v>
      </c>
      <c r="V525" s="92">
        <f>(SUBSTITUTE(Audio!V525, "RE-", "", 1))*1</f>
        <v>0.3373104167</v>
      </c>
      <c r="W525" s="92">
        <f>(SUBSTITUTE(Audio!W525, "RE-", "", 1))*1</f>
        <v>0</v>
      </c>
      <c r="X525" s="92">
        <f>(SUBSTITUTE(Audio!X525, "RE-", "", 1))*1</f>
        <v>0</v>
      </c>
      <c r="Y525" s="92">
        <f>(SUBSTITUTE(Audio!Y525, "RE-", "", 1))*1</f>
        <v>0</v>
      </c>
      <c r="Z525" s="92">
        <f>(SUBSTITUTE(Audio!Z525, "RE-", "", 1))*1</f>
        <v>0</v>
      </c>
      <c r="AA525" s="92"/>
      <c r="AB525" s="92"/>
      <c r="AC525" s="92"/>
      <c r="AD525" s="92"/>
      <c r="AE525" s="92"/>
      <c r="AF525" s="92"/>
      <c r="AG525" s="92"/>
      <c r="AH525" s="92"/>
      <c r="AI525" s="92"/>
      <c r="AJ525" s="92"/>
      <c r="AK525" s="92"/>
      <c r="AL525" s="92"/>
      <c r="AM525" s="92"/>
      <c r="AN525" s="92"/>
      <c r="AO525" s="92"/>
      <c r="AP525" s="92"/>
      <c r="AQ525" s="92"/>
      <c r="AR525" s="92"/>
      <c r="AS525" s="92"/>
      <c r="AT525" s="92"/>
      <c r="AU525" s="92"/>
      <c r="AV525" s="92"/>
      <c r="AW525" s="92"/>
      <c r="AX525" s="92"/>
      <c r="AY525" s="92"/>
      <c r="AZ525" s="92"/>
      <c r="BA525" s="92"/>
      <c r="BB525" s="92"/>
      <c r="BC525" s="92"/>
      <c r="BD525" s="92"/>
      <c r="BE525" s="92"/>
      <c r="BF525" s="92"/>
      <c r="BG525" s="92"/>
      <c r="BH525" s="92"/>
      <c r="BI525" s="92"/>
      <c r="BJ525" s="92"/>
      <c r="BK525" s="92"/>
      <c r="BL525" s="92"/>
      <c r="BM525" s="92"/>
      <c r="BN525" s="92"/>
      <c r="BO525" s="92"/>
      <c r="BP525" s="92"/>
      <c r="BQ525" s="92"/>
      <c r="BR525" s="92"/>
      <c r="BS525" s="92"/>
      <c r="BT525" s="92"/>
      <c r="BU525" s="92"/>
      <c r="BV525" s="92"/>
      <c r="BW525" s="92"/>
      <c r="BX525" s="92"/>
      <c r="BY525" s="92"/>
      <c r="BZ525" s="92"/>
      <c r="CA525" s="92"/>
      <c r="CB525" s="92"/>
      <c r="CC525" s="92"/>
      <c r="CD525" s="92"/>
      <c r="CE525" s="92"/>
      <c r="CF525" s="92"/>
      <c r="CG525" s="92"/>
      <c r="CH525" s="92"/>
      <c r="CI525" s="92"/>
      <c r="CJ525" s="92"/>
      <c r="CK525" s="92"/>
      <c r="CL525" s="92"/>
      <c r="CM525" s="92"/>
      <c r="CN525" s="92"/>
      <c r="CO525" s="92"/>
      <c r="CP525" s="92"/>
      <c r="CQ525" s="92"/>
      <c r="CR525" s="92"/>
      <c r="CS525" s="92"/>
      <c r="CT525" s="92"/>
      <c r="CU525" s="92"/>
      <c r="CV525" s="92"/>
      <c r="CW525" s="92"/>
      <c r="CX525" s="92"/>
      <c r="CY525" s="92"/>
      <c r="CZ525" s="92"/>
      <c r="DA525" s="92"/>
      <c r="DB525" s="92"/>
      <c r="DC525" s="92"/>
      <c r="DD525" s="92"/>
      <c r="DE525" s="92"/>
      <c r="DF525" s="92"/>
      <c r="DG525" s="92"/>
      <c r="DH525" s="92"/>
      <c r="DI525" s="92"/>
      <c r="DJ525" s="92"/>
      <c r="DK525" s="92"/>
      <c r="DL525" s="92"/>
      <c r="DM525" s="92"/>
      <c r="DN525" s="92"/>
      <c r="DO525" s="92"/>
      <c r="DP525" s="92"/>
      <c r="DQ525" s="92"/>
      <c r="DR525" s="92"/>
      <c r="DS525" s="92"/>
      <c r="DT525" s="92"/>
      <c r="DU525" s="92"/>
      <c r="DV525" s="92"/>
      <c r="DW525" s="92"/>
      <c r="DX525" s="92"/>
      <c r="DY525" s="92"/>
      <c r="DZ525" s="92"/>
      <c r="EA525" s="92"/>
      <c r="EB525" s="92"/>
      <c r="EC525" s="92"/>
      <c r="ED525" s="92"/>
      <c r="EE525" s="92"/>
      <c r="EF525" s="92"/>
      <c r="EG525" s="92"/>
      <c r="EH525" s="92"/>
      <c r="EI525" s="92"/>
      <c r="EJ525" s="92"/>
      <c r="EK525" s="92"/>
      <c r="EL525" s="92"/>
      <c r="EM525" s="92"/>
      <c r="EN525" s="92"/>
      <c r="EO525" s="92"/>
      <c r="EP525" s="92"/>
      <c r="EQ525" s="92"/>
      <c r="ER525" s="92"/>
      <c r="ES525" s="92"/>
      <c r="ET525" s="92"/>
      <c r="EU525" s="92"/>
      <c r="EV525" s="92"/>
      <c r="EW525" s="92"/>
      <c r="EX525" s="92"/>
      <c r="EY525" s="92"/>
      <c r="EZ525" s="92"/>
      <c r="FA525" s="92"/>
      <c r="FB525" s="92"/>
      <c r="FC525" s="92"/>
      <c r="FD525" s="92"/>
      <c r="FE525" s="92"/>
      <c r="FF525" s="92"/>
      <c r="FG525" s="92"/>
      <c r="FH525" s="92"/>
    </row>
    <row r="526">
      <c r="A526" s="32" t="s">
        <v>77</v>
      </c>
      <c r="B526" s="32" t="s">
        <v>91</v>
      </c>
      <c r="C526" s="32" t="s">
        <v>11</v>
      </c>
      <c r="D526" s="97">
        <f t="shared" si="1"/>
        <v>578.9960708</v>
      </c>
      <c r="E526" s="92">
        <f>(SUBSTITUTE(Audio!E526, "RE-", "", 1))*1</f>
        <v>0</v>
      </c>
      <c r="F526" s="92">
        <f>(SUBSTITUTE(Audio!F526, "RE-", "", 1))*1</f>
        <v>0</v>
      </c>
      <c r="G526" s="92">
        <f>(SUBSTITUTE(Audio!G526, "RE-", "", 1))*1</f>
        <v>226.4264167</v>
      </c>
      <c r="H526" s="92">
        <f>(SUBSTITUTE(Audio!H526, "RE-", "", 1))*1</f>
        <v>0</v>
      </c>
      <c r="I526" s="92">
        <f>(SUBSTITUTE(Audio!I526, "RE-", "", 1))*1</f>
        <v>14.72597708</v>
      </c>
      <c r="J526" s="92">
        <f>(SUBSTITUTE(Audio!J526, "RE-", "", 1))*1</f>
        <v>0</v>
      </c>
      <c r="K526" s="92">
        <f>(SUBSTITUTE(Audio!K526, "RE-", "", 1))*1</f>
        <v>32.38496667</v>
      </c>
      <c r="L526" s="92">
        <f>(SUBSTITUTE(Audio!L526, "RE-", "", 1))*1</f>
        <v>0</v>
      </c>
      <c r="M526" s="92">
        <f>(SUBSTITUTE(Audio!M526, "RE-", "", 1))*1</f>
        <v>87.99982813</v>
      </c>
      <c r="N526" s="92">
        <f>(SUBSTITUTE(Audio!N526, "RE-", "", 1))*1</f>
        <v>0</v>
      </c>
      <c r="O526" s="92">
        <f>(SUBSTITUTE(Audio!O526, "RE-", "", 1))*1</f>
        <v>19.26906979</v>
      </c>
      <c r="P526" s="92">
        <f>(SUBSTITUTE(Audio!P526, "RE-", "", 1))*1</f>
        <v>0</v>
      </c>
      <c r="Q526" s="92">
        <f>(SUBSTITUTE(Audio!Q526, "RE-", "", 1))*1</f>
        <v>60.45818125</v>
      </c>
      <c r="R526" s="92">
        <f>(SUBSTITUTE(Audio!R526, "RE-", "", 1))*1</f>
        <v>0</v>
      </c>
      <c r="S526" s="92">
        <f>(SUBSTITUTE(Audio!S526, "RE-", "", 1))*1</f>
        <v>103.0355302</v>
      </c>
      <c r="T526" s="92">
        <f>(SUBSTITUTE(Audio!T526, "RE-", "", 1))*1</f>
        <v>0</v>
      </c>
      <c r="U526" s="92">
        <f>(SUBSTITUTE(Audio!U526, "RE-", "", 1))*1</f>
        <v>34.35879063</v>
      </c>
      <c r="V526" s="92">
        <f>(SUBSTITUTE(Audio!V526, "RE-", "", 1))*1</f>
        <v>0.3373104167</v>
      </c>
      <c r="W526" s="92">
        <f>(SUBSTITUTE(Audio!W526, "RE-", "", 1))*1</f>
        <v>0</v>
      </c>
      <c r="X526" s="92">
        <f>(SUBSTITUTE(Audio!X526, "RE-", "", 1))*1</f>
        <v>0</v>
      </c>
      <c r="Y526" s="92">
        <f>(SUBSTITUTE(Audio!Y526, "RE-", "", 1))*1</f>
        <v>0</v>
      </c>
      <c r="Z526" s="92">
        <f>(SUBSTITUTE(Audio!Z526, "RE-", "", 1))*1</f>
        <v>0</v>
      </c>
      <c r="AA526" s="92"/>
      <c r="AB526" s="92"/>
      <c r="AC526" s="92"/>
      <c r="AD526" s="92"/>
      <c r="AE526" s="92"/>
      <c r="AF526" s="92"/>
      <c r="AG526" s="92"/>
      <c r="AH526" s="92"/>
      <c r="AI526" s="92"/>
      <c r="AJ526" s="92"/>
      <c r="AK526" s="92"/>
      <c r="AL526" s="92"/>
      <c r="AM526" s="92"/>
      <c r="AN526" s="92"/>
      <c r="AO526" s="92"/>
      <c r="AP526" s="92"/>
      <c r="AQ526" s="92"/>
      <c r="AR526" s="92"/>
      <c r="AS526" s="92"/>
      <c r="AT526" s="92"/>
      <c r="AU526" s="92"/>
      <c r="AV526" s="92"/>
      <c r="AW526" s="92"/>
      <c r="AX526" s="92"/>
      <c r="AY526" s="92"/>
      <c r="AZ526" s="92"/>
      <c r="BA526" s="92"/>
      <c r="BB526" s="92"/>
      <c r="BC526" s="92"/>
      <c r="BD526" s="92"/>
      <c r="BE526" s="92"/>
      <c r="BF526" s="92"/>
      <c r="BG526" s="92"/>
      <c r="BH526" s="92"/>
      <c r="BI526" s="92"/>
      <c r="BJ526" s="92"/>
      <c r="BK526" s="92"/>
      <c r="BL526" s="92"/>
      <c r="BM526" s="92"/>
      <c r="BN526" s="92"/>
      <c r="BO526" s="92"/>
      <c r="BP526" s="92"/>
      <c r="BQ526" s="92"/>
      <c r="BR526" s="92"/>
      <c r="BS526" s="92"/>
      <c r="BT526" s="92"/>
      <c r="BU526" s="92"/>
      <c r="BV526" s="92"/>
      <c r="BW526" s="92"/>
      <c r="BX526" s="92"/>
      <c r="BY526" s="92"/>
      <c r="BZ526" s="92"/>
      <c r="CA526" s="92"/>
      <c r="CB526" s="92"/>
      <c r="CC526" s="92"/>
      <c r="CD526" s="92"/>
      <c r="CE526" s="92"/>
      <c r="CF526" s="92"/>
      <c r="CG526" s="92"/>
      <c r="CH526" s="92"/>
      <c r="CI526" s="92"/>
      <c r="CJ526" s="92"/>
      <c r="CK526" s="92"/>
      <c r="CL526" s="92"/>
      <c r="CM526" s="92"/>
      <c r="CN526" s="92"/>
      <c r="CO526" s="92"/>
      <c r="CP526" s="92"/>
      <c r="CQ526" s="92"/>
      <c r="CR526" s="92"/>
      <c r="CS526" s="92"/>
      <c r="CT526" s="92"/>
      <c r="CU526" s="92"/>
      <c r="CV526" s="92"/>
      <c r="CW526" s="92"/>
      <c r="CX526" s="92"/>
      <c r="CY526" s="92"/>
      <c r="CZ526" s="92"/>
      <c r="DA526" s="92"/>
      <c r="DB526" s="92"/>
      <c r="DC526" s="92"/>
      <c r="DD526" s="92"/>
      <c r="DE526" s="92"/>
      <c r="DF526" s="92"/>
      <c r="DG526" s="92"/>
      <c r="DH526" s="92"/>
      <c r="DI526" s="92"/>
      <c r="DJ526" s="92"/>
      <c r="DK526" s="92"/>
      <c r="DL526" s="92"/>
      <c r="DM526" s="92"/>
      <c r="DN526" s="92"/>
      <c r="DO526" s="92"/>
      <c r="DP526" s="92"/>
      <c r="DQ526" s="92"/>
      <c r="DR526" s="92"/>
      <c r="DS526" s="92"/>
      <c r="DT526" s="92"/>
      <c r="DU526" s="92"/>
      <c r="DV526" s="92"/>
      <c r="DW526" s="92"/>
      <c r="DX526" s="92"/>
      <c r="DY526" s="92"/>
      <c r="DZ526" s="92"/>
      <c r="EA526" s="92"/>
      <c r="EB526" s="92"/>
      <c r="EC526" s="92"/>
      <c r="ED526" s="92"/>
      <c r="EE526" s="92"/>
      <c r="EF526" s="92"/>
      <c r="EG526" s="92"/>
      <c r="EH526" s="92"/>
      <c r="EI526" s="92"/>
      <c r="EJ526" s="92"/>
      <c r="EK526" s="92"/>
      <c r="EL526" s="92"/>
      <c r="EM526" s="92"/>
      <c r="EN526" s="92"/>
      <c r="EO526" s="92"/>
      <c r="EP526" s="92"/>
      <c r="EQ526" s="92"/>
      <c r="ER526" s="92"/>
      <c r="ES526" s="92"/>
      <c r="ET526" s="92"/>
      <c r="EU526" s="92"/>
      <c r="EV526" s="92"/>
      <c r="EW526" s="92"/>
      <c r="EX526" s="92"/>
      <c r="EY526" s="92"/>
      <c r="EZ526" s="92"/>
      <c r="FA526" s="92"/>
      <c r="FB526" s="92"/>
      <c r="FC526" s="92"/>
      <c r="FD526" s="92"/>
      <c r="FE526" s="92"/>
      <c r="FF526" s="92"/>
      <c r="FG526" s="92"/>
      <c r="FH526" s="92"/>
    </row>
    <row r="527">
      <c r="A527" s="32" t="s">
        <v>77</v>
      </c>
      <c r="B527" s="32" t="s">
        <v>91</v>
      </c>
      <c r="C527" s="32" t="s">
        <v>12</v>
      </c>
      <c r="D527" s="97">
        <f t="shared" si="1"/>
        <v>6284.352296</v>
      </c>
      <c r="E527" s="92">
        <f>(SUBSTITUTE(Audio!E527, "RE-", "", 1))*1</f>
        <v>0</v>
      </c>
      <c r="F527" s="92">
        <f>(SUBSTITUTE(Audio!F527, "RE-", "", 1))*1</f>
        <v>1727.725976</v>
      </c>
      <c r="G527" s="92">
        <f>(SUBSTITUTE(Audio!G527, "RE-", "", 1))*1</f>
        <v>7.626054167</v>
      </c>
      <c r="H527" s="92">
        <f>(SUBSTITUTE(Audio!H527, "RE-", "", 1))*1</f>
        <v>311.9381844</v>
      </c>
      <c r="I527" s="92">
        <f>(SUBSTITUTE(Audio!I527, "RE-", "", 1))*1</f>
        <v>0.9712375</v>
      </c>
      <c r="J527" s="92">
        <f>(SUBSTITUTE(Audio!J527, "RE-", "", 1))*1</f>
        <v>230.8936646</v>
      </c>
      <c r="K527" s="92">
        <f>(SUBSTITUTE(Audio!K527, "RE-", "", 1))*1</f>
        <v>1.27863125</v>
      </c>
      <c r="L527" s="92">
        <f>(SUBSTITUTE(Audio!L527, "RE-", "", 1))*1</f>
        <v>1831.400497</v>
      </c>
      <c r="M527" s="92">
        <f>(SUBSTITUTE(Audio!M527, "RE-", "", 1))*1</f>
        <v>21.80902917</v>
      </c>
      <c r="N527" s="92">
        <f>(SUBSTITUTE(Audio!N527, "RE-", "", 1))*1</f>
        <v>166.8701979</v>
      </c>
      <c r="O527" s="92">
        <f>(SUBSTITUTE(Audio!O527, "RE-", "", 1))*1</f>
        <v>5.7487125</v>
      </c>
      <c r="P527" s="92">
        <f>(SUBSTITUTE(Audio!P527, "RE-", "", 1))*1</f>
        <v>590.7160458</v>
      </c>
      <c r="Q527" s="92">
        <f>(SUBSTITUTE(Audio!Q527, "RE-", "", 1))*1</f>
        <v>25.46659687</v>
      </c>
      <c r="R527" s="92">
        <f>(SUBSTITUTE(Audio!R527, "RE-", "", 1))*1</f>
        <v>1146.966581</v>
      </c>
      <c r="S527" s="92">
        <f>(SUBSTITUTE(Audio!S527, "RE-", "", 1))*1</f>
        <v>45.71307604</v>
      </c>
      <c r="T527" s="92">
        <f>(SUBSTITUTE(Audio!T527, "RE-", "", 1))*1</f>
        <v>152.4535719</v>
      </c>
      <c r="U527" s="92">
        <f>(SUBSTITUTE(Audio!U527, "RE-", "", 1))*1</f>
        <v>16.43692917</v>
      </c>
      <c r="V527" s="92">
        <f>(SUBSTITUTE(Audio!V527, "RE-", "", 1))*1</f>
        <v>0.3373104167</v>
      </c>
      <c r="W527" s="92">
        <f>(SUBSTITUTE(Audio!W527, "RE-", "", 1))*1</f>
        <v>0</v>
      </c>
      <c r="X527" s="92">
        <f>(SUBSTITUTE(Audio!X527, "RE-", "", 1))*1</f>
        <v>0</v>
      </c>
      <c r="Y527" s="92">
        <f>(SUBSTITUTE(Audio!Y527, "RE-", "", 1))*1</f>
        <v>0</v>
      </c>
      <c r="Z527" s="92">
        <f>(SUBSTITUTE(Audio!Z527, "RE-", "", 1))*1</f>
        <v>0</v>
      </c>
      <c r="AA527" s="92"/>
      <c r="AB527" s="92"/>
      <c r="AC527" s="92"/>
      <c r="AD527" s="92"/>
      <c r="AE527" s="92"/>
      <c r="AF527" s="92"/>
      <c r="AG527" s="92"/>
      <c r="AH527" s="92"/>
      <c r="AI527" s="92"/>
      <c r="AJ527" s="92"/>
      <c r="AK527" s="92"/>
      <c r="AL527" s="92"/>
      <c r="AM527" s="92"/>
      <c r="AN527" s="92"/>
      <c r="AO527" s="92"/>
      <c r="AP527" s="92"/>
      <c r="AQ527" s="92"/>
      <c r="AR527" s="92"/>
      <c r="AS527" s="92"/>
      <c r="AT527" s="92"/>
      <c r="AU527" s="92"/>
      <c r="AV527" s="92"/>
      <c r="AW527" s="92"/>
      <c r="AX527" s="92"/>
      <c r="AY527" s="92"/>
      <c r="AZ527" s="92"/>
      <c r="BA527" s="92"/>
      <c r="BB527" s="92"/>
      <c r="BC527" s="92"/>
      <c r="BD527" s="92"/>
      <c r="BE527" s="92"/>
      <c r="BF527" s="92"/>
      <c r="BG527" s="92"/>
      <c r="BH527" s="92"/>
      <c r="BI527" s="92"/>
      <c r="BJ527" s="92"/>
      <c r="BK527" s="92"/>
      <c r="BL527" s="92"/>
      <c r="BM527" s="92"/>
      <c r="BN527" s="92"/>
      <c r="BO527" s="92"/>
      <c r="BP527" s="92"/>
      <c r="BQ527" s="92"/>
      <c r="BR527" s="92"/>
      <c r="BS527" s="92"/>
      <c r="BT527" s="92"/>
      <c r="BU527" s="92"/>
      <c r="BV527" s="92"/>
      <c r="BW527" s="92"/>
      <c r="BX527" s="92"/>
      <c r="BY527" s="92"/>
      <c r="BZ527" s="92"/>
      <c r="CA527" s="92"/>
      <c r="CB527" s="92"/>
      <c r="CC527" s="92"/>
      <c r="CD527" s="92"/>
      <c r="CE527" s="92"/>
      <c r="CF527" s="92"/>
      <c r="CG527" s="92"/>
      <c r="CH527" s="92"/>
      <c r="CI527" s="92"/>
      <c r="CJ527" s="92"/>
      <c r="CK527" s="92"/>
      <c r="CL527" s="92"/>
      <c r="CM527" s="92"/>
      <c r="CN527" s="92"/>
      <c r="CO527" s="92"/>
      <c r="CP527" s="92"/>
      <c r="CQ527" s="92"/>
      <c r="CR527" s="92"/>
      <c r="CS527" s="92"/>
      <c r="CT527" s="92"/>
      <c r="CU527" s="92"/>
      <c r="CV527" s="92"/>
      <c r="CW527" s="92"/>
      <c r="CX527" s="92"/>
      <c r="CY527" s="92"/>
      <c r="CZ527" s="92"/>
      <c r="DA527" s="92"/>
      <c r="DB527" s="92"/>
      <c r="DC527" s="92"/>
      <c r="DD527" s="92"/>
      <c r="DE527" s="92"/>
      <c r="DF527" s="92"/>
      <c r="DG527" s="92"/>
      <c r="DH527" s="92"/>
      <c r="DI527" s="92"/>
      <c r="DJ527" s="92"/>
      <c r="DK527" s="92"/>
      <c r="DL527" s="92"/>
      <c r="DM527" s="92"/>
      <c r="DN527" s="92"/>
      <c r="DO527" s="92"/>
      <c r="DP527" s="92"/>
      <c r="DQ527" s="92"/>
      <c r="DR527" s="92"/>
      <c r="DS527" s="92"/>
      <c r="DT527" s="92"/>
      <c r="DU527" s="92"/>
      <c r="DV527" s="92"/>
      <c r="DW527" s="92"/>
      <c r="DX527" s="92"/>
      <c r="DY527" s="92"/>
      <c r="DZ527" s="92"/>
      <c r="EA527" s="92"/>
      <c r="EB527" s="92"/>
      <c r="EC527" s="92"/>
      <c r="ED527" s="92"/>
      <c r="EE527" s="92"/>
      <c r="EF527" s="92"/>
      <c r="EG527" s="92"/>
      <c r="EH527" s="92"/>
      <c r="EI527" s="92"/>
      <c r="EJ527" s="92"/>
      <c r="EK527" s="92"/>
      <c r="EL527" s="92"/>
      <c r="EM527" s="92"/>
      <c r="EN527" s="92"/>
      <c r="EO527" s="92"/>
      <c r="EP527" s="92"/>
      <c r="EQ527" s="92"/>
      <c r="ER527" s="92"/>
      <c r="ES527" s="92"/>
      <c r="ET527" s="92"/>
      <c r="EU527" s="92"/>
      <c r="EV527" s="92"/>
      <c r="EW527" s="92"/>
      <c r="EX527" s="92"/>
      <c r="EY527" s="92"/>
      <c r="EZ527" s="92"/>
      <c r="FA527" s="92"/>
      <c r="FB527" s="92"/>
      <c r="FC527" s="92"/>
      <c r="FD527" s="92"/>
      <c r="FE527" s="92"/>
      <c r="FF527" s="92"/>
      <c r="FG527" s="92"/>
      <c r="FH527" s="92"/>
    </row>
    <row r="528">
      <c r="A528" s="32" t="s">
        <v>77</v>
      </c>
      <c r="B528" s="32" t="s">
        <v>91</v>
      </c>
      <c r="C528" s="32" t="s">
        <v>13</v>
      </c>
      <c r="D528" s="97">
        <f t="shared" si="1"/>
        <v>6040.93923</v>
      </c>
      <c r="E528" s="92">
        <f>(SUBSTITUTE(Audio!E528, "RE-", "", 1))*1</f>
        <v>0</v>
      </c>
      <c r="F528" s="92">
        <f>(SUBSTITUTE(Audio!F528, "RE-", "", 1))*1</f>
        <v>1683.31</v>
      </c>
      <c r="G528" s="92">
        <f>(SUBSTITUTE(Audio!G528, "RE-", "", 1))*1</f>
        <v>7.25582</v>
      </c>
      <c r="H528" s="92">
        <f>(SUBSTITUTE(Audio!H528, "RE-", "", 1))*1</f>
        <v>303.844</v>
      </c>
      <c r="I528" s="92">
        <f>(SUBSTITUTE(Audio!I528, "RE-", "", 1))*1</f>
        <v>0.9326</v>
      </c>
      <c r="J528" s="92">
        <f>(SUBSTITUTE(Audio!J528, "RE-", "", 1))*1</f>
        <v>222.978</v>
      </c>
      <c r="K528" s="92">
        <f>(SUBSTITUTE(Audio!K528, "RE-", "", 1))*1</f>
        <v>1.26148</v>
      </c>
      <c r="L528" s="92">
        <f>(SUBSTITUTE(Audio!L528, "RE-", "", 1))*1</f>
        <v>1757.05</v>
      </c>
      <c r="M528" s="92">
        <f>(SUBSTITUTE(Audio!M528, "RE-", "", 1))*1</f>
        <v>20.8956</v>
      </c>
      <c r="N528" s="92">
        <f>(SUBSTITUTE(Audio!N528, "RE-", "", 1))*1</f>
        <v>162.45</v>
      </c>
      <c r="O528" s="92">
        <f>(SUBSTITUTE(Audio!O528, "RE-", "", 1))*1</f>
        <v>5.56758</v>
      </c>
      <c r="P528" s="92">
        <f>(SUBSTITUTE(Audio!P528, "RE-", "", 1))*1</f>
        <v>557.852</v>
      </c>
      <c r="Q528" s="92">
        <f>(SUBSTITUTE(Audio!Q528, "RE-", "", 1))*1</f>
        <v>23.444</v>
      </c>
      <c r="R528" s="92">
        <f>(SUBSTITUTE(Audio!R528, "RE-", "", 1))*1</f>
        <v>1088.9</v>
      </c>
      <c r="S528" s="92">
        <f>(SUBSTITUTE(Audio!S528, "RE-", "", 1))*1</f>
        <v>42.8316</v>
      </c>
      <c r="T528" s="92">
        <f>(SUBSTITUTE(Audio!T528, "RE-", "", 1))*1</f>
        <v>146.514</v>
      </c>
      <c r="U528" s="92">
        <f>(SUBSTITUTE(Audio!U528, "RE-", "", 1))*1</f>
        <v>15.5501</v>
      </c>
      <c r="V528" s="92">
        <f>(SUBSTITUTE(Audio!V528, "RE-", "", 1))*1</f>
        <v>0.30245</v>
      </c>
      <c r="W528" s="92">
        <f>(SUBSTITUTE(Audio!W528, "RE-", "", 1))*1</f>
        <v>0</v>
      </c>
      <c r="X528" s="92">
        <f>(SUBSTITUTE(Audio!X528, "RE-", "", 1))*1</f>
        <v>0</v>
      </c>
      <c r="Y528" s="92">
        <f>(SUBSTITUTE(Audio!Y528, "RE-", "", 1))*1</f>
        <v>0</v>
      </c>
      <c r="Z528" s="92">
        <f>(SUBSTITUTE(Audio!Z528, "RE-", "", 1))*1</f>
        <v>0</v>
      </c>
      <c r="AA528" s="92"/>
      <c r="AB528" s="92"/>
      <c r="AC528" s="92"/>
      <c r="AD528" s="92"/>
      <c r="AE528" s="92"/>
      <c r="AF528" s="92"/>
      <c r="AG528" s="92"/>
      <c r="AH528" s="92"/>
      <c r="AI528" s="92"/>
      <c r="AJ528" s="92"/>
      <c r="AK528" s="92"/>
      <c r="AL528" s="92"/>
      <c r="AM528" s="92"/>
      <c r="AN528" s="92"/>
      <c r="AO528" s="92"/>
      <c r="AP528" s="92"/>
      <c r="AQ528" s="92"/>
      <c r="AR528" s="92"/>
      <c r="AS528" s="92"/>
      <c r="AT528" s="92"/>
      <c r="AU528" s="92"/>
      <c r="AV528" s="92"/>
      <c r="AW528" s="92"/>
      <c r="AX528" s="92"/>
      <c r="AY528" s="92"/>
      <c r="AZ528" s="92"/>
      <c r="BA528" s="92"/>
      <c r="BB528" s="92"/>
      <c r="BC528" s="92"/>
      <c r="BD528" s="92"/>
      <c r="BE528" s="92"/>
      <c r="BF528" s="92"/>
      <c r="BG528" s="92"/>
      <c r="BH528" s="92"/>
      <c r="BI528" s="92"/>
      <c r="BJ528" s="92"/>
      <c r="BK528" s="92"/>
      <c r="BL528" s="92"/>
      <c r="BM528" s="92"/>
      <c r="BN528" s="92"/>
      <c r="BO528" s="92"/>
      <c r="BP528" s="92"/>
      <c r="BQ528" s="92"/>
      <c r="BR528" s="92"/>
      <c r="BS528" s="92"/>
      <c r="BT528" s="92"/>
      <c r="BU528" s="92"/>
      <c r="BV528" s="92"/>
      <c r="BW528" s="92"/>
      <c r="BX528" s="92"/>
      <c r="BY528" s="92"/>
      <c r="BZ528" s="92"/>
      <c r="CA528" s="92"/>
      <c r="CB528" s="92"/>
      <c r="CC528" s="92"/>
      <c r="CD528" s="92"/>
      <c r="CE528" s="92"/>
      <c r="CF528" s="92"/>
      <c r="CG528" s="92"/>
      <c r="CH528" s="92"/>
      <c r="CI528" s="92"/>
      <c r="CJ528" s="92"/>
      <c r="CK528" s="92"/>
      <c r="CL528" s="92"/>
      <c r="CM528" s="92"/>
      <c r="CN528" s="92"/>
      <c r="CO528" s="92"/>
      <c r="CP528" s="92"/>
      <c r="CQ528" s="92"/>
      <c r="CR528" s="92"/>
      <c r="CS528" s="92"/>
      <c r="CT528" s="92"/>
      <c r="CU528" s="92"/>
      <c r="CV528" s="92"/>
      <c r="CW528" s="92"/>
      <c r="CX528" s="92"/>
      <c r="CY528" s="92"/>
      <c r="CZ528" s="92"/>
      <c r="DA528" s="92"/>
      <c r="DB528" s="92"/>
      <c r="DC528" s="92"/>
      <c r="DD528" s="92"/>
      <c r="DE528" s="92"/>
      <c r="DF528" s="92"/>
      <c r="DG528" s="92"/>
      <c r="DH528" s="92"/>
      <c r="DI528" s="92"/>
      <c r="DJ528" s="92"/>
      <c r="DK528" s="92"/>
      <c r="DL528" s="92"/>
      <c r="DM528" s="92"/>
      <c r="DN528" s="92"/>
      <c r="DO528" s="92"/>
      <c r="DP528" s="92"/>
      <c r="DQ528" s="92"/>
      <c r="DR528" s="92"/>
      <c r="DS528" s="92"/>
      <c r="DT528" s="92"/>
      <c r="DU528" s="92"/>
      <c r="DV528" s="92"/>
      <c r="DW528" s="92"/>
      <c r="DX528" s="92"/>
      <c r="DY528" s="92"/>
      <c r="DZ528" s="92"/>
      <c r="EA528" s="92"/>
      <c r="EB528" s="92"/>
      <c r="EC528" s="92"/>
      <c r="ED528" s="92"/>
      <c r="EE528" s="92"/>
      <c r="EF528" s="92"/>
      <c r="EG528" s="92"/>
      <c r="EH528" s="92"/>
      <c r="EI528" s="92"/>
      <c r="EJ528" s="92"/>
      <c r="EK528" s="92"/>
      <c r="EL528" s="92"/>
      <c r="EM528" s="92"/>
      <c r="EN528" s="92"/>
      <c r="EO528" s="92"/>
      <c r="EP528" s="92"/>
      <c r="EQ528" s="92"/>
      <c r="ER528" s="92"/>
      <c r="ES528" s="92"/>
      <c r="ET528" s="92"/>
      <c r="EU528" s="92"/>
      <c r="EV528" s="92"/>
      <c r="EW528" s="92"/>
      <c r="EX528" s="92"/>
      <c r="EY528" s="92"/>
      <c r="EZ528" s="92"/>
      <c r="FA528" s="92"/>
      <c r="FB528" s="92"/>
      <c r="FC528" s="92"/>
      <c r="FD528" s="92"/>
      <c r="FE528" s="92"/>
      <c r="FF528" s="92"/>
      <c r="FG528" s="92"/>
      <c r="FH528" s="92"/>
    </row>
    <row r="529">
      <c r="A529" s="32" t="s">
        <v>77</v>
      </c>
      <c r="B529" s="32" t="s">
        <v>91</v>
      </c>
      <c r="C529" s="32" t="s">
        <v>14</v>
      </c>
      <c r="D529" s="97">
        <f t="shared" si="1"/>
        <v>5277.89568</v>
      </c>
      <c r="E529" s="92">
        <f>(SUBSTITUTE(Audio!E529, "RE-", "", 1))*1</f>
        <v>0</v>
      </c>
      <c r="F529" s="92">
        <f>(SUBSTITUTE(Audio!F529, "RE-", "", 1))*1</f>
        <v>1486.71</v>
      </c>
      <c r="G529" s="92">
        <f>(SUBSTITUTE(Audio!G529, "RE-", "", 1))*1</f>
        <v>6.7634</v>
      </c>
      <c r="H529" s="92">
        <f>(SUBSTITUTE(Audio!H529, "RE-", "", 1))*1</f>
        <v>256.073</v>
      </c>
      <c r="I529" s="92">
        <f>(SUBSTITUTE(Audio!I529, "RE-", "", 1))*1</f>
        <v>0.9326</v>
      </c>
      <c r="J529" s="92">
        <f>(SUBSTITUTE(Audio!J529, "RE-", "", 1))*1</f>
        <v>206.498</v>
      </c>
      <c r="K529" s="92">
        <f>(SUBSTITUTE(Audio!K529, "RE-", "", 1))*1</f>
        <v>1.10688</v>
      </c>
      <c r="L529" s="92">
        <f>(SUBSTITUTE(Audio!L529, "RE-", "", 1))*1</f>
        <v>1542.56</v>
      </c>
      <c r="M529" s="92">
        <f>(SUBSTITUTE(Audio!M529, "RE-", "", 1))*1</f>
        <v>17.7335</v>
      </c>
      <c r="N529" s="92">
        <f>(SUBSTITUTE(Audio!N529, "RE-", "", 1))*1</f>
        <v>140.788</v>
      </c>
      <c r="O529" s="92">
        <f>(SUBSTITUTE(Audio!O529, "RE-", "", 1))*1</f>
        <v>5.08395</v>
      </c>
      <c r="P529" s="92">
        <f>(SUBSTITUTE(Audio!P529, "RE-", "", 1))*1</f>
        <v>470.64</v>
      </c>
      <c r="Q529" s="92">
        <f>(SUBSTITUTE(Audio!Q529, "RE-", "", 1))*1</f>
        <v>19.6764</v>
      </c>
      <c r="R529" s="92">
        <f>(SUBSTITUTE(Audio!R529, "RE-", "", 1))*1</f>
        <v>951.986</v>
      </c>
      <c r="S529" s="92">
        <f>(SUBSTITUTE(Audio!S529, "RE-", "", 1))*1</f>
        <v>33.1037</v>
      </c>
      <c r="T529" s="92">
        <f>(SUBSTITUTE(Audio!T529, "RE-", "", 1))*1</f>
        <v>124.515</v>
      </c>
      <c r="U529" s="92">
        <f>(SUBSTITUTE(Audio!U529, "RE-", "", 1))*1</f>
        <v>13.4228</v>
      </c>
      <c r="V529" s="92">
        <f>(SUBSTITUTE(Audio!V529, "RE-", "", 1))*1</f>
        <v>0.30245</v>
      </c>
      <c r="W529" s="92">
        <f>(SUBSTITUTE(Audio!W529, "RE-", "", 1))*1</f>
        <v>0</v>
      </c>
      <c r="X529" s="92">
        <f>(SUBSTITUTE(Audio!X529, "RE-", "", 1))*1</f>
        <v>0</v>
      </c>
      <c r="Y529" s="92">
        <f>(SUBSTITUTE(Audio!Y529, "RE-", "", 1))*1</f>
        <v>0</v>
      </c>
      <c r="Z529" s="92">
        <f>(SUBSTITUTE(Audio!Z529, "RE-", "", 1))*1</f>
        <v>0</v>
      </c>
      <c r="AA529" s="92"/>
      <c r="AB529" s="92"/>
      <c r="AC529" s="92"/>
      <c r="AD529" s="92"/>
      <c r="AE529" s="92"/>
      <c r="AF529" s="92"/>
      <c r="AG529" s="92"/>
      <c r="AH529" s="92"/>
      <c r="AI529" s="92"/>
      <c r="AJ529" s="92"/>
      <c r="AK529" s="92"/>
      <c r="AL529" s="92"/>
      <c r="AM529" s="92"/>
      <c r="AN529" s="92"/>
      <c r="AO529" s="92"/>
      <c r="AP529" s="92"/>
      <c r="AQ529" s="92"/>
      <c r="AR529" s="92"/>
      <c r="AS529" s="92"/>
      <c r="AT529" s="92"/>
      <c r="AU529" s="92"/>
      <c r="AV529" s="92"/>
      <c r="AW529" s="92"/>
      <c r="AX529" s="92"/>
      <c r="AY529" s="92"/>
      <c r="AZ529" s="92"/>
      <c r="BA529" s="92"/>
      <c r="BB529" s="92"/>
      <c r="BC529" s="92"/>
      <c r="BD529" s="92"/>
      <c r="BE529" s="92"/>
      <c r="BF529" s="92"/>
      <c r="BG529" s="92"/>
      <c r="BH529" s="92"/>
      <c r="BI529" s="92"/>
      <c r="BJ529" s="92"/>
      <c r="BK529" s="92"/>
      <c r="BL529" s="92"/>
      <c r="BM529" s="92"/>
      <c r="BN529" s="92"/>
      <c r="BO529" s="92"/>
      <c r="BP529" s="92"/>
      <c r="BQ529" s="92"/>
      <c r="BR529" s="92"/>
      <c r="BS529" s="92"/>
      <c r="BT529" s="92"/>
      <c r="BU529" s="92"/>
      <c r="BV529" s="92"/>
      <c r="BW529" s="92"/>
      <c r="BX529" s="92"/>
      <c r="BY529" s="92"/>
      <c r="BZ529" s="92"/>
      <c r="CA529" s="92"/>
      <c r="CB529" s="92"/>
      <c r="CC529" s="92"/>
      <c r="CD529" s="92"/>
      <c r="CE529" s="92"/>
      <c r="CF529" s="92"/>
      <c r="CG529" s="92"/>
      <c r="CH529" s="92"/>
      <c r="CI529" s="92"/>
      <c r="CJ529" s="92"/>
      <c r="CK529" s="92"/>
      <c r="CL529" s="92"/>
      <c r="CM529" s="92"/>
      <c r="CN529" s="92"/>
      <c r="CO529" s="92"/>
      <c r="CP529" s="92"/>
      <c r="CQ529" s="92"/>
      <c r="CR529" s="92"/>
      <c r="CS529" s="92"/>
      <c r="CT529" s="92"/>
      <c r="CU529" s="92"/>
      <c r="CV529" s="92"/>
      <c r="CW529" s="92"/>
      <c r="CX529" s="92"/>
      <c r="CY529" s="92"/>
      <c r="CZ529" s="92"/>
      <c r="DA529" s="92"/>
      <c r="DB529" s="92"/>
      <c r="DC529" s="92"/>
      <c r="DD529" s="92"/>
      <c r="DE529" s="92"/>
      <c r="DF529" s="92"/>
      <c r="DG529" s="92"/>
      <c r="DH529" s="92"/>
      <c r="DI529" s="92"/>
      <c r="DJ529" s="92"/>
      <c r="DK529" s="92"/>
      <c r="DL529" s="92"/>
      <c r="DM529" s="92"/>
      <c r="DN529" s="92"/>
      <c r="DO529" s="92"/>
      <c r="DP529" s="92"/>
      <c r="DQ529" s="92"/>
      <c r="DR529" s="92"/>
      <c r="DS529" s="92"/>
      <c r="DT529" s="92"/>
      <c r="DU529" s="92"/>
      <c r="DV529" s="92"/>
      <c r="DW529" s="92"/>
      <c r="DX529" s="92"/>
      <c r="DY529" s="92"/>
      <c r="DZ529" s="92"/>
      <c r="EA529" s="92"/>
      <c r="EB529" s="92"/>
      <c r="EC529" s="92"/>
      <c r="ED529" s="92"/>
      <c r="EE529" s="92"/>
      <c r="EF529" s="92"/>
      <c r="EG529" s="92"/>
      <c r="EH529" s="92"/>
      <c r="EI529" s="92"/>
      <c r="EJ529" s="92"/>
      <c r="EK529" s="92"/>
      <c r="EL529" s="92"/>
      <c r="EM529" s="92"/>
      <c r="EN529" s="92"/>
      <c r="EO529" s="92"/>
      <c r="EP529" s="92"/>
      <c r="EQ529" s="92"/>
      <c r="ER529" s="92"/>
      <c r="ES529" s="92"/>
      <c r="ET529" s="92"/>
      <c r="EU529" s="92"/>
      <c r="EV529" s="92"/>
      <c r="EW529" s="92"/>
      <c r="EX529" s="92"/>
      <c r="EY529" s="92"/>
      <c r="EZ529" s="92"/>
      <c r="FA529" s="92"/>
      <c r="FB529" s="92"/>
      <c r="FC529" s="92"/>
      <c r="FD529" s="92"/>
      <c r="FE529" s="92"/>
      <c r="FF529" s="92"/>
      <c r="FG529" s="92"/>
      <c r="FH529" s="92"/>
    </row>
    <row r="530">
      <c r="A530" s="27" t="s">
        <v>77</v>
      </c>
      <c r="B530" s="27" t="s">
        <v>91</v>
      </c>
      <c r="C530" s="27" t="s">
        <v>15</v>
      </c>
      <c r="D530" s="98">
        <f t="shared" si="1"/>
        <v>6040.86923</v>
      </c>
      <c r="E530" s="92">
        <f>(SUBSTITUTE(Audio!E530, "RE-", "", 1))*1</f>
        <v>0</v>
      </c>
      <c r="F530" s="92">
        <f>(SUBSTITUTE(Audio!F530, "RE-", "", 1))*1</f>
        <v>1683.31</v>
      </c>
      <c r="G530" s="92">
        <f>(SUBSTITUTE(Audio!G530, "RE-", "", 1))*1</f>
        <v>7.25582</v>
      </c>
      <c r="H530" s="92">
        <f>(SUBSTITUTE(Audio!H530, "RE-", "", 1))*1</f>
        <v>303.844</v>
      </c>
      <c r="I530" s="92">
        <f>(SUBSTITUTE(Audio!I530, "RE-", "", 1))*1</f>
        <v>0.9326</v>
      </c>
      <c r="J530" s="92">
        <f>(SUBSTITUTE(Audio!J530, "RE-", "", 1))*1</f>
        <v>222.978</v>
      </c>
      <c r="K530" s="92">
        <f>(SUBSTITUTE(Audio!K530, "RE-", "", 1))*1</f>
        <v>1.26148</v>
      </c>
      <c r="L530" s="92">
        <f>(SUBSTITUTE(Audio!L530, "RE-", "", 1))*1</f>
        <v>1756.98</v>
      </c>
      <c r="M530" s="92">
        <f>(SUBSTITUTE(Audio!M530, "RE-", "", 1))*1</f>
        <v>20.8956</v>
      </c>
      <c r="N530" s="92">
        <f>(SUBSTITUTE(Audio!N530, "RE-", "", 1))*1</f>
        <v>162.45</v>
      </c>
      <c r="O530" s="92">
        <f>(SUBSTITUTE(Audio!O530, "RE-", "", 1))*1</f>
        <v>5.56758</v>
      </c>
      <c r="P530" s="92">
        <f>(SUBSTITUTE(Audio!P530, "RE-", "", 1))*1</f>
        <v>557.852</v>
      </c>
      <c r="Q530" s="92">
        <f>(SUBSTITUTE(Audio!Q530, "RE-", "", 1))*1</f>
        <v>23.444</v>
      </c>
      <c r="R530" s="92">
        <f>(SUBSTITUTE(Audio!R530, "RE-", "", 1))*1</f>
        <v>1088.9</v>
      </c>
      <c r="S530" s="92">
        <f>(SUBSTITUTE(Audio!S530, "RE-", "", 1))*1</f>
        <v>42.8316</v>
      </c>
      <c r="T530" s="92">
        <f>(SUBSTITUTE(Audio!T530, "RE-", "", 1))*1</f>
        <v>146.514</v>
      </c>
      <c r="U530" s="92">
        <f>(SUBSTITUTE(Audio!U530, "RE-", "", 1))*1</f>
        <v>15.5501</v>
      </c>
      <c r="V530" s="92">
        <f>(SUBSTITUTE(Audio!V530, "RE-", "", 1))*1</f>
        <v>0.30245</v>
      </c>
      <c r="W530" s="92">
        <f>(SUBSTITUTE(Audio!W530, "RE-", "", 1))*1</f>
        <v>0</v>
      </c>
      <c r="X530" s="92">
        <f>(SUBSTITUTE(Audio!X530, "RE-", "", 1))*1</f>
        <v>0</v>
      </c>
      <c r="Y530" s="92">
        <f>(SUBSTITUTE(Audio!Y530, "RE-", "", 1))*1</f>
        <v>0</v>
      </c>
      <c r="Z530" s="92">
        <f>(SUBSTITUTE(Audio!Z530, "RE-", "", 1))*1</f>
        <v>0</v>
      </c>
      <c r="AA530" s="92"/>
      <c r="AB530" s="92"/>
      <c r="AC530" s="92"/>
      <c r="AD530" s="92"/>
      <c r="AE530" s="92"/>
      <c r="AF530" s="92"/>
      <c r="AG530" s="92"/>
      <c r="AH530" s="92"/>
      <c r="AI530" s="92"/>
      <c r="AJ530" s="92"/>
      <c r="AK530" s="92"/>
      <c r="AL530" s="92"/>
      <c r="AM530" s="92"/>
      <c r="AN530" s="92"/>
      <c r="AO530" s="92"/>
      <c r="AP530" s="92"/>
      <c r="AQ530" s="92"/>
      <c r="AR530" s="92"/>
      <c r="AS530" s="92"/>
      <c r="AT530" s="92"/>
      <c r="AU530" s="92"/>
      <c r="AV530" s="92"/>
      <c r="AW530" s="92"/>
      <c r="AX530" s="92"/>
      <c r="AY530" s="92"/>
      <c r="AZ530" s="92"/>
      <c r="BA530" s="92"/>
      <c r="BB530" s="92"/>
      <c r="BC530" s="92"/>
      <c r="BD530" s="92"/>
      <c r="BE530" s="92"/>
      <c r="BF530" s="92"/>
      <c r="BG530" s="92"/>
      <c r="BH530" s="92"/>
      <c r="BI530" s="92"/>
      <c r="BJ530" s="92"/>
      <c r="BK530" s="92"/>
      <c r="BL530" s="92"/>
      <c r="BM530" s="92"/>
      <c r="BN530" s="92"/>
      <c r="BO530" s="92"/>
      <c r="BP530" s="92"/>
      <c r="BQ530" s="92"/>
      <c r="BR530" s="92"/>
      <c r="BS530" s="92"/>
      <c r="BT530" s="92"/>
      <c r="BU530" s="92"/>
      <c r="BV530" s="92"/>
      <c r="BW530" s="92"/>
      <c r="BX530" s="92"/>
      <c r="BY530" s="92"/>
      <c r="BZ530" s="92"/>
      <c r="CA530" s="92"/>
      <c r="CB530" s="92"/>
      <c r="CC530" s="92"/>
      <c r="CD530" s="92"/>
      <c r="CE530" s="92"/>
      <c r="CF530" s="92"/>
      <c r="CG530" s="92"/>
      <c r="CH530" s="92"/>
      <c r="CI530" s="92"/>
      <c r="CJ530" s="92"/>
      <c r="CK530" s="92"/>
      <c r="CL530" s="92"/>
      <c r="CM530" s="92"/>
      <c r="CN530" s="92"/>
      <c r="CO530" s="92"/>
      <c r="CP530" s="92"/>
      <c r="CQ530" s="92"/>
      <c r="CR530" s="92"/>
      <c r="CS530" s="92"/>
      <c r="CT530" s="92"/>
      <c r="CU530" s="92"/>
      <c r="CV530" s="92"/>
      <c r="CW530" s="92"/>
      <c r="CX530" s="92"/>
      <c r="CY530" s="92"/>
      <c r="CZ530" s="92"/>
      <c r="DA530" s="92"/>
      <c r="DB530" s="92"/>
      <c r="DC530" s="92"/>
      <c r="DD530" s="92"/>
      <c r="DE530" s="92"/>
      <c r="DF530" s="92"/>
      <c r="DG530" s="92"/>
      <c r="DH530" s="92"/>
      <c r="DI530" s="92"/>
      <c r="DJ530" s="92"/>
      <c r="DK530" s="92"/>
      <c r="DL530" s="92"/>
      <c r="DM530" s="92"/>
      <c r="DN530" s="92"/>
      <c r="DO530" s="92"/>
      <c r="DP530" s="92"/>
      <c r="DQ530" s="92"/>
      <c r="DR530" s="92"/>
      <c r="DS530" s="92"/>
      <c r="DT530" s="92"/>
      <c r="DU530" s="92"/>
      <c r="DV530" s="92"/>
      <c r="DW530" s="92"/>
      <c r="DX530" s="92"/>
      <c r="DY530" s="92"/>
      <c r="DZ530" s="92"/>
      <c r="EA530" s="92"/>
      <c r="EB530" s="92"/>
      <c r="EC530" s="92"/>
      <c r="ED530" s="92"/>
      <c r="EE530" s="92"/>
      <c r="EF530" s="92"/>
      <c r="EG530" s="92"/>
      <c r="EH530" s="92"/>
      <c r="EI530" s="92"/>
      <c r="EJ530" s="92"/>
      <c r="EK530" s="92"/>
      <c r="EL530" s="92"/>
      <c r="EM530" s="92"/>
      <c r="EN530" s="92"/>
      <c r="EO530" s="92"/>
      <c r="EP530" s="92"/>
      <c r="EQ530" s="92"/>
      <c r="ER530" s="92"/>
      <c r="ES530" s="92"/>
      <c r="ET530" s="92"/>
      <c r="EU530" s="92"/>
      <c r="EV530" s="92"/>
      <c r="EW530" s="92"/>
      <c r="EX530" s="92"/>
      <c r="EY530" s="92"/>
      <c r="EZ530" s="92"/>
      <c r="FA530" s="92"/>
      <c r="FB530" s="92"/>
      <c r="FC530" s="92"/>
      <c r="FD530" s="92"/>
      <c r="FE530" s="92"/>
      <c r="FF530" s="92"/>
      <c r="FG530" s="92"/>
      <c r="FH530" s="92"/>
    </row>
    <row r="531">
      <c r="A531" s="30" t="s">
        <v>38</v>
      </c>
      <c r="B531" s="30" t="s">
        <v>92</v>
      </c>
      <c r="C531" s="31" t="str">
        <f>HYPERLINK("https://docs.google.com/spreadsheets/d/1X1UX9pmhu6UgvzX0WtB6BQPH9IoI9Diu/edit?usp=share_link&amp;ouid=106501987799020758802&amp;rtpof=true&amp;sd=true", "Raw Delivered")</f>
        <v>Raw Delivered</v>
      </c>
      <c r="D531" s="96">
        <f t="shared" si="1"/>
        <v>5299.281908</v>
      </c>
      <c r="E531" s="92">
        <f>(SUBSTITUTE(Audio!E531, "RE-", "", 1))*1</f>
        <v>0</v>
      </c>
      <c r="F531" s="92">
        <f>(SUBSTITUTE(Audio!F531, "RE-", "", 1))*1</f>
        <v>1309.720335</v>
      </c>
      <c r="G531" s="92">
        <f>(SUBSTITUTE(Audio!G531, "RE-", "", 1))*1</f>
        <v>0</v>
      </c>
      <c r="H531" s="92">
        <f>(SUBSTITUTE(Audio!H531, "RE-", "", 1))*1</f>
        <v>37.06804167</v>
      </c>
      <c r="I531" s="92">
        <f>(SUBSTITUTE(Audio!I531, "RE-", "", 1))*1</f>
        <v>0</v>
      </c>
      <c r="J531" s="92">
        <f>(SUBSTITUTE(Audio!J531, "RE-", "", 1))*1</f>
        <v>724.251199</v>
      </c>
      <c r="K531" s="92">
        <f>(SUBSTITUTE(Audio!K531, "RE-", "", 1))*1</f>
        <v>0</v>
      </c>
      <c r="L531" s="92">
        <f>(SUBSTITUTE(Audio!L531, "RE-", "", 1))*1</f>
        <v>753.2818125</v>
      </c>
      <c r="M531" s="92">
        <f>(SUBSTITUTE(Audio!M531, "RE-", "", 1))*1</f>
        <v>0</v>
      </c>
      <c r="N531" s="92">
        <f>(SUBSTITUTE(Audio!N531, "RE-", "", 1))*1</f>
        <v>1945.01414</v>
      </c>
      <c r="O531" s="92">
        <f>(SUBSTITUTE(Audio!O531, "RE-", "", 1))*1</f>
        <v>0</v>
      </c>
      <c r="P531" s="92">
        <f>(SUBSTITUTE(Audio!P531, "RE-", "", 1))*1</f>
        <v>282.2965146</v>
      </c>
      <c r="Q531" s="92">
        <f>(SUBSTITUTE(Audio!Q531, "RE-", "", 1))*1</f>
        <v>0</v>
      </c>
      <c r="R531" s="92">
        <f>(SUBSTITUTE(Audio!R531, "RE-", "", 1))*1</f>
        <v>46.2973125</v>
      </c>
      <c r="S531" s="92">
        <f>(SUBSTITUTE(Audio!S531, "RE-", "", 1))*1</f>
        <v>0</v>
      </c>
      <c r="T531" s="92">
        <f>(SUBSTITUTE(Audio!T531, "RE-", "", 1))*1</f>
        <v>201.3525531</v>
      </c>
      <c r="U531" s="92">
        <f>(SUBSTITUTE(Audio!U531, "RE-", "", 1))*1</f>
        <v>0</v>
      </c>
      <c r="V531" s="92">
        <f>(SUBSTITUTE(Audio!V531, "RE-", "", 1))*1</f>
        <v>0</v>
      </c>
      <c r="W531" s="92">
        <f>(SUBSTITUTE(Audio!W531, "RE-", "", 1))*1</f>
        <v>0</v>
      </c>
      <c r="X531" s="92">
        <f>(SUBSTITUTE(Audio!X531, "RE-", "", 1))*1</f>
        <v>0</v>
      </c>
      <c r="Y531" s="92">
        <f>(SUBSTITUTE(Audio!Y531, "RE-", "", 1))*1</f>
        <v>0</v>
      </c>
      <c r="Z531" s="92">
        <f>(SUBSTITUTE(Audio!Z531, "RE-", "", 1))*1</f>
        <v>0</v>
      </c>
      <c r="AA531" s="92"/>
      <c r="AB531" s="92"/>
      <c r="AC531" s="92"/>
      <c r="AD531" s="92"/>
      <c r="AE531" s="92"/>
      <c r="AF531" s="92"/>
      <c r="AG531" s="92"/>
      <c r="AH531" s="92"/>
      <c r="AI531" s="92"/>
      <c r="AJ531" s="92"/>
      <c r="AK531" s="92"/>
      <c r="AL531" s="92"/>
      <c r="AM531" s="92"/>
      <c r="AN531" s="92"/>
      <c r="AO531" s="92"/>
      <c r="AP531" s="92"/>
      <c r="AQ531" s="92"/>
      <c r="AR531" s="92"/>
      <c r="AS531" s="92"/>
      <c r="AT531" s="92"/>
      <c r="AU531" s="92"/>
      <c r="AV531" s="92"/>
      <c r="AW531" s="92"/>
      <c r="AX531" s="92"/>
      <c r="AY531" s="92"/>
      <c r="AZ531" s="92"/>
      <c r="BA531" s="92"/>
      <c r="BB531" s="92"/>
      <c r="BC531" s="92"/>
      <c r="BD531" s="92"/>
      <c r="BE531" s="92"/>
      <c r="BF531" s="92"/>
      <c r="BG531" s="92"/>
      <c r="BH531" s="92"/>
      <c r="BI531" s="92"/>
      <c r="BJ531" s="92"/>
      <c r="BK531" s="92"/>
      <c r="BL531" s="92"/>
      <c r="BM531" s="92"/>
      <c r="BN531" s="92"/>
      <c r="BO531" s="92"/>
      <c r="BP531" s="92"/>
      <c r="BQ531" s="92"/>
      <c r="BR531" s="92"/>
      <c r="BS531" s="92"/>
      <c r="BT531" s="92"/>
      <c r="BU531" s="92"/>
      <c r="BV531" s="92"/>
      <c r="BW531" s="92"/>
      <c r="BX531" s="92"/>
      <c r="BY531" s="92"/>
      <c r="BZ531" s="92"/>
      <c r="CA531" s="92"/>
      <c r="CB531" s="92"/>
      <c r="CC531" s="92"/>
      <c r="CD531" s="92"/>
      <c r="CE531" s="92"/>
      <c r="CF531" s="92"/>
      <c r="CG531" s="92"/>
      <c r="CH531" s="92"/>
      <c r="CI531" s="92"/>
      <c r="CJ531" s="92"/>
      <c r="CK531" s="92"/>
      <c r="CL531" s="92"/>
      <c r="CM531" s="92"/>
      <c r="CN531" s="92"/>
      <c r="CO531" s="92"/>
      <c r="CP531" s="92"/>
      <c r="CQ531" s="92"/>
      <c r="CR531" s="92"/>
      <c r="CS531" s="92"/>
      <c r="CT531" s="92"/>
      <c r="CU531" s="92"/>
      <c r="CV531" s="92"/>
      <c r="CW531" s="92"/>
      <c r="CX531" s="92"/>
      <c r="CY531" s="92"/>
      <c r="CZ531" s="92"/>
      <c r="DA531" s="92"/>
      <c r="DB531" s="92"/>
      <c r="DC531" s="92"/>
      <c r="DD531" s="92"/>
      <c r="DE531" s="92"/>
      <c r="DF531" s="92"/>
      <c r="DG531" s="92"/>
      <c r="DH531" s="92"/>
      <c r="DI531" s="92"/>
      <c r="DJ531" s="92"/>
      <c r="DK531" s="92"/>
      <c r="DL531" s="92"/>
      <c r="DM531" s="92"/>
      <c r="DN531" s="92"/>
      <c r="DO531" s="92"/>
      <c r="DP531" s="92"/>
      <c r="DQ531" s="92"/>
      <c r="DR531" s="92"/>
      <c r="DS531" s="92"/>
      <c r="DT531" s="92"/>
      <c r="DU531" s="92"/>
      <c r="DV531" s="92"/>
      <c r="DW531" s="92"/>
      <c r="DX531" s="92"/>
      <c r="DY531" s="92"/>
      <c r="DZ531" s="92"/>
      <c r="EA531" s="92"/>
      <c r="EB531" s="92"/>
      <c r="EC531" s="92"/>
      <c r="ED531" s="92"/>
      <c r="EE531" s="92"/>
      <c r="EF531" s="92"/>
      <c r="EG531" s="92"/>
      <c r="EH531" s="92"/>
      <c r="EI531" s="92"/>
      <c r="EJ531" s="92"/>
      <c r="EK531" s="92"/>
      <c r="EL531" s="92"/>
      <c r="EM531" s="92"/>
      <c r="EN531" s="92"/>
      <c r="EO531" s="92"/>
      <c r="EP531" s="92"/>
      <c r="EQ531" s="92"/>
      <c r="ER531" s="92"/>
      <c r="ES531" s="92"/>
      <c r="ET531" s="92"/>
      <c r="EU531" s="92"/>
      <c r="EV531" s="92"/>
      <c r="EW531" s="92"/>
      <c r="EX531" s="92"/>
      <c r="EY531" s="92"/>
      <c r="EZ531" s="92"/>
      <c r="FA531" s="92"/>
      <c r="FB531" s="92"/>
      <c r="FC531" s="92"/>
      <c r="FD531" s="92"/>
      <c r="FE531" s="92"/>
      <c r="FF531" s="92"/>
      <c r="FG531" s="92"/>
      <c r="FH531" s="92"/>
    </row>
    <row r="532">
      <c r="A532" s="32" t="s">
        <v>38</v>
      </c>
      <c r="B532" s="32" t="s">
        <v>92</v>
      </c>
      <c r="C532" s="32" t="s">
        <v>9</v>
      </c>
      <c r="D532" s="97">
        <f t="shared" si="1"/>
        <v>5299.281908</v>
      </c>
      <c r="E532" s="92">
        <f>(SUBSTITUTE(Audio!E532, "RE-", "", 1))*1</f>
        <v>0</v>
      </c>
      <c r="F532" s="92">
        <f>(SUBSTITUTE(Audio!F532, "RE-", "", 1))*1</f>
        <v>1309.720335</v>
      </c>
      <c r="G532" s="92">
        <f>(SUBSTITUTE(Audio!G532, "RE-", "", 1))*1</f>
        <v>0</v>
      </c>
      <c r="H532" s="92">
        <f>(SUBSTITUTE(Audio!H532, "RE-", "", 1))*1</f>
        <v>37.06804167</v>
      </c>
      <c r="I532" s="92">
        <f>(SUBSTITUTE(Audio!I532, "RE-", "", 1))*1</f>
        <v>0</v>
      </c>
      <c r="J532" s="92">
        <f>(SUBSTITUTE(Audio!J532, "RE-", "", 1))*1</f>
        <v>724.251199</v>
      </c>
      <c r="K532" s="92">
        <f>(SUBSTITUTE(Audio!K532, "RE-", "", 1))*1</f>
        <v>0</v>
      </c>
      <c r="L532" s="92">
        <f>(SUBSTITUTE(Audio!L532, "RE-", "", 1))*1</f>
        <v>753.2818125</v>
      </c>
      <c r="M532" s="92">
        <f>(SUBSTITUTE(Audio!M532, "RE-", "", 1))*1</f>
        <v>0</v>
      </c>
      <c r="N532" s="92">
        <f>(SUBSTITUTE(Audio!N532, "RE-", "", 1))*1</f>
        <v>1945.01414</v>
      </c>
      <c r="O532" s="92">
        <f>(SUBSTITUTE(Audio!O532, "RE-", "", 1))*1</f>
        <v>0</v>
      </c>
      <c r="P532" s="92">
        <f>(SUBSTITUTE(Audio!P532, "RE-", "", 1))*1</f>
        <v>282.2965146</v>
      </c>
      <c r="Q532" s="92">
        <f>(SUBSTITUTE(Audio!Q532, "RE-", "", 1))*1</f>
        <v>0</v>
      </c>
      <c r="R532" s="92">
        <f>(SUBSTITUTE(Audio!R532, "RE-", "", 1))*1</f>
        <v>46.2973125</v>
      </c>
      <c r="S532" s="92">
        <f>(SUBSTITUTE(Audio!S532, "RE-", "", 1))*1</f>
        <v>0</v>
      </c>
      <c r="T532" s="92">
        <f>(SUBSTITUTE(Audio!T532, "RE-", "", 1))*1</f>
        <v>201.3525531</v>
      </c>
      <c r="U532" s="92">
        <f>(SUBSTITUTE(Audio!U532, "RE-", "", 1))*1</f>
        <v>0</v>
      </c>
      <c r="V532" s="92">
        <f>(SUBSTITUTE(Audio!V532, "RE-", "", 1))*1</f>
        <v>0</v>
      </c>
      <c r="W532" s="92">
        <f>(SUBSTITUTE(Audio!W532, "RE-", "", 1))*1</f>
        <v>0</v>
      </c>
      <c r="X532" s="92">
        <f>(SUBSTITUTE(Audio!X532, "RE-", "", 1))*1</f>
        <v>0</v>
      </c>
      <c r="Y532" s="92">
        <f>(SUBSTITUTE(Audio!Y532, "RE-", "", 1))*1</f>
        <v>0</v>
      </c>
      <c r="Z532" s="92">
        <f>(SUBSTITUTE(Audio!Z532, "RE-", "", 1))*1</f>
        <v>0</v>
      </c>
      <c r="AA532" s="92"/>
      <c r="AB532" s="92"/>
      <c r="AC532" s="92"/>
      <c r="AD532" s="92"/>
      <c r="AE532" s="92"/>
      <c r="AF532" s="92"/>
      <c r="AG532" s="92"/>
      <c r="AH532" s="92"/>
      <c r="AI532" s="92"/>
      <c r="AJ532" s="92"/>
      <c r="AK532" s="92"/>
      <c r="AL532" s="92"/>
      <c r="AM532" s="92"/>
      <c r="AN532" s="92"/>
      <c r="AO532" s="92"/>
      <c r="AP532" s="92"/>
      <c r="AQ532" s="92"/>
      <c r="AR532" s="92"/>
      <c r="AS532" s="92"/>
      <c r="AT532" s="92"/>
      <c r="AU532" s="92"/>
      <c r="AV532" s="92"/>
      <c r="AW532" s="92"/>
      <c r="AX532" s="92"/>
      <c r="AY532" s="92"/>
      <c r="AZ532" s="92"/>
      <c r="BA532" s="92"/>
      <c r="BB532" s="92"/>
      <c r="BC532" s="92"/>
      <c r="BD532" s="92"/>
      <c r="BE532" s="92"/>
      <c r="BF532" s="92"/>
      <c r="BG532" s="92"/>
      <c r="BH532" s="92"/>
      <c r="BI532" s="92"/>
      <c r="BJ532" s="92"/>
      <c r="BK532" s="92"/>
      <c r="BL532" s="92"/>
      <c r="BM532" s="92"/>
      <c r="BN532" s="92"/>
      <c r="BO532" s="92"/>
      <c r="BP532" s="92"/>
      <c r="BQ532" s="92"/>
      <c r="BR532" s="92"/>
      <c r="BS532" s="92"/>
      <c r="BT532" s="92"/>
      <c r="BU532" s="92"/>
      <c r="BV532" s="92"/>
      <c r="BW532" s="92"/>
      <c r="BX532" s="92"/>
      <c r="BY532" s="92"/>
      <c r="BZ532" s="92"/>
      <c r="CA532" s="92"/>
      <c r="CB532" s="92"/>
      <c r="CC532" s="92"/>
      <c r="CD532" s="92"/>
      <c r="CE532" s="92"/>
      <c r="CF532" s="92"/>
      <c r="CG532" s="92"/>
      <c r="CH532" s="92"/>
      <c r="CI532" s="92"/>
      <c r="CJ532" s="92"/>
      <c r="CK532" s="92"/>
      <c r="CL532" s="92"/>
      <c r="CM532" s="92"/>
      <c r="CN532" s="92"/>
      <c r="CO532" s="92"/>
      <c r="CP532" s="92"/>
      <c r="CQ532" s="92"/>
      <c r="CR532" s="92"/>
      <c r="CS532" s="92"/>
      <c r="CT532" s="92"/>
      <c r="CU532" s="92"/>
      <c r="CV532" s="92"/>
      <c r="CW532" s="92"/>
      <c r="CX532" s="92"/>
      <c r="CY532" s="92"/>
      <c r="CZ532" s="92"/>
      <c r="DA532" s="92"/>
      <c r="DB532" s="92"/>
      <c r="DC532" s="92"/>
      <c r="DD532" s="92"/>
      <c r="DE532" s="92"/>
      <c r="DF532" s="92"/>
      <c r="DG532" s="92"/>
      <c r="DH532" s="92"/>
      <c r="DI532" s="92"/>
      <c r="DJ532" s="92"/>
      <c r="DK532" s="92"/>
      <c r="DL532" s="92"/>
      <c r="DM532" s="92"/>
      <c r="DN532" s="92"/>
      <c r="DO532" s="92"/>
      <c r="DP532" s="92"/>
      <c r="DQ532" s="92"/>
      <c r="DR532" s="92"/>
      <c r="DS532" s="92"/>
      <c r="DT532" s="92"/>
      <c r="DU532" s="92"/>
      <c r="DV532" s="92"/>
      <c r="DW532" s="92"/>
      <c r="DX532" s="92"/>
      <c r="DY532" s="92"/>
      <c r="DZ532" s="92"/>
      <c r="EA532" s="92"/>
      <c r="EB532" s="92"/>
      <c r="EC532" s="92"/>
      <c r="ED532" s="92"/>
      <c r="EE532" s="92"/>
      <c r="EF532" s="92"/>
      <c r="EG532" s="92"/>
      <c r="EH532" s="92"/>
      <c r="EI532" s="92"/>
      <c r="EJ532" s="92"/>
      <c r="EK532" s="92"/>
      <c r="EL532" s="92"/>
      <c r="EM532" s="92"/>
      <c r="EN532" s="92"/>
      <c r="EO532" s="92"/>
      <c r="EP532" s="92"/>
      <c r="EQ532" s="92"/>
      <c r="ER532" s="92"/>
      <c r="ES532" s="92"/>
      <c r="ET532" s="92"/>
      <c r="EU532" s="92"/>
      <c r="EV532" s="92"/>
      <c r="EW532" s="92"/>
      <c r="EX532" s="92"/>
      <c r="EY532" s="92"/>
      <c r="EZ532" s="92"/>
      <c r="FA532" s="92"/>
      <c r="FB532" s="92"/>
      <c r="FC532" s="92"/>
      <c r="FD532" s="92"/>
      <c r="FE532" s="92"/>
      <c r="FF532" s="92"/>
      <c r="FG532" s="92"/>
      <c r="FH532" s="92"/>
    </row>
    <row r="533">
      <c r="A533" s="32" t="s">
        <v>38</v>
      </c>
      <c r="B533" s="32" t="s">
        <v>92</v>
      </c>
      <c r="C533" s="32" t="s">
        <v>10</v>
      </c>
      <c r="D533" s="97">
        <f t="shared" si="1"/>
        <v>610.0129979</v>
      </c>
      <c r="E533" s="92">
        <f>(SUBSTITUTE(Audio!E533, "RE-", "", 1))*1</f>
        <v>0</v>
      </c>
      <c r="F533" s="92">
        <f>(SUBSTITUTE(Audio!F533, "RE-", "", 1))*1</f>
        <v>0</v>
      </c>
      <c r="G533" s="92">
        <f>(SUBSTITUTE(Audio!G533, "RE-", "", 1))*1</f>
        <v>106.1776833</v>
      </c>
      <c r="H533" s="92">
        <f>(SUBSTITUTE(Audio!H533, "RE-", "", 1))*1</f>
        <v>0</v>
      </c>
      <c r="I533" s="92">
        <f>(SUBSTITUTE(Audio!I533, "RE-", "", 1))*1</f>
        <v>48.63768438</v>
      </c>
      <c r="J533" s="92">
        <f>(SUBSTITUTE(Audio!J533, "RE-", "", 1))*1</f>
        <v>0</v>
      </c>
      <c r="K533" s="92">
        <f>(SUBSTITUTE(Audio!K533, "RE-", "", 1))*1</f>
        <v>61.6111625</v>
      </c>
      <c r="L533" s="92">
        <f>(SUBSTITUTE(Audio!L533, "RE-", "", 1))*1</f>
        <v>0</v>
      </c>
      <c r="M533" s="92">
        <f>(SUBSTITUTE(Audio!M533, "RE-", "", 1))*1</f>
        <v>43.88640938</v>
      </c>
      <c r="N533" s="92">
        <f>(SUBSTITUTE(Audio!N533, "RE-", "", 1))*1</f>
        <v>0</v>
      </c>
      <c r="O533" s="92">
        <f>(SUBSTITUTE(Audio!O533, "RE-", "", 1))*1</f>
        <v>224.0676396</v>
      </c>
      <c r="P533" s="92">
        <f>(SUBSTITUTE(Audio!P533, "RE-", "", 1))*1</f>
        <v>0</v>
      </c>
      <c r="Q533" s="92">
        <f>(SUBSTITUTE(Audio!Q533, "RE-", "", 1))*1</f>
        <v>86.28123854</v>
      </c>
      <c r="R533" s="92">
        <f>(SUBSTITUTE(Audio!R533, "RE-", "", 1))*1</f>
        <v>0</v>
      </c>
      <c r="S533" s="92">
        <f>(SUBSTITUTE(Audio!S533, "RE-", "", 1))*1</f>
        <v>14.62997813</v>
      </c>
      <c r="T533" s="92">
        <f>(SUBSTITUTE(Audio!T533, "RE-", "", 1))*1</f>
        <v>0</v>
      </c>
      <c r="U533" s="92">
        <f>(SUBSTITUTE(Audio!U533, "RE-", "", 1))*1</f>
        <v>20.80192708</v>
      </c>
      <c r="V533" s="92">
        <f>(SUBSTITUTE(Audio!V533, "RE-", "", 1))*1</f>
        <v>3.919275</v>
      </c>
      <c r="W533" s="92">
        <f>(SUBSTITUTE(Audio!W533, "RE-", "", 1))*1</f>
        <v>0</v>
      </c>
      <c r="X533" s="92">
        <f>(SUBSTITUTE(Audio!X533, "RE-", "", 1))*1</f>
        <v>0</v>
      </c>
      <c r="Y533" s="92">
        <f>(SUBSTITUTE(Audio!Y533, "RE-", "", 1))*1</f>
        <v>0</v>
      </c>
      <c r="Z533" s="92">
        <f>(SUBSTITUTE(Audio!Z533, "RE-", "", 1))*1</f>
        <v>0</v>
      </c>
      <c r="AA533" s="92"/>
      <c r="AB533" s="92"/>
      <c r="AC533" s="92"/>
      <c r="AD533" s="92"/>
      <c r="AE533" s="92"/>
      <c r="AF533" s="92"/>
      <c r="AG533" s="92"/>
      <c r="AH533" s="92"/>
      <c r="AI533" s="92"/>
      <c r="AJ533" s="92"/>
      <c r="AK533" s="92"/>
      <c r="AL533" s="92"/>
      <c r="AM533" s="92"/>
      <c r="AN533" s="92"/>
      <c r="AO533" s="92"/>
      <c r="AP533" s="92"/>
      <c r="AQ533" s="92"/>
      <c r="AR533" s="92"/>
      <c r="AS533" s="92"/>
      <c r="AT533" s="92"/>
      <c r="AU533" s="92"/>
      <c r="AV533" s="92"/>
      <c r="AW533" s="92"/>
      <c r="AX533" s="92"/>
      <c r="AY533" s="92"/>
      <c r="AZ533" s="92"/>
      <c r="BA533" s="92"/>
      <c r="BB533" s="92"/>
      <c r="BC533" s="92"/>
      <c r="BD533" s="92"/>
      <c r="BE533" s="92"/>
      <c r="BF533" s="92"/>
      <c r="BG533" s="92"/>
      <c r="BH533" s="92"/>
      <c r="BI533" s="92"/>
      <c r="BJ533" s="92"/>
      <c r="BK533" s="92"/>
      <c r="BL533" s="92"/>
      <c r="BM533" s="92"/>
      <c r="BN533" s="92"/>
      <c r="BO533" s="92"/>
      <c r="BP533" s="92"/>
      <c r="BQ533" s="92"/>
      <c r="BR533" s="92"/>
      <c r="BS533" s="92"/>
      <c r="BT533" s="92"/>
      <c r="BU533" s="92"/>
      <c r="BV533" s="92"/>
      <c r="BW533" s="92"/>
      <c r="BX533" s="92"/>
      <c r="BY533" s="92"/>
      <c r="BZ533" s="92"/>
      <c r="CA533" s="92"/>
      <c r="CB533" s="92"/>
      <c r="CC533" s="92"/>
      <c r="CD533" s="92"/>
      <c r="CE533" s="92"/>
      <c r="CF533" s="92"/>
      <c r="CG533" s="92"/>
      <c r="CH533" s="92"/>
      <c r="CI533" s="92"/>
      <c r="CJ533" s="92"/>
      <c r="CK533" s="92"/>
      <c r="CL533" s="92"/>
      <c r="CM533" s="92"/>
      <c r="CN533" s="92"/>
      <c r="CO533" s="92"/>
      <c r="CP533" s="92"/>
      <c r="CQ533" s="92"/>
      <c r="CR533" s="92"/>
      <c r="CS533" s="92"/>
      <c r="CT533" s="92"/>
      <c r="CU533" s="92"/>
      <c r="CV533" s="92"/>
      <c r="CW533" s="92"/>
      <c r="CX533" s="92"/>
      <c r="CY533" s="92"/>
      <c r="CZ533" s="92"/>
      <c r="DA533" s="92"/>
      <c r="DB533" s="92"/>
      <c r="DC533" s="92"/>
      <c r="DD533" s="92"/>
      <c r="DE533" s="92"/>
      <c r="DF533" s="92"/>
      <c r="DG533" s="92"/>
      <c r="DH533" s="92"/>
      <c r="DI533" s="92"/>
      <c r="DJ533" s="92"/>
      <c r="DK533" s="92"/>
      <c r="DL533" s="92"/>
      <c r="DM533" s="92"/>
      <c r="DN533" s="92"/>
      <c r="DO533" s="92"/>
      <c r="DP533" s="92"/>
      <c r="DQ533" s="92"/>
      <c r="DR533" s="92"/>
      <c r="DS533" s="92"/>
      <c r="DT533" s="92"/>
      <c r="DU533" s="92"/>
      <c r="DV533" s="92"/>
      <c r="DW533" s="92"/>
      <c r="DX533" s="92"/>
      <c r="DY533" s="92"/>
      <c r="DZ533" s="92"/>
      <c r="EA533" s="92"/>
      <c r="EB533" s="92"/>
      <c r="EC533" s="92"/>
      <c r="ED533" s="92"/>
      <c r="EE533" s="92"/>
      <c r="EF533" s="92"/>
      <c r="EG533" s="92"/>
      <c r="EH533" s="92"/>
      <c r="EI533" s="92"/>
      <c r="EJ533" s="92"/>
      <c r="EK533" s="92"/>
      <c r="EL533" s="92"/>
      <c r="EM533" s="92"/>
      <c r="EN533" s="92"/>
      <c r="EO533" s="92"/>
      <c r="EP533" s="92"/>
      <c r="EQ533" s="92"/>
      <c r="ER533" s="92"/>
      <c r="ES533" s="92"/>
      <c r="ET533" s="92"/>
      <c r="EU533" s="92"/>
      <c r="EV533" s="92"/>
      <c r="EW533" s="92"/>
      <c r="EX533" s="92"/>
      <c r="EY533" s="92"/>
      <c r="EZ533" s="92"/>
      <c r="FA533" s="92"/>
      <c r="FB533" s="92"/>
      <c r="FC533" s="92"/>
      <c r="FD533" s="92"/>
      <c r="FE533" s="92"/>
      <c r="FF533" s="92"/>
      <c r="FG533" s="92"/>
      <c r="FH533" s="92"/>
    </row>
    <row r="534">
      <c r="A534" s="32" t="s">
        <v>38</v>
      </c>
      <c r="B534" s="32" t="s">
        <v>92</v>
      </c>
      <c r="C534" s="32" t="s">
        <v>11</v>
      </c>
      <c r="D534" s="97">
        <f t="shared" si="1"/>
        <v>610.0129979</v>
      </c>
      <c r="E534" s="92">
        <f>(SUBSTITUTE(Audio!E534, "RE-", "", 1))*1</f>
        <v>0</v>
      </c>
      <c r="F534" s="92">
        <f>(SUBSTITUTE(Audio!F534, "RE-", "", 1))*1</f>
        <v>0</v>
      </c>
      <c r="G534" s="92">
        <f>(SUBSTITUTE(Audio!G534, "RE-", "", 1))*1</f>
        <v>106.1776833</v>
      </c>
      <c r="H534" s="92">
        <f>(SUBSTITUTE(Audio!H534, "RE-", "", 1))*1</f>
        <v>0</v>
      </c>
      <c r="I534" s="92">
        <f>(SUBSTITUTE(Audio!I534, "RE-", "", 1))*1</f>
        <v>48.63768438</v>
      </c>
      <c r="J534" s="92">
        <f>(SUBSTITUTE(Audio!J534, "RE-", "", 1))*1</f>
        <v>0</v>
      </c>
      <c r="K534" s="92">
        <f>(SUBSTITUTE(Audio!K534, "RE-", "", 1))*1</f>
        <v>61.6111625</v>
      </c>
      <c r="L534" s="92">
        <f>(SUBSTITUTE(Audio!L534, "RE-", "", 1))*1</f>
        <v>0</v>
      </c>
      <c r="M534" s="92">
        <f>(SUBSTITUTE(Audio!M534, "RE-", "", 1))*1</f>
        <v>43.88640938</v>
      </c>
      <c r="N534" s="92">
        <f>(SUBSTITUTE(Audio!N534, "RE-", "", 1))*1</f>
        <v>0</v>
      </c>
      <c r="O534" s="92">
        <f>(SUBSTITUTE(Audio!O534, "RE-", "", 1))*1</f>
        <v>224.0676396</v>
      </c>
      <c r="P534" s="92">
        <f>(SUBSTITUTE(Audio!P534, "RE-", "", 1))*1</f>
        <v>0</v>
      </c>
      <c r="Q534" s="92">
        <f>(SUBSTITUTE(Audio!Q534, "RE-", "", 1))*1</f>
        <v>86.28123854</v>
      </c>
      <c r="R534" s="92">
        <f>(SUBSTITUTE(Audio!R534, "RE-", "", 1))*1</f>
        <v>0</v>
      </c>
      <c r="S534" s="92">
        <f>(SUBSTITUTE(Audio!S534, "RE-", "", 1))*1</f>
        <v>14.62997813</v>
      </c>
      <c r="T534" s="92">
        <f>(SUBSTITUTE(Audio!T534, "RE-", "", 1))*1</f>
        <v>0</v>
      </c>
      <c r="U534" s="92">
        <f>(SUBSTITUTE(Audio!U534, "RE-", "", 1))*1</f>
        <v>20.80192708</v>
      </c>
      <c r="V534" s="92">
        <f>(SUBSTITUTE(Audio!V534, "RE-", "", 1))*1</f>
        <v>3.919275</v>
      </c>
      <c r="W534" s="92">
        <f>(SUBSTITUTE(Audio!W534, "RE-", "", 1))*1</f>
        <v>0</v>
      </c>
      <c r="X534" s="92">
        <f>(SUBSTITUTE(Audio!X534, "RE-", "", 1))*1</f>
        <v>0</v>
      </c>
      <c r="Y534" s="92">
        <f>(SUBSTITUTE(Audio!Y534, "RE-", "", 1))*1</f>
        <v>0</v>
      </c>
      <c r="Z534" s="92">
        <f>(SUBSTITUTE(Audio!Z534, "RE-", "", 1))*1</f>
        <v>0</v>
      </c>
      <c r="AA534" s="92"/>
      <c r="AB534" s="92"/>
      <c r="AC534" s="92"/>
      <c r="AD534" s="92"/>
      <c r="AE534" s="92"/>
      <c r="AF534" s="92"/>
      <c r="AG534" s="92"/>
      <c r="AH534" s="92"/>
      <c r="AI534" s="92"/>
      <c r="AJ534" s="92"/>
      <c r="AK534" s="92"/>
      <c r="AL534" s="92"/>
      <c r="AM534" s="92"/>
      <c r="AN534" s="92"/>
      <c r="AO534" s="92"/>
      <c r="AP534" s="92"/>
      <c r="AQ534" s="92"/>
      <c r="AR534" s="92"/>
      <c r="AS534" s="92"/>
      <c r="AT534" s="92"/>
      <c r="AU534" s="92"/>
      <c r="AV534" s="92"/>
      <c r="AW534" s="92"/>
      <c r="AX534" s="92"/>
      <c r="AY534" s="92"/>
      <c r="AZ534" s="92"/>
      <c r="BA534" s="92"/>
      <c r="BB534" s="92"/>
      <c r="BC534" s="92"/>
      <c r="BD534" s="92"/>
      <c r="BE534" s="92"/>
      <c r="BF534" s="92"/>
      <c r="BG534" s="92"/>
      <c r="BH534" s="92"/>
      <c r="BI534" s="92"/>
      <c r="BJ534" s="92"/>
      <c r="BK534" s="92"/>
      <c r="BL534" s="92"/>
      <c r="BM534" s="92"/>
      <c r="BN534" s="92"/>
      <c r="BO534" s="92"/>
      <c r="BP534" s="92"/>
      <c r="BQ534" s="92"/>
      <c r="BR534" s="92"/>
      <c r="BS534" s="92"/>
      <c r="BT534" s="92"/>
      <c r="BU534" s="92"/>
      <c r="BV534" s="92"/>
      <c r="BW534" s="92"/>
      <c r="BX534" s="92"/>
      <c r="BY534" s="92"/>
      <c r="BZ534" s="92"/>
      <c r="CA534" s="92"/>
      <c r="CB534" s="92"/>
      <c r="CC534" s="92"/>
      <c r="CD534" s="92"/>
      <c r="CE534" s="92"/>
      <c r="CF534" s="92"/>
      <c r="CG534" s="92"/>
      <c r="CH534" s="92"/>
      <c r="CI534" s="92"/>
      <c r="CJ534" s="92"/>
      <c r="CK534" s="92"/>
      <c r="CL534" s="92"/>
      <c r="CM534" s="92"/>
      <c r="CN534" s="92"/>
      <c r="CO534" s="92"/>
      <c r="CP534" s="92"/>
      <c r="CQ534" s="92"/>
      <c r="CR534" s="92"/>
      <c r="CS534" s="92"/>
      <c r="CT534" s="92"/>
      <c r="CU534" s="92"/>
      <c r="CV534" s="92"/>
      <c r="CW534" s="92"/>
      <c r="CX534" s="92"/>
      <c r="CY534" s="92"/>
      <c r="CZ534" s="92"/>
      <c r="DA534" s="92"/>
      <c r="DB534" s="92"/>
      <c r="DC534" s="92"/>
      <c r="DD534" s="92"/>
      <c r="DE534" s="92"/>
      <c r="DF534" s="92"/>
      <c r="DG534" s="92"/>
      <c r="DH534" s="92"/>
      <c r="DI534" s="92"/>
      <c r="DJ534" s="92"/>
      <c r="DK534" s="92"/>
      <c r="DL534" s="92"/>
      <c r="DM534" s="92"/>
      <c r="DN534" s="92"/>
      <c r="DO534" s="92"/>
      <c r="DP534" s="92"/>
      <c r="DQ534" s="92"/>
      <c r="DR534" s="92"/>
      <c r="DS534" s="92"/>
      <c r="DT534" s="92"/>
      <c r="DU534" s="92"/>
      <c r="DV534" s="92"/>
      <c r="DW534" s="92"/>
      <c r="DX534" s="92"/>
      <c r="DY534" s="92"/>
      <c r="DZ534" s="92"/>
      <c r="EA534" s="92"/>
      <c r="EB534" s="92"/>
      <c r="EC534" s="92"/>
      <c r="ED534" s="92"/>
      <c r="EE534" s="92"/>
      <c r="EF534" s="92"/>
      <c r="EG534" s="92"/>
      <c r="EH534" s="92"/>
      <c r="EI534" s="92"/>
      <c r="EJ534" s="92"/>
      <c r="EK534" s="92"/>
      <c r="EL534" s="92"/>
      <c r="EM534" s="92"/>
      <c r="EN534" s="92"/>
      <c r="EO534" s="92"/>
      <c r="EP534" s="92"/>
      <c r="EQ534" s="92"/>
      <c r="ER534" s="92"/>
      <c r="ES534" s="92"/>
      <c r="ET534" s="92"/>
      <c r="EU534" s="92"/>
      <c r="EV534" s="92"/>
      <c r="EW534" s="92"/>
      <c r="EX534" s="92"/>
      <c r="EY534" s="92"/>
      <c r="EZ534" s="92"/>
      <c r="FA534" s="92"/>
      <c r="FB534" s="92"/>
      <c r="FC534" s="92"/>
      <c r="FD534" s="92"/>
      <c r="FE534" s="92"/>
      <c r="FF534" s="92"/>
      <c r="FG534" s="92"/>
      <c r="FH534" s="92"/>
    </row>
    <row r="535">
      <c r="A535" s="32" t="s">
        <v>38</v>
      </c>
      <c r="B535" s="32" t="s">
        <v>92</v>
      </c>
      <c r="C535" s="32" t="s">
        <v>12</v>
      </c>
      <c r="D535" s="97">
        <f t="shared" si="1"/>
        <v>4311.542977</v>
      </c>
      <c r="E535" s="92">
        <f>(SUBSTITUTE(Audio!E535, "RE-", "", 1))*1</f>
        <v>0</v>
      </c>
      <c r="F535" s="92">
        <f>(SUBSTITUTE(Audio!F535, "RE-", "", 1))*1</f>
        <v>1051.288297</v>
      </c>
      <c r="G535" s="92">
        <f>(SUBSTITUTE(Audio!G535, "RE-", "", 1))*1</f>
        <v>7.59595</v>
      </c>
      <c r="H535" s="92">
        <f>(SUBSTITUTE(Audio!H535, "RE-", "", 1))*1</f>
        <v>31.77901875</v>
      </c>
      <c r="I535" s="92">
        <f>(SUBSTITUTE(Audio!I535, "RE-", "", 1))*1</f>
        <v>0</v>
      </c>
      <c r="J535" s="92">
        <f>(SUBSTITUTE(Audio!J535, "RE-", "", 1))*1</f>
        <v>578.2790365</v>
      </c>
      <c r="K535" s="92">
        <f>(SUBSTITUTE(Audio!K535, "RE-", "", 1))*1</f>
        <v>4.03118125</v>
      </c>
      <c r="L535" s="92">
        <f>(SUBSTITUTE(Audio!L535, "RE-", "", 1))*1</f>
        <v>704.1904635</v>
      </c>
      <c r="M535" s="92">
        <f>(SUBSTITUTE(Audio!M535, "RE-", "", 1))*1</f>
        <v>6.391658333</v>
      </c>
      <c r="N535" s="92">
        <f>(SUBSTITUTE(Audio!N535, "RE-", "", 1))*1</f>
        <v>1405.330896</v>
      </c>
      <c r="O535" s="92">
        <f>(SUBSTITUTE(Audio!O535, "RE-", "", 1))*1</f>
        <v>12.07514167</v>
      </c>
      <c r="P535" s="92">
        <f>(SUBSTITUTE(Audio!P535, "RE-", "", 1))*1</f>
        <v>237.4522563</v>
      </c>
      <c r="Q535" s="92">
        <f>(SUBSTITUTE(Audio!Q535, "RE-", "", 1))*1</f>
        <v>22.40480312</v>
      </c>
      <c r="R535" s="92">
        <f>(SUBSTITUTE(Audio!R535, "RE-", "", 1))*1</f>
        <v>37.3126</v>
      </c>
      <c r="S535" s="92">
        <f>(SUBSTITUTE(Audio!S535, "RE-", "", 1))*1</f>
        <v>3.877253125</v>
      </c>
      <c r="T535" s="92">
        <f>(SUBSTITUTE(Audio!T535, "RE-", "", 1))*1</f>
        <v>193.7042406</v>
      </c>
      <c r="U535" s="92">
        <f>(SUBSTITUTE(Audio!U535, "RE-", "", 1))*1</f>
        <v>12.54619375</v>
      </c>
      <c r="V535" s="92">
        <f>(SUBSTITUTE(Audio!V535, "RE-", "", 1))*1</f>
        <v>3.2839875</v>
      </c>
      <c r="W535" s="92">
        <f>(SUBSTITUTE(Audio!W535, "RE-", "", 1))*1</f>
        <v>0</v>
      </c>
      <c r="X535" s="92">
        <f>(SUBSTITUTE(Audio!X535, "RE-", "", 1))*1</f>
        <v>0</v>
      </c>
      <c r="Y535" s="92">
        <f>(SUBSTITUTE(Audio!Y535, "RE-", "", 1))*1</f>
        <v>0</v>
      </c>
      <c r="Z535" s="92">
        <f>(SUBSTITUTE(Audio!Z535, "RE-", "", 1))*1</f>
        <v>0</v>
      </c>
      <c r="AA535" s="92"/>
      <c r="AB535" s="92"/>
      <c r="AC535" s="92"/>
      <c r="AD535" s="92"/>
      <c r="AE535" s="92"/>
      <c r="AF535" s="92"/>
      <c r="AG535" s="92"/>
      <c r="AH535" s="92"/>
      <c r="AI535" s="92"/>
      <c r="AJ535" s="92"/>
      <c r="AK535" s="92"/>
      <c r="AL535" s="92"/>
      <c r="AM535" s="92"/>
      <c r="AN535" s="92"/>
      <c r="AO535" s="92"/>
      <c r="AP535" s="92"/>
      <c r="AQ535" s="92"/>
      <c r="AR535" s="92"/>
      <c r="AS535" s="92"/>
      <c r="AT535" s="92"/>
      <c r="AU535" s="92"/>
      <c r="AV535" s="92"/>
      <c r="AW535" s="92"/>
      <c r="AX535" s="92"/>
      <c r="AY535" s="92"/>
      <c r="AZ535" s="92"/>
      <c r="BA535" s="92"/>
      <c r="BB535" s="92"/>
      <c r="BC535" s="92"/>
      <c r="BD535" s="92"/>
      <c r="BE535" s="92"/>
      <c r="BF535" s="92"/>
      <c r="BG535" s="92"/>
      <c r="BH535" s="92"/>
      <c r="BI535" s="92"/>
      <c r="BJ535" s="92"/>
      <c r="BK535" s="92"/>
      <c r="BL535" s="92"/>
      <c r="BM535" s="92"/>
      <c r="BN535" s="92"/>
      <c r="BO535" s="92"/>
      <c r="BP535" s="92"/>
      <c r="BQ535" s="92"/>
      <c r="BR535" s="92"/>
      <c r="BS535" s="92"/>
      <c r="BT535" s="92"/>
      <c r="BU535" s="92"/>
      <c r="BV535" s="92"/>
      <c r="BW535" s="92"/>
      <c r="BX535" s="92"/>
      <c r="BY535" s="92"/>
      <c r="BZ535" s="92"/>
      <c r="CA535" s="92"/>
      <c r="CB535" s="92"/>
      <c r="CC535" s="92"/>
      <c r="CD535" s="92"/>
      <c r="CE535" s="92"/>
      <c r="CF535" s="92"/>
      <c r="CG535" s="92"/>
      <c r="CH535" s="92"/>
      <c r="CI535" s="92"/>
      <c r="CJ535" s="92"/>
      <c r="CK535" s="92"/>
      <c r="CL535" s="92"/>
      <c r="CM535" s="92"/>
      <c r="CN535" s="92"/>
      <c r="CO535" s="92"/>
      <c r="CP535" s="92"/>
      <c r="CQ535" s="92"/>
      <c r="CR535" s="92"/>
      <c r="CS535" s="92"/>
      <c r="CT535" s="92"/>
      <c r="CU535" s="92"/>
      <c r="CV535" s="92"/>
      <c r="CW535" s="92"/>
      <c r="CX535" s="92"/>
      <c r="CY535" s="92"/>
      <c r="CZ535" s="92"/>
      <c r="DA535" s="92"/>
      <c r="DB535" s="92"/>
      <c r="DC535" s="92"/>
      <c r="DD535" s="92"/>
      <c r="DE535" s="92"/>
      <c r="DF535" s="92"/>
      <c r="DG535" s="92"/>
      <c r="DH535" s="92"/>
      <c r="DI535" s="92"/>
      <c r="DJ535" s="92"/>
      <c r="DK535" s="92"/>
      <c r="DL535" s="92"/>
      <c r="DM535" s="92"/>
      <c r="DN535" s="92"/>
      <c r="DO535" s="92"/>
      <c r="DP535" s="92"/>
      <c r="DQ535" s="92"/>
      <c r="DR535" s="92"/>
      <c r="DS535" s="92"/>
      <c r="DT535" s="92"/>
      <c r="DU535" s="92"/>
      <c r="DV535" s="92"/>
      <c r="DW535" s="92"/>
      <c r="DX535" s="92"/>
      <c r="DY535" s="92"/>
      <c r="DZ535" s="92"/>
      <c r="EA535" s="92"/>
      <c r="EB535" s="92"/>
      <c r="EC535" s="92"/>
      <c r="ED535" s="92"/>
      <c r="EE535" s="92"/>
      <c r="EF535" s="92"/>
      <c r="EG535" s="92"/>
      <c r="EH535" s="92"/>
      <c r="EI535" s="92"/>
      <c r="EJ535" s="92"/>
      <c r="EK535" s="92"/>
      <c r="EL535" s="92"/>
      <c r="EM535" s="92"/>
      <c r="EN535" s="92"/>
      <c r="EO535" s="92"/>
      <c r="EP535" s="92"/>
      <c r="EQ535" s="92"/>
      <c r="ER535" s="92"/>
      <c r="ES535" s="92"/>
      <c r="ET535" s="92"/>
      <c r="EU535" s="92"/>
      <c r="EV535" s="92"/>
      <c r="EW535" s="92"/>
      <c r="EX535" s="92"/>
      <c r="EY535" s="92"/>
      <c r="EZ535" s="92"/>
      <c r="FA535" s="92"/>
      <c r="FB535" s="92"/>
      <c r="FC535" s="92"/>
      <c r="FD535" s="92"/>
      <c r="FE535" s="92"/>
      <c r="FF535" s="92"/>
      <c r="FG535" s="92"/>
      <c r="FH535" s="92"/>
    </row>
    <row r="536">
      <c r="A536" s="32" t="s">
        <v>38</v>
      </c>
      <c r="B536" s="32" t="s">
        <v>92</v>
      </c>
      <c r="C536" s="32" t="s">
        <v>13</v>
      </c>
      <c r="D536" s="97">
        <f t="shared" si="1"/>
        <v>4127.18664</v>
      </c>
      <c r="E536" s="92">
        <f>(SUBSTITUTE(Audio!E536, "RE-", "", 1))*1</f>
        <v>0</v>
      </c>
      <c r="F536" s="92">
        <f>(SUBSTITUTE(Audio!F536, "RE-", "", 1))*1</f>
        <v>1008.64</v>
      </c>
      <c r="G536" s="92">
        <f>(SUBSTITUTE(Audio!G536, "RE-", "", 1))*1</f>
        <v>7.27608</v>
      </c>
      <c r="H536" s="92">
        <f>(SUBSTITUTE(Audio!H536, "RE-", "", 1))*1</f>
        <v>30.4155</v>
      </c>
      <c r="I536" s="92">
        <f>(SUBSTITUTE(Audio!I536, "RE-", "", 1))*1</f>
        <v>0</v>
      </c>
      <c r="J536" s="92">
        <f>(SUBSTITUTE(Audio!J536, "RE-", "", 1))*1</f>
        <v>553.028</v>
      </c>
      <c r="K536" s="92">
        <f>(SUBSTITUTE(Audio!K536, "RE-", "", 1))*1</f>
        <v>3.68588</v>
      </c>
      <c r="L536" s="92">
        <f>(SUBSTITUTE(Audio!L536, "RE-", "", 1))*1</f>
        <v>672.37</v>
      </c>
      <c r="M536" s="92">
        <f>(SUBSTITUTE(Audio!M536, "RE-", "", 1))*1</f>
        <v>5.96608</v>
      </c>
      <c r="N536" s="92">
        <f>(SUBSTITUTE(Audio!N536, "RE-", "", 1))*1</f>
        <v>1349.28</v>
      </c>
      <c r="O536" s="92">
        <f>(SUBSTITUTE(Audio!O536, "RE-", "", 1))*1</f>
        <v>11.4909</v>
      </c>
      <c r="P536" s="92">
        <f>(SUBSTITUTE(Audio!P536, "RE-", "", 1))*1</f>
        <v>224.409</v>
      </c>
      <c r="Q536" s="92">
        <f>(SUBSTITUTE(Audio!Q536, "RE-", "", 1))*1</f>
        <v>21.3437</v>
      </c>
      <c r="R536" s="92">
        <f>(SUBSTITUTE(Audio!R536, "RE-", "", 1))*1</f>
        <v>35.8298</v>
      </c>
      <c r="S536" s="92">
        <f>(SUBSTITUTE(Audio!S536, "RE-", "", 1))*1</f>
        <v>3.61702</v>
      </c>
      <c r="T536" s="92">
        <f>(SUBSTITUTE(Audio!T536, "RE-", "", 1))*1</f>
        <v>185.028</v>
      </c>
      <c r="U536" s="92">
        <f>(SUBSTITUTE(Audio!U536, "RE-", "", 1))*1</f>
        <v>11.7718</v>
      </c>
      <c r="V536" s="92">
        <f>(SUBSTITUTE(Audio!V536, "RE-", "", 1))*1</f>
        <v>3.03488</v>
      </c>
      <c r="W536" s="92">
        <f>(SUBSTITUTE(Audio!W536, "RE-", "", 1))*1</f>
        <v>0</v>
      </c>
      <c r="X536" s="92">
        <f>(SUBSTITUTE(Audio!X536, "RE-", "", 1))*1</f>
        <v>0</v>
      </c>
      <c r="Y536" s="92">
        <f>(SUBSTITUTE(Audio!Y536, "RE-", "", 1))*1</f>
        <v>0</v>
      </c>
      <c r="Z536" s="92">
        <f>(SUBSTITUTE(Audio!Z536, "RE-", "", 1))*1</f>
        <v>0</v>
      </c>
      <c r="AA536" s="92"/>
      <c r="AB536" s="92"/>
      <c r="AC536" s="92"/>
      <c r="AD536" s="92"/>
      <c r="AE536" s="92"/>
      <c r="AF536" s="92"/>
      <c r="AG536" s="92"/>
      <c r="AH536" s="92"/>
      <c r="AI536" s="92"/>
      <c r="AJ536" s="92"/>
      <c r="AK536" s="92"/>
      <c r="AL536" s="92"/>
      <c r="AM536" s="92"/>
      <c r="AN536" s="92"/>
      <c r="AO536" s="92"/>
      <c r="AP536" s="92"/>
      <c r="AQ536" s="92"/>
      <c r="AR536" s="92"/>
      <c r="AS536" s="92"/>
      <c r="AT536" s="92"/>
      <c r="AU536" s="92"/>
      <c r="AV536" s="92"/>
      <c r="AW536" s="92"/>
      <c r="AX536" s="92"/>
      <c r="AY536" s="92"/>
      <c r="AZ536" s="92"/>
      <c r="BA536" s="92"/>
      <c r="BB536" s="92"/>
      <c r="BC536" s="92"/>
      <c r="BD536" s="92"/>
      <c r="BE536" s="92"/>
      <c r="BF536" s="92"/>
      <c r="BG536" s="92"/>
      <c r="BH536" s="92"/>
      <c r="BI536" s="92"/>
      <c r="BJ536" s="92"/>
      <c r="BK536" s="92"/>
      <c r="BL536" s="92"/>
      <c r="BM536" s="92"/>
      <c r="BN536" s="92"/>
      <c r="BO536" s="92"/>
      <c r="BP536" s="92"/>
      <c r="BQ536" s="92"/>
      <c r="BR536" s="92"/>
      <c r="BS536" s="92"/>
      <c r="BT536" s="92"/>
      <c r="BU536" s="92"/>
      <c r="BV536" s="92"/>
      <c r="BW536" s="92"/>
      <c r="BX536" s="92"/>
      <c r="BY536" s="92"/>
      <c r="BZ536" s="92"/>
      <c r="CA536" s="92"/>
      <c r="CB536" s="92"/>
      <c r="CC536" s="92"/>
      <c r="CD536" s="92"/>
      <c r="CE536" s="92"/>
      <c r="CF536" s="92"/>
      <c r="CG536" s="92"/>
      <c r="CH536" s="92"/>
      <c r="CI536" s="92"/>
      <c r="CJ536" s="92"/>
      <c r="CK536" s="92"/>
      <c r="CL536" s="92"/>
      <c r="CM536" s="92"/>
      <c r="CN536" s="92"/>
      <c r="CO536" s="92"/>
      <c r="CP536" s="92"/>
      <c r="CQ536" s="92"/>
      <c r="CR536" s="92"/>
      <c r="CS536" s="92"/>
      <c r="CT536" s="92"/>
      <c r="CU536" s="92"/>
      <c r="CV536" s="92"/>
      <c r="CW536" s="92"/>
      <c r="CX536" s="92"/>
      <c r="CY536" s="92"/>
      <c r="CZ536" s="92"/>
      <c r="DA536" s="92"/>
      <c r="DB536" s="92"/>
      <c r="DC536" s="92"/>
      <c r="DD536" s="92"/>
      <c r="DE536" s="92"/>
      <c r="DF536" s="92"/>
      <c r="DG536" s="92"/>
      <c r="DH536" s="92"/>
      <c r="DI536" s="92"/>
      <c r="DJ536" s="92"/>
      <c r="DK536" s="92"/>
      <c r="DL536" s="92"/>
      <c r="DM536" s="92"/>
      <c r="DN536" s="92"/>
      <c r="DO536" s="92"/>
      <c r="DP536" s="92"/>
      <c r="DQ536" s="92"/>
      <c r="DR536" s="92"/>
      <c r="DS536" s="92"/>
      <c r="DT536" s="92"/>
      <c r="DU536" s="92"/>
      <c r="DV536" s="92"/>
      <c r="DW536" s="92"/>
      <c r="DX536" s="92"/>
      <c r="DY536" s="92"/>
      <c r="DZ536" s="92"/>
      <c r="EA536" s="92"/>
      <c r="EB536" s="92"/>
      <c r="EC536" s="92"/>
      <c r="ED536" s="92"/>
      <c r="EE536" s="92"/>
      <c r="EF536" s="92"/>
      <c r="EG536" s="92"/>
      <c r="EH536" s="92"/>
      <c r="EI536" s="92"/>
      <c r="EJ536" s="92"/>
      <c r="EK536" s="92"/>
      <c r="EL536" s="92"/>
      <c r="EM536" s="92"/>
      <c r="EN536" s="92"/>
      <c r="EO536" s="92"/>
      <c r="EP536" s="92"/>
      <c r="EQ536" s="92"/>
      <c r="ER536" s="92"/>
      <c r="ES536" s="92"/>
      <c r="ET536" s="92"/>
      <c r="EU536" s="92"/>
      <c r="EV536" s="92"/>
      <c r="EW536" s="92"/>
      <c r="EX536" s="92"/>
      <c r="EY536" s="92"/>
      <c r="EZ536" s="92"/>
      <c r="FA536" s="92"/>
      <c r="FB536" s="92"/>
      <c r="FC536" s="92"/>
      <c r="FD536" s="92"/>
      <c r="FE536" s="92"/>
      <c r="FF536" s="92"/>
      <c r="FG536" s="92"/>
      <c r="FH536" s="92"/>
    </row>
    <row r="537">
      <c r="A537" s="32" t="s">
        <v>38</v>
      </c>
      <c r="B537" s="32" t="s">
        <v>92</v>
      </c>
      <c r="C537" s="32" t="s">
        <v>14</v>
      </c>
      <c r="D537" s="97">
        <f t="shared" si="1"/>
        <v>3665.13856</v>
      </c>
      <c r="E537" s="92">
        <f>(SUBSTITUTE(Audio!E537, "RE-", "", 1))*1</f>
        <v>0</v>
      </c>
      <c r="F537" s="92">
        <f>(SUBSTITUTE(Audio!F537, "RE-", "", 1))*1</f>
        <v>911.645</v>
      </c>
      <c r="G537" s="92">
        <f>(SUBSTITUTE(Audio!G537, "RE-", "", 1))*1</f>
        <v>7.1027</v>
      </c>
      <c r="H537" s="92">
        <f>(SUBSTITUTE(Audio!H537, "RE-", "", 1))*1</f>
        <v>27.9692</v>
      </c>
      <c r="I537" s="92">
        <f>(SUBSTITUTE(Audio!I537, "RE-", "", 1))*1</f>
        <v>0</v>
      </c>
      <c r="J537" s="92">
        <f>(SUBSTITUTE(Audio!J537, "RE-", "", 1))*1</f>
        <v>498.874</v>
      </c>
      <c r="K537" s="92">
        <f>(SUBSTITUTE(Audio!K537, "RE-", "", 1))*1</f>
        <v>3.03367</v>
      </c>
      <c r="L537" s="92">
        <f>(SUBSTITUTE(Audio!L537, "RE-", "", 1))*1</f>
        <v>590.742</v>
      </c>
      <c r="M537" s="92">
        <f>(SUBSTITUTE(Audio!M537, "RE-", "", 1))*1</f>
        <v>5.58202</v>
      </c>
      <c r="N537" s="92">
        <f>(SUBSTITUTE(Audio!N537, "RE-", "", 1))*1</f>
        <v>1204.31</v>
      </c>
      <c r="O537" s="92">
        <f>(SUBSTITUTE(Audio!O537, "RE-", "", 1))*1</f>
        <v>10.6207</v>
      </c>
      <c r="P537" s="92">
        <f>(SUBSTITUTE(Audio!P537, "RE-", "", 1))*1</f>
        <v>190.822</v>
      </c>
      <c r="Q537" s="92">
        <f>(SUBSTITUTE(Audio!Q537, "RE-", "", 1))*1</f>
        <v>20.546</v>
      </c>
      <c r="R537" s="92">
        <f>(SUBSTITUTE(Audio!R537, "RE-", "", 1))*1</f>
        <v>29.2287</v>
      </c>
      <c r="S537" s="92">
        <f>(SUBSTITUTE(Audio!S537, "RE-", "", 1))*1</f>
        <v>3.13702</v>
      </c>
      <c r="T537" s="92">
        <f>(SUBSTITUTE(Audio!T537, "RE-", "", 1))*1</f>
        <v>148.857</v>
      </c>
      <c r="U537" s="92">
        <f>(SUBSTITUTE(Audio!U537, "RE-", "", 1))*1</f>
        <v>9.98053</v>
      </c>
      <c r="V537" s="92">
        <f>(SUBSTITUTE(Audio!V537, "RE-", "", 1))*1</f>
        <v>2.68802</v>
      </c>
      <c r="W537" s="92">
        <f>(SUBSTITUTE(Audio!W537, "RE-", "", 1))*1</f>
        <v>0</v>
      </c>
      <c r="X537" s="92">
        <f>(SUBSTITUTE(Audio!X537, "RE-", "", 1))*1</f>
        <v>0</v>
      </c>
      <c r="Y537" s="92">
        <f>(SUBSTITUTE(Audio!Y537, "RE-", "", 1))*1</f>
        <v>0</v>
      </c>
      <c r="Z537" s="92">
        <f>(SUBSTITUTE(Audio!Z537, "RE-", "", 1))*1</f>
        <v>0</v>
      </c>
      <c r="AA537" s="92"/>
      <c r="AB537" s="92"/>
      <c r="AC537" s="92"/>
      <c r="AD537" s="92"/>
      <c r="AE537" s="92"/>
      <c r="AF537" s="92"/>
      <c r="AG537" s="92"/>
      <c r="AH537" s="92"/>
      <c r="AI537" s="92"/>
      <c r="AJ537" s="92"/>
      <c r="AK537" s="92"/>
      <c r="AL537" s="92"/>
      <c r="AM537" s="92"/>
      <c r="AN537" s="92"/>
      <c r="AO537" s="92"/>
      <c r="AP537" s="92"/>
      <c r="AQ537" s="92"/>
      <c r="AR537" s="92"/>
      <c r="AS537" s="92"/>
      <c r="AT537" s="92"/>
      <c r="AU537" s="92"/>
      <c r="AV537" s="92"/>
      <c r="AW537" s="92"/>
      <c r="AX537" s="92"/>
      <c r="AY537" s="92"/>
      <c r="AZ537" s="92"/>
      <c r="BA537" s="92"/>
      <c r="BB537" s="92"/>
      <c r="BC537" s="92"/>
      <c r="BD537" s="92"/>
      <c r="BE537" s="92"/>
      <c r="BF537" s="92"/>
      <c r="BG537" s="92"/>
      <c r="BH537" s="92"/>
      <c r="BI537" s="92"/>
      <c r="BJ537" s="92"/>
      <c r="BK537" s="92"/>
      <c r="BL537" s="92"/>
      <c r="BM537" s="92"/>
      <c r="BN537" s="92"/>
      <c r="BO537" s="92"/>
      <c r="BP537" s="92"/>
      <c r="BQ537" s="92"/>
      <c r="BR537" s="92"/>
      <c r="BS537" s="92"/>
      <c r="BT537" s="92"/>
      <c r="BU537" s="92"/>
      <c r="BV537" s="92"/>
      <c r="BW537" s="92"/>
      <c r="BX537" s="92"/>
      <c r="BY537" s="92"/>
      <c r="BZ537" s="92"/>
      <c r="CA537" s="92"/>
      <c r="CB537" s="92"/>
      <c r="CC537" s="92"/>
      <c r="CD537" s="92"/>
      <c r="CE537" s="92"/>
      <c r="CF537" s="92"/>
      <c r="CG537" s="92"/>
      <c r="CH537" s="92"/>
      <c r="CI537" s="92"/>
      <c r="CJ537" s="92"/>
      <c r="CK537" s="92"/>
      <c r="CL537" s="92"/>
      <c r="CM537" s="92"/>
      <c r="CN537" s="92"/>
      <c r="CO537" s="92"/>
      <c r="CP537" s="92"/>
      <c r="CQ537" s="92"/>
      <c r="CR537" s="92"/>
      <c r="CS537" s="92"/>
      <c r="CT537" s="92"/>
      <c r="CU537" s="92"/>
      <c r="CV537" s="92"/>
      <c r="CW537" s="92"/>
      <c r="CX537" s="92"/>
      <c r="CY537" s="92"/>
      <c r="CZ537" s="92"/>
      <c r="DA537" s="92"/>
      <c r="DB537" s="92"/>
      <c r="DC537" s="92"/>
      <c r="DD537" s="92"/>
      <c r="DE537" s="92"/>
      <c r="DF537" s="92"/>
      <c r="DG537" s="92"/>
      <c r="DH537" s="92"/>
      <c r="DI537" s="92"/>
      <c r="DJ537" s="92"/>
      <c r="DK537" s="92"/>
      <c r="DL537" s="92"/>
      <c r="DM537" s="92"/>
      <c r="DN537" s="92"/>
      <c r="DO537" s="92"/>
      <c r="DP537" s="92"/>
      <c r="DQ537" s="92"/>
      <c r="DR537" s="92"/>
      <c r="DS537" s="92"/>
      <c r="DT537" s="92"/>
      <c r="DU537" s="92"/>
      <c r="DV537" s="92"/>
      <c r="DW537" s="92"/>
      <c r="DX537" s="92"/>
      <c r="DY537" s="92"/>
      <c r="DZ537" s="92"/>
      <c r="EA537" s="92"/>
      <c r="EB537" s="92"/>
      <c r="EC537" s="92"/>
      <c r="ED537" s="92"/>
      <c r="EE537" s="92"/>
      <c r="EF537" s="92"/>
      <c r="EG537" s="92"/>
      <c r="EH537" s="92"/>
      <c r="EI537" s="92"/>
      <c r="EJ537" s="92"/>
      <c r="EK537" s="92"/>
      <c r="EL537" s="92"/>
      <c r="EM537" s="92"/>
      <c r="EN537" s="92"/>
      <c r="EO537" s="92"/>
      <c r="EP537" s="92"/>
      <c r="EQ537" s="92"/>
      <c r="ER537" s="92"/>
      <c r="ES537" s="92"/>
      <c r="ET537" s="92"/>
      <c r="EU537" s="92"/>
      <c r="EV537" s="92"/>
      <c r="EW537" s="92"/>
      <c r="EX537" s="92"/>
      <c r="EY537" s="92"/>
      <c r="EZ537" s="92"/>
      <c r="FA537" s="92"/>
      <c r="FB537" s="92"/>
      <c r="FC537" s="92"/>
      <c r="FD537" s="92"/>
      <c r="FE537" s="92"/>
      <c r="FF537" s="92"/>
      <c r="FG537" s="92"/>
      <c r="FH537" s="92"/>
    </row>
    <row r="538">
      <c r="A538" s="27" t="s">
        <v>38</v>
      </c>
      <c r="B538" s="27" t="s">
        <v>92</v>
      </c>
      <c r="C538" s="27" t="s">
        <v>15</v>
      </c>
      <c r="D538" s="98">
        <f t="shared" si="1"/>
        <v>4126.80664</v>
      </c>
      <c r="E538" s="92">
        <f>(SUBSTITUTE(Audio!E538, "RE-", "", 1))*1</f>
        <v>0</v>
      </c>
      <c r="F538" s="92">
        <f>(SUBSTITUTE(Audio!F538, "RE-", "", 1))*1</f>
        <v>1008.26</v>
      </c>
      <c r="G538" s="92">
        <f>(SUBSTITUTE(Audio!G538, "RE-", "", 1))*1</f>
        <v>7.27608</v>
      </c>
      <c r="H538" s="92">
        <f>(SUBSTITUTE(Audio!H538, "RE-", "", 1))*1</f>
        <v>30.4155</v>
      </c>
      <c r="I538" s="92">
        <f>(SUBSTITUTE(Audio!I538, "RE-", "", 1))*1</f>
        <v>0</v>
      </c>
      <c r="J538" s="92">
        <f>(SUBSTITUTE(Audio!J538, "RE-", "", 1))*1</f>
        <v>553.028</v>
      </c>
      <c r="K538" s="92">
        <f>(SUBSTITUTE(Audio!K538, "RE-", "", 1))*1</f>
        <v>3.68588</v>
      </c>
      <c r="L538" s="92">
        <f>(SUBSTITUTE(Audio!L538, "RE-", "", 1))*1</f>
        <v>672.37</v>
      </c>
      <c r="M538" s="92">
        <f>(SUBSTITUTE(Audio!M538, "RE-", "", 1))*1</f>
        <v>5.96608</v>
      </c>
      <c r="N538" s="92">
        <f>(SUBSTITUTE(Audio!N538, "RE-", "", 1))*1</f>
        <v>1349.28</v>
      </c>
      <c r="O538" s="92">
        <f>(SUBSTITUTE(Audio!O538, "RE-", "", 1))*1</f>
        <v>11.4909</v>
      </c>
      <c r="P538" s="92">
        <f>(SUBSTITUTE(Audio!P538, "RE-", "", 1))*1</f>
        <v>224.409</v>
      </c>
      <c r="Q538" s="92">
        <f>(SUBSTITUTE(Audio!Q538, "RE-", "", 1))*1</f>
        <v>21.3437</v>
      </c>
      <c r="R538" s="92">
        <f>(SUBSTITUTE(Audio!R538, "RE-", "", 1))*1</f>
        <v>35.8298</v>
      </c>
      <c r="S538" s="92">
        <f>(SUBSTITUTE(Audio!S538, "RE-", "", 1))*1</f>
        <v>3.61702</v>
      </c>
      <c r="T538" s="92">
        <f>(SUBSTITUTE(Audio!T538, "RE-", "", 1))*1</f>
        <v>185.028</v>
      </c>
      <c r="U538" s="92">
        <f>(SUBSTITUTE(Audio!U538, "RE-", "", 1))*1</f>
        <v>11.7718</v>
      </c>
      <c r="V538" s="92">
        <f>(SUBSTITUTE(Audio!V538, "RE-", "", 1))*1</f>
        <v>3.03488</v>
      </c>
      <c r="W538" s="92">
        <f>(SUBSTITUTE(Audio!W538, "RE-", "", 1))*1</f>
        <v>0</v>
      </c>
      <c r="X538" s="92">
        <f>(SUBSTITUTE(Audio!X538, "RE-", "", 1))*1</f>
        <v>0</v>
      </c>
      <c r="Y538" s="92">
        <f>(SUBSTITUTE(Audio!Y538, "RE-", "", 1))*1</f>
        <v>0</v>
      </c>
      <c r="Z538" s="92">
        <f>(SUBSTITUTE(Audio!Z538, "RE-", "", 1))*1</f>
        <v>0</v>
      </c>
      <c r="AA538" s="92"/>
      <c r="AB538" s="92"/>
      <c r="AC538" s="92"/>
      <c r="AD538" s="92"/>
      <c r="AE538" s="92"/>
      <c r="AF538" s="92"/>
      <c r="AG538" s="92"/>
      <c r="AH538" s="92"/>
      <c r="AI538" s="92"/>
      <c r="AJ538" s="92"/>
      <c r="AK538" s="92"/>
      <c r="AL538" s="92"/>
      <c r="AM538" s="92"/>
      <c r="AN538" s="92"/>
      <c r="AO538" s="92"/>
      <c r="AP538" s="92"/>
      <c r="AQ538" s="92"/>
      <c r="AR538" s="92"/>
      <c r="AS538" s="92"/>
      <c r="AT538" s="92"/>
      <c r="AU538" s="92"/>
      <c r="AV538" s="92"/>
      <c r="AW538" s="92"/>
      <c r="AX538" s="92"/>
      <c r="AY538" s="92"/>
      <c r="AZ538" s="92"/>
      <c r="BA538" s="92"/>
      <c r="BB538" s="92"/>
      <c r="BC538" s="92"/>
      <c r="BD538" s="92"/>
      <c r="BE538" s="92"/>
      <c r="BF538" s="92"/>
      <c r="BG538" s="92"/>
      <c r="BH538" s="92"/>
      <c r="BI538" s="92"/>
      <c r="BJ538" s="92"/>
      <c r="BK538" s="92"/>
      <c r="BL538" s="92"/>
      <c r="BM538" s="92"/>
      <c r="BN538" s="92"/>
      <c r="BO538" s="92"/>
      <c r="BP538" s="92"/>
      <c r="BQ538" s="92"/>
      <c r="BR538" s="92"/>
      <c r="BS538" s="92"/>
      <c r="BT538" s="92"/>
      <c r="BU538" s="92"/>
      <c r="BV538" s="92"/>
      <c r="BW538" s="92"/>
      <c r="BX538" s="92"/>
      <c r="BY538" s="92"/>
      <c r="BZ538" s="92"/>
      <c r="CA538" s="92"/>
      <c r="CB538" s="92"/>
      <c r="CC538" s="92"/>
      <c r="CD538" s="92"/>
      <c r="CE538" s="92"/>
      <c r="CF538" s="92"/>
      <c r="CG538" s="92"/>
      <c r="CH538" s="92"/>
      <c r="CI538" s="92"/>
      <c r="CJ538" s="92"/>
      <c r="CK538" s="92"/>
      <c r="CL538" s="92"/>
      <c r="CM538" s="92"/>
      <c r="CN538" s="92"/>
      <c r="CO538" s="92"/>
      <c r="CP538" s="92"/>
      <c r="CQ538" s="92"/>
      <c r="CR538" s="92"/>
      <c r="CS538" s="92"/>
      <c r="CT538" s="92"/>
      <c r="CU538" s="92"/>
      <c r="CV538" s="92"/>
      <c r="CW538" s="92"/>
      <c r="CX538" s="92"/>
      <c r="CY538" s="92"/>
      <c r="CZ538" s="92"/>
      <c r="DA538" s="92"/>
      <c r="DB538" s="92"/>
      <c r="DC538" s="92"/>
      <c r="DD538" s="92"/>
      <c r="DE538" s="92"/>
      <c r="DF538" s="92"/>
      <c r="DG538" s="92"/>
      <c r="DH538" s="92"/>
      <c r="DI538" s="92"/>
      <c r="DJ538" s="92"/>
      <c r="DK538" s="92"/>
      <c r="DL538" s="92"/>
      <c r="DM538" s="92"/>
      <c r="DN538" s="92"/>
      <c r="DO538" s="92"/>
      <c r="DP538" s="92"/>
      <c r="DQ538" s="92"/>
      <c r="DR538" s="92"/>
      <c r="DS538" s="92"/>
      <c r="DT538" s="92"/>
      <c r="DU538" s="92"/>
      <c r="DV538" s="92"/>
      <c r="DW538" s="92"/>
      <c r="DX538" s="92"/>
      <c r="DY538" s="92"/>
      <c r="DZ538" s="92"/>
      <c r="EA538" s="92"/>
      <c r="EB538" s="92"/>
      <c r="EC538" s="92"/>
      <c r="ED538" s="92"/>
      <c r="EE538" s="92"/>
      <c r="EF538" s="92"/>
      <c r="EG538" s="92"/>
      <c r="EH538" s="92"/>
      <c r="EI538" s="92"/>
      <c r="EJ538" s="92"/>
      <c r="EK538" s="92"/>
      <c r="EL538" s="92"/>
      <c r="EM538" s="92"/>
      <c r="EN538" s="92"/>
      <c r="EO538" s="92"/>
      <c r="EP538" s="92"/>
      <c r="EQ538" s="92"/>
      <c r="ER538" s="92"/>
      <c r="ES538" s="92"/>
      <c r="ET538" s="92"/>
      <c r="EU538" s="92"/>
      <c r="EV538" s="92"/>
      <c r="EW538" s="92"/>
      <c r="EX538" s="92"/>
      <c r="EY538" s="92"/>
      <c r="EZ538" s="92"/>
      <c r="FA538" s="92"/>
      <c r="FB538" s="92"/>
      <c r="FC538" s="92"/>
      <c r="FD538" s="92"/>
      <c r="FE538" s="92"/>
      <c r="FF538" s="92"/>
      <c r="FG538" s="92"/>
      <c r="FH538" s="92"/>
    </row>
    <row r="539">
      <c r="A539" s="30" t="s">
        <v>67</v>
      </c>
      <c r="B539" s="30" t="s">
        <v>93</v>
      </c>
      <c r="C539" s="31" t="str">
        <f>HYPERLINK("https://docs.google.com/spreadsheets/d/1geaxvUBnm0a3CxX-pmQ98KwmEeg67X_E/edit?usp=share_link&amp;ouid=106501987799020758802&amp;rtpof=true&amp;sd=true", "Raw Delivered")</f>
        <v>Raw Delivered</v>
      </c>
      <c r="D539" s="96">
        <f t="shared" si="1"/>
        <v>5908.111198</v>
      </c>
      <c r="E539" s="92">
        <f>(SUBSTITUTE(Audio!E539, "RE-", "", 1))*1</f>
        <v>0</v>
      </c>
      <c r="F539" s="92">
        <f>(SUBSTITUTE(Audio!F539, "RE-", "", 1))*1</f>
        <v>446.7322229</v>
      </c>
      <c r="G539" s="92">
        <f>(SUBSTITUTE(Audio!G539, "RE-", "", 1))*1</f>
        <v>0</v>
      </c>
      <c r="H539" s="92">
        <f>(SUBSTITUTE(Audio!H539, "RE-", "", 1))*1</f>
        <v>120.9647375</v>
      </c>
      <c r="I539" s="92">
        <f>(SUBSTITUTE(Audio!I539, "RE-", "", 1))*1</f>
        <v>0</v>
      </c>
      <c r="J539" s="92">
        <f>(SUBSTITUTE(Audio!J539, "RE-", "", 1))*1</f>
        <v>3025.645717</v>
      </c>
      <c r="K539" s="92">
        <f>(SUBSTITUTE(Audio!K539, "RE-", "", 1))*1</f>
        <v>0</v>
      </c>
      <c r="L539" s="92">
        <f>(SUBSTITUTE(Audio!L539, "RE-", "", 1))*1</f>
        <v>111.6663271</v>
      </c>
      <c r="M539" s="92">
        <f>(SUBSTITUTE(Audio!M539, "RE-", "", 1))*1</f>
        <v>0</v>
      </c>
      <c r="N539" s="92">
        <f>(SUBSTITUTE(Audio!N539, "RE-", "", 1))*1</f>
        <v>1328.902908</v>
      </c>
      <c r="O539" s="92">
        <f>(SUBSTITUTE(Audio!O539, "RE-", "", 1))*1</f>
        <v>0</v>
      </c>
      <c r="P539" s="92">
        <f>(SUBSTITUTE(Audio!P539, "RE-", "", 1))*1</f>
        <v>374.491124</v>
      </c>
      <c r="Q539" s="92">
        <f>(SUBSTITUTE(Audio!Q539, "RE-", "", 1))*1</f>
        <v>0</v>
      </c>
      <c r="R539" s="92">
        <f>(SUBSTITUTE(Audio!R539, "RE-", "", 1))*1</f>
        <v>161.0594021</v>
      </c>
      <c r="S539" s="92">
        <f>(SUBSTITUTE(Audio!S539, "RE-", "", 1))*1</f>
        <v>0</v>
      </c>
      <c r="T539" s="92">
        <f>(SUBSTITUTE(Audio!T539, "RE-", "", 1))*1</f>
        <v>338.6487594</v>
      </c>
      <c r="U539" s="92">
        <f>(SUBSTITUTE(Audio!U539, "RE-", "", 1))*1</f>
        <v>0</v>
      </c>
      <c r="V539" s="92">
        <f>(SUBSTITUTE(Audio!V539, "RE-", "", 1))*1</f>
        <v>0</v>
      </c>
      <c r="W539" s="92">
        <f>(SUBSTITUTE(Audio!W539, "RE-", "", 1))*1</f>
        <v>0</v>
      </c>
      <c r="X539" s="92">
        <f>(SUBSTITUTE(Audio!X539, "RE-", "", 1))*1</f>
        <v>0</v>
      </c>
      <c r="Y539" s="92">
        <f>(SUBSTITUTE(Audio!Y539, "RE-", "", 1))*1</f>
        <v>0</v>
      </c>
      <c r="Z539" s="92">
        <f>(SUBSTITUTE(Audio!Z539, "RE-", "", 1))*1</f>
        <v>0</v>
      </c>
      <c r="AA539" s="92"/>
      <c r="AB539" s="92"/>
      <c r="AC539" s="92"/>
      <c r="AD539" s="92"/>
      <c r="AE539" s="92"/>
      <c r="AF539" s="92"/>
      <c r="AG539" s="92"/>
      <c r="AH539" s="92"/>
      <c r="AI539" s="92"/>
      <c r="AJ539" s="92"/>
      <c r="AK539" s="92"/>
      <c r="AL539" s="92"/>
      <c r="AM539" s="92"/>
      <c r="AN539" s="92"/>
      <c r="AO539" s="92"/>
      <c r="AP539" s="92"/>
      <c r="AQ539" s="92"/>
      <c r="AR539" s="92"/>
      <c r="AS539" s="92"/>
      <c r="AT539" s="92"/>
      <c r="AU539" s="92"/>
      <c r="AV539" s="92"/>
      <c r="AW539" s="92"/>
      <c r="AX539" s="92"/>
      <c r="AY539" s="92"/>
      <c r="AZ539" s="92"/>
      <c r="BA539" s="92"/>
      <c r="BB539" s="92"/>
      <c r="BC539" s="92"/>
      <c r="BD539" s="92"/>
      <c r="BE539" s="92"/>
      <c r="BF539" s="92"/>
      <c r="BG539" s="92"/>
      <c r="BH539" s="92"/>
      <c r="BI539" s="92"/>
      <c r="BJ539" s="92"/>
      <c r="BK539" s="92"/>
      <c r="BL539" s="92"/>
      <c r="BM539" s="92"/>
      <c r="BN539" s="92"/>
      <c r="BO539" s="92"/>
      <c r="BP539" s="92"/>
      <c r="BQ539" s="92"/>
      <c r="BR539" s="92"/>
      <c r="BS539" s="92"/>
      <c r="BT539" s="92"/>
      <c r="BU539" s="92"/>
      <c r="BV539" s="92"/>
      <c r="BW539" s="92"/>
      <c r="BX539" s="92"/>
      <c r="BY539" s="92"/>
      <c r="BZ539" s="92"/>
      <c r="CA539" s="92"/>
      <c r="CB539" s="92"/>
      <c r="CC539" s="92"/>
      <c r="CD539" s="92"/>
      <c r="CE539" s="92"/>
      <c r="CF539" s="92"/>
      <c r="CG539" s="92"/>
      <c r="CH539" s="92"/>
      <c r="CI539" s="92"/>
      <c r="CJ539" s="92"/>
      <c r="CK539" s="92"/>
      <c r="CL539" s="92"/>
      <c r="CM539" s="92"/>
      <c r="CN539" s="92"/>
      <c r="CO539" s="92"/>
      <c r="CP539" s="92"/>
      <c r="CQ539" s="92"/>
      <c r="CR539" s="92"/>
      <c r="CS539" s="92"/>
      <c r="CT539" s="92"/>
      <c r="CU539" s="92"/>
      <c r="CV539" s="92"/>
      <c r="CW539" s="92"/>
      <c r="CX539" s="92"/>
      <c r="CY539" s="92"/>
      <c r="CZ539" s="92"/>
      <c r="DA539" s="92"/>
      <c r="DB539" s="92"/>
      <c r="DC539" s="92"/>
      <c r="DD539" s="92"/>
      <c r="DE539" s="92"/>
      <c r="DF539" s="92"/>
      <c r="DG539" s="92"/>
      <c r="DH539" s="92"/>
      <c r="DI539" s="92"/>
      <c r="DJ539" s="92"/>
      <c r="DK539" s="92"/>
      <c r="DL539" s="92"/>
      <c r="DM539" s="92"/>
      <c r="DN539" s="92"/>
      <c r="DO539" s="92"/>
      <c r="DP539" s="92"/>
      <c r="DQ539" s="92"/>
      <c r="DR539" s="92"/>
      <c r="DS539" s="92"/>
      <c r="DT539" s="92"/>
      <c r="DU539" s="92"/>
      <c r="DV539" s="92"/>
      <c r="DW539" s="92"/>
      <c r="DX539" s="92"/>
      <c r="DY539" s="92"/>
      <c r="DZ539" s="92"/>
      <c r="EA539" s="92"/>
      <c r="EB539" s="92"/>
      <c r="EC539" s="92"/>
      <c r="ED539" s="92"/>
      <c r="EE539" s="92"/>
      <c r="EF539" s="92"/>
      <c r="EG539" s="92"/>
      <c r="EH539" s="92"/>
      <c r="EI539" s="92"/>
      <c r="EJ539" s="92"/>
      <c r="EK539" s="92"/>
      <c r="EL539" s="92"/>
      <c r="EM539" s="92"/>
      <c r="EN539" s="92"/>
      <c r="EO539" s="92"/>
      <c r="EP539" s="92"/>
      <c r="EQ539" s="92"/>
      <c r="ER539" s="92"/>
      <c r="ES539" s="92"/>
      <c r="ET539" s="92"/>
      <c r="EU539" s="92"/>
      <c r="EV539" s="92"/>
      <c r="EW539" s="92"/>
      <c r="EX539" s="92"/>
      <c r="EY539" s="92"/>
      <c r="EZ539" s="92"/>
      <c r="FA539" s="92"/>
      <c r="FB539" s="92"/>
      <c r="FC539" s="92"/>
      <c r="FD539" s="92"/>
      <c r="FE539" s="92"/>
      <c r="FF539" s="92"/>
      <c r="FG539" s="92"/>
      <c r="FH539" s="92"/>
    </row>
    <row r="540">
      <c r="A540" s="32" t="s">
        <v>67</v>
      </c>
      <c r="B540" s="32" t="s">
        <v>93</v>
      </c>
      <c r="C540" s="32" t="s">
        <v>9</v>
      </c>
      <c r="D540" s="97">
        <f t="shared" si="1"/>
        <v>5908.111198</v>
      </c>
      <c r="E540" s="92">
        <f>(SUBSTITUTE(Audio!E540, "RE-", "", 1))*1</f>
        <v>0</v>
      </c>
      <c r="F540" s="92">
        <f>(SUBSTITUTE(Audio!F540, "RE-", "", 1))*1</f>
        <v>446.7322229</v>
      </c>
      <c r="G540" s="92">
        <f>(SUBSTITUTE(Audio!G540, "RE-", "", 1))*1</f>
        <v>0</v>
      </c>
      <c r="H540" s="92">
        <f>(SUBSTITUTE(Audio!H540, "RE-", "", 1))*1</f>
        <v>120.9647375</v>
      </c>
      <c r="I540" s="92">
        <f>(SUBSTITUTE(Audio!I540, "RE-", "", 1))*1</f>
        <v>0</v>
      </c>
      <c r="J540" s="92">
        <f>(SUBSTITUTE(Audio!J540, "RE-", "", 1))*1</f>
        <v>3025.645717</v>
      </c>
      <c r="K540" s="92">
        <f>(SUBSTITUTE(Audio!K540, "RE-", "", 1))*1</f>
        <v>0</v>
      </c>
      <c r="L540" s="92">
        <f>(SUBSTITUTE(Audio!L540, "RE-", "", 1))*1</f>
        <v>111.6663271</v>
      </c>
      <c r="M540" s="92">
        <f>(SUBSTITUTE(Audio!M540, "RE-", "", 1))*1</f>
        <v>0</v>
      </c>
      <c r="N540" s="92">
        <f>(SUBSTITUTE(Audio!N540, "RE-", "", 1))*1</f>
        <v>1328.902908</v>
      </c>
      <c r="O540" s="92">
        <f>(SUBSTITUTE(Audio!O540, "RE-", "", 1))*1</f>
        <v>0</v>
      </c>
      <c r="P540" s="92">
        <f>(SUBSTITUTE(Audio!P540, "RE-", "", 1))*1</f>
        <v>374.491124</v>
      </c>
      <c r="Q540" s="92">
        <f>(SUBSTITUTE(Audio!Q540, "RE-", "", 1))*1</f>
        <v>0</v>
      </c>
      <c r="R540" s="92">
        <f>(SUBSTITUTE(Audio!R540, "RE-", "", 1))*1</f>
        <v>161.0594021</v>
      </c>
      <c r="S540" s="92">
        <f>(SUBSTITUTE(Audio!S540, "RE-", "", 1))*1</f>
        <v>0</v>
      </c>
      <c r="T540" s="92">
        <f>(SUBSTITUTE(Audio!T540, "RE-", "", 1))*1</f>
        <v>338.6487594</v>
      </c>
      <c r="U540" s="92">
        <f>(SUBSTITUTE(Audio!U540, "RE-", "", 1))*1</f>
        <v>0</v>
      </c>
      <c r="V540" s="92">
        <f>(SUBSTITUTE(Audio!V540, "RE-", "", 1))*1</f>
        <v>0</v>
      </c>
      <c r="W540" s="92">
        <f>(SUBSTITUTE(Audio!W540, "RE-", "", 1))*1</f>
        <v>0</v>
      </c>
      <c r="X540" s="92">
        <f>(SUBSTITUTE(Audio!X540, "RE-", "", 1))*1</f>
        <v>0</v>
      </c>
      <c r="Y540" s="92">
        <f>(SUBSTITUTE(Audio!Y540, "RE-", "", 1))*1</f>
        <v>0</v>
      </c>
      <c r="Z540" s="92">
        <f>(SUBSTITUTE(Audio!Z540, "RE-", "", 1))*1</f>
        <v>0</v>
      </c>
      <c r="AA540" s="92"/>
      <c r="AB540" s="92"/>
      <c r="AC540" s="92"/>
      <c r="AD540" s="92"/>
      <c r="AE540" s="92"/>
      <c r="AF540" s="92"/>
      <c r="AG540" s="92"/>
      <c r="AH540" s="92"/>
      <c r="AI540" s="92"/>
      <c r="AJ540" s="92"/>
      <c r="AK540" s="92"/>
      <c r="AL540" s="92"/>
      <c r="AM540" s="92"/>
      <c r="AN540" s="92"/>
      <c r="AO540" s="92"/>
      <c r="AP540" s="92"/>
      <c r="AQ540" s="92"/>
      <c r="AR540" s="92"/>
      <c r="AS540" s="92"/>
      <c r="AT540" s="92"/>
      <c r="AU540" s="92"/>
      <c r="AV540" s="92"/>
      <c r="AW540" s="92"/>
      <c r="AX540" s="92"/>
      <c r="AY540" s="92"/>
      <c r="AZ540" s="92"/>
      <c r="BA540" s="92"/>
      <c r="BB540" s="92"/>
      <c r="BC540" s="92"/>
      <c r="BD540" s="92"/>
      <c r="BE540" s="92"/>
      <c r="BF540" s="92"/>
      <c r="BG540" s="92"/>
      <c r="BH540" s="92"/>
      <c r="BI540" s="92"/>
      <c r="BJ540" s="92"/>
      <c r="BK540" s="92"/>
      <c r="BL540" s="92"/>
      <c r="BM540" s="92"/>
      <c r="BN540" s="92"/>
      <c r="BO540" s="92"/>
      <c r="BP540" s="92"/>
      <c r="BQ540" s="92"/>
      <c r="BR540" s="92"/>
      <c r="BS540" s="92"/>
      <c r="BT540" s="92"/>
      <c r="BU540" s="92"/>
      <c r="BV540" s="92"/>
      <c r="BW540" s="92"/>
      <c r="BX540" s="92"/>
      <c r="BY540" s="92"/>
      <c r="BZ540" s="92"/>
      <c r="CA540" s="92"/>
      <c r="CB540" s="92"/>
      <c r="CC540" s="92"/>
      <c r="CD540" s="92"/>
      <c r="CE540" s="92"/>
      <c r="CF540" s="92"/>
      <c r="CG540" s="92"/>
      <c r="CH540" s="92"/>
      <c r="CI540" s="92"/>
      <c r="CJ540" s="92"/>
      <c r="CK540" s="92"/>
      <c r="CL540" s="92"/>
      <c r="CM540" s="92"/>
      <c r="CN540" s="92"/>
      <c r="CO540" s="92"/>
      <c r="CP540" s="92"/>
      <c r="CQ540" s="92"/>
      <c r="CR540" s="92"/>
      <c r="CS540" s="92"/>
      <c r="CT540" s="92"/>
      <c r="CU540" s="92"/>
      <c r="CV540" s="92"/>
      <c r="CW540" s="92"/>
      <c r="CX540" s="92"/>
      <c r="CY540" s="92"/>
      <c r="CZ540" s="92"/>
      <c r="DA540" s="92"/>
      <c r="DB540" s="92"/>
      <c r="DC540" s="92"/>
      <c r="DD540" s="92"/>
      <c r="DE540" s="92"/>
      <c r="DF540" s="92"/>
      <c r="DG540" s="92"/>
      <c r="DH540" s="92"/>
      <c r="DI540" s="92"/>
      <c r="DJ540" s="92"/>
      <c r="DK540" s="92"/>
      <c r="DL540" s="92"/>
      <c r="DM540" s="92"/>
      <c r="DN540" s="92"/>
      <c r="DO540" s="92"/>
      <c r="DP540" s="92"/>
      <c r="DQ540" s="92"/>
      <c r="DR540" s="92"/>
      <c r="DS540" s="92"/>
      <c r="DT540" s="92"/>
      <c r="DU540" s="92"/>
      <c r="DV540" s="92"/>
      <c r="DW540" s="92"/>
      <c r="DX540" s="92"/>
      <c r="DY540" s="92"/>
      <c r="DZ540" s="92"/>
      <c r="EA540" s="92"/>
      <c r="EB540" s="92"/>
      <c r="EC540" s="92"/>
      <c r="ED540" s="92"/>
      <c r="EE540" s="92"/>
      <c r="EF540" s="92"/>
      <c r="EG540" s="92"/>
      <c r="EH540" s="92"/>
      <c r="EI540" s="92"/>
      <c r="EJ540" s="92"/>
      <c r="EK540" s="92"/>
      <c r="EL540" s="92"/>
      <c r="EM540" s="92"/>
      <c r="EN540" s="92"/>
      <c r="EO540" s="92"/>
      <c r="EP540" s="92"/>
      <c r="EQ540" s="92"/>
      <c r="ER540" s="92"/>
      <c r="ES540" s="92"/>
      <c r="ET540" s="92"/>
      <c r="EU540" s="92"/>
      <c r="EV540" s="92"/>
      <c r="EW540" s="92"/>
      <c r="EX540" s="92"/>
      <c r="EY540" s="92"/>
      <c r="EZ540" s="92"/>
      <c r="FA540" s="92"/>
      <c r="FB540" s="92"/>
      <c r="FC540" s="92"/>
      <c r="FD540" s="92"/>
      <c r="FE540" s="92"/>
      <c r="FF540" s="92"/>
      <c r="FG540" s="92"/>
      <c r="FH540" s="92"/>
    </row>
    <row r="541">
      <c r="A541" s="32" t="s">
        <v>67</v>
      </c>
      <c r="B541" s="32" t="s">
        <v>93</v>
      </c>
      <c r="C541" s="32" t="s">
        <v>10</v>
      </c>
      <c r="D541" s="97">
        <f t="shared" si="1"/>
        <v>636.0477886</v>
      </c>
      <c r="E541" s="92">
        <f>(SUBSTITUTE(Audio!E541, "RE-", "", 1))*1</f>
        <v>0</v>
      </c>
      <c r="F541" s="92">
        <f>(SUBSTITUTE(Audio!F541, "RE-", "", 1))*1</f>
        <v>0</v>
      </c>
      <c r="G541" s="92">
        <f>(SUBSTITUTE(Audio!G541, "RE-", "", 1))*1</f>
        <v>33.73514167</v>
      </c>
      <c r="H541" s="92">
        <f>(SUBSTITUTE(Audio!H541, "RE-", "", 1))*1</f>
        <v>0</v>
      </c>
      <c r="I541" s="92">
        <f>(SUBSTITUTE(Audio!I541, "RE-", "", 1))*1</f>
        <v>5.755777083</v>
      </c>
      <c r="J541" s="92">
        <f>(SUBSTITUTE(Audio!J541, "RE-", "", 1))*1</f>
        <v>0</v>
      </c>
      <c r="K541" s="92">
        <f>(SUBSTITUTE(Audio!K541, "RE-", "", 1))*1</f>
        <v>269.7666875</v>
      </c>
      <c r="L541" s="92">
        <f>(SUBSTITUTE(Audio!L541, "RE-", "", 1))*1</f>
        <v>0</v>
      </c>
      <c r="M541" s="92">
        <f>(SUBSTITUTE(Audio!M541, "RE-", "", 1))*1</f>
        <v>16.4647375</v>
      </c>
      <c r="N541" s="92">
        <f>(SUBSTITUTE(Audio!N541, "RE-", "", 1))*1</f>
        <v>0</v>
      </c>
      <c r="O541" s="92">
        <f>(SUBSTITUTE(Audio!O541, "RE-", "", 1))*1</f>
        <v>207.5522063</v>
      </c>
      <c r="P541" s="92">
        <f>(SUBSTITUTE(Audio!P541, "RE-", "", 1))*1</f>
        <v>0</v>
      </c>
      <c r="Q541" s="92">
        <f>(SUBSTITUTE(Audio!Q541, "RE-", "", 1))*1</f>
        <v>64.02307083</v>
      </c>
      <c r="R541" s="92">
        <f>(SUBSTITUTE(Audio!R541, "RE-", "", 1))*1</f>
        <v>0</v>
      </c>
      <c r="S541" s="92">
        <f>(SUBSTITUTE(Audio!S541, "RE-", "", 1))*1</f>
        <v>14.77181458</v>
      </c>
      <c r="T541" s="92">
        <f>(SUBSTITUTE(Audio!T541, "RE-", "", 1))*1</f>
        <v>0</v>
      </c>
      <c r="U541" s="92">
        <f>(SUBSTITUTE(Audio!U541, "RE-", "", 1))*1</f>
        <v>22.05880104</v>
      </c>
      <c r="V541" s="92">
        <f>(SUBSTITUTE(Audio!V541, "RE-", "", 1))*1</f>
        <v>1.919552083</v>
      </c>
      <c r="W541" s="92">
        <f>(SUBSTITUTE(Audio!W541, "RE-", "", 1))*1</f>
        <v>0</v>
      </c>
      <c r="X541" s="92">
        <f>(SUBSTITUTE(Audio!X541, "RE-", "", 1))*1</f>
        <v>0</v>
      </c>
      <c r="Y541" s="92">
        <f>(SUBSTITUTE(Audio!Y541, "RE-", "", 1))*1</f>
        <v>0</v>
      </c>
      <c r="Z541" s="92">
        <f>(SUBSTITUTE(Audio!Z541, "RE-", "", 1))*1</f>
        <v>0</v>
      </c>
      <c r="AA541" s="92"/>
      <c r="AB541" s="92"/>
      <c r="AC541" s="92"/>
      <c r="AD541" s="92"/>
      <c r="AE541" s="92"/>
      <c r="AF541" s="92"/>
      <c r="AG541" s="92"/>
      <c r="AH541" s="92"/>
      <c r="AI541" s="92"/>
      <c r="AJ541" s="92"/>
      <c r="AK541" s="92"/>
      <c r="AL541" s="92"/>
      <c r="AM541" s="92"/>
      <c r="AN541" s="92"/>
      <c r="AO541" s="92"/>
      <c r="AP541" s="92"/>
      <c r="AQ541" s="92"/>
      <c r="AR541" s="92"/>
      <c r="AS541" s="92"/>
      <c r="AT541" s="92"/>
      <c r="AU541" s="92"/>
      <c r="AV541" s="92"/>
      <c r="AW541" s="92"/>
      <c r="AX541" s="92"/>
      <c r="AY541" s="92"/>
      <c r="AZ541" s="92"/>
      <c r="BA541" s="92"/>
      <c r="BB541" s="92"/>
      <c r="BC541" s="92"/>
      <c r="BD541" s="92"/>
      <c r="BE541" s="92"/>
      <c r="BF541" s="92"/>
      <c r="BG541" s="92"/>
      <c r="BH541" s="92"/>
      <c r="BI541" s="92"/>
      <c r="BJ541" s="92"/>
      <c r="BK541" s="92"/>
      <c r="BL541" s="92"/>
      <c r="BM541" s="92"/>
      <c r="BN541" s="92"/>
      <c r="BO541" s="92"/>
      <c r="BP541" s="92"/>
      <c r="BQ541" s="92"/>
      <c r="BR541" s="92"/>
      <c r="BS541" s="92"/>
      <c r="BT541" s="92"/>
      <c r="BU541" s="92"/>
      <c r="BV541" s="92"/>
      <c r="BW541" s="92"/>
      <c r="BX541" s="92"/>
      <c r="BY541" s="92"/>
      <c r="BZ541" s="92"/>
      <c r="CA541" s="92"/>
      <c r="CB541" s="92"/>
      <c r="CC541" s="92"/>
      <c r="CD541" s="92"/>
      <c r="CE541" s="92"/>
      <c r="CF541" s="92"/>
      <c r="CG541" s="92"/>
      <c r="CH541" s="92"/>
      <c r="CI541" s="92"/>
      <c r="CJ541" s="92"/>
      <c r="CK541" s="92"/>
      <c r="CL541" s="92"/>
      <c r="CM541" s="92"/>
      <c r="CN541" s="92"/>
      <c r="CO541" s="92"/>
      <c r="CP541" s="92"/>
      <c r="CQ541" s="92"/>
      <c r="CR541" s="92"/>
      <c r="CS541" s="92"/>
      <c r="CT541" s="92"/>
      <c r="CU541" s="92"/>
      <c r="CV541" s="92"/>
      <c r="CW541" s="92"/>
      <c r="CX541" s="92"/>
      <c r="CY541" s="92"/>
      <c r="CZ541" s="92"/>
      <c r="DA541" s="92"/>
      <c r="DB541" s="92"/>
      <c r="DC541" s="92"/>
      <c r="DD541" s="92"/>
      <c r="DE541" s="92"/>
      <c r="DF541" s="92"/>
      <c r="DG541" s="92"/>
      <c r="DH541" s="92"/>
      <c r="DI541" s="92"/>
      <c r="DJ541" s="92"/>
      <c r="DK541" s="92"/>
      <c r="DL541" s="92"/>
      <c r="DM541" s="92"/>
      <c r="DN541" s="92"/>
      <c r="DO541" s="92"/>
      <c r="DP541" s="92"/>
      <c r="DQ541" s="92"/>
      <c r="DR541" s="92"/>
      <c r="DS541" s="92"/>
      <c r="DT541" s="92"/>
      <c r="DU541" s="92"/>
      <c r="DV541" s="92"/>
      <c r="DW541" s="92"/>
      <c r="DX541" s="92"/>
      <c r="DY541" s="92"/>
      <c r="DZ541" s="92"/>
      <c r="EA541" s="92"/>
      <c r="EB541" s="92"/>
      <c r="EC541" s="92"/>
      <c r="ED541" s="92"/>
      <c r="EE541" s="92"/>
      <c r="EF541" s="92"/>
      <c r="EG541" s="92"/>
      <c r="EH541" s="92"/>
      <c r="EI541" s="92"/>
      <c r="EJ541" s="92"/>
      <c r="EK541" s="92"/>
      <c r="EL541" s="92"/>
      <c r="EM541" s="92"/>
      <c r="EN541" s="92"/>
      <c r="EO541" s="92"/>
      <c r="EP541" s="92"/>
      <c r="EQ541" s="92"/>
      <c r="ER541" s="92"/>
      <c r="ES541" s="92"/>
      <c r="ET541" s="92"/>
      <c r="EU541" s="92"/>
      <c r="EV541" s="92"/>
      <c r="EW541" s="92"/>
      <c r="EX541" s="92"/>
      <c r="EY541" s="92"/>
      <c r="EZ541" s="92"/>
      <c r="FA541" s="92"/>
      <c r="FB541" s="92"/>
      <c r="FC541" s="92"/>
      <c r="FD541" s="92"/>
      <c r="FE541" s="92"/>
      <c r="FF541" s="92"/>
      <c r="FG541" s="92"/>
      <c r="FH541" s="92"/>
    </row>
    <row r="542">
      <c r="A542" s="32" t="s">
        <v>67</v>
      </c>
      <c r="B542" s="32" t="s">
        <v>93</v>
      </c>
      <c r="C542" s="32" t="s">
        <v>11</v>
      </c>
      <c r="D542" s="97">
        <f t="shared" si="1"/>
        <v>636.0477885</v>
      </c>
      <c r="E542" s="92">
        <f>(SUBSTITUTE(Audio!E542, "RE-", "", 1))*1</f>
        <v>0</v>
      </c>
      <c r="F542" s="92">
        <f>(SUBSTITUTE(Audio!F542, "RE-", "", 1))*1</f>
        <v>0</v>
      </c>
      <c r="G542" s="92">
        <f>(SUBSTITUTE(Audio!G542, "RE-", "", 1))*1</f>
        <v>33.73514167</v>
      </c>
      <c r="H542" s="92">
        <f>(SUBSTITUTE(Audio!H542, "RE-", "", 1))*1</f>
        <v>0</v>
      </c>
      <c r="I542" s="92">
        <f>(SUBSTITUTE(Audio!I542, "RE-", "", 1))*1</f>
        <v>5.755777083</v>
      </c>
      <c r="J542" s="92">
        <f>(SUBSTITUTE(Audio!J542, "RE-", "", 1))*1</f>
        <v>0</v>
      </c>
      <c r="K542" s="92">
        <f>(SUBSTITUTE(Audio!K542, "RE-", "", 1))*1</f>
        <v>269.7666875</v>
      </c>
      <c r="L542" s="92">
        <f>(SUBSTITUTE(Audio!L542, "RE-", "", 1))*1</f>
        <v>0</v>
      </c>
      <c r="M542" s="92">
        <f>(SUBSTITUTE(Audio!M542, "RE-", "", 1))*1</f>
        <v>16.4647375</v>
      </c>
      <c r="N542" s="92">
        <f>(SUBSTITUTE(Audio!N542, "RE-", "", 1))*1</f>
        <v>0</v>
      </c>
      <c r="O542" s="92">
        <f>(SUBSTITUTE(Audio!O542, "RE-", "", 1))*1</f>
        <v>207.5522063</v>
      </c>
      <c r="P542" s="92">
        <f>(SUBSTITUTE(Audio!P542, "RE-", "", 1))*1</f>
        <v>0</v>
      </c>
      <c r="Q542" s="92">
        <f>(SUBSTITUTE(Audio!Q542, "RE-", "", 1))*1</f>
        <v>64.02307083</v>
      </c>
      <c r="R542" s="92">
        <f>(SUBSTITUTE(Audio!R542, "RE-", "", 1))*1</f>
        <v>0</v>
      </c>
      <c r="S542" s="92">
        <f>(SUBSTITUTE(Audio!S542, "RE-", "", 1))*1</f>
        <v>14.77181458</v>
      </c>
      <c r="T542" s="92">
        <f>(SUBSTITUTE(Audio!T542, "RE-", "", 1))*1</f>
        <v>0</v>
      </c>
      <c r="U542" s="92">
        <f>(SUBSTITUTE(Audio!U542, "RE-", "", 1))*1</f>
        <v>22.05880104</v>
      </c>
      <c r="V542" s="92">
        <f>(SUBSTITUTE(Audio!V542, "RE-", "", 1))*1</f>
        <v>1.919552083</v>
      </c>
      <c r="W542" s="92">
        <f>(SUBSTITUTE(Audio!W542, "RE-", "", 1))*1</f>
        <v>0</v>
      </c>
      <c r="X542" s="92">
        <f>(SUBSTITUTE(Audio!X542, "RE-", "", 1))*1</f>
        <v>0</v>
      </c>
      <c r="Y542" s="92">
        <f>(SUBSTITUTE(Audio!Y542, "RE-", "", 1))*1</f>
        <v>0</v>
      </c>
      <c r="Z542" s="92">
        <f>(SUBSTITUTE(Audio!Z542, "RE-", "", 1))*1</f>
        <v>0</v>
      </c>
      <c r="AA542" s="92"/>
      <c r="AB542" s="92"/>
      <c r="AC542" s="92"/>
      <c r="AD542" s="92"/>
      <c r="AE542" s="92"/>
      <c r="AF542" s="92"/>
      <c r="AG542" s="92"/>
      <c r="AH542" s="92"/>
      <c r="AI542" s="92"/>
      <c r="AJ542" s="92"/>
      <c r="AK542" s="92"/>
      <c r="AL542" s="92"/>
      <c r="AM542" s="92"/>
      <c r="AN542" s="92"/>
      <c r="AO542" s="92"/>
      <c r="AP542" s="92"/>
      <c r="AQ542" s="92"/>
      <c r="AR542" s="92"/>
      <c r="AS542" s="92"/>
      <c r="AT542" s="92"/>
      <c r="AU542" s="92"/>
      <c r="AV542" s="92"/>
      <c r="AW542" s="92"/>
      <c r="AX542" s="92"/>
      <c r="AY542" s="92"/>
      <c r="AZ542" s="92"/>
      <c r="BA542" s="92"/>
      <c r="BB542" s="92"/>
      <c r="BC542" s="92"/>
      <c r="BD542" s="92"/>
      <c r="BE542" s="92"/>
      <c r="BF542" s="92"/>
      <c r="BG542" s="92"/>
      <c r="BH542" s="92"/>
      <c r="BI542" s="92"/>
      <c r="BJ542" s="92"/>
      <c r="BK542" s="92"/>
      <c r="BL542" s="92"/>
      <c r="BM542" s="92"/>
      <c r="BN542" s="92"/>
      <c r="BO542" s="92"/>
      <c r="BP542" s="92"/>
      <c r="BQ542" s="92"/>
      <c r="BR542" s="92"/>
      <c r="BS542" s="92"/>
      <c r="BT542" s="92"/>
      <c r="BU542" s="92"/>
      <c r="BV542" s="92"/>
      <c r="BW542" s="92"/>
      <c r="BX542" s="92"/>
      <c r="BY542" s="92"/>
      <c r="BZ542" s="92"/>
      <c r="CA542" s="92"/>
      <c r="CB542" s="92"/>
      <c r="CC542" s="92"/>
      <c r="CD542" s="92"/>
      <c r="CE542" s="92"/>
      <c r="CF542" s="92"/>
      <c r="CG542" s="92"/>
      <c r="CH542" s="92"/>
      <c r="CI542" s="92"/>
      <c r="CJ542" s="92"/>
      <c r="CK542" s="92"/>
      <c r="CL542" s="92"/>
      <c r="CM542" s="92"/>
      <c r="CN542" s="92"/>
      <c r="CO542" s="92"/>
      <c r="CP542" s="92"/>
      <c r="CQ542" s="92"/>
      <c r="CR542" s="92"/>
      <c r="CS542" s="92"/>
      <c r="CT542" s="92"/>
      <c r="CU542" s="92"/>
      <c r="CV542" s="92"/>
      <c r="CW542" s="92"/>
      <c r="CX542" s="92"/>
      <c r="CY542" s="92"/>
      <c r="CZ542" s="92"/>
      <c r="DA542" s="92"/>
      <c r="DB542" s="92"/>
      <c r="DC542" s="92"/>
      <c r="DD542" s="92"/>
      <c r="DE542" s="92"/>
      <c r="DF542" s="92"/>
      <c r="DG542" s="92"/>
      <c r="DH542" s="92"/>
      <c r="DI542" s="92"/>
      <c r="DJ542" s="92"/>
      <c r="DK542" s="92"/>
      <c r="DL542" s="92"/>
      <c r="DM542" s="92"/>
      <c r="DN542" s="92"/>
      <c r="DO542" s="92"/>
      <c r="DP542" s="92"/>
      <c r="DQ542" s="92"/>
      <c r="DR542" s="92"/>
      <c r="DS542" s="92"/>
      <c r="DT542" s="92"/>
      <c r="DU542" s="92"/>
      <c r="DV542" s="92"/>
      <c r="DW542" s="92"/>
      <c r="DX542" s="92"/>
      <c r="DY542" s="92"/>
      <c r="DZ542" s="92"/>
      <c r="EA542" s="92"/>
      <c r="EB542" s="92"/>
      <c r="EC542" s="92"/>
      <c r="ED542" s="92"/>
      <c r="EE542" s="92"/>
      <c r="EF542" s="92"/>
      <c r="EG542" s="92"/>
      <c r="EH542" s="92"/>
      <c r="EI542" s="92"/>
      <c r="EJ542" s="92"/>
      <c r="EK542" s="92"/>
      <c r="EL542" s="92"/>
      <c r="EM542" s="92"/>
      <c r="EN542" s="92"/>
      <c r="EO542" s="92"/>
      <c r="EP542" s="92"/>
      <c r="EQ542" s="92"/>
      <c r="ER542" s="92"/>
      <c r="ES542" s="92"/>
      <c r="ET542" s="92"/>
      <c r="EU542" s="92"/>
      <c r="EV542" s="92"/>
      <c r="EW542" s="92"/>
      <c r="EX542" s="92"/>
      <c r="EY542" s="92"/>
      <c r="EZ542" s="92"/>
      <c r="FA542" s="92"/>
      <c r="FB542" s="92"/>
      <c r="FC542" s="92"/>
      <c r="FD542" s="92"/>
      <c r="FE542" s="92"/>
      <c r="FF542" s="92"/>
      <c r="FG542" s="92"/>
      <c r="FH542" s="92"/>
    </row>
    <row r="543">
      <c r="A543" s="32" t="s">
        <v>67</v>
      </c>
      <c r="B543" s="32" t="s">
        <v>93</v>
      </c>
      <c r="C543" s="32" t="s">
        <v>12</v>
      </c>
      <c r="D543" s="97">
        <f t="shared" si="1"/>
        <v>4982.952175</v>
      </c>
      <c r="E543" s="92">
        <f>(SUBSTITUTE(Audio!E543, "RE-", "", 1))*1</f>
        <v>0</v>
      </c>
      <c r="F543" s="92">
        <f>(SUBSTITUTE(Audio!F543, "RE-", "", 1))*1</f>
        <v>395.1380208</v>
      </c>
      <c r="G543" s="92">
        <f>(SUBSTITUTE(Audio!G543, "RE-", "", 1))*1</f>
        <v>2.839377083</v>
      </c>
      <c r="H543" s="92">
        <f>(SUBSTITUTE(Audio!H543, "RE-", "", 1))*1</f>
        <v>113.5002458</v>
      </c>
      <c r="I543" s="92">
        <f>(SUBSTITUTE(Audio!I543, "RE-", "", 1))*1</f>
        <v>0.214</v>
      </c>
      <c r="J543" s="92">
        <f>(SUBSTITUTE(Audio!J543, "RE-", "", 1))*1</f>
        <v>2552.437523</v>
      </c>
      <c r="K543" s="92">
        <f>(SUBSTITUTE(Audio!K543, "RE-", "", 1))*1</f>
        <v>8.851314583</v>
      </c>
      <c r="L543" s="92">
        <f>(SUBSTITUTE(Audio!L543, "RE-", "", 1))*1</f>
        <v>107.1409406</v>
      </c>
      <c r="M543" s="92">
        <f>(SUBSTITUTE(Audio!M543, "RE-", "", 1))*1</f>
        <v>0.3373104167</v>
      </c>
      <c r="N543" s="92">
        <f>(SUBSTITUTE(Audio!N543, "RE-", "", 1))*1</f>
        <v>917.9638323</v>
      </c>
      <c r="O543" s="92">
        <f>(SUBSTITUTE(Audio!O543, "RE-", "", 1))*1</f>
        <v>4.464752083</v>
      </c>
      <c r="P543" s="92">
        <f>(SUBSTITUTE(Audio!P543, "RE-", "", 1))*1</f>
        <v>348.6068771</v>
      </c>
      <c r="Q543" s="92">
        <f>(SUBSTITUTE(Audio!Q543, "RE-", "", 1))*1</f>
        <v>22.36654792</v>
      </c>
      <c r="R543" s="92">
        <f>(SUBSTITUTE(Audio!R543, "RE-", "", 1))*1</f>
        <v>157.5884646</v>
      </c>
      <c r="S543" s="92">
        <f>(SUBSTITUTE(Audio!S543, "RE-", "", 1))*1</f>
        <v>12.77748542</v>
      </c>
      <c r="T543" s="92">
        <f>(SUBSTITUTE(Audio!T543, "RE-", "", 1))*1</f>
        <v>323.6114625</v>
      </c>
      <c r="U543" s="92">
        <f>(SUBSTITUTE(Audio!U543, "RE-", "", 1))*1</f>
        <v>13.52544583</v>
      </c>
      <c r="V543" s="92">
        <f>(SUBSTITUTE(Audio!V543, "RE-", "", 1))*1</f>
        <v>1.588575</v>
      </c>
      <c r="W543" s="92">
        <f>(SUBSTITUTE(Audio!W543, "RE-", "", 1))*1</f>
        <v>0</v>
      </c>
      <c r="X543" s="92">
        <f>(SUBSTITUTE(Audio!X543, "RE-", "", 1))*1</f>
        <v>0</v>
      </c>
      <c r="Y543" s="92">
        <f>(SUBSTITUTE(Audio!Y543, "RE-", "", 1))*1</f>
        <v>0</v>
      </c>
      <c r="Z543" s="92">
        <f>(SUBSTITUTE(Audio!Z543, "RE-", "", 1))*1</f>
        <v>0</v>
      </c>
      <c r="AA543" s="92"/>
      <c r="AB543" s="92"/>
      <c r="AC543" s="92"/>
      <c r="AD543" s="92"/>
      <c r="AE543" s="92"/>
      <c r="AF543" s="92"/>
      <c r="AG543" s="92"/>
      <c r="AH543" s="92"/>
      <c r="AI543" s="92"/>
      <c r="AJ543" s="92"/>
      <c r="AK543" s="92"/>
      <c r="AL543" s="92"/>
      <c r="AM543" s="92"/>
      <c r="AN543" s="92"/>
      <c r="AO543" s="92"/>
      <c r="AP543" s="92"/>
      <c r="AQ543" s="92"/>
      <c r="AR543" s="92"/>
      <c r="AS543" s="92"/>
      <c r="AT543" s="92"/>
      <c r="AU543" s="92"/>
      <c r="AV543" s="92"/>
      <c r="AW543" s="92"/>
      <c r="AX543" s="92"/>
      <c r="AY543" s="92"/>
      <c r="AZ543" s="92"/>
      <c r="BA543" s="92"/>
      <c r="BB543" s="92"/>
      <c r="BC543" s="92"/>
      <c r="BD543" s="92"/>
      <c r="BE543" s="92"/>
      <c r="BF543" s="92"/>
      <c r="BG543" s="92"/>
      <c r="BH543" s="92"/>
      <c r="BI543" s="92"/>
      <c r="BJ543" s="92"/>
      <c r="BK543" s="92"/>
      <c r="BL543" s="92"/>
      <c r="BM543" s="92"/>
      <c r="BN543" s="92"/>
      <c r="BO543" s="92"/>
      <c r="BP543" s="92"/>
      <c r="BQ543" s="92"/>
      <c r="BR543" s="92"/>
      <c r="BS543" s="92"/>
      <c r="BT543" s="92"/>
      <c r="BU543" s="92"/>
      <c r="BV543" s="92"/>
      <c r="BW543" s="92"/>
      <c r="BX543" s="92"/>
      <c r="BY543" s="92"/>
      <c r="BZ543" s="92"/>
      <c r="CA543" s="92"/>
      <c r="CB543" s="92"/>
      <c r="CC543" s="92"/>
      <c r="CD543" s="92"/>
      <c r="CE543" s="92"/>
      <c r="CF543" s="92"/>
      <c r="CG543" s="92"/>
      <c r="CH543" s="92"/>
      <c r="CI543" s="92"/>
      <c r="CJ543" s="92"/>
      <c r="CK543" s="92"/>
      <c r="CL543" s="92"/>
      <c r="CM543" s="92"/>
      <c r="CN543" s="92"/>
      <c r="CO543" s="92"/>
      <c r="CP543" s="92"/>
      <c r="CQ543" s="92"/>
      <c r="CR543" s="92"/>
      <c r="CS543" s="92"/>
      <c r="CT543" s="92"/>
      <c r="CU543" s="92"/>
      <c r="CV543" s="92"/>
      <c r="CW543" s="92"/>
      <c r="CX543" s="92"/>
      <c r="CY543" s="92"/>
      <c r="CZ543" s="92"/>
      <c r="DA543" s="92"/>
      <c r="DB543" s="92"/>
      <c r="DC543" s="92"/>
      <c r="DD543" s="92"/>
      <c r="DE543" s="92"/>
      <c r="DF543" s="92"/>
      <c r="DG543" s="92"/>
      <c r="DH543" s="92"/>
      <c r="DI543" s="92"/>
      <c r="DJ543" s="92"/>
      <c r="DK543" s="92"/>
      <c r="DL543" s="92"/>
      <c r="DM543" s="92"/>
      <c r="DN543" s="92"/>
      <c r="DO543" s="92"/>
      <c r="DP543" s="92"/>
      <c r="DQ543" s="92"/>
      <c r="DR543" s="92"/>
      <c r="DS543" s="92"/>
      <c r="DT543" s="92"/>
      <c r="DU543" s="92"/>
      <c r="DV543" s="92"/>
      <c r="DW543" s="92"/>
      <c r="DX543" s="92"/>
      <c r="DY543" s="92"/>
      <c r="DZ543" s="92"/>
      <c r="EA543" s="92"/>
      <c r="EB543" s="92"/>
      <c r="EC543" s="92"/>
      <c r="ED543" s="92"/>
      <c r="EE543" s="92"/>
      <c r="EF543" s="92"/>
      <c r="EG543" s="92"/>
      <c r="EH543" s="92"/>
      <c r="EI543" s="92"/>
      <c r="EJ543" s="92"/>
      <c r="EK543" s="92"/>
      <c r="EL543" s="92"/>
      <c r="EM543" s="92"/>
      <c r="EN543" s="92"/>
      <c r="EO543" s="92"/>
      <c r="EP543" s="92"/>
      <c r="EQ543" s="92"/>
      <c r="ER543" s="92"/>
      <c r="ES543" s="92"/>
      <c r="ET543" s="92"/>
      <c r="EU543" s="92"/>
      <c r="EV543" s="92"/>
      <c r="EW543" s="92"/>
      <c r="EX543" s="92"/>
      <c r="EY543" s="92"/>
      <c r="EZ543" s="92"/>
      <c r="FA543" s="92"/>
      <c r="FB543" s="92"/>
      <c r="FC543" s="92"/>
      <c r="FD543" s="92"/>
      <c r="FE543" s="92"/>
      <c r="FF543" s="92"/>
      <c r="FG543" s="92"/>
      <c r="FH543" s="92"/>
    </row>
    <row r="544">
      <c r="A544" s="32" t="s">
        <v>67</v>
      </c>
      <c r="B544" s="32" t="s">
        <v>93</v>
      </c>
      <c r="C544" s="32" t="s">
        <v>13</v>
      </c>
      <c r="D544" s="97">
        <f t="shared" si="1"/>
        <v>4785.109177</v>
      </c>
      <c r="E544" s="92">
        <f>(SUBSTITUTE(Audio!E544, "RE-", "", 1))*1</f>
        <v>0</v>
      </c>
      <c r="F544" s="92">
        <f>(SUBSTITUTE(Audio!F544, "RE-", "", 1))*1</f>
        <v>382.029</v>
      </c>
      <c r="G544" s="92">
        <f>(SUBSTITUTE(Audio!G544, "RE-", "", 1))*1</f>
        <v>2.67038</v>
      </c>
      <c r="H544" s="92">
        <f>(SUBSTITUTE(Audio!H544, "RE-", "", 1))*1</f>
        <v>109.601</v>
      </c>
      <c r="I544" s="92">
        <f>(SUBSTITUTE(Audio!I544, "RE-", "", 1))*1</f>
        <v>0.21325</v>
      </c>
      <c r="J544" s="92">
        <f>(SUBSTITUTE(Audio!J544, "RE-", "", 1))*1</f>
        <v>2445.72</v>
      </c>
      <c r="K544" s="92">
        <f>(SUBSTITUTE(Audio!K544, "RE-", "", 1))*1</f>
        <v>8.48323</v>
      </c>
      <c r="L544" s="92">
        <f>(SUBSTITUTE(Audio!L544, "RE-", "", 1))*1</f>
        <v>104.287</v>
      </c>
      <c r="M544" s="92">
        <f>(SUBSTITUTE(Audio!M544, "RE-", "", 1))*1</f>
        <v>0.321267</v>
      </c>
      <c r="N544" s="92">
        <f>(SUBSTITUTE(Audio!N544, "RE-", "", 1))*1</f>
        <v>883.968</v>
      </c>
      <c r="O544" s="92">
        <f>(SUBSTITUTE(Audio!O544, "RE-", "", 1))*1</f>
        <v>4.25818</v>
      </c>
      <c r="P544" s="92">
        <f>(SUBSTITUTE(Audio!P544, "RE-", "", 1))*1</f>
        <v>333.643</v>
      </c>
      <c r="Q544" s="92">
        <f>(SUBSTITUTE(Audio!Q544, "RE-", "", 1))*1</f>
        <v>21.4402</v>
      </c>
      <c r="R544" s="92">
        <f>(SUBSTITUTE(Audio!R544, "RE-", "", 1))*1</f>
        <v>151.471</v>
      </c>
      <c r="S544" s="92">
        <f>(SUBSTITUTE(Audio!S544, "RE-", "", 1))*1</f>
        <v>11.9896</v>
      </c>
      <c r="T544" s="92">
        <f>(SUBSTITUTE(Audio!T544, "RE-", "", 1))*1</f>
        <v>310.483</v>
      </c>
      <c r="U544" s="92">
        <f>(SUBSTITUTE(Audio!U544, "RE-", "", 1))*1</f>
        <v>13.071</v>
      </c>
      <c r="V544" s="92">
        <f>(SUBSTITUTE(Audio!V544, "RE-", "", 1))*1</f>
        <v>1.46007</v>
      </c>
      <c r="W544" s="92">
        <f>(SUBSTITUTE(Audio!W544, "RE-", "", 1))*1</f>
        <v>0</v>
      </c>
      <c r="X544" s="92">
        <f>(SUBSTITUTE(Audio!X544, "RE-", "", 1))*1</f>
        <v>0</v>
      </c>
      <c r="Y544" s="92">
        <f>(SUBSTITUTE(Audio!Y544, "RE-", "", 1))*1</f>
        <v>0</v>
      </c>
      <c r="Z544" s="92">
        <f>(SUBSTITUTE(Audio!Z544, "RE-", "", 1))*1</f>
        <v>0</v>
      </c>
      <c r="AA544" s="92"/>
      <c r="AB544" s="92"/>
      <c r="AC544" s="92"/>
      <c r="AD544" s="92"/>
      <c r="AE544" s="92"/>
      <c r="AF544" s="92"/>
      <c r="AG544" s="92"/>
      <c r="AH544" s="92"/>
      <c r="AI544" s="92"/>
      <c r="AJ544" s="92"/>
      <c r="AK544" s="92"/>
      <c r="AL544" s="92"/>
      <c r="AM544" s="92"/>
      <c r="AN544" s="92"/>
      <c r="AO544" s="92"/>
      <c r="AP544" s="92"/>
      <c r="AQ544" s="92"/>
      <c r="AR544" s="92"/>
      <c r="AS544" s="92"/>
      <c r="AT544" s="92"/>
      <c r="AU544" s="92"/>
      <c r="AV544" s="92"/>
      <c r="AW544" s="92"/>
      <c r="AX544" s="92"/>
      <c r="AY544" s="92"/>
      <c r="AZ544" s="92"/>
      <c r="BA544" s="92"/>
      <c r="BB544" s="92"/>
      <c r="BC544" s="92"/>
      <c r="BD544" s="92"/>
      <c r="BE544" s="92"/>
      <c r="BF544" s="92"/>
      <c r="BG544" s="92"/>
      <c r="BH544" s="92"/>
      <c r="BI544" s="92"/>
      <c r="BJ544" s="92"/>
      <c r="BK544" s="92"/>
      <c r="BL544" s="92"/>
      <c r="BM544" s="92"/>
      <c r="BN544" s="92"/>
      <c r="BO544" s="92"/>
      <c r="BP544" s="92"/>
      <c r="BQ544" s="92"/>
      <c r="BR544" s="92"/>
      <c r="BS544" s="92"/>
      <c r="BT544" s="92"/>
      <c r="BU544" s="92"/>
      <c r="BV544" s="92"/>
      <c r="BW544" s="92"/>
      <c r="BX544" s="92"/>
      <c r="BY544" s="92"/>
      <c r="BZ544" s="92"/>
      <c r="CA544" s="92"/>
      <c r="CB544" s="92"/>
      <c r="CC544" s="92"/>
      <c r="CD544" s="92"/>
      <c r="CE544" s="92"/>
      <c r="CF544" s="92"/>
      <c r="CG544" s="92"/>
      <c r="CH544" s="92"/>
      <c r="CI544" s="92"/>
      <c r="CJ544" s="92"/>
      <c r="CK544" s="92"/>
      <c r="CL544" s="92"/>
      <c r="CM544" s="92"/>
      <c r="CN544" s="92"/>
      <c r="CO544" s="92"/>
      <c r="CP544" s="92"/>
      <c r="CQ544" s="92"/>
      <c r="CR544" s="92"/>
      <c r="CS544" s="92"/>
      <c r="CT544" s="92"/>
      <c r="CU544" s="92"/>
      <c r="CV544" s="92"/>
      <c r="CW544" s="92"/>
      <c r="CX544" s="92"/>
      <c r="CY544" s="92"/>
      <c r="CZ544" s="92"/>
      <c r="DA544" s="92"/>
      <c r="DB544" s="92"/>
      <c r="DC544" s="92"/>
      <c r="DD544" s="92"/>
      <c r="DE544" s="92"/>
      <c r="DF544" s="92"/>
      <c r="DG544" s="92"/>
      <c r="DH544" s="92"/>
      <c r="DI544" s="92"/>
      <c r="DJ544" s="92"/>
      <c r="DK544" s="92"/>
      <c r="DL544" s="92"/>
      <c r="DM544" s="92"/>
      <c r="DN544" s="92"/>
      <c r="DO544" s="92"/>
      <c r="DP544" s="92"/>
      <c r="DQ544" s="92"/>
      <c r="DR544" s="92"/>
      <c r="DS544" s="92"/>
      <c r="DT544" s="92"/>
      <c r="DU544" s="92"/>
      <c r="DV544" s="92"/>
      <c r="DW544" s="92"/>
      <c r="DX544" s="92"/>
      <c r="DY544" s="92"/>
      <c r="DZ544" s="92"/>
      <c r="EA544" s="92"/>
      <c r="EB544" s="92"/>
      <c r="EC544" s="92"/>
      <c r="ED544" s="92"/>
      <c r="EE544" s="92"/>
      <c r="EF544" s="92"/>
      <c r="EG544" s="92"/>
      <c r="EH544" s="92"/>
      <c r="EI544" s="92"/>
      <c r="EJ544" s="92"/>
      <c r="EK544" s="92"/>
      <c r="EL544" s="92"/>
      <c r="EM544" s="92"/>
      <c r="EN544" s="92"/>
      <c r="EO544" s="92"/>
      <c r="EP544" s="92"/>
      <c r="EQ544" s="92"/>
      <c r="ER544" s="92"/>
      <c r="ES544" s="92"/>
      <c r="ET544" s="92"/>
      <c r="EU544" s="92"/>
      <c r="EV544" s="92"/>
      <c r="EW544" s="92"/>
      <c r="EX544" s="92"/>
      <c r="EY544" s="92"/>
      <c r="EZ544" s="92"/>
      <c r="FA544" s="92"/>
      <c r="FB544" s="92"/>
      <c r="FC544" s="92"/>
      <c r="FD544" s="92"/>
      <c r="FE544" s="92"/>
      <c r="FF544" s="92"/>
      <c r="FG544" s="92"/>
      <c r="FH544" s="92"/>
    </row>
    <row r="545">
      <c r="A545" s="32" t="s">
        <v>67</v>
      </c>
      <c r="B545" s="32" t="s">
        <v>93</v>
      </c>
      <c r="C545" s="32" t="s">
        <v>14</v>
      </c>
      <c r="D545" s="97">
        <f t="shared" si="1"/>
        <v>4316.827807</v>
      </c>
      <c r="E545" s="92">
        <f>(SUBSTITUTE(Audio!E545, "RE-", "", 1))*1</f>
        <v>0</v>
      </c>
      <c r="F545" s="92">
        <f>(SUBSTITUTE(Audio!F545, "RE-", "", 1))*1</f>
        <v>344.284</v>
      </c>
      <c r="G545" s="92">
        <f>(SUBSTITUTE(Audio!G545, "RE-", "", 1))*1</f>
        <v>2.21137</v>
      </c>
      <c r="H545" s="92">
        <f>(SUBSTITUTE(Audio!H545, "RE-", "", 1))*1</f>
        <v>98.6687</v>
      </c>
      <c r="I545" s="92">
        <f>(SUBSTITUTE(Audio!I545, "RE-", "", 1))*1</f>
        <v>0.21325</v>
      </c>
      <c r="J545" s="92">
        <f>(SUBSTITUTE(Audio!J545, "RE-", "", 1))*1</f>
        <v>2258.37</v>
      </c>
      <c r="K545" s="92">
        <f>(SUBSTITUTE(Audio!K545, "RE-", "", 1))*1</f>
        <v>8.07667</v>
      </c>
      <c r="L545" s="92">
        <f>(SUBSTITUTE(Audio!L545, "RE-", "", 1))*1</f>
        <v>91.4164</v>
      </c>
      <c r="M545" s="92">
        <f>(SUBSTITUTE(Audio!M545, "RE-", "", 1))*1</f>
        <v>0.321267</v>
      </c>
      <c r="N545" s="92">
        <f>(SUBSTITUTE(Audio!N545, "RE-", "", 1))*1</f>
        <v>782.572</v>
      </c>
      <c r="O545" s="92">
        <f>(SUBSTITUTE(Audio!O545, "RE-", "", 1))*1</f>
        <v>4.25818</v>
      </c>
      <c r="P545" s="92">
        <f>(SUBSTITUTE(Audio!P545, "RE-", "", 1))*1</f>
        <v>287.383</v>
      </c>
      <c r="Q545" s="92">
        <f>(SUBSTITUTE(Audio!Q545, "RE-", "", 1))*1</f>
        <v>19.2675</v>
      </c>
      <c r="R545" s="92">
        <f>(SUBSTITUTE(Audio!R545, "RE-", "", 1))*1</f>
        <v>128.016</v>
      </c>
      <c r="S545" s="92">
        <f>(SUBSTITUTE(Audio!S545, "RE-", "", 1))*1</f>
        <v>10.6563</v>
      </c>
      <c r="T545" s="92">
        <f>(SUBSTITUTE(Audio!T545, "RE-", "", 1))*1</f>
        <v>268.68</v>
      </c>
      <c r="U545" s="92">
        <f>(SUBSTITUTE(Audio!U545, "RE-", "", 1))*1</f>
        <v>10.9731</v>
      </c>
      <c r="V545" s="92">
        <f>(SUBSTITUTE(Audio!V545, "RE-", "", 1))*1</f>
        <v>1.46007</v>
      </c>
      <c r="W545" s="92">
        <f>(SUBSTITUTE(Audio!W545, "RE-", "", 1))*1</f>
        <v>0</v>
      </c>
      <c r="X545" s="92">
        <f>(SUBSTITUTE(Audio!X545, "RE-", "", 1))*1</f>
        <v>0</v>
      </c>
      <c r="Y545" s="92">
        <f>(SUBSTITUTE(Audio!Y545, "RE-", "", 1))*1</f>
        <v>0</v>
      </c>
      <c r="Z545" s="92">
        <f>(SUBSTITUTE(Audio!Z545, "RE-", "", 1))*1</f>
        <v>0</v>
      </c>
      <c r="AA545" s="92"/>
      <c r="AB545" s="92"/>
      <c r="AC545" s="92"/>
      <c r="AD545" s="92"/>
      <c r="AE545" s="92"/>
      <c r="AF545" s="92"/>
      <c r="AG545" s="92"/>
      <c r="AH545" s="92"/>
      <c r="AI545" s="92"/>
      <c r="AJ545" s="92"/>
      <c r="AK545" s="92"/>
      <c r="AL545" s="92"/>
      <c r="AM545" s="92"/>
      <c r="AN545" s="92"/>
      <c r="AO545" s="92"/>
      <c r="AP545" s="92"/>
      <c r="AQ545" s="92"/>
      <c r="AR545" s="92"/>
      <c r="AS545" s="92"/>
      <c r="AT545" s="92"/>
      <c r="AU545" s="92"/>
      <c r="AV545" s="92"/>
      <c r="AW545" s="92"/>
      <c r="AX545" s="92"/>
      <c r="AY545" s="92"/>
      <c r="AZ545" s="92"/>
      <c r="BA545" s="92"/>
      <c r="BB545" s="92"/>
      <c r="BC545" s="92"/>
      <c r="BD545" s="92"/>
      <c r="BE545" s="92"/>
      <c r="BF545" s="92"/>
      <c r="BG545" s="92"/>
      <c r="BH545" s="92"/>
      <c r="BI545" s="92"/>
      <c r="BJ545" s="92"/>
      <c r="BK545" s="92"/>
      <c r="BL545" s="92"/>
      <c r="BM545" s="92"/>
      <c r="BN545" s="92"/>
      <c r="BO545" s="92"/>
      <c r="BP545" s="92"/>
      <c r="BQ545" s="92"/>
      <c r="BR545" s="92"/>
      <c r="BS545" s="92"/>
      <c r="BT545" s="92"/>
      <c r="BU545" s="92"/>
      <c r="BV545" s="92"/>
      <c r="BW545" s="92"/>
      <c r="BX545" s="92"/>
      <c r="BY545" s="92"/>
      <c r="BZ545" s="92"/>
      <c r="CA545" s="92"/>
      <c r="CB545" s="92"/>
      <c r="CC545" s="92"/>
      <c r="CD545" s="92"/>
      <c r="CE545" s="92"/>
      <c r="CF545" s="92"/>
      <c r="CG545" s="92"/>
      <c r="CH545" s="92"/>
      <c r="CI545" s="92"/>
      <c r="CJ545" s="92"/>
      <c r="CK545" s="92"/>
      <c r="CL545" s="92"/>
      <c r="CM545" s="92"/>
      <c r="CN545" s="92"/>
      <c r="CO545" s="92"/>
      <c r="CP545" s="92"/>
      <c r="CQ545" s="92"/>
      <c r="CR545" s="92"/>
      <c r="CS545" s="92"/>
      <c r="CT545" s="92"/>
      <c r="CU545" s="92"/>
      <c r="CV545" s="92"/>
      <c r="CW545" s="92"/>
      <c r="CX545" s="92"/>
      <c r="CY545" s="92"/>
      <c r="CZ545" s="92"/>
      <c r="DA545" s="92"/>
      <c r="DB545" s="92"/>
      <c r="DC545" s="92"/>
      <c r="DD545" s="92"/>
      <c r="DE545" s="92"/>
      <c r="DF545" s="92"/>
      <c r="DG545" s="92"/>
      <c r="DH545" s="92"/>
      <c r="DI545" s="92"/>
      <c r="DJ545" s="92"/>
      <c r="DK545" s="92"/>
      <c r="DL545" s="92"/>
      <c r="DM545" s="92"/>
      <c r="DN545" s="92"/>
      <c r="DO545" s="92"/>
      <c r="DP545" s="92"/>
      <c r="DQ545" s="92"/>
      <c r="DR545" s="92"/>
      <c r="DS545" s="92"/>
      <c r="DT545" s="92"/>
      <c r="DU545" s="92"/>
      <c r="DV545" s="92"/>
      <c r="DW545" s="92"/>
      <c r="DX545" s="92"/>
      <c r="DY545" s="92"/>
      <c r="DZ545" s="92"/>
      <c r="EA545" s="92"/>
      <c r="EB545" s="92"/>
      <c r="EC545" s="92"/>
      <c r="ED545" s="92"/>
      <c r="EE545" s="92"/>
      <c r="EF545" s="92"/>
      <c r="EG545" s="92"/>
      <c r="EH545" s="92"/>
      <c r="EI545" s="92"/>
      <c r="EJ545" s="92"/>
      <c r="EK545" s="92"/>
      <c r="EL545" s="92"/>
      <c r="EM545" s="92"/>
      <c r="EN545" s="92"/>
      <c r="EO545" s="92"/>
      <c r="EP545" s="92"/>
      <c r="EQ545" s="92"/>
      <c r="ER545" s="92"/>
      <c r="ES545" s="92"/>
      <c r="ET545" s="92"/>
      <c r="EU545" s="92"/>
      <c r="EV545" s="92"/>
      <c r="EW545" s="92"/>
      <c r="EX545" s="92"/>
      <c r="EY545" s="92"/>
      <c r="EZ545" s="92"/>
      <c r="FA545" s="92"/>
      <c r="FB545" s="92"/>
      <c r="FC545" s="92"/>
      <c r="FD545" s="92"/>
      <c r="FE545" s="92"/>
      <c r="FF545" s="92"/>
      <c r="FG545" s="92"/>
      <c r="FH545" s="92"/>
    </row>
    <row r="546">
      <c r="A546" s="27" t="s">
        <v>67</v>
      </c>
      <c r="B546" s="27" t="s">
        <v>93</v>
      </c>
      <c r="C546" s="27" t="s">
        <v>15</v>
      </c>
      <c r="D546" s="98">
        <f t="shared" si="1"/>
        <v>4785.091177</v>
      </c>
      <c r="E546" s="92">
        <f>(SUBSTITUTE(Audio!E546, "RE-", "", 1))*1</f>
        <v>0</v>
      </c>
      <c r="F546" s="92">
        <f>(SUBSTITUTE(Audio!F546, "RE-", "", 1))*1</f>
        <v>382.029</v>
      </c>
      <c r="G546" s="92">
        <f>(SUBSTITUTE(Audio!G546, "RE-", "", 1))*1</f>
        <v>2.67038</v>
      </c>
      <c r="H546" s="92">
        <f>(SUBSTITUTE(Audio!H546, "RE-", "", 1))*1</f>
        <v>109.601</v>
      </c>
      <c r="I546" s="92">
        <f>(SUBSTITUTE(Audio!I546, "RE-", "", 1))*1</f>
        <v>0.21325</v>
      </c>
      <c r="J546" s="92">
        <f>(SUBSTITUTE(Audio!J546, "RE-", "", 1))*1</f>
        <v>2445.72</v>
      </c>
      <c r="K546" s="92">
        <f>(SUBSTITUTE(Audio!K546, "RE-", "", 1))*1</f>
        <v>8.48323</v>
      </c>
      <c r="L546" s="92">
        <f>(SUBSTITUTE(Audio!L546, "RE-", "", 1))*1</f>
        <v>104.287</v>
      </c>
      <c r="M546" s="92">
        <f>(SUBSTITUTE(Audio!M546, "RE-", "", 1))*1</f>
        <v>0.321267</v>
      </c>
      <c r="N546" s="92">
        <f>(SUBSTITUTE(Audio!N546, "RE-", "", 1))*1</f>
        <v>883.968</v>
      </c>
      <c r="O546" s="92">
        <f>(SUBSTITUTE(Audio!O546, "RE-", "", 1))*1</f>
        <v>4.25818</v>
      </c>
      <c r="P546" s="92">
        <f>(SUBSTITUTE(Audio!P546, "RE-", "", 1))*1</f>
        <v>333.625</v>
      </c>
      <c r="Q546" s="92">
        <f>(SUBSTITUTE(Audio!Q546, "RE-", "", 1))*1</f>
        <v>21.4402</v>
      </c>
      <c r="R546" s="92">
        <f>(SUBSTITUTE(Audio!R546, "RE-", "", 1))*1</f>
        <v>151.471</v>
      </c>
      <c r="S546" s="92">
        <f>(SUBSTITUTE(Audio!S546, "RE-", "", 1))*1</f>
        <v>11.9896</v>
      </c>
      <c r="T546" s="92">
        <f>(SUBSTITUTE(Audio!T546, "RE-", "", 1))*1</f>
        <v>310.483</v>
      </c>
      <c r="U546" s="92">
        <f>(SUBSTITUTE(Audio!U546, "RE-", "", 1))*1</f>
        <v>13.071</v>
      </c>
      <c r="V546" s="92">
        <f>(SUBSTITUTE(Audio!V546, "RE-", "", 1))*1</f>
        <v>1.46007</v>
      </c>
      <c r="W546" s="92">
        <f>(SUBSTITUTE(Audio!W546, "RE-", "", 1))*1</f>
        <v>0</v>
      </c>
      <c r="X546" s="92">
        <f>(SUBSTITUTE(Audio!X546, "RE-", "", 1))*1</f>
        <v>0</v>
      </c>
      <c r="Y546" s="92">
        <f>(SUBSTITUTE(Audio!Y546, "RE-", "", 1))*1</f>
        <v>0</v>
      </c>
      <c r="Z546" s="92">
        <f>(SUBSTITUTE(Audio!Z546, "RE-", "", 1))*1</f>
        <v>0</v>
      </c>
      <c r="AA546" s="92"/>
      <c r="AB546" s="92"/>
      <c r="AC546" s="92"/>
      <c r="AD546" s="92"/>
      <c r="AE546" s="92"/>
      <c r="AF546" s="92"/>
      <c r="AG546" s="92"/>
      <c r="AH546" s="92"/>
      <c r="AI546" s="92"/>
      <c r="AJ546" s="92"/>
      <c r="AK546" s="92"/>
      <c r="AL546" s="92"/>
      <c r="AM546" s="92"/>
      <c r="AN546" s="92"/>
      <c r="AO546" s="92"/>
      <c r="AP546" s="92"/>
      <c r="AQ546" s="92"/>
      <c r="AR546" s="92"/>
      <c r="AS546" s="92"/>
      <c r="AT546" s="92"/>
      <c r="AU546" s="92"/>
      <c r="AV546" s="92"/>
      <c r="AW546" s="92"/>
      <c r="AX546" s="92"/>
      <c r="AY546" s="92"/>
      <c r="AZ546" s="92"/>
      <c r="BA546" s="92"/>
      <c r="BB546" s="92"/>
      <c r="BC546" s="92"/>
      <c r="BD546" s="92"/>
      <c r="BE546" s="92"/>
      <c r="BF546" s="92"/>
      <c r="BG546" s="92"/>
      <c r="BH546" s="92"/>
      <c r="BI546" s="92"/>
      <c r="BJ546" s="92"/>
      <c r="BK546" s="92"/>
      <c r="BL546" s="92"/>
      <c r="BM546" s="92"/>
      <c r="BN546" s="92"/>
      <c r="BO546" s="92"/>
      <c r="BP546" s="92"/>
      <c r="BQ546" s="92"/>
      <c r="BR546" s="92"/>
      <c r="BS546" s="92"/>
      <c r="BT546" s="92"/>
      <c r="BU546" s="92"/>
      <c r="BV546" s="92"/>
      <c r="BW546" s="92"/>
      <c r="BX546" s="92"/>
      <c r="BY546" s="92"/>
      <c r="BZ546" s="92"/>
      <c r="CA546" s="92"/>
      <c r="CB546" s="92"/>
      <c r="CC546" s="92"/>
      <c r="CD546" s="92"/>
      <c r="CE546" s="92"/>
      <c r="CF546" s="92"/>
      <c r="CG546" s="92"/>
      <c r="CH546" s="92"/>
      <c r="CI546" s="92"/>
      <c r="CJ546" s="92"/>
      <c r="CK546" s="92"/>
      <c r="CL546" s="92"/>
      <c r="CM546" s="92"/>
      <c r="CN546" s="92"/>
      <c r="CO546" s="92"/>
      <c r="CP546" s="92"/>
      <c r="CQ546" s="92"/>
      <c r="CR546" s="92"/>
      <c r="CS546" s="92"/>
      <c r="CT546" s="92"/>
      <c r="CU546" s="92"/>
      <c r="CV546" s="92"/>
      <c r="CW546" s="92"/>
      <c r="CX546" s="92"/>
      <c r="CY546" s="92"/>
      <c r="CZ546" s="92"/>
      <c r="DA546" s="92"/>
      <c r="DB546" s="92"/>
      <c r="DC546" s="92"/>
      <c r="DD546" s="92"/>
      <c r="DE546" s="92"/>
      <c r="DF546" s="92"/>
      <c r="DG546" s="92"/>
      <c r="DH546" s="92"/>
      <c r="DI546" s="92"/>
      <c r="DJ546" s="92"/>
      <c r="DK546" s="92"/>
      <c r="DL546" s="92"/>
      <c r="DM546" s="92"/>
      <c r="DN546" s="92"/>
      <c r="DO546" s="92"/>
      <c r="DP546" s="92"/>
      <c r="DQ546" s="92"/>
      <c r="DR546" s="92"/>
      <c r="DS546" s="92"/>
      <c r="DT546" s="92"/>
      <c r="DU546" s="92"/>
      <c r="DV546" s="92"/>
      <c r="DW546" s="92"/>
      <c r="DX546" s="92"/>
      <c r="DY546" s="92"/>
      <c r="DZ546" s="92"/>
      <c r="EA546" s="92"/>
      <c r="EB546" s="92"/>
      <c r="EC546" s="92"/>
      <c r="ED546" s="92"/>
      <c r="EE546" s="92"/>
      <c r="EF546" s="92"/>
      <c r="EG546" s="92"/>
      <c r="EH546" s="92"/>
      <c r="EI546" s="92"/>
      <c r="EJ546" s="92"/>
      <c r="EK546" s="92"/>
      <c r="EL546" s="92"/>
      <c r="EM546" s="92"/>
      <c r="EN546" s="92"/>
      <c r="EO546" s="92"/>
      <c r="EP546" s="92"/>
      <c r="EQ546" s="92"/>
      <c r="ER546" s="92"/>
      <c r="ES546" s="92"/>
      <c r="ET546" s="92"/>
      <c r="EU546" s="92"/>
      <c r="EV546" s="92"/>
      <c r="EW546" s="92"/>
      <c r="EX546" s="92"/>
      <c r="EY546" s="92"/>
      <c r="EZ546" s="92"/>
      <c r="FA546" s="92"/>
      <c r="FB546" s="92"/>
      <c r="FC546" s="92"/>
      <c r="FD546" s="92"/>
      <c r="FE546" s="92"/>
      <c r="FF546" s="92"/>
      <c r="FG546" s="92"/>
      <c r="FH546" s="92"/>
    </row>
    <row r="547">
      <c r="A547" s="30" t="s">
        <v>38</v>
      </c>
      <c r="B547" s="30" t="s">
        <v>94</v>
      </c>
      <c r="C547" s="31" t="str">
        <f>HYPERLINK("https://docs.google.com/spreadsheets/d/1CKPdxVZwQZ7qxdzK8diquJWdgEd4Zm75/edit?usp=share_link&amp;ouid=106501987799020758802&amp;rtpof=true&amp;sd=true", "Raw Delivered")</f>
        <v>Raw Delivered</v>
      </c>
      <c r="D547" s="96">
        <f t="shared" si="1"/>
        <v>6463.184494</v>
      </c>
      <c r="E547" s="92">
        <f>(SUBSTITUTE(Audio!E547, "RE-", "", 1))*1</f>
        <v>0</v>
      </c>
      <c r="F547" s="92">
        <f>(SUBSTITUTE(Audio!F547, "RE-", "", 1))*1</f>
        <v>332.5629292</v>
      </c>
      <c r="G547" s="92">
        <f>(SUBSTITUTE(Audio!G547, "RE-", "", 1))*1</f>
        <v>0</v>
      </c>
      <c r="H547" s="92">
        <f>(SUBSTITUTE(Audio!H547, "RE-", "", 1))*1</f>
        <v>84.40689375</v>
      </c>
      <c r="I547" s="92">
        <f>(SUBSTITUTE(Audio!I547, "RE-", "", 1))*1</f>
        <v>0</v>
      </c>
      <c r="J547" s="92">
        <f>(SUBSTITUTE(Audio!J547, "RE-", "", 1))*1</f>
        <v>734.0279969</v>
      </c>
      <c r="K547" s="92">
        <f>(SUBSTITUTE(Audio!K547, "RE-", "", 1))*1</f>
        <v>0</v>
      </c>
      <c r="L547" s="92">
        <f>(SUBSTITUTE(Audio!L547, "RE-", "", 1))*1</f>
        <v>900.7431698</v>
      </c>
      <c r="M547" s="92">
        <f>(SUBSTITUTE(Audio!M547, "RE-", "", 1))*1</f>
        <v>0</v>
      </c>
      <c r="N547" s="92">
        <f>(SUBSTITUTE(Audio!N547, "RE-", "", 1))*1</f>
        <v>3256.755843</v>
      </c>
      <c r="O547" s="92">
        <f>(SUBSTITUTE(Audio!O547, "RE-", "", 1))*1</f>
        <v>0</v>
      </c>
      <c r="P547" s="92">
        <f>(SUBSTITUTE(Audio!P547, "RE-", "", 1))*1</f>
        <v>515.8706021</v>
      </c>
      <c r="Q547" s="92">
        <f>(SUBSTITUTE(Audio!Q547, "RE-", "", 1))*1</f>
        <v>0</v>
      </c>
      <c r="R547" s="92">
        <f>(SUBSTITUTE(Audio!R547, "RE-", "", 1))*1</f>
        <v>135.5032188</v>
      </c>
      <c r="S547" s="92">
        <f>(SUBSTITUTE(Audio!S547, "RE-", "", 1))*1</f>
        <v>0</v>
      </c>
      <c r="T547" s="92">
        <f>(SUBSTITUTE(Audio!T547, "RE-", "", 1))*1</f>
        <v>503.3138406</v>
      </c>
      <c r="U547" s="92">
        <f>(SUBSTITUTE(Audio!U547, "RE-", "", 1))*1</f>
        <v>0</v>
      </c>
      <c r="V547" s="92">
        <f>(SUBSTITUTE(Audio!V547, "RE-", "", 1))*1</f>
        <v>0</v>
      </c>
      <c r="W547" s="92">
        <f>(SUBSTITUTE(Audio!W547, "RE-", "", 1))*1</f>
        <v>0</v>
      </c>
      <c r="X547" s="92">
        <f>(SUBSTITUTE(Audio!X547, "RE-", "", 1))*1</f>
        <v>0</v>
      </c>
      <c r="Y547" s="92">
        <f>(SUBSTITUTE(Audio!Y547, "RE-", "", 1))*1</f>
        <v>0</v>
      </c>
      <c r="Z547" s="92">
        <f>(SUBSTITUTE(Audio!Z547, "RE-", "", 1))*1</f>
        <v>0</v>
      </c>
      <c r="AA547" s="92"/>
      <c r="AB547" s="92"/>
      <c r="AC547" s="92"/>
      <c r="AD547" s="92"/>
      <c r="AE547" s="92"/>
      <c r="AF547" s="92"/>
      <c r="AG547" s="92"/>
      <c r="AH547" s="92"/>
      <c r="AI547" s="92"/>
      <c r="AJ547" s="92"/>
      <c r="AK547" s="92"/>
      <c r="AL547" s="92"/>
      <c r="AM547" s="92"/>
      <c r="AN547" s="92"/>
      <c r="AO547" s="92"/>
      <c r="AP547" s="92"/>
      <c r="AQ547" s="92"/>
      <c r="AR547" s="92"/>
      <c r="AS547" s="92"/>
      <c r="AT547" s="92"/>
      <c r="AU547" s="92"/>
      <c r="AV547" s="92"/>
      <c r="AW547" s="92"/>
      <c r="AX547" s="92"/>
      <c r="AY547" s="92"/>
      <c r="AZ547" s="92"/>
      <c r="BA547" s="92"/>
      <c r="BB547" s="92"/>
      <c r="BC547" s="92"/>
      <c r="BD547" s="92"/>
      <c r="BE547" s="92"/>
      <c r="BF547" s="92"/>
      <c r="BG547" s="92"/>
      <c r="BH547" s="92"/>
      <c r="BI547" s="92"/>
      <c r="BJ547" s="92"/>
      <c r="BK547" s="92"/>
      <c r="BL547" s="92"/>
      <c r="BM547" s="92"/>
      <c r="BN547" s="92"/>
      <c r="BO547" s="92"/>
      <c r="BP547" s="92"/>
      <c r="BQ547" s="92"/>
      <c r="BR547" s="92"/>
      <c r="BS547" s="92"/>
      <c r="BT547" s="92"/>
      <c r="BU547" s="92"/>
      <c r="BV547" s="92"/>
      <c r="BW547" s="92"/>
      <c r="BX547" s="92"/>
      <c r="BY547" s="92"/>
      <c r="BZ547" s="92"/>
      <c r="CA547" s="92"/>
      <c r="CB547" s="92"/>
      <c r="CC547" s="92"/>
      <c r="CD547" s="92"/>
      <c r="CE547" s="92"/>
      <c r="CF547" s="92"/>
      <c r="CG547" s="92"/>
      <c r="CH547" s="92"/>
      <c r="CI547" s="92"/>
      <c r="CJ547" s="92"/>
      <c r="CK547" s="92"/>
      <c r="CL547" s="92"/>
      <c r="CM547" s="92"/>
      <c r="CN547" s="92"/>
      <c r="CO547" s="92"/>
      <c r="CP547" s="92"/>
      <c r="CQ547" s="92"/>
      <c r="CR547" s="92"/>
      <c r="CS547" s="92"/>
      <c r="CT547" s="92"/>
      <c r="CU547" s="92"/>
      <c r="CV547" s="92"/>
      <c r="CW547" s="92"/>
      <c r="CX547" s="92"/>
      <c r="CY547" s="92"/>
      <c r="CZ547" s="92"/>
      <c r="DA547" s="92"/>
      <c r="DB547" s="92"/>
      <c r="DC547" s="92"/>
      <c r="DD547" s="92"/>
      <c r="DE547" s="92"/>
      <c r="DF547" s="92"/>
      <c r="DG547" s="92"/>
      <c r="DH547" s="92"/>
      <c r="DI547" s="92"/>
      <c r="DJ547" s="92"/>
      <c r="DK547" s="92"/>
      <c r="DL547" s="92"/>
      <c r="DM547" s="92"/>
      <c r="DN547" s="92"/>
      <c r="DO547" s="92"/>
      <c r="DP547" s="92"/>
      <c r="DQ547" s="92"/>
      <c r="DR547" s="92"/>
      <c r="DS547" s="92"/>
      <c r="DT547" s="92"/>
      <c r="DU547" s="92"/>
      <c r="DV547" s="92"/>
      <c r="DW547" s="92"/>
      <c r="DX547" s="92"/>
      <c r="DY547" s="92"/>
      <c r="DZ547" s="92"/>
      <c r="EA547" s="92"/>
      <c r="EB547" s="92"/>
      <c r="EC547" s="92"/>
      <c r="ED547" s="92"/>
      <c r="EE547" s="92"/>
      <c r="EF547" s="92"/>
      <c r="EG547" s="92"/>
      <c r="EH547" s="92"/>
      <c r="EI547" s="92"/>
      <c r="EJ547" s="92"/>
      <c r="EK547" s="92"/>
      <c r="EL547" s="92"/>
      <c r="EM547" s="92"/>
      <c r="EN547" s="92"/>
      <c r="EO547" s="92"/>
      <c r="EP547" s="92"/>
      <c r="EQ547" s="92"/>
      <c r="ER547" s="92"/>
      <c r="ES547" s="92"/>
      <c r="ET547" s="92"/>
      <c r="EU547" s="92"/>
      <c r="EV547" s="92"/>
      <c r="EW547" s="92"/>
      <c r="EX547" s="92"/>
      <c r="EY547" s="92"/>
      <c r="EZ547" s="92"/>
      <c r="FA547" s="92"/>
      <c r="FB547" s="92"/>
      <c r="FC547" s="92"/>
      <c r="FD547" s="92"/>
      <c r="FE547" s="92"/>
      <c r="FF547" s="92"/>
      <c r="FG547" s="92"/>
      <c r="FH547" s="92"/>
    </row>
    <row r="548">
      <c r="A548" s="32" t="s">
        <v>38</v>
      </c>
      <c r="B548" s="32" t="s">
        <v>94</v>
      </c>
      <c r="C548" s="32" t="s">
        <v>9</v>
      </c>
      <c r="D548" s="97">
        <f t="shared" si="1"/>
        <v>6463.184494</v>
      </c>
      <c r="E548" s="92">
        <f>(SUBSTITUTE(Audio!E548, "RE-", "", 1))*1</f>
        <v>0</v>
      </c>
      <c r="F548" s="92">
        <f>(SUBSTITUTE(Audio!F548, "RE-", "", 1))*1</f>
        <v>332.5629292</v>
      </c>
      <c r="G548" s="92">
        <f>(SUBSTITUTE(Audio!G548, "RE-", "", 1))*1</f>
        <v>0</v>
      </c>
      <c r="H548" s="92">
        <f>(SUBSTITUTE(Audio!H548, "RE-", "", 1))*1</f>
        <v>84.40689375</v>
      </c>
      <c r="I548" s="92">
        <f>(SUBSTITUTE(Audio!I548, "RE-", "", 1))*1</f>
        <v>0</v>
      </c>
      <c r="J548" s="92">
        <f>(SUBSTITUTE(Audio!J548, "RE-", "", 1))*1</f>
        <v>734.0279969</v>
      </c>
      <c r="K548" s="92">
        <f>(SUBSTITUTE(Audio!K548, "RE-", "", 1))*1</f>
        <v>0</v>
      </c>
      <c r="L548" s="92">
        <f>(SUBSTITUTE(Audio!L548, "RE-", "", 1))*1</f>
        <v>900.7431698</v>
      </c>
      <c r="M548" s="92">
        <f>(SUBSTITUTE(Audio!M548, "RE-", "", 1))*1</f>
        <v>0</v>
      </c>
      <c r="N548" s="92">
        <f>(SUBSTITUTE(Audio!N548, "RE-", "", 1))*1</f>
        <v>3256.755843</v>
      </c>
      <c r="O548" s="92">
        <f>(SUBSTITUTE(Audio!O548, "RE-", "", 1))*1</f>
        <v>0</v>
      </c>
      <c r="P548" s="92">
        <f>(SUBSTITUTE(Audio!P548, "RE-", "", 1))*1</f>
        <v>515.8706021</v>
      </c>
      <c r="Q548" s="92">
        <f>(SUBSTITUTE(Audio!Q548, "RE-", "", 1))*1</f>
        <v>0</v>
      </c>
      <c r="R548" s="92">
        <f>(SUBSTITUTE(Audio!R548, "RE-", "", 1))*1</f>
        <v>135.5032188</v>
      </c>
      <c r="S548" s="92">
        <f>(SUBSTITUTE(Audio!S548, "RE-", "", 1))*1</f>
        <v>0</v>
      </c>
      <c r="T548" s="92">
        <f>(SUBSTITUTE(Audio!T548, "RE-", "", 1))*1</f>
        <v>503.3138406</v>
      </c>
      <c r="U548" s="92">
        <f>(SUBSTITUTE(Audio!U548, "RE-", "", 1))*1</f>
        <v>0</v>
      </c>
      <c r="V548" s="92">
        <f>(SUBSTITUTE(Audio!V548, "RE-", "", 1))*1</f>
        <v>0</v>
      </c>
      <c r="W548" s="92">
        <f>(SUBSTITUTE(Audio!W548, "RE-", "", 1))*1</f>
        <v>0</v>
      </c>
      <c r="X548" s="92">
        <f>(SUBSTITUTE(Audio!X548, "RE-", "", 1))*1</f>
        <v>0</v>
      </c>
      <c r="Y548" s="92">
        <f>(SUBSTITUTE(Audio!Y548, "RE-", "", 1))*1</f>
        <v>0</v>
      </c>
      <c r="Z548" s="92">
        <f>(SUBSTITUTE(Audio!Z548, "RE-", "", 1))*1</f>
        <v>0</v>
      </c>
      <c r="AA548" s="92"/>
      <c r="AB548" s="92"/>
      <c r="AC548" s="92"/>
      <c r="AD548" s="92"/>
      <c r="AE548" s="92"/>
      <c r="AF548" s="92"/>
      <c r="AG548" s="92"/>
      <c r="AH548" s="92"/>
      <c r="AI548" s="92"/>
      <c r="AJ548" s="92"/>
      <c r="AK548" s="92"/>
      <c r="AL548" s="92"/>
      <c r="AM548" s="92"/>
      <c r="AN548" s="92"/>
      <c r="AO548" s="92"/>
      <c r="AP548" s="92"/>
      <c r="AQ548" s="92"/>
      <c r="AR548" s="92"/>
      <c r="AS548" s="92"/>
      <c r="AT548" s="92"/>
      <c r="AU548" s="92"/>
      <c r="AV548" s="92"/>
      <c r="AW548" s="92"/>
      <c r="AX548" s="92"/>
      <c r="AY548" s="92"/>
      <c r="AZ548" s="92"/>
      <c r="BA548" s="92"/>
      <c r="BB548" s="92"/>
      <c r="BC548" s="92"/>
      <c r="BD548" s="92"/>
      <c r="BE548" s="92"/>
      <c r="BF548" s="92"/>
      <c r="BG548" s="92"/>
      <c r="BH548" s="92"/>
      <c r="BI548" s="92"/>
      <c r="BJ548" s="92"/>
      <c r="BK548" s="92"/>
      <c r="BL548" s="92"/>
      <c r="BM548" s="92"/>
      <c r="BN548" s="92"/>
      <c r="BO548" s="92"/>
      <c r="BP548" s="92"/>
      <c r="BQ548" s="92"/>
      <c r="BR548" s="92"/>
      <c r="BS548" s="92"/>
      <c r="BT548" s="92"/>
      <c r="BU548" s="92"/>
      <c r="BV548" s="92"/>
      <c r="BW548" s="92"/>
      <c r="BX548" s="92"/>
      <c r="BY548" s="92"/>
      <c r="BZ548" s="92"/>
      <c r="CA548" s="92"/>
      <c r="CB548" s="92"/>
      <c r="CC548" s="92"/>
      <c r="CD548" s="92"/>
      <c r="CE548" s="92"/>
      <c r="CF548" s="92"/>
      <c r="CG548" s="92"/>
      <c r="CH548" s="92"/>
      <c r="CI548" s="92"/>
      <c r="CJ548" s="92"/>
      <c r="CK548" s="92"/>
      <c r="CL548" s="92"/>
      <c r="CM548" s="92"/>
      <c r="CN548" s="92"/>
      <c r="CO548" s="92"/>
      <c r="CP548" s="92"/>
      <c r="CQ548" s="92"/>
      <c r="CR548" s="92"/>
      <c r="CS548" s="92"/>
      <c r="CT548" s="92"/>
      <c r="CU548" s="92"/>
      <c r="CV548" s="92"/>
      <c r="CW548" s="92"/>
      <c r="CX548" s="92"/>
      <c r="CY548" s="92"/>
      <c r="CZ548" s="92"/>
      <c r="DA548" s="92"/>
      <c r="DB548" s="92"/>
      <c r="DC548" s="92"/>
      <c r="DD548" s="92"/>
      <c r="DE548" s="92"/>
      <c r="DF548" s="92"/>
      <c r="DG548" s="92"/>
      <c r="DH548" s="92"/>
      <c r="DI548" s="92"/>
      <c r="DJ548" s="92"/>
      <c r="DK548" s="92"/>
      <c r="DL548" s="92"/>
      <c r="DM548" s="92"/>
      <c r="DN548" s="92"/>
      <c r="DO548" s="92"/>
      <c r="DP548" s="92"/>
      <c r="DQ548" s="92"/>
      <c r="DR548" s="92"/>
      <c r="DS548" s="92"/>
      <c r="DT548" s="92"/>
      <c r="DU548" s="92"/>
      <c r="DV548" s="92"/>
      <c r="DW548" s="92"/>
      <c r="DX548" s="92"/>
      <c r="DY548" s="92"/>
      <c r="DZ548" s="92"/>
      <c r="EA548" s="92"/>
      <c r="EB548" s="92"/>
      <c r="EC548" s="92"/>
      <c r="ED548" s="92"/>
      <c r="EE548" s="92"/>
      <c r="EF548" s="92"/>
      <c r="EG548" s="92"/>
      <c r="EH548" s="92"/>
      <c r="EI548" s="92"/>
      <c r="EJ548" s="92"/>
      <c r="EK548" s="92"/>
      <c r="EL548" s="92"/>
      <c r="EM548" s="92"/>
      <c r="EN548" s="92"/>
      <c r="EO548" s="92"/>
      <c r="EP548" s="92"/>
      <c r="EQ548" s="92"/>
      <c r="ER548" s="92"/>
      <c r="ES548" s="92"/>
      <c r="ET548" s="92"/>
      <c r="EU548" s="92"/>
      <c r="EV548" s="92"/>
      <c r="EW548" s="92"/>
      <c r="EX548" s="92"/>
      <c r="EY548" s="92"/>
      <c r="EZ548" s="92"/>
      <c r="FA548" s="92"/>
      <c r="FB548" s="92"/>
      <c r="FC548" s="92"/>
      <c r="FD548" s="92"/>
      <c r="FE548" s="92"/>
      <c r="FF548" s="92"/>
      <c r="FG548" s="92"/>
      <c r="FH548" s="92"/>
    </row>
    <row r="549">
      <c r="A549" s="32" t="s">
        <v>38</v>
      </c>
      <c r="B549" s="32" t="s">
        <v>94</v>
      </c>
      <c r="C549" s="32" t="s">
        <v>10</v>
      </c>
      <c r="D549" s="97">
        <f t="shared" si="1"/>
        <v>826.8137906</v>
      </c>
      <c r="E549" s="92">
        <f>(SUBSTITUTE(Audio!E549, "RE-", "", 1))*1</f>
        <v>0</v>
      </c>
      <c r="F549" s="92">
        <f>(SUBSTITUTE(Audio!F549, "RE-", "", 1))*1</f>
        <v>0</v>
      </c>
      <c r="G549" s="92">
        <f>(SUBSTITUTE(Audio!G549, "RE-", "", 1))*1</f>
        <v>36.68809583</v>
      </c>
      <c r="H549" s="92">
        <f>(SUBSTITUTE(Audio!H549, "RE-", "", 1))*1</f>
        <v>0</v>
      </c>
      <c r="I549" s="92">
        <f>(SUBSTITUTE(Audio!I549, "RE-", "", 1))*1</f>
        <v>12.15742917</v>
      </c>
      <c r="J549" s="92">
        <f>(SUBSTITUTE(Audio!J549, "RE-", "", 1))*1</f>
        <v>0</v>
      </c>
      <c r="K549" s="92">
        <f>(SUBSTITUTE(Audio!K549, "RE-", "", 1))*1</f>
        <v>54.17964375</v>
      </c>
      <c r="L549" s="92">
        <f>(SUBSTITUTE(Audio!L549, "RE-", "", 1))*1</f>
        <v>0</v>
      </c>
      <c r="M549" s="92">
        <f>(SUBSTITUTE(Audio!M549, "RE-", "", 1))*1</f>
        <v>53.40189688</v>
      </c>
      <c r="N549" s="92">
        <f>(SUBSTITUTE(Audio!N549, "RE-", "", 1))*1</f>
        <v>0</v>
      </c>
      <c r="O549" s="92">
        <f>(SUBSTITUTE(Audio!O549, "RE-", "", 1))*1</f>
        <v>477.9480427</v>
      </c>
      <c r="P549" s="92">
        <f>(SUBSTITUTE(Audio!P549, "RE-", "", 1))*1</f>
        <v>0</v>
      </c>
      <c r="Q549" s="92">
        <f>(SUBSTITUTE(Audio!Q549, "RE-", "", 1))*1</f>
        <v>110.2198708</v>
      </c>
      <c r="R549" s="92">
        <f>(SUBSTITUTE(Audio!R549, "RE-", "", 1))*1</f>
        <v>0</v>
      </c>
      <c r="S549" s="92">
        <f>(SUBSTITUTE(Audio!S549, "RE-", "", 1))*1</f>
        <v>26.78760417</v>
      </c>
      <c r="T549" s="92">
        <f>(SUBSTITUTE(Audio!T549, "RE-", "", 1))*1</f>
        <v>0</v>
      </c>
      <c r="U549" s="92">
        <f>(SUBSTITUTE(Audio!U549, "RE-", "", 1))*1</f>
        <v>43.15515312</v>
      </c>
      <c r="V549" s="92">
        <f>(SUBSTITUTE(Audio!V549, "RE-", "", 1))*1</f>
        <v>12.27605417</v>
      </c>
      <c r="W549" s="92">
        <f>(SUBSTITUTE(Audio!W549, "RE-", "", 1))*1</f>
        <v>0</v>
      </c>
      <c r="X549" s="92">
        <f>(SUBSTITUTE(Audio!X549, "RE-", "", 1))*1</f>
        <v>0</v>
      </c>
      <c r="Y549" s="92">
        <f>(SUBSTITUTE(Audio!Y549, "RE-", "", 1))*1</f>
        <v>0</v>
      </c>
      <c r="Z549" s="92">
        <f>(SUBSTITUTE(Audio!Z549, "RE-", "", 1))*1</f>
        <v>0</v>
      </c>
      <c r="AA549" s="92"/>
      <c r="AB549" s="92"/>
      <c r="AC549" s="92"/>
      <c r="AD549" s="92"/>
      <c r="AE549" s="92"/>
      <c r="AF549" s="92"/>
      <c r="AG549" s="92"/>
      <c r="AH549" s="92"/>
      <c r="AI549" s="92"/>
      <c r="AJ549" s="92"/>
      <c r="AK549" s="92"/>
      <c r="AL549" s="92"/>
      <c r="AM549" s="92"/>
      <c r="AN549" s="92"/>
      <c r="AO549" s="92"/>
      <c r="AP549" s="92"/>
      <c r="AQ549" s="92"/>
      <c r="AR549" s="92"/>
      <c r="AS549" s="92"/>
      <c r="AT549" s="92"/>
      <c r="AU549" s="92"/>
      <c r="AV549" s="92"/>
      <c r="AW549" s="92"/>
      <c r="AX549" s="92"/>
      <c r="AY549" s="92"/>
      <c r="AZ549" s="92"/>
      <c r="BA549" s="92"/>
      <c r="BB549" s="92"/>
      <c r="BC549" s="92"/>
      <c r="BD549" s="92"/>
      <c r="BE549" s="92"/>
      <c r="BF549" s="92"/>
      <c r="BG549" s="92"/>
      <c r="BH549" s="92"/>
      <c r="BI549" s="92"/>
      <c r="BJ549" s="92"/>
      <c r="BK549" s="92"/>
      <c r="BL549" s="92"/>
      <c r="BM549" s="92"/>
      <c r="BN549" s="92"/>
      <c r="BO549" s="92"/>
      <c r="BP549" s="92"/>
      <c r="BQ549" s="92"/>
      <c r="BR549" s="92"/>
      <c r="BS549" s="92"/>
      <c r="BT549" s="92"/>
      <c r="BU549" s="92"/>
      <c r="BV549" s="92"/>
      <c r="BW549" s="92"/>
      <c r="BX549" s="92"/>
      <c r="BY549" s="92"/>
      <c r="BZ549" s="92"/>
      <c r="CA549" s="92"/>
      <c r="CB549" s="92"/>
      <c r="CC549" s="92"/>
      <c r="CD549" s="92"/>
      <c r="CE549" s="92"/>
      <c r="CF549" s="92"/>
      <c r="CG549" s="92"/>
      <c r="CH549" s="92"/>
      <c r="CI549" s="92"/>
      <c r="CJ549" s="92"/>
      <c r="CK549" s="92"/>
      <c r="CL549" s="92"/>
      <c r="CM549" s="92"/>
      <c r="CN549" s="92"/>
      <c r="CO549" s="92"/>
      <c r="CP549" s="92"/>
      <c r="CQ549" s="92"/>
      <c r="CR549" s="92"/>
      <c r="CS549" s="92"/>
      <c r="CT549" s="92"/>
      <c r="CU549" s="92"/>
      <c r="CV549" s="92"/>
      <c r="CW549" s="92"/>
      <c r="CX549" s="92"/>
      <c r="CY549" s="92"/>
      <c r="CZ549" s="92"/>
      <c r="DA549" s="92"/>
      <c r="DB549" s="92"/>
      <c r="DC549" s="92"/>
      <c r="DD549" s="92"/>
      <c r="DE549" s="92"/>
      <c r="DF549" s="92"/>
      <c r="DG549" s="92"/>
      <c r="DH549" s="92"/>
      <c r="DI549" s="92"/>
      <c r="DJ549" s="92"/>
      <c r="DK549" s="92"/>
      <c r="DL549" s="92"/>
      <c r="DM549" s="92"/>
      <c r="DN549" s="92"/>
      <c r="DO549" s="92"/>
      <c r="DP549" s="92"/>
      <c r="DQ549" s="92"/>
      <c r="DR549" s="92"/>
      <c r="DS549" s="92"/>
      <c r="DT549" s="92"/>
      <c r="DU549" s="92"/>
      <c r="DV549" s="92"/>
      <c r="DW549" s="92"/>
      <c r="DX549" s="92"/>
      <c r="DY549" s="92"/>
      <c r="DZ549" s="92"/>
      <c r="EA549" s="92"/>
      <c r="EB549" s="92"/>
      <c r="EC549" s="92"/>
      <c r="ED549" s="92"/>
      <c r="EE549" s="92"/>
      <c r="EF549" s="92"/>
      <c r="EG549" s="92"/>
      <c r="EH549" s="92"/>
      <c r="EI549" s="92"/>
      <c r="EJ549" s="92"/>
      <c r="EK549" s="92"/>
      <c r="EL549" s="92"/>
      <c r="EM549" s="92"/>
      <c r="EN549" s="92"/>
      <c r="EO549" s="92"/>
      <c r="EP549" s="92"/>
      <c r="EQ549" s="92"/>
      <c r="ER549" s="92"/>
      <c r="ES549" s="92"/>
      <c r="ET549" s="92"/>
      <c r="EU549" s="92"/>
      <c r="EV549" s="92"/>
      <c r="EW549" s="92"/>
      <c r="EX549" s="92"/>
      <c r="EY549" s="92"/>
      <c r="EZ549" s="92"/>
      <c r="FA549" s="92"/>
      <c r="FB549" s="92"/>
      <c r="FC549" s="92"/>
      <c r="FD549" s="92"/>
      <c r="FE549" s="92"/>
      <c r="FF549" s="92"/>
      <c r="FG549" s="92"/>
      <c r="FH549" s="92"/>
    </row>
    <row r="550">
      <c r="A550" s="32" t="s">
        <v>38</v>
      </c>
      <c r="B550" s="32" t="s">
        <v>94</v>
      </c>
      <c r="C550" s="32" t="s">
        <v>11</v>
      </c>
      <c r="D550" s="97">
        <f t="shared" si="1"/>
        <v>826.8137906</v>
      </c>
      <c r="E550" s="92">
        <f>(SUBSTITUTE(Audio!E550, "RE-", "", 1))*1</f>
        <v>0</v>
      </c>
      <c r="F550" s="92">
        <f>(SUBSTITUTE(Audio!F550, "RE-", "", 1))*1</f>
        <v>0</v>
      </c>
      <c r="G550" s="92">
        <f>(SUBSTITUTE(Audio!G550, "RE-", "", 1))*1</f>
        <v>36.68809583</v>
      </c>
      <c r="H550" s="92">
        <f>(SUBSTITUTE(Audio!H550, "RE-", "", 1))*1</f>
        <v>0</v>
      </c>
      <c r="I550" s="92">
        <f>(SUBSTITUTE(Audio!I550, "RE-", "", 1))*1</f>
        <v>12.15742917</v>
      </c>
      <c r="J550" s="92">
        <f>(SUBSTITUTE(Audio!J550, "RE-", "", 1))*1</f>
        <v>0</v>
      </c>
      <c r="K550" s="92">
        <f>(SUBSTITUTE(Audio!K550, "RE-", "", 1))*1</f>
        <v>54.17964375</v>
      </c>
      <c r="L550" s="92">
        <f>(SUBSTITUTE(Audio!L550, "RE-", "", 1))*1</f>
        <v>0</v>
      </c>
      <c r="M550" s="92">
        <f>(SUBSTITUTE(Audio!M550, "RE-", "", 1))*1</f>
        <v>53.40189688</v>
      </c>
      <c r="N550" s="92">
        <f>(SUBSTITUTE(Audio!N550, "RE-", "", 1))*1</f>
        <v>0</v>
      </c>
      <c r="O550" s="92">
        <f>(SUBSTITUTE(Audio!O550, "RE-", "", 1))*1</f>
        <v>477.9480427</v>
      </c>
      <c r="P550" s="92">
        <f>(SUBSTITUTE(Audio!P550, "RE-", "", 1))*1</f>
        <v>0</v>
      </c>
      <c r="Q550" s="92">
        <f>(SUBSTITUTE(Audio!Q550, "RE-", "", 1))*1</f>
        <v>110.2198708</v>
      </c>
      <c r="R550" s="92">
        <f>(SUBSTITUTE(Audio!R550, "RE-", "", 1))*1</f>
        <v>0</v>
      </c>
      <c r="S550" s="92">
        <f>(SUBSTITUTE(Audio!S550, "RE-", "", 1))*1</f>
        <v>26.78760417</v>
      </c>
      <c r="T550" s="92">
        <f>(SUBSTITUTE(Audio!T550, "RE-", "", 1))*1</f>
        <v>0</v>
      </c>
      <c r="U550" s="92">
        <f>(SUBSTITUTE(Audio!U550, "RE-", "", 1))*1</f>
        <v>43.15515312</v>
      </c>
      <c r="V550" s="92">
        <f>(SUBSTITUTE(Audio!V550, "RE-", "", 1))*1</f>
        <v>12.27605417</v>
      </c>
      <c r="W550" s="92">
        <f>(SUBSTITUTE(Audio!W550, "RE-", "", 1))*1</f>
        <v>0</v>
      </c>
      <c r="X550" s="92">
        <f>(SUBSTITUTE(Audio!X550, "RE-", "", 1))*1</f>
        <v>0</v>
      </c>
      <c r="Y550" s="92">
        <f>(SUBSTITUTE(Audio!Y550, "RE-", "", 1))*1</f>
        <v>0</v>
      </c>
      <c r="Z550" s="92">
        <f>(SUBSTITUTE(Audio!Z550, "RE-", "", 1))*1</f>
        <v>0</v>
      </c>
      <c r="AA550" s="92"/>
      <c r="AB550" s="92"/>
      <c r="AC550" s="92"/>
      <c r="AD550" s="92"/>
      <c r="AE550" s="92"/>
      <c r="AF550" s="92"/>
      <c r="AG550" s="92"/>
      <c r="AH550" s="92"/>
      <c r="AI550" s="92"/>
      <c r="AJ550" s="92"/>
      <c r="AK550" s="92"/>
      <c r="AL550" s="92"/>
      <c r="AM550" s="92"/>
      <c r="AN550" s="92"/>
      <c r="AO550" s="92"/>
      <c r="AP550" s="92"/>
      <c r="AQ550" s="92"/>
      <c r="AR550" s="92"/>
      <c r="AS550" s="92"/>
      <c r="AT550" s="92"/>
      <c r="AU550" s="92"/>
      <c r="AV550" s="92"/>
      <c r="AW550" s="92"/>
      <c r="AX550" s="92"/>
      <c r="AY550" s="92"/>
      <c r="AZ550" s="92"/>
      <c r="BA550" s="92"/>
      <c r="BB550" s="92"/>
      <c r="BC550" s="92"/>
      <c r="BD550" s="92"/>
      <c r="BE550" s="92"/>
      <c r="BF550" s="92"/>
      <c r="BG550" s="92"/>
      <c r="BH550" s="92"/>
      <c r="BI550" s="92"/>
      <c r="BJ550" s="92"/>
      <c r="BK550" s="92"/>
      <c r="BL550" s="92"/>
      <c r="BM550" s="92"/>
      <c r="BN550" s="92"/>
      <c r="BO550" s="92"/>
      <c r="BP550" s="92"/>
      <c r="BQ550" s="92"/>
      <c r="BR550" s="92"/>
      <c r="BS550" s="92"/>
      <c r="BT550" s="92"/>
      <c r="BU550" s="92"/>
      <c r="BV550" s="92"/>
      <c r="BW550" s="92"/>
      <c r="BX550" s="92"/>
      <c r="BY550" s="92"/>
      <c r="BZ550" s="92"/>
      <c r="CA550" s="92"/>
      <c r="CB550" s="92"/>
      <c r="CC550" s="92"/>
      <c r="CD550" s="92"/>
      <c r="CE550" s="92"/>
      <c r="CF550" s="92"/>
      <c r="CG550" s="92"/>
      <c r="CH550" s="92"/>
      <c r="CI550" s="92"/>
      <c r="CJ550" s="92"/>
      <c r="CK550" s="92"/>
      <c r="CL550" s="92"/>
      <c r="CM550" s="92"/>
      <c r="CN550" s="92"/>
      <c r="CO550" s="92"/>
      <c r="CP550" s="92"/>
      <c r="CQ550" s="92"/>
      <c r="CR550" s="92"/>
      <c r="CS550" s="92"/>
      <c r="CT550" s="92"/>
      <c r="CU550" s="92"/>
      <c r="CV550" s="92"/>
      <c r="CW550" s="92"/>
      <c r="CX550" s="92"/>
      <c r="CY550" s="92"/>
      <c r="CZ550" s="92"/>
      <c r="DA550" s="92"/>
      <c r="DB550" s="92"/>
      <c r="DC550" s="92"/>
      <c r="DD550" s="92"/>
      <c r="DE550" s="92"/>
      <c r="DF550" s="92"/>
      <c r="DG550" s="92"/>
      <c r="DH550" s="92"/>
      <c r="DI550" s="92"/>
      <c r="DJ550" s="92"/>
      <c r="DK550" s="92"/>
      <c r="DL550" s="92"/>
      <c r="DM550" s="92"/>
      <c r="DN550" s="92"/>
      <c r="DO550" s="92"/>
      <c r="DP550" s="92"/>
      <c r="DQ550" s="92"/>
      <c r="DR550" s="92"/>
      <c r="DS550" s="92"/>
      <c r="DT550" s="92"/>
      <c r="DU550" s="92"/>
      <c r="DV550" s="92"/>
      <c r="DW550" s="92"/>
      <c r="DX550" s="92"/>
      <c r="DY550" s="92"/>
      <c r="DZ550" s="92"/>
      <c r="EA550" s="92"/>
      <c r="EB550" s="92"/>
      <c r="EC550" s="92"/>
      <c r="ED550" s="92"/>
      <c r="EE550" s="92"/>
      <c r="EF550" s="92"/>
      <c r="EG550" s="92"/>
      <c r="EH550" s="92"/>
      <c r="EI550" s="92"/>
      <c r="EJ550" s="92"/>
      <c r="EK550" s="92"/>
      <c r="EL550" s="92"/>
      <c r="EM550" s="92"/>
      <c r="EN550" s="92"/>
      <c r="EO550" s="92"/>
      <c r="EP550" s="92"/>
      <c r="EQ550" s="92"/>
      <c r="ER550" s="92"/>
      <c r="ES550" s="92"/>
      <c r="ET550" s="92"/>
      <c r="EU550" s="92"/>
      <c r="EV550" s="92"/>
      <c r="EW550" s="92"/>
      <c r="EX550" s="92"/>
      <c r="EY550" s="92"/>
      <c r="EZ550" s="92"/>
      <c r="FA550" s="92"/>
      <c r="FB550" s="92"/>
      <c r="FC550" s="92"/>
      <c r="FD550" s="92"/>
      <c r="FE550" s="92"/>
      <c r="FF550" s="92"/>
      <c r="FG550" s="92"/>
      <c r="FH550" s="92"/>
    </row>
    <row r="551">
      <c r="A551" s="32" t="s">
        <v>38</v>
      </c>
      <c r="B551" s="32" t="s">
        <v>94</v>
      </c>
      <c r="C551" s="32" t="s">
        <v>12</v>
      </c>
      <c r="D551" s="97">
        <f t="shared" si="1"/>
        <v>5136.24037</v>
      </c>
      <c r="E551" s="92">
        <f>(SUBSTITUTE(Audio!E551, "RE-", "", 1))*1</f>
        <v>0</v>
      </c>
      <c r="F551" s="92">
        <f>(SUBSTITUTE(Audio!F551, "RE-", "", 1))*1</f>
        <v>252.0436042</v>
      </c>
      <c r="G551" s="92">
        <f>(SUBSTITUTE(Audio!G551, "RE-", "", 1))*1</f>
        <v>1.763929167</v>
      </c>
      <c r="H551" s="92">
        <f>(SUBSTITUTE(Audio!H551, "RE-", "", 1))*1</f>
        <v>72.5997875</v>
      </c>
      <c r="I551" s="92">
        <f>(SUBSTITUTE(Audio!I551, "RE-", "", 1))*1</f>
        <v>0.2830104167</v>
      </c>
      <c r="J551" s="92">
        <f>(SUBSTITUTE(Audio!J551, "RE-", "", 1))*1</f>
        <v>545.0007885</v>
      </c>
      <c r="K551" s="92">
        <f>(SUBSTITUTE(Audio!K551, "RE-", "", 1))*1</f>
        <v>2.68984375</v>
      </c>
      <c r="L551" s="92">
        <f>(SUBSTITUTE(Audio!L551, "RE-", "", 1))*1</f>
        <v>831.0590219</v>
      </c>
      <c r="M551" s="92">
        <f>(SUBSTITUTE(Audio!M551, "RE-", "", 1))*1</f>
        <v>15.66431354</v>
      </c>
      <c r="N551" s="92">
        <f>(SUBSTITUTE(Audio!N551, "RE-", "", 1))*1</f>
        <v>2258.428979</v>
      </c>
      <c r="O551" s="92">
        <f>(SUBSTITUTE(Audio!O551, "RE-", "", 1))*1</f>
        <v>14.77934063</v>
      </c>
      <c r="P551" s="92">
        <f>(SUBSTITUTE(Audio!P551, "RE-", "", 1))*1</f>
        <v>470.6513583</v>
      </c>
      <c r="Q551" s="92">
        <f>(SUBSTITUTE(Audio!Q551, "RE-", "", 1))*1</f>
        <v>30.41293229</v>
      </c>
      <c r="R551" s="92">
        <f>(SUBSTITUTE(Audio!R551, "RE-", "", 1))*1</f>
        <v>133.9502604</v>
      </c>
      <c r="S551" s="92">
        <f>(SUBSTITUTE(Audio!S551, "RE-", "", 1))*1</f>
        <v>16.15177083</v>
      </c>
      <c r="T551" s="92">
        <f>(SUBSTITUTE(Audio!T551, "RE-", "", 1))*1</f>
        <v>470.0297802</v>
      </c>
      <c r="U551" s="92">
        <f>(SUBSTITUTE(Audio!U551, "RE-", "", 1))*1</f>
        <v>13.20158021</v>
      </c>
      <c r="V551" s="92">
        <f>(SUBSTITUTE(Audio!V551, "RE-", "", 1))*1</f>
        <v>7.53006875</v>
      </c>
      <c r="W551" s="92">
        <f>(SUBSTITUTE(Audio!W551, "RE-", "", 1))*1</f>
        <v>0</v>
      </c>
      <c r="X551" s="92">
        <f>(SUBSTITUTE(Audio!X551, "RE-", "", 1))*1</f>
        <v>0</v>
      </c>
      <c r="Y551" s="92">
        <f>(SUBSTITUTE(Audio!Y551, "RE-", "", 1))*1</f>
        <v>0</v>
      </c>
      <c r="Z551" s="92">
        <f>(SUBSTITUTE(Audio!Z551, "RE-", "", 1))*1</f>
        <v>0</v>
      </c>
      <c r="AA551" s="92"/>
      <c r="AB551" s="92"/>
      <c r="AC551" s="92"/>
      <c r="AD551" s="92"/>
      <c r="AE551" s="92"/>
      <c r="AF551" s="92"/>
      <c r="AG551" s="92"/>
      <c r="AH551" s="92"/>
      <c r="AI551" s="92"/>
      <c r="AJ551" s="92"/>
      <c r="AK551" s="92"/>
      <c r="AL551" s="92"/>
      <c r="AM551" s="92"/>
      <c r="AN551" s="92"/>
      <c r="AO551" s="92"/>
      <c r="AP551" s="92"/>
      <c r="AQ551" s="92"/>
      <c r="AR551" s="92"/>
      <c r="AS551" s="92"/>
      <c r="AT551" s="92"/>
      <c r="AU551" s="92"/>
      <c r="AV551" s="92"/>
      <c r="AW551" s="92"/>
      <c r="AX551" s="92"/>
      <c r="AY551" s="92"/>
      <c r="AZ551" s="92"/>
      <c r="BA551" s="92"/>
      <c r="BB551" s="92"/>
      <c r="BC551" s="92"/>
      <c r="BD551" s="92"/>
      <c r="BE551" s="92"/>
      <c r="BF551" s="92"/>
      <c r="BG551" s="92"/>
      <c r="BH551" s="92"/>
      <c r="BI551" s="92"/>
      <c r="BJ551" s="92"/>
      <c r="BK551" s="92"/>
      <c r="BL551" s="92"/>
      <c r="BM551" s="92"/>
      <c r="BN551" s="92"/>
      <c r="BO551" s="92"/>
      <c r="BP551" s="92"/>
      <c r="BQ551" s="92"/>
      <c r="BR551" s="92"/>
      <c r="BS551" s="92"/>
      <c r="BT551" s="92"/>
      <c r="BU551" s="92"/>
      <c r="BV551" s="92"/>
      <c r="BW551" s="92"/>
      <c r="BX551" s="92"/>
      <c r="BY551" s="92"/>
      <c r="BZ551" s="92"/>
      <c r="CA551" s="92"/>
      <c r="CB551" s="92"/>
      <c r="CC551" s="92"/>
      <c r="CD551" s="92"/>
      <c r="CE551" s="92"/>
      <c r="CF551" s="92"/>
      <c r="CG551" s="92"/>
      <c r="CH551" s="92"/>
      <c r="CI551" s="92"/>
      <c r="CJ551" s="92"/>
      <c r="CK551" s="92"/>
      <c r="CL551" s="92"/>
      <c r="CM551" s="92"/>
      <c r="CN551" s="92"/>
      <c r="CO551" s="92"/>
      <c r="CP551" s="92"/>
      <c r="CQ551" s="92"/>
      <c r="CR551" s="92"/>
      <c r="CS551" s="92"/>
      <c r="CT551" s="92"/>
      <c r="CU551" s="92"/>
      <c r="CV551" s="92"/>
      <c r="CW551" s="92"/>
      <c r="CX551" s="92"/>
      <c r="CY551" s="92"/>
      <c r="CZ551" s="92"/>
      <c r="DA551" s="92"/>
      <c r="DB551" s="92"/>
      <c r="DC551" s="92"/>
      <c r="DD551" s="92"/>
      <c r="DE551" s="92"/>
      <c r="DF551" s="92"/>
      <c r="DG551" s="92"/>
      <c r="DH551" s="92"/>
      <c r="DI551" s="92"/>
      <c r="DJ551" s="92"/>
      <c r="DK551" s="92"/>
      <c r="DL551" s="92"/>
      <c r="DM551" s="92"/>
      <c r="DN551" s="92"/>
      <c r="DO551" s="92"/>
      <c r="DP551" s="92"/>
      <c r="DQ551" s="92"/>
      <c r="DR551" s="92"/>
      <c r="DS551" s="92"/>
      <c r="DT551" s="92"/>
      <c r="DU551" s="92"/>
      <c r="DV551" s="92"/>
      <c r="DW551" s="92"/>
      <c r="DX551" s="92"/>
      <c r="DY551" s="92"/>
      <c r="DZ551" s="92"/>
      <c r="EA551" s="92"/>
      <c r="EB551" s="92"/>
      <c r="EC551" s="92"/>
      <c r="ED551" s="92"/>
      <c r="EE551" s="92"/>
      <c r="EF551" s="92"/>
      <c r="EG551" s="92"/>
      <c r="EH551" s="92"/>
      <c r="EI551" s="92"/>
      <c r="EJ551" s="92"/>
      <c r="EK551" s="92"/>
      <c r="EL551" s="92"/>
      <c r="EM551" s="92"/>
      <c r="EN551" s="92"/>
      <c r="EO551" s="92"/>
      <c r="EP551" s="92"/>
      <c r="EQ551" s="92"/>
      <c r="ER551" s="92"/>
      <c r="ES551" s="92"/>
      <c r="ET551" s="92"/>
      <c r="EU551" s="92"/>
      <c r="EV551" s="92"/>
      <c r="EW551" s="92"/>
      <c r="EX551" s="92"/>
      <c r="EY551" s="92"/>
      <c r="EZ551" s="92"/>
      <c r="FA551" s="92"/>
      <c r="FB551" s="92"/>
      <c r="FC551" s="92"/>
      <c r="FD551" s="92"/>
      <c r="FE551" s="92"/>
      <c r="FF551" s="92"/>
      <c r="FG551" s="92"/>
      <c r="FH551" s="92"/>
    </row>
    <row r="552">
      <c r="A552" s="32" t="s">
        <v>38</v>
      </c>
      <c r="B552" s="32" t="s">
        <v>94</v>
      </c>
      <c r="C552" s="32" t="s">
        <v>13</v>
      </c>
      <c r="D552" s="97">
        <f t="shared" si="1"/>
        <v>4922.818883</v>
      </c>
      <c r="E552" s="92">
        <f>(SUBSTITUTE(Audio!E552, "RE-", "", 1))*1</f>
        <v>0</v>
      </c>
      <c r="F552" s="92">
        <f>(SUBSTITUTE(Audio!F552, "RE-", "", 1))*1</f>
        <v>243.809</v>
      </c>
      <c r="G552" s="92">
        <f>(SUBSTITUTE(Audio!G552, "RE-", "", 1))*1</f>
        <v>1.71565</v>
      </c>
      <c r="H552" s="92">
        <f>(SUBSTITUTE(Audio!H552, "RE-", "", 1))*1</f>
        <v>70.061</v>
      </c>
      <c r="I552" s="92">
        <f>(SUBSTITUTE(Audio!I552, "RE-", "", 1))*1</f>
        <v>0.272983</v>
      </c>
      <c r="J552" s="92">
        <f>(SUBSTITUTE(Audio!J552, "RE-", "", 1))*1</f>
        <v>528.754</v>
      </c>
      <c r="K552" s="92">
        <f>(SUBSTITUTE(Audio!K552, "RE-", "", 1))*1</f>
        <v>2.62062</v>
      </c>
      <c r="L552" s="92">
        <f>(SUBSTITUTE(Audio!L552, "RE-", "", 1))*1</f>
        <v>792.175</v>
      </c>
      <c r="M552" s="92">
        <f>(SUBSTITUTE(Audio!M552, "RE-", "", 1))*1</f>
        <v>14.8703</v>
      </c>
      <c r="N552" s="92">
        <f>(SUBSTITUTE(Audio!N552, "RE-", "", 1))*1</f>
        <v>2167.61</v>
      </c>
      <c r="O552" s="92">
        <f>(SUBSTITUTE(Audio!O552, "RE-", "", 1))*1</f>
        <v>14.0513</v>
      </c>
      <c r="P552" s="92">
        <f>(SUBSTITUTE(Audio!P552, "RE-", "", 1))*1</f>
        <v>446.33</v>
      </c>
      <c r="Q552" s="92">
        <f>(SUBSTITUTE(Audio!Q552, "RE-", "", 1))*1</f>
        <v>27.8935</v>
      </c>
      <c r="R552" s="92">
        <f>(SUBSTITUTE(Audio!R552, "RE-", "", 1))*1</f>
        <v>128.875</v>
      </c>
      <c r="S552" s="92">
        <f>(SUBSTITUTE(Audio!S552, "RE-", "", 1))*1</f>
        <v>15.3304</v>
      </c>
      <c r="T552" s="92">
        <f>(SUBSTITUTE(Audio!T552, "RE-", "", 1))*1</f>
        <v>448.663</v>
      </c>
      <c r="U552" s="92">
        <f>(SUBSTITUTE(Audio!U552, "RE-", "", 1))*1</f>
        <v>12.6106</v>
      </c>
      <c r="V552" s="92">
        <f>(SUBSTITUTE(Audio!V552, "RE-", "", 1))*1</f>
        <v>7.17653</v>
      </c>
      <c r="W552" s="92">
        <f>(SUBSTITUTE(Audio!W552, "RE-", "", 1))*1</f>
        <v>0</v>
      </c>
      <c r="X552" s="92">
        <f>(SUBSTITUTE(Audio!X552, "RE-", "", 1))*1</f>
        <v>0</v>
      </c>
      <c r="Y552" s="92">
        <f>(SUBSTITUTE(Audio!Y552, "RE-", "", 1))*1</f>
        <v>0</v>
      </c>
      <c r="Z552" s="92">
        <f>(SUBSTITUTE(Audio!Z552, "RE-", "", 1))*1</f>
        <v>0</v>
      </c>
      <c r="AA552" s="92"/>
      <c r="AB552" s="92"/>
      <c r="AC552" s="92"/>
      <c r="AD552" s="92"/>
      <c r="AE552" s="92"/>
      <c r="AF552" s="92"/>
      <c r="AG552" s="92"/>
      <c r="AH552" s="92"/>
      <c r="AI552" s="92"/>
      <c r="AJ552" s="92"/>
      <c r="AK552" s="92"/>
      <c r="AL552" s="92"/>
      <c r="AM552" s="92"/>
      <c r="AN552" s="92"/>
      <c r="AO552" s="92"/>
      <c r="AP552" s="92"/>
      <c r="AQ552" s="92"/>
      <c r="AR552" s="92"/>
      <c r="AS552" s="92"/>
      <c r="AT552" s="92"/>
      <c r="AU552" s="92"/>
      <c r="AV552" s="92"/>
      <c r="AW552" s="92"/>
      <c r="AX552" s="92"/>
      <c r="AY552" s="92"/>
      <c r="AZ552" s="92"/>
      <c r="BA552" s="92"/>
      <c r="BB552" s="92"/>
      <c r="BC552" s="92"/>
      <c r="BD552" s="92"/>
      <c r="BE552" s="92"/>
      <c r="BF552" s="92"/>
      <c r="BG552" s="92"/>
      <c r="BH552" s="92"/>
      <c r="BI552" s="92"/>
      <c r="BJ552" s="92"/>
      <c r="BK552" s="92"/>
      <c r="BL552" s="92"/>
      <c r="BM552" s="92"/>
      <c r="BN552" s="92"/>
      <c r="BO552" s="92"/>
      <c r="BP552" s="92"/>
      <c r="BQ552" s="92"/>
      <c r="BR552" s="92"/>
      <c r="BS552" s="92"/>
      <c r="BT552" s="92"/>
      <c r="BU552" s="92"/>
      <c r="BV552" s="92"/>
      <c r="BW552" s="92"/>
      <c r="BX552" s="92"/>
      <c r="BY552" s="92"/>
      <c r="BZ552" s="92"/>
      <c r="CA552" s="92"/>
      <c r="CB552" s="92"/>
      <c r="CC552" s="92"/>
      <c r="CD552" s="92"/>
      <c r="CE552" s="92"/>
      <c r="CF552" s="92"/>
      <c r="CG552" s="92"/>
      <c r="CH552" s="92"/>
      <c r="CI552" s="92"/>
      <c r="CJ552" s="92"/>
      <c r="CK552" s="92"/>
      <c r="CL552" s="92"/>
      <c r="CM552" s="92"/>
      <c r="CN552" s="92"/>
      <c r="CO552" s="92"/>
      <c r="CP552" s="92"/>
      <c r="CQ552" s="92"/>
      <c r="CR552" s="92"/>
      <c r="CS552" s="92"/>
      <c r="CT552" s="92"/>
      <c r="CU552" s="92"/>
      <c r="CV552" s="92"/>
      <c r="CW552" s="92"/>
      <c r="CX552" s="92"/>
      <c r="CY552" s="92"/>
      <c r="CZ552" s="92"/>
      <c r="DA552" s="92"/>
      <c r="DB552" s="92"/>
      <c r="DC552" s="92"/>
      <c r="DD552" s="92"/>
      <c r="DE552" s="92"/>
      <c r="DF552" s="92"/>
      <c r="DG552" s="92"/>
      <c r="DH552" s="92"/>
      <c r="DI552" s="92"/>
      <c r="DJ552" s="92"/>
      <c r="DK552" s="92"/>
      <c r="DL552" s="92"/>
      <c r="DM552" s="92"/>
      <c r="DN552" s="92"/>
      <c r="DO552" s="92"/>
      <c r="DP552" s="92"/>
      <c r="DQ552" s="92"/>
      <c r="DR552" s="92"/>
      <c r="DS552" s="92"/>
      <c r="DT552" s="92"/>
      <c r="DU552" s="92"/>
      <c r="DV552" s="92"/>
      <c r="DW552" s="92"/>
      <c r="DX552" s="92"/>
      <c r="DY552" s="92"/>
      <c r="DZ552" s="92"/>
      <c r="EA552" s="92"/>
      <c r="EB552" s="92"/>
      <c r="EC552" s="92"/>
      <c r="ED552" s="92"/>
      <c r="EE552" s="92"/>
      <c r="EF552" s="92"/>
      <c r="EG552" s="92"/>
      <c r="EH552" s="92"/>
      <c r="EI552" s="92"/>
      <c r="EJ552" s="92"/>
      <c r="EK552" s="92"/>
      <c r="EL552" s="92"/>
      <c r="EM552" s="92"/>
      <c r="EN552" s="92"/>
      <c r="EO552" s="92"/>
      <c r="EP552" s="92"/>
      <c r="EQ552" s="92"/>
      <c r="ER552" s="92"/>
      <c r="ES552" s="92"/>
      <c r="ET552" s="92"/>
      <c r="EU552" s="92"/>
      <c r="EV552" s="92"/>
      <c r="EW552" s="92"/>
      <c r="EX552" s="92"/>
      <c r="EY552" s="92"/>
      <c r="EZ552" s="92"/>
      <c r="FA552" s="92"/>
      <c r="FB552" s="92"/>
      <c r="FC552" s="92"/>
      <c r="FD552" s="92"/>
      <c r="FE552" s="92"/>
      <c r="FF552" s="92"/>
      <c r="FG552" s="92"/>
      <c r="FH552" s="92"/>
    </row>
    <row r="553">
      <c r="A553" s="32" t="s">
        <v>38</v>
      </c>
      <c r="B553" s="32" t="s">
        <v>94</v>
      </c>
      <c r="C553" s="32" t="s">
        <v>14</v>
      </c>
      <c r="D553" s="97">
        <f t="shared" si="1"/>
        <v>4346.317913</v>
      </c>
      <c r="E553" s="92">
        <f>(SUBSTITUTE(Audio!E553, "RE-", "", 1))*1</f>
        <v>0</v>
      </c>
      <c r="F553" s="92">
        <f>(SUBSTITUTE(Audio!F553, "RE-", "", 1))*1</f>
        <v>208.464</v>
      </c>
      <c r="G553" s="92">
        <f>(SUBSTITUTE(Audio!G553, "RE-", "", 1))*1</f>
        <v>1.71565</v>
      </c>
      <c r="H553" s="92">
        <f>(SUBSTITUTE(Audio!H553, "RE-", "", 1))*1</f>
        <v>62.6094</v>
      </c>
      <c r="I553" s="92">
        <f>(SUBSTITUTE(Audio!I553, "RE-", "", 1))*1</f>
        <v>0.272983</v>
      </c>
      <c r="J553" s="92">
        <f>(SUBSTITUTE(Audio!J553, "RE-", "", 1))*1</f>
        <v>473.437</v>
      </c>
      <c r="K553" s="92">
        <f>(SUBSTITUTE(Audio!K553, "RE-", "", 1))*1</f>
        <v>2.40768</v>
      </c>
      <c r="L553" s="92">
        <f>(SUBSTITUTE(Audio!L553, "RE-", "", 1))*1</f>
        <v>702.741</v>
      </c>
      <c r="M553" s="92">
        <f>(SUBSTITUTE(Audio!M553, "RE-", "", 1))*1</f>
        <v>13.467</v>
      </c>
      <c r="N553" s="92">
        <f>(SUBSTITUTE(Audio!N553, "RE-", "", 1))*1</f>
        <v>1930.35</v>
      </c>
      <c r="O553" s="92">
        <f>(SUBSTITUTE(Audio!O553, "RE-", "", 1))*1</f>
        <v>12.8737</v>
      </c>
      <c r="P553" s="92">
        <f>(SUBSTITUTE(Audio!P553, "RE-", "", 1))*1</f>
        <v>388.634</v>
      </c>
      <c r="Q553" s="92">
        <f>(SUBSTITUTE(Audio!Q553, "RE-", "", 1))*1</f>
        <v>24.479</v>
      </c>
      <c r="R553" s="92">
        <f>(SUBSTITUTE(Audio!R553, "RE-", "", 1))*1</f>
        <v>109.981</v>
      </c>
      <c r="S553" s="92">
        <f>(SUBSTITUTE(Audio!S553, "RE-", "", 1))*1</f>
        <v>12.7415</v>
      </c>
      <c r="T553" s="92">
        <f>(SUBSTITUTE(Audio!T553, "RE-", "", 1))*1</f>
        <v>384.814</v>
      </c>
      <c r="U553" s="92">
        <f>(SUBSTITUTE(Audio!U553, "RE-", "", 1))*1</f>
        <v>10.8787</v>
      </c>
      <c r="V553" s="92">
        <f>(SUBSTITUTE(Audio!V553, "RE-", "", 1))*1</f>
        <v>6.4513</v>
      </c>
      <c r="W553" s="92">
        <f>(SUBSTITUTE(Audio!W553, "RE-", "", 1))*1</f>
        <v>0</v>
      </c>
      <c r="X553" s="92">
        <f>(SUBSTITUTE(Audio!X553, "RE-", "", 1))*1</f>
        <v>0</v>
      </c>
      <c r="Y553" s="92">
        <f>(SUBSTITUTE(Audio!Y553, "RE-", "", 1))*1</f>
        <v>0</v>
      </c>
      <c r="Z553" s="92">
        <f>(SUBSTITUTE(Audio!Z553, "RE-", "", 1))*1</f>
        <v>0</v>
      </c>
      <c r="AA553" s="92"/>
      <c r="AB553" s="92"/>
      <c r="AC553" s="92"/>
      <c r="AD553" s="92"/>
      <c r="AE553" s="92"/>
      <c r="AF553" s="92"/>
      <c r="AG553" s="92"/>
      <c r="AH553" s="92"/>
      <c r="AI553" s="92"/>
      <c r="AJ553" s="92"/>
      <c r="AK553" s="92"/>
      <c r="AL553" s="92"/>
      <c r="AM553" s="92"/>
      <c r="AN553" s="92"/>
      <c r="AO553" s="92"/>
      <c r="AP553" s="92"/>
      <c r="AQ553" s="92"/>
      <c r="AR553" s="92"/>
      <c r="AS553" s="92"/>
      <c r="AT553" s="92"/>
      <c r="AU553" s="92"/>
      <c r="AV553" s="92"/>
      <c r="AW553" s="92"/>
      <c r="AX553" s="92"/>
      <c r="AY553" s="92"/>
      <c r="AZ553" s="92"/>
      <c r="BA553" s="92"/>
      <c r="BB553" s="92"/>
      <c r="BC553" s="92"/>
      <c r="BD553" s="92"/>
      <c r="BE553" s="92"/>
      <c r="BF553" s="92"/>
      <c r="BG553" s="92"/>
      <c r="BH553" s="92"/>
      <c r="BI553" s="92"/>
      <c r="BJ553" s="92"/>
      <c r="BK553" s="92"/>
      <c r="BL553" s="92"/>
      <c r="BM553" s="92"/>
      <c r="BN553" s="92"/>
      <c r="BO553" s="92"/>
      <c r="BP553" s="92"/>
      <c r="BQ553" s="92"/>
      <c r="BR553" s="92"/>
      <c r="BS553" s="92"/>
      <c r="BT553" s="92"/>
      <c r="BU553" s="92"/>
      <c r="BV553" s="92"/>
      <c r="BW553" s="92"/>
      <c r="BX553" s="92"/>
      <c r="BY553" s="92"/>
      <c r="BZ553" s="92"/>
      <c r="CA553" s="92"/>
      <c r="CB553" s="92"/>
      <c r="CC553" s="92"/>
      <c r="CD553" s="92"/>
      <c r="CE553" s="92"/>
      <c r="CF553" s="92"/>
      <c r="CG553" s="92"/>
      <c r="CH553" s="92"/>
      <c r="CI553" s="92"/>
      <c r="CJ553" s="92"/>
      <c r="CK553" s="92"/>
      <c r="CL553" s="92"/>
      <c r="CM553" s="92"/>
      <c r="CN553" s="92"/>
      <c r="CO553" s="92"/>
      <c r="CP553" s="92"/>
      <c r="CQ553" s="92"/>
      <c r="CR553" s="92"/>
      <c r="CS553" s="92"/>
      <c r="CT553" s="92"/>
      <c r="CU553" s="92"/>
      <c r="CV553" s="92"/>
      <c r="CW553" s="92"/>
      <c r="CX553" s="92"/>
      <c r="CY553" s="92"/>
      <c r="CZ553" s="92"/>
      <c r="DA553" s="92"/>
      <c r="DB553" s="92"/>
      <c r="DC553" s="92"/>
      <c r="DD553" s="92"/>
      <c r="DE553" s="92"/>
      <c r="DF553" s="92"/>
      <c r="DG553" s="92"/>
      <c r="DH553" s="92"/>
      <c r="DI553" s="92"/>
      <c r="DJ553" s="92"/>
      <c r="DK553" s="92"/>
      <c r="DL553" s="92"/>
      <c r="DM553" s="92"/>
      <c r="DN553" s="92"/>
      <c r="DO553" s="92"/>
      <c r="DP553" s="92"/>
      <c r="DQ553" s="92"/>
      <c r="DR553" s="92"/>
      <c r="DS553" s="92"/>
      <c r="DT553" s="92"/>
      <c r="DU553" s="92"/>
      <c r="DV553" s="92"/>
      <c r="DW553" s="92"/>
      <c r="DX553" s="92"/>
      <c r="DY553" s="92"/>
      <c r="DZ553" s="92"/>
      <c r="EA553" s="92"/>
      <c r="EB553" s="92"/>
      <c r="EC553" s="92"/>
      <c r="ED553" s="92"/>
      <c r="EE553" s="92"/>
      <c r="EF553" s="92"/>
      <c r="EG553" s="92"/>
      <c r="EH553" s="92"/>
      <c r="EI553" s="92"/>
      <c r="EJ553" s="92"/>
      <c r="EK553" s="92"/>
      <c r="EL553" s="92"/>
      <c r="EM553" s="92"/>
      <c r="EN553" s="92"/>
      <c r="EO553" s="92"/>
      <c r="EP553" s="92"/>
      <c r="EQ553" s="92"/>
      <c r="ER553" s="92"/>
      <c r="ES553" s="92"/>
      <c r="ET553" s="92"/>
      <c r="EU553" s="92"/>
      <c r="EV553" s="92"/>
      <c r="EW553" s="92"/>
      <c r="EX553" s="92"/>
      <c r="EY553" s="92"/>
      <c r="EZ553" s="92"/>
      <c r="FA553" s="92"/>
      <c r="FB553" s="92"/>
      <c r="FC553" s="92"/>
      <c r="FD553" s="92"/>
      <c r="FE553" s="92"/>
      <c r="FF553" s="92"/>
      <c r="FG553" s="92"/>
      <c r="FH553" s="92"/>
    </row>
    <row r="554">
      <c r="A554" s="27" t="s">
        <v>38</v>
      </c>
      <c r="B554" s="27" t="s">
        <v>94</v>
      </c>
      <c r="C554" s="27" t="s">
        <v>15</v>
      </c>
      <c r="D554" s="98">
        <f t="shared" si="1"/>
        <v>4921.386253</v>
      </c>
      <c r="E554" s="92">
        <f>(SUBSTITUTE(Audio!E554, "RE-", "", 1))*1</f>
        <v>0</v>
      </c>
      <c r="F554" s="92">
        <f>(SUBSTITUTE(Audio!F554, "RE-", "", 1))*1</f>
        <v>243.809</v>
      </c>
      <c r="G554" s="92">
        <f>(SUBSTITUTE(Audio!G554, "RE-", "", 1))*1</f>
        <v>1.71565</v>
      </c>
      <c r="H554" s="92">
        <f>(SUBSTITUTE(Audio!H554, "RE-", "", 1))*1</f>
        <v>70.061</v>
      </c>
      <c r="I554" s="92">
        <f>(SUBSTITUTE(Audio!I554, "RE-", "", 1))*1</f>
        <v>0.272983</v>
      </c>
      <c r="J554" s="92">
        <f>(SUBSTITUTE(Audio!J554, "RE-", "", 1))*1</f>
        <v>528.397</v>
      </c>
      <c r="K554" s="92">
        <f>(SUBSTITUTE(Audio!K554, "RE-", "", 1))*1</f>
        <v>2.62062</v>
      </c>
      <c r="L554" s="92">
        <f>(SUBSTITUTE(Audio!L554, "RE-", "", 1))*1</f>
        <v>792.175</v>
      </c>
      <c r="M554" s="92">
        <f>(SUBSTITUTE(Audio!M554, "RE-", "", 1))*1</f>
        <v>14.8703</v>
      </c>
      <c r="N554" s="92">
        <f>(SUBSTITUTE(Audio!N554, "RE-", "", 1))*1</f>
        <v>2167.59</v>
      </c>
      <c r="O554" s="92">
        <f>(SUBSTITUTE(Audio!O554, "RE-", "", 1))*1</f>
        <v>14.0513</v>
      </c>
      <c r="P554" s="92">
        <f>(SUBSTITUTE(Audio!P554, "RE-", "", 1))*1</f>
        <v>446.279</v>
      </c>
      <c r="Q554" s="92">
        <f>(SUBSTITUTE(Audio!Q554, "RE-", "", 1))*1</f>
        <v>27.8935</v>
      </c>
      <c r="R554" s="92">
        <f>(SUBSTITUTE(Audio!R554, "RE-", "", 1))*1</f>
        <v>128.363</v>
      </c>
      <c r="S554" s="92">
        <f>(SUBSTITUTE(Audio!S554, "RE-", "", 1))*1</f>
        <v>14.9211</v>
      </c>
      <c r="T554" s="92">
        <f>(SUBSTITUTE(Audio!T554, "RE-", "", 1))*1</f>
        <v>448.65</v>
      </c>
      <c r="U554" s="92">
        <f>(SUBSTITUTE(Audio!U554, "RE-", "", 1))*1</f>
        <v>12.6106</v>
      </c>
      <c r="V554" s="92">
        <f>(SUBSTITUTE(Audio!V554, "RE-", "", 1))*1</f>
        <v>7.1062</v>
      </c>
      <c r="W554" s="92">
        <f>(SUBSTITUTE(Audio!W554, "RE-", "", 1))*1</f>
        <v>0</v>
      </c>
      <c r="X554" s="92">
        <f>(SUBSTITUTE(Audio!X554, "RE-", "", 1))*1</f>
        <v>0</v>
      </c>
      <c r="Y554" s="92">
        <f>(SUBSTITUTE(Audio!Y554, "RE-", "", 1))*1</f>
        <v>0</v>
      </c>
      <c r="Z554" s="92">
        <f>(SUBSTITUTE(Audio!Z554, "RE-", "", 1))*1</f>
        <v>0</v>
      </c>
      <c r="AA554" s="92"/>
      <c r="AB554" s="92"/>
      <c r="AC554" s="92"/>
      <c r="AD554" s="92"/>
      <c r="AE554" s="92"/>
      <c r="AF554" s="92"/>
      <c r="AG554" s="92"/>
      <c r="AH554" s="92"/>
      <c r="AI554" s="92"/>
      <c r="AJ554" s="92"/>
      <c r="AK554" s="92"/>
      <c r="AL554" s="92"/>
      <c r="AM554" s="92"/>
      <c r="AN554" s="92"/>
      <c r="AO554" s="92"/>
      <c r="AP554" s="92"/>
      <c r="AQ554" s="92"/>
      <c r="AR554" s="92"/>
      <c r="AS554" s="92"/>
      <c r="AT554" s="92"/>
      <c r="AU554" s="92"/>
      <c r="AV554" s="92"/>
      <c r="AW554" s="92"/>
      <c r="AX554" s="92"/>
      <c r="AY554" s="92"/>
      <c r="AZ554" s="92"/>
      <c r="BA554" s="92"/>
      <c r="BB554" s="92"/>
      <c r="BC554" s="92"/>
      <c r="BD554" s="92"/>
      <c r="BE554" s="92"/>
      <c r="BF554" s="92"/>
      <c r="BG554" s="92"/>
      <c r="BH554" s="92"/>
      <c r="BI554" s="92"/>
      <c r="BJ554" s="92"/>
      <c r="BK554" s="92"/>
      <c r="BL554" s="92"/>
      <c r="BM554" s="92"/>
      <c r="BN554" s="92"/>
      <c r="BO554" s="92"/>
      <c r="BP554" s="92"/>
      <c r="BQ554" s="92"/>
      <c r="BR554" s="92"/>
      <c r="BS554" s="92"/>
      <c r="BT554" s="92"/>
      <c r="BU554" s="92"/>
      <c r="BV554" s="92"/>
      <c r="BW554" s="92"/>
      <c r="BX554" s="92"/>
      <c r="BY554" s="92"/>
      <c r="BZ554" s="92"/>
      <c r="CA554" s="92"/>
      <c r="CB554" s="92"/>
      <c r="CC554" s="92"/>
      <c r="CD554" s="92"/>
      <c r="CE554" s="92"/>
      <c r="CF554" s="92"/>
      <c r="CG554" s="92"/>
      <c r="CH554" s="92"/>
      <c r="CI554" s="92"/>
      <c r="CJ554" s="92"/>
      <c r="CK554" s="92"/>
      <c r="CL554" s="92"/>
      <c r="CM554" s="92"/>
      <c r="CN554" s="92"/>
      <c r="CO554" s="92"/>
      <c r="CP554" s="92"/>
      <c r="CQ554" s="92"/>
      <c r="CR554" s="92"/>
      <c r="CS554" s="92"/>
      <c r="CT554" s="92"/>
      <c r="CU554" s="92"/>
      <c r="CV554" s="92"/>
      <c r="CW554" s="92"/>
      <c r="CX554" s="92"/>
      <c r="CY554" s="92"/>
      <c r="CZ554" s="92"/>
      <c r="DA554" s="92"/>
      <c r="DB554" s="92"/>
      <c r="DC554" s="92"/>
      <c r="DD554" s="92"/>
      <c r="DE554" s="92"/>
      <c r="DF554" s="92"/>
      <c r="DG554" s="92"/>
      <c r="DH554" s="92"/>
      <c r="DI554" s="92"/>
      <c r="DJ554" s="92"/>
      <c r="DK554" s="92"/>
      <c r="DL554" s="92"/>
      <c r="DM554" s="92"/>
      <c r="DN554" s="92"/>
      <c r="DO554" s="92"/>
      <c r="DP554" s="92"/>
      <c r="DQ554" s="92"/>
      <c r="DR554" s="92"/>
      <c r="DS554" s="92"/>
      <c r="DT554" s="92"/>
      <c r="DU554" s="92"/>
      <c r="DV554" s="92"/>
      <c r="DW554" s="92"/>
      <c r="DX554" s="92"/>
      <c r="DY554" s="92"/>
      <c r="DZ554" s="92"/>
      <c r="EA554" s="92"/>
      <c r="EB554" s="92"/>
      <c r="EC554" s="92"/>
      <c r="ED554" s="92"/>
      <c r="EE554" s="92"/>
      <c r="EF554" s="92"/>
      <c r="EG554" s="92"/>
      <c r="EH554" s="92"/>
      <c r="EI554" s="92"/>
      <c r="EJ554" s="92"/>
      <c r="EK554" s="92"/>
      <c r="EL554" s="92"/>
      <c r="EM554" s="92"/>
      <c r="EN554" s="92"/>
      <c r="EO554" s="92"/>
      <c r="EP554" s="92"/>
      <c r="EQ554" s="92"/>
      <c r="ER554" s="92"/>
      <c r="ES554" s="92"/>
      <c r="ET554" s="92"/>
      <c r="EU554" s="92"/>
      <c r="EV554" s="92"/>
      <c r="EW554" s="92"/>
      <c r="EX554" s="92"/>
      <c r="EY554" s="92"/>
      <c r="EZ554" s="92"/>
      <c r="FA554" s="92"/>
      <c r="FB554" s="92"/>
      <c r="FC554" s="92"/>
      <c r="FD554" s="92"/>
      <c r="FE554" s="92"/>
      <c r="FF554" s="92"/>
      <c r="FG554" s="92"/>
      <c r="FH554" s="92"/>
    </row>
    <row r="555">
      <c r="A555" s="30" t="s">
        <v>38</v>
      </c>
      <c r="B555" s="30" t="s">
        <v>95</v>
      </c>
      <c r="C555" s="31" t="str">
        <f>HYPERLINK("https://docs.google.com/spreadsheets/d/1lc6yQ8V9c19DzcyDCVX9kB9Q8q2UE1G7/edit?usp=share_link&amp;ouid=106501987799020758802&amp;rtpof=true&amp;sd=true", "Raw Delivered")</f>
        <v>Raw Delivered</v>
      </c>
      <c r="D555" s="96">
        <f t="shared" si="1"/>
        <v>5804.927488</v>
      </c>
      <c r="E555" s="92">
        <f>(SUBSTITUTE(Audio!E555, "RE-", "", 1))*1</f>
        <v>0</v>
      </c>
      <c r="F555" s="92">
        <f>(SUBSTITUTE(Audio!F555, "RE-", "", 1))*1</f>
        <v>838.9677531</v>
      </c>
      <c r="G555" s="92">
        <f>(SUBSTITUTE(Audio!G555, "RE-", "", 1))*1</f>
        <v>0</v>
      </c>
      <c r="H555" s="92">
        <f>(SUBSTITUTE(Audio!H555, "RE-", "", 1))*1</f>
        <v>74.13088958</v>
      </c>
      <c r="I555" s="92">
        <f>(SUBSTITUTE(Audio!I555, "RE-", "", 1))*1</f>
        <v>0</v>
      </c>
      <c r="J555" s="92">
        <f>(SUBSTITUTE(Audio!J555, "RE-", "", 1))*1</f>
        <v>1597.432428</v>
      </c>
      <c r="K555" s="92">
        <f>(SUBSTITUTE(Audio!K555, "RE-", "", 1))*1</f>
        <v>0</v>
      </c>
      <c r="L555" s="92">
        <f>(SUBSTITUTE(Audio!L555, "RE-", "", 1))*1</f>
        <v>743.107501</v>
      </c>
      <c r="M555" s="92">
        <f>(SUBSTITUTE(Audio!M555, "RE-", "", 1))*1</f>
        <v>0</v>
      </c>
      <c r="N555" s="92">
        <f>(SUBSTITUTE(Audio!N555, "RE-", "", 1))*1</f>
        <v>1218.82401</v>
      </c>
      <c r="O555" s="92">
        <f>(SUBSTITUTE(Audio!O555, "RE-", "", 1))*1</f>
        <v>0</v>
      </c>
      <c r="P555" s="92">
        <f>(SUBSTITUTE(Audio!P555, "RE-", "", 1))*1</f>
        <v>993.9468479</v>
      </c>
      <c r="Q555" s="92">
        <f>(SUBSTITUTE(Audio!Q555, "RE-", "", 1))*1</f>
        <v>0</v>
      </c>
      <c r="R555" s="92">
        <f>(SUBSTITUTE(Audio!R555, "RE-", "", 1))*1</f>
        <v>77.53015104</v>
      </c>
      <c r="S555" s="92">
        <f>(SUBSTITUTE(Audio!S555, "RE-", "", 1))*1</f>
        <v>0</v>
      </c>
      <c r="T555" s="92">
        <f>(SUBSTITUTE(Audio!T555, "RE-", "", 1))*1</f>
        <v>260.9879073</v>
      </c>
      <c r="U555" s="92">
        <f>(SUBSTITUTE(Audio!U555, "RE-", "", 1))*1</f>
        <v>0</v>
      </c>
      <c r="V555" s="92">
        <f>(SUBSTITUTE(Audio!V555, "RE-", "", 1))*1</f>
        <v>0</v>
      </c>
      <c r="W555" s="92">
        <f>(SUBSTITUTE(Audio!W555, "RE-", "", 1))*1</f>
        <v>0</v>
      </c>
      <c r="X555" s="92">
        <f>(SUBSTITUTE(Audio!X555, "RE-", "", 1))*1</f>
        <v>0</v>
      </c>
      <c r="Y555" s="92">
        <f>(SUBSTITUTE(Audio!Y555, "RE-", "", 1))*1</f>
        <v>0</v>
      </c>
      <c r="Z555" s="92">
        <f>(SUBSTITUTE(Audio!Z555, "RE-", "", 1))*1</f>
        <v>0</v>
      </c>
      <c r="AA555" s="92"/>
      <c r="AB555" s="92"/>
      <c r="AC555" s="92"/>
      <c r="AD555" s="92"/>
      <c r="AE555" s="92"/>
      <c r="AF555" s="92"/>
      <c r="AG555" s="92"/>
      <c r="AH555" s="92"/>
      <c r="AI555" s="92"/>
      <c r="AJ555" s="92"/>
      <c r="AK555" s="92"/>
      <c r="AL555" s="92"/>
      <c r="AM555" s="92"/>
      <c r="AN555" s="92"/>
      <c r="AO555" s="92"/>
      <c r="AP555" s="92"/>
      <c r="AQ555" s="92"/>
      <c r="AR555" s="92"/>
      <c r="AS555" s="92"/>
      <c r="AT555" s="92"/>
      <c r="AU555" s="92"/>
      <c r="AV555" s="92"/>
      <c r="AW555" s="92"/>
      <c r="AX555" s="92"/>
      <c r="AY555" s="92"/>
      <c r="AZ555" s="92"/>
      <c r="BA555" s="92"/>
      <c r="BB555" s="92"/>
      <c r="BC555" s="92"/>
      <c r="BD555" s="92"/>
      <c r="BE555" s="92"/>
      <c r="BF555" s="92"/>
      <c r="BG555" s="92"/>
      <c r="BH555" s="92"/>
      <c r="BI555" s="92"/>
      <c r="BJ555" s="92"/>
      <c r="BK555" s="92"/>
      <c r="BL555" s="92"/>
      <c r="BM555" s="92"/>
      <c r="BN555" s="92"/>
      <c r="BO555" s="92"/>
      <c r="BP555" s="92"/>
      <c r="BQ555" s="92"/>
      <c r="BR555" s="92"/>
      <c r="BS555" s="92"/>
      <c r="BT555" s="92"/>
      <c r="BU555" s="92"/>
      <c r="BV555" s="92"/>
      <c r="BW555" s="92"/>
      <c r="BX555" s="92"/>
      <c r="BY555" s="92"/>
      <c r="BZ555" s="92"/>
      <c r="CA555" s="92"/>
      <c r="CB555" s="92"/>
      <c r="CC555" s="92"/>
      <c r="CD555" s="92"/>
      <c r="CE555" s="92"/>
      <c r="CF555" s="92"/>
      <c r="CG555" s="92"/>
      <c r="CH555" s="92"/>
      <c r="CI555" s="92"/>
      <c r="CJ555" s="92"/>
      <c r="CK555" s="92"/>
      <c r="CL555" s="92"/>
      <c r="CM555" s="92"/>
      <c r="CN555" s="92"/>
      <c r="CO555" s="92"/>
      <c r="CP555" s="92"/>
      <c r="CQ555" s="92"/>
      <c r="CR555" s="92"/>
      <c r="CS555" s="92"/>
      <c r="CT555" s="92"/>
      <c r="CU555" s="92"/>
      <c r="CV555" s="92"/>
      <c r="CW555" s="92"/>
      <c r="CX555" s="92"/>
      <c r="CY555" s="92"/>
      <c r="CZ555" s="92"/>
      <c r="DA555" s="92"/>
      <c r="DB555" s="92"/>
      <c r="DC555" s="92"/>
      <c r="DD555" s="92"/>
      <c r="DE555" s="92"/>
      <c r="DF555" s="92"/>
      <c r="DG555" s="92"/>
      <c r="DH555" s="92"/>
      <c r="DI555" s="92"/>
      <c r="DJ555" s="92"/>
      <c r="DK555" s="92"/>
      <c r="DL555" s="92"/>
      <c r="DM555" s="92"/>
      <c r="DN555" s="92"/>
      <c r="DO555" s="92"/>
      <c r="DP555" s="92"/>
      <c r="DQ555" s="92"/>
      <c r="DR555" s="92"/>
      <c r="DS555" s="92"/>
      <c r="DT555" s="92"/>
      <c r="DU555" s="92"/>
      <c r="DV555" s="92"/>
      <c r="DW555" s="92"/>
      <c r="DX555" s="92"/>
      <c r="DY555" s="92"/>
      <c r="DZ555" s="92"/>
      <c r="EA555" s="92"/>
      <c r="EB555" s="92"/>
      <c r="EC555" s="92"/>
      <c r="ED555" s="92"/>
      <c r="EE555" s="92"/>
      <c r="EF555" s="92"/>
      <c r="EG555" s="92"/>
      <c r="EH555" s="92"/>
      <c r="EI555" s="92"/>
      <c r="EJ555" s="92"/>
      <c r="EK555" s="92"/>
      <c r="EL555" s="92"/>
      <c r="EM555" s="92"/>
      <c r="EN555" s="92"/>
      <c r="EO555" s="92"/>
      <c r="EP555" s="92"/>
      <c r="EQ555" s="92"/>
      <c r="ER555" s="92"/>
      <c r="ES555" s="92"/>
      <c r="ET555" s="92"/>
      <c r="EU555" s="92"/>
      <c r="EV555" s="92"/>
      <c r="EW555" s="92"/>
      <c r="EX555" s="92"/>
      <c r="EY555" s="92"/>
      <c r="EZ555" s="92"/>
      <c r="FA555" s="92"/>
      <c r="FB555" s="92"/>
      <c r="FC555" s="92"/>
      <c r="FD555" s="92"/>
      <c r="FE555" s="92"/>
      <c r="FF555" s="92"/>
      <c r="FG555" s="92"/>
      <c r="FH555" s="92"/>
    </row>
    <row r="556">
      <c r="A556" s="32" t="s">
        <v>38</v>
      </c>
      <c r="B556" s="32" t="s">
        <v>95</v>
      </c>
      <c r="C556" s="32" t="s">
        <v>9</v>
      </c>
      <c r="D556" s="97">
        <f t="shared" si="1"/>
        <v>5804.927488</v>
      </c>
      <c r="E556" s="92">
        <f>(SUBSTITUTE(Audio!E556, "RE-", "", 1))*1</f>
        <v>0</v>
      </c>
      <c r="F556" s="92">
        <f>(SUBSTITUTE(Audio!F556, "RE-", "", 1))*1</f>
        <v>838.9677531</v>
      </c>
      <c r="G556" s="92">
        <f>(SUBSTITUTE(Audio!G556, "RE-", "", 1))*1</f>
        <v>0</v>
      </c>
      <c r="H556" s="92">
        <f>(SUBSTITUTE(Audio!H556, "RE-", "", 1))*1</f>
        <v>74.13088958</v>
      </c>
      <c r="I556" s="92">
        <f>(SUBSTITUTE(Audio!I556, "RE-", "", 1))*1</f>
        <v>0</v>
      </c>
      <c r="J556" s="92">
        <f>(SUBSTITUTE(Audio!J556, "RE-", "", 1))*1</f>
        <v>1597.432428</v>
      </c>
      <c r="K556" s="92">
        <f>(SUBSTITUTE(Audio!K556, "RE-", "", 1))*1</f>
        <v>0</v>
      </c>
      <c r="L556" s="92">
        <f>(SUBSTITUTE(Audio!L556, "RE-", "", 1))*1</f>
        <v>743.107501</v>
      </c>
      <c r="M556" s="92">
        <f>(SUBSTITUTE(Audio!M556, "RE-", "", 1))*1</f>
        <v>0</v>
      </c>
      <c r="N556" s="92">
        <f>(SUBSTITUTE(Audio!N556, "RE-", "", 1))*1</f>
        <v>1218.82401</v>
      </c>
      <c r="O556" s="92">
        <f>(SUBSTITUTE(Audio!O556, "RE-", "", 1))*1</f>
        <v>0</v>
      </c>
      <c r="P556" s="92">
        <f>(SUBSTITUTE(Audio!P556, "RE-", "", 1))*1</f>
        <v>993.9468479</v>
      </c>
      <c r="Q556" s="92">
        <f>(SUBSTITUTE(Audio!Q556, "RE-", "", 1))*1</f>
        <v>0</v>
      </c>
      <c r="R556" s="92">
        <f>(SUBSTITUTE(Audio!R556, "RE-", "", 1))*1</f>
        <v>77.53015104</v>
      </c>
      <c r="S556" s="92">
        <f>(SUBSTITUTE(Audio!S556, "RE-", "", 1))*1</f>
        <v>0</v>
      </c>
      <c r="T556" s="92">
        <f>(SUBSTITUTE(Audio!T556, "RE-", "", 1))*1</f>
        <v>260.9879073</v>
      </c>
      <c r="U556" s="92">
        <f>(SUBSTITUTE(Audio!U556, "RE-", "", 1))*1</f>
        <v>0</v>
      </c>
      <c r="V556" s="92">
        <f>(SUBSTITUTE(Audio!V556, "RE-", "", 1))*1</f>
        <v>0</v>
      </c>
      <c r="W556" s="92">
        <f>(SUBSTITUTE(Audio!W556, "RE-", "", 1))*1</f>
        <v>0</v>
      </c>
      <c r="X556" s="92">
        <f>(SUBSTITUTE(Audio!X556, "RE-", "", 1))*1</f>
        <v>0</v>
      </c>
      <c r="Y556" s="92">
        <f>(SUBSTITUTE(Audio!Y556, "RE-", "", 1))*1</f>
        <v>0</v>
      </c>
      <c r="Z556" s="92">
        <f>(SUBSTITUTE(Audio!Z556, "RE-", "", 1))*1</f>
        <v>0</v>
      </c>
      <c r="AA556" s="92"/>
      <c r="AB556" s="92"/>
      <c r="AC556" s="92"/>
      <c r="AD556" s="92"/>
      <c r="AE556" s="92"/>
      <c r="AF556" s="92"/>
      <c r="AG556" s="92"/>
      <c r="AH556" s="92"/>
      <c r="AI556" s="92"/>
      <c r="AJ556" s="92"/>
      <c r="AK556" s="92"/>
      <c r="AL556" s="92"/>
      <c r="AM556" s="92"/>
      <c r="AN556" s="92"/>
      <c r="AO556" s="92"/>
      <c r="AP556" s="92"/>
      <c r="AQ556" s="92"/>
      <c r="AR556" s="92"/>
      <c r="AS556" s="92"/>
      <c r="AT556" s="92"/>
      <c r="AU556" s="92"/>
      <c r="AV556" s="92"/>
      <c r="AW556" s="92"/>
      <c r="AX556" s="92"/>
      <c r="AY556" s="92"/>
      <c r="AZ556" s="92"/>
      <c r="BA556" s="92"/>
      <c r="BB556" s="92"/>
      <c r="BC556" s="92"/>
      <c r="BD556" s="92"/>
      <c r="BE556" s="92"/>
      <c r="BF556" s="92"/>
      <c r="BG556" s="92"/>
      <c r="BH556" s="92"/>
      <c r="BI556" s="92"/>
      <c r="BJ556" s="92"/>
      <c r="BK556" s="92"/>
      <c r="BL556" s="92"/>
      <c r="BM556" s="92"/>
      <c r="BN556" s="92"/>
      <c r="BO556" s="92"/>
      <c r="BP556" s="92"/>
      <c r="BQ556" s="92"/>
      <c r="BR556" s="92"/>
      <c r="BS556" s="92"/>
      <c r="BT556" s="92"/>
      <c r="BU556" s="92"/>
      <c r="BV556" s="92"/>
      <c r="BW556" s="92"/>
      <c r="BX556" s="92"/>
      <c r="BY556" s="92"/>
      <c r="BZ556" s="92"/>
      <c r="CA556" s="92"/>
      <c r="CB556" s="92"/>
      <c r="CC556" s="92"/>
      <c r="CD556" s="92"/>
      <c r="CE556" s="92"/>
      <c r="CF556" s="92"/>
      <c r="CG556" s="92"/>
      <c r="CH556" s="92"/>
      <c r="CI556" s="92"/>
      <c r="CJ556" s="92"/>
      <c r="CK556" s="92"/>
      <c r="CL556" s="92"/>
      <c r="CM556" s="92"/>
      <c r="CN556" s="92"/>
      <c r="CO556" s="92"/>
      <c r="CP556" s="92"/>
      <c r="CQ556" s="92"/>
      <c r="CR556" s="92"/>
      <c r="CS556" s="92"/>
      <c r="CT556" s="92"/>
      <c r="CU556" s="92"/>
      <c r="CV556" s="92"/>
      <c r="CW556" s="92"/>
      <c r="CX556" s="92"/>
      <c r="CY556" s="92"/>
      <c r="CZ556" s="92"/>
      <c r="DA556" s="92"/>
      <c r="DB556" s="92"/>
      <c r="DC556" s="92"/>
      <c r="DD556" s="92"/>
      <c r="DE556" s="92"/>
      <c r="DF556" s="92"/>
      <c r="DG556" s="92"/>
      <c r="DH556" s="92"/>
      <c r="DI556" s="92"/>
      <c r="DJ556" s="92"/>
      <c r="DK556" s="92"/>
      <c r="DL556" s="92"/>
      <c r="DM556" s="92"/>
      <c r="DN556" s="92"/>
      <c r="DO556" s="92"/>
      <c r="DP556" s="92"/>
      <c r="DQ556" s="92"/>
      <c r="DR556" s="92"/>
      <c r="DS556" s="92"/>
      <c r="DT556" s="92"/>
      <c r="DU556" s="92"/>
      <c r="DV556" s="92"/>
      <c r="DW556" s="92"/>
      <c r="DX556" s="92"/>
      <c r="DY556" s="92"/>
      <c r="DZ556" s="92"/>
      <c r="EA556" s="92"/>
      <c r="EB556" s="92"/>
      <c r="EC556" s="92"/>
      <c r="ED556" s="92"/>
      <c r="EE556" s="92"/>
      <c r="EF556" s="92"/>
      <c r="EG556" s="92"/>
      <c r="EH556" s="92"/>
      <c r="EI556" s="92"/>
      <c r="EJ556" s="92"/>
      <c r="EK556" s="92"/>
      <c r="EL556" s="92"/>
      <c r="EM556" s="92"/>
      <c r="EN556" s="92"/>
      <c r="EO556" s="92"/>
      <c r="EP556" s="92"/>
      <c r="EQ556" s="92"/>
      <c r="ER556" s="92"/>
      <c r="ES556" s="92"/>
      <c r="ET556" s="92"/>
      <c r="EU556" s="92"/>
      <c r="EV556" s="92"/>
      <c r="EW556" s="92"/>
      <c r="EX556" s="92"/>
      <c r="EY556" s="92"/>
      <c r="EZ556" s="92"/>
      <c r="FA556" s="92"/>
      <c r="FB556" s="92"/>
      <c r="FC556" s="92"/>
      <c r="FD556" s="92"/>
      <c r="FE556" s="92"/>
      <c r="FF556" s="92"/>
      <c r="FG556" s="92"/>
      <c r="FH556" s="92"/>
    </row>
    <row r="557">
      <c r="A557" s="32" t="s">
        <v>38</v>
      </c>
      <c r="B557" s="32" t="s">
        <v>95</v>
      </c>
      <c r="C557" s="32" t="s">
        <v>10</v>
      </c>
      <c r="D557" s="97">
        <f t="shared" si="1"/>
        <v>676.276576</v>
      </c>
      <c r="E557" s="92">
        <f>(SUBSTITUTE(Audio!E557, "RE-", "", 1))*1</f>
        <v>0</v>
      </c>
      <c r="F557" s="92">
        <f>(SUBSTITUTE(Audio!F557, "RE-", "", 1))*1</f>
        <v>0</v>
      </c>
      <c r="G557" s="92">
        <f>(SUBSTITUTE(Audio!G557, "RE-", "", 1))*1</f>
        <v>85.24252083</v>
      </c>
      <c r="H557" s="92">
        <f>(SUBSTITUTE(Audio!H557, "RE-", "", 1))*1</f>
        <v>0</v>
      </c>
      <c r="I557" s="92">
        <f>(SUBSTITUTE(Audio!I557, "RE-", "", 1))*1</f>
        <v>8.031322917</v>
      </c>
      <c r="J557" s="92">
        <f>(SUBSTITUTE(Audio!J557, "RE-", "", 1))*1</f>
        <v>0</v>
      </c>
      <c r="K557" s="92">
        <f>(SUBSTITUTE(Audio!K557, "RE-", "", 1))*1</f>
        <v>168.5554333</v>
      </c>
      <c r="L557" s="92">
        <f>(SUBSTITUTE(Audio!L557, "RE-", "", 1))*1</f>
        <v>0</v>
      </c>
      <c r="M557" s="92">
        <f>(SUBSTITUTE(Audio!M557, "RE-", "", 1))*1</f>
        <v>58.07090208</v>
      </c>
      <c r="N557" s="92">
        <f>(SUBSTITUTE(Audio!N557, "RE-", "", 1))*1</f>
        <v>0</v>
      </c>
      <c r="O557" s="92">
        <f>(SUBSTITUTE(Audio!O557, "RE-", "", 1))*1</f>
        <v>179.2714094</v>
      </c>
      <c r="P557" s="92">
        <f>(SUBSTITUTE(Audio!P557, "RE-", "", 1))*1</f>
        <v>0</v>
      </c>
      <c r="Q557" s="92">
        <f>(SUBSTITUTE(Audio!Q557, "RE-", "", 1))*1</f>
        <v>108.3196458</v>
      </c>
      <c r="R557" s="92">
        <f>(SUBSTITUTE(Audio!R557, "RE-", "", 1))*1</f>
        <v>0</v>
      </c>
      <c r="S557" s="92">
        <f>(SUBSTITUTE(Audio!S557, "RE-", "", 1))*1</f>
        <v>37.622825</v>
      </c>
      <c r="T557" s="92">
        <f>(SUBSTITUTE(Audio!T557, "RE-", "", 1))*1</f>
        <v>0</v>
      </c>
      <c r="U557" s="92">
        <f>(SUBSTITUTE(Audio!U557, "RE-", "", 1))*1</f>
        <v>23.49747083</v>
      </c>
      <c r="V557" s="92">
        <f>(SUBSTITUTE(Audio!V557, "RE-", "", 1))*1</f>
        <v>7.665045833</v>
      </c>
      <c r="W557" s="92">
        <f>(SUBSTITUTE(Audio!W557, "RE-", "", 1))*1</f>
        <v>0</v>
      </c>
      <c r="X557" s="92">
        <f>(SUBSTITUTE(Audio!X557, "RE-", "", 1))*1</f>
        <v>0</v>
      </c>
      <c r="Y557" s="92">
        <f>(SUBSTITUTE(Audio!Y557, "RE-", "", 1))*1</f>
        <v>0</v>
      </c>
      <c r="Z557" s="92">
        <f>(SUBSTITUTE(Audio!Z557, "RE-", "", 1))*1</f>
        <v>0</v>
      </c>
      <c r="AA557" s="92"/>
      <c r="AB557" s="92"/>
      <c r="AC557" s="92"/>
      <c r="AD557" s="92"/>
      <c r="AE557" s="92"/>
      <c r="AF557" s="92"/>
      <c r="AG557" s="92"/>
      <c r="AH557" s="92"/>
      <c r="AI557" s="92"/>
      <c r="AJ557" s="92"/>
      <c r="AK557" s="92"/>
      <c r="AL557" s="92"/>
      <c r="AM557" s="92"/>
      <c r="AN557" s="92"/>
      <c r="AO557" s="92"/>
      <c r="AP557" s="92"/>
      <c r="AQ557" s="92"/>
      <c r="AR557" s="92"/>
      <c r="AS557" s="92"/>
      <c r="AT557" s="92"/>
      <c r="AU557" s="92"/>
      <c r="AV557" s="92"/>
      <c r="AW557" s="92"/>
      <c r="AX557" s="92"/>
      <c r="AY557" s="92"/>
      <c r="AZ557" s="92"/>
      <c r="BA557" s="92"/>
      <c r="BB557" s="92"/>
      <c r="BC557" s="92"/>
      <c r="BD557" s="92"/>
      <c r="BE557" s="92"/>
      <c r="BF557" s="92"/>
      <c r="BG557" s="92"/>
      <c r="BH557" s="92"/>
      <c r="BI557" s="92"/>
      <c r="BJ557" s="92"/>
      <c r="BK557" s="92"/>
      <c r="BL557" s="92"/>
      <c r="BM557" s="92"/>
      <c r="BN557" s="92"/>
      <c r="BO557" s="92"/>
      <c r="BP557" s="92"/>
      <c r="BQ557" s="92"/>
      <c r="BR557" s="92"/>
      <c r="BS557" s="92"/>
      <c r="BT557" s="92"/>
      <c r="BU557" s="92"/>
      <c r="BV557" s="92"/>
      <c r="BW557" s="92"/>
      <c r="BX557" s="92"/>
      <c r="BY557" s="92"/>
      <c r="BZ557" s="92"/>
      <c r="CA557" s="92"/>
      <c r="CB557" s="92"/>
      <c r="CC557" s="92"/>
      <c r="CD557" s="92"/>
      <c r="CE557" s="92"/>
      <c r="CF557" s="92"/>
      <c r="CG557" s="92"/>
      <c r="CH557" s="92"/>
      <c r="CI557" s="92"/>
      <c r="CJ557" s="92"/>
      <c r="CK557" s="92"/>
      <c r="CL557" s="92"/>
      <c r="CM557" s="92"/>
      <c r="CN557" s="92"/>
      <c r="CO557" s="92"/>
      <c r="CP557" s="92"/>
      <c r="CQ557" s="92"/>
      <c r="CR557" s="92"/>
      <c r="CS557" s="92"/>
      <c r="CT557" s="92"/>
      <c r="CU557" s="92"/>
      <c r="CV557" s="92"/>
      <c r="CW557" s="92"/>
      <c r="CX557" s="92"/>
      <c r="CY557" s="92"/>
      <c r="CZ557" s="92"/>
      <c r="DA557" s="92"/>
      <c r="DB557" s="92"/>
      <c r="DC557" s="92"/>
      <c r="DD557" s="92"/>
      <c r="DE557" s="92"/>
      <c r="DF557" s="92"/>
      <c r="DG557" s="92"/>
      <c r="DH557" s="92"/>
      <c r="DI557" s="92"/>
      <c r="DJ557" s="92"/>
      <c r="DK557" s="92"/>
      <c r="DL557" s="92"/>
      <c r="DM557" s="92"/>
      <c r="DN557" s="92"/>
      <c r="DO557" s="92"/>
      <c r="DP557" s="92"/>
      <c r="DQ557" s="92"/>
      <c r="DR557" s="92"/>
      <c r="DS557" s="92"/>
      <c r="DT557" s="92"/>
      <c r="DU557" s="92"/>
      <c r="DV557" s="92"/>
      <c r="DW557" s="92"/>
      <c r="DX557" s="92"/>
      <c r="DY557" s="92"/>
      <c r="DZ557" s="92"/>
      <c r="EA557" s="92"/>
      <c r="EB557" s="92"/>
      <c r="EC557" s="92"/>
      <c r="ED557" s="92"/>
      <c r="EE557" s="92"/>
      <c r="EF557" s="92"/>
      <c r="EG557" s="92"/>
      <c r="EH557" s="92"/>
      <c r="EI557" s="92"/>
      <c r="EJ557" s="92"/>
      <c r="EK557" s="92"/>
      <c r="EL557" s="92"/>
      <c r="EM557" s="92"/>
      <c r="EN557" s="92"/>
      <c r="EO557" s="92"/>
      <c r="EP557" s="92"/>
      <c r="EQ557" s="92"/>
      <c r="ER557" s="92"/>
      <c r="ES557" s="92"/>
      <c r="ET557" s="92"/>
      <c r="EU557" s="92"/>
      <c r="EV557" s="92"/>
      <c r="EW557" s="92"/>
      <c r="EX557" s="92"/>
      <c r="EY557" s="92"/>
      <c r="EZ557" s="92"/>
      <c r="FA557" s="92"/>
      <c r="FB557" s="92"/>
      <c r="FC557" s="92"/>
      <c r="FD557" s="92"/>
      <c r="FE557" s="92"/>
      <c r="FF557" s="92"/>
      <c r="FG557" s="92"/>
      <c r="FH557" s="92"/>
    </row>
    <row r="558">
      <c r="A558" s="32" t="s">
        <v>38</v>
      </c>
      <c r="B558" s="32" t="s">
        <v>95</v>
      </c>
      <c r="C558" s="32" t="s">
        <v>11</v>
      </c>
      <c r="D558" s="97">
        <f t="shared" si="1"/>
        <v>676.276576</v>
      </c>
      <c r="E558" s="92">
        <f>(SUBSTITUTE(Audio!E558, "RE-", "", 1))*1</f>
        <v>0</v>
      </c>
      <c r="F558" s="92">
        <f>(SUBSTITUTE(Audio!F558, "RE-", "", 1))*1</f>
        <v>0</v>
      </c>
      <c r="G558" s="92">
        <f>(SUBSTITUTE(Audio!G558, "RE-", "", 1))*1</f>
        <v>85.24252083</v>
      </c>
      <c r="H558" s="92">
        <f>(SUBSTITUTE(Audio!H558, "RE-", "", 1))*1</f>
        <v>0</v>
      </c>
      <c r="I558" s="92">
        <f>(SUBSTITUTE(Audio!I558, "RE-", "", 1))*1</f>
        <v>8.031322917</v>
      </c>
      <c r="J558" s="92">
        <f>(SUBSTITUTE(Audio!J558, "RE-", "", 1))*1</f>
        <v>0</v>
      </c>
      <c r="K558" s="92">
        <f>(SUBSTITUTE(Audio!K558, "RE-", "", 1))*1</f>
        <v>168.5554333</v>
      </c>
      <c r="L558" s="92">
        <f>(SUBSTITUTE(Audio!L558, "RE-", "", 1))*1</f>
        <v>0</v>
      </c>
      <c r="M558" s="92">
        <f>(SUBSTITUTE(Audio!M558, "RE-", "", 1))*1</f>
        <v>58.07090208</v>
      </c>
      <c r="N558" s="92">
        <f>(SUBSTITUTE(Audio!N558, "RE-", "", 1))*1</f>
        <v>0</v>
      </c>
      <c r="O558" s="92">
        <f>(SUBSTITUTE(Audio!O558, "RE-", "", 1))*1</f>
        <v>179.2714094</v>
      </c>
      <c r="P558" s="92">
        <f>(SUBSTITUTE(Audio!P558, "RE-", "", 1))*1</f>
        <v>0</v>
      </c>
      <c r="Q558" s="92">
        <f>(SUBSTITUTE(Audio!Q558, "RE-", "", 1))*1</f>
        <v>108.3196458</v>
      </c>
      <c r="R558" s="92">
        <f>(SUBSTITUTE(Audio!R558, "RE-", "", 1))*1</f>
        <v>0</v>
      </c>
      <c r="S558" s="92">
        <f>(SUBSTITUTE(Audio!S558, "RE-", "", 1))*1</f>
        <v>37.622825</v>
      </c>
      <c r="T558" s="92">
        <f>(SUBSTITUTE(Audio!T558, "RE-", "", 1))*1</f>
        <v>0</v>
      </c>
      <c r="U558" s="92">
        <f>(SUBSTITUTE(Audio!U558, "RE-", "", 1))*1</f>
        <v>23.49747083</v>
      </c>
      <c r="V558" s="92">
        <f>(SUBSTITUTE(Audio!V558, "RE-", "", 1))*1</f>
        <v>7.665045833</v>
      </c>
      <c r="W558" s="92">
        <f>(SUBSTITUTE(Audio!W558, "RE-", "", 1))*1</f>
        <v>0</v>
      </c>
      <c r="X558" s="92">
        <f>(SUBSTITUTE(Audio!X558, "RE-", "", 1))*1</f>
        <v>0</v>
      </c>
      <c r="Y558" s="92">
        <f>(SUBSTITUTE(Audio!Y558, "RE-", "", 1))*1</f>
        <v>0</v>
      </c>
      <c r="Z558" s="92">
        <f>(SUBSTITUTE(Audio!Z558, "RE-", "", 1))*1</f>
        <v>0</v>
      </c>
      <c r="AA558" s="92"/>
      <c r="AB558" s="92"/>
      <c r="AC558" s="92"/>
      <c r="AD558" s="92"/>
      <c r="AE558" s="92"/>
      <c r="AF558" s="92"/>
      <c r="AG558" s="92"/>
      <c r="AH558" s="92"/>
      <c r="AI558" s="92"/>
      <c r="AJ558" s="92"/>
      <c r="AK558" s="92"/>
      <c r="AL558" s="92"/>
      <c r="AM558" s="92"/>
      <c r="AN558" s="92"/>
      <c r="AO558" s="92"/>
      <c r="AP558" s="92"/>
      <c r="AQ558" s="92"/>
      <c r="AR558" s="92"/>
      <c r="AS558" s="92"/>
      <c r="AT558" s="92"/>
      <c r="AU558" s="92"/>
      <c r="AV558" s="92"/>
      <c r="AW558" s="92"/>
      <c r="AX558" s="92"/>
      <c r="AY558" s="92"/>
      <c r="AZ558" s="92"/>
      <c r="BA558" s="92"/>
      <c r="BB558" s="92"/>
      <c r="BC558" s="92"/>
      <c r="BD558" s="92"/>
      <c r="BE558" s="92"/>
      <c r="BF558" s="92"/>
      <c r="BG558" s="92"/>
      <c r="BH558" s="92"/>
      <c r="BI558" s="92"/>
      <c r="BJ558" s="92"/>
      <c r="BK558" s="92"/>
      <c r="BL558" s="92"/>
      <c r="BM558" s="92"/>
      <c r="BN558" s="92"/>
      <c r="BO558" s="92"/>
      <c r="BP558" s="92"/>
      <c r="BQ558" s="92"/>
      <c r="BR558" s="92"/>
      <c r="BS558" s="92"/>
      <c r="BT558" s="92"/>
      <c r="BU558" s="92"/>
      <c r="BV558" s="92"/>
      <c r="BW558" s="92"/>
      <c r="BX558" s="92"/>
      <c r="BY558" s="92"/>
      <c r="BZ558" s="92"/>
      <c r="CA558" s="92"/>
      <c r="CB558" s="92"/>
      <c r="CC558" s="92"/>
      <c r="CD558" s="92"/>
      <c r="CE558" s="92"/>
      <c r="CF558" s="92"/>
      <c r="CG558" s="92"/>
      <c r="CH558" s="92"/>
      <c r="CI558" s="92"/>
      <c r="CJ558" s="92"/>
      <c r="CK558" s="92"/>
      <c r="CL558" s="92"/>
      <c r="CM558" s="92"/>
      <c r="CN558" s="92"/>
      <c r="CO558" s="92"/>
      <c r="CP558" s="92"/>
      <c r="CQ558" s="92"/>
      <c r="CR558" s="92"/>
      <c r="CS558" s="92"/>
      <c r="CT558" s="92"/>
      <c r="CU558" s="92"/>
      <c r="CV558" s="92"/>
      <c r="CW558" s="92"/>
      <c r="CX558" s="92"/>
      <c r="CY558" s="92"/>
      <c r="CZ558" s="92"/>
      <c r="DA558" s="92"/>
      <c r="DB558" s="92"/>
      <c r="DC558" s="92"/>
      <c r="DD558" s="92"/>
      <c r="DE558" s="92"/>
      <c r="DF558" s="92"/>
      <c r="DG558" s="92"/>
      <c r="DH558" s="92"/>
      <c r="DI558" s="92"/>
      <c r="DJ558" s="92"/>
      <c r="DK558" s="92"/>
      <c r="DL558" s="92"/>
      <c r="DM558" s="92"/>
      <c r="DN558" s="92"/>
      <c r="DO558" s="92"/>
      <c r="DP558" s="92"/>
      <c r="DQ558" s="92"/>
      <c r="DR558" s="92"/>
      <c r="DS558" s="92"/>
      <c r="DT558" s="92"/>
      <c r="DU558" s="92"/>
      <c r="DV558" s="92"/>
      <c r="DW558" s="92"/>
      <c r="DX558" s="92"/>
      <c r="DY558" s="92"/>
      <c r="DZ558" s="92"/>
      <c r="EA558" s="92"/>
      <c r="EB558" s="92"/>
      <c r="EC558" s="92"/>
      <c r="ED558" s="92"/>
      <c r="EE558" s="92"/>
      <c r="EF558" s="92"/>
      <c r="EG558" s="92"/>
      <c r="EH558" s="92"/>
      <c r="EI558" s="92"/>
      <c r="EJ558" s="92"/>
      <c r="EK558" s="92"/>
      <c r="EL558" s="92"/>
      <c r="EM558" s="92"/>
      <c r="EN558" s="92"/>
      <c r="EO558" s="92"/>
      <c r="EP558" s="92"/>
      <c r="EQ558" s="92"/>
      <c r="ER558" s="92"/>
      <c r="ES558" s="92"/>
      <c r="ET558" s="92"/>
      <c r="EU558" s="92"/>
      <c r="EV558" s="92"/>
      <c r="EW558" s="92"/>
      <c r="EX558" s="92"/>
      <c r="EY558" s="92"/>
      <c r="EZ558" s="92"/>
      <c r="FA558" s="92"/>
      <c r="FB558" s="92"/>
      <c r="FC558" s="92"/>
      <c r="FD558" s="92"/>
      <c r="FE558" s="92"/>
      <c r="FF558" s="92"/>
      <c r="FG558" s="92"/>
      <c r="FH558" s="92"/>
    </row>
    <row r="559">
      <c r="A559" s="32" t="s">
        <v>38</v>
      </c>
      <c r="B559" s="32" t="s">
        <v>95</v>
      </c>
      <c r="C559" s="32" t="s">
        <v>12</v>
      </c>
      <c r="D559" s="97">
        <f t="shared" si="1"/>
        <v>4770.782953</v>
      </c>
      <c r="E559" s="92">
        <f>(SUBSTITUTE(Audio!E559, "RE-", "", 1))*1</f>
        <v>0</v>
      </c>
      <c r="F559" s="92">
        <f>(SUBSTITUTE(Audio!F559, "RE-", "", 1))*1</f>
        <v>674.2423927</v>
      </c>
      <c r="G559" s="92">
        <f>(SUBSTITUTE(Audio!G559, "RE-", "", 1))*1</f>
        <v>4.917475</v>
      </c>
      <c r="H559" s="92">
        <f>(SUBSTITUTE(Audio!H559, "RE-", "", 1))*1</f>
        <v>62.87604583</v>
      </c>
      <c r="I559" s="92">
        <f>(SUBSTITUTE(Audio!I559, "RE-", "", 1))*1</f>
        <v>0</v>
      </c>
      <c r="J559" s="92">
        <f>(SUBSTITUTE(Audio!J559, "RE-", "", 1))*1</f>
        <v>1256.965245</v>
      </c>
      <c r="K559" s="92">
        <f>(SUBSTITUTE(Audio!K559, "RE-", "", 1))*1</f>
        <v>13.48426875</v>
      </c>
      <c r="L559" s="92">
        <f>(SUBSTITUTE(Audio!L559, "RE-", "", 1))*1</f>
        <v>674.7731813</v>
      </c>
      <c r="M559" s="92">
        <f>(SUBSTITUTE(Audio!M559, "RE-", "", 1))*1</f>
        <v>17.37791042</v>
      </c>
      <c r="N559" s="92">
        <f>(SUBSTITUTE(Audio!N559, "RE-", "", 1))*1</f>
        <v>801.6201052</v>
      </c>
      <c r="O559" s="92">
        <f>(SUBSTITUTE(Audio!O559, "RE-", "", 1))*1</f>
        <v>6.64905625</v>
      </c>
      <c r="P559" s="92">
        <f>(SUBSTITUTE(Audio!P559, "RE-", "", 1))*1</f>
        <v>883.2825115</v>
      </c>
      <c r="Q559" s="92">
        <f>(SUBSTITUTE(Audio!Q559, "RE-", "", 1))*1</f>
        <v>33.78993646</v>
      </c>
      <c r="R559" s="92">
        <f>(SUBSTITUTE(Audio!R559, "RE-", "", 1))*1</f>
        <v>71.78487813</v>
      </c>
      <c r="S559" s="92">
        <f>(SUBSTITUTE(Audio!S559, "RE-", "", 1))*1</f>
        <v>24.87667292</v>
      </c>
      <c r="T559" s="92">
        <f>(SUBSTITUTE(Audio!T559, "RE-", "", 1))*1</f>
        <v>232.2614448</v>
      </c>
      <c r="U559" s="92">
        <f>(SUBSTITUTE(Audio!U559, "RE-", "", 1))*1</f>
        <v>8.321564583</v>
      </c>
      <c r="V559" s="92">
        <f>(SUBSTITUTE(Audio!V559, "RE-", "", 1))*1</f>
        <v>3.560264583</v>
      </c>
      <c r="W559" s="92">
        <f>(SUBSTITUTE(Audio!W559, "RE-", "", 1))*1</f>
        <v>0</v>
      </c>
      <c r="X559" s="92">
        <f>(SUBSTITUTE(Audio!X559, "RE-", "", 1))*1</f>
        <v>0</v>
      </c>
      <c r="Y559" s="92">
        <f>(SUBSTITUTE(Audio!Y559, "RE-", "", 1))*1</f>
        <v>0</v>
      </c>
      <c r="Z559" s="92">
        <f>(SUBSTITUTE(Audio!Z559, "RE-", "", 1))*1</f>
        <v>0</v>
      </c>
      <c r="AA559" s="92"/>
      <c r="AB559" s="92"/>
      <c r="AC559" s="92"/>
      <c r="AD559" s="92"/>
      <c r="AE559" s="92"/>
      <c r="AF559" s="92"/>
      <c r="AG559" s="92"/>
      <c r="AH559" s="92"/>
      <c r="AI559" s="92"/>
      <c r="AJ559" s="92"/>
      <c r="AK559" s="92"/>
      <c r="AL559" s="92"/>
      <c r="AM559" s="92"/>
      <c r="AN559" s="92"/>
      <c r="AO559" s="92"/>
      <c r="AP559" s="92"/>
      <c r="AQ559" s="92"/>
      <c r="AR559" s="92"/>
      <c r="AS559" s="92"/>
      <c r="AT559" s="92"/>
      <c r="AU559" s="92"/>
      <c r="AV559" s="92"/>
      <c r="AW559" s="92"/>
      <c r="AX559" s="92"/>
      <c r="AY559" s="92"/>
      <c r="AZ559" s="92"/>
      <c r="BA559" s="92"/>
      <c r="BB559" s="92"/>
      <c r="BC559" s="92"/>
      <c r="BD559" s="92"/>
      <c r="BE559" s="92"/>
      <c r="BF559" s="92"/>
      <c r="BG559" s="92"/>
      <c r="BH559" s="92"/>
      <c r="BI559" s="92"/>
      <c r="BJ559" s="92"/>
      <c r="BK559" s="92"/>
      <c r="BL559" s="92"/>
      <c r="BM559" s="92"/>
      <c r="BN559" s="92"/>
      <c r="BO559" s="92"/>
      <c r="BP559" s="92"/>
      <c r="BQ559" s="92"/>
      <c r="BR559" s="92"/>
      <c r="BS559" s="92"/>
      <c r="BT559" s="92"/>
      <c r="BU559" s="92"/>
      <c r="BV559" s="92"/>
      <c r="BW559" s="92"/>
      <c r="BX559" s="92"/>
      <c r="BY559" s="92"/>
      <c r="BZ559" s="92"/>
      <c r="CA559" s="92"/>
      <c r="CB559" s="92"/>
      <c r="CC559" s="92"/>
      <c r="CD559" s="92"/>
      <c r="CE559" s="92"/>
      <c r="CF559" s="92"/>
      <c r="CG559" s="92"/>
      <c r="CH559" s="92"/>
      <c r="CI559" s="92"/>
      <c r="CJ559" s="92"/>
      <c r="CK559" s="92"/>
      <c r="CL559" s="92"/>
      <c r="CM559" s="92"/>
      <c r="CN559" s="92"/>
      <c r="CO559" s="92"/>
      <c r="CP559" s="92"/>
      <c r="CQ559" s="92"/>
      <c r="CR559" s="92"/>
      <c r="CS559" s="92"/>
      <c r="CT559" s="92"/>
      <c r="CU559" s="92"/>
      <c r="CV559" s="92"/>
      <c r="CW559" s="92"/>
      <c r="CX559" s="92"/>
      <c r="CY559" s="92"/>
      <c r="CZ559" s="92"/>
      <c r="DA559" s="92"/>
      <c r="DB559" s="92"/>
      <c r="DC559" s="92"/>
      <c r="DD559" s="92"/>
      <c r="DE559" s="92"/>
      <c r="DF559" s="92"/>
      <c r="DG559" s="92"/>
      <c r="DH559" s="92"/>
      <c r="DI559" s="92"/>
      <c r="DJ559" s="92"/>
      <c r="DK559" s="92"/>
      <c r="DL559" s="92"/>
      <c r="DM559" s="92"/>
      <c r="DN559" s="92"/>
      <c r="DO559" s="92"/>
      <c r="DP559" s="92"/>
      <c r="DQ559" s="92"/>
      <c r="DR559" s="92"/>
      <c r="DS559" s="92"/>
      <c r="DT559" s="92"/>
      <c r="DU559" s="92"/>
      <c r="DV559" s="92"/>
      <c r="DW559" s="92"/>
      <c r="DX559" s="92"/>
      <c r="DY559" s="92"/>
      <c r="DZ559" s="92"/>
      <c r="EA559" s="92"/>
      <c r="EB559" s="92"/>
      <c r="EC559" s="92"/>
      <c r="ED559" s="92"/>
      <c r="EE559" s="92"/>
      <c r="EF559" s="92"/>
      <c r="EG559" s="92"/>
      <c r="EH559" s="92"/>
      <c r="EI559" s="92"/>
      <c r="EJ559" s="92"/>
      <c r="EK559" s="92"/>
      <c r="EL559" s="92"/>
      <c r="EM559" s="92"/>
      <c r="EN559" s="92"/>
      <c r="EO559" s="92"/>
      <c r="EP559" s="92"/>
      <c r="EQ559" s="92"/>
      <c r="ER559" s="92"/>
      <c r="ES559" s="92"/>
      <c r="ET559" s="92"/>
      <c r="EU559" s="92"/>
      <c r="EV559" s="92"/>
      <c r="EW559" s="92"/>
      <c r="EX559" s="92"/>
      <c r="EY559" s="92"/>
      <c r="EZ559" s="92"/>
      <c r="FA559" s="92"/>
      <c r="FB559" s="92"/>
      <c r="FC559" s="92"/>
      <c r="FD559" s="92"/>
      <c r="FE559" s="92"/>
      <c r="FF559" s="92"/>
      <c r="FG559" s="92"/>
      <c r="FH559" s="92"/>
    </row>
    <row r="560">
      <c r="A560" s="32" t="s">
        <v>38</v>
      </c>
      <c r="B560" s="32" t="s">
        <v>95</v>
      </c>
      <c r="C560" s="32" t="s">
        <v>13</v>
      </c>
      <c r="D560" s="97">
        <f t="shared" si="1"/>
        <v>4596.97971</v>
      </c>
      <c r="E560" s="92">
        <f>(SUBSTITUTE(Audio!E560, "RE-", "", 1))*1</f>
        <v>0</v>
      </c>
      <c r="F560" s="92">
        <f>(SUBSTITUTE(Audio!F560, "RE-", "", 1))*1</f>
        <v>655.369</v>
      </c>
      <c r="G560" s="92">
        <f>(SUBSTITUTE(Audio!G560, "RE-", "", 1))*1</f>
        <v>4.74602</v>
      </c>
      <c r="H560" s="92">
        <f>(SUBSTITUTE(Audio!H560, "RE-", "", 1))*1</f>
        <v>61.4755</v>
      </c>
      <c r="I560" s="92">
        <f>(SUBSTITUTE(Audio!I560, "RE-", "", 1))*1</f>
        <v>0</v>
      </c>
      <c r="J560" s="92">
        <f>(SUBSTITUTE(Audio!J560, "RE-", "", 1))*1</f>
        <v>1222.17</v>
      </c>
      <c r="K560" s="92">
        <f>(SUBSTITUTE(Audio!K560, "RE-", "", 1))*1</f>
        <v>12.7246</v>
      </c>
      <c r="L560" s="92">
        <f>(SUBSTITUTE(Audio!L560, "RE-", "", 1))*1</f>
        <v>644.739</v>
      </c>
      <c r="M560" s="92">
        <f>(SUBSTITUTE(Audio!M560, "RE-", "", 1))*1</f>
        <v>16.8462</v>
      </c>
      <c r="N560" s="92">
        <f>(SUBSTITUTE(Audio!N560, "RE-", "", 1))*1</f>
        <v>768.58</v>
      </c>
      <c r="O560" s="92">
        <f>(SUBSTITUTE(Audio!O560, "RE-", "", 1))*1</f>
        <v>6.2549</v>
      </c>
      <c r="P560" s="92">
        <f>(SUBSTITUTE(Audio!P560, "RE-", "", 1))*1</f>
        <v>844.33</v>
      </c>
      <c r="Q560" s="92">
        <f>(SUBSTITUTE(Audio!Q560, "RE-", "", 1))*1</f>
        <v>32.5744</v>
      </c>
      <c r="R560" s="92">
        <f>(SUBSTITUTE(Audio!R560, "RE-", "", 1))*1</f>
        <v>68.7256</v>
      </c>
      <c r="S560" s="92">
        <f>(SUBSTITUTE(Audio!S560, "RE-", "", 1))*1</f>
        <v>23.5537</v>
      </c>
      <c r="T560" s="92">
        <f>(SUBSTITUTE(Audio!T560, "RE-", "", 1))*1</f>
        <v>223.551</v>
      </c>
      <c r="U560" s="92">
        <f>(SUBSTITUTE(Audio!U560, "RE-", "", 1))*1</f>
        <v>8.05387</v>
      </c>
      <c r="V560" s="92">
        <f>(SUBSTITUTE(Audio!V560, "RE-", "", 1))*1</f>
        <v>3.28592</v>
      </c>
      <c r="W560" s="92">
        <f>(SUBSTITUTE(Audio!W560, "RE-", "", 1))*1</f>
        <v>0</v>
      </c>
      <c r="X560" s="92">
        <f>(SUBSTITUTE(Audio!X560, "RE-", "", 1))*1</f>
        <v>0</v>
      </c>
      <c r="Y560" s="92">
        <f>(SUBSTITUTE(Audio!Y560, "RE-", "", 1))*1</f>
        <v>0</v>
      </c>
      <c r="Z560" s="92">
        <f>(SUBSTITUTE(Audio!Z560, "RE-", "", 1))*1</f>
        <v>0</v>
      </c>
      <c r="AA560" s="92"/>
      <c r="AB560" s="92"/>
      <c r="AC560" s="92"/>
      <c r="AD560" s="92"/>
      <c r="AE560" s="92"/>
      <c r="AF560" s="92"/>
      <c r="AG560" s="92"/>
      <c r="AH560" s="92"/>
      <c r="AI560" s="92"/>
      <c r="AJ560" s="92"/>
      <c r="AK560" s="92"/>
      <c r="AL560" s="92"/>
      <c r="AM560" s="92"/>
      <c r="AN560" s="92"/>
      <c r="AO560" s="92"/>
      <c r="AP560" s="92"/>
      <c r="AQ560" s="92"/>
      <c r="AR560" s="92"/>
      <c r="AS560" s="92"/>
      <c r="AT560" s="92"/>
      <c r="AU560" s="92"/>
      <c r="AV560" s="92"/>
      <c r="AW560" s="92"/>
      <c r="AX560" s="92"/>
      <c r="AY560" s="92"/>
      <c r="AZ560" s="92"/>
      <c r="BA560" s="92"/>
      <c r="BB560" s="92"/>
      <c r="BC560" s="92"/>
      <c r="BD560" s="92"/>
      <c r="BE560" s="92"/>
      <c r="BF560" s="92"/>
      <c r="BG560" s="92"/>
      <c r="BH560" s="92"/>
      <c r="BI560" s="92"/>
      <c r="BJ560" s="92"/>
      <c r="BK560" s="92"/>
      <c r="BL560" s="92"/>
      <c r="BM560" s="92"/>
      <c r="BN560" s="92"/>
      <c r="BO560" s="92"/>
      <c r="BP560" s="92"/>
      <c r="BQ560" s="92"/>
      <c r="BR560" s="92"/>
      <c r="BS560" s="92"/>
      <c r="BT560" s="92"/>
      <c r="BU560" s="92"/>
      <c r="BV560" s="92"/>
      <c r="BW560" s="92"/>
      <c r="BX560" s="92"/>
      <c r="BY560" s="92"/>
      <c r="BZ560" s="92"/>
      <c r="CA560" s="92"/>
      <c r="CB560" s="92"/>
      <c r="CC560" s="92"/>
      <c r="CD560" s="92"/>
      <c r="CE560" s="92"/>
      <c r="CF560" s="92"/>
      <c r="CG560" s="92"/>
      <c r="CH560" s="92"/>
      <c r="CI560" s="92"/>
      <c r="CJ560" s="92"/>
      <c r="CK560" s="92"/>
      <c r="CL560" s="92"/>
      <c r="CM560" s="92"/>
      <c r="CN560" s="92"/>
      <c r="CO560" s="92"/>
      <c r="CP560" s="92"/>
      <c r="CQ560" s="92"/>
      <c r="CR560" s="92"/>
      <c r="CS560" s="92"/>
      <c r="CT560" s="92"/>
      <c r="CU560" s="92"/>
      <c r="CV560" s="92"/>
      <c r="CW560" s="92"/>
      <c r="CX560" s="92"/>
      <c r="CY560" s="92"/>
      <c r="CZ560" s="92"/>
      <c r="DA560" s="92"/>
      <c r="DB560" s="92"/>
      <c r="DC560" s="92"/>
      <c r="DD560" s="92"/>
      <c r="DE560" s="92"/>
      <c r="DF560" s="92"/>
      <c r="DG560" s="92"/>
      <c r="DH560" s="92"/>
      <c r="DI560" s="92"/>
      <c r="DJ560" s="92"/>
      <c r="DK560" s="92"/>
      <c r="DL560" s="92"/>
      <c r="DM560" s="92"/>
      <c r="DN560" s="92"/>
      <c r="DO560" s="92"/>
      <c r="DP560" s="92"/>
      <c r="DQ560" s="92"/>
      <c r="DR560" s="92"/>
      <c r="DS560" s="92"/>
      <c r="DT560" s="92"/>
      <c r="DU560" s="92"/>
      <c r="DV560" s="92"/>
      <c r="DW560" s="92"/>
      <c r="DX560" s="92"/>
      <c r="DY560" s="92"/>
      <c r="DZ560" s="92"/>
      <c r="EA560" s="92"/>
      <c r="EB560" s="92"/>
      <c r="EC560" s="92"/>
      <c r="ED560" s="92"/>
      <c r="EE560" s="92"/>
      <c r="EF560" s="92"/>
      <c r="EG560" s="92"/>
      <c r="EH560" s="92"/>
      <c r="EI560" s="92"/>
      <c r="EJ560" s="92"/>
      <c r="EK560" s="92"/>
      <c r="EL560" s="92"/>
      <c r="EM560" s="92"/>
      <c r="EN560" s="92"/>
      <c r="EO560" s="92"/>
      <c r="EP560" s="92"/>
      <c r="EQ560" s="92"/>
      <c r="ER560" s="92"/>
      <c r="ES560" s="92"/>
      <c r="ET560" s="92"/>
      <c r="EU560" s="92"/>
      <c r="EV560" s="92"/>
      <c r="EW560" s="92"/>
      <c r="EX560" s="92"/>
      <c r="EY560" s="92"/>
      <c r="EZ560" s="92"/>
      <c r="FA560" s="92"/>
      <c r="FB560" s="92"/>
      <c r="FC560" s="92"/>
      <c r="FD560" s="92"/>
      <c r="FE560" s="92"/>
      <c r="FF560" s="92"/>
      <c r="FG560" s="92"/>
      <c r="FH560" s="92"/>
    </row>
    <row r="561">
      <c r="A561" s="32" t="s">
        <v>38</v>
      </c>
      <c r="B561" s="32" t="s">
        <v>95</v>
      </c>
      <c r="C561" s="32" t="s">
        <v>14</v>
      </c>
      <c r="D561" s="97">
        <f t="shared" si="1"/>
        <v>4146.60991</v>
      </c>
      <c r="E561" s="92">
        <f>(SUBSTITUTE(Audio!E561, "RE-", "", 1))*1</f>
        <v>0</v>
      </c>
      <c r="F561" s="92">
        <f>(SUBSTITUTE(Audio!F561, "RE-", "", 1))*1</f>
        <v>598.259</v>
      </c>
      <c r="G561" s="92">
        <f>(SUBSTITUTE(Audio!G561, "RE-", "", 1))*1</f>
        <v>4.74602</v>
      </c>
      <c r="H561" s="92">
        <f>(SUBSTITUTE(Audio!H561, "RE-", "", 1))*1</f>
        <v>55.4968</v>
      </c>
      <c r="I561" s="92">
        <f>(SUBSTITUTE(Audio!I561, "RE-", "", 1))*1</f>
        <v>0</v>
      </c>
      <c r="J561" s="92">
        <f>(SUBSTITUTE(Audio!J561, "RE-", "", 1))*1</f>
        <v>1137.3</v>
      </c>
      <c r="K561" s="92">
        <f>(SUBSTITUTE(Audio!K561, "RE-", "", 1))*1</f>
        <v>11.417</v>
      </c>
      <c r="L561" s="92">
        <f>(SUBSTITUTE(Audio!L561, "RE-", "", 1))*1</f>
        <v>574.104</v>
      </c>
      <c r="M561" s="92">
        <f>(SUBSTITUTE(Audio!M561, "RE-", "", 1))*1</f>
        <v>14.9961</v>
      </c>
      <c r="N561" s="92">
        <f>(SUBSTITUTE(Audio!N561, "RE-", "", 1))*1</f>
        <v>687.385</v>
      </c>
      <c r="O561" s="92">
        <f>(SUBSTITUTE(Audio!O561, "RE-", "", 1))*1</f>
        <v>5.17222</v>
      </c>
      <c r="P561" s="92">
        <f>(SUBSTITUTE(Audio!P561, "RE-", "", 1))*1</f>
        <v>747.382</v>
      </c>
      <c r="Q561" s="92">
        <f>(SUBSTITUTE(Audio!Q561, "RE-", "", 1))*1</f>
        <v>28.6501</v>
      </c>
      <c r="R561" s="92">
        <f>(SUBSTITUTE(Audio!R561, "RE-", "", 1))*1</f>
        <v>57.7422</v>
      </c>
      <c r="S561" s="92">
        <f>(SUBSTITUTE(Audio!S561, "RE-", "", 1))*1</f>
        <v>20.3278</v>
      </c>
      <c r="T561" s="92">
        <f>(SUBSTITUTE(Audio!T561, "RE-", "", 1))*1</f>
        <v>192.934</v>
      </c>
      <c r="U561" s="92">
        <f>(SUBSTITUTE(Audio!U561, "RE-", "", 1))*1</f>
        <v>7.41175</v>
      </c>
      <c r="V561" s="92">
        <f>(SUBSTITUTE(Audio!V561, "RE-", "", 1))*1</f>
        <v>3.28592</v>
      </c>
      <c r="W561" s="92">
        <f>(SUBSTITUTE(Audio!W561, "RE-", "", 1))*1</f>
        <v>0</v>
      </c>
      <c r="X561" s="92">
        <f>(SUBSTITUTE(Audio!X561, "RE-", "", 1))*1</f>
        <v>0</v>
      </c>
      <c r="Y561" s="92">
        <f>(SUBSTITUTE(Audio!Y561, "RE-", "", 1))*1</f>
        <v>0</v>
      </c>
      <c r="Z561" s="92">
        <f>(SUBSTITUTE(Audio!Z561, "RE-", "", 1))*1</f>
        <v>0</v>
      </c>
      <c r="AA561" s="92"/>
      <c r="AB561" s="92"/>
      <c r="AC561" s="92"/>
      <c r="AD561" s="92"/>
      <c r="AE561" s="92"/>
      <c r="AF561" s="92"/>
      <c r="AG561" s="92"/>
      <c r="AH561" s="92"/>
      <c r="AI561" s="92"/>
      <c r="AJ561" s="92"/>
      <c r="AK561" s="92"/>
      <c r="AL561" s="92"/>
      <c r="AM561" s="92"/>
      <c r="AN561" s="92"/>
      <c r="AO561" s="92"/>
      <c r="AP561" s="92"/>
      <c r="AQ561" s="92"/>
      <c r="AR561" s="92"/>
      <c r="AS561" s="92"/>
      <c r="AT561" s="92"/>
      <c r="AU561" s="92"/>
      <c r="AV561" s="92"/>
      <c r="AW561" s="92"/>
      <c r="AX561" s="92"/>
      <c r="AY561" s="92"/>
      <c r="AZ561" s="92"/>
      <c r="BA561" s="92"/>
      <c r="BB561" s="92"/>
      <c r="BC561" s="92"/>
      <c r="BD561" s="92"/>
      <c r="BE561" s="92"/>
      <c r="BF561" s="92"/>
      <c r="BG561" s="92"/>
      <c r="BH561" s="92"/>
      <c r="BI561" s="92"/>
      <c r="BJ561" s="92"/>
      <c r="BK561" s="92"/>
      <c r="BL561" s="92"/>
      <c r="BM561" s="92"/>
      <c r="BN561" s="92"/>
      <c r="BO561" s="92"/>
      <c r="BP561" s="92"/>
      <c r="BQ561" s="92"/>
      <c r="BR561" s="92"/>
      <c r="BS561" s="92"/>
      <c r="BT561" s="92"/>
      <c r="BU561" s="92"/>
      <c r="BV561" s="92"/>
      <c r="BW561" s="92"/>
      <c r="BX561" s="92"/>
      <c r="BY561" s="92"/>
      <c r="BZ561" s="92"/>
      <c r="CA561" s="92"/>
      <c r="CB561" s="92"/>
      <c r="CC561" s="92"/>
      <c r="CD561" s="92"/>
      <c r="CE561" s="92"/>
      <c r="CF561" s="92"/>
      <c r="CG561" s="92"/>
      <c r="CH561" s="92"/>
      <c r="CI561" s="92"/>
      <c r="CJ561" s="92"/>
      <c r="CK561" s="92"/>
      <c r="CL561" s="92"/>
      <c r="CM561" s="92"/>
      <c r="CN561" s="92"/>
      <c r="CO561" s="92"/>
      <c r="CP561" s="92"/>
      <c r="CQ561" s="92"/>
      <c r="CR561" s="92"/>
      <c r="CS561" s="92"/>
      <c r="CT561" s="92"/>
      <c r="CU561" s="92"/>
      <c r="CV561" s="92"/>
      <c r="CW561" s="92"/>
      <c r="CX561" s="92"/>
      <c r="CY561" s="92"/>
      <c r="CZ561" s="92"/>
      <c r="DA561" s="92"/>
      <c r="DB561" s="92"/>
      <c r="DC561" s="92"/>
      <c r="DD561" s="92"/>
      <c r="DE561" s="92"/>
      <c r="DF561" s="92"/>
      <c r="DG561" s="92"/>
      <c r="DH561" s="92"/>
      <c r="DI561" s="92"/>
      <c r="DJ561" s="92"/>
      <c r="DK561" s="92"/>
      <c r="DL561" s="92"/>
      <c r="DM561" s="92"/>
      <c r="DN561" s="92"/>
      <c r="DO561" s="92"/>
      <c r="DP561" s="92"/>
      <c r="DQ561" s="92"/>
      <c r="DR561" s="92"/>
      <c r="DS561" s="92"/>
      <c r="DT561" s="92"/>
      <c r="DU561" s="92"/>
      <c r="DV561" s="92"/>
      <c r="DW561" s="92"/>
      <c r="DX561" s="92"/>
      <c r="DY561" s="92"/>
      <c r="DZ561" s="92"/>
      <c r="EA561" s="92"/>
      <c r="EB561" s="92"/>
      <c r="EC561" s="92"/>
      <c r="ED561" s="92"/>
      <c r="EE561" s="92"/>
      <c r="EF561" s="92"/>
      <c r="EG561" s="92"/>
      <c r="EH561" s="92"/>
      <c r="EI561" s="92"/>
      <c r="EJ561" s="92"/>
      <c r="EK561" s="92"/>
      <c r="EL561" s="92"/>
      <c r="EM561" s="92"/>
      <c r="EN561" s="92"/>
      <c r="EO561" s="92"/>
      <c r="EP561" s="92"/>
      <c r="EQ561" s="92"/>
      <c r="ER561" s="92"/>
      <c r="ES561" s="92"/>
      <c r="ET561" s="92"/>
      <c r="EU561" s="92"/>
      <c r="EV561" s="92"/>
      <c r="EW561" s="92"/>
      <c r="EX561" s="92"/>
      <c r="EY561" s="92"/>
      <c r="EZ561" s="92"/>
      <c r="FA561" s="92"/>
      <c r="FB561" s="92"/>
      <c r="FC561" s="92"/>
      <c r="FD561" s="92"/>
      <c r="FE561" s="92"/>
      <c r="FF561" s="92"/>
      <c r="FG561" s="92"/>
      <c r="FH561" s="92"/>
    </row>
    <row r="562">
      <c r="A562" s="35" t="s">
        <v>38</v>
      </c>
      <c r="B562" s="35" t="s">
        <v>95</v>
      </c>
      <c r="C562" s="35" t="s">
        <v>15</v>
      </c>
      <c r="D562" s="99">
        <f t="shared" si="1"/>
        <v>4594.21381</v>
      </c>
      <c r="E562" s="92">
        <f>(SUBSTITUTE(Audio!E562, "RE-", "", 1))*1</f>
        <v>0</v>
      </c>
      <c r="F562" s="92">
        <f>(SUBSTITUTE(Audio!F562, "RE-", "", 1))*1</f>
        <v>655.35</v>
      </c>
      <c r="G562" s="92">
        <f>(SUBSTITUTE(Audio!G562, "RE-", "", 1))*1</f>
        <v>4.74602</v>
      </c>
      <c r="H562" s="92">
        <f>(SUBSTITUTE(Audio!H562, "RE-", "", 1))*1</f>
        <v>61.4755</v>
      </c>
      <c r="I562" s="92">
        <f>(SUBSTITUTE(Audio!I562, "RE-", "", 1))*1</f>
        <v>0</v>
      </c>
      <c r="J562" s="92">
        <f>(SUBSTITUTE(Audio!J562, "RE-", "", 1))*1</f>
        <v>1222.04</v>
      </c>
      <c r="K562" s="92">
        <f>(SUBSTITUTE(Audio!K562, "RE-", "", 1))*1</f>
        <v>12.7246</v>
      </c>
      <c r="L562" s="92">
        <f>(SUBSTITUTE(Audio!L562, "RE-", "", 1))*1</f>
        <v>642.261</v>
      </c>
      <c r="M562" s="92">
        <f>(SUBSTITUTE(Audio!M562, "RE-", "", 1))*1</f>
        <v>16.7683</v>
      </c>
      <c r="N562" s="92">
        <f>(SUBSTITUTE(Audio!N562, "RE-", "", 1))*1</f>
        <v>768.529</v>
      </c>
      <c r="O562" s="92">
        <f>(SUBSTITUTE(Audio!O562, "RE-", "", 1))*1</f>
        <v>6.2549</v>
      </c>
      <c r="P562" s="92">
        <f>(SUBSTITUTE(Audio!P562, "RE-", "", 1))*1</f>
        <v>844.32</v>
      </c>
      <c r="Q562" s="92">
        <f>(SUBSTITUTE(Audio!Q562, "RE-", "", 1))*1</f>
        <v>32.5744</v>
      </c>
      <c r="R562" s="92">
        <f>(SUBSTITUTE(Audio!R562, "RE-", "", 1))*1</f>
        <v>68.7256</v>
      </c>
      <c r="S562" s="92">
        <f>(SUBSTITUTE(Audio!S562, "RE-", "", 1))*1</f>
        <v>23.5537</v>
      </c>
      <c r="T562" s="92">
        <f>(SUBSTITUTE(Audio!T562, "RE-", "", 1))*1</f>
        <v>223.551</v>
      </c>
      <c r="U562" s="92">
        <f>(SUBSTITUTE(Audio!U562, "RE-", "", 1))*1</f>
        <v>8.05387</v>
      </c>
      <c r="V562" s="92">
        <f>(SUBSTITUTE(Audio!V562, "RE-", "", 1))*1</f>
        <v>3.28592</v>
      </c>
      <c r="W562" s="92">
        <f>(SUBSTITUTE(Audio!W562, "RE-", "", 1))*1</f>
        <v>0</v>
      </c>
      <c r="X562" s="92">
        <f>(SUBSTITUTE(Audio!X562, "RE-", "", 1))*1</f>
        <v>0</v>
      </c>
      <c r="Y562" s="92">
        <f>(SUBSTITUTE(Audio!Y562, "RE-", "", 1))*1</f>
        <v>0</v>
      </c>
      <c r="Z562" s="92">
        <f>(SUBSTITUTE(Audio!Z562, "RE-", "", 1))*1</f>
        <v>0</v>
      </c>
      <c r="AA562" s="92"/>
      <c r="AB562" s="92"/>
      <c r="AC562" s="92"/>
      <c r="AD562" s="92"/>
      <c r="AE562" s="92"/>
      <c r="AF562" s="92"/>
      <c r="AG562" s="92"/>
      <c r="AH562" s="92"/>
      <c r="AI562" s="92"/>
      <c r="AJ562" s="92"/>
      <c r="AK562" s="92"/>
      <c r="AL562" s="92"/>
      <c r="AM562" s="92"/>
      <c r="AN562" s="92"/>
      <c r="AO562" s="92"/>
      <c r="AP562" s="92"/>
      <c r="AQ562" s="92"/>
      <c r="AR562" s="92"/>
      <c r="AS562" s="92"/>
      <c r="AT562" s="92"/>
      <c r="AU562" s="92"/>
      <c r="AV562" s="92"/>
      <c r="AW562" s="92"/>
      <c r="AX562" s="92"/>
      <c r="AY562" s="92"/>
      <c r="AZ562" s="92"/>
      <c r="BA562" s="92"/>
      <c r="BB562" s="92"/>
      <c r="BC562" s="92"/>
      <c r="BD562" s="92"/>
      <c r="BE562" s="92"/>
      <c r="BF562" s="92"/>
      <c r="BG562" s="92"/>
      <c r="BH562" s="92"/>
      <c r="BI562" s="92"/>
      <c r="BJ562" s="92"/>
      <c r="BK562" s="92"/>
      <c r="BL562" s="92"/>
      <c r="BM562" s="92"/>
      <c r="BN562" s="92"/>
      <c r="BO562" s="92"/>
      <c r="BP562" s="92"/>
      <c r="BQ562" s="92"/>
      <c r="BR562" s="92"/>
      <c r="BS562" s="92"/>
      <c r="BT562" s="92"/>
      <c r="BU562" s="92"/>
      <c r="BV562" s="92"/>
      <c r="BW562" s="92"/>
      <c r="BX562" s="92"/>
      <c r="BY562" s="92"/>
      <c r="BZ562" s="92"/>
      <c r="CA562" s="92"/>
      <c r="CB562" s="92"/>
      <c r="CC562" s="92"/>
      <c r="CD562" s="92"/>
      <c r="CE562" s="92"/>
      <c r="CF562" s="92"/>
      <c r="CG562" s="92"/>
      <c r="CH562" s="92"/>
      <c r="CI562" s="92"/>
      <c r="CJ562" s="92"/>
      <c r="CK562" s="92"/>
      <c r="CL562" s="92"/>
      <c r="CM562" s="92"/>
      <c r="CN562" s="92"/>
      <c r="CO562" s="92"/>
      <c r="CP562" s="92"/>
      <c r="CQ562" s="92"/>
      <c r="CR562" s="92"/>
      <c r="CS562" s="92"/>
      <c r="CT562" s="92"/>
      <c r="CU562" s="92"/>
      <c r="CV562" s="92"/>
      <c r="CW562" s="92"/>
      <c r="CX562" s="92"/>
      <c r="CY562" s="92"/>
      <c r="CZ562" s="92"/>
      <c r="DA562" s="92"/>
      <c r="DB562" s="92"/>
      <c r="DC562" s="92"/>
      <c r="DD562" s="92"/>
      <c r="DE562" s="92"/>
      <c r="DF562" s="92"/>
      <c r="DG562" s="92"/>
      <c r="DH562" s="92"/>
      <c r="DI562" s="92"/>
      <c r="DJ562" s="92"/>
      <c r="DK562" s="92"/>
      <c r="DL562" s="92"/>
      <c r="DM562" s="92"/>
      <c r="DN562" s="92"/>
      <c r="DO562" s="92"/>
      <c r="DP562" s="92"/>
      <c r="DQ562" s="92"/>
      <c r="DR562" s="92"/>
      <c r="DS562" s="92"/>
      <c r="DT562" s="92"/>
      <c r="DU562" s="92"/>
      <c r="DV562" s="92"/>
      <c r="DW562" s="92"/>
      <c r="DX562" s="92"/>
      <c r="DY562" s="92"/>
      <c r="DZ562" s="92"/>
      <c r="EA562" s="92"/>
      <c r="EB562" s="92"/>
      <c r="EC562" s="92"/>
      <c r="ED562" s="92"/>
      <c r="EE562" s="92"/>
      <c r="EF562" s="92"/>
      <c r="EG562" s="92"/>
      <c r="EH562" s="92"/>
      <c r="EI562" s="92"/>
      <c r="EJ562" s="92"/>
      <c r="EK562" s="92"/>
      <c r="EL562" s="92"/>
      <c r="EM562" s="92"/>
      <c r="EN562" s="92"/>
      <c r="EO562" s="92"/>
      <c r="EP562" s="92"/>
      <c r="EQ562" s="92"/>
      <c r="ER562" s="92"/>
      <c r="ES562" s="92"/>
      <c r="ET562" s="92"/>
      <c r="EU562" s="92"/>
      <c r="EV562" s="92"/>
      <c r="EW562" s="92"/>
      <c r="EX562" s="92"/>
      <c r="EY562" s="92"/>
      <c r="EZ562" s="92"/>
      <c r="FA562" s="92"/>
      <c r="FB562" s="92"/>
      <c r="FC562" s="92"/>
      <c r="FD562" s="92"/>
      <c r="FE562" s="92"/>
      <c r="FF562" s="92"/>
      <c r="FG562" s="92"/>
      <c r="FH562" s="92"/>
    </row>
    <row r="563">
      <c r="A563" s="38" t="s">
        <v>38</v>
      </c>
      <c r="B563" s="38" t="s">
        <v>96</v>
      </c>
      <c r="C563" s="39" t="str">
        <f>HYPERLINK("https://docs.google.com/spreadsheets/d/1HjMJRMVtXIqGv5kbxBJtJ6bcA4oel2ST/edit?usp=share_link&amp;ouid=106501987799020758802&amp;rtpof=true&amp;sd=true", "Raw Delivered")</f>
        <v>Raw Delivered</v>
      </c>
      <c r="D563" s="100">
        <f t="shared" si="1"/>
        <v>6878.526977</v>
      </c>
      <c r="E563" s="92">
        <f>(SUBSTITUTE(Audio!E563, "RE-", "", 1))*1</f>
        <v>0</v>
      </c>
      <c r="F563" s="92">
        <f>(SUBSTITUTE(Audio!F563, "RE-", "", 1))*1</f>
        <v>276.0053198</v>
      </c>
      <c r="G563" s="92">
        <f>(SUBSTITUTE(Audio!G563, "RE-", "", 1))*1</f>
        <v>0</v>
      </c>
      <c r="H563" s="92">
        <f>(SUBSTITUTE(Audio!H563, "RE-", "", 1))*1</f>
        <v>15.10832292</v>
      </c>
      <c r="I563" s="92">
        <f>(SUBSTITUTE(Audio!I563, "RE-", "", 1))*1</f>
        <v>0</v>
      </c>
      <c r="J563" s="92">
        <f>(SUBSTITUTE(Audio!J563, "RE-", "", 1))*1</f>
        <v>484.0072469</v>
      </c>
      <c r="K563" s="92">
        <f>(SUBSTITUTE(Audio!K563, "RE-", "", 1))*1</f>
        <v>0</v>
      </c>
      <c r="L563" s="92">
        <f>(SUBSTITUTE(Audio!L563, "RE-", "", 1))*1</f>
        <v>1287.277511</v>
      </c>
      <c r="M563" s="92">
        <f>(SUBSTITUTE(Audio!M563, "RE-", "", 1))*1</f>
        <v>0</v>
      </c>
      <c r="N563" s="92">
        <f>(SUBSTITUTE(Audio!N563, "RE-", "", 1))*1</f>
        <v>3722.677231</v>
      </c>
      <c r="O563" s="92">
        <f>(SUBSTITUTE(Audio!O563, "RE-", "", 1))*1</f>
        <v>0</v>
      </c>
      <c r="P563" s="92">
        <f>(SUBSTITUTE(Audio!P563, "RE-", "", 1))*1</f>
        <v>531.6927333</v>
      </c>
      <c r="Q563" s="92">
        <f>(SUBSTITUTE(Audio!Q563, "RE-", "", 1))*1</f>
        <v>0</v>
      </c>
      <c r="R563" s="92">
        <f>(SUBSTITUTE(Audio!R563, "RE-", "", 1))*1</f>
        <v>84.6426375</v>
      </c>
      <c r="S563" s="92">
        <f>(SUBSTITUTE(Audio!S563, "RE-", "", 1))*1</f>
        <v>0</v>
      </c>
      <c r="T563" s="92">
        <f>(SUBSTITUTE(Audio!T563, "RE-", "", 1))*1</f>
        <v>477.115975</v>
      </c>
      <c r="U563" s="92">
        <f>(SUBSTITUTE(Audio!U563, "RE-", "", 1))*1</f>
        <v>0</v>
      </c>
      <c r="V563" s="92">
        <f>(SUBSTITUTE(Audio!V563, "RE-", "", 1))*1</f>
        <v>0</v>
      </c>
      <c r="W563" s="92">
        <f>(SUBSTITUTE(Audio!W563, "RE-", "", 1))*1</f>
        <v>0</v>
      </c>
      <c r="X563" s="92">
        <f>(SUBSTITUTE(Audio!X563, "RE-", "", 1))*1</f>
        <v>0</v>
      </c>
      <c r="Y563" s="92">
        <f>(SUBSTITUTE(Audio!Y563, "RE-", "", 1))*1</f>
        <v>0</v>
      </c>
      <c r="Z563" s="92">
        <f>(SUBSTITUTE(Audio!Z563, "RE-", "", 1))*1</f>
        <v>0</v>
      </c>
      <c r="AA563" s="92"/>
      <c r="AB563" s="92"/>
      <c r="AC563" s="92"/>
      <c r="AD563" s="92"/>
      <c r="AE563" s="92"/>
      <c r="AF563" s="92"/>
      <c r="AG563" s="92"/>
      <c r="AH563" s="92"/>
      <c r="AI563" s="92"/>
      <c r="AJ563" s="92"/>
      <c r="AK563" s="92"/>
      <c r="AL563" s="92"/>
      <c r="AM563" s="92"/>
      <c r="AN563" s="92"/>
      <c r="AO563" s="92"/>
      <c r="AP563" s="92"/>
      <c r="AQ563" s="92"/>
      <c r="AR563" s="92"/>
      <c r="AS563" s="92"/>
      <c r="AT563" s="92"/>
      <c r="AU563" s="92"/>
      <c r="AV563" s="92"/>
      <c r="AW563" s="92"/>
      <c r="AX563" s="92"/>
      <c r="AY563" s="92"/>
      <c r="AZ563" s="92"/>
      <c r="BA563" s="92"/>
      <c r="BB563" s="92"/>
      <c r="BC563" s="92"/>
      <c r="BD563" s="92"/>
      <c r="BE563" s="92"/>
      <c r="BF563" s="92"/>
      <c r="BG563" s="92"/>
      <c r="BH563" s="92"/>
      <c r="BI563" s="92"/>
      <c r="BJ563" s="92"/>
      <c r="BK563" s="92"/>
      <c r="BL563" s="92"/>
      <c r="BM563" s="92"/>
      <c r="BN563" s="92"/>
      <c r="BO563" s="92"/>
      <c r="BP563" s="92"/>
      <c r="BQ563" s="92"/>
      <c r="BR563" s="92"/>
      <c r="BS563" s="92"/>
      <c r="BT563" s="92"/>
      <c r="BU563" s="92"/>
      <c r="BV563" s="92"/>
      <c r="BW563" s="92"/>
      <c r="BX563" s="92"/>
      <c r="BY563" s="92"/>
      <c r="BZ563" s="92"/>
      <c r="CA563" s="92"/>
      <c r="CB563" s="92"/>
      <c r="CC563" s="92"/>
      <c r="CD563" s="92"/>
      <c r="CE563" s="92"/>
      <c r="CF563" s="92"/>
      <c r="CG563" s="92"/>
      <c r="CH563" s="92"/>
      <c r="CI563" s="92"/>
      <c r="CJ563" s="92"/>
      <c r="CK563" s="92"/>
      <c r="CL563" s="92"/>
      <c r="CM563" s="92"/>
      <c r="CN563" s="92"/>
      <c r="CO563" s="92"/>
      <c r="CP563" s="92"/>
      <c r="CQ563" s="92"/>
      <c r="CR563" s="92"/>
      <c r="CS563" s="92"/>
      <c r="CT563" s="92"/>
      <c r="CU563" s="92"/>
      <c r="CV563" s="92"/>
      <c r="CW563" s="92"/>
      <c r="CX563" s="92"/>
      <c r="CY563" s="92"/>
      <c r="CZ563" s="92"/>
      <c r="DA563" s="92"/>
      <c r="DB563" s="92"/>
      <c r="DC563" s="92"/>
      <c r="DD563" s="92"/>
      <c r="DE563" s="92"/>
      <c r="DF563" s="92"/>
      <c r="DG563" s="92"/>
      <c r="DH563" s="92"/>
      <c r="DI563" s="92"/>
      <c r="DJ563" s="92"/>
      <c r="DK563" s="92"/>
      <c r="DL563" s="92"/>
      <c r="DM563" s="92"/>
      <c r="DN563" s="92"/>
      <c r="DO563" s="92"/>
      <c r="DP563" s="92"/>
      <c r="DQ563" s="92"/>
      <c r="DR563" s="92"/>
      <c r="DS563" s="92"/>
      <c r="DT563" s="92"/>
      <c r="DU563" s="92"/>
      <c r="DV563" s="92"/>
      <c r="DW563" s="92"/>
      <c r="DX563" s="92"/>
      <c r="DY563" s="92"/>
      <c r="DZ563" s="92"/>
      <c r="EA563" s="92"/>
      <c r="EB563" s="92"/>
      <c r="EC563" s="92"/>
      <c r="ED563" s="92"/>
      <c r="EE563" s="92"/>
      <c r="EF563" s="92"/>
      <c r="EG563" s="92"/>
      <c r="EH563" s="92"/>
      <c r="EI563" s="92"/>
      <c r="EJ563" s="92"/>
      <c r="EK563" s="92"/>
      <c r="EL563" s="92"/>
      <c r="EM563" s="92"/>
      <c r="EN563" s="92"/>
      <c r="EO563" s="92"/>
      <c r="EP563" s="92"/>
      <c r="EQ563" s="92"/>
      <c r="ER563" s="92"/>
      <c r="ES563" s="92"/>
      <c r="ET563" s="92"/>
      <c r="EU563" s="92"/>
      <c r="EV563" s="92"/>
      <c r="EW563" s="92"/>
      <c r="EX563" s="92"/>
      <c r="EY563" s="92"/>
      <c r="EZ563" s="92"/>
      <c r="FA563" s="92"/>
      <c r="FB563" s="92"/>
      <c r="FC563" s="92"/>
      <c r="FD563" s="92"/>
      <c r="FE563" s="92"/>
      <c r="FF563" s="92"/>
      <c r="FG563" s="92"/>
      <c r="FH563" s="92"/>
    </row>
    <row r="564">
      <c r="A564" s="42" t="s">
        <v>38</v>
      </c>
      <c r="B564" s="42" t="s">
        <v>96</v>
      </c>
      <c r="C564" s="42" t="s">
        <v>9</v>
      </c>
      <c r="D564" s="101">
        <f t="shared" si="1"/>
        <v>6878.526978</v>
      </c>
      <c r="E564" s="92">
        <f>(SUBSTITUTE(Audio!E564, "RE-", "", 1))*1</f>
        <v>0</v>
      </c>
      <c r="F564" s="92">
        <f>(SUBSTITUTE(Audio!F564, "RE-", "", 1))*1</f>
        <v>276.0053198</v>
      </c>
      <c r="G564" s="92">
        <f>(SUBSTITUTE(Audio!G564, "RE-", "", 1))*1</f>
        <v>0</v>
      </c>
      <c r="H564" s="92">
        <f>(SUBSTITUTE(Audio!H564, "RE-", "", 1))*1</f>
        <v>15.10832292</v>
      </c>
      <c r="I564" s="92">
        <f>(SUBSTITUTE(Audio!I564, "RE-", "", 1))*1</f>
        <v>0</v>
      </c>
      <c r="J564" s="92">
        <f>(SUBSTITUTE(Audio!J564, "RE-", "", 1))*1</f>
        <v>484.0072469</v>
      </c>
      <c r="K564" s="92">
        <f>(SUBSTITUTE(Audio!K564, "RE-", "", 1))*1</f>
        <v>0</v>
      </c>
      <c r="L564" s="92">
        <f>(SUBSTITUTE(Audio!L564, "RE-", "", 1))*1</f>
        <v>1287.277511</v>
      </c>
      <c r="M564" s="92">
        <f>(SUBSTITUTE(Audio!M564, "RE-", "", 1))*1</f>
        <v>0</v>
      </c>
      <c r="N564" s="92">
        <f>(SUBSTITUTE(Audio!N564, "RE-", "", 1))*1</f>
        <v>3722.677231</v>
      </c>
      <c r="O564" s="92">
        <f>(SUBSTITUTE(Audio!O564, "RE-", "", 1))*1</f>
        <v>0</v>
      </c>
      <c r="P564" s="92">
        <f>(SUBSTITUTE(Audio!P564, "RE-", "", 1))*1</f>
        <v>531.6927333</v>
      </c>
      <c r="Q564" s="92">
        <f>(SUBSTITUTE(Audio!Q564, "RE-", "", 1))*1</f>
        <v>0</v>
      </c>
      <c r="R564" s="92">
        <f>(SUBSTITUTE(Audio!R564, "RE-", "", 1))*1</f>
        <v>84.6426375</v>
      </c>
      <c r="S564" s="92">
        <f>(SUBSTITUTE(Audio!S564, "RE-", "", 1))*1</f>
        <v>0</v>
      </c>
      <c r="T564" s="92">
        <f>(SUBSTITUTE(Audio!T564, "RE-", "", 1))*1</f>
        <v>477.115975</v>
      </c>
      <c r="U564" s="92">
        <f>(SUBSTITUTE(Audio!U564, "RE-", "", 1))*1</f>
        <v>0</v>
      </c>
      <c r="V564" s="92">
        <f>(SUBSTITUTE(Audio!V564, "RE-", "", 1))*1</f>
        <v>0</v>
      </c>
      <c r="W564" s="92">
        <f>(SUBSTITUTE(Audio!W564, "RE-", "", 1))*1</f>
        <v>0</v>
      </c>
      <c r="X564" s="92">
        <f>(SUBSTITUTE(Audio!X564, "RE-", "", 1))*1</f>
        <v>0</v>
      </c>
      <c r="Y564" s="92">
        <f>(SUBSTITUTE(Audio!Y564, "RE-", "", 1))*1</f>
        <v>0</v>
      </c>
      <c r="Z564" s="92">
        <f>(SUBSTITUTE(Audio!Z564, "RE-", "", 1))*1</f>
        <v>0</v>
      </c>
      <c r="AA564" s="92"/>
      <c r="AB564" s="92"/>
      <c r="AC564" s="92"/>
      <c r="AD564" s="92"/>
      <c r="AE564" s="92"/>
      <c r="AF564" s="92"/>
      <c r="AG564" s="92"/>
      <c r="AH564" s="92"/>
      <c r="AI564" s="92"/>
      <c r="AJ564" s="92"/>
      <c r="AK564" s="92"/>
      <c r="AL564" s="92"/>
      <c r="AM564" s="92"/>
      <c r="AN564" s="92"/>
      <c r="AO564" s="92"/>
      <c r="AP564" s="92"/>
      <c r="AQ564" s="92"/>
      <c r="AR564" s="92"/>
      <c r="AS564" s="92"/>
      <c r="AT564" s="92"/>
      <c r="AU564" s="92"/>
      <c r="AV564" s="92"/>
      <c r="AW564" s="92"/>
      <c r="AX564" s="92"/>
      <c r="AY564" s="92"/>
      <c r="AZ564" s="92"/>
      <c r="BA564" s="92"/>
      <c r="BB564" s="92"/>
      <c r="BC564" s="92"/>
      <c r="BD564" s="92"/>
      <c r="BE564" s="92"/>
      <c r="BF564" s="92"/>
      <c r="BG564" s="92"/>
      <c r="BH564" s="92"/>
      <c r="BI564" s="92"/>
      <c r="BJ564" s="92"/>
      <c r="BK564" s="92"/>
      <c r="BL564" s="92"/>
      <c r="BM564" s="92"/>
      <c r="BN564" s="92"/>
      <c r="BO564" s="92"/>
      <c r="BP564" s="92"/>
      <c r="BQ564" s="92"/>
      <c r="BR564" s="92"/>
      <c r="BS564" s="92"/>
      <c r="BT564" s="92"/>
      <c r="BU564" s="92"/>
      <c r="BV564" s="92"/>
      <c r="BW564" s="92"/>
      <c r="BX564" s="92"/>
      <c r="BY564" s="92"/>
      <c r="BZ564" s="92"/>
      <c r="CA564" s="92"/>
      <c r="CB564" s="92"/>
      <c r="CC564" s="92"/>
      <c r="CD564" s="92"/>
      <c r="CE564" s="92"/>
      <c r="CF564" s="92"/>
      <c r="CG564" s="92"/>
      <c r="CH564" s="92"/>
      <c r="CI564" s="92"/>
      <c r="CJ564" s="92"/>
      <c r="CK564" s="92"/>
      <c r="CL564" s="92"/>
      <c r="CM564" s="92"/>
      <c r="CN564" s="92"/>
      <c r="CO564" s="92"/>
      <c r="CP564" s="92"/>
      <c r="CQ564" s="92"/>
      <c r="CR564" s="92"/>
      <c r="CS564" s="92"/>
      <c r="CT564" s="92"/>
      <c r="CU564" s="92"/>
      <c r="CV564" s="92"/>
      <c r="CW564" s="92"/>
      <c r="CX564" s="92"/>
      <c r="CY564" s="92"/>
      <c r="CZ564" s="92"/>
      <c r="DA564" s="92"/>
      <c r="DB564" s="92"/>
      <c r="DC564" s="92"/>
      <c r="DD564" s="92"/>
      <c r="DE564" s="92"/>
      <c r="DF564" s="92"/>
      <c r="DG564" s="92"/>
      <c r="DH564" s="92"/>
      <c r="DI564" s="92"/>
      <c r="DJ564" s="92"/>
      <c r="DK564" s="92"/>
      <c r="DL564" s="92"/>
      <c r="DM564" s="92"/>
      <c r="DN564" s="92"/>
      <c r="DO564" s="92"/>
      <c r="DP564" s="92"/>
      <c r="DQ564" s="92"/>
      <c r="DR564" s="92"/>
      <c r="DS564" s="92"/>
      <c r="DT564" s="92"/>
      <c r="DU564" s="92"/>
      <c r="DV564" s="92"/>
      <c r="DW564" s="92"/>
      <c r="DX564" s="92"/>
      <c r="DY564" s="92"/>
      <c r="DZ564" s="92"/>
      <c r="EA564" s="92"/>
      <c r="EB564" s="92"/>
      <c r="EC564" s="92"/>
      <c r="ED564" s="92"/>
      <c r="EE564" s="92"/>
      <c r="EF564" s="92"/>
      <c r="EG564" s="92"/>
      <c r="EH564" s="92"/>
      <c r="EI564" s="92"/>
      <c r="EJ564" s="92"/>
      <c r="EK564" s="92"/>
      <c r="EL564" s="92"/>
      <c r="EM564" s="92"/>
      <c r="EN564" s="92"/>
      <c r="EO564" s="92"/>
      <c r="EP564" s="92"/>
      <c r="EQ564" s="92"/>
      <c r="ER564" s="92"/>
      <c r="ES564" s="92"/>
      <c r="ET564" s="92"/>
      <c r="EU564" s="92"/>
      <c r="EV564" s="92"/>
      <c r="EW564" s="92"/>
      <c r="EX564" s="92"/>
      <c r="EY564" s="92"/>
      <c r="EZ564" s="92"/>
      <c r="FA564" s="92"/>
      <c r="FB564" s="92"/>
      <c r="FC564" s="92"/>
      <c r="FD564" s="92"/>
      <c r="FE564" s="92"/>
      <c r="FF564" s="92"/>
      <c r="FG564" s="92"/>
      <c r="FH564" s="92"/>
    </row>
    <row r="565">
      <c r="A565" s="42" t="s">
        <v>38</v>
      </c>
      <c r="B565" s="42" t="s">
        <v>96</v>
      </c>
      <c r="C565" s="42" t="s">
        <v>10</v>
      </c>
      <c r="D565" s="101">
        <f t="shared" si="1"/>
        <v>919.4425531</v>
      </c>
      <c r="E565" s="92">
        <f>(SUBSTITUTE(Audio!E565, "RE-", "", 1))*1</f>
        <v>0</v>
      </c>
      <c r="F565" s="92">
        <f>(SUBSTITUTE(Audio!F565, "RE-", "", 1))*1</f>
        <v>0</v>
      </c>
      <c r="G565" s="92">
        <f>(SUBSTITUTE(Audio!G565, "RE-", "", 1))*1</f>
        <v>38.13471354</v>
      </c>
      <c r="H565" s="92">
        <f>(SUBSTITUTE(Audio!H565, "RE-", "", 1))*1</f>
        <v>0</v>
      </c>
      <c r="I565" s="92">
        <f>(SUBSTITUTE(Audio!I565, "RE-", "", 1))*1</f>
        <v>0</v>
      </c>
      <c r="J565" s="92">
        <f>(SUBSTITUTE(Audio!J565, "RE-", "", 1))*1</f>
        <v>0</v>
      </c>
      <c r="K565" s="92">
        <f>(SUBSTITUTE(Audio!K565, "RE-", "", 1))*1</f>
        <v>53.28172917</v>
      </c>
      <c r="L565" s="92">
        <f>(SUBSTITUTE(Audio!L565, "RE-", "", 1))*1</f>
        <v>0</v>
      </c>
      <c r="M565" s="92">
        <f>(SUBSTITUTE(Audio!M565, "RE-", "", 1))*1</f>
        <v>46.16911979</v>
      </c>
      <c r="N565" s="92">
        <f>(SUBSTITUTE(Audio!N565, "RE-", "", 1))*1</f>
        <v>0</v>
      </c>
      <c r="O565" s="92">
        <f>(SUBSTITUTE(Audio!O565, "RE-", "", 1))*1</f>
        <v>580.4477844</v>
      </c>
      <c r="P565" s="92">
        <f>(SUBSTITUTE(Audio!P565, "RE-", "", 1))*1</f>
        <v>0</v>
      </c>
      <c r="Q565" s="92">
        <f>(SUBSTITUTE(Audio!Q565, "RE-", "", 1))*1</f>
        <v>117.916075</v>
      </c>
      <c r="R565" s="92">
        <f>(SUBSTITUTE(Audio!R565, "RE-", "", 1))*1</f>
        <v>0</v>
      </c>
      <c r="S565" s="92">
        <f>(SUBSTITUTE(Audio!S565, "RE-", "", 1))*1</f>
        <v>19.78445937</v>
      </c>
      <c r="T565" s="92">
        <f>(SUBSTITUTE(Audio!T565, "RE-", "", 1))*1</f>
        <v>0</v>
      </c>
      <c r="U565" s="92">
        <f>(SUBSTITUTE(Audio!U565, "RE-", "", 1))*1</f>
        <v>61.07041146</v>
      </c>
      <c r="V565" s="92">
        <f>(SUBSTITUTE(Audio!V565, "RE-", "", 1))*1</f>
        <v>2.638260417</v>
      </c>
      <c r="W565" s="92">
        <f>(SUBSTITUTE(Audio!W565, "RE-", "", 1))*1</f>
        <v>0</v>
      </c>
      <c r="X565" s="92">
        <f>(SUBSTITUTE(Audio!X565, "RE-", "", 1))*1</f>
        <v>0</v>
      </c>
      <c r="Y565" s="92">
        <f>(SUBSTITUTE(Audio!Y565, "RE-", "", 1))*1</f>
        <v>0</v>
      </c>
      <c r="Z565" s="92">
        <f>(SUBSTITUTE(Audio!Z565, "RE-", "", 1))*1</f>
        <v>0</v>
      </c>
      <c r="AA565" s="92"/>
      <c r="AB565" s="92"/>
      <c r="AC565" s="92"/>
      <c r="AD565" s="92"/>
      <c r="AE565" s="92"/>
      <c r="AF565" s="92"/>
      <c r="AG565" s="92"/>
      <c r="AH565" s="92"/>
      <c r="AI565" s="92"/>
      <c r="AJ565" s="92"/>
      <c r="AK565" s="92"/>
      <c r="AL565" s="92"/>
      <c r="AM565" s="92"/>
      <c r="AN565" s="92"/>
      <c r="AO565" s="92"/>
      <c r="AP565" s="92"/>
      <c r="AQ565" s="92"/>
      <c r="AR565" s="92"/>
      <c r="AS565" s="92"/>
      <c r="AT565" s="92"/>
      <c r="AU565" s="92"/>
      <c r="AV565" s="92"/>
      <c r="AW565" s="92"/>
      <c r="AX565" s="92"/>
      <c r="AY565" s="92"/>
      <c r="AZ565" s="92"/>
      <c r="BA565" s="92"/>
      <c r="BB565" s="92"/>
      <c r="BC565" s="92"/>
      <c r="BD565" s="92"/>
      <c r="BE565" s="92"/>
      <c r="BF565" s="92"/>
      <c r="BG565" s="92"/>
      <c r="BH565" s="92"/>
      <c r="BI565" s="92"/>
      <c r="BJ565" s="92"/>
      <c r="BK565" s="92"/>
      <c r="BL565" s="92"/>
      <c r="BM565" s="92"/>
      <c r="BN565" s="92"/>
      <c r="BO565" s="92"/>
      <c r="BP565" s="92"/>
      <c r="BQ565" s="92"/>
      <c r="BR565" s="92"/>
      <c r="BS565" s="92"/>
      <c r="BT565" s="92"/>
      <c r="BU565" s="92"/>
      <c r="BV565" s="92"/>
      <c r="BW565" s="92"/>
      <c r="BX565" s="92"/>
      <c r="BY565" s="92"/>
      <c r="BZ565" s="92"/>
      <c r="CA565" s="92"/>
      <c r="CB565" s="92"/>
      <c r="CC565" s="92"/>
      <c r="CD565" s="92"/>
      <c r="CE565" s="92"/>
      <c r="CF565" s="92"/>
      <c r="CG565" s="92"/>
      <c r="CH565" s="92"/>
      <c r="CI565" s="92"/>
      <c r="CJ565" s="92"/>
      <c r="CK565" s="92"/>
      <c r="CL565" s="92"/>
      <c r="CM565" s="92"/>
      <c r="CN565" s="92"/>
      <c r="CO565" s="92"/>
      <c r="CP565" s="92"/>
      <c r="CQ565" s="92"/>
      <c r="CR565" s="92"/>
      <c r="CS565" s="92"/>
      <c r="CT565" s="92"/>
      <c r="CU565" s="92"/>
      <c r="CV565" s="92"/>
      <c r="CW565" s="92"/>
      <c r="CX565" s="92"/>
      <c r="CY565" s="92"/>
      <c r="CZ565" s="92"/>
      <c r="DA565" s="92"/>
      <c r="DB565" s="92"/>
      <c r="DC565" s="92"/>
      <c r="DD565" s="92"/>
      <c r="DE565" s="92"/>
      <c r="DF565" s="92"/>
      <c r="DG565" s="92"/>
      <c r="DH565" s="92"/>
      <c r="DI565" s="92"/>
      <c r="DJ565" s="92"/>
      <c r="DK565" s="92"/>
      <c r="DL565" s="92"/>
      <c r="DM565" s="92"/>
      <c r="DN565" s="92"/>
      <c r="DO565" s="92"/>
      <c r="DP565" s="92"/>
      <c r="DQ565" s="92"/>
      <c r="DR565" s="92"/>
      <c r="DS565" s="92"/>
      <c r="DT565" s="92"/>
      <c r="DU565" s="92"/>
      <c r="DV565" s="92"/>
      <c r="DW565" s="92"/>
      <c r="DX565" s="92"/>
      <c r="DY565" s="92"/>
      <c r="DZ565" s="92"/>
      <c r="EA565" s="92"/>
      <c r="EB565" s="92"/>
      <c r="EC565" s="92"/>
      <c r="ED565" s="92"/>
      <c r="EE565" s="92"/>
      <c r="EF565" s="92"/>
      <c r="EG565" s="92"/>
      <c r="EH565" s="92"/>
      <c r="EI565" s="92"/>
      <c r="EJ565" s="92"/>
      <c r="EK565" s="92"/>
      <c r="EL565" s="92"/>
      <c r="EM565" s="92"/>
      <c r="EN565" s="92"/>
      <c r="EO565" s="92"/>
      <c r="EP565" s="92"/>
      <c r="EQ565" s="92"/>
      <c r="ER565" s="92"/>
      <c r="ES565" s="92"/>
      <c r="ET565" s="92"/>
      <c r="EU565" s="92"/>
      <c r="EV565" s="92"/>
      <c r="EW565" s="92"/>
      <c r="EX565" s="92"/>
      <c r="EY565" s="92"/>
      <c r="EZ565" s="92"/>
      <c r="FA565" s="92"/>
      <c r="FB565" s="92"/>
      <c r="FC565" s="92"/>
      <c r="FD565" s="92"/>
      <c r="FE565" s="92"/>
      <c r="FF565" s="92"/>
      <c r="FG565" s="92"/>
      <c r="FH565" s="92"/>
    </row>
    <row r="566">
      <c r="A566" s="42" t="s">
        <v>38</v>
      </c>
      <c r="B566" s="42" t="s">
        <v>96</v>
      </c>
      <c r="C566" s="42" t="s">
        <v>11</v>
      </c>
      <c r="D566" s="101">
        <f t="shared" si="1"/>
        <v>919.4425531</v>
      </c>
      <c r="E566" s="92">
        <f>(SUBSTITUTE(Audio!E566, "RE-", "", 1))*1</f>
        <v>0</v>
      </c>
      <c r="F566" s="92">
        <f>(SUBSTITUTE(Audio!F566, "RE-", "", 1))*1</f>
        <v>0</v>
      </c>
      <c r="G566" s="92">
        <f>(SUBSTITUTE(Audio!G566, "RE-", "", 1))*1</f>
        <v>38.13471354</v>
      </c>
      <c r="H566" s="92">
        <f>(SUBSTITUTE(Audio!H566, "RE-", "", 1))*1</f>
        <v>0</v>
      </c>
      <c r="I566" s="92">
        <f>(SUBSTITUTE(Audio!I566, "RE-", "", 1))*1</f>
        <v>0</v>
      </c>
      <c r="J566" s="92">
        <f>(SUBSTITUTE(Audio!J566, "RE-", "", 1))*1</f>
        <v>0</v>
      </c>
      <c r="K566" s="92">
        <f>(SUBSTITUTE(Audio!K566, "RE-", "", 1))*1</f>
        <v>53.28172917</v>
      </c>
      <c r="L566" s="92">
        <f>(SUBSTITUTE(Audio!L566, "RE-", "", 1))*1</f>
        <v>0</v>
      </c>
      <c r="M566" s="92">
        <f>(SUBSTITUTE(Audio!M566, "RE-", "", 1))*1</f>
        <v>46.16911979</v>
      </c>
      <c r="N566" s="92">
        <f>(SUBSTITUTE(Audio!N566, "RE-", "", 1))*1</f>
        <v>0</v>
      </c>
      <c r="O566" s="92">
        <f>(SUBSTITUTE(Audio!O566, "RE-", "", 1))*1</f>
        <v>580.4477844</v>
      </c>
      <c r="P566" s="92">
        <f>(SUBSTITUTE(Audio!P566, "RE-", "", 1))*1</f>
        <v>0</v>
      </c>
      <c r="Q566" s="92">
        <f>(SUBSTITUTE(Audio!Q566, "RE-", "", 1))*1</f>
        <v>117.916075</v>
      </c>
      <c r="R566" s="92">
        <f>(SUBSTITUTE(Audio!R566, "RE-", "", 1))*1</f>
        <v>0</v>
      </c>
      <c r="S566" s="92">
        <f>(SUBSTITUTE(Audio!S566, "RE-", "", 1))*1</f>
        <v>19.78445937</v>
      </c>
      <c r="T566" s="92">
        <f>(SUBSTITUTE(Audio!T566, "RE-", "", 1))*1</f>
        <v>0</v>
      </c>
      <c r="U566" s="92">
        <f>(SUBSTITUTE(Audio!U566, "RE-", "", 1))*1</f>
        <v>61.07041146</v>
      </c>
      <c r="V566" s="92">
        <f>(SUBSTITUTE(Audio!V566, "RE-", "", 1))*1</f>
        <v>2.638260417</v>
      </c>
      <c r="W566" s="92">
        <f>(SUBSTITUTE(Audio!W566, "RE-", "", 1))*1</f>
        <v>0</v>
      </c>
      <c r="X566" s="92">
        <f>(SUBSTITUTE(Audio!X566, "RE-", "", 1))*1</f>
        <v>0</v>
      </c>
      <c r="Y566" s="92">
        <f>(SUBSTITUTE(Audio!Y566, "RE-", "", 1))*1</f>
        <v>0</v>
      </c>
      <c r="Z566" s="92">
        <f>(SUBSTITUTE(Audio!Z566, "RE-", "", 1))*1</f>
        <v>0</v>
      </c>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92"/>
      <c r="BD566" s="92"/>
      <c r="BE566" s="92"/>
      <c r="BF566" s="92"/>
      <c r="BG566" s="92"/>
      <c r="BH566" s="92"/>
      <c r="BI566" s="92"/>
      <c r="BJ566" s="92"/>
      <c r="BK566" s="92"/>
      <c r="BL566" s="92"/>
      <c r="BM566" s="92"/>
      <c r="BN566" s="92"/>
      <c r="BO566" s="92"/>
      <c r="BP566" s="92"/>
      <c r="BQ566" s="92"/>
      <c r="BR566" s="92"/>
      <c r="BS566" s="92"/>
      <c r="BT566" s="92"/>
      <c r="BU566" s="92"/>
      <c r="BV566" s="92"/>
      <c r="BW566" s="92"/>
      <c r="BX566" s="92"/>
      <c r="BY566" s="92"/>
      <c r="BZ566" s="92"/>
      <c r="CA566" s="92"/>
      <c r="CB566" s="92"/>
      <c r="CC566" s="92"/>
      <c r="CD566" s="92"/>
      <c r="CE566" s="92"/>
      <c r="CF566" s="92"/>
      <c r="CG566" s="92"/>
      <c r="CH566" s="92"/>
      <c r="CI566" s="92"/>
      <c r="CJ566" s="92"/>
      <c r="CK566" s="92"/>
      <c r="CL566" s="92"/>
      <c r="CM566" s="92"/>
      <c r="CN566" s="92"/>
      <c r="CO566" s="92"/>
      <c r="CP566" s="92"/>
      <c r="CQ566" s="92"/>
      <c r="CR566" s="92"/>
      <c r="CS566" s="92"/>
      <c r="CT566" s="92"/>
      <c r="CU566" s="92"/>
      <c r="CV566" s="92"/>
      <c r="CW566" s="92"/>
      <c r="CX566" s="92"/>
      <c r="CY566" s="92"/>
      <c r="CZ566" s="92"/>
      <c r="DA566" s="92"/>
      <c r="DB566" s="92"/>
      <c r="DC566" s="92"/>
      <c r="DD566" s="92"/>
      <c r="DE566" s="92"/>
      <c r="DF566" s="92"/>
      <c r="DG566" s="92"/>
      <c r="DH566" s="92"/>
      <c r="DI566" s="92"/>
      <c r="DJ566" s="92"/>
      <c r="DK566" s="92"/>
      <c r="DL566" s="92"/>
      <c r="DM566" s="92"/>
      <c r="DN566" s="92"/>
      <c r="DO566" s="92"/>
      <c r="DP566" s="92"/>
      <c r="DQ566" s="92"/>
      <c r="DR566" s="92"/>
      <c r="DS566" s="92"/>
      <c r="DT566" s="92"/>
      <c r="DU566" s="92"/>
      <c r="DV566" s="92"/>
      <c r="DW566" s="92"/>
      <c r="DX566" s="92"/>
      <c r="DY566" s="92"/>
      <c r="DZ566" s="92"/>
      <c r="EA566" s="92"/>
      <c r="EB566" s="92"/>
      <c r="EC566" s="92"/>
      <c r="ED566" s="92"/>
      <c r="EE566" s="92"/>
      <c r="EF566" s="92"/>
      <c r="EG566" s="92"/>
      <c r="EH566" s="92"/>
      <c r="EI566" s="92"/>
      <c r="EJ566" s="92"/>
      <c r="EK566" s="92"/>
      <c r="EL566" s="92"/>
      <c r="EM566" s="92"/>
      <c r="EN566" s="92"/>
      <c r="EO566" s="92"/>
      <c r="EP566" s="92"/>
      <c r="EQ566" s="92"/>
      <c r="ER566" s="92"/>
      <c r="ES566" s="92"/>
      <c r="ET566" s="92"/>
      <c r="EU566" s="92"/>
      <c r="EV566" s="92"/>
      <c r="EW566" s="92"/>
      <c r="EX566" s="92"/>
      <c r="EY566" s="92"/>
      <c r="EZ566" s="92"/>
      <c r="FA566" s="92"/>
      <c r="FB566" s="92"/>
      <c r="FC566" s="92"/>
      <c r="FD566" s="92"/>
      <c r="FE566" s="92"/>
      <c r="FF566" s="92"/>
      <c r="FG566" s="92"/>
      <c r="FH566" s="92"/>
    </row>
    <row r="567">
      <c r="A567" s="42" t="s">
        <v>38</v>
      </c>
      <c r="B567" s="42" t="s">
        <v>96</v>
      </c>
      <c r="C567" s="42" t="s">
        <v>12</v>
      </c>
      <c r="D567" s="101">
        <f t="shared" si="1"/>
        <v>5366.70924</v>
      </c>
      <c r="E567" s="92">
        <f>(SUBSTITUTE(Audio!E567, "RE-", "", 1))*1</f>
        <v>0</v>
      </c>
      <c r="F567" s="92">
        <f>(SUBSTITUTE(Audio!F567, "RE-", "", 1))*1</f>
        <v>228.4685688</v>
      </c>
      <c r="G567" s="92">
        <f>(SUBSTITUTE(Audio!G567, "RE-", "", 1))*1</f>
        <v>1.63521875</v>
      </c>
      <c r="H567" s="92">
        <f>(SUBSTITUTE(Audio!H567, "RE-", "", 1))*1</f>
        <v>15.10832292</v>
      </c>
      <c r="I567" s="92">
        <f>(SUBSTITUTE(Audio!I567, "RE-", "", 1))*1</f>
        <v>0</v>
      </c>
      <c r="J567" s="92">
        <f>(SUBSTITUTE(Audio!J567, "RE-", "", 1))*1</f>
        <v>354.5000781</v>
      </c>
      <c r="K567" s="92">
        <f>(SUBSTITUTE(Audio!K567, "RE-", "", 1))*1</f>
        <v>2.39009375</v>
      </c>
      <c r="L567" s="92">
        <f>(SUBSTITUTE(Audio!L567, "RE-", "", 1))*1</f>
        <v>1178.123707</v>
      </c>
      <c r="M567" s="92">
        <f>(SUBSTITUTE(Audio!M567, "RE-", "", 1))*1</f>
        <v>6.063977083</v>
      </c>
      <c r="N567" s="92">
        <f>(SUBSTITUTE(Audio!N567, "RE-", "", 1))*1</f>
        <v>2521.993332</v>
      </c>
      <c r="O567" s="92">
        <f>(SUBSTITUTE(Audio!O567, "RE-", "", 1))*1</f>
        <v>26.75644687</v>
      </c>
      <c r="P567" s="92">
        <f>(SUBSTITUTE(Audio!P567, "RE-", "", 1))*1</f>
        <v>438.0918125</v>
      </c>
      <c r="Q567" s="92">
        <f>(SUBSTITUTE(Audio!Q567, "RE-", "", 1))*1</f>
        <v>29.05645417</v>
      </c>
      <c r="R567" s="92">
        <f>(SUBSTITUTE(Audio!R567, "RE-", "", 1))*1</f>
        <v>62.53006667</v>
      </c>
      <c r="S567" s="92">
        <f>(SUBSTITUTE(Audio!S567, "RE-", "", 1))*1</f>
        <v>11.22387188</v>
      </c>
      <c r="T567" s="92">
        <f>(SUBSTITUTE(Audio!T567, "RE-", "", 1))*1</f>
        <v>456.9295375</v>
      </c>
      <c r="U567" s="92">
        <f>(SUBSTITUTE(Audio!U567, "RE-", "", 1))*1</f>
        <v>31.49546875</v>
      </c>
      <c r="V567" s="92">
        <f>(SUBSTITUTE(Audio!V567, "RE-", "", 1))*1</f>
        <v>2.342283333</v>
      </c>
      <c r="W567" s="92">
        <f>(SUBSTITUTE(Audio!W567, "RE-", "", 1))*1</f>
        <v>0</v>
      </c>
      <c r="X567" s="92">
        <f>(SUBSTITUTE(Audio!X567, "RE-", "", 1))*1</f>
        <v>0</v>
      </c>
      <c r="Y567" s="92">
        <f>(SUBSTITUTE(Audio!Y567, "RE-", "", 1))*1</f>
        <v>0</v>
      </c>
      <c r="Z567" s="92">
        <f>(SUBSTITUTE(Audio!Z567, "RE-", "", 1))*1</f>
        <v>0</v>
      </c>
      <c r="AA567" s="92"/>
      <c r="AB567" s="92"/>
      <c r="AC567" s="92"/>
      <c r="AD567" s="92"/>
      <c r="AE567" s="92"/>
      <c r="AF567" s="92"/>
      <c r="AG567" s="92"/>
      <c r="AH567" s="92"/>
      <c r="AI567" s="92"/>
      <c r="AJ567" s="92"/>
      <c r="AK567" s="92"/>
      <c r="AL567" s="92"/>
      <c r="AM567" s="92"/>
      <c r="AN567" s="92"/>
      <c r="AO567" s="92"/>
      <c r="AP567" s="92"/>
      <c r="AQ567" s="92"/>
      <c r="AR567" s="92"/>
      <c r="AS567" s="92"/>
      <c r="AT567" s="92"/>
      <c r="AU567" s="92"/>
      <c r="AV567" s="92"/>
      <c r="AW567" s="92"/>
      <c r="AX567" s="92"/>
      <c r="AY567" s="92"/>
      <c r="AZ567" s="92"/>
      <c r="BA567" s="92"/>
      <c r="BB567" s="92"/>
      <c r="BC567" s="92"/>
      <c r="BD567" s="92"/>
      <c r="BE567" s="92"/>
      <c r="BF567" s="92"/>
      <c r="BG567" s="92"/>
      <c r="BH567" s="92"/>
      <c r="BI567" s="92"/>
      <c r="BJ567" s="92"/>
      <c r="BK567" s="92"/>
      <c r="BL567" s="92"/>
      <c r="BM567" s="92"/>
      <c r="BN567" s="92"/>
      <c r="BO567" s="92"/>
      <c r="BP567" s="92"/>
      <c r="BQ567" s="92"/>
      <c r="BR567" s="92"/>
      <c r="BS567" s="92"/>
      <c r="BT567" s="92"/>
      <c r="BU567" s="92"/>
      <c r="BV567" s="92"/>
      <c r="BW567" s="92"/>
      <c r="BX567" s="92"/>
      <c r="BY567" s="92"/>
      <c r="BZ567" s="92"/>
      <c r="CA567" s="92"/>
      <c r="CB567" s="92"/>
      <c r="CC567" s="92"/>
      <c r="CD567" s="92"/>
      <c r="CE567" s="92"/>
      <c r="CF567" s="92"/>
      <c r="CG567" s="92"/>
      <c r="CH567" s="92"/>
      <c r="CI567" s="92"/>
      <c r="CJ567" s="92"/>
      <c r="CK567" s="92"/>
      <c r="CL567" s="92"/>
      <c r="CM567" s="92"/>
      <c r="CN567" s="92"/>
      <c r="CO567" s="92"/>
      <c r="CP567" s="92"/>
      <c r="CQ567" s="92"/>
      <c r="CR567" s="92"/>
      <c r="CS567" s="92"/>
      <c r="CT567" s="92"/>
      <c r="CU567" s="92"/>
      <c r="CV567" s="92"/>
      <c r="CW567" s="92"/>
      <c r="CX567" s="92"/>
      <c r="CY567" s="92"/>
      <c r="CZ567" s="92"/>
      <c r="DA567" s="92"/>
      <c r="DB567" s="92"/>
      <c r="DC567" s="92"/>
      <c r="DD567" s="92"/>
      <c r="DE567" s="92"/>
      <c r="DF567" s="92"/>
      <c r="DG567" s="92"/>
      <c r="DH567" s="92"/>
      <c r="DI567" s="92"/>
      <c r="DJ567" s="92"/>
      <c r="DK567" s="92"/>
      <c r="DL567" s="92"/>
      <c r="DM567" s="92"/>
      <c r="DN567" s="92"/>
      <c r="DO567" s="92"/>
      <c r="DP567" s="92"/>
      <c r="DQ567" s="92"/>
      <c r="DR567" s="92"/>
      <c r="DS567" s="92"/>
      <c r="DT567" s="92"/>
      <c r="DU567" s="92"/>
      <c r="DV567" s="92"/>
      <c r="DW567" s="92"/>
      <c r="DX567" s="92"/>
      <c r="DY567" s="92"/>
      <c r="DZ567" s="92"/>
      <c r="EA567" s="92"/>
      <c r="EB567" s="92"/>
      <c r="EC567" s="92"/>
      <c r="ED567" s="92"/>
      <c r="EE567" s="92"/>
      <c r="EF567" s="92"/>
      <c r="EG567" s="92"/>
      <c r="EH567" s="92"/>
      <c r="EI567" s="92"/>
      <c r="EJ567" s="92"/>
      <c r="EK567" s="92"/>
      <c r="EL567" s="92"/>
      <c r="EM567" s="92"/>
      <c r="EN567" s="92"/>
      <c r="EO567" s="92"/>
      <c r="EP567" s="92"/>
      <c r="EQ567" s="92"/>
      <c r="ER567" s="92"/>
      <c r="ES567" s="92"/>
      <c r="ET567" s="92"/>
      <c r="EU567" s="92"/>
      <c r="EV567" s="92"/>
      <c r="EW567" s="92"/>
      <c r="EX567" s="92"/>
      <c r="EY567" s="92"/>
      <c r="EZ567" s="92"/>
      <c r="FA567" s="92"/>
      <c r="FB567" s="92"/>
      <c r="FC567" s="92"/>
      <c r="FD567" s="92"/>
      <c r="FE567" s="92"/>
      <c r="FF567" s="92"/>
      <c r="FG567" s="92"/>
      <c r="FH567" s="92"/>
    </row>
    <row r="568">
      <c r="A568" s="42" t="s">
        <v>38</v>
      </c>
      <c r="B568" s="42" t="s">
        <v>96</v>
      </c>
      <c r="C568" s="42" t="s">
        <v>13</v>
      </c>
      <c r="D568" s="101">
        <f t="shared" si="1"/>
        <v>5120.52233</v>
      </c>
      <c r="E568" s="92">
        <f>(SUBSTITUTE(Audio!E568, "RE-", "", 1))*1</f>
        <v>0</v>
      </c>
      <c r="F568" s="92">
        <f>(SUBSTITUTE(Audio!F568, "RE-", "", 1))*1</f>
        <v>216.919</v>
      </c>
      <c r="G568" s="92">
        <f>(SUBSTITUTE(Audio!G568, "RE-", "", 1))*1</f>
        <v>1.57223</v>
      </c>
      <c r="H568" s="92">
        <f>(SUBSTITUTE(Audio!H568, "RE-", "", 1))*1</f>
        <v>14.3971</v>
      </c>
      <c r="I568" s="92">
        <f>(SUBSTITUTE(Audio!I568, "RE-", "", 1))*1</f>
        <v>0</v>
      </c>
      <c r="J568" s="92">
        <f>(SUBSTITUTE(Audio!J568, "RE-", "", 1))*1</f>
        <v>340.293</v>
      </c>
      <c r="K568" s="92">
        <f>(SUBSTITUTE(Audio!K568, "RE-", "", 1))*1</f>
        <v>2.15872</v>
      </c>
      <c r="L568" s="92">
        <f>(SUBSTITUTE(Audio!L568, "RE-", "", 1))*1</f>
        <v>1116.35</v>
      </c>
      <c r="M568" s="92">
        <f>(SUBSTITUTE(Audio!M568, "RE-", "", 1))*1</f>
        <v>5.49443</v>
      </c>
      <c r="N568" s="92">
        <f>(SUBSTITUTE(Audio!N568, "RE-", "", 1))*1</f>
        <v>2420.28</v>
      </c>
      <c r="O568" s="92">
        <f>(SUBSTITUTE(Audio!O568, "RE-", "", 1))*1</f>
        <v>25.496</v>
      </c>
      <c r="P568" s="92">
        <f>(SUBSTITUTE(Audio!P568, "RE-", "", 1))*1</f>
        <v>413.766</v>
      </c>
      <c r="Q568" s="92">
        <f>(SUBSTITUTE(Audio!Q568, "RE-", "", 1))*1</f>
        <v>27.2884</v>
      </c>
      <c r="R568" s="92">
        <f>(SUBSTITUTE(Audio!R568, "RE-", "", 1))*1</f>
        <v>60.1498</v>
      </c>
      <c r="S568" s="92">
        <f>(SUBSTITUTE(Audio!S568, "RE-", "", 1))*1</f>
        <v>10.3636</v>
      </c>
      <c r="T568" s="92">
        <f>(SUBSTITUTE(Audio!T568, "RE-", "", 1))*1</f>
        <v>434.541</v>
      </c>
      <c r="U568" s="92">
        <f>(SUBSTITUTE(Audio!U568, "RE-", "", 1))*1</f>
        <v>29.3558</v>
      </c>
      <c r="V568" s="92">
        <f>(SUBSTITUTE(Audio!V568, "RE-", "", 1))*1</f>
        <v>2.09725</v>
      </c>
      <c r="W568" s="92">
        <f>(SUBSTITUTE(Audio!W568, "RE-", "", 1))*1</f>
        <v>0</v>
      </c>
      <c r="X568" s="92">
        <f>(SUBSTITUTE(Audio!X568, "RE-", "", 1))*1</f>
        <v>0</v>
      </c>
      <c r="Y568" s="92">
        <f>(SUBSTITUTE(Audio!Y568, "RE-", "", 1))*1</f>
        <v>0</v>
      </c>
      <c r="Z568" s="92">
        <f>(SUBSTITUTE(Audio!Z568, "RE-", "", 1))*1</f>
        <v>0</v>
      </c>
      <c r="AA568" s="92"/>
      <c r="AB568" s="92"/>
      <c r="AC568" s="92"/>
      <c r="AD568" s="92"/>
      <c r="AE568" s="92"/>
      <c r="AF568" s="92"/>
      <c r="AG568" s="92"/>
      <c r="AH568" s="92"/>
      <c r="AI568" s="92"/>
      <c r="AJ568" s="92"/>
      <c r="AK568" s="92"/>
      <c r="AL568" s="92"/>
      <c r="AM568" s="92"/>
      <c r="AN568" s="92"/>
      <c r="AO568" s="92"/>
      <c r="AP568" s="92"/>
      <c r="AQ568" s="92"/>
      <c r="AR568" s="92"/>
      <c r="AS568" s="92"/>
      <c r="AT568" s="92"/>
      <c r="AU568" s="92"/>
      <c r="AV568" s="92"/>
      <c r="AW568" s="92"/>
      <c r="AX568" s="92"/>
      <c r="AY568" s="92"/>
      <c r="AZ568" s="92"/>
      <c r="BA568" s="92"/>
      <c r="BB568" s="92"/>
      <c r="BC568" s="92"/>
      <c r="BD568" s="92"/>
      <c r="BE568" s="92"/>
      <c r="BF568" s="92"/>
      <c r="BG568" s="92"/>
      <c r="BH568" s="92"/>
      <c r="BI568" s="92"/>
      <c r="BJ568" s="92"/>
      <c r="BK568" s="92"/>
      <c r="BL568" s="92"/>
      <c r="BM568" s="92"/>
      <c r="BN568" s="92"/>
      <c r="BO568" s="92"/>
      <c r="BP568" s="92"/>
      <c r="BQ568" s="92"/>
      <c r="BR568" s="92"/>
      <c r="BS568" s="92"/>
      <c r="BT568" s="92"/>
      <c r="BU568" s="92"/>
      <c r="BV568" s="92"/>
      <c r="BW568" s="92"/>
      <c r="BX568" s="92"/>
      <c r="BY568" s="92"/>
      <c r="BZ568" s="92"/>
      <c r="CA568" s="92"/>
      <c r="CB568" s="92"/>
      <c r="CC568" s="92"/>
      <c r="CD568" s="92"/>
      <c r="CE568" s="92"/>
      <c r="CF568" s="92"/>
      <c r="CG568" s="92"/>
      <c r="CH568" s="92"/>
      <c r="CI568" s="92"/>
      <c r="CJ568" s="92"/>
      <c r="CK568" s="92"/>
      <c r="CL568" s="92"/>
      <c r="CM568" s="92"/>
      <c r="CN568" s="92"/>
      <c r="CO568" s="92"/>
      <c r="CP568" s="92"/>
      <c r="CQ568" s="92"/>
      <c r="CR568" s="92"/>
      <c r="CS568" s="92"/>
      <c r="CT568" s="92"/>
      <c r="CU568" s="92"/>
      <c r="CV568" s="92"/>
      <c r="CW568" s="92"/>
      <c r="CX568" s="92"/>
      <c r="CY568" s="92"/>
      <c r="CZ568" s="92"/>
      <c r="DA568" s="92"/>
      <c r="DB568" s="92"/>
      <c r="DC568" s="92"/>
      <c r="DD568" s="92"/>
      <c r="DE568" s="92"/>
      <c r="DF568" s="92"/>
      <c r="DG568" s="92"/>
      <c r="DH568" s="92"/>
      <c r="DI568" s="92"/>
      <c r="DJ568" s="92"/>
      <c r="DK568" s="92"/>
      <c r="DL568" s="92"/>
      <c r="DM568" s="92"/>
      <c r="DN568" s="92"/>
      <c r="DO568" s="92"/>
      <c r="DP568" s="92"/>
      <c r="DQ568" s="92"/>
      <c r="DR568" s="92"/>
      <c r="DS568" s="92"/>
      <c r="DT568" s="92"/>
      <c r="DU568" s="92"/>
      <c r="DV568" s="92"/>
      <c r="DW568" s="92"/>
      <c r="DX568" s="92"/>
      <c r="DY568" s="92"/>
      <c r="DZ568" s="92"/>
      <c r="EA568" s="92"/>
      <c r="EB568" s="92"/>
      <c r="EC568" s="92"/>
      <c r="ED568" s="92"/>
      <c r="EE568" s="92"/>
      <c r="EF568" s="92"/>
      <c r="EG568" s="92"/>
      <c r="EH568" s="92"/>
      <c r="EI568" s="92"/>
      <c r="EJ568" s="92"/>
      <c r="EK568" s="92"/>
      <c r="EL568" s="92"/>
      <c r="EM568" s="92"/>
      <c r="EN568" s="92"/>
      <c r="EO568" s="92"/>
      <c r="EP568" s="92"/>
      <c r="EQ568" s="92"/>
      <c r="ER568" s="92"/>
      <c r="ES568" s="92"/>
      <c r="ET568" s="92"/>
      <c r="EU568" s="92"/>
      <c r="EV568" s="92"/>
      <c r="EW568" s="92"/>
      <c r="EX568" s="92"/>
      <c r="EY568" s="92"/>
      <c r="EZ568" s="92"/>
      <c r="FA568" s="92"/>
      <c r="FB568" s="92"/>
      <c r="FC568" s="92"/>
      <c r="FD568" s="92"/>
      <c r="FE568" s="92"/>
      <c r="FF568" s="92"/>
      <c r="FG568" s="92"/>
      <c r="FH568" s="92"/>
    </row>
    <row r="569">
      <c r="A569" s="42" t="s">
        <v>38</v>
      </c>
      <c r="B569" s="42" t="s">
        <v>96</v>
      </c>
      <c r="C569" s="42" t="s">
        <v>14</v>
      </c>
      <c r="D569" s="101">
        <f t="shared" si="1"/>
        <v>4553.79964</v>
      </c>
      <c r="E569" s="92">
        <f>(SUBSTITUTE(Audio!E569, "RE-", "", 1))*1</f>
        <v>0</v>
      </c>
      <c r="F569" s="92">
        <f>(SUBSTITUTE(Audio!F569, "RE-", "", 1))*1</f>
        <v>194.414</v>
      </c>
      <c r="G569" s="92">
        <f>(SUBSTITUTE(Audio!G569, "RE-", "", 1))*1</f>
        <v>1.57223</v>
      </c>
      <c r="H569" s="92">
        <f>(SUBSTITUTE(Audio!H569, "RE-", "", 1))*1</f>
        <v>8.28317</v>
      </c>
      <c r="I569" s="92">
        <f>(SUBSTITUTE(Audio!I569, "RE-", "", 1))*1</f>
        <v>0</v>
      </c>
      <c r="J569" s="92">
        <f>(SUBSTITUTE(Audio!J569, "RE-", "", 1))*1</f>
        <v>314.782</v>
      </c>
      <c r="K569" s="92">
        <f>(SUBSTITUTE(Audio!K569, "RE-", "", 1))*1</f>
        <v>2.0818</v>
      </c>
      <c r="L569" s="92">
        <f>(SUBSTITUTE(Audio!L569, "RE-", "", 1))*1</f>
        <v>990.293</v>
      </c>
      <c r="M569" s="92">
        <f>(SUBSTITUTE(Audio!M569, "RE-", "", 1))*1</f>
        <v>4.61417</v>
      </c>
      <c r="N569" s="92">
        <f>(SUBSTITUTE(Audio!N569, "RE-", "", 1))*1</f>
        <v>2172.76</v>
      </c>
      <c r="O569" s="92">
        <f>(SUBSTITUTE(Audio!O569, "RE-", "", 1))*1</f>
        <v>23.474</v>
      </c>
      <c r="P569" s="92">
        <f>(SUBSTITUTE(Audio!P569, "RE-", "", 1))*1</f>
        <v>355.906</v>
      </c>
      <c r="Q569" s="92">
        <f>(SUBSTITUTE(Audio!Q569, "RE-", "", 1))*1</f>
        <v>23.2924</v>
      </c>
      <c r="R569" s="92">
        <f>(SUBSTITUTE(Audio!R569, "RE-", "", 1))*1</f>
        <v>51.4017</v>
      </c>
      <c r="S569" s="92">
        <f>(SUBSTITUTE(Audio!S569, "RE-", "", 1))*1</f>
        <v>9.18395</v>
      </c>
      <c r="T569" s="92">
        <f>(SUBSTITUTE(Audio!T569, "RE-", "", 1))*1</f>
        <v>374.003</v>
      </c>
      <c r="U569" s="92">
        <f>(SUBSTITUTE(Audio!U569, "RE-", "", 1))*1</f>
        <v>26.1504</v>
      </c>
      <c r="V569" s="92">
        <f>(SUBSTITUTE(Audio!V569, "RE-", "", 1))*1</f>
        <v>1.58782</v>
      </c>
      <c r="W569" s="92">
        <f>(SUBSTITUTE(Audio!W569, "RE-", "", 1))*1</f>
        <v>0</v>
      </c>
      <c r="X569" s="92">
        <f>(SUBSTITUTE(Audio!X569, "RE-", "", 1))*1</f>
        <v>0</v>
      </c>
      <c r="Y569" s="92">
        <f>(SUBSTITUTE(Audio!Y569, "RE-", "", 1))*1</f>
        <v>0</v>
      </c>
      <c r="Z569" s="92">
        <f>(SUBSTITUTE(Audio!Z569, "RE-", "", 1))*1</f>
        <v>0</v>
      </c>
      <c r="AA569" s="92"/>
      <c r="AB569" s="92"/>
      <c r="AC569" s="92"/>
      <c r="AD569" s="92"/>
      <c r="AE569" s="92"/>
      <c r="AF569" s="92"/>
      <c r="AG569" s="92"/>
      <c r="AH569" s="92"/>
      <c r="AI569" s="92"/>
      <c r="AJ569" s="92"/>
      <c r="AK569" s="92"/>
      <c r="AL569" s="92"/>
      <c r="AM569" s="92"/>
      <c r="AN569" s="92"/>
      <c r="AO569" s="92"/>
      <c r="AP569" s="92"/>
      <c r="AQ569" s="92"/>
      <c r="AR569" s="92"/>
      <c r="AS569" s="92"/>
      <c r="AT569" s="92"/>
      <c r="AU569" s="92"/>
      <c r="AV569" s="92"/>
      <c r="AW569" s="92"/>
      <c r="AX569" s="92"/>
      <c r="AY569" s="92"/>
      <c r="AZ569" s="92"/>
      <c r="BA569" s="92"/>
      <c r="BB569" s="92"/>
      <c r="BC569" s="92"/>
      <c r="BD569" s="92"/>
      <c r="BE569" s="92"/>
      <c r="BF569" s="92"/>
      <c r="BG569" s="92"/>
      <c r="BH569" s="92"/>
      <c r="BI569" s="92"/>
      <c r="BJ569" s="92"/>
      <c r="BK569" s="92"/>
      <c r="BL569" s="92"/>
      <c r="BM569" s="92"/>
      <c r="BN569" s="92"/>
      <c r="BO569" s="92"/>
      <c r="BP569" s="92"/>
      <c r="BQ569" s="92"/>
      <c r="BR569" s="92"/>
      <c r="BS569" s="92"/>
      <c r="BT569" s="92"/>
      <c r="BU569" s="92"/>
      <c r="BV569" s="92"/>
      <c r="BW569" s="92"/>
      <c r="BX569" s="92"/>
      <c r="BY569" s="92"/>
      <c r="BZ569" s="92"/>
      <c r="CA569" s="92"/>
      <c r="CB569" s="92"/>
      <c r="CC569" s="92"/>
      <c r="CD569" s="92"/>
      <c r="CE569" s="92"/>
      <c r="CF569" s="92"/>
      <c r="CG569" s="92"/>
      <c r="CH569" s="92"/>
      <c r="CI569" s="92"/>
      <c r="CJ569" s="92"/>
      <c r="CK569" s="92"/>
      <c r="CL569" s="92"/>
      <c r="CM569" s="92"/>
      <c r="CN569" s="92"/>
      <c r="CO569" s="92"/>
      <c r="CP569" s="92"/>
      <c r="CQ569" s="92"/>
      <c r="CR569" s="92"/>
      <c r="CS569" s="92"/>
      <c r="CT569" s="92"/>
      <c r="CU569" s="92"/>
      <c r="CV569" s="92"/>
      <c r="CW569" s="92"/>
      <c r="CX569" s="92"/>
      <c r="CY569" s="92"/>
      <c r="CZ569" s="92"/>
      <c r="DA569" s="92"/>
      <c r="DB569" s="92"/>
      <c r="DC569" s="92"/>
      <c r="DD569" s="92"/>
      <c r="DE569" s="92"/>
      <c r="DF569" s="92"/>
      <c r="DG569" s="92"/>
      <c r="DH569" s="92"/>
      <c r="DI569" s="92"/>
      <c r="DJ569" s="92"/>
      <c r="DK569" s="92"/>
      <c r="DL569" s="92"/>
      <c r="DM569" s="92"/>
      <c r="DN569" s="92"/>
      <c r="DO569" s="92"/>
      <c r="DP569" s="92"/>
      <c r="DQ569" s="92"/>
      <c r="DR569" s="92"/>
      <c r="DS569" s="92"/>
      <c r="DT569" s="92"/>
      <c r="DU569" s="92"/>
      <c r="DV569" s="92"/>
      <c r="DW569" s="92"/>
      <c r="DX569" s="92"/>
      <c r="DY569" s="92"/>
      <c r="DZ569" s="92"/>
      <c r="EA569" s="92"/>
      <c r="EB569" s="92"/>
      <c r="EC569" s="92"/>
      <c r="ED569" s="92"/>
      <c r="EE569" s="92"/>
      <c r="EF569" s="92"/>
      <c r="EG569" s="92"/>
      <c r="EH569" s="92"/>
      <c r="EI569" s="92"/>
      <c r="EJ569" s="92"/>
      <c r="EK569" s="92"/>
      <c r="EL569" s="92"/>
      <c r="EM569" s="92"/>
      <c r="EN569" s="92"/>
      <c r="EO569" s="92"/>
      <c r="EP569" s="92"/>
      <c r="EQ569" s="92"/>
      <c r="ER569" s="92"/>
      <c r="ES569" s="92"/>
      <c r="ET569" s="92"/>
      <c r="EU569" s="92"/>
      <c r="EV569" s="92"/>
      <c r="EW569" s="92"/>
      <c r="EX569" s="92"/>
      <c r="EY569" s="92"/>
      <c r="EZ569" s="92"/>
      <c r="FA569" s="92"/>
      <c r="FB569" s="92"/>
      <c r="FC569" s="92"/>
      <c r="FD569" s="92"/>
      <c r="FE569" s="92"/>
      <c r="FF569" s="92"/>
      <c r="FG569" s="92"/>
      <c r="FH569" s="92"/>
    </row>
    <row r="570">
      <c r="A570" s="35" t="s">
        <v>38</v>
      </c>
      <c r="B570" s="35" t="s">
        <v>96</v>
      </c>
      <c r="C570" s="35" t="s">
        <v>15</v>
      </c>
      <c r="D570" s="99">
        <f t="shared" si="1"/>
        <v>5115.33291</v>
      </c>
      <c r="E570" s="92">
        <f>(SUBSTITUTE(Audio!E570, "RE-", "", 1))*1</f>
        <v>0</v>
      </c>
      <c r="F570" s="92">
        <f>(SUBSTITUTE(Audio!F570, "RE-", "", 1))*1</f>
        <v>216.894</v>
      </c>
      <c r="G570" s="92">
        <f>(SUBSTITUTE(Audio!G570, "RE-", "", 1))*1</f>
        <v>1.57223</v>
      </c>
      <c r="H570" s="92">
        <f>(SUBSTITUTE(Audio!H570, "RE-", "", 1))*1</f>
        <v>14.3971</v>
      </c>
      <c r="I570" s="92">
        <f>(SUBSTITUTE(Audio!I570, "RE-", "", 1))*1</f>
        <v>0</v>
      </c>
      <c r="J570" s="92">
        <f>(SUBSTITUTE(Audio!J570, "RE-", "", 1))*1</f>
        <v>340.293</v>
      </c>
      <c r="K570" s="92">
        <f>(SUBSTITUTE(Audio!K570, "RE-", "", 1))*1</f>
        <v>2.0818</v>
      </c>
      <c r="L570" s="92">
        <f>(SUBSTITUTE(Audio!L570, "RE-", "", 1))*1</f>
        <v>1112.19</v>
      </c>
      <c r="M570" s="92">
        <f>(SUBSTITUTE(Audio!M570, "RE-", "", 1))*1</f>
        <v>5.49443</v>
      </c>
      <c r="N570" s="92">
        <f>(SUBSTITUTE(Audio!N570, "RE-", "", 1))*1</f>
        <v>2420.28</v>
      </c>
      <c r="O570" s="92">
        <f>(SUBSTITUTE(Audio!O570, "RE-", "", 1))*1</f>
        <v>25.496</v>
      </c>
      <c r="P570" s="92">
        <f>(SUBSTITUTE(Audio!P570, "RE-", "", 1))*1</f>
        <v>413.461</v>
      </c>
      <c r="Q570" s="92">
        <f>(SUBSTITUTE(Audio!Q570, "RE-", "", 1))*1</f>
        <v>27.2369</v>
      </c>
      <c r="R570" s="92">
        <f>(SUBSTITUTE(Audio!R570, "RE-", "", 1))*1</f>
        <v>60.1498</v>
      </c>
      <c r="S570" s="92">
        <f>(SUBSTITUTE(Audio!S570, "RE-", "", 1))*1</f>
        <v>10.2157</v>
      </c>
      <c r="T570" s="92">
        <f>(SUBSTITUTE(Audio!T570, "RE-", "", 1))*1</f>
        <v>434.456</v>
      </c>
      <c r="U570" s="92">
        <f>(SUBSTITUTE(Audio!U570, "RE-", "", 1))*1</f>
        <v>29.0177</v>
      </c>
      <c r="V570" s="92">
        <f>(SUBSTITUTE(Audio!V570, "RE-", "", 1))*1</f>
        <v>2.09725</v>
      </c>
      <c r="W570" s="92">
        <f>(SUBSTITUTE(Audio!W570, "RE-", "", 1))*1</f>
        <v>0</v>
      </c>
      <c r="X570" s="92">
        <f>(SUBSTITUTE(Audio!X570, "RE-", "", 1))*1</f>
        <v>0</v>
      </c>
      <c r="Y570" s="92">
        <f>(SUBSTITUTE(Audio!Y570, "RE-", "", 1))*1</f>
        <v>0</v>
      </c>
      <c r="Z570" s="92">
        <f>(SUBSTITUTE(Audio!Z570, "RE-", "", 1))*1</f>
        <v>0</v>
      </c>
      <c r="AA570" s="92"/>
      <c r="AB570" s="92"/>
      <c r="AC570" s="92"/>
      <c r="AD570" s="92"/>
      <c r="AE570" s="92"/>
      <c r="AF570" s="92"/>
      <c r="AG570" s="92"/>
      <c r="AH570" s="92"/>
      <c r="AI570" s="92"/>
      <c r="AJ570" s="92"/>
      <c r="AK570" s="92"/>
      <c r="AL570" s="92"/>
      <c r="AM570" s="92"/>
      <c r="AN570" s="92"/>
      <c r="AO570" s="92"/>
      <c r="AP570" s="92"/>
      <c r="AQ570" s="92"/>
      <c r="AR570" s="92"/>
      <c r="AS570" s="92"/>
      <c r="AT570" s="92"/>
      <c r="AU570" s="92"/>
      <c r="AV570" s="92"/>
      <c r="AW570" s="92"/>
      <c r="AX570" s="92"/>
      <c r="AY570" s="92"/>
      <c r="AZ570" s="92"/>
      <c r="BA570" s="92"/>
      <c r="BB570" s="92"/>
      <c r="BC570" s="92"/>
      <c r="BD570" s="92"/>
      <c r="BE570" s="92"/>
      <c r="BF570" s="92"/>
      <c r="BG570" s="92"/>
      <c r="BH570" s="92"/>
      <c r="BI570" s="92"/>
      <c r="BJ570" s="92"/>
      <c r="BK570" s="92"/>
      <c r="BL570" s="92"/>
      <c r="BM570" s="92"/>
      <c r="BN570" s="92"/>
      <c r="BO570" s="92"/>
      <c r="BP570" s="92"/>
      <c r="BQ570" s="92"/>
      <c r="BR570" s="92"/>
      <c r="BS570" s="92"/>
      <c r="BT570" s="92"/>
      <c r="BU570" s="92"/>
      <c r="BV570" s="92"/>
      <c r="BW570" s="92"/>
      <c r="BX570" s="92"/>
      <c r="BY570" s="92"/>
      <c r="BZ570" s="92"/>
      <c r="CA570" s="92"/>
      <c r="CB570" s="92"/>
      <c r="CC570" s="92"/>
      <c r="CD570" s="92"/>
      <c r="CE570" s="92"/>
      <c r="CF570" s="92"/>
      <c r="CG570" s="92"/>
      <c r="CH570" s="92"/>
      <c r="CI570" s="92"/>
      <c r="CJ570" s="92"/>
      <c r="CK570" s="92"/>
      <c r="CL570" s="92"/>
      <c r="CM570" s="92"/>
      <c r="CN570" s="92"/>
      <c r="CO570" s="92"/>
      <c r="CP570" s="92"/>
      <c r="CQ570" s="92"/>
      <c r="CR570" s="92"/>
      <c r="CS570" s="92"/>
      <c r="CT570" s="92"/>
      <c r="CU570" s="92"/>
      <c r="CV570" s="92"/>
      <c r="CW570" s="92"/>
      <c r="CX570" s="92"/>
      <c r="CY570" s="92"/>
      <c r="CZ570" s="92"/>
      <c r="DA570" s="92"/>
      <c r="DB570" s="92"/>
      <c r="DC570" s="92"/>
      <c r="DD570" s="92"/>
      <c r="DE570" s="92"/>
      <c r="DF570" s="92"/>
      <c r="DG570" s="92"/>
      <c r="DH570" s="92"/>
      <c r="DI570" s="92"/>
      <c r="DJ570" s="92"/>
      <c r="DK570" s="92"/>
      <c r="DL570" s="92"/>
      <c r="DM570" s="92"/>
      <c r="DN570" s="92"/>
      <c r="DO570" s="92"/>
      <c r="DP570" s="92"/>
      <c r="DQ570" s="92"/>
      <c r="DR570" s="92"/>
      <c r="DS570" s="92"/>
      <c r="DT570" s="92"/>
      <c r="DU570" s="92"/>
      <c r="DV570" s="92"/>
      <c r="DW570" s="92"/>
      <c r="DX570" s="92"/>
      <c r="DY570" s="92"/>
      <c r="DZ570" s="92"/>
      <c r="EA570" s="92"/>
      <c r="EB570" s="92"/>
      <c r="EC570" s="92"/>
      <c r="ED570" s="92"/>
      <c r="EE570" s="92"/>
      <c r="EF570" s="92"/>
      <c r="EG570" s="92"/>
      <c r="EH570" s="92"/>
      <c r="EI570" s="92"/>
      <c r="EJ570" s="92"/>
      <c r="EK570" s="92"/>
      <c r="EL570" s="92"/>
      <c r="EM570" s="92"/>
      <c r="EN570" s="92"/>
      <c r="EO570" s="92"/>
      <c r="EP570" s="92"/>
      <c r="EQ570" s="92"/>
      <c r="ER570" s="92"/>
      <c r="ES570" s="92"/>
      <c r="ET570" s="92"/>
      <c r="EU570" s="92"/>
      <c r="EV570" s="92"/>
      <c r="EW570" s="92"/>
      <c r="EX570" s="92"/>
      <c r="EY570" s="92"/>
      <c r="EZ570" s="92"/>
      <c r="FA570" s="92"/>
      <c r="FB570" s="92"/>
      <c r="FC570" s="92"/>
      <c r="FD570" s="92"/>
      <c r="FE570" s="92"/>
      <c r="FF570" s="92"/>
      <c r="FG570" s="92"/>
      <c r="FH570" s="92"/>
    </row>
    <row r="571">
      <c r="A571" s="45" t="s">
        <v>38</v>
      </c>
      <c r="B571" s="45" t="s">
        <v>97</v>
      </c>
      <c r="C571" s="46" t="str">
        <f>HYPERLINK("https://docs.google.com/spreadsheets/d/1PBNCsr3G7uHwmgSql34tGQpZ3Vu9IehH/edit?usp=share_link&amp;ouid=106501987799020758802&amp;rtpof=true&amp;sd=true", "Raw Delivered")</f>
        <v>Raw Delivered</v>
      </c>
      <c r="D571" s="100">
        <f t="shared" si="1"/>
        <v>5945.482132</v>
      </c>
      <c r="E571" s="92">
        <f>(SUBSTITUTE(Audio!E571, "RE-", "", 1))*1</f>
        <v>0</v>
      </c>
      <c r="F571" s="92">
        <f>(SUBSTITUTE(Audio!F571, "RE-", "", 1))*1</f>
        <v>1227.815656</v>
      </c>
      <c r="G571" s="92">
        <f>(SUBSTITUTE(Audio!G571, "RE-", "", 1))*1</f>
        <v>0</v>
      </c>
      <c r="H571" s="92">
        <f>(SUBSTITUTE(Audio!H571, "RE-", "", 1))*1</f>
        <v>71.1955375</v>
      </c>
      <c r="I571" s="92">
        <f>(SUBSTITUTE(Audio!I571, "RE-", "", 1))*1</f>
        <v>0</v>
      </c>
      <c r="J571" s="92">
        <f>(SUBSTITUTE(Audio!J571, "RE-", "", 1))*1</f>
        <v>1169.316422</v>
      </c>
      <c r="K571" s="92">
        <f>(SUBSTITUTE(Audio!K571, "RE-", "", 1))*1</f>
        <v>0</v>
      </c>
      <c r="L571" s="92">
        <f>(SUBSTITUTE(Audio!L571, "RE-", "", 1))*1</f>
        <v>821.4329917</v>
      </c>
      <c r="M571" s="92">
        <f>(SUBSTITUTE(Audio!M571, "RE-", "", 1))*1</f>
        <v>0</v>
      </c>
      <c r="N571" s="92">
        <f>(SUBSTITUTE(Audio!N571, "RE-", "", 1))*1</f>
        <v>1817.155385</v>
      </c>
      <c r="O571" s="92">
        <f>(SUBSTITUTE(Audio!O571, "RE-", "", 1))*1</f>
        <v>0</v>
      </c>
      <c r="P571" s="92">
        <f>(SUBSTITUTE(Audio!P571, "RE-", "", 1))*1</f>
        <v>504.9578948</v>
      </c>
      <c r="Q571" s="92">
        <f>(SUBSTITUTE(Audio!Q571, "RE-", "", 1))*1</f>
        <v>0</v>
      </c>
      <c r="R571" s="92">
        <f>(SUBSTITUTE(Audio!R571, "RE-", "", 1))*1</f>
        <v>71.93699062</v>
      </c>
      <c r="S571" s="92">
        <f>(SUBSTITUTE(Audio!S571, "RE-", "", 1))*1</f>
        <v>0</v>
      </c>
      <c r="T571" s="92">
        <f>(SUBSTITUTE(Audio!T571, "RE-", "", 1))*1</f>
        <v>261.6712542</v>
      </c>
      <c r="U571" s="92">
        <f>(SUBSTITUTE(Audio!U571, "RE-", "", 1))*1</f>
        <v>0</v>
      </c>
      <c r="V571" s="92">
        <f>(SUBSTITUTE(Audio!V571, "RE-", "", 1))*1</f>
        <v>0</v>
      </c>
      <c r="W571" s="92">
        <f>(SUBSTITUTE(Audio!W571, "RE-", "", 1))*1</f>
        <v>0</v>
      </c>
      <c r="X571" s="92">
        <f>(SUBSTITUTE(Audio!X571, "RE-", "", 1))*1</f>
        <v>0</v>
      </c>
      <c r="Y571" s="92">
        <f>(SUBSTITUTE(Audio!Y571, "RE-", "", 1))*1</f>
        <v>0</v>
      </c>
      <c r="Z571" s="92">
        <f>(SUBSTITUTE(Audio!Z571, "RE-", "", 1))*1</f>
        <v>0</v>
      </c>
      <c r="AA571" s="92"/>
      <c r="AB571" s="92"/>
      <c r="AC571" s="92"/>
      <c r="AD571" s="92"/>
      <c r="AE571" s="92"/>
      <c r="AF571" s="92"/>
      <c r="AG571" s="92"/>
      <c r="AH571" s="92"/>
      <c r="AI571" s="92"/>
      <c r="AJ571" s="92"/>
      <c r="AK571" s="92"/>
      <c r="AL571" s="92"/>
      <c r="AM571" s="92"/>
      <c r="AN571" s="92"/>
      <c r="AO571" s="92"/>
      <c r="AP571" s="92"/>
      <c r="AQ571" s="92"/>
      <c r="AR571" s="92"/>
      <c r="AS571" s="92"/>
      <c r="AT571" s="92"/>
      <c r="AU571" s="92"/>
      <c r="AV571" s="92"/>
      <c r="AW571" s="92"/>
      <c r="AX571" s="92"/>
      <c r="AY571" s="92"/>
      <c r="AZ571" s="92"/>
      <c r="BA571" s="92"/>
      <c r="BB571" s="92"/>
      <c r="BC571" s="92"/>
      <c r="BD571" s="92"/>
      <c r="BE571" s="92"/>
      <c r="BF571" s="92"/>
      <c r="BG571" s="92"/>
      <c r="BH571" s="92"/>
      <c r="BI571" s="92"/>
      <c r="BJ571" s="92"/>
      <c r="BK571" s="92"/>
      <c r="BL571" s="92"/>
      <c r="BM571" s="92"/>
      <c r="BN571" s="92"/>
      <c r="BO571" s="92"/>
      <c r="BP571" s="92"/>
      <c r="BQ571" s="92"/>
      <c r="BR571" s="92"/>
      <c r="BS571" s="92"/>
      <c r="BT571" s="92"/>
      <c r="BU571" s="92"/>
      <c r="BV571" s="92"/>
      <c r="BW571" s="92"/>
      <c r="BX571" s="92"/>
      <c r="BY571" s="92"/>
      <c r="BZ571" s="92"/>
      <c r="CA571" s="92"/>
      <c r="CB571" s="92"/>
      <c r="CC571" s="92"/>
      <c r="CD571" s="92"/>
      <c r="CE571" s="92"/>
      <c r="CF571" s="92"/>
      <c r="CG571" s="92"/>
      <c r="CH571" s="92"/>
      <c r="CI571" s="92"/>
      <c r="CJ571" s="92"/>
      <c r="CK571" s="92"/>
      <c r="CL571" s="92"/>
      <c r="CM571" s="92"/>
      <c r="CN571" s="92"/>
      <c r="CO571" s="92"/>
      <c r="CP571" s="92"/>
      <c r="CQ571" s="92"/>
      <c r="CR571" s="92"/>
      <c r="CS571" s="92"/>
      <c r="CT571" s="92"/>
      <c r="CU571" s="92"/>
      <c r="CV571" s="92"/>
      <c r="CW571" s="92"/>
      <c r="CX571" s="92"/>
      <c r="CY571" s="92"/>
      <c r="CZ571" s="92"/>
      <c r="DA571" s="92"/>
      <c r="DB571" s="92"/>
      <c r="DC571" s="92"/>
      <c r="DD571" s="92"/>
      <c r="DE571" s="92"/>
      <c r="DF571" s="92"/>
      <c r="DG571" s="92"/>
      <c r="DH571" s="92"/>
      <c r="DI571" s="92"/>
      <c r="DJ571" s="92"/>
      <c r="DK571" s="92"/>
      <c r="DL571" s="92"/>
      <c r="DM571" s="92"/>
      <c r="DN571" s="92"/>
      <c r="DO571" s="92"/>
      <c r="DP571" s="92"/>
      <c r="DQ571" s="92"/>
      <c r="DR571" s="92"/>
      <c r="DS571" s="92"/>
      <c r="DT571" s="92"/>
      <c r="DU571" s="92"/>
      <c r="DV571" s="92"/>
      <c r="DW571" s="92"/>
      <c r="DX571" s="92"/>
      <c r="DY571" s="92"/>
      <c r="DZ571" s="92"/>
      <c r="EA571" s="92"/>
      <c r="EB571" s="92"/>
      <c r="EC571" s="92"/>
      <c r="ED571" s="92"/>
      <c r="EE571" s="92"/>
      <c r="EF571" s="92"/>
      <c r="EG571" s="92"/>
      <c r="EH571" s="92"/>
      <c r="EI571" s="92"/>
      <c r="EJ571" s="92"/>
      <c r="EK571" s="92"/>
      <c r="EL571" s="92"/>
      <c r="EM571" s="92"/>
      <c r="EN571" s="92"/>
      <c r="EO571" s="92"/>
      <c r="EP571" s="92"/>
      <c r="EQ571" s="92"/>
      <c r="ER571" s="92"/>
      <c r="ES571" s="92"/>
      <c r="ET571" s="92"/>
      <c r="EU571" s="92"/>
      <c r="EV571" s="92"/>
      <c r="EW571" s="92"/>
      <c r="EX571" s="92"/>
      <c r="EY571" s="92"/>
      <c r="EZ571" s="92"/>
      <c r="FA571" s="92"/>
      <c r="FB571" s="92"/>
      <c r="FC571" s="92"/>
      <c r="FD571" s="92"/>
      <c r="FE571" s="92"/>
      <c r="FF571" s="92"/>
      <c r="FG571" s="92"/>
      <c r="FH571" s="92"/>
    </row>
    <row r="572">
      <c r="A572" s="47" t="s">
        <v>38</v>
      </c>
      <c r="B572" s="47" t="s">
        <v>97</v>
      </c>
      <c r="C572" s="47" t="s">
        <v>9</v>
      </c>
      <c r="D572" s="101">
        <f t="shared" si="1"/>
        <v>5945.482132</v>
      </c>
      <c r="E572" s="92">
        <f>(SUBSTITUTE(Audio!E572, "RE-", "", 1))*1</f>
        <v>0</v>
      </c>
      <c r="F572" s="92">
        <f>(SUBSTITUTE(Audio!F572, "RE-", "", 1))*1</f>
        <v>1227.815656</v>
      </c>
      <c r="G572" s="92">
        <f>(SUBSTITUTE(Audio!G572, "RE-", "", 1))*1</f>
        <v>0</v>
      </c>
      <c r="H572" s="92">
        <f>(SUBSTITUTE(Audio!H572, "RE-", "", 1))*1</f>
        <v>71.1955375</v>
      </c>
      <c r="I572" s="92">
        <f>(SUBSTITUTE(Audio!I572, "RE-", "", 1))*1</f>
        <v>0</v>
      </c>
      <c r="J572" s="92">
        <f>(SUBSTITUTE(Audio!J572, "RE-", "", 1))*1</f>
        <v>1169.316422</v>
      </c>
      <c r="K572" s="92">
        <f>(SUBSTITUTE(Audio!K572, "RE-", "", 1))*1</f>
        <v>0</v>
      </c>
      <c r="L572" s="92">
        <f>(SUBSTITUTE(Audio!L572, "RE-", "", 1))*1</f>
        <v>821.4329917</v>
      </c>
      <c r="M572" s="92">
        <f>(SUBSTITUTE(Audio!M572, "RE-", "", 1))*1</f>
        <v>0</v>
      </c>
      <c r="N572" s="92">
        <f>(SUBSTITUTE(Audio!N572, "RE-", "", 1))*1</f>
        <v>1817.155385</v>
      </c>
      <c r="O572" s="92">
        <f>(SUBSTITUTE(Audio!O572, "RE-", "", 1))*1</f>
        <v>0</v>
      </c>
      <c r="P572" s="92">
        <f>(SUBSTITUTE(Audio!P572, "RE-", "", 1))*1</f>
        <v>504.9578948</v>
      </c>
      <c r="Q572" s="92">
        <f>(SUBSTITUTE(Audio!Q572, "RE-", "", 1))*1</f>
        <v>0</v>
      </c>
      <c r="R572" s="92">
        <f>(SUBSTITUTE(Audio!R572, "RE-", "", 1))*1</f>
        <v>71.93699062</v>
      </c>
      <c r="S572" s="92">
        <f>(SUBSTITUTE(Audio!S572, "RE-", "", 1))*1</f>
        <v>0</v>
      </c>
      <c r="T572" s="92">
        <f>(SUBSTITUTE(Audio!T572, "RE-", "", 1))*1</f>
        <v>261.6712542</v>
      </c>
      <c r="U572" s="92">
        <f>(SUBSTITUTE(Audio!U572, "RE-", "", 1))*1</f>
        <v>0</v>
      </c>
      <c r="V572" s="92">
        <f>(SUBSTITUTE(Audio!V572, "RE-", "", 1))*1</f>
        <v>0</v>
      </c>
      <c r="W572" s="92">
        <f>(SUBSTITUTE(Audio!W572, "RE-", "", 1))*1</f>
        <v>0</v>
      </c>
      <c r="X572" s="92">
        <f>(SUBSTITUTE(Audio!X572, "RE-", "", 1))*1</f>
        <v>0</v>
      </c>
      <c r="Y572" s="92">
        <f>(SUBSTITUTE(Audio!Y572, "RE-", "", 1))*1</f>
        <v>0</v>
      </c>
      <c r="Z572" s="92">
        <f>(SUBSTITUTE(Audio!Z572, "RE-", "", 1))*1</f>
        <v>0</v>
      </c>
      <c r="AA572" s="92"/>
      <c r="AB572" s="92"/>
      <c r="AC572" s="92"/>
      <c r="AD572" s="92"/>
      <c r="AE572" s="92"/>
      <c r="AF572" s="92"/>
      <c r="AG572" s="92"/>
      <c r="AH572" s="92"/>
      <c r="AI572" s="92"/>
      <c r="AJ572" s="92"/>
      <c r="AK572" s="92"/>
      <c r="AL572" s="92"/>
      <c r="AM572" s="92"/>
      <c r="AN572" s="92"/>
      <c r="AO572" s="92"/>
      <c r="AP572" s="92"/>
      <c r="AQ572" s="92"/>
      <c r="AR572" s="92"/>
      <c r="AS572" s="92"/>
      <c r="AT572" s="92"/>
      <c r="AU572" s="92"/>
      <c r="AV572" s="92"/>
      <c r="AW572" s="92"/>
      <c r="AX572" s="92"/>
      <c r="AY572" s="92"/>
      <c r="AZ572" s="92"/>
      <c r="BA572" s="92"/>
      <c r="BB572" s="92"/>
      <c r="BC572" s="92"/>
      <c r="BD572" s="92"/>
      <c r="BE572" s="92"/>
      <c r="BF572" s="92"/>
      <c r="BG572" s="92"/>
      <c r="BH572" s="92"/>
      <c r="BI572" s="92"/>
      <c r="BJ572" s="92"/>
      <c r="BK572" s="92"/>
      <c r="BL572" s="92"/>
      <c r="BM572" s="92"/>
      <c r="BN572" s="92"/>
      <c r="BO572" s="92"/>
      <c r="BP572" s="92"/>
      <c r="BQ572" s="92"/>
      <c r="BR572" s="92"/>
      <c r="BS572" s="92"/>
      <c r="BT572" s="92"/>
      <c r="BU572" s="92"/>
      <c r="BV572" s="92"/>
      <c r="BW572" s="92"/>
      <c r="BX572" s="92"/>
      <c r="BY572" s="92"/>
      <c r="BZ572" s="92"/>
      <c r="CA572" s="92"/>
      <c r="CB572" s="92"/>
      <c r="CC572" s="92"/>
      <c r="CD572" s="92"/>
      <c r="CE572" s="92"/>
      <c r="CF572" s="92"/>
      <c r="CG572" s="92"/>
      <c r="CH572" s="92"/>
      <c r="CI572" s="92"/>
      <c r="CJ572" s="92"/>
      <c r="CK572" s="92"/>
      <c r="CL572" s="92"/>
      <c r="CM572" s="92"/>
      <c r="CN572" s="92"/>
      <c r="CO572" s="92"/>
      <c r="CP572" s="92"/>
      <c r="CQ572" s="92"/>
      <c r="CR572" s="92"/>
      <c r="CS572" s="92"/>
      <c r="CT572" s="92"/>
      <c r="CU572" s="92"/>
      <c r="CV572" s="92"/>
      <c r="CW572" s="92"/>
      <c r="CX572" s="92"/>
      <c r="CY572" s="92"/>
      <c r="CZ572" s="92"/>
      <c r="DA572" s="92"/>
      <c r="DB572" s="92"/>
      <c r="DC572" s="92"/>
      <c r="DD572" s="92"/>
      <c r="DE572" s="92"/>
      <c r="DF572" s="92"/>
      <c r="DG572" s="92"/>
      <c r="DH572" s="92"/>
      <c r="DI572" s="92"/>
      <c r="DJ572" s="92"/>
      <c r="DK572" s="92"/>
      <c r="DL572" s="92"/>
      <c r="DM572" s="92"/>
      <c r="DN572" s="92"/>
      <c r="DO572" s="92"/>
      <c r="DP572" s="92"/>
      <c r="DQ572" s="92"/>
      <c r="DR572" s="92"/>
      <c r="DS572" s="92"/>
      <c r="DT572" s="92"/>
      <c r="DU572" s="92"/>
      <c r="DV572" s="92"/>
      <c r="DW572" s="92"/>
      <c r="DX572" s="92"/>
      <c r="DY572" s="92"/>
      <c r="DZ572" s="92"/>
      <c r="EA572" s="92"/>
      <c r="EB572" s="92"/>
      <c r="EC572" s="92"/>
      <c r="ED572" s="92"/>
      <c r="EE572" s="92"/>
      <c r="EF572" s="92"/>
      <c r="EG572" s="92"/>
      <c r="EH572" s="92"/>
      <c r="EI572" s="92"/>
      <c r="EJ572" s="92"/>
      <c r="EK572" s="92"/>
      <c r="EL572" s="92"/>
      <c r="EM572" s="92"/>
      <c r="EN572" s="92"/>
      <c r="EO572" s="92"/>
      <c r="EP572" s="92"/>
      <c r="EQ572" s="92"/>
      <c r="ER572" s="92"/>
      <c r="ES572" s="92"/>
      <c r="ET572" s="92"/>
      <c r="EU572" s="92"/>
      <c r="EV572" s="92"/>
      <c r="EW572" s="92"/>
      <c r="EX572" s="92"/>
      <c r="EY572" s="92"/>
      <c r="EZ572" s="92"/>
      <c r="FA572" s="92"/>
      <c r="FB572" s="92"/>
      <c r="FC572" s="92"/>
      <c r="FD572" s="92"/>
      <c r="FE572" s="92"/>
      <c r="FF572" s="92"/>
      <c r="FG572" s="92"/>
      <c r="FH572" s="92"/>
    </row>
    <row r="573">
      <c r="A573" s="47" t="s">
        <v>38</v>
      </c>
      <c r="B573" s="47" t="s">
        <v>97</v>
      </c>
      <c r="C573" s="47" t="s">
        <v>10</v>
      </c>
      <c r="D573" s="101">
        <f t="shared" si="1"/>
        <v>699.5506407</v>
      </c>
      <c r="E573" s="92">
        <f>(SUBSTITUTE(Audio!E573, "RE-", "", 1))*1</f>
        <v>0</v>
      </c>
      <c r="F573" s="92">
        <f>(SUBSTITUTE(Audio!F573, "RE-", "", 1))*1</f>
        <v>0</v>
      </c>
      <c r="G573" s="92">
        <f>(SUBSTITUTE(Audio!G573, "RE-", "", 1))*1</f>
        <v>145.8176573</v>
      </c>
      <c r="H573" s="92">
        <f>(SUBSTITUTE(Audio!H573, "RE-", "", 1))*1</f>
        <v>0</v>
      </c>
      <c r="I573" s="92">
        <f>(SUBSTITUTE(Audio!I573, "RE-", "", 1))*1</f>
        <v>15.61324167</v>
      </c>
      <c r="J573" s="92">
        <f>(SUBSTITUTE(Audio!J573, "RE-", "", 1))*1</f>
        <v>0</v>
      </c>
      <c r="K573" s="92">
        <f>(SUBSTITUTE(Audio!K573, "RE-", "", 1))*1</f>
        <v>109.1775615</v>
      </c>
      <c r="L573" s="92">
        <f>(SUBSTITUTE(Audio!L573, "RE-", "", 1))*1</f>
        <v>0</v>
      </c>
      <c r="M573" s="92">
        <f>(SUBSTITUTE(Audio!M573, "RE-", "", 1))*1</f>
        <v>46.3976125</v>
      </c>
      <c r="N573" s="92">
        <f>(SUBSTITUTE(Audio!N573, "RE-", "", 1))*1</f>
        <v>0</v>
      </c>
      <c r="O573" s="92">
        <f>(SUBSTITUTE(Audio!O573, "RE-", "", 1))*1</f>
        <v>251.9319917</v>
      </c>
      <c r="P573" s="92">
        <f>(SUBSTITUTE(Audio!P573, "RE-", "", 1))*1</f>
        <v>0</v>
      </c>
      <c r="Q573" s="92">
        <f>(SUBSTITUTE(Audio!Q573, "RE-", "", 1))*1</f>
        <v>84.8229</v>
      </c>
      <c r="R573" s="92">
        <f>(SUBSTITUTE(Audio!R573, "RE-", "", 1))*1</f>
        <v>0</v>
      </c>
      <c r="S573" s="92">
        <f>(SUBSTITUTE(Audio!S573, "RE-", "", 1))*1</f>
        <v>15.54304167</v>
      </c>
      <c r="T573" s="92">
        <f>(SUBSTITUTE(Audio!T573, "RE-", "", 1))*1</f>
        <v>0</v>
      </c>
      <c r="U573" s="92">
        <f>(SUBSTITUTE(Audio!U573, "RE-", "", 1))*1</f>
        <v>26.24481354</v>
      </c>
      <c r="V573" s="92">
        <f>(SUBSTITUTE(Audio!V573, "RE-", "", 1))*1</f>
        <v>4.001820833</v>
      </c>
      <c r="W573" s="92">
        <f>(SUBSTITUTE(Audio!W573, "RE-", "", 1))*1</f>
        <v>0</v>
      </c>
      <c r="X573" s="92">
        <f>(SUBSTITUTE(Audio!X573, "RE-", "", 1))*1</f>
        <v>0</v>
      </c>
      <c r="Y573" s="92">
        <f>(SUBSTITUTE(Audio!Y573, "RE-", "", 1))*1</f>
        <v>0</v>
      </c>
      <c r="Z573" s="92">
        <f>(SUBSTITUTE(Audio!Z573, "RE-", "", 1))*1</f>
        <v>0</v>
      </c>
      <c r="AA573" s="92"/>
      <c r="AB573" s="92"/>
      <c r="AC573" s="92"/>
      <c r="AD573" s="92"/>
      <c r="AE573" s="92"/>
      <c r="AF573" s="92"/>
      <c r="AG573" s="92"/>
      <c r="AH573" s="92"/>
      <c r="AI573" s="92"/>
      <c r="AJ573" s="92"/>
      <c r="AK573" s="92"/>
      <c r="AL573" s="92"/>
      <c r="AM573" s="92"/>
      <c r="AN573" s="92"/>
      <c r="AO573" s="92"/>
      <c r="AP573" s="92"/>
      <c r="AQ573" s="92"/>
      <c r="AR573" s="92"/>
      <c r="AS573" s="92"/>
      <c r="AT573" s="92"/>
      <c r="AU573" s="92"/>
      <c r="AV573" s="92"/>
      <c r="AW573" s="92"/>
      <c r="AX573" s="92"/>
      <c r="AY573" s="92"/>
      <c r="AZ573" s="92"/>
      <c r="BA573" s="92"/>
      <c r="BB573" s="92"/>
      <c r="BC573" s="92"/>
      <c r="BD573" s="92"/>
      <c r="BE573" s="92"/>
      <c r="BF573" s="92"/>
      <c r="BG573" s="92"/>
      <c r="BH573" s="92"/>
      <c r="BI573" s="92"/>
      <c r="BJ573" s="92"/>
      <c r="BK573" s="92"/>
      <c r="BL573" s="92"/>
      <c r="BM573" s="92"/>
      <c r="BN573" s="92"/>
      <c r="BO573" s="92"/>
      <c r="BP573" s="92"/>
      <c r="BQ573" s="92"/>
      <c r="BR573" s="92"/>
      <c r="BS573" s="92"/>
      <c r="BT573" s="92"/>
      <c r="BU573" s="92"/>
      <c r="BV573" s="92"/>
      <c r="BW573" s="92"/>
      <c r="BX573" s="92"/>
      <c r="BY573" s="92"/>
      <c r="BZ573" s="92"/>
      <c r="CA573" s="92"/>
      <c r="CB573" s="92"/>
      <c r="CC573" s="92"/>
      <c r="CD573" s="92"/>
      <c r="CE573" s="92"/>
      <c r="CF573" s="92"/>
      <c r="CG573" s="92"/>
      <c r="CH573" s="92"/>
      <c r="CI573" s="92"/>
      <c r="CJ573" s="92"/>
      <c r="CK573" s="92"/>
      <c r="CL573" s="92"/>
      <c r="CM573" s="92"/>
      <c r="CN573" s="92"/>
      <c r="CO573" s="92"/>
      <c r="CP573" s="92"/>
      <c r="CQ573" s="92"/>
      <c r="CR573" s="92"/>
      <c r="CS573" s="92"/>
      <c r="CT573" s="92"/>
      <c r="CU573" s="92"/>
      <c r="CV573" s="92"/>
      <c r="CW573" s="92"/>
      <c r="CX573" s="92"/>
      <c r="CY573" s="92"/>
      <c r="CZ573" s="92"/>
      <c r="DA573" s="92"/>
      <c r="DB573" s="92"/>
      <c r="DC573" s="92"/>
      <c r="DD573" s="92"/>
      <c r="DE573" s="92"/>
      <c r="DF573" s="92"/>
      <c r="DG573" s="92"/>
      <c r="DH573" s="92"/>
      <c r="DI573" s="92"/>
      <c r="DJ573" s="92"/>
      <c r="DK573" s="92"/>
      <c r="DL573" s="92"/>
      <c r="DM573" s="92"/>
      <c r="DN573" s="92"/>
      <c r="DO573" s="92"/>
      <c r="DP573" s="92"/>
      <c r="DQ573" s="92"/>
      <c r="DR573" s="92"/>
      <c r="DS573" s="92"/>
      <c r="DT573" s="92"/>
      <c r="DU573" s="92"/>
      <c r="DV573" s="92"/>
      <c r="DW573" s="92"/>
      <c r="DX573" s="92"/>
      <c r="DY573" s="92"/>
      <c r="DZ573" s="92"/>
      <c r="EA573" s="92"/>
      <c r="EB573" s="92"/>
      <c r="EC573" s="92"/>
      <c r="ED573" s="92"/>
      <c r="EE573" s="92"/>
      <c r="EF573" s="92"/>
      <c r="EG573" s="92"/>
      <c r="EH573" s="92"/>
      <c r="EI573" s="92"/>
      <c r="EJ573" s="92"/>
      <c r="EK573" s="92"/>
      <c r="EL573" s="92"/>
      <c r="EM573" s="92"/>
      <c r="EN573" s="92"/>
      <c r="EO573" s="92"/>
      <c r="EP573" s="92"/>
      <c r="EQ573" s="92"/>
      <c r="ER573" s="92"/>
      <c r="ES573" s="92"/>
      <c r="ET573" s="92"/>
      <c r="EU573" s="92"/>
      <c r="EV573" s="92"/>
      <c r="EW573" s="92"/>
      <c r="EX573" s="92"/>
      <c r="EY573" s="92"/>
      <c r="EZ573" s="92"/>
      <c r="FA573" s="92"/>
      <c r="FB573" s="92"/>
      <c r="FC573" s="92"/>
      <c r="FD573" s="92"/>
      <c r="FE573" s="92"/>
      <c r="FF573" s="92"/>
      <c r="FG573" s="92"/>
      <c r="FH573" s="92"/>
    </row>
    <row r="574">
      <c r="A574" s="47" t="s">
        <v>38</v>
      </c>
      <c r="B574" s="47" t="s">
        <v>97</v>
      </c>
      <c r="C574" s="47" t="s">
        <v>11</v>
      </c>
      <c r="D574" s="101">
        <f t="shared" si="1"/>
        <v>699.5506406</v>
      </c>
      <c r="E574" s="92">
        <f>(SUBSTITUTE(Audio!E574, "RE-", "", 1))*1</f>
        <v>0</v>
      </c>
      <c r="F574" s="92">
        <f>(SUBSTITUTE(Audio!F574, "RE-", "", 1))*1</f>
        <v>0</v>
      </c>
      <c r="G574" s="92">
        <f>(SUBSTITUTE(Audio!G574, "RE-", "", 1))*1</f>
        <v>145.8176573</v>
      </c>
      <c r="H574" s="92">
        <f>(SUBSTITUTE(Audio!H574, "RE-", "", 1))*1</f>
        <v>0</v>
      </c>
      <c r="I574" s="92">
        <f>(SUBSTITUTE(Audio!I574, "RE-", "", 1))*1</f>
        <v>15.61324167</v>
      </c>
      <c r="J574" s="92">
        <f>(SUBSTITUTE(Audio!J574, "RE-", "", 1))*1</f>
        <v>0</v>
      </c>
      <c r="K574" s="92">
        <f>(SUBSTITUTE(Audio!K574, "RE-", "", 1))*1</f>
        <v>109.1775615</v>
      </c>
      <c r="L574" s="92">
        <f>(SUBSTITUTE(Audio!L574, "RE-", "", 1))*1</f>
        <v>0</v>
      </c>
      <c r="M574" s="92">
        <f>(SUBSTITUTE(Audio!M574, "RE-", "", 1))*1</f>
        <v>46.3976125</v>
      </c>
      <c r="N574" s="92">
        <f>(SUBSTITUTE(Audio!N574, "RE-", "", 1))*1</f>
        <v>0</v>
      </c>
      <c r="O574" s="92">
        <f>(SUBSTITUTE(Audio!O574, "RE-", "", 1))*1</f>
        <v>251.9319917</v>
      </c>
      <c r="P574" s="92">
        <f>(SUBSTITUTE(Audio!P574, "RE-", "", 1))*1</f>
        <v>0</v>
      </c>
      <c r="Q574" s="92">
        <f>(SUBSTITUTE(Audio!Q574, "RE-", "", 1))*1</f>
        <v>84.8229</v>
      </c>
      <c r="R574" s="92">
        <f>(SUBSTITUTE(Audio!R574, "RE-", "", 1))*1</f>
        <v>0</v>
      </c>
      <c r="S574" s="92">
        <f>(SUBSTITUTE(Audio!S574, "RE-", "", 1))*1</f>
        <v>15.54304167</v>
      </c>
      <c r="T574" s="92">
        <f>(SUBSTITUTE(Audio!T574, "RE-", "", 1))*1</f>
        <v>0</v>
      </c>
      <c r="U574" s="92">
        <f>(SUBSTITUTE(Audio!U574, "RE-", "", 1))*1</f>
        <v>26.24481354</v>
      </c>
      <c r="V574" s="92">
        <f>(SUBSTITUTE(Audio!V574, "RE-", "", 1))*1</f>
        <v>4.001820833</v>
      </c>
      <c r="W574" s="92">
        <f>(SUBSTITUTE(Audio!W574, "RE-", "", 1))*1</f>
        <v>0</v>
      </c>
      <c r="X574" s="92">
        <f>(SUBSTITUTE(Audio!X574, "RE-", "", 1))*1</f>
        <v>0</v>
      </c>
      <c r="Y574" s="92">
        <f>(SUBSTITUTE(Audio!Y574, "RE-", "", 1))*1</f>
        <v>0</v>
      </c>
      <c r="Z574" s="92">
        <f>(SUBSTITUTE(Audio!Z574, "RE-", "", 1))*1</f>
        <v>0</v>
      </c>
      <c r="AA574" s="92"/>
      <c r="AB574" s="92"/>
      <c r="AC574" s="92"/>
      <c r="AD574" s="92"/>
      <c r="AE574" s="92"/>
      <c r="AF574" s="92"/>
      <c r="AG574" s="92"/>
      <c r="AH574" s="92"/>
      <c r="AI574" s="92"/>
      <c r="AJ574" s="92"/>
      <c r="AK574" s="92"/>
      <c r="AL574" s="92"/>
      <c r="AM574" s="92"/>
      <c r="AN574" s="92"/>
      <c r="AO574" s="92"/>
      <c r="AP574" s="92"/>
      <c r="AQ574" s="92"/>
      <c r="AR574" s="92"/>
      <c r="AS574" s="92"/>
      <c r="AT574" s="92"/>
      <c r="AU574" s="92"/>
      <c r="AV574" s="92"/>
      <c r="AW574" s="92"/>
      <c r="AX574" s="92"/>
      <c r="AY574" s="92"/>
      <c r="AZ574" s="92"/>
      <c r="BA574" s="92"/>
      <c r="BB574" s="92"/>
      <c r="BC574" s="92"/>
      <c r="BD574" s="92"/>
      <c r="BE574" s="92"/>
      <c r="BF574" s="92"/>
      <c r="BG574" s="92"/>
      <c r="BH574" s="92"/>
      <c r="BI574" s="92"/>
      <c r="BJ574" s="92"/>
      <c r="BK574" s="92"/>
      <c r="BL574" s="92"/>
      <c r="BM574" s="92"/>
      <c r="BN574" s="92"/>
      <c r="BO574" s="92"/>
      <c r="BP574" s="92"/>
      <c r="BQ574" s="92"/>
      <c r="BR574" s="92"/>
      <c r="BS574" s="92"/>
      <c r="BT574" s="92"/>
      <c r="BU574" s="92"/>
      <c r="BV574" s="92"/>
      <c r="BW574" s="92"/>
      <c r="BX574" s="92"/>
      <c r="BY574" s="92"/>
      <c r="BZ574" s="92"/>
      <c r="CA574" s="92"/>
      <c r="CB574" s="92"/>
      <c r="CC574" s="92"/>
      <c r="CD574" s="92"/>
      <c r="CE574" s="92"/>
      <c r="CF574" s="92"/>
      <c r="CG574" s="92"/>
      <c r="CH574" s="92"/>
      <c r="CI574" s="92"/>
      <c r="CJ574" s="92"/>
      <c r="CK574" s="92"/>
      <c r="CL574" s="92"/>
      <c r="CM574" s="92"/>
      <c r="CN574" s="92"/>
      <c r="CO574" s="92"/>
      <c r="CP574" s="92"/>
      <c r="CQ574" s="92"/>
      <c r="CR574" s="92"/>
      <c r="CS574" s="92"/>
      <c r="CT574" s="92"/>
      <c r="CU574" s="92"/>
      <c r="CV574" s="92"/>
      <c r="CW574" s="92"/>
      <c r="CX574" s="92"/>
      <c r="CY574" s="92"/>
      <c r="CZ574" s="92"/>
      <c r="DA574" s="92"/>
      <c r="DB574" s="92"/>
      <c r="DC574" s="92"/>
      <c r="DD574" s="92"/>
      <c r="DE574" s="92"/>
      <c r="DF574" s="92"/>
      <c r="DG574" s="92"/>
      <c r="DH574" s="92"/>
      <c r="DI574" s="92"/>
      <c r="DJ574" s="92"/>
      <c r="DK574" s="92"/>
      <c r="DL574" s="92"/>
      <c r="DM574" s="92"/>
      <c r="DN574" s="92"/>
      <c r="DO574" s="92"/>
      <c r="DP574" s="92"/>
      <c r="DQ574" s="92"/>
      <c r="DR574" s="92"/>
      <c r="DS574" s="92"/>
      <c r="DT574" s="92"/>
      <c r="DU574" s="92"/>
      <c r="DV574" s="92"/>
      <c r="DW574" s="92"/>
      <c r="DX574" s="92"/>
      <c r="DY574" s="92"/>
      <c r="DZ574" s="92"/>
      <c r="EA574" s="92"/>
      <c r="EB574" s="92"/>
      <c r="EC574" s="92"/>
      <c r="ED574" s="92"/>
      <c r="EE574" s="92"/>
      <c r="EF574" s="92"/>
      <c r="EG574" s="92"/>
      <c r="EH574" s="92"/>
      <c r="EI574" s="92"/>
      <c r="EJ574" s="92"/>
      <c r="EK574" s="92"/>
      <c r="EL574" s="92"/>
      <c r="EM574" s="92"/>
      <c r="EN574" s="92"/>
      <c r="EO574" s="92"/>
      <c r="EP574" s="92"/>
      <c r="EQ574" s="92"/>
      <c r="ER574" s="92"/>
      <c r="ES574" s="92"/>
      <c r="ET574" s="92"/>
      <c r="EU574" s="92"/>
      <c r="EV574" s="92"/>
      <c r="EW574" s="92"/>
      <c r="EX574" s="92"/>
      <c r="EY574" s="92"/>
      <c r="EZ574" s="92"/>
      <c r="FA574" s="92"/>
      <c r="FB574" s="92"/>
      <c r="FC574" s="92"/>
      <c r="FD574" s="92"/>
      <c r="FE574" s="92"/>
      <c r="FF574" s="92"/>
      <c r="FG574" s="92"/>
      <c r="FH574" s="92"/>
    </row>
    <row r="575">
      <c r="A575" s="47" t="s">
        <v>38</v>
      </c>
      <c r="B575" s="47" t="s">
        <v>97</v>
      </c>
      <c r="C575" s="47" t="s">
        <v>12</v>
      </c>
      <c r="D575" s="101">
        <f t="shared" si="1"/>
        <v>4830.40043</v>
      </c>
      <c r="E575" s="92">
        <f>(SUBSTITUTE(Audio!E575, "RE-", "", 1))*1</f>
        <v>0</v>
      </c>
      <c r="F575" s="92">
        <f>(SUBSTITUTE(Audio!F575, "RE-", "", 1))*1</f>
        <v>943.1518906</v>
      </c>
      <c r="G575" s="92">
        <f>(SUBSTITUTE(Audio!G575, "RE-", "", 1))*1</f>
        <v>8.496166667</v>
      </c>
      <c r="H575" s="92">
        <f>(SUBSTITUTE(Audio!H575, "RE-", "", 1))*1</f>
        <v>64.94640625</v>
      </c>
      <c r="I575" s="92">
        <f>(SUBSTITUTE(Audio!I575, "RE-", "", 1))*1</f>
        <v>0</v>
      </c>
      <c r="J575" s="92">
        <f>(SUBSTITUTE(Audio!J575, "RE-", "", 1))*1</f>
        <v>943.7167875</v>
      </c>
      <c r="K575" s="92">
        <f>(SUBSTITUTE(Audio!K575, "RE-", "", 1))*1</f>
        <v>7.870666667</v>
      </c>
      <c r="L575" s="92">
        <f>(SUBSTITUTE(Audio!L575, "RE-", "", 1))*1</f>
        <v>762.6248104</v>
      </c>
      <c r="M575" s="92">
        <f>(SUBSTITUTE(Audio!M575, "RE-", "", 1))*1</f>
        <v>13.92762083</v>
      </c>
      <c r="N575" s="92">
        <f>(SUBSTITUTE(Audio!N575, "RE-", "", 1))*1</f>
        <v>1268.667475</v>
      </c>
      <c r="O575" s="92">
        <f>(SUBSTITUTE(Audio!O575, "RE-", "", 1))*1</f>
        <v>12.953825</v>
      </c>
      <c r="P575" s="92">
        <f>(SUBSTITUTE(Audio!P575, "RE-", "", 1))*1</f>
        <v>456.3909844</v>
      </c>
      <c r="Q575" s="92">
        <f>(SUBSTITUTE(Audio!Q575, "RE-", "", 1))*1</f>
        <v>29.43435</v>
      </c>
      <c r="R575" s="92">
        <f>(SUBSTITUTE(Audio!R575, "RE-", "", 1))*1</f>
        <v>52.99044583</v>
      </c>
      <c r="S575" s="92">
        <f>(SUBSTITUTE(Audio!S575, "RE-", "", 1))*1</f>
        <v>12.19764167</v>
      </c>
      <c r="T575" s="92">
        <f>(SUBSTITUTE(Audio!T575, "RE-", "", 1))*1</f>
        <v>239.0493354</v>
      </c>
      <c r="U575" s="92">
        <f>(SUBSTITUTE(Audio!U575, "RE-", "", 1))*1</f>
        <v>11.31396771</v>
      </c>
      <c r="V575" s="92">
        <f>(SUBSTITUTE(Audio!V575, "RE-", "", 1))*1</f>
        <v>2.66805625</v>
      </c>
      <c r="W575" s="92">
        <f>(SUBSTITUTE(Audio!W575, "RE-", "", 1))*1</f>
        <v>0</v>
      </c>
      <c r="X575" s="92">
        <f>(SUBSTITUTE(Audio!X575, "RE-", "", 1))*1</f>
        <v>0</v>
      </c>
      <c r="Y575" s="92">
        <f>(SUBSTITUTE(Audio!Y575, "RE-", "", 1))*1</f>
        <v>0</v>
      </c>
      <c r="Z575" s="92">
        <f>(SUBSTITUTE(Audio!Z575, "RE-", "", 1))*1</f>
        <v>0</v>
      </c>
      <c r="AA575" s="92"/>
      <c r="AB575" s="92"/>
      <c r="AC575" s="92"/>
      <c r="AD575" s="92"/>
      <c r="AE575" s="92"/>
      <c r="AF575" s="92"/>
      <c r="AG575" s="92"/>
      <c r="AH575" s="92"/>
      <c r="AI575" s="92"/>
      <c r="AJ575" s="92"/>
      <c r="AK575" s="92"/>
      <c r="AL575" s="92"/>
      <c r="AM575" s="92"/>
      <c r="AN575" s="92"/>
      <c r="AO575" s="92"/>
      <c r="AP575" s="92"/>
      <c r="AQ575" s="92"/>
      <c r="AR575" s="92"/>
      <c r="AS575" s="92"/>
      <c r="AT575" s="92"/>
      <c r="AU575" s="92"/>
      <c r="AV575" s="92"/>
      <c r="AW575" s="92"/>
      <c r="AX575" s="92"/>
      <c r="AY575" s="92"/>
      <c r="AZ575" s="92"/>
      <c r="BA575" s="92"/>
      <c r="BB575" s="92"/>
      <c r="BC575" s="92"/>
      <c r="BD575" s="92"/>
      <c r="BE575" s="92"/>
      <c r="BF575" s="92"/>
      <c r="BG575" s="92"/>
      <c r="BH575" s="92"/>
      <c r="BI575" s="92"/>
      <c r="BJ575" s="92"/>
      <c r="BK575" s="92"/>
      <c r="BL575" s="92"/>
      <c r="BM575" s="92"/>
      <c r="BN575" s="92"/>
      <c r="BO575" s="92"/>
      <c r="BP575" s="92"/>
      <c r="BQ575" s="92"/>
      <c r="BR575" s="92"/>
      <c r="BS575" s="92"/>
      <c r="BT575" s="92"/>
      <c r="BU575" s="92"/>
      <c r="BV575" s="92"/>
      <c r="BW575" s="92"/>
      <c r="BX575" s="92"/>
      <c r="BY575" s="92"/>
      <c r="BZ575" s="92"/>
      <c r="CA575" s="92"/>
      <c r="CB575" s="92"/>
      <c r="CC575" s="92"/>
      <c r="CD575" s="92"/>
      <c r="CE575" s="92"/>
      <c r="CF575" s="92"/>
      <c r="CG575" s="92"/>
      <c r="CH575" s="92"/>
      <c r="CI575" s="92"/>
      <c r="CJ575" s="92"/>
      <c r="CK575" s="92"/>
      <c r="CL575" s="92"/>
      <c r="CM575" s="92"/>
      <c r="CN575" s="92"/>
      <c r="CO575" s="92"/>
      <c r="CP575" s="92"/>
      <c r="CQ575" s="92"/>
      <c r="CR575" s="92"/>
      <c r="CS575" s="92"/>
      <c r="CT575" s="92"/>
      <c r="CU575" s="92"/>
      <c r="CV575" s="92"/>
      <c r="CW575" s="92"/>
      <c r="CX575" s="92"/>
      <c r="CY575" s="92"/>
      <c r="CZ575" s="92"/>
      <c r="DA575" s="92"/>
      <c r="DB575" s="92"/>
      <c r="DC575" s="92"/>
      <c r="DD575" s="92"/>
      <c r="DE575" s="92"/>
      <c r="DF575" s="92"/>
      <c r="DG575" s="92"/>
      <c r="DH575" s="92"/>
      <c r="DI575" s="92"/>
      <c r="DJ575" s="92"/>
      <c r="DK575" s="92"/>
      <c r="DL575" s="92"/>
      <c r="DM575" s="92"/>
      <c r="DN575" s="92"/>
      <c r="DO575" s="92"/>
      <c r="DP575" s="92"/>
      <c r="DQ575" s="92"/>
      <c r="DR575" s="92"/>
      <c r="DS575" s="92"/>
      <c r="DT575" s="92"/>
      <c r="DU575" s="92"/>
      <c r="DV575" s="92"/>
      <c r="DW575" s="92"/>
      <c r="DX575" s="92"/>
      <c r="DY575" s="92"/>
      <c r="DZ575" s="92"/>
      <c r="EA575" s="92"/>
      <c r="EB575" s="92"/>
      <c r="EC575" s="92"/>
      <c r="ED575" s="92"/>
      <c r="EE575" s="92"/>
      <c r="EF575" s="92"/>
      <c r="EG575" s="92"/>
      <c r="EH575" s="92"/>
      <c r="EI575" s="92"/>
      <c r="EJ575" s="92"/>
      <c r="EK575" s="92"/>
      <c r="EL575" s="92"/>
      <c r="EM575" s="92"/>
      <c r="EN575" s="92"/>
      <c r="EO575" s="92"/>
      <c r="EP575" s="92"/>
      <c r="EQ575" s="92"/>
      <c r="ER575" s="92"/>
      <c r="ES575" s="92"/>
      <c r="ET575" s="92"/>
      <c r="EU575" s="92"/>
      <c r="EV575" s="92"/>
      <c r="EW575" s="92"/>
      <c r="EX575" s="92"/>
      <c r="EY575" s="92"/>
      <c r="EZ575" s="92"/>
      <c r="FA575" s="92"/>
      <c r="FB575" s="92"/>
      <c r="FC575" s="92"/>
      <c r="FD575" s="92"/>
      <c r="FE575" s="92"/>
      <c r="FF575" s="92"/>
      <c r="FG575" s="92"/>
      <c r="FH575" s="92"/>
    </row>
    <row r="576">
      <c r="A576" s="47" t="s">
        <v>38</v>
      </c>
      <c r="B576" s="47" t="s">
        <v>97</v>
      </c>
      <c r="C576" s="47" t="s">
        <v>13</v>
      </c>
      <c r="D576" s="101">
        <f t="shared" si="1"/>
        <v>4633.6737</v>
      </c>
      <c r="E576" s="92">
        <f>(SUBSTITUTE(Audio!E576, "RE-", "", 1))*1</f>
        <v>0</v>
      </c>
      <c r="F576" s="92">
        <f>(SUBSTITUTE(Audio!F576, "RE-", "", 1))*1</f>
        <v>906.355</v>
      </c>
      <c r="G576" s="92">
        <f>(SUBSTITUTE(Audio!G576, "RE-", "", 1))*1</f>
        <v>8.15045</v>
      </c>
      <c r="H576" s="92">
        <f>(SUBSTITUTE(Audio!H576, "RE-", "", 1))*1</f>
        <v>62.9228</v>
      </c>
      <c r="I576" s="92">
        <f>(SUBSTITUTE(Audio!I576, "RE-", "", 1))*1</f>
        <v>0</v>
      </c>
      <c r="J576" s="92">
        <f>(SUBSTITUTE(Audio!J576, "RE-", "", 1))*1</f>
        <v>910.291</v>
      </c>
      <c r="K576" s="92">
        <f>(SUBSTITUTE(Audio!K576, "RE-", "", 1))*1</f>
        <v>7.58948</v>
      </c>
      <c r="L576" s="92">
        <f>(SUBSTITUTE(Audio!L576, "RE-", "", 1))*1</f>
        <v>726.646</v>
      </c>
      <c r="M576" s="92">
        <f>(SUBSTITUTE(Audio!M576, "RE-", "", 1))*1</f>
        <v>12.7052</v>
      </c>
      <c r="N576" s="92">
        <f>(SUBSTITUTE(Audio!N576, "RE-", "", 1))*1</f>
        <v>1219.03</v>
      </c>
      <c r="O576" s="92">
        <f>(SUBSTITUTE(Audio!O576, "RE-", "", 1))*1</f>
        <v>12.4538</v>
      </c>
      <c r="P576" s="92">
        <f>(SUBSTITUTE(Audio!P576, "RE-", "", 1))*1</f>
        <v>435.662</v>
      </c>
      <c r="Q576" s="92">
        <f>(SUBSTITUTE(Audio!Q576, "RE-", "", 1))*1</f>
        <v>27.8058</v>
      </c>
      <c r="R576" s="92">
        <f>(SUBSTITUTE(Audio!R576, "RE-", "", 1))*1</f>
        <v>51.0039</v>
      </c>
      <c r="S576" s="92">
        <f>(SUBSTITUTE(Audio!S576, "RE-", "", 1))*1</f>
        <v>11.3768</v>
      </c>
      <c r="T576" s="92">
        <f>(SUBSTITUTE(Audio!T576, "RE-", "", 1))*1</f>
        <v>228.706</v>
      </c>
      <c r="U576" s="92">
        <f>(SUBSTITUTE(Audio!U576, "RE-", "", 1))*1</f>
        <v>10.4511</v>
      </c>
      <c r="V576" s="92">
        <f>(SUBSTITUTE(Audio!V576, "RE-", "", 1))*1</f>
        <v>2.52437</v>
      </c>
      <c r="W576" s="92">
        <f>(SUBSTITUTE(Audio!W576, "RE-", "", 1))*1</f>
        <v>0</v>
      </c>
      <c r="X576" s="92">
        <f>(SUBSTITUTE(Audio!X576, "RE-", "", 1))*1</f>
        <v>0</v>
      </c>
      <c r="Y576" s="92">
        <f>(SUBSTITUTE(Audio!Y576, "RE-", "", 1))*1</f>
        <v>0</v>
      </c>
      <c r="Z576" s="92">
        <f>(SUBSTITUTE(Audio!Z576, "RE-", "", 1))*1</f>
        <v>0</v>
      </c>
      <c r="AA576" s="92"/>
      <c r="AB576" s="92"/>
      <c r="AC576" s="92"/>
      <c r="AD576" s="92"/>
      <c r="AE576" s="92"/>
      <c r="AF576" s="92"/>
      <c r="AG576" s="92"/>
      <c r="AH576" s="92"/>
      <c r="AI576" s="92"/>
      <c r="AJ576" s="92"/>
      <c r="AK576" s="92"/>
      <c r="AL576" s="92"/>
      <c r="AM576" s="92"/>
      <c r="AN576" s="92"/>
      <c r="AO576" s="92"/>
      <c r="AP576" s="92"/>
      <c r="AQ576" s="92"/>
      <c r="AR576" s="92"/>
      <c r="AS576" s="92"/>
      <c r="AT576" s="92"/>
      <c r="AU576" s="92"/>
      <c r="AV576" s="92"/>
      <c r="AW576" s="92"/>
      <c r="AX576" s="92"/>
      <c r="AY576" s="92"/>
      <c r="AZ576" s="92"/>
      <c r="BA576" s="92"/>
      <c r="BB576" s="92"/>
      <c r="BC576" s="92"/>
      <c r="BD576" s="92"/>
      <c r="BE576" s="92"/>
      <c r="BF576" s="92"/>
      <c r="BG576" s="92"/>
      <c r="BH576" s="92"/>
      <c r="BI576" s="92"/>
      <c r="BJ576" s="92"/>
      <c r="BK576" s="92"/>
      <c r="BL576" s="92"/>
      <c r="BM576" s="92"/>
      <c r="BN576" s="92"/>
      <c r="BO576" s="92"/>
      <c r="BP576" s="92"/>
      <c r="BQ576" s="92"/>
      <c r="BR576" s="92"/>
      <c r="BS576" s="92"/>
      <c r="BT576" s="92"/>
      <c r="BU576" s="92"/>
      <c r="BV576" s="92"/>
      <c r="BW576" s="92"/>
      <c r="BX576" s="92"/>
      <c r="BY576" s="92"/>
      <c r="BZ576" s="92"/>
      <c r="CA576" s="92"/>
      <c r="CB576" s="92"/>
      <c r="CC576" s="92"/>
      <c r="CD576" s="92"/>
      <c r="CE576" s="92"/>
      <c r="CF576" s="92"/>
      <c r="CG576" s="92"/>
      <c r="CH576" s="92"/>
      <c r="CI576" s="92"/>
      <c r="CJ576" s="92"/>
      <c r="CK576" s="92"/>
      <c r="CL576" s="92"/>
      <c r="CM576" s="92"/>
      <c r="CN576" s="92"/>
      <c r="CO576" s="92"/>
      <c r="CP576" s="92"/>
      <c r="CQ576" s="92"/>
      <c r="CR576" s="92"/>
      <c r="CS576" s="92"/>
      <c r="CT576" s="92"/>
      <c r="CU576" s="92"/>
      <c r="CV576" s="92"/>
      <c r="CW576" s="92"/>
      <c r="CX576" s="92"/>
      <c r="CY576" s="92"/>
      <c r="CZ576" s="92"/>
      <c r="DA576" s="92"/>
      <c r="DB576" s="92"/>
      <c r="DC576" s="92"/>
      <c r="DD576" s="92"/>
      <c r="DE576" s="92"/>
      <c r="DF576" s="92"/>
      <c r="DG576" s="92"/>
      <c r="DH576" s="92"/>
      <c r="DI576" s="92"/>
      <c r="DJ576" s="92"/>
      <c r="DK576" s="92"/>
      <c r="DL576" s="92"/>
      <c r="DM576" s="92"/>
      <c r="DN576" s="92"/>
      <c r="DO576" s="92"/>
      <c r="DP576" s="92"/>
      <c r="DQ576" s="92"/>
      <c r="DR576" s="92"/>
      <c r="DS576" s="92"/>
      <c r="DT576" s="92"/>
      <c r="DU576" s="92"/>
      <c r="DV576" s="92"/>
      <c r="DW576" s="92"/>
      <c r="DX576" s="92"/>
      <c r="DY576" s="92"/>
      <c r="DZ576" s="92"/>
      <c r="EA576" s="92"/>
      <c r="EB576" s="92"/>
      <c r="EC576" s="92"/>
      <c r="ED576" s="92"/>
      <c r="EE576" s="92"/>
      <c r="EF576" s="92"/>
      <c r="EG576" s="92"/>
      <c r="EH576" s="92"/>
      <c r="EI576" s="92"/>
      <c r="EJ576" s="92"/>
      <c r="EK576" s="92"/>
      <c r="EL576" s="92"/>
      <c r="EM576" s="92"/>
      <c r="EN576" s="92"/>
      <c r="EO576" s="92"/>
      <c r="EP576" s="92"/>
      <c r="EQ576" s="92"/>
      <c r="ER576" s="92"/>
      <c r="ES576" s="92"/>
      <c r="ET576" s="92"/>
      <c r="EU576" s="92"/>
      <c r="EV576" s="92"/>
      <c r="EW576" s="92"/>
      <c r="EX576" s="92"/>
      <c r="EY576" s="92"/>
      <c r="EZ576" s="92"/>
      <c r="FA576" s="92"/>
      <c r="FB576" s="92"/>
      <c r="FC576" s="92"/>
      <c r="FD576" s="92"/>
      <c r="FE576" s="92"/>
      <c r="FF576" s="92"/>
      <c r="FG576" s="92"/>
      <c r="FH576" s="92"/>
    </row>
    <row r="577">
      <c r="A577" s="47" t="s">
        <v>38</v>
      </c>
      <c r="B577" s="47" t="s">
        <v>97</v>
      </c>
      <c r="C577" s="47" t="s">
        <v>14</v>
      </c>
      <c r="D577" s="101">
        <f t="shared" si="1"/>
        <v>4130.28079</v>
      </c>
      <c r="E577" s="92">
        <f>(SUBSTITUTE(Audio!E577, "RE-", "", 1))*1</f>
        <v>0</v>
      </c>
      <c r="F577" s="92">
        <f>(SUBSTITUTE(Audio!F577, "RE-", "", 1))*1</f>
        <v>809.362</v>
      </c>
      <c r="G577" s="92">
        <f>(SUBSTITUTE(Audio!G577, "RE-", "", 1))*1</f>
        <v>7.81368</v>
      </c>
      <c r="H577" s="92">
        <f>(SUBSTITUTE(Audio!H577, "RE-", "", 1))*1</f>
        <v>57.273</v>
      </c>
      <c r="I577" s="92">
        <f>(SUBSTITUTE(Audio!I577, "RE-", "", 1))*1</f>
        <v>0</v>
      </c>
      <c r="J577" s="92">
        <f>(SUBSTITUTE(Audio!J577, "RE-", "", 1))*1</f>
        <v>846.003</v>
      </c>
      <c r="K577" s="92">
        <f>(SUBSTITUTE(Audio!K577, "RE-", "", 1))*1</f>
        <v>6.55502</v>
      </c>
      <c r="L577" s="92">
        <f>(SUBSTITUTE(Audio!L577, "RE-", "", 1))*1</f>
        <v>647.623</v>
      </c>
      <c r="M577" s="92">
        <f>(SUBSTITUTE(Audio!M577, "RE-", "", 1))*1</f>
        <v>10.4116</v>
      </c>
      <c r="N577" s="92">
        <f>(SUBSTITUTE(Audio!N577, "RE-", "", 1))*1</f>
        <v>1074.38</v>
      </c>
      <c r="O577" s="92">
        <f>(SUBSTITUTE(Audio!O577, "RE-", "", 1))*1</f>
        <v>11.4761</v>
      </c>
      <c r="P577" s="92">
        <f>(SUBSTITUTE(Audio!P577, "RE-", "", 1))*1</f>
        <v>375.972</v>
      </c>
      <c r="Q577" s="92">
        <f>(SUBSTITUTE(Audio!Q577, "RE-", "", 1))*1</f>
        <v>26.2586</v>
      </c>
      <c r="R577" s="92">
        <f>(SUBSTITUTE(Audio!R577, "RE-", "", 1))*1</f>
        <v>42.4325</v>
      </c>
      <c r="S577" s="92">
        <f>(SUBSTITUTE(Audio!S577, "RE-", "", 1))*1</f>
        <v>10.5378</v>
      </c>
      <c r="T577" s="92">
        <f>(SUBSTITUTE(Audio!T577, "RE-", "", 1))*1</f>
        <v>192.378</v>
      </c>
      <c r="U577" s="92">
        <f>(SUBSTITUTE(Audio!U577, "RE-", "", 1))*1</f>
        <v>9.28012</v>
      </c>
      <c r="V577" s="92">
        <f>(SUBSTITUTE(Audio!V577, "RE-", "", 1))*1</f>
        <v>2.52437</v>
      </c>
      <c r="W577" s="92">
        <f>(SUBSTITUTE(Audio!W577, "RE-", "", 1))*1</f>
        <v>0</v>
      </c>
      <c r="X577" s="92">
        <f>(SUBSTITUTE(Audio!X577, "RE-", "", 1))*1</f>
        <v>0</v>
      </c>
      <c r="Y577" s="92">
        <f>(SUBSTITUTE(Audio!Y577, "RE-", "", 1))*1</f>
        <v>0</v>
      </c>
      <c r="Z577" s="92">
        <f>(SUBSTITUTE(Audio!Z577, "RE-", "", 1))*1</f>
        <v>0</v>
      </c>
      <c r="AA577" s="92"/>
      <c r="AB577" s="92"/>
      <c r="AC577" s="92"/>
      <c r="AD577" s="92"/>
      <c r="AE577" s="92"/>
      <c r="AF577" s="92"/>
      <c r="AG577" s="92"/>
      <c r="AH577" s="92"/>
      <c r="AI577" s="92"/>
      <c r="AJ577" s="92"/>
      <c r="AK577" s="92"/>
      <c r="AL577" s="92"/>
      <c r="AM577" s="92"/>
      <c r="AN577" s="92"/>
      <c r="AO577" s="92"/>
      <c r="AP577" s="92"/>
      <c r="AQ577" s="92"/>
      <c r="AR577" s="92"/>
      <c r="AS577" s="92"/>
      <c r="AT577" s="92"/>
      <c r="AU577" s="92"/>
      <c r="AV577" s="92"/>
      <c r="AW577" s="92"/>
      <c r="AX577" s="92"/>
      <c r="AY577" s="92"/>
      <c r="AZ577" s="92"/>
      <c r="BA577" s="92"/>
      <c r="BB577" s="92"/>
      <c r="BC577" s="92"/>
      <c r="BD577" s="92"/>
      <c r="BE577" s="92"/>
      <c r="BF577" s="92"/>
      <c r="BG577" s="92"/>
      <c r="BH577" s="92"/>
      <c r="BI577" s="92"/>
      <c r="BJ577" s="92"/>
      <c r="BK577" s="92"/>
      <c r="BL577" s="92"/>
      <c r="BM577" s="92"/>
      <c r="BN577" s="92"/>
      <c r="BO577" s="92"/>
      <c r="BP577" s="92"/>
      <c r="BQ577" s="92"/>
      <c r="BR577" s="92"/>
      <c r="BS577" s="92"/>
      <c r="BT577" s="92"/>
      <c r="BU577" s="92"/>
      <c r="BV577" s="92"/>
      <c r="BW577" s="92"/>
      <c r="BX577" s="92"/>
      <c r="BY577" s="92"/>
      <c r="BZ577" s="92"/>
      <c r="CA577" s="92"/>
      <c r="CB577" s="92"/>
      <c r="CC577" s="92"/>
      <c r="CD577" s="92"/>
      <c r="CE577" s="92"/>
      <c r="CF577" s="92"/>
      <c r="CG577" s="92"/>
      <c r="CH577" s="92"/>
      <c r="CI577" s="92"/>
      <c r="CJ577" s="92"/>
      <c r="CK577" s="92"/>
      <c r="CL577" s="92"/>
      <c r="CM577" s="92"/>
      <c r="CN577" s="92"/>
      <c r="CO577" s="92"/>
      <c r="CP577" s="92"/>
      <c r="CQ577" s="92"/>
      <c r="CR577" s="92"/>
      <c r="CS577" s="92"/>
      <c r="CT577" s="92"/>
      <c r="CU577" s="92"/>
      <c r="CV577" s="92"/>
      <c r="CW577" s="92"/>
      <c r="CX577" s="92"/>
      <c r="CY577" s="92"/>
      <c r="CZ577" s="92"/>
      <c r="DA577" s="92"/>
      <c r="DB577" s="92"/>
      <c r="DC577" s="92"/>
      <c r="DD577" s="92"/>
      <c r="DE577" s="92"/>
      <c r="DF577" s="92"/>
      <c r="DG577" s="92"/>
      <c r="DH577" s="92"/>
      <c r="DI577" s="92"/>
      <c r="DJ577" s="92"/>
      <c r="DK577" s="92"/>
      <c r="DL577" s="92"/>
      <c r="DM577" s="92"/>
      <c r="DN577" s="92"/>
      <c r="DO577" s="92"/>
      <c r="DP577" s="92"/>
      <c r="DQ577" s="92"/>
      <c r="DR577" s="92"/>
      <c r="DS577" s="92"/>
      <c r="DT577" s="92"/>
      <c r="DU577" s="92"/>
      <c r="DV577" s="92"/>
      <c r="DW577" s="92"/>
      <c r="DX577" s="92"/>
      <c r="DY577" s="92"/>
      <c r="DZ577" s="92"/>
      <c r="EA577" s="92"/>
      <c r="EB577" s="92"/>
      <c r="EC577" s="92"/>
      <c r="ED577" s="92"/>
      <c r="EE577" s="92"/>
      <c r="EF577" s="92"/>
      <c r="EG577" s="92"/>
      <c r="EH577" s="92"/>
      <c r="EI577" s="92"/>
      <c r="EJ577" s="92"/>
      <c r="EK577" s="92"/>
      <c r="EL577" s="92"/>
      <c r="EM577" s="92"/>
      <c r="EN577" s="92"/>
      <c r="EO577" s="92"/>
      <c r="EP577" s="92"/>
      <c r="EQ577" s="92"/>
      <c r="ER577" s="92"/>
      <c r="ES577" s="92"/>
      <c r="ET577" s="92"/>
      <c r="EU577" s="92"/>
      <c r="EV577" s="92"/>
      <c r="EW577" s="92"/>
      <c r="EX577" s="92"/>
      <c r="EY577" s="92"/>
      <c r="EZ577" s="92"/>
      <c r="FA577" s="92"/>
      <c r="FB577" s="92"/>
      <c r="FC577" s="92"/>
      <c r="FD577" s="92"/>
      <c r="FE577" s="92"/>
      <c r="FF577" s="92"/>
      <c r="FG577" s="92"/>
      <c r="FH577" s="92"/>
    </row>
    <row r="578">
      <c r="A578" s="48" t="s">
        <v>38</v>
      </c>
      <c r="B578" s="48" t="s">
        <v>97</v>
      </c>
      <c r="C578" s="48" t="s">
        <v>15</v>
      </c>
      <c r="D578" s="99">
        <f t="shared" si="1"/>
        <v>4632.1135</v>
      </c>
      <c r="E578" s="92">
        <f>(SUBSTITUTE(Audio!E578, "RE-", "", 1))*1</f>
        <v>0</v>
      </c>
      <c r="F578" s="92">
        <f>(SUBSTITUTE(Audio!F578, "RE-", "", 1))*1</f>
        <v>906.215</v>
      </c>
      <c r="G578" s="92">
        <f>(SUBSTITUTE(Audio!G578, "RE-", "", 1))*1</f>
        <v>8.15045</v>
      </c>
      <c r="H578" s="92">
        <f>(SUBSTITUTE(Audio!H578, "RE-", "", 1))*1</f>
        <v>62.9228</v>
      </c>
      <c r="I578" s="92">
        <f>(SUBSTITUTE(Audio!I578, "RE-", "", 1))*1</f>
        <v>0</v>
      </c>
      <c r="J578" s="92">
        <f>(SUBSTITUTE(Audio!J578, "RE-", "", 1))*1</f>
        <v>910.291</v>
      </c>
      <c r="K578" s="92">
        <f>(SUBSTITUTE(Audio!K578, "RE-", "", 1))*1</f>
        <v>7.58948</v>
      </c>
      <c r="L578" s="92">
        <f>(SUBSTITUTE(Audio!L578, "RE-", "", 1))*1</f>
        <v>726.464</v>
      </c>
      <c r="M578" s="92">
        <f>(SUBSTITUTE(Audio!M578, "RE-", "", 1))*1</f>
        <v>12.7052</v>
      </c>
      <c r="N578" s="92">
        <f>(SUBSTITUTE(Audio!N578, "RE-", "", 1))*1</f>
        <v>1218.79</v>
      </c>
      <c r="O578" s="92">
        <f>(SUBSTITUTE(Audio!O578, "RE-", "", 1))*1</f>
        <v>12.4538</v>
      </c>
      <c r="P578" s="92">
        <f>(SUBSTITUTE(Audio!P578, "RE-", "", 1))*1</f>
        <v>435.306</v>
      </c>
      <c r="Q578" s="92">
        <f>(SUBSTITUTE(Audio!Q578, "RE-", "", 1))*1</f>
        <v>27.8058</v>
      </c>
      <c r="R578" s="92">
        <f>(SUBSTITUTE(Audio!R578, "RE-", "", 1))*1</f>
        <v>50.6597</v>
      </c>
      <c r="S578" s="92">
        <f>(SUBSTITUTE(Audio!S578, "RE-", "", 1))*1</f>
        <v>11.3768</v>
      </c>
      <c r="T578" s="92">
        <f>(SUBSTITUTE(Audio!T578, "RE-", "", 1))*1</f>
        <v>228.408</v>
      </c>
      <c r="U578" s="92">
        <f>(SUBSTITUTE(Audio!U578, "RE-", "", 1))*1</f>
        <v>10.4511</v>
      </c>
      <c r="V578" s="92">
        <f>(SUBSTITUTE(Audio!V578, "RE-", "", 1))*1</f>
        <v>2.52437</v>
      </c>
      <c r="W578" s="92">
        <f>(SUBSTITUTE(Audio!W578, "RE-", "", 1))*1</f>
        <v>0</v>
      </c>
      <c r="X578" s="92">
        <f>(SUBSTITUTE(Audio!X578, "RE-", "", 1))*1</f>
        <v>0</v>
      </c>
      <c r="Y578" s="92">
        <f>(SUBSTITUTE(Audio!Y578, "RE-", "", 1))*1</f>
        <v>0</v>
      </c>
      <c r="Z578" s="92">
        <f>(SUBSTITUTE(Audio!Z578, "RE-", "", 1))*1</f>
        <v>0</v>
      </c>
      <c r="AA578" s="92"/>
      <c r="AB578" s="92"/>
      <c r="AC578" s="92"/>
      <c r="AD578" s="92"/>
      <c r="AE578" s="92"/>
      <c r="AF578" s="92"/>
      <c r="AG578" s="92"/>
      <c r="AH578" s="92"/>
      <c r="AI578" s="92"/>
      <c r="AJ578" s="92"/>
      <c r="AK578" s="92"/>
      <c r="AL578" s="92"/>
      <c r="AM578" s="92"/>
      <c r="AN578" s="92"/>
      <c r="AO578" s="92"/>
      <c r="AP578" s="92"/>
      <c r="AQ578" s="92"/>
      <c r="AR578" s="92"/>
      <c r="AS578" s="92"/>
      <c r="AT578" s="92"/>
      <c r="AU578" s="92"/>
      <c r="AV578" s="92"/>
      <c r="AW578" s="92"/>
      <c r="AX578" s="92"/>
      <c r="AY578" s="92"/>
      <c r="AZ578" s="92"/>
      <c r="BA578" s="92"/>
      <c r="BB578" s="92"/>
      <c r="BC578" s="92"/>
      <c r="BD578" s="92"/>
      <c r="BE578" s="92"/>
      <c r="BF578" s="92"/>
      <c r="BG578" s="92"/>
      <c r="BH578" s="92"/>
      <c r="BI578" s="92"/>
      <c r="BJ578" s="92"/>
      <c r="BK578" s="92"/>
      <c r="BL578" s="92"/>
      <c r="BM578" s="92"/>
      <c r="BN578" s="92"/>
      <c r="BO578" s="92"/>
      <c r="BP578" s="92"/>
      <c r="BQ578" s="92"/>
      <c r="BR578" s="92"/>
      <c r="BS578" s="92"/>
      <c r="BT578" s="92"/>
      <c r="BU578" s="92"/>
      <c r="BV578" s="92"/>
      <c r="BW578" s="92"/>
      <c r="BX578" s="92"/>
      <c r="BY578" s="92"/>
      <c r="BZ578" s="92"/>
      <c r="CA578" s="92"/>
      <c r="CB578" s="92"/>
      <c r="CC578" s="92"/>
      <c r="CD578" s="92"/>
      <c r="CE578" s="92"/>
      <c r="CF578" s="92"/>
      <c r="CG578" s="92"/>
      <c r="CH578" s="92"/>
      <c r="CI578" s="92"/>
      <c r="CJ578" s="92"/>
      <c r="CK578" s="92"/>
      <c r="CL578" s="92"/>
      <c r="CM578" s="92"/>
      <c r="CN578" s="92"/>
      <c r="CO578" s="92"/>
      <c r="CP578" s="92"/>
      <c r="CQ578" s="92"/>
      <c r="CR578" s="92"/>
      <c r="CS578" s="92"/>
      <c r="CT578" s="92"/>
      <c r="CU578" s="92"/>
      <c r="CV578" s="92"/>
      <c r="CW578" s="92"/>
      <c r="CX578" s="92"/>
      <c r="CY578" s="92"/>
      <c r="CZ578" s="92"/>
      <c r="DA578" s="92"/>
      <c r="DB578" s="92"/>
      <c r="DC578" s="92"/>
      <c r="DD578" s="92"/>
      <c r="DE578" s="92"/>
      <c r="DF578" s="92"/>
      <c r="DG578" s="92"/>
      <c r="DH578" s="92"/>
      <c r="DI578" s="92"/>
      <c r="DJ578" s="92"/>
      <c r="DK578" s="92"/>
      <c r="DL578" s="92"/>
      <c r="DM578" s="92"/>
      <c r="DN578" s="92"/>
      <c r="DO578" s="92"/>
      <c r="DP578" s="92"/>
      <c r="DQ578" s="92"/>
      <c r="DR578" s="92"/>
      <c r="DS578" s="92"/>
      <c r="DT578" s="92"/>
      <c r="DU578" s="92"/>
      <c r="DV578" s="92"/>
      <c r="DW578" s="92"/>
      <c r="DX578" s="92"/>
      <c r="DY578" s="92"/>
      <c r="DZ578" s="92"/>
      <c r="EA578" s="92"/>
      <c r="EB578" s="92"/>
      <c r="EC578" s="92"/>
      <c r="ED578" s="92"/>
      <c r="EE578" s="92"/>
      <c r="EF578" s="92"/>
      <c r="EG578" s="92"/>
      <c r="EH578" s="92"/>
      <c r="EI578" s="92"/>
      <c r="EJ578" s="92"/>
      <c r="EK578" s="92"/>
      <c r="EL578" s="92"/>
      <c r="EM578" s="92"/>
      <c r="EN578" s="92"/>
      <c r="EO578" s="92"/>
      <c r="EP578" s="92"/>
      <c r="EQ578" s="92"/>
      <c r="ER578" s="92"/>
      <c r="ES578" s="92"/>
      <c r="ET578" s="92"/>
      <c r="EU578" s="92"/>
      <c r="EV578" s="92"/>
      <c r="EW578" s="92"/>
      <c r="EX578" s="92"/>
      <c r="EY578" s="92"/>
      <c r="EZ578" s="92"/>
      <c r="FA578" s="92"/>
      <c r="FB578" s="92"/>
      <c r="FC578" s="92"/>
      <c r="FD578" s="92"/>
      <c r="FE578" s="92"/>
      <c r="FF578" s="92"/>
      <c r="FG578" s="92"/>
      <c r="FH578" s="92"/>
    </row>
    <row r="579">
      <c r="A579" s="45" t="s">
        <v>38</v>
      </c>
      <c r="B579" s="45" t="s">
        <v>98</v>
      </c>
      <c r="C579" s="46" t="str">
        <f>HYPERLINK("https://docs.google.com/spreadsheets/d/1HTwhD1jwfB_cg8NYfAMT3m1WYxDVifZk/edit?usp=share_link&amp;ouid=106501987799020758802&amp;rtpof=true&amp;sd=true", "Raw Delivered")</f>
        <v>Raw Delivered</v>
      </c>
      <c r="D579" s="100">
        <f t="shared" si="1"/>
        <v>8596.117296</v>
      </c>
      <c r="E579" s="92">
        <f>(SUBSTITUTE(Audio!E579, "RE-", "", 1))*1</f>
        <v>0</v>
      </c>
      <c r="F579" s="92">
        <f>(SUBSTITUTE(Audio!F579, "RE-", "", 1))*1</f>
        <v>436.1617729</v>
      </c>
      <c r="G579" s="92">
        <f>(SUBSTITUTE(Audio!G579, "RE-", "", 1))*1</f>
        <v>0</v>
      </c>
      <c r="H579" s="92">
        <f>(SUBSTITUTE(Audio!H579, "RE-", "", 1))*1</f>
        <v>82.15743958</v>
      </c>
      <c r="I579" s="92">
        <f>(SUBSTITUTE(Audio!I579, "RE-", "", 1))*1</f>
        <v>0</v>
      </c>
      <c r="J579" s="92">
        <f>(SUBSTITUTE(Audio!J579, "RE-", "", 1))*1</f>
        <v>707.2717531</v>
      </c>
      <c r="K579" s="92">
        <f>(SUBSTITUTE(Audio!K579, "RE-", "", 1))*1</f>
        <v>0</v>
      </c>
      <c r="L579" s="92">
        <f>(SUBSTITUTE(Audio!L579, "RE-", "", 1))*1</f>
        <v>1916.661254</v>
      </c>
      <c r="M579" s="92">
        <f>(SUBSTITUTE(Audio!M579, "RE-", "", 1))*1</f>
        <v>0</v>
      </c>
      <c r="N579" s="92">
        <f>(SUBSTITUTE(Audio!N579, "RE-", "", 1))*1</f>
        <v>4128.803984</v>
      </c>
      <c r="O579" s="92">
        <f>(SUBSTITUTE(Audio!O579, "RE-", "", 1))*1</f>
        <v>0</v>
      </c>
      <c r="P579" s="92">
        <f>(SUBSTITUTE(Audio!P579, "RE-", "", 1))*1</f>
        <v>599.6350917</v>
      </c>
      <c r="Q579" s="92">
        <f>(SUBSTITUTE(Audio!Q579, "RE-", "", 1))*1</f>
        <v>0</v>
      </c>
      <c r="R579" s="92">
        <f>(SUBSTITUTE(Audio!R579, "RE-", "", 1))*1</f>
        <v>152.2626667</v>
      </c>
      <c r="S579" s="92">
        <f>(SUBSTITUTE(Audio!S579, "RE-", "", 1))*1</f>
        <v>0</v>
      </c>
      <c r="T579" s="92">
        <f>(SUBSTITUTE(Audio!T579, "RE-", "", 1))*1</f>
        <v>573.1633344</v>
      </c>
      <c r="U579" s="92">
        <f>(SUBSTITUTE(Audio!U579, "RE-", "", 1))*1</f>
        <v>0</v>
      </c>
      <c r="V579" s="92">
        <f>(SUBSTITUTE(Audio!V579, "RE-", "", 1))*1</f>
        <v>0</v>
      </c>
      <c r="W579" s="92">
        <f>(SUBSTITUTE(Audio!W579, "RE-", "", 1))*1</f>
        <v>0</v>
      </c>
      <c r="X579" s="92">
        <f>(SUBSTITUTE(Audio!X579, "RE-", "", 1))*1</f>
        <v>0</v>
      </c>
      <c r="Y579" s="92">
        <f>(SUBSTITUTE(Audio!Y579, "RE-", "", 1))*1</f>
        <v>0</v>
      </c>
      <c r="Z579" s="92">
        <f>(SUBSTITUTE(Audio!Z579, "RE-", "", 1))*1</f>
        <v>0</v>
      </c>
      <c r="AA579" s="92"/>
      <c r="AB579" s="92"/>
      <c r="AC579" s="92"/>
      <c r="AD579" s="92"/>
      <c r="AE579" s="92"/>
      <c r="AF579" s="92"/>
      <c r="AG579" s="92"/>
      <c r="AH579" s="92"/>
      <c r="AI579" s="92"/>
      <c r="AJ579" s="92"/>
      <c r="AK579" s="92"/>
      <c r="AL579" s="92"/>
      <c r="AM579" s="92"/>
      <c r="AN579" s="92"/>
      <c r="AO579" s="92"/>
      <c r="AP579" s="92"/>
      <c r="AQ579" s="92"/>
      <c r="AR579" s="92"/>
      <c r="AS579" s="92"/>
      <c r="AT579" s="92"/>
      <c r="AU579" s="92"/>
      <c r="AV579" s="92"/>
      <c r="AW579" s="92"/>
      <c r="AX579" s="92"/>
      <c r="AY579" s="92"/>
      <c r="AZ579" s="92"/>
      <c r="BA579" s="92"/>
      <c r="BB579" s="92"/>
      <c r="BC579" s="92"/>
      <c r="BD579" s="92"/>
      <c r="BE579" s="92"/>
      <c r="BF579" s="92"/>
      <c r="BG579" s="92"/>
      <c r="BH579" s="92"/>
      <c r="BI579" s="92"/>
      <c r="BJ579" s="92"/>
      <c r="BK579" s="92"/>
      <c r="BL579" s="92"/>
      <c r="BM579" s="92"/>
      <c r="BN579" s="92"/>
      <c r="BO579" s="92"/>
      <c r="BP579" s="92"/>
      <c r="BQ579" s="92"/>
      <c r="BR579" s="92"/>
      <c r="BS579" s="92"/>
      <c r="BT579" s="92"/>
      <c r="BU579" s="92"/>
      <c r="BV579" s="92"/>
      <c r="BW579" s="92"/>
      <c r="BX579" s="92"/>
      <c r="BY579" s="92"/>
      <c r="BZ579" s="92"/>
      <c r="CA579" s="92"/>
      <c r="CB579" s="92"/>
      <c r="CC579" s="92"/>
      <c r="CD579" s="92"/>
      <c r="CE579" s="92"/>
      <c r="CF579" s="92"/>
      <c r="CG579" s="92"/>
      <c r="CH579" s="92"/>
      <c r="CI579" s="92"/>
      <c r="CJ579" s="92"/>
      <c r="CK579" s="92"/>
      <c r="CL579" s="92"/>
      <c r="CM579" s="92"/>
      <c r="CN579" s="92"/>
      <c r="CO579" s="92"/>
      <c r="CP579" s="92"/>
      <c r="CQ579" s="92"/>
      <c r="CR579" s="92"/>
      <c r="CS579" s="92"/>
      <c r="CT579" s="92"/>
      <c r="CU579" s="92"/>
      <c r="CV579" s="92"/>
      <c r="CW579" s="92"/>
      <c r="CX579" s="92"/>
      <c r="CY579" s="92"/>
      <c r="CZ579" s="92"/>
      <c r="DA579" s="92"/>
      <c r="DB579" s="92"/>
      <c r="DC579" s="92"/>
      <c r="DD579" s="92"/>
      <c r="DE579" s="92"/>
      <c r="DF579" s="92"/>
      <c r="DG579" s="92"/>
      <c r="DH579" s="92"/>
      <c r="DI579" s="92"/>
      <c r="DJ579" s="92"/>
      <c r="DK579" s="92"/>
      <c r="DL579" s="92"/>
      <c r="DM579" s="92"/>
      <c r="DN579" s="92"/>
      <c r="DO579" s="92"/>
      <c r="DP579" s="92"/>
      <c r="DQ579" s="92"/>
      <c r="DR579" s="92"/>
      <c r="DS579" s="92"/>
      <c r="DT579" s="92"/>
      <c r="DU579" s="92"/>
      <c r="DV579" s="92"/>
      <c r="DW579" s="92"/>
      <c r="DX579" s="92"/>
      <c r="DY579" s="92"/>
      <c r="DZ579" s="92"/>
      <c r="EA579" s="92"/>
      <c r="EB579" s="92"/>
      <c r="EC579" s="92"/>
      <c r="ED579" s="92"/>
      <c r="EE579" s="92"/>
      <c r="EF579" s="92"/>
      <c r="EG579" s="92"/>
      <c r="EH579" s="92"/>
      <c r="EI579" s="92"/>
      <c r="EJ579" s="92"/>
      <c r="EK579" s="92"/>
      <c r="EL579" s="92"/>
      <c r="EM579" s="92"/>
      <c r="EN579" s="92"/>
      <c r="EO579" s="92"/>
      <c r="EP579" s="92"/>
      <c r="EQ579" s="92"/>
      <c r="ER579" s="92"/>
      <c r="ES579" s="92"/>
      <c r="ET579" s="92"/>
      <c r="EU579" s="92"/>
      <c r="EV579" s="92"/>
      <c r="EW579" s="92"/>
      <c r="EX579" s="92"/>
      <c r="EY579" s="92"/>
      <c r="EZ579" s="92"/>
      <c r="FA579" s="92"/>
      <c r="FB579" s="92"/>
      <c r="FC579" s="92"/>
      <c r="FD579" s="92"/>
      <c r="FE579" s="92"/>
      <c r="FF579" s="92"/>
      <c r="FG579" s="92"/>
      <c r="FH579" s="92"/>
    </row>
    <row r="580">
      <c r="A580" s="47" t="s">
        <v>38</v>
      </c>
      <c r="B580" s="47" t="s">
        <v>98</v>
      </c>
      <c r="C580" s="47" t="s">
        <v>9</v>
      </c>
      <c r="D580" s="101">
        <f t="shared" si="1"/>
        <v>8596.117297</v>
      </c>
      <c r="E580" s="92">
        <f>(SUBSTITUTE(Audio!E580, "RE-", "", 1))*1</f>
        <v>0</v>
      </c>
      <c r="F580" s="92">
        <f>(SUBSTITUTE(Audio!F580, "RE-", "", 1))*1</f>
        <v>436.1617729</v>
      </c>
      <c r="G580" s="92">
        <f>(SUBSTITUTE(Audio!G580, "RE-", "", 1))*1</f>
        <v>0</v>
      </c>
      <c r="H580" s="92">
        <f>(SUBSTITUTE(Audio!H580, "RE-", "", 1))*1</f>
        <v>82.15743958</v>
      </c>
      <c r="I580" s="92">
        <f>(SUBSTITUTE(Audio!I580, "RE-", "", 1))*1</f>
        <v>0</v>
      </c>
      <c r="J580" s="92">
        <f>(SUBSTITUTE(Audio!J580, "RE-", "", 1))*1</f>
        <v>707.2717531</v>
      </c>
      <c r="K580" s="92">
        <f>(SUBSTITUTE(Audio!K580, "RE-", "", 1))*1</f>
        <v>0</v>
      </c>
      <c r="L580" s="92">
        <f>(SUBSTITUTE(Audio!L580, "RE-", "", 1))*1</f>
        <v>1916.661254</v>
      </c>
      <c r="M580" s="92">
        <f>(SUBSTITUTE(Audio!M580, "RE-", "", 1))*1</f>
        <v>0</v>
      </c>
      <c r="N580" s="92">
        <f>(SUBSTITUTE(Audio!N580, "RE-", "", 1))*1</f>
        <v>4128.803984</v>
      </c>
      <c r="O580" s="92">
        <f>(SUBSTITUTE(Audio!O580, "RE-", "", 1))*1</f>
        <v>0</v>
      </c>
      <c r="P580" s="92">
        <f>(SUBSTITUTE(Audio!P580, "RE-", "", 1))*1</f>
        <v>599.6350917</v>
      </c>
      <c r="Q580" s="92">
        <f>(SUBSTITUTE(Audio!Q580, "RE-", "", 1))*1</f>
        <v>0</v>
      </c>
      <c r="R580" s="92">
        <f>(SUBSTITUTE(Audio!R580, "RE-", "", 1))*1</f>
        <v>152.2626667</v>
      </c>
      <c r="S580" s="92">
        <f>(SUBSTITUTE(Audio!S580, "RE-", "", 1))*1</f>
        <v>0</v>
      </c>
      <c r="T580" s="92">
        <f>(SUBSTITUTE(Audio!T580, "RE-", "", 1))*1</f>
        <v>573.1633344</v>
      </c>
      <c r="U580" s="92">
        <f>(SUBSTITUTE(Audio!U580, "RE-", "", 1))*1</f>
        <v>0</v>
      </c>
      <c r="V580" s="92">
        <f>(SUBSTITUTE(Audio!V580, "RE-", "", 1))*1</f>
        <v>0</v>
      </c>
      <c r="W580" s="92">
        <f>(SUBSTITUTE(Audio!W580, "RE-", "", 1))*1</f>
        <v>0</v>
      </c>
      <c r="X580" s="92">
        <f>(SUBSTITUTE(Audio!X580, "RE-", "", 1))*1</f>
        <v>0</v>
      </c>
      <c r="Y580" s="92">
        <f>(SUBSTITUTE(Audio!Y580, "RE-", "", 1))*1</f>
        <v>0</v>
      </c>
      <c r="Z580" s="92">
        <f>(SUBSTITUTE(Audio!Z580, "RE-", "", 1))*1</f>
        <v>0</v>
      </c>
      <c r="AA580" s="92"/>
      <c r="AB580" s="92"/>
      <c r="AC580" s="92"/>
      <c r="AD580" s="92"/>
      <c r="AE580" s="92"/>
      <c r="AF580" s="92"/>
      <c r="AG580" s="92"/>
      <c r="AH580" s="92"/>
      <c r="AI580" s="92"/>
      <c r="AJ580" s="92"/>
      <c r="AK580" s="92"/>
      <c r="AL580" s="92"/>
      <c r="AM580" s="92"/>
      <c r="AN580" s="92"/>
      <c r="AO580" s="92"/>
      <c r="AP580" s="92"/>
      <c r="AQ580" s="92"/>
      <c r="AR580" s="92"/>
      <c r="AS580" s="92"/>
      <c r="AT580" s="92"/>
      <c r="AU580" s="92"/>
      <c r="AV580" s="92"/>
      <c r="AW580" s="92"/>
      <c r="AX580" s="92"/>
      <c r="AY580" s="92"/>
      <c r="AZ580" s="92"/>
      <c r="BA580" s="92"/>
      <c r="BB580" s="92"/>
      <c r="BC580" s="92"/>
      <c r="BD580" s="92"/>
      <c r="BE580" s="92"/>
      <c r="BF580" s="92"/>
      <c r="BG580" s="92"/>
      <c r="BH580" s="92"/>
      <c r="BI580" s="92"/>
      <c r="BJ580" s="92"/>
      <c r="BK580" s="92"/>
      <c r="BL580" s="92"/>
      <c r="BM580" s="92"/>
      <c r="BN580" s="92"/>
      <c r="BO580" s="92"/>
      <c r="BP580" s="92"/>
      <c r="BQ580" s="92"/>
      <c r="BR580" s="92"/>
      <c r="BS580" s="92"/>
      <c r="BT580" s="92"/>
      <c r="BU580" s="92"/>
      <c r="BV580" s="92"/>
      <c r="BW580" s="92"/>
      <c r="BX580" s="92"/>
      <c r="BY580" s="92"/>
      <c r="BZ580" s="92"/>
      <c r="CA580" s="92"/>
      <c r="CB580" s="92"/>
      <c r="CC580" s="92"/>
      <c r="CD580" s="92"/>
      <c r="CE580" s="92"/>
      <c r="CF580" s="92"/>
      <c r="CG580" s="92"/>
      <c r="CH580" s="92"/>
      <c r="CI580" s="92"/>
      <c r="CJ580" s="92"/>
      <c r="CK580" s="92"/>
      <c r="CL580" s="92"/>
      <c r="CM580" s="92"/>
      <c r="CN580" s="92"/>
      <c r="CO580" s="92"/>
      <c r="CP580" s="92"/>
      <c r="CQ580" s="92"/>
      <c r="CR580" s="92"/>
      <c r="CS580" s="92"/>
      <c r="CT580" s="92"/>
      <c r="CU580" s="92"/>
      <c r="CV580" s="92"/>
      <c r="CW580" s="92"/>
      <c r="CX580" s="92"/>
      <c r="CY580" s="92"/>
      <c r="CZ580" s="92"/>
      <c r="DA580" s="92"/>
      <c r="DB580" s="92"/>
      <c r="DC580" s="92"/>
      <c r="DD580" s="92"/>
      <c r="DE580" s="92"/>
      <c r="DF580" s="92"/>
      <c r="DG580" s="92"/>
      <c r="DH580" s="92"/>
      <c r="DI580" s="92"/>
      <c r="DJ580" s="92"/>
      <c r="DK580" s="92"/>
      <c r="DL580" s="92"/>
      <c r="DM580" s="92"/>
      <c r="DN580" s="92"/>
      <c r="DO580" s="92"/>
      <c r="DP580" s="92"/>
      <c r="DQ580" s="92"/>
      <c r="DR580" s="92"/>
      <c r="DS580" s="92"/>
      <c r="DT580" s="92"/>
      <c r="DU580" s="92"/>
      <c r="DV580" s="92"/>
      <c r="DW580" s="92"/>
      <c r="DX580" s="92"/>
      <c r="DY580" s="92"/>
      <c r="DZ580" s="92"/>
      <c r="EA580" s="92"/>
      <c r="EB580" s="92"/>
      <c r="EC580" s="92"/>
      <c r="ED580" s="92"/>
      <c r="EE580" s="92"/>
      <c r="EF580" s="92"/>
      <c r="EG580" s="92"/>
      <c r="EH580" s="92"/>
      <c r="EI580" s="92"/>
      <c r="EJ580" s="92"/>
      <c r="EK580" s="92"/>
      <c r="EL580" s="92"/>
      <c r="EM580" s="92"/>
      <c r="EN580" s="92"/>
      <c r="EO580" s="92"/>
      <c r="EP580" s="92"/>
      <c r="EQ580" s="92"/>
      <c r="ER580" s="92"/>
      <c r="ES580" s="92"/>
      <c r="ET580" s="92"/>
      <c r="EU580" s="92"/>
      <c r="EV580" s="92"/>
      <c r="EW580" s="92"/>
      <c r="EX580" s="92"/>
      <c r="EY580" s="92"/>
      <c r="EZ580" s="92"/>
      <c r="FA580" s="92"/>
      <c r="FB580" s="92"/>
      <c r="FC580" s="92"/>
      <c r="FD580" s="92"/>
      <c r="FE580" s="92"/>
      <c r="FF580" s="92"/>
      <c r="FG580" s="92"/>
      <c r="FH580" s="92"/>
    </row>
    <row r="581">
      <c r="A581" s="47" t="s">
        <v>38</v>
      </c>
      <c r="B581" s="47" t="s">
        <v>98</v>
      </c>
      <c r="C581" s="47" t="s">
        <v>10</v>
      </c>
      <c r="D581" s="101">
        <f t="shared" si="1"/>
        <v>993.3686875</v>
      </c>
      <c r="E581" s="92">
        <f>(SUBSTITUTE(Audio!E581, "RE-", "", 1))*1</f>
        <v>0</v>
      </c>
      <c r="F581" s="92">
        <f>(SUBSTITUTE(Audio!F581, "RE-", "", 1))*1</f>
        <v>0</v>
      </c>
      <c r="G581" s="92">
        <f>(SUBSTITUTE(Audio!G581, "RE-", "", 1))*1</f>
        <v>41.39550417</v>
      </c>
      <c r="H581" s="92">
        <f>(SUBSTITUTE(Audio!H581, "RE-", "", 1))*1</f>
        <v>0</v>
      </c>
      <c r="I581" s="92">
        <f>(SUBSTITUTE(Audio!I581, "RE-", "", 1))*1</f>
        <v>8.961575</v>
      </c>
      <c r="J581" s="92">
        <f>(SUBSTITUTE(Audio!J581, "RE-", "", 1))*1</f>
        <v>0</v>
      </c>
      <c r="K581" s="92">
        <f>(SUBSTITUTE(Audio!K581, "RE-", "", 1))*1</f>
        <v>64.14007813</v>
      </c>
      <c r="L581" s="92">
        <f>(SUBSTITUTE(Audio!L581, "RE-", "", 1))*1</f>
        <v>0</v>
      </c>
      <c r="M581" s="92">
        <f>(SUBSTITUTE(Audio!M581, "RE-", "", 1))*1</f>
        <v>55.07039167</v>
      </c>
      <c r="N581" s="92">
        <f>(SUBSTITUTE(Audio!N581, "RE-", "", 1))*1</f>
        <v>0</v>
      </c>
      <c r="O581" s="92">
        <f>(SUBSTITUTE(Audio!O581, "RE-", "", 1))*1</f>
        <v>599.5228615</v>
      </c>
      <c r="P581" s="92">
        <f>(SUBSTITUTE(Audio!P581, "RE-", "", 1))*1</f>
        <v>0</v>
      </c>
      <c r="Q581" s="92">
        <f>(SUBSTITUTE(Audio!Q581, "RE-", "", 1))*1</f>
        <v>125.809226</v>
      </c>
      <c r="R581" s="92">
        <f>(SUBSTITUTE(Audio!R581, "RE-", "", 1))*1</f>
        <v>0</v>
      </c>
      <c r="S581" s="92">
        <f>(SUBSTITUTE(Audio!S581, "RE-", "", 1))*1</f>
        <v>30.19944062</v>
      </c>
      <c r="T581" s="92">
        <f>(SUBSTITUTE(Audio!T581, "RE-", "", 1))*1</f>
        <v>0</v>
      </c>
      <c r="U581" s="92">
        <f>(SUBSTITUTE(Audio!U581, "RE-", "", 1))*1</f>
        <v>56.79710521</v>
      </c>
      <c r="V581" s="92">
        <f>(SUBSTITUTE(Audio!V581, "RE-", "", 1))*1</f>
        <v>11.47250521</v>
      </c>
      <c r="W581" s="92">
        <f>(SUBSTITUTE(Audio!W581, "RE-", "", 1))*1</f>
        <v>0</v>
      </c>
      <c r="X581" s="92">
        <f>(SUBSTITUTE(Audio!X581, "RE-", "", 1))*1</f>
        <v>0</v>
      </c>
      <c r="Y581" s="92">
        <f>(SUBSTITUTE(Audio!Y581, "RE-", "", 1))*1</f>
        <v>0</v>
      </c>
      <c r="Z581" s="92">
        <f>(SUBSTITUTE(Audio!Z581, "RE-", "", 1))*1</f>
        <v>0</v>
      </c>
      <c r="AA581" s="92"/>
      <c r="AB581" s="92"/>
      <c r="AC581" s="92"/>
      <c r="AD581" s="92"/>
      <c r="AE581" s="92"/>
      <c r="AF581" s="92"/>
      <c r="AG581" s="92"/>
      <c r="AH581" s="92"/>
      <c r="AI581" s="92"/>
      <c r="AJ581" s="92"/>
      <c r="AK581" s="92"/>
      <c r="AL581" s="92"/>
      <c r="AM581" s="92"/>
      <c r="AN581" s="92"/>
      <c r="AO581" s="92"/>
      <c r="AP581" s="92"/>
      <c r="AQ581" s="92"/>
      <c r="AR581" s="92"/>
      <c r="AS581" s="92"/>
      <c r="AT581" s="92"/>
      <c r="AU581" s="92"/>
      <c r="AV581" s="92"/>
      <c r="AW581" s="92"/>
      <c r="AX581" s="92"/>
      <c r="AY581" s="92"/>
      <c r="AZ581" s="92"/>
      <c r="BA581" s="92"/>
      <c r="BB581" s="92"/>
      <c r="BC581" s="92"/>
      <c r="BD581" s="92"/>
      <c r="BE581" s="92"/>
      <c r="BF581" s="92"/>
      <c r="BG581" s="92"/>
      <c r="BH581" s="92"/>
      <c r="BI581" s="92"/>
      <c r="BJ581" s="92"/>
      <c r="BK581" s="92"/>
      <c r="BL581" s="92"/>
      <c r="BM581" s="92"/>
      <c r="BN581" s="92"/>
      <c r="BO581" s="92"/>
      <c r="BP581" s="92"/>
      <c r="BQ581" s="92"/>
      <c r="BR581" s="92"/>
      <c r="BS581" s="92"/>
      <c r="BT581" s="92"/>
      <c r="BU581" s="92"/>
      <c r="BV581" s="92"/>
      <c r="BW581" s="92"/>
      <c r="BX581" s="92"/>
      <c r="BY581" s="92"/>
      <c r="BZ581" s="92"/>
      <c r="CA581" s="92"/>
      <c r="CB581" s="92"/>
      <c r="CC581" s="92"/>
      <c r="CD581" s="92"/>
      <c r="CE581" s="92"/>
      <c r="CF581" s="92"/>
      <c r="CG581" s="92"/>
      <c r="CH581" s="92"/>
      <c r="CI581" s="92"/>
      <c r="CJ581" s="92"/>
      <c r="CK581" s="92"/>
      <c r="CL581" s="92"/>
      <c r="CM581" s="92"/>
      <c r="CN581" s="92"/>
      <c r="CO581" s="92"/>
      <c r="CP581" s="92"/>
      <c r="CQ581" s="92"/>
      <c r="CR581" s="92"/>
      <c r="CS581" s="92"/>
      <c r="CT581" s="92"/>
      <c r="CU581" s="92"/>
      <c r="CV581" s="92"/>
      <c r="CW581" s="92"/>
      <c r="CX581" s="92"/>
      <c r="CY581" s="92"/>
      <c r="CZ581" s="92"/>
      <c r="DA581" s="92"/>
      <c r="DB581" s="92"/>
      <c r="DC581" s="92"/>
      <c r="DD581" s="92"/>
      <c r="DE581" s="92"/>
      <c r="DF581" s="92"/>
      <c r="DG581" s="92"/>
      <c r="DH581" s="92"/>
      <c r="DI581" s="92"/>
      <c r="DJ581" s="92"/>
      <c r="DK581" s="92"/>
      <c r="DL581" s="92"/>
      <c r="DM581" s="92"/>
      <c r="DN581" s="92"/>
      <c r="DO581" s="92"/>
      <c r="DP581" s="92"/>
      <c r="DQ581" s="92"/>
      <c r="DR581" s="92"/>
      <c r="DS581" s="92"/>
      <c r="DT581" s="92"/>
      <c r="DU581" s="92"/>
      <c r="DV581" s="92"/>
      <c r="DW581" s="92"/>
      <c r="DX581" s="92"/>
      <c r="DY581" s="92"/>
      <c r="DZ581" s="92"/>
      <c r="EA581" s="92"/>
      <c r="EB581" s="92"/>
      <c r="EC581" s="92"/>
      <c r="ED581" s="92"/>
      <c r="EE581" s="92"/>
      <c r="EF581" s="92"/>
      <c r="EG581" s="92"/>
      <c r="EH581" s="92"/>
      <c r="EI581" s="92"/>
      <c r="EJ581" s="92"/>
      <c r="EK581" s="92"/>
      <c r="EL581" s="92"/>
      <c r="EM581" s="92"/>
      <c r="EN581" s="92"/>
      <c r="EO581" s="92"/>
      <c r="EP581" s="92"/>
      <c r="EQ581" s="92"/>
      <c r="ER581" s="92"/>
      <c r="ES581" s="92"/>
      <c r="ET581" s="92"/>
      <c r="EU581" s="92"/>
      <c r="EV581" s="92"/>
      <c r="EW581" s="92"/>
      <c r="EX581" s="92"/>
      <c r="EY581" s="92"/>
      <c r="EZ581" s="92"/>
      <c r="FA581" s="92"/>
      <c r="FB581" s="92"/>
      <c r="FC581" s="92"/>
      <c r="FD581" s="92"/>
      <c r="FE581" s="92"/>
      <c r="FF581" s="92"/>
      <c r="FG581" s="92"/>
      <c r="FH581" s="92"/>
    </row>
    <row r="582">
      <c r="A582" s="47" t="s">
        <v>38</v>
      </c>
      <c r="B582" s="47" t="s">
        <v>98</v>
      </c>
      <c r="C582" s="47" t="s">
        <v>11</v>
      </c>
      <c r="D582" s="101">
        <f t="shared" si="1"/>
        <v>993.3686875</v>
      </c>
      <c r="E582" s="92">
        <f>(SUBSTITUTE(Audio!E582, "RE-", "", 1))*1</f>
        <v>0</v>
      </c>
      <c r="F582" s="92">
        <f>(SUBSTITUTE(Audio!F582, "RE-", "", 1))*1</f>
        <v>0</v>
      </c>
      <c r="G582" s="92">
        <f>(SUBSTITUTE(Audio!G582, "RE-", "", 1))*1</f>
        <v>41.39550417</v>
      </c>
      <c r="H582" s="92">
        <f>(SUBSTITUTE(Audio!H582, "RE-", "", 1))*1</f>
        <v>0</v>
      </c>
      <c r="I582" s="92">
        <f>(SUBSTITUTE(Audio!I582, "RE-", "", 1))*1</f>
        <v>8.961575</v>
      </c>
      <c r="J582" s="92">
        <f>(SUBSTITUTE(Audio!J582, "RE-", "", 1))*1</f>
        <v>0</v>
      </c>
      <c r="K582" s="92">
        <f>(SUBSTITUTE(Audio!K582, "RE-", "", 1))*1</f>
        <v>64.14007813</v>
      </c>
      <c r="L582" s="92">
        <f>(SUBSTITUTE(Audio!L582, "RE-", "", 1))*1</f>
        <v>0</v>
      </c>
      <c r="M582" s="92">
        <f>(SUBSTITUTE(Audio!M582, "RE-", "", 1))*1</f>
        <v>55.07039167</v>
      </c>
      <c r="N582" s="92">
        <f>(SUBSTITUTE(Audio!N582, "RE-", "", 1))*1</f>
        <v>0</v>
      </c>
      <c r="O582" s="92">
        <f>(SUBSTITUTE(Audio!O582, "RE-", "", 1))*1</f>
        <v>599.5228615</v>
      </c>
      <c r="P582" s="92">
        <f>(SUBSTITUTE(Audio!P582, "RE-", "", 1))*1</f>
        <v>0</v>
      </c>
      <c r="Q582" s="92">
        <f>(SUBSTITUTE(Audio!Q582, "RE-", "", 1))*1</f>
        <v>125.809226</v>
      </c>
      <c r="R582" s="92">
        <f>(SUBSTITUTE(Audio!R582, "RE-", "", 1))*1</f>
        <v>0</v>
      </c>
      <c r="S582" s="92">
        <f>(SUBSTITUTE(Audio!S582, "RE-", "", 1))*1</f>
        <v>30.19944062</v>
      </c>
      <c r="T582" s="92">
        <f>(SUBSTITUTE(Audio!T582, "RE-", "", 1))*1</f>
        <v>0</v>
      </c>
      <c r="U582" s="92">
        <f>(SUBSTITUTE(Audio!U582, "RE-", "", 1))*1</f>
        <v>56.79710521</v>
      </c>
      <c r="V582" s="92">
        <f>(SUBSTITUTE(Audio!V582, "RE-", "", 1))*1</f>
        <v>11.47250521</v>
      </c>
      <c r="W582" s="92">
        <f>(SUBSTITUTE(Audio!W582, "RE-", "", 1))*1</f>
        <v>0</v>
      </c>
      <c r="X582" s="92">
        <f>(SUBSTITUTE(Audio!X582, "RE-", "", 1))*1</f>
        <v>0</v>
      </c>
      <c r="Y582" s="92">
        <f>(SUBSTITUTE(Audio!Y582, "RE-", "", 1))*1</f>
        <v>0</v>
      </c>
      <c r="Z582" s="92">
        <f>(SUBSTITUTE(Audio!Z582, "RE-", "", 1))*1</f>
        <v>0</v>
      </c>
      <c r="AA582" s="92"/>
      <c r="AB582" s="92"/>
      <c r="AC582" s="92"/>
      <c r="AD582" s="92"/>
      <c r="AE582" s="92"/>
      <c r="AF582" s="92"/>
      <c r="AG582" s="92"/>
      <c r="AH582" s="92"/>
      <c r="AI582" s="92"/>
      <c r="AJ582" s="92"/>
      <c r="AK582" s="92"/>
      <c r="AL582" s="92"/>
      <c r="AM582" s="92"/>
      <c r="AN582" s="92"/>
      <c r="AO582" s="92"/>
      <c r="AP582" s="92"/>
      <c r="AQ582" s="92"/>
      <c r="AR582" s="92"/>
      <c r="AS582" s="92"/>
      <c r="AT582" s="92"/>
      <c r="AU582" s="92"/>
      <c r="AV582" s="92"/>
      <c r="AW582" s="92"/>
      <c r="AX582" s="92"/>
      <c r="AY582" s="92"/>
      <c r="AZ582" s="92"/>
      <c r="BA582" s="92"/>
      <c r="BB582" s="92"/>
      <c r="BC582" s="92"/>
      <c r="BD582" s="92"/>
      <c r="BE582" s="92"/>
      <c r="BF582" s="92"/>
      <c r="BG582" s="92"/>
      <c r="BH582" s="92"/>
      <c r="BI582" s="92"/>
      <c r="BJ582" s="92"/>
      <c r="BK582" s="92"/>
      <c r="BL582" s="92"/>
      <c r="BM582" s="92"/>
      <c r="BN582" s="92"/>
      <c r="BO582" s="92"/>
      <c r="BP582" s="92"/>
      <c r="BQ582" s="92"/>
      <c r="BR582" s="92"/>
      <c r="BS582" s="92"/>
      <c r="BT582" s="92"/>
      <c r="BU582" s="92"/>
      <c r="BV582" s="92"/>
      <c r="BW582" s="92"/>
      <c r="BX582" s="92"/>
      <c r="BY582" s="92"/>
      <c r="BZ582" s="92"/>
      <c r="CA582" s="92"/>
      <c r="CB582" s="92"/>
      <c r="CC582" s="92"/>
      <c r="CD582" s="92"/>
      <c r="CE582" s="92"/>
      <c r="CF582" s="92"/>
      <c r="CG582" s="92"/>
      <c r="CH582" s="92"/>
      <c r="CI582" s="92"/>
      <c r="CJ582" s="92"/>
      <c r="CK582" s="92"/>
      <c r="CL582" s="92"/>
      <c r="CM582" s="92"/>
      <c r="CN582" s="92"/>
      <c r="CO582" s="92"/>
      <c r="CP582" s="92"/>
      <c r="CQ582" s="92"/>
      <c r="CR582" s="92"/>
      <c r="CS582" s="92"/>
      <c r="CT582" s="92"/>
      <c r="CU582" s="92"/>
      <c r="CV582" s="92"/>
      <c r="CW582" s="92"/>
      <c r="CX582" s="92"/>
      <c r="CY582" s="92"/>
      <c r="CZ582" s="92"/>
      <c r="DA582" s="92"/>
      <c r="DB582" s="92"/>
      <c r="DC582" s="92"/>
      <c r="DD582" s="92"/>
      <c r="DE582" s="92"/>
      <c r="DF582" s="92"/>
      <c r="DG582" s="92"/>
      <c r="DH582" s="92"/>
      <c r="DI582" s="92"/>
      <c r="DJ582" s="92"/>
      <c r="DK582" s="92"/>
      <c r="DL582" s="92"/>
      <c r="DM582" s="92"/>
      <c r="DN582" s="92"/>
      <c r="DO582" s="92"/>
      <c r="DP582" s="92"/>
      <c r="DQ582" s="92"/>
      <c r="DR582" s="92"/>
      <c r="DS582" s="92"/>
      <c r="DT582" s="92"/>
      <c r="DU582" s="92"/>
      <c r="DV582" s="92"/>
      <c r="DW582" s="92"/>
      <c r="DX582" s="92"/>
      <c r="DY582" s="92"/>
      <c r="DZ582" s="92"/>
      <c r="EA582" s="92"/>
      <c r="EB582" s="92"/>
      <c r="EC582" s="92"/>
      <c r="ED582" s="92"/>
      <c r="EE582" s="92"/>
      <c r="EF582" s="92"/>
      <c r="EG582" s="92"/>
      <c r="EH582" s="92"/>
      <c r="EI582" s="92"/>
      <c r="EJ582" s="92"/>
      <c r="EK582" s="92"/>
      <c r="EL582" s="92"/>
      <c r="EM582" s="92"/>
      <c r="EN582" s="92"/>
      <c r="EO582" s="92"/>
      <c r="EP582" s="92"/>
      <c r="EQ582" s="92"/>
      <c r="ER582" s="92"/>
      <c r="ES582" s="92"/>
      <c r="ET582" s="92"/>
      <c r="EU582" s="92"/>
      <c r="EV582" s="92"/>
      <c r="EW582" s="92"/>
      <c r="EX582" s="92"/>
      <c r="EY582" s="92"/>
      <c r="EZ582" s="92"/>
      <c r="FA582" s="92"/>
      <c r="FB582" s="92"/>
      <c r="FC582" s="92"/>
      <c r="FD582" s="92"/>
      <c r="FE582" s="92"/>
      <c r="FF582" s="92"/>
      <c r="FG582" s="92"/>
      <c r="FH582" s="92"/>
    </row>
    <row r="583">
      <c r="A583" s="47" t="s">
        <v>38</v>
      </c>
      <c r="B583" s="47" t="s">
        <v>98</v>
      </c>
      <c r="C583" s="47" t="s">
        <v>12</v>
      </c>
      <c r="D583" s="101">
        <f t="shared" si="1"/>
        <v>6935.843652</v>
      </c>
      <c r="E583" s="92">
        <f>(SUBSTITUTE(Audio!E583, "RE-", "", 1))*1</f>
        <v>0</v>
      </c>
      <c r="F583" s="92">
        <f>(SUBSTITUTE(Audio!F583, "RE-", "", 1))*1</f>
        <v>358.2918292</v>
      </c>
      <c r="G583" s="92">
        <f>(SUBSTITUTE(Audio!G583, "RE-", "", 1))*1</f>
        <v>0.9701979167</v>
      </c>
      <c r="H583" s="92">
        <f>(SUBSTITUTE(Audio!H583, "RE-", "", 1))*1</f>
        <v>74.50706042</v>
      </c>
      <c r="I583" s="92">
        <f>(SUBSTITUTE(Audio!I583, "RE-", "", 1))*1</f>
        <v>0</v>
      </c>
      <c r="J583" s="92">
        <f>(SUBSTITUTE(Audio!J583, "RE-", "", 1))*1</f>
        <v>568.9267198</v>
      </c>
      <c r="K583" s="92">
        <f>(SUBSTITUTE(Audio!K583, "RE-", "", 1))*1</f>
        <v>4.328308333</v>
      </c>
      <c r="L583" s="92">
        <f>(SUBSTITUTE(Audio!L583, "RE-", "", 1))*1</f>
        <v>1810.953184</v>
      </c>
      <c r="M583" s="92">
        <f>(SUBSTITUTE(Audio!M583, "RE-", "", 1))*1</f>
        <v>3.240580208</v>
      </c>
      <c r="N583" s="92">
        <f>(SUBSTITUTE(Audio!N583, "RE-", "", 1))*1</f>
        <v>2821.447931</v>
      </c>
      <c r="O583" s="92">
        <f>(SUBSTITUTE(Audio!O583, "RE-", "", 1))*1</f>
        <v>19.89269792</v>
      </c>
      <c r="P583" s="92">
        <f>(SUBSTITUTE(Audio!P583, "RE-", "", 1))*1</f>
        <v>522.9796354</v>
      </c>
      <c r="Q583" s="92">
        <f>(SUBSTITUTE(Audio!Q583, "RE-", "", 1))*1</f>
        <v>36.32513125</v>
      </c>
      <c r="R583" s="92">
        <f>(SUBSTITUTE(Audio!R583, "RE-", "", 1))*1</f>
        <v>131.3806698</v>
      </c>
      <c r="S583" s="92">
        <f>(SUBSTITUTE(Audio!S583, "RE-", "", 1))*1</f>
        <v>14.88861667</v>
      </c>
      <c r="T583" s="92">
        <f>(SUBSTITUTE(Audio!T583, "RE-", "", 1))*1</f>
        <v>531.8931969</v>
      </c>
      <c r="U583" s="92">
        <f>(SUBSTITUTE(Audio!U583, "RE-", "", 1))*1</f>
        <v>26.5912</v>
      </c>
      <c r="V583" s="92">
        <f>(SUBSTITUTE(Audio!V583, "RE-", "", 1))*1</f>
        <v>9.226692708</v>
      </c>
      <c r="W583" s="92">
        <f>(SUBSTITUTE(Audio!W583, "RE-", "", 1))*1</f>
        <v>0</v>
      </c>
      <c r="X583" s="92">
        <f>(SUBSTITUTE(Audio!X583, "RE-", "", 1))*1</f>
        <v>0</v>
      </c>
      <c r="Y583" s="92">
        <f>(SUBSTITUTE(Audio!Y583, "RE-", "", 1))*1</f>
        <v>0</v>
      </c>
      <c r="Z583" s="92">
        <f>(SUBSTITUTE(Audio!Z583, "RE-", "", 1))*1</f>
        <v>0</v>
      </c>
      <c r="AA583" s="92"/>
      <c r="AB583" s="92"/>
      <c r="AC583" s="92"/>
      <c r="AD583" s="92"/>
      <c r="AE583" s="92"/>
      <c r="AF583" s="92"/>
      <c r="AG583" s="92"/>
      <c r="AH583" s="92"/>
      <c r="AI583" s="92"/>
      <c r="AJ583" s="92"/>
      <c r="AK583" s="92"/>
      <c r="AL583" s="92"/>
      <c r="AM583" s="92"/>
      <c r="AN583" s="92"/>
      <c r="AO583" s="92"/>
      <c r="AP583" s="92"/>
      <c r="AQ583" s="92"/>
      <c r="AR583" s="92"/>
      <c r="AS583" s="92"/>
      <c r="AT583" s="92"/>
      <c r="AU583" s="92"/>
      <c r="AV583" s="92"/>
      <c r="AW583" s="92"/>
      <c r="AX583" s="92"/>
      <c r="AY583" s="92"/>
      <c r="AZ583" s="92"/>
      <c r="BA583" s="92"/>
      <c r="BB583" s="92"/>
      <c r="BC583" s="92"/>
      <c r="BD583" s="92"/>
      <c r="BE583" s="92"/>
      <c r="BF583" s="92"/>
      <c r="BG583" s="92"/>
      <c r="BH583" s="92"/>
      <c r="BI583" s="92"/>
      <c r="BJ583" s="92"/>
      <c r="BK583" s="92"/>
      <c r="BL583" s="92"/>
      <c r="BM583" s="92"/>
      <c r="BN583" s="92"/>
      <c r="BO583" s="92"/>
      <c r="BP583" s="92"/>
      <c r="BQ583" s="92"/>
      <c r="BR583" s="92"/>
      <c r="BS583" s="92"/>
      <c r="BT583" s="92"/>
      <c r="BU583" s="92"/>
      <c r="BV583" s="92"/>
      <c r="BW583" s="92"/>
      <c r="BX583" s="92"/>
      <c r="BY583" s="92"/>
      <c r="BZ583" s="92"/>
      <c r="CA583" s="92"/>
      <c r="CB583" s="92"/>
      <c r="CC583" s="92"/>
      <c r="CD583" s="92"/>
      <c r="CE583" s="92"/>
      <c r="CF583" s="92"/>
      <c r="CG583" s="92"/>
      <c r="CH583" s="92"/>
      <c r="CI583" s="92"/>
      <c r="CJ583" s="92"/>
      <c r="CK583" s="92"/>
      <c r="CL583" s="92"/>
      <c r="CM583" s="92"/>
      <c r="CN583" s="92"/>
      <c r="CO583" s="92"/>
      <c r="CP583" s="92"/>
      <c r="CQ583" s="92"/>
      <c r="CR583" s="92"/>
      <c r="CS583" s="92"/>
      <c r="CT583" s="92"/>
      <c r="CU583" s="92"/>
      <c r="CV583" s="92"/>
      <c r="CW583" s="92"/>
      <c r="CX583" s="92"/>
      <c r="CY583" s="92"/>
      <c r="CZ583" s="92"/>
      <c r="DA583" s="92"/>
      <c r="DB583" s="92"/>
      <c r="DC583" s="92"/>
      <c r="DD583" s="92"/>
      <c r="DE583" s="92"/>
      <c r="DF583" s="92"/>
      <c r="DG583" s="92"/>
      <c r="DH583" s="92"/>
      <c r="DI583" s="92"/>
      <c r="DJ583" s="92"/>
      <c r="DK583" s="92"/>
      <c r="DL583" s="92"/>
      <c r="DM583" s="92"/>
      <c r="DN583" s="92"/>
      <c r="DO583" s="92"/>
      <c r="DP583" s="92"/>
      <c r="DQ583" s="92"/>
      <c r="DR583" s="92"/>
      <c r="DS583" s="92"/>
      <c r="DT583" s="92"/>
      <c r="DU583" s="92"/>
      <c r="DV583" s="92"/>
      <c r="DW583" s="92"/>
      <c r="DX583" s="92"/>
      <c r="DY583" s="92"/>
      <c r="DZ583" s="92"/>
      <c r="EA583" s="92"/>
      <c r="EB583" s="92"/>
      <c r="EC583" s="92"/>
      <c r="ED583" s="92"/>
      <c r="EE583" s="92"/>
      <c r="EF583" s="92"/>
      <c r="EG583" s="92"/>
      <c r="EH583" s="92"/>
      <c r="EI583" s="92"/>
      <c r="EJ583" s="92"/>
      <c r="EK583" s="92"/>
      <c r="EL583" s="92"/>
      <c r="EM583" s="92"/>
      <c r="EN583" s="92"/>
      <c r="EO583" s="92"/>
      <c r="EP583" s="92"/>
      <c r="EQ583" s="92"/>
      <c r="ER583" s="92"/>
      <c r="ES583" s="92"/>
      <c r="ET583" s="92"/>
      <c r="EU583" s="92"/>
      <c r="EV583" s="92"/>
      <c r="EW583" s="92"/>
      <c r="EX583" s="92"/>
      <c r="EY583" s="92"/>
      <c r="EZ583" s="92"/>
      <c r="FA583" s="92"/>
      <c r="FB583" s="92"/>
      <c r="FC583" s="92"/>
      <c r="FD583" s="92"/>
      <c r="FE583" s="92"/>
      <c r="FF583" s="92"/>
      <c r="FG583" s="92"/>
      <c r="FH583" s="92"/>
    </row>
    <row r="584">
      <c r="A584" s="47" t="s">
        <v>38</v>
      </c>
      <c r="B584" s="47" t="s">
        <v>98</v>
      </c>
      <c r="C584" s="47" t="s">
        <v>13</v>
      </c>
      <c r="D584" s="101">
        <f t="shared" si="1"/>
        <v>6641.399853</v>
      </c>
      <c r="E584" s="92">
        <f>(SUBSTITUTE(Audio!E584, "RE-", "", 1))*1</f>
        <v>0</v>
      </c>
      <c r="F584" s="92">
        <f>(SUBSTITUTE(Audio!F584, "RE-", "", 1))*1</f>
        <v>347.765</v>
      </c>
      <c r="G584" s="92">
        <f>(SUBSTITUTE(Audio!G584, "RE-", "", 1))*1</f>
        <v>0.955783</v>
      </c>
      <c r="H584" s="92">
        <f>(SUBSTITUTE(Audio!H584, "RE-", "", 1))*1</f>
        <v>72.4614</v>
      </c>
      <c r="I584" s="92">
        <f>(SUBSTITUTE(Audio!I584, "RE-", "", 1))*1</f>
        <v>0</v>
      </c>
      <c r="J584" s="92">
        <f>(SUBSTITUTE(Audio!J584, "RE-", "", 1))*1</f>
        <v>548.089</v>
      </c>
      <c r="K584" s="92">
        <f>(SUBSTITUTE(Audio!K584, "RE-", "", 1))*1</f>
        <v>4.16</v>
      </c>
      <c r="L584" s="92">
        <f>(SUBSTITUTE(Audio!L584, "RE-", "", 1))*1</f>
        <v>1721.3</v>
      </c>
      <c r="M584" s="92">
        <f>(SUBSTITUTE(Audio!M584, "RE-", "", 1))*1</f>
        <v>3.0549</v>
      </c>
      <c r="N584" s="92">
        <f>(SUBSTITUTE(Audio!N584, "RE-", "", 1))*1</f>
        <v>2715.32</v>
      </c>
      <c r="O584" s="92">
        <f>(SUBSTITUTE(Audio!O584, "RE-", "", 1))*1</f>
        <v>18.8903</v>
      </c>
      <c r="P584" s="92">
        <f>(SUBSTITUTE(Audio!P584, "RE-", "", 1))*1</f>
        <v>494.014</v>
      </c>
      <c r="Q584" s="92">
        <f>(SUBSTITUTE(Audio!Q584, "RE-", "", 1))*1</f>
        <v>34.4185</v>
      </c>
      <c r="R584" s="92">
        <f>(SUBSTITUTE(Audio!R584, "RE-", "", 1))*1</f>
        <v>125.242</v>
      </c>
      <c r="S584" s="92">
        <f>(SUBSTITUTE(Audio!S584, "RE-", "", 1))*1</f>
        <v>14.0149</v>
      </c>
      <c r="T584" s="92">
        <f>(SUBSTITUTE(Audio!T584, "RE-", "", 1))*1</f>
        <v>507.987</v>
      </c>
      <c r="U584" s="92">
        <f>(SUBSTITUTE(Audio!U584, "RE-", "", 1))*1</f>
        <v>25.0243</v>
      </c>
      <c r="V584" s="92">
        <f>(SUBSTITUTE(Audio!V584, "RE-", "", 1))*1</f>
        <v>8.70277</v>
      </c>
      <c r="W584" s="92">
        <f>(SUBSTITUTE(Audio!W584, "RE-", "", 1))*1</f>
        <v>0</v>
      </c>
      <c r="X584" s="92">
        <f>(SUBSTITUTE(Audio!X584, "RE-", "", 1))*1</f>
        <v>0</v>
      </c>
      <c r="Y584" s="92">
        <f>(SUBSTITUTE(Audio!Y584, "RE-", "", 1))*1</f>
        <v>0</v>
      </c>
      <c r="Z584" s="92">
        <f>(SUBSTITUTE(Audio!Z584, "RE-", "", 1))*1</f>
        <v>0</v>
      </c>
      <c r="AA584" s="92"/>
      <c r="AB584" s="92"/>
      <c r="AC584" s="92"/>
      <c r="AD584" s="92"/>
      <c r="AE584" s="92"/>
      <c r="AF584" s="92"/>
      <c r="AG584" s="92"/>
      <c r="AH584" s="92"/>
      <c r="AI584" s="92"/>
      <c r="AJ584" s="92"/>
      <c r="AK584" s="92"/>
      <c r="AL584" s="92"/>
      <c r="AM584" s="92"/>
      <c r="AN584" s="92"/>
      <c r="AO584" s="92"/>
      <c r="AP584" s="92"/>
      <c r="AQ584" s="92"/>
      <c r="AR584" s="92"/>
      <c r="AS584" s="92"/>
      <c r="AT584" s="92"/>
      <c r="AU584" s="92"/>
      <c r="AV584" s="92"/>
      <c r="AW584" s="92"/>
      <c r="AX584" s="92"/>
      <c r="AY584" s="92"/>
      <c r="AZ584" s="92"/>
      <c r="BA584" s="92"/>
      <c r="BB584" s="92"/>
      <c r="BC584" s="92"/>
      <c r="BD584" s="92"/>
      <c r="BE584" s="92"/>
      <c r="BF584" s="92"/>
      <c r="BG584" s="92"/>
      <c r="BH584" s="92"/>
      <c r="BI584" s="92"/>
      <c r="BJ584" s="92"/>
      <c r="BK584" s="92"/>
      <c r="BL584" s="92"/>
      <c r="BM584" s="92"/>
      <c r="BN584" s="92"/>
      <c r="BO584" s="92"/>
      <c r="BP584" s="92"/>
      <c r="BQ584" s="92"/>
      <c r="BR584" s="92"/>
      <c r="BS584" s="92"/>
      <c r="BT584" s="92"/>
      <c r="BU584" s="92"/>
      <c r="BV584" s="92"/>
      <c r="BW584" s="92"/>
      <c r="BX584" s="92"/>
      <c r="BY584" s="92"/>
      <c r="BZ584" s="92"/>
      <c r="CA584" s="92"/>
      <c r="CB584" s="92"/>
      <c r="CC584" s="92"/>
      <c r="CD584" s="92"/>
      <c r="CE584" s="92"/>
      <c r="CF584" s="92"/>
      <c r="CG584" s="92"/>
      <c r="CH584" s="92"/>
      <c r="CI584" s="92"/>
      <c r="CJ584" s="92"/>
      <c r="CK584" s="92"/>
      <c r="CL584" s="92"/>
      <c r="CM584" s="92"/>
      <c r="CN584" s="92"/>
      <c r="CO584" s="92"/>
      <c r="CP584" s="92"/>
      <c r="CQ584" s="92"/>
      <c r="CR584" s="92"/>
      <c r="CS584" s="92"/>
      <c r="CT584" s="92"/>
      <c r="CU584" s="92"/>
      <c r="CV584" s="92"/>
      <c r="CW584" s="92"/>
      <c r="CX584" s="92"/>
      <c r="CY584" s="92"/>
      <c r="CZ584" s="92"/>
      <c r="DA584" s="92"/>
      <c r="DB584" s="92"/>
      <c r="DC584" s="92"/>
      <c r="DD584" s="92"/>
      <c r="DE584" s="92"/>
      <c r="DF584" s="92"/>
      <c r="DG584" s="92"/>
      <c r="DH584" s="92"/>
      <c r="DI584" s="92"/>
      <c r="DJ584" s="92"/>
      <c r="DK584" s="92"/>
      <c r="DL584" s="92"/>
      <c r="DM584" s="92"/>
      <c r="DN584" s="92"/>
      <c r="DO584" s="92"/>
      <c r="DP584" s="92"/>
      <c r="DQ584" s="92"/>
      <c r="DR584" s="92"/>
      <c r="DS584" s="92"/>
      <c r="DT584" s="92"/>
      <c r="DU584" s="92"/>
      <c r="DV584" s="92"/>
      <c r="DW584" s="92"/>
      <c r="DX584" s="92"/>
      <c r="DY584" s="92"/>
      <c r="DZ584" s="92"/>
      <c r="EA584" s="92"/>
      <c r="EB584" s="92"/>
      <c r="EC584" s="92"/>
      <c r="ED584" s="92"/>
      <c r="EE584" s="92"/>
      <c r="EF584" s="92"/>
      <c r="EG584" s="92"/>
      <c r="EH584" s="92"/>
      <c r="EI584" s="92"/>
      <c r="EJ584" s="92"/>
      <c r="EK584" s="92"/>
      <c r="EL584" s="92"/>
      <c r="EM584" s="92"/>
      <c r="EN584" s="92"/>
      <c r="EO584" s="92"/>
      <c r="EP584" s="92"/>
      <c r="EQ584" s="92"/>
      <c r="ER584" s="92"/>
      <c r="ES584" s="92"/>
      <c r="ET584" s="92"/>
      <c r="EU584" s="92"/>
      <c r="EV584" s="92"/>
      <c r="EW584" s="92"/>
      <c r="EX584" s="92"/>
      <c r="EY584" s="92"/>
      <c r="EZ584" s="92"/>
      <c r="FA584" s="92"/>
      <c r="FB584" s="92"/>
      <c r="FC584" s="92"/>
      <c r="FD584" s="92"/>
      <c r="FE584" s="92"/>
      <c r="FF584" s="92"/>
      <c r="FG584" s="92"/>
      <c r="FH584" s="92"/>
    </row>
    <row r="585">
      <c r="A585" s="47" t="s">
        <v>38</v>
      </c>
      <c r="B585" s="47" t="s">
        <v>98</v>
      </c>
      <c r="C585" s="47" t="s">
        <v>14</v>
      </c>
      <c r="D585" s="101">
        <f t="shared" si="1"/>
        <v>5906.025103</v>
      </c>
      <c r="E585" s="92">
        <f>(SUBSTITUTE(Audio!E585, "RE-", "", 1))*1</f>
        <v>0</v>
      </c>
      <c r="F585" s="92">
        <f>(SUBSTITUTE(Audio!F585, "RE-", "", 1))*1</f>
        <v>315.979</v>
      </c>
      <c r="G585" s="92">
        <f>(SUBSTITUTE(Audio!G585, "RE-", "", 1))*1</f>
        <v>0.955783</v>
      </c>
      <c r="H585" s="92">
        <f>(SUBSTITUTE(Audio!H585, "RE-", "", 1))*1</f>
        <v>66.4633</v>
      </c>
      <c r="I585" s="92">
        <f>(SUBSTITUTE(Audio!I585, "RE-", "", 1))*1</f>
        <v>0</v>
      </c>
      <c r="J585" s="92">
        <f>(SUBSTITUTE(Audio!J585, "RE-", "", 1))*1</f>
        <v>505.098</v>
      </c>
      <c r="K585" s="92">
        <f>(SUBSTITUTE(Audio!K585, "RE-", "", 1))*1</f>
        <v>3.71235</v>
      </c>
      <c r="L585" s="92">
        <f>(SUBSTITUTE(Audio!L585, "RE-", "", 1))*1</f>
        <v>1537.78</v>
      </c>
      <c r="M585" s="92">
        <f>(SUBSTITUTE(Audio!M585, "RE-", "", 1))*1</f>
        <v>2.74502</v>
      </c>
      <c r="N585" s="92">
        <f>(SUBSTITUTE(Audio!N585, "RE-", "", 1))*1</f>
        <v>2424.18</v>
      </c>
      <c r="O585" s="92">
        <f>(SUBSTITUTE(Audio!O585, "RE-", "", 1))*1</f>
        <v>17.5381</v>
      </c>
      <c r="P585" s="92">
        <f>(SUBSTITUTE(Audio!P585, "RE-", "", 1))*1</f>
        <v>423.756</v>
      </c>
      <c r="Q585" s="92">
        <f>(SUBSTITUTE(Audio!Q585, "RE-", "", 1))*1</f>
        <v>29.9209</v>
      </c>
      <c r="R585" s="92">
        <f>(SUBSTITUTE(Audio!R585, "RE-", "", 1))*1</f>
        <v>105.99</v>
      </c>
      <c r="S585" s="92">
        <f>(SUBSTITUTE(Audio!S585, "RE-", "", 1))*1</f>
        <v>13.0991</v>
      </c>
      <c r="T585" s="92">
        <f>(SUBSTITUTE(Audio!T585, "RE-", "", 1))*1</f>
        <v>428.886</v>
      </c>
      <c r="U585" s="92">
        <f>(SUBSTITUTE(Audio!U585, "RE-", "", 1))*1</f>
        <v>22.7426</v>
      </c>
      <c r="V585" s="92">
        <f>(SUBSTITUTE(Audio!V585, "RE-", "", 1))*1</f>
        <v>7.17895</v>
      </c>
      <c r="W585" s="92">
        <f>(SUBSTITUTE(Audio!W585, "RE-", "", 1))*1</f>
        <v>0</v>
      </c>
      <c r="X585" s="92">
        <f>(SUBSTITUTE(Audio!X585, "RE-", "", 1))*1</f>
        <v>0</v>
      </c>
      <c r="Y585" s="92">
        <f>(SUBSTITUTE(Audio!Y585, "RE-", "", 1))*1</f>
        <v>0</v>
      </c>
      <c r="Z585" s="92">
        <f>(SUBSTITUTE(Audio!Z585, "RE-", "", 1))*1</f>
        <v>0</v>
      </c>
      <c r="AA585" s="92"/>
      <c r="AB585" s="92"/>
      <c r="AC585" s="92"/>
      <c r="AD585" s="92"/>
      <c r="AE585" s="92"/>
      <c r="AF585" s="92"/>
      <c r="AG585" s="92"/>
      <c r="AH585" s="92"/>
      <c r="AI585" s="92"/>
      <c r="AJ585" s="92"/>
      <c r="AK585" s="92"/>
      <c r="AL585" s="92"/>
      <c r="AM585" s="92"/>
      <c r="AN585" s="92"/>
      <c r="AO585" s="92"/>
      <c r="AP585" s="92"/>
      <c r="AQ585" s="92"/>
      <c r="AR585" s="92"/>
      <c r="AS585" s="92"/>
      <c r="AT585" s="92"/>
      <c r="AU585" s="92"/>
      <c r="AV585" s="92"/>
      <c r="AW585" s="92"/>
      <c r="AX585" s="92"/>
      <c r="AY585" s="92"/>
      <c r="AZ585" s="92"/>
      <c r="BA585" s="92"/>
      <c r="BB585" s="92"/>
      <c r="BC585" s="92"/>
      <c r="BD585" s="92"/>
      <c r="BE585" s="92"/>
      <c r="BF585" s="92"/>
      <c r="BG585" s="92"/>
      <c r="BH585" s="92"/>
      <c r="BI585" s="92"/>
      <c r="BJ585" s="92"/>
      <c r="BK585" s="92"/>
      <c r="BL585" s="92"/>
      <c r="BM585" s="92"/>
      <c r="BN585" s="92"/>
      <c r="BO585" s="92"/>
      <c r="BP585" s="92"/>
      <c r="BQ585" s="92"/>
      <c r="BR585" s="92"/>
      <c r="BS585" s="92"/>
      <c r="BT585" s="92"/>
      <c r="BU585" s="92"/>
      <c r="BV585" s="92"/>
      <c r="BW585" s="92"/>
      <c r="BX585" s="92"/>
      <c r="BY585" s="92"/>
      <c r="BZ585" s="92"/>
      <c r="CA585" s="92"/>
      <c r="CB585" s="92"/>
      <c r="CC585" s="92"/>
      <c r="CD585" s="92"/>
      <c r="CE585" s="92"/>
      <c r="CF585" s="92"/>
      <c r="CG585" s="92"/>
      <c r="CH585" s="92"/>
      <c r="CI585" s="92"/>
      <c r="CJ585" s="92"/>
      <c r="CK585" s="92"/>
      <c r="CL585" s="92"/>
      <c r="CM585" s="92"/>
      <c r="CN585" s="92"/>
      <c r="CO585" s="92"/>
      <c r="CP585" s="92"/>
      <c r="CQ585" s="92"/>
      <c r="CR585" s="92"/>
      <c r="CS585" s="92"/>
      <c r="CT585" s="92"/>
      <c r="CU585" s="92"/>
      <c r="CV585" s="92"/>
      <c r="CW585" s="92"/>
      <c r="CX585" s="92"/>
      <c r="CY585" s="92"/>
      <c r="CZ585" s="92"/>
      <c r="DA585" s="92"/>
      <c r="DB585" s="92"/>
      <c r="DC585" s="92"/>
      <c r="DD585" s="92"/>
      <c r="DE585" s="92"/>
      <c r="DF585" s="92"/>
      <c r="DG585" s="92"/>
      <c r="DH585" s="92"/>
      <c r="DI585" s="92"/>
      <c r="DJ585" s="92"/>
      <c r="DK585" s="92"/>
      <c r="DL585" s="92"/>
      <c r="DM585" s="92"/>
      <c r="DN585" s="92"/>
      <c r="DO585" s="92"/>
      <c r="DP585" s="92"/>
      <c r="DQ585" s="92"/>
      <c r="DR585" s="92"/>
      <c r="DS585" s="92"/>
      <c r="DT585" s="92"/>
      <c r="DU585" s="92"/>
      <c r="DV585" s="92"/>
      <c r="DW585" s="92"/>
      <c r="DX585" s="92"/>
      <c r="DY585" s="92"/>
      <c r="DZ585" s="92"/>
      <c r="EA585" s="92"/>
      <c r="EB585" s="92"/>
      <c r="EC585" s="92"/>
      <c r="ED585" s="92"/>
      <c r="EE585" s="92"/>
      <c r="EF585" s="92"/>
      <c r="EG585" s="92"/>
      <c r="EH585" s="92"/>
      <c r="EI585" s="92"/>
      <c r="EJ585" s="92"/>
      <c r="EK585" s="92"/>
      <c r="EL585" s="92"/>
      <c r="EM585" s="92"/>
      <c r="EN585" s="92"/>
      <c r="EO585" s="92"/>
      <c r="EP585" s="92"/>
      <c r="EQ585" s="92"/>
      <c r="ER585" s="92"/>
      <c r="ES585" s="92"/>
      <c r="ET585" s="92"/>
      <c r="EU585" s="92"/>
      <c r="EV585" s="92"/>
      <c r="EW585" s="92"/>
      <c r="EX585" s="92"/>
      <c r="EY585" s="92"/>
      <c r="EZ585" s="92"/>
      <c r="FA585" s="92"/>
      <c r="FB585" s="92"/>
      <c r="FC585" s="92"/>
      <c r="FD585" s="92"/>
      <c r="FE585" s="92"/>
      <c r="FF585" s="92"/>
      <c r="FG585" s="92"/>
      <c r="FH585" s="92"/>
    </row>
    <row r="586">
      <c r="A586" s="48" t="s">
        <v>38</v>
      </c>
      <c r="B586" s="48" t="s">
        <v>98</v>
      </c>
      <c r="C586" s="48" t="s">
        <v>15</v>
      </c>
      <c r="D586" s="99">
        <f t="shared" si="1"/>
        <v>6640.992853</v>
      </c>
      <c r="E586" s="92">
        <f>(SUBSTITUTE(Audio!E586, "RE-", "", 1))*1</f>
        <v>0</v>
      </c>
      <c r="F586" s="92">
        <f>(SUBSTITUTE(Audio!F586, "RE-", "", 1))*1</f>
        <v>347.683</v>
      </c>
      <c r="G586" s="92">
        <f>(SUBSTITUTE(Audio!G586, "RE-", "", 1))*1</f>
        <v>0.955783</v>
      </c>
      <c r="H586" s="92">
        <f>(SUBSTITUTE(Audio!H586, "RE-", "", 1))*1</f>
        <v>72.4614</v>
      </c>
      <c r="I586" s="92">
        <f>(SUBSTITUTE(Audio!I586, "RE-", "", 1))*1</f>
        <v>0</v>
      </c>
      <c r="J586" s="92">
        <f>(SUBSTITUTE(Audio!J586, "RE-", "", 1))*1</f>
        <v>548</v>
      </c>
      <c r="K586" s="92">
        <f>(SUBSTITUTE(Audio!K586, "RE-", "", 1))*1</f>
        <v>4.16</v>
      </c>
      <c r="L586" s="92">
        <f>(SUBSTITUTE(Audio!L586, "RE-", "", 1))*1</f>
        <v>1721.3</v>
      </c>
      <c r="M586" s="92">
        <f>(SUBSTITUTE(Audio!M586, "RE-", "", 1))*1</f>
        <v>3.0549</v>
      </c>
      <c r="N586" s="92">
        <f>(SUBSTITUTE(Audio!N586, "RE-", "", 1))*1</f>
        <v>2715.13</v>
      </c>
      <c r="O586" s="92">
        <f>(SUBSTITUTE(Audio!O586, "RE-", "", 1))*1</f>
        <v>18.8903</v>
      </c>
      <c r="P586" s="92">
        <f>(SUBSTITUTE(Audio!P586, "RE-", "", 1))*1</f>
        <v>494.014</v>
      </c>
      <c r="Q586" s="92">
        <f>(SUBSTITUTE(Audio!Q586, "RE-", "", 1))*1</f>
        <v>34.4185</v>
      </c>
      <c r="R586" s="92">
        <f>(SUBSTITUTE(Audio!R586, "RE-", "", 1))*1</f>
        <v>125.242</v>
      </c>
      <c r="S586" s="92">
        <f>(SUBSTITUTE(Audio!S586, "RE-", "", 1))*1</f>
        <v>14.0149</v>
      </c>
      <c r="T586" s="92">
        <f>(SUBSTITUTE(Audio!T586, "RE-", "", 1))*1</f>
        <v>507.941</v>
      </c>
      <c r="U586" s="92">
        <f>(SUBSTITUTE(Audio!U586, "RE-", "", 1))*1</f>
        <v>25.0243</v>
      </c>
      <c r="V586" s="92">
        <f>(SUBSTITUTE(Audio!V586, "RE-", "", 1))*1</f>
        <v>8.70277</v>
      </c>
      <c r="W586" s="92">
        <f>(SUBSTITUTE(Audio!W586, "RE-", "", 1))*1</f>
        <v>0</v>
      </c>
      <c r="X586" s="92">
        <f>(SUBSTITUTE(Audio!X586, "RE-", "", 1))*1</f>
        <v>0</v>
      </c>
      <c r="Y586" s="92">
        <f>(SUBSTITUTE(Audio!Y586, "RE-", "", 1))*1</f>
        <v>0</v>
      </c>
      <c r="Z586" s="92">
        <f>(SUBSTITUTE(Audio!Z586, "RE-", "", 1))*1</f>
        <v>0</v>
      </c>
      <c r="AA586" s="92"/>
      <c r="AB586" s="92"/>
      <c r="AC586" s="92"/>
      <c r="AD586" s="92"/>
      <c r="AE586" s="92"/>
      <c r="AF586" s="92"/>
      <c r="AG586" s="92"/>
      <c r="AH586" s="92"/>
      <c r="AI586" s="92"/>
      <c r="AJ586" s="92"/>
      <c r="AK586" s="92"/>
      <c r="AL586" s="92"/>
      <c r="AM586" s="92"/>
      <c r="AN586" s="92"/>
      <c r="AO586" s="92"/>
      <c r="AP586" s="92"/>
      <c r="AQ586" s="92"/>
      <c r="AR586" s="92"/>
      <c r="AS586" s="92"/>
      <c r="AT586" s="92"/>
      <c r="AU586" s="92"/>
      <c r="AV586" s="92"/>
      <c r="AW586" s="92"/>
      <c r="AX586" s="92"/>
      <c r="AY586" s="92"/>
      <c r="AZ586" s="92"/>
      <c r="BA586" s="92"/>
      <c r="BB586" s="92"/>
      <c r="BC586" s="92"/>
      <c r="BD586" s="92"/>
      <c r="BE586" s="92"/>
      <c r="BF586" s="92"/>
      <c r="BG586" s="92"/>
      <c r="BH586" s="92"/>
      <c r="BI586" s="92"/>
      <c r="BJ586" s="92"/>
      <c r="BK586" s="92"/>
      <c r="BL586" s="92"/>
      <c r="BM586" s="92"/>
      <c r="BN586" s="92"/>
      <c r="BO586" s="92"/>
      <c r="BP586" s="92"/>
      <c r="BQ586" s="92"/>
      <c r="BR586" s="92"/>
      <c r="BS586" s="92"/>
      <c r="BT586" s="92"/>
      <c r="BU586" s="92"/>
      <c r="BV586" s="92"/>
      <c r="BW586" s="92"/>
      <c r="BX586" s="92"/>
      <c r="BY586" s="92"/>
      <c r="BZ586" s="92"/>
      <c r="CA586" s="92"/>
      <c r="CB586" s="92"/>
      <c r="CC586" s="92"/>
      <c r="CD586" s="92"/>
      <c r="CE586" s="92"/>
      <c r="CF586" s="92"/>
      <c r="CG586" s="92"/>
      <c r="CH586" s="92"/>
      <c r="CI586" s="92"/>
      <c r="CJ586" s="92"/>
      <c r="CK586" s="92"/>
      <c r="CL586" s="92"/>
      <c r="CM586" s="92"/>
      <c r="CN586" s="92"/>
      <c r="CO586" s="92"/>
      <c r="CP586" s="92"/>
      <c r="CQ586" s="92"/>
      <c r="CR586" s="92"/>
      <c r="CS586" s="92"/>
      <c r="CT586" s="92"/>
      <c r="CU586" s="92"/>
      <c r="CV586" s="92"/>
      <c r="CW586" s="92"/>
      <c r="CX586" s="92"/>
      <c r="CY586" s="92"/>
      <c r="CZ586" s="92"/>
      <c r="DA586" s="92"/>
      <c r="DB586" s="92"/>
      <c r="DC586" s="92"/>
      <c r="DD586" s="92"/>
      <c r="DE586" s="92"/>
      <c r="DF586" s="92"/>
      <c r="DG586" s="92"/>
      <c r="DH586" s="92"/>
      <c r="DI586" s="92"/>
      <c r="DJ586" s="92"/>
      <c r="DK586" s="92"/>
      <c r="DL586" s="92"/>
      <c r="DM586" s="92"/>
      <c r="DN586" s="92"/>
      <c r="DO586" s="92"/>
      <c r="DP586" s="92"/>
      <c r="DQ586" s="92"/>
      <c r="DR586" s="92"/>
      <c r="DS586" s="92"/>
      <c r="DT586" s="92"/>
      <c r="DU586" s="92"/>
      <c r="DV586" s="92"/>
      <c r="DW586" s="92"/>
      <c r="DX586" s="92"/>
      <c r="DY586" s="92"/>
      <c r="DZ586" s="92"/>
      <c r="EA586" s="92"/>
      <c r="EB586" s="92"/>
      <c r="EC586" s="92"/>
      <c r="ED586" s="92"/>
      <c r="EE586" s="92"/>
      <c r="EF586" s="92"/>
      <c r="EG586" s="92"/>
      <c r="EH586" s="92"/>
      <c r="EI586" s="92"/>
      <c r="EJ586" s="92"/>
      <c r="EK586" s="92"/>
      <c r="EL586" s="92"/>
      <c r="EM586" s="92"/>
      <c r="EN586" s="92"/>
      <c r="EO586" s="92"/>
      <c r="EP586" s="92"/>
      <c r="EQ586" s="92"/>
      <c r="ER586" s="92"/>
      <c r="ES586" s="92"/>
      <c r="ET586" s="92"/>
      <c r="EU586" s="92"/>
      <c r="EV586" s="92"/>
      <c r="EW586" s="92"/>
      <c r="EX586" s="92"/>
      <c r="EY586" s="92"/>
      <c r="EZ586" s="92"/>
      <c r="FA586" s="92"/>
      <c r="FB586" s="92"/>
      <c r="FC586" s="92"/>
      <c r="FD586" s="92"/>
      <c r="FE586" s="92"/>
      <c r="FF586" s="92"/>
      <c r="FG586" s="92"/>
      <c r="FH586" s="92"/>
    </row>
    <row r="587">
      <c r="A587" s="45" t="s">
        <v>38</v>
      </c>
      <c r="B587" s="45" t="s">
        <v>99</v>
      </c>
      <c r="C587" s="46" t="str">
        <f>HYPERLINK("https://docs.google.com/spreadsheets/d/1OukOZnr-lta2BOWbWTT0Z8949yezBp01/edit?usp=share_link&amp;ouid=106501987799020758802&amp;rtpof=true&amp;sd=true", "Raw Delivered")</f>
        <v>Raw Delivered</v>
      </c>
      <c r="D587" s="100">
        <f t="shared" si="1"/>
        <v>5992.482109</v>
      </c>
      <c r="E587" s="92">
        <f>(SUBSTITUTE(Audio!E587, "RE-", "", 1))*1</f>
        <v>0</v>
      </c>
      <c r="F587" s="92">
        <f>(SUBSTITUTE(Audio!F587, "RE-", "", 1))*1</f>
        <v>1204.721099</v>
      </c>
      <c r="G587" s="92">
        <f>(SUBSTITUTE(Audio!G587, "RE-", "", 1))*1</f>
        <v>0</v>
      </c>
      <c r="H587" s="92">
        <f>(SUBSTITUTE(Audio!H587, "RE-", "", 1))*1</f>
        <v>321.2088135</v>
      </c>
      <c r="I587" s="92">
        <f>(SUBSTITUTE(Audio!I587, "RE-", "", 1))*1</f>
        <v>0</v>
      </c>
      <c r="J587" s="92">
        <f>(SUBSTITUTE(Audio!J587, "RE-", "", 1))*1</f>
        <v>780.7732531</v>
      </c>
      <c r="K587" s="92">
        <f>(SUBSTITUTE(Audio!K587, "RE-", "", 1))*1</f>
        <v>0</v>
      </c>
      <c r="L587" s="92">
        <f>(SUBSTITUTE(Audio!L587, "RE-", "", 1))*1</f>
        <v>944.2609031</v>
      </c>
      <c r="M587" s="92">
        <f>(SUBSTITUTE(Audio!M587, "RE-", "", 1))*1</f>
        <v>0</v>
      </c>
      <c r="N587" s="92">
        <f>(SUBSTITUTE(Audio!N587, "RE-", "", 1))*1</f>
        <v>1608.692585</v>
      </c>
      <c r="O587" s="92">
        <f>(SUBSTITUTE(Audio!O587, "RE-", "", 1))*1</f>
        <v>0</v>
      </c>
      <c r="P587" s="92">
        <f>(SUBSTITUTE(Audio!P587, "RE-", "", 1))*1</f>
        <v>752.6781021</v>
      </c>
      <c r="Q587" s="92">
        <f>(SUBSTITUTE(Audio!Q587, "RE-", "", 1))*1</f>
        <v>0</v>
      </c>
      <c r="R587" s="92">
        <f>(SUBSTITUTE(Audio!R587, "RE-", "", 1))*1</f>
        <v>90.36424167</v>
      </c>
      <c r="S587" s="92">
        <f>(SUBSTITUTE(Audio!S587, "RE-", "", 1))*1</f>
        <v>0</v>
      </c>
      <c r="T587" s="92">
        <f>(SUBSTITUTE(Audio!T587, "RE-", "", 1))*1</f>
        <v>289.7831115</v>
      </c>
      <c r="U587" s="92">
        <f>(SUBSTITUTE(Audio!U587, "RE-", "", 1))*1</f>
        <v>0</v>
      </c>
      <c r="V587" s="92">
        <f>(SUBSTITUTE(Audio!V587, "RE-", "", 1))*1</f>
        <v>0</v>
      </c>
      <c r="W587" s="92">
        <f>(SUBSTITUTE(Audio!W587, "RE-", "", 1))*1</f>
        <v>0</v>
      </c>
      <c r="X587" s="92">
        <f>(SUBSTITUTE(Audio!X587, "RE-", "", 1))*1</f>
        <v>0</v>
      </c>
      <c r="Y587" s="92">
        <f>(SUBSTITUTE(Audio!Y587, "RE-", "", 1))*1</f>
        <v>0</v>
      </c>
      <c r="Z587" s="92">
        <f>(SUBSTITUTE(Audio!Z587, "RE-", "", 1))*1</f>
        <v>0</v>
      </c>
      <c r="AA587" s="92"/>
      <c r="AB587" s="92"/>
      <c r="AC587" s="92"/>
      <c r="AD587" s="92"/>
      <c r="AE587" s="92"/>
      <c r="AF587" s="92"/>
      <c r="AG587" s="92"/>
      <c r="AH587" s="92"/>
      <c r="AI587" s="92"/>
      <c r="AJ587" s="92"/>
      <c r="AK587" s="92"/>
      <c r="AL587" s="92"/>
      <c r="AM587" s="92"/>
      <c r="AN587" s="92"/>
      <c r="AO587" s="92"/>
      <c r="AP587" s="92"/>
      <c r="AQ587" s="92"/>
      <c r="AR587" s="92"/>
      <c r="AS587" s="92"/>
      <c r="AT587" s="92"/>
      <c r="AU587" s="92"/>
      <c r="AV587" s="92"/>
      <c r="AW587" s="92"/>
      <c r="AX587" s="92"/>
      <c r="AY587" s="92"/>
      <c r="AZ587" s="92"/>
      <c r="BA587" s="92"/>
      <c r="BB587" s="92"/>
      <c r="BC587" s="92"/>
      <c r="BD587" s="92"/>
      <c r="BE587" s="92"/>
      <c r="BF587" s="92"/>
      <c r="BG587" s="92"/>
      <c r="BH587" s="92"/>
      <c r="BI587" s="92"/>
      <c r="BJ587" s="92"/>
      <c r="BK587" s="92"/>
      <c r="BL587" s="92"/>
      <c r="BM587" s="92"/>
      <c r="BN587" s="92"/>
      <c r="BO587" s="92"/>
      <c r="BP587" s="92"/>
      <c r="BQ587" s="92"/>
      <c r="BR587" s="92"/>
      <c r="BS587" s="92"/>
      <c r="BT587" s="92"/>
      <c r="BU587" s="92"/>
      <c r="BV587" s="92"/>
      <c r="BW587" s="92"/>
      <c r="BX587" s="92"/>
      <c r="BY587" s="92"/>
      <c r="BZ587" s="92"/>
      <c r="CA587" s="92"/>
      <c r="CB587" s="92"/>
      <c r="CC587" s="92"/>
      <c r="CD587" s="92"/>
      <c r="CE587" s="92"/>
      <c r="CF587" s="92"/>
      <c r="CG587" s="92"/>
      <c r="CH587" s="92"/>
      <c r="CI587" s="92"/>
      <c r="CJ587" s="92"/>
      <c r="CK587" s="92"/>
      <c r="CL587" s="92"/>
      <c r="CM587" s="92"/>
      <c r="CN587" s="92"/>
      <c r="CO587" s="92"/>
      <c r="CP587" s="92"/>
      <c r="CQ587" s="92"/>
      <c r="CR587" s="92"/>
      <c r="CS587" s="92"/>
      <c r="CT587" s="92"/>
      <c r="CU587" s="92"/>
      <c r="CV587" s="92"/>
      <c r="CW587" s="92"/>
      <c r="CX587" s="92"/>
      <c r="CY587" s="92"/>
      <c r="CZ587" s="92"/>
      <c r="DA587" s="92"/>
      <c r="DB587" s="92"/>
      <c r="DC587" s="92"/>
      <c r="DD587" s="92"/>
      <c r="DE587" s="92"/>
      <c r="DF587" s="92"/>
      <c r="DG587" s="92"/>
      <c r="DH587" s="92"/>
      <c r="DI587" s="92"/>
      <c r="DJ587" s="92"/>
      <c r="DK587" s="92"/>
      <c r="DL587" s="92"/>
      <c r="DM587" s="92"/>
      <c r="DN587" s="92"/>
      <c r="DO587" s="92"/>
      <c r="DP587" s="92"/>
      <c r="DQ587" s="92"/>
      <c r="DR587" s="92"/>
      <c r="DS587" s="92"/>
      <c r="DT587" s="92"/>
      <c r="DU587" s="92"/>
      <c r="DV587" s="92"/>
      <c r="DW587" s="92"/>
      <c r="DX587" s="92"/>
      <c r="DY587" s="92"/>
      <c r="DZ587" s="92"/>
      <c r="EA587" s="92"/>
      <c r="EB587" s="92"/>
      <c r="EC587" s="92"/>
      <c r="ED587" s="92"/>
      <c r="EE587" s="92"/>
      <c r="EF587" s="92"/>
      <c r="EG587" s="92"/>
      <c r="EH587" s="92"/>
      <c r="EI587" s="92"/>
      <c r="EJ587" s="92"/>
      <c r="EK587" s="92"/>
      <c r="EL587" s="92"/>
      <c r="EM587" s="92"/>
      <c r="EN587" s="92"/>
      <c r="EO587" s="92"/>
      <c r="EP587" s="92"/>
      <c r="EQ587" s="92"/>
      <c r="ER587" s="92"/>
      <c r="ES587" s="92"/>
      <c r="ET587" s="92"/>
      <c r="EU587" s="92"/>
      <c r="EV587" s="92"/>
      <c r="EW587" s="92"/>
      <c r="EX587" s="92"/>
      <c r="EY587" s="92"/>
      <c r="EZ587" s="92"/>
      <c r="FA587" s="92"/>
      <c r="FB587" s="92"/>
      <c r="FC587" s="92"/>
      <c r="FD587" s="92"/>
      <c r="FE587" s="92"/>
      <c r="FF587" s="92"/>
      <c r="FG587" s="92"/>
      <c r="FH587" s="92"/>
    </row>
    <row r="588">
      <c r="A588" s="47" t="s">
        <v>38</v>
      </c>
      <c r="B588" s="47" t="s">
        <v>99</v>
      </c>
      <c r="C588" s="47" t="s">
        <v>9</v>
      </c>
      <c r="D588" s="101">
        <f t="shared" si="1"/>
        <v>5992.482109</v>
      </c>
      <c r="E588" s="92">
        <f>(SUBSTITUTE(Audio!E588, "RE-", "", 1))*1</f>
        <v>0</v>
      </c>
      <c r="F588" s="92">
        <f>(SUBSTITUTE(Audio!F588, "RE-", "", 1))*1</f>
        <v>1204.721099</v>
      </c>
      <c r="G588" s="92">
        <f>(SUBSTITUTE(Audio!G588, "RE-", "", 1))*1</f>
        <v>0</v>
      </c>
      <c r="H588" s="92">
        <f>(SUBSTITUTE(Audio!H588, "RE-", "", 1))*1</f>
        <v>321.2088135</v>
      </c>
      <c r="I588" s="92">
        <f>(SUBSTITUTE(Audio!I588, "RE-", "", 1))*1</f>
        <v>0</v>
      </c>
      <c r="J588" s="92">
        <f>(SUBSTITUTE(Audio!J588, "RE-", "", 1))*1</f>
        <v>780.7732531</v>
      </c>
      <c r="K588" s="92">
        <f>(SUBSTITUTE(Audio!K588, "RE-", "", 1))*1</f>
        <v>0</v>
      </c>
      <c r="L588" s="92">
        <f>(SUBSTITUTE(Audio!L588, "RE-", "", 1))*1</f>
        <v>944.2609031</v>
      </c>
      <c r="M588" s="92">
        <f>(SUBSTITUTE(Audio!M588, "RE-", "", 1))*1</f>
        <v>0</v>
      </c>
      <c r="N588" s="92">
        <f>(SUBSTITUTE(Audio!N588, "RE-", "", 1))*1</f>
        <v>1608.692585</v>
      </c>
      <c r="O588" s="92">
        <f>(SUBSTITUTE(Audio!O588, "RE-", "", 1))*1</f>
        <v>0</v>
      </c>
      <c r="P588" s="92">
        <f>(SUBSTITUTE(Audio!P588, "RE-", "", 1))*1</f>
        <v>752.6781021</v>
      </c>
      <c r="Q588" s="92">
        <f>(SUBSTITUTE(Audio!Q588, "RE-", "", 1))*1</f>
        <v>0</v>
      </c>
      <c r="R588" s="92">
        <f>(SUBSTITUTE(Audio!R588, "RE-", "", 1))*1</f>
        <v>90.36424167</v>
      </c>
      <c r="S588" s="92">
        <f>(SUBSTITUTE(Audio!S588, "RE-", "", 1))*1</f>
        <v>0</v>
      </c>
      <c r="T588" s="92">
        <f>(SUBSTITUTE(Audio!T588, "RE-", "", 1))*1</f>
        <v>289.7831115</v>
      </c>
      <c r="U588" s="92">
        <f>(SUBSTITUTE(Audio!U588, "RE-", "", 1))*1</f>
        <v>0</v>
      </c>
      <c r="V588" s="92">
        <f>(SUBSTITUTE(Audio!V588, "RE-", "", 1))*1</f>
        <v>0</v>
      </c>
      <c r="W588" s="92">
        <f>(SUBSTITUTE(Audio!W588, "RE-", "", 1))*1</f>
        <v>0</v>
      </c>
      <c r="X588" s="92">
        <f>(SUBSTITUTE(Audio!X588, "RE-", "", 1))*1</f>
        <v>0</v>
      </c>
      <c r="Y588" s="92">
        <f>(SUBSTITUTE(Audio!Y588, "RE-", "", 1))*1</f>
        <v>0</v>
      </c>
      <c r="Z588" s="92">
        <f>(SUBSTITUTE(Audio!Z588, "RE-", "", 1))*1</f>
        <v>0</v>
      </c>
      <c r="AA588" s="92"/>
      <c r="AB588" s="92"/>
      <c r="AC588" s="92"/>
      <c r="AD588" s="92"/>
      <c r="AE588" s="92"/>
      <c r="AF588" s="92"/>
      <c r="AG588" s="92"/>
      <c r="AH588" s="92"/>
      <c r="AI588" s="92"/>
      <c r="AJ588" s="92"/>
      <c r="AK588" s="92"/>
      <c r="AL588" s="92"/>
      <c r="AM588" s="92"/>
      <c r="AN588" s="92"/>
      <c r="AO588" s="92"/>
      <c r="AP588" s="92"/>
      <c r="AQ588" s="92"/>
      <c r="AR588" s="92"/>
      <c r="AS588" s="92"/>
      <c r="AT588" s="92"/>
      <c r="AU588" s="92"/>
      <c r="AV588" s="92"/>
      <c r="AW588" s="92"/>
      <c r="AX588" s="92"/>
      <c r="AY588" s="92"/>
      <c r="AZ588" s="92"/>
      <c r="BA588" s="92"/>
      <c r="BB588" s="92"/>
      <c r="BC588" s="92"/>
      <c r="BD588" s="92"/>
      <c r="BE588" s="92"/>
      <c r="BF588" s="92"/>
      <c r="BG588" s="92"/>
      <c r="BH588" s="92"/>
      <c r="BI588" s="92"/>
      <c r="BJ588" s="92"/>
      <c r="BK588" s="92"/>
      <c r="BL588" s="92"/>
      <c r="BM588" s="92"/>
      <c r="BN588" s="92"/>
      <c r="BO588" s="92"/>
      <c r="BP588" s="92"/>
      <c r="BQ588" s="92"/>
      <c r="BR588" s="92"/>
      <c r="BS588" s="92"/>
      <c r="BT588" s="92"/>
      <c r="BU588" s="92"/>
      <c r="BV588" s="92"/>
      <c r="BW588" s="92"/>
      <c r="BX588" s="92"/>
      <c r="BY588" s="92"/>
      <c r="BZ588" s="92"/>
      <c r="CA588" s="92"/>
      <c r="CB588" s="92"/>
      <c r="CC588" s="92"/>
      <c r="CD588" s="92"/>
      <c r="CE588" s="92"/>
      <c r="CF588" s="92"/>
      <c r="CG588" s="92"/>
      <c r="CH588" s="92"/>
      <c r="CI588" s="92"/>
      <c r="CJ588" s="92"/>
      <c r="CK588" s="92"/>
      <c r="CL588" s="92"/>
      <c r="CM588" s="92"/>
      <c r="CN588" s="92"/>
      <c r="CO588" s="92"/>
      <c r="CP588" s="92"/>
      <c r="CQ588" s="92"/>
      <c r="CR588" s="92"/>
      <c r="CS588" s="92"/>
      <c r="CT588" s="92"/>
      <c r="CU588" s="92"/>
      <c r="CV588" s="92"/>
      <c r="CW588" s="92"/>
      <c r="CX588" s="92"/>
      <c r="CY588" s="92"/>
      <c r="CZ588" s="92"/>
      <c r="DA588" s="92"/>
      <c r="DB588" s="92"/>
      <c r="DC588" s="92"/>
      <c r="DD588" s="92"/>
      <c r="DE588" s="92"/>
      <c r="DF588" s="92"/>
      <c r="DG588" s="92"/>
      <c r="DH588" s="92"/>
      <c r="DI588" s="92"/>
      <c r="DJ588" s="92"/>
      <c r="DK588" s="92"/>
      <c r="DL588" s="92"/>
      <c r="DM588" s="92"/>
      <c r="DN588" s="92"/>
      <c r="DO588" s="92"/>
      <c r="DP588" s="92"/>
      <c r="DQ588" s="92"/>
      <c r="DR588" s="92"/>
      <c r="DS588" s="92"/>
      <c r="DT588" s="92"/>
      <c r="DU588" s="92"/>
      <c r="DV588" s="92"/>
      <c r="DW588" s="92"/>
      <c r="DX588" s="92"/>
      <c r="DY588" s="92"/>
      <c r="DZ588" s="92"/>
      <c r="EA588" s="92"/>
      <c r="EB588" s="92"/>
      <c r="EC588" s="92"/>
      <c r="ED588" s="92"/>
      <c r="EE588" s="92"/>
      <c r="EF588" s="92"/>
      <c r="EG588" s="92"/>
      <c r="EH588" s="92"/>
      <c r="EI588" s="92"/>
      <c r="EJ588" s="92"/>
      <c r="EK588" s="92"/>
      <c r="EL588" s="92"/>
      <c r="EM588" s="92"/>
      <c r="EN588" s="92"/>
      <c r="EO588" s="92"/>
      <c r="EP588" s="92"/>
      <c r="EQ588" s="92"/>
      <c r="ER588" s="92"/>
      <c r="ES588" s="92"/>
      <c r="ET588" s="92"/>
      <c r="EU588" s="92"/>
      <c r="EV588" s="92"/>
      <c r="EW588" s="92"/>
      <c r="EX588" s="92"/>
      <c r="EY588" s="92"/>
      <c r="EZ588" s="92"/>
      <c r="FA588" s="92"/>
      <c r="FB588" s="92"/>
      <c r="FC588" s="92"/>
      <c r="FD588" s="92"/>
      <c r="FE588" s="92"/>
      <c r="FF588" s="92"/>
      <c r="FG588" s="92"/>
      <c r="FH588" s="92"/>
    </row>
    <row r="589">
      <c r="A589" s="47" t="s">
        <v>38</v>
      </c>
      <c r="B589" s="47" t="s">
        <v>99</v>
      </c>
      <c r="C589" s="47" t="s">
        <v>10</v>
      </c>
      <c r="D589" s="101">
        <f t="shared" si="1"/>
        <v>602.4644208</v>
      </c>
      <c r="E589" s="92">
        <f>(SUBSTITUTE(Audio!E589, "RE-", "", 1))*1</f>
        <v>0</v>
      </c>
      <c r="F589" s="92">
        <f>(SUBSTITUTE(Audio!F589, "RE-", "", 1))*1</f>
        <v>0</v>
      </c>
      <c r="G589" s="92">
        <f>(SUBSTITUTE(Audio!G589, "RE-", "", 1))*1</f>
        <v>113.26775</v>
      </c>
      <c r="H589" s="92">
        <f>(SUBSTITUTE(Audio!H589, "RE-", "", 1))*1</f>
        <v>0</v>
      </c>
      <c r="I589" s="92">
        <f>(SUBSTITUTE(Audio!I589, "RE-", "", 1))*1</f>
        <v>13.71040313</v>
      </c>
      <c r="J589" s="92">
        <f>(SUBSTITUTE(Audio!J589, "RE-", "", 1))*1</f>
        <v>0</v>
      </c>
      <c r="K589" s="92">
        <f>(SUBSTITUTE(Audio!K589, "RE-", "", 1))*1</f>
        <v>62.93649479</v>
      </c>
      <c r="L589" s="92">
        <f>(SUBSTITUTE(Audio!L589, "RE-", "", 1))*1</f>
        <v>0</v>
      </c>
      <c r="M589" s="92">
        <f>(SUBSTITUTE(Audio!M589, "RE-", "", 1))*1</f>
        <v>37.85423021</v>
      </c>
      <c r="N589" s="92">
        <f>(SUBSTITUTE(Audio!N589, "RE-", "", 1))*1</f>
        <v>0</v>
      </c>
      <c r="O589" s="92">
        <f>(SUBSTITUTE(Audio!O589, "RE-", "", 1))*1</f>
        <v>232.0014375</v>
      </c>
      <c r="P589" s="92">
        <f>(SUBSTITUTE(Audio!P589, "RE-", "", 1))*1</f>
        <v>0</v>
      </c>
      <c r="Q589" s="92">
        <f>(SUBSTITUTE(Audio!Q589, "RE-", "", 1))*1</f>
        <v>97.4907625</v>
      </c>
      <c r="R589" s="92">
        <f>(SUBSTITUTE(Audio!R589, "RE-", "", 1))*1</f>
        <v>0</v>
      </c>
      <c r="S589" s="92">
        <f>(SUBSTITUTE(Audio!S589, "RE-", "", 1))*1</f>
        <v>24.33550937</v>
      </c>
      <c r="T589" s="92">
        <f>(SUBSTITUTE(Audio!T589, "RE-", "", 1))*1</f>
        <v>0</v>
      </c>
      <c r="U589" s="92">
        <f>(SUBSTITUTE(Audio!U589, "RE-", "", 1))*1</f>
        <v>16.5479875</v>
      </c>
      <c r="V589" s="92">
        <f>(SUBSTITUTE(Audio!V589, "RE-", "", 1))*1</f>
        <v>4.319845833</v>
      </c>
      <c r="W589" s="92">
        <f>(SUBSTITUTE(Audio!W589, "RE-", "", 1))*1</f>
        <v>0</v>
      </c>
      <c r="X589" s="92">
        <f>(SUBSTITUTE(Audio!X589, "RE-", "", 1))*1</f>
        <v>0</v>
      </c>
      <c r="Y589" s="92">
        <f>(SUBSTITUTE(Audio!Y589, "RE-", "", 1))*1</f>
        <v>0</v>
      </c>
      <c r="Z589" s="92">
        <f>(SUBSTITUTE(Audio!Z589, "RE-", "", 1))*1</f>
        <v>0</v>
      </c>
      <c r="AA589" s="92"/>
      <c r="AB589" s="92"/>
      <c r="AC589" s="92"/>
      <c r="AD589" s="92"/>
      <c r="AE589" s="92"/>
      <c r="AF589" s="92"/>
      <c r="AG589" s="92"/>
      <c r="AH589" s="92"/>
      <c r="AI589" s="92"/>
      <c r="AJ589" s="92"/>
      <c r="AK589" s="92"/>
      <c r="AL589" s="92"/>
      <c r="AM589" s="92"/>
      <c r="AN589" s="92"/>
      <c r="AO589" s="92"/>
      <c r="AP589" s="92"/>
      <c r="AQ589" s="92"/>
      <c r="AR589" s="92"/>
      <c r="AS589" s="92"/>
      <c r="AT589" s="92"/>
      <c r="AU589" s="92"/>
      <c r="AV589" s="92"/>
      <c r="AW589" s="92"/>
      <c r="AX589" s="92"/>
      <c r="AY589" s="92"/>
      <c r="AZ589" s="92"/>
      <c r="BA589" s="92"/>
      <c r="BB589" s="92"/>
      <c r="BC589" s="92"/>
      <c r="BD589" s="92"/>
      <c r="BE589" s="92"/>
      <c r="BF589" s="92"/>
      <c r="BG589" s="92"/>
      <c r="BH589" s="92"/>
      <c r="BI589" s="92"/>
      <c r="BJ589" s="92"/>
      <c r="BK589" s="92"/>
      <c r="BL589" s="92"/>
      <c r="BM589" s="92"/>
      <c r="BN589" s="92"/>
      <c r="BO589" s="92"/>
      <c r="BP589" s="92"/>
      <c r="BQ589" s="92"/>
      <c r="BR589" s="92"/>
      <c r="BS589" s="92"/>
      <c r="BT589" s="92"/>
      <c r="BU589" s="92"/>
      <c r="BV589" s="92"/>
      <c r="BW589" s="92"/>
      <c r="BX589" s="92"/>
      <c r="BY589" s="92"/>
      <c r="BZ589" s="92"/>
      <c r="CA589" s="92"/>
      <c r="CB589" s="92"/>
      <c r="CC589" s="92"/>
      <c r="CD589" s="92"/>
      <c r="CE589" s="92"/>
      <c r="CF589" s="92"/>
      <c r="CG589" s="92"/>
      <c r="CH589" s="92"/>
      <c r="CI589" s="92"/>
      <c r="CJ589" s="92"/>
      <c r="CK589" s="92"/>
      <c r="CL589" s="92"/>
      <c r="CM589" s="92"/>
      <c r="CN589" s="92"/>
      <c r="CO589" s="92"/>
      <c r="CP589" s="92"/>
      <c r="CQ589" s="92"/>
      <c r="CR589" s="92"/>
      <c r="CS589" s="92"/>
      <c r="CT589" s="92"/>
      <c r="CU589" s="92"/>
      <c r="CV589" s="92"/>
      <c r="CW589" s="92"/>
      <c r="CX589" s="92"/>
      <c r="CY589" s="92"/>
      <c r="CZ589" s="92"/>
      <c r="DA589" s="92"/>
      <c r="DB589" s="92"/>
      <c r="DC589" s="92"/>
      <c r="DD589" s="92"/>
      <c r="DE589" s="92"/>
      <c r="DF589" s="92"/>
      <c r="DG589" s="92"/>
      <c r="DH589" s="92"/>
      <c r="DI589" s="92"/>
      <c r="DJ589" s="92"/>
      <c r="DK589" s="92"/>
      <c r="DL589" s="92"/>
      <c r="DM589" s="92"/>
      <c r="DN589" s="92"/>
      <c r="DO589" s="92"/>
      <c r="DP589" s="92"/>
      <c r="DQ589" s="92"/>
      <c r="DR589" s="92"/>
      <c r="DS589" s="92"/>
      <c r="DT589" s="92"/>
      <c r="DU589" s="92"/>
      <c r="DV589" s="92"/>
      <c r="DW589" s="92"/>
      <c r="DX589" s="92"/>
      <c r="DY589" s="92"/>
      <c r="DZ589" s="92"/>
      <c r="EA589" s="92"/>
      <c r="EB589" s="92"/>
      <c r="EC589" s="92"/>
      <c r="ED589" s="92"/>
      <c r="EE589" s="92"/>
      <c r="EF589" s="92"/>
      <c r="EG589" s="92"/>
      <c r="EH589" s="92"/>
      <c r="EI589" s="92"/>
      <c r="EJ589" s="92"/>
      <c r="EK589" s="92"/>
      <c r="EL589" s="92"/>
      <c r="EM589" s="92"/>
      <c r="EN589" s="92"/>
      <c r="EO589" s="92"/>
      <c r="EP589" s="92"/>
      <c r="EQ589" s="92"/>
      <c r="ER589" s="92"/>
      <c r="ES589" s="92"/>
      <c r="ET589" s="92"/>
      <c r="EU589" s="92"/>
      <c r="EV589" s="92"/>
      <c r="EW589" s="92"/>
      <c r="EX589" s="92"/>
      <c r="EY589" s="92"/>
      <c r="EZ589" s="92"/>
      <c r="FA589" s="92"/>
      <c r="FB589" s="92"/>
      <c r="FC589" s="92"/>
      <c r="FD589" s="92"/>
      <c r="FE589" s="92"/>
      <c r="FF589" s="92"/>
      <c r="FG589" s="92"/>
      <c r="FH589" s="92"/>
    </row>
    <row r="590">
      <c r="A590" s="47" t="s">
        <v>38</v>
      </c>
      <c r="B590" s="47" t="s">
        <v>99</v>
      </c>
      <c r="C590" s="47" t="s">
        <v>11</v>
      </c>
      <c r="D590" s="101">
        <f t="shared" si="1"/>
        <v>602.4644208</v>
      </c>
      <c r="E590" s="92">
        <f>(SUBSTITUTE(Audio!E590, "RE-", "", 1))*1</f>
        <v>0</v>
      </c>
      <c r="F590" s="92">
        <f>(SUBSTITUTE(Audio!F590, "RE-", "", 1))*1</f>
        <v>0</v>
      </c>
      <c r="G590" s="92">
        <f>(SUBSTITUTE(Audio!G590, "RE-", "", 1))*1</f>
        <v>113.26775</v>
      </c>
      <c r="H590" s="92">
        <f>(SUBSTITUTE(Audio!H590, "RE-", "", 1))*1</f>
        <v>0</v>
      </c>
      <c r="I590" s="92">
        <f>(SUBSTITUTE(Audio!I590, "RE-", "", 1))*1</f>
        <v>13.71040313</v>
      </c>
      <c r="J590" s="92">
        <f>(SUBSTITUTE(Audio!J590, "RE-", "", 1))*1</f>
        <v>0</v>
      </c>
      <c r="K590" s="92">
        <f>(SUBSTITUTE(Audio!K590, "RE-", "", 1))*1</f>
        <v>62.93649479</v>
      </c>
      <c r="L590" s="92">
        <f>(SUBSTITUTE(Audio!L590, "RE-", "", 1))*1</f>
        <v>0</v>
      </c>
      <c r="M590" s="92">
        <f>(SUBSTITUTE(Audio!M590, "RE-", "", 1))*1</f>
        <v>37.85423021</v>
      </c>
      <c r="N590" s="92">
        <f>(SUBSTITUTE(Audio!N590, "RE-", "", 1))*1</f>
        <v>0</v>
      </c>
      <c r="O590" s="92">
        <f>(SUBSTITUTE(Audio!O590, "RE-", "", 1))*1</f>
        <v>232.0014375</v>
      </c>
      <c r="P590" s="92">
        <f>(SUBSTITUTE(Audio!P590, "RE-", "", 1))*1</f>
        <v>0</v>
      </c>
      <c r="Q590" s="92">
        <f>(SUBSTITUTE(Audio!Q590, "RE-", "", 1))*1</f>
        <v>97.4907625</v>
      </c>
      <c r="R590" s="92">
        <f>(SUBSTITUTE(Audio!R590, "RE-", "", 1))*1</f>
        <v>0</v>
      </c>
      <c r="S590" s="92">
        <f>(SUBSTITUTE(Audio!S590, "RE-", "", 1))*1</f>
        <v>24.33550937</v>
      </c>
      <c r="T590" s="92">
        <f>(SUBSTITUTE(Audio!T590, "RE-", "", 1))*1</f>
        <v>0</v>
      </c>
      <c r="U590" s="92">
        <f>(SUBSTITUTE(Audio!U590, "RE-", "", 1))*1</f>
        <v>16.5479875</v>
      </c>
      <c r="V590" s="92">
        <f>(SUBSTITUTE(Audio!V590, "RE-", "", 1))*1</f>
        <v>4.319845833</v>
      </c>
      <c r="W590" s="92">
        <f>(SUBSTITUTE(Audio!W590, "RE-", "", 1))*1</f>
        <v>0</v>
      </c>
      <c r="X590" s="92">
        <f>(SUBSTITUTE(Audio!X590, "RE-", "", 1))*1</f>
        <v>0</v>
      </c>
      <c r="Y590" s="92">
        <f>(SUBSTITUTE(Audio!Y590, "RE-", "", 1))*1</f>
        <v>0</v>
      </c>
      <c r="Z590" s="92">
        <f>(SUBSTITUTE(Audio!Z590, "RE-", "", 1))*1</f>
        <v>0</v>
      </c>
      <c r="AA590" s="92"/>
      <c r="AB590" s="92"/>
      <c r="AC590" s="92"/>
      <c r="AD590" s="92"/>
      <c r="AE590" s="92"/>
      <c r="AF590" s="92"/>
      <c r="AG590" s="92"/>
      <c r="AH590" s="92"/>
      <c r="AI590" s="92"/>
      <c r="AJ590" s="92"/>
      <c r="AK590" s="92"/>
      <c r="AL590" s="92"/>
      <c r="AM590" s="92"/>
      <c r="AN590" s="92"/>
      <c r="AO590" s="92"/>
      <c r="AP590" s="92"/>
      <c r="AQ590" s="92"/>
      <c r="AR590" s="92"/>
      <c r="AS590" s="92"/>
      <c r="AT590" s="92"/>
      <c r="AU590" s="92"/>
      <c r="AV590" s="92"/>
      <c r="AW590" s="92"/>
      <c r="AX590" s="92"/>
      <c r="AY590" s="92"/>
      <c r="AZ590" s="92"/>
      <c r="BA590" s="92"/>
      <c r="BB590" s="92"/>
      <c r="BC590" s="92"/>
      <c r="BD590" s="92"/>
      <c r="BE590" s="92"/>
      <c r="BF590" s="92"/>
      <c r="BG590" s="92"/>
      <c r="BH590" s="92"/>
      <c r="BI590" s="92"/>
      <c r="BJ590" s="92"/>
      <c r="BK590" s="92"/>
      <c r="BL590" s="92"/>
      <c r="BM590" s="92"/>
      <c r="BN590" s="92"/>
      <c r="BO590" s="92"/>
      <c r="BP590" s="92"/>
      <c r="BQ590" s="92"/>
      <c r="BR590" s="92"/>
      <c r="BS590" s="92"/>
      <c r="BT590" s="92"/>
      <c r="BU590" s="92"/>
      <c r="BV590" s="92"/>
      <c r="BW590" s="92"/>
      <c r="BX590" s="92"/>
      <c r="BY590" s="92"/>
      <c r="BZ590" s="92"/>
      <c r="CA590" s="92"/>
      <c r="CB590" s="92"/>
      <c r="CC590" s="92"/>
      <c r="CD590" s="92"/>
      <c r="CE590" s="92"/>
      <c r="CF590" s="92"/>
      <c r="CG590" s="92"/>
      <c r="CH590" s="92"/>
      <c r="CI590" s="92"/>
      <c r="CJ590" s="92"/>
      <c r="CK590" s="92"/>
      <c r="CL590" s="92"/>
      <c r="CM590" s="92"/>
      <c r="CN590" s="92"/>
      <c r="CO590" s="92"/>
      <c r="CP590" s="92"/>
      <c r="CQ590" s="92"/>
      <c r="CR590" s="92"/>
      <c r="CS590" s="92"/>
      <c r="CT590" s="92"/>
      <c r="CU590" s="92"/>
      <c r="CV590" s="92"/>
      <c r="CW590" s="92"/>
      <c r="CX590" s="92"/>
      <c r="CY590" s="92"/>
      <c r="CZ590" s="92"/>
      <c r="DA590" s="92"/>
      <c r="DB590" s="92"/>
      <c r="DC590" s="92"/>
      <c r="DD590" s="92"/>
      <c r="DE590" s="92"/>
      <c r="DF590" s="92"/>
      <c r="DG590" s="92"/>
      <c r="DH590" s="92"/>
      <c r="DI590" s="92"/>
      <c r="DJ590" s="92"/>
      <c r="DK590" s="92"/>
      <c r="DL590" s="92"/>
      <c r="DM590" s="92"/>
      <c r="DN590" s="92"/>
      <c r="DO590" s="92"/>
      <c r="DP590" s="92"/>
      <c r="DQ590" s="92"/>
      <c r="DR590" s="92"/>
      <c r="DS590" s="92"/>
      <c r="DT590" s="92"/>
      <c r="DU590" s="92"/>
      <c r="DV590" s="92"/>
      <c r="DW590" s="92"/>
      <c r="DX590" s="92"/>
      <c r="DY590" s="92"/>
      <c r="DZ590" s="92"/>
      <c r="EA590" s="92"/>
      <c r="EB590" s="92"/>
      <c r="EC590" s="92"/>
      <c r="ED590" s="92"/>
      <c r="EE590" s="92"/>
      <c r="EF590" s="92"/>
      <c r="EG590" s="92"/>
      <c r="EH590" s="92"/>
      <c r="EI590" s="92"/>
      <c r="EJ590" s="92"/>
      <c r="EK590" s="92"/>
      <c r="EL590" s="92"/>
      <c r="EM590" s="92"/>
      <c r="EN590" s="92"/>
      <c r="EO590" s="92"/>
      <c r="EP590" s="92"/>
      <c r="EQ590" s="92"/>
      <c r="ER590" s="92"/>
      <c r="ES590" s="92"/>
      <c r="ET590" s="92"/>
      <c r="EU590" s="92"/>
      <c r="EV590" s="92"/>
      <c r="EW590" s="92"/>
      <c r="EX590" s="92"/>
      <c r="EY590" s="92"/>
      <c r="EZ590" s="92"/>
      <c r="FA590" s="92"/>
      <c r="FB590" s="92"/>
      <c r="FC590" s="92"/>
      <c r="FD590" s="92"/>
      <c r="FE590" s="92"/>
      <c r="FF590" s="92"/>
      <c r="FG590" s="92"/>
      <c r="FH590" s="92"/>
    </row>
    <row r="591">
      <c r="A591" s="47" t="s">
        <v>38</v>
      </c>
      <c r="B591" s="47" t="s">
        <v>99</v>
      </c>
      <c r="C591" s="47" t="s">
        <v>12</v>
      </c>
      <c r="D591" s="101">
        <f t="shared" si="1"/>
        <v>4969.383128</v>
      </c>
      <c r="E591" s="92">
        <f>(SUBSTITUTE(Audio!E591, "RE-", "", 1))*1</f>
        <v>0</v>
      </c>
      <c r="F591" s="92">
        <f>(SUBSTITUTE(Audio!F591, "RE-", "", 1))*1</f>
        <v>1017.370029</v>
      </c>
      <c r="G591" s="92">
        <f>(SUBSTITUTE(Audio!G591, "RE-", "", 1))*1</f>
        <v>2.308989583</v>
      </c>
      <c r="H591" s="92">
        <f>(SUBSTITUTE(Audio!H591, "RE-", "", 1))*1</f>
        <v>284.4045927</v>
      </c>
      <c r="I591" s="92">
        <f>(SUBSTITUTE(Audio!I591, "RE-", "", 1))*1</f>
        <v>0.6095708333</v>
      </c>
      <c r="J591" s="92">
        <f>(SUBSTITUTE(Audio!J591, "RE-", "", 1))*1</f>
        <v>618.7914021</v>
      </c>
      <c r="K591" s="92">
        <f>(SUBSTITUTE(Audio!K591, "RE-", "", 1))*1</f>
        <v>3.429214583</v>
      </c>
      <c r="L591" s="92">
        <f>(SUBSTITUTE(Audio!L591, "RE-", "", 1))*1</f>
        <v>890.1819823</v>
      </c>
      <c r="M591" s="92">
        <f>(SUBSTITUTE(Audio!M591, "RE-", "", 1))*1</f>
        <v>9.684529167</v>
      </c>
      <c r="N591" s="92">
        <f>(SUBSTITUTE(Audio!N591, "RE-", "", 1))*1</f>
        <v>1036.857406</v>
      </c>
      <c r="O591" s="92">
        <f>(SUBSTITUTE(Audio!O591, "RE-", "", 1))*1</f>
        <v>8.479254167</v>
      </c>
      <c r="P591" s="92">
        <f>(SUBSTITUTE(Audio!P591, "RE-", "", 1))*1</f>
        <v>670.7377802</v>
      </c>
      <c r="Q591" s="92">
        <f>(SUBSTITUTE(Audio!Q591, "RE-", "", 1))*1</f>
        <v>30.04044688</v>
      </c>
      <c r="R591" s="92">
        <f>(SUBSTITUTE(Audio!R591, "RE-", "", 1))*1</f>
        <v>89.46362083</v>
      </c>
      <c r="S591" s="92">
        <f>(SUBSTITUTE(Audio!S591, "RE-", "", 1))*1</f>
        <v>16.96073125</v>
      </c>
      <c r="T591" s="92">
        <f>(SUBSTITUTE(Audio!T591, "RE-", "", 1))*1</f>
        <v>275.9777135</v>
      </c>
      <c r="U591" s="92">
        <f>(SUBSTITUTE(Audio!U591, "RE-", "", 1))*1</f>
        <v>10.33578958</v>
      </c>
      <c r="V591" s="92">
        <f>(SUBSTITUTE(Audio!V591, "RE-", "", 1))*1</f>
        <v>3.750075</v>
      </c>
      <c r="W591" s="92">
        <f>(SUBSTITUTE(Audio!W591, "RE-", "", 1))*1</f>
        <v>0</v>
      </c>
      <c r="X591" s="92">
        <f>(SUBSTITUTE(Audio!X591, "RE-", "", 1))*1</f>
        <v>0</v>
      </c>
      <c r="Y591" s="92">
        <f>(SUBSTITUTE(Audio!Y591, "RE-", "", 1))*1</f>
        <v>0</v>
      </c>
      <c r="Z591" s="92">
        <f>(SUBSTITUTE(Audio!Z591, "RE-", "", 1))*1</f>
        <v>0</v>
      </c>
      <c r="AA591" s="92"/>
      <c r="AB591" s="92"/>
      <c r="AC591" s="92"/>
      <c r="AD591" s="92"/>
      <c r="AE591" s="92"/>
      <c r="AF591" s="92"/>
      <c r="AG591" s="92"/>
      <c r="AH591" s="92"/>
      <c r="AI591" s="92"/>
      <c r="AJ591" s="92"/>
      <c r="AK591" s="92"/>
      <c r="AL591" s="92"/>
      <c r="AM591" s="92"/>
      <c r="AN591" s="92"/>
      <c r="AO591" s="92"/>
      <c r="AP591" s="92"/>
      <c r="AQ591" s="92"/>
      <c r="AR591" s="92"/>
      <c r="AS591" s="92"/>
      <c r="AT591" s="92"/>
      <c r="AU591" s="92"/>
      <c r="AV591" s="92"/>
      <c r="AW591" s="92"/>
      <c r="AX591" s="92"/>
      <c r="AY591" s="92"/>
      <c r="AZ591" s="92"/>
      <c r="BA591" s="92"/>
      <c r="BB591" s="92"/>
      <c r="BC591" s="92"/>
      <c r="BD591" s="92"/>
      <c r="BE591" s="92"/>
      <c r="BF591" s="92"/>
      <c r="BG591" s="92"/>
      <c r="BH591" s="92"/>
      <c r="BI591" s="92"/>
      <c r="BJ591" s="92"/>
      <c r="BK591" s="92"/>
      <c r="BL591" s="92"/>
      <c r="BM591" s="92"/>
      <c r="BN591" s="92"/>
      <c r="BO591" s="92"/>
      <c r="BP591" s="92"/>
      <c r="BQ591" s="92"/>
      <c r="BR591" s="92"/>
      <c r="BS591" s="92"/>
      <c r="BT591" s="92"/>
      <c r="BU591" s="92"/>
      <c r="BV591" s="92"/>
      <c r="BW591" s="92"/>
      <c r="BX591" s="92"/>
      <c r="BY591" s="92"/>
      <c r="BZ591" s="92"/>
      <c r="CA591" s="92"/>
      <c r="CB591" s="92"/>
      <c r="CC591" s="92"/>
      <c r="CD591" s="92"/>
      <c r="CE591" s="92"/>
      <c r="CF591" s="92"/>
      <c r="CG591" s="92"/>
      <c r="CH591" s="92"/>
      <c r="CI591" s="92"/>
      <c r="CJ591" s="92"/>
      <c r="CK591" s="92"/>
      <c r="CL591" s="92"/>
      <c r="CM591" s="92"/>
      <c r="CN591" s="92"/>
      <c r="CO591" s="92"/>
      <c r="CP591" s="92"/>
      <c r="CQ591" s="92"/>
      <c r="CR591" s="92"/>
      <c r="CS591" s="92"/>
      <c r="CT591" s="92"/>
      <c r="CU591" s="92"/>
      <c r="CV591" s="92"/>
      <c r="CW591" s="92"/>
      <c r="CX591" s="92"/>
      <c r="CY591" s="92"/>
      <c r="CZ591" s="92"/>
      <c r="DA591" s="92"/>
      <c r="DB591" s="92"/>
      <c r="DC591" s="92"/>
      <c r="DD591" s="92"/>
      <c r="DE591" s="92"/>
      <c r="DF591" s="92"/>
      <c r="DG591" s="92"/>
      <c r="DH591" s="92"/>
      <c r="DI591" s="92"/>
      <c r="DJ591" s="92"/>
      <c r="DK591" s="92"/>
      <c r="DL591" s="92"/>
      <c r="DM591" s="92"/>
      <c r="DN591" s="92"/>
      <c r="DO591" s="92"/>
      <c r="DP591" s="92"/>
      <c r="DQ591" s="92"/>
      <c r="DR591" s="92"/>
      <c r="DS591" s="92"/>
      <c r="DT591" s="92"/>
      <c r="DU591" s="92"/>
      <c r="DV591" s="92"/>
      <c r="DW591" s="92"/>
      <c r="DX591" s="92"/>
      <c r="DY591" s="92"/>
      <c r="DZ591" s="92"/>
      <c r="EA591" s="92"/>
      <c r="EB591" s="92"/>
      <c r="EC591" s="92"/>
      <c r="ED591" s="92"/>
      <c r="EE591" s="92"/>
      <c r="EF591" s="92"/>
      <c r="EG591" s="92"/>
      <c r="EH591" s="92"/>
      <c r="EI591" s="92"/>
      <c r="EJ591" s="92"/>
      <c r="EK591" s="92"/>
      <c r="EL591" s="92"/>
      <c r="EM591" s="92"/>
      <c r="EN591" s="92"/>
      <c r="EO591" s="92"/>
      <c r="EP591" s="92"/>
      <c r="EQ591" s="92"/>
      <c r="ER591" s="92"/>
      <c r="ES591" s="92"/>
      <c r="ET591" s="92"/>
      <c r="EU591" s="92"/>
      <c r="EV591" s="92"/>
      <c r="EW591" s="92"/>
      <c r="EX591" s="92"/>
      <c r="EY591" s="92"/>
      <c r="EZ591" s="92"/>
      <c r="FA591" s="92"/>
      <c r="FB591" s="92"/>
      <c r="FC591" s="92"/>
      <c r="FD591" s="92"/>
      <c r="FE591" s="92"/>
      <c r="FF591" s="92"/>
      <c r="FG591" s="92"/>
      <c r="FH591" s="92"/>
    </row>
    <row r="592">
      <c r="A592" s="47" t="s">
        <v>38</v>
      </c>
      <c r="B592" s="47" t="s">
        <v>99</v>
      </c>
      <c r="C592" s="47" t="s">
        <v>13</v>
      </c>
      <c r="D592" s="101">
        <f t="shared" si="1"/>
        <v>4746.185847</v>
      </c>
      <c r="E592" s="92">
        <f>(SUBSTITUTE(Audio!E592, "RE-", "", 1))*1</f>
        <v>0</v>
      </c>
      <c r="F592" s="92">
        <f>(SUBSTITUTE(Audio!F592, "RE-", "", 1))*1</f>
        <v>981.374</v>
      </c>
      <c r="G592" s="92">
        <f>(SUBSTITUTE(Audio!G592, "RE-", "", 1))*1</f>
        <v>2.20183</v>
      </c>
      <c r="H592" s="92">
        <f>(SUBSTITUTE(Audio!H592, "RE-", "", 1))*1</f>
        <v>277.248</v>
      </c>
      <c r="I592" s="92">
        <f>(SUBSTITUTE(Audio!I592, "RE-", "", 1))*1</f>
        <v>0.572017</v>
      </c>
      <c r="J592" s="92">
        <f>(SUBSTITUTE(Audio!J592, "RE-", "", 1))*1</f>
        <v>595.731</v>
      </c>
      <c r="K592" s="92">
        <f>(SUBSTITUTE(Audio!K592, "RE-", "", 1))*1</f>
        <v>3.26372</v>
      </c>
      <c r="L592" s="92">
        <f>(SUBSTITUTE(Audio!L592, "RE-", "", 1))*1</f>
        <v>838.033</v>
      </c>
      <c r="M592" s="92">
        <f>(SUBSTITUTE(Audio!M592, "RE-", "", 1))*1</f>
        <v>8.93572</v>
      </c>
      <c r="N592" s="92">
        <f>(SUBSTITUTE(Audio!N592, "RE-", "", 1))*1</f>
        <v>992.765</v>
      </c>
      <c r="O592" s="92">
        <f>(SUBSTITUTE(Audio!O592, "RE-", "", 1))*1</f>
        <v>7.65353</v>
      </c>
      <c r="P592" s="92">
        <f>(SUBSTITUTE(Audio!P592, "RE-", "", 1))*1</f>
        <v>632.495</v>
      </c>
      <c r="Q592" s="92">
        <f>(SUBSTITUTE(Audio!Q592, "RE-", "", 1))*1</f>
        <v>28.4748</v>
      </c>
      <c r="R592" s="92">
        <f>(SUBSTITUTE(Audio!R592, "RE-", "", 1))*1</f>
        <v>85.9397</v>
      </c>
      <c r="S592" s="92">
        <f>(SUBSTITUTE(Audio!S592, "RE-", "", 1))*1</f>
        <v>15.8677</v>
      </c>
      <c r="T592" s="92">
        <f>(SUBSTITUTE(Audio!T592, "RE-", "", 1))*1</f>
        <v>262.423</v>
      </c>
      <c r="U592" s="92">
        <f>(SUBSTITUTE(Audio!U592, "RE-", "", 1))*1</f>
        <v>9.73705</v>
      </c>
      <c r="V592" s="92">
        <f>(SUBSTITUTE(Audio!V592, "RE-", "", 1))*1</f>
        <v>3.47078</v>
      </c>
      <c r="W592" s="92">
        <f>(SUBSTITUTE(Audio!W592, "RE-", "", 1))*1</f>
        <v>0</v>
      </c>
      <c r="X592" s="92">
        <f>(SUBSTITUTE(Audio!X592, "RE-", "", 1))*1</f>
        <v>0</v>
      </c>
      <c r="Y592" s="92">
        <f>(SUBSTITUTE(Audio!Y592, "RE-", "", 1))*1</f>
        <v>0</v>
      </c>
      <c r="Z592" s="92">
        <f>(SUBSTITUTE(Audio!Z592, "RE-", "", 1))*1</f>
        <v>0</v>
      </c>
      <c r="AA592" s="92"/>
      <c r="AB592" s="92"/>
      <c r="AC592" s="92"/>
      <c r="AD592" s="92"/>
      <c r="AE592" s="92"/>
      <c r="AF592" s="92"/>
      <c r="AG592" s="92"/>
      <c r="AH592" s="92"/>
      <c r="AI592" s="92"/>
      <c r="AJ592" s="92"/>
      <c r="AK592" s="92"/>
      <c r="AL592" s="92"/>
      <c r="AM592" s="92"/>
      <c r="AN592" s="92"/>
      <c r="AO592" s="92"/>
      <c r="AP592" s="92"/>
      <c r="AQ592" s="92"/>
      <c r="AR592" s="92"/>
      <c r="AS592" s="92"/>
      <c r="AT592" s="92"/>
      <c r="AU592" s="92"/>
      <c r="AV592" s="92"/>
      <c r="AW592" s="92"/>
      <c r="AX592" s="92"/>
      <c r="AY592" s="92"/>
      <c r="AZ592" s="92"/>
      <c r="BA592" s="92"/>
      <c r="BB592" s="92"/>
      <c r="BC592" s="92"/>
      <c r="BD592" s="92"/>
      <c r="BE592" s="92"/>
      <c r="BF592" s="92"/>
      <c r="BG592" s="92"/>
      <c r="BH592" s="92"/>
      <c r="BI592" s="92"/>
      <c r="BJ592" s="92"/>
      <c r="BK592" s="92"/>
      <c r="BL592" s="92"/>
      <c r="BM592" s="92"/>
      <c r="BN592" s="92"/>
      <c r="BO592" s="92"/>
      <c r="BP592" s="92"/>
      <c r="BQ592" s="92"/>
      <c r="BR592" s="92"/>
      <c r="BS592" s="92"/>
      <c r="BT592" s="92"/>
      <c r="BU592" s="92"/>
      <c r="BV592" s="92"/>
      <c r="BW592" s="92"/>
      <c r="BX592" s="92"/>
      <c r="BY592" s="92"/>
      <c r="BZ592" s="92"/>
      <c r="CA592" s="92"/>
      <c r="CB592" s="92"/>
      <c r="CC592" s="92"/>
      <c r="CD592" s="92"/>
      <c r="CE592" s="92"/>
      <c r="CF592" s="92"/>
      <c r="CG592" s="92"/>
      <c r="CH592" s="92"/>
      <c r="CI592" s="92"/>
      <c r="CJ592" s="92"/>
      <c r="CK592" s="92"/>
      <c r="CL592" s="92"/>
      <c r="CM592" s="92"/>
      <c r="CN592" s="92"/>
      <c r="CO592" s="92"/>
      <c r="CP592" s="92"/>
      <c r="CQ592" s="92"/>
      <c r="CR592" s="92"/>
      <c r="CS592" s="92"/>
      <c r="CT592" s="92"/>
      <c r="CU592" s="92"/>
      <c r="CV592" s="92"/>
      <c r="CW592" s="92"/>
      <c r="CX592" s="92"/>
      <c r="CY592" s="92"/>
      <c r="CZ592" s="92"/>
      <c r="DA592" s="92"/>
      <c r="DB592" s="92"/>
      <c r="DC592" s="92"/>
      <c r="DD592" s="92"/>
      <c r="DE592" s="92"/>
      <c r="DF592" s="92"/>
      <c r="DG592" s="92"/>
      <c r="DH592" s="92"/>
      <c r="DI592" s="92"/>
      <c r="DJ592" s="92"/>
      <c r="DK592" s="92"/>
      <c r="DL592" s="92"/>
      <c r="DM592" s="92"/>
      <c r="DN592" s="92"/>
      <c r="DO592" s="92"/>
      <c r="DP592" s="92"/>
      <c r="DQ592" s="92"/>
      <c r="DR592" s="92"/>
      <c r="DS592" s="92"/>
      <c r="DT592" s="92"/>
      <c r="DU592" s="92"/>
      <c r="DV592" s="92"/>
      <c r="DW592" s="92"/>
      <c r="DX592" s="92"/>
      <c r="DY592" s="92"/>
      <c r="DZ592" s="92"/>
      <c r="EA592" s="92"/>
      <c r="EB592" s="92"/>
      <c r="EC592" s="92"/>
      <c r="ED592" s="92"/>
      <c r="EE592" s="92"/>
      <c r="EF592" s="92"/>
      <c r="EG592" s="92"/>
      <c r="EH592" s="92"/>
      <c r="EI592" s="92"/>
      <c r="EJ592" s="92"/>
      <c r="EK592" s="92"/>
      <c r="EL592" s="92"/>
      <c r="EM592" s="92"/>
      <c r="EN592" s="92"/>
      <c r="EO592" s="92"/>
      <c r="EP592" s="92"/>
      <c r="EQ592" s="92"/>
      <c r="ER592" s="92"/>
      <c r="ES592" s="92"/>
      <c r="ET592" s="92"/>
      <c r="EU592" s="92"/>
      <c r="EV592" s="92"/>
      <c r="EW592" s="92"/>
      <c r="EX592" s="92"/>
      <c r="EY592" s="92"/>
      <c r="EZ592" s="92"/>
      <c r="FA592" s="92"/>
      <c r="FB592" s="92"/>
      <c r="FC592" s="92"/>
      <c r="FD592" s="92"/>
      <c r="FE592" s="92"/>
      <c r="FF592" s="92"/>
      <c r="FG592" s="92"/>
      <c r="FH592" s="92"/>
    </row>
    <row r="593">
      <c r="A593" s="47" t="s">
        <v>38</v>
      </c>
      <c r="B593" s="47" t="s">
        <v>99</v>
      </c>
      <c r="C593" s="47" t="s">
        <v>14</v>
      </c>
      <c r="D593" s="101">
        <f t="shared" si="1"/>
        <v>4170.782217</v>
      </c>
      <c r="E593" s="92">
        <f>(SUBSTITUTE(Audio!E593, "RE-", "", 1))*1</f>
        <v>0</v>
      </c>
      <c r="F593" s="92">
        <f>(SUBSTITUTE(Audio!F593, "RE-", "", 1))*1</f>
        <v>851.772</v>
      </c>
      <c r="G593" s="92">
        <f>(SUBSTITUTE(Audio!G593, "RE-", "", 1))*1</f>
        <v>1.8673</v>
      </c>
      <c r="H593" s="92">
        <f>(SUBSTITUTE(Audio!H593, "RE-", "", 1))*1</f>
        <v>246.192</v>
      </c>
      <c r="I593" s="92">
        <f>(SUBSTITUTE(Audio!I593, "RE-", "", 1))*1</f>
        <v>0.572017</v>
      </c>
      <c r="J593" s="92">
        <f>(SUBSTITUTE(Audio!J593, "RE-", "", 1))*1</f>
        <v>548.462</v>
      </c>
      <c r="K593" s="92">
        <f>(SUBSTITUTE(Audio!K593, "RE-", "", 1))*1</f>
        <v>3.26372</v>
      </c>
      <c r="L593" s="92">
        <f>(SUBSTITUTE(Audio!L593, "RE-", "", 1))*1</f>
        <v>730.488</v>
      </c>
      <c r="M593" s="92">
        <f>(SUBSTITUTE(Audio!M593, "RE-", "", 1))*1</f>
        <v>7.63527</v>
      </c>
      <c r="N593" s="92">
        <f>(SUBSTITUTE(Audio!N593, "RE-", "", 1))*1</f>
        <v>880.523</v>
      </c>
      <c r="O593" s="92">
        <f>(SUBSTITUTE(Audio!O593, "RE-", "", 1))*1</f>
        <v>7.16378</v>
      </c>
      <c r="P593" s="92">
        <f>(SUBSTITUTE(Audio!P593, "RE-", "", 1))*1</f>
        <v>546.23</v>
      </c>
      <c r="Q593" s="92">
        <f>(SUBSTITUTE(Audio!Q593, "RE-", "", 1))*1</f>
        <v>24.5619</v>
      </c>
      <c r="R593" s="92">
        <f>(SUBSTITUTE(Audio!R593, "RE-", "", 1))*1</f>
        <v>71.3576</v>
      </c>
      <c r="S593" s="92">
        <f>(SUBSTITUTE(Audio!S593, "RE-", "", 1))*1</f>
        <v>13.3866</v>
      </c>
      <c r="T593" s="92">
        <f>(SUBSTITUTE(Audio!T593, "RE-", "", 1))*1</f>
        <v>225.871</v>
      </c>
      <c r="U593" s="92">
        <f>(SUBSTITUTE(Audio!U593, "RE-", "", 1))*1</f>
        <v>7.96525</v>
      </c>
      <c r="V593" s="92">
        <f>(SUBSTITUTE(Audio!V593, "RE-", "", 1))*1</f>
        <v>3.47078</v>
      </c>
      <c r="W593" s="92">
        <f>(SUBSTITUTE(Audio!W593, "RE-", "", 1))*1</f>
        <v>0</v>
      </c>
      <c r="X593" s="92">
        <f>(SUBSTITUTE(Audio!X593, "RE-", "", 1))*1</f>
        <v>0</v>
      </c>
      <c r="Y593" s="92">
        <f>(SUBSTITUTE(Audio!Y593, "RE-", "", 1))*1</f>
        <v>0</v>
      </c>
      <c r="Z593" s="92">
        <f>(SUBSTITUTE(Audio!Z593, "RE-", "", 1))*1</f>
        <v>0</v>
      </c>
      <c r="AA593" s="92"/>
      <c r="AB593" s="92"/>
      <c r="AC593" s="92"/>
      <c r="AD593" s="92"/>
      <c r="AE593" s="92"/>
      <c r="AF593" s="92"/>
      <c r="AG593" s="92"/>
      <c r="AH593" s="92"/>
      <c r="AI593" s="92"/>
      <c r="AJ593" s="92"/>
      <c r="AK593" s="92"/>
      <c r="AL593" s="92"/>
      <c r="AM593" s="92"/>
      <c r="AN593" s="92"/>
      <c r="AO593" s="92"/>
      <c r="AP593" s="92"/>
      <c r="AQ593" s="92"/>
      <c r="AR593" s="92"/>
      <c r="AS593" s="92"/>
      <c r="AT593" s="92"/>
      <c r="AU593" s="92"/>
      <c r="AV593" s="92"/>
      <c r="AW593" s="92"/>
      <c r="AX593" s="92"/>
      <c r="AY593" s="92"/>
      <c r="AZ593" s="92"/>
      <c r="BA593" s="92"/>
      <c r="BB593" s="92"/>
      <c r="BC593" s="92"/>
      <c r="BD593" s="92"/>
      <c r="BE593" s="92"/>
      <c r="BF593" s="92"/>
      <c r="BG593" s="92"/>
      <c r="BH593" s="92"/>
      <c r="BI593" s="92"/>
      <c r="BJ593" s="92"/>
      <c r="BK593" s="92"/>
      <c r="BL593" s="92"/>
      <c r="BM593" s="92"/>
      <c r="BN593" s="92"/>
      <c r="BO593" s="92"/>
      <c r="BP593" s="92"/>
      <c r="BQ593" s="92"/>
      <c r="BR593" s="92"/>
      <c r="BS593" s="92"/>
      <c r="BT593" s="92"/>
      <c r="BU593" s="92"/>
      <c r="BV593" s="92"/>
      <c r="BW593" s="92"/>
      <c r="BX593" s="92"/>
      <c r="BY593" s="92"/>
      <c r="BZ593" s="92"/>
      <c r="CA593" s="92"/>
      <c r="CB593" s="92"/>
      <c r="CC593" s="92"/>
      <c r="CD593" s="92"/>
      <c r="CE593" s="92"/>
      <c r="CF593" s="92"/>
      <c r="CG593" s="92"/>
      <c r="CH593" s="92"/>
      <c r="CI593" s="92"/>
      <c r="CJ593" s="92"/>
      <c r="CK593" s="92"/>
      <c r="CL593" s="92"/>
      <c r="CM593" s="92"/>
      <c r="CN593" s="92"/>
      <c r="CO593" s="92"/>
      <c r="CP593" s="92"/>
      <c r="CQ593" s="92"/>
      <c r="CR593" s="92"/>
      <c r="CS593" s="92"/>
      <c r="CT593" s="92"/>
      <c r="CU593" s="92"/>
      <c r="CV593" s="92"/>
      <c r="CW593" s="92"/>
      <c r="CX593" s="92"/>
      <c r="CY593" s="92"/>
      <c r="CZ593" s="92"/>
      <c r="DA593" s="92"/>
      <c r="DB593" s="92"/>
      <c r="DC593" s="92"/>
      <c r="DD593" s="92"/>
      <c r="DE593" s="92"/>
      <c r="DF593" s="92"/>
      <c r="DG593" s="92"/>
      <c r="DH593" s="92"/>
      <c r="DI593" s="92"/>
      <c r="DJ593" s="92"/>
      <c r="DK593" s="92"/>
      <c r="DL593" s="92"/>
      <c r="DM593" s="92"/>
      <c r="DN593" s="92"/>
      <c r="DO593" s="92"/>
      <c r="DP593" s="92"/>
      <c r="DQ593" s="92"/>
      <c r="DR593" s="92"/>
      <c r="DS593" s="92"/>
      <c r="DT593" s="92"/>
      <c r="DU593" s="92"/>
      <c r="DV593" s="92"/>
      <c r="DW593" s="92"/>
      <c r="DX593" s="92"/>
      <c r="DY593" s="92"/>
      <c r="DZ593" s="92"/>
      <c r="EA593" s="92"/>
      <c r="EB593" s="92"/>
      <c r="EC593" s="92"/>
      <c r="ED593" s="92"/>
      <c r="EE593" s="92"/>
      <c r="EF593" s="92"/>
      <c r="EG593" s="92"/>
      <c r="EH593" s="92"/>
      <c r="EI593" s="92"/>
      <c r="EJ593" s="92"/>
      <c r="EK593" s="92"/>
      <c r="EL593" s="92"/>
      <c r="EM593" s="92"/>
      <c r="EN593" s="92"/>
      <c r="EO593" s="92"/>
      <c r="EP593" s="92"/>
      <c r="EQ593" s="92"/>
      <c r="ER593" s="92"/>
      <c r="ES593" s="92"/>
      <c r="ET593" s="92"/>
      <c r="EU593" s="92"/>
      <c r="EV593" s="92"/>
      <c r="EW593" s="92"/>
      <c r="EX593" s="92"/>
      <c r="EY593" s="92"/>
      <c r="EZ593" s="92"/>
      <c r="FA593" s="92"/>
      <c r="FB593" s="92"/>
      <c r="FC593" s="92"/>
      <c r="FD593" s="92"/>
      <c r="FE593" s="92"/>
      <c r="FF593" s="92"/>
      <c r="FG593" s="92"/>
      <c r="FH593" s="92"/>
    </row>
    <row r="594">
      <c r="A594" s="48" t="s">
        <v>38</v>
      </c>
      <c r="B594" s="48" t="s">
        <v>99</v>
      </c>
      <c r="C594" s="48" t="s">
        <v>15</v>
      </c>
      <c r="D594" s="99">
        <f t="shared" si="1"/>
        <v>4744.244947</v>
      </c>
      <c r="E594" s="92">
        <f>(SUBSTITUTE(Audio!E594, "RE-", "", 1))*1</f>
        <v>0</v>
      </c>
      <c r="F594" s="92">
        <f>(SUBSTITUTE(Audio!F594, "RE-", "", 1))*1</f>
        <v>981.337</v>
      </c>
      <c r="G594" s="92">
        <f>(SUBSTITUTE(Audio!G594, "RE-", "", 1))*1</f>
        <v>2.20183</v>
      </c>
      <c r="H594" s="92">
        <f>(SUBSTITUTE(Audio!H594, "RE-", "", 1))*1</f>
        <v>276.696</v>
      </c>
      <c r="I594" s="92">
        <f>(SUBSTITUTE(Audio!I594, "RE-", "", 1))*1</f>
        <v>0.572017</v>
      </c>
      <c r="J594" s="92">
        <f>(SUBSTITUTE(Audio!J594, "RE-", "", 1))*1</f>
        <v>595.731</v>
      </c>
      <c r="K594" s="92">
        <f>(SUBSTITUTE(Audio!K594, "RE-", "", 1))*1</f>
        <v>3.26372</v>
      </c>
      <c r="L594" s="92">
        <f>(SUBSTITUTE(Audio!L594, "RE-", "", 1))*1</f>
        <v>838.033</v>
      </c>
      <c r="M594" s="92">
        <f>(SUBSTITUTE(Audio!M594, "RE-", "", 1))*1</f>
        <v>8.93572</v>
      </c>
      <c r="N594" s="92">
        <f>(SUBSTITUTE(Audio!N594, "RE-", "", 1))*1</f>
        <v>992.765</v>
      </c>
      <c r="O594" s="92">
        <f>(SUBSTITUTE(Audio!O594, "RE-", "", 1))*1</f>
        <v>7.65353</v>
      </c>
      <c r="P594" s="92">
        <f>(SUBSTITUTE(Audio!P594, "RE-", "", 1))*1</f>
        <v>632.436</v>
      </c>
      <c r="Q594" s="92">
        <f>(SUBSTITUTE(Audio!Q594, "RE-", "", 1))*1</f>
        <v>28.4748</v>
      </c>
      <c r="R594" s="92">
        <f>(SUBSTITUTE(Audio!R594, "RE-", "", 1))*1</f>
        <v>85.6768</v>
      </c>
      <c r="S594" s="92">
        <f>(SUBSTITUTE(Audio!S594, "RE-", "", 1))*1</f>
        <v>15.8677</v>
      </c>
      <c r="T594" s="92">
        <f>(SUBSTITUTE(Audio!T594, "RE-", "", 1))*1</f>
        <v>261.393</v>
      </c>
      <c r="U594" s="92">
        <f>(SUBSTITUTE(Audio!U594, "RE-", "", 1))*1</f>
        <v>9.73705</v>
      </c>
      <c r="V594" s="92">
        <f>(SUBSTITUTE(Audio!V594, "RE-", "", 1))*1</f>
        <v>3.47078</v>
      </c>
      <c r="W594" s="92">
        <f>(SUBSTITUTE(Audio!W594, "RE-", "", 1))*1</f>
        <v>0</v>
      </c>
      <c r="X594" s="92">
        <f>(SUBSTITUTE(Audio!X594, "RE-", "", 1))*1</f>
        <v>0</v>
      </c>
      <c r="Y594" s="92">
        <f>(SUBSTITUTE(Audio!Y594, "RE-", "", 1))*1</f>
        <v>0</v>
      </c>
      <c r="Z594" s="92">
        <f>(SUBSTITUTE(Audio!Z594, "RE-", "", 1))*1</f>
        <v>0</v>
      </c>
      <c r="AA594" s="92"/>
      <c r="AB594" s="92"/>
      <c r="AC594" s="92"/>
      <c r="AD594" s="92"/>
      <c r="AE594" s="92"/>
      <c r="AF594" s="92"/>
      <c r="AG594" s="92"/>
      <c r="AH594" s="92"/>
      <c r="AI594" s="92"/>
      <c r="AJ594" s="92"/>
      <c r="AK594" s="92"/>
      <c r="AL594" s="92"/>
      <c r="AM594" s="92"/>
      <c r="AN594" s="92"/>
      <c r="AO594" s="92"/>
      <c r="AP594" s="92"/>
      <c r="AQ594" s="92"/>
      <c r="AR594" s="92"/>
      <c r="AS594" s="92"/>
      <c r="AT594" s="92"/>
      <c r="AU594" s="92"/>
      <c r="AV594" s="92"/>
      <c r="AW594" s="92"/>
      <c r="AX594" s="92"/>
      <c r="AY594" s="92"/>
      <c r="AZ594" s="92"/>
      <c r="BA594" s="92"/>
      <c r="BB594" s="92"/>
      <c r="BC594" s="92"/>
      <c r="BD594" s="92"/>
      <c r="BE594" s="92"/>
      <c r="BF594" s="92"/>
      <c r="BG594" s="92"/>
      <c r="BH594" s="92"/>
      <c r="BI594" s="92"/>
      <c r="BJ594" s="92"/>
      <c r="BK594" s="92"/>
      <c r="BL594" s="92"/>
      <c r="BM594" s="92"/>
      <c r="BN594" s="92"/>
      <c r="BO594" s="92"/>
      <c r="BP594" s="92"/>
      <c r="BQ594" s="92"/>
      <c r="BR594" s="92"/>
      <c r="BS594" s="92"/>
      <c r="BT594" s="92"/>
      <c r="BU594" s="92"/>
      <c r="BV594" s="92"/>
      <c r="BW594" s="92"/>
      <c r="BX594" s="92"/>
      <c r="BY594" s="92"/>
      <c r="BZ594" s="92"/>
      <c r="CA594" s="92"/>
      <c r="CB594" s="92"/>
      <c r="CC594" s="92"/>
      <c r="CD594" s="92"/>
      <c r="CE594" s="92"/>
      <c r="CF594" s="92"/>
      <c r="CG594" s="92"/>
      <c r="CH594" s="92"/>
      <c r="CI594" s="92"/>
      <c r="CJ594" s="92"/>
      <c r="CK594" s="92"/>
      <c r="CL594" s="92"/>
      <c r="CM594" s="92"/>
      <c r="CN594" s="92"/>
      <c r="CO594" s="92"/>
      <c r="CP594" s="92"/>
      <c r="CQ594" s="92"/>
      <c r="CR594" s="92"/>
      <c r="CS594" s="92"/>
      <c r="CT594" s="92"/>
      <c r="CU594" s="92"/>
      <c r="CV594" s="92"/>
      <c r="CW594" s="92"/>
      <c r="CX594" s="92"/>
      <c r="CY594" s="92"/>
      <c r="CZ594" s="92"/>
      <c r="DA594" s="92"/>
      <c r="DB594" s="92"/>
      <c r="DC594" s="92"/>
      <c r="DD594" s="92"/>
      <c r="DE594" s="92"/>
      <c r="DF594" s="92"/>
      <c r="DG594" s="92"/>
      <c r="DH594" s="92"/>
      <c r="DI594" s="92"/>
      <c r="DJ594" s="92"/>
      <c r="DK594" s="92"/>
      <c r="DL594" s="92"/>
      <c r="DM594" s="92"/>
      <c r="DN594" s="92"/>
      <c r="DO594" s="92"/>
      <c r="DP594" s="92"/>
      <c r="DQ594" s="92"/>
      <c r="DR594" s="92"/>
      <c r="DS594" s="92"/>
      <c r="DT594" s="92"/>
      <c r="DU594" s="92"/>
      <c r="DV594" s="92"/>
      <c r="DW594" s="92"/>
      <c r="DX594" s="92"/>
      <c r="DY594" s="92"/>
      <c r="DZ594" s="92"/>
      <c r="EA594" s="92"/>
      <c r="EB594" s="92"/>
      <c r="EC594" s="92"/>
      <c r="ED594" s="92"/>
      <c r="EE594" s="92"/>
      <c r="EF594" s="92"/>
      <c r="EG594" s="92"/>
      <c r="EH594" s="92"/>
      <c r="EI594" s="92"/>
      <c r="EJ594" s="92"/>
      <c r="EK594" s="92"/>
      <c r="EL594" s="92"/>
      <c r="EM594" s="92"/>
      <c r="EN594" s="92"/>
      <c r="EO594" s="92"/>
      <c r="EP594" s="92"/>
      <c r="EQ594" s="92"/>
      <c r="ER594" s="92"/>
      <c r="ES594" s="92"/>
      <c r="ET594" s="92"/>
      <c r="EU594" s="92"/>
      <c r="EV594" s="92"/>
      <c r="EW594" s="92"/>
      <c r="EX594" s="92"/>
      <c r="EY594" s="92"/>
      <c r="EZ594" s="92"/>
      <c r="FA594" s="92"/>
      <c r="FB594" s="92"/>
      <c r="FC594" s="92"/>
      <c r="FD594" s="92"/>
      <c r="FE594" s="92"/>
      <c r="FF594" s="92"/>
      <c r="FG594" s="92"/>
      <c r="FH594" s="92"/>
    </row>
    <row r="595">
      <c r="A595" s="45" t="s">
        <v>28</v>
      </c>
      <c r="B595" s="45" t="s">
        <v>100</v>
      </c>
      <c r="C595" s="46" t="str">
        <f>HYPERLINK("https://docs.google.com/spreadsheets/d/1Zzv0IvFr_K0xvmGP6mdakPUpZwt6YNUu/edit?usp=share_link&amp;ouid=106501987799020758802&amp;rtpof=true&amp;sd=true", "Raw Delivered")</f>
        <v>Raw Delivered</v>
      </c>
      <c r="D595" s="100">
        <f t="shared" si="1"/>
        <v>6005.507819</v>
      </c>
      <c r="E595" s="92">
        <f>(SUBSTITUTE(Audio!E595, "RE-", "", 1))*1</f>
        <v>0</v>
      </c>
      <c r="F595" s="92">
        <f>(SUBSTITUTE(Audio!F595, "RE-", "", 1))*1</f>
        <v>309.5458271</v>
      </c>
      <c r="G595" s="92">
        <f>(SUBSTITUTE(Audio!G595, "RE-", "", 1))*1</f>
        <v>0</v>
      </c>
      <c r="H595" s="92">
        <f>(SUBSTITUTE(Audio!H595, "RE-", "", 1))*1</f>
        <v>92.27475833</v>
      </c>
      <c r="I595" s="92">
        <f>(SUBSTITUTE(Audio!I595, "RE-", "", 1))*1</f>
        <v>0</v>
      </c>
      <c r="J595" s="92">
        <f>(SUBSTITUTE(Audio!J595, "RE-", "", 1))*1</f>
        <v>88.45532292</v>
      </c>
      <c r="K595" s="92">
        <f>(SUBSTITUTE(Audio!K595, "RE-", "", 1))*1</f>
        <v>0</v>
      </c>
      <c r="L595" s="92">
        <f>(SUBSTITUTE(Audio!L595, "RE-", "", 1))*1</f>
        <v>573.4465979</v>
      </c>
      <c r="M595" s="92">
        <f>(SUBSTITUTE(Audio!M595, "RE-", "", 1))*1</f>
        <v>0</v>
      </c>
      <c r="N595" s="92">
        <f>(SUBSTITUTE(Audio!N595, "RE-", "", 1))*1</f>
        <v>1883.789059</v>
      </c>
      <c r="O595" s="92">
        <f>(SUBSTITUTE(Audio!O595, "RE-", "", 1))*1</f>
        <v>0</v>
      </c>
      <c r="P595" s="92">
        <f>(SUBSTITUTE(Audio!P595, "RE-", "", 1))*1</f>
        <v>1256.73606</v>
      </c>
      <c r="Q595" s="92">
        <f>(SUBSTITUTE(Audio!Q595, "RE-", "", 1))*1</f>
        <v>0</v>
      </c>
      <c r="R595" s="92">
        <f>(SUBSTITUTE(Audio!R595, "RE-", "", 1))*1</f>
        <v>1238.603933</v>
      </c>
      <c r="S595" s="92">
        <f>(SUBSTITUTE(Audio!S595, "RE-", "", 1))*1</f>
        <v>0</v>
      </c>
      <c r="T595" s="92">
        <f>(SUBSTITUTE(Audio!T595, "RE-", "", 1))*1</f>
        <v>562.6562604</v>
      </c>
      <c r="U595" s="92">
        <f>(SUBSTITUTE(Audio!U595, "RE-", "", 1))*1</f>
        <v>0</v>
      </c>
      <c r="V595" s="92">
        <f>(SUBSTITUTE(Audio!V595, "RE-", "", 1))*1</f>
        <v>0</v>
      </c>
      <c r="W595" s="92">
        <f>(SUBSTITUTE(Audio!W595, "RE-", "", 1))*1</f>
        <v>0</v>
      </c>
      <c r="X595" s="92">
        <f>(SUBSTITUTE(Audio!X595, "RE-", "", 1))*1</f>
        <v>0</v>
      </c>
      <c r="Y595" s="92">
        <f>(SUBSTITUTE(Audio!Y595, "RE-", "", 1))*1</f>
        <v>0</v>
      </c>
      <c r="Z595" s="92">
        <f>(SUBSTITUTE(Audio!Z595, "RE-", "", 1))*1</f>
        <v>0</v>
      </c>
      <c r="AA595" s="92"/>
      <c r="AB595" s="92"/>
      <c r="AC595" s="92"/>
      <c r="AD595" s="92"/>
      <c r="AE595" s="92"/>
      <c r="AF595" s="92"/>
      <c r="AG595" s="92"/>
      <c r="AH595" s="92"/>
      <c r="AI595" s="92"/>
      <c r="AJ595" s="92"/>
      <c r="AK595" s="92"/>
      <c r="AL595" s="92"/>
      <c r="AM595" s="92"/>
      <c r="AN595" s="92"/>
      <c r="AO595" s="92"/>
      <c r="AP595" s="92"/>
      <c r="AQ595" s="92"/>
      <c r="AR595" s="92"/>
      <c r="AS595" s="92"/>
      <c r="AT595" s="92"/>
      <c r="AU595" s="92"/>
      <c r="AV595" s="92"/>
      <c r="AW595" s="92"/>
      <c r="AX595" s="92"/>
      <c r="AY595" s="92"/>
      <c r="AZ595" s="92"/>
      <c r="BA595" s="92"/>
      <c r="BB595" s="92"/>
      <c r="BC595" s="92"/>
      <c r="BD595" s="92"/>
      <c r="BE595" s="92"/>
      <c r="BF595" s="92"/>
      <c r="BG595" s="92"/>
      <c r="BH595" s="92"/>
      <c r="BI595" s="92"/>
      <c r="BJ595" s="92"/>
      <c r="BK595" s="92"/>
      <c r="BL595" s="92"/>
      <c r="BM595" s="92"/>
      <c r="BN595" s="92"/>
      <c r="BO595" s="92"/>
      <c r="BP595" s="92"/>
      <c r="BQ595" s="92"/>
      <c r="BR595" s="92"/>
      <c r="BS595" s="92"/>
      <c r="BT595" s="92"/>
      <c r="BU595" s="92"/>
      <c r="BV595" s="92"/>
      <c r="BW595" s="92"/>
      <c r="BX595" s="92"/>
      <c r="BY595" s="92"/>
      <c r="BZ595" s="92"/>
      <c r="CA595" s="92"/>
      <c r="CB595" s="92"/>
      <c r="CC595" s="92"/>
      <c r="CD595" s="92"/>
      <c r="CE595" s="92"/>
      <c r="CF595" s="92"/>
      <c r="CG595" s="92"/>
      <c r="CH595" s="92"/>
      <c r="CI595" s="92"/>
      <c r="CJ595" s="92"/>
      <c r="CK595" s="92"/>
      <c r="CL595" s="92"/>
      <c r="CM595" s="92"/>
      <c r="CN595" s="92"/>
      <c r="CO595" s="92"/>
      <c r="CP595" s="92"/>
      <c r="CQ595" s="92"/>
      <c r="CR595" s="92"/>
      <c r="CS595" s="92"/>
      <c r="CT595" s="92"/>
      <c r="CU595" s="92"/>
      <c r="CV595" s="92"/>
      <c r="CW595" s="92"/>
      <c r="CX595" s="92"/>
      <c r="CY595" s="92"/>
      <c r="CZ595" s="92"/>
      <c r="DA595" s="92"/>
      <c r="DB595" s="92"/>
      <c r="DC595" s="92"/>
      <c r="DD595" s="92"/>
      <c r="DE595" s="92"/>
      <c r="DF595" s="92"/>
      <c r="DG595" s="92"/>
      <c r="DH595" s="92"/>
      <c r="DI595" s="92"/>
      <c r="DJ595" s="92"/>
      <c r="DK595" s="92"/>
      <c r="DL595" s="92"/>
      <c r="DM595" s="92"/>
      <c r="DN595" s="92"/>
      <c r="DO595" s="92"/>
      <c r="DP595" s="92"/>
      <c r="DQ595" s="92"/>
      <c r="DR595" s="92"/>
      <c r="DS595" s="92"/>
      <c r="DT595" s="92"/>
      <c r="DU595" s="92"/>
      <c r="DV595" s="92"/>
      <c r="DW595" s="92"/>
      <c r="DX595" s="92"/>
      <c r="DY595" s="92"/>
      <c r="DZ595" s="92"/>
      <c r="EA595" s="92"/>
      <c r="EB595" s="92"/>
      <c r="EC595" s="92"/>
      <c r="ED595" s="92"/>
      <c r="EE595" s="92"/>
      <c r="EF595" s="92"/>
      <c r="EG595" s="92"/>
      <c r="EH595" s="92"/>
      <c r="EI595" s="92"/>
      <c r="EJ595" s="92"/>
      <c r="EK595" s="92"/>
      <c r="EL595" s="92"/>
      <c r="EM595" s="92"/>
      <c r="EN595" s="92"/>
      <c r="EO595" s="92"/>
      <c r="EP595" s="92"/>
      <c r="EQ595" s="92"/>
      <c r="ER595" s="92"/>
      <c r="ES595" s="92"/>
      <c r="ET595" s="92"/>
      <c r="EU595" s="92"/>
      <c r="EV595" s="92"/>
      <c r="EW595" s="92"/>
      <c r="EX595" s="92"/>
      <c r="EY595" s="92"/>
      <c r="EZ595" s="92"/>
      <c r="FA595" s="92"/>
      <c r="FB595" s="92"/>
      <c r="FC595" s="92"/>
      <c r="FD595" s="92"/>
      <c r="FE595" s="92"/>
      <c r="FF595" s="92"/>
      <c r="FG595" s="92"/>
      <c r="FH595" s="92"/>
    </row>
    <row r="596">
      <c r="A596" s="47" t="s">
        <v>28</v>
      </c>
      <c r="B596" s="47" t="s">
        <v>100</v>
      </c>
      <c r="C596" s="47" t="s">
        <v>9</v>
      </c>
      <c r="D596" s="101">
        <f t="shared" si="1"/>
        <v>6005.507819</v>
      </c>
      <c r="E596" s="92">
        <f>(SUBSTITUTE(Audio!E596, "RE-", "", 1))*1</f>
        <v>0</v>
      </c>
      <c r="F596" s="92">
        <f>(SUBSTITUTE(Audio!F596, "RE-", "", 1))*1</f>
        <v>309.5458271</v>
      </c>
      <c r="G596" s="92">
        <f>(SUBSTITUTE(Audio!G596, "RE-", "", 1))*1</f>
        <v>0</v>
      </c>
      <c r="H596" s="92">
        <f>(SUBSTITUTE(Audio!H596, "RE-", "", 1))*1</f>
        <v>92.27475833</v>
      </c>
      <c r="I596" s="92">
        <f>(SUBSTITUTE(Audio!I596, "RE-", "", 1))*1</f>
        <v>0</v>
      </c>
      <c r="J596" s="92">
        <f>(SUBSTITUTE(Audio!J596, "RE-", "", 1))*1</f>
        <v>88.45532292</v>
      </c>
      <c r="K596" s="92">
        <f>(SUBSTITUTE(Audio!K596, "RE-", "", 1))*1</f>
        <v>0</v>
      </c>
      <c r="L596" s="92">
        <f>(SUBSTITUTE(Audio!L596, "RE-", "", 1))*1</f>
        <v>573.4465979</v>
      </c>
      <c r="M596" s="92">
        <f>(SUBSTITUTE(Audio!M596, "RE-", "", 1))*1</f>
        <v>0</v>
      </c>
      <c r="N596" s="92">
        <f>(SUBSTITUTE(Audio!N596, "RE-", "", 1))*1</f>
        <v>1883.789059</v>
      </c>
      <c r="O596" s="92">
        <f>(SUBSTITUTE(Audio!O596, "RE-", "", 1))*1</f>
        <v>0</v>
      </c>
      <c r="P596" s="92">
        <f>(SUBSTITUTE(Audio!P596, "RE-", "", 1))*1</f>
        <v>1256.73606</v>
      </c>
      <c r="Q596" s="92">
        <f>(SUBSTITUTE(Audio!Q596, "RE-", "", 1))*1</f>
        <v>0</v>
      </c>
      <c r="R596" s="92">
        <f>(SUBSTITUTE(Audio!R596, "RE-", "", 1))*1</f>
        <v>1238.603933</v>
      </c>
      <c r="S596" s="92">
        <f>(SUBSTITUTE(Audio!S596, "RE-", "", 1))*1</f>
        <v>0</v>
      </c>
      <c r="T596" s="92">
        <f>(SUBSTITUTE(Audio!T596, "RE-", "", 1))*1</f>
        <v>562.6562604</v>
      </c>
      <c r="U596" s="92">
        <f>(SUBSTITUTE(Audio!U596, "RE-", "", 1))*1</f>
        <v>0</v>
      </c>
      <c r="V596" s="92">
        <f>(SUBSTITUTE(Audio!V596, "RE-", "", 1))*1</f>
        <v>0</v>
      </c>
      <c r="W596" s="92">
        <f>(SUBSTITUTE(Audio!W596, "RE-", "", 1))*1</f>
        <v>0</v>
      </c>
      <c r="X596" s="92">
        <f>(SUBSTITUTE(Audio!X596, "RE-", "", 1))*1</f>
        <v>0</v>
      </c>
      <c r="Y596" s="92">
        <f>(SUBSTITUTE(Audio!Y596, "RE-", "", 1))*1</f>
        <v>0</v>
      </c>
      <c r="Z596" s="92">
        <f>(SUBSTITUTE(Audio!Z596, "RE-", "", 1))*1</f>
        <v>0</v>
      </c>
      <c r="AA596" s="92"/>
      <c r="AB596" s="92"/>
      <c r="AC596" s="92"/>
      <c r="AD596" s="92"/>
      <c r="AE596" s="92"/>
      <c r="AF596" s="92"/>
      <c r="AG596" s="92"/>
      <c r="AH596" s="92"/>
      <c r="AI596" s="92"/>
      <c r="AJ596" s="92"/>
      <c r="AK596" s="92"/>
      <c r="AL596" s="92"/>
      <c r="AM596" s="92"/>
      <c r="AN596" s="92"/>
      <c r="AO596" s="92"/>
      <c r="AP596" s="92"/>
      <c r="AQ596" s="92"/>
      <c r="AR596" s="92"/>
      <c r="AS596" s="92"/>
      <c r="AT596" s="92"/>
      <c r="AU596" s="92"/>
      <c r="AV596" s="92"/>
      <c r="AW596" s="92"/>
      <c r="AX596" s="92"/>
      <c r="AY596" s="92"/>
      <c r="AZ596" s="92"/>
      <c r="BA596" s="92"/>
      <c r="BB596" s="92"/>
      <c r="BC596" s="92"/>
      <c r="BD596" s="92"/>
      <c r="BE596" s="92"/>
      <c r="BF596" s="92"/>
      <c r="BG596" s="92"/>
      <c r="BH596" s="92"/>
      <c r="BI596" s="92"/>
      <c r="BJ596" s="92"/>
      <c r="BK596" s="92"/>
      <c r="BL596" s="92"/>
      <c r="BM596" s="92"/>
      <c r="BN596" s="92"/>
      <c r="BO596" s="92"/>
      <c r="BP596" s="92"/>
      <c r="BQ596" s="92"/>
      <c r="BR596" s="92"/>
      <c r="BS596" s="92"/>
      <c r="BT596" s="92"/>
      <c r="BU596" s="92"/>
      <c r="BV596" s="92"/>
      <c r="BW596" s="92"/>
      <c r="BX596" s="92"/>
      <c r="BY596" s="92"/>
      <c r="BZ596" s="92"/>
      <c r="CA596" s="92"/>
      <c r="CB596" s="92"/>
      <c r="CC596" s="92"/>
      <c r="CD596" s="92"/>
      <c r="CE596" s="92"/>
      <c r="CF596" s="92"/>
      <c r="CG596" s="92"/>
      <c r="CH596" s="92"/>
      <c r="CI596" s="92"/>
      <c r="CJ596" s="92"/>
      <c r="CK596" s="92"/>
      <c r="CL596" s="92"/>
      <c r="CM596" s="92"/>
      <c r="CN596" s="92"/>
      <c r="CO596" s="92"/>
      <c r="CP596" s="92"/>
      <c r="CQ596" s="92"/>
      <c r="CR596" s="92"/>
      <c r="CS596" s="92"/>
      <c r="CT596" s="92"/>
      <c r="CU596" s="92"/>
      <c r="CV596" s="92"/>
      <c r="CW596" s="92"/>
      <c r="CX596" s="92"/>
      <c r="CY596" s="92"/>
      <c r="CZ596" s="92"/>
      <c r="DA596" s="92"/>
      <c r="DB596" s="92"/>
      <c r="DC596" s="92"/>
      <c r="DD596" s="92"/>
      <c r="DE596" s="92"/>
      <c r="DF596" s="92"/>
      <c r="DG596" s="92"/>
      <c r="DH596" s="92"/>
      <c r="DI596" s="92"/>
      <c r="DJ596" s="92"/>
      <c r="DK596" s="92"/>
      <c r="DL596" s="92"/>
      <c r="DM596" s="92"/>
      <c r="DN596" s="92"/>
      <c r="DO596" s="92"/>
      <c r="DP596" s="92"/>
      <c r="DQ596" s="92"/>
      <c r="DR596" s="92"/>
      <c r="DS596" s="92"/>
      <c r="DT596" s="92"/>
      <c r="DU596" s="92"/>
      <c r="DV596" s="92"/>
      <c r="DW596" s="92"/>
      <c r="DX596" s="92"/>
      <c r="DY596" s="92"/>
      <c r="DZ596" s="92"/>
      <c r="EA596" s="92"/>
      <c r="EB596" s="92"/>
      <c r="EC596" s="92"/>
      <c r="ED596" s="92"/>
      <c r="EE596" s="92"/>
      <c r="EF596" s="92"/>
      <c r="EG596" s="92"/>
      <c r="EH596" s="92"/>
      <c r="EI596" s="92"/>
      <c r="EJ596" s="92"/>
      <c r="EK596" s="92"/>
      <c r="EL596" s="92"/>
      <c r="EM596" s="92"/>
      <c r="EN596" s="92"/>
      <c r="EO596" s="92"/>
      <c r="EP596" s="92"/>
      <c r="EQ596" s="92"/>
      <c r="ER596" s="92"/>
      <c r="ES596" s="92"/>
      <c r="ET596" s="92"/>
      <c r="EU596" s="92"/>
      <c r="EV596" s="92"/>
      <c r="EW596" s="92"/>
      <c r="EX596" s="92"/>
      <c r="EY596" s="92"/>
      <c r="EZ596" s="92"/>
      <c r="FA596" s="92"/>
      <c r="FB596" s="92"/>
      <c r="FC596" s="92"/>
      <c r="FD596" s="92"/>
      <c r="FE596" s="92"/>
      <c r="FF596" s="92"/>
      <c r="FG596" s="92"/>
      <c r="FH596" s="92"/>
    </row>
    <row r="597">
      <c r="A597" s="47" t="s">
        <v>28</v>
      </c>
      <c r="B597" s="47" t="s">
        <v>100</v>
      </c>
      <c r="C597" s="47" t="s">
        <v>10</v>
      </c>
      <c r="D597" s="101">
        <f t="shared" si="1"/>
        <v>736.3052198</v>
      </c>
      <c r="E597" s="92">
        <f>(SUBSTITUTE(Audio!E597, "RE-", "", 1))*1</f>
        <v>0</v>
      </c>
      <c r="F597" s="92">
        <f>(SUBSTITUTE(Audio!F597, "RE-", "", 1))*1</f>
        <v>0</v>
      </c>
      <c r="G597" s="92">
        <f>(SUBSTITUTE(Audio!G597, "RE-", "", 1))*1</f>
        <v>54.60076042</v>
      </c>
      <c r="H597" s="92">
        <f>(SUBSTITUTE(Audio!H597, "RE-", "", 1))*1</f>
        <v>0</v>
      </c>
      <c r="I597" s="92">
        <f>(SUBSTITUTE(Audio!I597, "RE-", "", 1))*1</f>
        <v>15.69268958</v>
      </c>
      <c r="J597" s="92">
        <f>(SUBSTITUTE(Audio!J597, "RE-", "", 1))*1</f>
        <v>0</v>
      </c>
      <c r="K597" s="92">
        <f>(SUBSTITUTE(Audio!K597, "RE-", "", 1))*1</f>
        <v>7.691266667</v>
      </c>
      <c r="L597" s="92">
        <f>(SUBSTITUTE(Audio!L597, "RE-", "", 1))*1</f>
        <v>0</v>
      </c>
      <c r="M597" s="92">
        <f>(SUBSTITUTE(Audio!M597, "RE-", "", 1))*1</f>
        <v>20.75695625</v>
      </c>
      <c r="N597" s="92">
        <f>(SUBSTITUTE(Audio!N597, "RE-", "", 1))*1</f>
        <v>0</v>
      </c>
      <c r="O597" s="92">
        <f>(SUBSTITUTE(Audio!O597, "RE-", "", 1))*1</f>
        <v>241.7258844</v>
      </c>
      <c r="P597" s="92">
        <f>(SUBSTITUTE(Audio!P597, "RE-", "", 1))*1</f>
        <v>0</v>
      </c>
      <c r="Q597" s="92">
        <f>(SUBSTITUTE(Audio!Q597, "RE-", "", 1))*1</f>
        <v>185.8667198</v>
      </c>
      <c r="R597" s="92">
        <f>(SUBSTITUTE(Audio!R597, "RE-", "", 1))*1</f>
        <v>0</v>
      </c>
      <c r="S597" s="92">
        <f>(SUBSTITUTE(Audio!S597, "RE-", "", 1))*1</f>
        <v>97.13474167</v>
      </c>
      <c r="T597" s="92">
        <f>(SUBSTITUTE(Audio!T597, "RE-", "", 1))*1</f>
        <v>0</v>
      </c>
      <c r="U597" s="92">
        <f>(SUBSTITUTE(Audio!U597, "RE-", "", 1))*1</f>
        <v>89.91151458</v>
      </c>
      <c r="V597" s="92">
        <f>(SUBSTITUTE(Audio!V597, "RE-", "", 1))*1</f>
        <v>22.92468646</v>
      </c>
      <c r="W597" s="92">
        <f>(SUBSTITUTE(Audio!W597, "RE-", "", 1))*1</f>
        <v>0</v>
      </c>
      <c r="X597" s="92">
        <f>(SUBSTITUTE(Audio!X597, "RE-", "", 1))*1</f>
        <v>0</v>
      </c>
      <c r="Y597" s="92">
        <f>(SUBSTITUTE(Audio!Y597, "RE-", "", 1))*1</f>
        <v>0</v>
      </c>
      <c r="Z597" s="92">
        <f>(SUBSTITUTE(Audio!Z597, "RE-", "", 1))*1</f>
        <v>0</v>
      </c>
      <c r="AA597" s="92"/>
      <c r="AB597" s="92"/>
      <c r="AC597" s="92"/>
      <c r="AD597" s="92"/>
      <c r="AE597" s="92"/>
      <c r="AF597" s="92"/>
      <c r="AG597" s="92"/>
      <c r="AH597" s="92"/>
      <c r="AI597" s="92"/>
      <c r="AJ597" s="92"/>
      <c r="AK597" s="92"/>
      <c r="AL597" s="92"/>
      <c r="AM597" s="92"/>
      <c r="AN597" s="92"/>
      <c r="AO597" s="92"/>
      <c r="AP597" s="92"/>
      <c r="AQ597" s="92"/>
      <c r="AR597" s="92"/>
      <c r="AS597" s="92"/>
      <c r="AT597" s="92"/>
      <c r="AU597" s="92"/>
      <c r="AV597" s="92"/>
      <c r="AW597" s="92"/>
      <c r="AX597" s="92"/>
      <c r="AY597" s="92"/>
      <c r="AZ597" s="92"/>
      <c r="BA597" s="92"/>
      <c r="BB597" s="92"/>
      <c r="BC597" s="92"/>
      <c r="BD597" s="92"/>
      <c r="BE597" s="92"/>
      <c r="BF597" s="92"/>
      <c r="BG597" s="92"/>
      <c r="BH597" s="92"/>
      <c r="BI597" s="92"/>
      <c r="BJ597" s="92"/>
      <c r="BK597" s="92"/>
      <c r="BL597" s="92"/>
      <c r="BM597" s="92"/>
      <c r="BN597" s="92"/>
      <c r="BO597" s="92"/>
      <c r="BP597" s="92"/>
      <c r="BQ597" s="92"/>
      <c r="BR597" s="92"/>
      <c r="BS597" s="92"/>
      <c r="BT597" s="92"/>
      <c r="BU597" s="92"/>
      <c r="BV597" s="92"/>
      <c r="BW597" s="92"/>
      <c r="BX597" s="92"/>
      <c r="BY597" s="92"/>
      <c r="BZ597" s="92"/>
      <c r="CA597" s="92"/>
      <c r="CB597" s="92"/>
      <c r="CC597" s="92"/>
      <c r="CD597" s="92"/>
      <c r="CE597" s="92"/>
      <c r="CF597" s="92"/>
      <c r="CG597" s="92"/>
      <c r="CH597" s="92"/>
      <c r="CI597" s="92"/>
      <c r="CJ597" s="92"/>
      <c r="CK597" s="92"/>
      <c r="CL597" s="92"/>
      <c r="CM597" s="92"/>
      <c r="CN597" s="92"/>
      <c r="CO597" s="92"/>
      <c r="CP597" s="92"/>
      <c r="CQ597" s="92"/>
      <c r="CR597" s="92"/>
      <c r="CS597" s="92"/>
      <c r="CT597" s="92"/>
      <c r="CU597" s="92"/>
      <c r="CV597" s="92"/>
      <c r="CW597" s="92"/>
      <c r="CX597" s="92"/>
      <c r="CY597" s="92"/>
      <c r="CZ597" s="92"/>
      <c r="DA597" s="92"/>
      <c r="DB597" s="92"/>
      <c r="DC597" s="92"/>
      <c r="DD597" s="92"/>
      <c r="DE597" s="92"/>
      <c r="DF597" s="92"/>
      <c r="DG597" s="92"/>
      <c r="DH597" s="92"/>
      <c r="DI597" s="92"/>
      <c r="DJ597" s="92"/>
      <c r="DK597" s="92"/>
      <c r="DL597" s="92"/>
      <c r="DM597" s="92"/>
      <c r="DN597" s="92"/>
      <c r="DO597" s="92"/>
      <c r="DP597" s="92"/>
      <c r="DQ597" s="92"/>
      <c r="DR597" s="92"/>
      <c r="DS597" s="92"/>
      <c r="DT597" s="92"/>
      <c r="DU597" s="92"/>
      <c r="DV597" s="92"/>
      <c r="DW597" s="92"/>
      <c r="DX597" s="92"/>
      <c r="DY597" s="92"/>
      <c r="DZ597" s="92"/>
      <c r="EA597" s="92"/>
      <c r="EB597" s="92"/>
      <c r="EC597" s="92"/>
      <c r="ED597" s="92"/>
      <c r="EE597" s="92"/>
      <c r="EF597" s="92"/>
      <c r="EG597" s="92"/>
      <c r="EH597" s="92"/>
      <c r="EI597" s="92"/>
      <c r="EJ597" s="92"/>
      <c r="EK597" s="92"/>
      <c r="EL597" s="92"/>
      <c r="EM597" s="92"/>
      <c r="EN597" s="92"/>
      <c r="EO597" s="92"/>
      <c r="EP597" s="92"/>
      <c r="EQ597" s="92"/>
      <c r="ER597" s="92"/>
      <c r="ES597" s="92"/>
      <c r="ET597" s="92"/>
      <c r="EU597" s="92"/>
      <c r="EV597" s="92"/>
      <c r="EW597" s="92"/>
      <c r="EX597" s="92"/>
      <c r="EY597" s="92"/>
      <c r="EZ597" s="92"/>
      <c r="FA597" s="92"/>
      <c r="FB597" s="92"/>
      <c r="FC597" s="92"/>
      <c r="FD597" s="92"/>
      <c r="FE597" s="92"/>
      <c r="FF597" s="92"/>
      <c r="FG597" s="92"/>
      <c r="FH597" s="92"/>
    </row>
    <row r="598">
      <c r="A598" s="47" t="s">
        <v>28</v>
      </c>
      <c r="B598" s="47" t="s">
        <v>100</v>
      </c>
      <c r="C598" s="47" t="s">
        <v>11</v>
      </c>
      <c r="D598" s="101">
        <f t="shared" si="1"/>
        <v>736.3052198</v>
      </c>
      <c r="E598" s="92">
        <f>(SUBSTITUTE(Audio!E598, "RE-", "", 1))*1</f>
        <v>0</v>
      </c>
      <c r="F598" s="92">
        <f>(SUBSTITUTE(Audio!F598, "RE-", "", 1))*1</f>
        <v>0</v>
      </c>
      <c r="G598" s="92">
        <f>(SUBSTITUTE(Audio!G598, "RE-", "", 1))*1</f>
        <v>54.60076042</v>
      </c>
      <c r="H598" s="92">
        <f>(SUBSTITUTE(Audio!H598, "RE-", "", 1))*1</f>
        <v>0</v>
      </c>
      <c r="I598" s="92">
        <f>(SUBSTITUTE(Audio!I598, "RE-", "", 1))*1</f>
        <v>15.69268958</v>
      </c>
      <c r="J598" s="92">
        <f>(SUBSTITUTE(Audio!J598, "RE-", "", 1))*1</f>
        <v>0</v>
      </c>
      <c r="K598" s="92">
        <f>(SUBSTITUTE(Audio!K598, "RE-", "", 1))*1</f>
        <v>7.691266667</v>
      </c>
      <c r="L598" s="92">
        <f>(SUBSTITUTE(Audio!L598, "RE-", "", 1))*1</f>
        <v>0</v>
      </c>
      <c r="M598" s="92">
        <f>(SUBSTITUTE(Audio!M598, "RE-", "", 1))*1</f>
        <v>20.75695625</v>
      </c>
      <c r="N598" s="92">
        <f>(SUBSTITUTE(Audio!N598, "RE-", "", 1))*1</f>
        <v>0</v>
      </c>
      <c r="O598" s="92">
        <f>(SUBSTITUTE(Audio!O598, "RE-", "", 1))*1</f>
        <v>241.7258844</v>
      </c>
      <c r="P598" s="92">
        <f>(SUBSTITUTE(Audio!P598, "RE-", "", 1))*1</f>
        <v>0</v>
      </c>
      <c r="Q598" s="92">
        <f>(SUBSTITUTE(Audio!Q598, "RE-", "", 1))*1</f>
        <v>185.8667198</v>
      </c>
      <c r="R598" s="92">
        <f>(SUBSTITUTE(Audio!R598, "RE-", "", 1))*1</f>
        <v>0</v>
      </c>
      <c r="S598" s="92">
        <f>(SUBSTITUTE(Audio!S598, "RE-", "", 1))*1</f>
        <v>97.13474167</v>
      </c>
      <c r="T598" s="92">
        <f>(SUBSTITUTE(Audio!T598, "RE-", "", 1))*1</f>
        <v>0</v>
      </c>
      <c r="U598" s="92">
        <f>(SUBSTITUTE(Audio!U598, "RE-", "", 1))*1</f>
        <v>89.91151458</v>
      </c>
      <c r="V598" s="92">
        <f>(SUBSTITUTE(Audio!V598, "RE-", "", 1))*1</f>
        <v>22.92468646</v>
      </c>
      <c r="W598" s="92">
        <f>(SUBSTITUTE(Audio!W598, "RE-", "", 1))*1</f>
        <v>0</v>
      </c>
      <c r="X598" s="92">
        <f>(SUBSTITUTE(Audio!X598, "RE-", "", 1))*1</f>
        <v>0</v>
      </c>
      <c r="Y598" s="92">
        <f>(SUBSTITUTE(Audio!Y598, "RE-", "", 1))*1</f>
        <v>0</v>
      </c>
      <c r="Z598" s="92">
        <f>(SUBSTITUTE(Audio!Z598, "RE-", "", 1))*1</f>
        <v>0</v>
      </c>
      <c r="AA598" s="92"/>
      <c r="AB598" s="92"/>
      <c r="AC598" s="92"/>
      <c r="AD598" s="92"/>
      <c r="AE598" s="92"/>
      <c r="AF598" s="92"/>
      <c r="AG598" s="92"/>
      <c r="AH598" s="92"/>
      <c r="AI598" s="92"/>
      <c r="AJ598" s="92"/>
      <c r="AK598" s="92"/>
      <c r="AL598" s="92"/>
      <c r="AM598" s="92"/>
      <c r="AN598" s="92"/>
      <c r="AO598" s="92"/>
      <c r="AP598" s="92"/>
      <c r="AQ598" s="92"/>
      <c r="AR598" s="92"/>
      <c r="AS598" s="92"/>
      <c r="AT598" s="92"/>
      <c r="AU598" s="92"/>
      <c r="AV598" s="92"/>
      <c r="AW598" s="92"/>
      <c r="AX598" s="92"/>
      <c r="AY598" s="92"/>
      <c r="AZ598" s="92"/>
      <c r="BA598" s="92"/>
      <c r="BB598" s="92"/>
      <c r="BC598" s="92"/>
      <c r="BD598" s="92"/>
      <c r="BE598" s="92"/>
      <c r="BF598" s="92"/>
      <c r="BG598" s="92"/>
      <c r="BH598" s="92"/>
      <c r="BI598" s="92"/>
      <c r="BJ598" s="92"/>
      <c r="BK598" s="92"/>
      <c r="BL598" s="92"/>
      <c r="BM598" s="92"/>
      <c r="BN598" s="92"/>
      <c r="BO598" s="92"/>
      <c r="BP598" s="92"/>
      <c r="BQ598" s="92"/>
      <c r="BR598" s="92"/>
      <c r="BS598" s="92"/>
      <c r="BT598" s="92"/>
      <c r="BU598" s="92"/>
      <c r="BV598" s="92"/>
      <c r="BW598" s="92"/>
      <c r="BX598" s="92"/>
      <c r="BY598" s="92"/>
      <c r="BZ598" s="92"/>
      <c r="CA598" s="92"/>
      <c r="CB598" s="92"/>
      <c r="CC598" s="92"/>
      <c r="CD598" s="92"/>
      <c r="CE598" s="92"/>
      <c r="CF598" s="92"/>
      <c r="CG598" s="92"/>
      <c r="CH598" s="92"/>
      <c r="CI598" s="92"/>
      <c r="CJ598" s="92"/>
      <c r="CK598" s="92"/>
      <c r="CL598" s="92"/>
      <c r="CM598" s="92"/>
      <c r="CN598" s="92"/>
      <c r="CO598" s="92"/>
      <c r="CP598" s="92"/>
      <c r="CQ598" s="92"/>
      <c r="CR598" s="92"/>
      <c r="CS598" s="92"/>
      <c r="CT598" s="92"/>
      <c r="CU598" s="92"/>
      <c r="CV598" s="92"/>
      <c r="CW598" s="92"/>
      <c r="CX598" s="92"/>
      <c r="CY598" s="92"/>
      <c r="CZ598" s="92"/>
      <c r="DA598" s="92"/>
      <c r="DB598" s="92"/>
      <c r="DC598" s="92"/>
      <c r="DD598" s="92"/>
      <c r="DE598" s="92"/>
      <c r="DF598" s="92"/>
      <c r="DG598" s="92"/>
      <c r="DH598" s="92"/>
      <c r="DI598" s="92"/>
      <c r="DJ598" s="92"/>
      <c r="DK598" s="92"/>
      <c r="DL598" s="92"/>
      <c r="DM598" s="92"/>
      <c r="DN598" s="92"/>
      <c r="DO598" s="92"/>
      <c r="DP598" s="92"/>
      <c r="DQ598" s="92"/>
      <c r="DR598" s="92"/>
      <c r="DS598" s="92"/>
      <c r="DT598" s="92"/>
      <c r="DU598" s="92"/>
      <c r="DV598" s="92"/>
      <c r="DW598" s="92"/>
      <c r="DX598" s="92"/>
      <c r="DY598" s="92"/>
      <c r="DZ598" s="92"/>
      <c r="EA598" s="92"/>
      <c r="EB598" s="92"/>
      <c r="EC598" s="92"/>
      <c r="ED598" s="92"/>
      <c r="EE598" s="92"/>
      <c r="EF598" s="92"/>
      <c r="EG598" s="92"/>
      <c r="EH598" s="92"/>
      <c r="EI598" s="92"/>
      <c r="EJ598" s="92"/>
      <c r="EK598" s="92"/>
      <c r="EL598" s="92"/>
      <c r="EM598" s="92"/>
      <c r="EN598" s="92"/>
      <c r="EO598" s="92"/>
      <c r="EP598" s="92"/>
      <c r="EQ598" s="92"/>
      <c r="ER598" s="92"/>
      <c r="ES598" s="92"/>
      <c r="ET598" s="92"/>
      <c r="EU598" s="92"/>
      <c r="EV598" s="92"/>
      <c r="EW598" s="92"/>
      <c r="EX598" s="92"/>
      <c r="EY598" s="92"/>
      <c r="EZ598" s="92"/>
      <c r="FA598" s="92"/>
      <c r="FB598" s="92"/>
      <c r="FC598" s="92"/>
      <c r="FD598" s="92"/>
      <c r="FE598" s="92"/>
      <c r="FF598" s="92"/>
      <c r="FG598" s="92"/>
      <c r="FH598" s="92"/>
    </row>
    <row r="599">
      <c r="A599" s="47" t="s">
        <v>28</v>
      </c>
      <c r="B599" s="47" t="s">
        <v>100</v>
      </c>
      <c r="C599" s="47" t="s">
        <v>12</v>
      </c>
      <c r="D599" s="101">
        <f t="shared" si="1"/>
        <v>4985.486137</v>
      </c>
      <c r="E599" s="92">
        <f>(SUBSTITUTE(Audio!E599, "RE-", "", 1))*1</f>
        <v>0</v>
      </c>
      <c r="F599" s="92">
        <f>(SUBSTITUTE(Audio!F599, "RE-", "", 1))*1</f>
        <v>218.6346708</v>
      </c>
      <c r="G599" s="92">
        <f>(SUBSTITUTE(Audio!G599, "RE-", "", 1))*1</f>
        <v>1.021647917</v>
      </c>
      <c r="H599" s="92">
        <f>(SUBSTITUTE(Audio!H599, "RE-", "", 1))*1</f>
        <v>81.59420833</v>
      </c>
      <c r="I599" s="92">
        <f>(SUBSTITUTE(Audio!I599, "RE-", "", 1))*1</f>
        <v>0.3302104167</v>
      </c>
      <c r="J599" s="92">
        <f>(SUBSTITUTE(Audio!J599, "RE-", "", 1))*1</f>
        <v>63.8589</v>
      </c>
      <c r="K599" s="92">
        <f>(SUBSTITUTE(Audio!K599, "RE-", "", 1))*1</f>
        <v>0</v>
      </c>
      <c r="L599" s="92">
        <f>(SUBSTITUTE(Audio!L599, "RE-", "", 1))*1</f>
        <v>532.5693365</v>
      </c>
      <c r="M599" s="92">
        <f>(SUBSTITUTE(Audio!M599, "RE-", "", 1))*1</f>
        <v>3.178766667</v>
      </c>
      <c r="N599" s="92">
        <f>(SUBSTITUTE(Audio!N599, "RE-", "", 1))*1</f>
        <v>1078.88335</v>
      </c>
      <c r="O599" s="92">
        <f>(SUBSTITUTE(Audio!O599, "RE-", "", 1))*1</f>
        <v>3.884508333</v>
      </c>
      <c r="P599" s="92">
        <f>(SUBSTITUTE(Audio!P599, "RE-", "", 1))*1</f>
        <v>1147.71902</v>
      </c>
      <c r="Q599" s="92">
        <f>(SUBSTITUTE(Audio!Q599, "RE-", "", 1))*1</f>
        <v>58.67014062</v>
      </c>
      <c r="R599" s="92">
        <f>(SUBSTITUTE(Audio!R599, "RE-", "", 1))*1</f>
        <v>1179.731667</v>
      </c>
      <c r="S599" s="92">
        <f>(SUBSTITUTE(Audio!S599, "RE-", "", 1))*1</f>
        <v>35.89270417</v>
      </c>
      <c r="T599" s="92">
        <f>(SUBSTITUTE(Audio!T599, "RE-", "", 1))*1</f>
        <v>518.8175844</v>
      </c>
      <c r="U599" s="92">
        <f>(SUBSTITUTE(Audio!U599, "RE-", "", 1))*1</f>
        <v>42.07707708</v>
      </c>
      <c r="V599" s="92">
        <f>(SUBSTITUTE(Audio!V599, "RE-", "", 1))*1</f>
        <v>18.62234479</v>
      </c>
      <c r="W599" s="92">
        <f>(SUBSTITUTE(Audio!W599, "RE-", "", 1))*1</f>
        <v>0</v>
      </c>
      <c r="X599" s="92">
        <f>(SUBSTITUTE(Audio!X599, "RE-", "", 1))*1</f>
        <v>0</v>
      </c>
      <c r="Y599" s="92">
        <f>(SUBSTITUTE(Audio!Y599, "RE-", "", 1))*1</f>
        <v>0</v>
      </c>
      <c r="Z599" s="92">
        <f>(SUBSTITUTE(Audio!Z599, "RE-", "", 1))*1</f>
        <v>0</v>
      </c>
      <c r="AA599" s="92"/>
      <c r="AB599" s="92"/>
      <c r="AC599" s="92"/>
      <c r="AD599" s="92"/>
      <c r="AE599" s="92"/>
      <c r="AF599" s="92"/>
      <c r="AG599" s="92"/>
      <c r="AH599" s="92"/>
      <c r="AI599" s="92"/>
      <c r="AJ599" s="92"/>
      <c r="AK599" s="92"/>
      <c r="AL599" s="92"/>
      <c r="AM599" s="92"/>
      <c r="AN599" s="92"/>
      <c r="AO599" s="92"/>
      <c r="AP599" s="92"/>
      <c r="AQ599" s="92"/>
      <c r="AR599" s="92"/>
      <c r="AS599" s="92"/>
      <c r="AT599" s="92"/>
      <c r="AU599" s="92"/>
      <c r="AV599" s="92"/>
      <c r="AW599" s="92"/>
      <c r="AX599" s="92"/>
      <c r="AY599" s="92"/>
      <c r="AZ599" s="92"/>
      <c r="BA599" s="92"/>
      <c r="BB599" s="92"/>
      <c r="BC599" s="92"/>
      <c r="BD599" s="92"/>
      <c r="BE599" s="92"/>
      <c r="BF599" s="92"/>
      <c r="BG599" s="92"/>
      <c r="BH599" s="92"/>
      <c r="BI599" s="92"/>
      <c r="BJ599" s="92"/>
      <c r="BK599" s="92"/>
      <c r="BL599" s="92"/>
      <c r="BM599" s="92"/>
      <c r="BN599" s="92"/>
      <c r="BO599" s="92"/>
      <c r="BP599" s="92"/>
      <c r="BQ599" s="92"/>
      <c r="BR599" s="92"/>
      <c r="BS599" s="92"/>
      <c r="BT599" s="92"/>
      <c r="BU599" s="92"/>
      <c r="BV599" s="92"/>
      <c r="BW599" s="92"/>
      <c r="BX599" s="92"/>
      <c r="BY599" s="92"/>
      <c r="BZ599" s="92"/>
      <c r="CA599" s="92"/>
      <c r="CB599" s="92"/>
      <c r="CC599" s="92"/>
      <c r="CD599" s="92"/>
      <c r="CE599" s="92"/>
      <c r="CF599" s="92"/>
      <c r="CG599" s="92"/>
      <c r="CH599" s="92"/>
      <c r="CI599" s="92"/>
      <c r="CJ599" s="92"/>
      <c r="CK599" s="92"/>
      <c r="CL599" s="92"/>
      <c r="CM599" s="92"/>
      <c r="CN599" s="92"/>
      <c r="CO599" s="92"/>
      <c r="CP599" s="92"/>
      <c r="CQ599" s="92"/>
      <c r="CR599" s="92"/>
      <c r="CS599" s="92"/>
      <c r="CT599" s="92"/>
      <c r="CU599" s="92"/>
      <c r="CV599" s="92"/>
      <c r="CW599" s="92"/>
      <c r="CX599" s="92"/>
      <c r="CY599" s="92"/>
      <c r="CZ599" s="92"/>
      <c r="DA599" s="92"/>
      <c r="DB599" s="92"/>
      <c r="DC599" s="92"/>
      <c r="DD599" s="92"/>
      <c r="DE599" s="92"/>
      <c r="DF599" s="92"/>
      <c r="DG599" s="92"/>
      <c r="DH599" s="92"/>
      <c r="DI599" s="92"/>
      <c r="DJ599" s="92"/>
      <c r="DK599" s="92"/>
      <c r="DL599" s="92"/>
      <c r="DM599" s="92"/>
      <c r="DN599" s="92"/>
      <c r="DO599" s="92"/>
      <c r="DP599" s="92"/>
      <c r="DQ599" s="92"/>
      <c r="DR599" s="92"/>
      <c r="DS599" s="92"/>
      <c r="DT599" s="92"/>
      <c r="DU599" s="92"/>
      <c r="DV599" s="92"/>
      <c r="DW599" s="92"/>
      <c r="DX599" s="92"/>
      <c r="DY599" s="92"/>
      <c r="DZ599" s="92"/>
      <c r="EA599" s="92"/>
      <c r="EB599" s="92"/>
      <c r="EC599" s="92"/>
      <c r="ED599" s="92"/>
      <c r="EE599" s="92"/>
      <c r="EF599" s="92"/>
      <c r="EG599" s="92"/>
      <c r="EH599" s="92"/>
      <c r="EI599" s="92"/>
      <c r="EJ599" s="92"/>
      <c r="EK599" s="92"/>
      <c r="EL599" s="92"/>
      <c r="EM599" s="92"/>
      <c r="EN599" s="92"/>
      <c r="EO599" s="92"/>
      <c r="EP599" s="92"/>
      <c r="EQ599" s="92"/>
      <c r="ER599" s="92"/>
      <c r="ES599" s="92"/>
      <c r="ET599" s="92"/>
      <c r="EU599" s="92"/>
      <c r="EV599" s="92"/>
      <c r="EW599" s="92"/>
      <c r="EX599" s="92"/>
      <c r="EY599" s="92"/>
      <c r="EZ599" s="92"/>
      <c r="FA599" s="92"/>
      <c r="FB599" s="92"/>
      <c r="FC599" s="92"/>
      <c r="FD599" s="92"/>
      <c r="FE599" s="92"/>
      <c r="FF599" s="92"/>
      <c r="FG599" s="92"/>
      <c r="FH599" s="92"/>
    </row>
    <row r="600">
      <c r="A600" s="47" t="s">
        <v>28</v>
      </c>
      <c r="B600" s="47" t="s">
        <v>100</v>
      </c>
      <c r="C600" s="47" t="s">
        <v>13</v>
      </c>
      <c r="D600" s="101">
        <f t="shared" si="1"/>
        <v>4757.293033</v>
      </c>
      <c r="E600" s="92">
        <f>(SUBSTITUTE(Audio!E600, "RE-", "", 1))*1</f>
        <v>0</v>
      </c>
      <c r="F600" s="92">
        <f>(SUBSTITUTE(Audio!F600, "RE-", "", 1))*1</f>
        <v>209.42</v>
      </c>
      <c r="G600" s="92">
        <f>(SUBSTITUTE(Audio!G600, "RE-", "", 1))*1</f>
        <v>0.96895</v>
      </c>
      <c r="H600" s="92">
        <f>(SUBSTITUTE(Audio!H600, "RE-", "", 1))*1</f>
        <v>78.2193</v>
      </c>
      <c r="I600" s="92">
        <f>(SUBSTITUTE(Audio!I600, "RE-", "", 1))*1</f>
        <v>0.318283</v>
      </c>
      <c r="J600" s="92">
        <f>(SUBSTITUTE(Audio!J600, "RE-", "", 1))*1</f>
        <v>61.4754</v>
      </c>
      <c r="K600" s="92">
        <f>(SUBSTITUTE(Audio!K600, "RE-", "", 1))*1</f>
        <v>0</v>
      </c>
      <c r="L600" s="92">
        <f>(SUBSTITUTE(Audio!L600, "RE-", "", 1))*1</f>
        <v>510.878</v>
      </c>
      <c r="M600" s="92">
        <f>(SUBSTITUTE(Audio!M600, "RE-", "", 1))*1</f>
        <v>2.88418</v>
      </c>
      <c r="N600" s="92">
        <f>(SUBSTITUTE(Audio!N600, "RE-", "", 1))*1</f>
        <v>1037.75</v>
      </c>
      <c r="O600" s="92">
        <f>(SUBSTITUTE(Audio!O600, "RE-", "", 1))*1</f>
        <v>3.68332</v>
      </c>
      <c r="P600" s="92">
        <f>(SUBSTITUTE(Audio!P600, "RE-", "", 1))*1</f>
        <v>1088.2</v>
      </c>
      <c r="Q600" s="92">
        <f>(SUBSTITUTE(Audio!Q600, "RE-", "", 1))*1</f>
        <v>56.4659</v>
      </c>
      <c r="R600" s="92">
        <f>(SUBSTITUTE(Audio!R600, "RE-", "", 1))*1</f>
        <v>1123.64</v>
      </c>
      <c r="S600" s="92">
        <f>(SUBSTITUTE(Audio!S600, "RE-", "", 1))*1</f>
        <v>34.0471</v>
      </c>
      <c r="T600" s="92">
        <f>(SUBSTITUTE(Audio!T600, "RE-", "", 1))*1</f>
        <v>491.647</v>
      </c>
      <c r="U600" s="92">
        <f>(SUBSTITUTE(Audio!U600, "RE-", "", 1))*1</f>
        <v>40.0507</v>
      </c>
      <c r="V600" s="92">
        <f>(SUBSTITUTE(Audio!V600, "RE-", "", 1))*1</f>
        <v>17.6449</v>
      </c>
      <c r="W600" s="92">
        <f>(SUBSTITUTE(Audio!W600, "RE-", "", 1))*1</f>
        <v>0</v>
      </c>
      <c r="X600" s="92">
        <f>(SUBSTITUTE(Audio!X600, "RE-", "", 1))*1</f>
        <v>0</v>
      </c>
      <c r="Y600" s="92">
        <f>(SUBSTITUTE(Audio!Y600, "RE-", "", 1))*1</f>
        <v>0</v>
      </c>
      <c r="Z600" s="92">
        <f>(SUBSTITUTE(Audio!Z600, "RE-", "", 1))*1</f>
        <v>0</v>
      </c>
      <c r="AA600" s="92"/>
      <c r="AB600" s="92"/>
      <c r="AC600" s="92"/>
      <c r="AD600" s="92"/>
      <c r="AE600" s="92"/>
      <c r="AF600" s="92"/>
      <c r="AG600" s="92"/>
      <c r="AH600" s="92"/>
      <c r="AI600" s="92"/>
      <c r="AJ600" s="92"/>
      <c r="AK600" s="92"/>
      <c r="AL600" s="92"/>
      <c r="AM600" s="92"/>
      <c r="AN600" s="92"/>
      <c r="AO600" s="92"/>
      <c r="AP600" s="92"/>
      <c r="AQ600" s="92"/>
      <c r="AR600" s="92"/>
      <c r="AS600" s="92"/>
      <c r="AT600" s="92"/>
      <c r="AU600" s="92"/>
      <c r="AV600" s="92"/>
      <c r="AW600" s="92"/>
      <c r="AX600" s="92"/>
      <c r="AY600" s="92"/>
      <c r="AZ600" s="92"/>
      <c r="BA600" s="92"/>
      <c r="BB600" s="92"/>
      <c r="BC600" s="92"/>
      <c r="BD600" s="92"/>
      <c r="BE600" s="92"/>
      <c r="BF600" s="92"/>
      <c r="BG600" s="92"/>
      <c r="BH600" s="92"/>
      <c r="BI600" s="92"/>
      <c r="BJ600" s="92"/>
      <c r="BK600" s="92"/>
      <c r="BL600" s="92"/>
      <c r="BM600" s="92"/>
      <c r="BN600" s="92"/>
      <c r="BO600" s="92"/>
      <c r="BP600" s="92"/>
      <c r="BQ600" s="92"/>
      <c r="BR600" s="92"/>
      <c r="BS600" s="92"/>
      <c r="BT600" s="92"/>
      <c r="BU600" s="92"/>
      <c r="BV600" s="92"/>
      <c r="BW600" s="92"/>
      <c r="BX600" s="92"/>
      <c r="BY600" s="92"/>
      <c r="BZ600" s="92"/>
      <c r="CA600" s="92"/>
      <c r="CB600" s="92"/>
      <c r="CC600" s="92"/>
      <c r="CD600" s="92"/>
      <c r="CE600" s="92"/>
      <c r="CF600" s="92"/>
      <c r="CG600" s="92"/>
      <c r="CH600" s="92"/>
      <c r="CI600" s="92"/>
      <c r="CJ600" s="92"/>
      <c r="CK600" s="92"/>
      <c r="CL600" s="92"/>
      <c r="CM600" s="92"/>
      <c r="CN600" s="92"/>
      <c r="CO600" s="92"/>
      <c r="CP600" s="92"/>
      <c r="CQ600" s="92"/>
      <c r="CR600" s="92"/>
      <c r="CS600" s="92"/>
      <c r="CT600" s="92"/>
      <c r="CU600" s="92"/>
      <c r="CV600" s="92"/>
      <c r="CW600" s="92"/>
      <c r="CX600" s="92"/>
      <c r="CY600" s="92"/>
      <c r="CZ600" s="92"/>
      <c r="DA600" s="92"/>
      <c r="DB600" s="92"/>
      <c r="DC600" s="92"/>
      <c r="DD600" s="92"/>
      <c r="DE600" s="92"/>
      <c r="DF600" s="92"/>
      <c r="DG600" s="92"/>
      <c r="DH600" s="92"/>
      <c r="DI600" s="92"/>
      <c r="DJ600" s="92"/>
      <c r="DK600" s="92"/>
      <c r="DL600" s="92"/>
      <c r="DM600" s="92"/>
      <c r="DN600" s="92"/>
      <c r="DO600" s="92"/>
      <c r="DP600" s="92"/>
      <c r="DQ600" s="92"/>
      <c r="DR600" s="92"/>
      <c r="DS600" s="92"/>
      <c r="DT600" s="92"/>
      <c r="DU600" s="92"/>
      <c r="DV600" s="92"/>
      <c r="DW600" s="92"/>
      <c r="DX600" s="92"/>
      <c r="DY600" s="92"/>
      <c r="DZ600" s="92"/>
      <c r="EA600" s="92"/>
      <c r="EB600" s="92"/>
      <c r="EC600" s="92"/>
      <c r="ED600" s="92"/>
      <c r="EE600" s="92"/>
      <c r="EF600" s="92"/>
      <c r="EG600" s="92"/>
      <c r="EH600" s="92"/>
      <c r="EI600" s="92"/>
      <c r="EJ600" s="92"/>
      <c r="EK600" s="92"/>
      <c r="EL600" s="92"/>
      <c r="EM600" s="92"/>
      <c r="EN600" s="92"/>
      <c r="EO600" s="92"/>
      <c r="EP600" s="92"/>
      <c r="EQ600" s="92"/>
      <c r="ER600" s="92"/>
      <c r="ES600" s="92"/>
      <c r="ET600" s="92"/>
      <c r="EU600" s="92"/>
      <c r="EV600" s="92"/>
      <c r="EW600" s="92"/>
      <c r="EX600" s="92"/>
      <c r="EY600" s="92"/>
      <c r="EZ600" s="92"/>
      <c r="FA600" s="92"/>
      <c r="FB600" s="92"/>
      <c r="FC600" s="92"/>
      <c r="FD600" s="92"/>
      <c r="FE600" s="92"/>
      <c r="FF600" s="92"/>
      <c r="FG600" s="92"/>
      <c r="FH600" s="92"/>
    </row>
    <row r="601">
      <c r="A601" s="47" t="s">
        <v>28</v>
      </c>
      <c r="B601" s="47" t="s">
        <v>100</v>
      </c>
      <c r="C601" s="47" t="s">
        <v>14</v>
      </c>
      <c r="D601" s="101">
        <f t="shared" si="1"/>
        <v>4117.257</v>
      </c>
      <c r="E601" s="92">
        <f>(SUBSTITUTE(Audio!E601, "RE-", "", 1))*1</f>
        <v>0</v>
      </c>
      <c r="F601" s="92">
        <f>(SUBSTITUTE(Audio!F601, "RE-", "", 1))*1</f>
        <v>188.038</v>
      </c>
      <c r="G601" s="92">
        <f>(SUBSTITUTE(Audio!G601, "RE-", "", 1))*1</f>
        <v>0.814367</v>
      </c>
      <c r="H601" s="92">
        <f>(SUBSTITUTE(Audio!H601, "RE-", "", 1))*1</f>
        <v>73.0933</v>
      </c>
      <c r="I601" s="92">
        <f>(SUBSTITUTE(Audio!I601, "RE-", "", 1))*1</f>
        <v>0.318283</v>
      </c>
      <c r="J601" s="92">
        <f>(SUBSTITUTE(Audio!J601, "RE-", "", 1))*1</f>
        <v>58.1223</v>
      </c>
      <c r="K601" s="92">
        <f>(SUBSTITUTE(Audio!K601, "RE-", "", 1))*1</f>
        <v>0</v>
      </c>
      <c r="L601" s="92">
        <f>(SUBSTITUTE(Audio!L601, "RE-", "", 1))*1</f>
        <v>445.577</v>
      </c>
      <c r="M601" s="92">
        <f>(SUBSTITUTE(Audio!M601, "RE-", "", 1))*1</f>
        <v>2.19033</v>
      </c>
      <c r="N601" s="92">
        <f>(SUBSTITUTE(Audio!N601, "RE-", "", 1))*1</f>
        <v>911.669</v>
      </c>
      <c r="O601" s="92">
        <f>(SUBSTITUTE(Audio!O601, "RE-", "", 1))*1</f>
        <v>3.68332</v>
      </c>
      <c r="P601" s="92">
        <f>(SUBSTITUTE(Audio!P601, "RE-", "", 1))*1</f>
        <v>937.766</v>
      </c>
      <c r="Q601" s="92">
        <f>(SUBSTITUTE(Audio!Q601, "RE-", "", 1))*1</f>
        <v>49.8958</v>
      </c>
      <c r="R601" s="92">
        <f>(SUBSTITUTE(Audio!R601, "RE-", "", 1))*1</f>
        <v>961.034</v>
      </c>
      <c r="S601" s="92">
        <f>(SUBSTITUTE(Audio!S601, "RE-", "", 1))*1</f>
        <v>29.5958</v>
      </c>
      <c r="T601" s="92">
        <f>(SUBSTITUTE(Audio!T601, "RE-", "", 1))*1</f>
        <v>408.695</v>
      </c>
      <c r="U601" s="92">
        <f>(SUBSTITUTE(Audio!U601, "RE-", "", 1))*1</f>
        <v>32.671</v>
      </c>
      <c r="V601" s="92">
        <f>(SUBSTITUTE(Audio!V601, "RE-", "", 1))*1</f>
        <v>14.0935</v>
      </c>
      <c r="W601" s="92">
        <f>(SUBSTITUTE(Audio!W601, "RE-", "", 1))*1</f>
        <v>0</v>
      </c>
      <c r="X601" s="92">
        <f>(SUBSTITUTE(Audio!X601, "RE-", "", 1))*1</f>
        <v>0</v>
      </c>
      <c r="Y601" s="92">
        <f>(SUBSTITUTE(Audio!Y601, "RE-", "", 1))*1</f>
        <v>0</v>
      </c>
      <c r="Z601" s="92">
        <f>(SUBSTITUTE(Audio!Z601, "RE-", "", 1))*1</f>
        <v>0</v>
      </c>
      <c r="AA601" s="92"/>
      <c r="AB601" s="92"/>
      <c r="AC601" s="92"/>
      <c r="AD601" s="92"/>
      <c r="AE601" s="92"/>
      <c r="AF601" s="92"/>
      <c r="AG601" s="92"/>
      <c r="AH601" s="92"/>
      <c r="AI601" s="92"/>
      <c r="AJ601" s="92"/>
      <c r="AK601" s="92"/>
      <c r="AL601" s="92"/>
      <c r="AM601" s="92"/>
      <c r="AN601" s="92"/>
      <c r="AO601" s="92"/>
      <c r="AP601" s="92"/>
      <c r="AQ601" s="92"/>
      <c r="AR601" s="92"/>
      <c r="AS601" s="92"/>
      <c r="AT601" s="92"/>
      <c r="AU601" s="92"/>
      <c r="AV601" s="92"/>
      <c r="AW601" s="92"/>
      <c r="AX601" s="92"/>
      <c r="AY601" s="92"/>
      <c r="AZ601" s="92"/>
      <c r="BA601" s="92"/>
      <c r="BB601" s="92"/>
      <c r="BC601" s="92"/>
      <c r="BD601" s="92"/>
      <c r="BE601" s="92"/>
      <c r="BF601" s="92"/>
      <c r="BG601" s="92"/>
      <c r="BH601" s="92"/>
      <c r="BI601" s="92"/>
      <c r="BJ601" s="92"/>
      <c r="BK601" s="92"/>
      <c r="BL601" s="92"/>
      <c r="BM601" s="92"/>
      <c r="BN601" s="92"/>
      <c r="BO601" s="92"/>
      <c r="BP601" s="92"/>
      <c r="BQ601" s="92"/>
      <c r="BR601" s="92"/>
      <c r="BS601" s="92"/>
      <c r="BT601" s="92"/>
      <c r="BU601" s="92"/>
      <c r="BV601" s="92"/>
      <c r="BW601" s="92"/>
      <c r="BX601" s="92"/>
      <c r="BY601" s="92"/>
      <c r="BZ601" s="92"/>
      <c r="CA601" s="92"/>
      <c r="CB601" s="92"/>
      <c r="CC601" s="92"/>
      <c r="CD601" s="92"/>
      <c r="CE601" s="92"/>
      <c r="CF601" s="92"/>
      <c r="CG601" s="92"/>
      <c r="CH601" s="92"/>
      <c r="CI601" s="92"/>
      <c r="CJ601" s="92"/>
      <c r="CK601" s="92"/>
      <c r="CL601" s="92"/>
      <c r="CM601" s="92"/>
      <c r="CN601" s="92"/>
      <c r="CO601" s="92"/>
      <c r="CP601" s="92"/>
      <c r="CQ601" s="92"/>
      <c r="CR601" s="92"/>
      <c r="CS601" s="92"/>
      <c r="CT601" s="92"/>
      <c r="CU601" s="92"/>
      <c r="CV601" s="92"/>
      <c r="CW601" s="92"/>
      <c r="CX601" s="92"/>
      <c r="CY601" s="92"/>
      <c r="CZ601" s="92"/>
      <c r="DA601" s="92"/>
      <c r="DB601" s="92"/>
      <c r="DC601" s="92"/>
      <c r="DD601" s="92"/>
      <c r="DE601" s="92"/>
      <c r="DF601" s="92"/>
      <c r="DG601" s="92"/>
      <c r="DH601" s="92"/>
      <c r="DI601" s="92"/>
      <c r="DJ601" s="92"/>
      <c r="DK601" s="92"/>
      <c r="DL601" s="92"/>
      <c r="DM601" s="92"/>
      <c r="DN601" s="92"/>
      <c r="DO601" s="92"/>
      <c r="DP601" s="92"/>
      <c r="DQ601" s="92"/>
      <c r="DR601" s="92"/>
      <c r="DS601" s="92"/>
      <c r="DT601" s="92"/>
      <c r="DU601" s="92"/>
      <c r="DV601" s="92"/>
      <c r="DW601" s="92"/>
      <c r="DX601" s="92"/>
      <c r="DY601" s="92"/>
      <c r="DZ601" s="92"/>
      <c r="EA601" s="92"/>
      <c r="EB601" s="92"/>
      <c r="EC601" s="92"/>
      <c r="ED601" s="92"/>
      <c r="EE601" s="92"/>
      <c r="EF601" s="92"/>
      <c r="EG601" s="92"/>
      <c r="EH601" s="92"/>
      <c r="EI601" s="92"/>
      <c r="EJ601" s="92"/>
      <c r="EK601" s="92"/>
      <c r="EL601" s="92"/>
      <c r="EM601" s="92"/>
      <c r="EN601" s="92"/>
      <c r="EO601" s="92"/>
      <c r="EP601" s="92"/>
      <c r="EQ601" s="92"/>
      <c r="ER601" s="92"/>
      <c r="ES601" s="92"/>
      <c r="ET601" s="92"/>
      <c r="EU601" s="92"/>
      <c r="EV601" s="92"/>
      <c r="EW601" s="92"/>
      <c r="EX601" s="92"/>
      <c r="EY601" s="92"/>
      <c r="EZ601" s="92"/>
      <c r="FA601" s="92"/>
      <c r="FB601" s="92"/>
      <c r="FC601" s="92"/>
      <c r="FD601" s="92"/>
      <c r="FE601" s="92"/>
      <c r="FF601" s="92"/>
      <c r="FG601" s="92"/>
      <c r="FH601" s="92"/>
    </row>
    <row r="602">
      <c r="A602" s="48" t="s">
        <v>28</v>
      </c>
      <c r="B602" s="48" t="s">
        <v>100</v>
      </c>
      <c r="C602" s="48" t="s">
        <v>15</v>
      </c>
      <c r="D602" s="99">
        <f t="shared" si="1"/>
        <v>4757.203033</v>
      </c>
      <c r="E602" s="92">
        <f>(SUBSTITUTE(Audio!E602, "RE-", "", 1))*1</f>
        <v>0</v>
      </c>
      <c r="F602" s="92">
        <f>(SUBSTITUTE(Audio!F602, "RE-", "", 1))*1</f>
        <v>209.42</v>
      </c>
      <c r="G602" s="92">
        <f>(SUBSTITUTE(Audio!G602, "RE-", "", 1))*1</f>
        <v>0.96895</v>
      </c>
      <c r="H602" s="92">
        <f>(SUBSTITUTE(Audio!H602, "RE-", "", 1))*1</f>
        <v>78.2193</v>
      </c>
      <c r="I602" s="92">
        <f>(SUBSTITUTE(Audio!I602, "RE-", "", 1))*1</f>
        <v>0.318283</v>
      </c>
      <c r="J602" s="92">
        <f>(SUBSTITUTE(Audio!J602, "RE-", "", 1))*1</f>
        <v>61.4754</v>
      </c>
      <c r="K602" s="92">
        <f>(SUBSTITUTE(Audio!K602, "RE-", "", 1))*1</f>
        <v>0</v>
      </c>
      <c r="L602" s="92">
        <f>(SUBSTITUTE(Audio!L602, "RE-", "", 1))*1</f>
        <v>510.878</v>
      </c>
      <c r="M602" s="92">
        <f>(SUBSTITUTE(Audio!M602, "RE-", "", 1))*1</f>
        <v>2.88418</v>
      </c>
      <c r="N602" s="92">
        <f>(SUBSTITUTE(Audio!N602, "RE-", "", 1))*1</f>
        <v>1037.75</v>
      </c>
      <c r="O602" s="92">
        <f>(SUBSTITUTE(Audio!O602, "RE-", "", 1))*1</f>
        <v>3.68332</v>
      </c>
      <c r="P602" s="92">
        <f>(SUBSTITUTE(Audio!P602, "RE-", "", 1))*1</f>
        <v>1088.2</v>
      </c>
      <c r="Q602" s="92">
        <f>(SUBSTITUTE(Audio!Q602, "RE-", "", 1))*1</f>
        <v>56.4659</v>
      </c>
      <c r="R602" s="92">
        <f>(SUBSTITUTE(Audio!R602, "RE-", "", 1))*1</f>
        <v>1123.55</v>
      </c>
      <c r="S602" s="92">
        <f>(SUBSTITUTE(Audio!S602, "RE-", "", 1))*1</f>
        <v>34.0471</v>
      </c>
      <c r="T602" s="92">
        <f>(SUBSTITUTE(Audio!T602, "RE-", "", 1))*1</f>
        <v>491.647</v>
      </c>
      <c r="U602" s="92">
        <f>(SUBSTITUTE(Audio!U602, "RE-", "", 1))*1</f>
        <v>40.0507</v>
      </c>
      <c r="V602" s="92">
        <f>(SUBSTITUTE(Audio!V602, "RE-", "", 1))*1</f>
        <v>17.6449</v>
      </c>
      <c r="W602" s="92">
        <f>(SUBSTITUTE(Audio!W602, "RE-", "", 1))*1</f>
        <v>0</v>
      </c>
      <c r="X602" s="92">
        <f>(SUBSTITUTE(Audio!X602, "RE-", "", 1))*1</f>
        <v>0</v>
      </c>
      <c r="Y602" s="92">
        <f>(SUBSTITUTE(Audio!Y602, "RE-", "", 1))*1</f>
        <v>0</v>
      </c>
      <c r="Z602" s="92">
        <f>(SUBSTITUTE(Audio!Z602, "RE-", "", 1))*1</f>
        <v>0</v>
      </c>
      <c r="AA602" s="92"/>
      <c r="AB602" s="92"/>
      <c r="AC602" s="92"/>
      <c r="AD602" s="92"/>
      <c r="AE602" s="92"/>
      <c r="AF602" s="92"/>
      <c r="AG602" s="92"/>
      <c r="AH602" s="92"/>
      <c r="AI602" s="92"/>
      <c r="AJ602" s="92"/>
      <c r="AK602" s="92"/>
      <c r="AL602" s="92"/>
      <c r="AM602" s="92"/>
      <c r="AN602" s="92"/>
      <c r="AO602" s="92"/>
      <c r="AP602" s="92"/>
      <c r="AQ602" s="92"/>
      <c r="AR602" s="92"/>
      <c r="AS602" s="92"/>
      <c r="AT602" s="92"/>
      <c r="AU602" s="92"/>
      <c r="AV602" s="92"/>
      <c r="AW602" s="92"/>
      <c r="AX602" s="92"/>
      <c r="AY602" s="92"/>
      <c r="AZ602" s="92"/>
      <c r="BA602" s="92"/>
      <c r="BB602" s="92"/>
      <c r="BC602" s="92"/>
      <c r="BD602" s="92"/>
      <c r="BE602" s="92"/>
      <c r="BF602" s="92"/>
      <c r="BG602" s="92"/>
      <c r="BH602" s="92"/>
      <c r="BI602" s="92"/>
      <c r="BJ602" s="92"/>
      <c r="BK602" s="92"/>
      <c r="BL602" s="92"/>
      <c r="BM602" s="92"/>
      <c r="BN602" s="92"/>
      <c r="BO602" s="92"/>
      <c r="BP602" s="92"/>
      <c r="BQ602" s="92"/>
      <c r="BR602" s="92"/>
      <c r="BS602" s="92"/>
      <c r="BT602" s="92"/>
      <c r="BU602" s="92"/>
      <c r="BV602" s="92"/>
      <c r="BW602" s="92"/>
      <c r="BX602" s="92"/>
      <c r="BY602" s="92"/>
      <c r="BZ602" s="92"/>
      <c r="CA602" s="92"/>
      <c r="CB602" s="92"/>
      <c r="CC602" s="92"/>
      <c r="CD602" s="92"/>
      <c r="CE602" s="92"/>
      <c r="CF602" s="92"/>
      <c r="CG602" s="92"/>
      <c r="CH602" s="92"/>
      <c r="CI602" s="92"/>
      <c r="CJ602" s="92"/>
      <c r="CK602" s="92"/>
      <c r="CL602" s="92"/>
      <c r="CM602" s="92"/>
      <c r="CN602" s="92"/>
      <c r="CO602" s="92"/>
      <c r="CP602" s="92"/>
      <c r="CQ602" s="92"/>
      <c r="CR602" s="92"/>
      <c r="CS602" s="92"/>
      <c r="CT602" s="92"/>
      <c r="CU602" s="92"/>
      <c r="CV602" s="92"/>
      <c r="CW602" s="92"/>
      <c r="CX602" s="92"/>
      <c r="CY602" s="92"/>
      <c r="CZ602" s="92"/>
      <c r="DA602" s="92"/>
      <c r="DB602" s="92"/>
      <c r="DC602" s="92"/>
      <c r="DD602" s="92"/>
      <c r="DE602" s="92"/>
      <c r="DF602" s="92"/>
      <c r="DG602" s="92"/>
      <c r="DH602" s="92"/>
      <c r="DI602" s="92"/>
      <c r="DJ602" s="92"/>
      <c r="DK602" s="92"/>
      <c r="DL602" s="92"/>
      <c r="DM602" s="92"/>
      <c r="DN602" s="92"/>
      <c r="DO602" s="92"/>
      <c r="DP602" s="92"/>
      <c r="DQ602" s="92"/>
      <c r="DR602" s="92"/>
      <c r="DS602" s="92"/>
      <c r="DT602" s="92"/>
      <c r="DU602" s="92"/>
      <c r="DV602" s="92"/>
      <c r="DW602" s="92"/>
      <c r="DX602" s="92"/>
      <c r="DY602" s="92"/>
      <c r="DZ602" s="92"/>
      <c r="EA602" s="92"/>
      <c r="EB602" s="92"/>
      <c r="EC602" s="92"/>
      <c r="ED602" s="92"/>
      <c r="EE602" s="92"/>
      <c r="EF602" s="92"/>
      <c r="EG602" s="92"/>
      <c r="EH602" s="92"/>
      <c r="EI602" s="92"/>
      <c r="EJ602" s="92"/>
      <c r="EK602" s="92"/>
      <c r="EL602" s="92"/>
      <c r="EM602" s="92"/>
      <c r="EN602" s="92"/>
      <c r="EO602" s="92"/>
      <c r="EP602" s="92"/>
      <c r="EQ602" s="92"/>
      <c r="ER602" s="92"/>
      <c r="ES602" s="92"/>
      <c r="ET602" s="92"/>
      <c r="EU602" s="92"/>
      <c r="EV602" s="92"/>
      <c r="EW602" s="92"/>
      <c r="EX602" s="92"/>
      <c r="EY602" s="92"/>
      <c r="EZ602" s="92"/>
      <c r="FA602" s="92"/>
      <c r="FB602" s="92"/>
      <c r="FC602" s="92"/>
      <c r="FD602" s="92"/>
      <c r="FE602" s="92"/>
      <c r="FF602" s="92"/>
      <c r="FG602" s="92"/>
      <c r="FH602" s="92"/>
    </row>
    <row r="603">
      <c r="A603" s="45" t="s">
        <v>28</v>
      </c>
      <c r="B603" s="45" t="s">
        <v>101</v>
      </c>
      <c r="C603" s="46" t="str">
        <f>HYPERLINK("https://docs.google.com/spreadsheets/d/11ZbSd4QLvEkiXZtmkjNqBXdCwGNlrqPI/edit?usp=share_link&amp;ouid=106501987799020758802&amp;rtpof=true&amp;sd=true", "Raw Delivered")</f>
        <v>Raw Delivered</v>
      </c>
      <c r="D603" s="100">
        <f t="shared" si="1"/>
        <v>6005.126709</v>
      </c>
      <c r="E603" s="92">
        <f>(SUBSTITUTE(Audio!E603, "RE-", "", 1))*1</f>
        <v>0</v>
      </c>
      <c r="F603" s="92">
        <f>(SUBSTITUTE(Audio!F603, "RE-", "", 1))*1</f>
        <v>308.7130708</v>
      </c>
      <c r="G603" s="92">
        <f>(SUBSTITUTE(Audio!G603, "RE-", "", 1))*1</f>
        <v>0</v>
      </c>
      <c r="H603" s="92">
        <f>(SUBSTITUTE(Audio!H603, "RE-", "", 1))*1</f>
        <v>99.54221667</v>
      </c>
      <c r="I603" s="92">
        <f>(SUBSTITUTE(Audio!I603, "RE-", "", 1))*1</f>
        <v>0</v>
      </c>
      <c r="J603" s="92">
        <f>(SUBSTITUTE(Audio!J603, "RE-", "", 1))*1</f>
        <v>461.6727219</v>
      </c>
      <c r="K603" s="92">
        <f>(SUBSTITUTE(Audio!K603, "RE-", "", 1))*1</f>
        <v>0</v>
      </c>
      <c r="L603" s="92">
        <f>(SUBSTITUTE(Audio!L603, "RE-", "", 1))*1</f>
        <v>687.2782438</v>
      </c>
      <c r="M603" s="92">
        <f>(SUBSTITUTE(Audio!M603, "RE-", "", 1))*1</f>
        <v>0</v>
      </c>
      <c r="N603" s="92">
        <f>(SUBSTITUTE(Audio!N603, "RE-", "", 1))*1</f>
        <v>1534.249796</v>
      </c>
      <c r="O603" s="92">
        <f>(SUBSTITUTE(Audio!O603, "RE-", "", 1))*1</f>
        <v>0</v>
      </c>
      <c r="P603" s="92">
        <f>(SUBSTITUTE(Audio!P603, "RE-", "", 1))*1</f>
        <v>1106.175534</v>
      </c>
      <c r="Q603" s="92">
        <f>(SUBSTITUTE(Audio!Q603, "RE-", "", 1))*1</f>
        <v>0</v>
      </c>
      <c r="R603" s="92">
        <f>(SUBSTITUTE(Audio!R603, "RE-", "", 1))*1</f>
        <v>1220.044106</v>
      </c>
      <c r="S603" s="92">
        <f>(SUBSTITUTE(Audio!S603, "RE-", "", 1))*1</f>
        <v>0</v>
      </c>
      <c r="T603" s="92">
        <f>(SUBSTITUTE(Audio!T603, "RE-", "", 1))*1</f>
        <v>587.4510198</v>
      </c>
      <c r="U603" s="92">
        <f>(SUBSTITUTE(Audio!U603, "RE-", "", 1))*1</f>
        <v>0</v>
      </c>
      <c r="V603" s="92">
        <f>(SUBSTITUTE(Audio!V603, "RE-", "", 1))*1</f>
        <v>0</v>
      </c>
      <c r="W603" s="92">
        <f>(SUBSTITUTE(Audio!W603, "RE-", "", 1))*1</f>
        <v>0</v>
      </c>
      <c r="X603" s="92">
        <f>(SUBSTITUTE(Audio!X603, "RE-", "", 1))*1</f>
        <v>0</v>
      </c>
      <c r="Y603" s="92">
        <f>(SUBSTITUTE(Audio!Y603, "RE-", "", 1))*1</f>
        <v>0</v>
      </c>
      <c r="Z603" s="92">
        <f>(SUBSTITUTE(Audio!Z603, "RE-", "", 1))*1</f>
        <v>0</v>
      </c>
      <c r="AA603" s="92"/>
      <c r="AB603" s="92"/>
      <c r="AC603" s="92"/>
      <c r="AD603" s="92"/>
      <c r="AE603" s="92"/>
      <c r="AF603" s="92"/>
      <c r="AG603" s="92"/>
      <c r="AH603" s="92"/>
      <c r="AI603" s="92"/>
      <c r="AJ603" s="92"/>
      <c r="AK603" s="92"/>
      <c r="AL603" s="92"/>
      <c r="AM603" s="92"/>
      <c r="AN603" s="92"/>
      <c r="AO603" s="92"/>
      <c r="AP603" s="92"/>
      <c r="AQ603" s="92"/>
      <c r="AR603" s="92"/>
      <c r="AS603" s="92"/>
      <c r="AT603" s="92"/>
      <c r="AU603" s="92"/>
      <c r="AV603" s="92"/>
      <c r="AW603" s="92"/>
      <c r="AX603" s="92"/>
      <c r="AY603" s="92"/>
      <c r="AZ603" s="92"/>
      <c r="BA603" s="92"/>
      <c r="BB603" s="92"/>
      <c r="BC603" s="92"/>
      <c r="BD603" s="92"/>
      <c r="BE603" s="92"/>
      <c r="BF603" s="92"/>
      <c r="BG603" s="92"/>
      <c r="BH603" s="92"/>
      <c r="BI603" s="92"/>
      <c r="BJ603" s="92"/>
      <c r="BK603" s="92"/>
      <c r="BL603" s="92"/>
      <c r="BM603" s="92"/>
      <c r="BN603" s="92"/>
      <c r="BO603" s="92"/>
      <c r="BP603" s="92"/>
      <c r="BQ603" s="92"/>
      <c r="BR603" s="92"/>
      <c r="BS603" s="92"/>
      <c r="BT603" s="92"/>
      <c r="BU603" s="92"/>
      <c r="BV603" s="92"/>
      <c r="BW603" s="92"/>
      <c r="BX603" s="92"/>
      <c r="BY603" s="92"/>
      <c r="BZ603" s="92"/>
      <c r="CA603" s="92"/>
      <c r="CB603" s="92"/>
      <c r="CC603" s="92"/>
      <c r="CD603" s="92"/>
      <c r="CE603" s="92"/>
      <c r="CF603" s="92"/>
      <c r="CG603" s="92"/>
      <c r="CH603" s="92"/>
      <c r="CI603" s="92"/>
      <c r="CJ603" s="92"/>
      <c r="CK603" s="92"/>
      <c r="CL603" s="92"/>
      <c r="CM603" s="92"/>
      <c r="CN603" s="92"/>
      <c r="CO603" s="92"/>
      <c r="CP603" s="92"/>
      <c r="CQ603" s="92"/>
      <c r="CR603" s="92"/>
      <c r="CS603" s="92"/>
      <c r="CT603" s="92"/>
      <c r="CU603" s="92"/>
      <c r="CV603" s="92"/>
      <c r="CW603" s="92"/>
      <c r="CX603" s="92"/>
      <c r="CY603" s="92"/>
      <c r="CZ603" s="92"/>
      <c r="DA603" s="92"/>
      <c r="DB603" s="92"/>
      <c r="DC603" s="92"/>
      <c r="DD603" s="92"/>
      <c r="DE603" s="92"/>
      <c r="DF603" s="92"/>
      <c r="DG603" s="92"/>
      <c r="DH603" s="92"/>
      <c r="DI603" s="92"/>
      <c r="DJ603" s="92"/>
      <c r="DK603" s="92"/>
      <c r="DL603" s="92"/>
      <c r="DM603" s="92"/>
      <c r="DN603" s="92"/>
      <c r="DO603" s="92"/>
      <c r="DP603" s="92"/>
      <c r="DQ603" s="92"/>
      <c r="DR603" s="92"/>
      <c r="DS603" s="92"/>
      <c r="DT603" s="92"/>
      <c r="DU603" s="92"/>
      <c r="DV603" s="92"/>
      <c r="DW603" s="92"/>
      <c r="DX603" s="92"/>
      <c r="DY603" s="92"/>
      <c r="DZ603" s="92"/>
      <c r="EA603" s="92"/>
      <c r="EB603" s="92"/>
      <c r="EC603" s="92"/>
      <c r="ED603" s="92"/>
      <c r="EE603" s="92"/>
      <c r="EF603" s="92"/>
      <c r="EG603" s="92"/>
      <c r="EH603" s="92"/>
      <c r="EI603" s="92"/>
      <c r="EJ603" s="92"/>
      <c r="EK603" s="92"/>
      <c r="EL603" s="92"/>
      <c r="EM603" s="92"/>
      <c r="EN603" s="92"/>
      <c r="EO603" s="92"/>
      <c r="EP603" s="92"/>
      <c r="EQ603" s="92"/>
      <c r="ER603" s="92"/>
      <c r="ES603" s="92"/>
      <c r="ET603" s="92"/>
      <c r="EU603" s="92"/>
      <c r="EV603" s="92"/>
      <c r="EW603" s="92"/>
      <c r="EX603" s="92"/>
      <c r="EY603" s="92"/>
      <c r="EZ603" s="92"/>
      <c r="FA603" s="92"/>
      <c r="FB603" s="92"/>
      <c r="FC603" s="92"/>
      <c r="FD603" s="92"/>
      <c r="FE603" s="92"/>
      <c r="FF603" s="92"/>
      <c r="FG603" s="92"/>
      <c r="FH603" s="92"/>
    </row>
    <row r="604">
      <c r="A604" s="47" t="s">
        <v>28</v>
      </c>
      <c r="B604" s="47" t="s">
        <v>101</v>
      </c>
      <c r="C604" s="47" t="s">
        <v>9</v>
      </c>
      <c r="D604" s="101">
        <f t="shared" si="1"/>
        <v>6005.126709</v>
      </c>
      <c r="E604" s="92">
        <f>(SUBSTITUTE(Audio!E604, "RE-", "", 1))*1</f>
        <v>0</v>
      </c>
      <c r="F604" s="92">
        <f>(SUBSTITUTE(Audio!F604, "RE-", "", 1))*1</f>
        <v>308.7130708</v>
      </c>
      <c r="G604" s="92">
        <f>(SUBSTITUTE(Audio!G604, "RE-", "", 1))*1</f>
        <v>0</v>
      </c>
      <c r="H604" s="92">
        <f>(SUBSTITUTE(Audio!H604, "RE-", "", 1))*1</f>
        <v>99.54221667</v>
      </c>
      <c r="I604" s="92">
        <f>(SUBSTITUTE(Audio!I604, "RE-", "", 1))*1</f>
        <v>0</v>
      </c>
      <c r="J604" s="92">
        <f>(SUBSTITUTE(Audio!J604, "RE-", "", 1))*1</f>
        <v>461.6727219</v>
      </c>
      <c r="K604" s="92">
        <f>(SUBSTITUTE(Audio!K604, "RE-", "", 1))*1</f>
        <v>0</v>
      </c>
      <c r="L604" s="92">
        <f>(SUBSTITUTE(Audio!L604, "RE-", "", 1))*1</f>
        <v>687.2782438</v>
      </c>
      <c r="M604" s="92">
        <f>(SUBSTITUTE(Audio!M604, "RE-", "", 1))*1</f>
        <v>0</v>
      </c>
      <c r="N604" s="92">
        <f>(SUBSTITUTE(Audio!N604, "RE-", "", 1))*1</f>
        <v>1534.249796</v>
      </c>
      <c r="O604" s="92">
        <f>(SUBSTITUTE(Audio!O604, "RE-", "", 1))*1</f>
        <v>0</v>
      </c>
      <c r="P604" s="92">
        <f>(SUBSTITUTE(Audio!P604, "RE-", "", 1))*1</f>
        <v>1106.175534</v>
      </c>
      <c r="Q604" s="92">
        <f>(SUBSTITUTE(Audio!Q604, "RE-", "", 1))*1</f>
        <v>0</v>
      </c>
      <c r="R604" s="92">
        <f>(SUBSTITUTE(Audio!R604, "RE-", "", 1))*1</f>
        <v>1220.044106</v>
      </c>
      <c r="S604" s="92">
        <f>(SUBSTITUTE(Audio!S604, "RE-", "", 1))*1</f>
        <v>0</v>
      </c>
      <c r="T604" s="92">
        <f>(SUBSTITUTE(Audio!T604, "RE-", "", 1))*1</f>
        <v>587.4510198</v>
      </c>
      <c r="U604" s="92">
        <f>(SUBSTITUTE(Audio!U604, "RE-", "", 1))*1</f>
        <v>0</v>
      </c>
      <c r="V604" s="92">
        <f>(SUBSTITUTE(Audio!V604, "RE-", "", 1))*1</f>
        <v>0</v>
      </c>
      <c r="W604" s="92">
        <f>(SUBSTITUTE(Audio!W604, "RE-", "", 1))*1</f>
        <v>0</v>
      </c>
      <c r="X604" s="92">
        <f>(SUBSTITUTE(Audio!X604, "RE-", "", 1))*1</f>
        <v>0</v>
      </c>
      <c r="Y604" s="92">
        <f>(SUBSTITUTE(Audio!Y604, "RE-", "", 1))*1</f>
        <v>0</v>
      </c>
      <c r="Z604" s="92">
        <f>(SUBSTITUTE(Audio!Z604, "RE-", "", 1))*1</f>
        <v>0</v>
      </c>
      <c r="AA604" s="92"/>
      <c r="AB604" s="92"/>
      <c r="AC604" s="92"/>
      <c r="AD604" s="92"/>
      <c r="AE604" s="92"/>
      <c r="AF604" s="92"/>
      <c r="AG604" s="92"/>
      <c r="AH604" s="92"/>
      <c r="AI604" s="92"/>
      <c r="AJ604" s="92"/>
      <c r="AK604" s="92"/>
      <c r="AL604" s="92"/>
      <c r="AM604" s="92"/>
      <c r="AN604" s="92"/>
      <c r="AO604" s="92"/>
      <c r="AP604" s="92"/>
      <c r="AQ604" s="92"/>
      <c r="AR604" s="92"/>
      <c r="AS604" s="92"/>
      <c r="AT604" s="92"/>
      <c r="AU604" s="92"/>
      <c r="AV604" s="92"/>
      <c r="AW604" s="92"/>
      <c r="AX604" s="92"/>
      <c r="AY604" s="92"/>
      <c r="AZ604" s="92"/>
      <c r="BA604" s="92"/>
      <c r="BB604" s="92"/>
      <c r="BC604" s="92"/>
      <c r="BD604" s="92"/>
      <c r="BE604" s="92"/>
      <c r="BF604" s="92"/>
      <c r="BG604" s="92"/>
      <c r="BH604" s="92"/>
      <c r="BI604" s="92"/>
      <c r="BJ604" s="92"/>
      <c r="BK604" s="92"/>
      <c r="BL604" s="92"/>
      <c r="BM604" s="92"/>
      <c r="BN604" s="92"/>
      <c r="BO604" s="92"/>
      <c r="BP604" s="92"/>
      <c r="BQ604" s="92"/>
      <c r="BR604" s="92"/>
      <c r="BS604" s="92"/>
      <c r="BT604" s="92"/>
      <c r="BU604" s="92"/>
      <c r="BV604" s="92"/>
      <c r="BW604" s="92"/>
      <c r="BX604" s="92"/>
      <c r="BY604" s="92"/>
      <c r="BZ604" s="92"/>
      <c r="CA604" s="92"/>
      <c r="CB604" s="92"/>
      <c r="CC604" s="92"/>
      <c r="CD604" s="92"/>
      <c r="CE604" s="92"/>
      <c r="CF604" s="92"/>
      <c r="CG604" s="92"/>
      <c r="CH604" s="92"/>
      <c r="CI604" s="92"/>
      <c r="CJ604" s="92"/>
      <c r="CK604" s="92"/>
      <c r="CL604" s="92"/>
      <c r="CM604" s="92"/>
      <c r="CN604" s="92"/>
      <c r="CO604" s="92"/>
      <c r="CP604" s="92"/>
      <c r="CQ604" s="92"/>
      <c r="CR604" s="92"/>
      <c r="CS604" s="92"/>
      <c r="CT604" s="92"/>
      <c r="CU604" s="92"/>
      <c r="CV604" s="92"/>
      <c r="CW604" s="92"/>
      <c r="CX604" s="92"/>
      <c r="CY604" s="92"/>
      <c r="CZ604" s="92"/>
      <c r="DA604" s="92"/>
      <c r="DB604" s="92"/>
      <c r="DC604" s="92"/>
      <c r="DD604" s="92"/>
      <c r="DE604" s="92"/>
      <c r="DF604" s="92"/>
      <c r="DG604" s="92"/>
      <c r="DH604" s="92"/>
      <c r="DI604" s="92"/>
      <c r="DJ604" s="92"/>
      <c r="DK604" s="92"/>
      <c r="DL604" s="92"/>
      <c r="DM604" s="92"/>
      <c r="DN604" s="92"/>
      <c r="DO604" s="92"/>
      <c r="DP604" s="92"/>
      <c r="DQ604" s="92"/>
      <c r="DR604" s="92"/>
      <c r="DS604" s="92"/>
      <c r="DT604" s="92"/>
      <c r="DU604" s="92"/>
      <c r="DV604" s="92"/>
      <c r="DW604" s="92"/>
      <c r="DX604" s="92"/>
      <c r="DY604" s="92"/>
      <c r="DZ604" s="92"/>
      <c r="EA604" s="92"/>
      <c r="EB604" s="92"/>
      <c r="EC604" s="92"/>
      <c r="ED604" s="92"/>
      <c r="EE604" s="92"/>
      <c r="EF604" s="92"/>
      <c r="EG604" s="92"/>
      <c r="EH604" s="92"/>
      <c r="EI604" s="92"/>
      <c r="EJ604" s="92"/>
      <c r="EK604" s="92"/>
      <c r="EL604" s="92"/>
      <c r="EM604" s="92"/>
      <c r="EN604" s="92"/>
      <c r="EO604" s="92"/>
      <c r="EP604" s="92"/>
      <c r="EQ604" s="92"/>
      <c r="ER604" s="92"/>
      <c r="ES604" s="92"/>
      <c r="ET604" s="92"/>
      <c r="EU604" s="92"/>
      <c r="EV604" s="92"/>
      <c r="EW604" s="92"/>
      <c r="EX604" s="92"/>
      <c r="EY604" s="92"/>
      <c r="EZ604" s="92"/>
      <c r="FA604" s="92"/>
      <c r="FB604" s="92"/>
      <c r="FC604" s="92"/>
      <c r="FD604" s="92"/>
      <c r="FE604" s="92"/>
      <c r="FF604" s="92"/>
      <c r="FG604" s="92"/>
      <c r="FH604" s="92"/>
    </row>
    <row r="605">
      <c r="A605" s="47" t="s">
        <v>28</v>
      </c>
      <c r="B605" s="47" t="s">
        <v>101</v>
      </c>
      <c r="C605" s="47" t="s">
        <v>10</v>
      </c>
      <c r="D605" s="101">
        <f t="shared" si="1"/>
        <v>655.4563916</v>
      </c>
      <c r="E605" s="92">
        <f>(SUBSTITUTE(Audio!E605, "RE-", "", 1))*1</f>
        <v>0</v>
      </c>
      <c r="F605" s="92">
        <f>(SUBSTITUTE(Audio!F605, "RE-", "", 1))*1</f>
        <v>0</v>
      </c>
      <c r="G605" s="92">
        <f>(SUBSTITUTE(Audio!G605, "RE-", "", 1))*1</f>
        <v>40.6919125</v>
      </c>
      <c r="H605" s="92">
        <f>(SUBSTITUTE(Audio!H605, "RE-", "", 1))*1</f>
        <v>0</v>
      </c>
      <c r="I605" s="92">
        <f>(SUBSTITUTE(Audio!I605, "RE-", "", 1))*1</f>
        <v>9.847308333</v>
      </c>
      <c r="J605" s="92">
        <f>(SUBSTITUTE(Audio!J605, "RE-", "", 1))*1</f>
        <v>0</v>
      </c>
      <c r="K605" s="92">
        <f>(SUBSTITUTE(Audio!K605, "RE-", "", 1))*1</f>
        <v>59.17008125</v>
      </c>
      <c r="L605" s="92">
        <f>(SUBSTITUTE(Audio!L605, "RE-", "", 1))*1</f>
        <v>0</v>
      </c>
      <c r="M605" s="92">
        <f>(SUBSTITUTE(Audio!M605, "RE-", "", 1))*1</f>
        <v>40.56724479</v>
      </c>
      <c r="N605" s="92">
        <f>(SUBSTITUTE(Audio!N605, "RE-", "", 1))*1</f>
        <v>0</v>
      </c>
      <c r="O605" s="92">
        <f>(SUBSTITUTE(Audio!O605, "RE-", "", 1))*1</f>
        <v>152.9891323</v>
      </c>
      <c r="P605" s="92">
        <f>(SUBSTITUTE(Audio!P605, "RE-", "", 1))*1</f>
        <v>0</v>
      </c>
      <c r="Q605" s="92">
        <f>(SUBSTITUTE(Audio!Q605, "RE-", "", 1))*1</f>
        <v>103.7859448</v>
      </c>
      <c r="R605" s="92">
        <f>(SUBSTITUTE(Audio!R605, "RE-", "", 1))*1</f>
        <v>0</v>
      </c>
      <c r="S605" s="92">
        <f>(SUBSTITUTE(Audio!S605, "RE-", "", 1))*1</f>
        <v>111.6726583</v>
      </c>
      <c r="T605" s="92">
        <f>(SUBSTITUTE(Audio!T605, "RE-", "", 1))*1</f>
        <v>0</v>
      </c>
      <c r="U605" s="92">
        <f>(SUBSTITUTE(Audio!U605, "RE-", "", 1))*1</f>
        <v>106.7337135</v>
      </c>
      <c r="V605" s="92">
        <f>(SUBSTITUTE(Audio!V605, "RE-", "", 1))*1</f>
        <v>29.99839583</v>
      </c>
      <c r="W605" s="92">
        <f>(SUBSTITUTE(Audio!W605, "RE-", "", 1))*1</f>
        <v>0</v>
      </c>
      <c r="X605" s="92">
        <f>(SUBSTITUTE(Audio!X605, "RE-", "", 1))*1</f>
        <v>0</v>
      </c>
      <c r="Y605" s="92">
        <f>(SUBSTITUTE(Audio!Y605, "RE-", "", 1))*1</f>
        <v>0</v>
      </c>
      <c r="Z605" s="92">
        <f>(SUBSTITUTE(Audio!Z605, "RE-", "", 1))*1</f>
        <v>0</v>
      </c>
      <c r="AA605" s="92"/>
      <c r="AB605" s="92"/>
      <c r="AC605" s="92"/>
      <c r="AD605" s="92"/>
      <c r="AE605" s="92"/>
      <c r="AF605" s="92"/>
      <c r="AG605" s="92"/>
      <c r="AH605" s="92"/>
      <c r="AI605" s="92"/>
      <c r="AJ605" s="92"/>
      <c r="AK605" s="92"/>
      <c r="AL605" s="92"/>
      <c r="AM605" s="92"/>
      <c r="AN605" s="92"/>
      <c r="AO605" s="92"/>
      <c r="AP605" s="92"/>
      <c r="AQ605" s="92"/>
      <c r="AR605" s="92"/>
      <c r="AS605" s="92"/>
      <c r="AT605" s="92"/>
      <c r="AU605" s="92"/>
      <c r="AV605" s="92"/>
      <c r="AW605" s="92"/>
      <c r="AX605" s="92"/>
      <c r="AY605" s="92"/>
      <c r="AZ605" s="92"/>
      <c r="BA605" s="92"/>
      <c r="BB605" s="92"/>
      <c r="BC605" s="92"/>
      <c r="BD605" s="92"/>
      <c r="BE605" s="92"/>
      <c r="BF605" s="92"/>
      <c r="BG605" s="92"/>
      <c r="BH605" s="92"/>
      <c r="BI605" s="92"/>
      <c r="BJ605" s="92"/>
      <c r="BK605" s="92"/>
      <c r="BL605" s="92"/>
      <c r="BM605" s="92"/>
      <c r="BN605" s="92"/>
      <c r="BO605" s="92"/>
      <c r="BP605" s="92"/>
      <c r="BQ605" s="92"/>
      <c r="BR605" s="92"/>
      <c r="BS605" s="92"/>
      <c r="BT605" s="92"/>
      <c r="BU605" s="92"/>
      <c r="BV605" s="92"/>
      <c r="BW605" s="92"/>
      <c r="BX605" s="92"/>
      <c r="BY605" s="92"/>
      <c r="BZ605" s="92"/>
      <c r="CA605" s="92"/>
      <c r="CB605" s="92"/>
      <c r="CC605" s="92"/>
      <c r="CD605" s="92"/>
      <c r="CE605" s="92"/>
      <c r="CF605" s="92"/>
      <c r="CG605" s="92"/>
      <c r="CH605" s="92"/>
      <c r="CI605" s="92"/>
      <c r="CJ605" s="92"/>
      <c r="CK605" s="92"/>
      <c r="CL605" s="92"/>
      <c r="CM605" s="92"/>
      <c r="CN605" s="92"/>
      <c r="CO605" s="92"/>
      <c r="CP605" s="92"/>
      <c r="CQ605" s="92"/>
      <c r="CR605" s="92"/>
      <c r="CS605" s="92"/>
      <c r="CT605" s="92"/>
      <c r="CU605" s="92"/>
      <c r="CV605" s="92"/>
      <c r="CW605" s="92"/>
      <c r="CX605" s="92"/>
      <c r="CY605" s="92"/>
      <c r="CZ605" s="92"/>
      <c r="DA605" s="92"/>
      <c r="DB605" s="92"/>
      <c r="DC605" s="92"/>
      <c r="DD605" s="92"/>
      <c r="DE605" s="92"/>
      <c r="DF605" s="92"/>
      <c r="DG605" s="92"/>
      <c r="DH605" s="92"/>
      <c r="DI605" s="92"/>
      <c r="DJ605" s="92"/>
      <c r="DK605" s="92"/>
      <c r="DL605" s="92"/>
      <c r="DM605" s="92"/>
      <c r="DN605" s="92"/>
      <c r="DO605" s="92"/>
      <c r="DP605" s="92"/>
      <c r="DQ605" s="92"/>
      <c r="DR605" s="92"/>
      <c r="DS605" s="92"/>
      <c r="DT605" s="92"/>
      <c r="DU605" s="92"/>
      <c r="DV605" s="92"/>
      <c r="DW605" s="92"/>
      <c r="DX605" s="92"/>
      <c r="DY605" s="92"/>
      <c r="DZ605" s="92"/>
      <c r="EA605" s="92"/>
      <c r="EB605" s="92"/>
      <c r="EC605" s="92"/>
      <c r="ED605" s="92"/>
      <c r="EE605" s="92"/>
      <c r="EF605" s="92"/>
      <c r="EG605" s="92"/>
      <c r="EH605" s="92"/>
      <c r="EI605" s="92"/>
      <c r="EJ605" s="92"/>
      <c r="EK605" s="92"/>
      <c r="EL605" s="92"/>
      <c r="EM605" s="92"/>
      <c r="EN605" s="92"/>
      <c r="EO605" s="92"/>
      <c r="EP605" s="92"/>
      <c r="EQ605" s="92"/>
      <c r="ER605" s="92"/>
      <c r="ES605" s="92"/>
      <c r="ET605" s="92"/>
      <c r="EU605" s="92"/>
      <c r="EV605" s="92"/>
      <c r="EW605" s="92"/>
      <c r="EX605" s="92"/>
      <c r="EY605" s="92"/>
      <c r="EZ605" s="92"/>
      <c r="FA605" s="92"/>
      <c r="FB605" s="92"/>
      <c r="FC605" s="92"/>
      <c r="FD605" s="92"/>
      <c r="FE605" s="92"/>
      <c r="FF605" s="92"/>
      <c r="FG605" s="92"/>
      <c r="FH605" s="92"/>
    </row>
    <row r="606">
      <c r="A606" s="47" t="s">
        <v>28</v>
      </c>
      <c r="B606" s="47" t="s">
        <v>101</v>
      </c>
      <c r="C606" s="47" t="s">
        <v>11</v>
      </c>
      <c r="D606" s="101">
        <f t="shared" si="1"/>
        <v>655.4563917</v>
      </c>
      <c r="E606" s="92">
        <f>(SUBSTITUTE(Audio!E606, "RE-", "", 1))*1</f>
        <v>0</v>
      </c>
      <c r="F606" s="92">
        <f>(SUBSTITUTE(Audio!F606, "RE-", "", 1))*1</f>
        <v>0</v>
      </c>
      <c r="G606" s="92">
        <f>(SUBSTITUTE(Audio!G606, "RE-", "", 1))*1</f>
        <v>40.6919125</v>
      </c>
      <c r="H606" s="92">
        <f>(SUBSTITUTE(Audio!H606, "RE-", "", 1))*1</f>
        <v>0</v>
      </c>
      <c r="I606" s="92">
        <f>(SUBSTITUTE(Audio!I606, "RE-", "", 1))*1</f>
        <v>9.847308333</v>
      </c>
      <c r="J606" s="92">
        <f>(SUBSTITUTE(Audio!J606, "RE-", "", 1))*1</f>
        <v>0</v>
      </c>
      <c r="K606" s="92">
        <f>(SUBSTITUTE(Audio!K606, "RE-", "", 1))*1</f>
        <v>59.17008125</v>
      </c>
      <c r="L606" s="92">
        <f>(SUBSTITUTE(Audio!L606, "RE-", "", 1))*1</f>
        <v>0</v>
      </c>
      <c r="M606" s="92">
        <f>(SUBSTITUTE(Audio!M606, "RE-", "", 1))*1</f>
        <v>40.56724479</v>
      </c>
      <c r="N606" s="92">
        <f>(SUBSTITUTE(Audio!N606, "RE-", "", 1))*1</f>
        <v>0</v>
      </c>
      <c r="O606" s="92">
        <f>(SUBSTITUTE(Audio!O606, "RE-", "", 1))*1</f>
        <v>152.9891323</v>
      </c>
      <c r="P606" s="92">
        <f>(SUBSTITUTE(Audio!P606, "RE-", "", 1))*1</f>
        <v>0</v>
      </c>
      <c r="Q606" s="92">
        <f>(SUBSTITUTE(Audio!Q606, "RE-", "", 1))*1</f>
        <v>103.7859448</v>
      </c>
      <c r="R606" s="92">
        <f>(SUBSTITUTE(Audio!R606, "RE-", "", 1))*1</f>
        <v>0</v>
      </c>
      <c r="S606" s="92">
        <f>(SUBSTITUTE(Audio!S606, "RE-", "", 1))*1</f>
        <v>111.6726583</v>
      </c>
      <c r="T606" s="92">
        <f>(SUBSTITUTE(Audio!T606, "RE-", "", 1))*1</f>
        <v>0</v>
      </c>
      <c r="U606" s="92">
        <f>(SUBSTITUTE(Audio!U606, "RE-", "", 1))*1</f>
        <v>106.7337135</v>
      </c>
      <c r="V606" s="92">
        <f>(SUBSTITUTE(Audio!V606, "RE-", "", 1))*1</f>
        <v>29.99839583</v>
      </c>
      <c r="W606" s="92">
        <f>(SUBSTITUTE(Audio!W606, "RE-", "", 1))*1</f>
        <v>0</v>
      </c>
      <c r="X606" s="92">
        <f>(SUBSTITUTE(Audio!X606, "RE-", "", 1))*1</f>
        <v>0</v>
      </c>
      <c r="Y606" s="92">
        <f>(SUBSTITUTE(Audio!Y606, "RE-", "", 1))*1</f>
        <v>0</v>
      </c>
      <c r="Z606" s="92">
        <f>(SUBSTITUTE(Audio!Z606, "RE-", "", 1))*1</f>
        <v>0</v>
      </c>
      <c r="AA606" s="92"/>
      <c r="AB606" s="92"/>
      <c r="AC606" s="92"/>
      <c r="AD606" s="92"/>
      <c r="AE606" s="92"/>
      <c r="AF606" s="92"/>
      <c r="AG606" s="92"/>
      <c r="AH606" s="92"/>
      <c r="AI606" s="92"/>
      <c r="AJ606" s="92"/>
      <c r="AK606" s="92"/>
      <c r="AL606" s="92"/>
      <c r="AM606" s="92"/>
      <c r="AN606" s="92"/>
      <c r="AO606" s="92"/>
      <c r="AP606" s="92"/>
      <c r="AQ606" s="92"/>
      <c r="AR606" s="92"/>
      <c r="AS606" s="92"/>
      <c r="AT606" s="92"/>
      <c r="AU606" s="92"/>
      <c r="AV606" s="92"/>
      <c r="AW606" s="92"/>
      <c r="AX606" s="92"/>
      <c r="AY606" s="92"/>
      <c r="AZ606" s="92"/>
      <c r="BA606" s="92"/>
      <c r="BB606" s="92"/>
      <c r="BC606" s="92"/>
      <c r="BD606" s="92"/>
      <c r="BE606" s="92"/>
      <c r="BF606" s="92"/>
      <c r="BG606" s="92"/>
      <c r="BH606" s="92"/>
      <c r="BI606" s="92"/>
      <c r="BJ606" s="92"/>
      <c r="BK606" s="92"/>
      <c r="BL606" s="92"/>
      <c r="BM606" s="92"/>
      <c r="BN606" s="92"/>
      <c r="BO606" s="92"/>
      <c r="BP606" s="92"/>
      <c r="BQ606" s="92"/>
      <c r="BR606" s="92"/>
      <c r="BS606" s="92"/>
      <c r="BT606" s="92"/>
      <c r="BU606" s="92"/>
      <c r="BV606" s="92"/>
      <c r="BW606" s="92"/>
      <c r="BX606" s="92"/>
      <c r="BY606" s="92"/>
      <c r="BZ606" s="92"/>
      <c r="CA606" s="92"/>
      <c r="CB606" s="92"/>
      <c r="CC606" s="92"/>
      <c r="CD606" s="92"/>
      <c r="CE606" s="92"/>
      <c r="CF606" s="92"/>
      <c r="CG606" s="92"/>
      <c r="CH606" s="92"/>
      <c r="CI606" s="92"/>
      <c r="CJ606" s="92"/>
      <c r="CK606" s="92"/>
      <c r="CL606" s="92"/>
      <c r="CM606" s="92"/>
      <c r="CN606" s="92"/>
      <c r="CO606" s="92"/>
      <c r="CP606" s="92"/>
      <c r="CQ606" s="92"/>
      <c r="CR606" s="92"/>
      <c r="CS606" s="92"/>
      <c r="CT606" s="92"/>
      <c r="CU606" s="92"/>
      <c r="CV606" s="92"/>
      <c r="CW606" s="92"/>
      <c r="CX606" s="92"/>
      <c r="CY606" s="92"/>
      <c r="CZ606" s="92"/>
      <c r="DA606" s="92"/>
      <c r="DB606" s="92"/>
      <c r="DC606" s="92"/>
      <c r="DD606" s="92"/>
      <c r="DE606" s="92"/>
      <c r="DF606" s="92"/>
      <c r="DG606" s="92"/>
      <c r="DH606" s="92"/>
      <c r="DI606" s="92"/>
      <c r="DJ606" s="92"/>
      <c r="DK606" s="92"/>
      <c r="DL606" s="92"/>
      <c r="DM606" s="92"/>
      <c r="DN606" s="92"/>
      <c r="DO606" s="92"/>
      <c r="DP606" s="92"/>
      <c r="DQ606" s="92"/>
      <c r="DR606" s="92"/>
      <c r="DS606" s="92"/>
      <c r="DT606" s="92"/>
      <c r="DU606" s="92"/>
      <c r="DV606" s="92"/>
      <c r="DW606" s="92"/>
      <c r="DX606" s="92"/>
      <c r="DY606" s="92"/>
      <c r="DZ606" s="92"/>
      <c r="EA606" s="92"/>
      <c r="EB606" s="92"/>
      <c r="EC606" s="92"/>
      <c r="ED606" s="92"/>
      <c r="EE606" s="92"/>
      <c r="EF606" s="92"/>
      <c r="EG606" s="92"/>
      <c r="EH606" s="92"/>
      <c r="EI606" s="92"/>
      <c r="EJ606" s="92"/>
      <c r="EK606" s="92"/>
      <c r="EL606" s="92"/>
      <c r="EM606" s="92"/>
      <c r="EN606" s="92"/>
      <c r="EO606" s="92"/>
      <c r="EP606" s="92"/>
      <c r="EQ606" s="92"/>
      <c r="ER606" s="92"/>
      <c r="ES606" s="92"/>
      <c r="ET606" s="92"/>
      <c r="EU606" s="92"/>
      <c r="EV606" s="92"/>
      <c r="EW606" s="92"/>
      <c r="EX606" s="92"/>
      <c r="EY606" s="92"/>
      <c r="EZ606" s="92"/>
      <c r="FA606" s="92"/>
      <c r="FB606" s="92"/>
      <c r="FC606" s="92"/>
      <c r="FD606" s="92"/>
      <c r="FE606" s="92"/>
      <c r="FF606" s="92"/>
      <c r="FG606" s="92"/>
      <c r="FH606" s="92"/>
    </row>
    <row r="607">
      <c r="A607" s="47" t="s">
        <v>28</v>
      </c>
      <c r="B607" s="47" t="s">
        <v>101</v>
      </c>
      <c r="C607" s="47" t="s">
        <v>12</v>
      </c>
      <c r="D607" s="101">
        <f t="shared" si="1"/>
        <v>5106.442203</v>
      </c>
      <c r="E607" s="92">
        <f>(SUBSTITUTE(Audio!E607, "RE-", "", 1))*1</f>
        <v>0</v>
      </c>
      <c r="F607" s="92">
        <f>(SUBSTITUTE(Audio!F607, "RE-", "", 1))*1</f>
        <v>243.6334542</v>
      </c>
      <c r="G607" s="92">
        <f>(SUBSTITUTE(Audio!G607, "RE-", "", 1))*1</f>
        <v>1.003714583</v>
      </c>
      <c r="H607" s="92">
        <f>(SUBSTITUTE(Audio!H607, "RE-", "", 1))*1</f>
        <v>91.18887708</v>
      </c>
      <c r="I607" s="92">
        <f>(SUBSTITUTE(Audio!I607, "RE-", "", 1))*1</f>
        <v>1.035664583</v>
      </c>
      <c r="J607" s="92">
        <f>(SUBSTITUTE(Audio!J607, "RE-", "", 1))*1</f>
        <v>313.3506635</v>
      </c>
      <c r="K607" s="92">
        <f>(SUBSTITUTE(Audio!K607, "RE-", "", 1))*1</f>
        <v>2.672683333</v>
      </c>
      <c r="L607" s="92">
        <f>(SUBSTITUTE(Audio!L607, "RE-", "", 1))*1</f>
        <v>651.6145552</v>
      </c>
      <c r="M607" s="92">
        <f>(SUBSTITUTE(Audio!M607, "RE-", "", 1))*1</f>
        <v>7.319058333</v>
      </c>
      <c r="N607" s="92">
        <f>(SUBSTITUTE(Audio!N607, "RE-", "", 1))*1</f>
        <v>990.0132958</v>
      </c>
      <c r="O607" s="92">
        <f>(SUBSTITUTE(Audio!O607, "RE-", "", 1))*1</f>
        <v>1.966295833</v>
      </c>
      <c r="P607" s="92">
        <f>(SUBSTITUTE(Audio!P607, "RE-", "", 1))*1</f>
        <v>987.6404302</v>
      </c>
      <c r="Q607" s="92">
        <f>(SUBSTITUTE(Audio!Q607, "RE-", "", 1))*1</f>
        <v>36.81993542</v>
      </c>
      <c r="R607" s="92">
        <f>(SUBSTITUTE(Audio!R607, "RE-", "", 1))*1</f>
        <v>1145.406453</v>
      </c>
      <c r="S607" s="92">
        <f>(SUBSTITUTE(Audio!S607, "RE-", "", 1))*1</f>
        <v>46.38763958</v>
      </c>
      <c r="T607" s="92">
        <f>(SUBSTITUTE(Audio!T607, "RE-", "", 1))*1</f>
        <v>512.2860469</v>
      </c>
      <c r="U607" s="92">
        <f>(SUBSTITUTE(Audio!U607, "RE-", "", 1))*1</f>
        <v>54.89756875</v>
      </c>
      <c r="V607" s="92">
        <f>(SUBSTITUTE(Audio!V607, "RE-", "", 1))*1</f>
        <v>19.20586667</v>
      </c>
      <c r="W607" s="92">
        <f>(SUBSTITUTE(Audio!W607, "RE-", "", 1))*1</f>
        <v>0</v>
      </c>
      <c r="X607" s="92">
        <f>(SUBSTITUTE(Audio!X607, "RE-", "", 1))*1</f>
        <v>0</v>
      </c>
      <c r="Y607" s="92">
        <f>(SUBSTITUTE(Audio!Y607, "RE-", "", 1))*1</f>
        <v>0</v>
      </c>
      <c r="Z607" s="92">
        <f>(SUBSTITUTE(Audio!Z607, "RE-", "", 1))*1</f>
        <v>0</v>
      </c>
      <c r="AA607" s="92"/>
      <c r="AB607" s="92"/>
      <c r="AC607" s="92"/>
      <c r="AD607" s="92"/>
      <c r="AE607" s="92"/>
      <c r="AF607" s="92"/>
      <c r="AG607" s="92"/>
      <c r="AH607" s="92"/>
      <c r="AI607" s="92"/>
      <c r="AJ607" s="92"/>
      <c r="AK607" s="92"/>
      <c r="AL607" s="92"/>
      <c r="AM607" s="92"/>
      <c r="AN607" s="92"/>
      <c r="AO607" s="92"/>
      <c r="AP607" s="92"/>
      <c r="AQ607" s="92"/>
      <c r="AR607" s="92"/>
      <c r="AS607" s="92"/>
      <c r="AT607" s="92"/>
      <c r="AU607" s="92"/>
      <c r="AV607" s="92"/>
      <c r="AW607" s="92"/>
      <c r="AX607" s="92"/>
      <c r="AY607" s="92"/>
      <c r="AZ607" s="92"/>
      <c r="BA607" s="92"/>
      <c r="BB607" s="92"/>
      <c r="BC607" s="92"/>
      <c r="BD607" s="92"/>
      <c r="BE607" s="92"/>
      <c r="BF607" s="92"/>
      <c r="BG607" s="92"/>
      <c r="BH607" s="92"/>
      <c r="BI607" s="92"/>
      <c r="BJ607" s="92"/>
      <c r="BK607" s="92"/>
      <c r="BL607" s="92"/>
      <c r="BM607" s="92"/>
      <c r="BN607" s="92"/>
      <c r="BO607" s="92"/>
      <c r="BP607" s="92"/>
      <c r="BQ607" s="92"/>
      <c r="BR607" s="92"/>
      <c r="BS607" s="92"/>
      <c r="BT607" s="92"/>
      <c r="BU607" s="92"/>
      <c r="BV607" s="92"/>
      <c r="BW607" s="92"/>
      <c r="BX607" s="92"/>
      <c r="BY607" s="92"/>
      <c r="BZ607" s="92"/>
      <c r="CA607" s="92"/>
      <c r="CB607" s="92"/>
      <c r="CC607" s="92"/>
      <c r="CD607" s="92"/>
      <c r="CE607" s="92"/>
      <c r="CF607" s="92"/>
      <c r="CG607" s="92"/>
      <c r="CH607" s="92"/>
      <c r="CI607" s="92"/>
      <c r="CJ607" s="92"/>
      <c r="CK607" s="92"/>
      <c r="CL607" s="92"/>
      <c r="CM607" s="92"/>
      <c r="CN607" s="92"/>
      <c r="CO607" s="92"/>
      <c r="CP607" s="92"/>
      <c r="CQ607" s="92"/>
      <c r="CR607" s="92"/>
      <c r="CS607" s="92"/>
      <c r="CT607" s="92"/>
      <c r="CU607" s="92"/>
      <c r="CV607" s="92"/>
      <c r="CW607" s="92"/>
      <c r="CX607" s="92"/>
      <c r="CY607" s="92"/>
      <c r="CZ607" s="92"/>
      <c r="DA607" s="92"/>
      <c r="DB607" s="92"/>
      <c r="DC607" s="92"/>
      <c r="DD607" s="92"/>
      <c r="DE607" s="92"/>
      <c r="DF607" s="92"/>
      <c r="DG607" s="92"/>
      <c r="DH607" s="92"/>
      <c r="DI607" s="92"/>
      <c r="DJ607" s="92"/>
      <c r="DK607" s="92"/>
      <c r="DL607" s="92"/>
      <c r="DM607" s="92"/>
      <c r="DN607" s="92"/>
      <c r="DO607" s="92"/>
      <c r="DP607" s="92"/>
      <c r="DQ607" s="92"/>
      <c r="DR607" s="92"/>
      <c r="DS607" s="92"/>
      <c r="DT607" s="92"/>
      <c r="DU607" s="92"/>
      <c r="DV607" s="92"/>
      <c r="DW607" s="92"/>
      <c r="DX607" s="92"/>
      <c r="DY607" s="92"/>
      <c r="DZ607" s="92"/>
      <c r="EA607" s="92"/>
      <c r="EB607" s="92"/>
      <c r="EC607" s="92"/>
      <c r="ED607" s="92"/>
      <c r="EE607" s="92"/>
      <c r="EF607" s="92"/>
      <c r="EG607" s="92"/>
      <c r="EH607" s="92"/>
      <c r="EI607" s="92"/>
      <c r="EJ607" s="92"/>
      <c r="EK607" s="92"/>
      <c r="EL607" s="92"/>
      <c r="EM607" s="92"/>
      <c r="EN607" s="92"/>
      <c r="EO607" s="92"/>
      <c r="EP607" s="92"/>
      <c r="EQ607" s="92"/>
      <c r="ER607" s="92"/>
      <c r="ES607" s="92"/>
      <c r="ET607" s="92"/>
      <c r="EU607" s="92"/>
      <c r="EV607" s="92"/>
      <c r="EW607" s="92"/>
      <c r="EX607" s="92"/>
      <c r="EY607" s="92"/>
      <c r="EZ607" s="92"/>
      <c r="FA607" s="92"/>
      <c r="FB607" s="92"/>
      <c r="FC607" s="92"/>
      <c r="FD607" s="92"/>
      <c r="FE607" s="92"/>
      <c r="FF607" s="92"/>
      <c r="FG607" s="92"/>
      <c r="FH607" s="92"/>
    </row>
    <row r="608">
      <c r="A608" s="47" t="s">
        <v>28</v>
      </c>
      <c r="B608" s="47" t="s">
        <v>101</v>
      </c>
      <c r="C608" s="47" t="s">
        <v>13</v>
      </c>
      <c r="D608" s="101">
        <f t="shared" si="1"/>
        <v>4876.389503</v>
      </c>
      <c r="E608" s="92">
        <f>(SUBSTITUTE(Audio!E608, "RE-", "", 1))*1</f>
        <v>0</v>
      </c>
      <c r="F608" s="92">
        <f>(SUBSTITUTE(Audio!F608, "RE-", "", 1))*1</f>
        <v>232.345</v>
      </c>
      <c r="G608" s="92">
        <f>(SUBSTITUTE(Audio!G608, "RE-", "", 1))*1</f>
        <v>0.971833</v>
      </c>
      <c r="H608" s="92">
        <f>(SUBSTITUTE(Audio!H608, "RE-", "", 1))*1</f>
        <v>87.2216</v>
      </c>
      <c r="I608" s="92">
        <f>(SUBSTITUTE(Audio!I608, "RE-", "", 1))*1</f>
        <v>1.0157</v>
      </c>
      <c r="J608" s="92">
        <f>(SUBSTITUTE(Audio!J608, "RE-", "", 1))*1</f>
        <v>298.359</v>
      </c>
      <c r="K608" s="92">
        <f>(SUBSTITUTE(Audio!K608, "RE-", "", 1))*1</f>
        <v>2.583</v>
      </c>
      <c r="L608" s="92">
        <f>(SUBSTITUTE(Audio!L608, "RE-", "", 1))*1</f>
        <v>623.004</v>
      </c>
      <c r="M608" s="92">
        <f>(SUBSTITUTE(Audio!M608, "RE-", "", 1))*1</f>
        <v>6.80402</v>
      </c>
      <c r="N608" s="92">
        <f>(SUBSTITUTE(Audio!N608, "RE-", "", 1))*1</f>
        <v>956.837</v>
      </c>
      <c r="O608" s="92">
        <f>(SUBSTITUTE(Audio!O608, "RE-", "", 1))*1</f>
        <v>1.88145</v>
      </c>
      <c r="P608" s="92">
        <f>(SUBSTITUTE(Audio!P608, "RE-", "", 1))*1</f>
        <v>939.328</v>
      </c>
      <c r="Q608" s="92">
        <f>(SUBSTITUTE(Audio!Q608, "RE-", "", 1))*1</f>
        <v>33.729</v>
      </c>
      <c r="R608" s="92">
        <f>(SUBSTITUTE(Audio!R608, "RE-", "", 1))*1</f>
        <v>1090.64</v>
      </c>
      <c r="S608" s="92">
        <f>(SUBSTITUTE(Audio!S608, "RE-", "", 1))*1</f>
        <v>43.3707</v>
      </c>
      <c r="T608" s="92">
        <f>(SUBSTITUTE(Audio!T608, "RE-", "", 1))*1</f>
        <v>487.407</v>
      </c>
      <c r="U608" s="92">
        <f>(SUBSTITUTE(Audio!U608, "RE-", "", 1))*1</f>
        <v>52.634</v>
      </c>
      <c r="V608" s="92">
        <f>(SUBSTITUTE(Audio!V608, "RE-", "", 1))*1</f>
        <v>18.2582</v>
      </c>
      <c r="W608" s="92">
        <f>(SUBSTITUTE(Audio!W608, "RE-", "", 1))*1</f>
        <v>0</v>
      </c>
      <c r="X608" s="92">
        <f>(SUBSTITUTE(Audio!X608, "RE-", "", 1))*1</f>
        <v>0</v>
      </c>
      <c r="Y608" s="92">
        <f>(SUBSTITUTE(Audio!Y608, "RE-", "", 1))*1</f>
        <v>0</v>
      </c>
      <c r="Z608" s="92">
        <f>(SUBSTITUTE(Audio!Z608, "RE-", "", 1))*1</f>
        <v>0</v>
      </c>
      <c r="AA608" s="92"/>
      <c r="AB608" s="92"/>
      <c r="AC608" s="92"/>
      <c r="AD608" s="92"/>
      <c r="AE608" s="92"/>
      <c r="AF608" s="92"/>
      <c r="AG608" s="92"/>
      <c r="AH608" s="92"/>
      <c r="AI608" s="92"/>
      <c r="AJ608" s="92"/>
      <c r="AK608" s="92"/>
      <c r="AL608" s="92"/>
      <c r="AM608" s="92"/>
      <c r="AN608" s="92"/>
      <c r="AO608" s="92"/>
      <c r="AP608" s="92"/>
      <c r="AQ608" s="92"/>
      <c r="AR608" s="92"/>
      <c r="AS608" s="92"/>
      <c r="AT608" s="92"/>
      <c r="AU608" s="92"/>
      <c r="AV608" s="92"/>
      <c r="AW608" s="92"/>
      <c r="AX608" s="92"/>
      <c r="AY608" s="92"/>
      <c r="AZ608" s="92"/>
      <c r="BA608" s="92"/>
      <c r="BB608" s="92"/>
      <c r="BC608" s="92"/>
      <c r="BD608" s="92"/>
      <c r="BE608" s="92"/>
      <c r="BF608" s="92"/>
      <c r="BG608" s="92"/>
      <c r="BH608" s="92"/>
      <c r="BI608" s="92"/>
      <c r="BJ608" s="92"/>
      <c r="BK608" s="92"/>
      <c r="BL608" s="92"/>
      <c r="BM608" s="92"/>
      <c r="BN608" s="92"/>
      <c r="BO608" s="92"/>
      <c r="BP608" s="92"/>
      <c r="BQ608" s="92"/>
      <c r="BR608" s="92"/>
      <c r="BS608" s="92"/>
      <c r="BT608" s="92"/>
      <c r="BU608" s="92"/>
      <c r="BV608" s="92"/>
      <c r="BW608" s="92"/>
      <c r="BX608" s="92"/>
      <c r="BY608" s="92"/>
      <c r="BZ608" s="92"/>
      <c r="CA608" s="92"/>
      <c r="CB608" s="92"/>
      <c r="CC608" s="92"/>
      <c r="CD608" s="92"/>
      <c r="CE608" s="92"/>
      <c r="CF608" s="92"/>
      <c r="CG608" s="92"/>
      <c r="CH608" s="92"/>
      <c r="CI608" s="92"/>
      <c r="CJ608" s="92"/>
      <c r="CK608" s="92"/>
      <c r="CL608" s="92"/>
      <c r="CM608" s="92"/>
      <c r="CN608" s="92"/>
      <c r="CO608" s="92"/>
      <c r="CP608" s="92"/>
      <c r="CQ608" s="92"/>
      <c r="CR608" s="92"/>
      <c r="CS608" s="92"/>
      <c r="CT608" s="92"/>
      <c r="CU608" s="92"/>
      <c r="CV608" s="92"/>
      <c r="CW608" s="92"/>
      <c r="CX608" s="92"/>
      <c r="CY608" s="92"/>
      <c r="CZ608" s="92"/>
      <c r="DA608" s="92"/>
      <c r="DB608" s="92"/>
      <c r="DC608" s="92"/>
      <c r="DD608" s="92"/>
      <c r="DE608" s="92"/>
      <c r="DF608" s="92"/>
      <c r="DG608" s="92"/>
      <c r="DH608" s="92"/>
      <c r="DI608" s="92"/>
      <c r="DJ608" s="92"/>
      <c r="DK608" s="92"/>
      <c r="DL608" s="92"/>
      <c r="DM608" s="92"/>
      <c r="DN608" s="92"/>
      <c r="DO608" s="92"/>
      <c r="DP608" s="92"/>
      <c r="DQ608" s="92"/>
      <c r="DR608" s="92"/>
      <c r="DS608" s="92"/>
      <c r="DT608" s="92"/>
      <c r="DU608" s="92"/>
      <c r="DV608" s="92"/>
      <c r="DW608" s="92"/>
      <c r="DX608" s="92"/>
      <c r="DY608" s="92"/>
      <c r="DZ608" s="92"/>
      <c r="EA608" s="92"/>
      <c r="EB608" s="92"/>
      <c r="EC608" s="92"/>
      <c r="ED608" s="92"/>
      <c r="EE608" s="92"/>
      <c r="EF608" s="92"/>
      <c r="EG608" s="92"/>
      <c r="EH608" s="92"/>
      <c r="EI608" s="92"/>
      <c r="EJ608" s="92"/>
      <c r="EK608" s="92"/>
      <c r="EL608" s="92"/>
      <c r="EM608" s="92"/>
      <c r="EN608" s="92"/>
      <c r="EO608" s="92"/>
      <c r="EP608" s="92"/>
      <c r="EQ608" s="92"/>
      <c r="ER608" s="92"/>
      <c r="ES608" s="92"/>
      <c r="ET608" s="92"/>
      <c r="EU608" s="92"/>
      <c r="EV608" s="92"/>
      <c r="EW608" s="92"/>
      <c r="EX608" s="92"/>
      <c r="EY608" s="92"/>
      <c r="EZ608" s="92"/>
      <c r="FA608" s="92"/>
      <c r="FB608" s="92"/>
      <c r="FC608" s="92"/>
      <c r="FD608" s="92"/>
      <c r="FE608" s="92"/>
      <c r="FF608" s="92"/>
      <c r="FG608" s="92"/>
      <c r="FH608" s="92"/>
    </row>
    <row r="609">
      <c r="A609" s="47" t="s">
        <v>28</v>
      </c>
      <c r="B609" s="47" t="s">
        <v>101</v>
      </c>
      <c r="C609" s="47" t="s">
        <v>14</v>
      </c>
      <c r="D609" s="101">
        <f t="shared" si="1"/>
        <v>4261.670483</v>
      </c>
      <c r="E609" s="92">
        <f>(SUBSTITUTE(Audio!E609, "RE-", "", 1))*1</f>
        <v>0</v>
      </c>
      <c r="F609" s="92">
        <f>(SUBSTITUTE(Audio!F609, "RE-", "", 1))*1</f>
        <v>209.267</v>
      </c>
      <c r="G609" s="92">
        <f>(SUBSTITUTE(Audio!G609, "RE-", "", 1))*1</f>
        <v>0.971833</v>
      </c>
      <c r="H609" s="92">
        <f>(SUBSTITUTE(Audio!H609, "RE-", "", 1))*1</f>
        <v>77.6166</v>
      </c>
      <c r="I609" s="92">
        <f>(SUBSTITUTE(Audio!I609, "RE-", "", 1))*1</f>
        <v>1.0157</v>
      </c>
      <c r="J609" s="92">
        <f>(SUBSTITUTE(Audio!J609, "RE-", "", 1))*1</f>
        <v>274.19</v>
      </c>
      <c r="K609" s="92">
        <f>(SUBSTITUTE(Audio!K609, "RE-", "", 1))*1</f>
        <v>2.583</v>
      </c>
      <c r="L609" s="92">
        <f>(SUBSTITUTE(Audio!L609, "RE-", "", 1))*1</f>
        <v>548.548</v>
      </c>
      <c r="M609" s="92">
        <f>(SUBSTITUTE(Audio!M609, "RE-", "", 1))*1</f>
        <v>6.2977</v>
      </c>
      <c r="N609" s="92">
        <f>(SUBSTITUTE(Audio!N609, "RE-", "", 1))*1</f>
        <v>840.625</v>
      </c>
      <c r="O609" s="92">
        <f>(SUBSTITUTE(Audio!O609, "RE-", "", 1))*1</f>
        <v>1.88145</v>
      </c>
      <c r="P609" s="92">
        <f>(SUBSTITUTE(Audio!P609, "RE-", "", 1))*1</f>
        <v>816.474</v>
      </c>
      <c r="Q609" s="92">
        <f>(SUBSTITUTE(Audio!Q609, "RE-", "", 1))*1</f>
        <v>27.8109</v>
      </c>
      <c r="R609" s="92">
        <f>(SUBSTITUTE(Audio!R609, "RE-", "", 1))*1</f>
        <v>942.61</v>
      </c>
      <c r="S609" s="92">
        <f>(SUBSTITUTE(Audio!S609, "RE-", "", 1))*1</f>
        <v>35.9034</v>
      </c>
      <c r="T609" s="92">
        <f>(SUBSTITUTE(Audio!T609, "RE-", "", 1))*1</f>
        <v>416.628</v>
      </c>
      <c r="U609" s="92">
        <f>(SUBSTITUTE(Audio!U609, "RE-", "", 1))*1</f>
        <v>44.0387</v>
      </c>
      <c r="V609" s="92">
        <f>(SUBSTITUTE(Audio!V609, "RE-", "", 1))*1</f>
        <v>15.2092</v>
      </c>
      <c r="W609" s="92">
        <f>(SUBSTITUTE(Audio!W609, "RE-", "", 1))*1</f>
        <v>0</v>
      </c>
      <c r="X609" s="92">
        <f>(SUBSTITUTE(Audio!X609, "RE-", "", 1))*1</f>
        <v>0</v>
      </c>
      <c r="Y609" s="92">
        <f>(SUBSTITUTE(Audio!Y609, "RE-", "", 1))*1</f>
        <v>0</v>
      </c>
      <c r="Z609" s="92">
        <f>(SUBSTITUTE(Audio!Z609, "RE-", "", 1))*1</f>
        <v>0</v>
      </c>
      <c r="AA609" s="92"/>
      <c r="AB609" s="92"/>
      <c r="AC609" s="92"/>
      <c r="AD609" s="92"/>
      <c r="AE609" s="92"/>
      <c r="AF609" s="92"/>
      <c r="AG609" s="92"/>
      <c r="AH609" s="92"/>
      <c r="AI609" s="92"/>
      <c r="AJ609" s="92"/>
      <c r="AK609" s="92"/>
      <c r="AL609" s="92"/>
      <c r="AM609" s="92"/>
      <c r="AN609" s="92"/>
      <c r="AO609" s="92"/>
      <c r="AP609" s="92"/>
      <c r="AQ609" s="92"/>
      <c r="AR609" s="92"/>
      <c r="AS609" s="92"/>
      <c r="AT609" s="92"/>
      <c r="AU609" s="92"/>
      <c r="AV609" s="92"/>
      <c r="AW609" s="92"/>
      <c r="AX609" s="92"/>
      <c r="AY609" s="92"/>
      <c r="AZ609" s="92"/>
      <c r="BA609" s="92"/>
      <c r="BB609" s="92"/>
      <c r="BC609" s="92"/>
      <c r="BD609" s="92"/>
      <c r="BE609" s="92"/>
      <c r="BF609" s="92"/>
      <c r="BG609" s="92"/>
      <c r="BH609" s="92"/>
      <c r="BI609" s="92"/>
      <c r="BJ609" s="92"/>
      <c r="BK609" s="92"/>
      <c r="BL609" s="92"/>
      <c r="BM609" s="92"/>
      <c r="BN609" s="92"/>
      <c r="BO609" s="92"/>
      <c r="BP609" s="92"/>
      <c r="BQ609" s="92"/>
      <c r="BR609" s="92"/>
      <c r="BS609" s="92"/>
      <c r="BT609" s="92"/>
      <c r="BU609" s="92"/>
      <c r="BV609" s="92"/>
      <c r="BW609" s="92"/>
      <c r="BX609" s="92"/>
      <c r="BY609" s="92"/>
      <c r="BZ609" s="92"/>
      <c r="CA609" s="92"/>
      <c r="CB609" s="92"/>
      <c r="CC609" s="92"/>
      <c r="CD609" s="92"/>
      <c r="CE609" s="92"/>
      <c r="CF609" s="92"/>
      <c r="CG609" s="92"/>
      <c r="CH609" s="92"/>
      <c r="CI609" s="92"/>
      <c r="CJ609" s="92"/>
      <c r="CK609" s="92"/>
      <c r="CL609" s="92"/>
      <c r="CM609" s="92"/>
      <c r="CN609" s="92"/>
      <c r="CO609" s="92"/>
      <c r="CP609" s="92"/>
      <c r="CQ609" s="92"/>
      <c r="CR609" s="92"/>
      <c r="CS609" s="92"/>
      <c r="CT609" s="92"/>
      <c r="CU609" s="92"/>
      <c r="CV609" s="92"/>
      <c r="CW609" s="92"/>
      <c r="CX609" s="92"/>
      <c r="CY609" s="92"/>
      <c r="CZ609" s="92"/>
      <c r="DA609" s="92"/>
      <c r="DB609" s="92"/>
      <c r="DC609" s="92"/>
      <c r="DD609" s="92"/>
      <c r="DE609" s="92"/>
      <c r="DF609" s="92"/>
      <c r="DG609" s="92"/>
      <c r="DH609" s="92"/>
      <c r="DI609" s="92"/>
      <c r="DJ609" s="92"/>
      <c r="DK609" s="92"/>
      <c r="DL609" s="92"/>
      <c r="DM609" s="92"/>
      <c r="DN609" s="92"/>
      <c r="DO609" s="92"/>
      <c r="DP609" s="92"/>
      <c r="DQ609" s="92"/>
      <c r="DR609" s="92"/>
      <c r="DS609" s="92"/>
      <c r="DT609" s="92"/>
      <c r="DU609" s="92"/>
      <c r="DV609" s="92"/>
      <c r="DW609" s="92"/>
      <c r="DX609" s="92"/>
      <c r="DY609" s="92"/>
      <c r="DZ609" s="92"/>
      <c r="EA609" s="92"/>
      <c r="EB609" s="92"/>
      <c r="EC609" s="92"/>
      <c r="ED609" s="92"/>
      <c r="EE609" s="92"/>
      <c r="EF609" s="92"/>
      <c r="EG609" s="92"/>
      <c r="EH609" s="92"/>
      <c r="EI609" s="92"/>
      <c r="EJ609" s="92"/>
      <c r="EK609" s="92"/>
      <c r="EL609" s="92"/>
      <c r="EM609" s="92"/>
      <c r="EN609" s="92"/>
      <c r="EO609" s="92"/>
      <c r="EP609" s="92"/>
      <c r="EQ609" s="92"/>
      <c r="ER609" s="92"/>
      <c r="ES609" s="92"/>
      <c r="ET609" s="92"/>
      <c r="EU609" s="92"/>
      <c r="EV609" s="92"/>
      <c r="EW609" s="92"/>
      <c r="EX609" s="92"/>
      <c r="EY609" s="92"/>
      <c r="EZ609" s="92"/>
      <c r="FA609" s="92"/>
      <c r="FB609" s="92"/>
      <c r="FC609" s="92"/>
      <c r="FD609" s="92"/>
      <c r="FE609" s="92"/>
      <c r="FF609" s="92"/>
      <c r="FG609" s="92"/>
      <c r="FH609" s="92"/>
    </row>
    <row r="610">
      <c r="A610" s="48" t="s">
        <v>28</v>
      </c>
      <c r="B610" s="48" t="s">
        <v>101</v>
      </c>
      <c r="C610" s="48" t="s">
        <v>15</v>
      </c>
      <c r="D610" s="99">
        <f t="shared" si="1"/>
        <v>4876.389503</v>
      </c>
      <c r="E610" s="92">
        <f>(SUBSTITUTE(Audio!E610, "RE-", "", 1))*1</f>
        <v>0</v>
      </c>
      <c r="F610" s="92">
        <f>(SUBSTITUTE(Audio!F610, "RE-", "", 1))*1</f>
        <v>232.345</v>
      </c>
      <c r="G610" s="92">
        <f>(SUBSTITUTE(Audio!G610, "RE-", "", 1))*1</f>
        <v>0.971833</v>
      </c>
      <c r="H610" s="92">
        <f>(SUBSTITUTE(Audio!H610, "RE-", "", 1))*1</f>
        <v>87.2216</v>
      </c>
      <c r="I610" s="92">
        <f>(SUBSTITUTE(Audio!I610, "RE-", "", 1))*1</f>
        <v>1.0157</v>
      </c>
      <c r="J610" s="92">
        <f>(SUBSTITUTE(Audio!J610, "RE-", "", 1))*1</f>
        <v>298.359</v>
      </c>
      <c r="K610" s="92">
        <f>(SUBSTITUTE(Audio!K610, "RE-", "", 1))*1</f>
        <v>2.583</v>
      </c>
      <c r="L610" s="92">
        <f>(SUBSTITUTE(Audio!L610, "RE-", "", 1))*1</f>
        <v>623.004</v>
      </c>
      <c r="M610" s="92">
        <f>(SUBSTITUTE(Audio!M610, "RE-", "", 1))*1</f>
        <v>6.80402</v>
      </c>
      <c r="N610" s="92">
        <f>(SUBSTITUTE(Audio!N610, "RE-", "", 1))*1</f>
        <v>956.837</v>
      </c>
      <c r="O610" s="92">
        <f>(SUBSTITUTE(Audio!O610, "RE-", "", 1))*1</f>
        <v>1.88145</v>
      </c>
      <c r="P610" s="92">
        <f>(SUBSTITUTE(Audio!P610, "RE-", "", 1))*1</f>
        <v>939.328</v>
      </c>
      <c r="Q610" s="92">
        <f>(SUBSTITUTE(Audio!Q610, "RE-", "", 1))*1</f>
        <v>33.729</v>
      </c>
      <c r="R610" s="92">
        <f>(SUBSTITUTE(Audio!R610, "RE-", "", 1))*1</f>
        <v>1090.64</v>
      </c>
      <c r="S610" s="92">
        <f>(SUBSTITUTE(Audio!S610, "RE-", "", 1))*1</f>
        <v>43.3707</v>
      </c>
      <c r="T610" s="92">
        <f>(SUBSTITUTE(Audio!T610, "RE-", "", 1))*1</f>
        <v>487.407</v>
      </c>
      <c r="U610" s="92">
        <f>(SUBSTITUTE(Audio!U610, "RE-", "", 1))*1</f>
        <v>52.634</v>
      </c>
      <c r="V610" s="92">
        <f>(SUBSTITUTE(Audio!V610, "RE-", "", 1))*1</f>
        <v>18.2582</v>
      </c>
      <c r="W610" s="92">
        <f>(SUBSTITUTE(Audio!W610, "RE-", "", 1))*1</f>
        <v>0</v>
      </c>
      <c r="X610" s="92">
        <f>(SUBSTITUTE(Audio!X610, "RE-", "", 1))*1</f>
        <v>0</v>
      </c>
      <c r="Y610" s="92">
        <f>(SUBSTITUTE(Audio!Y610, "RE-", "", 1))*1</f>
        <v>0</v>
      </c>
      <c r="Z610" s="92">
        <f>(SUBSTITUTE(Audio!Z610, "RE-", "", 1))*1</f>
        <v>0</v>
      </c>
      <c r="AA610" s="92"/>
      <c r="AB610" s="92"/>
      <c r="AC610" s="92"/>
      <c r="AD610" s="92"/>
      <c r="AE610" s="92"/>
      <c r="AF610" s="92"/>
      <c r="AG610" s="92"/>
      <c r="AH610" s="92"/>
      <c r="AI610" s="92"/>
      <c r="AJ610" s="92"/>
      <c r="AK610" s="92"/>
      <c r="AL610" s="92"/>
      <c r="AM610" s="92"/>
      <c r="AN610" s="92"/>
      <c r="AO610" s="92"/>
      <c r="AP610" s="92"/>
      <c r="AQ610" s="92"/>
      <c r="AR610" s="92"/>
      <c r="AS610" s="92"/>
      <c r="AT610" s="92"/>
      <c r="AU610" s="92"/>
      <c r="AV610" s="92"/>
      <c r="AW610" s="92"/>
      <c r="AX610" s="92"/>
      <c r="AY610" s="92"/>
      <c r="AZ610" s="92"/>
      <c r="BA610" s="92"/>
      <c r="BB610" s="92"/>
      <c r="BC610" s="92"/>
      <c r="BD610" s="92"/>
      <c r="BE610" s="92"/>
      <c r="BF610" s="92"/>
      <c r="BG610" s="92"/>
      <c r="BH610" s="92"/>
      <c r="BI610" s="92"/>
      <c r="BJ610" s="92"/>
      <c r="BK610" s="92"/>
      <c r="BL610" s="92"/>
      <c r="BM610" s="92"/>
      <c r="BN610" s="92"/>
      <c r="BO610" s="92"/>
      <c r="BP610" s="92"/>
      <c r="BQ610" s="92"/>
      <c r="BR610" s="92"/>
      <c r="BS610" s="92"/>
      <c r="BT610" s="92"/>
      <c r="BU610" s="92"/>
      <c r="BV610" s="92"/>
      <c r="BW610" s="92"/>
      <c r="BX610" s="92"/>
      <c r="BY610" s="92"/>
      <c r="BZ610" s="92"/>
      <c r="CA610" s="92"/>
      <c r="CB610" s="92"/>
      <c r="CC610" s="92"/>
      <c r="CD610" s="92"/>
      <c r="CE610" s="92"/>
      <c r="CF610" s="92"/>
      <c r="CG610" s="92"/>
      <c r="CH610" s="92"/>
      <c r="CI610" s="92"/>
      <c r="CJ610" s="92"/>
      <c r="CK610" s="92"/>
      <c r="CL610" s="92"/>
      <c r="CM610" s="92"/>
      <c r="CN610" s="92"/>
      <c r="CO610" s="92"/>
      <c r="CP610" s="92"/>
      <c r="CQ610" s="92"/>
      <c r="CR610" s="92"/>
      <c r="CS610" s="92"/>
      <c r="CT610" s="92"/>
      <c r="CU610" s="92"/>
      <c r="CV610" s="92"/>
      <c r="CW610" s="92"/>
      <c r="CX610" s="92"/>
      <c r="CY610" s="92"/>
      <c r="CZ610" s="92"/>
      <c r="DA610" s="92"/>
      <c r="DB610" s="92"/>
      <c r="DC610" s="92"/>
      <c r="DD610" s="92"/>
      <c r="DE610" s="92"/>
      <c r="DF610" s="92"/>
      <c r="DG610" s="92"/>
      <c r="DH610" s="92"/>
      <c r="DI610" s="92"/>
      <c r="DJ610" s="92"/>
      <c r="DK610" s="92"/>
      <c r="DL610" s="92"/>
      <c r="DM610" s="92"/>
      <c r="DN610" s="92"/>
      <c r="DO610" s="92"/>
      <c r="DP610" s="92"/>
      <c r="DQ610" s="92"/>
      <c r="DR610" s="92"/>
      <c r="DS610" s="92"/>
      <c r="DT610" s="92"/>
      <c r="DU610" s="92"/>
      <c r="DV610" s="92"/>
      <c r="DW610" s="92"/>
      <c r="DX610" s="92"/>
      <c r="DY610" s="92"/>
      <c r="DZ610" s="92"/>
      <c r="EA610" s="92"/>
      <c r="EB610" s="92"/>
      <c r="EC610" s="92"/>
      <c r="ED610" s="92"/>
      <c r="EE610" s="92"/>
      <c r="EF610" s="92"/>
      <c r="EG610" s="92"/>
      <c r="EH610" s="92"/>
      <c r="EI610" s="92"/>
      <c r="EJ610" s="92"/>
      <c r="EK610" s="92"/>
      <c r="EL610" s="92"/>
      <c r="EM610" s="92"/>
      <c r="EN610" s="92"/>
      <c r="EO610" s="92"/>
      <c r="EP610" s="92"/>
      <c r="EQ610" s="92"/>
      <c r="ER610" s="92"/>
      <c r="ES610" s="92"/>
      <c r="ET610" s="92"/>
      <c r="EU610" s="92"/>
      <c r="EV610" s="92"/>
      <c r="EW610" s="92"/>
      <c r="EX610" s="92"/>
      <c r="EY610" s="92"/>
      <c r="EZ610" s="92"/>
      <c r="FA610" s="92"/>
      <c r="FB610" s="92"/>
      <c r="FC610" s="92"/>
      <c r="FD610" s="92"/>
      <c r="FE610" s="92"/>
      <c r="FF610" s="92"/>
      <c r="FG610" s="92"/>
      <c r="FH610" s="92"/>
    </row>
    <row r="611">
      <c r="A611" s="45" t="s">
        <v>28</v>
      </c>
      <c r="B611" s="45" t="s">
        <v>102</v>
      </c>
      <c r="C611" s="46" t="str">
        <f>HYPERLINK("https://docs.google.com/spreadsheets/d/1luLojkx2TNO4-6H-rne2PK9oXk9Xvepx/edit?usp=share_link&amp;ouid=106501987799020758802&amp;rtpof=true&amp;sd=true", "Raw Delivered")</f>
        <v>Raw Delivered</v>
      </c>
      <c r="D611" s="100">
        <f t="shared" si="1"/>
        <v>4565.319005</v>
      </c>
      <c r="E611" s="92">
        <f>(SUBSTITUTE(Audio!E611, "RE-", "", 1))*1</f>
        <v>0</v>
      </c>
      <c r="F611" s="92">
        <f>(SUBSTITUTE(Audio!F611, "RE-", "", 1))*1</f>
        <v>206.4421844</v>
      </c>
      <c r="G611" s="92">
        <f>(SUBSTITUTE(Audio!G611, "RE-", "", 1))*1</f>
        <v>0</v>
      </c>
      <c r="H611" s="92">
        <f>(SUBSTITUTE(Audio!H611, "RE-", "", 1))*1</f>
        <v>50.23546458</v>
      </c>
      <c r="I611" s="92">
        <f>(SUBSTITUTE(Audio!I611, "RE-", "", 1))*1</f>
        <v>0</v>
      </c>
      <c r="J611" s="92">
        <f>(SUBSTITUTE(Audio!J611, "RE-", "", 1))*1</f>
        <v>24.40833125</v>
      </c>
      <c r="K611" s="92">
        <f>(SUBSTITUTE(Audio!K611, "RE-", "", 1))*1</f>
        <v>0</v>
      </c>
      <c r="L611" s="92">
        <f>(SUBSTITUTE(Audio!L611, "RE-", "", 1))*1</f>
        <v>623.139374</v>
      </c>
      <c r="M611" s="92">
        <f>(SUBSTITUTE(Audio!M611, "RE-", "", 1))*1</f>
        <v>0</v>
      </c>
      <c r="N611" s="92">
        <f>(SUBSTITUTE(Audio!N611, "RE-", "", 1))*1</f>
        <v>1332.734878</v>
      </c>
      <c r="O611" s="92">
        <f>(SUBSTITUTE(Audio!O611, "RE-", "", 1))*1</f>
        <v>0</v>
      </c>
      <c r="P611" s="92">
        <f>(SUBSTITUTE(Audio!P611, "RE-", "", 1))*1</f>
        <v>972.4894698</v>
      </c>
      <c r="Q611" s="92">
        <f>(SUBSTITUTE(Audio!Q611, "RE-", "", 1))*1</f>
        <v>0</v>
      </c>
      <c r="R611" s="92">
        <f>(SUBSTITUTE(Audio!R611, "RE-", "", 1))*1</f>
        <v>923.6638615</v>
      </c>
      <c r="S611" s="92">
        <f>(SUBSTITUTE(Audio!S611, "RE-", "", 1))*1</f>
        <v>0</v>
      </c>
      <c r="T611" s="92">
        <f>(SUBSTITUTE(Audio!T611, "RE-", "", 1))*1</f>
        <v>432.2054417</v>
      </c>
      <c r="U611" s="92">
        <f>(SUBSTITUTE(Audio!U611, "RE-", "", 1))*1</f>
        <v>0</v>
      </c>
      <c r="V611" s="92">
        <f>(SUBSTITUTE(Audio!V611, "RE-", "", 1))*1</f>
        <v>0</v>
      </c>
      <c r="W611" s="92">
        <f>(SUBSTITUTE(Audio!W611, "RE-", "", 1))*1</f>
        <v>0</v>
      </c>
      <c r="X611" s="92">
        <f>(SUBSTITUTE(Audio!X611, "RE-", "", 1))*1</f>
        <v>0</v>
      </c>
      <c r="Y611" s="92">
        <f>(SUBSTITUTE(Audio!Y611, "RE-", "", 1))*1</f>
        <v>0</v>
      </c>
      <c r="Z611" s="92">
        <f>(SUBSTITUTE(Audio!Z611, "RE-", "", 1))*1</f>
        <v>0</v>
      </c>
      <c r="AA611" s="92"/>
      <c r="AB611" s="92"/>
      <c r="AC611" s="92"/>
      <c r="AD611" s="92"/>
      <c r="AE611" s="92"/>
      <c r="AF611" s="92"/>
      <c r="AG611" s="92"/>
      <c r="AH611" s="92"/>
      <c r="AI611" s="92"/>
      <c r="AJ611" s="92"/>
      <c r="AK611" s="92"/>
      <c r="AL611" s="92"/>
      <c r="AM611" s="92"/>
      <c r="AN611" s="92"/>
      <c r="AO611" s="92"/>
      <c r="AP611" s="92"/>
      <c r="AQ611" s="92"/>
      <c r="AR611" s="92"/>
      <c r="AS611" s="92"/>
      <c r="AT611" s="92"/>
      <c r="AU611" s="92"/>
      <c r="AV611" s="92"/>
      <c r="AW611" s="92"/>
      <c r="AX611" s="92"/>
      <c r="AY611" s="92"/>
      <c r="AZ611" s="92"/>
      <c r="BA611" s="92"/>
      <c r="BB611" s="92"/>
      <c r="BC611" s="92"/>
      <c r="BD611" s="92"/>
      <c r="BE611" s="92"/>
      <c r="BF611" s="92"/>
      <c r="BG611" s="92"/>
      <c r="BH611" s="92"/>
      <c r="BI611" s="92"/>
      <c r="BJ611" s="92"/>
      <c r="BK611" s="92"/>
      <c r="BL611" s="92"/>
      <c r="BM611" s="92"/>
      <c r="BN611" s="92"/>
      <c r="BO611" s="92"/>
      <c r="BP611" s="92"/>
      <c r="BQ611" s="92"/>
      <c r="BR611" s="92"/>
      <c r="BS611" s="92"/>
      <c r="BT611" s="92"/>
      <c r="BU611" s="92"/>
      <c r="BV611" s="92"/>
      <c r="BW611" s="92"/>
      <c r="BX611" s="92"/>
      <c r="BY611" s="92"/>
      <c r="BZ611" s="92"/>
      <c r="CA611" s="92"/>
      <c r="CB611" s="92"/>
      <c r="CC611" s="92"/>
      <c r="CD611" s="92"/>
      <c r="CE611" s="92"/>
      <c r="CF611" s="92"/>
      <c r="CG611" s="92"/>
      <c r="CH611" s="92"/>
      <c r="CI611" s="92"/>
      <c r="CJ611" s="92"/>
      <c r="CK611" s="92"/>
      <c r="CL611" s="92"/>
      <c r="CM611" s="92"/>
      <c r="CN611" s="92"/>
      <c r="CO611" s="92"/>
      <c r="CP611" s="92"/>
      <c r="CQ611" s="92"/>
      <c r="CR611" s="92"/>
      <c r="CS611" s="92"/>
      <c r="CT611" s="92"/>
      <c r="CU611" s="92"/>
      <c r="CV611" s="92"/>
      <c r="CW611" s="92"/>
      <c r="CX611" s="92"/>
      <c r="CY611" s="92"/>
      <c r="CZ611" s="92"/>
      <c r="DA611" s="92"/>
      <c r="DB611" s="92"/>
      <c r="DC611" s="92"/>
      <c r="DD611" s="92"/>
      <c r="DE611" s="92"/>
      <c r="DF611" s="92"/>
      <c r="DG611" s="92"/>
      <c r="DH611" s="92"/>
      <c r="DI611" s="92"/>
      <c r="DJ611" s="92"/>
      <c r="DK611" s="92"/>
      <c r="DL611" s="92"/>
      <c r="DM611" s="92"/>
      <c r="DN611" s="92"/>
      <c r="DO611" s="92"/>
      <c r="DP611" s="92"/>
      <c r="DQ611" s="92"/>
      <c r="DR611" s="92"/>
      <c r="DS611" s="92"/>
      <c r="DT611" s="92"/>
      <c r="DU611" s="92"/>
      <c r="DV611" s="92"/>
      <c r="DW611" s="92"/>
      <c r="DX611" s="92"/>
      <c r="DY611" s="92"/>
      <c r="DZ611" s="92"/>
      <c r="EA611" s="92"/>
      <c r="EB611" s="92"/>
      <c r="EC611" s="92"/>
      <c r="ED611" s="92"/>
      <c r="EE611" s="92"/>
      <c r="EF611" s="92"/>
      <c r="EG611" s="92"/>
      <c r="EH611" s="92"/>
      <c r="EI611" s="92"/>
      <c r="EJ611" s="92"/>
      <c r="EK611" s="92"/>
      <c r="EL611" s="92"/>
      <c r="EM611" s="92"/>
      <c r="EN611" s="92"/>
      <c r="EO611" s="92"/>
      <c r="EP611" s="92"/>
      <c r="EQ611" s="92"/>
      <c r="ER611" s="92"/>
      <c r="ES611" s="92"/>
      <c r="ET611" s="92"/>
      <c r="EU611" s="92"/>
      <c r="EV611" s="92"/>
      <c r="EW611" s="92"/>
      <c r="EX611" s="92"/>
      <c r="EY611" s="92"/>
      <c r="EZ611" s="92"/>
      <c r="FA611" s="92"/>
      <c r="FB611" s="92"/>
      <c r="FC611" s="92"/>
      <c r="FD611" s="92"/>
      <c r="FE611" s="92"/>
      <c r="FF611" s="92"/>
      <c r="FG611" s="92"/>
      <c r="FH611" s="92"/>
    </row>
    <row r="612">
      <c r="A612" s="47" t="s">
        <v>28</v>
      </c>
      <c r="B612" s="47" t="s">
        <v>102</v>
      </c>
      <c r="C612" s="47" t="s">
        <v>9</v>
      </c>
      <c r="D612" s="101">
        <f t="shared" si="1"/>
        <v>4565.319005</v>
      </c>
      <c r="E612" s="92">
        <f>(SUBSTITUTE(Audio!E612, "RE-", "", 1))*1</f>
        <v>0</v>
      </c>
      <c r="F612" s="92">
        <f>(SUBSTITUTE(Audio!F612, "RE-", "", 1))*1</f>
        <v>206.4421844</v>
      </c>
      <c r="G612" s="92">
        <f>(SUBSTITUTE(Audio!G612, "RE-", "", 1))*1</f>
        <v>0</v>
      </c>
      <c r="H612" s="92">
        <f>(SUBSTITUTE(Audio!H612, "RE-", "", 1))*1</f>
        <v>50.23546458</v>
      </c>
      <c r="I612" s="92">
        <f>(SUBSTITUTE(Audio!I612, "RE-", "", 1))*1</f>
        <v>0</v>
      </c>
      <c r="J612" s="92">
        <f>(SUBSTITUTE(Audio!J612, "RE-", "", 1))*1</f>
        <v>24.40833125</v>
      </c>
      <c r="K612" s="92">
        <f>(SUBSTITUTE(Audio!K612, "RE-", "", 1))*1</f>
        <v>0</v>
      </c>
      <c r="L612" s="92">
        <f>(SUBSTITUTE(Audio!L612, "RE-", "", 1))*1</f>
        <v>623.139374</v>
      </c>
      <c r="M612" s="92">
        <f>(SUBSTITUTE(Audio!M612, "RE-", "", 1))*1</f>
        <v>0</v>
      </c>
      <c r="N612" s="92">
        <f>(SUBSTITUTE(Audio!N612, "RE-", "", 1))*1</f>
        <v>1332.734878</v>
      </c>
      <c r="O612" s="92">
        <f>(SUBSTITUTE(Audio!O612, "RE-", "", 1))*1</f>
        <v>0</v>
      </c>
      <c r="P612" s="92">
        <f>(SUBSTITUTE(Audio!P612, "RE-", "", 1))*1</f>
        <v>972.4894698</v>
      </c>
      <c r="Q612" s="92">
        <f>(SUBSTITUTE(Audio!Q612, "RE-", "", 1))*1</f>
        <v>0</v>
      </c>
      <c r="R612" s="92">
        <f>(SUBSTITUTE(Audio!R612, "RE-", "", 1))*1</f>
        <v>923.6638615</v>
      </c>
      <c r="S612" s="92">
        <f>(SUBSTITUTE(Audio!S612, "RE-", "", 1))*1</f>
        <v>0</v>
      </c>
      <c r="T612" s="92">
        <f>(SUBSTITUTE(Audio!T612, "RE-", "", 1))*1</f>
        <v>432.2054417</v>
      </c>
      <c r="U612" s="92">
        <f>(SUBSTITUTE(Audio!U612, "RE-", "", 1))*1</f>
        <v>0</v>
      </c>
      <c r="V612" s="92">
        <f>(SUBSTITUTE(Audio!V612, "RE-", "", 1))*1</f>
        <v>0</v>
      </c>
      <c r="W612" s="92">
        <f>(SUBSTITUTE(Audio!W612, "RE-", "", 1))*1</f>
        <v>0</v>
      </c>
      <c r="X612" s="92">
        <f>(SUBSTITUTE(Audio!X612, "RE-", "", 1))*1</f>
        <v>0</v>
      </c>
      <c r="Y612" s="92">
        <f>(SUBSTITUTE(Audio!Y612, "RE-", "", 1))*1</f>
        <v>0</v>
      </c>
      <c r="Z612" s="92">
        <f>(SUBSTITUTE(Audio!Z612, "RE-", "", 1))*1</f>
        <v>0</v>
      </c>
      <c r="AA612" s="92"/>
      <c r="AB612" s="92"/>
      <c r="AC612" s="92"/>
      <c r="AD612" s="92"/>
      <c r="AE612" s="92"/>
      <c r="AF612" s="92"/>
      <c r="AG612" s="92"/>
      <c r="AH612" s="92"/>
      <c r="AI612" s="92"/>
      <c r="AJ612" s="92"/>
      <c r="AK612" s="92"/>
      <c r="AL612" s="92"/>
      <c r="AM612" s="92"/>
      <c r="AN612" s="92"/>
      <c r="AO612" s="92"/>
      <c r="AP612" s="92"/>
      <c r="AQ612" s="92"/>
      <c r="AR612" s="92"/>
      <c r="AS612" s="92"/>
      <c r="AT612" s="92"/>
      <c r="AU612" s="92"/>
      <c r="AV612" s="92"/>
      <c r="AW612" s="92"/>
      <c r="AX612" s="92"/>
      <c r="AY612" s="92"/>
      <c r="AZ612" s="92"/>
      <c r="BA612" s="92"/>
      <c r="BB612" s="92"/>
      <c r="BC612" s="92"/>
      <c r="BD612" s="92"/>
      <c r="BE612" s="92"/>
      <c r="BF612" s="92"/>
      <c r="BG612" s="92"/>
      <c r="BH612" s="92"/>
      <c r="BI612" s="92"/>
      <c r="BJ612" s="92"/>
      <c r="BK612" s="92"/>
      <c r="BL612" s="92"/>
      <c r="BM612" s="92"/>
      <c r="BN612" s="92"/>
      <c r="BO612" s="92"/>
      <c r="BP612" s="92"/>
      <c r="BQ612" s="92"/>
      <c r="BR612" s="92"/>
      <c r="BS612" s="92"/>
      <c r="BT612" s="92"/>
      <c r="BU612" s="92"/>
      <c r="BV612" s="92"/>
      <c r="BW612" s="92"/>
      <c r="BX612" s="92"/>
      <c r="BY612" s="92"/>
      <c r="BZ612" s="92"/>
      <c r="CA612" s="92"/>
      <c r="CB612" s="92"/>
      <c r="CC612" s="92"/>
      <c r="CD612" s="92"/>
      <c r="CE612" s="92"/>
      <c r="CF612" s="92"/>
      <c r="CG612" s="92"/>
      <c r="CH612" s="92"/>
      <c r="CI612" s="92"/>
      <c r="CJ612" s="92"/>
      <c r="CK612" s="92"/>
      <c r="CL612" s="92"/>
      <c r="CM612" s="92"/>
      <c r="CN612" s="92"/>
      <c r="CO612" s="92"/>
      <c r="CP612" s="92"/>
      <c r="CQ612" s="92"/>
      <c r="CR612" s="92"/>
      <c r="CS612" s="92"/>
      <c r="CT612" s="92"/>
      <c r="CU612" s="92"/>
      <c r="CV612" s="92"/>
      <c r="CW612" s="92"/>
      <c r="CX612" s="92"/>
      <c r="CY612" s="92"/>
      <c r="CZ612" s="92"/>
      <c r="DA612" s="92"/>
      <c r="DB612" s="92"/>
      <c r="DC612" s="92"/>
      <c r="DD612" s="92"/>
      <c r="DE612" s="92"/>
      <c r="DF612" s="92"/>
      <c r="DG612" s="92"/>
      <c r="DH612" s="92"/>
      <c r="DI612" s="92"/>
      <c r="DJ612" s="92"/>
      <c r="DK612" s="92"/>
      <c r="DL612" s="92"/>
      <c r="DM612" s="92"/>
      <c r="DN612" s="92"/>
      <c r="DO612" s="92"/>
      <c r="DP612" s="92"/>
      <c r="DQ612" s="92"/>
      <c r="DR612" s="92"/>
      <c r="DS612" s="92"/>
      <c r="DT612" s="92"/>
      <c r="DU612" s="92"/>
      <c r="DV612" s="92"/>
      <c r="DW612" s="92"/>
      <c r="DX612" s="92"/>
      <c r="DY612" s="92"/>
      <c r="DZ612" s="92"/>
      <c r="EA612" s="92"/>
      <c r="EB612" s="92"/>
      <c r="EC612" s="92"/>
      <c r="ED612" s="92"/>
      <c r="EE612" s="92"/>
      <c r="EF612" s="92"/>
      <c r="EG612" s="92"/>
      <c r="EH612" s="92"/>
      <c r="EI612" s="92"/>
      <c r="EJ612" s="92"/>
      <c r="EK612" s="92"/>
      <c r="EL612" s="92"/>
      <c r="EM612" s="92"/>
      <c r="EN612" s="92"/>
      <c r="EO612" s="92"/>
      <c r="EP612" s="92"/>
      <c r="EQ612" s="92"/>
      <c r="ER612" s="92"/>
      <c r="ES612" s="92"/>
      <c r="ET612" s="92"/>
      <c r="EU612" s="92"/>
      <c r="EV612" s="92"/>
      <c r="EW612" s="92"/>
      <c r="EX612" s="92"/>
      <c r="EY612" s="92"/>
      <c r="EZ612" s="92"/>
      <c r="FA612" s="92"/>
      <c r="FB612" s="92"/>
      <c r="FC612" s="92"/>
      <c r="FD612" s="92"/>
      <c r="FE612" s="92"/>
      <c r="FF612" s="92"/>
      <c r="FG612" s="92"/>
      <c r="FH612" s="92"/>
    </row>
    <row r="613">
      <c r="A613" s="47" t="s">
        <v>28</v>
      </c>
      <c r="B613" s="47" t="s">
        <v>102</v>
      </c>
      <c r="C613" s="47" t="s">
        <v>10</v>
      </c>
      <c r="D613" s="101">
        <f t="shared" si="1"/>
        <v>430.8388948</v>
      </c>
      <c r="E613" s="92">
        <f>(SUBSTITUTE(Audio!E613, "RE-", "", 1))*1</f>
        <v>0</v>
      </c>
      <c r="F613" s="92">
        <f>(SUBSTITUTE(Audio!F613, "RE-", "", 1))*1</f>
        <v>0</v>
      </c>
      <c r="G613" s="92">
        <f>(SUBSTITUTE(Audio!G613, "RE-", "", 1))*1</f>
        <v>26.65426458</v>
      </c>
      <c r="H613" s="92">
        <f>(SUBSTITUTE(Audio!H613, "RE-", "", 1))*1</f>
        <v>0</v>
      </c>
      <c r="I613" s="92">
        <f>(SUBSTITUTE(Audio!I613, "RE-", "", 1))*1</f>
        <v>13.34572708</v>
      </c>
      <c r="J613" s="92">
        <f>(SUBSTITUTE(Audio!J613, "RE-", "", 1))*1</f>
        <v>0</v>
      </c>
      <c r="K613" s="92">
        <f>(SUBSTITUTE(Audio!K613, "RE-", "", 1))*1</f>
        <v>5.146345833</v>
      </c>
      <c r="L613" s="92">
        <f>(SUBSTITUTE(Audio!L613, "RE-", "", 1))*1</f>
        <v>0</v>
      </c>
      <c r="M613" s="92">
        <f>(SUBSTITUTE(Audio!M613, "RE-", "", 1))*1</f>
        <v>9.197808333</v>
      </c>
      <c r="N613" s="92">
        <f>(SUBSTITUTE(Audio!N613, "RE-", "", 1))*1</f>
        <v>0</v>
      </c>
      <c r="O613" s="92">
        <f>(SUBSTITUTE(Audio!O613, "RE-", "", 1))*1</f>
        <v>158.8854188</v>
      </c>
      <c r="P613" s="92">
        <f>(SUBSTITUTE(Audio!P613, "RE-", "", 1))*1</f>
        <v>0</v>
      </c>
      <c r="Q613" s="92">
        <f>(SUBSTITUTE(Audio!Q613, "RE-", "", 1))*1</f>
        <v>96.13996042</v>
      </c>
      <c r="R613" s="92">
        <f>(SUBSTITUTE(Audio!R613, "RE-", "", 1))*1</f>
        <v>0</v>
      </c>
      <c r="S613" s="92">
        <f>(SUBSTITUTE(Audio!S613, "RE-", "", 1))*1</f>
        <v>54.02036458</v>
      </c>
      <c r="T613" s="92">
        <f>(SUBSTITUTE(Audio!T613, "RE-", "", 1))*1</f>
        <v>0</v>
      </c>
      <c r="U613" s="92">
        <f>(SUBSTITUTE(Audio!U613, "RE-", "", 1))*1</f>
        <v>56.53789479</v>
      </c>
      <c r="V613" s="92">
        <f>(SUBSTITUTE(Audio!V613, "RE-", "", 1))*1</f>
        <v>10.91111042</v>
      </c>
      <c r="W613" s="92">
        <f>(SUBSTITUTE(Audio!W613, "RE-", "", 1))*1</f>
        <v>0</v>
      </c>
      <c r="X613" s="92">
        <f>(SUBSTITUTE(Audio!X613, "RE-", "", 1))*1</f>
        <v>0</v>
      </c>
      <c r="Y613" s="92">
        <f>(SUBSTITUTE(Audio!Y613, "RE-", "", 1))*1</f>
        <v>0</v>
      </c>
      <c r="Z613" s="92">
        <f>(SUBSTITUTE(Audio!Z613, "RE-", "", 1))*1</f>
        <v>0</v>
      </c>
      <c r="AA613" s="92"/>
      <c r="AB613" s="92"/>
      <c r="AC613" s="92"/>
      <c r="AD613" s="92"/>
      <c r="AE613" s="92"/>
      <c r="AF613" s="92"/>
      <c r="AG613" s="92"/>
      <c r="AH613" s="92"/>
      <c r="AI613" s="92"/>
      <c r="AJ613" s="92"/>
      <c r="AK613" s="92"/>
      <c r="AL613" s="92"/>
      <c r="AM613" s="92"/>
      <c r="AN613" s="92"/>
      <c r="AO613" s="92"/>
      <c r="AP613" s="92"/>
      <c r="AQ613" s="92"/>
      <c r="AR613" s="92"/>
      <c r="AS613" s="92"/>
      <c r="AT613" s="92"/>
      <c r="AU613" s="92"/>
      <c r="AV613" s="92"/>
      <c r="AW613" s="92"/>
      <c r="AX613" s="92"/>
      <c r="AY613" s="92"/>
      <c r="AZ613" s="92"/>
      <c r="BA613" s="92"/>
      <c r="BB613" s="92"/>
      <c r="BC613" s="92"/>
      <c r="BD613" s="92"/>
      <c r="BE613" s="92"/>
      <c r="BF613" s="92"/>
      <c r="BG613" s="92"/>
      <c r="BH613" s="92"/>
      <c r="BI613" s="92"/>
      <c r="BJ613" s="92"/>
      <c r="BK613" s="92"/>
      <c r="BL613" s="92"/>
      <c r="BM613" s="92"/>
      <c r="BN613" s="92"/>
      <c r="BO613" s="92"/>
      <c r="BP613" s="92"/>
      <c r="BQ613" s="92"/>
      <c r="BR613" s="92"/>
      <c r="BS613" s="92"/>
      <c r="BT613" s="92"/>
      <c r="BU613" s="92"/>
      <c r="BV613" s="92"/>
      <c r="BW613" s="92"/>
      <c r="BX613" s="92"/>
      <c r="BY613" s="92"/>
      <c r="BZ613" s="92"/>
      <c r="CA613" s="92"/>
      <c r="CB613" s="92"/>
      <c r="CC613" s="92"/>
      <c r="CD613" s="92"/>
      <c r="CE613" s="92"/>
      <c r="CF613" s="92"/>
      <c r="CG613" s="92"/>
      <c r="CH613" s="92"/>
      <c r="CI613" s="92"/>
      <c r="CJ613" s="92"/>
      <c r="CK613" s="92"/>
      <c r="CL613" s="92"/>
      <c r="CM613" s="92"/>
      <c r="CN613" s="92"/>
      <c r="CO613" s="92"/>
      <c r="CP613" s="92"/>
      <c r="CQ613" s="92"/>
      <c r="CR613" s="92"/>
      <c r="CS613" s="92"/>
      <c r="CT613" s="92"/>
      <c r="CU613" s="92"/>
      <c r="CV613" s="92"/>
      <c r="CW613" s="92"/>
      <c r="CX613" s="92"/>
      <c r="CY613" s="92"/>
      <c r="CZ613" s="92"/>
      <c r="DA613" s="92"/>
      <c r="DB613" s="92"/>
      <c r="DC613" s="92"/>
      <c r="DD613" s="92"/>
      <c r="DE613" s="92"/>
      <c r="DF613" s="92"/>
      <c r="DG613" s="92"/>
      <c r="DH613" s="92"/>
      <c r="DI613" s="92"/>
      <c r="DJ613" s="92"/>
      <c r="DK613" s="92"/>
      <c r="DL613" s="92"/>
      <c r="DM613" s="92"/>
      <c r="DN613" s="92"/>
      <c r="DO613" s="92"/>
      <c r="DP613" s="92"/>
      <c r="DQ613" s="92"/>
      <c r="DR613" s="92"/>
      <c r="DS613" s="92"/>
      <c r="DT613" s="92"/>
      <c r="DU613" s="92"/>
      <c r="DV613" s="92"/>
      <c r="DW613" s="92"/>
      <c r="DX613" s="92"/>
      <c r="DY613" s="92"/>
      <c r="DZ613" s="92"/>
      <c r="EA613" s="92"/>
      <c r="EB613" s="92"/>
      <c r="EC613" s="92"/>
      <c r="ED613" s="92"/>
      <c r="EE613" s="92"/>
      <c r="EF613" s="92"/>
      <c r="EG613" s="92"/>
      <c r="EH613" s="92"/>
      <c r="EI613" s="92"/>
      <c r="EJ613" s="92"/>
      <c r="EK613" s="92"/>
      <c r="EL613" s="92"/>
      <c r="EM613" s="92"/>
      <c r="EN613" s="92"/>
      <c r="EO613" s="92"/>
      <c r="EP613" s="92"/>
      <c r="EQ613" s="92"/>
      <c r="ER613" s="92"/>
      <c r="ES613" s="92"/>
      <c r="ET613" s="92"/>
      <c r="EU613" s="92"/>
      <c r="EV613" s="92"/>
      <c r="EW613" s="92"/>
      <c r="EX613" s="92"/>
      <c r="EY613" s="92"/>
      <c r="EZ613" s="92"/>
      <c r="FA613" s="92"/>
      <c r="FB613" s="92"/>
      <c r="FC613" s="92"/>
      <c r="FD613" s="92"/>
      <c r="FE613" s="92"/>
      <c r="FF613" s="92"/>
      <c r="FG613" s="92"/>
      <c r="FH613" s="92"/>
    </row>
    <row r="614">
      <c r="A614" s="47" t="s">
        <v>28</v>
      </c>
      <c r="B614" s="47" t="s">
        <v>102</v>
      </c>
      <c r="C614" s="47" t="s">
        <v>11</v>
      </c>
      <c r="D614" s="101">
        <f t="shared" si="1"/>
        <v>430.8388948</v>
      </c>
      <c r="E614" s="92">
        <f>(SUBSTITUTE(Audio!E614, "RE-", "", 1))*1</f>
        <v>0</v>
      </c>
      <c r="F614" s="92">
        <f>(SUBSTITUTE(Audio!F614, "RE-", "", 1))*1</f>
        <v>0</v>
      </c>
      <c r="G614" s="92">
        <f>(SUBSTITUTE(Audio!G614, "RE-", "", 1))*1</f>
        <v>26.65426458</v>
      </c>
      <c r="H614" s="92">
        <f>(SUBSTITUTE(Audio!H614, "RE-", "", 1))*1</f>
        <v>0</v>
      </c>
      <c r="I614" s="92">
        <f>(SUBSTITUTE(Audio!I614, "RE-", "", 1))*1</f>
        <v>13.34572708</v>
      </c>
      <c r="J614" s="92">
        <f>(SUBSTITUTE(Audio!J614, "RE-", "", 1))*1</f>
        <v>0</v>
      </c>
      <c r="K614" s="92">
        <f>(SUBSTITUTE(Audio!K614, "RE-", "", 1))*1</f>
        <v>5.146345833</v>
      </c>
      <c r="L614" s="92">
        <f>(SUBSTITUTE(Audio!L614, "RE-", "", 1))*1</f>
        <v>0</v>
      </c>
      <c r="M614" s="92">
        <f>(SUBSTITUTE(Audio!M614, "RE-", "", 1))*1</f>
        <v>9.197808333</v>
      </c>
      <c r="N614" s="92">
        <f>(SUBSTITUTE(Audio!N614, "RE-", "", 1))*1</f>
        <v>0</v>
      </c>
      <c r="O614" s="92">
        <f>(SUBSTITUTE(Audio!O614, "RE-", "", 1))*1</f>
        <v>158.8854188</v>
      </c>
      <c r="P614" s="92">
        <f>(SUBSTITUTE(Audio!P614, "RE-", "", 1))*1</f>
        <v>0</v>
      </c>
      <c r="Q614" s="92">
        <f>(SUBSTITUTE(Audio!Q614, "RE-", "", 1))*1</f>
        <v>96.13996042</v>
      </c>
      <c r="R614" s="92">
        <f>(SUBSTITUTE(Audio!R614, "RE-", "", 1))*1</f>
        <v>0</v>
      </c>
      <c r="S614" s="92">
        <f>(SUBSTITUTE(Audio!S614, "RE-", "", 1))*1</f>
        <v>54.02036458</v>
      </c>
      <c r="T614" s="92">
        <f>(SUBSTITUTE(Audio!T614, "RE-", "", 1))*1</f>
        <v>0</v>
      </c>
      <c r="U614" s="92">
        <f>(SUBSTITUTE(Audio!U614, "RE-", "", 1))*1</f>
        <v>56.53789479</v>
      </c>
      <c r="V614" s="92">
        <f>(SUBSTITUTE(Audio!V614, "RE-", "", 1))*1</f>
        <v>10.91111042</v>
      </c>
      <c r="W614" s="92">
        <f>(SUBSTITUTE(Audio!W614, "RE-", "", 1))*1</f>
        <v>0</v>
      </c>
      <c r="X614" s="92">
        <f>(SUBSTITUTE(Audio!X614, "RE-", "", 1))*1</f>
        <v>0</v>
      </c>
      <c r="Y614" s="92">
        <f>(SUBSTITUTE(Audio!Y614, "RE-", "", 1))*1</f>
        <v>0</v>
      </c>
      <c r="Z614" s="92">
        <f>(SUBSTITUTE(Audio!Z614, "RE-", "", 1))*1</f>
        <v>0</v>
      </c>
      <c r="AA614" s="92"/>
      <c r="AB614" s="92"/>
      <c r="AC614" s="92"/>
      <c r="AD614" s="92"/>
      <c r="AE614" s="92"/>
      <c r="AF614" s="92"/>
      <c r="AG614" s="92"/>
      <c r="AH614" s="92"/>
      <c r="AI614" s="92"/>
      <c r="AJ614" s="92"/>
      <c r="AK614" s="92"/>
      <c r="AL614" s="92"/>
      <c r="AM614" s="92"/>
      <c r="AN614" s="92"/>
      <c r="AO614" s="92"/>
      <c r="AP614" s="92"/>
      <c r="AQ614" s="92"/>
      <c r="AR614" s="92"/>
      <c r="AS614" s="92"/>
      <c r="AT614" s="92"/>
      <c r="AU614" s="92"/>
      <c r="AV614" s="92"/>
      <c r="AW614" s="92"/>
      <c r="AX614" s="92"/>
      <c r="AY614" s="92"/>
      <c r="AZ614" s="92"/>
      <c r="BA614" s="92"/>
      <c r="BB614" s="92"/>
      <c r="BC614" s="92"/>
      <c r="BD614" s="92"/>
      <c r="BE614" s="92"/>
      <c r="BF614" s="92"/>
      <c r="BG614" s="92"/>
      <c r="BH614" s="92"/>
      <c r="BI614" s="92"/>
      <c r="BJ614" s="92"/>
      <c r="BK614" s="92"/>
      <c r="BL614" s="92"/>
      <c r="BM614" s="92"/>
      <c r="BN614" s="92"/>
      <c r="BO614" s="92"/>
      <c r="BP614" s="92"/>
      <c r="BQ614" s="92"/>
      <c r="BR614" s="92"/>
      <c r="BS614" s="92"/>
      <c r="BT614" s="92"/>
      <c r="BU614" s="92"/>
      <c r="BV614" s="92"/>
      <c r="BW614" s="92"/>
      <c r="BX614" s="92"/>
      <c r="BY614" s="92"/>
      <c r="BZ614" s="92"/>
      <c r="CA614" s="92"/>
      <c r="CB614" s="92"/>
      <c r="CC614" s="92"/>
      <c r="CD614" s="92"/>
      <c r="CE614" s="92"/>
      <c r="CF614" s="92"/>
      <c r="CG614" s="92"/>
      <c r="CH614" s="92"/>
      <c r="CI614" s="92"/>
      <c r="CJ614" s="92"/>
      <c r="CK614" s="92"/>
      <c r="CL614" s="92"/>
      <c r="CM614" s="92"/>
      <c r="CN614" s="92"/>
      <c r="CO614" s="92"/>
      <c r="CP614" s="92"/>
      <c r="CQ614" s="92"/>
      <c r="CR614" s="92"/>
      <c r="CS614" s="92"/>
      <c r="CT614" s="92"/>
      <c r="CU614" s="92"/>
      <c r="CV614" s="92"/>
      <c r="CW614" s="92"/>
      <c r="CX614" s="92"/>
      <c r="CY614" s="92"/>
      <c r="CZ614" s="92"/>
      <c r="DA614" s="92"/>
      <c r="DB614" s="92"/>
      <c r="DC614" s="92"/>
      <c r="DD614" s="92"/>
      <c r="DE614" s="92"/>
      <c r="DF614" s="92"/>
      <c r="DG614" s="92"/>
      <c r="DH614" s="92"/>
      <c r="DI614" s="92"/>
      <c r="DJ614" s="92"/>
      <c r="DK614" s="92"/>
      <c r="DL614" s="92"/>
      <c r="DM614" s="92"/>
      <c r="DN614" s="92"/>
      <c r="DO614" s="92"/>
      <c r="DP614" s="92"/>
      <c r="DQ614" s="92"/>
      <c r="DR614" s="92"/>
      <c r="DS614" s="92"/>
      <c r="DT614" s="92"/>
      <c r="DU614" s="92"/>
      <c r="DV614" s="92"/>
      <c r="DW614" s="92"/>
      <c r="DX614" s="92"/>
      <c r="DY614" s="92"/>
      <c r="DZ614" s="92"/>
      <c r="EA614" s="92"/>
      <c r="EB614" s="92"/>
      <c r="EC614" s="92"/>
      <c r="ED614" s="92"/>
      <c r="EE614" s="92"/>
      <c r="EF614" s="92"/>
      <c r="EG614" s="92"/>
      <c r="EH614" s="92"/>
      <c r="EI614" s="92"/>
      <c r="EJ614" s="92"/>
      <c r="EK614" s="92"/>
      <c r="EL614" s="92"/>
      <c r="EM614" s="92"/>
      <c r="EN614" s="92"/>
      <c r="EO614" s="92"/>
      <c r="EP614" s="92"/>
      <c r="EQ614" s="92"/>
      <c r="ER614" s="92"/>
      <c r="ES614" s="92"/>
      <c r="ET614" s="92"/>
      <c r="EU614" s="92"/>
      <c r="EV614" s="92"/>
      <c r="EW614" s="92"/>
      <c r="EX614" s="92"/>
      <c r="EY614" s="92"/>
      <c r="EZ614" s="92"/>
      <c r="FA614" s="92"/>
      <c r="FB614" s="92"/>
      <c r="FC614" s="92"/>
      <c r="FD614" s="92"/>
      <c r="FE614" s="92"/>
      <c r="FF614" s="92"/>
      <c r="FG614" s="92"/>
      <c r="FH614" s="92"/>
    </row>
    <row r="615">
      <c r="A615" s="47" t="s">
        <v>28</v>
      </c>
      <c r="B615" s="47" t="s">
        <v>102</v>
      </c>
      <c r="C615" s="47" t="s">
        <v>12</v>
      </c>
      <c r="D615" s="101">
        <f t="shared" si="1"/>
        <v>3792.004704</v>
      </c>
      <c r="E615" s="92">
        <f>(SUBSTITUTE(Audio!E615, "RE-", "", 1))*1</f>
        <v>0</v>
      </c>
      <c r="F615" s="92">
        <f>(SUBSTITUTE(Audio!F615, "RE-", "", 1))*1</f>
        <v>153.7206281</v>
      </c>
      <c r="G615" s="92">
        <f>(SUBSTITUTE(Audio!G615, "RE-", "", 1))*1</f>
        <v>0.8988375</v>
      </c>
      <c r="H615" s="92">
        <f>(SUBSTITUTE(Audio!H615, "RE-", "", 1))*1</f>
        <v>32.78743542</v>
      </c>
      <c r="I615" s="92">
        <f>(SUBSTITUTE(Audio!I615, "RE-", "", 1))*1</f>
        <v>0</v>
      </c>
      <c r="J615" s="92">
        <f>(SUBSTITUTE(Audio!J615, "RE-", "", 1))*1</f>
        <v>13.77750833</v>
      </c>
      <c r="K615" s="92">
        <f>(SUBSTITUTE(Audio!K615, "RE-", "", 1))*1</f>
        <v>0</v>
      </c>
      <c r="L615" s="92">
        <f>(SUBSTITUTE(Audio!L615, "RE-", "", 1))*1</f>
        <v>585.2850677</v>
      </c>
      <c r="M615" s="92">
        <f>(SUBSTITUTE(Audio!M615, "RE-", "", 1))*1</f>
        <v>1.379702083</v>
      </c>
      <c r="N615" s="92">
        <f>(SUBSTITUTE(Audio!N615, "RE-", "", 1))*1</f>
        <v>765.6942208</v>
      </c>
      <c r="O615" s="92">
        <f>(SUBSTITUTE(Audio!O615, "RE-", "", 1))*1</f>
        <v>3.8006875</v>
      </c>
      <c r="P615" s="92">
        <f>(SUBSTITUTE(Audio!P615, "RE-", "", 1))*1</f>
        <v>870.6861042</v>
      </c>
      <c r="Q615" s="92">
        <f>(SUBSTITUTE(Audio!Q615, "RE-", "", 1))*1</f>
        <v>26.2337125</v>
      </c>
      <c r="R615" s="92">
        <f>(SUBSTITUTE(Audio!R615, "RE-", "", 1))*1</f>
        <v>882.5076729</v>
      </c>
      <c r="S615" s="92">
        <f>(SUBSTITUTE(Audio!S615, "RE-", "", 1))*1</f>
        <v>15.67409479</v>
      </c>
      <c r="T615" s="92">
        <f>(SUBSTITUTE(Audio!T615, "RE-", "", 1))*1</f>
        <v>398.662525</v>
      </c>
      <c r="U615" s="92">
        <f>(SUBSTITUTE(Audio!U615, "RE-", "", 1))*1</f>
        <v>33.04877396</v>
      </c>
      <c r="V615" s="92">
        <f>(SUBSTITUTE(Audio!V615, "RE-", "", 1))*1</f>
        <v>7.847733333</v>
      </c>
      <c r="W615" s="92">
        <f>(SUBSTITUTE(Audio!W615, "RE-", "", 1))*1</f>
        <v>0</v>
      </c>
      <c r="X615" s="92">
        <f>(SUBSTITUTE(Audio!X615, "RE-", "", 1))*1</f>
        <v>0</v>
      </c>
      <c r="Y615" s="92">
        <f>(SUBSTITUTE(Audio!Y615, "RE-", "", 1))*1</f>
        <v>0</v>
      </c>
      <c r="Z615" s="92">
        <f>(SUBSTITUTE(Audio!Z615, "RE-", "", 1))*1</f>
        <v>0</v>
      </c>
      <c r="AA615" s="92"/>
      <c r="AB615" s="92"/>
      <c r="AC615" s="92"/>
      <c r="AD615" s="92"/>
      <c r="AE615" s="92"/>
      <c r="AF615" s="92"/>
      <c r="AG615" s="92"/>
      <c r="AH615" s="92"/>
      <c r="AI615" s="92"/>
      <c r="AJ615" s="92"/>
      <c r="AK615" s="92"/>
      <c r="AL615" s="92"/>
      <c r="AM615" s="92"/>
      <c r="AN615" s="92"/>
      <c r="AO615" s="92"/>
      <c r="AP615" s="92"/>
      <c r="AQ615" s="92"/>
      <c r="AR615" s="92"/>
      <c r="AS615" s="92"/>
      <c r="AT615" s="92"/>
      <c r="AU615" s="92"/>
      <c r="AV615" s="92"/>
      <c r="AW615" s="92"/>
      <c r="AX615" s="92"/>
      <c r="AY615" s="92"/>
      <c r="AZ615" s="92"/>
      <c r="BA615" s="92"/>
      <c r="BB615" s="92"/>
      <c r="BC615" s="92"/>
      <c r="BD615" s="92"/>
      <c r="BE615" s="92"/>
      <c r="BF615" s="92"/>
      <c r="BG615" s="92"/>
      <c r="BH615" s="92"/>
      <c r="BI615" s="92"/>
      <c r="BJ615" s="92"/>
      <c r="BK615" s="92"/>
      <c r="BL615" s="92"/>
      <c r="BM615" s="92"/>
      <c r="BN615" s="92"/>
      <c r="BO615" s="92"/>
      <c r="BP615" s="92"/>
      <c r="BQ615" s="92"/>
      <c r="BR615" s="92"/>
      <c r="BS615" s="92"/>
      <c r="BT615" s="92"/>
      <c r="BU615" s="92"/>
      <c r="BV615" s="92"/>
      <c r="BW615" s="92"/>
      <c r="BX615" s="92"/>
      <c r="BY615" s="92"/>
      <c r="BZ615" s="92"/>
      <c r="CA615" s="92"/>
      <c r="CB615" s="92"/>
      <c r="CC615" s="92"/>
      <c r="CD615" s="92"/>
      <c r="CE615" s="92"/>
      <c r="CF615" s="92"/>
      <c r="CG615" s="92"/>
      <c r="CH615" s="92"/>
      <c r="CI615" s="92"/>
      <c r="CJ615" s="92"/>
      <c r="CK615" s="92"/>
      <c r="CL615" s="92"/>
      <c r="CM615" s="92"/>
      <c r="CN615" s="92"/>
      <c r="CO615" s="92"/>
      <c r="CP615" s="92"/>
      <c r="CQ615" s="92"/>
      <c r="CR615" s="92"/>
      <c r="CS615" s="92"/>
      <c r="CT615" s="92"/>
      <c r="CU615" s="92"/>
      <c r="CV615" s="92"/>
      <c r="CW615" s="92"/>
      <c r="CX615" s="92"/>
      <c r="CY615" s="92"/>
      <c r="CZ615" s="92"/>
      <c r="DA615" s="92"/>
      <c r="DB615" s="92"/>
      <c r="DC615" s="92"/>
      <c r="DD615" s="92"/>
      <c r="DE615" s="92"/>
      <c r="DF615" s="92"/>
      <c r="DG615" s="92"/>
      <c r="DH615" s="92"/>
      <c r="DI615" s="92"/>
      <c r="DJ615" s="92"/>
      <c r="DK615" s="92"/>
      <c r="DL615" s="92"/>
      <c r="DM615" s="92"/>
      <c r="DN615" s="92"/>
      <c r="DO615" s="92"/>
      <c r="DP615" s="92"/>
      <c r="DQ615" s="92"/>
      <c r="DR615" s="92"/>
      <c r="DS615" s="92"/>
      <c r="DT615" s="92"/>
      <c r="DU615" s="92"/>
      <c r="DV615" s="92"/>
      <c r="DW615" s="92"/>
      <c r="DX615" s="92"/>
      <c r="DY615" s="92"/>
      <c r="DZ615" s="92"/>
      <c r="EA615" s="92"/>
      <c r="EB615" s="92"/>
      <c r="EC615" s="92"/>
      <c r="ED615" s="92"/>
      <c r="EE615" s="92"/>
      <c r="EF615" s="92"/>
      <c r="EG615" s="92"/>
      <c r="EH615" s="92"/>
      <c r="EI615" s="92"/>
      <c r="EJ615" s="92"/>
      <c r="EK615" s="92"/>
      <c r="EL615" s="92"/>
      <c r="EM615" s="92"/>
      <c r="EN615" s="92"/>
      <c r="EO615" s="92"/>
      <c r="EP615" s="92"/>
      <c r="EQ615" s="92"/>
      <c r="ER615" s="92"/>
      <c r="ES615" s="92"/>
      <c r="ET615" s="92"/>
      <c r="EU615" s="92"/>
      <c r="EV615" s="92"/>
      <c r="EW615" s="92"/>
      <c r="EX615" s="92"/>
      <c r="EY615" s="92"/>
      <c r="EZ615" s="92"/>
      <c r="FA615" s="92"/>
      <c r="FB615" s="92"/>
      <c r="FC615" s="92"/>
      <c r="FD615" s="92"/>
      <c r="FE615" s="92"/>
      <c r="FF615" s="92"/>
      <c r="FG615" s="92"/>
      <c r="FH615" s="92"/>
    </row>
    <row r="616">
      <c r="A616" s="47" t="s">
        <v>28</v>
      </c>
      <c r="B616" s="47" t="s">
        <v>102</v>
      </c>
      <c r="C616" s="47" t="s">
        <v>13</v>
      </c>
      <c r="D616" s="101">
        <f t="shared" si="1"/>
        <v>3622.37245</v>
      </c>
      <c r="E616" s="92">
        <f>(SUBSTITUTE(Audio!E616, "RE-", "", 1))*1</f>
        <v>0</v>
      </c>
      <c r="F616" s="92">
        <f>(SUBSTITUTE(Audio!F616, "RE-", "", 1))*1</f>
        <v>147.61</v>
      </c>
      <c r="G616" s="92">
        <f>(SUBSTITUTE(Audio!G616, "RE-", "", 1))*1</f>
        <v>0.85975</v>
      </c>
      <c r="H616" s="92">
        <f>(SUBSTITUTE(Audio!H616, "RE-", "", 1))*1</f>
        <v>30.9385</v>
      </c>
      <c r="I616" s="92">
        <f>(SUBSTITUTE(Audio!I616, "RE-", "", 1))*1</f>
        <v>0</v>
      </c>
      <c r="J616" s="92">
        <f>(SUBSTITUTE(Audio!J616, "RE-", "", 1))*1</f>
        <v>13.4091</v>
      </c>
      <c r="K616" s="92">
        <f>(SUBSTITUTE(Audio!K616, "RE-", "", 1))*1</f>
        <v>0</v>
      </c>
      <c r="L616" s="92">
        <f>(SUBSTITUTE(Audio!L616, "RE-", "", 1))*1</f>
        <v>563.235</v>
      </c>
      <c r="M616" s="92">
        <f>(SUBSTITUTE(Audio!M616, "RE-", "", 1))*1</f>
        <v>1.29142</v>
      </c>
      <c r="N616" s="92">
        <f>(SUBSTITUTE(Audio!N616, "RE-", "", 1))*1</f>
        <v>738.097</v>
      </c>
      <c r="O616" s="92">
        <f>(SUBSTITUTE(Audio!O616, "RE-", "", 1))*1</f>
        <v>3.6076</v>
      </c>
      <c r="P616" s="92">
        <f>(SUBSTITUTE(Audio!P616, "RE-", "", 1))*1</f>
        <v>827.158</v>
      </c>
      <c r="Q616" s="92">
        <f>(SUBSTITUTE(Audio!Q616, "RE-", "", 1))*1</f>
        <v>24.9988</v>
      </c>
      <c r="R616" s="92">
        <f>(SUBSTITUTE(Audio!R616, "RE-", "", 1))*1</f>
        <v>840.634</v>
      </c>
      <c r="S616" s="92">
        <f>(SUBSTITUTE(Audio!S616, "RE-", "", 1))*1</f>
        <v>14.8379</v>
      </c>
      <c r="T616" s="92">
        <f>(SUBSTITUTE(Audio!T616, "RE-", "", 1))*1</f>
        <v>377.469</v>
      </c>
      <c r="U616" s="92">
        <f>(SUBSTITUTE(Audio!U616, "RE-", "", 1))*1</f>
        <v>30.8656</v>
      </c>
      <c r="V616" s="92">
        <f>(SUBSTITUTE(Audio!V616, "RE-", "", 1))*1</f>
        <v>7.36078</v>
      </c>
      <c r="W616" s="92">
        <f>(SUBSTITUTE(Audio!W616, "RE-", "", 1))*1</f>
        <v>0</v>
      </c>
      <c r="X616" s="92">
        <f>(SUBSTITUTE(Audio!X616, "RE-", "", 1))*1</f>
        <v>0</v>
      </c>
      <c r="Y616" s="92">
        <f>(SUBSTITUTE(Audio!Y616, "RE-", "", 1))*1</f>
        <v>0</v>
      </c>
      <c r="Z616" s="92">
        <f>(SUBSTITUTE(Audio!Z616, "RE-", "", 1))*1</f>
        <v>0</v>
      </c>
      <c r="AA616" s="92"/>
      <c r="AB616" s="92"/>
      <c r="AC616" s="92"/>
      <c r="AD616" s="92"/>
      <c r="AE616" s="92"/>
      <c r="AF616" s="92"/>
      <c r="AG616" s="92"/>
      <c r="AH616" s="92"/>
      <c r="AI616" s="92"/>
      <c r="AJ616" s="92"/>
      <c r="AK616" s="92"/>
      <c r="AL616" s="92"/>
      <c r="AM616" s="92"/>
      <c r="AN616" s="92"/>
      <c r="AO616" s="92"/>
      <c r="AP616" s="92"/>
      <c r="AQ616" s="92"/>
      <c r="AR616" s="92"/>
      <c r="AS616" s="92"/>
      <c r="AT616" s="92"/>
      <c r="AU616" s="92"/>
      <c r="AV616" s="92"/>
      <c r="AW616" s="92"/>
      <c r="AX616" s="92"/>
      <c r="AY616" s="92"/>
      <c r="AZ616" s="92"/>
      <c r="BA616" s="92"/>
      <c r="BB616" s="92"/>
      <c r="BC616" s="92"/>
      <c r="BD616" s="92"/>
      <c r="BE616" s="92"/>
      <c r="BF616" s="92"/>
      <c r="BG616" s="92"/>
      <c r="BH616" s="92"/>
      <c r="BI616" s="92"/>
      <c r="BJ616" s="92"/>
      <c r="BK616" s="92"/>
      <c r="BL616" s="92"/>
      <c r="BM616" s="92"/>
      <c r="BN616" s="92"/>
      <c r="BO616" s="92"/>
      <c r="BP616" s="92"/>
      <c r="BQ616" s="92"/>
      <c r="BR616" s="92"/>
      <c r="BS616" s="92"/>
      <c r="BT616" s="92"/>
      <c r="BU616" s="92"/>
      <c r="BV616" s="92"/>
      <c r="BW616" s="92"/>
      <c r="BX616" s="92"/>
      <c r="BY616" s="92"/>
      <c r="BZ616" s="92"/>
      <c r="CA616" s="92"/>
      <c r="CB616" s="92"/>
      <c r="CC616" s="92"/>
      <c r="CD616" s="92"/>
      <c r="CE616" s="92"/>
      <c r="CF616" s="92"/>
      <c r="CG616" s="92"/>
      <c r="CH616" s="92"/>
      <c r="CI616" s="92"/>
      <c r="CJ616" s="92"/>
      <c r="CK616" s="92"/>
      <c r="CL616" s="92"/>
      <c r="CM616" s="92"/>
      <c r="CN616" s="92"/>
      <c r="CO616" s="92"/>
      <c r="CP616" s="92"/>
      <c r="CQ616" s="92"/>
      <c r="CR616" s="92"/>
      <c r="CS616" s="92"/>
      <c r="CT616" s="92"/>
      <c r="CU616" s="92"/>
      <c r="CV616" s="92"/>
      <c r="CW616" s="92"/>
      <c r="CX616" s="92"/>
      <c r="CY616" s="92"/>
      <c r="CZ616" s="92"/>
      <c r="DA616" s="92"/>
      <c r="DB616" s="92"/>
      <c r="DC616" s="92"/>
      <c r="DD616" s="92"/>
      <c r="DE616" s="92"/>
      <c r="DF616" s="92"/>
      <c r="DG616" s="92"/>
      <c r="DH616" s="92"/>
      <c r="DI616" s="92"/>
      <c r="DJ616" s="92"/>
      <c r="DK616" s="92"/>
      <c r="DL616" s="92"/>
      <c r="DM616" s="92"/>
      <c r="DN616" s="92"/>
      <c r="DO616" s="92"/>
      <c r="DP616" s="92"/>
      <c r="DQ616" s="92"/>
      <c r="DR616" s="92"/>
      <c r="DS616" s="92"/>
      <c r="DT616" s="92"/>
      <c r="DU616" s="92"/>
      <c r="DV616" s="92"/>
      <c r="DW616" s="92"/>
      <c r="DX616" s="92"/>
      <c r="DY616" s="92"/>
      <c r="DZ616" s="92"/>
      <c r="EA616" s="92"/>
      <c r="EB616" s="92"/>
      <c r="EC616" s="92"/>
      <c r="ED616" s="92"/>
      <c r="EE616" s="92"/>
      <c r="EF616" s="92"/>
      <c r="EG616" s="92"/>
      <c r="EH616" s="92"/>
      <c r="EI616" s="92"/>
      <c r="EJ616" s="92"/>
      <c r="EK616" s="92"/>
      <c r="EL616" s="92"/>
      <c r="EM616" s="92"/>
      <c r="EN616" s="92"/>
      <c r="EO616" s="92"/>
      <c r="EP616" s="92"/>
      <c r="EQ616" s="92"/>
      <c r="ER616" s="92"/>
      <c r="ES616" s="92"/>
      <c r="ET616" s="92"/>
      <c r="EU616" s="92"/>
      <c r="EV616" s="92"/>
      <c r="EW616" s="92"/>
      <c r="EX616" s="92"/>
      <c r="EY616" s="92"/>
      <c r="EZ616" s="92"/>
      <c r="FA616" s="92"/>
      <c r="FB616" s="92"/>
      <c r="FC616" s="92"/>
      <c r="FD616" s="92"/>
      <c r="FE616" s="92"/>
      <c r="FF616" s="92"/>
      <c r="FG616" s="92"/>
      <c r="FH616" s="92"/>
    </row>
    <row r="617">
      <c r="A617" s="47" t="s">
        <v>28</v>
      </c>
      <c r="B617" s="47" t="s">
        <v>102</v>
      </c>
      <c r="C617" s="47" t="s">
        <v>14</v>
      </c>
      <c r="D617" s="101">
        <f t="shared" si="1"/>
        <v>3159.05662</v>
      </c>
      <c r="E617" s="92">
        <f>(SUBSTITUTE(Audio!E617, "RE-", "", 1))*1</f>
        <v>0</v>
      </c>
      <c r="F617" s="92">
        <f>(SUBSTITUTE(Audio!F617, "RE-", "", 1))*1</f>
        <v>137.303</v>
      </c>
      <c r="G617" s="92">
        <f>(SUBSTITUTE(Audio!G617, "RE-", "", 1))*1</f>
        <v>0.85975</v>
      </c>
      <c r="H617" s="92">
        <f>(SUBSTITUTE(Audio!H617, "RE-", "", 1))*1</f>
        <v>25.2215</v>
      </c>
      <c r="I617" s="92">
        <f>(SUBSTITUTE(Audio!I617, "RE-", "", 1))*1</f>
        <v>0</v>
      </c>
      <c r="J617" s="92">
        <f>(SUBSTITUTE(Audio!J617, "RE-", "", 1))*1</f>
        <v>12.5155</v>
      </c>
      <c r="K617" s="92">
        <f>(SUBSTITUTE(Audio!K617, "RE-", "", 1))*1</f>
        <v>0</v>
      </c>
      <c r="L617" s="92">
        <f>(SUBSTITUTE(Audio!L617, "RE-", "", 1))*1</f>
        <v>489.236</v>
      </c>
      <c r="M617" s="92">
        <f>(SUBSTITUTE(Audio!M617, "RE-", "", 1))*1</f>
        <v>1.29142</v>
      </c>
      <c r="N617" s="92">
        <f>(SUBSTITUTE(Audio!N617, "RE-", "", 1))*1</f>
        <v>642.279</v>
      </c>
      <c r="O617" s="92">
        <f>(SUBSTITUTE(Audio!O617, "RE-", "", 1))*1</f>
        <v>3.6076</v>
      </c>
      <c r="P617" s="92">
        <f>(SUBSTITUTE(Audio!P617, "RE-", "", 1))*1</f>
        <v>722.105</v>
      </c>
      <c r="Q617" s="92">
        <f>(SUBSTITUTE(Audio!Q617, "RE-", "", 1))*1</f>
        <v>22.5164</v>
      </c>
      <c r="R617" s="92">
        <f>(SUBSTITUTE(Audio!R617, "RE-", "", 1))*1</f>
        <v>729.981</v>
      </c>
      <c r="S617" s="92">
        <f>(SUBSTITUTE(Audio!S617, "RE-", "", 1))*1</f>
        <v>12.7685</v>
      </c>
      <c r="T617" s="92">
        <f>(SUBSTITUTE(Audio!T617, "RE-", "", 1))*1</f>
        <v>325.548</v>
      </c>
      <c r="U617" s="92">
        <f>(SUBSTITUTE(Audio!U617, "RE-", "", 1))*1</f>
        <v>27.9057</v>
      </c>
      <c r="V617" s="92">
        <f>(SUBSTITUTE(Audio!V617, "RE-", "", 1))*1</f>
        <v>5.91825</v>
      </c>
      <c r="W617" s="92">
        <f>(SUBSTITUTE(Audio!W617, "RE-", "", 1))*1</f>
        <v>0</v>
      </c>
      <c r="X617" s="92">
        <f>(SUBSTITUTE(Audio!X617, "RE-", "", 1))*1</f>
        <v>0</v>
      </c>
      <c r="Y617" s="92">
        <f>(SUBSTITUTE(Audio!Y617, "RE-", "", 1))*1</f>
        <v>0</v>
      </c>
      <c r="Z617" s="92">
        <f>(SUBSTITUTE(Audio!Z617, "RE-", "", 1))*1</f>
        <v>0</v>
      </c>
      <c r="AA617" s="92"/>
      <c r="AB617" s="92"/>
      <c r="AC617" s="92"/>
      <c r="AD617" s="92"/>
      <c r="AE617" s="92"/>
      <c r="AF617" s="92"/>
      <c r="AG617" s="92"/>
      <c r="AH617" s="92"/>
      <c r="AI617" s="92"/>
      <c r="AJ617" s="92"/>
      <c r="AK617" s="92"/>
      <c r="AL617" s="92"/>
      <c r="AM617" s="92"/>
      <c r="AN617" s="92"/>
      <c r="AO617" s="92"/>
      <c r="AP617" s="92"/>
      <c r="AQ617" s="92"/>
      <c r="AR617" s="92"/>
      <c r="AS617" s="92"/>
      <c r="AT617" s="92"/>
      <c r="AU617" s="92"/>
      <c r="AV617" s="92"/>
      <c r="AW617" s="92"/>
      <c r="AX617" s="92"/>
      <c r="AY617" s="92"/>
      <c r="AZ617" s="92"/>
      <c r="BA617" s="92"/>
      <c r="BB617" s="92"/>
      <c r="BC617" s="92"/>
      <c r="BD617" s="92"/>
      <c r="BE617" s="92"/>
      <c r="BF617" s="92"/>
      <c r="BG617" s="92"/>
      <c r="BH617" s="92"/>
      <c r="BI617" s="92"/>
      <c r="BJ617" s="92"/>
      <c r="BK617" s="92"/>
      <c r="BL617" s="92"/>
      <c r="BM617" s="92"/>
      <c r="BN617" s="92"/>
      <c r="BO617" s="92"/>
      <c r="BP617" s="92"/>
      <c r="BQ617" s="92"/>
      <c r="BR617" s="92"/>
      <c r="BS617" s="92"/>
      <c r="BT617" s="92"/>
      <c r="BU617" s="92"/>
      <c r="BV617" s="92"/>
      <c r="BW617" s="92"/>
      <c r="BX617" s="92"/>
      <c r="BY617" s="92"/>
      <c r="BZ617" s="92"/>
      <c r="CA617" s="92"/>
      <c r="CB617" s="92"/>
      <c r="CC617" s="92"/>
      <c r="CD617" s="92"/>
      <c r="CE617" s="92"/>
      <c r="CF617" s="92"/>
      <c r="CG617" s="92"/>
      <c r="CH617" s="92"/>
      <c r="CI617" s="92"/>
      <c r="CJ617" s="92"/>
      <c r="CK617" s="92"/>
      <c r="CL617" s="92"/>
      <c r="CM617" s="92"/>
      <c r="CN617" s="92"/>
      <c r="CO617" s="92"/>
      <c r="CP617" s="92"/>
      <c r="CQ617" s="92"/>
      <c r="CR617" s="92"/>
      <c r="CS617" s="92"/>
      <c r="CT617" s="92"/>
      <c r="CU617" s="92"/>
      <c r="CV617" s="92"/>
      <c r="CW617" s="92"/>
      <c r="CX617" s="92"/>
      <c r="CY617" s="92"/>
      <c r="CZ617" s="92"/>
      <c r="DA617" s="92"/>
      <c r="DB617" s="92"/>
      <c r="DC617" s="92"/>
      <c r="DD617" s="92"/>
      <c r="DE617" s="92"/>
      <c r="DF617" s="92"/>
      <c r="DG617" s="92"/>
      <c r="DH617" s="92"/>
      <c r="DI617" s="92"/>
      <c r="DJ617" s="92"/>
      <c r="DK617" s="92"/>
      <c r="DL617" s="92"/>
      <c r="DM617" s="92"/>
      <c r="DN617" s="92"/>
      <c r="DO617" s="92"/>
      <c r="DP617" s="92"/>
      <c r="DQ617" s="92"/>
      <c r="DR617" s="92"/>
      <c r="DS617" s="92"/>
      <c r="DT617" s="92"/>
      <c r="DU617" s="92"/>
      <c r="DV617" s="92"/>
      <c r="DW617" s="92"/>
      <c r="DX617" s="92"/>
      <c r="DY617" s="92"/>
      <c r="DZ617" s="92"/>
      <c r="EA617" s="92"/>
      <c r="EB617" s="92"/>
      <c r="EC617" s="92"/>
      <c r="ED617" s="92"/>
      <c r="EE617" s="92"/>
      <c r="EF617" s="92"/>
      <c r="EG617" s="92"/>
      <c r="EH617" s="92"/>
      <c r="EI617" s="92"/>
      <c r="EJ617" s="92"/>
      <c r="EK617" s="92"/>
      <c r="EL617" s="92"/>
      <c r="EM617" s="92"/>
      <c r="EN617" s="92"/>
      <c r="EO617" s="92"/>
      <c r="EP617" s="92"/>
      <c r="EQ617" s="92"/>
      <c r="ER617" s="92"/>
      <c r="ES617" s="92"/>
      <c r="ET617" s="92"/>
      <c r="EU617" s="92"/>
      <c r="EV617" s="92"/>
      <c r="EW617" s="92"/>
      <c r="EX617" s="92"/>
      <c r="EY617" s="92"/>
      <c r="EZ617" s="92"/>
      <c r="FA617" s="92"/>
      <c r="FB617" s="92"/>
      <c r="FC617" s="92"/>
      <c r="FD617" s="92"/>
      <c r="FE617" s="92"/>
      <c r="FF617" s="92"/>
      <c r="FG617" s="92"/>
      <c r="FH617" s="92"/>
    </row>
    <row r="618">
      <c r="A618" s="48" t="s">
        <v>28</v>
      </c>
      <c r="B618" s="48" t="s">
        <v>102</v>
      </c>
      <c r="C618" s="48" t="s">
        <v>15</v>
      </c>
      <c r="D618" s="99">
        <f t="shared" si="1"/>
        <v>3622.29745</v>
      </c>
      <c r="E618" s="92">
        <f>(SUBSTITUTE(Audio!E618, "RE-", "", 1))*1</f>
        <v>0</v>
      </c>
      <c r="F618" s="92">
        <f>(SUBSTITUTE(Audio!F618, "RE-", "", 1))*1</f>
        <v>147.61</v>
      </c>
      <c r="G618" s="92">
        <f>(SUBSTITUTE(Audio!G618, "RE-", "", 1))*1</f>
        <v>0.85975</v>
      </c>
      <c r="H618" s="92">
        <f>(SUBSTITUTE(Audio!H618, "RE-", "", 1))*1</f>
        <v>30.9385</v>
      </c>
      <c r="I618" s="92">
        <f>(SUBSTITUTE(Audio!I618, "RE-", "", 1))*1</f>
        <v>0</v>
      </c>
      <c r="J618" s="92">
        <f>(SUBSTITUTE(Audio!J618, "RE-", "", 1))*1</f>
        <v>13.4091</v>
      </c>
      <c r="K618" s="92">
        <f>(SUBSTITUTE(Audio!K618, "RE-", "", 1))*1</f>
        <v>0</v>
      </c>
      <c r="L618" s="92">
        <f>(SUBSTITUTE(Audio!L618, "RE-", "", 1))*1</f>
        <v>563.235</v>
      </c>
      <c r="M618" s="92">
        <f>(SUBSTITUTE(Audio!M618, "RE-", "", 1))*1</f>
        <v>1.29142</v>
      </c>
      <c r="N618" s="92">
        <f>(SUBSTITUTE(Audio!N618, "RE-", "", 1))*1</f>
        <v>738.097</v>
      </c>
      <c r="O618" s="92">
        <f>(SUBSTITUTE(Audio!O618, "RE-", "", 1))*1</f>
        <v>3.6076</v>
      </c>
      <c r="P618" s="92">
        <f>(SUBSTITUTE(Audio!P618, "RE-", "", 1))*1</f>
        <v>827.083</v>
      </c>
      <c r="Q618" s="92">
        <f>(SUBSTITUTE(Audio!Q618, "RE-", "", 1))*1</f>
        <v>24.9988</v>
      </c>
      <c r="R618" s="92">
        <f>(SUBSTITUTE(Audio!R618, "RE-", "", 1))*1</f>
        <v>840.634</v>
      </c>
      <c r="S618" s="92">
        <f>(SUBSTITUTE(Audio!S618, "RE-", "", 1))*1</f>
        <v>14.8379</v>
      </c>
      <c r="T618" s="92">
        <f>(SUBSTITUTE(Audio!T618, "RE-", "", 1))*1</f>
        <v>377.469</v>
      </c>
      <c r="U618" s="92">
        <f>(SUBSTITUTE(Audio!U618, "RE-", "", 1))*1</f>
        <v>30.8656</v>
      </c>
      <c r="V618" s="92">
        <f>(SUBSTITUTE(Audio!V618, "RE-", "", 1))*1</f>
        <v>7.36078</v>
      </c>
      <c r="W618" s="92">
        <f>(SUBSTITUTE(Audio!W618, "RE-", "", 1))*1</f>
        <v>0</v>
      </c>
      <c r="X618" s="92">
        <f>(SUBSTITUTE(Audio!X618, "RE-", "", 1))*1</f>
        <v>0</v>
      </c>
      <c r="Y618" s="92">
        <f>(SUBSTITUTE(Audio!Y618, "RE-", "", 1))*1</f>
        <v>0</v>
      </c>
      <c r="Z618" s="92">
        <f>(SUBSTITUTE(Audio!Z618, "RE-", "", 1))*1</f>
        <v>0</v>
      </c>
      <c r="AA618" s="92"/>
      <c r="AB618" s="92"/>
      <c r="AC618" s="92"/>
      <c r="AD618" s="92"/>
      <c r="AE618" s="92"/>
      <c r="AF618" s="92"/>
      <c r="AG618" s="92"/>
      <c r="AH618" s="92"/>
      <c r="AI618" s="92"/>
      <c r="AJ618" s="92"/>
      <c r="AK618" s="92"/>
      <c r="AL618" s="92"/>
      <c r="AM618" s="92"/>
      <c r="AN618" s="92"/>
      <c r="AO618" s="92"/>
      <c r="AP618" s="92"/>
      <c r="AQ618" s="92"/>
      <c r="AR618" s="92"/>
      <c r="AS618" s="92"/>
      <c r="AT618" s="92"/>
      <c r="AU618" s="92"/>
      <c r="AV618" s="92"/>
      <c r="AW618" s="92"/>
      <c r="AX618" s="92"/>
      <c r="AY618" s="92"/>
      <c r="AZ618" s="92"/>
      <c r="BA618" s="92"/>
      <c r="BB618" s="92"/>
      <c r="BC618" s="92"/>
      <c r="BD618" s="92"/>
      <c r="BE618" s="92"/>
      <c r="BF618" s="92"/>
      <c r="BG618" s="92"/>
      <c r="BH618" s="92"/>
      <c r="BI618" s="92"/>
      <c r="BJ618" s="92"/>
      <c r="BK618" s="92"/>
      <c r="BL618" s="92"/>
      <c r="BM618" s="92"/>
      <c r="BN618" s="92"/>
      <c r="BO618" s="92"/>
      <c r="BP618" s="92"/>
      <c r="BQ618" s="92"/>
      <c r="BR618" s="92"/>
      <c r="BS618" s="92"/>
      <c r="BT618" s="92"/>
      <c r="BU618" s="92"/>
      <c r="BV618" s="92"/>
      <c r="BW618" s="92"/>
      <c r="BX618" s="92"/>
      <c r="BY618" s="92"/>
      <c r="BZ618" s="92"/>
      <c r="CA618" s="92"/>
      <c r="CB618" s="92"/>
      <c r="CC618" s="92"/>
      <c r="CD618" s="92"/>
      <c r="CE618" s="92"/>
      <c r="CF618" s="92"/>
      <c r="CG618" s="92"/>
      <c r="CH618" s="92"/>
      <c r="CI618" s="92"/>
      <c r="CJ618" s="92"/>
      <c r="CK618" s="92"/>
      <c r="CL618" s="92"/>
      <c r="CM618" s="92"/>
      <c r="CN618" s="92"/>
      <c r="CO618" s="92"/>
      <c r="CP618" s="92"/>
      <c r="CQ618" s="92"/>
      <c r="CR618" s="92"/>
      <c r="CS618" s="92"/>
      <c r="CT618" s="92"/>
      <c r="CU618" s="92"/>
      <c r="CV618" s="92"/>
      <c r="CW618" s="92"/>
      <c r="CX618" s="92"/>
      <c r="CY618" s="92"/>
      <c r="CZ618" s="92"/>
      <c r="DA618" s="92"/>
      <c r="DB618" s="92"/>
      <c r="DC618" s="92"/>
      <c r="DD618" s="92"/>
      <c r="DE618" s="92"/>
      <c r="DF618" s="92"/>
      <c r="DG618" s="92"/>
      <c r="DH618" s="92"/>
      <c r="DI618" s="92"/>
      <c r="DJ618" s="92"/>
      <c r="DK618" s="92"/>
      <c r="DL618" s="92"/>
      <c r="DM618" s="92"/>
      <c r="DN618" s="92"/>
      <c r="DO618" s="92"/>
      <c r="DP618" s="92"/>
      <c r="DQ618" s="92"/>
      <c r="DR618" s="92"/>
      <c r="DS618" s="92"/>
      <c r="DT618" s="92"/>
      <c r="DU618" s="92"/>
      <c r="DV618" s="92"/>
      <c r="DW618" s="92"/>
      <c r="DX618" s="92"/>
      <c r="DY618" s="92"/>
      <c r="DZ618" s="92"/>
      <c r="EA618" s="92"/>
      <c r="EB618" s="92"/>
      <c r="EC618" s="92"/>
      <c r="ED618" s="92"/>
      <c r="EE618" s="92"/>
      <c r="EF618" s="92"/>
      <c r="EG618" s="92"/>
      <c r="EH618" s="92"/>
      <c r="EI618" s="92"/>
      <c r="EJ618" s="92"/>
      <c r="EK618" s="92"/>
      <c r="EL618" s="92"/>
      <c r="EM618" s="92"/>
      <c r="EN618" s="92"/>
      <c r="EO618" s="92"/>
      <c r="EP618" s="92"/>
      <c r="EQ618" s="92"/>
      <c r="ER618" s="92"/>
      <c r="ES618" s="92"/>
      <c r="ET618" s="92"/>
      <c r="EU618" s="92"/>
      <c r="EV618" s="92"/>
      <c r="EW618" s="92"/>
      <c r="EX618" s="92"/>
      <c r="EY618" s="92"/>
      <c r="EZ618" s="92"/>
      <c r="FA618" s="92"/>
      <c r="FB618" s="92"/>
      <c r="FC618" s="92"/>
      <c r="FD618" s="92"/>
      <c r="FE618" s="92"/>
      <c r="FF618" s="92"/>
      <c r="FG618" s="92"/>
      <c r="FH618" s="92"/>
    </row>
    <row r="619">
      <c r="A619" s="45" t="s">
        <v>28</v>
      </c>
      <c r="B619" s="45" t="s">
        <v>103</v>
      </c>
      <c r="C619" s="46" t="str">
        <f>HYPERLINK("https://docs.google.com/spreadsheets/d/1vm4zG12xB8leM2dsyYiXcjhXoReCnPkJ/edit?usp=share_link&amp;ouid=106501987799020758802&amp;rtpof=true&amp;sd=true", "Raw Delivered")</f>
        <v>Raw Delivered</v>
      </c>
      <c r="D619" s="100">
        <f t="shared" si="1"/>
        <v>6630.793411</v>
      </c>
      <c r="E619" s="92">
        <f>(SUBSTITUTE(Audio!E619, "RE-", "", 1))*1</f>
        <v>0</v>
      </c>
      <c r="F619" s="92">
        <f>(SUBSTITUTE(Audio!F619, "RE-", "", 1))*1</f>
        <v>514.8567208</v>
      </c>
      <c r="G619" s="92">
        <f>(SUBSTITUTE(Audio!G619, "RE-", "", 1))*1</f>
        <v>0</v>
      </c>
      <c r="H619" s="92">
        <f>(SUBSTITUTE(Audio!H619, "RE-", "", 1))*1</f>
        <v>204.2523958</v>
      </c>
      <c r="I619" s="92">
        <f>(SUBSTITUTE(Audio!I619, "RE-", "", 1))*1</f>
        <v>0</v>
      </c>
      <c r="J619" s="92">
        <f>(SUBSTITUTE(Audio!J619, "RE-", "", 1))*1</f>
        <v>23.99711667</v>
      </c>
      <c r="K619" s="92">
        <f>(SUBSTITUTE(Audio!K619, "RE-", "", 1))*1</f>
        <v>0</v>
      </c>
      <c r="L619" s="92">
        <f>(SUBSTITUTE(Audio!L619, "RE-", "", 1))*1</f>
        <v>725.793251</v>
      </c>
      <c r="M619" s="92">
        <f>(SUBSTITUTE(Audio!M619, "RE-", "", 1))*1</f>
        <v>0</v>
      </c>
      <c r="N619" s="92">
        <f>(SUBSTITUTE(Audio!N619, "RE-", "", 1))*1</f>
        <v>1970.439822</v>
      </c>
      <c r="O619" s="92">
        <f>(SUBSTITUTE(Audio!O619, "RE-", "", 1))*1</f>
        <v>0</v>
      </c>
      <c r="P619" s="92">
        <f>(SUBSTITUTE(Audio!P619, "RE-", "", 1))*1</f>
        <v>1291.034063</v>
      </c>
      <c r="Q619" s="92">
        <f>(SUBSTITUTE(Audio!Q619, "RE-", "", 1))*1</f>
        <v>0</v>
      </c>
      <c r="R619" s="92">
        <f>(SUBSTITUTE(Audio!R619, "RE-", "", 1))*1</f>
        <v>1350.268429</v>
      </c>
      <c r="S619" s="92">
        <f>(SUBSTITUTE(Audio!S619, "RE-", "", 1))*1</f>
        <v>0</v>
      </c>
      <c r="T619" s="92">
        <f>(SUBSTITUTE(Audio!T619, "RE-", "", 1))*1</f>
        <v>550.1516125</v>
      </c>
      <c r="U619" s="92">
        <f>(SUBSTITUTE(Audio!U619, "RE-", "", 1))*1</f>
        <v>0</v>
      </c>
      <c r="V619" s="92">
        <f>(SUBSTITUTE(Audio!V619, "RE-", "", 1))*1</f>
        <v>0</v>
      </c>
      <c r="W619" s="92">
        <f>(SUBSTITUTE(Audio!W619, "RE-", "", 1))*1</f>
        <v>0</v>
      </c>
      <c r="X619" s="92">
        <f>(SUBSTITUTE(Audio!X619, "RE-", "", 1))*1</f>
        <v>0</v>
      </c>
      <c r="Y619" s="92">
        <f>(SUBSTITUTE(Audio!Y619, "RE-", "", 1))*1</f>
        <v>0</v>
      </c>
      <c r="Z619" s="92">
        <f>(SUBSTITUTE(Audio!Z619, "RE-", "", 1))*1</f>
        <v>0</v>
      </c>
      <c r="AA619" s="92"/>
      <c r="AB619" s="92"/>
      <c r="AC619" s="92"/>
      <c r="AD619" s="92"/>
      <c r="AE619" s="92"/>
      <c r="AF619" s="92"/>
      <c r="AG619" s="92"/>
      <c r="AH619" s="92"/>
      <c r="AI619" s="92"/>
      <c r="AJ619" s="92"/>
      <c r="AK619" s="92"/>
      <c r="AL619" s="92"/>
      <c r="AM619" s="92"/>
      <c r="AN619" s="92"/>
      <c r="AO619" s="92"/>
      <c r="AP619" s="92"/>
      <c r="AQ619" s="92"/>
      <c r="AR619" s="92"/>
      <c r="AS619" s="92"/>
      <c r="AT619" s="92"/>
      <c r="AU619" s="92"/>
      <c r="AV619" s="92"/>
      <c r="AW619" s="92"/>
      <c r="AX619" s="92"/>
      <c r="AY619" s="92"/>
      <c r="AZ619" s="92"/>
      <c r="BA619" s="92"/>
      <c r="BB619" s="92"/>
      <c r="BC619" s="92"/>
      <c r="BD619" s="92"/>
      <c r="BE619" s="92"/>
      <c r="BF619" s="92"/>
      <c r="BG619" s="92"/>
      <c r="BH619" s="92"/>
      <c r="BI619" s="92"/>
      <c r="BJ619" s="92"/>
      <c r="BK619" s="92"/>
      <c r="BL619" s="92"/>
      <c r="BM619" s="92"/>
      <c r="BN619" s="92"/>
      <c r="BO619" s="92"/>
      <c r="BP619" s="92"/>
      <c r="BQ619" s="92"/>
      <c r="BR619" s="92"/>
      <c r="BS619" s="92"/>
      <c r="BT619" s="92"/>
      <c r="BU619" s="92"/>
      <c r="BV619" s="92"/>
      <c r="BW619" s="92"/>
      <c r="BX619" s="92"/>
      <c r="BY619" s="92"/>
      <c r="BZ619" s="92"/>
      <c r="CA619" s="92"/>
      <c r="CB619" s="92"/>
      <c r="CC619" s="92"/>
      <c r="CD619" s="92"/>
      <c r="CE619" s="92"/>
      <c r="CF619" s="92"/>
      <c r="CG619" s="92"/>
      <c r="CH619" s="92"/>
      <c r="CI619" s="92"/>
      <c r="CJ619" s="92"/>
      <c r="CK619" s="92"/>
      <c r="CL619" s="92"/>
      <c r="CM619" s="92"/>
      <c r="CN619" s="92"/>
      <c r="CO619" s="92"/>
      <c r="CP619" s="92"/>
      <c r="CQ619" s="92"/>
      <c r="CR619" s="92"/>
      <c r="CS619" s="92"/>
      <c r="CT619" s="92"/>
      <c r="CU619" s="92"/>
      <c r="CV619" s="92"/>
      <c r="CW619" s="92"/>
      <c r="CX619" s="92"/>
      <c r="CY619" s="92"/>
      <c r="CZ619" s="92"/>
      <c r="DA619" s="92"/>
      <c r="DB619" s="92"/>
      <c r="DC619" s="92"/>
      <c r="DD619" s="92"/>
      <c r="DE619" s="92"/>
      <c r="DF619" s="92"/>
      <c r="DG619" s="92"/>
      <c r="DH619" s="92"/>
      <c r="DI619" s="92"/>
      <c r="DJ619" s="92"/>
      <c r="DK619" s="92"/>
      <c r="DL619" s="92"/>
      <c r="DM619" s="92"/>
      <c r="DN619" s="92"/>
      <c r="DO619" s="92"/>
      <c r="DP619" s="92"/>
      <c r="DQ619" s="92"/>
      <c r="DR619" s="92"/>
      <c r="DS619" s="92"/>
      <c r="DT619" s="92"/>
      <c r="DU619" s="92"/>
      <c r="DV619" s="92"/>
      <c r="DW619" s="92"/>
      <c r="DX619" s="92"/>
      <c r="DY619" s="92"/>
      <c r="DZ619" s="92"/>
      <c r="EA619" s="92"/>
      <c r="EB619" s="92"/>
      <c r="EC619" s="92"/>
      <c r="ED619" s="92"/>
      <c r="EE619" s="92"/>
      <c r="EF619" s="92"/>
      <c r="EG619" s="92"/>
      <c r="EH619" s="92"/>
      <c r="EI619" s="92"/>
      <c r="EJ619" s="92"/>
      <c r="EK619" s="92"/>
      <c r="EL619" s="92"/>
      <c r="EM619" s="92"/>
      <c r="EN619" s="92"/>
      <c r="EO619" s="92"/>
      <c r="EP619" s="92"/>
      <c r="EQ619" s="92"/>
      <c r="ER619" s="92"/>
      <c r="ES619" s="92"/>
      <c r="ET619" s="92"/>
      <c r="EU619" s="92"/>
      <c r="EV619" s="92"/>
      <c r="EW619" s="92"/>
      <c r="EX619" s="92"/>
      <c r="EY619" s="92"/>
      <c r="EZ619" s="92"/>
      <c r="FA619" s="92"/>
      <c r="FB619" s="92"/>
      <c r="FC619" s="92"/>
      <c r="FD619" s="92"/>
      <c r="FE619" s="92"/>
      <c r="FF619" s="92"/>
      <c r="FG619" s="92"/>
      <c r="FH619" s="92"/>
    </row>
    <row r="620">
      <c r="A620" s="47" t="s">
        <v>28</v>
      </c>
      <c r="B620" s="47" t="s">
        <v>103</v>
      </c>
      <c r="C620" s="47" t="s">
        <v>9</v>
      </c>
      <c r="D620" s="101">
        <f t="shared" si="1"/>
        <v>6630.793411</v>
      </c>
      <c r="E620" s="92">
        <f>(SUBSTITUTE(Audio!E620, "RE-", "", 1))*1</f>
        <v>0</v>
      </c>
      <c r="F620" s="92">
        <f>(SUBSTITUTE(Audio!F620, "RE-", "", 1))*1</f>
        <v>514.8567208</v>
      </c>
      <c r="G620" s="92">
        <f>(SUBSTITUTE(Audio!G620, "RE-", "", 1))*1</f>
        <v>0</v>
      </c>
      <c r="H620" s="92">
        <f>(SUBSTITUTE(Audio!H620, "RE-", "", 1))*1</f>
        <v>204.2523958</v>
      </c>
      <c r="I620" s="92">
        <f>(SUBSTITUTE(Audio!I620, "RE-", "", 1))*1</f>
        <v>0</v>
      </c>
      <c r="J620" s="92">
        <f>(SUBSTITUTE(Audio!J620, "RE-", "", 1))*1</f>
        <v>23.99711667</v>
      </c>
      <c r="K620" s="92">
        <f>(SUBSTITUTE(Audio!K620, "RE-", "", 1))*1</f>
        <v>0</v>
      </c>
      <c r="L620" s="92">
        <f>(SUBSTITUTE(Audio!L620, "RE-", "", 1))*1</f>
        <v>725.793251</v>
      </c>
      <c r="M620" s="92">
        <f>(SUBSTITUTE(Audio!M620, "RE-", "", 1))*1</f>
        <v>0</v>
      </c>
      <c r="N620" s="92">
        <f>(SUBSTITUTE(Audio!N620, "RE-", "", 1))*1</f>
        <v>1970.439822</v>
      </c>
      <c r="O620" s="92">
        <f>(SUBSTITUTE(Audio!O620, "RE-", "", 1))*1</f>
        <v>0</v>
      </c>
      <c r="P620" s="92">
        <f>(SUBSTITUTE(Audio!P620, "RE-", "", 1))*1</f>
        <v>1291.034063</v>
      </c>
      <c r="Q620" s="92">
        <f>(SUBSTITUTE(Audio!Q620, "RE-", "", 1))*1</f>
        <v>0</v>
      </c>
      <c r="R620" s="92">
        <f>(SUBSTITUTE(Audio!R620, "RE-", "", 1))*1</f>
        <v>1350.268429</v>
      </c>
      <c r="S620" s="92">
        <f>(SUBSTITUTE(Audio!S620, "RE-", "", 1))*1</f>
        <v>0</v>
      </c>
      <c r="T620" s="92">
        <f>(SUBSTITUTE(Audio!T620, "RE-", "", 1))*1</f>
        <v>550.1516125</v>
      </c>
      <c r="U620" s="92">
        <f>(SUBSTITUTE(Audio!U620, "RE-", "", 1))*1</f>
        <v>0</v>
      </c>
      <c r="V620" s="92">
        <f>(SUBSTITUTE(Audio!V620, "RE-", "", 1))*1</f>
        <v>0</v>
      </c>
      <c r="W620" s="92">
        <f>(SUBSTITUTE(Audio!W620, "RE-", "", 1))*1</f>
        <v>0</v>
      </c>
      <c r="X620" s="92">
        <f>(SUBSTITUTE(Audio!X620, "RE-", "", 1))*1</f>
        <v>0</v>
      </c>
      <c r="Y620" s="92">
        <f>(SUBSTITUTE(Audio!Y620, "RE-", "", 1))*1</f>
        <v>0</v>
      </c>
      <c r="Z620" s="92">
        <f>(SUBSTITUTE(Audio!Z620, "RE-", "", 1))*1</f>
        <v>0</v>
      </c>
      <c r="AA620" s="92"/>
      <c r="AB620" s="92"/>
      <c r="AC620" s="92"/>
      <c r="AD620" s="92"/>
      <c r="AE620" s="92"/>
      <c r="AF620" s="92"/>
      <c r="AG620" s="92"/>
      <c r="AH620" s="92"/>
      <c r="AI620" s="92"/>
      <c r="AJ620" s="92"/>
      <c r="AK620" s="92"/>
      <c r="AL620" s="92"/>
      <c r="AM620" s="92"/>
      <c r="AN620" s="92"/>
      <c r="AO620" s="92"/>
      <c r="AP620" s="92"/>
      <c r="AQ620" s="92"/>
      <c r="AR620" s="92"/>
      <c r="AS620" s="92"/>
      <c r="AT620" s="92"/>
      <c r="AU620" s="92"/>
      <c r="AV620" s="92"/>
      <c r="AW620" s="92"/>
      <c r="AX620" s="92"/>
      <c r="AY620" s="92"/>
      <c r="AZ620" s="92"/>
      <c r="BA620" s="92"/>
      <c r="BB620" s="92"/>
      <c r="BC620" s="92"/>
      <c r="BD620" s="92"/>
      <c r="BE620" s="92"/>
      <c r="BF620" s="92"/>
      <c r="BG620" s="92"/>
      <c r="BH620" s="92"/>
      <c r="BI620" s="92"/>
      <c r="BJ620" s="92"/>
      <c r="BK620" s="92"/>
      <c r="BL620" s="92"/>
      <c r="BM620" s="92"/>
      <c r="BN620" s="92"/>
      <c r="BO620" s="92"/>
      <c r="BP620" s="92"/>
      <c r="BQ620" s="92"/>
      <c r="BR620" s="92"/>
      <c r="BS620" s="92"/>
      <c r="BT620" s="92"/>
      <c r="BU620" s="92"/>
      <c r="BV620" s="92"/>
      <c r="BW620" s="92"/>
      <c r="BX620" s="92"/>
      <c r="BY620" s="92"/>
      <c r="BZ620" s="92"/>
      <c r="CA620" s="92"/>
      <c r="CB620" s="92"/>
      <c r="CC620" s="92"/>
      <c r="CD620" s="92"/>
      <c r="CE620" s="92"/>
      <c r="CF620" s="92"/>
      <c r="CG620" s="92"/>
      <c r="CH620" s="92"/>
      <c r="CI620" s="92"/>
      <c r="CJ620" s="92"/>
      <c r="CK620" s="92"/>
      <c r="CL620" s="92"/>
      <c r="CM620" s="92"/>
      <c r="CN620" s="92"/>
      <c r="CO620" s="92"/>
      <c r="CP620" s="92"/>
      <c r="CQ620" s="92"/>
      <c r="CR620" s="92"/>
      <c r="CS620" s="92"/>
      <c r="CT620" s="92"/>
      <c r="CU620" s="92"/>
      <c r="CV620" s="92"/>
      <c r="CW620" s="92"/>
      <c r="CX620" s="92"/>
      <c r="CY620" s="92"/>
      <c r="CZ620" s="92"/>
      <c r="DA620" s="92"/>
      <c r="DB620" s="92"/>
      <c r="DC620" s="92"/>
      <c r="DD620" s="92"/>
      <c r="DE620" s="92"/>
      <c r="DF620" s="92"/>
      <c r="DG620" s="92"/>
      <c r="DH620" s="92"/>
      <c r="DI620" s="92"/>
      <c r="DJ620" s="92"/>
      <c r="DK620" s="92"/>
      <c r="DL620" s="92"/>
      <c r="DM620" s="92"/>
      <c r="DN620" s="92"/>
      <c r="DO620" s="92"/>
      <c r="DP620" s="92"/>
      <c r="DQ620" s="92"/>
      <c r="DR620" s="92"/>
      <c r="DS620" s="92"/>
      <c r="DT620" s="92"/>
      <c r="DU620" s="92"/>
      <c r="DV620" s="92"/>
      <c r="DW620" s="92"/>
      <c r="DX620" s="92"/>
      <c r="DY620" s="92"/>
      <c r="DZ620" s="92"/>
      <c r="EA620" s="92"/>
      <c r="EB620" s="92"/>
      <c r="EC620" s="92"/>
      <c r="ED620" s="92"/>
      <c r="EE620" s="92"/>
      <c r="EF620" s="92"/>
      <c r="EG620" s="92"/>
      <c r="EH620" s="92"/>
      <c r="EI620" s="92"/>
      <c r="EJ620" s="92"/>
      <c r="EK620" s="92"/>
      <c r="EL620" s="92"/>
      <c r="EM620" s="92"/>
      <c r="EN620" s="92"/>
      <c r="EO620" s="92"/>
      <c r="EP620" s="92"/>
      <c r="EQ620" s="92"/>
      <c r="ER620" s="92"/>
      <c r="ES620" s="92"/>
      <c r="ET620" s="92"/>
      <c r="EU620" s="92"/>
      <c r="EV620" s="92"/>
      <c r="EW620" s="92"/>
      <c r="EX620" s="92"/>
      <c r="EY620" s="92"/>
      <c r="EZ620" s="92"/>
      <c r="FA620" s="92"/>
      <c r="FB620" s="92"/>
      <c r="FC620" s="92"/>
      <c r="FD620" s="92"/>
      <c r="FE620" s="92"/>
      <c r="FF620" s="92"/>
      <c r="FG620" s="92"/>
      <c r="FH620" s="92"/>
    </row>
    <row r="621">
      <c r="A621" s="47" t="s">
        <v>28</v>
      </c>
      <c r="B621" s="47" t="s">
        <v>103</v>
      </c>
      <c r="C621" s="47" t="s">
        <v>10</v>
      </c>
      <c r="D621" s="101">
        <f t="shared" si="1"/>
        <v>699.6081396</v>
      </c>
      <c r="E621" s="92">
        <f>(SUBSTITUTE(Audio!E621, "RE-", "", 1))*1</f>
        <v>0</v>
      </c>
      <c r="F621" s="92">
        <f>(SUBSTITUTE(Audio!F621, "RE-", "", 1))*1</f>
        <v>0</v>
      </c>
      <c r="G621" s="92">
        <f>(SUBSTITUTE(Audio!G621, "RE-", "", 1))*1</f>
        <v>72.8595625</v>
      </c>
      <c r="H621" s="92">
        <f>(SUBSTITUTE(Audio!H621, "RE-", "", 1))*1</f>
        <v>0</v>
      </c>
      <c r="I621" s="92">
        <f>(SUBSTITUTE(Audio!I621, "RE-", "", 1))*1</f>
        <v>8.050283333</v>
      </c>
      <c r="J621" s="92">
        <f>(SUBSTITUTE(Audio!J621, "RE-", "", 1))*1</f>
        <v>0</v>
      </c>
      <c r="K621" s="92">
        <f>(SUBSTITUTE(Audio!K621, "RE-", "", 1))*1</f>
        <v>1.944595833</v>
      </c>
      <c r="L621" s="92">
        <f>(SUBSTITUTE(Audio!L621, "RE-", "", 1))*1</f>
        <v>0</v>
      </c>
      <c r="M621" s="92">
        <f>(SUBSTITUTE(Audio!M621, "RE-", "", 1))*1</f>
        <v>11.51944792</v>
      </c>
      <c r="N621" s="92">
        <f>(SUBSTITUTE(Audio!N621, "RE-", "", 1))*1</f>
        <v>0</v>
      </c>
      <c r="O621" s="92">
        <f>(SUBSTITUTE(Audio!O621, "RE-", "", 1))*1</f>
        <v>206.7173833</v>
      </c>
      <c r="P621" s="92">
        <f>(SUBSTITUTE(Audio!P621, "RE-", "", 1))*1</f>
        <v>0</v>
      </c>
      <c r="Q621" s="92">
        <f>(SUBSTITUTE(Audio!Q621, "RE-", "", 1))*1</f>
        <v>132.1380917</v>
      </c>
      <c r="R621" s="92">
        <f>(SUBSTITUTE(Audio!R621, "RE-", "", 1))*1</f>
        <v>0</v>
      </c>
      <c r="S621" s="92">
        <f>(SUBSTITUTE(Audio!S621, "RE-", "", 1))*1</f>
        <v>134.8809927</v>
      </c>
      <c r="T621" s="92">
        <f>(SUBSTITUTE(Audio!T621, "RE-", "", 1))*1</f>
        <v>0</v>
      </c>
      <c r="U621" s="92">
        <f>(SUBSTITUTE(Audio!U621, "RE-", "", 1))*1</f>
        <v>116.3718448</v>
      </c>
      <c r="V621" s="92">
        <f>(SUBSTITUTE(Audio!V621, "RE-", "", 1))*1</f>
        <v>15.1259375</v>
      </c>
      <c r="W621" s="92">
        <f>(SUBSTITUTE(Audio!W621, "RE-", "", 1))*1</f>
        <v>0</v>
      </c>
      <c r="X621" s="92">
        <f>(SUBSTITUTE(Audio!X621, "RE-", "", 1))*1</f>
        <v>0</v>
      </c>
      <c r="Y621" s="92">
        <f>(SUBSTITUTE(Audio!Y621, "RE-", "", 1))*1</f>
        <v>0</v>
      </c>
      <c r="Z621" s="92">
        <f>(SUBSTITUTE(Audio!Z621, "RE-", "", 1))*1</f>
        <v>0</v>
      </c>
      <c r="AA621" s="92"/>
      <c r="AB621" s="92"/>
      <c r="AC621" s="92"/>
      <c r="AD621" s="92"/>
      <c r="AE621" s="92"/>
      <c r="AF621" s="92"/>
      <c r="AG621" s="92"/>
      <c r="AH621" s="92"/>
      <c r="AI621" s="92"/>
      <c r="AJ621" s="92"/>
      <c r="AK621" s="92"/>
      <c r="AL621" s="92"/>
      <c r="AM621" s="92"/>
      <c r="AN621" s="92"/>
      <c r="AO621" s="92"/>
      <c r="AP621" s="92"/>
      <c r="AQ621" s="92"/>
      <c r="AR621" s="92"/>
      <c r="AS621" s="92"/>
      <c r="AT621" s="92"/>
      <c r="AU621" s="92"/>
      <c r="AV621" s="92"/>
      <c r="AW621" s="92"/>
      <c r="AX621" s="92"/>
      <c r="AY621" s="92"/>
      <c r="AZ621" s="92"/>
      <c r="BA621" s="92"/>
      <c r="BB621" s="92"/>
      <c r="BC621" s="92"/>
      <c r="BD621" s="92"/>
      <c r="BE621" s="92"/>
      <c r="BF621" s="92"/>
      <c r="BG621" s="92"/>
      <c r="BH621" s="92"/>
      <c r="BI621" s="92"/>
      <c r="BJ621" s="92"/>
      <c r="BK621" s="92"/>
      <c r="BL621" s="92"/>
      <c r="BM621" s="92"/>
      <c r="BN621" s="92"/>
      <c r="BO621" s="92"/>
      <c r="BP621" s="92"/>
      <c r="BQ621" s="92"/>
      <c r="BR621" s="92"/>
      <c r="BS621" s="92"/>
      <c r="BT621" s="92"/>
      <c r="BU621" s="92"/>
      <c r="BV621" s="92"/>
      <c r="BW621" s="92"/>
      <c r="BX621" s="92"/>
      <c r="BY621" s="92"/>
      <c r="BZ621" s="92"/>
      <c r="CA621" s="92"/>
      <c r="CB621" s="92"/>
      <c r="CC621" s="92"/>
      <c r="CD621" s="92"/>
      <c r="CE621" s="92"/>
      <c r="CF621" s="92"/>
      <c r="CG621" s="92"/>
      <c r="CH621" s="92"/>
      <c r="CI621" s="92"/>
      <c r="CJ621" s="92"/>
      <c r="CK621" s="92"/>
      <c r="CL621" s="92"/>
      <c r="CM621" s="92"/>
      <c r="CN621" s="92"/>
      <c r="CO621" s="92"/>
      <c r="CP621" s="92"/>
      <c r="CQ621" s="92"/>
      <c r="CR621" s="92"/>
      <c r="CS621" s="92"/>
      <c r="CT621" s="92"/>
      <c r="CU621" s="92"/>
      <c r="CV621" s="92"/>
      <c r="CW621" s="92"/>
      <c r="CX621" s="92"/>
      <c r="CY621" s="92"/>
      <c r="CZ621" s="92"/>
      <c r="DA621" s="92"/>
      <c r="DB621" s="92"/>
      <c r="DC621" s="92"/>
      <c r="DD621" s="92"/>
      <c r="DE621" s="92"/>
      <c r="DF621" s="92"/>
      <c r="DG621" s="92"/>
      <c r="DH621" s="92"/>
      <c r="DI621" s="92"/>
      <c r="DJ621" s="92"/>
      <c r="DK621" s="92"/>
      <c r="DL621" s="92"/>
      <c r="DM621" s="92"/>
      <c r="DN621" s="92"/>
      <c r="DO621" s="92"/>
      <c r="DP621" s="92"/>
      <c r="DQ621" s="92"/>
      <c r="DR621" s="92"/>
      <c r="DS621" s="92"/>
      <c r="DT621" s="92"/>
      <c r="DU621" s="92"/>
      <c r="DV621" s="92"/>
      <c r="DW621" s="92"/>
      <c r="DX621" s="92"/>
      <c r="DY621" s="92"/>
      <c r="DZ621" s="92"/>
      <c r="EA621" s="92"/>
      <c r="EB621" s="92"/>
      <c r="EC621" s="92"/>
      <c r="ED621" s="92"/>
      <c r="EE621" s="92"/>
      <c r="EF621" s="92"/>
      <c r="EG621" s="92"/>
      <c r="EH621" s="92"/>
      <c r="EI621" s="92"/>
      <c r="EJ621" s="92"/>
      <c r="EK621" s="92"/>
      <c r="EL621" s="92"/>
      <c r="EM621" s="92"/>
      <c r="EN621" s="92"/>
      <c r="EO621" s="92"/>
      <c r="EP621" s="92"/>
      <c r="EQ621" s="92"/>
      <c r="ER621" s="92"/>
      <c r="ES621" s="92"/>
      <c r="ET621" s="92"/>
      <c r="EU621" s="92"/>
      <c r="EV621" s="92"/>
      <c r="EW621" s="92"/>
      <c r="EX621" s="92"/>
      <c r="EY621" s="92"/>
      <c r="EZ621" s="92"/>
      <c r="FA621" s="92"/>
      <c r="FB621" s="92"/>
      <c r="FC621" s="92"/>
      <c r="FD621" s="92"/>
      <c r="FE621" s="92"/>
      <c r="FF621" s="92"/>
      <c r="FG621" s="92"/>
      <c r="FH621" s="92"/>
    </row>
    <row r="622">
      <c r="A622" s="47" t="s">
        <v>28</v>
      </c>
      <c r="B622" s="47" t="s">
        <v>103</v>
      </c>
      <c r="C622" s="47" t="s">
        <v>11</v>
      </c>
      <c r="D622" s="101">
        <f t="shared" si="1"/>
        <v>699.6081396</v>
      </c>
      <c r="E622" s="92">
        <f>(SUBSTITUTE(Audio!E622, "RE-", "", 1))*1</f>
        <v>0</v>
      </c>
      <c r="F622" s="92">
        <f>(SUBSTITUTE(Audio!F622, "RE-", "", 1))*1</f>
        <v>0</v>
      </c>
      <c r="G622" s="92">
        <f>(SUBSTITUTE(Audio!G622, "RE-", "", 1))*1</f>
        <v>72.8595625</v>
      </c>
      <c r="H622" s="92">
        <f>(SUBSTITUTE(Audio!H622, "RE-", "", 1))*1</f>
        <v>0</v>
      </c>
      <c r="I622" s="92">
        <f>(SUBSTITUTE(Audio!I622, "RE-", "", 1))*1</f>
        <v>8.050283333</v>
      </c>
      <c r="J622" s="92">
        <f>(SUBSTITUTE(Audio!J622, "RE-", "", 1))*1</f>
        <v>0</v>
      </c>
      <c r="K622" s="92">
        <f>(SUBSTITUTE(Audio!K622, "RE-", "", 1))*1</f>
        <v>1.944595833</v>
      </c>
      <c r="L622" s="92">
        <f>(SUBSTITUTE(Audio!L622, "RE-", "", 1))*1</f>
        <v>0</v>
      </c>
      <c r="M622" s="92">
        <f>(SUBSTITUTE(Audio!M622, "RE-", "", 1))*1</f>
        <v>11.51944792</v>
      </c>
      <c r="N622" s="92">
        <f>(SUBSTITUTE(Audio!N622, "RE-", "", 1))*1</f>
        <v>0</v>
      </c>
      <c r="O622" s="92">
        <f>(SUBSTITUTE(Audio!O622, "RE-", "", 1))*1</f>
        <v>206.7173833</v>
      </c>
      <c r="P622" s="92">
        <f>(SUBSTITUTE(Audio!P622, "RE-", "", 1))*1</f>
        <v>0</v>
      </c>
      <c r="Q622" s="92">
        <f>(SUBSTITUTE(Audio!Q622, "RE-", "", 1))*1</f>
        <v>132.1380917</v>
      </c>
      <c r="R622" s="92">
        <f>(SUBSTITUTE(Audio!R622, "RE-", "", 1))*1</f>
        <v>0</v>
      </c>
      <c r="S622" s="92">
        <f>(SUBSTITUTE(Audio!S622, "RE-", "", 1))*1</f>
        <v>134.8809927</v>
      </c>
      <c r="T622" s="92">
        <f>(SUBSTITUTE(Audio!T622, "RE-", "", 1))*1</f>
        <v>0</v>
      </c>
      <c r="U622" s="92">
        <f>(SUBSTITUTE(Audio!U622, "RE-", "", 1))*1</f>
        <v>116.3718448</v>
      </c>
      <c r="V622" s="92">
        <f>(SUBSTITUTE(Audio!V622, "RE-", "", 1))*1</f>
        <v>15.1259375</v>
      </c>
      <c r="W622" s="92">
        <f>(SUBSTITUTE(Audio!W622, "RE-", "", 1))*1</f>
        <v>0</v>
      </c>
      <c r="X622" s="92">
        <f>(SUBSTITUTE(Audio!X622, "RE-", "", 1))*1</f>
        <v>0</v>
      </c>
      <c r="Y622" s="92">
        <f>(SUBSTITUTE(Audio!Y622, "RE-", "", 1))*1</f>
        <v>0</v>
      </c>
      <c r="Z622" s="92">
        <f>(SUBSTITUTE(Audio!Z622, "RE-", "", 1))*1</f>
        <v>0</v>
      </c>
      <c r="AA622" s="92"/>
      <c r="AB622" s="92"/>
      <c r="AC622" s="92"/>
      <c r="AD622" s="92"/>
      <c r="AE622" s="92"/>
      <c r="AF622" s="92"/>
      <c r="AG622" s="92"/>
      <c r="AH622" s="92"/>
      <c r="AI622" s="92"/>
      <c r="AJ622" s="92"/>
      <c r="AK622" s="92"/>
      <c r="AL622" s="92"/>
      <c r="AM622" s="92"/>
      <c r="AN622" s="92"/>
      <c r="AO622" s="92"/>
      <c r="AP622" s="92"/>
      <c r="AQ622" s="92"/>
      <c r="AR622" s="92"/>
      <c r="AS622" s="92"/>
      <c r="AT622" s="92"/>
      <c r="AU622" s="92"/>
      <c r="AV622" s="92"/>
      <c r="AW622" s="92"/>
      <c r="AX622" s="92"/>
      <c r="AY622" s="92"/>
      <c r="AZ622" s="92"/>
      <c r="BA622" s="92"/>
      <c r="BB622" s="92"/>
      <c r="BC622" s="92"/>
      <c r="BD622" s="92"/>
      <c r="BE622" s="92"/>
      <c r="BF622" s="92"/>
      <c r="BG622" s="92"/>
      <c r="BH622" s="92"/>
      <c r="BI622" s="92"/>
      <c r="BJ622" s="92"/>
      <c r="BK622" s="92"/>
      <c r="BL622" s="92"/>
      <c r="BM622" s="92"/>
      <c r="BN622" s="92"/>
      <c r="BO622" s="92"/>
      <c r="BP622" s="92"/>
      <c r="BQ622" s="92"/>
      <c r="BR622" s="92"/>
      <c r="BS622" s="92"/>
      <c r="BT622" s="92"/>
      <c r="BU622" s="92"/>
      <c r="BV622" s="92"/>
      <c r="BW622" s="92"/>
      <c r="BX622" s="92"/>
      <c r="BY622" s="92"/>
      <c r="BZ622" s="92"/>
      <c r="CA622" s="92"/>
      <c r="CB622" s="92"/>
      <c r="CC622" s="92"/>
      <c r="CD622" s="92"/>
      <c r="CE622" s="92"/>
      <c r="CF622" s="92"/>
      <c r="CG622" s="92"/>
      <c r="CH622" s="92"/>
      <c r="CI622" s="92"/>
      <c r="CJ622" s="92"/>
      <c r="CK622" s="92"/>
      <c r="CL622" s="92"/>
      <c r="CM622" s="92"/>
      <c r="CN622" s="92"/>
      <c r="CO622" s="92"/>
      <c r="CP622" s="92"/>
      <c r="CQ622" s="92"/>
      <c r="CR622" s="92"/>
      <c r="CS622" s="92"/>
      <c r="CT622" s="92"/>
      <c r="CU622" s="92"/>
      <c r="CV622" s="92"/>
      <c r="CW622" s="92"/>
      <c r="CX622" s="92"/>
      <c r="CY622" s="92"/>
      <c r="CZ622" s="92"/>
      <c r="DA622" s="92"/>
      <c r="DB622" s="92"/>
      <c r="DC622" s="92"/>
      <c r="DD622" s="92"/>
      <c r="DE622" s="92"/>
      <c r="DF622" s="92"/>
      <c r="DG622" s="92"/>
      <c r="DH622" s="92"/>
      <c r="DI622" s="92"/>
      <c r="DJ622" s="92"/>
      <c r="DK622" s="92"/>
      <c r="DL622" s="92"/>
      <c r="DM622" s="92"/>
      <c r="DN622" s="92"/>
      <c r="DO622" s="92"/>
      <c r="DP622" s="92"/>
      <c r="DQ622" s="92"/>
      <c r="DR622" s="92"/>
      <c r="DS622" s="92"/>
      <c r="DT622" s="92"/>
      <c r="DU622" s="92"/>
      <c r="DV622" s="92"/>
      <c r="DW622" s="92"/>
      <c r="DX622" s="92"/>
      <c r="DY622" s="92"/>
      <c r="DZ622" s="92"/>
      <c r="EA622" s="92"/>
      <c r="EB622" s="92"/>
      <c r="EC622" s="92"/>
      <c r="ED622" s="92"/>
      <c r="EE622" s="92"/>
      <c r="EF622" s="92"/>
      <c r="EG622" s="92"/>
      <c r="EH622" s="92"/>
      <c r="EI622" s="92"/>
      <c r="EJ622" s="92"/>
      <c r="EK622" s="92"/>
      <c r="EL622" s="92"/>
      <c r="EM622" s="92"/>
      <c r="EN622" s="92"/>
      <c r="EO622" s="92"/>
      <c r="EP622" s="92"/>
      <c r="EQ622" s="92"/>
      <c r="ER622" s="92"/>
      <c r="ES622" s="92"/>
      <c r="ET622" s="92"/>
      <c r="EU622" s="92"/>
      <c r="EV622" s="92"/>
      <c r="EW622" s="92"/>
      <c r="EX622" s="92"/>
      <c r="EY622" s="92"/>
      <c r="EZ622" s="92"/>
      <c r="FA622" s="92"/>
      <c r="FB622" s="92"/>
      <c r="FC622" s="92"/>
      <c r="FD622" s="92"/>
      <c r="FE622" s="92"/>
      <c r="FF622" s="92"/>
      <c r="FG622" s="92"/>
      <c r="FH622" s="92"/>
    </row>
    <row r="623">
      <c r="A623" s="47" t="s">
        <v>28</v>
      </c>
      <c r="B623" s="47" t="s">
        <v>103</v>
      </c>
      <c r="C623" s="47" t="s">
        <v>12</v>
      </c>
      <c r="D623" s="101">
        <f t="shared" si="1"/>
        <v>5596.891496</v>
      </c>
      <c r="E623" s="92">
        <f>(SUBSTITUTE(Audio!E623, "RE-", "", 1))*1</f>
        <v>0</v>
      </c>
      <c r="F623" s="92">
        <f>(SUBSTITUTE(Audio!F623, "RE-", "", 1))*1</f>
        <v>392.9788729</v>
      </c>
      <c r="G623" s="92">
        <f>(SUBSTITUTE(Audio!G623, "RE-", "", 1))*1</f>
        <v>2.2964625</v>
      </c>
      <c r="H623" s="92">
        <f>(SUBSTITUTE(Audio!H623, "RE-", "", 1))*1</f>
        <v>185.7780792</v>
      </c>
      <c r="I623" s="92">
        <f>(SUBSTITUTE(Audio!I623, "RE-", "", 1))*1</f>
        <v>0</v>
      </c>
      <c r="J623" s="92">
        <f>(SUBSTITUTE(Audio!J623, "RE-", "", 1))*1</f>
        <v>13.33913333</v>
      </c>
      <c r="K623" s="92">
        <f>(SUBSTITUTE(Audio!K623, "RE-", "", 1))*1</f>
        <v>0</v>
      </c>
      <c r="L623" s="92">
        <f>(SUBSTITUTE(Audio!L623, "RE-", "", 1))*1</f>
        <v>663.907876</v>
      </c>
      <c r="M623" s="92">
        <f>(SUBSTITUTE(Audio!M623, "RE-", "", 1))*1</f>
        <v>0.6492875</v>
      </c>
      <c r="N623" s="92">
        <f>(SUBSTITUTE(Audio!N623, "RE-", "", 1))*1</f>
        <v>1203.819569</v>
      </c>
      <c r="O623" s="92">
        <f>(SUBSTITUTE(Audio!O623, "RE-", "", 1))*1</f>
        <v>6.970397917</v>
      </c>
      <c r="P623" s="92">
        <f>(SUBSTITUTE(Audio!P623, "RE-", "", 1))*1</f>
        <v>1184.998986</v>
      </c>
      <c r="Q623" s="92">
        <f>(SUBSTITUTE(Audio!Q623, "RE-", "", 1))*1</f>
        <v>44.38380104</v>
      </c>
      <c r="R623" s="92">
        <f>(SUBSTITUTE(Audio!R623, "RE-", "", 1))*1</f>
        <v>1265.423168</v>
      </c>
      <c r="S623" s="92">
        <f>(SUBSTITUTE(Audio!S623, "RE-", "", 1))*1</f>
        <v>54.91045</v>
      </c>
      <c r="T623" s="92">
        <f>(SUBSTITUTE(Audio!T623, "RE-", "", 1))*1</f>
        <v>514.7325479</v>
      </c>
      <c r="U623" s="92">
        <f>(SUBSTITUTE(Audio!U623, "RE-", "", 1))*1</f>
        <v>50.6424375</v>
      </c>
      <c r="V623" s="92">
        <f>(SUBSTITUTE(Audio!V623, "RE-", "", 1))*1</f>
        <v>12.06042708</v>
      </c>
      <c r="W623" s="92">
        <f>(SUBSTITUTE(Audio!W623, "RE-", "", 1))*1</f>
        <v>0</v>
      </c>
      <c r="X623" s="92">
        <f>(SUBSTITUTE(Audio!X623, "RE-", "", 1))*1</f>
        <v>0</v>
      </c>
      <c r="Y623" s="92">
        <f>(SUBSTITUTE(Audio!Y623, "RE-", "", 1))*1</f>
        <v>0</v>
      </c>
      <c r="Z623" s="92">
        <f>(SUBSTITUTE(Audio!Z623, "RE-", "", 1))*1</f>
        <v>0</v>
      </c>
      <c r="AA623" s="92"/>
      <c r="AB623" s="92"/>
      <c r="AC623" s="92"/>
      <c r="AD623" s="92"/>
      <c r="AE623" s="92"/>
      <c r="AF623" s="92"/>
      <c r="AG623" s="92"/>
      <c r="AH623" s="92"/>
      <c r="AI623" s="92"/>
      <c r="AJ623" s="92"/>
      <c r="AK623" s="92"/>
      <c r="AL623" s="92"/>
      <c r="AM623" s="92"/>
      <c r="AN623" s="92"/>
      <c r="AO623" s="92"/>
      <c r="AP623" s="92"/>
      <c r="AQ623" s="92"/>
      <c r="AR623" s="92"/>
      <c r="AS623" s="92"/>
      <c r="AT623" s="92"/>
      <c r="AU623" s="92"/>
      <c r="AV623" s="92"/>
      <c r="AW623" s="92"/>
      <c r="AX623" s="92"/>
      <c r="AY623" s="92"/>
      <c r="AZ623" s="92"/>
      <c r="BA623" s="92"/>
      <c r="BB623" s="92"/>
      <c r="BC623" s="92"/>
      <c r="BD623" s="92"/>
      <c r="BE623" s="92"/>
      <c r="BF623" s="92"/>
      <c r="BG623" s="92"/>
      <c r="BH623" s="92"/>
      <c r="BI623" s="92"/>
      <c r="BJ623" s="92"/>
      <c r="BK623" s="92"/>
      <c r="BL623" s="92"/>
      <c r="BM623" s="92"/>
      <c r="BN623" s="92"/>
      <c r="BO623" s="92"/>
      <c r="BP623" s="92"/>
      <c r="BQ623" s="92"/>
      <c r="BR623" s="92"/>
      <c r="BS623" s="92"/>
      <c r="BT623" s="92"/>
      <c r="BU623" s="92"/>
      <c r="BV623" s="92"/>
      <c r="BW623" s="92"/>
      <c r="BX623" s="92"/>
      <c r="BY623" s="92"/>
      <c r="BZ623" s="92"/>
      <c r="CA623" s="92"/>
      <c r="CB623" s="92"/>
      <c r="CC623" s="92"/>
      <c r="CD623" s="92"/>
      <c r="CE623" s="92"/>
      <c r="CF623" s="92"/>
      <c r="CG623" s="92"/>
      <c r="CH623" s="92"/>
      <c r="CI623" s="92"/>
      <c r="CJ623" s="92"/>
      <c r="CK623" s="92"/>
      <c r="CL623" s="92"/>
      <c r="CM623" s="92"/>
      <c r="CN623" s="92"/>
      <c r="CO623" s="92"/>
      <c r="CP623" s="92"/>
      <c r="CQ623" s="92"/>
      <c r="CR623" s="92"/>
      <c r="CS623" s="92"/>
      <c r="CT623" s="92"/>
      <c r="CU623" s="92"/>
      <c r="CV623" s="92"/>
      <c r="CW623" s="92"/>
      <c r="CX623" s="92"/>
      <c r="CY623" s="92"/>
      <c r="CZ623" s="92"/>
      <c r="DA623" s="92"/>
      <c r="DB623" s="92"/>
      <c r="DC623" s="92"/>
      <c r="DD623" s="92"/>
      <c r="DE623" s="92"/>
      <c r="DF623" s="92"/>
      <c r="DG623" s="92"/>
      <c r="DH623" s="92"/>
      <c r="DI623" s="92"/>
      <c r="DJ623" s="92"/>
      <c r="DK623" s="92"/>
      <c r="DL623" s="92"/>
      <c r="DM623" s="92"/>
      <c r="DN623" s="92"/>
      <c r="DO623" s="92"/>
      <c r="DP623" s="92"/>
      <c r="DQ623" s="92"/>
      <c r="DR623" s="92"/>
      <c r="DS623" s="92"/>
      <c r="DT623" s="92"/>
      <c r="DU623" s="92"/>
      <c r="DV623" s="92"/>
      <c r="DW623" s="92"/>
      <c r="DX623" s="92"/>
      <c r="DY623" s="92"/>
      <c r="DZ623" s="92"/>
      <c r="EA623" s="92"/>
      <c r="EB623" s="92"/>
      <c r="EC623" s="92"/>
      <c r="ED623" s="92"/>
      <c r="EE623" s="92"/>
      <c r="EF623" s="92"/>
      <c r="EG623" s="92"/>
      <c r="EH623" s="92"/>
      <c r="EI623" s="92"/>
      <c r="EJ623" s="92"/>
      <c r="EK623" s="92"/>
      <c r="EL623" s="92"/>
      <c r="EM623" s="92"/>
      <c r="EN623" s="92"/>
      <c r="EO623" s="92"/>
      <c r="EP623" s="92"/>
      <c r="EQ623" s="92"/>
      <c r="ER623" s="92"/>
      <c r="ES623" s="92"/>
      <c r="ET623" s="92"/>
      <c r="EU623" s="92"/>
      <c r="EV623" s="92"/>
      <c r="EW623" s="92"/>
      <c r="EX623" s="92"/>
      <c r="EY623" s="92"/>
      <c r="EZ623" s="92"/>
      <c r="FA623" s="92"/>
      <c r="FB623" s="92"/>
      <c r="FC623" s="92"/>
      <c r="FD623" s="92"/>
      <c r="FE623" s="92"/>
      <c r="FF623" s="92"/>
      <c r="FG623" s="92"/>
      <c r="FH623" s="92"/>
    </row>
    <row r="624">
      <c r="A624" s="47" t="s">
        <v>28</v>
      </c>
      <c r="B624" s="47" t="s">
        <v>103</v>
      </c>
      <c r="C624" s="47" t="s">
        <v>13</v>
      </c>
      <c r="D624" s="101">
        <f t="shared" si="1"/>
        <v>5354.17965</v>
      </c>
      <c r="E624" s="92">
        <f>(SUBSTITUTE(Audio!E624, "RE-", "", 1))*1</f>
        <v>0</v>
      </c>
      <c r="F624" s="92">
        <f>(SUBSTITUTE(Audio!F624, "RE-", "", 1))*1</f>
        <v>375.328</v>
      </c>
      <c r="G624" s="92">
        <f>(SUBSTITUTE(Audio!G624, "RE-", "", 1))*1</f>
        <v>2.20213</v>
      </c>
      <c r="H624" s="92">
        <f>(SUBSTITUTE(Audio!H624, "RE-", "", 1))*1</f>
        <v>177.848</v>
      </c>
      <c r="I624" s="92">
        <f>(SUBSTITUTE(Audio!I624, "RE-", "", 1))*1</f>
        <v>0</v>
      </c>
      <c r="J624" s="92">
        <f>(SUBSTITUTE(Audio!J624, "RE-", "", 1))*1</f>
        <v>12.7381</v>
      </c>
      <c r="K624" s="92">
        <f>(SUBSTITUTE(Audio!K624, "RE-", "", 1))*1</f>
        <v>0</v>
      </c>
      <c r="L624" s="92">
        <f>(SUBSTITUTE(Audio!L624, "RE-", "", 1))*1</f>
        <v>642.315</v>
      </c>
      <c r="M624" s="92">
        <f>(SUBSTITUTE(Audio!M624, "RE-", "", 1))*1</f>
        <v>0.5916</v>
      </c>
      <c r="N624" s="92">
        <f>(SUBSTITUTE(Audio!N624, "RE-", "", 1))*1</f>
        <v>1162.41</v>
      </c>
      <c r="O624" s="92">
        <f>(SUBSTITUTE(Audio!O624, "RE-", "", 1))*1</f>
        <v>6.69882</v>
      </c>
      <c r="P624" s="92">
        <f>(SUBSTITUTE(Audio!P624, "RE-", "", 1))*1</f>
        <v>1127.03</v>
      </c>
      <c r="Q624" s="92">
        <f>(SUBSTITUTE(Audio!Q624, "RE-", "", 1))*1</f>
        <v>41.9509</v>
      </c>
      <c r="R624" s="92">
        <f>(SUBSTITUTE(Audio!R624, "RE-", "", 1))*1</f>
        <v>1205.05</v>
      </c>
      <c r="S624" s="92">
        <f>(SUBSTITUTE(Audio!S624, "RE-", "", 1))*1</f>
        <v>51.9287</v>
      </c>
      <c r="T624" s="92">
        <f>(SUBSTITUTE(Audio!T624, "RE-", "", 1))*1</f>
        <v>488.915</v>
      </c>
      <c r="U624" s="92">
        <f>(SUBSTITUTE(Audio!U624, "RE-", "", 1))*1</f>
        <v>47.737</v>
      </c>
      <c r="V624" s="92">
        <f>(SUBSTITUTE(Audio!V624, "RE-", "", 1))*1</f>
        <v>11.4364</v>
      </c>
      <c r="W624" s="92">
        <f>(SUBSTITUTE(Audio!W624, "RE-", "", 1))*1</f>
        <v>0</v>
      </c>
      <c r="X624" s="92">
        <f>(SUBSTITUTE(Audio!X624, "RE-", "", 1))*1</f>
        <v>0</v>
      </c>
      <c r="Y624" s="92">
        <f>(SUBSTITUTE(Audio!Y624, "RE-", "", 1))*1</f>
        <v>0</v>
      </c>
      <c r="Z624" s="92">
        <f>(SUBSTITUTE(Audio!Z624, "RE-", "", 1))*1</f>
        <v>0</v>
      </c>
      <c r="AA624" s="92"/>
      <c r="AB624" s="92"/>
      <c r="AC624" s="92"/>
      <c r="AD624" s="92"/>
      <c r="AE624" s="92"/>
      <c r="AF624" s="92"/>
      <c r="AG624" s="92"/>
      <c r="AH624" s="92"/>
      <c r="AI624" s="92"/>
      <c r="AJ624" s="92"/>
      <c r="AK624" s="92"/>
      <c r="AL624" s="92"/>
      <c r="AM624" s="92"/>
      <c r="AN624" s="92"/>
      <c r="AO624" s="92"/>
      <c r="AP624" s="92"/>
      <c r="AQ624" s="92"/>
      <c r="AR624" s="92"/>
      <c r="AS624" s="92"/>
      <c r="AT624" s="92"/>
      <c r="AU624" s="92"/>
      <c r="AV624" s="92"/>
      <c r="AW624" s="92"/>
      <c r="AX624" s="92"/>
      <c r="AY624" s="92"/>
      <c r="AZ624" s="92"/>
      <c r="BA624" s="92"/>
      <c r="BB624" s="92"/>
      <c r="BC624" s="92"/>
      <c r="BD624" s="92"/>
      <c r="BE624" s="92"/>
      <c r="BF624" s="92"/>
      <c r="BG624" s="92"/>
      <c r="BH624" s="92"/>
      <c r="BI624" s="92"/>
      <c r="BJ624" s="92"/>
      <c r="BK624" s="92"/>
      <c r="BL624" s="92"/>
      <c r="BM624" s="92"/>
      <c r="BN624" s="92"/>
      <c r="BO624" s="92"/>
      <c r="BP624" s="92"/>
      <c r="BQ624" s="92"/>
      <c r="BR624" s="92"/>
      <c r="BS624" s="92"/>
      <c r="BT624" s="92"/>
      <c r="BU624" s="92"/>
      <c r="BV624" s="92"/>
      <c r="BW624" s="92"/>
      <c r="BX624" s="92"/>
      <c r="BY624" s="92"/>
      <c r="BZ624" s="92"/>
      <c r="CA624" s="92"/>
      <c r="CB624" s="92"/>
      <c r="CC624" s="92"/>
      <c r="CD624" s="92"/>
      <c r="CE624" s="92"/>
      <c r="CF624" s="92"/>
      <c r="CG624" s="92"/>
      <c r="CH624" s="92"/>
      <c r="CI624" s="92"/>
      <c r="CJ624" s="92"/>
      <c r="CK624" s="92"/>
      <c r="CL624" s="92"/>
      <c r="CM624" s="92"/>
      <c r="CN624" s="92"/>
      <c r="CO624" s="92"/>
      <c r="CP624" s="92"/>
      <c r="CQ624" s="92"/>
      <c r="CR624" s="92"/>
      <c r="CS624" s="92"/>
      <c r="CT624" s="92"/>
      <c r="CU624" s="92"/>
      <c r="CV624" s="92"/>
      <c r="CW624" s="92"/>
      <c r="CX624" s="92"/>
      <c r="CY624" s="92"/>
      <c r="CZ624" s="92"/>
      <c r="DA624" s="92"/>
      <c r="DB624" s="92"/>
      <c r="DC624" s="92"/>
      <c r="DD624" s="92"/>
      <c r="DE624" s="92"/>
      <c r="DF624" s="92"/>
      <c r="DG624" s="92"/>
      <c r="DH624" s="92"/>
      <c r="DI624" s="92"/>
      <c r="DJ624" s="92"/>
      <c r="DK624" s="92"/>
      <c r="DL624" s="92"/>
      <c r="DM624" s="92"/>
      <c r="DN624" s="92"/>
      <c r="DO624" s="92"/>
      <c r="DP624" s="92"/>
      <c r="DQ624" s="92"/>
      <c r="DR624" s="92"/>
      <c r="DS624" s="92"/>
      <c r="DT624" s="92"/>
      <c r="DU624" s="92"/>
      <c r="DV624" s="92"/>
      <c r="DW624" s="92"/>
      <c r="DX624" s="92"/>
      <c r="DY624" s="92"/>
      <c r="DZ624" s="92"/>
      <c r="EA624" s="92"/>
      <c r="EB624" s="92"/>
      <c r="EC624" s="92"/>
      <c r="ED624" s="92"/>
      <c r="EE624" s="92"/>
      <c r="EF624" s="92"/>
      <c r="EG624" s="92"/>
      <c r="EH624" s="92"/>
      <c r="EI624" s="92"/>
      <c r="EJ624" s="92"/>
      <c r="EK624" s="92"/>
      <c r="EL624" s="92"/>
      <c r="EM624" s="92"/>
      <c r="EN624" s="92"/>
      <c r="EO624" s="92"/>
      <c r="EP624" s="92"/>
      <c r="EQ624" s="92"/>
      <c r="ER624" s="92"/>
      <c r="ES624" s="92"/>
      <c r="ET624" s="92"/>
      <c r="EU624" s="92"/>
      <c r="EV624" s="92"/>
      <c r="EW624" s="92"/>
      <c r="EX624" s="92"/>
      <c r="EY624" s="92"/>
      <c r="EZ624" s="92"/>
      <c r="FA624" s="92"/>
      <c r="FB624" s="92"/>
      <c r="FC624" s="92"/>
      <c r="FD624" s="92"/>
      <c r="FE624" s="92"/>
      <c r="FF624" s="92"/>
      <c r="FG624" s="92"/>
      <c r="FH624" s="92"/>
    </row>
    <row r="625">
      <c r="A625" s="47" t="s">
        <v>28</v>
      </c>
      <c r="B625" s="47" t="s">
        <v>103</v>
      </c>
      <c r="C625" s="47" t="s">
        <v>14</v>
      </c>
      <c r="D625" s="101">
        <f t="shared" si="1"/>
        <v>4672.16328</v>
      </c>
      <c r="E625" s="92">
        <f>(SUBSTITUTE(Audio!E625, "RE-", "", 1))*1</f>
        <v>0</v>
      </c>
      <c r="F625" s="92">
        <f>(SUBSTITUTE(Audio!F625, "RE-", "", 1))*1</f>
        <v>336.596</v>
      </c>
      <c r="G625" s="92">
        <f>(SUBSTITUTE(Audio!G625, "RE-", "", 1))*1</f>
        <v>2.20213</v>
      </c>
      <c r="H625" s="92">
        <f>(SUBSTITUTE(Audio!H625, "RE-", "", 1))*1</f>
        <v>166.459</v>
      </c>
      <c r="I625" s="92">
        <f>(SUBSTITUTE(Audio!I625, "RE-", "", 1))*1</f>
        <v>0</v>
      </c>
      <c r="J625" s="92">
        <f>(SUBSTITUTE(Audio!J625, "RE-", "", 1))*1</f>
        <v>12.1026</v>
      </c>
      <c r="K625" s="92">
        <f>(SUBSTITUTE(Audio!K625, "RE-", "", 1))*1</f>
        <v>0</v>
      </c>
      <c r="L625" s="92">
        <f>(SUBSTITUTE(Audio!L625, "RE-", "", 1))*1</f>
        <v>558.837</v>
      </c>
      <c r="M625" s="92">
        <f>(SUBSTITUTE(Audio!M625, "RE-", "", 1))*1</f>
        <v>0.5916</v>
      </c>
      <c r="N625" s="92">
        <f>(SUBSTITUTE(Audio!N625, "RE-", "", 1))*1</f>
        <v>1017.15</v>
      </c>
      <c r="O625" s="92">
        <f>(SUBSTITUTE(Audio!O625, "RE-", "", 1))*1</f>
        <v>6.06437</v>
      </c>
      <c r="P625" s="92">
        <f>(SUBSTITUTE(Audio!P625, "RE-", "", 1))*1</f>
        <v>977.76</v>
      </c>
      <c r="Q625" s="92">
        <f>(SUBSTITUTE(Audio!Q625, "RE-", "", 1))*1</f>
        <v>35.8607</v>
      </c>
      <c r="R625" s="92">
        <f>(SUBSTITUTE(Audio!R625, "RE-", "", 1))*1</f>
        <v>1046.04</v>
      </c>
      <c r="S625" s="92">
        <f>(SUBSTITUTE(Audio!S625, "RE-", "", 1))*1</f>
        <v>45.7754</v>
      </c>
      <c r="T625" s="92">
        <f>(SUBSTITUTE(Audio!T625, "RE-", "", 1))*1</f>
        <v>416.209</v>
      </c>
      <c r="U625" s="92">
        <f>(SUBSTITUTE(Audio!U625, "RE-", "", 1))*1</f>
        <v>42.773</v>
      </c>
      <c r="V625" s="92">
        <f>(SUBSTITUTE(Audio!V625, "RE-", "", 1))*1</f>
        <v>7.74248</v>
      </c>
      <c r="W625" s="92">
        <f>(SUBSTITUTE(Audio!W625, "RE-", "", 1))*1</f>
        <v>0</v>
      </c>
      <c r="X625" s="92">
        <f>(SUBSTITUTE(Audio!X625, "RE-", "", 1))*1</f>
        <v>0</v>
      </c>
      <c r="Y625" s="92">
        <f>(SUBSTITUTE(Audio!Y625, "RE-", "", 1))*1</f>
        <v>0</v>
      </c>
      <c r="Z625" s="92">
        <f>(SUBSTITUTE(Audio!Z625, "RE-", "", 1))*1</f>
        <v>0</v>
      </c>
      <c r="AA625" s="92"/>
      <c r="AB625" s="92"/>
      <c r="AC625" s="92"/>
      <c r="AD625" s="92"/>
      <c r="AE625" s="92"/>
      <c r="AF625" s="92"/>
      <c r="AG625" s="92"/>
      <c r="AH625" s="92"/>
      <c r="AI625" s="92"/>
      <c r="AJ625" s="92"/>
      <c r="AK625" s="92"/>
      <c r="AL625" s="92"/>
      <c r="AM625" s="92"/>
      <c r="AN625" s="92"/>
      <c r="AO625" s="92"/>
      <c r="AP625" s="92"/>
      <c r="AQ625" s="92"/>
      <c r="AR625" s="92"/>
      <c r="AS625" s="92"/>
      <c r="AT625" s="92"/>
      <c r="AU625" s="92"/>
      <c r="AV625" s="92"/>
      <c r="AW625" s="92"/>
      <c r="AX625" s="92"/>
      <c r="AY625" s="92"/>
      <c r="AZ625" s="92"/>
      <c r="BA625" s="92"/>
      <c r="BB625" s="92"/>
      <c r="BC625" s="92"/>
      <c r="BD625" s="92"/>
      <c r="BE625" s="92"/>
      <c r="BF625" s="92"/>
      <c r="BG625" s="92"/>
      <c r="BH625" s="92"/>
      <c r="BI625" s="92"/>
      <c r="BJ625" s="92"/>
      <c r="BK625" s="92"/>
      <c r="BL625" s="92"/>
      <c r="BM625" s="92"/>
      <c r="BN625" s="92"/>
      <c r="BO625" s="92"/>
      <c r="BP625" s="92"/>
      <c r="BQ625" s="92"/>
      <c r="BR625" s="92"/>
      <c r="BS625" s="92"/>
      <c r="BT625" s="92"/>
      <c r="BU625" s="92"/>
      <c r="BV625" s="92"/>
      <c r="BW625" s="92"/>
      <c r="BX625" s="92"/>
      <c r="BY625" s="92"/>
      <c r="BZ625" s="92"/>
      <c r="CA625" s="92"/>
      <c r="CB625" s="92"/>
      <c r="CC625" s="92"/>
      <c r="CD625" s="92"/>
      <c r="CE625" s="92"/>
      <c r="CF625" s="92"/>
      <c r="CG625" s="92"/>
      <c r="CH625" s="92"/>
      <c r="CI625" s="92"/>
      <c r="CJ625" s="92"/>
      <c r="CK625" s="92"/>
      <c r="CL625" s="92"/>
      <c r="CM625" s="92"/>
      <c r="CN625" s="92"/>
      <c r="CO625" s="92"/>
      <c r="CP625" s="92"/>
      <c r="CQ625" s="92"/>
      <c r="CR625" s="92"/>
      <c r="CS625" s="92"/>
      <c r="CT625" s="92"/>
      <c r="CU625" s="92"/>
      <c r="CV625" s="92"/>
      <c r="CW625" s="92"/>
      <c r="CX625" s="92"/>
      <c r="CY625" s="92"/>
      <c r="CZ625" s="92"/>
      <c r="DA625" s="92"/>
      <c r="DB625" s="92"/>
      <c r="DC625" s="92"/>
      <c r="DD625" s="92"/>
      <c r="DE625" s="92"/>
      <c r="DF625" s="92"/>
      <c r="DG625" s="92"/>
      <c r="DH625" s="92"/>
      <c r="DI625" s="92"/>
      <c r="DJ625" s="92"/>
      <c r="DK625" s="92"/>
      <c r="DL625" s="92"/>
      <c r="DM625" s="92"/>
      <c r="DN625" s="92"/>
      <c r="DO625" s="92"/>
      <c r="DP625" s="92"/>
      <c r="DQ625" s="92"/>
      <c r="DR625" s="92"/>
      <c r="DS625" s="92"/>
      <c r="DT625" s="92"/>
      <c r="DU625" s="92"/>
      <c r="DV625" s="92"/>
      <c r="DW625" s="92"/>
      <c r="DX625" s="92"/>
      <c r="DY625" s="92"/>
      <c r="DZ625" s="92"/>
      <c r="EA625" s="92"/>
      <c r="EB625" s="92"/>
      <c r="EC625" s="92"/>
      <c r="ED625" s="92"/>
      <c r="EE625" s="92"/>
      <c r="EF625" s="92"/>
      <c r="EG625" s="92"/>
      <c r="EH625" s="92"/>
      <c r="EI625" s="92"/>
      <c r="EJ625" s="92"/>
      <c r="EK625" s="92"/>
      <c r="EL625" s="92"/>
      <c r="EM625" s="92"/>
      <c r="EN625" s="92"/>
      <c r="EO625" s="92"/>
      <c r="EP625" s="92"/>
      <c r="EQ625" s="92"/>
      <c r="ER625" s="92"/>
      <c r="ES625" s="92"/>
      <c r="ET625" s="92"/>
      <c r="EU625" s="92"/>
      <c r="EV625" s="92"/>
      <c r="EW625" s="92"/>
      <c r="EX625" s="92"/>
      <c r="EY625" s="92"/>
      <c r="EZ625" s="92"/>
      <c r="FA625" s="92"/>
      <c r="FB625" s="92"/>
      <c r="FC625" s="92"/>
      <c r="FD625" s="92"/>
      <c r="FE625" s="92"/>
      <c r="FF625" s="92"/>
      <c r="FG625" s="92"/>
      <c r="FH625" s="92"/>
    </row>
    <row r="626">
      <c r="A626" s="48" t="s">
        <v>28</v>
      </c>
      <c r="B626" s="48" t="s">
        <v>103</v>
      </c>
      <c r="C626" s="48" t="s">
        <v>15</v>
      </c>
      <c r="D626" s="99">
        <f t="shared" si="1"/>
        <v>5354.17965</v>
      </c>
      <c r="E626" s="92">
        <f>(SUBSTITUTE(Audio!E626, "RE-", "", 1))*1</f>
        <v>0</v>
      </c>
      <c r="F626" s="92">
        <f>(SUBSTITUTE(Audio!F626, "RE-", "", 1))*1</f>
        <v>375.328</v>
      </c>
      <c r="G626" s="92">
        <f>(SUBSTITUTE(Audio!G626, "RE-", "", 1))*1</f>
        <v>2.20213</v>
      </c>
      <c r="H626" s="92">
        <f>(SUBSTITUTE(Audio!H626, "RE-", "", 1))*1</f>
        <v>177.848</v>
      </c>
      <c r="I626" s="92">
        <f>(SUBSTITUTE(Audio!I626, "RE-", "", 1))*1</f>
        <v>0</v>
      </c>
      <c r="J626" s="92">
        <f>(SUBSTITUTE(Audio!J626, "RE-", "", 1))*1</f>
        <v>12.7381</v>
      </c>
      <c r="K626" s="92">
        <f>(SUBSTITUTE(Audio!K626, "RE-", "", 1))*1</f>
        <v>0</v>
      </c>
      <c r="L626" s="92">
        <f>(SUBSTITUTE(Audio!L626, "RE-", "", 1))*1</f>
        <v>642.315</v>
      </c>
      <c r="M626" s="92">
        <f>(SUBSTITUTE(Audio!M626, "RE-", "", 1))*1</f>
        <v>0.5916</v>
      </c>
      <c r="N626" s="92">
        <f>(SUBSTITUTE(Audio!N626, "RE-", "", 1))*1</f>
        <v>1162.41</v>
      </c>
      <c r="O626" s="92">
        <f>(SUBSTITUTE(Audio!O626, "RE-", "", 1))*1</f>
        <v>6.69882</v>
      </c>
      <c r="P626" s="92">
        <f>(SUBSTITUTE(Audio!P626, "RE-", "", 1))*1</f>
        <v>1127.03</v>
      </c>
      <c r="Q626" s="92">
        <f>(SUBSTITUTE(Audio!Q626, "RE-", "", 1))*1</f>
        <v>41.9509</v>
      </c>
      <c r="R626" s="92">
        <f>(SUBSTITUTE(Audio!R626, "RE-", "", 1))*1</f>
        <v>1205.05</v>
      </c>
      <c r="S626" s="92">
        <f>(SUBSTITUTE(Audio!S626, "RE-", "", 1))*1</f>
        <v>51.9287</v>
      </c>
      <c r="T626" s="92">
        <f>(SUBSTITUTE(Audio!T626, "RE-", "", 1))*1</f>
        <v>488.915</v>
      </c>
      <c r="U626" s="92">
        <f>(SUBSTITUTE(Audio!U626, "RE-", "", 1))*1</f>
        <v>47.737</v>
      </c>
      <c r="V626" s="92">
        <f>(SUBSTITUTE(Audio!V626, "RE-", "", 1))*1</f>
        <v>11.4364</v>
      </c>
      <c r="W626" s="92">
        <f>(SUBSTITUTE(Audio!W626, "RE-", "", 1))*1</f>
        <v>0</v>
      </c>
      <c r="X626" s="92">
        <f>(SUBSTITUTE(Audio!X626, "RE-", "", 1))*1</f>
        <v>0</v>
      </c>
      <c r="Y626" s="92">
        <f>(SUBSTITUTE(Audio!Y626, "RE-", "", 1))*1</f>
        <v>0</v>
      </c>
      <c r="Z626" s="92">
        <f>(SUBSTITUTE(Audio!Z626, "RE-", "", 1))*1</f>
        <v>0</v>
      </c>
      <c r="AA626" s="92"/>
      <c r="AB626" s="92"/>
      <c r="AC626" s="92"/>
      <c r="AD626" s="92"/>
      <c r="AE626" s="92"/>
      <c r="AF626" s="92"/>
      <c r="AG626" s="92"/>
      <c r="AH626" s="92"/>
      <c r="AI626" s="92"/>
      <c r="AJ626" s="92"/>
      <c r="AK626" s="92"/>
      <c r="AL626" s="92"/>
      <c r="AM626" s="92"/>
      <c r="AN626" s="92"/>
      <c r="AO626" s="92"/>
      <c r="AP626" s="92"/>
      <c r="AQ626" s="92"/>
      <c r="AR626" s="92"/>
      <c r="AS626" s="92"/>
      <c r="AT626" s="92"/>
      <c r="AU626" s="92"/>
      <c r="AV626" s="92"/>
      <c r="AW626" s="92"/>
      <c r="AX626" s="92"/>
      <c r="AY626" s="92"/>
      <c r="AZ626" s="92"/>
      <c r="BA626" s="92"/>
      <c r="BB626" s="92"/>
      <c r="BC626" s="92"/>
      <c r="BD626" s="92"/>
      <c r="BE626" s="92"/>
      <c r="BF626" s="92"/>
      <c r="BG626" s="92"/>
      <c r="BH626" s="92"/>
      <c r="BI626" s="92"/>
      <c r="BJ626" s="92"/>
      <c r="BK626" s="92"/>
      <c r="BL626" s="92"/>
      <c r="BM626" s="92"/>
      <c r="BN626" s="92"/>
      <c r="BO626" s="92"/>
      <c r="BP626" s="92"/>
      <c r="BQ626" s="92"/>
      <c r="BR626" s="92"/>
      <c r="BS626" s="92"/>
      <c r="BT626" s="92"/>
      <c r="BU626" s="92"/>
      <c r="BV626" s="92"/>
      <c r="BW626" s="92"/>
      <c r="BX626" s="92"/>
      <c r="BY626" s="92"/>
      <c r="BZ626" s="92"/>
      <c r="CA626" s="92"/>
      <c r="CB626" s="92"/>
      <c r="CC626" s="92"/>
      <c r="CD626" s="92"/>
      <c r="CE626" s="92"/>
      <c r="CF626" s="92"/>
      <c r="CG626" s="92"/>
      <c r="CH626" s="92"/>
      <c r="CI626" s="92"/>
      <c r="CJ626" s="92"/>
      <c r="CK626" s="92"/>
      <c r="CL626" s="92"/>
      <c r="CM626" s="92"/>
      <c r="CN626" s="92"/>
      <c r="CO626" s="92"/>
      <c r="CP626" s="92"/>
      <c r="CQ626" s="92"/>
      <c r="CR626" s="92"/>
      <c r="CS626" s="92"/>
      <c r="CT626" s="92"/>
      <c r="CU626" s="92"/>
      <c r="CV626" s="92"/>
      <c r="CW626" s="92"/>
      <c r="CX626" s="92"/>
      <c r="CY626" s="92"/>
      <c r="CZ626" s="92"/>
      <c r="DA626" s="92"/>
      <c r="DB626" s="92"/>
      <c r="DC626" s="92"/>
      <c r="DD626" s="92"/>
      <c r="DE626" s="92"/>
      <c r="DF626" s="92"/>
      <c r="DG626" s="92"/>
      <c r="DH626" s="92"/>
      <c r="DI626" s="92"/>
      <c r="DJ626" s="92"/>
      <c r="DK626" s="92"/>
      <c r="DL626" s="92"/>
      <c r="DM626" s="92"/>
      <c r="DN626" s="92"/>
      <c r="DO626" s="92"/>
      <c r="DP626" s="92"/>
      <c r="DQ626" s="92"/>
      <c r="DR626" s="92"/>
      <c r="DS626" s="92"/>
      <c r="DT626" s="92"/>
      <c r="DU626" s="92"/>
      <c r="DV626" s="92"/>
      <c r="DW626" s="92"/>
      <c r="DX626" s="92"/>
      <c r="DY626" s="92"/>
      <c r="DZ626" s="92"/>
      <c r="EA626" s="92"/>
      <c r="EB626" s="92"/>
      <c r="EC626" s="92"/>
      <c r="ED626" s="92"/>
      <c r="EE626" s="92"/>
      <c r="EF626" s="92"/>
      <c r="EG626" s="92"/>
      <c r="EH626" s="92"/>
      <c r="EI626" s="92"/>
      <c r="EJ626" s="92"/>
      <c r="EK626" s="92"/>
      <c r="EL626" s="92"/>
      <c r="EM626" s="92"/>
      <c r="EN626" s="92"/>
      <c r="EO626" s="92"/>
      <c r="EP626" s="92"/>
      <c r="EQ626" s="92"/>
      <c r="ER626" s="92"/>
      <c r="ES626" s="92"/>
      <c r="ET626" s="92"/>
      <c r="EU626" s="92"/>
      <c r="EV626" s="92"/>
      <c r="EW626" s="92"/>
      <c r="EX626" s="92"/>
      <c r="EY626" s="92"/>
      <c r="EZ626" s="92"/>
      <c r="FA626" s="92"/>
      <c r="FB626" s="92"/>
      <c r="FC626" s="92"/>
      <c r="FD626" s="92"/>
      <c r="FE626" s="92"/>
      <c r="FF626" s="92"/>
      <c r="FG626" s="92"/>
      <c r="FH626" s="92"/>
    </row>
    <row r="627">
      <c r="A627" s="45" t="s">
        <v>28</v>
      </c>
      <c r="B627" s="45" t="s">
        <v>104</v>
      </c>
      <c r="C627" s="46" t="str">
        <f>HYPERLINK("https://docs.google.com/spreadsheets/d/1Vi1CQAVCpOgbjUsYqIZgEzxZB8EaG2nq/edit?usp=share_link&amp;ouid=106501987799020758802&amp;rtpof=true&amp;sd=true", "Raw Delivered")</f>
        <v>Raw Delivered</v>
      </c>
      <c r="D627" s="100">
        <f t="shared" si="1"/>
        <v>5345.362279</v>
      </c>
      <c r="E627" s="92">
        <f>(SUBSTITUTE(Audio!E627, "RE-", "", 1))*1</f>
        <v>0</v>
      </c>
      <c r="F627" s="92">
        <f>(SUBSTITUTE(Audio!F627, "RE-", "", 1))*1</f>
        <v>777.2681135</v>
      </c>
      <c r="G627" s="92">
        <f>(SUBSTITUTE(Audio!G627, "RE-", "", 1))*1</f>
        <v>0</v>
      </c>
      <c r="H627" s="92">
        <f>(SUBSTITUTE(Audio!H627, "RE-", "", 1))*1</f>
        <v>233.5259187</v>
      </c>
      <c r="I627" s="92">
        <f>(SUBSTITUTE(Audio!I627, "RE-", "", 1))*1</f>
        <v>0</v>
      </c>
      <c r="J627" s="92">
        <f>(SUBSTITUTE(Audio!J627, "RE-", "", 1))*1</f>
        <v>80.17265208</v>
      </c>
      <c r="K627" s="92">
        <f>(SUBSTITUTE(Audio!K627, "RE-", "", 1))*1</f>
        <v>0</v>
      </c>
      <c r="L627" s="92">
        <f>(SUBSTITUTE(Audio!L627, "RE-", "", 1))*1</f>
        <v>621.7245854</v>
      </c>
      <c r="M627" s="92">
        <f>(SUBSTITUTE(Audio!M627, "RE-", "", 1))*1</f>
        <v>0</v>
      </c>
      <c r="N627" s="92">
        <f>(SUBSTITUTE(Audio!N627, "RE-", "", 1))*1</f>
        <v>1316.179404</v>
      </c>
      <c r="O627" s="92">
        <f>(SUBSTITUTE(Audio!O627, "RE-", "", 1))*1</f>
        <v>0</v>
      </c>
      <c r="P627" s="92">
        <f>(SUBSTITUTE(Audio!P627, "RE-", "", 1))*1</f>
        <v>1117.109772</v>
      </c>
      <c r="Q627" s="92">
        <f>(SUBSTITUTE(Audio!Q627, "RE-", "", 1))*1</f>
        <v>0</v>
      </c>
      <c r="R627" s="92">
        <f>(SUBSTITUTE(Audio!R627, "RE-", "", 1))*1</f>
        <v>809.3037406</v>
      </c>
      <c r="S627" s="92">
        <f>(SUBSTITUTE(Audio!S627, "RE-", "", 1))*1</f>
        <v>0</v>
      </c>
      <c r="T627" s="92">
        <f>(SUBSTITUTE(Audio!T627, "RE-", "", 1))*1</f>
        <v>390.0780927</v>
      </c>
      <c r="U627" s="92">
        <f>(SUBSTITUTE(Audio!U627, "RE-", "", 1))*1</f>
        <v>0</v>
      </c>
      <c r="V627" s="92">
        <f>(SUBSTITUTE(Audio!V627, "RE-", "", 1))*1</f>
        <v>0</v>
      </c>
      <c r="W627" s="92">
        <f>(SUBSTITUTE(Audio!W627, "RE-", "", 1))*1</f>
        <v>0</v>
      </c>
      <c r="X627" s="92">
        <f>(SUBSTITUTE(Audio!X627, "RE-", "", 1))*1</f>
        <v>0</v>
      </c>
      <c r="Y627" s="92">
        <f>(SUBSTITUTE(Audio!Y627, "RE-", "", 1))*1</f>
        <v>0</v>
      </c>
      <c r="Z627" s="92">
        <f>(SUBSTITUTE(Audio!Z627, "RE-", "", 1))*1</f>
        <v>0</v>
      </c>
      <c r="AA627" s="92"/>
      <c r="AB627" s="92"/>
      <c r="AC627" s="92"/>
      <c r="AD627" s="92"/>
      <c r="AE627" s="92"/>
      <c r="AF627" s="92"/>
      <c r="AG627" s="92"/>
      <c r="AH627" s="92"/>
      <c r="AI627" s="92"/>
      <c r="AJ627" s="92"/>
      <c r="AK627" s="92"/>
      <c r="AL627" s="92"/>
      <c r="AM627" s="92"/>
      <c r="AN627" s="92"/>
      <c r="AO627" s="92"/>
      <c r="AP627" s="92"/>
      <c r="AQ627" s="92"/>
      <c r="AR627" s="92"/>
      <c r="AS627" s="92"/>
      <c r="AT627" s="92"/>
      <c r="AU627" s="92"/>
      <c r="AV627" s="92"/>
      <c r="AW627" s="92"/>
      <c r="AX627" s="92"/>
      <c r="AY627" s="92"/>
      <c r="AZ627" s="92"/>
      <c r="BA627" s="92"/>
      <c r="BB627" s="92"/>
      <c r="BC627" s="92"/>
      <c r="BD627" s="92"/>
      <c r="BE627" s="92"/>
      <c r="BF627" s="92"/>
      <c r="BG627" s="92"/>
      <c r="BH627" s="92"/>
      <c r="BI627" s="92"/>
      <c r="BJ627" s="92"/>
      <c r="BK627" s="92"/>
      <c r="BL627" s="92"/>
      <c r="BM627" s="92"/>
      <c r="BN627" s="92"/>
      <c r="BO627" s="92"/>
      <c r="BP627" s="92"/>
      <c r="BQ627" s="92"/>
      <c r="BR627" s="92"/>
      <c r="BS627" s="92"/>
      <c r="BT627" s="92"/>
      <c r="BU627" s="92"/>
      <c r="BV627" s="92"/>
      <c r="BW627" s="92"/>
      <c r="BX627" s="92"/>
      <c r="BY627" s="92"/>
      <c r="BZ627" s="92"/>
      <c r="CA627" s="92"/>
      <c r="CB627" s="92"/>
      <c r="CC627" s="92"/>
      <c r="CD627" s="92"/>
      <c r="CE627" s="92"/>
      <c r="CF627" s="92"/>
      <c r="CG627" s="92"/>
      <c r="CH627" s="92"/>
      <c r="CI627" s="92"/>
      <c r="CJ627" s="92"/>
      <c r="CK627" s="92"/>
      <c r="CL627" s="92"/>
      <c r="CM627" s="92"/>
      <c r="CN627" s="92"/>
      <c r="CO627" s="92"/>
      <c r="CP627" s="92"/>
      <c r="CQ627" s="92"/>
      <c r="CR627" s="92"/>
      <c r="CS627" s="92"/>
      <c r="CT627" s="92"/>
      <c r="CU627" s="92"/>
      <c r="CV627" s="92"/>
      <c r="CW627" s="92"/>
      <c r="CX627" s="92"/>
      <c r="CY627" s="92"/>
      <c r="CZ627" s="92"/>
      <c r="DA627" s="92"/>
      <c r="DB627" s="92"/>
      <c r="DC627" s="92"/>
      <c r="DD627" s="92"/>
      <c r="DE627" s="92"/>
      <c r="DF627" s="92"/>
      <c r="DG627" s="92"/>
      <c r="DH627" s="92"/>
      <c r="DI627" s="92"/>
      <c r="DJ627" s="92"/>
      <c r="DK627" s="92"/>
      <c r="DL627" s="92"/>
      <c r="DM627" s="92"/>
      <c r="DN627" s="92"/>
      <c r="DO627" s="92"/>
      <c r="DP627" s="92"/>
      <c r="DQ627" s="92"/>
      <c r="DR627" s="92"/>
      <c r="DS627" s="92"/>
      <c r="DT627" s="92"/>
      <c r="DU627" s="92"/>
      <c r="DV627" s="92"/>
      <c r="DW627" s="92"/>
      <c r="DX627" s="92"/>
      <c r="DY627" s="92"/>
      <c r="DZ627" s="92"/>
      <c r="EA627" s="92"/>
      <c r="EB627" s="92"/>
      <c r="EC627" s="92"/>
      <c r="ED627" s="92"/>
      <c r="EE627" s="92"/>
      <c r="EF627" s="92"/>
      <c r="EG627" s="92"/>
      <c r="EH627" s="92"/>
      <c r="EI627" s="92"/>
      <c r="EJ627" s="92"/>
      <c r="EK627" s="92"/>
      <c r="EL627" s="92"/>
      <c r="EM627" s="92"/>
      <c r="EN627" s="92"/>
      <c r="EO627" s="92"/>
      <c r="EP627" s="92"/>
      <c r="EQ627" s="92"/>
      <c r="ER627" s="92"/>
      <c r="ES627" s="92"/>
      <c r="ET627" s="92"/>
      <c r="EU627" s="92"/>
      <c r="EV627" s="92"/>
      <c r="EW627" s="92"/>
      <c r="EX627" s="92"/>
      <c r="EY627" s="92"/>
      <c r="EZ627" s="92"/>
      <c r="FA627" s="92"/>
      <c r="FB627" s="92"/>
      <c r="FC627" s="92"/>
      <c r="FD627" s="92"/>
      <c r="FE627" s="92"/>
      <c r="FF627" s="92"/>
      <c r="FG627" s="92"/>
      <c r="FH627" s="92"/>
    </row>
    <row r="628">
      <c r="A628" s="47" t="s">
        <v>28</v>
      </c>
      <c r="B628" s="47" t="s">
        <v>104</v>
      </c>
      <c r="C628" s="47" t="s">
        <v>9</v>
      </c>
      <c r="D628" s="101">
        <f t="shared" si="1"/>
        <v>5345.362279</v>
      </c>
      <c r="E628" s="92">
        <f>(SUBSTITUTE(Audio!E628, "RE-", "", 1))*1</f>
        <v>0</v>
      </c>
      <c r="F628" s="92">
        <f>(SUBSTITUTE(Audio!F628, "RE-", "", 1))*1</f>
        <v>777.2681135</v>
      </c>
      <c r="G628" s="92">
        <f>(SUBSTITUTE(Audio!G628, "RE-", "", 1))*1</f>
        <v>0</v>
      </c>
      <c r="H628" s="92">
        <f>(SUBSTITUTE(Audio!H628, "RE-", "", 1))*1</f>
        <v>233.5259187</v>
      </c>
      <c r="I628" s="92">
        <f>(SUBSTITUTE(Audio!I628, "RE-", "", 1))*1</f>
        <v>0</v>
      </c>
      <c r="J628" s="92">
        <f>(SUBSTITUTE(Audio!J628, "RE-", "", 1))*1</f>
        <v>80.17265208</v>
      </c>
      <c r="K628" s="92">
        <f>(SUBSTITUTE(Audio!K628, "RE-", "", 1))*1</f>
        <v>0</v>
      </c>
      <c r="L628" s="92">
        <f>(SUBSTITUTE(Audio!L628, "RE-", "", 1))*1</f>
        <v>621.7245854</v>
      </c>
      <c r="M628" s="92">
        <f>(SUBSTITUTE(Audio!M628, "RE-", "", 1))*1</f>
        <v>0</v>
      </c>
      <c r="N628" s="92">
        <f>(SUBSTITUTE(Audio!N628, "RE-", "", 1))*1</f>
        <v>1316.179404</v>
      </c>
      <c r="O628" s="92">
        <f>(SUBSTITUTE(Audio!O628, "RE-", "", 1))*1</f>
        <v>0</v>
      </c>
      <c r="P628" s="92">
        <f>(SUBSTITUTE(Audio!P628, "RE-", "", 1))*1</f>
        <v>1117.109772</v>
      </c>
      <c r="Q628" s="92">
        <f>(SUBSTITUTE(Audio!Q628, "RE-", "", 1))*1</f>
        <v>0</v>
      </c>
      <c r="R628" s="92">
        <f>(SUBSTITUTE(Audio!R628, "RE-", "", 1))*1</f>
        <v>809.3037406</v>
      </c>
      <c r="S628" s="92">
        <f>(SUBSTITUTE(Audio!S628, "RE-", "", 1))*1</f>
        <v>0</v>
      </c>
      <c r="T628" s="92">
        <f>(SUBSTITUTE(Audio!T628, "RE-", "", 1))*1</f>
        <v>390.0780927</v>
      </c>
      <c r="U628" s="92">
        <f>(SUBSTITUTE(Audio!U628, "RE-", "", 1))*1</f>
        <v>0</v>
      </c>
      <c r="V628" s="92">
        <f>(SUBSTITUTE(Audio!V628, "RE-", "", 1))*1</f>
        <v>0</v>
      </c>
      <c r="W628" s="92">
        <f>(SUBSTITUTE(Audio!W628, "RE-", "", 1))*1</f>
        <v>0</v>
      </c>
      <c r="X628" s="92">
        <f>(SUBSTITUTE(Audio!X628, "RE-", "", 1))*1</f>
        <v>0</v>
      </c>
      <c r="Y628" s="92">
        <f>(SUBSTITUTE(Audio!Y628, "RE-", "", 1))*1</f>
        <v>0</v>
      </c>
      <c r="Z628" s="92">
        <f>(SUBSTITUTE(Audio!Z628, "RE-", "", 1))*1</f>
        <v>0</v>
      </c>
      <c r="AA628" s="92"/>
      <c r="AB628" s="92"/>
      <c r="AC628" s="92"/>
      <c r="AD628" s="92"/>
      <c r="AE628" s="92"/>
      <c r="AF628" s="92"/>
      <c r="AG628" s="92"/>
      <c r="AH628" s="92"/>
      <c r="AI628" s="92"/>
      <c r="AJ628" s="92"/>
      <c r="AK628" s="92"/>
      <c r="AL628" s="92"/>
      <c r="AM628" s="92"/>
      <c r="AN628" s="92"/>
      <c r="AO628" s="92"/>
      <c r="AP628" s="92"/>
      <c r="AQ628" s="92"/>
      <c r="AR628" s="92"/>
      <c r="AS628" s="92"/>
      <c r="AT628" s="92"/>
      <c r="AU628" s="92"/>
      <c r="AV628" s="92"/>
      <c r="AW628" s="92"/>
      <c r="AX628" s="92"/>
      <c r="AY628" s="92"/>
      <c r="AZ628" s="92"/>
      <c r="BA628" s="92"/>
      <c r="BB628" s="92"/>
      <c r="BC628" s="92"/>
      <c r="BD628" s="92"/>
      <c r="BE628" s="92"/>
      <c r="BF628" s="92"/>
      <c r="BG628" s="92"/>
      <c r="BH628" s="92"/>
      <c r="BI628" s="92"/>
      <c r="BJ628" s="92"/>
      <c r="BK628" s="92"/>
      <c r="BL628" s="92"/>
      <c r="BM628" s="92"/>
      <c r="BN628" s="92"/>
      <c r="BO628" s="92"/>
      <c r="BP628" s="92"/>
      <c r="BQ628" s="92"/>
      <c r="BR628" s="92"/>
      <c r="BS628" s="92"/>
      <c r="BT628" s="92"/>
      <c r="BU628" s="92"/>
      <c r="BV628" s="92"/>
      <c r="BW628" s="92"/>
      <c r="BX628" s="92"/>
      <c r="BY628" s="92"/>
      <c r="BZ628" s="92"/>
      <c r="CA628" s="92"/>
      <c r="CB628" s="92"/>
      <c r="CC628" s="92"/>
      <c r="CD628" s="92"/>
      <c r="CE628" s="92"/>
      <c r="CF628" s="92"/>
      <c r="CG628" s="92"/>
      <c r="CH628" s="92"/>
      <c r="CI628" s="92"/>
      <c r="CJ628" s="92"/>
      <c r="CK628" s="92"/>
      <c r="CL628" s="92"/>
      <c r="CM628" s="92"/>
      <c r="CN628" s="92"/>
      <c r="CO628" s="92"/>
      <c r="CP628" s="92"/>
      <c r="CQ628" s="92"/>
      <c r="CR628" s="92"/>
      <c r="CS628" s="92"/>
      <c r="CT628" s="92"/>
      <c r="CU628" s="92"/>
      <c r="CV628" s="92"/>
      <c r="CW628" s="92"/>
      <c r="CX628" s="92"/>
      <c r="CY628" s="92"/>
      <c r="CZ628" s="92"/>
      <c r="DA628" s="92"/>
      <c r="DB628" s="92"/>
      <c r="DC628" s="92"/>
      <c r="DD628" s="92"/>
      <c r="DE628" s="92"/>
      <c r="DF628" s="92"/>
      <c r="DG628" s="92"/>
      <c r="DH628" s="92"/>
      <c r="DI628" s="92"/>
      <c r="DJ628" s="92"/>
      <c r="DK628" s="92"/>
      <c r="DL628" s="92"/>
      <c r="DM628" s="92"/>
      <c r="DN628" s="92"/>
      <c r="DO628" s="92"/>
      <c r="DP628" s="92"/>
      <c r="DQ628" s="92"/>
      <c r="DR628" s="92"/>
      <c r="DS628" s="92"/>
      <c r="DT628" s="92"/>
      <c r="DU628" s="92"/>
      <c r="DV628" s="92"/>
      <c r="DW628" s="92"/>
      <c r="DX628" s="92"/>
      <c r="DY628" s="92"/>
      <c r="DZ628" s="92"/>
      <c r="EA628" s="92"/>
      <c r="EB628" s="92"/>
      <c r="EC628" s="92"/>
      <c r="ED628" s="92"/>
      <c r="EE628" s="92"/>
      <c r="EF628" s="92"/>
      <c r="EG628" s="92"/>
      <c r="EH628" s="92"/>
      <c r="EI628" s="92"/>
      <c r="EJ628" s="92"/>
      <c r="EK628" s="92"/>
      <c r="EL628" s="92"/>
      <c r="EM628" s="92"/>
      <c r="EN628" s="92"/>
      <c r="EO628" s="92"/>
      <c r="EP628" s="92"/>
      <c r="EQ628" s="92"/>
      <c r="ER628" s="92"/>
      <c r="ES628" s="92"/>
      <c r="ET628" s="92"/>
      <c r="EU628" s="92"/>
      <c r="EV628" s="92"/>
      <c r="EW628" s="92"/>
      <c r="EX628" s="92"/>
      <c r="EY628" s="92"/>
      <c r="EZ628" s="92"/>
      <c r="FA628" s="92"/>
      <c r="FB628" s="92"/>
      <c r="FC628" s="92"/>
      <c r="FD628" s="92"/>
      <c r="FE628" s="92"/>
      <c r="FF628" s="92"/>
      <c r="FG628" s="92"/>
      <c r="FH628" s="92"/>
    </row>
    <row r="629">
      <c r="A629" s="47" t="s">
        <v>28</v>
      </c>
      <c r="B629" s="47" t="s">
        <v>104</v>
      </c>
      <c r="C629" s="47" t="s">
        <v>10</v>
      </c>
      <c r="D629" s="101">
        <f t="shared" si="1"/>
        <v>505.5514438</v>
      </c>
      <c r="E629" s="92">
        <f>(SUBSTITUTE(Audio!E629, "RE-", "", 1))*1</f>
        <v>0</v>
      </c>
      <c r="F629" s="92">
        <f>(SUBSTITUTE(Audio!F629, "RE-", "", 1))*1</f>
        <v>0</v>
      </c>
      <c r="G629" s="92">
        <f>(SUBSTITUTE(Audio!G629, "RE-", "", 1))*1</f>
        <v>96.83316042</v>
      </c>
      <c r="H629" s="92">
        <f>(SUBSTITUTE(Audio!H629, "RE-", "", 1))*1</f>
        <v>0</v>
      </c>
      <c r="I629" s="92">
        <f>(SUBSTITUTE(Audio!I629, "RE-", "", 1))*1</f>
        <v>23.27132917</v>
      </c>
      <c r="J629" s="92">
        <f>(SUBSTITUTE(Audio!J629, "RE-", "", 1))*1</f>
        <v>0</v>
      </c>
      <c r="K629" s="92">
        <f>(SUBSTITUTE(Audio!K629, "RE-", "", 1))*1</f>
        <v>11.91948958</v>
      </c>
      <c r="L629" s="92">
        <f>(SUBSTITUTE(Audio!L629, "RE-", "", 1))*1</f>
        <v>0</v>
      </c>
      <c r="M629" s="92">
        <f>(SUBSTITUTE(Audio!M629, "RE-", "", 1))*1</f>
        <v>16.93976875</v>
      </c>
      <c r="N629" s="92">
        <f>(SUBSTITUTE(Audio!N629, "RE-", "", 1))*1</f>
        <v>0</v>
      </c>
      <c r="O629" s="92">
        <f>(SUBSTITUTE(Audio!O629, "RE-", "", 1))*1</f>
        <v>115.6055365</v>
      </c>
      <c r="P629" s="92">
        <f>(SUBSTITUTE(Audio!P629, "RE-", "", 1))*1</f>
        <v>0</v>
      </c>
      <c r="Q629" s="92">
        <f>(SUBSTITUTE(Audio!Q629, "RE-", "", 1))*1</f>
        <v>125.0097802</v>
      </c>
      <c r="R629" s="92">
        <f>(SUBSTITUTE(Audio!R629, "RE-", "", 1))*1</f>
        <v>0</v>
      </c>
      <c r="S629" s="92">
        <f>(SUBSTITUTE(Audio!S629, "RE-", "", 1))*1</f>
        <v>63.77217188</v>
      </c>
      <c r="T629" s="92">
        <f>(SUBSTITUTE(Audio!T629, "RE-", "", 1))*1</f>
        <v>0</v>
      </c>
      <c r="U629" s="92">
        <f>(SUBSTITUTE(Audio!U629, "RE-", "", 1))*1</f>
        <v>44.60781146</v>
      </c>
      <c r="V629" s="92">
        <f>(SUBSTITUTE(Audio!V629, "RE-", "", 1))*1</f>
        <v>7.592395833</v>
      </c>
      <c r="W629" s="92">
        <f>(SUBSTITUTE(Audio!W629, "RE-", "", 1))*1</f>
        <v>0</v>
      </c>
      <c r="X629" s="92">
        <f>(SUBSTITUTE(Audio!X629, "RE-", "", 1))*1</f>
        <v>0</v>
      </c>
      <c r="Y629" s="92">
        <f>(SUBSTITUTE(Audio!Y629, "RE-", "", 1))*1</f>
        <v>0</v>
      </c>
      <c r="Z629" s="92">
        <f>(SUBSTITUTE(Audio!Z629, "RE-", "", 1))*1</f>
        <v>0</v>
      </c>
      <c r="AA629" s="92"/>
      <c r="AB629" s="92"/>
      <c r="AC629" s="92"/>
      <c r="AD629" s="92"/>
      <c r="AE629" s="92"/>
      <c r="AF629" s="92"/>
      <c r="AG629" s="92"/>
      <c r="AH629" s="92"/>
      <c r="AI629" s="92"/>
      <c r="AJ629" s="92"/>
      <c r="AK629" s="92"/>
      <c r="AL629" s="92"/>
      <c r="AM629" s="92"/>
      <c r="AN629" s="92"/>
      <c r="AO629" s="92"/>
      <c r="AP629" s="92"/>
      <c r="AQ629" s="92"/>
      <c r="AR629" s="92"/>
      <c r="AS629" s="92"/>
      <c r="AT629" s="92"/>
      <c r="AU629" s="92"/>
      <c r="AV629" s="92"/>
      <c r="AW629" s="92"/>
      <c r="AX629" s="92"/>
      <c r="AY629" s="92"/>
      <c r="AZ629" s="92"/>
      <c r="BA629" s="92"/>
      <c r="BB629" s="92"/>
      <c r="BC629" s="92"/>
      <c r="BD629" s="92"/>
      <c r="BE629" s="92"/>
      <c r="BF629" s="92"/>
      <c r="BG629" s="92"/>
      <c r="BH629" s="92"/>
      <c r="BI629" s="92"/>
      <c r="BJ629" s="92"/>
      <c r="BK629" s="92"/>
      <c r="BL629" s="92"/>
      <c r="BM629" s="92"/>
      <c r="BN629" s="92"/>
      <c r="BO629" s="92"/>
      <c r="BP629" s="92"/>
      <c r="BQ629" s="92"/>
      <c r="BR629" s="92"/>
      <c r="BS629" s="92"/>
      <c r="BT629" s="92"/>
      <c r="BU629" s="92"/>
      <c r="BV629" s="92"/>
      <c r="BW629" s="92"/>
      <c r="BX629" s="92"/>
      <c r="BY629" s="92"/>
      <c r="BZ629" s="92"/>
      <c r="CA629" s="92"/>
      <c r="CB629" s="92"/>
      <c r="CC629" s="92"/>
      <c r="CD629" s="92"/>
      <c r="CE629" s="92"/>
      <c r="CF629" s="92"/>
      <c r="CG629" s="92"/>
      <c r="CH629" s="92"/>
      <c r="CI629" s="92"/>
      <c r="CJ629" s="92"/>
      <c r="CK629" s="92"/>
      <c r="CL629" s="92"/>
      <c r="CM629" s="92"/>
      <c r="CN629" s="92"/>
      <c r="CO629" s="92"/>
      <c r="CP629" s="92"/>
      <c r="CQ629" s="92"/>
      <c r="CR629" s="92"/>
      <c r="CS629" s="92"/>
      <c r="CT629" s="92"/>
      <c r="CU629" s="92"/>
      <c r="CV629" s="92"/>
      <c r="CW629" s="92"/>
      <c r="CX629" s="92"/>
      <c r="CY629" s="92"/>
      <c r="CZ629" s="92"/>
      <c r="DA629" s="92"/>
      <c r="DB629" s="92"/>
      <c r="DC629" s="92"/>
      <c r="DD629" s="92"/>
      <c r="DE629" s="92"/>
      <c r="DF629" s="92"/>
      <c r="DG629" s="92"/>
      <c r="DH629" s="92"/>
      <c r="DI629" s="92"/>
      <c r="DJ629" s="92"/>
      <c r="DK629" s="92"/>
      <c r="DL629" s="92"/>
      <c r="DM629" s="92"/>
      <c r="DN629" s="92"/>
      <c r="DO629" s="92"/>
      <c r="DP629" s="92"/>
      <c r="DQ629" s="92"/>
      <c r="DR629" s="92"/>
      <c r="DS629" s="92"/>
      <c r="DT629" s="92"/>
      <c r="DU629" s="92"/>
      <c r="DV629" s="92"/>
      <c r="DW629" s="92"/>
      <c r="DX629" s="92"/>
      <c r="DY629" s="92"/>
      <c r="DZ629" s="92"/>
      <c r="EA629" s="92"/>
      <c r="EB629" s="92"/>
      <c r="EC629" s="92"/>
      <c r="ED629" s="92"/>
      <c r="EE629" s="92"/>
      <c r="EF629" s="92"/>
      <c r="EG629" s="92"/>
      <c r="EH629" s="92"/>
      <c r="EI629" s="92"/>
      <c r="EJ629" s="92"/>
      <c r="EK629" s="92"/>
      <c r="EL629" s="92"/>
      <c r="EM629" s="92"/>
      <c r="EN629" s="92"/>
      <c r="EO629" s="92"/>
      <c r="EP629" s="92"/>
      <c r="EQ629" s="92"/>
      <c r="ER629" s="92"/>
      <c r="ES629" s="92"/>
      <c r="ET629" s="92"/>
      <c r="EU629" s="92"/>
      <c r="EV629" s="92"/>
      <c r="EW629" s="92"/>
      <c r="EX629" s="92"/>
      <c r="EY629" s="92"/>
      <c r="EZ629" s="92"/>
      <c r="FA629" s="92"/>
      <c r="FB629" s="92"/>
      <c r="FC629" s="92"/>
      <c r="FD629" s="92"/>
      <c r="FE629" s="92"/>
      <c r="FF629" s="92"/>
      <c r="FG629" s="92"/>
      <c r="FH629" s="92"/>
    </row>
    <row r="630">
      <c r="A630" s="47" t="s">
        <v>28</v>
      </c>
      <c r="B630" s="47" t="s">
        <v>104</v>
      </c>
      <c r="C630" s="47" t="s">
        <v>11</v>
      </c>
      <c r="D630" s="101">
        <f t="shared" si="1"/>
        <v>505.5514437</v>
      </c>
      <c r="E630" s="92">
        <f>(SUBSTITUTE(Audio!E630, "RE-", "", 1))*1</f>
        <v>0</v>
      </c>
      <c r="F630" s="92">
        <f>(SUBSTITUTE(Audio!F630, "RE-", "", 1))*1</f>
        <v>0</v>
      </c>
      <c r="G630" s="92">
        <f>(SUBSTITUTE(Audio!G630, "RE-", "", 1))*1</f>
        <v>96.83316042</v>
      </c>
      <c r="H630" s="92">
        <f>(SUBSTITUTE(Audio!H630, "RE-", "", 1))*1</f>
        <v>0</v>
      </c>
      <c r="I630" s="92">
        <f>(SUBSTITUTE(Audio!I630, "RE-", "", 1))*1</f>
        <v>23.27132917</v>
      </c>
      <c r="J630" s="92">
        <f>(SUBSTITUTE(Audio!J630, "RE-", "", 1))*1</f>
        <v>0</v>
      </c>
      <c r="K630" s="92">
        <f>(SUBSTITUTE(Audio!K630, "RE-", "", 1))*1</f>
        <v>11.91948958</v>
      </c>
      <c r="L630" s="92">
        <f>(SUBSTITUTE(Audio!L630, "RE-", "", 1))*1</f>
        <v>0</v>
      </c>
      <c r="M630" s="92">
        <f>(SUBSTITUTE(Audio!M630, "RE-", "", 1))*1</f>
        <v>16.93976875</v>
      </c>
      <c r="N630" s="92">
        <f>(SUBSTITUTE(Audio!N630, "RE-", "", 1))*1</f>
        <v>0</v>
      </c>
      <c r="O630" s="92">
        <f>(SUBSTITUTE(Audio!O630, "RE-", "", 1))*1</f>
        <v>115.6055365</v>
      </c>
      <c r="P630" s="92">
        <f>(SUBSTITUTE(Audio!P630, "RE-", "", 1))*1</f>
        <v>0</v>
      </c>
      <c r="Q630" s="92">
        <f>(SUBSTITUTE(Audio!Q630, "RE-", "", 1))*1</f>
        <v>125.0097802</v>
      </c>
      <c r="R630" s="92">
        <f>(SUBSTITUTE(Audio!R630, "RE-", "", 1))*1</f>
        <v>0</v>
      </c>
      <c r="S630" s="92">
        <f>(SUBSTITUTE(Audio!S630, "RE-", "", 1))*1</f>
        <v>63.77217188</v>
      </c>
      <c r="T630" s="92">
        <f>(SUBSTITUTE(Audio!T630, "RE-", "", 1))*1</f>
        <v>0</v>
      </c>
      <c r="U630" s="92">
        <f>(SUBSTITUTE(Audio!U630, "RE-", "", 1))*1</f>
        <v>44.60781146</v>
      </c>
      <c r="V630" s="92">
        <f>(SUBSTITUTE(Audio!V630, "RE-", "", 1))*1</f>
        <v>7.592395833</v>
      </c>
      <c r="W630" s="92">
        <f>(SUBSTITUTE(Audio!W630, "RE-", "", 1))*1</f>
        <v>0</v>
      </c>
      <c r="X630" s="92">
        <f>(SUBSTITUTE(Audio!X630, "RE-", "", 1))*1</f>
        <v>0</v>
      </c>
      <c r="Y630" s="92">
        <f>(SUBSTITUTE(Audio!Y630, "RE-", "", 1))*1</f>
        <v>0</v>
      </c>
      <c r="Z630" s="92">
        <f>(SUBSTITUTE(Audio!Z630, "RE-", "", 1))*1</f>
        <v>0</v>
      </c>
      <c r="AA630" s="92"/>
      <c r="AB630" s="92"/>
      <c r="AC630" s="92"/>
      <c r="AD630" s="92"/>
      <c r="AE630" s="92"/>
      <c r="AF630" s="92"/>
      <c r="AG630" s="92"/>
      <c r="AH630" s="92"/>
      <c r="AI630" s="92"/>
      <c r="AJ630" s="92"/>
      <c r="AK630" s="92"/>
      <c r="AL630" s="92"/>
      <c r="AM630" s="92"/>
      <c r="AN630" s="92"/>
      <c r="AO630" s="92"/>
      <c r="AP630" s="92"/>
      <c r="AQ630" s="92"/>
      <c r="AR630" s="92"/>
      <c r="AS630" s="92"/>
      <c r="AT630" s="92"/>
      <c r="AU630" s="92"/>
      <c r="AV630" s="92"/>
      <c r="AW630" s="92"/>
      <c r="AX630" s="92"/>
      <c r="AY630" s="92"/>
      <c r="AZ630" s="92"/>
      <c r="BA630" s="92"/>
      <c r="BB630" s="92"/>
      <c r="BC630" s="92"/>
      <c r="BD630" s="92"/>
      <c r="BE630" s="92"/>
      <c r="BF630" s="92"/>
      <c r="BG630" s="92"/>
      <c r="BH630" s="92"/>
      <c r="BI630" s="92"/>
      <c r="BJ630" s="92"/>
      <c r="BK630" s="92"/>
      <c r="BL630" s="92"/>
      <c r="BM630" s="92"/>
      <c r="BN630" s="92"/>
      <c r="BO630" s="92"/>
      <c r="BP630" s="92"/>
      <c r="BQ630" s="92"/>
      <c r="BR630" s="92"/>
      <c r="BS630" s="92"/>
      <c r="BT630" s="92"/>
      <c r="BU630" s="92"/>
      <c r="BV630" s="92"/>
      <c r="BW630" s="92"/>
      <c r="BX630" s="92"/>
      <c r="BY630" s="92"/>
      <c r="BZ630" s="92"/>
      <c r="CA630" s="92"/>
      <c r="CB630" s="92"/>
      <c r="CC630" s="92"/>
      <c r="CD630" s="92"/>
      <c r="CE630" s="92"/>
      <c r="CF630" s="92"/>
      <c r="CG630" s="92"/>
      <c r="CH630" s="92"/>
      <c r="CI630" s="92"/>
      <c r="CJ630" s="92"/>
      <c r="CK630" s="92"/>
      <c r="CL630" s="92"/>
      <c r="CM630" s="92"/>
      <c r="CN630" s="92"/>
      <c r="CO630" s="92"/>
      <c r="CP630" s="92"/>
      <c r="CQ630" s="92"/>
      <c r="CR630" s="92"/>
      <c r="CS630" s="92"/>
      <c r="CT630" s="92"/>
      <c r="CU630" s="92"/>
      <c r="CV630" s="92"/>
      <c r="CW630" s="92"/>
      <c r="CX630" s="92"/>
      <c r="CY630" s="92"/>
      <c r="CZ630" s="92"/>
      <c r="DA630" s="92"/>
      <c r="DB630" s="92"/>
      <c r="DC630" s="92"/>
      <c r="DD630" s="92"/>
      <c r="DE630" s="92"/>
      <c r="DF630" s="92"/>
      <c r="DG630" s="92"/>
      <c r="DH630" s="92"/>
      <c r="DI630" s="92"/>
      <c r="DJ630" s="92"/>
      <c r="DK630" s="92"/>
      <c r="DL630" s="92"/>
      <c r="DM630" s="92"/>
      <c r="DN630" s="92"/>
      <c r="DO630" s="92"/>
      <c r="DP630" s="92"/>
      <c r="DQ630" s="92"/>
      <c r="DR630" s="92"/>
      <c r="DS630" s="92"/>
      <c r="DT630" s="92"/>
      <c r="DU630" s="92"/>
      <c r="DV630" s="92"/>
      <c r="DW630" s="92"/>
      <c r="DX630" s="92"/>
      <c r="DY630" s="92"/>
      <c r="DZ630" s="92"/>
      <c r="EA630" s="92"/>
      <c r="EB630" s="92"/>
      <c r="EC630" s="92"/>
      <c r="ED630" s="92"/>
      <c r="EE630" s="92"/>
      <c r="EF630" s="92"/>
      <c r="EG630" s="92"/>
      <c r="EH630" s="92"/>
      <c r="EI630" s="92"/>
      <c r="EJ630" s="92"/>
      <c r="EK630" s="92"/>
      <c r="EL630" s="92"/>
      <c r="EM630" s="92"/>
      <c r="EN630" s="92"/>
      <c r="EO630" s="92"/>
      <c r="EP630" s="92"/>
      <c r="EQ630" s="92"/>
      <c r="ER630" s="92"/>
      <c r="ES630" s="92"/>
      <c r="ET630" s="92"/>
      <c r="EU630" s="92"/>
      <c r="EV630" s="92"/>
      <c r="EW630" s="92"/>
      <c r="EX630" s="92"/>
      <c r="EY630" s="92"/>
      <c r="EZ630" s="92"/>
      <c r="FA630" s="92"/>
      <c r="FB630" s="92"/>
      <c r="FC630" s="92"/>
      <c r="FD630" s="92"/>
      <c r="FE630" s="92"/>
      <c r="FF630" s="92"/>
      <c r="FG630" s="92"/>
      <c r="FH630" s="92"/>
    </row>
    <row r="631">
      <c r="A631" s="47" t="s">
        <v>28</v>
      </c>
      <c r="B631" s="47" t="s">
        <v>104</v>
      </c>
      <c r="C631" s="47" t="s">
        <v>12</v>
      </c>
      <c r="D631" s="101">
        <f t="shared" si="1"/>
        <v>4542.3688</v>
      </c>
      <c r="E631" s="92">
        <f>(SUBSTITUTE(Audio!E631, "RE-", "", 1))*1</f>
        <v>0</v>
      </c>
      <c r="F631" s="92">
        <f>(SUBSTITUTE(Audio!F631, "RE-", "", 1))*1</f>
        <v>617.513174</v>
      </c>
      <c r="G631" s="92">
        <f>(SUBSTITUTE(Audio!G631, "RE-", "", 1))*1</f>
        <v>3.621354167</v>
      </c>
      <c r="H631" s="92">
        <f>(SUBSTITUTE(Audio!H631, "RE-", "", 1))*1</f>
        <v>186.7136229</v>
      </c>
      <c r="I631" s="92">
        <f>(SUBSTITUTE(Audio!I631, "RE-", "", 1))*1</f>
        <v>1.204847917</v>
      </c>
      <c r="J631" s="92">
        <f>(SUBSTITUTE(Audio!J631, "RE-", "", 1))*1</f>
        <v>53.95188542</v>
      </c>
      <c r="K631" s="92">
        <f>(SUBSTITUTE(Audio!K631, "RE-", "", 1))*1</f>
        <v>0.7344479167</v>
      </c>
      <c r="L631" s="92">
        <f>(SUBSTITUTE(Audio!L631, "RE-", "", 1))*1</f>
        <v>569.864951</v>
      </c>
      <c r="M631" s="92">
        <f>(SUBSTITUTE(Audio!M631, "RE-", "", 1))*1</f>
        <v>4.772589583</v>
      </c>
      <c r="N631" s="92">
        <f>(SUBSTITUTE(Audio!N631, "RE-", "", 1))*1</f>
        <v>819.6562292</v>
      </c>
      <c r="O631" s="92">
        <f>(SUBSTITUTE(Audio!O631, "RE-", "", 1))*1</f>
        <v>14.68985625</v>
      </c>
      <c r="P631" s="92">
        <f>(SUBSTITUTE(Audio!P631, "RE-", "", 1))*1</f>
        <v>1016.759834</v>
      </c>
      <c r="Q631" s="92">
        <f>(SUBSTITUTE(Audio!Q631, "RE-", "", 1))*1</f>
        <v>45.11937708</v>
      </c>
      <c r="R631" s="92">
        <f>(SUBSTITUTE(Audio!R631, "RE-", "", 1))*1</f>
        <v>778.9397594</v>
      </c>
      <c r="S631" s="92">
        <f>(SUBSTITUTE(Audio!S631, "RE-", "", 1))*1</f>
        <v>29.47701458</v>
      </c>
      <c r="T631" s="92">
        <f>(SUBSTITUTE(Audio!T631, "RE-", "", 1))*1</f>
        <v>365.7410177</v>
      </c>
      <c r="U631" s="92">
        <f>(SUBSTITUTE(Audio!U631, "RE-", "", 1))*1</f>
        <v>26.34918646</v>
      </c>
      <c r="V631" s="92">
        <f>(SUBSTITUTE(Audio!V631, "RE-", "", 1))*1</f>
        <v>7.259652083</v>
      </c>
      <c r="W631" s="92">
        <f>(SUBSTITUTE(Audio!W631, "RE-", "", 1))*1</f>
        <v>0</v>
      </c>
      <c r="X631" s="92">
        <f>(SUBSTITUTE(Audio!X631, "RE-", "", 1))*1</f>
        <v>0</v>
      </c>
      <c r="Y631" s="92">
        <f>(SUBSTITUTE(Audio!Y631, "RE-", "", 1))*1</f>
        <v>0</v>
      </c>
      <c r="Z631" s="92">
        <f>(SUBSTITUTE(Audio!Z631, "RE-", "", 1))*1</f>
        <v>0</v>
      </c>
      <c r="AA631" s="92"/>
      <c r="AB631" s="92"/>
      <c r="AC631" s="92"/>
      <c r="AD631" s="92"/>
      <c r="AE631" s="92"/>
      <c r="AF631" s="92"/>
      <c r="AG631" s="92"/>
      <c r="AH631" s="92"/>
      <c r="AI631" s="92"/>
      <c r="AJ631" s="92"/>
      <c r="AK631" s="92"/>
      <c r="AL631" s="92"/>
      <c r="AM631" s="92"/>
      <c r="AN631" s="92"/>
      <c r="AO631" s="92"/>
      <c r="AP631" s="92"/>
      <c r="AQ631" s="92"/>
      <c r="AR631" s="92"/>
      <c r="AS631" s="92"/>
      <c r="AT631" s="92"/>
      <c r="AU631" s="92"/>
      <c r="AV631" s="92"/>
      <c r="AW631" s="92"/>
      <c r="AX631" s="92"/>
      <c r="AY631" s="92"/>
      <c r="AZ631" s="92"/>
      <c r="BA631" s="92"/>
      <c r="BB631" s="92"/>
      <c r="BC631" s="92"/>
      <c r="BD631" s="92"/>
      <c r="BE631" s="92"/>
      <c r="BF631" s="92"/>
      <c r="BG631" s="92"/>
      <c r="BH631" s="92"/>
      <c r="BI631" s="92"/>
      <c r="BJ631" s="92"/>
      <c r="BK631" s="92"/>
      <c r="BL631" s="92"/>
      <c r="BM631" s="92"/>
      <c r="BN631" s="92"/>
      <c r="BO631" s="92"/>
      <c r="BP631" s="92"/>
      <c r="BQ631" s="92"/>
      <c r="BR631" s="92"/>
      <c r="BS631" s="92"/>
      <c r="BT631" s="92"/>
      <c r="BU631" s="92"/>
      <c r="BV631" s="92"/>
      <c r="BW631" s="92"/>
      <c r="BX631" s="92"/>
      <c r="BY631" s="92"/>
      <c r="BZ631" s="92"/>
      <c r="CA631" s="92"/>
      <c r="CB631" s="92"/>
      <c r="CC631" s="92"/>
      <c r="CD631" s="92"/>
      <c r="CE631" s="92"/>
      <c r="CF631" s="92"/>
      <c r="CG631" s="92"/>
      <c r="CH631" s="92"/>
      <c r="CI631" s="92"/>
      <c r="CJ631" s="92"/>
      <c r="CK631" s="92"/>
      <c r="CL631" s="92"/>
      <c r="CM631" s="92"/>
      <c r="CN631" s="92"/>
      <c r="CO631" s="92"/>
      <c r="CP631" s="92"/>
      <c r="CQ631" s="92"/>
      <c r="CR631" s="92"/>
      <c r="CS631" s="92"/>
      <c r="CT631" s="92"/>
      <c r="CU631" s="92"/>
      <c r="CV631" s="92"/>
      <c r="CW631" s="92"/>
      <c r="CX631" s="92"/>
      <c r="CY631" s="92"/>
      <c r="CZ631" s="92"/>
      <c r="DA631" s="92"/>
      <c r="DB631" s="92"/>
      <c r="DC631" s="92"/>
      <c r="DD631" s="92"/>
      <c r="DE631" s="92"/>
      <c r="DF631" s="92"/>
      <c r="DG631" s="92"/>
      <c r="DH631" s="92"/>
      <c r="DI631" s="92"/>
      <c r="DJ631" s="92"/>
      <c r="DK631" s="92"/>
      <c r="DL631" s="92"/>
      <c r="DM631" s="92"/>
      <c r="DN631" s="92"/>
      <c r="DO631" s="92"/>
      <c r="DP631" s="92"/>
      <c r="DQ631" s="92"/>
      <c r="DR631" s="92"/>
      <c r="DS631" s="92"/>
      <c r="DT631" s="92"/>
      <c r="DU631" s="92"/>
      <c r="DV631" s="92"/>
      <c r="DW631" s="92"/>
      <c r="DX631" s="92"/>
      <c r="DY631" s="92"/>
      <c r="DZ631" s="92"/>
      <c r="EA631" s="92"/>
      <c r="EB631" s="92"/>
      <c r="EC631" s="92"/>
      <c r="ED631" s="92"/>
      <c r="EE631" s="92"/>
      <c r="EF631" s="92"/>
      <c r="EG631" s="92"/>
      <c r="EH631" s="92"/>
      <c r="EI631" s="92"/>
      <c r="EJ631" s="92"/>
      <c r="EK631" s="92"/>
      <c r="EL631" s="92"/>
      <c r="EM631" s="92"/>
      <c r="EN631" s="92"/>
      <c r="EO631" s="92"/>
      <c r="EP631" s="92"/>
      <c r="EQ631" s="92"/>
      <c r="ER631" s="92"/>
      <c r="ES631" s="92"/>
      <c r="ET631" s="92"/>
      <c r="EU631" s="92"/>
      <c r="EV631" s="92"/>
      <c r="EW631" s="92"/>
      <c r="EX631" s="92"/>
      <c r="EY631" s="92"/>
      <c r="EZ631" s="92"/>
      <c r="FA631" s="92"/>
      <c r="FB631" s="92"/>
      <c r="FC631" s="92"/>
      <c r="FD631" s="92"/>
      <c r="FE631" s="92"/>
      <c r="FF631" s="92"/>
      <c r="FG631" s="92"/>
      <c r="FH631" s="92"/>
    </row>
    <row r="632">
      <c r="A632" s="47" t="s">
        <v>28</v>
      </c>
      <c r="B632" s="47" t="s">
        <v>104</v>
      </c>
      <c r="C632" s="47" t="s">
        <v>13</v>
      </c>
      <c r="D632" s="101">
        <f t="shared" si="1"/>
        <v>4330.406767</v>
      </c>
      <c r="E632" s="92">
        <f>(SUBSTITUTE(Audio!E632, "RE-", "", 1))*1</f>
        <v>0</v>
      </c>
      <c r="F632" s="92">
        <f>(SUBSTITUTE(Audio!F632, "RE-", "", 1))*1</f>
        <v>581.992</v>
      </c>
      <c r="G632" s="92">
        <f>(SUBSTITUTE(Audio!G632, "RE-", "", 1))*1</f>
        <v>3.40537</v>
      </c>
      <c r="H632" s="92">
        <f>(SUBSTITUTE(Audio!H632, "RE-", "", 1))*1</f>
        <v>176.966</v>
      </c>
      <c r="I632" s="92">
        <f>(SUBSTITUTE(Audio!I632, "RE-", "", 1))*1</f>
        <v>1.1527</v>
      </c>
      <c r="J632" s="92">
        <f>(SUBSTITUTE(Audio!J632, "RE-", "", 1))*1</f>
        <v>51.8801</v>
      </c>
      <c r="K632" s="92">
        <f>(SUBSTITUTE(Audio!K632, "RE-", "", 1))*1</f>
        <v>0.707067</v>
      </c>
      <c r="L632" s="92">
        <f>(SUBSTITUTE(Audio!L632, "RE-", "", 1))*1</f>
        <v>547.559</v>
      </c>
      <c r="M632" s="92">
        <f>(SUBSTITUTE(Audio!M632, "RE-", "", 1))*1</f>
        <v>4.48765</v>
      </c>
      <c r="N632" s="92">
        <f>(SUBSTITUTE(Audio!N632, "RE-", "", 1))*1</f>
        <v>788.529</v>
      </c>
      <c r="O632" s="92">
        <f>(SUBSTITUTE(Audio!O632, "RE-", "", 1))*1</f>
        <v>13.8248</v>
      </c>
      <c r="P632" s="92">
        <f>(SUBSTITUTE(Audio!P632, "RE-", "", 1))*1</f>
        <v>967.921</v>
      </c>
      <c r="Q632" s="92">
        <f>(SUBSTITUTE(Audio!Q632, "RE-", "", 1))*1</f>
        <v>42.1169</v>
      </c>
      <c r="R632" s="92">
        <f>(SUBSTITUTE(Audio!R632, "RE-", "", 1))*1</f>
        <v>742.076</v>
      </c>
      <c r="S632" s="92">
        <f>(SUBSTITUTE(Audio!S632, "RE-", "", 1))*1</f>
        <v>27.6534</v>
      </c>
      <c r="T632" s="92">
        <f>(SUBSTITUTE(Audio!T632, "RE-", "", 1))*1</f>
        <v>347.992</v>
      </c>
      <c r="U632" s="92">
        <f>(SUBSTITUTE(Audio!U632, "RE-", "", 1))*1</f>
        <v>25.2321</v>
      </c>
      <c r="V632" s="92">
        <f>(SUBSTITUTE(Audio!V632, "RE-", "", 1))*1</f>
        <v>6.91168</v>
      </c>
      <c r="W632" s="92">
        <f>(SUBSTITUTE(Audio!W632, "RE-", "", 1))*1</f>
        <v>0</v>
      </c>
      <c r="X632" s="92">
        <f>(SUBSTITUTE(Audio!X632, "RE-", "", 1))*1</f>
        <v>0</v>
      </c>
      <c r="Y632" s="92">
        <f>(SUBSTITUTE(Audio!Y632, "RE-", "", 1))*1</f>
        <v>0</v>
      </c>
      <c r="Z632" s="92">
        <f>(SUBSTITUTE(Audio!Z632, "RE-", "", 1))*1</f>
        <v>0</v>
      </c>
      <c r="AA632" s="92"/>
      <c r="AB632" s="92"/>
      <c r="AC632" s="92"/>
      <c r="AD632" s="92"/>
      <c r="AE632" s="92"/>
      <c r="AF632" s="92"/>
      <c r="AG632" s="92"/>
      <c r="AH632" s="92"/>
      <c r="AI632" s="92"/>
      <c r="AJ632" s="92"/>
      <c r="AK632" s="92"/>
      <c r="AL632" s="92"/>
      <c r="AM632" s="92"/>
      <c r="AN632" s="92"/>
      <c r="AO632" s="92"/>
      <c r="AP632" s="92"/>
      <c r="AQ632" s="92"/>
      <c r="AR632" s="92"/>
      <c r="AS632" s="92"/>
      <c r="AT632" s="92"/>
      <c r="AU632" s="92"/>
      <c r="AV632" s="92"/>
      <c r="AW632" s="92"/>
      <c r="AX632" s="92"/>
      <c r="AY632" s="92"/>
      <c r="AZ632" s="92"/>
      <c r="BA632" s="92"/>
      <c r="BB632" s="92"/>
      <c r="BC632" s="92"/>
      <c r="BD632" s="92"/>
      <c r="BE632" s="92"/>
      <c r="BF632" s="92"/>
      <c r="BG632" s="92"/>
      <c r="BH632" s="92"/>
      <c r="BI632" s="92"/>
      <c r="BJ632" s="92"/>
      <c r="BK632" s="92"/>
      <c r="BL632" s="92"/>
      <c r="BM632" s="92"/>
      <c r="BN632" s="92"/>
      <c r="BO632" s="92"/>
      <c r="BP632" s="92"/>
      <c r="BQ632" s="92"/>
      <c r="BR632" s="92"/>
      <c r="BS632" s="92"/>
      <c r="BT632" s="92"/>
      <c r="BU632" s="92"/>
      <c r="BV632" s="92"/>
      <c r="BW632" s="92"/>
      <c r="BX632" s="92"/>
      <c r="BY632" s="92"/>
      <c r="BZ632" s="92"/>
      <c r="CA632" s="92"/>
      <c r="CB632" s="92"/>
      <c r="CC632" s="92"/>
      <c r="CD632" s="92"/>
      <c r="CE632" s="92"/>
      <c r="CF632" s="92"/>
      <c r="CG632" s="92"/>
      <c r="CH632" s="92"/>
      <c r="CI632" s="92"/>
      <c r="CJ632" s="92"/>
      <c r="CK632" s="92"/>
      <c r="CL632" s="92"/>
      <c r="CM632" s="92"/>
      <c r="CN632" s="92"/>
      <c r="CO632" s="92"/>
      <c r="CP632" s="92"/>
      <c r="CQ632" s="92"/>
      <c r="CR632" s="92"/>
      <c r="CS632" s="92"/>
      <c r="CT632" s="92"/>
      <c r="CU632" s="92"/>
      <c r="CV632" s="92"/>
      <c r="CW632" s="92"/>
      <c r="CX632" s="92"/>
      <c r="CY632" s="92"/>
      <c r="CZ632" s="92"/>
      <c r="DA632" s="92"/>
      <c r="DB632" s="92"/>
      <c r="DC632" s="92"/>
      <c r="DD632" s="92"/>
      <c r="DE632" s="92"/>
      <c r="DF632" s="92"/>
      <c r="DG632" s="92"/>
      <c r="DH632" s="92"/>
      <c r="DI632" s="92"/>
      <c r="DJ632" s="92"/>
      <c r="DK632" s="92"/>
      <c r="DL632" s="92"/>
      <c r="DM632" s="92"/>
      <c r="DN632" s="92"/>
      <c r="DO632" s="92"/>
      <c r="DP632" s="92"/>
      <c r="DQ632" s="92"/>
      <c r="DR632" s="92"/>
      <c r="DS632" s="92"/>
      <c r="DT632" s="92"/>
      <c r="DU632" s="92"/>
      <c r="DV632" s="92"/>
      <c r="DW632" s="92"/>
      <c r="DX632" s="92"/>
      <c r="DY632" s="92"/>
      <c r="DZ632" s="92"/>
      <c r="EA632" s="92"/>
      <c r="EB632" s="92"/>
      <c r="EC632" s="92"/>
      <c r="ED632" s="92"/>
      <c r="EE632" s="92"/>
      <c r="EF632" s="92"/>
      <c r="EG632" s="92"/>
      <c r="EH632" s="92"/>
      <c r="EI632" s="92"/>
      <c r="EJ632" s="92"/>
      <c r="EK632" s="92"/>
      <c r="EL632" s="92"/>
      <c r="EM632" s="92"/>
      <c r="EN632" s="92"/>
      <c r="EO632" s="92"/>
      <c r="EP632" s="92"/>
      <c r="EQ632" s="92"/>
      <c r="ER632" s="92"/>
      <c r="ES632" s="92"/>
      <c r="ET632" s="92"/>
      <c r="EU632" s="92"/>
      <c r="EV632" s="92"/>
      <c r="EW632" s="92"/>
      <c r="EX632" s="92"/>
      <c r="EY632" s="92"/>
      <c r="EZ632" s="92"/>
      <c r="FA632" s="92"/>
      <c r="FB632" s="92"/>
      <c r="FC632" s="92"/>
      <c r="FD632" s="92"/>
      <c r="FE632" s="92"/>
      <c r="FF632" s="92"/>
      <c r="FG632" s="92"/>
      <c r="FH632" s="92"/>
    </row>
    <row r="633">
      <c r="A633" s="47" t="s">
        <v>28</v>
      </c>
      <c r="B633" s="47" t="s">
        <v>104</v>
      </c>
      <c r="C633" s="47" t="s">
        <v>14</v>
      </c>
      <c r="D633" s="101">
        <f t="shared" si="1"/>
        <v>3730.791347</v>
      </c>
      <c r="E633" s="92">
        <f>(SUBSTITUTE(Audio!E633, "RE-", "", 1))*1</f>
        <v>0</v>
      </c>
      <c r="F633" s="92">
        <f>(SUBSTITUTE(Audio!F633, "RE-", "", 1))*1</f>
        <v>497.409</v>
      </c>
      <c r="G633" s="92">
        <f>(SUBSTITUTE(Audio!G633, "RE-", "", 1))*1</f>
        <v>2.99068</v>
      </c>
      <c r="H633" s="92">
        <f>(SUBSTITUTE(Audio!H633, "RE-", "", 1))*1</f>
        <v>158.345</v>
      </c>
      <c r="I633" s="92">
        <f>(SUBSTITUTE(Audio!I633, "RE-", "", 1))*1</f>
        <v>1.0735</v>
      </c>
      <c r="J633" s="92">
        <f>(SUBSTITUTE(Audio!J633, "RE-", "", 1))*1</f>
        <v>49.6788</v>
      </c>
      <c r="K633" s="92">
        <f>(SUBSTITUTE(Audio!K633, "RE-", "", 1))*1</f>
        <v>0.707067</v>
      </c>
      <c r="L633" s="92">
        <f>(SUBSTITUTE(Audio!L633, "RE-", "", 1))*1</f>
        <v>474.751</v>
      </c>
      <c r="M633" s="92">
        <f>(SUBSTITUTE(Audio!M633, "RE-", "", 1))*1</f>
        <v>3.71502</v>
      </c>
      <c r="N633" s="92">
        <f>(SUBSTITUTE(Audio!N633, "RE-", "", 1))*1</f>
        <v>683.025</v>
      </c>
      <c r="O633" s="92">
        <f>(SUBSTITUTE(Audio!O633, "RE-", "", 1))*1</f>
        <v>11.0263</v>
      </c>
      <c r="P633" s="92">
        <f>(SUBSTITUTE(Audio!P633, "RE-", "", 1))*1</f>
        <v>835.005</v>
      </c>
      <c r="Q633" s="92">
        <f>(SUBSTITUTE(Audio!Q633, "RE-", "", 1))*1</f>
        <v>38.13</v>
      </c>
      <c r="R633" s="92">
        <f>(SUBSTITUTE(Audio!R633, "RE-", "", 1))*1</f>
        <v>624.689</v>
      </c>
      <c r="S633" s="92">
        <f>(SUBSTITUTE(Audio!S633, "RE-", "", 1))*1</f>
        <v>24.4794</v>
      </c>
      <c r="T633" s="92">
        <f>(SUBSTITUTE(Audio!T633, "RE-", "", 1))*1</f>
        <v>298.037</v>
      </c>
      <c r="U633" s="92">
        <f>(SUBSTITUTE(Audio!U633, "RE-", "", 1))*1</f>
        <v>21.6075</v>
      </c>
      <c r="V633" s="92">
        <f>(SUBSTITUTE(Audio!V633, "RE-", "", 1))*1</f>
        <v>6.12208</v>
      </c>
      <c r="W633" s="92">
        <f>(SUBSTITUTE(Audio!W633, "RE-", "", 1))*1</f>
        <v>0</v>
      </c>
      <c r="X633" s="92">
        <f>(SUBSTITUTE(Audio!X633, "RE-", "", 1))*1</f>
        <v>0</v>
      </c>
      <c r="Y633" s="92">
        <f>(SUBSTITUTE(Audio!Y633, "RE-", "", 1))*1</f>
        <v>0</v>
      </c>
      <c r="Z633" s="92">
        <f>(SUBSTITUTE(Audio!Z633, "RE-", "", 1))*1</f>
        <v>0</v>
      </c>
      <c r="AA633" s="92"/>
      <c r="AB633" s="92"/>
      <c r="AC633" s="92"/>
      <c r="AD633" s="92"/>
      <c r="AE633" s="92"/>
      <c r="AF633" s="92"/>
      <c r="AG633" s="92"/>
      <c r="AH633" s="92"/>
      <c r="AI633" s="92"/>
      <c r="AJ633" s="92"/>
      <c r="AK633" s="92"/>
      <c r="AL633" s="92"/>
      <c r="AM633" s="92"/>
      <c r="AN633" s="92"/>
      <c r="AO633" s="92"/>
      <c r="AP633" s="92"/>
      <c r="AQ633" s="92"/>
      <c r="AR633" s="92"/>
      <c r="AS633" s="92"/>
      <c r="AT633" s="92"/>
      <c r="AU633" s="92"/>
      <c r="AV633" s="92"/>
      <c r="AW633" s="92"/>
      <c r="AX633" s="92"/>
      <c r="AY633" s="92"/>
      <c r="AZ633" s="92"/>
      <c r="BA633" s="92"/>
      <c r="BB633" s="92"/>
      <c r="BC633" s="92"/>
      <c r="BD633" s="92"/>
      <c r="BE633" s="92"/>
      <c r="BF633" s="92"/>
      <c r="BG633" s="92"/>
      <c r="BH633" s="92"/>
      <c r="BI633" s="92"/>
      <c r="BJ633" s="92"/>
      <c r="BK633" s="92"/>
      <c r="BL633" s="92"/>
      <c r="BM633" s="92"/>
      <c r="BN633" s="92"/>
      <c r="BO633" s="92"/>
      <c r="BP633" s="92"/>
      <c r="BQ633" s="92"/>
      <c r="BR633" s="92"/>
      <c r="BS633" s="92"/>
      <c r="BT633" s="92"/>
      <c r="BU633" s="92"/>
      <c r="BV633" s="92"/>
      <c r="BW633" s="92"/>
      <c r="BX633" s="92"/>
      <c r="BY633" s="92"/>
      <c r="BZ633" s="92"/>
      <c r="CA633" s="92"/>
      <c r="CB633" s="92"/>
      <c r="CC633" s="92"/>
      <c r="CD633" s="92"/>
      <c r="CE633" s="92"/>
      <c r="CF633" s="92"/>
      <c r="CG633" s="92"/>
      <c r="CH633" s="92"/>
      <c r="CI633" s="92"/>
      <c r="CJ633" s="92"/>
      <c r="CK633" s="92"/>
      <c r="CL633" s="92"/>
      <c r="CM633" s="92"/>
      <c r="CN633" s="92"/>
      <c r="CO633" s="92"/>
      <c r="CP633" s="92"/>
      <c r="CQ633" s="92"/>
      <c r="CR633" s="92"/>
      <c r="CS633" s="92"/>
      <c r="CT633" s="92"/>
      <c r="CU633" s="92"/>
      <c r="CV633" s="92"/>
      <c r="CW633" s="92"/>
      <c r="CX633" s="92"/>
      <c r="CY633" s="92"/>
      <c r="CZ633" s="92"/>
      <c r="DA633" s="92"/>
      <c r="DB633" s="92"/>
      <c r="DC633" s="92"/>
      <c r="DD633" s="92"/>
      <c r="DE633" s="92"/>
      <c r="DF633" s="92"/>
      <c r="DG633" s="92"/>
      <c r="DH633" s="92"/>
      <c r="DI633" s="92"/>
      <c r="DJ633" s="92"/>
      <c r="DK633" s="92"/>
      <c r="DL633" s="92"/>
      <c r="DM633" s="92"/>
      <c r="DN633" s="92"/>
      <c r="DO633" s="92"/>
      <c r="DP633" s="92"/>
      <c r="DQ633" s="92"/>
      <c r="DR633" s="92"/>
      <c r="DS633" s="92"/>
      <c r="DT633" s="92"/>
      <c r="DU633" s="92"/>
      <c r="DV633" s="92"/>
      <c r="DW633" s="92"/>
      <c r="DX633" s="92"/>
      <c r="DY633" s="92"/>
      <c r="DZ633" s="92"/>
      <c r="EA633" s="92"/>
      <c r="EB633" s="92"/>
      <c r="EC633" s="92"/>
      <c r="ED633" s="92"/>
      <c r="EE633" s="92"/>
      <c r="EF633" s="92"/>
      <c r="EG633" s="92"/>
      <c r="EH633" s="92"/>
      <c r="EI633" s="92"/>
      <c r="EJ633" s="92"/>
      <c r="EK633" s="92"/>
      <c r="EL633" s="92"/>
      <c r="EM633" s="92"/>
      <c r="EN633" s="92"/>
      <c r="EO633" s="92"/>
      <c r="EP633" s="92"/>
      <c r="EQ633" s="92"/>
      <c r="ER633" s="92"/>
      <c r="ES633" s="92"/>
      <c r="ET633" s="92"/>
      <c r="EU633" s="92"/>
      <c r="EV633" s="92"/>
      <c r="EW633" s="92"/>
      <c r="EX633" s="92"/>
      <c r="EY633" s="92"/>
      <c r="EZ633" s="92"/>
      <c r="FA633" s="92"/>
      <c r="FB633" s="92"/>
      <c r="FC633" s="92"/>
      <c r="FD633" s="92"/>
      <c r="FE633" s="92"/>
      <c r="FF633" s="92"/>
      <c r="FG633" s="92"/>
      <c r="FH633" s="92"/>
    </row>
    <row r="634">
      <c r="A634" s="48" t="s">
        <v>28</v>
      </c>
      <c r="B634" s="48" t="s">
        <v>104</v>
      </c>
      <c r="C634" s="48" t="s">
        <v>15</v>
      </c>
      <c r="D634" s="99">
        <f t="shared" si="1"/>
        <v>4330.406767</v>
      </c>
      <c r="E634" s="92">
        <f>(SUBSTITUTE(Audio!E634, "RE-", "", 1))*1</f>
        <v>0</v>
      </c>
      <c r="F634" s="92">
        <f>(SUBSTITUTE(Audio!F634, "RE-", "", 1))*1</f>
        <v>581.992</v>
      </c>
      <c r="G634" s="92">
        <f>(SUBSTITUTE(Audio!G634, "RE-", "", 1))*1</f>
        <v>3.40537</v>
      </c>
      <c r="H634" s="92">
        <f>(SUBSTITUTE(Audio!H634, "RE-", "", 1))*1</f>
        <v>176.966</v>
      </c>
      <c r="I634" s="92">
        <f>(SUBSTITUTE(Audio!I634, "RE-", "", 1))*1</f>
        <v>1.1527</v>
      </c>
      <c r="J634" s="92">
        <f>(SUBSTITUTE(Audio!J634, "RE-", "", 1))*1</f>
        <v>51.8801</v>
      </c>
      <c r="K634" s="92">
        <f>(SUBSTITUTE(Audio!K634, "RE-", "", 1))*1</f>
        <v>0.707067</v>
      </c>
      <c r="L634" s="92">
        <f>(SUBSTITUTE(Audio!L634, "RE-", "", 1))*1</f>
        <v>547.559</v>
      </c>
      <c r="M634" s="92">
        <f>(SUBSTITUTE(Audio!M634, "RE-", "", 1))*1</f>
        <v>4.48765</v>
      </c>
      <c r="N634" s="92">
        <f>(SUBSTITUTE(Audio!N634, "RE-", "", 1))*1</f>
        <v>788.529</v>
      </c>
      <c r="O634" s="92">
        <f>(SUBSTITUTE(Audio!O634, "RE-", "", 1))*1</f>
        <v>13.8248</v>
      </c>
      <c r="P634" s="92">
        <f>(SUBSTITUTE(Audio!P634, "RE-", "", 1))*1</f>
        <v>967.921</v>
      </c>
      <c r="Q634" s="92">
        <f>(SUBSTITUTE(Audio!Q634, "RE-", "", 1))*1</f>
        <v>42.1169</v>
      </c>
      <c r="R634" s="92">
        <f>(SUBSTITUTE(Audio!R634, "RE-", "", 1))*1</f>
        <v>742.076</v>
      </c>
      <c r="S634" s="92">
        <f>(SUBSTITUTE(Audio!S634, "RE-", "", 1))*1</f>
        <v>27.6534</v>
      </c>
      <c r="T634" s="92">
        <f>(SUBSTITUTE(Audio!T634, "RE-", "", 1))*1</f>
        <v>347.992</v>
      </c>
      <c r="U634" s="92">
        <f>(SUBSTITUTE(Audio!U634, "RE-", "", 1))*1</f>
        <v>25.2321</v>
      </c>
      <c r="V634" s="92">
        <f>(SUBSTITUTE(Audio!V634, "RE-", "", 1))*1</f>
        <v>6.91168</v>
      </c>
      <c r="W634" s="92">
        <f>(SUBSTITUTE(Audio!W634, "RE-", "", 1))*1</f>
        <v>0</v>
      </c>
      <c r="X634" s="92">
        <f>(SUBSTITUTE(Audio!X634, "RE-", "", 1))*1</f>
        <v>0</v>
      </c>
      <c r="Y634" s="92">
        <f>(SUBSTITUTE(Audio!Y634, "RE-", "", 1))*1</f>
        <v>0</v>
      </c>
      <c r="Z634" s="92">
        <f>(SUBSTITUTE(Audio!Z634, "RE-", "", 1))*1</f>
        <v>0</v>
      </c>
      <c r="AA634" s="92"/>
      <c r="AB634" s="92"/>
      <c r="AC634" s="92"/>
      <c r="AD634" s="92"/>
      <c r="AE634" s="92"/>
      <c r="AF634" s="92"/>
      <c r="AG634" s="92"/>
      <c r="AH634" s="92"/>
      <c r="AI634" s="92"/>
      <c r="AJ634" s="92"/>
      <c r="AK634" s="92"/>
      <c r="AL634" s="92"/>
      <c r="AM634" s="92"/>
      <c r="AN634" s="92"/>
      <c r="AO634" s="92"/>
      <c r="AP634" s="92"/>
      <c r="AQ634" s="92"/>
      <c r="AR634" s="92"/>
      <c r="AS634" s="92"/>
      <c r="AT634" s="92"/>
      <c r="AU634" s="92"/>
      <c r="AV634" s="92"/>
      <c r="AW634" s="92"/>
      <c r="AX634" s="92"/>
      <c r="AY634" s="92"/>
      <c r="AZ634" s="92"/>
      <c r="BA634" s="92"/>
      <c r="BB634" s="92"/>
      <c r="BC634" s="92"/>
      <c r="BD634" s="92"/>
      <c r="BE634" s="92"/>
      <c r="BF634" s="92"/>
      <c r="BG634" s="92"/>
      <c r="BH634" s="92"/>
      <c r="BI634" s="92"/>
      <c r="BJ634" s="92"/>
      <c r="BK634" s="92"/>
      <c r="BL634" s="92"/>
      <c r="BM634" s="92"/>
      <c r="BN634" s="92"/>
      <c r="BO634" s="92"/>
      <c r="BP634" s="92"/>
      <c r="BQ634" s="92"/>
      <c r="BR634" s="92"/>
      <c r="BS634" s="92"/>
      <c r="BT634" s="92"/>
      <c r="BU634" s="92"/>
      <c r="BV634" s="92"/>
      <c r="BW634" s="92"/>
      <c r="BX634" s="92"/>
      <c r="BY634" s="92"/>
      <c r="BZ634" s="92"/>
      <c r="CA634" s="92"/>
      <c r="CB634" s="92"/>
      <c r="CC634" s="92"/>
      <c r="CD634" s="92"/>
      <c r="CE634" s="92"/>
      <c r="CF634" s="92"/>
      <c r="CG634" s="92"/>
      <c r="CH634" s="92"/>
      <c r="CI634" s="92"/>
      <c r="CJ634" s="92"/>
      <c r="CK634" s="92"/>
      <c r="CL634" s="92"/>
      <c r="CM634" s="92"/>
      <c r="CN634" s="92"/>
      <c r="CO634" s="92"/>
      <c r="CP634" s="92"/>
      <c r="CQ634" s="92"/>
      <c r="CR634" s="92"/>
      <c r="CS634" s="92"/>
      <c r="CT634" s="92"/>
      <c r="CU634" s="92"/>
      <c r="CV634" s="92"/>
      <c r="CW634" s="92"/>
      <c r="CX634" s="92"/>
      <c r="CY634" s="92"/>
      <c r="CZ634" s="92"/>
      <c r="DA634" s="92"/>
      <c r="DB634" s="92"/>
      <c r="DC634" s="92"/>
      <c r="DD634" s="92"/>
      <c r="DE634" s="92"/>
      <c r="DF634" s="92"/>
      <c r="DG634" s="92"/>
      <c r="DH634" s="92"/>
      <c r="DI634" s="92"/>
      <c r="DJ634" s="92"/>
      <c r="DK634" s="92"/>
      <c r="DL634" s="92"/>
      <c r="DM634" s="92"/>
      <c r="DN634" s="92"/>
      <c r="DO634" s="92"/>
      <c r="DP634" s="92"/>
      <c r="DQ634" s="92"/>
      <c r="DR634" s="92"/>
      <c r="DS634" s="92"/>
      <c r="DT634" s="92"/>
      <c r="DU634" s="92"/>
      <c r="DV634" s="92"/>
      <c r="DW634" s="92"/>
      <c r="DX634" s="92"/>
      <c r="DY634" s="92"/>
      <c r="DZ634" s="92"/>
      <c r="EA634" s="92"/>
      <c r="EB634" s="92"/>
      <c r="EC634" s="92"/>
      <c r="ED634" s="92"/>
      <c r="EE634" s="92"/>
      <c r="EF634" s="92"/>
      <c r="EG634" s="92"/>
      <c r="EH634" s="92"/>
      <c r="EI634" s="92"/>
      <c r="EJ634" s="92"/>
      <c r="EK634" s="92"/>
      <c r="EL634" s="92"/>
      <c r="EM634" s="92"/>
      <c r="EN634" s="92"/>
      <c r="EO634" s="92"/>
      <c r="EP634" s="92"/>
      <c r="EQ634" s="92"/>
      <c r="ER634" s="92"/>
      <c r="ES634" s="92"/>
      <c r="ET634" s="92"/>
      <c r="EU634" s="92"/>
      <c r="EV634" s="92"/>
      <c r="EW634" s="92"/>
      <c r="EX634" s="92"/>
      <c r="EY634" s="92"/>
      <c r="EZ634" s="92"/>
      <c r="FA634" s="92"/>
      <c r="FB634" s="92"/>
      <c r="FC634" s="92"/>
      <c r="FD634" s="92"/>
      <c r="FE634" s="92"/>
      <c r="FF634" s="92"/>
      <c r="FG634" s="92"/>
      <c r="FH634" s="92"/>
    </row>
    <row r="635">
      <c r="A635" s="45" t="s">
        <v>28</v>
      </c>
      <c r="B635" s="45" t="s">
        <v>105</v>
      </c>
      <c r="C635" s="46" t="str">
        <f>HYPERLINK("https://docs.google.com/spreadsheets/d/1lY4Bdc8gzIOq_LAnGTYYRUygrk_dhAho/edit?usp=share_link&amp;ouid=106501987799020758802&amp;rtpof=true&amp;sd=true", "Raw Delivered")</f>
        <v>Raw Delivered</v>
      </c>
      <c r="D635" s="100">
        <f t="shared" si="1"/>
        <v>5736.144979</v>
      </c>
      <c r="E635" s="92">
        <f>(SUBSTITUTE(Audio!E635, "RE-", "", 1))*1</f>
        <v>0</v>
      </c>
      <c r="F635" s="92">
        <f>(SUBSTITUTE(Audio!F635, "RE-", "", 1))*1</f>
        <v>544.7035458</v>
      </c>
      <c r="G635" s="92">
        <f>(SUBSTITUTE(Audio!G635, "RE-", "", 1))*1</f>
        <v>0</v>
      </c>
      <c r="H635" s="92">
        <f>(SUBSTITUTE(Audio!H635, "RE-", "", 1))*1</f>
        <v>129.7540062</v>
      </c>
      <c r="I635" s="92">
        <f>(SUBSTITUTE(Audio!I635, "RE-", "", 1))*1</f>
        <v>0</v>
      </c>
      <c r="J635" s="92">
        <f>(SUBSTITUTE(Audio!J635, "RE-", "", 1))*1</f>
        <v>5.535685417</v>
      </c>
      <c r="K635" s="92">
        <f>(SUBSTITUTE(Audio!K635, "RE-", "", 1))*1</f>
        <v>0</v>
      </c>
      <c r="L635" s="92">
        <f>(SUBSTITUTE(Audio!L635, "RE-", "", 1))*1</f>
        <v>739.4785281</v>
      </c>
      <c r="M635" s="92">
        <f>(SUBSTITUTE(Audio!M635, "RE-", "", 1))*1</f>
        <v>0</v>
      </c>
      <c r="N635" s="92">
        <f>(SUBSTITUTE(Audio!N635, "RE-", "", 1))*1</f>
        <v>1668.246017</v>
      </c>
      <c r="O635" s="92">
        <f>(SUBSTITUTE(Audio!O635, "RE-", "", 1))*1</f>
        <v>0</v>
      </c>
      <c r="P635" s="92">
        <f>(SUBSTITUTE(Audio!P635, "RE-", "", 1))*1</f>
        <v>1141.163128</v>
      </c>
      <c r="Q635" s="92">
        <f>(SUBSTITUTE(Audio!Q635, "RE-", "", 1))*1</f>
        <v>0</v>
      </c>
      <c r="R635" s="92">
        <f>(SUBSTITUTE(Audio!R635, "RE-", "", 1))*1</f>
        <v>1026.679502</v>
      </c>
      <c r="S635" s="92">
        <f>(SUBSTITUTE(Audio!S635, "RE-", "", 1))*1</f>
        <v>0</v>
      </c>
      <c r="T635" s="92">
        <f>(SUBSTITUTE(Audio!T635, "RE-", "", 1))*1</f>
        <v>480.5845667</v>
      </c>
      <c r="U635" s="92">
        <f>(SUBSTITUTE(Audio!U635, "RE-", "", 1))*1</f>
        <v>0</v>
      </c>
      <c r="V635" s="92">
        <f>(SUBSTITUTE(Audio!V635, "RE-", "", 1))*1</f>
        <v>0</v>
      </c>
      <c r="W635" s="92">
        <f>(SUBSTITUTE(Audio!W635, "RE-", "", 1))*1</f>
        <v>0</v>
      </c>
      <c r="X635" s="92">
        <f>(SUBSTITUTE(Audio!X635, "RE-", "", 1))*1</f>
        <v>0</v>
      </c>
      <c r="Y635" s="92">
        <f>(SUBSTITUTE(Audio!Y635, "RE-", "", 1))*1</f>
        <v>0</v>
      </c>
      <c r="Z635" s="92">
        <f>(SUBSTITUTE(Audio!Z635, "RE-", "", 1))*1</f>
        <v>0</v>
      </c>
      <c r="AA635" s="92"/>
      <c r="AB635" s="92"/>
      <c r="AC635" s="92"/>
      <c r="AD635" s="92"/>
      <c r="AE635" s="92"/>
      <c r="AF635" s="92"/>
      <c r="AG635" s="92"/>
      <c r="AH635" s="92"/>
      <c r="AI635" s="92"/>
      <c r="AJ635" s="92"/>
      <c r="AK635" s="92"/>
      <c r="AL635" s="92"/>
      <c r="AM635" s="92"/>
      <c r="AN635" s="92"/>
      <c r="AO635" s="92"/>
      <c r="AP635" s="92"/>
      <c r="AQ635" s="92"/>
      <c r="AR635" s="92"/>
      <c r="AS635" s="92"/>
      <c r="AT635" s="92"/>
      <c r="AU635" s="92"/>
      <c r="AV635" s="92"/>
      <c r="AW635" s="92"/>
      <c r="AX635" s="92"/>
      <c r="AY635" s="92"/>
      <c r="AZ635" s="92"/>
      <c r="BA635" s="92"/>
      <c r="BB635" s="92"/>
      <c r="BC635" s="92"/>
      <c r="BD635" s="92"/>
      <c r="BE635" s="92"/>
      <c r="BF635" s="92"/>
      <c r="BG635" s="92"/>
      <c r="BH635" s="92"/>
      <c r="BI635" s="92"/>
      <c r="BJ635" s="92"/>
      <c r="BK635" s="92"/>
      <c r="BL635" s="92"/>
      <c r="BM635" s="92"/>
      <c r="BN635" s="92"/>
      <c r="BO635" s="92"/>
      <c r="BP635" s="92"/>
      <c r="BQ635" s="92"/>
      <c r="BR635" s="92"/>
      <c r="BS635" s="92"/>
      <c r="BT635" s="92"/>
      <c r="BU635" s="92"/>
      <c r="BV635" s="92"/>
      <c r="BW635" s="92"/>
      <c r="BX635" s="92"/>
      <c r="BY635" s="92"/>
      <c r="BZ635" s="92"/>
      <c r="CA635" s="92"/>
      <c r="CB635" s="92"/>
      <c r="CC635" s="92"/>
      <c r="CD635" s="92"/>
      <c r="CE635" s="92"/>
      <c r="CF635" s="92"/>
      <c r="CG635" s="92"/>
      <c r="CH635" s="92"/>
      <c r="CI635" s="92"/>
      <c r="CJ635" s="92"/>
      <c r="CK635" s="92"/>
      <c r="CL635" s="92"/>
      <c r="CM635" s="92"/>
      <c r="CN635" s="92"/>
      <c r="CO635" s="92"/>
      <c r="CP635" s="92"/>
      <c r="CQ635" s="92"/>
      <c r="CR635" s="92"/>
      <c r="CS635" s="92"/>
      <c r="CT635" s="92"/>
      <c r="CU635" s="92"/>
      <c r="CV635" s="92"/>
      <c r="CW635" s="92"/>
      <c r="CX635" s="92"/>
      <c r="CY635" s="92"/>
      <c r="CZ635" s="92"/>
      <c r="DA635" s="92"/>
      <c r="DB635" s="92"/>
      <c r="DC635" s="92"/>
      <c r="DD635" s="92"/>
      <c r="DE635" s="92"/>
      <c r="DF635" s="92"/>
      <c r="DG635" s="92"/>
      <c r="DH635" s="92"/>
      <c r="DI635" s="92"/>
      <c r="DJ635" s="92"/>
      <c r="DK635" s="92"/>
      <c r="DL635" s="92"/>
      <c r="DM635" s="92"/>
      <c r="DN635" s="92"/>
      <c r="DO635" s="92"/>
      <c r="DP635" s="92"/>
      <c r="DQ635" s="92"/>
      <c r="DR635" s="92"/>
      <c r="DS635" s="92"/>
      <c r="DT635" s="92"/>
      <c r="DU635" s="92"/>
      <c r="DV635" s="92"/>
      <c r="DW635" s="92"/>
      <c r="DX635" s="92"/>
      <c r="DY635" s="92"/>
      <c r="DZ635" s="92"/>
      <c r="EA635" s="92"/>
      <c r="EB635" s="92"/>
      <c r="EC635" s="92"/>
      <c r="ED635" s="92"/>
      <c r="EE635" s="92"/>
      <c r="EF635" s="92"/>
      <c r="EG635" s="92"/>
      <c r="EH635" s="92"/>
      <c r="EI635" s="92"/>
      <c r="EJ635" s="92"/>
      <c r="EK635" s="92"/>
      <c r="EL635" s="92"/>
      <c r="EM635" s="92"/>
      <c r="EN635" s="92"/>
      <c r="EO635" s="92"/>
      <c r="EP635" s="92"/>
      <c r="EQ635" s="92"/>
      <c r="ER635" s="92"/>
      <c r="ES635" s="92"/>
      <c r="ET635" s="92"/>
      <c r="EU635" s="92"/>
      <c r="EV635" s="92"/>
      <c r="EW635" s="92"/>
      <c r="EX635" s="92"/>
      <c r="EY635" s="92"/>
      <c r="EZ635" s="92"/>
      <c r="FA635" s="92"/>
      <c r="FB635" s="92"/>
      <c r="FC635" s="92"/>
      <c r="FD635" s="92"/>
      <c r="FE635" s="92"/>
      <c r="FF635" s="92"/>
      <c r="FG635" s="92"/>
      <c r="FH635" s="92"/>
    </row>
    <row r="636">
      <c r="A636" s="47" t="s">
        <v>28</v>
      </c>
      <c r="B636" s="47" t="s">
        <v>105</v>
      </c>
      <c r="C636" s="47" t="s">
        <v>9</v>
      </c>
      <c r="D636" s="101">
        <f t="shared" si="1"/>
        <v>5736.144979</v>
      </c>
      <c r="E636" s="92">
        <f>(SUBSTITUTE(Audio!E636, "RE-", "", 1))*1</f>
        <v>0</v>
      </c>
      <c r="F636" s="92">
        <f>(SUBSTITUTE(Audio!F636, "RE-", "", 1))*1</f>
        <v>544.7035458</v>
      </c>
      <c r="G636" s="92">
        <f>(SUBSTITUTE(Audio!G636, "RE-", "", 1))*1</f>
        <v>0</v>
      </c>
      <c r="H636" s="92">
        <f>(SUBSTITUTE(Audio!H636, "RE-", "", 1))*1</f>
        <v>129.7540062</v>
      </c>
      <c r="I636" s="92">
        <f>(SUBSTITUTE(Audio!I636, "RE-", "", 1))*1</f>
        <v>0</v>
      </c>
      <c r="J636" s="92">
        <f>(SUBSTITUTE(Audio!J636, "RE-", "", 1))*1</f>
        <v>5.535685417</v>
      </c>
      <c r="K636" s="92">
        <f>(SUBSTITUTE(Audio!K636, "RE-", "", 1))*1</f>
        <v>0</v>
      </c>
      <c r="L636" s="92">
        <f>(SUBSTITUTE(Audio!L636, "RE-", "", 1))*1</f>
        <v>739.4785281</v>
      </c>
      <c r="M636" s="92">
        <f>(SUBSTITUTE(Audio!M636, "RE-", "", 1))*1</f>
        <v>0</v>
      </c>
      <c r="N636" s="92">
        <f>(SUBSTITUTE(Audio!N636, "RE-", "", 1))*1</f>
        <v>1668.246017</v>
      </c>
      <c r="O636" s="92">
        <f>(SUBSTITUTE(Audio!O636, "RE-", "", 1))*1</f>
        <v>0</v>
      </c>
      <c r="P636" s="92">
        <f>(SUBSTITUTE(Audio!P636, "RE-", "", 1))*1</f>
        <v>1141.163128</v>
      </c>
      <c r="Q636" s="92">
        <f>(SUBSTITUTE(Audio!Q636, "RE-", "", 1))*1</f>
        <v>0</v>
      </c>
      <c r="R636" s="92">
        <f>(SUBSTITUTE(Audio!R636, "RE-", "", 1))*1</f>
        <v>1026.679502</v>
      </c>
      <c r="S636" s="92">
        <f>(SUBSTITUTE(Audio!S636, "RE-", "", 1))*1</f>
        <v>0</v>
      </c>
      <c r="T636" s="92">
        <f>(SUBSTITUTE(Audio!T636, "RE-", "", 1))*1</f>
        <v>480.5845667</v>
      </c>
      <c r="U636" s="92">
        <f>(SUBSTITUTE(Audio!U636, "RE-", "", 1))*1</f>
        <v>0</v>
      </c>
      <c r="V636" s="92">
        <f>(SUBSTITUTE(Audio!V636, "RE-", "", 1))*1</f>
        <v>0</v>
      </c>
      <c r="W636" s="92">
        <f>(SUBSTITUTE(Audio!W636, "RE-", "", 1))*1</f>
        <v>0</v>
      </c>
      <c r="X636" s="92">
        <f>(SUBSTITUTE(Audio!X636, "RE-", "", 1))*1</f>
        <v>0</v>
      </c>
      <c r="Y636" s="92">
        <f>(SUBSTITUTE(Audio!Y636, "RE-", "", 1))*1</f>
        <v>0</v>
      </c>
      <c r="Z636" s="92">
        <f>(SUBSTITUTE(Audio!Z636, "RE-", "", 1))*1</f>
        <v>0</v>
      </c>
      <c r="AA636" s="92"/>
      <c r="AB636" s="92"/>
      <c r="AC636" s="92"/>
      <c r="AD636" s="92"/>
      <c r="AE636" s="92"/>
      <c r="AF636" s="92"/>
      <c r="AG636" s="92"/>
      <c r="AH636" s="92"/>
      <c r="AI636" s="92"/>
      <c r="AJ636" s="92"/>
      <c r="AK636" s="92"/>
      <c r="AL636" s="92"/>
      <c r="AM636" s="92"/>
      <c r="AN636" s="92"/>
      <c r="AO636" s="92"/>
      <c r="AP636" s="92"/>
      <c r="AQ636" s="92"/>
      <c r="AR636" s="92"/>
      <c r="AS636" s="92"/>
      <c r="AT636" s="92"/>
      <c r="AU636" s="92"/>
      <c r="AV636" s="92"/>
      <c r="AW636" s="92"/>
      <c r="AX636" s="92"/>
      <c r="AY636" s="92"/>
      <c r="AZ636" s="92"/>
      <c r="BA636" s="92"/>
      <c r="BB636" s="92"/>
      <c r="BC636" s="92"/>
      <c r="BD636" s="92"/>
      <c r="BE636" s="92"/>
      <c r="BF636" s="92"/>
      <c r="BG636" s="92"/>
      <c r="BH636" s="92"/>
      <c r="BI636" s="92"/>
      <c r="BJ636" s="92"/>
      <c r="BK636" s="92"/>
      <c r="BL636" s="92"/>
      <c r="BM636" s="92"/>
      <c r="BN636" s="92"/>
      <c r="BO636" s="92"/>
      <c r="BP636" s="92"/>
      <c r="BQ636" s="92"/>
      <c r="BR636" s="92"/>
      <c r="BS636" s="92"/>
      <c r="BT636" s="92"/>
      <c r="BU636" s="92"/>
      <c r="BV636" s="92"/>
      <c r="BW636" s="92"/>
      <c r="BX636" s="92"/>
      <c r="BY636" s="92"/>
      <c r="BZ636" s="92"/>
      <c r="CA636" s="92"/>
      <c r="CB636" s="92"/>
      <c r="CC636" s="92"/>
      <c r="CD636" s="92"/>
      <c r="CE636" s="92"/>
      <c r="CF636" s="92"/>
      <c r="CG636" s="92"/>
      <c r="CH636" s="92"/>
      <c r="CI636" s="92"/>
      <c r="CJ636" s="92"/>
      <c r="CK636" s="92"/>
      <c r="CL636" s="92"/>
      <c r="CM636" s="92"/>
      <c r="CN636" s="92"/>
      <c r="CO636" s="92"/>
      <c r="CP636" s="92"/>
      <c r="CQ636" s="92"/>
      <c r="CR636" s="92"/>
      <c r="CS636" s="92"/>
      <c r="CT636" s="92"/>
      <c r="CU636" s="92"/>
      <c r="CV636" s="92"/>
      <c r="CW636" s="92"/>
      <c r="CX636" s="92"/>
      <c r="CY636" s="92"/>
      <c r="CZ636" s="92"/>
      <c r="DA636" s="92"/>
      <c r="DB636" s="92"/>
      <c r="DC636" s="92"/>
      <c r="DD636" s="92"/>
      <c r="DE636" s="92"/>
      <c r="DF636" s="92"/>
      <c r="DG636" s="92"/>
      <c r="DH636" s="92"/>
      <c r="DI636" s="92"/>
      <c r="DJ636" s="92"/>
      <c r="DK636" s="92"/>
      <c r="DL636" s="92"/>
      <c r="DM636" s="92"/>
      <c r="DN636" s="92"/>
      <c r="DO636" s="92"/>
      <c r="DP636" s="92"/>
      <c r="DQ636" s="92"/>
      <c r="DR636" s="92"/>
      <c r="DS636" s="92"/>
      <c r="DT636" s="92"/>
      <c r="DU636" s="92"/>
      <c r="DV636" s="92"/>
      <c r="DW636" s="92"/>
      <c r="DX636" s="92"/>
      <c r="DY636" s="92"/>
      <c r="DZ636" s="92"/>
      <c r="EA636" s="92"/>
      <c r="EB636" s="92"/>
      <c r="EC636" s="92"/>
      <c r="ED636" s="92"/>
      <c r="EE636" s="92"/>
      <c r="EF636" s="92"/>
      <c r="EG636" s="92"/>
      <c r="EH636" s="92"/>
      <c r="EI636" s="92"/>
      <c r="EJ636" s="92"/>
      <c r="EK636" s="92"/>
      <c r="EL636" s="92"/>
      <c r="EM636" s="92"/>
      <c r="EN636" s="92"/>
      <c r="EO636" s="92"/>
      <c r="EP636" s="92"/>
      <c r="EQ636" s="92"/>
      <c r="ER636" s="92"/>
      <c r="ES636" s="92"/>
      <c r="ET636" s="92"/>
      <c r="EU636" s="92"/>
      <c r="EV636" s="92"/>
      <c r="EW636" s="92"/>
      <c r="EX636" s="92"/>
      <c r="EY636" s="92"/>
      <c r="EZ636" s="92"/>
      <c r="FA636" s="92"/>
      <c r="FB636" s="92"/>
      <c r="FC636" s="92"/>
      <c r="FD636" s="92"/>
      <c r="FE636" s="92"/>
      <c r="FF636" s="92"/>
      <c r="FG636" s="92"/>
      <c r="FH636" s="92"/>
    </row>
    <row r="637">
      <c r="A637" s="47" t="s">
        <v>28</v>
      </c>
      <c r="B637" s="47" t="s">
        <v>105</v>
      </c>
      <c r="C637" s="47" t="s">
        <v>10</v>
      </c>
      <c r="D637" s="101">
        <f t="shared" si="1"/>
        <v>516.2416844</v>
      </c>
      <c r="E637" s="92">
        <f>(SUBSTITUTE(Audio!E637, "RE-", "", 1))*1</f>
        <v>0</v>
      </c>
      <c r="F637" s="92">
        <f>(SUBSTITUTE(Audio!F637, "RE-", "", 1))*1</f>
        <v>0</v>
      </c>
      <c r="G637" s="92">
        <f>(SUBSTITUTE(Audio!G637, "RE-", "", 1))*1</f>
        <v>73.86007917</v>
      </c>
      <c r="H637" s="92">
        <f>(SUBSTITUTE(Audio!H637, "RE-", "", 1))*1</f>
        <v>0</v>
      </c>
      <c r="I637" s="92">
        <f>(SUBSTITUTE(Audio!I637, "RE-", "", 1))*1</f>
        <v>16.30233958</v>
      </c>
      <c r="J637" s="92">
        <f>(SUBSTITUTE(Audio!J637, "RE-", "", 1))*1</f>
        <v>0</v>
      </c>
      <c r="K637" s="92">
        <f>(SUBSTITUTE(Audio!K637, "RE-", "", 1))*1</f>
        <v>3.2076875</v>
      </c>
      <c r="L637" s="92">
        <f>(SUBSTITUTE(Audio!L637, "RE-", "", 1))*1</f>
        <v>0</v>
      </c>
      <c r="M637" s="92">
        <f>(SUBSTITUTE(Audio!M637, "RE-", "", 1))*1</f>
        <v>10.83674583</v>
      </c>
      <c r="N637" s="92">
        <f>(SUBSTITUTE(Audio!N637, "RE-", "", 1))*1</f>
        <v>0</v>
      </c>
      <c r="O637" s="92">
        <f>(SUBSTITUTE(Audio!O637, "RE-", "", 1))*1</f>
        <v>142.1009792</v>
      </c>
      <c r="P637" s="92">
        <f>(SUBSTITUTE(Audio!P637, "RE-", "", 1))*1</f>
        <v>0</v>
      </c>
      <c r="Q637" s="92">
        <f>(SUBSTITUTE(Audio!Q637, "RE-", "", 1))*1</f>
        <v>89.93430625</v>
      </c>
      <c r="R637" s="92">
        <f>(SUBSTITUTE(Audio!R637, "RE-", "", 1))*1</f>
        <v>0</v>
      </c>
      <c r="S637" s="92">
        <f>(SUBSTITUTE(Audio!S637, "RE-", "", 1))*1</f>
        <v>79.53010937</v>
      </c>
      <c r="T637" s="92">
        <f>(SUBSTITUTE(Audio!T637, "RE-", "", 1))*1</f>
        <v>0</v>
      </c>
      <c r="U637" s="92">
        <f>(SUBSTITUTE(Audio!U637, "RE-", "", 1))*1</f>
        <v>89.71891667</v>
      </c>
      <c r="V637" s="92">
        <f>(SUBSTITUTE(Audio!V637, "RE-", "", 1))*1</f>
        <v>10.75052083</v>
      </c>
      <c r="W637" s="92">
        <f>(SUBSTITUTE(Audio!W637, "RE-", "", 1))*1</f>
        <v>0</v>
      </c>
      <c r="X637" s="92">
        <f>(SUBSTITUTE(Audio!X637, "RE-", "", 1))*1</f>
        <v>0</v>
      </c>
      <c r="Y637" s="92">
        <f>(SUBSTITUTE(Audio!Y637, "RE-", "", 1))*1</f>
        <v>0</v>
      </c>
      <c r="Z637" s="92">
        <f>(SUBSTITUTE(Audio!Z637, "RE-", "", 1))*1</f>
        <v>0</v>
      </c>
      <c r="AA637" s="92"/>
      <c r="AB637" s="92"/>
      <c r="AC637" s="92"/>
      <c r="AD637" s="92"/>
      <c r="AE637" s="92"/>
      <c r="AF637" s="92"/>
      <c r="AG637" s="92"/>
      <c r="AH637" s="92"/>
      <c r="AI637" s="92"/>
      <c r="AJ637" s="92"/>
      <c r="AK637" s="92"/>
      <c r="AL637" s="92"/>
      <c r="AM637" s="92"/>
      <c r="AN637" s="92"/>
      <c r="AO637" s="92"/>
      <c r="AP637" s="92"/>
      <c r="AQ637" s="92"/>
      <c r="AR637" s="92"/>
      <c r="AS637" s="92"/>
      <c r="AT637" s="92"/>
      <c r="AU637" s="92"/>
      <c r="AV637" s="92"/>
      <c r="AW637" s="92"/>
      <c r="AX637" s="92"/>
      <c r="AY637" s="92"/>
      <c r="AZ637" s="92"/>
      <c r="BA637" s="92"/>
      <c r="BB637" s="92"/>
      <c r="BC637" s="92"/>
      <c r="BD637" s="92"/>
      <c r="BE637" s="92"/>
      <c r="BF637" s="92"/>
      <c r="BG637" s="92"/>
      <c r="BH637" s="92"/>
      <c r="BI637" s="92"/>
      <c r="BJ637" s="92"/>
      <c r="BK637" s="92"/>
      <c r="BL637" s="92"/>
      <c r="BM637" s="92"/>
      <c r="BN637" s="92"/>
      <c r="BO637" s="92"/>
      <c r="BP637" s="92"/>
      <c r="BQ637" s="92"/>
      <c r="BR637" s="92"/>
      <c r="BS637" s="92"/>
      <c r="BT637" s="92"/>
      <c r="BU637" s="92"/>
      <c r="BV637" s="92"/>
      <c r="BW637" s="92"/>
      <c r="BX637" s="92"/>
      <c r="BY637" s="92"/>
      <c r="BZ637" s="92"/>
      <c r="CA637" s="92"/>
      <c r="CB637" s="92"/>
      <c r="CC637" s="92"/>
      <c r="CD637" s="92"/>
      <c r="CE637" s="92"/>
      <c r="CF637" s="92"/>
      <c r="CG637" s="92"/>
      <c r="CH637" s="92"/>
      <c r="CI637" s="92"/>
      <c r="CJ637" s="92"/>
      <c r="CK637" s="92"/>
      <c r="CL637" s="92"/>
      <c r="CM637" s="92"/>
      <c r="CN637" s="92"/>
      <c r="CO637" s="92"/>
      <c r="CP637" s="92"/>
      <c r="CQ637" s="92"/>
      <c r="CR637" s="92"/>
      <c r="CS637" s="92"/>
      <c r="CT637" s="92"/>
      <c r="CU637" s="92"/>
      <c r="CV637" s="92"/>
      <c r="CW637" s="92"/>
      <c r="CX637" s="92"/>
      <c r="CY637" s="92"/>
      <c r="CZ637" s="92"/>
      <c r="DA637" s="92"/>
      <c r="DB637" s="92"/>
      <c r="DC637" s="92"/>
      <c r="DD637" s="92"/>
      <c r="DE637" s="92"/>
      <c r="DF637" s="92"/>
      <c r="DG637" s="92"/>
      <c r="DH637" s="92"/>
      <c r="DI637" s="92"/>
      <c r="DJ637" s="92"/>
      <c r="DK637" s="92"/>
      <c r="DL637" s="92"/>
      <c r="DM637" s="92"/>
      <c r="DN637" s="92"/>
      <c r="DO637" s="92"/>
      <c r="DP637" s="92"/>
      <c r="DQ637" s="92"/>
      <c r="DR637" s="92"/>
      <c r="DS637" s="92"/>
      <c r="DT637" s="92"/>
      <c r="DU637" s="92"/>
      <c r="DV637" s="92"/>
      <c r="DW637" s="92"/>
      <c r="DX637" s="92"/>
      <c r="DY637" s="92"/>
      <c r="DZ637" s="92"/>
      <c r="EA637" s="92"/>
      <c r="EB637" s="92"/>
      <c r="EC637" s="92"/>
      <c r="ED637" s="92"/>
      <c r="EE637" s="92"/>
      <c r="EF637" s="92"/>
      <c r="EG637" s="92"/>
      <c r="EH637" s="92"/>
      <c r="EI637" s="92"/>
      <c r="EJ637" s="92"/>
      <c r="EK637" s="92"/>
      <c r="EL637" s="92"/>
      <c r="EM637" s="92"/>
      <c r="EN637" s="92"/>
      <c r="EO637" s="92"/>
      <c r="EP637" s="92"/>
      <c r="EQ637" s="92"/>
      <c r="ER637" s="92"/>
      <c r="ES637" s="92"/>
      <c r="ET637" s="92"/>
      <c r="EU637" s="92"/>
      <c r="EV637" s="92"/>
      <c r="EW637" s="92"/>
      <c r="EX637" s="92"/>
      <c r="EY637" s="92"/>
      <c r="EZ637" s="92"/>
      <c r="FA637" s="92"/>
      <c r="FB637" s="92"/>
      <c r="FC637" s="92"/>
      <c r="FD637" s="92"/>
      <c r="FE637" s="92"/>
      <c r="FF637" s="92"/>
      <c r="FG637" s="92"/>
      <c r="FH637" s="92"/>
    </row>
    <row r="638">
      <c r="A638" s="47" t="s">
        <v>28</v>
      </c>
      <c r="B638" s="47" t="s">
        <v>105</v>
      </c>
      <c r="C638" s="47" t="s">
        <v>11</v>
      </c>
      <c r="D638" s="101">
        <f t="shared" si="1"/>
        <v>516.2416844</v>
      </c>
      <c r="E638" s="92">
        <f>(SUBSTITUTE(Audio!E638, "RE-", "", 1))*1</f>
        <v>0</v>
      </c>
      <c r="F638" s="92">
        <f>(SUBSTITUTE(Audio!F638, "RE-", "", 1))*1</f>
        <v>0</v>
      </c>
      <c r="G638" s="92">
        <f>(SUBSTITUTE(Audio!G638, "RE-", "", 1))*1</f>
        <v>73.86007917</v>
      </c>
      <c r="H638" s="92">
        <f>(SUBSTITUTE(Audio!H638, "RE-", "", 1))*1</f>
        <v>0</v>
      </c>
      <c r="I638" s="92">
        <f>(SUBSTITUTE(Audio!I638, "RE-", "", 1))*1</f>
        <v>16.30233958</v>
      </c>
      <c r="J638" s="92">
        <f>(SUBSTITUTE(Audio!J638, "RE-", "", 1))*1</f>
        <v>0</v>
      </c>
      <c r="K638" s="92">
        <f>(SUBSTITUTE(Audio!K638, "RE-", "", 1))*1</f>
        <v>3.2076875</v>
      </c>
      <c r="L638" s="92">
        <f>(SUBSTITUTE(Audio!L638, "RE-", "", 1))*1</f>
        <v>0</v>
      </c>
      <c r="M638" s="92">
        <f>(SUBSTITUTE(Audio!M638, "RE-", "", 1))*1</f>
        <v>10.83674583</v>
      </c>
      <c r="N638" s="92">
        <f>(SUBSTITUTE(Audio!N638, "RE-", "", 1))*1</f>
        <v>0</v>
      </c>
      <c r="O638" s="92">
        <f>(SUBSTITUTE(Audio!O638, "RE-", "", 1))*1</f>
        <v>142.1009792</v>
      </c>
      <c r="P638" s="92">
        <f>(SUBSTITUTE(Audio!P638, "RE-", "", 1))*1</f>
        <v>0</v>
      </c>
      <c r="Q638" s="92">
        <f>(SUBSTITUTE(Audio!Q638, "RE-", "", 1))*1</f>
        <v>89.93430625</v>
      </c>
      <c r="R638" s="92">
        <f>(SUBSTITUTE(Audio!R638, "RE-", "", 1))*1</f>
        <v>0</v>
      </c>
      <c r="S638" s="92">
        <f>(SUBSTITUTE(Audio!S638, "RE-", "", 1))*1</f>
        <v>79.53010937</v>
      </c>
      <c r="T638" s="92">
        <f>(SUBSTITUTE(Audio!T638, "RE-", "", 1))*1</f>
        <v>0</v>
      </c>
      <c r="U638" s="92">
        <f>(SUBSTITUTE(Audio!U638, "RE-", "", 1))*1</f>
        <v>89.71891667</v>
      </c>
      <c r="V638" s="92">
        <f>(SUBSTITUTE(Audio!V638, "RE-", "", 1))*1</f>
        <v>10.75052083</v>
      </c>
      <c r="W638" s="92">
        <f>(SUBSTITUTE(Audio!W638, "RE-", "", 1))*1</f>
        <v>0</v>
      </c>
      <c r="X638" s="92">
        <f>(SUBSTITUTE(Audio!X638, "RE-", "", 1))*1</f>
        <v>0</v>
      </c>
      <c r="Y638" s="92">
        <f>(SUBSTITUTE(Audio!Y638, "RE-", "", 1))*1</f>
        <v>0</v>
      </c>
      <c r="Z638" s="92">
        <f>(SUBSTITUTE(Audio!Z638, "RE-", "", 1))*1</f>
        <v>0</v>
      </c>
      <c r="AA638" s="92"/>
      <c r="AB638" s="92"/>
      <c r="AC638" s="92"/>
      <c r="AD638" s="92"/>
      <c r="AE638" s="92"/>
      <c r="AF638" s="92"/>
      <c r="AG638" s="92"/>
      <c r="AH638" s="92"/>
      <c r="AI638" s="92"/>
      <c r="AJ638" s="92"/>
      <c r="AK638" s="92"/>
      <c r="AL638" s="92"/>
      <c r="AM638" s="92"/>
      <c r="AN638" s="92"/>
      <c r="AO638" s="92"/>
      <c r="AP638" s="92"/>
      <c r="AQ638" s="92"/>
      <c r="AR638" s="92"/>
      <c r="AS638" s="92"/>
      <c r="AT638" s="92"/>
      <c r="AU638" s="92"/>
      <c r="AV638" s="92"/>
      <c r="AW638" s="92"/>
      <c r="AX638" s="92"/>
      <c r="AY638" s="92"/>
      <c r="AZ638" s="92"/>
      <c r="BA638" s="92"/>
      <c r="BB638" s="92"/>
      <c r="BC638" s="92"/>
      <c r="BD638" s="92"/>
      <c r="BE638" s="92"/>
      <c r="BF638" s="92"/>
      <c r="BG638" s="92"/>
      <c r="BH638" s="92"/>
      <c r="BI638" s="92"/>
      <c r="BJ638" s="92"/>
      <c r="BK638" s="92"/>
      <c r="BL638" s="92"/>
      <c r="BM638" s="92"/>
      <c r="BN638" s="92"/>
      <c r="BO638" s="92"/>
      <c r="BP638" s="92"/>
      <c r="BQ638" s="92"/>
      <c r="BR638" s="92"/>
      <c r="BS638" s="92"/>
      <c r="BT638" s="92"/>
      <c r="BU638" s="92"/>
      <c r="BV638" s="92"/>
      <c r="BW638" s="92"/>
      <c r="BX638" s="92"/>
      <c r="BY638" s="92"/>
      <c r="BZ638" s="92"/>
      <c r="CA638" s="92"/>
      <c r="CB638" s="92"/>
      <c r="CC638" s="92"/>
      <c r="CD638" s="92"/>
      <c r="CE638" s="92"/>
      <c r="CF638" s="92"/>
      <c r="CG638" s="92"/>
      <c r="CH638" s="92"/>
      <c r="CI638" s="92"/>
      <c r="CJ638" s="92"/>
      <c r="CK638" s="92"/>
      <c r="CL638" s="92"/>
      <c r="CM638" s="92"/>
      <c r="CN638" s="92"/>
      <c r="CO638" s="92"/>
      <c r="CP638" s="92"/>
      <c r="CQ638" s="92"/>
      <c r="CR638" s="92"/>
      <c r="CS638" s="92"/>
      <c r="CT638" s="92"/>
      <c r="CU638" s="92"/>
      <c r="CV638" s="92"/>
      <c r="CW638" s="92"/>
      <c r="CX638" s="92"/>
      <c r="CY638" s="92"/>
      <c r="CZ638" s="92"/>
      <c r="DA638" s="92"/>
      <c r="DB638" s="92"/>
      <c r="DC638" s="92"/>
      <c r="DD638" s="92"/>
      <c r="DE638" s="92"/>
      <c r="DF638" s="92"/>
      <c r="DG638" s="92"/>
      <c r="DH638" s="92"/>
      <c r="DI638" s="92"/>
      <c r="DJ638" s="92"/>
      <c r="DK638" s="92"/>
      <c r="DL638" s="92"/>
      <c r="DM638" s="92"/>
      <c r="DN638" s="92"/>
      <c r="DO638" s="92"/>
      <c r="DP638" s="92"/>
      <c r="DQ638" s="92"/>
      <c r="DR638" s="92"/>
      <c r="DS638" s="92"/>
      <c r="DT638" s="92"/>
      <c r="DU638" s="92"/>
      <c r="DV638" s="92"/>
      <c r="DW638" s="92"/>
      <c r="DX638" s="92"/>
      <c r="DY638" s="92"/>
      <c r="DZ638" s="92"/>
      <c r="EA638" s="92"/>
      <c r="EB638" s="92"/>
      <c r="EC638" s="92"/>
      <c r="ED638" s="92"/>
      <c r="EE638" s="92"/>
      <c r="EF638" s="92"/>
      <c r="EG638" s="92"/>
      <c r="EH638" s="92"/>
      <c r="EI638" s="92"/>
      <c r="EJ638" s="92"/>
      <c r="EK638" s="92"/>
      <c r="EL638" s="92"/>
      <c r="EM638" s="92"/>
      <c r="EN638" s="92"/>
      <c r="EO638" s="92"/>
      <c r="EP638" s="92"/>
      <c r="EQ638" s="92"/>
      <c r="ER638" s="92"/>
      <c r="ES638" s="92"/>
      <c r="ET638" s="92"/>
      <c r="EU638" s="92"/>
      <c r="EV638" s="92"/>
      <c r="EW638" s="92"/>
      <c r="EX638" s="92"/>
      <c r="EY638" s="92"/>
      <c r="EZ638" s="92"/>
      <c r="FA638" s="92"/>
      <c r="FB638" s="92"/>
      <c r="FC638" s="92"/>
      <c r="FD638" s="92"/>
      <c r="FE638" s="92"/>
      <c r="FF638" s="92"/>
      <c r="FG638" s="92"/>
      <c r="FH638" s="92"/>
    </row>
    <row r="639">
      <c r="A639" s="47" t="s">
        <v>28</v>
      </c>
      <c r="B639" s="47" t="s">
        <v>105</v>
      </c>
      <c r="C639" s="47" t="s">
        <v>12</v>
      </c>
      <c r="D639" s="101">
        <f t="shared" si="1"/>
        <v>4889.894517</v>
      </c>
      <c r="E639" s="92">
        <f>(SUBSTITUTE(Audio!E639, "RE-", "", 1))*1</f>
        <v>0</v>
      </c>
      <c r="F639" s="92">
        <f>(SUBSTITUTE(Audio!F639, "RE-", "", 1))*1</f>
        <v>431.9698854</v>
      </c>
      <c r="G639" s="92">
        <f>(SUBSTITUTE(Audio!G639, "RE-", "", 1))*1</f>
        <v>2.661983333</v>
      </c>
      <c r="H639" s="92">
        <f>(SUBSTITUTE(Audio!H639, "RE-", "", 1))*1</f>
        <v>113.0073792</v>
      </c>
      <c r="I639" s="92">
        <f>(SUBSTITUTE(Audio!I639, "RE-", "", 1))*1</f>
        <v>0</v>
      </c>
      <c r="J639" s="92">
        <f>(SUBSTITUTE(Audio!J639, "RE-", "", 1))*1</f>
        <v>5.26976875</v>
      </c>
      <c r="K639" s="92">
        <f>(SUBSTITUTE(Audio!K639, "RE-", "", 1))*1</f>
        <v>0</v>
      </c>
      <c r="L639" s="92">
        <f>(SUBSTITUTE(Audio!L639, "RE-", "", 1))*1</f>
        <v>690.6897552</v>
      </c>
      <c r="M639" s="92">
        <f>(SUBSTITUTE(Audio!M639, "RE-", "", 1))*1</f>
        <v>0.35664375</v>
      </c>
      <c r="N639" s="92">
        <f>(SUBSTITUTE(Audio!N639, "RE-", "", 1))*1</f>
        <v>1046.267491</v>
      </c>
      <c r="O639" s="92">
        <f>(SUBSTITUTE(Audio!O639, "RE-", "", 1))*1</f>
        <v>2.826810417</v>
      </c>
      <c r="P639" s="92">
        <f>(SUBSTITUTE(Audio!P639, "RE-", "", 1))*1</f>
        <v>1060.279749</v>
      </c>
      <c r="Q639" s="92">
        <f>(SUBSTITUTE(Audio!Q639, "RE-", "", 1))*1</f>
        <v>26.81790833</v>
      </c>
      <c r="R639" s="92">
        <f>(SUBSTITUTE(Audio!R639, "RE-", "", 1))*1</f>
        <v>981.8768312</v>
      </c>
      <c r="S639" s="92">
        <f>(SUBSTITUTE(Audio!S639, "RE-", "", 1))*1</f>
        <v>31.42909062</v>
      </c>
      <c r="T639" s="92">
        <f>(SUBSTITUTE(Audio!T639, "RE-", "", 1))*1</f>
        <v>452.9145833</v>
      </c>
      <c r="U639" s="92">
        <f>(SUBSTITUTE(Audio!U639, "RE-", "", 1))*1</f>
        <v>36.69775208</v>
      </c>
      <c r="V639" s="92">
        <f>(SUBSTITUTE(Audio!V639, "RE-", "", 1))*1</f>
        <v>6.828885417</v>
      </c>
      <c r="W639" s="92">
        <f>(SUBSTITUTE(Audio!W639, "RE-", "", 1))*1</f>
        <v>0</v>
      </c>
      <c r="X639" s="92">
        <f>(SUBSTITUTE(Audio!X639, "RE-", "", 1))*1</f>
        <v>0</v>
      </c>
      <c r="Y639" s="92">
        <f>(SUBSTITUTE(Audio!Y639, "RE-", "", 1))*1</f>
        <v>0</v>
      </c>
      <c r="Z639" s="92">
        <f>(SUBSTITUTE(Audio!Z639, "RE-", "", 1))*1</f>
        <v>0</v>
      </c>
      <c r="AA639" s="92"/>
      <c r="AB639" s="92"/>
      <c r="AC639" s="92"/>
      <c r="AD639" s="92"/>
      <c r="AE639" s="92"/>
      <c r="AF639" s="92"/>
      <c r="AG639" s="92"/>
      <c r="AH639" s="92"/>
      <c r="AI639" s="92"/>
      <c r="AJ639" s="92"/>
      <c r="AK639" s="92"/>
      <c r="AL639" s="92"/>
      <c r="AM639" s="92"/>
      <c r="AN639" s="92"/>
      <c r="AO639" s="92"/>
      <c r="AP639" s="92"/>
      <c r="AQ639" s="92"/>
      <c r="AR639" s="92"/>
      <c r="AS639" s="92"/>
      <c r="AT639" s="92"/>
      <c r="AU639" s="92"/>
      <c r="AV639" s="92"/>
      <c r="AW639" s="92"/>
      <c r="AX639" s="92"/>
      <c r="AY639" s="92"/>
      <c r="AZ639" s="92"/>
      <c r="BA639" s="92"/>
      <c r="BB639" s="92"/>
      <c r="BC639" s="92"/>
      <c r="BD639" s="92"/>
      <c r="BE639" s="92"/>
      <c r="BF639" s="92"/>
      <c r="BG639" s="92"/>
      <c r="BH639" s="92"/>
      <c r="BI639" s="92"/>
      <c r="BJ639" s="92"/>
      <c r="BK639" s="92"/>
      <c r="BL639" s="92"/>
      <c r="BM639" s="92"/>
      <c r="BN639" s="92"/>
      <c r="BO639" s="92"/>
      <c r="BP639" s="92"/>
      <c r="BQ639" s="92"/>
      <c r="BR639" s="92"/>
      <c r="BS639" s="92"/>
      <c r="BT639" s="92"/>
      <c r="BU639" s="92"/>
      <c r="BV639" s="92"/>
      <c r="BW639" s="92"/>
      <c r="BX639" s="92"/>
      <c r="BY639" s="92"/>
      <c r="BZ639" s="92"/>
      <c r="CA639" s="92"/>
      <c r="CB639" s="92"/>
      <c r="CC639" s="92"/>
      <c r="CD639" s="92"/>
      <c r="CE639" s="92"/>
      <c r="CF639" s="92"/>
      <c r="CG639" s="92"/>
      <c r="CH639" s="92"/>
      <c r="CI639" s="92"/>
      <c r="CJ639" s="92"/>
      <c r="CK639" s="92"/>
      <c r="CL639" s="92"/>
      <c r="CM639" s="92"/>
      <c r="CN639" s="92"/>
      <c r="CO639" s="92"/>
      <c r="CP639" s="92"/>
      <c r="CQ639" s="92"/>
      <c r="CR639" s="92"/>
      <c r="CS639" s="92"/>
      <c r="CT639" s="92"/>
      <c r="CU639" s="92"/>
      <c r="CV639" s="92"/>
      <c r="CW639" s="92"/>
      <c r="CX639" s="92"/>
      <c r="CY639" s="92"/>
      <c r="CZ639" s="92"/>
      <c r="DA639" s="92"/>
      <c r="DB639" s="92"/>
      <c r="DC639" s="92"/>
      <c r="DD639" s="92"/>
      <c r="DE639" s="92"/>
      <c r="DF639" s="92"/>
      <c r="DG639" s="92"/>
      <c r="DH639" s="92"/>
      <c r="DI639" s="92"/>
      <c r="DJ639" s="92"/>
      <c r="DK639" s="92"/>
      <c r="DL639" s="92"/>
      <c r="DM639" s="92"/>
      <c r="DN639" s="92"/>
      <c r="DO639" s="92"/>
      <c r="DP639" s="92"/>
      <c r="DQ639" s="92"/>
      <c r="DR639" s="92"/>
      <c r="DS639" s="92"/>
      <c r="DT639" s="92"/>
      <c r="DU639" s="92"/>
      <c r="DV639" s="92"/>
      <c r="DW639" s="92"/>
      <c r="DX639" s="92"/>
      <c r="DY639" s="92"/>
      <c r="DZ639" s="92"/>
      <c r="EA639" s="92"/>
      <c r="EB639" s="92"/>
      <c r="EC639" s="92"/>
      <c r="ED639" s="92"/>
      <c r="EE639" s="92"/>
      <c r="EF639" s="92"/>
      <c r="EG639" s="92"/>
      <c r="EH639" s="92"/>
      <c r="EI639" s="92"/>
      <c r="EJ639" s="92"/>
      <c r="EK639" s="92"/>
      <c r="EL639" s="92"/>
      <c r="EM639" s="92"/>
      <c r="EN639" s="92"/>
      <c r="EO639" s="92"/>
      <c r="EP639" s="92"/>
      <c r="EQ639" s="92"/>
      <c r="ER639" s="92"/>
      <c r="ES639" s="92"/>
      <c r="ET639" s="92"/>
      <c r="EU639" s="92"/>
      <c r="EV639" s="92"/>
      <c r="EW639" s="92"/>
      <c r="EX639" s="92"/>
      <c r="EY639" s="92"/>
      <c r="EZ639" s="92"/>
      <c r="FA639" s="92"/>
      <c r="FB639" s="92"/>
      <c r="FC639" s="92"/>
      <c r="FD639" s="92"/>
      <c r="FE639" s="92"/>
      <c r="FF639" s="92"/>
      <c r="FG639" s="92"/>
      <c r="FH639" s="92"/>
    </row>
    <row r="640">
      <c r="A640" s="47" t="s">
        <v>28</v>
      </c>
      <c r="B640" s="47" t="s">
        <v>105</v>
      </c>
      <c r="C640" s="47" t="s">
        <v>13</v>
      </c>
      <c r="D640" s="101">
        <f t="shared" si="1"/>
        <v>4658.82428</v>
      </c>
      <c r="E640" s="92">
        <f>(SUBSTITUTE(Audio!E640, "RE-", "", 1))*1</f>
        <v>0</v>
      </c>
      <c r="F640" s="92">
        <f>(SUBSTITUTE(Audio!F640, "RE-", "", 1))*1</f>
        <v>402.406</v>
      </c>
      <c r="G640" s="92">
        <f>(SUBSTITUTE(Audio!G640, "RE-", "", 1))*1</f>
        <v>2.32075</v>
      </c>
      <c r="H640" s="92">
        <f>(SUBSTITUTE(Audio!H640, "RE-", "", 1))*1</f>
        <v>107.072</v>
      </c>
      <c r="I640" s="92">
        <f>(SUBSTITUTE(Audio!I640, "RE-", "", 1))*1</f>
        <v>0</v>
      </c>
      <c r="J640" s="92">
        <f>(SUBSTITUTE(Audio!J640, "RE-", "", 1))*1</f>
        <v>5.02983</v>
      </c>
      <c r="K640" s="92">
        <f>(SUBSTITUTE(Audio!K640, "RE-", "", 1))*1</f>
        <v>0</v>
      </c>
      <c r="L640" s="92">
        <f>(SUBSTITUTE(Audio!L640, "RE-", "", 1))*1</f>
        <v>665.314</v>
      </c>
      <c r="M640" s="92">
        <f>(SUBSTITUTE(Audio!M640, "RE-", "", 1))*1</f>
        <v>0.3286</v>
      </c>
      <c r="N640" s="92">
        <f>(SUBSTITUTE(Audio!N640, "RE-", "", 1))*1</f>
        <v>1005.7</v>
      </c>
      <c r="O640" s="92">
        <f>(SUBSTITUTE(Audio!O640, "RE-", "", 1))*1</f>
        <v>2.68932</v>
      </c>
      <c r="P640" s="92">
        <f>(SUBSTITUTE(Audio!P640, "RE-", "", 1))*1</f>
        <v>1006.68</v>
      </c>
      <c r="Q640" s="92">
        <f>(SUBSTITUTE(Audio!Q640, "RE-", "", 1))*1</f>
        <v>25.2569</v>
      </c>
      <c r="R640" s="92">
        <f>(SUBSTITUTE(Audio!R640, "RE-", "", 1))*1</f>
        <v>934.171</v>
      </c>
      <c r="S640" s="92">
        <f>(SUBSTITUTE(Audio!S640, "RE-", "", 1))*1</f>
        <v>29.3083</v>
      </c>
      <c r="T640" s="92">
        <f>(SUBSTITUTE(Audio!T640, "RE-", "", 1))*1</f>
        <v>430.957</v>
      </c>
      <c r="U640" s="92">
        <f>(SUBSTITUTE(Audio!U640, "RE-", "", 1))*1</f>
        <v>35.1431</v>
      </c>
      <c r="V640" s="92">
        <f>(SUBSTITUTE(Audio!V640, "RE-", "", 1))*1</f>
        <v>6.44748</v>
      </c>
      <c r="W640" s="92">
        <f>(SUBSTITUTE(Audio!W640, "RE-", "", 1))*1</f>
        <v>0</v>
      </c>
      <c r="X640" s="92">
        <f>(SUBSTITUTE(Audio!X640, "RE-", "", 1))*1</f>
        <v>0</v>
      </c>
      <c r="Y640" s="92">
        <f>(SUBSTITUTE(Audio!Y640, "RE-", "", 1))*1</f>
        <v>0</v>
      </c>
      <c r="Z640" s="92">
        <f>(SUBSTITUTE(Audio!Z640, "RE-", "", 1))*1</f>
        <v>0</v>
      </c>
      <c r="AA640" s="92"/>
      <c r="AB640" s="92"/>
      <c r="AC640" s="92"/>
      <c r="AD640" s="92"/>
      <c r="AE640" s="92"/>
      <c r="AF640" s="92"/>
      <c r="AG640" s="92"/>
      <c r="AH640" s="92"/>
      <c r="AI640" s="92"/>
      <c r="AJ640" s="92"/>
      <c r="AK640" s="92"/>
      <c r="AL640" s="92"/>
      <c r="AM640" s="92"/>
      <c r="AN640" s="92"/>
      <c r="AO640" s="92"/>
      <c r="AP640" s="92"/>
      <c r="AQ640" s="92"/>
      <c r="AR640" s="92"/>
      <c r="AS640" s="92"/>
      <c r="AT640" s="92"/>
      <c r="AU640" s="92"/>
      <c r="AV640" s="92"/>
      <c r="AW640" s="92"/>
      <c r="AX640" s="92"/>
      <c r="AY640" s="92"/>
      <c r="AZ640" s="92"/>
      <c r="BA640" s="92"/>
      <c r="BB640" s="92"/>
      <c r="BC640" s="92"/>
      <c r="BD640" s="92"/>
      <c r="BE640" s="92"/>
      <c r="BF640" s="92"/>
      <c r="BG640" s="92"/>
      <c r="BH640" s="92"/>
      <c r="BI640" s="92"/>
      <c r="BJ640" s="92"/>
      <c r="BK640" s="92"/>
      <c r="BL640" s="92"/>
      <c r="BM640" s="92"/>
      <c r="BN640" s="92"/>
      <c r="BO640" s="92"/>
      <c r="BP640" s="92"/>
      <c r="BQ640" s="92"/>
      <c r="BR640" s="92"/>
      <c r="BS640" s="92"/>
      <c r="BT640" s="92"/>
      <c r="BU640" s="92"/>
      <c r="BV640" s="92"/>
      <c r="BW640" s="92"/>
      <c r="BX640" s="92"/>
      <c r="BY640" s="92"/>
      <c r="BZ640" s="92"/>
      <c r="CA640" s="92"/>
      <c r="CB640" s="92"/>
      <c r="CC640" s="92"/>
      <c r="CD640" s="92"/>
      <c r="CE640" s="92"/>
      <c r="CF640" s="92"/>
      <c r="CG640" s="92"/>
      <c r="CH640" s="92"/>
      <c r="CI640" s="92"/>
      <c r="CJ640" s="92"/>
      <c r="CK640" s="92"/>
      <c r="CL640" s="92"/>
      <c r="CM640" s="92"/>
      <c r="CN640" s="92"/>
      <c r="CO640" s="92"/>
      <c r="CP640" s="92"/>
      <c r="CQ640" s="92"/>
      <c r="CR640" s="92"/>
      <c r="CS640" s="92"/>
      <c r="CT640" s="92"/>
      <c r="CU640" s="92"/>
      <c r="CV640" s="92"/>
      <c r="CW640" s="92"/>
      <c r="CX640" s="92"/>
      <c r="CY640" s="92"/>
      <c r="CZ640" s="92"/>
      <c r="DA640" s="92"/>
      <c r="DB640" s="92"/>
      <c r="DC640" s="92"/>
      <c r="DD640" s="92"/>
      <c r="DE640" s="92"/>
      <c r="DF640" s="92"/>
      <c r="DG640" s="92"/>
      <c r="DH640" s="92"/>
      <c r="DI640" s="92"/>
      <c r="DJ640" s="92"/>
      <c r="DK640" s="92"/>
      <c r="DL640" s="92"/>
      <c r="DM640" s="92"/>
      <c r="DN640" s="92"/>
      <c r="DO640" s="92"/>
      <c r="DP640" s="92"/>
      <c r="DQ640" s="92"/>
      <c r="DR640" s="92"/>
      <c r="DS640" s="92"/>
      <c r="DT640" s="92"/>
      <c r="DU640" s="92"/>
      <c r="DV640" s="92"/>
      <c r="DW640" s="92"/>
      <c r="DX640" s="92"/>
      <c r="DY640" s="92"/>
      <c r="DZ640" s="92"/>
      <c r="EA640" s="92"/>
      <c r="EB640" s="92"/>
      <c r="EC640" s="92"/>
      <c r="ED640" s="92"/>
      <c r="EE640" s="92"/>
      <c r="EF640" s="92"/>
      <c r="EG640" s="92"/>
      <c r="EH640" s="92"/>
      <c r="EI640" s="92"/>
      <c r="EJ640" s="92"/>
      <c r="EK640" s="92"/>
      <c r="EL640" s="92"/>
      <c r="EM640" s="92"/>
      <c r="EN640" s="92"/>
      <c r="EO640" s="92"/>
      <c r="EP640" s="92"/>
      <c r="EQ640" s="92"/>
      <c r="ER640" s="92"/>
      <c r="ES640" s="92"/>
      <c r="ET640" s="92"/>
      <c r="EU640" s="92"/>
      <c r="EV640" s="92"/>
      <c r="EW640" s="92"/>
      <c r="EX640" s="92"/>
      <c r="EY640" s="92"/>
      <c r="EZ640" s="92"/>
      <c r="FA640" s="92"/>
      <c r="FB640" s="92"/>
      <c r="FC640" s="92"/>
      <c r="FD640" s="92"/>
      <c r="FE640" s="92"/>
      <c r="FF640" s="92"/>
      <c r="FG640" s="92"/>
      <c r="FH640" s="92"/>
    </row>
    <row r="641">
      <c r="A641" s="47" t="s">
        <v>28</v>
      </c>
      <c r="B641" s="47" t="s">
        <v>105</v>
      </c>
      <c r="C641" s="47" t="s">
        <v>14</v>
      </c>
      <c r="D641" s="101">
        <f t="shared" si="1"/>
        <v>4038.23829</v>
      </c>
      <c r="E641" s="92">
        <f>(SUBSTITUTE(Audio!E641, "RE-", "", 1))*1</f>
        <v>0</v>
      </c>
      <c r="F641" s="92">
        <f>(SUBSTITUTE(Audio!F641, "RE-", "", 1))*1</f>
        <v>359.935</v>
      </c>
      <c r="G641" s="92">
        <f>(SUBSTITUTE(Audio!G641, "RE-", "", 1))*1</f>
        <v>1.99035</v>
      </c>
      <c r="H641" s="92">
        <f>(SUBSTITUTE(Audio!H641, "RE-", "", 1))*1</f>
        <v>99.0086</v>
      </c>
      <c r="I641" s="92">
        <f>(SUBSTITUTE(Audio!I641, "RE-", "", 1))*1</f>
        <v>0</v>
      </c>
      <c r="J641" s="92">
        <f>(SUBSTITUTE(Audio!J641, "RE-", "", 1))*1</f>
        <v>4.82493</v>
      </c>
      <c r="K641" s="92">
        <f>(SUBSTITUTE(Audio!K641, "RE-", "", 1))*1</f>
        <v>0</v>
      </c>
      <c r="L641" s="92">
        <f>(SUBSTITUTE(Audio!L641, "RE-", "", 1))*1</f>
        <v>583.432</v>
      </c>
      <c r="M641" s="92">
        <f>(SUBSTITUTE(Audio!M641, "RE-", "", 1))*1</f>
        <v>0.3286</v>
      </c>
      <c r="N641" s="92">
        <f>(SUBSTITUTE(Audio!N641, "RE-", "", 1))*1</f>
        <v>867.288</v>
      </c>
      <c r="O641" s="92">
        <f>(SUBSTITUTE(Audio!O641, "RE-", "", 1))*1</f>
        <v>2.48948</v>
      </c>
      <c r="P641" s="92">
        <f>(SUBSTITUTE(Audio!P641, "RE-", "", 1))*1</f>
        <v>870.593</v>
      </c>
      <c r="Q641" s="92">
        <f>(SUBSTITUTE(Audio!Q641, "RE-", "", 1))*1</f>
        <v>21.9203</v>
      </c>
      <c r="R641" s="92">
        <f>(SUBSTITUTE(Audio!R641, "RE-", "", 1))*1</f>
        <v>800.107</v>
      </c>
      <c r="S641" s="92">
        <f>(SUBSTITUTE(Audio!S641, "RE-", "", 1))*1</f>
        <v>26.5179</v>
      </c>
      <c r="T641" s="92">
        <f>(SUBSTITUTE(Audio!T641, "RE-", "", 1))*1</f>
        <v>361.406</v>
      </c>
      <c r="U641" s="92">
        <f>(SUBSTITUTE(Audio!U641, "RE-", "", 1))*1</f>
        <v>33.0039</v>
      </c>
      <c r="V641" s="92">
        <f>(SUBSTITUTE(Audio!V641, "RE-", "", 1))*1</f>
        <v>5.39323</v>
      </c>
      <c r="W641" s="92">
        <f>(SUBSTITUTE(Audio!W641, "RE-", "", 1))*1</f>
        <v>0</v>
      </c>
      <c r="X641" s="92">
        <f>(SUBSTITUTE(Audio!X641, "RE-", "", 1))*1</f>
        <v>0</v>
      </c>
      <c r="Y641" s="92">
        <f>(SUBSTITUTE(Audio!Y641, "RE-", "", 1))*1</f>
        <v>0</v>
      </c>
      <c r="Z641" s="92">
        <f>(SUBSTITUTE(Audio!Z641, "RE-", "", 1))*1</f>
        <v>0</v>
      </c>
      <c r="AA641" s="92"/>
      <c r="AB641" s="92"/>
      <c r="AC641" s="92"/>
      <c r="AD641" s="92"/>
      <c r="AE641" s="92"/>
      <c r="AF641" s="92"/>
      <c r="AG641" s="92"/>
      <c r="AH641" s="92"/>
      <c r="AI641" s="92"/>
      <c r="AJ641" s="92"/>
      <c r="AK641" s="92"/>
      <c r="AL641" s="92"/>
      <c r="AM641" s="92"/>
      <c r="AN641" s="92"/>
      <c r="AO641" s="92"/>
      <c r="AP641" s="92"/>
      <c r="AQ641" s="92"/>
      <c r="AR641" s="92"/>
      <c r="AS641" s="92"/>
      <c r="AT641" s="92"/>
      <c r="AU641" s="92"/>
      <c r="AV641" s="92"/>
      <c r="AW641" s="92"/>
      <c r="AX641" s="92"/>
      <c r="AY641" s="92"/>
      <c r="AZ641" s="92"/>
      <c r="BA641" s="92"/>
      <c r="BB641" s="92"/>
      <c r="BC641" s="92"/>
      <c r="BD641" s="92"/>
      <c r="BE641" s="92"/>
      <c r="BF641" s="92"/>
      <c r="BG641" s="92"/>
      <c r="BH641" s="92"/>
      <c r="BI641" s="92"/>
      <c r="BJ641" s="92"/>
      <c r="BK641" s="92"/>
      <c r="BL641" s="92"/>
      <c r="BM641" s="92"/>
      <c r="BN641" s="92"/>
      <c r="BO641" s="92"/>
      <c r="BP641" s="92"/>
      <c r="BQ641" s="92"/>
      <c r="BR641" s="92"/>
      <c r="BS641" s="92"/>
      <c r="BT641" s="92"/>
      <c r="BU641" s="92"/>
      <c r="BV641" s="92"/>
      <c r="BW641" s="92"/>
      <c r="BX641" s="92"/>
      <c r="BY641" s="92"/>
      <c r="BZ641" s="92"/>
      <c r="CA641" s="92"/>
      <c r="CB641" s="92"/>
      <c r="CC641" s="92"/>
      <c r="CD641" s="92"/>
      <c r="CE641" s="92"/>
      <c r="CF641" s="92"/>
      <c r="CG641" s="92"/>
      <c r="CH641" s="92"/>
      <c r="CI641" s="92"/>
      <c r="CJ641" s="92"/>
      <c r="CK641" s="92"/>
      <c r="CL641" s="92"/>
      <c r="CM641" s="92"/>
      <c r="CN641" s="92"/>
      <c r="CO641" s="92"/>
      <c r="CP641" s="92"/>
      <c r="CQ641" s="92"/>
      <c r="CR641" s="92"/>
      <c r="CS641" s="92"/>
      <c r="CT641" s="92"/>
      <c r="CU641" s="92"/>
      <c r="CV641" s="92"/>
      <c r="CW641" s="92"/>
      <c r="CX641" s="92"/>
      <c r="CY641" s="92"/>
      <c r="CZ641" s="92"/>
      <c r="DA641" s="92"/>
      <c r="DB641" s="92"/>
      <c r="DC641" s="92"/>
      <c r="DD641" s="92"/>
      <c r="DE641" s="92"/>
      <c r="DF641" s="92"/>
      <c r="DG641" s="92"/>
      <c r="DH641" s="92"/>
      <c r="DI641" s="92"/>
      <c r="DJ641" s="92"/>
      <c r="DK641" s="92"/>
      <c r="DL641" s="92"/>
      <c r="DM641" s="92"/>
      <c r="DN641" s="92"/>
      <c r="DO641" s="92"/>
      <c r="DP641" s="92"/>
      <c r="DQ641" s="92"/>
      <c r="DR641" s="92"/>
      <c r="DS641" s="92"/>
      <c r="DT641" s="92"/>
      <c r="DU641" s="92"/>
      <c r="DV641" s="92"/>
      <c r="DW641" s="92"/>
      <c r="DX641" s="92"/>
      <c r="DY641" s="92"/>
      <c r="DZ641" s="92"/>
      <c r="EA641" s="92"/>
      <c r="EB641" s="92"/>
      <c r="EC641" s="92"/>
      <c r="ED641" s="92"/>
      <c r="EE641" s="92"/>
      <c r="EF641" s="92"/>
      <c r="EG641" s="92"/>
      <c r="EH641" s="92"/>
      <c r="EI641" s="92"/>
      <c r="EJ641" s="92"/>
      <c r="EK641" s="92"/>
      <c r="EL641" s="92"/>
      <c r="EM641" s="92"/>
      <c r="EN641" s="92"/>
      <c r="EO641" s="92"/>
      <c r="EP641" s="92"/>
      <c r="EQ641" s="92"/>
      <c r="ER641" s="92"/>
      <c r="ES641" s="92"/>
      <c r="ET641" s="92"/>
      <c r="EU641" s="92"/>
      <c r="EV641" s="92"/>
      <c r="EW641" s="92"/>
      <c r="EX641" s="92"/>
      <c r="EY641" s="92"/>
      <c r="EZ641" s="92"/>
      <c r="FA641" s="92"/>
      <c r="FB641" s="92"/>
      <c r="FC641" s="92"/>
      <c r="FD641" s="92"/>
      <c r="FE641" s="92"/>
      <c r="FF641" s="92"/>
      <c r="FG641" s="92"/>
      <c r="FH641" s="92"/>
    </row>
    <row r="642">
      <c r="A642" s="48" t="s">
        <v>28</v>
      </c>
      <c r="B642" s="48" t="s">
        <v>105</v>
      </c>
      <c r="C642" s="48" t="s">
        <v>15</v>
      </c>
      <c r="D642" s="99">
        <f t="shared" si="1"/>
        <v>4658.82428</v>
      </c>
      <c r="E642" s="92">
        <f>(SUBSTITUTE(Audio!E642, "RE-", "", 1))*1</f>
        <v>0</v>
      </c>
      <c r="F642" s="92">
        <f>(SUBSTITUTE(Audio!F642, "RE-", "", 1))*1</f>
        <v>402.406</v>
      </c>
      <c r="G642" s="92">
        <f>(SUBSTITUTE(Audio!G642, "RE-", "", 1))*1</f>
        <v>2.32075</v>
      </c>
      <c r="H642" s="92">
        <f>(SUBSTITUTE(Audio!H642, "RE-", "", 1))*1</f>
        <v>107.072</v>
      </c>
      <c r="I642" s="92">
        <f>(SUBSTITUTE(Audio!I642, "RE-", "", 1))*1</f>
        <v>0</v>
      </c>
      <c r="J642" s="92">
        <f>(SUBSTITUTE(Audio!J642, "RE-", "", 1))*1</f>
        <v>5.02983</v>
      </c>
      <c r="K642" s="92">
        <f>(SUBSTITUTE(Audio!K642, "RE-", "", 1))*1</f>
        <v>0</v>
      </c>
      <c r="L642" s="92">
        <f>(SUBSTITUTE(Audio!L642, "RE-", "", 1))*1</f>
        <v>665.314</v>
      </c>
      <c r="M642" s="92">
        <f>(SUBSTITUTE(Audio!M642, "RE-", "", 1))*1</f>
        <v>0.3286</v>
      </c>
      <c r="N642" s="92">
        <f>(SUBSTITUTE(Audio!N642, "RE-", "", 1))*1</f>
        <v>1005.7</v>
      </c>
      <c r="O642" s="92">
        <f>(SUBSTITUTE(Audio!O642, "RE-", "", 1))*1</f>
        <v>2.68932</v>
      </c>
      <c r="P642" s="92">
        <f>(SUBSTITUTE(Audio!P642, "RE-", "", 1))*1</f>
        <v>1006.68</v>
      </c>
      <c r="Q642" s="92">
        <f>(SUBSTITUTE(Audio!Q642, "RE-", "", 1))*1</f>
        <v>25.2569</v>
      </c>
      <c r="R642" s="92">
        <f>(SUBSTITUTE(Audio!R642, "RE-", "", 1))*1</f>
        <v>934.171</v>
      </c>
      <c r="S642" s="92">
        <f>(SUBSTITUTE(Audio!S642, "RE-", "", 1))*1</f>
        <v>29.3083</v>
      </c>
      <c r="T642" s="92">
        <f>(SUBSTITUTE(Audio!T642, "RE-", "", 1))*1</f>
        <v>430.957</v>
      </c>
      <c r="U642" s="92">
        <f>(SUBSTITUTE(Audio!U642, "RE-", "", 1))*1</f>
        <v>35.1431</v>
      </c>
      <c r="V642" s="92">
        <f>(SUBSTITUTE(Audio!V642, "RE-", "", 1))*1</f>
        <v>6.44748</v>
      </c>
      <c r="W642" s="92">
        <f>(SUBSTITUTE(Audio!W642, "RE-", "", 1))*1</f>
        <v>0</v>
      </c>
      <c r="X642" s="92">
        <f>(SUBSTITUTE(Audio!X642, "RE-", "", 1))*1</f>
        <v>0</v>
      </c>
      <c r="Y642" s="92">
        <f>(SUBSTITUTE(Audio!Y642, "RE-", "", 1))*1</f>
        <v>0</v>
      </c>
      <c r="Z642" s="92">
        <f>(SUBSTITUTE(Audio!Z642, "RE-", "", 1))*1</f>
        <v>0</v>
      </c>
      <c r="AA642" s="92"/>
      <c r="AB642" s="92"/>
      <c r="AC642" s="92"/>
      <c r="AD642" s="92"/>
      <c r="AE642" s="92"/>
      <c r="AF642" s="92"/>
      <c r="AG642" s="92"/>
      <c r="AH642" s="92"/>
      <c r="AI642" s="92"/>
      <c r="AJ642" s="92"/>
      <c r="AK642" s="92"/>
      <c r="AL642" s="92"/>
      <c r="AM642" s="92"/>
      <c r="AN642" s="92"/>
      <c r="AO642" s="92"/>
      <c r="AP642" s="92"/>
      <c r="AQ642" s="92"/>
      <c r="AR642" s="92"/>
      <c r="AS642" s="92"/>
      <c r="AT642" s="92"/>
      <c r="AU642" s="92"/>
      <c r="AV642" s="92"/>
      <c r="AW642" s="92"/>
      <c r="AX642" s="92"/>
      <c r="AY642" s="92"/>
      <c r="AZ642" s="92"/>
      <c r="BA642" s="92"/>
      <c r="BB642" s="92"/>
      <c r="BC642" s="92"/>
      <c r="BD642" s="92"/>
      <c r="BE642" s="92"/>
      <c r="BF642" s="92"/>
      <c r="BG642" s="92"/>
      <c r="BH642" s="92"/>
      <c r="BI642" s="92"/>
      <c r="BJ642" s="92"/>
      <c r="BK642" s="92"/>
      <c r="BL642" s="92"/>
      <c r="BM642" s="92"/>
      <c r="BN642" s="92"/>
      <c r="BO642" s="92"/>
      <c r="BP642" s="92"/>
      <c r="BQ642" s="92"/>
      <c r="BR642" s="92"/>
      <c r="BS642" s="92"/>
      <c r="BT642" s="92"/>
      <c r="BU642" s="92"/>
      <c r="BV642" s="92"/>
      <c r="BW642" s="92"/>
      <c r="BX642" s="92"/>
      <c r="BY642" s="92"/>
      <c r="BZ642" s="92"/>
      <c r="CA642" s="92"/>
      <c r="CB642" s="92"/>
      <c r="CC642" s="92"/>
      <c r="CD642" s="92"/>
      <c r="CE642" s="92"/>
      <c r="CF642" s="92"/>
      <c r="CG642" s="92"/>
      <c r="CH642" s="92"/>
      <c r="CI642" s="92"/>
      <c r="CJ642" s="92"/>
      <c r="CK642" s="92"/>
      <c r="CL642" s="92"/>
      <c r="CM642" s="92"/>
      <c r="CN642" s="92"/>
      <c r="CO642" s="92"/>
      <c r="CP642" s="92"/>
      <c r="CQ642" s="92"/>
      <c r="CR642" s="92"/>
      <c r="CS642" s="92"/>
      <c r="CT642" s="92"/>
      <c r="CU642" s="92"/>
      <c r="CV642" s="92"/>
      <c r="CW642" s="92"/>
      <c r="CX642" s="92"/>
      <c r="CY642" s="92"/>
      <c r="CZ642" s="92"/>
      <c r="DA642" s="92"/>
      <c r="DB642" s="92"/>
      <c r="DC642" s="92"/>
      <c r="DD642" s="92"/>
      <c r="DE642" s="92"/>
      <c r="DF642" s="92"/>
      <c r="DG642" s="92"/>
      <c r="DH642" s="92"/>
      <c r="DI642" s="92"/>
      <c r="DJ642" s="92"/>
      <c r="DK642" s="92"/>
      <c r="DL642" s="92"/>
      <c r="DM642" s="92"/>
      <c r="DN642" s="92"/>
      <c r="DO642" s="92"/>
      <c r="DP642" s="92"/>
      <c r="DQ642" s="92"/>
      <c r="DR642" s="92"/>
      <c r="DS642" s="92"/>
      <c r="DT642" s="92"/>
      <c r="DU642" s="92"/>
      <c r="DV642" s="92"/>
      <c r="DW642" s="92"/>
      <c r="DX642" s="92"/>
      <c r="DY642" s="92"/>
      <c r="DZ642" s="92"/>
      <c r="EA642" s="92"/>
      <c r="EB642" s="92"/>
      <c r="EC642" s="92"/>
      <c r="ED642" s="92"/>
      <c r="EE642" s="92"/>
      <c r="EF642" s="92"/>
      <c r="EG642" s="92"/>
      <c r="EH642" s="92"/>
      <c r="EI642" s="92"/>
      <c r="EJ642" s="92"/>
      <c r="EK642" s="92"/>
      <c r="EL642" s="92"/>
      <c r="EM642" s="92"/>
      <c r="EN642" s="92"/>
      <c r="EO642" s="92"/>
      <c r="EP642" s="92"/>
      <c r="EQ642" s="92"/>
      <c r="ER642" s="92"/>
      <c r="ES642" s="92"/>
      <c r="ET642" s="92"/>
      <c r="EU642" s="92"/>
      <c r="EV642" s="92"/>
      <c r="EW642" s="92"/>
      <c r="EX642" s="92"/>
      <c r="EY642" s="92"/>
      <c r="EZ642" s="92"/>
      <c r="FA642" s="92"/>
      <c r="FB642" s="92"/>
      <c r="FC642" s="92"/>
      <c r="FD642" s="92"/>
      <c r="FE642" s="92"/>
      <c r="FF642" s="92"/>
      <c r="FG642" s="92"/>
      <c r="FH642" s="92"/>
    </row>
    <row r="643">
      <c r="A643" s="43"/>
      <c r="B643" s="43"/>
      <c r="C643" s="43"/>
      <c r="D643" s="101">
        <f t="shared" si="1"/>
        <v>0</v>
      </c>
      <c r="E643" s="92">
        <f>(SUBSTITUTE(Audio!E643, "RE-", "", 1))*1</f>
        <v>0</v>
      </c>
      <c r="F643" s="92">
        <f>(SUBSTITUTE(Audio!F643, "RE-", "", 1))*1</f>
        <v>0</v>
      </c>
      <c r="G643" s="92">
        <f>(SUBSTITUTE(Audio!G643, "RE-", "", 1))*1</f>
        <v>0</v>
      </c>
      <c r="H643" s="92">
        <f>(SUBSTITUTE(Audio!H643, "RE-", "", 1))*1</f>
        <v>0</v>
      </c>
      <c r="I643" s="92">
        <f>(SUBSTITUTE(Audio!I643, "RE-", "", 1))*1</f>
        <v>0</v>
      </c>
      <c r="J643" s="92">
        <f>(SUBSTITUTE(Audio!J643, "RE-", "", 1))*1</f>
        <v>0</v>
      </c>
      <c r="K643" s="92">
        <f>(SUBSTITUTE(Audio!K643, "RE-", "", 1))*1</f>
        <v>0</v>
      </c>
      <c r="L643" s="92">
        <f>(SUBSTITUTE(Audio!L643, "RE-", "", 1))*1</f>
        <v>0</v>
      </c>
      <c r="M643" s="92">
        <f>(SUBSTITUTE(Audio!M643, "RE-", "", 1))*1</f>
        <v>0</v>
      </c>
      <c r="N643" s="92">
        <f>(SUBSTITUTE(Audio!N643, "RE-", "", 1))*1</f>
        <v>0</v>
      </c>
      <c r="O643" s="92">
        <f>(SUBSTITUTE(Audio!O643, "RE-", "", 1))*1</f>
        <v>0</v>
      </c>
      <c r="P643" s="92">
        <f>(SUBSTITUTE(Audio!P643, "RE-", "", 1))*1</f>
        <v>0</v>
      </c>
      <c r="Q643" s="92">
        <f>(SUBSTITUTE(Audio!Q643, "RE-", "", 1))*1</f>
        <v>0</v>
      </c>
      <c r="R643" s="92">
        <f>(SUBSTITUTE(Audio!R643, "RE-", "", 1))*1</f>
        <v>0</v>
      </c>
      <c r="S643" s="92">
        <f>(SUBSTITUTE(Audio!S643, "RE-", "", 1))*1</f>
        <v>0</v>
      </c>
      <c r="T643" s="92">
        <f>(SUBSTITUTE(Audio!T643, "RE-", "", 1))*1</f>
        <v>0</v>
      </c>
      <c r="U643" s="92">
        <f>(SUBSTITUTE(Audio!U643, "RE-", "", 1))*1</f>
        <v>0</v>
      </c>
      <c r="V643" s="92">
        <f>(SUBSTITUTE(Audio!V643, "RE-", "", 1))*1</f>
        <v>0</v>
      </c>
      <c r="W643" s="92">
        <f>(SUBSTITUTE(Audio!W643, "RE-", "", 1))*1</f>
        <v>0</v>
      </c>
      <c r="X643" s="92">
        <f>(SUBSTITUTE(Audio!X643, "RE-", "", 1))*1</f>
        <v>0</v>
      </c>
      <c r="Y643" s="92">
        <f>(SUBSTITUTE(Audio!Y643, "RE-", "", 1))*1</f>
        <v>0</v>
      </c>
      <c r="Z643" s="92">
        <f>(SUBSTITUTE(Audio!Z643, "RE-", "", 1))*1</f>
        <v>0</v>
      </c>
      <c r="AA643" s="92"/>
      <c r="AB643" s="92"/>
      <c r="AC643" s="92"/>
      <c r="AD643" s="92"/>
      <c r="AE643" s="92"/>
      <c r="AF643" s="92"/>
      <c r="AG643" s="92"/>
      <c r="AH643" s="92"/>
      <c r="AI643" s="92"/>
      <c r="AJ643" s="92"/>
      <c r="AK643" s="92"/>
      <c r="AL643" s="92"/>
      <c r="AM643" s="92"/>
      <c r="AN643" s="92"/>
      <c r="AO643" s="92"/>
      <c r="AP643" s="92"/>
      <c r="AQ643" s="92"/>
      <c r="AR643" s="92"/>
      <c r="AS643" s="92"/>
      <c r="AT643" s="92"/>
      <c r="AU643" s="92"/>
      <c r="AV643" s="92"/>
      <c r="AW643" s="92"/>
      <c r="AX643" s="92"/>
      <c r="AY643" s="92"/>
      <c r="AZ643" s="92"/>
      <c r="BA643" s="92"/>
      <c r="BB643" s="92"/>
      <c r="BC643" s="92"/>
      <c r="BD643" s="92"/>
      <c r="BE643" s="92"/>
      <c r="BF643" s="92"/>
      <c r="BG643" s="92"/>
      <c r="BH643" s="92"/>
      <c r="BI643" s="92"/>
      <c r="BJ643" s="92"/>
      <c r="BK643" s="92"/>
      <c r="BL643" s="92"/>
      <c r="BM643" s="92"/>
      <c r="BN643" s="92"/>
      <c r="BO643" s="92"/>
      <c r="BP643" s="92"/>
      <c r="BQ643" s="92"/>
      <c r="BR643" s="92"/>
      <c r="BS643" s="92"/>
      <c r="BT643" s="92"/>
      <c r="BU643" s="92"/>
      <c r="BV643" s="92"/>
      <c r="BW643" s="92"/>
      <c r="BX643" s="92"/>
      <c r="BY643" s="92"/>
      <c r="BZ643" s="92"/>
      <c r="CA643" s="92"/>
      <c r="CB643" s="92"/>
      <c r="CC643" s="92"/>
      <c r="CD643" s="92"/>
      <c r="CE643" s="92"/>
      <c r="CF643" s="92"/>
      <c r="CG643" s="92"/>
      <c r="CH643" s="92"/>
      <c r="CI643" s="92"/>
      <c r="CJ643" s="92"/>
      <c r="CK643" s="92"/>
      <c r="CL643" s="92"/>
      <c r="CM643" s="92"/>
      <c r="CN643" s="92"/>
      <c r="CO643" s="92"/>
      <c r="CP643" s="92"/>
      <c r="CQ643" s="92"/>
      <c r="CR643" s="92"/>
      <c r="CS643" s="92"/>
      <c r="CT643" s="92"/>
      <c r="CU643" s="92"/>
      <c r="CV643" s="92"/>
      <c r="CW643" s="92"/>
      <c r="CX643" s="92"/>
      <c r="CY643" s="92"/>
      <c r="CZ643" s="92"/>
      <c r="DA643" s="92"/>
      <c r="DB643" s="92"/>
      <c r="DC643" s="92"/>
      <c r="DD643" s="92"/>
      <c r="DE643" s="92"/>
      <c r="DF643" s="92"/>
      <c r="DG643" s="92"/>
      <c r="DH643" s="92"/>
      <c r="DI643" s="92"/>
      <c r="DJ643" s="92"/>
      <c r="DK643" s="92"/>
      <c r="DL643" s="92"/>
      <c r="DM643" s="92"/>
      <c r="DN643" s="92"/>
      <c r="DO643" s="92"/>
      <c r="DP643" s="92"/>
      <c r="DQ643" s="92"/>
      <c r="DR643" s="92"/>
      <c r="DS643" s="92"/>
      <c r="DT643" s="92"/>
      <c r="DU643" s="92"/>
      <c r="DV643" s="92"/>
      <c r="DW643" s="92"/>
      <c r="DX643" s="92"/>
      <c r="DY643" s="92"/>
      <c r="DZ643" s="92"/>
      <c r="EA643" s="92"/>
      <c r="EB643" s="92"/>
      <c r="EC643" s="92"/>
      <c r="ED643" s="92"/>
      <c r="EE643" s="92"/>
      <c r="EF643" s="92"/>
      <c r="EG643" s="92"/>
      <c r="EH643" s="92"/>
      <c r="EI643" s="92"/>
      <c r="EJ643" s="92"/>
      <c r="EK643" s="92"/>
      <c r="EL643" s="92"/>
      <c r="EM643" s="92"/>
      <c r="EN643" s="92"/>
      <c r="EO643" s="92"/>
      <c r="EP643" s="92"/>
      <c r="EQ643" s="92"/>
      <c r="ER643" s="92"/>
      <c r="ES643" s="92"/>
      <c r="ET643" s="92"/>
      <c r="EU643" s="92"/>
      <c r="EV643" s="92"/>
      <c r="EW643" s="92"/>
      <c r="EX643" s="92"/>
      <c r="EY643" s="92"/>
      <c r="EZ643" s="92"/>
      <c r="FA643" s="92"/>
      <c r="FB643" s="92"/>
      <c r="FC643" s="92"/>
      <c r="FD643" s="92"/>
      <c r="FE643" s="92"/>
      <c r="FF643" s="92"/>
      <c r="FG643" s="92"/>
      <c r="FH643" s="92"/>
    </row>
    <row r="644">
      <c r="A644" s="43"/>
      <c r="B644" s="43"/>
      <c r="C644" s="43"/>
      <c r="D644" s="101">
        <f t="shared" si="1"/>
        <v>0</v>
      </c>
      <c r="E644" s="92">
        <f>(SUBSTITUTE(Audio!E644, "RE-", "", 1))*1</f>
        <v>0</v>
      </c>
      <c r="F644" s="92">
        <f>(SUBSTITUTE(Audio!F644, "RE-", "", 1))*1</f>
        <v>0</v>
      </c>
      <c r="G644" s="92">
        <f>(SUBSTITUTE(Audio!G644, "RE-", "", 1))*1</f>
        <v>0</v>
      </c>
      <c r="H644" s="92">
        <f>(SUBSTITUTE(Audio!H644, "RE-", "", 1))*1</f>
        <v>0</v>
      </c>
      <c r="I644" s="92">
        <f>(SUBSTITUTE(Audio!I644, "RE-", "", 1))*1</f>
        <v>0</v>
      </c>
      <c r="J644" s="92">
        <f>(SUBSTITUTE(Audio!J644, "RE-", "", 1))*1</f>
        <v>0</v>
      </c>
      <c r="K644" s="92">
        <f>(SUBSTITUTE(Audio!K644, "RE-", "", 1))*1</f>
        <v>0</v>
      </c>
      <c r="L644" s="92">
        <f>(SUBSTITUTE(Audio!L644, "RE-", "", 1))*1</f>
        <v>0</v>
      </c>
      <c r="M644" s="92">
        <f>(SUBSTITUTE(Audio!M644, "RE-", "", 1))*1</f>
        <v>0</v>
      </c>
      <c r="N644" s="92">
        <f>(SUBSTITUTE(Audio!N644, "RE-", "", 1))*1</f>
        <v>0</v>
      </c>
      <c r="O644" s="92">
        <f>(SUBSTITUTE(Audio!O644, "RE-", "", 1))*1</f>
        <v>0</v>
      </c>
      <c r="P644" s="92">
        <f>(SUBSTITUTE(Audio!P644, "RE-", "", 1))*1</f>
        <v>0</v>
      </c>
      <c r="Q644" s="92">
        <f>(SUBSTITUTE(Audio!Q644, "RE-", "", 1))*1</f>
        <v>0</v>
      </c>
      <c r="R644" s="92">
        <f>(SUBSTITUTE(Audio!R644, "RE-", "", 1))*1</f>
        <v>0</v>
      </c>
      <c r="S644" s="92">
        <f>(SUBSTITUTE(Audio!S644, "RE-", "", 1))*1</f>
        <v>0</v>
      </c>
      <c r="T644" s="92">
        <f>(SUBSTITUTE(Audio!T644, "RE-", "", 1))*1</f>
        <v>0</v>
      </c>
      <c r="U644" s="92">
        <f>(SUBSTITUTE(Audio!U644, "RE-", "", 1))*1</f>
        <v>0</v>
      </c>
      <c r="V644" s="92">
        <f>(SUBSTITUTE(Audio!V644, "RE-", "", 1))*1</f>
        <v>0</v>
      </c>
      <c r="W644" s="92">
        <f>(SUBSTITUTE(Audio!W644, "RE-", "", 1))*1</f>
        <v>0</v>
      </c>
      <c r="X644" s="92">
        <f>(SUBSTITUTE(Audio!X644, "RE-", "", 1))*1</f>
        <v>0</v>
      </c>
      <c r="Y644" s="92">
        <f>(SUBSTITUTE(Audio!Y644, "RE-", "", 1))*1</f>
        <v>0</v>
      </c>
      <c r="Z644" s="92">
        <f>(SUBSTITUTE(Audio!Z644, "RE-", "", 1))*1</f>
        <v>0</v>
      </c>
      <c r="AA644" s="92"/>
      <c r="AB644" s="92"/>
      <c r="AC644" s="92"/>
      <c r="AD644" s="92"/>
      <c r="AE644" s="92"/>
      <c r="AF644" s="92"/>
      <c r="AG644" s="92"/>
      <c r="AH644" s="92"/>
      <c r="AI644" s="92"/>
      <c r="AJ644" s="92"/>
      <c r="AK644" s="92"/>
      <c r="AL644" s="92"/>
      <c r="AM644" s="92"/>
      <c r="AN644" s="92"/>
      <c r="AO644" s="92"/>
      <c r="AP644" s="92"/>
      <c r="AQ644" s="92"/>
      <c r="AR644" s="92"/>
      <c r="AS644" s="92"/>
      <c r="AT644" s="92"/>
      <c r="AU644" s="92"/>
      <c r="AV644" s="92"/>
      <c r="AW644" s="92"/>
      <c r="AX644" s="92"/>
      <c r="AY644" s="92"/>
      <c r="AZ644" s="92"/>
      <c r="BA644" s="92"/>
      <c r="BB644" s="92"/>
      <c r="BC644" s="92"/>
      <c r="BD644" s="92"/>
      <c r="BE644" s="92"/>
      <c r="BF644" s="92"/>
      <c r="BG644" s="92"/>
      <c r="BH644" s="92"/>
      <c r="BI644" s="92"/>
      <c r="BJ644" s="92"/>
      <c r="BK644" s="92"/>
      <c r="BL644" s="92"/>
      <c r="BM644" s="92"/>
      <c r="BN644" s="92"/>
      <c r="BO644" s="92"/>
      <c r="BP644" s="92"/>
      <c r="BQ644" s="92"/>
      <c r="BR644" s="92"/>
      <c r="BS644" s="92"/>
      <c r="BT644" s="92"/>
      <c r="BU644" s="92"/>
      <c r="BV644" s="92"/>
      <c r="BW644" s="92"/>
      <c r="BX644" s="92"/>
      <c r="BY644" s="92"/>
      <c r="BZ644" s="92"/>
      <c r="CA644" s="92"/>
      <c r="CB644" s="92"/>
      <c r="CC644" s="92"/>
      <c r="CD644" s="92"/>
      <c r="CE644" s="92"/>
      <c r="CF644" s="92"/>
      <c r="CG644" s="92"/>
      <c r="CH644" s="92"/>
      <c r="CI644" s="92"/>
      <c r="CJ644" s="92"/>
      <c r="CK644" s="92"/>
      <c r="CL644" s="92"/>
      <c r="CM644" s="92"/>
      <c r="CN644" s="92"/>
      <c r="CO644" s="92"/>
      <c r="CP644" s="92"/>
      <c r="CQ644" s="92"/>
      <c r="CR644" s="92"/>
      <c r="CS644" s="92"/>
      <c r="CT644" s="92"/>
      <c r="CU644" s="92"/>
      <c r="CV644" s="92"/>
      <c r="CW644" s="92"/>
      <c r="CX644" s="92"/>
      <c r="CY644" s="92"/>
      <c r="CZ644" s="92"/>
      <c r="DA644" s="92"/>
      <c r="DB644" s="92"/>
      <c r="DC644" s="92"/>
      <c r="DD644" s="92"/>
      <c r="DE644" s="92"/>
      <c r="DF644" s="92"/>
      <c r="DG644" s="92"/>
      <c r="DH644" s="92"/>
      <c r="DI644" s="92"/>
      <c r="DJ644" s="92"/>
      <c r="DK644" s="92"/>
      <c r="DL644" s="92"/>
      <c r="DM644" s="92"/>
      <c r="DN644" s="92"/>
      <c r="DO644" s="92"/>
      <c r="DP644" s="92"/>
      <c r="DQ644" s="92"/>
      <c r="DR644" s="92"/>
      <c r="DS644" s="92"/>
      <c r="DT644" s="92"/>
      <c r="DU644" s="92"/>
      <c r="DV644" s="92"/>
      <c r="DW644" s="92"/>
      <c r="DX644" s="92"/>
      <c r="DY644" s="92"/>
      <c r="DZ644" s="92"/>
      <c r="EA644" s="92"/>
      <c r="EB644" s="92"/>
      <c r="EC644" s="92"/>
      <c r="ED644" s="92"/>
      <c r="EE644" s="92"/>
      <c r="EF644" s="92"/>
      <c r="EG644" s="92"/>
      <c r="EH644" s="92"/>
      <c r="EI644" s="92"/>
      <c r="EJ644" s="92"/>
      <c r="EK644" s="92"/>
      <c r="EL644" s="92"/>
      <c r="EM644" s="92"/>
      <c r="EN644" s="92"/>
      <c r="EO644" s="92"/>
      <c r="EP644" s="92"/>
      <c r="EQ644" s="92"/>
      <c r="ER644" s="92"/>
      <c r="ES644" s="92"/>
      <c r="ET644" s="92"/>
      <c r="EU644" s="92"/>
      <c r="EV644" s="92"/>
      <c r="EW644" s="92"/>
      <c r="EX644" s="92"/>
      <c r="EY644" s="92"/>
      <c r="EZ644" s="92"/>
      <c r="FA644" s="92"/>
      <c r="FB644" s="92"/>
      <c r="FC644" s="92"/>
      <c r="FD644" s="92"/>
      <c r="FE644" s="92"/>
      <c r="FF644" s="92"/>
      <c r="FG644" s="92"/>
      <c r="FH644" s="92"/>
    </row>
    <row r="645">
      <c r="A645" s="43"/>
      <c r="B645" s="43"/>
      <c r="C645" s="43"/>
      <c r="D645" s="43"/>
      <c r="F645" s="92" t="str">
        <f>(SUBSTITUTE(Audio!F645, "RE-", "", 1))</f>
        <v/>
      </c>
      <c r="G645" s="92"/>
      <c r="H645" s="92"/>
    </row>
    <row r="646">
      <c r="A646" s="43"/>
      <c r="B646" s="43"/>
      <c r="C646" s="43"/>
      <c r="D646" s="43"/>
      <c r="F646" s="92" t="str">
        <f>(SUBSTITUTE(Audio!F646, "RE-", "", 1))</f>
        <v/>
      </c>
      <c r="G646" s="92"/>
      <c r="H646" s="92"/>
    </row>
    <row r="647">
      <c r="A647" s="43"/>
      <c r="B647" s="43"/>
      <c r="C647" s="43"/>
      <c r="D647" s="43"/>
      <c r="F647" s="92" t="str">
        <f>(SUBSTITUTE(Audio!F647, "RE-", "", 1))</f>
        <v/>
      </c>
      <c r="G647" s="92"/>
      <c r="H647" s="92"/>
    </row>
    <row r="648">
      <c r="A648" s="43"/>
      <c r="B648" s="43"/>
      <c r="C648" s="43"/>
      <c r="D648" s="43"/>
      <c r="F648" s="92" t="str">
        <f>(SUBSTITUTE(Audio!F648, "RE-", "", 1))</f>
        <v/>
      </c>
      <c r="G648" s="92"/>
      <c r="H648" s="92"/>
    </row>
    <row r="649">
      <c r="A649" s="43"/>
      <c r="B649" s="43"/>
      <c r="C649" s="43"/>
      <c r="D649" s="43"/>
      <c r="F649" s="92" t="str">
        <f>(SUBSTITUTE(Audio!F649, "RE-", "", 1))</f>
        <v/>
      </c>
      <c r="G649" s="92"/>
      <c r="H649" s="92"/>
    </row>
    <row r="650">
      <c r="A650" s="43"/>
      <c r="B650" s="43"/>
      <c r="C650" s="43"/>
      <c r="D650" s="43"/>
      <c r="F650" s="92" t="str">
        <f>(SUBSTITUTE(Audio!F650, "RE-", "", 1))</f>
        <v/>
      </c>
      <c r="G650" s="92"/>
      <c r="H650" s="92"/>
    </row>
    <row r="651">
      <c r="A651" s="43"/>
      <c r="B651" s="43"/>
      <c r="C651" s="43"/>
      <c r="D651" s="43"/>
      <c r="F651" s="92" t="str">
        <f>(SUBSTITUTE(Audio!F651, "RE-", "", 1))</f>
        <v/>
      </c>
      <c r="G651" s="92"/>
      <c r="H651" s="92"/>
    </row>
    <row r="652">
      <c r="A652" s="43"/>
      <c r="B652" s="43"/>
      <c r="C652" s="43"/>
      <c r="D652" s="43"/>
      <c r="F652" s="92" t="str">
        <f>(SUBSTITUTE(Audio!F652, "RE-", "", 1))</f>
        <v/>
      </c>
      <c r="G652" s="92"/>
      <c r="H652" s="92"/>
    </row>
    <row r="653">
      <c r="A653" s="43"/>
      <c r="B653" s="43"/>
      <c r="C653" s="43"/>
      <c r="D653" s="43"/>
      <c r="F653" s="92" t="str">
        <f>(SUBSTITUTE(Audio!F653, "RE-", "", 1))</f>
        <v/>
      </c>
      <c r="G653" s="92"/>
      <c r="H653" s="92"/>
    </row>
    <row r="654">
      <c r="A654" s="43"/>
      <c r="B654" s="43"/>
      <c r="C654" s="43"/>
      <c r="D654" s="43"/>
      <c r="F654" s="92" t="str">
        <f>(SUBSTITUTE(Audio!F654, "RE-", "", 1))</f>
        <v/>
      </c>
      <c r="G654" s="92"/>
      <c r="H654" s="92"/>
    </row>
    <row r="655">
      <c r="A655" s="43"/>
      <c r="B655" s="43"/>
      <c r="C655" s="43"/>
      <c r="D655" s="43"/>
      <c r="F655" s="92" t="str">
        <f>(SUBSTITUTE(Audio!F655, "RE-", "", 1))</f>
        <v/>
      </c>
      <c r="G655" s="92"/>
      <c r="H655" s="92"/>
    </row>
    <row r="656">
      <c r="A656" s="43"/>
      <c r="B656" s="43"/>
      <c r="C656" s="43"/>
      <c r="D656" s="43"/>
      <c r="F656" s="92" t="str">
        <f>(SUBSTITUTE(Audio!F656, "RE-", "", 1))</f>
        <v/>
      </c>
      <c r="G656" s="92"/>
      <c r="H656" s="92"/>
    </row>
    <row r="657">
      <c r="A657" s="43"/>
      <c r="B657" s="43"/>
      <c r="C657" s="43"/>
      <c r="D657" s="43"/>
      <c r="F657" s="92" t="str">
        <f>(SUBSTITUTE(Audio!F657, "RE-", "", 1))</f>
        <v/>
      </c>
      <c r="G657" s="92"/>
      <c r="H657" s="92"/>
    </row>
    <row r="658">
      <c r="A658" s="43"/>
      <c r="B658" s="43"/>
      <c r="C658" s="43"/>
      <c r="D658" s="43"/>
      <c r="F658" s="92" t="str">
        <f>(SUBSTITUTE(Audio!F658, "RE-", "", 1))</f>
        <v/>
      </c>
      <c r="G658" s="92"/>
      <c r="H658" s="92"/>
    </row>
    <row r="659">
      <c r="A659" s="43"/>
      <c r="B659" s="43"/>
      <c r="C659" s="43"/>
      <c r="D659" s="43"/>
      <c r="F659" s="92" t="str">
        <f>(SUBSTITUTE(Audio!F659, "RE-", "", 1))</f>
        <v/>
      </c>
      <c r="G659" s="92"/>
      <c r="H659" s="92"/>
    </row>
    <row r="660">
      <c r="A660" s="43"/>
      <c r="B660" s="43"/>
      <c r="C660" s="43"/>
      <c r="D660" s="43"/>
      <c r="F660" s="92" t="str">
        <f>(SUBSTITUTE(Audio!F660, "RE-", "", 1))</f>
        <v/>
      </c>
      <c r="G660" s="92"/>
      <c r="H660" s="92"/>
    </row>
    <row r="661">
      <c r="A661" s="43"/>
      <c r="B661" s="43"/>
      <c r="C661" s="43"/>
      <c r="D661" s="43"/>
      <c r="F661" s="92" t="str">
        <f>(SUBSTITUTE(Audio!F661, "RE-", "", 1))</f>
        <v/>
      </c>
      <c r="G661" s="92"/>
      <c r="H661" s="92"/>
    </row>
    <row r="662">
      <c r="A662" s="43"/>
      <c r="B662" s="43"/>
      <c r="C662" s="43"/>
      <c r="D662" s="43"/>
      <c r="F662" s="92" t="str">
        <f>(SUBSTITUTE(Audio!F662, "RE-", "", 1))</f>
        <v/>
      </c>
      <c r="G662" s="92"/>
      <c r="H662" s="92"/>
    </row>
    <row r="663">
      <c r="A663" s="43"/>
      <c r="B663" s="43"/>
      <c r="C663" s="43"/>
      <c r="D663" s="43"/>
      <c r="F663" s="92" t="str">
        <f>(SUBSTITUTE(Audio!F663, "RE-", "", 1))</f>
        <v/>
      </c>
      <c r="G663" s="92"/>
      <c r="H663" s="92"/>
    </row>
    <row r="664">
      <c r="A664" s="43"/>
      <c r="B664" s="43"/>
      <c r="C664" s="43"/>
      <c r="D664" s="43"/>
      <c r="F664" s="92" t="str">
        <f>(SUBSTITUTE(Audio!F664, "RE-", "", 1))</f>
        <v/>
      </c>
      <c r="G664" s="92"/>
      <c r="H664" s="92"/>
    </row>
    <row r="665">
      <c r="A665" s="43"/>
      <c r="B665" s="43"/>
      <c r="C665" s="43"/>
      <c r="D665" s="43"/>
      <c r="F665" s="92"/>
      <c r="G665" s="92"/>
      <c r="H665" s="92"/>
    </row>
    <row r="666">
      <c r="A666" s="43"/>
      <c r="B666" s="43"/>
      <c r="C666" s="43"/>
      <c r="D666" s="43"/>
      <c r="F666" s="92"/>
      <c r="G666" s="92"/>
      <c r="H666" s="92"/>
    </row>
    <row r="667">
      <c r="A667" s="43"/>
      <c r="B667" s="43"/>
      <c r="C667" s="43"/>
      <c r="D667" s="43"/>
      <c r="F667" s="92"/>
      <c r="G667" s="92"/>
      <c r="H667" s="92"/>
    </row>
    <row r="668">
      <c r="A668" s="43"/>
      <c r="B668" s="43"/>
      <c r="C668" s="43"/>
      <c r="D668" s="43"/>
      <c r="F668" s="92"/>
      <c r="G668" s="92"/>
      <c r="H668" s="92"/>
    </row>
    <row r="669">
      <c r="A669" s="43"/>
      <c r="B669" s="43"/>
      <c r="C669" s="43"/>
      <c r="D669" s="43"/>
      <c r="F669" s="92"/>
      <c r="G669" s="92"/>
      <c r="H669" s="92"/>
    </row>
    <row r="670">
      <c r="A670" s="43"/>
      <c r="B670" s="43"/>
      <c r="C670" s="43"/>
      <c r="D670" s="43"/>
      <c r="F670" s="92"/>
      <c r="G670" s="92"/>
      <c r="H670" s="92"/>
    </row>
    <row r="671">
      <c r="A671" s="43"/>
      <c r="B671" s="43"/>
      <c r="C671" s="43"/>
      <c r="D671" s="43"/>
      <c r="F671" s="92"/>
      <c r="G671" s="92"/>
      <c r="H671" s="92"/>
    </row>
    <row r="672">
      <c r="A672" s="43"/>
      <c r="B672" s="43"/>
      <c r="C672" s="43"/>
      <c r="D672" s="43"/>
      <c r="F672" s="92"/>
      <c r="G672" s="92"/>
      <c r="H672" s="92"/>
    </row>
    <row r="673">
      <c r="A673" s="43"/>
      <c r="B673" s="43"/>
      <c r="C673" s="43"/>
      <c r="D673" s="43"/>
      <c r="F673" s="92"/>
      <c r="G673" s="92"/>
      <c r="H673" s="92"/>
    </row>
    <row r="674">
      <c r="A674" s="43"/>
      <c r="B674" s="43"/>
      <c r="C674" s="43"/>
      <c r="D674" s="43"/>
      <c r="F674" s="92"/>
      <c r="G674" s="92"/>
      <c r="H674" s="92"/>
    </row>
    <row r="675">
      <c r="A675" s="43"/>
      <c r="B675" s="43"/>
      <c r="C675" s="43"/>
      <c r="D675" s="43"/>
      <c r="F675" s="92"/>
      <c r="G675" s="92"/>
      <c r="H675" s="92"/>
    </row>
    <row r="676">
      <c r="A676" s="43"/>
      <c r="B676" s="43"/>
      <c r="C676" s="43"/>
      <c r="D676" s="43"/>
      <c r="F676" s="92"/>
      <c r="G676" s="92"/>
      <c r="H676" s="92"/>
    </row>
    <row r="677">
      <c r="A677" s="43"/>
      <c r="B677" s="43"/>
      <c r="C677" s="43"/>
      <c r="D677" s="43"/>
      <c r="F677" s="92"/>
      <c r="G677" s="92"/>
      <c r="H677" s="92"/>
    </row>
    <row r="678">
      <c r="A678" s="43"/>
      <c r="B678" s="43"/>
      <c r="C678" s="43"/>
      <c r="D678" s="43"/>
      <c r="F678" s="92"/>
      <c r="G678" s="92"/>
      <c r="H678" s="92"/>
    </row>
    <row r="679">
      <c r="A679" s="43"/>
      <c r="B679" s="43"/>
      <c r="C679" s="43"/>
      <c r="D679" s="43"/>
      <c r="F679" s="92"/>
      <c r="G679" s="92"/>
      <c r="H679" s="92"/>
    </row>
    <row r="680">
      <c r="A680" s="43"/>
      <c r="B680" s="43"/>
      <c r="C680" s="43"/>
      <c r="D680" s="43"/>
      <c r="F680" s="92"/>
      <c r="G680" s="92"/>
      <c r="H680" s="92"/>
    </row>
    <row r="681">
      <c r="A681" s="43"/>
      <c r="B681" s="43"/>
      <c r="C681" s="43"/>
      <c r="D681" s="43"/>
      <c r="F681" s="92"/>
      <c r="G681" s="92"/>
      <c r="H681" s="92"/>
    </row>
    <row r="682">
      <c r="A682" s="43"/>
      <c r="B682" s="43"/>
      <c r="C682" s="43"/>
      <c r="D682" s="43"/>
      <c r="F682" s="92"/>
      <c r="G682" s="92"/>
      <c r="H682" s="92"/>
    </row>
    <row r="683">
      <c r="A683" s="43"/>
      <c r="B683" s="43"/>
      <c r="C683" s="43"/>
      <c r="D683" s="43"/>
      <c r="F683" s="92"/>
      <c r="G683" s="92"/>
      <c r="H683" s="92"/>
    </row>
    <row r="684">
      <c r="A684" s="43"/>
      <c r="B684" s="43"/>
      <c r="C684" s="43"/>
      <c r="D684" s="43"/>
      <c r="F684" s="92"/>
      <c r="G684" s="92"/>
      <c r="H684" s="92"/>
    </row>
    <row r="685">
      <c r="A685" s="43"/>
      <c r="B685" s="43"/>
      <c r="C685" s="43"/>
      <c r="D685" s="43"/>
      <c r="F685" s="92"/>
      <c r="G685" s="92"/>
      <c r="H685" s="92"/>
    </row>
    <row r="686">
      <c r="A686" s="43"/>
      <c r="B686" s="43"/>
      <c r="C686" s="43"/>
      <c r="D686" s="43"/>
      <c r="F686" s="92"/>
      <c r="G686" s="92"/>
      <c r="H686" s="92"/>
    </row>
    <row r="687">
      <c r="A687" s="43"/>
      <c r="B687" s="43"/>
      <c r="C687" s="43"/>
      <c r="D687" s="43"/>
      <c r="F687" s="92"/>
      <c r="G687" s="92"/>
      <c r="H687" s="92"/>
    </row>
    <row r="688">
      <c r="A688" s="43"/>
      <c r="B688" s="43"/>
      <c r="C688" s="43"/>
      <c r="D688" s="43"/>
      <c r="F688" s="92"/>
      <c r="G688" s="92"/>
      <c r="H688" s="92"/>
    </row>
    <row r="689">
      <c r="A689" s="43"/>
      <c r="B689" s="43"/>
      <c r="C689" s="43"/>
      <c r="D689" s="43"/>
      <c r="F689" s="92"/>
      <c r="G689" s="92"/>
      <c r="H689" s="92"/>
    </row>
    <row r="690">
      <c r="A690" s="43"/>
      <c r="B690" s="43"/>
      <c r="C690" s="43"/>
      <c r="D690" s="43"/>
      <c r="F690" s="92"/>
      <c r="G690" s="92"/>
      <c r="H690" s="92"/>
    </row>
    <row r="691">
      <c r="A691" s="43"/>
      <c r="B691" s="43"/>
      <c r="C691" s="43"/>
      <c r="D691" s="43"/>
      <c r="F691" s="92"/>
      <c r="G691" s="92"/>
      <c r="H691" s="92"/>
    </row>
    <row r="692">
      <c r="A692" s="43"/>
      <c r="B692" s="43"/>
      <c r="C692" s="43"/>
      <c r="D692" s="43"/>
      <c r="F692" s="92"/>
      <c r="G692" s="92"/>
      <c r="H692" s="92"/>
    </row>
    <row r="693">
      <c r="A693" s="43"/>
      <c r="B693" s="43"/>
      <c r="C693" s="43"/>
      <c r="D693" s="43"/>
      <c r="F693" s="92"/>
      <c r="G693" s="92"/>
      <c r="H693" s="92"/>
    </row>
    <row r="694">
      <c r="A694" s="43"/>
      <c r="B694" s="43"/>
      <c r="C694" s="43"/>
      <c r="D694" s="43"/>
      <c r="F694" s="92"/>
      <c r="G694" s="92"/>
      <c r="H694" s="92"/>
    </row>
    <row r="695">
      <c r="A695" s="43"/>
      <c r="B695" s="43"/>
      <c r="C695" s="43"/>
      <c r="D695" s="43"/>
      <c r="F695" s="92"/>
      <c r="G695" s="92"/>
      <c r="H695" s="92"/>
    </row>
    <row r="696">
      <c r="A696" s="43"/>
      <c r="B696" s="43"/>
      <c r="C696" s="43"/>
      <c r="D696" s="43"/>
      <c r="F696" s="92"/>
      <c r="G696" s="92"/>
      <c r="H696" s="92"/>
    </row>
    <row r="697">
      <c r="A697" s="43"/>
      <c r="B697" s="43"/>
      <c r="C697" s="43"/>
      <c r="D697" s="43"/>
      <c r="F697" s="92"/>
      <c r="G697" s="92"/>
      <c r="H697" s="92"/>
    </row>
    <row r="698">
      <c r="A698" s="43"/>
      <c r="B698" s="43"/>
      <c r="C698" s="43"/>
      <c r="D698" s="43"/>
      <c r="F698" s="92"/>
      <c r="G698" s="92"/>
      <c r="H698" s="92"/>
    </row>
    <row r="699">
      <c r="A699" s="43"/>
      <c r="B699" s="43"/>
      <c r="C699" s="43"/>
      <c r="D699" s="43"/>
      <c r="F699" s="92"/>
      <c r="G699" s="92"/>
      <c r="H699" s="92"/>
    </row>
    <row r="700">
      <c r="A700" s="43"/>
      <c r="B700" s="43"/>
      <c r="C700" s="43"/>
      <c r="D700" s="43"/>
      <c r="F700" s="92"/>
      <c r="G700" s="92"/>
      <c r="H700" s="92"/>
    </row>
    <row r="701">
      <c r="A701" s="43"/>
      <c r="B701" s="43"/>
      <c r="C701" s="43"/>
      <c r="D701" s="43"/>
      <c r="F701" s="92"/>
      <c r="G701" s="92"/>
      <c r="H701" s="92"/>
    </row>
    <row r="702">
      <c r="A702" s="43"/>
      <c r="B702" s="43"/>
      <c r="C702" s="43"/>
      <c r="D702" s="43"/>
      <c r="F702" s="92"/>
      <c r="G702" s="92"/>
      <c r="H702" s="92"/>
    </row>
    <row r="703">
      <c r="A703" s="43"/>
      <c r="B703" s="43"/>
      <c r="C703" s="43"/>
      <c r="D703" s="43"/>
      <c r="F703" s="92"/>
      <c r="G703" s="92"/>
      <c r="H703" s="92"/>
    </row>
    <row r="704">
      <c r="A704" s="43"/>
      <c r="B704" s="43"/>
      <c r="C704" s="43"/>
      <c r="D704" s="43"/>
      <c r="F704" s="92"/>
      <c r="G704" s="92"/>
      <c r="H704" s="92"/>
    </row>
    <row r="705">
      <c r="A705" s="43"/>
      <c r="B705" s="43"/>
      <c r="C705" s="43"/>
      <c r="D705" s="43"/>
      <c r="F705" s="92"/>
      <c r="G705" s="92"/>
      <c r="H705" s="92"/>
    </row>
    <row r="706">
      <c r="A706" s="43"/>
      <c r="B706" s="43"/>
      <c r="C706" s="43"/>
      <c r="D706" s="43"/>
      <c r="F706" s="92"/>
      <c r="G706" s="92"/>
      <c r="H706" s="92"/>
    </row>
    <row r="707">
      <c r="A707" s="43"/>
      <c r="B707" s="43"/>
      <c r="C707" s="43"/>
      <c r="D707" s="43"/>
      <c r="F707" s="92"/>
      <c r="G707" s="92"/>
      <c r="H707" s="92"/>
    </row>
    <row r="708">
      <c r="A708" s="43"/>
      <c r="B708" s="43"/>
      <c r="C708" s="43"/>
      <c r="D708" s="43"/>
      <c r="F708" s="92"/>
      <c r="G708" s="92"/>
      <c r="H708" s="92"/>
    </row>
    <row r="709">
      <c r="A709" s="43"/>
      <c r="B709" s="43"/>
      <c r="C709" s="43"/>
      <c r="D709" s="43"/>
      <c r="F709" s="92"/>
      <c r="G709" s="92"/>
      <c r="H709" s="92"/>
    </row>
    <row r="710">
      <c r="A710" s="43"/>
      <c r="B710" s="43"/>
      <c r="C710" s="43"/>
      <c r="D710" s="43"/>
      <c r="F710" s="92"/>
      <c r="G710" s="92"/>
      <c r="H710" s="92"/>
    </row>
    <row r="711">
      <c r="A711" s="43"/>
      <c r="B711" s="43"/>
      <c r="C711" s="43"/>
      <c r="D711" s="43"/>
      <c r="F711" s="92"/>
      <c r="G711" s="92"/>
      <c r="H711" s="92"/>
    </row>
    <row r="712">
      <c r="A712" s="43"/>
      <c r="B712" s="43"/>
      <c r="C712" s="43"/>
      <c r="D712" s="43"/>
      <c r="F712" s="92"/>
      <c r="G712" s="92"/>
      <c r="H712" s="92"/>
    </row>
    <row r="713">
      <c r="A713" s="43"/>
      <c r="B713" s="43"/>
      <c r="C713" s="43"/>
      <c r="D713" s="43"/>
      <c r="F713" s="92"/>
      <c r="G713" s="92"/>
      <c r="H713" s="92"/>
    </row>
    <row r="714">
      <c r="A714" s="43"/>
      <c r="B714" s="43"/>
      <c r="C714" s="43"/>
      <c r="D714" s="43"/>
      <c r="F714" s="92"/>
      <c r="G714" s="92"/>
      <c r="H714" s="92"/>
    </row>
    <row r="715">
      <c r="A715" s="43"/>
      <c r="B715" s="43"/>
      <c r="C715" s="43"/>
      <c r="D715" s="43"/>
      <c r="F715" s="92"/>
      <c r="G715" s="92"/>
      <c r="H715" s="92"/>
    </row>
    <row r="716">
      <c r="A716" s="43"/>
      <c r="B716" s="43"/>
      <c r="C716" s="43"/>
      <c r="D716" s="43"/>
      <c r="F716" s="92"/>
      <c r="G716" s="92"/>
      <c r="H716" s="92"/>
    </row>
    <row r="717">
      <c r="A717" s="43"/>
      <c r="B717" s="43"/>
      <c r="C717" s="43"/>
      <c r="D717" s="43"/>
      <c r="F717" s="92"/>
      <c r="G717" s="92"/>
      <c r="H717" s="92"/>
    </row>
    <row r="718">
      <c r="A718" s="43"/>
      <c r="B718" s="43"/>
      <c r="C718" s="43"/>
      <c r="D718" s="43"/>
      <c r="F718" s="92"/>
      <c r="G718" s="92"/>
      <c r="H718" s="92"/>
    </row>
    <row r="719">
      <c r="A719" s="43"/>
      <c r="B719" s="43"/>
      <c r="C719" s="43"/>
      <c r="D719" s="43"/>
      <c r="F719" s="92"/>
      <c r="G719" s="92"/>
      <c r="H719" s="92"/>
    </row>
    <row r="720">
      <c r="A720" s="43"/>
      <c r="B720" s="43"/>
      <c r="C720" s="43"/>
      <c r="D720" s="43"/>
      <c r="F720" s="92"/>
      <c r="G720" s="92"/>
      <c r="H720" s="92"/>
    </row>
    <row r="721">
      <c r="A721" s="43"/>
      <c r="B721" s="43"/>
      <c r="C721" s="43"/>
      <c r="D721" s="43"/>
      <c r="F721" s="92"/>
      <c r="G721" s="92"/>
      <c r="H721" s="92"/>
    </row>
    <row r="722">
      <c r="A722" s="43"/>
      <c r="B722" s="43"/>
      <c r="C722" s="43"/>
      <c r="D722" s="43"/>
      <c r="F722" s="92"/>
      <c r="G722" s="92"/>
      <c r="H722" s="92"/>
    </row>
    <row r="723">
      <c r="A723" s="43"/>
      <c r="B723" s="43"/>
      <c r="C723" s="43"/>
      <c r="D723" s="43"/>
      <c r="F723" s="92"/>
      <c r="G723" s="92"/>
      <c r="H723" s="92"/>
    </row>
    <row r="724">
      <c r="A724" s="43"/>
      <c r="B724" s="43"/>
      <c r="C724" s="43"/>
      <c r="D724" s="43"/>
      <c r="F724" s="92"/>
      <c r="G724" s="92"/>
      <c r="H724" s="92"/>
    </row>
    <row r="725">
      <c r="A725" s="43"/>
      <c r="B725" s="43"/>
      <c r="C725" s="43"/>
      <c r="D725" s="43"/>
      <c r="F725" s="92"/>
      <c r="G725" s="92"/>
      <c r="H725" s="92"/>
    </row>
    <row r="726">
      <c r="A726" s="43"/>
      <c r="B726" s="43"/>
      <c r="C726" s="43"/>
      <c r="D726" s="43"/>
      <c r="F726" s="92"/>
      <c r="G726" s="92"/>
      <c r="H726" s="92"/>
    </row>
    <row r="727">
      <c r="A727" s="43"/>
      <c r="B727" s="43"/>
      <c r="C727" s="43"/>
      <c r="D727" s="43"/>
      <c r="F727" s="92"/>
      <c r="G727" s="92"/>
      <c r="H727" s="92"/>
    </row>
    <row r="728">
      <c r="A728" s="43"/>
      <c r="B728" s="43"/>
      <c r="C728" s="43"/>
      <c r="D728" s="43"/>
      <c r="F728" s="92"/>
      <c r="G728" s="92"/>
      <c r="H728" s="92"/>
    </row>
    <row r="729">
      <c r="A729" s="43"/>
      <c r="B729" s="43"/>
      <c r="C729" s="43"/>
      <c r="D729" s="43"/>
      <c r="F729" s="92"/>
      <c r="G729" s="92"/>
      <c r="H729" s="92"/>
    </row>
    <row r="730">
      <c r="A730" s="43"/>
      <c r="B730" s="43"/>
      <c r="C730" s="43"/>
      <c r="D730" s="43"/>
      <c r="F730" s="92"/>
      <c r="G730" s="92"/>
      <c r="H730" s="92"/>
    </row>
    <row r="731">
      <c r="A731" s="43"/>
      <c r="B731" s="43"/>
      <c r="C731" s="43"/>
      <c r="D731" s="43"/>
      <c r="F731" s="92"/>
      <c r="G731" s="92"/>
      <c r="H731" s="92"/>
    </row>
    <row r="732">
      <c r="A732" s="43"/>
      <c r="B732" s="43"/>
      <c r="C732" s="43"/>
      <c r="D732" s="43"/>
      <c r="F732" s="92"/>
      <c r="G732" s="92"/>
      <c r="H732" s="92"/>
    </row>
    <row r="733">
      <c r="A733" s="43"/>
      <c r="B733" s="43"/>
      <c r="C733" s="43"/>
      <c r="D733" s="43"/>
      <c r="F733" s="92"/>
      <c r="G733" s="92"/>
      <c r="H733" s="92"/>
    </row>
    <row r="734">
      <c r="A734" s="43"/>
      <c r="B734" s="43"/>
      <c r="C734" s="43"/>
      <c r="D734" s="43"/>
      <c r="F734" s="92"/>
      <c r="G734" s="92"/>
      <c r="H734" s="92"/>
    </row>
    <row r="735">
      <c r="A735" s="43"/>
      <c r="B735" s="43"/>
      <c r="C735" s="43"/>
      <c r="D735" s="43"/>
      <c r="F735" s="92"/>
      <c r="G735" s="92"/>
      <c r="H735" s="92"/>
    </row>
    <row r="736">
      <c r="A736" s="43"/>
      <c r="B736" s="43"/>
      <c r="C736" s="43"/>
      <c r="D736" s="43"/>
      <c r="F736" s="92"/>
      <c r="G736" s="92"/>
      <c r="H736" s="92"/>
    </row>
    <row r="737">
      <c r="A737" s="43"/>
      <c r="B737" s="43"/>
      <c r="C737" s="43"/>
      <c r="D737" s="43"/>
      <c r="F737" s="92"/>
      <c r="G737" s="92"/>
      <c r="H737" s="92"/>
    </row>
    <row r="738">
      <c r="A738" s="43"/>
      <c r="B738" s="43"/>
      <c r="C738" s="43"/>
      <c r="D738" s="43"/>
      <c r="F738" s="92"/>
      <c r="G738" s="92"/>
      <c r="H738" s="92"/>
    </row>
    <row r="739">
      <c r="A739" s="43"/>
      <c r="B739" s="43"/>
      <c r="C739" s="43"/>
      <c r="D739" s="43"/>
      <c r="F739" s="92"/>
      <c r="G739" s="92"/>
      <c r="H739" s="92"/>
    </row>
    <row r="740">
      <c r="A740" s="43"/>
      <c r="B740" s="43"/>
      <c r="C740" s="43"/>
      <c r="D740" s="43"/>
      <c r="F740" s="92"/>
      <c r="G740" s="92"/>
      <c r="H740" s="92"/>
    </row>
    <row r="741">
      <c r="A741" s="43"/>
      <c r="B741" s="43"/>
      <c r="C741" s="43"/>
      <c r="D741" s="43"/>
      <c r="F741" s="92"/>
      <c r="G741" s="92"/>
      <c r="H741" s="92"/>
    </row>
    <row r="742">
      <c r="A742" s="43"/>
      <c r="B742" s="43"/>
      <c r="C742" s="43"/>
      <c r="D742" s="43"/>
      <c r="F742" s="92"/>
      <c r="G742" s="92"/>
      <c r="H742" s="92"/>
    </row>
    <row r="743">
      <c r="A743" s="43"/>
      <c r="B743" s="43"/>
      <c r="C743" s="43"/>
      <c r="D743" s="43"/>
      <c r="F743" s="92"/>
      <c r="G743" s="92"/>
      <c r="H743" s="92"/>
    </row>
    <row r="744">
      <c r="A744" s="43"/>
      <c r="B744" s="43"/>
      <c r="C744" s="43"/>
      <c r="D744" s="43"/>
      <c r="F744" s="92"/>
      <c r="G744" s="92"/>
      <c r="H744" s="92"/>
    </row>
    <row r="745">
      <c r="A745" s="43"/>
      <c r="B745" s="43"/>
      <c r="C745" s="43"/>
      <c r="D745" s="43"/>
      <c r="F745" s="92"/>
      <c r="G745" s="92"/>
      <c r="H745" s="92"/>
    </row>
    <row r="746">
      <c r="A746" s="43"/>
      <c r="B746" s="43"/>
      <c r="C746" s="43"/>
      <c r="D746" s="43"/>
      <c r="F746" s="92"/>
      <c r="G746" s="92"/>
      <c r="H746" s="92"/>
    </row>
    <row r="747">
      <c r="A747" s="43"/>
      <c r="B747" s="43"/>
      <c r="C747" s="43"/>
      <c r="D747" s="43"/>
      <c r="F747" s="92"/>
      <c r="G747" s="92"/>
      <c r="H747" s="92"/>
    </row>
    <row r="748">
      <c r="A748" s="43"/>
      <c r="B748" s="43"/>
      <c r="C748" s="43"/>
      <c r="D748" s="43"/>
      <c r="F748" s="92"/>
      <c r="G748" s="92"/>
      <c r="H748" s="92"/>
    </row>
    <row r="749">
      <c r="A749" s="43"/>
      <c r="B749" s="43"/>
      <c r="C749" s="43"/>
      <c r="D749" s="43"/>
      <c r="F749" s="92"/>
      <c r="G749" s="92"/>
      <c r="H749" s="92"/>
    </row>
    <row r="750">
      <c r="A750" s="43"/>
      <c r="B750" s="43"/>
      <c r="C750" s="43"/>
      <c r="D750" s="43"/>
      <c r="F750" s="92"/>
      <c r="G750" s="92"/>
      <c r="H750" s="92"/>
    </row>
    <row r="751">
      <c r="A751" s="43"/>
      <c r="B751" s="43"/>
      <c r="C751" s="43"/>
      <c r="D751" s="43"/>
      <c r="F751" s="92"/>
      <c r="G751" s="92"/>
      <c r="H751" s="92"/>
    </row>
    <row r="752">
      <c r="A752" s="43"/>
      <c r="B752" s="43"/>
      <c r="C752" s="43"/>
      <c r="D752" s="43"/>
      <c r="F752" s="92"/>
      <c r="G752" s="92"/>
      <c r="H752" s="92"/>
    </row>
    <row r="753">
      <c r="A753" s="43"/>
      <c r="B753" s="43"/>
      <c r="C753" s="43"/>
      <c r="D753" s="43"/>
      <c r="F753" s="92"/>
      <c r="G753" s="92"/>
      <c r="H753" s="92"/>
    </row>
    <row r="754">
      <c r="A754" s="43"/>
      <c r="B754" s="43"/>
      <c r="C754" s="43"/>
      <c r="D754" s="43"/>
      <c r="F754" s="92"/>
      <c r="G754" s="92"/>
      <c r="H754" s="92"/>
    </row>
    <row r="755">
      <c r="A755" s="43"/>
      <c r="B755" s="43"/>
      <c r="C755" s="43"/>
      <c r="D755" s="43"/>
      <c r="F755" s="92"/>
      <c r="G755" s="92"/>
      <c r="H755" s="92"/>
    </row>
    <row r="756">
      <c r="A756" s="43"/>
      <c r="B756" s="43"/>
      <c r="C756" s="43"/>
      <c r="D756" s="43"/>
      <c r="F756" s="92"/>
      <c r="G756" s="92"/>
      <c r="H756" s="92"/>
    </row>
    <row r="757">
      <c r="A757" s="43"/>
      <c r="B757" s="43"/>
      <c r="C757" s="43"/>
      <c r="D757" s="43"/>
      <c r="F757" s="92"/>
      <c r="G757" s="92"/>
      <c r="H757" s="92"/>
    </row>
    <row r="758">
      <c r="A758" s="43"/>
      <c r="B758" s="43"/>
      <c r="C758" s="43"/>
      <c r="D758" s="43"/>
      <c r="F758" s="92"/>
      <c r="G758" s="92"/>
      <c r="H758" s="92"/>
    </row>
    <row r="759">
      <c r="A759" s="43"/>
      <c r="B759" s="43"/>
      <c r="C759" s="43"/>
      <c r="D759" s="43"/>
      <c r="F759" s="92"/>
      <c r="G759" s="92"/>
      <c r="H759" s="92"/>
    </row>
    <row r="760">
      <c r="A760" s="43"/>
      <c r="B760" s="43"/>
      <c r="C760" s="43"/>
      <c r="D760" s="43"/>
      <c r="F760" s="92"/>
      <c r="G760" s="92"/>
      <c r="H760" s="92"/>
    </row>
    <row r="761">
      <c r="A761" s="43"/>
      <c r="B761" s="43"/>
      <c r="C761" s="43"/>
      <c r="D761" s="43"/>
      <c r="F761" s="92"/>
      <c r="G761" s="92"/>
      <c r="H761" s="92"/>
    </row>
    <row r="762">
      <c r="A762" s="43"/>
      <c r="B762" s="43"/>
      <c r="C762" s="43"/>
      <c r="D762" s="43"/>
      <c r="F762" s="92"/>
      <c r="G762" s="92"/>
      <c r="H762" s="92"/>
    </row>
    <row r="763">
      <c r="A763" s="43"/>
      <c r="B763" s="43"/>
      <c r="C763" s="43"/>
      <c r="D763" s="43"/>
      <c r="F763" s="92"/>
      <c r="G763" s="92"/>
      <c r="H763" s="92"/>
    </row>
    <row r="764">
      <c r="A764" s="43"/>
      <c r="B764" s="43"/>
      <c r="C764" s="43"/>
      <c r="D764" s="43"/>
      <c r="F764" s="92"/>
      <c r="G764" s="92"/>
      <c r="H764" s="92"/>
    </row>
    <row r="765">
      <c r="A765" s="43"/>
      <c r="B765" s="43"/>
      <c r="C765" s="43"/>
      <c r="D765" s="43"/>
      <c r="F765" s="92"/>
      <c r="G765" s="92"/>
      <c r="H765" s="92"/>
    </row>
    <row r="766">
      <c r="A766" s="43"/>
      <c r="B766" s="43"/>
      <c r="C766" s="43"/>
      <c r="D766" s="43"/>
      <c r="F766" s="92"/>
      <c r="G766" s="92"/>
      <c r="H766" s="92"/>
    </row>
    <row r="767">
      <c r="A767" s="43"/>
      <c r="B767" s="43"/>
      <c r="C767" s="43"/>
      <c r="D767" s="43"/>
      <c r="F767" s="92"/>
      <c r="G767" s="92"/>
      <c r="H767" s="92"/>
    </row>
    <row r="768">
      <c r="A768" s="43"/>
      <c r="B768" s="43"/>
      <c r="C768" s="43"/>
      <c r="D768" s="43"/>
      <c r="F768" s="92"/>
      <c r="G768" s="92"/>
      <c r="H768" s="92"/>
    </row>
    <row r="769">
      <c r="A769" s="43"/>
      <c r="B769" s="43"/>
      <c r="C769" s="43"/>
      <c r="D769" s="43"/>
      <c r="F769" s="92"/>
      <c r="G769" s="92"/>
      <c r="H769" s="92"/>
    </row>
    <row r="770">
      <c r="A770" s="43"/>
      <c r="B770" s="43"/>
      <c r="C770" s="43"/>
      <c r="D770" s="43"/>
      <c r="F770" s="92"/>
      <c r="G770" s="92"/>
      <c r="H770" s="92"/>
    </row>
    <row r="771">
      <c r="A771" s="43"/>
      <c r="B771" s="43"/>
      <c r="C771" s="43"/>
      <c r="D771" s="43"/>
      <c r="F771" s="92"/>
      <c r="G771" s="92"/>
      <c r="H771" s="92"/>
    </row>
    <row r="772">
      <c r="A772" s="43"/>
      <c r="B772" s="43"/>
      <c r="C772" s="43"/>
      <c r="D772" s="43"/>
      <c r="F772" s="92"/>
      <c r="G772" s="92"/>
      <c r="H772" s="92"/>
    </row>
    <row r="773">
      <c r="A773" s="43"/>
      <c r="B773" s="43"/>
      <c r="C773" s="43"/>
      <c r="D773" s="43"/>
      <c r="F773" s="92"/>
      <c r="G773" s="92"/>
      <c r="H773" s="92"/>
    </row>
    <row r="774">
      <c r="A774" s="43"/>
      <c r="B774" s="43"/>
      <c r="C774" s="43"/>
      <c r="D774" s="43"/>
      <c r="F774" s="92"/>
      <c r="G774" s="92"/>
      <c r="H774" s="92"/>
    </row>
    <row r="775">
      <c r="A775" s="43"/>
      <c r="B775" s="43"/>
      <c r="C775" s="43"/>
      <c r="D775" s="43"/>
      <c r="F775" s="92"/>
      <c r="G775" s="92"/>
      <c r="H775" s="92"/>
    </row>
    <row r="776">
      <c r="A776" s="43"/>
      <c r="B776" s="43"/>
      <c r="C776" s="43"/>
      <c r="D776" s="43"/>
      <c r="F776" s="92"/>
      <c r="G776" s="92"/>
      <c r="H776" s="92"/>
    </row>
    <row r="777">
      <c r="A777" s="43"/>
      <c r="B777" s="43"/>
      <c r="C777" s="43"/>
      <c r="D777" s="43"/>
      <c r="F777" s="92"/>
      <c r="G777" s="92"/>
      <c r="H777" s="92"/>
    </row>
    <row r="778">
      <c r="A778" s="43"/>
      <c r="B778" s="43"/>
      <c r="C778" s="43"/>
      <c r="D778" s="43"/>
      <c r="F778" s="92"/>
      <c r="G778" s="92"/>
      <c r="H778" s="92"/>
    </row>
    <row r="779">
      <c r="A779" s="43"/>
      <c r="B779" s="43"/>
      <c r="C779" s="43"/>
      <c r="D779" s="43"/>
      <c r="F779" s="92"/>
      <c r="G779" s="92"/>
      <c r="H779" s="92"/>
    </row>
    <row r="780">
      <c r="A780" s="43"/>
      <c r="B780" s="43"/>
      <c r="C780" s="43"/>
      <c r="D780" s="43"/>
      <c r="F780" s="92"/>
      <c r="G780" s="92"/>
      <c r="H780" s="92"/>
    </row>
    <row r="781">
      <c r="A781" s="43"/>
      <c r="B781" s="43"/>
      <c r="C781" s="43"/>
      <c r="D781" s="43"/>
      <c r="F781" s="92"/>
      <c r="G781" s="92"/>
      <c r="H781" s="92"/>
    </row>
    <row r="782">
      <c r="A782" s="43"/>
      <c r="B782" s="43"/>
      <c r="C782" s="43"/>
      <c r="D782" s="43"/>
      <c r="F782" s="92"/>
      <c r="G782" s="92"/>
      <c r="H782" s="92"/>
    </row>
    <row r="783">
      <c r="A783" s="43"/>
      <c r="B783" s="43"/>
      <c r="C783" s="43"/>
      <c r="D783" s="43"/>
      <c r="F783" s="92"/>
      <c r="G783" s="92"/>
      <c r="H783" s="92"/>
    </row>
    <row r="784">
      <c r="A784" s="43"/>
      <c r="B784" s="43"/>
      <c r="C784" s="43"/>
      <c r="D784" s="43"/>
      <c r="F784" s="92"/>
      <c r="G784" s="92"/>
      <c r="H784" s="92"/>
    </row>
    <row r="785">
      <c r="A785" s="43"/>
      <c r="B785" s="43"/>
      <c r="C785" s="43"/>
      <c r="D785" s="43"/>
      <c r="F785" s="92"/>
      <c r="G785" s="92"/>
      <c r="H785" s="92"/>
    </row>
    <row r="786">
      <c r="A786" s="43"/>
      <c r="B786" s="43"/>
      <c r="C786" s="43"/>
      <c r="D786" s="43"/>
      <c r="F786" s="92"/>
      <c r="G786" s="92"/>
      <c r="H786" s="92"/>
    </row>
    <row r="787">
      <c r="A787" s="43"/>
      <c r="B787" s="43"/>
      <c r="C787" s="43"/>
      <c r="D787" s="43"/>
      <c r="F787" s="92"/>
      <c r="G787" s="92"/>
      <c r="H787" s="92"/>
    </row>
    <row r="788">
      <c r="A788" s="43"/>
      <c r="B788" s="43"/>
      <c r="C788" s="43"/>
      <c r="D788" s="43"/>
      <c r="F788" s="92"/>
      <c r="G788" s="92"/>
      <c r="H788" s="92"/>
    </row>
    <row r="789">
      <c r="A789" s="43"/>
      <c r="B789" s="43"/>
      <c r="C789" s="43"/>
      <c r="D789" s="43"/>
      <c r="F789" s="92"/>
      <c r="G789" s="92"/>
      <c r="H789" s="92"/>
    </row>
    <row r="790">
      <c r="A790" s="43"/>
      <c r="B790" s="43"/>
      <c r="C790" s="43"/>
      <c r="D790" s="43"/>
      <c r="F790" s="92"/>
      <c r="G790" s="92"/>
      <c r="H790" s="92"/>
    </row>
    <row r="791">
      <c r="A791" s="43"/>
      <c r="B791" s="43"/>
      <c r="C791" s="43"/>
      <c r="D791" s="43"/>
      <c r="F791" s="92"/>
      <c r="G791" s="92"/>
      <c r="H791" s="92"/>
    </row>
    <row r="792">
      <c r="A792" s="43"/>
      <c r="B792" s="43"/>
      <c r="C792" s="43"/>
      <c r="D792" s="43"/>
      <c r="F792" s="92"/>
      <c r="G792" s="92"/>
      <c r="H792" s="92"/>
    </row>
    <row r="793">
      <c r="A793" s="43"/>
      <c r="B793" s="43"/>
      <c r="C793" s="43"/>
      <c r="D793" s="43"/>
      <c r="F793" s="92"/>
      <c r="G793" s="92"/>
      <c r="H793" s="92"/>
    </row>
    <row r="794">
      <c r="A794" s="43"/>
      <c r="B794" s="43"/>
      <c r="C794" s="43"/>
      <c r="D794" s="43"/>
      <c r="F794" s="92"/>
      <c r="G794" s="92"/>
      <c r="H794" s="92"/>
    </row>
    <row r="795">
      <c r="A795" s="43"/>
      <c r="B795" s="43"/>
      <c r="C795" s="43"/>
      <c r="D795" s="43"/>
      <c r="F795" s="92"/>
      <c r="G795" s="92"/>
      <c r="H795" s="92"/>
    </row>
    <row r="796">
      <c r="A796" s="43"/>
      <c r="B796" s="43"/>
      <c r="C796" s="43"/>
      <c r="D796" s="43"/>
      <c r="F796" s="92"/>
      <c r="G796" s="92"/>
      <c r="H796" s="92"/>
    </row>
    <row r="797">
      <c r="A797" s="43"/>
      <c r="B797" s="43"/>
      <c r="C797" s="43"/>
      <c r="D797" s="43"/>
      <c r="F797" s="92"/>
      <c r="G797" s="92"/>
      <c r="H797" s="92"/>
    </row>
    <row r="798">
      <c r="A798" s="43"/>
      <c r="B798" s="43"/>
      <c r="C798" s="43"/>
      <c r="D798" s="43"/>
      <c r="F798" s="92"/>
      <c r="G798" s="92"/>
      <c r="H798" s="92"/>
    </row>
    <row r="799">
      <c r="A799" s="43"/>
      <c r="B799" s="43"/>
      <c r="C799" s="43"/>
      <c r="D799" s="43"/>
      <c r="F799" s="92"/>
      <c r="G799" s="92"/>
      <c r="H799" s="92"/>
    </row>
    <row r="800">
      <c r="A800" s="43"/>
      <c r="B800" s="43"/>
      <c r="C800" s="43"/>
      <c r="D800" s="43"/>
      <c r="F800" s="92"/>
      <c r="G800" s="92"/>
      <c r="H800" s="92"/>
    </row>
    <row r="801">
      <c r="A801" s="43"/>
      <c r="B801" s="43"/>
      <c r="C801" s="43"/>
      <c r="D801" s="43"/>
      <c r="F801" s="92"/>
      <c r="G801" s="92"/>
      <c r="H801" s="92"/>
    </row>
    <row r="802">
      <c r="A802" s="43"/>
      <c r="B802" s="43"/>
      <c r="C802" s="43"/>
      <c r="D802" s="43"/>
      <c r="F802" s="92"/>
      <c r="G802" s="92"/>
      <c r="H802" s="92"/>
    </row>
    <row r="803">
      <c r="A803" s="43"/>
      <c r="B803" s="43"/>
      <c r="C803" s="43"/>
      <c r="D803" s="43"/>
      <c r="F803" s="92"/>
      <c r="G803" s="92"/>
      <c r="H803" s="92"/>
    </row>
    <row r="804">
      <c r="A804" s="43"/>
      <c r="B804" s="43"/>
      <c r="C804" s="43"/>
      <c r="D804" s="43"/>
      <c r="F804" s="92"/>
      <c r="G804" s="92"/>
      <c r="H804" s="92"/>
    </row>
    <row r="805">
      <c r="A805" s="43"/>
      <c r="B805" s="43"/>
      <c r="C805" s="43"/>
      <c r="D805" s="43"/>
      <c r="F805" s="92"/>
      <c r="G805" s="92"/>
      <c r="H805" s="92"/>
    </row>
    <row r="806">
      <c r="A806" s="43"/>
      <c r="B806" s="43"/>
      <c r="C806" s="43"/>
      <c r="D806" s="43"/>
      <c r="F806" s="92"/>
      <c r="G806" s="92"/>
      <c r="H806" s="92"/>
    </row>
    <row r="807">
      <c r="A807" s="43"/>
      <c r="B807" s="43"/>
      <c r="C807" s="43"/>
      <c r="D807" s="43"/>
      <c r="F807" s="92"/>
      <c r="G807" s="92"/>
      <c r="H807" s="92"/>
    </row>
    <row r="808">
      <c r="A808" s="43"/>
      <c r="B808" s="43"/>
      <c r="C808" s="43"/>
      <c r="D808" s="43"/>
      <c r="F808" s="92"/>
      <c r="G808" s="92"/>
      <c r="H808" s="92"/>
    </row>
    <row r="809">
      <c r="A809" s="43"/>
      <c r="B809" s="43"/>
      <c r="C809" s="43"/>
      <c r="D809" s="43"/>
      <c r="F809" s="92"/>
      <c r="G809" s="92"/>
      <c r="H809" s="92"/>
    </row>
    <row r="810">
      <c r="A810" s="43"/>
      <c r="B810" s="43"/>
      <c r="C810" s="43"/>
      <c r="D810" s="43"/>
      <c r="F810" s="92"/>
      <c r="G810" s="92"/>
      <c r="H810" s="92"/>
    </row>
    <row r="811">
      <c r="A811" s="43"/>
      <c r="B811" s="43"/>
      <c r="C811" s="43"/>
      <c r="D811" s="43"/>
      <c r="F811" s="92"/>
      <c r="G811" s="92"/>
      <c r="H811" s="92"/>
    </row>
    <row r="812">
      <c r="A812" s="43"/>
      <c r="B812" s="43"/>
      <c r="C812" s="43"/>
      <c r="D812" s="43"/>
      <c r="F812" s="92"/>
      <c r="G812" s="92"/>
      <c r="H812" s="92"/>
    </row>
    <row r="813">
      <c r="A813" s="43"/>
      <c r="B813" s="43"/>
      <c r="C813" s="43"/>
      <c r="D813" s="43"/>
      <c r="F813" s="92"/>
      <c r="G813" s="92"/>
      <c r="H813" s="92"/>
    </row>
    <row r="814">
      <c r="A814" s="43"/>
      <c r="B814" s="43"/>
      <c r="C814" s="43"/>
      <c r="D814" s="43"/>
      <c r="F814" s="92"/>
      <c r="G814" s="92"/>
      <c r="H814" s="92"/>
    </row>
    <row r="815">
      <c r="A815" s="43"/>
      <c r="B815" s="43"/>
      <c r="C815" s="43"/>
      <c r="D815" s="43"/>
      <c r="F815" s="92"/>
      <c r="G815" s="92"/>
      <c r="H815" s="92"/>
    </row>
    <row r="816">
      <c r="A816" s="43"/>
      <c r="B816" s="43"/>
      <c r="C816" s="43"/>
      <c r="D816" s="43"/>
      <c r="F816" s="92"/>
      <c r="G816" s="92"/>
      <c r="H816" s="92"/>
    </row>
    <row r="817">
      <c r="A817" s="43"/>
      <c r="B817" s="43"/>
      <c r="C817" s="43"/>
      <c r="D817" s="43"/>
      <c r="F817" s="92"/>
      <c r="G817" s="92"/>
      <c r="H817" s="92"/>
    </row>
    <row r="818">
      <c r="A818" s="43"/>
      <c r="B818" s="43"/>
      <c r="C818" s="43"/>
      <c r="D818" s="43"/>
      <c r="F818" s="92"/>
      <c r="G818" s="92"/>
      <c r="H818" s="92"/>
    </row>
    <row r="819">
      <c r="A819" s="43"/>
      <c r="B819" s="43"/>
      <c r="C819" s="43"/>
      <c r="D819" s="43"/>
      <c r="F819" s="92"/>
      <c r="G819" s="92"/>
      <c r="H819" s="92"/>
    </row>
    <row r="820">
      <c r="A820" s="43"/>
      <c r="B820" s="43"/>
      <c r="C820" s="43"/>
      <c r="D820" s="43"/>
      <c r="F820" s="92"/>
      <c r="G820" s="92"/>
      <c r="H820" s="92"/>
    </row>
    <row r="821">
      <c r="A821" s="43"/>
      <c r="B821" s="43"/>
      <c r="C821" s="43"/>
      <c r="D821" s="43"/>
      <c r="F821" s="92"/>
      <c r="G821" s="92"/>
      <c r="H821" s="92"/>
    </row>
    <row r="822">
      <c r="A822" s="43"/>
      <c r="B822" s="43"/>
      <c r="C822" s="43"/>
      <c r="D822" s="43"/>
      <c r="F822" s="92"/>
      <c r="G822" s="92"/>
      <c r="H822" s="92"/>
    </row>
    <row r="823">
      <c r="A823" s="43"/>
      <c r="B823" s="43"/>
      <c r="C823" s="43"/>
      <c r="D823" s="43"/>
      <c r="F823" s="92"/>
      <c r="G823" s="92"/>
      <c r="H823" s="92"/>
    </row>
    <row r="824">
      <c r="A824" s="43"/>
      <c r="B824" s="43"/>
      <c r="C824" s="43"/>
      <c r="D824" s="43"/>
      <c r="F824" s="92"/>
      <c r="G824" s="92"/>
      <c r="H824" s="92"/>
    </row>
    <row r="825">
      <c r="A825" s="43"/>
      <c r="B825" s="43"/>
      <c r="C825" s="43"/>
      <c r="D825" s="43"/>
      <c r="F825" s="92"/>
      <c r="G825" s="92"/>
      <c r="H825" s="92"/>
    </row>
    <row r="826">
      <c r="A826" s="43"/>
      <c r="B826" s="43"/>
      <c r="C826" s="43"/>
      <c r="D826" s="43"/>
      <c r="F826" s="92"/>
      <c r="G826" s="92"/>
      <c r="H826" s="92"/>
    </row>
    <row r="827">
      <c r="A827" s="43"/>
      <c r="B827" s="43"/>
      <c r="C827" s="43"/>
      <c r="D827" s="43"/>
      <c r="F827" s="92"/>
      <c r="G827" s="92"/>
      <c r="H827" s="92"/>
    </row>
    <row r="828">
      <c r="A828" s="43"/>
      <c r="B828" s="43"/>
      <c r="C828" s="43"/>
      <c r="D828" s="43"/>
      <c r="F828" s="92"/>
      <c r="G828" s="92"/>
      <c r="H828" s="92"/>
    </row>
    <row r="829">
      <c r="A829" s="43"/>
      <c r="B829" s="43"/>
      <c r="C829" s="43"/>
      <c r="D829" s="43"/>
      <c r="F829" s="92"/>
      <c r="G829" s="92"/>
      <c r="H829" s="92"/>
    </row>
    <row r="830">
      <c r="A830" s="43"/>
      <c r="B830" s="43"/>
      <c r="C830" s="43"/>
      <c r="D830" s="43"/>
      <c r="F830" s="92"/>
      <c r="G830" s="92"/>
      <c r="H830" s="92"/>
    </row>
    <row r="831">
      <c r="A831" s="43"/>
      <c r="B831" s="43"/>
      <c r="C831" s="43"/>
      <c r="D831" s="43"/>
      <c r="F831" s="92"/>
      <c r="G831" s="92"/>
      <c r="H831" s="92"/>
    </row>
    <row r="832">
      <c r="A832" s="43"/>
      <c r="B832" s="43"/>
      <c r="C832" s="43"/>
      <c r="D832" s="43"/>
      <c r="F832" s="92"/>
      <c r="G832" s="92"/>
      <c r="H832" s="92"/>
    </row>
    <row r="833">
      <c r="A833" s="43"/>
      <c r="B833" s="43"/>
      <c r="C833" s="43"/>
      <c r="D833" s="43"/>
      <c r="F833" s="92"/>
      <c r="G833" s="92"/>
      <c r="H833" s="92"/>
    </row>
    <row r="834">
      <c r="A834" s="43"/>
      <c r="B834" s="43"/>
      <c r="C834" s="43"/>
      <c r="D834" s="43"/>
      <c r="F834" s="92"/>
      <c r="G834" s="92"/>
      <c r="H834" s="92"/>
    </row>
    <row r="835">
      <c r="A835" s="43"/>
      <c r="B835" s="43"/>
      <c r="C835" s="43"/>
      <c r="D835" s="43"/>
      <c r="F835" s="92"/>
      <c r="G835" s="92"/>
      <c r="H835" s="92"/>
    </row>
    <row r="836">
      <c r="A836" s="43"/>
      <c r="B836" s="43"/>
      <c r="C836" s="43"/>
      <c r="D836" s="43"/>
      <c r="F836" s="92"/>
      <c r="G836" s="92"/>
      <c r="H836" s="92"/>
    </row>
    <row r="837">
      <c r="A837" s="43"/>
      <c r="B837" s="43"/>
      <c r="C837" s="43"/>
      <c r="D837" s="43"/>
      <c r="F837" s="92"/>
      <c r="G837" s="92"/>
      <c r="H837" s="92"/>
    </row>
    <row r="838">
      <c r="A838" s="43"/>
      <c r="B838" s="43"/>
      <c r="C838" s="43"/>
      <c r="D838" s="43"/>
      <c r="F838" s="92"/>
      <c r="G838" s="92"/>
      <c r="H838" s="92"/>
    </row>
    <row r="839">
      <c r="A839" s="43"/>
      <c r="B839" s="43"/>
      <c r="C839" s="43"/>
      <c r="D839" s="43"/>
      <c r="F839" s="92"/>
      <c r="G839" s="92"/>
      <c r="H839" s="92"/>
    </row>
    <row r="840">
      <c r="A840" s="43"/>
      <c r="B840" s="43"/>
      <c r="C840" s="43"/>
      <c r="D840" s="43"/>
      <c r="F840" s="92"/>
      <c r="G840" s="92"/>
      <c r="H840" s="92"/>
    </row>
    <row r="841">
      <c r="A841" s="43"/>
      <c r="B841" s="43"/>
      <c r="C841" s="43"/>
      <c r="D841" s="43"/>
      <c r="F841" s="92"/>
      <c r="G841" s="92"/>
      <c r="H841" s="92"/>
    </row>
    <row r="842">
      <c r="A842" s="43"/>
      <c r="B842" s="43"/>
      <c r="C842" s="43"/>
      <c r="D842" s="43"/>
      <c r="F842" s="92"/>
      <c r="G842" s="92"/>
      <c r="H842" s="92"/>
    </row>
    <row r="843">
      <c r="A843" s="43"/>
      <c r="B843" s="43"/>
      <c r="C843" s="43"/>
      <c r="D843" s="43"/>
      <c r="F843" s="92"/>
      <c r="G843" s="92"/>
      <c r="H843" s="92"/>
    </row>
    <row r="844">
      <c r="A844" s="43"/>
      <c r="B844" s="43"/>
      <c r="C844" s="43"/>
      <c r="D844" s="43"/>
      <c r="F844" s="92"/>
      <c r="G844" s="92"/>
      <c r="H844" s="92"/>
    </row>
    <row r="845">
      <c r="A845" s="43"/>
      <c r="B845" s="43"/>
      <c r="C845" s="43"/>
      <c r="D845" s="43"/>
      <c r="F845" s="92"/>
      <c r="G845" s="92"/>
      <c r="H845" s="92"/>
    </row>
    <row r="846">
      <c r="A846" s="43"/>
      <c r="B846" s="43"/>
      <c r="C846" s="43"/>
      <c r="D846" s="43"/>
      <c r="F846" s="92"/>
      <c r="G846" s="92"/>
      <c r="H846" s="92"/>
    </row>
    <row r="847">
      <c r="A847" s="43"/>
      <c r="B847" s="43"/>
      <c r="C847" s="43"/>
      <c r="D847" s="43"/>
      <c r="F847" s="92"/>
      <c r="G847" s="92"/>
      <c r="H847" s="92"/>
    </row>
    <row r="848">
      <c r="A848" s="43"/>
      <c r="B848" s="43"/>
      <c r="C848" s="43"/>
      <c r="D848" s="43"/>
      <c r="F848" s="92"/>
      <c r="G848" s="92"/>
      <c r="H848" s="92"/>
    </row>
    <row r="849">
      <c r="A849" s="43"/>
      <c r="B849" s="43"/>
      <c r="C849" s="43"/>
      <c r="D849" s="43"/>
      <c r="F849" s="92"/>
      <c r="G849" s="92"/>
      <c r="H849" s="92"/>
    </row>
    <row r="850">
      <c r="A850" s="43"/>
      <c r="B850" s="43"/>
      <c r="C850" s="43"/>
      <c r="D850" s="43"/>
      <c r="F850" s="92"/>
      <c r="G850" s="92"/>
      <c r="H850" s="92"/>
    </row>
    <row r="851">
      <c r="A851" s="43"/>
      <c r="B851" s="43"/>
      <c r="C851" s="43"/>
      <c r="D851" s="43"/>
      <c r="F851" s="92"/>
      <c r="G851" s="92"/>
      <c r="H851" s="92"/>
    </row>
    <row r="852">
      <c r="A852" s="43"/>
      <c r="B852" s="43"/>
      <c r="C852" s="43"/>
      <c r="D852" s="43"/>
      <c r="F852" s="92"/>
      <c r="G852" s="92"/>
      <c r="H852" s="92"/>
    </row>
    <row r="853">
      <c r="A853" s="43"/>
      <c r="B853" s="43"/>
      <c r="C853" s="43"/>
      <c r="D853" s="43"/>
      <c r="F853" s="92"/>
      <c r="G853" s="92"/>
      <c r="H853" s="92"/>
    </row>
    <row r="854">
      <c r="A854" s="43"/>
      <c r="B854" s="43"/>
      <c r="C854" s="43"/>
      <c r="D854" s="43"/>
      <c r="F854" s="92"/>
      <c r="G854" s="92"/>
      <c r="H854" s="92"/>
    </row>
    <row r="855">
      <c r="A855" s="43"/>
      <c r="B855" s="43"/>
      <c r="C855" s="43"/>
      <c r="D855" s="43"/>
      <c r="F855" s="92"/>
      <c r="G855" s="92"/>
      <c r="H855" s="92"/>
    </row>
    <row r="856">
      <c r="A856" s="43"/>
      <c r="B856" s="43"/>
      <c r="C856" s="43"/>
      <c r="D856" s="43"/>
      <c r="F856" s="92"/>
      <c r="G856" s="92"/>
      <c r="H856" s="92"/>
    </row>
    <row r="857">
      <c r="A857" s="43"/>
      <c r="B857" s="43"/>
      <c r="C857" s="43"/>
      <c r="D857" s="43"/>
      <c r="F857" s="92"/>
      <c r="G857" s="92"/>
      <c r="H857" s="92"/>
    </row>
    <row r="858">
      <c r="A858" s="43"/>
      <c r="B858" s="43"/>
      <c r="C858" s="43"/>
      <c r="D858" s="43"/>
      <c r="F858" s="92"/>
      <c r="G858" s="92"/>
      <c r="H858" s="92"/>
    </row>
    <row r="859">
      <c r="A859" s="43"/>
      <c r="B859" s="43"/>
      <c r="C859" s="43"/>
      <c r="D859" s="43"/>
      <c r="F859" s="92"/>
      <c r="G859" s="92"/>
      <c r="H859" s="92"/>
    </row>
    <row r="860">
      <c r="A860" s="43"/>
      <c r="B860" s="43"/>
      <c r="C860" s="43"/>
      <c r="D860" s="43"/>
      <c r="F860" s="92"/>
      <c r="G860" s="92"/>
      <c r="H860" s="92"/>
    </row>
    <row r="861">
      <c r="A861" s="43"/>
      <c r="B861" s="43"/>
      <c r="C861" s="43"/>
      <c r="D861" s="43"/>
      <c r="F861" s="92"/>
      <c r="G861" s="92"/>
      <c r="H861" s="92"/>
    </row>
    <row r="862">
      <c r="A862" s="43"/>
      <c r="B862" s="43"/>
      <c r="C862" s="43"/>
      <c r="D862" s="43"/>
      <c r="F862" s="92"/>
      <c r="G862" s="92"/>
      <c r="H862" s="92"/>
    </row>
    <row r="863">
      <c r="A863" s="43"/>
      <c r="B863" s="43"/>
      <c r="C863" s="43"/>
      <c r="D863" s="43"/>
      <c r="F863" s="92"/>
      <c r="G863" s="92"/>
      <c r="H863" s="92"/>
    </row>
    <row r="864">
      <c r="A864" s="43"/>
      <c r="B864" s="43"/>
      <c r="C864" s="43"/>
      <c r="D864" s="43"/>
      <c r="F864" s="92"/>
      <c r="G864" s="92"/>
      <c r="H864" s="92"/>
    </row>
    <row r="865">
      <c r="A865" s="43"/>
      <c r="B865" s="43"/>
      <c r="C865" s="43"/>
      <c r="D865" s="43"/>
      <c r="F865" s="92"/>
      <c r="G865" s="92"/>
      <c r="H865" s="92"/>
    </row>
    <row r="866">
      <c r="A866" s="43"/>
      <c r="B866" s="43"/>
      <c r="C866" s="43"/>
      <c r="D866" s="43"/>
      <c r="F866" s="92"/>
      <c r="G866" s="92"/>
      <c r="H866" s="92"/>
    </row>
    <row r="867">
      <c r="A867" s="43"/>
      <c r="B867" s="43"/>
      <c r="C867" s="43"/>
      <c r="D867" s="43"/>
      <c r="F867" s="92"/>
      <c r="G867" s="92"/>
      <c r="H867" s="92"/>
    </row>
    <row r="868">
      <c r="A868" s="43"/>
      <c r="B868" s="43"/>
      <c r="C868" s="43"/>
      <c r="D868" s="43"/>
      <c r="F868" s="92"/>
      <c r="G868" s="92"/>
      <c r="H868" s="92"/>
    </row>
    <row r="869">
      <c r="A869" s="43"/>
      <c r="B869" s="43"/>
      <c r="C869" s="43"/>
      <c r="D869" s="43"/>
      <c r="F869" s="92"/>
      <c r="G869" s="92"/>
      <c r="H869" s="92"/>
    </row>
    <row r="870">
      <c r="A870" s="43"/>
      <c r="B870" s="43"/>
      <c r="C870" s="43"/>
      <c r="D870" s="43"/>
      <c r="F870" s="92"/>
      <c r="G870" s="92"/>
      <c r="H870" s="92"/>
    </row>
    <row r="871">
      <c r="A871" s="43"/>
      <c r="B871" s="43"/>
      <c r="C871" s="43"/>
      <c r="D871" s="43"/>
      <c r="F871" s="92"/>
      <c r="G871" s="92"/>
      <c r="H871" s="92"/>
    </row>
    <row r="872">
      <c r="A872" s="43"/>
      <c r="B872" s="43"/>
      <c r="C872" s="43"/>
      <c r="D872" s="43"/>
      <c r="F872" s="92"/>
      <c r="G872" s="92"/>
      <c r="H872" s="92"/>
    </row>
    <row r="873">
      <c r="A873" s="43"/>
      <c r="B873" s="43"/>
      <c r="C873" s="43"/>
      <c r="D873" s="43"/>
      <c r="F873" s="92"/>
      <c r="G873" s="92"/>
      <c r="H873" s="92"/>
    </row>
    <row r="874">
      <c r="A874" s="43"/>
      <c r="B874" s="43"/>
      <c r="C874" s="43"/>
      <c r="D874" s="43"/>
      <c r="F874" s="92"/>
      <c r="G874" s="92"/>
      <c r="H874" s="92"/>
    </row>
    <row r="875">
      <c r="A875" s="43"/>
      <c r="B875" s="43"/>
      <c r="C875" s="43"/>
      <c r="D875" s="43"/>
      <c r="F875" s="92"/>
      <c r="G875" s="92"/>
      <c r="H875" s="92"/>
    </row>
    <row r="876">
      <c r="A876" s="43"/>
      <c r="B876" s="43"/>
      <c r="C876" s="43"/>
      <c r="D876" s="43"/>
      <c r="F876" s="92"/>
      <c r="G876" s="92"/>
      <c r="H876" s="92"/>
    </row>
    <row r="877">
      <c r="A877" s="43"/>
      <c r="B877" s="43"/>
      <c r="C877" s="43"/>
      <c r="D877" s="43"/>
      <c r="F877" s="92"/>
      <c r="G877" s="92"/>
      <c r="H877" s="92"/>
    </row>
    <row r="878">
      <c r="A878" s="43"/>
      <c r="B878" s="43"/>
      <c r="C878" s="43"/>
      <c r="D878" s="43"/>
      <c r="F878" s="92"/>
      <c r="G878" s="92"/>
      <c r="H878" s="92"/>
    </row>
    <row r="879">
      <c r="A879" s="43"/>
      <c r="B879" s="43"/>
      <c r="C879" s="43"/>
      <c r="D879" s="43"/>
      <c r="F879" s="92"/>
      <c r="G879" s="92"/>
      <c r="H879" s="92"/>
    </row>
    <row r="880">
      <c r="A880" s="43"/>
      <c r="B880" s="43"/>
      <c r="C880" s="43"/>
      <c r="D880" s="43"/>
      <c r="F880" s="92"/>
      <c r="G880" s="92"/>
      <c r="H880" s="92"/>
    </row>
    <row r="881">
      <c r="A881" s="43"/>
      <c r="B881" s="43"/>
      <c r="C881" s="43"/>
      <c r="D881" s="43"/>
      <c r="F881" s="92"/>
      <c r="G881" s="92"/>
      <c r="H881" s="92"/>
    </row>
    <row r="882">
      <c r="A882" s="43"/>
      <c r="B882" s="43"/>
      <c r="C882" s="43"/>
      <c r="D882" s="43"/>
      <c r="F882" s="92"/>
      <c r="G882" s="92"/>
      <c r="H882" s="92"/>
    </row>
    <row r="883">
      <c r="A883" s="43"/>
      <c r="B883" s="43"/>
      <c r="C883" s="43"/>
      <c r="D883" s="43"/>
      <c r="F883" s="92"/>
      <c r="G883" s="92"/>
      <c r="H883" s="92"/>
    </row>
    <row r="884">
      <c r="A884" s="43"/>
      <c r="B884" s="43"/>
      <c r="C884" s="43"/>
      <c r="D884" s="43"/>
      <c r="F884" s="92"/>
      <c r="G884" s="92"/>
      <c r="H884" s="92"/>
    </row>
    <row r="885">
      <c r="A885" s="43"/>
      <c r="B885" s="43"/>
      <c r="C885" s="43"/>
      <c r="D885" s="43"/>
      <c r="F885" s="92"/>
      <c r="G885" s="92"/>
      <c r="H885" s="92"/>
    </row>
    <row r="886">
      <c r="A886" s="43"/>
      <c r="B886" s="43"/>
      <c r="C886" s="43"/>
      <c r="D886" s="43"/>
      <c r="F886" s="92"/>
      <c r="G886" s="92"/>
      <c r="H886" s="92"/>
    </row>
    <row r="887">
      <c r="A887" s="43"/>
      <c r="B887" s="43"/>
      <c r="C887" s="43"/>
      <c r="D887" s="43"/>
      <c r="F887" s="92"/>
      <c r="G887" s="92"/>
      <c r="H887" s="92"/>
    </row>
    <row r="888">
      <c r="A888" s="43"/>
      <c r="B888" s="43"/>
      <c r="C888" s="43"/>
      <c r="D888" s="43"/>
      <c r="F888" s="92"/>
      <c r="G888" s="92"/>
      <c r="H888" s="92"/>
    </row>
    <row r="889">
      <c r="A889" s="43"/>
      <c r="B889" s="43"/>
      <c r="C889" s="43"/>
      <c r="D889" s="43"/>
      <c r="F889" s="92"/>
      <c r="G889" s="92"/>
      <c r="H889" s="92"/>
    </row>
    <row r="890">
      <c r="A890" s="43"/>
      <c r="B890" s="43"/>
      <c r="C890" s="43"/>
      <c r="D890" s="43"/>
      <c r="F890" s="92"/>
      <c r="G890" s="92"/>
      <c r="H890" s="92"/>
    </row>
    <row r="891">
      <c r="A891" s="43"/>
      <c r="B891" s="43"/>
      <c r="C891" s="43"/>
      <c r="D891" s="43"/>
      <c r="F891" s="92"/>
      <c r="G891" s="92"/>
      <c r="H891" s="92"/>
    </row>
    <row r="892">
      <c r="A892" s="43"/>
      <c r="B892" s="43"/>
      <c r="C892" s="43"/>
      <c r="D892" s="43"/>
      <c r="F892" s="92"/>
      <c r="G892" s="92"/>
      <c r="H892" s="92"/>
    </row>
    <row r="893">
      <c r="A893" s="43"/>
      <c r="B893" s="43"/>
      <c r="C893" s="43"/>
      <c r="D893" s="43"/>
      <c r="F893" s="92"/>
      <c r="G893" s="92"/>
      <c r="H893" s="92"/>
    </row>
    <row r="894">
      <c r="A894" s="43"/>
      <c r="B894" s="43"/>
      <c r="C894" s="43"/>
      <c r="D894" s="43"/>
      <c r="F894" s="92"/>
      <c r="G894" s="92"/>
      <c r="H894" s="92"/>
    </row>
    <row r="895">
      <c r="A895" s="43"/>
      <c r="B895" s="43"/>
      <c r="C895" s="43"/>
      <c r="D895" s="43"/>
      <c r="F895" s="92"/>
      <c r="G895" s="92"/>
      <c r="H895" s="92"/>
    </row>
    <row r="896">
      <c r="A896" s="43"/>
      <c r="B896" s="43"/>
      <c r="C896" s="43"/>
      <c r="D896" s="43"/>
      <c r="F896" s="92"/>
      <c r="G896" s="92"/>
      <c r="H896" s="92"/>
    </row>
    <row r="897">
      <c r="A897" s="43"/>
      <c r="B897" s="43"/>
      <c r="C897" s="43"/>
      <c r="D897" s="43"/>
      <c r="F897" s="92"/>
      <c r="G897" s="92"/>
      <c r="H897" s="92"/>
    </row>
    <row r="898">
      <c r="A898" s="43"/>
      <c r="B898" s="43"/>
      <c r="C898" s="43"/>
      <c r="D898" s="43"/>
      <c r="F898" s="92"/>
      <c r="G898" s="92"/>
      <c r="H898" s="92"/>
    </row>
    <row r="899">
      <c r="A899" s="43"/>
      <c r="B899" s="43"/>
      <c r="C899" s="43"/>
      <c r="D899" s="43"/>
      <c r="F899" s="92"/>
      <c r="G899" s="92"/>
      <c r="H899" s="92"/>
    </row>
    <row r="900">
      <c r="A900" s="43"/>
      <c r="B900" s="43"/>
      <c r="C900" s="43"/>
      <c r="D900" s="43"/>
      <c r="F900" s="92"/>
      <c r="G900" s="92"/>
      <c r="H900" s="92"/>
    </row>
    <row r="901">
      <c r="A901" s="43"/>
      <c r="B901" s="43"/>
      <c r="C901" s="43"/>
      <c r="D901" s="43"/>
      <c r="F901" s="92"/>
      <c r="G901" s="92"/>
      <c r="H901" s="92"/>
    </row>
    <row r="902">
      <c r="A902" s="43"/>
      <c r="B902" s="43"/>
      <c r="C902" s="43"/>
      <c r="D902" s="43"/>
      <c r="F902" s="92"/>
      <c r="G902" s="92"/>
      <c r="H902" s="92"/>
    </row>
    <row r="903">
      <c r="A903" s="43"/>
      <c r="B903" s="43"/>
      <c r="C903" s="43"/>
      <c r="D903" s="43"/>
      <c r="F903" s="92"/>
      <c r="G903" s="92"/>
      <c r="H903" s="92"/>
    </row>
    <row r="904">
      <c r="A904" s="43"/>
      <c r="B904" s="43"/>
      <c r="C904" s="43"/>
      <c r="D904" s="43"/>
      <c r="F904" s="92"/>
      <c r="G904" s="92"/>
      <c r="H904" s="92"/>
    </row>
    <row r="905">
      <c r="A905" s="43"/>
      <c r="B905" s="43"/>
      <c r="C905" s="43"/>
      <c r="D905" s="43"/>
      <c r="F905" s="92"/>
      <c r="G905" s="92"/>
      <c r="H905" s="92"/>
    </row>
    <row r="906">
      <c r="A906" s="43"/>
      <c r="B906" s="43"/>
      <c r="C906" s="43"/>
      <c r="D906" s="43"/>
      <c r="F906" s="92"/>
      <c r="G906" s="92"/>
      <c r="H906" s="92"/>
    </row>
    <row r="907">
      <c r="A907" s="43"/>
      <c r="B907" s="43"/>
      <c r="C907" s="43"/>
      <c r="D907" s="43"/>
      <c r="F907" s="92"/>
      <c r="G907" s="92"/>
      <c r="H907" s="92"/>
    </row>
    <row r="908">
      <c r="A908" s="43"/>
      <c r="B908" s="43"/>
      <c r="C908" s="43"/>
      <c r="D908" s="43"/>
      <c r="F908" s="92"/>
      <c r="G908" s="92"/>
      <c r="H908" s="92"/>
    </row>
    <row r="909">
      <c r="A909" s="43"/>
      <c r="B909" s="43"/>
      <c r="C909" s="43"/>
      <c r="D909" s="43"/>
      <c r="F909" s="92"/>
      <c r="G909" s="92"/>
      <c r="H909" s="92"/>
    </row>
    <row r="910">
      <c r="A910" s="43"/>
      <c r="B910" s="43"/>
      <c r="C910" s="43"/>
      <c r="D910" s="43"/>
      <c r="F910" s="92"/>
      <c r="G910" s="92"/>
      <c r="H910" s="92"/>
    </row>
    <row r="911">
      <c r="A911" s="43"/>
      <c r="B911" s="43"/>
      <c r="C911" s="43"/>
      <c r="D911" s="43"/>
      <c r="F911" s="92"/>
      <c r="G911" s="92"/>
      <c r="H911" s="92"/>
    </row>
    <row r="912">
      <c r="A912" s="43"/>
      <c r="B912" s="43"/>
      <c r="C912" s="43"/>
      <c r="D912" s="43"/>
      <c r="F912" s="92"/>
      <c r="G912" s="92"/>
      <c r="H912" s="92"/>
    </row>
    <row r="913">
      <c r="A913" s="43"/>
      <c r="B913" s="43"/>
      <c r="C913" s="43"/>
      <c r="D913" s="43"/>
      <c r="F913" s="92"/>
      <c r="G913" s="92"/>
      <c r="H913" s="92"/>
    </row>
    <row r="914">
      <c r="A914" s="43"/>
      <c r="B914" s="43"/>
      <c r="C914" s="43"/>
      <c r="D914" s="43"/>
      <c r="F914" s="92"/>
      <c r="G914" s="92"/>
      <c r="H914" s="92"/>
    </row>
    <row r="915">
      <c r="A915" s="43"/>
      <c r="B915" s="43"/>
      <c r="C915" s="43"/>
      <c r="D915" s="43"/>
      <c r="F915" s="92"/>
      <c r="G915" s="92"/>
      <c r="H915" s="92"/>
    </row>
    <row r="916">
      <c r="A916" s="43"/>
      <c r="B916" s="43"/>
      <c r="C916" s="43"/>
      <c r="D916" s="43"/>
      <c r="F916" s="92"/>
      <c r="G916" s="92"/>
      <c r="H916" s="92"/>
    </row>
    <row r="917">
      <c r="A917" s="43"/>
      <c r="B917" s="43"/>
      <c r="C917" s="43"/>
      <c r="D917" s="43"/>
      <c r="F917" s="92"/>
      <c r="G917" s="92"/>
      <c r="H917" s="92"/>
    </row>
    <row r="918">
      <c r="A918" s="43"/>
      <c r="B918" s="43"/>
      <c r="C918" s="43"/>
      <c r="D918" s="43"/>
      <c r="F918" s="92"/>
      <c r="G918" s="92"/>
      <c r="H918" s="92"/>
    </row>
    <row r="919">
      <c r="A919" s="43"/>
      <c r="B919" s="43"/>
      <c r="C919" s="43"/>
      <c r="D919" s="43"/>
      <c r="F919" s="92"/>
      <c r="G919" s="92"/>
      <c r="H919" s="92"/>
    </row>
    <row r="920">
      <c r="A920" s="43"/>
      <c r="B920" s="43"/>
      <c r="C920" s="43"/>
      <c r="D920" s="43"/>
      <c r="F920" s="92"/>
      <c r="G920" s="92"/>
      <c r="H920" s="92"/>
    </row>
    <row r="921">
      <c r="A921" s="43"/>
      <c r="B921" s="43"/>
      <c r="C921" s="43"/>
      <c r="D921" s="43"/>
      <c r="F921" s="92"/>
      <c r="G921" s="92"/>
      <c r="H921" s="92"/>
    </row>
    <row r="922">
      <c r="A922" s="43"/>
      <c r="B922" s="43"/>
      <c r="C922" s="43"/>
      <c r="D922" s="43"/>
      <c r="F922" s="92"/>
      <c r="G922" s="92"/>
      <c r="H922" s="92"/>
    </row>
    <row r="923">
      <c r="A923" s="43"/>
      <c r="B923" s="43"/>
      <c r="C923" s="43"/>
      <c r="D923" s="43"/>
      <c r="F923" s="92"/>
      <c r="G923" s="92"/>
      <c r="H923" s="92"/>
    </row>
    <row r="924">
      <c r="A924" s="43"/>
      <c r="B924" s="43"/>
      <c r="C924" s="43"/>
      <c r="D924" s="43"/>
      <c r="F924" s="92"/>
      <c r="G924" s="92"/>
      <c r="H924" s="92"/>
    </row>
    <row r="925">
      <c r="A925" s="43"/>
      <c r="B925" s="43"/>
      <c r="C925" s="43"/>
      <c r="D925" s="43"/>
      <c r="F925" s="92"/>
      <c r="G925" s="92"/>
      <c r="H925" s="92"/>
    </row>
    <row r="926">
      <c r="A926" s="43"/>
      <c r="B926" s="43"/>
      <c r="C926" s="43"/>
      <c r="D926" s="43"/>
      <c r="F926" s="92"/>
      <c r="G926" s="92"/>
      <c r="H926" s="92"/>
    </row>
    <row r="927">
      <c r="A927" s="43"/>
      <c r="B927" s="43"/>
      <c r="C927" s="43"/>
      <c r="D927" s="43"/>
      <c r="F927" s="92"/>
      <c r="G927" s="92"/>
      <c r="H927" s="92"/>
    </row>
    <row r="928">
      <c r="A928" s="43"/>
      <c r="B928" s="43"/>
      <c r="C928" s="43"/>
      <c r="D928" s="43"/>
      <c r="F928" s="92"/>
      <c r="G928" s="92"/>
      <c r="H928" s="92"/>
    </row>
    <row r="929">
      <c r="A929" s="43"/>
      <c r="B929" s="43"/>
      <c r="C929" s="43"/>
      <c r="D929" s="43"/>
      <c r="F929" s="92"/>
      <c r="G929" s="92"/>
      <c r="H929" s="92"/>
    </row>
    <row r="930">
      <c r="A930" s="43"/>
      <c r="B930" s="43"/>
      <c r="C930" s="43"/>
      <c r="D930" s="43"/>
      <c r="F930" s="92"/>
      <c r="G930" s="92"/>
      <c r="H930" s="92"/>
    </row>
    <row r="931">
      <c r="A931" s="43"/>
      <c r="B931" s="43"/>
      <c r="C931" s="43"/>
      <c r="D931" s="43"/>
      <c r="F931" s="92"/>
      <c r="G931" s="92"/>
      <c r="H931" s="92"/>
    </row>
    <row r="932">
      <c r="A932" s="43"/>
      <c r="B932" s="43"/>
      <c r="C932" s="43"/>
      <c r="D932" s="43"/>
      <c r="F932" s="92"/>
      <c r="G932" s="92"/>
      <c r="H932" s="92"/>
    </row>
    <row r="933">
      <c r="A933" s="43"/>
      <c r="B933" s="43"/>
      <c r="C933" s="43"/>
      <c r="D933" s="43"/>
      <c r="F933" s="92"/>
      <c r="G933" s="92"/>
      <c r="H933" s="92"/>
    </row>
    <row r="934">
      <c r="A934" s="43"/>
      <c r="B934" s="43"/>
      <c r="C934" s="43"/>
      <c r="D934" s="43"/>
      <c r="F934" s="92"/>
      <c r="G934" s="92"/>
      <c r="H934" s="92"/>
    </row>
    <row r="935">
      <c r="A935" s="43"/>
      <c r="B935" s="43"/>
      <c r="C935" s="43"/>
      <c r="D935" s="43"/>
      <c r="F935" s="92"/>
      <c r="G935" s="92"/>
      <c r="H935" s="92"/>
    </row>
    <row r="936">
      <c r="A936" s="43"/>
      <c r="B936" s="43"/>
      <c r="C936" s="43"/>
      <c r="D936" s="43"/>
      <c r="F936" s="92"/>
      <c r="G936" s="92"/>
      <c r="H936" s="92"/>
    </row>
    <row r="937">
      <c r="A937" s="43"/>
      <c r="B937" s="43"/>
      <c r="C937" s="43"/>
      <c r="D937" s="43"/>
      <c r="F937" s="92"/>
      <c r="G937" s="92"/>
      <c r="H937" s="92"/>
    </row>
    <row r="938">
      <c r="A938" s="43"/>
      <c r="B938" s="43"/>
      <c r="C938" s="43"/>
      <c r="D938" s="43"/>
      <c r="F938" s="92"/>
      <c r="G938" s="92"/>
      <c r="H938" s="92"/>
    </row>
    <row r="939">
      <c r="A939" s="43"/>
      <c r="B939" s="43"/>
      <c r="C939" s="43"/>
      <c r="D939" s="43"/>
      <c r="F939" s="92"/>
      <c r="G939" s="92"/>
      <c r="H939" s="92"/>
    </row>
    <row r="940">
      <c r="A940" s="43"/>
      <c r="B940" s="43"/>
      <c r="C940" s="43"/>
      <c r="D940" s="43"/>
      <c r="F940" s="92"/>
      <c r="G940" s="92"/>
      <c r="H940" s="92"/>
    </row>
    <row r="941">
      <c r="A941" s="43"/>
      <c r="B941" s="43"/>
      <c r="C941" s="43"/>
      <c r="D941" s="43"/>
      <c r="F941" s="92"/>
      <c r="G941" s="92"/>
      <c r="H941" s="92"/>
    </row>
    <row r="942">
      <c r="A942" s="43"/>
      <c r="B942" s="43"/>
      <c r="C942" s="43"/>
      <c r="D942" s="43"/>
      <c r="F942" s="92"/>
      <c r="G942" s="92"/>
      <c r="H942" s="92"/>
    </row>
    <row r="943">
      <c r="A943" s="43"/>
      <c r="B943" s="43"/>
      <c r="C943" s="43"/>
      <c r="D943" s="43"/>
      <c r="F943" s="92"/>
      <c r="G943" s="92"/>
      <c r="H943" s="92"/>
    </row>
    <row r="944">
      <c r="A944" s="43"/>
      <c r="B944" s="43"/>
      <c r="C944" s="43"/>
      <c r="D944" s="43"/>
      <c r="F944" s="92"/>
      <c r="G944" s="92"/>
      <c r="H944" s="92"/>
    </row>
    <row r="945">
      <c r="A945" s="43"/>
      <c r="B945" s="43"/>
      <c r="C945" s="43"/>
      <c r="D945" s="43"/>
      <c r="F945" s="92"/>
      <c r="G945" s="92"/>
      <c r="H945" s="92"/>
    </row>
    <row r="946">
      <c r="A946" s="43"/>
      <c r="B946" s="43"/>
      <c r="C946" s="43"/>
      <c r="D946" s="43"/>
      <c r="F946" s="92"/>
      <c r="G946" s="92"/>
      <c r="H946" s="92"/>
    </row>
    <row r="947">
      <c r="A947" s="43"/>
      <c r="B947" s="43"/>
      <c r="C947" s="43"/>
      <c r="D947" s="43"/>
      <c r="F947" s="92"/>
      <c r="G947" s="92"/>
      <c r="H947" s="92"/>
    </row>
    <row r="948">
      <c r="A948" s="43"/>
      <c r="B948" s="43"/>
      <c r="C948" s="43"/>
      <c r="D948" s="43"/>
      <c r="F948" s="92"/>
      <c r="G948" s="92"/>
      <c r="H948" s="92"/>
    </row>
    <row r="949">
      <c r="A949" s="43"/>
      <c r="B949" s="43"/>
      <c r="C949" s="43"/>
      <c r="D949" s="43"/>
      <c r="F949" s="92"/>
      <c r="G949" s="92"/>
      <c r="H949" s="92"/>
    </row>
    <row r="950">
      <c r="A950" s="43"/>
      <c r="B950" s="43"/>
      <c r="C950" s="43"/>
      <c r="D950" s="43"/>
      <c r="F950" s="92"/>
      <c r="G950" s="92"/>
      <c r="H950" s="92"/>
    </row>
    <row r="951">
      <c r="A951" s="43"/>
      <c r="B951" s="43"/>
      <c r="C951" s="43"/>
      <c r="D951" s="43"/>
      <c r="F951" s="92"/>
      <c r="G951" s="92"/>
      <c r="H951" s="92"/>
    </row>
    <row r="952">
      <c r="A952" s="43"/>
      <c r="B952" s="43"/>
      <c r="C952" s="43"/>
      <c r="D952" s="43"/>
      <c r="F952" s="92"/>
      <c r="G952" s="92"/>
      <c r="H952" s="92"/>
    </row>
    <row r="953">
      <c r="A953" s="43"/>
      <c r="B953" s="43"/>
      <c r="C953" s="43"/>
      <c r="D953" s="43"/>
      <c r="F953" s="92"/>
      <c r="G953" s="92"/>
      <c r="H953" s="92"/>
    </row>
    <row r="954">
      <c r="A954" s="43"/>
      <c r="B954" s="43"/>
      <c r="C954" s="43"/>
      <c r="D954" s="43"/>
      <c r="F954" s="92"/>
      <c r="G954" s="92"/>
      <c r="H954" s="92"/>
    </row>
    <row r="955">
      <c r="A955" s="43"/>
      <c r="B955" s="43"/>
      <c r="C955" s="43"/>
      <c r="D955" s="43"/>
      <c r="F955" s="92"/>
      <c r="G955" s="92"/>
      <c r="H955" s="92"/>
    </row>
    <row r="956">
      <c r="A956" s="43"/>
      <c r="B956" s="43"/>
      <c r="C956" s="43"/>
      <c r="D956" s="43"/>
      <c r="F956" s="92"/>
      <c r="G956" s="92"/>
      <c r="H956" s="92"/>
    </row>
    <row r="957">
      <c r="A957" s="43"/>
      <c r="B957" s="43"/>
      <c r="C957" s="43"/>
      <c r="D957" s="43"/>
      <c r="F957" s="92"/>
      <c r="G957" s="92"/>
      <c r="H957" s="92"/>
    </row>
    <row r="958">
      <c r="A958" s="43"/>
      <c r="B958" s="43"/>
      <c r="C958" s="43"/>
      <c r="D958" s="43"/>
      <c r="F958" s="92"/>
      <c r="G958" s="92"/>
      <c r="H958" s="92"/>
    </row>
    <row r="959">
      <c r="A959" s="43"/>
      <c r="B959" s="43"/>
      <c r="C959" s="43"/>
      <c r="D959" s="43"/>
      <c r="F959" s="92"/>
      <c r="G959" s="92"/>
      <c r="H959" s="92"/>
    </row>
    <row r="960">
      <c r="A960" s="43"/>
      <c r="B960" s="43"/>
      <c r="C960" s="43"/>
      <c r="D960" s="43"/>
      <c r="F960" s="92"/>
      <c r="G960" s="92"/>
      <c r="H960" s="92"/>
    </row>
    <row r="961">
      <c r="A961" s="43"/>
      <c r="B961" s="43"/>
      <c r="C961" s="43"/>
      <c r="D961" s="43"/>
      <c r="F961" s="92"/>
      <c r="G961" s="92"/>
      <c r="H961" s="92"/>
    </row>
    <row r="962">
      <c r="A962" s="43"/>
      <c r="B962" s="43"/>
      <c r="C962" s="43"/>
      <c r="D962" s="43"/>
      <c r="F962" s="92"/>
      <c r="G962" s="92"/>
      <c r="H962" s="92"/>
    </row>
    <row r="963">
      <c r="A963" s="43"/>
      <c r="B963" s="43"/>
      <c r="C963" s="43"/>
      <c r="D963" s="43"/>
      <c r="F963" s="92"/>
      <c r="G963" s="92"/>
      <c r="H963" s="92"/>
    </row>
    <row r="964">
      <c r="A964" s="43"/>
      <c r="B964" s="43"/>
      <c r="C964" s="43"/>
      <c r="D964" s="43"/>
      <c r="F964" s="92"/>
      <c r="G964" s="92"/>
      <c r="H964" s="92"/>
    </row>
    <row r="965">
      <c r="A965" s="43"/>
      <c r="B965" s="43"/>
      <c r="C965" s="43"/>
      <c r="D965" s="43"/>
      <c r="F965" s="92"/>
      <c r="G965" s="92"/>
      <c r="H965" s="92"/>
    </row>
    <row r="966">
      <c r="A966" s="43"/>
      <c r="B966" s="43"/>
      <c r="C966" s="43"/>
      <c r="D966" s="43"/>
      <c r="F966" s="92"/>
      <c r="G966" s="92"/>
      <c r="H966" s="92"/>
    </row>
    <row r="967">
      <c r="A967" s="43"/>
      <c r="B967" s="43"/>
      <c r="C967" s="43"/>
      <c r="D967" s="43"/>
      <c r="F967" s="92"/>
      <c r="G967" s="92"/>
      <c r="H967" s="92"/>
    </row>
    <row r="968">
      <c r="A968" s="43"/>
      <c r="B968" s="43"/>
      <c r="C968" s="43"/>
      <c r="D968" s="43"/>
      <c r="F968" s="92"/>
      <c r="G968" s="92"/>
      <c r="H968" s="92"/>
    </row>
    <row r="969">
      <c r="A969" s="43"/>
      <c r="B969" s="43"/>
      <c r="C969" s="43"/>
      <c r="D969" s="43"/>
      <c r="F969" s="92"/>
      <c r="G969" s="92"/>
      <c r="H969" s="92"/>
    </row>
    <row r="970">
      <c r="A970" s="43"/>
      <c r="B970" s="43"/>
      <c r="C970" s="43"/>
      <c r="D970" s="43"/>
      <c r="F970" s="92"/>
      <c r="G970" s="92"/>
      <c r="H970" s="92"/>
    </row>
    <row r="971">
      <c r="A971" s="43"/>
      <c r="B971" s="43"/>
      <c r="C971" s="43"/>
      <c r="D971" s="43"/>
      <c r="F971" s="92"/>
      <c r="G971" s="92"/>
      <c r="H971" s="92"/>
    </row>
    <row r="972">
      <c r="A972" s="43"/>
      <c r="B972" s="43"/>
      <c r="C972" s="43"/>
      <c r="D972" s="43"/>
      <c r="F972" s="92"/>
      <c r="G972" s="92"/>
      <c r="H972" s="92"/>
    </row>
    <row r="973">
      <c r="A973" s="43"/>
      <c r="B973" s="43"/>
      <c r="C973" s="43"/>
      <c r="D973" s="43"/>
      <c r="F973" s="92"/>
      <c r="G973" s="92"/>
      <c r="H973" s="92"/>
    </row>
    <row r="974">
      <c r="A974" s="43"/>
      <c r="B974" s="43"/>
      <c r="C974" s="43"/>
      <c r="D974" s="43"/>
      <c r="F974" s="92"/>
      <c r="G974" s="92"/>
      <c r="H974" s="92"/>
    </row>
    <row r="975">
      <c r="A975" s="43"/>
      <c r="B975" s="43"/>
      <c r="C975" s="43"/>
      <c r="D975" s="43"/>
      <c r="F975" s="92"/>
      <c r="G975" s="92"/>
      <c r="H975" s="92"/>
    </row>
    <row r="976">
      <c r="A976" s="43"/>
      <c r="B976" s="43"/>
      <c r="C976" s="43"/>
      <c r="D976" s="43"/>
      <c r="F976" s="92"/>
      <c r="G976" s="92"/>
      <c r="H976" s="92"/>
    </row>
    <row r="977">
      <c r="A977" s="43"/>
      <c r="B977" s="43"/>
      <c r="C977" s="43"/>
      <c r="D977" s="43"/>
      <c r="F977" s="92"/>
      <c r="G977" s="92"/>
      <c r="H977" s="92"/>
    </row>
    <row r="978">
      <c r="A978" s="43"/>
      <c r="B978" s="43"/>
      <c r="C978" s="43"/>
      <c r="D978" s="43"/>
      <c r="F978" s="92"/>
      <c r="G978" s="92"/>
      <c r="H978" s="92"/>
    </row>
    <row r="979">
      <c r="A979" s="43"/>
      <c r="B979" s="43"/>
      <c r="C979" s="43"/>
      <c r="D979" s="43"/>
      <c r="F979" s="92"/>
      <c r="G979" s="92"/>
      <c r="H979" s="92"/>
    </row>
    <row r="980">
      <c r="A980" s="43"/>
      <c r="B980" s="43"/>
      <c r="C980" s="43"/>
      <c r="D980" s="43"/>
      <c r="F980" s="92"/>
      <c r="G980" s="92"/>
      <c r="H980" s="92"/>
    </row>
    <row r="981">
      <c r="A981" s="43"/>
      <c r="B981" s="43"/>
      <c r="C981" s="43"/>
      <c r="D981" s="43"/>
      <c r="F981" s="92"/>
      <c r="G981" s="92"/>
      <c r="H981" s="92"/>
    </row>
    <row r="982">
      <c r="A982" s="43"/>
      <c r="B982" s="43"/>
      <c r="C982" s="43"/>
      <c r="D982" s="43"/>
      <c r="F982" s="92"/>
      <c r="G982" s="92"/>
      <c r="H982" s="92"/>
    </row>
    <row r="983">
      <c r="A983" s="43"/>
      <c r="B983" s="43"/>
      <c r="C983" s="43"/>
      <c r="D983" s="43"/>
      <c r="F983" s="92"/>
      <c r="G983" s="92"/>
      <c r="H983" s="92"/>
    </row>
    <row r="984">
      <c r="A984" s="43"/>
      <c r="B984" s="43"/>
      <c r="C984" s="43"/>
      <c r="D984" s="43"/>
      <c r="F984" s="92"/>
      <c r="G984" s="92"/>
      <c r="H984" s="92"/>
    </row>
    <row r="985">
      <c r="A985" s="43"/>
      <c r="B985" s="43"/>
      <c r="C985" s="43"/>
      <c r="D985" s="43"/>
      <c r="F985" s="92"/>
      <c r="G985" s="92"/>
      <c r="H985" s="92"/>
    </row>
    <row r="986">
      <c r="A986" s="43"/>
      <c r="B986" s="43"/>
      <c r="C986" s="43"/>
      <c r="D986" s="43"/>
      <c r="F986" s="92"/>
      <c r="G986" s="92"/>
      <c r="H986" s="92"/>
    </row>
    <row r="987">
      <c r="A987" s="43"/>
      <c r="B987" s="43"/>
      <c r="C987" s="43"/>
      <c r="D987" s="43"/>
      <c r="F987" s="92"/>
      <c r="G987" s="92"/>
      <c r="H987" s="92"/>
    </row>
    <row r="988">
      <c r="A988" s="43"/>
      <c r="B988" s="43"/>
      <c r="C988" s="43"/>
      <c r="D988" s="43"/>
      <c r="F988" s="92"/>
      <c r="G988" s="92"/>
      <c r="H988" s="92"/>
    </row>
    <row r="989">
      <c r="A989" s="43"/>
      <c r="B989" s="43"/>
      <c r="C989" s="43"/>
      <c r="D989" s="43"/>
      <c r="F989" s="92"/>
      <c r="G989" s="92"/>
      <c r="H989" s="92"/>
    </row>
    <row r="990">
      <c r="A990" s="43"/>
      <c r="B990" s="43"/>
      <c r="C990" s="43"/>
      <c r="D990" s="43"/>
      <c r="F990" s="92"/>
      <c r="G990" s="92"/>
      <c r="H990" s="92"/>
    </row>
    <row r="991">
      <c r="A991" s="43"/>
      <c r="B991" s="43"/>
      <c r="C991" s="43"/>
      <c r="D991" s="43"/>
      <c r="F991" s="92"/>
      <c r="G991" s="92"/>
      <c r="H991" s="92"/>
    </row>
    <row r="992">
      <c r="A992" s="43"/>
      <c r="B992" s="43"/>
      <c r="C992" s="43"/>
      <c r="D992" s="43"/>
      <c r="F992" s="92"/>
      <c r="G992" s="92"/>
      <c r="H992" s="92"/>
    </row>
    <row r="993">
      <c r="A993" s="43"/>
      <c r="B993" s="43"/>
      <c r="C993" s="43"/>
      <c r="D993" s="43"/>
      <c r="F993" s="92"/>
      <c r="G993" s="92"/>
      <c r="H993" s="92"/>
    </row>
    <row r="994">
      <c r="A994" s="43"/>
      <c r="B994" s="43"/>
      <c r="C994" s="43"/>
      <c r="D994" s="43"/>
      <c r="F994" s="92"/>
      <c r="G994" s="92"/>
      <c r="H994" s="92"/>
    </row>
    <row r="995">
      <c r="A995" s="43"/>
      <c r="B995" s="43"/>
      <c r="C995" s="43"/>
      <c r="D995" s="43"/>
      <c r="F995" s="92"/>
      <c r="G995" s="92"/>
      <c r="H995" s="92"/>
    </row>
    <row r="996">
      <c r="A996" s="43"/>
      <c r="B996" s="43"/>
      <c r="C996" s="43"/>
      <c r="D996" s="43"/>
      <c r="F996" s="92"/>
      <c r="G996" s="92"/>
      <c r="H996" s="92"/>
    </row>
    <row r="997">
      <c r="A997" s="43"/>
      <c r="B997" s="43"/>
      <c r="C997" s="43"/>
      <c r="D997" s="43"/>
      <c r="F997" s="92"/>
      <c r="G997" s="92"/>
      <c r="H997" s="92"/>
    </row>
    <row r="998">
      <c r="A998" s="43"/>
      <c r="B998" s="43"/>
      <c r="C998" s="43"/>
      <c r="D998" s="43"/>
      <c r="F998" s="92"/>
      <c r="G998" s="92"/>
      <c r="H998" s="92"/>
    </row>
    <row r="999">
      <c r="A999" s="43"/>
      <c r="B999" s="43"/>
      <c r="C999" s="43"/>
      <c r="D999" s="43"/>
      <c r="F999" s="92"/>
      <c r="G999" s="92"/>
      <c r="H999" s="92"/>
    </row>
    <row r="1000">
      <c r="A1000" s="43"/>
      <c r="B1000" s="43"/>
      <c r="C1000" s="43"/>
      <c r="D1000" s="43"/>
      <c r="F1000" s="92"/>
      <c r="G1000" s="92"/>
      <c r="H1000" s="9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8"/>
  </cols>
  <sheetData>
    <row r="1">
      <c r="A1" s="102" t="s">
        <v>186</v>
      </c>
      <c r="B1" s="102" t="s">
        <v>119</v>
      </c>
      <c r="C1" s="102" t="s">
        <v>187</v>
      </c>
      <c r="D1" s="102" t="s">
        <v>188</v>
      </c>
      <c r="E1" s="102" t="s">
        <v>189</v>
      </c>
      <c r="F1" s="102" t="s">
        <v>190</v>
      </c>
      <c r="G1" s="102" t="s">
        <v>191</v>
      </c>
      <c r="H1" s="102" t="s">
        <v>192</v>
      </c>
      <c r="I1" s="102" t="s">
        <v>193</v>
      </c>
      <c r="J1" s="102" t="s">
        <v>194</v>
      </c>
      <c r="K1" s="102" t="s">
        <v>195</v>
      </c>
      <c r="L1" s="102" t="s">
        <v>196</v>
      </c>
      <c r="M1" s="102" t="s">
        <v>197</v>
      </c>
      <c r="N1" s="65" t="s">
        <v>198</v>
      </c>
      <c r="O1" s="65" t="s">
        <v>199</v>
      </c>
    </row>
    <row r="2">
      <c r="A2" s="102" t="s">
        <v>200</v>
      </c>
      <c r="B2" s="102">
        <v>26506.0</v>
      </c>
      <c r="C2" s="102">
        <v>636.0</v>
      </c>
      <c r="D2" s="102">
        <v>115.6623</v>
      </c>
      <c r="E2" s="102">
        <v>2657.0</v>
      </c>
      <c r="F2" s="102">
        <v>595.0</v>
      </c>
      <c r="G2" s="102">
        <v>16583.0</v>
      </c>
      <c r="H2" s="102">
        <v>5027.0</v>
      </c>
      <c r="I2" s="102">
        <v>2468.0</v>
      </c>
      <c r="J2" s="102">
        <v>1127.0</v>
      </c>
      <c r="K2" s="102">
        <v>625.0</v>
      </c>
      <c r="L2" s="102">
        <v>81.0</v>
      </c>
      <c r="M2" s="102">
        <v>18171.0</v>
      </c>
      <c r="N2" s="103">
        <v>8335.0</v>
      </c>
      <c r="O2" s="65">
        <v>0.0</v>
      </c>
    </row>
    <row r="3">
      <c r="A3" s="102" t="s">
        <v>201</v>
      </c>
      <c r="B3" s="102">
        <v>17736.0</v>
      </c>
      <c r="C3" s="102">
        <v>539.0</v>
      </c>
      <c r="D3" s="102">
        <v>82.7308</v>
      </c>
      <c r="E3" s="102">
        <v>3069.0</v>
      </c>
      <c r="F3" s="102">
        <v>12.0</v>
      </c>
      <c r="G3" s="102">
        <v>5511.0</v>
      </c>
      <c r="H3" s="102">
        <v>6761.0</v>
      </c>
      <c r="I3" s="102">
        <v>4172.0</v>
      </c>
      <c r="J3" s="102">
        <v>678.0</v>
      </c>
      <c r="K3" s="102">
        <v>540.0</v>
      </c>
      <c r="L3" s="102">
        <v>62.0</v>
      </c>
      <c r="M3" s="102">
        <v>10237.0</v>
      </c>
      <c r="N3" s="103">
        <v>7499.0</v>
      </c>
      <c r="O3" s="65">
        <v>0.0</v>
      </c>
    </row>
    <row r="4">
      <c r="A4" s="102" t="s">
        <v>202</v>
      </c>
      <c r="B4" s="102">
        <v>23173.0</v>
      </c>
      <c r="C4" s="102">
        <v>668.0</v>
      </c>
      <c r="D4" s="102">
        <v>104.5549</v>
      </c>
      <c r="E4" s="102">
        <v>3712.0</v>
      </c>
      <c r="F4" s="102">
        <v>0.0</v>
      </c>
      <c r="G4" s="102">
        <v>9283.0</v>
      </c>
      <c r="H4" s="102">
        <v>5937.0</v>
      </c>
      <c r="I4" s="102">
        <v>4380.0</v>
      </c>
      <c r="J4" s="102">
        <v>2132.0</v>
      </c>
      <c r="K4" s="102">
        <v>1441.0</v>
      </c>
      <c r="L4" s="102">
        <v>0.0</v>
      </c>
      <c r="M4" s="102">
        <v>13726.0</v>
      </c>
      <c r="N4" s="103">
        <v>9447.0</v>
      </c>
      <c r="O4" s="65">
        <v>0.0</v>
      </c>
    </row>
    <row r="5">
      <c r="A5" s="102" t="s">
        <v>203</v>
      </c>
      <c r="B5" s="102">
        <v>13164.0</v>
      </c>
      <c r="C5" s="102">
        <v>375.0</v>
      </c>
      <c r="D5" s="102">
        <v>62.3838</v>
      </c>
      <c r="E5" s="102">
        <v>2952.0</v>
      </c>
      <c r="F5" s="102">
        <v>55.0</v>
      </c>
      <c r="G5" s="102">
        <v>3849.0</v>
      </c>
      <c r="H5" s="102">
        <v>4731.0</v>
      </c>
      <c r="I5" s="102">
        <v>2676.0</v>
      </c>
      <c r="J5" s="102">
        <v>957.0</v>
      </c>
      <c r="K5" s="102">
        <v>830.0</v>
      </c>
      <c r="L5" s="102">
        <v>66.0</v>
      </c>
      <c r="M5" s="102">
        <v>6658.0</v>
      </c>
      <c r="N5" s="103">
        <v>6506.0</v>
      </c>
      <c r="O5" s="65">
        <v>0.0</v>
      </c>
    </row>
    <row r="6">
      <c r="A6" s="102" t="s">
        <v>204</v>
      </c>
      <c r="B6" s="102">
        <v>27189.0</v>
      </c>
      <c r="C6" s="102">
        <v>836.0</v>
      </c>
      <c r="D6" s="102">
        <v>123.3484</v>
      </c>
      <c r="E6" s="102">
        <v>2834.0</v>
      </c>
      <c r="F6" s="102">
        <v>29.0</v>
      </c>
      <c r="G6" s="102">
        <v>11715.0</v>
      </c>
      <c r="H6" s="102">
        <v>4111.0</v>
      </c>
      <c r="I6" s="102">
        <v>5177.0</v>
      </c>
      <c r="J6" s="102">
        <v>2912.0</v>
      </c>
      <c r="K6" s="102">
        <v>3245.0</v>
      </c>
      <c r="L6" s="102">
        <v>0.0</v>
      </c>
      <c r="M6" s="102">
        <v>13734.0</v>
      </c>
      <c r="N6" s="103">
        <v>13455.0</v>
      </c>
      <c r="O6" s="65">
        <v>0.0</v>
      </c>
    </row>
    <row r="7">
      <c r="A7" s="102" t="s">
        <v>205</v>
      </c>
      <c r="B7" s="102">
        <v>14918.0</v>
      </c>
      <c r="C7" s="102">
        <v>391.0</v>
      </c>
      <c r="D7" s="102">
        <v>65.7222</v>
      </c>
      <c r="E7" s="102">
        <v>3181.0</v>
      </c>
      <c r="F7" s="102">
        <v>0.0</v>
      </c>
      <c r="G7" s="102">
        <v>7726.0</v>
      </c>
      <c r="H7" s="102">
        <v>5766.0</v>
      </c>
      <c r="I7" s="102">
        <v>993.0</v>
      </c>
      <c r="J7" s="102">
        <v>363.0</v>
      </c>
      <c r="K7" s="102">
        <v>70.0</v>
      </c>
      <c r="L7" s="102">
        <v>0.0</v>
      </c>
      <c r="M7" s="102">
        <v>8405.0</v>
      </c>
      <c r="N7" s="103">
        <v>6513.0</v>
      </c>
      <c r="O7" s="65">
        <v>0.0</v>
      </c>
    </row>
    <row r="8">
      <c r="A8" s="102" t="s">
        <v>206</v>
      </c>
      <c r="B8" s="102">
        <v>15910.0</v>
      </c>
      <c r="C8" s="102">
        <v>514.0</v>
      </c>
      <c r="D8" s="102">
        <v>78.5341</v>
      </c>
      <c r="E8" s="102">
        <v>2340.0</v>
      </c>
      <c r="F8" s="102">
        <v>98.0</v>
      </c>
      <c r="G8" s="102">
        <v>7063.0</v>
      </c>
      <c r="H8" s="102">
        <v>2351.0</v>
      </c>
      <c r="I8" s="102">
        <v>1935.0</v>
      </c>
      <c r="J8" s="102">
        <v>3353.0</v>
      </c>
      <c r="K8" s="102">
        <v>1075.0</v>
      </c>
      <c r="L8" s="102">
        <v>35.0</v>
      </c>
      <c r="M8" s="102">
        <v>6662.0</v>
      </c>
      <c r="N8" s="103">
        <v>9248.0</v>
      </c>
      <c r="O8" s="65">
        <v>0.0</v>
      </c>
    </row>
    <row r="9">
      <c r="A9" s="102" t="s">
        <v>207</v>
      </c>
      <c r="B9" s="102">
        <v>17712.0</v>
      </c>
      <c r="C9" s="102">
        <v>529.0</v>
      </c>
      <c r="D9" s="102">
        <v>80.0782</v>
      </c>
      <c r="E9" s="102">
        <v>2850.0</v>
      </c>
      <c r="F9" s="102">
        <v>24.0</v>
      </c>
      <c r="G9" s="102">
        <v>7317.0</v>
      </c>
      <c r="H9" s="102">
        <v>2011.0</v>
      </c>
      <c r="I9" s="102">
        <v>3445.0</v>
      </c>
      <c r="J9" s="102">
        <v>2232.0</v>
      </c>
      <c r="K9" s="102">
        <v>2630.0</v>
      </c>
      <c r="L9" s="102">
        <v>53.0</v>
      </c>
      <c r="M9" s="102">
        <v>8329.0</v>
      </c>
      <c r="N9" s="103">
        <v>9383.0</v>
      </c>
      <c r="O9" s="65">
        <v>0.0</v>
      </c>
    </row>
    <row r="10">
      <c r="A10" s="102" t="s">
        <v>208</v>
      </c>
      <c r="B10" s="102">
        <v>17832.0</v>
      </c>
      <c r="C10" s="102">
        <v>508.0</v>
      </c>
      <c r="D10" s="102">
        <v>83.6765</v>
      </c>
      <c r="E10" s="102">
        <v>2936.0</v>
      </c>
      <c r="F10" s="102">
        <v>49.0</v>
      </c>
      <c r="G10" s="102">
        <v>5337.0</v>
      </c>
      <c r="H10" s="102">
        <v>3304.0</v>
      </c>
      <c r="I10" s="102">
        <v>4208.0</v>
      </c>
      <c r="J10" s="102">
        <v>2533.0</v>
      </c>
      <c r="K10" s="102">
        <v>2401.0</v>
      </c>
      <c r="L10" s="102">
        <v>0.0</v>
      </c>
      <c r="M10" s="102">
        <v>9175.0</v>
      </c>
      <c r="N10" s="103">
        <v>8657.0</v>
      </c>
      <c r="O10" s="65">
        <v>0.0</v>
      </c>
    </row>
    <row r="11">
      <c r="A11" s="102" t="s">
        <v>209</v>
      </c>
      <c r="B11" s="102">
        <v>15651.0</v>
      </c>
      <c r="C11" s="102">
        <v>418.0</v>
      </c>
      <c r="D11" s="102">
        <v>72.79</v>
      </c>
      <c r="E11" s="102">
        <v>2765.0</v>
      </c>
      <c r="F11" s="102">
        <v>25.0</v>
      </c>
      <c r="G11" s="102">
        <v>2848.0</v>
      </c>
      <c r="H11" s="102">
        <v>2463.0</v>
      </c>
      <c r="I11" s="102">
        <v>3784.0</v>
      </c>
      <c r="J11" s="102">
        <v>2536.0</v>
      </c>
      <c r="K11" s="102">
        <v>3995.0</v>
      </c>
      <c r="L11" s="102">
        <v>0.0</v>
      </c>
      <c r="M11" s="102">
        <v>10096.0</v>
      </c>
      <c r="N11" s="103">
        <v>5555.0</v>
      </c>
      <c r="O11" s="65">
        <v>0.0</v>
      </c>
    </row>
    <row r="12">
      <c r="A12" s="102" t="s">
        <v>210</v>
      </c>
      <c r="B12" s="102">
        <v>21012.0</v>
      </c>
      <c r="C12" s="102">
        <v>542.0</v>
      </c>
      <c r="D12" s="102">
        <v>98.3076</v>
      </c>
      <c r="E12" s="102">
        <v>2383.0</v>
      </c>
      <c r="F12" s="102">
        <v>0.0</v>
      </c>
      <c r="G12" s="102">
        <v>7396.0</v>
      </c>
      <c r="H12" s="102">
        <v>3542.0</v>
      </c>
      <c r="I12" s="102">
        <v>4224.0</v>
      </c>
      <c r="J12" s="102">
        <v>2992.0</v>
      </c>
      <c r="K12" s="102">
        <v>2858.0</v>
      </c>
      <c r="L12" s="102">
        <v>0.0</v>
      </c>
      <c r="M12" s="102">
        <v>11113.0</v>
      </c>
      <c r="N12" s="103">
        <v>9899.0</v>
      </c>
      <c r="O12" s="65">
        <v>0.0</v>
      </c>
    </row>
    <row r="13">
      <c r="A13" s="102" t="s">
        <v>211</v>
      </c>
      <c r="B13" s="102">
        <v>23385.0</v>
      </c>
      <c r="C13" s="102">
        <v>666.0</v>
      </c>
      <c r="D13" s="102">
        <v>107.7398</v>
      </c>
      <c r="E13" s="102">
        <v>3459.0</v>
      </c>
      <c r="F13" s="102">
        <v>55.0</v>
      </c>
      <c r="G13" s="102">
        <v>5323.0</v>
      </c>
      <c r="H13" s="102">
        <v>5407.0</v>
      </c>
      <c r="I13" s="102">
        <v>3229.0</v>
      </c>
      <c r="J13" s="102">
        <v>5903.0</v>
      </c>
      <c r="K13" s="102">
        <v>3458.0</v>
      </c>
      <c r="L13" s="102">
        <v>10.0</v>
      </c>
      <c r="M13" s="102">
        <v>14751.0</v>
      </c>
      <c r="N13" s="103">
        <v>8634.0</v>
      </c>
      <c r="O13" s="65">
        <v>0.0</v>
      </c>
    </row>
    <row r="14">
      <c r="A14" s="102" t="s">
        <v>212</v>
      </c>
      <c r="B14" s="102">
        <v>25064.0</v>
      </c>
      <c r="C14" s="102">
        <v>625.0</v>
      </c>
      <c r="D14" s="102">
        <v>117.276</v>
      </c>
      <c r="E14" s="102">
        <v>2352.0</v>
      </c>
      <c r="F14" s="102">
        <v>0.0</v>
      </c>
      <c r="G14" s="102">
        <v>7421.0</v>
      </c>
      <c r="H14" s="102">
        <v>4852.0</v>
      </c>
      <c r="I14" s="102">
        <v>4829.0</v>
      </c>
      <c r="J14" s="102">
        <v>4420.0</v>
      </c>
      <c r="K14" s="102">
        <v>3542.0</v>
      </c>
      <c r="L14" s="102">
        <v>0.0</v>
      </c>
      <c r="M14" s="102">
        <v>15601.0</v>
      </c>
      <c r="N14" s="103">
        <v>9463.0</v>
      </c>
      <c r="O14" s="65">
        <v>0.0</v>
      </c>
    </row>
    <row r="15">
      <c r="A15" s="102" t="s">
        <v>213</v>
      </c>
      <c r="B15" s="102">
        <v>17905.0</v>
      </c>
      <c r="C15" s="102">
        <v>436.0</v>
      </c>
      <c r="D15" s="102">
        <v>81.1349</v>
      </c>
      <c r="E15" s="102">
        <v>2291.0</v>
      </c>
      <c r="F15" s="102">
        <v>0.0</v>
      </c>
      <c r="G15" s="102">
        <v>3170.0</v>
      </c>
      <c r="H15" s="102">
        <v>2712.0</v>
      </c>
      <c r="I15" s="102">
        <v>4001.0</v>
      </c>
      <c r="J15" s="102">
        <v>3137.0</v>
      </c>
      <c r="K15" s="102">
        <v>4885.0</v>
      </c>
      <c r="L15" s="102">
        <v>0.0</v>
      </c>
      <c r="M15" s="102">
        <v>10982.0</v>
      </c>
      <c r="N15" s="103">
        <v>6923.0</v>
      </c>
      <c r="O15" s="65">
        <v>0.0</v>
      </c>
    </row>
    <row r="16">
      <c r="A16" s="102" t="s">
        <v>214</v>
      </c>
      <c r="B16" s="102">
        <v>19856.0</v>
      </c>
      <c r="C16" s="102">
        <v>519.0</v>
      </c>
      <c r="D16" s="102">
        <v>92.5591</v>
      </c>
      <c r="E16" s="102">
        <v>3397.0</v>
      </c>
      <c r="F16" s="102">
        <v>0.0</v>
      </c>
      <c r="G16" s="102">
        <v>3362.0</v>
      </c>
      <c r="H16" s="102">
        <v>3757.0</v>
      </c>
      <c r="I16" s="102">
        <v>3090.0</v>
      </c>
      <c r="J16" s="102">
        <v>4530.0</v>
      </c>
      <c r="K16" s="102">
        <v>5117.0</v>
      </c>
      <c r="L16" s="102">
        <v>0.0</v>
      </c>
      <c r="M16" s="102">
        <v>11689.0</v>
      </c>
      <c r="N16" s="103">
        <v>8167.0</v>
      </c>
      <c r="O16" s="65">
        <v>0.0</v>
      </c>
    </row>
    <row r="17">
      <c r="A17" s="102" t="s">
        <v>215</v>
      </c>
      <c r="B17" s="102">
        <v>18228.0</v>
      </c>
      <c r="C17" s="102">
        <v>480.0</v>
      </c>
      <c r="D17" s="102">
        <v>89.1087</v>
      </c>
      <c r="E17" s="102">
        <v>2475.0</v>
      </c>
      <c r="F17" s="102">
        <v>0.0</v>
      </c>
      <c r="G17" s="102">
        <v>7543.0</v>
      </c>
      <c r="H17" s="102">
        <v>4720.0</v>
      </c>
      <c r="I17" s="102">
        <v>2820.0</v>
      </c>
      <c r="J17" s="102">
        <v>1783.0</v>
      </c>
      <c r="K17" s="102">
        <v>1362.0</v>
      </c>
      <c r="L17" s="102">
        <v>0.0</v>
      </c>
      <c r="M17" s="102">
        <v>9428.0</v>
      </c>
      <c r="N17" s="103">
        <v>8800.0</v>
      </c>
      <c r="O17" s="65">
        <v>0.0</v>
      </c>
    </row>
    <row r="18">
      <c r="A18" s="102" t="s">
        <v>216</v>
      </c>
      <c r="B18" s="102">
        <v>16537.0</v>
      </c>
      <c r="C18" s="102">
        <v>429.0</v>
      </c>
      <c r="D18" s="102">
        <v>78.3933</v>
      </c>
      <c r="E18" s="102">
        <v>2374.0</v>
      </c>
      <c r="F18" s="102">
        <v>0.0</v>
      </c>
      <c r="G18" s="102">
        <v>1864.0</v>
      </c>
      <c r="H18" s="102">
        <v>2648.0</v>
      </c>
      <c r="I18" s="102">
        <v>3077.0</v>
      </c>
      <c r="J18" s="102">
        <v>3803.0</v>
      </c>
      <c r="K18" s="102">
        <v>5135.0</v>
      </c>
      <c r="L18" s="102">
        <v>10.0</v>
      </c>
      <c r="M18" s="102">
        <v>10565.0</v>
      </c>
      <c r="N18" s="103">
        <v>5972.0</v>
      </c>
      <c r="O18" s="65">
        <v>0.0</v>
      </c>
    </row>
    <row r="19">
      <c r="A19" s="102" t="s">
        <v>217</v>
      </c>
      <c r="B19" s="102">
        <v>16333.0</v>
      </c>
      <c r="C19" s="102">
        <v>469.0</v>
      </c>
      <c r="D19" s="102">
        <v>75.9863</v>
      </c>
      <c r="E19" s="102">
        <v>2331.0</v>
      </c>
      <c r="F19" s="102">
        <v>0.0</v>
      </c>
      <c r="G19" s="102">
        <v>3206.0</v>
      </c>
      <c r="H19" s="102">
        <v>3151.0</v>
      </c>
      <c r="I19" s="102">
        <v>4797.0</v>
      </c>
      <c r="J19" s="102">
        <v>3109.0</v>
      </c>
      <c r="K19" s="102">
        <v>1898.0</v>
      </c>
      <c r="L19" s="102">
        <v>172.0</v>
      </c>
      <c r="M19" s="102">
        <v>10406.0</v>
      </c>
      <c r="N19" s="103">
        <v>5927.0</v>
      </c>
      <c r="O19" s="65">
        <v>0.0</v>
      </c>
    </row>
    <row r="20">
      <c r="A20" s="102" t="s">
        <v>218</v>
      </c>
      <c r="B20" s="102">
        <v>18556.0</v>
      </c>
      <c r="C20" s="102">
        <v>534.0</v>
      </c>
      <c r="D20" s="102">
        <v>83.9542</v>
      </c>
      <c r="E20" s="102">
        <v>2422.0</v>
      </c>
      <c r="F20" s="102">
        <v>0.0</v>
      </c>
      <c r="G20" s="102">
        <v>6897.0</v>
      </c>
      <c r="H20" s="102">
        <v>3578.0</v>
      </c>
      <c r="I20" s="102">
        <v>2557.0</v>
      </c>
      <c r="J20" s="102">
        <v>2857.0</v>
      </c>
      <c r="K20" s="102">
        <v>2667.0</v>
      </c>
      <c r="L20" s="102">
        <v>0.0</v>
      </c>
      <c r="M20" s="102">
        <v>8347.0</v>
      </c>
      <c r="N20" s="103">
        <v>10209.0</v>
      </c>
      <c r="O20" s="65">
        <v>0.0</v>
      </c>
    </row>
    <row r="21">
      <c r="A21" s="102" t="s">
        <v>219</v>
      </c>
      <c r="B21" s="102">
        <v>17507.0</v>
      </c>
      <c r="C21" s="102">
        <v>487.0</v>
      </c>
      <c r="D21" s="102">
        <v>83.0986</v>
      </c>
      <c r="E21" s="102">
        <v>2735.0</v>
      </c>
      <c r="F21" s="102">
        <v>0.0</v>
      </c>
      <c r="G21" s="102">
        <v>3201.0</v>
      </c>
      <c r="H21" s="102">
        <v>2571.0</v>
      </c>
      <c r="I21" s="102">
        <v>4330.0</v>
      </c>
      <c r="J21" s="102">
        <v>4797.0</v>
      </c>
      <c r="K21" s="102">
        <v>2399.0</v>
      </c>
      <c r="L21" s="102">
        <v>209.0</v>
      </c>
      <c r="M21" s="102">
        <v>10579.0</v>
      </c>
      <c r="N21" s="103">
        <v>6928.0</v>
      </c>
      <c r="O21" s="65">
        <v>0.0</v>
      </c>
    </row>
    <row r="22">
      <c r="A22" s="102" t="s">
        <v>220</v>
      </c>
      <c r="B22" s="102">
        <v>15193.0</v>
      </c>
      <c r="C22" s="102">
        <v>444.0</v>
      </c>
      <c r="D22" s="102">
        <v>73.3331</v>
      </c>
      <c r="E22" s="102">
        <v>2876.0</v>
      </c>
      <c r="F22" s="102">
        <v>0.0</v>
      </c>
      <c r="G22" s="102">
        <v>4920.0</v>
      </c>
      <c r="H22" s="102">
        <v>2439.0</v>
      </c>
      <c r="I22" s="102">
        <v>3760.0</v>
      </c>
      <c r="J22" s="102">
        <v>2230.0</v>
      </c>
      <c r="K22" s="102">
        <v>1726.0</v>
      </c>
      <c r="L22" s="102">
        <v>118.0</v>
      </c>
      <c r="M22" s="102">
        <v>8576.0</v>
      </c>
      <c r="N22" s="103">
        <v>6617.0</v>
      </c>
      <c r="O22" s="65">
        <v>0.0</v>
      </c>
    </row>
    <row r="23">
      <c r="A23" s="102" t="s">
        <v>221</v>
      </c>
      <c r="B23" s="102">
        <v>22497.0</v>
      </c>
      <c r="C23" s="102">
        <v>586.0</v>
      </c>
      <c r="D23" s="102">
        <v>103.6557</v>
      </c>
      <c r="E23" s="102">
        <v>2390.0</v>
      </c>
      <c r="F23" s="102">
        <v>39.0</v>
      </c>
      <c r="G23" s="102">
        <v>11411.0</v>
      </c>
      <c r="H23" s="102">
        <v>3469.0</v>
      </c>
      <c r="I23" s="102">
        <v>2603.0</v>
      </c>
      <c r="J23" s="102">
        <v>3459.0</v>
      </c>
      <c r="K23" s="102">
        <v>1516.0</v>
      </c>
      <c r="L23" s="102">
        <v>0.0</v>
      </c>
      <c r="M23" s="102">
        <v>8889.0</v>
      </c>
      <c r="N23" s="103">
        <v>13608.0</v>
      </c>
      <c r="O23" s="65">
        <v>0.0</v>
      </c>
    </row>
    <row r="24">
      <c r="A24" s="102" t="s">
        <v>222</v>
      </c>
      <c r="B24" s="102">
        <v>22400.0</v>
      </c>
      <c r="C24" s="102">
        <v>619.0</v>
      </c>
      <c r="D24" s="102">
        <v>104.4315</v>
      </c>
      <c r="E24" s="102">
        <v>2761.0</v>
      </c>
      <c r="F24" s="102">
        <v>0.0</v>
      </c>
      <c r="G24" s="102">
        <v>4906.0</v>
      </c>
      <c r="H24" s="102">
        <v>5245.0</v>
      </c>
      <c r="I24" s="102">
        <v>3763.0</v>
      </c>
      <c r="J24" s="102">
        <v>4110.0</v>
      </c>
      <c r="K24" s="102">
        <v>4340.0</v>
      </c>
      <c r="L24" s="102">
        <v>36.0</v>
      </c>
      <c r="M24" s="102">
        <v>13532.0</v>
      </c>
      <c r="N24" s="103">
        <v>8868.0</v>
      </c>
      <c r="O24" s="65">
        <v>0.0</v>
      </c>
    </row>
    <row r="25">
      <c r="A25" s="102" t="s">
        <v>223</v>
      </c>
      <c r="B25" s="102">
        <v>22622.0</v>
      </c>
      <c r="C25" s="102">
        <v>564.0</v>
      </c>
      <c r="D25" s="102">
        <v>105.544</v>
      </c>
      <c r="E25" s="102">
        <v>2665.0</v>
      </c>
      <c r="F25" s="102">
        <v>0.0</v>
      </c>
      <c r="G25" s="102">
        <v>4209.0</v>
      </c>
      <c r="H25" s="102">
        <v>3400.0</v>
      </c>
      <c r="I25" s="102">
        <v>3874.0</v>
      </c>
      <c r="J25" s="102">
        <v>7077.0</v>
      </c>
      <c r="K25" s="102">
        <v>3926.0</v>
      </c>
      <c r="L25" s="102">
        <v>136.0</v>
      </c>
      <c r="M25" s="102">
        <v>14181.0</v>
      </c>
      <c r="N25" s="103">
        <v>8441.0</v>
      </c>
      <c r="O25" s="65">
        <v>0.0</v>
      </c>
    </row>
    <row r="26">
      <c r="A26" s="102" t="s">
        <v>224</v>
      </c>
      <c r="B26" s="102">
        <v>14137.0</v>
      </c>
      <c r="C26" s="102">
        <v>415.0</v>
      </c>
      <c r="D26" s="102">
        <v>69.7168</v>
      </c>
      <c r="E26" s="102">
        <v>2619.0</v>
      </c>
      <c r="F26" s="102">
        <v>0.0</v>
      </c>
      <c r="G26" s="102">
        <v>2342.0</v>
      </c>
      <c r="H26" s="102">
        <v>1562.0</v>
      </c>
      <c r="I26" s="102">
        <v>4863.0</v>
      </c>
      <c r="J26" s="102">
        <v>3792.0</v>
      </c>
      <c r="K26" s="102">
        <v>1326.0</v>
      </c>
      <c r="L26" s="102">
        <v>252.0</v>
      </c>
      <c r="M26" s="102">
        <v>3854.0</v>
      </c>
      <c r="N26" s="103">
        <v>10283.0</v>
      </c>
      <c r="O26" s="65">
        <v>0.0</v>
      </c>
    </row>
    <row r="27">
      <c r="A27" s="102" t="s">
        <v>225</v>
      </c>
      <c r="B27" s="102">
        <v>17448.0</v>
      </c>
      <c r="C27" s="102">
        <v>555.0</v>
      </c>
      <c r="D27" s="102">
        <v>82.6592</v>
      </c>
      <c r="E27" s="102">
        <v>2578.0</v>
      </c>
      <c r="F27" s="102">
        <v>0.0</v>
      </c>
      <c r="G27" s="102">
        <v>4485.0</v>
      </c>
      <c r="H27" s="102">
        <v>4782.0</v>
      </c>
      <c r="I27" s="102">
        <v>4168.0</v>
      </c>
      <c r="J27" s="102">
        <v>1565.0</v>
      </c>
      <c r="K27" s="102">
        <v>2448.0</v>
      </c>
      <c r="L27" s="102">
        <v>0.0</v>
      </c>
      <c r="M27" s="102">
        <v>6553.0</v>
      </c>
      <c r="N27" s="103">
        <v>10895.0</v>
      </c>
      <c r="O27" s="65">
        <v>0.0</v>
      </c>
    </row>
    <row r="28">
      <c r="A28" s="102" t="s">
        <v>226</v>
      </c>
      <c r="B28" s="102">
        <v>14506.0</v>
      </c>
      <c r="C28" s="102">
        <v>438.0</v>
      </c>
      <c r="D28" s="102">
        <v>65.853</v>
      </c>
      <c r="E28" s="102">
        <v>2671.0</v>
      </c>
      <c r="F28" s="102">
        <v>36.0</v>
      </c>
      <c r="G28" s="102">
        <v>4601.0</v>
      </c>
      <c r="H28" s="102">
        <v>4384.0</v>
      </c>
      <c r="I28" s="102">
        <v>2675.0</v>
      </c>
      <c r="J28" s="102">
        <v>1738.0</v>
      </c>
      <c r="K28" s="102">
        <v>1039.0</v>
      </c>
      <c r="L28" s="102">
        <v>33.0</v>
      </c>
      <c r="M28" s="102">
        <v>5511.0</v>
      </c>
      <c r="N28" s="103">
        <v>8995.0</v>
      </c>
      <c r="O28" s="65">
        <v>0.0</v>
      </c>
    </row>
    <row r="29">
      <c r="A29" s="102" t="s">
        <v>227</v>
      </c>
      <c r="B29" s="102">
        <v>17634.0</v>
      </c>
      <c r="C29" s="102">
        <v>483.0</v>
      </c>
      <c r="D29" s="102">
        <v>83.0382</v>
      </c>
      <c r="E29" s="102">
        <v>3239.0</v>
      </c>
      <c r="F29" s="102">
        <v>56.0</v>
      </c>
      <c r="G29" s="102">
        <v>3166.0</v>
      </c>
      <c r="H29" s="102">
        <v>3084.0</v>
      </c>
      <c r="I29" s="102">
        <v>5796.0</v>
      </c>
      <c r="J29" s="102">
        <v>2700.0</v>
      </c>
      <c r="K29" s="102">
        <v>2794.0</v>
      </c>
      <c r="L29" s="102">
        <v>38.0</v>
      </c>
      <c r="M29" s="102">
        <v>10324.0</v>
      </c>
      <c r="N29" s="103">
        <v>7310.0</v>
      </c>
      <c r="O29" s="65">
        <v>0.0</v>
      </c>
    </row>
    <row r="30">
      <c r="A30" s="102" t="s">
        <v>228</v>
      </c>
      <c r="B30" s="102">
        <v>17628.0</v>
      </c>
      <c r="C30" s="102">
        <v>580.0</v>
      </c>
      <c r="D30" s="102">
        <v>85.4383</v>
      </c>
      <c r="E30" s="102">
        <v>3289.0</v>
      </c>
      <c r="F30" s="102">
        <v>0.0</v>
      </c>
      <c r="G30" s="102">
        <v>6799.0</v>
      </c>
      <c r="H30" s="102">
        <v>4542.0</v>
      </c>
      <c r="I30" s="102">
        <v>2625.0</v>
      </c>
      <c r="J30" s="102">
        <v>2495.0</v>
      </c>
      <c r="K30" s="102">
        <v>1157.0</v>
      </c>
      <c r="L30" s="102">
        <v>10.0</v>
      </c>
      <c r="M30" s="102">
        <v>7214.0</v>
      </c>
      <c r="N30" s="103">
        <v>10414.0</v>
      </c>
      <c r="O30" s="65">
        <v>0.0</v>
      </c>
    </row>
    <row r="31">
      <c r="A31" s="102" t="s">
        <v>229</v>
      </c>
      <c r="B31" s="102">
        <v>12651.0</v>
      </c>
      <c r="C31" s="102">
        <v>414.0</v>
      </c>
      <c r="D31" s="102">
        <v>59.8984</v>
      </c>
      <c r="E31" s="102">
        <v>2307.0</v>
      </c>
      <c r="F31" s="102">
        <v>0.0</v>
      </c>
      <c r="G31" s="102">
        <v>1906.0</v>
      </c>
      <c r="H31" s="102">
        <v>3460.0</v>
      </c>
      <c r="I31" s="102">
        <v>2916.0</v>
      </c>
      <c r="J31" s="102">
        <v>2166.0</v>
      </c>
      <c r="K31" s="102">
        <v>2115.0</v>
      </c>
      <c r="L31" s="102">
        <v>88.0</v>
      </c>
      <c r="M31" s="102">
        <v>6858.0</v>
      </c>
      <c r="N31" s="103">
        <v>5793.0</v>
      </c>
      <c r="O31" s="65">
        <v>0.0</v>
      </c>
    </row>
    <row r="32">
      <c r="A32" s="102" t="s">
        <v>230</v>
      </c>
      <c r="B32" s="102">
        <v>15999.0</v>
      </c>
      <c r="C32" s="102">
        <v>499.0</v>
      </c>
      <c r="D32" s="102">
        <v>77.3116</v>
      </c>
      <c r="E32" s="102">
        <v>2231.0</v>
      </c>
      <c r="F32" s="102">
        <v>22.0</v>
      </c>
      <c r="G32" s="102">
        <v>2348.0</v>
      </c>
      <c r="H32" s="102">
        <v>1708.0</v>
      </c>
      <c r="I32" s="102">
        <v>3000.0</v>
      </c>
      <c r="J32" s="102">
        <v>4554.0</v>
      </c>
      <c r="K32" s="102">
        <v>4334.0</v>
      </c>
      <c r="L32" s="102">
        <v>33.0</v>
      </c>
      <c r="M32" s="102">
        <v>10486.0</v>
      </c>
      <c r="N32" s="103">
        <v>5513.0</v>
      </c>
      <c r="O32" s="65">
        <v>0.0</v>
      </c>
    </row>
    <row r="33">
      <c r="A33" s="102" t="s">
        <v>231</v>
      </c>
      <c r="B33" s="102">
        <v>13726.0</v>
      </c>
      <c r="C33" s="102">
        <v>454.0</v>
      </c>
      <c r="D33" s="102">
        <v>65.1616</v>
      </c>
      <c r="E33" s="102">
        <v>2632.0</v>
      </c>
      <c r="F33" s="102">
        <v>12.0</v>
      </c>
      <c r="G33" s="102">
        <v>4980.0</v>
      </c>
      <c r="H33" s="102">
        <v>3795.0</v>
      </c>
      <c r="I33" s="102">
        <v>2840.0</v>
      </c>
      <c r="J33" s="102">
        <v>1585.0</v>
      </c>
      <c r="K33" s="102">
        <v>514.0</v>
      </c>
      <c r="L33" s="102">
        <v>0.0</v>
      </c>
      <c r="M33" s="102">
        <v>5304.0</v>
      </c>
      <c r="N33" s="103">
        <v>8422.0</v>
      </c>
      <c r="O33" s="65">
        <v>0.0</v>
      </c>
    </row>
    <row r="34">
      <c r="A34" s="102" t="s">
        <v>232</v>
      </c>
      <c r="B34" s="102">
        <v>16291.0</v>
      </c>
      <c r="C34" s="102">
        <v>431.0</v>
      </c>
      <c r="D34" s="102">
        <v>75.6955</v>
      </c>
      <c r="E34" s="102">
        <v>2864.0</v>
      </c>
      <c r="F34" s="102">
        <v>10.0</v>
      </c>
      <c r="G34" s="102">
        <v>3622.0</v>
      </c>
      <c r="H34" s="102">
        <v>2321.0</v>
      </c>
      <c r="I34" s="102">
        <v>3758.0</v>
      </c>
      <c r="J34" s="102">
        <v>3086.0</v>
      </c>
      <c r="K34" s="102">
        <v>3494.0</v>
      </c>
      <c r="L34" s="102">
        <v>0.0</v>
      </c>
      <c r="M34" s="102">
        <v>10230.0</v>
      </c>
      <c r="N34" s="103">
        <v>6061.0</v>
      </c>
      <c r="O34" s="65">
        <v>0.0</v>
      </c>
    </row>
    <row r="35">
      <c r="A35" s="102" t="s">
        <v>233</v>
      </c>
      <c r="B35" s="102">
        <v>15016.0</v>
      </c>
      <c r="C35" s="102">
        <v>458.0</v>
      </c>
      <c r="D35" s="102">
        <v>72.9386</v>
      </c>
      <c r="E35" s="102">
        <v>2578.0</v>
      </c>
      <c r="F35" s="102">
        <v>0.0</v>
      </c>
      <c r="G35" s="102">
        <v>2198.0</v>
      </c>
      <c r="H35" s="102">
        <v>2351.0</v>
      </c>
      <c r="I35" s="102">
        <v>2426.0</v>
      </c>
      <c r="J35" s="102">
        <v>4740.0</v>
      </c>
      <c r="K35" s="102">
        <v>2952.0</v>
      </c>
      <c r="L35" s="102">
        <v>349.0</v>
      </c>
      <c r="M35" s="102">
        <v>8673.0</v>
      </c>
      <c r="N35" s="103">
        <v>6343.0</v>
      </c>
      <c r="O35" s="65">
        <v>0.0</v>
      </c>
    </row>
    <row r="36">
      <c r="A36" s="102" t="s">
        <v>234</v>
      </c>
      <c r="B36" s="102">
        <v>14611.0</v>
      </c>
      <c r="C36" s="102">
        <v>486.0</v>
      </c>
      <c r="D36" s="102">
        <v>66.4149</v>
      </c>
      <c r="E36" s="102">
        <v>3553.0</v>
      </c>
      <c r="F36" s="102">
        <v>54.0</v>
      </c>
      <c r="G36" s="102">
        <v>3821.0</v>
      </c>
      <c r="H36" s="102">
        <v>4867.0</v>
      </c>
      <c r="I36" s="102">
        <v>2259.0</v>
      </c>
      <c r="J36" s="102">
        <v>1623.0</v>
      </c>
      <c r="K36" s="102">
        <v>1933.0</v>
      </c>
      <c r="L36" s="102">
        <v>54.0</v>
      </c>
      <c r="M36" s="102">
        <v>7467.0</v>
      </c>
      <c r="N36" s="103">
        <v>7144.0</v>
      </c>
      <c r="O36" s="65">
        <v>0.0</v>
      </c>
    </row>
    <row r="37">
      <c r="A37" s="102" t="s">
        <v>235</v>
      </c>
      <c r="B37" s="102">
        <v>6050.0</v>
      </c>
      <c r="C37" s="102">
        <v>168.0</v>
      </c>
      <c r="D37" s="102">
        <v>28.4952</v>
      </c>
      <c r="E37" s="102">
        <v>2589.0</v>
      </c>
      <c r="F37" s="102">
        <v>0.0</v>
      </c>
      <c r="G37" s="102">
        <v>869.0</v>
      </c>
      <c r="H37" s="102">
        <v>1241.0</v>
      </c>
      <c r="I37" s="102">
        <v>1054.0</v>
      </c>
      <c r="J37" s="102">
        <v>1404.0</v>
      </c>
      <c r="K37" s="102">
        <v>1451.0</v>
      </c>
      <c r="L37" s="102">
        <v>31.0</v>
      </c>
      <c r="M37" s="102">
        <v>3818.0</v>
      </c>
      <c r="N37" s="103">
        <v>2232.0</v>
      </c>
      <c r="O37" s="65">
        <v>0.0</v>
      </c>
    </row>
    <row r="38">
      <c r="A38" s="102" t="s">
        <v>236</v>
      </c>
      <c r="B38" s="102">
        <v>13285.0</v>
      </c>
      <c r="C38" s="102">
        <v>394.0</v>
      </c>
      <c r="D38" s="102">
        <v>62.1444</v>
      </c>
      <c r="E38" s="102">
        <v>3318.0</v>
      </c>
      <c r="F38" s="102">
        <v>0.0</v>
      </c>
      <c r="G38" s="102">
        <v>3289.0</v>
      </c>
      <c r="H38" s="102">
        <v>2441.0</v>
      </c>
      <c r="I38" s="102">
        <v>3321.0</v>
      </c>
      <c r="J38" s="102">
        <v>2377.0</v>
      </c>
      <c r="K38" s="102">
        <v>1768.0</v>
      </c>
      <c r="L38" s="102">
        <v>89.0</v>
      </c>
      <c r="M38" s="102">
        <v>6971.0</v>
      </c>
      <c r="N38" s="103">
        <v>6314.0</v>
      </c>
      <c r="O38" s="65">
        <v>0.0</v>
      </c>
    </row>
    <row r="39">
      <c r="A39" s="102" t="s">
        <v>237</v>
      </c>
      <c r="B39" s="102">
        <v>18252.0</v>
      </c>
      <c r="C39" s="102">
        <v>480.0</v>
      </c>
      <c r="D39" s="102">
        <v>88.3852</v>
      </c>
      <c r="E39" s="102">
        <v>2806.0</v>
      </c>
      <c r="F39" s="102">
        <v>11.0</v>
      </c>
      <c r="G39" s="102">
        <v>9372.0</v>
      </c>
      <c r="H39" s="102">
        <v>4319.0</v>
      </c>
      <c r="I39" s="102">
        <v>1994.0</v>
      </c>
      <c r="J39" s="102">
        <v>1625.0</v>
      </c>
      <c r="K39" s="102">
        <v>881.0</v>
      </c>
      <c r="L39" s="102">
        <v>50.0</v>
      </c>
      <c r="M39" s="102">
        <v>11117.0</v>
      </c>
      <c r="N39" s="103">
        <v>7135.0</v>
      </c>
      <c r="O39" s="65">
        <v>0.0</v>
      </c>
    </row>
    <row r="40">
      <c r="A40" s="102" t="s">
        <v>238</v>
      </c>
      <c r="B40" s="102">
        <v>16197.0</v>
      </c>
      <c r="C40" s="102">
        <v>443.0</v>
      </c>
      <c r="D40" s="102">
        <v>76.8016</v>
      </c>
      <c r="E40" s="102">
        <v>2722.0</v>
      </c>
      <c r="F40" s="102">
        <v>31.0</v>
      </c>
      <c r="G40" s="102">
        <v>5463.0</v>
      </c>
      <c r="H40" s="102">
        <v>3842.0</v>
      </c>
      <c r="I40" s="102">
        <v>3790.0</v>
      </c>
      <c r="J40" s="102">
        <v>2080.0</v>
      </c>
      <c r="K40" s="102">
        <v>940.0</v>
      </c>
      <c r="L40" s="102">
        <v>51.0</v>
      </c>
      <c r="M40" s="102">
        <v>10325.0</v>
      </c>
      <c r="N40" s="103">
        <v>5872.0</v>
      </c>
      <c r="O40" s="65">
        <v>0.0</v>
      </c>
    </row>
    <row r="41">
      <c r="A41" s="102" t="s">
        <v>239</v>
      </c>
      <c r="B41" s="102">
        <v>17841.0</v>
      </c>
      <c r="C41" s="102">
        <v>428.0</v>
      </c>
      <c r="D41" s="102">
        <v>83.6804</v>
      </c>
      <c r="E41" s="102">
        <v>3035.0</v>
      </c>
      <c r="F41" s="102">
        <v>381.0</v>
      </c>
      <c r="G41" s="102">
        <v>9457.0</v>
      </c>
      <c r="H41" s="102">
        <v>4608.0</v>
      </c>
      <c r="I41" s="102">
        <v>1946.0</v>
      </c>
      <c r="J41" s="102">
        <v>1230.0</v>
      </c>
      <c r="K41" s="102">
        <v>219.0</v>
      </c>
      <c r="L41" s="102">
        <v>0.0</v>
      </c>
      <c r="M41" s="102">
        <v>13187.0</v>
      </c>
      <c r="N41" s="103">
        <v>4654.0</v>
      </c>
      <c r="O41" s="65">
        <v>0.0</v>
      </c>
    </row>
    <row r="42">
      <c r="A42" s="102" t="s">
        <v>240</v>
      </c>
      <c r="B42" s="102">
        <v>22647.0</v>
      </c>
      <c r="C42" s="102">
        <v>589.0</v>
      </c>
      <c r="D42" s="102">
        <v>106.6164</v>
      </c>
      <c r="E42" s="102">
        <v>3280.0</v>
      </c>
      <c r="F42" s="102">
        <v>0.0</v>
      </c>
      <c r="G42" s="102">
        <v>8122.0</v>
      </c>
      <c r="H42" s="102">
        <v>4632.0</v>
      </c>
      <c r="I42" s="102">
        <v>4051.0</v>
      </c>
      <c r="J42" s="102">
        <v>4485.0</v>
      </c>
      <c r="K42" s="102">
        <v>1289.0</v>
      </c>
      <c r="L42" s="102">
        <v>68.0</v>
      </c>
      <c r="M42" s="102">
        <v>12134.0</v>
      </c>
      <c r="N42" s="103">
        <v>10513.0</v>
      </c>
      <c r="O42" s="65">
        <v>0.0</v>
      </c>
    </row>
    <row r="43">
      <c r="A43" s="102" t="s">
        <v>241</v>
      </c>
      <c r="B43" s="102">
        <v>15871.0</v>
      </c>
      <c r="C43" s="102">
        <v>440.0</v>
      </c>
      <c r="D43" s="102">
        <v>77.6611</v>
      </c>
      <c r="E43" s="102">
        <v>2980.0</v>
      </c>
      <c r="F43" s="102">
        <v>128.0</v>
      </c>
      <c r="G43" s="102">
        <v>9467.0</v>
      </c>
      <c r="H43" s="102">
        <v>3688.0</v>
      </c>
      <c r="I43" s="102">
        <v>1938.0</v>
      </c>
      <c r="J43" s="102">
        <v>531.0</v>
      </c>
      <c r="K43" s="102">
        <v>119.0</v>
      </c>
      <c r="L43" s="102">
        <v>0.0</v>
      </c>
      <c r="M43" s="102">
        <v>7863.0</v>
      </c>
      <c r="N43" s="103">
        <v>8008.0</v>
      </c>
      <c r="O43" s="65">
        <v>0.0</v>
      </c>
    </row>
    <row r="44">
      <c r="A44" s="102" t="s">
        <v>242</v>
      </c>
      <c r="B44" s="102">
        <v>17088.0</v>
      </c>
      <c r="C44" s="102">
        <v>505.0</v>
      </c>
      <c r="D44" s="102">
        <v>80.8547</v>
      </c>
      <c r="E44" s="102">
        <v>3109.0</v>
      </c>
      <c r="F44" s="102">
        <v>59.0</v>
      </c>
      <c r="G44" s="102">
        <v>7126.0</v>
      </c>
      <c r="H44" s="102">
        <v>5043.0</v>
      </c>
      <c r="I44" s="102">
        <v>2585.0</v>
      </c>
      <c r="J44" s="102">
        <v>1761.0</v>
      </c>
      <c r="K44" s="102">
        <v>479.0</v>
      </c>
      <c r="L44" s="102">
        <v>35.0</v>
      </c>
      <c r="M44" s="102">
        <v>13270.0</v>
      </c>
      <c r="N44" s="103">
        <v>3818.0</v>
      </c>
      <c r="O44" s="65">
        <v>0.0</v>
      </c>
    </row>
    <row r="45">
      <c r="A45" s="102" t="s">
        <v>243</v>
      </c>
      <c r="B45" s="102">
        <v>16239.0</v>
      </c>
      <c r="C45" s="102">
        <v>453.0</v>
      </c>
      <c r="D45" s="102">
        <v>74.6521</v>
      </c>
      <c r="E45" s="102">
        <v>2571.0</v>
      </c>
      <c r="F45" s="102">
        <v>83.0</v>
      </c>
      <c r="G45" s="102">
        <v>5844.0</v>
      </c>
      <c r="H45" s="102">
        <v>4105.0</v>
      </c>
      <c r="I45" s="102">
        <v>3608.0</v>
      </c>
      <c r="J45" s="102">
        <v>2355.0</v>
      </c>
      <c r="K45" s="102">
        <v>244.0</v>
      </c>
      <c r="L45" s="102">
        <v>0.0</v>
      </c>
      <c r="M45" s="102">
        <v>13294.0</v>
      </c>
      <c r="N45" s="103">
        <v>2933.0</v>
      </c>
      <c r="O45" s="65">
        <v>12.0</v>
      </c>
    </row>
    <row r="46">
      <c r="A46" s="102" t="s">
        <v>244</v>
      </c>
      <c r="B46" s="102">
        <v>19807.0</v>
      </c>
      <c r="C46" s="102">
        <v>474.0</v>
      </c>
      <c r="D46" s="102">
        <v>90.7222</v>
      </c>
      <c r="E46" s="102">
        <v>3639.0</v>
      </c>
      <c r="F46" s="102">
        <v>62.0</v>
      </c>
      <c r="G46" s="102">
        <v>9506.0</v>
      </c>
      <c r="H46" s="102">
        <v>4971.0</v>
      </c>
      <c r="I46" s="102">
        <v>2300.0</v>
      </c>
      <c r="J46" s="102">
        <v>2050.0</v>
      </c>
      <c r="K46" s="102">
        <v>849.0</v>
      </c>
      <c r="L46" s="102">
        <v>69.0</v>
      </c>
      <c r="M46" s="102">
        <v>11620.0</v>
      </c>
      <c r="N46" s="103">
        <v>8187.0</v>
      </c>
      <c r="O46" s="65">
        <v>0.0</v>
      </c>
    </row>
    <row r="47">
      <c r="A47" s="102" t="s">
        <v>245</v>
      </c>
      <c r="B47" s="102">
        <v>15395.0</v>
      </c>
      <c r="C47" s="102">
        <v>401.0</v>
      </c>
      <c r="D47" s="102">
        <v>75.1471</v>
      </c>
      <c r="E47" s="102">
        <v>2771.0</v>
      </c>
      <c r="F47" s="102">
        <v>77.0</v>
      </c>
      <c r="G47" s="102">
        <v>5737.0</v>
      </c>
      <c r="H47" s="102">
        <v>2467.0</v>
      </c>
      <c r="I47" s="102">
        <v>3474.0</v>
      </c>
      <c r="J47" s="102">
        <v>2733.0</v>
      </c>
      <c r="K47" s="102">
        <v>907.0</v>
      </c>
      <c r="L47" s="102">
        <v>0.0</v>
      </c>
      <c r="M47" s="102">
        <v>9409.0</v>
      </c>
      <c r="N47" s="103">
        <v>5986.0</v>
      </c>
      <c r="O47" s="65">
        <v>0.0</v>
      </c>
    </row>
    <row r="48">
      <c r="A48" s="102" t="s">
        <v>246</v>
      </c>
      <c r="B48" s="102">
        <v>22113.0</v>
      </c>
      <c r="C48" s="102">
        <v>604.0</v>
      </c>
      <c r="D48" s="102">
        <v>103.2231</v>
      </c>
      <c r="E48" s="102">
        <v>3245.0</v>
      </c>
      <c r="F48" s="102">
        <v>129.0</v>
      </c>
      <c r="G48" s="102">
        <v>9812.0</v>
      </c>
      <c r="H48" s="102">
        <v>7045.0</v>
      </c>
      <c r="I48" s="102">
        <v>2838.0</v>
      </c>
      <c r="J48" s="102">
        <v>1862.0</v>
      </c>
      <c r="K48" s="102">
        <v>427.0</v>
      </c>
      <c r="L48" s="102">
        <v>0.0</v>
      </c>
      <c r="M48" s="102">
        <v>15801.0</v>
      </c>
      <c r="N48" s="103">
        <v>6312.0</v>
      </c>
      <c r="O48" s="65">
        <v>0.0</v>
      </c>
    </row>
    <row r="49">
      <c r="A49" s="102" t="s">
        <v>247</v>
      </c>
      <c r="B49" s="102">
        <v>19620.0</v>
      </c>
      <c r="C49" s="102">
        <v>516.0</v>
      </c>
      <c r="D49" s="102">
        <v>92.1815</v>
      </c>
      <c r="E49" s="102">
        <v>2513.0</v>
      </c>
      <c r="F49" s="102">
        <v>0.0</v>
      </c>
      <c r="G49" s="102">
        <v>7739.0</v>
      </c>
      <c r="H49" s="102">
        <v>4826.0</v>
      </c>
      <c r="I49" s="102">
        <v>4976.0</v>
      </c>
      <c r="J49" s="102">
        <v>1902.0</v>
      </c>
      <c r="K49" s="102">
        <v>177.0</v>
      </c>
      <c r="L49" s="102">
        <v>0.0</v>
      </c>
      <c r="M49" s="102">
        <v>11747.0</v>
      </c>
      <c r="N49" s="103">
        <v>7873.0</v>
      </c>
      <c r="O49" s="65">
        <v>0.0</v>
      </c>
    </row>
    <row r="50">
      <c r="A50" s="102" t="s">
        <v>248</v>
      </c>
      <c r="B50" s="102">
        <v>18304.0</v>
      </c>
      <c r="C50" s="102">
        <v>592.0</v>
      </c>
      <c r="D50" s="102">
        <v>84.7001</v>
      </c>
      <c r="E50" s="102">
        <v>2861.0</v>
      </c>
      <c r="F50" s="102">
        <v>51.0</v>
      </c>
      <c r="G50" s="102">
        <v>11878.0</v>
      </c>
      <c r="H50" s="102">
        <v>3836.0</v>
      </c>
      <c r="I50" s="102">
        <v>1569.0</v>
      </c>
      <c r="J50" s="102">
        <v>698.0</v>
      </c>
      <c r="K50" s="102">
        <v>261.0</v>
      </c>
      <c r="L50" s="102">
        <v>11.0</v>
      </c>
      <c r="M50" s="102">
        <v>9490.0</v>
      </c>
      <c r="N50" s="103">
        <v>8814.0</v>
      </c>
      <c r="O50" s="65">
        <v>0.0</v>
      </c>
    </row>
    <row r="51">
      <c r="A51" s="102" t="s">
        <v>249</v>
      </c>
      <c r="B51" s="102">
        <v>16214.0</v>
      </c>
      <c r="C51" s="102">
        <v>389.0</v>
      </c>
      <c r="D51" s="102">
        <v>73.0141</v>
      </c>
      <c r="E51" s="102">
        <v>2741.0</v>
      </c>
      <c r="F51" s="102">
        <v>21.0</v>
      </c>
      <c r="G51" s="102">
        <v>6408.0</v>
      </c>
      <c r="H51" s="102">
        <v>3179.0</v>
      </c>
      <c r="I51" s="102">
        <v>3281.0</v>
      </c>
      <c r="J51" s="102">
        <v>2366.0</v>
      </c>
      <c r="K51" s="102">
        <v>959.0</v>
      </c>
      <c r="L51" s="102">
        <v>0.0</v>
      </c>
      <c r="M51" s="102">
        <v>10984.0</v>
      </c>
      <c r="N51" s="103">
        <v>5230.0</v>
      </c>
      <c r="O51" s="65">
        <v>0.0</v>
      </c>
    </row>
    <row r="52">
      <c r="A52" s="102" t="s">
        <v>250</v>
      </c>
      <c r="B52" s="102">
        <v>16394.0</v>
      </c>
      <c r="C52" s="102">
        <v>426.0</v>
      </c>
      <c r="D52" s="102">
        <v>73.1868</v>
      </c>
      <c r="E52" s="102">
        <v>2994.0</v>
      </c>
      <c r="F52" s="102">
        <v>50.0</v>
      </c>
      <c r="G52" s="102">
        <v>6357.0</v>
      </c>
      <c r="H52" s="102">
        <v>2392.0</v>
      </c>
      <c r="I52" s="102">
        <v>3926.0</v>
      </c>
      <c r="J52" s="102">
        <v>2155.0</v>
      </c>
      <c r="K52" s="102">
        <v>1514.0</v>
      </c>
      <c r="L52" s="102">
        <v>0.0</v>
      </c>
      <c r="M52" s="102">
        <v>11274.0</v>
      </c>
      <c r="N52" s="103">
        <v>5120.0</v>
      </c>
      <c r="O52" s="65">
        <v>0.0</v>
      </c>
    </row>
    <row r="53">
      <c r="A53" s="102" t="s">
        <v>251</v>
      </c>
      <c r="B53" s="102">
        <v>18053.0</v>
      </c>
      <c r="C53" s="102">
        <v>444.0</v>
      </c>
      <c r="D53" s="102">
        <v>80.1139</v>
      </c>
      <c r="E53" s="102">
        <v>3548.0</v>
      </c>
      <c r="F53" s="102">
        <v>0.0</v>
      </c>
      <c r="G53" s="102">
        <v>6109.0</v>
      </c>
      <c r="H53" s="102">
        <v>2559.0</v>
      </c>
      <c r="I53" s="102">
        <v>4747.0</v>
      </c>
      <c r="J53" s="102">
        <v>3036.0</v>
      </c>
      <c r="K53" s="102">
        <v>1602.0</v>
      </c>
      <c r="L53" s="102">
        <v>0.0</v>
      </c>
      <c r="M53" s="102">
        <v>10882.0</v>
      </c>
      <c r="N53" s="103">
        <v>7171.0</v>
      </c>
      <c r="O53" s="65">
        <v>0.0</v>
      </c>
    </row>
    <row r="54">
      <c r="A54" s="102" t="s">
        <v>252</v>
      </c>
      <c r="B54" s="102">
        <v>18063.0</v>
      </c>
      <c r="C54" s="102">
        <v>438.0</v>
      </c>
      <c r="D54" s="102">
        <v>80.2561</v>
      </c>
      <c r="E54" s="102">
        <v>2988.0</v>
      </c>
      <c r="F54" s="102">
        <v>0.0</v>
      </c>
      <c r="G54" s="102">
        <v>4285.0</v>
      </c>
      <c r="H54" s="102">
        <v>3808.0</v>
      </c>
      <c r="I54" s="102">
        <v>4947.0</v>
      </c>
      <c r="J54" s="102">
        <v>3198.0</v>
      </c>
      <c r="K54" s="102">
        <v>1776.0</v>
      </c>
      <c r="L54" s="102">
        <v>49.0</v>
      </c>
      <c r="M54" s="102">
        <v>11162.0</v>
      </c>
      <c r="N54" s="103">
        <v>6901.0</v>
      </c>
      <c r="O54" s="65">
        <v>0.0</v>
      </c>
    </row>
    <row r="55">
      <c r="A55" s="102" t="s">
        <v>253</v>
      </c>
      <c r="B55" s="102">
        <v>18913.0</v>
      </c>
      <c r="C55" s="102">
        <v>522.0</v>
      </c>
      <c r="D55" s="102">
        <v>83.5292</v>
      </c>
      <c r="E55" s="102">
        <v>3782.0</v>
      </c>
      <c r="F55" s="102">
        <v>80.0</v>
      </c>
      <c r="G55" s="102">
        <v>9307.0</v>
      </c>
      <c r="H55" s="102">
        <v>3587.0</v>
      </c>
      <c r="I55" s="102">
        <v>3377.0</v>
      </c>
      <c r="J55" s="102">
        <v>1575.0</v>
      </c>
      <c r="K55" s="102">
        <v>987.0</v>
      </c>
      <c r="L55" s="102">
        <v>0.0</v>
      </c>
      <c r="M55" s="102">
        <v>12873.0</v>
      </c>
      <c r="N55" s="103">
        <v>6040.0</v>
      </c>
      <c r="O55" s="65">
        <v>0.0</v>
      </c>
    </row>
    <row r="56">
      <c r="A56" s="102" t="s">
        <v>254</v>
      </c>
      <c r="B56" s="102">
        <v>15438.0</v>
      </c>
      <c r="C56" s="102">
        <v>415.0</v>
      </c>
      <c r="D56" s="102">
        <v>70.7187</v>
      </c>
      <c r="E56" s="102">
        <v>2927.0</v>
      </c>
      <c r="F56" s="102">
        <v>0.0</v>
      </c>
      <c r="G56" s="102">
        <v>3643.0</v>
      </c>
      <c r="H56" s="102">
        <v>3278.0</v>
      </c>
      <c r="I56" s="102">
        <v>4253.0</v>
      </c>
      <c r="J56" s="102">
        <v>2993.0</v>
      </c>
      <c r="K56" s="102">
        <v>1271.0</v>
      </c>
      <c r="L56" s="102">
        <v>0.0</v>
      </c>
      <c r="M56" s="102">
        <v>9969.0</v>
      </c>
      <c r="N56" s="103">
        <v>5469.0</v>
      </c>
      <c r="O56" s="65">
        <v>0.0</v>
      </c>
    </row>
    <row r="57">
      <c r="A57" s="102" t="s">
        <v>255</v>
      </c>
      <c r="B57" s="102">
        <v>19173.0</v>
      </c>
      <c r="C57" s="102">
        <v>505.0</v>
      </c>
      <c r="D57" s="102">
        <v>83.4411</v>
      </c>
      <c r="E57" s="102">
        <v>3417.0</v>
      </c>
      <c r="F57" s="102">
        <v>0.0</v>
      </c>
      <c r="G57" s="102">
        <v>7277.0</v>
      </c>
      <c r="H57" s="102">
        <v>2234.0</v>
      </c>
      <c r="I57" s="102">
        <v>3851.0</v>
      </c>
      <c r="J57" s="102">
        <v>3198.0</v>
      </c>
      <c r="K57" s="102">
        <v>2602.0</v>
      </c>
      <c r="L57" s="102">
        <v>11.0</v>
      </c>
      <c r="M57" s="102">
        <v>14340.0</v>
      </c>
      <c r="N57" s="103">
        <v>4833.0</v>
      </c>
      <c r="O57" s="65">
        <v>0.0</v>
      </c>
    </row>
    <row r="58">
      <c r="A58" s="102" t="s">
        <v>256</v>
      </c>
      <c r="B58" s="102">
        <v>16962.0</v>
      </c>
      <c r="C58" s="102">
        <v>484.0</v>
      </c>
      <c r="D58" s="102">
        <v>79.625</v>
      </c>
      <c r="E58" s="102">
        <v>3144.0</v>
      </c>
      <c r="F58" s="102">
        <v>24.0</v>
      </c>
      <c r="G58" s="102">
        <v>6907.0</v>
      </c>
      <c r="H58" s="102">
        <v>3165.0</v>
      </c>
      <c r="I58" s="102">
        <v>3500.0</v>
      </c>
      <c r="J58" s="102">
        <v>2167.0</v>
      </c>
      <c r="K58" s="102">
        <v>1189.0</v>
      </c>
      <c r="L58" s="102">
        <v>10.0</v>
      </c>
      <c r="M58" s="102">
        <v>7727.0</v>
      </c>
      <c r="N58" s="103">
        <v>9211.0</v>
      </c>
      <c r="O58" s="65">
        <v>24.0</v>
      </c>
    </row>
    <row r="59">
      <c r="A59" s="102" t="s">
        <v>257</v>
      </c>
      <c r="B59" s="102">
        <v>18441.0</v>
      </c>
      <c r="C59" s="102">
        <v>542.0</v>
      </c>
      <c r="D59" s="102">
        <v>83.0433</v>
      </c>
      <c r="E59" s="102">
        <v>2604.0</v>
      </c>
      <c r="F59" s="102">
        <v>0.0</v>
      </c>
      <c r="G59" s="102">
        <v>6322.0</v>
      </c>
      <c r="H59" s="102">
        <v>3600.0</v>
      </c>
      <c r="I59" s="102">
        <v>3968.0</v>
      </c>
      <c r="J59" s="102">
        <v>3081.0</v>
      </c>
      <c r="K59" s="102">
        <v>1470.0</v>
      </c>
      <c r="L59" s="102">
        <v>0.0</v>
      </c>
      <c r="M59" s="102">
        <v>7307.0</v>
      </c>
      <c r="N59" s="103">
        <v>11134.0</v>
      </c>
      <c r="O59" s="65">
        <v>0.0</v>
      </c>
    </row>
    <row r="60">
      <c r="A60" s="102" t="s">
        <v>258</v>
      </c>
      <c r="B60" s="102">
        <v>27494.0</v>
      </c>
      <c r="C60" s="102">
        <v>769.0</v>
      </c>
      <c r="D60" s="102">
        <v>122.8409</v>
      </c>
      <c r="E60" s="102">
        <v>3293.0</v>
      </c>
      <c r="F60" s="102">
        <v>27.0</v>
      </c>
      <c r="G60" s="102">
        <v>14378.0</v>
      </c>
      <c r="H60" s="102">
        <v>7305.0</v>
      </c>
      <c r="I60" s="102">
        <v>2469.0</v>
      </c>
      <c r="J60" s="102">
        <v>2189.0</v>
      </c>
      <c r="K60" s="102">
        <v>1112.0</v>
      </c>
      <c r="L60" s="102">
        <v>14.0</v>
      </c>
      <c r="M60" s="102">
        <v>15345.0</v>
      </c>
      <c r="N60" s="103">
        <v>12149.0</v>
      </c>
      <c r="O60" s="65">
        <v>0.0</v>
      </c>
    </row>
    <row r="61">
      <c r="A61" s="102" t="s">
        <v>259</v>
      </c>
      <c r="B61" s="102">
        <v>22664.0</v>
      </c>
      <c r="C61" s="102">
        <v>577.0</v>
      </c>
      <c r="D61" s="102">
        <v>104.7392</v>
      </c>
      <c r="E61" s="102">
        <v>3466.0</v>
      </c>
      <c r="F61" s="102">
        <v>39.0</v>
      </c>
      <c r="G61" s="102">
        <v>9404.0</v>
      </c>
      <c r="H61" s="102">
        <v>7102.0</v>
      </c>
      <c r="I61" s="102">
        <v>2344.0</v>
      </c>
      <c r="J61" s="102">
        <v>2459.0</v>
      </c>
      <c r="K61" s="102">
        <v>1313.0</v>
      </c>
      <c r="L61" s="102">
        <v>3.0</v>
      </c>
      <c r="M61" s="102">
        <v>11319.0</v>
      </c>
      <c r="N61" s="103">
        <v>11345.0</v>
      </c>
      <c r="O61" s="65">
        <v>0.0</v>
      </c>
    </row>
    <row r="62">
      <c r="A62" s="102" t="s">
        <v>260</v>
      </c>
      <c r="B62" s="102">
        <v>18359.0</v>
      </c>
      <c r="C62" s="102">
        <v>557.0</v>
      </c>
      <c r="D62" s="102">
        <v>85.604</v>
      </c>
      <c r="E62" s="102">
        <v>3580.0</v>
      </c>
      <c r="F62" s="102">
        <v>0.0</v>
      </c>
      <c r="G62" s="102">
        <v>5432.0</v>
      </c>
      <c r="H62" s="102">
        <v>3437.0</v>
      </c>
      <c r="I62" s="102">
        <v>5953.0</v>
      </c>
      <c r="J62" s="102">
        <v>2136.0</v>
      </c>
      <c r="K62" s="102">
        <v>1330.0</v>
      </c>
      <c r="L62" s="102">
        <v>71.0</v>
      </c>
      <c r="M62" s="102">
        <v>11166.0</v>
      </c>
      <c r="N62" s="103">
        <v>7193.0</v>
      </c>
      <c r="O62" s="65">
        <v>0.0</v>
      </c>
    </row>
    <row r="63">
      <c r="A63" s="102" t="s">
        <v>261</v>
      </c>
      <c r="B63" s="102">
        <v>16344.0</v>
      </c>
      <c r="C63" s="102">
        <v>543.0</v>
      </c>
      <c r="D63" s="102">
        <v>79.513</v>
      </c>
      <c r="E63" s="102">
        <v>2577.0</v>
      </c>
      <c r="F63" s="102">
        <v>0.0</v>
      </c>
      <c r="G63" s="102">
        <v>5194.0</v>
      </c>
      <c r="H63" s="102">
        <v>3742.0</v>
      </c>
      <c r="I63" s="102">
        <v>3747.0</v>
      </c>
      <c r="J63" s="102">
        <v>2094.0</v>
      </c>
      <c r="K63" s="102">
        <v>1534.0</v>
      </c>
      <c r="L63" s="102">
        <v>33.0</v>
      </c>
      <c r="M63" s="102">
        <v>7693.0</v>
      </c>
      <c r="N63" s="103">
        <v>8651.0</v>
      </c>
      <c r="O63" s="65">
        <v>0.0</v>
      </c>
    </row>
    <row r="64">
      <c r="A64" s="102" t="s">
        <v>262</v>
      </c>
      <c r="B64" s="102">
        <v>19216.0</v>
      </c>
      <c r="C64" s="102">
        <v>514.0</v>
      </c>
      <c r="D64" s="102">
        <v>89.4452</v>
      </c>
      <c r="E64" s="102">
        <v>2601.0</v>
      </c>
      <c r="F64" s="102">
        <v>0.0</v>
      </c>
      <c r="G64" s="102">
        <v>5258.0</v>
      </c>
      <c r="H64" s="102">
        <v>3555.0</v>
      </c>
      <c r="I64" s="102">
        <v>3198.0</v>
      </c>
      <c r="J64" s="102">
        <v>5782.0</v>
      </c>
      <c r="K64" s="102">
        <v>1381.0</v>
      </c>
      <c r="L64" s="102">
        <v>42.0</v>
      </c>
      <c r="M64" s="102">
        <v>10865.0</v>
      </c>
      <c r="N64" s="103">
        <v>8351.0</v>
      </c>
      <c r="O64" s="65">
        <v>0.0</v>
      </c>
    </row>
    <row r="65">
      <c r="A65" s="102" t="s">
        <v>263</v>
      </c>
      <c r="B65" s="102">
        <v>15940.0</v>
      </c>
      <c r="C65" s="102">
        <v>492.0</v>
      </c>
      <c r="D65" s="102">
        <v>71.859</v>
      </c>
      <c r="E65" s="102">
        <v>3085.0</v>
      </c>
      <c r="F65" s="102">
        <v>0.0</v>
      </c>
      <c r="G65" s="102">
        <v>3322.0</v>
      </c>
      <c r="H65" s="102">
        <v>2514.0</v>
      </c>
      <c r="I65" s="102">
        <v>5303.0</v>
      </c>
      <c r="J65" s="102">
        <v>2355.0</v>
      </c>
      <c r="K65" s="102">
        <v>2315.0</v>
      </c>
      <c r="L65" s="102">
        <v>131.0</v>
      </c>
      <c r="M65" s="102">
        <v>9325.0</v>
      </c>
      <c r="N65" s="103">
        <v>6615.0</v>
      </c>
      <c r="O65" s="65">
        <v>0.0</v>
      </c>
    </row>
    <row r="66">
      <c r="A66" s="102" t="s">
        <v>264</v>
      </c>
      <c r="B66" s="102">
        <v>16980.0</v>
      </c>
      <c r="C66" s="102">
        <v>504.0</v>
      </c>
      <c r="D66" s="102">
        <v>80.5067</v>
      </c>
      <c r="E66" s="102">
        <v>2603.0</v>
      </c>
      <c r="F66" s="102">
        <v>113.0</v>
      </c>
      <c r="G66" s="102">
        <v>4632.0</v>
      </c>
      <c r="H66" s="102">
        <v>3620.0</v>
      </c>
      <c r="I66" s="102">
        <v>4365.0</v>
      </c>
      <c r="J66" s="102">
        <v>1497.0</v>
      </c>
      <c r="K66" s="102">
        <v>2730.0</v>
      </c>
      <c r="L66" s="102">
        <v>23.0</v>
      </c>
      <c r="M66" s="102">
        <v>9071.0</v>
      </c>
      <c r="N66" s="103">
        <v>7909.0</v>
      </c>
      <c r="O66" s="65">
        <v>0.0</v>
      </c>
    </row>
    <row r="67">
      <c r="A67" s="102" t="s">
        <v>265</v>
      </c>
      <c r="B67" s="102">
        <v>21476.0</v>
      </c>
      <c r="C67" s="102">
        <v>631.0</v>
      </c>
      <c r="D67" s="102">
        <v>98.5555</v>
      </c>
      <c r="E67" s="102">
        <v>2688.0</v>
      </c>
      <c r="F67" s="102">
        <v>54.0</v>
      </c>
      <c r="G67" s="102">
        <v>8331.0</v>
      </c>
      <c r="H67" s="102">
        <v>4924.0</v>
      </c>
      <c r="I67" s="102">
        <v>3226.0</v>
      </c>
      <c r="J67" s="102">
        <v>4002.0</v>
      </c>
      <c r="K67" s="102">
        <v>914.0</v>
      </c>
      <c r="L67" s="102">
        <v>25.0</v>
      </c>
      <c r="M67" s="102">
        <v>8439.0</v>
      </c>
      <c r="N67" s="103">
        <v>13037.0</v>
      </c>
      <c r="O67" s="65">
        <v>0.0</v>
      </c>
    </row>
    <row r="68">
      <c r="A68" s="102" t="s">
        <v>266</v>
      </c>
      <c r="B68" s="102">
        <v>24361.0</v>
      </c>
      <c r="C68" s="102">
        <v>682.0</v>
      </c>
      <c r="D68" s="102">
        <v>115.5974</v>
      </c>
      <c r="E68" s="102">
        <v>2553.0</v>
      </c>
      <c r="F68" s="102">
        <v>0.0</v>
      </c>
      <c r="G68" s="102">
        <v>6338.0</v>
      </c>
      <c r="H68" s="102">
        <v>3594.0</v>
      </c>
      <c r="I68" s="102">
        <v>4144.0</v>
      </c>
      <c r="J68" s="102">
        <v>9145.0</v>
      </c>
      <c r="K68" s="102">
        <v>1121.0</v>
      </c>
      <c r="L68" s="102">
        <v>19.0</v>
      </c>
      <c r="M68" s="102">
        <v>13130.0</v>
      </c>
      <c r="N68" s="103">
        <v>11231.0</v>
      </c>
      <c r="O68" s="65">
        <v>0.0</v>
      </c>
    </row>
    <row r="69">
      <c r="A69" s="102" t="s">
        <v>267</v>
      </c>
      <c r="B69" s="102">
        <v>17515.0</v>
      </c>
      <c r="C69" s="102">
        <v>466.0</v>
      </c>
      <c r="D69" s="102">
        <v>82.6161</v>
      </c>
      <c r="E69" s="102">
        <v>2632.0</v>
      </c>
      <c r="F69" s="102">
        <v>0.0</v>
      </c>
      <c r="G69" s="102">
        <v>4956.0</v>
      </c>
      <c r="H69" s="102">
        <v>3148.0</v>
      </c>
      <c r="I69" s="102">
        <v>3562.0</v>
      </c>
      <c r="J69" s="102">
        <v>4044.0</v>
      </c>
      <c r="K69" s="102">
        <v>1792.0</v>
      </c>
      <c r="L69" s="102">
        <v>13.0</v>
      </c>
      <c r="M69" s="102">
        <v>8341.0</v>
      </c>
      <c r="N69" s="103">
        <v>9174.0</v>
      </c>
      <c r="O69" s="65">
        <v>0.0</v>
      </c>
    </row>
    <row r="70">
      <c r="A70" s="102" t="s">
        <v>268</v>
      </c>
      <c r="B70" s="102">
        <v>18016.0</v>
      </c>
      <c r="C70" s="102">
        <v>566.0</v>
      </c>
      <c r="D70" s="102">
        <v>82.8231</v>
      </c>
      <c r="E70" s="102">
        <v>2558.0</v>
      </c>
      <c r="F70" s="102">
        <v>34.0</v>
      </c>
      <c r="G70" s="102">
        <v>8888.0</v>
      </c>
      <c r="H70" s="102">
        <v>5023.0</v>
      </c>
      <c r="I70" s="102">
        <v>2235.0</v>
      </c>
      <c r="J70" s="102">
        <v>1229.0</v>
      </c>
      <c r="K70" s="102">
        <v>607.0</v>
      </c>
      <c r="L70" s="102">
        <v>0.0</v>
      </c>
      <c r="M70" s="102">
        <v>9069.0</v>
      </c>
      <c r="N70" s="103">
        <v>8947.0</v>
      </c>
      <c r="O70" s="65">
        <v>0.0</v>
      </c>
    </row>
    <row r="71">
      <c r="A71" s="102" t="s">
        <v>269</v>
      </c>
      <c r="B71" s="102">
        <v>15959.0</v>
      </c>
      <c r="C71" s="102">
        <v>469.0</v>
      </c>
      <c r="D71" s="102">
        <v>74.4803</v>
      </c>
      <c r="E71" s="102">
        <v>3524.0</v>
      </c>
      <c r="F71" s="102">
        <v>88.0</v>
      </c>
      <c r="G71" s="102">
        <v>8172.0</v>
      </c>
      <c r="H71" s="102">
        <v>2933.0</v>
      </c>
      <c r="I71" s="102">
        <v>2283.0</v>
      </c>
      <c r="J71" s="102">
        <v>1360.0</v>
      </c>
      <c r="K71" s="102">
        <v>1023.0</v>
      </c>
      <c r="L71" s="102">
        <v>100.0</v>
      </c>
      <c r="M71" s="102">
        <v>7434.0</v>
      </c>
      <c r="N71" s="103">
        <v>8525.0</v>
      </c>
      <c r="O71" s="65">
        <v>0.0</v>
      </c>
    </row>
    <row r="72">
      <c r="A72" s="102" t="s">
        <v>270</v>
      </c>
      <c r="B72" s="102">
        <v>18395.0</v>
      </c>
      <c r="C72" s="102">
        <v>546.0</v>
      </c>
      <c r="D72" s="102">
        <v>87.9332</v>
      </c>
      <c r="E72" s="102">
        <v>3042.0</v>
      </c>
      <c r="F72" s="102">
        <v>0.0</v>
      </c>
      <c r="G72" s="102">
        <v>5188.0</v>
      </c>
      <c r="H72" s="102">
        <v>5961.0</v>
      </c>
      <c r="I72" s="102">
        <v>2918.0</v>
      </c>
      <c r="J72" s="102">
        <v>2625.0</v>
      </c>
      <c r="K72" s="102">
        <v>1643.0</v>
      </c>
      <c r="L72" s="102">
        <v>60.0</v>
      </c>
      <c r="M72" s="102">
        <v>6852.0</v>
      </c>
      <c r="N72" s="103">
        <v>11543.0</v>
      </c>
      <c r="O72" s="65">
        <v>0.0</v>
      </c>
    </row>
    <row r="73">
      <c r="A73" s="102" t="s">
        <v>271</v>
      </c>
      <c r="B73" s="102">
        <v>17022.0</v>
      </c>
      <c r="C73" s="102">
        <v>450.0</v>
      </c>
      <c r="D73" s="102">
        <v>83.0492</v>
      </c>
      <c r="E73" s="102">
        <v>2767.0</v>
      </c>
      <c r="F73" s="102">
        <v>0.0</v>
      </c>
      <c r="G73" s="102">
        <v>6171.0</v>
      </c>
      <c r="H73" s="102">
        <v>3206.0</v>
      </c>
      <c r="I73" s="102">
        <v>2439.0</v>
      </c>
      <c r="J73" s="102">
        <v>3084.0</v>
      </c>
      <c r="K73" s="102">
        <v>2122.0</v>
      </c>
      <c r="L73" s="102">
        <v>0.0</v>
      </c>
      <c r="M73" s="102">
        <v>7323.0</v>
      </c>
      <c r="N73" s="103">
        <v>9699.0</v>
      </c>
      <c r="O73" s="65">
        <v>0.0</v>
      </c>
    </row>
    <row r="74">
      <c r="A74" s="102" t="s">
        <v>272</v>
      </c>
      <c r="B74" s="102">
        <v>16795.0</v>
      </c>
      <c r="C74" s="102">
        <v>478.0</v>
      </c>
      <c r="D74" s="102">
        <v>83.0914</v>
      </c>
      <c r="E74" s="102">
        <v>2792.0</v>
      </c>
      <c r="F74" s="102">
        <v>0.0</v>
      </c>
      <c r="G74" s="102">
        <v>6044.0</v>
      </c>
      <c r="H74" s="102">
        <v>4812.0</v>
      </c>
      <c r="I74" s="102">
        <v>1875.0</v>
      </c>
      <c r="J74" s="102">
        <v>2760.0</v>
      </c>
      <c r="K74" s="102">
        <v>1304.0</v>
      </c>
      <c r="L74" s="102">
        <v>0.0</v>
      </c>
      <c r="M74" s="102">
        <v>8015.0</v>
      </c>
      <c r="N74" s="103">
        <v>8780.0</v>
      </c>
      <c r="O74" s="65">
        <v>0.0</v>
      </c>
    </row>
    <row r="75">
      <c r="A75" s="102" t="s">
        <v>273</v>
      </c>
      <c r="B75" s="102">
        <v>17314.0</v>
      </c>
      <c r="C75" s="102">
        <v>527.0</v>
      </c>
      <c r="D75" s="102">
        <v>85.1074</v>
      </c>
      <c r="E75" s="102">
        <v>2980.0</v>
      </c>
      <c r="F75" s="102">
        <v>0.0</v>
      </c>
      <c r="G75" s="102">
        <v>9412.0</v>
      </c>
      <c r="H75" s="102">
        <v>4374.0</v>
      </c>
      <c r="I75" s="102">
        <v>1568.0</v>
      </c>
      <c r="J75" s="102">
        <v>1792.0</v>
      </c>
      <c r="K75" s="102">
        <v>168.0</v>
      </c>
      <c r="L75" s="102">
        <v>0.0</v>
      </c>
      <c r="M75" s="102">
        <v>9717.0</v>
      </c>
      <c r="N75" s="103">
        <v>7597.0</v>
      </c>
      <c r="O75" s="65">
        <v>0.0</v>
      </c>
    </row>
    <row r="76">
      <c r="A76" s="102" t="s">
        <v>274</v>
      </c>
      <c r="B76" s="102">
        <v>13689.0</v>
      </c>
      <c r="C76" s="102">
        <v>432.0</v>
      </c>
      <c r="D76" s="102">
        <v>63.2001</v>
      </c>
      <c r="E76" s="102">
        <v>2631.0</v>
      </c>
      <c r="F76" s="102">
        <v>0.0</v>
      </c>
      <c r="G76" s="102">
        <v>3269.0</v>
      </c>
      <c r="H76" s="102">
        <v>3819.0</v>
      </c>
      <c r="I76" s="102">
        <v>4805.0</v>
      </c>
      <c r="J76" s="102">
        <v>828.0</v>
      </c>
      <c r="K76" s="102">
        <v>924.0</v>
      </c>
      <c r="L76" s="102">
        <v>44.0</v>
      </c>
      <c r="M76" s="102">
        <v>8567.0</v>
      </c>
      <c r="N76" s="103">
        <v>5122.0</v>
      </c>
      <c r="O76" s="65">
        <v>0.0</v>
      </c>
    </row>
    <row r="77">
      <c r="A77" s="102" t="s">
        <v>275</v>
      </c>
      <c r="B77" s="102">
        <v>21109.0</v>
      </c>
      <c r="C77" s="102">
        <v>585.0</v>
      </c>
      <c r="D77" s="102">
        <v>93.4497</v>
      </c>
      <c r="E77" s="102">
        <v>3532.0</v>
      </c>
      <c r="F77" s="102">
        <v>0.0</v>
      </c>
      <c r="G77" s="102">
        <v>12033.0</v>
      </c>
      <c r="H77" s="102">
        <v>5660.0</v>
      </c>
      <c r="I77" s="102">
        <v>1960.0</v>
      </c>
      <c r="J77" s="102">
        <v>890.0</v>
      </c>
      <c r="K77" s="102">
        <v>504.0</v>
      </c>
      <c r="L77" s="102">
        <v>62.0</v>
      </c>
      <c r="M77" s="102">
        <v>12820.0</v>
      </c>
      <c r="N77" s="103">
        <v>8289.0</v>
      </c>
      <c r="O77" s="65">
        <v>0.0</v>
      </c>
    </row>
    <row r="78">
      <c r="A78" s="102" t="s">
        <v>276</v>
      </c>
      <c r="B78" s="102">
        <v>19325.0</v>
      </c>
      <c r="C78" s="102">
        <v>529.0</v>
      </c>
      <c r="D78" s="102">
        <v>93.2815</v>
      </c>
      <c r="E78" s="102">
        <v>3123.0</v>
      </c>
      <c r="F78" s="102">
        <v>0.0</v>
      </c>
      <c r="G78" s="102">
        <v>7740.0</v>
      </c>
      <c r="H78" s="102">
        <v>7317.0</v>
      </c>
      <c r="I78" s="102">
        <v>2238.0</v>
      </c>
      <c r="J78" s="102">
        <v>1764.0</v>
      </c>
      <c r="K78" s="102">
        <v>229.0</v>
      </c>
      <c r="L78" s="102">
        <v>37.0</v>
      </c>
      <c r="M78" s="102">
        <v>8134.0</v>
      </c>
      <c r="N78" s="103">
        <v>11191.0</v>
      </c>
      <c r="O78" s="65">
        <v>0.0</v>
      </c>
    </row>
    <row r="79">
      <c r="A79" s="102" t="s">
        <v>277</v>
      </c>
      <c r="B79" s="102">
        <v>16650.0</v>
      </c>
      <c r="C79" s="102">
        <v>496.0</v>
      </c>
      <c r="D79" s="102">
        <v>76.6463</v>
      </c>
      <c r="E79" s="102">
        <v>3653.0</v>
      </c>
      <c r="F79" s="102">
        <v>55.0</v>
      </c>
      <c r="G79" s="102">
        <v>7489.0</v>
      </c>
      <c r="H79" s="102">
        <v>4523.0</v>
      </c>
      <c r="I79" s="102">
        <v>3478.0</v>
      </c>
      <c r="J79" s="102">
        <v>186.0</v>
      </c>
      <c r="K79" s="102">
        <v>880.0</v>
      </c>
      <c r="L79" s="102">
        <v>39.0</v>
      </c>
      <c r="M79" s="102">
        <v>7821.0</v>
      </c>
      <c r="N79" s="103">
        <v>8829.0</v>
      </c>
      <c r="O79" s="65">
        <v>0.0</v>
      </c>
    </row>
    <row r="80">
      <c r="A80" s="102" t="s">
        <v>278</v>
      </c>
      <c r="B80" s="102">
        <v>16729.0</v>
      </c>
      <c r="C80" s="102">
        <v>465.0</v>
      </c>
      <c r="D80" s="102">
        <v>75.7061</v>
      </c>
      <c r="E80" s="102">
        <v>2758.0</v>
      </c>
      <c r="F80" s="102">
        <v>0.0</v>
      </c>
      <c r="G80" s="102">
        <v>6318.0</v>
      </c>
      <c r="H80" s="102">
        <v>4393.0</v>
      </c>
      <c r="I80" s="102">
        <v>4749.0</v>
      </c>
      <c r="J80" s="102">
        <v>917.0</v>
      </c>
      <c r="K80" s="102">
        <v>352.0</v>
      </c>
      <c r="L80" s="102">
        <v>0.0</v>
      </c>
      <c r="M80" s="102">
        <v>8430.0</v>
      </c>
      <c r="N80" s="103">
        <v>8299.0</v>
      </c>
      <c r="O80" s="65">
        <v>0.0</v>
      </c>
    </row>
    <row r="81">
      <c r="A81" s="102" t="s">
        <v>279</v>
      </c>
      <c r="B81" s="102">
        <v>18275.0</v>
      </c>
      <c r="C81" s="102">
        <v>477.0</v>
      </c>
      <c r="D81" s="102">
        <v>81.4982</v>
      </c>
      <c r="E81" s="102">
        <v>3322.0</v>
      </c>
      <c r="F81" s="102">
        <v>0.0</v>
      </c>
      <c r="G81" s="102">
        <v>8177.0</v>
      </c>
      <c r="H81" s="102">
        <v>4255.0</v>
      </c>
      <c r="I81" s="102">
        <v>2919.0</v>
      </c>
      <c r="J81" s="102">
        <v>2385.0</v>
      </c>
      <c r="K81" s="102">
        <v>486.0</v>
      </c>
      <c r="L81" s="102">
        <v>53.0</v>
      </c>
      <c r="M81" s="102">
        <v>9665.0</v>
      </c>
      <c r="N81" s="103">
        <v>8610.0</v>
      </c>
      <c r="O81" s="65">
        <v>0.0</v>
      </c>
    </row>
    <row r="84">
      <c r="A84" s="65" t="s">
        <v>280</v>
      </c>
      <c r="B84" s="65" t="s">
        <v>281</v>
      </c>
      <c r="C84" s="65" t="s">
        <v>187</v>
      </c>
      <c r="D84" s="65" t="s">
        <v>189</v>
      </c>
      <c r="E84" s="65" t="s">
        <v>188</v>
      </c>
      <c r="F84" s="65" t="s">
        <v>119</v>
      </c>
    </row>
    <row r="85">
      <c r="A85" s="65" t="s">
        <v>282</v>
      </c>
      <c r="B85" s="65">
        <v>1.0</v>
      </c>
      <c r="C85" s="65">
        <v>1.0</v>
      </c>
      <c r="D85" s="65">
        <v>11.0</v>
      </c>
      <c r="E85" s="65">
        <v>0.0357</v>
      </c>
      <c r="F85" s="65">
        <v>11.0</v>
      </c>
    </row>
    <row r="86">
      <c r="A86" s="65" t="s">
        <v>283</v>
      </c>
      <c r="B86" s="65">
        <v>1.0</v>
      </c>
      <c r="C86" s="65">
        <v>1.0</v>
      </c>
      <c r="D86" s="65">
        <v>1.0</v>
      </c>
      <c r="E86" s="65">
        <v>0.0056</v>
      </c>
      <c r="F86" s="65">
        <v>1.0</v>
      </c>
    </row>
    <row r="87">
      <c r="A87" s="65" t="s">
        <v>284</v>
      </c>
      <c r="B87" s="65">
        <v>12.0</v>
      </c>
      <c r="C87" s="65">
        <v>235.0</v>
      </c>
      <c r="D87" s="65">
        <v>3962.0</v>
      </c>
      <c r="E87" s="65">
        <v>32.5817</v>
      </c>
      <c r="F87" s="65">
        <v>7325.0</v>
      </c>
    </row>
    <row r="88">
      <c r="A88" s="65" t="s">
        <v>285</v>
      </c>
      <c r="B88" s="65">
        <v>1.0</v>
      </c>
      <c r="C88" s="65">
        <v>1.0</v>
      </c>
      <c r="D88" s="65">
        <v>41.0</v>
      </c>
      <c r="E88" s="65">
        <v>0.1886</v>
      </c>
      <c r="F88" s="65">
        <v>41.0</v>
      </c>
    </row>
    <row r="89">
      <c r="A89" s="65" t="s">
        <v>286</v>
      </c>
      <c r="B89" s="65">
        <v>7.0</v>
      </c>
      <c r="C89" s="65">
        <v>16.0</v>
      </c>
      <c r="D89" s="65">
        <v>406.0</v>
      </c>
      <c r="E89" s="65">
        <v>1.9859</v>
      </c>
      <c r="F89" s="65">
        <v>419.0</v>
      </c>
    </row>
    <row r="90">
      <c r="A90" s="65" t="s">
        <v>287</v>
      </c>
      <c r="B90" s="65">
        <v>1.0</v>
      </c>
      <c r="C90" s="65">
        <v>2.0</v>
      </c>
      <c r="D90" s="65">
        <v>84.0</v>
      </c>
      <c r="E90" s="65">
        <v>0.4844</v>
      </c>
      <c r="F90" s="65">
        <v>86.0</v>
      </c>
    </row>
    <row r="91">
      <c r="A91" s="65" t="s">
        <v>288</v>
      </c>
      <c r="B91" s="65">
        <v>1.0</v>
      </c>
      <c r="C91" s="65">
        <v>2.0</v>
      </c>
      <c r="D91" s="65">
        <v>100.0</v>
      </c>
      <c r="E91" s="65">
        <v>0.5073</v>
      </c>
      <c r="F91" s="65">
        <v>100.0</v>
      </c>
    </row>
    <row r="92">
      <c r="A92" s="65" t="s">
        <v>289</v>
      </c>
      <c r="B92" s="65">
        <v>4.0</v>
      </c>
      <c r="C92" s="65">
        <v>333.0</v>
      </c>
      <c r="D92" s="65">
        <v>2606.0</v>
      </c>
      <c r="E92" s="65">
        <v>48.3091</v>
      </c>
      <c r="F92" s="65">
        <v>10332.0</v>
      </c>
    </row>
    <row r="93">
      <c r="A93" s="65" t="s">
        <v>290</v>
      </c>
      <c r="B93" s="65">
        <v>1.0</v>
      </c>
      <c r="C93" s="65">
        <v>2.0</v>
      </c>
      <c r="D93" s="65">
        <v>113.0</v>
      </c>
      <c r="E93" s="65">
        <v>0.6077</v>
      </c>
      <c r="F93" s="65">
        <v>113.0</v>
      </c>
    </row>
    <row r="94">
      <c r="A94" s="65" t="s">
        <v>291</v>
      </c>
      <c r="B94" s="65">
        <v>2.0</v>
      </c>
      <c r="C94" s="65">
        <v>4.0</v>
      </c>
      <c r="D94" s="65">
        <v>233.0</v>
      </c>
      <c r="E94" s="65">
        <v>0.8862</v>
      </c>
      <c r="F94" s="65">
        <v>233.0</v>
      </c>
    </row>
    <row r="95">
      <c r="A95" s="65" t="s">
        <v>292</v>
      </c>
      <c r="B95" s="65">
        <v>49.0</v>
      </c>
      <c r="C95" s="65">
        <v>3749.0</v>
      </c>
      <c r="D95" s="65">
        <v>17564.0</v>
      </c>
      <c r="E95" s="65">
        <v>612.9741</v>
      </c>
      <c r="F95" s="65">
        <v>131642.0</v>
      </c>
    </row>
    <row r="96">
      <c r="A96" s="65" t="s">
        <v>293</v>
      </c>
      <c r="B96" s="65">
        <v>1.0</v>
      </c>
      <c r="C96" s="65">
        <v>4.0</v>
      </c>
      <c r="D96" s="65">
        <v>109.0</v>
      </c>
      <c r="E96" s="65">
        <v>0.4937</v>
      </c>
      <c r="F96" s="65">
        <v>109.0</v>
      </c>
    </row>
    <row r="97">
      <c r="A97" s="65" t="s">
        <v>294</v>
      </c>
      <c r="B97" s="65">
        <v>23.0</v>
      </c>
      <c r="C97" s="65">
        <v>1476.0</v>
      </c>
      <c r="D97" s="65">
        <v>9990.0</v>
      </c>
      <c r="E97" s="65">
        <v>208.3906</v>
      </c>
      <c r="F97" s="65">
        <v>44615.0</v>
      </c>
    </row>
    <row r="98">
      <c r="A98" s="65" t="s">
        <v>295</v>
      </c>
      <c r="B98" s="65">
        <v>1.0</v>
      </c>
      <c r="C98" s="65">
        <v>1.0</v>
      </c>
      <c r="D98" s="65">
        <v>1.0</v>
      </c>
      <c r="E98" s="65">
        <v>0.0059</v>
      </c>
      <c r="F98" s="65">
        <v>1.0</v>
      </c>
    </row>
    <row r="99">
      <c r="A99" s="65" t="s">
        <v>296</v>
      </c>
      <c r="B99" s="65">
        <v>3.0</v>
      </c>
      <c r="C99" s="65">
        <v>50.0</v>
      </c>
      <c r="D99" s="65">
        <v>915.0</v>
      </c>
      <c r="E99" s="65">
        <v>5.7463</v>
      </c>
      <c r="F99" s="65">
        <v>1254.0</v>
      </c>
    </row>
    <row r="100">
      <c r="A100" s="65" t="s">
        <v>297</v>
      </c>
      <c r="B100" s="65">
        <v>14.0</v>
      </c>
      <c r="C100" s="65">
        <v>645.0</v>
      </c>
      <c r="D100" s="65">
        <v>7706.0</v>
      </c>
      <c r="E100" s="65">
        <v>81.6604</v>
      </c>
      <c r="F100" s="65">
        <v>18236.0</v>
      </c>
    </row>
    <row r="101">
      <c r="A101" s="65" t="s">
        <v>298</v>
      </c>
      <c r="B101" s="65">
        <v>1.0</v>
      </c>
      <c r="C101" s="65">
        <v>1.0</v>
      </c>
      <c r="D101" s="65">
        <v>1.0</v>
      </c>
      <c r="E101" s="65">
        <v>0.0042</v>
      </c>
      <c r="F101" s="65">
        <v>1.0</v>
      </c>
    </row>
    <row r="102">
      <c r="A102" s="65" t="s">
        <v>299</v>
      </c>
      <c r="B102" s="65">
        <v>10.0</v>
      </c>
      <c r="C102" s="65">
        <v>15.0</v>
      </c>
      <c r="D102" s="65">
        <v>357.0</v>
      </c>
      <c r="E102" s="65">
        <v>1.7078</v>
      </c>
      <c r="F102" s="65">
        <v>368.0</v>
      </c>
    </row>
    <row r="103">
      <c r="A103" s="65" t="s">
        <v>300</v>
      </c>
      <c r="B103" s="65">
        <v>2.0</v>
      </c>
      <c r="C103" s="65">
        <v>147.0</v>
      </c>
      <c r="D103" s="65">
        <v>2819.0</v>
      </c>
      <c r="E103" s="65">
        <v>22.8103</v>
      </c>
      <c r="F103" s="65">
        <v>4974.0</v>
      </c>
    </row>
    <row r="104">
      <c r="A104" s="65" t="s">
        <v>301</v>
      </c>
      <c r="B104" s="65">
        <v>2.0</v>
      </c>
      <c r="C104" s="65">
        <v>2.0</v>
      </c>
      <c r="D104" s="65">
        <v>72.0</v>
      </c>
      <c r="E104" s="65">
        <v>0.2931</v>
      </c>
      <c r="F104" s="65">
        <v>72.0</v>
      </c>
    </row>
    <row r="105">
      <c r="A105" s="65" t="s">
        <v>302</v>
      </c>
      <c r="B105" s="65">
        <v>2.0</v>
      </c>
      <c r="C105" s="65">
        <v>2.0</v>
      </c>
      <c r="D105" s="65">
        <v>53.0</v>
      </c>
      <c r="E105" s="65">
        <v>0.2772</v>
      </c>
      <c r="F105" s="65">
        <v>53.0</v>
      </c>
    </row>
    <row r="106">
      <c r="A106" s="65" t="s">
        <v>303</v>
      </c>
      <c r="B106" s="65">
        <v>1.0</v>
      </c>
      <c r="C106" s="65">
        <v>1.0</v>
      </c>
      <c r="D106" s="65">
        <v>1.0</v>
      </c>
      <c r="E106" s="65">
        <v>0.0057</v>
      </c>
      <c r="F106" s="65">
        <v>1.0</v>
      </c>
    </row>
    <row r="107">
      <c r="A107" s="65" t="s">
        <v>304</v>
      </c>
      <c r="B107" s="65">
        <v>1.0</v>
      </c>
      <c r="C107" s="65">
        <v>148.0</v>
      </c>
      <c r="D107" s="65">
        <v>2736.0</v>
      </c>
      <c r="E107" s="65">
        <v>25.9974</v>
      </c>
      <c r="F107" s="65">
        <v>5269.0</v>
      </c>
    </row>
    <row r="108">
      <c r="A108" s="65" t="s">
        <v>305</v>
      </c>
      <c r="B108" s="65">
        <v>1.0</v>
      </c>
      <c r="C108" s="65">
        <v>1.0</v>
      </c>
      <c r="D108" s="65">
        <v>56.0</v>
      </c>
      <c r="E108" s="65">
        <v>0.2926</v>
      </c>
      <c r="F108" s="65">
        <v>56.0</v>
      </c>
    </row>
    <row r="109">
      <c r="A109" s="65" t="s">
        <v>306</v>
      </c>
      <c r="B109" s="65">
        <v>80.0</v>
      </c>
      <c r="C109" s="65">
        <v>21162.0</v>
      </c>
      <c r="D109" s="65">
        <v>102420.0</v>
      </c>
      <c r="E109" s="65">
        <v>3645.2316</v>
      </c>
      <c r="F109" s="65">
        <v>776027.0</v>
      </c>
    </row>
    <row r="110">
      <c r="A110" s="65" t="s">
        <v>307</v>
      </c>
      <c r="B110" s="65">
        <v>2.0</v>
      </c>
      <c r="C110" s="65">
        <v>9.0</v>
      </c>
      <c r="D110" s="65">
        <v>402.0</v>
      </c>
      <c r="E110" s="65">
        <v>1.9354</v>
      </c>
      <c r="F110" s="65">
        <v>413.0</v>
      </c>
    </row>
    <row r="111">
      <c r="A111" s="65" t="s">
        <v>308</v>
      </c>
      <c r="B111" s="65">
        <v>18.0</v>
      </c>
      <c r="C111" s="65">
        <v>4039.0</v>
      </c>
      <c r="D111" s="65">
        <v>18287.0</v>
      </c>
      <c r="E111" s="65">
        <v>672.847</v>
      </c>
      <c r="F111" s="65">
        <v>144404.0</v>
      </c>
    </row>
    <row r="112">
      <c r="A112" s="65" t="s">
        <v>309</v>
      </c>
      <c r="B112" s="65">
        <v>1.0</v>
      </c>
      <c r="C112" s="65">
        <v>1.0</v>
      </c>
      <c r="D112" s="65">
        <v>1.0</v>
      </c>
      <c r="E112" s="65">
        <v>0.0058</v>
      </c>
      <c r="F112" s="65">
        <v>1.0</v>
      </c>
    </row>
    <row r="113">
      <c r="A113" s="65" t="s">
        <v>310</v>
      </c>
      <c r="B113" s="65">
        <v>10.0</v>
      </c>
      <c r="C113" s="65">
        <v>162.0</v>
      </c>
      <c r="D113" s="65">
        <v>1548.0</v>
      </c>
      <c r="E113" s="65">
        <v>16.7805</v>
      </c>
      <c r="F113" s="65">
        <v>3783.0</v>
      </c>
    </row>
    <row r="114">
      <c r="A114" s="65" t="s">
        <v>311</v>
      </c>
      <c r="B114" s="65">
        <v>3.0</v>
      </c>
      <c r="C114" s="65">
        <v>4.0</v>
      </c>
      <c r="D114" s="65">
        <v>72.0</v>
      </c>
      <c r="E114" s="65">
        <v>0.3644</v>
      </c>
      <c r="F114" s="65">
        <v>72.0</v>
      </c>
    </row>
    <row r="115">
      <c r="A115" s="65" t="s">
        <v>312</v>
      </c>
      <c r="B115" s="65">
        <v>2.0</v>
      </c>
      <c r="C115" s="65">
        <v>150.0</v>
      </c>
      <c r="D115" s="65">
        <v>2303.0</v>
      </c>
      <c r="E115" s="65">
        <v>17.0852</v>
      </c>
      <c r="F115" s="65">
        <v>3558.0</v>
      </c>
    </row>
    <row r="116">
      <c r="A116" s="65" t="s">
        <v>313</v>
      </c>
      <c r="B116" s="65">
        <v>1.0</v>
      </c>
      <c r="C116" s="65">
        <v>1.0</v>
      </c>
      <c r="D116" s="65">
        <v>42.0</v>
      </c>
      <c r="E116" s="65">
        <v>0.1872</v>
      </c>
      <c r="F116" s="65">
        <v>42.0</v>
      </c>
    </row>
    <row r="117">
      <c r="A117" s="65" t="s">
        <v>314</v>
      </c>
      <c r="B117" s="65">
        <v>1.0</v>
      </c>
      <c r="C117" s="65">
        <v>4.0</v>
      </c>
      <c r="D117" s="65">
        <v>176.0</v>
      </c>
      <c r="E117" s="65">
        <v>0.9119</v>
      </c>
      <c r="F117" s="65">
        <v>180.0</v>
      </c>
    </row>
    <row r="118">
      <c r="A118" s="65" t="s">
        <v>315</v>
      </c>
      <c r="B118" s="65">
        <v>1.0</v>
      </c>
      <c r="C118" s="65">
        <v>6.0</v>
      </c>
      <c r="D118" s="65">
        <v>87.0</v>
      </c>
      <c r="E118" s="65">
        <v>0.3015</v>
      </c>
      <c r="F118" s="65">
        <v>87.0</v>
      </c>
    </row>
    <row r="119">
      <c r="A119" s="65" t="s">
        <v>316</v>
      </c>
      <c r="B119" s="65">
        <v>2.0</v>
      </c>
      <c r="C119" s="65">
        <v>138.0</v>
      </c>
      <c r="D119" s="65">
        <v>2754.0</v>
      </c>
      <c r="E119" s="65">
        <v>24.1034</v>
      </c>
      <c r="F119" s="65">
        <v>5079.0</v>
      </c>
    </row>
    <row r="120">
      <c r="A120" s="65" t="s">
        <v>317</v>
      </c>
      <c r="B120" s="65">
        <v>1.0</v>
      </c>
      <c r="C120" s="65">
        <v>1.0</v>
      </c>
      <c r="D120" s="65">
        <v>35.0</v>
      </c>
      <c r="E120" s="65">
        <v>0.1296</v>
      </c>
      <c r="F120" s="65">
        <v>35.0</v>
      </c>
    </row>
    <row r="121">
      <c r="A121" s="65" t="s">
        <v>318</v>
      </c>
      <c r="B121" s="65">
        <v>1.0</v>
      </c>
      <c r="C121" s="65">
        <v>2.0</v>
      </c>
      <c r="D121" s="65">
        <v>53.0</v>
      </c>
      <c r="E121" s="65">
        <v>0.2314</v>
      </c>
      <c r="F121" s="65">
        <v>53.0</v>
      </c>
    </row>
    <row r="122">
      <c r="A122" s="65" t="s">
        <v>319</v>
      </c>
      <c r="B122" s="65">
        <v>1.0</v>
      </c>
      <c r="C122" s="65">
        <v>1.0</v>
      </c>
      <c r="D122" s="65">
        <v>39.0</v>
      </c>
      <c r="E122" s="65">
        <v>0.2273</v>
      </c>
      <c r="F122" s="65">
        <v>39.0</v>
      </c>
    </row>
    <row r="123">
      <c r="A123" s="65" t="s">
        <v>320</v>
      </c>
      <c r="B123" s="65">
        <v>11.0</v>
      </c>
      <c r="C123" s="65">
        <v>226.0</v>
      </c>
      <c r="D123" s="65">
        <v>4527.0</v>
      </c>
      <c r="E123" s="65">
        <v>34.5966</v>
      </c>
      <c r="F123" s="65">
        <v>7817.0</v>
      </c>
    </row>
    <row r="124">
      <c r="A124" s="65" t="s">
        <v>321</v>
      </c>
      <c r="B124" s="65">
        <v>28.0</v>
      </c>
      <c r="C124" s="65">
        <v>1117.0</v>
      </c>
      <c r="D124" s="65">
        <v>11054.0</v>
      </c>
      <c r="E124" s="65">
        <v>183.8662</v>
      </c>
      <c r="F124" s="65">
        <v>38015.0</v>
      </c>
    </row>
    <row r="125">
      <c r="A125" s="65" t="s">
        <v>322</v>
      </c>
      <c r="B125" s="65">
        <v>11.0</v>
      </c>
      <c r="C125" s="65">
        <v>12.0</v>
      </c>
      <c r="D125" s="65">
        <v>490.0</v>
      </c>
      <c r="E125" s="65">
        <v>2.5198</v>
      </c>
      <c r="F125" s="65">
        <v>509.0</v>
      </c>
    </row>
    <row r="126">
      <c r="A126" s="65" t="s">
        <v>323</v>
      </c>
      <c r="B126" s="65">
        <v>4.0</v>
      </c>
      <c r="C126" s="65">
        <v>6.0</v>
      </c>
      <c r="D126" s="65">
        <v>216.0</v>
      </c>
      <c r="E126" s="65">
        <v>1.0058</v>
      </c>
      <c r="F126" s="65">
        <v>216.0</v>
      </c>
    </row>
    <row r="127">
      <c r="A127" s="65" t="s">
        <v>324</v>
      </c>
      <c r="B127" s="65">
        <v>47.0</v>
      </c>
      <c r="C127" s="65">
        <v>1711.0</v>
      </c>
      <c r="D127" s="65">
        <v>16110.0</v>
      </c>
      <c r="E127" s="65">
        <v>275.4135</v>
      </c>
      <c r="F127" s="65">
        <v>63082.0</v>
      </c>
    </row>
    <row r="128">
      <c r="A128" s="65" t="s">
        <v>325</v>
      </c>
      <c r="B128" s="65">
        <v>3.0</v>
      </c>
      <c r="C128" s="65">
        <v>373.0</v>
      </c>
      <c r="D128" s="65">
        <v>3909.0</v>
      </c>
      <c r="E128" s="65">
        <v>51.9209</v>
      </c>
      <c r="F128" s="65">
        <v>11699.0</v>
      </c>
    </row>
    <row r="129">
      <c r="A129" s="65" t="s">
        <v>326</v>
      </c>
      <c r="B129" s="65">
        <v>1.0</v>
      </c>
      <c r="C129" s="65">
        <v>1.0</v>
      </c>
      <c r="D129" s="65">
        <v>55.0</v>
      </c>
      <c r="E129" s="65">
        <v>0.2589</v>
      </c>
      <c r="F129" s="65">
        <v>56.0</v>
      </c>
    </row>
    <row r="130">
      <c r="A130" s="65" t="s">
        <v>327</v>
      </c>
      <c r="B130" s="65">
        <v>1.0</v>
      </c>
      <c r="C130" s="65">
        <v>1.0</v>
      </c>
      <c r="D130" s="65">
        <v>62.0</v>
      </c>
      <c r="E130" s="65">
        <v>0.3192</v>
      </c>
      <c r="F130" s="65">
        <v>62.0</v>
      </c>
    </row>
    <row r="131">
      <c r="A131" s="65" t="s">
        <v>328</v>
      </c>
      <c r="B131" s="65">
        <v>1.0</v>
      </c>
      <c r="C131" s="65">
        <v>17.0</v>
      </c>
      <c r="D131" s="65">
        <v>398.0</v>
      </c>
      <c r="E131" s="65">
        <v>2.0505</v>
      </c>
      <c r="F131" s="65">
        <v>439.0</v>
      </c>
    </row>
    <row r="132">
      <c r="A132" s="65" t="s">
        <v>329</v>
      </c>
      <c r="B132" s="65">
        <v>1.0</v>
      </c>
      <c r="C132" s="65">
        <v>1.0</v>
      </c>
      <c r="D132" s="65">
        <v>29.0</v>
      </c>
      <c r="E132" s="65">
        <v>0.1513</v>
      </c>
      <c r="F132" s="65">
        <v>29.0</v>
      </c>
    </row>
    <row r="133">
      <c r="A133" s="65" t="s">
        <v>330</v>
      </c>
      <c r="B133" s="65">
        <v>1.0</v>
      </c>
      <c r="C133" s="65">
        <v>4.0</v>
      </c>
      <c r="D133" s="65">
        <v>97.0</v>
      </c>
      <c r="E133" s="65">
        <v>0.4828</v>
      </c>
      <c r="F133" s="65">
        <v>103.0</v>
      </c>
    </row>
    <row r="134">
      <c r="A134" s="65" t="s">
        <v>331</v>
      </c>
      <c r="B134" s="65">
        <v>2.0</v>
      </c>
      <c r="C134" s="65">
        <v>4.0</v>
      </c>
      <c r="D134" s="65">
        <v>104.0</v>
      </c>
      <c r="E134" s="65">
        <v>0.5454</v>
      </c>
      <c r="F134" s="65">
        <v>106.0</v>
      </c>
    </row>
    <row r="135">
      <c r="A135" s="65" t="s">
        <v>332</v>
      </c>
      <c r="B135" s="65">
        <v>1.0</v>
      </c>
      <c r="C135" s="65">
        <v>1.0</v>
      </c>
      <c r="D135" s="65">
        <v>1.0</v>
      </c>
      <c r="E135" s="65">
        <v>0.0043</v>
      </c>
      <c r="F135" s="65">
        <v>1.0</v>
      </c>
    </row>
    <row r="136">
      <c r="A136" s="65" t="s">
        <v>333</v>
      </c>
      <c r="B136" s="65">
        <v>1.0</v>
      </c>
      <c r="C136" s="65">
        <v>1.0</v>
      </c>
      <c r="D136" s="65">
        <v>45.0</v>
      </c>
      <c r="E136" s="65">
        <v>0.1849</v>
      </c>
      <c r="F136" s="65">
        <v>46.0</v>
      </c>
    </row>
    <row r="137">
      <c r="A137" s="65" t="s">
        <v>334</v>
      </c>
      <c r="B137" s="65">
        <v>2.0</v>
      </c>
      <c r="C137" s="65">
        <v>14.0</v>
      </c>
      <c r="D137" s="65">
        <v>505.0</v>
      </c>
      <c r="E137" s="65">
        <v>2.4563</v>
      </c>
      <c r="F137" s="65">
        <v>510.0</v>
      </c>
    </row>
    <row r="138">
      <c r="A138" s="65" t="s">
        <v>335</v>
      </c>
      <c r="B138" s="65">
        <v>2.0</v>
      </c>
      <c r="C138" s="65">
        <v>8.0</v>
      </c>
      <c r="D138" s="65">
        <v>196.0</v>
      </c>
      <c r="E138" s="65">
        <v>0.9652</v>
      </c>
      <c r="F138" s="65">
        <v>201.0</v>
      </c>
    </row>
    <row r="139">
      <c r="A139" s="65" t="s">
        <v>336</v>
      </c>
      <c r="B139" s="65">
        <v>1.0</v>
      </c>
      <c r="C139" s="65">
        <v>5.0</v>
      </c>
      <c r="D139" s="65">
        <v>179.0</v>
      </c>
      <c r="E139" s="65">
        <v>0.8113</v>
      </c>
      <c r="F139" s="65">
        <v>183.0</v>
      </c>
    </row>
    <row r="140">
      <c r="A140" s="65" t="s">
        <v>337</v>
      </c>
      <c r="B140" s="65">
        <v>12.0</v>
      </c>
      <c r="C140" s="65">
        <v>24.0</v>
      </c>
      <c r="D140" s="65">
        <v>923.0</v>
      </c>
      <c r="E140" s="65">
        <v>4.3973</v>
      </c>
      <c r="F140" s="65">
        <v>973.0</v>
      </c>
    </row>
    <row r="141">
      <c r="A141" s="65" t="s">
        <v>338</v>
      </c>
      <c r="B141" s="65">
        <v>24.0</v>
      </c>
      <c r="C141" s="65">
        <v>4325.0</v>
      </c>
      <c r="D141" s="65">
        <v>21358.0</v>
      </c>
      <c r="E141" s="65">
        <v>708.7597</v>
      </c>
      <c r="F141" s="65">
        <v>156019.0</v>
      </c>
    </row>
    <row r="142">
      <c r="A142" s="65" t="s">
        <v>339</v>
      </c>
      <c r="B142" s="65">
        <v>1.0</v>
      </c>
      <c r="C142" s="65">
        <v>1.0</v>
      </c>
      <c r="D142" s="65">
        <v>62.0</v>
      </c>
      <c r="E142" s="65">
        <v>0.29</v>
      </c>
      <c r="F142" s="65">
        <v>62.0</v>
      </c>
    </row>
    <row r="143">
      <c r="A143" s="65" t="s">
        <v>340</v>
      </c>
      <c r="B143" s="65">
        <v>1.0</v>
      </c>
      <c r="C143" s="65">
        <v>4.0</v>
      </c>
      <c r="D143" s="65">
        <v>177.0</v>
      </c>
      <c r="E143" s="65">
        <v>0.965</v>
      </c>
      <c r="F143" s="65">
        <v>181.0</v>
      </c>
    </row>
    <row r="144">
      <c r="A144" s="65" t="s">
        <v>341</v>
      </c>
      <c r="B144" s="65">
        <v>12.0</v>
      </c>
      <c r="C144" s="65">
        <v>70.0</v>
      </c>
      <c r="D144" s="65">
        <v>2279.0</v>
      </c>
      <c r="E144" s="65">
        <v>13.0464</v>
      </c>
      <c r="F144" s="65">
        <v>3081.0</v>
      </c>
    </row>
    <row r="145">
      <c r="A145" s="65" t="s">
        <v>342</v>
      </c>
      <c r="B145" s="65">
        <v>1.0</v>
      </c>
      <c r="C145" s="65">
        <v>2.0</v>
      </c>
      <c r="D145" s="65">
        <v>45.0</v>
      </c>
      <c r="E145" s="65">
        <v>0.2622</v>
      </c>
      <c r="F145" s="65">
        <v>45.0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65" t="s">
        <v>186</v>
      </c>
      <c r="B1" s="65" t="s">
        <v>338</v>
      </c>
      <c r="C1" s="65" t="s">
        <v>306</v>
      </c>
      <c r="D1" s="65" t="s">
        <v>341</v>
      </c>
      <c r="E1" s="65" t="s">
        <v>337</v>
      </c>
      <c r="F1" s="65" t="s">
        <v>324</v>
      </c>
      <c r="G1" s="65" t="s">
        <v>292</v>
      </c>
      <c r="H1" s="65" t="s">
        <v>308</v>
      </c>
      <c r="I1" s="65" t="s">
        <v>335</v>
      </c>
      <c r="J1" s="65" t="s">
        <v>299</v>
      </c>
      <c r="K1" s="65" t="s">
        <v>294</v>
      </c>
      <c r="L1" s="65" t="s">
        <v>321</v>
      </c>
      <c r="M1" s="65" t="s">
        <v>284</v>
      </c>
      <c r="N1" s="65" t="s">
        <v>320</v>
      </c>
      <c r="O1" s="65" t="s">
        <v>325</v>
      </c>
      <c r="P1" s="65" t="s">
        <v>312</v>
      </c>
      <c r="Q1" s="65" t="s">
        <v>311</v>
      </c>
      <c r="R1" s="65" t="s">
        <v>314</v>
      </c>
      <c r="S1" s="65" t="s">
        <v>289</v>
      </c>
      <c r="T1" s="65" t="s">
        <v>297</v>
      </c>
      <c r="U1" s="65" t="s">
        <v>313</v>
      </c>
      <c r="V1" s="65" t="s">
        <v>290</v>
      </c>
      <c r="W1" s="65" t="s">
        <v>334</v>
      </c>
      <c r="X1" s="65" t="s">
        <v>329</v>
      </c>
      <c r="Y1" s="65" t="s">
        <v>293</v>
      </c>
      <c r="Z1" s="65" t="s">
        <v>304</v>
      </c>
      <c r="AA1" s="65" t="s">
        <v>330</v>
      </c>
      <c r="AB1" s="65" t="s">
        <v>315</v>
      </c>
      <c r="AC1" s="65" t="s">
        <v>331</v>
      </c>
      <c r="AD1" s="65" t="s">
        <v>282</v>
      </c>
      <c r="AE1" s="65" t="s">
        <v>328</v>
      </c>
      <c r="AF1" s="65" t="s">
        <v>343</v>
      </c>
      <c r="AG1" s="65" t="s">
        <v>302</v>
      </c>
      <c r="AH1" s="65" t="s">
        <v>317</v>
      </c>
      <c r="AI1" s="65" t="s">
        <v>291</v>
      </c>
      <c r="AJ1" s="65" t="s">
        <v>322</v>
      </c>
      <c r="AK1" s="65" t="s">
        <v>340</v>
      </c>
      <c r="AL1" s="65" t="s">
        <v>339</v>
      </c>
      <c r="AM1" s="65" t="s">
        <v>319</v>
      </c>
      <c r="AN1" s="65" t="s">
        <v>323</v>
      </c>
      <c r="AO1" s="65" t="s">
        <v>296</v>
      </c>
      <c r="AP1" s="65" t="s">
        <v>307</v>
      </c>
      <c r="AQ1" s="65" t="s">
        <v>288</v>
      </c>
      <c r="AR1" s="65" t="s">
        <v>305</v>
      </c>
      <c r="AS1" s="65" t="s">
        <v>336</v>
      </c>
      <c r="AT1" s="65" t="s">
        <v>301</v>
      </c>
      <c r="AU1" s="65" t="s">
        <v>342</v>
      </c>
      <c r="AV1" s="65" t="s">
        <v>327</v>
      </c>
      <c r="AW1" s="65" t="s">
        <v>326</v>
      </c>
      <c r="AX1" s="65" t="s">
        <v>318</v>
      </c>
      <c r="AY1" s="65" t="s">
        <v>316</v>
      </c>
      <c r="AZ1" s="65" t="s">
        <v>300</v>
      </c>
      <c r="BA1" s="65" t="s">
        <v>286</v>
      </c>
      <c r="BB1" s="65" t="s">
        <v>310</v>
      </c>
      <c r="BC1" s="65" t="s">
        <v>287</v>
      </c>
      <c r="BD1" s="65" t="s">
        <v>285</v>
      </c>
      <c r="BE1" s="65" t="s">
        <v>333</v>
      </c>
    </row>
    <row r="2">
      <c r="A2" s="65" t="s">
        <v>344</v>
      </c>
      <c r="B2" s="65">
        <v>57.18671472222249</v>
      </c>
      <c r="C2" s="65">
        <v>46.08610888888871</v>
      </c>
      <c r="D2" s="65">
        <v>4.311261944444441</v>
      </c>
      <c r="E2" s="65">
        <v>1.032731111111111</v>
      </c>
      <c r="F2" s="65">
        <v>1.1028441666666664</v>
      </c>
      <c r="G2" s="65">
        <v>0.9910374999999997</v>
      </c>
      <c r="H2" s="65">
        <v>0.12627888888888894</v>
      </c>
      <c r="I2" s="65">
        <v>0.0</v>
      </c>
      <c r="J2" s="65">
        <v>0.0</v>
      </c>
      <c r="K2" s="65">
        <v>0.0</v>
      </c>
      <c r="L2" s="65">
        <v>0.0</v>
      </c>
      <c r="M2" s="65">
        <v>0.0</v>
      </c>
      <c r="N2" s="65">
        <v>0.0</v>
      </c>
      <c r="O2" s="65">
        <v>0.0</v>
      </c>
      <c r="P2" s="65">
        <v>0.0</v>
      </c>
      <c r="Q2" s="65">
        <v>0.0</v>
      </c>
      <c r="R2" s="65">
        <v>0.0</v>
      </c>
      <c r="S2" s="65">
        <v>0.0</v>
      </c>
      <c r="T2" s="65">
        <v>0.0</v>
      </c>
      <c r="U2" s="65">
        <v>0.0</v>
      </c>
      <c r="V2" s="65">
        <v>0.0</v>
      </c>
      <c r="W2" s="65">
        <v>0.0</v>
      </c>
      <c r="X2" s="65">
        <v>0.0</v>
      </c>
      <c r="Y2" s="65">
        <v>0.0</v>
      </c>
      <c r="Z2" s="65">
        <v>0.0</v>
      </c>
      <c r="AA2" s="65">
        <v>0.0</v>
      </c>
      <c r="AB2" s="65">
        <v>0.0</v>
      </c>
      <c r="AC2" s="65">
        <v>0.0</v>
      </c>
      <c r="AD2" s="65">
        <v>0.0</v>
      </c>
      <c r="AE2" s="65">
        <v>0.0</v>
      </c>
      <c r="AF2" s="65">
        <v>0.0</v>
      </c>
      <c r="AG2" s="65">
        <v>0.0</v>
      </c>
      <c r="AH2" s="65">
        <v>0.0</v>
      </c>
      <c r="AI2" s="65">
        <v>0.0</v>
      </c>
      <c r="AJ2" s="65">
        <v>0.0</v>
      </c>
      <c r="AK2" s="65">
        <v>0.0</v>
      </c>
      <c r="AL2" s="65">
        <v>0.0</v>
      </c>
      <c r="AM2" s="65">
        <v>0.0</v>
      </c>
      <c r="AN2" s="65">
        <v>0.0</v>
      </c>
      <c r="AO2" s="65">
        <v>0.0</v>
      </c>
      <c r="AP2" s="65">
        <v>0.0</v>
      </c>
      <c r="AQ2" s="65">
        <v>0.0</v>
      </c>
      <c r="AR2" s="65">
        <v>0.0</v>
      </c>
      <c r="AS2" s="65">
        <v>0.0</v>
      </c>
      <c r="AT2" s="65">
        <v>0.0</v>
      </c>
      <c r="AU2" s="65">
        <v>0.0</v>
      </c>
      <c r="AV2" s="65">
        <v>0.0</v>
      </c>
      <c r="AW2" s="65">
        <v>0.0</v>
      </c>
      <c r="AX2" s="65">
        <v>0.0</v>
      </c>
      <c r="AY2" s="65">
        <v>0.0</v>
      </c>
      <c r="AZ2" s="65">
        <v>0.0</v>
      </c>
      <c r="BA2" s="65">
        <v>0.0</v>
      </c>
      <c r="BB2" s="65">
        <v>0.0</v>
      </c>
      <c r="BC2" s="65">
        <v>0.0</v>
      </c>
      <c r="BD2" s="65">
        <v>0.0</v>
      </c>
      <c r="BE2" s="65">
        <v>0.0</v>
      </c>
    </row>
    <row r="3">
      <c r="A3" s="65" t="s">
        <v>345</v>
      </c>
      <c r="B3" s="65">
        <v>54.147131388889015</v>
      </c>
      <c r="C3" s="65">
        <v>23.14658722222235</v>
      </c>
      <c r="D3" s="65">
        <v>0.0</v>
      </c>
      <c r="E3" s="65">
        <v>0.34012749999999997</v>
      </c>
      <c r="F3" s="65">
        <v>0.0</v>
      </c>
      <c r="G3" s="65">
        <v>1.1453855555555554</v>
      </c>
      <c r="H3" s="65">
        <v>0.0</v>
      </c>
      <c r="I3" s="65">
        <v>0.06915916666666666</v>
      </c>
      <c r="J3" s="65">
        <v>0.0</v>
      </c>
      <c r="K3" s="65">
        <v>0.0</v>
      </c>
      <c r="L3" s="65">
        <v>0.0</v>
      </c>
      <c r="M3" s="65">
        <v>0.0</v>
      </c>
      <c r="N3" s="65">
        <v>0.0</v>
      </c>
      <c r="O3" s="65">
        <v>0.0</v>
      </c>
      <c r="P3" s="65">
        <v>0.0</v>
      </c>
      <c r="Q3" s="65">
        <v>0.0</v>
      </c>
      <c r="R3" s="65">
        <v>0.0</v>
      </c>
      <c r="S3" s="65">
        <v>0.0</v>
      </c>
      <c r="T3" s="65">
        <v>0.0</v>
      </c>
      <c r="U3" s="65">
        <v>0.0</v>
      </c>
      <c r="V3" s="65">
        <v>0.0</v>
      </c>
      <c r="W3" s="65">
        <v>0.0</v>
      </c>
      <c r="X3" s="65">
        <v>0.0</v>
      </c>
      <c r="Y3" s="65">
        <v>0.0</v>
      </c>
      <c r="Z3" s="65">
        <v>0.0</v>
      </c>
      <c r="AA3" s="65">
        <v>0.0</v>
      </c>
      <c r="AB3" s="65">
        <v>0.0</v>
      </c>
      <c r="AC3" s="65">
        <v>0.0</v>
      </c>
      <c r="AD3" s="65">
        <v>0.0</v>
      </c>
      <c r="AE3" s="65">
        <v>0.0</v>
      </c>
      <c r="AF3" s="65">
        <v>0.0</v>
      </c>
      <c r="AG3" s="65">
        <v>0.0</v>
      </c>
      <c r="AH3" s="65">
        <v>0.0</v>
      </c>
      <c r="AI3" s="65">
        <v>0.0</v>
      </c>
      <c r="AJ3" s="65">
        <v>0.0</v>
      </c>
      <c r="AK3" s="65">
        <v>0.0</v>
      </c>
      <c r="AL3" s="65">
        <v>0.0</v>
      </c>
      <c r="AM3" s="65">
        <v>0.0</v>
      </c>
      <c r="AN3" s="65">
        <v>0.0</v>
      </c>
      <c r="AO3" s="65">
        <v>0.0</v>
      </c>
      <c r="AP3" s="65">
        <v>0.0</v>
      </c>
      <c r="AQ3" s="65">
        <v>0.0</v>
      </c>
      <c r="AR3" s="65">
        <v>0.0</v>
      </c>
      <c r="AS3" s="65">
        <v>0.0</v>
      </c>
      <c r="AT3" s="65">
        <v>0.0</v>
      </c>
      <c r="AU3" s="65">
        <v>0.0</v>
      </c>
      <c r="AV3" s="65">
        <v>0.0</v>
      </c>
      <c r="AW3" s="65">
        <v>0.0</v>
      </c>
      <c r="AX3" s="65">
        <v>0.0</v>
      </c>
      <c r="AY3" s="65">
        <v>0.0</v>
      </c>
      <c r="AZ3" s="65">
        <v>0.0</v>
      </c>
      <c r="BA3" s="65">
        <v>0.0</v>
      </c>
      <c r="BB3" s="65">
        <v>0.0</v>
      </c>
      <c r="BC3" s="65">
        <v>0.0</v>
      </c>
      <c r="BD3" s="65">
        <v>0.0</v>
      </c>
      <c r="BE3" s="65">
        <v>0.0</v>
      </c>
    </row>
    <row r="4">
      <c r="A4" s="65" t="s">
        <v>346</v>
      </c>
      <c r="B4" s="65">
        <v>82.49145944444444</v>
      </c>
      <c r="C4" s="65">
        <v>15.583368888888874</v>
      </c>
      <c r="D4" s="65">
        <v>0.0</v>
      </c>
      <c r="E4" s="65">
        <v>0.3825466666666668</v>
      </c>
      <c r="F4" s="65">
        <v>0.7158050000000002</v>
      </c>
      <c r="G4" s="65">
        <v>0.3582699999999999</v>
      </c>
      <c r="H4" s="65">
        <v>0.0</v>
      </c>
      <c r="I4" s="65">
        <v>0.0</v>
      </c>
      <c r="J4" s="65">
        <v>0.07429138888888889</v>
      </c>
      <c r="K4" s="65">
        <v>0.0</v>
      </c>
      <c r="L4" s="65">
        <v>0.0</v>
      </c>
      <c r="M4" s="65">
        <v>0.0</v>
      </c>
      <c r="N4" s="65">
        <v>0.0</v>
      </c>
      <c r="O4" s="65">
        <v>0.0</v>
      </c>
      <c r="P4" s="65">
        <v>0.0</v>
      </c>
      <c r="Q4" s="65">
        <v>0.0</v>
      </c>
      <c r="R4" s="65">
        <v>0.0</v>
      </c>
      <c r="S4" s="65">
        <v>0.0</v>
      </c>
      <c r="T4" s="65">
        <v>0.0</v>
      </c>
      <c r="U4" s="65">
        <v>0.0</v>
      </c>
      <c r="V4" s="65">
        <v>0.0</v>
      </c>
      <c r="W4" s="65">
        <v>0.0</v>
      </c>
      <c r="X4" s="65">
        <v>0.0</v>
      </c>
      <c r="Y4" s="65">
        <v>0.0</v>
      </c>
      <c r="Z4" s="65">
        <v>0.0</v>
      </c>
      <c r="AA4" s="65">
        <v>0.0</v>
      </c>
      <c r="AB4" s="65">
        <v>0.0</v>
      </c>
      <c r="AC4" s="65">
        <v>0.0</v>
      </c>
      <c r="AD4" s="65">
        <v>0.0</v>
      </c>
      <c r="AE4" s="65">
        <v>0.0</v>
      </c>
      <c r="AF4" s="65">
        <v>0.0</v>
      </c>
      <c r="AG4" s="65">
        <v>0.0</v>
      </c>
      <c r="AH4" s="65">
        <v>0.0</v>
      </c>
      <c r="AI4" s="65">
        <v>0.0</v>
      </c>
      <c r="AJ4" s="65">
        <v>0.0</v>
      </c>
      <c r="AK4" s="65">
        <v>0.0</v>
      </c>
      <c r="AL4" s="65">
        <v>0.0</v>
      </c>
      <c r="AM4" s="65">
        <v>0.0</v>
      </c>
      <c r="AN4" s="65">
        <v>0.0</v>
      </c>
      <c r="AO4" s="65">
        <v>0.0</v>
      </c>
      <c r="AP4" s="65">
        <v>0.0</v>
      </c>
      <c r="AQ4" s="65">
        <v>0.0</v>
      </c>
      <c r="AR4" s="65">
        <v>0.0</v>
      </c>
      <c r="AS4" s="65">
        <v>0.0</v>
      </c>
      <c r="AT4" s="65">
        <v>0.0</v>
      </c>
      <c r="AU4" s="65">
        <v>0.0</v>
      </c>
      <c r="AV4" s="65">
        <v>0.0</v>
      </c>
      <c r="AW4" s="65">
        <v>0.0</v>
      </c>
      <c r="AX4" s="65">
        <v>0.0</v>
      </c>
      <c r="AY4" s="65">
        <v>0.0</v>
      </c>
      <c r="AZ4" s="65">
        <v>0.0</v>
      </c>
      <c r="BA4" s="65">
        <v>0.0</v>
      </c>
      <c r="BB4" s="65">
        <v>0.0</v>
      </c>
      <c r="BC4" s="65">
        <v>0.0</v>
      </c>
      <c r="BD4" s="65">
        <v>0.0</v>
      </c>
      <c r="BE4" s="65">
        <v>0.0</v>
      </c>
    </row>
    <row r="5">
      <c r="A5" s="65" t="s">
        <v>347</v>
      </c>
      <c r="B5" s="65">
        <v>42.961019166666546</v>
      </c>
      <c r="C5" s="65">
        <v>15.426472777777798</v>
      </c>
      <c r="D5" s="65">
        <v>0.0</v>
      </c>
      <c r="E5" s="65">
        <v>0.42752888888888885</v>
      </c>
      <c r="F5" s="65">
        <v>0.3533974999999998</v>
      </c>
      <c r="G5" s="65">
        <v>0.2621575</v>
      </c>
      <c r="H5" s="65">
        <v>0.0</v>
      </c>
      <c r="I5" s="65">
        <v>0.0</v>
      </c>
      <c r="J5" s="65">
        <v>0.043386388888888884</v>
      </c>
      <c r="K5" s="65">
        <v>0.0</v>
      </c>
      <c r="L5" s="65">
        <v>0.0</v>
      </c>
      <c r="M5" s="65">
        <v>0.0</v>
      </c>
      <c r="N5" s="65">
        <v>0.0</v>
      </c>
      <c r="O5" s="65">
        <v>0.0</v>
      </c>
      <c r="P5" s="65">
        <v>0.0</v>
      </c>
      <c r="Q5" s="65">
        <v>0.0</v>
      </c>
      <c r="R5" s="65">
        <v>0.0</v>
      </c>
      <c r="S5" s="65">
        <v>0.0</v>
      </c>
      <c r="T5" s="65">
        <v>0.0</v>
      </c>
      <c r="U5" s="65">
        <v>0.0</v>
      </c>
      <c r="V5" s="65">
        <v>0.0</v>
      </c>
      <c r="W5" s="65">
        <v>0.0</v>
      </c>
      <c r="X5" s="65">
        <v>0.0</v>
      </c>
      <c r="Y5" s="65">
        <v>0.0</v>
      </c>
      <c r="Z5" s="65">
        <v>0.0</v>
      </c>
      <c r="AA5" s="65">
        <v>0.0</v>
      </c>
      <c r="AB5" s="65">
        <v>0.0</v>
      </c>
      <c r="AC5" s="65">
        <v>0.0</v>
      </c>
      <c r="AD5" s="65">
        <v>0.0</v>
      </c>
      <c r="AE5" s="65">
        <v>0.0</v>
      </c>
      <c r="AF5" s="65">
        <v>0.0</v>
      </c>
      <c r="AG5" s="65">
        <v>0.0</v>
      </c>
      <c r="AH5" s="65">
        <v>0.0</v>
      </c>
      <c r="AI5" s="65">
        <v>0.0</v>
      </c>
      <c r="AJ5" s="65">
        <v>0.0</v>
      </c>
      <c r="AK5" s="65">
        <v>0.0</v>
      </c>
      <c r="AL5" s="65">
        <v>0.0</v>
      </c>
      <c r="AM5" s="65">
        <v>0.0</v>
      </c>
      <c r="AN5" s="65">
        <v>0.0</v>
      </c>
      <c r="AO5" s="65">
        <v>0.0</v>
      </c>
      <c r="AP5" s="65">
        <v>0.0</v>
      </c>
      <c r="AQ5" s="65">
        <v>0.0</v>
      </c>
      <c r="AR5" s="65">
        <v>0.0</v>
      </c>
      <c r="AS5" s="65">
        <v>0.0</v>
      </c>
      <c r="AT5" s="65">
        <v>0.0</v>
      </c>
      <c r="AU5" s="65">
        <v>0.0</v>
      </c>
      <c r="AV5" s="65">
        <v>0.0</v>
      </c>
      <c r="AW5" s="65">
        <v>0.0</v>
      </c>
      <c r="AX5" s="65">
        <v>0.0</v>
      </c>
      <c r="AY5" s="65">
        <v>0.0</v>
      </c>
      <c r="AZ5" s="65">
        <v>0.0</v>
      </c>
      <c r="BA5" s="65">
        <v>0.0</v>
      </c>
      <c r="BB5" s="65">
        <v>0.0</v>
      </c>
      <c r="BC5" s="65">
        <v>0.0</v>
      </c>
      <c r="BD5" s="65">
        <v>0.0</v>
      </c>
      <c r="BE5" s="65">
        <v>0.0</v>
      </c>
    </row>
    <row r="6">
      <c r="A6" s="65" t="s">
        <v>348</v>
      </c>
      <c r="B6" s="65">
        <v>105.86718722222369</v>
      </c>
      <c r="C6" s="65">
        <v>10.123681666666664</v>
      </c>
      <c r="D6" s="65">
        <v>0.0</v>
      </c>
      <c r="E6" s="65">
        <v>0.0</v>
      </c>
      <c r="F6" s="65">
        <v>0.15971722222222223</v>
      </c>
      <c r="G6" s="65">
        <v>0.0</v>
      </c>
      <c r="H6" s="65">
        <v>0.25566</v>
      </c>
      <c r="I6" s="65">
        <v>0.0</v>
      </c>
      <c r="J6" s="65">
        <v>0.0</v>
      </c>
      <c r="K6" s="65">
        <v>0.19672666666666666</v>
      </c>
      <c r="L6" s="65">
        <v>0.0</v>
      </c>
      <c r="M6" s="65">
        <v>0.0</v>
      </c>
      <c r="N6" s="65">
        <v>0.0</v>
      </c>
      <c r="O6" s="65">
        <v>0.0</v>
      </c>
      <c r="P6" s="65">
        <v>0.0</v>
      </c>
      <c r="Q6" s="65">
        <v>0.0</v>
      </c>
      <c r="R6" s="65">
        <v>0.0</v>
      </c>
      <c r="S6" s="65">
        <v>0.0</v>
      </c>
      <c r="T6" s="65">
        <v>0.0</v>
      </c>
      <c r="U6" s="65">
        <v>0.0</v>
      </c>
      <c r="V6" s="65">
        <v>0.0</v>
      </c>
      <c r="W6" s="65">
        <v>0.0</v>
      </c>
      <c r="X6" s="65">
        <v>0.0</v>
      </c>
      <c r="Y6" s="65">
        <v>0.0</v>
      </c>
      <c r="Z6" s="65">
        <v>0.0</v>
      </c>
      <c r="AA6" s="65">
        <v>0.0</v>
      </c>
      <c r="AB6" s="65">
        <v>0.0</v>
      </c>
      <c r="AC6" s="65">
        <v>0.0</v>
      </c>
      <c r="AD6" s="65">
        <v>0.0</v>
      </c>
      <c r="AE6" s="65">
        <v>0.0</v>
      </c>
      <c r="AF6" s="65">
        <v>0.0</v>
      </c>
      <c r="AG6" s="65">
        <v>0.0</v>
      </c>
      <c r="AH6" s="65">
        <v>0.0</v>
      </c>
      <c r="AI6" s="65">
        <v>0.0</v>
      </c>
      <c r="AJ6" s="65">
        <v>0.0</v>
      </c>
      <c r="AK6" s="65">
        <v>0.0</v>
      </c>
      <c r="AL6" s="65">
        <v>0.0</v>
      </c>
      <c r="AM6" s="65">
        <v>0.0</v>
      </c>
      <c r="AN6" s="65">
        <v>0.0</v>
      </c>
      <c r="AO6" s="65">
        <v>0.0</v>
      </c>
      <c r="AP6" s="65">
        <v>0.0</v>
      </c>
      <c r="AQ6" s="65">
        <v>0.0</v>
      </c>
      <c r="AR6" s="65">
        <v>0.0</v>
      </c>
      <c r="AS6" s="65">
        <v>0.0</v>
      </c>
      <c r="AT6" s="65">
        <v>0.0</v>
      </c>
      <c r="AU6" s="65">
        <v>0.0</v>
      </c>
      <c r="AV6" s="65">
        <v>0.0</v>
      </c>
      <c r="AW6" s="65">
        <v>0.0</v>
      </c>
      <c r="AX6" s="65">
        <v>0.0</v>
      </c>
      <c r="AY6" s="65">
        <v>0.0</v>
      </c>
      <c r="AZ6" s="65">
        <v>0.0</v>
      </c>
      <c r="BA6" s="65">
        <v>0.0</v>
      </c>
      <c r="BB6" s="65">
        <v>0.0</v>
      </c>
      <c r="BC6" s="65">
        <v>0.0</v>
      </c>
      <c r="BD6" s="65">
        <v>0.0</v>
      </c>
      <c r="BE6" s="65">
        <v>0.0</v>
      </c>
    </row>
    <row r="7">
      <c r="A7" s="65" t="s">
        <v>349</v>
      </c>
      <c r="B7" s="65">
        <v>52.214909166666814</v>
      </c>
      <c r="C7" s="65">
        <v>9.751655833333324</v>
      </c>
      <c r="D7" s="65">
        <v>0.0</v>
      </c>
      <c r="E7" s="65">
        <v>0.2422938888888889</v>
      </c>
      <c r="F7" s="65">
        <v>0.13702499999999998</v>
      </c>
      <c r="G7" s="65">
        <v>0.2673652777777777</v>
      </c>
      <c r="H7" s="65">
        <v>0.20534805555555558</v>
      </c>
      <c r="I7" s="65">
        <v>0.0</v>
      </c>
      <c r="J7" s="65">
        <v>0.19572861111111112</v>
      </c>
      <c r="K7" s="65">
        <v>0.0</v>
      </c>
      <c r="L7" s="65">
        <v>0.037312222222222226</v>
      </c>
      <c r="M7" s="65">
        <v>0.0</v>
      </c>
      <c r="N7" s="65">
        <v>0.0</v>
      </c>
      <c r="O7" s="65">
        <v>0.0</v>
      </c>
      <c r="P7" s="65">
        <v>0.0</v>
      </c>
      <c r="Q7" s="65">
        <v>0.0</v>
      </c>
      <c r="R7" s="65">
        <v>0.0</v>
      </c>
      <c r="S7" s="65">
        <v>0.0</v>
      </c>
      <c r="T7" s="65">
        <v>0.0</v>
      </c>
      <c r="U7" s="65">
        <v>0.0</v>
      </c>
      <c r="V7" s="65">
        <v>0.0</v>
      </c>
      <c r="W7" s="65">
        <v>0.0</v>
      </c>
      <c r="X7" s="65">
        <v>0.0</v>
      </c>
      <c r="Y7" s="65">
        <v>0.0</v>
      </c>
      <c r="Z7" s="65">
        <v>0.0</v>
      </c>
      <c r="AA7" s="65">
        <v>0.0</v>
      </c>
      <c r="AB7" s="65">
        <v>0.0</v>
      </c>
      <c r="AC7" s="65">
        <v>0.0</v>
      </c>
      <c r="AD7" s="65">
        <v>0.0</v>
      </c>
      <c r="AE7" s="65">
        <v>0.0</v>
      </c>
      <c r="AF7" s="65">
        <v>0.0</v>
      </c>
      <c r="AG7" s="65">
        <v>0.0</v>
      </c>
      <c r="AH7" s="65">
        <v>0.0</v>
      </c>
      <c r="AI7" s="65">
        <v>0.0</v>
      </c>
      <c r="AJ7" s="65">
        <v>0.0</v>
      </c>
      <c r="AK7" s="65">
        <v>0.0</v>
      </c>
      <c r="AL7" s="65">
        <v>0.0</v>
      </c>
      <c r="AM7" s="65">
        <v>0.0</v>
      </c>
      <c r="AN7" s="65">
        <v>0.0</v>
      </c>
      <c r="AO7" s="65">
        <v>0.0</v>
      </c>
      <c r="AP7" s="65">
        <v>0.0</v>
      </c>
      <c r="AQ7" s="65">
        <v>0.0</v>
      </c>
      <c r="AR7" s="65">
        <v>0.0</v>
      </c>
      <c r="AS7" s="65">
        <v>0.0</v>
      </c>
      <c r="AT7" s="65">
        <v>0.0</v>
      </c>
      <c r="AU7" s="65">
        <v>0.0</v>
      </c>
      <c r="AV7" s="65">
        <v>0.0</v>
      </c>
      <c r="AW7" s="65">
        <v>0.0</v>
      </c>
      <c r="AX7" s="65">
        <v>0.0</v>
      </c>
      <c r="AY7" s="65">
        <v>0.0</v>
      </c>
      <c r="AZ7" s="65">
        <v>0.0</v>
      </c>
      <c r="BA7" s="65">
        <v>0.0</v>
      </c>
      <c r="BB7" s="65">
        <v>0.0</v>
      </c>
      <c r="BC7" s="65">
        <v>0.0</v>
      </c>
      <c r="BD7" s="65">
        <v>0.0</v>
      </c>
      <c r="BE7" s="65">
        <v>0.0</v>
      </c>
    </row>
    <row r="8">
      <c r="A8" s="65" t="s">
        <v>206</v>
      </c>
      <c r="B8" s="65">
        <v>0.03877027777777778</v>
      </c>
      <c r="C8" s="65">
        <v>68.78749944444478</v>
      </c>
      <c r="D8" s="65">
        <v>0.0</v>
      </c>
      <c r="E8" s="65">
        <v>0.0</v>
      </c>
      <c r="F8" s="65">
        <v>0.0</v>
      </c>
      <c r="G8" s="65">
        <v>0.2030438888888889</v>
      </c>
      <c r="H8" s="65">
        <v>0.0</v>
      </c>
      <c r="I8" s="65">
        <v>0.0</v>
      </c>
      <c r="J8" s="65">
        <v>0.0</v>
      </c>
      <c r="K8" s="65">
        <v>0.1795897222222222</v>
      </c>
      <c r="L8" s="65">
        <v>3.453328888888893</v>
      </c>
      <c r="M8" s="65">
        <v>1.5477338888888885</v>
      </c>
      <c r="N8" s="65">
        <v>0.0</v>
      </c>
      <c r="O8" s="65">
        <v>0.0</v>
      </c>
      <c r="P8" s="65">
        <v>0.0</v>
      </c>
      <c r="Q8" s="65">
        <v>0.0</v>
      </c>
      <c r="R8" s="65">
        <v>0.0</v>
      </c>
      <c r="S8" s="65">
        <v>0.0</v>
      </c>
      <c r="T8" s="65">
        <v>0.0</v>
      </c>
      <c r="U8" s="65">
        <v>0.0</v>
      </c>
      <c r="V8" s="65">
        <v>0.0</v>
      </c>
      <c r="W8" s="65">
        <v>0.0</v>
      </c>
      <c r="X8" s="65">
        <v>0.0</v>
      </c>
      <c r="Y8" s="65">
        <v>0.0</v>
      </c>
      <c r="Z8" s="65">
        <v>0.0</v>
      </c>
      <c r="AA8" s="65">
        <v>0.0</v>
      </c>
      <c r="AB8" s="65">
        <v>0.0</v>
      </c>
      <c r="AC8" s="65">
        <v>0.0</v>
      </c>
      <c r="AD8" s="65">
        <v>0.0</v>
      </c>
      <c r="AE8" s="65">
        <v>0.0</v>
      </c>
      <c r="AF8" s="65">
        <v>0.0</v>
      </c>
      <c r="AG8" s="65">
        <v>0.0</v>
      </c>
      <c r="AH8" s="65">
        <v>0.0</v>
      </c>
      <c r="AI8" s="65">
        <v>0.0</v>
      </c>
      <c r="AJ8" s="65">
        <v>0.0</v>
      </c>
      <c r="AK8" s="65">
        <v>0.0</v>
      </c>
      <c r="AL8" s="65">
        <v>0.0</v>
      </c>
      <c r="AM8" s="65">
        <v>0.0</v>
      </c>
      <c r="AN8" s="65">
        <v>0.0</v>
      </c>
      <c r="AO8" s="65">
        <v>0.0</v>
      </c>
      <c r="AP8" s="65">
        <v>0.0</v>
      </c>
      <c r="AQ8" s="65">
        <v>0.0</v>
      </c>
      <c r="AR8" s="65">
        <v>0.0</v>
      </c>
      <c r="AS8" s="65">
        <v>0.0</v>
      </c>
      <c r="AT8" s="65">
        <v>0.0</v>
      </c>
      <c r="AU8" s="65">
        <v>0.0</v>
      </c>
      <c r="AV8" s="65">
        <v>0.0</v>
      </c>
      <c r="AW8" s="65">
        <v>0.0</v>
      </c>
      <c r="AX8" s="65">
        <v>0.0</v>
      </c>
      <c r="AY8" s="65">
        <v>0.0</v>
      </c>
      <c r="AZ8" s="65">
        <v>0.0</v>
      </c>
      <c r="BA8" s="65">
        <v>0.0</v>
      </c>
      <c r="BB8" s="65">
        <v>0.0</v>
      </c>
      <c r="BC8" s="65">
        <v>0.0</v>
      </c>
      <c r="BD8" s="65">
        <v>0.0</v>
      </c>
      <c r="BE8" s="65">
        <v>0.0</v>
      </c>
    </row>
    <row r="9">
      <c r="A9" s="65" t="s">
        <v>207</v>
      </c>
      <c r="B9" s="65">
        <v>0.045836111111111126</v>
      </c>
      <c r="C9" s="65">
        <v>52.40955944444451</v>
      </c>
      <c r="D9" s="65">
        <v>0.0</v>
      </c>
      <c r="E9" s="65">
        <v>0.0</v>
      </c>
      <c r="F9" s="65">
        <v>0.0</v>
      </c>
      <c r="G9" s="65">
        <v>0.0</v>
      </c>
      <c r="H9" s="65">
        <v>0.0</v>
      </c>
      <c r="I9" s="65">
        <v>0.0</v>
      </c>
      <c r="J9" s="65">
        <v>0.0</v>
      </c>
      <c r="K9" s="65">
        <v>1.0032955555555552</v>
      </c>
      <c r="L9" s="65">
        <v>12.099226944444469</v>
      </c>
      <c r="M9" s="65">
        <v>9.87010166666665</v>
      </c>
      <c r="N9" s="65">
        <v>0.053589722222222226</v>
      </c>
      <c r="O9" s="65">
        <v>0.0</v>
      </c>
      <c r="P9" s="65">
        <v>0.0</v>
      </c>
      <c r="Q9" s="65">
        <v>0.0</v>
      </c>
      <c r="R9" s="65">
        <v>0.0</v>
      </c>
      <c r="S9" s="65">
        <v>0.0</v>
      </c>
      <c r="T9" s="65">
        <v>0.0</v>
      </c>
      <c r="U9" s="65">
        <v>0.0</v>
      </c>
      <c r="V9" s="65">
        <v>0.0</v>
      </c>
      <c r="W9" s="65">
        <v>0.0</v>
      </c>
      <c r="X9" s="65">
        <v>0.0</v>
      </c>
      <c r="Y9" s="65">
        <v>0.0</v>
      </c>
      <c r="Z9" s="65">
        <v>0.0</v>
      </c>
      <c r="AA9" s="65">
        <v>0.0</v>
      </c>
      <c r="AB9" s="65">
        <v>0.0</v>
      </c>
      <c r="AC9" s="65">
        <v>0.0</v>
      </c>
      <c r="AD9" s="65">
        <v>0.0</v>
      </c>
      <c r="AE9" s="65">
        <v>0.0</v>
      </c>
      <c r="AF9" s="65">
        <v>0.0</v>
      </c>
      <c r="AG9" s="65">
        <v>0.0</v>
      </c>
      <c r="AH9" s="65">
        <v>0.0</v>
      </c>
      <c r="AI9" s="65">
        <v>0.0</v>
      </c>
      <c r="AJ9" s="65">
        <v>0.0</v>
      </c>
      <c r="AK9" s="65">
        <v>0.0</v>
      </c>
      <c r="AL9" s="65">
        <v>0.0</v>
      </c>
      <c r="AM9" s="65">
        <v>0.0</v>
      </c>
      <c r="AN9" s="65">
        <v>0.0</v>
      </c>
      <c r="AO9" s="65">
        <v>0.0</v>
      </c>
      <c r="AP9" s="65">
        <v>0.0</v>
      </c>
      <c r="AQ9" s="65">
        <v>0.0</v>
      </c>
      <c r="AR9" s="65">
        <v>0.0</v>
      </c>
      <c r="AS9" s="65">
        <v>0.0</v>
      </c>
      <c r="AT9" s="65">
        <v>0.0</v>
      </c>
      <c r="AU9" s="65">
        <v>0.0</v>
      </c>
      <c r="AV9" s="65">
        <v>0.0</v>
      </c>
      <c r="AW9" s="65">
        <v>0.0</v>
      </c>
      <c r="AX9" s="65">
        <v>0.0</v>
      </c>
      <c r="AY9" s="65">
        <v>0.0</v>
      </c>
      <c r="AZ9" s="65">
        <v>0.0</v>
      </c>
      <c r="BA9" s="65">
        <v>0.0</v>
      </c>
      <c r="BB9" s="65">
        <v>0.0</v>
      </c>
      <c r="BC9" s="65">
        <v>0.0</v>
      </c>
      <c r="BD9" s="65">
        <v>0.0</v>
      </c>
      <c r="BE9" s="65">
        <v>0.0</v>
      </c>
    </row>
    <row r="10">
      <c r="A10" s="65" t="s">
        <v>208</v>
      </c>
      <c r="B10" s="65">
        <v>0.1406341666666667</v>
      </c>
      <c r="C10" s="65">
        <v>60.99991027777786</v>
      </c>
      <c r="D10" s="65">
        <v>0.0</v>
      </c>
      <c r="E10" s="65">
        <v>0.0</v>
      </c>
      <c r="F10" s="65">
        <v>0.4475213888888888</v>
      </c>
      <c r="G10" s="65">
        <v>0.4394355555555555</v>
      </c>
      <c r="H10" s="65">
        <v>0.0</v>
      </c>
      <c r="I10" s="65">
        <v>0.0</v>
      </c>
      <c r="J10" s="65">
        <v>0.0</v>
      </c>
      <c r="K10" s="65">
        <v>0.19261111111111107</v>
      </c>
      <c r="L10" s="65">
        <v>6.694469999999994</v>
      </c>
      <c r="M10" s="65">
        <v>9.650028055555545</v>
      </c>
      <c r="N10" s="65">
        <v>0.24763055555555546</v>
      </c>
      <c r="O10" s="65">
        <v>0.0</v>
      </c>
      <c r="P10" s="65">
        <v>0.0</v>
      </c>
      <c r="Q10" s="65">
        <v>0.0</v>
      </c>
      <c r="R10" s="65">
        <v>0.0</v>
      </c>
      <c r="S10" s="65">
        <v>0.0</v>
      </c>
      <c r="T10" s="65">
        <v>0.0</v>
      </c>
      <c r="U10" s="65">
        <v>0.0</v>
      </c>
      <c r="V10" s="65">
        <v>0.0</v>
      </c>
      <c r="W10" s="65">
        <v>0.0</v>
      </c>
      <c r="X10" s="65">
        <v>0.0</v>
      </c>
      <c r="Y10" s="65">
        <v>0.0</v>
      </c>
      <c r="Z10" s="65">
        <v>0.0</v>
      </c>
      <c r="AA10" s="65">
        <v>0.0</v>
      </c>
      <c r="AB10" s="65">
        <v>0.0</v>
      </c>
      <c r="AC10" s="65">
        <v>0.0</v>
      </c>
      <c r="AD10" s="65">
        <v>0.0</v>
      </c>
      <c r="AE10" s="65">
        <v>0.0</v>
      </c>
      <c r="AF10" s="65">
        <v>0.0</v>
      </c>
      <c r="AG10" s="65">
        <v>0.0</v>
      </c>
      <c r="AH10" s="65">
        <v>0.0</v>
      </c>
      <c r="AI10" s="65">
        <v>0.0</v>
      </c>
      <c r="AJ10" s="65">
        <v>0.0</v>
      </c>
      <c r="AK10" s="65">
        <v>0.0</v>
      </c>
      <c r="AL10" s="65">
        <v>0.0</v>
      </c>
      <c r="AM10" s="65">
        <v>0.0</v>
      </c>
      <c r="AN10" s="65">
        <v>0.0</v>
      </c>
      <c r="AO10" s="65">
        <v>0.0</v>
      </c>
      <c r="AP10" s="65">
        <v>0.0</v>
      </c>
      <c r="AQ10" s="65">
        <v>0.0</v>
      </c>
      <c r="AR10" s="65">
        <v>0.0</v>
      </c>
      <c r="AS10" s="65">
        <v>0.0</v>
      </c>
      <c r="AT10" s="65">
        <v>0.0</v>
      </c>
      <c r="AU10" s="65">
        <v>0.0</v>
      </c>
      <c r="AV10" s="65">
        <v>0.0</v>
      </c>
      <c r="AW10" s="65">
        <v>0.0</v>
      </c>
      <c r="AX10" s="65">
        <v>0.0</v>
      </c>
      <c r="AY10" s="65">
        <v>0.0</v>
      </c>
      <c r="AZ10" s="65">
        <v>0.0</v>
      </c>
      <c r="BA10" s="65">
        <v>0.0</v>
      </c>
      <c r="BB10" s="65">
        <v>0.0</v>
      </c>
      <c r="BC10" s="65">
        <v>0.0</v>
      </c>
      <c r="BD10" s="65">
        <v>0.0</v>
      </c>
      <c r="BE10" s="65">
        <v>0.0</v>
      </c>
    </row>
    <row r="11">
      <c r="A11" s="65" t="s">
        <v>209</v>
      </c>
      <c r="B11" s="65">
        <v>0.0</v>
      </c>
      <c r="C11" s="65">
        <v>60.06252416666653</v>
      </c>
      <c r="D11" s="65">
        <v>0.0</v>
      </c>
      <c r="E11" s="65">
        <v>0.0</v>
      </c>
      <c r="F11" s="65">
        <v>0.18625</v>
      </c>
      <c r="G11" s="65">
        <v>0.0</v>
      </c>
      <c r="H11" s="65">
        <v>0.12198333333333332</v>
      </c>
      <c r="I11" s="65">
        <v>0.0</v>
      </c>
      <c r="J11" s="65">
        <v>0.0</v>
      </c>
      <c r="K11" s="65">
        <v>1.846540833333332</v>
      </c>
      <c r="L11" s="65">
        <v>6.217362777777782</v>
      </c>
      <c r="M11" s="65">
        <v>0.0</v>
      </c>
      <c r="N11" s="65">
        <v>0.0</v>
      </c>
      <c r="O11" s="65">
        <v>0.0</v>
      </c>
      <c r="P11" s="65">
        <v>0.0</v>
      </c>
      <c r="Q11" s="65">
        <v>0.0</v>
      </c>
      <c r="R11" s="65">
        <v>0.0</v>
      </c>
      <c r="S11" s="65">
        <v>0.0</v>
      </c>
      <c r="T11" s="65">
        <v>0.0</v>
      </c>
      <c r="U11" s="65">
        <v>0.0</v>
      </c>
      <c r="V11" s="65">
        <v>0.0</v>
      </c>
      <c r="W11" s="65">
        <v>0.0</v>
      </c>
      <c r="X11" s="65">
        <v>0.0</v>
      </c>
      <c r="Y11" s="65">
        <v>0.0</v>
      </c>
      <c r="Z11" s="65">
        <v>0.0</v>
      </c>
      <c r="AA11" s="65">
        <v>0.0</v>
      </c>
      <c r="AB11" s="65">
        <v>0.0</v>
      </c>
      <c r="AC11" s="65">
        <v>0.0</v>
      </c>
      <c r="AD11" s="65">
        <v>0.0</v>
      </c>
      <c r="AE11" s="65">
        <v>0.0</v>
      </c>
      <c r="AF11" s="65">
        <v>0.0</v>
      </c>
      <c r="AG11" s="65">
        <v>0.0</v>
      </c>
      <c r="AH11" s="65">
        <v>0.0</v>
      </c>
      <c r="AI11" s="65">
        <v>0.0</v>
      </c>
      <c r="AJ11" s="65">
        <v>0.0</v>
      </c>
      <c r="AK11" s="65">
        <v>0.0</v>
      </c>
      <c r="AL11" s="65">
        <v>0.0</v>
      </c>
      <c r="AM11" s="65">
        <v>0.0</v>
      </c>
      <c r="AN11" s="65">
        <v>0.0</v>
      </c>
      <c r="AO11" s="65">
        <v>0.0</v>
      </c>
      <c r="AP11" s="65">
        <v>0.0</v>
      </c>
      <c r="AQ11" s="65">
        <v>0.0</v>
      </c>
      <c r="AR11" s="65">
        <v>0.0</v>
      </c>
      <c r="AS11" s="65">
        <v>0.0</v>
      </c>
      <c r="AT11" s="65">
        <v>0.0</v>
      </c>
      <c r="AU11" s="65">
        <v>0.0</v>
      </c>
      <c r="AV11" s="65">
        <v>0.0</v>
      </c>
      <c r="AW11" s="65">
        <v>0.0</v>
      </c>
      <c r="AX11" s="65">
        <v>0.0</v>
      </c>
      <c r="AY11" s="65">
        <v>0.0</v>
      </c>
      <c r="AZ11" s="65">
        <v>0.0</v>
      </c>
      <c r="BA11" s="65">
        <v>0.0</v>
      </c>
      <c r="BB11" s="65">
        <v>0.0</v>
      </c>
      <c r="BC11" s="65">
        <v>0.0</v>
      </c>
      <c r="BD11" s="65">
        <v>0.0</v>
      </c>
      <c r="BE11" s="65">
        <v>0.0</v>
      </c>
    </row>
    <row r="12">
      <c r="A12" s="65" t="s">
        <v>210</v>
      </c>
      <c r="B12" s="65">
        <v>0.0</v>
      </c>
      <c r="C12" s="65">
        <v>78.87118944444477</v>
      </c>
      <c r="D12" s="65">
        <v>0.0</v>
      </c>
      <c r="E12" s="65">
        <v>0.0</v>
      </c>
      <c r="F12" s="65">
        <v>0.6199169444444446</v>
      </c>
      <c r="G12" s="65">
        <v>1.0104086111111106</v>
      </c>
      <c r="H12" s="65">
        <v>0.0</v>
      </c>
      <c r="I12" s="65">
        <v>0.0</v>
      </c>
      <c r="J12" s="65">
        <v>0.0</v>
      </c>
      <c r="K12" s="65">
        <v>10.47707277777777</v>
      </c>
      <c r="L12" s="65">
        <v>1.9763830555555544</v>
      </c>
      <c r="M12" s="65">
        <v>0.0</v>
      </c>
      <c r="N12" s="65">
        <v>0.0</v>
      </c>
      <c r="O12" s="65">
        <v>0.0</v>
      </c>
      <c r="P12" s="65">
        <v>0.0</v>
      </c>
      <c r="Q12" s="65">
        <v>0.0</v>
      </c>
      <c r="R12" s="65">
        <v>0.0</v>
      </c>
      <c r="S12" s="65">
        <v>0.0</v>
      </c>
      <c r="T12" s="65">
        <v>0.0</v>
      </c>
      <c r="U12" s="65">
        <v>0.0</v>
      </c>
      <c r="V12" s="65">
        <v>0.0</v>
      </c>
      <c r="W12" s="65">
        <v>0.0</v>
      </c>
      <c r="X12" s="65">
        <v>0.0</v>
      </c>
      <c r="Y12" s="65">
        <v>0.0</v>
      </c>
      <c r="Z12" s="65">
        <v>0.0</v>
      </c>
      <c r="AA12" s="65">
        <v>0.0</v>
      </c>
      <c r="AB12" s="65">
        <v>0.0</v>
      </c>
      <c r="AC12" s="65">
        <v>0.0</v>
      </c>
      <c r="AD12" s="65">
        <v>0.0</v>
      </c>
      <c r="AE12" s="65">
        <v>0.0</v>
      </c>
      <c r="AF12" s="65">
        <v>0.0</v>
      </c>
      <c r="AG12" s="65">
        <v>0.0</v>
      </c>
      <c r="AH12" s="65">
        <v>0.0</v>
      </c>
      <c r="AI12" s="65">
        <v>0.0</v>
      </c>
      <c r="AJ12" s="65">
        <v>0.0</v>
      </c>
      <c r="AK12" s="65">
        <v>0.0</v>
      </c>
      <c r="AL12" s="65">
        <v>0.0</v>
      </c>
      <c r="AM12" s="65">
        <v>0.0</v>
      </c>
      <c r="AN12" s="65">
        <v>0.0</v>
      </c>
      <c r="AO12" s="65">
        <v>0.0</v>
      </c>
      <c r="AP12" s="65">
        <v>0.0</v>
      </c>
      <c r="AQ12" s="65">
        <v>0.0</v>
      </c>
      <c r="AR12" s="65">
        <v>0.0</v>
      </c>
      <c r="AS12" s="65">
        <v>0.0</v>
      </c>
      <c r="AT12" s="65">
        <v>0.0</v>
      </c>
      <c r="AU12" s="65">
        <v>0.0</v>
      </c>
      <c r="AV12" s="65">
        <v>0.0</v>
      </c>
      <c r="AW12" s="65">
        <v>0.0</v>
      </c>
      <c r="AX12" s="65">
        <v>0.0</v>
      </c>
      <c r="AY12" s="65">
        <v>0.0</v>
      </c>
      <c r="AZ12" s="65">
        <v>0.0</v>
      </c>
      <c r="BA12" s="65">
        <v>0.0</v>
      </c>
      <c r="BB12" s="65">
        <v>0.0</v>
      </c>
      <c r="BC12" s="65">
        <v>0.0</v>
      </c>
      <c r="BD12" s="65">
        <v>0.0</v>
      </c>
      <c r="BE12" s="65">
        <v>0.0</v>
      </c>
    </row>
    <row r="13">
      <c r="A13" s="65" t="s">
        <v>211</v>
      </c>
      <c r="B13" s="65">
        <v>0.0</v>
      </c>
      <c r="C13" s="65">
        <v>86.21154222222192</v>
      </c>
      <c r="D13" s="65">
        <v>0.0</v>
      </c>
      <c r="E13" s="65">
        <v>0.0</v>
      </c>
      <c r="F13" s="65">
        <v>1.0321458333333329</v>
      </c>
      <c r="G13" s="65">
        <v>0.10762277777777779</v>
      </c>
      <c r="H13" s="65">
        <v>0.0</v>
      </c>
      <c r="I13" s="65">
        <v>0.0</v>
      </c>
      <c r="J13" s="65">
        <v>0.0</v>
      </c>
      <c r="K13" s="65">
        <v>1.1529250000000004</v>
      </c>
      <c r="L13" s="65">
        <v>2.4159069444444468</v>
      </c>
      <c r="M13" s="65">
        <v>0.0</v>
      </c>
      <c r="N13" s="65">
        <v>10.109465833333365</v>
      </c>
      <c r="O13" s="65">
        <v>0.03908777777777778</v>
      </c>
      <c r="P13" s="65">
        <v>0.0</v>
      </c>
      <c r="Q13" s="65">
        <v>0.0</v>
      </c>
      <c r="R13" s="65">
        <v>0.0</v>
      </c>
      <c r="S13" s="65">
        <v>0.0</v>
      </c>
      <c r="T13" s="65">
        <v>0.0</v>
      </c>
      <c r="U13" s="65">
        <v>0.0</v>
      </c>
      <c r="V13" s="65">
        <v>0.0</v>
      </c>
      <c r="W13" s="65">
        <v>0.0</v>
      </c>
      <c r="X13" s="65">
        <v>0.0</v>
      </c>
      <c r="Y13" s="65">
        <v>0.0</v>
      </c>
      <c r="Z13" s="65">
        <v>0.0</v>
      </c>
      <c r="AA13" s="65">
        <v>0.0</v>
      </c>
      <c r="AB13" s="65">
        <v>0.0</v>
      </c>
      <c r="AC13" s="65">
        <v>0.0</v>
      </c>
      <c r="AD13" s="65">
        <v>0.0</v>
      </c>
      <c r="AE13" s="65">
        <v>0.0</v>
      </c>
      <c r="AF13" s="65">
        <v>0.0</v>
      </c>
      <c r="AG13" s="65">
        <v>0.0</v>
      </c>
      <c r="AH13" s="65">
        <v>0.0</v>
      </c>
      <c r="AI13" s="65">
        <v>0.0</v>
      </c>
      <c r="AJ13" s="65">
        <v>0.0</v>
      </c>
      <c r="AK13" s="65">
        <v>0.0</v>
      </c>
      <c r="AL13" s="65">
        <v>0.0</v>
      </c>
      <c r="AM13" s="65">
        <v>0.0</v>
      </c>
      <c r="AN13" s="65">
        <v>0.0</v>
      </c>
      <c r="AO13" s="65">
        <v>0.0</v>
      </c>
      <c r="AP13" s="65">
        <v>0.0</v>
      </c>
      <c r="AQ13" s="65">
        <v>0.0</v>
      </c>
      <c r="AR13" s="65">
        <v>0.0</v>
      </c>
      <c r="AS13" s="65">
        <v>0.0</v>
      </c>
      <c r="AT13" s="65">
        <v>0.0</v>
      </c>
      <c r="AU13" s="65">
        <v>0.0</v>
      </c>
      <c r="AV13" s="65">
        <v>0.0</v>
      </c>
      <c r="AW13" s="65">
        <v>0.0</v>
      </c>
      <c r="AX13" s="65">
        <v>0.0</v>
      </c>
      <c r="AY13" s="65">
        <v>0.0</v>
      </c>
      <c r="AZ13" s="65">
        <v>0.0</v>
      </c>
      <c r="BA13" s="65">
        <v>0.0</v>
      </c>
      <c r="BB13" s="65">
        <v>0.0</v>
      </c>
      <c r="BC13" s="65">
        <v>0.0</v>
      </c>
      <c r="BD13" s="65">
        <v>0.0</v>
      </c>
      <c r="BE13" s="65">
        <v>0.0</v>
      </c>
    </row>
    <row r="14">
      <c r="A14" s="65" t="s">
        <v>212</v>
      </c>
      <c r="B14" s="65">
        <v>0.0</v>
      </c>
      <c r="C14" s="65">
        <v>85.97012666666632</v>
      </c>
      <c r="D14" s="65">
        <v>0.0</v>
      </c>
      <c r="E14" s="65">
        <v>0.0</v>
      </c>
      <c r="F14" s="65">
        <v>0.4049961111111109</v>
      </c>
      <c r="G14" s="65">
        <v>0.19711944444444435</v>
      </c>
      <c r="H14" s="65">
        <v>0.0</v>
      </c>
      <c r="I14" s="65">
        <v>0.0</v>
      </c>
      <c r="J14" s="65">
        <v>0.0</v>
      </c>
      <c r="K14" s="65">
        <v>22.15875916666652</v>
      </c>
      <c r="L14" s="65">
        <v>1.8915694444444429</v>
      </c>
      <c r="M14" s="65">
        <v>0.0</v>
      </c>
      <c r="N14" s="65">
        <v>0.6897216666666667</v>
      </c>
      <c r="O14" s="65">
        <v>0.0</v>
      </c>
      <c r="P14" s="65">
        <v>0.0</v>
      </c>
      <c r="Q14" s="65">
        <v>0.0</v>
      </c>
      <c r="R14" s="65">
        <v>0.0</v>
      </c>
      <c r="S14" s="65">
        <v>0.0</v>
      </c>
      <c r="T14" s="65">
        <v>0.0</v>
      </c>
      <c r="U14" s="65">
        <v>0.0</v>
      </c>
      <c r="V14" s="65">
        <v>0.0</v>
      </c>
      <c r="W14" s="65">
        <v>0.0</v>
      </c>
      <c r="X14" s="65">
        <v>0.0</v>
      </c>
      <c r="Y14" s="65">
        <v>0.0</v>
      </c>
      <c r="Z14" s="65">
        <v>0.0</v>
      </c>
      <c r="AA14" s="65">
        <v>0.0</v>
      </c>
      <c r="AB14" s="65">
        <v>0.0</v>
      </c>
      <c r="AC14" s="65">
        <v>0.0</v>
      </c>
      <c r="AD14" s="65">
        <v>0.0</v>
      </c>
      <c r="AE14" s="65">
        <v>0.0</v>
      </c>
      <c r="AF14" s="65">
        <v>0.0</v>
      </c>
      <c r="AG14" s="65">
        <v>0.0</v>
      </c>
      <c r="AH14" s="65">
        <v>0.0</v>
      </c>
      <c r="AI14" s="65">
        <v>0.0</v>
      </c>
      <c r="AJ14" s="65">
        <v>0.0</v>
      </c>
      <c r="AK14" s="65">
        <v>0.0</v>
      </c>
      <c r="AL14" s="65">
        <v>0.0</v>
      </c>
      <c r="AM14" s="65">
        <v>0.0</v>
      </c>
      <c r="AN14" s="65">
        <v>0.0</v>
      </c>
      <c r="AO14" s="65">
        <v>0.0</v>
      </c>
      <c r="AP14" s="65">
        <v>0.0</v>
      </c>
      <c r="AQ14" s="65">
        <v>0.0</v>
      </c>
      <c r="AR14" s="65">
        <v>0.0</v>
      </c>
      <c r="AS14" s="65">
        <v>0.0</v>
      </c>
      <c r="AT14" s="65">
        <v>0.0</v>
      </c>
      <c r="AU14" s="65">
        <v>0.0</v>
      </c>
      <c r="AV14" s="65">
        <v>0.0</v>
      </c>
      <c r="AW14" s="65">
        <v>0.0</v>
      </c>
      <c r="AX14" s="65">
        <v>0.0</v>
      </c>
      <c r="AY14" s="65">
        <v>0.0</v>
      </c>
      <c r="AZ14" s="65">
        <v>0.0</v>
      </c>
      <c r="BA14" s="65">
        <v>0.0</v>
      </c>
      <c r="BB14" s="65">
        <v>0.0</v>
      </c>
      <c r="BC14" s="65">
        <v>0.0</v>
      </c>
      <c r="BD14" s="65">
        <v>0.0</v>
      </c>
      <c r="BE14" s="65">
        <v>0.0</v>
      </c>
    </row>
    <row r="15">
      <c r="A15" s="65" t="s">
        <v>213</v>
      </c>
      <c r="B15" s="65">
        <v>0.0</v>
      </c>
      <c r="C15" s="65">
        <v>71.19694972222149</v>
      </c>
      <c r="D15" s="65">
        <v>0.0</v>
      </c>
      <c r="E15" s="65">
        <v>0.0</v>
      </c>
      <c r="F15" s="65">
        <v>0.5253072222222221</v>
      </c>
      <c r="G15" s="65">
        <v>0.7361575</v>
      </c>
      <c r="H15" s="65">
        <v>0.0</v>
      </c>
      <c r="I15" s="65">
        <v>0.0</v>
      </c>
      <c r="J15" s="65">
        <v>0.0</v>
      </c>
      <c r="K15" s="65">
        <v>0.0</v>
      </c>
      <c r="L15" s="65">
        <v>2.189974722222224</v>
      </c>
      <c r="M15" s="65">
        <v>0.0</v>
      </c>
      <c r="N15" s="65">
        <v>1.6516163888888906</v>
      </c>
      <c r="O15" s="65">
        <v>0.0</v>
      </c>
      <c r="P15" s="65">
        <v>0.0</v>
      </c>
      <c r="Q15" s="65">
        <v>0.0</v>
      </c>
      <c r="R15" s="65">
        <v>0.0</v>
      </c>
      <c r="S15" s="65">
        <v>0.0</v>
      </c>
      <c r="T15" s="65">
        <v>0.0</v>
      </c>
      <c r="U15" s="65">
        <v>0.0</v>
      </c>
      <c r="V15" s="65">
        <v>0.0</v>
      </c>
      <c r="W15" s="65">
        <v>0.0</v>
      </c>
      <c r="X15" s="65">
        <v>0.0</v>
      </c>
      <c r="Y15" s="65">
        <v>0.0</v>
      </c>
      <c r="Z15" s="65">
        <v>0.0</v>
      </c>
      <c r="AA15" s="65">
        <v>0.0</v>
      </c>
      <c r="AB15" s="65">
        <v>0.0</v>
      </c>
      <c r="AC15" s="65">
        <v>0.0</v>
      </c>
      <c r="AD15" s="65">
        <v>0.0</v>
      </c>
      <c r="AE15" s="65">
        <v>0.0</v>
      </c>
      <c r="AF15" s="65">
        <v>0.0</v>
      </c>
      <c r="AG15" s="65">
        <v>0.0</v>
      </c>
      <c r="AH15" s="65">
        <v>0.0</v>
      </c>
      <c r="AI15" s="65">
        <v>0.0</v>
      </c>
      <c r="AJ15" s="65">
        <v>0.0</v>
      </c>
      <c r="AK15" s="65">
        <v>0.0</v>
      </c>
      <c r="AL15" s="65">
        <v>0.0</v>
      </c>
      <c r="AM15" s="65">
        <v>0.0</v>
      </c>
      <c r="AN15" s="65">
        <v>0.0</v>
      </c>
      <c r="AO15" s="65">
        <v>0.0</v>
      </c>
      <c r="AP15" s="65">
        <v>0.0</v>
      </c>
      <c r="AQ15" s="65">
        <v>0.0</v>
      </c>
      <c r="AR15" s="65">
        <v>0.0</v>
      </c>
      <c r="AS15" s="65">
        <v>0.0</v>
      </c>
      <c r="AT15" s="65">
        <v>0.0</v>
      </c>
      <c r="AU15" s="65">
        <v>0.0</v>
      </c>
      <c r="AV15" s="65">
        <v>0.0</v>
      </c>
      <c r="AW15" s="65">
        <v>0.0</v>
      </c>
      <c r="AX15" s="65">
        <v>0.0</v>
      </c>
      <c r="AY15" s="65">
        <v>0.0</v>
      </c>
      <c r="AZ15" s="65">
        <v>0.0</v>
      </c>
      <c r="BA15" s="65">
        <v>0.0</v>
      </c>
      <c r="BB15" s="65">
        <v>0.0</v>
      </c>
      <c r="BC15" s="65">
        <v>0.0</v>
      </c>
      <c r="BD15" s="65">
        <v>0.0</v>
      </c>
      <c r="BE15" s="65">
        <v>0.0</v>
      </c>
    </row>
    <row r="16">
      <c r="A16" s="65" t="s">
        <v>214</v>
      </c>
      <c r="B16" s="65">
        <v>0.0</v>
      </c>
      <c r="C16" s="65">
        <v>78.053384722222</v>
      </c>
      <c r="D16" s="65">
        <v>0.0</v>
      </c>
      <c r="E16" s="65">
        <v>0.1088886111111111</v>
      </c>
      <c r="F16" s="65">
        <v>0.0</v>
      </c>
      <c r="G16" s="65">
        <v>0.0</v>
      </c>
      <c r="H16" s="65">
        <v>0.0</v>
      </c>
      <c r="I16" s="65">
        <v>0.0</v>
      </c>
      <c r="J16" s="65">
        <v>0.0</v>
      </c>
      <c r="K16" s="65">
        <v>0.0</v>
      </c>
      <c r="L16" s="65">
        <v>2.8465613888888908</v>
      </c>
      <c r="M16" s="65">
        <v>0.2575258333333333</v>
      </c>
      <c r="N16" s="65">
        <v>5.421542222222228</v>
      </c>
      <c r="O16" s="65">
        <v>0.0</v>
      </c>
      <c r="P16" s="65">
        <v>0.0</v>
      </c>
      <c r="Q16" s="65">
        <v>0.0</v>
      </c>
      <c r="R16" s="65">
        <v>0.0</v>
      </c>
      <c r="S16" s="65">
        <v>0.0</v>
      </c>
      <c r="T16" s="65">
        <v>0.0</v>
      </c>
      <c r="U16" s="65">
        <v>0.0</v>
      </c>
      <c r="V16" s="65">
        <v>0.0</v>
      </c>
      <c r="W16" s="65">
        <v>0.0</v>
      </c>
      <c r="X16" s="65">
        <v>0.0</v>
      </c>
      <c r="Y16" s="65">
        <v>0.0</v>
      </c>
      <c r="Z16" s="65">
        <v>0.0</v>
      </c>
      <c r="AA16" s="65">
        <v>0.0</v>
      </c>
      <c r="AB16" s="65">
        <v>0.0</v>
      </c>
      <c r="AC16" s="65">
        <v>0.0</v>
      </c>
      <c r="AD16" s="65">
        <v>0.0</v>
      </c>
      <c r="AE16" s="65">
        <v>0.0</v>
      </c>
      <c r="AF16" s="65">
        <v>0.0</v>
      </c>
      <c r="AG16" s="65">
        <v>0.0</v>
      </c>
      <c r="AH16" s="65">
        <v>0.0</v>
      </c>
      <c r="AI16" s="65">
        <v>0.0</v>
      </c>
      <c r="AJ16" s="65">
        <v>0.0</v>
      </c>
      <c r="AK16" s="65">
        <v>0.0</v>
      </c>
      <c r="AL16" s="65">
        <v>0.0</v>
      </c>
      <c r="AM16" s="65">
        <v>0.0</v>
      </c>
      <c r="AN16" s="65">
        <v>0.0</v>
      </c>
      <c r="AO16" s="65">
        <v>0.0</v>
      </c>
      <c r="AP16" s="65">
        <v>0.0</v>
      </c>
      <c r="AQ16" s="65">
        <v>0.0</v>
      </c>
      <c r="AR16" s="65">
        <v>0.0</v>
      </c>
      <c r="AS16" s="65">
        <v>0.0</v>
      </c>
      <c r="AT16" s="65">
        <v>0.0</v>
      </c>
      <c r="AU16" s="65">
        <v>0.0</v>
      </c>
      <c r="AV16" s="65">
        <v>0.0</v>
      </c>
      <c r="AW16" s="65">
        <v>0.0</v>
      </c>
      <c r="AX16" s="65">
        <v>0.0</v>
      </c>
      <c r="AY16" s="65">
        <v>0.0</v>
      </c>
      <c r="AZ16" s="65">
        <v>0.0</v>
      </c>
      <c r="BA16" s="65">
        <v>0.0</v>
      </c>
      <c r="BB16" s="65">
        <v>0.0</v>
      </c>
      <c r="BC16" s="65">
        <v>0.0</v>
      </c>
      <c r="BD16" s="65">
        <v>0.0</v>
      </c>
      <c r="BE16" s="65">
        <v>0.0</v>
      </c>
    </row>
    <row r="17">
      <c r="A17" s="65" t="s">
        <v>215</v>
      </c>
      <c r="B17" s="65">
        <v>0.0</v>
      </c>
      <c r="C17" s="65">
        <v>78.09420666666662</v>
      </c>
      <c r="D17" s="65">
        <v>0.0</v>
      </c>
      <c r="E17" s="65">
        <v>0.0</v>
      </c>
      <c r="F17" s="65">
        <v>0.17508972222222222</v>
      </c>
      <c r="G17" s="65">
        <v>2.7201088888888867</v>
      </c>
      <c r="H17" s="65">
        <v>0.0</v>
      </c>
      <c r="I17" s="65">
        <v>0.0</v>
      </c>
      <c r="J17" s="65">
        <v>0.0</v>
      </c>
      <c r="K17" s="65">
        <v>0.0</v>
      </c>
      <c r="L17" s="65">
        <v>2.9715175000000023</v>
      </c>
      <c r="M17" s="65">
        <v>0.0</v>
      </c>
      <c r="N17" s="65">
        <v>0.22867138888888888</v>
      </c>
      <c r="O17" s="65">
        <v>0.0</v>
      </c>
      <c r="P17" s="65">
        <v>0.0</v>
      </c>
      <c r="Q17" s="65">
        <v>0.0</v>
      </c>
      <c r="R17" s="65">
        <v>0.0</v>
      </c>
      <c r="S17" s="65">
        <v>0.0</v>
      </c>
      <c r="T17" s="65">
        <v>0.0</v>
      </c>
      <c r="U17" s="65">
        <v>0.0</v>
      </c>
      <c r="V17" s="65">
        <v>0.0</v>
      </c>
      <c r="W17" s="65">
        <v>0.0</v>
      </c>
      <c r="X17" s="65">
        <v>0.0</v>
      </c>
      <c r="Y17" s="65">
        <v>0.0</v>
      </c>
      <c r="Z17" s="65">
        <v>0.0</v>
      </c>
      <c r="AA17" s="65">
        <v>0.0</v>
      </c>
      <c r="AB17" s="65">
        <v>0.0</v>
      </c>
      <c r="AC17" s="65">
        <v>0.0</v>
      </c>
      <c r="AD17" s="65">
        <v>0.0</v>
      </c>
      <c r="AE17" s="65">
        <v>0.0</v>
      </c>
      <c r="AF17" s="65">
        <v>0.0</v>
      </c>
      <c r="AG17" s="65">
        <v>0.0</v>
      </c>
      <c r="AH17" s="65">
        <v>0.0</v>
      </c>
      <c r="AI17" s="65">
        <v>0.0</v>
      </c>
      <c r="AJ17" s="65">
        <v>0.0</v>
      </c>
      <c r="AK17" s="65">
        <v>0.0</v>
      </c>
      <c r="AL17" s="65">
        <v>0.0</v>
      </c>
      <c r="AM17" s="65">
        <v>0.0</v>
      </c>
      <c r="AN17" s="65">
        <v>0.0</v>
      </c>
      <c r="AO17" s="65">
        <v>0.0</v>
      </c>
      <c r="AP17" s="65">
        <v>0.0</v>
      </c>
      <c r="AQ17" s="65">
        <v>0.0</v>
      </c>
      <c r="AR17" s="65">
        <v>0.0</v>
      </c>
      <c r="AS17" s="65">
        <v>0.0</v>
      </c>
      <c r="AT17" s="65">
        <v>0.0</v>
      </c>
      <c r="AU17" s="65">
        <v>0.0</v>
      </c>
      <c r="AV17" s="65">
        <v>0.0</v>
      </c>
      <c r="AW17" s="65">
        <v>0.0</v>
      </c>
      <c r="AX17" s="65">
        <v>0.0</v>
      </c>
      <c r="AY17" s="65">
        <v>0.0</v>
      </c>
      <c r="AZ17" s="65">
        <v>0.0</v>
      </c>
      <c r="BA17" s="65">
        <v>0.0</v>
      </c>
      <c r="BB17" s="65">
        <v>0.0</v>
      </c>
      <c r="BC17" s="65">
        <v>0.0</v>
      </c>
      <c r="BD17" s="65">
        <v>0.0</v>
      </c>
      <c r="BE17" s="65">
        <v>0.0</v>
      </c>
    </row>
    <row r="18">
      <c r="A18" s="65" t="s">
        <v>216</v>
      </c>
      <c r="B18" s="65">
        <v>0.05037833333333333</v>
      </c>
      <c r="C18" s="65">
        <v>68.99380083333362</v>
      </c>
      <c r="D18" s="65">
        <v>0.0</v>
      </c>
      <c r="E18" s="65">
        <v>0.0</v>
      </c>
      <c r="F18" s="65">
        <v>0.3324083333333334</v>
      </c>
      <c r="G18" s="65">
        <v>0.0</v>
      </c>
      <c r="H18" s="65">
        <v>0.0</v>
      </c>
      <c r="I18" s="65">
        <v>0.0</v>
      </c>
      <c r="J18" s="65">
        <v>0.0</v>
      </c>
      <c r="K18" s="65">
        <v>0.8874252777777776</v>
      </c>
      <c r="L18" s="65">
        <v>2.5213183333333338</v>
      </c>
      <c r="M18" s="65">
        <v>0.0</v>
      </c>
      <c r="N18" s="65">
        <v>0.2609247222222221</v>
      </c>
      <c r="O18" s="65">
        <v>0.0</v>
      </c>
      <c r="P18" s="65">
        <v>0.17344749999999995</v>
      </c>
      <c r="Q18" s="65">
        <v>0.0</v>
      </c>
      <c r="R18" s="65">
        <v>0.0</v>
      </c>
      <c r="S18" s="65">
        <v>0.0</v>
      </c>
      <c r="T18" s="65">
        <v>0.0</v>
      </c>
      <c r="U18" s="65">
        <v>0.0</v>
      </c>
      <c r="V18" s="65">
        <v>0.0</v>
      </c>
      <c r="W18" s="65">
        <v>0.0</v>
      </c>
      <c r="X18" s="65">
        <v>0.0</v>
      </c>
      <c r="Y18" s="65">
        <v>0.0</v>
      </c>
      <c r="Z18" s="65">
        <v>0.0</v>
      </c>
      <c r="AA18" s="65">
        <v>0.0</v>
      </c>
      <c r="AB18" s="65">
        <v>0.0</v>
      </c>
      <c r="AC18" s="65">
        <v>0.0</v>
      </c>
      <c r="AD18" s="65">
        <v>0.0</v>
      </c>
      <c r="AE18" s="65">
        <v>0.0</v>
      </c>
      <c r="AF18" s="65">
        <v>0.0</v>
      </c>
      <c r="AG18" s="65">
        <v>0.0</v>
      </c>
      <c r="AH18" s="65">
        <v>0.0</v>
      </c>
      <c r="AI18" s="65">
        <v>0.0</v>
      </c>
      <c r="AJ18" s="65">
        <v>0.0</v>
      </c>
      <c r="AK18" s="65">
        <v>0.0</v>
      </c>
      <c r="AL18" s="65">
        <v>0.0</v>
      </c>
      <c r="AM18" s="65">
        <v>0.0</v>
      </c>
      <c r="AN18" s="65">
        <v>0.0</v>
      </c>
      <c r="AO18" s="65">
        <v>0.0</v>
      </c>
      <c r="AP18" s="65">
        <v>0.0</v>
      </c>
      <c r="AQ18" s="65">
        <v>0.0</v>
      </c>
      <c r="AR18" s="65">
        <v>0.0</v>
      </c>
      <c r="AS18" s="65">
        <v>0.0</v>
      </c>
      <c r="AT18" s="65">
        <v>0.0</v>
      </c>
      <c r="AU18" s="65">
        <v>0.0</v>
      </c>
      <c r="AV18" s="65">
        <v>0.0</v>
      </c>
      <c r="AW18" s="65">
        <v>0.0</v>
      </c>
      <c r="AX18" s="65">
        <v>0.0</v>
      </c>
      <c r="AY18" s="65">
        <v>0.0</v>
      </c>
      <c r="AZ18" s="65">
        <v>0.0</v>
      </c>
      <c r="BA18" s="65">
        <v>0.0</v>
      </c>
      <c r="BB18" s="65">
        <v>0.0</v>
      </c>
      <c r="BC18" s="65">
        <v>0.0</v>
      </c>
      <c r="BD18" s="65">
        <v>0.0</v>
      </c>
      <c r="BE18" s="65">
        <v>0.0</v>
      </c>
    </row>
    <row r="19">
      <c r="A19" s="65" t="s">
        <v>217</v>
      </c>
      <c r="B19" s="65">
        <v>0.13262000000000002</v>
      </c>
      <c r="C19" s="65">
        <v>60.74291305555515</v>
      </c>
      <c r="D19" s="65">
        <v>0.0</v>
      </c>
      <c r="E19" s="65">
        <v>0.0</v>
      </c>
      <c r="F19" s="65">
        <v>0.12887305555555556</v>
      </c>
      <c r="G19" s="65">
        <v>0.443607222222222</v>
      </c>
      <c r="H19" s="65">
        <v>0.0</v>
      </c>
      <c r="I19" s="65">
        <v>0.0</v>
      </c>
      <c r="J19" s="65">
        <v>0.0</v>
      </c>
      <c r="K19" s="65">
        <v>0.0</v>
      </c>
      <c r="L19" s="65">
        <v>8.28277194444445</v>
      </c>
      <c r="M19" s="65">
        <v>1.9464858333333346</v>
      </c>
      <c r="N19" s="65">
        <v>0.0</v>
      </c>
      <c r="O19" s="65">
        <v>0.0</v>
      </c>
      <c r="P19" s="65">
        <v>0.0</v>
      </c>
      <c r="Q19" s="65">
        <v>0.10654194444444443</v>
      </c>
      <c r="R19" s="65">
        <v>0.0</v>
      </c>
      <c r="S19" s="65">
        <v>0.0</v>
      </c>
      <c r="T19" s="65">
        <v>0.0</v>
      </c>
      <c r="U19" s="65">
        <v>0.0</v>
      </c>
      <c r="V19" s="65">
        <v>0.0</v>
      </c>
      <c r="W19" s="65">
        <v>0.0</v>
      </c>
      <c r="X19" s="65">
        <v>0.0</v>
      </c>
      <c r="Y19" s="65">
        <v>0.0</v>
      </c>
      <c r="Z19" s="65">
        <v>0.0</v>
      </c>
      <c r="AA19" s="65">
        <v>0.0</v>
      </c>
      <c r="AB19" s="65">
        <v>0.0</v>
      </c>
      <c r="AC19" s="65">
        <v>0.0</v>
      </c>
      <c r="AD19" s="65">
        <v>0.0</v>
      </c>
      <c r="AE19" s="65">
        <v>0.0</v>
      </c>
      <c r="AF19" s="65">
        <v>0.0</v>
      </c>
      <c r="AG19" s="65">
        <v>0.0</v>
      </c>
      <c r="AH19" s="65">
        <v>0.0</v>
      </c>
      <c r="AI19" s="65">
        <v>0.0</v>
      </c>
      <c r="AJ19" s="65">
        <v>0.0</v>
      </c>
      <c r="AK19" s="65">
        <v>0.0</v>
      </c>
      <c r="AL19" s="65">
        <v>0.0</v>
      </c>
      <c r="AM19" s="65">
        <v>0.0</v>
      </c>
      <c r="AN19" s="65">
        <v>0.0</v>
      </c>
      <c r="AO19" s="65">
        <v>0.0</v>
      </c>
      <c r="AP19" s="65">
        <v>0.0</v>
      </c>
      <c r="AQ19" s="65">
        <v>0.0</v>
      </c>
      <c r="AR19" s="65">
        <v>0.0</v>
      </c>
      <c r="AS19" s="65">
        <v>0.0</v>
      </c>
      <c r="AT19" s="65">
        <v>0.0</v>
      </c>
      <c r="AU19" s="65">
        <v>0.0</v>
      </c>
      <c r="AV19" s="65">
        <v>0.0</v>
      </c>
      <c r="AW19" s="65">
        <v>0.0</v>
      </c>
      <c r="AX19" s="65">
        <v>0.0</v>
      </c>
      <c r="AY19" s="65">
        <v>0.0</v>
      </c>
      <c r="AZ19" s="65">
        <v>0.0</v>
      </c>
      <c r="BA19" s="65">
        <v>0.0</v>
      </c>
      <c r="BB19" s="65">
        <v>0.0</v>
      </c>
      <c r="BC19" s="65">
        <v>0.0</v>
      </c>
      <c r="BD19" s="65">
        <v>0.0</v>
      </c>
      <c r="BE19" s="65">
        <v>0.0</v>
      </c>
    </row>
    <row r="20">
      <c r="A20" s="65" t="s">
        <v>218</v>
      </c>
      <c r="B20" s="65">
        <v>0.0</v>
      </c>
      <c r="C20" s="65">
        <v>70.7557711111109</v>
      </c>
      <c r="D20" s="65">
        <v>0.0</v>
      </c>
      <c r="E20" s="65">
        <v>0.0</v>
      </c>
      <c r="F20" s="65">
        <v>0.0</v>
      </c>
      <c r="G20" s="65">
        <v>0.1330766666666667</v>
      </c>
      <c r="H20" s="65">
        <v>0.0</v>
      </c>
      <c r="I20" s="65">
        <v>0.0</v>
      </c>
      <c r="J20" s="65">
        <v>0.0</v>
      </c>
      <c r="K20" s="65">
        <v>0.6330577777777777</v>
      </c>
      <c r="L20" s="65">
        <v>4.5653394444444375</v>
      </c>
      <c r="M20" s="65">
        <v>1.5886116666666688</v>
      </c>
      <c r="N20" s="65">
        <v>0.0</v>
      </c>
      <c r="O20" s="65">
        <v>0.0</v>
      </c>
      <c r="P20" s="65">
        <v>0.0</v>
      </c>
      <c r="Q20" s="65">
        <v>0.0</v>
      </c>
      <c r="R20" s="65">
        <v>0.8587819444444437</v>
      </c>
      <c r="S20" s="65">
        <v>0.29959666666666673</v>
      </c>
      <c r="T20" s="65">
        <v>0.0</v>
      </c>
      <c r="U20" s="65">
        <v>0.0</v>
      </c>
      <c r="V20" s="65">
        <v>0.0</v>
      </c>
      <c r="W20" s="65">
        <v>0.0</v>
      </c>
      <c r="X20" s="65">
        <v>0.0</v>
      </c>
      <c r="Y20" s="65">
        <v>0.0</v>
      </c>
      <c r="Z20" s="65">
        <v>0.0</v>
      </c>
      <c r="AA20" s="65">
        <v>0.0</v>
      </c>
      <c r="AB20" s="65">
        <v>0.0</v>
      </c>
      <c r="AC20" s="65">
        <v>0.0</v>
      </c>
      <c r="AD20" s="65">
        <v>0.0</v>
      </c>
      <c r="AE20" s="65">
        <v>0.0</v>
      </c>
      <c r="AF20" s="65">
        <v>0.0</v>
      </c>
      <c r="AG20" s="65">
        <v>0.0</v>
      </c>
      <c r="AH20" s="65">
        <v>0.0</v>
      </c>
      <c r="AI20" s="65">
        <v>0.0</v>
      </c>
      <c r="AJ20" s="65">
        <v>0.0</v>
      </c>
      <c r="AK20" s="65">
        <v>0.0</v>
      </c>
      <c r="AL20" s="65">
        <v>0.0</v>
      </c>
      <c r="AM20" s="65">
        <v>0.0</v>
      </c>
      <c r="AN20" s="65">
        <v>0.0</v>
      </c>
      <c r="AO20" s="65">
        <v>0.0</v>
      </c>
      <c r="AP20" s="65">
        <v>0.0</v>
      </c>
      <c r="AQ20" s="65">
        <v>0.0</v>
      </c>
      <c r="AR20" s="65">
        <v>0.0</v>
      </c>
      <c r="AS20" s="65">
        <v>0.0</v>
      </c>
      <c r="AT20" s="65">
        <v>0.0</v>
      </c>
      <c r="AU20" s="65">
        <v>0.0</v>
      </c>
      <c r="AV20" s="65">
        <v>0.0</v>
      </c>
      <c r="AW20" s="65">
        <v>0.0</v>
      </c>
      <c r="AX20" s="65">
        <v>0.0</v>
      </c>
      <c r="AY20" s="65">
        <v>0.0</v>
      </c>
      <c r="AZ20" s="65">
        <v>0.0</v>
      </c>
      <c r="BA20" s="65">
        <v>0.0</v>
      </c>
      <c r="BB20" s="65">
        <v>0.0</v>
      </c>
      <c r="BC20" s="65">
        <v>0.0</v>
      </c>
      <c r="BD20" s="65">
        <v>0.0</v>
      </c>
      <c r="BE20" s="65">
        <v>0.0</v>
      </c>
    </row>
    <row r="21">
      <c r="A21" s="65" t="s">
        <v>219</v>
      </c>
      <c r="B21" s="65">
        <v>0.0</v>
      </c>
      <c r="C21" s="65">
        <v>73.17258527777797</v>
      </c>
      <c r="D21" s="65">
        <v>0.22010194444444448</v>
      </c>
      <c r="E21" s="65">
        <v>0.0</v>
      </c>
      <c r="F21" s="65">
        <v>0.0</v>
      </c>
      <c r="G21" s="65">
        <v>0.0</v>
      </c>
      <c r="H21" s="65">
        <v>0.0</v>
      </c>
      <c r="I21" s="65">
        <v>0.0</v>
      </c>
      <c r="J21" s="65">
        <v>0.0</v>
      </c>
      <c r="K21" s="65">
        <v>0.0</v>
      </c>
      <c r="L21" s="65">
        <v>3.296599444444448</v>
      </c>
      <c r="M21" s="65">
        <v>1.2967691666666674</v>
      </c>
      <c r="N21" s="65">
        <v>0.0</v>
      </c>
      <c r="O21" s="65">
        <v>0.0</v>
      </c>
      <c r="P21" s="65">
        <v>0.0</v>
      </c>
      <c r="Q21" s="65">
        <v>0.0</v>
      </c>
      <c r="R21" s="65">
        <v>0.0</v>
      </c>
      <c r="S21" s="65">
        <v>0.0</v>
      </c>
      <c r="T21" s="65">
        <v>0.049802500000000006</v>
      </c>
      <c r="U21" s="65">
        <v>0.0</v>
      </c>
      <c r="V21" s="65">
        <v>0.0</v>
      </c>
      <c r="W21" s="65">
        <v>0.0</v>
      </c>
      <c r="X21" s="65">
        <v>0.0</v>
      </c>
      <c r="Y21" s="65">
        <v>0.0</v>
      </c>
      <c r="Z21" s="65">
        <v>0.0</v>
      </c>
      <c r="AA21" s="65">
        <v>0.0</v>
      </c>
      <c r="AB21" s="65">
        <v>0.0</v>
      </c>
      <c r="AC21" s="65">
        <v>0.0</v>
      </c>
      <c r="AD21" s="65">
        <v>0.0</v>
      </c>
      <c r="AE21" s="65">
        <v>0.0</v>
      </c>
      <c r="AF21" s="65">
        <v>0.0</v>
      </c>
      <c r="AG21" s="65">
        <v>0.0</v>
      </c>
      <c r="AH21" s="65">
        <v>0.0</v>
      </c>
      <c r="AI21" s="65">
        <v>0.0</v>
      </c>
      <c r="AJ21" s="65">
        <v>0.0</v>
      </c>
      <c r="AK21" s="65">
        <v>0.0</v>
      </c>
      <c r="AL21" s="65">
        <v>0.0</v>
      </c>
      <c r="AM21" s="65">
        <v>0.0</v>
      </c>
      <c r="AN21" s="65">
        <v>0.0</v>
      </c>
      <c r="AO21" s="65">
        <v>0.0</v>
      </c>
      <c r="AP21" s="65">
        <v>0.0</v>
      </c>
      <c r="AQ21" s="65">
        <v>0.0</v>
      </c>
      <c r="AR21" s="65">
        <v>0.0</v>
      </c>
      <c r="AS21" s="65">
        <v>0.0</v>
      </c>
      <c r="AT21" s="65">
        <v>0.0</v>
      </c>
      <c r="AU21" s="65">
        <v>0.0</v>
      </c>
      <c r="AV21" s="65">
        <v>0.0</v>
      </c>
      <c r="AW21" s="65">
        <v>0.0</v>
      </c>
      <c r="AX21" s="65">
        <v>0.0</v>
      </c>
      <c r="AY21" s="65">
        <v>0.0</v>
      </c>
      <c r="AZ21" s="65">
        <v>0.0</v>
      </c>
      <c r="BA21" s="65">
        <v>0.0</v>
      </c>
      <c r="BB21" s="65">
        <v>0.0</v>
      </c>
      <c r="BC21" s="65">
        <v>0.0</v>
      </c>
      <c r="BD21" s="65">
        <v>0.0</v>
      </c>
      <c r="BE21" s="65">
        <v>0.0</v>
      </c>
    </row>
    <row r="22">
      <c r="A22" s="65" t="s">
        <v>220</v>
      </c>
      <c r="B22" s="65">
        <v>0.0</v>
      </c>
      <c r="C22" s="65">
        <v>57.44762972222233</v>
      </c>
      <c r="D22" s="65">
        <v>0.0</v>
      </c>
      <c r="E22" s="65">
        <v>0.0</v>
      </c>
      <c r="F22" s="65">
        <v>0.0</v>
      </c>
      <c r="G22" s="65">
        <v>0.08915472222222222</v>
      </c>
      <c r="H22" s="65">
        <v>0.22703694444444444</v>
      </c>
      <c r="I22" s="65">
        <v>0.0</v>
      </c>
      <c r="J22" s="65">
        <v>0.0</v>
      </c>
      <c r="K22" s="65">
        <v>0.0</v>
      </c>
      <c r="L22" s="65">
        <v>8.605690277777752</v>
      </c>
      <c r="M22" s="65">
        <v>2.370626388888886</v>
      </c>
      <c r="N22" s="65">
        <v>0.24636472222222225</v>
      </c>
      <c r="O22" s="65">
        <v>0.0</v>
      </c>
      <c r="P22" s="65">
        <v>0.0</v>
      </c>
      <c r="Q22" s="65">
        <v>0.0</v>
      </c>
      <c r="R22" s="65">
        <v>0.0</v>
      </c>
      <c r="S22" s="65">
        <v>0.0</v>
      </c>
      <c r="T22" s="65">
        <v>0.16253527777777785</v>
      </c>
      <c r="U22" s="65">
        <v>0.0</v>
      </c>
      <c r="V22" s="65">
        <v>0.0</v>
      </c>
      <c r="W22" s="65">
        <v>0.0</v>
      </c>
      <c r="X22" s="65">
        <v>0.0</v>
      </c>
      <c r="Y22" s="65">
        <v>0.0</v>
      </c>
      <c r="Z22" s="65">
        <v>0.0</v>
      </c>
      <c r="AA22" s="65">
        <v>0.0</v>
      </c>
      <c r="AB22" s="65">
        <v>0.0</v>
      </c>
      <c r="AC22" s="65">
        <v>0.0</v>
      </c>
      <c r="AD22" s="65">
        <v>0.0</v>
      </c>
      <c r="AE22" s="65">
        <v>0.0</v>
      </c>
      <c r="AF22" s="65">
        <v>0.0</v>
      </c>
      <c r="AG22" s="65">
        <v>0.0</v>
      </c>
      <c r="AH22" s="65">
        <v>0.0</v>
      </c>
      <c r="AI22" s="65">
        <v>0.0</v>
      </c>
      <c r="AJ22" s="65">
        <v>0.0</v>
      </c>
      <c r="AK22" s="65">
        <v>0.0</v>
      </c>
      <c r="AL22" s="65">
        <v>0.0</v>
      </c>
      <c r="AM22" s="65">
        <v>0.0</v>
      </c>
      <c r="AN22" s="65">
        <v>0.0</v>
      </c>
      <c r="AO22" s="65">
        <v>0.0</v>
      </c>
      <c r="AP22" s="65">
        <v>0.0</v>
      </c>
      <c r="AQ22" s="65">
        <v>0.0</v>
      </c>
      <c r="AR22" s="65">
        <v>0.0</v>
      </c>
      <c r="AS22" s="65">
        <v>0.0</v>
      </c>
      <c r="AT22" s="65">
        <v>0.0</v>
      </c>
      <c r="AU22" s="65">
        <v>0.0</v>
      </c>
      <c r="AV22" s="65">
        <v>0.0</v>
      </c>
      <c r="AW22" s="65">
        <v>0.0</v>
      </c>
      <c r="AX22" s="65">
        <v>0.0</v>
      </c>
      <c r="AY22" s="65">
        <v>0.0</v>
      </c>
      <c r="AZ22" s="65">
        <v>0.0</v>
      </c>
      <c r="BA22" s="65">
        <v>0.0</v>
      </c>
      <c r="BB22" s="65">
        <v>0.0</v>
      </c>
      <c r="BC22" s="65">
        <v>0.0</v>
      </c>
      <c r="BD22" s="65">
        <v>0.0</v>
      </c>
      <c r="BE22" s="65">
        <v>0.0</v>
      </c>
    </row>
    <row r="23">
      <c r="A23" s="65" t="s">
        <v>221</v>
      </c>
      <c r="B23" s="65">
        <v>0.0</v>
      </c>
      <c r="C23" s="65">
        <v>31.110385277777812</v>
      </c>
      <c r="D23" s="65">
        <v>0.0</v>
      </c>
      <c r="E23" s="65">
        <v>0.0</v>
      </c>
      <c r="F23" s="65">
        <v>0.0</v>
      </c>
      <c r="G23" s="65">
        <v>0.0</v>
      </c>
      <c r="H23" s="65">
        <v>0.0</v>
      </c>
      <c r="I23" s="65">
        <v>0.0</v>
      </c>
      <c r="J23" s="65">
        <v>0.0</v>
      </c>
      <c r="K23" s="65">
        <v>1.0443938888888893</v>
      </c>
      <c r="L23" s="65">
        <v>49.27711500000008</v>
      </c>
      <c r="M23" s="65">
        <v>2.6675233333333317</v>
      </c>
      <c r="N23" s="65">
        <v>13.858207222222259</v>
      </c>
      <c r="O23" s="65">
        <v>0.0</v>
      </c>
      <c r="P23" s="65">
        <v>0.0</v>
      </c>
      <c r="Q23" s="65">
        <v>0.0</v>
      </c>
      <c r="R23" s="65">
        <v>0.0</v>
      </c>
      <c r="S23" s="65">
        <v>0.06968972222222222</v>
      </c>
      <c r="T23" s="65">
        <v>0.0</v>
      </c>
      <c r="U23" s="65">
        <v>0.0</v>
      </c>
      <c r="V23" s="65">
        <v>0.0</v>
      </c>
      <c r="W23" s="65">
        <v>0.0</v>
      </c>
      <c r="X23" s="65">
        <v>0.0</v>
      </c>
      <c r="Y23" s="65">
        <v>0.0</v>
      </c>
      <c r="Z23" s="65">
        <v>0.0</v>
      </c>
      <c r="AA23" s="65">
        <v>0.0</v>
      </c>
      <c r="AB23" s="65">
        <v>0.0</v>
      </c>
      <c r="AC23" s="65">
        <v>0.0</v>
      </c>
      <c r="AD23" s="65">
        <v>0.0</v>
      </c>
      <c r="AE23" s="65">
        <v>0.0</v>
      </c>
      <c r="AF23" s="65">
        <v>0.0</v>
      </c>
      <c r="AG23" s="65">
        <v>0.0</v>
      </c>
      <c r="AH23" s="65">
        <v>0.0</v>
      </c>
      <c r="AI23" s="65">
        <v>0.0</v>
      </c>
      <c r="AJ23" s="65">
        <v>0.0</v>
      </c>
      <c r="AK23" s="65">
        <v>0.0</v>
      </c>
      <c r="AL23" s="65">
        <v>0.0</v>
      </c>
      <c r="AM23" s="65">
        <v>0.0</v>
      </c>
      <c r="AN23" s="65">
        <v>0.0</v>
      </c>
      <c r="AO23" s="65">
        <v>0.0</v>
      </c>
      <c r="AP23" s="65">
        <v>0.0</v>
      </c>
      <c r="AQ23" s="65">
        <v>0.0</v>
      </c>
      <c r="AR23" s="65">
        <v>0.0</v>
      </c>
      <c r="AS23" s="65">
        <v>0.0</v>
      </c>
      <c r="AT23" s="65">
        <v>0.0</v>
      </c>
      <c r="AU23" s="65">
        <v>0.0</v>
      </c>
      <c r="AV23" s="65">
        <v>0.0</v>
      </c>
      <c r="AW23" s="65">
        <v>0.0</v>
      </c>
      <c r="AX23" s="65">
        <v>0.0</v>
      </c>
      <c r="AY23" s="65">
        <v>0.0</v>
      </c>
      <c r="AZ23" s="65">
        <v>0.0</v>
      </c>
      <c r="BA23" s="65">
        <v>0.0</v>
      </c>
      <c r="BB23" s="65">
        <v>0.0</v>
      </c>
      <c r="BC23" s="65">
        <v>0.0</v>
      </c>
      <c r="BD23" s="65">
        <v>0.0</v>
      </c>
      <c r="BE23" s="65">
        <v>0.0</v>
      </c>
    </row>
    <row r="24">
      <c r="A24" s="65" t="s">
        <v>222</v>
      </c>
      <c r="B24" s="65">
        <v>0.0</v>
      </c>
      <c r="C24" s="65">
        <v>55.010736666666766</v>
      </c>
      <c r="D24" s="65">
        <v>0.0</v>
      </c>
      <c r="E24" s="65">
        <v>0.0</v>
      </c>
      <c r="F24" s="65">
        <v>0.7916888888888884</v>
      </c>
      <c r="G24" s="65">
        <v>0.0</v>
      </c>
      <c r="H24" s="65">
        <v>0.0</v>
      </c>
      <c r="I24" s="65">
        <v>0.0</v>
      </c>
      <c r="J24" s="65">
        <v>0.0</v>
      </c>
      <c r="K24" s="65">
        <v>38.967863333333405</v>
      </c>
      <c r="L24" s="65">
        <v>2.8481063888888913</v>
      </c>
      <c r="M24" s="65">
        <v>0.0</v>
      </c>
      <c r="N24" s="65">
        <v>0.0</v>
      </c>
      <c r="O24" s="65">
        <v>0.0</v>
      </c>
      <c r="P24" s="65">
        <v>0.0</v>
      </c>
      <c r="Q24" s="65">
        <v>0.0</v>
      </c>
      <c r="R24" s="65">
        <v>0.0</v>
      </c>
      <c r="S24" s="65">
        <v>0.4503802777777777</v>
      </c>
      <c r="T24" s="65">
        <v>0.0</v>
      </c>
      <c r="U24" s="65">
        <v>0.0</v>
      </c>
      <c r="V24" s="65">
        <v>0.0</v>
      </c>
      <c r="W24" s="65">
        <v>0.0</v>
      </c>
      <c r="X24" s="65">
        <v>0.0</v>
      </c>
      <c r="Y24" s="65">
        <v>0.0</v>
      </c>
      <c r="Z24" s="65">
        <v>0.0</v>
      </c>
      <c r="AA24" s="65">
        <v>0.0</v>
      </c>
      <c r="AB24" s="65">
        <v>0.0</v>
      </c>
      <c r="AC24" s="65">
        <v>0.0</v>
      </c>
      <c r="AD24" s="65">
        <v>0.0</v>
      </c>
      <c r="AE24" s="65">
        <v>0.0</v>
      </c>
      <c r="AF24" s="65">
        <v>0.0</v>
      </c>
      <c r="AG24" s="65">
        <v>0.0</v>
      </c>
      <c r="AH24" s="65">
        <v>0.0</v>
      </c>
      <c r="AI24" s="65">
        <v>0.0</v>
      </c>
      <c r="AJ24" s="65">
        <v>0.0</v>
      </c>
      <c r="AK24" s="65">
        <v>0.0</v>
      </c>
      <c r="AL24" s="65">
        <v>0.0</v>
      </c>
      <c r="AM24" s="65">
        <v>0.0</v>
      </c>
      <c r="AN24" s="65">
        <v>0.0</v>
      </c>
      <c r="AO24" s="65">
        <v>0.0</v>
      </c>
      <c r="AP24" s="65">
        <v>0.0</v>
      </c>
      <c r="AQ24" s="65">
        <v>0.0</v>
      </c>
      <c r="AR24" s="65">
        <v>0.0</v>
      </c>
      <c r="AS24" s="65">
        <v>0.0</v>
      </c>
      <c r="AT24" s="65">
        <v>0.0</v>
      </c>
      <c r="AU24" s="65">
        <v>0.0</v>
      </c>
      <c r="AV24" s="65">
        <v>0.0</v>
      </c>
      <c r="AW24" s="65">
        <v>0.0</v>
      </c>
      <c r="AX24" s="65">
        <v>0.0</v>
      </c>
      <c r="AY24" s="65">
        <v>0.0</v>
      </c>
      <c r="AZ24" s="65">
        <v>0.0</v>
      </c>
      <c r="BA24" s="65">
        <v>0.0</v>
      </c>
      <c r="BB24" s="65">
        <v>0.0</v>
      </c>
      <c r="BC24" s="65">
        <v>0.0</v>
      </c>
      <c r="BD24" s="65">
        <v>0.0</v>
      </c>
      <c r="BE24" s="65">
        <v>0.0</v>
      </c>
    </row>
    <row r="25">
      <c r="A25" s="65" t="s">
        <v>223</v>
      </c>
      <c r="B25" s="65">
        <v>0.0</v>
      </c>
      <c r="C25" s="65">
        <v>94.47675305555649</v>
      </c>
      <c r="D25" s="65">
        <v>0.2179191666666666</v>
      </c>
      <c r="E25" s="65">
        <v>0.12345222222222219</v>
      </c>
      <c r="F25" s="65">
        <v>0.0</v>
      </c>
      <c r="G25" s="65">
        <v>0.0</v>
      </c>
      <c r="H25" s="65">
        <v>0.0</v>
      </c>
      <c r="I25" s="65">
        <v>0.0</v>
      </c>
      <c r="J25" s="65">
        <v>0.0</v>
      </c>
      <c r="K25" s="65">
        <v>1.6183297222222244</v>
      </c>
      <c r="L25" s="65">
        <v>0.4065830555555552</v>
      </c>
      <c r="M25" s="65">
        <v>0.3621513888888888</v>
      </c>
      <c r="N25" s="65">
        <v>0.0</v>
      </c>
      <c r="O25" s="65">
        <v>0.0</v>
      </c>
      <c r="P25" s="65">
        <v>0.0</v>
      </c>
      <c r="Q25" s="65">
        <v>0.28650333333333333</v>
      </c>
      <c r="R25" s="65">
        <v>0.0</v>
      </c>
      <c r="S25" s="65">
        <v>0.8691769444444444</v>
      </c>
      <c r="T25" s="65">
        <v>0.0</v>
      </c>
      <c r="U25" s="65">
        <v>0.17731861111111108</v>
      </c>
      <c r="V25" s="65">
        <v>0.5998683333333331</v>
      </c>
      <c r="W25" s="65">
        <v>0.2784869444444444</v>
      </c>
      <c r="X25" s="65">
        <v>0.0</v>
      </c>
      <c r="Y25" s="65">
        <v>0.0</v>
      </c>
      <c r="Z25" s="65">
        <v>0.0</v>
      </c>
      <c r="AA25" s="65">
        <v>0.0</v>
      </c>
      <c r="AB25" s="65">
        <v>0.0</v>
      </c>
      <c r="AC25" s="65">
        <v>0.0</v>
      </c>
      <c r="AD25" s="65">
        <v>0.0</v>
      </c>
      <c r="AE25" s="65">
        <v>0.0</v>
      </c>
      <c r="AF25" s="65">
        <v>0.0</v>
      </c>
      <c r="AG25" s="65">
        <v>0.0</v>
      </c>
      <c r="AH25" s="65">
        <v>0.0</v>
      </c>
      <c r="AI25" s="65">
        <v>0.0</v>
      </c>
      <c r="AJ25" s="65">
        <v>0.0</v>
      </c>
      <c r="AK25" s="65">
        <v>0.0</v>
      </c>
      <c r="AL25" s="65">
        <v>0.0</v>
      </c>
      <c r="AM25" s="65">
        <v>0.0</v>
      </c>
      <c r="AN25" s="65">
        <v>0.0</v>
      </c>
      <c r="AO25" s="65">
        <v>0.0</v>
      </c>
      <c r="AP25" s="65">
        <v>0.0</v>
      </c>
      <c r="AQ25" s="65">
        <v>0.0</v>
      </c>
      <c r="AR25" s="65">
        <v>0.0</v>
      </c>
      <c r="AS25" s="65">
        <v>0.0</v>
      </c>
      <c r="AT25" s="65">
        <v>0.0</v>
      </c>
      <c r="AU25" s="65">
        <v>0.0</v>
      </c>
      <c r="AV25" s="65">
        <v>0.0</v>
      </c>
      <c r="AW25" s="65">
        <v>0.0</v>
      </c>
      <c r="AX25" s="65">
        <v>0.0</v>
      </c>
      <c r="AY25" s="65">
        <v>0.0</v>
      </c>
      <c r="AZ25" s="65">
        <v>0.0</v>
      </c>
      <c r="BA25" s="65">
        <v>0.0</v>
      </c>
      <c r="BB25" s="65">
        <v>0.0</v>
      </c>
      <c r="BC25" s="65">
        <v>0.0</v>
      </c>
      <c r="BD25" s="65">
        <v>0.0</v>
      </c>
      <c r="BE25" s="65">
        <v>0.0</v>
      </c>
    </row>
    <row r="26">
      <c r="A26" s="65" t="s">
        <v>224</v>
      </c>
      <c r="B26" s="65">
        <v>0.0</v>
      </c>
      <c r="C26" s="65">
        <v>29.79636472222225</v>
      </c>
      <c r="D26" s="65">
        <v>0.0</v>
      </c>
      <c r="E26" s="65">
        <v>0.0</v>
      </c>
      <c r="F26" s="65">
        <v>0.0</v>
      </c>
      <c r="G26" s="65">
        <v>0.0</v>
      </c>
      <c r="H26" s="65">
        <v>0.0</v>
      </c>
      <c r="I26" s="65">
        <v>0.0</v>
      </c>
      <c r="J26" s="65">
        <v>0.0</v>
      </c>
      <c r="K26" s="65">
        <v>1.746995277777779</v>
      </c>
      <c r="L26" s="65">
        <v>33.89378833333331</v>
      </c>
      <c r="M26" s="65">
        <v>0.4764605555555556</v>
      </c>
      <c r="N26" s="65">
        <v>0.0</v>
      </c>
      <c r="O26" s="65">
        <v>0.0</v>
      </c>
      <c r="P26" s="65">
        <v>0.0</v>
      </c>
      <c r="Q26" s="65">
        <v>0.0</v>
      </c>
      <c r="R26" s="65">
        <v>0.0</v>
      </c>
      <c r="S26" s="65">
        <v>0.8555566666666662</v>
      </c>
      <c r="T26" s="65">
        <v>0.0</v>
      </c>
      <c r="U26" s="65">
        <v>0.0</v>
      </c>
      <c r="V26" s="65">
        <v>0.0</v>
      </c>
      <c r="W26" s="65">
        <v>0.0</v>
      </c>
      <c r="X26" s="65">
        <v>0.0</v>
      </c>
      <c r="Y26" s="65">
        <v>0.0</v>
      </c>
      <c r="Z26" s="65">
        <v>0.0</v>
      </c>
      <c r="AA26" s="65">
        <v>0.0</v>
      </c>
      <c r="AB26" s="65">
        <v>0.0</v>
      </c>
      <c r="AC26" s="65">
        <v>0.0</v>
      </c>
      <c r="AD26" s="65">
        <v>0.0</v>
      </c>
      <c r="AE26" s="65">
        <v>0.0</v>
      </c>
      <c r="AF26" s="65">
        <v>0.0</v>
      </c>
      <c r="AG26" s="65">
        <v>0.0</v>
      </c>
      <c r="AH26" s="65">
        <v>0.0</v>
      </c>
      <c r="AI26" s="65">
        <v>0.0</v>
      </c>
      <c r="AJ26" s="65">
        <v>0.0</v>
      </c>
      <c r="AK26" s="65">
        <v>0.0</v>
      </c>
      <c r="AL26" s="65">
        <v>0.0</v>
      </c>
      <c r="AM26" s="65">
        <v>0.0</v>
      </c>
      <c r="AN26" s="65">
        <v>0.0</v>
      </c>
      <c r="AO26" s="65">
        <v>0.0</v>
      </c>
      <c r="AP26" s="65">
        <v>0.0</v>
      </c>
      <c r="AQ26" s="65">
        <v>0.0</v>
      </c>
      <c r="AR26" s="65">
        <v>0.0</v>
      </c>
      <c r="AS26" s="65">
        <v>0.0</v>
      </c>
      <c r="AT26" s="65">
        <v>0.0</v>
      </c>
      <c r="AU26" s="65">
        <v>0.0</v>
      </c>
      <c r="AV26" s="65">
        <v>0.0</v>
      </c>
      <c r="AW26" s="65">
        <v>0.0</v>
      </c>
      <c r="AX26" s="65">
        <v>0.0</v>
      </c>
      <c r="AY26" s="65">
        <v>0.0</v>
      </c>
      <c r="AZ26" s="65">
        <v>0.0</v>
      </c>
      <c r="BA26" s="65">
        <v>0.0</v>
      </c>
      <c r="BB26" s="65">
        <v>0.0</v>
      </c>
      <c r="BC26" s="65">
        <v>0.0</v>
      </c>
      <c r="BD26" s="65">
        <v>0.0</v>
      </c>
      <c r="BE26" s="65">
        <v>0.0</v>
      </c>
    </row>
    <row r="27">
      <c r="A27" s="65" t="s">
        <v>225</v>
      </c>
      <c r="B27" s="65">
        <v>0.0</v>
      </c>
      <c r="C27" s="65">
        <v>27.14510972222226</v>
      </c>
      <c r="D27" s="65">
        <v>0.0</v>
      </c>
      <c r="E27" s="65">
        <v>0.0</v>
      </c>
      <c r="F27" s="65">
        <v>0.2898169444444445</v>
      </c>
      <c r="G27" s="65">
        <v>0.19409666666666675</v>
      </c>
      <c r="H27" s="65">
        <v>0.0</v>
      </c>
      <c r="I27" s="65">
        <v>0.0</v>
      </c>
      <c r="J27" s="65">
        <v>0.0</v>
      </c>
      <c r="K27" s="65">
        <v>1.1676291666666672</v>
      </c>
      <c r="L27" s="65">
        <v>5.565491944444449</v>
      </c>
      <c r="M27" s="65">
        <v>0.0</v>
      </c>
      <c r="N27" s="65">
        <v>0.0</v>
      </c>
      <c r="O27" s="65">
        <v>0.0</v>
      </c>
      <c r="P27" s="65">
        <v>0.0</v>
      </c>
      <c r="Q27" s="65">
        <v>0.0</v>
      </c>
      <c r="R27" s="65">
        <v>0.0</v>
      </c>
      <c r="S27" s="65">
        <v>43.749034444444554</v>
      </c>
      <c r="T27" s="65">
        <v>0.0</v>
      </c>
      <c r="U27" s="65">
        <v>0.0</v>
      </c>
      <c r="V27" s="65">
        <v>0.0</v>
      </c>
      <c r="W27" s="65">
        <v>0.0</v>
      </c>
      <c r="X27" s="65">
        <v>0.14056666666666665</v>
      </c>
      <c r="Y27" s="65">
        <v>0.0</v>
      </c>
      <c r="Z27" s="65">
        <v>0.0</v>
      </c>
      <c r="AA27" s="65">
        <v>0.0</v>
      </c>
      <c r="AB27" s="65">
        <v>0.0</v>
      </c>
      <c r="AC27" s="65">
        <v>0.0</v>
      </c>
      <c r="AD27" s="65">
        <v>0.0</v>
      </c>
      <c r="AE27" s="65">
        <v>0.0</v>
      </c>
      <c r="AF27" s="65">
        <v>0.0</v>
      </c>
      <c r="AG27" s="65">
        <v>0.0</v>
      </c>
      <c r="AH27" s="65">
        <v>0.0</v>
      </c>
      <c r="AI27" s="65">
        <v>0.0</v>
      </c>
      <c r="AJ27" s="65">
        <v>0.0</v>
      </c>
      <c r="AK27" s="65">
        <v>0.0</v>
      </c>
      <c r="AL27" s="65">
        <v>0.0</v>
      </c>
      <c r="AM27" s="65">
        <v>0.0</v>
      </c>
      <c r="AN27" s="65">
        <v>0.0</v>
      </c>
      <c r="AO27" s="65">
        <v>0.0</v>
      </c>
      <c r="AP27" s="65">
        <v>0.0</v>
      </c>
      <c r="AQ27" s="65">
        <v>0.0</v>
      </c>
      <c r="AR27" s="65">
        <v>0.0</v>
      </c>
      <c r="AS27" s="65">
        <v>0.0</v>
      </c>
      <c r="AT27" s="65">
        <v>0.0</v>
      </c>
      <c r="AU27" s="65">
        <v>0.0</v>
      </c>
      <c r="AV27" s="65">
        <v>0.0</v>
      </c>
      <c r="AW27" s="65">
        <v>0.0</v>
      </c>
      <c r="AX27" s="65">
        <v>0.0</v>
      </c>
      <c r="AY27" s="65">
        <v>0.0</v>
      </c>
      <c r="AZ27" s="65">
        <v>0.0</v>
      </c>
      <c r="BA27" s="65">
        <v>0.0</v>
      </c>
      <c r="BB27" s="65">
        <v>0.0</v>
      </c>
      <c r="BC27" s="65">
        <v>0.0</v>
      </c>
      <c r="BD27" s="65">
        <v>0.0</v>
      </c>
      <c r="BE27" s="65">
        <v>0.0</v>
      </c>
    </row>
    <row r="28">
      <c r="A28" s="65" t="s">
        <v>226</v>
      </c>
      <c r="B28" s="65">
        <v>0.0</v>
      </c>
      <c r="C28" s="65">
        <v>55.73634027777778</v>
      </c>
      <c r="D28" s="65">
        <v>0.0</v>
      </c>
      <c r="E28" s="65">
        <v>0.0</v>
      </c>
      <c r="F28" s="65">
        <v>0.0</v>
      </c>
      <c r="G28" s="65">
        <v>0.0</v>
      </c>
      <c r="H28" s="65">
        <v>0.0</v>
      </c>
      <c r="I28" s="65">
        <v>0.0</v>
      </c>
      <c r="J28" s="65">
        <v>0.0</v>
      </c>
      <c r="K28" s="65">
        <v>0.0</v>
      </c>
      <c r="L28" s="65">
        <v>0.0</v>
      </c>
      <c r="M28" s="65">
        <v>0.0</v>
      </c>
      <c r="N28" s="65">
        <v>0.0</v>
      </c>
      <c r="O28" s="65">
        <v>0.0</v>
      </c>
      <c r="P28" s="65">
        <v>0.0</v>
      </c>
      <c r="Q28" s="65">
        <v>0.0</v>
      </c>
      <c r="R28" s="65">
        <v>0.0</v>
      </c>
      <c r="S28" s="65">
        <v>0.0</v>
      </c>
      <c r="T28" s="65">
        <v>6.576691944444454</v>
      </c>
      <c r="U28" s="65">
        <v>0.0</v>
      </c>
      <c r="V28" s="65">
        <v>0.0</v>
      </c>
      <c r="W28" s="65">
        <v>0.0</v>
      </c>
      <c r="X28" s="65">
        <v>0.0</v>
      </c>
      <c r="Y28" s="65">
        <v>0.0</v>
      </c>
      <c r="Z28" s="65">
        <v>0.0</v>
      </c>
      <c r="AA28" s="65">
        <v>0.0</v>
      </c>
      <c r="AB28" s="65">
        <v>0.0</v>
      </c>
      <c r="AC28" s="65">
        <v>0.0</v>
      </c>
      <c r="AD28" s="65">
        <v>0.0</v>
      </c>
      <c r="AE28" s="65">
        <v>0.0</v>
      </c>
      <c r="AF28" s="65">
        <v>0.0</v>
      </c>
      <c r="AG28" s="65">
        <v>0.0</v>
      </c>
      <c r="AH28" s="65">
        <v>0.0</v>
      </c>
      <c r="AI28" s="65">
        <v>0.0</v>
      </c>
      <c r="AJ28" s="65">
        <v>0.0</v>
      </c>
      <c r="AK28" s="65">
        <v>0.0</v>
      </c>
      <c r="AL28" s="65">
        <v>0.0</v>
      </c>
      <c r="AM28" s="65">
        <v>0.0</v>
      </c>
      <c r="AN28" s="65">
        <v>0.0</v>
      </c>
      <c r="AO28" s="65">
        <v>0.0</v>
      </c>
      <c r="AP28" s="65">
        <v>0.0</v>
      </c>
      <c r="AQ28" s="65">
        <v>0.0</v>
      </c>
      <c r="AR28" s="65">
        <v>0.0</v>
      </c>
      <c r="AS28" s="65">
        <v>0.0</v>
      </c>
      <c r="AT28" s="65">
        <v>0.0</v>
      </c>
      <c r="AU28" s="65">
        <v>0.0</v>
      </c>
      <c r="AV28" s="65">
        <v>0.0</v>
      </c>
      <c r="AW28" s="65">
        <v>0.0</v>
      </c>
      <c r="AX28" s="65">
        <v>0.0</v>
      </c>
      <c r="AY28" s="65">
        <v>0.0</v>
      </c>
      <c r="AZ28" s="65">
        <v>0.0</v>
      </c>
      <c r="BA28" s="65">
        <v>0.0</v>
      </c>
      <c r="BB28" s="65">
        <v>0.0</v>
      </c>
      <c r="BC28" s="65">
        <v>0.0</v>
      </c>
      <c r="BD28" s="65">
        <v>0.0</v>
      </c>
      <c r="BE28" s="65">
        <v>0.0</v>
      </c>
    </row>
    <row r="29">
      <c r="A29" s="65" t="s">
        <v>227</v>
      </c>
      <c r="B29" s="65">
        <v>0.0</v>
      </c>
      <c r="C29" s="65">
        <v>45.355881111111245</v>
      </c>
      <c r="D29" s="65">
        <v>0.0</v>
      </c>
      <c r="E29" s="65">
        <v>0.0</v>
      </c>
      <c r="F29" s="65">
        <v>0.0</v>
      </c>
      <c r="G29" s="65">
        <v>0.11538111111111113</v>
      </c>
      <c r="H29" s="65">
        <v>0.0</v>
      </c>
      <c r="I29" s="65">
        <v>0.0</v>
      </c>
      <c r="J29" s="65">
        <v>0.0</v>
      </c>
      <c r="K29" s="65">
        <v>0.0</v>
      </c>
      <c r="L29" s="65">
        <v>0.0</v>
      </c>
      <c r="M29" s="65">
        <v>0.0</v>
      </c>
      <c r="N29" s="65">
        <v>0.0</v>
      </c>
      <c r="O29" s="65">
        <v>0.0</v>
      </c>
      <c r="P29" s="65">
        <v>0.0</v>
      </c>
      <c r="Q29" s="65">
        <v>0.0</v>
      </c>
      <c r="R29" s="65">
        <v>0.0</v>
      </c>
      <c r="S29" s="65">
        <v>0.0</v>
      </c>
      <c r="T29" s="65">
        <v>7.870770555555541</v>
      </c>
      <c r="U29" s="65">
        <v>0.0</v>
      </c>
      <c r="V29" s="65">
        <v>0.0</v>
      </c>
      <c r="W29" s="65">
        <v>0.0</v>
      </c>
      <c r="X29" s="65">
        <v>0.0</v>
      </c>
      <c r="Y29" s="65">
        <v>0.46726166666666663</v>
      </c>
      <c r="Z29" s="65">
        <v>24.61785833333321</v>
      </c>
      <c r="AA29" s="65">
        <v>0.4700891666666668</v>
      </c>
      <c r="AB29" s="65">
        <v>0.0</v>
      </c>
      <c r="AC29" s="65">
        <v>0.0</v>
      </c>
      <c r="AD29" s="65">
        <v>0.0</v>
      </c>
      <c r="AE29" s="65">
        <v>0.0</v>
      </c>
      <c r="AF29" s="65">
        <v>0.0</v>
      </c>
      <c r="AG29" s="65">
        <v>0.0</v>
      </c>
      <c r="AH29" s="65">
        <v>0.0</v>
      </c>
      <c r="AI29" s="65">
        <v>0.0</v>
      </c>
      <c r="AJ29" s="65">
        <v>0.0</v>
      </c>
      <c r="AK29" s="65">
        <v>0.0</v>
      </c>
      <c r="AL29" s="65">
        <v>0.0</v>
      </c>
      <c r="AM29" s="65">
        <v>0.0</v>
      </c>
      <c r="AN29" s="65">
        <v>0.0</v>
      </c>
      <c r="AO29" s="65">
        <v>0.0</v>
      </c>
      <c r="AP29" s="65">
        <v>0.0</v>
      </c>
      <c r="AQ29" s="65">
        <v>0.0</v>
      </c>
      <c r="AR29" s="65">
        <v>0.0</v>
      </c>
      <c r="AS29" s="65">
        <v>0.0</v>
      </c>
      <c r="AT29" s="65">
        <v>0.0</v>
      </c>
      <c r="AU29" s="65">
        <v>0.0</v>
      </c>
      <c r="AV29" s="65">
        <v>0.0</v>
      </c>
      <c r="AW29" s="65">
        <v>0.0</v>
      </c>
      <c r="AX29" s="65">
        <v>0.0</v>
      </c>
      <c r="AY29" s="65">
        <v>0.0</v>
      </c>
      <c r="AZ29" s="65">
        <v>0.0</v>
      </c>
      <c r="BA29" s="65">
        <v>0.0</v>
      </c>
      <c r="BB29" s="65">
        <v>0.0</v>
      </c>
      <c r="BC29" s="65">
        <v>0.0</v>
      </c>
      <c r="BD29" s="65">
        <v>0.0</v>
      </c>
      <c r="BE29" s="65">
        <v>0.0</v>
      </c>
    </row>
    <row r="30">
      <c r="A30" s="65" t="s">
        <v>228</v>
      </c>
      <c r="B30" s="65">
        <v>0.0</v>
      </c>
      <c r="C30" s="65">
        <v>72.00214138888921</v>
      </c>
      <c r="D30" s="65">
        <v>0.0</v>
      </c>
      <c r="E30" s="65">
        <v>0.0</v>
      </c>
      <c r="F30" s="65">
        <v>0.4746330555555557</v>
      </c>
      <c r="G30" s="65">
        <v>0.5789788888888889</v>
      </c>
      <c r="H30" s="65">
        <v>0.0</v>
      </c>
      <c r="I30" s="65">
        <v>0.0</v>
      </c>
      <c r="J30" s="65">
        <v>0.0</v>
      </c>
      <c r="K30" s="65">
        <v>0.0</v>
      </c>
      <c r="L30" s="65">
        <v>0.2694733333333333</v>
      </c>
      <c r="M30" s="65">
        <v>0.0</v>
      </c>
      <c r="N30" s="65">
        <v>0.0</v>
      </c>
      <c r="O30" s="65">
        <v>0.0</v>
      </c>
      <c r="P30" s="65">
        <v>0.0</v>
      </c>
      <c r="Q30" s="65">
        <v>0.0</v>
      </c>
      <c r="R30" s="65">
        <v>0.0</v>
      </c>
      <c r="S30" s="65">
        <v>0.0</v>
      </c>
      <c r="T30" s="65">
        <v>7.64319833333333</v>
      </c>
      <c r="U30" s="65">
        <v>0.0</v>
      </c>
      <c r="V30" s="65">
        <v>0.0</v>
      </c>
      <c r="W30" s="65">
        <v>0.0</v>
      </c>
      <c r="X30" s="65">
        <v>0.0</v>
      </c>
      <c r="Y30" s="65">
        <v>0.0</v>
      </c>
      <c r="Z30" s="65">
        <v>0.0</v>
      </c>
      <c r="AA30" s="65">
        <v>0.0</v>
      </c>
      <c r="AB30" s="65">
        <v>0.0</v>
      </c>
      <c r="AC30" s="65">
        <v>0.0</v>
      </c>
      <c r="AD30" s="65">
        <v>0.0</v>
      </c>
      <c r="AE30" s="65">
        <v>0.0</v>
      </c>
      <c r="AF30" s="65">
        <v>0.0</v>
      </c>
      <c r="AG30" s="65">
        <v>0.0</v>
      </c>
      <c r="AH30" s="65">
        <v>0.0</v>
      </c>
      <c r="AI30" s="65">
        <v>0.0</v>
      </c>
      <c r="AJ30" s="65">
        <v>0.0</v>
      </c>
      <c r="AK30" s="65">
        <v>0.0</v>
      </c>
      <c r="AL30" s="65">
        <v>0.0</v>
      </c>
      <c r="AM30" s="65">
        <v>0.0</v>
      </c>
      <c r="AN30" s="65">
        <v>0.0</v>
      </c>
      <c r="AO30" s="65">
        <v>0.0</v>
      </c>
      <c r="AP30" s="65">
        <v>0.0</v>
      </c>
      <c r="AQ30" s="65">
        <v>0.0</v>
      </c>
      <c r="AR30" s="65">
        <v>0.0</v>
      </c>
      <c r="AS30" s="65">
        <v>0.0</v>
      </c>
      <c r="AT30" s="65">
        <v>0.0</v>
      </c>
      <c r="AU30" s="65">
        <v>0.0</v>
      </c>
      <c r="AV30" s="65">
        <v>0.0</v>
      </c>
      <c r="AW30" s="65">
        <v>0.0</v>
      </c>
      <c r="AX30" s="65">
        <v>0.0</v>
      </c>
      <c r="AY30" s="65">
        <v>0.0</v>
      </c>
      <c r="AZ30" s="65">
        <v>0.0</v>
      </c>
      <c r="BA30" s="65">
        <v>0.0</v>
      </c>
      <c r="BB30" s="65">
        <v>0.0</v>
      </c>
      <c r="BC30" s="65">
        <v>0.0</v>
      </c>
      <c r="BD30" s="65">
        <v>0.0</v>
      </c>
      <c r="BE30" s="65">
        <v>0.0</v>
      </c>
    </row>
    <row r="31">
      <c r="A31" s="65" t="s">
        <v>229</v>
      </c>
      <c r="B31" s="65">
        <v>0.0</v>
      </c>
      <c r="C31" s="65">
        <v>36.64045222222244</v>
      </c>
      <c r="D31" s="65">
        <v>0.0</v>
      </c>
      <c r="E31" s="65">
        <v>0.0</v>
      </c>
      <c r="F31" s="65">
        <v>0.0</v>
      </c>
      <c r="G31" s="65">
        <v>0.29350750000000003</v>
      </c>
      <c r="H31" s="65">
        <v>0.0</v>
      </c>
      <c r="I31" s="65">
        <v>0.0</v>
      </c>
      <c r="J31" s="65">
        <v>0.0</v>
      </c>
      <c r="K31" s="65">
        <v>0.0</v>
      </c>
      <c r="L31" s="65">
        <v>0.0</v>
      </c>
      <c r="M31" s="65">
        <v>0.0</v>
      </c>
      <c r="N31" s="65">
        <v>0.0</v>
      </c>
      <c r="O31" s="65">
        <v>0.0</v>
      </c>
      <c r="P31" s="65">
        <v>0.0</v>
      </c>
      <c r="Q31" s="65">
        <v>0.0</v>
      </c>
      <c r="R31" s="65">
        <v>0.0</v>
      </c>
      <c r="S31" s="65">
        <v>0.0</v>
      </c>
      <c r="T31" s="65">
        <v>15.546606388888929</v>
      </c>
      <c r="U31" s="65">
        <v>0.0</v>
      </c>
      <c r="V31" s="65">
        <v>0.0</v>
      </c>
      <c r="W31" s="65">
        <v>1.745231944444444</v>
      </c>
      <c r="X31" s="65">
        <v>0.0</v>
      </c>
      <c r="Y31" s="65">
        <v>0.0</v>
      </c>
      <c r="Z31" s="65">
        <v>0.0</v>
      </c>
      <c r="AA31" s="65">
        <v>0.0</v>
      </c>
      <c r="AB31" s="65">
        <v>0.2853766666666667</v>
      </c>
      <c r="AC31" s="65">
        <v>0.12144694444444448</v>
      </c>
      <c r="AD31" s="65">
        <v>0.03280638888888889</v>
      </c>
      <c r="AE31" s="65">
        <v>1.9920505555555583</v>
      </c>
      <c r="AF31" s="65">
        <v>0.0</v>
      </c>
      <c r="AG31" s="65">
        <v>0.0</v>
      </c>
      <c r="AH31" s="65">
        <v>0.0</v>
      </c>
      <c r="AI31" s="65">
        <v>0.0</v>
      </c>
      <c r="AJ31" s="65">
        <v>0.0</v>
      </c>
      <c r="AK31" s="65">
        <v>0.0</v>
      </c>
      <c r="AL31" s="65">
        <v>0.0</v>
      </c>
      <c r="AM31" s="65">
        <v>0.0</v>
      </c>
      <c r="AN31" s="65">
        <v>0.0</v>
      </c>
      <c r="AO31" s="65">
        <v>0.0</v>
      </c>
      <c r="AP31" s="65">
        <v>0.0</v>
      </c>
      <c r="AQ31" s="65">
        <v>0.0</v>
      </c>
      <c r="AR31" s="65">
        <v>0.0</v>
      </c>
      <c r="AS31" s="65">
        <v>0.0</v>
      </c>
      <c r="AT31" s="65">
        <v>0.0</v>
      </c>
      <c r="AU31" s="65">
        <v>0.0</v>
      </c>
      <c r="AV31" s="65">
        <v>0.0</v>
      </c>
      <c r="AW31" s="65">
        <v>0.0</v>
      </c>
      <c r="AX31" s="65">
        <v>0.0</v>
      </c>
      <c r="AY31" s="65">
        <v>0.0</v>
      </c>
      <c r="AZ31" s="65">
        <v>0.0</v>
      </c>
      <c r="BA31" s="65">
        <v>0.0</v>
      </c>
      <c r="BB31" s="65">
        <v>0.0</v>
      </c>
      <c r="BC31" s="65">
        <v>0.0</v>
      </c>
      <c r="BD31" s="65">
        <v>0.0</v>
      </c>
      <c r="BE31" s="65">
        <v>0.0</v>
      </c>
    </row>
    <row r="32">
      <c r="A32" s="65" t="s">
        <v>230</v>
      </c>
      <c r="B32" s="65">
        <v>0.0</v>
      </c>
      <c r="C32" s="65">
        <v>68.59548944444488</v>
      </c>
      <c r="D32" s="65">
        <v>0.0</v>
      </c>
      <c r="E32" s="65">
        <v>0.0</v>
      </c>
      <c r="F32" s="65">
        <v>0.1849508333333334</v>
      </c>
      <c r="G32" s="65">
        <v>0.0</v>
      </c>
      <c r="H32" s="65">
        <v>0.0</v>
      </c>
      <c r="I32" s="65">
        <v>0.0</v>
      </c>
      <c r="J32" s="65">
        <v>0.0</v>
      </c>
      <c r="K32" s="65">
        <v>0.0</v>
      </c>
      <c r="L32" s="65">
        <v>0.21275444444444447</v>
      </c>
      <c r="M32" s="65">
        <v>0.0</v>
      </c>
      <c r="N32" s="65">
        <v>0.0</v>
      </c>
      <c r="O32" s="65">
        <v>0.0</v>
      </c>
      <c r="P32" s="65">
        <v>0.0</v>
      </c>
      <c r="Q32" s="65">
        <v>0.0</v>
      </c>
      <c r="R32" s="65">
        <v>0.0</v>
      </c>
      <c r="S32" s="65">
        <v>0.0</v>
      </c>
      <c r="T32" s="65">
        <v>3.566780000000005</v>
      </c>
      <c r="U32" s="65">
        <v>0.0</v>
      </c>
      <c r="V32" s="65">
        <v>0.0</v>
      </c>
      <c r="W32" s="65">
        <v>0.0</v>
      </c>
      <c r="X32" s="65">
        <v>0.0</v>
      </c>
      <c r="Y32" s="65">
        <v>0.0</v>
      </c>
      <c r="Z32" s="65">
        <v>0.0</v>
      </c>
      <c r="AA32" s="65">
        <v>0.0</v>
      </c>
      <c r="AB32" s="65">
        <v>0.0</v>
      </c>
      <c r="AC32" s="65">
        <v>0.0</v>
      </c>
      <c r="AD32" s="65">
        <v>0.0</v>
      </c>
      <c r="AE32" s="65">
        <v>0.0</v>
      </c>
      <c r="AF32" s="65">
        <v>0.0</v>
      </c>
      <c r="AG32" s="65">
        <v>0.0</v>
      </c>
      <c r="AH32" s="65">
        <v>0.0</v>
      </c>
      <c r="AI32" s="65">
        <v>0.0</v>
      </c>
      <c r="AJ32" s="65">
        <v>0.0</v>
      </c>
      <c r="AK32" s="65">
        <v>0.0</v>
      </c>
      <c r="AL32" s="65">
        <v>0.0</v>
      </c>
      <c r="AM32" s="65">
        <v>0.0</v>
      </c>
      <c r="AN32" s="65">
        <v>0.0</v>
      </c>
      <c r="AO32" s="65">
        <v>0.0</v>
      </c>
      <c r="AP32" s="65">
        <v>0.0</v>
      </c>
      <c r="AQ32" s="65">
        <v>0.0</v>
      </c>
      <c r="AR32" s="65">
        <v>0.0</v>
      </c>
      <c r="AS32" s="65">
        <v>0.0</v>
      </c>
      <c r="AT32" s="65">
        <v>0.0</v>
      </c>
      <c r="AU32" s="65">
        <v>0.0</v>
      </c>
      <c r="AV32" s="65">
        <v>0.0</v>
      </c>
      <c r="AW32" s="65">
        <v>0.0</v>
      </c>
      <c r="AX32" s="65">
        <v>0.0</v>
      </c>
      <c r="AY32" s="65">
        <v>0.0</v>
      </c>
      <c r="AZ32" s="65">
        <v>0.0</v>
      </c>
      <c r="BA32" s="65">
        <v>0.0</v>
      </c>
      <c r="BB32" s="65">
        <v>0.0</v>
      </c>
      <c r="BC32" s="65">
        <v>0.0</v>
      </c>
      <c r="BD32" s="65">
        <v>0.0</v>
      </c>
      <c r="BE32" s="65">
        <v>0.0</v>
      </c>
    </row>
    <row r="33">
      <c r="A33" s="65" t="s">
        <v>231</v>
      </c>
      <c r="B33" s="65">
        <v>0.0</v>
      </c>
      <c r="C33" s="65">
        <v>49.52691444444475</v>
      </c>
      <c r="D33" s="65">
        <v>0.0</v>
      </c>
      <c r="E33" s="65">
        <v>0.0</v>
      </c>
      <c r="F33" s="65">
        <v>0.0</v>
      </c>
      <c r="G33" s="65">
        <v>0.0</v>
      </c>
      <c r="H33" s="65">
        <v>0.0</v>
      </c>
      <c r="I33" s="65">
        <v>0.0</v>
      </c>
      <c r="J33" s="65">
        <v>0.0</v>
      </c>
      <c r="K33" s="65">
        <v>0.0</v>
      </c>
      <c r="L33" s="65">
        <v>0.0</v>
      </c>
      <c r="M33" s="65">
        <v>0.0</v>
      </c>
      <c r="N33" s="65">
        <v>0.0</v>
      </c>
      <c r="O33" s="65">
        <v>0.0</v>
      </c>
      <c r="P33" s="65">
        <v>0.0</v>
      </c>
      <c r="Q33" s="65">
        <v>0.0</v>
      </c>
      <c r="R33" s="65">
        <v>0.0</v>
      </c>
      <c r="S33" s="65">
        <v>0.0</v>
      </c>
      <c r="T33" s="65">
        <v>12.000377499999985</v>
      </c>
      <c r="U33" s="65">
        <v>0.0</v>
      </c>
      <c r="V33" s="65">
        <v>0.0</v>
      </c>
      <c r="W33" s="65">
        <v>0.0</v>
      </c>
      <c r="X33" s="65">
        <v>0.0</v>
      </c>
      <c r="Y33" s="65">
        <v>0.0</v>
      </c>
      <c r="Z33" s="65">
        <v>0.0</v>
      </c>
      <c r="AA33" s="65">
        <v>0.0</v>
      </c>
      <c r="AB33" s="65">
        <v>0.0</v>
      </c>
      <c r="AC33" s="65">
        <v>0.0</v>
      </c>
      <c r="AD33" s="65">
        <v>0.0</v>
      </c>
      <c r="AE33" s="65">
        <v>0.0</v>
      </c>
      <c r="AF33" s="65">
        <v>0.0</v>
      </c>
      <c r="AG33" s="65">
        <v>0.0</v>
      </c>
      <c r="AH33" s="65">
        <v>0.0</v>
      </c>
      <c r="AI33" s="65">
        <v>0.0</v>
      </c>
      <c r="AJ33" s="65">
        <v>0.0</v>
      </c>
      <c r="AK33" s="65">
        <v>0.0</v>
      </c>
      <c r="AL33" s="65">
        <v>0.0</v>
      </c>
      <c r="AM33" s="65">
        <v>0.0</v>
      </c>
      <c r="AN33" s="65">
        <v>0.0</v>
      </c>
      <c r="AO33" s="65">
        <v>0.0</v>
      </c>
      <c r="AP33" s="65">
        <v>0.0</v>
      </c>
      <c r="AQ33" s="65">
        <v>0.0</v>
      </c>
      <c r="AR33" s="65">
        <v>0.0</v>
      </c>
      <c r="AS33" s="65">
        <v>0.0</v>
      </c>
      <c r="AT33" s="65">
        <v>0.0</v>
      </c>
      <c r="AU33" s="65">
        <v>0.0</v>
      </c>
      <c r="AV33" s="65">
        <v>0.0</v>
      </c>
      <c r="AW33" s="65">
        <v>0.0</v>
      </c>
      <c r="AX33" s="65">
        <v>0.0</v>
      </c>
      <c r="AY33" s="65">
        <v>0.0</v>
      </c>
      <c r="AZ33" s="65">
        <v>0.0</v>
      </c>
      <c r="BA33" s="65">
        <v>0.0</v>
      </c>
      <c r="BB33" s="65">
        <v>0.0</v>
      </c>
      <c r="BC33" s="65">
        <v>0.0</v>
      </c>
      <c r="BD33" s="65">
        <v>0.0</v>
      </c>
      <c r="BE33" s="65">
        <v>0.0</v>
      </c>
    </row>
    <row r="34">
      <c r="A34" s="65" t="s">
        <v>232</v>
      </c>
      <c r="B34" s="65">
        <v>0.0</v>
      </c>
      <c r="C34" s="65">
        <v>63.35746305555561</v>
      </c>
      <c r="D34" s="65">
        <v>0.0</v>
      </c>
      <c r="E34" s="65">
        <v>0.0</v>
      </c>
      <c r="F34" s="65">
        <v>0.0</v>
      </c>
      <c r="G34" s="65">
        <v>0.0</v>
      </c>
      <c r="H34" s="65">
        <v>0.6150952777777784</v>
      </c>
      <c r="I34" s="65">
        <v>0.0</v>
      </c>
      <c r="J34" s="65">
        <v>0.0</v>
      </c>
      <c r="K34" s="65">
        <v>0.0</v>
      </c>
      <c r="L34" s="65">
        <v>0.0</v>
      </c>
      <c r="M34" s="65">
        <v>0.0</v>
      </c>
      <c r="N34" s="65">
        <v>0.0</v>
      </c>
      <c r="O34" s="65">
        <v>0.0</v>
      </c>
      <c r="P34" s="65">
        <v>0.0</v>
      </c>
      <c r="Q34" s="65">
        <v>0.0</v>
      </c>
      <c r="R34" s="65">
        <v>0.0</v>
      </c>
      <c r="S34" s="65">
        <v>0.0</v>
      </c>
      <c r="T34" s="65">
        <v>7.204474444444422</v>
      </c>
      <c r="U34" s="65">
        <v>0.0</v>
      </c>
      <c r="V34" s="65">
        <v>0.0</v>
      </c>
      <c r="W34" s="65">
        <v>0.0</v>
      </c>
      <c r="X34" s="65">
        <v>0.0</v>
      </c>
      <c r="Y34" s="65">
        <v>0.0</v>
      </c>
      <c r="Z34" s="65">
        <v>0.0</v>
      </c>
      <c r="AA34" s="65">
        <v>0.0</v>
      </c>
      <c r="AB34" s="65">
        <v>0.0</v>
      </c>
      <c r="AC34" s="65">
        <v>0.0</v>
      </c>
      <c r="AD34" s="65">
        <v>0.0</v>
      </c>
      <c r="AE34" s="65">
        <v>0.0</v>
      </c>
      <c r="AF34" s="65">
        <v>0.0</v>
      </c>
      <c r="AG34" s="65">
        <v>0.0</v>
      </c>
      <c r="AH34" s="65">
        <v>0.0</v>
      </c>
      <c r="AI34" s="65">
        <v>0.0</v>
      </c>
      <c r="AJ34" s="65">
        <v>0.0</v>
      </c>
      <c r="AK34" s="65">
        <v>0.0</v>
      </c>
      <c r="AL34" s="65">
        <v>0.0</v>
      </c>
      <c r="AM34" s="65">
        <v>0.0</v>
      </c>
      <c r="AN34" s="65">
        <v>0.0</v>
      </c>
      <c r="AO34" s="65">
        <v>0.0</v>
      </c>
      <c r="AP34" s="65">
        <v>0.0</v>
      </c>
      <c r="AQ34" s="65">
        <v>0.0</v>
      </c>
      <c r="AR34" s="65">
        <v>0.0</v>
      </c>
      <c r="AS34" s="65">
        <v>0.0</v>
      </c>
      <c r="AT34" s="65">
        <v>0.0</v>
      </c>
      <c r="AU34" s="65">
        <v>0.0</v>
      </c>
      <c r="AV34" s="65">
        <v>0.0</v>
      </c>
      <c r="AW34" s="65">
        <v>0.0</v>
      </c>
      <c r="AX34" s="65">
        <v>0.0</v>
      </c>
      <c r="AY34" s="65">
        <v>0.0</v>
      </c>
      <c r="AZ34" s="65">
        <v>0.0</v>
      </c>
      <c r="BA34" s="65">
        <v>0.0</v>
      </c>
      <c r="BB34" s="65">
        <v>0.0</v>
      </c>
      <c r="BC34" s="65">
        <v>0.0</v>
      </c>
      <c r="BD34" s="65">
        <v>0.0</v>
      </c>
      <c r="BE34" s="65">
        <v>0.0</v>
      </c>
    </row>
    <row r="35">
      <c r="A35" s="65" t="s">
        <v>233</v>
      </c>
      <c r="B35" s="65">
        <v>0.0</v>
      </c>
      <c r="C35" s="65">
        <v>66.28631111111102</v>
      </c>
      <c r="D35" s="65">
        <v>0.0</v>
      </c>
      <c r="E35" s="65">
        <v>0.0</v>
      </c>
      <c r="F35" s="65">
        <v>0.4636280555555556</v>
      </c>
      <c r="G35" s="65">
        <v>0.2204047222222222</v>
      </c>
      <c r="H35" s="65">
        <v>0.5673841666666665</v>
      </c>
      <c r="I35" s="65">
        <v>0.0</v>
      </c>
      <c r="J35" s="65">
        <v>0.09045194444444447</v>
      </c>
      <c r="K35" s="65">
        <v>0.0</v>
      </c>
      <c r="L35" s="65">
        <v>0.0</v>
      </c>
      <c r="M35" s="65">
        <v>0.0</v>
      </c>
      <c r="N35" s="65">
        <v>0.0</v>
      </c>
      <c r="O35" s="65">
        <v>0.0</v>
      </c>
      <c r="P35" s="65">
        <v>0.0</v>
      </c>
      <c r="Q35" s="65">
        <v>0.0</v>
      </c>
      <c r="R35" s="65">
        <v>0.0</v>
      </c>
      <c r="S35" s="65">
        <v>0.0</v>
      </c>
      <c r="T35" s="65">
        <v>1.4464016666666675</v>
      </c>
      <c r="U35" s="65">
        <v>0.0</v>
      </c>
      <c r="V35" s="65">
        <v>0.0</v>
      </c>
      <c r="W35" s="65">
        <v>0.0</v>
      </c>
      <c r="X35" s="65">
        <v>0.0</v>
      </c>
      <c r="Y35" s="65">
        <v>0.0</v>
      </c>
      <c r="Z35" s="65">
        <v>0.0</v>
      </c>
      <c r="AA35" s="65">
        <v>0.0</v>
      </c>
      <c r="AB35" s="65">
        <v>0.0</v>
      </c>
      <c r="AC35" s="65">
        <v>0.0</v>
      </c>
      <c r="AD35" s="65">
        <v>0.0</v>
      </c>
      <c r="AE35" s="65">
        <v>0.0</v>
      </c>
      <c r="AF35" s="65">
        <v>0.0</v>
      </c>
      <c r="AG35" s="65">
        <v>0.0</v>
      </c>
      <c r="AH35" s="65">
        <v>0.0</v>
      </c>
      <c r="AI35" s="65">
        <v>0.0</v>
      </c>
      <c r="AJ35" s="65">
        <v>0.0</v>
      </c>
      <c r="AK35" s="65">
        <v>0.0</v>
      </c>
      <c r="AL35" s="65">
        <v>0.0</v>
      </c>
      <c r="AM35" s="65">
        <v>0.0</v>
      </c>
      <c r="AN35" s="65">
        <v>0.0</v>
      </c>
      <c r="AO35" s="65">
        <v>0.0</v>
      </c>
      <c r="AP35" s="65">
        <v>0.0</v>
      </c>
      <c r="AQ35" s="65">
        <v>0.0</v>
      </c>
      <c r="AR35" s="65">
        <v>0.0</v>
      </c>
      <c r="AS35" s="65">
        <v>0.0</v>
      </c>
      <c r="AT35" s="65">
        <v>0.0</v>
      </c>
      <c r="AU35" s="65">
        <v>0.0</v>
      </c>
      <c r="AV35" s="65">
        <v>0.0</v>
      </c>
      <c r="AW35" s="65">
        <v>0.0</v>
      </c>
      <c r="AX35" s="65">
        <v>0.0</v>
      </c>
      <c r="AY35" s="65">
        <v>0.0</v>
      </c>
      <c r="AZ35" s="65">
        <v>0.0</v>
      </c>
      <c r="BA35" s="65">
        <v>0.0</v>
      </c>
      <c r="BB35" s="65">
        <v>0.0</v>
      </c>
      <c r="BC35" s="65">
        <v>0.0</v>
      </c>
      <c r="BD35" s="65">
        <v>0.0</v>
      </c>
      <c r="BE35" s="65">
        <v>0.0</v>
      </c>
    </row>
    <row r="36">
      <c r="A36" s="65" t="s">
        <v>234</v>
      </c>
      <c r="B36" s="65">
        <v>0.0</v>
      </c>
      <c r="C36" s="65">
        <v>47.12820305555548</v>
      </c>
      <c r="D36" s="65">
        <v>0.0</v>
      </c>
      <c r="E36" s="65">
        <v>0.0</v>
      </c>
      <c r="F36" s="65">
        <v>0.07568861111111111</v>
      </c>
      <c r="G36" s="65">
        <v>0.17481083333333336</v>
      </c>
      <c r="H36" s="65">
        <v>0.7333097222222219</v>
      </c>
      <c r="I36" s="65">
        <v>0.0</v>
      </c>
      <c r="J36" s="65">
        <v>0.0</v>
      </c>
      <c r="K36" s="65">
        <v>0.0</v>
      </c>
      <c r="L36" s="65">
        <v>0.0</v>
      </c>
      <c r="M36" s="65">
        <v>0.0</v>
      </c>
      <c r="N36" s="65">
        <v>0.0</v>
      </c>
      <c r="O36" s="65">
        <v>0.0</v>
      </c>
      <c r="P36" s="65">
        <v>0.0</v>
      </c>
      <c r="Q36" s="65">
        <v>0.0</v>
      </c>
      <c r="R36" s="65">
        <v>0.0</v>
      </c>
      <c r="S36" s="65">
        <v>0.0</v>
      </c>
      <c r="T36" s="65">
        <v>14.036111111111094</v>
      </c>
      <c r="U36" s="65">
        <v>0.0</v>
      </c>
      <c r="V36" s="65">
        <v>0.0</v>
      </c>
      <c r="W36" s="65">
        <v>0.0</v>
      </c>
      <c r="X36" s="65">
        <v>0.0</v>
      </c>
      <c r="Y36" s="65">
        <v>0.0</v>
      </c>
      <c r="Z36" s="65">
        <v>0.0</v>
      </c>
      <c r="AA36" s="65">
        <v>0.0</v>
      </c>
      <c r="AB36" s="65">
        <v>0.0</v>
      </c>
      <c r="AC36" s="65">
        <v>0.0</v>
      </c>
      <c r="AD36" s="65">
        <v>0.0</v>
      </c>
      <c r="AE36" s="65">
        <v>0.0</v>
      </c>
      <c r="AF36" s="65">
        <v>0.0</v>
      </c>
      <c r="AG36" s="65">
        <v>0.0</v>
      </c>
      <c r="AH36" s="65">
        <v>0.0</v>
      </c>
      <c r="AI36" s="65">
        <v>0.0</v>
      </c>
      <c r="AJ36" s="65">
        <v>0.0</v>
      </c>
      <c r="AK36" s="65">
        <v>0.0</v>
      </c>
      <c r="AL36" s="65">
        <v>0.0</v>
      </c>
      <c r="AM36" s="65">
        <v>0.0</v>
      </c>
      <c r="AN36" s="65">
        <v>0.0</v>
      </c>
      <c r="AO36" s="65">
        <v>0.0</v>
      </c>
      <c r="AP36" s="65">
        <v>0.0</v>
      </c>
      <c r="AQ36" s="65">
        <v>0.0</v>
      </c>
      <c r="AR36" s="65">
        <v>0.0</v>
      </c>
      <c r="AS36" s="65">
        <v>0.0</v>
      </c>
      <c r="AT36" s="65">
        <v>0.0</v>
      </c>
      <c r="AU36" s="65">
        <v>0.0</v>
      </c>
      <c r="AV36" s="65">
        <v>0.0</v>
      </c>
      <c r="AW36" s="65">
        <v>0.0</v>
      </c>
      <c r="AX36" s="65">
        <v>0.0</v>
      </c>
      <c r="AY36" s="65">
        <v>0.0</v>
      </c>
      <c r="AZ36" s="65">
        <v>0.0</v>
      </c>
      <c r="BA36" s="65">
        <v>0.0</v>
      </c>
      <c r="BB36" s="65">
        <v>0.0</v>
      </c>
      <c r="BC36" s="65">
        <v>0.0</v>
      </c>
      <c r="BD36" s="65">
        <v>0.0</v>
      </c>
      <c r="BE36" s="65">
        <v>0.0</v>
      </c>
    </row>
    <row r="37">
      <c r="A37" s="65" t="s">
        <v>235</v>
      </c>
      <c r="B37" s="65">
        <v>0.0</v>
      </c>
      <c r="C37" s="65">
        <v>25.390977499999977</v>
      </c>
      <c r="D37" s="65">
        <v>0.0</v>
      </c>
      <c r="E37" s="65">
        <v>0.0</v>
      </c>
      <c r="F37" s="65">
        <v>0.0</v>
      </c>
      <c r="G37" s="65">
        <v>0.28025611111111115</v>
      </c>
      <c r="H37" s="65">
        <v>0.4374802777777778</v>
      </c>
      <c r="I37" s="65">
        <v>0.0</v>
      </c>
      <c r="J37" s="65">
        <v>0.0</v>
      </c>
      <c r="K37" s="65">
        <v>0.0</v>
      </c>
      <c r="L37" s="65">
        <v>0.0</v>
      </c>
      <c r="M37" s="65">
        <v>0.0</v>
      </c>
      <c r="N37" s="65">
        <v>0.0</v>
      </c>
      <c r="O37" s="65">
        <v>0.0</v>
      </c>
      <c r="P37" s="65">
        <v>0.0</v>
      </c>
      <c r="Q37" s="65">
        <v>0.0</v>
      </c>
      <c r="R37" s="65">
        <v>0.0</v>
      </c>
      <c r="S37" s="65">
        <v>0.0</v>
      </c>
      <c r="T37" s="65">
        <v>0.0</v>
      </c>
      <c r="U37" s="65">
        <v>0.0</v>
      </c>
      <c r="V37" s="65">
        <v>0.0</v>
      </c>
      <c r="W37" s="65">
        <v>0.0</v>
      </c>
      <c r="X37" s="65">
        <v>0.0</v>
      </c>
      <c r="Y37" s="65">
        <v>0.0</v>
      </c>
      <c r="Z37" s="65">
        <v>0.0</v>
      </c>
      <c r="AA37" s="65">
        <v>0.0</v>
      </c>
      <c r="AB37" s="65">
        <v>0.0</v>
      </c>
      <c r="AC37" s="65">
        <v>0.3869883333333333</v>
      </c>
      <c r="AD37" s="65">
        <v>0.0</v>
      </c>
      <c r="AE37" s="65">
        <v>0.0</v>
      </c>
      <c r="AF37" s="65">
        <v>0.0</v>
      </c>
      <c r="AG37" s="65">
        <v>0.0</v>
      </c>
      <c r="AH37" s="65">
        <v>0.0</v>
      </c>
      <c r="AI37" s="65">
        <v>0.0</v>
      </c>
      <c r="AJ37" s="65">
        <v>0.0</v>
      </c>
      <c r="AK37" s="65">
        <v>0.0</v>
      </c>
      <c r="AL37" s="65">
        <v>0.0</v>
      </c>
      <c r="AM37" s="65">
        <v>0.0</v>
      </c>
      <c r="AN37" s="65">
        <v>0.0</v>
      </c>
      <c r="AO37" s="65">
        <v>0.0</v>
      </c>
      <c r="AP37" s="65">
        <v>0.0</v>
      </c>
      <c r="AQ37" s="65">
        <v>0.0</v>
      </c>
      <c r="AR37" s="65">
        <v>0.0</v>
      </c>
      <c r="AS37" s="65">
        <v>0.0</v>
      </c>
      <c r="AT37" s="65">
        <v>0.0</v>
      </c>
      <c r="AU37" s="65">
        <v>0.0</v>
      </c>
      <c r="AV37" s="65">
        <v>0.0</v>
      </c>
      <c r="AW37" s="65">
        <v>0.0</v>
      </c>
      <c r="AX37" s="65">
        <v>0.0</v>
      </c>
      <c r="AY37" s="65">
        <v>0.0</v>
      </c>
      <c r="AZ37" s="65">
        <v>0.0</v>
      </c>
      <c r="BA37" s="65">
        <v>0.0</v>
      </c>
      <c r="BB37" s="65">
        <v>0.0</v>
      </c>
      <c r="BC37" s="65">
        <v>0.0</v>
      </c>
      <c r="BD37" s="65">
        <v>0.0</v>
      </c>
      <c r="BE37" s="65">
        <v>0.0</v>
      </c>
    </row>
    <row r="38">
      <c r="A38" s="65" t="s">
        <v>236</v>
      </c>
      <c r="B38" s="65">
        <v>0.0</v>
      </c>
      <c r="C38" s="65">
        <v>40.9171127777778</v>
      </c>
      <c r="D38" s="65">
        <v>0.0</v>
      </c>
      <c r="E38" s="65">
        <v>0.0</v>
      </c>
      <c r="F38" s="65">
        <v>0.16590055555555558</v>
      </c>
      <c r="G38" s="65">
        <v>0.31906638888888894</v>
      </c>
      <c r="H38" s="65">
        <v>0.283005</v>
      </c>
      <c r="I38" s="65">
        <v>0.0</v>
      </c>
      <c r="J38" s="65">
        <v>0.0</v>
      </c>
      <c r="K38" s="65">
        <v>0.0</v>
      </c>
      <c r="L38" s="65">
        <v>0.0</v>
      </c>
      <c r="M38" s="65">
        <v>0.0</v>
      </c>
      <c r="N38" s="65">
        <v>0.0</v>
      </c>
      <c r="O38" s="65">
        <v>0.0</v>
      </c>
      <c r="P38" s="65">
        <v>15.566329722222163</v>
      </c>
      <c r="Q38" s="65">
        <v>0.0</v>
      </c>
      <c r="R38" s="65">
        <v>0.0</v>
      </c>
      <c r="S38" s="65">
        <v>0.0</v>
      </c>
      <c r="T38" s="65">
        <v>0.0</v>
      </c>
      <c r="U38" s="65">
        <v>0.0</v>
      </c>
      <c r="V38" s="65">
        <v>0.0</v>
      </c>
      <c r="W38" s="65">
        <v>0.0</v>
      </c>
      <c r="X38" s="65">
        <v>0.0</v>
      </c>
      <c r="Y38" s="65">
        <v>0.0</v>
      </c>
      <c r="Z38" s="65">
        <v>0.0</v>
      </c>
      <c r="AA38" s="65">
        <v>0.0</v>
      </c>
      <c r="AB38" s="65">
        <v>0.0</v>
      </c>
      <c r="AC38" s="65">
        <v>0.0</v>
      </c>
      <c r="AD38" s="65">
        <v>0.0</v>
      </c>
      <c r="AE38" s="65">
        <v>0.0</v>
      </c>
      <c r="AF38" s="65">
        <v>0.29787111111111103</v>
      </c>
      <c r="AG38" s="65">
        <v>0.18104111111111118</v>
      </c>
      <c r="AH38" s="65">
        <v>0.0</v>
      </c>
      <c r="AI38" s="65">
        <v>0.0</v>
      </c>
      <c r="AJ38" s="65">
        <v>0.0</v>
      </c>
      <c r="AK38" s="65">
        <v>0.0</v>
      </c>
      <c r="AL38" s="65">
        <v>0.0</v>
      </c>
      <c r="AM38" s="65">
        <v>0.0</v>
      </c>
      <c r="AN38" s="65">
        <v>0.0</v>
      </c>
      <c r="AO38" s="65">
        <v>0.0</v>
      </c>
      <c r="AP38" s="65">
        <v>0.0</v>
      </c>
      <c r="AQ38" s="65">
        <v>0.0</v>
      </c>
      <c r="AR38" s="65">
        <v>0.0</v>
      </c>
      <c r="AS38" s="65">
        <v>0.0</v>
      </c>
      <c r="AT38" s="65">
        <v>0.0</v>
      </c>
      <c r="AU38" s="65">
        <v>0.0</v>
      </c>
      <c r="AV38" s="65">
        <v>0.0</v>
      </c>
      <c r="AW38" s="65">
        <v>0.0</v>
      </c>
      <c r="AX38" s="65">
        <v>0.0</v>
      </c>
      <c r="AY38" s="65">
        <v>0.0</v>
      </c>
      <c r="AZ38" s="65">
        <v>0.0</v>
      </c>
      <c r="BA38" s="65">
        <v>0.0</v>
      </c>
      <c r="BB38" s="65">
        <v>0.0</v>
      </c>
      <c r="BC38" s="65">
        <v>0.0</v>
      </c>
      <c r="BD38" s="65">
        <v>0.0</v>
      </c>
      <c r="BE38" s="65">
        <v>0.0</v>
      </c>
    </row>
    <row r="39">
      <c r="A39" s="65" t="s">
        <v>237</v>
      </c>
      <c r="B39" s="65">
        <v>0.0</v>
      </c>
      <c r="C39" s="65">
        <v>79.51098111111129</v>
      </c>
      <c r="D39" s="65">
        <v>0.0</v>
      </c>
      <c r="E39" s="65">
        <v>0.0</v>
      </c>
      <c r="F39" s="65">
        <v>0.4246491666666668</v>
      </c>
      <c r="G39" s="65">
        <v>0.7789394444444439</v>
      </c>
      <c r="H39" s="65">
        <v>0.15424722222222223</v>
      </c>
      <c r="I39" s="65">
        <v>0.0</v>
      </c>
      <c r="J39" s="65">
        <v>0.0</v>
      </c>
      <c r="K39" s="65">
        <v>0.2057211111111111</v>
      </c>
      <c r="L39" s="65">
        <v>0.31125527777777773</v>
      </c>
      <c r="M39" s="65">
        <v>0.0</v>
      </c>
      <c r="N39" s="65">
        <v>0.0</v>
      </c>
      <c r="O39" s="65">
        <v>0.0</v>
      </c>
      <c r="P39" s="65">
        <v>0.0</v>
      </c>
      <c r="Q39" s="65">
        <v>0.12501416666666668</v>
      </c>
      <c r="R39" s="65">
        <v>0.0</v>
      </c>
      <c r="S39" s="65">
        <v>0.0</v>
      </c>
      <c r="T39" s="65">
        <v>0.0</v>
      </c>
      <c r="U39" s="65">
        <v>0.0</v>
      </c>
      <c r="V39" s="65">
        <v>0.0</v>
      </c>
      <c r="W39" s="65">
        <v>0.0</v>
      </c>
      <c r="X39" s="65">
        <v>0.0</v>
      </c>
      <c r="Y39" s="65">
        <v>0.0</v>
      </c>
      <c r="Z39" s="65">
        <v>0.0</v>
      </c>
      <c r="AA39" s="65">
        <v>0.0</v>
      </c>
      <c r="AB39" s="65">
        <v>0.0</v>
      </c>
      <c r="AC39" s="65">
        <v>0.0</v>
      </c>
      <c r="AD39" s="65">
        <v>0.0</v>
      </c>
      <c r="AE39" s="65">
        <v>0.0</v>
      </c>
      <c r="AF39" s="65">
        <v>0.0</v>
      </c>
      <c r="AG39" s="65">
        <v>0.0</v>
      </c>
      <c r="AH39" s="65">
        <v>0.0</v>
      </c>
      <c r="AI39" s="65">
        <v>0.0</v>
      </c>
      <c r="AJ39" s="65">
        <v>0.0</v>
      </c>
      <c r="AK39" s="65">
        <v>0.0</v>
      </c>
      <c r="AL39" s="65">
        <v>0.0</v>
      </c>
      <c r="AM39" s="65">
        <v>0.0</v>
      </c>
      <c r="AN39" s="65">
        <v>0.0</v>
      </c>
      <c r="AO39" s="65">
        <v>0.0</v>
      </c>
      <c r="AP39" s="65">
        <v>0.0</v>
      </c>
      <c r="AQ39" s="65">
        <v>0.0</v>
      </c>
      <c r="AR39" s="65">
        <v>0.0</v>
      </c>
      <c r="AS39" s="65">
        <v>0.0</v>
      </c>
      <c r="AT39" s="65">
        <v>0.0</v>
      </c>
      <c r="AU39" s="65">
        <v>0.0</v>
      </c>
      <c r="AV39" s="65">
        <v>0.0</v>
      </c>
      <c r="AW39" s="65">
        <v>0.0</v>
      </c>
      <c r="AX39" s="65">
        <v>0.0</v>
      </c>
      <c r="AY39" s="65">
        <v>0.0</v>
      </c>
      <c r="AZ39" s="65">
        <v>0.0</v>
      </c>
      <c r="BA39" s="65">
        <v>0.0</v>
      </c>
      <c r="BB39" s="65">
        <v>0.0</v>
      </c>
      <c r="BC39" s="65">
        <v>0.0</v>
      </c>
      <c r="BD39" s="65">
        <v>0.0</v>
      </c>
      <c r="BE39" s="65">
        <v>0.0</v>
      </c>
    </row>
    <row r="40">
      <c r="A40" s="65" t="s">
        <v>238</v>
      </c>
      <c r="B40" s="65">
        <v>0.0</v>
      </c>
      <c r="C40" s="65">
        <v>67.67237694444471</v>
      </c>
      <c r="D40" s="65">
        <v>0.0</v>
      </c>
      <c r="E40" s="65">
        <v>0.0</v>
      </c>
      <c r="F40" s="65">
        <v>0.6337547222222215</v>
      </c>
      <c r="G40" s="65">
        <v>0.27657222222222216</v>
      </c>
      <c r="H40" s="65">
        <v>0.1930530555555556</v>
      </c>
      <c r="I40" s="65">
        <v>0.8108352777777775</v>
      </c>
      <c r="J40" s="65">
        <v>0.04638277777777778</v>
      </c>
      <c r="K40" s="65">
        <v>0.9167038888888895</v>
      </c>
      <c r="L40" s="65">
        <v>0.0</v>
      </c>
      <c r="M40" s="65">
        <v>0.6293619444444439</v>
      </c>
      <c r="N40" s="65">
        <v>0.45784083333333353</v>
      </c>
      <c r="O40" s="65">
        <v>0.0</v>
      </c>
      <c r="P40" s="65">
        <v>0.0</v>
      </c>
      <c r="Q40" s="65">
        <v>0.0</v>
      </c>
      <c r="R40" s="65">
        <v>0.0</v>
      </c>
      <c r="S40" s="65">
        <v>0.0</v>
      </c>
      <c r="T40" s="65">
        <v>0.03386361111111111</v>
      </c>
      <c r="U40" s="65">
        <v>0.0</v>
      </c>
      <c r="V40" s="65">
        <v>0.0</v>
      </c>
      <c r="W40" s="65">
        <v>0.0</v>
      </c>
      <c r="X40" s="65">
        <v>0.0</v>
      </c>
      <c r="Y40" s="65">
        <v>0.0</v>
      </c>
      <c r="Z40" s="65">
        <v>0.0</v>
      </c>
      <c r="AA40" s="65">
        <v>0.0</v>
      </c>
      <c r="AB40" s="65">
        <v>0.0</v>
      </c>
      <c r="AC40" s="65">
        <v>0.0</v>
      </c>
      <c r="AD40" s="65">
        <v>0.0</v>
      </c>
      <c r="AE40" s="65">
        <v>0.0</v>
      </c>
      <c r="AF40" s="65">
        <v>0.0</v>
      </c>
      <c r="AG40" s="65">
        <v>0.0</v>
      </c>
      <c r="AH40" s="65">
        <v>0.12774111111111106</v>
      </c>
      <c r="AI40" s="65">
        <v>0.0</v>
      </c>
      <c r="AJ40" s="65">
        <v>0.0</v>
      </c>
      <c r="AK40" s="65">
        <v>0.0</v>
      </c>
      <c r="AL40" s="65">
        <v>0.0</v>
      </c>
      <c r="AM40" s="65">
        <v>0.0</v>
      </c>
      <c r="AN40" s="65">
        <v>0.0</v>
      </c>
      <c r="AO40" s="65">
        <v>0.0</v>
      </c>
      <c r="AP40" s="65">
        <v>0.0</v>
      </c>
      <c r="AQ40" s="65">
        <v>0.0</v>
      </c>
      <c r="AR40" s="65">
        <v>0.0</v>
      </c>
      <c r="AS40" s="65">
        <v>0.0</v>
      </c>
      <c r="AT40" s="65">
        <v>0.0</v>
      </c>
      <c r="AU40" s="65">
        <v>0.0</v>
      </c>
      <c r="AV40" s="65">
        <v>0.0</v>
      </c>
      <c r="AW40" s="65">
        <v>0.0</v>
      </c>
      <c r="AX40" s="65">
        <v>0.0</v>
      </c>
      <c r="AY40" s="65">
        <v>0.0</v>
      </c>
      <c r="AZ40" s="65">
        <v>0.0</v>
      </c>
      <c r="BA40" s="65">
        <v>0.0</v>
      </c>
      <c r="BB40" s="65">
        <v>0.0</v>
      </c>
      <c r="BC40" s="65">
        <v>0.0</v>
      </c>
      <c r="BD40" s="65">
        <v>0.0</v>
      </c>
      <c r="BE40" s="65">
        <v>0.0</v>
      </c>
    </row>
    <row r="41">
      <c r="A41" s="65" t="s">
        <v>239</v>
      </c>
      <c r="B41" s="65">
        <v>3.196185277777779</v>
      </c>
      <c r="C41" s="65">
        <v>10.545663333333314</v>
      </c>
      <c r="D41" s="65">
        <v>0.17386749999999998</v>
      </c>
      <c r="E41" s="65">
        <v>0.0</v>
      </c>
      <c r="F41" s="65">
        <v>5.302335555555565</v>
      </c>
      <c r="G41" s="65">
        <v>0.0</v>
      </c>
      <c r="H41" s="65">
        <v>61.274090277777944</v>
      </c>
      <c r="I41" s="65">
        <v>0.0</v>
      </c>
      <c r="J41" s="65">
        <v>0.0</v>
      </c>
      <c r="K41" s="65">
        <v>0.0</v>
      </c>
      <c r="L41" s="65">
        <v>0.0</v>
      </c>
      <c r="M41" s="65">
        <v>0.0</v>
      </c>
      <c r="N41" s="65">
        <v>0.0</v>
      </c>
      <c r="O41" s="65">
        <v>0.0</v>
      </c>
      <c r="P41" s="65">
        <v>0.0</v>
      </c>
      <c r="Q41" s="65">
        <v>0.0</v>
      </c>
      <c r="R41" s="65">
        <v>0.0</v>
      </c>
      <c r="S41" s="65">
        <v>0.0</v>
      </c>
      <c r="T41" s="65">
        <v>0.0</v>
      </c>
      <c r="U41" s="65">
        <v>0.0</v>
      </c>
      <c r="V41" s="65">
        <v>0.0</v>
      </c>
      <c r="W41" s="65">
        <v>0.0</v>
      </c>
      <c r="X41" s="65">
        <v>0.0</v>
      </c>
      <c r="Y41" s="65">
        <v>0.0</v>
      </c>
      <c r="Z41" s="65">
        <v>0.0</v>
      </c>
      <c r="AA41" s="65">
        <v>0.0</v>
      </c>
      <c r="AB41" s="65">
        <v>0.0</v>
      </c>
      <c r="AC41" s="65">
        <v>0.0</v>
      </c>
      <c r="AD41" s="65">
        <v>0.0</v>
      </c>
      <c r="AE41" s="65">
        <v>0.0</v>
      </c>
      <c r="AF41" s="65">
        <v>0.0</v>
      </c>
      <c r="AG41" s="65">
        <v>0.0</v>
      </c>
      <c r="AH41" s="65">
        <v>0.0</v>
      </c>
      <c r="AI41" s="65">
        <v>0.0</v>
      </c>
      <c r="AJ41" s="65">
        <v>0.0</v>
      </c>
      <c r="AK41" s="65">
        <v>0.0</v>
      </c>
      <c r="AL41" s="65">
        <v>0.0</v>
      </c>
      <c r="AM41" s="65">
        <v>0.0</v>
      </c>
      <c r="AN41" s="65">
        <v>0.0</v>
      </c>
      <c r="AO41" s="65">
        <v>0.0</v>
      </c>
      <c r="AP41" s="65">
        <v>0.0</v>
      </c>
      <c r="AQ41" s="65">
        <v>0.0</v>
      </c>
      <c r="AR41" s="65">
        <v>0.0</v>
      </c>
      <c r="AS41" s="65">
        <v>0.0</v>
      </c>
      <c r="AT41" s="65">
        <v>0.0</v>
      </c>
      <c r="AU41" s="65">
        <v>0.0</v>
      </c>
      <c r="AV41" s="65">
        <v>0.0</v>
      </c>
      <c r="AW41" s="65">
        <v>0.0</v>
      </c>
      <c r="AX41" s="65">
        <v>0.0</v>
      </c>
      <c r="AY41" s="65">
        <v>0.0</v>
      </c>
      <c r="AZ41" s="65">
        <v>0.0</v>
      </c>
      <c r="BA41" s="65">
        <v>0.0</v>
      </c>
      <c r="BB41" s="65">
        <v>0.0</v>
      </c>
      <c r="BC41" s="65">
        <v>0.0</v>
      </c>
      <c r="BD41" s="65">
        <v>0.0</v>
      </c>
      <c r="BE41" s="65">
        <v>0.0</v>
      </c>
    </row>
    <row r="42">
      <c r="A42" s="65" t="s">
        <v>240</v>
      </c>
      <c r="B42" s="65">
        <v>27.749541944444427</v>
      </c>
      <c r="C42" s="65">
        <v>7.0929069444444455</v>
      </c>
      <c r="D42" s="65">
        <v>0.0</v>
      </c>
      <c r="E42" s="65">
        <v>0.7111224999999994</v>
      </c>
      <c r="F42" s="65">
        <v>0.0</v>
      </c>
      <c r="G42" s="65">
        <v>0.0</v>
      </c>
      <c r="H42" s="65">
        <v>65.54033666666669</v>
      </c>
      <c r="I42" s="65">
        <v>0.0</v>
      </c>
      <c r="J42" s="65">
        <v>0.3876280555555556</v>
      </c>
      <c r="K42" s="65">
        <v>0.0</v>
      </c>
      <c r="L42" s="65">
        <v>0.0</v>
      </c>
      <c r="M42" s="65">
        <v>0.0</v>
      </c>
      <c r="N42" s="65">
        <v>0.0</v>
      </c>
      <c r="O42" s="65">
        <v>0.0</v>
      </c>
      <c r="P42" s="65">
        <v>0.0</v>
      </c>
      <c r="Q42" s="65">
        <v>0.0</v>
      </c>
      <c r="R42" s="65">
        <v>0.0</v>
      </c>
      <c r="S42" s="65">
        <v>0.0</v>
      </c>
      <c r="T42" s="65">
        <v>0.0</v>
      </c>
      <c r="U42" s="65">
        <v>0.0</v>
      </c>
      <c r="V42" s="65">
        <v>0.0</v>
      </c>
      <c r="W42" s="65">
        <v>0.0</v>
      </c>
      <c r="X42" s="65">
        <v>0.0</v>
      </c>
      <c r="Y42" s="65">
        <v>0.0</v>
      </c>
      <c r="Z42" s="65">
        <v>0.0</v>
      </c>
      <c r="AA42" s="65">
        <v>0.0</v>
      </c>
      <c r="AB42" s="65">
        <v>0.0</v>
      </c>
      <c r="AC42" s="65">
        <v>0.0</v>
      </c>
      <c r="AD42" s="65">
        <v>0.0</v>
      </c>
      <c r="AE42" s="65">
        <v>0.0</v>
      </c>
      <c r="AF42" s="65">
        <v>0.0</v>
      </c>
      <c r="AG42" s="65">
        <v>0.0</v>
      </c>
      <c r="AH42" s="65">
        <v>0.0</v>
      </c>
      <c r="AI42" s="65">
        <v>0.48615083333333325</v>
      </c>
      <c r="AJ42" s="65">
        <v>0.1647502777777777</v>
      </c>
      <c r="AK42" s="65">
        <v>0.0</v>
      </c>
      <c r="AL42" s="65">
        <v>0.0</v>
      </c>
      <c r="AM42" s="65">
        <v>0.0</v>
      </c>
      <c r="AN42" s="65">
        <v>0.0</v>
      </c>
      <c r="AO42" s="65">
        <v>0.0</v>
      </c>
      <c r="AP42" s="65">
        <v>0.0</v>
      </c>
      <c r="AQ42" s="65">
        <v>0.0</v>
      </c>
      <c r="AR42" s="65">
        <v>0.0</v>
      </c>
      <c r="AS42" s="65">
        <v>0.0</v>
      </c>
      <c r="AT42" s="65">
        <v>0.0</v>
      </c>
      <c r="AU42" s="65">
        <v>0.0</v>
      </c>
      <c r="AV42" s="65">
        <v>0.0</v>
      </c>
      <c r="AW42" s="65">
        <v>0.0</v>
      </c>
      <c r="AX42" s="65">
        <v>0.0</v>
      </c>
      <c r="AY42" s="65">
        <v>0.0</v>
      </c>
      <c r="AZ42" s="65">
        <v>0.0</v>
      </c>
      <c r="BA42" s="65">
        <v>0.0</v>
      </c>
      <c r="BB42" s="65">
        <v>0.0</v>
      </c>
      <c r="BC42" s="65">
        <v>0.0</v>
      </c>
      <c r="BD42" s="65">
        <v>0.0</v>
      </c>
      <c r="BE42" s="65">
        <v>0.0</v>
      </c>
    </row>
    <row r="43">
      <c r="A43" s="65" t="s">
        <v>241</v>
      </c>
      <c r="B43" s="65">
        <v>0.19963222222222218</v>
      </c>
      <c r="C43" s="65">
        <v>9.69108388888887</v>
      </c>
      <c r="D43" s="65">
        <v>0.3883844444444444</v>
      </c>
      <c r="E43" s="65">
        <v>0.0</v>
      </c>
      <c r="F43" s="65">
        <v>0.0</v>
      </c>
      <c r="G43" s="65">
        <v>1.3605008333333333</v>
      </c>
      <c r="H43" s="65">
        <v>61.821187500000185</v>
      </c>
      <c r="I43" s="65">
        <v>0.0</v>
      </c>
      <c r="J43" s="65">
        <v>0.2135883333333334</v>
      </c>
      <c r="K43" s="65">
        <v>0.0</v>
      </c>
      <c r="L43" s="65">
        <v>0.0</v>
      </c>
      <c r="M43" s="65">
        <v>0.0</v>
      </c>
      <c r="N43" s="65">
        <v>0.0</v>
      </c>
      <c r="O43" s="65">
        <v>0.0</v>
      </c>
      <c r="P43" s="65">
        <v>0.0</v>
      </c>
      <c r="Q43" s="65">
        <v>0.0</v>
      </c>
      <c r="R43" s="65">
        <v>0.0</v>
      </c>
      <c r="S43" s="65">
        <v>0.0</v>
      </c>
      <c r="T43" s="65">
        <v>0.0</v>
      </c>
      <c r="U43" s="65">
        <v>0.0</v>
      </c>
      <c r="V43" s="65">
        <v>0.0</v>
      </c>
      <c r="W43" s="65">
        <v>0.0</v>
      </c>
      <c r="X43" s="65">
        <v>0.0</v>
      </c>
      <c r="Y43" s="65">
        <v>0.0</v>
      </c>
      <c r="Z43" s="65">
        <v>0.0</v>
      </c>
      <c r="AA43" s="65">
        <v>0.0</v>
      </c>
      <c r="AB43" s="65">
        <v>0.0</v>
      </c>
      <c r="AC43" s="65">
        <v>0.0</v>
      </c>
      <c r="AD43" s="65">
        <v>0.0</v>
      </c>
      <c r="AE43" s="65">
        <v>0.0</v>
      </c>
      <c r="AF43" s="65">
        <v>0.0</v>
      </c>
      <c r="AG43" s="65">
        <v>0.0</v>
      </c>
      <c r="AH43" s="65">
        <v>0.0</v>
      </c>
      <c r="AI43" s="65">
        <v>0.0</v>
      </c>
      <c r="AJ43" s="65">
        <v>0.5230944444444444</v>
      </c>
      <c r="AK43" s="65">
        <v>0.0</v>
      </c>
      <c r="AL43" s="65">
        <v>0.0</v>
      </c>
      <c r="AM43" s="65">
        <v>0.0</v>
      </c>
      <c r="AN43" s="65">
        <v>0.0</v>
      </c>
      <c r="AO43" s="65">
        <v>0.0</v>
      </c>
      <c r="AP43" s="65">
        <v>0.0</v>
      </c>
      <c r="AQ43" s="65">
        <v>0.0</v>
      </c>
      <c r="AR43" s="65">
        <v>0.0</v>
      </c>
      <c r="AS43" s="65">
        <v>0.0</v>
      </c>
      <c r="AT43" s="65">
        <v>0.0</v>
      </c>
      <c r="AU43" s="65">
        <v>0.0</v>
      </c>
      <c r="AV43" s="65">
        <v>0.0</v>
      </c>
      <c r="AW43" s="65">
        <v>0.0</v>
      </c>
      <c r="AX43" s="65">
        <v>0.0</v>
      </c>
      <c r="AY43" s="65">
        <v>0.0</v>
      </c>
      <c r="AZ43" s="65">
        <v>0.0</v>
      </c>
      <c r="BA43" s="65">
        <v>0.0</v>
      </c>
      <c r="BB43" s="65">
        <v>0.0</v>
      </c>
      <c r="BC43" s="65">
        <v>0.0</v>
      </c>
      <c r="BD43" s="65">
        <v>0.0</v>
      </c>
      <c r="BE43" s="65">
        <v>0.0</v>
      </c>
    </row>
    <row r="44">
      <c r="A44" s="65" t="s">
        <v>242</v>
      </c>
      <c r="B44" s="65">
        <v>0.15671111111111116</v>
      </c>
      <c r="C44" s="65">
        <v>5.207896388888887</v>
      </c>
      <c r="D44" s="65">
        <v>0.0</v>
      </c>
      <c r="E44" s="65">
        <v>0.30237861111111103</v>
      </c>
      <c r="F44" s="65">
        <v>0.0</v>
      </c>
      <c r="G44" s="65">
        <v>0.0</v>
      </c>
      <c r="H44" s="65">
        <v>70.80939833333318</v>
      </c>
      <c r="I44" s="65">
        <v>0.0</v>
      </c>
      <c r="J44" s="65">
        <v>0.0</v>
      </c>
      <c r="K44" s="65">
        <v>0.2211544444444444</v>
      </c>
      <c r="L44" s="65">
        <v>0.0</v>
      </c>
      <c r="M44" s="65">
        <v>0.0</v>
      </c>
      <c r="N44" s="65">
        <v>0.0</v>
      </c>
      <c r="O44" s="65">
        <v>0.0</v>
      </c>
      <c r="P44" s="65">
        <v>0.0</v>
      </c>
      <c r="Q44" s="65">
        <v>0.0</v>
      </c>
      <c r="R44" s="65">
        <v>0.0</v>
      </c>
      <c r="S44" s="65">
        <v>0.0</v>
      </c>
      <c r="T44" s="65">
        <v>0.0</v>
      </c>
      <c r="U44" s="65">
        <v>0.0</v>
      </c>
      <c r="V44" s="65">
        <v>0.0</v>
      </c>
      <c r="W44" s="65">
        <v>0.0</v>
      </c>
      <c r="X44" s="65">
        <v>0.0</v>
      </c>
      <c r="Y44" s="65">
        <v>0.0</v>
      </c>
      <c r="Z44" s="65">
        <v>0.0</v>
      </c>
      <c r="AA44" s="65">
        <v>0.0</v>
      </c>
      <c r="AB44" s="65">
        <v>0.0</v>
      </c>
      <c r="AC44" s="65">
        <v>0.0</v>
      </c>
      <c r="AD44" s="65">
        <v>0.0</v>
      </c>
      <c r="AE44" s="65">
        <v>0.0</v>
      </c>
      <c r="AF44" s="65">
        <v>0.0</v>
      </c>
      <c r="AG44" s="65">
        <v>0.0</v>
      </c>
      <c r="AH44" s="65">
        <v>0.0</v>
      </c>
      <c r="AI44" s="65">
        <v>0.0</v>
      </c>
      <c r="AJ44" s="65">
        <v>0.33459500000000003</v>
      </c>
      <c r="AK44" s="65">
        <v>0.0</v>
      </c>
      <c r="AL44" s="65">
        <v>0.0</v>
      </c>
      <c r="AM44" s="65">
        <v>0.0</v>
      </c>
      <c r="AN44" s="65">
        <v>0.0</v>
      </c>
      <c r="AO44" s="65">
        <v>0.0</v>
      </c>
      <c r="AP44" s="65">
        <v>0.0</v>
      </c>
      <c r="AQ44" s="65">
        <v>0.0</v>
      </c>
      <c r="AR44" s="65">
        <v>0.0</v>
      </c>
      <c r="AS44" s="65">
        <v>0.0</v>
      </c>
      <c r="AT44" s="65">
        <v>0.0</v>
      </c>
      <c r="AU44" s="65">
        <v>0.0</v>
      </c>
      <c r="AV44" s="65">
        <v>0.0</v>
      </c>
      <c r="AW44" s="65">
        <v>0.0</v>
      </c>
      <c r="AX44" s="65">
        <v>0.0</v>
      </c>
      <c r="AY44" s="65">
        <v>0.0</v>
      </c>
      <c r="AZ44" s="65">
        <v>0.0</v>
      </c>
      <c r="BA44" s="65">
        <v>0.0</v>
      </c>
      <c r="BB44" s="65">
        <v>0.0</v>
      </c>
      <c r="BC44" s="65">
        <v>0.0</v>
      </c>
      <c r="BD44" s="65">
        <v>0.0</v>
      </c>
      <c r="BE44" s="65">
        <v>0.0</v>
      </c>
    </row>
    <row r="45">
      <c r="A45" s="65" t="s">
        <v>243</v>
      </c>
      <c r="B45" s="65">
        <v>0.15059944444444445</v>
      </c>
      <c r="C45" s="65">
        <v>12.023116388888885</v>
      </c>
      <c r="D45" s="65">
        <v>6.094306944444453</v>
      </c>
      <c r="E45" s="65">
        <v>0.0</v>
      </c>
      <c r="F45" s="65">
        <v>0.0</v>
      </c>
      <c r="G45" s="65">
        <v>0.0</v>
      </c>
      <c r="H45" s="65">
        <v>51.479815277778116</v>
      </c>
      <c r="I45" s="65">
        <v>0.0</v>
      </c>
      <c r="J45" s="65">
        <v>0.0</v>
      </c>
      <c r="K45" s="65">
        <v>0.0</v>
      </c>
      <c r="L45" s="65">
        <v>0.0</v>
      </c>
      <c r="M45" s="65">
        <v>0.0</v>
      </c>
      <c r="N45" s="65">
        <v>0.0</v>
      </c>
      <c r="O45" s="65">
        <v>0.0</v>
      </c>
      <c r="P45" s="65">
        <v>0.0</v>
      </c>
      <c r="Q45" s="65">
        <v>0.0</v>
      </c>
      <c r="R45" s="65">
        <v>0.0</v>
      </c>
      <c r="S45" s="65">
        <v>0.0</v>
      </c>
      <c r="T45" s="65">
        <v>0.0</v>
      </c>
      <c r="U45" s="65">
        <v>0.0</v>
      </c>
      <c r="V45" s="65">
        <v>0.0</v>
      </c>
      <c r="W45" s="65">
        <v>0.0</v>
      </c>
      <c r="X45" s="65">
        <v>0.0</v>
      </c>
      <c r="Y45" s="65">
        <v>0.0</v>
      </c>
      <c r="Z45" s="65">
        <v>0.0</v>
      </c>
      <c r="AA45" s="65">
        <v>0.0</v>
      </c>
      <c r="AB45" s="65">
        <v>0.0</v>
      </c>
      <c r="AC45" s="65">
        <v>0.0</v>
      </c>
      <c r="AD45" s="65">
        <v>0.0</v>
      </c>
      <c r="AE45" s="65">
        <v>0.0</v>
      </c>
      <c r="AF45" s="65">
        <v>0.0</v>
      </c>
      <c r="AG45" s="65">
        <v>0.0</v>
      </c>
      <c r="AH45" s="65">
        <v>0.0</v>
      </c>
      <c r="AI45" s="65">
        <v>0.3706166666666665</v>
      </c>
      <c r="AJ45" s="65">
        <v>0.1925949999999999</v>
      </c>
      <c r="AK45" s="65">
        <v>0.9306625</v>
      </c>
      <c r="AL45" s="65">
        <v>0.2836741666666667</v>
      </c>
      <c r="AM45" s="65">
        <v>0.0</v>
      </c>
      <c r="AN45" s="65">
        <v>0.0</v>
      </c>
      <c r="AO45" s="65">
        <v>0.0</v>
      </c>
      <c r="AP45" s="65">
        <v>0.0</v>
      </c>
      <c r="AQ45" s="65">
        <v>0.0</v>
      </c>
      <c r="AR45" s="65">
        <v>0.0</v>
      </c>
      <c r="AS45" s="65">
        <v>0.0</v>
      </c>
      <c r="AT45" s="65">
        <v>0.0</v>
      </c>
      <c r="AU45" s="65">
        <v>0.0</v>
      </c>
      <c r="AV45" s="65">
        <v>0.0</v>
      </c>
      <c r="AW45" s="65">
        <v>0.0</v>
      </c>
      <c r="AX45" s="65">
        <v>0.0</v>
      </c>
      <c r="AY45" s="65">
        <v>0.0</v>
      </c>
      <c r="AZ45" s="65">
        <v>0.0</v>
      </c>
      <c r="BA45" s="65">
        <v>0.0</v>
      </c>
      <c r="BB45" s="65">
        <v>0.0</v>
      </c>
      <c r="BC45" s="65">
        <v>0.0</v>
      </c>
      <c r="BD45" s="65">
        <v>0.0</v>
      </c>
      <c r="BE45" s="65">
        <v>0.0</v>
      </c>
    </row>
    <row r="46">
      <c r="A46" s="65" t="s">
        <v>244</v>
      </c>
      <c r="B46" s="65">
        <v>8.621948611111115</v>
      </c>
      <c r="C46" s="65">
        <v>7.44458194444442</v>
      </c>
      <c r="D46" s="65">
        <v>0.0</v>
      </c>
      <c r="E46" s="65">
        <v>0.0</v>
      </c>
      <c r="F46" s="65">
        <v>0.0</v>
      </c>
      <c r="G46" s="65">
        <v>0.0</v>
      </c>
      <c r="H46" s="65">
        <v>71.14769250000059</v>
      </c>
      <c r="I46" s="65">
        <v>0.0</v>
      </c>
      <c r="J46" s="65">
        <v>0.0</v>
      </c>
      <c r="K46" s="65">
        <v>0.0</v>
      </c>
      <c r="L46" s="65">
        <v>0.0</v>
      </c>
      <c r="M46" s="65">
        <v>0.0</v>
      </c>
      <c r="N46" s="65">
        <v>0.0</v>
      </c>
      <c r="O46" s="65">
        <v>0.0</v>
      </c>
      <c r="P46" s="65">
        <v>0.0</v>
      </c>
      <c r="Q46" s="65">
        <v>0.0</v>
      </c>
      <c r="R46" s="65">
        <v>0.0</v>
      </c>
      <c r="S46" s="65">
        <v>0.0</v>
      </c>
      <c r="T46" s="65">
        <v>0.0</v>
      </c>
      <c r="U46" s="65">
        <v>0.0</v>
      </c>
      <c r="V46" s="65">
        <v>0.0</v>
      </c>
      <c r="W46" s="65">
        <v>0.0</v>
      </c>
      <c r="X46" s="65">
        <v>0.0</v>
      </c>
      <c r="Y46" s="65">
        <v>0.0</v>
      </c>
      <c r="Z46" s="65">
        <v>0.0</v>
      </c>
      <c r="AA46" s="65">
        <v>0.0</v>
      </c>
      <c r="AB46" s="65">
        <v>0.0</v>
      </c>
      <c r="AC46" s="65">
        <v>0.0</v>
      </c>
      <c r="AD46" s="65">
        <v>0.0</v>
      </c>
      <c r="AE46" s="65">
        <v>0.0</v>
      </c>
      <c r="AF46" s="65">
        <v>0.0</v>
      </c>
      <c r="AG46" s="65">
        <v>0.0</v>
      </c>
      <c r="AH46" s="65">
        <v>0.0</v>
      </c>
      <c r="AI46" s="65">
        <v>0.0</v>
      </c>
      <c r="AJ46" s="65">
        <v>0.0</v>
      </c>
      <c r="AK46" s="65">
        <v>0.0</v>
      </c>
      <c r="AL46" s="65">
        <v>0.0</v>
      </c>
      <c r="AM46" s="65">
        <v>0.0</v>
      </c>
      <c r="AN46" s="65">
        <v>0.0</v>
      </c>
      <c r="AO46" s="65">
        <v>0.0</v>
      </c>
      <c r="AP46" s="65">
        <v>0.0</v>
      </c>
      <c r="AQ46" s="65">
        <v>0.0</v>
      </c>
      <c r="AR46" s="65">
        <v>0.0</v>
      </c>
      <c r="AS46" s="65">
        <v>0.0</v>
      </c>
      <c r="AT46" s="65">
        <v>0.0</v>
      </c>
      <c r="AU46" s="65">
        <v>0.0</v>
      </c>
      <c r="AV46" s="65">
        <v>0.0</v>
      </c>
      <c r="AW46" s="65">
        <v>0.0</v>
      </c>
      <c r="AX46" s="65">
        <v>0.0</v>
      </c>
      <c r="AY46" s="65">
        <v>0.0</v>
      </c>
      <c r="AZ46" s="65">
        <v>0.0</v>
      </c>
      <c r="BA46" s="65">
        <v>0.0</v>
      </c>
      <c r="BB46" s="65">
        <v>0.0</v>
      </c>
      <c r="BC46" s="65">
        <v>0.0</v>
      </c>
      <c r="BD46" s="65">
        <v>0.0</v>
      </c>
      <c r="BE46" s="65">
        <v>0.0</v>
      </c>
    </row>
    <row r="47">
      <c r="A47" s="65" t="s">
        <v>245</v>
      </c>
      <c r="B47" s="65">
        <v>13.981134166666612</v>
      </c>
      <c r="C47" s="65">
        <v>14.325296111111038</v>
      </c>
      <c r="D47" s="65">
        <v>0.0</v>
      </c>
      <c r="E47" s="65">
        <v>0.0</v>
      </c>
      <c r="F47" s="65">
        <v>2.7835044444444463</v>
      </c>
      <c r="G47" s="65">
        <v>0.0</v>
      </c>
      <c r="H47" s="65">
        <v>40.66530777777778</v>
      </c>
      <c r="I47" s="65">
        <v>0.0</v>
      </c>
      <c r="J47" s="65">
        <v>0.0</v>
      </c>
      <c r="K47" s="65">
        <v>0.0</v>
      </c>
      <c r="L47" s="65">
        <v>0.0</v>
      </c>
      <c r="M47" s="65">
        <v>0.0</v>
      </c>
      <c r="N47" s="65">
        <v>0.0</v>
      </c>
      <c r="O47" s="65">
        <v>0.0</v>
      </c>
      <c r="P47" s="65">
        <v>0.0</v>
      </c>
      <c r="Q47" s="65">
        <v>0.0</v>
      </c>
      <c r="R47" s="65">
        <v>0.0</v>
      </c>
      <c r="S47" s="65">
        <v>0.0</v>
      </c>
      <c r="T47" s="65">
        <v>0.0</v>
      </c>
      <c r="U47" s="65">
        <v>0.0</v>
      </c>
      <c r="V47" s="65">
        <v>0.0</v>
      </c>
      <c r="W47" s="65">
        <v>0.0</v>
      </c>
      <c r="X47" s="65">
        <v>0.0</v>
      </c>
      <c r="Y47" s="65">
        <v>0.0</v>
      </c>
      <c r="Z47" s="65">
        <v>0.0</v>
      </c>
      <c r="AA47" s="65">
        <v>0.0</v>
      </c>
      <c r="AB47" s="65">
        <v>0.0</v>
      </c>
      <c r="AC47" s="65">
        <v>0.0</v>
      </c>
      <c r="AD47" s="65">
        <v>0.0</v>
      </c>
      <c r="AE47" s="65">
        <v>0.0</v>
      </c>
      <c r="AF47" s="65">
        <v>0.0</v>
      </c>
      <c r="AG47" s="65">
        <v>0.0</v>
      </c>
      <c r="AH47" s="65">
        <v>0.0</v>
      </c>
      <c r="AI47" s="65">
        <v>0.0</v>
      </c>
      <c r="AJ47" s="65">
        <v>0.1887752777777778</v>
      </c>
      <c r="AK47" s="65">
        <v>0.0</v>
      </c>
      <c r="AL47" s="65">
        <v>0.0</v>
      </c>
      <c r="AM47" s="65">
        <v>0.0</v>
      </c>
      <c r="AN47" s="65">
        <v>0.0</v>
      </c>
      <c r="AO47" s="65">
        <v>0.0</v>
      </c>
      <c r="AP47" s="65">
        <v>0.0</v>
      </c>
      <c r="AQ47" s="65">
        <v>0.0</v>
      </c>
      <c r="AR47" s="65">
        <v>0.0</v>
      </c>
      <c r="AS47" s="65">
        <v>0.0</v>
      </c>
      <c r="AT47" s="65">
        <v>0.0</v>
      </c>
      <c r="AU47" s="65">
        <v>0.0</v>
      </c>
      <c r="AV47" s="65">
        <v>0.0</v>
      </c>
      <c r="AW47" s="65">
        <v>0.0</v>
      </c>
      <c r="AX47" s="65">
        <v>0.0</v>
      </c>
      <c r="AY47" s="65">
        <v>0.0</v>
      </c>
      <c r="AZ47" s="65">
        <v>0.0</v>
      </c>
      <c r="BA47" s="65">
        <v>0.0</v>
      </c>
      <c r="BB47" s="65">
        <v>0.0</v>
      </c>
      <c r="BC47" s="65">
        <v>0.0</v>
      </c>
      <c r="BD47" s="65">
        <v>0.0</v>
      </c>
      <c r="BE47" s="65">
        <v>0.0</v>
      </c>
    </row>
    <row r="48">
      <c r="A48" s="65" t="s">
        <v>246</v>
      </c>
      <c r="B48" s="65">
        <v>0.24259722222222216</v>
      </c>
      <c r="C48" s="65">
        <v>11.81687333333337</v>
      </c>
      <c r="D48" s="65">
        <v>0.391198888888889</v>
      </c>
      <c r="E48" s="65">
        <v>0.06840083333333333</v>
      </c>
      <c r="F48" s="65">
        <v>4.70601527777778</v>
      </c>
      <c r="G48" s="65">
        <v>0.486857777777778</v>
      </c>
      <c r="H48" s="65">
        <v>81.14396972222173</v>
      </c>
      <c r="I48" s="65">
        <v>0.0</v>
      </c>
      <c r="J48" s="65">
        <v>0.0</v>
      </c>
      <c r="K48" s="65">
        <v>0.0</v>
      </c>
      <c r="L48" s="65">
        <v>0.0</v>
      </c>
      <c r="M48" s="65">
        <v>0.0</v>
      </c>
      <c r="N48" s="65">
        <v>0.0</v>
      </c>
      <c r="O48" s="65">
        <v>0.0</v>
      </c>
      <c r="P48" s="65">
        <v>0.0</v>
      </c>
      <c r="Q48" s="65">
        <v>0.0</v>
      </c>
      <c r="R48" s="65">
        <v>0.0</v>
      </c>
      <c r="S48" s="65">
        <v>0.0</v>
      </c>
      <c r="T48" s="65">
        <v>0.0</v>
      </c>
      <c r="U48" s="65">
        <v>0.0</v>
      </c>
      <c r="V48" s="65">
        <v>0.0</v>
      </c>
      <c r="W48" s="65">
        <v>0.0</v>
      </c>
      <c r="X48" s="65">
        <v>0.0</v>
      </c>
      <c r="Y48" s="65">
        <v>0.0</v>
      </c>
      <c r="Z48" s="65">
        <v>0.0</v>
      </c>
      <c r="AA48" s="65">
        <v>0.0</v>
      </c>
      <c r="AB48" s="65">
        <v>0.0</v>
      </c>
      <c r="AC48" s="65">
        <v>0.0</v>
      </c>
      <c r="AD48" s="65">
        <v>0.0</v>
      </c>
      <c r="AE48" s="65">
        <v>0.0</v>
      </c>
      <c r="AF48" s="65">
        <v>0.0</v>
      </c>
      <c r="AG48" s="65">
        <v>0.0</v>
      </c>
      <c r="AH48" s="65">
        <v>0.0</v>
      </c>
      <c r="AI48" s="65">
        <v>0.0</v>
      </c>
      <c r="AJ48" s="65">
        <v>0.0</v>
      </c>
      <c r="AK48" s="65">
        <v>0.0</v>
      </c>
      <c r="AL48" s="65">
        <v>0.0</v>
      </c>
      <c r="AM48" s="65">
        <v>0.2146494444444445</v>
      </c>
      <c r="AN48" s="65">
        <v>0.0</v>
      </c>
      <c r="AO48" s="65">
        <v>0.0</v>
      </c>
      <c r="AP48" s="65">
        <v>0.0</v>
      </c>
      <c r="AQ48" s="65">
        <v>0.0</v>
      </c>
      <c r="AR48" s="65">
        <v>0.0</v>
      </c>
      <c r="AS48" s="65">
        <v>0.0</v>
      </c>
      <c r="AT48" s="65">
        <v>0.0</v>
      </c>
      <c r="AU48" s="65">
        <v>0.0</v>
      </c>
      <c r="AV48" s="65">
        <v>0.0</v>
      </c>
      <c r="AW48" s="65">
        <v>0.0</v>
      </c>
      <c r="AX48" s="65">
        <v>0.0</v>
      </c>
      <c r="AY48" s="65">
        <v>0.0</v>
      </c>
      <c r="AZ48" s="65">
        <v>0.0</v>
      </c>
      <c r="BA48" s="65">
        <v>0.0</v>
      </c>
      <c r="BB48" s="65">
        <v>0.0</v>
      </c>
      <c r="BC48" s="65">
        <v>0.0</v>
      </c>
      <c r="BD48" s="65">
        <v>0.0</v>
      </c>
      <c r="BE48" s="65">
        <v>0.0</v>
      </c>
    </row>
    <row r="49">
      <c r="A49" s="65" t="s">
        <v>247</v>
      </c>
      <c r="B49" s="65">
        <v>19.56942694444448</v>
      </c>
      <c r="C49" s="65">
        <v>7.218729722222224</v>
      </c>
      <c r="D49" s="65">
        <v>0.0</v>
      </c>
      <c r="E49" s="65">
        <v>0.0</v>
      </c>
      <c r="F49" s="65">
        <v>5.104613333333338</v>
      </c>
      <c r="G49" s="65">
        <v>0.0</v>
      </c>
      <c r="H49" s="65">
        <v>56.10696944444417</v>
      </c>
      <c r="I49" s="65">
        <v>0.0</v>
      </c>
      <c r="J49" s="65">
        <v>0.0</v>
      </c>
      <c r="K49" s="65">
        <v>0.26163638888888896</v>
      </c>
      <c r="L49" s="65">
        <v>0.0</v>
      </c>
      <c r="M49" s="65">
        <v>0.0</v>
      </c>
      <c r="N49" s="65">
        <v>0.0</v>
      </c>
      <c r="O49" s="65">
        <v>0.0</v>
      </c>
      <c r="P49" s="65">
        <v>0.0</v>
      </c>
      <c r="Q49" s="65">
        <v>0.0</v>
      </c>
      <c r="R49" s="65">
        <v>0.0</v>
      </c>
      <c r="S49" s="65">
        <v>0.0</v>
      </c>
      <c r="T49" s="65">
        <v>0.0</v>
      </c>
      <c r="U49" s="65">
        <v>0.0</v>
      </c>
      <c r="V49" s="65">
        <v>0.0</v>
      </c>
      <c r="W49" s="65">
        <v>0.0</v>
      </c>
      <c r="X49" s="65">
        <v>0.0</v>
      </c>
      <c r="Y49" s="65">
        <v>0.0</v>
      </c>
      <c r="Z49" s="65">
        <v>0.0</v>
      </c>
      <c r="AA49" s="65">
        <v>0.0</v>
      </c>
      <c r="AB49" s="65">
        <v>0.0</v>
      </c>
      <c r="AC49" s="65">
        <v>0.0</v>
      </c>
      <c r="AD49" s="65">
        <v>0.0</v>
      </c>
      <c r="AE49" s="65">
        <v>0.0</v>
      </c>
      <c r="AF49" s="65">
        <v>0.0</v>
      </c>
      <c r="AG49" s="65">
        <v>0.0</v>
      </c>
      <c r="AH49" s="65">
        <v>0.0</v>
      </c>
      <c r="AI49" s="65">
        <v>0.0</v>
      </c>
      <c r="AJ49" s="65">
        <v>0.23570694444444443</v>
      </c>
      <c r="AK49" s="65">
        <v>0.0</v>
      </c>
      <c r="AL49" s="65">
        <v>0.0</v>
      </c>
      <c r="AM49" s="65">
        <v>0.0</v>
      </c>
      <c r="AN49" s="65">
        <v>0.0</v>
      </c>
      <c r="AO49" s="65">
        <v>0.0</v>
      </c>
      <c r="AP49" s="65">
        <v>0.0</v>
      </c>
      <c r="AQ49" s="65">
        <v>0.0</v>
      </c>
      <c r="AR49" s="65">
        <v>0.0</v>
      </c>
      <c r="AS49" s="65">
        <v>0.0</v>
      </c>
      <c r="AT49" s="65">
        <v>0.0</v>
      </c>
      <c r="AU49" s="65">
        <v>0.0</v>
      </c>
      <c r="AV49" s="65">
        <v>0.0</v>
      </c>
      <c r="AW49" s="65">
        <v>0.0</v>
      </c>
      <c r="AX49" s="65">
        <v>0.0</v>
      </c>
      <c r="AY49" s="65">
        <v>0.0</v>
      </c>
      <c r="AZ49" s="65">
        <v>0.0</v>
      </c>
      <c r="BA49" s="65">
        <v>0.0</v>
      </c>
      <c r="BB49" s="65">
        <v>0.0</v>
      </c>
      <c r="BC49" s="65">
        <v>0.0</v>
      </c>
      <c r="BD49" s="65">
        <v>0.0</v>
      </c>
      <c r="BE49" s="65">
        <v>0.0</v>
      </c>
    </row>
    <row r="50">
      <c r="A50" s="65" t="s">
        <v>248</v>
      </c>
      <c r="B50" s="65">
        <v>4.874226111111115</v>
      </c>
      <c r="C50" s="65">
        <v>5.113222222222228</v>
      </c>
      <c r="D50" s="65">
        <v>0.0</v>
      </c>
      <c r="E50" s="65">
        <v>0.21156305555555552</v>
      </c>
      <c r="F50" s="65">
        <v>0.18029055555555554</v>
      </c>
      <c r="G50" s="65">
        <v>0.0489775</v>
      </c>
      <c r="H50" s="65">
        <v>70.6787602777772</v>
      </c>
      <c r="I50" s="65">
        <v>0.0</v>
      </c>
      <c r="J50" s="65">
        <v>0.23309611111111103</v>
      </c>
      <c r="K50" s="65">
        <v>0.0</v>
      </c>
      <c r="L50" s="65">
        <v>0.0</v>
      </c>
      <c r="M50" s="65">
        <v>0.0</v>
      </c>
      <c r="N50" s="65">
        <v>0.0</v>
      </c>
      <c r="O50" s="65">
        <v>0.0</v>
      </c>
      <c r="P50" s="65">
        <v>0.0</v>
      </c>
      <c r="Q50" s="65">
        <v>0.0</v>
      </c>
      <c r="R50" s="65">
        <v>0.0</v>
      </c>
      <c r="S50" s="65">
        <v>0.0</v>
      </c>
      <c r="T50" s="65">
        <v>0.0</v>
      </c>
      <c r="U50" s="65">
        <v>0.0</v>
      </c>
      <c r="V50" s="65">
        <v>0.0</v>
      </c>
      <c r="W50" s="65">
        <v>0.0</v>
      </c>
      <c r="X50" s="65">
        <v>0.0</v>
      </c>
      <c r="Y50" s="65">
        <v>0.0</v>
      </c>
      <c r="Z50" s="65">
        <v>0.0</v>
      </c>
      <c r="AA50" s="65">
        <v>0.0</v>
      </c>
      <c r="AB50" s="65">
        <v>0.0</v>
      </c>
      <c r="AC50" s="65">
        <v>0.0</v>
      </c>
      <c r="AD50" s="65">
        <v>0.0</v>
      </c>
      <c r="AE50" s="65">
        <v>0.0</v>
      </c>
      <c r="AF50" s="65">
        <v>0.0</v>
      </c>
      <c r="AG50" s="65">
        <v>0.0</v>
      </c>
      <c r="AH50" s="65">
        <v>0.0</v>
      </c>
      <c r="AI50" s="65">
        <v>0.0</v>
      </c>
      <c r="AJ50" s="65">
        <v>0.2146097222222222</v>
      </c>
      <c r="AK50" s="65">
        <v>0.0</v>
      </c>
      <c r="AL50" s="65">
        <v>0.0</v>
      </c>
      <c r="AM50" s="65">
        <v>0.0</v>
      </c>
      <c r="AN50" s="65">
        <v>0.0</v>
      </c>
      <c r="AO50" s="65">
        <v>0.0</v>
      </c>
      <c r="AP50" s="65">
        <v>0.0</v>
      </c>
      <c r="AQ50" s="65">
        <v>0.0</v>
      </c>
      <c r="AR50" s="65">
        <v>0.0</v>
      </c>
      <c r="AS50" s="65">
        <v>0.0</v>
      </c>
      <c r="AT50" s="65">
        <v>0.0</v>
      </c>
      <c r="AU50" s="65">
        <v>0.0</v>
      </c>
      <c r="AV50" s="65">
        <v>0.0</v>
      </c>
      <c r="AW50" s="65">
        <v>0.0</v>
      </c>
      <c r="AX50" s="65">
        <v>0.0</v>
      </c>
      <c r="AY50" s="65">
        <v>0.0</v>
      </c>
      <c r="AZ50" s="65">
        <v>0.0</v>
      </c>
      <c r="BA50" s="65">
        <v>0.0</v>
      </c>
      <c r="BB50" s="65">
        <v>0.0</v>
      </c>
      <c r="BC50" s="65">
        <v>0.0</v>
      </c>
      <c r="BD50" s="65">
        <v>0.0</v>
      </c>
      <c r="BE50" s="65">
        <v>0.0</v>
      </c>
    </row>
    <row r="51">
      <c r="A51" s="65" t="s">
        <v>249</v>
      </c>
      <c r="B51" s="65">
        <v>0.3221416666666667</v>
      </c>
      <c r="C51" s="65">
        <v>35.29504972222235</v>
      </c>
      <c r="D51" s="65">
        <v>0.0</v>
      </c>
      <c r="E51" s="65">
        <v>0.0</v>
      </c>
      <c r="F51" s="65">
        <v>33.57700805555571</v>
      </c>
      <c r="G51" s="65">
        <v>0.0905958333333333</v>
      </c>
      <c r="H51" s="65">
        <v>0.0</v>
      </c>
      <c r="I51" s="65">
        <v>0.0</v>
      </c>
      <c r="J51" s="65">
        <v>0.0</v>
      </c>
      <c r="K51" s="65">
        <v>0.0</v>
      </c>
      <c r="L51" s="65">
        <v>0.0</v>
      </c>
      <c r="M51" s="65">
        <v>0.0</v>
      </c>
      <c r="N51" s="65">
        <v>0.0</v>
      </c>
      <c r="O51" s="65">
        <v>0.0</v>
      </c>
      <c r="P51" s="65">
        <v>0.0</v>
      </c>
      <c r="Q51" s="65">
        <v>0.0</v>
      </c>
      <c r="R51" s="65">
        <v>0.0</v>
      </c>
      <c r="S51" s="65">
        <v>0.0</v>
      </c>
      <c r="T51" s="65">
        <v>0.0</v>
      </c>
      <c r="U51" s="65">
        <v>0.0</v>
      </c>
      <c r="V51" s="65">
        <v>0.0</v>
      </c>
      <c r="W51" s="65">
        <v>0.0</v>
      </c>
      <c r="X51" s="65">
        <v>0.0</v>
      </c>
      <c r="Y51" s="65">
        <v>0.0</v>
      </c>
      <c r="Z51" s="65">
        <v>0.0</v>
      </c>
      <c r="AA51" s="65">
        <v>0.0</v>
      </c>
      <c r="AB51" s="65">
        <v>0.0</v>
      </c>
      <c r="AC51" s="65">
        <v>0.0</v>
      </c>
      <c r="AD51" s="65">
        <v>0.0</v>
      </c>
      <c r="AE51" s="65">
        <v>0.0</v>
      </c>
      <c r="AF51" s="65">
        <v>0.0</v>
      </c>
      <c r="AG51" s="65">
        <v>0.0</v>
      </c>
      <c r="AH51" s="65">
        <v>0.0</v>
      </c>
      <c r="AI51" s="65">
        <v>0.0</v>
      </c>
      <c r="AJ51" s="65">
        <v>0.0</v>
      </c>
      <c r="AK51" s="65">
        <v>0.0</v>
      </c>
      <c r="AL51" s="65">
        <v>0.0</v>
      </c>
      <c r="AM51" s="65">
        <v>0.0</v>
      </c>
      <c r="AN51" s="65">
        <v>0.0</v>
      </c>
      <c r="AO51" s="65">
        <v>0.0</v>
      </c>
      <c r="AP51" s="65">
        <v>0.0</v>
      </c>
      <c r="AQ51" s="65">
        <v>0.0</v>
      </c>
      <c r="AR51" s="65">
        <v>0.0</v>
      </c>
      <c r="AS51" s="65">
        <v>0.0</v>
      </c>
      <c r="AT51" s="65">
        <v>0.0</v>
      </c>
      <c r="AU51" s="65">
        <v>0.0</v>
      </c>
      <c r="AV51" s="65">
        <v>0.0</v>
      </c>
      <c r="AW51" s="65">
        <v>0.0</v>
      </c>
      <c r="AX51" s="65">
        <v>0.0</v>
      </c>
      <c r="AY51" s="65">
        <v>0.0</v>
      </c>
      <c r="AZ51" s="65">
        <v>0.0</v>
      </c>
      <c r="BA51" s="65">
        <v>0.0</v>
      </c>
      <c r="BB51" s="65">
        <v>0.0</v>
      </c>
      <c r="BC51" s="65">
        <v>0.0</v>
      </c>
      <c r="BD51" s="65">
        <v>0.0</v>
      </c>
      <c r="BE51" s="65">
        <v>0.0</v>
      </c>
    </row>
    <row r="52">
      <c r="A52" s="65" t="s">
        <v>250</v>
      </c>
      <c r="B52" s="65">
        <v>2.128450277777777</v>
      </c>
      <c r="C52" s="65">
        <v>35.596090277777684</v>
      </c>
      <c r="D52" s="65">
        <v>0.0</v>
      </c>
      <c r="E52" s="65">
        <v>0.0</v>
      </c>
      <c r="F52" s="65">
        <v>31.644838055555493</v>
      </c>
      <c r="G52" s="65">
        <v>0.06225138888888887</v>
      </c>
      <c r="H52" s="65">
        <v>0.0</v>
      </c>
      <c r="I52" s="65">
        <v>0.0</v>
      </c>
      <c r="J52" s="65">
        <v>0.2961444444444445</v>
      </c>
      <c r="K52" s="65">
        <v>0.0</v>
      </c>
      <c r="L52" s="65">
        <v>0.0</v>
      </c>
      <c r="M52" s="65">
        <v>0.0</v>
      </c>
      <c r="N52" s="65">
        <v>0.0</v>
      </c>
      <c r="O52" s="65">
        <v>0.0</v>
      </c>
      <c r="P52" s="65">
        <v>0.0</v>
      </c>
      <c r="Q52" s="65">
        <v>0.0</v>
      </c>
      <c r="R52" s="65">
        <v>0.0</v>
      </c>
      <c r="S52" s="65">
        <v>0.0</v>
      </c>
      <c r="T52" s="65">
        <v>0.0</v>
      </c>
      <c r="U52" s="65">
        <v>0.0</v>
      </c>
      <c r="V52" s="65">
        <v>0.0</v>
      </c>
      <c r="W52" s="65">
        <v>0.0</v>
      </c>
      <c r="X52" s="65">
        <v>0.0</v>
      </c>
      <c r="Y52" s="65">
        <v>0.0</v>
      </c>
      <c r="Z52" s="65">
        <v>0.0</v>
      </c>
      <c r="AA52" s="65">
        <v>0.0</v>
      </c>
      <c r="AB52" s="65">
        <v>0.0</v>
      </c>
      <c r="AC52" s="65">
        <v>0.0</v>
      </c>
      <c r="AD52" s="65">
        <v>0.0</v>
      </c>
      <c r="AE52" s="65">
        <v>0.0</v>
      </c>
      <c r="AF52" s="65">
        <v>0.0</v>
      </c>
      <c r="AG52" s="65">
        <v>0.0</v>
      </c>
      <c r="AH52" s="65">
        <v>0.0</v>
      </c>
      <c r="AI52" s="65">
        <v>0.0</v>
      </c>
      <c r="AJ52" s="65">
        <v>0.0</v>
      </c>
      <c r="AK52" s="65">
        <v>0.0</v>
      </c>
      <c r="AL52" s="65">
        <v>0.0</v>
      </c>
      <c r="AM52" s="65">
        <v>0.0</v>
      </c>
      <c r="AN52" s="65">
        <v>0.21532194444444444</v>
      </c>
      <c r="AO52" s="65">
        <v>0.0</v>
      </c>
      <c r="AP52" s="65">
        <v>0.0</v>
      </c>
      <c r="AQ52" s="65">
        <v>0.0</v>
      </c>
      <c r="AR52" s="65">
        <v>0.0</v>
      </c>
      <c r="AS52" s="65">
        <v>0.0</v>
      </c>
      <c r="AT52" s="65">
        <v>0.0</v>
      </c>
      <c r="AU52" s="65">
        <v>0.0</v>
      </c>
      <c r="AV52" s="65">
        <v>0.0</v>
      </c>
      <c r="AW52" s="65">
        <v>0.0</v>
      </c>
      <c r="AX52" s="65">
        <v>0.0</v>
      </c>
      <c r="AY52" s="65">
        <v>0.0</v>
      </c>
      <c r="AZ52" s="65">
        <v>0.0</v>
      </c>
      <c r="BA52" s="65">
        <v>0.0</v>
      </c>
      <c r="BB52" s="65">
        <v>0.0</v>
      </c>
      <c r="BC52" s="65">
        <v>0.0</v>
      </c>
      <c r="BD52" s="65">
        <v>0.0</v>
      </c>
      <c r="BE52" s="65">
        <v>0.0</v>
      </c>
    </row>
    <row r="53">
      <c r="A53" s="65" t="s">
        <v>251</v>
      </c>
      <c r="B53" s="65">
        <v>0.1496027777777779</v>
      </c>
      <c r="C53" s="65">
        <v>42.29850472222231</v>
      </c>
      <c r="D53" s="65">
        <v>0.0</v>
      </c>
      <c r="E53" s="65">
        <v>0.0</v>
      </c>
      <c r="F53" s="65">
        <v>34.20534694444439</v>
      </c>
      <c r="G53" s="65">
        <v>0.0</v>
      </c>
      <c r="H53" s="65">
        <v>0.0</v>
      </c>
      <c r="I53" s="65">
        <v>0.0</v>
      </c>
      <c r="J53" s="65">
        <v>0.0</v>
      </c>
      <c r="K53" s="65">
        <v>0.0</v>
      </c>
      <c r="L53" s="65">
        <v>0.0</v>
      </c>
      <c r="M53" s="65">
        <v>0.0</v>
      </c>
      <c r="N53" s="65">
        <v>0.0</v>
      </c>
      <c r="O53" s="65">
        <v>0.0</v>
      </c>
      <c r="P53" s="65">
        <v>0.0</v>
      </c>
      <c r="Q53" s="65">
        <v>0.0</v>
      </c>
      <c r="R53" s="65">
        <v>0.0</v>
      </c>
      <c r="S53" s="65">
        <v>0.0</v>
      </c>
      <c r="T53" s="65">
        <v>0.0</v>
      </c>
      <c r="U53" s="65">
        <v>0.0</v>
      </c>
      <c r="V53" s="65">
        <v>0.0</v>
      </c>
      <c r="W53" s="65">
        <v>0.0</v>
      </c>
      <c r="X53" s="65">
        <v>0.0</v>
      </c>
      <c r="Y53" s="65">
        <v>0.0</v>
      </c>
      <c r="Z53" s="65">
        <v>0.0</v>
      </c>
      <c r="AA53" s="65">
        <v>0.0</v>
      </c>
      <c r="AB53" s="65">
        <v>0.0</v>
      </c>
      <c r="AC53" s="65">
        <v>0.0</v>
      </c>
      <c r="AD53" s="65">
        <v>0.0</v>
      </c>
      <c r="AE53" s="65">
        <v>0.0</v>
      </c>
      <c r="AF53" s="65">
        <v>0.0</v>
      </c>
      <c r="AG53" s="65">
        <v>0.0</v>
      </c>
      <c r="AH53" s="65">
        <v>0.0</v>
      </c>
      <c r="AI53" s="65">
        <v>0.0</v>
      </c>
      <c r="AJ53" s="65">
        <v>0.0</v>
      </c>
      <c r="AK53" s="65">
        <v>0.0</v>
      </c>
      <c r="AL53" s="65">
        <v>0.0</v>
      </c>
      <c r="AM53" s="65">
        <v>0.0</v>
      </c>
      <c r="AN53" s="65">
        <v>0.0</v>
      </c>
      <c r="AO53" s="65">
        <v>0.0</v>
      </c>
      <c r="AP53" s="65">
        <v>0.0</v>
      </c>
      <c r="AQ53" s="65">
        <v>0.0</v>
      </c>
      <c r="AR53" s="65">
        <v>0.0</v>
      </c>
      <c r="AS53" s="65">
        <v>0.0</v>
      </c>
      <c r="AT53" s="65">
        <v>0.0</v>
      </c>
      <c r="AU53" s="65">
        <v>0.0</v>
      </c>
      <c r="AV53" s="65">
        <v>0.0</v>
      </c>
      <c r="AW53" s="65">
        <v>0.0</v>
      </c>
      <c r="AX53" s="65">
        <v>0.0</v>
      </c>
      <c r="AY53" s="65">
        <v>0.0</v>
      </c>
      <c r="AZ53" s="65">
        <v>0.0</v>
      </c>
      <c r="BA53" s="65">
        <v>0.0</v>
      </c>
      <c r="BB53" s="65">
        <v>0.0</v>
      </c>
      <c r="BC53" s="65">
        <v>0.0</v>
      </c>
      <c r="BD53" s="65">
        <v>0.0</v>
      </c>
      <c r="BE53" s="65">
        <v>0.0</v>
      </c>
    </row>
    <row r="54">
      <c r="A54" s="65" t="s">
        <v>252</v>
      </c>
      <c r="B54" s="65">
        <v>0.0</v>
      </c>
      <c r="C54" s="65">
        <v>53.843158333333086</v>
      </c>
      <c r="D54" s="65">
        <v>0.0</v>
      </c>
      <c r="E54" s="65">
        <v>0.0</v>
      </c>
      <c r="F54" s="65">
        <v>22.77256361111111</v>
      </c>
      <c r="G54" s="65">
        <v>0.0</v>
      </c>
      <c r="H54" s="65">
        <v>0.0</v>
      </c>
      <c r="I54" s="65">
        <v>0.0</v>
      </c>
      <c r="J54" s="65">
        <v>0.0</v>
      </c>
      <c r="K54" s="65">
        <v>0.0</v>
      </c>
      <c r="L54" s="65">
        <v>0.0</v>
      </c>
      <c r="M54" s="65">
        <v>0.0</v>
      </c>
      <c r="N54" s="65">
        <v>0.0</v>
      </c>
      <c r="O54" s="65">
        <v>0.0</v>
      </c>
      <c r="P54" s="65">
        <v>0.0</v>
      </c>
      <c r="Q54" s="65">
        <v>0.0</v>
      </c>
      <c r="R54" s="65">
        <v>0.0</v>
      </c>
      <c r="S54" s="65">
        <v>0.0</v>
      </c>
      <c r="T54" s="65">
        <v>0.16326027777777782</v>
      </c>
      <c r="U54" s="65">
        <v>0.0</v>
      </c>
      <c r="V54" s="65">
        <v>0.0</v>
      </c>
      <c r="W54" s="65">
        <v>0.0</v>
      </c>
      <c r="X54" s="65">
        <v>0.0</v>
      </c>
      <c r="Y54" s="65">
        <v>0.0</v>
      </c>
      <c r="Z54" s="65">
        <v>0.0</v>
      </c>
      <c r="AA54" s="65">
        <v>0.0</v>
      </c>
      <c r="AB54" s="65">
        <v>0.0</v>
      </c>
      <c r="AC54" s="65">
        <v>0.0</v>
      </c>
      <c r="AD54" s="65">
        <v>0.0</v>
      </c>
      <c r="AE54" s="65">
        <v>0.0</v>
      </c>
      <c r="AF54" s="65">
        <v>0.0</v>
      </c>
      <c r="AG54" s="65">
        <v>0.05166583333333333</v>
      </c>
      <c r="AH54" s="65">
        <v>0.0</v>
      </c>
      <c r="AI54" s="65">
        <v>0.0</v>
      </c>
      <c r="AJ54" s="65">
        <v>0.0</v>
      </c>
      <c r="AK54" s="65">
        <v>0.0</v>
      </c>
      <c r="AL54" s="65">
        <v>0.0</v>
      </c>
      <c r="AM54" s="65">
        <v>0.0</v>
      </c>
      <c r="AN54" s="65">
        <v>0.2780027777777779</v>
      </c>
      <c r="AO54" s="65">
        <v>0.0</v>
      </c>
      <c r="AP54" s="65">
        <v>0.0</v>
      </c>
      <c r="AQ54" s="65">
        <v>0.0</v>
      </c>
      <c r="AR54" s="65">
        <v>0.0</v>
      </c>
      <c r="AS54" s="65">
        <v>0.0</v>
      </c>
      <c r="AT54" s="65">
        <v>0.0</v>
      </c>
      <c r="AU54" s="65">
        <v>0.0</v>
      </c>
      <c r="AV54" s="65">
        <v>0.0</v>
      </c>
      <c r="AW54" s="65">
        <v>0.0</v>
      </c>
      <c r="AX54" s="65">
        <v>0.0</v>
      </c>
      <c r="AY54" s="65">
        <v>0.0</v>
      </c>
      <c r="AZ54" s="65">
        <v>0.0</v>
      </c>
      <c r="BA54" s="65">
        <v>0.0</v>
      </c>
      <c r="BB54" s="65">
        <v>0.0</v>
      </c>
      <c r="BC54" s="65">
        <v>0.0</v>
      </c>
      <c r="BD54" s="65">
        <v>0.0</v>
      </c>
      <c r="BE54" s="65">
        <v>0.0</v>
      </c>
    </row>
    <row r="55">
      <c r="A55" s="65" t="s">
        <v>253</v>
      </c>
      <c r="B55" s="65">
        <v>0.21749333333333326</v>
      </c>
      <c r="C55" s="65">
        <v>30.921034444444487</v>
      </c>
      <c r="D55" s="65">
        <v>0.044398055555555545</v>
      </c>
      <c r="E55" s="65">
        <v>0.0</v>
      </c>
      <c r="F55" s="65">
        <v>48.431555833333725</v>
      </c>
      <c r="G55" s="65">
        <v>0.0</v>
      </c>
      <c r="H55" s="65">
        <v>0.0</v>
      </c>
      <c r="I55" s="65">
        <v>0.0</v>
      </c>
      <c r="J55" s="65">
        <v>0.0</v>
      </c>
      <c r="K55" s="65">
        <v>0.0</v>
      </c>
      <c r="L55" s="65">
        <v>0.45315777777777777</v>
      </c>
      <c r="M55" s="65">
        <v>0.0</v>
      </c>
      <c r="N55" s="65">
        <v>0.0</v>
      </c>
      <c r="O55" s="65">
        <v>0.0</v>
      </c>
      <c r="P55" s="65">
        <v>0.0</v>
      </c>
      <c r="Q55" s="65">
        <v>0.0</v>
      </c>
      <c r="R55" s="65">
        <v>0.0</v>
      </c>
      <c r="S55" s="65">
        <v>0.0</v>
      </c>
      <c r="T55" s="65">
        <v>0.0</v>
      </c>
      <c r="U55" s="65">
        <v>0.0</v>
      </c>
      <c r="V55" s="65">
        <v>0.0</v>
      </c>
      <c r="W55" s="65">
        <v>0.0</v>
      </c>
      <c r="X55" s="65">
        <v>0.0</v>
      </c>
      <c r="Y55" s="65">
        <v>0.0</v>
      </c>
      <c r="Z55" s="65">
        <v>0.0</v>
      </c>
      <c r="AA55" s="65">
        <v>0.0</v>
      </c>
      <c r="AB55" s="65">
        <v>0.0</v>
      </c>
      <c r="AC55" s="65">
        <v>0.0</v>
      </c>
      <c r="AD55" s="65">
        <v>0.0</v>
      </c>
      <c r="AE55" s="65">
        <v>0.0</v>
      </c>
      <c r="AF55" s="65">
        <v>0.0</v>
      </c>
      <c r="AG55" s="65">
        <v>0.0</v>
      </c>
      <c r="AH55" s="65">
        <v>0.0</v>
      </c>
      <c r="AI55" s="65">
        <v>0.0</v>
      </c>
      <c r="AJ55" s="65">
        <v>0.0</v>
      </c>
      <c r="AK55" s="65">
        <v>0.0</v>
      </c>
      <c r="AL55" s="65">
        <v>0.0</v>
      </c>
      <c r="AM55" s="65">
        <v>0.0</v>
      </c>
      <c r="AN55" s="65">
        <v>0.0</v>
      </c>
      <c r="AO55" s="65">
        <v>0.0</v>
      </c>
      <c r="AP55" s="65">
        <v>0.0</v>
      </c>
      <c r="AQ55" s="65">
        <v>0.0</v>
      </c>
      <c r="AR55" s="65">
        <v>0.0</v>
      </c>
      <c r="AS55" s="65">
        <v>0.0</v>
      </c>
      <c r="AT55" s="65">
        <v>0.0</v>
      </c>
      <c r="AU55" s="65">
        <v>0.0</v>
      </c>
      <c r="AV55" s="65">
        <v>0.0</v>
      </c>
      <c r="AW55" s="65">
        <v>0.0</v>
      </c>
      <c r="AX55" s="65">
        <v>0.0</v>
      </c>
      <c r="AY55" s="65">
        <v>0.0</v>
      </c>
      <c r="AZ55" s="65">
        <v>0.0</v>
      </c>
      <c r="BA55" s="65">
        <v>0.0</v>
      </c>
      <c r="BB55" s="65">
        <v>0.0</v>
      </c>
      <c r="BC55" s="65">
        <v>0.0</v>
      </c>
      <c r="BD55" s="65">
        <v>0.0</v>
      </c>
      <c r="BE55" s="65">
        <v>0.0</v>
      </c>
    </row>
    <row r="56">
      <c r="A56" s="65" t="s">
        <v>254</v>
      </c>
      <c r="B56" s="65">
        <v>0.0</v>
      </c>
      <c r="C56" s="65">
        <v>38.09144944444443</v>
      </c>
      <c r="D56" s="65">
        <v>0.0</v>
      </c>
      <c r="E56" s="65">
        <v>0.0</v>
      </c>
      <c r="F56" s="65">
        <v>29.082972500000153</v>
      </c>
      <c r="G56" s="65">
        <v>0.0</v>
      </c>
      <c r="H56" s="65">
        <v>0.0</v>
      </c>
      <c r="I56" s="65">
        <v>0.0</v>
      </c>
      <c r="J56" s="65">
        <v>0.0</v>
      </c>
      <c r="K56" s="65">
        <v>0.0</v>
      </c>
      <c r="L56" s="65">
        <v>0.0</v>
      </c>
      <c r="M56" s="65">
        <v>0.0</v>
      </c>
      <c r="N56" s="65">
        <v>0.0</v>
      </c>
      <c r="O56" s="65">
        <v>0.0</v>
      </c>
      <c r="P56" s="65">
        <v>0.0</v>
      </c>
      <c r="Q56" s="65">
        <v>0.0</v>
      </c>
      <c r="R56" s="65">
        <v>0.0</v>
      </c>
      <c r="S56" s="65">
        <v>0.0</v>
      </c>
      <c r="T56" s="65">
        <v>0.0</v>
      </c>
      <c r="U56" s="65">
        <v>0.0</v>
      </c>
      <c r="V56" s="65">
        <v>0.0</v>
      </c>
      <c r="W56" s="65">
        <v>0.0</v>
      </c>
      <c r="X56" s="65">
        <v>0.0</v>
      </c>
      <c r="Y56" s="65">
        <v>0.0</v>
      </c>
      <c r="Z56" s="65">
        <v>0.0</v>
      </c>
      <c r="AA56" s="65">
        <v>0.0</v>
      </c>
      <c r="AB56" s="65">
        <v>0.0</v>
      </c>
      <c r="AC56" s="65">
        <v>0.0</v>
      </c>
      <c r="AD56" s="65">
        <v>0.0</v>
      </c>
      <c r="AE56" s="65">
        <v>0.0</v>
      </c>
      <c r="AF56" s="65">
        <v>0.0</v>
      </c>
      <c r="AG56" s="65">
        <v>0.0</v>
      </c>
      <c r="AH56" s="65">
        <v>0.0</v>
      </c>
      <c r="AI56" s="65">
        <v>0.0</v>
      </c>
      <c r="AJ56" s="65">
        <v>0.0</v>
      </c>
      <c r="AK56" s="65">
        <v>0.0</v>
      </c>
      <c r="AL56" s="65">
        <v>0.0</v>
      </c>
      <c r="AM56" s="65">
        <v>0.0</v>
      </c>
      <c r="AN56" s="65">
        <v>0.38551555555555567</v>
      </c>
      <c r="AO56" s="65">
        <v>0.0</v>
      </c>
      <c r="AP56" s="65">
        <v>0.0</v>
      </c>
      <c r="AQ56" s="65">
        <v>0.0</v>
      </c>
      <c r="AR56" s="65">
        <v>0.0</v>
      </c>
      <c r="AS56" s="65">
        <v>0.0</v>
      </c>
      <c r="AT56" s="65">
        <v>0.0</v>
      </c>
      <c r="AU56" s="65">
        <v>0.0</v>
      </c>
      <c r="AV56" s="65">
        <v>0.0</v>
      </c>
      <c r="AW56" s="65">
        <v>0.0</v>
      </c>
      <c r="AX56" s="65">
        <v>0.0</v>
      </c>
      <c r="AY56" s="65">
        <v>0.0</v>
      </c>
      <c r="AZ56" s="65">
        <v>0.0</v>
      </c>
      <c r="BA56" s="65">
        <v>0.0</v>
      </c>
      <c r="BB56" s="65">
        <v>0.0</v>
      </c>
      <c r="BC56" s="65">
        <v>0.0</v>
      </c>
      <c r="BD56" s="65">
        <v>0.0</v>
      </c>
      <c r="BE56" s="65">
        <v>0.0</v>
      </c>
    </row>
    <row r="57">
      <c r="A57" s="65" t="s">
        <v>255</v>
      </c>
      <c r="B57" s="65">
        <v>1.0921266666666665</v>
      </c>
      <c r="C57" s="65">
        <v>44.324416944444316</v>
      </c>
      <c r="D57" s="65">
        <v>0.0</v>
      </c>
      <c r="E57" s="65">
        <v>0.0</v>
      </c>
      <c r="F57" s="65">
        <v>29.61106277777779</v>
      </c>
      <c r="G57" s="65">
        <v>0.15130527777777775</v>
      </c>
      <c r="H57" s="65">
        <v>0.0</v>
      </c>
      <c r="I57" s="65">
        <v>0.0</v>
      </c>
      <c r="J57" s="65">
        <v>0.0</v>
      </c>
      <c r="K57" s="65">
        <v>4.73982833333333</v>
      </c>
      <c r="L57" s="65">
        <v>0.1179825</v>
      </c>
      <c r="M57" s="65">
        <v>0.0</v>
      </c>
      <c r="N57" s="65">
        <v>0.0</v>
      </c>
      <c r="O57" s="65">
        <v>0.0</v>
      </c>
      <c r="P57" s="65">
        <v>0.0</v>
      </c>
      <c r="Q57" s="65">
        <v>0.0</v>
      </c>
      <c r="R57" s="65">
        <v>0.0</v>
      </c>
      <c r="S57" s="65">
        <v>0.0</v>
      </c>
      <c r="T57" s="65">
        <v>0.0</v>
      </c>
      <c r="U57" s="65">
        <v>0.0</v>
      </c>
      <c r="V57" s="65">
        <v>0.0</v>
      </c>
      <c r="W57" s="65">
        <v>0.0</v>
      </c>
      <c r="X57" s="65">
        <v>0.0</v>
      </c>
      <c r="Y57" s="65">
        <v>0.0</v>
      </c>
      <c r="Z57" s="65">
        <v>0.0</v>
      </c>
      <c r="AA57" s="65">
        <v>0.0</v>
      </c>
      <c r="AB57" s="65">
        <v>0.0</v>
      </c>
      <c r="AC57" s="65">
        <v>0.0</v>
      </c>
      <c r="AD57" s="65">
        <v>0.0</v>
      </c>
      <c r="AE57" s="65">
        <v>0.0</v>
      </c>
      <c r="AF57" s="65">
        <v>0.0</v>
      </c>
      <c r="AG57" s="65">
        <v>0.0</v>
      </c>
      <c r="AH57" s="65">
        <v>0.0</v>
      </c>
      <c r="AI57" s="65">
        <v>0.0</v>
      </c>
      <c r="AJ57" s="65">
        <v>0.0</v>
      </c>
      <c r="AK57" s="65">
        <v>0.0</v>
      </c>
      <c r="AL57" s="65">
        <v>0.0</v>
      </c>
      <c r="AM57" s="65">
        <v>0.0</v>
      </c>
      <c r="AN57" s="65">
        <v>0.10408611111111112</v>
      </c>
      <c r="AO57" s="65">
        <v>0.3961494444444443</v>
      </c>
      <c r="AP57" s="65">
        <v>0.0</v>
      </c>
      <c r="AQ57" s="65">
        <v>0.0</v>
      </c>
      <c r="AR57" s="65">
        <v>0.0</v>
      </c>
      <c r="AS57" s="65">
        <v>0.0</v>
      </c>
      <c r="AT57" s="65">
        <v>0.0</v>
      </c>
      <c r="AU57" s="65">
        <v>0.0</v>
      </c>
      <c r="AV57" s="65">
        <v>0.0</v>
      </c>
      <c r="AW57" s="65">
        <v>0.0</v>
      </c>
      <c r="AX57" s="65">
        <v>0.0</v>
      </c>
      <c r="AY57" s="65">
        <v>0.0</v>
      </c>
      <c r="AZ57" s="65">
        <v>0.0</v>
      </c>
      <c r="BA57" s="65">
        <v>0.0</v>
      </c>
      <c r="BB57" s="65">
        <v>0.0</v>
      </c>
      <c r="BC57" s="65">
        <v>0.0</v>
      </c>
      <c r="BD57" s="65">
        <v>0.0</v>
      </c>
      <c r="BE57" s="65">
        <v>0.0</v>
      </c>
    </row>
    <row r="58">
      <c r="A58" s="65" t="s">
        <v>256</v>
      </c>
      <c r="B58" s="65">
        <v>0.0</v>
      </c>
      <c r="C58" s="65">
        <v>51.74264694444455</v>
      </c>
      <c r="D58" s="65">
        <v>0.0</v>
      </c>
      <c r="E58" s="65">
        <v>0.0</v>
      </c>
      <c r="F58" s="65">
        <v>0.0</v>
      </c>
      <c r="G58" s="65">
        <v>0.4143702777777781</v>
      </c>
      <c r="H58" s="65">
        <v>0.0</v>
      </c>
      <c r="I58" s="65">
        <v>0.0</v>
      </c>
      <c r="J58" s="65">
        <v>0.06448194444444444</v>
      </c>
      <c r="K58" s="65">
        <v>0.07921972222222223</v>
      </c>
      <c r="L58" s="65">
        <v>0.0</v>
      </c>
      <c r="M58" s="65">
        <v>0.0</v>
      </c>
      <c r="N58" s="65">
        <v>0.0</v>
      </c>
      <c r="O58" s="65">
        <v>19.492801666666672</v>
      </c>
      <c r="P58" s="65">
        <v>0.0</v>
      </c>
      <c r="Q58" s="65">
        <v>0.0</v>
      </c>
      <c r="R58" s="65">
        <v>0.0</v>
      </c>
      <c r="S58" s="65">
        <v>0.0</v>
      </c>
      <c r="T58" s="65">
        <v>0.0</v>
      </c>
      <c r="U58" s="65">
        <v>0.0</v>
      </c>
      <c r="V58" s="65">
        <v>0.0</v>
      </c>
      <c r="W58" s="65">
        <v>0.0</v>
      </c>
      <c r="X58" s="65">
        <v>0.0</v>
      </c>
      <c r="Y58" s="65">
        <v>0.0</v>
      </c>
      <c r="Z58" s="65">
        <v>0.0</v>
      </c>
      <c r="AA58" s="65">
        <v>0.0</v>
      </c>
      <c r="AB58" s="65">
        <v>0.0</v>
      </c>
      <c r="AC58" s="65">
        <v>0.0</v>
      </c>
      <c r="AD58" s="65">
        <v>0.0</v>
      </c>
      <c r="AE58" s="65">
        <v>0.0</v>
      </c>
      <c r="AF58" s="65">
        <v>0.0</v>
      </c>
      <c r="AG58" s="65">
        <v>0.0</v>
      </c>
      <c r="AH58" s="65">
        <v>0.0</v>
      </c>
      <c r="AI58" s="65">
        <v>0.0</v>
      </c>
      <c r="AJ58" s="65">
        <v>0.0</v>
      </c>
      <c r="AK58" s="65">
        <v>0.0</v>
      </c>
      <c r="AL58" s="65">
        <v>0.0</v>
      </c>
      <c r="AM58" s="65">
        <v>0.0</v>
      </c>
      <c r="AN58" s="65">
        <v>0.0</v>
      </c>
      <c r="AO58" s="65">
        <v>0.0</v>
      </c>
      <c r="AP58" s="65">
        <v>0.6993855555555555</v>
      </c>
      <c r="AQ58" s="65">
        <v>0.4828319444444442</v>
      </c>
      <c r="AR58" s="65">
        <v>0.270018888888889</v>
      </c>
      <c r="AS58" s="65">
        <v>0.7712708333333339</v>
      </c>
      <c r="AT58" s="65">
        <v>0.18757388888888885</v>
      </c>
      <c r="AU58" s="65">
        <v>0.25178527777777787</v>
      </c>
      <c r="AV58" s="65">
        <v>0.3183422222222222</v>
      </c>
      <c r="AW58" s="65">
        <v>0.0</v>
      </c>
      <c r="AX58" s="65">
        <v>0.0</v>
      </c>
      <c r="AY58" s="65">
        <v>0.0</v>
      </c>
      <c r="AZ58" s="65">
        <v>0.0</v>
      </c>
      <c r="BA58" s="65">
        <v>0.0</v>
      </c>
      <c r="BB58" s="65">
        <v>0.0</v>
      </c>
      <c r="BC58" s="65">
        <v>0.0</v>
      </c>
      <c r="BD58" s="65">
        <v>0.0</v>
      </c>
      <c r="BE58" s="65">
        <v>0.0</v>
      </c>
    </row>
    <row r="59">
      <c r="A59" s="65" t="s">
        <v>257</v>
      </c>
      <c r="B59" s="65">
        <v>0.0</v>
      </c>
      <c r="C59" s="65">
        <v>46.82344888888875</v>
      </c>
      <c r="D59" s="65">
        <v>0.0</v>
      </c>
      <c r="E59" s="65">
        <v>0.0</v>
      </c>
      <c r="F59" s="65">
        <v>0.06273000000000001</v>
      </c>
      <c r="G59" s="65">
        <v>0.14400027777777777</v>
      </c>
      <c r="H59" s="65">
        <v>0.0</v>
      </c>
      <c r="I59" s="65">
        <v>0.0</v>
      </c>
      <c r="J59" s="65">
        <v>0.0</v>
      </c>
      <c r="K59" s="65">
        <v>0.0</v>
      </c>
      <c r="L59" s="65">
        <v>0.0</v>
      </c>
      <c r="M59" s="65">
        <v>0.0</v>
      </c>
      <c r="N59" s="65">
        <v>0.0</v>
      </c>
      <c r="O59" s="65">
        <v>29.354678055555585</v>
      </c>
      <c r="P59" s="65">
        <v>0.0</v>
      </c>
      <c r="Q59" s="65">
        <v>0.0</v>
      </c>
      <c r="R59" s="65">
        <v>0.0</v>
      </c>
      <c r="S59" s="65">
        <v>0.0</v>
      </c>
      <c r="T59" s="65">
        <v>0.0</v>
      </c>
      <c r="U59" s="65">
        <v>0.0</v>
      </c>
      <c r="V59" s="65">
        <v>0.0</v>
      </c>
      <c r="W59" s="65">
        <v>0.0</v>
      </c>
      <c r="X59" s="65">
        <v>0.0</v>
      </c>
      <c r="Y59" s="65">
        <v>0.0</v>
      </c>
      <c r="Z59" s="65">
        <v>0.0</v>
      </c>
      <c r="AA59" s="65">
        <v>0.0</v>
      </c>
      <c r="AB59" s="65">
        <v>0.0</v>
      </c>
      <c r="AC59" s="65">
        <v>0.0</v>
      </c>
      <c r="AD59" s="65">
        <v>0.0</v>
      </c>
      <c r="AE59" s="65">
        <v>0.0</v>
      </c>
      <c r="AF59" s="65">
        <v>0.0</v>
      </c>
      <c r="AG59" s="65">
        <v>0.0</v>
      </c>
      <c r="AH59" s="65">
        <v>0.0</v>
      </c>
      <c r="AI59" s="65">
        <v>0.0</v>
      </c>
      <c r="AJ59" s="65">
        <v>0.0</v>
      </c>
      <c r="AK59" s="65">
        <v>0.0</v>
      </c>
      <c r="AL59" s="65">
        <v>0.0</v>
      </c>
      <c r="AM59" s="65">
        <v>0.0</v>
      </c>
      <c r="AN59" s="65">
        <v>0.0</v>
      </c>
      <c r="AO59" s="65">
        <v>0.0</v>
      </c>
      <c r="AP59" s="65">
        <v>1.0881869444444454</v>
      </c>
      <c r="AQ59" s="65">
        <v>0.0</v>
      </c>
      <c r="AR59" s="65">
        <v>0.0</v>
      </c>
      <c r="AS59" s="65">
        <v>0.0</v>
      </c>
      <c r="AT59" s="65">
        <v>0.0</v>
      </c>
      <c r="AU59" s="65">
        <v>0.0</v>
      </c>
      <c r="AV59" s="65">
        <v>0.0</v>
      </c>
      <c r="AW59" s="65">
        <v>0.24168472222222223</v>
      </c>
      <c r="AX59" s="65">
        <v>0.0</v>
      </c>
      <c r="AY59" s="65">
        <v>0.0</v>
      </c>
      <c r="AZ59" s="65">
        <v>0.0</v>
      </c>
      <c r="BA59" s="65">
        <v>0.0</v>
      </c>
      <c r="BB59" s="65">
        <v>0.0</v>
      </c>
      <c r="BC59" s="65">
        <v>0.0</v>
      </c>
      <c r="BD59" s="65">
        <v>0.0</v>
      </c>
      <c r="BE59" s="65">
        <v>0.0</v>
      </c>
    </row>
    <row r="60">
      <c r="A60" s="65" t="s">
        <v>350</v>
      </c>
      <c r="B60" s="65">
        <v>103.89604444444343</v>
      </c>
      <c r="C60" s="65">
        <v>6.162142777777785</v>
      </c>
      <c r="D60" s="65">
        <v>0.14223416666666666</v>
      </c>
      <c r="E60" s="65">
        <v>0.0</v>
      </c>
      <c r="F60" s="65">
        <v>0.0</v>
      </c>
      <c r="G60" s="65">
        <v>0.5089833333333333</v>
      </c>
      <c r="H60" s="65">
        <v>0.0</v>
      </c>
      <c r="I60" s="65">
        <v>0.0</v>
      </c>
      <c r="J60" s="65">
        <v>0.15574388888888885</v>
      </c>
      <c r="K60" s="65">
        <v>6.303455555555553</v>
      </c>
      <c r="L60" s="65">
        <v>0.0</v>
      </c>
      <c r="M60" s="65">
        <v>0.0</v>
      </c>
      <c r="N60" s="65">
        <v>0.0</v>
      </c>
      <c r="O60" s="65">
        <v>0.0</v>
      </c>
      <c r="P60" s="65">
        <v>0.0</v>
      </c>
      <c r="Q60" s="65">
        <v>0.0</v>
      </c>
      <c r="R60" s="65">
        <v>0.0</v>
      </c>
      <c r="S60" s="65">
        <v>0.0</v>
      </c>
      <c r="T60" s="65">
        <v>0.0</v>
      </c>
      <c r="U60" s="65">
        <v>0.0</v>
      </c>
      <c r="V60" s="65">
        <v>0.0</v>
      </c>
      <c r="W60" s="65">
        <v>0.0</v>
      </c>
      <c r="X60" s="65">
        <v>0.0</v>
      </c>
      <c r="Y60" s="65">
        <v>0.0</v>
      </c>
      <c r="Z60" s="65">
        <v>0.0</v>
      </c>
      <c r="AA60" s="65">
        <v>0.0</v>
      </c>
      <c r="AB60" s="65">
        <v>0.0</v>
      </c>
      <c r="AC60" s="65">
        <v>0.0</v>
      </c>
      <c r="AD60" s="65">
        <v>0.0</v>
      </c>
      <c r="AE60" s="65">
        <v>0.0</v>
      </c>
      <c r="AF60" s="65">
        <v>0.0</v>
      </c>
      <c r="AG60" s="65">
        <v>0.0</v>
      </c>
      <c r="AH60" s="65">
        <v>0.0</v>
      </c>
      <c r="AI60" s="65">
        <v>0.0</v>
      </c>
      <c r="AJ60" s="65">
        <v>0.0</v>
      </c>
      <c r="AK60" s="65">
        <v>0.0</v>
      </c>
      <c r="AL60" s="65">
        <v>0.0</v>
      </c>
      <c r="AM60" s="65">
        <v>0.0</v>
      </c>
      <c r="AN60" s="65">
        <v>0.0</v>
      </c>
      <c r="AO60" s="65">
        <v>0.0</v>
      </c>
      <c r="AP60" s="65">
        <v>0.0</v>
      </c>
      <c r="AQ60" s="65">
        <v>0.0</v>
      </c>
      <c r="AR60" s="65">
        <v>0.0</v>
      </c>
      <c r="AS60" s="65">
        <v>0.0</v>
      </c>
      <c r="AT60" s="65">
        <v>0.0</v>
      </c>
      <c r="AU60" s="65">
        <v>0.0</v>
      </c>
      <c r="AV60" s="65">
        <v>0.0</v>
      </c>
      <c r="AW60" s="65">
        <v>0.0</v>
      </c>
      <c r="AX60" s="65">
        <v>0.0</v>
      </c>
      <c r="AY60" s="65">
        <v>0.0</v>
      </c>
      <c r="AZ60" s="65">
        <v>0.0</v>
      </c>
      <c r="BA60" s="65">
        <v>0.0</v>
      </c>
      <c r="BB60" s="65">
        <v>0.0</v>
      </c>
      <c r="BC60" s="65">
        <v>0.0</v>
      </c>
      <c r="BD60" s="65">
        <v>0.0</v>
      </c>
      <c r="BE60" s="65">
        <v>0.0</v>
      </c>
    </row>
    <row r="61">
      <c r="A61" s="65" t="s">
        <v>351</v>
      </c>
      <c r="B61" s="65">
        <v>87.93304444444497</v>
      </c>
      <c r="C61" s="65">
        <v>7.696877499999992</v>
      </c>
      <c r="D61" s="65">
        <v>0.0</v>
      </c>
      <c r="E61" s="65">
        <v>0.0</v>
      </c>
      <c r="F61" s="65">
        <v>0.0</v>
      </c>
      <c r="G61" s="65">
        <v>0.0</v>
      </c>
      <c r="H61" s="65">
        <v>0.0</v>
      </c>
      <c r="I61" s="65">
        <v>0.0</v>
      </c>
      <c r="J61" s="65">
        <v>0.0</v>
      </c>
      <c r="K61" s="65">
        <v>2.2375680555555557</v>
      </c>
      <c r="L61" s="65">
        <v>0.0</v>
      </c>
      <c r="M61" s="65">
        <v>0.0</v>
      </c>
      <c r="N61" s="65">
        <v>0.0</v>
      </c>
      <c r="O61" s="65">
        <v>0.0</v>
      </c>
      <c r="P61" s="65">
        <v>0.0</v>
      </c>
      <c r="Q61" s="65">
        <v>0.0</v>
      </c>
      <c r="R61" s="65">
        <v>0.0</v>
      </c>
      <c r="S61" s="65">
        <v>0.0</v>
      </c>
      <c r="T61" s="65">
        <v>0.0</v>
      </c>
      <c r="U61" s="65">
        <v>0.0</v>
      </c>
      <c r="V61" s="65">
        <v>0.0</v>
      </c>
      <c r="W61" s="65">
        <v>0.0</v>
      </c>
      <c r="X61" s="65">
        <v>0.0</v>
      </c>
      <c r="Y61" s="65">
        <v>0.0</v>
      </c>
      <c r="Z61" s="65">
        <v>0.0</v>
      </c>
      <c r="AA61" s="65">
        <v>0.0</v>
      </c>
      <c r="AB61" s="65">
        <v>0.0</v>
      </c>
      <c r="AC61" s="65">
        <v>0.0</v>
      </c>
      <c r="AD61" s="65">
        <v>0.0</v>
      </c>
      <c r="AE61" s="65">
        <v>0.0</v>
      </c>
      <c r="AF61" s="65">
        <v>0.0</v>
      </c>
      <c r="AG61" s="65">
        <v>0.0</v>
      </c>
      <c r="AH61" s="65">
        <v>0.0</v>
      </c>
      <c r="AI61" s="65">
        <v>0.0</v>
      </c>
      <c r="AJ61" s="65">
        <v>0.14322194444444442</v>
      </c>
      <c r="AK61" s="65">
        <v>0.0</v>
      </c>
      <c r="AL61" s="65">
        <v>0.0</v>
      </c>
      <c r="AM61" s="65">
        <v>0.0</v>
      </c>
      <c r="AN61" s="65">
        <v>0.0</v>
      </c>
      <c r="AO61" s="65">
        <v>0.47483666666666674</v>
      </c>
      <c r="AP61" s="65">
        <v>0.0</v>
      </c>
      <c r="AQ61" s="65">
        <v>0.0</v>
      </c>
      <c r="AR61" s="65">
        <v>0.0</v>
      </c>
      <c r="AS61" s="65">
        <v>0.0</v>
      </c>
      <c r="AT61" s="65">
        <v>0.0</v>
      </c>
      <c r="AU61" s="65">
        <v>0.0</v>
      </c>
      <c r="AV61" s="65">
        <v>0.0</v>
      </c>
      <c r="AW61" s="65">
        <v>0.0</v>
      </c>
      <c r="AX61" s="65">
        <v>0.22947750000000008</v>
      </c>
      <c r="AY61" s="65">
        <v>0.0</v>
      </c>
      <c r="AZ61" s="65">
        <v>0.0</v>
      </c>
      <c r="BA61" s="65">
        <v>0.0</v>
      </c>
      <c r="BB61" s="65">
        <v>0.0</v>
      </c>
      <c r="BC61" s="65">
        <v>0.0</v>
      </c>
      <c r="BD61" s="65">
        <v>0.0</v>
      </c>
      <c r="BE61" s="65">
        <v>0.0</v>
      </c>
    </row>
    <row r="62">
      <c r="A62" s="65" t="s">
        <v>270</v>
      </c>
      <c r="B62" s="65">
        <v>0.0</v>
      </c>
      <c r="C62" s="65">
        <v>60.63767111111058</v>
      </c>
      <c r="D62" s="65">
        <v>0.0</v>
      </c>
      <c r="E62" s="65">
        <v>0.0</v>
      </c>
      <c r="F62" s="65">
        <v>0.16850111111111113</v>
      </c>
      <c r="G62" s="65">
        <v>0.4332294444444444</v>
      </c>
      <c r="H62" s="65">
        <v>0.0</v>
      </c>
      <c r="I62" s="65">
        <v>0.0</v>
      </c>
      <c r="J62" s="65">
        <v>0.0</v>
      </c>
      <c r="K62" s="65">
        <v>0.0</v>
      </c>
      <c r="L62" s="65">
        <v>0.0</v>
      </c>
      <c r="M62" s="65">
        <v>0.0</v>
      </c>
      <c r="N62" s="65">
        <v>0.0</v>
      </c>
      <c r="O62" s="65">
        <v>0.0</v>
      </c>
      <c r="P62" s="65">
        <v>0.0</v>
      </c>
      <c r="Q62" s="65">
        <v>0.0</v>
      </c>
      <c r="R62" s="65">
        <v>0.0</v>
      </c>
      <c r="S62" s="65">
        <v>0.0</v>
      </c>
      <c r="T62" s="65">
        <v>0.0</v>
      </c>
      <c r="U62" s="65">
        <v>0.0</v>
      </c>
      <c r="V62" s="65">
        <v>0.0</v>
      </c>
      <c r="W62" s="65">
        <v>0.0</v>
      </c>
      <c r="X62" s="65">
        <v>0.0</v>
      </c>
      <c r="Y62" s="65">
        <v>0.0</v>
      </c>
      <c r="Z62" s="65">
        <v>0.0</v>
      </c>
      <c r="AA62" s="65">
        <v>0.0</v>
      </c>
      <c r="AB62" s="65">
        <v>0.0</v>
      </c>
      <c r="AC62" s="65">
        <v>0.0</v>
      </c>
      <c r="AD62" s="65">
        <v>0.0</v>
      </c>
      <c r="AE62" s="65">
        <v>0.0</v>
      </c>
      <c r="AF62" s="65">
        <v>0.0</v>
      </c>
      <c r="AG62" s="65">
        <v>0.0</v>
      </c>
      <c r="AH62" s="65">
        <v>0.0</v>
      </c>
      <c r="AI62" s="65">
        <v>0.0</v>
      </c>
      <c r="AJ62" s="65">
        <v>0.0</v>
      </c>
      <c r="AK62" s="65">
        <v>0.0</v>
      </c>
      <c r="AL62" s="65">
        <v>0.0</v>
      </c>
      <c r="AM62" s="65">
        <v>0.0</v>
      </c>
      <c r="AN62" s="65">
        <v>0.0</v>
      </c>
      <c r="AO62" s="65">
        <v>0.0</v>
      </c>
      <c r="AP62" s="65">
        <v>0.0</v>
      </c>
      <c r="AQ62" s="65">
        <v>0.0</v>
      </c>
      <c r="AR62" s="65">
        <v>0.0</v>
      </c>
      <c r="AS62" s="65">
        <v>0.0</v>
      </c>
      <c r="AT62" s="65">
        <v>0.0</v>
      </c>
      <c r="AU62" s="65">
        <v>0.0</v>
      </c>
      <c r="AV62" s="65">
        <v>0.0</v>
      </c>
      <c r="AW62" s="65">
        <v>0.0</v>
      </c>
      <c r="AX62" s="65">
        <v>0.0</v>
      </c>
      <c r="AY62" s="65">
        <v>10.851394444444386</v>
      </c>
      <c r="AZ62" s="65">
        <v>11.781103333333357</v>
      </c>
      <c r="BA62" s="65">
        <v>0.0</v>
      </c>
      <c r="BB62" s="65">
        <v>0.0</v>
      </c>
      <c r="BC62" s="65">
        <v>0.0</v>
      </c>
      <c r="BD62" s="65">
        <v>0.0</v>
      </c>
      <c r="BE62" s="65">
        <v>0.0</v>
      </c>
    </row>
    <row r="63">
      <c r="A63" s="65" t="s">
        <v>271</v>
      </c>
      <c r="B63" s="65">
        <v>0.0</v>
      </c>
      <c r="C63" s="65">
        <v>55.439867777777536</v>
      </c>
      <c r="D63" s="65">
        <v>0.0</v>
      </c>
      <c r="E63" s="65">
        <v>0.0</v>
      </c>
      <c r="F63" s="65">
        <v>0.27340916666666665</v>
      </c>
      <c r="G63" s="65">
        <v>0.21062194444444443</v>
      </c>
      <c r="H63" s="65">
        <v>0.0</v>
      </c>
      <c r="I63" s="65">
        <v>0.0</v>
      </c>
      <c r="J63" s="65">
        <v>0.0</v>
      </c>
      <c r="K63" s="65">
        <v>0.0</v>
      </c>
      <c r="L63" s="65">
        <v>0.4812019444444446</v>
      </c>
      <c r="M63" s="65">
        <v>0.0</v>
      </c>
      <c r="N63" s="65">
        <v>0.0</v>
      </c>
      <c r="O63" s="65">
        <v>0.0</v>
      </c>
      <c r="P63" s="65">
        <v>0.0</v>
      </c>
      <c r="Q63" s="65">
        <v>0.0</v>
      </c>
      <c r="R63" s="65">
        <v>0.0</v>
      </c>
      <c r="S63" s="65">
        <v>0.0</v>
      </c>
      <c r="T63" s="65">
        <v>0.0</v>
      </c>
      <c r="U63" s="65">
        <v>0.0</v>
      </c>
      <c r="V63" s="65">
        <v>0.0</v>
      </c>
      <c r="W63" s="65">
        <v>0.0</v>
      </c>
      <c r="X63" s="65">
        <v>0.0</v>
      </c>
      <c r="Y63" s="65">
        <v>0.0</v>
      </c>
      <c r="Z63" s="65">
        <v>0.0</v>
      </c>
      <c r="AA63" s="65">
        <v>0.0</v>
      </c>
      <c r="AB63" s="65">
        <v>0.0</v>
      </c>
      <c r="AC63" s="65">
        <v>0.0</v>
      </c>
      <c r="AD63" s="65">
        <v>0.0</v>
      </c>
      <c r="AE63" s="65">
        <v>0.0</v>
      </c>
      <c r="AF63" s="65">
        <v>0.0</v>
      </c>
      <c r="AG63" s="65">
        <v>0.0</v>
      </c>
      <c r="AH63" s="65">
        <v>0.0</v>
      </c>
      <c r="AI63" s="65">
        <v>0.0</v>
      </c>
      <c r="AJ63" s="65">
        <v>0.0</v>
      </c>
      <c r="AK63" s="65">
        <v>0.0</v>
      </c>
      <c r="AL63" s="65">
        <v>0.0</v>
      </c>
      <c r="AM63" s="65">
        <v>0.0</v>
      </c>
      <c r="AN63" s="65">
        <v>0.0</v>
      </c>
      <c r="AO63" s="65">
        <v>0.0</v>
      </c>
      <c r="AP63" s="65">
        <v>0.0</v>
      </c>
      <c r="AQ63" s="65">
        <v>0.0</v>
      </c>
      <c r="AR63" s="65">
        <v>0.0</v>
      </c>
      <c r="AS63" s="65">
        <v>0.0</v>
      </c>
      <c r="AT63" s="65">
        <v>0.0</v>
      </c>
      <c r="AU63" s="65">
        <v>0.0</v>
      </c>
      <c r="AV63" s="65">
        <v>0.0</v>
      </c>
      <c r="AW63" s="65">
        <v>0.0</v>
      </c>
      <c r="AX63" s="65">
        <v>0.0</v>
      </c>
      <c r="AY63" s="65">
        <v>12.082550833333359</v>
      </c>
      <c r="AZ63" s="65">
        <v>10.198975000000017</v>
      </c>
      <c r="BA63" s="65">
        <v>0.0</v>
      </c>
      <c r="BB63" s="65">
        <v>0.0</v>
      </c>
      <c r="BC63" s="65">
        <v>0.0</v>
      </c>
      <c r="BD63" s="65">
        <v>0.0</v>
      </c>
      <c r="BE63" s="65">
        <v>0.0</v>
      </c>
    </row>
    <row r="64">
      <c r="A64" s="65" t="s">
        <v>352</v>
      </c>
      <c r="B64" s="65">
        <v>0.0</v>
      </c>
      <c r="C64" s="65">
        <v>73.17880666666697</v>
      </c>
      <c r="D64" s="65">
        <v>0.0</v>
      </c>
      <c r="E64" s="65">
        <v>0.0</v>
      </c>
      <c r="F64" s="65">
        <v>0.29691805555555556</v>
      </c>
      <c r="G64" s="65">
        <v>0.1775241666666667</v>
      </c>
      <c r="H64" s="65">
        <v>0.0</v>
      </c>
      <c r="I64" s="65">
        <v>0.0</v>
      </c>
      <c r="J64" s="65">
        <v>0.0</v>
      </c>
      <c r="K64" s="65">
        <v>0.0</v>
      </c>
      <c r="L64" s="65">
        <v>0.0</v>
      </c>
      <c r="M64" s="65">
        <v>0.0</v>
      </c>
      <c r="N64" s="65">
        <v>0.0</v>
      </c>
      <c r="O64" s="65">
        <v>0.0</v>
      </c>
      <c r="P64" s="65">
        <v>0.0</v>
      </c>
      <c r="Q64" s="65">
        <v>0.0</v>
      </c>
      <c r="R64" s="65">
        <v>0.0</v>
      </c>
      <c r="S64" s="65">
        <v>0.0</v>
      </c>
      <c r="T64" s="65">
        <v>0.0</v>
      </c>
      <c r="U64" s="65">
        <v>0.0</v>
      </c>
      <c r="V64" s="65">
        <v>0.0</v>
      </c>
      <c r="W64" s="65">
        <v>0.0</v>
      </c>
      <c r="X64" s="65">
        <v>0.0</v>
      </c>
      <c r="Y64" s="65">
        <v>0.0</v>
      </c>
      <c r="Z64" s="65">
        <v>0.0</v>
      </c>
      <c r="AA64" s="65">
        <v>0.0</v>
      </c>
      <c r="AB64" s="65">
        <v>0.0</v>
      </c>
      <c r="AC64" s="65">
        <v>0.0</v>
      </c>
      <c r="AD64" s="65">
        <v>0.0</v>
      </c>
      <c r="AE64" s="65">
        <v>0.0</v>
      </c>
      <c r="AF64" s="65">
        <v>0.0</v>
      </c>
      <c r="AG64" s="65">
        <v>0.0</v>
      </c>
      <c r="AH64" s="65">
        <v>0.0</v>
      </c>
      <c r="AI64" s="65">
        <v>0.0</v>
      </c>
      <c r="AJ64" s="65">
        <v>0.0</v>
      </c>
      <c r="AK64" s="65">
        <v>0.0</v>
      </c>
      <c r="AL64" s="65">
        <v>0.0</v>
      </c>
      <c r="AM64" s="65">
        <v>0.0</v>
      </c>
      <c r="AN64" s="65">
        <v>0.0</v>
      </c>
      <c r="AO64" s="65">
        <v>2.2599063888888886</v>
      </c>
      <c r="AP64" s="65">
        <v>0.0</v>
      </c>
      <c r="AQ64" s="65">
        <v>0.0</v>
      </c>
      <c r="AR64" s="65">
        <v>0.0</v>
      </c>
      <c r="AS64" s="65">
        <v>0.0</v>
      </c>
      <c r="AT64" s="65">
        <v>0.0</v>
      </c>
      <c r="AU64" s="65">
        <v>0.0</v>
      </c>
      <c r="AV64" s="65">
        <v>0.0</v>
      </c>
      <c r="AW64" s="65">
        <v>0.0</v>
      </c>
      <c r="AX64" s="65">
        <v>0.0</v>
      </c>
      <c r="AY64" s="65">
        <v>0.0</v>
      </c>
      <c r="AZ64" s="65">
        <v>0.0</v>
      </c>
      <c r="BA64" s="65">
        <v>0.3211813888888887</v>
      </c>
      <c r="BB64" s="65">
        <v>3.740576666666668</v>
      </c>
      <c r="BC64" s="65">
        <v>0.4630216666666664</v>
      </c>
      <c r="BD64" s="65">
        <v>0.0</v>
      </c>
      <c r="BE64" s="65">
        <v>0.0</v>
      </c>
    </row>
    <row r="65">
      <c r="A65" s="65" t="s">
        <v>353</v>
      </c>
      <c r="B65" s="65">
        <v>0.0</v>
      </c>
      <c r="C65" s="65">
        <v>34.5097022222224</v>
      </c>
      <c r="D65" s="65">
        <v>0.0</v>
      </c>
      <c r="E65" s="65">
        <v>0.0</v>
      </c>
      <c r="F65" s="65">
        <v>0.3289777777777777</v>
      </c>
      <c r="G65" s="65">
        <v>0.0</v>
      </c>
      <c r="H65" s="65">
        <v>0.0</v>
      </c>
      <c r="I65" s="65">
        <v>0.0</v>
      </c>
      <c r="J65" s="65">
        <v>0.0</v>
      </c>
      <c r="K65" s="65">
        <v>39.44041944444441</v>
      </c>
      <c r="L65" s="65">
        <v>0.2622819444444444</v>
      </c>
      <c r="M65" s="65">
        <v>0.0</v>
      </c>
      <c r="N65" s="65">
        <v>0.0</v>
      </c>
      <c r="O65" s="65">
        <v>0.0</v>
      </c>
      <c r="P65" s="65">
        <v>0.0</v>
      </c>
      <c r="Q65" s="65">
        <v>0.0</v>
      </c>
      <c r="R65" s="65">
        <v>0.0</v>
      </c>
      <c r="S65" s="65">
        <v>0.0</v>
      </c>
      <c r="T65" s="65">
        <v>0.0</v>
      </c>
      <c r="U65" s="65">
        <v>0.0</v>
      </c>
      <c r="V65" s="65">
        <v>0.0</v>
      </c>
      <c r="W65" s="65">
        <v>0.0</v>
      </c>
      <c r="X65" s="65">
        <v>0.0</v>
      </c>
      <c r="Y65" s="65">
        <v>0.0</v>
      </c>
      <c r="Z65" s="65">
        <v>0.0</v>
      </c>
      <c r="AA65" s="65">
        <v>0.0</v>
      </c>
      <c r="AB65" s="65">
        <v>0.0</v>
      </c>
      <c r="AC65" s="65">
        <v>0.0</v>
      </c>
      <c r="AD65" s="65">
        <v>0.0</v>
      </c>
      <c r="AE65" s="65">
        <v>0.0</v>
      </c>
      <c r="AF65" s="65">
        <v>0.0</v>
      </c>
      <c r="AG65" s="65">
        <v>0.0</v>
      </c>
      <c r="AH65" s="65">
        <v>0.0</v>
      </c>
      <c r="AI65" s="65">
        <v>0.0</v>
      </c>
      <c r="AJ65" s="65">
        <v>0.0</v>
      </c>
      <c r="AK65" s="65">
        <v>0.0</v>
      </c>
      <c r="AL65" s="65">
        <v>0.0</v>
      </c>
      <c r="AM65" s="65">
        <v>0.0</v>
      </c>
      <c r="AN65" s="65">
        <v>0.0</v>
      </c>
      <c r="AO65" s="65">
        <v>0.0</v>
      </c>
      <c r="AP65" s="65">
        <v>0.0</v>
      </c>
      <c r="AQ65" s="65">
        <v>0.0</v>
      </c>
      <c r="AR65" s="65">
        <v>0.0</v>
      </c>
      <c r="AS65" s="65">
        <v>0.0</v>
      </c>
      <c r="AT65" s="65">
        <v>0.0</v>
      </c>
      <c r="AU65" s="65">
        <v>0.0</v>
      </c>
      <c r="AV65" s="65">
        <v>0.0</v>
      </c>
      <c r="AW65" s="65">
        <v>0.0</v>
      </c>
      <c r="AX65" s="65">
        <v>0.0</v>
      </c>
      <c r="AY65" s="65">
        <v>0.0</v>
      </c>
      <c r="AZ65" s="65">
        <v>0.0</v>
      </c>
      <c r="BA65" s="65">
        <v>0.051329166666666676</v>
      </c>
      <c r="BB65" s="65">
        <v>0.22298333333333328</v>
      </c>
      <c r="BC65" s="65">
        <v>0.0</v>
      </c>
      <c r="BD65" s="65">
        <v>0.0</v>
      </c>
      <c r="BE65" s="65">
        <v>0.0</v>
      </c>
    </row>
    <row r="66">
      <c r="A66" s="65" t="s">
        <v>354</v>
      </c>
      <c r="B66" s="65">
        <v>0.0</v>
      </c>
      <c r="C66" s="65">
        <v>80.48090499999955</v>
      </c>
      <c r="D66" s="65">
        <v>0.0</v>
      </c>
      <c r="E66" s="65">
        <v>0.0</v>
      </c>
      <c r="F66" s="65">
        <v>0.4199916666666666</v>
      </c>
      <c r="G66" s="65">
        <v>0.0</v>
      </c>
      <c r="H66" s="65">
        <v>0.0</v>
      </c>
      <c r="I66" s="65">
        <v>0.0</v>
      </c>
      <c r="J66" s="65">
        <v>0.09026333333333335</v>
      </c>
      <c r="K66" s="65">
        <v>0.0</v>
      </c>
      <c r="L66" s="65">
        <v>0.0</v>
      </c>
      <c r="M66" s="65">
        <v>0.0</v>
      </c>
      <c r="N66" s="65">
        <v>0.0</v>
      </c>
      <c r="O66" s="65">
        <v>0.0</v>
      </c>
      <c r="P66" s="65">
        <v>0.0</v>
      </c>
      <c r="Q66" s="65">
        <v>0.0</v>
      </c>
      <c r="R66" s="65">
        <v>0.0</v>
      </c>
      <c r="S66" s="65">
        <v>0.0</v>
      </c>
      <c r="T66" s="65">
        <v>0.0</v>
      </c>
      <c r="U66" s="65">
        <v>0.0</v>
      </c>
      <c r="V66" s="65">
        <v>0.0</v>
      </c>
      <c r="W66" s="65">
        <v>0.0</v>
      </c>
      <c r="X66" s="65">
        <v>0.0</v>
      </c>
      <c r="Y66" s="65">
        <v>0.0</v>
      </c>
      <c r="Z66" s="65">
        <v>0.0</v>
      </c>
      <c r="AA66" s="65">
        <v>0.0</v>
      </c>
      <c r="AB66" s="65">
        <v>0.0</v>
      </c>
      <c r="AC66" s="65">
        <v>0.0</v>
      </c>
      <c r="AD66" s="65">
        <v>0.0</v>
      </c>
      <c r="AE66" s="65">
        <v>0.0</v>
      </c>
      <c r="AF66" s="65">
        <v>0.0</v>
      </c>
      <c r="AG66" s="65">
        <v>0.0</v>
      </c>
      <c r="AH66" s="65">
        <v>0.0</v>
      </c>
      <c r="AI66" s="65">
        <v>0.0</v>
      </c>
      <c r="AJ66" s="65">
        <v>0.0</v>
      </c>
      <c r="AK66" s="65">
        <v>0.0</v>
      </c>
      <c r="AL66" s="65">
        <v>0.0</v>
      </c>
      <c r="AM66" s="65">
        <v>0.0</v>
      </c>
      <c r="AN66" s="65">
        <v>0.0</v>
      </c>
      <c r="AO66" s="65">
        <v>0.0</v>
      </c>
      <c r="AP66" s="65">
        <v>0.0</v>
      </c>
      <c r="AQ66" s="65">
        <v>0.0</v>
      </c>
      <c r="AR66" s="65">
        <v>0.0</v>
      </c>
      <c r="AS66" s="65">
        <v>0.0</v>
      </c>
      <c r="AT66" s="65">
        <v>0.0</v>
      </c>
      <c r="AU66" s="65">
        <v>0.0</v>
      </c>
      <c r="AV66" s="65">
        <v>0.0</v>
      </c>
      <c r="AW66" s="65">
        <v>0.0</v>
      </c>
      <c r="AX66" s="65">
        <v>0.0</v>
      </c>
      <c r="AY66" s="65">
        <v>0.0</v>
      </c>
      <c r="AZ66" s="65">
        <v>0.0</v>
      </c>
      <c r="BA66" s="65">
        <v>0.0</v>
      </c>
      <c r="BB66" s="65">
        <v>2.6203138888888873</v>
      </c>
      <c r="BC66" s="65">
        <v>0.0</v>
      </c>
      <c r="BD66" s="65">
        <v>0.0</v>
      </c>
      <c r="BE66" s="65">
        <v>0.0</v>
      </c>
    </row>
    <row r="67">
      <c r="A67" s="65" t="s">
        <v>355</v>
      </c>
      <c r="B67" s="65">
        <v>0.0</v>
      </c>
      <c r="C67" s="65">
        <v>46.884137777777795</v>
      </c>
      <c r="D67" s="65">
        <v>0.23577166666666668</v>
      </c>
      <c r="E67" s="65">
        <v>0.2647283333333333</v>
      </c>
      <c r="F67" s="65">
        <v>0.3692083333333331</v>
      </c>
      <c r="G67" s="65">
        <v>0.18767777777777778</v>
      </c>
      <c r="H67" s="65">
        <v>0.0</v>
      </c>
      <c r="I67" s="65">
        <v>0.0</v>
      </c>
      <c r="J67" s="65">
        <v>0.0</v>
      </c>
      <c r="K67" s="65">
        <v>18.873448055555617</v>
      </c>
      <c r="L67" s="65">
        <v>0.0</v>
      </c>
      <c r="M67" s="65">
        <v>0.0</v>
      </c>
      <c r="N67" s="65">
        <v>0.0</v>
      </c>
      <c r="O67" s="65">
        <v>0.0</v>
      </c>
      <c r="P67" s="65">
        <v>0.0</v>
      </c>
      <c r="Q67" s="65">
        <v>0.0</v>
      </c>
      <c r="R67" s="65">
        <v>0.0</v>
      </c>
      <c r="S67" s="65">
        <v>0.0</v>
      </c>
      <c r="T67" s="65">
        <v>0.2508952777777778</v>
      </c>
      <c r="U67" s="65">
        <v>0.0</v>
      </c>
      <c r="V67" s="65">
        <v>0.0</v>
      </c>
      <c r="W67" s="65">
        <v>0.0</v>
      </c>
      <c r="X67" s="65">
        <v>0.0</v>
      </c>
      <c r="Y67" s="65">
        <v>0.0</v>
      </c>
      <c r="Z67" s="65">
        <v>0.0</v>
      </c>
      <c r="AA67" s="65">
        <v>0.0</v>
      </c>
      <c r="AB67" s="65">
        <v>0.0</v>
      </c>
      <c r="AC67" s="65">
        <v>0.0</v>
      </c>
      <c r="AD67" s="65">
        <v>0.0</v>
      </c>
      <c r="AE67" s="65">
        <v>0.0</v>
      </c>
      <c r="AF67" s="65">
        <v>0.0</v>
      </c>
      <c r="AG67" s="65">
        <v>0.0</v>
      </c>
      <c r="AH67" s="65">
        <v>0.0</v>
      </c>
      <c r="AI67" s="65">
        <v>0.0</v>
      </c>
      <c r="AJ67" s="65">
        <v>0.0</v>
      </c>
      <c r="AK67" s="65">
        <v>0.0</v>
      </c>
      <c r="AL67" s="65">
        <v>0.0</v>
      </c>
      <c r="AM67" s="65">
        <v>0.0</v>
      </c>
      <c r="AN67" s="65">
        <v>0.0</v>
      </c>
      <c r="AO67" s="65">
        <v>0.0</v>
      </c>
      <c r="AP67" s="65">
        <v>0.0</v>
      </c>
      <c r="AQ67" s="65">
        <v>0.0</v>
      </c>
      <c r="AR67" s="65">
        <v>0.0</v>
      </c>
      <c r="AS67" s="65">
        <v>0.0</v>
      </c>
      <c r="AT67" s="65">
        <v>0.0</v>
      </c>
      <c r="AU67" s="65">
        <v>0.0</v>
      </c>
      <c r="AV67" s="65">
        <v>0.0</v>
      </c>
      <c r="AW67" s="65">
        <v>0.0</v>
      </c>
      <c r="AX67" s="65">
        <v>0.0</v>
      </c>
      <c r="AY67" s="65">
        <v>0.0</v>
      </c>
      <c r="AZ67" s="65">
        <v>0.0</v>
      </c>
      <c r="BA67" s="65">
        <v>0.30777444444444435</v>
      </c>
      <c r="BB67" s="65">
        <v>0.2762919444444444</v>
      </c>
      <c r="BC67" s="65">
        <v>0.0</v>
      </c>
      <c r="BD67" s="65">
        <v>0.0</v>
      </c>
      <c r="BE67" s="65">
        <v>0.0</v>
      </c>
    </row>
    <row r="68">
      <c r="A68" s="65" t="s">
        <v>356</v>
      </c>
      <c r="B68" s="65">
        <v>0.0</v>
      </c>
      <c r="C68" s="65">
        <v>37.663893333333476</v>
      </c>
      <c r="D68" s="65">
        <v>0.0</v>
      </c>
      <c r="E68" s="65">
        <v>0.0</v>
      </c>
      <c r="F68" s="65">
        <v>1.0392625000000004</v>
      </c>
      <c r="G68" s="65">
        <v>0.6736741666666665</v>
      </c>
      <c r="H68" s="65">
        <v>0.0</v>
      </c>
      <c r="I68" s="65">
        <v>0.0</v>
      </c>
      <c r="J68" s="65">
        <v>0.0</v>
      </c>
      <c r="K68" s="65">
        <v>35.54495111111091</v>
      </c>
      <c r="L68" s="65">
        <v>0.0</v>
      </c>
      <c r="M68" s="65">
        <v>0.0</v>
      </c>
      <c r="N68" s="65">
        <v>0.0</v>
      </c>
      <c r="O68" s="65">
        <v>0.0</v>
      </c>
      <c r="P68" s="65">
        <v>0.0</v>
      </c>
      <c r="Q68" s="65">
        <v>0.0</v>
      </c>
      <c r="R68" s="65">
        <v>0.0</v>
      </c>
      <c r="S68" s="65">
        <v>0.0</v>
      </c>
      <c r="T68" s="65">
        <v>0.0</v>
      </c>
      <c r="U68" s="65">
        <v>0.0</v>
      </c>
      <c r="V68" s="65">
        <v>0.0</v>
      </c>
      <c r="W68" s="65">
        <v>0.0</v>
      </c>
      <c r="X68" s="65">
        <v>0.0</v>
      </c>
      <c r="Y68" s="65">
        <v>0.0</v>
      </c>
      <c r="Z68" s="65">
        <v>0.0</v>
      </c>
      <c r="AA68" s="65">
        <v>0.0</v>
      </c>
      <c r="AB68" s="65">
        <v>0.0</v>
      </c>
      <c r="AC68" s="65">
        <v>0.0</v>
      </c>
      <c r="AD68" s="65">
        <v>0.0</v>
      </c>
      <c r="AE68" s="65">
        <v>0.0</v>
      </c>
      <c r="AF68" s="65">
        <v>0.0</v>
      </c>
      <c r="AG68" s="65">
        <v>0.0</v>
      </c>
      <c r="AH68" s="65">
        <v>0.0</v>
      </c>
      <c r="AI68" s="65">
        <v>0.0</v>
      </c>
      <c r="AJ68" s="65">
        <v>0.0</v>
      </c>
      <c r="AK68" s="65">
        <v>0.0</v>
      </c>
      <c r="AL68" s="65">
        <v>0.0</v>
      </c>
      <c r="AM68" s="65">
        <v>0.0</v>
      </c>
      <c r="AN68" s="65">
        <v>0.0</v>
      </c>
      <c r="AO68" s="65">
        <v>0.0</v>
      </c>
      <c r="AP68" s="65">
        <v>0.0</v>
      </c>
      <c r="AQ68" s="65">
        <v>0.0</v>
      </c>
      <c r="AR68" s="65">
        <v>0.0</v>
      </c>
      <c r="AS68" s="65">
        <v>0.0</v>
      </c>
      <c r="AT68" s="65">
        <v>0.0</v>
      </c>
      <c r="AU68" s="65">
        <v>0.0</v>
      </c>
      <c r="AV68" s="65">
        <v>0.0</v>
      </c>
      <c r="AW68" s="65">
        <v>0.0</v>
      </c>
      <c r="AX68" s="65">
        <v>0.0</v>
      </c>
      <c r="AY68" s="65">
        <v>0.0</v>
      </c>
      <c r="AZ68" s="65">
        <v>0.0</v>
      </c>
      <c r="BA68" s="65">
        <v>0.0</v>
      </c>
      <c r="BB68" s="65">
        <v>0.7550463888888886</v>
      </c>
      <c r="BC68" s="65">
        <v>0.0</v>
      </c>
      <c r="BD68" s="65">
        <v>0.0</v>
      </c>
      <c r="BE68" s="65">
        <v>0.0</v>
      </c>
    </row>
    <row r="69">
      <c r="A69" s="65" t="s">
        <v>357</v>
      </c>
      <c r="B69" s="65">
        <v>0.0</v>
      </c>
      <c r="C69" s="65">
        <v>89.09961694444446</v>
      </c>
      <c r="D69" s="65">
        <v>0.04930749999999999</v>
      </c>
      <c r="E69" s="65">
        <v>0.0</v>
      </c>
      <c r="F69" s="65">
        <v>0.5802522222222221</v>
      </c>
      <c r="G69" s="65">
        <v>0.12672083333333337</v>
      </c>
      <c r="H69" s="65">
        <v>0.0</v>
      </c>
      <c r="I69" s="65">
        <v>0.0</v>
      </c>
      <c r="J69" s="65">
        <v>0.0</v>
      </c>
      <c r="K69" s="65">
        <v>0.0</v>
      </c>
      <c r="L69" s="65">
        <v>0.0</v>
      </c>
      <c r="M69" s="65">
        <v>0.0</v>
      </c>
      <c r="N69" s="65">
        <v>0.0</v>
      </c>
      <c r="O69" s="65">
        <v>0.0</v>
      </c>
      <c r="P69" s="65">
        <v>0.0</v>
      </c>
      <c r="Q69" s="65">
        <v>0.0</v>
      </c>
      <c r="R69" s="65">
        <v>0.0</v>
      </c>
      <c r="S69" s="65">
        <v>0.0</v>
      </c>
      <c r="T69" s="65">
        <v>0.0</v>
      </c>
      <c r="U69" s="65">
        <v>0.0</v>
      </c>
      <c r="V69" s="65">
        <v>0.0</v>
      </c>
      <c r="W69" s="65">
        <v>0.0</v>
      </c>
      <c r="X69" s="65">
        <v>0.0</v>
      </c>
      <c r="Y69" s="65">
        <v>0.0</v>
      </c>
      <c r="Z69" s="65">
        <v>0.0</v>
      </c>
      <c r="AA69" s="65">
        <v>0.0</v>
      </c>
      <c r="AB69" s="65">
        <v>0.0</v>
      </c>
      <c r="AC69" s="65">
        <v>0.0</v>
      </c>
      <c r="AD69" s="65">
        <v>0.0</v>
      </c>
      <c r="AE69" s="65">
        <v>0.0</v>
      </c>
      <c r="AF69" s="65">
        <v>0.0</v>
      </c>
      <c r="AG69" s="65">
        <v>0.0</v>
      </c>
      <c r="AH69" s="65">
        <v>0.0</v>
      </c>
      <c r="AI69" s="65">
        <v>0.0</v>
      </c>
      <c r="AJ69" s="65">
        <v>0.0</v>
      </c>
      <c r="AK69" s="65">
        <v>0.0</v>
      </c>
      <c r="AL69" s="65">
        <v>0.0</v>
      </c>
      <c r="AM69" s="65">
        <v>0.0</v>
      </c>
      <c r="AN69" s="65">
        <v>0.0</v>
      </c>
      <c r="AO69" s="65">
        <v>0.7622813888888889</v>
      </c>
      <c r="AP69" s="65">
        <v>0.0</v>
      </c>
      <c r="AQ69" s="65">
        <v>0.0</v>
      </c>
      <c r="AR69" s="65">
        <v>0.0</v>
      </c>
      <c r="AS69" s="65">
        <v>0.0</v>
      </c>
      <c r="AT69" s="65">
        <v>0.0</v>
      </c>
      <c r="AU69" s="65">
        <v>0.0</v>
      </c>
      <c r="AV69" s="65">
        <v>0.0</v>
      </c>
      <c r="AW69" s="65">
        <v>0.0</v>
      </c>
      <c r="AX69" s="65">
        <v>0.0</v>
      </c>
      <c r="AY69" s="65">
        <v>0.0</v>
      </c>
      <c r="AZ69" s="65">
        <v>0.0</v>
      </c>
      <c r="BA69" s="65">
        <v>0.058718333333333345</v>
      </c>
      <c r="BB69" s="65">
        <v>1.5620413888888889</v>
      </c>
      <c r="BC69" s="65">
        <v>0.0</v>
      </c>
      <c r="BD69" s="65">
        <v>0.0</v>
      </c>
      <c r="BE69" s="65">
        <v>0.0</v>
      </c>
    </row>
    <row r="70">
      <c r="A70" s="65" t="s">
        <v>358</v>
      </c>
      <c r="B70" s="65">
        <v>0.0</v>
      </c>
      <c r="C70" s="65">
        <v>104.51625500000006</v>
      </c>
      <c r="D70" s="65">
        <v>0.0</v>
      </c>
      <c r="E70" s="65">
        <v>0.0</v>
      </c>
      <c r="F70" s="65">
        <v>0.6011988888888892</v>
      </c>
      <c r="G70" s="65">
        <v>0.0</v>
      </c>
      <c r="H70" s="65">
        <v>0.0</v>
      </c>
      <c r="I70" s="65">
        <v>0.0</v>
      </c>
      <c r="J70" s="65">
        <v>0.0</v>
      </c>
      <c r="K70" s="65">
        <v>0.0</v>
      </c>
      <c r="L70" s="65">
        <v>0.0</v>
      </c>
      <c r="M70" s="65">
        <v>0.0</v>
      </c>
      <c r="N70" s="65">
        <v>0.0</v>
      </c>
      <c r="O70" s="65">
        <v>0.0</v>
      </c>
      <c r="P70" s="65">
        <v>0.0</v>
      </c>
      <c r="Q70" s="65">
        <v>0.0</v>
      </c>
      <c r="R70" s="65">
        <v>0.0</v>
      </c>
      <c r="S70" s="65">
        <v>0.0</v>
      </c>
      <c r="T70" s="65">
        <v>0.0</v>
      </c>
      <c r="U70" s="65">
        <v>0.0</v>
      </c>
      <c r="V70" s="65">
        <v>0.0</v>
      </c>
      <c r="W70" s="65">
        <v>0.0</v>
      </c>
      <c r="X70" s="65">
        <v>0.0</v>
      </c>
      <c r="Y70" s="65">
        <v>0.0</v>
      </c>
      <c r="Z70" s="65">
        <v>0.0</v>
      </c>
      <c r="AA70" s="65">
        <v>0.0</v>
      </c>
      <c r="AB70" s="65">
        <v>0.0</v>
      </c>
      <c r="AC70" s="65">
        <v>0.0</v>
      </c>
      <c r="AD70" s="65">
        <v>0.0</v>
      </c>
      <c r="AE70" s="65">
        <v>0.0</v>
      </c>
      <c r="AF70" s="65">
        <v>0.0</v>
      </c>
      <c r="AG70" s="65">
        <v>0.0</v>
      </c>
      <c r="AH70" s="65">
        <v>0.0</v>
      </c>
      <c r="AI70" s="65">
        <v>0.0</v>
      </c>
      <c r="AJ70" s="65">
        <v>0.0</v>
      </c>
      <c r="AK70" s="65">
        <v>0.0</v>
      </c>
      <c r="AL70" s="65">
        <v>0.0</v>
      </c>
      <c r="AM70" s="65">
        <v>0.0</v>
      </c>
      <c r="AN70" s="65">
        <v>0.0</v>
      </c>
      <c r="AO70" s="65">
        <v>2.3101266666666667</v>
      </c>
      <c r="AP70" s="65">
        <v>0.0</v>
      </c>
      <c r="AQ70" s="65">
        <v>0.0</v>
      </c>
      <c r="AR70" s="65">
        <v>0.0</v>
      </c>
      <c r="AS70" s="65">
        <v>0.0</v>
      </c>
      <c r="AT70" s="65">
        <v>0.08542027777777778</v>
      </c>
      <c r="AU70" s="65">
        <v>0.0</v>
      </c>
      <c r="AV70" s="65">
        <v>0.0</v>
      </c>
      <c r="AW70" s="65">
        <v>0.0</v>
      </c>
      <c r="AX70" s="65">
        <v>0.0</v>
      </c>
      <c r="AY70" s="65">
        <v>0.0</v>
      </c>
      <c r="AZ70" s="65">
        <v>0.0</v>
      </c>
      <c r="BA70" s="65">
        <v>0.15656722222222227</v>
      </c>
      <c r="BB70" s="65">
        <v>1.019102777777776</v>
      </c>
      <c r="BC70" s="65">
        <v>0.0</v>
      </c>
      <c r="BD70" s="65">
        <v>0.18098750000000005</v>
      </c>
      <c r="BE70" s="65">
        <v>0.0</v>
      </c>
    </row>
    <row r="71">
      <c r="A71" s="65" t="s">
        <v>359</v>
      </c>
      <c r="B71" s="65">
        <v>0.0</v>
      </c>
      <c r="C71" s="65">
        <v>75.8601744444449</v>
      </c>
      <c r="D71" s="65">
        <v>0.0</v>
      </c>
      <c r="E71" s="65">
        <v>0.0</v>
      </c>
      <c r="F71" s="65">
        <v>0.5663766666666663</v>
      </c>
      <c r="G71" s="65">
        <v>0.0</v>
      </c>
      <c r="H71" s="65">
        <v>0.0</v>
      </c>
      <c r="I71" s="65">
        <v>0.0</v>
      </c>
      <c r="J71" s="65">
        <v>0.12119972222222222</v>
      </c>
      <c r="K71" s="65">
        <v>0.0</v>
      </c>
      <c r="L71" s="65">
        <v>0.0</v>
      </c>
      <c r="M71" s="65">
        <v>0.0</v>
      </c>
      <c r="N71" s="65">
        <v>0.0</v>
      </c>
      <c r="O71" s="65">
        <v>0.0</v>
      </c>
      <c r="P71" s="65">
        <v>0.0</v>
      </c>
      <c r="Q71" s="65">
        <v>0.0</v>
      </c>
      <c r="R71" s="65">
        <v>0.0</v>
      </c>
      <c r="S71" s="65">
        <v>0.0</v>
      </c>
      <c r="T71" s="65">
        <v>0.0</v>
      </c>
      <c r="U71" s="65">
        <v>0.0</v>
      </c>
      <c r="V71" s="65">
        <v>0.0</v>
      </c>
      <c r="W71" s="65">
        <v>0.0</v>
      </c>
      <c r="X71" s="65">
        <v>0.0</v>
      </c>
      <c r="Y71" s="65">
        <v>0.0</v>
      </c>
      <c r="Z71" s="65">
        <v>0.0</v>
      </c>
      <c r="AA71" s="65">
        <v>0.0</v>
      </c>
      <c r="AB71" s="65">
        <v>0.0</v>
      </c>
      <c r="AC71" s="65">
        <v>0.0</v>
      </c>
      <c r="AD71" s="65">
        <v>0.0</v>
      </c>
      <c r="AE71" s="65">
        <v>0.0</v>
      </c>
      <c r="AF71" s="65">
        <v>0.0</v>
      </c>
      <c r="AG71" s="65">
        <v>0.0</v>
      </c>
      <c r="AH71" s="65">
        <v>0.0</v>
      </c>
      <c r="AI71" s="65">
        <v>0.0</v>
      </c>
      <c r="AJ71" s="65">
        <v>0.0</v>
      </c>
      <c r="AK71" s="65">
        <v>0.0</v>
      </c>
      <c r="AL71" s="65">
        <v>0.0</v>
      </c>
      <c r="AM71" s="65">
        <v>0.0</v>
      </c>
      <c r="AN71" s="65">
        <v>0.0</v>
      </c>
      <c r="AO71" s="65">
        <v>0.0</v>
      </c>
      <c r="AP71" s="65">
        <v>0.0</v>
      </c>
      <c r="AQ71" s="65">
        <v>0.0</v>
      </c>
      <c r="AR71" s="65">
        <v>0.0</v>
      </c>
      <c r="AS71" s="65">
        <v>0.0</v>
      </c>
      <c r="AT71" s="65">
        <v>0.0</v>
      </c>
      <c r="AU71" s="65">
        <v>0.0</v>
      </c>
      <c r="AV71" s="65">
        <v>0.0</v>
      </c>
      <c r="AW71" s="65">
        <v>0.0</v>
      </c>
      <c r="AX71" s="65">
        <v>0.0</v>
      </c>
      <c r="AY71" s="65">
        <v>0.0</v>
      </c>
      <c r="AZ71" s="65">
        <v>0.0</v>
      </c>
      <c r="BA71" s="65">
        <v>0.0</v>
      </c>
      <c r="BB71" s="65">
        <v>1.7310138888888877</v>
      </c>
      <c r="BC71" s="65">
        <v>0.0</v>
      </c>
      <c r="BD71" s="65">
        <v>0.0</v>
      </c>
      <c r="BE71" s="65">
        <v>0.0</v>
      </c>
    </row>
    <row r="72">
      <c r="A72" s="65" t="s">
        <v>360</v>
      </c>
      <c r="B72" s="65">
        <v>0.0</v>
      </c>
      <c r="C72" s="65">
        <v>72.97531027777782</v>
      </c>
      <c r="D72" s="65">
        <v>0.0</v>
      </c>
      <c r="E72" s="65">
        <v>0.0</v>
      </c>
      <c r="F72" s="65">
        <v>0.9643747222222223</v>
      </c>
      <c r="G72" s="65">
        <v>0.0</v>
      </c>
      <c r="H72" s="65">
        <v>0.1035091666666667</v>
      </c>
      <c r="I72" s="65">
        <v>0.0</v>
      </c>
      <c r="J72" s="65">
        <v>0.0</v>
      </c>
      <c r="K72" s="65">
        <v>0.0</v>
      </c>
      <c r="L72" s="65">
        <v>0.0</v>
      </c>
      <c r="M72" s="65">
        <v>0.0</v>
      </c>
      <c r="N72" s="65">
        <v>0.0</v>
      </c>
      <c r="O72" s="65">
        <v>0.0</v>
      </c>
      <c r="P72" s="65">
        <v>0.0</v>
      </c>
      <c r="Q72" s="65">
        <v>0.0</v>
      </c>
      <c r="R72" s="65">
        <v>0.0</v>
      </c>
      <c r="S72" s="65">
        <v>0.0</v>
      </c>
      <c r="T72" s="65">
        <v>0.0</v>
      </c>
      <c r="U72" s="65">
        <v>0.0</v>
      </c>
      <c r="V72" s="65">
        <v>0.0</v>
      </c>
      <c r="W72" s="65">
        <v>0.0</v>
      </c>
      <c r="X72" s="65">
        <v>0.0</v>
      </c>
      <c r="Y72" s="65">
        <v>0.0</v>
      </c>
      <c r="Z72" s="65">
        <v>0.0</v>
      </c>
      <c r="AA72" s="65">
        <v>0.0</v>
      </c>
      <c r="AB72" s="65">
        <v>0.0</v>
      </c>
      <c r="AC72" s="65">
        <v>0.0</v>
      </c>
      <c r="AD72" s="65">
        <v>0.0</v>
      </c>
      <c r="AE72" s="65">
        <v>0.0</v>
      </c>
      <c r="AF72" s="65">
        <v>0.0</v>
      </c>
      <c r="AG72" s="65">
        <v>0.0</v>
      </c>
      <c r="AH72" s="65">
        <v>0.0</v>
      </c>
      <c r="AI72" s="65">
        <v>0.0</v>
      </c>
      <c r="AJ72" s="65">
        <v>0.0</v>
      </c>
      <c r="AK72" s="65">
        <v>0.0</v>
      </c>
      <c r="AL72" s="65">
        <v>0.0</v>
      </c>
      <c r="AM72" s="65">
        <v>0.0</v>
      </c>
      <c r="AN72" s="65">
        <v>0.0</v>
      </c>
      <c r="AO72" s="65">
        <v>0.0</v>
      </c>
      <c r="AP72" s="65">
        <v>0.0</v>
      </c>
      <c r="AQ72" s="65">
        <v>0.0</v>
      </c>
      <c r="AR72" s="65">
        <v>0.0</v>
      </c>
      <c r="AS72" s="65">
        <v>0.0</v>
      </c>
      <c r="AT72" s="65">
        <v>0.0</v>
      </c>
      <c r="AU72" s="65">
        <v>0.0</v>
      </c>
      <c r="AV72" s="65">
        <v>0.0</v>
      </c>
      <c r="AW72" s="65">
        <v>0.0</v>
      </c>
      <c r="AX72" s="65">
        <v>0.0</v>
      </c>
      <c r="AY72" s="65">
        <v>0.0</v>
      </c>
      <c r="AZ72" s="65">
        <v>0.0</v>
      </c>
      <c r="BA72" s="65">
        <v>0.11045555555555553</v>
      </c>
      <c r="BB72" s="65">
        <v>3.6131355555555578</v>
      </c>
      <c r="BC72" s="65">
        <v>0.0</v>
      </c>
      <c r="BD72" s="65">
        <v>0.0</v>
      </c>
      <c r="BE72" s="65">
        <v>0.0</v>
      </c>
    </row>
    <row r="73">
      <c r="A73" s="65" t="s">
        <v>361</v>
      </c>
      <c r="B73" s="65">
        <v>0.0</v>
      </c>
      <c r="C73" s="65">
        <v>57.60441777777787</v>
      </c>
      <c r="D73" s="65">
        <v>0.0</v>
      </c>
      <c r="E73" s="65">
        <v>0.0</v>
      </c>
      <c r="F73" s="65">
        <v>0.5938097222222226</v>
      </c>
      <c r="G73" s="65">
        <v>0.2149527777777777</v>
      </c>
      <c r="H73" s="65">
        <v>0.0</v>
      </c>
      <c r="I73" s="65">
        <v>0.0</v>
      </c>
      <c r="J73" s="65">
        <v>0.0</v>
      </c>
      <c r="K73" s="65">
        <v>9.95118805555554</v>
      </c>
      <c r="L73" s="65">
        <v>0.0</v>
      </c>
      <c r="M73" s="65">
        <v>0.0</v>
      </c>
      <c r="N73" s="65">
        <v>0.0</v>
      </c>
      <c r="O73" s="65">
        <v>0.0</v>
      </c>
      <c r="P73" s="65">
        <v>0.0</v>
      </c>
      <c r="Q73" s="65">
        <v>0.0</v>
      </c>
      <c r="R73" s="65">
        <v>0.0</v>
      </c>
      <c r="S73" s="65">
        <v>0.0</v>
      </c>
      <c r="T73" s="65">
        <v>0.0</v>
      </c>
      <c r="U73" s="65">
        <v>0.0</v>
      </c>
      <c r="V73" s="65">
        <v>0.0</v>
      </c>
      <c r="W73" s="65">
        <v>0.0</v>
      </c>
      <c r="X73" s="65">
        <v>0.0</v>
      </c>
      <c r="Y73" s="65">
        <v>0.0</v>
      </c>
      <c r="Z73" s="65">
        <v>0.0</v>
      </c>
      <c r="AA73" s="65">
        <v>0.0</v>
      </c>
      <c r="AB73" s="65">
        <v>0.0</v>
      </c>
      <c r="AC73" s="65">
        <v>0.0</v>
      </c>
      <c r="AD73" s="65">
        <v>0.0</v>
      </c>
      <c r="AE73" s="65">
        <v>0.0</v>
      </c>
      <c r="AF73" s="65">
        <v>0.0</v>
      </c>
      <c r="AG73" s="65">
        <v>0.0</v>
      </c>
      <c r="AH73" s="65">
        <v>0.0</v>
      </c>
      <c r="AI73" s="65">
        <v>0.0</v>
      </c>
      <c r="AJ73" s="65">
        <v>0.0</v>
      </c>
      <c r="AK73" s="65">
        <v>0.0</v>
      </c>
      <c r="AL73" s="65">
        <v>0.0</v>
      </c>
      <c r="AM73" s="65">
        <v>0.0</v>
      </c>
      <c r="AN73" s="65">
        <v>0.0</v>
      </c>
      <c r="AO73" s="65">
        <v>0.0</v>
      </c>
      <c r="AP73" s="65">
        <v>0.0</v>
      </c>
      <c r="AQ73" s="65">
        <v>0.0</v>
      </c>
      <c r="AR73" s="65">
        <v>0.0</v>
      </c>
      <c r="AS73" s="65">
        <v>0.0</v>
      </c>
      <c r="AT73" s="65">
        <v>0.0</v>
      </c>
      <c r="AU73" s="65">
        <v>0.0</v>
      </c>
      <c r="AV73" s="65">
        <v>0.0</v>
      </c>
      <c r="AW73" s="65">
        <v>0.0</v>
      </c>
      <c r="AX73" s="65">
        <v>0.0</v>
      </c>
      <c r="AY73" s="65">
        <v>0.0</v>
      </c>
      <c r="AZ73" s="65">
        <v>0.0</v>
      </c>
      <c r="BA73" s="65">
        <v>0.8371361111111122</v>
      </c>
      <c r="BB73" s="65">
        <v>0.32631944444444433</v>
      </c>
      <c r="BC73" s="65">
        <v>0.0</v>
      </c>
      <c r="BD73" s="65">
        <v>0.0</v>
      </c>
      <c r="BE73" s="65">
        <v>0.0</v>
      </c>
    </row>
    <row r="74">
      <c r="A74" s="65" t="s">
        <v>272</v>
      </c>
      <c r="B74" s="65">
        <v>0.0</v>
      </c>
      <c r="C74" s="65">
        <v>7.547479722222205</v>
      </c>
      <c r="D74" s="65">
        <v>0.0</v>
      </c>
      <c r="E74" s="65">
        <v>0.0</v>
      </c>
      <c r="F74" s="65">
        <v>0.0</v>
      </c>
      <c r="G74" s="65">
        <v>69.13965222222149</v>
      </c>
      <c r="H74" s="65">
        <v>0.0</v>
      </c>
      <c r="I74" s="65">
        <v>0.0</v>
      </c>
      <c r="J74" s="65">
        <v>0.0</v>
      </c>
      <c r="K74" s="65">
        <v>0.0</v>
      </c>
      <c r="L74" s="65">
        <v>0.0</v>
      </c>
      <c r="M74" s="65">
        <v>0.0</v>
      </c>
      <c r="N74" s="65">
        <v>0.0</v>
      </c>
      <c r="O74" s="65">
        <v>0.0</v>
      </c>
      <c r="P74" s="65">
        <v>0.0</v>
      </c>
      <c r="Q74" s="65">
        <v>0.0</v>
      </c>
      <c r="R74" s="65">
        <v>0.0</v>
      </c>
      <c r="S74" s="65">
        <v>0.0</v>
      </c>
      <c r="T74" s="65">
        <v>0.0</v>
      </c>
      <c r="U74" s="65">
        <v>0.0</v>
      </c>
      <c r="V74" s="65">
        <v>0.0</v>
      </c>
      <c r="W74" s="65">
        <v>0.0</v>
      </c>
      <c r="X74" s="65">
        <v>0.0</v>
      </c>
      <c r="Y74" s="65">
        <v>0.0</v>
      </c>
      <c r="Z74" s="65">
        <v>0.0</v>
      </c>
      <c r="AA74" s="65">
        <v>0.0</v>
      </c>
      <c r="AB74" s="65">
        <v>0.0</v>
      </c>
      <c r="AC74" s="65">
        <v>0.0</v>
      </c>
      <c r="AD74" s="65">
        <v>0.0</v>
      </c>
      <c r="AE74" s="65">
        <v>0.0</v>
      </c>
      <c r="AF74" s="65">
        <v>0.0</v>
      </c>
      <c r="AG74" s="65">
        <v>0.0</v>
      </c>
      <c r="AH74" s="65">
        <v>0.0</v>
      </c>
      <c r="AI74" s="65">
        <v>0.0</v>
      </c>
      <c r="AJ74" s="65">
        <v>0.0</v>
      </c>
      <c r="AK74" s="65">
        <v>0.0</v>
      </c>
      <c r="AL74" s="65">
        <v>0.0</v>
      </c>
      <c r="AM74" s="65">
        <v>0.0</v>
      </c>
      <c r="AN74" s="65">
        <v>0.0</v>
      </c>
      <c r="AO74" s="65">
        <v>0.0</v>
      </c>
      <c r="AP74" s="65">
        <v>0.0</v>
      </c>
      <c r="AQ74" s="65">
        <v>0.0</v>
      </c>
      <c r="AR74" s="65">
        <v>0.0</v>
      </c>
      <c r="AS74" s="65">
        <v>0.0</v>
      </c>
      <c r="AT74" s="65">
        <v>0.0</v>
      </c>
      <c r="AU74" s="65">
        <v>0.0</v>
      </c>
      <c r="AV74" s="65">
        <v>0.0</v>
      </c>
      <c r="AW74" s="65">
        <v>0.0</v>
      </c>
      <c r="AX74" s="65">
        <v>0.0</v>
      </c>
      <c r="AY74" s="65">
        <v>0.0</v>
      </c>
      <c r="AZ74" s="65">
        <v>0.0</v>
      </c>
      <c r="BA74" s="65">
        <v>0.0</v>
      </c>
      <c r="BB74" s="65">
        <v>0.0</v>
      </c>
      <c r="BC74" s="65">
        <v>0.0</v>
      </c>
      <c r="BD74" s="65">
        <v>0.0</v>
      </c>
      <c r="BE74" s="65">
        <v>0.0</v>
      </c>
    </row>
    <row r="75">
      <c r="A75" s="65" t="s">
        <v>273</v>
      </c>
      <c r="B75" s="65">
        <v>0.0</v>
      </c>
      <c r="C75" s="65">
        <v>5.683686666666663</v>
      </c>
      <c r="D75" s="65">
        <v>0.0</v>
      </c>
      <c r="E75" s="65">
        <v>0.0</v>
      </c>
      <c r="F75" s="65">
        <v>0.9610180555555544</v>
      </c>
      <c r="G75" s="65">
        <v>71.94094194444484</v>
      </c>
      <c r="H75" s="65">
        <v>0.0</v>
      </c>
      <c r="I75" s="65">
        <v>0.0</v>
      </c>
      <c r="J75" s="65">
        <v>0.0</v>
      </c>
      <c r="K75" s="65">
        <v>0.0</v>
      </c>
      <c r="L75" s="65">
        <v>0.0</v>
      </c>
      <c r="M75" s="65">
        <v>0.0</v>
      </c>
      <c r="N75" s="65">
        <v>0.0</v>
      </c>
      <c r="O75" s="65">
        <v>0.0</v>
      </c>
      <c r="P75" s="65">
        <v>0.0</v>
      </c>
      <c r="Q75" s="65">
        <v>0.0</v>
      </c>
      <c r="R75" s="65">
        <v>0.0</v>
      </c>
      <c r="S75" s="65">
        <v>0.0</v>
      </c>
      <c r="T75" s="65">
        <v>0.0</v>
      </c>
      <c r="U75" s="65">
        <v>0.0</v>
      </c>
      <c r="V75" s="65">
        <v>0.0</v>
      </c>
      <c r="W75" s="65">
        <v>0.0</v>
      </c>
      <c r="X75" s="65">
        <v>0.0</v>
      </c>
      <c r="Y75" s="65">
        <v>0.0</v>
      </c>
      <c r="Z75" s="65">
        <v>0.0</v>
      </c>
      <c r="AA75" s="65">
        <v>0.0</v>
      </c>
      <c r="AB75" s="65">
        <v>0.0</v>
      </c>
      <c r="AC75" s="65">
        <v>0.0</v>
      </c>
      <c r="AD75" s="65">
        <v>0.0</v>
      </c>
      <c r="AE75" s="65">
        <v>0.0</v>
      </c>
      <c r="AF75" s="65">
        <v>0.0</v>
      </c>
      <c r="AG75" s="65">
        <v>0.0</v>
      </c>
      <c r="AH75" s="65">
        <v>0.0</v>
      </c>
      <c r="AI75" s="65">
        <v>0.0</v>
      </c>
      <c r="AJ75" s="65">
        <v>0.0</v>
      </c>
      <c r="AK75" s="65">
        <v>0.0</v>
      </c>
      <c r="AL75" s="65">
        <v>0.0</v>
      </c>
      <c r="AM75" s="65">
        <v>0.0</v>
      </c>
      <c r="AN75" s="65">
        <v>0.0</v>
      </c>
      <c r="AO75" s="65">
        <v>0.0</v>
      </c>
      <c r="AP75" s="65">
        <v>0.0</v>
      </c>
      <c r="AQ75" s="65">
        <v>0.0</v>
      </c>
      <c r="AR75" s="65">
        <v>0.0</v>
      </c>
      <c r="AS75" s="65">
        <v>0.0</v>
      </c>
      <c r="AT75" s="65">
        <v>0.0</v>
      </c>
      <c r="AU75" s="65">
        <v>0.0</v>
      </c>
      <c r="AV75" s="65">
        <v>0.0</v>
      </c>
      <c r="AW75" s="65">
        <v>0.0</v>
      </c>
      <c r="AX75" s="65">
        <v>0.0</v>
      </c>
      <c r="AY75" s="65">
        <v>0.0</v>
      </c>
      <c r="AZ75" s="65">
        <v>0.0</v>
      </c>
      <c r="BA75" s="65">
        <v>0.0</v>
      </c>
      <c r="BB75" s="65">
        <v>0.0</v>
      </c>
      <c r="BC75" s="65">
        <v>0.0</v>
      </c>
      <c r="BD75" s="65">
        <v>0.0</v>
      </c>
      <c r="BE75" s="65">
        <v>0.0</v>
      </c>
    </row>
    <row r="76">
      <c r="A76" s="65" t="s">
        <v>274</v>
      </c>
      <c r="B76" s="65">
        <v>0.0</v>
      </c>
      <c r="C76" s="65">
        <v>2.678382777777779</v>
      </c>
      <c r="D76" s="65">
        <v>0.0</v>
      </c>
      <c r="E76" s="65">
        <v>0.0</v>
      </c>
      <c r="F76" s="65">
        <v>0.5016305555555557</v>
      </c>
      <c r="G76" s="65">
        <v>55.5577205555557</v>
      </c>
      <c r="H76" s="65">
        <v>0.0</v>
      </c>
      <c r="I76" s="65">
        <v>0.0</v>
      </c>
      <c r="J76" s="65">
        <v>0.0</v>
      </c>
      <c r="K76" s="65">
        <v>0.23807750000000003</v>
      </c>
      <c r="L76" s="65">
        <v>0.0</v>
      </c>
      <c r="M76" s="65">
        <v>0.0</v>
      </c>
      <c r="N76" s="65">
        <v>0.0</v>
      </c>
      <c r="O76" s="65">
        <v>0.0</v>
      </c>
      <c r="P76" s="65">
        <v>0.0</v>
      </c>
      <c r="Q76" s="65">
        <v>0.0</v>
      </c>
      <c r="R76" s="65">
        <v>0.0</v>
      </c>
      <c r="S76" s="65">
        <v>0.0</v>
      </c>
      <c r="T76" s="65">
        <v>0.0</v>
      </c>
      <c r="U76" s="65">
        <v>0.0</v>
      </c>
      <c r="V76" s="65">
        <v>0.0</v>
      </c>
      <c r="W76" s="65">
        <v>0.0</v>
      </c>
      <c r="X76" s="65">
        <v>0.0</v>
      </c>
      <c r="Y76" s="65">
        <v>0.0</v>
      </c>
      <c r="Z76" s="65">
        <v>0.0</v>
      </c>
      <c r="AA76" s="65">
        <v>0.0</v>
      </c>
      <c r="AB76" s="65">
        <v>0.0</v>
      </c>
      <c r="AC76" s="65">
        <v>0.0</v>
      </c>
      <c r="AD76" s="65">
        <v>0.0</v>
      </c>
      <c r="AE76" s="65">
        <v>0.0</v>
      </c>
      <c r="AF76" s="65">
        <v>0.0</v>
      </c>
      <c r="AG76" s="65">
        <v>0.0</v>
      </c>
      <c r="AH76" s="65">
        <v>0.0</v>
      </c>
      <c r="AI76" s="65">
        <v>0.0</v>
      </c>
      <c r="AJ76" s="65">
        <v>0.0</v>
      </c>
      <c r="AK76" s="65">
        <v>0.0</v>
      </c>
      <c r="AL76" s="65">
        <v>0.0</v>
      </c>
      <c r="AM76" s="65">
        <v>0.0</v>
      </c>
      <c r="AN76" s="65">
        <v>0.0</v>
      </c>
      <c r="AO76" s="65">
        <v>0.0</v>
      </c>
      <c r="AP76" s="65">
        <v>0.0</v>
      </c>
      <c r="AQ76" s="65">
        <v>0.0</v>
      </c>
      <c r="AR76" s="65">
        <v>0.0</v>
      </c>
      <c r="AS76" s="65">
        <v>0.0</v>
      </c>
      <c r="AT76" s="65">
        <v>0.0</v>
      </c>
      <c r="AU76" s="65">
        <v>0.0</v>
      </c>
      <c r="AV76" s="65">
        <v>0.0</v>
      </c>
      <c r="AW76" s="65">
        <v>0.0</v>
      </c>
      <c r="AX76" s="65">
        <v>0.0</v>
      </c>
      <c r="AY76" s="65">
        <v>0.0</v>
      </c>
      <c r="AZ76" s="65">
        <v>0.0</v>
      </c>
      <c r="BA76" s="65">
        <v>0.0</v>
      </c>
      <c r="BB76" s="65">
        <v>0.0</v>
      </c>
      <c r="BC76" s="65">
        <v>0.0</v>
      </c>
      <c r="BD76" s="65">
        <v>0.0</v>
      </c>
      <c r="BE76" s="65">
        <v>0.0</v>
      </c>
    </row>
    <row r="77">
      <c r="A77" s="65" t="s">
        <v>275</v>
      </c>
      <c r="B77" s="65">
        <v>0.0</v>
      </c>
      <c r="C77" s="65">
        <v>9.11158499999999</v>
      </c>
      <c r="D77" s="65">
        <v>0.0</v>
      </c>
      <c r="E77" s="65">
        <v>0.0</v>
      </c>
      <c r="F77" s="65">
        <v>0.0</v>
      </c>
      <c r="G77" s="65">
        <v>77.45196388888887</v>
      </c>
      <c r="H77" s="65">
        <v>0.0</v>
      </c>
      <c r="I77" s="65">
        <v>0.0</v>
      </c>
      <c r="J77" s="65">
        <v>0.0</v>
      </c>
      <c r="K77" s="65">
        <v>0.0</v>
      </c>
      <c r="L77" s="65">
        <v>0.0</v>
      </c>
      <c r="M77" s="65">
        <v>0.0</v>
      </c>
      <c r="N77" s="65">
        <v>0.0</v>
      </c>
      <c r="O77" s="65">
        <v>0.0</v>
      </c>
      <c r="P77" s="65">
        <v>0.0</v>
      </c>
      <c r="Q77" s="65">
        <v>0.0</v>
      </c>
      <c r="R77" s="65">
        <v>0.0</v>
      </c>
      <c r="S77" s="65">
        <v>0.0</v>
      </c>
      <c r="T77" s="65">
        <v>0.0</v>
      </c>
      <c r="U77" s="65">
        <v>0.0</v>
      </c>
      <c r="V77" s="65">
        <v>0.0</v>
      </c>
      <c r="W77" s="65">
        <v>0.0</v>
      </c>
      <c r="X77" s="65">
        <v>0.0</v>
      </c>
      <c r="Y77" s="65">
        <v>0.0</v>
      </c>
      <c r="Z77" s="65">
        <v>0.0</v>
      </c>
      <c r="AA77" s="65">
        <v>0.0</v>
      </c>
      <c r="AB77" s="65">
        <v>0.0</v>
      </c>
      <c r="AC77" s="65">
        <v>0.0</v>
      </c>
      <c r="AD77" s="65">
        <v>0.0</v>
      </c>
      <c r="AE77" s="65">
        <v>0.0</v>
      </c>
      <c r="AF77" s="65">
        <v>0.0</v>
      </c>
      <c r="AG77" s="65">
        <v>0.0</v>
      </c>
      <c r="AH77" s="65">
        <v>0.0</v>
      </c>
      <c r="AI77" s="65">
        <v>0.0</v>
      </c>
      <c r="AJ77" s="65">
        <v>0.0</v>
      </c>
      <c r="AK77" s="65">
        <v>0.0</v>
      </c>
      <c r="AL77" s="65">
        <v>0.0</v>
      </c>
      <c r="AM77" s="65">
        <v>0.0</v>
      </c>
      <c r="AN77" s="65">
        <v>0.0</v>
      </c>
      <c r="AO77" s="65">
        <v>0.0</v>
      </c>
      <c r="AP77" s="65">
        <v>0.0</v>
      </c>
      <c r="AQ77" s="65">
        <v>0.0</v>
      </c>
      <c r="AR77" s="65">
        <v>0.0</v>
      </c>
      <c r="AS77" s="65">
        <v>0.0</v>
      </c>
      <c r="AT77" s="65">
        <v>0.0</v>
      </c>
      <c r="AU77" s="65">
        <v>0.0</v>
      </c>
      <c r="AV77" s="65">
        <v>0.0</v>
      </c>
      <c r="AW77" s="65">
        <v>0.0</v>
      </c>
      <c r="AX77" s="65">
        <v>0.0</v>
      </c>
      <c r="AY77" s="65">
        <v>0.0</v>
      </c>
      <c r="AZ77" s="65">
        <v>0.0</v>
      </c>
      <c r="BA77" s="65">
        <v>0.0</v>
      </c>
      <c r="BB77" s="65">
        <v>0.0</v>
      </c>
      <c r="BC77" s="65">
        <v>0.0</v>
      </c>
      <c r="BD77" s="65">
        <v>0.0</v>
      </c>
      <c r="BE77" s="65">
        <v>0.0</v>
      </c>
    </row>
    <row r="78">
      <c r="A78" s="65" t="s">
        <v>276</v>
      </c>
      <c r="B78" s="65">
        <v>0.0</v>
      </c>
      <c r="C78" s="65">
        <v>6.1814461111111125</v>
      </c>
      <c r="D78" s="65">
        <v>0.0</v>
      </c>
      <c r="E78" s="65">
        <v>0.0</v>
      </c>
      <c r="F78" s="65">
        <v>0.19324638888888887</v>
      </c>
      <c r="G78" s="65">
        <v>80.15254055555532</v>
      </c>
      <c r="H78" s="65">
        <v>0.0</v>
      </c>
      <c r="I78" s="65">
        <v>0.0</v>
      </c>
      <c r="J78" s="65">
        <v>0.0</v>
      </c>
      <c r="K78" s="65">
        <v>0.0</v>
      </c>
      <c r="L78" s="65">
        <v>0.0</v>
      </c>
      <c r="M78" s="65">
        <v>0.0</v>
      </c>
      <c r="N78" s="65">
        <v>0.0</v>
      </c>
      <c r="O78" s="65">
        <v>0.0</v>
      </c>
      <c r="P78" s="65">
        <v>0.0</v>
      </c>
      <c r="Q78" s="65">
        <v>0.0</v>
      </c>
      <c r="R78" s="65">
        <v>0.0</v>
      </c>
      <c r="S78" s="65">
        <v>0.0</v>
      </c>
      <c r="T78" s="65">
        <v>0.0</v>
      </c>
      <c r="U78" s="65">
        <v>0.0</v>
      </c>
      <c r="V78" s="65">
        <v>0.0</v>
      </c>
      <c r="W78" s="65">
        <v>0.0</v>
      </c>
      <c r="X78" s="65">
        <v>0.0</v>
      </c>
      <c r="Y78" s="65">
        <v>0.0</v>
      </c>
      <c r="Z78" s="65">
        <v>0.0</v>
      </c>
      <c r="AA78" s="65">
        <v>0.0</v>
      </c>
      <c r="AB78" s="65">
        <v>0.0</v>
      </c>
      <c r="AC78" s="65">
        <v>0.0</v>
      </c>
      <c r="AD78" s="65">
        <v>0.0</v>
      </c>
      <c r="AE78" s="65">
        <v>0.0</v>
      </c>
      <c r="AF78" s="65">
        <v>0.0</v>
      </c>
      <c r="AG78" s="65">
        <v>0.0</v>
      </c>
      <c r="AH78" s="65">
        <v>0.0</v>
      </c>
      <c r="AI78" s="65">
        <v>0.0</v>
      </c>
      <c r="AJ78" s="65">
        <v>0.0</v>
      </c>
      <c r="AK78" s="65">
        <v>0.0</v>
      </c>
      <c r="AL78" s="65">
        <v>0.0</v>
      </c>
      <c r="AM78" s="65">
        <v>0.0</v>
      </c>
      <c r="AN78" s="65">
        <v>0.0</v>
      </c>
      <c r="AO78" s="65">
        <v>0.0</v>
      </c>
      <c r="AP78" s="65">
        <v>0.0</v>
      </c>
      <c r="AQ78" s="65">
        <v>0.0</v>
      </c>
      <c r="AR78" s="65">
        <v>0.0</v>
      </c>
      <c r="AS78" s="65">
        <v>0.0</v>
      </c>
      <c r="AT78" s="65">
        <v>0.0</v>
      </c>
      <c r="AU78" s="65">
        <v>0.0</v>
      </c>
      <c r="AV78" s="65">
        <v>0.0</v>
      </c>
      <c r="AW78" s="65">
        <v>0.0</v>
      </c>
      <c r="AX78" s="65">
        <v>0.0</v>
      </c>
      <c r="AY78" s="65">
        <v>0.0</v>
      </c>
      <c r="AZ78" s="65">
        <v>0.0</v>
      </c>
      <c r="BA78" s="65">
        <v>0.0</v>
      </c>
      <c r="BB78" s="65">
        <v>0.0</v>
      </c>
      <c r="BC78" s="65">
        <v>0.0</v>
      </c>
      <c r="BD78" s="65">
        <v>0.0</v>
      </c>
      <c r="BE78" s="65">
        <v>0.0</v>
      </c>
    </row>
    <row r="79">
      <c r="A79" s="65" t="s">
        <v>277</v>
      </c>
      <c r="B79" s="65">
        <v>0.0</v>
      </c>
      <c r="C79" s="65">
        <v>2.070412500000002</v>
      </c>
      <c r="D79" s="65">
        <v>0.0</v>
      </c>
      <c r="E79" s="65">
        <v>0.0</v>
      </c>
      <c r="F79" s="65">
        <v>0.1812313888888889</v>
      </c>
      <c r="G79" s="65">
        <v>68.54816305555521</v>
      </c>
      <c r="H79" s="65">
        <v>0.0</v>
      </c>
      <c r="I79" s="65">
        <v>0.0</v>
      </c>
      <c r="J79" s="65">
        <v>0.0</v>
      </c>
      <c r="K79" s="65">
        <v>0.0</v>
      </c>
      <c r="L79" s="65">
        <v>0.0</v>
      </c>
      <c r="M79" s="65">
        <v>0.0</v>
      </c>
      <c r="N79" s="65">
        <v>0.0</v>
      </c>
      <c r="O79" s="65">
        <v>0.0</v>
      </c>
      <c r="P79" s="65">
        <v>0.0</v>
      </c>
      <c r="Q79" s="65">
        <v>0.0</v>
      </c>
      <c r="R79" s="65">
        <v>0.0</v>
      </c>
      <c r="S79" s="65">
        <v>0.0</v>
      </c>
      <c r="T79" s="65">
        <v>0.0</v>
      </c>
      <c r="U79" s="65">
        <v>0.0</v>
      </c>
      <c r="V79" s="65">
        <v>0.0</v>
      </c>
      <c r="W79" s="65">
        <v>0.0</v>
      </c>
      <c r="X79" s="65">
        <v>0.0</v>
      </c>
      <c r="Y79" s="65">
        <v>0.0</v>
      </c>
      <c r="Z79" s="65">
        <v>0.0</v>
      </c>
      <c r="AA79" s="65">
        <v>0.0</v>
      </c>
      <c r="AB79" s="65">
        <v>0.0</v>
      </c>
      <c r="AC79" s="65">
        <v>0.0</v>
      </c>
      <c r="AD79" s="65">
        <v>0.0</v>
      </c>
      <c r="AE79" s="65">
        <v>0.0</v>
      </c>
      <c r="AF79" s="65">
        <v>0.0</v>
      </c>
      <c r="AG79" s="65">
        <v>0.0</v>
      </c>
      <c r="AH79" s="65">
        <v>0.0</v>
      </c>
      <c r="AI79" s="65">
        <v>0.0</v>
      </c>
      <c r="AJ79" s="65">
        <v>0.0</v>
      </c>
      <c r="AK79" s="65">
        <v>0.0</v>
      </c>
      <c r="AL79" s="65">
        <v>0.0</v>
      </c>
      <c r="AM79" s="65">
        <v>0.0</v>
      </c>
      <c r="AN79" s="65">
        <v>0.0</v>
      </c>
      <c r="AO79" s="65">
        <v>0.0</v>
      </c>
      <c r="AP79" s="65">
        <v>0.0</v>
      </c>
      <c r="AQ79" s="65">
        <v>0.0</v>
      </c>
      <c r="AR79" s="65">
        <v>0.0</v>
      </c>
      <c r="AS79" s="65">
        <v>0.0</v>
      </c>
      <c r="AT79" s="65">
        <v>0.0</v>
      </c>
      <c r="AU79" s="65">
        <v>0.0</v>
      </c>
      <c r="AV79" s="65">
        <v>0.0</v>
      </c>
      <c r="AW79" s="65">
        <v>0.0</v>
      </c>
      <c r="AX79" s="65">
        <v>0.0</v>
      </c>
      <c r="AY79" s="65">
        <v>0.0</v>
      </c>
      <c r="AZ79" s="65">
        <v>0.0</v>
      </c>
      <c r="BA79" s="65">
        <v>0.0</v>
      </c>
      <c r="BB79" s="65">
        <v>0.0</v>
      </c>
      <c r="BC79" s="65">
        <v>0.0</v>
      </c>
      <c r="BD79" s="65">
        <v>0.0</v>
      </c>
      <c r="BE79" s="65">
        <v>0.0</v>
      </c>
    </row>
    <row r="80">
      <c r="A80" s="65" t="s">
        <v>278</v>
      </c>
      <c r="B80" s="65">
        <v>0.0</v>
      </c>
      <c r="C80" s="65">
        <v>1.6686805555555553</v>
      </c>
      <c r="D80" s="65">
        <v>0.0</v>
      </c>
      <c r="E80" s="65">
        <v>0.0</v>
      </c>
      <c r="F80" s="65">
        <v>0.0</v>
      </c>
      <c r="G80" s="65">
        <v>68.41318861111087</v>
      </c>
      <c r="H80" s="65">
        <v>0.0</v>
      </c>
      <c r="I80" s="65">
        <v>0.0</v>
      </c>
      <c r="J80" s="65">
        <v>0.0</v>
      </c>
      <c r="K80" s="65">
        <v>0.0</v>
      </c>
      <c r="L80" s="65">
        <v>0.0</v>
      </c>
      <c r="M80" s="65">
        <v>0.0</v>
      </c>
      <c r="N80" s="65">
        <v>0.0</v>
      </c>
      <c r="O80" s="65">
        <v>0.0</v>
      </c>
      <c r="P80" s="65">
        <v>0.0</v>
      </c>
      <c r="Q80" s="65">
        <v>0.0</v>
      </c>
      <c r="R80" s="65">
        <v>0.0</v>
      </c>
      <c r="S80" s="65">
        <v>0.0</v>
      </c>
      <c r="T80" s="65">
        <v>0.0</v>
      </c>
      <c r="U80" s="65">
        <v>0.0</v>
      </c>
      <c r="V80" s="65">
        <v>0.0</v>
      </c>
      <c r="W80" s="65">
        <v>0.0</v>
      </c>
      <c r="X80" s="65">
        <v>0.0</v>
      </c>
      <c r="Y80" s="65">
        <v>0.0</v>
      </c>
      <c r="Z80" s="65">
        <v>0.0</v>
      </c>
      <c r="AA80" s="65">
        <v>0.0</v>
      </c>
      <c r="AB80" s="65">
        <v>0.0</v>
      </c>
      <c r="AC80" s="65">
        <v>0.0</v>
      </c>
      <c r="AD80" s="65">
        <v>0.0</v>
      </c>
      <c r="AE80" s="65">
        <v>0.0</v>
      </c>
      <c r="AF80" s="65">
        <v>0.0</v>
      </c>
      <c r="AG80" s="65">
        <v>0.0</v>
      </c>
      <c r="AH80" s="65">
        <v>0.0</v>
      </c>
      <c r="AI80" s="65">
        <v>0.0</v>
      </c>
      <c r="AJ80" s="65">
        <v>0.0</v>
      </c>
      <c r="AK80" s="65">
        <v>0.0</v>
      </c>
      <c r="AL80" s="65">
        <v>0.0</v>
      </c>
      <c r="AM80" s="65">
        <v>0.0</v>
      </c>
      <c r="AN80" s="65">
        <v>0.0</v>
      </c>
      <c r="AO80" s="65">
        <v>0.0</v>
      </c>
      <c r="AP80" s="65">
        <v>0.0</v>
      </c>
      <c r="AQ80" s="65">
        <v>0.0</v>
      </c>
      <c r="AR80" s="65">
        <v>0.0</v>
      </c>
      <c r="AS80" s="65">
        <v>0.0</v>
      </c>
      <c r="AT80" s="65">
        <v>0.0</v>
      </c>
      <c r="AU80" s="65">
        <v>0.0</v>
      </c>
      <c r="AV80" s="65">
        <v>0.0</v>
      </c>
      <c r="AW80" s="65">
        <v>0.0</v>
      </c>
      <c r="AX80" s="65">
        <v>0.0</v>
      </c>
      <c r="AY80" s="65">
        <v>0.0</v>
      </c>
      <c r="AZ80" s="65">
        <v>0.0</v>
      </c>
      <c r="BA80" s="65">
        <v>0.0</v>
      </c>
      <c r="BB80" s="65">
        <v>0.0</v>
      </c>
      <c r="BC80" s="65">
        <v>0.0</v>
      </c>
      <c r="BD80" s="65">
        <v>0.0</v>
      </c>
      <c r="BE80" s="65">
        <v>0.0</v>
      </c>
    </row>
    <row r="81">
      <c r="A81" s="65" t="s">
        <v>279</v>
      </c>
      <c r="B81" s="65">
        <v>0.0</v>
      </c>
      <c r="C81" s="65">
        <v>15.44274416666666</v>
      </c>
      <c r="D81" s="65">
        <v>0.0</v>
      </c>
      <c r="E81" s="65">
        <v>0.0</v>
      </c>
      <c r="F81" s="65">
        <v>0.0</v>
      </c>
      <c r="G81" s="65">
        <v>60.33592611111099</v>
      </c>
      <c r="H81" s="65">
        <v>0.0</v>
      </c>
      <c r="I81" s="65">
        <v>0.0</v>
      </c>
      <c r="J81" s="65">
        <v>0.0</v>
      </c>
      <c r="K81" s="65">
        <v>0.0</v>
      </c>
      <c r="L81" s="65">
        <v>0.0</v>
      </c>
      <c r="M81" s="65">
        <v>0.0</v>
      </c>
      <c r="N81" s="65">
        <v>0.0</v>
      </c>
      <c r="O81" s="65">
        <v>0.0</v>
      </c>
      <c r="P81" s="65">
        <v>0.0</v>
      </c>
      <c r="Q81" s="65">
        <v>0.0</v>
      </c>
      <c r="R81" s="65">
        <v>0.0</v>
      </c>
      <c r="S81" s="65">
        <v>0.0</v>
      </c>
      <c r="T81" s="65">
        <v>0.0</v>
      </c>
      <c r="U81" s="65">
        <v>0.0</v>
      </c>
      <c r="V81" s="65">
        <v>0.0</v>
      </c>
      <c r="W81" s="65">
        <v>0.0</v>
      </c>
      <c r="X81" s="65">
        <v>0.0</v>
      </c>
      <c r="Y81" s="65">
        <v>0.0</v>
      </c>
      <c r="Z81" s="65">
        <v>0.0</v>
      </c>
      <c r="AA81" s="65">
        <v>0.0</v>
      </c>
      <c r="AB81" s="65">
        <v>0.0</v>
      </c>
      <c r="AC81" s="65">
        <v>0.0</v>
      </c>
      <c r="AD81" s="65">
        <v>0.0</v>
      </c>
      <c r="AE81" s="65">
        <v>0.0</v>
      </c>
      <c r="AF81" s="65">
        <v>0.0</v>
      </c>
      <c r="AG81" s="65">
        <v>0.0</v>
      </c>
      <c r="AH81" s="65">
        <v>0.0</v>
      </c>
      <c r="AI81" s="65">
        <v>0.0</v>
      </c>
      <c r="AJ81" s="65">
        <v>0.0</v>
      </c>
      <c r="AK81" s="65">
        <v>0.0</v>
      </c>
      <c r="AL81" s="65">
        <v>0.0</v>
      </c>
      <c r="AM81" s="65">
        <v>0.0</v>
      </c>
      <c r="AN81" s="65">
        <v>0.0</v>
      </c>
      <c r="AO81" s="65">
        <v>0.0</v>
      </c>
      <c r="AP81" s="65">
        <v>0.0</v>
      </c>
      <c r="AQ81" s="65">
        <v>0.0</v>
      </c>
      <c r="AR81" s="65">
        <v>0.0</v>
      </c>
      <c r="AS81" s="65">
        <v>0.0</v>
      </c>
      <c r="AT81" s="65">
        <v>0.0</v>
      </c>
      <c r="AU81" s="65">
        <v>0.0</v>
      </c>
      <c r="AV81" s="65">
        <v>0.0</v>
      </c>
      <c r="AW81" s="65">
        <v>0.0</v>
      </c>
      <c r="AX81" s="65">
        <v>0.0</v>
      </c>
      <c r="AY81" s="65">
        <v>0.0</v>
      </c>
      <c r="AZ81" s="65">
        <v>0.0</v>
      </c>
      <c r="BA81" s="65">
        <v>0.0</v>
      </c>
      <c r="BB81" s="65">
        <v>0.0</v>
      </c>
      <c r="BC81" s="65">
        <v>0.0</v>
      </c>
      <c r="BD81" s="65">
        <v>0.0</v>
      </c>
      <c r="BE81" s="65">
        <v>0.17678916666666664</v>
      </c>
    </row>
    <row r="83">
      <c r="C83" s="64">
        <f>SUM(B2:BE81)</f>
        <v>6341.083011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3" max="3" width="31.63"/>
  </cols>
  <sheetData>
    <row r="1">
      <c r="E1" s="104">
        <v>128.3692275</v>
      </c>
      <c r="F1" s="104">
        <v>0.0</v>
      </c>
      <c r="G1" s="104">
        <v>0.0</v>
      </c>
      <c r="H1" s="104">
        <v>0.0</v>
      </c>
      <c r="I1" s="104">
        <v>0.0</v>
      </c>
      <c r="J1" s="104">
        <v>0.0</v>
      </c>
      <c r="K1" s="104">
        <v>0.0</v>
      </c>
      <c r="L1" s="104">
        <v>1.8782555555555553</v>
      </c>
      <c r="M1" s="104">
        <v>0.0</v>
      </c>
      <c r="N1" s="104">
        <v>0.0</v>
      </c>
      <c r="O1" s="104">
        <v>21.25316055555555</v>
      </c>
      <c r="P1" s="65">
        <v>0.0</v>
      </c>
      <c r="Q1" s="65">
        <v>0.1538327777777778</v>
      </c>
      <c r="R1" s="65">
        <v>132.35690833333334</v>
      </c>
      <c r="S1" s="65">
        <v>0.0</v>
      </c>
      <c r="T1" s="65">
        <v>0.0</v>
      </c>
      <c r="U1" s="65">
        <v>0.0</v>
      </c>
      <c r="V1" s="65">
        <v>0.0</v>
      </c>
      <c r="W1" s="65">
        <v>0.0</v>
      </c>
      <c r="X1" s="65">
        <v>1.7874561111111114</v>
      </c>
      <c r="Y1" s="65">
        <v>117.21955972222214</v>
      </c>
      <c r="Z1" s="65">
        <v>0.0</v>
      </c>
      <c r="AA1" s="65">
        <v>0.0</v>
      </c>
      <c r="AB1" s="65">
        <v>0.0</v>
      </c>
      <c r="AC1" s="65">
        <v>0.0</v>
      </c>
      <c r="AD1" s="65">
        <v>0.0</v>
      </c>
      <c r="AE1" s="65">
        <v>2.446312222222222</v>
      </c>
      <c r="AF1" s="65">
        <v>0.0</v>
      </c>
      <c r="AG1" s="65">
        <v>0.0</v>
      </c>
      <c r="AH1" s="65">
        <v>137.91724916666672</v>
      </c>
      <c r="AI1" s="65">
        <v>0.0</v>
      </c>
      <c r="AJ1" s="65">
        <v>0.0</v>
      </c>
      <c r="AK1" s="65">
        <v>0.0</v>
      </c>
      <c r="AL1" s="65">
        <v>0.0</v>
      </c>
      <c r="AM1" s="65">
        <v>0.0</v>
      </c>
      <c r="AN1" s="65">
        <v>3.0912958333333327</v>
      </c>
      <c r="AO1" s="65">
        <v>82.52951888888887</v>
      </c>
      <c r="AP1" s="65">
        <v>0.0</v>
      </c>
      <c r="AQ1" s="65">
        <v>0.0</v>
      </c>
      <c r="AR1" s="65">
        <v>0.0</v>
      </c>
      <c r="AS1" s="65">
        <v>6.715654444444443</v>
      </c>
      <c r="AT1" s="65">
        <v>44.65634694444445</v>
      </c>
      <c r="AU1" s="65">
        <v>0.0</v>
      </c>
      <c r="AV1" s="65">
        <v>0.0</v>
      </c>
      <c r="AW1" s="65">
        <v>3.34689</v>
      </c>
      <c r="AX1" s="65">
        <v>103.33881611111109</v>
      </c>
      <c r="AY1" s="65">
        <v>0.0</v>
      </c>
      <c r="AZ1" s="65">
        <v>5.415738333333334</v>
      </c>
      <c r="BA1" s="65">
        <v>1.1474344444444435</v>
      </c>
    </row>
    <row r="2">
      <c r="A2" s="105" t="s">
        <v>0</v>
      </c>
      <c r="B2" s="105" t="s">
        <v>362</v>
      </c>
      <c r="C2" s="106" t="str">
        <f>HYPERLINK("https://docs.google.com/spreadsheets/d/1y1dORaBmKsywp87l7qjYP7Hqi_1NLWSyIU9I58HzGWg", "Status")</f>
        <v>Status</v>
      </c>
      <c r="D2" s="105"/>
      <c r="E2" s="107" t="s">
        <v>363</v>
      </c>
      <c r="F2" s="108" t="s">
        <v>364</v>
      </c>
      <c r="G2" s="108" t="s">
        <v>365</v>
      </c>
      <c r="H2" s="108" t="s">
        <v>366</v>
      </c>
      <c r="I2" s="108" t="s">
        <v>367</v>
      </c>
      <c r="J2" s="108" t="s">
        <v>368</v>
      </c>
      <c r="K2" s="108" t="s">
        <v>369</v>
      </c>
      <c r="L2" s="108" t="s">
        <v>370</v>
      </c>
      <c r="M2" s="108" t="s">
        <v>371</v>
      </c>
      <c r="N2" s="108" t="s">
        <v>372</v>
      </c>
      <c r="O2" s="107" t="s">
        <v>373</v>
      </c>
      <c r="P2" s="109" t="s">
        <v>374</v>
      </c>
      <c r="Q2" s="109" t="s">
        <v>375</v>
      </c>
      <c r="R2" s="110" t="s">
        <v>376</v>
      </c>
      <c r="S2" s="109" t="s">
        <v>377</v>
      </c>
      <c r="T2" s="109" t="s">
        <v>378</v>
      </c>
      <c r="U2" s="109" t="s">
        <v>379</v>
      </c>
      <c r="V2" s="109" t="s">
        <v>380</v>
      </c>
      <c r="W2" s="109" t="s">
        <v>381</v>
      </c>
      <c r="X2" s="109" t="s">
        <v>382</v>
      </c>
      <c r="Y2" s="110" t="s">
        <v>383</v>
      </c>
      <c r="Z2" s="109" t="s">
        <v>384</v>
      </c>
      <c r="AA2" s="109" t="s">
        <v>385</v>
      </c>
      <c r="AB2" s="109" t="s">
        <v>386</v>
      </c>
      <c r="AC2" s="109" t="s">
        <v>387</v>
      </c>
      <c r="AD2" s="109" t="s">
        <v>388</v>
      </c>
      <c r="AE2" s="109" t="s">
        <v>4</v>
      </c>
      <c r="AF2" s="109" t="s">
        <v>389</v>
      </c>
      <c r="AG2" s="109" t="s">
        <v>390</v>
      </c>
      <c r="AH2" s="110" t="s">
        <v>391</v>
      </c>
      <c r="AI2" s="109" t="s">
        <v>392</v>
      </c>
      <c r="AJ2" s="109" t="s">
        <v>393</v>
      </c>
      <c r="AK2" s="109" t="s">
        <v>394</v>
      </c>
      <c r="AL2" s="109" t="s">
        <v>395</v>
      </c>
      <c r="AM2" s="109" t="s">
        <v>396</v>
      </c>
      <c r="AN2" s="109" t="s">
        <v>397</v>
      </c>
      <c r="AO2" s="110" t="s">
        <v>398</v>
      </c>
      <c r="AP2" s="109" t="s">
        <v>399</v>
      </c>
      <c r="AQ2" s="109" t="s">
        <v>400</v>
      </c>
      <c r="AR2" s="109" t="s">
        <v>401</v>
      </c>
      <c r="AS2" s="109" t="s">
        <v>402</v>
      </c>
      <c r="AT2" s="110" t="s">
        <v>403</v>
      </c>
      <c r="AU2" s="109" t="s">
        <v>404</v>
      </c>
      <c r="AV2" s="109" t="s">
        <v>405</v>
      </c>
      <c r="AW2" s="109" t="s">
        <v>406</v>
      </c>
      <c r="AX2" s="110" t="s">
        <v>407</v>
      </c>
      <c r="AY2" s="109" t="s">
        <v>408</v>
      </c>
      <c r="AZ2" s="109" t="s">
        <v>5</v>
      </c>
      <c r="BA2" s="109" t="s">
        <v>6</v>
      </c>
      <c r="BB2" s="111"/>
      <c r="BC2" s="111"/>
      <c r="BD2" s="111"/>
      <c r="BE2" s="111"/>
      <c r="BF2" s="111"/>
      <c r="BG2" s="111"/>
      <c r="BH2" s="111"/>
      <c r="BI2" s="111"/>
      <c r="BJ2" s="111"/>
      <c r="BK2" s="111"/>
      <c r="BL2" s="111"/>
      <c r="BM2" s="111"/>
      <c r="BN2" s="111"/>
      <c r="BO2" s="111"/>
      <c r="BP2" s="111"/>
      <c r="BQ2" s="111"/>
      <c r="BR2" s="111"/>
      <c r="BS2" s="111"/>
      <c r="BT2" s="111"/>
      <c r="BU2" s="111"/>
      <c r="BV2" s="111"/>
      <c r="BW2" s="111"/>
      <c r="BX2" s="111"/>
      <c r="BY2" s="111"/>
      <c r="BZ2" s="111"/>
      <c r="CA2" s="111"/>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c r="EE2" s="111"/>
      <c r="EF2" s="111"/>
      <c r="EG2" s="111"/>
      <c r="EH2" s="111"/>
      <c r="EI2" s="111"/>
      <c r="EJ2" s="111"/>
      <c r="EK2" s="111"/>
      <c r="EL2" s="111"/>
      <c r="EM2" s="111"/>
      <c r="EN2" s="111"/>
      <c r="EO2" s="111"/>
      <c r="EP2" s="111"/>
      <c r="EQ2" s="111"/>
      <c r="ER2" s="111"/>
      <c r="ES2" s="111"/>
      <c r="ET2" s="111"/>
      <c r="EU2" s="111"/>
      <c r="EV2" s="111"/>
      <c r="EW2" s="111"/>
      <c r="EX2" s="111"/>
      <c r="EY2" s="111"/>
    </row>
    <row r="3">
      <c r="A3" s="112" t="s">
        <v>47</v>
      </c>
      <c r="B3" s="112" t="s">
        <v>48</v>
      </c>
      <c r="C3" s="112" t="s">
        <v>409</v>
      </c>
      <c r="D3" s="113">
        <f t="shared" ref="D3:D484" si="1">SUM(E3:EY3)</f>
        <v>800.2777667</v>
      </c>
      <c r="E3" s="114">
        <v>206.889633333333</v>
      </c>
      <c r="F3" s="114"/>
      <c r="G3" s="114"/>
      <c r="H3" s="114"/>
      <c r="I3" s="114"/>
      <c r="J3" s="114"/>
      <c r="K3" s="114"/>
      <c r="L3" s="114">
        <v>1.39285</v>
      </c>
      <c r="M3" s="114"/>
      <c r="N3" s="114"/>
      <c r="O3" s="114">
        <v>22.6998333333333</v>
      </c>
      <c r="P3" s="112"/>
      <c r="Q3" s="112">
        <v>0.153883333333333</v>
      </c>
      <c r="R3" s="112">
        <v>156.961733333333</v>
      </c>
      <c r="S3" s="112"/>
      <c r="T3" s="112"/>
      <c r="U3" s="112"/>
      <c r="V3" s="112"/>
      <c r="W3" s="112"/>
      <c r="X3" s="112">
        <v>1.88898333333333</v>
      </c>
      <c r="Y3" s="112">
        <v>229.20655</v>
      </c>
      <c r="Z3" s="112"/>
      <c r="AA3" s="113"/>
      <c r="AB3" s="112"/>
      <c r="AC3" s="112"/>
      <c r="AD3" s="112"/>
      <c r="AE3" s="112">
        <v>3.33206666666667</v>
      </c>
      <c r="AF3" s="112"/>
      <c r="AG3" s="112"/>
      <c r="AH3" s="112">
        <v>13.7419333333333</v>
      </c>
      <c r="AI3" s="112"/>
      <c r="AJ3" s="112"/>
      <c r="AK3" s="112"/>
      <c r="AL3" s="113"/>
      <c r="AM3" s="112"/>
      <c r="AN3" s="112">
        <v>1.38731666666667</v>
      </c>
      <c r="AO3" s="112">
        <v>99.5933833333335</v>
      </c>
      <c r="AP3" s="112"/>
      <c r="AQ3" s="113"/>
      <c r="AR3" s="112"/>
      <c r="AS3" s="112">
        <v>3.28666666666667</v>
      </c>
      <c r="AT3" s="112">
        <v>32.9728333333333</v>
      </c>
      <c r="AU3" s="112"/>
      <c r="AV3" s="112"/>
      <c r="AW3" s="112">
        <v>2.1157</v>
      </c>
      <c r="AX3" s="112">
        <v>22.7054833333333</v>
      </c>
      <c r="AY3" s="113"/>
      <c r="AZ3" s="112">
        <v>1.05391666666667</v>
      </c>
      <c r="BA3" s="112">
        <v>0.895</v>
      </c>
      <c r="BB3" s="113"/>
      <c r="BC3" s="113"/>
      <c r="BD3" s="113"/>
      <c r="BE3" s="113"/>
      <c r="BF3" s="113"/>
      <c r="BG3" s="113"/>
      <c r="BH3" s="113"/>
      <c r="BI3" s="113"/>
      <c r="BJ3" s="113"/>
      <c r="BK3" s="113"/>
      <c r="BL3" s="113"/>
      <c r="BM3" s="113"/>
      <c r="BN3" s="113"/>
      <c r="BO3" s="113"/>
      <c r="BP3" s="113"/>
      <c r="BQ3" s="113"/>
      <c r="BR3" s="113"/>
      <c r="BS3" s="113"/>
      <c r="BT3" s="113"/>
      <c r="BU3" s="113"/>
      <c r="BV3" s="113"/>
      <c r="BW3" s="113"/>
      <c r="BX3" s="113"/>
      <c r="BY3" s="113"/>
      <c r="BZ3" s="113"/>
      <c r="CA3" s="113"/>
      <c r="CB3" s="113"/>
      <c r="CC3" s="113"/>
      <c r="CD3" s="113"/>
      <c r="CE3" s="113"/>
      <c r="CF3" s="113"/>
      <c r="CG3" s="113"/>
      <c r="CH3" s="113"/>
      <c r="CI3" s="113"/>
      <c r="CJ3" s="113"/>
      <c r="CK3" s="113"/>
      <c r="CL3" s="113"/>
      <c r="CM3" s="113"/>
      <c r="CN3" s="113"/>
      <c r="CO3" s="113"/>
      <c r="CP3" s="113"/>
      <c r="CQ3" s="113"/>
      <c r="CR3" s="113"/>
      <c r="CS3" s="113"/>
      <c r="CT3" s="113"/>
      <c r="CU3" s="113"/>
      <c r="CV3" s="113"/>
      <c r="CW3" s="113"/>
      <c r="CX3" s="113"/>
      <c r="CY3" s="113"/>
      <c r="CZ3" s="113"/>
      <c r="DA3" s="113"/>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c r="EK3" s="113"/>
      <c r="EL3" s="113"/>
      <c r="EM3" s="113"/>
      <c r="EN3" s="113"/>
      <c r="EO3" s="113"/>
      <c r="EP3" s="113"/>
      <c r="EQ3" s="113"/>
      <c r="ER3" s="113"/>
      <c r="ES3" s="113"/>
      <c r="ET3" s="113"/>
      <c r="EU3" s="113"/>
      <c r="EV3" s="113"/>
      <c r="EW3" s="113"/>
      <c r="EX3" s="113"/>
      <c r="EY3" s="113"/>
    </row>
    <row r="4">
      <c r="A4" s="65" t="s">
        <v>47</v>
      </c>
      <c r="B4" s="65" t="s">
        <v>48</v>
      </c>
      <c r="C4" s="65" t="s">
        <v>410</v>
      </c>
      <c r="D4" s="64">
        <f t="shared" si="1"/>
        <v>523.0832667</v>
      </c>
      <c r="E4" s="115"/>
      <c r="F4" s="104"/>
      <c r="G4" s="104">
        <v>10.64105</v>
      </c>
      <c r="H4" s="104">
        <v>10.3229333333333</v>
      </c>
      <c r="I4" s="104">
        <v>37.3779333333333</v>
      </c>
      <c r="J4" s="104">
        <v>17.9477333333333</v>
      </c>
      <c r="K4" s="104">
        <v>30.15065</v>
      </c>
      <c r="L4" s="104"/>
      <c r="M4" s="104"/>
      <c r="N4" s="104">
        <v>10.64105</v>
      </c>
      <c r="O4" s="104"/>
      <c r="P4" s="65">
        <v>0.305616666666667</v>
      </c>
      <c r="Q4" s="65"/>
      <c r="R4" s="65"/>
      <c r="S4" s="65">
        <v>0.621666666666667</v>
      </c>
      <c r="T4" s="65">
        <v>0.76795</v>
      </c>
      <c r="U4" s="65">
        <v>1.4804</v>
      </c>
      <c r="V4" s="65">
        <v>50.7944166666666</v>
      </c>
      <c r="W4" s="65">
        <v>59.07725</v>
      </c>
      <c r="X4" s="65"/>
      <c r="Y4" s="65"/>
      <c r="Z4" s="65"/>
      <c r="AA4" s="65">
        <v>5.7552</v>
      </c>
      <c r="AB4" s="65">
        <v>4.5673</v>
      </c>
      <c r="AC4" s="65">
        <v>76.9793166666666</v>
      </c>
      <c r="AD4" s="65">
        <v>93.7031166666667</v>
      </c>
      <c r="AE4" s="65"/>
      <c r="AF4" s="65"/>
      <c r="AG4" s="65">
        <v>5.7552</v>
      </c>
      <c r="AH4" s="65"/>
      <c r="AI4" s="65"/>
      <c r="AJ4" s="65">
        <v>0.454366666666667</v>
      </c>
      <c r="AK4" s="65">
        <v>0.754</v>
      </c>
      <c r="AL4" s="65">
        <v>1.9587</v>
      </c>
      <c r="AM4" s="65">
        <v>7.27981666666667</v>
      </c>
      <c r="AN4" s="65"/>
      <c r="AP4" s="65">
        <v>4.67131666666667</v>
      </c>
      <c r="AQ4" s="65">
        <v>8.43745</v>
      </c>
      <c r="AR4" s="65">
        <v>42.4969</v>
      </c>
      <c r="AT4" s="65"/>
      <c r="AU4" s="65">
        <v>1.75075</v>
      </c>
      <c r="AV4" s="65">
        <v>17.5355833333333</v>
      </c>
      <c r="AY4" s="65">
        <v>20.8556</v>
      </c>
    </row>
    <row r="5">
      <c r="A5" s="65" t="s">
        <v>47</v>
      </c>
      <c r="B5" s="65" t="s">
        <v>48</v>
      </c>
      <c r="C5" s="65" t="s">
        <v>411</v>
      </c>
      <c r="D5" s="64">
        <f t="shared" si="1"/>
        <v>0</v>
      </c>
      <c r="E5" s="115"/>
      <c r="F5" s="115"/>
      <c r="G5" s="115"/>
      <c r="H5" s="115"/>
      <c r="I5" s="115"/>
      <c r="J5" s="115"/>
      <c r="K5" s="115"/>
      <c r="L5" s="115"/>
      <c r="M5" s="115"/>
      <c r="N5" s="115"/>
      <c r="O5" s="115"/>
    </row>
    <row r="6">
      <c r="A6" s="65" t="s">
        <v>47</v>
      </c>
      <c r="B6" s="65" t="s">
        <v>48</v>
      </c>
      <c r="C6" s="65" t="s">
        <v>412</v>
      </c>
      <c r="D6" s="64">
        <f t="shared" si="1"/>
        <v>501.2853333</v>
      </c>
      <c r="E6" s="115"/>
      <c r="F6" s="115"/>
      <c r="G6" s="116">
        <f>HYPERLINK("https://docs.google.com/spreadsheets/d/1QVQZmGFEEOldGB9lgC7PZmyRRRG76PH4", 8.5048)</f>
        <v>8.5048</v>
      </c>
      <c r="H6" s="116">
        <f>HYPERLINK("https://docs.google.com/spreadsheets/d/1Q2IzvIVphZQBA48B_-EUQ6lbXkhg7Syo", 10.3229333333333)</f>
        <v>10.32293333</v>
      </c>
      <c r="I6" s="117">
        <f>HYPERLINK("https://docs.google.com/spreadsheets/d/1S_IeXXO1n2H5ohLSbVl4GCim0vSHAvYK", 37.3779)</f>
        <v>37.3779</v>
      </c>
      <c r="J6" s="116">
        <f>HYPERLINK("https://docs.google.com/spreadsheets/d/1NTBlgN0uCGyKTZGzeqbOH4iWiPHOEnxv", 17.9477333333333)</f>
        <v>17.94773333</v>
      </c>
      <c r="K6" s="117">
        <f>HYPERLINK("https://docs.google.com/spreadsheets/d/1DHGtdUbWuscGOzO4HojgtdDlUwRbUBMS", 30.15065)</f>
        <v>30.15065</v>
      </c>
      <c r="L6" s="115"/>
      <c r="M6" s="104"/>
      <c r="N6" s="115"/>
      <c r="O6" s="104"/>
      <c r="P6" s="118">
        <f>HYPERLINK("https://docs.google.com/spreadsheets/d/1ICJj78cyNwkUnEbR_1mfSUaz3oUaQuG2", 0.305616666666667)</f>
        <v>0.3056166667</v>
      </c>
      <c r="S6" s="118">
        <f>HYPERLINK("https://docs.google.com/spreadsheets/d/1zeo0fbIB0BDFjZZIkKK3piaFWowkPWMp", 0.621666666666667)</f>
        <v>0.6216666667</v>
      </c>
      <c r="T6" s="118">
        <f>HYPERLINK("https://docs.google.com/spreadsheets/d/1dOT4UfyzEKVASwKcNgPLzet6bGr-WBLS", 0.76795)</f>
        <v>0.76795</v>
      </c>
      <c r="U6" s="118">
        <f>HYPERLINK("https://docs.google.com/spreadsheets/d/1z97r7_8Gs9tSYkZDwQd9O2WR0oLMPYQa", 1.4804)</f>
        <v>1.4804</v>
      </c>
      <c r="V6" s="118">
        <f>HYPERLINK("https://docs.google.com/spreadsheets/d/1LAhVHyZPecDhk1qANGWM3vLiEuPDCdKe", 50.7944)</f>
        <v>50.7944</v>
      </c>
      <c r="W6" s="118">
        <f>HYPERLINK("https://docs.google.com/spreadsheets/d/10PnycMHrsFhquJUog01pn1PF4IhNoZXP", 58.9118666666666)</f>
        <v>58.91186667</v>
      </c>
      <c r="AA6" s="118">
        <f>HYPERLINK("https://docs.google.com/spreadsheets/d/1s7hwMs7xuZF5q7fVUqcraJjC2Mdejhdc", 3.30923333333333)</f>
        <v>3.309233333</v>
      </c>
      <c r="AB6" s="118">
        <f>HYPERLINK("https://docs.google.com/spreadsheets/d/1TDU-T4i2v37wku_-l0BxYjUUxbfnl6je", 4.5673)</f>
        <v>4.5673</v>
      </c>
      <c r="AC6" s="118">
        <f>HYPERLINK("https://docs.google.com/spreadsheets/d/1pZIMkXuXw1_e6togeu4akV7TpHIA01Vm", 76.8102166666667)</f>
        <v>76.81021667</v>
      </c>
      <c r="AD6" s="118">
        <f>HYPERLINK("https://docs.google.com/spreadsheets/d/17pkZKWa9U0D8wMw3oy9gij1j4xX-CyYy", 93.703)</f>
        <v>93.703</v>
      </c>
      <c r="AJ6" s="118">
        <f>HYPERLINK("https://docs.google.com/spreadsheets/d/191LKTIAb24FRbWs9u1ZrlsBRycbwB95t", 0.257316666666667)</f>
        <v>0.2573166667</v>
      </c>
      <c r="AK6" s="118">
        <f>HYPERLINK("https://docs.google.com/spreadsheets/d/1pM9fY6APLA30VISLNnpBRZijlQS_0SgD", 0.754)</f>
        <v>0.754</v>
      </c>
      <c r="AL6" s="118">
        <f>HYPERLINK("https://docs.google.com/spreadsheets/d/1PiODBfBonB7LQMKIE5siv-QEqrtDrkaO", 1.9587)</f>
        <v>1.9587</v>
      </c>
      <c r="AM6" s="118">
        <f>HYPERLINK("https://docs.google.com/spreadsheets/d/1hJjlauE1ntZohJgVurWRwhdrmZ-Y6FJp", 7.27983333333333)</f>
        <v>7.279833333</v>
      </c>
      <c r="AP6" s="118">
        <f>HYPERLINK("https://docs.google.com/spreadsheets/d/1K2hcrJca0iUFIYWJdQw0aUWG2Ogg85yX", 4.67131666666667)</f>
        <v>4.671316667</v>
      </c>
      <c r="AQ6" s="118">
        <f>HYPERLINK("https://docs.google.com/spreadsheets/d/1BpbR1Tq5uSXAKgSID93_PsJlzDWyuXPu", 8.43746666666667)</f>
        <v>8.437466667</v>
      </c>
      <c r="AR6" s="118">
        <f>HYPERLINK("https://docs.google.com/spreadsheets/d/1kIWDzE1MGUXIZWN8aAfhGRiZ5aXUpmpi", 42.4969166666666)</f>
        <v>42.49691667</v>
      </c>
      <c r="AU6" s="118">
        <f>HYPERLINK("https://docs.google.com/spreadsheets/d/1N8tvO_vcuC-Q5qrFCIP3lu1jctZMFngg", 1.75075)</f>
        <v>1.75075</v>
      </c>
      <c r="AV6" s="118">
        <f>HYPERLINK("https://docs.google.com/spreadsheets/d/1bsW0hK9j7F7RRhOMFKuUyR_sn9AEzYdE", 17.5355666666667)</f>
        <v>17.53556667</v>
      </c>
      <c r="AY6" s="118">
        <f>HYPERLINK("https://docs.google.com/spreadsheets/d/1svd1vTLMDIPAMasZjTvITkL1qPuGoJRz", 20.5678)</f>
        <v>20.5678</v>
      </c>
    </row>
    <row r="7">
      <c r="A7" s="65" t="s">
        <v>47</v>
      </c>
      <c r="B7" s="65" t="s">
        <v>48</v>
      </c>
      <c r="C7" s="65" t="s">
        <v>413</v>
      </c>
      <c r="D7" s="64">
        <f t="shared" si="1"/>
        <v>318.5739833</v>
      </c>
      <c r="E7" s="115"/>
      <c r="F7" s="115"/>
      <c r="G7" s="104">
        <v>4.3916</v>
      </c>
      <c r="H7" s="104">
        <v>7.43231666666667</v>
      </c>
      <c r="I7" s="104">
        <v>27.8212833333333</v>
      </c>
      <c r="J7" s="104">
        <v>10.0489833333333</v>
      </c>
      <c r="K7" s="104">
        <v>30.15065</v>
      </c>
      <c r="L7" s="104"/>
      <c r="M7" s="104"/>
      <c r="N7" s="104"/>
      <c r="O7" s="104"/>
      <c r="P7" s="65">
        <v>0.305616666666667</v>
      </c>
      <c r="Q7" s="65"/>
      <c r="R7" s="65"/>
      <c r="S7" s="65">
        <v>0.621666666666667</v>
      </c>
      <c r="T7" s="65">
        <v>0.76795</v>
      </c>
      <c r="U7" s="65">
        <v>0.883683333333333</v>
      </c>
      <c r="V7" s="65">
        <v>32.3980333333333</v>
      </c>
      <c r="W7" s="65">
        <v>58.9118666666666</v>
      </c>
      <c r="X7" s="65"/>
      <c r="Y7" s="65"/>
      <c r="Z7" s="65"/>
      <c r="AA7" s="65">
        <v>1.96673333333333</v>
      </c>
      <c r="AB7" s="65">
        <v>1.35608333333333</v>
      </c>
      <c r="AC7" s="65">
        <v>45.8854</v>
      </c>
      <c r="AD7" s="65">
        <v>13.4481333333333</v>
      </c>
      <c r="AE7" s="65"/>
      <c r="AF7" s="65"/>
      <c r="AG7" s="65"/>
      <c r="AH7" s="65"/>
      <c r="AI7" s="65"/>
      <c r="AJ7" s="65">
        <v>0.257316666666667</v>
      </c>
      <c r="AK7" s="65">
        <v>0.164066666666667</v>
      </c>
      <c r="AL7" s="65">
        <v>0.319366666666667</v>
      </c>
      <c r="AM7" s="65">
        <v>7.27983333333333</v>
      </c>
      <c r="AN7" s="65"/>
      <c r="AP7" s="65">
        <v>4.67131666666667</v>
      </c>
      <c r="AQ7" s="65">
        <v>2.02411666666667</v>
      </c>
      <c r="AR7" s="65">
        <v>42.4969166666666</v>
      </c>
      <c r="AT7" s="65"/>
      <c r="AU7" s="65">
        <v>0.323366666666666</v>
      </c>
      <c r="AV7" s="65">
        <v>4.59171666666667</v>
      </c>
      <c r="AY7" s="65">
        <v>20.0559666666667</v>
      </c>
    </row>
    <row r="8">
      <c r="A8" s="119" t="s">
        <v>47</v>
      </c>
      <c r="B8" s="119" t="s">
        <v>48</v>
      </c>
      <c r="C8" s="119" t="s">
        <v>414</v>
      </c>
      <c r="D8" s="120">
        <f t="shared" si="1"/>
        <v>1.75075</v>
      </c>
      <c r="E8" s="121"/>
      <c r="F8" s="121"/>
      <c r="G8" s="122">
        <f>HYPERLINK("https://docs.google.com/spreadsheets/d/1QVQZmGFEEOldGB9lgC7PZmyRRRG76PH4", 0)</f>
        <v>0</v>
      </c>
      <c r="H8" s="122">
        <f>HYPERLINK("https://docs.google.com/spreadsheets/d/1Q2IzvIVphZQBA48B_-EUQ6lbXkhg7Syo", 0)</f>
        <v>0</v>
      </c>
      <c r="I8" s="122">
        <f>HYPERLINK("https://docs.google.com/spreadsheets/d/1S_IeXXO1n2H5ohLSbVl4GCim0vSHAvYK", 0)</f>
        <v>0</v>
      </c>
      <c r="J8" s="122">
        <f>HYPERLINK("https://docs.google.com/spreadsheets/d/1NTBlgN0uCGyKTZGzeqbOH4iWiPHOEnxv", 0)</f>
        <v>0</v>
      </c>
      <c r="K8" s="122">
        <f>HYPERLINK("https://docs.google.com/spreadsheets/d/1DHGtdUbWuscGOzO4HojgtdDlUwRbUBMS", 0)</f>
        <v>0</v>
      </c>
      <c r="L8" s="121"/>
      <c r="M8" s="121"/>
      <c r="N8" s="123"/>
      <c r="O8" s="121"/>
      <c r="P8" s="124">
        <f>HYPERLINK("https://docs.google.com/spreadsheets/d/1ICJj78cyNwkUnEbR_1mfSUaz3oUaQuG2", 0)</f>
        <v>0</v>
      </c>
      <c r="Q8" s="120"/>
      <c r="R8" s="119"/>
      <c r="S8" s="124">
        <f>HYPERLINK("https://docs.google.com/spreadsheets/d/1zeo0fbIB0BDFjZZIkKK3piaFWowkPWMp", 0)</f>
        <v>0</v>
      </c>
      <c r="T8" s="125">
        <f>HYPERLINK("https://docs.google.com/spreadsheets/d/1dOT4UfyzEKVASwKcNgPLzet6bGr-WBLS", 0)</f>
        <v>0</v>
      </c>
      <c r="U8" s="125">
        <f>HYPERLINK("https://docs.google.com/spreadsheets/d/1z97r7_8Gs9tSYkZDwQd9O2WR0oLMPYQa", 0)</f>
        <v>0</v>
      </c>
      <c r="V8" s="124">
        <f>HYPERLINK("https://docs.google.com/spreadsheets/d/1LAhVHyZPecDhk1qANGWM3vLiEuPDCdKe", 0)</f>
        <v>0</v>
      </c>
      <c r="W8" s="124">
        <f>HYPERLINK("https://docs.google.com/spreadsheets/d/10PnycMHrsFhquJUog01pn1PF4IhNoZXP", 0)</f>
        <v>0</v>
      </c>
      <c r="X8" s="120"/>
      <c r="Y8" s="119"/>
      <c r="Z8" s="120"/>
      <c r="AA8" s="124">
        <f>HYPERLINK("https://docs.google.com/spreadsheets/d/1s7hwMs7xuZF5q7fVUqcraJjC2Mdejhdc", 0)</f>
        <v>0</v>
      </c>
      <c r="AB8" s="124">
        <f>HYPERLINK("https://docs.google.com/spreadsheets/d/1TDU-T4i2v37wku_-l0BxYjUUxbfnl6je", 0)</f>
        <v>0</v>
      </c>
      <c r="AC8" s="124">
        <f>HYPERLINK("https://docs.google.com/spreadsheets/d/1pZIMkXuXw1_e6togeu4akV7TpHIA01Vm", 0)</f>
        <v>0</v>
      </c>
      <c r="AD8" s="124">
        <f>HYPERLINK("https://docs.google.com/spreadsheets/d/17pkZKWa9U0D8wMw3oy9gij1j4xX-CyYy", 0)</f>
        <v>0</v>
      </c>
      <c r="AE8" s="120"/>
      <c r="AF8" s="119"/>
      <c r="AG8" s="119"/>
      <c r="AH8" s="119"/>
      <c r="AI8" s="119"/>
      <c r="AJ8" s="124">
        <f>HYPERLINK("https://docs.google.com/spreadsheets/d/191LKTIAb24FRbWs9u1ZrlsBRycbwB95t", 0)</f>
        <v>0</v>
      </c>
      <c r="AK8" s="124">
        <f>HYPERLINK("https://docs.google.com/spreadsheets/d/1pM9fY6APLA30VISLNnpBRZijlQS_0SgD", 0)</f>
        <v>0</v>
      </c>
      <c r="AL8" s="125">
        <f>HYPERLINK("https://docs.google.com/spreadsheets/d/1PiODBfBonB7LQMKIE5siv-QEqrtDrkaO", 0)</f>
        <v>0</v>
      </c>
      <c r="AM8" s="124">
        <f>HYPERLINK("https://docs.google.com/spreadsheets/d/1hJjlauE1ntZohJgVurWRwhdrmZ-Y6FJp", 0)</f>
        <v>0</v>
      </c>
      <c r="AN8" s="119"/>
      <c r="AO8" s="120"/>
      <c r="AP8" s="124">
        <f>HYPERLINK("https://docs.google.com/spreadsheets/d/1K2hcrJca0iUFIYWJdQw0aUWG2Ogg85yX", 0)</f>
        <v>0</v>
      </c>
      <c r="AQ8" s="125">
        <f>HYPERLINK("https://docs.google.com/spreadsheets/d/1BpbR1Tq5uSXAKgSID93_PsJlzDWyuXPu", 0)</f>
        <v>0</v>
      </c>
      <c r="AR8" s="125">
        <f>HYPERLINK("https://docs.google.com/spreadsheets/d/1kIWDzE1MGUXIZWN8aAfhGRiZ5aXUpmpi", 0)</f>
        <v>0</v>
      </c>
      <c r="AS8" s="120"/>
      <c r="AT8" s="120"/>
      <c r="AU8" s="125">
        <f>HYPERLINK("https://docs.google.com/spreadsheets/d/1N8tvO_vcuC-Q5qrFCIP3lu1jctZMFngg", 1.75075)</f>
        <v>1.75075</v>
      </c>
      <c r="AV8" s="124">
        <f>HYPERLINK("https://docs.google.com/spreadsheets/d/1bsW0hK9j7F7RRhOMFKuUyR_sn9AEzYdE", 0)</f>
        <v>0</v>
      </c>
      <c r="AW8" s="120"/>
      <c r="AX8" s="120"/>
      <c r="AY8" s="124">
        <f>HYPERLINK("https://docs.google.com/spreadsheets/d/1svd1vTLMDIPAMasZjTvITkL1qPuGoJRz", 0)</f>
        <v>0</v>
      </c>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row>
    <row r="9">
      <c r="A9" s="112" t="s">
        <v>47</v>
      </c>
      <c r="B9" s="112" t="s">
        <v>49</v>
      </c>
      <c r="C9" s="112" t="s">
        <v>409</v>
      </c>
      <c r="D9" s="113">
        <f t="shared" si="1"/>
        <v>564.0797</v>
      </c>
      <c r="E9" s="114">
        <v>83.8745333333334</v>
      </c>
      <c r="F9" s="114"/>
      <c r="G9" s="114"/>
      <c r="H9" s="114"/>
      <c r="I9" s="114"/>
      <c r="J9" s="114"/>
      <c r="K9" s="114"/>
      <c r="L9" s="114">
        <v>0.440983333333333</v>
      </c>
      <c r="M9" s="114"/>
      <c r="N9" s="114"/>
      <c r="O9" s="114">
        <v>19.18135</v>
      </c>
      <c r="P9" s="112"/>
      <c r="Q9" s="112">
        <v>0.290016666666667</v>
      </c>
      <c r="R9" s="112">
        <v>134.011133333333</v>
      </c>
      <c r="S9" s="112"/>
      <c r="T9" s="112"/>
      <c r="U9" s="112"/>
      <c r="V9" s="112"/>
      <c r="W9" s="112"/>
      <c r="X9" s="112">
        <v>2.1803</v>
      </c>
      <c r="Y9" s="112">
        <v>189.7896</v>
      </c>
      <c r="Z9" s="112"/>
      <c r="AA9" s="113"/>
      <c r="AB9" s="112"/>
      <c r="AC9" s="112"/>
      <c r="AD9" s="112"/>
      <c r="AE9" s="112">
        <v>3.40606666666667</v>
      </c>
      <c r="AF9" s="112"/>
      <c r="AG9" s="112"/>
      <c r="AH9" s="112">
        <v>9.58061666666667</v>
      </c>
      <c r="AI9" s="112"/>
      <c r="AJ9" s="112"/>
      <c r="AK9" s="112"/>
      <c r="AL9" s="113"/>
      <c r="AM9" s="112"/>
      <c r="AN9" s="112">
        <v>0.794783333333333</v>
      </c>
      <c r="AO9" s="112">
        <v>69.7117666666667</v>
      </c>
      <c r="AP9" s="112"/>
      <c r="AQ9" s="113"/>
      <c r="AR9" s="112"/>
      <c r="AS9" s="112">
        <v>3.07886666666667</v>
      </c>
      <c r="AT9" s="112">
        <v>23.6513666666667</v>
      </c>
      <c r="AU9" s="112"/>
      <c r="AV9" s="112"/>
      <c r="AW9" s="112">
        <v>1.74563333333333</v>
      </c>
      <c r="AX9" s="112">
        <v>19.9610166666667</v>
      </c>
      <c r="AY9" s="113"/>
      <c r="AZ9" s="112">
        <v>1.67926666666667</v>
      </c>
      <c r="BA9" s="112">
        <v>0.7024</v>
      </c>
      <c r="BB9" s="113"/>
      <c r="BC9" s="113"/>
      <c r="BD9" s="113"/>
      <c r="BE9" s="113"/>
      <c r="BF9" s="113"/>
      <c r="BG9" s="113"/>
      <c r="BH9" s="113"/>
      <c r="BI9" s="113"/>
      <c r="BJ9" s="113"/>
      <c r="BK9" s="113"/>
      <c r="BL9" s="113"/>
      <c r="BM9" s="113"/>
      <c r="BN9" s="113"/>
      <c r="BO9" s="113"/>
      <c r="BP9" s="113"/>
      <c r="BQ9" s="113"/>
      <c r="BR9" s="113"/>
      <c r="BS9" s="113"/>
      <c r="BT9" s="113"/>
      <c r="BU9" s="113"/>
      <c r="BV9" s="113"/>
      <c r="BW9" s="113"/>
      <c r="BX9" s="113"/>
      <c r="BY9" s="113"/>
      <c r="BZ9" s="113"/>
      <c r="CA9" s="113"/>
      <c r="CB9" s="113"/>
      <c r="CC9" s="113"/>
      <c r="CD9" s="113"/>
      <c r="CE9" s="113"/>
      <c r="CF9" s="113"/>
      <c r="CG9" s="113"/>
      <c r="CH9" s="113"/>
      <c r="CI9" s="113"/>
      <c r="CJ9" s="113"/>
      <c r="CK9" s="113"/>
      <c r="CL9" s="113"/>
      <c r="CM9" s="113"/>
      <c r="CN9" s="113"/>
      <c r="CO9" s="113"/>
      <c r="CP9" s="113"/>
      <c r="CQ9" s="113"/>
      <c r="CR9" s="113"/>
      <c r="CS9" s="113"/>
      <c r="CT9" s="113"/>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13"/>
      <c r="EA9" s="113"/>
      <c r="EB9" s="113"/>
      <c r="EC9" s="113"/>
      <c r="ED9" s="113"/>
      <c r="EE9" s="113"/>
      <c r="EF9" s="113"/>
      <c r="EG9" s="113"/>
      <c r="EH9" s="113"/>
      <c r="EI9" s="113"/>
      <c r="EJ9" s="113"/>
      <c r="EK9" s="113"/>
      <c r="EL9" s="113"/>
      <c r="EM9" s="113"/>
      <c r="EN9" s="113"/>
      <c r="EO9" s="113"/>
      <c r="EP9" s="113"/>
      <c r="EQ9" s="113"/>
      <c r="ER9" s="113"/>
      <c r="ES9" s="113"/>
      <c r="ET9" s="113"/>
      <c r="EU9" s="113"/>
      <c r="EV9" s="113"/>
      <c r="EW9" s="113"/>
      <c r="EX9" s="113"/>
      <c r="EY9" s="113"/>
    </row>
    <row r="10">
      <c r="A10" s="65" t="s">
        <v>47</v>
      </c>
      <c r="B10" s="65" t="s">
        <v>49</v>
      </c>
      <c r="C10" s="65" t="s">
        <v>410</v>
      </c>
      <c r="D10" s="64">
        <f t="shared" si="1"/>
        <v>415.93265</v>
      </c>
      <c r="E10" s="104"/>
      <c r="F10" s="104"/>
      <c r="G10" s="104">
        <v>1.02925</v>
      </c>
      <c r="H10" s="104"/>
      <c r="I10" s="104">
        <v>23.7685833333334</v>
      </c>
      <c r="J10" s="104">
        <v>18.4651</v>
      </c>
      <c r="K10" s="104">
        <v>12.7182166666667</v>
      </c>
      <c r="L10" s="104"/>
      <c r="M10" s="104"/>
      <c r="N10" s="104">
        <v>1.02925</v>
      </c>
      <c r="O10" s="104"/>
      <c r="P10" s="65"/>
      <c r="Q10" s="65"/>
      <c r="R10" s="65"/>
      <c r="S10" s="65"/>
      <c r="T10" s="65">
        <v>0.127966666666667</v>
      </c>
      <c r="U10" s="65">
        <v>4.3114</v>
      </c>
      <c r="V10" s="65">
        <v>77.9861666666667</v>
      </c>
      <c r="W10" s="65">
        <v>31.2259166666667</v>
      </c>
      <c r="X10" s="65"/>
      <c r="Y10" s="65"/>
      <c r="Z10" s="65"/>
      <c r="AA10" s="65">
        <v>4.55598333333333</v>
      </c>
      <c r="AB10" s="65">
        <v>3.49156666666667</v>
      </c>
      <c r="AC10" s="65">
        <v>102.518916666667</v>
      </c>
      <c r="AD10" s="65">
        <v>59.32895</v>
      </c>
      <c r="AE10" s="65"/>
      <c r="AF10" s="65"/>
      <c r="AG10" s="65">
        <v>4.55598333333333</v>
      </c>
      <c r="AH10" s="65"/>
      <c r="AI10" s="65"/>
      <c r="AK10" s="65"/>
      <c r="AL10" s="65">
        <v>0.7394</v>
      </c>
      <c r="AM10" s="65">
        <v>7.07246666666667</v>
      </c>
      <c r="AN10" s="65"/>
      <c r="AP10" s="65">
        <v>1.07505</v>
      </c>
      <c r="AQ10" s="65">
        <v>16.8616166666667</v>
      </c>
      <c r="AR10" s="65">
        <v>19.50315</v>
      </c>
      <c r="AT10" s="65"/>
      <c r="AU10" s="65">
        <v>1.63498333333333</v>
      </c>
      <c r="AV10" s="65">
        <v>9.42758333333334</v>
      </c>
      <c r="AY10" s="65">
        <v>14.50515</v>
      </c>
    </row>
    <row r="11">
      <c r="A11" s="65" t="s">
        <v>47</v>
      </c>
      <c r="B11" s="65" t="s">
        <v>49</v>
      </c>
      <c r="C11" s="65" t="s">
        <v>411</v>
      </c>
      <c r="D11" s="64">
        <f t="shared" si="1"/>
        <v>0</v>
      </c>
      <c r="E11" s="115"/>
      <c r="F11" s="115"/>
      <c r="G11" s="115"/>
      <c r="H11" s="115"/>
      <c r="I11" s="115"/>
      <c r="J11" s="115"/>
      <c r="K11" s="115"/>
      <c r="L11" s="115"/>
      <c r="M11" s="115"/>
      <c r="N11" s="115"/>
      <c r="O11" s="115"/>
    </row>
    <row r="12">
      <c r="A12" s="65" t="s">
        <v>47</v>
      </c>
      <c r="B12" s="65" t="s">
        <v>49</v>
      </c>
      <c r="C12" s="65" t="s">
        <v>412</v>
      </c>
      <c r="D12" s="64">
        <f t="shared" si="1"/>
        <v>405.6051667</v>
      </c>
      <c r="E12" s="115"/>
      <c r="F12" s="104"/>
      <c r="G12" s="116">
        <f>HYPERLINK("https://docs.google.com/spreadsheets/d/1MvVDVw2SxuUAX_tStVdxLGY9JEW_tQ2h", 1.02925)</f>
        <v>1.02925</v>
      </c>
      <c r="H12" s="115"/>
      <c r="I12" s="117">
        <f>HYPERLINK("https://docs.google.com/spreadsheets/d/1RWiNLnD3OBPY7Ua4IzvjvN8wgFr4zDqX", 23.7685666666667)</f>
        <v>23.76856667</v>
      </c>
      <c r="J12" s="116">
        <f>HYPERLINK("https://docs.google.com/spreadsheets/d/14TKAq8iAPGwvzN_eOwUZAay19Gluo8m1", 18.4651)</f>
        <v>18.4651</v>
      </c>
      <c r="K12" s="117">
        <f>HYPERLINK("https://docs.google.com/spreadsheets/d/1UXljayuBOy1YRpZH_D6XkFQ32fMZs_-3", 12.7182)</f>
        <v>12.7182</v>
      </c>
      <c r="L12" s="115"/>
      <c r="M12" s="104"/>
      <c r="N12" s="115"/>
      <c r="O12" s="104"/>
      <c r="T12" s="118">
        <f>HYPERLINK("https://docs.google.com/spreadsheets/d/1tKmH9_qQhCB1zehbF2yEr3j7bmDYOvw_", 0.127966666666667)</f>
        <v>0.1279666667</v>
      </c>
      <c r="U12" s="118">
        <f>HYPERLINK("https://docs.google.com/spreadsheets/d/1hLhILSpg2xeXmt1-Kbq1E-qhcFo1tcf6", 4.3114)</f>
        <v>4.3114</v>
      </c>
      <c r="V12" s="118">
        <f>HYPERLINK("https://docs.google.com/spreadsheets/d/1Uvw6cEHK2oen3lzv8b6RqebO_iMlfrAF", 77.8248)</f>
        <v>77.8248</v>
      </c>
      <c r="W12" s="118">
        <f>HYPERLINK("https://docs.google.com/spreadsheets/d/1APYFuYZ5vSkn_0F-GlNKW0PFTpYVJylf", 31.2258833333333)</f>
        <v>31.22588333</v>
      </c>
      <c r="AA12" s="118">
        <f>HYPERLINK("https://docs.google.com/spreadsheets/d/1aYiUSWfizFZ6X6Wq0cZRkzmqLh4jjM58", 0.730933333333333)</f>
        <v>0.7309333333</v>
      </c>
      <c r="AB12" s="118">
        <f>HYPERLINK("https://docs.google.com/spreadsheets/d/1Zh9CGi83q4B2EWSaD02yKgGIPQJmEOB7", 3.49156666666667)</f>
        <v>3.491566667</v>
      </c>
      <c r="AC12" s="118">
        <f>HYPERLINK("https://docs.google.com/spreadsheets/d/1J_SVgkTk4jqibEebntn2JG-qgquVUdLm", 102.198516666667)</f>
        <v>102.1985167</v>
      </c>
      <c r="AD12" s="118">
        <f>HYPERLINK("https://docs.google.com/spreadsheets/d/1PpHoGVMLrVzpIGKNS5wGg31Ex6y3eMrc", 59.1166)</f>
        <v>59.1166</v>
      </c>
      <c r="AL12" s="118">
        <f>HYPERLINK("https://docs.google.com/spreadsheets/d/1B3-MuuT-GC0nNg4fb740jgraLkhPz1vw", 0.739383333333333)</f>
        <v>0.7393833333</v>
      </c>
      <c r="AM12" s="118">
        <f>HYPERLINK("https://docs.google.com/spreadsheets/d/1E2THJxhAuBFkQKR_HD-WDKs60LcDtO_C", 7.07245)</f>
        <v>7.07245</v>
      </c>
      <c r="AP12" s="118">
        <f>HYPERLINK("https://docs.google.com/spreadsheets/d/1-uCW_k7-hWbx63WoDxRfMBnvOqyv9qgd", 1.07503333333333)</f>
        <v>1.075033333</v>
      </c>
      <c r="AQ12" s="118">
        <f>HYPERLINK("https://docs.google.com/spreadsheets/d/15q2sNPyhcGc6XYbD2h54zA5D70xYtwno", 16.6386833333333)</f>
        <v>16.63868333</v>
      </c>
      <c r="AR12" s="118">
        <f>HYPERLINK("https://docs.google.com/spreadsheets/d/1TuYEubaa-9Wc7d9mx9JxuvJlBOt0XpNl", 19.50315)</f>
        <v>19.50315</v>
      </c>
      <c r="AU12" s="118">
        <f>HYPERLINK("https://docs.google.com/spreadsheets/d/1M2eESP3GSzCtbxJ5SfUtXN37Y-t2bosJ", 1.63498333333333)</f>
        <v>1.634983333</v>
      </c>
      <c r="AV12" s="118">
        <f>HYPERLINK("https://docs.google.com/spreadsheets/d/12VdmlnTSrydA8xzufOHWA5cdXP4z6vkY", 9.42756666666667)</f>
        <v>9.427566667</v>
      </c>
      <c r="AY12" s="118">
        <f>HYPERLINK("https://docs.google.com/spreadsheets/d/10wNLe7G7Trzq41T6nh3NXeeU6kdDV7GG", 14.5051333333333)</f>
        <v>14.50513333</v>
      </c>
    </row>
    <row r="13">
      <c r="A13" s="65" t="s">
        <v>47</v>
      </c>
      <c r="B13" s="65" t="s">
        <v>49</v>
      </c>
      <c r="C13" s="65" t="s">
        <v>413</v>
      </c>
      <c r="D13" s="64">
        <f t="shared" si="1"/>
        <v>254.9987</v>
      </c>
      <c r="E13" s="115"/>
      <c r="F13" s="104"/>
      <c r="G13" s="104">
        <v>0.725916666666667</v>
      </c>
      <c r="H13" s="104"/>
      <c r="I13" s="104">
        <v>16.8437833333333</v>
      </c>
      <c r="J13" s="104">
        <v>13.5966</v>
      </c>
      <c r="K13" s="104">
        <v>12.7182</v>
      </c>
      <c r="L13" s="104"/>
      <c r="M13" s="104"/>
      <c r="N13" s="104"/>
      <c r="O13" s="104"/>
      <c r="P13" s="65"/>
      <c r="Q13" s="65"/>
      <c r="R13" s="65"/>
      <c r="S13" s="65"/>
      <c r="T13" s="65">
        <v>0.127966666666667</v>
      </c>
      <c r="U13" s="65">
        <v>1.74976666666667</v>
      </c>
      <c r="V13" s="65">
        <v>47.8867</v>
      </c>
      <c r="W13" s="65">
        <v>31.2258833333333</v>
      </c>
      <c r="X13" s="65"/>
      <c r="Y13" s="65"/>
      <c r="Z13" s="65"/>
      <c r="AA13" s="65">
        <v>0.426033333333333</v>
      </c>
      <c r="AB13" s="65">
        <v>0.959649999999999</v>
      </c>
      <c r="AC13" s="65">
        <v>61.1342833333333</v>
      </c>
      <c r="AD13" s="65">
        <v>14.2464333333333</v>
      </c>
      <c r="AE13" s="65"/>
      <c r="AF13" s="65"/>
      <c r="AG13" s="65"/>
      <c r="AH13" s="65"/>
      <c r="AI13" s="65"/>
      <c r="AK13" s="65"/>
      <c r="AL13" s="65">
        <v>0.147366666666667</v>
      </c>
      <c r="AM13" s="65">
        <v>7.07245</v>
      </c>
      <c r="AN13" s="65"/>
      <c r="AP13" s="65">
        <v>1.07503333333333</v>
      </c>
      <c r="AQ13" s="65">
        <v>7.21601666666666</v>
      </c>
      <c r="AR13" s="65">
        <v>19.50315</v>
      </c>
      <c r="AT13" s="65"/>
      <c r="AU13" s="65">
        <v>0.582033333333334</v>
      </c>
      <c r="AV13" s="65">
        <v>3.2563</v>
      </c>
      <c r="AY13" s="65">
        <v>14.5051333333333</v>
      </c>
    </row>
    <row r="14">
      <c r="A14" s="119" t="s">
        <v>47</v>
      </c>
      <c r="B14" s="119" t="s">
        <v>49</v>
      </c>
      <c r="C14" s="119" t="s">
        <v>414</v>
      </c>
      <c r="D14" s="120">
        <f t="shared" si="1"/>
        <v>1.634983333</v>
      </c>
      <c r="E14" s="121"/>
      <c r="F14" s="123"/>
      <c r="G14" s="122">
        <f>HYPERLINK("https://docs.google.com/spreadsheets/d/1MvVDVw2SxuUAX_tStVdxLGY9JEW_tQ2h", 0)</f>
        <v>0</v>
      </c>
      <c r="H14" s="121"/>
      <c r="I14" s="122">
        <f>HYPERLINK("https://docs.google.com/spreadsheets/d/1RWiNLnD3OBPY7Ua4IzvjvN8wgFr4zDqX", 0)</f>
        <v>0</v>
      </c>
      <c r="J14" s="122">
        <f>HYPERLINK("https://docs.google.com/spreadsheets/d/14TKAq8iAPGwvzN_eOwUZAay19Gluo8m1", 0)</f>
        <v>0</v>
      </c>
      <c r="K14" s="122">
        <f>HYPERLINK("https://docs.google.com/spreadsheets/d/1UXljayuBOy1YRpZH_D6XkFQ32fMZs_-3", 0)</f>
        <v>0</v>
      </c>
      <c r="L14" s="121"/>
      <c r="M14" s="121"/>
      <c r="N14" s="121"/>
      <c r="O14" s="121"/>
      <c r="P14" s="120"/>
      <c r="Q14" s="120"/>
      <c r="R14" s="119"/>
      <c r="S14" s="120"/>
      <c r="T14" s="125">
        <f>HYPERLINK("https://docs.google.com/spreadsheets/d/1tKmH9_qQhCB1zehbF2yEr3j7bmDYOvw_", 0)</f>
        <v>0</v>
      </c>
      <c r="U14" s="125">
        <f>HYPERLINK("https://docs.google.com/spreadsheets/d/1hLhILSpg2xeXmt1-Kbq1E-qhcFo1tcf6", 0)</f>
        <v>0</v>
      </c>
      <c r="V14" s="124">
        <f>HYPERLINK("https://docs.google.com/spreadsheets/d/1Uvw6cEHK2oen3lzv8b6RqebO_iMlfrAF", 0)</f>
        <v>0</v>
      </c>
      <c r="W14" s="124">
        <f>HYPERLINK("https://docs.google.com/spreadsheets/d/1APYFuYZ5vSkn_0F-GlNKW0PFTpYVJylf", 0)</f>
        <v>0</v>
      </c>
      <c r="X14" s="120"/>
      <c r="Y14" s="119"/>
      <c r="Z14" s="120"/>
      <c r="AA14" s="124">
        <f>HYPERLINK("https://docs.google.com/spreadsheets/d/1aYiUSWfizFZ6X6Wq0cZRkzmqLh4jjM58", 0)</f>
        <v>0</v>
      </c>
      <c r="AB14" s="124">
        <f>HYPERLINK("https://docs.google.com/spreadsheets/d/1Zh9CGi83q4B2EWSaD02yKgGIPQJmEOB7", 0)</f>
        <v>0</v>
      </c>
      <c r="AC14" s="124">
        <f>HYPERLINK("https://docs.google.com/spreadsheets/d/1J_SVgkTk4jqibEebntn2JG-qgquVUdLm", 0)</f>
        <v>0</v>
      </c>
      <c r="AD14" s="124">
        <f>HYPERLINK("https://docs.google.com/spreadsheets/d/1PpHoGVMLrVzpIGKNS5wGg31Ex6y3eMrc", 0)</f>
        <v>0</v>
      </c>
      <c r="AE14" s="120"/>
      <c r="AF14" s="120"/>
      <c r="AG14" s="120"/>
      <c r="AH14" s="119"/>
      <c r="AI14" s="119"/>
      <c r="AJ14" s="120"/>
      <c r="AK14" s="120"/>
      <c r="AL14" s="125">
        <f>HYPERLINK("https://docs.google.com/spreadsheets/d/1B3-MuuT-GC0nNg4fb740jgraLkhPz1vw", 0)</f>
        <v>0</v>
      </c>
      <c r="AM14" s="124">
        <f>HYPERLINK("https://docs.google.com/spreadsheets/d/1E2THJxhAuBFkQKR_HD-WDKs60LcDtO_C", 0)</f>
        <v>0</v>
      </c>
      <c r="AN14" s="119"/>
      <c r="AO14" s="120"/>
      <c r="AP14" s="124">
        <f>HYPERLINK("https://docs.google.com/spreadsheets/d/1-uCW_k7-hWbx63WoDxRfMBnvOqyv9qgd", 0)</f>
        <v>0</v>
      </c>
      <c r="AQ14" s="125">
        <f>HYPERLINK("https://docs.google.com/spreadsheets/d/15q2sNPyhcGc6XYbD2h54zA5D70xYtwno", 0)</f>
        <v>0</v>
      </c>
      <c r="AR14" s="125">
        <f>HYPERLINK("https://docs.google.com/spreadsheets/d/1TuYEubaa-9Wc7d9mx9JxuvJlBOt0XpNl", 0)</f>
        <v>0</v>
      </c>
      <c r="AS14" s="120"/>
      <c r="AT14" s="120"/>
      <c r="AU14" s="124">
        <f>HYPERLINK("https://docs.google.com/spreadsheets/d/1M2eESP3GSzCtbxJ5SfUtXN37Y-t2bosJ", 1.63498333333333)</f>
        <v>1.634983333</v>
      </c>
      <c r="AV14" s="124">
        <f>HYPERLINK("https://docs.google.com/spreadsheets/d/12VdmlnTSrydA8xzufOHWA5cdXP4z6vkY", 0)</f>
        <v>0</v>
      </c>
      <c r="AW14" s="120"/>
      <c r="AX14" s="120"/>
      <c r="AY14" s="124">
        <f>HYPERLINK("https://docs.google.com/spreadsheets/d/10wNLe7G7Trzq41T6nh3NXeeU6kdDV7GG", 0)</f>
        <v>0</v>
      </c>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row>
    <row r="15">
      <c r="A15" s="112" t="s">
        <v>47</v>
      </c>
      <c r="B15" s="112" t="s">
        <v>50</v>
      </c>
      <c r="C15" s="112" t="s">
        <v>409</v>
      </c>
      <c r="D15" s="113">
        <f t="shared" si="1"/>
        <v>721.8867</v>
      </c>
      <c r="E15" s="114">
        <v>150.239266666667</v>
      </c>
      <c r="F15" s="114"/>
      <c r="G15" s="114"/>
      <c r="H15" s="114"/>
      <c r="I15" s="114"/>
      <c r="J15" s="114"/>
      <c r="K15" s="114"/>
      <c r="L15" s="114">
        <v>1.84118333333333</v>
      </c>
      <c r="M15" s="114"/>
      <c r="N15" s="114"/>
      <c r="O15" s="114">
        <v>26.1122333333333</v>
      </c>
      <c r="P15" s="112"/>
      <c r="Q15" s="112">
        <v>0.196583333333333</v>
      </c>
      <c r="R15" s="112">
        <v>119.008033333333</v>
      </c>
      <c r="S15" s="112"/>
      <c r="T15" s="112"/>
      <c r="U15" s="113"/>
      <c r="V15" s="112"/>
      <c r="W15" s="112"/>
      <c r="X15" s="112">
        <v>0.733183333333333</v>
      </c>
      <c r="Y15" s="112">
        <v>219.184283333333</v>
      </c>
      <c r="Z15" s="112"/>
      <c r="AA15" s="113"/>
      <c r="AB15" s="112"/>
      <c r="AC15" s="112"/>
      <c r="AD15" s="112"/>
      <c r="AE15" s="112">
        <v>3.0245</v>
      </c>
      <c r="AF15" s="112"/>
      <c r="AG15" s="112"/>
      <c r="AH15" s="112">
        <v>13.7395333333333</v>
      </c>
      <c r="AI15" s="112"/>
      <c r="AJ15" s="112"/>
      <c r="AK15" s="112"/>
      <c r="AL15" s="113"/>
      <c r="AM15" s="112"/>
      <c r="AN15" s="112">
        <v>1.28043333333333</v>
      </c>
      <c r="AO15" s="112">
        <v>112.82835</v>
      </c>
      <c r="AP15" s="112"/>
      <c r="AQ15" s="113"/>
      <c r="AR15" s="112"/>
      <c r="AS15" s="112">
        <v>5.83403333333333</v>
      </c>
      <c r="AT15" s="112">
        <v>29.0101333333333</v>
      </c>
      <c r="AU15" s="112"/>
      <c r="AV15" s="112"/>
      <c r="AW15" s="112">
        <v>2.22825</v>
      </c>
      <c r="AX15" s="112">
        <v>33.9270666666667</v>
      </c>
      <c r="AY15" s="113"/>
      <c r="AZ15" s="112">
        <v>1.79216666666667</v>
      </c>
      <c r="BA15" s="112">
        <v>0.907466666666667</v>
      </c>
      <c r="BB15" s="113"/>
      <c r="BC15" s="113"/>
      <c r="BD15" s="113"/>
      <c r="BE15" s="113"/>
      <c r="BF15" s="113"/>
      <c r="BG15" s="113"/>
      <c r="BH15" s="113"/>
      <c r="BI15" s="113"/>
      <c r="BJ15" s="113"/>
      <c r="BK15" s="113"/>
      <c r="BL15" s="113"/>
      <c r="BM15" s="113"/>
      <c r="BN15" s="113"/>
      <c r="BO15" s="113"/>
      <c r="BP15" s="113"/>
      <c r="BQ15" s="113"/>
      <c r="BR15" s="113"/>
      <c r="BS15" s="113"/>
      <c r="BT15" s="113"/>
      <c r="BU15" s="113"/>
      <c r="BV15" s="113"/>
      <c r="BW15" s="113"/>
      <c r="BX15" s="113"/>
      <c r="BY15" s="113"/>
      <c r="BZ15" s="113"/>
      <c r="CA15" s="113"/>
      <c r="CB15" s="113"/>
      <c r="CC15" s="113"/>
      <c r="CD15" s="113"/>
      <c r="CE15" s="113"/>
      <c r="CF15" s="113"/>
      <c r="CG15" s="113"/>
      <c r="CH15" s="113"/>
      <c r="CI15" s="113"/>
      <c r="CJ15" s="113"/>
      <c r="CK15" s="113"/>
      <c r="CL15" s="113"/>
      <c r="CM15" s="113"/>
      <c r="CN15" s="113"/>
      <c r="CO15" s="113"/>
      <c r="CP15" s="113"/>
      <c r="CQ15" s="113"/>
      <c r="CR15" s="113"/>
      <c r="CS15" s="113"/>
      <c r="CT15" s="113"/>
      <c r="CU15" s="113"/>
      <c r="CV15" s="113"/>
      <c r="CW15" s="113"/>
      <c r="CX15" s="113"/>
      <c r="CY15" s="113"/>
      <c r="CZ15" s="113"/>
      <c r="DA15" s="113"/>
      <c r="DB15" s="113"/>
      <c r="DC15" s="113"/>
      <c r="DD15" s="113"/>
      <c r="DE15" s="113"/>
      <c r="DF15" s="113"/>
      <c r="DG15" s="113"/>
      <c r="DH15" s="113"/>
      <c r="DI15" s="113"/>
      <c r="DJ15" s="113"/>
      <c r="DK15" s="113"/>
      <c r="DL15" s="113"/>
      <c r="DM15" s="113"/>
      <c r="DN15" s="113"/>
      <c r="DO15" s="113"/>
      <c r="DP15" s="113"/>
      <c r="DQ15" s="113"/>
      <c r="DR15" s="113"/>
      <c r="DS15" s="113"/>
      <c r="DT15" s="113"/>
      <c r="DU15" s="113"/>
      <c r="DV15" s="113"/>
      <c r="DW15" s="113"/>
      <c r="DX15" s="113"/>
      <c r="DY15" s="113"/>
      <c r="DZ15" s="113"/>
      <c r="EA15" s="113"/>
      <c r="EB15" s="113"/>
      <c r="EC15" s="113"/>
      <c r="ED15" s="113"/>
      <c r="EE15" s="113"/>
      <c r="EF15" s="113"/>
      <c r="EG15" s="113"/>
      <c r="EH15" s="113"/>
      <c r="EI15" s="113"/>
      <c r="EJ15" s="113"/>
      <c r="EK15" s="113"/>
      <c r="EL15" s="113"/>
      <c r="EM15" s="113"/>
      <c r="EN15" s="113"/>
      <c r="EO15" s="113"/>
      <c r="EP15" s="113"/>
      <c r="EQ15" s="113"/>
      <c r="ER15" s="113"/>
      <c r="ES15" s="113"/>
      <c r="ET15" s="113"/>
      <c r="EU15" s="113"/>
      <c r="EV15" s="113"/>
      <c r="EW15" s="113"/>
      <c r="EX15" s="113"/>
      <c r="EY15" s="113"/>
    </row>
    <row r="16">
      <c r="A16" s="65" t="s">
        <v>47</v>
      </c>
      <c r="B16" s="65" t="s">
        <v>50</v>
      </c>
      <c r="C16" s="65" t="s">
        <v>410</v>
      </c>
      <c r="D16" s="64">
        <f t="shared" si="1"/>
        <v>570.3489833</v>
      </c>
      <c r="E16" s="115"/>
      <c r="F16" s="104"/>
      <c r="G16" s="104">
        <v>4.998</v>
      </c>
      <c r="H16" s="104">
        <v>15.1739833333333</v>
      </c>
      <c r="I16" s="104">
        <v>26.2380666666667</v>
      </c>
      <c r="J16" s="104">
        <v>37.8512166666667</v>
      </c>
      <c r="K16" s="104">
        <v>49.8770666666667</v>
      </c>
      <c r="L16" s="104"/>
      <c r="M16" s="104"/>
      <c r="N16" s="104">
        <v>4.998</v>
      </c>
      <c r="O16" s="104"/>
      <c r="P16" s="65">
        <v>4.76046666666667</v>
      </c>
      <c r="Q16" s="65"/>
      <c r="R16" s="65"/>
      <c r="S16" s="65">
        <v>1.74426666666667</v>
      </c>
      <c r="T16" s="65">
        <v>0.649983333333333</v>
      </c>
      <c r="U16" s="65">
        <v>2.78483333333333</v>
      </c>
      <c r="V16" s="65">
        <v>78.112</v>
      </c>
      <c r="W16" s="65">
        <v>21.4826333333333</v>
      </c>
      <c r="X16" s="65"/>
      <c r="Y16" s="65"/>
      <c r="Z16" s="65">
        <v>0.3333</v>
      </c>
      <c r="AA16" s="65">
        <v>4.95738333333333</v>
      </c>
      <c r="AB16" s="65">
        <v>7.66878333333334</v>
      </c>
      <c r="AC16" s="65">
        <v>129.673266666667</v>
      </c>
      <c r="AD16" s="65">
        <v>45.0041333333333</v>
      </c>
      <c r="AE16" s="65"/>
      <c r="AF16" s="65">
        <v>0.3333</v>
      </c>
      <c r="AG16" s="65">
        <v>4.95738333333333</v>
      </c>
      <c r="AH16" s="65"/>
      <c r="AI16" s="65"/>
      <c r="AK16" s="65">
        <v>0.799716666666667</v>
      </c>
      <c r="AL16" s="65">
        <v>2.76763333333333</v>
      </c>
      <c r="AM16" s="65">
        <v>9.38158333333333</v>
      </c>
      <c r="AN16" s="65"/>
      <c r="AP16" s="65">
        <v>18.4538166666667</v>
      </c>
      <c r="AQ16" s="65">
        <v>31.41855</v>
      </c>
      <c r="AR16" s="65">
        <v>17.4178833333333</v>
      </c>
      <c r="AT16" s="65"/>
      <c r="AU16" s="65">
        <v>5.44886666666667</v>
      </c>
      <c r="AV16" s="65">
        <v>11.33655</v>
      </c>
      <c r="AY16" s="65">
        <v>31.7263166666667</v>
      </c>
    </row>
    <row r="17">
      <c r="A17" s="65" t="s">
        <v>47</v>
      </c>
      <c r="B17" s="65" t="s">
        <v>50</v>
      </c>
      <c r="C17" s="65" t="s">
        <v>411</v>
      </c>
      <c r="D17" s="64">
        <f t="shared" si="1"/>
        <v>0</v>
      </c>
      <c r="E17" s="115"/>
      <c r="F17" s="115"/>
      <c r="G17" s="115"/>
      <c r="H17" s="115"/>
      <c r="I17" s="115"/>
      <c r="J17" s="115"/>
      <c r="K17" s="115"/>
      <c r="L17" s="115"/>
      <c r="M17" s="115"/>
      <c r="N17" s="115"/>
      <c r="O17" s="115"/>
    </row>
    <row r="18">
      <c r="A18" s="65" t="s">
        <v>47</v>
      </c>
      <c r="B18" s="65" t="s">
        <v>50</v>
      </c>
      <c r="C18" s="65" t="s">
        <v>412</v>
      </c>
      <c r="D18" s="64">
        <f t="shared" si="1"/>
        <v>556.8848833</v>
      </c>
      <c r="E18" s="115"/>
      <c r="F18" s="115"/>
      <c r="G18" s="116">
        <f>HYPERLINK("https://docs.google.com/spreadsheets/d/1uMOy7i-C_V_w32Qn5d-6jaw226NkXc6a", 4.998)</f>
        <v>4.998</v>
      </c>
      <c r="H18" s="116">
        <f>HYPERLINK("https://docs.google.com/spreadsheets/d/1VhkS8bGIVATheHADR4rKMwMFbTN7Kw3Q", 15.1739833333333)</f>
        <v>15.17398333</v>
      </c>
      <c r="I18" s="116">
        <f>HYPERLINK("https://docs.google.com/spreadsheets/d/12Ydsef5ogXuGiUEYvGaJIikhe6ilwGyc", 25.6749833333333)</f>
        <v>25.67498333</v>
      </c>
      <c r="J18" s="116">
        <f>HYPERLINK("https://docs.google.com/spreadsheets/d/1P5SSxwQyBfMRRmDEznk7KFZpHzTOjmlN", 37.25525)</f>
        <v>37.25525</v>
      </c>
      <c r="K18" s="116">
        <f>HYPERLINK("https://docs.google.com/spreadsheets/d/1DNQfIocoe8yik1h1dEHdhzSRNtrEXm8q", 49.87705)</f>
        <v>49.87705</v>
      </c>
      <c r="L18" s="115"/>
      <c r="M18" s="115"/>
      <c r="N18" s="115"/>
      <c r="O18" s="115"/>
      <c r="P18" s="118">
        <f>HYPERLINK("https://docs.google.com/spreadsheets/d/1uX_0gzMtdxAZQUWxhaoLlUMnpSpxhZ7N", 4.76046666666667)</f>
        <v>4.760466667</v>
      </c>
      <c r="S18" s="118">
        <f>HYPERLINK("https://docs.google.com/spreadsheets/d/1A9Yu_1dt2AgDD5OzJPllbG6d6o0dCGM4", 1.74426666666667)</f>
        <v>1.744266667</v>
      </c>
      <c r="T18" s="118">
        <f>HYPERLINK("https://docs.google.com/spreadsheets/d/15-F-QlIpLwG3Fu4uMCS5pO_0P-PGIOM8", 0.649983333333333)</f>
        <v>0.6499833333</v>
      </c>
      <c r="U18" s="118">
        <f>HYPERLINK("https://docs.google.com/spreadsheets/d/174EQkmMpZmdoYF_J_zLPZEfxL_Uwv6Fr", 2.78483333333333)</f>
        <v>2.784833333</v>
      </c>
      <c r="V18" s="118">
        <f>HYPERLINK("https://docs.google.com/spreadsheets/d/1WvvveUZYQGVFU6HoonPHUW9RL6g1Uax9", 78.0486333333333)</f>
        <v>78.04863333</v>
      </c>
      <c r="W18" s="118">
        <f>HYPERLINK("https://docs.google.com/spreadsheets/d/1hEelZfvsdXKN0wcQxFdyD9vi_N3l-Y0p", 21.1671833333333)</f>
        <v>21.16718333</v>
      </c>
      <c r="Z18" s="118">
        <f>HYPERLINK("https://docs.google.com/spreadsheets/d/1KHr2m2qsUyfvLMBg4xnzQ4Rsiiz9OYLa", 0.3333)</f>
        <v>0.3333</v>
      </c>
      <c r="AA18" s="118">
        <f>HYPERLINK("https://docs.google.com/spreadsheets/d/1b6iCB6MgP3lQf_2eS4w0XYs8fkPbiUp1", 4.27561666666667)</f>
        <v>4.275616667</v>
      </c>
      <c r="AB18" s="118">
        <f>HYPERLINK("https://docs.google.com/spreadsheets/d/17sQZPIuxIENjGPKbpyrDJEPCXt7QR800", 7.66878333333334)</f>
        <v>7.668783333</v>
      </c>
      <c r="AC18" s="118">
        <f>HYPERLINK("https://docs.google.com/spreadsheets/d/1fePGCc0AZZEqMUa3qPlx1YF8ET7G8r7Y", 129.461333333333)</f>
        <v>129.4613333</v>
      </c>
      <c r="AD18" s="118">
        <f>HYPERLINK("https://docs.google.com/spreadsheets/d/1pbJgRowabwg6ZP1N3y6VcHc-9HPi1VTN", 44.5421)</f>
        <v>44.5421</v>
      </c>
      <c r="AK18" s="118">
        <f>HYPERLINK("https://docs.google.com/spreadsheets/d/1Ulj8YHic_voMYtJtzye9zPwYo2vl-Lwd", 0.799716666666667)</f>
        <v>0.7997166667</v>
      </c>
      <c r="AL18" s="118">
        <f>HYPERLINK("https://docs.google.com/spreadsheets/d/1_o2rc5Peyu-6hypdIc04emMz9tiCIa-o", 2.76763333333333)</f>
        <v>2.767633333</v>
      </c>
      <c r="AM18" s="118">
        <f>HYPERLINK("https://docs.google.com/spreadsheets/d/1WCUKj97a4EOV8kXtB4AHAKupUaZXXKsO", 9.38156666666667)</f>
        <v>9.381566667</v>
      </c>
      <c r="AP18" s="118">
        <f>HYPERLINK("https://docs.google.com/spreadsheets/d/1Gojr0F4OMkQHznrlAz3CyUrS4ZBUARi3", 18.4538166666667)</f>
        <v>18.45381667</v>
      </c>
      <c r="AQ18" s="118">
        <f>HYPERLINK("https://docs.google.com/spreadsheets/d/1ZJbsN22qvUY2RlYvf9sSYAldgjJwbXDk", 31.41855)</f>
        <v>31.41855</v>
      </c>
      <c r="AR18" s="118">
        <f>HYPERLINK("https://docs.google.com/spreadsheets/d/1CdJnixgEl3eMFC8O-S3HTTpQXwqZ3Lwt", 17.4178833333333)</f>
        <v>17.41788333</v>
      </c>
      <c r="AU18" s="118">
        <f>HYPERLINK("https://docs.google.com/spreadsheets/d/1D_Judrw_kG3yeNclDWq-EyJGvNuhREoA", 5.44886666666667)</f>
        <v>5.448866667</v>
      </c>
      <c r="AV18" s="118">
        <f>HYPERLINK("https://docs.google.com/spreadsheets/d/1kpWCNYWJFJ-BLUVThbuM_CRXy7BijPyi", 11.0547333333333)</f>
        <v>11.05473333</v>
      </c>
      <c r="AY18" s="126">
        <f>HYPERLINK("https://docs.google.com/spreadsheets/d/1zcEldP-ldPF15Tm3ztVnPjnYGHjPrRjq", 31.72635)</f>
        <v>31.72635</v>
      </c>
    </row>
    <row r="19">
      <c r="A19" s="65" t="s">
        <v>47</v>
      </c>
      <c r="B19" s="65" t="s">
        <v>50</v>
      </c>
      <c r="C19" s="65" t="s">
        <v>413</v>
      </c>
      <c r="D19" s="64">
        <f t="shared" si="1"/>
        <v>348.6263</v>
      </c>
      <c r="E19" s="115"/>
      <c r="F19" s="115"/>
      <c r="G19" s="104">
        <v>0.143050000000001</v>
      </c>
      <c r="H19" s="104">
        <v>3.29008333333333</v>
      </c>
      <c r="I19" s="104">
        <v>11.0975166666667</v>
      </c>
      <c r="J19" s="104">
        <v>19.3149166666667</v>
      </c>
      <c r="K19" s="104">
        <v>49.87705</v>
      </c>
      <c r="L19" s="104"/>
      <c r="M19" s="104"/>
      <c r="N19" s="104"/>
      <c r="O19" s="104"/>
      <c r="P19" s="65">
        <v>4.76046666666667</v>
      </c>
      <c r="Q19" s="65"/>
      <c r="R19" s="65"/>
      <c r="S19" s="65">
        <v>1.1869</v>
      </c>
      <c r="T19" s="65">
        <v>0.649983333333333</v>
      </c>
      <c r="U19" s="65">
        <v>-4.44089209850063E-16</v>
      </c>
      <c r="V19" s="65">
        <v>42.9891</v>
      </c>
      <c r="W19" s="65">
        <v>21.1671833333333</v>
      </c>
      <c r="X19" s="65"/>
      <c r="Y19" s="65"/>
      <c r="Z19" s="65">
        <v>0.0888666666666666</v>
      </c>
      <c r="AA19" s="65">
        <v>2.42095</v>
      </c>
      <c r="AB19" s="65">
        <v>0.864616666666667</v>
      </c>
      <c r="AC19" s="65">
        <v>73.7582833333333</v>
      </c>
      <c r="AD19" s="65">
        <v>17.2656833333333</v>
      </c>
      <c r="AE19" s="65"/>
      <c r="AF19" s="65"/>
      <c r="AG19" s="65"/>
      <c r="AH19" s="65"/>
      <c r="AI19" s="65"/>
      <c r="AK19" s="65">
        <v>0.205983333333334</v>
      </c>
      <c r="AL19" s="65">
        <v>0.650516666666667</v>
      </c>
      <c r="AM19" s="65">
        <v>9.38156666666667</v>
      </c>
      <c r="AN19" s="65"/>
      <c r="AP19" s="65">
        <v>18.4538166666667</v>
      </c>
      <c r="AQ19" s="65">
        <v>16.4712333333334</v>
      </c>
      <c r="AR19" s="65">
        <v>17.4178833333333</v>
      </c>
      <c r="AT19" s="65"/>
      <c r="AU19" s="65">
        <v>1.75648333333333</v>
      </c>
      <c r="AV19" s="65">
        <v>3.68781666666666</v>
      </c>
      <c r="AY19" s="65">
        <v>31.72635</v>
      </c>
    </row>
    <row r="20">
      <c r="A20" s="119" t="s">
        <v>47</v>
      </c>
      <c r="B20" s="119" t="s">
        <v>50</v>
      </c>
      <c r="C20" s="119" t="s">
        <v>414</v>
      </c>
      <c r="D20" s="120">
        <f t="shared" si="1"/>
        <v>5.448866667</v>
      </c>
      <c r="E20" s="121"/>
      <c r="F20" s="121"/>
      <c r="G20" s="122">
        <f>HYPERLINK("https://docs.google.com/spreadsheets/d/1uMOy7i-C_V_w32Qn5d-6jaw226NkXc6a", 0)</f>
        <v>0</v>
      </c>
      <c r="H20" s="122">
        <f>HYPERLINK("https://docs.google.com/spreadsheets/d/1VhkS8bGIVATheHADR4rKMwMFbTN7Kw3Q", 0)</f>
        <v>0</v>
      </c>
      <c r="I20" s="122">
        <f>HYPERLINK("https://docs.google.com/spreadsheets/d/12Ydsef5ogXuGiUEYvGaJIikhe6ilwGyc", 0)</f>
        <v>0</v>
      </c>
      <c r="J20" s="122">
        <f>HYPERLINK("https://docs.google.com/spreadsheets/d/1P5SSxwQyBfMRRmDEznk7KFZpHzTOjmlN", 0)</f>
        <v>0</v>
      </c>
      <c r="K20" s="122">
        <f>HYPERLINK("https://docs.google.com/spreadsheets/d/1DNQfIocoe8yik1h1dEHdhzSRNtrEXm8q", 0)</f>
        <v>0</v>
      </c>
      <c r="L20" s="121"/>
      <c r="M20" s="121"/>
      <c r="N20" s="123"/>
      <c r="O20" s="121"/>
      <c r="P20" s="124">
        <f>HYPERLINK("https://docs.google.com/spreadsheets/d/1uX_0gzMtdxAZQUWxhaoLlUMnpSpxhZ7N", 0)</f>
        <v>0</v>
      </c>
      <c r="Q20" s="119"/>
      <c r="R20" s="119"/>
      <c r="S20" s="124">
        <f>HYPERLINK("https://docs.google.com/spreadsheets/d/1A9Yu_1dt2AgDD5OzJPllbG6d6o0dCGM4", 0)</f>
        <v>0</v>
      </c>
      <c r="T20" s="125">
        <f>HYPERLINK("https://docs.google.com/spreadsheets/d/15-F-QlIpLwG3Fu4uMCS5pO_0P-PGIOM8", 0)</f>
        <v>0</v>
      </c>
      <c r="U20" s="125">
        <f>HYPERLINK("https://docs.google.com/spreadsheets/d/174EQkmMpZmdoYF_J_zLPZEfxL_Uwv6Fr", 0)</f>
        <v>0</v>
      </c>
      <c r="V20" s="124">
        <f>HYPERLINK("https://docs.google.com/spreadsheets/d/1WvvveUZYQGVFU6HoonPHUW9RL6g1Uax9", 0)</f>
        <v>0</v>
      </c>
      <c r="W20" s="124">
        <f>HYPERLINK("https://docs.google.com/spreadsheets/d/1hEelZfvsdXKN0wcQxFdyD9vi_N3l-Y0p", 0)</f>
        <v>0</v>
      </c>
      <c r="X20" s="119"/>
      <c r="Y20" s="119"/>
      <c r="Z20" s="124">
        <f>HYPERLINK("https://docs.google.com/spreadsheets/d/1KHr2m2qsUyfvLMBg4xnzQ4Rsiiz9OYLa", 0)</f>
        <v>0</v>
      </c>
      <c r="AA20" s="124">
        <f>HYPERLINK("https://docs.google.com/spreadsheets/d/1b6iCB6MgP3lQf_2eS4w0XYs8fkPbiUp1", 0)</f>
        <v>0</v>
      </c>
      <c r="AB20" s="124">
        <f>HYPERLINK("https://docs.google.com/spreadsheets/d/17sQZPIuxIENjGPKbpyrDJEPCXt7QR800", 0)</f>
        <v>0</v>
      </c>
      <c r="AC20" s="124">
        <f>HYPERLINK("https://docs.google.com/spreadsheets/d/1fePGCc0AZZEqMUa3qPlx1YF8ET7G8r7Y", 0)</f>
        <v>0</v>
      </c>
      <c r="AD20" s="124">
        <f>HYPERLINK("https://docs.google.com/spreadsheets/d/1pbJgRowabwg6ZP1N3y6VcHc-9HPi1VTN", 0)</f>
        <v>0</v>
      </c>
      <c r="AE20" s="120"/>
      <c r="AF20" s="120"/>
      <c r="AG20" s="119"/>
      <c r="AH20" s="119"/>
      <c r="AI20" s="119"/>
      <c r="AJ20" s="120"/>
      <c r="AK20" s="124">
        <f>HYPERLINK("https://docs.google.com/spreadsheets/d/1Ulj8YHic_voMYtJtzye9zPwYo2vl-Lwd", 0)</f>
        <v>0</v>
      </c>
      <c r="AL20" s="125">
        <f>HYPERLINK("https://docs.google.com/spreadsheets/d/1_o2rc5Peyu-6hypdIc04emMz9tiCIa-o", 0)</f>
        <v>0</v>
      </c>
      <c r="AM20" s="124">
        <f>HYPERLINK("https://docs.google.com/spreadsheets/d/1WCUKj97a4EOV8kXtB4AHAKupUaZXXKsO", 0)</f>
        <v>0</v>
      </c>
      <c r="AN20" s="119"/>
      <c r="AO20" s="120"/>
      <c r="AP20" s="124">
        <f>HYPERLINK("https://docs.google.com/spreadsheets/d/1Gojr0F4OMkQHznrlAz3CyUrS4ZBUARi3", 0)</f>
        <v>0</v>
      </c>
      <c r="AQ20" s="125">
        <f>HYPERLINK("https://docs.google.com/spreadsheets/d/1ZJbsN22qvUY2RlYvf9sSYAldgjJwbXDk", 0)</f>
        <v>0</v>
      </c>
      <c r="AR20" s="125">
        <f>HYPERLINK("https://docs.google.com/spreadsheets/d/1CdJnixgEl3eMFC8O-S3HTTpQXwqZ3Lwt", 0)</f>
        <v>0</v>
      </c>
      <c r="AS20" s="120"/>
      <c r="AT20" s="120"/>
      <c r="AU20" s="124">
        <f>HYPERLINK("https://docs.google.com/spreadsheets/d/1D_Judrw_kG3yeNclDWq-EyJGvNuhREoA", 5.44886666666667)</f>
        <v>5.448866667</v>
      </c>
      <c r="AV20" s="124">
        <f>HYPERLINK("https://docs.google.com/spreadsheets/d/1kpWCNYWJFJ-BLUVThbuM_CRXy7BijPyi", 0)</f>
        <v>0</v>
      </c>
      <c r="AW20" s="120"/>
      <c r="AX20" s="120"/>
      <c r="AY20" s="124">
        <f>HYPERLINK("https://docs.google.com/spreadsheets/d/1zcEldP-ldPF15Tm3ztVnPjnYGHjPrRjq", 0)</f>
        <v>0</v>
      </c>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row>
    <row r="21">
      <c r="A21" s="112" t="s">
        <v>47</v>
      </c>
      <c r="B21" s="112" t="s">
        <v>51</v>
      </c>
      <c r="C21" s="112" t="s">
        <v>409</v>
      </c>
      <c r="D21" s="113">
        <f t="shared" si="1"/>
        <v>436.27945</v>
      </c>
      <c r="E21" s="114">
        <v>91.4267333333334</v>
      </c>
      <c r="F21" s="114"/>
      <c r="G21" s="114"/>
      <c r="H21" s="114"/>
      <c r="I21" s="114"/>
      <c r="J21" s="114"/>
      <c r="K21" s="114"/>
      <c r="L21" s="114">
        <v>1.22365</v>
      </c>
      <c r="M21" s="114"/>
      <c r="N21" s="114"/>
      <c r="O21" s="114">
        <v>16.9388333333333</v>
      </c>
      <c r="P21" s="112"/>
      <c r="Q21" s="112">
        <v>0.343533333333333</v>
      </c>
      <c r="R21" s="112">
        <v>89.3363333333333</v>
      </c>
      <c r="S21" s="112"/>
      <c r="T21" s="112"/>
      <c r="U21" s="112"/>
      <c r="V21" s="112"/>
      <c r="W21" s="112"/>
      <c r="X21" s="112">
        <v>1.39305</v>
      </c>
      <c r="Y21" s="112">
        <v>131.107783333333</v>
      </c>
      <c r="Z21" s="112"/>
      <c r="AA21" s="113"/>
      <c r="AB21" s="112"/>
      <c r="AC21" s="112"/>
      <c r="AD21" s="112"/>
      <c r="AE21" s="112">
        <v>2.27858333333333</v>
      </c>
      <c r="AF21" s="112"/>
      <c r="AG21" s="112"/>
      <c r="AH21" s="112">
        <v>10.2726166666667</v>
      </c>
      <c r="AI21" s="112"/>
      <c r="AJ21" s="112"/>
      <c r="AK21" s="112"/>
      <c r="AL21" s="113"/>
      <c r="AM21" s="112"/>
      <c r="AN21" s="112">
        <v>1.07113333333333</v>
      </c>
      <c r="AO21" s="112">
        <v>46.1758333333334</v>
      </c>
      <c r="AP21" s="112"/>
      <c r="AQ21" s="113"/>
      <c r="AR21" s="112"/>
      <c r="AS21" s="112">
        <v>2.91108333333333</v>
      </c>
      <c r="AT21" s="112">
        <v>20.04775</v>
      </c>
      <c r="AU21" s="112"/>
      <c r="AV21" s="112"/>
      <c r="AW21" s="112">
        <v>2.21503333333333</v>
      </c>
      <c r="AX21" s="112">
        <v>17.99375</v>
      </c>
      <c r="AY21" s="113"/>
      <c r="AZ21" s="112">
        <v>0.904166666666667</v>
      </c>
      <c r="BA21" s="112">
        <v>0.639583333333333</v>
      </c>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113"/>
      <c r="CB21" s="113"/>
      <c r="CC21" s="113"/>
      <c r="CD21" s="113"/>
      <c r="CE21" s="113"/>
      <c r="CF21" s="113"/>
      <c r="CG21" s="113"/>
      <c r="CH21" s="113"/>
      <c r="CI21" s="113"/>
      <c r="CJ21" s="113"/>
      <c r="CK21" s="113"/>
      <c r="CL21" s="113"/>
      <c r="CM21" s="113"/>
      <c r="CN21" s="113"/>
      <c r="CO21" s="113"/>
      <c r="CP21" s="113"/>
      <c r="CQ21" s="113"/>
      <c r="CR21" s="113"/>
      <c r="CS21" s="113"/>
      <c r="CT21" s="113"/>
      <c r="CU21" s="113"/>
      <c r="CV21" s="113"/>
      <c r="CW21" s="113"/>
      <c r="CX21" s="113"/>
      <c r="CY21" s="113"/>
      <c r="CZ21" s="113"/>
      <c r="DA21" s="113"/>
      <c r="DB21" s="113"/>
      <c r="DC21" s="113"/>
      <c r="DD21" s="113"/>
      <c r="DE21" s="113"/>
      <c r="DF21" s="113"/>
      <c r="DG21" s="113"/>
      <c r="DH21" s="113"/>
      <c r="DI21" s="113"/>
      <c r="DJ21" s="113"/>
      <c r="DK21" s="113"/>
      <c r="DL21" s="113"/>
      <c r="DM21" s="113"/>
      <c r="DN21" s="113"/>
      <c r="DO21" s="113"/>
      <c r="DP21" s="113"/>
      <c r="DQ21" s="113"/>
      <c r="DR21" s="113"/>
      <c r="DS21" s="113"/>
      <c r="DT21" s="113"/>
      <c r="DU21" s="113"/>
      <c r="DV21" s="113"/>
      <c r="DW21" s="113"/>
      <c r="DX21" s="113"/>
      <c r="DY21" s="113"/>
      <c r="DZ21" s="113"/>
      <c r="EA21" s="113"/>
      <c r="EB21" s="113"/>
      <c r="EC21" s="113"/>
      <c r="ED21" s="113"/>
      <c r="EE21" s="113"/>
      <c r="EF21" s="113"/>
      <c r="EG21" s="113"/>
      <c r="EH21" s="113"/>
      <c r="EI21" s="113"/>
      <c r="EJ21" s="113"/>
      <c r="EK21" s="113"/>
      <c r="EL21" s="113"/>
      <c r="EM21" s="113"/>
      <c r="EN21" s="113"/>
      <c r="EO21" s="113"/>
      <c r="EP21" s="113"/>
      <c r="EQ21" s="113"/>
      <c r="ER21" s="113"/>
      <c r="ES21" s="113"/>
      <c r="ET21" s="113"/>
      <c r="EU21" s="113"/>
      <c r="EV21" s="113"/>
      <c r="EW21" s="113"/>
      <c r="EX21" s="113"/>
      <c r="EY21" s="113"/>
    </row>
    <row r="22">
      <c r="A22" s="65" t="s">
        <v>47</v>
      </c>
      <c r="B22" s="65" t="s">
        <v>51</v>
      </c>
      <c r="C22" s="65" t="s">
        <v>410</v>
      </c>
      <c r="D22" s="64">
        <f t="shared" si="1"/>
        <v>348.5972833</v>
      </c>
      <c r="E22" s="115"/>
      <c r="F22" s="104"/>
      <c r="G22" s="104">
        <v>1.92433333333333</v>
      </c>
      <c r="H22" s="104">
        <v>11.0581666666667</v>
      </c>
      <c r="I22" s="104">
        <v>9.4831</v>
      </c>
      <c r="J22" s="104">
        <v>38.9168666666667</v>
      </c>
      <c r="K22" s="104">
        <v>18.3454166666667</v>
      </c>
      <c r="L22" s="104"/>
      <c r="M22" s="104"/>
      <c r="N22" s="104">
        <v>1.92433333333333</v>
      </c>
      <c r="O22" s="104"/>
      <c r="P22" s="65">
        <v>2.50546666666667</v>
      </c>
      <c r="Q22" s="65"/>
      <c r="R22" s="65"/>
      <c r="S22" s="65">
        <v>1.24845</v>
      </c>
      <c r="T22" s="65">
        <v>0.550116666666667</v>
      </c>
      <c r="U22" s="65">
        <v>7.87285</v>
      </c>
      <c r="V22" s="65">
        <v>53.9045333333333</v>
      </c>
      <c r="W22" s="65">
        <v>18.1887666666667</v>
      </c>
      <c r="X22" s="65"/>
      <c r="Y22" s="65"/>
      <c r="Z22" s="65">
        <v>1.00441666666667</v>
      </c>
      <c r="AA22" s="65">
        <v>0.682716666666667</v>
      </c>
      <c r="AB22" s="65">
        <v>7.27903333333334</v>
      </c>
      <c r="AC22" s="65">
        <v>73.7089833333333</v>
      </c>
      <c r="AD22" s="65">
        <v>29.8024333333334</v>
      </c>
      <c r="AE22" s="65"/>
      <c r="AF22" s="65">
        <v>1.00441666666667</v>
      </c>
      <c r="AG22" s="65">
        <v>0.682716666666667</v>
      </c>
      <c r="AH22" s="65"/>
      <c r="AI22" s="65">
        <v>0.190683333333333</v>
      </c>
      <c r="AK22" s="65">
        <v>1.14355</v>
      </c>
      <c r="AL22" s="65">
        <v>2.15121666666667</v>
      </c>
      <c r="AM22" s="65">
        <v>6.38198333333334</v>
      </c>
      <c r="AN22" s="65"/>
      <c r="AP22" s="65">
        <v>1.53091666666667</v>
      </c>
      <c r="AQ22" s="65">
        <v>19.11735</v>
      </c>
      <c r="AR22" s="65">
        <v>8.49456666666667</v>
      </c>
      <c r="AT22" s="65"/>
      <c r="AU22" s="65">
        <v>0.330866666666667</v>
      </c>
      <c r="AV22" s="65">
        <v>11.1752833333333</v>
      </c>
      <c r="AY22" s="65">
        <v>17.99375</v>
      </c>
    </row>
    <row r="23">
      <c r="A23" s="65" t="s">
        <v>47</v>
      </c>
      <c r="B23" s="65" t="s">
        <v>51</v>
      </c>
      <c r="C23" s="65" t="s">
        <v>411</v>
      </c>
      <c r="D23" s="64">
        <f t="shared" si="1"/>
        <v>0</v>
      </c>
      <c r="E23" s="115"/>
      <c r="F23" s="115"/>
      <c r="G23" s="115"/>
      <c r="H23" s="115"/>
      <c r="I23" s="115"/>
      <c r="J23" s="115"/>
      <c r="K23" s="115"/>
      <c r="L23" s="115"/>
      <c r="M23" s="115"/>
      <c r="N23" s="115"/>
      <c r="O23" s="115"/>
    </row>
    <row r="24">
      <c r="A24" s="65" t="s">
        <v>47</v>
      </c>
      <c r="B24" s="65" t="s">
        <v>51</v>
      </c>
      <c r="C24" s="65" t="s">
        <v>412</v>
      </c>
      <c r="D24" s="64">
        <f t="shared" si="1"/>
        <v>337.89615</v>
      </c>
      <c r="E24" s="115"/>
      <c r="F24" s="115"/>
      <c r="G24" s="116">
        <f>HYPERLINK("https://docs.google.com/spreadsheets/d/1yvj7kNKzDiBHP9A5ht-bPfBTO62VApYg", 1.92433333333333)</f>
        <v>1.924333333</v>
      </c>
      <c r="H24" s="116">
        <f>HYPERLINK("https://docs.google.com/spreadsheets/d/1K_05pQYLPO1Ihwur_yZ5XNsx_uokqUDh", 10.8564666666667)</f>
        <v>10.85646667</v>
      </c>
      <c r="I24" s="117">
        <f>HYPERLINK("https://docs.google.com/spreadsheets/d/16YchoQM45hWhWojRNvy2JDjqSRRDrvHO", 9.4831)</f>
        <v>9.4831</v>
      </c>
      <c r="J24" s="116">
        <f>HYPERLINK("https://docs.google.com/spreadsheets/d/12NPLzTDyTt1hnKCMa9xixuk5k2PcXvyg", 35.6082333333333)</f>
        <v>35.60823333</v>
      </c>
      <c r="K24" s="117">
        <f>HYPERLINK("https://docs.google.com/spreadsheets/d/1naaSgy6IdC5Hsn0AzGfKRv7hXc_s5rgi", 18.3454166666667)</f>
        <v>18.34541667</v>
      </c>
      <c r="L24" s="115"/>
      <c r="M24" s="104"/>
      <c r="N24" s="115"/>
      <c r="O24" s="104"/>
      <c r="P24" s="118">
        <f>HYPERLINK("https://docs.google.com/spreadsheets/d/19VcE84FcEkcMlMh-U5ornwedLQ6kiHjE", 2.50546666666667)</f>
        <v>2.505466667</v>
      </c>
      <c r="S24" s="118">
        <f>HYPERLINK("https://docs.google.com/spreadsheets/d/1de26o1IbrkJWuG_r3eLvTtOu6v205Whr", 1.24845)</f>
        <v>1.24845</v>
      </c>
      <c r="T24" s="118">
        <f>HYPERLINK("https://docs.google.com/spreadsheets/d/1FCoYudlp2b3GpJAkrWUNvr1QAp6hmEC2", 0.550116666666667)</f>
        <v>0.5501166667</v>
      </c>
      <c r="U24" s="118">
        <f>HYPERLINK("https://docs.google.com/spreadsheets/d/1AGNk07ADT0knIvcSra2Dk6AaDn3GC4Hs", 7.87285)</f>
        <v>7.87285</v>
      </c>
      <c r="V24" s="118">
        <f>HYPERLINK("https://docs.google.com/spreadsheets/d/1z3VPh5wr-E920hDSrKz43QkIVI6O1f_R", 53.9045166666667)</f>
        <v>53.90451667</v>
      </c>
      <c r="W24" s="118">
        <f>HYPERLINK("https://docs.google.com/spreadsheets/d/1sDm8ggoRHaTtaOKw5JtaGtTpYAfJn_sO", 18.0327833333333)</f>
        <v>18.03278333</v>
      </c>
      <c r="Z24" s="118">
        <f>HYPERLINK("https://docs.google.com/spreadsheets/d/1SJW5JcevevxrBK-64lPgUlvu2iQ8-rEs", 1.00441666666667)</f>
        <v>1.004416667</v>
      </c>
      <c r="AA24" s="118">
        <f>HYPERLINK("https://docs.google.com/spreadsheets/d/1B8S1xjDVqufLqlFMG_bJoIq9PWFfY4lU", 0.682716666666667)</f>
        <v>0.6827166667</v>
      </c>
      <c r="AB24" s="118">
        <f>HYPERLINK("https://docs.google.com/spreadsheets/d/1K3vtl463KjhbykVTthcHt15atEAbk0nr", 7.27905)</f>
        <v>7.27905</v>
      </c>
      <c r="AC24" s="118">
        <f>HYPERLINK("https://docs.google.com/spreadsheets/d/1GMdtP4brG6fDmvgngfgtQ1O2IpYlVE7J", 73.5152166666666)</f>
        <v>73.51521667</v>
      </c>
      <c r="AD24" s="118">
        <f>HYPERLINK("https://docs.google.com/spreadsheets/d/1a0qyhf4MaG604tIBHcQoqEl_aD3BkNq_", 29.8024666666667)</f>
        <v>29.80246667</v>
      </c>
      <c r="AI24" s="118">
        <f>HYPERLINK("https://docs.google.com/spreadsheets/d/17-fqKfTDbtxV47N1UrQ6IX02YEGWBJu_", 0)</f>
        <v>0</v>
      </c>
      <c r="AK24" s="118">
        <f>HYPERLINK("https://docs.google.com/spreadsheets/d/1Ir8ikf7a6mdBY8I-1hqaSY_Yw14UQZdV", 1.14355)</f>
        <v>1.14355</v>
      </c>
      <c r="AL24" s="118">
        <f>HYPERLINK("https://docs.google.com/spreadsheets/d/1bn4zABSxrwzQQZMpchO0-aVbwU2w7bj7", 2.15121666666667)</f>
        <v>2.151216667</v>
      </c>
      <c r="AM24" s="118">
        <f>HYPERLINK("https://docs.google.com/spreadsheets/d/1PNuuVQMdf3CUMQYEWcssVXLbYVmV_dJj", 6.38198333333334)</f>
        <v>6.381983333</v>
      </c>
      <c r="AP24" s="118">
        <f>HYPERLINK("https://docs.google.com/spreadsheets/d/1KA9HWpPO6En2Hlqn7rNMMkpOJsb-biJe", 1.53091666666667)</f>
        <v>1.530916667</v>
      </c>
      <c r="AQ24" s="118">
        <f>HYPERLINK("https://docs.google.com/spreadsheets/d/1S66yJdBSq9XONvexLs7yhA09YVbzof49", 16.0784333333333)</f>
        <v>16.07843333</v>
      </c>
      <c r="AR24" s="118">
        <f>HYPERLINK("https://docs.google.com/spreadsheets/d/1zi5WRB1NUnPBuc6wp_Er-6AknOci4oyM", 8.49453333333333)</f>
        <v>8.494533333</v>
      </c>
      <c r="AU24" s="118">
        <f>HYPERLINK("https://docs.google.com/spreadsheets/d/1cQNbPM-NFleAhWMlQp9Fto7EhIHsc4KL", 0.330866666666667)</f>
        <v>0.3308666667</v>
      </c>
      <c r="AV24" s="118">
        <f>HYPERLINK("https://docs.google.com/spreadsheets/d/1LlXoXxql6l8c6C6i02GLSylkibnfLeLE", 11.1753)</f>
        <v>11.1753</v>
      </c>
      <c r="AY24" s="118">
        <f>HYPERLINK("https://docs.google.com/spreadsheets/d/1G2etL-8LKiQzHmMYQ17CFsPkhDtsEPgc", 17.99375)</f>
        <v>17.99375</v>
      </c>
    </row>
    <row r="25">
      <c r="A25" s="65" t="s">
        <v>47</v>
      </c>
      <c r="B25" s="65" t="s">
        <v>51</v>
      </c>
      <c r="C25" s="65" t="s">
        <v>413</v>
      </c>
      <c r="D25" s="64">
        <f t="shared" si="1"/>
        <v>202.5038</v>
      </c>
      <c r="E25" s="115"/>
      <c r="F25" s="115"/>
      <c r="G25" s="104">
        <v>0.4914</v>
      </c>
      <c r="H25" s="104">
        <v>2.8658</v>
      </c>
      <c r="I25" s="104">
        <v>4.56498333333333</v>
      </c>
      <c r="J25" s="104">
        <v>21.53715</v>
      </c>
      <c r="K25" s="104">
        <v>18.3454166666667</v>
      </c>
      <c r="L25" s="104"/>
      <c r="M25" s="104"/>
      <c r="N25" s="104"/>
      <c r="O25" s="104"/>
      <c r="P25" s="65">
        <v>2.50546666666667</v>
      </c>
      <c r="Q25" s="65"/>
      <c r="R25" s="65"/>
      <c r="S25" s="65">
        <v>1.24845</v>
      </c>
      <c r="T25" s="65">
        <v>0.550116666666667</v>
      </c>
      <c r="U25" s="65">
        <v>3.27905</v>
      </c>
      <c r="V25" s="65">
        <v>30.1514666666667</v>
      </c>
      <c r="W25" s="65">
        <v>18.0327833333333</v>
      </c>
      <c r="X25" s="65"/>
      <c r="Y25" s="65"/>
      <c r="Z25" s="65">
        <v>0.550283333333333</v>
      </c>
      <c r="AA25" s="65">
        <v>0.454583333333333</v>
      </c>
      <c r="AB25" s="65">
        <v>2.2447</v>
      </c>
      <c r="AC25" s="65">
        <v>38.3139833333333</v>
      </c>
      <c r="AD25" s="65">
        <v>10.5133833333334</v>
      </c>
      <c r="AE25" s="65"/>
      <c r="AF25" s="65"/>
      <c r="AG25" s="65"/>
      <c r="AH25" s="65"/>
      <c r="AI25" s="65">
        <v>0.0</v>
      </c>
      <c r="AK25" s="65">
        <v>0.363516666666667</v>
      </c>
      <c r="AL25" s="65">
        <v>0.296866666666667</v>
      </c>
      <c r="AM25" s="65">
        <v>6.38198333333334</v>
      </c>
      <c r="AN25" s="65"/>
      <c r="AP25" s="65">
        <v>1.53091666666667</v>
      </c>
      <c r="AQ25" s="65">
        <v>7.43761666666667</v>
      </c>
      <c r="AR25" s="65">
        <v>8.49453333333333</v>
      </c>
      <c r="AT25" s="65"/>
      <c r="AU25" s="65">
        <v>0.0</v>
      </c>
      <c r="AV25" s="65">
        <v>4.3556</v>
      </c>
      <c r="AY25" s="65">
        <v>17.99375</v>
      </c>
    </row>
    <row r="26">
      <c r="A26" s="119" t="s">
        <v>47</v>
      </c>
      <c r="B26" s="119" t="s">
        <v>51</v>
      </c>
      <c r="C26" s="119" t="s">
        <v>414</v>
      </c>
      <c r="D26" s="120">
        <f t="shared" si="1"/>
        <v>0.3308666667</v>
      </c>
      <c r="E26" s="121"/>
      <c r="F26" s="121"/>
      <c r="G26" s="122">
        <f>HYPERLINK("https://docs.google.com/spreadsheets/d/1yvj7kNKzDiBHP9A5ht-bPfBTO62VApYg", 0)</f>
        <v>0</v>
      </c>
      <c r="H26" s="122">
        <f>HYPERLINK("https://docs.google.com/spreadsheets/d/1K_05pQYLPO1Ihwur_yZ5XNsx_uokqUDh", 0)</f>
        <v>0</v>
      </c>
      <c r="I26" s="122">
        <f>HYPERLINK("https://docs.google.com/spreadsheets/d/16YchoQM45hWhWojRNvy2JDjqSRRDrvHO", 0)</f>
        <v>0</v>
      </c>
      <c r="J26" s="122">
        <f>HYPERLINK("https://docs.google.com/spreadsheets/d/12NPLzTDyTt1hnKCMa9xixuk5k2PcXvyg", 0)</f>
        <v>0</v>
      </c>
      <c r="K26" s="122">
        <f>HYPERLINK("https://docs.google.com/spreadsheets/d/1naaSgy6IdC5Hsn0AzGfKRv7hXc_s5rgi", 0)</f>
        <v>0</v>
      </c>
      <c r="L26" s="121"/>
      <c r="M26" s="121"/>
      <c r="N26" s="123"/>
      <c r="O26" s="121"/>
      <c r="P26" s="124">
        <f>HYPERLINK("https://docs.google.com/spreadsheets/d/19VcE84FcEkcMlMh-U5ornwedLQ6kiHjE", 0)</f>
        <v>0</v>
      </c>
      <c r="Q26" s="120"/>
      <c r="R26" s="119"/>
      <c r="S26" s="124">
        <f>HYPERLINK("https://docs.google.com/spreadsheets/d/1de26o1IbrkJWuG_r3eLvTtOu6v205Whr", 0)</f>
        <v>0</v>
      </c>
      <c r="T26" s="125">
        <f>HYPERLINK("https://docs.google.com/spreadsheets/d/1FCoYudlp2b3GpJAkrWUNvr1QAp6hmEC2", 0)</f>
        <v>0</v>
      </c>
      <c r="U26" s="125">
        <f>HYPERLINK("https://docs.google.com/spreadsheets/d/1AGNk07ADT0knIvcSra2Dk6AaDn3GC4Hs", 0)</f>
        <v>0</v>
      </c>
      <c r="V26" s="124">
        <f>HYPERLINK("https://docs.google.com/spreadsheets/d/1z3VPh5wr-E920hDSrKz43QkIVI6O1f_R", 0)</f>
        <v>0</v>
      </c>
      <c r="W26" s="124">
        <f>HYPERLINK("https://docs.google.com/spreadsheets/d/1sDm8ggoRHaTtaOKw5JtaGtTpYAfJn_sO", 0)</f>
        <v>0</v>
      </c>
      <c r="X26" s="119"/>
      <c r="Y26" s="119"/>
      <c r="Z26" s="124">
        <f>HYPERLINK("https://docs.google.com/spreadsheets/d/1SJW5JcevevxrBK-64lPgUlvu2iQ8-rEs", 0)</f>
        <v>0</v>
      </c>
      <c r="AA26" s="124">
        <f>HYPERLINK("https://docs.google.com/spreadsheets/d/1B8S1xjDVqufLqlFMG_bJoIq9PWFfY4lU", 0)</f>
        <v>0</v>
      </c>
      <c r="AB26" s="124">
        <f>HYPERLINK("https://docs.google.com/spreadsheets/d/1K3vtl463KjhbykVTthcHt15atEAbk0nr", 0)</f>
        <v>0</v>
      </c>
      <c r="AC26" s="124">
        <f>HYPERLINK("https://docs.google.com/spreadsheets/d/1GMdtP4brG6fDmvgngfgtQ1O2IpYlVE7J", 0)</f>
        <v>0</v>
      </c>
      <c r="AD26" s="124">
        <f>HYPERLINK("https://docs.google.com/spreadsheets/d/1a0qyhf4MaG604tIBHcQoqEl_aD3BkNq_", 0)</f>
        <v>0</v>
      </c>
      <c r="AE26" s="119"/>
      <c r="AF26" s="120"/>
      <c r="AG26" s="119"/>
      <c r="AH26" s="119"/>
      <c r="AI26" s="125">
        <f>HYPERLINK("https://docs.google.com/spreadsheets/d/17-fqKfTDbtxV47N1UrQ6IX02YEGWBJu_", 0)</f>
        <v>0</v>
      </c>
      <c r="AJ26" s="120"/>
      <c r="AK26" s="124">
        <f>HYPERLINK("https://docs.google.com/spreadsheets/d/1Ir8ikf7a6mdBY8I-1hqaSY_Yw14UQZdV", 0)</f>
        <v>0</v>
      </c>
      <c r="AL26" s="125">
        <f>HYPERLINK("https://docs.google.com/spreadsheets/d/1bn4zABSxrwzQQZMpchO0-aVbwU2w7bj7", 0)</f>
        <v>0</v>
      </c>
      <c r="AM26" s="124">
        <f>HYPERLINK("https://docs.google.com/spreadsheets/d/1PNuuVQMdf3CUMQYEWcssVXLbYVmV_dJj", 0)</f>
        <v>0</v>
      </c>
      <c r="AN26" s="119"/>
      <c r="AO26" s="120"/>
      <c r="AP26" s="124">
        <f>HYPERLINK("https://docs.google.com/spreadsheets/d/1KA9HWpPO6En2Hlqn7rNMMkpOJsb-biJe", 0)</f>
        <v>0</v>
      </c>
      <c r="AQ26" s="125">
        <f>HYPERLINK("https://docs.google.com/spreadsheets/d/1S66yJdBSq9XONvexLs7yhA09YVbzof49", 0)</f>
        <v>0</v>
      </c>
      <c r="AR26" s="125">
        <f>HYPERLINK("https://docs.google.com/spreadsheets/d/1zi5WRB1NUnPBuc6wp_Er-6AknOci4oyM", 0)</f>
        <v>0</v>
      </c>
      <c r="AS26" s="120"/>
      <c r="AT26" s="120"/>
      <c r="AU26" s="124">
        <f>HYPERLINK("https://docs.google.com/spreadsheets/d/1cQNbPM-NFleAhWMlQp9Fto7EhIHsc4KL", 0.330866666666667)</f>
        <v>0.3308666667</v>
      </c>
      <c r="AV26" s="124">
        <f>HYPERLINK("https://docs.google.com/spreadsheets/d/1LlXoXxql6l8c6C6i02GLSylkibnfLeLE", 0)</f>
        <v>0</v>
      </c>
      <c r="AW26" s="120"/>
      <c r="AX26" s="120"/>
      <c r="AY26" s="124">
        <f>HYPERLINK("https://docs.google.com/spreadsheets/d/1G2etL-8LKiQzHmMYQ17CFsPkhDtsEPgc", 0)</f>
        <v>0</v>
      </c>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0"/>
      <c r="CE26" s="120"/>
      <c r="CF26" s="120"/>
      <c r="CG26" s="120"/>
      <c r="CH26" s="120"/>
      <c r="CI26" s="120"/>
      <c r="CJ26" s="120"/>
      <c r="CK26" s="120"/>
      <c r="CL26" s="120"/>
      <c r="CM26" s="120"/>
      <c r="CN26" s="120"/>
      <c r="CO26" s="120"/>
      <c r="CP26" s="120"/>
      <c r="CQ26" s="120"/>
      <c r="CR26" s="120"/>
      <c r="CS26" s="120"/>
      <c r="CT26" s="120"/>
      <c r="CU26" s="120"/>
      <c r="CV26" s="120"/>
      <c r="CW26" s="120"/>
      <c r="CX26" s="120"/>
      <c r="CY26" s="120"/>
      <c r="CZ26" s="120"/>
      <c r="DA26" s="120"/>
      <c r="DB26" s="120"/>
      <c r="DC26" s="120"/>
      <c r="DD26" s="120"/>
      <c r="DE26" s="120"/>
      <c r="DF26" s="120"/>
      <c r="DG26" s="120"/>
      <c r="DH26" s="120"/>
      <c r="DI26" s="120"/>
      <c r="DJ26" s="120"/>
      <c r="DK26" s="120"/>
      <c r="DL26" s="120"/>
      <c r="DM26" s="120"/>
      <c r="DN26" s="120"/>
      <c r="DO26" s="120"/>
      <c r="DP26" s="120"/>
      <c r="DQ26" s="120"/>
      <c r="DR26" s="120"/>
      <c r="DS26" s="120"/>
      <c r="DT26" s="120"/>
      <c r="DU26" s="120"/>
      <c r="DV26" s="120"/>
      <c r="DW26" s="120"/>
      <c r="DX26" s="120"/>
      <c r="DY26" s="120"/>
      <c r="DZ26" s="120"/>
      <c r="EA26" s="120"/>
      <c r="EB26" s="120"/>
      <c r="EC26" s="120"/>
      <c r="ED26" s="120"/>
      <c r="EE26" s="120"/>
      <c r="EF26" s="120"/>
      <c r="EG26" s="120"/>
      <c r="EH26" s="120"/>
      <c r="EI26" s="120"/>
      <c r="EJ26" s="120"/>
      <c r="EK26" s="120"/>
      <c r="EL26" s="120"/>
      <c r="EM26" s="120"/>
      <c r="EN26" s="120"/>
      <c r="EO26" s="120"/>
      <c r="EP26" s="120"/>
      <c r="EQ26" s="120"/>
      <c r="ER26" s="120"/>
      <c r="ES26" s="120"/>
      <c r="ET26" s="120"/>
      <c r="EU26" s="120"/>
      <c r="EV26" s="120"/>
      <c r="EW26" s="120"/>
      <c r="EX26" s="120"/>
      <c r="EY26" s="120"/>
    </row>
    <row r="27">
      <c r="A27" s="112" t="s">
        <v>47</v>
      </c>
      <c r="B27" s="112" t="s">
        <v>52</v>
      </c>
      <c r="C27" s="112" t="s">
        <v>409</v>
      </c>
      <c r="D27" s="113">
        <f t="shared" si="1"/>
        <v>846.99635</v>
      </c>
      <c r="E27" s="114">
        <v>188.169383333333</v>
      </c>
      <c r="F27" s="114"/>
      <c r="G27" s="114"/>
      <c r="H27" s="114"/>
      <c r="I27" s="114"/>
      <c r="J27" s="114"/>
      <c r="K27" s="114"/>
      <c r="L27" s="114">
        <v>1.37633333333333</v>
      </c>
      <c r="M27" s="114"/>
      <c r="N27" s="114"/>
      <c r="O27" s="114">
        <v>31.2078</v>
      </c>
      <c r="P27" s="112"/>
      <c r="Q27" s="112">
        <v>0.0696</v>
      </c>
      <c r="R27" s="112">
        <v>73.268</v>
      </c>
      <c r="S27" s="112"/>
      <c r="T27" s="112"/>
      <c r="U27" s="112"/>
      <c r="V27" s="112"/>
      <c r="W27" s="112"/>
      <c r="X27" s="112">
        <v>0.720116666666667</v>
      </c>
      <c r="Y27" s="112">
        <v>270.727616666666</v>
      </c>
      <c r="Z27" s="112"/>
      <c r="AA27" s="113"/>
      <c r="AB27" s="112"/>
      <c r="AC27" s="112"/>
      <c r="AD27" s="112"/>
      <c r="AE27" s="112">
        <v>3.78125</v>
      </c>
      <c r="AF27" s="112"/>
      <c r="AG27" s="112"/>
      <c r="AH27" s="112">
        <v>18.5765166666667</v>
      </c>
      <c r="AI27" s="112"/>
      <c r="AJ27" s="112"/>
      <c r="AK27" s="112"/>
      <c r="AL27" s="113"/>
      <c r="AM27" s="112"/>
      <c r="AN27" s="112">
        <v>0.966116666666667</v>
      </c>
      <c r="AO27" s="112">
        <v>130.003683333333</v>
      </c>
      <c r="AP27" s="112"/>
      <c r="AQ27" s="113"/>
      <c r="AR27" s="112"/>
      <c r="AS27" s="112">
        <v>5.9276</v>
      </c>
      <c r="AT27" s="112">
        <v>60.9969833333334</v>
      </c>
      <c r="AU27" s="112"/>
      <c r="AV27" s="112"/>
      <c r="AW27" s="112">
        <v>4.54811666666667</v>
      </c>
      <c r="AX27" s="112">
        <v>52.6256</v>
      </c>
      <c r="AY27" s="113"/>
      <c r="AZ27" s="112">
        <v>3.59721666666667</v>
      </c>
      <c r="BA27" s="112">
        <v>0.434416666666667</v>
      </c>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113"/>
      <c r="CB27" s="113"/>
      <c r="CC27" s="113"/>
      <c r="CD27" s="113"/>
      <c r="CE27" s="113"/>
      <c r="CF27" s="113"/>
      <c r="CG27" s="113"/>
      <c r="CH27" s="113"/>
      <c r="CI27" s="113"/>
      <c r="CJ27" s="113"/>
      <c r="CK27" s="113"/>
      <c r="CL27" s="113"/>
      <c r="CM27" s="113"/>
      <c r="CN27" s="113"/>
      <c r="CO27" s="113"/>
      <c r="CP27" s="113"/>
      <c r="CQ27" s="113"/>
      <c r="CR27" s="113"/>
      <c r="CS27" s="113"/>
      <c r="CT27" s="113"/>
      <c r="CU27" s="113"/>
      <c r="CV27" s="113"/>
      <c r="CW27" s="113"/>
      <c r="CX27" s="113"/>
      <c r="CY27" s="113"/>
      <c r="CZ27" s="113"/>
      <c r="DA27" s="113"/>
      <c r="DB27" s="113"/>
      <c r="DC27" s="113"/>
      <c r="DD27" s="113"/>
      <c r="DE27" s="113"/>
      <c r="DF27" s="113"/>
      <c r="DG27" s="113"/>
      <c r="DH27" s="113"/>
      <c r="DI27" s="113"/>
      <c r="DJ27" s="113"/>
      <c r="DK27" s="113"/>
      <c r="DL27" s="113"/>
      <c r="DM27" s="113"/>
      <c r="DN27" s="113"/>
      <c r="DO27" s="113"/>
      <c r="DP27" s="113"/>
      <c r="DQ27" s="113"/>
      <c r="DR27" s="113"/>
      <c r="DS27" s="113"/>
      <c r="DT27" s="113"/>
      <c r="DU27" s="113"/>
      <c r="DV27" s="113"/>
      <c r="DW27" s="113"/>
      <c r="DX27" s="113"/>
      <c r="DY27" s="113"/>
      <c r="DZ27" s="113"/>
      <c r="EA27" s="113"/>
      <c r="EB27" s="113"/>
      <c r="EC27" s="113"/>
      <c r="ED27" s="113"/>
      <c r="EE27" s="113"/>
      <c r="EF27" s="113"/>
      <c r="EG27" s="113"/>
      <c r="EH27" s="113"/>
      <c r="EI27" s="113"/>
      <c r="EJ27" s="113"/>
      <c r="EK27" s="113"/>
      <c r="EL27" s="113"/>
      <c r="EM27" s="113"/>
      <c r="EN27" s="113"/>
      <c r="EO27" s="113"/>
      <c r="EP27" s="113"/>
      <c r="EQ27" s="113"/>
      <c r="ER27" s="113"/>
      <c r="ES27" s="113"/>
      <c r="ET27" s="113"/>
      <c r="EU27" s="113"/>
      <c r="EV27" s="113"/>
      <c r="EW27" s="113"/>
      <c r="EX27" s="113"/>
      <c r="EY27" s="113"/>
    </row>
    <row r="28">
      <c r="A28" s="65" t="s">
        <v>47</v>
      </c>
      <c r="B28" s="65" t="s">
        <v>52</v>
      </c>
      <c r="C28" s="65" t="s">
        <v>410</v>
      </c>
      <c r="D28" s="64">
        <f t="shared" si="1"/>
        <v>652.4002</v>
      </c>
      <c r="E28" s="115"/>
      <c r="F28" s="104"/>
      <c r="G28" s="104"/>
      <c r="H28" s="104">
        <v>0.797083333333333</v>
      </c>
      <c r="I28" s="104">
        <v>44.63305</v>
      </c>
      <c r="J28" s="104">
        <v>99.2494833333333</v>
      </c>
      <c r="K28" s="104">
        <v>17.1507166666667</v>
      </c>
      <c r="L28" s="104"/>
      <c r="M28" s="104"/>
      <c r="N28" s="104"/>
      <c r="O28" s="104"/>
      <c r="P28" s="65">
        <v>0.331883333333333</v>
      </c>
      <c r="Q28" s="65"/>
      <c r="R28" s="65"/>
      <c r="S28" s="65">
        <v>0.324116666666667</v>
      </c>
      <c r="T28" s="65">
        <v>0.203066666666667</v>
      </c>
      <c r="U28" s="65"/>
      <c r="V28" s="65">
        <v>46.8109833333334</v>
      </c>
      <c r="W28" s="65">
        <v>11.5359666666667</v>
      </c>
      <c r="X28" s="65"/>
      <c r="Y28" s="65"/>
      <c r="Z28" s="65"/>
      <c r="AA28" s="65">
        <v>49.85365</v>
      </c>
      <c r="AB28" s="65">
        <v>60.2139</v>
      </c>
      <c r="AC28" s="65">
        <v>88.8319500000001</v>
      </c>
      <c r="AD28" s="65">
        <v>34.1231833333333</v>
      </c>
      <c r="AE28" s="65"/>
      <c r="AF28" s="65"/>
      <c r="AG28" s="65">
        <v>49.85365</v>
      </c>
      <c r="AH28" s="65"/>
      <c r="AI28" s="65"/>
      <c r="AJ28" s="65">
        <v>7.04946666666667</v>
      </c>
      <c r="AK28" s="65">
        <v>3.15363333333333</v>
      </c>
      <c r="AL28" s="65">
        <v>0.7106</v>
      </c>
      <c r="AM28" s="65">
        <v>6.42171666666667</v>
      </c>
      <c r="AN28" s="65"/>
      <c r="AP28" s="65">
        <v>25.5138666666667</v>
      </c>
      <c r="AQ28" s="65">
        <v>25.5343166666667</v>
      </c>
      <c r="AR28" s="65">
        <v>6.25211666666666</v>
      </c>
      <c r="AT28" s="65"/>
      <c r="AU28" s="65">
        <v>13.7602666666667</v>
      </c>
      <c r="AV28" s="65">
        <v>10.7086166666667</v>
      </c>
      <c r="AY28" s="65">
        <v>49.3829166666667</v>
      </c>
    </row>
    <row r="29">
      <c r="A29" s="65" t="s">
        <v>47</v>
      </c>
      <c r="B29" s="65" t="s">
        <v>52</v>
      </c>
      <c r="C29" s="65" t="s">
        <v>411</v>
      </c>
      <c r="D29" s="64">
        <f t="shared" si="1"/>
        <v>0</v>
      </c>
      <c r="E29" s="115"/>
      <c r="F29" s="115"/>
      <c r="G29" s="115"/>
      <c r="H29" s="115"/>
      <c r="I29" s="115"/>
      <c r="J29" s="115"/>
      <c r="K29" s="115"/>
      <c r="L29" s="115"/>
      <c r="M29" s="115"/>
      <c r="N29" s="115"/>
      <c r="O29" s="115"/>
    </row>
    <row r="30">
      <c r="A30" s="65" t="s">
        <v>47</v>
      </c>
      <c r="B30" s="65" t="s">
        <v>52</v>
      </c>
      <c r="C30" s="65" t="s">
        <v>412</v>
      </c>
      <c r="D30" s="64">
        <f t="shared" si="1"/>
        <v>598.44365</v>
      </c>
      <c r="E30" s="115"/>
      <c r="F30" s="115"/>
      <c r="G30" s="115"/>
      <c r="H30" s="116">
        <f>HYPERLINK("https://docs.google.com/spreadsheets/d/1ATz9OdscLROalrApW9byPQ_GQpwolcqA", 0.797083333333333)</f>
        <v>0.7970833333</v>
      </c>
      <c r="I30" s="117">
        <f>HYPERLINK("https://docs.google.com/spreadsheets/d/1hnZwEcIP-IUO7pmjOod73juxzxzxSbDo", 44.63305)</f>
        <v>44.63305</v>
      </c>
      <c r="J30" s="116">
        <f>HYPERLINK("https://docs.google.com/spreadsheets/d/16zIr6zgUcL0DYSgLbBKTtbYtU8x9h1ho", 99.2494166666666)</f>
        <v>99.24941667</v>
      </c>
      <c r="K30" s="117">
        <f>HYPERLINK("https://docs.google.com/spreadsheets/d/1sG6_XAE_6cHlmDoIKAWD5YP_FJOShhDi", 17.0267)</f>
        <v>17.0267</v>
      </c>
      <c r="L30" s="115"/>
      <c r="M30" s="104"/>
      <c r="N30" s="115"/>
      <c r="O30" s="104"/>
      <c r="P30" s="118">
        <f>HYPERLINK("https://docs.google.com/spreadsheets/d/11ONwpns-MST7slDyBtwP_n7SihW2PM4k", 0.331883333333333)</f>
        <v>0.3318833333</v>
      </c>
      <c r="S30" s="118">
        <f>HYPERLINK("https://docs.google.com/spreadsheets/d/1UClh3LhXbHUG0AB1xTUJ0kAh2ysHJaQz", 0.162983333333333)</f>
        <v>0.1629833333</v>
      </c>
      <c r="T30" s="118">
        <f>HYPERLINK("https://docs.google.com/spreadsheets/d/1-OPE-MyfPapUtOQTkKnmxZx6HcbYYuYF", 0.203066666666667)</f>
        <v>0.2030666667</v>
      </c>
      <c r="V30" s="118">
        <f>HYPERLINK("https://docs.google.com/spreadsheets/d/1gBN6ySzsJiQky9UYBxEV5WyPeo0d9gvg", 46.4609000000001)</f>
        <v>46.4609</v>
      </c>
      <c r="W30" s="118">
        <f>HYPERLINK("https://docs.google.com/spreadsheets/d/1SELCXGJMy35Qx7kAB3TksDkZPIvaVin_", 11.4200666666667)</f>
        <v>11.42006667</v>
      </c>
      <c r="AA30" s="118">
        <f>HYPERLINK("https://docs.google.com/spreadsheets/d/1YDqXU_8FZOxJdEZHOq-xwLdT9v29E2_q", 47.7353)</f>
        <v>47.7353</v>
      </c>
      <c r="AB30" s="118">
        <f>HYPERLINK("https://docs.google.com/spreadsheets/d/1jO-QF8qCgksXt6XlgjHdbBNkll7rAWCg", 59.6531166666666)</f>
        <v>59.65311667</v>
      </c>
      <c r="AC30" s="118">
        <f>HYPERLINK("https://docs.google.com/spreadsheets/d/19qFokkPVcSlbT2VFzrY6I6LIB8l-JyWK", 88.8319166666667)</f>
        <v>88.83191667</v>
      </c>
      <c r="AD30" s="118">
        <f>HYPERLINK("https://docs.google.com/spreadsheets/d/1wmh-XFrki7L5YWCjeaOBIwk77TIDoq9F", 34.0671833333333)</f>
        <v>34.06718333</v>
      </c>
      <c r="AJ30" s="118">
        <f>HYPERLINK("https://docs.google.com/spreadsheets/d/1gEuEwZHKomIqAFnMTFixN0aXJkg9iIVy", 6.52746666666667)</f>
        <v>6.527466667</v>
      </c>
      <c r="AK30" s="118">
        <f>HYPERLINK("https://docs.google.com/spreadsheets/d/1_y-u1Exd5DOVm4ksNK5hUrw3bKX1CUr_", 3.15363333333333)</f>
        <v>3.153633333</v>
      </c>
      <c r="AL30" s="118">
        <f>HYPERLINK("https://docs.google.com/spreadsheets/d/1hQftFDouI2mp95Hqh7Lx92YUGyucNNGj", 0.7106)</f>
        <v>0.7106</v>
      </c>
      <c r="AM30" s="118">
        <f>HYPERLINK("https://docs.google.com/spreadsheets/d/1S1CAgzXex_0MBJIt2x0-8Bxtp7n94jXv", 6.42171666666667)</f>
        <v>6.421716667</v>
      </c>
      <c r="AP30" s="118">
        <f>HYPERLINK("https://docs.google.com/spreadsheets/d/1z8riOtT-S-VJzwVF5yraY3fQHFUxPGB5", 25.5138166666666)</f>
        <v>25.51381667</v>
      </c>
      <c r="AQ30" s="118">
        <f>HYPERLINK("https://docs.google.com/spreadsheets/d/1OhL-P6MjuqzAT9cbwUZmCXLLed1vj82j", 25.5342833333333)</f>
        <v>25.53428333</v>
      </c>
      <c r="AR30" s="118">
        <f>HYPERLINK("https://docs.google.com/spreadsheets/d/1ZBlCR5HFAYbY_t9scFCayoE74gE9Xujb", 6.25211666666666)</f>
        <v>6.252116667</v>
      </c>
      <c r="AU30" s="118">
        <f>HYPERLINK("https://docs.google.com/spreadsheets/d/1IaRFYShXpyVh9JCRVqZT5x-C8jv2fsZa", 13.6659333333333)</f>
        <v>13.66593333</v>
      </c>
      <c r="AV30" s="118">
        <f>HYPERLINK("https://docs.google.com/spreadsheets/d/1xAmiO0xqG_UhInx2sSkhi4_7sO8GNOm-", 10.7085666666667)</f>
        <v>10.70856667</v>
      </c>
      <c r="AY30" s="118">
        <f>HYPERLINK("https://docs.google.com/spreadsheets/d/1J929fUBt3Xur4P7UmLzsv02rTUoE8Kxm", 49.38285)</f>
        <v>49.38285</v>
      </c>
    </row>
    <row r="31">
      <c r="A31" s="65" t="s">
        <v>47</v>
      </c>
      <c r="B31" s="65" t="s">
        <v>52</v>
      </c>
      <c r="C31" s="65" t="s">
        <v>413</v>
      </c>
      <c r="D31" s="64">
        <f t="shared" si="1"/>
        <v>364.2236</v>
      </c>
      <c r="E31" s="115"/>
      <c r="F31" s="115"/>
      <c r="G31" s="104"/>
      <c r="H31" s="104">
        <v>0.412633333333333</v>
      </c>
      <c r="I31" s="104">
        <v>19.38255</v>
      </c>
      <c r="J31" s="104">
        <v>62.8893666666666</v>
      </c>
      <c r="K31" s="104">
        <v>17.0267</v>
      </c>
      <c r="L31" s="104"/>
      <c r="M31" s="104"/>
      <c r="N31" s="104"/>
      <c r="O31" s="104"/>
      <c r="P31" s="65">
        <v>0.331883333333333</v>
      </c>
      <c r="Q31" s="65"/>
      <c r="R31" s="65"/>
      <c r="S31" s="65">
        <v>0.162983333333333</v>
      </c>
      <c r="T31" s="65">
        <v>0.203066666666667</v>
      </c>
      <c r="U31" s="65"/>
      <c r="V31" s="65">
        <v>28.8473000000001</v>
      </c>
      <c r="W31" s="65">
        <v>11.4200666666667</v>
      </c>
      <c r="X31" s="65"/>
      <c r="Y31" s="65"/>
      <c r="Z31" s="65"/>
      <c r="AA31" s="65">
        <v>28.0656166666667</v>
      </c>
      <c r="AB31" s="65">
        <v>26.4482666666666</v>
      </c>
      <c r="AC31" s="65">
        <v>48.3322666666667</v>
      </c>
      <c r="AD31" s="65">
        <v>7.11051666666668</v>
      </c>
      <c r="AE31" s="65"/>
      <c r="AF31" s="65"/>
      <c r="AG31" s="65"/>
      <c r="AH31" s="65"/>
      <c r="AI31" s="65"/>
      <c r="AJ31" s="65">
        <v>6.52746666666667</v>
      </c>
      <c r="AK31" s="65">
        <v>1.06736666666667</v>
      </c>
      <c r="AL31" s="65">
        <v>0.269916666666667</v>
      </c>
      <c r="AM31" s="65">
        <v>6.42171666666667</v>
      </c>
      <c r="AN31" s="65"/>
      <c r="AP31" s="65">
        <v>25.5138166666666</v>
      </c>
      <c r="AQ31" s="65">
        <v>10.26755</v>
      </c>
      <c r="AR31" s="65">
        <v>6.25211666666666</v>
      </c>
      <c r="AT31" s="65"/>
      <c r="AU31" s="65">
        <v>3.15521666666666</v>
      </c>
      <c r="AV31" s="65">
        <v>4.73236666666667</v>
      </c>
      <c r="AY31" s="65">
        <v>49.38285</v>
      </c>
    </row>
    <row r="32">
      <c r="A32" s="119" t="s">
        <v>47</v>
      </c>
      <c r="B32" s="119" t="s">
        <v>52</v>
      </c>
      <c r="C32" s="119" t="s">
        <v>414</v>
      </c>
      <c r="D32" s="120">
        <f t="shared" si="1"/>
        <v>13.66593333</v>
      </c>
      <c r="E32" s="121"/>
      <c r="F32" s="121"/>
      <c r="G32" s="121"/>
      <c r="H32" s="122">
        <f>HYPERLINK("https://docs.google.com/spreadsheets/d/1ATz9OdscLROalrApW9byPQ_GQpwolcqA", 0)</f>
        <v>0</v>
      </c>
      <c r="I32" s="122">
        <f>HYPERLINK("https://docs.google.com/spreadsheets/d/1hnZwEcIP-IUO7pmjOod73juxzxzxSbDo", 0)</f>
        <v>0</v>
      </c>
      <c r="J32" s="122">
        <f>HYPERLINK("https://docs.google.com/spreadsheets/d/16zIr6zgUcL0DYSgLbBKTtbYtU8x9h1ho", 0)</f>
        <v>0</v>
      </c>
      <c r="K32" s="122">
        <f>HYPERLINK("https://docs.google.com/spreadsheets/d/1sG6_XAE_6cHlmDoIKAWD5YP_FJOShhDi", 0)</f>
        <v>0</v>
      </c>
      <c r="L32" s="121"/>
      <c r="M32" s="121"/>
      <c r="N32" s="123"/>
      <c r="O32" s="121"/>
      <c r="P32" s="124">
        <f>HYPERLINK("https://docs.google.com/spreadsheets/d/11ONwpns-MST7slDyBtwP_n7SihW2PM4k", 0)</f>
        <v>0</v>
      </c>
      <c r="Q32" s="120"/>
      <c r="R32" s="119"/>
      <c r="S32" s="124">
        <f>HYPERLINK("https://docs.google.com/spreadsheets/d/1UClh3LhXbHUG0AB1xTUJ0kAh2ysHJaQz", 0)</f>
        <v>0</v>
      </c>
      <c r="T32" s="125">
        <f>HYPERLINK("https://docs.google.com/spreadsheets/d/1-OPE-MyfPapUtOQTkKnmxZx6HcbYYuYF", 0)</f>
        <v>0</v>
      </c>
      <c r="U32" s="119"/>
      <c r="V32" s="124">
        <f>HYPERLINK("https://docs.google.com/spreadsheets/d/1gBN6ySzsJiQky9UYBxEV5WyPeo0d9gvg", 0)</f>
        <v>0</v>
      </c>
      <c r="W32" s="124">
        <f>HYPERLINK("https://docs.google.com/spreadsheets/d/1SELCXGJMy35Qx7kAB3TksDkZPIvaVin_", 0)</f>
        <v>0</v>
      </c>
      <c r="X32" s="120"/>
      <c r="Y32" s="119"/>
      <c r="Z32" s="120"/>
      <c r="AA32" s="124">
        <f>HYPERLINK("https://docs.google.com/spreadsheets/d/1YDqXU_8FZOxJdEZHOq-xwLdT9v29E2_q", 0)</f>
        <v>0</v>
      </c>
      <c r="AB32" s="124">
        <f>HYPERLINK("https://docs.google.com/spreadsheets/d/1jO-QF8qCgksXt6XlgjHdbBNkll7rAWCg", 0)</f>
        <v>0</v>
      </c>
      <c r="AC32" s="124">
        <f>HYPERLINK("https://docs.google.com/spreadsheets/d/19qFokkPVcSlbT2VFzrY6I6LIB8l-JyWK", 0)</f>
        <v>0</v>
      </c>
      <c r="AD32" s="124">
        <f>HYPERLINK("https://docs.google.com/spreadsheets/d/1wmh-XFrki7L5YWCjeaOBIwk77TIDoq9F", 0)</f>
        <v>0</v>
      </c>
      <c r="AE32" s="120"/>
      <c r="AF32" s="119"/>
      <c r="AG32" s="119"/>
      <c r="AH32" s="119"/>
      <c r="AI32" s="119"/>
      <c r="AJ32" s="124">
        <f>HYPERLINK("https://docs.google.com/spreadsheets/d/1gEuEwZHKomIqAFnMTFixN0aXJkg9iIVy", 0)</f>
        <v>0</v>
      </c>
      <c r="AK32" s="124">
        <f>HYPERLINK("https://docs.google.com/spreadsheets/d/1_y-u1Exd5DOVm4ksNK5hUrw3bKX1CUr_", 0)</f>
        <v>0</v>
      </c>
      <c r="AL32" s="125">
        <f>HYPERLINK("https://docs.google.com/spreadsheets/d/1hQftFDouI2mp95Hqh7Lx92YUGyucNNGj", 0)</f>
        <v>0</v>
      </c>
      <c r="AM32" s="124">
        <f>HYPERLINK("https://docs.google.com/spreadsheets/d/1S1CAgzXex_0MBJIt2x0-8Bxtp7n94jXv", 0)</f>
        <v>0</v>
      </c>
      <c r="AN32" s="119"/>
      <c r="AO32" s="120"/>
      <c r="AP32" s="124">
        <f>HYPERLINK("https://docs.google.com/spreadsheets/d/1z8riOtT-S-VJzwVF5yraY3fQHFUxPGB5", 0)</f>
        <v>0</v>
      </c>
      <c r="AQ32" s="125">
        <f>HYPERLINK("https://docs.google.com/spreadsheets/d/1OhL-P6MjuqzAT9cbwUZmCXLLed1vj82j", 0)</f>
        <v>0</v>
      </c>
      <c r="AR32" s="125">
        <f>HYPERLINK("https://docs.google.com/spreadsheets/d/1ZBlCR5HFAYbY_t9scFCayoE74gE9Xujb", 0)</f>
        <v>0</v>
      </c>
      <c r="AS32" s="120"/>
      <c r="AT32" s="120"/>
      <c r="AU32" s="124">
        <f>HYPERLINK("https://docs.google.com/spreadsheets/d/1IaRFYShXpyVh9JCRVqZT5x-C8jv2fsZa", 13.6659333333333)</f>
        <v>13.66593333</v>
      </c>
      <c r="AV32" s="124">
        <f>HYPERLINK("https://docs.google.com/spreadsheets/d/1xAmiO0xqG_UhInx2sSkhi4_7sO8GNOm-", 0)</f>
        <v>0</v>
      </c>
      <c r="AW32" s="120"/>
      <c r="AX32" s="120"/>
      <c r="AY32" s="124">
        <f>HYPERLINK("https://docs.google.com/spreadsheets/d/1J929fUBt3Xur4P7UmLzsv02rTUoE8Kxm", 0)</f>
        <v>0</v>
      </c>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0"/>
      <c r="CE32" s="120"/>
      <c r="CF32" s="120"/>
      <c r="CG32" s="120"/>
      <c r="CH32" s="120"/>
      <c r="CI32" s="120"/>
      <c r="CJ32" s="120"/>
      <c r="CK32" s="120"/>
      <c r="CL32" s="120"/>
      <c r="CM32" s="120"/>
      <c r="CN32" s="120"/>
      <c r="CO32" s="120"/>
      <c r="CP32" s="120"/>
      <c r="CQ32" s="120"/>
      <c r="CR32" s="120"/>
      <c r="CS32" s="120"/>
      <c r="CT32" s="120"/>
      <c r="CU32" s="120"/>
      <c r="CV32" s="120"/>
      <c r="CW32" s="120"/>
      <c r="CX32" s="120"/>
      <c r="CY32" s="120"/>
      <c r="CZ32" s="120"/>
      <c r="DA32" s="120"/>
      <c r="DB32" s="120"/>
      <c r="DC32" s="120"/>
      <c r="DD32" s="120"/>
      <c r="DE32" s="120"/>
      <c r="DF32" s="120"/>
      <c r="DG32" s="120"/>
      <c r="DH32" s="120"/>
      <c r="DI32" s="120"/>
      <c r="DJ32" s="120"/>
      <c r="DK32" s="120"/>
      <c r="DL32" s="120"/>
      <c r="DM32" s="120"/>
      <c r="DN32" s="120"/>
      <c r="DO32" s="120"/>
      <c r="DP32" s="120"/>
      <c r="DQ32" s="120"/>
      <c r="DR32" s="120"/>
      <c r="DS32" s="120"/>
      <c r="DT32" s="120"/>
      <c r="DU32" s="120"/>
      <c r="DV32" s="120"/>
      <c r="DW32" s="120"/>
      <c r="DX32" s="120"/>
      <c r="DY32" s="120"/>
      <c r="DZ32" s="120"/>
      <c r="EA32" s="120"/>
      <c r="EB32" s="120"/>
      <c r="EC32" s="120"/>
      <c r="ED32" s="120"/>
      <c r="EE32" s="120"/>
      <c r="EF32" s="120"/>
      <c r="EG32" s="120"/>
      <c r="EH32" s="120"/>
      <c r="EI32" s="120"/>
      <c r="EJ32" s="120"/>
      <c r="EK32" s="120"/>
      <c r="EL32" s="120"/>
      <c r="EM32" s="120"/>
      <c r="EN32" s="120"/>
      <c r="EO32" s="120"/>
      <c r="EP32" s="120"/>
      <c r="EQ32" s="120"/>
      <c r="ER32" s="120"/>
      <c r="ES32" s="120"/>
      <c r="ET32" s="120"/>
      <c r="EU32" s="120"/>
      <c r="EV32" s="120"/>
      <c r="EW32" s="120"/>
      <c r="EX32" s="120"/>
      <c r="EY32" s="120"/>
    </row>
    <row r="33">
      <c r="A33" s="112" t="s">
        <v>47</v>
      </c>
      <c r="B33" s="112" t="s">
        <v>53</v>
      </c>
      <c r="C33" s="112" t="s">
        <v>409</v>
      </c>
      <c r="D33" s="113">
        <f t="shared" si="1"/>
        <v>470.8999833</v>
      </c>
      <c r="E33" s="114">
        <v>129.623933333333</v>
      </c>
      <c r="F33" s="114"/>
      <c r="G33" s="114"/>
      <c r="H33" s="114"/>
      <c r="I33" s="114"/>
      <c r="J33" s="114"/>
      <c r="K33" s="114"/>
      <c r="L33" s="114">
        <v>1.25495</v>
      </c>
      <c r="M33" s="114"/>
      <c r="N33" s="114"/>
      <c r="O33" s="114">
        <v>34.87525</v>
      </c>
      <c r="P33" s="112"/>
      <c r="Q33" s="112">
        <v>0.260416666666667</v>
      </c>
      <c r="R33" s="112">
        <v>84.4588666666666</v>
      </c>
      <c r="S33" s="112"/>
      <c r="T33" s="112"/>
      <c r="U33" s="112"/>
      <c r="V33" s="112"/>
      <c r="W33" s="112"/>
      <c r="X33" s="112">
        <v>0.406533333333333</v>
      </c>
      <c r="Y33" s="112">
        <v>95.4904000000001</v>
      </c>
      <c r="Z33" s="112"/>
      <c r="AA33" s="113"/>
      <c r="AB33" s="112"/>
      <c r="AC33" s="112"/>
      <c r="AD33" s="112"/>
      <c r="AE33" s="112">
        <v>2.35528333333333</v>
      </c>
      <c r="AF33" s="112"/>
      <c r="AG33" s="112"/>
      <c r="AH33" s="112">
        <v>8.10251666666666</v>
      </c>
      <c r="AI33" s="112"/>
      <c r="AJ33" s="112"/>
      <c r="AK33" s="112"/>
      <c r="AL33" s="113"/>
      <c r="AM33" s="112"/>
      <c r="AN33" s="112">
        <v>0.758566666666667</v>
      </c>
      <c r="AO33" s="112">
        <v>42.64165</v>
      </c>
      <c r="AP33" s="112"/>
      <c r="AQ33" s="113"/>
      <c r="AR33" s="112"/>
      <c r="AS33" s="112">
        <v>1.71461666666667</v>
      </c>
      <c r="AT33" s="112">
        <v>17.1340166666667</v>
      </c>
      <c r="AU33" s="112"/>
      <c r="AV33" s="112"/>
      <c r="AW33" s="112">
        <v>1.48835</v>
      </c>
      <c r="AX33" s="112">
        <v>48.4634166666666</v>
      </c>
      <c r="AY33" s="113"/>
      <c r="AZ33" s="112">
        <v>1.33305</v>
      </c>
      <c r="BA33" s="112">
        <v>0.538166666666667</v>
      </c>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113"/>
      <c r="CB33" s="113"/>
      <c r="CC33" s="113"/>
      <c r="CD33" s="113"/>
      <c r="CE33" s="113"/>
      <c r="CF33" s="113"/>
      <c r="CG33" s="113"/>
      <c r="CH33" s="113"/>
      <c r="CI33" s="113"/>
      <c r="CJ33" s="113"/>
      <c r="CK33" s="113"/>
      <c r="CL33" s="113"/>
      <c r="CM33" s="113"/>
      <c r="CN33" s="113"/>
      <c r="CO33" s="113"/>
      <c r="CP33" s="113"/>
      <c r="CQ33" s="113"/>
      <c r="CR33" s="113"/>
      <c r="CS33" s="113"/>
      <c r="CT33" s="113"/>
      <c r="CU33" s="113"/>
      <c r="CV33" s="113"/>
      <c r="CW33" s="113"/>
      <c r="CX33" s="113"/>
      <c r="CY33" s="113"/>
      <c r="CZ33" s="113"/>
      <c r="DA33" s="113"/>
      <c r="DB33" s="113"/>
      <c r="DC33" s="113"/>
      <c r="DD33" s="113"/>
      <c r="DE33" s="113"/>
      <c r="DF33" s="113"/>
      <c r="DG33" s="113"/>
      <c r="DH33" s="113"/>
      <c r="DI33" s="113"/>
      <c r="DJ33" s="113"/>
      <c r="DK33" s="113"/>
      <c r="DL33" s="113"/>
      <c r="DM33" s="113"/>
      <c r="DN33" s="113"/>
      <c r="DO33" s="113"/>
      <c r="DP33" s="113"/>
      <c r="DQ33" s="113"/>
      <c r="DR33" s="113"/>
      <c r="DS33" s="113"/>
      <c r="DT33" s="113"/>
      <c r="DU33" s="113"/>
      <c r="DV33" s="113"/>
      <c r="DW33" s="113"/>
      <c r="DX33" s="113"/>
      <c r="DY33" s="113"/>
      <c r="DZ33" s="113"/>
      <c r="EA33" s="113"/>
      <c r="EB33" s="113"/>
      <c r="EC33" s="113"/>
      <c r="ED33" s="113"/>
      <c r="EE33" s="113"/>
      <c r="EF33" s="113"/>
      <c r="EG33" s="113"/>
      <c r="EH33" s="113"/>
      <c r="EI33" s="113"/>
      <c r="EJ33" s="113"/>
      <c r="EK33" s="113"/>
      <c r="EL33" s="113"/>
      <c r="EM33" s="113"/>
      <c r="EN33" s="113"/>
      <c r="EO33" s="113"/>
      <c r="EP33" s="113"/>
      <c r="EQ33" s="113"/>
      <c r="ER33" s="113"/>
      <c r="ES33" s="113"/>
      <c r="ET33" s="113"/>
      <c r="EU33" s="113"/>
      <c r="EV33" s="113"/>
      <c r="EW33" s="113"/>
      <c r="EX33" s="113"/>
      <c r="EY33" s="113"/>
    </row>
    <row r="34">
      <c r="A34" s="65" t="s">
        <v>47</v>
      </c>
      <c r="B34" s="65" t="s">
        <v>53</v>
      </c>
      <c r="C34" s="65" t="s">
        <v>410</v>
      </c>
      <c r="D34" s="64">
        <f t="shared" si="1"/>
        <v>415.9251167</v>
      </c>
      <c r="E34" s="104"/>
      <c r="F34" s="104">
        <v>0.545483333333333</v>
      </c>
      <c r="G34" s="104">
        <v>28.8620166666667</v>
      </c>
      <c r="H34" s="104">
        <v>6.58468333333333</v>
      </c>
      <c r="I34" s="104">
        <v>36.65985</v>
      </c>
      <c r="J34" s="104">
        <v>37.1586</v>
      </c>
      <c r="K34" s="104">
        <v>8.36205</v>
      </c>
      <c r="L34" s="104"/>
      <c r="M34" s="104">
        <v>0.545483333333333</v>
      </c>
      <c r="N34" s="104">
        <v>28.8620166666667</v>
      </c>
      <c r="O34" s="104"/>
      <c r="P34" s="65">
        <v>13.24625</v>
      </c>
      <c r="Q34" s="65"/>
      <c r="R34" s="65"/>
      <c r="S34" s="65">
        <v>1.75058333333333</v>
      </c>
      <c r="T34" s="65">
        <v>8.92485</v>
      </c>
      <c r="U34" s="65">
        <v>2.28718333333333</v>
      </c>
      <c r="V34" s="65">
        <v>56.0319</v>
      </c>
      <c r="W34" s="65">
        <v>8.0689</v>
      </c>
      <c r="X34" s="65"/>
      <c r="Y34" s="65"/>
      <c r="Z34" s="65">
        <v>2.41408333333333</v>
      </c>
      <c r="AA34" s="65">
        <v>2.75885</v>
      </c>
      <c r="AB34" s="65">
        <v>6.03493333333333</v>
      </c>
      <c r="AC34" s="65">
        <v>54.92155</v>
      </c>
      <c r="AD34" s="65">
        <v>15.0610333333333</v>
      </c>
      <c r="AE34" s="65"/>
      <c r="AF34" s="65">
        <v>2.41408333333333</v>
      </c>
      <c r="AG34" s="65">
        <v>2.75885</v>
      </c>
      <c r="AH34" s="65"/>
      <c r="AI34" s="65"/>
      <c r="AK34" s="65">
        <v>0.31495</v>
      </c>
      <c r="AL34" s="65">
        <v>2.46895</v>
      </c>
      <c r="AM34" s="65">
        <v>4.88735</v>
      </c>
      <c r="AN34" s="65"/>
      <c r="AP34" s="65">
        <v>14.91785</v>
      </c>
      <c r="AQ34" s="65">
        <v>3.7672</v>
      </c>
      <c r="AR34" s="65">
        <v>6.6754</v>
      </c>
      <c r="AT34" s="65"/>
      <c r="AU34" s="65">
        <v>6.4388</v>
      </c>
      <c r="AV34" s="65">
        <v>4.14776666666667</v>
      </c>
      <c r="AY34" s="65">
        <v>48.0536166666667</v>
      </c>
    </row>
    <row r="35">
      <c r="A35" s="65" t="s">
        <v>47</v>
      </c>
      <c r="B35" s="65" t="s">
        <v>53</v>
      </c>
      <c r="C35" s="65" t="s">
        <v>411</v>
      </c>
      <c r="D35" s="64">
        <f t="shared" si="1"/>
        <v>0</v>
      </c>
      <c r="E35" s="115"/>
      <c r="F35" s="115"/>
      <c r="G35" s="115"/>
      <c r="H35" s="115"/>
      <c r="I35" s="115"/>
      <c r="J35" s="115"/>
      <c r="K35" s="115"/>
      <c r="L35" s="115"/>
      <c r="M35" s="115"/>
      <c r="N35" s="115"/>
      <c r="O35" s="115"/>
    </row>
    <row r="36">
      <c r="A36" s="65" t="s">
        <v>47</v>
      </c>
      <c r="B36" s="65" t="s">
        <v>53</v>
      </c>
      <c r="C36" s="65" t="s">
        <v>412</v>
      </c>
      <c r="D36" s="64">
        <f t="shared" si="1"/>
        <v>377.8841167</v>
      </c>
      <c r="E36" s="115"/>
      <c r="F36" s="117">
        <f>HYPERLINK("https://docs.google.com/spreadsheets/d/1JHBzOrpEIolI9sz1cN0zcFsCQPcAMlWc", 0.195333333333333)</f>
        <v>0.1953333333</v>
      </c>
      <c r="G36" s="116">
        <f>HYPERLINK("https://docs.google.com/spreadsheets/d/1GyqmjlQ9fG8mm-72tb0FFkuxCYnD0S-E", 28.8619833333333)</f>
        <v>28.86198333</v>
      </c>
      <c r="H36" s="116">
        <f>HYPERLINK("https://docs.google.com/spreadsheets/d/1WN1w9h-uWNzKBg0FDT_35Y-NECmePzhP", 6.58466666666667)</f>
        <v>6.584666667</v>
      </c>
      <c r="I36" s="117">
        <f>HYPERLINK("https://docs.google.com/spreadsheets/d/1pSNNB0otOXVhwRZQH1lCPPdmYOAgaibC", 36.5743)</f>
        <v>36.5743</v>
      </c>
      <c r="J36" s="116">
        <f>HYPERLINK("https://docs.google.com/spreadsheets/d/1-ax_SUcfSMlH9x3FbkiRC3pONvKVRnvo", 37.1585833333334)</f>
        <v>37.15858333</v>
      </c>
      <c r="K36" s="117">
        <f>HYPERLINK("https://docs.google.com/spreadsheets/d/1ZXTKozfxSYvaTCw0bXWGfoULHgWH7uGY", 8.28958333333333)</f>
        <v>8.289583333</v>
      </c>
      <c r="L36" s="115"/>
      <c r="M36" s="104"/>
      <c r="N36" s="115"/>
      <c r="O36" s="104"/>
      <c r="P36" s="118">
        <f>HYPERLINK("https://docs.google.com/spreadsheets/d/1tzdUWZiMx31YVoaa2cIfGtzDXf4WjrQn", 11.8460833333333)</f>
        <v>11.84608333</v>
      </c>
      <c r="S36" s="118">
        <f>HYPERLINK("https://docs.google.com/spreadsheets/d/1cmZFlsLdz33ZnP5Ec8zg-k3BtE7pg2k9", 1.5117)</f>
        <v>1.5117</v>
      </c>
      <c r="T36" s="118">
        <f>HYPERLINK("https://docs.google.com/spreadsheets/d/1Bjb2JDRABlLNpedmrY6jJURXMbVUazPc", 8.79291666666667)</f>
        <v>8.792916667</v>
      </c>
      <c r="U36" s="118">
        <f>HYPERLINK("https://docs.google.com/spreadsheets/d/1oq5C-LkNQ04f3spR6XS-U4H5jv3hslgg", 2.28718333333333)</f>
        <v>2.287183333</v>
      </c>
      <c r="V36" s="118">
        <f>HYPERLINK("https://docs.google.com/spreadsheets/d/1Tcy6HrfHq3FNccVxgHnO_udS6zSin7sj", 55.8723166666666)</f>
        <v>55.87231667</v>
      </c>
      <c r="W36" s="118">
        <f>HYPERLINK("https://docs.google.com/spreadsheets/d/1UnTFDkwRayXUBCxJW_aVGKHRZiENRWjB", 8.0689)</f>
        <v>8.0689</v>
      </c>
      <c r="Z36" s="118">
        <f>HYPERLINK("https://docs.google.com/spreadsheets/d/1Ydj4_guMB7x1uqF0no3pdXaMeNT8_uav", 2.41408333333333)</f>
        <v>2.414083333</v>
      </c>
      <c r="AA36" s="118">
        <f>HYPERLINK("https://docs.google.com/spreadsheets/d/1nLA3lNrmaiaS8JRenSLBU-lfV10aXcCY", 2.75885)</f>
        <v>2.75885</v>
      </c>
      <c r="AB36" s="118">
        <f>HYPERLINK("https://docs.google.com/spreadsheets/d/1_KEVFRKFzEbFIHd1MqxLHUnIwfd6iq_v", 6.03493333333333)</f>
        <v>6.034933333</v>
      </c>
      <c r="AC36" s="118">
        <f>HYPERLINK("https://docs.google.com/spreadsheets/d/1wgNkYSbwGEWzSrdYBXrrCpGYadGKcO6n", 54.9214833333333)</f>
        <v>54.92148333</v>
      </c>
      <c r="AD36" s="118">
        <f>HYPERLINK("https://docs.google.com/spreadsheets/d/1pk45mJBZcTmQ8H4krnD40hvqm0NsvAXA", 14.6935166666667)</f>
        <v>14.69351667</v>
      </c>
      <c r="AK36" s="118">
        <f>HYPERLINK("https://docs.google.com/spreadsheets/d/1r_9MwA0yHZG2en6xfnEb2xl-QoGX9iJY", 0.31495)</f>
        <v>0.31495</v>
      </c>
      <c r="AL36" s="118">
        <f>HYPERLINK("https://docs.google.com/spreadsheets/d/1T3Vy-M1fdXUVgRkNcZ0a0C_313e4Qxtr", 2.46895)</f>
        <v>2.46895</v>
      </c>
      <c r="AM36" s="118">
        <f>HYPERLINK("https://docs.google.com/spreadsheets/d/176dtzU3OytNgu4Jkc78CvcBZPl6PvTRh", 4.88735)</f>
        <v>4.88735</v>
      </c>
      <c r="AP36" s="118">
        <f>HYPERLINK("https://docs.google.com/spreadsheets/d/1tcx8LcDLDexWylEurPwUprVnSeSq1MMf", 14.9178333333333)</f>
        <v>14.91783333</v>
      </c>
      <c r="AQ36" s="118">
        <f>HYPERLINK("https://docs.google.com/spreadsheets/d/1xxq1WL0Os0xTPU6ooShae7KaoYx3d8hJ", 3.7672)</f>
        <v>3.7672</v>
      </c>
      <c r="AR36" s="118">
        <f>HYPERLINK("https://docs.google.com/spreadsheets/d/11yHLviKwZUSy51-ftQmwAu6osod99bII", 6.6754)</f>
        <v>6.6754</v>
      </c>
      <c r="AU36" s="118">
        <f>HYPERLINK("https://docs.google.com/spreadsheets/d/1qksETj620pCM8GCf604G1CDj7f4RCzAY", 6.4388)</f>
        <v>6.4388</v>
      </c>
      <c r="AV36" s="118">
        <f>HYPERLINK("https://docs.google.com/spreadsheets/d/1R8R_ldi6y-6p_Ctho5JB81IkQTW2P7nr", 4.14776666666667)</f>
        <v>4.147766667</v>
      </c>
      <c r="AY36" s="118">
        <f>HYPERLINK("https://docs.google.com/spreadsheets/d/1pMZSc4gkOqTeRu7Ef26IV-9oDUYYgZ3B", 47.39945)</f>
        <v>47.39945</v>
      </c>
    </row>
    <row r="37">
      <c r="A37" s="65" t="s">
        <v>47</v>
      </c>
      <c r="B37" s="65" t="s">
        <v>53</v>
      </c>
      <c r="C37" s="65" t="s">
        <v>413</v>
      </c>
      <c r="D37" s="64">
        <f t="shared" si="1"/>
        <v>226.3710667</v>
      </c>
      <c r="E37" s="115"/>
      <c r="F37" s="104">
        <v>0.0</v>
      </c>
      <c r="G37" s="104">
        <v>16.2701833333333</v>
      </c>
      <c r="H37" s="104">
        <v>3.08046666666666</v>
      </c>
      <c r="I37" s="104">
        <v>18.6620333333334</v>
      </c>
      <c r="J37" s="104">
        <v>21.0608333333334</v>
      </c>
      <c r="K37" s="104">
        <v>8.28958333333333</v>
      </c>
      <c r="L37" s="104"/>
      <c r="M37" s="104"/>
      <c r="N37" s="104"/>
      <c r="O37" s="104"/>
      <c r="P37" s="65">
        <v>11.8460833333333</v>
      </c>
      <c r="Q37" s="65"/>
      <c r="R37" s="65"/>
      <c r="S37" s="65">
        <v>1.5117</v>
      </c>
      <c r="T37" s="65">
        <v>8.79291666666667</v>
      </c>
      <c r="U37" s="65">
        <v>0.37925</v>
      </c>
      <c r="V37" s="65">
        <v>22.1863666666666</v>
      </c>
      <c r="W37" s="65">
        <v>8.0689</v>
      </c>
      <c r="X37" s="65"/>
      <c r="Y37" s="65"/>
      <c r="Z37" s="65">
        <v>1.59218333333333</v>
      </c>
      <c r="AA37" s="65">
        <v>1.83645</v>
      </c>
      <c r="AB37" s="65">
        <v>-1.77635683940025E-15</v>
      </c>
      <c r="AC37" s="65">
        <v>17.4013166666667</v>
      </c>
      <c r="AD37" s="65">
        <v>5.20041666666666</v>
      </c>
      <c r="AE37" s="65"/>
      <c r="AF37" s="65"/>
      <c r="AG37" s="65"/>
      <c r="AH37" s="65"/>
      <c r="AI37" s="65"/>
      <c r="AK37" s="65">
        <v>0.0</v>
      </c>
      <c r="AL37" s="65">
        <v>0.891966666666667</v>
      </c>
      <c r="AM37" s="65">
        <v>4.88735</v>
      </c>
      <c r="AN37" s="65"/>
      <c r="AP37" s="65">
        <v>14.9178333333333</v>
      </c>
      <c r="AQ37" s="65">
        <v>0.921800000000001</v>
      </c>
      <c r="AR37" s="65">
        <v>6.6754</v>
      </c>
      <c r="AT37" s="65"/>
      <c r="AU37" s="65">
        <v>3.39218333333334</v>
      </c>
      <c r="AV37" s="65">
        <v>1.1064</v>
      </c>
      <c r="AY37" s="65">
        <v>47.39945</v>
      </c>
    </row>
    <row r="38">
      <c r="A38" s="119" t="s">
        <v>47</v>
      </c>
      <c r="B38" s="119" t="s">
        <v>53</v>
      </c>
      <c r="C38" s="119" t="s">
        <v>414</v>
      </c>
      <c r="D38" s="120">
        <f t="shared" si="1"/>
        <v>6.4388</v>
      </c>
      <c r="E38" s="121"/>
      <c r="F38" s="122">
        <f>HYPERLINK("https://docs.google.com/spreadsheets/d/1JHBzOrpEIolI9sz1cN0zcFsCQPcAMlWc", 0)</f>
        <v>0</v>
      </c>
      <c r="G38" s="122">
        <f>HYPERLINK("https://docs.google.com/spreadsheets/d/1GyqmjlQ9fG8mm-72tb0FFkuxCYnD0S-E", 0)</f>
        <v>0</v>
      </c>
      <c r="H38" s="122">
        <f>HYPERLINK("https://docs.google.com/spreadsheets/d/1WN1w9h-uWNzKBg0FDT_35Y-NECmePzhP", 0)</f>
        <v>0</v>
      </c>
      <c r="I38" s="122">
        <f>HYPERLINK("https://docs.google.com/spreadsheets/d/1pSNNB0otOXVhwRZQH1lCPPdmYOAgaibC", 0)</f>
        <v>0</v>
      </c>
      <c r="J38" s="122">
        <f>HYPERLINK("https://docs.google.com/spreadsheets/d/1-ax_SUcfSMlH9x3FbkiRC3pONvKVRnvo", 0)</f>
        <v>0</v>
      </c>
      <c r="K38" s="122">
        <f>HYPERLINK("https://docs.google.com/spreadsheets/d/1ZXTKozfxSYvaTCw0bXWGfoULHgWH7uGY", 0)</f>
        <v>0</v>
      </c>
      <c r="L38" s="121"/>
      <c r="M38" s="121"/>
      <c r="N38" s="123"/>
      <c r="O38" s="121"/>
      <c r="P38" s="124">
        <f>HYPERLINK("https://docs.google.com/spreadsheets/d/1tzdUWZiMx31YVoaa2cIfGtzDXf4WjrQn", 0)</f>
        <v>0</v>
      </c>
      <c r="Q38" s="120"/>
      <c r="R38" s="119"/>
      <c r="S38" s="124">
        <f>HYPERLINK("https://docs.google.com/spreadsheets/d/1cmZFlsLdz33ZnP5Ec8zg-k3BtE7pg2k9", 0)</f>
        <v>0</v>
      </c>
      <c r="T38" s="125">
        <f>HYPERLINK("https://docs.google.com/spreadsheets/d/1Bjb2JDRABlLNpedmrY6jJURXMbVUazPc", 0)</f>
        <v>0</v>
      </c>
      <c r="U38" s="125">
        <f>HYPERLINK("https://docs.google.com/spreadsheets/d/1oq5C-LkNQ04f3spR6XS-U4H5jv3hslgg", 0)</f>
        <v>0</v>
      </c>
      <c r="V38" s="124">
        <f>HYPERLINK("https://docs.google.com/spreadsheets/d/1Tcy6HrfHq3FNccVxgHnO_udS6zSin7sj", 0)</f>
        <v>0</v>
      </c>
      <c r="W38" s="124">
        <f>HYPERLINK("https://docs.google.com/spreadsheets/d/1UnTFDkwRayXUBCxJW_aVGKHRZiENRWjB", 0)</f>
        <v>0</v>
      </c>
      <c r="X38" s="119"/>
      <c r="Y38" s="119"/>
      <c r="Z38" s="124">
        <f>HYPERLINK("https://docs.google.com/spreadsheets/d/1Ydj4_guMB7x1uqF0no3pdXaMeNT8_uav", 0)</f>
        <v>0</v>
      </c>
      <c r="AA38" s="124">
        <f>HYPERLINK("https://docs.google.com/spreadsheets/d/1nLA3lNrmaiaS8JRenSLBU-lfV10aXcCY", 0)</f>
        <v>0</v>
      </c>
      <c r="AB38" s="124">
        <f>HYPERLINK("https://docs.google.com/spreadsheets/d/1_KEVFRKFzEbFIHd1MqxLHUnIwfd6iq_v", 0)</f>
        <v>0</v>
      </c>
      <c r="AC38" s="124">
        <f>HYPERLINK("https://docs.google.com/spreadsheets/d/1wgNkYSbwGEWzSrdYBXrrCpGYadGKcO6n", 0)</f>
        <v>0</v>
      </c>
      <c r="AD38" s="124">
        <f>HYPERLINK("https://docs.google.com/spreadsheets/d/1pk45mJBZcTmQ8H4krnD40hvqm0NsvAXA", 0)</f>
        <v>0</v>
      </c>
      <c r="AE38" s="120"/>
      <c r="AF38" s="120"/>
      <c r="AG38" s="119"/>
      <c r="AH38" s="119"/>
      <c r="AI38" s="119"/>
      <c r="AJ38" s="120"/>
      <c r="AK38" s="124">
        <f>HYPERLINK("https://docs.google.com/spreadsheets/d/1r_9MwA0yHZG2en6xfnEb2xl-QoGX9iJY", 0)</f>
        <v>0</v>
      </c>
      <c r="AL38" s="125">
        <f>HYPERLINK("https://docs.google.com/spreadsheets/d/1T3Vy-M1fdXUVgRkNcZ0a0C_313e4Qxtr", 0)</f>
        <v>0</v>
      </c>
      <c r="AM38" s="124">
        <f>HYPERLINK("https://docs.google.com/spreadsheets/d/176dtzU3OytNgu4Jkc78CvcBZPl6PvTRh", 0)</f>
        <v>0</v>
      </c>
      <c r="AN38" s="119"/>
      <c r="AO38" s="120"/>
      <c r="AP38" s="124">
        <f>HYPERLINK("https://docs.google.com/spreadsheets/d/1tcx8LcDLDexWylEurPwUprVnSeSq1MMf", 0)</f>
        <v>0</v>
      </c>
      <c r="AQ38" s="125">
        <f>HYPERLINK("https://docs.google.com/spreadsheets/d/1xxq1WL0Os0xTPU6ooShae7KaoYx3d8hJ", 0)</f>
        <v>0</v>
      </c>
      <c r="AR38" s="125">
        <f>HYPERLINK("https://docs.google.com/spreadsheets/d/11yHLviKwZUSy51-ftQmwAu6osod99bII", 0)</f>
        <v>0</v>
      </c>
      <c r="AS38" s="120"/>
      <c r="AT38" s="120"/>
      <c r="AU38" s="124">
        <f>HYPERLINK("https://docs.google.com/spreadsheets/d/1qksETj620pCM8GCf604G1CDj7f4RCzAY", 6.4388)</f>
        <v>6.4388</v>
      </c>
      <c r="AV38" s="124">
        <f>HYPERLINK("https://docs.google.com/spreadsheets/d/1R8R_ldi6y-6p_Ctho5JB81IkQTW2P7nr", 0)</f>
        <v>0</v>
      </c>
      <c r="AW38" s="120"/>
      <c r="AX38" s="120"/>
      <c r="AY38" s="124">
        <f>HYPERLINK("https://docs.google.com/spreadsheets/d/1pMZSc4gkOqTeRu7Ef26IV-9oDUYYgZ3B", 0)</f>
        <v>0</v>
      </c>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0"/>
      <c r="CD38" s="120"/>
      <c r="CE38" s="120"/>
      <c r="CF38" s="120"/>
      <c r="CG38" s="120"/>
      <c r="CH38" s="120"/>
      <c r="CI38" s="120"/>
      <c r="CJ38" s="120"/>
      <c r="CK38" s="120"/>
      <c r="CL38" s="120"/>
      <c r="CM38" s="120"/>
      <c r="CN38" s="120"/>
      <c r="CO38" s="120"/>
      <c r="CP38" s="120"/>
      <c r="CQ38" s="120"/>
      <c r="CR38" s="120"/>
      <c r="CS38" s="120"/>
      <c r="CT38" s="120"/>
      <c r="CU38" s="120"/>
      <c r="CV38" s="120"/>
      <c r="CW38" s="120"/>
      <c r="CX38" s="120"/>
      <c r="CY38" s="120"/>
      <c r="CZ38" s="120"/>
      <c r="DA38" s="120"/>
      <c r="DB38" s="120"/>
      <c r="DC38" s="120"/>
      <c r="DD38" s="120"/>
      <c r="DE38" s="120"/>
      <c r="DF38" s="120"/>
      <c r="DG38" s="120"/>
      <c r="DH38" s="120"/>
      <c r="DI38" s="120"/>
      <c r="DJ38" s="120"/>
      <c r="DK38" s="120"/>
      <c r="DL38" s="120"/>
      <c r="DM38" s="120"/>
      <c r="DN38" s="120"/>
      <c r="DO38" s="120"/>
      <c r="DP38" s="120"/>
      <c r="DQ38" s="120"/>
      <c r="DR38" s="120"/>
      <c r="DS38" s="120"/>
      <c r="DT38" s="120"/>
      <c r="DU38" s="120"/>
      <c r="DV38" s="120"/>
      <c r="DW38" s="120"/>
      <c r="DX38" s="120"/>
      <c r="DY38" s="120"/>
      <c r="DZ38" s="120"/>
      <c r="EA38" s="120"/>
      <c r="EB38" s="120"/>
      <c r="EC38" s="120"/>
      <c r="ED38" s="120"/>
      <c r="EE38" s="120"/>
      <c r="EF38" s="120"/>
      <c r="EG38" s="120"/>
      <c r="EH38" s="120"/>
      <c r="EI38" s="120"/>
      <c r="EJ38" s="120"/>
      <c r="EK38" s="120"/>
      <c r="EL38" s="120"/>
      <c r="EM38" s="120"/>
      <c r="EN38" s="120"/>
      <c r="EO38" s="120"/>
      <c r="EP38" s="120"/>
      <c r="EQ38" s="120"/>
      <c r="ER38" s="120"/>
      <c r="ES38" s="120"/>
      <c r="ET38" s="120"/>
      <c r="EU38" s="120"/>
      <c r="EV38" s="120"/>
      <c r="EW38" s="120"/>
      <c r="EX38" s="120"/>
      <c r="EY38" s="120"/>
    </row>
    <row r="39">
      <c r="A39" s="112" t="s">
        <v>7</v>
      </c>
      <c r="B39" s="112" t="s">
        <v>34</v>
      </c>
      <c r="C39" s="112" t="s">
        <v>409</v>
      </c>
      <c r="D39" s="113">
        <f t="shared" si="1"/>
        <v>566.44595</v>
      </c>
      <c r="E39" s="114">
        <v>90.9001333333334</v>
      </c>
      <c r="F39" s="114"/>
      <c r="G39" s="114"/>
      <c r="H39" s="114"/>
      <c r="I39" s="114"/>
      <c r="J39" s="114"/>
      <c r="K39" s="114"/>
      <c r="L39" s="114">
        <v>1.00543333333333</v>
      </c>
      <c r="M39" s="114"/>
      <c r="N39" s="114"/>
      <c r="O39" s="114">
        <v>38.3396</v>
      </c>
      <c r="P39" s="112"/>
      <c r="Q39" s="112">
        <v>0.327616666666667</v>
      </c>
      <c r="R39" s="112">
        <v>155.8089</v>
      </c>
      <c r="S39" s="112"/>
      <c r="T39" s="112"/>
      <c r="U39" s="112"/>
      <c r="V39" s="112"/>
      <c r="W39" s="112"/>
      <c r="X39" s="112">
        <v>2.10278333333333</v>
      </c>
      <c r="Y39" s="112">
        <v>60.68415</v>
      </c>
      <c r="Z39" s="112"/>
      <c r="AA39" s="113"/>
      <c r="AB39" s="112"/>
      <c r="AC39" s="112"/>
      <c r="AD39" s="112"/>
      <c r="AE39" s="112">
        <v>3.43426666666667</v>
      </c>
      <c r="AF39" s="112"/>
      <c r="AG39" s="112"/>
      <c r="AH39" s="112">
        <v>32.6604833333333</v>
      </c>
      <c r="AI39" s="112"/>
      <c r="AJ39" s="112"/>
      <c r="AK39" s="112"/>
      <c r="AL39" s="113"/>
      <c r="AM39" s="112"/>
      <c r="AN39" s="112">
        <v>1.36421666666667</v>
      </c>
      <c r="AO39" s="112">
        <v>103.951616666666</v>
      </c>
      <c r="AP39" s="112"/>
      <c r="AQ39" s="113"/>
      <c r="AR39" s="112"/>
      <c r="AS39" s="112">
        <v>6.07595</v>
      </c>
      <c r="AT39" s="112">
        <v>14.0501833333333</v>
      </c>
      <c r="AU39" s="112"/>
      <c r="AV39" s="112"/>
      <c r="AW39" s="112">
        <v>1.77403333333333</v>
      </c>
      <c r="AX39" s="112">
        <v>47.6355833333333</v>
      </c>
      <c r="AY39" s="113"/>
      <c r="AZ39" s="112">
        <v>5.10088333333333</v>
      </c>
      <c r="BA39" s="112">
        <v>1.23011666666667</v>
      </c>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113"/>
      <c r="CB39" s="113"/>
      <c r="CC39" s="113"/>
      <c r="CD39" s="113"/>
      <c r="CE39" s="113"/>
      <c r="CF39" s="113"/>
      <c r="CG39" s="113"/>
      <c r="CH39" s="113"/>
      <c r="CI39" s="113"/>
      <c r="CJ39" s="113"/>
      <c r="CK39" s="113"/>
      <c r="CL39" s="113"/>
      <c r="CM39" s="113"/>
      <c r="CN39" s="113"/>
      <c r="CO39" s="113"/>
      <c r="CP39" s="113"/>
      <c r="CQ39" s="113"/>
      <c r="CR39" s="113"/>
      <c r="CS39" s="113"/>
      <c r="CT39" s="113"/>
      <c r="CU39" s="113"/>
      <c r="CV39" s="113"/>
      <c r="CW39" s="113"/>
      <c r="CX39" s="113"/>
      <c r="CY39" s="113"/>
      <c r="CZ39" s="113"/>
      <c r="DA39" s="113"/>
      <c r="DB39" s="113"/>
      <c r="DC39" s="113"/>
      <c r="DD39" s="113"/>
      <c r="DE39" s="113"/>
      <c r="DF39" s="113"/>
      <c r="DG39" s="113"/>
      <c r="DH39" s="113"/>
      <c r="DI39" s="113"/>
      <c r="DJ39" s="113"/>
      <c r="DK39" s="113"/>
      <c r="DL39" s="113"/>
      <c r="DM39" s="113"/>
      <c r="DN39" s="113"/>
      <c r="DO39" s="113"/>
      <c r="DP39" s="113"/>
      <c r="DQ39" s="113"/>
      <c r="DR39" s="113"/>
      <c r="DS39" s="113"/>
      <c r="DT39" s="113"/>
      <c r="DU39" s="113"/>
      <c r="DV39" s="113"/>
      <c r="DW39" s="113"/>
      <c r="DX39" s="113"/>
      <c r="DY39" s="113"/>
      <c r="DZ39" s="113"/>
      <c r="EA39" s="113"/>
      <c r="EB39" s="113"/>
      <c r="EC39" s="113"/>
      <c r="ED39" s="113"/>
      <c r="EE39" s="113"/>
      <c r="EF39" s="113"/>
      <c r="EG39" s="113"/>
      <c r="EH39" s="113"/>
      <c r="EI39" s="113"/>
      <c r="EJ39" s="113"/>
      <c r="EK39" s="113"/>
      <c r="EL39" s="113"/>
      <c r="EM39" s="113"/>
      <c r="EN39" s="113"/>
      <c r="EO39" s="113"/>
      <c r="EP39" s="113"/>
      <c r="EQ39" s="113"/>
      <c r="ER39" s="113"/>
      <c r="ES39" s="113"/>
      <c r="ET39" s="113"/>
      <c r="EU39" s="113"/>
      <c r="EV39" s="113"/>
      <c r="EW39" s="113"/>
      <c r="EX39" s="113"/>
      <c r="EY39" s="113"/>
    </row>
    <row r="40">
      <c r="A40" s="65" t="s">
        <v>7</v>
      </c>
      <c r="B40" s="65" t="s">
        <v>34</v>
      </c>
      <c r="C40" s="65" t="s">
        <v>410</v>
      </c>
      <c r="D40" s="64">
        <f t="shared" si="1"/>
        <v>609.0000833</v>
      </c>
      <c r="E40" s="104"/>
      <c r="F40" s="104">
        <v>66.2247</v>
      </c>
      <c r="G40" s="104">
        <v>3.76746666666667</v>
      </c>
      <c r="H40" s="104">
        <v>2.16456666666667</v>
      </c>
      <c r="I40" s="104">
        <v>0.192216666666667</v>
      </c>
      <c r="J40" s="104">
        <v>1.83618333333333</v>
      </c>
      <c r="K40" s="104">
        <v>15.4047333333333</v>
      </c>
      <c r="L40" s="104"/>
      <c r="M40" s="104">
        <v>66.2247</v>
      </c>
      <c r="N40" s="104">
        <v>3.76746666666667</v>
      </c>
      <c r="O40" s="104"/>
      <c r="P40" s="65">
        <v>31.97975</v>
      </c>
      <c r="Q40" s="65"/>
      <c r="R40" s="65"/>
      <c r="S40" s="65">
        <v>112.673</v>
      </c>
      <c r="T40" s="65">
        <v>12.5671</v>
      </c>
      <c r="U40" s="65">
        <v>4.2316</v>
      </c>
      <c r="V40" s="65">
        <v>2.9069</v>
      </c>
      <c r="W40" s="65"/>
      <c r="X40" s="65"/>
      <c r="Y40" s="65"/>
      <c r="Z40" s="65">
        <v>43.14265</v>
      </c>
      <c r="AA40" s="65">
        <v>7.77656666666667</v>
      </c>
      <c r="AB40" s="65">
        <v>1.85051666666667</v>
      </c>
      <c r="AC40" s="65">
        <v>0.995183333333333</v>
      </c>
      <c r="AD40" s="65">
        <v>5.92633333333333</v>
      </c>
      <c r="AE40" s="65"/>
      <c r="AF40" s="65">
        <v>43.14265</v>
      </c>
      <c r="AG40" s="65">
        <v>7.77656666666667</v>
      </c>
      <c r="AH40" s="65"/>
      <c r="AI40" s="65">
        <v>22.6682833333333</v>
      </c>
      <c r="AJ40" s="65">
        <v>3.72476666666667</v>
      </c>
      <c r="AK40" s="65">
        <v>1.34646666666667</v>
      </c>
      <c r="AL40" s="65">
        <v>0.384016666666667</v>
      </c>
      <c r="AM40" s="65">
        <v>3.70101666666667</v>
      </c>
      <c r="AN40" s="65"/>
      <c r="AP40" s="65">
        <v>10.0196</v>
      </c>
      <c r="AQ40" s="65">
        <v>27.9828166666667</v>
      </c>
      <c r="AR40" s="65">
        <v>47.31315</v>
      </c>
      <c r="AT40" s="65"/>
      <c r="AU40" s="65">
        <v>1.94195</v>
      </c>
      <c r="AV40" s="65">
        <v>8.96971666666667</v>
      </c>
      <c r="AY40" s="65">
        <v>46.39745</v>
      </c>
    </row>
    <row r="41">
      <c r="A41" s="65" t="s">
        <v>7</v>
      </c>
      <c r="B41" s="65" t="s">
        <v>34</v>
      </c>
      <c r="C41" s="65" t="s">
        <v>411</v>
      </c>
      <c r="D41" s="64">
        <f t="shared" si="1"/>
        <v>0</v>
      </c>
      <c r="E41" s="115"/>
      <c r="F41" s="115"/>
      <c r="G41" s="115"/>
      <c r="H41" s="115"/>
      <c r="I41" s="115"/>
      <c r="J41" s="115"/>
      <c r="K41" s="115"/>
      <c r="L41" s="115"/>
      <c r="M41" s="115"/>
      <c r="N41" s="115"/>
      <c r="O41" s="115"/>
    </row>
    <row r="42">
      <c r="A42" s="65" t="s">
        <v>7</v>
      </c>
      <c r="B42" s="65" t="s">
        <v>34</v>
      </c>
      <c r="C42" s="65" t="s">
        <v>412</v>
      </c>
      <c r="D42" s="64">
        <f t="shared" si="1"/>
        <v>452.4055</v>
      </c>
      <c r="E42" s="115"/>
      <c r="F42" s="117">
        <f>HYPERLINK("https://docs.google.com/spreadsheets/d/1C5L8_YEcoEgYdbrCc1F3JZVVHojOua1r", 57.8226666666667)</f>
        <v>57.82266667</v>
      </c>
      <c r="G42" s="116">
        <f>HYPERLINK("https://docs.google.com/spreadsheets/d/1CPexmJ06U3tnkT61UCuPAFy9Nj1_w13W", 3.76746666666667)</f>
        <v>3.767466667</v>
      </c>
      <c r="H42" s="116">
        <f>HYPERLINK("https://docs.google.com/spreadsheets/d/1wKNgQQdjkZVjiKmq5YDBXzTcx3ZZM-ZS", 2.16456666666667)</f>
        <v>2.164566667</v>
      </c>
      <c r="I42" s="117">
        <f>HYPERLINK("https://docs.google.com/spreadsheets/d/1KQj4sSuAo0UsJ_SOMmwMTzHEvDdE1b3m", 0.192216666666667)</f>
        <v>0.1922166667</v>
      </c>
      <c r="J42" s="116">
        <f>HYPERLINK("https://docs.google.com/spreadsheets/d/1CB6DY7i3eSzh2AXZ6YhrqNODmHxEORhI", 0.172716666666667)</f>
        <v>0.1727166667</v>
      </c>
      <c r="K42" s="117">
        <f>HYPERLINK("https://docs.google.com/spreadsheets/d/1qWPKxWaayGHD9Z3woifRX-eRkryRpv9C", 15.4047333333333)</f>
        <v>15.40473333</v>
      </c>
      <c r="L42" s="115"/>
      <c r="M42" s="104"/>
      <c r="N42" s="115"/>
      <c r="O42" s="104"/>
      <c r="P42" s="118">
        <f>HYPERLINK("https://docs.google.com/spreadsheets/d/1hymeDC1Yzeccb1t14u-TK0vjyIWoJIQR", 31.7564666666667)</f>
        <v>31.75646667</v>
      </c>
      <c r="S42" s="118">
        <f>HYPERLINK("https://docs.google.com/spreadsheets/d/1ih8grJlgxWmxPWRX_mdUz9ZBkz8MgFfB", 97.3440666666666)</f>
        <v>97.34406667</v>
      </c>
      <c r="T42" s="118">
        <f>HYPERLINK("https://docs.google.com/spreadsheets/d/16KHxL4QnxSlnvY73zxvKcBvyXd05Hf5z", 12.3111)</f>
        <v>12.3111</v>
      </c>
      <c r="U42" s="118">
        <f>HYPERLINK("https://docs.google.com/spreadsheets/d/1JdXag8SXwH-KxeDJofHOYMTVmvmXLRis", 3.93031666666667)</f>
        <v>3.930316667</v>
      </c>
      <c r="V42" s="118">
        <f>HYPERLINK("https://docs.google.com/spreadsheets/d/1usk3CDw9iBYwtYQ6mg-6H6eLhZKNZ3W-", 1.66188333333333)</f>
        <v>1.661883333</v>
      </c>
      <c r="Z42" s="118">
        <f>HYPERLINK("https://docs.google.com/spreadsheets/d/1Pb2ZJgcUo0kCXo4WomjVq8Q_E_d60F_a", 40.8663666666666)</f>
        <v>40.86636667</v>
      </c>
      <c r="AA42" s="118">
        <f>HYPERLINK("https://docs.google.com/spreadsheets/d/1IvZKvB5Rz1kPxExQ3cEqFJIs3rXYQzJl", 7.77658333333333)</f>
        <v>7.776583333</v>
      </c>
      <c r="AB42" s="118">
        <f>HYPERLINK("https://docs.google.com/spreadsheets/d/1HYk12PcL73vUKDbSDGAvmFr0tUZr2tRM", 1.74628333333333)</f>
        <v>1.746283333</v>
      </c>
      <c r="AC42" s="118">
        <f>HYPERLINK("https://docs.google.com/spreadsheets/d/1AmXT6vy4AtNI1_TGweC3lIikdpxCAlDY", 0.682283333333333)</f>
        <v>0.6822833333</v>
      </c>
      <c r="AD42" s="118">
        <f>HYPERLINK("https://docs.google.com/spreadsheets/d/1CISSPFCOhw10Z7G-RhJees8FXzfIyGW9", 5.73016666666667)</f>
        <v>5.730166667</v>
      </c>
      <c r="AI42" s="118">
        <f>HYPERLINK("https://docs.google.com/spreadsheets/d/1xC8DrFtjMDASliqSN7dl_0_-a0NpZtqw", 22.57185)</f>
        <v>22.57185</v>
      </c>
      <c r="AJ42" s="118">
        <f>HYPERLINK("https://docs.google.com/spreadsheets/d/1SlFwXEaj1pcEPONz0NMW7T9cF0hAcjxB", 3.72476666666667)</f>
        <v>3.724766667</v>
      </c>
      <c r="AK42" s="118">
        <f>HYPERLINK("https://docs.google.com/spreadsheets/d/1xm8vuX35-nV95ggPB7sfAqrdOS5HHV_6", 1.34646666666667)</f>
        <v>1.346466667</v>
      </c>
      <c r="AL42" s="118">
        <f>HYPERLINK("https://docs.google.com/spreadsheets/d/13RgR-32dHpNUFxjMXOf6g9aKYQp_3NOD", 0.384016666666667)</f>
        <v>0.3840166667</v>
      </c>
      <c r="AM42" s="118">
        <f>HYPERLINK("https://docs.google.com/spreadsheets/d/11W9IgKZR9kxnpA0OnArtjX1uOtfoHnfO", 3.70101666666667)</f>
        <v>3.701016667</v>
      </c>
      <c r="AP42" s="118">
        <f>HYPERLINK("https://docs.google.com/spreadsheets/d/1DKiLnPEYeyxmSr4-SDi8IiHYFJ3bAjf7", 9.20688333333333)</f>
        <v>9.206883333</v>
      </c>
      <c r="AQ42" s="118">
        <f>HYPERLINK("https://docs.google.com/spreadsheets/d/18vbrGqHvgBAsPq3qiebF-vazrQgTyTIF", 23.5998833333333)</f>
        <v>23.59988333</v>
      </c>
      <c r="AR42" s="118">
        <f>HYPERLINK("https://docs.google.com/spreadsheets/d/108grZRMr6MG6Hnc4qr0xtOwL3ljlkMVc", 47.2316166666667)</f>
        <v>47.23161667</v>
      </c>
      <c r="AU42" s="118">
        <f>HYPERLINK("https://docs.google.com/spreadsheets/d/1eTbAg6UMhJiuwhikUDwp8o8IZ6CPFZ13", 1.94195)</f>
        <v>1.94195</v>
      </c>
      <c r="AV42" s="118">
        <f>HYPERLINK("https://docs.google.com/spreadsheets/d/17x4ENtW9XL5HWQoRVbKZvoyPmOSLop1R", 8.96971666666667)</f>
        <v>8.969716667</v>
      </c>
      <c r="AY42" s="118">
        <f>HYPERLINK("https://docs.google.com/spreadsheets/d/1hyxKqcKC9iu1PHgNWhNNAoEhlLkBSN2z", 46.39745)</f>
        <v>46.39745</v>
      </c>
    </row>
    <row r="43">
      <c r="A43" s="65" t="s">
        <v>7</v>
      </c>
      <c r="B43" s="65" t="s">
        <v>34</v>
      </c>
      <c r="C43" s="65" t="s">
        <v>413</v>
      </c>
      <c r="D43" s="64">
        <f t="shared" si="1"/>
        <v>316.0860833</v>
      </c>
      <c r="E43" s="115"/>
      <c r="F43" s="104">
        <v>0.367000000000026</v>
      </c>
      <c r="G43" s="104">
        <v>-8.88178419700125E-16</v>
      </c>
      <c r="H43" s="104">
        <v>0.0</v>
      </c>
      <c r="I43" s="104">
        <v>0.0</v>
      </c>
      <c r="J43" s="104">
        <v>0.0</v>
      </c>
      <c r="K43" s="104">
        <v>15.4047333333333</v>
      </c>
      <c r="L43" s="104"/>
      <c r="M43" s="104"/>
      <c r="N43" s="104"/>
      <c r="O43" s="104"/>
      <c r="P43" s="65">
        <v>29.731</v>
      </c>
      <c r="Q43" s="65"/>
      <c r="R43" s="65"/>
      <c r="S43" s="65">
        <v>96.0171833333332</v>
      </c>
      <c r="T43" s="65">
        <v>12.3111</v>
      </c>
      <c r="U43" s="65">
        <v>0.0</v>
      </c>
      <c r="V43" s="65">
        <v>-2.22044604925031E-16</v>
      </c>
      <c r="W43" s="65"/>
      <c r="X43" s="65"/>
      <c r="Y43" s="65"/>
      <c r="Z43" s="65">
        <v>23.9286333333333</v>
      </c>
      <c r="AA43" s="65">
        <v>5.89526666666667</v>
      </c>
      <c r="AB43" s="65">
        <v>4.44089209850063E-16</v>
      </c>
      <c r="AC43" s="65">
        <v>0.0</v>
      </c>
      <c r="AD43" s="65">
        <v>8.88178419700125E-16</v>
      </c>
      <c r="AE43" s="65"/>
      <c r="AF43" s="65"/>
      <c r="AG43" s="65"/>
      <c r="AH43" s="65"/>
      <c r="AI43" s="65">
        <v>22.57185</v>
      </c>
      <c r="AJ43" s="65">
        <v>3.72476666666667</v>
      </c>
      <c r="AK43" s="65">
        <v>0.215733333333334</v>
      </c>
      <c r="AL43" s="65">
        <v>0.0</v>
      </c>
      <c r="AM43" s="65">
        <v>3.70101666666667</v>
      </c>
      <c r="AN43" s="65"/>
      <c r="AP43" s="65">
        <v>9.20688333333333</v>
      </c>
      <c r="AQ43" s="65">
        <v>-2.1316282072803E-14</v>
      </c>
      <c r="AR43" s="65">
        <v>47.2316166666667</v>
      </c>
      <c r="AT43" s="65"/>
      <c r="AU43" s="65">
        <v>-4.44089209850063E-16</v>
      </c>
      <c r="AV43" s="65">
        <v>1.77635683940025E-15</v>
      </c>
      <c r="AY43" s="65">
        <v>45.7793</v>
      </c>
    </row>
    <row r="44">
      <c r="A44" s="119" t="s">
        <v>7</v>
      </c>
      <c r="B44" s="119" t="s">
        <v>34</v>
      </c>
      <c r="C44" s="119" t="s">
        <v>414</v>
      </c>
      <c r="D44" s="120">
        <f t="shared" si="1"/>
        <v>1.94195</v>
      </c>
      <c r="E44" s="121"/>
      <c r="F44" s="122">
        <f>HYPERLINK("https://docs.google.com/spreadsheets/d/1C5L8_YEcoEgYdbrCc1F3JZVVHojOua1r", 0)</f>
        <v>0</v>
      </c>
      <c r="G44" s="122">
        <f>HYPERLINK("https://docs.google.com/spreadsheets/d/1CPexmJ06U3tnkT61UCuPAFy9Nj1_w13W", 0)</f>
        <v>0</v>
      </c>
      <c r="H44" s="122">
        <f>HYPERLINK("https://docs.google.com/spreadsheets/d/1wKNgQQdjkZVjiKmq5YDBXzTcx3ZZM-ZS", 0)</f>
        <v>0</v>
      </c>
      <c r="I44" s="122">
        <f>HYPERLINK("https://docs.google.com/spreadsheets/d/1KQj4sSuAo0UsJ_SOMmwMTzHEvDdE1b3m", 0)</f>
        <v>0</v>
      </c>
      <c r="J44" s="122">
        <f>HYPERLINK("https://docs.google.com/spreadsheets/d/1CB6DY7i3eSzh2AXZ6YhrqNODmHxEORhI", 0)</f>
        <v>0</v>
      </c>
      <c r="K44" s="127">
        <f>HYPERLINK("https://docs.google.com/spreadsheets/d/1qWPKxWaayGHD9Z3woifRX-eRkryRpv9C", 0)</f>
        <v>0</v>
      </c>
      <c r="L44" s="121"/>
      <c r="M44" s="121"/>
      <c r="N44" s="123"/>
      <c r="O44" s="121"/>
      <c r="P44" s="124">
        <f>HYPERLINK("https://docs.google.com/spreadsheets/d/1hymeDC1Yzeccb1t14u-TK0vjyIWoJIQR", 0)</f>
        <v>0</v>
      </c>
      <c r="Q44" s="119"/>
      <c r="R44" s="120"/>
      <c r="S44" s="124">
        <f>HYPERLINK("https://docs.google.com/spreadsheets/d/1ih8grJlgxWmxPWRX_mdUz9ZBkz8MgFfB", 0)</f>
        <v>0</v>
      </c>
      <c r="T44" s="125">
        <f>HYPERLINK("https://docs.google.com/spreadsheets/d/16KHxL4QnxSlnvY73zxvKcBvyXd05Hf5z", 0)</f>
        <v>0</v>
      </c>
      <c r="U44" s="124">
        <f>HYPERLINK("https://docs.google.com/spreadsheets/d/1JdXag8SXwH-KxeDJofHOYMTVmvmXLRis", 0)</f>
        <v>0</v>
      </c>
      <c r="V44" s="124">
        <f>HYPERLINK("https://docs.google.com/spreadsheets/d/1usk3CDw9iBYwtYQ6mg-6H6eLhZKNZ3W-", 0)</f>
        <v>0</v>
      </c>
      <c r="W44" s="120"/>
      <c r="X44" s="119"/>
      <c r="Y44" s="119"/>
      <c r="Z44" s="125">
        <f>HYPERLINK("https://docs.google.com/spreadsheets/d/1Pb2ZJgcUo0kCXo4WomjVq8Q_E_d60F_a", 0)</f>
        <v>0</v>
      </c>
      <c r="AA44" s="124">
        <f>HYPERLINK("https://docs.google.com/spreadsheets/d/1IvZKvB5Rz1kPxExQ3cEqFJIs3rXYQzJl", 0)</f>
        <v>0</v>
      </c>
      <c r="AB44" s="124">
        <f>HYPERLINK("https://docs.google.com/spreadsheets/d/1HYk12PcL73vUKDbSDGAvmFr0tUZr2tRM", 0)</f>
        <v>0</v>
      </c>
      <c r="AC44" s="124">
        <f>HYPERLINK("https://docs.google.com/spreadsheets/d/1AmXT6vy4AtNI1_TGweC3lIikdpxCAlDY", 0)</f>
        <v>0</v>
      </c>
      <c r="AD44" s="124">
        <f>HYPERLINK("https://docs.google.com/spreadsheets/d/1CISSPFCOhw10Z7G-RhJees8FXzfIyGW9", 0)</f>
        <v>0</v>
      </c>
      <c r="AE44" s="119"/>
      <c r="AF44" s="120"/>
      <c r="AG44" s="119"/>
      <c r="AH44" s="119"/>
      <c r="AI44" s="124">
        <f>HYPERLINK("https://docs.google.com/spreadsheets/d/1xC8DrFtjMDASliqSN7dl_0_-a0NpZtqw", 0)</f>
        <v>0</v>
      </c>
      <c r="AJ44" s="124">
        <f>HYPERLINK("https://docs.google.com/spreadsheets/d/1SlFwXEaj1pcEPONz0NMW7T9cF0hAcjxB", 0)</f>
        <v>0</v>
      </c>
      <c r="AK44" s="124">
        <f>HYPERLINK("https://docs.google.com/spreadsheets/d/1xm8vuX35-nV95ggPB7sfAqrdOS5HHV_6", 0)</f>
        <v>0</v>
      </c>
      <c r="AL44" s="124">
        <f>HYPERLINK("https://docs.google.com/spreadsheets/d/13RgR-32dHpNUFxjMXOf6g9aKYQp_3NOD", 0)</f>
        <v>0</v>
      </c>
      <c r="AM44" s="124">
        <f>HYPERLINK("https://docs.google.com/spreadsheets/d/11W9IgKZR9kxnpA0OnArtjX1uOtfoHnfO", 0)</f>
        <v>0</v>
      </c>
      <c r="AN44" s="120"/>
      <c r="AO44" s="120"/>
      <c r="AP44" s="124">
        <f>HYPERLINK("https://docs.google.com/spreadsheets/d/1DKiLnPEYeyxmSr4-SDi8IiHYFJ3bAjf7", 0)</f>
        <v>0</v>
      </c>
      <c r="AQ44" s="125">
        <f>HYPERLINK("https://docs.google.com/spreadsheets/d/18vbrGqHvgBAsPq3qiebF-vazrQgTyTIF", 0)</f>
        <v>0</v>
      </c>
      <c r="AR44" s="125">
        <f>HYPERLINK("https://docs.google.com/spreadsheets/d/108grZRMr6MG6Hnc4qr0xtOwL3ljlkMVc", 0)</f>
        <v>0</v>
      </c>
      <c r="AS44" s="120"/>
      <c r="AT44" s="120"/>
      <c r="AU44" s="125">
        <f>HYPERLINK("https://docs.google.com/spreadsheets/d/1eTbAg6UMhJiuwhikUDwp8o8IZ6CPFZ13", 1.94195)</f>
        <v>1.94195</v>
      </c>
      <c r="AV44" s="124">
        <f>HYPERLINK("https://docs.google.com/spreadsheets/d/17x4ENtW9XL5HWQoRVbKZvoyPmOSLop1R", 0)</f>
        <v>0</v>
      </c>
      <c r="AW44" s="120"/>
      <c r="AX44" s="120"/>
      <c r="AY44" s="124">
        <f>HYPERLINK("https://docs.google.com/spreadsheets/d/1hyxKqcKC9iu1PHgNWhNNAoEhlLkBSN2z", 0)</f>
        <v>0</v>
      </c>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0"/>
      <c r="CD44" s="120"/>
      <c r="CE44" s="120"/>
      <c r="CF44" s="120"/>
      <c r="CG44" s="120"/>
      <c r="CH44" s="120"/>
      <c r="CI44" s="120"/>
      <c r="CJ44" s="120"/>
      <c r="CK44" s="120"/>
      <c r="CL44" s="120"/>
      <c r="CM44" s="120"/>
      <c r="CN44" s="120"/>
      <c r="CO44" s="120"/>
      <c r="CP44" s="120"/>
      <c r="CQ44" s="120"/>
      <c r="CR44" s="120"/>
      <c r="CS44" s="120"/>
      <c r="CT44" s="120"/>
      <c r="CU44" s="120"/>
      <c r="CV44" s="120"/>
      <c r="CW44" s="120"/>
      <c r="CX44" s="120"/>
      <c r="CY44" s="120"/>
      <c r="CZ44" s="120"/>
      <c r="DA44" s="120"/>
      <c r="DB44" s="120"/>
      <c r="DC44" s="120"/>
      <c r="DD44" s="120"/>
      <c r="DE44" s="120"/>
      <c r="DF44" s="120"/>
      <c r="DG44" s="120"/>
      <c r="DH44" s="120"/>
      <c r="DI44" s="120"/>
      <c r="DJ44" s="120"/>
      <c r="DK44" s="120"/>
      <c r="DL44" s="120"/>
      <c r="DM44" s="120"/>
      <c r="DN44" s="120"/>
      <c r="DO44" s="120"/>
      <c r="DP44" s="120"/>
      <c r="DQ44" s="120"/>
      <c r="DR44" s="120"/>
      <c r="DS44" s="120"/>
      <c r="DT44" s="120"/>
      <c r="DU44" s="120"/>
      <c r="DV44" s="120"/>
      <c r="DW44" s="120"/>
      <c r="DX44" s="120"/>
      <c r="DY44" s="120"/>
      <c r="DZ44" s="120"/>
      <c r="EA44" s="120"/>
      <c r="EB44" s="120"/>
      <c r="EC44" s="120"/>
      <c r="ED44" s="120"/>
      <c r="EE44" s="120"/>
      <c r="EF44" s="120"/>
      <c r="EG44" s="120"/>
      <c r="EH44" s="120"/>
      <c r="EI44" s="120"/>
      <c r="EJ44" s="120"/>
      <c r="EK44" s="120"/>
      <c r="EL44" s="120"/>
      <c r="EM44" s="120"/>
      <c r="EN44" s="120"/>
      <c r="EO44" s="120"/>
      <c r="EP44" s="120"/>
      <c r="EQ44" s="120"/>
      <c r="ER44" s="120"/>
      <c r="ES44" s="120"/>
      <c r="ET44" s="120"/>
      <c r="EU44" s="120"/>
      <c r="EV44" s="120"/>
      <c r="EW44" s="120"/>
      <c r="EX44" s="120"/>
      <c r="EY44" s="120"/>
    </row>
    <row r="45">
      <c r="A45" s="112" t="s">
        <v>7</v>
      </c>
      <c r="B45" s="112" t="s">
        <v>37</v>
      </c>
      <c r="C45" s="112" t="s">
        <v>409</v>
      </c>
      <c r="D45" s="113">
        <f t="shared" si="1"/>
        <v>573.3740167</v>
      </c>
      <c r="E45" s="114">
        <v>48.5328166666666</v>
      </c>
      <c r="F45" s="114"/>
      <c r="G45" s="114"/>
      <c r="H45" s="114"/>
      <c r="I45" s="114"/>
      <c r="J45" s="114"/>
      <c r="K45" s="114"/>
      <c r="L45" s="114">
        <v>0.63015</v>
      </c>
      <c r="M45" s="114"/>
      <c r="N45" s="114"/>
      <c r="O45" s="114">
        <v>9.6604</v>
      </c>
      <c r="P45" s="112"/>
      <c r="Q45" s="112">
        <v>0.22415</v>
      </c>
      <c r="R45" s="112">
        <v>123.93115</v>
      </c>
      <c r="S45" s="112"/>
      <c r="T45" s="112"/>
      <c r="U45" s="112"/>
      <c r="V45" s="112"/>
      <c r="W45" s="112"/>
      <c r="X45" s="112">
        <v>1.678</v>
      </c>
      <c r="Y45" s="112">
        <v>102.721833333333</v>
      </c>
      <c r="Z45" s="112"/>
      <c r="AA45" s="113"/>
      <c r="AB45" s="112"/>
      <c r="AC45" s="112"/>
      <c r="AD45" s="112"/>
      <c r="AE45" s="112">
        <v>2.28935</v>
      </c>
      <c r="AF45" s="112"/>
      <c r="AG45" s="112"/>
      <c r="AH45" s="112">
        <v>44.6822499999999</v>
      </c>
      <c r="AI45" s="112"/>
      <c r="AJ45" s="112"/>
      <c r="AK45" s="112"/>
      <c r="AL45" s="113"/>
      <c r="AM45" s="112"/>
      <c r="AN45" s="112">
        <v>0.684083333333333</v>
      </c>
      <c r="AO45" s="112">
        <v>106.7774</v>
      </c>
      <c r="AP45" s="112"/>
      <c r="AQ45" s="113"/>
      <c r="AR45" s="112"/>
      <c r="AS45" s="112">
        <v>6.47583333333333</v>
      </c>
      <c r="AT45" s="112">
        <v>30.2258</v>
      </c>
      <c r="AU45" s="112"/>
      <c r="AV45" s="112"/>
      <c r="AW45" s="112">
        <v>2.23656666666667</v>
      </c>
      <c r="AX45" s="112">
        <v>86.4588666666668</v>
      </c>
      <c r="AY45" s="113"/>
      <c r="AZ45" s="112">
        <v>5.85968333333333</v>
      </c>
      <c r="BA45" s="112">
        <v>0.305683333333333</v>
      </c>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113"/>
      <c r="CB45" s="113"/>
      <c r="CC45" s="113"/>
      <c r="CD45" s="113"/>
      <c r="CE45" s="113"/>
      <c r="CF45" s="113"/>
      <c r="CG45" s="113"/>
      <c r="CH45" s="113"/>
      <c r="CI45" s="113"/>
      <c r="CJ45" s="113"/>
      <c r="CK45" s="113"/>
      <c r="CL45" s="113"/>
      <c r="CM45" s="113"/>
      <c r="CN45" s="113"/>
      <c r="CO45" s="113"/>
      <c r="CP45" s="113"/>
      <c r="CQ45" s="113"/>
      <c r="CR45" s="113"/>
      <c r="CS45" s="113"/>
      <c r="CT45" s="113"/>
      <c r="CU45" s="113"/>
      <c r="CV45" s="113"/>
      <c r="CW45" s="113"/>
      <c r="CX45" s="113"/>
      <c r="CY45" s="113"/>
      <c r="CZ45" s="113"/>
      <c r="DA45" s="113"/>
      <c r="DB45" s="113"/>
      <c r="DC45" s="113"/>
      <c r="DD45" s="113"/>
      <c r="DE45" s="113"/>
      <c r="DF45" s="113"/>
      <c r="DG45" s="113"/>
      <c r="DH45" s="113"/>
      <c r="DI45" s="113"/>
      <c r="DJ45" s="113"/>
      <c r="DK45" s="113"/>
      <c r="DL45" s="113"/>
      <c r="DM45" s="113"/>
      <c r="DN45" s="113"/>
      <c r="DO45" s="113"/>
      <c r="DP45" s="113"/>
      <c r="DQ45" s="113"/>
      <c r="DR45" s="113"/>
      <c r="DS45" s="113"/>
      <c r="DT45" s="113"/>
      <c r="DU45" s="113"/>
      <c r="DV45" s="113"/>
      <c r="DW45" s="113"/>
      <c r="DX45" s="113"/>
      <c r="DY45" s="113"/>
      <c r="DZ45" s="113"/>
      <c r="EA45" s="113"/>
      <c r="EB45" s="113"/>
      <c r="EC45" s="113"/>
      <c r="ED45" s="113"/>
      <c r="EE45" s="113"/>
      <c r="EF45" s="113"/>
      <c r="EG45" s="113"/>
      <c r="EH45" s="113"/>
      <c r="EI45" s="113"/>
      <c r="EJ45" s="113"/>
      <c r="EK45" s="113"/>
      <c r="EL45" s="113"/>
      <c r="EM45" s="113"/>
      <c r="EN45" s="113"/>
      <c r="EO45" s="113"/>
      <c r="EP45" s="113"/>
      <c r="EQ45" s="113"/>
      <c r="ER45" s="113"/>
      <c r="ES45" s="113"/>
      <c r="ET45" s="113"/>
      <c r="EU45" s="113"/>
      <c r="EV45" s="113"/>
      <c r="EW45" s="113"/>
      <c r="EX45" s="113"/>
      <c r="EY45" s="113"/>
    </row>
    <row r="46">
      <c r="A46" s="65" t="s">
        <v>7</v>
      </c>
      <c r="B46" s="65" t="s">
        <v>37</v>
      </c>
      <c r="C46" s="65" t="s">
        <v>410</v>
      </c>
      <c r="D46" s="64">
        <f t="shared" si="1"/>
        <v>596.0702167</v>
      </c>
      <c r="E46" s="115"/>
      <c r="F46" s="104">
        <v>29.3716</v>
      </c>
      <c r="G46" s="104">
        <v>1.3453</v>
      </c>
      <c r="H46" s="104">
        <v>0.7474</v>
      </c>
      <c r="I46" s="104">
        <v>0.141966666666667</v>
      </c>
      <c r="J46" s="104">
        <v>0.150183333333333</v>
      </c>
      <c r="K46" s="104">
        <v>10.8768166666667</v>
      </c>
      <c r="L46" s="104"/>
      <c r="M46" s="104">
        <v>29.3716</v>
      </c>
      <c r="N46" s="104">
        <v>1.3453</v>
      </c>
      <c r="O46" s="104"/>
      <c r="P46" s="65">
        <v>4.45915</v>
      </c>
      <c r="Q46" s="65"/>
      <c r="R46" s="65"/>
      <c r="S46" s="65">
        <v>79.0114500000001</v>
      </c>
      <c r="T46" s="65">
        <v>15.5854833333333</v>
      </c>
      <c r="U46" s="65">
        <v>5.79136666666667</v>
      </c>
      <c r="V46" s="65">
        <v>2.38321666666667</v>
      </c>
      <c r="W46" s="65">
        <v>13.0051666666667</v>
      </c>
      <c r="X46" s="65"/>
      <c r="Y46" s="65"/>
      <c r="Z46" s="65">
        <v>69.65995</v>
      </c>
      <c r="AA46" s="65">
        <v>14.0320833333333</v>
      </c>
      <c r="AB46" s="65">
        <v>3.54995</v>
      </c>
      <c r="AC46" s="65">
        <v>3.47881666666667</v>
      </c>
      <c r="AD46" s="65">
        <v>9.34015</v>
      </c>
      <c r="AE46" s="65"/>
      <c r="AF46" s="65">
        <v>69.65995</v>
      </c>
      <c r="AG46" s="65">
        <v>14.0320833333333</v>
      </c>
      <c r="AH46" s="65"/>
      <c r="AI46" s="65">
        <v>27.4424833333333</v>
      </c>
      <c r="AJ46" s="65">
        <v>6.67461666666667</v>
      </c>
      <c r="AK46" s="65">
        <v>2.23558333333333</v>
      </c>
      <c r="AL46" s="65">
        <v>0.366916666666667</v>
      </c>
      <c r="AM46" s="65">
        <v>5.65386666666666</v>
      </c>
      <c r="AN46" s="65"/>
      <c r="AP46" s="65">
        <v>32.3482666666667</v>
      </c>
      <c r="AQ46" s="65">
        <v>12.7820333333333</v>
      </c>
      <c r="AR46" s="65">
        <v>34.6958833333334</v>
      </c>
      <c r="AT46" s="65"/>
      <c r="AU46" s="65">
        <v>6.3912</v>
      </c>
      <c r="AV46" s="65">
        <v>16.3035666666667</v>
      </c>
      <c r="AY46" s="65">
        <v>73.8368166666667</v>
      </c>
    </row>
    <row r="47">
      <c r="A47" s="65" t="s">
        <v>7</v>
      </c>
      <c r="B47" s="65" t="s">
        <v>37</v>
      </c>
      <c r="C47" s="65" t="s">
        <v>411</v>
      </c>
      <c r="D47" s="64">
        <f t="shared" si="1"/>
        <v>0</v>
      </c>
      <c r="E47" s="115"/>
      <c r="F47" s="115"/>
      <c r="G47" s="115"/>
      <c r="H47" s="115"/>
      <c r="I47" s="115"/>
      <c r="J47" s="115"/>
      <c r="K47" s="115"/>
      <c r="L47" s="115"/>
      <c r="M47" s="115"/>
      <c r="N47" s="115"/>
      <c r="O47" s="115"/>
    </row>
    <row r="48">
      <c r="A48" s="65" t="s">
        <v>7</v>
      </c>
      <c r="B48" s="65" t="s">
        <v>37</v>
      </c>
      <c r="C48" s="65" t="s">
        <v>412</v>
      </c>
      <c r="D48" s="64">
        <f t="shared" si="1"/>
        <v>456.1763</v>
      </c>
      <c r="E48" s="115"/>
      <c r="F48" s="116">
        <f>HYPERLINK("https://docs.google.com/spreadsheets/d/1JY7SEu5WSFo2UMMUPQoxieXQFSor07la", 27.8662333333333)</f>
        <v>27.86623333</v>
      </c>
      <c r="G48" s="116">
        <f>HYPERLINK("https://docs.google.com/spreadsheets/d/18q9SO3DMO9cjYEGXYmcOT_rjW3HzYDPQ", 1.3453)</f>
        <v>1.3453</v>
      </c>
      <c r="H48" s="116">
        <f>HYPERLINK("https://docs.google.com/spreadsheets/d/1sVh3Gv7GM5pVnCATsAWrVCYHOXUFKs6q", 0.7474)</f>
        <v>0.7474</v>
      </c>
      <c r="I48" s="116">
        <f>HYPERLINK("https://docs.google.com/spreadsheets/d/18p8Gsdc5rVwspdtfKGDAtF-HaBBO7f3K", 0.141966666666667)</f>
        <v>0.1419666667</v>
      </c>
      <c r="J48" s="116">
        <f>HYPERLINK("https://docs.google.com/spreadsheets/d/1wMzq-cT42doWDlN1LDEIHy4oct4xFSzJ", 0)</f>
        <v>0</v>
      </c>
      <c r="K48" s="116">
        <f>HYPERLINK("https://docs.google.com/spreadsheets/d/15P9yxZnP-M6KCSNNroPHgGlwDtmreHg_", 10.6748833333333)</f>
        <v>10.67488333</v>
      </c>
      <c r="L48" s="115"/>
      <c r="M48" s="115"/>
      <c r="N48" s="115"/>
      <c r="O48" s="115"/>
      <c r="P48" s="118">
        <f>HYPERLINK("https://docs.google.com/spreadsheets/d/1SvwdA6gESh47EvtgoJ3DXU3NvW0q5ylo", 4.45915)</f>
        <v>4.45915</v>
      </c>
      <c r="S48" s="118">
        <f>HYPERLINK("https://docs.google.com/spreadsheets/d/1oF09MG-B5UQEo3dQP9aquJm1ZSRxx2OO", 70.4184333333333)</f>
        <v>70.41843333</v>
      </c>
      <c r="T48" s="118">
        <f>HYPERLINK("https://docs.google.com/spreadsheets/d/1s6V8gE44yrCwzAqi9mBoSc-1bQIKmamu", 15.30905)</f>
        <v>15.30905</v>
      </c>
      <c r="U48" s="118">
        <f>HYPERLINK("https://docs.google.com/spreadsheets/d/1IykewSCyyLnNccN_GhD427nxLlcp7scV", 5.25901666666667)</f>
        <v>5.259016667</v>
      </c>
      <c r="V48" s="118">
        <f>HYPERLINK("https://docs.google.com/spreadsheets/d/1LSmGS3NiqktWpNpmcS7J-Mj7UzHnQ1M2", 1.78456666666667)</f>
        <v>1.784566667</v>
      </c>
      <c r="W48" s="118">
        <f>HYPERLINK("https://docs.google.com/spreadsheets/d/1FAct96QW5-x5J7uwmS00QtfapmryHjXY", 12.65145)</f>
        <v>12.65145</v>
      </c>
      <c r="Z48" s="118">
        <f>HYPERLINK("https://docs.google.com/spreadsheets/d/19jf8ze0ifkrc2vMHC_fqYcDJ2gDSO7Vv", 68.5213666666666)</f>
        <v>68.52136667</v>
      </c>
      <c r="AA48" s="118">
        <f>HYPERLINK("https://docs.google.com/spreadsheets/d/1F4-iYOf5Y0EblK1SW0KryoU8Q1Fdd2Zc", 13.9361666666667)</f>
        <v>13.93616667</v>
      </c>
      <c r="AB48" s="118">
        <f>HYPERLINK("https://docs.google.com/spreadsheets/d/1AkSF4L7WQBrtqFFtH0ahddzA_XLO7Z7i", 3.54995)</f>
        <v>3.54995</v>
      </c>
      <c r="AC48" s="118">
        <f>HYPERLINK("https://docs.google.com/spreadsheets/d/1LXIRgh0LjXfVyoDdvznoS6gf0CWgPtK9", 3.20646666666667)</f>
        <v>3.206466667</v>
      </c>
      <c r="AD48" s="118">
        <f>HYPERLINK("https://docs.google.com/spreadsheets/d/1ksOxfT3eVg9yrrMvygAAM0sGMGKGGtq-", 9.34016666666667)</f>
        <v>9.340166667</v>
      </c>
      <c r="AI48" s="118">
        <f>HYPERLINK("https://docs.google.com/spreadsheets/d/1N-GYrZ230GbGLOKJcXOc7KKMiSE3Nn7h", 26.6568833333333)</f>
        <v>26.65688333</v>
      </c>
      <c r="AJ48" s="118">
        <f>HYPERLINK("https://docs.google.com/spreadsheets/d/1HQLyzSrdgD4rhQA6hZ0JhO9KqcKvWcTq", 6.67461666666667)</f>
        <v>6.674616667</v>
      </c>
      <c r="AK48" s="118">
        <f>HYPERLINK("https://docs.google.com/spreadsheets/d/1ysv2o1yIzU6BXJm-UzBED-3WX6LKE0kK", 2.23558333333333)</f>
        <v>2.235583333</v>
      </c>
      <c r="AL48" s="118">
        <f>HYPERLINK("https://docs.google.com/spreadsheets/d/1U8Ly5dDp6M1BOpOPziMYoXzuOLxhG4L8", 0.366916666666667)</f>
        <v>0.3669166667</v>
      </c>
      <c r="AM48" s="118">
        <f>HYPERLINK("https://docs.google.com/spreadsheets/d/1FyBjbKSsi-6jasOMCX4Q9yYp0esizPIe", 5.65386666666666)</f>
        <v>5.653866667</v>
      </c>
      <c r="AP48" s="118">
        <f>HYPERLINK("https://docs.google.com/spreadsheets/d/17T0UKwbUuCXoUaYWqvWkCnHbWC-3yx8G", 24.2175833333333)</f>
        <v>24.21758333</v>
      </c>
      <c r="AQ48" s="118">
        <f>HYPERLINK("https://docs.google.com/spreadsheets/d/1wlx-TNt3oRid3ovH-35jXfKbrHitNUmE", 11.77045)</f>
        <v>11.77045</v>
      </c>
      <c r="AR48" s="118">
        <f>HYPERLINK("https://docs.google.com/spreadsheets/d/1uBKlJYmfxCasOboIor23hccPCnV9FCWi", 34.6038666666667)</f>
        <v>34.60386667</v>
      </c>
      <c r="AU48" s="118">
        <f>HYPERLINK("https://docs.google.com/spreadsheets/d/1ioP8kSm5axVUKyVHdH9rkEbiYFXrTzvO", 4.997)</f>
        <v>4.997</v>
      </c>
      <c r="AV48" s="118">
        <f>HYPERLINK("https://docs.google.com/spreadsheets/d/1DGzfUEAF_d1tt3Dq40u8cPWthJjmHJ1c", 16.3035333333333)</f>
        <v>16.30353333</v>
      </c>
      <c r="AY48" s="118">
        <f>HYPERLINK("https://docs.google.com/spreadsheets/d/1I-oSR-UH8DEpYMnMiZ1jmQRaL-Cq96ug", 73.4844333333334)</f>
        <v>73.48443333</v>
      </c>
    </row>
    <row r="49">
      <c r="A49" s="65" t="s">
        <v>7</v>
      </c>
      <c r="B49" s="65" t="s">
        <v>37</v>
      </c>
      <c r="C49" s="65" t="s">
        <v>413</v>
      </c>
      <c r="D49" s="64">
        <f t="shared" si="1"/>
        <v>310.2518833</v>
      </c>
      <c r="E49" s="115"/>
      <c r="F49" s="104">
        <v>0.479449999999993</v>
      </c>
      <c r="G49" s="104">
        <v>2.22044604925031E-16</v>
      </c>
      <c r="H49" s="104">
        <v>0.0</v>
      </c>
      <c r="I49" s="104">
        <v>0.0</v>
      </c>
      <c r="J49" s="104">
        <v>0.0</v>
      </c>
      <c r="K49" s="104">
        <v>10.6748833333333</v>
      </c>
      <c r="L49" s="104"/>
      <c r="M49" s="104"/>
      <c r="N49" s="104"/>
      <c r="O49" s="104"/>
      <c r="P49" s="65">
        <v>3.7334</v>
      </c>
      <c r="Q49" s="65"/>
      <c r="R49" s="65"/>
      <c r="S49" s="65">
        <v>66.8143999999999</v>
      </c>
      <c r="T49" s="65">
        <v>14.6920833333333</v>
      </c>
      <c r="U49" s="65">
        <v>1.77635683940025E-15</v>
      </c>
      <c r="V49" s="65">
        <v>-2.22044604925031E-16</v>
      </c>
      <c r="W49" s="65">
        <v>9.63853333333333</v>
      </c>
      <c r="X49" s="65"/>
      <c r="Y49" s="65"/>
      <c r="Z49" s="65">
        <v>41.7798166666666</v>
      </c>
      <c r="AA49" s="65">
        <v>7.39441666666667</v>
      </c>
      <c r="AB49" s="65">
        <v>4.44089209850063E-16</v>
      </c>
      <c r="AC49" s="65">
        <v>0.287116666666667</v>
      </c>
      <c r="AD49" s="65">
        <v>0.0</v>
      </c>
      <c r="AE49" s="65"/>
      <c r="AF49" s="65"/>
      <c r="AG49" s="65"/>
      <c r="AH49" s="65"/>
      <c r="AI49" s="65">
        <v>24.9093666666667</v>
      </c>
      <c r="AJ49" s="65">
        <v>6.17293333333333</v>
      </c>
      <c r="AK49" s="65">
        <v>4.44089209850063E-16</v>
      </c>
      <c r="AL49" s="65">
        <v>0.0</v>
      </c>
      <c r="AM49" s="65">
        <v>5.41285</v>
      </c>
      <c r="AN49" s="65"/>
      <c r="AP49" s="65">
        <v>20.2101666666667</v>
      </c>
      <c r="AQ49" s="65">
        <v>-8.88178419700125E-15</v>
      </c>
      <c r="AR49" s="65">
        <v>30.9608166666667</v>
      </c>
      <c r="AT49" s="65"/>
      <c r="AU49" s="65">
        <v>0.0</v>
      </c>
      <c r="AV49" s="65">
        <v>-3.5527136788005E-15</v>
      </c>
      <c r="AY49" s="65">
        <v>67.09165</v>
      </c>
    </row>
    <row r="50">
      <c r="A50" s="119" t="s">
        <v>7</v>
      </c>
      <c r="B50" s="119" t="s">
        <v>37</v>
      </c>
      <c r="C50" s="119" t="s">
        <v>414</v>
      </c>
      <c r="D50" s="120">
        <f t="shared" si="1"/>
        <v>4.997</v>
      </c>
      <c r="E50" s="121"/>
      <c r="F50" s="122">
        <f>HYPERLINK("https://docs.google.com/spreadsheets/d/1JY7SEu5WSFo2UMMUPQoxieXQFSor07la", 0)</f>
        <v>0</v>
      </c>
      <c r="G50" s="122">
        <f>HYPERLINK("https://docs.google.com/spreadsheets/d/18q9SO3DMO9cjYEGXYmcOT_rjW3HzYDPQ", 0)</f>
        <v>0</v>
      </c>
      <c r="H50" s="122">
        <f>HYPERLINK("https://docs.google.com/spreadsheets/d/1sVh3Gv7GM5pVnCATsAWrVCYHOXUFKs6q", 0)</f>
        <v>0</v>
      </c>
      <c r="I50" s="122">
        <f>HYPERLINK("https://docs.google.com/spreadsheets/d/18p8Gsdc5rVwspdtfKGDAtF-HaBBO7f3K", 0)</f>
        <v>0</v>
      </c>
      <c r="J50" s="127">
        <f>HYPERLINK("https://docs.google.com/spreadsheets/d/1wMzq-cT42doWDlN1LDEIHy4oct4xFSzJ", 0)</f>
        <v>0</v>
      </c>
      <c r="K50" s="127">
        <f>HYPERLINK("https://docs.google.com/spreadsheets/d/15P9yxZnP-M6KCSNNroPHgGlwDtmreHg_", 0)</f>
        <v>0</v>
      </c>
      <c r="L50" s="121"/>
      <c r="M50" s="121"/>
      <c r="N50" s="123"/>
      <c r="O50" s="121"/>
      <c r="P50" s="124">
        <f>HYPERLINK("https://docs.google.com/spreadsheets/d/1SvwdA6gESh47EvtgoJ3DXU3NvW0q5ylo", 0)</f>
        <v>0</v>
      </c>
      <c r="Q50" s="119"/>
      <c r="R50" s="119"/>
      <c r="S50" s="124">
        <f>HYPERLINK("https://docs.google.com/spreadsheets/d/1oF09MG-B5UQEo3dQP9aquJm1ZSRxx2OO", 0)</f>
        <v>0</v>
      </c>
      <c r="T50" s="125">
        <f>HYPERLINK("https://docs.google.com/spreadsheets/d/1s6V8gE44yrCwzAqi9mBoSc-1bQIKmamu", 0)</f>
        <v>0</v>
      </c>
      <c r="U50" s="125">
        <f>HYPERLINK("https://docs.google.com/spreadsheets/d/1IykewSCyyLnNccN_GhD427nxLlcp7scV", 0)</f>
        <v>0</v>
      </c>
      <c r="V50" s="124">
        <f>HYPERLINK("https://docs.google.com/spreadsheets/d/1LSmGS3NiqktWpNpmcS7J-Mj7UzHnQ1M2", 0)</f>
        <v>0</v>
      </c>
      <c r="W50" s="124">
        <f>HYPERLINK("https://docs.google.com/spreadsheets/d/1FAct96QW5-x5J7uwmS00QtfapmryHjXY", 0)</f>
        <v>0</v>
      </c>
      <c r="X50" s="119"/>
      <c r="Y50" s="119"/>
      <c r="Z50" s="124">
        <f>HYPERLINK("https://docs.google.com/spreadsheets/d/19jf8ze0ifkrc2vMHC_fqYcDJ2gDSO7Vv", 0)</f>
        <v>0</v>
      </c>
      <c r="AA50" s="124">
        <f>HYPERLINK("https://docs.google.com/spreadsheets/d/1F4-iYOf5Y0EblK1SW0KryoU8Q1Fdd2Zc", 0)</f>
        <v>0</v>
      </c>
      <c r="AB50" s="124">
        <f>HYPERLINK("https://docs.google.com/spreadsheets/d/1AkSF4L7WQBrtqFFtH0ahddzA_XLO7Z7i", 0)</f>
        <v>0</v>
      </c>
      <c r="AC50" s="124">
        <f>HYPERLINK("https://docs.google.com/spreadsheets/d/1LXIRgh0LjXfVyoDdvznoS6gf0CWgPtK9", 0)</f>
        <v>0</v>
      </c>
      <c r="AD50" s="124">
        <f>HYPERLINK("https://docs.google.com/spreadsheets/d/1ksOxfT3eVg9yrrMvygAAM0sGMGKGGtq-", 0)</f>
        <v>0</v>
      </c>
      <c r="AE50" s="119"/>
      <c r="AF50" s="119"/>
      <c r="AG50" s="119"/>
      <c r="AH50" s="119"/>
      <c r="AI50" s="125">
        <f>HYPERLINK("https://docs.google.com/spreadsheets/d/1N-GYrZ230GbGLOKJcXOc7KKMiSE3Nn7h", 0)</f>
        <v>0</v>
      </c>
      <c r="AJ50" s="124">
        <f>HYPERLINK("https://docs.google.com/spreadsheets/d/1HQLyzSrdgD4rhQA6hZ0JhO9KqcKvWcTq", 0)</f>
        <v>0</v>
      </c>
      <c r="AK50" s="124">
        <f>HYPERLINK("https://docs.google.com/spreadsheets/d/1ysv2o1yIzU6BXJm-UzBED-3WX6LKE0kK", 0)</f>
        <v>0</v>
      </c>
      <c r="AL50" s="125">
        <f>HYPERLINK("https://docs.google.com/spreadsheets/d/1U8Ly5dDp6M1BOpOPziMYoXzuOLxhG4L8", 0)</f>
        <v>0</v>
      </c>
      <c r="AM50" s="124">
        <f>HYPERLINK("https://docs.google.com/spreadsheets/d/1FyBjbKSsi-6jasOMCX4Q9yYp0esizPIe", 0)</f>
        <v>0</v>
      </c>
      <c r="AN50" s="119"/>
      <c r="AO50" s="120"/>
      <c r="AP50" s="124">
        <f>HYPERLINK("https://docs.google.com/spreadsheets/d/17T0UKwbUuCXoUaYWqvWkCnHbWC-3yx8G", 0)</f>
        <v>0</v>
      </c>
      <c r="AQ50" s="125">
        <f>HYPERLINK("https://docs.google.com/spreadsheets/d/1wlx-TNt3oRid3ovH-35jXfKbrHitNUmE", 0)</f>
        <v>0</v>
      </c>
      <c r="AR50" s="125">
        <f>HYPERLINK("https://docs.google.com/spreadsheets/d/1uBKlJYmfxCasOboIor23hccPCnV9FCWi", 0)</f>
        <v>0</v>
      </c>
      <c r="AS50" s="120"/>
      <c r="AT50" s="120"/>
      <c r="AU50" s="125">
        <f>HYPERLINK("https://docs.google.com/spreadsheets/d/1ioP8kSm5axVUKyVHdH9rkEbiYFXrTzvO", 4.997)</f>
        <v>4.997</v>
      </c>
      <c r="AV50" s="124">
        <f>HYPERLINK("https://docs.google.com/spreadsheets/d/1DGzfUEAF_d1tt3Dq40u8cPWthJjmHJ1c", 0)</f>
        <v>0</v>
      </c>
      <c r="AW50" s="120"/>
      <c r="AX50" s="120"/>
      <c r="AY50" s="124">
        <f>HYPERLINK("https://docs.google.com/spreadsheets/d/1I-oSR-UH8DEpYMnMiZ1jmQRaL-Cq96ug", 0)</f>
        <v>0</v>
      </c>
      <c r="AZ50" s="120"/>
      <c r="BA50" s="120"/>
      <c r="BB50" s="120"/>
      <c r="BC50" s="120"/>
      <c r="BD50" s="120"/>
      <c r="BE50" s="120"/>
      <c r="BF50" s="120"/>
      <c r="BG50" s="120"/>
      <c r="BH50" s="120"/>
      <c r="BI50" s="120"/>
      <c r="BJ50" s="120"/>
      <c r="BK50" s="120"/>
      <c r="BL50" s="120"/>
      <c r="BM50" s="120"/>
      <c r="BN50" s="120"/>
      <c r="BO50" s="120"/>
      <c r="BP50" s="120"/>
      <c r="BQ50" s="120"/>
      <c r="BR50" s="120"/>
      <c r="BS50" s="120"/>
      <c r="BT50" s="120"/>
      <c r="BU50" s="120"/>
      <c r="BV50" s="120"/>
      <c r="BW50" s="120"/>
      <c r="BX50" s="120"/>
      <c r="BY50" s="120"/>
      <c r="BZ50" s="120"/>
      <c r="CA50" s="120"/>
      <c r="CB50" s="120"/>
      <c r="CC50" s="120"/>
      <c r="CD50" s="120"/>
      <c r="CE50" s="120"/>
      <c r="CF50" s="120"/>
      <c r="CG50" s="120"/>
      <c r="CH50" s="120"/>
      <c r="CI50" s="120"/>
      <c r="CJ50" s="120"/>
      <c r="CK50" s="120"/>
      <c r="CL50" s="120"/>
      <c r="CM50" s="120"/>
      <c r="CN50" s="120"/>
      <c r="CO50" s="120"/>
      <c r="CP50" s="120"/>
      <c r="CQ50" s="120"/>
      <c r="CR50" s="120"/>
      <c r="CS50" s="120"/>
      <c r="CT50" s="120"/>
      <c r="CU50" s="120"/>
      <c r="CV50" s="120"/>
      <c r="CW50" s="120"/>
      <c r="CX50" s="120"/>
      <c r="CY50" s="120"/>
      <c r="CZ50" s="120"/>
      <c r="DA50" s="120"/>
      <c r="DB50" s="120"/>
      <c r="DC50" s="120"/>
      <c r="DD50" s="120"/>
      <c r="DE50" s="120"/>
      <c r="DF50" s="120"/>
      <c r="DG50" s="120"/>
      <c r="DH50" s="120"/>
      <c r="DI50" s="120"/>
      <c r="DJ50" s="120"/>
      <c r="DK50" s="120"/>
      <c r="DL50" s="120"/>
      <c r="DM50" s="120"/>
      <c r="DN50" s="120"/>
      <c r="DO50" s="120"/>
      <c r="DP50" s="120"/>
      <c r="DQ50" s="120"/>
      <c r="DR50" s="120"/>
      <c r="DS50" s="120"/>
      <c r="DT50" s="120"/>
      <c r="DU50" s="120"/>
      <c r="DV50" s="120"/>
      <c r="DW50" s="120"/>
      <c r="DX50" s="120"/>
      <c r="DY50" s="120"/>
      <c r="DZ50" s="120"/>
      <c r="EA50" s="120"/>
      <c r="EB50" s="120"/>
      <c r="EC50" s="120"/>
      <c r="ED50" s="120"/>
      <c r="EE50" s="120"/>
      <c r="EF50" s="120"/>
      <c r="EG50" s="120"/>
      <c r="EH50" s="120"/>
      <c r="EI50" s="120"/>
      <c r="EJ50" s="120"/>
      <c r="EK50" s="120"/>
      <c r="EL50" s="120"/>
      <c r="EM50" s="120"/>
      <c r="EN50" s="120"/>
      <c r="EO50" s="120"/>
      <c r="EP50" s="120"/>
      <c r="EQ50" s="120"/>
      <c r="ER50" s="120"/>
      <c r="ES50" s="120"/>
      <c r="ET50" s="120"/>
      <c r="EU50" s="120"/>
      <c r="EV50" s="120"/>
      <c r="EW50" s="120"/>
      <c r="EX50" s="120"/>
      <c r="EY50" s="120"/>
    </row>
    <row r="51">
      <c r="A51" s="112" t="s">
        <v>7</v>
      </c>
      <c r="B51" s="112" t="s">
        <v>26</v>
      </c>
      <c r="C51" s="112" t="s">
        <v>409</v>
      </c>
      <c r="D51" s="113">
        <f t="shared" si="1"/>
        <v>600.5768667</v>
      </c>
      <c r="E51" s="114">
        <v>113.896733333333</v>
      </c>
      <c r="F51" s="114"/>
      <c r="G51" s="114"/>
      <c r="H51" s="114"/>
      <c r="I51" s="114"/>
      <c r="J51" s="114"/>
      <c r="K51" s="114"/>
      <c r="L51" s="114">
        <v>1.7507</v>
      </c>
      <c r="M51" s="114"/>
      <c r="N51" s="114"/>
      <c r="O51" s="114">
        <v>9.66921666666667</v>
      </c>
      <c r="P51" s="112"/>
      <c r="Q51" s="112"/>
      <c r="R51" s="112">
        <v>151.384266666667</v>
      </c>
      <c r="S51" s="112"/>
      <c r="T51" s="112"/>
      <c r="U51" s="112"/>
      <c r="V51" s="112"/>
      <c r="W51" s="112"/>
      <c r="X51" s="112">
        <v>2.47583333333333</v>
      </c>
      <c r="Y51" s="112">
        <v>88.4099666666666</v>
      </c>
      <c r="Z51" s="112"/>
      <c r="AA51" s="113"/>
      <c r="AB51" s="112"/>
      <c r="AC51" s="112"/>
      <c r="AD51" s="112"/>
      <c r="AE51" s="112">
        <v>4.73296666666667</v>
      </c>
      <c r="AF51" s="112"/>
      <c r="AG51" s="112"/>
      <c r="AH51" s="112">
        <v>49.6494499999999</v>
      </c>
      <c r="AI51" s="112"/>
      <c r="AJ51" s="112"/>
      <c r="AK51" s="112"/>
      <c r="AL51" s="113"/>
      <c r="AM51" s="112"/>
      <c r="AN51" s="112">
        <v>1.12805</v>
      </c>
      <c r="AO51" s="112">
        <v>53.2953166666667</v>
      </c>
      <c r="AP51" s="112"/>
      <c r="AQ51" s="113"/>
      <c r="AR51" s="112"/>
      <c r="AS51" s="112">
        <v>4.32646666666667</v>
      </c>
      <c r="AT51" s="112">
        <v>18.9351666666667</v>
      </c>
      <c r="AU51" s="112"/>
      <c r="AV51" s="112"/>
      <c r="AW51" s="112">
        <v>3.71083333333333</v>
      </c>
      <c r="AX51" s="112">
        <v>90.3562333333332</v>
      </c>
      <c r="AY51" s="113"/>
      <c r="AZ51" s="112">
        <v>5.70046666666667</v>
      </c>
      <c r="BA51" s="112">
        <v>1.1552</v>
      </c>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113"/>
      <c r="CB51" s="113"/>
      <c r="CC51" s="113"/>
      <c r="CD51" s="113"/>
      <c r="CE51" s="113"/>
      <c r="CF51" s="113"/>
      <c r="CG51" s="113"/>
      <c r="CH51" s="113"/>
      <c r="CI51" s="113"/>
      <c r="CJ51" s="113"/>
      <c r="CK51" s="113"/>
      <c r="CL51" s="113"/>
      <c r="CM51" s="113"/>
      <c r="CN51" s="113"/>
      <c r="CO51" s="113"/>
      <c r="CP51" s="113"/>
      <c r="CQ51" s="113"/>
      <c r="CR51" s="113"/>
      <c r="CS51" s="113"/>
      <c r="CT51" s="113"/>
      <c r="CU51" s="113"/>
      <c r="CV51" s="113"/>
      <c r="CW51" s="113"/>
      <c r="CX51" s="113"/>
      <c r="CY51" s="113"/>
      <c r="CZ51" s="113"/>
      <c r="DA51" s="113"/>
      <c r="DB51" s="113"/>
      <c r="DC51" s="113"/>
      <c r="DD51" s="113"/>
      <c r="DE51" s="113"/>
      <c r="DF51" s="113"/>
      <c r="DG51" s="113"/>
      <c r="DH51" s="113"/>
      <c r="DI51" s="113"/>
      <c r="DJ51" s="113"/>
      <c r="DK51" s="113"/>
      <c r="DL51" s="113"/>
      <c r="DM51" s="113"/>
      <c r="DN51" s="113"/>
      <c r="DO51" s="113"/>
      <c r="DP51" s="113"/>
      <c r="DQ51" s="113"/>
      <c r="DR51" s="113"/>
      <c r="DS51" s="113"/>
      <c r="DT51" s="113"/>
      <c r="DU51" s="113"/>
      <c r="DV51" s="113"/>
      <c r="DW51" s="113"/>
      <c r="DX51" s="113"/>
      <c r="DY51" s="113"/>
      <c r="DZ51" s="113"/>
      <c r="EA51" s="113"/>
      <c r="EB51" s="113"/>
      <c r="EC51" s="113"/>
      <c r="ED51" s="113"/>
      <c r="EE51" s="113"/>
      <c r="EF51" s="113"/>
      <c r="EG51" s="113"/>
      <c r="EH51" s="113"/>
      <c r="EI51" s="113"/>
      <c r="EJ51" s="113"/>
      <c r="EK51" s="113"/>
      <c r="EL51" s="113"/>
      <c r="EM51" s="113"/>
      <c r="EN51" s="113"/>
      <c r="EO51" s="113"/>
      <c r="EP51" s="113"/>
      <c r="EQ51" s="113"/>
      <c r="ER51" s="113"/>
      <c r="ES51" s="113"/>
      <c r="ET51" s="113"/>
      <c r="EU51" s="113"/>
      <c r="EV51" s="113"/>
      <c r="EW51" s="113"/>
      <c r="EX51" s="113"/>
      <c r="EY51" s="113"/>
    </row>
    <row r="52">
      <c r="A52" s="65" t="s">
        <v>7</v>
      </c>
      <c r="B52" s="65" t="s">
        <v>26</v>
      </c>
      <c r="C52" s="65" t="s">
        <v>410</v>
      </c>
      <c r="D52" s="64">
        <f t="shared" si="1"/>
        <v>613.6612667</v>
      </c>
      <c r="E52" s="104"/>
      <c r="F52" s="104">
        <v>40.7840166666667</v>
      </c>
      <c r="G52" s="104">
        <v>4.37888333333333</v>
      </c>
      <c r="H52" s="104">
        <v>4.53296666666667</v>
      </c>
      <c r="I52" s="104">
        <v>2.84145</v>
      </c>
      <c r="J52" s="104">
        <v>2.04353333333333</v>
      </c>
      <c r="K52" s="104">
        <v>37.6731833333333</v>
      </c>
      <c r="L52" s="104"/>
      <c r="M52" s="104">
        <v>40.7840166666667</v>
      </c>
      <c r="N52" s="104">
        <v>4.37888333333333</v>
      </c>
      <c r="O52" s="104"/>
      <c r="P52" s="65">
        <v>5.49871666666667</v>
      </c>
      <c r="Q52" s="65"/>
      <c r="R52" s="65"/>
      <c r="S52" s="65">
        <v>72.3718833333332</v>
      </c>
      <c r="T52" s="65">
        <v>28.8539166666667</v>
      </c>
      <c r="U52" s="65">
        <v>8.94821666666667</v>
      </c>
      <c r="V52" s="65">
        <v>5.03345</v>
      </c>
      <c r="W52" s="65">
        <v>28.53915</v>
      </c>
      <c r="X52" s="65"/>
      <c r="Y52" s="65"/>
      <c r="Z52" s="65">
        <v>43.5323666666667</v>
      </c>
      <c r="AA52" s="65">
        <v>13.8978333333333</v>
      </c>
      <c r="AB52" s="65">
        <v>6.22851666666667</v>
      </c>
      <c r="AC52" s="65">
        <v>2.96095</v>
      </c>
      <c r="AD52" s="65">
        <v>18.1621333333333</v>
      </c>
      <c r="AE52" s="65"/>
      <c r="AF52" s="65">
        <v>43.5323666666667</v>
      </c>
      <c r="AG52" s="65">
        <v>13.8978333333333</v>
      </c>
      <c r="AH52" s="65"/>
      <c r="AI52" s="65">
        <v>26.2913166666667</v>
      </c>
      <c r="AJ52" s="65">
        <v>9.03598333333334</v>
      </c>
      <c r="AK52" s="65">
        <v>3.37726666666667</v>
      </c>
      <c r="AL52" s="65">
        <v>0.5468</v>
      </c>
      <c r="AM52" s="65">
        <v>8.38416666666667</v>
      </c>
      <c r="AN52" s="65"/>
      <c r="AP52" s="65">
        <v>11.0347</v>
      </c>
      <c r="AQ52" s="65">
        <v>4.96833333333333</v>
      </c>
      <c r="AR52" s="65">
        <v>23.2057666666667</v>
      </c>
      <c r="AT52" s="65"/>
      <c r="AU52" s="65">
        <v>3.28578333333333</v>
      </c>
      <c r="AV52" s="65">
        <v>11.9533</v>
      </c>
      <c r="AY52" s="65">
        <v>82.7035833333334</v>
      </c>
    </row>
    <row r="53">
      <c r="A53" s="65" t="s">
        <v>7</v>
      </c>
      <c r="B53" s="65" t="s">
        <v>26</v>
      </c>
      <c r="C53" s="65" t="s">
        <v>411</v>
      </c>
      <c r="D53" s="64">
        <f t="shared" si="1"/>
        <v>0</v>
      </c>
      <c r="E53" s="115"/>
      <c r="F53" s="115"/>
      <c r="G53" s="115"/>
      <c r="H53" s="115"/>
      <c r="I53" s="115"/>
      <c r="J53" s="115"/>
      <c r="K53" s="115"/>
      <c r="L53" s="115"/>
      <c r="M53" s="115"/>
      <c r="N53" s="115"/>
      <c r="O53" s="115"/>
    </row>
    <row r="54">
      <c r="A54" s="65" t="s">
        <v>7</v>
      </c>
      <c r="B54" s="65" t="s">
        <v>26</v>
      </c>
      <c r="C54" s="65" t="s">
        <v>412</v>
      </c>
      <c r="D54" s="64">
        <f t="shared" si="1"/>
        <v>482.8557667</v>
      </c>
      <c r="E54" s="115"/>
      <c r="F54" s="117">
        <f>HYPERLINK("https://docs.google.com/spreadsheets/d/1-sEwfQqfT0M2BTlB9Uc-JDVcMHRKIvWC", 34.7369333333333)</f>
        <v>34.73693333</v>
      </c>
      <c r="G54" s="116">
        <f>HYPERLINK("https://docs.google.com/spreadsheets/d/1pT9mxu8OxJtUizZMDuunjS-gVMuGU8XA", 4.37888333333333)</f>
        <v>4.378883333</v>
      </c>
      <c r="H54" s="116">
        <f>HYPERLINK("https://docs.google.com/spreadsheets/d/1WLqRk-ppZD-rQqMXhM8M-E8yA9zwlawv", 4.53296666666667)</f>
        <v>4.532966667</v>
      </c>
      <c r="I54" s="117">
        <f>HYPERLINK("https://docs.google.com/spreadsheets/d/1H1wGXEsrbaONN3ZsUgNpX9P0BazHMUNR", 2.02145)</f>
        <v>2.02145</v>
      </c>
      <c r="J54" s="116">
        <f>HYPERLINK("https://docs.google.com/spreadsheets/d/1uCWReS3Pw-3-pZFZXFrdFE062iQUIlv4", 1.73688333333333)</f>
        <v>1.736883333</v>
      </c>
      <c r="K54" s="117">
        <f>HYPERLINK("https://docs.google.com/spreadsheets/d/1Ae4BQ4Qy2PXFmCxswEI1VHA514BH-wyi", 37.1873)</f>
        <v>37.1873</v>
      </c>
      <c r="L54" s="115"/>
      <c r="M54" s="104"/>
      <c r="N54" s="115"/>
      <c r="O54" s="104"/>
      <c r="P54" s="118">
        <f>HYPERLINK("https://docs.google.com/spreadsheets/d/1XEkdQnKyOVIOimQOOe-k_K3KI_kloqgP", 5.49871666666667)</f>
        <v>5.498716667</v>
      </c>
      <c r="S54" s="118">
        <f>HYPERLINK("https://docs.google.com/spreadsheets/d/1cKlxeEdKLcj-WrPnFNBflQhlmsr0xd-m", 61.1388666666666)</f>
        <v>61.13886667</v>
      </c>
      <c r="T54" s="118">
        <f>HYPERLINK("https://docs.google.com/spreadsheets/d/1KSSZUyBqJG8kmWxGH0NIgWVJPIQ_ub-h", 28.7286833333333)</f>
        <v>28.72868333</v>
      </c>
      <c r="U54" s="118">
        <f>HYPERLINK("https://docs.google.com/spreadsheets/d/1EIY65M15eyOfcDqpEU0HlQHnKcGcTSpk", 8.19731666666666)</f>
        <v>8.197316667</v>
      </c>
      <c r="V54" s="118">
        <f>HYPERLINK("https://docs.google.com/spreadsheets/d/1JN7YpciL2kMdtX5OsYkB9EftQK7nLzVV", 3.62066666666667)</f>
        <v>3.620666667</v>
      </c>
      <c r="W54" s="118">
        <f>HYPERLINK("https://docs.google.com/spreadsheets/d/1rBHO6BfD6O-GEROk3qGHAvMAUwNkZbAB", 28.3488833333333)</f>
        <v>28.34888333</v>
      </c>
      <c r="Z54" s="118">
        <f>HYPERLINK("https://docs.google.com/spreadsheets/d/1_mlYe3hFw2qiv9jFemuXcong7jY53Pki", 39.2252666666667)</f>
        <v>39.22526667</v>
      </c>
      <c r="AA54" s="118">
        <f>HYPERLINK("https://docs.google.com/spreadsheets/d/1ynIBhtn9XEECERWnVwBWYOpEcYb8di4Z", 13.89785)</f>
        <v>13.89785</v>
      </c>
      <c r="AB54" s="118">
        <f>HYPERLINK("https://docs.google.com/spreadsheets/d/19pYmdz0ceRWJqdSLlssVAz_zkq-5P8bK", 6.22851666666667)</f>
        <v>6.228516667</v>
      </c>
      <c r="AC54" s="118">
        <f>HYPERLINK("https://docs.google.com/spreadsheets/d/1OGMGxG4oqv_fjOAKfAGJnCsH5kzNwXpD", 2.87488333333333)</f>
        <v>2.874883333</v>
      </c>
      <c r="AD54" s="118">
        <f>HYPERLINK("https://docs.google.com/spreadsheets/d/10s_4Nu9obycxR9NrvC6Bd9wKNxLrojeb", 18.16215)</f>
        <v>18.16215</v>
      </c>
      <c r="AI54" s="118">
        <f>HYPERLINK("https://docs.google.com/spreadsheets/d/12FQrpKapKDZvihhL8btpG4McR392pyz5", 25.0325833333334)</f>
        <v>25.03258333</v>
      </c>
      <c r="AJ54" s="118">
        <f>HYPERLINK("https://docs.google.com/spreadsheets/d/1ZGhGOr0ytKemQFsxKpXqR7KYDsxccvIu", 8.8712)</f>
        <v>8.8712</v>
      </c>
      <c r="AK54" s="118">
        <f>HYPERLINK("https://docs.google.com/spreadsheets/d/1r0AqYcjBasOeGpeUTNfblAwm7tBeb2G8", 3.37726666666667)</f>
        <v>3.377266667</v>
      </c>
      <c r="AL54" s="118">
        <f>HYPERLINK("https://docs.google.com/spreadsheets/d/1L3STHpbA3NhB2TUJM95VzNSriMjnRss6", 0.5468)</f>
        <v>0.5468</v>
      </c>
      <c r="AM54" s="118">
        <f>HYPERLINK("https://docs.google.com/spreadsheets/d/1GQft6wtK3tVk4s_6cKMMTUYv8658G8rK", 8.38416666666667)</f>
        <v>8.384166667</v>
      </c>
      <c r="AP54" s="118">
        <f>HYPERLINK("https://docs.google.com/spreadsheets/d/1RnPE3nshAKtEW-eoQhL9BWAkkSMNspUY", 10.8551)</f>
        <v>10.8551</v>
      </c>
      <c r="AQ54" s="118">
        <f>HYPERLINK("https://docs.google.com/spreadsheets/d/1MeKc7hP6U9skhMD9uMe8DWcPsFGH2Hfi", 4.7073)</f>
        <v>4.7073</v>
      </c>
      <c r="AR54" s="118">
        <f>HYPERLINK("https://docs.google.com/spreadsheets/d/1btz2vytnyNr9zyW2XscPEXrdcnivWjKq", 23.1358666666667)</f>
        <v>23.13586667</v>
      </c>
      <c r="AU54" s="118">
        <f>HYPERLINK("https://docs.google.com/spreadsheets/d/190zH-iPGEPB8NcBdyvOcBlAVFZ4il_jx", 2.86425)</f>
        <v>2.86425</v>
      </c>
      <c r="AV54" s="118">
        <f>HYPERLINK("https://docs.google.com/spreadsheets/d/1mOvbyarmUEcSKKa4e59igsaPqEfDqLwp", 11.9532666666667)</f>
        <v>11.95326667</v>
      </c>
      <c r="AY54" s="118">
        <f>HYPERLINK("https://docs.google.com/spreadsheets/d/1_UkqfY8c0gma-iKEBytC5QKeA3mniR7r", 82.6117500000001)</f>
        <v>82.61175</v>
      </c>
    </row>
    <row r="55">
      <c r="A55" s="65" t="s">
        <v>7</v>
      </c>
      <c r="B55" s="65" t="s">
        <v>26</v>
      </c>
      <c r="C55" s="65" t="s">
        <v>413</v>
      </c>
      <c r="D55" s="64">
        <f t="shared" si="1"/>
        <v>325.989</v>
      </c>
      <c r="E55" s="115"/>
      <c r="F55" s="104">
        <v>1.12284999999999</v>
      </c>
      <c r="G55" s="104">
        <v>0.0</v>
      </c>
      <c r="H55" s="104">
        <v>-8.88178419700125E-16</v>
      </c>
      <c r="I55" s="104">
        <v>0.0</v>
      </c>
      <c r="J55" s="104">
        <v>-2.22044604925031E-16</v>
      </c>
      <c r="K55" s="104">
        <v>15.7502166666666</v>
      </c>
      <c r="L55" s="104"/>
      <c r="M55" s="104"/>
      <c r="N55" s="104"/>
      <c r="O55" s="104"/>
      <c r="P55" s="65">
        <v>5.17856666666667</v>
      </c>
      <c r="Q55" s="65"/>
      <c r="R55" s="65"/>
      <c r="S55" s="65">
        <v>60.6883333333333</v>
      </c>
      <c r="T55" s="65">
        <v>28.4670333333333</v>
      </c>
      <c r="U55" s="65">
        <v>-1.77635683940025E-15</v>
      </c>
      <c r="V55" s="65">
        <v>0.0</v>
      </c>
      <c r="W55" s="65">
        <v>26.5261666666667</v>
      </c>
      <c r="X55" s="65"/>
      <c r="Y55" s="65"/>
      <c r="Z55" s="65">
        <v>25.2064666666667</v>
      </c>
      <c r="AA55" s="65">
        <v>10.5311333333333</v>
      </c>
      <c r="AB55" s="65">
        <v>0.173366666666669</v>
      </c>
      <c r="AC55" s="65">
        <v>8.88178419700125E-16</v>
      </c>
      <c r="AD55" s="65">
        <v>0.0</v>
      </c>
      <c r="AE55" s="65"/>
      <c r="AF55" s="65"/>
      <c r="AG55" s="65"/>
      <c r="AH55" s="65"/>
      <c r="AI55" s="65">
        <v>24.1976166666667</v>
      </c>
      <c r="AJ55" s="65">
        <v>8.69608333333333</v>
      </c>
      <c r="AK55" s="65">
        <v>4.44089209850063E-16</v>
      </c>
      <c r="AL55" s="65">
        <v>0.0</v>
      </c>
      <c r="AM55" s="65">
        <v>6.64285</v>
      </c>
      <c r="AN55" s="65"/>
      <c r="AP55" s="65">
        <v>10.7139333333333</v>
      </c>
      <c r="AQ55" s="65">
        <v>8.88178419700125E-16</v>
      </c>
      <c r="AR55" s="65">
        <v>20.1669166666667</v>
      </c>
      <c r="AT55" s="65"/>
      <c r="AU55" s="65">
        <v>0.0</v>
      </c>
      <c r="AV55" s="65">
        <v>0.0</v>
      </c>
      <c r="AY55" s="65">
        <v>81.9274666666667</v>
      </c>
    </row>
    <row r="56">
      <c r="A56" s="119" t="s">
        <v>7</v>
      </c>
      <c r="B56" s="119" t="s">
        <v>26</v>
      </c>
      <c r="C56" s="119" t="s">
        <v>414</v>
      </c>
      <c r="D56" s="120">
        <f t="shared" si="1"/>
        <v>2.86425</v>
      </c>
      <c r="E56" s="121"/>
      <c r="F56" s="122">
        <f>HYPERLINK("https://docs.google.com/spreadsheets/d/1-sEwfQqfT0M2BTlB9Uc-JDVcMHRKIvWC", 0)</f>
        <v>0</v>
      </c>
      <c r="G56" s="122">
        <f>HYPERLINK("https://docs.google.com/spreadsheets/d/1pT9mxu8OxJtUizZMDuunjS-gVMuGU8XA", 0)</f>
        <v>0</v>
      </c>
      <c r="H56" s="122">
        <f>HYPERLINK("https://docs.google.com/spreadsheets/d/1WLqRk-ppZD-rQqMXhM8M-E8yA9zwlawv", 0)</f>
        <v>0</v>
      </c>
      <c r="I56" s="122">
        <f>HYPERLINK("https://docs.google.com/spreadsheets/d/1H1wGXEsrbaONN3ZsUgNpX9P0BazHMUNR", 0)</f>
        <v>0</v>
      </c>
      <c r="J56" s="122">
        <f>HYPERLINK("https://docs.google.com/spreadsheets/d/1uCWReS3Pw-3-pZFZXFrdFE062iQUIlv4", 0)</f>
        <v>0</v>
      </c>
      <c r="K56" s="122">
        <f>HYPERLINK("https://docs.google.com/spreadsheets/d/1Ae4BQ4Qy2PXFmCxswEI1VHA514BH-wyi", 0)</f>
        <v>0</v>
      </c>
      <c r="L56" s="121"/>
      <c r="M56" s="121"/>
      <c r="N56" s="123"/>
      <c r="O56" s="121"/>
      <c r="P56" s="124">
        <f>HYPERLINK("https://docs.google.com/spreadsheets/d/1XEkdQnKyOVIOimQOOe-k_K3KI_kloqgP", 0)</f>
        <v>0</v>
      </c>
      <c r="Q56" s="119"/>
      <c r="R56" s="119"/>
      <c r="S56" s="124">
        <f>HYPERLINK("https://docs.google.com/spreadsheets/d/1cKlxeEdKLcj-WrPnFNBflQhlmsr0xd-m", 0)</f>
        <v>0</v>
      </c>
      <c r="T56" s="125">
        <f>HYPERLINK("https://docs.google.com/spreadsheets/d/1KSSZUyBqJG8kmWxGH0NIgWVJPIQ_ub-h", 0)</f>
        <v>0</v>
      </c>
      <c r="U56" s="125">
        <f>HYPERLINK("https://docs.google.com/spreadsheets/d/1EIY65M15eyOfcDqpEU0HlQHnKcGcTSpk", 0)</f>
        <v>0</v>
      </c>
      <c r="V56" s="124">
        <f>HYPERLINK("https://docs.google.com/spreadsheets/d/1JN7YpciL2kMdtX5OsYkB9EftQK7nLzVV", 0)</f>
        <v>0</v>
      </c>
      <c r="W56" s="124">
        <f>HYPERLINK("https://docs.google.com/spreadsheets/d/1rBHO6BfD6O-GEROk3qGHAvMAUwNkZbAB", 0)</f>
        <v>0</v>
      </c>
      <c r="X56" s="119"/>
      <c r="Y56" s="119"/>
      <c r="Z56" s="124">
        <f>HYPERLINK("https://docs.google.com/spreadsheets/d/1_mlYe3hFw2qiv9jFemuXcong7jY53Pki", 0)</f>
        <v>0</v>
      </c>
      <c r="AA56" s="124">
        <f>HYPERLINK("https://docs.google.com/spreadsheets/d/1ynIBhtn9XEECERWnVwBWYOpEcYb8di4Z", 0)</f>
        <v>0</v>
      </c>
      <c r="AB56" s="124">
        <f>HYPERLINK("https://docs.google.com/spreadsheets/d/19pYmdz0ceRWJqdSLlssVAz_zkq-5P8bK", 0)</f>
        <v>0</v>
      </c>
      <c r="AC56" s="124">
        <f>HYPERLINK("https://docs.google.com/spreadsheets/d/1OGMGxG4oqv_fjOAKfAGJnCsH5kzNwXpD", 0)</f>
        <v>0</v>
      </c>
      <c r="AD56" s="124">
        <f>HYPERLINK("https://docs.google.com/spreadsheets/d/10s_4Nu9obycxR9NrvC6Bd9wKNxLrojeb", 0)</f>
        <v>0</v>
      </c>
      <c r="AE56" s="119"/>
      <c r="AF56" s="119"/>
      <c r="AG56" s="119"/>
      <c r="AH56" s="119"/>
      <c r="AI56" s="125">
        <f>HYPERLINK("https://docs.google.com/spreadsheets/d/12FQrpKapKDZvihhL8btpG4McR392pyz5", 0)</f>
        <v>0</v>
      </c>
      <c r="AJ56" s="124">
        <f>HYPERLINK("https://docs.google.com/spreadsheets/d/1ZGhGOr0ytKemQFsxKpXqR7KYDsxccvIu", 0)</f>
        <v>0</v>
      </c>
      <c r="AK56" s="124">
        <f>HYPERLINK("https://docs.google.com/spreadsheets/d/1r0AqYcjBasOeGpeUTNfblAwm7tBeb2G8", 0)</f>
        <v>0</v>
      </c>
      <c r="AL56" s="125">
        <f>HYPERLINK("https://docs.google.com/spreadsheets/d/1L3STHpbA3NhB2TUJM95VzNSriMjnRss6", 0)</f>
        <v>0</v>
      </c>
      <c r="AM56" s="124">
        <f>HYPERLINK("https://docs.google.com/spreadsheets/d/1GQft6wtK3tVk4s_6cKMMTUYv8658G8rK", 0)</f>
        <v>0</v>
      </c>
      <c r="AN56" s="119"/>
      <c r="AO56" s="120"/>
      <c r="AP56" s="124">
        <f>HYPERLINK("https://docs.google.com/spreadsheets/d/1RnPE3nshAKtEW-eoQhL9BWAkkSMNspUY", 0)</f>
        <v>0</v>
      </c>
      <c r="AQ56" s="125">
        <f>HYPERLINK("https://docs.google.com/spreadsheets/d/1MeKc7hP6U9skhMD9uMe8DWcPsFGH2Hfi", 0)</f>
        <v>0</v>
      </c>
      <c r="AR56" s="125">
        <f>HYPERLINK("https://docs.google.com/spreadsheets/d/1btz2vytnyNr9zyW2XscPEXrdcnivWjKq", 0)</f>
        <v>0</v>
      </c>
      <c r="AS56" s="120"/>
      <c r="AT56" s="120"/>
      <c r="AU56" s="125">
        <f>HYPERLINK("https://docs.google.com/spreadsheets/d/190zH-iPGEPB8NcBdyvOcBlAVFZ4il_jx", 2.86425)</f>
        <v>2.86425</v>
      </c>
      <c r="AV56" s="124">
        <f>HYPERLINK("https://docs.google.com/spreadsheets/d/1mOvbyarmUEcSKKa4e59igsaPqEfDqLwp", 0)</f>
        <v>0</v>
      </c>
      <c r="AW56" s="120"/>
      <c r="AX56" s="120"/>
      <c r="AY56" s="124">
        <f>HYPERLINK("https://docs.google.com/spreadsheets/d/1_UkqfY8c0gma-iKEBytC5QKeA3mniR7r", 0)</f>
        <v>0</v>
      </c>
      <c r="AZ56" s="120"/>
      <c r="BA56" s="120"/>
      <c r="BB56" s="120"/>
      <c r="BC56" s="120"/>
      <c r="BD56" s="120"/>
      <c r="BE56" s="120"/>
      <c r="BF56" s="120"/>
      <c r="BG56" s="120"/>
      <c r="BH56" s="120"/>
      <c r="BI56" s="120"/>
      <c r="BJ56" s="120"/>
      <c r="BK56" s="120"/>
      <c r="BL56" s="120"/>
      <c r="BM56" s="120"/>
      <c r="BN56" s="120"/>
      <c r="BO56" s="120"/>
      <c r="BP56" s="120"/>
      <c r="BQ56" s="120"/>
      <c r="BR56" s="120"/>
      <c r="BS56" s="120"/>
      <c r="BT56" s="120"/>
      <c r="BU56" s="120"/>
      <c r="BV56" s="120"/>
      <c r="BW56" s="120"/>
      <c r="BX56" s="120"/>
      <c r="BY56" s="120"/>
      <c r="BZ56" s="120"/>
      <c r="CA56" s="120"/>
      <c r="CB56" s="120"/>
      <c r="CC56" s="120"/>
      <c r="CD56" s="120"/>
      <c r="CE56" s="120"/>
      <c r="CF56" s="120"/>
      <c r="CG56" s="120"/>
      <c r="CH56" s="120"/>
      <c r="CI56" s="120"/>
      <c r="CJ56" s="120"/>
      <c r="CK56" s="120"/>
      <c r="CL56" s="120"/>
      <c r="CM56" s="120"/>
      <c r="CN56" s="120"/>
      <c r="CO56" s="120"/>
      <c r="CP56" s="120"/>
      <c r="CQ56" s="120"/>
      <c r="CR56" s="120"/>
      <c r="CS56" s="120"/>
      <c r="CT56" s="120"/>
      <c r="CU56" s="120"/>
      <c r="CV56" s="120"/>
      <c r="CW56" s="120"/>
      <c r="CX56" s="120"/>
      <c r="CY56" s="120"/>
      <c r="CZ56" s="120"/>
      <c r="DA56" s="120"/>
      <c r="DB56" s="120"/>
      <c r="DC56" s="120"/>
      <c r="DD56" s="120"/>
      <c r="DE56" s="120"/>
      <c r="DF56" s="120"/>
      <c r="DG56" s="120"/>
      <c r="DH56" s="120"/>
      <c r="DI56" s="120"/>
      <c r="DJ56" s="120"/>
      <c r="DK56" s="120"/>
      <c r="DL56" s="120"/>
      <c r="DM56" s="120"/>
      <c r="DN56" s="120"/>
      <c r="DO56" s="120"/>
      <c r="DP56" s="120"/>
      <c r="DQ56" s="120"/>
      <c r="DR56" s="120"/>
      <c r="DS56" s="120"/>
      <c r="DT56" s="120"/>
      <c r="DU56" s="120"/>
      <c r="DV56" s="120"/>
      <c r="DW56" s="120"/>
      <c r="DX56" s="120"/>
      <c r="DY56" s="120"/>
      <c r="DZ56" s="120"/>
      <c r="EA56" s="120"/>
      <c r="EB56" s="120"/>
      <c r="EC56" s="120"/>
      <c r="ED56" s="120"/>
      <c r="EE56" s="120"/>
      <c r="EF56" s="120"/>
      <c r="EG56" s="120"/>
      <c r="EH56" s="120"/>
      <c r="EI56" s="120"/>
      <c r="EJ56" s="120"/>
      <c r="EK56" s="120"/>
      <c r="EL56" s="120"/>
      <c r="EM56" s="120"/>
      <c r="EN56" s="120"/>
      <c r="EO56" s="120"/>
      <c r="EP56" s="120"/>
      <c r="EQ56" s="120"/>
      <c r="ER56" s="120"/>
      <c r="ES56" s="120"/>
      <c r="ET56" s="120"/>
      <c r="EU56" s="120"/>
      <c r="EV56" s="120"/>
      <c r="EW56" s="120"/>
      <c r="EX56" s="120"/>
      <c r="EY56" s="120"/>
    </row>
    <row r="57">
      <c r="A57" s="112" t="s">
        <v>7</v>
      </c>
      <c r="B57" s="112" t="s">
        <v>24</v>
      </c>
      <c r="C57" s="112" t="s">
        <v>409</v>
      </c>
      <c r="D57" s="113">
        <f t="shared" si="1"/>
        <v>515.3292667</v>
      </c>
      <c r="E57" s="114">
        <v>48.78555</v>
      </c>
      <c r="F57" s="114"/>
      <c r="G57" s="114"/>
      <c r="H57" s="114"/>
      <c r="I57" s="114"/>
      <c r="J57" s="114"/>
      <c r="K57" s="114"/>
      <c r="L57" s="114">
        <v>1.08758333333333</v>
      </c>
      <c r="M57" s="114"/>
      <c r="N57" s="114"/>
      <c r="O57" s="114">
        <v>9.31953333333334</v>
      </c>
      <c r="P57" s="112"/>
      <c r="Q57" s="112"/>
      <c r="R57" s="112">
        <v>163.049166666667</v>
      </c>
      <c r="S57" s="112"/>
      <c r="T57" s="112"/>
      <c r="U57" s="112"/>
      <c r="V57" s="112"/>
      <c r="W57" s="112"/>
      <c r="X57" s="112">
        <v>2.34755</v>
      </c>
      <c r="Y57" s="112">
        <v>88.2166666666668</v>
      </c>
      <c r="Z57" s="112"/>
      <c r="AA57" s="113"/>
      <c r="AB57" s="112"/>
      <c r="AC57" s="112"/>
      <c r="AD57" s="112"/>
      <c r="AE57" s="112">
        <v>1.73146666666667</v>
      </c>
      <c r="AF57" s="112"/>
      <c r="AG57" s="112"/>
      <c r="AH57" s="112">
        <v>36.1983833333333</v>
      </c>
      <c r="AI57" s="112"/>
      <c r="AJ57" s="112"/>
      <c r="AK57" s="112"/>
      <c r="AL57" s="113"/>
      <c r="AM57" s="112"/>
      <c r="AN57" s="112">
        <v>0.7866</v>
      </c>
      <c r="AO57" s="112">
        <v>64.9302333333333</v>
      </c>
      <c r="AP57" s="112"/>
      <c r="AQ57" s="113"/>
      <c r="AR57" s="112"/>
      <c r="AS57" s="112">
        <v>6.6917</v>
      </c>
      <c r="AT57" s="112">
        <v>33.6139333333333</v>
      </c>
      <c r="AU57" s="112"/>
      <c r="AV57" s="112"/>
      <c r="AW57" s="112">
        <v>4.4406</v>
      </c>
      <c r="AX57" s="112">
        <v>49.1054833333333</v>
      </c>
      <c r="AY57" s="113"/>
      <c r="AZ57" s="112">
        <v>4.41796666666667</v>
      </c>
      <c r="BA57" s="112">
        <v>0.60685</v>
      </c>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113"/>
      <c r="CB57" s="113"/>
      <c r="CC57" s="113"/>
      <c r="CD57" s="113"/>
      <c r="CE57" s="113"/>
      <c r="CF57" s="113"/>
      <c r="CG57" s="113"/>
      <c r="CH57" s="113"/>
      <c r="CI57" s="113"/>
      <c r="CJ57" s="113"/>
      <c r="CK57" s="113"/>
      <c r="CL57" s="113"/>
      <c r="CM57" s="113"/>
      <c r="CN57" s="113"/>
      <c r="CO57" s="113"/>
      <c r="CP57" s="113"/>
      <c r="CQ57" s="113"/>
      <c r="CR57" s="113"/>
      <c r="CS57" s="113"/>
      <c r="CT57" s="113"/>
      <c r="CU57" s="113"/>
      <c r="CV57" s="113"/>
      <c r="CW57" s="113"/>
      <c r="CX57" s="113"/>
      <c r="CY57" s="113"/>
      <c r="CZ57" s="113"/>
      <c r="DA57" s="113"/>
      <c r="DB57" s="113"/>
      <c r="DC57" s="113"/>
      <c r="DD57" s="113"/>
      <c r="DE57" s="113"/>
      <c r="DF57" s="113"/>
      <c r="DG57" s="113"/>
      <c r="DH57" s="113"/>
      <c r="DI57" s="113"/>
      <c r="DJ57" s="113"/>
      <c r="DK57" s="113"/>
      <c r="DL57" s="113"/>
      <c r="DM57" s="113"/>
      <c r="DN57" s="113"/>
      <c r="DO57" s="113"/>
      <c r="DP57" s="113"/>
      <c r="DQ57" s="113"/>
      <c r="DR57" s="113"/>
      <c r="DS57" s="113"/>
      <c r="DT57" s="113"/>
      <c r="DU57" s="113"/>
      <c r="DV57" s="113"/>
      <c r="DW57" s="113"/>
      <c r="DX57" s="113"/>
      <c r="DY57" s="113"/>
      <c r="DZ57" s="113"/>
      <c r="EA57" s="113"/>
      <c r="EB57" s="113"/>
      <c r="EC57" s="113"/>
      <c r="ED57" s="113"/>
      <c r="EE57" s="113"/>
      <c r="EF57" s="113"/>
      <c r="EG57" s="113"/>
      <c r="EH57" s="113"/>
      <c r="EI57" s="113"/>
      <c r="EJ57" s="113"/>
      <c r="EK57" s="113"/>
      <c r="EL57" s="113"/>
      <c r="EM57" s="113"/>
      <c r="EN57" s="113"/>
      <c r="EO57" s="113"/>
      <c r="EP57" s="113"/>
      <c r="EQ57" s="113"/>
      <c r="ER57" s="113"/>
      <c r="ES57" s="113"/>
      <c r="ET57" s="113"/>
      <c r="EU57" s="113"/>
      <c r="EV57" s="113"/>
      <c r="EW57" s="113"/>
      <c r="EX57" s="113"/>
      <c r="EY57" s="113"/>
    </row>
    <row r="58">
      <c r="A58" s="65" t="s">
        <v>7</v>
      </c>
      <c r="B58" s="65" t="s">
        <v>24</v>
      </c>
      <c r="C58" s="65" t="s">
        <v>410</v>
      </c>
      <c r="D58" s="64">
        <f t="shared" si="1"/>
        <v>551.9644333</v>
      </c>
      <c r="E58" s="104"/>
      <c r="F58" s="104">
        <v>29.7318</v>
      </c>
      <c r="G58" s="104">
        <v>4.17056666666667</v>
      </c>
      <c r="H58" s="104">
        <v>1.87683333333333</v>
      </c>
      <c r="I58" s="104">
        <v>0.2708</v>
      </c>
      <c r="J58" s="104"/>
      <c r="K58" s="104">
        <v>7.77155</v>
      </c>
      <c r="L58" s="104"/>
      <c r="M58" s="104">
        <v>29.7318</v>
      </c>
      <c r="N58" s="104">
        <v>4.17056666666667</v>
      </c>
      <c r="O58" s="104"/>
      <c r="P58" s="65">
        <v>6.64511666666667</v>
      </c>
      <c r="Q58" s="65"/>
      <c r="R58" s="65"/>
      <c r="S58" s="65">
        <v>110.313466666666</v>
      </c>
      <c r="T58" s="65">
        <v>23.6053833333333</v>
      </c>
      <c r="U58" s="65">
        <v>10.7053666666667</v>
      </c>
      <c r="V58" s="65">
        <v>3.28531666666667</v>
      </c>
      <c r="W58" s="65"/>
      <c r="X58" s="65"/>
      <c r="Y58" s="65"/>
      <c r="Z58" s="65">
        <v>66.8147833333334</v>
      </c>
      <c r="AA58" s="65">
        <v>11.6083166666667</v>
      </c>
      <c r="AB58" s="65">
        <v>2.47965</v>
      </c>
      <c r="AC58" s="65">
        <v>1.55128333333333</v>
      </c>
      <c r="AD58" s="65">
        <v>3.1821</v>
      </c>
      <c r="AE58" s="65"/>
      <c r="AF58" s="65">
        <v>66.8147833333334</v>
      </c>
      <c r="AG58" s="65">
        <v>11.6083166666667</v>
      </c>
      <c r="AH58" s="65"/>
      <c r="AI58" s="65">
        <v>29.2705</v>
      </c>
      <c r="AJ58" s="65">
        <v>3.35045</v>
      </c>
      <c r="AK58" s="65">
        <v>1.1513</v>
      </c>
      <c r="AL58" s="65">
        <v>0.146216666666667</v>
      </c>
      <c r="AM58" s="65">
        <v>1.70703333333333</v>
      </c>
      <c r="AN58" s="65"/>
      <c r="AP58" s="65">
        <v>17.0141666666667</v>
      </c>
      <c r="AQ58" s="65">
        <v>6.76936666666667</v>
      </c>
      <c r="AR58" s="65">
        <v>25.3527833333333</v>
      </c>
      <c r="AT58" s="65"/>
      <c r="AU58" s="65">
        <v>7.69393333333333</v>
      </c>
      <c r="AV58" s="65">
        <v>18.1990833333333</v>
      </c>
      <c r="AY58" s="65">
        <v>44.9718</v>
      </c>
    </row>
    <row r="59">
      <c r="A59" s="65" t="s">
        <v>7</v>
      </c>
      <c r="B59" s="65" t="s">
        <v>24</v>
      </c>
      <c r="C59" s="65" t="s">
        <v>411</v>
      </c>
      <c r="D59" s="64">
        <f t="shared" si="1"/>
        <v>0</v>
      </c>
      <c r="E59" s="115"/>
      <c r="F59" s="115"/>
      <c r="G59" s="115"/>
      <c r="H59" s="115"/>
      <c r="I59" s="115"/>
      <c r="J59" s="115"/>
      <c r="K59" s="115"/>
      <c r="L59" s="115"/>
      <c r="M59" s="115"/>
      <c r="N59" s="115"/>
      <c r="O59" s="115"/>
    </row>
    <row r="60">
      <c r="A60" s="65" t="s">
        <v>7</v>
      </c>
      <c r="B60" s="65" t="s">
        <v>24</v>
      </c>
      <c r="C60" s="65" t="s">
        <v>412</v>
      </c>
      <c r="D60" s="64">
        <f t="shared" si="1"/>
        <v>377.0710833</v>
      </c>
      <c r="E60" s="115"/>
      <c r="F60" s="117">
        <f>HYPERLINK("https://docs.google.com/spreadsheets/d/15__Ll934xQytkyMbyfDRtfhFW1yPnVp3", 25.05935)</f>
        <v>25.05935</v>
      </c>
      <c r="G60" s="116">
        <f>HYPERLINK("https://docs.google.com/spreadsheets/d/1Rxx2ecPRRnnKXGfJl0d0n0mYIWdd_k-7", 4.17056666666667)</f>
        <v>4.170566667</v>
      </c>
      <c r="H60" s="116">
        <f>HYPERLINK("https://docs.google.com/spreadsheets/d/1wEpsAvJnt3qLZqHSwXejgg0hswsdkP4R", 1.87685)</f>
        <v>1.87685</v>
      </c>
      <c r="I60" s="117">
        <f>HYPERLINK("https://docs.google.com/spreadsheets/d/1HFtVUbsdVa_0v5X0jTqU7T8dhRg_6_kv", 0.1553)</f>
        <v>0.1553</v>
      </c>
      <c r="J60" s="115"/>
      <c r="K60" s="117">
        <f>HYPERLINK("https://docs.google.com/spreadsheets/d/1yuiGyO6tM8l4lQiCBAYplun_u2nVv6bx", 7.77155)</f>
        <v>7.77155</v>
      </c>
      <c r="L60" s="115"/>
      <c r="M60" s="104"/>
      <c r="N60" s="115"/>
      <c r="O60" s="104"/>
      <c r="P60" s="118">
        <f>HYPERLINK("https://docs.google.com/spreadsheets/d/1HSGYjFZoSMjbKY6RSTsDopvAsLpTYUrk", 6.64511666666667)</f>
        <v>6.645116667</v>
      </c>
      <c r="S60" s="118">
        <f>HYPERLINK("https://docs.google.com/spreadsheets/d/1cRklM6ldBTcqdY-OgnLI1LofsqxI2_4E", 88.7508166666666)</f>
        <v>88.75081667</v>
      </c>
      <c r="T60" s="118">
        <f>HYPERLINK("https://docs.google.com/spreadsheets/d/12Th2Lg-smeyQzDJIKmS_NBQ0jsuaBbQC", 22.0113333333333)</f>
        <v>22.01133333</v>
      </c>
      <c r="U60" s="118">
        <f>HYPERLINK("https://docs.google.com/spreadsheets/d/1xElAi3YrPJEXKvDFtu6b7JF8o-xY-5tN", 7.41826666666667)</f>
        <v>7.418266667</v>
      </c>
      <c r="V60" s="118">
        <f>HYPERLINK("https://docs.google.com/spreadsheets/d/1DiLSiDbcoQr3VBfZdKta6kkhF8krq2b2", 2.18383333333333)</f>
        <v>2.183833333</v>
      </c>
      <c r="Z60" s="118">
        <f>HYPERLINK("https://docs.google.com/spreadsheets/d/1VyOSvPZrgALQ1yZQs4ms3EC1c5GQM1dx", 56.4046166666667)</f>
        <v>56.40461667</v>
      </c>
      <c r="AA60" s="118">
        <f>HYPERLINK("https://docs.google.com/spreadsheets/d/1E1Wrb3PiZ29toYHe6dX0DXhc0eecU7ox", 11.6083166666667)</f>
        <v>11.60831667</v>
      </c>
      <c r="AB60" s="118">
        <f>HYPERLINK("https://docs.google.com/spreadsheets/d/1mvaB0S5ItQwh3V-UGXkrovA0wxlH638t", 2.47965)</f>
        <v>2.47965</v>
      </c>
      <c r="AC60" s="118">
        <f>HYPERLINK("https://docs.google.com/spreadsheets/d/1hcDKFCoDhs54bNt7UlfnNGCJeVg_GFhg", 1.55128333333333)</f>
        <v>1.551283333</v>
      </c>
      <c r="AD60" s="118">
        <f>HYPERLINK("https://docs.google.com/spreadsheets/d/1nMuWRAPBMIyikexreOmySblHmErnWV8e", 3.18211666666667)</f>
        <v>3.182116667</v>
      </c>
      <c r="AI60" s="118">
        <f>HYPERLINK("https://docs.google.com/spreadsheets/d/1r4cdwg0_SdW822G_QfgS6MZQtalkZ7JN", 15.2589666666667)</f>
        <v>15.25896667</v>
      </c>
      <c r="AJ60" s="118">
        <f>HYPERLINK("https://docs.google.com/spreadsheets/d/1YLTSVe7YJuLHbDNd9gMS3vZ6tmCwIf8k", 3.35045)</f>
        <v>3.35045</v>
      </c>
      <c r="AK60" s="118">
        <f>HYPERLINK("https://docs.google.com/spreadsheets/d/1HHY2LEvSkJ29xPTipoMRxWeUzpDslMWy", 1.03128333333333)</f>
        <v>1.031283333</v>
      </c>
      <c r="AL60" s="118">
        <f>HYPERLINK("https://docs.google.com/spreadsheets/d/1N4nBO-hxhOYmImqQjGv2SKyNng_VJVSW", 0.146216666666667)</f>
        <v>0.1462166667</v>
      </c>
      <c r="AM60" s="118">
        <f>HYPERLINK("https://docs.google.com/spreadsheets/d/1L7dt8uJ6ZuxVynsRXMPPAdDu2TJDSYb6", 1.70701666666667)</f>
        <v>1.707016667</v>
      </c>
      <c r="AP60" s="118">
        <f>HYPERLINK("https://docs.google.com/spreadsheets/d/13fbKFy9C7_KPmOyl7tUX-zxoVmOpMTQd", 11.5372333333333)</f>
        <v>11.53723333</v>
      </c>
      <c r="AQ60" s="118">
        <f>HYPERLINK("https://docs.google.com/spreadsheets/d/1WRtg7IInludW4tcOOTNGdrsLFL05aQb7", 6.55341666666667)</f>
        <v>6.553416667</v>
      </c>
      <c r="AR60" s="118">
        <f>HYPERLINK("https://docs.google.com/spreadsheets/d/1o8cHg6DMEo5GaJDgK__SIk7SdRhVPbxI", 25.35275)</f>
        <v>25.35275</v>
      </c>
      <c r="AU60" s="118">
        <f>HYPERLINK("https://docs.google.com/spreadsheets/d/1Qhq8sxdbMMVtNOwgpYjOd_iuasMGstKA", 7.69393333333333)</f>
        <v>7.693933333</v>
      </c>
      <c r="AV60" s="118">
        <f>HYPERLINK("https://docs.google.com/spreadsheets/d/1WF04YHXsO0VtDZmeO1WrPCrARhWg7qNx", 18.1990666666667)</f>
        <v>18.19906667</v>
      </c>
      <c r="AY60" s="118">
        <f>HYPERLINK("https://docs.google.com/spreadsheets/d/1oXBgzqjFzR60QQNoMr5Z2JsccEWmGzg6", 44.9717833333333)</f>
        <v>44.97178333</v>
      </c>
    </row>
    <row r="61">
      <c r="A61" s="65" t="s">
        <v>7</v>
      </c>
      <c r="B61" s="65" t="s">
        <v>24</v>
      </c>
      <c r="C61" s="65" t="s">
        <v>413</v>
      </c>
      <c r="D61" s="64">
        <f t="shared" si="1"/>
        <v>272.5185833</v>
      </c>
      <c r="E61" s="115"/>
      <c r="F61" s="104">
        <v>1.54773333333334</v>
      </c>
      <c r="G61" s="104">
        <v>8.88178419700125E-16</v>
      </c>
      <c r="H61" s="104">
        <v>-2.22044604925031E-16</v>
      </c>
      <c r="I61" s="104">
        <v>0.0</v>
      </c>
      <c r="J61" s="104"/>
      <c r="K61" s="104">
        <v>7.77155</v>
      </c>
      <c r="L61" s="104"/>
      <c r="M61" s="104"/>
      <c r="N61" s="104"/>
      <c r="O61" s="104"/>
      <c r="P61" s="65">
        <v>6.64511666666667</v>
      </c>
      <c r="Q61" s="65"/>
      <c r="R61" s="65"/>
      <c r="S61" s="65">
        <v>88.7508166666666</v>
      </c>
      <c r="T61" s="65">
        <v>22.0113333333333</v>
      </c>
      <c r="U61" s="65">
        <v>0.0</v>
      </c>
      <c r="V61" s="65">
        <v>0.0</v>
      </c>
      <c r="W61" s="65"/>
      <c r="X61" s="65"/>
      <c r="Y61" s="65"/>
      <c r="Z61" s="65">
        <v>35.4489166666667</v>
      </c>
      <c r="AA61" s="65">
        <v>8.16491666666667</v>
      </c>
      <c r="AB61" s="65">
        <v>4.44089209850063E-16</v>
      </c>
      <c r="AC61" s="65">
        <v>0.0</v>
      </c>
      <c r="AD61" s="65">
        <v>0.0</v>
      </c>
      <c r="AE61" s="65"/>
      <c r="AF61" s="65"/>
      <c r="AG61" s="65"/>
      <c r="AH61" s="65"/>
      <c r="AI61" s="65">
        <v>15.2589666666667</v>
      </c>
      <c r="AJ61" s="65">
        <v>3.35045</v>
      </c>
      <c r="AK61" s="65">
        <v>0.0</v>
      </c>
      <c r="AL61" s="65">
        <v>0.0</v>
      </c>
      <c r="AM61" s="65">
        <v>1.70701666666667</v>
      </c>
      <c r="AN61" s="65"/>
      <c r="AP61" s="65">
        <v>11.5372333333333</v>
      </c>
      <c r="AQ61" s="65">
        <v>1.77635683940025E-15</v>
      </c>
      <c r="AR61" s="65">
        <v>25.35275</v>
      </c>
      <c r="AT61" s="65"/>
      <c r="AU61" s="65">
        <v>0.0</v>
      </c>
      <c r="AV61" s="65">
        <v>-7.105427357601E-15</v>
      </c>
      <c r="AY61" s="65">
        <v>44.9717833333333</v>
      </c>
    </row>
    <row r="62">
      <c r="A62" s="119" t="s">
        <v>7</v>
      </c>
      <c r="B62" s="119" t="s">
        <v>24</v>
      </c>
      <c r="C62" s="119" t="s">
        <v>414</v>
      </c>
      <c r="D62" s="120">
        <f t="shared" si="1"/>
        <v>7.693933333</v>
      </c>
      <c r="E62" s="121"/>
      <c r="F62" s="122">
        <f>HYPERLINK("https://docs.google.com/spreadsheets/d/15__Ll934xQytkyMbyfDRtfhFW1yPnVp3", 0)</f>
        <v>0</v>
      </c>
      <c r="G62" s="122">
        <f>HYPERLINK("https://docs.google.com/spreadsheets/d/1Rxx2ecPRRnnKXGfJl0d0n0mYIWdd_k-7", 0)</f>
        <v>0</v>
      </c>
      <c r="H62" s="122">
        <f>HYPERLINK("https://docs.google.com/spreadsheets/d/1wEpsAvJnt3qLZqHSwXejgg0hswsdkP4R", 0)</f>
        <v>0</v>
      </c>
      <c r="I62" s="122">
        <f>HYPERLINK("https://docs.google.com/spreadsheets/d/1HFtVUbsdVa_0v5X0jTqU7T8dhRg_6_kv", 0)</f>
        <v>0</v>
      </c>
      <c r="J62" s="121"/>
      <c r="K62" s="127">
        <f>HYPERLINK("https://docs.google.com/spreadsheets/d/1yuiGyO6tM8l4lQiCBAYplun_u2nVv6bx", 0)</f>
        <v>0</v>
      </c>
      <c r="L62" s="121"/>
      <c r="M62" s="121"/>
      <c r="N62" s="121"/>
      <c r="O62" s="121"/>
      <c r="P62" s="124">
        <f>HYPERLINK("https://docs.google.com/spreadsheets/d/1HSGYjFZoSMjbKY6RSTsDopvAsLpTYUrk", 0)</f>
        <v>0</v>
      </c>
      <c r="Q62" s="120"/>
      <c r="R62" s="120"/>
      <c r="S62" s="124">
        <f>HYPERLINK("https://docs.google.com/spreadsheets/d/1cRklM6ldBTcqdY-OgnLI1LofsqxI2_4E", 0)</f>
        <v>0</v>
      </c>
      <c r="T62" s="125">
        <f>HYPERLINK("https://docs.google.com/spreadsheets/d/12Th2Lg-smeyQzDJIKmS_NBQ0jsuaBbQC", 0)</f>
        <v>0</v>
      </c>
      <c r="U62" s="124">
        <f>HYPERLINK("https://docs.google.com/spreadsheets/d/1xElAi3YrPJEXKvDFtu6b7JF8o-xY-5tN", 0)</f>
        <v>0</v>
      </c>
      <c r="V62" s="124">
        <f>HYPERLINK("https://docs.google.com/spreadsheets/d/1DiLSiDbcoQr3VBfZdKta6kkhF8krq2b2", 0)</f>
        <v>0</v>
      </c>
      <c r="W62" s="120"/>
      <c r="X62" s="119"/>
      <c r="Y62" s="119"/>
      <c r="Z62" s="125">
        <f>HYPERLINK("https://docs.google.com/spreadsheets/d/1VyOSvPZrgALQ1yZQs4ms3EC1c5GQM1dx", 0)</f>
        <v>0</v>
      </c>
      <c r="AA62" s="124">
        <f>HYPERLINK("https://docs.google.com/spreadsheets/d/1E1Wrb3PiZ29toYHe6dX0DXhc0eecU7ox", 0)</f>
        <v>0</v>
      </c>
      <c r="AB62" s="124">
        <f>HYPERLINK("https://docs.google.com/spreadsheets/d/1mvaB0S5ItQwh3V-UGXkrovA0wxlH638t", 0)</f>
        <v>0</v>
      </c>
      <c r="AC62" s="124">
        <f>HYPERLINK("https://docs.google.com/spreadsheets/d/1hcDKFCoDhs54bNt7UlfnNGCJeVg_GFhg", 0)</f>
        <v>0</v>
      </c>
      <c r="AD62" s="124">
        <f>HYPERLINK("https://docs.google.com/spreadsheets/d/1nMuWRAPBMIyikexreOmySblHmErnWV8e", 0)</f>
        <v>0</v>
      </c>
      <c r="AE62" s="119"/>
      <c r="AF62" s="120"/>
      <c r="AG62" s="119"/>
      <c r="AH62" s="119"/>
      <c r="AI62" s="124">
        <f>HYPERLINK("https://docs.google.com/spreadsheets/d/1r4cdwg0_SdW822G_QfgS6MZQtalkZ7JN", 0)</f>
        <v>0</v>
      </c>
      <c r="AJ62" s="124">
        <f>HYPERLINK("https://docs.google.com/spreadsheets/d/1YLTSVe7YJuLHbDNd9gMS3vZ6tmCwIf8k", 0)</f>
        <v>0</v>
      </c>
      <c r="AK62" s="124">
        <f>HYPERLINK("https://docs.google.com/spreadsheets/d/1HHY2LEvSkJ29xPTipoMRxWeUzpDslMWy", 0)</f>
        <v>0</v>
      </c>
      <c r="AL62" s="124">
        <f>HYPERLINK("https://docs.google.com/spreadsheets/d/1N4nBO-hxhOYmImqQjGv2SKyNng_VJVSW", 0)</f>
        <v>0</v>
      </c>
      <c r="AM62" s="124">
        <f>HYPERLINK("https://docs.google.com/spreadsheets/d/1L7dt8uJ6ZuxVynsRXMPPAdDu2TJDSYb6", 0)</f>
        <v>0</v>
      </c>
      <c r="AN62" s="120"/>
      <c r="AO62" s="120"/>
      <c r="AP62" s="124">
        <f>HYPERLINK("https://docs.google.com/spreadsheets/d/13fbKFy9C7_KPmOyl7tUX-zxoVmOpMTQd", 0)</f>
        <v>0</v>
      </c>
      <c r="AQ62" s="125">
        <f>HYPERLINK("https://docs.google.com/spreadsheets/d/1WRtg7IInludW4tcOOTNGdrsLFL05aQb7", 0)</f>
        <v>0</v>
      </c>
      <c r="AR62" s="125">
        <f>HYPERLINK("https://docs.google.com/spreadsheets/d/1o8cHg6DMEo5GaJDgK__SIk7SdRhVPbxI", 0)</f>
        <v>0</v>
      </c>
      <c r="AS62" s="120"/>
      <c r="AT62" s="120"/>
      <c r="AU62" s="124">
        <f>HYPERLINK("https://docs.google.com/spreadsheets/d/1Qhq8sxdbMMVtNOwgpYjOd_iuasMGstKA", 7.69393333333333)</f>
        <v>7.693933333</v>
      </c>
      <c r="AV62" s="124">
        <f>HYPERLINK("https://docs.google.com/spreadsheets/d/1WF04YHXsO0VtDZmeO1WrPCrARhWg7qNx", 0)</f>
        <v>0</v>
      </c>
      <c r="AW62" s="120"/>
      <c r="AX62" s="120"/>
      <c r="AY62" s="124">
        <f>HYPERLINK("https://docs.google.com/spreadsheets/d/1oXBgzqjFzR60QQNoMr5Z2JsccEWmGzg6", 0)</f>
        <v>0</v>
      </c>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0"/>
      <c r="CE62" s="120"/>
      <c r="CF62" s="120"/>
      <c r="CG62" s="120"/>
      <c r="CH62" s="120"/>
      <c r="CI62" s="120"/>
      <c r="CJ62" s="120"/>
      <c r="CK62" s="120"/>
      <c r="CL62" s="120"/>
      <c r="CM62" s="120"/>
      <c r="CN62" s="120"/>
      <c r="CO62" s="120"/>
      <c r="CP62" s="120"/>
      <c r="CQ62" s="120"/>
      <c r="CR62" s="120"/>
      <c r="CS62" s="120"/>
      <c r="CT62" s="120"/>
      <c r="CU62" s="120"/>
      <c r="CV62" s="120"/>
      <c r="CW62" s="120"/>
      <c r="CX62" s="120"/>
      <c r="CY62" s="120"/>
      <c r="CZ62" s="120"/>
      <c r="DA62" s="120"/>
      <c r="DB62" s="120"/>
      <c r="DC62" s="120"/>
      <c r="DD62" s="120"/>
      <c r="DE62" s="120"/>
      <c r="DF62" s="120"/>
      <c r="DG62" s="120"/>
      <c r="DH62" s="120"/>
      <c r="DI62" s="120"/>
      <c r="DJ62" s="120"/>
      <c r="DK62" s="120"/>
      <c r="DL62" s="120"/>
      <c r="DM62" s="120"/>
      <c r="DN62" s="120"/>
      <c r="DO62" s="120"/>
      <c r="DP62" s="120"/>
      <c r="DQ62" s="120"/>
      <c r="DR62" s="120"/>
      <c r="DS62" s="120"/>
      <c r="DT62" s="120"/>
      <c r="DU62" s="120"/>
      <c r="DV62" s="120"/>
      <c r="DW62" s="120"/>
      <c r="DX62" s="120"/>
      <c r="DY62" s="120"/>
      <c r="DZ62" s="120"/>
      <c r="EA62" s="120"/>
      <c r="EB62" s="120"/>
      <c r="EC62" s="120"/>
      <c r="ED62" s="120"/>
      <c r="EE62" s="120"/>
      <c r="EF62" s="120"/>
      <c r="EG62" s="120"/>
      <c r="EH62" s="120"/>
      <c r="EI62" s="120"/>
      <c r="EJ62" s="120"/>
      <c r="EK62" s="120"/>
      <c r="EL62" s="120"/>
      <c r="EM62" s="120"/>
      <c r="EN62" s="120"/>
      <c r="EO62" s="120"/>
      <c r="EP62" s="120"/>
      <c r="EQ62" s="120"/>
      <c r="ER62" s="120"/>
      <c r="ES62" s="120"/>
      <c r="ET62" s="120"/>
      <c r="EU62" s="120"/>
      <c r="EV62" s="120"/>
      <c r="EW62" s="120"/>
      <c r="EX62" s="120"/>
      <c r="EY62" s="120"/>
    </row>
    <row r="63">
      <c r="A63" s="112" t="s">
        <v>7</v>
      </c>
      <c r="B63" s="112" t="s">
        <v>16</v>
      </c>
      <c r="C63" s="112" t="s">
        <v>409</v>
      </c>
      <c r="D63" s="113">
        <f t="shared" si="1"/>
        <v>691.5568333</v>
      </c>
      <c r="E63" s="114">
        <v>158.913733333333</v>
      </c>
      <c r="F63" s="114"/>
      <c r="G63" s="114"/>
      <c r="H63" s="114"/>
      <c r="I63" s="114"/>
      <c r="J63" s="114"/>
      <c r="K63" s="114"/>
      <c r="L63" s="114">
        <v>2.14905</v>
      </c>
      <c r="M63" s="114"/>
      <c r="N63" s="114"/>
      <c r="O63" s="114">
        <v>16.5992333333333</v>
      </c>
      <c r="P63" s="112"/>
      <c r="Q63" s="112">
        <v>0.176333333333333</v>
      </c>
      <c r="R63" s="112">
        <v>152.50995</v>
      </c>
      <c r="S63" s="112"/>
      <c r="T63" s="112"/>
      <c r="U63" s="112"/>
      <c r="V63" s="112"/>
      <c r="W63" s="112"/>
      <c r="X63" s="112">
        <v>2.37388333333333</v>
      </c>
      <c r="Y63" s="112">
        <v>100.0382</v>
      </c>
      <c r="Z63" s="112"/>
      <c r="AA63" s="113"/>
      <c r="AB63" s="112"/>
      <c r="AC63" s="112"/>
      <c r="AD63" s="112"/>
      <c r="AE63" s="112">
        <v>3.17168333333333</v>
      </c>
      <c r="AF63" s="112"/>
      <c r="AG63" s="112"/>
      <c r="AH63" s="112">
        <v>61.6813</v>
      </c>
      <c r="AI63" s="112"/>
      <c r="AJ63" s="112"/>
      <c r="AK63" s="112"/>
      <c r="AL63" s="113"/>
      <c r="AM63" s="112"/>
      <c r="AN63" s="112">
        <v>0.530466666666667</v>
      </c>
      <c r="AO63" s="112">
        <v>110.37105</v>
      </c>
      <c r="AP63" s="112"/>
      <c r="AQ63" s="113"/>
      <c r="AR63" s="112"/>
      <c r="AS63" s="112">
        <v>5.61111666666667</v>
      </c>
      <c r="AT63" s="112">
        <v>29.9749833333333</v>
      </c>
      <c r="AU63" s="112"/>
      <c r="AV63" s="112"/>
      <c r="AW63" s="112">
        <v>2.86415</v>
      </c>
      <c r="AX63" s="112">
        <v>41.0198833333333</v>
      </c>
      <c r="AY63" s="113"/>
      <c r="AZ63" s="112">
        <v>3.08306666666667</v>
      </c>
      <c r="BA63" s="112">
        <v>0.48875</v>
      </c>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113"/>
      <c r="CB63" s="113"/>
      <c r="CC63" s="113"/>
      <c r="CD63" s="113"/>
      <c r="CE63" s="113"/>
      <c r="CF63" s="113"/>
      <c r="CG63" s="113"/>
      <c r="CH63" s="113"/>
      <c r="CI63" s="113"/>
      <c r="CJ63" s="113"/>
      <c r="CK63" s="113"/>
      <c r="CL63" s="113"/>
      <c r="CM63" s="113"/>
      <c r="CN63" s="113"/>
      <c r="CO63" s="113"/>
      <c r="CP63" s="113"/>
      <c r="CQ63" s="113"/>
      <c r="CR63" s="113"/>
      <c r="CS63" s="113"/>
      <c r="CT63" s="113"/>
      <c r="CU63" s="113"/>
      <c r="CV63" s="113"/>
      <c r="CW63" s="113"/>
      <c r="CX63" s="113"/>
      <c r="CY63" s="113"/>
      <c r="CZ63" s="113"/>
      <c r="DA63" s="113"/>
      <c r="DB63" s="113"/>
      <c r="DC63" s="113"/>
      <c r="DD63" s="113"/>
      <c r="DE63" s="113"/>
      <c r="DF63" s="113"/>
      <c r="DG63" s="113"/>
      <c r="DH63" s="113"/>
      <c r="DI63" s="113"/>
      <c r="DJ63" s="113"/>
      <c r="DK63" s="113"/>
      <c r="DL63" s="113"/>
      <c r="DM63" s="113"/>
      <c r="DN63" s="113"/>
      <c r="DO63" s="113"/>
      <c r="DP63" s="113"/>
      <c r="DQ63" s="113"/>
      <c r="DR63" s="113"/>
      <c r="DS63" s="113"/>
      <c r="DT63" s="113"/>
      <c r="DU63" s="113"/>
      <c r="DV63" s="113"/>
      <c r="DW63" s="113"/>
      <c r="DX63" s="113"/>
      <c r="DY63" s="113"/>
      <c r="DZ63" s="113"/>
      <c r="EA63" s="113"/>
      <c r="EB63" s="113"/>
      <c r="EC63" s="113"/>
      <c r="ED63" s="113"/>
      <c r="EE63" s="113"/>
      <c r="EF63" s="113"/>
      <c r="EG63" s="113"/>
      <c r="EH63" s="113"/>
      <c r="EI63" s="113"/>
      <c r="EJ63" s="113"/>
      <c r="EK63" s="113"/>
      <c r="EL63" s="113"/>
      <c r="EM63" s="113"/>
      <c r="EN63" s="113"/>
      <c r="EO63" s="113"/>
      <c r="EP63" s="113"/>
      <c r="EQ63" s="113"/>
      <c r="ER63" s="113"/>
      <c r="ES63" s="113"/>
      <c r="ET63" s="113"/>
      <c r="EU63" s="113"/>
      <c r="EV63" s="113"/>
      <c r="EW63" s="113"/>
      <c r="EX63" s="113"/>
      <c r="EY63" s="113"/>
    </row>
    <row r="64">
      <c r="A64" s="65" t="s">
        <v>7</v>
      </c>
      <c r="B64" s="65" t="s">
        <v>16</v>
      </c>
      <c r="C64" s="65" t="s">
        <v>410</v>
      </c>
      <c r="D64" s="64">
        <f t="shared" si="1"/>
        <v>781.98435</v>
      </c>
      <c r="E64" s="104"/>
      <c r="F64" s="104">
        <v>84.6655499999999</v>
      </c>
      <c r="G64" s="104">
        <v>12.9207333333333</v>
      </c>
      <c r="H64" s="104">
        <v>8.12356666666667</v>
      </c>
      <c r="I64" s="104">
        <v>0.848866666666667</v>
      </c>
      <c r="J64" s="104">
        <v>1.29891666666667</v>
      </c>
      <c r="K64" s="104">
        <v>29.9003166666667</v>
      </c>
      <c r="L64" s="104"/>
      <c r="M64" s="104">
        <v>84.6655499999999</v>
      </c>
      <c r="N64" s="104">
        <v>12.9207333333333</v>
      </c>
      <c r="O64" s="104"/>
      <c r="P64" s="65">
        <v>15.4068666666667</v>
      </c>
      <c r="Q64" s="65"/>
      <c r="R64" s="65"/>
      <c r="S64" s="65">
        <v>102.6155</v>
      </c>
      <c r="T64" s="65">
        <v>31.2834333333333</v>
      </c>
      <c r="U64" s="65">
        <v>5.6022</v>
      </c>
      <c r="V64" s="65">
        <v>2.89998333333333</v>
      </c>
      <c r="W64" s="65">
        <v>7.31465</v>
      </c>
      <c r="X64" s="65"/>
      <c r="Y64" s="65"/>
      <c r="Z64" s="65">
        <v>56.8344833333333</v>
      </c>
      <c r="AA64" s="65">
        <v>24.6155833333333</v>
      </c>
      <c r="AB64" s="65">
        <v>2.73921666666667</v>
      </c>
      <c r="AC64" s="65">
        <v>1.00836666666667</v>
      </c>
      <c r="AD64" s="65">
        <v>12.6348333333333</v>
      </c>
      <c r="AE64" s="65"/>
      <c r="AF64" s="65">
        <v>56.8344833333333</v>
      </c>
      <c r="AG64" s="65">
        <v>24.6155833333333</v>
      </c>
      <c r="AH64" s="65"/>
      <c r="AI64" s="65">
        <v>22.0556833333333</v>
      </c>
      <c r="AJ64" s="65">
        <v>26.9615166666667</v>
      </c>
      <c r="AK64" s="65">
        <v>3.23978333333333</v>
      </c>
      <c r="AL64" s="65">
        <v>0.938883333333333</v>
      </c>
      <c r="AM64" s="65">
        <v>7.2104</v>
      </c>
      <c r="AN64" s="65"/>
      <c r="AP64" s="65">
        <v>40.6037833333333</v>
      </c>
      <c r="AQ64" s="65">
        <v>15.8900166666667</v>
      </c>
      <c r="AR64" s="65">
        <v>25.3130666666667</v>
      </c>
      <c r="AT64" s="65"/>
      <c r="AU64" s="65">
        <v>7.38783333333333</v>
      </c>
      <c r="AV64" s="65">
        <v>15.4779833333333</v>
      </c>
      <c r="AY64" s="65">
        <v>37.1559833333334</v>
      </c>
    </row>
    <row r="65">
      <c r="A65" s="65" t="s">
        <v>7</v>
      </c>
      <c r="B65" s="65" t="s">
        <v>16</v>
      </c>
      <c r="C65" s="65" t="s">
        <v>411</v>
      </c>
      <c r="D65" s="64">
        <f t="shared" si="1"/>
        <v>0</v>
      </c>
      <c r="E65" s="115"/>
      <c r="F65" s="115"/>
      <c r="G65" s="115"/>
      <c r="H65" s="115"/>
      <c r="I65" s="115"/>
      <c r="J65" s="115"/>
      <c r="K65" s="115"/>
      <c r="L65" s="115"/>
      <c r="M65" s="115"/>
      <c r="N65" s="115"/>
      <c r="O65" s="115"/>
    </row>
    <row r="66">
      <c r="A66" s="65" t="s">
        <v>7</v>
      </c>
      <c r="B66" s="65" t="s">
        <v>16</v>
      </c>
      <c r="C66" s="65" t="s">
        <v>412</v>
      </c>
      <c r="D66" s="64">
        <f t="shared" si="1"/>
        <v>557.5948333</v>
      </c>
      <c r="E66" s="115"/>
      <c r="F66" s="117">
        <f>HYPERLINK("https://docs.google.com/spreadsheets/d/1Oooe9SmplPkfHJYZlfUTcmvq8_Cy07CI", 72.8361166666666)</f>
        <v>72.83611667</v>
      </c>
      <c r="G66" s="116">
        <f>HYPERLINK("https://docs.google.com/spreadsheets/d/1O0J0DZOFqKOAHLM3DbCB2YtzRw7ooALu", 12.9207)</f>
        <v>12.9207</v>
      </c>
      <c r="H66" s="116">
        <f>HYPERLINK("https://docs.google.com/spreadsheets/d/1Hu42Mv2d7kswpaqIwHsL8B5YQ4Pl7SQ7", 7.76141666666667)</f>
        <v>7.761416667</v>
      </c>
      <c r="I66" s="117">
        <f>HYPERLINK("https://docs.google.com/spreadsheets/d/13x-WtElpc8veFy9AcMw3yNYw-lHHe63q", 0.749416666666667)</f>
        <v>0.7494166667</v>
      </c>
      <c r="J66" s="116">
        <f>HYPERLINK("https://docs.google.com/spreadsheets/d/19hxd7oyjI28YrNB9YBVpw3KLu88X60bU", 0.991566666666667)</f>
        <v>0.9915666667</v>
      </c>
      <c r="K66" s="117">
        <f>HYPERLINK("https://docs.google.com/spreadsheets/d/1LlJEK4aTLi6oHJi4q3PAUmhj-PL-rReU", 29.6090166666667)</f>
        <v>29.60901667</v>
      </c>
      <c r="L66" s="115"/>
      <c r="M66" s="104"/>
      <c r="N66" s="115"/>
      <c r="O66" s="104"/>
      <c r="P66" s="118">
        <f>HYPERLINK("https://docs.google.com/spreadsheets/d/12cf4nB3omypaSSSM2QZN7EN9Sv2i2-Ny", 15.40685)</f>
        <v>15.40685</v>
      </c>
      <c r="S66" s="118">
        <f>HYPERLINK("https://docs.google.com/spreadsheets/d/1NwAuFhBR1UXx2ZuF_e7ymR20n7CVFw-4", 87.9951833333334)</f>
        <v>87.99518333</v>
      </c>
      <c r="T66" s="118">
        <f>HYPERLINK("https://docs.google.com/spreadsheets/d/1FUCjMP_vyeMGiQOWZW7hep_pHdoUxLTW", 30.2495666666667)</f>
        <v>30.24956667</v>
      </c>
      <c r="U66" s="118">
        <f>HYPERLINK("https://docs.google.com/spreadsheets/d/1jNtbhYLs5DF9OpZLFxVJppoiMqy3u1vJ", 4.4302)</f>
        <v>4.4302</v>
      </c>
      <c r="V66" s="118">
        <f>HYPERLINK("https://docs.google.com/spreadsheets/d/13cdbICqEkV42B8w5gCvA1sGy_yNLrFkU", 1.77766666666667)</f>
        <v>1.777666667</v>
      </c>
      <c r="W66" s="118">
        <f>HYPERLINK("https://docs.google.com/spreadsheets/d/1DgKNMJNywb7Bils2EsNoerrTK7x5JcPf", 7.31466666666667)</f>
        <v>7.314666667</v>
      </c>
      <c r="Z66" s="118">
        <f>HYPERLINK("https://docs.google.com/spreadsheets/d/1r7VGYaOQlGdQfbo9kJpkelg2Z6N8gc5v", 50.22645)</f>
        <v>50.22645</v>
      </c>
      <c r="AA66" s="118">
        <f>HYPERLINK("https://docs.google.com/spreadsheets/d/1XOttQYYY53MRDWK5nMQIyZtYOMKcp8fr", 24.61555)</f>
        <v>24.61555</v>
      </c>
      <c r="AB66" s="118">
        <f>HYPERLINK("https://docs.google.com/spreadsheets/d/176sh0smgcxrXh-aOv0fO75OnGxo70qY2", 2.73921666666667)</f>
        <v>2.739216667</v>
      </c>
      <c r="AC66" s="118">
        <f>HYPERLINK("https://docs.google.com/spreadsheets/d/1l6ZdQfIzsiprKHDpmKflaRbOSxI-nJFD", 0.831483333333333)</f>
        <v>0.8314833333</v>
      </c>
      <c r="AD66" s="118">
        <f>HYPERLINK("https://docs.google.com/spreadsheets/d/1auSLY_0qHz7YWEX9JKXglKifBEZVTACv", 12.6348333333333)</f>
        <v>12.63483333</v>
      </c>
      <c r="AI66" s="118">
        <f>HYPERLINK("https://docs.google.com/spreadsheets/d/1VhU5AUP6IUw9LArzXuLwEUw-cmUfXDbr", 21.5221666666667)</f>
        <v>21.52216667</v>
      </c>
      <c r="AJ66" s="118">
        <f>HYPERLINK("https://docs.google.com/spreadsheets/d/103c07JAy7S2g8wSFoG53-0fT_2MFKptN", 26.9615)</f>
        <v>26.9615</v>
      </c>
      <c r="AK66" s="118">
        <f>HYPERLINK("https://docs.google.com/spreadsheets/d/1TChDjKA3ZqQ2zBzMbHnVLoPjnusC7Lwv", 3.23978333333333)</f>
        <v>3.239783333</v>
      </c>
      <c r="AL66" s="118">
        <f>HYPERLINK("https://docs.google.com/spreadsheets/d/16-Ofqb06y7SiqnkqyanFD5ccBKr7I4kV", 0.769333333333333)</f>
        <v>0.7693333333</v>
      </c>
      <c r="AM66" s="118">
        <f>HYPERLINK("https://docs.google.com/spreadsheets/d/1KUAktRJgSAoyEBA5Thmw4veXFCGzTD_B", 7.21041666666667)</f>
        <v>7.210416667</v>
      </c>
      <c r="AP66" s="118">
        <f>HYPERLINK("https://docs.google.com/spreadsheets/d/1wdb2iMI3AMPyzWC20RKfboZ2RDfQtsgz", 34.7509166666667)</f>
        <v>34.75091667</v>
      </c>
      <c r="AQ66" s="118">
        <f>HYPERLINK("https://docs.google.com/spreadsheets/d/1Tj8tDhYBcwyTgWVHILJfs3kKhG0OGawQ", 15.5236333333333)</f>
        <v>15.52363333</v>
      </c>
      <c r="AR66" s="118">
        <f>HYPERLINK("https://docs.google.com/spreadsheets/d/1o1hn4swLQj7R08HkdvWxE7cajELX79sn", 25.3130333333333)</f>
        <v>25.31303333</v>
      </c>
      <c r="AU66" s="118">
        <f>HYPERLINK("https://docs.google.com/spreadsheets/d/1yoVEChEwH4v7Lbtq56PBrajm_IT7znd2", 6.80213333333333)</f>
        <v>6.802133333</v>
      </c>
      <c r="AV66" s="118">
        <f>HYPERLINK("https://docs.google.com/spreadsheets/d/1iPms8tJeQaLcadfXAmTpFEuP4HZRgDDe", 15.4779833333333)</f>
        <v>15.47798333</v>
      </c>
      <c r="AY66" s="118">
        <f>HYPERLINK("https://docs.google.com/spreadsheets/d/1PXljJ4Bg72aSJSYpGzlzlx0JRThLTHhB", 36.9340333333334)</f>
        <v>36.93403333</v>
      </c>
    </row>
    <row r="67">
      <c r="A67" s="65" t="s">
        <v>7</v>
      </c>
      <c r="B67" s="65" t="s">
        <v>16</v>
      </c>
      <c r="C67" s="65" t="s">
        <v>413</v>
      </c>
      <c r="D67" s="64">
        <f t="shared" si="1"/>
        <v>390.5071</v>
      </c>
      <c r="E67" s="115"/>
      <c r="F67" s="104">
        <v>2.58469999999994</v>
      </c>
      <c r="G67" s="104">
        <v>-3.5527136788005E-15</v>
      </c>
      <c r="H67" s="104">
        <v>1.04173333333333</v>
      </c>
      <c r="I67" s="104">
        <v>0.0</v>
      </c>
      <c r="J67" s="104">
        <v>0.0737833333333334</v>
      </c>
      <c r="K67" s="104">
        <v>29.6090166666667</v>
      </c>
      <c r="L67" s="104"/>
      <c r="M67" s="104"/>
      <c r="N67" s="104"/>
      <c r="O67" s="104"/>
      <c r="P67" s="65">
        <v>15.40685</v>
      </c>
      <c r="Q67" s="65"/>
      <c r="R67" s="65"/>
      <c r="S67" s="65">
        <v>87.9951833333334</v>
      </c>
      <c r="T67" s="65">
        <v>30.2495666666667</v>
      </c>
      <c r="U67" s="65">
        <v>0.262266666666667</v>
      </c>
      <c r="V67" s="65">
        <v>6.66133814775094E-16</v>
      </c>
      <c r="W67" s="65">
        <v>7.31466666666667</v>
      </c>
      <c r="X67" s="65"/>
      <c r="Y67" s="65"/>
      <c r="Z67" s="65">
        <v>33.3159333333333</v>
      </c>
      <c r="AA67" s="65">
        <v>15.56555</v>
      </c>
      <c r="AB67" s="65">
        <v>0.135716666666667</v>
      </c>
      <c r="AC67" s="65">
        <v>0.0</v>
      </c>
      <c r="AD67" s="65">
        <v>2.53336666666668</v>
      </c>
      <c r="AE67" s="65"/>
      <c r="AF67" s="65"/>
      <c r="AG67" s="65"/>
      <c r="AH67" s="65"/>
      <c r="AI67" s="65">
        <v>21.5221666666667</v>
      </c>
      <c r="AJ67" s="65">
        <v>26.9615</v>
      </c>
      <c r="AK67" s="65">
        <v>0.0461166666666668</v>
      </c>
      <c r="AL67" s="65">
        <v>0.0</v>
      </c>
      <c r="AM67" s="65">
        <v>7.21041666666667</v>
      </c>
      <c r="AN67" s="65"/>
      <c r="AP67" s="65">
        <v>34.7509166666667</v>
      </c>
      <c r="AQ67" s="65">
        <v>2.49801666666667</v>
      </c>
      <c r="AR67" s="65">
        <v>25.3130333333333</v>
      </c>
      <c r="AT67" s="65"/>
      <c r="AU67" s="65">
        <v>1.86278333333333</v>
      </c>
      <c r="AV67" s="65">
        <v>7.31978333333333</v>
      </c>
      <c r="AY67" s="65">
        <v>36.9340333333334</v>
      </c>
    </row>
    <row r="68">
      <c r="A68" s="119" t="s">
        <v>7</v>
      </c>
      <c r="B68" s="119" t="s">
        <v>16</v>
      </c>
      <c r="C68" s="119" t="s">
        <v>414</v>
      </c>
      <c r="D68" s="120">
        <f t="shared" si="1"/>
        <v>6.802133333</v>
      </c>
      <c r="E68" s="121"/>
      <c r="F68" s="122">
        <f>HYPERLINK("https://docs.google.com/spreadsheets/d/1Oooe9SmplPkfHJYZlfUTcmvq8_Cy07CI", 0)</f>
        <v>0</v>
      </c>
      <c r="G68" s="122">
        <f>HYPERLINK("https://docs.google.com/spreadsheets/d/1O0J0DZOFqKOAHLM3DbCB2YtzRw7ooALu", 0)</f>
        <v>0</v>
      </c>
      <c r="H68" s="122">
        <f>HYPERLINK("https://docs.google.com/spreadsheets/d/1Hu42Mv2d7kswpaqIwHsL8B5YQ4Pl7SQ7", 0)</f>
        <v>0</v>
      </c>
      <c r="I68" s="122">
        <f>HYPERLINK("https://docs.google.com/spreadsheets/d/13x-WtElpc8veFy9AcMw3yNYw-lHHe63q", 0)</f>
        <v>0</v>
      </c>
      <c r="J68" s="122">
        <f>HYPERLINK("https://docs.google.com/spreadsheets/d/19hxd7oyjI28YrNB9YBVpw3KLu88X60bU", 0)</f>
        <v>0</v>
      </c>
      <c r="K68" s="127">
        <f>HYPERLINK("https://docs.google.com/spreadsheets/d/1LlJEK4aTLi6oHJi4q3PAUmhj-PL-rReU", 0)</f>
        <v>0</v>
      </c>
      <c r="L68" s="121"/>
      <c r="M68" s="121"/>
      <c r="N68" s="121"/>
      <c r="O68" s="121"/>
      <c r="P68" s="124">
        <f>HYPERLINK("https://docs.google.com/spreadsheets/d/12cf4nB3omypaSSSM2QZN7EN9Sv2i2-Ny", 0)</f>
        <v>0</v>
      </c>
      <c r="Q68" s="120"/>
      <c r="R68" s="120"/>
      <c r="S68" s="124">
        <f>HYPERLINK("https://docs.google.com/spreadsheets/d/1NwAuFhBR1UXx2ZuF_e7ymR20n7CVFw-4", 0)</f>
        <v>0</v>
      </c>
      <c r="T68" s="125">
        <f>HYPERLINK("https://docs.google.com/spreadsheets/d/1FUCjMP_vyeMGiQOWZW7hep_pHdoUxLTW", 0)</f>
        <v>0</v>
      </c>
      <c r="U68" s="124">
        <f>HYPERLINK("https://docs.google.com/spreadsheets/d/1jNtbhYLs5DF9OpZLFxVJppoiMqy3u1vJ", 0)</f>
        <v>0</v>
      </c>
      <c r="V68" s="124">
        <f>HYPERLINK("https://docs.google.com/spreadsheets/d/13cdbICqEkV42B8w5gCvA1sGy_yNLrFkU", 0)</f>
        <v>0</v>
      </c>
      <c r="W68" s="124">
        <f>HYPERLINK("https://docs.google.com/spreadsheets/d/1DgKNMJNywb7Bils2EsNoerrTK7x5JcPf", 0)</f>
        <v>0</v>
      </c>
      <c r="X68" s="119"/>
      <c r="Y68" s="119"/>
      <c r="Z68" s="124">
        <f>HYPERLINK("https://docs.google.com/spreadsheets/d/1r7VGYaOQlGdQfbo9kJpkelg2Z6N8gc5v", 0)</f>
        <v>0</v>
      </c>
      <c r="AA68" s="124">
        <f>HYPERLINK("https://docs.google.com/spreadsheets/d/1XOttQYYY53MRDWK5nMQIyZtYOMKcp8fr", 0)</f>
        <v>0</v>
      </c>
      <c r="AB68" s="124">
        <f>HYPERLINK("https://docs.google.com/spreadsheets/d/176sh0smgcxrXh-aOv0fO75OnGxo70qY2", 0)</f>
        <v>0</v>
      </c>
      <c r="AC68" s="124">
        <f>HYPERLINK("https://docs.google.com/spreadsheets/d/1l6ZdQfIzsiprKHDpmKflaRbOSxI-nJFD", 0)</f>
        <v>0</v>
      </c>
      <c r="AD68" s="124">
        <f>HYPERLINK("https://docs.google.com/spreadsheets/d/1auSLY_0qHz7YWEX9JKXglKifBEZVTACv", 0)</f>
        <v>0</v>
      </c>
      <c r="AE68" s="119"/>
      <c r="AF68" s="120"/>
      <c r="AG68" s="119"/>
      <c r="AH68" s="119"/>
      <c r="AI68" s="124">
        <f>HYPERLINK("https://docs.google.com/spreadsheets/d/1VhU5AUP6IUw9LArzXuLwEUw-cmUfXDbr", 0)</f>
        <v>0</v>
      </c>
      <c r="AJ68" s="124">
        <f>HYPERLINK("https://docs.google.com/spreadsheets/d/103c07JAy7S2g8wSFoG53-0fT_2MFKptN", 0)</f>
        <v>0</v>
      </c>
      <c r="AK68" s="124">
        <f>HYPERLINK("https://docs.google.com/spreadsheets/d/1TChDjKA3ZqQ2zBzMbHnVLoPjnusC7Lwv", 0)</f>
        <v>0</v>
      </c>
      <c r="AL68" s="124">
        <f>HYPERLINK("https://docs.google.com/spreadsheets/d/16-Ofqb06y7SiqnkqyanFD5ccBKr7I4kV", 0)</f>
        <v>0</v>
      </c>
      <c r="AM68" s="124">
        <f>HYPERLINK("https://docs.google.com/spreadsheets/d/1KUAktRJgSAoyEBA5Thmw4veXFCGzTD_B", 0)</f>
        <v>0</v>
      </c>
      <c r="AN68" s="120"/>
      <c r="AO68" s="120"/>
      <c r="AP68" s="124">
        <f>HYPERLINK("https://docs.google.com/spreadsheets/d/1wdb2iMI3AMPyzWC20RKfboZ2RDfQtsgz", 0)</f>
        <v>0</v>
      </c>
      <c r="AQ68" s="125">
        <f>HYPERLINK("https://docs.google.com/spreadsheets/d/1Tj8tDhYBcwyTgWVHILJfs3kKhG0OGawQ", 0)</f>
        <v>0</v>
      </c>
      <c r="AR68" s="125">
        <f>HYPERLINK("https://docs.google.com/spreadsheets/d/1o1hn4swLQj7R08HkdvWxE7cajELX79sn", 0)</f>
        <v>0</v>
      </c>
      <c r="AS68" s="120"/>
      <c r="AT68" s="120"/>
      <c r="AU68" s="124">
        <f>HYPERLINK("https://docs.google.com/spreadsheets/d/1yoVEChEwH4v7Lbtq56PBrajm_IT7znd2", 6.80213333333333)</f>
        <v>6.802133333</v>
      </c>
      <c r="AV68" s="124">
        <f>HYPERLINK("https://docs.google.com/spreadsheets/d/1iPms8tJeQaLcadfXAmTpFEuP4HZRgDDe", 0)</f>
        <v>0</v>
      </c>
      <c r="AW68" s="120"/>
      <c r="AX68" s="120"/>
      <c r="AY68" s="124">
        <f>HYPERLINK("https://docs.google.com/spreadsheets/d/1PXljJ4Bg72aSJSYpGzlzlx0JRThLTHhB", 0)</f>
        <v>0</v>
      </c>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0"/>
      <c r="CD68" s="120"/>
      <c r="CE68" s="120"/>
      <c r="CF68" s="120"/>
      <c r="CG68" s="120"/>
      <c r="CH68" s="120"/>
      <c r="CI68" s="120"/>
      <c r="CJ68" s="120"/>
      <c r="CK68" s="120"/>
      <c r="CL68" s="120"/>
      <c r="CM68" s="120"/>
      <c r="CN68" s="120"/>
      <c r="CO68" s="120"/>
      <c r="CP68" s="120"/>
      <c r="CQ68" s="120"/>
      <c r="CR68" s="120"/>
      <c r="CS68" s="120"/>
      <c r="CT68" s="120"/>
      <c r="CU68" s="120"/>
      <c r="CV68" s="120"/>
      <c r="CW68" s="120"/>
      <c r="CX68" s="120"/>
      <c r="CY68" s="120"/>
      <c r="CZ68" s="120"/>
      <c r="DA68" s="120"/>
      <c r="DB68" s="120"/>
      <c r="DC68" s="120"/>
      <c r="DD68" s="120"/>
      <c r="DE68" s="120"/>
      <c r="DF68" s="120"/>
      <c r="DG68" s="120"/>
      <c r="DH68" s="120"/>
      <c r="DI68" s="120"/>
      <c r="DJ68" s="120"/>
      <c r="DK68" s="120"/>
      <c r="DL68" s="120"/>
      <c r="DM68" s="120"/>
      <c r="DN68" s="120"/>
      <c r="DO68" s="120"/>
      <c r="DP68" s="120"/>
      <c r="DQ68" s="120"/>
      <c r="DR68" s="120"/>
      <c r="DS68" s="120"/>
      <c r="DT68" s="120"/>
      <c r="DU68" s="120"/>
      <c r="DV68" s="120"/>
      <c r="DW68" s="120"/>
      <c r="DX68" s="120"/>
      <c r="DY68" s="120"/>
      <c r="DZ68" s="120"/>
      <c r="EA68" s="120"/>
      <c r="EB68" s="120"/>
      <c r="EC68" s="120"/>
      <c r="ED68" s="120"/>
      <c r="EE68" s="120"/>
      <c r="EF68" s="120"/>
      <c r="EG68" s="120"/>
      <c r="EH68" s="120"/>
      <c r="EI68" s="120"/>
      <c r="EJ68" s="120"/>
      <c r="EK68" s="120"/>
      <c r="EL68" s="120"/>
      <c r="EM68" s="120"/>
      <c r="EN68" s="120"/>
      <c r="EO68" s="120"/>
      <c r="EP68" s="120"/>
      <c r="EQ68" s="120"/>
      <c r="ER68" s="120"/>
      <c r="ES68" s="120"/>
      <c r="ET68" s="120"/>
      <c r="EU68" s="120"/>
      <c r="EV68" s="120"/>
      <c r="EW68" s="120"/>
      <c r="EX68" s="120"/>
      <c r="EY68" s="120"/>
    </row>
    <row r="69">
      <c r="A69" s="112" t="s">
        <v>7</v>
      </c>
      <c r="B69" s="112" t="s">
        <v>27</v>
      </c>
      <c r="C69" s="112" t="s">
        <v>409</v>
      </c>
      <c r="D69" s="113">
        <f t="shared" si="1"/>
        <v>768.9235</v>
      </c>
      <c r="E69" s="114">
        <v>70.8047</v>
      </c>
      <c r="F69" s="114"/>
      <c r="G69" s="114"/>
      <c r="H69" s="114"/>
      <c r="I69" s="114"/>
      <c r="J69" s="114"/>
      <c r="K69" s="114"/>
      <c r="L69" s="114">
        <v>1.40315</v>
      </c>
      <c r="M69" s="114"/>
      <c r="N69" s="114"/>
      <c r="O69" s="114">
        <v>10.18525</v>
      </c>
      <c r="P69" s="112"/>
      <c r="Q69" s="112"/>
      <c r="R69" s="112">
        <v>209.883333333333</v>
      </c>
      <c r="S69" s="112"/>
      <c r="T69" s="112"/>
      <c r="U69" s="112"/>
      <c r="V69" s="112"/>
      <c r="W69" s="112"/>
      <c r="X69" s="112">
        <v>2.62235</v>
      </c>
      <c r="Y69" s="112">
        <v>76.5717666666667</v>
      </c>
      <c r="Z69" s="112"/>
      <c r="AA69" s="113"/>
      <c r="AB69" s="112"/>
      <c r="AC69" s="112"/>
      <c r="AD69" s="112"/>
      <c r="AE69" s="112">
        <v>1.50048333333333</v>
      </c>
      <c r="AF69" s="112"/>
      <c r="AG69" s="112"/>
      <c r="AH69" s="112">
        <v>131.033066666667</v>
      </c>
      <c r="AI69" s="112"/>
      <c r="AJ69" s="112"/>
      <c r="AK69" s="112"/>
      <c r="AL69" s="113"/>
      <c r="AM69" s="112"/>
      <c r="AN69" s="112">
        <v>2.58436666666667</v>
      </c>
      <c r="AO69" s="112">
        <v>61.03015</v>
      </c>
      <c r="AP69" s="112"/>
      <c r="AQ69" s="113"/>
      <c r="AR69" s="112"/>
      <c r="AS69" s="112">
        <v>6.52013333333333</v>
      </c>
      <c r="AT69" s="112">
        <v>34.8910166666667</v>
      </c>
      <c r="AU69" s="112"/>
      <c r="AV69" s="112"/>
      <c r="AW69" s="112">
        <v>3.4819</v>
      </c>
      <c r="AX69" s="112">
        <v>143.472816666667</v>
      </c>
      <c r="AY69" s="113"/>
      <c r="AZ69" s="112">
        <v>12.639</v>
      </c>
      <c r="BA69" s="112">
        <v>0.300016666666667</v>
      </c>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row>
    <row r="70">
      <c r="A70" s="65" t="s">
        <v>7</v>
      </c>
      <c r="B70" s="65" t="s">
        <v>27</v>
      </c>
      <c r="C70" s="65" t="s">
        <v>410</v>
      </c>
      <c r="D70" s="64">
        <f t="shared" si="1"/>
        <v>788.40895</v>
      </c>
      <c r="E70" s="104"/>
      <c r="F70" s="104">
        <v>46.3651833333333</v>
      </c>
      <c r="G70" s="104">
        <v>13.4795166666667</v>
      </c>
      <c r="H70" s="104">
        <v>1.77343333333333</v>
      </c>
      <c r="I70" s="104">
        <v>0.146816666666667</v>
      </c>
      <c r="J70" s="104">
        <v>0.24525</v>
      </c>
      <c r="K70" s="104">
        <v>4.34575</v>
      </c>
      <c r="L70" s="104"/>
      <c r="M70" s="104">
        <v>46.3651833333333</v>
      </c>
      <c r="N70" s="104">
        <v>13.4795166666667</v>
      </c>
      <c r="O70" s="104"/>
      <c r="P70" s="65">
        <v>6.48991666666666</v>
      </c>
      <c r="Q70" s="65"/>
      <c r="R70" s="65"/>
      <c r="S70" s="65">
        <v>127.140416666667</v>
      </c>
      <c r="T70" s="65">
        <v>34.8951833333333</v>
      </c>
      <c r="U70" s="65">
        <v>8.50966666666667</v>
      </c>
      <c r="V70" s="65">
        <v>5.7584</v>
      </c>
      <c r="W70" s="65">
        <v>28.478</v>
      </c>
      <c r="X70" s="65"/>
      <c r="Y70" s="65"/>
      <c r="Z70" s="65">
        <v>25.157</v>
      </c>
      <c r="AA70" s="65">
        <v>19.2650666666667</v>
      </c>
      <c r="AB70" s="65">
        <v>4.38073333333333</v>
      </c>
      <c r="AC70" s="65">
        <v>3.1938</v>
      </c>
      <c r="AD70" s="65">
        <v>19.9784333333333</v>
      </c>
      <c r="AE70" s="65"/>
      <c r="AF70" s="65">
        <v>25.157</v>
      </c>
      <c r="AG70" s="65">
        <v>19.2650666666667</v>
      </c>
      <c r="AH70" s="65"/>
      <c r="AI70" s="65">
        <v>59.7185166666667</v>
      </c>
      <c r="AJ70" s="65">
        <v>31.6525666666667</v>
      </c>
      <c r="AK70" s="65">
        <v>5.71748333333333</v>
      </c>
      <c r="AL70" s="65">
        <v>0.156266666666667</v>
      </c>
      <c r="AM70" s="65">
        <v>29.3191</v>
      </c>
      <c r="AN70" s="65"/>
      <c r="AP70" s="65">
        <v>7.67571666666667</v>
      </c>
      <c r="AQ70" s="65">
        <v>5.63178333333333</v>
      </c>
      <c r="AR70" s="65">
        <v>32.8612666666666</v>
      </c>
      <c r="AT70" s="65"/>
      <c r="AU70" s="65">
        <v>3.28723333333333</v>
      </c>
      <c r="AV70" s="65">
        <v>22.9089833333334</v>
      </c>
      <c r="AY70" s="65">
        <v>135.6107</v>
      </c>
    </row>
    <row r="71">
      <c r="A71" s="65" t="s">
        <v>7</v>
      </c>
      <c r="B71" s="65" t="s">
        <v>27</v>
      </c>
      <c r="C71" s="65" t="s">
        <v>411</v>
      </c>
      <c r="D71" s="64">
        <f t="shared" si="1"/>
        <v>0</v>
      </c>
      <c r="E71" s="115"/>
      <c r="F71" s="115"/>
      <c r="G71" s="115"/>
      <c r="H71" s="115"/>
      <c r="I71" s="115"/>
      <c r="J71" s="115"/>
      <c r="K71" s="115"/>
      <c r="L71" s="115"/>
      <c r="M71" s="115"/>
      <c r="N71" s="115"/>
      <c r="O71" s="115"/>
    </row>
    <row r="72">
      <c r="A72" s="65" t="s">
        <v>7</v>
      </c>
      <c r="B72" s="65" t="s">
        <v>27</v>
      </c>
      <c r="C72" s="65" t="s">
        <v>412</v>
      </c>
      <c r="D72" s="64">
        <f t="shared" si="1"/>
        <v>631.9647333</v>
      </c>
      <c r="E72" s="115"/>
      <c r="F72" s="117">
        <f>HYPERLINK("https://docs.google.com/spreadsheets/d/1U004k7HizX5QecFn6CySjQdVztHxYjus", 43.63495)</f>
        <v>43.63495</v>
      </c>
      <c r="G72" s="116">
        <f>HYPERLINK("https://docs.google.com/spreadsheets/d/1bAxFGrKZlrafuwOUHErT0U66k7zuhNyP", 13.4795166666667)</f>
        <v>13.47951667</v>
      </c>
      <c r="H72" s="116">
        <f>HYPERLINK("https://docs.google.com/spreadsheets/d/1pf7PAalrzLku159mDZOX2dypHVw2MCbg", 1.77343333333333)</f>
        <v>1.773433333</v>
      </c>
      <c r="I72" s="117">
        <f>HYPERLINK("https://docs.google.com/spreadsheets/d/1F2GCVOqn9y6IID3l8-iaGVGC-9W-f00K", 0.146816666666667)</f>
        <v>0.1468166667</v>
      </c>
      <c r="J72" s="116">
        <f>HYPERLINK("https://docs.google.com/spreadsheets/d/1BkKJ_6Y7bj0WyTdio6VocvbWpHw_A7U0", 0.107966666666667)</f>
        <v>0.1079666667</v>
      </c>
      <c r="K72" s="117">
        <f>HYPERLINK("https://docs.google.com/spreadsheets/d/12_u-9vbNJGVD-Gu3GZTT7UJfwZt6BQAV", 4.12891666666667)</f>
        <v>4.128916667</v>
      </c>
      <c r="L72" s="115"/>
      <c r="M72" s="104"/>
      <c r="N72" s="115"/>
      <c r="O72" s="104"/>
      <c r="P72" s="118">
        <f>HYPERLINK("https://docs.google.com/spreadsheets/d/1jDGKo3h_4DXADxdNDq102WcmRTW0TuLN", 6.48993333333333)</f>
        <v>6.489933333</v>
      </c>
      <c r="S72" s="118">
        <f>HYPERLINK("https://docs.google.com/spreadsheets/d/1jPlVT9jIkUI82e2-WyOFWMahYnIqTDxP", 99.8029666666666)</f>
        <v>99.80296667</v>
      </c>
      <c r="T72" s="118">
        <f>HYPERLINK("https://docs.google.com/spreadsheets/d/1dJnGq-3c4cOXFJI4d5fFYiUI00rGj6Ze", 34.5389)</f>
        <v>34.5389</v>
      </c>
      <c r="U72" s="118">
        <f>HYPERLINK("https://docs.google.com/spreadsheets/d/1zyqduncqVnd3RI0URW_iMDvBDWm-tNRA", 6.70433333333333)</f>
        <v>6.704333333</v>
      </c>
      <c r="V72" s="118">
        <f>HYPERLINK("https://docs.google.com/spreadsheets/d/13lPx3yPoMuw5jSoV993AFQ2STPeViIFz", 4.85543333333333)</f>
        <v>4.855433333</v>
      </c>
      <c r="W72" s="118">
        <f>HYPERLINK("https://docs.google.com/spreadsheets/d/10dfmhrXWR48wibRzMdbvRzLrttuNzfnN", 28.478)</f>
        <v>28.478</v>
      </c>
      <c r="Z72" s="118">
        <f>HYPERLINK("https://docs.google.com/spreadsheets/d/1lzj63a3ZLfUZz2kHbnJMgmIC3HnTqPly", 20.7553)</f>
        <v>20.7553</v>
      </c>
      <c r="AA72" s="118">
        <f>HYPERLINK("https://docs.google.com/spreadsheets/d/1qe6yqAkMsd7SuvS_bSBd7RMvBwTxo1JM", 19.2650666666667)</f>
        <v>19.26506667</v>
      </c>
      <c r="AB72" s="118">
        <f>HYPERLINK("https://docs.google.com/spreadsheets/d/130aAhDo6fsCnbkZ4d_kKxjay1asNzCSb", 4.38073333333333)</f>
        <v>4.380733333</v>
      </c>
      <c r="AC72" s="118">
        <f>HYPERLINK("https://docs.google.com/spreadsheets/d/1nmUE6U3puCg74D-SwWBMAOXXiJSdCR-o", 1.93745)</f>
        <v>1.93745</v>
      </c>
      <c r="AD72" s="118">
        <f>HYPERLINK("https://docs.google.com/spreadsheets/d/1EV3ZhJ9AiwGwOczozXJ-FAXNhS87hMAB", 19.9784333333333)</f>
        <v>19.97843333</v>
      </c>
      <c r="AI72" s="118">
        <f>HYPERLINK("https://docs.google.com/spreadsheets/d/1Rl8p7H0sEuSd1CyYY_DAExdxwCY6GM7M", 50.7101333333333)</f>
        <v>50.71013333</v>
      </c>
      <c r="AJ72" s="118">
        <f>HYPERLINK("https://docs.google.com/spreadsheets/d/1FZ86KDcgjAT4fEcJSa10dbLg9LPd1V0U", 31.65255)</f>
        <v>31.65255</v>
      </c>
      <c r="AK72" s="118">
        <f>HYPERLINK("https://docs.google.com/spreadsheets/d/187DHx5s6_Uh8vPfCcUoOjUyAZRY2_BGR", 5.71746666666667)</f>
        <v>5.717466667</v>
      </c>
      <c r="AL72" s="118">
        <f>HYPERLINK("https://docs.google.com/spreadsheets/d/1a85AtI0AkR3kks0lRcvlK_WSmLptZLBm", 0.156266666666667)</f>
        <v>0.1562666667</v>
      </c>
      <c r="AM72" s="118">
        <f>HYPERLINK("https://docs.google.com/spreadsheets/d/1-rL9fZzk4xKHEuw6QijtTgwJvyDykLJb", 29.3190833333333)</f>
        <v>29.31908333</v>
      </c>
      <c r="AP72" s="118">
        <f>HYPERLINK("https://docs.google.com/spreadsheets/d/1Zc7PzNJfs8YVHxOmYp_SitcD1MO2l2-V", 6.9665)</f>
        <v>6.9665</v>
      </c>
      <c r="AQ72" s="118">
        <f>HYPERLINK("https://docs.google.com/spreadsheets/d/1e1t5Nui63U56RsqH3-kiAr8arBKHV-tP", 3.09676666666667)</f>
        <v>3.096766667</v>
      </c>
      <c r="AR72" s="118">
        <f>HYPERLINK("https://docs.google.com/spreadsheets/d/1O5UU6jAJal0k0GBvv4Jk8ubp7zvCoV-V", 32.6060833333333)</f>
        <v>32.60608333</v>
      </c>
      <c r="AU72" s="118">
        <f>HYPERLINK("https://docs.google.com/spreadsheets/d/1c3Jqh9sIaSuhF3ejBg8ph2zJt-UoUWRJ", 3.28725)</f>
        <v>3.28725</v>
      </c>
      <c r="AV72" s="118">
        <f>HYPERLINK("https://docs.google.com/spreadsheets/d/1K5jM2PMKfBNlz04pfepGjSWW9o8qJm86", 22.9089833333334)</f>
        <v>22.90898333</v>
      </c>
      <c r="AY72" s="118">
        <f>HYPERLINK("https://docs.google.com/spreadsheets/d/1Yc2EtJSfB5MHbS9k2ZKRbpTYxHI1pig7", 135.0855)</f>
        <v>135.0855</v>
      </c>
    </row>
    <row r="73">
      <c r="A73" s="65" t="s">
        <v>7</v>
      </c>
      <c r="B73" s="65" t="s">
        <v>27</v>
      </c>
      <c r="C73" s="65" t="s">
        <v>413</v>
      </c>
      <c r="D73" s="64">
        <f t="shared" si="1"/>
        <v>439.2945167</v>
      </c>
      <c r="E73" s="115"/>
      <c r="F73" s="104">
        <v>1.55005000000001</v>
      </c>
      <c r="G73" s="104">
        <v>0.0</v>
      </c>
      <c r="H73" s="104">
        <v>0.0</v>
      </c>
      <c r="I73" s="104">
        <v>0.0</v>
      </c>
      <c r="J73" s="104">
        <v>0.0</v>
      </c>
      <c r="K73" s="104">
        <v>4.12891666666667</v>
      </c>
      <c r="L73" s="104"/>
      <c r="M73" s="104"/>
      <c r="N73" s="104"/>
      <c r="O73" s="104"/>
      <c r="P73" s="65">
        <v>6.48993333333333</v>
      </c>
      <c r="Q73" s="65"/>
      <c r="R73" s="65"/>
      <c r="S73" s="65">
        <v>86.0530833333333</v>
      </c>
      <c r="T73" s="65">
        <v>30.5784333333333</v>
      </c>
      <c r="U73" s="65">
        <v>8.88178419700125E-16</v>
      </c>
      <c r="V73" s="65">
        <v>0.0</v>
      </c>
      <c r="W73" s="65">
        <v>27.2218166666667</v>
      </c>
      <c r="X73" s="65"/>
      <c r="Y73" s="65"/>
      <c r="Z73" s="65">
        <v>12.3057833333333</v>
      </c>
      <c r="AA73" s="65">
        <v>9.99541666666666</v>
      </c>
      <c r="AB73" s="65">
        <v>8.88178419700125E-16</v>
      </c>
      <c r="AC73" s="65">
        <v>2.22044604925031E-16</v>
      </c>
      <c r="AD73" s="65">
        <v>-1.4210854715202E-14</v>
      </c>
      <c r="AE73" s="65"/>
      <c r="AF73" s="65"/>
      <c r="AG73" s="65"/>
      <c r="AH73" s="65"/>
      <c r="AI73" s="65">
        <v>45.2505166666667</v>
      </c>
      <c r="AJ73" s="65">
        <v>27.5397666666667</v>
      </c>
      <c r="AK73" s="65">
        <v>8.88178419700125E-16</v>
      </c>
      <c r="AL73" s="65">
        <v>0.0</v>
      </c>
      <c r="AM73" s="65">
        <v>26.7138333333333</v>
      </c>
      <c r="AN73" s="65"/>
      <c r="AP73" s="65">
        <v>6.06021666666667</v>
      </c>
      <c r="AQ73" s="65">
        <v>-4.44089209850063E-16</v>
      </c>
      <c r="AR73" s="65">
        <v>28.6792166666666</v>
      </c>
      <c r="AT73" s="65"/>
      <c r="AU73" s="65">
        <v>0.0</v>
      </c>
      <c r="AV73" s="65">
        <v>1.06581410364015E-14</v>
      </c>
      <c r="AY73" s="65">
        <v>126.727533333333</v>
      </c>
    </row>
    <row r="74">
      <c r="A74" s="119" t="s">
        <v>7</v>
      </c>
      <c r="B74" s="119" t="s">
        <v>27</v>
      </c>
      <c r="C74" s="119" t="s">
        <v>414</v>
      </c>
      <c r="D74" s="120">
        <f t="shared" si="1"/>
        <v>3.28725</v>
      </c>
      <c r="E74" s="121"/>
      <c r="F74" s="122">
        <f>HYPERLINK("https://docs.google.com/spreadsheets/d/1U004k7HizX5QecFn6CySjQdVztHxYjus", 0)</f>
        <v>0</v>
      </c>
      <c r="G74" s="122">
        <f>HYPERLINK("https://docs.google.com/spreadsheets/d/1bAxFGrKZlrafuwOUHErT0U66k7zuhNyP", 0)</f>
        <v>0</v>
      </c>
      <c r="H74" s="122">
        <f>HYPERLINK("https://docs.google.com/spreadsheets/d/1pf7PAalrzLku159mDZOX2dypHVw2MCbg", 0)</f>
        <v>0</v>
      </c>
      <c r="I74" s="122">
        <f>HYPERLINK("https://docs.google.com/spreadsheets/d/1F2GCVOqn9y6IID3l8-iaGVGC-9W-f00K", 0)</f>
        <v>0</v>
      </c>
      <c r="J74" s="122">
        <f>HYPERLINK("https://docs.google.com/spreadsheets/d/1BkKJ_6Y7bj0WyTdio6VocvbWpHw_A7U0", 0)</f>
        <v>0</v>
      </c>
      <c r="K74" s="127">
        <f>HYPERLINK("https://docs.google.com/spreadsheets/d/12_u-9vbNJGVD-Gu3GZTT7UJfwZt6BQAV", 0)</f>
        <v>0</v>
      </c>
      <c r="L74" s="121"/>
      <c r="M74" s="121"/>
      <c r="N74" s="121"/>
      <c r="O74" s="121"/>
      <c r="P74" s="124">
        <f>HYPERLINK("https://docs.google.com/spreadsheets/d/1jDGKo3h_4DXADxdNDq102WcmRTW0TuLN", 0)</f>
        <v>0</v>
      </c>
      <c r="Q74" s="119"/>
      <c r="R74" s="119"/>
      <c r="S74" s="124">
        <f>HYPERLINK("https://docs.google.com/spreadsheets/d/1jPlVT9jIkUI82e2-WyOFWMahYnIqTDxP", 0)</f>
        <v>0</v>
      </c>
      <c r="T74" s="125">
        <f>HYPERLINK("https://docs.google.com/spreadsheets/d/1dJnGq-3c4cOXFJI4d5fFYiUI00rGj6Ze", 0)</f>
        <v>0</v>
      </c>
      <c r="U74" s="125">
        <f>HYPERLINK("https://docs.google.com/spreadsheets/d/1zyqduncqVnd3RI0URW_iMDvBDWm-tNRA", 0)</f>
        <v>0</v>
      </c>
      <c r="V74" s="124">
        <f>HYPERLINK("https://docs.google.com/spreadsheets/d/13lPx3yPoMuw5jSoV993AFQ2STPeViIFz", 0)</f>
        <v>0</v>
      </c>
      <c r="W74" s="124">
        <f>HYPERLINK("https://docs.google.com/spreadsheets/d/10dfmhrXWR48wibRzMdbvRzLrttuNzfnN", 0)</f>
        <v>0</v>
      </c>
      <c r="X74" s="119"/>
      <c r="Y74" s="119"/>
      <c r="Z74" s="124">
        <f>HYPERLINK("https://docs.google.com/spreadsheets/d/1lzj63a3ZLfUZz2kHbnJMgmIC3HnTqPly", 0)</f>
        <v>0</v>
      </c>
      <c r="AA74" s="124">
        <f>HYPERLINK("https://docs.google.com/spreadsheets/d/1qe6yqAkMsd7SuvS_bSBd7RMvBwTxo1JM", 0)</f>
        <v>0</v>
      </c>
      <c r="AB74" s="124">
        <f>HYPERLINK("https://docs.google.com/spreadsheets/d/130aAhDo6fsCnbkZ4d_kKxjay1asNzCSb", 0)</f>
        <v>0</v>
      </c>
      <c r="AC74" s="124">
        <f>HYPERLINK("https://docs.google.com/spreadsheets/d/1nmUE6U3puCg74D-SwWBMAOXXiJSdCR-o", 0)</f>
        <v>0</v>
      </c>
      <c r="AD74" s="124">
        <f>HYPERLINK("https://docs.google.com/spreadsheets/d/1EV3ZhJ9AiwGwOczozXJ-FAXNhS87hMAB", 0)</f>
        <v>0</v>
      </c>
      <c r="AE74" s="119"/>
      <c r="AF74" s="119"/>
      <c r="AG74" s="119"/>
      <c r="AH74" s="119"/>
      <c r="AI74" s="125">
        <f>HYPERLINK("https://docs.google.com/spreadsheets/d/1Rl8p7H0sEuSd1CyYY_DAExdxwCY6GM7M", 0)</f>
        <v>0</v>
      </c>
      <c r="AJ74" s="124">
        <f>HYPERLINK("https://docs.google.com/spreadsheets/d/1FZ86KDcgjAT4fEcJSa10dbLg9LPd1V0U", 0)</f>
        <v>0</v>
      </c>
      <c r="AK74" s="124">
        <f>HYPERLINK("https://docs.google.com/spreadsheets/d/187DHx5s6_Uh8vPfCcUoOjUyAZRY2_BGR", 0)</f>
        <v>0</v>
      </c>
      <c r="AL74" s="125">
        <f>HYPERLINK("https://docs.google.com/spreadsheets/d/1a85AtI0AkR3kks0lRcvlK_WSmLptZLBm", 0)</f>
        <v>0</v>
      </c>
      <c r="AM74" s="124">
        <f>HYPERLINK("https://docs.google.com/spreadsheets/d/1-rL9fZzk4xKHEuw6QijtTgwJvyDykLJb", 0)</f>
        <v>0</v>
      </c>
      <c r="AN74" s="119"/>
      <c r="AO74" s="120"/>
      <c r="AP74" s="124">
        <f>HYPERLINK("https://docs.google.com/spreadsheets/d/1Zc7PzNJfs8YVHxOmYp_SitcD1MO2l2-V", 0)</f>
        <v>0</v>
      </c>
      <c r="AQ74" s="125">
        <f>HYPERLINK("https://docs.google.com/spreadsheets/d/1e1t5Nui63U56RsqH3-kiAr8arBKHV-tP", 0)</f>
        <v>0</v>
      </c>
      <c r="AR74" s="125">
        <f>HYPERLINK("https://docs.google.com/spreadsheets/d/1O5UU6jAJal0k0GBvv4Jk8ubp7zvCoV-V", 0)</f>
        <v>0</v>
      </c>
      <c r="AS74" s="120"/>
      <c r="AT74" s="120"/>
      <c r="AU74" s="125">
        <f>HYPERLINK("https://docs.google.com/spreadsheets/d/1c3Jqh9sIaSuhF3ejBg8ph2zJt-UoUWRJ", 3.28725)</f>
        <v>3.28725</v>
      </c>
      <c r="AV74" s="124">
        <f>HYPERLINK("https://docs.google.com/spreadsheets/d/1K5jM2PMKfBNlz04pfepGjSWW9o8qJm86", 0)</f>
        <v>0</v>
      </c>
      <c r="AW74" s="120"/>
      <c r="AX74" s="120"/>
      <c r="AY74" s="124">
        <f>HYPERLINK("https://docs.google.com/spreadsheets/d/1Yc2EtJSfB5MHbS9k2ZKRbpTYxHI1pig7", 0)</f>
        <v>0</v>
      </c>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0"/>
      <c r="CD74" s="120"/>
      <c r="CE74" s="120"/>
      <c r="CF74" s="120"/>
      <c r="CG74" s="120"/>
      <c r="CH74" s="120"/>
      <c r="CI74" s="120"/>
      <c r="CJ74" s="120"/>
      <c r="CK74" s="120"/>
      <c r="CL74" s="120"/>
      <c r="CM74" s="120"/>
      <c r="CN74" s="120"/>
      <c r="CO74" s="120"/>
      <c r="CP74" s="120"/>
      <c r="CQ74" s="120"/>
      <c r="CR74" s="120"/>
      <c r="CS74" s="120"/>
      <c r="CT74" s="120"/>
      <c r="CU74" s="120"/>
      <c r="CV74" s="120"/>
      <c r="CW74" s="120"/>
      <c r="CX74" s="120"/>
      <c r="CY74" s="120"/>
      <c r="CZ74" s="120"/>
      <c r="DA74" s="120"/>
      <c r="DB74" s="120"/>
      <c r="DC74" s="120"/>
      <c r="DD74" s="120"/>
      <c r="DE74" s="120"/>
      <c r="DF74" s="120"/>
      <c r="DG74" s="120"/>
      <c r="DH74" s="120"/>
      <c r="DI74" s="120"/>
      <c r="DJ74" s="120"/>
      <c r="DK74" s="120"/>
      <c r="DL74" s="120"/>
      <c r="DM74" s="120"/>
      <c r="DN74" s="120"/>
      <c r="DO74" s="120"/>
      <c r="DP74" s="120"/>
      <c r="DQ74" s="120"/>
      <c r="DR74" s="120"/>
      <c r="DS74" s="120"/>
      <c r="DT74" s="120"/>
      <c r="DU74" s="120"/>
      <c r="DV74" s="120"/>
      <c r="DW74" s="120"/>
      <c r="DX74" s="120"/>
      <c r="DY74" s="120"/>
      <c r="DZ74" s="120"/>
      <c r="EA74" s="120"/>
      <c r="EB74" s="120"/>
      <c r="EC74" s="120"/>
      <c r="ED74" s="120"/>
      <c r="EE74" s="120"/>
      <c r="EF74" s="120"/>
      <c r="EG74" s="120"/>
      <c r="EH74" s="120"/>
      <c r="EI74" s="120"/>
      <c r="EJ74" s="120"/>
      <c r="EK74" s="120"/>
      <c r="EL74" s="120"/>
      <c r="EM74" s="120"/>
      <c r="EN74" s="120"/>
      <c r="EO74" s="120"/>
      <c r="EP74" s="120"/>
      <c r="EQ74" s="120"/>
      <c r="ER74" s="120"/>
      <c r="ES74" s="120"/>
      <c r="ET74" s="120"/>
      <c r="EU74" s="120"/>
      <c r="EV74" s="120"/>
      <c r="EW74" s="120"/>
      <c r="EX74" s="120"/>
      <c r="EY74" s="120"/>
    </row>
    <row r="75">
      <c r="A75" s="112" t="s">
        <v>7</v>
      </c>
      <c r="B75" s="112" t="s">
        <v>19</v>
      </c>
      <c r="C75" s="112" t="s">
        <v>409</v>
      </c>
      <c r="D75" s="113">
        <f t="shared" si="1"/>
        <v>824.7688167</v>
      </c>
      <c r="E75" s="114">
        <v>225.016883333334</v>
      </c>
      <c r="F75" s="114"/>
      <c r="G75" s="114"/>
      <c r="H75" s="114"/>
      <c r="I75" s="114"/>
      <c r="J75" s="114"/>
      <c r="K75" s="114"/>
      <c r="L75" s="114">
        <v>4.1684</v>
      </c>
      <c r="M75" s="114"/>
      <c r="N75" s="114"/>
      <c r="O75" s="114">
        <v>17.807</v>
      </c>
      <c r="P75" s="112"/>
      <c r="Q75" s="112"/>
      <c r="R75" s="112">
        <v>221.518466666667</v>
      </c>
      <c r="S75" s="112"/>
      <c r="T75" s="112"/>
      <c r="U75" s="112"/>
      <c r="V75" s="112"/>
      <c r="W75" s="112"/>
      <c r="X75" s="112">
        <v>3.16626666666667</v>
      </c>
      <c r="Y75" s="112">
        <v>68.2089333333333</v>
      </c>
      <c r="Z75" s="112"/>
      <c r="AA75" s="113"/>
      <c r="AB75" s="112"/>
      <c r="AC75" s="112"/>
      <c r="AD75" s="112"/>
      <c r="AE75" s="112">
        <v>1.14891666666667</v>
      </c>
      <c r="AF75" s="112"/>
      <c r="AG75" s="112"/>
      <c r="AH75" s="112">
        <v>111.492133333333</v>
      </c>
      <c r="AI75" s="112"/>
      <c r="AJ75" s="112"/>
      <c r="AK75" s="112"/>
      <c r="AL75" s="113"/>
      <c r="AM75" s="112"/>
      <c r="AN75" s="112">
        <v>2.3535</v>
      </c>
      <c r="AO75" s="112">
        <v>84.1852833333333</v>
      </c>
      <c r="AP75" s="112"/>
      <c r="AQ75" s="113"/>
      <c r="AR75" s="112"/>
      <c r="AS75" s="112">
        <v>6.91598333333333</v>
      </c>
      <c r="AT75" s="112">
        <v>20.7746</v>
      </c>
      <c r="AU75" s="112"/>
      <c r="AV75" s="112"/>
      <c r="AW75" s="112">
        <v>2.08421666666667</v>
      </c>
      <c r="AX75" s="112">
        <v>50.1578</v>
      </c>
      <c r="AY75" s="113"/>
      <c r="AZ75" s="112">
        <v>4.9159</v>
      </c>
      <c r="BA75" s="112">
        <v>0.854533333333333</v>
      </c>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113"/>
      <c r="CB75" s="113"/>
      <c r="CC75" s="113"/>
      <c r="CD75" s="113"/>
      <c r="CE75" s="113"/>
      <c r="CF75" s="113"/>
      <c r="CG75" s="113"/>
      <c r="CH75" s="113"/>
      <c r="CI75" s="113"/>
      <c r="CJ75" s="113"/>
      <c r="CK75" s="113"/>
      <c r="CL75" s="113"/>
      <c r="CM75" s="113"/>
      <c r="CN75" s="113"/>
      <c r="CO75" s="113"/>
      <c r="CP75" s="113"/>
      <c r="CQ75" s="113"/>
      <c r="CR75" s="113"/>
      <c r="CS75" s="113"/>
      <c r="CT75" s="113"/>
      <c r="CU75" s="113"/>
      <c r="CV75" s="113"/>
      <c r="CW75" s="113"/>
      <c r="CX75" s="113"/>
      <c r="CY75" s="113"/>
      <c r="CZ75" s="113"/>
      <c r="DA75" s="113"/>
      <c r="DB75" s="113"/>
      <c r="DC75" s="113"/>
      <c r="DD75" s="113"/>
      <c r="DE75" s="113"/>
      <c r="DF75" s="113"/>
      <c r="DG75" s="113"/>
      <c r="DH75" s="113"/>
      <c r="DI75" s="113"/>
      <c r="DJ75" s="113"/>
      <c r="DK75" s="113"/>
      <c r="DL75" s="113"/>
      <c r="DM75" s="113"/>
      <c r="DN75" s="113"/>
      <c r="DO75" s="113"/>
      <c r="DP75" s="113"/>
      <c r="DQ75" s="113"/>
      <c r="DR75" s="113"/>
      <c r="DS75" s="113"/>
      <c r="DT75" s="113"/>
      <c r="DU75" s="113"/>
      <c r="DV75" s="113"/>
      <c r="DW75" s="113"/>
      <c r="DX75" s="113"/>
      <c r="DY75" s="113"/>
      <c r="DZ75" s="113"/>
      <c r="EA75" s="113"/>
      <c r="EB75" s="113"/>
      <c r="EC75" s="113"/>
      <c r="ED75" s="113"/>
      <c r="EE75" s="113"/>
      <c r="EF75" s="113"/>
      <c r="EG75" s="113"/>
      <c r="EH75" s="113"/>
      <c r="EI75" s="113"/>
      <c r="EJ75" s="113"/>
      <c r="EK75" s="113"/>
      <c r="EL75" s="113"/>
      <c r="EM75" s="113"/>
      <c r="EN75" s="113"/>
      <c r="EO75" s="113"/>
      <c r="EP75" s="113"/>
      <c r="EQ75" s="113"/>
      <c r="ER75" s="113"/>
      <c r="ES75" s="113"/>
      <c r="ET75" s="113"/>
      <c r="EU75" s="113"/>
      <c r="EV75" s="113"/>
      <c r="EW75" s="113"/>
      <c r="EX75" s="113"/>
      <c r="EY75" s="113"/>
    </row>
    <row r="76">
      <c r="A76" s="65" t="s">
        <v>7</v>
      </c>
      <c r="B76" s="65" t="s">
        <v>19</v>
      </c>
      <c r="C76" s="65" t="s">
        <v>410</v>
      </c>
      <c r="D76" s="64">
        <f t="shared" si="1"/>
        <v>916.0779</v>
      </c>
      <c r="E76" s="104"/>
      <c r="F76" s="104"/>
      <c r="G76" s="104">
        <v>136.4577</v>
      </c>
      <c r="H76" s="104">
        <v>14.9783166666667</v>
      </c>
      <c r="I76" s="104">
        <v>4.39586666666667</v>
      </c>
      <c r="J76" s="104">
        <v>1.06556666666667</v>
      </c>
      <c r="K76" s="104">
        <v>40.4285666666667</v>
      </c>
      <c r="L76" s="104"/>
      <c r="M76" s="104"/>
      <c r="N76" s="104">
        <v>136.4577</v>
      </c>
      <c r="O76" s="104"/>
      <c r="P76" s="65">
        <v>15.7431333333333</v>
      </c>
      <c r="Q76" s="65"/>
      <c r="R76" s="65"/>
      <c r="S76" s="65">
        <v>129.551383333333</v>
      </c>
      <c r="T76" s="65">
        <v>55.2701833333333</v>
      </c>
      <c r="U76" s="65">
        <v>7.97223333333333</v>
      </c>
      <c r="V76" s="65">
        <v>4.4893</v>
      </c>
      <c r="W76" s="65">
        <v>12.0371666666667</v>
      </c>
      <c r="X76" s="65"/>
      <c r="Y76" s="65"/>
      <c r="Z76" s="65">
        <v>29.5876333333333</v>
      </c>
      <c r="AA76" s="65">
        <v>27.20365</v>
      </c>
      <c r="AB76" s="65">
        <v>2.72835</v>
      </c>
      <c r="AC76" s="65">
        <v>1.3335</v>
      </c>
      <c r="AD76" s="65">
        <v>3.91018333333333</v>
      </c>
      <c r="AE76" s="65"/>
      <c r="AF76" s="65">
        <v>29.5876333333333</v>
      </c>
      <c r="AG76" s="65">
        <v>27.20365</v>
      </c>
      <c r="AH76" s="65"/>
      <c r="AI76" s="65">
        <v>16.29295</v>
      </c>
      <c r="AJ76" s="65">
        <v>78.2706833333334</v>
      </c>
      <c r="AK76" s="65">
        <v>4.99856666666667</v>
      </c>
      <c r="AL76" s="65">
        <v>1.35448333333333</v>
      </c>
      <c r="AM76" s="65">
        <v>10.0009833333333</v>
      </c>
      <c r="AN76" s="65"/>
      <c r="AP76" s="65">
        <v>24.09965</v>
      </c>
      <c r="AQ76" s="65">
        <v>8.13611666666667</v>
      </c>
      <c r="AR76" s="65">
        <v>28.7414833333333</v>
      </c>
      <c r="AT76" s="65"/>
      <c r="AU76" s="65">
        <v>2.44748333333333</v>
      </c>
      <c r="AV76" s="65">
        <v>12.82005</v>
      </c>
      <c r="AY76" s="65">
        <v>48.5137333333333</v>
      </c>
    </row>
    <row r="77">
      <c r="A77" s="65" t="s">
        <v>7</v>
      </c>
      <c r="B77" s="65" t="s">
        <v>19</v>
      </c>
      <c r="C77" s="65" t="s">
        <v>411</v>
      </c>
      <c r="D77" s="64">
        <f t="shared" si="1"/>
        <v>0</v>
      </c>
      <c r="E77" s="115"/>
      <c r="F77" s="115"/>
      <c r="G77" s="115"/>
      <c r="H77" s="115"/>
      <c r="I77" s="115"/>
      <c r="J77" s="115"/>
      <c r="K77" s="115"/>
      <c r="L77" s="115"/>
      <c r="M77" s="115"/>
      <c r="N77" s="115"/>
      <c r="O77" s="115"/>
    </row>
    <row r="78">
      <c r="A78" s="65" t="s">
        <v>7</v>
      </c>
      <c r="B78" s="65" t="s">
        <v>19</v>
      </c>
      <c r="C78" s="65" t="s">
        <v>412</v>
      </c>
      <c r="D78" s="64">
        <f t="shared" si="1"/>
        <v>680.9816333</v>
      </c>
      <c r="E78" s="115"/>
      <c r="F78" s="104"/>
      <c r="G78" s="116">
        <f>HYPERLINK("https://docs.google.com/spreadsheets/d/1uSdCuMZiqf1XOojh_JBCxXRqRgxgXp92", 135.9766)</f>
        <v>135.9766</v>
      </c>
      <c r="H78" s="116">
        <f>HYPERLINK("https://docs.google.com/spreadsheets/d/1yY2h-OOUGbT5OnDnmkDSFa2bxPtR0Kfn", 14.1332333333333)</f>
        <v>14.13323333</v>
      </c>
      <c r="I78" s="117">
        <f>HYPERLINK("https://docs.google.com/spreadsheets/d/1tb7dV7yGY4GbmeDB-mZEe_5FpkyNqoZB", 3.76828333333333)</f>
        <v>3.768283333</v>
      </c>
      <c r="J78" s="116">
        <f>HYPERLINK("https://docs.google.com/spreadsheets/d/1Ox_sYOD8AES_YthxTrKjv8ywkXenwejZ", 0.886066666666667)</f>
        <v>0.8860666667</v>
      </c>
      <c r="K78" s="117">
        <f>HYPERLINK("https://docs.google.com/spreadsheets/d/1J7bPCfEr9V9eiBcYlxC3TrI_mFMhVdJ1", 39.5935833333333)</f>
        <v>39.59358333</v>
      </c>
      <c r="L78" s="115"/>
      <c r="M78" s="104"/>
      <c r="N78" s="115"/>
      <c r="O78" s="104"/>
      <c r="P78" s="118">
        <f>HYPERLINK("https://docs.google.com/spreadsheets/d/13ndsnGbDLpN5E9Lu0VtbNjqTL0OHrPba", 15.7431333333333)</f>
        <v>15.74313333</v>
      </c>
      <c r="S78" s="118">
        <f>HYPERLINK("https://docs.google.com/spreadsheets/d/11NbsFvsJhn--YnuH9wepSRSB7ZeTT-aQ", 104.192166666667)</f>
        <v>104.1921667</v>
      </c>
      <c r="T78" s="118">
        <f>HYPERLINK("https://docs.google.com/spreadsheets/d/1fSy41whIZCclkdJH5PIAr5nkjOgBMldt", 54.6513666666666)</f>
        <v>54.65136667</v>
      </c>
      <c r="U78" s="118">
        <f>HYPERLINK("https://docs.google.com/spreadsheets/d/1Eq_sbMh24jJ-23bkuxz4gMXRdwR-1sYa", 6.71728333333333)</f>
        <v>6.717283333</v>
      </c>
      <c r="V78" s="118">
        <f>HYPERLINK("https://docs.google.com/spreadsheets/d/1X9u0KIakw_eoRi6LqieEYqpo9FhYYM4Z", 4.36541666666667)</f>
        <v>4.365416667</v>
      </c>
      <c r="W78" s="118">
        <f>HYPERLINK("https://docs.google.com/spreadsheets/d/1BmFFuDo0q9tfV-rshkEDDTI4Ml8hDdLO", 12.03715)</f>
        <v>12.03715</v>
      </c>
      <c r="Z78" s="118">
        <f>HYPERLINK("https://docs.google.com/spreadsheets/d/1uh82DBQR0Lkh50D84TPrDg690WS7AGWH", 25.5991833333333)</f>
        <v>25.59918333</v>
      </c>
      <c r="AA78" s="118">
        <f>HYPERLINK("https://docs.google.com/spreadsheets/d/19PVBP_JY1Bk8YAB6znGM6hmV5Y42wyG2", 27.04605)</f>
        <v>27.04605</v>
      </c>
      <c r="AB78" s="118">
        <f>HYPERLINK("https://docs.google.com/spreadsheets/d/1F4JF-TnwrgVBuZIU_4H3TxUFsDUGJ-1M", 2.72835)</f>
        <v>2.72835</v>
      </c>
      <c r="AC78" s="118">
        <f>HYPERLINK("https://docs.google.com/spreadsheets/d/10AjxLz3NvZLrs5-uhzJ2jdo-uAUaBvDp", 1.14721666666667)</f>
        <v>1.147216667</v>
      </c>
      <c r="AD78" s="118">
        <f>HYPERLINK("https://docs.google.com/spreadsheets/d/11_1cqcxcCsBy21a9RRnnn8nnggTy8n5s", 3.91018333333333)</f>
        <v>3.910183333</v>
      </c>
      <c r="AI78" s="118">
        <f>HYPERLINK("https://docs.google.com/spreadsheets/d/1WKSCcDrwOyWVleM9yp9mow3rHEPCufB9", 15.8021333333333)</f>
        <v>15.80213333</v>
      </c>
      <c r="AJ78" s="118">
        <f>HYPERLINK("https://docs.google.com/spreadsheets/d/1lCeTkyT8jEDQoA9ZoYYyErUz2zNNkWQ2", 78.2706)</f>
        <v>78.2706</v>
      </c>
      <c r="AK78" s="118">
        <f>HYPERLINK("https://docs.google.com/spreadsheets/d/15z4fv7wE_d1AnubC4iqQfEdJ011JiNja", 4.8537)</f>
        <v>4.8537</v>
      </c>
      <c r="AL78" s="118">
        <f>HYPERLINK("https://docs.google.com/spreadsheets/d/1atR5zEZcDswBbB_z1nq139iWrupny1xU", 1.35448333333333)</f>
        <v>1.354483333</v>
      </c>
      <c r="AM78" s="118">
        <f>HYPERLINK("https://docs.google.com/spreadsheets/d/1G1tFu-CVWlFXCzj8M6TMDvEJJJ5XW4MI", 9.77426666666667)</f>
        <v>9.774266667</v>
      </c>
      <c r="AP78" s="118">
        <f>HYPERLINK("https://docs.google.com/spreadsheets/d/19K1mmKzojoZpnr_a6u4XgmPaQhZWvfpj", 18.3733666666667)</f>
        <v>18.37336667</v>
      </c>
      <c r="AQ78" s="118">
        <f>HYPERLINK("https://docs.google.com/spreadsheets/d/1lcxbN2Yetf68U2U5FhxSCS5ufYGOSlmK", 8.13613333333334)</f>
        <v>8.136133333</v>
      </c>
      <c r="AR78" s="118">
        <f>HYPERLINK("https://docs.google.com/spreadsheets/d/1vI9heaZe2PDMNSK3GJRlCg_j8FIs1gjl", 28.6775833333333)</f>
        <v>28.67758333</v>
      </c>
      <c r="AU78" s="118">
        <f>HYPERLINK("https://docs.google.com/spreadsheets/d/1kaMZaM560B02qziuYgr9qoIcO8mrpGRz", 2.35686666666667)</f>
        <v>2.356866667</v>
      </c>
      <c r="AV78" s="118">
        <f>HYPERLINK("https://docs.google.com/spreadsheets/d/1fjsEoeIjU2wlKhUJp1piBeUOd0nuH6kQ", 12.8200333333333)</f>
        <v>12.82003333</v>
      </c>
      <c r="AY78" s="118">
        <f>HYPERLINK("https://docs.google.com/spreadsheets/d/1lgnhJEF1eq9smpM25Q14sPQ29-ea8qva", 48.0672)</f>
        <v>48.0672</v>
      </c>
    </row>
    <row r="79">
      <c r="A79" s="65" t="s">
        <v>7</v>
      </c>
      <c r="B79" s="65" t="s">
        <v>19</v>
      </c>
      <c r="C79" s="65" t="s">
        <v>413</v>
      </c>
      <c r="D79" s="64">
        <f t="shared" si="1"/>
        <v>483.8391667</v>
      </c>
      <c r="E79" s="115"/>
      <c r="F79" s="104"/>
      <c r="G79" s="104">
        <v>12.5624833333333</v>
      </c>
      <c r="H79" s="104">
        <v>2.56381666666667</v>
      </c>
      <c r="I79" s="104">
        <v>0.7284</v>
      </c>
      <c r="J79" s="104">
        <v>0.045</v>
      </c>
      <c r="K79" s="104">
        <v>39.5935833333333</v>
      </c>
      <c r="L79" s="104"/>
      <c r="M79" s="104"/>
      <c r="N79" s="104"/>
      <c r="O79" s="104"/>
      <c r="P79" s="65">
        <v>15.7431333333333</v>
      </c>
      <c r="Q79" s="65"/>
      <c r="R79" s="65"/>
      <c r="S79" s="65">
        <v>104.192166666667</v>
      </c>
      <c r="T79" s="65">
        <v>54.6513666666666</v>
      </c>
      <c r="U79" s="65">
        <v>0.52795</v>
      </c>
      <c r="V79" s="65">
        <v>0.355150000000001</v>
      </c>
      <c r="W79" s="65">
        <v>12.03715</v>
      </c>
      <c r="X79" s="65"/>
      <c r="Y79" s="65"/>
      <c r="Z79" s="65">
        <v>17.6804166666667</v>
      </c>
      <c r="AA79" s="65">
        <v>18.1894666666667</v>
      </c>
      <c r="AB79" s="65">
        <v>0.186583333333334</v>
      </c>
      <c r="AC79" s="65">
        <v>0.0</v>
      </c>
      <c r="AD79" s="65">
        <v>0.46935</v>
      </c>
      <c r="AE79" s="65"/>
      <c r="AF79" s="65"/>
      <c r="AG79" s="65"/>
      <c r="AH79" s="65"/>
      <c r="AI79" s="65">
        <v>15.8021333333333</v>
      </c>
      <c r="AJ79" s="65">
        <v>78.2706</v>
      </c>
      <c r="AK79" s="65">
        <v>0.576216666666667</v>
      </c>
      <c r="AL79" s="65">
        <v>2.22044604925031E-16</v>
      </c>
      <c r="AM79" s="65">
        <v>9.77426666666667</v>
      </c>
      <c r="AN79" s="65"/>
      <c r="AP79" s="65">
        <v>18.3733666666667</v>
      </c>
      <c r="AQ79" s="65">
        <v>0.64126666666667</v>
      </c>
      <c r="AR79" s="65">
        <v>28.6775833333333</v>
      </c>
      <c r="AT79" s="65"/>
      <c r="AU79" s="65">
        <v>0.597183333333334</v>
      </c>
      <c r="AV79" s="65">
        <v>3.53333333333333</v>
      </c>
      <c r="AY79" s="65">
        <v>48.0672</v>
      </c>
    </row>
    <row r="80">
      <c r="A80" s="119" t="s">
        <v>7</v>
      </c>
      <c r="B80" s="119" t="s">
        <v>19</v>
      </c>
      <c r="C80" s="119" t="s">
        <v>414</v>
      </c>
      <c r="D80" s="120">
        <f t="shared" si="1"/>
        <v>2.356866667</v>
      </c>
      <c r="E80" s="121"/>
      <c r="F80" s="123"/>
      <c r="G80" s="122">
        <f>HYPERLINK("https://docs.google.com/spreadsheets/d/1uSdCuMZiqf1XOojh_JBCxXRqRgxgXp92", 0)</f>
        <v>0</v>
      </c>
      <c r="H80" s="122">
        <f>HYPERLINK("https://docs.google.com/spreadsheets/d/1yY2h-OOUGbT5OnDnmkDSFa2bxPtR0Kfn", 0)</f>
        <v>0</v>
      </c>
      <c r="I80" s="122">
        <f>HYPERLINK("https://docs.google.com/spreadsheets/d/1tb7dV7yGY4GbmeDB-mZEe_5FpkyNqoZB", 0)</f>
        <v>0</v>
      </c>
      <c r="J80" s="122">
        <f>HYPERLINK("https://docs.google.com/spreadsheets/d/1Ox_sYOD8AES_YthxTrKjv8ywkXenwejZ", 0)</f>
        <v>0</v>
      </c>
      <c r="K80" s="127">
        <f>HYPERLINK("https://docs.google.com/spreadsheets/d/1J7bPCfEr9V9eiBcYlxC3TrI_mFMhVdJ1", 0)</f>
        <v>0</v>
      </c>
      <c r="L80" s="121"/>
      <c r="M80" s="121"/>
      <c r="N80" s="121"/>
      <c r="O80" s="121"/>
      <c r="P80" s="124">
        <f>HYPERLINK("https://docs.google.com/spreadsheets/d/13ndsnGbDLpN5E9Lu0VtbNjqTL0OHrPba", 0)</f>
        <v>0</v>
      </c>
      <c r="Q80" s="120"/>
      <c r="R80" s="120"/>
      <c r="S80" s="124">
        <f>HYPERLINK("https://docs.google.com/spreadsheets/d/11NbsFvsJhn--YnuH9wepSRSB7ZeTT-aQ", 0)</f>
        <v>0</v>
      </c>
      <c r="T80" s="125">
        <f>HYPERLINK("https://docs.google.com/spreadsheets/d/1fSy41whIZCclkdJH5PIAr5nkjOgBMldt", 0)</f>
        <v>0</v>
      </c>
      <c r="U80" s="124">
        <f>HYPERLINK("https://docs.google.com/spreadsheets/d/1Eq_sbMh24jJ-23bkuxz4gMXRdwR-1sYa", 0)</f>
        <v>0</v>
      </c>
      <c r="V80" s="124">
        <f>HYPERLINK("https://docs.google.com/spreadsheets/d/1X9u0KIakw_eoRi6LqieEYqpo9FhYYM4Z", 0)</f>
        <v>0</v>
      </c>
      <c r="W80" s="124">
        <f>HYPERLINK("https://docs.google.com/spreadsheets/d/1BmFFuDo0q9tfV-rshkEDDTI4Ml8hDdLO", 0)</f>
        <v>0</v>
      </c>
      <c r="X80" s="119"/>
      <c r="Y80" s="119"/>
      <c r="Z80" s="124">
        <f>HYPERLINK("https://docs.google.com/spreadsheets/d/1uh82DBQR0Lkh50D84TPrDg690WS7AGWH", 0)</f>
        <v>0</v>
      </c>
      <c r="AA80" s="124">
        <f>HYPERLINK("https://docs.google.com/spreadsheets/d/19PVBP_JY1Bk8YAB6znGM6hmV5Y42wyG2", 0)</f>
        <v>0</v>
      </c>
      <c r="AB80" s="124">
        <f>HYPERLINK("https://docs.google.com/spreadsheets/d/1F4JF-TnwrgVBuZIU_4H3TxUFsDUGJ-1M", 0)</f>
        <v>0</v>
      </c>
      <c r="AC80" s="124">
        <f>HYPERLINK("https://docs.google.com/spreadsheets/d/10AjxLz3NvZLrs5-uhzJ2jdo-uAUaBvDp", 0)</f>
        <v>0</v>
      </c>
      <c r="AD80" s="124">
        <f>HYPERLINK("https://docs.google.com/spreadsheets/d/11_1cqcxcCsBy21a9RRnnn8nnggTy8n5s", 0)</f>
        <v>0</v>
      </c>
      <c r="AE80" s="119"/>
      <c r="AF80" s="120"/>
      <c r="AG80" s="119"/>
      <c r="AH80" s="119"/>
      <c r="AI80" s="124">
        <f>HYPERLINK("https://docs.google.com/spreadsheets/d/1WKSCcDrwOyWVleM9yp9mow3rHEPCufB9", 0)</f>
        <v>0</v>
      </c>
      <c r="AJ80" s="124">
        <f>HYPERLINK("https://docs.google.com/spreadsheets/d/1lCeTkyT8jEDQoA9ZoYYyErUz2zNNkWQ2", 0)</f>
        <v>0</v>
      </c>
      <c r="AK80" s="124">
        <f>HYPERLINK("https://docs.google.com/spreadsheets/d/15z4fv7wE_d1AnubC4iqQfEdJ011JiNja", 0)</f>
        <v>0</v>
      </c>
      <c r="AL80" s="124">
        <f>HYPERLINK("https://docs.google.com/spreadsheets/d/1atR5zEZcDswBbB_z1nq139iWrupny1xU", 0)</f>
        <v>0</v>
      </c>
      <c r="AM80" s="124">
        <f>HYPERLINK("https://docs.google.com/spreadsheets/d/1G1tFu-CVWlFXCzj8M6TMDvEJJJ5XW4MI", 0)</f>
        <v>0</v>
      </c>
      <c r="AN80" s="120"/>
      <c r="AO80" s="120"/>
      <c r="AP80" s="124">
        <f>HYPERLINK("https://docs.google.com/spreadsheets/d/19K1mmKzojoZpnr_a6u4XgmPaQhZWvfpj", 0)</f>
        <v>0</v>
      </c>
      <c r="AQ80" s="125">
        <f>HYPERLINK("https://docs.google.com/spreadsheets/d/1lcxbN2Yetf68U2U5FhxSCS5ufYGOSlmK", 0)</f>
        <v>0</v>
      </c>
      <c r="AR80" s="125">
        <f>HYPERLINK("https://docs.google.com/spreadsheets/d/1vI9heaZe2PDMNSK3GJRlCg_j8FIs1gjl", 0)</f>
        <v>0</v>
      </c>
      <c r="AS80" s="120"/>
      <c r="AT80" s="120"/>
      <c r="AU80" s="124">
        <f>HYPERLINK("https://docs.google.com/spreadsheets/d/1kaMZaM560B02qziuYgr9qoIcO8mrpGRz", 2.35686666666667)</f>
        <v>2.356866667</v>
      </c>
      <c r="AV80" s="124">
        <f>HYPERLINK("https://docs.google.com/spreadsheets/d/1fjsEoeIjU2wlKhUJp1piBeUOd0nuH6kQ", 0)</f>
        <v>0</v>
      </c>
      <c r="AW80" s="120"/>
      <c r="AX80" s="120"/>
      <c r="AY80" s="124">
        <f>HYPERLINK("https://docs.google.com/spreadsheets/d/1lgnhJEF1eq9smpM25Q14sPQ29-ea8qva", 0)</f>
        <v>0</v>
      </c>
      <c r="AZ80" s="120"/>
      <c r="BA80" s="120"/>
      <c r="BB80" s="120"/>
      <c r="BC80" s="120"/>
      <c r="BD80" s="120"/>
      <c r="BE80" s="120"/>
      <c r="BF80" s="120"/>
      <c r="BG80" s="120"/>
      <c r="BH80" s="120"/>
      <c r="BI80" s="120"/>
      <c r="BJ80" s="120"/>
      <c r="BK80" s="120"/>
      <c r="BL80" s="120"/>
      <c r="BM80" s="120"/>
      <c r="BN80" s="120"/>
      <c r="BO80" s="120"/>
      <c r="BP80" s="120"/>
      <c r="BQ80" s="120"/>
      <c r="BR80" s="120"/>
      <c r="BS80" s="120"/>
      <c r="BT80" s="120"/>
      <c r="BU80" s="120"/>
      <c r="BV80" s="120"/>
      <c r="BW80" s="120"/>
      <c r="BX80" s="120"/>
      <c r="BY80" s="120"/>
      <c r="BZ80" s="120"/>
      <c r="CA80" s="120"/>
      <c r="CB80" s="120"/>
      <c r="CC80" s="120"/>
      <c r="CD80" s="120"/>
      <c r="CE80" s="120"/>
      <c r="CF80" s="120"/>
      <c r="CG80" s="120"/>
      <c r="CH80" s="120"/>
      <c r="CI80" s="120"/>
      <c r="CJ80" s="120"/>
      <c r="CK80" s="120"/>
      <c r="CL80" s="120"/>
      <c r="CM80" s="120"/>
      <c r="CN80" s="120"/>
      <c r="CO80" s="120"/>
      <c r="CP80" s="120"/>
      <c r="CQ80" s="120"/>
      <c r="CR80" s="120"/>
      <c r="CS80" s="120"/>
      <c r="CT80" s="120"/>
      <c r="CU80" s="120"/>
      <c r="CV80" s="120"/>
      <c r="CW80" s="120"/>
      <c r="CX80" s="120"/>
      <c r="CY80" s="120"/>
      <c r="CZ80" s="120"/>
      <c r="DA80" s="120"/>
      <c r="DB80" s="120"/>
      <c r="DC80" s="120"/>
      <c r="DD80" s="120"/>
      <c r="DE80" s="120"/>
      <c r="DF80" s="120"/>
      <c r="DG80" s="120"/>
      <c r="DH80" s="120"/>
      <c r="DI80" s="120"/>
      <c r="DJ80" s="120"/>
      <c r="DK80" s="120"/>
      <c r="DL80" s="120"/>
      <c r="DM80" s="120"/>
      <c r="DN80" s="120"/>
      <c r="DO80" s="120"/>
      <c r="DP80" s="120"/>
      <c r="DQ80" s="120"/>
      <c r="DR80" s="120"/>
      <c r="DS80" s="120"/>
      <c r="DT80" s="120"/>
      <c r="DU80" s="120"/>
      <c r="DV80" s="120"/>
      <c r="DW80" s="120"/>
      <c r="DX80" s="120"/>
      <c r="DY80" s="120"/>
      <c r="DZ80" s="120"/>
      <c r="EA80" s="120"/>
      <c r="EB80" s="120"/>
      <c r="EC80" s="120"/>
      <c r="ED80" s="120"/>
      <c r="EE80" s="120"/>
      <c r="EF80" s="120"/>
      <c r="EG80" s="120"/>
      <c r="EH80" s="120"/>
      <c r="EI80" s="120"/>
      <c r="EJ80" s="120"/>
      <c r="EK80" s="120"/>
      <c r="EL80" s="120"/>
      <c r="EM80" s="120"/>
      <c r="EN80" s="120"/>
      <c r="EO80" s="120"/>
      <c r="EP80" s="120"/>
      <c r="EQ80" s="120"/>
      <c r="ER80" s="120"/>
      <c r="ES80" s="120"/>
      <c r="ET80" s="120"/>
      <c r="EU80" s="120"/>
      <c r="EV80" s="120"/>
      <c r="EW80" s="120"/>
      <c r="EX80" s="120"/>
      <c r="EY80" s="120"/>
    </row>
    <row r="81">
      <c r="A81" s="112" t="s">
        <v>7</v>
      </c>
      <c r="B81" s="112" t="s">
        <v>40</v>
      </c>
      <c r="C81" s="112" t="s">
        <v>409</v>
      </c>
      <c r="D81" s="113">
        <f t="shared" si="1"/>
        <v>582.1616667</v>
      </c>
      <c r="E81" s="114">
        <v>90.7032333333333</v>
      </c>
      <c r="F81" s="114"/>
      <c r="G81" s="114"/>
      <c r="H81" s="114"/>
      <c r="I81" s="114"/>
      <c r="J81" s="114"/>
      <c r="K81" s="114"/>
      <c r="L81" s="114">
        <v>1.06106666666667</v>
      </c>
      <c r="M81" s="114"/>
      <c r="N81" s="114"/>
      <c r="O81" s="114">
        <v>23.1841166666667</v>
      </c>
      <c r="P81" s="112"/>
      <c r="Q81" s="112">
        <v>0.04215</v>
      </c>
      <c r="R81" s="112">
        <v>135.748016666667</v>
      </c>
      <c r="S81" s="112"/>
      <c r="T81" s="112"/>
      <c r="U81" s="112"/>
      <c r="V81" s="112"/>
      <c r="W81" s="112"/>
      <c r="X81" s="112">
        <v>1.08166666666667</v>
      </c>
      <c r="Y81" s="112">
        <v>43.7046166666667</v>
      </c>
      <c r="Z81" s="112"/>
      <c r="AA81" s="113"/>
      <c r="AB81" s="112"/>
      <c r="AC81" s="112"/>
      <c r="AD81" s="112"/>
      <c r="AE81" s="112">
        <v>1.12345</v>
      </c>
      <c r="AF81" s="112"/>
      <c r="AG81" s="112"/>
      <c r="AH81" s="112">
        <v>123.3343</v>
      </c>
      <c r="AI81" s="112"/>
      <c r="AJ81" s="112"/>
      <c r="AK81" s="112"/>
      <c r="AL81" s="113"/>
      <c r="AM81" s="112"/>
      <c r="AN81" s="112">
        <v>3.5197</v>
      </c>
      <c r="AO81" s="112">
        <v>35.6650666666667</v>
      </c>
      <c r="AP81" s="112"/>
      <c r="AQ81" s="113"/>
      <c r="AR81" s="112"/>
      <c r="AS81" s="112">
        <v>6.85785</v>
      </c>
      <c r="AT81" s="112">
        <v>5.77711666666667</v>
      </c>
      <c r="AU81" s="112"/>
      <c r="AV81" s="112"/>
      <c r="AW81" s="112">
        <v>1.75861666666667</v>
      </c>
      <c r="AX81" s="112">
        <v>101.888833333333</v>
      </c>
      <c r="AY81" s="113"/>
      <c r="AZ81" s="112">
        <v>6.32081666666666</v>
      </c>
      <c r="BA81" s="112">
        <v>0.39105</v>
      </c>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113"/>
      <c r="CB81" s="113"/>
      <c r="CC81" s="113"/>
      <c r="CD81" s="113"/>
      <c r="CE81" s="113"/>
      <c r="CF81" s="113"/>
      <c r="CG81" s="113"/>
      <c r="CH81" s="113"/>
      <c r="CI81" s="113"/>
      <c r="CJ81" s="113"/>
      <c r="CK81" s="113"/>
      <c r="CL81" s="113"/>
      <c r="CM81" s="113"/>
      <c r="CN81" s="113"/>
      <c r="CO81" s="113"/>
      <c r="CP81" s="113"/>
      <c r="CQ81" s="113"/>
      <c r="CR81" s="113"/>
      <c r="CS81" s="113"/>
      <c r="CT81" s="113"/>
      <c r="CU81" s="113"/>
      <c r="CV81" s="113"/>
      <c r="CW81" s="113"/>
      <c r="CX81" s="113"/>
      <c r="CY81" s="113"/>
      <c r="CZ81" s="113"/>
      <c r="DA81" s="113"/>
      <c r="DB81" s="113"/>
      <c r="DC81" s="113"/>
      <c r="DD81" s="113"/>
      <c r="DE81" s="113"/>
      <c r="DF81" s="113"/>
      <c r="DG81" s="113"/>
      <c r="DH81" s="113"/>
      <c r="DI81" s="113"/>
      <c r="DJ81" s="113"/>
      <c r="DK81" s="113"/>
      <c r="DL81" s="113"/>
      <c r="DM81" s="113"/>
      <c r="DN81" s="113"/>
      <c r="DO81" s="113"/>
      <c r="DP81" s="113"/>
      <c r="DQ81" s="113"/>
      <c r="DR81" s="113"/>
      <c r="DS81" s="113"/>
      <c r="DT81" s="113"/>
      <c r="DU81" s="113"/>
      <c r="DV81" s="113"/>
      <c r="DW81" s="113"/>
      <c r="DX81" s="113"/>
      <c r="DY81" s="113"/>
      <c r="DZ81" s="113"/>
      <c r="EA81" s="113"/>
      <c r="EB81" s="113"/>
      <c r="EC81" s="113"/>
      <c r="ED81" s="113"/>
      <c r="EE81" s="113"/>
      <c r="EF81" s="113"/>
      <c r="EG81" s="113"/>
      <c r="EH81" s="113"/>
      <c r="EI81" s="113"/>
      <c r="EJ81" s="113"/>
      <c r="EK81" s="113"/>
      <c r="EL81" s="113"/>
      <c r="EM81" s="113"/>
      <c r="EN81" s="113"/>
      <c r="EO81" s="113"/>
      <c r="EP81" s="113"/>
      <c r="EQ81" s="113"/>
      <c r="ER81" s="113"/>
      <c r="ES81" s="113"/>
      <c r="ET81" s="113"/>
      <c r="EU81" s="113"/>
      <c r="EV81" s="113"/>
      <c r="EW81" s="113"/>
      <c r="EX81" s="113"/>
      <c r="EY81" s="113"/>
    </row>
    <row r="82">
      <c r="A82" s="65" t="s">
        <v>7</v>
      </c>
      <c r="B82" s="65" t="s">
        <v>40</v>
      </c>
      <c r="C82" s="65" t="s">
        <v>410</v>
      </c>
      <c r="D82" s="64">
        <f t="shared" si="1"/>
        <v>645.4094</v>
      </c>
      <c r="E82" s="104"/>
      <c r="F82" s="104">
        <v>62.3034166666667</v>
      </c>
      <c r="G82" s="104">
        <v>11.2553</v>
      </c>
      <c r="H82" s="104">
        <v>3.34811666666667</v>
      </c>
      <c r="I82" s="104">
        <v>0.245716666666667</v>
      </c>
      <c r="J82" s="104">
        <v>0.131416666666667</v>
      </c>
      <c r="K82" s="104">
        <v>8.22466666666667</v>
      </c>
      <c r="L82" s="104"/>
      <c r="M82" s="104">
        <v>62.3034166666667</v>
      </c>
      <c r="N82" s="104">
        <v>11.2553</v>
      </c>
      <c r="O82" s="104"/>
      <c r="P82" s="65">
        <v>18.7801833333333</v>
      </c>
      <c r="Q82" s="65"/>
      <c r="R82" s="65"/>
      <c r="S82" s="65">
        <v>86.2692</v>
      </c>
      <c r="T82" s="65">
        <v>33.1503333333333</v>
      </c>
      <c r="U82" s="65">
        <v>4.3273</v>
      </c>
      <c r="V82" s="65">
        <v>3.06181666666667</v>
      </c>
      <c r="W82" s="65">
        <v>6.43403333333333</v>
      </c>
      <c r="X82" s="65"/>
      <c r="Y82" s="65"/>
      <c r="Z82" s="65">
        <v>22.3878666666667</v>
      </c>
      <c r="AA82" s="65">
        <v>15.5743166666667</v>
      </c>
      <c r="AB82" s="65">
        <v>1.84315</v>
      </c>
      <c r="AC82" s="65">
        <v>0.5147</v>
      </c>
      <c r="AD82" s="65">
        <v>2.49086666666667</v>
      </c>
      <c r="AE82" s="65"/>
      <c r="AF82" s="65">
        <v>22.3878666666667</v>
      </c>
      <c r="AG82" s="65">
        <v>15.5743166666667</v>
      </c>
      <c r="AH82" s="65"/>
      <c r="AI82" s="65">
        <v>61.22715</v>
      </c>
      <c r="AJ82" s="65">
        <v>52.5913833333333</v>
      </c>
      <c r="AK82" s="65">
        <v>5.06198333333333</v>
      </c>
      <c r="AL82" s="65">
        <v>0.575866666666667</v>
      </c>
      <c r="AM82" s="65">
        <v>2.84015</v>
      </c>
      <c r="AN82" s="65"/>
      <c r="AP82" s="65">
        <v>8.17598333333333</v>
      </c>
      <c r="AQ82" s="65">
        <v>2.41736666666667</v>
      </c>
      <c r="AR82" s="65">
        <v>17.7521833333333</v>
      </c>
      <c r="AT82" s="65"/>
      <c r="AU82" s="65">
        <v>1.86856666666667</v>
      </c>
      <c r="AV82" s="65">
        <v>2.42313333333333</v>
      </c>
      <c r="AY82" s="65">
        <v>98.6123333333334</v>
      </c>
    </row>
    <row r="83">
      <c r="A83" s="65" t="s">
        <v>7</v>
      </c>
      <c r="B83" s="65" t="s">
        <v>40</v>
      </c>
      <c r="C83" s="65" t="s">
        <v>411</v>
      </c>
      <c r="D83" s="64">
        <f t="shared" si="1"/>
        <v>0</v>
      </c>
      <c r="E83" s="115"/>
      <c r="F83" s="115"/>
      <c r="G83" s="115"/>
      <c r="H83" s="115"/>
      <c r="I83" s="115"/>
      <c r="J83" s="115"/>
      <c r="K83" s="115"/>
      <c r="L83" s="115"/>
      <c r="M83" s="115"/>
      <c r="N83" s="115"/>
      <c r="O83" s="115"/>
    </row>
    <row r="84">
      <c r="A84" s="65" t="s">
        <v>7</v>
      </c>
      <c r="B84" s="65" t="s">
        <v>40</v>
      </c>
      <c r="C84" s="65" t="s">
        <v>412</v>
      </c>
      <c r="D84" s="64">
        <f t="shared" si="1"/>
        <v>506.21655</v>
      </c>
      <c r="E84" s="115"/>
      <c r="F84" s="117">
        <f>HYPERLINK("https://docs.google.com/spreadsheets/d/1R68zemGAn2Ks3Hi4q62tGvuL_NU8ZA4R", 52.9319666666667)</f>
        <v>52.93196667</v>
      </c>
      <c r="G84" s="116">
        <f>HYPERLINK("https://docs.google.com/spreadsheets/d/1RvNW7vxyb6a0tnQdvPx8aPiPE0BYnpWN", 11.2553)</f>
        <v>11.2553</v>
      </c>
      <c r="H84" s="116">
        <f>HYPERLINK("https://docs.google.com/spreadsheets/d/1Uwf4xoZK9Jf6DgH3U0B_BlgJlrcot3zi", 3.34811666666667)</f>
        <v>3.348116667</v>
      </c>
      <c r="I84" s="117">
        <f>HYPERLINK("https://docs.google.com/spreadsheets/d/1WFaJDgnRB2KuqmZa2syKPJ0lJW60H2gi", 0.245716666666667)</f>
        <v>0.2457166667</v>
      </c>
      <c r="J84" s="116">
        <f>HYPERLINK("https://docs.google.com/spreadsheets/d/1t7SvaxNCLtfyn5RD3iLfhBcAN0GQa7-x", 0)</f>
        <v>0</v>
      </c>
      <c r="K84" s="117">
        <f>HYPERLINK("https://docs.google.com/spreadsheets/d/1bSi7y7N2ZivTUY74vdufoywbhY8KWWMg", 8.2247)</f>
        <v>8.2247</v>
      </c>
      <c r="L84" s="115"/>
      <c r="M84" s="104"/>
      <c r="N84" s="115"/>
      <c r="O84" s="104"/>
      <c r="P84" s="118">
        <f>HYPERLINK("https://docs.google.com/spreadsheets/d/1bCup-eeihJYouqraXu74VdI6vlz3IxgJ", 18.7801833333333)</f>
        <v>18.78018333</v>
      </c>
      <c r="S84" s="118">
        <f>HYPERLINK("https://docs.google.com/spreadsheets/d/1B5-AhwFbK6sk6Gwci5fg_IH-6Mn17fao", 73.47255)</f>
        <v>73.47255</v>
      </c>
      <c r="T84" s="118">
        <f>HYPERLINK("https://docs.google.com/spreadsheets/d/1CKVwgeLrD6BwAJe85-NX0oF8zD49h0-l", 33.0164666666667)</f>
        <v>33.01646667</v>
      </c>
      <c r="U84" s="118">
        <f>HYPERLINK("https://docs.google.com/spreadsheets/d/1DgDBO2eLj6-4NIQ1OocmmN6my95b1D2Y", 4.138)</f>
        <v>4.138</v>
      </c>
      <c r="V84" s="118">
        <f>HYPERLINK("https://docs.google.com/spreadsheets/d/16-FTN-X1PaBMPAu2imJ_xidwH4ekFKr1", 1.88688333333333)</f>
        <v>1.886883333</v>
      </c>
      <c r="W84" s="118">
        <f>HYPERLINK("https://docs.google.com/spreadsheets/d/1xooU94R9w2A7IdW-h2QrsLnMKd0YipOM", 6.43403333333333)</f>
        <v>6.434033333</v>
      </c>
      <c r="Z84" s="118">
        <f>HYPERLINK("https://docs.google.com/spreadsheets/d/1SZ2i2qijffCaGucnyeuwDFs925NFJ-vj", 21.8500833333333)</f>
        <v>21.85008333</v>
      </c>
      <c r="AA84" s="118">
        <f>HYPERLINK("https://docs.google.com/spreadsheets/d/1hP4LNxcTN3YIayvLwe3siuHz-vrKA2Yq", 15.5742833333333)</f>
        <v>15.57428333</v>
      </c>
      <c r="AB84" s="118">
        <f>HYPERLINK("https://docs.google.com/spreadsheets/d/1L3amTJI7U_6uh4dnDmzwbov1GHlEiUCK", 1.84315)</f>
        <v>1.84315</v>
      </c>
      <c r="AC84" s="118">
        <f>HYPERLINK("https://docs.google.com/spreadsheets/d/19DfMbuZiFDkJVG-v37ZNjPwVWASkWlGS", 0.14515)</f>
        <v>0.14515</v>
      </c>
      <c r="AD84" s="118">
        <f>HYPERLINK("https://docs.google.com/spreadsheets/d/111NqKbZ98ehRKnZ4G2gvToPf63u9M-4c", 2.49086666666667)</f>
        <v>2.490866667</v>
      </c>
      <c r="AI84" s="118">
        <f>HYPERLINK("https://docs.google.com/spreadsheets/d/1ipU2MHn0dcjME0EeG4myQBS-LVjBuKd4", 60.5660333333333)</f>
        <v>60.56603333</v>
      </c>
      <c r="AJ84" s="118">
        <f>HYPERLINK("https://docs.google.com/spreadsheets/d/15EUrWZOibFRtfWIqKQUeLUdcxY04pv0N", 52.5913666666667)</f>
        <v>52.59136667</v>
      </c>
      <c r="AK84" s="118">
        <f>HYPERLINK("https://docs.google.com/spreadsheets/d/150SsEwhxwzjRsHO26EF56imoa4XgZgKV", 5.06198333333333)</f>
        <v>5.061983333</v>
      </c>
      <c r="AL84" s="118">
        <f>HYPERLINK("https://docs.google.com/spreadsheets/d/1NUVnNXo3NCmLocAsgiaHnzyagyDrYADg", 0.575866666666667)</f>
        <v>0.5758666667</v>
      </c>
      <c r="AM84" s="118">
        <f>HYPERLINK("https://docs.google.com/spreadsheets/d/1QXeyk-FZ8LJuMiqWDo5Dcg4kNfBdUqQ6", 2.84015)</f>
        <v>2.84015</v>
      </c>
      <c r="AP84" s="118">
        <f>HYPERLINK("https://docs.google.com/spreadsheets/d/1Q7XOEt22qmh9c7hqkzHIbL-ko_auv1Cp", 6.8438)</f>
        <v>6.8438</v>
      </c>
      <c r="AQ84" s="118">
        <f>HYPERLINK("https://docs.google.com/spreadsheets/d/1utyMNeXIo5NHvjf2Jta8T8Vm_YAqwZQj", 2.36775)</f>
        <v>2.36775</v>
      </c>
      <c r="AR84" s="118">
        <f>HYPERLINK("https://docs.google.com/spreadsheets/d/1JfjjmhxkfsyG-Zc3Z1ZW2vVwF7t4AWvl", 17.58935)</f>
        <v>17.58935</v>
      </c>
      <c r="AU84" s="118">
        <f>HYPERLINK("https://docs.google.com/spreadsheets/d/1R7dN9saWo-q3OijBMaBcPTJ7j5o1-zQv", 1.86856666666667)</f>
        <v>1.868566667</v>
      </c>
      <c r="AV84" s="118">
        <f>HYPERLINK("https://docs.google.com/spreadsheets/d/1FlntYb5OY0WlijDL438yvigIRShdTudb", 2.42313333333333)</f>
        <v>2.423133333</v>
      </c>
      <c r="AY84" s="118">
        <f>HYPERLINK("https://docs.google.com/spreadsheets/d/1XAfH-E-E0PbKmvcCW50QhTD7i9RBbBvf", 97.8511000000001)</f>
        <v>97.8511</v>
      </c>
    </row>
    <row r="85">
      <c r="A85" s="65" t="s">
        <v>7</v>
      </c>
      <c r="B85" s="65" t="s">
        <v>40</v>
      </c>
      <c r="C85" s="65" t="s">
        <v>413</v>
      </c>
      <c r="D85" s="64">
        <f t="shared" si="1"/>
        <v>406.806</v>
      </c>
      <c r="E85" s="115"/>
      <c r="F85" s="104">
        <v>3.1810333333333</v>
      </c>
      <c r="G85" s="104">
        <v>-1.77635683940025E-15</v>
      </c>
      <c r="H85" s="104">
        <v>0.186666666666667</v>
      </c>
      <c r="I85" s="104">
        <v>0.0</v>
      </c>
      <c r="J85" s="104">
        <v>0.0</v>
      </c>
      <c r="K85" s="104">
        <v>8.2247</v>
      </c>
      <c r="L85" s="104"/>
      <c r="M85" s="104"/>
      <c r="N85" s="104"/>
      <c r="O85" s="104"/>
      <c r="P85" s="65">
        <v>18.4597</v>
      </c>
      <c r="Q85" s="65"/>
      <c r="R85" s="65"/>
      <c r="S85" s="65">
        <v>73.2094666666667</v>
      </c>
      <c r="T85" s="65">
        <v>32.9379666666667</v>
      </c>
      <c r="U85" s="65">
        <v>0.484383333333334</v>
      </c>
      <c r="V85" s="65">
        <v>0.351033333333333</v>
      </c>
      <c r="W85" s="65">
        <v>6.01861666666666</v>
      </c>
      <c r="X85" s="65"/>
      <c r="Y85" s="65"/>
      <c r="Z85" s="65">
        <v>14.9410666666667</v>
      </c>
      <c r="AA85" s="65">
        <v>10.5111833333333</v>
      </c>
      <c r="AB85" s="65">
        <v>0.109866666666667</v>
      </c>
      <c r="AC85" s="65">
        <v>0.0</v>
      </c>
      <c r="AD85" s="65">
        <v>-4.44089209850063E-16</v>
      </c>
      <c r="AE85" s="65"/>
      <c r="AF85" s="65"/>
      <c r="AG85" s="65"/>
      <c r="AH85" s="65"/>
      <c r="AI85" s="65">
        <v>60.1908833333333</v>
      </c>
      <c r="AJ85" s="65">
        <v>52.2523333333333</v>
      </c>
      <c r="AK85" s="65">
        <v>0.611933333333332</v>
      </c>
      <c r="AL85" s="65">
        <v>0.0</v>
      </c>
      <c r="AM85" s="65">
        <v>2.84015</v>
      </c>
      <c r="AN85" s="65"/>
      <c r="AP85" s="65">
        <v>6.8438</v>
      </c>
      <c r="AQ85" s="65">
        <v>0.101983333333334</v>
      </c>
      <c r="AR85" s="65">
        <v>16.9262333333333</v>
      </c>
      <c r="AT85" s="65"/>
      <c r="AU85" s="65">
        <v>0.518933333333333</v>
      </c>
      <c r="AV85" s="65">
        <v>0.5284</v>
      </c>
      <c r="AY85" s="65">
        <v>97.3756666666667</v>
      </c>
    </row>
    <row r="86">
      <c r="A86" s="119" t="s">
        <v>7</v>
      </c>
      <c r="B86" s="119" t="s">
        <v>40</v>
      </c>
      <c r="C86" s="119" t="s">
        <v>414</v>
      </c>
      <c r="D86" s="120">
        <f t="shared" si="1"/>
        <v>1.868566667</v>
      </c>
      <c r="E86" s="121"/>
      <c r="F86" s="122">
        <f>HYPERLINK("https://docs.google.com/spreadsheets/d/1R68zemGAn2Ks3Hi4q62tGvuL_NU8ZA4R", 0)</f>
        <v>0</v>
      </c>
      <c r="G86" s="122">
        <f>HYPERLINK("https://docs.google.com/spreadsheets/d/1RvNW7vxyb6a0tnQdvPx8aPiPE0BYnpWN", 0)</f>
        <v>0</v>
      </c>
      <c r="H86" s="122">
        <f>HYPERLINK("https://docs.google.com/spreadsheets/d/1Uwf4xoZK9Jf6DgH3U0B_BlgJlrcot3zi", 0)</f>
        <v>0</v>
      </c>
      <c r="I86" s="122">
        <f>HYPERLINK("https://docs.google.com/spreadsheets/d/1WFaJDgnRB2KuqmZa2syKPJ0lJW60H2gi", 0)</f>
        <v>0</v>
      </c>
      <c r="J86" s="127">
        <f>HYPERLINK("https://docs.google.com/spreadsheets/d/1t7SvaxNCLtfyn5RD3iLfhBcAN0GQa7-x", 0)</f>
        <v>0</v>
      </c>
      <c r="K86" s="127">
        <f>HYPERLINK("https://docs.google.com/spreadsheets/d/1bSi7y7N2ZivTUY74vdufoywbhY8KWWMg", 0)</f>
        <v>0</v>
      </c>
      <c r="L86" s="121"/>
      <c r="M86" s="121"/>
      <c r="N86" s="123"/>
      <c r="O86" s="121"/>
      <c r="P86" s="124">
        <f>HYPERLINK("https://docs.google.com/spreadsheets/d/1bCup-eeihJYouqraXu74VdI6vlz3IxgJ", 0)</f>
        <v>0</v>
      </c>
      <c r="Q86" s="119"/>
      <c r="R86" s="119"/>
      <c r="S86" s="124">
        <f>HYPERLINK("https://docs.google.com/spreadsheets/d/1B5-AhwFbK6sk6Gwci5fg_IH-6Mn17fao", 0)</f>
        <v>0</v>
      </c>
      <c r="T86" s="125">
        <f>HYPERLINK("https://docs.google.com/spreadsheets/d/1CKVwgeLrD6BwAJe85-NX0oF8zD49h0-l", 0)</f>
        <v>0</v>
      </c>
      <c r="U86" s="125">
        <f>HYPERLINK("https://docs.google.com/spreadsheets/d/1DgDBO2eLj6-4NIQ1OocmmN6my95b1D2Y", 0)</f>
        <v>0</v>
      </c>
      <c r="V86" s="124">
        <f>HYPERLINK("https://docs.google.com/spreadsheets/d/16-FTN-X1PaBMPAu2imJ_xidwH4ekFKr1", 0)</f>
        <v>0</v>
      </c>
      <c r="W86" s="124">
        <f>HYPERLINK("https://docs.google.com/spreadsheets/d/1xooU94R9w2A7IdW-h2QrsLnMKd0YipOM", 0)</f>
        <v>0</v>
      </c>
      <c r="X86" s="119"/>
      <c r="Y86" s="119"/>
      <c r="Z86" s="124">
        <f>HYPERLINK("https://docs.google.com/spreadsheets/d/1SZ2i2qijffCaGucnyeuwDFs925NFJ-vj", 0)</f>
        <v>0</v>
      </c>
      <c r="AA86" s="124">
        <f>HYPERLINK("https://docs.google.com/spreadsheets/d/1hP4LNxcTN3YIayvLwe3siuHz-vrKA2Yq", 0)</f>
        <v>0</v>
      </c>
      <c r="AB86" s="124">
        <f>HYPERLINK("https://docs.google.com/spreadsheets/d/1L3amTJI7U_6uh4dnDmzwbov1GHlEiUCK", 0)</f>
        <v>0</v>
      </c>
      <c r="AC86" s="124">
        <f>HYPERLINK("https://docs.google.com/spreadsheets/d/19DfMbuZiFDkJVG-v37ZNjPwVWASkWlGS", 0)</f>
        <v>0</v>
      </c>
      <c r="AD86" s="124">
        <f>HYPERLINK("https://docs.google.com/spreadsheets/d/111NqKbZ98ehRKnZ4G2gvToPf63u9M-4c", 0)</f>
        <v>0</v>
      </c>
      <c r="AE86" s="119"/>
      <c r="AF86" s="119"/>
      <c r="AG86" s="119"/>
      <c r="AH86" s="119"/>
      <c r="AI86" s="124">
        <f>HYPERLINK("https://docs.google.com/spreadsheets/d/1ipU2MHn0dcjME0EeG4myQBS-LVjBuKd4", 0)</f>
        <v>0</v>
      </c>
      <c r="AJ86" s="124">
        <f>HYPERLINK("https://docs.google.com/spreadsheets/d/15EUrWZOibFRtfWIqKQUeLUdcxY04pv0N", 0)</f>
        <v>0</v>
      </c>
      <c r="AK86" s="124">
        <f>HYPERLINK("https://docs.google.com/spreadsheets/d/150SsEwhxwzjRsHO26EF56imoa4XgZgKV", 0)</f>
        <v>0</v>
      </c>
      <c r="AL86" s="124">
        <f>HYPERLINK("https://docs.google.com/spreadsheets/d/1NUVnNXo3NCmLocAsgiaHnzyagyDrYADg", 0)</f>
        <v>0</v>
      </c>
      <c r="AM86" s="124">
        <f>HYPERLINK("https://docs.google.com/spreadsheets/d/1QXeyk-FZ8LJuMiqWDo5Dcg4kNfBdUqQ6", 0)</f>
        <v>0</v>
      </c>
      <c r="AN86" s="119"/>
      <c r="AO86" s="120"/>
      <c r="AP86" s="124">
        <f>HYPERLINK("https://docs.google.com/spreadsheets/d/1Q7XOEt22qmh9c7hqkzHIbL-ko_auv1Cp", 0)</f>
        <v>0</v>
      </c>
      <c r="AQ86" s="125">
        <f>HYPERLINK("https://docs.google.com/spreadsheets/d/1utyMNeXIo5NHvjf2Jta8T8Vm_YAqwZQj", 0)</f>
        <v>0</v>
      </c>
      <c r="AR86" s="125">
        <f>HYPERLINK("https://docs.google.com/spreadsheets/d/1JfjjmhxkfsyG-Zc3Z1ZW2vVwF7t4AWvl", 0)</f>
        <v>0</v>
      </c>
      <c r="AS86" s="120"/>
      <c r="AT86" s="120"/>
      <c r="AU86" s="125">
        <f>HYPERLINK("https://docs.google.com/spreadsheets/d/1R7dN9saWo-q3OijBMaBcPTJ7j5o1-zQv", 1.86856666666667)</f>
        <v>1.868566667</v>
      </c>
      <c r="AV86" s="124">
        <f>HYPERLINK("https://docs.google.com/spreadsheets/d/1FlntYb5OY0WlijDL438yvigIRShdTudb", 0)</f>
        <v>0</v>
      </c>
      <c r="AW86" s="120"/>
      <c r="AX86" s="120"/>
      <c r="AY86" s="124">
        <f>HYPERLINK("https://docs.google.com/spreadsheets/d/1XAfH-E-E0PbKmvcCW50QhTD7i9RBbBvf", 0)</f>
        <v>0</v>
      </c>
      <c r="AZ86" s="120"/>
      <c r="BA86" s="120"/>
      <c r="BB86" s="120"/>
      <c r="BC86" s="120"/>
      <c r="BD86" s="120"/>
      <c r="BE86" s="120"/>
      <c r="BF86" s="120"/>
      <c r="BG86" s="120"/>
      <c r="BH86" s="120"/>
      <c r="BI86" s="120"/>
      <c r="BJ86" s="120"/>
      <c r="BK86" s="120"/>
      <c r="BL86" s="120"/>
      <c r="BM86" s="120"/>
      <c r="BN86" s="120"/>
      <c r="BO86" s="120"/>
      <c r="BP86" s="120"/>
      <c r="BQ86" s="120"/>
      <c r="BR86" s="120"/>
      <c r="BS86" s="120"/>
      <c r="BT86" s="120"/>
      <c r="BU86" s="120"/>
      <c r="BV86" s="120"/>
      <c r="BW86" s="120"/>
      <c r="BX86" s="120"/>
      <c r="BY86" s="120"/>
      <c r="BZ86" s="120"/>
      <c r="CA86" s="120"/>
      <c r="CB86" s="120"/>
      <c r="CC86" s="120"/>
      <c r="CD86" s="120"/>
      <c r="CE86" s="120"/>
      <c r="CF86" s="120"/>
      <c r="CG86" s="120"/>
      <c r="CH86" s="120"/>
      <c r="CI86" s="120"/>
      <c r="CJ86" s="120"/>
      <c r="CK86" s="120"/>
      <c r="CL86" s="120"/>
      <c r="CM86" s="120"/>
      <c r="CN86" s="120"/>
      <c r="CO86" s="120"/>
      <c r="CP86" s="120"/>
      <c r="CQ86" s="120"/>
      <c r="CR86" s="120"/>
      <c r="CS86" s="120"/>
      <c r="CT86" s="120"/>
      <c r="CU86" s="120"/>
      <c r="CV86" s="120"/>
      <c r="CW86" s="120"/>
      <c r="CX86" s="120"/>
      <c r="CY86" s="120"/>
      <c r="CZ86" s="120"/>
      <c r="DA86" s="120"/>
      <c r="DB86" s="120"/>
      <c r="DC86" s="120"/>
      <c r="DD86" s="120"/>
      <c r="DE86" s="120"/>
      <c r="DF86" s="120"/>
      <c r="DG86" s="120"/>
      <c r="DH86" s="120"/>
      <c r="DI86" s="120"/>
      <c r="DJ86" s="120"/>
      <c r="DK86" s="120"/>
      <c r="DL86" s="120"/>
      <c r="DM86" s="120"/>
      <c r="DN86" s="120"/>
      <c r="DO86" s="120"/>
      <c r="DP86" s="120"/>
      <c r="DQ86" s="120"/>
      <c r="DR86" s="120"/>
      <c r="DS86" s="120"/>
      <c r="DT86" s="120"/>
      <c r="DU86" s="120"/>
      <c r="DV86" s="120"/>
      <c r="DW86" s="120"/>
      <c r="DX86" s="120"/>
      <c r="DY86" s="120"/>
      <c r="DZ86" s="120"/>
      <c r="EA86" s="120"/>
      <c r="EB86" s="120"/>
      <c r="EC86" s="120"/>
      <c r="ED86" s="120"/>
      <c r="EE86" s="120"/>
      <c r="EF86" s="120"/>
      <c r="EG86" s="120"/>
      <c r="EH86" s="120"/>
      <c r="EI86" s="120"/>
      <c r="EJ86" s="120"/>
      <c r="EK86" s="120"/>
      <c r="EL86" s="120"/>
      <c r="EM86" s="120"/>
      <c r="EN86" s="120"/>
      <c r="EO86" s="120"/>
      <c r="EP86" s="120"/>
      <c r="EQ86" s="120"/>
      <c r="ER86" s="120"/>
      <c r="ES86" s="120"/>
      <c r="ET86" s="120"/>
      <c r="EU86" s="120"/>
      <c r="EV86" s="120"/>
      <c r="EW86" s="120"/>
      <c r="EX86" s="120"/>
      <c r="EY86" s="120"/>
    </row>
    <row r="87">
      <c r="A87" s="112" t="s">
        <v>7</v>
      </c>
      <c r="B87" s="112" t="s">
        <v>44</v>
      </c>
      <c r="C87" s="112" t="s">
        <v>409</v>
      </c>
      <c r="D87" s="113">
        <f t="shared" si="1"/>
        <v>654.79205</v>
      </c>
      <c r="E87" s="114">
        <v>64.82055</v>
      </c>
      <c r="F87" s="114"/>
      <c r="G87" s="114"/>
      <c r="H87" s="114"/>
      <c r="I87" s="114"/>
      <c r="J87" s="114"/>
      <c r="K87" s="114"/>
      <c r="L87" s="114">
        <v>1.44268333333333</v>
      </c>
      <c r="M87" s="114"/>
      <c r="N87" s="114"/>
      <c r="O87" s="114">
        <v>13.7743166666667</v>
      </c>
      <c r="P87" s="112"/>
      <c r="Q87" s="112"/>
      <c r="R87" s="112">
        <v>189.423566666667</v>
      </c>
      <c r="S87" s="112"/>
      <c r="T87" s="112"/>
      <c r="U87" s="112"/>
      <c r="V87" s="112"/>
      <c r="W87" s="112"/>
      <c r="X87" s="112">
        <v>2.27381666666667</v>
      </c>
      <c r="Y87" s="112">
        <v>58.5913666666667</v>
      </c>
      <c r="Z87" s="112"/>
      <c r="AA87" s="113"/>
      <c r="AB87" s="112"/>
      <c r="AC87" s="112"/>
      <c r="AD87" s="112"/>
      <c r="AE87" s="112">
        <v>1.76585</v>
      </c>
      <c r="AF87" s="112"/>
      <c r="AG87" s="112"/>
      <c r="AH87" s="112">
        <v>131.368233333333</v>
      </c>
      <c r="AI87" s="112"/>
      <c r="AJ87" s="112"/>
      <c r="AK87" s="112"/>
      <c r="AL87" s="113"/>
      <c r="AM87" s="112"/>
      <c r="AN87" s="112">
        <v>4.37198333333333</v>
      </c>
      <c r="AO87" s="112">
        <v>56.6596666666667</v>
      </c>
      <c r="AP87" s="112"/>
      <c r="AQ87" s="113"/>
      <c r="AR87" s="112"/>
      <c r="AS87" s="112">
        <v>8.85221666666667</v>
      </c>
      <c r="AT87" s="112">
        <v>12.2223166666667</v>
      </c>
      <c r="AU87" s="112"/>
      <c r="AV87" s="112"/>
      <c r="AW87" s="112">
        <v>1.80076666666667</v>
      </c>
      <c r="AX87" s="112">
        <v>99.1301499999999</v>
      </c>
      <c r="AY87" s="113"/>
      <c r="AZ87" s="112">
        <v>6.99083333333334</v>
      </c>
      <c r="BA87" s="112">
        <v>1.30373333333333</v>
      </c>
      <c r="BB87" s="113"/>
      <c r="BC87" s="113"/>
      <c r="BD87" s="113"/>
      <c r="BE87" s="113"/>
      <c r="BF87" s="113"/>
      <c r="BG87" s="113"/>
      <c r="BH87" s="113"/>
      <c r="BI87" s="113"/>
      <c r="BJ87" s="113"/>
      <c r="BK87" s="113"/>
      <c r="BL87" s="113"/>
      <c r="BM87" s="113"/>
      <c r="BN87" s="113"/>
      <c r="BO87" s="113"/>
      <c r="BP87" s="113"/>
      <c r="BQ87" s="113"/>
      <c r="BR87" s="113"/>
      <c r="BS87" s="113"/>
      <c r="BT87" s="113"/>
      <c r="BU87" s="113"/>
      <c r="BV87" s="113"/>
      <c r="BW87" s="113"/>
      <c r="BX87" s="113"/>
      <c r="BY87" s="113"/>
      <c r="BZ87" s="113"/>
      <c r="CA87" s="113"/>
      <c r="CB87" s="113"/>
      <c r="CC87" s="113"/>
      <c r="CD87" s="113"/>
      <c r="CE87" s="113"/>
      <c r="CF87" s="113"/>
      <c r="CG87" s="113"/>
      <c r="CH87" s="113"/>
      <c r="CI87" s="113"/>
      <c r="CJ87" s="113"/>
      <c r="CK87" s="113"/>
      <c r="CL87" s="113"/>
      <c r="CM87" s="113"/>
      <c r="CN87" s="113"/>
      <c r="CO87" s="113"/>
      <c r="CP87" s="113"/>
      <c r="CQ87" s="113"/>
      <c r="CR87" s="113"/>
      <c r="CS87" s="113"/>
      <c r="CT87" s="113"/>
      <c r="CU87" s="113"/>
      <c r="CV87" s="113"/>
      <c r="CW87" s="113"/>
      <c r="CX87" s="113"/>
      <c r="CY87" s="113"/>
      <c r="CZ87" s="113"/>
      <c r="DA87" s="113"/>
      <c r="DB87" s="113"/>
      <c r="DC87" s="113"/>
      <c r="DD87" s="113"/>
      <c r="DE87" s="113"/>
      <c r="DF87" s="113"/>
      <c r="DG87" s="113"/>
      <c r="DH87" s="113"/>
      <c r="DI87" s="113"/>
      <c r="DJ87" s="113"/>
      <c r="DK87" s="113"/>
      <c r="DL87" s="113"/>
      <c r="DM87" s="113"/>
      <c r="DN87" s="113"/>
      <c r="DO87" s="113"/>
      <c r="DP87" s="113"/>
      <c r="DQ87" s="113"/>
      <c r="DR87" s="113"/>
      <c r="DS87" s="113"/>
      <c r="DT87" s="113"/>
      <c r="DU87" s="113"/>
      <c r="DV87" s="113"/>
      <c r="DW87" s="113"/>
      <c r="DX87" s="113"/>
      <c r="DY87" s="113"/>
      <c r="DZ87" s="113"/>
      <c r="EA87" s="113"/>
      <c r="EB87" s="113"/>
      <c r="EC87" s="113"/>
      <c r="ED87" s="113"/>
      <c r="EE87" s="113"/>
      <c r="EF87" s="113"/>
      <c r="EG87" s="113"/>
      <c r="EH87" s="113"/>
      <c r="EI87" s="113"/>
      <c r="EJ87" s="113"/>
      <c r="EK87" s="113"/>
      <c r="EL87" s="113"/>
      <c r="EM87" s="113"/>
      <c r="EN87" s="113"/>
      <c r="EO87" s="113"/>
      <c r="EP87" s="113"/>
      <c r="EQ87" s="113"/>
      <c r="ER87" s="113"/>
      <c r="ES87" s="113"/>
      <c r="ET87" s="113"/>
      <c r="EU87" s="113"/>
      <c r="EV87" s="113"/>
      <c r="EW87" s="113"/>
      <c r="EX87" s="113"/>
      <c r="EY87" s="113"/>
    </row>
    <row r="88">
      <c r="A88" s="65" t="s">
        <v>7</v>
      </c>
      <c r="B88" s="65" t="s">
        <v>44</v>
      </c>
      <c r="C88" s="65" t="s">
        <v>410</v>
      </c>
      <c r="D88" s="64">
        <f t="shared" si="1"/>
        <v>680.1964</v>
      </c>
      <c r="E88" s="104"/>
      <c r="F88" s="104">
        <v>35.6271166666667</v>
      </c>
      <c r="G88" s="104">
        <v>7.77956666666667</v>
      </c>
      <c r="H88" s="104">
        <v>3.46698333333333</v>
      </c>
      <c r="I88" s="104"/>
      <c r="J88" s="104"/>
      <c r="K88" s="104">
        <v>12.5810333333333</v>
      </c>
      <c r="L88" s="104"/>
      <c r="M88" s="104">
        <v>35.6271166666667</v>
      </c>
      <c r="N88" s="104">
        <v>7.77956666666667</v>
      </c>
      <c r="O88" s="104"/>
      <c r="P88" s="65">
        <v>11.7903833333333</v>
      </c>
      <c r="Q88" s="65"/>
      <c r="R88" s="65"/>
      <c r="S88" s="65">
        <v>111.320833333333</v>
      </c>
      <c r="T88" s="65">
        <v>44.56745</v>
      </c>
      <c r="U88" s="65">
        <v>6.15993333333333</v>
      </c>
      <c r="V88" s="65">
        <v>6.16066666666667</v>
      </c>
      <c r="W88" s="65">
        <v>16.3897833333333</v>
      </c>
      <c r="X88" s="65"/>
      <c r="Y88" s="65"/>
      <c r="Z88" s="65">
        <v>35.0286166666667</v>
      </c>
      <c r="AA88" s="65">
        <v>11.5996166666667</v>
      </c>
      <c r="AB88" s="65">
        <v>3.13385</v>
      </c>
      <c r="AC88" s="65">
        <v>1.27941666666667</v>
      </c>
      <c r="AD88" s="65">
        <v>5.13868333333333</v>
      </c>
      <c r="AE88" s="65"/>
      <c r="AF88" s="65">
        <v>35.0286166666667</v>
      </c>
      <c r="AG88" s="65">
        <v>11.5996166666667</v>
      </c>
      <c r="AH88" s="65"/>
      <c r="AI88" s="65">
        <v>95.9900833333333</v>
      </c>
      <c r="AJ88" s="65">
        <v>20.9816166666667</v>
      </c>
      <c r="AK88" s="65">
        <v>4.78811666666667</v>
      </c>
      <c r="AL88" s="65">
        <v>0.46465</v>
      </c>
      <c r="AM88" s="65">
        <v>8.08836666666667</v>
      </c>
      <c r="AN88" s="65"/>
      <c r="AP88" s="65">
        <v>12.1023166666667</v>
      </c>
      <c r="AQ88" s="65">
        <v>6.03706666666667</v>
      </c>
      <c r="AR88" s="65">
        <v>25.8675333333333</v>
      </c>
      <c r="AT88" s="65"/>
      <c r="AU88" s="65">
        <v>1.79868333333333</v>
      </c>
      <c r="AV88" s="65">
        <v>7.88715</v>
      </c>
      <c r="AY88" s="65">
        <v>94.1319666666666</v>
      </c>
    </row>
    <row r="89">
      <c r="A89" s="65" t="s">
        <v>7</v>
      </c>
      <c r="B89" s="65" t="s">
        <v>44</v>
      </c>
      <c r="C89" s="65" t="s">
        <v>411</v>
      </c>
      <c r="D89" s="64">
        <f t="shared" si="1"/>
        <v>0</v>
      </c>
      <c r="E89" s="115"/>
      <c r="F89" s="115"/>
      <c r="G89" s="115"/>
      <c r="H89" s="115"/>
      <c r="I89" s="115"/>
      <c r="J89" s="115"/>
      <c r="K89" s="115"/>
      <c r="L89" s="115"/>
      <c r="M89" s="115"/>
      <c r="N89" s="115"/>
      <c r="O89" s="115"/>
    </row>
    <row r="90">
      <c r="A90" s="65" t="s">
        <v>7</v>
      </c>
      <c r="B90" s="65" t="s">
        <v>44</v>
      </c>
      <c r="C90" s="65" t="s">
        <v>412</v>
      </c>
      <c r="D90" s="64">
        <f t="shared" si="1"/>
        <v>537.3962167</v>
      </c>
      <c r="E90" s="115"/>
      <c r="F90" s="117">
        <f>HYPERLINK("https://docs.google.com/spreadsheets/d/1LJUrWTwKMMuTOUi1mUzvCkvqg9tA5-NW", 29.4699833333333)</f>
        <v>29.46998333</v>
      </c>
      <c r="G90" s="116">
        <f>HYPERLINK("https://docs.google.com/spreadsheets/d/1LwHRvqbvztjuHDkHH_8zuJvdlZYLBngU", 7.77956666666667)</f>
        <v>7.779566667</v>
      </c>
      <c r="H90" s="116">
        <f>HYPERLINK("https://docs.google.com/spreadsheets/d/1qfsmRR09vBkQfjL4WhmrargQ_u6CC7Bz", 3.46696666666667)</f>
        <v>3.466966667</v>
      </c>
      <c r="I90" s="104"/>
      <c r="J90" s="115"/>
      <c r="K90" s="117">
        <f>HYPERLINK("https://docs.google.com/spreadsheets/d/129aOuU6NU3RloKQVcy_4Md9gYXMau0Q5", 12.5810166666667)</f>
        <v>12.58101667</v>
      </c>
      <c r="L90" s="115"/>
      <c r="M90" s="104"/>
      <c r="N90" s="115"/>
      <c r="O90" s="104"/>
      <c r="P90" s="118">
        <f>HYPERLINK("https://docs.google.com/spreadsheets/d/1ZRbNyw_j-a_XzwUvv21xUIrKAE7mDF24", 11.7903666666667)</f>
        <v>11.79036667</v>
      </c>
      <c r="S90" s="118">
        <f>HYPERLINK("https://docs.google.com/spreadsheets/d/1tkKbi9JqUn3kzd5PRBREwyR9RmTSMoD5", 98.6329166666665)</f>
        <v>98.63291667</v>
      </c>
      <c r="T90" s="118">
        <f>HYPERLINK("https://docs.google.com/spreadsheets/d/179cTJe-k6aNtirb0OfWyEiSArkCBP43-", 42.5549666666667)</f>
        <v>42.55496667</v>
      </c>
      <c r="U90" s="118">
        <f>HYPERLINK("https://docs.google.com/spreadsheets/d/1vG5xKMdo_aSSgjTFgsC0s9Z0fO64BPkG", 5.94928333333333)</f>
        <v>5.949283333</v>
      </c>
      <c r="V90" s="118">
        <f>HYPERLINK("https://docs.google.com/spreadsheets/d/16SpwBS4DgMWwAz8Fh-Wk1gZXhStfF5T9", 2.79418333333333)</f>
        <v>2.794183333</v>
      </c>
      <c r="W90" s="118">
        <f>HYPERLINK("https://docs.google.com/spreadsheets/d/1WHwUDX9__SY8IOlifVUV8CFSc7HjX2sK", 16.32585)</f>
        <v>16.32585</v>
      </c>
      <c r="Z90" s="118">
        <f>HYPERLINK("https://docs.google.com/spreadsheets/d/1Gx7kQElDcz_IXi-LM5uCIrX5lI1n5Gq8", 29.8321666666667)</f>
        <v>29.83216667</v>
      </c>
      <c r="AA90" s="118">
        <f>HYPERLINK("https://docs.google.com/spreadsheets/d/1hpY_M4Vsf3KeWJD8h2HMdH7DFk8nUiZQ", 11.2731333333333)</f>
        <v>11.27313333</v>
      </c>
      <c r="AB90" s="118">
        <f>HYPERLINK("https://docs.google.com/spreadsheets/d/1BMojJf_iTSt2PMpMcj27SlC4PdSTu7Nl", 3.13385)</f>
        <v>3.13385</v>
      </c>
      <c r="AC90" s="118">
        <f>HYPERLINK("https://docs.google.com/spreadsheets/d/1DtuXK1LqSJUaI4MN9DJgVQZKFXzKKFR8", 1.17003333333333)</f>
        <v>1.170033333</v>
      </c>
      <c r="AD90" s="118">
        <f>HYPERLINK("https://docs.google.com/spreadsheets/d/1m4JP3-corZei0Vf48MFXDlLc2xw4x1Qp", 5.13868333333333)</f>
        <v>5.138683333</v>
      </c>
      <c r="AI90" s="118">
        <f>HYPERLINK("https://docs.google.com/spreadsheets/d/1vkxKnlTxyI291D8LHB-EKH9Tor237qlt", 74.6097333333333)</f>
        <v>74.60973333</v>
      </c>
      <c r="AJ90" s="118">
        <f>HYPERLINK("https://docs.google.com/spreadsheets/d/1QgdMnfFRU-ZFBhPZcdjvZtQtbl99CiyG", 20.5996166666667)</f>
        <v>20.59961667</v>
      </c>
      <c r="AK90" s="118">
        <f>HYPERLINK("https://docs.google.com/spreadsheets/d/1cNVYTdMxjJBCSTM076JKUXLgNHc5xUez", 4.7881)</f>
        <v>4.7881</v>
      </c>
      <c r="AL90" s="118">
        <f>HYPERLINK("https://docs.google.com/spreadsheets/d/1yKMU9ikaZJhOTAhpWXOgrqX6nv6SfDBy", 0.46465)</f>
        <v>0.46465</v>
      </c>
      <c r="AM90" s="118">
        <f>HYPERLINK("https://docs.google.com/spreadsheets/d/1Yf8GeC7hHI0xzcWUHwomZqMCdxlmWa-d", 8.08835)</f>
        <v>8.08835</v>
      </c>
      <c r="AP90" s="118">
        <f>HYPERLINK("https://docs.google.com/spreadsheets/d/1DTgvNHfrjMwSDtVRP2hYsqoPdHbRZf5W", 11.7301833333333)</f>
        <v>11.73018333</v>
      </c>
      <c r="AQ90" s="118">
        <f>HYPERLINK("https://docs.google.com/spreadsheets/d/1JGDdgYtFHYqHc_LZRLMtMdf5TLEGnSQ5", 5.9766)</f>
        <v>5.9766</v>
      </c>
      <c r="AR90" s="118">
        <f>HYPERLINK("https://docs.google.com/spreadsheets/d/1_ByP5l5cnVj2zgJfAV2rThjzppLMF7Rw", 25.6126166666667)</f>
        <v>25.61261667</v>
      </c>
      <c r="AU90" s="118">
        <f>HYPERLINK("https://docs.google.com/spreadsheets/d/1oOXRDfH9IxOJaReSCs1UpmhXrBm-qyps", 1.79868333333333)</f>
        <v>1.798683333</v>
      </c>
      <c r="AV90" s="118">
        <f>HYPERLINK("https://docs.google.com/spreadsheets/d/11mMrYMk4tmLsuQW1nOTgB6EAbO7b2SN3", 7.88715)</f>
        <v>7.88715</v>
      </c>
      <c r="AY90" s="118">
        <f>HYPERLINK("https://docs.google.com/spreadsheets/d/1DiBsVg6HJJWWm3Rvwl73MRgdDUPcs4X4", 93.9475666666665)</f>
        <v>93.94756667</v>
      </c>
    </row>
    <row r="91">
      <c r="A91" s="65" t="s">
        <v>7</v>
      </c>
      <c r="B91" s="65" t="s">
        <v>44</v>
      </c>
      <c r="C91" s="65" t="s">
        <v>413</v>
      </c>
      <c r="D91" s="64">
        <f t="shared" si="1"/>
        <v>437.65675</v>
      </c>
      <c r="E91" s="115"/>
      <c r="F91" s="104">
        <v>-7.105427357601E-15</v>
      </c>
      <c r="G91" s="104">
        <v>8.88178419700125E-16</v>
      </c>
      <c r="H91" s="104">
        <v>0.0</v>
      </c>
      <c r="I91" s="104"/>
      <c r="J91" s="104"/>
      <c r="K91" s="104">
        <v>12.17515</v>
      </c>
      <c r="L91" s="104"/>
      <c r="M91" s="104"/>
      <c r="N91" s="104"/>
      <c r="O91" s="104"/>
      <c r="P91" s="65">
        <v>11.7903666666667</v>
      </c>
      <c r="Q91" s="65"/>
      <c r="R91" s="65"/>
      <c r="S91" s="65">
        <v>98.0193833333332</v>
      </c>
      <c r="T91" s="65">
        <v>42.1720333333333</v>
      </c>
      <c r="U91" s="65">
        <v>0.0</v>
      </c>
      <c r="V91" s="65">
        <v>0.0</v>
      </c>
      <c r="W91" s="65">
        <v>15.5495166666667</v>
      </c>
      <c r="X91" s="65"/>
      <c r="Y91" s="65"/>
      <c r="Z91" s="65">
        <v>19.3976166666667</v>
      </c>
      <c r="AA91" s="65">
        <v>7.19135</v>
      </c>
      <c r="AB91" s="65">
        <v>4.44089209850063E-16</v>
      </c>
      <c r="AC91" s="65">
        <v>0.0</v>
      </c>
      <c r="AD91" s="65">
        <v>1.77635683940025E-15</v>
      </c>
      <c r="AE91" s="65"/>
      <c r="AF91" s="65"/>
      <c r="AG91" s="65"/>
      <c r="AH91" s="65"/>
      <c r="AI91" s="65">
        <v>73.6449833333333</v>
      </c>
      <c r="AJ91" s="65">
        <v>20.4082833333333</v>
      </c>
      <c r="AK91" s="65">
        <v>-8.88178419700125E-16</v>
      </c>
      <c r="AL91" s="65">
        <v>0.0</v>
      </c>
      <c r="AM91" s="65">
        <v>7.8696</v>
      </c>
      <c r="AN91" s="65"/>
      <c r="AP91" s="65">
        <v>11.7301833333333</v>
      </c>
      <c r="AQ91" s="65">
        <v>8.88178419700125E-16</v>
      </c>
      <c r="AR91" s="65">
        <v>24.6852666666667</v>
      </c>
      <c r="AT91" s="65"/>
      <c r="AU91" s="65">
        <v>0.0</v>
      </c>
      <c r="AV91" s="65">
        <v>-1.77635683940025E-15</v>
      </c>
      <c r="AY91" s="65">
        <v>93.0230166666665</v>
      </c>
    </row>
    <row r="92">
      <c r="A92" s="119" t="s">
        <v>7</v>
      </c>
      <c r="B92" s="119" t="s">
        <v>44</v>
      </c>
      <c r="C92" s="119" t="s">
        <v>414</v>
      </c>
      <c r="D92" s="120">
        <f t="shared" si="1"/>
        <v>1.798683333</v>
      </c>
      <c r="E92" s="121"/>
      <c r="F92" s="122">
        <f>HYPERLINK("https://docs.google.com/spreadsheets/d/1LJUrWTwKMMuTOUi1mUzvCkvqg9tA5-NW", 0)</f>
        <v>0</v>
      </c>
      <c r="G92" s="122">
        <f>HYPERLINK("https://docs.google.com/spreadsheets/d/1LwHRvqbvztjuHDkHH_8zuJvdlZYLBngU", 0)</f>
        <v>0</v>
      </c>
      <c r="H92" s="122">
        <f>HYPERLINK("https://docs.google.com/spreadsheets/d/1qfsmRR09vBkQfjL4WhmrargQ_u6CC7Bz", 0)</f>
        <v>0</v>
      </c>
      <c r="I92" s="121"/>
      <c r="J92" s="121"/>
      <c r="K92" s="122">
        <f>HYPERLINK("https://docs.google.com/spreadsheets/d/129aOuU6NU3RloKQVcy_4Md9gYXMau0Q5", 0)</f>
        <v>0</v>
      </c>
      <c r="L92" s="121"/>
      <c r="M92" s="121"/>
      <c r="N92" s="121"/>
      <c r="O92" s="121"/>
      <c r="P92" s="124">
        <f>HYPERLINK("https://docs.google.com/spreadsheets/d/1ZRbNyw_j-a_XzwUvv21xUIrKAE7mDF24", 0)</f>
        <v>0</v>
      </c>
      <c r="Q92" s="119"/>
      <c r="R92" s="119"/>
      <c r="S92" s="124">
        <f>HYPERLINK("https://docs.google.com/spreadsheets/d/1tkKbi9JqUn3kzd5PRBREwyR9RmTSMoD5", 0)</f>
        <v>0</v>
      </c>
      <c r="T92" s="125">
        <f>HYPERLINK("https://docs.google.com/spreadsheets/d/179cTJe-k6aNtirb0OfWyEiSArkCBP43-", 0)</f>
        <v>0</v>
      </c>
      <c r="U92" s="125">
        <f>HYPERLINK("https://docs.google.com/spreadsheets/d/1vG5xKMdo_aSSgjTFgsC0s9Z0fO64BPkG", 0)</f>
        <v>0</v>
      </c>
      <c r="V92" s="124">
        <f>HYPERLINK("https://docs.google.com/spreadsheets/d/16SpwBS4DgMWwAz8Fh-Wk1gZXhStfF5T9", 0)</f>
        <v>0</v>
      </c>
      <c r="W92" s="124">
        <f>HYPERLINK("https://docs.google.com/spreadsheets/d/1WHwUDX9__SY8IOlifVUV8CFSc7HjX2sK", 0)</f>
        <v>0</v>
      </c>
      <c r="X92" s="119"/>
      <c r="Y92" s="119"/>
      <c r="Z92" s="124">
        <f>HYPERLINK("https://docs.google.com/spreadsheets/d/1Gx7kQElDcz_IXi-LM5uCIrX5lI1n5Gq8", 0)</f>
        <v>0</v>
      </c>
      <c r="AA92" s="124">
        <f>HYPERLINK("https://docs.google.com/spreadsheets/d/1hpY_M4Vsf3KeWJD8h2HMdH7DFk8nUiZQ", 0)</f>
        <v>0</v>
      </c>
      <c r="AB92" s="124">
        <f>HYPERLINK("https://docs.google.com/spreadsheets/d/1BMojJf_iTSt2PMpMcj27SlC4PdSTu7Nl", 0)</f>
        <v>0</v>
      </c>
      <c r="AC92" s="124">
        <f>HYPERLINK("https://docs.google.com/spreadsheets/d/1DtuXK1LqSJUaI4MN9DJgVQZKFXzKKFR8", 0)</f>
        <v>0</v>
      </c>
      <c r="AD92" s="124">
        <f>HYPERLINK("https://docs.google.com/spreadsheets/d/1m4JP3-corZei0Vf48MFXDlLc2xw4x1Qp", 0)</f>
        <v>0</v>
      </c>
      <c r="AE92" s="119"/>
      <c r="AF92" s="119"/>
      <c r="AG92" s="119"/>
      <c r="AH92" s="119"/>
      <c r="AI92" s="125">
        <f>HYPERLINK("https://docs.google.com/spreadsheets/d/1vkxKnlTxyI291D8LHB-EKH9Tor237qlt", 0)</f>
        <v>0</v>
      </c>
      <c r="AJ92" s="124">
        <f>HYPERLINK("https://docs.google.com/spreadsheets/d/1QgdMnfFRU-ZFBhPZcdjvZtQtbl99CiyG", 0)</f>
        <v>0</v>
      </c>
      <c r="AK92" s="124">
        <f>HYPERLINK("https://docs.google.com/spreadsheets/d/1cNVYTdMxjJBCSTM076JKUXLgNHc5xUez", 0)</f>
        <v>0</v>
      </c>
      <c r="AL92" s="124">
        <f>HYPERLINK("https://docs.google.com/spreadsheets/d/1yKMU9ikaZJhOTAhpWXOgrqX6nv6SfDBy", 0)</f>
        <v>0</v>
      </c>
      <c r="AM92" s="124">
        <f>HYPERLINK("https://docs.google.com/spreadsheets/d/1Yf8GeC7hHI0xzcWUHwomZqMCdxlmWa-d", 0)</f>
        <v>0</v>
      </c>
      <c r="AN92" s="119"/>
      <c r="AO92" s="120"/>
      <c r="AP92" s="124">
        <f>HYPERLINK("https://docs.google.com/spreadsheets/d/1DTgvNHfrjMwSDtVRP2hYsqoPdHbRZf5W", 0)</f>
        <v>0</v>
      </c>
      <c r="AQ92" s="125">
        <f>HYPERLINK("https://docs.google.com/spreadsheets/d/1JGDdgYtFHYqHc_LZRLMtMdf5TLEGnSQ5", 0)</f>
        <v>0</v>
      </c>
      <c r="AR92" s="125">
        <f>HYPERLINK("https://docs.google.com/spreadsheets/d/1_ByP5l5cnVj2zgJfAV2rThjzppLMF7Rw", 0)</f>
        <v>0</v>
      </c>
      <c r="AS92" s="120"/>
      <c r="AT92" s="120"/>
      <c r="AU92" s="125">
        <f>HYPERLINK("https://docs.google.com/spreadsheets/d/1oOXRDfH9IxOJaReSCs1UpmhXrBm-qyps", 1.79868333333333)</f>
        <v>1.798683333</v>
      </c>
      <c r="AV92" s="124">
        <f>HYPERLINK("https://docs.google.com/spreadsheets/d/11mMrYMk4tmLsuQW1nOTgB6EAbO7b2SN3", 0)</f>
        <v>0</v>
      </c>
      <c r="AW92" s="120"/>
      <c r="AX92" s="120"/>
      <c r="AY92" s="124">
        <f>HYPERLINK("https://docs.google.com/spreadsheets/d/1DiBsVg6HJJWWm3Rvwl73MRgdDUPcs4X4", 0)</f>
        <v>0</v>
      </c>
      <c r="AZ92" s="120"/>
      <c r="BA92" s="120"/>
      <c r="BB92" s="120"/>
      <c r="BC92" s="120"/>
      <c r="BD92" s="120"/>
      <c r="BE92" s="120"/>
      <c r="BF92" s="120"/>
      <c r="BG92" s="120"/>
      <c r="BH92" s="120"/>
      <c r="BI92" s="120"/>
      <c r="BJ92" s="120"/>
      <c r="BK92" s="120"/>
      <c r="BL92" s="120"/>
      <c r="BM92" s="120"/>
      <c r="BN92" s="120"/>
      <c r="BO92" s="120"/>
      <c r="BP92" s="120"/>
      <c r="BQ92" s="120"/>
      <c r="BR92" s="120"/>
      <c r="BS92" s="120"/>
      <c r="BT92" s="120"/>
      <c r="BU92" s="120"/>
      <c r="BV92" s="120"/>
      <c r="BW92" s="120"/>
      <c r="BX92" s="120"/>
      <c r="BY92" s="120"/>
      <c r="BZ92" s="120"/>
      <c r="CA92" s="120"/>
      <c r="CB92" s="120"/>
      <c r="CC92" s="120"/>
      <c r="CD92" s="120"/>
      <c r="CE92" s="120"/>
      <c r="CF92" s="120"/>
      <c r="CG92" s="120"/>
      <c r="CH92" s="120"/>
      <c r="CI92" s="120"/>
      <c r="CJ92" s="120"/>
      <c r="CK92" s="120"/>
      <c r="CL92" s="120"/>
      <c r="CM92" s="120"/>
      <c r="CN92" s="120"/>
      <c r="CO92" s="120"/>
      <c r="CP92" s="120"/>
      <c r="CQ92" s="120"/>
      <c r="CR92" s="120"/>
      <c r="CS92" s="120"/>
      <c r="CT92" s="120"/>
      <c r="CU92" s="120"/>
      <c r="CV92" s="120"/>
      <c r="CW92" s="120"/>
      <c r="CX92" s="120"/>
      <c r="CY92" s="120"/>
      <c r="CZ92" s="120"/>
      <c r="DA92" s="120"/>
      <c r="DB92" s="120"/>
      <c r="DC92" s="120"/>
      <c r="DD92" s="120"/>
      <c r="DE92" s="120"/>
      <c r="DF92" s="120"/>
      <c r="DG92" s="120"/>
      <c r="DH92" s="120"/>
      <c r="DI92" s="120"/>
      <c r="DJ92" s="120"/>
      <c r="DK92" s="120"/>
      <c r="DL92" s="120"/>
      <c r="DM92" s="120"/>
      <c r="DN92" s="120"/>
      <c r="DO92" s="120"/>
      <c r="DP92" s="120"/>
      <c r="DQ92" s="120"/>
      <c r="DR92" s="120"/>
      <c r="DS92" s="120"/>
      <c r="DT92" s="120"/>
      <c r="DU92" s="120"/>
      <c r="DV92" s="120"/>
      <c r="DW92" s="120"/>
      <c r="DX92" s="120"/>
      <c r="DY92" s="120"/>
      <c r="DZ92" s="120"/>
      <c r="EA92" s="120"/>
      <c r="EB92" s="120"/>
      <c r="EC92" s="120"/>
      <c r="ED92" s="120"/>
      <c r="EE92" s="120"/>
      <c r="EF92" s="120"/>
      <c r="EG92" s="120"/>
      <c r="EH92" s="120"/>
      <c r="EI92" s="120"/>
      <c r="EJ92" s="120"/>
      <c r="EK92" s="120"/>
      <c r="EL92" s="120"/>
      <c r="EM92" s="120"/>
      <c r="EN92" s="120"/>
      <c r="EO92" s="120"/>
      <c r="EP92" s="120"/>
      <c r="EQ92" s="120"/>
      <c r="ER92" s="120"/>
      <c r="ES92" s="120"/>
      <c r="ET92" s="120"/>
      <c r="EU92" s="120"/>
      <c r="EV92" s="120"/>
      <c r="EW92" s="120"/>
      <c r="EX92" s="120"/>
      <c r="EY92" s="120"/>
    </row>
    <row r="93">
      <c r="A93" s="112" t="s">
        <v>7</v>
      </c>
      <c r="B93" s="112" t="s">
        <v>21</v>
      </c>
      <c r="C93" s="112" t="s">
        <v>409</v>
      </c>
      <c r="D93" s="113">
        <f t="shared" si="1"/>
        <v>628.249</v>
      </c>
      <c r="E93" s="114">
        <v>111.964516666667</v>
      </c>
      <c r="F93" s="114"/>
      <c r="G93" s="114"/>
      <c r="H93" s="114"/>
      <c r="I93" s="114"/>
      <c r="J93" s="114"/>
      <c r="K93" s="114"/>
      <c r="L93" s="114">
        <v>2.10333333333333</v>
      </c>
      <c r="M93" s="114"/>
      <c r="N93" s="114"/>
      <c r="O93" s="114">
        <v>40.4363833333333</v>
      </c>
      <c r="P93" s="112"/>
      <c r="Q93" s="112"/>
      <c r="R93" s="112">
        <v>178.635133333333</v>
      </c>
      <c r="S93" s="112"/>
      <c r="T93" s="112"/>
      <c r="U93" s="112"/>
      <c r="V93" s="112"/>
      <c r="W93" s="112"/>
      <c r="X93" s="112">
        <v>1.0821</v>
      </c>
      <c r="Y93" s="112">
        <v>44.9656</v>
      </c>
      <c r="Z93" s="112"/>
      <c r="AA93" s="113"/>
      <c r="AB93" s="112"/>
      <c r="AC93" s="112"/>
      <c r="AD93" s="112"/>
      <c r="AE93" s="112">
        <v>2.23275</v>
      </c>
      <c r="AF93" s="112"/>
      <c r="AG93" s="112"/>
      <c r="AH93" s="112">
        <v>71.0151166666666</v>
      </c>
      <c r="AI93" s="112"/>
      <c r="AJ93" s="112"/>
      <c r="AK93" s="112"/>
      <c r="AL93" s="113"/>
      <c r="AM93" s="112"/>
      <c r="AN93" s="112">
        <v>1.56388333333333</v>
      </c>
      <c r="AO93" s="112">
        <v>48.2637166666667</v>
      </c>
      <c r="AP93" s="112"/>
      <c r="AQ93" s="113"/>
      <c r="AR93" s="112"/>
      <c r="AS93" s="112">
        <v>6.38901666666667</v>
      </c>
      <c r="AT93" s="112">
        <v>21.14515</v>
      </c>
      <c r="AU93" s="112"/>
      <c r="AV93" s="112"/>
      <c r="AW93" s="112">
        <v>3.0528</v>
      </c>
      <c r="AX93" s="112">
        <v>86.4502833333333</v>
      </c>
      <c r="AY93" s="113"/>
      <c r="AZ93" s="112">
        <v>8.25551666666667</v>
      </c>
      <c r="BA93" s="112">
        <v>0.6937</v>
      </c>
      <c r="BB93" s="113"/>
      <c r="BC93" s="113"/>
      <c r="BD93" s="113"/>
      <c r="BE93" s="113"/>
      <c r="BF93" s="113"/>
      <c r="BG93" s="113"/>
      <c r="BH93" s="113"/>
      <c r="BI93" s="113"/>
      <c r="BJ93" s="113"/>
      <c r="BK93" s="113"/>
      <c r="BL93" s="113"/>
      <c r="BM93" s="113"/>
      <c r="BN93" s="113"/>
      <c r="BO93" s="113"/>
      <c r="BP93" s="113"/>
      <c r="BQ93" s="113"/>
      <c r="BR93" s="113"/>
      <c r="BS93" s="113"/>
      <c r="BT93" s="113"/>
      <c r="BU93" s="113"/>
      <c r="BV93" s="113"/>
      <c r="BW93" s="113"/>
      <c r="BX93" s="113"/>
      <c r="BY93" s="113"/>
      <c r="BZ93" s="113"/>
      <c r="CA93" s="113"/>
      <c r="CB93" s="113"/>
      <c r="CC93" s="113"/>
      <c r="CD93" s="113"/>
      <c r="CE93" s="113"/>
      <c r="CF93" s="113"/>
      <c r="CG93" s="113"/>
      <c r="CH93" s="113"/>
      <c r="CI93" s="113"/>
      <c r="CJ93" s="113"/>
      <c r="CK93" s="113"/>
      <c r="CL93" s="113"/>
      <c r="CM93" s="113"/>
      <c r="CN93" s="113"/>
      <c r="CO93" s="113"/>
      <c r="CP93" s="113"/>
      <c r="CQ93" s="113"/>
      <c r="CR93" s="113"/>
      <c r="CS93" s="113"/>
      <c r="CT93" s="113"/>
      <c r="CU93" s="113"/>
      <c r="CV93" s="113"/>
      <c r="CW93" s="113"/>
      <c r="CX93" s="113"/>
      <c r="CY93" s="113"/>
      <c r="CZ93" s="113"/>
      <c r="DA93" s="113"/>
      <c r="DB93" s="113"/>
      <c r="DC93" s="113"/>
      <c r="DD93" s="113"/>
      <c r="DE93" s="113"/>
      <c r="DF93" s="113"/>
      <c r="DG93" s="113"/>
      <c r="DH93" s="113"/>
      <c r="DI93" s="113"/>
      <c r="DJ93" s="113"/>
      <c r="DK93" s="113"/>
      <c r="DL93" s="113"/>
      <c r="DM93" s="113"/>
      <c r="DN93" s="113"/>
      <c r="DO93" s="113"/>
      <c r="DP93" s="113"/>
      <c r="DQ93" s="113"/>
      <c r="DR93" s="113"/>
      <c r="DS93" s="113"/>
      <c r="DT93" s="113"/>
      <c r="DU93" s="113"/>
      <c r="DV93" s="113"/>
      <c r="DW93" s="113"/>
      <c r="DX93" s="113"/>
      <c r="DY93" s="113"/>
      <c r="DZ93" s="113"/>
      <c r="EA93" s="113"/>
      <c r="EB93" s="113"/>
      <c r="EC93" s="113"/>
      <c r="ED93" s="113"/>
      <c r="EE93" s="113"/>
      <c r="EF93" s="113"/>
      <c r="EG93" s="113"/>
      <c r="EH93" s="113"/>
      <c r="EI93" s="113"/>
      <c r="EJ93" s="113"/>
      <c r="EK93" s="113"/>
      <c r="EL93" s="113"/>
      <c r="EM93" s="113"/>
      <c r="EN93" s="113"/>
      <c r="EO93" s="113"/>
      <c r="EP93" s="113"/>
      <c r="EQ93" s="113"/>
      <c r="ER93" s="113"/>
      <c r="ES93" s="113"/>
      <c r="ET93" s="113"/>
      <c r="EU93" s="113"/>
      <c r="EV93" s="113"/>
      <c r="EW93" s="113"/>
      <c r="EX93" s="113"/>
      <c r="EY93" s="113"/>
    </row>
    <row r="94">
      <c r="A94" s="65" t="s">
        <v>7</v>
      </c>
      <c r="B94" s="65" t="s">
        <v>21</v>
      </c>
      <c r="C94" s="65" t="s">
        <v>410</v>
      </c>
      <c r="D94" s="64">
        <f t="shared" si="1"/>
        <v>677.7364833</v>
      </c>
      <c r="E94" s="104"/>
      <c r="F94" s="104">
        <v>69.0719500000001</v>
      </c>
      <c r="G94" s="104">
        <v>16.1873</v>
      </c>
      <c r="H94" s="104">
        <v>2.63785</v>
      </c>
      <c r="I94" s="104">
        <v>0.356966666666667</v>
      </c>
      <c r="J94" s="104">
        <v>7.6757</v>
      </c>
      <c r="K94" s="104">
        <v>14.318</v>
      </c>
      <c r="L94" s="104"/>
      <c r="M94" s="104">
        <v>69.0719500000001</v>
      </c>
      <c r="N94" s="104">
        <v>16.1873</v>
      </c>
      <c r="O94" s="104"/>
      <c r="P94" s="65">
        <v>27.3122333333333</v>
      </c>
      <c r="Q94" s="65"/>
      <c r="R94" s="65"/>
      <c r="S94" s="65">
        <v>101.819866666667</v>
      </c>
      <c r="T94" s="65">
        <v>30.6918166666667</v>
      </c>
      <c r="U94" s="65">
        <v>2.9483</v>
      </c>
      <c r="V94" s="65">
        <v>5.32803333333333</v>
      </c>
      <c r="W94" s="65">
        <v>33.7017166666667</v>
      </c>
      <c r="X94" s="65"/>
      <c r="Y94" s="65"/>
      <c r="Z94" s="65">
        <v>11.7085666666667</v>
      </c>
      <c r="AA94" s="65">
        <v>19.1666833333333</v>
      </c>
      <c r="AB94" s="65">
        <v>1.62111666666667</v>
      </c>
      <c r="AC94" s="65">
        <v>0.244183333333333</v>
      </c>
      <c r="AD94" s="65">
        <v>10.4328333333333</v>
      </c>
      <c r="AE94" s="65"/>
      <c r="AF94" s="65">
        <v>11.7085666666667</v>
      </c>
      <c r="AG94" s="65">
        <v>19.1666833333333</v>
      </c>
      <c r="AH94" s="65"/>
      <c r="AI94" s="65">
        <v>15.0243</v>
      </c>
      <c r="AJ94" s="65">
        <v>28.9406</v>
      </c>
      <c r="AK94" s="65">
        <v>2.67338333333333</v>
      </c>
      <c r="AL94" s="65">
        <v>2.06448333333333</v>
      </c>
      <c r="AM94" s="65">
        <v>20.0724833333333</v>
      </c>
      <c r="AN94" s="65"/>
      <c r="AP94" s="65">
        <v>6.12696666666667</v>
      </c>
      <c r="AQ94" s="65">
        <v>2.32181666666667</v>
      </c>
      <c r="AR94" s="65">
        <v>32.3482</v>
      </c>
      <c r="AT94" s="65"/>
      <c r="AU94" s="65">
        <v>3.87181666666667</v>
      </c>
      <c r="AV94" s="65">
        <v>12.4155666666667</v>
      </c>
      <c r="AY94" s="65">
        <v>80.5192500000001</v>
      </c>
    </row>
    <row r="95">
      <c r="A95" s="65" t="s">
        <v>7</v>
      </c>
      <c r="B95" s="65" t="s">
        <v>21</v>
      </c>
      <c r="C95" s="65" t="s">
        <v>411</v>
      </c>
      <c r="D95" s="64">
        <f t="shared" si="1"/>
        <v>0</v>
      </c>
      <c r="E95" s="115"/>
      <c r="F95" s="115"/>
      <c r="G95" s="115"/>
      <c r="H95" s="115"/>
      <c r="I95" s="115"/>
      <c r="J95" s="115"/>
      <c r="K95" s="115"/>
      <c r="L95" s="115"/>
      <c r="M95" s="115"/>
      <c r="N95" s="115"/>
      <c r="O95" s="115"/>
    </row>
    <row r="96">
      <c r="A96" s="65" t="s">
        <v>7</v>
      </c>
      <c r="B96" s="65" t="s">
        <v>21</v>
      </c>
      <c r="C96" s="65" t="s">
        <v>412</v>
      </c>
      <c r="D96" s="64">
        <f t="shared" si="1"/>
        <v>502.8748667</v>
      </c>
      <c r="E96" s="115"/>
      <c r="F96" s="117">
        <f>HYPERLINK("https://docs.google.com/spreadsheets/d/1gVXpXCEvYp3fRE5Nz2rNtGfbycuiCsG0", 52.85035)</f>
        <v>52.85035</v>
      </c>
      <c r="G96" s="116">
        <f>HYPERLINK("https://docs.google.com/spreadsheets/d/1ItchB4LZwGT8R6iFeEdaaCJ_gJEC7gNE", 16.1872833333333)</f>
        <v>16.18728333</v>
      </c>
      <c r="H96" s="116">
        <f>HYPERLINK("https://docs.google.com/spreadsheets/d/1TSPaam7tgA6eM9GwfD_QSBBBNE9SzvU1", 2.63785)</f>
        <v>2.63785</v>
      </c>
      <c r="I96" s="117">
        <f>HYPERLINK("https://docs.google.com/spreadsheets/d/1FCsH9yuEq2UpO20oQfHRDxi0qtw0Vjin", 0.356966666666667)</f>
        <v>0.3569666667</v>
      </c>
      <c r="J96" s="116">
        <f>HYPERLINK("https://docs.google.com/spreadsheets/d/1K70WcQsJMlilb4MuSwsocaLXaWmKwEc2", 3.73916666666667)</f>
        <v>3.739166667</v>
      </c>
      <c r="K96" s="117">
        <f>HYPERLINK("https://docs.google.com/spreadsheets/d/1NuCKnIITSY3kMJvkyfbAssfC4lrR0N8n", 14.1348333333333)</f>
        <v>14.13483333</v>
      </c>
      <c r="L96" s="115"/>
      <c r="M96" s="104"/>
      <c r="N96" s="115"/>
      <c r="O96" s="104"/>
      <c r="P96" s="118">
        <f>HYPERLINK("https://docs.google.com/spreadsheets/d/13PQQMu7lwwMX6ZRotfEf2Vr44zOxwW8J", 27.3121833333333)</f>
        <v>27.31218333</v>
      </c>
      <c r="S96" s="118">
        <f>HYPERLINK("https://docs.google.com/spreadsheets/d/1RJTRDxZ0yM0WH4wAzxf51buG4iw7XGN0", 70.9557166666668)</f>
        <v>70.95571667</v>
      </c>
      <c r="T96" s="118">
        <f>HYPERLINK("https://docs.google.com/spreadsheets/d/1iE2qlmyt-SiAbxZYsN3lLn5LbNvyoWuG", 30.6917666666667)</f>
        <v>30.69176667</v>
      </c>
      <c r="U96" s="118">
        <f>HYPERLINK("https://docs.google.com/spreadsheets/d/1yTcRca9N6x6OQn7rzSZqA5Q1dcXm7vcF", 2.56578333333333)</f>
        <v>2.565783333</v>
      </c>
      <c r="V96" s="118">
        <f>HYPERLINK("https://docs.google.com/spreadsheets/d/1Njbbxe722VZgXViXPPuPnuWPlbDestuL", 1.62563333333333)</f>
        <v>1.625633333</v>
      </c>
      <c r="W96" s="118">
        <f>HYPERLINK("https://docs.google.com/spreadsheets/d/1VEX89-KL5KjLNb3MIHPNsGeNh5OmgRA_", 33.7017166666667)</f>
        <v>33.70171667</v>
      </c>
      <c r="Z96" s="118">
        <f>HYPERLINK("https://docs.google.com/spreadsheets/d/1VmiPZBRzhvU1nThiR6uoDlucIxJZM9au", 10.7938666666667)</f>
        <v>10.79386667</v>
      </c>
      <c r="AA96" s="118">
        <f>HYPERLINK("https://docs.google.com/spreadsheets/d/1pzvGWQAR-FM9lIct658JyFVDy_TepYFt", 19.1666666666667)</f>
        <v>19.16666667</v>
      </c>
      <c r="AB96" s="118">
        <f>HYPERLINK("https://docs.google.com/spreadsheets/d/1zPMmbc1Q6EBeDI9KBcx-ECZYiNl-jEJi", 1.62111666666667)</f>
        <v>1.621116667</v>
      </c>
      <c r="AC96" s="118">
        <f>HYPERLINK("https://docs.google.com/spreadsheets/d/1Z0PX-u0F5MohvuTJHHZt-SpjlTpQjL_D", 0)</f>
        <v>0</v>
      </c>
      <c r="AD96" s="118">
        <f>HYPERLINK("https://docs.google.com/spreadsheets/d/1B-mp0D2QjrxQ0qnGq313YjF-cc9X4-IY", 10.4328333333333)</f>
        <v>10.43283333</v>
      </c>
      <c r="AI96" s="118">
        <f>HYPERLINK("https://docs.google.com/spreadsheets/d/1VONALQ8ScCeKKI6KZo8oZ53Ewg9CnopC", 14.1629166666667)</f>
        <v>14.16291667</v>
      </c>
      <c r="AJ96" s="118">
        <f>HYPERLINK("https://docs.google.com/spreadsheets/d/1v7pm_frTwmZyZ9ZUe20uiEpVGtenKym7", 28.9405833333333)</f>
        <v>28.94058333</v>
      </c>
      <c r="AK96" s="118">
        <f>HYPERLINK("https://docs.google.com/spreadsheets/d/1G8GPLOJCXvkOHvOzb_8ZGtrIS-od8dI8", 2.67338333333333)</f>
        <v>2.673383333</v>
      </c>
      <c r="AL96" s="118">
        <f>HYPERLINK("https://docs.google.com/spreadsheets/d/1Z-4YSuZ7AJHuJVyockeMvKzsyKXCwPg3", 1.89191666666667)</f>
        <v>1.891916667</v>
      </c>
      <c r="AM96" s="118">
        <f>HYPERLINK("https://docs.google.com/spreadsheets/d/1kSF4ifw5E-rfs3rWZOb5zCv4dFghjYyw", 19.9186166666667)</f>
        <v>19.91861667</v>
      </c>
      <c r="AP96" s="118">
        <f>HYPERLINK("https://docs.google.com/spreadsheets/d/1vQbJ8hwT6MEXdAQu94CFZLMizlQe1-Zr", 5.89113333333333)</f>
        <v>5.891133333</v>
      </c>
      <c r="AQ96" s="118">
        <f>HYPERLINK("https://docs.google.com/spreadsheets/d/1qZfm-gRrbM-0xutQRSvKPt059pfRUMqc", 2.24273333333333)</f>
        <v>2.242733333</v>
      </c>
      <c r="AR96" s="118">
        <f>HYPERLINK("https://docs.google.com/spreadsheets/d/1L1Fiqi3pt955bzNkyvDpYqFg4kv4R-7r", 32.0238833333334)</f>
        <v>32.02388333</v>
      </c>
      <c r="AU96" s="118">
        <f>HYPERLINK("https://docs.google.com/spreadsheets/d/11DjKnmy8cXnwg2ikcB3OpaHJEeWUomvV", 3.8718)</f>
        <v>3.8718</v>
      </c>
      <c r="AV96" s="118">
        <f>HYPERLINK("https://docs.google.com/spreadsheets/d/1lmkfBx-1acpK2l8bYQ5UmoBp71G33-D0", 12.4155666666667)</f>
        <v>12.41556667</v>
      </c>
      <c r="AY96" s="118">
        <f>HYPERLINK("https://docs.google.com/spreadsheets/d/1JtwwQv191ySNunKa8xjyvD-6B8iRhAPq", 80.0686)</f>
        <v>80.0686</v>
      </c>
    </row>
    <row r="97">
      <c r="A97" s="65" t="s">
        <v>7</v>
      </c>
      <c r="B97" s="65" t="s">
        <v>21</v>
      </c>
      <c r="C97" s="65" t="s">
        <v>413</v>
      </c>
      <c r="D97" s="64">
        <f t="shared" si="1"/>
        <v>394.30485</v>
      </c>
      <c r="E97" s="115"/>
      <c r="F97" s="104">
        <v>3.68040000000003</v>
      </c>
      <c r="G97" s="104">
        <v>0.0</v>
      </c>
      <c r="H97" s="104">
        <v>0.202233333333333</v>
      </c>
      <c r="I97" s="104">
        <v>0.0</v>
      </c>
      <c r="J97" s="104">
        <v>2.73505</v>
      </c>
      <c r="K97" s="104">
        <v>13.8572666666667</v>
      </c>
      <c r="L97" s="104"/>
      <c r="M97" s="104"/>
      <c r="N97" s="104"/>
      <c r="O97" s="104"/>
      <c r="P97" s="65">
        <v>27.3121833333333</v>
      </c>
      <c r="Q97" s="65"/>
      <c r="R97" s="65"/>
      <c r="S97" s="65">
        <v>70.9557166666668</v>
      </c>
      <c r="T97" s="65">
        <v>30.6917666666667</v>
      </c>
      <c r="U97" s="65">
        <v>4.44089209850063E-16</v>
      </c>
      <c r="V97" s="65">
        <v>0.297916666666667</v>
      </c>
      <c r="W97" s="65">
        <v>33.7017166666667</v>
      </c>
      <c r="X97" s="65"/>
      <c r="Y97" s="65"/>
      <c r="Z97" s="65">
        <v>6.95768333333333</v>
      </c>
      <c r="AA97" s="65">
        <v>14.2689833333333</v>
      </c>
      <c r="AB97" s="65">
        <v>0.1673</v>
      </c>
      <c r="AC97" s="65">
        <v>0.0</v>
      </c>
      <c r="AD97" s="65">
        <v>3.83231666666666</v>
      </c>
      <c r="AE97" s="65"/>
      <c r="AF97" s="65"/>
      <c r="AG97" s="65"/>
      <c r="AH97" s="65"/>
      <c r="AI97" s="65">
        <v>14.1629166666667</v>
      </c>
      <c r="AJ97" s="65">
        <v>28.9405833333333</v>
      </c>
      <c r="AK97" s="65">
        <v>0.28255</v>
      </c>
      <c r="AL97" s="65">
        <v>0.172666666666667</v>
      </c>
      <c r="AM97" s="65">
        <v>19.9186166666667</v>
      </c>
      <c r="AN97" s="65"/>
      <c r="AP97" s="65">
        <v>5.89113333333333</v>
      </c>
      <c r="AQ97" s="65">
        <v>0.103583333333333</v>
      </c>
      <c r="AR97" s="65">
        <v>32.0238833333334</v>
      </c>
      <c r="AT97" s="65"/>
      <c r="AU97" s="65">
        <v>0.330749999999999</v>
      </c>
      <c r="AV97" s="65">
        <v>3.74903333333334</v>
      </c>
      <c r="AY97" s="65">
        <v>80.0686</v>
      </c>
    </row>
    <row r="98">
      <c r="A98" s="119" t="s">
        <v>7</v>
      </c>
      <c r="B98" s="119" t="s">
        <v>21</v>
      </c>
      <c r="C98" s="119" t="s">
        <v>414</v>
      </c>
      <c r="D98" s="120">
        <f t="shared" si="1"/>
        <v>3.8718</v>
      </c>
      <c r="E98" s="121"/>
      <c r="F98" s="122">
        <f>HYPERLINK("https://docs.google.com/spreadsheets/d/1gVXpXCEvYp3fRE5Nz2rNtGfbycuiCsG0", 0)</f>
        <v>0</v>
      </c>
      <c r="G98" s="122">
        <f>HYPERLINK("https://docs.google.com/spreadsheets/d/1ItchB4LZwGT8R6iFeEdaaCJ_gJEC7gNE", 0)</f>
        <v>0</v>
      </c>
      <c r="H98" s="122">
        <f>HYPERLINK("https://docs.google.com/spreadsheets/d/1TSPaam7tgA6eM9GwfD_QSBBBNE9SzvU1", 0)</f>
        <v>0</v>
      </c>
      <c r="I98" s="122">
        <f>HYPERLINK("https://docs.google.com/spreadsheets/d/1FCsH9yuEq2UpO20oQfHRDxi0qtw0Vjin", 0)</f>
        <v>0</v>
      </c>
      <c r="J98" s="122">
        <f>HYPERLINK("https://docs.google.com/spreadsheets/d/1K70WcQsJMlilb4MuSwsocaLXaWmKwEc2", 0)</f>
        <v>0</v>
      </c>
      <c r="K98" s="122">
        <f>HYPERLINK("https://docs.google.com/spreadsheets/d/1NuCKnIITSY3kMJvkyfbAssfC4lrR0N8n", 0)</f>
        <v>0</v>
      </c>
      <c r="L98" s="121"/>
      <c r="M98" s="121"/>
      <c r="N98" s="121"/>
      <c r="O98" s="121"/>
      <c r="P98" s="124">
        <f>HYPERLINK("https://docs.google.com/spreadsheets/d/13PQQMu7lwwMX6ZRotfEf2Vr44zOxwW8J", 0)</f>
        <v>0</v>
      </c>
      <c r="Q98" s="120"/>
      <c r="R98" s="120"/>
      <c r="S98" s="124">
        <f>HYPERLINK("https://docs.google.com/spreadsheets/d/1RJTRDxZ0yM0WH4wAzxf51buG4iw7XGN0", 0)</f>
        <v>0</v>
      </c>
      <c r="T98" s="125">
        <f>HYPERLINK("https://docs.google.com/spreadsheets/d/1iE2qlmyt-SiAbxZYsN3lLn5LbNvyoWuG", 0)</f>
        <v>0</v>
      </c>
      <c r="U98" s="124">
        <f>HYPERLINK("https://docs.google.com/spreadsheets/d/1yTcRca9N6x6OQn7rzSZqA5Q1dcXm7vcF", 0)</f>
        <v>0</v>
      </c>
      <c r="V98" s="124">
        <f>HYPERLINK("https://docs.google.com/spreadsheets/d/1Njbbxe722VZgXViXPPuPnuWPlbDestuL", 0)</f>
        <v>0</v>
      </c>
      <c r="W98" s="124">
        <f>HYPERLINK("https://docs.google.com/spreadsheets/d/1VEX89-KL5KjLNb3MIHPNsGeNh5OmgRA_", 0)</f>
        <v>0</v>
      </c>
      <c r="X98" s="119"/>
      <c r="Y98" s="119"/>
      <c r="Z98" s="125">
        <f>HYPERLINK("https://docs.google.com/spreadsheets/d/1VmiPZBRzhvU1nThiR6uoDlucIxJZM9au", 0)</f>
        <v>0</v>
      </c>
      <c r="AA98" s="124">
        <f>HYPERLINK("https://docs.google.com/spreadsheets/d/1pzvGWQAR-FM9lIct658JyFVDy_TepYFt", 0)</f>
        <v>0</v>
      </c>
      <c r="AB98" s="124">
        <f>HYPERLINK("https://docs.google.com/spreadsheets/d/1zPMmbc1Q6EBeDI9KBcx-ECZYiNl-jEJi", 0)</f>
        <v>0</v>
      </c>
      <c r="AC98" s="124">
        <f>HYPERLINK("https://docs.google.com/spreadsheets/d/1Z0PX-u0F5MohvuTJHHZt-SpjlTpQjL_D", 0)</f>
        <v>0</v>
      </c>
      <c r="AD98" s="124">
        <f>HYPERLINK("https://docs.google.com/spreadsheets/d/1B-mp0D2QjrxQ0qnGq313YjF-cc9X4-IY", 0)</f>
        <v>0</v>
      </c>
      <c r="AE98" s="119"/>
      <c r="AF98" s="120"/>
      <c r="AG98" s="119"/>
      <c r="AH98" s="119"/>
      <c r="AI98" s="124">
        <f>HYPERLINK("https://docs.google.com/spreadsheets/d/1VONALQ8ScCeKKI6KZo8oZ53Ewg9CnopC", 0)</f>
        <v>0</v>
      </c>
      <c r="AJ98" s="124">
        <f>HYPERLINK("https://docs.google.com/spreadsheets/d/1v7pm_frTwmZyZ9ZUe20uiEpVGtenKym7", 0)</f>
        <v>0</v>
      </c>
      <c r="AK98" s="124">
        <f>HYPERLINK("https://docs.google.com/spreadsheets/d/1G8GPLOJCXvkOHvOzb_8ZGtrIS-od8dI8", 0)</f>
        <v>0</v>
      </c>
      <c r="AL98" s="124">
        <f>HYPERLINK("https://docs.google.com/spreadsheets/d/1Z-4YSuZ7AJHuJVyockeMvKzsyKXCwPg3", 0)</f>
        <v>0</v>
      </c>
      <c r="AM98" s="124">
        <f>HYPERLINK("https://docs.google.com/spreadsheets/d/1kSF4ifw5E-rfs3rWZOb5zCv4dFghjYyw", 0)</f>
        <v>0</v>
      </c>
      <c r="AN98" s="120"/>
      <c r="AO98" s="120"/>
      <c r="AP98" s="124">
        <f>HYPERLINK("https://docs.google.com/spreadsheets/d/1vQbJ8hwT6MEXdAQu94CFZLMizlQe1-Zr", 0)</f>
        <v>0</v>
      </c>
      <c r="AQ98" s="125">
        <f>HYPERLINK("https://docs.google.com/spreadsheets/d/1qZfm-gRrbM-0xutQRSvKPt059pfRUMqc", 0)</f>
        <v>0</v>
      </c>
      <c r="AR98" s="125">
        <f>HYPERLINK("https://docs.google.com/spreadsheets/d/1L1Fiqi3pt955bzNkyvDpYqFg4kv4R-7r", 0)</f>
        <v>0</v>
      </c>
      <c r="AS98" s="120"/>
      <c r="AT98" s="120"/>
      <c r="AU98" s="124">
        <f>HYPERLINK("https://docs.google.com/spreadsheets/d/11DjKnmy8cXnwg2ikcB3OpaHJEeWUomvV", 3.8718)</f>
        <v>3.8718</v>
      </c>
      <c r="AV98" s="124">
        <f>HYPERLINK("https://docs.google.com/spreadsheets/d/1lmkfBx-1acpK2l8bYQ5UmoBp71G33-D0", 0)</f>
        <v>0</v>
      </c>
      <c r="AW98" s="120"/>
      <c r="AX98" s="120"/>
      <c r="AY98" s="124">
        <f>HYPERLINK("https://docs.google.com/spreadsheets/d/1JtwwQv191ySNunKa8xjyvD-6B8iRhAPq", 0)</f>
        <v>0</v>
      </c>
      <c r="AZ98" s="120"/>
      <c r="BA98" s="120"/>
      <c r="BB98" s="120"/>
      <c r="BC98" s="120"/>
      <c r="BD98" s="120"/>
      <c r="BE98" s="120"/>
      <c r="BF98" s="120"/>
      <c r="BG98" s="120"/>
      <c r="BH98" s="120"/>
      <c r="BI98" s="120"/>
      <c r="BJ98" s="120"/>
      <c r="BK98" s="120"/>
      <c r="BL98" s="120"/>
      <c r="BM98" s="120"/>
      <c r="BN98" s="120"/>
      <c r="BO98" s="120"/>
      <c r="BP98" s="120"/>
      <c r="BQ98" s="120"/>
      <c r="BR98" s="120"/>
      <c r="BS98" s="120"/>
      <c r="BT98" s="120"/>
      <c r="BU98" s="120"/>
      <c r="BV98" s="120"/>
      <c r="BW98" s="120"/>
      <c r="BX98" s="120"/>
      <c r="BY98" s="120"/>
      <c r="BZ98" s="120"/>
      <c r="CA98" s="120"/>
      <c r="CB98" s="120"/>
      <c r="CC98" s="120"/>
      <c r="CD98" s="120"/>
      <c r="CE98" s="120"/>
      <c r="CF98" s="120"/>
      <c r="CG98" s="120"/>
      <c r="CH98" s="120"/>
      <c r="CI98" s="120"/>
      <c r="CJ98" s="120"/>
      <c r="CK98" s="120"/>
      <c r="CL98" s="120"/>
      <c r="CM98" s="120"/>
      <c r="CN98" s="120"/>
      <c r="CO98" s="120"/>
      <c r="CP98" s="120"/>
      <c r="CQ98" s="120"/>
      <c r="CR98" s="120"/>
      <c r="CS98" s="120"/>
      <c r="CT98" s="120"/>
      <c r="CU98" s="120"/>
      <c r="CV98" s="120"/>
      <c r="CW98" s="120"/>
      <c r="CX98" s="120"/>
      <c r="CY98" s="120"/>
      <c r="CZ98" s="120"/>
      <c r="DA98" s="120"/>
      <c r="DB98" s="120"/>
      <c r="DC98" s="120"/>
      <c r="DD98" s="120"/>
      <c r="DE98" s="120"/>
      <c r="DF98" s="120"/>
      <c r="DG98" s="120"/>
      <c r="DH98" s="120"/>
      <c r="DI98" s="120"/>
      <c r="DJ98" s="120"/>
      <c r="DK98" s="120"/>
      <c r="DL98" s="120"/>
      <c r="DM98" s="120"/>
      <c r="DN98" s="120"/>
      <c r="DO98" s="120"/>
      <c r="DP98" s="120"/>
      <c r="DQ98" s="120"/>
      <c r="DR98" s="120"/>
      <c r="DS98" s="120"/>
      <c r="DT98" s="120"/>
      <c r="DU98" s="120"/>
      <c r="DV98" s="120"/>
      <c r="DW98" s="120"/>
      <c r="DX98" s="120"/>
      <c r="DY98" s="120"/>
      <c r="DZ98" s="120"/>
      <c r="EA98" s="120"/>
      <c r="EB98" s="120"/>
      <c r="EC98" s="120"/>
      <c r="ED98" s="120"/>
      <c r="EE98" s="120"/>
      <c r="EF98" s="120"/>
      <c r="EG98" s="120"/>
      <c r="EH98" s="120"/>
      <c r="EI98" s="120"/>
      <c r="EJ98" s="120"/>
      <c r="EK98" s="120"/>
      <c r="EL98" s="120"/>
      <c r="EM98" s="120"/>
      <c r="EN98" s="120"/>
      <c r="EO98" s="120"/>
      <c r="EP98" s="120"/>
      <c r="EQ98" s="120"/>
      <c r="ER98" s="120"/>
      <c r="ES98" s="120"/>
      <c r="ET98" s="120"/>
      <c r="EU98" s="120"/>
      <c r="EV98" s="120"/>
      <c r="EW98" s="120"/>
      <c r="EX98" s="120"/>
      <c r="EY98" s="120"/>
    </row>
    <row r="99">
      <c r="A99" s="112" t="s">
        <v>7</v>
      </c>
      <c r="B99" s="112" t="s">
        <v>31</v>
      </c>
      <c r="C99" s="112" t="s">
        <v>409</v>
      </c>
      <c r="D99" s="113">
        <f t="shared" si="1"/>
        <v>553.07445</v>
      </c>
      <c r="E99" s="114">
        <v>52.7495</v>
      </c>
      <c r="F99" s="114"/>
      <c r="G99" s="114"/>
      <c r="H99" s="114"/>
      <c r="I99" s="114"/>
      <c r="J99" s="114"/>
      <c r="K99" s="114"/>
      <c r="L99" s="114">
        <v>0.673733333333333</v>
      </c>
      <c r="M99" s="114"/>
      <c r="N99" s="114"/>
      <c r="O99" s="114">
        <v>10.08265</v>
      </c>
      <c r="P99" s="112"/>
      <c r="Q99" s="112">
        <v>0.112266666666667</v>
      </c>
      <c r="R99" s="112">
        <v>169.192783333333</v>
      </c>
      <c r="S99" s="112"/>
      <c r="T99" s="112"/>
      <c r="U99" s="112"/>
      <c r="V99" s="112"/>
      <c r="W99" s="112"/>
      <c r="X99" s="112">
        <v>1.4702</v>
      </c>
      <c r="Y99" s="112">
        <v>55.94625</v>
      </c>
      <c r="Z99" s="112"/>
      <c r="AA99" s="113"/>
      <c r="AB99" s="112"/>
      <c r="AC99" s="112"/>
      <c r="AD99" s="112"/>
      <c r="AE99" s="112">
        <v>1.64188333333333</v>
      </c>
      <c r="AF99" s="112"/>
      <c r="AG99" s="112"/>
      <c r="AH99" s="112">
        <v>92.64625</v>
      </c>
      <c r="AI99" s="112"/>
      <c r="AJ99" s="112"/>
      <c r="AK99" s="112"/>
      <c r="AL99" s="113"/>
      <c r="AM99" s="112"/>
      <c r="AN99" s="112">
        <v>3.3555</v>
      </c>
      <c r="AO99" s="112">
        <v>40.51</v>
      </c>
      <c r="AP99" s="112"/>
      <c r="AQ99" s="113"/>
      <c r="AR99" s="112"/>
      <c r="AS99" s="112">
        <v>6.85601666666667</v>
      </c>
      <c r="AT99" s="112">
        <v>15.8505166666667</v>
      </c>
      <c r="AU99" s="112"/>
      <c r="AV99" s="112"/>
      <c r="AW99" s="112">
        <v>3.02788333333333</v>
      </c>
      <c r="AX99" s="112">
        <v>91.3041333333333</v>
      </c>
      <c r="AY99" s="113"/>
      <c r="AZ99" s="112">
        <v>7.23743333333333</v>
      </c>
      <c r="BA99" s="112">
        <v>0.41745</v>
      </c>
      <c r="BB99" s="113"/>
      <c r="BC99" s="113"/>
      <c r="BD99" s="113"/>
      <c r="BE99" s="113"/>
      <c r="BF99" s="113"/>
      <c r="BG99" s="113"/>
      <c r="BH99" s="113"/>
      <c r="BI99" s="113"/>
      <c r="BJ99" s="113"/>
      <c r="BK99" s="113"/>
      <c r="BL99" s="113"/>
      <c r="BM99" s="113"/>
      <c r="BN99" s="113"/>
      <c r="BO99" s="113"/>
      <c r="BP99" s="113"/>
      <c r="BQ99" s="113"/>
      <c r="BR99" s="113"/>
      <c r="BS99" s="113"/>
      <c r="BT99" s="113"/>
      <c r="BU99" s="113"/>
      <c r="BV99" s="113"/>
      <c r="BW99" s="113"/>
      <c r="BX99" s="113"/>
      <c r="BY99" s="113"/>
      <c r="BZ99" s="113"/>
      <c r="CA99" s="113"/>
      <c r="CB99" s="113"/>
      <c r="CC99" s="113"/>
      <c r="CD99" s="113"/>
      <c r="CE99" s="113"/>
      <c r="CF99" s="113"/>
      <c r="CG99" s="113"/>
      <c r="CH99" s="113"/>
      <c r="CI99" s="113"/>
      <c r="CJ99" s="113"/>
      <c r="CK99" s="113"/>
      <c r="CL99" s="113"/>
      <c r="CM99" s="113"/>
      <c r="CN99" s="113"/>
      <c r="CO99" s="113"/>
      <c r="CP99" s="113"/>
      <c r="CQ99" s="113"/>
      <c r="CR99" s="113"/>
      <c r="CS99" s="113"/>
      <c r="CT99" s="113"/>
      <c r="CU99" s="113"/>
      <c r="CV99" s="113"/>
      <c r="CW99" s="113"/>
      <c r="CX99" s="113"/>
      <c r="CY99" s="113"/>
      <c r="CZ99" s="113"/>
      <c r="DA99" s="113"/>
      <c r="DB99" s="113"/>
      <c r="DC99" s="113"/>
      <c r="DD99" s="113"/>
      <c r="DE99" s="113"/>
      <c r="DF99" s="113"/>
      <c r="DG99" s="113"/>
      <c r="DH99" s="113"/>
      <c r="DI99" s="113"/>
      <c r="DJ99" s="113"/>
      <c r="DK99" s="113"/>
      <c r="DL99" s="113"/>
      <c r="DM99" s="113"/>
      <c r="DN99" s="113"/>
      <c r="DO99" s="113"/>
      <c r="DP99" s="113"/>
      <c r="DQ99" s="113"/>
      <c r="DR99" s="113"/>
      <c r="DS99" s="113"/>
      <c r="DT99" s="113"/>
      <c r="DU99" s="113"/>
      <c r="DV99" s="113"/>
      <c r="DW99" s="113"/>
      <c r="DX99" s="113"/>
      <c r="DY99" s="113"/>
      <c r="DZ99" s="113"/>
      <c r="EA99" s="113"/>
      <c r="EB99" s="113"/>
      <c r="EC99" s="113"/>
      <c r="ED99" s="113"/>
      <c r="EE99" s="113"/>
      <c r="EF99" s="113"/>
      <c r="EG99" s="113"/>
      <c r="EH99" s="113"/>
      <c r="EI99" s="113"/>
      <c r="EJ99" s="113"/>
      <c r="EK99" s="113"/>
      <c r="EL99" s="113"/>
      <c r="EM99" s="113"/>
      <c r="EN99" s="113"/>
      <c r="EO99" s="113"/>
      <c r="EP99" s="113"/>
      <c r="EQ99" s="113"/>
      <c r="ER99" s="113"/>
      <c r="ES99" s="113"/>
      <c r="ET99" s="113"/>
      <c r="EU99" s="113"/>
      <c r="EV99" s="113"/>
      <c r="EW99" s="113"/>
      <c r="EX99" s="113"/>
      <c r="EY99" s="113"/>
    </row>
    <row r="100">
      <c r="A100" s="65" t="s">
        <v>7</v>
      </c>
      <c r="B100" s="65" t="s">
        <v>31</v>
      </c>
      <c r="C100" s="65" t="s">
        <v>410</v>
      </c>
      <c r="D100" s="64">
        <f t="shared" si="1"/>
        <v>578.5723833</v>
      </c>
      <c r="E100" s="115"/>
      <c r="F100" s="104">
        <v>26.0950666666667</v>
      </c>
      <c r="G100" s="104">
        <v>9.5195</v>
      </c>
      <c r="H100" s="104">
        <v>2.30841666666667</v>
      </c>
      <c r="I100" s="104"/>
      <c r="J100" s="104">
        <v>4.66743333333333</v>
      </c>
      <c r="K100" s="104">
        <v>7.22333333333333</v>
      </c>
      <c r="L100" s="104"/>
      <c r="M100" s="104">
        <v>26.0950666666667</v>
      </c>
      <c r="N100" s="104">
        <v>9.5195</v>
      </c>
      <c r="O100" s="104"/>
      <c r="P100" s="65">
        <v>7.44413333333333</v>
      </c>
      <c r="Q100" s="65"/>
      <c r="R100" s="65"/>
      <c r="S100" s="65">
        <v>86.4661000000001</v>
      </c>
      <c r="T100" s="65">
        <v>56.3677333333333</v>
      </c>
      <c r="U100" s="65">
        <v>3.49276666666667</v>
      </c>
      <c r="V100" s="65">
        <v>4.26048333333333</v>
      </c>
      <c r="W100" s="65">
        <v>10.5904166666667</v>
      </c>
      <c r="X100" s="65"/>
      <c r="Y100" s="65"/>
      <c r="Z100" s="65">
        <v>27.0378</v>
      </c>
      <c r="AA100" s="65">
        <v>23.4204333333333</v>
      </c>
      <c r="AB100" s="65">
        <v>1.21193333333333</v>
      </c>
      <c r="AC100" s="65">
        <v>0.806566666666667</v>
      </c>
      <c r="AD100" s="65">
        <v>2.03375</v>
      </c>
      <c r="AE100" s="65"/>
      <c r="AF100" s="65">
        <v>27.0378</v>
      </c>
      <c r="AG100" s="65">
        <v>23.4204333333333</v>
      </c>
      <c r="AH100" s="65"/>
      <c r="AI100" s="65">
        <v>36.2376333333333</v>
      </c>
      <c r="AJ100" s="65">
        <v>49.4883</v>
      </c>
      <c r="AK100" s="65">
        <v>2.66663333333333</v>
      </c>
      <c r="AL100" s="65">
        <v>0.141466666666667</v>
      </c>
      <c r="AM100" s="65">
        <v>3.35503333333333</v>
      </c>
      <c r="AN100" s="65"/>
      <c r="AP100" s="65">
        <v>6.5563</v>
      </c>
      <c r="AQ100" s="65">
        <v>3.66896666666667</v>
      </c>
      <c r="AR100" s="65">
        <v>18.8083833333333</v>
      </c>
      <c r="AT100" s="65"/>
      <c r="AU100" s="65">
        <v>3.25355</v>
      </c>
      <c r="AV100" s="65">
        <v>8.46708333333333</v>
      </c>
      <c r="AY100" s="65">
        <v>86.9103666666666</v>
      </c>
    </row>
    <row r="101">
      <c r="A101" s="65" t="s">
        <v>7</v>
      </c>
      <c r="B101" s="65" t="s">
        <v>31</v>
      </c>
      <c r="C101" s="65" t="s">
        <v>411</v>
      </c>
      <c r="D101" s="64">
        <f t="shared" si="1"/>
        <v>0</v>
      </c>
      <c r="E101" s="115"/>
      <c r="F101" s="115"/>
      <c r="G101" s="115"/>
      <c r="H101" s="115"/>
      <c r="I101" s="115"/>
      <c r="J101" s="115"/>
      <c r="K101" s="115"/>
      <c r="L101" s="115"/>
      <c r="M101" s="115"/>
      <c r="N101" s="115"/>
      <c r="O101" s="115"/>
    </row>
    <row r="102">
      <c r="A102" s="65" t="s">
        <v>7</v>
      </c>
      <c r="B102" s="65" t="s">
        <v>31</v>
      </c>
      <c r="C102" s="65" t="s">
        <v>412</v>
      </c>
      <c r="D102" s="64">
        <f t="shared" si="1"/>
        <v>463.09475</v>
      </c>
      <c r="E102" s="115"/>
      <c r="F102" s="116">
        <f>HYPERLINK("https://docs.google.com/spreadsheets/d/1YC6VMpHSOYVjGEZO91ILUuqjarf4RAbD", 20.5007666666667)</f>
        <v>20.50076667</v>
      </c>
      <c r="G102" s="116">
        <f>HYPERLINK("https://docs.google.com/spreadsheets/d/1ImSaUk1HGDhNQgIksxSZFXRojgh6GiCA", 9.5195)</f>
        <v>9.5195</v>
      </c>
      <c r="H102" s="116">
        <f>HYPERLINK("https://docs.google.com/spreadsheets/d/1dxnlhXAkW0AYwQgDvTrYnXygiDx8eeti", 2.30841666666667)</f>
        <v>2.308416667</v>
      </c>
      <c r="I102" s="104"/>
      <c r="J102" s="116">
        <f>HYPERLINK("https://docs.google.com/spreadsheets/d/10A7WwIkIg521gqVrOF3WjGP_z3nBxIF4", 3.02171666666667)</f>
        <v>3.021716667</v>
      </c>
      <c r="K102" s="117">
        <f>HYPERLINK("https://docs.google.com/spreadsheets/d/19ZVY6LikECNUlDHJt75Iit-Nyg7sxIpC", 7.22335)</f>
        <v>7.22335</v>
      </c>
      <c r="L102" s="115"/>
      <c r="M102" s="104"/>
      <c r="N102" s="115"/>
      <c r="O102" s="104"/>
      <c r="P102" s="118">
        <f>HYPERLINK("https://docs.google.com/spreadsheets/d/10HPW5BdLFbgo4njcycAr4GmPwHNVIoKo", 7.44413333333333)</f>
        <v>7.444133333</v>
      </c>
      <c r="S102" s="118">
        <f>HYPERLINK("https://docs.google.com/spreadsheets/d/1GT_t1wUi-6o26d7JlMQg4I4ny9a6hgrT", 74.5140333333333)</f>
        <v>74.51403333</v>
      </c>
      <c r="T102" s="118">
        <f>HYPERLINK("https://docs.google.com/spreadsheets/d/1HCRWYsWDJZC0Km2xhQbMY1ZPM6FKo23u", 55.38425)</f>
        <v>55.38425</v>
      </c>
      <c r="U102" s="118">
        <f>HYPERLINK("https://docs.google.com/spreadsheets/d/1aAJyLfdE7b6ifsbXFV6qwJTbLRg-BYlk", 2.73403333333333)</f>
        <v>2.734033333</v>
      </c>
      <c r="V102" s="118">
        <f>HYPERLINK("https://docs.google.com/spreadsheets/d/1wLTMmLyuzYq2VmrKPPOb9E9UEKHr7hn-", 1.87543333333333)</f>
        <v>1.875433333</v>
      </c>
      <c r="W102" s="118">
        <f>HYPERLINK("https://docs.google.com/spreadsheets/d/1LAwkMxWkpYfMwOTTv6iqlA2LnX1Rj8eG", 10.5904)</f>
        <v>10.5904</v>
      </c>
      <c r="Z102" s="118">
        <f>HYPERLINK("https://docs.google.com/spreadsheets/d/1aApELcg4vO9lXDxyH0SsDD9WndbvlfGG", 26.839)</f>
        <v>26.839</v>
      </c>
      <c r="AA102" s="118">
        <f>HYPERLINK("https://docs.google.com/spreadsheets/d/15UxutVkzDo9u9JgWvd6VRDKv7TI7zql2", 23.4204333333333)</f>
        <v>23.42043333</v>
      </c>
      <c r="AB102" s="118">
        <f>HYPERLINK("https://docs.google.com/spreadsheets/d/10dpR3jgT4dpGoesAIwh1AIrsEmlLTeEt", 1.21193333333333)</f>
        <v>1.211933333</v>
      </c>
      <c r="AC102" s="118">
        <f>HYPERLINK("https://docs.google.com/spreadsheets/d/1OiR4aimD54Ywfeth5FFFfUwjUQ03J3zO", 0.675633333333333)</f>
        <v>0.6756333333</v>
      </c>
      <c r="AD102" s="118">
        <f>HYPERLINK("https://docs.google.com/spreadsheets/d/1UIEvxUsKAxrLky9eKnT43v2-0Up3gmn3", 1.87238333333333)</f>
        <v>1.872383333</v>
      </c>
      <c r="AI102" s="118">
        <f>HYPERLINK("https://docs.google.com/spreadsheets/d/19aLzvtLif6Om8-JbN4gv9N2pW0pa9xCd", 35.8738166666667)</f>
        <v>35.87381667</v>
      </c>
      <c r="AJ102" s="118">
        <f>HYPERLINK("https://docs.google.com/spreadsheets/d/1kmj0E3sSDKmdmIyyPl8_pN8SS-Swme5l", 46.9331166666666)</f>
        <v>46.93311667</v>
      </c>
      <c r="AK102" s="118">
        <f>HYPERLINK("https://docs.google.com/spreadsheets/d/1zzoo4RLOT5eoOB17_bdrwquyTjwOGdcH", 2.66663333333333)</f>
        <v>2.666633333</v>
      </c>
      <c r="AL102" s="118">
        <f>HYPERLINK("https://docs.google.com/spreadsheets/d/1aS_23VPwuM13uzZsCzBkYU7AWwK3Sq4z", 0)</f>
        <v>0</v>
      </c>
      <c r="AM102" s="118">
        <f>HYPERLINK("https://docs.google.com/spreadsheets/d/1UC2mzUb693zSxTZu3pDurrOSPG13IGgt", 3.35503333333333)</f>
        <v>3.355033333</v>
      </c>
      <c r="AP102" s="118">
        <f>HYPERLINK("https://docs.google.com/spreadsheets/d/1LCJFSkr6OG3XRG8RPjDBR9YbR6gJLvx-", 6.4239)</f>
        <v>6.4239</v>
      </c>
      <c r="AQ102" s="118">
        <f>HYPERLINK("https://docs.google.com/spreadsheets/d/1WLwTLPb9RtSnIAbrnPon_8dQ_fpI4F7O", 3.16063333333333)</f>
        <v>3.160633333</v>
      </c>
      <c r="AR102" s="118">
        <f>HYPERLINK("https://docs.google.com/spreadsheets/d/1sJviXVivTDnLD1Gcj7LfK2mg5rDK2dPY", 18.5740333333333)</f>
        <v>18.57403333</v>
      </c>
      <c r="AU102" s="118">
        <f>HYPERLINK("https://docs.google.com/spreadsheets/d/1KasK2wdBe7TOnoJfhRoge43qP2i2QHlW", 3.088)</f>
        <v>3.088</v>
      </c>
      <c r="AV102" s="118">
        <f>HYPERLINK("https://docs.google.com/spreadsheets/d/1ZS74mx2-4Q9zLMcYDw1FhJCBtqHasxIZ", 8.46705)</f>
        <v>8.46705</v>
      </c>
      <c r="AY102" s="118">
        <f>HYPERLINK("https://docs.google.com/spreadsheets/d/1_0h8IQMRy9DXzwagO-G6j4d5rarTjm90", 85.4171166666666)</f>
        <v>85.41711667</v>
      </c>
    </row>
    <row r="103">
      <c r="A103" s="65" t="s">
        <v>7</v>
      </c>
      <c r="B103" s="65" t="s">
        <v>31</v>
      </c>
      <c r="C103" s="65" t="s">
        <v>413</v>
      </c>
      <c r="D103" s="64">
        <f t="shared" si="1"/>
        <v>382.9462333</v>
      </c>
      <c r="E103" s="115"/>
      <c r="F103" s="104">
        <v>0.469350000000002</v>
      </c>
      <c r="G103" s="104">
        <v>0.233083333333338</v>
      </c>
      <c r="H103" s="104">
        <v>0.0</v>
      </c>
      <c r="I103" s="104"/>
      <c r="J103" s="104">
        <v>1.77635683940025E-15</v>
      </c>
      <c r="K103" s="104">
        <v>7.22335</v>
      </c>
      <c r="L103" s="104"/>
      <c r="M103" s="104"/>
      <c r="N103" s="104"/>
      <c r="O103" s="104"/>
      <c r="P103" s="65">
        <v>7.44413333333333</v>
      </c>
      <c r="Q103" s="65"/>
      <c r="R103" s="65"/>
      <c r="S103" s="65">
        <v>74.5140333333333</v>
      </c>
      <c r="T103" s="65">
        <v>54.87625</v>
      </c>
      <c r="U103" s="65">
        <v>-4.44089209850063E-16</v>
      </c>
      <c r="V103" s="65">
        <v>-4.44089209850063E-16</v>
      </c>
      <c r="W103" s="65">
        <v>10.5904</v>
      </c>
      <c r="X103" s="65"/>
      <c r="Y103" s="65"/>
      <c r="Z103" s="65">
        <v>16.5887666666667</v>
      </c>
      <c r="AA103" s="65">
        <v>15.1828333333333</v>
      </c>
      <c r="AB103" s="65">
        <v>2.22044604925031E-16</v>
      </c>
      <c r="AC103" s="65">
        <v>0.0</v>
      </c>
      <c r="AD103" s="65">
        <v>-2.22044604925031E-16</v>
      </c>
      <c r="AE103" s="65"/>
      <c r="AF103" s="65"/>
      <c r="AG103" s="65"/>
      <c r="AH103" s="65"/>
      <c r="AI103" s="65">
        <v>35.8738166666667</v>
      </c>
      <c r="AJ103" s="65">
        <v>46.1164333333333</v>
      </c>
      <c r="AK103" s="65">
        <v>0.0636999999999999</v>
      </c>
      <c r="AL103" s="65">
        <v>0.0</v>
      </c>
      <c r="AM103" s="65">
        <v>3.35503333333333</v>
      </c>
      <c r="AN103" s="65"/>
      <c r="AP103" s="65">
        <v>6.4239</v>
      </c>
      <c r="AQ103" s="65">
        <v>0.0</v>
      </c>
      <c r="AR103" s="65">
        <v>18.5740333333333</v>
      </c>
      <c r="AT103" s="65"/>
      <c r="AU103" s="65">
        <v>0.0</v>
      </c>
      <c r="AV103" s="65">
        <v>-1.77635683940025E-15</v>
      </c>
      <c r="AY103" s="65">
        <v>85.4171166666666</v>
      </c>
    </row>
    <row r="104">
      <c r="A104" s="119" t="s">
        <v>7</v>
      </c>
      <c r="B104" s="119" t="s">
        <v>31</v>
      </c>
      <c r="C104" s="119" t="s">
        <v>414</v>
      </c>
      <c r="D104" s="120">
        <f t="shared" si="1"/>
        <v>3.088</v>
      </c>
      <c r="E104" s="121"/>
      <c r="F104" s="122">
        <f>HYPERLINK("https://docs.google.com/spreadsheets/d/1YC6VMpHSOYVjGEZO91ILUuqjarf4RAbD", 0)</f>
        <v>0</v>
      </c>
      <c r="G104" s="122">
        <f>HYPERLINK("https://docs.google.com/spreadsheets/d/1ImSaUk1HGDhNQgIksxSZFXRojgh6GiCA", 0)</f>
        <v>0</v>
      </c>
      <c r="H104" s="122">
        <f>HYPERLINK("https://docs.google.com/spreadsheets/d/1dxnlhXAkW0AYwQgDvTrYnXygiDx8eeti", 0)</f>
        <v>0</v>
      </c>
      <c r="I104" s="121"/>
      <c r="J104" s="122">
        <f>HYPERLINK("https://docs.google.com/spreadsheets/d/10A7WwIkIg521gqVrOF3WjGP_z3nBxIF4", 0)</f>
        <v>0</v>
      </c>
      <c r="K104" s="127">
        <f>HYPERLINK("https://docs.google.com/spreadsheets/d/19ZVY6LikECNUlDHJt75Iit-Nyg7sxIpC", 0)</f>
        <v>0</v>
      </c>
      <c r="L104" s="121"/>
      <c r="M104" s="121"/>
      <c r="N104" s="121"/>
      <c r="O104" s="121"/>
      <c r="P104" s="124">
        <f>HYPERLINK("https://docs.google.com/spreadsheets/d/10HPW5BdLFbgo4njcycAr4GmPwHNVIoKo", 0)</f>
        <v>0</v>
      </c>
      <c r="Q104" s="120"/>
      <c r="R104" s="119"/>
      <c r="S104" s="124">
        <f>HYPERLINK("https://docs.google.com/spreadsheets/d/1GT_t1wUi-6o26d7JlMQg4I4ny9a6hgrT", 0)</f>
        <v>0</v>
      </c>
      <c r="T104" s="125">
        <f>HYPERLINK("https://docs.google.com/spreadsheets/d/1HCRWYsWDJZC0Km2xhQbMY1ZPM6FKo23u", 0)</f>
        <v>0</v>
      </c>
      <c r="U104" s="124">
        <f>HYPERLINK("https://docs.google.com/spreadsheets/d/1aAJyLfdE7b6ifsbXFV6qwJTbLRg-BYlk", 0)</f>
        <v>0</v>
      </c>
      <c r="V104" s="124">
        <f>HYPERLINK("https://docs.google.com/spreadsheets/d/1wLTMmLyuzYq2VmrKPPOb9E9UEKHr7hn-", 0)</f>
        <v>0</v>
      </c>
      <c r="W104" s="124">
        <f>HYPERLINK("https://docs.google.com/spreadsheets/d/1LAwkMxWkpYfMwOTTv6iqlA2LnX1Rj8eG", 0)</f>
        <v>0</v>
      </c>
      <c r="X104" s="119"/>
      <c r="Y104" s="119"/>
      <c r="Z104" s="124">
        <f>HYPERLINK("https://docs.google.com/spreadsheets/d/1aApELcg4vO9lXDxyH0SsDD9WndbvlfGG", 0)</f>
        <v>0</v>
      </c>
      <c r="AA104" s="124">
        <f>HYPERLINK("https://docs.google.com/spreadsheets/d/15UxutVkzDo9u9JgWvd6VRDKv7TI7zql2", 0)</f>
        <v>0</v>
      </c>
      <c r="AB104" s="124">
        <f>HYPERLINK("https://docs.google.com/spreadsheets/d/10dpR3jgT4dpGoesAIwh1AIrsEmlLTeEt", 0)</f>
        <v>0</v>
      </c>
      <c r="AC104" s="124">
        <f>HYPERLINK("https://docs.google.com/spreadsheets/d/1OiR4aimD54Ywfeth5FFFfUwjUQ03J3zO", 0)</f>
        <v>0</v>
      </c>
      <c r="AD104" s="124">
        <f>HYPERLINK("https://docs.google.com/spreadsheets/d/1UIEvxUsKAxrLky9eKnT43v2-0Up3gmn3", 0)</f>
        <v>0</v>
      </c>
      <c r="AE104" s="119"/>
      <c r="AF104" s="119"/>
      <c r="AG104" s="119"/>
      <c r="AH104" s="120"/>
      <c r="AI104" s="124">
        <f>HYPERLINK("https://docs.google.com/spreadsheets/d/19aLzvtLif6Om8-JbN4gv9N2pW0pa9xCd", 0)</f>
        <v>0</v>
      </c>
      <c r="AJ104" s="124">
        <f>HYPERLINK("https://docs.google.com/spreadsheets/d/1kmj0E3sSDKmdmIyyPl8_pN8SS-Swme5l", 0)</f>
        <v>0</v>
      </c>
      <c r="AK104" s="124">
        <f>HYPERLINK("https://docs.google.com/spreadsheets/d/1zzoo4RLOT5eoOB17_bdrwquyTjwOGdcH", 0)</f>
        <v>0</v>
      </c>
      <c r="AL104" s="124">
        <f>HYPERLINK("https://docs.google.com/spreadsheets/d/1aS_23VPwuM13uzZsCzBkYU7AWwK3Sq4z", 0)</f>
        <v>0</v>
      </c>
      <c r="AM104" s="124">
        <f>HYPERLINK("https://docs.google.com/spreadsheets/d/1UC2mzUb693zSxTZu3pDurrOSPG13IGgt", 0)</f>
        <v>0</v>
      </c>
      <c r="AN104" s="120"/>
      <c r="AO104" s="120"/>
      <c r="AP104" s="124">
        <f>HYPERLINK("https://docs.google.com/spreadsheets/d/1LCJFSkr6OG3XRG8RPjDBR9YbR6gJLvx-", 0)</f>
        <v>0</v>
      </c>
      <c r="AQ104" s="125">
        <f>HYPERLINK("https://docs.google.com/spreadsheets/d/1WLwTLPb9RtSnIAbrnPon_8dQ_fpI4F7O", 0)</f>
        <v>0</v>
      </c>
      <c r="AR104" s="125">
        <f>HYPERLINK("https://docs.google.com/spreadsheets/d/1sJviXVivTDnLD1Gcj7LfK2mg5rDK2dPY", 0)</f>
        <v>0</v>
      </c>
      <c r="AS104" s="120"/>
      <c r="AT104" s="120"/>
      <c r="AU104" s="124">
        <f>HYPERLINK("https://docs.google.com/spreadsheets/d/1KasK2wdBe7TOnoJfhRoge43qP2i2QHlW", 3.088)</f>
        <v>3.088</v>
      </c>
      <c r="AV104" s="124">
        <f>HYPERLINK("https://docs.google.com/spreadsheets/d/1ZS74mx2-4Q9zLMcYDw1FhJCBtqHasxIZ", 0)</f>
        <v>0</v>
      </c>
      <c r="AW104" s="120"/>
      <c r="AX104" s="120"/>
      <c r="AY104" s="124">
        <f>HYPERLINK("https://docs.google.com/spreadsheets/d/1_0h8IQMRy9DXzwagO-G6j4d5rarTjm90", 0)</f>
        <v>0</v>
      </c>
      <c r="AZ104" s="120"/>
      <c r="BA104" s="120"/>
      <c r="BB104" s="120"/>
      <c r="BC104" s="120"/>
      <c r="BD104" s="120"/>
      <c r="BE104" s="120"/>
      <c r="BF104" s="120"/>
      <c r="BG104" s="120"/>
      <c r="BH104" s="120"/>
      <c r="BI104" s="120"/>
      <c r="BJ104" s="120"/>
      <c r="BK104" s="120"/>
      <c r="BL104" s="120"/>
      <c r="BM104" s="120"/>
      <c r="BN104" s="120"/>
      <c r="BO104" s="120"/>
      <c r="BP104" s="120"/>
      <c r="BQ104" s="120"/>
      <c r="BR104" s="120"/>
      <c r="BS104" s="120"/>
      <c r="BT104" s="120"/>
      <c r="BU104" s="120"/>
      <c r="BV104" s="120"/>
      <c r="BW104" s="120"/>
      <c r="BX104" s="120"/>
      <c r="BY104" s="120"/>
      <c r="BZ104" s="120"/>
      <c r="CA104" s="120"/>
      <c r="CB104" s="120"/>
      <c r="CC104" s="120"/>
      <c r="CD104" s="120"/>
      <c r="CE104" s="120"/>
      <c r="CF104" s="120"/>
      <c r="CG104" s="120"/>
      <c r="CH104" s="120"/>
      <c r="CI104" s="120"/>
      <c r="CJ104" s="120"/>
      <c r="CK104" s="120"/>
      <c r="CL104" s="120"/>
      <c r="CM104" s="120"/>
      <c r="CN104" s="120"/>
      <c r="CO104" s="120"/>
      <c r="CP104" s="120"/>
      <c r="CQ104" s="120"/>
      <c r="CR104" s="120"/>
      <c r="CS104" s="120"/>
      <c r="CT104" s="120"/>
      <c r="CU104" s="120"/>
      <c r="CV104" s="120"/>
      <c r="CW104" s="120"/>
      <c r="CX104" s="120"/>
      <c r="CY104" s="120"/>
      <c r="CZ104" s="120"/>
      <c r="DA104" s="120"/>
      <c r="DB104" s="120"/>
      <c r="DC104" s="120"/>
      <c r="DD104" s="120"/>
      <c r="DE104" s="120"/>
      <c r="DF104" s="120"/>
      <c r="DG104" s="120"/>
      <c r="DH104" s="120"/>
      <c r="DI104" s="120"/>
      <c r="DJ104" s="120"/>
      <c r="DK104" s="120"/>
      <c r="DL104" s="120"/>
      <c r="DM104" s="120"/>
      <c r="DN104" s="120"/>
      <c r="DO104" s="120"/>
      <c r="DP104" s="120"/>
      <c r="DQ104" s="120"/>
      <c r="DR104" s="120"/>
      <c r="DS104" s="120"/>
      <c r="DT104" s="120"/>
      <c r="DU104" s="120"/>
      <c r="DV104" s="120"/>
      <c r="DW104" s="120"/>
      <c r="DX104" s="120"/>
      <c r="DY104" s="120"/>
      <c r="DZ104" s="120"/>
      <c r="EA104" s="120"/>
      <c r="EB104" s="120"/>
      <c r="EC104" s="120"/>
      <c r="ED104" s="120"/>
      <c r="EE104" s="120"/>
      <c r="EF104" s="120"/>
      <c r="EG104" s="120"/>
      <c r="EH104" s="120"/>
      <c r="EI104" s="120"/>
      <c r="EJ104" s="120"/>
      <c r="EK104" s="120"/>
      <c r="EL104" s="120"/>
      <c r="EM104" s="120"/>
      <c r="EN104" s="120"/>
      <c r="EO104" s="120"/>
      <c r="EP104" s="120"/>
      <c r="EQ104" s="120"/>
      <c r="ER104" s="120"/>
      <c r="ES104" s="120"/>
      <c r="ET104" s="120"/>
      <c r="EU104" s="120"/>
      <c r="EV104" s="120"/>
      <c r="EW104" s="120"/>
      <c r="EX104" s="120"/>
      <c r="EY104" s="120"/>
    </row>
    <row r="105">
      <c r="A105" s="112" t="s">
        <v>7</v>
      </c>
      <c r="B105" s="112" t="s">
        <v>25</v>
      </c>
      <c r="C105" s="112" t="s">
        <v>409</v>
      </c>
      <c r="D105" s="113">
        <f t="shared" si="1"/>
        <v>546.6785167</v>
      </c>
      <c r="E105" s="114">
        <v>63.5247333333334</v>
      </c>
      <c r="F105" s="114"/>
      <c r="G105" s="114"/>
      <c r="H105" s="114"/>
      <c r="I105" s="114"/>
      <c r="J105" s="114"/>
      <c r="K105" s="114"/>
      <c r="L105" s="114">
        <v>0.981483333333333</v>
      </c>
      <c r="M105" s="114"/>
      <c r="N105" s="114"/>
      <c r="O105" s="114">
        <v>10.4816333333333</v>
      </c>
      <c r="P105" s="112"/>
      <c r="Q105" s="112">
        <v>0.1183</v>
      </c>
      <c r="R105" s="112">
        <v>127.5388</v>
      </c>
      <c r="S105" s="112"/>
      <c r="T105" s="112"/>
      <c r="U105" s="112"/>
      <c r="V105" s="112"/>
      <c r="W105" s="112"/>
      <c r="X105" s="112">
        <v>1.42693333333333</v>
      </c>
      <c r="Y105" s="112">
        <v>37.9814833333333</v>
      </c>
      <c r="Z105" s="112"/>
      <c r="AA105" s="113"/>
      <c r="AB105" s="112"/>
      <c r="AC105" s="112"/>
      <c r="AD105" s="112"/>
      <c r="AE105" s="112">
        <v>2.26653333333333</v>
      </c>
      <c r="AF105" s="112"/>
      <c r="AG105" s="112"/>
      <c r="AH105" s="112">
        <v>140.7621</v>
      </c>
      <c r="AI105" s="112"/>
      <c r="AJ105" s="112"/>
      <c r="AK105" s="112"/>
      <c r="AL105" s="113"/>
      <c r="AM105" s="112"/>
      <c r="AN105" s="112">
        <v>2.86915</v>
      </c>
      <c r="AO105" s="112">
        <v>25.6679</v>
      </c>
      <c r="AP105" s="112"/>
      <c r="AQ105" s="113"/>
      <c r="AR105" s="112"/>
      <c r="AS105" s="112">
        <v>3.29213333333333</v>
      </c>
      <c r="AT105" s="112">
        <v>13.9298333333333</v>
      </c>
      <c r="AU105" s="112"/>
      <c r="AV105" s="112"/>
      <c r="AW105" s="112">
        <v>2.09611666666667</v>
      </c>
      <c r="AX105" s="112">
        <v>107.305383333333</v>
      </c>
      <c r="AY105" s="113"/>
      <c r="AZ105" s="112">
        <v>5.38786666666667</v>
      </c>
      <c r="BA105" s="112">
        <v>1.04813333333333</v>
      </c>
      <c r="BB105" s="113"/>
      <c r="BC105" s="113"/>
      <c r="BD105" s="113"/>
      <c r="BE105" s="113"/>
      <c r="BF105" s="113"/>
      <c r="BG105" s="113"/>
      <c r="BH105" s="113"/>
      <c r="BI105" s="113"/>
      <c r="BJ105" s="113"/>
      <c r="BK105" s="113"/>
      <c r="BL105" s="113"/>
      <c r="BM105" s="113"/>
      <c r="BN105" s="113"/>
      <c r="BO105" s="113"/>
      <c r="BP105" s="113"/>
      <c r="BQ105" s="113"/>
      <c r="BR105" s="113"/>
      <c r="BS105" s="113"/>
      <c r="BT105" s="113"/>
      <c r="BU105" s="113"/>
      <c r="BV105" s="113"/>
      <c r="BW105" s="113"/>
      <c r="BX105" s="113"/>
      <c r="BY105" s="113"/>
      <c r="BZ105" s="113"/>
      <c r="CA105" s="113"/>
      <c r="CB105" s="113"/>
      <c r="CC105" s="113"/>
      <c r="CD105" s="113"/>
      <c r="CE105" s="113"/>
      <c r="CF105" s="113"/>
      <c r="CG105" s="113"/>
      <c r="CH105" s="113"/>
      <c r="CI105" s="113"/>
      <c r="CJ105" s="113"/>
      <c r="CK105" s="113"/>
      <c r="CL105" s="113"/>
      <c r="CM105" s="113"/>
      <c r="CN105" s="113"/>
      <c r="CO105" s="113"/>
      <c r="CP105" s="113"/>
      <c r="CQ105" s="113"/>
      <c r="CR105" s="113"/>
      <c r="CS105" s="113"/>
      <c r="CT105" s="113"/>
      <c r="CU105" s="113"/>
      <c r="CV105" s="113"/>
      <c r="CW105" s="113"/>
      <c r="CX105" s="113"/>
      <c r="CY105" s="113"/>
      <c r="CZ105" s="113"/>
      <c r="DA105" s="113"/>
      <c r="DB105" s="113"/>
      <c r="DC105" s="113"/>
      <c r="DD105" s="113"/>
      <c r="DE105" s="113"/>
      <c r="DF105" s="113"/>
      <c r="DG105" s="113"/>
      <c r="DH105" s="113"/>
      <c r="DI105" s="113"/>
      <c r="DJ105" s="113"/>
      <c r="DK105" s="113"/>
      <c r="DL105" s="113"/>
      <c r="DM105" s="113"/>
      <c r="DN105" s="113"/>
      <c r="DO105" s="113"/>
      <c r="DP105" s="113"/>
      <c r="DQ105" s="113"/>
      <c r="DR105" s="113"/>
      <c r="DS105" s="113"/>
      <c r="DT105" s="113"/>
      <c r="DU105" s="113"/>
      <c r="DV105" s="113"/>
      <c r="DW105" s="113"/>
      <c r="DX105" s="113"/>
      <c r="DY105" s="113"/>
      <c r="DZ105" s="113"/>
      <c r="EA105" s="113"/>
      <c r="EB105" s="113"/>
      <c r="EC105" s="113"/>
      <c r="ED105" s="113"/>
      <c r="EE105" s="113"/>
      <c r="EF105" s="113"/>
      <c r="EG105" s="113"/>
      <c r="EH105" s="113"/>
      <c r="EI105" s="113"/>
      <c r="EJ105" s="113"/>
      <c r="EK105" s="113"/>
      <c r="EL105" s="113"/>
      <c r="EM105" s="113"/>
      <c r="EN105" s="113"/>
      <c r="EO105" s="113"/>
      <c r="EP105" s="113"/>
      <c r="EQ105" s="113"/>
      <c r="ER105" s="113"/>
      <c r="ES105" s="113"/>
      <c r="ET105" s="113"/>
      <c r="EU105" s="113"/>
      <c r="EV105" s="113"/>
      <c r="EW105" s="113"/>
      <c r="EX105" s="113"/>
      <c r="EY105" s="113"/>
    </row>
    <row r="106">
      <c r="A106" s="65" t="s">
        <v>7</v>
      </c>
      <c r="B106" s="65" t="s">
        <v>25</v>
      </c>
      <c r="C106" s="65" t="s">
        <v>410</v>
      </c>
      <c r="D106" s="64">
        <f t="shared" si="1"/>
        <v>563.0775333</v>
      </c>
      <c r="E106" s="104"/>
      <c r="F106" s="104">
        <v>27.6053333333333</v>
      </c>
      <c r="G106" s="104">
        <v>20.6353666666667</v>
      </c>
      <c r="H106" s="104">
        <v>7.08871666666667</v>
      </c>
      <c r="I106" s="104">
        <v>1.47476666666667</v>
      </c>
      <c r="J106" s="104">
        <v>0.328066666666667</v>
      </c>
      <c r="K106" s="104">
        <v>5.15811666666667</v>
      </c>
      <c r="L106" s="104"/>
      <c r="M106" s="104">
        <v>27.6053333333333</v>
      </c>
      <c r="N106" s="104">
        <v>20.6353666666667</v>
      </c>
      <c r="O106" s="104"/>
      <c r="P106" s="65">
        <v>8.51996666666667</v>
      </c>
      <c r="Q106" s="65"/>
      <c r="R106" s="65"/>
      <c r="S106" s="65">
        <v>72.4582166666666</v>
      </c>
      <c r="T106" s="65">
        <v>25.5598666666667</v>
      </c>
      <c r="U106" s="65">
        <v>2.95436666666667</v>
      </c>
      <c r="V106" s="65">
        <v>2.57575</v>
      </c>
      <c r="W106" s="65">
        <v>16.4903333333333</v>
      </c>
      <c r="X106" s="65"/>
      <c r="Y106" s="65"/>
      <c r="Z106" s="65">
        <v>17.4455166666667</v>
      </c>
      <c r="AA106" s="65">
        <v>8.18991666666667</v>
      </c>
      <c r="AB106" s="65">
        <v>1.12065</v>
      </c>
      <c r="AC106" s="65">
        <v>1.21508333333333</v>
      </c>
      <c r="AD106" s="65">
        <v>8.24526666666667</v>
      </c>
      <c r="AE106" s="65"/>
      <c r="AF106" s="65">
        <v>17.4455166666667</v>
      </c>
      <c r="AG106" s="65">
        <v>8.18991666666667</v>
      </c>
      <c r="AH106" s="65"/>
      <c r="AI106" s="65">
        <v>70.4525166666667</v>
      </c>
      <c r="AJ106" s="65">
        <v>35.68675</v>
      </c>
      <c r="AK106" s="65">
        <v>5.09638333333333</v>
      </c>
      <c r="AL106" s="65">
        <v>1.09943333333333</v>
      </c>
      <c r="AM106" s="65">
        <v>19.9845666666667</v>
      </c>
      <c r="AN106" s="65"/>
      <c r="AP106" s="65">
        <v>6.5192</v>
      </c>
      <c r="AQ106" s="65">
        <v>1.49283333333333</v>
      </c>
      <c r="AR106" s="65">
        <v>8.6801</v>
      </c>
      <c r="AT106" s="65"/>
      <c r="AU106" s="65">
        <v>2.48458333333333</v>
      </c>
      <c r="AV106" s="65">
        <v>8.06005</v>
      </c>
      <c r="AY106" s="65">
        <v>102.579683333333</v>
      </c>
    </row>
    <row r="107">
      <c r="A107" s="65" t="s">
        <v>7</v>
      </c>
      <c r="B107" s="65" t="s">
        <v>25</v>
      </c>
      <c r="C107" s="65" t="s">
        <v>411</v>
      </c>
      <c r="D107" s="64">
        <f t="shared" si="1"/>
        <v>0</v>
      </c>
      <c r="E107" s="115"/>
      <c r="F107" s="115"/>
      <c r="G107" s="115"/>
      <c r="H107" s="115"/>
      <c r="I107" s="115"/>
      <c r="J107" s="115"/>
      <c r="K107" s="115"/>
      <c r="L107" s="115"/>
      <c r="M107" s="115"/>
      <c r="N107" s="115"/>
      <c r="O107" s="115"/>
    </row>
    <row r="108">
      <c r="A108" s="65" t="s">
        <v>7</v>
      </c>
      <c r="B108" s="65" t="s">
        <v>25</v>
      </c>
      <c r="C108" s="65" t="s">
        <v>412</v>
      </c>
      <c r="D108" s="64">
        <f t="shared" si="1"/>
        <v>466.2920333</v>
      </c>
      <c r="E108" s="115"/>
      <c r="F108" s="117">
        <f>HYPERLINK("https://docs.google.com/spreadsheets/d/1Dmuczyv_pmzwPT51ere_VJ7oBCKqVymh", 26.1305666666667)</f>
        <v>26.13056667</v>
      </c>
      <c r="G108" s="116">
        <f>HYPERLINK("https://docs.google.com/spreadsheets/d/1OFpGVdpcNAhUGhCjsrIkoyaB-TT14W8I", 20.3975666666667)</f>
        <v>20.39756667</v>
      </c>
      <c r="H108" s="116">
        <f>HYPERLINK("https://docs.google.com/spreadsheets/d/1o_duBECjNYMewTKYtsEgXfvU_ML_I-ik", 7.0887)</f>
        <v>7.0887</v>
      </c>
      <c r="I108" s="117">
        <f>HYPERLINK("https://docs.google.com/spreadsheets/d/1KqojhlUyf43WS_zzJuYlbdg1bPMUaWtX", 1.47476666666667)</f>
        <v>1.474766667</v>
      </c>
      <c r="J108" s="116">
        <f>HYPERLINK("https://docs.google.com/spreadsheets/d/1TPfeizfyrPuTnC4-3JX7MIU2rmvstmhV", 0.328066666666667)</f>
        <v>0.3280666667</v>
      </c>
      <c r="K108" s="117">
        <f>HYPERLINK("https://docs.google.com/spreadsheets/d/1P1OMHBSyb6g_TMXqLkGqASPkqomxMYsl", 5.15811666666667)</f>
        <v>5.158116667</v>
      </c>
      <c r="L108" s="115"/>
      <c r="M108" s="104"/>
      <c r="N108" s="115"/>
      <c r="O108" s="104"/>
      <c r="P108" s="118">
        <f>HYPERLINK("https://docs.google.com/spreadsheets/d/1T5nq5q_xfAz1kUXGv7FerfPuMuI_1bwd", 8.51996666666667)</f>
        <v>8.519966667</v>
      </c>
      <c r="S108" s="118">
        <f>HYPERLINK("https://docs.google.com/spreadsheets/d/1RMaSpwj7XWU7lzLe193FPFuj3syoGD7P", 63.8592499999999)</f>
        <v>63.85925</v>
      </c>
      <c r="T108" s="118">
        <f>HYPERLINK("https://docs.google.com/spreadsheets/d/104yTfA9zYp_VfEj3-CqiJV_FF4Zv_dqv", 25.3253166666667)</f>
        <v>25.32531667</v>
      </c>
      <c r="U108" s="118">
        <f>HYPERLINK("https://docs.google.com/spreadsheets/d/1LFMTudQPiVPA_LZYFmAEKLjnNFwHDGyH", 2.78218333333333)</f>
        <v>2.782183333</v>
      </c>
      <c r="V108" s="118">
        <f>HYPERLINK("https://docs.google.com/spreadsheets/d/1LlAuQS0yQgJ95TrtE4cGR2OfRmUGCBWs", 1.66378333333333)</f>
        <v>1.663783333</v>
      </c>
      <c r="W108" s="118">
        <f>HYPERLINK("https://docs.google.com/spreadsheets/d/1UytoSGAiHiZ4V6xIDAAmdqUPwR9_Eb70", 16.49035)</f>
        <v>16.49035</v>
      </c>
      <c r="Z108" s="118">
        <f>HYPERLINK("https://docs.google.com/spreadsheets/d/17hKhUXiPBrJOnV4FoAdwTVl_C-feZm1v", 16.4498833333333)</f>
        <v>16.44988333</v>
      </c>
      <c r="AA108" s="118">
        <f>HYPERLINK("https://docs.google.com/spreadsheets/d/1OJP7MTD7MSzj6h505z9iIkUMMYbax3gf", 8.1899)</f>
        <v>8.1899</v>
      </c>
      <c r="AB108" s="118">
        <f>HYPERLINK("https://docs.google.com/spreadsheets/d/1uamRxJW7C6X16IuTzpDBFqeiBljbkSZ0", 1.12065)</f>
        <v>1.12065</v>
      </c>
      <c r="AC108" s="118">
        <f>HYPERLINK("https://docs.google.com/spreadsheets/d/1aok9taaNh-nL1MOUqAOPDNt8jAS8wrhV", 0.409266666666667)</f>
        <v>0.4092666667</v>
      </c>
      <c r="AD108" s="118">
        <f>HYPERLINK("https://docs.google.com/spreadsheets/d/1B3s3-lkKvRDcUETSSQlzDABgKpu27fS1", 8.24526666666667)</f>
        <v>8.245266667</v>
      </c>
      <c r="AI108" s="118">
        <f>HYPERLINK("https://docs.google.com/spreadsheets/d/1Ixnv4pOKDgpCCdyxPZW-kT2gpVgwhM3d", 68.0762666666667)</f>
        <v>68.07626667</v>
      </c>
      <c r="AJ108" s="118">
        <f>HYPERLINK("https://docs.google.com/spreadsheets/d/18x9JNdoyMNtc8T5GNwZfs5fJztJH6tHR", 28.8803833333333)</f>
        <v>28.88038333</v>
      </c>
      <c r="AK108" s="118">
        <f>HYPERLINK("https://docs.google.com/spreadsheets/d/1O73dieKa572A-fj6OpFMZgYdOAqiAEdC", 5.09638333333333)</f>
        <v>5.096383333</v>
      </c>
      <c r="AL108" s="118">
        <f>HYPERLINK("https://docs.google.com/spreadsheets/d/1hr04ttnUAupHTJ9h4uYOQQpBal-SZKVf", 1.09943333333333)</f>
        <v>1.099433333</v>
      </c>
      <c r="AM108" s="118">
        <f>HYPERLINK("https://docs.google.com/spreadsheets/d/1CAopC93q0pXR6vc_XSzri12pGybqhX3F", 19.98455)</f>
        <v>19.98455</v>
      </c>
      <c r="AP108" s="118">
        <f>HYPERLINK("https://docs.google.com/spreadsheets/d/1hM2bMyXk2o_0Myt0p6VI7HoizKogumok", 6.51918333333333)</f>
        <v>6.519183333</v>
      </c>
      <c r="AQ108" s="118">
        <f>HYPERLINK("https://docs.google.com/spreadsheets/d/16hG61Sko_TrsLEMQZi3TFInMbQvEyN5Q", 1.37595)</f>
        <v>1.37595</v>
      </c>
      <c r="AR108" s="118">
        <f>HYPERLINK("https://docs.google.com/spreadsheets/d/1BRBlMTLGyqGe4_uXESRl-5m0VnzyGwEc", 8.68008333333333)</f>
        <v>8.680083333</v>
      </c>
      <c r="AU108" s="118">
        <f>HYPERLINK("https://docs.google.com/spreadsheets/d/1Zlwavix_bJJkN0u52YkRwFAKyQWTT0zd", 2.48458333333333)</f>
        <v>2.484583333</v>
      </c>
      <c r="AV108" s="118">
        <f>HYPERLINK("https://docs.google.com/spreadsheets/d/1OZT0AChe5qW29BCbe9nwJQk4yJdMkwui", 8.06003333333333)</f>
        <v>8.060033333</v>
      </c>
      <c r="AY108" s="118">
        <f>HYPERLINK("https://docs.google.com/spreadsheets/d/1J6DBLp3iRkJ1adKzVKDvpRVWuZLUgXWm", 102.401583333333)</f>
        <v>102.4015833</v>
      </c>
    </row>
    <row r="109">
      <c r="A109" s="65" t="s">
        <v>7</v>
      </c>
      <c r="B109" s="65" t="s">
        <v>25</v>
      </c>
      <c r="C109" s="65" t="s">
        <v>413</v>
      </c>
      <c r="D109" s="64">
        <f t="shared" si="1"/>
        <v>359.3631333</v>
      </c>
      <c r="E109" s="115"/>
      <c r="F109" s="104">
        <v>0.0</v>
      </c>
      <c r="G109" s="104">
        <v>1.82168333333334</v>
      </c>
      <c r="H109" s="104">
        <v>0.0730000000000022</v>
      </c>
      <c r="I109" s="104">
        <v>-4.44089209850063E-16</v>
      </c>
      <c r="J109" s="104">
        <v>0.0</v>
      </c>
      <c r="K109" s="104">
        <v>5.15811666666667</v>
      </c>
      <c r="L109" s="104"/>
      <c r="M109" s="104"/>
      <c r="N109" s="104"/>
      <c r="O109" s="104"/>
      <c r="P109" s="65">
        <v>7.8704</v>
      </c>
      <c r="Q109" s="65"/>
      <c r="R109" s="65"/>
      <c r="S109" s="65">
        <v>60.1659666666666</v>
      </c>
      <c r="T109" s="65">
        <v>24.7331</v>
      </c>
      <c r="U109" s="65">
        <v>4.44089209850063E-16</v>
      </c>
      <c r="V109" s="65">
        <v>2.22044604925031E-16</v>
      </c>
      <c r="W109" s="65">
        <v>16.1767666666667</v>
      </c>
      <c r="X109" s="65"/>
      <c r="Y109" s="65"/>
      <c r="Z109" s="65">
        <v>10.9389</v>
      </c>
      <c r="AA109" s="65">
        <v>4.7583</v>
      </c>
      <c r="AB109" s="65">
        <v>-2.22044604925031E-16</v>
      </c>
      <c r="AC109" s="65">
        <v>-5.55111512312578E-17</v>
      </c>
      <c r="AD109" s="65">
        <v>0.424133333333334</v>
      </c>
      <c r="AE109" s="65"/>
      <c r="AF109" s="65"/>
      <c r="AG109" s="65"/>
      <c r="AH109" s="65"/>
      <c r="AI109" s="65">
        <v>67.3733333333333</v>
      </c>
      <c r="AJ109" s="65">
        <v>26.3181166666667</v>
      </c>
      <c r="AK109" s="65">
        <v>0.1585</v>
      </c>
      <c r="AL109" s="65">
        <v>0.0</v>
      </c>
      <c r="AM109" s="65">
        <v>19.1332833333333</v>
      </c>
      <c r="AN109" s="65"/>
      <c r="AP109" s="65">
        <v>6.17883333333333</v>
      </c>
      <c r="AQ109" s="65">
        <v>2.22044604925031E-16</v>
      </c>
      <c r="AR109" s="65">
        <v>7.3778</v>
      </c>
      <c r="AT109" s="65"/>
      <c r="AU109" s="65">
        <v>-4.44089209850063E-16</v>
      </c>
      <c r="AV109" s="65">
        <v>0.539566666666666</v>
      </c>
      <c r="AY109" s="65">
        <v>100.163333333333</v>
      </c>
    </row>
    <row r="110">
      <c r="A110" s="119" t="s">
        <v>7</v>
      </c>
      <c r="B110" s="119" t="s">
        <v>25</v>
      </c>
      <c r="C110" s="119" t="s">
        <v>414</v>
      </c>
      <c r="D110" s="120">
        <f t="shared" si="1"/>
        <v>2.484583333</v>
      </c>
      <c r="E110" s="121"/>
      <c r="F110" s="122">
        <f>HYPERLINK("https://docs.google.com/spreadsheets/d/1Dmuczyv_pmzwPT51ere_VJ7oBCKqVymh", 0)</f>
        <v>0</v>
      </c>
      <c r="G110" s="122">
        <f>HYPERLINK("https://docs.google.com/spreadsheets/d/1OFpGVdpcNAhUGhCjsrIkoyaB-TT14W8I", 0)</f>
        <v>0</v>
      </c>
      <c r="H110" s="122">
        <f>HYPERLINK("https://docs.google.com/spreadsheets/d/1o_duBECjNYMewTKYtsEgXfvU_ML_I-ik", 0)</f>
        <v>0</v>
      </c>
      <c r="I110" s="122">
        <f>HYPERLINK("https://docs.google.com/spreadsheets/d/1KqojhlUyf43WS_zzJuYlbdg1bPMUaWtX", 0)</f>
        <v>0</v>
      </c>
      <c r="J110" s="122">
        <f>HYPERLINK("https://docs.google.com/spreadsheets/d/1TPfeizfyrPuTnC4-3JX7MIU2rmvstmhV", 0)</f>
        <v>0</v>
      </c>
      <c r="K110" s="127">
        <f>HYPERLINK("https://docs.google.com/spreadsheets/d/1P1OMHBSyb6g_TMXqLkGqASPkqomxMYsl", 0)</f>
        <v>0</v>
      </c>
      <c r="L110" s="121"/>
      <c r="M110" s="121"/>
      <c r="N110" s="123"/>
      <c r="O110" s="121"/>
      <c r="P110" s="124">
        <f>HYPERLINK("https://docs.google.com/spreadsheets/d/1T5nq5q_xfAz1kUXGv7FerfPuMuI_1bwd", 0)</f>
        <v>0</v>
      </c>
      <c r="Q110" s="119"/>
      <c r="R110" s="119"/>
      <c r="S110" s="124">
        <f>HYPERLINK("https://docs.google.com/spreadsheets/d/1RMaSpwj7XWU7lzLe193FPFuj3syoGD7P", 0)</f>
        <v>0</v>
      </c>
      <c r="T110" s="125">
        <f>HYPERLINK("https://docs.google.com/spreadsheets/d/104yTfA9zYp_VfEj3-CqiJV_FF4Zv_dqv", 0)</f>
        <v>0</v>
      </c>
      <c r="U110" s="125">
        <f>HYPERLINK("https://docs.google.com/spreadsheets/d/1LFMTudQPiVPA_LZYFmAEKLjnNFwHDGyH", 0)</f>
        <v>0</v>
      </c>
      <c r="V110" s="124">
        <f>HYPERLINK("https://docs.google.com/spreadsheets/d/1LlAuQS0yQgJ95TrtE4cGR2OfRmUGCBWs", 0)</f>
        <v>0</v>
      </c>
      <c r="W110" s="124">
        <f>HYPERLINK("https://docs.google.com/spreadsheets/d/1UytoSGAiHiZ4V6xIDAAmdqUPwR9_Eb70", 0)</f>
        <v>0</v>
      </c>
      <c r="X110" s="119"/>
      <c r="Y110" s="119"/>
      <c r="Z110" s="124">
        <f>HYPERLINK("https://docs.google.com/spreadsheets/d/17hKhUXiPBrJOnV4FoAdwTVl_C-feZm1v", 0)</f>
        <v>0</v>
      </c>
      <c r="AA110" s="124">
        <f>HYPERLINK("https://docs.google.com/spreadsheets/d/1OJP7MTD7MSzj6h505z9iIkUMMYbax3gf", 0)</f>
        <v>0</v>
      </c>
      <c r="AB110" s="124">
        <f>HYPERLINK("https://docs.google.com/spreadsheets/d/1uamRxJW7C6X16IuTzpDBFqeiBljbkSZ0", 0)</f>
        <v>0</v>
      </c>
      <c r="AC110" s="124">
        <f>HYPERLINK("https://docs.google.com/spreadsheets/d/1aok9taaNh-nL1MOUqAOPDNt8jAS8wrhV", 0)</f>
        <v>0</v>
      </c>
      <c r="AD110" s="124">
        <f>HYPERLINK("https://docs.google.com/spreadsheets/d/1B3s3-lkKvRDcUETSSQlzDABgKpu27fS1", 0)</f>
        <v>0</v>
      </c>
      <c r="AE110" s="119"/>
      <c r="AF110" s="119"/>
      <c r="AG110" s="119"/>
      <c r="AH110" s="119"/>
      <c r="AI110" s="125">
        <f>HYPERLINK("https://docs.google.com/spreadsheets/d/1Ixnv4pOKDgpCCdyxPZW-kT2gpVgwhM3d", 0)</f>
        <v>0</v>
      </c>
      <c r="AJ110" s="124">
        <f>HYPERLINK("https://docs.google.com/spreadsheets/d/18x9JNdoyMNtc8T5GNwZfs5fJztJH6tHR", 0)</f>
        <v>0</v>
      </c>
      <c r="AK110" s="124">
        <f>HYPERLINK("https://docs.google.com/spreadsheets/d/1O73dieKa572A-fj6OpFMZgYdOAqiAEdC", 0)</f>
        <v>0</v>
      </c>
      <c r="AL110" s="125">
        <f>HYPERLINK("https://docs.google.com/spreadsheets/d/1hr04ttnUAupHTJ9h4uYOQQpBal-SZKVf", 0)</f>
        <v>0</v>
      </c>
      <c r="AM110" s="124">
        <f>HYPERLINK("https://docs.google.com/spreadsheets/d/1CAopC93q0pXR6vc_XSzri12pGybqhX3F", 0)</f>
        <v>0</v>
      </c>
      <c r="AN110" s="119"/>
      <c r="AO110" s="120"/>
      <c r="AP110" s="124">
        <f>HYPERLINK("https://docs.google.com/spreadsheets/d/1hM2bMyXk2o_0Myt0p6VI7HoizKogumok", 0)</f>
        <v>0</v>
      </c>
      <c r="AQ110" s="125">
        <f>HYPERLINK("https://docs.google.com/spreadsheets/d/16hG61Sko_TrsLEMQZi3TFInMbQvEyN5Q", 0)</f>
        <v>0</v>
      </c>
      <c r="AR110" s="125">
        <f>HYPERLINK("https://docs.google.com/spreadsheets/d/1BRBlMTLGyqGe4_uXESRl-5m0VnzyGwEc", 0)</f>
        <v>0</v>
      </c>
      <c r="AS110" s="120"/>
      <c r="AT110" s="120"/>
      <c r="AU110" s="125">
        <f>HYPERLINK("https://docs.google.com/spreadsheets/d/1Zlwavix_bJJkN0u52YkRwFAKyQWTT0zd", 2.48458333333333)</f>
        <v>2.484583333</v>
      </c>
      <c r="AV110" s="124">
        <f>HYPERLINK("https://docs.google.com/spreadsheets/d/1OZT0AChe5qW29BCbe9nwJQk4yJdMkwui", 0)</f>
        <v>0</v>
      </c>
      <c r="AW110" s="120"/>
      <c r="AX110" s="120"/>
      <c r="AY110" s="124">
        <f>HYPERLINK("https://docs.google.com/spreadsheets/d/1J6DBLp3iRkJ1adKzVKDvpRVWuZLUgXWm", 0)</f>
        <v>0</v>
      </c>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0"/>
      <c r="CD110" s="120"/>
      <c r="CE110" s="120"/>
      <c r="CF110" s="120"/>
      <c r="CG110" s="120"/>
      <c r="CH110" s="120"/>
      <c r="CI110" s="120"/>
      <c r="CJ110" s="120"/>
      <c r="CK110" s="120"/>
      <c r="CL110" s="120"/>
      <c r="CM110" s="120"/>
      <c r="CN110" s="120"/>
      <c r="CO110" s="120"/>
      <c r="CP110" s="120"/>
      <c r="CQ110" s="120"/>
      <c r="CR110" s="120"/>
      <c r="CS110" s="120"/>
      <c r="CT110" s="120"/>
      <c r="CU110" s="120"/>
      <c r="CV110" s="120"/>
      <c r="CW110" s="120"/>
      <c r="CX110" s="120"/>
      <c r="CY110" s="120"/>
      <c r="CZ110" s="120"/>
      <c r="DA110" s="120"/>
      <c r="DB110" s="120"/>
      <c r="DC110" s="120"/>
      <c r="DD110" s="120"/>
      <c r="DE110" s="120"/>
      <c r="DF110" s="120"/>
      <c r="DG110" s="120"/>
      <c r="DH110" s="120"/>
      <c r="DI110" s="120"/>
      <c r="DJ110" s="120"/>
      <c r="DK110" s="120"/>
      <c r="DL110" s="120"/>
      <c r="DM110" s="120"/>
      <c r="DN110" s="120"/>
      <c r="DO110" s="120"/>
      <c r="DP110" s="120"/>
      <c r="DQ110" s="120"/>
      <c r="DR110" s="120"/>
      <c r="DS110" s="120"/>
      <c r="DT110" s="120"/>
      <c r="DU110" s="120"/>
      <c r="DV110" s="120"/>
      <c r="DW110" s="120"/>
      <c r="DX110" s="120"/>
      <c r="DY110" s="120"/>
      <c r="DZ110" s="120"/>
      <c r="EA110" s="120"/>
      <c r="EB110" s="120"/>
      <c r="EC110" s="120"/>
      <c r="ED110" s="120"/>
      <c r="EE110" s="120"/>
      <c r="EF110" s="120"/>
      <c r="EG110" s="120"/>
      <c r="EH110" s="120"/>
      <c r="EI110" s="120"/>
      <c r="EJ110" s="120"/>
      <c r="EK110" s="120"/>
      <c r="EL110" s="120"/>
      <c r="EM110" s="120"/>
      <c r="EN110" s="120"/>
      <c r="EO110" s="120"/>
      <c r="EP110" s="120"/>
      <c r="EQ110" s="120"/>
      <c r="ER110" s="120"/>
      <c r="ES110" s="120"/>
      <c r="ET110" s="120"/>
      <c r="EU110" s="120"/>
      <c r="EV110" s="120"/>
      <c r="EW110" s="120"/>
      <c r="EX110" s="120"/>
      <c r="EY110" s="120"/>
    </row>
    <row r="111">
      <c r="A111" s="112" t="s">
        <v>7</v>
      </c>
      <c r="B111" s="112" t="s">
        <v>43</v>
      </c>
      <c r="C111" s="112" t="s">
        <v>409</v>
      </c>
      <c r="D111" s="113">
        <f t="shared" si="1"/>
        <v>595.5259</v>
      </c>
      <c r="E111" s="114">
        <v>90.0382333333333</v>
      </c>
      <c r="F111" s="114"/>
      <c r="G111" s="114"/>
      <c r="H111" s="114"/>
      <c r="I111" s="114"/>
      <c r="J111" s="114"/>
      <c r="K111" s="114"/>
      <c r="L111" s="114">
        <v>0.56435</v>
      </c>
      <c r="M111" s="114"/>
      <c r="N111" s="114"/>
      <c r="O111" s="114">
        <v>19.4443</v>
      </c>
      <c r="P111" s="112"/>
      <c r="Q111" s="112">
        <v>0.1312</v>
      </c>
      <c r="R111" s="112">
        <v>124.3842</v>
      </c>
      <c r="S111" s="112"/>
      <c r="T111" s="112"/>
      <c r="U111" s="112"/>
      <c r="V111" s="112"/>
      <c r="W111" s="112"/>
      <c r="X111" s="112">
        <v>2.04016666666667</v>
      </c>
      <c r="Y111" s="112">
        <v>86.75355</v>
      </c>
      <c r="Z111" s="112"/>
      <c r="AA111" s="113"/>
      <c r="AB111" s="112"/>
      <c r="AC111" s="112"/>
      <c r="AD111" s="112"/>
      <c r="AE111" s="112">
        <v>2.06246666666667</v>
      </c>
      <c r="AF111" s="112"/>
      <c r="AG111" s="112"/>
      <c r="AH111" s="112">
        <v>78.8533</v>
      </c>
      <c r="AI111" s="112"/>
      <c r="AJ111" s="112"/>
      <c r="AK111" s="112"/>
      <c r="AL111" s="113"/>
      <c r="AM111" s="112"/>
      <c r="AN111" s="112">
        <v>1.90635</v>
      </c>
      <c r="AO111" s="112">
        <v>75.6345166666667</v>
      </c>
      <c r="AP111" s="112"/>
      <c r="AQ111" s="113"/>
      <c r="AR111" s="112"/>
      <c r="AS111" s="112">
        <v>5.67113333333333</v>
      </c>
      <c r="AT111" s="112">
        <v>18.5598666666667</v>
      </c>
      <c r="AU111" s="112"/>
      <c r="AV111" s="112"/>
      <c r="AW111" s="112">
        <v>3.08765</v>
      </c>
      <c r="AX111" s="112">
        <v>78.9970833333334</v>
      </c>
      <c r="AY111" s="113"/>
      <c r="AZ111" s="112">
        <v>6.70521666666666</v>
      </c>
      <c r="BA111" s="112">
        <v>0.692316666666667</v>
      </c>
      <c r="BB111" s="113"/>
      <c r="BC111" s="113"/>
      <c r="BD111" s="113"/>
      <c r="BE111" s="113"/>
      <c r="BF111" s="113"/>
      <c r="BG111" s="113"/>
      <c r="BH111" s="113"/>
      <c r="BI111" s="113"/>
      <c r="BJ111" s="113"/>
      <c r="BK111" s="113"/>
      <c r="BL111" s="113"/>
      <c r="BM111" s="113"/>
      <c r="BN111" s="113"/>
      <c r="BO111" s="113"/>
      <c r="BP111" s="113"/>
      <c r="BQ111" s="113"/>
      <c r="BR111" s="113"/>
      <c r="BS111" s="113"/>
      <c r="BT111" s="113"/>
      <c r="BU111" s="113"/>
      <c r="BV111" s="113"/>
      <c r="BW111" s="113"/>
      <c r="BX111" s="113"/>
      <c r="BY111" s="113"/>
      <c r="BZ111" s="113"/>
      <c r="CA111" s="113"/>
      <c r="CB111" s="113"/>
      <c r="CC111" s="113"/>
      <c r="CD111" s="113"/>
      <c r="CE111" s="113"/>
      <c r="CF111" s="113"/>
      <c r="CG111" s="113"/>
      <c r="CH111" s="113"/>
      <c r="CI111" s="113"/>
      <c r="CJ111" s="113"/>
      <c r="CK111" s="113"/>
      <c r="CL111" s="113"/>
      <c r="CM111" s="113"/>
      <c r="CN111" s="113"/>
      <c r="CO111" s="113"/>
      <c r="CP111" s="113"/>
      <c r="CQ111" s="113"/>
      <c r="CR111" s="113"/>
      <c r="CS111" s="113"/>
      <c r="CT111" s="113"/>
      <c r="CU111" s="113"/>
      <c r="CV111" s="113"/>
      <c r="CW111" s="113"/>
      <c r="CX111" s="113"/>
      <c r="CY111" s="113"/>
      <c r="CZ111" s="113"/>
      <c r="DA111" s="113"/>
      <c r="DB111" s="113"/>
      <c r="DC111" s="113"/>
      <c r="DD111" s="113"/>
      <c r="DE111" s="113"/>
      <c r="DF111" s="113"/>
      <c r="DG111" s="113"/>
      <c r="DH111" s="113"/>
      <c r="DI111" s="113"/>
      <c r="DJ111" s="113"/>
      <c r="DK111" s="113"/>
      <c r="DL111" s="113"/>
      <c r="DM111" s="113"/>
      <c r="DN111" s="113"/>
      <c r="DO111" s="113"/>
      <c r="DP111" s="113"/>
      <c r="DQ111" s="113"/>
      <c r="DR111" s="113"/>
      <c r="DS111" s="113"/>
      <c r="DT111" s="113"/>
      <c r="DU111" s="113"/>
      <c r="DV111" s="113"/>
      <c r="DW111" s="113"/>
      <c r="DX111" s="113"/>
      <c r="DY111" s="113"/>
      <c r="DZ111" s="113"/>
      <c r="EA111" s="113"/>
      <c r="EB111" s="113"/>
      <c r="EC111" s="113"/>
      <c r="ED111" s="113"/>
      <c r="EE111" s="113"/>
      <c r="EF111" s="113"/>
      <c r="EG111" s="113"/>
      <c r="EH111" s="113"/>
      <c r="EI111" s="113"/>
      <c r="EJ111" s="113"/>
      <c r="EK111" s="113"/>
      <c r="EL111" s="113"/>
      <c r="EM111" s="113"/>
      <c r="EN111" s="113"/>
      <c r="EO111" s="113"/>
      <c r="EP111" s="113"/>
      <c r="EQ111" s="113"/>
      <c r="ER111" s="113"/>
      <c r="ES111" s="113"/>
      <c r="ET111" s="113"/>
      <c r="EU111" s="113"/>
      <c r="EV111" s="113"/>
      <c r="EW111" s="113"/>
      <c r="EX111" s="113"/>
      <c r="EY111" s="113"/>
    </row>
    <row r="112">
      <c r="A112" s="65" t="s">
        <v>7</v>
      </c>
      <c r="B112" s="65" t="s">
        <v>43</v>
      </c>
      <c r="C112" s="65" t="s">
        <v>410</v>
      </c>
      <c r="D112" s="64">
        <f t="shared" si="1"/>
        <v>654.9649167</v>
      </c>
      <c r="E112" s="115"/>
      <c r="F112" s="104"/>
      <c r="G112" s="104">
        <v>65.4378333333333</v>
      </c>
      <c r="H112" s="104">
        <v>3.3432</v>
      </c>
      <c r="I112" s="104">
        <v>0.700733333333333</v>
      </c>
      <c r="J112" s="104">
        <v>1.8797</v>
      </c>
      <c r="K112" s="104">
        <v>13.2699</v>
      </c>
      <c r="L112" s="104"/>
      <c r="M112" s="104"/>
      <c r="N112" s="104">
        <v>65.4378333333333</v>
      </c>
      <c r="O112" s="115"/>
      <c r="P112" s="65">
        <v>16.7863666666667</v>
      </c>
      <c r="Q112" s="65"/>
      <c r="R112" s="65"/>
      <c r="S112" s="65">
        <v>52.4703333333333</v>
      </c>
      <c r="T112" s="65">
        <v>40.74135</v>
      </c>
      <c r="U112" s="65">
        <v>9.46055</v>
      </c>
      <c r="V112" s="65">
        <v>3.32443333333333</v>
      </c>
      <c r="W112" s="65">
        <v>14.8145333333333</v>
      </c>
      <c r="X112" s="65"/>
      <c r="Y112" s="65"/>
      <c r="Z112" s="65">
        <v>16.99365</v>
      </c>
      <c r="AA112" s="65">
        <v>50.2217166666667</v>
      </c>
      <c r="AB112" s="65">
        <v>12.3424</v>
      </c>
      <c r="AC112" s="65">
        <v>1.32495</v>
      </c>
      <c r="AD112" s="65">
        <v>4.37955</v>
      </c>
      <c r="AE112" s="65"/>
      <c r="AF112" s="65">
        <v>16.99365</v>
      </c>
      <c r="AG112" s="65">
        <v>50.2217166666667</v>
      </c>
      <c r="AH112" s="65"/>
      <c r="AI112" s="65">
        <v>16.368</v>
      </c>
      <c r="AJ112" s="65">
        <v>46.6725666666667</v>
      </c>
      <c r="AK112" s="65">
        <v>8.79678333333333</v>
      </c>
      <c r="AL112" s="65">
        <v>1.12198333333333</v>
      </c>
      <c r="AM112" s="65">
        <v>4.86651666666667</v>
      </c>
      <c r="AN112" s="65"/>
      <c r="AP112" s="65">
        <v>12.1461333333333</v>
      </c>
      <c r="AQ112" s="65">
        <v>5.28226666666667</v>
      </c>
      <c r="AR112" s="65">
        <v>37.0860666666667</v>
      </c>
      <c r="AT112" s="65"/>
      <c r="AU112" s="65">
        <v>1.6453</v>
      </c>
      <c r="AV112" s="65">
        <v>11.3099333333333</v>
      </c>
      <c r="AY112" s="65">
        <v>69.5249666666666</v>
      </c>
    </row>
    <row r="113">
      <c r="A113" s="65" t="s">
        <v>7</v>
      </c>
      <c r="B113" s="65" t="s">
        <v>43</v>
      </c>
      <c r="C113" s="65" t="s">
        <v>411</v>
      </c>
      <c r="D113" s="64">
        <f t="shared" si="1"/>
        <v>0</v>
      </c>
      <c r="E113" s="115"/>
      <c r="F113" s="115"/>
      <c r="G113" s="115"/>
      <c r="H113" s="115"/>
      <c r="I113" s="115"/>
      <c r="J113" s="115"/>
      <c r="K113" s="115"/>
      <c r="L113" s="115"/>
      <c r="M113" s="115"/>
      <c r="N113" s="115"/>
      <c r="O113" s="115"/>
    </row>
    <row r="114">
      <c r="A114" s="65" t="s">
        <v>7</v>
      </c>
      <c r="B114" s="65" t="s">
        <v>43</v>
      </c>
      <c r="C114" s="65" t="s">
        <v>412</v>
      </c>
      <c r="D114" s="64">
        <f t="shared" si="1"/>
        <v>489.7504833</v>
      </c>
      <c r="E114" s="115"/>
      <c r="F114" s="115"/>
      <c r="G114" s="116">
        <f>HYPERLINK("https://docs.google.com/spreadsheets/d/1MDCT9ypifVwhLBYRHE7cc_kZ94qSJBn-", 65.4378166666666)</f>
        <v>65.43781667</v>
      </c>
      <c r="H114" s="116">
        <f>HYPERLINK("https://docs.google.com/spreadsheets/d/1PshYGz6rrO7vc4Ffi2tGnKzPFGmCJltk", 3.34318333333333)</f>
        <v>3.343183333</v>
      </c>
      <c r="I114" s="116">
        <f>HYPERLINK("https://docs.google.com/spreadsheets/d/1Y31fSVgcOn7h8b3GwJKlKmY264Gn2_9-", 0.700733333333333)</f>
        <v>0.7007333333</v>
      </c>
      <c r="J114" s="116">
        <f>HYPERLINK("https://docs.google.com/spreadsheets/d/1hEH_5dcF-NsFyOyb5gaOxg2wpgRQRxie", 1.56423333333333)</f>
        <v>1.564233333</v>
      </c>
      <c r="K114" s="116">
        <f>HYPERLINK("https://docs.google.com/spreadsheets/d/13fbUiQEPZw2GJcWgvmKmwJqCHsgS4IAT", 13.2698666666667)</f>
        <v>13.26986667</v>
      </c>
      <c r="L114" s="115"/>
      <c r="M114" s="115"/>
      <c r="N114" s="115"/>
      <c r="O114" s="115"/>
      <c r="P114" s="118">
        <f>HYPERLINK("https://docs.google.com/spreadsheets/d/1k7t7RLekMVP6Qs1tajJS_dau8ntyiV8w", 16.78635)</f>
        <v>16.78635</v>
      </c>
      <c r="S114" s="118">
        <f>HYPERLINK("https://docs.google.com/spreadsheets/d/1GOIDa7U4pkwhTzbUiiKYK1bkti_IUTX6", 35.9277833333333)</f>
        <v>35.92778333</v>
      </c>
      <c r="T114" s="118">
        <f>HYPERLINK("https://docs.google.com/spreadsheets/d/1zS0JWoBhPEYz3MIQzKtGPq2UvXHnFPpR", 40.2321166666667)</f>
        <v>40.23211667</v>
      </c>
      <c r="U114" s="118">
        <f>HYPERLINK("https://docs.google.com/spreadsheets/d/18FrABEgF9r_IfH85oCpG4Ln1aDVdfCMz", 9.37383333333333)</f>
        <v>9.373833333</v>
      </c>
      <c r="V114" s="118">
        <f>HYPERLINK("https://docs.google.com/spreadsheets/d/1gKp8UA3OnKG3B8aReIsLxNmWRiZLovfl", 2.01021666666667)</f>
        <v>2.010216667</v>
      </c>
      <c r="W114" s="118">
        <f>HYPERLINK("https://docs.google.com/spreadsheets/d/1Dephwe0Xrx7X8lgcHoful-gy0SaunRib", 14.6770333333333)</f>
        <v>14.67703333</v>
      </c>
      <c r="Z114" s="118">
        <f>HYPERLINK("https://docs.google.com/spreadsheets/d/1eD22Ls-5zZibMpUisODCiq2PcqdU03EX", 10.1673)</f>
        <v>10.1673</v>
      </c>
      <c r="AA114" s="118">
        <f>HYPERLINK("https://docs.google.com/spreadsheets/d/1Wl3FXjSsdsLL0NsZ3cRJgUiEUsBKpiGB", 50.0930666666666)</f>
        <v>50.09306667</v>
      </c>
      <c r="AB114" s="118">
        <f>HYPERLINK("https://docs.google.com/spreadsheets/d/1J8JxjoMKgqm_1k0j9Z3oiVo_Dbr9MRNq", 12.2136166666667)</f>
        <v>12.21361667</v>
      </c>
      <c r="AC114" s="118">
        <f>HYPERLINK("https://docs.google.com/spreadsheets/d/1SDbkYmOVqN2Cl3bwMpp3YLPcYLj3UIll", 1.15726666666667)</f>
        <v>1.157266667</v>
      </c>
      <c r="AD114" s="118">
        <f>HYPERLINK("https://docs.google.com/spreadsheets/d/1BUJyVpEUPTjPx-wIUbVj9oEEMHoyfi1_", 4.37955)</f>
        <v>4.37955</v>
      </c>
      <c r="AI114" s="118">
        <f>HYPERLINK("https://docs.google.com/spreadsheets/d/1gGTtn8kMbtyIFFeTXqV8A59Vy2jKlcuH", 12.3682333333333)</f>
        <v>12.36823333</v>
      </c>
      <c r="AJ114" s="118">
        <f>HYPERLINK("https://docs.google.com/spreadsheets/d/1NZVU1kqQ4W0ac12lIoqRJLv3TBhCsyMN", 46.6726)</f>
        <v>46.6726</v>
      </c>
      <c r="AK114" s="118">
        <f>HYPERLINK("https://docs.google.com/spreadsheets/d/1eFRQjp8aVfo5K3G_JojvNX0e10wBAO-H", 8.79678333333333)</f>
        <v>8.796783333</v>
      </c>
      <c r="AL114" s="118">
        <f>HYPERLINK("https://docs.google.com/spreadsheets/d/1RP-868l4x-33ezmhPLOYjqfzyD-oApn5", 1.12198333333333)</f>
        <v>1.121983333</v>
      </c>
      <c r="AM114" s="118">
        <f>HYPERLINK("https://docs.google.com/spreadsheets/d/1iHDKVUuax3GvcDOk8Qoy0p-izDKmg9M0", 4.86651666666667)</f>
        <v>4.866516667</v>
      </c>
      <c r="AP114" s="118">
        <f>HYPERLINK("https://docs.google.com/spreadsheets/d/19TOIVVlI77pBBHgbmufDLps-9iAxJcBb", 10.8794)</f>
        <v>10.8794</v>
      </c>
      <c r="AQ114" s="118">
        <f>HYPERLINK("https://docs.google.com/spreadsheets/d/1YDLKHh2iB3Gee_EjHB6w6P2v2RFBtmOP", 5.2048)</f>
        <v>5.2048</v>
      </c>
      <c r="AR114" s="118">
        <f>HYPERLINK("https://docs.google.com/spreadsheets/d/1sG_EnQKOWoXvj6r5lqctJD_ctYrGePkl", 37.0130833333333)</f>
        <v>37.01308333</v>
      </c>
      <c r="AU114" s="118">
        <f>HYPERLINK("https://docs.google.com/spreadsheets/d/1zpEvIdDBafR1rx-YQLVTrAKCEW3MiX9v", 1.09978333333333)</f>
        <v>1.099783333</v>
      </c>
      <c r="AV114" s="118">
        <f>HYPERLINK("https://docs.google.com/spreadsheets/d/1PCLBktd6h15fDzt7swecKNUyAll3gvjF", 11.2227666666667)</f>
        <v>11.22276667</v>
      </c>
      <c r="AY114" s="118">
        <f>HYPERLINK("https://docs.google.com/spreadsheets/d/1OTM_ZssQHsAsso91SnfaaRQlQxt16LqT", 69.1705666666667)</f>
        <v>69.17056667</v>
      </c>
    </row>
    <row r="115">
      <c r="A115" s="65" t="s">
        <v>7</v>
      </c>
      <c r="B115" s="65" t="s">
        <v>43</v>
      </c>
      <c r="C115" s="65" t="s">
        <v>413</v>
      </c>
      <c r="D115" s="64">
        <f t="shared" si="1"/>
        <v>336.1094667</v>
      </c>
      <c r="E115" s="115"/>
      <c r="F115" s="115"/>
      <c r="G115" s="104">
        <v>2.3753166666666</v>
      </c>
      <c r="H115" s="104">
        <v>0.127333333333334</v>
      </c>
      <c r="I115" s="104">
        <v>1.11022302462516E-16</v>
      </c>
      <c r="J115" s="104">
        <v>0.0</v>
      </c>
      <c r="K115" s="104">
        <v>13.2698666666667</v>
      </c>
      <c r="L115" s="104"/>
      <c r="M115" s="104"/>
      <c r="N115" s="104"/>
      <c r="O115" s="115"/>
      <c r="P115" s="65">
        <v>16.78635</v>
      </c>
      <c r="Q115" s="65"/>
      <c r="R115" s="65"/>
      <c r="S115" s="65">
        <v>35.4843166666667</v>
      </c>
      <c r="T115" s="65">
        <v>39.1793833333334</v>
      </c>
      <c r="U115" s="65">
        <v>1.01561666666666</v>
      </c>
      <c r="V115" s="65">
        <v>0.0</v>
      </c>
      <c r="W115" s="65">
        <v>14.3629333333333</v>
      </c>
      <c r="X115" s="65"/>
      <c r="Y115" s="65"/>
      <c r="Z115" s="65">
        <v>6.70890000000001</v>
      </c>
      <c r="AA115" s="65">
        <v>28.2429166666666</v>
      </c>
      <c r="AB115" s="65">
        <v>0.0822666666666674</v>
      </c>
      <c r="AC115" s="65">
        <v>-4.44089209850063E-16</v>
      </c>
      <c r="AD115" s="65">
        <v>0.0</v>
      </c>
      <c r="AE115" s="65"/>
      <c r="AF115" s="65"/>
      <c r="AG115" s="65"/>
      <c r="AH115" s="65"/>
      <c r="AI115" s="65">
        <v>12.3682333333333</v>
      </c>
      <c r="AJ115" s="65">
        <v>44.49695</v>
      </c>
      <c r="AK115" s="65">
        <v>0.156049999999997</v>
      </c>
      <c r="AL115" s="65">
        <v>-2.22044604925031E-16</v>
      </c>
      <c r="AM115" s="65">
        <v>4.4545</v>
      </c>
      <c r="AN115" s="65"/>
      <c r="AP115" s="65">
        <v>10.8794</v>
      </c>
      <c r="AQ115" s="65">
        <v>-2.66453525910038E-15</v>
      </c>
      <c r="AR115" s="65">
        <v>36.7023833333333</v>
      </c>
      <c r="AT115" s="65"/>
      <c r="AU115" s="65">
        <v>0.0</v>
      </c>
      <c r="AV115" s="65">
        <v>0.6418</v>
      </c>
      <c r="AY115" s="65">
        <v>68.77495</v>
      </c>
    </row>
    <row r="116">
      <c r="A116" s="119" t="s">
        <v>7</v>
      </c>
      <c r="B116" s="119" t="s">
        <v>43</v>
      </c>
      <c r="C116" s="119" t="s">
        <v>414</v>
      </c>
      <c r="D116" s="120">
        <f t="shared" si="1"/>
        <v>1.099783333</v>
      </c>
      <c r="E116" s="121"/>
      <c r="F116" s="121"/>
      <c r="G116" s="122">
        <f>HYPERLINK("https://docs.google.com/spreadsheets/d/1MDCT9ypifVwhLBYRHE7cc_kZ94qSJBn-", 0)</f>
        <v>0</v>
      </c>
      <c r="H116" s="122">
        <f>HYPERLINK("https://docs.google.com/spreadsheets/d/1PshYGz6rrO7vc4Ffi2tGnKzPFGmCJltk", 0)</f>
        <v>0</v>
      </c>
      <c r="I116" s="122">
        <f>HYPERLINK("https://docs.google.com/spreadsheets/d/1Y31fSVgcOn7h8b3GwJKlKmY264Gn2_9-", 0)</f>
        <v>0</v>
      </c>
      <c r="J116" s="122">
        <f>HYPERLINK("https://docs.google.com/spreadsheets/d/1hEH_5dcF-NsFyOyb5gaOxg2wpgRQRxie", 0)</f>
        <v>0</v>
      </c>
      <c r="K116" s="127">
        <f>HYPERLINK("https://docs.google.com/spreadsheets/d/13fbUiQEPZw2GJcWgvmKmwJqCHsgS4IAT", 0)</f>
        <v>0</v>
      </c>
      <c r="L116" s="121"/>
      <c r="M116" s="121"/>
      <c r="N116" s="121"/>
      <c r="O116" s="121"/>
      <c r="P116" s="124">
        <f>HYPERLINK("https://docs.google.com/spreadsheets/d/1k7t7RLekMVP6Qs1tajJS_dau8ntyiV8w", 0)</f>
        <v>0</v>
      </c>
      <c r="Q116" s="119"/>
      <c r="R116" s="119"/>
      <c r="S116" s="124">
        <f>HYPERLINK("https://docs.google.com/spreadsheets/d/1GOIDa7U4pkwhTzbUiiKYK1bkti_IUTX6", 0)</f>
        <v>0</v>
      </c>
      <c r="T116" s="125">
        <f>HYPERLINK("https://docs.google.com/spreadsheets/d/1zS0JWoBhPEYz3MIQzKtGPq2UvXHnFPpR", 0)</f>
        <v>0</v>
      </c>
      <c r="U116" s="125">
        <f>HYPERLINK("https://docs.google.com/spreadsheets/d/18FrABEgF9r_IfH85oCpG4Ln1aDVdfCMz", 0)</f>
        <v>0</v>
      </c>
      <c r="V116" s="124">
        <f>HYPERLINK("https://docs.google.com/spreadsheets/d/1gKp8UA3OnKG3B8aReIsLxNmWRiZLovfl", 0)</f>
        <v>0</v>
      </c>
      <c r="W116" s="124">
        <f>HYPERLINK("https://docs.google.com/spreadsheets/d/1Dephwe0Xrx7X8lgcHoful-gy0SaunRib", 0)</f>
        <v>0</v>
      </c>
      <c r="X116" s="119"/>
      <c r="Y116" s="119"/>
      <c r="Z116" s="124">
        <f>HYPERLINK("https://docs.google.com/spreadsheets/d/1eD22Ls-5zZibMpUisODCiq2PcqdU03EX", 0)</f>
        <v>0</v>
      </c>
      <c r="AA116" s="124">
        <f>HYPERLINK("https://docs.google.com/spreadsheets/d/1Wl3FXjSsdsLL0NsZ3cRJgUiEUsBKpiGB", 0)</f>
        <v>0</v>
      </c>
      <c r="AB116" s="124">
        <f>HYPERLINK("https://docs.google.com/spreadsheets/d/1J8JxjoMKgqm_1k0j9Z3oiVo_Dbr9MRNq", 0)</f>
        <v>0</v>
      </c>
      <c r="AC116" s="124">
        <f>HYPERLINK("https://docs.google.com/spreadsheets/d/1SDbkYmOVqN2Cl3bwMpp3YLPcYLj3UIll", 0)</f>
        <v>0</v>
      </c>
      <c r="AD116" s="124">
        <f>HYPERLINK("https://docs.google.com/spreadsheets/d/1BUJyVpEUPTjPx-wIUbVj9oEEMHoyfi1_", 0)</f>
        <v>0</v>
      </c>
      <c r="AE116" s="119"/>
      <c r="AF116" s="119"/>
      <c r="AG116" s="119"/>
      <c r="AH116" s="119"/>
      <c r="AI116" s="125">
        <f>HYPERLINK("https://docs.google.com/spreadsheets/d/1gGTtn8kMbtyIFFeTXqV8A59Vy2jKlcuH", 0)</f>
        <v>0</v>
      </c>
      <c r="AJ116" s="124">
        <f>HYPERLINK("https://docs.google.com/spreadsheets/d/1NZVU1kqQ4W0ac12lIoqRJLv3TBhCsyMN", 0)</f>
        <v>0</v>
      </c>
      <c r="AK116" s="124">
        <f>HYPERLINK("https://docs.google.com/spreadsheets/d/1eFRQjp8aVfo5K3G_JojvNX0e10wBAO-H", 0)</f>
        <v>0</v>
      </c>
      <c r="AL116" s="124">
        <f>HYPERLINK("https://docs.google.com/spreadsheets/d/1RP-868l4x-33ezmhPLOYjqfzyD-oApn5", 0)</f>
        <v>0</v>
      </c>
      <c r="AM116" s="124">
        <f>HYPERLINK("https://docs.google.com/spreadsheets/d/1iHDKVUuax3GvcDOk8Qoy0p-izDKmg9M0", 0)</f>
        <v>0</v>
      </c>
      <c r="AN116" s="119"/>
      <c r="AO116" s="120"/>
      <c r="AP116" s="124">
        <f>HYPERLINK("https://docs.google.com/spreadsheets/d/19TOIVVlI77pBBHgbmufDLps-9iAxJcBb", 0)</f>
        <v>0</v>
      </c>
      <c r="AQ116" s="125">
        <f>HYPERLINK("https://docs.google.com/spreadsheets/d/1YDLKHh2iB3Gee_EjHB6w6P2v2RFBtmOP", 0)</f>
        <v>0</v>
      </c>
      <c r="AR116" s="125">
        <f>HYPERLINK("https://docs.google.com/spreadsheets/d/1sG_EnQKOWoXvj6r5lqctJD_ctYrGePkl", 0)</f>
        <v>0</v>
      </c>
      <c r="AS116" s="120"/>
      <c r="AT116" s="120"/>
      <c r="AU116" s="125">
        <f>HYPERLINK("https://docs.google.com/spreadsheets/d/1zpEvIdDBafR1rx-YQLVTrAKCEW3MiX9v", 1.09978333333333)</f>
        <v>1.099783333</v>
      </c>
      <c r="AV116" s="124">
        <f>HYPERLINK("https://docs.google.com/spreadsheets/d/1PCLBktd6h15fDzt7swecKNUyAll3gvjF", 0)</f>
        <v>0</v>
      </c>
      <c r="AW116" s="120"/>
      <c r="AX116" s="120"/>
      <c r="AY116" s="124">
        <f>HYPERLINK("https://docs.google.com/spreadsheets/d/1OTM_ZssQHsAsso91SnfaaRQlQxt16LqT", 0)</f>
        <v>0</v>
      </c>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0"/>
      <c r="CE116" s="120"/>
      <c r="CF116" s="120"/>
      <c r="CG116" s="120"/>
      <c r="CH116" s="120"/>
      <c r="CI116" s="120"/>
      <c r="CJ116" s="120"/>
      <c r="CK116" s="120"/>
      <c r="CL116" s="120"/>
      <c r="CM116" s="120"/>
      <c r="CN116" s="120"/>
      <c r="CO116" s="120"/>
      <c r="CP116" s="120"/>
      <c r="CQ116" s="120"/>
      <c r="CR116" s="120"/>
      <c r="CS116" s="120"/>
      <c r="CT116" s="120"/>
      <c r="CU116" s="120"/>
      <c r="CV116" s="120"/>
      <c r="CW116" s="120"/>
      <c r="CX116" s="120"/>
      <c r="CY116" s="120"/>
      <c r="CZ116" s="120"/>
      <c r="DA116" s="120"/>
      <c r="DB116" s="120"/>
      <c r="DC116" s="120"/>
      <c r="DD116" s="120"/>
      <c r="DE116" s="120"/>
      <c r="DF116" s="120"/>
      <c r="DG116" s="120"/>
      <c r="DH116" s="120"/>
      <c r="DI116" s="120"/>
      <c r="DJ116" s="120"/>
      <c r="DK116" s="120"/>
      <c r="DL116" s="120"/>
      <c r="DM116" s="120"/>
      <c r="DN116" s="120"/>
      <c r="DO116" s="120"/>
      <c r="DP116" s="120"/>
      <c r="DQ116" s="120"/>
      <c r="DR116" s="120"/>
      <c r="DS116" s="120"/>
      <c r="DT116" s="120"/>
      <c r="DU116" s="120"/>
      <c r="DV116" s="120"/>
      <c r="DW116" s="120"/>
      <c r="DX116" s="120"/>
      <c r="DY116" s="120"/>
      <c r="DZ116" s="120"/>
      <c r="EA116" s="120"/>
      <c r="EB116" s="120"/>
      <c r="EC116" s="120"/>
      <c r="ED116" s="120"/>
      <c r="EE116" s="120"/>
      <c r="EF116" s="120"/>
      <c r="EG116" s="120"/>
      <c r="EH116" s="120"/>
      <c r="EI116" s="120"/>
      <c r="EJ116" s="120"/>
      <c r="EK116" s="120"/>
      <c r="EL116" s="120"/>
      <c r="EM116" s="120"/>
      <c r="EN116" s="120"/>
      <c r="EO116" s="120"/>
      <c r="EP116" s="120"/>
      <c r="EQ116" s="120"/>
      <c r="ER116" s="120"/>
      <c r="ES116" s="120"/>
      <c r="ET116" s="120"/>
      <c r="EU116" s="120"/>
      <c r="EV116" s="120"/>
      <c r="EW116" s="120"/>
      <c r="EX116" s="120"/>
      <c r="EY116" s="120"/>
    </row>
    <row r="117">
      <c r="A117" s="112" t="s">
        <v>7</v>
      </c>
      <c r="B117" s="112" t="s">
        <v>41</v>
      </c>
      <c r="C117" s="112" t="s">
        <v>409</v>
      </c>
      <c r="D117" s="113">
        <f t="shared" si="1"/>
        <v>590.9939</v>
      </c>
      <c r="E117" s="114">
        <v>66.0115166666667</v>
      </c>
      <c r="F117" s="114"/>
      <c r="G117" s="114"/>
      <c r="H117" s="114"/>
      <c r="I117" s="114"/>
      <c r="J117" s="114"/>
      <c r="K117" s="114"/>
      <c r="L117" s="114">
        <v>1.38138333333333</v>
      </c>
      <c r="M117" s="114"/>
      <c r="N117" s="114"/>
      <c r="O117" s="114">
        <v>10.5049833333333</v>
      </c>
      <c r="P117" s="112"/>
      <c r="Q117" s="112"/>
      <c r="R117" s="112">
        <v>135.1711</v>
      </c>
      <c r="S117" s="112"/>
      <c r="T117" s="112"/>
      <c r="U117" s="112"/>
      <c r="V117" s="112"/>
      <c r="W117" s="112"/>
      <c r="X117" s="112">
        <v>1.05065</v>
      </c>
      <c r="Y117" s="112">
        <v>48.8366833333332</v>
      </c>
      <c r="Z117" s="112"/>
      <c r="AA117" s="113"/>
      <c r="AB117" s="112"/>
      <c r="AC117" s="112"/>
      <c r="AD117" s="112"/>
      <c r="AE117" s="112">
        <v>0.469083333333333</v>
      </c>
      <c r="AF117" s="112"/>
      <c r="AG117" s="112"/>
      <c r="AH117" s="112">
        <v>143.164716666667</v>
      </c>
      <c r="AI117" s="112"/>
      <c r="AJ117" s="112"/>
      <c r="AK117" s="112"/>
      <c r="AL117" s="113"/>
      <c r="AM117" s="112"/>
      <c r="AN117" s="112">
        <v>3.0134</v>
      </c>
      <c r="AO117" s="112">
        <v>34.1094833333333</v>
      </c>
      <c r="AP117" s="112"/>
      <c r="AQ117" s="113"/>
      <c r="AR117" s="112"/>
      <c r="AS117" s="112">
        <v>3.9214</v>
      </c>
      <c r="AT117" s="112">
        <v>10.2883666666667</v>
      </c>
      <c r="AU117" s="112"/>
      <c r="AV117" s="112"/>
      <c r="AW117" s="112">
        <v>2.64168333333333</v>
      </c>
      <c r="AX117" s="112">
        <v>121.966533333333</v>
      </c>
      <c r="AY117" s="113"/>
      <c r="AZ117" s="112">
        <v>7.65363333333334</v>
      </c>
      <c r="BA117" s="112">
        <v>0.809283333333333</v>
      </c>
      <c r="BB117" s="113"/>
      <c r="BC117" s="113"/>
      <c r="BD117" s="113"/>
      <c r="BE117" s="113"/>
      <c r="BF117" s="113"/>
      <c r="BG117" s="113"/>
      <c r="BH117" s="113"/>
      <c r="BI117" s="113"/>
      <c r="BJ117" s="113"/>
      <c r="BK117" s="113"/>
      <c r="BL117" s="113"/>
      <c r="BM117" s="113"/>
      <c r="BN117" s="113"/>
      <c r="BO117" s="113"/>
      <c r="BP117" s="113"/>
      <c r="BQ117" s="113"/>
      <c r="BR117" s="113"/>
      <c r="BS117" s="113"/>
      <c r="BT117" s="113"/>
      <c r="BU117" s="113"/>
      <c r="BV117" s="113"/>
      <c r="BW117" s="113"/>
      <c r="BX117" s="113"/>
      <c r="BY117" s="113"/>
      <c r="BZ117" s="113"/>
      <c r="CA117" s="113"/>
      <c r="CB117" s="113"/>
      <c r="CC117" s="113"/>
      <c r="CD117" s="113"/>
      <c r="CE117" s="113"/>
      <c r="CF117" s="113"/>
      <c r="CG117" s="113"/>
      <c r="CH117" s="113"/>
      <c r="CI117" s="113"/>
      <c r="CJ117" s="113"/>
      <c r="CK117" s="113"/>
      <c r="CL117" s="113"/>
      <c r="CM117" s="113"/>
      <c r="CN117" s="113"/>
      <c r="CO117" s="113"/>
      <c r="CP117" s="113"/>
      <c r="CQ117" s="113"/>
      <c r="CR117" s="113"/>
      <c r="CS117" s="113"/>
      <c r="CT117" s="113"/>
      <c r="CU117" s="113"/>
      <c r="CV117" s="113"/>
      <c r="CW117" s="113"/>
      <c r="CX117" s="113"/>
      <c r="CY117" s="113"/>
      <c r="CZ117" s="113"/>
      <c r="DA117" s="113"/>
      <c r="DB117" s="113"/>
      <c r="DC117" s="113"/>
      <c r="DD117" s="113"/>
      <c r="DE117" s="113"/>
      <c r="DF117" s="113"/>
      <c r="DG117" s="113"/>
      <c r="DH117" s="113"/>
      <c r="DI117" s="113"/>
      <c r="DJ117" s="113"/>
      <c r="DK117" s="113"/>
      <c r="DL117" s="113"/>
      <c r="DM117" s="113"/>
      <c r="DN117" s="113"/>
      <c r="DO117" s="113"/>
      <c r="DP117" s="113"/>
      <c r="DQ117" s="113"/>
      <c r="DR117" s="113"/>
      <c r="DS117" s="113"/>
      <c r="DT117" s="113"/>
      <c r="DU117" s="113"/>
      <c r="DV117" s="113"/>
      <c r="DW117" s="113"/>
      <c r="DX117" s="113"/>
      <c r="DY117" s="113"/>
      <c r="DZ117" s="113"/>
      <c r="EA117" s="113"/>
      <c r="EB117" s="113"/>
      <c r="EC117" s="113"/>
      <c r="ED117" s="113"/>
      <c r="EE117" s="113"/>
      <c r="EF117" s="113"/>
      <c r="EG117" s="113"/>
      <c r="EH117" s="113"/>
      <c r="EI117" s="113"/>
      <c r="EJ117" s="113"/>
      <c r="EK117" s="113"/>
      <c r="EL117" s="113"/>
      <c r="EM117" s="113"/>
      <c r="EN117" s="113"/>
      <c r="EO117" s="113"/>
      <c r="EP117" s="113"/>
      <c r="EQ117" s="113"/>
      <c r="ER117" s="113"/>
      <c r="ES117" s="113"/>
      <c r="ET117" s="113"/>
      <c r="EU117" s="113"/>
      <c r="EV117" s="113"/>
      <c r="EW117" s="113"/>
      <c r="EX117" s="113"/>
      <c r="EY117" s="113"/>
    </row>
    <row r="118">
      <c r="A118" s="65" t="s">
        <v>7</v>
      </c>
      <c r="B118" s="65" t="s">
        <v>41</v>
      </c>
      <c r="C118" s="65" t="s">
        <v>410</v>
      </c>
      <c r="D118" s="64">
        <f t="shared" si="1"/>
        <v>610.0839833</v>
      </c>
      <c r="E118" s="104"/>
      <c r="F118" s="104">
        <v>24.4507</v>
      </c>
      <c r="G118" s="104">
        <v>23.1297166666667</v>
      </c>
      <c r="H118" s="104">
        <v>5.149</v>
      </c>
      <c r="I118" s="104">
        <v>0.883033333333333</v>
      </c>
      <c r="J118" s="104">
        <v>0.498683333333333</v>
      </c>
      <c r="K118" s="104">
        <v>8.66461666666666</v>
      </c>
      <c r="L118" s="104"/>
      <c r="M118" s="104">
        <v>24.4507</v>
      </c>
      <c r="N118" s="104">
        <v>23.1297166666667</v>
      </c>
      <c r="O118" s="104"/>
      <c r="P118" s="65">
        <v>9.67326666666667</v>
      </c>
      <c r="Q118" s="65"/>
      <c r="R118" s="65"/>
      <c r="S118" s="65">
        <v>60.65455</v>
      </c>
      <c r="T118" s="65">
        <v>18.2382666666667</v>
      </c>
      <c r="U118" s="65">
        <v>12.58225</v>
      </c>
      <c r="V118" s="65">
        <v>5.63643333333333</v>
      </c>
      <c r="W118" s="65">
        <v>31.957</v>
      </c>
      <c r="X118" s="65"/>
      <c r="Y118" s="65"/>
      <c r="Z118" s="65">
        <v>10.0019833333333</v>
      </c>
      <c r="AA118" s="65">
        <v>12.19335</v>
      </c>
      <c r="AB118" s="65">
        <v>3.6479</v>
      </c>
      <c r="AC118" s="65">
        <v>2.9345</v>
      </c>
      <c r="AD118" s="65">
        <v>17.0759333333333</v>
      </c>
      <c r="AE118" s="65"/>
      <c r="AF118" s="65">
        <v>10.0019833333333</v>
      </c>
      <c r="AG118" s="65">
        <v>12.19335</v>
      </c>
      <c r="AH118" s="65"/>
      <c r="AI118" s="65">
        <v>29.4020333333333</v>
      </c>
      <c r="AJ118" s="65">
        <v>39.2144333333334</v>
      </c>
      <c r="AK118" s="65">
        <v>35.4896166666667</v>
      </c>
      <c r="AL118" s="65">
        <v>1.43338333333333</v>
      </c>
      <c r="AM118" s="65">
        <v>34.414</v>
      </c>
      <c r="AN118" s="65"/>
      <c r="AP118" s="65">
        <v>6.45166666666667</v>
      </c>
      <c r="AQ118" s="65">
        <v>1.97935</v>
      </c>
      <c r="AR118" s="65">
        <v>18.8960166666667</v>
      </c>
      <c r="AT118" s="65"/>
      <c r="AU118" s="65">
        <v>3.4016</v>
      </c>
      <c r="AV118" s="65">
        <v>4.63708333333333</v>
      </c>
      <c r="AY118" s="65">
        <v>117.617866666667</v>
      </c>
    </row>
    <row r="119">
      <c r="A119" s="65" t="s">
        <v>7</v>
      </c>
      <c r="B119" s="65" t="s">
        <v>41</v>
      </c>
      <c r="C119" s="65" t="s">
        <v>411</v>
      </c>
      <c r="D119" s="64">
        <f t="shared" si="1"/>
        <v>0</v>
      </c>
      <c r="E119" s="115"/>
      <c r="F119" s="115"/>
      <c r="G119" s="115"/>
      <c r="H119" s="115"/>
      <c r="I119" s="115"/>
      <c r="J119" s="115"/>
      <c r="K119" s="115"/>
      <c r="L119" s="115"/>
      <c r="M119" s="115"/>
      <c r="N119" s="115"/>
      <c r="O119" s="115"/>
    </row>
    <row r="120">
      <c r="A120" s="65" t="s">
        <v>7</v>
      </c>
      <c r="B120" s="65" t="s">
        <v>41</v>
      </c>
      <c r="C120" s="65" t="s">
        <v>412</v>
      </c>
      <c r="D120" s="64">
        <f t="shared" si="1"/>
        <v>521.2519833</v>
      </c>
      <c r="E120" s="115"/>
      <c r="F120" s="117">
        <f>HYPERLINK("https://docs.google.com/spreadsheets/d/1bRuCugQ6tXyZOzztm09TE1Rj-Gobl4Dk", 22.50865)</f>
        <v>22.50865</v>
      </c>
      <c r="G120" s="116">
        <f>HYPERLINK("https://docs.google.com/spreadsheets/d/1sHubxgm78Hzgmb-693EPljlRczXD515B", 23.1297166666667)</f>
        <v>23.12971667</v>
      </c>
      <c r="H120" s="116">
        <f>HYPERLINK("https://docs.google.com/spreadsheets/d/1sr1U4vDfjfoEvqhmEzNIH76axR5YgdNO", 5.149)</f>
        <v>5.149</v>
      </c>
      <c r="I120" s="117">
        <f>HYPERLINK("https://docs.google.com/spreadsheets/d/1G_dmcQ4pr3y8NriI-WyK8v5gpffXZxDJ", 0.883033333333333)</f>
        <v>0.8830333333</v>
      </c>
      <c r="J120" s="116">
        <f>HYPERLINK("https://docs.google.com/spreadsheets/d/1wk3U-gMKRjqxvxpU6ibkZhpBFzkxydSY", 0.498683333333333)</f>
        <v>0.4986833333</v>
      </c>
      <c r="K120" s="117">
        <f>HYPERLINK("https://docs.google.com/spreadsheets/d/1aF9tUB8QBMgMyTwqKFhgdldruX5PAPQD", 8.66461666666666)</f>
        <v>8.664616667</v>
      </c>
      <c r="L120" s="115"/>
      <c r="M120" s="104"/>
      <c r="N120" s="115"/>
      <c r="O120" s="104"/>
      <c r="P120" s="118">
        <f>HYPERLINK("https://docs.google.com/spreadsheets/d/17omv5t2PLSqXdHsyg8Hk2h-USETHM5-E", 9.67326666666666)</f>
        <v>9.673266667</v>
      </c>
      <c r="S120" s="118">
        <f>HYPERLINK("https://docs.google.com/spreadsheets/d/1z_p8XhUO1VCgAgBFmGSWTUJXNiCrHMT7", 50.9230333333333)</f>
        <v>50.92303333</v>
      </c>
      <c r="T120" s="118">
        <f>HYPERLINK("https://docs.google.com/spreadsheets/d/18uhu54VCWoFS-fIjdavO8NI36cOkpvmz", 18.0035333333333)</f>
        <v>18.00353333</v>
      </c>
      <c r="U120" s="118">
        <f>HYPERLINK("https://docs.google.com/spreadsheets/d/1I9LZ-2n11zzGKSxOyyp_1-sFLeTg68FT", 12.2438333333333)</f>
        <v>12.24383333</v>
      </c>
      <c r="V120" s="118">
        <f>HYPERLINK("https://docs.google.com/spreadsheets/d/1F2FIDe8YoEtbv-5eeFgd-Dtde_v-2G6H", 4.95768333333333)</f>
        <v>4.957683333</v>
      </c>
      <c r="W120" s="118">
        <f>HYPERLINK("https://docs.google.com/spreadsheets/d/1aBXrICN7OQkLr3YLJjRfS0Yu42BDhb3d", 31.9569833333334)</f>
        <v>31.95698333</v>
      </c>
      <c r="Z120" s="118">
        <f>HYPERLINK("https://docs.google.com/spreadsheets/d/1lvPrI_oAbF8bflbJf2qe_Q7zjRrMlVnb", 8.1512)</f>
        <v>8.1512</v>
      </c>
      <c r="AA120" s="118">
        <f>HYPERLINK("https://docs.google.com/spreadsheets/d/1ZpMKblUaJW_g7uFiolTjWZAnr1ZFBvcf", 12.19335)</f>
        <v>12.19335</v>
      </c>
      <c r="AB120" s="118">
        <f>HYPERLINK("https://docs.google.com/spreadsheets/d/1vkeajHqkvpYozV7IwDWscAEVIcPO1Jmv", 3.6479)</f>
        <v>3.6479</v>
      </c>
      <c r="AC120" s="118">
        <f>HYPERLINK("https://docs.google.com/spreadsheets/d/1FPfkXyx_6_fOfTBNmqcAbK1rD48oTlZu", 2.58025)</f>
        <v>2.58025</v>
      </c>
      <c r="AD120" s="118">
        <f>HYPERLINK("https://docs.google.com/spreadsheets/d/1nlZnYkWGqKAbeQF1fQmq8u7J2z6EOGf4", 17.0759333333333)</f>
        <v>17.07593333</v>
      </c>
      <c r="AI120" s="118">
        <f>HYPERLINK("https://docs.google.com/spreadsheets/d/1o3hS9-hSBm7BvHIMIKkZkn5HANJCMveP", 26.8692666666667)</f>
        <v>26.86926667</v>
      </c>
      <c r="AJ120" s="118">
        <f>HYPERLINK("https://docs.google.com/spreadsheets/d/1kNKHa0WrDtOnZc3hDxmd47v0W_UCtN_P", 39.2144166666667)</f>
        <v>39.21441667</v>
      </c>
      <c r="AK120" s="118">
        <f>HYPERLINK("https://docs.google.com/spreadsheets/d/1PbH1NkFqbwl47iTOu9jOJmvQQzPlr0Sy", 35.2761333333333)</f>
        <v>35.27613333</v>
      </c>
      <c r="AL120" s="118">
        <f>HYPERLINK("https://docs.google.com/spreadsheets/d/1nvhvEgQlIDdf9DSeifpB-QmAjktoc-Qg", 1.43338333333333)</f>
        <v>1.433383333</v>
      </c>
      <c r="AM120" s="118">
        <f>HYPERLINK("https://docs.google.com/spreadsheets/d/1z5_VmFX9LkS7ewk_c8SaTUorqzI3Z1Lh", 34.23195)</f>
        <v>34.23195</v>
      </c>
      <c r="AP120" s="118">
        <f>HYPERLINK("https://docs.google.com/spreadsheets/d/1ZvAX10R_s9cmXQe0OS4QSQRRg8a6NZR5", 6.37566666666666)</f>
        <v>6.375666667</v>
      </c>
      <c r="AQ120" s="118">
        <f>HYPERLINK("https://docs.google.com/spreadsheets/d/1u-gYwo3BPiCbElJVc__sdHTmROprzw2C", 1.7204)</f>
        <v>1.7204</v>
      </c>
      <c r="AR120" s="118">
        <f>HYPERLINK("https://docs.google.com/spreadsheets/d/1u7nPc0iIjIe5v-1G94vK2KWVa5weH5GB", 18.8959833333333)</f>
        <v>18.89598333</v>
      </c>
      <c r="AU120" s="118">
        <f>HYPERLINK("https://docs.google.com/spreadsheets/d/1NmjuUuuaE8aFzZibIFuLdWPZpcCq6fwX", 3.4016)</f>
        <v>3.4016</v>
      </c>
      <c r="AV120" s="118">
        <f>HYPERLINK("https://docs.google.com/spreadsheets/d/1fW7TT1ksWJX4KqIB7yYoKQvcSPk5vJ8g", 4.63708333333333)</f>
        <v>4.637083333</v>
      </c>
      <c r="AY120" s="118">
        <f>HYPERLINK("https://docs.google.com/spreadsheets/d/1QMVZx9qmou0GS7FhgeVR_GxTtq7KsZLF", 116.955433333333)</f>
        <v>116.9554333</v>
      </c>
    </row>
    <row r="121">
      <c r="A121" s="65" t="s">
        <v>7</v>
      </c>
      <c r="B121" s="65" t="s">
        <v>41</v>
      </c>
      <c r="C121" s="65" t="s">
        <v>413</v>
      </c>
      <c r="D121" s="64">
        <f t="shared" si="1"/>
        <v>366.3014167</v>
      </c>
      <c r="E121" s="115"/>
      <c r="F121" s="104">
        <v>-7.105427357601E-15</v>
      </c>
      <c r="G121" s="104">
        <v>1.26049999999999</v>
      </c>
      <c r="H121" s="104">
        <v>-1.77635683940025E-15</v>
      </c>
      <c r="I121" s="104">
        <v>-1.11022302462516E-16</v>
      </c>
      <c r="J121" s="104">
        <v>5.55111512312578E-17</v>
      </c>
      <c r="K121" s="104">
        <v>7.94133333333333</v>
      </c>
      <c r="L121" s="104"/>
      <c r="M121" s="104"/>
      <c r="N121" s="104"/>
      <c r="O121" s="104"/>
      <c r="P121" s="65">
        <v>9.67326666666666</v>
      </c>
      <c r="Q121" s="65"/>
      <c r="R121" s="65"/>
      <c r="S121" s="65">
        <v>44.3210166666667</v>
      </c>
      <c r="T121" s="65">
        <v>17.7847666666667</v>
      </c>
      <c r="U121" s="65">
        <v>3.5527136788005E-15</v>
      </c>
      <c r="V121" s="65">
        <v>-8.88178419700125E-16</v>
      </c>
      <c r="W121" s="65">
        <v>31.4744</v>
      </c>
      <c r="X121" s="65"/>
      <c r="Y121" s="65"/>
      <c r="Z121" s="65">
        <v>4.36851666666666</v>
      </c>
      <c r="AA121" s="65">
        <v>8.42691666666667</v>
      </c>
      <c r="AB121" s="65">
        <v>4.44089209850063E-16</v>
      </c>
      <c r="AC121" s="65">
        <v>8.88178419700125E-16</v>
      </c>
      <c r="AD121" s="65">
        <v>-3.5527136788005E-15</v>
      </c>
      <c r="AE121" s="65"/>
      <c r="AF121" s="65"/>
      <c r="AG121" s="65"/>
      <c r="AH121" s="65"/>
      <c r="AI121" s="65">
        <v>26.8692666666667</v>
      </c>
      <c r="AJ121" s="65">
        <v>38.9435</v>
      </c>
      <c r="AK121" s="65">
        <v>0.106949999999991</v>
      </c>
      <c r="AL121" s="65">
        <v>0.0</v>
      </c>
      <c r="AM121" s="65">
        <v>33.3495</v>
      </c>
      <c r="AN121" s="65"/>
      <c r="AP121" s="65">
        <v>6.37566666666666</v>
      </c>
      <c r="AQ121" s="65">
        <v>0.0</v>
      </c>
      <c r="AR121" s="65">
        <v>18.4503833333333</v>
      </c>
      <c r="AT121" s="65"/>
      <c r="AU121" s="65">
        <v>0.0</v>
      </c>
      <c r="AV121" s="65">
        <v>-8.88178419700125E-16</v>
      </c>
      <c r="AY121" s="65">
        <v>116.955433333333</v>
      </c>
    </row>
    <row r="122">
      <c r="A122" s="119" t="s">
        <v>7</v>
      </c>
      <c r="B122" s="119" t="s">
        <v>41</v>
      </c>
      <c r="C122" s="119" t="s">
        <v>414</v>
      </c>
      <c r="D122" s="120">
        <f t="shared" si="1"/>
        <v>3.4016</v>
      </c>
      <c r="E122" s="121"/>
      <c r="F122" s="122">
        <f>HYPERLINK("https://docs.google.com/spreadsheets/d/1bRuCugQ6tXyZOzztm09TE1Rj-Gobl4Dk", 0)</f>
        <v>0</v>
      </c>
      <c r="G122" s="122">
        <f>HYPERLINK("https://docs.google.com/spreadsheets/d/1sHubxgm78Hzgmb-693EPljlRczXD515B", 0)</f>
        <v>0</v>
      </c>
      <c r="H122" s="122">
        <f>HYPERLINK("https://docs.google.com/spreadsheets/d/1sr1U4vDfjfoEvqhmEzNIH76axR5YgdNO", 0)</f>
        <v>0</v>
      </c>
      <c r="I122" s="122">
        <f>HYPERLINK("https://docs.google.com/spreadsheets/d/1G_dmcQ4pr3y8NriI-WyK8v5gpffXZxDJ", 0)</f>
        <v>0</v>
      </c>
      <c r="J122" s="122">
        <f>HYPERLINK("https://docs.google.com/spreadsheets/d/1wk3U-gMKRjqxvxpU6ibkZhpBFzkxydSY", 0)</f>
        <v>0</v>
      </c>
      <c r="K122" s="122">
        <f>HYPERLINK("https://docs.google.com/spreadsheets/d/1aF9tUB8QBMgMyTwqKFhgdldruX5PAPQD", 0)</f>
        <v>0</v>
      </c>
      <c r="L122" s="121"/>
      <c r="M122" s="121"/>
      <c r="N122" s="121"/>
      <c r="O122" s="121"/>
      <c r="P122" s="124">
        <f>HYPERLINK("https://docs.google.com/spreadsheets/d/17omv5t2PLSqXdHsyg8Hk2h-USETHM5-E", 0)</f>
        <v>0</v>
      </c>
      <c r="Q122" s="119"/>
      <c r="R122" s="119"/>
      <c r="S122" s="124">
        <f>HYPERLINK("https://docs.google.com/spreadsheets/d/1z_p8XhUO1VCgAgBFmGSWTUJXNiCrHMT7", 0)</f>
        <v>0</v>
      </c>
      <c r="T122" s="125">
        <f>HYPERLINK("https://docs.google.com/spreadsheets/d/18uhu54VCWoFS-fIjdavO8NI36cOkpvmz", 0)</f>
        <v>0</v>
      </c>
      <c r="U122" s="125">
        <f>HYPERLINK("https://docs.google.com/spreadsheets/d/1I9LZ-2n11zzGKSxOyyp_1-sFLeTg68FT", 0)</f>
        <v>0</v>
      </c>
      <c r="V122" s="124">
        <f>HYPERLINK("https://docs.google.com/spreadsheets/d/1F2FIDe8YoEtbv-5eeFgd-Dtde_v-2G6H", 0)</f>
        <v>0</v>
      </c>
      <c r="W122" s="124">
        <f>HYPERLINK("https://docs.google.com/spreadsheets/d/1aBXrICN7OQkLr3YLJjRfS0Yu42BDhb3d", 0)</f>
        <v>0</v>
      </c>
      <c r="X122" s="119"/>
      <c r="Y122" s="119"/>
      <c r="Z122" s="124">
        <f>HYPERLINK("https://docs.google.com/spreadsheets/d/1lvPrI_oAbF8bflbJf2qe_Q7zjRrMlVnb", 0)</f>
        <v>0</v>
      </c>
      <c r="AA122" s="124">
        <f>HYPERLINK("https://docs.google.com/spreadsheets/d/1ZpMKblUaJW_g7uFiolTjWZAnr1ZFBvcf", 0)</f>
        <v>0</v>
      </c>
      <c r="AB122" s="124">
        <f>HYPERLINK("https://docs.google.com/spreadsheets/d/1vkeajHqkvpYozV7IwDWscAEVIcPO1Jmv", 0)</f>
        <v>0</v>
      </c>
      <c r="AC122" s="124">
        <f>HYPERLINK("https://docs.google.com/spreadsheets/d/1FPfkXyx_6_fOfTBNmqcAbK1rD48oTlZu", 0)</f>
        <v>0</v>
      </c>
      <c r="AD122" s="124">
        <f>HYPERLINK("https://docs.google.com/spreadsheets/d/1nlZnYkWGqKAbeQF1fQmq8u7J2z6EOGf4", 0)</f>
        <v>0</v>
      </c>
      <c r="AE122" s="119"/>
      <c r="AF122" s="119"/>
      <c r="AG122" s="119"/>
      <c r="AH122" s="119"/>
      <c r="AI122" s="125">
        <f>HYPERLINK("https://docs.google.com/spreadsheets/d/1o3hS9-hSBm7BvHIMIKkZkn5HANJCMveP", 0)</f>
        <v>0</v>
      </c>
      <c r="AJ122" s="124">
        <f>HYPERLINK("https://docs.google.com/spreadsheets/d/1kNKHa0WrDtOnZc3hDxmd47v0W_UCtN_P", 0)</f>
        <v>0</v>
      </c>
      <c r="AK122" s="124">
        <f>HYPERLINK("https://docs.google.com/spreadsheets/d/1PbH1NkFqbwl47iTOu9jOJmvQQzPlr0Sy", 0)</f>
        <v>0</v>
      </c>
      <c r="AL122" s="124">
        <f>HYPERLINK("https://docs.google.com/spreadsheets/d/1nvhvEgQlIDdf9DSeifpB-QmAjktoc-Qg", 0)</f>
        <v>0</v>
      </c>
      <c r="AM122" s="124">
        <f>HYPERLINK("https://docs.google.com/spreadsheets/d/1z5_VmFX9LkS7ewk_c8SaTUorqzI3Z1Lh", 0)</f>
        <v>0</v>
      </c>
      <c r="AN122" s="119"/>
      <c r="AO122" s="120"/>
      <c r="AP122" s="124">
        <f>HYPERLINK("https://docs.google.com/spreadsheets/d/1ZvAX10R_s9cmXQe0OS4QSQRRg8a6NZR5", 0)</f>
        <v>0</v>
      </c>
      <c r="AQ122" s="125">
        <f>HYPERLINK("https://docs.google.com/spreadsheets/d/1u-gYwo3BPiCbElJVc__sdHTmROprzw2C", 0)</f>
        <v>0</v>
      </c>
      <c r="AR122" s="125">
        <f>HYPERLINK("https://docs.google.com/spreadsheets/d/1u7nPc0iIjIe5v-1G94vK2KWVa5weH5GB", 0)</f>
        <v>0</v>
      </c>
      <c r="AS122" s="120"/>
      <c r="AT122" s="120"/>
      <c r="AU122" s="124">
        <f>HYPERLINK("https://docs.google.com/spreadsheets/d/1NmjuUuuaE8aFzZibIFuLdWPZpcCq6fwX", 3.4016)</f>
        <v>3.4016</v>
      </c>
      <c r="AV122" s="124">
        <f>HYPERLINK("https://docs.google.com/spreadsheets/d/1fW7TT1ksWJX4KqIB7yYoKQvcSPk5vJ8g", 0)</f>
        <v>0</v>
      </c>
      <c r="AW122" s="120"/>
      <c r="AX122" s="120"/>
      <c r="AY122" s="124">
        <f>HYPERLINK("https://docs.google.com/spreadsheets/d/1QMVZx9qmou0GS7FhgeVR_GxTtq7KsZLF", 0)</f>
        <v>0</v>
      </c>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0"/>
      <c r="CD122" s="120"/>
      <c r="CE122" s="120"/>
      <c r="CF122" s="120"/>
      <c r="CG122" s="120"/>
      <c r="CH122" s="120"/>
      <c r="CI122" s="120"/>
      <c r="CJ122" s="120"/>
      <c r="CK122" s="120"/>
      <c r="CL122" s="120"/>
      <c r="CM122" s="120"/>
      <c r="CN122" s="120"/>
      <c r="CO122" s="120"/>
      <c r="CP122" s="120"/>
      <c r="CQ122" s="120"/>
      <c r="CR122" s="120"/>
      <c r="CS122" s="120"/>
      <c r="CT122" s="120"/>
      <c r="CU122" s="120"/>
      <c r="CV122" s="120"/>
      <c r="CW122" s="120"/>
      <c r="CX122" s="120"/>
      <c r="CY122" s="120"/>
      <c r="CZ122" s="120"/>
      <c r="DA122" s="120"/>
      <c r="DB122" s="120"/>
      <c r="DC122" s="120"/>
      <c r="DD122" s="120"/>
      <c r="DE122" s="120"/>
      <c r="DF122" s="120"/>
      <c r="DG122" s="120"/>
      <c r="DH122" s="120"/>
      <c r="DI122" s="120"/>
      <c r="DJ122" s="120"/>
      <c r="DK122" s="120"/>
      <c r="DL122" s="120"/>
      <c r="DM122" s="120"/>
      <c r="DN122" s="120"/>
      <c r="DO122" s="120"/>
      <c r="DP122" s="120"/>
      <c r="DQ122" s="120"/>
      <c r="DR122" s="120"/>
      <c r="DS122" s="120"/>
      <c r="DT122" s="120"/>
      <c r="DU122" s="120"/>
      <c r="DV122" s="120"/>
      <c r="DW122" s="120"/>
      <c r="DX122" s="120"/>
      <c r="DY122" s="120"/>
      <c r="DZ122" s="120"/>
      <c r="EA122" s="120"/>
      <c r="EB122" s="120"/>
      <c r="EC122" s="120"/>
      <c r="ED122" s="120"/>
      <c r="EE122" s="120"/>
      <c r="EF122" s="120"/>
      <c r="EG122" s="120"/>
      <c r="EH122" s="120"/>
      <c r="EI122" s="120"/>
      <c r="EJ122" s="120"/>
      <c r="EK122" s="120"/>
      <c r="EL122" s="120"/>
      <c r="EM122" s="120"/>
      <c r="EN122" s="120"/>
      <c r="EO122" s="120"/>
      <c r="EP122" s="120"/>
      <c r="EQ122" s="120"/>
      <c r="ER122" s="120"/>
      <c r="ES122" s="120"/>
      <c r="ET122" s="120"/>
      <c r="EU122" s="120"/>
      <c r="EV122" s="120"/>
      <c r="EW122" s="120"/>
      <c r="EX122" s="120"/>
      <c r="EY122" s="120"/>
    </row>
    <row r="123">
      <c r="A123" s="112" t="s">
        <v>7</v>
      </c>
      <c r="B123" s="112" t="s">
        <v>32</v>
      </c>
      <c r="C123" s="112" t="s">
        <v>409</v>
      </c>
      <c r="D123" s="113">
        <f t="shared" si="1"/>
        <v>523.55365</v>
      </c>
      <c r="E123" s="114">
        <v>90.7537833333333</v>
      </c>
      <c r="F123" s="114"/>
      <c r="G123" s="114"/>
      <c r="H123" s="114"/>
      <c r="I123" s="114"/>
      <c r="J123" s="114"/>
      <c r="K123" s="114"/>
      <c r="L123" s="114">
        <v>1.42723333333333</v>
      </c>
      <c r="M123" s="114"/>
      <c r="N123" s="114"/>
      <c r="O123" s="114">
        <v>9.96521666666667</v>
      </c>
      <c r="P123" s="112"/>
      <c r="Q123" s="112">
        <v>0.16935</v>
      </c>
      <c r="R123" s="112">
        <v>130.936216666667</v>
      </c>
      <c r="S123" s="112"/>
      <c r="T123" s="112"/>
      <c r="U123" s="112"/>
      <c r="V123" s="112"/>
      <c r="W123" s="112"/>
      <c r="X123" s="112">
        <v>1.67431666666667</v>
      </c>
      <c r="Y123" s="112">
        <v>52.7281166666667</v>
      </c>
      <c r="Z123" s="112"/>
      <c r="AA123" s="113"/>
      <c r="AB123" s="112"/>
      <c r="AC123" s="112"/>
      <c r="AD123" s="112"/>
      <c r="AE123" s="112">
        <v>1.46818333333333</v>
      </c>
      <c r="AF123" s="112"/>
      <c r="AG123" s="112"/>
      <c r="AH123" s="112">
        <v>90.3907</v>
      </c>
      <c r="AI123" s="112"/>
      <c r="AJ123" s="112"/>
      <c r="AK123" s="112"/>
      <c r="AL123" s="113"/>
      <c r="AM123" s="112"/>
      <c r="AN123" s="112">
        <v>2.10223333333333</v>
      </c>
      <c r="AO123" s="112">
        <v>35.7054333333334</v>
      </c>
      <c r="AP123" s="112"/>
      <c r="AQ123" s="113"/>
      <c r="AR123" s="112"/>
      <c r="AS123" s="112">
        <v>4.86093333333333</v>
      </c>
      <c r="AT123" s="112">
        <v>14.1633833333333</v>
      </c>
      <c r="AU123" s="112"/>
      <c r="AV123" s="112"/>
      <c r="AW123" s="112">
        <v>2.00936666666667</v>
      </c>
      <c r="AX123" s="112">
        <v>79.291</v>
      </c>
      <c r="AY123" s="113"/>
      <c r="AZ123" s="112">
        <v>5.04195</v>
      </c>
      <c r="BA123" s="112">
        <v>0.866233333333333</v>
      </c>
      <c r="BB123" s="113"/>
      <c r="BC123" s="113"/>
      <c r="BD123" s="113"/>
      <c r="BE123" s="113"/>
      <c r="BF123" s="113"/>
      <c r="BG123" s="113"/>
      <c r="BH123" s="113"/>
      <c r="BI123" s="113"/>
      <c r="BJ123" s="113"/>
      <c r="BK123" s="113"/>
      <c r="BL123" s="113"/>
      <c r="BM123" s="113"/>
      <c r="BN123" s="113"/>
      <c r="BO123" s="113"/>
      <c r="BP123" s="113"/>
      <c r="BQ123" s="113"/>
      <c r="BR123" s="113"/>
      <c r="BS123" s="113"/>
      <c r="BT123" s="113"/>
      <c r="BU123" s="113"/>
      <c r="BV123" s="113"/>
      <c r="BW123" s="113"/>
      <c r="BX123" s="113"/>
      <c r="BY123" s="113"/>
      <c r="BZ123" s="113"/>
      <c r="CA123" s="113"/>
      <c r="CB123" s="113"/>
      <c r="CC123" s="113"/>
      <c r="CD123" s="113"/>
      <c r="CE123" s="113"/>
      <c r="CF123" s="113"/>
      <c r="CG123" s="113"/>
      <c r="CH123" s="113"/>
      <c r="CI123" s="113"/>
      <c r="CJ123" s="113"/>
      <c r="CK123" s="113"/>
      <c r="CL123" s="113"/>
      <c r="CM123" s="113"/>
      <c r="CN123" s="113"/>
      <c r="CO123" s="113"/>
      <c r="CP123" s="113"/>
      <c r="CQ123" s="113"/>
      <c r="CR123" s="113"/>
      <c r="CS123" s="113"/>
      <c r="CT123" s="113"/>
      <c r="CU123" s="113"/>
      <c r="CV123" s="113"/>
      <c r="CW123" s="113"/>
      <c r="CX123" s="113"/>
      <c r="CY123" s="113"/>
      <c r="CZ123" s="113"/>
      <c r="DA123" s="113"/>
      <c r="DB123" s="113"/>
      <c r="DC123" s="113"/>
      <c r="DD123" s="113"/>
      <c r="DE123" s="113"/>
      <c r="DF123" s="113"/>
      <c r="DG123" s="113"/>
      <c r="DH123" s="113"/>
      <c r="DI123" s="113"/>
      <c r="DJ123" s="113"/>
      <c r="DK123" s="113"/>
      <c r="DL123" s="113"/>
      <c r="DM123" s="113"/>
      <c r="DN123" s="113"/>
      <c r="DO123" s="113"/>
      <c r="DP123" s="113"/>
      <c r="DQ123" s="113"/>
      <c r="DR123" s="113"/>
      <c r="DS123" s="113"/>
      <c r="DT123" s="113"/>
      <c r="DU123" s="113"/>
      <c r="DV123" s="113"/>
      <c r="DW123" s="113"/>
      <c r="DX123" s="113"/>
      <c r="DY123" s="113"/>
      <c r="DZ123" s="113"/>
      <c r="EA123" s="113"/>
      <c r="EB123" s="113"/>
      <c r="EC123" s="113"/>
      <c r="ED123" s="113"/>
      <c r="EE123" s="113"/>
      <c r="EF123" s="113"/>
      <c r="EG123" s="113"/>
      <c r="EH123" s="113"/>
      <c r="EI123" s="113"/>
      <c r="EJ123" s="113"/>
      <c r="EK123" s="113"/>
      <c r="EL123" s="113"/>
      <c r="EM123" s="113"/>
      <c r="EN123" s="113"/>
      <c r="EO123" s="113"/>
      <c r="EP123" s="113"/>
      <c r="EQ123" s="113"/>
      <c r="ER123" s="113"/>
      <c r="ES123" s="113"/>
      <c r="ET123" s="113"/>
      <c r="EU123" s="113"/>
      <c r="EV123" s="113"/>
      <c r="EW123" s="113"/>
      <c r="EX123" s="113"/>
      <c r="EY123" s="113"/>
    </row>
    <row r="124">
      <c r="A124" s="65" t="s">
        <v>7</v>
      </c>
      <c r="B124" s="65" t="s">
        <v>32</v>
      </c>
      <c r="C124" s="65" t="s">
        <v>410</v>
      </c>
      <c r="D124" s="64">
        <f t="shared" si="1"/>
        <v>560.93865</v>
      </c>
      <c r="E124" s="104"/>
      <c r="F124" s="104">
        <v>49.42415</v>
      </c>
      <c r="G124" s="104">
        <v>10.5821166666667</v>
      </c>
      <c r="H124" s="104">
        <v>3.72148333333333</v>
      </c>
      <c r="I124" s="104">
        <v>0.494683333333333</v>
      </c>
      <c r="J124" s="104">
        <v>0.18055</v>
      </c>
      <c r="K124" s="104">
        <v>16.2410333333333</v>
      </c>
      <c r="L124" s="104"/>
      <c r="M124" s="104">
        <v>49.42415</v>
      </c>
      <c r="N124" s="104">
        <v>10.5821166666667</v>
      </c>
      <c r="O124" s="104"/>
      <c r="P124" s="65">
        <v>8.48806666666666</v>
      </c>
      <c r="Q124" s="65"/>
      <c r="R124" s="65"/>
      <c r="S124" s="65">
        <v>72.1572</v>
      </c>
      <c r="T124" s="65">
        <v>16.4012</v>
      </c>
      <c r="U124" s="65">
        <v>7.18745</v>
      </c>
      <c r="V124" s="65">
        <v>3.42038333333333</v>
      </c>
      <c r="W124" s="65">
        <v>23.54425</v>
      </c>
      <c r="X124" s="65"/>
      <c r="Y124" s="65"/>
      <c r="Z124" s="65">
        <v>29.1522666666667</v>
      </c>
      <c r="AA124" s="65">
        <v>10.2550833333333</v>
      </c>
      <c r="AB124" s="65">
        <v>2.67198333333333</v>
      </c>
      <c r="AC124" s="65">
        <v>0.790466666666667</v>
      </c>
      <c r="AD124" s="65">
        <v>9.1349</v>
      </c>
      <c r="AE124" s="65"/>
      <c r="AF124" s="65">
        <v>29.1522666666667</v>
      </c>
      <c r="AG124" s="65">
        <v>10.2550833333333</v>
      </c>
      <c r="AH124" s="65"/>
      <c r="AI124" s="65">
        <v>50.9462166666666</v>
      </c>
      <c r="AJ124" s="65">
        <v>13.5169666666667</v>
      </c>
      <c r="AK124" s="65">
        <v>4.72668333333333</v>
      </c>
      <c r="AL124" s="65">
        <v>0.7527</v>
      </c>
      <c r="AM124" s="65">
        <v>17.5345333333333</v>
      </c>
      <c r="AN124" s="65"/>
      <c r="AP124" s="65">
        <v>4.45036666666667</v>
      </c>
      <c r="AQ124" s="65">
        <v>2.14578333333333</v>
      </c>
      <c r="AR124" s="65">
        <v>20.4181666666667</v>
      </c>
      <c r="AT124" s="65"/>
      <c r="AU124" s="65">
        <v>1.00891666666667</v>
      </c>
      <c r="AV124" s="65">
        <v>9.87108333333333</v>
      </c>
      <c r="AY124" s="65">
        <v>72.30635</v>
      </c>
    </row>
    <row r="125">
      <c r="A125" s="65" t="s">
        <v>7</v>
      </c>
      <c r="B125" s="65" t="s">
        <v>32</v>
      </c>
      <c r="C125" s="65" t="s">
        <v>411</v>
      </c>
      <c r="D125" s="64">
        <f t="shared" si="1"/>
        <v>0</v>
      </c>
      <c r="E125" s="115"/>
      <c r="F125" s="115"/>
      <c r="G125" s="115"/>
      <c r="H125" s="115"/>
      <c r="I125" s="115"/>
      <c r="J125" s="115"/>
      <c r="K125" s="115"/>
      <c r="L125" s="115"/>
      <c r="M125" s="115"/>
      <c r="N125" s="115"/>
      <c r="O125" s="115"/>
    </row>
    <row r="126">
      <c r="A126" s="65" t="s">
        <v>7</v>
      </c>
      <c r="B126" s="65" t="s">
        <v>32</v>
      </c>
      <c r="C126" s="65" t="s">
        <v>412</v>
      </c>
      <c r="D126" s="64">
        <f t="shared" si="1"/>
        <v>427.2636333</v>
      </c>
      <c r="E126" s="115"/>
      <c r="F126" s="117">
        <f>HYPERLINK("https://docs.google.com/spreadsheets/d/1pgEk83c24ga_22L8VuPNMurp1VREbzHA", 44.0922333333333)</f>
        <v>44.09223333</v>
      </c>
      <c r="G126" s="116">
        <f>HYPERLINK("https://docs.google.com/spreadsheets/d/1ocEOtIF897em3U0V2_RmNRq1bFhFrQdy", 10.5821333333333)</f>
        <v>10.58213333</v>
      </c>
      <c r="H126" s="116">
        <f>HYPERLINK("https://docs.google.com/spreadsheets/d/1DOfHrYeyVNVqRbtRBdhy-jDHP4xWPy5l", 3.72148333333333)</f>
        <v>3.721483333</v>
      </c>
      <c r="I126" s="117">
        <f>HYPERLINK("https://docs.google.com/spreadsheets/d/1ssmxvyMBey6x72yFwvRoVfr-NAP6qi3p", 0.494683333333333)</f>
        <v>0.4946833333</v>
      </c>
      <c r="J126" s="116">
        <f>HYPERLINK("https://docs.google.com/spreadsheets/d/1AF8BtqdXzHkt6DeqJbBuk-Jh1k-NdFBJ", 0.18055)</f>
        <v>0.18055</v>
      </c>
      <c r="K126" s="117">
        <f>HYPERLINK("https://docs.google.com/spreadsheets/d/1uV6dfSM1OKK1CygONeQSjd3jy4DtcbLg", 16.2409833333333)</f>
        <v>16.24098333</v>
      </c>
      <c r="L126" s="115"/>
      <c r="M126" s="104"/>
      <c r="N126" s="115"/>
      <c r="O126" s="104"/>
      <c r="P126" s="118">
        <f>HYPERLINK("https://docs.google.com/spreadsheets/d/1FF2eRqRuLyhrWewzPPt4mUpfkTfurSwN", 8.48806666666667)</f>
        <v>8.488066667</v>
      </c>
      <c r="S126" s="118">
        <f>HYPERLINK("https://docs.google.com/spreadsheets/d/1YEFVc64lZAkXLYvmDbiokE-Fje1s0kqX", 55.27525)</f>
        <v>55.27525</v>
      </c>
      <c r="T126" s="118">
        <f>HYPERLINK("https://docs.google.com/spreadsheets/d/1fwkdEFFu_crC0k_1iineOk3ViytSq7ra", 16.4011833333333)</f>
        <v>16.40118333</v>
      </c>
      <c r="U126" s="118">
        <f>HYPERLINK("https://docs.google.com/spreadsheets/d/14HitH8XRVMLKkjMhrZj4xlZd9z5Qvpaf", 6.96581666666667)</f>
        <v>6.965816667</v>
      </c>
      <c r="V126" s="118">
        <f>HYPERLINK("https://docs.google.com/spreadsheets/d/1BebmbD_hTrXFXFm1-91zFQDVoTgE8rQK", 3.28546666666667)</f>
        <v>3.285466667</v>
      </c>
      <c r="W126" s="118">
        <f>HYPERLINK("https://docs.google.com/spreadsheets/d/1Hcm78gs5rJxCiqe-YzM2AQwKFZX3khc2", 23.5442166666667)</f>
        <v>23.54421667</v>
      </c>
      <c r="Z126" s="118">
        <f>HYPERLINK("https://docs.google.com/spreadsheets/d/1yC-MeTHIu_LeU5nUE3tVkoRdMsq-VdMk", 23.8394666666667)</f>
        <v>23.83946667</v>
      </c>
      <c r="AA126" s="118">
        <f>HYPERLINK("https://docs.google.com/spreadsheets/d/1gyC-QYNKcCACFxFzS-LDgx-lPa0Dt2vS", 10.2550666666667)</f>
        <v>10.25506667</v>
      </c>
      <c r="AB126" s="118">
        <f>HYPERLINK("https://docs.google.com/spreadsheets/d/1PyGDT68XM-lNTFFhKe5SbqGNwva67vE_", 2.52035)</f>
        <v>2.52035</v>
      </c>
      <c r="AC126" s="118">
        <f>HYPERLINK("https://docs.google.com/spreadsheets/d/1-P4GWmyKy2Q2Oz_dK6dKg4OnMWT-0kwV", 0.10595)</f>
        <v>0.10595</v>
      </c>
      <c r="AD126" s="118">
        <f>HYPERLINK("https://docs.google.com/spreadsheets/d/1V4BChg_2-f6R0eF-U3tyR_mp4UL2n9nx", 8.93738333333333)</f>
        <v>8.937383333</v>
      </c>
      <c r="AI126" s="118">
        <f>HYPERLINK("https://docs.google.com/spreadsheets/d/1o1DuhEaYYP_KkpfhMKhG4sBMiUwnMWr3", 46.5407833333333)</f>
        <v>46.54078333</v>
      </c>
      <c r="AJ126" s="118">
        <f>HYPERLINK("https://docs.google.com/spreadsheets/d/1H0OvlM1sLIF4wsnXDWm5q-A8lYx1d2UL", 13.3372833333333)</f>
        <v>13.33728333</v>
      </c>
      <c r="AK126" s="118">
        <f>HYPERLINK("https://docs.google.com/spreadsheets/d/1NJwqMNN4njZLJTrXJUapS9balKPqbDTj", 4.72668333333333)</f>
        <v>4.726683333</v>
      </c>
      <c r="AL126" s="118">
        <f>HYPERLINK("https://docs.google.com/spreadsheets/d/1fiYpHfRNj4B5FJTsSIMPtERMD8qqyOmb", 0.7527)</f>
        <v>0.7527</v>
      </c>
      <c r="AM126" s="118">
        <f>HYPERLINK("https://docs.google.com/spreadsheets/d/1NThVuDP0ESyxnEjymJaFuNQ5FFMUuoHO", 17.53455)</f>
        <v>17.53455</v>
      </c>
      <c r="AP126" s="118">
        <f>HYPERLINK("https://docs.google.com/spreadsheets/d/1IuCosIQYzqiIRbwzvT7art_Yfrf2ECJg", 4.3681)</f>
        <v>4.3681</v>
      </c>
      <c r="AQ126" s="118">
        <f>HYPERLINK("https://docs.google.com/spreadsheets/d/17vloF0MIPQ5440Ipmh1foyPDOwwGJ4g4", 1.935)</f>
        <v>1.935</v>
      </c>
      <c r="AR126" s="118">
        <f>HYPERLINK("https://docs.google.com/spreadsheets/d/1fY1JQsz7A_86JLjp4Yolovmax5xhHNVa", 20.3350333333333)</f>
        <v>20.33503333</v>
      </c>
      <c r="AU126" s="118">
        <f>HYPERLINK("https://docs.google.com/spreadsheets/d/1Hsesqv1_94CtmSFw9JbqduC8JBkeBV0S", 1.00891666666667)</f>
        <v>1.008916667</v>
      </c>
      <c r="AV126" s="118">
        <f>HYPERLINK("https://docs.google.com/spreadsheets/d/1T4LWcQzUCNmVycIZCmjO6ezrQzceLHxv", 9.87108333333333)</f>
        <v>9.871083333</v>
      </c>
      <c r="AY126" s="118">
        <f>HYPERLINK("https://docs.google.com/spreadsheets/d/1pqgX_a_zPTYWumkhbvKc6H_jXN8dffSy", 71.9232166666667)</f>
        <v>71.92321667</v>
      </c>
    </row>
    <row r="127">
      <c r="A127" s="65" t="s">
        <v>7</v>
      </c>
      <c r="B127" s="65" t="s">
        <v>32</v>
      </c>
      <c r="C127" s="65" t="s">
        <v>413</v>
      </c>
      <c r="D127" s="64">
        <f t="shared" si="1"/>
        <v>305.3441667</v>
      </c>
      <c r="E127" s="115"/>
      <c r="F127" s="104">
        <v>1.26314999999998</v>
      </c>
      <c r="G127" s="104">
        <v>0.0</v>
      </c>
      <c r="H127" s="104">
        <v>0.0</v>
      </c>
      <c r="I127" s="104">
        <v>0.0</v>
      </c>
      <c r="J127" s="104">
        <v>0.0</v>
      </c>
      <c r="K127" s="104">
        <v>14.94695</v>
      </c>
      <c r="L127" s="104"/>
      <c r="M127" s="104"/>
      <c r="N127" s="104"/>
      <c r="O127" s="104"/>
      <c r="P127" s="65">
        <v>8.48806666666667</v>
      </c>
      <c r="Q127" s="65"/>
      <c r="R127" s="65"/>
      <c r="S127" s="65">
        <v>34.0506666666667</v>
      </c>
      <c r="T127" s="65">
        <v>16.26875</v>
      </c>
      <c r="U127" s="65">
        <v>0.737600000000001</v>
      </c>
      <c r="V127" s="65">
        <v>0.182033333333334</v>
      </c>
      <c r="W127" s="65">
        <v>22.4370666666667</v>
      </c>
      <c r="X127" s="65"/>
      <c r="Y127" s="65"/>
      <c r="Z127" s="65">
        <v>17.3108666666667</v>
      </c>
      <c r="AA127" s="65">
        <v>6.74481666666667</v>
      </c>
      <c r="AB127" s="65">
        <v>0.12755</v>
      </c>
      <c r="AC127" s="65">
        <v>0.0</v>
      </c>
      <c r="AD127" s="65">
        <v>4.62271666666667</v>
      </c>
      <c r="AE127" s="65"/>
      <c r="AF127" s="65"/>
      <c r="AG127" s="65"/>
      <c r="AH127" s="65"/>
      <c r="AI127" s="65">
        <v>46.3252666666666</v>
      </c>
      <c r="AJ127" s="65">
        <v>13.1767833333333</v>
      </c>
      <c r="AK127" s="65">
        <v>0.500133333333334</v>
      </c>
      <c r="AL127" s="65">
        <v>0.0</v>
      </c>
      <c r="AM127" s="65">
        <v>17.2375166666667</v>
      </c>
      <c r="AN127" s="65"/>
      <c r="AP127" s="65">
        <v>4.3681</v>
      </c>
      <c r="AQ127" s="65">
        <v>-2.22044604925031E-16</v>
      </c>
      <c r="AR127" s="65">
        <v>20.3350333333333</v>
      </c>
      <c r="AT127" s="65"/>
      <c r="AU127" s="65">
        <v>0.113066666666667</v>
      </c>
      <c r="AV127" s="65">
        <v>4.18481666666667</v>
      </c>
      <c r="AY127" s="65">
        <v>71.9232166666667</v>
      </c>
    </row>
    <row r="128">
      <c r="A128" s="119" t="s">
        <v>7</v>
      </c>
      <c r="B128" s="119" t="s">
        <v>32</v>
      </c>
      <c r="C128" s="119" t="s">
        <v>414</v>
      </c>
      <c r="D128" s="120">
        <f t="shared" si="1"/>
        <v>1.008916667</v>
      </c>
      <c r="E128" s="121"/>
      <c r="F128" s="122">
        <f>HYPERLINK("https://docs.google.com/spreadsheets/d/1pgEk83c24ga_22L8VuPNMurp1VREbzHA", 0)</f>
        <v>0</v>
      </c>
      <c r="G128" s="122">
        <f>HYPERLINK("https://docs.google.com/spreadsheets/d/1ocEOtIF897em3U0V2_RmNRq1bFhFrQdy", 0)</f>
        <v>0</v>
      </c>
      <c r="H128" s="122">
        <f>HYPERLINK("https://docs.google.com/spreadsheets/d/1DOfHrYeyVNVqRbtRBdhy-jDHP4xWPy5l", 0)</f>
        <v>0</v>
      </c>
      <c r="I128" s="122">
        <f>HYPERLINK("https://docs.google.com/spreadsheets/d/1ssmxvyMBey6x72yFwvRoVfr-NAP6qi3p", 0)</f>
        <v>0</v>
      </c>
      <c r="J128" s="122">
        <f>HYPERLINK("https://docs.google.com/spreadsheets/d/1AF8BtqdXzHkt6DeqJbBuk-Jh1k-NdFBJ", 0)</f>
        <v>0</v>
      </c>
      <c r="K128" s="122">
        <f>HYPERLINK("https://docs.google.com/spreadsheets/d/1uV6dfSM1OKK1CygONeQSjd3jy4DtcbLg", 0)</f>
        <v>0</v>
      </c>
      <c r="L128" s="121"/>
      <c r="M128" s="121"/>
      <c r="N128" s="121"/>
      <c r="O128" s="121"/>
      <c r="P128" s="124">
        <f>HYPERLINK("https://docs.google.com/spreadsheets/d/1FF2eRqRuLyhrWewzPPt4mUpfkTfurSwN", 0)</f>
        <v>0</v>
      </c>
      <c r="Q128" s="119"/>
      <c r="R128" s="119"/>
      <c r="S128" s="124">
        <f>HYPERLINK("https://docs.google.com/spreadsheets/d/1YEFVc64lZAkXLYvmDbiokE-Fje1s0kqX", 0)</f>
        <v>0</v>
      </c>
      <c r="T128" s="125">
        <f>HYPERLINK("https://docs.google.com/spreadsheets/d/1fwkdEFFu_crC0k_1iineOk3ViytSq7ra", 0)</f>
        <v>0</v>
      </c>
      <c r="U128" s="125">
        <f>HYPERLINK("https://docs.google.com/spreadsheets/d/14HitH8XRVMLKkjMhrZj4xlZd9z5Qvpaf", 0)</f>
        <v>0</v>
      </c>
      <c r="V128" s="124">
        <f>HYPERLINK("https://docs.google.com/spreadsheets/d/1BebmbD_hTrXFXFm1-91zFQDVoTgE8rQK", 0)</f>
        <v>0</v>
      </c>
      <c r="W128" s="124">
        <f>HYPERLINK("https://docs.google.com/spreadsheets/d/1Hcm78gs5rJxCiqe-YzM2AQwKFZX3khc2", 0)</f>
        <v>0</v>
      </c>
      <c r="X128" s="119"/>
      <c r="Y128" s="119"/>
      <c r="Z128" s="124">
        <f>HYPERLINK("https://docs.google.com/spreadsheets/d/1yC-MeTHIu_LeU5nUE3tVkoRdMsq-VdMk", 0)</f>
        <v>0</v>
      </c>
      <c r="AA128" s="124">
        <f>HYPERLINK("https://docs.google.com/spreadsheets/d/1gyC-QYNKcCACFxFzS-LDgx-lPa0Dt2vS", 0)</f>
        <v>0</v>
      </c>
      <c r="AB128" s="124">
        <f>HYPERLINK("https://docs.google.com/spreadsheets/d/1PyGDT68XM-lNTFFhKe5SbqGNwva67vE_", 0)</f>
        <v>0</v>
      </c>
      <c r="AC128" s="124">
        <f>HYPERLINK("https://docs.google.com/spreadsheets/d/1-P4GWmyKy2Q2Oz_dK6dKg4OnMWT-0kwV", 0)</f>
        <v>0</v>
      </c>
      <c r="AD128" s="124">
        <f>HYPERLINK("https://docs.google.com/spreadsheets/d/1V4BChg_2-f6R0eF-U3tyR_mp4UL2n9nx", 0)</f>
        <v>0</v>
      </c>
      <c r="AE128" s="119"/>
      <c r="AF128" s="119"/>
      <c r="AG128" s="119"/>
      <c r="AH128" s="119"/>
      <c r="AI128" s="125">
        <f>HYPERLINK("https://docs.google.com/spreadsheets/d/1o1DuhEaYYP_KkpfhMKhG4sBMiUwnMWr3", 0)</f>
        <v>0</v>
      </c>
      <c r="AJ128" s="124">
        <f>HYPERLINK("https://docs.google.com/spreadsheets/d/1H0OvlM1sLIF4wsnXDWm5q-A8lYx1d2UL", 0)</f>
        <v>0</v>
      </c>
      <c r="AK128" s="124">
        <f>HYPERLINK("https://docs.google.com/spreadsheets/d/1NJwqMNN4njZLJTrXJUapS9balKPqbDTj", 0)</f>
        <v>0</v>
      </c>
      <c r="AL128" s="124">
        <f>HYPERLINK("https://docs.google.com/spreadsheets/d/1fiYpHfRNj4B5FJTsSIMPtERMD8qqyOmb", 0)</f>
        <v>0</v>
      </c>
      <c r="AM128" s="124">
        <f>HYPERLINK("https://docs.google.com/spreadsheets/d/1NThVuDP0ESyxnEjymJaFuNQ5FFMUuoHO", 0)</f>
        <v>0</v>
      </c>
      <c r="AN128" s="120"/>
      <c r="AO128" s="120"/>
      <c r="AP128" s="124">
        <f>HYPERLINK("https://docs.google.com/spreadsheets/d/1IuCosIQYzqiIRbwzvT7art_Yfrf2ECJg", 0)</f>
        <v>0</v>
      </c>
      <c r="AQ128" s="125">
        <f>HYPERLINK("https://docs.google.com/spreadsheets/d/17vloF0MIPQ5440Ipmh1foyPDOwwGJ4g4", 0)</f>
        <v>0</v>
      </c>
      <c r="AR128" s="125">
        <f>HYPERLINK("https://docs.google.com/spreadsheets/d/1fY1JQsz7A_86JLjp4Yolovmax5xhHNVa", 0)</f>
        <v>0</v>
      </c>
      <c r="AS128" s="120"/>
      <c r="AT128" s="120"/>
      <c r="AU128" s="124">
        <f>HYPERLINK("https://docs.google.com/spreadsheets/d/1Hsesqv1_94CtmSFw9JbqduC8JBkeBV0S", 1.00891666666667)</f>
        <v>1.008916667</v>
      </c>
      <c r="AV128" s="124">
        <f>HYPERLINK("https://docs.google.com/spreadsheets/d/1T4LWcQzUCNmVycIZCmjO6ezrQzceLHxv", 0)</f>
        <v>0</v>
      </c>
      <c r="AW128" s="120"/>
      <c r="AX128" s="120"/>
      <c r="AY128" s="124">
        <f>HYPERLINK("https://docs.google.com/spreadsheets/d/1pqgX_a_zPTYWumkhbvKc6H_jXN8dffSy", 0)</f>
        <v>0</v>
      </c>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0"/>
      <c r="CD128" s="120"/>
      <c r="CE128" s="120"/>
      <c r="CF128" s="120"/>
      <c r="CG128" s="120"/>
      <c r="CH128" s="120"/>
      <c r="CI128" s="120"/>
      <c r="CJ128" s="120"/>
      <c r="CK128" s="120"/>
      <c r="CL128" s="120"/>
      <c r="CM128" s="120"/>
      <c r="CN128" s="120"/>
      <c r="CO128" s="120"/>
      <c r="CP128" s="120"/>
      <c r="CQ128" s="120"/>
      <c r="CR128" s="120"/>
      <c r="CS128" s="120"/>
      <c r="CT128" s="120"/>
      <c r="CU128" s="120"/>
      <c r="CV128" s="120"/>
      <c r="CW128" s="120"/>
      <c r="CX128" s="120"/>
      <c r="CY128" s="120"/>
      <c r="CZ128" s="120"/>
      <c r="DA128" s="120"/>
      <c r="DB128" s="120"/>
      <c r="DC128" s="120"/>
      <c r="DD128" s="120"/>
      <c r="DE128" s="120"/>
      <c r="DF128" s="120"/>
      <c r="DG128" s="120"/>
      <c r="DH128" s="120"/>
      <c r="DI128" s="120"/>
      <c r="DJ128" s="120"/>
      <c r="DK128" s="120"/>
      <c r="DL128" s="120"/>
      <c r="DM128" s="120"/>
      <c r="DN128" s="120"/>
      <c r="DO128" s="120"/>
      <c r="DP128" s="120"/>
      <c r="DQ128" s="120"/>
      <c r="DR128" s="120"/>
      <c r="DS128" s="120"/>
      <c r="DT128" s="120"/>
      <c r="DU128" s="120"/>
      <c r="DV128" s="120"/>
      <c r="DW128" s="120"/>
      <c r="DX128" s="120"/>
      <c r="DY128" s="120"/>
      <c r="DZ128" s="120"/>
      <c r="EA128" s="120"/>
      <c r="EB128" s="120"/>
      <c r="EC128" s="120"/>
      <c r="ED128" s="120"/>
      <c r="EE128" s="120"/>
      <c r="EF128" s="120"/>
      <c r="EG128" s="120"/>
      <c r="EH128" s="120"/>
      <c r="EI128" s="120"/>
      <c r="EJ128" s="120"/>
      <c r="EK128" s="120"/>
      <c r="EL128" s="120"/>
      <c r="EM128" s="120"/>
      <c r="EN128" s="120"/>
      <c r="EO128" s="120"/>
      <c r="EP128" s="120"/>
      <c r="EQ128" s="120"/>
      <c r="ER128" s="120"/>
      <c r="ES128" s="120"/>
      <c r="ET128" s="120"/>
      <c r="EU128" s="120"/>
      <c r="EV128" s="120"/>
      <c r="EW128" s="120"/>
      <c r="EX128" s="120"/>
      <c r="EY128" s="120"/>
    </row>
    <row r="129">
      <c r="A129" s="112" t="s">
        <v>7</v>
      </c>
      <c r="B129" s="112" t="s">
        <v>22</v>
      </c>
      <c r="C129" s="112" t="s">
        <v>409</v>
      </c>
      <c r="D129" s="113">
        <f t="shared" si="1"/>
        <v>727.8164667</v>
      </c>
      <c r="E129" s="114">
        <v>179.556766666667</v>
      </c>
      <c r="F129" s="114"/>
      <c r="G129" s="114"/>
      <c r="H129" s="114"/>
      <c r="I129" s="114"/>
      <c r="J129" s="114"/>
      <c r="K129" s="114"/>
      <c r="L129" s="114">
        <v>1.59758333333333</v>
      </c>
      <c r="M129" s="114"/>
      <c r="N129" s="114"/>
      <c r="O129" s="114">
        <v>24.6897666666667</v>
      </c>
      <c r="P129" s="112"/>
      <c r="Q129" s="112">
        <v>0.1679</v>
      </c>
      <c r="R129" s="112">
        <v>165.30145</v>
      </c>
      <c r="S129" s="112"/>
      <c r="T129" s="112"/>
      <c r="U129" s="112"/>
      <c r="V129" s="112"/>
      <c r="W129" s="112"/>
      <c r="X129" s="112">
        <v>2.13098333333333</v>
      </c>
      <c r="Y129" s="112">
        <v>62.4897</v>
      </c>
      <c r="Z129" s="112"/>
      <c r="AA129" s="113"/>
      <c r="AB129" s="112"/>
      <c r="AC129" s="112"/>
      <c r="AD129" s="112"/>
      <c r="AE129" s="112">
        <v>1.16631666666667</v>
      </c>
      <c r="AF129" s="112"/>
      <c r="AG129" s="112"/>
      <c r="AH129" s="112">
        <v>84.7536833333334</v>
      </c>
      <c r="AI129" s="112"/>
      <c r="AJ129" s="112"/>
      <c r="AK129" s="112"/>
      <c r="AL129" s="113"/>
      <c r="AM129" s="112"/>
      <c r="AN129" s="112">
        <v>3.5294</v>
      </c>
      <c r="AO129" s="112">
        <v>98.1522499999999</v>
      </c>
      <c r="AP129" s="112"/>
      <c r="AQ129" s="113"/>
      <c r="AR129" s="112"/>
      <c r="AS129" s="112">
        <v>8.75155</v>
      </c>
      <c r="AT129" s="112">
        <v>26.7694166666667</v>
      </c>
      <c r="AU129" s="112"/>
      <c r="AV129" s="112"/>
      <c r="AW129" s="112">
        <v>3.58863333333333</v>
      </c>
      <c r="AX129" s="112">
        <v>60.4175833333333</v>
      </c>
      <c r="AY129" s="113"/>
      <c r="AZ129" s="112">
        <v>3.7085</v>
      </c>
      <c r="BA129" s="112">
        <v>1.04498333333333</v>
      </c>
      <c r="BB129" s="113"/>
      <c r="BC129" s="113"/>
      <c r="BD129" s="113"/>
      <c r="BE129" s="113"/>
      <c r="BF129" s="113"/>
      <c r="BG129" s="113"/>
      <c r="BH129" s="113"/>
      <c r="BI129" s="113"/>
      <c r="BJ129" s="113"/>
      <c r="BK129" s="113"/>
      <c r="BL129" s="113"/>
      <c r="BM129" s="113"/>
      <c r="BN129" s="113"/>
      <c r="BO129" s="113"/>
      <c r="BP129" s="113"/>
      <c r="BQ129" s="113"/>
      <c r="BR129" s="113"/>
      <c r="BS129" s="113"/>
      <c r="BT129" s="113"/>
      <c r="BU129" s="113"/>
      <c r="BV129" s="113"/>
      <c r="BW129" s="113"/>
      <c r="BX129" s="113"/>
      <c r="BY129" s="113"/>
      <c r="BZ129" s="113"/>
      <c r="CA129" s="113"/>
      <c r="CB129" s="113"/>
      <c r="CC129" s="113"/>
      <c r="CD129" s="113"/>
      <c r="CE129" s="113"/>
      <c r="CF129" s="113"/>
      <c r="CG129" s="113"/>
      <c r="CH129" s="113"/>
      <c r="CI129" s="113"/>
      <c r="CJ129" s="113"/>
      <c r="CK129" s="113"/>
      <c r="CL129" s="113"/>
      <c r="CM129" s="113"/>
      <c r="CN129" s="113"/>
      <c r="CO129" s="113"/>
      <c r="CP129" s="113"/>
      <c r="CQ129" s="113"/>
      <c r="CR129" s="113"/>
      <c r="CS129" s="113"/>
      <c r="CT129" s="113"/>
      <c r="CU129" s="113"/>
      <c r="CV129" s="113"/>
      <c r="CW129" s="113"/>
      <c r="CX129" s="113"/>
      <c r="CY129" s="113"/>
      <c r="CZ129" s="113"/>
      <c r="DA129" s="113"/>
      <c r="DB129" s="113"/>
      <c r="DC129" s="113"/>
      <c r="DD129" s="113"/>
      <c r="DE129" s="113"/>
      <c r="DF129" s="113"/>
      <c r="DG129" s="113"/>
      <c r="DH129" s="113"/>
      <c r="DI129" s="113"/>
      <c r="DJ129" s="113"/>
      <c r="DK129" s="113"/>
      <c r="DL129" s="113"/>
      <c r="DM129" s="113"/>
      <c r="DN129" s="113"/>
      <c r="DO129" s="113"/>
      <c r="DP129" s="113"/>
      <c r="DQ129" s="113"/>
      <c r="DR129" s="113"/>
      <c r="DS129" s="113"/>
      <c r="DT129" s="113"/>
      <c r="DU129" s="113"/>
      <c r="DV129" s="113"/>
      <c r="DW129" s="113"/>
      <c r="DX129" s="113"/>
      <c r="DY129" s="113"/>
      <c r="DZ129" s="113"/>
      <c r="EA129" s="113"/>
      <c r="EB129" s="113"/>
      <c r="EC129" s="113"/>
      <c r="ED129" s="113"/>
      <c r="EE129" s="113"/>
      <c r="EF129" s="113"/>
      <c r="EG129" s="113"/>
      <c r="EH129" s="113"/>
      <c r="EI129" s="113"/>
      <c r="EJ129" s="113"/>
      <c r="EK129" s="113"/>
      <c r="EL129" s="113"/>
      <c r="EM129" s="113"/>
      <c r="EN129" s="113"/>
      <c r="EO129" s="113"/>
      <c r="EP129" s="113"/>
      <c r="EQ129" s="113"/>
      <c r="ER129" s="113"/>
      <c r="ES129" s="113"/>
      <c r="ET129" s="113"/>
      <c r="EU129" s="113"/>
      <c r="EV129" s="113"/>
      <c r="EW129" s="113"/>
      <c r="EX129" s="113"/>
      <c r="EY129" s="113"/>
    </row>
    <row r="130">
      <c r="A130" s="65" t="s">
        <v>7</v>
      </c>
      <c r="B130" s="65" t="s">
        <v>22</v>
      </c>
      <c r="C130" s="65" t="s">
        <v>410</v>
      </c>
      <c r="D130" s="64">
        <f t="shared" si="1"/>
        <v>753.31115</v>
      </c>
      <c r="E130" s="104"/>
      <c r="F130" s="104">
        <v>72.6130333333333</v>
      </c>
      <c r="G130" s="104">
        <v>35.4770333333333</v>
      </c>
      <c r="H130" s="104">
        <v>12.3677833333333</v>
      </c>
      <c r="I130" s="104">
        <v>1.40175</v>
      </c>
      <c r="J130" s="104">
        <v>1.09708333333333</v>
      </c>
      <c r="K130" s="104">
        <v>36.0040666666667</v>
      </c>
      <c r="L130" s="104"/>
      <c r="M130" s="104">
        <v>72.6130333333333</v>
      </c>
      <c r="N130" s="104">
        <v>35.4770333333333</v>
      </c>
      <c r="O130" s="104"/>
      <c r="P130" s="65">
        <v>13.61865</v>
      </c>
      <c r="Q130" s="65"/>
      <c r="R130" s="65"/>
      <c r="S130" s="65">
        <v>70.2659499999999</v>
      </c>
      <c r="T130" s="65">
        <v>26.1526666666667</v>
      </c>
      <c r="U130" s="65">
        <v>9.42966666666667</v>
      </c>
      <c r="V130" s="65">
        <v>2.41156666666667</v>
      </c>
      <c r="W130" s="65">
        <v>35.43905</v>
      </c>
      <c r="X130" s="65"/>
      <c r="Y130" s="65"/>
      <c r="Z130" s="65">
        <v>22.9796833333333</v>
      </c>
      <c r="AA130" s="65">
        <v>22.1813166666667</v>
      </c>
      <c r="AB130" s="65">
        <v>3.67866666666667</v>
      </c>
      <c r="AC130" s="65">
        <v>1.35621666666667</v>
      </c>
      <c r="AD130" s="65">
        <v>7.88611666666667</v>
      </c>
      <c r="AE130" s="65"/>
      <c r="AF130" s="65">
        <v>22.9796833333333</v>
      </c>
      <c r="AG130" s="65">
        <v>22.1813166666667</v>
      </c>
      <c r="AH130" s="65"/>
      <c r="AI130" s="65">
        <v>10.2447166666667</v>
      </c>
      <c r="AJ130" s="65">
        <v>51.76225</v>
      </c>
      <c r="AK130" s="65">
        <v>4.10225</v>
      </c>
      <c r="AL130" s="65">
        <v>0.992366666666667</v>
      </c>
      <c r="AM130" s="65">
        <v>12.6516166666667</v>
      </c>
      <c r="AN130" s="65"/>
      <c r="AP130" s="65">
        <v>26.38145</v>
      </c>
      <c r="AQ130" s="65">
        <v>5.60953333333333</v>
      </c>
      <c r="AR130" s="65">
        <v>41.6093166666667</v>
      </c>
      <c r="AT130" s="65"/>
      <c r="AU130" s="65">
        <v>3.43248333333333</v>
      </c>
      <c r="AV130" s="65">
        <v>16.3194166666667</v>
      </c>
      <c r="AY130" s="65">
        <v>52.5943833333333</v>
      </c>
    </row>
    <row r="131">
      <c r="A131" s="65" t="s">
        <v>7</v>
      </c>
      <c r="B131" s="65" t="s">
        <v>22</v>
      </c>
      <c r="C131" s="65" t="s">
        <v>411</v>
      </c>
      <c r="D131" s="64">
        <f t="shared" si="1"/>
        <v>0</v>
      </c>
      <c r="E131" s="115"/>
      <c r="F131" s="115"/>
      <c r="G131" s="115"/>
      <c r="H131" s="115"/>
      <c r="I131" s="115"/>
      <c r="J131" s="115"/>
      <c r="K131" s="115"/>
      <c r="L131" s="115"/>
      <c r="M131" s="115"/>
      <c r="N131" s="115"/>
      <c r="O131" s="115"/>
    </row>
    <row r="132">
      <c r="A132" s="65" t="s">
        <v>7</v>
      </c>
      <c r="B132" s="65" t="s">
        <v>22</v>
      </c>
      <c r="C132" s="65" t="s">
        <v>412</v>
      </c>
      <c r="D132" s="64">
        <f t="shared" si="1"/>
        <v>560.0463167</v>
      </c>
      <c r="E132" s="115"/>
      <c r="F132" s="117">
        <f>HYPERLINK("https://docs.google.com/spreadsheets/d/19OJVuAnZRC-MpwdV8sh1VXKfivBIMiFg", 64.6306666666667)</f>
        <v>64.63066667</v>
      </c>
      <c r="G132" s="116">
        <f>HYPERLINK("https://docs.google.com/spreadsheets/d/16nsZJB2l3X8663KFPIJZXWaCpqAJVmbo", 35.47705)</f>
        <v>35.47705</v>
      </c>
      <c r="H132" s="116">
        <f>HYPERLINK("https://docs.google.com/spreadsheets/d/1WYOprnjZM6og0qDeXG1rajHK5R5FAe3_", 12.3072333333333)</f>
        <v>12.30723333</v>
      </c>
      <c r="I132" s="117">
        <f>HYPERLINK("https://docs.google.com/spreadsheets/d/1an8OTRs8WNWVgViZ_Fh3p897Ym18ud1W", 1.40175)</f>
        <v>1.40175</v>
      </c>
      <c r="J132" s="116">
        <f>HYPERLINK("https://docs.google.com/spreadsheets/d/107ybsSP_mUBRDAvJ3fH_y3XNpkDYRio5", 0.611)</f>
        <v>0.611</v>
      </c>
      <c r="K132" s="117">
        <f>HYPERLINK("https://docs.google.com/spreadsheets/d/1f4vDoqT0fQ-ZTkV9vr9JKWoP95iXcHMq", 35.7706666666667)</f>
        <v>35.77066667</v>
      </c>
      <c r="L132" s="115"/>
      <c r="M132" s="104"/>
      <c r="N132" s="115"/>
      <c r="O132" s="104"/>
      <c r="P132" s="118">
        <f>HYPERLINK("https://docs.google.com/spreadsheets/d/1AkK0O03yE0ss0NFRZC_4u8sQmBRAp1rC", 13.61865)</f>
        <v>13.61865</v>
      </c>
      <c r="S132" s="118">
        <f>HYPERLINK("https://docs.google.com/spreadsheets/d/13AEDy857U8srQecdLZLxjxA-SbDLMVG6", 52.5746)</f>
        <v>52.5746</v>
      </c>
      <c r="T132" s="118">
        <f>HYPERLINK("https://docs.google.com/spreadsheets/d/1lKIG85wlUAW19kGE-6ahpogORVZgMyRS", 25.4219833333333)</f>
        <v>25.42198333</v>
      </c>
      <c r="U132" s="118">
        <f>HYPERLINK("https://docs.google.com/spreadsheets/d/1aS1DniDb9GaG9XdKBO1kQz3JbW9sxW_a", 9.31545)</f>
        <v>9.31545</v>
      </c>
      <c r="V132" s="118">
        <f>HYPERLINK("https://docs.google.com/spreadsheets/d/1_O58hdtbChqVkfubNuXgFeyo7EaFmoqq", 1.61811666666667)</f>
        <v>1.618116667</v>
      </c>
      <c r="W132" s="118">
        <f>HYPERLINK("https://docs.google.com/spreadsheets/d/17mxKDlzhgrRxp8EH6C9sGahHeoKYoC-I", 35.4390666666667)</f>
        <v>35.43906667</v>
      </c>
      <c r="Z132" s="118">
        <f>HYPERLINK("https://docs.google.com/spreadsheets/d/1EdadU9nOplvFX7ExUhshLpNbcUmCVGXm", 19.6020166666667)</f>
        <v>19.60201667</v>
      </c>
      <c r="AA132" s="118">
        <f>HYPERLINK("https://docs.google.com/spreadsheets/d/1rBCqdP5-uwpRtJmmFS3JVBMwj4DQzNrs", 22.1813166666667)</f>
        <v>22.18131667</v>
      </c>
      <c r="AB132" s="118">
        <f>HYPERLINK("https://docs.google.com/spreadsheets/d/1jGrDZdKbJUS_8_T-A5DRN02qpZlbanal", 3.67866666666667)</f>
        <v>3.678666667</v>
      </c>
      <c r="AC132" s="118">
        <f>HYPERLINK("https://docs.google.com/spreadsheets/d/14LEy8oRjL1bFyh7lagjOQ5GvK1frw3I3", 1.06856666666667)</f>
        <v>1.068566667</v>
      </c>
      <c r="AD132" s="118">
        <f>HYPERLINK("https://docs.google.com/spreadsheets/d/1aoSkN585KQJnzsH1iE-5xjFM2sGkF8W8", 7.88608333333334)</f>
        <v>7.886083333</v>
      </c>
      <c r="AI132" s="118">
        <f>HYPERLINK("https://docs.google.com/spreadsheets/d/1QGv3LhMOOIt3iUF9tNzpEFDIxAGlAYVv", 8.8505)</f>
        <v>8.8505</v>
      </c>
      <c r="AJ132" s="118">
        <f>HYPERLINK("https://docs.google.com/spreadsheets/d/1Vk-dbgaMZGHUlkHZTe5gECVfxd4n7Llu", 51.7621666666667)</f>
        <v>51.76216667</v>
      </c>
      <c r="AK132" s="118">
        <f>HYPERLINK("https://docs.google.com/spreadsheets/d/16ckwjcQ3RWyExT9kjJ27JkEqlMtTzxJb", 4.10225)</f>
        <v>4.10225</v>
      </c>
      <c r="AL132" s="118">
        <f>HYPERLINK("https://docs.google.com/spreadsheets/d/19ZcqeCvYhSpeDRYaBrUOfUVyDXvSrMGF", 0.992366666666667)</f>
        <v>0.9923666667</v>
      </c>
      <c r="AM132" s="118">
        <f>HYPERLINK("https://docs.google.com/spreadsheets/d/1yamegwP84mOcAsQ9ZBWxangpueYYOklg", 12.6516)</f>
        <v>12.6516</v>
      </c>
      <c r="AP132" s="118">
        <f>HYPERLINK("https://docs.google.com/spreadsheets/d/1xOm3kJ89lXEza0OFX5tLTcBihFxzCMKI", 22.1267333333333)</f>
        <v>22.12673333</v>
      </c>
      <c r="AQ132" s="118">
        <f>HYPERLINK("https://docs.google.com/spreadsheets/d/1j4VlLrUTgFkH1zkBxWq3UJcNkjGgIwgM", 4.33093333333333)</f>
        <v>4.330933333</v>
      </c>
      <c r="AR132" s="118">
        <f>HYPERLINK("https://docs.google.com/spreadsheets/d/1PfiByawomFpXHpLNydoRKqLh_vFiSXFP", 41.4523166666667)</f>
        <v>41.45231667</v>
      </c>
      <c r="AU132" s="118">
        <f>HYPERLINK("https://docs.google.com/spreadsheets/d/1VzxAnBImE32LXt-Rn5fBuxrG_5Bu-y_7", 2.7045)</f>
        <v>2.7045</v>
      </c>
      <c r="AV132" s="118">
        <f>HYPERLINK("https://docs.google.com/spreadsheets/d/169VdO-5UmoejxKM6r4zsFzzzWN9Lew04", 16.3194166666667)</f>
        <v>16.31941667</v>
      </c>
      <c r="AY132" s="118">
        <f>HYPERLINK("https://docs.google.com/spreadsheets/d/1xhPDBPdrTMqmh-kja9oYlpi0b2aM41u3", 52.15065)</f>
        <v>52.15065</v>
      </c>
    </row>
    <row r="133">
      <c r="A133" s="65" t="s">
        <v>7</v>
      </c>
      <c r="B133" s="65" t="s">
        <v>22</v>
      </c>
      <c r="C133" s="65" t="s">
        <v>413</v>
      </c>
      <c r="D133" s="64">
        <f t="shared" si="1"/>
        <v>336.1382833</v>
      </c>
      <c r="E133" s="115"/>
      <c r="F133" s="104">
        <v>0.362316666666644</v>
      </c>
      <c r="G133" s="104">
        <v>1.4210854715202E-14</v>
      </c>
      <c r="H133" s="104">
        <v>-7.105427357601E-15</v>
      </c>
      <c r="I133" s="104">
        <v>2.22044604925031E-16</v>
      </c>
      <c r="J133" s="104">
        <v>-1.11022302462516E-16</v>
      </c>
      <c r="K133" s="104">
        <v>17.84035</v>
      </c>
      <c r="L133" s="104"/>
      <c r="M133" s="104"/>
      <c r="N133" s="104"/>
      <c r="O133" s="104"/>
      <c r="P133" s="65">
        <v>12.2668</v>
      </c>
      <c r="Q133" s="65"/>
      <c r="R133" s="65"/>
      <c r="S133" s="65">
        <v>49.2200166666667</v>
      </c>
      <c r="T133" s="65">
        <v>25.2774333333333</v>
      </c>
      <c r="U133" s="65">
        <v>-1.77635683940025E-15</v>
      </c>
      <c r="V133" s="65">
        <v>0.0</v>
      </c>
      <c r="W133" s="65">
        <v>32.7974</v>
      </c>
      <c r="X133" s="65"/>
      <c r="Y133" s="65"/>
      <c r="Z133" s="65">
        <v>13.2704333333333</v>
      </c>
      <c r="AA133" s="65">
        <v>12.93095</v>
      </c>
      <c r="AB133" s="65">
        <v>4.44089209850063E-16</v>
      </c>
      <c r="AC133" s="65">
        <v>0.0</v>
      </c>
      <c r="AD133" s="65">
        <v>0.0559666666666665</v>
      </c>
      <c r="AE133" s="65"/>
      <c r="AF133" s="65"/>
      <c r="AG133" s="65"/>
      <c r="AH133" s="65"/>
      <c r="AI133" s="65">
        <v>8.6861</v>
      </c>
      <c r="AJ133" s="65">
        <v>47.6163333333333</v>
      </c>
      <c r="AK133" s="65">
        <v>0.0</v>
      </c>
      <c r="AL133" s="65">
        <v>0.0</v>
      </c>
      <c r="AM133" s="65">
        <v>11.5712166666667</v>
      </c>
      <c r="AN133" s="65"/>
      <c r="AP133" s="65">
        <v>22.1267333333333</v>
      </c>
      <c r="AQ133" s="65">
        <v>0.0</v>
      </c>
      <c r="AR133" s="65">
        <v>38.10105</v>
      </c>
      <c r="AT133" s="65"/>
      <c r="AU133" s="65">
        <v>8.88178419700125E-16</v>
      </c>
      <c r="AV133" s="65">
        <v>3.5527136788005E-15</v>
      </c>
      <c r="AY133" s="65">
        <v>44.0151833333333</v>
      </c>
    </row>
    <row r="134">
      <c r="A134" s="119" t="s">
        <v>7</v>
      </c>
      <c r="B134" s="119" t="s">
        <v>22</v>
      </c>
      <c r="C134" s="119" t="s">
        <v>414</v>
      </c>
      <c r="D134" s="120">
        <f t="shared" si="1"/>
        <v>2.7045</v>
      </c>
      <c r="E134" s="121"/>
      <c r="F134" s="122">
        <f>HYPERLINK("https://docs.google.com/spreadsheets/d/19OJVuAnZRC-MpwdV8sh1VXKfivBIMiFg", 0)</f>
        <v>0</v>
      </c>
      <c r="G134" s="122">
        <f>HYPERLINK("https://docs.google.com/spreadsheets/d/16nsZJB2l3X8663KFPIJZXWaCpqAJVmbo", 0)</f>
        <v>0</v>
      </c>
      <c r="H134" s="122">
        <f>HYPERLINK("https://docs.google.com/spreadsheets/d/1WYOprnjZM6og0qDeXG1rajHK5R5FAe3_", 0)</f>
        <v>0</v>
      </c>
      <c r="I134" s="122">
        <f>HYPERLINK("https://docs.google.com/spreadsheets/d/1an8OTRs8WNWVgViZ_Fh3p897Ym18ud1W", 0)</f>
        <v>0</v>
      </c>
      <c r="J134" s="122">
        <f>HYPERLINK("https://docs.google.com/spreadsheets/d/107ybsSP_mUBRDAvJ3fH_y3XNpkDYRio5", 0)</f>
        <v>0</v>
      </c>
      <c r="K134" s="122">
        <f>HYPERLINK("https://docs.google.com/spreadsheets/d/1f4vDoqT0fQ-ZTkV9vr9JKWoP95iXcHMq", 0)</f>
        <v>0</v>
      </c>
      <c r="L134" s="121"/>
      <c r="M134" s="121"/>
      <c r="N134" s="123"/>
      <c r="O134" s="121"/>
      <c r="P134" s="124">
        <f>HYPERLINK("https://docs.google.com/spreadsheets/d/1AkK0O03yE0ss0NFRZC_4u8sQmBRAp1rC", 0)</f>
        <v>0</v>
      </c>
      <c r="Q134" s="119"/>
      <c r="R134" s="119"/>
      <c r="S134" s="124">
        <f>HYPERLINK("https://docs.google.com/spreadsheets/d/13AEDy857U8srQecdLZLxjxA-SbDLMVG6", 0)</f>
        <v>0</v>
      </c>
      <c r="T134" s="125">
        <f>HYPERLINK("https://docs.google.com/spreadsheets/d/1lKIG85wlUAW19kGE-6ahpogORVZgMyRS", 0)</f>
        <v>0</v>
      </c>
      <c r="U134" s="125">
        <f>HYPERLINK("https://docs.google.com/spreadsheets/d/1aS1DniDb9GaG9XdKBO1kQz3JbW9sxW_a", 0)</f>
        <v>0</v>
      </c>
      <c r="V134" s="124">
        <f>HYPERLINK("https://docs.google.com/spreadsheets/d/1_O58hdtbChqVkfubNuXgFeyo7EaFmoqq", 0)</f>
        <v>0</v>
      </c>
      <c r="W134" s="124">
        <f>HYPERLINK("https://docs.google.com/spreadsheets/d/17mxKDlzhgrRxp8EH6C9sGahHeoKYoC-I", 0)</f>
        <v>0</v>
      </c>
      <c r="X134" s="119"/>
      <c r="Y134" s="119"/>
      <c r="Z134" s="125">
        <f>HYPERLINK("https://docs.google.com/spreadsheets/d/1EdadU9nOplvFX7ExUhshLpNbcUmCVGXm", 0)</f>
        <v>0</v>
      </c>
      <c r="AA134" s="124">
        <f>HYPERLINK("https://docs.google.com/spreadsheets/d/1rBCqdP5-uwpRtJmmFS3JVBMwj4DQzNrs", 0)</f>
        <v>0</v>
      </c>
      <c r="AB134" s="124">
        <f>HYPERLINK("https://docs.google.com/spreadsheets/d/1jGrDZdKbJUS_8_T-A5DRN02qpZlbanal", 0)</f>
        <v>0</v>
      </c>
      <c r="AC134" s="124">
        <f>HYPERLINK("https://docs.google.com/spreadsheets/d/14LEy8oRjL1bFyh7lagjOQ5GvK1frw3I3", 0)</f>
        <v>0</v>
      </c>
      <c r="AD134" s="124">
        <f>HYPERLINK("https://docs.google.com/spreadsheets/d/1aoSkN585KQJnzsH1iE-5xjFM2sGkF8W8", 0)</f>
        <v>0</v>
      </c>
      <c r="AE134" s="119"/>
      <c r="AF134" s="119"/>
      <c r="AG134" s="119"/>
      <c r="AH134" s="119"/>
      <c r="AI134" s="125">
        <f>HYPERLINK("https://docs.google.com/spreadsheets/d/1QGv3LhMOOIt3iUF9tNzpEFDIxAGlAYVv", 0)</f>
        <v>0</v>
      </c>
      <c r="AJ134" s="124">
        <f>HYPERLINK("https://docs.google.com/spreadsheets/d/1Vk-dbgaMZGHUlkHZTe5gECVfxd4n7Llu", 0)</f>
        <v>0</v>
      </c>
      <c r="AK134" s="124">
        <f>HYPERLINK("https://docs.google.com/spreadsheets/d/16ckwjcQ3RWyExT9kjJ27JkEqlMtTzxJb", 0)</f>
        <v>0</v>
      </c>
      <c r="AL134" s="124">
        <f>HYPERLINK("https://docs.google.com/spreadsheets/d/19ZcqeCvYhSpeDRYaBrUOfUVyDXvSrMGF", 0)</f>
        <v>0</v>
      </c>
      <c r="AM134" s="124">
        <f>HYPERLINK("https://docs.google.com/spreadsheets/d/1yamegwP84mOcAsQ9ZBWxangpueYYOklg", 0)</f>
        <v>0</v>
      </c>
      <c r="AN134" s="119"/>
      <c r="AO134" s="120"/>
      <c r="AP134" s="124">
        <f>HYPERLINK("https://docs.google.com/spreadsheets/d/1xOm3kJ89lXEza0OFX5tLTcBihFxzCMKI", 0)</f>
        <v>0</v>
      </c>
      <c r="AQ134" s="125">
        <f>HYPERLINK("https://docs.google.com/spreadsheets/d/1j4VlLrUTgFkH1zkBxWq3UJcNkjGgIwgM", 0)</f>
        <v>0</v>
      </c>
      <c r="AR134" s="125">
        <f>HYPERLINK("https://docs.google.com/spreadsheets/d/1PfiByawomFpXHpLNydoRKqLh_vFiSXFP", 0)</f>
        <v>0</v>
      </c>
      <c r="AS134" s="120"/>
      <c r="AT134" s="120"/>
      <c r="AU134" s="125">
        <f>HYPERLINK("https://docs.google.com/spreadsheets/d/1VzxAnBImE32LXt-Rn5fBuxrG_5Bu-y_7", 2.7045)</f>
        <v>2.7045</v>
      </c>
      <c r="AV134" s="124">
        <f>HYPERLINK("https://docs.google.com/spreadsheets/d/169VdO-5UmoejxKM6r4zsFzzzWN9Lew04", 0)</f>
        <v>0</v>
      </c>
      <c r="AW134" s="120"/>
      <c r="AX134" s="120"/>
      <c r="AY134" s="124">
        <f>HYPERLINK("https://docs.google.com/spreadsheets/d/1xhPDBPdrTMqmh-kja9oYlpi0b2aM41u3", 0)</f>
        <v>0</v>
      </c>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c r="DA134" s="120"/>
      <c r="DB134" s="120"/>
      <c r="DC134" s="120"/>
      <c r="DD134" s="120"/>
      <c r="DE134" s="120"/>
      <c r="DF134" s="120"/>
      <c r="DG134" s="120"/>
      <c r="DH134" s="120"/>
      <c r="DI134" s="120"/>
      <c r="DJ134" s="120"/>
      <c r="DK134" s="120"/>
      <c r="DL134" s="120"/>
      <c r="DM134" s="120"/>
      <c r="DN134" s="120"/>
      <c r="DO134" s="120"/>
      <c r="DP134" s="120"/>
      <c r="DQ134" s="120"/>
      <c r="DR134" s="120"/>
      <c r="DS134" s="120"/>
      <c r="DT134" s="120"/>
      <c r="DU134" s="120"/>
      <c r="DV134" s="120"/>
      <c r="DW134" s="120"/>
      <c r="DX134" s="120"/>
      <c r="DY134" s="120"/>
      <c r="DZ134" s="120"/>
      <c r="EA134" s="120"/>
      <c r="EB134" s="120"/>
      <c r="EC134" s="120"/>
      <c r="ED134" s="120"/>
      <c r="EE134" s="120"/>
      <c r="EF134" s="120"/>
      <c r="EG134" s="120"/>
      <c r="EH134" s="120"/>
      <c r="EI134" s="120"/>
      <c r="EJ134" s="120"/>
      <c r="EK134" s="120"/>
      <c r="EL134" s="120"/>
      <c r="EM134" s="120"/>
      <c r="EN134" s="120"/>
      <c r="EO134" s="120"/>
      <c r="EP134" s="120"/>
      <c r="EQ134" s="120"/>
      <c r="ER134" s="120"/>
      <c r="ES134" s="120"/>
      <c r="ET134" s="120"/>
      <c r="EU134" s="120"/>
      <c r="EV134" s="120"/>
      <c r="EW134" s="120"/>
      <c r="EX134" s="120"/>
      <c r="EY134" s="120"/>
    </row>
    <row r="135">
      <c r="A135" s="112" t="s">
        <v>7</v>
      </c>
      <c r="B135" s="112" t="s">
        <v>8</v>
      </c>
      <c r="C135" s="112" t="s">
        <v>409</v>
      </c>
      <c r="D135" s="113">
        <f t="shared" si="1"/>
        <v>729.73435</v>
      </c>
      <c r="E135" s="114">
        <v>175.078116666666</v>
      </c>
      <c r="F135" s="114"/>
      <c r="G135" s="114"/>
      <c r="H135" s="114"/>
      <c r="I135" s="114"/>
      <c r="J135" s="114"/>
      <c r="K135" s="114"/>
      <c r="L135" s="114">
        <v>3.09516666666667</v>
      </c>
      <c r="M135" s="114"/>
      <c r="N135" s="114"/>
      <c r="O135" s="114">
        <v>17.8309166666667</v>
      </c>
      <c r="P135" s="112"/>
      <c r="Q135" s="112">
        <v>0.191616666666667</v>
      </c>
      <c r="R135" s="112">
        <v>203.7592</v>
      </c>
      <c r="S135" s="112"/>
      <c r="T135" s="112"/>
      <c r="U135" s="112"/>
      <c r="V135" s="112"/>
      <c r="W135" s="112"/>
      <c r="X135" s="112">
        <v>3.28065</v>
      </c>
      <c r="Y135" s="112">
        <v>56.5240333333334</v>
      </c>
      <c r="Z135" s="112"/>
      <c r="AA135" s="113"/>
      <c r="AB135" s="112"/>
      <c r="AC135" s="112"/>
      <c r="AD135" s="112"/>
      <c r="AE135" s="112">
        <v>1.16946666666667</v>
      </c>
      <c r="AF135" s="112"/>
      <c r="AG135" s="112"/>
      <c r="AH135" s="112">
        <v>100.81215</v>
      </c>
      <c r="AI135" s="112"/>
      <c r="AJ135" s="112"/>
      <c r="AK135" s="112"/>
      <c r="AL135" s="113"/>
      <c r="AM135" s="112"/>
      <c r="AN135" s="112">
        <v>2.96236666666667</v>
      </c>
      <c r="AO135" s="112">
        <v>58.9368666666667</v>
      </c>
      <c r="AP135" s="112"/>
      <c r="AQ135" s="113"/>
      <c r="AR135" s="112"/>
      <c r="AS135" s="112">
        <v>11.5857333333333</v>
      </c>
      <c r="AT135" s="112">
        <v>26.0567666666667</v>
      </c>
      <c r="AU135" s="112"/>
      <c r="AV135" s="112"/>
      <c r="AW135" s="112">
        <v>3.32333333333333</v>
      </c>
      <c r="AX135" s="112">
        <v>58.9855166666667</v>
      </c>
      <c r="AY135" s="113"/>
      <c r="AZ135" s="112">
        <v>5.67153333333333</v>
      </c>
      <c r="BA135" s="112">
        <v>0.470916666666667</v>
      </c>
      <c r="BB135" s="113"/>
      <c r="BC135" s="113"/>
      <c r="BD135" s="113"/>
      <c r="BE135" s="113"/>
      <c r="BF135" s="113"/>
      <c r="BG135" s="113"/>
      <c r="BH135" s="113"/>
      <c r="BI135" s="113"/>
      <c r="BJ135" s="113"/>
      <c r="BK135" s="113"/>
      <c r="BL135" s="113"/>
      <c r="BM135" s="113"/>
      <c r="BN135" s="113"/>
      <c r="BO135" s="113"/>
      <c r="BP135" s="113"/>
      <c r="BQ135" s="113"/>
      <c r="BR135" s="113"/>
      <c r="BS135" s="113"/>
      <c r="BT135" s="113"/>
      <c r="BU135" s="113"/>
      <c r="BV135" s="113"/>
      <c r="BW135" s="113"/>
      <c r="BX135" s="113"/>
      <c r="BY135" s="113"/>
      <c r="BZ135" s="113"/>
      <c r="CA135" s="113"/>
      <c r="CB135" s="113"/>
      <c r="CC135" s="113"/>
      <c r="CD135" s="113"/>
      <c r="CE135" s="113"/>
      <c r="CF135" s="113"/>
      <c r="CG135" s="113"/>
      <c r="CH135" s="113"/>
      <c r="CI135" s="113"/>
      <c r="CJ135" s="113"/>
      <c r="CK135" s="113"/>
      <c r="CL135" s="113"/>
      <c r="CM135" s="113"/>
      <c r="CN135" s="113"/>
      <c r="CO135" s="113"/>
      <c r="CP135" s="113"/>
      <c r="CQ135" s="113"/>
      <c r="CR135" s="113"/>
      <c r="CS135" s="113"/>
      <c r="CT135" s="113"/>
      <c r="CU135" s="113"/>
      <c r="CV135" s="113"/>
      <c r="CW135" s="113"/>
      <c r="CX135" s="113"/>
      <c r="CY135" s="113"/>
      <c r="CZ135" s="113"/>
      <c r="DA135" s="113"/>
      <c r="DB135" s="113"/>
      <c r="DC135" s="113"/>
      <c r="DD135" s="113"/>
      <c r="DE135" s="113"/>
      <c r="DF135" s="113"/>
      <c r="DG135" s="113"/>
      <c r="DH135" s="113"/>
      <c r="DI135" s="113"/>
      <c r="DJ135" s="113"/>
      <c r="DK135" s="113"/>
      <c r="DL135" s="113"/>
      <c r="DM135" s="113"/>
      <c r="DN135" s="113"/>
      <c r="DO135" s="113"/>
      <c r="DP135" s="113"/>
      <c r="DQ135" s="113"/>
      <c r="DR135" s="113"/>
      <c r="DS135" s="113"/>
      <c r="DT135" s="113"/>
      <c r="DU135" s="113"/>
      <c r="DV135" s="113"/>
      <c r="DW135" s="113"/>
      <c r="DX135" s="113"/>
      <c r="DY135" s="113"/>
      <c r="DZ135" s="113"/>
      <c r="EA135" s="113"/>
      <c r="EB135" s="113"/>
      <c r="EC135" s="113"/>
      <c r="ED135" s="113"/>
      <c r="EE135" s="113"/>
      <c r="EF135" s="113"/>
      <c r="EG135" s="113"/>
      <c r="EH135" s="113"/>
      <c r="EI135" s="113"/>
      <c r="EJ135" s="113"/>
      <c r="EK135" s="113"/>
      <c r="EL135" s="113"/>
      <c r="EM135" s="113"/>
      <c r="EN135" s="113"/>
      <c r="EO135" s="113"/>
      <c r="EP135" s="113"/>
      <c r="EQ135" s="113"/>
      <c r="ER135" s="113"/>
      <c r="ES135" s="113"/>
      <c r="ET135" s="113"/>
      <c r="EU135" s="113"/>
      <c r="EV135" s="113"/>
      <c r="EW135" s="113"/>
      <c r="EX135" s="113"/>
      <c r="EY135" s="113"/>
    </row>
    <row r="136">
      <c r="A136" s="65" t="s">
        <v>7</v>
      </c>
      <c r="B136" s="65" t="s">
        <v>8</v>
      </c>
      <c r="C136" s="65" t="s">
        <v>410</v>
      </c>
      <c r="D136" s="64">
        <f t="shared" si="1"/>
        <v>780.9839667</v>
      </c>
      <c r="E136" s="104"/>
      <c r="F136" s="104"/>
      <c r="G136" s="104">
        <v>116.45885</v>
      </c>
      <c r="H136" s="104">
        <v>6.45845</v>
      </c>
      <c r="I136" s="104">
        <v>0.510733333333333</v>
      </c>
      <c r="J136" s="104">
        <v>3.07198333333333</v>
      </c>
      <c r="K136" s="104">
        <v>24.8476</v>
      </c>
      <c r="L136" s="104"/>
      <c r="M136" s="104"/>
      <c r="N136" s="104">
        <v>116.45885</v>
      </c>
      <c r="O136" s="104"/>
      <c r="P136" s="65">
        <v>14.6375</v>
      </c>
      <c r="Q136" s="65"/>
      <c r="R136" s="65"/>
      <c r="S136" s="65">
        <v>122.96545</v>
      </c>
      <c r="T136" s="65">
        <v>21.2241166666667</v>
      </c>
      <c r="U136" s="65">
        <v>3.63228333333333</v>
      </c>
      <c r="V136" s="65">
        <v>7.4478</v>
      </c>
      <c r="W136" s="65">
        <v>36.5364833333333</v>
      </c>
      <c r="X136" s="65"/>
      <c r="Y136" s="65"/>
      <c r="Z136" s="65">
        <v>29.0688666666666</v>
      </c>
      <c r="AA136" s="65">
        <v>6.66971666666667</v>
      </c>
      <c r="AB136" s="65">
        <v>1.48298333333333</v>
      </c>
      <c r="AC136" s="65">
        <v>2.81158333333333</v>
      </c>
      <c r="AD136" s="65">
        <v>13.4626333333333</v>
      </c>
      <c r="AE136" s="65"/>
      <c r="AF136" s="65">
        <v>29.0688666666666</v>
      </c>
      <c r="AG136" s="65">
        <v>6.66971666666667</v>
      </c>
      <c r="AH136" s="65"/>
      <c r="AI136" s="65">
        <v>15.8750166666667</v>
      </c>
      <c r="AJ136" s="65">
        <v>12.9014666666667</v>
      </c>
      <c r="AK136" s="65">
        <v>2.07636666666667</v>
      </c>
      <c r="AL136" s="65">
        <v>2.55588333333333</v>
      </c>
      <c r="AM136" s="65">
        <v>63.2808166666667</v>
      </c>
      <c r="AN136" s="65"/>
      <c r="AP136" s="65">
        <v>15.8045666666667</v>
      </c>
      <c r="AQ136" s="65">
        <v>3.76753333333333</v>
      </c>
      <c r="AR136" s="65">
        <v>25.0126166666667</v>
      </c>
      <c r="AT136" s="65"/>
      <c r="AU136" s="65">
        <v>7.05486666666666</v>
      </c>
      <c r="AV136" s="65">
        <v>14.1897666666667</v>
      </c>
      <c r="AY136" s="65">
        <v>54.9806</v>
      </c>
    </row>
    <row r="137">
      <c r="A137" s="65" t="s">
        <v>7</v>
      </c>
      <c r="B137" s="65" t="s">
        <v>8</v>
      </c>
      <c r="C137" s="65" t="s">
        <v>411</v>
      </c>
      <c r="D137" s="64">
        <f t="shared" si="1"/>
        <v>0</v>
      </c>
      <c r="E137" s="115"/>
      <c r="F137" s="115"/>
      <c r="G137" s="115"/>
      <c r="H137" s="115"/>
      <c r="I137" s="115"/>
      <c r="J137" s="115"/>
      <c r="K137" s="115"/>
      <c r="L137" s="115"/>
      <c r="M137" s="115"/>
      <c r="N137" s="115"/>
      <c r="O137" s="115"/>
    </row>
    <row r="138">
      <c r="A138" s="65" t="s">
        <v>7</v>
      </c>
      <c r="B138" s="65" t="s">
        <v>8</v>
      </c>
      <c r="C138" s="65" t="s">
        <v>412</v>
      </c>
      <c r="D138" s="64">
        <f t="shared" si="1"/>
        <v>602.2500833</v>
      </c>
      <c r="E138" s="115"/>
      <c r="F138" s="104"/>
      <c r="G138" s="116">
        <f>HYPERLINK("https://docs.google.com/spreadsheets/d/1vCv6q8cuRRg27RUbXwb4DognRFU-zrio", 115.8261)</f>
        <v>115.8261</v>
      </c>
      <c r="H138" s="116">
        <f>HYPERLINK("https://docs.google.com/spreadsheets/d/1jT2WCKD6DY8Cxy_m-YbsgZNT6OfcRwyV", 6.37885)</f>
        <v>6.37885</v>
      </c>
      <c r="I138" s="117">
        <f>HYPERLINK("https://docs.google.com/spreadsheets/d/1wY7pSOl-ZrsI8wseysg4BQp_OiovESnu", 0.389716666666667)</f>
        <v>0.3897166667</v>
      </c>
      <c r="J138" s="116">
        <f>HYPERLINK("https://docs.google.com/spreadsheets/d/1ZV0CL6n_-QQ7kboWsnZZ91l5Lm_N8cES", 1.15375)</f>
        <v>1.15375</v>
      </c>
      <c r="K138" s="117">
        <f>HYPERLINK("https://docs.google.com/spreadsheets/d/1Pg18Ly_K0cWYygo1DOPrZJVz1vORbq5W", 24.8476)</f>
        <v>24.8476</v>
      </c>
      <c r="L138" s="115"/>
      <c r="M138" s="104"/>
      <c r="N138" s="115"/>
      <c r="O138" s="104"/>
      <c r="P138" s="118">
        <f>HYPERLINK("https://docs.google.com/spreadsheets/d/1BzZyHn_6In9zFnJtHUfONGdaTqq14Rls", 14.6374833333333)</f>
        <v>14.63748333</v>
      </c>
      <c r="S138" s="118">
        <f>HYPERLINK("https://docs.google.com/spreadsheets/d/1WaG4-XtZDoZgzEa9AK_pwErA2izYmhoo", 108.013133333333)</f>
        <v>108.0131333</v>
      </c>
      <c r="T138" s="118">
        <f>HYPERLINK("https://docs.google.com/spreadsheets/d/19Z4BYSseSFR6bMwFOvp2-fnWcXhpaKSd", 21.2241)</f>
        <v>21.2241</v>
      </c>
      <c r="U138" s="118">
        <f>HYPERLINK("https://docs.google.com/spreadsheets/d/1AZt-Ztt97qDtTBKx_3yzO6ZXuaJIgmgX", 2.92508333333333)</f>
        <v>2.925083333</v>
      </c>
      <c r="V138" s="118">
        <f>HYPERLINK("https://docs.google.com/spreadsheets/d/1hmJKvTo-1BezBR6lOjzARZOOXaieiKST", 5.82218333333333)</f>
        <v>5.822183333</v>
      </c>
      <c r="W138" s="118">
        <f>HYPERLINK("https://docs.google.com/spreadsheets/d/14un81tAPk9809t9C68hCaSfb1S4khkCU", 36.5364666666667)</f>
        <v>36.53646667</v>
      </c>
      <c r="Z138" s="118">
        <f>HYPERLINK("https://docs.google.com/spreadsheets/d/1RaCc4VogINwepjIGfWC_5ws9pKPIswIl", 27.3945666666667)</f>
        <v>27.39456667</v>
      </c>
      <c r="AA138" s="118">
        <f>HYPERLINK("https://docs.google.com/spreadsheets/d/1-HT3Nlehb0Fr8kXEh7JybWSfcQGxqH3D", 6.66971666666667)</f>
        <v>6.669716667</v>
      </c>
      <c r="AB138" s="118">
        <f>HYPERLINK("https://docs.google.com/spreadsheets/d/1sStLpTMMRO6DvaUmnuIndLJpYgK5Fso-", 1.33635)</f>
        <v>1.33635</v>
      </c>
      <c r="AC138" s="118">
        <f>HYPERLINK("https://docs.google.com/spreadsheets/d/1dbe1xlhOCGjp2qZcY5as_YfaKcGyH6X8", 2.33628333333333)</f>
        <v>2.336283333</v>
      </c>
      <c r="AD138" s="118">
        <f>HYPERLINK("https://docs.google.com/spreadsheets/d/1MHj3-PtHLA9RhbUvX2XjkDws2QtiLt3T", 13.3120333333333)</f>
        <v>13.31203333</v>
      </c>
      <c r="AI138" s="118">
        <f>HYPERLINK("https://docs.google.com/spreadsheets/d/17Z4nNF1UFMZZKk3i6Pnj7XRZsJaq_EQ1", 15.1390333333333)</f>
        <v>15.13903333</v>
      </c>
      <c r="AJ138" s="118">
        <f>HYPERLINK("https://docs.google.com/spreadsheets/d/1Pj5fMGr_R0k6y4kcQw3Yt16bval3xW7G", 12.90145)</f>
        <v>12.90145</v>
      </c>
      <c r="AK138" s="118">
        <f>HYPERLINK("https://docs.google.com/spreadsheets/d/1I-cfdxVOeLxSbBr5691aNQuuv348lxd7", 1.86763333333333)</f>
        <v>1.867633333</v>
      </c>
      <c r="AL138" s="118">
        <f>HYPERLINK("https://docs.google.com/spreadsheets/d/1MV3FSwNiHajfKHcBu86Shwk4MiCuLbXI", 2.27036666666667)</f>
        <v>2.270366667</v>
      </c>
      <c r="AM138" s="118">
        <f>HYPERLINK("https://docs.google.com/spreadsheets/d/1Iof44Ablcl8_MprNNq8NV7wUHWCc-oO9", 62.7958333333333)</f>
        <v>62.79583333</v>
      </c>
      <c r="AP138" s="118">
        <f>HYPERLINK("https://docs.google.com/spreadsheets/d/1YXNpKVZq4TYPJvaVLO3-uqcsxrH1VUu8", 13.671)</f>
        <v>13.671</v>
      </c>
      <c r="AQ138" s="118">
        <f>HYPERLINK("https://docs.google.com/spreadsheets/d/1X5OQbDbH82sD4ZRvInlUHv8lFnuU2822", 3.76753333333333)</f>
        <v>3.767533333</v>
      </c>
      <c r="AR138" s="118">
        <f>HYPERLINK("https://docs.google.com/spreadsheets/d/145ku2cNMBrX_iKzdJMs39Blhjt-y65Hn", 25.0126166666667)</f>
        <v>25.01261667</v>
      </c>
      <c r="AU138" s="118">
        <f>HYPERLINK("https://docs.google.com/spreadsheets/d/1qNauG5f9lwMbT7EM5ndKMznPTCjmpoiJ", 7.00958333333333)</f>
        <v>7.009583333</v>
      </c>
      <c r="AV138" s="118">
        <f>HYPERLINK("https://docs.google.com/spreadsheets/d/1KA3uqet9UbBSEXLsK1igRoUIrkhg794o", 14.1897833333333)</f>
        <v>14.18978333</v>
      </c>
      <c r="AY138" s="118">
        <f>HYPERLINK("https://docs.google.com/spreadsheets/d/1k7DcG2sOk3Zoikgyk6Y4CFgMNF3xpUM-", 54.8218333333334)</f>
        <v>54.82183333</v>
      </c>
    </row>
    <row r="139">
      <c r="A139" s="65" t="s">
        <v>7</v>
      </c>
      <c r="B139" s="65" t="s">
        <v>8</v>
      </c>
      <c r="C139" s="65" t="s">
        <v>413</v>
      </c>
      <c r="D139" s="64">
        <f t="shared" si="1"/>
        <v>441.9814667</v>
      </c>
      <c r="E139" s="115"/>
      <c r="F139" s="104"/>
      <c r="G139" s="104">
        <v>11.7295333333335</v>
      </c>
      <c r="H139" s="104">
        <v>1.21185</v>
      </c>
      <c r="I139" s="104">
        <v>5.55111512312578E-17</v>
      </c>
      <c r="J139" s="104">
        <v>0.4078</v>
      </c>
      <c r="K139" s="104">
        <v>24.8476</v>
      </c>
      <c r="L139" s="104"/>
      <c r="M139" s="104"/>
      <c r="N139" s="104"/>
      <c r="O139" s="104"/>
      <c r="P139" s="65">
        <v>14.6374833333333</v>
      </c>
      <c r="Q139" s="65"/>
      <c r="R139" s="65"/>
      <c r="S139" s="65">
        <v>108.013133333333</v>
      </c>
      <c r="T139" s="65">
        <v>21.2241</v>
      </c>
      <c r="U139" s="65">
        <v>0.208683333333333</v>
      </c>
      <c r="V139" s="65">
        <v>1.09025</v>
      </c>
      <c r="W139" s="65">
        <v>36.5364666666667</v>
      </c>
      <c r="X139" s="65"/>
      <c r="Y139" s="65"/>
      <c r="Z139" s="65">
        <v>18.2695166666667</v>
      </c>
      <c r="AA139" s="65">
        <v>4.72121666666667</v>
      </c>
      <c r="AB139" s="65">
        <v>-2.22044604925031E-16</v>
      </c>
      <c r="AC139" s="65">
        <v>-8.88178419700125E-16</v>
      </c>
      <c r="AD139" s="65">
        <v>5.03296666666667</v>
      </c>
      <c r="AE139" s="65"/>
      <c r="AF139" s="65"/>
      <c r="AG139" s="65"/>
      <c r="AH139" s="65"/>
      <c r="AI139" s="65">
        <v>15.1390333333333</v>
      </c>
      <c r="AJ139" s="65">
        <v>12.90145</v>
      </c>
      <c r="AK139" s="65">
        <v>2.22044604925031E-16</v>
      </c>
      <c r="AL139" s="65">
        <v>0.400583333333333</v>
      </c>
      <c r="AM139" s="65">
        <v>62.7958333333333</v>
      </c>
      <c r="AN139" s="65"/>
      <c r="AP139" s="65">
        <v>13.671</v>
      </c>
      <c r="AQ139" s="65">
        <v>0.334966666666666</v>
      </c>
      <c r="AR139" s="65">
        <v>25.0126166666667</v>
      </c>
      <c r="AT139" s="65"/>
      <c r="AU139" s="65">
        <v>2.31555</v>
      </c>
      <c r="AV139" s="65">
        <v>6.658</v>
      </c>
      <c r="AY139" s="65">
        <v>54.8218333333334</v>
      </c>
    </row>
    <row r="140">
      <c r="A140" s="119" t="s">
        <v>7</v>
      </c>
      <c r="B140" s="119" t="s">
        <v>8</v>
      </c>
      <c r="C140" s="119" t="s">
        <v>414</v>
      </c>
      <c r="D140" s="120">
        <f t="shared" si="1"/>
        <v>7.009583333</v>
      </c>
      <c r="E140" s="121"/>
      <c r="F140" s="123"/>
      <c r="G140" s="122">
        <f>HYPERLINK("https://docs.google.com/spreadsheets/d/1vCv6q8cuRRg27RUbXwb4DognRFU-zrio", 0)</f>
        <v>0</v>
      </c>
      <c r="H140" s="122">
        <f>HYPERLINK("https://docs.google.com/spreadsheets/d/1jT2WCKD6DY8Cxy_m-YbsgZNT6OfcRwyV", 0)</f>
        <v>0</v>
      </c>
      <c r="I140" s="122">
        <f>HYPERLINK("https://docs.google.com/spreadsheets/d/1wY7pSOl-ZrsI8wseysg4BQp_OiovESnu", 0)</f>
        <v>0</v>
      </c>
      <c r="J140" s="122">
        <f>HYPERLINK("https://docs.google.com/spreadsheets/d/1ZV0CL6n_-QQ7kboWsnZZ91l5Lm_N8cES", 0)</f>
        <v>0</v>
      </c>
      <c r="K140" s="127">
        <f>HYPERLINK("https://docs.google.com/spreadsheets/d/1Pg18Ly_K0cWYygo1DOPrZJVz1vORbq5W", 0)</f>
        <v>0</v>
      </c>
      <c r="L140" s="121"/>
      <c r="M140" s="121"/>
      <c r="N140" s="121"/>
      <c r="O140" s="121"/>
      <c r="P140" s="124">
        <f>HYPERLINK("https://docs.google.com/spreadsheets/d/1BzZyHn_6In9zFnJtHUfONGdaTqq14Rls", 0)</f>
        <v>0</v>
      </c>
      <c r="Q140" s="120"/>
      <c r="R140" s="120"/>
      <c r="S140" s="124">
        <f>HYPERLINK("https://docs.google.com/spreadsheets/d/1WaG4-XtZDoZgzEa9AK_pwErA2izYmhoo", 0)</f>
        <v>0</v>
      </c>
      <c r="T140" s="125">
        <f>HYPERLINK("https://docs.google.com/spreadsheets/d/19Z4BYSseSFR6bMwFOvp2-fnWcXhpaKSd", 0)</f>
        <v>0</v>
      </c>
      <c r="U140" s="124">
        <f>HYPERLINK("https://docs.google.com/spreadsheets/d/1AZt-Ztt97qDtTBKx_3yzO6ZXuaJIgmgX", 0)</f>
        <v>0</v>
      </c>
      <c r="V140" s="124">
        <f>HYPERLINK("https://docs.google.com/spreadsheets/d/1hmJKvTo-1BezBR6lOjzARZOOXaieiKST", 0)</f>
        <v>0</v>
      </c>
      <c r="W140" s="124">
        <f>HYPERLINK("https://docs.google.com/spreadsheets/d/14un81tAPk9809t9C68hCaSfb1S4khkCU", 0)</f>
        <v>0</v>
      </c>
      <c r="X140" s="119"/>
      <c r="Y140" s="119"/>
      <c r="Z140" s="124">
        <f>HYPERLINK("https://docs.google.com/spreadsheets/d/1RaCc4VogINwepjIGfWC_5ws9pKPIswIl", 0)</f>
        <v>0</v>
      </c>
      <c r="AA140" s="124">
        <f>HYPERLINK("https://docs.google.com/spreadsheets/d/1-HT3Nlehb0Fr8kXEh7JybWSfcQGxqH3D", 0)</f>
        <v>0</v>
      </c>
      <c r="AB140" s="124">
        <f>HYPERLINK("https://docs.google.com/spreadsheets/d/1sStLpTMMRO6DvaUmnuIndLJpYgK5Fso-", 0)</f>
        <v>0</v>
      </c>
      <c r="AC140" s="124">
        <f>HYPERLINK("https://docs.google.com/spreadsheets/d/1dbe1xlhOCGjp2qZcY5as_YfaKcGyH6X8", 0)</f>
        <v>0</v>
      </c>
      <c r="AD140" s="124">
        <f>HYPERLINK("https://docs.google.com/spreadsheets/d/1MHj3-PtHLA9RhbUvX2XjkDws2QtiLt3T", 0)</f>
        <v>0</v>
      </c>
      <c r="AE140" s="119"/>
      <c r="AF140" s="120"/>
      <c r="AG140" s="119"/>
      <c r="AH140" s="119"/>
      <c r="AI140" s="124">
        <f>HYPERLINK("https://docs.google.com/spreadsheets/d/17Z4nNF1UFMZZKk3i6Pnj7XRZsJaq_EQ1", 0)</f>
        <v>0</v>
      </c>
      <c r="AJ140" s="124">
        <f>HYPERLINK("https://docs.google.com/spreadsheets/d/1Pj5fMGr_R0k6y4kcQw3Yt16bval3xW7G", 0)</f>
        <v>0</v>
      </c>
      <c r="AK140" s="124">
        <f>HYPERLINK("https://docs.google.com/spreadsheets/d/1I-cfdxVOeLxSbBr5691aNQuuv348lxd7", 0)</f>
        <v>0</v>
      </c>
      <c r="AL140" s="124">
        <f>HYPERLINK("https://docs.google.com/spreadsheets/d/1MV3FSwNiHajfKHcBu86Shwk4MiCuLbXI", 0)</f>
        <v>0</v>
      </c>
      <c r="AM140" s="124">
        <f>HYPERLINK("https://docs.google.com/spreadsheets/d/1Iof44Ablcl8_MprNNq8NV7wUHWCc-oO9", 0)</f>
        <v>0</v>
      </c>
      <c r="AN140" s="120"/>
      <c r="AO140" s="120"/>
      <c r="AP140" s="124">
        <f>HYPERLINK("https://docs.google.com/spreadsheets/d/1YXNpKVZq4TYPJvaVLO3-uqcsxrH1VUu8", 0)</f>
        <v>0</v>
      </c>
      <c r="AQ140" s="125">
        <f>HYPERLINK("https://docs.google.com/spreadsheets/d/1X5OQbDbH82sD4ZRvInlUHv8lFnuU2822", 0)</f>
        <v>0</v>
      </c>
      <c r="AR140" s="125">
        <f>HYPERLINK("https://docs.google.com/spreadsheets/d/145ku2cNMBrX_iKzdJMs39Blhjt-y65Hn", 0)</f>
        <v>0</v>
      </c>
      <c r="AS140" s="120"/>
      <c r="AT140" s="120"/>
      <c r="AU140" s="124">
        <f>HYPERLINK("https://docs.google.com/spreadsheets/d/1qNauG5f9lwMbT7EM5ndKMznPTCjmpoiJ", 7.00958333333333)</f>
        <v>7.009583333</v>
      </c>
      <c r="AV140" s="124">
        <f>HYPERLINK("https://docs.google.com/spreadsheets/d/1KA3uqet9UbBSEXLsK1igRoUIrkhg794o", 0)</f>
        <v>0</v>
      </c>
      <c r="AW140" s="120"/>
      <c r="AX140" s="120"/>
      <c r="AY140" s="124">
        <f>HYPERLINK("https://docs.google.com/spreadsheets/d/1k7DcG2sOk3Zoikgyk6Y4CFgMNF3xpUM-", 0)</f>
        <v>0</v>
      </c>
      <c r="AZ140" s="120"/>
      <c r="BA140" s="120"/>
      <c r="BB140" s="120"/>
      <c r="BC140" s="120"/>
      <c r="BD140" s="120"/>
      <c r="BE140" s="120"/>
      <c r="BF140" s="120"/>
      <c r="BG140" s="120"/>
      <c r="BH140" s="120"/>
      <c r="BI140" s="120"/>
      <c r="BJ140" s="120"/>
      <c r="BK140" s="120"/>
      <c r="BL140" s="120"/>
      <c r="BM140" s="120"/>
      <c r="BN140" s="120"/>
      <c r="BO140" s="120"/>
      <c r="BP140" s="120"/>
      <c r="BQ140" s="120"/>
      <c r="BR140" s="120"/>
      <c r="BS140" s="120"/>
      <c r="BT140" s="120"/>
      <c r="BU140" s="120"/>
      <c r="BV140" s="120"/>
      <c r="BW140" s="120"/>
      <c r="BX140" s="120"/>
      <c r="BY140" s="120"/>
      <c r="BZ140" s="120"/>
      <c r="CA140" s="120"/>
      <c r="CB140" s="120"/>
      <c r="CC140" s="120"/>
      <c r="CD140" s="120"/>
      <c r="CE140" s="120"/>
      <c r="CF140" s="120"/>
      <c r="CG140" s="120"/>
      <c r="CH140" s="120"/>
      <c r="CI140" s="120"/>
      <c r="CJ140" s="120"/>
      <c r="CK140" s="120"/>
      <c r="CL140" s="120"/>
      <c r="CM140" s="120"/>
      <c r="CN140" s="120"/>
      <c r="CO140" s="120"/>
      <c r="CP140" s="120"/>
      <c r="CQ140" s="120"/>
      <c r="CR140" s="120"/>
      <c r="CS140" s="120"/>
      <c r="CT140" s="120"/>
      <c r="CU140" s="120"/>
      <c r="CV140" s="120"/>
      <c r="CW140" s="120"/>
      <c r="CX140" s="120"/>
      <c r="CY140" s="120"/>
      <c r="CZ140" s="120"/>
      <c r="DA140" s="120"/>
      <c r="DB140" s="120"/>
      <c r="DC140" s="120"/>
      <c r="DD140" s="120"/>
      <c r="DE140" s="120"/>
      <c r="DF140" s="120"/>
      <c r="DG140" s="120"/>
      <c r="DH140" s="120"/>
      <c r="DI140" s="120"/>
      <c r="DJ140" s="120"/>
      <c r="DK140" s="120"/>
      <c r="DL140" s="120"/>
      <c r="DM140" s="120"/>
      <c r="DN140" s="120"/>
      <c r="DO140" s="120"/>
      <c r="DP140" s="120"/>
      <c r="DQ140" s="120"/>
      <c r="DR140" s="120"/>
      <c r="DS140" s="120"/>
      <c r="DT140" s="120"/>
      <c r="DU140" s="120"/>
      <c r="DV140" s="120"/>
      <c r="DW140" s="120"/>
      <c r="DX140" s="120"/>
      <c r="DY140" s="120"/>
      <c r="DZ140" s="120"/>
      <c r="EA140" s="120"/>
      <c r="EB140" s="120"/>
      <c r="EC140" s="120"/>
      <c r="ED140" s="120"/>
      <c r="EE140" s="120"/>
      <c r="EF140" s="120"/>
      <c r="EG140" s="120"/>
      <c r="EH140" s="120"/>
      <c r="EI140" s="120"/>
      <c r="EJ140" s="120"/>
      <c r="EK140" s="120"/>
      <c r="EL140" s="120"/>
      <c r="EM140" s="120"/>
      <c r="EN140" s="120"/>
      <c r="EO140" s="120"/>
      <c r="EP140" s="120"/>
      <c r="EQ140" s="120"/>
      <c r="ER140" s="120"/>
      <c r="ES140" s="120"/>
      <c r="ET140" s="120"/>
      <c r="EU140" s="120"/>
      <c r="EV140" s="120"/>
      <c r="EW140" s="120"/>
      <c r="EX140" s="120"/>
      <c r="EY140" s="120"/>
    </row>
    <row r="141">
      <c r="A141" s="112" t="s">
        <v>7</v>
      </c>
      <c r="B141" s="112" t="s">
        <v>20</v>
      </c>
      <c r="C141" s="112" t="s">
        <v>409</v>
      </c>
      <c r="D141" s="113">
        <f t="shared" si="1"/>
        <v>756.4541667</v>
      </c>
      <c r="E141" s="114">
        <v>135.763766666667</v>
      </c>
      <c r="F141" s="114"/>
      <c r="G141" s="114"/>
      <c r="H141" s="114"/>
      <c r="I141" s="114"/>
      <c r="J141" s="114"/>
      <c r="K141" s="114"/>
      <c r="L141" s="114">
        <v>2.13575</v>
      </c>
      <c r="M141" s="114"/>
      <c r="N141" s="114"/>
      <c r="O141" s="114">
        <v>39.0839166666666</v>
      </c>
      <c r="P141" s="112"/>
      <c r="Q141" s="112">
        <v>0.327383333333333</v>
      </c>
      <c r="R141" s="112">
        <v>222.640466666666</v>
      </c>
      <c r="S141" s="112"/>
      <c r="T141" s="112"/>
      <c r="U141" s="112"/>
      <c r="V141" s="112"/>
      <c r="W141" s="112"/>
      <c r="X141" s="112">
        <v>2.9421</v>
      </c>
      <c r="Y141" s="112">
        <v>69.2186833333333</v>
      </c>
      <c r="Z141" s="112"/>
      <c r="AA141" s="113"/>
      <c r="AB141" s="112"/>
      <c r="AC141" s="112"/>
      <c r="AD141" s="112"/>
      <c r="AE141" s="112">
        <v>2.0837</v>
      </c>
      <c r="AF141" s="112"/>
      <c r="AG141" s="112"/>
      <c r="AH141" s="112">
        <v>77.8226666666667</v>
      </c>
      <c r="AI141" s="112"/>
      <c r="AJ141" s="112"/>
      <c r="AK141" s="112"/>
      <c r="AL141" s="113"/>
      <c r="AM141" s="112"/>
      <c r="AN141" s="112">
        <v>1.27668333333333</v>
      </c>
      <c r="AO141" s="112">
        <v>68.50035</v>
      </c>
      <c r="AP141" s="112"/>
      <c r="AQ141" s="113"/>
      <c r="AR141" s="113"/>
      <c r="AS141" s="112">
        <v>9.99991666666667</v>
      </c>
      <c r="AT141" s="112">
        <v>32.3003833333333</v>
      </c>
      <c r="AU141" s="112"/>
      <c r="AV141" s="112"/>
      <c r="AW141" s="112">
        <v>4.20378333333333</v>
      </c>
      <c r="AX141" s="112">
        <v>82.4493333333335</v>
      </c>
      <c r="AY141" s="113"/>
      <c r="AZ141" s="112">
        <v>4.56136666666667</v>
      </c>
      <c r="BA141" s="112">
        <v>1.14391666666667</v>
      </c>
      <c r="BB141" s="113"/>
      <c r="BC141" s="113"/>
      <c r="BD141" s="113"/>
      <c r="BE141" s="113"/>
      <c r="BF141" s="113"/>
      <c r="BG141" s="113"/>
      <c r="BH141" s="113"/>
      <c r="BI141" s="113"/>
      <c r="BJ141" s="113"/>
      <c r="BK141" s="113"/>
      <c r="BL141" s="113"/>
      <c r="BM141" s="113"/>
      <c r="BN141" s="113"/>
      <c r="BO141" s="113"/>
      <c r="BP141" s="113"/>
      <c r="BQ141" s="113"/>
      <c r="BR141" s="113"/>
      <c r="BS141" s="113"/>
      <c r="BT141" s="113"/>
      <c r="BU141" s="113"/>
      <c r="BV141" s="113"/>
      <c r="BW141" s="113"/>
      <c r="BX141" s="113"/>
      <c r="BY141" s="113"/>
      <c r="BZ141" s="113"/>
      <c r="CA141" s="113"/>
      <c r="CB141" s="113"/>
      <c r="CC141" s="113"/>
      <c r="CD141" s="113"/>
      <c r="CE141" s="113"/>
      <c r="CF141" s="113"/>
      <c r="CG141" s="113"/>
      <c r="CH141" s="113"/>
      <c r="CI141" s="113"/>
      <c r="CJ141" s="113"/>
      <c r="CK141" s="113"/>
      <c r="CL141" s="113"/>
      <c r="CM141" s="113"/>
      <c r="CN141" s="113"/>
      <c r="CO141" s="113"/>
      <c r="CP141" s="113"/>
      <c r="CQ141" s="113"/>
      <c r="CR141" s="113"/>
      <c r="CS141" s="113"/>
      <c r="CT141" s="113"/>
      <c r="CU141" s="113"/>
      <c r="CV141" s="113"/>
      <c r="CW141" s="113"/>
      <c r="CX141" s="113"/>
      <c r="CY141" s="113"/>
      <c r="CZ141" s="113"/>
      <c r="DA141" s="113"/>
      <c r="DB141" s="113"/>
      <c r="DC141" s="113"/>
      <c r="DD141" s="113"/>
      <c r="DE141" s="113"/>
      <c r="DF141" s="113"/>
      <c r="DG141" s="113"/>
      <c r="DH141" s="113"/>
      <c r="DI141" s="113"/>
      <c r="DJ141" s="113"/>
      <c r="DK141" s="113"/>
      <c r="DL141" s="113"/>
      <c r="DM141" s="113"/>
      <c r="DN141" s="113"/>
      <c r="DO141" s="113"/>
      <c r="DP141" s="113"/>
      <c r="DQ141" s="113"/>
      <c r="DR141" s="113"/>
      <c r="DS141" s="113"/>
      <c r="DT141" s="113"/>
      <c r="DU141" s="113"/>
      <c r="DV141" s="113"/>
      <c r="DW141" s="113"/>
      <c r="DX141" s="113"/>
      <c r="DY141" s="113"/>
      <c r="DZ141" s="113"/>
      <c r="EA141" s="113"/>
      <c r="EB141" s="113"/>
      <c r="EC141" s="113"/>
      <c r="ED141" s="113"/>
      <c r="EE141" s="113"/>
      <c r="EF141" s="113"/>
      <c r="EG141" s="113"/>
      <c r="EH141" s="113"/>
      <c r="EI141" s="113"/>
      <c r="EJ141" s="113"/>
      <c r="EK141" s="113"/>
      <c r="EL141" s="113"/>
      <c r="EM141" s="113"/>
      <c r="EN141" s="113"/>
      <c r="EO141" s="113"/>
      <c r="EP141" s="113"/>
      <c r="EQ141" s="113"/>
      <c r="ER141" s="113"/>
      <c r="ES141" s="113"/>
      <c r="ET141" s="113"/>
      <c r="EU141" s="113"/>
      <c r="EV141" s="113"/>
      <c r="EW141" s="113"/>
      <c r="EX141" s="113"/>
      <c r="EY141" s="113"/>
    </row>
    <row r="142">
      <c r="A142" s="65" t="s">
        <v>7</v>
      </c>
      <c r="B142" s="65" t="s">
        <v>20</v>
      </c>
      <c r="C142" s="65" t="s">
        <v>410</v>
      </c>
      <c r="D142" s="64">
        <f t="shared" si="1"/>
        <v>832.1799833</v>
      </c>
      <c r="E142" s="115"/>
      <c r="F142" s="104"/>
      <c r="G142" s="104">
        <v>111.006333333333</v>
      </c>
      <c r="H142" s="104">
        <v>2.71306666666667</v>
      </c>
      <c r="I142" s="104">
        <v>0.624066666666667</v>
      </c>
      <c r="J142" s="104">
        <v>1.80251666666667</v>
      </c>
      <c r="K142" s="104">
        <v>11.2424</v>
      </c>
      <c r="L142" s="104"/>
      <c r="M142" s="104"/>
      <c r="N142" s="104">
        <v>111.006333333333</v>
      </c>
      <c r="O142" s="104"/>
      <c r="P142" s="65">
        <v>29.7720666666666</v>
      </c>
      <c r="Q142" s="65"/>
      <c r="R142" s="65"/>
      <c r="S142" s="65">
        <v>149.827233333333</v>
      </c>
      <c r="T142" s="65">
        <v>25.9897333333333</v>
      </c>
      <c r="U142" s="65">
        <v>5.1551</v>
      </c>
      <c r="V142" s="65">
        <v>4.46636666666667</v>
      </c>
      <c r="W142" s="65">
        <v>30.8322166666667</v>
      </c>
      <c r="X142" s="65"/>
      <c r="Y142" s="65"/>
      <c r="Z142" s="65">
        <v>49.44395</v>
      </c>
      <c r="AA142" s="65">
        <v>8.27461666666666</v>
      </c>
      <c r="AB142" s="65">
        <v>0.633233333333333</v>
      </c>
      <c r="AC142" s="65">
        <v>1.64205</v>
      </c>
      <c r="AD142" s="65">
        <v>7.0246</v>
      </c>
      <c r="AE142" s="65"/>
      <c r="AF142" s="65">
        <v>49.44395</v>
      </c>
      <c r="AG142" s="65">
        <v>8.27461666666666</v>
      </c>
      <c r="AH142" s="65"/>
      <c r="AI142" s="65">
        <v>36.9247333333333</v>
      </c>
      <c r="AJ142" s="65">
        <v>13.9386333333333</v>
      </c>
      <c r="AK142" s="65">
        <v>1.91163333333333</v>
      </c>
      <c r="AL142" s="65">
        <v>0.333</v>
      </c>
      <c r="AM142" s="65">
        <v>23.2939666666667</v>
      </c>
      <c r="AN142" s="65"/>
      <c r="AP142" s="65">
        <v>16.4529833333333</v>
      </c>
      <c r="AQ142" s="65">
        <v>5.6024</v>
      </c>
      <c r="AR142" s="65">
        <v>29.3697833333334</v>
      </c>
      <c r="AT142" s="65"/>
      <c r="AU142" s="65">
        <v>5.82551666666667</v>
      </c>
      <c r="AV142" s="65">
        <v>16.59625</v>
      </c>
      <c r="AY142" s="65">
        <v>72.7566333333334</v>
      </c>
    </row>
    <row r="143">
      <c r="A143" s="65" t="s">
        <v>7</v>
      </c>
      <c r="B143" s="65" t="s">
        <v>20</v>
      </c>
      <c r="C143" s="65" t="s">
        <v>411</v>
      </c>
      <c r="D143" s="64">
        <f t="shared" si="1"/>
        <v>0</v>
      </c>
      <c r="E143" s="115"/>
      <c r="F143" s="115"/>
      <c r="G143" s="115"/>
      <c r="H143" s="115"/>
      <c r="I143" s="115"/>
      <c r="J143" s="115"/>
      <c r="K143" s="115"/>
      <c r="L143" s="115"/>
      <c r="M143" s="115"/>
      <c r="N143" s="115"/>
      <c r="O143" s="115"/>
    </row>
    <row r="144">
      <c r="A144" s="65" t="s">
        <v>7</v>
      </c>
      <c r="B144" s="65" t="s">
        <v>20</v>
      </c>
      <c r="C144" s="65" t="s">
        <v>412</v>
      </c>
      <c r="D144" s="64">
        <f t="shared" si="1"/>
        <v>634.6698167</v>
      </c>
      <c r="E144" s="115"/>
      <c r="F144" s="115"/>
      <c r="G144" s="116">
        <f>HYPERLINK("https://docs.google.com/spreadsheets/d/1TOJbX2tTbCNNrK10Cm5sxl877DEQnV3p", 110.77845)</f>
        <v>110.77845</v>
      </c>
      <c r="H144" s="116">
        <f>HYPERLINK("https://docs.google.com/spreadsheets/d/1qkTnzykghnQCG8EgODxPBgyiT58g4HLE", 2.71306666666667)</f>
        <v>2.713066667</v>
      </c>
      <c r="I144" s="116">
        <f>HYPERLINK("https://docs.google.com/spreadsheets/d/16fJe_kNUUL1ukNJfWEMUQGv3A1IVaoZX", 0.624066666666667)</f>
        <v>0.6240666667</v>
      </c>
      <c r="J144" s="116">
        <f>HYPERLINK("https://docs.google.com/spreadsheets/d/1LN0F72jSsx6hFIDe0eY3G5h5-tmXUIqr", 0.105466666666667)</f>
        <v>0.1054666667</v>
      </c>
      <c r="K144" s="116">
        <f>HYPERLINK("https://docs.google.com/spreadsheets/d/1PnD9rDrANbiTbbQHyNuP_6mKknCj9pfU", 11.2424)</f>
        <v>11.2424</v>
      </c>
      <c r="L144" s="115"/>
      <c r="M144" s="115"/>
      <c r="N144" s="115"/>
      <c r="O144" s="115"/>
      <c r="P144" s="118">
        <f>HYPERLINK("https://docs.google.com/spreadsheets/d/139doNeM1yMtwV_hV69CE5dbJp1_68_tm", 29.5999166666667)</f>
        <v>29.59991667</v>
      </c>
      <c r="S144" s="118">
        <f>HYPERLINK("https://docs.google.com/spreadsheets/d/1upB8fse_GCpSDnIBH_LSOJbxh1rmkBTN", 132.5627)</f>
        <v>132.5627</v>
      </c>
      <c r="T144" s="118">
        <f>HYPERLINK("https://docs.google.com/spreadsheets/d/11dVKAtjalF2-lMBQ8_X39J_KmErTjG0b", 25.8354166666667)</f>
        <v>25.83541667</v>
      </c>
      <c r="U144" s="118">
        <f>HYPERLINK("https://docs.google.com/spreadsheets/d/1mL63bpMBuAkDtRDs0d3exjxvOKhlmZFq", 4.98791666666667)</f>
        <v>4.987916667</v>
      </c>
      <c r="V144" s="118">
        <f>HYPERLINK("https://docs.google.com/spreadsheets/d/1vBDop0FH_ac2Cxt-LAd002OA2DU5CzTc", 3.95111666666667)</f>
        <v>3.951116667</v>
      </c>
      <c r="W144" s="118">
        <f>HYPERLINK("https://docs.google.com/spreadsheets/d/1HRj8ZNbjqjT16M0f7YxTmCUjfW-jzRQN", 30.8322166666667)</f>
        <v>30.83221667</v>
      </c>
      <c r="Z144" s="118">
        <f>HYPERLINK("https://docs.google.com/spreadsheets/d/1ne0WH9HJUhsaeqAxww5tVTFh6uTDNWd5", 46.0218333333333)</f>
        <v>46.02183333</v>
      </c>
      <c r="AA144" s="118">
        <f>HYPERLINK("https://docs.google.com/spreadsheets/d/1KyhF4FgaWemVCAFs3CFW_TzkQtv1ZfiW", 8.27461666666666)</f>
        <v>8.274616667</v>
      </c>
      <c r="AB144" s="118">
        <f>HYPERLINK("https://docs.google.com/spreadsheets/d/13Tuu5XmUVkFnEUefmDNjOjQVnFEJcBMr", 0.633233333333333)</f>
        <v>0.6332333333</v>
      </c>
      <c r="AC144" s="118">
        <f>HYPERLINK("https://docs.google.com/spreadsheets/d/16m6qrW5gwuTxft840vzCLrOIcQnX-gsz", 1.21408333333333)</f>
        <v>1.214083333</v>
      </c>
      <c r="AD144" s="118">
        <f>HYPERLINK("https://docs.google.com/spreadsheets/d/1_0rQhlKq-JJEtAeeqFOwx22LskltJXfe", 7.0246)</f>
        <v>7.0246</v>
      </c>
      <c r="AI144" s="118">
        <f>HYPERLINK("https://docs.google.com/spreadsheets/d/16NdK9kJ9KI4vs2YL8hSCywxTOD2Hyc-Q", 36.1284166666666)</f>
        <v>36.12841667</v>
      </c>
      <c r="AJ144" s="118">
        <f>HYPERLINK("https://docs.google.com/spreadsheets/d/1d_TWk97f3hMHuYErlMB4gvwSIdPw4B2H", 13.8250666666667)</f>
        <v>13.82506667</v>
      </c>
      <c r="AK144" s="118">
        <f>HYPERLINK("https://docs.google.com/spreadsheets/d/1XJLR7JX1APZyNn0cbJCt4SAgqQFj1YpF", 1.81768333333333)</f>
        <v>1.817683333</v>
      </c>
      <c r="AL144" s="118">
        <f>HYPERLINK("https://docs.google.com/spreadsheets/d/1mH42bex_wxzXMF0b05J6K67Bnypoeyv5", 0.333)</f>
        <v>0.333</v>
      </c>
      <c r="AM144" s="118">
        <f>HYPERLINK("https://docs.google.com/spreadsheets/d/1kELK6aZShmq_bIuSZ7Xq2-3DCse1Oa5B", 23.2939)</f>
        <v>23.2939</v>
      </c>
      <c r="AP144" s="118">
        <f>HYPERLINK("https://docs.google.com/spreadsheets/d/1qWlaSTbvOqGmNFBABq05wSAJKfm_IxDT", 13.9189)</f>
        <v>13.9189</v>
      </c>
      <c r="AQ144" s="118">
        <f>HYPERLINK("https://docs.google.com/spreadsheets/d/1DjjUpBSF3kN79OGsKtSmBl-d00EJvkIk", 5.6024)</f>
        <v>5.6024</v>
      </c>
      <c r="AR144" s="118">
        <f>HYPERLINK("https://docs.google.com/spreadsheets/d/1cvBzlOXxv-Cm_l3FpRUfzwmmhWShZHm1", 29.36975)</f>
        <v>29.36975</v>
      </c>
      <c r="AU144" s="118">
        <f>HYPERLINK("https://docs.google.com/spreadsheets/d/18XLmT0aMc4XO4ARKGhioRyjm7fek-BAA", 5.37686666666667)</f>
        <v>5.376866667</v>
      </c>
      <c r="AV144" s="118">
        <f>HYPERLINK("https://docs.google.com/spreadsheets/d/1KL5a1WMFA4wpviWH08_-QtLumyLjhn9Y", 16.59625)</f>
        <v>16.59625</v>
      </c>
      <c r="AY144" s="118">
        <f>HYPERLINK("https://docs.google.com/spreadsheets/d/1MjhaBX13pSvTFtT9j4aqZFREkq-ZEOzQ", 72.0064833333334)</f>
        <v>72.00648333</v>
      </c>
    </row>
    <row r="145">
      <c r="A145" s="65" t="s">
        <v>7</v>
      </c>
      <c r="B145" s="65" t="s">
        <v>20</v>
      </c>
      <c r="C145" s="65" t="s">
        <v>413</v>
      </c>
      <c r="D145" s="64">
        <f t="shared" si="1"/>
        <v>447.67905</v>
      </c>
      <c r="E145" s="115"/>
      <c r="F145" s="115"/>
      <c r="G145" s="104">
        <v>1.76371666666661</v>
      </c>
      <c r="H145" s="104">
        <v>0.0</v>
      </c>
      <c r="I145" s="104">
        <v>-1.11022302462516E-16</v>
      </c>
      <c r="J145" s="104">
        <v>0.0</v>
      </c>
      <c r="K145" s="104">
        <v>10.6014333333333</v>
      </c>
      <c r="L145" s="104"/>
      <c r="M145" s="104"/>
      <c r="N145" s="104"/>
      <c r="O145" s="104"/>
      <c r="P145" s="65">
        <v>25.83755</v>
      </c>
      <c r="Q145" s="65"/>
      <c r="R145" s="65"/>
      <c r="S145" s="65">
        <v>131.686166666667</v>
      </c>
      <c r="T145" s="65">
        <v>25.7150833333333</v>
      </c>
      <c r="U145" s="65">
        <v>-2.66453525910038E-15</v>
      </c>
      <c r="V145" s="65">
        <v>4.44089209850063E-16</v>
      </c>
      <c r="W145" s="65">
        <v>30.09585</v>
      </c>
      <c r="X145" s="65"/>
      <c r="Y145" s="65"/>
      <c r="Z145" s="65">
        <v>28.68535</v>
      </c>
      <c r="AA145" s="65">
        <v>5.44903333333333</v>
      </c>
      <c r="AB145" s="65">
        <v>-1.11022302462516E-16</v>
      </c>
      <c r="AC145" s="65">
        <v>0.0</v>
      </c>
      <c r="AD145" s="65">
        <v>8.88178419700125E-16</v>
      </c>
      <c r="AE145" s="65"/>
      <c r="AF145" s="65"/>
      <c r="AG145" s="65"/>
      <c r="AH145" s="65"/>
      <c r="AI145" s="65">
        <v>36.1284166666666</v>
      </c>
      <c r="AJ145" s="65">
        <v>13.8250666666667</v>
      </c>
      <c r="AK145" s="65">
        <v>-2.22044604925031E-16</v>
      </c>
      <c r="AL145" s="65">
        <v>0.0</v>
      </c>
      <c r="AM145" s="65">
        <v>23.0157833333333</v>
      </c>
      <c r="AN145" s="65"/>
      <c r="AP145" s="65">
        <v>13.9189</v>
      </c>
      <c r="AQ145" s="65">
        <v>0.438233333333335</v>
      </c>
      <c r="AR145" s="65">
        <v>28.4357833333334</v>
      </c>
      <c r="AT145" s="65"/>
      <c r="AU145" s="65">
        <v>1.1367</v>
      </c>
      <c r="AV145" s="65">
        <v>-3.5527136788005E-15</v>
      </c>
      <c r="AY145" s="65">
        <v>70.9459833333334</v>
      </c>
    </row>
    <row r="146">
      <c r="A146" s="119" t="s">
        <v>7</v>
      </c>
      <c r="B146" s="119" t="s">
        <v>20</v>
      </c>
      <c r="C146" s="119" t="s">
        <v>414</v>
      </c>
      <c r="D146" s="120">
        <f t="shared" si="1"/>
        <v>5.376866667</v>
      </c>
      <c r="E146" s="121"/>
      <c r="F146" s="121"/>
      <c r="G146" s="122">
        <f>HYPERLINK("https://docs.google.com/spreadsheets/d/1TOJbX2tTbCNNrK10Cm5sxl877DEQnV3p", 0)</f>
        <v>0</v>
      </c>
      <c r="H146" s="122">
        <f>HYPERLINK("https://docs.google.com/spreadsheets/d/1qkTnzykghnQCG8EgODxPBgyiT58g4HLE", 0)</f>
        <v>0</v>
      </c>
      <c r="I146" s="122">
        <f>HYPERLINK("https://docs.google.com/spreadsheets/d/16fJe_kNUUL1ukNJfWEMUQGv3A1IVaoZX", 0)</f>
        <v>0</v>
      </c>
      <c r="J146" s="122">
        <f>HYPERLINK("https://docs.google.com/spreadsheets/d/1LN0F72jSsx6hFIDe0eY3G5h5-tmXUIqr", 0)</f>
        <v>0</v>
      </c>
      <c r="K146" s="122">
        <f>HYPERLINK("https://docs.google.com/spreadsheets/d/1PnD9rDrANbiTbbQHyNuP_6mKknCj9pfU", 0)</f>
        <v>0</v>
      </c>
      <c r="L146" s="121"/>
      <c r="M146" s="121"/>
      <c r="N146" s="123"/>
      <c r="O146" s="121"/>
      <c r="P146" s="124">
        <f>HYPERLINK("https://docs.google.com/spreadsheets/d/139doNeM1yMtwV_hV69CE5dbJp1_68_tm", 0)</f>
        <v>0</v>
      </c>
      <c r="Q146" s="119"/>
      <c r="R146" s="119"/>
      <c r="S146" s="124">
        <f>HYPERLINK("https://docs.google.com/spreadsheets/d/1upB8fse_GCpSDnIBH_LSOJbxh1rmkBTN", 0)</f>
        <v>0</v>
      </c>
      <c r="T146" s="125">
        <f>HYPERLINK("https://docs.google.com/spreadsheets/d/11dVKAtjalF2-lMBQ8_X39J_KmErTjG0b", 0)</f>
        <v>0</v>
      </c>
      <c r="U146" s="125">
        <f>HYPERLINK("https://docs.google.com/spreadsheets/d/1mL63bpMBuAkDtRDs0d3exjxvOKhlmZFq", 0)</f>
        <v>0</v>
      </c>
      <c r="V146" s="124">
        <f>HYPERLINK("https://docs.google.com/spreadsheets/d/1vBDop0FH_ac2Cxt-LAd002OA2DU5CzTc", 0)</f>
        <v>0</v>
      </c>
      <c r="W146" s="124">
        <f>HYPERLINK("https://docs.google.com/spreadsheets/d/1HRj8ZNbjqjT16M0f7YxTmCUjfW-jzRQN", 0)</f>
        <v>0</v>
      </c>
      <c r="X146" s="119"/>
      <c r="Y146" s="119"/>
      <c r="Z146" s="124">
        <f>HYPERLINK("https://docs.google.com/spreadsheets/d/1ne0WH9HJUhsaeqAxww5tVTFh6uTDNWd5", 0)</f>
        <v>0</v>
      </c>
      <c r="AA146" s="124">
        <f>HYPERLINK("https://docs.google.com/spreadsheets/d/1KyhF4FgaWemVCAFs3CFW_TzkQtv1ZfiW", 0)</f>
        <v>0</v>
      </c>
      <c r="AB146" s="124">
        <f>HYPERLINK("https://docs.google.com/spreadsheets/d/13Tuu5XmUVkFnEUefmDNjOjQVnFEJcBMr", 0)</f>
        <v>0</v>
      </c>
      <c r="AC146" s="124">
        <f>HYPERLINK("https://docs.google.com/spreadsheets/d/16m6qrW5gwuTxft840vzCLrOIcQnX-gsz", 0)</f>
        <v>0</v>
      </c>
      <c r="AD146" s="124">
        <f>HYPERLINK("https://docs.google.com/spreadsheets/d/1_0rQhlKq-JJEtAeeqFOwx22LskltJXfe", 0)</f>
        <v>0</v>
      </c>
      <c r="AE146" s="119"/>
      <c r="AF146" s="120"/>
      <c r="AG146" s="119"/>
      <c r="AH146" s="119"/>
      <c r="AI146" s="125">
        <f>HYPERLINK("https://docs.google.com/spreadsheets/d/16NdK9kJ9KI4vs2YL8hSCywxTOD2Hyc-Q", 0)</f>
        <v>0</v>
      </c>
      <c r="AJ146" s="124">
        <f>HYPERLINK("https://docs.google.com/spreadsheets/d/1d_TWk97f3hMHuYErlMB4gvwSIdPw4B2H", 0)</f>
        <v>0</v>
      </c>
      <c r="AK146" s="124">
        <f>HYPERLINK("https://docs.google.com/spreadsheets/d/1XJLR7JX1APZyNn0cbJCt4SAgqQFj1YpF", 0)</f>
        <v>0</v>
      </c>
      <c r="AL146" s="124">
        <f>HYPERLINK("https://docs.google.com/spreadsheets/d/1mH42bex_wxzXMF0b05J6K67Bnypoeyv5", 0)</f>
        <v>0</v>
      </c>
      <c r="AM146" s="124">
        <f>HYPERLINK("https://docs.google.com/spreadsheets/d/1kELK6aZShmq_bIuSZ7Xq2-3DCse1Oa5B", 0)</f>
        <v>0</v>
      </c>
      <c r="AN146" s="119"/>
      <c r="AO146" s="120"/>
      <c r="AP146" s="124">
        <f>HYPERLINK("https://docs.google.com/spreadsheets/d/1qWlaSTbvOqGmNFBABq05wSAJKfm_IxDT", 0)</f>
        <v>0</v>
      </c>
      <c r="AQ146" s="125">
        <f>HYPERLINK("https://docs.google.com/spreadsheets/d/1DjjUpBSF3kN79OGsKtSmBl-d00EJvkIk", 0)</f>
        <v>0</v>
      </c>
      <c r="AR146" s="125">
        <f>HYPERLINK("https://docs.google.com/spreadsheets/d/1cvBzlOXxv-Cm_l3FpRUfzwmmhWShZHm1", 0)</f>
        <v>0</v>
      </c>
      <c r="AS146" s="120"/>
      <c r="AT146" s="120"/>
      <c r="AU146" s="125">
        <f>HYPERLINK("https://docs.google.com/spreadsheets/d/18XLmT0aMc4XO4ARKGhioRyjm7fek-BAA", 5.37686666666667)</f>
        <v>5.376866667</v>
      </c>
      <c r="AV146" s="124">
        <f>HYPERLINK("https://docs.google.com/spreadsheets/d/1KL5a1WMFA4wpviWH08_-QtLumyLjhn9Y", 0)</f>
        <v>0</v>
      </c>
      <c r="AW146" s="120"/>
      <c r="AX146" s="120"/>
      <c r="AY146" s="124">
        <f>HYPERLINK("https://docs.google.com/spreadsheets/d/1MjhaBX13pSvTFtT9j4aqZFREkq-ZEOzQ", 0)</f>
        <v>0</v>
      </c>
      <c r="AZ146" s="120"/>
      <c r="BA146" s="120"/>
      <c r="BB146" s="120"/>
      <c r="BC146" s="120"/>
      <c r="BD146" s="120"/>
      <c r="BE146" s="120"/>
      <c r="BF146" s="120"/>
      <c r="BG146" s="120"/>
      <c r="BH146" s="120"/>
      <c r="BI146" s="120"/>
      <c r="BJ146" s="120"/>
      <c r="BK146" s="120"/>
      <c r="BL146" s="120"/>
      <c r="BM146" s="120"/>
      <c r="BN146" s="120"/>
      <c r="BO146" s="120"/>
      <c r="BP146" s="120"/>
      <c r="BQ146" s="120"/>
      <c r="BR146" s="120"/>
      <c r="BS146" s="120"/>
      <c r="BT146" s="120"/>
      <c r="BU146" s="120"/>
      <c r="BV146" s="120"/>
      <c r="BW146" s="120"/>
      <c r="BX146" s="120"/>
      <c r="BY146" s="120"/>
      <c r="BZ146" s="120"/>
      <c r="CA146" s="120"/>
      <c r="CB146" s="120"/>
      <c r="CC146" s="120"/>
      <c r="CD146" s="120"/>
      <c r="CE146" s="120"/>
      <c r="CF146" s="120"/>
      <c r="CG146" s="120"/>
      <c r="CH146" s="120"/>
      <c r="CI146" s="120"/>
      <c r="CJ146" s="120"/>
      <c r="CK146" s="120"/>
      <c r="CL146" s="120"/>
      <c r="CM146" s="120"/>
      <c r="CN146" s="120"/>
      <c r="CO146" s="120"/>
      <c r="CP146" s="120"/>
      <c r="CQ146" s="120"/>
      <c r="CR146" s="120"/>
      <c r="CS146" s="120"/>
      <c r="CT146" s="120"/>
      <c r="CU146" s="120"/>
      <c r="CV146" s="120"/>
      <c r="CW146" s="120"/>
      <c r="CX146" s="120"/>
      <c r="CY146" s="120"/>
      <c r="CZ146" s="120"/>
      <c r="DA146" s="120"/>
      <c r="DB146" s="120"/>
      <c r="DC146" s="120"/>
      <c r="DD146" s="120"/>
      <c r="DE146" s="120"/>
      <c r="DF146" s="120"/>
      <c r="DG146" s="120"/>
      <c r="DH146" s="120"/>
      <c r="DI146" s="120"/>
      <c r="DJ146" s="120"/>
      <c r="DK146" s="120"/>
      <c r="DL146" s="120"/>
      <c r="DM146" s="120"/>
      <c r="DN146" s="120"/>
      <c r="DO146" s="120"/>
      <c r="DP146" s="120"/>
      <c r="DQ146" s="120"/>
      <c r="DR146" s="120"/>
      <c r="DS146" s="120"/>
      <c r="DT146" s="120"/>
      <c r="DU146" s="120"/>
      <c r="DV146" s="120"/>
      <c r="DW146" s="120"/>
      <c r="DX146" s="120"/>
      <c r="DY146" s="120"/>
      <c r="DZ146" s="120"/>
      <c r="EA146" s="120"/>
      <c r="EB146" s="120"/>
      <c r="EC146" s="120"/>
      <c r="ED146" s="120"/>
      <c r="EE146" s="120"/>
      <c r="EF146" s="120"/>
      <c r="EG146" s="120"/>
      <c r="EH146" s="120"/>
      <c r="EI146" s="120"/>
      <c r="EJ146" s="120"/>
      <c r="EK146" s="120"/>
      <c r="EL146" s="120"/>
      <c r="EM146" s="120"/>
      <c r="EN146" s="120"/>
      <c r="EO146" s="120"/>
      <c r="EP146" s="120"/>
      <c r="EQ146" s="120"/>
      <c r="ER146" s="120"/>
      <c r="ES146" s="120"/>
      <c r="ET146" s="120"/>
      <c r="EU146" s="120"/>
      <c r="EV146" s="120"/>
      <c r="EW146" s="120"/>
      <c r="EX146" s="120"/>
      <c r="EY146" s="120"/>
    </row>
    <row r="147">
      <c r="A147" s="112" t="s">
        <v>7</v>
      </c>
      <c r="B147" s="112" t="s">
        <v>33</v>
      </c>
      <c r="C147" s="112" t="s">
        <v>409</v>
      </c>
      <c r="D147" s="113">
        <f t="shared" si="1"/>
        <v>503.09205</v>
      </c>
      <c r="E147" s="114">
        <v>221.65915</v>
      </c>
      <c r="F147" s="114"/>
      <c r="G147" s="114"/>
      <c r="H147" s="114"/>
      <c r="I147" s="114"/>
      <c r="J147" s="114"/>
      <c r="K147" s="114"/>
      <c r="L147" s="114">
        <v>2.74333333333333</v>
      </c>
      <c r="M147" s="114"/>
      <c r="N147" s="114"/>
      <c r="O147" s="114">
        <v>34.5676</v>
      </c>
      <c r="P147" s="112"/>
      <c r="Q147" s="112">
        <v>0.1861</v>
      </c>
      <c r="R147" s="112">
        <v>102.03645</v>
      </c>
      <c r="S147" s="112"/>
      <c r="T147" s="112"/>
      <c r="U147" s="112"/>
      <c r="V147" s="112"/>
      <c r="W147" s="112"/>
      <c r="X147" s="112">
        <v>2.27506666666667</v>
      </c>
      <c r="Y147" s="112">
        <v>21.8551333333333</v>
      </c>
      <c r="Z147" s="112"/>
      <c r="AA147" s="113"/>
      <c r="AB147" s="112"/>
      <c r="AC147" s="112"/>
      <c r="AD147" s="112"/>
      <c r="AE147" s="112">
        <v>1.23813333333333</v>
      </c>
      <c r="AF147" s="112"/>
      <c r="AG147" s="112"/>
      <c r="AH147" s="112">
        <v>33.73115</v>
      </c>
      <c r="AI147" s="112"/>
      <c r="AJ147" s="112"/>
      <c r="AK147" s="112"/>
      <c r="AL147" s="113"/>
      <c r="AM147" s="112"/>
      <c r="AN147" s="112">
        <v>0.97655</v>
      </c>
      <c r="AO147" s="112">
        <v>35.2071833333333</v>
      </c>
      <c r="AP147" s="112"/>
      <c r="AQ147" s="113"/>
      <c r="AR147" s="112"/>
      <c r="AS147" s="112">
        <v>4.5768</v>
      </c>
      <c r="AT147" s="112">
        <v>7.0749</v>
      </c>
      <c r="AU147" s="112"/>
      <c r="AV147" s="112"/>
      <c r="AW147" s="112">
        <v>0.841516666666667</v>
      </c>
      <c r="AX147" s="112">
        <v>31.8454166666667</v>
      </c>
      <c r="AY147" s="113"/>
      <c r="AZ147" s="112">
        <v>2.10091666666667</v>
      </c>
      <c r="BA147" s="112">
        <v>0.17665</v>
      </c>
      <c r="BB147" s="113"/>
      <c r="BC147" s="113"/>
      <c r="BD147" s="113"/>
      <c r="BE147" s="113"/>
      <c r="BF147" s="113"/>
      <c r="BG147" s="113"/>
      <c r="BH147" s="113"/>
      <c r="BI147" s="113"/>
      <c r="BJ147" s="113"/>
      <c r="BK147" s="113"/>
      <c r="BL147" s="113"/>
      <c r="BM147" s="113"/>
      <c r="BN147" s="113"/>
      <c r="BO147" s="113"/>
      <c r="BP147" s="113"/>
      <c r="BQ147" s="113"/>
      <c r="BR147" s="113"/>
      <c r="BS147" s="113"/>
      <c r="BT147" s="113"/>
      <c r="BU147" s="113"/>
      <c r="BV147" s="113"/>
      <c r="BW147" s="113"/>
      <c r="BX147" s="113"/>
      <c r="BY147" s="113"/>
      <c r="BZ147" s="113"/>
      <c r="CA147" s="113"/>
      <c r="CB147" s="113"/>
      <c r="CC147" s="113"/>
      <c r="CD147" s="113"/>
      <c r="CE147" s="113"/>
      <c r="CF147" s="113"/>
      <c r="CG147" s="113"/>
      <c r="CH147" s="113"/>
      <c r="CI147" s="113"/>
      <c r="CJ147" s="113"/>
      <c r="CK147" s="113"/>
      <c r="CL147" s="113"/>
      <c r="CM147" s="113"/>
      <c r="CN147" s="113"/>
      <c r="CO147" s="113"/>
      <c r="CP147" s="113"/>
      <c r="CQ147" s="113"/>
      <c r="CR147" s="113"/>
      <c r="CS147" s="113"/>
      <c r="CT147" s="113"/>
      <c r="CU147" s="113"/>
      <c r="CV147" s="113"/>
      <c r="CW147" s="113"/>
      <c r="CX147" s="113"/>
      <c r="CY147" s="113"/>
      <c r="CZ147" s="113"/>
      <c r="DA147" s="113"/>
      <c r="DB147" s="113"/>
      <c r="DC147" s="113"/>
      <c r="DD147" s="113"/>
      <c r="DE147" s="113"/>
      <c r="DF147" s="113"/>
      <c r="DG147" s="113"/>
      <c r="DH147" s="113"/>
      <c r="DI147" s="113"/>
      <c r="DJ147" s="113"/>
      <c r="DK147" s="113"/>
      <c r="DL147" s="113"/>
      <c r="DM147" s="113"/>
      <c r="DN147" s="113"/>
      <c r="DO147" s="113"/>
      <c r="DP147" s="113"/>
      <c r="DQ147" s="113"/>
      <c r="DR147" s="113"/>
      <c r="DS147" s="113"/>
      <c r="DT147" s="113"/>
      <c r="DU147" s="113"/>
      <c r="DV147" s="113"/>
      <c r="DW147" s="113"/>
      <c r="DX147" s="113"/>
      <c r="DY147" s="113"/>
      <c r="DZ147" s="113"/>
      <c r="EA147" s="113"/>
      <c r="EB147" s="113"/>
      <c r="EC147" s="113"/>
      <c r="ED147" s="113"/>
      <c r="EE147" s="113"/>
      <c r="EF147" s="113"/>
      <c r="EG147" s="113"/>
      <c r="EH147" s="113"/>
      <c r="EI147" s="113"/>
      <c r="EJ147" s="113"/>
      <c r="EK147" s="113"/>
      <c r="EL147" s="113"/>
      <c r="EM147" s="113"/>
      <c r="EN147" s="113"/>
      <c r="EO147" s="113"/>
      <c r="EP147" s="113"/>
      <c r="EQ147" s="113"/>
      <c r="ER147" s="113"/>
      <c r="ES147" s="113"/>
      <c r="ET147" s="113"/>
      <c r="EU147" s="113"/>
      <c r="EV147" s="113"/>
      <c r="EW147" s="113"/>
      <c r="EX147" s="113"/>
      <c r="EY147" s="113"/>
    </row>
    <row r="148">
      <c r="A148" s="65" t="s">
        <v>7</v>
      </c>
      <c r="B148" s="65" t="s">
        <v>33</v>
      </c>
      <c r="C148" s="65" t="s">
        <v>410</v>
      </c>
      <c r="D148" s="64">
        <f t="shared" si="1"/>
        <v>634.8782667</v>
      </c>
      <c r="E148" s="115"/>
      <c r="F148" s="104"/>
      <c r="G148" s="104">
        <v>160.582733333333</v>
      </c>
      <c r="H148" s="104">
        <v>17.9161333333333</v>
      </c>
      <c r="I148" s="104">
        <v>2.5845</v>
      </c>
      <c r="J148" s="104">
        <v>0.37795</v>
      </c>
      <c r="K148" s="104">
        <v>28.5923666666667</v>
      </c>
      <c r="L148" s="104"/>
      <c r="M148" s="104"/>
      <c r="N148" s="104">
        <v>160.582733333333</v>
      </c>
      <c r="O148" s="104"/>
      <c r="P148" s="65">
        <v>29.7805</v>
      </c>
      <c r="Q148" s="65"/>
      <c r="R148" s="65"/>
      <c r="S148" s="65">
        <v>81.0496333333333</v>
      </c>
      <c r="T148" s="65">
        <v>7.41978333333334</v>
      </c>
      <c r="U148" s="65">
        <v>1.72386666666667</v>
      </c>
      <c r="V148" s="65">
        <v>1.28358333333333</v>
      </c>
      <c r="W148" s="65">
        <v>8.26653333333334</v>
      </c>
      <c r="X148" s="65"/>
      <c r="Y148" s="65"/>
      <c r="Z148" s="65">
        <v>16.25215</v>
      </c>
      <c r="AA148" s="65">
        <v>1.18216666666667</v>
      </c>
      <c r="AB148" s="65">
        <v>2.23183333333333</v>
      </c>
      <c r="AC148" s="65">
        <v>0.11755</v>
      </c>
      <c r="AD148" s="65">
        <v>2.07143333333333</v>
      </c>
      <c r="AE148" s="65"/>
      <c r="AF148" s="65">
        <v>16.25215</v>
      </c>
      <c r="AG148" s="65">
        <v>1.18216666666667</v>
      </c>
      <c r="AH148" s="65"/>
      <c r="AI148" s="65">
        <v>20.4726</v>
      </c>
      <c r="AJ148" s="65">
        <v>4.77526666666667</v>
      </c>
      <c r="AK148" s="65">
        <v>0.73165</v>
      </c>
      <c r="AL148" s="65">
        <v>0.163666666666667</v>
      </c>
      <c r="AM148" s="65">
        <v>6.91111666666667</v>
      </c>
      <c r="AN148" s="65"/>
      <c r="AP148" s="65">
        <v>13.4234333333333</v>
      </c>
      <c r="AQ148" s="65">
        <v>2.68926666666667</v>
      </c>
      <c r="AR148" s="65">
        <v>10.5973333333333</v>
      </c>
      <c r="AT148" s="65"/>
      <c r="AU148" s="65">
        <v>2.22161666666667</v>
      </c>
      <c r="AV148" s="65">
        <v>3.72443333333333</v>
      </c>
      <c r="AY148" s="65">
        <v>29.7181166666667</v>
      </c>
    </row>
    <row r="149">
      <c r="A149" s="65" t="s">
        <v>7</v>
      </c>
      <c r="B149" s="65" t="s">
        <v>33</v>
      </c>
      <c r="C149" s="65" t="s">
        <v>411</v>
      </c>
      <c r="D149" s="64">
        <f t="shared" si="1"/>
        <v>0</v>
      </c>
      <c r="E149" s="115"/>
      <c r="F149" s="115"/>
      <c r="G149" s="115"/>
      <c r="H149" s="115"/>
      <c r="I149" s="115"/>
      <c r="J149" s="115"/>
      <c r="K149" s="115"/>
      <c r="L149" s="115"/>
      <c r="M149" s="115"/>
      <c r="N149" s="115"/>
      <c r="O149" s="115"/>
    </row>
    <row r="150">
      <c r="A150" s="65" t="s">
        <v>7</v>
      </c>
      <c r="B150" s="65" t="s">
        <v>33</v>
      </c>
      <c r="C150" s="65" t="s">
        <v>412</v>
      </c>
      <c r="D150" s="64">
        <f t="shared" si="1"/>
        <v>436.2986</v>
      </c>
      <c r="E150" s="115"/>
      <c r="F150" s="115"/>
      <c r="G150" s="116">
        <f>HYPERLINK("https://docs.google.com/spreadsheets/d/1_qfuNY-YBE6HG2nUqXHfRDq951qklHIJ", 160.4949)</f>
        <v>160.4949</v>
      </c>
      <c r="H150" s="116">
        <f>HYPERLINK("https://docs.google.com/spreadsheets/d/1ZIi6Z4iUH6zJXM4ciOC4246aL-AQKq_S", 17.8685)</f>
        <v>17.8685</v>
      </c>
      <c r="I150" s="117">
        <f>HYPERLINK("https://docs.google.com/spreadsheets/d/11PMTCYqGNM3R2uUaT5G0LcAGvh0bCttC", 2.5845)</f>
        <v>2.5845</v>
      </c>
      <c r="J150" s="116">
        <f>HYPERLINK("https://docs.google.com/spreadsheets/d/1VDKxwDvw5NjmfZ0c3-PaA_UdcolDVgUv", 0.28145)</f>
        <v>0.28145</v>
      </c>
      <c r="K150" s="117">
        <f>HYPERLINK("https://docs.google.com/spreadsheets/d/1eVTPz-BqB-j6rNCE6_0varq2sEUh_Eww", 28.20925)</f>
        <v>28.20925</v>
      </c>
      <c r="L150" s="115"/>
      <c r="M150" s="104"/>
      <c r="N150" s="115"/>
      <c r="O150" s="104"/>
      <c r="P150" s="118">
        <f>HYPERLINK("https://docs.google.com/spreadsheets/d/1euavvLQDqOCphfU_WcSgHykoE7utLC_c", 29.7805)</f>
        <v>29.7805</v>
      </c>
      <c r="S150" s="118">
        <f>HYPERLINK("https://docs.google.com/spreadsheets/d/1YOQsvNfMJOHrgfFHaEJvzbtE3sL71BWO", 68.0981166666666)</f>
        <v>68.09811667</v>
      </c>
      <c r="T150" s="118">
        <f>HYPERLINK("https://docs.google.com/spreadsheets/d/1qf7sBYDLscd_iBm_3TPU8H3Tlsh0bFWZ", 7.41981666666667)</f>
        <v>7.419816667</v>
      </c>
      <c r="U150" s="118">
        <f>HYPERLINK("https://docs.google.com/spreadsheets/d/1AuH2xp5pYu01DVi8DbYJA_L8hdvrxGT8", 1.72386666666667)</f>
        <v>1.723866667</v>
      </c>
      <c r="V150" s="118">
        <f>HYPERLINK("https://docs.google.com/spreadsheets/d/1oV6KTWOdzG3ZdBUGSv-W5JVF7jbAP-OC", 1.28358333333333)</f>
        <v>1.283583333</v>
      </c>
      <c r="W150" s="118">
        <f>HYPERLINK("https://docs.google.com/spreadsheets/d/1VfxA8vTpiednssF8xMGpCqnQKz9jRqSZ", 8.2665)</f>
        <v>8.2665</v>
      </c>
      <c r="Z150" s="118">
        <f>HYPERLINK("https://docs.google.com/spreadsheets/d/1hZEnjVUVe5j-qSa1IWgRH6hZdxqOO4Ih", 13.5332166666667)</f>
        <v>13.53321667</v>
      </c>
      <c r="AA150" s="118">
        <f>HYPERLINK("https://docs.google.com/spreadsheets/d/1pmW0SA6VCBauut40toJ6Twz6r0-VEh2E", 1.18216666666667)</f>
        <v>1.182166667</v>
      </c>
      <c r="AB150" s="118">
        <f>HYPERLINK("https://docs.google.com/spreadsheets/d/1o6OOS8gzAa74YES8ApKgdsqKEM0TI8ZJ", 2.23183333333333)</f>
        <v>2.231833333</v>
      </c>
      <c r="AC150" s="118">
        <f>HYPERLINK("https://docs.google.com/spreadsheets/d/19YtD1C1asKCzc80mmJAeMMNnuyDAjc1Q", 0.11755)</f>
        <v>0.11755</v>
      </c>
      <c r="AD150" s="118">
        <f>HYPERLINK("https://docs.google.com/spreadsheets/d/1gUrNHGY-4xCbQOvChv9DQYgK1VJyG83h", 2.07143333333333)</f>
        <v>2.071433333</v>
      </c>
      <c r="AI150" s="118">
        <f>HYPERLINK("https://docs.google.com/spreadsheets/d/1sRzdKZizUDBQfZVe54fMytWBA2BwXFko", 16.1955666666667)</f>
        <v>16.19556667</v>
      </c>
      <c r="AJ150" s="118">
        <f>HYPERLINK("https://docs.google.com/spreadsheets/d/1tpN7KKiDwBwZEFqE6k0uRtjqvASM0RAm", 4.77525)</f>
        <v>4.77525</v>
      </c>
      <c r="AK150" s="118">
        <f>HYPERLINK("https://docs.google.com/spreadsheets/d/16ub2cnadKKbW4Q1uBi4NxHTeJ6yzqMei", 0.73165)</f>
        <v>0.73165</v>
      </c>
      <c r="AL150" s="118">
        <f>HYPERLINK("https://docs.google.com/spreadsheets/d/1WpJwJUD5zP1858cXjiED7fSo_ByuFDCn", 0.163666666666667)</f>
        <v>0.1636666667</v>
      </c>
      <c r="AM150" s="118">
        <f>HYPERLINK("https://docs.google.com/spreadsheets/d/1T6ByRYUGpIzSdgd40diPFi5mXJyhNwqL", 6.9111)</f>
        <v>6.9111</v>
      </c>
      <c r="AP150" s="118">
        <f>HYPERLINK("https://docs.google.com/spreadsheets/d/1-FH6LXNMlXV8inbAqMeSSVN54l6KzsnU", 13.4234333333333)</f>
        <v>13.42343333</v>
      </c>
      <c r="AQ150" s="118">
        <f>HYPERLINK("https://docs.google.com/spreadsheets/d/15o5MdMvYO0WWI9nPy2OyTJ6jYqkoyHJF", 2.68926666666667)</f>
        <v>2.689266667</v>
      </c>
      <c r="AR150" s="118">
        <f>HYPERLINK("https://docs.google.com/spreadsheets/d/1aFrIjxzJxOCKLaVmQxN3Ari6H-493ujI", 10.5973333333333)</f>
        <v>10.59733333</v>
      </c>
      <c r="AU150" s="118">
        <f>HYPERLINK("https://docs.google.com/spreadsheets/d/1MlFQIPystB7_sudh4xAsoaEjOj3O0NF0", 2.22161666666667)</f>
        <v>2.221616667</v>
      </c>
      <c r="AV150" s="118">
        <f>HYPERLINK("https://docs.google.com/spreadsheets/d/1TLY7FrFhOs7IycDb1z88De6ADBMDK35P", 3.72443333333333)</f>
        <v>3.724433333</v>
      </c>
      <c r="AY150" s="118">
        <f>HYPERLINK("https://docs.google.com/spreadsheets/d/1C1wq0CbgOFM0X3m1AtibtN5HjHNzpmSW", 29.7181)</f>
        <v>29.7181</v>
      </c>
    </row>
    <row r="151">
      <c r="A151" s="65" t="s">
        <v>7</v>
      </c>
      <c r="B151" s="65" t="s">
        <v>33</v>
      </c>
      <c r="C151" s="65" t="s">
        <v>413</v>
      </c>
      <c r="D151" s="64">
        <f t="shared" si="1"/>
        <v>230.3815833</v>
      </c>
      <c r="E151" s="115"/>
      <c r="F151" s="115"/>
      <c r="G151" s="104">
        <v>0.715116666666489</v>
      </c>
      <c r="H151" s="104">
        <v>0.321249999999999</v>
      </c>
      <c r="I151" s="104">
        <v>0.236066666666667</v>
      </c>
      <c r="J151" s="104">
        <v>0.0</v>
      </c>
      <c r="K151" s="104">
        <v>28.20925</v>
      </c>
      <c r="L151" s="104"/>
      <c r="M151" s="104"/>
      <c r="N151" s="104"/>
      <c r="O151" s="104"/>
      <c r="P151" s="65">
        <v>29.7805</v>
      </c>
      <c r="Q151" s="65"/>
      <c r="R151" s="65"/>
      <c r="S151" s="65">
        <v>67.0885166666666</v>
      </c>
      <c r="T151" s="65">
        <v>7.41981666666667</v>
      </c>
      <c r="U151" s="65">
        <v>0.0</v>
      </c>
      <c r="V151" s="65">
        <v>0.0</v>
      </c>
      <c r="W151" s="65">
        <v>7.94711666666667</v>
      </c>
      <c r="X151" s="65"/>
      <c r="Y151" s="65"/>
      <c r="Z151" s="65">
        <v>7.45031666666666</v>
      </c>
      <c r="AA151" s="65">
        <v>0.7963</v>
      </c>
      <c r="AB151" s="65">
        <v>0.210466666666666</v>
      </c>
      <c r="AC151" s="65">
        <v>0.0</v>
      </c>
      <c r="AD151" s="65">
        <v>0.0</v>
      </c>
      <c r="AE151" s="65"/>
      <c r="AF151" s="65"/>
      <c r="AG151" s="65"/>
      <c r="AH151" s="65"/>
      <c r="AI151" s="65">
        <v>16.1955666666667</v>
      </c>
      <c r="AJ151" s="65">
        <v>4.62551666666667</v>
      </c>
      <c r="AK151" s="65">
        <v>-1.11022302462516E-16</v>
      </c>
      <c r="AL151" s="65">
        <v>0.0</v>
      </c>
      <c r="AM151" s="65">
        <v>5.87188333333333</v>
      </c>
      <c r="AN151" s="65"/>
      <c r="AP151" s="65">
        <v>13.4234333333333</v>
      </c>
      <c r="AQ151" s="65">
        <v>0.0788500000000001</v>
      </c>
      <c r="AR151" s="65">
        <v>10.2935166666667</v>
      </c>
      <c r="AT151" s="65"/>
      <c r="AU151" s="65">
        <v>0.0</v>
      </c>
      <c r="AV151" s="65">
        <v>4.44089209850063E-16</v>
      </c>
      <c r="AY151" s="65">
        <v>29.7181</v>
      </c>
    </row>
    <row r="152">
      <c r="A152" s="119" t="s">
        <v>7</v>
      </c>
      <c r="B152" s="119" t="s">
        <v>33</v>
      </c>
      <c r="C152" s="119" t="s">
        <v>414</v>
      </c>
      <c r="D152" s="120">
        <f t="shared" si="1"/>
        <v>2.221616667</v>
      </c>
      <c r="E152" s="121"/>
      <c r="F152" s="121"/>
      <c r="G152" s="122">
        <f>HYPERLINK("https://docs.google.com/spreadsheets/d/1_qfuNY-YBE6HG2nUqXHfRDq951qklHIJ", 0)</f>
        <v>0</v>
      </c>
      <c r="H152" s="122">
        <f>HYPERLINK("https://docs.google.com/spreadsheets/d/1ZIi6Z4iUH6zJXM4ciOC4246aL-AQKq_S", 0)</f>
        <v>0</v>
      </c>
      <c r="I152" s="122">
        <f>HYPERLINK("https://docs.google.com/spreadsheets/d/11PMTCYqGNM3R2uUaT5G0LcAGvh0bCttC", 0)</f>
        <v>0</v>
      </c>
      <c r="J152" s="122">
        <f>HYPERLINK("https://docs.google.com/spreadsheets/d/1VDKxwDvw5NjmfZ0c3-PaA_UdcolDVgUv", 0)</f>
        <v>0</v>
      </c>
      <c r="K152" s="127">
        <f>HYPERLINK("https://docs.google.com/spreadsheets/d/1eVTPz-BqB-j6rNCE6_0varq2sEUh_Eww", 0)</f>
        <v>0</v>
      </c>
      <c r="L152" s="121"/>
      <c r="M152" s="121"/>
      <c r="N152" s="121"/>
      <c r="O152" s="121"/>
      <c r="P152" s="124">
        <f>HYPERLINK("https://docs.google.com/spreadsheets/d/1euavvLQDqOCphfU_WcSgHykoE7utLC_c", 0)</f>
        <v>0</v>
      </c>
      <c r="Q152" s="119"/>
      <c r="R152" s="120"/>
      <c r="S152" s="124">
        <f>HYPERLINK("https://docs.google.com/spreadsheets/d/1YOQsvNfMJOHrgfFHaEJvzbtE3sL71BWO", 0)</f>
        <v>0</v>
      </c>
      <c r="T152" s="125">
        <f>HYPERLINK("https://docs.google.com/spreadsheets/d/1qf7sBYDLscd_iBm_3TPU8H3Tlsh0bFWZ", 0)</f>
        <v>0</v>
      </c>
      <c r="U152" s="125">
        <f>HYPERLINK("https://docs.google.com/spreadsheets/d/1AuH2xp5pYu01DVi8DbYJA_L8hdvrxGT8", 0)</f>
        <v>0</v>
      </c>
      <c r="V152" s="124">
        <f>HYPERLINK("https://docs.google.com/spreadsheets/d/1oV6KTWOdzG3ZdBUGSv-W5JVF7jbAP-OC", 0)</f>
        <v>0</v>
      </c>
      <c r="W152" s="124">
        <f>HYPERLINK("https://docs.google.com/spreadsheets/d/1VfxA8vTpiednssF8xMGpCqnQKz9jRqSZ", 0)</f>
        <v>0</v>
      </c>
      <c r="X152" s="119"/>
      <c r="Y152" s="119"/>
      <c r="Z152" s="124">
        <f>HYPERLINK("https://docs.google.com/spreadsheets/d/1hZEnjVUVe5j-qSa1IWgRH6hZdxqOO4Ih", 0)</f>
        <v>0</v>
      </c>
      <c r="AA152" s="124">
        <f>HYPERLINK("https://docs.google.com/spreadsheets/d/1pmW0SA6VCBauut40toJ6Twz6r0-VEh2E", 0)</f>
        <v>0</v>
      </c>
      <c r="AB152" s="124">
        <f>HYPERLINK("https://docs.google.com/spreadsheets/d/1o6OOS8gzAa74YES8ApKgdsqKEM0TI8ZJ", 0)</f>
        <v>0</v>
      </c>
      <c r="AC152" s="124">
        <f>HYPERLINK("https://docs.google.com/spreadsheets/d/19YtD1C1asKCzc80mmJAeMMNnuyDAjc1Q", 0)</f>
        <v>0</v>
      </c>
      <c r="AD152" s="124">
        <f>HYPERLINK("https://docs.google.com/spreadsheets/d/1gUrNHGY-4xCbQOvChv9DQYgK1VJyG83h", 0)</f>
        <v>0</v>
      </c>
      <c r="AE152" s="119"/>
      <c r="AF152" s="119"/>
      <c r="AG152" s="119"/>
      <c r="AH152" s="119"/>
      <c r="AI152" s="125">
        <f>HYPERLINK("https://docs.google.com/spreadsheets/d/1sRzdKZizUDBQfZVe54fMytWBA2BwXFko", 0)</f>
        <v>0</v>
      </c>
      <c r="AJ152" s="124">
        <f>HYPERLINK("https://docs.google.com/spreadsheets/d/1tpN7KKiDwBwZEFqE6k0uRtjqvASM0RAm", 0)</f>
        <v>0</v>
      </c>
      <c r="AK152" s="124">
        <f>HYPERLINK("https://docs.google.com/spreadsheets/d/16ub2cnadKKbW4Q1uBi4NxHTeJ6yzqMei", 0)</f>
        <v>0</v>
      </c>
      <c r="AL152" s="124">
        <f>HYPERLINK("https://docs.google.com/spreadsheets/d/1WpJwJUD5zP1858cXjiED7fSo_ByuFDCn", 0)</f>
        <v>0</v>
      </c>
      <c r="AM152" s="124">
        <f>HYPERLINK("https://docs.google.com/spreadsheets/d/1T6ByRYUGpIzSdgd40diPFi5mXJyhNwqL", 0)</f>
        <v>0</v>
      </c>
      <c r="AN152" s="119"/>
      <c r="AO152" s="120"/>
      <c r="AP152" s="124">
        <f>HYPERLINK("https://docs.google.com/spreadsheets/d/1-FH6LXNMlXV8inbAqMeSSVN54l6KzsnU", 0)</f>
        <v>0</v>
      </c>
      <c r="AQ152" s="125">
        <f>HYPERLINK("https://docs.google.com/spreadsheets/d/15o5MdMvYO0WWI9nPy2OyTJ6jYqkoyHJF", 0)</f>
        <v>0</v>
      </c>
      <c r="AR152" s="125">
        <f>HYPERLINK("https://docs.google.com/spreadsheets/d/1aFrIjxzJxOCKLaVmQxN3Ari6H-493ujI", 0)</f>
        <v>0</v>
      </c>
      <c r="AS152" s="120"/>
      <c r="AT152" s="120"/>
      <c r="AU152" s="124">
        <f>HYPERLINK("https://docs.google.com/spreadsheets/d/1MlFQIPystB7_sudh4xAsoaEjOj3O0NF0", 2.22161666666667)</f>
        <v>2.221616667</v>
      </c>
      <c r="AV152" s="124">
        <f>HYPERLINK("https://docs.google.com/spreadsheets/d/1TLY7FrFhOs7IycDb1z88De6ADBMDK35P", 0)</f>
        <v>0</v>
      </c>
      <c r="AW152" s="120"/>
      <c r="AX152" s="120"/>
      <c r="AY152" s="124">
        <f>HYPERLINK("https://docs.google.com/spreadsheets/d/1C1wq0CbgOFM0X3m1AtibtN5HjHNzpmSW", 0)</f>
        <v>0</v>
      </c>
      <c r="AZ152" s="120"/>
      <c r="BA152" s="120"/>
      <c r="BB152" s="120"/>
      <c r="BC152" s="120"/>
      <c r="BD152" s="120"/>
      <c r="BE152" s="120"/>
      <c r="BF152" s="120"/>
      <c r="BG152" s="120"/>
      <c r="BH152" s="120"/>
      <c r="BI152" s="120"/>
      <c r="BJ152" s="120"/>
      <c r="BK152" s="120"/>
      <c r="BL152" s="120"/>
      <c r="BM152" s="120"/>
      <c r="BN152" s="120"/>
      <c r="BO152" s="120"/>
      <c r="BP152" s="120"/>
      <c r="BQ152" s="120"/>
      <c r="BR152" s="120"/>
      <c r="BS152" s="120"/>
      <c r="BT152" s="120"/>
      <c r="BU152" s="120"/>
      <c r="BV152" s="120"/>
      <c r="BW152" s="120"/>
      <c r="BX152" s="120"/>
      <c r="BY152" s="120"/>
      <c r="BZ152" s="120"/>
      <c r="CA152" s="120"/>
      <c r="CB152" s="120"/>
      <c r="CC152" s="120"/>
      <c r="CD152" s="120"/>
      <c r="CE152" s="120"/>
      <c r="CF152" s="120"/>
      <c r="CG152" s="120"/>
      <c r="CH152" s="120"/>
      <c r="CI152" s="120"/>
      <c r="CJ152" s="120"/>
      <c r="CK152" s="120"/>
      <c r="CL152" s="120"/>
      <c r="CM152" s="120"/>
      <c r="CN152" s="120"/>
      <c r="CO152" s="120"/>
      <c r="CP152" s="120"/>
      <c r="CQ152" s="120"/>
      <c r="CR152" s="120"/>
      <c r="CS152" s="120"/>
      <c r="CT152" s="120"/>
      <c r="CU152" s="120"/>
      <c r="CV152" s="120"/>
      <c r="CW152" s="120"/>
      <c r="CX152" s="120"/>
      <c r="CY152" s="120"/>
      <c r="CZ152" s="120"/>
      <c r="DA152" s="120"/>
      <c r="DB152" s="120"/>
      <c r="DC152" s="120"/>
      <c r="DD152" s="120"/>
      <c r="DE152" s="120"/>
      <c r="DF152" s="120"/>
      <c r="DG152" s="120"/>
      <c r="DH152" s="120"/>
      <c r="DI152" s="120"/>
      <c r="DJ152" s="120"/>
      <c r="DK152" s="120"/>
      <c r="DL152" s="120"/>
      <c r="DM152" s="120"/>
      <c r="DN152" s="120"/>
      <c r="DO152" s="120"/>
      <c r="DP152" s="120"/>
      <c r="DQ152" s="120"/>
      <c r="DR152" s="120"/>
      <c r="DS152" s="120"/>
      <c r="DT152" s="120"/>
      <c r="DU152" s="120"/>
      <c r="DV152" s="120"/>
      <c r="DW152" s="120"/>
      <c r="DX152" s="120"/>
      <c r="DY152" s="120"/>
      <c r="DZ152" s="120"/>
      <c r="EA152" s="120"/>
      <c r="EB152" s="120"/>
      <c r="EC152" s="120"/>
      <c r="ED152" s="120"/>
      <c r="EE152" s="120"/>
      <c r="EF152" s="120"/>
      <c r="EG152" s="120"/>
      <c r="EH152" s="120"/>
      <c r="EI152" s="120"/>
      <c r="EJ152" s="120"/>
      <c r="EK152" s="120"/>
      <c r="EL152" s="120"/>
      <c r="EM152" s="120"/>
      <c r="EN152" s="120"/>
      <c r="EO152" s="120"/>
      <c r="EP152" s="120"/>
      <c r="EQ152" s="120"/>
      <c r="ER152" s="120"/>
      <c r="ES152" s="120"/>
      <c r="ET152" s="120"/>
      <c r="EU152" s="120"/>
      <c r="EV152" s="120"/>
      <c r="EW152" s="120"/>
      <c r="EX152" s="120"/>
      <c r="EY152" s="120"/>
    </row>
    <row r="153">
      <c r="A153" s="112" t="s">
        <v>7</v>
      </c>
      <c r="B153" s="112" t="s">
        <v>30</v>
      </c>
      <c r="C153" s="112" t="s">
        <v>409</v>
      </c>
      <c r="D153" s="113">
        <f t="shared" si="1"/>
        <v>587.1169667</v>
      </c>
      <c r="E153" s="114">
        <v>266.695883333334</v>
      </c>
      <c r="F153" s="114"/>
      <c r="G153" s="114"/>
      <c r="H153" s="114"/>
      <c r="I153" s="114"/>
      <c r="J153" s="114"/>
      <c r="K153" s="114"/>
      <c r="L153" s="114">
        <v>4.52531666666667</v>
      </c>
      <c r="M153" s="114"/>
      <c r="N153" s="114"/>
      <c r="O153" s="114">
        <v>9.46305</v>
      </c>
      <c r="P153" s="112"/>
      <c r="Q153" s="112">
        <v>0.133283333333333</v>
      </c>
      <c r="R153" s="112">
        <v>111.974783333333</v>
      </c>
      <c r="S153" s="112"/>
      <c r="T153" s="112"/>
      <c r="U153" s="112"/>
      <c r="V153" s="112"/>
      <c r="W153" s="112"/>
      <c r="X153" s="112">
        <v>2.12453333333333</v>
      </c>
      <c r="Y153" s="112">
        <v>31.68975</v>
      </c>
      <c r="Z153" s="112"/>
      <c r="AA153" s="113"/>
      <c r="AB153" s="112"/>
      <c r="AC153" s="112"/>
      <c r="AD153" s="112"/>
      <c r="AE153" s="112">
        <v>2.57146666666667</v>
      </c>
      <c r="AF153" s="112"/>
      <c r="AG153" s="112"/>
      <c r="AH153" s="112">
        <v>55.7862</v>
      </c>
      <c r="AI153" s="112"/>
      <c r="AJ153" s="112"/>
      <c r="AK153" s="112"/>
      <c r="AL153" s="113"/>
      <c r="AM153" s="112"/>
      <c r="AN153" s="112">
        <v>3.53028333333333</v>
      </c>
      <c r="AO153" s="112">
        <v>36.5689666666667</v>
      </c>
      <c r="AP153" s="112"/>
      <c r="AQ153" s="113"/>
      <c r="AR153" s="112"/>
      <c r="AS153" s="112">
        <v>6.4768</v>
      </c>
      <c r="AT153" s="112">
        <v>8.64075</v>
      </c>
      <c r="AU153" s="112"/>
      <c r="AV153" s="112"/>
      <c r="AW153" s="112">
        <v>1.9354</v>
      </c>
      <c r="AX153" s="112">
        <v>41.222</v>
      </c>
      <c r="AY153" s="113"/>
      <c r="AZ153" s="112">
        <v>2.59821666666667</v>
      </c>
      <c r="BA153" s="112">
        <v>1.18028333333333</v>
      </c>
      <c r="BB153" s="113"/>
      <c r="BC153" s="113"/>
      <c r="BD153" s="113"/>
      <c r="BE153" s="113"/>
      <c r="BF153" s="113"/>
      <c r="BG153" s="113"/>
      <c r="BH153" s="113"/>
      <c r="BI153" s="113"/>
      <c r="BJ153" s="113"/>
      <c r="BK153" s="113"/>
      <c r="BL153" s="113"/>
      <c r="BM153" s="113"/>
      <c r="BN153" s="113"/>
      <c r="BO153" s="113"/>
      <c r="BP153" s="113"/>
      <c r="BQ153" s="113"/>
      <c r="BR153" s="113"/>
      <c r="BS153" s="113"/>
      <c r="BT153" s="113"/>
      <c r="BU153" s="113"/>
      <c r="BV153" s="113"/>
      <c r="BW153" s="113"/>
      <c r="BX153" s="113"/>
      <c r="BY153" s="113"/>
      <c r="BZ153" s="113"/>
      <c r="CA153" s="113"/>
      <c r="CB153" s="113"/>
      <c r="CC153" s="113"/>
      <c r="CD153" s="113"/>
      <c r="CE153" s="113"/>
      <c r="CF153" s="113"/>
      <c r="CG153" s="113"/>
      <c r="CH153" s="113"/>
      <c r="CI153" s="113"/>
      <c r="CJ153" s="113"/>
      <c r="CK153" s="113"/>
      <c r="CL153" s="113"/>
      <c r="CM153" s="113"/>
      <c r="CN153" s="113"/>
      <c r="CO153" s="113"/>
      <c r="CP153" s="113"/>
      <c r="CQ153" s="113"/>
      <c r="CR153" s="113"/>
      <c r="CS153" s="113"/>
      <c r="CT153" s="113"/>
      <c r="CU153" s="113"/>
      <c r="CV153" s="113"/>
      <c r="CW153" s="113"/>
      <c r="CX153" s="113"/>
      <c r="CY153" s="113"/>
      <c r="CZ153" s="113"/>
      <c r="DA153" s="113"/>
      <c r="DB153" s="113"/>
      <c r="DC153" s="113"/>
      <c r="DD153" s="113"/>
      <c r="DE153" s="113"/>
      <c r="DF153" s="113"/>
      <c r="DG153" s="113"/>
      <c r="DH153" s="113"/>
      <c r="DI153" s="113"/>
      <c r="DJ153" s="113"/>
      <c r="DK153" s="113"/>
      <c r="DL153" s="113"/>
      <c r="DM153" s="113"/>
      <c r="DN153" s="113"/>
      <c r="DO153" s="113"/>
      <c r="DP153" s="113"/>
      <c r="DQ153" s="113"/>
      <c r="DR153" s="113"/>
      <c r="DS153" s="113"/>
      <c r="DT153" s="113"/>
      <c r="DU153" s="113"/>
      <c r="DV153" s="113"/>
      <c r="DW153" s="113"/>
      <c r="DX153" s="113"/>
      <c r="DY153" s="113"/>
      <c r="DZ153" s="113"/>
      <c r="EA153" s="113"/>
      <c r="EB153" s="113"/>
      <c r="EC153" s="113"/>
      <c r="ED153" s="113"/>
      <c r="EE153" s="113"/>
      <c r="EF153" s="113"/>
      <c r="EG153" s="113"/>
      <c r="EH153" s="113"/>
      <c r="EI153" s="113"/>
      <c r="EJ153" s="113"/>
      <c r="EK153" s="113"/>
      <c r="EL153" s="113"/>
      <c r="EM153" s="113"/>
      <c r="EN153" s="113"/>
      <c r="EO153" s="113"/>
      <c r="EP153" s="113"/>
      <c r="EQ153" s="113"/>
      <c r="ER153" s="113"/>
      <c r="ES153" s="113"/>
      <c r="ET153" s="113"/>
      <c r="EU153" s="113"/>
      <c r="EV153" s="113"/>
      <c r="EW153" s="113"/>
      <c r="EX153" s="113"/>
      <c r="EY153" s="113"/>
    </row>
    <row r="154">
      <c r="A154" s="65" t="s">
        <v>7</v>
      </c>
      <c r="B154" s="65" t="s">
        <v>30</v>
      </c>
      <c r="C154" s="65" t="s">
        <v>410</v>
      </c>
      <c r="D154" s="64">
        <f t="shared" si="1"/>
        <v>690.2904667</v>
      </c>
      <c r="E154" s="104"/>
      <c r="F154" s="104">
        <v>113.923616666667</v>
      </c>
      <c r="G154" s="104">
        <v>47.35745</v>
      </c>
      <c r="H154" s="104">
        <v>29.0063333333333</v>
      </c>
      <c r="I154" s="104">
        <v>4.89558333333333</v>
      </c>
      <c r="J154" s="104">
        <v>0.8659</v>
      </c>
      <c r="K154" s="104">
        <v>48.4447666666666</v>
      </c>
      <c r="L154" s="104"/>
      <c r="M154" s="104">
        <v>113.923616666667</v>
      </c>
      <c r="N154" s="104">
        <v>47.35745</v>
      </c>
      <c r="O154" s="104"/>
      <c r="P154" s="65">
        <v>5.50875</v>
      </c>
      <c r="Q154" s="65"/>
      <c r="R154" s="65"/>
      <c r="S154" s="65">
        <v>60.9294166666667</v>
      </c>
      <c r="T154" s="65">
        <v>22.0780333333333</v>
      </c>
      <c r="U154" s="65">
        <v>9.50571666666667</v>
      </c>
      <c r="V154" s="65">
        <v>2.56168333333333</v>
      </c>
      <c r="W154" s="65">
        <v>11.69155</v>
      </c>
      <c r="X154" s="65"/>
      <c r="Y154" s="65"/>
      <c r="Z154" s="65">
        <v>14.8999166666667</v>
      </c>
      <c r="AA154" s="65">
        <v>8.11306666666666</v>
      </c>
      <c r="AB154" s="65">
        <v>3.98333333333333</v>
      </c>
      <c r="AC154" s="65">
        <v>0.401283333333333</v>
      </c>
      <c r="AD154" s="65">
        <v>2.5153</v>
      </c>
      <c r="AE154" s="65"/>
      <c r="AF154" s="65">
        <v>14.8999166666667</v>
      </c>
      <c r="AG154" s="65">
        <v>8.11306666666666</v>
      </c>
      <c r="AH154" s="65"/>
      <c r="AI154" s="65">
        <v>21.7890333333333</v>
      </c>
      <c r="AJ154" s="65">
        <v>20.7583</v>
      </c>
      <c r="AK154" s="65">
        <v>6.09101666666667</v>
      </c>
      <c r="AL154" s="65">
        <v>0.797533333333333</v>
      </c>
      <c r="AM154" s="65">
        <v>4.93965</v>
      </c>
      <c r="AN154" s="65"/>
      <c r="AP154" s="65">
        <v>4.28988333333333</v>
      </c>
      <c r="AQ154" s="65">
        <v>1.82456666666667</v>
      </c>
      <c r="AR154" s="65">
        <v>18.7265333333333</v>
      </c>
      <c r="AT154" s="65"/>
      <c r="AU154" s="65">
        <v>1.72665</v>
      </c>
      <c r="AV154" s="65">
        <v>4.49905</v>
      </c>
      <c r="AY154" s="65">
        <v>33.8725</v>
      </c>
    </row>
    <row r="155">
      <c r="A155" s="65" t="s">
        <v>7</v>
      </c>
      <c r="B155" s="65" t="s">
        <v>30</v>
      </c>
      <c r="C155" s="65" t="s">
        <v>411</v>
      </c>
      <c r="D155" s="64">
        <f t="shared" si="1"/>
        <v>0</v>
      </c>
      <c r="E155" s="115"/>
      <c r="F155" s="115"/>
      <c r="G155" s="115"/>
      <c r="H155" s="115"/>
      <c r="I155" s="115"/>
      <c r="J155" s="115"/>
      <c r="K155" s="115"/>
      <c r="L155" s="115"/>
      <c r="M155" s="115"/>
      <c r="N155" s="115"/>
      <c r="O155" s="115"/>
    </row>
    <row r="156">
      <c r="A156" s="65" t="s">
        <v>7</v>
      </c>
      <c r="B156" s="65" t="s">
        <v>30</v>
      </c>
      <c r="C156" s="65" t="s">
        <v>412</v>
      </c>
      <c r="D156" s="64">
        <f t="shared" si="1"/>
        <v>477.15995</v>
      </c>
      <c r="E156" s="115"/>
      <c r="F156" s="117">
        <f>HYPERLINK("https://docs.google.com/spreadsheets/d/1rgD9RGxEF_crZpyNRpr5BOzJRQaM4tHc", 104.91155)</f>
        <v>104.91155</v>
      </c>
      <c r="G156" s="116">
        <f>HYPERLINK("https://docs.google.com/spreadsheets/d/1l2wbE_ZSIrTkdIXKX2FhudbX9YdGbAJ4", 42.9693666666667)</f>
        <v>42.96936667</v>
      </c>
      <c r="H156" s="116">
        <f>HYPERLINK("https://docs.google.com/spreadsheets/d/1a8jhpSz-1ZciRh3HAsCN6otIeOOj0KxB", 28.89385)</f>
        <v>28.89385</v>
      </c>
      <c r="I156" s="117">
        <f>HYPERLINK("https://docs.google.com/spreadsheets/d/1cMOlseuwUN9-ZhuBPtd41ridFZ7Tsq0b", 4.89558333333333)</f>
        <v>4.895583333</v>
      </c>
      <c r="J156" s="116">
        <f>HYPERLINK("https://docs.google.com/spreadsheets/d/1spAYvlgdROcLcFe7RakuYjTbMdV5_c06", 0.4445)</f>
        <v>0.4445</v>
      </c>
      <c r="K156" s="117">
        <f>HYPERLINK("https://docs.google.com/spreadsheets/d/1mGiQv7vKvYxZ7dvWH7_scwX-Ur73Fdew", 48.0186833333333)</f>
        <v>48.01868333</v>
      </c>
      <c r="L156" s="115"/>
      <c r="M156" s="104"/>
      <c r="N156" s="115"/>
      <c r="O156" s="104"/>
      <c r="P156" s="118">
        <f>HYPERLINK("https://docs.google.com/spreadsheets/d/1szC18JOG_mxYdcHMCdLCJPn5z0tSh1zq", 5.50875)</f>
        <v>5.50875</v>
      </c>
      <c r="S156" s="118">
        <f>HYPERLINK("https://docs.google.com/spreadsheets/d/1W7nc1ZTeY38KxL-7eq210KQ4h8dgjtNa", 53.5547833333333)</f>
        <v>53.55478333</v>
      </c>
      <c r="T156" s="118">
        <f>HYPERLINK("https://docs.google.com/spreadsheets/d/1VBjcA-m9V103GClXX_b8CKTcxJx6TCKC", 21.1005333333333)</f>
        <v>21.10053333</v>
      </c>
      <c r="U156" s="118">
        <f>HYPERLINK("https://docs.google.com/spreadsheets/d/10tEhpxCgjQvzCrhA-pUT5Nh7Unkm96px", 9.33433333333334)</f>
        <v>9.334333333</v>
      </c>
      <c r="V156" s="118">
        <f>HYPERLINK("https://docs.google.com/spreadsheets/d/1iGGBeLnPlEiTFyFq6eTUt7pmFxhByKt2", 1.73801666666667)</f>
        <v>1.738016667</v>
      </c>
      <c r="W156" s="118">
        <f>HYPERLINK("https://docs.google.com/spreadsheets/d/19QlCoyqRmflBxrZjwCzfTpp5cQLguotu", 10.9845333333333)</f>
        <v>10.98453333</v>
      </c>
      <c r="Z156" s="118">
        <f>HYPERLINK("https://docs.google.com/spreadsheets/d/1x0LN8iitgbPyCpAWU8L6pzvSzJJOPXyr", 14.1863166666667)</f>
        <v>14.18631667</v>
      </c>
      <c r="AA156" s="118">
        <f>HYPERLINK("https://docs.google.com/spreadsheets/d/1sC850mkBIcPgVRG39qod6Zf4ahdk6mVl", 8.11303333333333)</f>
        <v>8.113033333</v>
      </c>
      <c r="AB156" s="118">
        <f>HYPERLINK("https://docs.google.com/spreadsheets/d/1BDBlWMmDB2RgqVCa0cZaFqzzVkDlg96Z", 3.98333333333333)</f>
        <v>3.983333333</v>
      </c>
      <c r="AC156" s="118">
        <f>HYPERLINK("https://docs.google.com/spreadsheets/d/1jn0smSL-g_-wgn65US7TDw4rcqfNgusZ", 0)</f>
        <v>0</v>
      </c>
      <c r="AD156" s="118">
        <f>HYPERLINK("https://docs.google.com/spreadsheets/d/1m9eK_Wp3mFzE1SsFfL65KYm3HEadHcBT", 2.4009)</f>
        <v>2.4009</v>
      </c>
      <c r="AI156" s="118">
        <f>HYPERLINK("https://docs.google.com/spreadsheets/d/1n6rhZI9FIGTvan9x9ze4hBS_Zx2YesUp", 21.7890166666667)</f>
        <v>21.78901667</v>
      </c>
      <c r="AJ156" s="118">
        <f>HYPERLINK("https://docs.google.com/spreadsheets/d/1mdwiUUpax6P_YGTAnzZ9JueZqhYfIQOG", 19.7600333333333)</f>
        <v>19.76003333</v>
      </c>
      <c r="AK156" s="118">
        <f>HYPERLINK("https://docs.google.com/spreadsheets/d/13ukqbdKogVuGPw-wp-Q-HZ3phqb1CSeU", 6.09098333333333)</f>
        <v>6.090983333</v>
      </c>
      <c r="AL156" s="118">
        <f>HYPERLINK("https://docs.google.com/spreadsheets/d/1Ow5bQX7rMbXuaAenlnDFONWUiZIa2iZW", 0.725283333333333)</f>
        <v>0.7252833333</v>
      </c>
      <c r="AM156" s="118">
        <f>HYPERLINK("https://docs.google.com/spreadsheets/d/1qkEnj14wIWaZPiaqUamdYnGXp-BhDO0I", 4.93961666666667)</f>
        <v>4.939616667</v>
      </c>
      <c r="AP156" s="118">
        <f>HYPERLINK("https://docs.google.com/spreadsheets/d/1K8upJntf8Z-qXwWuXpltDcSQvXy702E0", 3.41245)</f>
        <v>3.41245</v>
      </c>
      <c r="AQ156" s="118">
        <f>HYPERLINK("https://docs.google.com/spreadsheets/d/16MuBLG_AwsXSLz_3oizTYCo7OwtzFrtY", 1.82456666666667)</f>
        <v>1.824566667</v>
      </c>
      <c r="AR156" s="118">
        <f>HYPERLINK("https://docs.google.com/spreadsheets/d/1QhlSeupTWRylmlDNxHzAGvyvE2n86zwG", 18.6002333333333)</f>
        <v>18.60023333</v>
      </c>
      <c r="AU156" s="118">
        <f>HYPERLINK("https://docs.google.com/spreadsheets/d/1HDYmhKeF8LplOFWxhz7UV_1tORfe9T_Y", 1.72665)</f>
        <v>1.72665</v>
      </c>
      <c r="AV156" s="118">
        <f>HYPERLINK("https://docs.google.com/spreadsheets/d/10O2nKqQCNm8ZWIdt9LpRzDpUm9z3ycjp", 4.33281666666667)</f>
        <v>4.332816667</v>
      </c>
      <c r="AY156" s="118">
        <f>HYPERLINK("https://docs.google.com/spreadsheets/d/1NIuyIvc8Hdplkv8PLgaQNs12Ict-fZno", 32.9202333333333)</f>
        <v>32.92023333</v>
      </c>
    </row>
    <row r="157">
      <c r="A157" s="65" t="s">
        <v>7</v>
      </c>
      <c r="B157" s="65" t="s">
        <v>30</v>
      </c>
      <c r="C157" s="65" t="s">
        <v>413</v>
      </c>
      <c r="D157" s="64">
        <f t="shared" si="1"/>
        <v>157.85965</v>
      </c>
      <c r="E157" s="115"/>
      <c r="F157" s="104">
        <v>0.644283333333419</v>
      </c>
      <c r="G157" s="104">
        <v>0.389533333333297</v>
      </c>
      <c r="H157" s="104">
        <v>0.346683333333374</v>
      </c>
      <c r="I157" s="104">
        <v>-2.66453525910038E-15</v>
      </c>
      <c r="J157" s="104">
        <v>0.0</v>
      </c>
      <c r="K157" s="104">
        <v>28.4712166666666</v>
      </c>
      <c r="L157" s="104"/>
      <c r="M157" s="104"/>
      <c r="N157" s="104"/>
      <c r="O157" s="104"/>
      <c r="P157" s="65">
        <v>5.50875</v>
      </c>
      <c r="Q157" s="65"/>
      <c r="R157" s="65"/>
      <c r="S157" s="65">
        <v>32.10095</v>
      </c>
      <c r="T157" s="65">
        <v>7.13155000000001</v>
      </c>
      <c r="U157" s="65">
        <v>0.228733333333334</v>
      </c>
      <c r="V157" s="65">
        <v>-2.22044604925031E-16</v>
      </c>
      <c r="W157" s="65">
        <v>3.56986666666666</v>
      </c>
      <c r="X157" s="65"/>
      <c r="Y157" s="65"/>
      <c r="Z157" s="65">
        <v>8.00353333333334</v>
      </c>
      <c r="AA157" s="65">
        <v>2.25781666666666</v>
      </c>
      <c r="AB157" s="65">
        <v>8.88178419700125E-16</v>
      </c>
      <c r="AC157" s="65">
        <v>0.0</v>
      </c>
      <c r="AD157" s="65">
        <v>-4.44089209850063E-16</v>
      </c>
      <c r="AE157" s="65"/>
      <c r="AF157" s="65"/>
      <c r="AG157" s="65"/>
      <c r="AH157" s="65"/>
      <c r="AI157" s="65">
        <v>18.0100166666667</v>
      </c>
      <c r="AJ157" s="65">
        <v>10.0281333333333</v>
      </c>
      <c r="AK157" s="65">
        <v>-1.77635683940025E-15</v>
      </c>
      <c r="AL157" s="65">
        <v>0.191816666666667</v>
      </c>
      <c r="AM157" s="65">
        <v>4.32381666666667</v>
      </c>
      <c r="AN157" s="65"/>
      <c r="AP157" s="65">
        <v>2.1232</v>
      </c>
      <c r="AQ157" s="65">
        <v>2.22044604925031E-16</v>
      </c>
      <c r="AR157" s="65">
        <v>13.4268166666667</v>
      </c>
      <c r="AT157" s="65"/>
      <c r="AU157" s="65">
        <v>0.0</v>
      </c>
      <c r="AV157" s="65">
        <v>1.77635683940025E-15</v>
      </c>
      <c r="AY157" s="65">
        <v>21.1029333333333</v>
      </c>
    </row>
    <row r="158">
      <c r="A158" s="119" t="s">
        <v>7</v>
      </c>
      <c r="B158" s="119" t="s">
        <v>30</v>
      </c>
      <c r="C158" s="119" t="s">
        <v>414</v>
      </c>
      <c r="D158" s="120">
        <f t="shared" si="1"/>
        <v>1.72665</v>
      </c>
      <c r="E158" s="121"/>
      <c r="F158" s="122">
        <f>HYPERLINK("https://docs.google.com/spreadsheets/d/1rgD9RGxEF_crZpyNRpr5BOzJRQaM4tHc", 0)</f>
        <v>0</v>
      </c>
      <c r="G158" s="122">
        <f>HYPERLINK("https://docs.google.com/spreadsheets/d/1l2wbE_ZSIrTkdIXKX2FhudbX9YdGbAJ4", 0)</f>
        <v>0</v>
      </c>
      <c r="H158" s="122">
        <f>HYPERLINK("https://docs.google.com/spreadsheets/d/1a8jhpSz-1ZciRh3HAsCN6otIeOOj0KxB", 0)</f>
        <v>0</v>
      </c>
      <c r="I158" s="122">
        <f>HYPERLINK("https://docs.google.com/spreadsheets/d/1cMOlseuwUN9-ZhuBPtd41ridFZ7Tsq0b", 0)</f>
        <v>0</v>
      </c>
      <c r="J158" s="122">
        <f>HYPERLINK("https://docs.google.com/spreadsheets/d/1spAYvlgdROcLcFe7RakuYjTbMdV5_c06", 0)</f>
        <v>0</v>
      </c>
      <c r="K158" s="122">
        <f>HYPERLINK("https://docs.google.com/spreadsheets/d/1mGiQv7vKvYxZ7dvWH7_scwX-Ur73Fdew", 0)</f>
        <v>0</v>
      </c>
      <c r="L158" s="121"/>
      <c r="M158" s="121"/>
      <c r="N158" s="121"/>
      <c r="O158" s="121"/>
      <c r="P158" s="124">
        <f>HYPERLINK("https://docs.google.com/spreadsheets/d/1szC18JOG_mxYdcHMCdLCJPn5z0tSh1zq", 0)</f>
        <v>0</v>
      </c>
      <c r="Q158" s="119"/>
      <c r="R158" s="119"/>
      <c r="S158" s="124">
        <f>HYPERLINK("https://docs.google.com/spreadsheets/d/1W7nc1ZTeY38KxL-7eq210KQ4h8dgjtNa", 0)</f>
        <v>0</v>
      </c>
      <c r="T158" s="125">
        <f>HYPERLINK("https://docs.google.com/spreadsheets/d/1VBjcA-m9V103GClXX_b8CKTcxJx6TCKC", 0)</f>
        <v>0</v>
      </c>
      <c r="U158" s="125">
        <f>HYPERLINK("https://docs.google.com/spreadsheets/d/10tEhpxCgjQvzCrhA-pUT5Nh7Unkm96px", 0)</f>
        <v>0</v>
      </c>
      <c r="V158" s="124">
        <f>HYPERLINK("https://docs.google.com/spreadsheets/d/1iGGBeLnPlEiTFyFq6eTUt7pmFxhByKt2", 0)</f>
        <v>0</v>
      </c>
      <c r="W158" s="124">
        <f>HYPERLINK("https://docs.google.com/spreadsheets/d/19QlCoyqRmflBxrZjwCzfTpp5cQLguotu", 0)</f>
        <v>0</v>
      </c>
      <c r="X158" s="119"/>
      <c r="Y158" s="119"/>
      <c r="Z158" s="125">
        <f>HYPERLINK("https://docs.google.com/spreadsheets/d/1x0LN8iitgbPyCpAWU8L6pzvSzJJOPXyr", 0)</f>
        <v>0</v>
      </c>
      <c r="AA158" s="124">
        <f>HYPERLINK("https://docs.google.com/spreadsheets/d/1sC850mkBIcPgVRG39qod6Zf4ahdk6mVl", 0)</f>
        <v>0</v>
      </c>
      <c r="AB158" s="124">
        <f>HYPERLINK("https://docs.google.com/spreadsheets/d/1BDBlWMmDB2RgqVCa0cZaFqzzVkDlg96Z", 0)</f>
        <v>0</v>
      </c>
      <c r="AC158" s="124">
        <f>HYPERLINK("https://docs.google.com/spreadsheets/d/1jn0smSL-g_-wgn65US7TDw4rcqfNgusZ", 0)</f>
        <v>0</v>
      </c>
      <c r="AD158" s="124">
        <f>HYPERLINK("https://docs.google.com/spreadsheets/d/1m9eK_Wp3mFzE1SsFfL65KYm3HEadHcBT", 0)</f>
        <v>0</v>
      </c>
      <c r="AE158" s="119"/>
      <c r="AF158" s="119"/>
      <c r="AG158" s="119"/>
      <c r="AH158" s="119"/>
      <c r="AI158" s="125">
        <f>HYPERLINK("https://docs.google.com/spreadsheets/d/1n6rhZI9FIGTvan9x9ze4hBS_Zx2YesUp", 0)</f>
        <v>0</v>
      </c>
      <c r="AJ158" s="124">
        <f>HYPERLINK("https://docs.google.com/spreadsheets/d/1mdwiUUpax6P_YGTAnzZ9JueZqhYfIQOG", 0)</f>
        <v>0</v>
      </c>
      <c r="AK158" s="124">
        <f>HYPERLINK("https://docs.google.com/spreadsheets/d/13ukqbdKogVuGPw-wp-Q-HZ3phqb1CSeU", 0)</f>
        <v>0</v>
      </c>
      <c r="AL158" s="125">
        <f>HYPERLINK("https://docs.google.com/spreadsheets/d/1Ow5bQX7rMbXuaAenlnDFONWUiZIa2iZW", 0)</f>
        <v>0</v>
      </c>
      <c r="AM158" s="124">
        <f>HYPERLINK("https://docs.google.com/spreadsheets/d/1qkEnj14wIWaZPiaqUamdYnGXp-BhDO0I", 0)</f>
        <v>0</v>
      </c>
      <c r="AN158" s="119"/>
      <c r="AO158" s="120"/>
      <c r="AP158" s="124">
        <f>HYPERLINK("https://docs.google.com/spreadsheets/d/1K8upJntf8Z-qXwWuXpltDcSQvXy702E0", 0)</f>
        <v>0</v>
      </c>
      <c r="AQ158" s="125">
        <f>HYPERLINK("https://docs.google.com/spreadsheets/d/16MuBLG_AwsXSLz_3oizTYCo7OwtzFrtY", 0)</f>
        <v>0</v>
      </c>
      <c r="AR158" s="125">
        <f>HYPERLINK("https://docs.google.com/spreadsheets/d/1QhlSeupTWRylmlDNxHzAGvyvE2n86zwG", 0)</f>
        <v>0</v>
      </c>
      <c r="AS158" s="120"/>
      <c r="AT158" s="120"/>
      <c r="AU158" s="125">
        <f>HYPERLINK("https://docs.google.com/spreadsheets/d/1HDYmhKeF8LplOFWxhz7UV_1tORfe9T_Y", 1.72665)</f>
        <v>1.72665</v>
      </c>
      <c r="AV158" s="124">
        <f>HYPERLINK("https://docs.google.com/spreadsheets/d/10O2nKqQCNm8ZWIdt9LpRzDpUm9z3ycjp", 0)</f>
        <v>0</v>
      </c>
      <c r="AW158" s="120"/>
      <c r="AX158" s="120"/>
      <c r="AY158" s="124">
        <f>HYPERLINK("https://docs.google.com/spreadsheets/d/1NIuyIvc8Hdplkv8PLgaQNs12Ict-fZno", 0)</f>
        <v>0</v>
      </c>
      <c r="AZ158" s="120"/>
      <c r="BA158" s="120"/>
      <c r="BB158" s="120"/>
      <c r="BC158" s="120"/>
      <c r="BD158" s="120"/>
      <c r="BE158" s="120"/>
      <c r="BF158" s="120"/>
      <c r="BG158" s="120"/>
      <c r="BH158" s="120"/>
      <c r="BI158" s="120"/>
      <c r="BJ158" s="120"/>
      <c r="BK158" s="120"/>
      <c r="BL158" s="120"/>
      <c r="BM158" s="120"/>
      <c r="BN158" s="120"/>
      <c r="BO158" s="120"/>
      <c r="BP158" s="120"/>
      <c r="BQ158" s="120"/>
      <c r="BR158" s="120"/>
      <c r="BS158" s="120"/>
      <c r="BT158" s="120"/>
      <c r="BU158" s="120"/>
      <c r="BV158" s="120"/>
      <c r="BW158" s="120"/>
      <c r="BX158" s="120"/>
      <c r="BY158" s="120"/>
      <c r="BZ158" s="120"/>
      <c r="CA158" s="120"/>
      <c r="CB158" s="120"/>
      <c r="CC158" s="120"/>
      <c r="CD158" s="120"/>
      <c r="CE158" s="120"/>
      <c r="CF158" s="120"/>
      <c r="CG158" s="120"/>
      <c r="CH158" s="120"/>
      <c r="CI158" s="120"/>
      <c r="CJ158" s="120"/>
      <c r="CK158" s="120"/>
      <c r="CL158" s="120"/>
      <c r="CM158" s="120"/>
      <c r="CN158" s="120"/>
      <c r="CO158" s="120"/>
      <c r="CP158" s="120"/>
      <c r="CQ158" s="120"/>
      <c r="CR158" s="120"/>
      <c r="CS158" s="120"/>
      <c r="CT158" s="120"/>
      <c r="CU158" s="120"/>
      <c r="CV158" s="120"/>
      <c r="CW158" s="120"/>
      <c r="CX158" s="120"/>
      <c r="CY158" s="120"/>
      <c r="CZ158" s="120"/>
      <c r="DA158" s="120"/>
      <c r="DB158" s="120"/>
      <c r="DC158" s="120"/>
      <c r="DD158" s="120"/>
      <c r="DE158" s="120"/>
      <c r="DF158" s="120"/>
      <c r="DG158" s="120"/>
      <c r="DH158" s="120"/>
      <c r="DI158" s="120"/>
      <c r="DJ158" s="120"/>
      <c r="DK158" s="120"/>
      <c r="DL158" s="120"/>
      <c r="DM158" s="120"/>
      <c r="DN158" s="120"/>
      <c r="DO158" s="120"/>
      <c r="DP158" s="120"/>
      <c r="DQ158" s="120"/>
      <c r="DR158" s="120"/>
      <c r="DS158" s="120"/>
      <c r="DT158" s="120"/>
      <c r="DU158" s="120"/>
      <c r="DV158" s="120"/>
      <c r="DW158" s="120"/>
      <c r="DX158" s="120"/>
      <c r="DY158" s="120"/>
      <c r="DZ158" s="120"/>
      <c r="EA158" s="120"/>
      <c r="EB158" s="120"/>
      <c r="EC158" s="120"/>
      <c r="ED158" s="120"/>
      <c r="EE158" s="120"/>
      <c r="EF158" s="120"/>
      <c r="EG158" s="120"/>
      <c r="EH158" s="120"/>
      <c r="EI158" s="120"/>
      <c r="EJ158" s="120"/>
      <c r="EK158" s="120"/>
      <c r="EL158" s="120"/>
      <c r="EM158" s="120"/>
      <c r="EN158" s="120"/>
      <c r="EO158" s="120"/>
      <c r="EP158" s="120"/>
      <c r="EQ158" s="120"/>
      <c r="ER158" s="120"/>
      <c r="ES158" s="120"/>
      <c r="ET158" s="120"/>
      <c r="EU158" s="120"/>
      <c r="EV158" s="120"/>
      <c r="EW158" s="120"/>
      <c r="EX158" s="120"/>
      <c r="EY158" s="120"/>
    </row>
    <row r="159">
      <c r="A159" s="112" t="s">
        <v>54</v>
      </c>
      <c r="B159" s="112" t="s">
        <v>55</v>
      </c>
      <c r="C159" s="112" t="s">
        <v>409</v>
      </c>
      <c r="D159" s="113">
        <f t="shared" si="1"/>
        <v>449.3856667</v>
      </c>
      <c r="E159" s="114">
        <v>92.1117833333333</v>
      </c>
      <c r="F159" s="114"/>
      <c r="G159" s="114"/>
      <c r="H159" s="114"/>
      <c r="I159" s="114"/>
      <c r="J159" s="114"/>
      <c r="K159" s="114"/>
      <c r="L159" s="114">
        <v>1.646</v>
      </c>
      <c r="M159" s="114"/>
      <c r="N159" s="114"/>
      <c r="O159" s="114">
        <v>10.68495</v>
      </c>
      <c r="P159" s="112"/>
      <c r="Q159" s="112">
        <v>0.115866666666667</v>
      </c>
      <c r="R159" s="112">
        <v>69.4984666666667</v>
      </c>
      <c r="S159" s="112"/>
      <c r="T159" s="112"/>
      <c r="U159" s="113"/>
      <c r="V159" s="112"/>
      <c r="W159" s="112"/>
      <c r="X159" s="112">
        <v>1.53621666666667</v>
      </c>
      <c r="Y159" s="112">
        <v>92.9705666666666</v>
      </c>
      <c r="Z159" s="112"/>
      <c r="AA159" s="113"/>
      <c r="AB159" s="112"/>
      <c r="AC159" s="112"/>
      <c r="AD159" s="112"/>
      <c r="AE159" s="112">
        <v>1.52868333333333</v>
      </c>
      <c r="AF159" s="112"/>
      <c r="AG159" s="112"/>
      <c r="AH159" s="112">
        <v>112.153483333333</v>
      </c>
      <c r="AI159" s="112"/>
      <c r="AJ159" s="112"/>
      <c r="AK159" s="112"/>
      <c r="AL159" s="113"/>
      <c r="AM159" s="112"/>
      <c r="AN159" s="112">
        <v>2.47295</v>
      </c>
      <c r="AO159" s="112">
        <v>27.0791</v>
      </c>
      <c r="AP159" s="112"/>
      <c r="AQ159" s="113"/>
      <c r="AR159" s="112"/>
      <c r="AS159" s="112">
        <v>5.60093333333333</v>
      </c>
      <c r="AT159" s="112">
        <v>4.18318333333333</v>
      </c>
      <c r="AU159" s="112"/>
      <c r="AV159" s="112"/>
      <c r="AW159" s="112">
        <v>1.13036666666667</v>
      </c>
      <c r="AX159" s="112">
        <v>24.4157166666667</v>
      </c>
      <c r="AY159" s="113"/>
      <c r="AZ159" s="112">
        <v>1.42055</v>
      </c>
      <c r="BA159" s="112">
        <v>0.83685</v>
      </c>
      <c r="BB159" s="113"/>
      <c r="BC159" s="113"/>
      <c r="BD159" s="113"/>
      <c r="BE159" s="113"/>
      <c r="BF159" s="113"/>
      <c r="BG159" s="113"/>
      <c r="BH159" s="113"/>
      <c r="BI159" s="113"/>
      <c r="BJ159" s="113"/>
      <c r="BK159" s="113"/>
      <c r="BL159" s="113"/>
      <c r="BM159" s="113"/>
      <c r="BN159" s="113"/>
      <c r="BO159" s="113"/>
      <c r="BP159" s="113"/>
      <c r="BQ159" s="113"/>
      <c r="BR159" s="113"/>
      <c r="BS159" s="113"/>
      <c r="BT159" s="113"/>
      <c r="BU159" s="113"/>
      <c r="BV159" s="113"/>
      <c r="BW159" s="113"/>
      <c r="BX159" s="113"/>
      <c r="BY159" s="113"/>
      <c r="BZ159" s="113"/>
      <c r="CA159" s="113"/>
      <c r="CB159" s="113"/>
      <c r="CC159" s="113"/>
      <c r="CD159" s="113"/>
      <c r="CE159" s="113"/>
      <c r="CF159" s="113"/>
      <c r="CG159" s="113"/>
      <c r="CH159" s="113"/>
      <c r="CI159" s="113"/>
      <c r="CJ159" s="113"/>
      <c r="CK159" s="113"/>
      <c r="CL159" s="113"/>
      <c r="CM159" s="113"/>
      <c r="CN159" s="113"/>
      <c r="CO159" s="113"/>
      <c r="CP159" s="113"/>
      <c r="CQ159" s="113"/>
      <c r="CR159" s="113"/>
      <c r="CS159" s="113"/>
      <c r="CT159" s="113"/>
      <c r="CU159" s="113"/>
      <c r="CV159" s="113"/>
      <c r="CW159" s="113"/>
      <c r="CX159" s="113"/>
      <c r="CY159" s="113"/>
      <c r="CZ159" s="113"/>
      <c r="DA159" s="113"/>
      <c r="DB159" s="113"/>
      <c r="DC159" s="113"/>
      <c r="DD159" s="113"/>
      <c r="DE159" s="113"/>
      <c r="DF159" s="113"/>
      <c r="DG159" s="113"/>
      <c r="DH159" s="113"/>
      <c r="DI159" s="113"/>
      <c r="DJ159" s="113"/>
      <c r="DK159" s="113"/>
      <c r="DL159" s="113"/>
      <c r="DM159" s="113"/>
      <c r="DN159" s="113"/>
      <c r="DO159" s="113"/>
      <c r="DP159" s="113"/>
      <c r="DQ159" s="113"/>
      <c r="DR159" s="113"/>
      <c r="DS159" s="113"/>
      <c r="DT159" s="113"/>
      <c r="DU159" s="113"/>
      <c r="DV159" s="113"/>
      <c r="DW159" s="113"/>
      <c r="DX159" s="113"/>
      <c r="DY159" s="113"/>
      <c r="DZ159" s="113"/>
      <c r="EA159" s="113"/>
      <c r="EB159" s="113"/>
      <c r="EC159" s="113"/>
      <c r="ED159" s="113"/>
      <c r="EE159" s="113"/>
      <c r="EF159" s="113"/>
      <c r="EG159" s="113"/>
      <c r="EH159" s="113"/>
      <c r="EI159" s="113"/>
      <c r="EJ159" s="113"/>
      <c r="EK159" s="113"/>
      <c r="EL159" s="113"/>
      <c r="EM159" s="113"/>
      <c r="EN159" s="113"/>
      <c r="EO159" s="113"/>
      <c r="EP159" s="113"/>
      <c r="EQ159" s="113"/>
      <c r="ER159" s="113"/>
      <c r="ES159" s="113"/>
      <c r="ET159" s="113"/>
      <c r="EU159" s="113"/>
      <c r="EV159" s="113"/>
      <c r="EW159" s="113"/>
      <c r="EX159" s="113"/>
      <c r="EY159" s="113"/>
    </row>
    <row r="160">
      <c r="A160" s="65" t="s">
        <v>54</v>
      </c>
      <c r="B160" s="65" t="s">
        <v>55</v>
      </c>
      <c r="C160" s="65" t="s">
        <v>410</v>
      </c>
      <c r="D160" s="64">
        <f t="shared" si="1"/>
        <v>449.8597167</v>
      </c>
      <c r="E160" s="115"/>
      <c r="F160" s="104">
        <v>1.20866666666667</v>
      </c>
      <c r="G160" s="104">
        <v>35.6976666666667</v>
      </c>
      <c r="H160" s="104">
        <v>24.6897666666666</v>
      </c>
      <c r="I160" s="104">
        <v>3.93813333333333</v>
      </c>
      <c r="J160" s="104">
        <v>0.325316666666667</v>
      </c>
      <c r="K160" s="104">
        <v>17.1035833333333</v>
      </c>
      <c r="L160" s="104"/>
      <c r="M160" s="104">
        <v>1.20866666666667</v>
      </c>
      <c r="N160" s="104">
        <v>35.6976666666667</v>
      </c>
      <c r="O160" s="115"/>
      <c r="P160" s="65">
        <v>8.416</v>
      </c>
      <c r="Q160" s="65"/>
      <c r="R160" s="65"/>
      <c r="S160" s="65"/>
      <c r="T160" s="65">
        <v>26.0643333333334</v>
      </c>
      <c r="U160" s="65">
        <v>18.0352</v>
      </c>
      <c r="V160" s="65">
        <v>2.5454</v>
      </c>
      <c r="W160" s="65">
        <v>16.9872833333333</v>
      </c>
      <c r="X160" s="65"/>
      <c r="Y160" s="65"/>
      <c r="Z160" s="65">
        <v>0.933733333333333</v>
      </c>
      <c r="AA160" s="65">
        <v>20.8048166666667</v>
      </c>
      <c r="AB160" s="65">
        <v>31.7402833333334</v>
      </c>
      <c r="AC160" s="65">
        <v>3.88161666666667</v>
      </c>
      <c r="AD160" s="65">
        <v>28.8935</v>
      </c>
      <c r="AE160" s="65"/>
      <c r="AF160" s="65">
        <v>0.933733333333333</v>
      </c>
      <c r="AG160" s="65">
        <v>20.8048166666667</v>
      </c>
      <c r="AH160" s="65"/>
      <c r="AI160" s="65">
        <v>0.63945</v>
      </c>
      <c r="AJ160" s="65">
        <v>37.9911833333333</v>
      </c>
      <c r="AK160" s="65">
        <v>33.1888333333333</v>
      </c>
      <c r="AL160" s="65">
        <v>2.142</v>
      </c>
      <c r="AM160" s="65">
        <v>33.2753166666667</v>
      </c>
      <c r="AN160" s="65"/>
      <c r="AP160" s="65">
        <v>6.42251666666667</v>
      </c>
      <c r="AQ160" s="65">
        <v>2.85003333333333</v>
      </c>
      <c r="AR160" s="65">
        <v>8.18508333333333</v>
      </c>
      <c r="AT160" s="65"/>
      <c r="AU160" s="65">
        <v>1.41813333333333</v>
      </c>
      <c r="AV160" s="65">
        <v>1.05586666666667</v>
      </c>
      <c r="AY160" s="65">
        <v>22.7811166666667</v>
      </c>
    </row>
    <row r="161">
      <c r="A161" s="65" t="s">
        <v>54</v>
      </c>
      <c r="B161" s="65" t="s">
        <v>55</v>
      </c>
      <c r="C161" s="65" t="s">
        <v>411</v>
      </c>
      <c r="D161" s="64">
        <f t="shared" si="1"/>
        <v>0</v>
      </c>
      <c r="E161" s="115"/>
      <c r="F161" s="115"/>
      <c r="G161" s="115"/>
      <c r="H161" s="115"/>
      <c r="I161" s="115"/>
      <c r="J161" s="115"/>
      <c r="K161" s="115"/>
      <c r="L161" s="115"/>
      <c r="M161" s="115"/>
      <c r="N161" s="115"/>
      <c r="O161" s="115"/>
    </row>
    <row r="162">
      <c r="A162" s="65" t="s">
        <v>54</v>
      </c>
      <c r="B162" s="65" t="s">
        <v>55</v>
      </c>
      <c r="C162" s="65" t="s">
        <v>412</v>
      </c>
      <c r="D162" s="64">
        <f t="shared" si="1"/>
        <v>387.4956</v>
      </c>
      <c r="E162" s="115"/>
      <c r="F162" s="116">
        <f>HYPERLINK("https://docs.google.com/spreadsheets/d/1TJDMZ87w3lncJRMPj2H0dc6JEPOLV7fG", 1.20865)</f>
        <v>1.20865</v>
      </c>
      <c r="G162" s="116">
        <f>HYPERLINK("https://docs.google.com/spreadsheets/d/15-9sA0pjvCE3e6d2aSX4x0xEMJ0TDlgj", 35.69765)</f>
        <v>35.69765</v>
      </c>
      <c r="H162" s="116">
        <f>HYPERLINK("https://docs.google.com/spreadsheets/d/1av9Q74OiZHEGzOl9-z6LnWnHmAuYCgQL", 24.68975)</f>
        <v>24.68975</v>
      </c>
      <c r="I162" s="116">
        <f>HYPERLINK("https://docs.google.com/spreadsheets/d/1Xo53WHlggmTeqn9eHTbIA1DhwLtR9C_M", 3.93813333333333)</f>
        <v>3.938133333</v>
      </c>
      <c r="J162" s="116">
        <f>HYPERLINK("https://docs.google.com/spreadsheets/d/1os-PkWoX5fVngAQR7zHOOwuesCL-n8MS", 0.325316666666667)</f>
        <v>0.3253166667</v>
      </c>
      <c r="K162" s="116">
        <f>HYPERLINK("https://docs.google.com/spreadsheets/d/1vUfmYgfxE51JUQVqFz-FBmNX0vs1OeWy", 16.88305)</f>
        <v>16.88305</v>
      </c>
      <c r="L162" s="115"/>
      <c r="M162" s="115"/>
      <c r="N162" s="115"/>
      <c r="O162" s="115"/>
      <c r="P162" s="118">
        <f>HYPERLINK("https://docs.google.com/spreadsheets/d/1_35-MyU1L8Lc4g3Ui0RXbC1RHMdLJRSQ", 8.41598333333333)</f>
        <v>8.415983333</v>
      </c>
      <c r="T162" s="118">
        <f>HYPERLINK("https://docs.google.com/spreadsheets/d/1FBHyrDlQPYhgKX3AU3sLGPNYBwDTEwrQ", 24.8903)</f>
        <v>24.8903</v>
      </c>
      <c r="U162" s="118">
        <f>HYPERLINK("https://docs.google.com/spreadsheets/d/1frpug1ytSUFOMyNF1MVHnc-hQQiDMWgJ", 16.4835666666667)</f>
        <v>16.48356667</v>
      </c>
      <c r="V162" s="118">
        <f>HYPERLINK("https://docs.google.com/spreadsheets/d/1gFRes1j-5X4fy6Kd0mLOSuJCKMJkF1Ws", 2.5454)</f>
        <v>2.5454</v>
      </c>
      <c r="W162" s="118">
        <f>HYPERLINK("https://docs.google.com/spreadsheets/d/1S6fgqRsTQYzC9ka_-vx3af7CVG-tc0w5", 16.7549666666667)</f>
        <v>16.75496667</v>
      </c>
      <c r="Z162" s="118">
        <f>HYPERLINK("https://docs.google.com/spreadsheets/d/1WelijSQ5aaMwKibqSKHaxRilTWZgZIRA", 0.7858)</f>
        <v>0.7858</v>
      </c>
      <c r="AA162" s="118">
        <f>HYPERLINK("https://docs.google.com/spreadsheets/d/1Xpf63qvPeJBwpaEU5_jIkeLYEjpPnUuM", 20.6358833333333)</f>
        <v>20.63588333</v>
      </c>
      <c r="AB162" s="118">
        <f>HYPERLINK("https://docs.google.com/spreadsheets/d/1AcNQErkWUkbuPkVs23eJPYspQpvIIHyC", 31.7402833333333)</f>
        <v>31.74028333</v>
      </c>
      <c r="AC162" s="118">
        <f>HYPERLINK("https://docs.google.com/spreadsheets/d/19Rb2c6Z1TcaKx-1kOTvrFdyR_7uzjsZz", 3.88161666666667)</f>
        <v>3.881616667</v>
      </c>
      <c r="AD162" s="118">
        <f>HYPERLINK("https://docs.google.com/spreadsheets/d/15STlC2rCVP1kb0fM5ZlhDT49nGDQEPmQ", 28.8935)</f>
        <v>28.8935</v>
      </c>
      <c r="AI162" s="118">
        <f>HYPERLINK("https://docs.google.com/spreadsheets/d/1p7vRRbnUPeRXph-h1kAtIrAbX3YDvwEV", 0.63945)</f>
        <v>0.63945</v>
      </c>
      <c r="AJ162" s="118">
        <f>HYPERLINK("https://docs.google.com/spreadsheets/d/1h_bnxOYhaXa8QYe8jruc5a6qm3vNZJEI", 37.9912166666667)</f>
        <v>37.99121667</v>
      </c>
      <c r="AK162" s="118">
        <f>HYPERLINK("https://docs.google.com/spreadsheets/d/1n0jmPGog1evWzMiVSJzX5TFefzX-MlXD", 33.1888166666667)</f>
        <v>33.18881667</v>
      </c>
      <c r="AL162" s="118">
        <f>HYPERLINK("https://docs.google.com/spreadsheets/d/1UdmV536M56hrIuoUbvHvetnka2ugPKFL", 2.142)</f>
        <v>2.142</v>
      </c>
      <c r="AM162" s="118">
        <f>HYPERLINK("https://docs.google.com/spreadsheets/d/1QrnFMrUBf47eNsOuBomoB9L0vW7c0sy8", 33.2753166666667)</f>
        <v>33.27531667</v>
      </c>
      <c r="AP162" s="118">
        <f>HYPERLINK("https://docs.google.com/spreadsheets/d/15lUERMeD9ttOSe3Ot6ckPUEEOYeiYAuX", 6.42251666666667)</f>
        <v>6.422516667</v>
      </c>
      <c r="AQ162" s="118">
        <f>HYPERLINK("https://docs.google.com/spreadsheets/d/1cfnwmqP42-7xexMEFfd8r91WYQnEKEg7", 2.85001666666667)</f>
        <v>2.850016667</v>
      </c>
      <c r="AR162" s="118">
        <f>HYPERLINK("https://docs.google.com/spreadsheets/d/12zLalbaW26Mklqnzo_3ohnp066Ds2vB8", 7.96131666666667)</f>
        <v>7.961316667</v>
      </c>
      <c r="AU162" s="118">
        <f>HYPERLINK("https://docs.google.com/spreadsheets/d/12149BZaLEls8spKDt6QbIK9YtxrciNFB", 1.41813333333333)</f>
        <v>1.418133333</v>
      </c>
      <c r="AV162" s="118">
        <f>HYPERLINK("https://docs.google.com/spreadsheets/d/1Y4XHdrSzSET5ZpA7VPwev2G6QQC0EaKY", 1.05586666666667)</f>
        <v>1.055866667</v>
      </c>
      <c r="AY162" s="118">
        <f>HYPERLINK("https://docs.google.com/spreadsheets/d/1hYtKQAKnso1Cno2d0MwcMiJ0DLpPdGrC", 22.7811)</f>
        <v>22.7811</v>
      </c>
    </row>
    <row r="163">
      <c r="A163" s="65" t="s">
        <v>54</v>
      </c>
      <c r="B163" s="65" t="s">
        <v>55</v>
      </c>
      <c r="C163" s="65" t="s">
        <v>413</v>
      </c>
      <c r="D163" s="64">
        <f t="shared" si="1"/>
        <v>196.7409167</v>
      </c>
      <c r="E163" s="115"/>
      <c r="F163" s="104">
        <v>0.0</v>
      </c>
      <c r="G163" s="104">
        <v>0.174983333333358</v>
      </c>
      <c r="H163" s="104">
        <v>1.48263333333333</v>
      </c>
      <c r="I163" s="104">
        <v>4.44089209850063E-16</v>
      </c>
      <c r="J163" s="104">
        <v>0.0</v>
      </c>
      <c r="K163" s="104">
        <v>16.88305</v>
      </c>
      <c r="L163" s="104"/>
      <c r="M163" s="104"/>
      <c r="N163" s="104"/>
      <c r="O163" s="115"/>
      <c r="P163" s="65">
        <v>8.41598333333333</v>
      </c>
      <c r="Q163" s="65"/>
      <c r="R163" s="65"/>
      <c r="S163" s="65"/>
      <c r="T163" s="65">
        <v>24.8903</v>
      </c>
      <c r="U163" s="65">
        <v>0.208883333333347</v>
      </c>
      <c r="V163" s="65">
        <v>0.0434666666666668</v>
      </c>
      <c r="W163" s="65">
        <v>16.7549666666667</v>
      </c>
      <c r="X163" s="65"/>
      <c r="Y163" s="65"/>
      <c r="Z163" s="65">
        <v>0.232383333333333</v>
      </c>
      <c r="AA163" s="65">
        <v>10.8467</v>
      </c>
      <c r="AB163" s="65">
        <v>3.46618333333335</v>
      </c>
      <c r="AC163" s="65">
        <v>0.0901666666666667</v>
      </c>
      <c r="AD163" s="65">
        <v>2.1316282072803E-14</v>
      </c>
      <c r="AE163" s="65"/>
      <c r="AF163" s="65"/>
      <c r="AG163" s="65"/>
      <c r="AH163" s="65"/>
      <c r="AI163" s="65">
        <v>0.63945</v>
      </c>
      <c r="AJ163" s="65">
        <v>37.9912166666667</v>
      </c>
      <c r="AK163" s="65">
        <v>3.89609999999999</v>
      </c>
      <c r="AL163" s="65">
        <v>4.44089209850063E-16</v>
      </c>
      <c r="AM163" s="65">
        <v>33.2753166666667</v>
      </c>
      <c r="AN163" s="65"/>
      <c r="AP163" s="65">
        <v>6.42251666666667</v>
      </c>
      <c r="AQ163" s="65">
        <v>0.2842</v>
      </c>
      <c r="AR163" s="65">
        <v>7.96131666666667</v>
      </c>
      <c r="AT163" s="65"/>
      <c r="AU163" s="65">
        <v>-2.22044604925031E-16</v>
      </c>
      <c r="AV163" s="65">
        <v>2.22044604925031E-16</v>
      </c>
      <c r="AY163" s="65">
        <v>22.7811</v>
      </c>
    </row>
    <row r="164">
      <c r="A164" s="119" t="s">
        <v>54</v>
      </c>
      <c r="B164" s="119" t="s">
        <v>55</v>
      </c>
      <c r="C164" s="119" t="s">
        <v>414</v>
      </c>
      <c r="D164" s="120">
        <f t="shared" si="1"/>
        <v>1.418133333</v>
      </c>
      <c r="E164" s="121"/>
      <c r="F164" s="122">
        <f>HYPERLINK("https://docs.google.com/spreadsheets/d/1TJDMZ87w3lncJRMPj2H0dc6JEPOLV7fG", 0)</f>
        <v>0</v>
      </c>
      <c r="G164" s="122">
        <f>HYPERLINK("https://docs.google.com/spreadsheets/d/15-9sA0pjvCE3e6d2aSX4x0xEMJ0TDlgj", 0)</f>
        <v>0</v>
      </c>
      <c r="H164" s="122">
        <f>HYPERLINK("https://docs.google.com/spreadsheets/d/1av9Q74OiZHEGzOl9-z6LnWnHmAuYCgQL", 0)</f>
        <v>0</v>
      </c>
      <c r="I164" s="122">
        <f>HYPERLINK("https://docs.google.com/spreadsheets/d/1Xo53WHlggmTeqn9eHTbIA1DhwLtR9C_M", 0)</f>
        <v>0</v>
      </c>
      <c r="J164" s="122">
        <f>HYPERLINK("https://docs.google.com/spreadsheets/d/1os-PkWoX5fVngAQR7zHOOwuesCL-n8MS", 0)</f>
        <v>0</v>
      </c>
      <c r="K164" s="127">
        <f>HYPERLINK("https://docs.google.com/spreadsheets/d/1vUfmYgfxE51JUQVqFz-FBmNX0vs1OeWy", 0)</f>
        <v>0</v>
      </c>
      <c r="L164" s="121"/>
      <c r="M164" s="121"/>
      <c r="N164" s="121"/>
      <c r="O164" s="121"/>
      <c r="P164" s="124">
        <f>HYPERLINK("https://docs.google.com/spreadsheets/d/1_35-MyU1L8Lc4g3Ui0RXbC1RHMdLJRSQ", 0)</f>
        <v>0</v>
      </c>
      <c r="Q164" s="120"/>
      <c r="R164" s="119"/>
      <c r="S164" s="120"/>
      <c r="T164" s="125">
        <f>HYPERLINK("https://docs.google.com/spreadsheets/d/1FBHyrDlQPYhgKX3AU3sLGPNYBwDTEwrQ", 0)</f>
        <v>0</v>
      </c>
      <c r="U164" s="124">
        <f>HYPERLINK("https://docs.google.com/spreadsheets/d/1frpug1ytSUFOMyNF1MVHnc-hQQiDMWgJ", 0)</f>
        <v>0</v>
      </c>
      <c r="V164" s="124">
        <f>HYPERLINK("https://docs.google.com/spreadsheets/d/1gFRes1j-5X4fy6Kd0mLOSuJCKMJkF1Ws", 0)</f>
        <v>0</v>
      </c>
      <c r="W164" s="124">
        <f>HYPERLINK("https://docs.google.com/spreadsheets/d/1S6fgqRsTQYzC9ka_-vx3af7CVG-tc0w5", 0)</f>
        <v>0</v>
      </c>
      <c r="X164" s="119"/>
      <c r="Y164" s="119"/>
      <c r="Z164" s="124">
        <f>HYPERLINK("https://docs.google.com/spreadsheets/d/1WelijSQ5aaMwKibqSKHaxRilTWZgZIRA", 0)</f>
        <v>0</v>
      </c>
      <c r="AA164" s="124">
        <f>HYPERLINK("https://docs.google.com/spreadsheets/d/1Xpf63qvPeJBwpaEU5_jIkeLYEjpPnUuM", 0)</f>
        <v>0</v>
      </c>
      <c r="AB164" s="124">
        <f>HYPERLINK("https://docs.google.com/spreadsheets/d/1AcNQErkWUkbuPkVs23eJPYspQpvIIHyC", 0)</f>
        <v>0</v>
      </c>
      <c r="AC164" s="124">
        <f>HYPERLINK("https://docs.google.com/spreadsheets/d/19Rb2c6Z1TcaKx-1kOTvrFdyR_7uzjsZz", 0)</f>
        <v>0</v>
      </c>
      <c r="AD164" s="124">
        <f>HYPERLINK("https://docs.google.com/spreadsheets/d/15STlC2rCVP1kb0fM5ZlhDT49nGDQEPmQ", 0)</f>
        <v>0</v>
      </c>
      <c r="AE164" s="119"/>
      <c r="AF164" s="119"/>
      <c r="AG164" s="119"/>
      <c r="AH164" s="119"/>
      <c r="AI164" s="124">
        <f>HYPERLINK("https://docs.google.com/spreadsheets/d/1p7vRRbnUPeRXph-h1kAtIrAbX3YDvwEV", 0)</f>
        <v>0</v>
      </c>
      <c r="AJ164" s="124">
        <f>HYPERLINK("https://docs.google.com/spreadsheets/d/1h_bnxOYhaXa8QYe8jruc5a6qm3vNZJEI", 0)</f>
        <v>0</v>
      </c>
      <c r="AK164" s="124">
        <f>HYPERLINK("https://docs.google.com/spreadsheets/d/1n0jmPGog1evWzMiVSJzX5TFefzX-MlXD", 0)</f>
        <v>0</v>
      </c>
      <c r="AL164" s="124">
        <f>HYPERLINK("https://docs.google.com/spreadsheets/d/1UdmV536M56hrIuoUbvHvetnka2ugPKFL", 0)</f>
        <v>0</v>
      </c>
      <c r="AM164" s="124">
        <f>HYPERLINK("https://docs.google.com/spreadsheets/d/1QrnFMrUBf47eNsOuBomoB9L0vW7c0sy8", 0)</f>
        <v>0</v>
      </c>
      <c r="AN164" s="120"/>
      <c r="AO164" s="120"/>
      <c r="AP164" s="124">
        <f>HYPERLINK("https://docs.google.com/spreadsheets/d/15lUERMeD9ttOSe3Ot6ckPUEEOYeiYAuX", 0)</f>
        <v>0</v>
      </c>
      <c r="AQ164" s="125">
        <f>HYPERLINK("https://docs.google.com/spreadsheets/d/1cfnwmqP42-7xexMEFfd8r91WYQnEKEg7", 0)</f>
        <v>0</v>
      </c>
      <c r="AR164" s="125">
        <f>HYPERLINK("https://docs.google.com/spreadsheets/d/12zLalbaW26Mklqnzo_3ohnp066Ds2vB8", 0)</f>
        <v>0</v>
      </c>
      <c r="AS164" s="120"/>
      <c r="AT164" s="120"/>
      <c r="AU164" s="124">
        <f>HYPERLINK("https://docs.google.com/spreadsheets/d/12149BZaLEls8spKDt6QbIK9YtxrciNFB", 1.41813333333333)</f>
        <v>1.418133333</v>
      </c>
      <c r="AV164" s="124">
        <f>HYPERLINK("https://docs.google.com/spreadsheets/d/1Y4XHdrSzSET5ZpA7VPwev2G6QQC0EaKY", 0)</f>
        <v>0</v>
      </c>
      <c r="AW164" s="120"/>
      <c r="AX164" s="120"/>
      <c r="AY164" s="124">
        <f>HYPERLINK("https://docs.google.com/spreadsheets/d/1hYtKQAKnso1Cno2d0MwcMiJ0DLpPdGrC", 0)</f>
        <v>0</v>
      </c>
      <c r="AZ164" s="120"/>
      <c r="BA164" s="120"/>
      <c r="BB164" s="120"/>
      <c r="BC164" s="120"/>
      <c r="BD164" s="120"/>
      <c r="BE164" s="120"/>
      <c r="BF164" s="120"/>
      <c r="BG164" s="120"/>
      <c r="BH164" s="120"/>
      <c r="BI164" s="120"/>
      <c r="BJ164" s="120"/>
      <c r="BK164" s="120"/>
      <c r="BL164" s="120"/>
      <c r="BM164" s="120"/>
      <c r="BN164" s="120"/>
      <c r="BO164" s="120"/>
      <c r="BP164" s="120"/>
      <c r="BQ164" s="120"/>
      <c r="BR164" s="120"/>
      <c r="BS164" s="120"/>
      <c r="BT164" s="120"/>
      <c r="BU164" s="120"/>
      <c r="BV164" s="120"/>
      <c r="BW164" s="120"/>
      <c r="BX164" s="120"/>
      <c r="BY164" s="120"/>
      <c r="BZ164" s="120"/>
      <c r="CA164" s="120"/>
      <c r="CB164" s="120"/>
      <c r="CC164" s="120"/>
      <c r="CD164" s="120"/>
      <c r="CE164" s="120"/>
      <c r="CF164" s="120"/>
      <c r="CG164" s="120"/>
      <c r="CH164" s="120"/>
      <c r="CI164" s="120"/>
      <c r="CJ164" s="120"/>
      <c r="CK164" s="120"/>
      <c r="CL164" s="120"/>
      <c r="CM164" s="120"/>
      <c r="CN164" s="120"/>
      <c r="CO164" s="120"/>
      <c r="CP164" s="120"/>
      <c r="CQ164" s="120"/>
      <c r="CR164" s="120"/>
      <c r="CS164" s="120"/>
      <c r="CT164" s="120"/>
      <c r="CU164" s="120"/>
      <c r="CV164" s="120"/>
      <c r="CW164" s="120"/>
      <c r="CX164" s="120"/>
      <c r="CY164" s="120"/>
      <c r="CZ164" s="120"/>
      <c r="DA164" s="120"/>
      <c r="DB164" s="120"/>
      <c r="DC164" s="120"/>
      <c r="DD164" s="120"/>
      <c r="DE164" s="120"/>
      <c r="DF164" s="120"/>
      <c r="DG164" s="120"/>
      <c r="DH164" s="120"/>
      <c r="DI164" s="120"/>
      <c r="DJ164" s="120"/>
      <c r="DK164" s="120"/>
      <c r="DL164" s="120"/>
      <c r="DM164" s="120"/>
      <c r="DN164" s="120"/>
      <c r="DO164" s="120"/>
      <c r="DP164" s="120"/>
      <c r="DQ164" s="120"/>
      <c r="DR164" s="120"/>
      <c r="DS164" s="120"/>
      <c r="DT164" s="120"/>
      <c r="DU164" s="120"/>
      <c r="DV164" s="120"/>
      <c r="DW164" s="120"/>
      <c r="DX164" s="120"/>
      <c r="DY164" s="120"/>
      <c r="DZ164" s="120"/>
      <c r="EA164" s="120"/>
      <c r="EB164" s="120"/>
      <c r="EC164" s="120"/>
      <c r="ED164" s="120"/>
      <c r="EE164" s="120"/>
      <c r="EF164" s="120"/>
      <c r="EG164" s="120"/>
      <c r="EH164" s="120"/>
      <c r="EI164" s="120"/>
      <c r="EJ164" s="120"/>
      <c r="EK164" s="120"/>
      <c r="EL164" s="120"/>
      <c r="EM164" s="120"/>
      <c r="EN164" s="120"/>
      <c r="EO164" s="120"/>
      <c r="EP164" s="120"/>
      <c r="EQ164" s="120"/>
      <c r="ER164" s="120"/>
      <c r="ES164" s="120"/>
      <c r="ET164" s="120"/>
      <c r="EU164" s="120"/>
      <c r="EV164" s="120"/>
      <c r="EW164" s="120"/>
      <c r="EX164" s="120"/>
      <c r="EY164" s="120"/>
    </row>
    <row r="165">
      <c r="A165" s="112" t="s">
        <v>54</v>
      </c>
      <c r="B165" s="112" t="s">
        <v>56</v>
      </c>
      <c r="C165" s="112" t="s">
        <v>409</v>
      </c>
      <c r="D165" s="113">
        <f t="shared" si="1"/>
        <v>589.3192167</v>
      </c>
      <c r="E165" s="114">
        <v>240.618933333333</v>
      </c>
      <c r="F165" s="114"/>
      <c r="G165" s="114"/>
      <c r="H165" s="114"/>
      <c r="I165" s="114"/>
      <c r="J165" s="114"/>
      <c r="K165" s="114"/>
      <c r="L165" s="114">
        <v>3.68548333333333</v>
      </c>
      <c r="M165" s="114"/>
      <c r="N165" s="114"/>
      <c r="O165" s="114">
        <v>15.882</v>
      </c>
      <c r="P165" s="112"/>
      <c r="Q165" s="112"/>
      <c r="R165" s="112">
        <v>20.9674666666667</v>
      </c>
      <c r="S165" s="112"/>
      <c r="T165" s="112"/>
      <c r="U165" s="112"/>
      <c r="V165" s="112"/>
      <c r="W165" s="112"/>
      <c r="X165" s="112">
        <v>0.336866666666667</v>
      </c>
      <c r="Y165" s="112">
        <v>108.601466666667</v>
      </c>
      <c r="Z165" s="112"/>
      <c r="AA165" s="113"/>
      <c r="AB165" s="112"/>
      <c r="AC165" s="112"/>
      <c r="AD165" s="112"/>
      <c r="AE165" s="112">
        <v>1.98586666666667</v>
      </c>
      <c r="AF165" s="112"/>
      <c r="AG165" s="112"/>
      <c r="AH165" s="112">
        <v>123.117433333333</v>
      </c>
      <c r="AI165" s="112"/>
      <c r="AJ165" s="112"/>
      <c r="AK165" s="112"/>
      <c r="AL165" s="113"/>
      <c r="AM165" s="112"/>
      <c r="AN165" s="112">
        <v>3.9221</v>
      </c>
      <c r="AO165" s="112">
        <v>22.00335</v>
      </c>
      <c r="AP165" s="112"/>
      <c r="AQ165" s="113"/>
      <c r="AR165" s="112"/>
      <c r="AS165" s="112">
        <v>5.1488</v>
      </c>
      <c r="AT165" s="112">
        <v>7.46681666666667</v>
      </c>
      <c r="AU165" s="112"/>
      <c r="AV165" s="112"/>
      <c r="AW165" s="112">
        <v>0.402983333333333</v>
      </c>
      <c r="AX165" s="112">
        <v>34.0264833333333</v>
      </c>
      <c r="AY165" s="113"/>
      <c r="AZ165" s="112">
        <v>0.88215</v>
      </c>
      <c r="BA165" s="112">
        <v>0.271016666666667</v>
      </c>
      <c r="BB165" s="113"/>
      <c r="BC165" s="113"/>
      <c r="BD165" s="113"/>
      <c r="BE165" s="113"/>
      <c r="BF165" s="113"/>
      <c r="BG165" s="113"/>
      <c r="BH165" s="113"/>
      <c r="BI165" s="113"/>
      <c r="BJ165" s="113"/>
      <c r="BK165" s="113"/>
      <c r="BL165" s="113"/>
      <c r="BM165" s="113"/>
      <c r="BN165" s="113"/>
      <c r="BO165" s="113"/>
      <c r="BP165" s="113"/>
      <c r="BQ165" s="113"/>
      <c r="BR165" s="113"/>
      <c r="BS165" s="113"/>
      <c r="BT165" s="113"/>
      <c r="BU165" s="113"/>
      <c r="BV165" s="113"/>
      <c r="BW165" s="113"/>
      <c r="BX165" s="113"/>
      <c r="BY165" s="113"/>
      <c r="BZ165" s="113"/>
      <c r="CA165" s="113"/>
      <c r="CB165" s="113"/>
      <c r="CC165" s="113"/>
      <c r="CD165" s="113"/>
      <c r="CE165" s="113"/>
      <c r="CF165" s="113"/>
      <c r="CG165" s="113"/>
      <c r="CH165" s="113"/>
      <c r="CI165" s="113"/>
      <c r="CJ165" s="113"/>
      <c r="CK165" s="113"/>
      <c r="CL165" s="113"/>
      <c r="CM165" s="113"/>
      <c r="CN165" s="113"/>
      <c r="CO165" s="113"/>
      <c r="CP165" s="113"/>
      <c r="CQ165" s="113"/>
      <c r="CR165" s="113"/>
      <c r="CS165" s="113"/>
      <c r="CT165" s="113"/>
      <c r="CU165" s="113"/>
      <c r="CV165" s="113"/>
      <c r="CW165" s="113"/>
      <c r="CX165" s="113"/>
      <c r="CY165" s="113"/>
      <c r="CZ165" s="113"/>
      <c r="DA165" s="113"/>
      <c r="DB165" s="113"/>
      <c r="DC165" s="113"/>
      <c r="DD165" s="113"/>
      <c r="DE165" s="113"/>
      <c r="DF165" s="113"/>
      <c r="DG165" s="113"/>
      <c r="DH165" s="113"/>
      <c r="DI165" s="113"/>
      <c r="DJ165" s="113"/>
      <c r="DK165" s="113"/>
      <c r="DL165" s="113"/>
      <c r="DM165" s="113"/>
      <c r="DN165" s="113"/>
      <c r="DO165" s="113"/>
      <c r="DP165" s="113"/>
      <c r="DQ165" s="113"/>
      <c r="DR165" s="113"/>
      <c r="DS165" s="113"/>
      <c r="DT165" s="113"/>
      <c r="DU165" s="113"/>
      <c r="DV165" s="113"/>
      <c r="DW165" s="113"/>
      <c r="DX165" s="113"/>
      <c r="DY165" s="113"/>
      <c r="DZ165" s="113"/>
      <c r="EA165" s="113"/>
      <c r="EB165" s="113"/>
      <c r="EC165" s="113"/>
      <c r="ED165" s="113"/>
      <c r="EE165" s="113"/>
      <c r="EF165" s="113"/>
      <c r="EG165" s="113"/>
      <c r="EH165" s="113"/>
      <c r="EI165" s="113"/>
      <c r="EJ165" s="113"/>
      <c r="EK165" s="113"/>
      <c r="EL165" s="113"/>
      <c r="EM165" s="113"/>
      <c r="EN165" s="113"/>
      <c r="EO165" s="113"/>
      <c r="EP165" s="113"/>
      <c r="EQ165" s="113"/>
      <c r="ER165" s="113"/>
      <c r="ES165" s="113"/>
      <c r="ET165" s="113"/>
      <c r="EU165" s="113"/>
      <c r="EV165" s="113"/>
      <c r="EW165" s="113"/>
      <c r="EX165" s="113"/>
      <c r="EY165" s="113"/>
    </row>
    <row r="166">
      <c r="A166" s="65" t="s">
        <v>54</v>
      </c>
      <c r="B166" s="65" t="s">
        <v>56</v>
      </c>
      <c r="C166" s="65" t="s">
        <v>410</v>
      </c>
      <c r="D166" s="64">
        <f t="shared" si="1"/>
        <v>461.1455667</v>
      </c>
      <c r="E166" s="115"/>
      <c r="F166" s="104">
        <v>0.417</v>
      </c>
      <c r="G166" s="104">
        <v>19.9325166666667</v>
      </c>
      <c r="H166" s="104">
        <v>32.3381666666667</v>
      </c>
      <c r="I166" s="104">
        <v>3.94825</v>
      </c>
      <c r="J166" s="104">
        <v>0.382666666666667</v>
      </c>
      <c r="K166" s="104">
        <v>82.8791666666666</v>
      </c>
      <c r="L166" s="104"/>
      <c r="M166" s="104">
        <v>0.417</v>
      </c>
      <c r="N166" s="104">
        <v>19.9325166666667</v>
      </c>
      <c r="O166" s="104"/>
      <c r="P166" s="65">
        <v>6.78443333333333</v>
      </c>
      <c r="Q166" s="65"/>
      <c r="R166" s="65"/>
      <c r="S166" s="65"/>
      <c r="T166" s="65">
        <v>9.04841666666667</v>
      </c>
      <c r="U166" s="65">
        <v>4.03373333333333</v>
      </c>
      <c r="V166" s="65">
        <v>0.7149</v>
      </c>
      <c r="W166" s="65">
        <v>3.72626666666667</v>
      </c>
      <c r="X166" s="65"/>
      <c r="Y166" s="65"/>
      <c r="Z166" s="65">
        <v>0.61585</v>
      </c>
      <c r="AA166" s="65">
        <v>15.0485166666667</v>
      </c>
      <c r="AB166" s="65">
        <v>38.9349166666667</v>
      </c>
      <c r="AC166" s="65">
        <v>7.00296666666667</v>
      </c>
      <c r="AD166" s="65">
        <v>34.0954833333333</v>
      </c>
      <c r="AE166" s="65"/>
      <c r="AF166" s="65">
        <v>0.61585</v>
      </c>
      <c r="AG166" s="65">
        <v>15.0485166666667</v>
      </c>
      <c r="AH166" s="65"/>
      <c r="AI166" s="65">
        <v>1.80975</v>
      </c>
      <c r="AJ166" s="65">
        <v>31.1165333333333</v>
      </c>
      <c r="AK166" s="65">
        <v>41.2020166666667</v>
      </c>
      <c r="AL166" s="65">
        <v>2.95325</v>
      </c>
      <c r="AM166" s="65">
        <v>40.1631166666666</v>
      </c>
      <c r="AN166" s="65"/>
      <c r="AP166" s="65">
        <v>6.6154</v>
      </c>
      <c r="AQ166" s="65">
        <v>2.08476666666667</v>
      </c>
      <c r="AR166" s="65">
        <v>3.44588333333333</v>
      </c>
      <c r="AT166" s="65"/>
      <c r="AU166" s="65">
        <v>5.40586666666667</v>
      </c>
      <c r="AV166" s="65">
        <v>1.20761666666667</v>
      </c>
      <c r="AY166" s="65">
        <v>29.2242333333333</v>
      </c>
    </row>
    <row r="167">
      <c r="A167" s="65" t="s">
        <v>54</v>
      </c>
      <c r="B167" s="65" t="s">
        <v>56</v>
      </c>
      <c r="C167" s="65" t="s">
        <v>411</v>
      </c>
      <c r="D167" s="64">
        <f t="shared" si="1"/>
        <v>0</v>
      </c>
      <c r="E167" s="115"/>
      <c r="F167" s="115"/>
      <c r="G167" s="115"/>
      <c r="H167" s="115"/>
      <c r="I167" s="115"/>
      <c r="J167" s="115"/>
      <c r="K167" s="115"/>
      <c r="L167" s="115"/>
      <c r="M167" s="115"/>
      <c r="N167" s="115"/>
      <c r="O167" s="115"/>
    </row>
    <row r="168">
      <c r="A168" s="65" t="s">
        <v>54</v>
      </c>
      <c r="B168" s="65" t="s">
        <v>56</v>
      </c>
      <c r="C168" s="65" t="s">
        <v>412</v>
      </c>
      <c r="D168" s="64">
        <f t="shared" si="1"/>
        <v>420.54535</v>
      </c>
      <c r="E168" s="115"/>
      <c r="F168" s="116">
        <f>HYPERLINK("https://docs.google.com/spreadsheets/d/1dECxo2TLCplIr4DeCJ0E_Zpzjy7LFtTH", 0.417)</f>
        <v>0.417</v>
      </c>
      <c r="G168" s="116">
        <f>HYPERLINK("https://docs.google.com/spreadsheets/d/1hFTGzuUKHsKXwPRKn16_OxPZSzO5w9Mj", 19.9325166666667)</f>
        <v>19.93251667</v>
      </c>
      <c r="H168" s="116">
        <f>HYPERLINK("https://docs.google.com/spreadsheets/d/162GO8tgoNxf9rMIJHWffKhwv-ymnTEDc", 32.33815)</f>
        <v>32.33815</v>
      </c>
      <c r="I168" s="117">
        <f>HYPERLINK("https://docs.google.com/spreadsheets/d/1-8o36uHPm2xfn5MnjkmsE6-iO70hDt60", 3.94825)</f>
        <v>3.94825</v>
      </c>
      <c r="J168" s="116">
        <f>HYPERLINK("https://docs.google.com/spreadsheets/d/1P3ZUrtJv9rUDaKlg6drrCQeNE8AmzgMA", 0.382666666666667)</f>
        <v>0.3826666667</v>
      </c>
      <c r="K168" s="116">
        <f>HYPERLINK("https://docs.google.com/spreadsheets/d/15XxiXhSljbDMfwbss6qm0P0LdAYpjKbQ", 81.7293666666667)</f>
        <v>81.72936667</v>
      </c>
      <c r="L168" s="115"/>
      <c r="M168" s="104"/>
      <c r="N168" s="115"/>
      <c r="O168" s="115"/>
      <c r="P168" s="118">
        <f>HYPERLINK("https://docs.google.com/spreadsheets/d/1AuJ15CRcNgQZBOx_8cAVqSeNNV9rO2lR", 6.78443333333333)</f>
        <v>6.784433333</v>
      </c>
      <c r="T168" s="118">
        <f>HYPERLINK("https://docs.google.com/spreadsheets/d/10CtCZi6O4eDIzTsGkRU_nwLTp1jbjIxI", 8.04373333333334)</f>
        <v>8.043733333</v>
      </c>
      <c r="U168" s="118">
        <f>HYPERLINK("https://docs.google.com/spreadsheets/d/1QaUOzvYvMpuTMEz7DCVwfU9kAVjPDmit", 2.87593333333333)</f>
        <v>2.875933333</v>
      </c>
      <c r="V168" s="118">
        <f>HYPERLINK("https://docs.google.com/spreadsheets/d/1cemPzGLv_jaYRvTMzdboiTmU_IjMmjTm", 0.617316666666667)</f>
        <v>0.6173166667</v>
      </c>
      <c r="W168" s="118">
        <f>HYPERLINK("https://docs.google.com/spreadsheets/d/1i4yzyEmLOB7CwEbQxDUbMYHYK6anJMcc", 3.72626666666667)</f>
        <v>3.726266667</v>
      </c>
      <c r="Z168" s="118">
        <f>HYPERLINK("https://docs.google.com/spreadsheets/d/1kBVWD4T-WftNE4Nqp_DdKj3DpTGZT_bQ", 0.61585)</f>
        <v>0.61585</v>
      </c>
      <c r="AA168" s="118">
        <f>HYPERLINK("https://docs.google.com/spreadsheets/d/1DiZ0e8mylaG1KsCctmV00fXX_zfzQ4zG", 15.0485)</f>
        <v>15.0485</v>
      </c>
      <c r="AB168" s="118">
        <f>HYPERLINK("https://docs.google.com/spreadsheets/d/1zbQWSuZjxpwvL-Yh8sVk60GSMnXgglC4", 38.9348833333333)</f>
        <v>38.93488333</v>
      </c>
      <c r="AC168" s="118">
        <f>HYPERLINK("https://docs.google.com/spreadsheets/d/1FXJIy4i0ZDvEeXo7vmtiq-sNHNKUB_FI", 6.6952)</f>
        <v>6.6952</v>
      </c>
      <c r="AD168" s="118">
        <f>HYPERLINK("https://docs.google.com/spreadsheets/d/1BA0TIDR8-320ZuzClJ3EmqV97-41MEX1", 34.0639666666667)</f>
        <v>34.06396667</v>
      </c>
      <c r="AI168" s="118">
        <f>HYPERLINK("https://docs.google.com/spreadsheets/d/1JFBOcwWoe7sWkVg3ajFKokwfS5cztH3v", 1.80976666666667)</f>
        <v>1.809766667</v>
      </c>
      <c r="AJ168" s="118">
        <f>HYPERLINK("https://docs.google.com/spreadsheets/d/1wLpo1sLr7CPEPx8d1NQhFpeQtk9oTaX-", 31.11655)</f>
        <v>31.11655</v>
      </c>
      <c r="AK168" s="118">
        <f>HYPERLINK("https://docs.google.com/spreadsheets/d/1IJKGfmAXI0zJwROikQdCjD9An5xHJQ0G", 41.2019666666667)</f>
        <v>41.20196667</v>
      </c>
      <c r="AL168" s="118">
        <f>HYPERLINK("https://docs.google.com/spreadsheets/d/1CBcZXZfRTJUdQWmeZ5DpK1XPz_pnUbWH", 2.95325)</f>
        <v>2.95325</v>
      </c>
      <c r="AM168" s="118">
        <f>HYPERLINK("https://docs.google.com/spreadsheets/d/1nvGI5rJul1paLSV8ecMu-nVHD33d4mh-", 39.9627333333333)</f>
        <v>39.96273333</v>
      </c>
      <c r="AP168" s="118">
        <f>HYPERLINK("https://docs.google.com/spreadsheets/d/1t8o-hnt5sJzaGpoUhJOjBSDN8tQDkThC", 6.6154)</f>
        <v>6.6154</v>
      </c>
      <c r="AQ168" s="118">
        <f>HYPERLINK("https://docs.google.com/spreadsheets/d/1PilUmKeF6BBeUuesFB8hNG3lZ8O8RANd", 2.08475)</f>
        <v>2.08475</v>
      </c>
      <c r="AR168" s="118">
        <f>HYPERLINK("https://docs.google.com/spreadsheets/d/1ej1UKufO4eDvboFqD39GQFk29UYe4-q-", 3.44588333333333)</f>
        <v>3.445883333</v>
      </c>
      <c r="AU168" s="118">
        <f>HYPERLINK("https://docs.google.com/spreadsheets/d/1wXPbpPLo65sUc_O1XVb8yAVCvSUXGxf-", 5.40588333333333)</f>
        <v>5.405883333</v>
      </c>
      <c r="AV168" s="118">
        <f>HYPERLINK("https://docs.google.com/spreadsheets/d/1bbUa7_HdWan75fIzwbs9THT6Np7hl2f1", 1.20761666666667)</f>
        <v>1.207616667</v>
      </c>
      <c r="AY168" s="118">
        <f>HYPERLINK("https://docs.google.com/spreadsheets/d/1aKgM8cFHs_rqrd9-eb2sZU-gm7i0LKNM", 28.5875166666667)</f>
        <v>28.58751667</v>
      </c>
    </row>
    <row r="169">
      <c r="A169" s="65" t="s">
        <v>54</v>
      </c>
      <c r="B169" s="65" t="s">
        <v>56</v>
      </c>
      <c r="C169" s="65" t="s">
        <v>413</v>
      </c>
      <c r="D169" s="64">
        <f t="shared" si="1"/>
        <v>230.6994167</v>
      </c>
      <c r="E169" s="115"/>
      <c r="F169" s="104">
        <v>5.55111512312578E-17</v>
      </c>
      <c r="G169" s="104">
        <v>0.254749999999998</v>
      </c>
      <c r="H169" s="104">
        <v>0.623433333333349</v>
      </c>
      <c r="I169" s="104">
        <v>0.115416666666667</v>
      </c>
      <c r="J169" s="104">
        <v>0.0</v>
      </c>
      <c r="K169" s="104">
        <v>60.1034333333333</v>
      </c>
      <c r="L169" s="104"/>
      <c r="M169" s="104"/>
      <c r="N169" s="104"/>
      <c r="O169" s="104"/>
      <c r="P169" s="65">
        <v>2.63225</v>
      </c>
      <c r="Q169" s="65"/>
      <c r="R169" s="65"/>
      <c r="S169" s="65"/>
      <c r="T169" s="65">
        <v>8.04373333333334</v>
      </c>
      <c r="U169" s="65">
        <v>0.212516666666667</v>
      </c>
      <c r="V169" s="65">
        <v>0.15015</v>
      </c>
      <c r="W169" s="65">
        <v>2.83865</v>
      </c>
      <c r="X169" s="65"/>
      <c r="Y169" s="65"/>
      <c r="Z169" s="65">
        <v>0.2463</v>
      </c>
      <c r="AA169" s="65">
        <v>9.48088333333333</v>
      </c>
      <c r="AB169" s="65">
        <v>11.6093</v>
      </c>
      <c r="AC169" s="65">
        <v>0.506116666666668</v>
      </c>
      <c r="AD169" s="65">
        <v>10.112</v>
      </c>
      <c r="AE169" s="65"/>
      <c r="AF169" s="65"/>
      <c r="AG169" s="65"/>
      <c r="AH169" s="65"/>
      <c r="AI169" s="65">
        <v>1.80976666666667</v>
      </c>
      <c r="AJ169" s="65">
        <v>31.11655</v>
      </c>
      <c r="AK169" s="65">
        <v>13.9587333333333</v>
      </c>
      <c r="AL169" s="65">
        <v>0.2836</v>
      </c>
      <c r="AM169" s="65">
        <v>39.0823666666666</v>
      </c>
      <c r="AN169" s="65"/>
      <c r="AP169" s="65">
        <v>6.6154</v>
      </c>
      <c r="AQ169" s="65">
        <v>0.332100000000001</v>
      </c>
      <c r="AR169" s="65">
        <v>2.95763333333333</v>
      </c>
      <c r="AT169" s="65"/>
      <c r="AU169" s="65">
        <v>2.67543333333333</v>
      </c>
      <c r="AV169" s="65">
        <v>0.4683</v>
      </c>
      <c r="AY169" s="65">
        <v>24.4706</v>
      </c>
    </row>
    <row r="170">
      <c r="A170" s="119" t="s">
        <v>54</v>
      </c>
      <c r="B170" s="119" t="s">
        <v>56</v>
      </c>
      <c r="C170" s="119" t="s">
        <v>414</v>
      </c>
      <c r="D170" s="120">
        <f t="shared" si="1"/>
        <v>5.405883333</v>
      </c>
      <c r="E170" s="121"/>
      <c r="F170" s="122">
        <f>HYPERLINK("https://docs.google.com/spreadsheets/d/1dECxo2TLCplIr4DeCJ0E_Zpzjy7LFtTH", 0)</f>
        <v>0</v>
      </c>
      <c r="G170" s="122">
        <f>HYPERLINK("https://docs.google.com/spreadsheets/d/1hFTGzuUKHsKXwPRKn16_OxPZSzO5w9Mj", 0)</f>
        <v>0</v>
      </c>
      <c r="H170" s="122">
        <f>HYPERLINK("https://docs.google.com/spreadsheets/d/162GO8tgoNxf9rMIJHWffKhwv-ymnTEDc", 0)</f>
        <v>0</v>
      </c>
      <c r="I170" s="122">
        <f>HYPERLINK("https://docs.google.com/spreadsheets/d/1-8o36uHPm2xfn5MnjkmsE6-iO70hDt60", 0)</f>
        <v>0</v>
      </c>
      <c r="J170" s="122">
        <f>HYPERLINK("https://docs.google.com/spreadsheets/d/1P3ZUrtJv9rUDaKlg6drrCQeNE8AmzgMA", 0)</f>
        <v>0</v>
      </c>
      <c r="K170" s="122">
        <f>HYPERLINK("https://docs.google.com/spreadsheets/d/15XxiXhSljbDMfwbss6qm0P0LdAYpjKbQ", 0)</f>
        <v>0</v>
      </c>
      <c r="L170" s="121"/>
      <c r="M170" s="121"/>
      <c r="N170" s="123"/>
      <c r="O170" s="121"/>
      <c r="P170" s="124">
        <f>HYPERLINK("https://docs.google.com/spreadsheets/d/1AuJ15CRcNgQZBOx_8cAVqSeNNV9rO2lR", 0)</f>
        <v>0</v>
      </c>
      <c r="Q170" s="120"/>
      <c r="R170" s="119"/>
      <c r="S170" s="120"/>
      <c r="T170" s="125">
        <f>HYPERLINK("https://docs.google.com/spreadsheets/d/10CtCZi6O4eDIzTsGkRU_nwLTp1jbjIxI", 0)</f>
        <v>0</v>
      </c>
      <c r="U170" s="125">
        <f>HYPERLINK("https://docs.google.com/spreadsheets/d/1QaUOzvYvMpuTMEz7DCVwfU9kAVjPDmit", 0)</f>
        <v>0</v>
      </c>
      <c r="V170" s="124">
        <f>HYPERLINK("https://docs.google.com/spreadsheets/d/1cemPzGLv_jaYRvTMzdboiTmU_IjMmjTm", 0)</f>
        <v>0</v>
      </c>
      <c r="W170" s="124">
        <f>HYPERLINK("https://docs.google.com/spreadsheets/d/1i4yzyEmLOB7CwEbQxDUbMYHYK6anJMcc", 0)</f>
        <v>0</v>
      </c>
      <c r="X170" s="119"/>
      <c r="Y170" s="119"/>
      <c r="Z170" s="124">
        <f>HYPERLINK("https://docs.google.com/spreadsheets/d/1kBVWD4T-WftNE4Nqp_DdKj3DpTGZT_bQ", 0)</f>
        <v>0</v>
      </c>
      <c r="AA170" s="124">
        <f>HYPERLINK("https://docs.google.com/spreadsheets/d/1DiZ0e8mylaG1KsCctmV00fXX_zfzQ4zG", 0)</f>
        <v>0</v>
      </c>
      <c r="AB170" s="124">
        <f>HYPERLINK("https://docs.google.com/spreadsheets/d/1zbQWSuZjxpwvL-Yh8sVk60GSMnXgglC4", 0)</f>
        <v>0</v>
      </c>
      <c r="AC170" s="124">
        <f>HYPERLINK("https://docs.google.com/spreadsheets/d/1FXJIy4i0ZDvEeXo7vmtiq-sNHNKUB_FI", 0)</f>
        <v>0</v>
      </c>
      <c r="AD170" s="124">
        <f>HYPERLINK("https://docs.google.com/spreadsheets/d/1BA0TIDR8-320ZuzClJ3EmqV97-41MEX1", 0)</f>
        <v>0</v>
      </c>
      <c r="AE170" s="119"/>
      <c r="AF170" s="119"/>
      <c r="AG170" s="119"/>
      <c r="AH170" s="119"/>
      <c r="AI170" s="125">
        <f>HYPERLINK("https://docs.google.com/spreadsheets/d/1JFBOcwWoe7sWkVg3ajFKokwfS5cztH3v", 0)</f>
        <v>0</v>
      </c>
      <c r="AJ170" s="124">
        <f>HYPERLINK("https://docs.google.com/spreadsheets/d/1wLpo1sLr7CPEPx8d1NQhFpeQtk9oTaX-", 0)</f>
        <v>0</v>
      </c>
      <c r="AK170" s="124">
        <f>HYPERLINK("https://docs.google.com/spreadsheets/d/1IJKGfmAXI0zJwROikQdCjD9An5xHJQ0G", 0)</f>
        <v>0</v>
      </c>
      <c r="AL170" s="124">
        <f>HYPERLINK("https://docs.google.com/spreadsheets/d/1CBcZXZfRTJUdQWmeZ5DpK1XPz_pnUbWH", 0)</f>
        <v>0</v>
      </c>
      <c r="AM170" s="124">
        <f>HYPERLINK("https://docs.google.com/spreadsheets/d/1nvGI5rJul1paLSV8ecMu-nVHD33d4mh-", 0)</f>
        <v>0</v>
      </c>
      <c r="AN170" s="119"/>
      <c r="AO170" s="120"/>
      <c r="AP170" s="125">
        <f>HYPERLINK("https://docs.google.com/spreadsheets/d/1t8o-hnt5sJzaGpoUhJOjBSDN8tQDkThC", 0)</f>
        <v>0</v>
      </c>
      <c r="AQ170" s="125">
        <f>HYPERLINK("https://docs.google.com/spreadsheets/d/1PilUmKeF6BBeUuesFB8hNG3lZ8O8RANd", 0)</f>
        <v>0</v>
      </c>
      <c r="AR170" s="125">
        <f>HYPERLINK("https://docs.google.com/spreadsheets/d/1ej1UKufO4eDvboFqD39GQFk29UYe4-q-", 0)</f>
        <v>0</v>
      </c>
      <c r="AS170" s="120"/>
      <c r="AT170" s="120"/>
      <c r="AU170" s="125">
        <f>HYPERLINK("https://docs.google.com/spreadsheets/d/1wXPbpPLo65sUc_O1XVb8yAVCvSUXGxf-", 5.40588333333333)</f>
        <v>5.405883333</v>
      </c>
      <c r="AV170" s="124">
        <f>HYPERLINK("https://docs.google.com/spreadsheets/d/1bbUa7_HdWan75fIzwbs9THT6Np7hl2f1", 0)</f>
        <v>0</v>
      </c>
      <c r="AW170" s="120"/>
      <c r="AX170" s="120"/>
      <c r="AY170" s="124">
        <f>HYPERLINK("https://docs.google.com/spreadsheets/d/1aKgM8cFHs_rqrd9-eb2sZU-gm7i0LKNM", 0)</f>
        <v>0</v>
      </c>
      <c r="AZ170" s="120"/>
      <c r="BA170" s="120"/>
      <c r="BB170" s="120"/>
      <c r="BC170" s="120"/>
      <c r="BD170" s="120"/>
      <c r="BE170" s="120"/>
      <c r="BF170" s="120"/>
      <c r="BG170" s="120"/>
      <c r="BH170" s="120"/>
      <c r="BI170" s="120"/>
      <c r="BJ170" s="120"/>
      <c r="BK170" s="120"/>
      <c r="BL170" s="120"/>
      <c r="BM170" s="120"/>
      <c r="BN170" s="120"/>
      <c r="BO170" s="120"/>
      <c r="BP170" s="120"/>
      <c r="BQ170" s="120"/>
      <c r="BR170" s="120"/>
      <c r="BS170" s="120"/>
      <c r="BT170" s="120"/>
      <c r="BU170" s="120"/>
      <c r="BV170" s="120"/>
      <c r="BW170" s="120"/>
      <c r="BX170" s="120"/>
      <c r="BY170" s="120"/>
      <c r="BZ170" s="120"/>
      <c r="CA170" s="120"/>
      <c r="CB170" s="120"/>
      <c r="CC170" s="120"/>
      <c r="CD170" s="120"/>
      <c r="CE170" s="120"/>
      <c r="CF170" s="120"/>
      <c r="CG170" s="120"/>
      <c r="CH170" s="120"/>
      <c r="CI170" s="120"/>
      <c r="CJ170" s="120"/>
      <c r="CK170" s="120"/>
      <c r="CL170" s="120"/>
      <c r="CM170" s="120"/>
      <c r="CN170" s="120"/>
      <c r="CO170" s="120"/>
      <c r="CP170" s="120"/>
      <c r="CQ170" s="120"/>
      <c r="CR170" s="120"/>
      <c r="CS170" s="120"/>
      <c r="CT170" s="120"/>
      <c r="CU170" s="120"/>
      <c r="CV170" s="120"/>
      <c r="CW170" s="120"/>
      <c r="CX170" s="120"/>
      <c r="CY170" s="120"/>
      <c r="CZ170" s="120"/>
      <c r="DA170" s="120"/>
      <c r="DB170" s="120"/>
      <c r="DC170" s="120"/>
      <c r="DD170" s="120"/>
      <c r="DE170" s="120"/>
      <c r="DF170" s="120"/>
      <c r="DG170" s="120"/>
      <c r="DH170" s="120"/>
      <c r="DI170" s="120"/>
      <c r="DJ170" s="120"/>
      <c r="DK170" s="120"/>
      <c r="DL170" s="120"/>
      <c r="DM170" s="120"/>
      <c r="DN170" s="120"/>
      <c r="DO170" s="120"/>
      <c r="DP170" s="120"/>
      <c r="DQ170" s="120"/>
      <c r="DR170" s="120"/>
      <c r="DS170" s="120"/>
      <c r="DT170" s="120"/>
      <c r="DU170" s="120"/>
      <c r="DV170" s="120"/>
      <c r="DW170" s="120"/>
      <c r="DX170" s="120"/>
      <c r="DY170" s="120"/>
      <c r="DZ170" s="120"/>
      <c r="EA170" s="120"/>
      <c r="EB170" s="120"/>
      <c r="EC170" s="120"/>
      <c r="ED170" s="120"/>
      <c r="EE170" s="120"/>
      <c r="EF170" s="120"/>
      <c r="EG170" s="120"/>
      <c r="EH170" s="120"/>
      <c r="EI170" s="120"/>
      <c r="EJ170" s="120"/>
      <c r="EK170" s="120"/>
      <c r="EL170" s="120"/>
      <c r="EM170" s="120"/>
      <c r="EN170" s="120"/>
      <c r="EO170" s="120"/>
      <c r="EP170" s="120"/>
      <c r="EQ170" s="120"/>
      <c r="ER170" s="120"/>
      <c r="ES170" s="120"/>
      <c r="ET170" s="120"/>
      <c r="EU170" s="120"/>
      <c r="EV170" s="120"/>
      <c r="EW170" s="120"/>
      <c r="EX170" s="120"/>
      <c r="EY170" s="120"/>
    </row>
    <row r="171">
      <c r="A171" s="112" t="s">
        <v>54</v>
      </c>
      <c r="B171" s="112" t="s">
        <v>58</v>
      </c>
      <c r="C171" s="112" t="s">
        <v>409</v>
      </c>
      <c r="D171" s="113">
        <f t="shared" si="1"/>
        <v>605.9294167</v>
      </c>
      <c r="E171" s="114">
        <v>102.460883333333</v>
      </c>
      <c r="F171" s="114"/>
      <c r="G171" s="114"/>
      <c r="H171" s="114"/>
      <c r="I171" s="114"/>
      <c r="J171" s="114"/>
      <c r="K171" s="114"/>
      <c r="L171" s="114">
        <v>0.653466666666667</v>
      </c>
      <c r="M171" s="114"/>
      <c r="N171" s="114"/>
      <c r="O171" s="114">
        <v>10.6020666666667</v>
      </c>
      <c r="P171" s="112"/>
      <c r="Q171" s="112"/>
      <c r="R171" s="112">
        <v>132.666283333333</v>
      </c>
      <c r="S171" s="112"/>
      <c r="T171" s="112"/>
      <c r="U171" s="112"/>
      <c r="V171" s="112"/>
      <c r="W171" s="112"/>
      <c r="X171" s="112">
        <v>1.40231666666667</v>
      </c>
      <c r="Y171" s="112">
        <v>118.69475</v>
      </c>
      <c r="Z171" s="112"/>
      <c r="AA171" s="113"/>
      <c r="AB171" s="112"/>
      <c r="AC171" s="112"/>
      <c r="AD171" s="112"/>
      <c r="AE171" s="112">
        <v>2.46791666666667</v>
      </c>
      <c r="AF171" s="112"/>
      <c r="AG171" s="112"/>
      <c r="AH171" s="112">
        <v>61.4817166666667</v>
      </c>
      <c r="AI171" s="112"/>
      <c r="AJ171" s="112"/>
      <c r="AK171" s="112"/>
      <c r="AL171" s="113"/>
      <c r="AM171" s="112"/>
      <c r="AN171" s="112">
        <v>2.67523333333333</v>
      </c>
      <c r="AO171" s="112">
        <v>109.336583333333</v>
      </c>
      <c r="AP171" s="112"/>
      <c r="AQ171" s="113"/>
      <c r="AR171" s="112"/>
      <c r="AS171" s="112">
        <v>8.11783333333333</v>
      </c>
      <c r="AT171" s="112">
        <v>9.02325</v>
      </c>
      <c r="AU171" s="112"/>
      <c r="AV171" s="112"/>
      <c r="AW171" s="112">
        <v>1.71106666666667</v>
      </c>
      <c r="AX171" s="112">
        <v>40.4845666666667</v>
      </c>
      <c r="AY171" s="113"/>
      <c r="AZ171" s="112">
        <v>3.29618333333333</v>
      </c>
      <c r="BA171" s="112">
        <v>0.8553</v>
      </c>
      <c r="BB171" s="113"/>
      <c r="BC171" s="113"/>
      <c r="BD171" s="113"/>
      <c r="BE171" s="113"/>
      <c r="BF171" s="113"/>
      <c r="BG171" s="113"/>
      <c r="BH171" s="113"/>
      <c r="BI171" s="113"/>
      <c r="BJ171" s="113"/>
      <c r="BK171" s="113"/>
      <c r="BL171" s="113"/>
      <c r="BM171" s="113"/>
      <c r="BN171" s="113"/>
      <c r="BO171" s="113"/>
      <c r="BP171" s="113"/>
      <c r="BQ171" s="113"/>
      <c r="BR171" s="113"/>
      <c r="BS171" s="113"/>
      <c r="BT171" s="113"/>
      <c r="BU171" s="113"/>
      <c r="BV171" s="113"/>
      <c r="BW171" s="113"/>
      <c r="BX171" s="113"/>
      <c r="BY171" s="113"/>
      <c r="BZ171" s="113"/>
      <c r="CA171" s="113"/>
      <c r="CB171" s="113"/>
      <c r="CC171" s="113"/>
      <c r="CD171" s="113"/>
      <c r="CE171" s="113"/>
      <c r="CF171" s="113"/>
      <c r="CG171" s="113"/>
      <c r="CH171" s="113"/>
      <c r="CI171" s="113"/>
      <c r="CJ171" s="113"/>
      <c r="CK171" s="113"/>
      <c r="CL171" s="113"/>
      <c r="CM171" s="113"/>
      <c r="CN171" s="113"/>
      <c r="CO171" s="113"/>
      <c r="CP171" s="113"/>
      <c r="CQ171" s="113"/>
      <c r="CR171" s="113"/>
      <c r="CS171" s="113"/>
      <c r="CT171" s="113"/>
      <c r="CU171" s="113"/>
      <c r="CV171" s="113"/>
      <c r="CW171" s="113"/>
      <c r="CX171" s="113"/>
      <c r="CY171" s="113"/>
      <c r="CZ171" s="113"/>
      <c r="DA171" s="113"/>
      <c r="DB171" s="113"/>
      <c r="DC171" s="113"/>
      <c r="DD171" s="113"/>
      <c r="DE171" s="113"/>
      <c r="DF171" s="113"/>
      <c r="DG171" s="113"/>
      <c r="DH171" s="113"/>
      <c r="DI171" s="113"/>
      <c r="DJ171" s="113"/>
      <c r="DK171" s="113"/>
      <c r="DL171" s="113"/>
      <c r="DM171" s="113"/>
      <c r="DN171" s="113"/>
      <c r="DO171" s="113"/>
      <c r="DP171" s="113"/>
      <c r="DQ171" s="113"/>
      <c r="DR171" s="113"/>
      <c r="DS171" s="113"/>
      <c r="DT171" s="113"/>
      <c r="DU171" s="113"/>
      <c r="DV171" s="113"/>
      <c r="DW171" s="113"/>
      <c r="DX171" s="113"/>
      <c r="DY171" s="113"/>
      <c r="DZ171" s="113"/>
      <c r="EA171" s="113"/>
      <c r="EB171" s="113"/>
      <c r="EC171" s="113"/>
      <c r="ED171" s="113"/>
      <c r="EE171" s="113"/>
      <c r="EF171" s="113"/>
      <c r="EG171" s="113"/>
      <c r="EH171" s="113"/>
      <c r="EI171" s="113"/>
      <c r="EJ171" s="113"/>
      <c r="EK171" s="113"/>
      <c r="EL171" s="113"/>
      <c r="EM171" s="113"/>
      <c r="EN171" s="113"/>
      <c r="EO171" s="113"/>
      <c r="EP171" s="113"/>
      <c r="EQ171" s="113"/>
      <c r="ER171" s="113"/>
      <c r="ES171" s="113"/>
      <c r="ET171" s="113"/>
      <c r="EU171" s="113"/>
      <c r="EV171" s="113"/>
      <c r="EW171" s="113"/>
      <c r="EX171" s="113"/>
      <c r="EY171" s="113"/>
    </row>
    <row r="172">
      <c r="A172" s="65" t="s">
        <v>54</v>
      </c>
      <c r="B172" s="65" t="s">
        <v>58</v>
      </c>
      <c r="C172" s="65" t="s">
        <v>410</v>
      </c>
      <c r="D172" s="64">
        <f t="shared" si="1"/>
        <v>551.5510167</v>
      </c>
      <c r="E172" s="115"/>
      <c r="F172" s="104">
        <v>0.186366666666667</v>
      </c>
      <c r="G172" s="104">
        <v>35.1732666666667</v>
      </c>
      <c r="H172" s="104">
        <v>39.81275</v>
      </c>
      <c r="I172" s="104">
        <v>5.36903333333334</v>
      </c>
      <c r="J172" s="104">
        <v>0.799183333333333</v>
      </c>
      <c r="K172" s="104">
        <v>17.3702666666667</v>
      </c>
      <c r="L172" s="104"/>
      <c r="M172" s="104">
        <v>0.186366666666667</v>
      </c>
      <c r="N172" s="104">
        <v>35.1732666666667</v>
      </c>
      <c r="O172" s="104"/>
      <c r="P172" s="65">
        <v>7.24076666666667</v>
      </c>
      <c r="Q172" s="65"/>
      <c r="R172" s="65"/>
      <c r="S172" s="65">
        <v>0.0789166666666667</v>
      </c>
      <c r="T172" s="65">
        <v>32.7691333333334</v>
      </c>
      <c r="U172" s="65">
        <v>24.89675</v>
      </c>
      <c r="V172" s="65">
        <v>8.65288333333334</v>
      </c>
      <c r="W172" s="65">
        <v>50.9562333333334</v>
      </c>
      <c r="X172" s="65"/>
      <c r="Y172" s="65"/>
      <c r="Z172" s="65">
        <v>0.508566666666667</v>
      </c>
      <c r="AA172" s="65">
        <v>16.25835</v>
      </c>
      <c r="AB172" s="65">
        <v>34.1143166666667</v>
      </c>
      <c r="AC172" s="65">
        <v>5.39415</v>
      </c>
      <c r="AD172" s="65">
        <v>35.9161666666667</v>
      </c>
      <c r="AE172" s="65"/>
      <c r="AF172" s="65">
        <v>0.508566666666667</v>
      </c>
      <c r="AG172" s="65">
        <v>16.25835</v>
      </c>
      <c r="AH172" s="65"/>
      <c r="AI172" s="65">
        <v>0.199766666666667</v>
      </c>
      <c r="AJ172" s="65">
        <v>10.3804666666667</v>
      </c>
      <c r="AK172" s="65">
        <v>18.8161333333333</v>
      </c>
      <c r="AL172" s="65">
        <v>1.07998333333333</v>
      </c>
      <c r="AM172" s="65">
        <v>26.5988333333333</v>
      </c>
      <c r="AN172" s="65"/>
      <c r="AP172" s="65">
        <v>27.6176166666667</v>
      </c>
      <c r="AQ172" s="65">
        <v>10.7297333333333</v>
      </c>
      <c r="AR172" s="65">
        <v>44.9629666666667</v>
      </c>
      <c r="AT172" s="65"/>
      <c r="AU172" s="65">
        <v>1.58318333333333</v>
      </c>
      <c r="AV172" s="65">
        <v>5.12118333333333</v>
      </c>
      <c r="AY172" s="65">
        <v>36.8375</v>
      </c>
    </row>
    <row r="173">
      <c r="A173" s="65" t="s">
        <v>54</v>
      </c>
      <c r="B173" s="65" t="s">
        <v>58</v>
      </c>
      <c r="C173" s="65" t="s">
        <v>411</v>
      </c>
      <c r="D173" s="64">
        <f t="shared" si="1"/>
        <v>0</v>
      </c>
      <c r="E173" s="115"/>
      <c r="F173" s="115"/>
      <c r="G173" s="115"/>
      <c r="H173" s="115"/>
      <c r="I173" s="115"/>
      <c r="J173" s="115"/>
      <c r="K173" s="115"/>
      <c r="L173" s="115"/>
      <c r="M173" s="115"/>
      <c r="N173" s="115"/>
      <c r="O173" s="115"/>
    </row>
    <row r="174">
      <c r="A174" s="65" t="s">
        <v>54</v>
      </c>
      <c r="B174" s="65" t="s">
        <v>58</v>
      </c>
      <c r="C174" s="65" t="s">
        <v>412</v>
      </c>
      <c r="D174" s="64">
        <f t="shared" si="1"/>
        <v>470.68615</v>
      </c>
      <c r="E174" s="115"/>
      <c r="F174" s="116">
        <f>HYPERLINK("https://docs.google.com/spreadsheets/d/1ekrf2TesBE_MxCf8xBDPQzHc5bx2Cf1x", 0.186366666666667)</f>
        <v>0.1863666667</v>
      </c>
      <c r="G174" s="116">
        <f>HYPERLINK("https://docs.google.com/spreadsheets/d/1W-Oe9_TVH_203i2BmG3UVqeTuqfLykpO", 35.1732666666667)</f>
        <v>35.17326667</v>
      </c>
      <c r="H174" s="116">
        <f>HYPERLINK("https://docs.google.com/spreadsheets/d/1H-SBUs38F_O6VsAWBLIhPv1j_8gl7oJ-", 39.8127166666667)</f>
        <v>39.81271667</v>
      </c>
      <c r="I174" s="116">
        <f>HYPERLINK("https://docs.google.com/spreadsheets/d/1x6U84_no_nE95mO4wiZXluFMojad8Cif", 5.36903333333334)</f>
        <v>5.369033333</v>
      </c>
      <c r="J174" s="116">
        <f>HYPERLINK("https://docs.google.com/spreadsheets/d/1DBMdkAoK_slB8Q8jx2I0JolMf2_pQW8q", 0.1087)</f>
        <v>0.1087</v>
      </c>
      <c r="K174" s="116">
        <f>HYPERLINK("https://docs.google.com/spreadsheets/d/10lPaWjpICJ3Bxy5a4hze2yUiTIvg6jzD", 17.3264)</f>
        <v>17.3264</v>
      </c>
      <c r="L174" s="115"/>
      <c r="M174" s="115"/>
      <c r="N174" s="115"/>
      <c r="O174" s="115"/>
      <c r="P174" s="118">
        <f>HYPERLINK("https://docs.google.com/spreadsheets/d/1KgRaufVEPDwZKiwd9J2TcE7McjKHmAYt", 7.24075)</f>
        <v>7.24075</v>
      </c>
      <c r="S174" s="118">
        <f>HYPERLINK("https://docs.google.com/spreadsheets/d/1ziB_uwj73hQlGwWw_JxFn82a0_dxb4l2", 0.0789166666666667)</f>
        <v>0.07891666667</v>
      </c>
      <c r="T174" s="118">
        <f>HYPERLINK("https://docs.google.com/spreadsheets/d/1VLU636vQ35ns6v4baJUxRCHl-aEG-QfS", 32.37785)</f>
        <v>32.37785</v>
      </c>
      <c r="U174" s="118">
        <f>HYPERLINK("https://docs.google.com/spreadsheets/d/1i58s5ZMjzmr6BN8JKdoOBMsmE7y8Eipa", 18.9569833333333)</f>
        <v>18.95698333</v>
      </c>
      <c r="V174" s="118">
        <f>HYPERLINK("https://docs.google.com/spreadsheets/d/1Ws0nOdRqm7e4kYlCsxqE8zVUlqijF2pG", 8.04503333333334)</f>
        <v>8.045033333</v>
      </c>
      <c r="W174" s="118">
        <f>HYPERLINK("https://docs.google.com/spreadsheets/d/14zzCMZEC9TBSqjl0qcBScYygi9m0pv5Y", 49.9669666666667)</f>
        <v>49.96696667</v>
      </c>
      <c r="Z174" s="118">
        <f>HYPERLINK("https://docs.google.com/spreadsheets/d/1cLd-KqLHuUV87PSWM4hDS7GVyxt6FxF_", 0.508566666666667)</f>
        <v>0.5085666667</v>
      </c>
      <c r="AA174" s="118">
        <f>HYPERLINK("https://docs.google.com/spreadsheets/d/1zwF0WehR7h4ICuhFXjZabzSYze6mF7za", 16.2583333333333)</f>
        <v>16.25833333</v>
      </c>
      <c r="AB174" s="118">
        <f>HYPERLINK("https://docs.google.com/spreadsheets/d/1HvC-OxnYWVrYVzfAQKUewRqhDLrgqvTS", 34.1143166666667)</f>
        <v>34.11431667</v>
      </c>
      <c r="AC174" s="118">
        <f>HYPERLINK("https://docs.google.com/spreadsheets/d/1RovmdJBBceoYmR_nJktDTUzlXRnVcstg", 5.39415)</f>
        <v>5.39415</v>
      </c>
      <c r="AD174" s="118">
        <f>HYPERLINK("https://docs.google.com/spreadsheets/d/10dbb6kHUntnNN1yxGR_DTpg05rzh5NW6", 35.3652)</f>
        <v>35.3652</v>
      </c>
      <c r="AI174" s="118">
        <f>HYPERLINK("https://docs.google.com/spreadsheets/d/1-xe-lIPs-ytxb21vTG8I_WxZndliyl2h", 0.199766666666667)</f>
        <v>0.1997666667</v>
      </c>
      <c r="AJ174" s="118">
        <f>HYPERLINK("https://docs.google.com/spreadsheets/d/1PrxoKf9nW6UzwakY7CVopqNApP2AOT24", 10.3804666666667)</f>
        <v>10.38046667</v>
      </c>
      <c r="AK174" s="118">
        <f>HYPERLINK("https://docs.google.com/spreadsheets/d/1Uwq-ABxdquun6InGtyirY7j_lLE9v7uP", 18.8161666666667)</f>
        <v>18.81616667</v>
      </c>
      <c r="AL174" s="118">
        <f>HYPERLINK("https://docs.google.com/spreadsheets/d/1btoRTLpyPMDZ2dtYsI0yzxxWX1Bj2Eyy", 1.07998333333333)</f>
        <v>1.079983333</v>
      </c>
      <c r="AM174" s="118">
        <f>HYPERLINK("https://docs.google.com/spreadsheets/d/1xWKsFk0ikvM-WvTKctUvfQi4F7WeqOGR", 26.5988166666667)</f>
        <v>26.59881667</v>
      </c>
      <c r="AP174" s="118">
        <f>HYPERLINK("https://docs.google.com/spreadsheets/d/1vDBmmiC7HJjckTKAI0adt840tNCB5KGP", 9.91071666666667)</f>
        <v>9.910716667</v>
      </c>
      <c r="AQ174" s="118">
        <f>HYPERLINK("https://docs.google.com/spreadsheets/d/110h7U4uF08lCXjS-ED3s_1YSHlXUwFzS", 10.3465)</f>
        <v>10.3465</v>
      </c>
      <c r="AR174" s="118">
        <f>HYPERLINK("https://docs.google.com/spreadsheets/d/1y2lgIHS7E75VGPldXLDJgGeKQS2UBEwK", 44.69745)</f>
        <v>44.69745</v>
      </c>
      <c r="AU174" s="118">
        <f>HYPERLINK("https://docs.google.com/spreadsheets/d/1rbu4z_zZ6Z9SlYqFugEI0GYzhxcFa6Cu", 0.414066666666667)</f>
        <v>0.4140666667</v>
      </c>
      <c r="AV174" s="118">
        <f>HYPERLINK("https://docs.google.com/spreadsheets/d/1ZV269TCoFTKn6uPQL8QFjG2h78XYp-e1", 5.12118333333333)</f>
        <v>5.121183333</v>
      </c>
      <c r="AY174" s="118">
        <f>HYPERLINK("https://docs.google.com/spreadsheets/d/1LjUqA5V97okzMAGAz21G9fVIUxgZYdpc", 36.8374833333333)</f>
        <v>36.83748333</v>
      </c>
    </row>
    <row r="175">
      <c r="A175" s="65" t="s">
        <v>54</v>
      </c>
      <c r="B175" s="65" t="s">
        <v>58</v>
      </c>
      <c r="C175" s="65" t="s">
        <v>413</v>
      </c>
      <c r="D175" s="64">
        <f t="shared" si="1"/>
        <v>289.9166</v>
      </c>
      <c r="E175" s="115"/>
      <c r="F175" s="104">
        <v>0.0</v>
      </c>
      <c r="G175" s="104">
        <v>6.49536666666667</v>
      </c>
      <c r="H175" s="104">
        <v>12.0465666666667</v>
      </c>
      <c r="I175" s="104">
        <v>0.629033333333337</v>
      </c>
      <c r="J175" s="104">
        <v>0.0</v>
      </c>
      <c r="K175" s="104">
        <v>17.3264</v>
      </c>
      <c r="L175" s="115"/>
      <c r="M175" s="115"/>
      <c r="N175" s="104"/>
      <c r="O175" s="104"/>
      <c r="P175" s="65">
        <v>7.24075</v>
      </c>
      <c r="Q175" s="65"/>
      <c r="R175" s="65"/>
      <c r="S175" s="65">
        <v>0.0789166666666667</v>
      </c>
      <c r="T175" s="65">
        <v>32.37785</v>
      </c>
      <c r="U175" s="65">
        <v>2.41680000000001</v>
      </c>
      <c r="V175" s="65">
        <v>1.32506666666667</v>
      </c>
      <c r="W175" s="65">
        <v>49.9669666666667</v>
      </c>
      <c r="X175" s="65"/>
      <c r="Y175" s="65"/>
      <c r="Z175" s="65">
        <v>0.508566666666667</v>
      </c>
      <c r="AA175" s="65">
        <v>10.8293</v>
      </c>
      <c r="AB175" s="65">
        <v>5.22936666666665</v>
      </c>
      <c r="AC175" s="65">
        <v>0.0817999999999985</v>
      </c>
      <c r="AD175" s="65">
        <v>7.81981666666666</v>
      </c>
      <c r="AE175" s="65"/>
      <c r="AF175" s="65"/>
      <c r="AG175" s="65"/>
      <c r="AH175" s="65"/>
      <c r="AI175" s="65">
        <v>0.199766666666667</v>
      </c>
      <c r="AJ175" s="65">
        <v>10.3804666666667</v>
      </c>
      <c r="AK175" s="65">
        <v>4.28095</v>
      </c>
      <c r="AL175" s="65">
        <v>0.0</v>
      </c>
      <c r="AM175" s="65">
        <v>26.5988166666667</v>
      </c>
      <c r="AN175" s="65"/>
      <c r="AP175" s="65">
        <v>9.91071666666667</v>
      </c>
      <c r="AQ175" s="65">
        <v>0.303699999999999</v>
      </c>
      <c r="AR175" s="65">
        <v>44.69745</v>
      </c>
      <c r="AT175" s="65"/>
      <c r="AU175" s="65">
        <v>0.189916666666667</v>
      </c>
      <c r="AV175" s="65">
        <v>2.14476666666667</v>
      </c>
      <c r="AY175" s="65">
        <v>36.8374833333333</v>
      </c>
    </row>
    <row r="176">
      <c r="A176" s="119" t="s">
        <v>54</v>
      </c>
      <c r="B176" s="119" t="s">
        <v>58</v>
      </c>
      <c r="C176" s="119" t="s">
        <v>414</v>
      </c>
      <c r="D176" s="120">
        <f t="shared" si="1"/>
        <v>0.4140666667</v>
      </c>
      <c r="E176" s="121"/>
      <c r="F176" s="122">
        <f>HYPERLINK("https://docs.google.com/spreadsheets/d/1ekrf2TesBE_MxCf8xBDPQzHc5bx2Cf1x", 0)</f>
        <v>0</v>
      </c>
      <c r="G176" s="122">
        <f>HYPERLINK("https://docs.google.com/spreadsheets/d/1W-Oe9_TVH_203i2BmG3UVqeTuqfLykpO", 0)</f>
        <v>0</v>
      </c>
      <c r="H176" s="122">
        <f>HYPERLINK("https://docs.google.com/spreadsheets/d/1H-SBUs38F_O6VsAWBLIhPv1j_8gl7oJ-", 0)</f>
        <v>0</v>
      </c>
      <c r="I176" s="122">
        <f>HYPERLINK("https://docs.google.com/spreadsheets/d/1x6U84_no_nE95mO4wiZXluFMojad8Cif", 0)</f>
        <v>0</v>
      </c>
      <c r="J176" s="122">
        <f>HYPERLINK("https://docs.google.com/spreadsheets/d/1DBMdkAoK_slB8Q8jx2I0JolMf2_pQW8q", 0)</f>
        <v>0</v>
      </c>
      <c r="K176" s="127">
        <f>HYPERLINK("https://docs.google.com/spreadsheets/d/10lPaWjpICJ3Bxy5a4hze2yUiTIvg6jzD", 0)</f>
        <v>0</v>
      </c>
      <c r="L176" s="121"/>
      <c r="M176" s="121"/>
      <c r="N176" s="121"/>
      <c r="O176" s="121"/>
      <c r="P176" s="124">
        <f>HYPERLINK("https://docs.google.com/spreadsheets/d/1KgRaufVEPDwZKiwd9J2TcE7McjKHmAYt", 0)</f>
        <v>0</v>
      </c>
      <c r="Q176" s="120"/>
      <c r="R176" s="119"/>
      <c r="S176" s="124">
        <f>HYPERLINK("https://docs.google.com/spreadsheets/d/1ziB_uwj73hQlGwWw_JxFn82a0_dxb4l2", 0)</f>
        <v>0</v>
      </c>
      <c r="T176" s="125">
        <f>HYPERLINK("https://docs.google.com/spreadsheets/d/1VLU636vQ35ns6v4baJUxRCHl-aEG-QfS", 0)</f>
        <v>0</v>
      </c>
      <c r="U176" s="124">
        <f>HYPERLINK("https://docs.google.com/spreadsheets/d/1i58s5ZMjzmr6BN8JKdoOBMsmE7y8Eipa", 0)</f>
        <v>0</v>
      </c>
      <c r="V176" s="124">
        <f>HYPERLINK("https://docs.google.com/spreadsheets/d/1Ws0nOdRqm7e4kYlCsxqE8zVUlqijF2pG", 0)</f>
        <v>0</v>
      </c>
      <c r="W176" s="124">
        <f>HYPERLINK("https://docs.google.com/spreadsheets/d/14zzCMZEC9TBSqjl0qcBScYygi9m0pv5Y", 0)</f>
        <v>0</v>
      </c>
      <c r="X176" s="120"/>
      <c r="Y176" s="119"/>
      <c r="Z176" s="124">
        <f>HYPERLINK("https://docs.google.com/spreadsheets/d/1cLd-KqLHuUV87PSWM4hDS7GVyxt6FxF_", 0)</f>
        <v>0</v>
      </c>
      <c r="AA176" s="124">
        <f>HYPERLINK("https://docs.google.com/spreadsheets/d/1zwF0WehR7h4ICuhFXjZabzSYze6mF7za", 0)</f>
        <v>0</v>
      </c>
      <c r="AB176" s="124">
        <f>HYPERLINK("https://docs.google.com/spreadsheets/d/1HvC-OxnYWVrYVzfAQKUewRqhDLrgqvTS", 0)</f>
        <v>0</v>
      </c>
      <c r="AC176" s="124">
        <f>HYPERLINK("https://docs.google.com/spreadsheets/d/1RovmdJBBceoYmR_nJktDTUzlXRnVcstg", 0)</f>
        <v>0</v>
      </c>
      <c r="AD176" s="124">
        <f>HYPERLINK("https://docs.google.com/spreadsheets/d/10dbb6kHUntnNN1yxGR_DTpg05rzh5NW6", 0)</f>
        <v>0</v>
      </c>
      <c r="AE176" s="119"/>
      <c r="AF176" s="119"/>
      <c r="AG176" s="119"/>
      <c r="AH176" s="119"/>
      <c r="AI176" s="124">
        <f>HYPERLINK("https://docs.google.com/spreadsheets/d/1-xe-lIPs-ytxb21vTG8I_WxZndliyl2h", 0)</f>
        <v>0</v>
      </c>
      <c r="AJ176" s="124">
        <f>HYPERLINK("https://docs.google.com/spreadsheets/d/1PrxoKf9nW6UzwakY7CVopqNApP2AOT24", 0)</f>
        <v>0</v>
      </c>
      <c r="AK176" s="124">
        <f>HYPERLINK("https://docs.google.com/spreadsheets/d/1Uwq-ABxdquun6InGtyirY7j_lLE9v7uP", 0)</f>
        <v>0</v>
      </c>
      <c r="AL176" s="124">
        <f>HYPERLINK("https://docs.google.com/spreadsheets/d/1btoRTLpyPMDZ2dtYsI0yzxxWX1Bj2Eyy", 0)</f>
        <v>0</v>
      </c>
      <c r="AM176" s="124">
        <f>HYPERLINK("https://docs.google.com/spreadsheets/d/1xWKsFk0ikvM-WvTKctUvfQi4F7WeqOGR", 0)</f>
        <v>0</v>
      </c>
      <c r="AN176" s="120"/>
      <c r="AO176" s="120"/>
      <c r="AP176" s="125">
        <f>HYPERLINK("https://docs.google.com/spreadsheets/d/1vDBmmiC7HJjckTKAI0adt840tNCB5KGP", 0)</f>
        <v>0</v>
      </c>
      <c r="AQ176" s="125">
        <f>HYPERLINK("https://docs.google.com/spreadsheets/d/110h7U4uF08lCXjS-ED3s_1YSHlXUwFzS", 0)</f>
        <v>0</v>
      </c>
      <c r="AR176" s="125">
        <f>HYPERLINK("https://docs.google.com/spreadsheets/d/1y2lgIHS7E75VGPldXLDJgGeKQS2UBEwK", 0)</f>
        <v>0</v>
      </c>
      <c r="AS176" s="120"/>
      <c r="AT176" s="120"/>
      <c r="AU176" s="124">
        <f>HYPERLINK("https://docs.google.com/spreadsheets/d/1rbu4z_zZ6Z9SlYqFugEI0GYzhxcFa6Cu", 0.414066666666667)</f>
        <v>0.4140666667</v>
      </c>
      <c r="AV176" s="124">
        <f>HYPERLINK("https://docs.google.com/spreadsheets/d/1ZV269TCoFTKn6uPQL8QFjG2h78XYp-e1", 0)</f>
        <v>0</v>
      </c>
      <c r="AW176" s="120"/>
      <c r="AX176" s="120"/>
      <c r="AY176" s="124">
        <f>HYPERLINK("https://docs.google.com/spreadsheets/d/1LjUqA5V97okzMAGAz21G9fVIUxgZYdpc", 0)</f>
        <v>0</v>
      </c>
      <c r="AZ176" s="120"/>
      <c r="BA176" s="120"/>
      <c r="BB176" s="120"/>
      <c r="BC176" s="120"/>
      <c r="BD176" s="120"/>
      <c r="BE176" s="120"/>
      <c r="BF176" s="120"/>
      <c r="BG176" s="120"/>
      <c r="BH176" s="120"/>
      <c r="BI176" s="120"/>
      <c r="BJ176" s="120"/>
      <c r="BK176" s="120"/>
      <c r="BL176" s="120"/>
      <c r="BM176" s="120"/>
      <c r="BN176" s="120"/>
      <c r="BO176" s="120"/>
      <c r="BP176" s="120"/>
      <c r="BQ176" s="120"/>
      <c r="BR176" s="120"/>
      <c r="BS176" s="120"/>
      <c r="BT176" s="120"/>
      <c r="BU176" s="120"/>
      <c r="BV176" s="120"/>
      <c r="BW176" s="120"/>
      <c r="BX176" s="120"/>
      <c r="BY176" s="120"/>
      <c r="BZ176" s="120"/>
      <c r="CA176" s="120"/>
      <c r="CB176" s="120"/>
      <c r="CC176" s="120"/>
      <c r="CD176" s="120"/>
      <c r="CE176" s="120"/>
      <c r="CF176" s="120"/>
      <c r="CG176" s="120"/>
      <c r="CH176" s="120"/>
      <c r="CI176" s="120"/>
      <c r="CJ176" s="120"/>
      <c r="CK176" s="120"/>
      <c r="CL176" s="120"/>
      <c r="CM176" s="120"/>
      <c r="CN176" s="120"/>
      <c r="CO176" s="120"/>
      <c r="CP176" s="120"/>
      <c r="CQ176" s="120"/>
      <c r="CR176" s="120"/>
      <c r="CS176" s="120"/>
      <c r="CT176" s="120"/>
      <c r="CU176" s="120"/>
      <c r="CV176" s="120"/>
      <c r="CW176" s="120"/>
      <c r="CX176" s="120"/>
      <c r="CY176" s="120"/>
      <c r="CZ176" s="120"/>
      <c r="DA176" s="120"/>
      <c r="DB176" s="120"/>
      <c r="DC176" s="120"/>
      <c r="DD176" s="120"/>
      <c r="DE176" s="120"/>
      <c r="DF176" s="120"/>
      <c r="DG176" s="120"/>
      <c r="DH176" s="120"/>
      <c r="DI176" s="120"/>
      <c r="DJ176" s="120"/>
      <c r="DK176" s="120"/>
      <c r="DL176" s="120"/>
      <c r="DM176" s="120"/>
      <c r="DN176" s="120"/>
      <c r="DO176" s="120"/>
      <c r="DP176" s="120"/>
      <c r="DQ176" s="120"/>
      <c r="DR176" s="120"/>
      <c r="DS176" s="120"/>
      <c r="DT176" s="120"/>
      <c r="DU176" s="120"/>
      <c r="DV176" s="120"/>
      <c r="DW176" s="120"/>
      <c r="DX176" s="120"/>
      <c r="DY176" s="120"/>
      <c r="DZ176" s="120"/>
      <c r="EA176" s="120"/>
      <c r="EB176" s="120"/>
      <c r="EC176" s="120"/>
      <c r="ED176" s="120"/>
      <c r="EE176" s="120"/>
      <c r="EF176" s="120"/>
      <c r="EG176" s="120"/>
      <c r="EH176" s="120"/>
      <c r="EI176" s="120"/>
      <c r="EJ176" s="120"/>
      <c r="EK176" s="120"/>
      <c r="EL176" s="120"/>
      <c r="EM176" s="120"/>
      <c r="EN176" s="120"/>
      <c r="EO176" s="120"/>
      <c r="EP176" s="120"/>
      <c r="EQ176" s="120"/>
      <c r="ER176" s="120"/>
      <c r="ES176" s="120"/>
      <c r="ET176" s="120"/>
      <c r="EU176" s="120"/>
      <c r="EV176" s="120"/>
      <c r="EW176" s="120"/>
      <c r="EX176" s="120"/>
      <c r="EY176" s="120"/>
    </row>
    <row r="177">
      <c r="A177" s="112" t="s">
        <v>54</v>
      </c>
      <c r="B177" s="112" t="s">
        <v>59</v>
      </c>
      <c r="C177" s="112" t="s">
        <v>409</v>
      </c>
      <c r="D177" s="113">
        <f t="shared" si="1"/>
        <v>413.1947333</v>
      </c>
      <c r="E177" s="114">
        <v>91.8284666666668</v>
      </c>
      <c r="F177" s="114"/>
      <c r="G177" s="114"/>
      <c r="H177" s="114"/>
      <c r="I177" s="114"/>
      <c r="J177" s="114"/>
      <c r="K177" s="114"/>
      <c r="L177" s="114">
        <v>1.89018333333333</v>
      </c>
      <c r="M177" s="114"/>
      <c r="N177" s="114"/>
      <c r="O177" s="114">
        <v>7.22445</v>
      </c>
      <c r="P177" s="112"/>
      <c r="Q177" s="112">
        <v>0.103</v>
      </c>
      <c r="R177" s="112">
        <v>25.3017833333333</v>
      </c>
      <c r="S177" s="112"/>
      <c r="T177" s="112"/>
      <c r="U177" s="112"/>
      <c r="V177" s="112"/>
      <c r="W177" s="112"/>
      <c r="X177" s="112">
        <v>0.332716666666667</v>
      </c>
      <c r="Y177" s="112">
        <v>95.7291</v>
      </c>
      <c r="Z177" s="112"/>
      <c r="AA177" s="113"/>
      <c r="AB177" s="112"/>
      <c r="AC177" s="112"/>
      <c r="AD177" s="112"/>
      <c r="AE177" s="112">
        <v>1.2494</v>
      </c>
      <c r="AF177" s="112"/>
      <c r="AG177" s="112"/>
      <c r="AH177" s="112">
        <v>101.698883333333</v>
      </c>
      <c r="AI177" s="112"/>
      <c r="AJ177" s="112"/>
      <c r="AK177" s="112"/>
      <c r="AL177" s="113"/>
      <c r="AM177" s="112"/>
      <c r="AN177" s="112">
        <v>2.39983333333333</v>
      </c>
      <c r="AO177" s="112">
        <v>45.7315666666666</v>
      </c>
      <c r="AP177" s="112"/>
      <c r="AQ177" s="113"/>
      <c r="AR177" s="112"/>
      <c r="AS177" s="112">
        <v>3.83538333333333</v>
      </c>
      <c r="AT177" s="112">
        <v>5.1831</v>
      </c>
      <c r="AU177" s="112"/>
      <c r="AV177" s="112"/>
      <c r="AW177" s="112">
        <v>0.655283333333333</v>
      </c>
      <c r="AX177" s="112">
        <v>28.9581833333333</v>
      </c>
      <c r="AY177" s="113"/>
      <c r="AZ177" s="112">
        <v>0.723566666666667</v>
      </c>
      <c r="BA177" s="112">
        <v>0.349833333333333</v>
      </c>
      <c r="BB177" s="113"/>
      <c r="BC177" s="113"/>
      <c r="BD177" s="113"/>
      <c r="BE177" s="113"/>
      <c r="BF177" s="113"/>
      <c r="BG177" s="113"/>
      <c r="BH177" s="113"/>
      <c r="BI177" s="113"/>
      <c r="BJ177" s="113"/>
      <c r="BK177" s="113"/>
      <c r="BL177" s="113"/>
      <c r="BM177" s="113"/>
      <c r="BN177" s="113"/>
      <c r="BO177" s="113"/>
      <c r="BP177" s="113"/>
      <c r="BQ177" s="113"/>
      <c r="BR177" s="113"/>
      <c r="BS177" s="113"/>
      <c r="BT177" s="113"/>
      <c r="BU177" s="113"/>
      <c r="BV177" s="113"/>
      <c r="BW177" s="113"/>
      <c r="BX177" s="113"/>
      <c r="BY177" s="113"/>
      <c r="BZ177" s="113"/>
      <c r="CA177" s="113"/>
      <c r="CB177" s="113"/>
      <c r="CC177" s="113"/>
      <c r="CD177" s="113"/>
      <c r="CE177" s="113"/>
      <c r="CF177" s="113"/>
      <c r="CG177" s="113"/>
      <c r="CH177" s="113"/>
      <c r="CI177" s="113"/>
      <c r="CJ177" s="113"/>
      <c r="CK177" s="113"/>
      <c r="CL177" s="113"/>
      <c r="CM177" s="113"/>
      <c r="CN177" s="113"/>
      <c r="CO177" s="113"/>
      <c r="CP177" s="113"/>
      <c r="CQ177" s="113"/>
      <c r="CR177" s="113"/>
      <c r="CS177" s="113"/>
      <c r="CT177" s="113"/>
      <c r="CU177" s="113"/>
      <c r="CV177" s="113"/>
      <c r="CW177" s="113"/>
      <c r="CX177" s="113"/>
      <c r="CY177" s="113"/>
      <c r="CZ177" s="113"/>
      <c r="DA177" s="113"/>
      <c r="DB177" s="113"/>
      <c r="DC177" s="113"/>
      <c r="DD177" s="113"/>
      <c r="DE177" s="113"/>
      <c r="DF177" s="113"/>
      <c r="DG177" s="113"/>
      <c r="DH177" s="113"/>
      <c r="DI177" s="113"/>
      <c r="DJ177" s="113"/>
      <c r="DK177" s="113"/>
      <c r="DL177" s="113"/>
      <c r="DM177" s="113"/>
      <c r="DN177" s="113"/>
      <c r="DO177" s="113"/>
      <c r="DP177" s="113"/>
      <c r="DQ177" s="113"/>
      <c r="DR177" s="113"/>
      <c r="DS177" s="113"/>
      <c r="DT177" s="113"/>
      <c r="DU177" s="113"/>
      <c r="DV177" s="113"/>
      <c r="DW177" s="113"/>
      <c r="DX177" s="113"/>
      <c r="DY177" s="113"/>
      <c r="DZ177" s="113"/>
      <c r="EA177" s="113"/>
      <c r="EB177" s="113"/>
      <c r="EC177" s="113"/>
      <c r="ED177" s="113"/>
      <c r="EE177" s="113"/>
      <c r="EF177" s="113"/>
      <c r="EG177" s="113"/>
      <c r="EH177" s="113"/>
      <c r="EI177" s="113"/>
      <c r="EJ177" s="113"/>
      <c r="EK177" s="113"/>
      <c r="EL177" s="113"/>
      <c r="EM177" s="113"/>
      <c r="EN177" s="113"/>
      <c r="EO177" s="113"/>
      <c r="EP177" s="113"/>
      <c r="EQ177" s="113"/>
      <c r="ER177" s="113"/>
      <c r="ES177" s="113"/>
      <c r="ET177" s="113"/>
      <c r="EU177" s="113"/>
      <c r="EV177" s="113"/>
      <c r="EW177" s="113"/>
      <c r="EX177" s="113"/>
      <c r="EY177" s="113"/>
    </row>
    <row r="178">
      <c r="A178" s="65" t="s">
        <v>54</v>
      </c>
      <c r="B178" s="65" t="s">
        <v>59</v>
      </c>
      <c r="C178" s="65" t="s">
        <v>410</v>
      </c>
      <c r="D178" s="64">
        <f t="shared" si="1"/>
        <v>340.1454833</v>
      </c>
      <c r="E178" s="115"/>
      <c r="F178" s="104"/>
      <c r="G178" s="104">
        <v>18.4486833333333</v>
      </c>
      <c r="H178" s="104">
        <v>14.8288166666667</v>
      </c>
      <c r="I178" s="104">
        <v>4.24238333333333</v>
      </c>
      <c r="J178" s="104">
        <v>0.53835</v>
      </c>
      <c r="K178" s="104">
        <v>32.3437333333333</v>
      </c>
      <c r="L178" s="104"/>
      <c r="M178" s="104"/>
      <c r="N178" s="104">
        <v>18.4486833333333</v>
      </c>
      <c r="O178" s="104"/>
      <c r="P178" s="65">
        <v>5.35901666666667</v>
      </c>
      <c r="Q178" s="65"/>
      <c r="R178" s="65"/>
      <c r="S178" s="65"/>
      <c r="T178" s="65">
        <v>5.30051666666667</v>
      </c>
      <c r="U178" s="65">
        <v>4.25506666666667</v>
      </c>
      <c r="V178" s="65">
        <v>2.17778333333333</v>
      </c>
      <c r="W178" s="65">
        <v>7.38476666666667</v>
      </c>
      <c r="X178" s="65"/>
      <c r="Y178" s="65"/>
      <c r="Z178" s="65">
        <v>1.03656666666667</v>
      </c>
      <c r="AA178" s="65">
        <v>5.25318333333333</v>
      </c>
      <c r="AB178" s="65">
        <v>19.0481666666667</v>
      </c>
      <c r="AC178" s="65">
        <v>4.18176666666667</v>
      </c>
      <c r="AD178" s="65">
        <v>40.4292666666667</v>
      </c>
      <c r="AE178" s="65"/>
      <c r="AF178" s="65">
        <v>1.03656666666667</v>
      </c>
      <c r="AG178" s="65">
        <v>5.25318333333333</v>
      </c>
      <c r="AH178" s="65"/>
      <c r="AI178" s="65">
        <v>2.6997</v>
      </c>
      <c r="AJ178" s="65">
        <v>7.444</v>
      </c>
      <c r="AK178" s="65">
        <v>34.2366833333333</v>
      </c>
      <c r="AL178" s="65">
        <v>3.77083333333333</v>
      </c>
      <c r="AM178" s="65">
        <v>42.5497833333333</v>
      </c>
      <c r="AN178" s="65"/>
      <c r="AP178" s="65">
        <v>8.26238333333334</v>
      </c>
      <c r="AQ178" s="65">
        <v>7.02913333333333</v>
      </c>
      <c r="AR178" s="65">
        <v>16.2713833333333</v>
      </c>
      <c r="AT178" s="65"/>
      <c r="AU178" s="65">
        <v>2.39806666666667</v>
      </c>
      <c r="AV178" s="65">
        <v>1.81793333333333</v>
      </c>
      <c r="AY178" s="65">
        <v>24.0990833333333</v>
      </c>
    </row>
    <row r="179">
      <c r="A179" s="65" t="s">
        <v>54</v>
      </c>
      <c r="B179" s="65" t="s">
        <v>59</v>
      </c>
      <c r="C179" s="65" t="s">
        <v>411</v>
      </c>
      <c r="D179" s="64">
        <f t="shared" si="1"/>
        <v>0</v>
      </c>
      <c r="E179" s="115"/>
      <c r="F179" s="115"/>
      <c r="G179" s="115"/>
      <c r="H179" s="115"/>
      <c r="I179" s="115"/>
      <c r="J179" s="115"/>
      <c r="K179" s="115"/>
      <c r="L179" s="115"/>
      <c r="M179" s="115"/>
      <c r="N179" s="115"/>
      <c r="O179" s="115"/>
    </row>
    <row r="180">
      <c r="A180" s="65" t="s">
        <v>54</v>
      </c>
      <c r="B180" s="65" t="s">
        <v>59</v>
      </c>
      <c r="C180" s="65" t="s">
        <v>412</v>
      </c>
      <c r="D180" s="64">
        <f t="shared" si="1"/>
        <v>307.44265</v>
      </c>
      <c r="E180" s="115"/>
      <c r="F180" s="115"/>
      <c r="G180" s="116">
        <f>HYPERLINK("https://docs.google.com/spreadsheets/d/1xiQ3qKo4BVtdotQ_vs0nhvj8egk3k3_9", 18.2948333333333)</f>
        <v>18.29483333</v>
      </c>
      <c r="H180" s="116">
        <f>HYPERLINK("https://docs.google.com/spreadsheets/d/1sqljK8bk_hGE4v4Hmxtq_IHvQsgJqOcr", 14.8288)</f>
        <v>14.8288</v>
      </c>
      <c r="I180" s="117">
        <f>HYPERLINK("https://docs.google.com/spreadsheets/d/12U8l8gXGkSKIYFlFRsH6kvzz9AHBNb32", 4.24238333333333)</f>
        <v>4.242383333</v>
      </c>
      <c r="J180" s="116">
        <f>HYPERLINK("https://docs.google.com/spreadsheets/d/1IUHCKh85K4nwbQamDCT-USpGzJBYfmZX", 0.53835)</f>
        <v>0.53835</v>
      </c>
      <c r="K180" s="117">
        <f>HYPERLINK("https://docs.google.com/spreadsheets/d/1t1tTjC_TGQZEXLIvmYJU72KJjkBxZH4_", 31.5461333333333)</f>
        <v>31.54613333</v>
      </c>
      <c r="L180" s="115"/>
      <c r="M180" s="104"/>
      <c r="N180" s="115"/>
      <c r="O180" s="115"/>
      <c r="P180" s="118">
        <f>HYPERLINK("https://docs.google.com/spreadsheets/d/12fetLSgMD4kMIKw4Go1vopXeT6yjJPP-", 5.359)</f>
        <v>5.359</v>
      </c>
      <c r="T180" s="118">
        <f>HYPERLINK("https://docs.google.com/spreadsheets/d/11_AaTO8WX4jyg6fDuChvfZKvCochrv-v", 5.30046666666667)</f>
        <v>5.300466667</v>
      </c>
      <c r="U180" s="118">
        <f>HYPERLINK("https://docs.google.com/spreadsheets/d/1yf_x-iWOf3kj3KrG7Jzq14byQfSVxd04", 4.15788333333333)</f>
        <v>4.157883333</v>
      </c>
      <c r="V180" s="118">
        <f>HYPERLINK("https://docs.google.com/spreadsheets/d/1D_iPXrt2icY3zSdhMk-2PDARODmv-hl5", 2.11045)</f>
        <v>2.11045</v>
      </c>
      <c r="W180" s="118">
        <f>HYPERLINK("https://docs.google.com/spreadsheets/d/1j2Cgt8jhzvR9ejYGQGeLC8DpmJRT2kR7", 7.38476666666667)</f>
        <v>7.384766667</v>
      </c>
      <c r="Z180" s="118">
        <f>HYPERLINK("https://docs.google.com/spreadsheets/d/1CeRi9qju3ZSfPeHsdE3mleaR61g5wurI", 1.03656666666667)</f>
        <v>1.036566667</v>
      </c>
      <c r="AA180" s="118">
        <f>HYPERLINK("https://docs.google.com/spreadsheets/d/10bKFEPYEvW1zQF3l6LwiSjiWTaLQ3RQ2", 5.25318333333333)</f>
        <v>5.253183333</v>
      </c>
      <c r="AB180" s="118">
        <f>HYPERLINK("https://docs.google.com/spreadsheets/d/1UiYTmqcaYyHFk_JfuUpTZDDq3JVth8Uc", 19.04815)</f>
        <v>19.04815</v>
      </c>
      <c r="AC180" s="118">
        <f>HYPERLINK("https://docs.google.com/spreadsheets/d/1_aOykQmFo67qhmcb0I1KLxr0o4LpI5HO", 4.18176666666667)</f>
        <v>4.181766667</v>
      </c>
      <c r="AD180" s="118">
        <f>HYPERLINK("https://docs.google.com/spreadsheets/d/1ASijnEH1DQHWGqJtAyFeDocc5HChUUsP", 40.2623166666667)</f>
        <v>40.26231667</v>
      </c>
      <c r="AI180" s="118">
        <f>HYPERLINK("https://docs.google.com/spreadsheets/d/1k3H8f-AAuFSnq8UUl0dg7nv9QbeaGPa_", 2.6997)</f>
        <v>2.6997</v>
      </c>
      <c r="AJ180" s="118">
        <f>HYPERLINK("https://docs.google.com/spreadsheets/d/1AWYci5fX25iDudP6tc9vyeDl6K1MPgQX", 7.444)</f>
        <v>7.444</v>
      </c>
      <c r="AK180" s="118">
        <f>HYPERLINK("https://docs.google.com/spreadsheets/d/17bebdd1dlaFCiXlLpvOXId0IuAKgBEYX", 34.0937166666667)</f>
        <v>34.09371667</v>
      </c>
      <c r="AL180" s="118">
        <f>HYPERLINK("https://docs.google.com/spreadsheets/d/1NourkOnabErRNQRjjlAH3AUZSE7eU5UE", 3.77083333333333)</f>
        <v>3.770833333</v>
      </c>
      <c r="AM180" s="118">
        <f>HYPERLINK("https://docs.google.com/spreadsheets/d/1D53JCPmZzguxx8NjJVuIDT-TfMvb-qLG", 42.1641666666667)</f>
        <v>42.16416667</v>
      </c>
      <c r="AP180" s="118">
        <f>HYPERLINK("https://docs.google.com/spreadsheets/d/1i02nY0jqbyYfeRGNb3pxpRjH0QcISzx8", 2.67226666666667)</f>
        <v>2.672266667</v>
      </c>
      <c r="AQ180" s="118">
        <f>HYPERLINK("https://docs.google.com/spreadsheets/d/1ar79ts4T7x5QLBa1EsQKH1Jt_4_13Y3X", 7.02911666666667)</f>
        <v>7.029116667</v>
      </c>
      <c r="AR180" s="118">
        <f>HYPERLINK("https://docs.google.com/spreadsheets/d/1xhULEnwMLt4o8xsIpy8YdyhAX6gn5gk9", 16.2713666666667)</f>
        <v>16.27136667</v>
      </c>
      <c r="AU180" s="118">
        <f>HYPERLINK("https://docs.google.com/spreadsheets/d/169EQUAdPf5obLy8kLi0zK-bufi0aVWlE", 2.22363333333333)</f>
        <v>2.223633333</v>
      </c>
      <c r="AV180" s="118">
        <f>HYPERLINK("https://docs.google.com/spreadsheets/d/1g1ixFKmW0jJOGO-xFGGLhvS8jbaiU6zQ", 1.81793333333333)</f>
        <v>1.817933333</v>
      </c>
      <c r="AY180" s="118">
        <f>HYPERLINK("https://docs.google.com/spreadsheets/d/182GqxJuq38u6WzwL-9-sm7GdnpkO84Sf", 23.7108666666667)</f>
        <v>23.71086667</v>
      </c>
    </row>
    <row r="181">
      <c r="A181" s="65" t="s">
        <v>54</v>
      </c>
      <c r="B181" s="65" t="s">
        <v>59</v>
      </c>
      <c r="C181" s="65" t="s">
        <v>413</v>
      </c>
      <c r="D181" s="64">
        <f t="shared" si="1"/>
        <v>137.8977667</v>
      </c>
      <c r="E181" s="115"/>
      <c r="F181" s="115"/>
      <c r="G181" s="104">
        <v>7.105427357601E-15</v>
      </c>
      <c r="H181" s="104">
        <v>-3.5527136788005E-15</v>
      </c>
      <c r="I181" s="104">
        <v>8.88178419700125E-16</v>
      </c>
      <c r="J181" s="104">
        <v>-1.11022302462516E-16</v>
      </c>
      <c r="K181" s="104">
        <v>20.4968</v>
      </c>
      <c r="L181" s="104"/>
      <c r="M181" s="104"/>
      <c r="N181" s="104"/>
      <c r="O181" s="104"/>
      <c r="P181" s="65">
        <v>5.359</v>
      </c>
      <c r="Q181" s="65"/>
      <c r="R181" s="65"/>
      <c r="S181" s="65"/>
      <c r="T181" s="65">
        <v>5.30046666666667</v>
      </c>
      <c r="U181" s="65">
        <v>8.88178419700125E-16</v>
      </c>
      <c r="V181" s="65">
        <v>0.0</v>
      </c>
      <c r="W181" s="65">
        <v>7.03203333333333</v>
      </c>
      <c r="X181" s="65"/>
      <c r="Y181" s="65"/>
      <c r="Z181" s="65">
        <v>0.816483333333333</v>
      </c>
      <c r="AA181" s="65">
        <v>3.45148333333333</v>
      </c>
      <c r="AB181" s="65">
        <v>0.642533333333336</v>
      </c>
      <c r="AC181" s="65">
        <v>0.0</v>
      </c>
      <c r="AD181" s="65">
        <v>-4.2632564145606E-14</v>
      </c>
      <c r="AE181" s="65"/>
      <c r="AF181" s="65"/>
      <c r="AG181" s="65"/>
      <c r="AH181" s="65"/>
      <c r="AI181" s="65">
        <v>2.6997</v>
      </c>
      <c r="AJ181" s="65">
        <v>7.444</v>
      </c>
      <c r="AK181" s="65">
        <v>0.646233333333335</v>
      </c>
      <c r="AL181" s="65">
        <v>0.207733333333334</v>
      </c>
      <c r="AM181" s="65">
        <v>41.7374666666667</v>
      </c>
      <c r="AN181" s="65"/>
      <c r="AP181" s="65">
        <v>2.67226666666667</v>
      </c>
      <c r="AQ181" s="65">
        <v>0.350250000000001</v>
      </c>
      <c r="AR181" s="65">
        <v>15.33045</v>
      </c>
      <c r="AT181" s="65"/>
      <c r="AU181" s="65">
        <v>4.44089209850063E-16</v>
      </c>
      <c r="AV181" s="65">
        <v>0.0</v>
      </c>
      <c r="AY181" s="65">
        <v>23.7108666666667</v>
      </c>
    </row>
    <row r="182">
      <c r="A182" s="119" t="s">
        <v>54</v>
      </c>
      <c r="B182" s="119" t="s">
        <v>59</v>
      </c>
      <c r="C182" s="119" t="s">
        <v>414</v>
      </c>
      <c r="D182" s="120">
        <f t="shared" si="1"/>
        <v>2.223633333</v>
      </c>
      <c r="E182" s="121"/>
      <c r="F182" s="121"/>
      <c r="G182" s="122">
        <f>HYPERLINK("https://docs.google.com/spreadsheets/d/1xiQ3qKo4BVtdotQ_vs0nhvj8egk3k3_9", 0)</f>
        <v>0</v>
      </c>
      <c r="H182" s="122">
        <f>HYPERLINK("https://docs.google.com/spreadsheets/d/1sqljK8bk_hGE4v4Hmxtq_IHvQsgJqOcr", 0)</f>
        <v>0</v>
      </c>
      <c r="I182" s="122">
        <f>HYPERLINK("https://docs.google.com/spreadsheets/d/12U8l8gXGkSKIYFlFRsH6kvzz9AHBNb32", 0)</f>
        <v>0</v>
      </c>
      <c r="J182" s="122">
        <f>HYPERLINK("https://docs.google.com/spreadsheets/d/1IUHCKh85K4nwbQamDCT-USpGzJBYfmZX", 0)</f>
        <v>0</v>
      </c>
      <c r="K182" s="122">
        <f>HYPERLINK("https://docs.google.com/spreadsheets/d/1t1tTjC_TGQZEXLIvmYJU72KJjkBxZH4_", 0)</f>
        <v>0</v>
      </c>
      <c r="L182" s="121"/>
      <c r="M182" s="121"/>
      <c r="N182" s="121"/>
      <c r="O182" s="121"/>
      <c r="P182" s="124">
        <f>HYPERLINK("https://docs.google.com/spreadsheets/d/12fetLSgMD4kMIKw4Go1vopXeT6yjJPP-", 0)</f>
        <v>0</v>
      </c>
      <c r="Q182" s="120"/>
      <c r="R182" s="119"/>
      <c r="S182" s="120"/>
      <c r="T182" s="125">
        <f>HYPERLINK("https://docs.google.com/spreadsheets/d/11_AaTO8WX4jyg6fDuChvfZKvCochrv-v", 0)</f>
        <v>0</v>
      </c>
      <c r="U182" s="125">
        <f>HYPERLINK("https://docs.google.com/spreadsheets/d/1yf_x-iWOf3kj3KrG7Jzq14byQfSVxd04", 0)</f>
        <v>0</v>
      </c>
      <c r="V182" s="124">
        <f>HYPERLINK("https://docs.google.com/spreadsheets/d/1D_iPXrt2icY3zSdhMk-2PDARODmv-hl5", 0)</f>
        <v>0</v>
      </c>
      <c r="W182" s="125">
        <f>HYPERLINK("https://docs.google.com/spreadsheets/d/1j2Cgt8jhzvR9ejYGQGeLC8DpmJRT2kR7", 0)</f>
        <v>0</v>
      </c>
      <c r="X182" s="119"/>
      <c r="Y182" s="119"/>
      <c r="Z182" s="124">
        <f>HYPERLINK("https://docs.google.com/spreadsheets/d/1CeRi9qju3ZSfPeHsdE3mleaR61g5wurI", 0)</f>
        <v>0</v>
      </c>
      <c r="AA182" s="124">
        <f>HYPERLINK("https://docs.google.com/spreadsheets/d/10bKFEPYEvW1zQF3l6LwiSjiWTaLQ3RQ2", 0)</f>
        <v>0</v>
      </c>
      <c r="AB182" s="124">
        <f>HYPERLINK("https://docs.google.com/spreadsheets/d/1UiYTmqcaYyHFk_JfuUpTZDDq3JVth8Uc", 0)</f>
        <v>0</v>
      </c>
      <c r="AC182" s="124">
        <f>HYPERLINK("https://docs.google.com/spreadsheets/d/1_aOykQmFo67qhmcb0I1KLxr0o4LpI5HO", 0)</f>
        <v>0</v>
      </c>
      <c r="AD182" s="124">
        <f>HYPERLINK("https://docs.google.com/spreadsheets/d/1ASijnEH1DQHWGqJtAyFeDocc5HChUUsP", 0)</f>
        <v>0</v>
      </c>
      <c r="AE182" s="119"/>
      <c r="AF182" s="119"/>
      <c r="AG182" s="119"/>
      <c r="AH182" s="119"/>
      <c r="AI182" s="125">
        <f>HYPERLINK("https://docs.google.com/spreadsheets/d/1k3H8f-AAuFSnq8UUl0dg7nv9QbeaGPa_", 0)</f>
        <v>0</v>
      </c>
      <c r="AJ182" s="124">
        <f>HYPERLINK("https://docs.google.com/spreadsheets/d/1AWYci5fX25iDudP6tc9vyeDl6K1MPgQX", 0)</f>
        <v>0</v>
      </c>
      <c r="AK182" s="124">
        <f>HYPERLINK("https://docs.google.com/spreadsheets/d/17bebdd1dlaFCiXlLpvOXId0IuAKgBEYX", 0)</f>
        <v>0</v>
      </c>
      <c r="AL182" s="124">
        <f>HYPERLINK("https://docs.google.com/spreadsheets/d/1NourkOnabErRNQRjjlAH3AUZSE7eU5UE", 0)</f>
        <v>0</v>
      </c>
      <c r="AM182" s="124">
        <f>HYPERLINK("https://docs.google.com/spreadsheets/d/1D53JCPmZzguxx8NjJVuIDT-TfMvb-qLG", 0)</f>
        <v>0</v>
      </c>
      <c r="AN182" s="119"/>
      <c r="AO182" s="120"/>
      <c r="AP182" s="124">
        <f>HYPERLINK("https://docs.google.com/spreadsheets/d/1i02nY0jqbyYfeRGNb3pxpRjH0QcISzx8", 0)</f>
        <v>0</v>
      </c>
      <c r="AQ182" s="125">
        <f>HYPERLINK("https://docs.google.com/spreadsheets/d/1ar79ts4T7x5QLBa1EsQKH1Jt_4_13Y3X", 0)</f>
        <v>0</v>
      </c>
      <c r="AR182" s="125">
        <f>HYPERLINK("https://docs.google.com/spreadsheets/d/1xhULEnwMLt4o8xsIpy8YdyhAX6gn5gk9", 0)</f>
        <v>0</v>
      </c>
      <c r="AS182" s="120"/>
      <c r="AT182" s="120"/>
      <c r="AU182" s="124">
        <f>HYPERLINK("https://docs.google.com/spreadsheets/d/169EQUAdPf5obLy8kLi0zK-bufi0aVWlE", 2.22363333333333)</f>
        <v>2.223633333</v>
      </c>
      <c r="AV182" s="124">
        <f>HYPERLINK("https://docs.google.com/spreadsheets/d/1g1ixFKmW0jJOGO-xFGGLhvS8jbaiU6zQ", 0)</f>
        <v>0</v>
      </c>
      <c r="AW182" s="120"/>
      <c r="AX182" s="120"/>
      <c r="AY182" s="124">
        <f>HYPERLINK("https://docs.google.com/spreadsheets/d/182GqxJuq38u6WzwL-9-sm7GdnpkO84Sf", 0)</f>
        <v>0</v>
      </c>
      <c r="AZ182" s="120"/>
      <c r="BA182" s="120"/>
      <c r="BB182" s="120"/>
      <c r="BC182" s="120"/>
      <c r="BD182" s="120"/>
      <c r="BE182" s="120"/>
      <c r="BF182" s="120"/>
      <c r="BG182" s="120"/>
      <c r="BH182" s="120"/>
      <c r="BI182" s="120"/>
      <c r="BJ182" s="120"/>
      <c r="BK182" s="120"/>
      <c r="BL182" s="120"/>
      <c r="BM182" s="120"/>
      <c r="BN182" s="120"/>
      <c r="BO182" s="120"/>
      <c r="BP182" s="120"/>
      <c r="BQ182" s="120"/>
      <c r="BR182" s="120"/>
      <c r="BS182" s="120"/>
      <c r="BT182" s="120"/>
      <c r="BU182" s="120"/>
      <c r="BV182" s="120"/>
      <c r="BW182" s="120"/>
      <c r="BX182" s="120"/>
      <c r="BY182" s="120"/>
      <c r="BZ182" s="120"/>
      <c r="CA182" s="120"/>
      <c r="CB182" s="120"/>
      <c r="CC182" s="120"/>
      <c r="CD182" s="120"/>
      <c r="CE182" s="120"/>
      <c r="CF182" s="120"/>
      <c r="CG182" s="120"/>
      <c r="CH182" s="120"/>
      <c r="CI182" s="120"/>
      <c r="CJ182" s="120"/>
      <c r="CK182" s="120"/>
      <c r="CL182" s="120"/>
      <c r="CM182" s="120"/>
      <c r="CN182" s="120"/>
      <c r="CO182" s="120"/>
      <c r="CP182" s="120"/>
      <c r="CQ182" s="120"/>
      <c r="CR182" s="120"/>
      <c r="CS182" s="120"/>
      <c r="CT182" s="120"/>
      <c r="CU182" s="120"/>
      <c r="CV182" s="120"/>
      <c r="CW182" s="120"/>
      <c r="CX182" s="120"/>
      <c r="CY182" s="120"/>
      <c r="CZ182" s="120"/>
      <c r="DA182" s="120"/>
      <c r="DB182" s="120"/>
      <c r="DC182" s="120"/>
      <c r="DD182" s="120"/>
      <c r="DE182" s="120"/>
      <c r="DF182" s="120"/>
      <c r="DG182" s="120"/>
      <c r="DH182" s="120"/>
      <c r="DI182" s="120"/>
      <c r="DJ182" s="120"/>
      <c r="DK182" s="120"/>
      <c r="DL182" s="120"/>
      <c r="DM182" s="120"/>
      <c r="DN182" s="120"/>
      <c r="DO182" s="120"/>
      <c r="DP182" s="120"/>
      <c r="DQ182" s="120"/>
      <c r="DR182" s="120"/>
      <c r="DS182" s="120"/>
      <c r="DT182" s="120"/>
      <c r="DU182" s="120"/>
      <c r="DV182" s="120"/>
      <c r="DW182" s="120"/>
      <c r="DX182" s="120"/>
      <c r="DY182" s="120"/>
      <c r="DZ182" s="120"/>
      <c r="EA182" s="120"/>
      <c r="EB182" s="120"/>
      <c r="EC182" s="120"/>
      <c r="ED182" s="120"/>
      <c r="EE182" s="120"/>
      <c r="EF182" s="120"/>
      <c r="EG182" s="120"/>
      <c r="EH182" s="120"/>
      <c r="EI182" s="120"/>
      <c r="EJ182" s="120"/>
      <c r="EK182" s="120"/>
      <c r="EL182" s="120"/>
      <c r="EM182" s="120"/>
      <c r="EN182" s="120"/>
      <c r="EO182" s="120"/>
      <c r="EP182" s="120"/>
      <c r="EQ182" s="120"/>
      <c r="ER182" s="120"/>
      <c r="ES182" s="120"/>
      <c r="ET182" s="120"/>
      <c r="EU182" s="120"/>
      <c r="EV182" s="120"/>
      <c r="EW182" s="120"/>
      <c r="EX182" s="120"/>
      <c r="EY182" s="120"/>
    </row>
    <row r="183">
      <c r="A183" s="112" t="s">
        <v>54</v>
      </c>
      <c r="B183" s="112" t="s">
        <v>60</v>
      </c>
      <c r="C183" s="112" t="s">
        <v>409</v>
      </c>
      <c r="D183" s="113">
        <f t="shared" si="1"/>
        <v>518.1199167</v>
      </c>
      <c r="E183" s="114">
        <v>25.1092166666667</v>
      </c>
      <c r="F183" s="114"/>
      <c r="G183" s="114"/>
      <c r="H183" s="114"/>
      <c r="I183" s="114"/>
      <c r="J183" s="114"/>
      <c r="K183" s="114"/>
      <c r="L183" s="114">
        <v>0.0518833333333333</v>
      </c>
      <c r="M183" s="114"/>
      <c r="N183" s="114"/>
      <c r="O183" s="114">
        <v>3.5667</v>
      </c>
      <c r="P183" s="112"/>
      <c r="Q183" s="112"/>
      <c r="R183" s="112">
        <v>39.8013833333334</v>
      </c>
      <c r="S183" s="112"/>
      <c r="T183" s="112"/>
      <c r="U183" s="112"/>
      <c r="V183" s="112"/>
      <c r="W183" s="112"/>
      <c r="X183" s="112">
        <v>0.484283333333333</v>
      </c>
      <c r="Y183" s="112">
        <v>172.318483333333</v>
      </c>
      <c r="Z183" s="112"/>
      <c r="AA183" s="113"/>
      <c r="AB183" s="112"/>
      <c r="AC183" s="112"/>
      <c r="AD183" s="112"/>
      <c r="AE183" s="112">
        <v>2.54381666666667</v>
      </c>
      <c r="AF183" s="112"/>
      <c r="AG183" s="112"/>
      <c r="AH183" s="112">
        <v>163.7226</v>
      </c>
      <c r="AI183" s="112"/>
      <c r="AJ183" s="112"/>
      <c r="AK183" s="112"/>
      <c r="AL183" s="113"/>
      <c r="AM183" s="112"/>
      <c r="AN183" s="112">
        <v>3.06425</v>
      </c>
      <c r="AO183" s="112">
        <v>29.0475</v>
      </c>
      <c r="AP183" s="112"/>
      <c r="AQ183" s="113"/>
      <c r="AR183" s="112"/>
      <c r="AS183" s="112">
        <v>8.24216666666666</v>
      </c>
      <c r="AT183" s="112">
        <v>12.4921333333333</v>
      </c>
      <c r="AU183" s="112"/>
      <c r="AV183" s="112"/>
      <c r="AW183" s="112">
        <v>2.07173333333333</v>
      </c>
      <c r="AX183" s="112">
        <v>52.8412833333333</v>
      </c>
      <c r="AY183" s="113"/>
      <c r="AZ183" s="112">
        <v>1.94801666666667</v>
      </c>
      <c r="BA183" s="112">
        <v>0.814466666666667</v>
      </c>
      <c r="BB183" s="113"/>
      <c r="BC183" s="113"/>
      <c r="BD183" s="113"/>
      <c r="BE183" s="113"/>
      <c r="BF183" s="113"/>
      <c r="BG183" s="113"/>
      <c r="BH183" s="113"/>
      <c r="BI183" s="113"/>
      <c r="BJ183" s="113"/>
      <c r="BK183" s="113"/>
      <c r="BL183" s="113"/>
      <c r="BM183" s="113"/>
      <c r="BN183" s="113"/>
      <c r="BO183" s="113"/>
      <c r="BP183" s="113"/>
      <c r="BQ183" s="113"/>
      <c r="BR183" s="113"/>
      <c r="BS183" s="113"/>
      <c r="BT183" s="113"/>
      <c r="BU183" s="113"/>
      <c r="BV183" s="113"/>
      <c r="BW183" s="113"/>
      <c r="BX183" s="113"/>
      <c r="BY183" s="113"/>
      <c r="BZ183" s="113"/>
      <c r="CA183" s="113"/>
      <c r="CB183" s="113"/>
      <c r="CC183" s="113"/>
      <c r="CD183" s="113"/>
      <c r="CE183" s="113"/>
      <c r="CF183" s="113"/>
      <c r="CG183" s="113"/>
      <c r="CH183" s="113"/>
      <c r="CI183" s="113"/>
      <c r="CJ183" s="113"/>
      <c r="CK183" s="113"/>
      <c r="CL183" s="113"/>
      <c r="CM183" s="113"/>
      <c r="CN183" s="113"/>
      <c r="CO183" s="113"/>
      <c r="CP183" s="113"/>
      <c r="CQ183" s="113"/>
      <c r="CR183" s="113"/>
      <c r="CS183" s="113"/>
      <c r="CT183" s="113"/>
      <c r="CU183" s="113"/>
      <c r="CV183" s="113"/>
      <c r="CW183" s="113"/>
      <c r="CX183" s="113"/>
      <c r="CY183" s="113"/>
      <c r="CZ183" s="113"/>
      <c r="DA183" s="113"/>
      <c r="DB183" s="113"/>
      <c r="DC183" s="113"/>
      <c r="DD183" s="113"/>
      <c r="DE183" s="113"/>
      <c r="DF183" s="113"/>
      <c r="DG183" s="113"/>
      <c r="DH183" s="113"/>
      <c r="DI183" s="113"/>
      <c r="DJ183" s="113"/>
      <c r="DK183" s="113"/>
      <c r="DL183" s="113"/>
      <c r="DM183" s="113"/>
      <c r="DN183" s="113"/>
      <c r="DO183" s="113"/>
      <c r="DP183" s="113"/>
      <c r="DQ183" s="113"/>
      <c r="DR183" s="113"/>
      <c r="DS183" s="113"/>
      <c r="DT183" s="113"/>
      <c r="DU183" s="113"/>
      <c r="DV183" s="113"/>
      <c r="DW183" s="113"/>
      <c r="DX183" s="113"/>
      <c r="DY183" s="113"/>
      <c r="DZ183" s="113"/>
      <c r="EA183" s="113"/>
      <c r="EB183" s="113"/>
      <c r="EC183" s="113"/>
      <c r="ED183" s="113"/>
      <c r="EE183" s="113"/>
      <c r="EF183" s="113"/>
      <c r="EG183" s="113"/>
      <c r="EH183" s="113"/>
      <c r="EI183" s="113"/>
      <c r="EJ183" s="113"/>
      <c r="EK183" s="113"/>
      <c r="EL183" s="113"/>
      <c r="EM183" s="113"/>
      <c r="EN183" s="113"/>
      <c r="EO183" s="113"/>
      <c r="EP183" s="113"/>
      <c r="EQ183" s="113"/>
      <c r="ER183" s="113"/>
      <c r="ES183" s="113"/>
      <c r="ET183" s="113"/>
      <c r="EU183" s="113"/>
      <c r="EV183" s="113"/>
      <c r="EW183" s="113"/>
      <c r="EX183" s="113"/>
      <c r="EY183" s="113"/>
    </row>
    <row r="184">
      <c r="A184" s="65" t="s">
        <v>54</v>
      </c>
      <c r="B184" s="65" t="s">
        <v>60</v>
      </c>
      <c r="C184" s="65" t="s">
        <v>410</v>
      </c>
      <c r="D184" s="64">
        <f t="shared" si="1"/>
        <v>427.3418</v>
      </c>
      <c r="E184" s="115"/>
      <c r="F184" s="104">
        <v>0.4254</v>
      </c>
      <c r="G184" s="104">
        <v>1.03831666666667</v>
      </c>
      <c r="H184" s="104">
        <v>3.85768333333333</v>
      </c>
      <c r="I184" s="104">
        <v>0.95155</v>
      </c>
      <c r="J184" s="104">
        <v>0.295616666666667</v>
      </c>
      <c r="K184" s="104">
        <v>6.0568</v>
      </c>
      <c r="L184" s="104"/>
      <c r="M184" s="104">
        <v>0.4254</v>
      </c>
      <c r="N184" s="104">
        <v>1.03831666666667</v>
      </c>
      <c r="O184" s="104"/>
      <c r="P184" s="65">
        <v>1.73193333333333</v>
      </c>
      <c r="Q184" s="65"/>
      <c r="R184" s="65"/>
      <c r="S184" s="65"/>
      <c r="T184" s="65">
        <v>13.3259166666667</v>
      </c>
      <c r="U184" s="65">
        <v>16.1160833333333</v>
      </c>
      <c r="V184" s="65">
        <v>2.45633333333333</v>
      </c>
      <c r="W184" s="65">
        <v>4.91103333333333</v>
      </c>
      <c r="X184" s="65"/>
      <c r="Y184" s="65"/>
      <c r="Z184" s="65">
        <v>1.15843333333333</v>
      </c>
      <c r="AA184" s="65">
        <v>11.9754</v>
      </c>
      <c r="AB184" s="65">
        <v>50.75065</v>
      </c>
      <c r="AC184" s="65">
        <v>11.28265</v>
      </c>
      <c r="AD184" s="65">
        <v>58.33415</v>
      </c>
      <c r="AE184" s="65"/>
      <c r="AF184" s="65">
        <v>1.15843333333333</v>
      </c>
      <c r="AG184" s="65">
        <v>11.9754</v>
      </c>
      <c r="AH184" s="65"/>
      <c r="AI184" s="65">
        <v>0.30265</v>
      </c>
      <c r="AJ184" s="65">
        <v>16.41285</v>
      </c>
      <c r="AK184" s="65">
        <v>65.1710666666666</v>
      </c>
      <c r="AL184" s="65">
        <v>5.99063333333334</v>
      </c>
      <c r="AM184" s="65">
        <v>60.4435833333334</v>
      </c>
      <c r="AN184" s="65"/>
      <c r="AP184" s="65">
        <v>9.77268333333334</v>
      </c>
      <c r="AQ184" s="65">
        <v>2.8698</v>
      </c>
      <c r="AR184" s="65">
        <v>6.53668333333333</v>
      </c>
      <c r="AT184" s="65"/>
      <c r="AU184" s="65">
        <v>6.98046666666667</v>
      </c>
      <c r="AV184" s="65">
        <v>2.57546666666667</v>
      </c>
      <c r="AY184" s="65">
        <v>51.0204166666667</v>
      </c>
    </row>
    <row r="185">
      <c r="A185" s="65" t="s">
        <v>54</v>
      </c>
      <c r="B185" s="65" t="s">
        <v>60</v>
      </c>
      <c r="C185" s="65" t="s">
        <v>411</v>
      </c>
      <c r="D185" s="64">
        <f t="shared" si="1"/>
        <v>0</v>
      </c>
      <c r="E185" s="115"/>
      <c r="F185" s="115"/>
      <c r="G185" s="115"/>
      <c r="H185" s="115"/>
      <c r="I185" s="115"/>
      <c r="J185" s="115"/>
      <c r="K185" s="115"/>
      <c r="L185" s="115"/>
      <c r="M185" s="115"/>
      <c r="N185" s="115"/>
      <c r="O185" s="115"/>
    </row>
    <row r="186">
      <c r="A186" s="65" t="s">
        <v>54</v>
      </c>
      <c r="B186" s="65" t="s">
        <v>60</v>
      </c>
      <c r="C186" s="65" t="s">
        <v>412</v>
      </c>
      <c r="D186" s="64">
        <f t="shared" si="1"/>
        <v>411.9588833</v>
      </c>
      <c r="E186" s="115"/>
      <c r="F186" s="116">
        <f>HYPERLINK("https://docs.google.com/spreadsheets/d/1h3x_uk0BqIC9wRnqraWwoPL395hu-0VD", 0.4254)</f>
        <v>0.4254</v>
      </c>
      <c r="G186" s="116">
        <f>HYPERLINK("https://docs.google.com/spreadsheets/d/1eMwhAsj6qStrDK2EheOv1B0tJgfyNL6z", 1.03831666666667)</f>
        <v>1.038316667</v>
      </c>
      <c r="H186" s="116">
        <f>HYPERLINK("https://docs.google.com/spreadsheets/d/1a86-RpA3r4oN8K8S9iBkBajtJma9ZKoO", 3.85768333333333)</f>
        <v>3.857683333</v>
      </c>
      <c r="I186" s="117">
        <f>HYPERLINK("https://docs.google.com/spreadsheets/d/1YL9Yd5IVkvYXr6G6FfAx5NnlHnrSn6vG", 0.95155)</f>
        <v>0.95155</v>
      </c>
      <c r="J186" s="116">
        <f>HYPERLINK("https://docs.google.com/spreadsheets/d/1TZUz1JLx-bZXWhGg9liV17ElkUqR0Wgy", 0.295616666666667)</f>
        <v>0.2956166667</v>
      </c>
      <c r="K186" s="117">
        <f>HYPERLINK("https://docs.google.com/spreadsheets/d/1p2KqgrHNd2FT7gXsOp3hQaWudL4sfDWf", 6.0568)</f>
        <v>6.0568</v>
      </c>
      <c r="L186" s="115"/>
      <c r="M186" s="104"/>
      <c r="N186" s="115"/>
      <c r="O186" s="104"/>
      <c r="P186" s="118">
        <f>HYPERLINK("https://docs.google.com/spreadsheets/d/1JWljjy6YzMB9fghslpu9PtwtpcZALKMk", 1.73193333333333)</f>
        <v>1.731933333</v>
      </c>
      <c r="T186" s="118">
        <f>HYPERLINK("https://docs.google.com/spreadsheets/d/1nGtyyK6dGunrf-eKO14GG-WbUBQiyb6g", 13.3258833333333)</f>
        <v>13.32588333</v>
      </c>
      <c r="U186" s="118">
        <f>HYPERLINK("https://docs.google.com/spreadsheets/d/14RLrFr3ekhnV1FBARh8gVCOpa1kQRDhg", 16.1161166666667)</f>
        <v>16.11611667</v>
      </c>
      <c r="V186" s="118">
        <f>HYPERLINK("https://docs.google.com/spreadsheets/d/1IFHHZ2h0rkR6DtKEdik1WV27TbFMnqXq", 2.45633333333333)</f>
        <v>2.456333333</v>
      </c>
      <c r="W186" s="118">
        <f>HYPERLINK("https://docs.google.com/spreadsheets/d/1xq_dP00YHqrGYm31v1JcO6Ez-qWcnyPN", 4.80528333333333)</f>
        <v>4.805283333</v>
      </c>
      <c r="Z186" s="118">
        <f>HYPERLINK("https://docs.google.com/spreadsheets/d/1mqlOOVYCB8rlkcfrINdosfUsBGyK_MFA", 1.15843333333333)</f>
        <v>1.158433333</v>
      </c>
      <c r="AA186" s="118">
        <f>HYPERLINK("https://docs.google.com/spreadsheets/d/1Lzr3hh5gGx-OhoGBNmUmxnS7lEbGwFux", 11.9754166666667)</f>
        <v>11.97541667</v>
      </c>
      <c r="AB186" s="118">
        <f>HYPERLINK("https://docs.google.com/spreadsheets/d/1P9pti5S1Uf5FCEeWrZk6sQx-AThDNAkR", 50.7506666666666)</f>
        <v>50.75066667</v>
      </c>
      <c r="AC186" s="118">
        <f>HYPERLINK("https://docs.google.com/spreadsheets/d/1iIiy7Zh7Zb9FG0ACU79tJo9y6Z6RAapO", 11.1348833333333)</f>
        <v>11.13488333</v>
      </c>
      <c r="AD186" s="118">
        <f>HYPERLINK("https://docs.google.com/spreadsheets/d/1OZT1MjOltI1xg8Za5ISmB00XFVECPQcU", 58.2215333333333)</f>
        <v>58.22153333</v>
      </c>
      <c r="AI186" s="118">
        <f>HYPERLINK("https://docs.google.com/spreadsheets/d/1XbTAQqCmuI1paw7EpXfJPRYuJz73dFf8", 0.30265)</f>
        <v>0.30265</v>
      </c>
      <c r="AJ186" s="118">
        <f>HYPERLINK("https://docs.google.com/spreadsheets/d/13TOZjvrn0vvNynI0M-k4GkyfbOjAn2-6", 16.4128333333333)</f>
        <v>16.41283333</v>
      </c>
      <c r="AK186" s="118">
        <f>HYPERLINK("https://docs.google.com/spreadsheets/d/1HuWFDLsXXBD6YD7RDuJAmdxACabsJlWv", 65.0783999999999)</f>
        <v>65.0784</v>
      </c>
      <c r="AL186" s="118">
        <f>HYPERLINK("https://docs.google.com/spreadsheets/d/10PJt1nyBI2hXi3ZBsn-aGAbjVtl1cdWS", 5.99063333333334)</f>
        <v>5.990633333</v>
      </c>
      <c r="AM186" s="118">
        <f>HYPERLINK("https://docs.google.com/spreadsheets/d/16pkXUXWOt-HhNDDaonJJv-KMUpTlZYd2", 60.2323)</f>
        <v>60.2323</v>
      </c>
      <c r="AP186" s="118">
        <f>HYPERLINK("https://docs.google.com/spreadsheets/d/1CpcBvTQMXZWfwLKZ-aN8gkOi60--XLbB", 9.77266666666667)</f>
        <v>9.772666667</v>
      </c>
      <c r="AQ186" s="118">
        <f>HYPERLINK("https://docs.google.com/spreadsheets/d/1dG6AV3uRtsYEHgbrOeVhNgAPi4SlyagW", 2.8698)</f>
        <v>2.8698</v>
      </c>
      <c r="AR186" s="118">
        <f>HYPERLINK("https://docs.google.com/spreadsheets/d/1LJzo0hp65BjHdMsFYhcEl7O8fY12kLVX", 6.53666666666667)</f>
        <v>6.536666667</v>
      </c>
      <c r="AU186" s="118">
        <f>HYPERLINK("https://docs.google.com/spreadsheets/d/1_eQfYnJr5euFPUhkcynRqAZjsO0QwbMZ", 6.86526666666667)</f>
        <v>6.865266667</v>
      </c>
      <c r="AV186" s="118">
        <f>HYPERLINK("https://docs.google.com/spreadsheets/d/1g2uSmWXuWSD7eF67xjeAGFgMQrDmDmXh", 2.57546666666667)</f>
        <v>2.575466667</v>
      </c>
      <c r="AY186" s="118">
        <f>HYPERLINK("https://docs.google.com/spreadsheets/d/1l_S1aOkj3BOxET_jMJB766m6cs78Oin2", 51.02035)</f>
        <v>51.02035</v>
      </c>
    </row>
    <row r="187">
      <c r="A187" s="65" t="s">
        <v>54</v>
      </c>
      <c r="B187" s="65" t="s">
        <v>60</v>
      </c>
      <c r="C187" s="65" t="s">
        <v>413</v>
      </c>
      <c r="D187" s="64">
        <f t="shared" si="1"/>
        <v>259.0172833</v>
      </c>
      <c r="E187" s="115"/>
      <c r="F187" s="104">
        <v>0.0</v>
      </c>
      <c r="G187" s="104">
        <v>0.0</v>
      </c>
      <c r="H187" s="104">
        <v>0.462366666666666</v>
      </c>
      <c r="I187" s="104">
        <v>0.0</v>
      </c>
      <c r="J187" s="104">
        <v>0.0</v>
      </c>
      <c r="K187" s="104">
        <v>6.0568</v>
      </c>
      <c r="L187" s="104"/>
      <c r="M187" s="104"/>
      <c r="N187" s="104"/>
      <c r="O187" s="104"/>
      <c r="P187" s="65">
        <v>1.73193333333333</v>
      </c>
      <c r="Q187" s="65"/>
      <c r="R187" s="65"/>
      <c r="S187" s="65"/>
      <c r="T187" s="65">
        <v>13.3258833333333</v>
      </c>
      <c r="U187" s="65">
        <v>8.04303333333333</v>
      </c>
      <c r="V187" s="65">
        <v>0.3656</v>
      </c>
      <c r="W187" s="65">
        <v>4.80528333333333</v>
      </c>
      <c r="X187" s="65"/>
      <c r="Y187" s="65"/>
      <c r="Z187" s="65">
        <v>0.511766666666667</v>
      </c>
      <c r="AA187" s="65">
        <v>8.77761666666667</v>
      </c>
      <c r="AB187" s="65">
        <v>17.4138666666666</v>
      </c>
      <c r="AC187" s="65">
        <v>0.449066666666662</v>
      </c>
      <c r="AD187" s="65">
        <v>21.4947166666667</v>
      </c>
      <c r="AE187" s="65"/>
      <c r="AF187" s="65"/>
      <c r="AG187" s="65"/>
      <c r="AH187" s="65"/>
      <c r="AI187" s="65">
        <v>0.30265</v>
      </c>
      <c r="AJ187" s="65">
        <v>16.4128333333333</v>
      </c>
      <c r="AK187" s="65">
        <v>26.2661999999999</v>
      </c>
      <c r="AL187" s="65">
        <v>0.849383333333336</v>
      </c>
      <c r="AM187" s="65">
        <v>60.2323</v>
      </c>
      <c r="AN187" s="65"/>
      <c r="AP187" s="65">
        <v>9.77266666666667</v>
      </c>
      <c r="AQ187" s="65">
        <v>0.610733333333333</v>
      </c>
      <c r="AR187" s="65">
        <v>6.53666666666667</v>
      </c>
      <c r="AT187" s="65"/>
      <c r="AU187" s="65">
        <v>2.79415</v>
      </c>
      <c r="AV187" s="65">
        <v>0.781416666666667</v>
      </c>
      <c r="AY187" s="65">
        <v>51.02035</v>
      </c>
    </row>
    <row r="188">
      <c r="A188" s="119" t="s">
        <v>54</v>
      </c>
      <c r="B188" s="119" t="s">
        <v>60</v>
      </c>
      <c r="C188" s="119" t="s">
        <v>414</v>
      </c>
      <c r="D188" s="120">
        <f t="shared" si="1"/>
        <v>6.865266667</v>
      </c>
      <c r="E188" s="121"/>
      <c r="F188" s="122">
        <f>HYPERLINK("https://docs.google.com/spreadsheets/d/1h3x_uk0BqIC9wRnqraWwoPL395hu-0VD", 0)</f>
        <v>0</v>
      </c>
      <c r="G188" s="122">
        <f>HYPERLINK("https://docs.google.com/spreadsheets/d/1eMwhAsj6qStrDK2EheOv1B0tJgfyNL6z", 0)</f>
        <v>0</v>
      </c>
      <c r="H188" s="122">
        <f>HYPERLINK("https://docs.google.com/spreadsheets/d/1a86-RpA3r4oN8K8S9iBkBajtJma9ZKoO", 0)</f>
        <v>0</v>
      </c>
      <c r="I188" s="122">
        <f>HYPERLINK("https://docs.google.com/spreadsheets/d/1YL9Yd5IVkvYXr6G6FfAx5NnlHnrSn6vG", 0)</f>
        <v>0</v>
      </c>
      <c r="J188" s="122">
        <f>HYPERLINK("https://docs.google.com/spreadsheets/d/1TZUz1JLx-bZXWhGg9liV17ElkUqR0Wgy", 0)</f>
        <v>0</v>
      </c>
      <c r="K188" s="127">
        <f>HYPERLINK("https://docs.google.com/spreadsheets/d/1p2KqgrHNd2FT7gXsOp3hQaWudL4sfDWf", 0)</f>
        <v>0</v>
      </c>
      <c r="L188" s="121"/>
      <c r="M188" s="121"/>
      <c r="N188" s="121"/>
      <c r="O188" s="121"/>
      <c r="P188" s="124">
        <f>HYPERLINK("https://docs.google.com/spreadsheets/d/1JWljjy6YzMB9fghslpu9PtwtpcZALKMk", 0)</f>
        <v>0</v>
      </c>
      <c r="Q188" s="120"/>
      <c r="R188" s="119"/>
      <c r="S188" s="120"/>
      <c r="T188" s="125">
        <f>HYPERLINK("https://docs.google.com/spreadsheets/d/1nGtyyK6dGunrf-eKO14GG-WbUBQiyb6g", 0)</f>
        <v>0</v>
      </c>
      <c r="U188" s="124">
        <f>HYPERLINK("https://docs.google.com/spreadsheets/d/14RLrFr3ekhnV1FBARh8gVCOpa1kQRDhg", 0)</f>
        <v>0</v>
      </c>
      <c r="V188" s="124">
        <f>HYPERLINK("https://docs.google.com/spreadsheets/d/1IFHHZ2h0rkR6DtKEdik1WV27TbFMnqXq", 0)</f>
        <v>0</v>
      </c>
      <c r="W188" s="124">
        <f>HYPERLINK("https://docs.google.com/spreadsheets/d/1xq_dP00YHqrGYm31v1JcO6Ez-qWcnyPN", 0)</f>
        <v>0</v>
      </c>
      <c r="X188" s="119"/>
      <c r="Y188" s="119"/>
      <c r="Z188" s="124">
        <f>HYPERLINK("https://docs.google.com/spreadsheets/d/1mqlOOVYCB8rlkcfrINdosfUsBGyK_MFA", 0)</f>
        <v>0</v>
      </c>
      <c r="AA188" s="124">
        <f>HYPERLINK("https://docs.google.com/spreadsheets/d/1Lzr3hh5gGx-OhoGBNmUmxnS7lEbGwFux", 0)</f>
        <v>0</v>
      </c>
      <c r="AB188" s="124">
        <f>HYPERLINK("https://docs.google.com/spreadsheets/d/1P9pti5S1Uf5FCEeWrZk6sQx-AThDNAkR", 0)</f>
        <v>0</v>
      </c>
      <c r="AC188" s="124">
        <f>HYPERLINK("https://docs.google.com/spreadsheets/d/1iIiy7Zh7Zb9FG0ACU79tJo9y6Z6RAapO", 0)</f>
        <v>0</v>
      </c>
      <c r="AD188" s="124">
        <f>HYPERLINK("https://docs.google.com/spreadsheets/d/1OZT1MjOltI1xg8Za5ISmB00XFVECPQcU", 0)</f>
        <v>0</v>
      </c>
      <c r="AE188" s="119"/>
      <c r="AF188" s="119"/>
      <c r="AG188" s="119"/>
      <c r="AH188" s="119"/>
      <c r="AI188" s="124">
        <f>HYPERLINK("https://docs.google.com/spreadsheets/d/1XbTAQqCmuI1paw7EpXfJPRYuJz73dFf8", 0)</f>
        <v>0</v>
      </c>
      <c r="AJ188" s="124">
        <f>HYPERLINK("https://docs.google.com/spreadsheets/d/13TOZjvrn0vvNynI0M-k4GkyfbOjAn2-6", 0)</f>
        <v>0</v>
      </c>
      <c r="AK188" s="124">
        <f>HYPERLINK("https://docs.google.com/spreadsheets/d/1HuWFDLsXXBD6YD7RDuJAmdxACabsJlWv", 0)</f>
        <v>0</v>
      </c>
      <c r="AL188" s="124">
        <f>HYPERLINK("https://docs.google.com/spreadsheets/d/10PJt1nyBI2hXi3ZBsn-aGAbjVtl1cdWS", 0)</f>
        <v>0</v>
      </c>
      <c r="AM188" s="124">
        <f>HYPERLINK("https://docs.google.com/spreadsheets/d/16pkXUXWOt-HhNDDaonJJv-KMUpTlZYd2", 0)</f>
        <v>0</v>
      </c>
      <c r="AN188" s="120"/>
      <c r="AO188" s="120"/>
      <c r="AP188" s="124">
        <f>HYPERLINK("https://docs.google.com/spreadsheets/d/1CpcBvTQMXZWfwLKZ-aN8gkOi60--XLbB", 0)</f>
        <v>0</v>
      </c>
      <c r="AQ188" s="125">
        <f>HYPERLINK("https://docs.google.com/spreadsheets/d/1dG6AV3uRtsYEHgbrOeVhNgAPi4SlyagW", 0)</f>
        <v>0</v>
      </c>
      <c r="AR188" s="125">
        <f>HYPERLINK("https://docs.google.com/spreadsheets/d/1LJzo0hp65BjHdMsFYhcEl7O8fY12kLVX", 0)</f>
        <v>0</v>
      </c>
      <c r="AS188" s="120"/>
      <c r="AT188" s="120"/>
      <c r="AU188" s="124">
        <f>HYPERLINK("https://docs.google.com/spreadsheets/d/1_eQfYnJr5euFPUhkcynRqAZjsO0QwbMZ", 6.86526666666667)</f>
        <v>6.865266667</v>
      </c>
      <c r="AV188" s="124">
        <f>HYPERLINK("https://docs.google.com/spreadsheets/d/1g2uSmWXuWSD7eF67xjeAGFgMQrDmDmXh", 0)</f>
        <v>0</v>
      </c>
      <c r="AW188" s="120"/>
      <c r="AX188" s="120"/>
      <c r="AY188" s="124">
        <f>HYPERLINK("https://docs.google.com/spreadsheets/d/1l_S1aOkj3BOxET_jMJB766m6cs78Oin2", 0)</f>
        <v>0</v>
      </c>
      <c r="AZ188" s="120"/>
      <c r="BA188" s="120"/>
      <c r="BB188" s="120"/>
      <c r="BC188" s="120"/>
      <c r="BD188" s="120"/>
      <c r="BE188" s="120"/>
      <c r="BF188" s="120"/>
      <c r="BG188" s="120"/>
      <c r="BH188" s="120"/>
      <c r="BI188" s="120"/>
      <c r="BJ188" s="120"/>
      <c r="BK188" s="120"/>
      <c r="BL188" s="120"/>
      <c r="BM188" s="120"/>
      <c r="BN188" s="120"/>
      <c r="BO188" s="120"/>
      <c r="BP188" s="120"/>
      <c r="BQ188" s="120"/>
      <c r="BR188" s="120"/>
      <c r="BS188" s="120"/>
      <c r="BT188" s="120"/>
      <c r="BU188" s="120"/>
      <c r="BV188" s="120"/>
      <c r="BW188" s="120"/>
      <c r="BX188" s="120"/>
      <c r="BY188" s="120"/>
      <c r="BZ188" s="120"/>
      <c r="CA188" s="120"/>
      <c r="CB188" s="120"/>
      <c r="CC188" s="120"/>
      <c r="CD188" s="120"/>
      <c r="CE188" s="120"/>
      <c r="CF188" s="120"/>
      <c r="CG188" s="120"/>
      <c r="CH188" s="120"/>
      <c r="CI188" s="120"/>
      <c r="CJ188" s="120"/>
      <c r="CK188" s="120"/>
      <c r="CL188" s="120"/>
      <c r="CM188" s="120"/>
      <c r="CN188" s="120"/>
      <c r="CO188" s="120"/>
      <c r="CP188" s="120"/>
      <c r="CQ188" s="120"/>
      <c r="CR188" s="120"/>
      <c r="CS188" s="120"/>
      <c r="CT188" s="120"/>
      <c r="CU188" s="120"/>
      <c r="CV188" s="120"/>
      <c r="CW188" s="120"/>
      <c r="CX188" s="120"/>
      <c r="CY188" s="120"/>
      <c r="CZ188" s="120"/>
      <c r="DA188" s="120"/>
      <c r="DB188" s="120"/>
      <c r="DC188" s="120"/>
      <c r="DD188" s="120"/>
      <c r="DE188" s="120"/>
      <c r="DF188" s="120"/>
      <c r="DG188" s="120"/>
      <c r="DH188" s="120"/>
      <c r="DI188" s="120"/>
      <c r="DJ188" s="120"/>
      <c r="DK188" s="120"/>
      <c r="DL188" s="120"/>
      <c r="DM188" s="120"/>
      <c r="DN188" s="120"/>
      <c r="DO188" s="120"/>
      <c r="DP188" s="120"/>
      <c r="DQ188" s="120"/>
      <c r="DR188" s="120"/>
      <c r="DS188" s="120"/>
      <c r="DT188" s="120"/>
      <c r="DU188" s="120"/>
      <c r="DV188" s="120"/>
      <c r="DW188" s="120"/>
      <c r="DX188" s="120"/>
      <c r="DY188" s="120"/>
      <c r="DZ188" s="120"/>
      <c r="EA188" s="120"/>
      <c r="EB188" s="120"/>
      <c r="EC188" s="120"/>
      <c r="ED188" s="120"/>
      <c r="EE188" s="120"/>
      <c r="EF188" s="120"/>
      <c r="EG188" s="120"/>
      <c r="EH188" s="120"/>
      <c r="EI188" s="120"/>
      <c r="EJ188" s="120"/>
      <c r="EK188" s="120"/>
      <c r="EL188" s="120"/>
      <c r="EM188" s="120"/>
      <c r="EN188" s="120"/>
      <c r="EO188" s="120"/>
      <c r="EP188" s="120"/>
      <c r="EQ188" s="120"/>
      <c r="ER188" s="120"/>
      <c r="ES188" s="120"/>
      <c r="ET188" s="120"/>
      <c r="EU188" s="120"/>
      <c r="EV188" s="120"/>
      <c r="EW188" s="120"/>
      <c r="EX188" s="120"/>
      <c r="EY188" s="120"/>
    </row>
    <row r="189">
      <c r="A189" s="112" t="s">
        <v>54</v>
      </c>
      <c r="B189" s="112" t="s">
        <v>62</v>
      </c>
      <c r="C189" s="112" t="s">
        <v>409</v>
      </c>
      <c r="D189" s="113">
        <f t="shared" si="1"/>
        <v>461.9238</v>
      </c>
      <c r="E189" s="114">
        <v>127.813433333334</v>
      </c>
      <c r="F189" s="114"/>
      <c r="G189" s="114"/>
      <c r="H189" s="114"/>
      <c r="I189" s="114"/>
      <c r="J189" s="114"/>
      <c r="K189" s="114"/>
      <c r="L189" s="114">
        <v>1.24551666666667</v>
      </c>
      <c r="M189" s="114"/>
      <c r="N189" s="114"/>
      <c r="O189" s="114">
        <v>18.6001166666667</v>
      </c>
      <c r="P189" s="112"/>
      <c r="Q189" s="112"/>
      <c r="R189" s="112">
        <v>87.1477333333334</v>
      </c>
      <c r="S189" s="112"/>
      <c r="T189" s="112"/>
      <c r="U189" s="112"/>
      <c r="V189" s="112"/>
      <c r="W189" s="112"/>
      <c r="X189" s="112">
        <v>1.51355</v>
      </c>
      <c r="Y189" s="112">
        <v>114.303316666667</v>
      </c>
      <c r="Z189" s="112"/>
      <c r="AA189" s="113"/>
      <c r="AB189" s="112"/>
      <c r="AC189" s="112"/>
      <c r="AD189" s="112"/>
      <c r="AE189" s="112">
        <v>3.58748333333333</v>
      </c>
      <c r="AF189" s="112"/>
      <c r="AG189" s="112"/>
      <c r="AH189" s="112">
        <v>50.0467666666667</v>
      </c>
      <c r="AI189" s="112"/>
      <c r="AJ189" s="112"/>
      <c r="AK189" s="112"/>
      <c r="AL189" s="113"/>
      <c r="AM189" s="112"/>
      <c r="AN189" s="112">
        <v>2.49141666666667</v>
      </c>
      <c r="AO189" s="112">
        <v>14.5089166666667</v>
      </c>
      <c r="AP189" s="112"/>
      <c r="AQ189" s="113"/>
      <c r="AR189" s="112"/>
      <c r="AS189" s="112">
        <v>8.6224</v>
      </c>
      <c r="AT189" s="112">
        <v>3.4399</v>
      </c>
      <c r="AU189" s="112"/>
      <c r="AV189" s="112"/>
      <c r="AW189" s="112">
        <v>1.5913</v>
      </c>
      <c r="AX189" s="112">
        <v>25.5505</v>
      </c>
      <c r="AY189" s="113"/>
      <c r="AZ189" s="112">
        <v>0.509516666666667</v>
      </c>
      <c r="BA189" s="112">
        <v>0.951933333333333</v>
      </c>
      <c r="BB189" s="113"/>
      <c r="BC189" s="113"/>
      <c r="BD189" s="113"/>
      <c r="BE189" s="113"/>
      <c r="BF189" s="113"/>
      <c r="BG189" s="113"/>
      <c r="BH189" s="113"/>
      <c r="BI189" s="113"/>
      <c r="BJ189" s="113"/>
      <c r="BK189" s="113"/>
      <c r="BL189" s="113"/>
      <c r="BM189" s="113"/>
      <c r="BN189" s="113"/>
      <c r="BO189" s="113"/>
      <c r="BP189" s="113"/>
      <c r="BQ189" s="113"/>
      <c r="BR189" s="113"/>
      <c r="BS189" s="113"/>
      <c r="BT189" s="113"/>
      <c r="BU189" s="113"/>
      <c r="BV189" s="113"/>
      <c r="BW189" s="113"/>
      <c r="BX189" s="113"/>
      <c r="BY189" s="113"/>
      <c r="BZ189" s="113"/>
      <c r="CA189" s="113"/>
      <c r="CB189" s="113"/>
      <c r="CC189" s="113"/>
      <c r="CD189" s="113"/>
      <c r="CE189" s="113"/>
      <c r="CF189" s="113"/>
      <c r="CG189" s="113"/>
      <c r="CH189" s="113"/>
      <c r="CI189" s="113"/>
      <c r="CJ189" s="113"/>
      <c r="CK189" s="113"/>
      <c r="CL189" s="113"/>
      <c r="CM189" s="113"/>
      <c r="CN189" s="113"/>
      <c r="CO189" s="113"/>
      <c r="CP189" s="113"/>
      <c r="CQ189" s="113"/>
      <c r="CR189" s="113"/>
      <c r="CS189" s="113"/>
      <c r="CT189" s="113"/>
      <c r="CU189" s="113"/>
      <c r="CV189" s="113"/>
      <c r="CW189" s="113"/>
      <c r="CX189" s="113"/>
      <c r="CY189" s="113"/>
      <c r="CZ189" s="113"/>
      <c r="DA189" s="113"/>
      <c r="DB189" s="113"/>
      <c r="DC189" s="113"/>
      <c r="DD189" s="113"/>
      <c r="DE189" s="113"/>
      <c r="DF189" s="113"/>
      <c r="DG189" s="113"/>
      <c r="DH189" s="113"/>
      <c r="DI189" s="113"/>
      <c r="DJ189" s="113"/>
      <c r="DK189" s="113"/>
      <c r="DL189" s="113"/>
      <c r="DM189" s="113"/>
      <c r="DN189" s="113"/>
      <c r="DO189" s="113"/>
      <c r="DP189" s="113"/>
      <c r="DQ189" s="113"/>
      <c r="DR189" s="113"/>
      <c r="DS189" s="113"/>
      <c r="DT189" s="113"/>
      <c r="DU189" s="113"/>
      <c r="DV189" s="113"/>
      <c r="DW189" s="113"/>
      <c r="DX189" s="113"/>
      <c r="DY189" s="113"/>
      <c r="DZ189" s="113"/>
      <c r="EA189" s="113"/>
      <c r="EB189" s="113"/>
      <c r="EC189" s="113"/>
      <c r="ED189" s="113"/>
      <c r="EE189" s="113"/>
      <c r="EF189" s="113"/>
      <c r="EG189" s="113"/>
      <c r="EH189" s="113"/>
      <c r="EI189" s="113"/>
      <c r="EJ189" s="113"/>
      <c r="EK189" s="113"/>
      <c r="EL189" s="113"/>
      <c r="EM189" s="113"/>
      <c r="EN189" s="113"/>
      <c r="EO189" s="113"/>
      <c r="EP189" s="113"/>
      <c r="EQ189" s="113"/>
      <c r="ER189" s="113"/>
      <c r="ES189" s="113"/>
      <c r="ET189" s="113"/>
      <c r="EU189" s="113"/>
      <c r="EV189" s="113"/>
      <c r="EW189" s="113"/>
      <c r="EX189" s="113"/>
      <c r="EY189" s="113"/>
    </row>
    <row r="190">
      <c r="A190" s="65" t="s">
        <v>54</v>
      </c>
      <c r="B190" s="65" t="s">
        <v>62</v>
      </c>
      <c r="C190" s="65" t="s">
        <v>410</v>
      </c>
      <c r="D190" s="64">
        <f t="shared" si="1"/>
        <v>449.9074667</v>
      </c>
      <c r="E190" s="115"/>
      <c r="F190" s="104">
        <v>2.53966666666667</v>
      </c>
      <c r="G190" s="104">
        <v>44.3757</v>
      </c>
      <c r="H190" s="104">
        <v>30.0143833333333</v>
      </c>
      <c r="I190" s="104">
        <v>7.64118333333334</v>
      </c>
      <c r="J190" s="104">
        <v>0.519633333333333</v>
      </c>
      <c r="K190" s="104">
        <v>31.2042</v>
      </c>
      <c r="L190" s="104"/>
      <c r="M190" s="104">
        <v>2.53966666666667</v>
      </c>
      <c r="N190" s="104">
        <v>44.3757</v>
      </c>
      <c r="O190" s="104"/>
      <c r="P190" s="65">
        <v>11.3518</v>
      </c>
      <c r="Q190" s="65"/>
      <c r="R190" s="65"/>
      <c r="S190" s="65">
        <v>0.2074</v>
      </c>
      <c r="T190" s="65">
        <v>28.5414833333333</v>
      </c>
      <c r="U190" s="65">
        <v>23.107</v>
      </c>
      <c r="V190" s="65">
        <v>5.1376</v>
      </c>
      <c r="W190" s="65">
        <v>18.9374833333333</v>
      </c>
      <c r="X190" s="65"/>
      <c r="Y190" s="65"/>
      <c r="Z190" s="65">
        <v>0.141616666666667</v>
      </c>
      <c r="AA190" s="65">
        <v>23.9121166666667</v>
      </c>
      <c r="AB190" s="65">
        <v>24.6338833333333</v>
      </c>
      <c r="AC190" s="65">
        <v>8.21403333333333</v>
      </c>
      <c r="AD190" s="65">
        <v>36.0512333333334</v>
      </c>
      <c r="AE190" s="65"/>
      <c r="AF190" s="65">
        <v>0.141616666666667</v>
      </c>
      <c r="AG190" s="65">
        <v>23.9121166666667</v>
      </c>
      <c r="AH190" s="65"/>
      <c r="AI190" s="65">
        <v>0.362616666666667</v>
      </c>
      <c r="AJ190" s="65">
        <v>7.0403</v>
      </c>
      <c r="AK190" s="65">
        <v>15.4519166666667</v>
      </c>
      <c r="AL190" s="65">
        <v>2.68251666666667</v>
      </c>
      <c r="AM190" s="65">
        <v>20.2524166666667</v>
      </c>
      <c r="AN190" s="65"/>
      <c r="AP190" s="65">
        <v>1.03958333333333</v>
      </c>
      <c r="AQ190" s="65">
        <v>1.11978333333333</v>
      </c>
      <c r="AR190" s="65">
        <v>7.199</v>
      </c>
      <c r="AT190" s="65"/>
      <c r="AU190" s="65">
        <v>0.336216666666667</v>
      </c>
      <c r="AV190" s="65">
        <v>2.44456666666667</v>
      </c>
      <c r="AY190" s="65">
        <v>24.4790333333334</v>
      </c>
    </row>
    <row r="191">
      <c r="A191" s="65" t="s">
        <v>54</v>
      </c>
      <c r="B191" s="65" t="s">
        <v>62</v>
      </c>
      <c r="C191" s="65" t="s">
        <v>411</v>
      </c>
      <c r="D191" s="64">
        <f t="shared" si="1"/>
        <v>0</v>
      </c>
      <c r="E191" s="115"/>
      <c r="F191" s="115"/>
      <c r="G191" s="115"/>
      <c r="H191" s="115"/>
      <c r="I191" s="115"/>
      <c r="J191" s="115"/>
      <c r="K191" s="115"/>
      <c r="L191" s="115"/>
      <c r="M191" s="115"/>
      <c r="N191" s="115"/>
      <c r="O191" s="115"/>
    </row>
    <row r="192">
      <c r="A192" s="65" t="s">
        <v>54</v>
      </c>
      <c r="B192" s="65" t="s">
        <v>62</v>
      </c>
      <c r="C192" s="65" t="s">
        <v>412</v>
      </c>
      <c r="D192" s="64">
        <f t="shared" si="1"/>
        <v>374.0204</v>
      </c>
      <c r="E192" s="115"/>
      <c r="F192" s="116">
        <f>HYPERLINK("https://docs.google.com/spreadsheets/d/1R5xOldfrDIsSJsFzJidE69NQqKEF0Fcq", 2.53966666666667)</f>
        <v>2.539666667</v>
      </c>
      <c r="G192" s="116">
        <f>HYPERLINK("https://docs.google.com/spreadsheets/d/1Qees6eVMvephBCMQ9Xv38Ee0gT56w_2J", 44.37575)</f>
        <v>44.37575</v>
      </c>
      <c r="H192" s="116">
        <f>HYPERLINK("https://docs.google.com/spreadsheets/d/1Qpy4MuGXGjT_-wq9gDMt02L0ZMZQVxLS", 30.0143833333333)</f>
        <v>30.01438333</v>
      </c>
      <c r="I192" s="117">
        <f>HYPERLINK("https://docs.google.com/spreadsheets/d/1itxXLj5rMRa_blVtLe31cTilJs3Tg2jQ", 7.59828333333334)</f>
        <v>7.598283333</v>
      </c>
      <c r="J192" s="116">
        <f>HYPERLINK("https://docs.google.com/spreadsheets/d/1uwbormKVTeuElEPgJkPGuJq94cdu9fyu", 0.519633333333333)</f>
        <v>0.5196333333</v>
      </c>
      <c r="K192" s="116">
        <f>HYPERLINK("https://docs.google.com/spreadsheets/d/1DSNYRiEsAAaErJJfasfyPoLMjn5TUgAI", 30.94385)</f>
        <v>30.94385</v>
      </c>
      <c r="L192" s="115"/>
      <c r="M192" s="104"/>
      <c r="N192" s="115"/>
      <c r="O192" s="115"/>
      <c r="P192" s="118">
        <f>HYPERLINK("https://docs.google.com/spreadsheets/d/1XwbyFtgaIp-OYEvX7U7W5auNAv8ov0t4", 11.3517833333333)</f>
        <v>11.35178333</v>
      </c>
      <c r="S192" s="118">
        <f>HYPERLINK("https://docs.google.com/spreadsheets/d/1iohdDCDIhbZamNVxNBvMB-L2oCDK-38t", 0.2074)</f>
        <v>0.2074</v>
      </c>
      <c r="T192" s="118">
        <f>HYPERLINK("https://docs.google.com/spreadsheets/d/1qm10fgbt8d6NY2cPf2UErw3hMc1Uvoi-", 27.7624333333333)</f>
        <v>27.76243333</v>
      </c>
      <c r="U192" s="118">
        <f>HYPERLINK("https://docs.google.com/spreadsheets/d/1K0bCyGhW70jmNopvWGtHUUnr0GGGeMqW", 20.9311166666667)</f>
        <v>20.93111667</v>
      </c>
      <c r="V192" s="118">
        <f>HYPERLINK("https://docs.google.com/spreadsheets/d/1hAFzWyrWZS5e-ppVXnh5z8JUDhbsCZbE", 4.82761666666667)</f>
        <v>4.827616667</v>
      </c>
      <c r="W192" s="118">
        <f>HYPERLINK("https://docs.google.com/spreadsheets/d/1AzAT1undem-nBrsEDBhHgv235Y4zAWzA", 18.80865)</f>
        <v>18.80865</v>
      </c>
      <c r="Z192" s="118">
        <f>HYPERLINK("https://docs.google.com/spreadsheets/d/1fGKbm_NDGMHVg9wXXC1mnP1Ja_rrdB3H", 0.141616666666667)</f>
        <v>0.1416166667</v>
      </c>
      <c r="AA192" s="118">
        <f>HYPERLINK("https://docs.google.com/spreadsheets/d/1H-n_6WwXCpyRe3AdTw0TC2qqo3ia660x", 23.9121)</f>
        <v>23.9121</v>
      </c>
      <c r="AB192" s="118">
        <f>HYPERLINK("https://docs.google.com/spreadsheets/d/1nu4W-chHFu5NUfPfxzV1zbU9L6qf69y0", 24.6339)</f>
        <v>24.6339</v>
      </c>
      <c r="AC192" s="118">
        <f>HYPERLINK("https://docs.google.com/spreadsheets/d/1rVOs-1uVyM-nrfL4jdIa1RJugbiXolyB", 8.21403333333333)</f>
        <v>8.214033333</v>
      </c>
      <c r="AD192" s="118">
        <f>HYPERLINK("https://docs.google.com/spreadsheets/d/1BysfazcmX7lDSWZmdnuYxQERIBZLlWqs", 35.9112666666667)</f>
        <v>35.91126667</v>
      </c>
      <c r="AI192" s="118">
        <f>HYPERLINK("https://docs.google.com/spreadsheets/d/1Ge-RvliQRuPfBZ07wAfaGWkWDgOuMYcT", 0.362616666666667)</f>
        <v>0.3626166667</v>
      </c>
      <c r="AJ192" s="118">
        <f>HYPERLINK("https://docs.google.com/spreadsheets/d/1gJcLbe7cimL0dVCMDJUfr0Pgs0g2d_WU", 6.90175)</f>
        <v>6.90175</v>
      </c>
      <c r="AK192" s="118">
        <f>HYPERLINK("https://docs.google.com/spreadsheets/d/1_62jCe9u9JPlMACmo_VK_VppQ-CXkK57", 15.4519166666667)</f>
        <v>15.45191667</v>
      </c>
      <c r="AL192" s="118">
        <f>HYPERLINK("https://docs.google.com/spreadsheets/d/1SJJEgNwwjshllXQTgiXyviFZFvgGgAL5", 2.68251666666667)</f>
        <v>2.682516667</v>
      </c>
      <c r="AM192" s="118">
        <f>HYPERLINK("https://docs.google.com/spreadsheets/d/1Bt-7yjnu8SBDMGYecqVEr9YwVujY0Vxn", 19.9479166666667)</f>
        <v>19.94791667</v>
      </c>
      <c r="AP192" s="118">
        <f>HYPERLINK("https://docs.google.com/spreadsheets/d/1gSvajVwEp2c70vYBM_s5etAjnLxJkTsf", 1.03958333333333)</f>
        <v>1.039583333</v>
      </c>
      <c r="AQ192" s="118">
        <f>HYPERLINK("https://docs.google.com/spreadsheets/d/19-WeiZlQalk5__-opfHaoaGFJF1mfD3d", 0.4818)</f>
        <v>0.4818</v>
      </c>
      <c r="AR192" s="118">
        <f>HYPERLINK("https://docs.google.com/spreadsheets/d/1g8RH6nDbJGsIl7XjPzyNCx1_xEKLkdA6", 7.199)</f>
        <v>7.199</v>
      </c>
      <c r="AU192" s="118">
        <f>HYPERLINK("https://docs.google.com/spreadsheets/d/16xQGgEnfq7RZk4BjyW5GN0-8DSRduhHj", 0.336216666666667)</f>
        <v>0.3362166667</v>
      </c>
      <c r="AV192" s="118">
        <f>HYPERLINK("https://docs.google.com/spreadsheets/d/1Lt6CWzfXslewhPgB6Bd5hyL_npiaLibq", 2.44456666666667)</f>
        <v>2.444566667</v>
      </c>
      <c r="AY192" s="118">
        <f>HYPERLINK("https://docs.google.com/spreadsheets/d/1SqAQBiNjbRWS7hV5B5TjOYaiPlQHx4mx", 24.4790333333334)</f>
        <v>24.47903333</v>
      </c>
    </row>
    <row r="193">
      <c r="A193" s="65" t="s">
        <v>54</v>
      </c>
      <c r="B193" s="65" t="s">
        <v>62</v>
      </c>
      <c r="C193" s="65" t="s">
        <v>413</v>
      </c>
      <c r="D193" s="64">
        <f t="shared" si="1"/>
        <v>212.3419667</v>
      </c>
      <c r="E193" s="115"/>
      <c r="F193" s="104">
        <v>8.88178419700125E-16</v>
      </c>
      <c r="G193" s="104">
        <v>2.82060000000001</v>
      </c>
      <c r="H193" s="104">
        <v>7.25645000000002</v>
      </c>
      <c r="I193" s="104">
        <v>1.14496666666667</v>
      </c>
      <c r="J193" s="104">
        <v>0.0</v>
      </c>
      <c r="K193" s="104">
        <v>30.94385</v>
      </c>
      <c r="L193" s="104"/>
      <c r="M193" s="104"/>
      <c r="N193" s="104"/>
      <c r="O193" s="104"/>
      <c r="P193" s="65">
        <v>11.3517833333333</v>
      </c>
      <c r="Q193" s="65"/>
      <c r="R193" s="65"/>
      <c r="S193" s="65">
        <v>0.2074</v>
      </c>
      <c r="T193" s="65">
        <v>27.7624333333333</v>
      </c>
      <c r="U193" s="65">
        <v>5.46220000000001</v>
      </c>
      <c r="V193" s="65">
        <v>1.62491666666667</v>
      </c>
      <c r="W193" s="65">
        <v>18.80865</v>
      </c>
      <c r="X193" s="65"/>
      <c r="Y193" s="65"/>
      <c r="Z193" s="65">
        <v>0.141616666666667</v>
      </c>
      <c r="AA193" s="65">
        <v>18.3769833333333</v>
      </c>
      <c r="AB193" s="65">
        <v>6.17881666666667</v>
      </c>
      <c r="AC193" s="65">
        <v>1.47636666666667</v>
      </c>
      <c r="AD193" s="65">
        <v>13.353</v>
      </c>
      <c r="AE193" s="65"/>
      <c r="AF193" s="65"/>
      <c r="AG193" s="65"/>
      <c r="AH193" s="65"/>
      <c r="AI193" s="65">
        <v>0.362616666666667</v>
      </c>
      <c r="AJ193" s="65">
        <v>6.90175</v>
      </c>
      <c r="AK193" s="65">
        <v>3.77745</v>
      </c>
      <c r="AL193" s="65">
        <v>0.482733333333332</v>
      </c>
      <c r="AM193" s="65">
        <v>19.9479166666667</v>
      </c>
      <c r="AN193" s="65"/>
      <c r="AP193" s="65">
        <v>1.03958333333333</v>
      </c>
      <c r="AQ193" s="65">
        <v>0.0</v>
      </c>
      <c r="AR193" s="65">
        <v>7.199</v>
      </c>
      <c r="AT193" s="65"/>
      <c r="AU193" s="65">
        <v>0.0</v>
      </c>
      <c r="AV193" s="65">
        <v>1.24185</v>
      </c>
      <c r="AY193" s="65">
        <v>24.4790333333334</v>
      </c>
    </row>
    <row r="194">
      <c r="A194" s="119" t="s">
        <v>54</v>
      </c>
      <c r="B194" s="119" t="s">
        <v>62</v>
      </c>
      <c r="C194" s="119" t="s">
        <v>414</v>
      </c>
      <c r="D194" s="120">
        <f t="shared" si="1"/>
        <v>0.3362166667</v>
      </c>
      <c r="E194" s="121"/>
      <c r="F194" s="122">
        <f>HYPERLINK("https://docs.google.com/spreadsheets/d/1R5xOldfrDIsSJsFzJidE69NQqKEF0Fcq", 0)</f>
        <v>0</v>
      </c>
      <c r="G194" s="122">
        <f>HYPERLINK("https://docs.google.com/spreadsheets/d/1Qees6eVMvephBCMQ9Xv38Ee0gT56w_2J", 0)</f>
        <v>0</v>
      </c>
      <c r="H194" s="122">
        <f>HYPERLINK("https://docs.google.com/spreadsheets/d/1Qpy4MuGXGjT_-wq9gDMt02L0ZMZQVxLS", 0)</f>
        <v>0</v>
      </c>
      <c r="I194" s="122">
        <f>HYPERLINK("https://docs.google.com/spreadsheets/d/1itxXLj5rMRa_blVtLe31cTilJs3Tg2jQ", 0)</f>
        <v>0</v>
      </c>
      <c r="J194" s="122">
        <f>HYPERLINK("https://docs.google.com/spreadsheets/d/1uwbormKVTeuElEPgJkPGuJq94cdu9fyu", 0)</f>
        <v>0</v>
      </c>
      <c r="K194" s="127">
        <f>HYPERLINK("https://docs.google.com/spreadsheets/d/1DSNYRiEsAAaErJJfasfyPoLMjn5TUgAI", 0)</f>
        <v>0</v>
      </c>
      <c r="L194" s="121"/>
      <c r="M194" s="121"/>
      <c r="N194" s="121"/>
      <c r="O194" s="121"/>
      <c r="P194" s="124">
        <f>HYPERLINK("https://docs.google.com/spreadsheets/d/1XwbyFtgaIp-OYEvX7U7W5auNAv8ov0t4", 0)</f>
        <v>0</v>
      </c>
      <c r="Q194" s="120"/>
      <c r="R194" s="119"/>
      <c r="S194" s="124">
        <f>HYPERLINK("https://docs.google.com/spreadsheets/d/1iohdDCDIhbZamNVxNBvMB-L2oCDK-38t", 0)</f>
        <v>0</v>
      </c>
      <c r="T194" s="125">
        <f>HYPERLINK("https://docs.google.com/spreadsheets/d/1qm10fgbt8d6NY2cPf2UErw3hMc1Uvoi-", 0)</f>
        <v>0</v>
      </c>
      <c r="U194" s="124">
        <f>HYPERLINK("https://docs.google.com/spreadsheets/d/1K0bCyGhW70jmNopvWGtHUUnr0GGGeMqW", 0)</f>
        <v>0</v>
      </c>
      <c r="V194" s="124">
        <f>HYPERLINK("https://docs.google.com/spreadsheets/d/1hAFzWyrWZS5e-ppVXnh5z8JUDhbsCZbE", 0)</f>
        <v>0</v>
      </c>
      <c r="W194" s="124">
        <f>HYPERLINK("https://docs.google.com/spreadsheets/d/1AzAT1undem-nBrsEDBhHgv235Y4zAWzA", 0)</f>
        <v>0</v>
      </c>
      <c r="X194" s="120"/>
      <c r="Y194" s="119"/>
      <c r="Z194" s="124">
        <f>HYPERLINK("https://docs.google.com/spreadsheets/d/1fGKbm_NDGMHVg9wXXC1mnP1Ja_rrdB3H", 0)</f>
        <v>0</v>
      </c>
      <c r="AA194" s="124">
        <f>HYPERLINK("https://docs.google.com/spreadsheets/d/1H-n_6WwXCpyRe3AdTw0TC2qqo3ia660x", 0)</f>
        <v>0</v>
      </c>
      <c r="AB194" s="124">
        <f>HYPERLINK("https://docs.google.com/spreadsheets/d/1nu4W-chHFu5NUfPfxzV1zbU9L6qf69y0", 0)</f>
        <v>0</v>
      </c>
      <c r="AC194" s="124">
        <f>HYPERLINK("https://docs.google.com/spreadsheets/d/1rVOs-1uVyM-nrfL4jdIa1RJugbiXolyB", 0)</f>
        <v>0</v>
      </c>
      <c r="AD194" s="124">
        <f>HYPERLINK("https://docs.google.com/spreadsheets/d/1BysfazcmX7lDSWZmdnuYxQERIBZLlWqs", 0)</f>
        <v>0</v>
      </c>
      <c r="AE194" s="119"/>
      <c r="AF194" s="119"/>
      <c r="AG194" s="119"/>
      <c r="AH194" s="119"/>
      <c r="AI194" s="124">
        <f>HYPERLINK("https://docs.google.com/spreadsheets/d/1Ge-RvliQRuPfBZ07wAfaGWkWDgOuMYcT", 0)</f>
        <v>0</v>
      </c>
      <c r="AJ194" s="124">
        <f>HYPERLINK("https://docs.google.com/spreadsheets/d/1gJcLbe7cimL0dVCMDJUfr0Pgs0g2d_WU", 0)</f>
        <v>0</v>
      </c>
      <c r="AK194" s="124">
        <f>HYPERLINK("https://docs.google.com/spreadsheets/d/1_62jCe9u9JPlMACmo_VK_VppQ-CXkK57", 0)</f>
        <v>0</v>
      </c>
      <c r="AL194" s="124">
        <f>HYPERLINK("https://docs.google.com/spreadsheets/d/1SJJEgNwwjshllXQTgiXyviFZFvgGgAL5", 0)</f>
        <v>0</v>
      </c>
      <c r="AM194" s="124">
        <f>HYPERLINK("https://docs.google.com/spreadsheets/d/1Bt-7yjnu8SBDMGYecqVEr9YwVujY0Vxn", 0)</f>
        <v>0</v>
      </c>
      <c r="AN194" s="120"/>
      <c r="AO194" s="120"/>
      <c r="AP194" s="124">
        <f>HYPERLINK("https://docs.google.com/spreadsheets/d/1gSvajVwEp2c70vYBM_s5etAjnLxJkTsf", 0)</f>
        <v>0</v>
      </c>
      <c r="AQ194" s="125">
        <f>HYPERLINK("https://docs.google.com/spreadsheets/d/19-WeiZlQalk5__-opfHaoaGFJF1mfD3d", 0)</f>
        <v>0</v>
      </c>
      <c r="AR194" s="125">
        <f>HYPERLINK("https://docs.google.com/spreadsheets/d/1g8RH6nDbJGsIl7XjPzyNCx1_xEKLkdA6", 0)</f>
        <v>0</v>
      </c>
      <c r="AS194" s="120"/>
      <c r="AT194" s="120"/>
      <c r="AU194" s="124">
        <f>HYPERLINK("https://docs.google.com/spreadsheets/d/16xQGgEnfq7RZk4BjyW5GN0-8DSRduhHj", 0.336216666666667)</f>
        <v>0.3362166667</v>
      </c>
      <c r="AV194" s="124">
        <f>HYPERLINK("https://docs.google.com/spreadsheets/d/1Lt6CWzfXslewhPgB6Bd5hyL_npiaLibq", 0)</f>
        <v>0</v>
      </c>
      <c r="AW194" s="120"/>
      <c r="AX194" s="120"/>
      <c r="AY194" s="124">
        <f>HYPERLINK("https://docs.google.com/spreadsheets/d/1SqAQBiNjbRWS7hV5B5TjOYaiPlQHx4mx", 0)</f>
        <v>0</v>
      </c>
      <c r="AZ194" s="120"/>
      <c r="BA194" s="120"/>
      <c r="BB194" s="120"/>
      <c r="BC194" s="120"/>
      <c r="BD194" s="120"/>
      <c r="BE194" s="120"/>
      <c r="BF194" s="120"/>
      <c r="BG194" s="120"/>
      <c r="BH194" s="120"/>
      <c r="BI194" s="120"/>
      <c r="BJ194" s="120"/>
      <c r="BK194" s="120"/>
      <c r="BL194" s="120"/>
      <c r="BM194" s="120"/>
      <c r="BN194" s="120"/>
      <c r="BO194" s="120"/>
      <c r="BP194" s="120"/>
      <c r="BQ194" s="120"/>
      <c r="BR194" s="120"/>
      <c r="BS194" s="120"/>
      <c r="BT194" s="120"/>
      <c r="BU194" s="120"/>
      <c r="BV194" s="120"/>
      <c r="BW194" s="120"/>
      <c r="BX194" s="120"/>
      <c r="BY194" s="120"/>
      <c r="BZ194" s="120"/>
      <c r="CA194" s="120"/>
      <c r="CB194" s="120"/>
      <c r="CC194" s="120"/>
      <c r="CD194" s="120"/>
      <c r="CE194" s="120"/>
      <c r="CF194" s="120"/>
      <c r="CG194" s="120"/>
      <c r="CH194" s="120"/>
      <c r="CI194" s="120"/>
      <c r="CJ194" s="120"/>
      <c r="CK194" s="120"/>
      <c r="CL194" s="120"/>
      <c r="CM194" s="120"/>
      <c r="CN194" s="120"/>
      <c r="CO194" s="120"/>
      <c r="CP194" s="120"/>
      <c r="CQ194" s="120"/>
      <c r="CR194" s="120"/>
      <c r="CS194" s="120"/>
      <c r="CT194" s="120"/>
      <c r="CU194" s="120"/>
      <c r="CV194" s="120"/>
      <c r="CW194" s="120"/>
      <c r="CX194" s="120"/>
      <c r="CY194" s="120"/>
      <c r="CZ194" s="120"/>
      <c r="DA194" s="120"/>
      <c r="DB194" s="120"/>
      <c r="DC194" s="120"/>
      <c r="DD194" s="120"/>
      <c r="DE194" s="120"/>
      <c r="DF194" s="120"/>
      <c r="DG194" s="120"/>
      <c r="DH194" s="120"/>
      <c r="DI194" s="120"/>
      <c r="DJ194" s="120"/>
      <c r="DK194" s="120"/>
      <c r="DL194" s="120"/>
      <c r="DM194" s="120"/>
      <c r="DN194" s="120"/>
      <c r="DO194" s="120"/>
      <c r="DP194" s="120"/>
      <c r="DQ194" s="120"/>
      <c r="DR194" s="120"/>
      <c r="DS194" s="120"/>
      <c r="DT194" s="120"/>
      <c r="DU194" s="120"/>
      <c r="DV194" s="120"/>
      <c r="DW194" s="120"/>
      <c r="DX194" s="120"/>
      <c r="DY194" s="120"/>
      <c r="DZ194" s="120"/>
      <c r="EA194" s="120"/>
      <c r="EB194" s="120"/>
      <c r="EC194" s="120"/>
      <c r="ED194" s="120"/>
      <c r="EE194" s="120"/>
      <c r="EF194" s="120"/>
      <c r="EG194" s="120"/>
      <c r="EH194" s="120"/>
      <c r="EI194" s="120"/>
      <c r="EJ194" s="120"/>
      <c r="EK194" s="120"/>
      <c r="EL194" s="120"/>
      <c r="EM194" s="120"/>
      <c r="EN194" s="120"/>
      <c r="EO194" s="120"/>
      <c r="EP194" s="120"/>
      <c r="EQ194" s="120"/>
      <c r="ER194" s="120"/>
      <c r="ES194" s="120"/>
      <c r="ET194" s="120"/>
      <c r="EU194" s="120"/>
      <c r="EV194" s="120"/>
      <c r="EW194" s="120"/>
      <c r="EX194" s="120"/>
      <c r="EY194" s="120"/>
    </row>
    <row r="195">
      <c r="A195" s="112" t="s">
        <v>54</v>
      </c>
      <c r="B195" s="112" t="s">
        <v>63</v>
      </c>
      <c r="C195" s="112" t="s">
        <v>409</v>
      </c>
      <c r="D195" s="113">
        <f t="shared" si="1"/>
        <v>519.3046333</v>
      </c>
      <c r="E195" s="114">
        <v>58.5848000000001</v>
      </c>
      <c r="F195" s="114"/>
      <c r="G195" s="114"/>
      <c r="H195" s="114"/>
      <c r="I195" s="114"/>
      <c r="J195" s="114"/>
      <c r="K195" s="114"/>
      <c r="L195" s="114">
        <v>0.976083333333333</v>
      </c>
      <c r="M195" s="114"/>
      <c r="N195" s="114"/>
      <c r="O195" s="114">
        <v>5.10121666666667</v>
      </c>
      <c r="P195" s="112"/>
      <c r="Q195" s="112">
        <v>0.174016666666667</v>
      </c>
      <c r="R195" s="112">
        <v>32.32135</v>
      </c>
      <c r="S195" s="112"/>
      <c r="T195" s="112"/>
      <c r="U195" s="112"/>
      <c r="V195" s="112"/>
      <c r="W195" s="112"/>
      <c r="X195" s="112">
        <v>0.43605</v>
      </c>
      <c r="Y195" s="112">
        <v>156.24775</v>
      </c>
      <c r="Z195" s="112"/>
      <c r="AA195" s="113"/>
      <c r="AB195" s="112"/>
      <c r="AC195" s="112"/>
      <c r="AD195" s="112"/>
      <c r="AE195" s="112">
        <v>1.22966666666667</v>
      </c>
      <c r="AF195" s="112"/>
      <c r="AG195" s="112"/>
      <c r="AH195" s="112">
        <v>129.71235</v>
      </c>
      <c r="AI195" s="112"/>
      <c r="AJ195" s="112"/>
      <c r="AK195" s="112"/>
      <c r="AL195" s="113"/>
      <c r="AM195" s="112"/>
      <c r="AN195" s="112">
        <v>3.20908333333333</v>
      </c>
      <c r="AO195" s="112">
        <v>56.6692833333333</v>
      </c>
      <c r="AP195" s="112"/>
      <c r="AQ195" s="113"/>
      <c r="AR195" s="112"/>
      <c r="AS195" s="112">
        <v>7.00855</v>
      </c>
      <c r="AT195" s="112">
        <v>8.4223</v>
      </c>
      <c r="AU195" s="112"/>
      <c r="AV195" s="112"/>
      <c r="AW195" s="112">
        <v>1.37941666666667</v>
      </c>
      <c r="AX195" s="112">
        <v>55.4279166666666</v>
      </c>
      <c r="AY195" s="113"/>
      <c r="AZ195" s="112">
        <v>1.65778333333333</v>
      </c>
      <c r="BA195" s="112">
        <v>0.747016666666667</v>
      </c>
      <c r="BB195" s="113"/>
      <c r="BC195" s="113"/>
      <c r="BD195" s="113"/>
      <c r="BE195" s="113"/>
      <c r="BF195" s="113"/>
      <c r="BG195" s="113"/>
      <c r="BH195" s="113"/>
      <c r="BI195" s="113"/>
      <c r="BJ195" s="113"/>
      <c r="BK195" s="113"/>
      <c r="BL195" s="113"/>
      <c r="BM195" s="113"/>
      <c r="BN195" s="113"/>
      <c r="BO195" s="113"/>
      <c r="BP195" s="113"/>
      <c r="BQ195" s="113"/>
      <c r="BR195" s="113"/>
      <c r="BS195" s="113"/>
      <c r="BT195" s="113"/>
      <c r="BU195" s="113"/>
      <c r="BV195" s="113"/>
      <c r="BW195" s="113"/>
      <c r="BX195" s="113"/>
      <c r="BY195" s="113"/>
      <c r="BZ195" s="113"/>
      <c r="CA195" s="113"/>
      <c r="CB195" s="113"/>
      <c r="CC195" s="113"/>
      <c r="CD195" s="113"/>
      <c r="CE195" s="113"/>
      <c r="CF195" s="113"/>
      <c r="CG195" s="113"/>
      <c r="CH195" s="113"/>
      <c r="CI195" s="113"/>
      <c r="CJ195" s="113"/>
      <c r="CK195" s="113"/>
      <c r="CL195" s="113"/>
      <c r="CM195" s="113"/>
      <c r="CN195" s="113"/>
      <c r="CO195" s="113"/>
      <c r="CP195" s="113"/>
      <c r="CQ195" s="113"/>
      <c r="CR195" s="113"/>
      <c r="CS195" s="113"/>
      <c r="CT195" s="113"/>
      <c r="CU195" s="113"/>
      <c r="CV195" s="113"/>
      <c r="CW195" s="113"/>
      <c r="CX195" s="113"/>
      <c r="CY195" s="113"/>
      <c r="CZ195" s="113"/>
      <c r="DA195" s="113"/>
      <c r="DB195" s="113"/>
      <c r="DC195" s="113"/>
      <c r="DD195" s="113"/>
      <c r="DE195" s="113"/>
      <c r="DF195" s="113"/>
      <c r="DG195" s="113"/>
      <c r="DH195" s="113"/>
      <c r="DI195" s="113"/>
      <c r="DJ195" s="113"/>
      <c r="DK195" s="113"/>
      <c r="DL195" s="113"/>
      <c r="DM195" s="113"/>
      <c r="DN195" s="113"/>
      <c r="DO195" s="113"/>
      <c r="DP195" s="113"/>
      <c r="DQ195" s="113"/>
      <c r="DR195" s="113"/>
      <c r="DS195" s="113"/>
      <c r="DT195" s="113"/>
      <c r="DU195" s="113"/>
      <c r="DV195" s="113"/>
      <c r="DW195" s="113"/>
      <c r="DX195" s="113"/>
      <c r="DY195" s="113"/>
      <c r="DZ195" s="113"/>
      <c r="EA195" s="113"/>
      <c r="EB195" s="113"/>
      <c r="EC195" s="113"/>
      <c r="ED195" s="113"/>
      <c r="EE195" s="113"/>
      <c r="EF195" s="113"/>
      <c r="EG195" s="113"/>
      <c r="EH195" s="113"/>
      <c r="EI195" s="113"/>
      <c r="EJ195" s="113"/>
      <c r="EK195" s="113"/>
      <c r="EL195" s="113"/>
      <c r="EM195" s="113"/>
      <c r="EN195" s="113"/>
      <c r="EO195" s="113"/>
      <c r="EP195" s="113"/>
      <c r="EQ195" s="113"/>
      <c r="ER195" s="113"/>
      <c r="ES195" s="113"/>
      <c r="ET195" s="113"/>
      <c r="EU195" s="113"/>
      <c r="EV195" s="113"/>
      <c r="EW195" s="113"/>
      <c r="EX195" s="113"/>
      <c r="EY195" s="113"/>
    </row>
    <row r="196">
      <c r="A196" s="65" t="s">
        <v>54</v>
      </c>
      <c r="B196" s="65" t="s">
        <v>63</v>
      </c>
      <c r="C196" s="65" t="s">
        <v>410</v>
      </c>
      <c r="D196" s="64">
        <f t="shared" si="1"/>
        <v>451.4912333</v>
      </c>
      <c r="E196" s="104"/>
      <c r="F196" s="104">
        <v>0.184933333333333</v>
      </c>
      <c r="G196" s="104">
        <v>20.5890333333333</v>
      </c>
      <c r="H196" s="104">
        <v>9.52853333333334</v>
      </c>
      <c r="I196" s="104">
        <v>2.45951666666667</v>
      </c>
      <c r="J196" s="104">
        <v>0.777433333333333</v>
      </c>
      <c r="K196" s="104">
        <v>18.7666166666667</v>
      </c>
      <c r="L196" s="104"/>
      <c r="M196" s="104">
        <v>0.184933333333333</v>
      </c>
      <c r="N196" s="104">
        <v>20.5890333333333</v>
      </c>
      <c r="O196" s="104"/>
      <c r="P196" s="65">
        <v>1.96225</v>
      </c>
      <c r="Q196" s="65"/>
      <c r="R196" s="65"/>
      <c r="S196" s="65">
        <v>0.222083333333333</v>
      </c>
      <c r="T196" s="65">
        <v>10.3073</v>
      </c>
      <c r="U196" s="65">
        <v>9.18968333333333</v>
      </c>
      <c r="V196" s="65">
        <v>3.42763333333333</v>
      </c>
      <c r="W196" s="65">
        <v>4.66613333333333</v>
      </c>
      <c r="X196" s="65"/>
      <c r="Y196" s="65"/>
      <c r="Z196" s="65">
        <v>3.32703333333333</v>
      </c>
      <c r="AA196" s="65">
        <v>5.33696666666667</v>
      </c>
      <c r="AB196" s="65">
        <v>38.694</v>
      </c>
      <c r="AC196" s="65">
        <v>6.2147</v>
      </c>
      <c r="AD196" s="65">
        <v>65.0227</v>
      </c>
      <c r="AE196" s="65"/>
      <c r="AF196" s="65">
        <v>3.32703333333333</v>
      </c>
      <c r="AG196" s="65">
        <v>5.33696666666667</v>
      </c>
      <c r="AH196" s="65"/>
      <c r="AI196" s="65">
        <v>0.464533333333333</v>
      </c>
      <c r="AJ196" s="65">
        <v>7.95896666666667</v>
      </c>
      <c r="AK196" s="65">
        <v>42.2122833333334</v>
      </c>
      <c r="AL196" s="65">
        <v>4.70031666666667</v>
      </c>
      <c r="AM196" s="65">
        <v>62.4802333333333</v>
      </c>
      <c r="AN196" s="65"/>
      <c r="AP196" s="65">
        <v>21.3641333333333</v>
      </c>
      <c r="AQ196" s="65">
        <v>6.20008333333333</v>
      </c>
      <c r="AR196" s="65">
        <v>14.5973</v>
      </c>
      <c r="AT196" s="65"/>
      <c r="AU196" s="65">
        <v>4.46815</v>
      </c>
      <c r="AV196" s="65">
        <v>1.90563333333333</v>
      </c>
      <c r="AY196" s="65">
        <v>55.0250833333333</v>
      </c>
    </row>
    <row r="197">
      <c r="A197" s="65" t="s">
        <v>54</v>
      </c>
      <c r="B197" s="65" t="s">
        <v>63</v>
      </c>
      <c r="C197" s="65" t="s">
        <v>411</v>
      </c>
      <c r="D197" s="64">
        <f t="shared" si="1"/>
        <v>0</v>
      </c>
      <c r="E197" s="115"/>
      <c r="F197" s="115"/>
      <c r="G197" s="115"/>
      <c r="H197" s="115"/>
      <c r="I197" s="115"/>
      <c r="J197" s="115"/>
      <c r="K197" s="115"/>
      <c r="L197" s="115"/>
      <c r="M197" s="115"/>
      <c r="N197" s="115"/>
      <c r="O197" s="115"/>
    </row>
    <row r="198">
      <c r="A198" s="65" t="s">
        <v>54</v>
      </c>
      <c r="B198" s="65" t="s">
        <v>63</v>
      </c>
      <c r="C198" s="65" t="s">
        <v>412</v>
      </c>
      <c r="D198" s="64">
        <f t="shared" si="1"/>
        <v>414.9518833</v>
      </c>
      <c r="E198" s="115"/>
      <c r="F198" s="117">
        <f>HYPERLINK("https://docs.google.com/spreadsheets/d/1L08sRNIcIsNp9KOp3QDQxR7lZA0MeLE-", 0.184933333333333)</f>
        <v>0.1849333333</v>
      </c>
      <c r="G198" s="116">
        <f>HYPERLINK("https://docs.google.com/spreadsheets/d/15-uWDTLw-OO4-5XpgKEsywy5ETHR-_gn", 20.5890666666667)</f>
        <v>20.58906667</v>
      </c>
      <c r="H198" s="116">
        <f>HYPERLINK("https://docs.google.com/spreadsheets/d/1f3ceEEgWW-ZtfD4r8DKSQVqvij15Hhfh", 9.52855)</f>
        <v>9.52855</v>
      </c>
      <c r="I198" s="117">
        <f>HYPERLINK("https://docs.google.com/spreadsheets/d/1VutnDKi7E44GS7DOWY4P3m-G5QGMQo9s", 2.45951666666667)</f>
        <v>2.459516667</v>
      </c>
      <c r="J198" s="116">
        <f>HYPERLINK("https://docs.google.com/spreadsheets/d/1RgYvhYvxWWL8dgmjIh78o67A1s9TP4oU", 0.194633333333333)</f>
        <v>0.1946333333</v>
      </c>
      <c r="K198" s="117">
        <f>HYPERLINK("https://docs.google.com/spreadsheets/d/1zv68wGtQuc6yCKSA1LNNrh-qN7ZHZGtw", 18.7665833333333)</f>
        <v>18.76658333</v>
      </c>
      <c r="L198" s="115"/>
      <c r="M198" s="104"/>
      <c r="N198" s="115"/>
      <c r="O198" s="115"/>
      <c r="P198" s="118">
        <f>HYPERLINK("https://docs.google.com/spreadsheets/d/1HpCs05b-DVBW8MXuqV-dhD5bhOPrHDpv", 1.96225)</f>
        <v>1.96225</v>
      </c>
      <c r="S198" s="118">
        <f>HYPERLINK("https://docs.google.com/spreadsheets/d/1KIZB2oZX54EN6hqPZTxIea3NCvhtDfrE", 0.222083333333333)</f>
        <v>0.2220833333</v>
      </c>
      <c r="T198" s="118">
        <f>HYPERLINK("https://docs.google.com/spreadsheets/d/1lymKZ2R5SYR6dldwVCV8yiOzWP-cQP-0", 9.92815)</f>
        <v>9.92815</v>
      </c>
      <c r="U198" s="118">
        <f>HYPERLINK("https://docs.google.com/spreadsheets/d/1_dfYAvZWJP-5yswt2RP4ALEtgbXEzu99", 9.18968333333333)</f>
        <v>9.189683333</v>
      </c>
      <c r="V198" s="118">
        <f>HYPERLINK("https://docs.google.com/spreadsheets/d/1hGmCSncduupbxo35qa6dJqyNLH5LXNrY", 3.42763333333333)</f>
        <v>3.427633333</v>
      </c>
      <c r="W198" s="118">
        <f>HYPERLINK("https://docs.google.com/spreadsheets/d/10DQTeMQouXGGUNcwzuISVSz0Uc4HONsY", 4.66615)</f>
        <v>4.66615</v>
      </c>
      <c r="Z198" s="118">
        <f>HYPERLINK("https://docs.google.com/spreadsheets/d/1LLgq6e0XetBKr0n4jGiR6FzSW1EP8h0m", 3.32703333333333)</f>
        <v>3.327033333</v>
      </c>
      <c r="AA198" s="118">
        <f>HYPERLINK("https://docs.google.com/spreadsheets/d/18IxKvReTNpVpWTJyuGP53XJD1fzLFfbj", 5.33696666666667)</f>
        <v>5.336966667</v>
      </c>
      <c r="AB198" s="118">
        <f>HYPERLINK("https://docs.google.com/spreadsheets/d/1m8UxPF_DjjgXQ6RYczA20zz053ar0EgS", 38.69395)</f>
        <v>38.69395</v>
      </c>
      <c r="AC198" s="118">
        <f>HYPERLINK("https://docs.google.com/spreadsheets/d/1yJ6clUJCGBYObZdQDFNE3pEri4OmJu3Z", 6.2147)</f>
        <v>6.2147</v>
      </c>
      <c r="AD198" s="118">
        <f>HYPERLINK("https://docs.google.com/spreadsheets/d/1K32I8Wtb33-orKFHSiQ4XvQUnPVOX2lf", 64.8541166666667)</f>
        <v>64.85411667</v>
      </c>
      <c r="AI198" s="118">
        <f>HYPERLINK("https://docs.google.com/spreadsheets/d/1fwCsz6aV-D97eSS82CAb54RAeVhQbkEc", 0.464533333333333)</f>
        <v>0.4645333333</v>
      </c>
      <c r="AJ198" s="118">
        <f>HYPERLINK("https://docs.google.com/spreadsheets/d/10BkKeMSL9eJioCqoJHT_FzQBJRO6XbxK", 7.95895)</f>
        <v>7.95895</v>
      </c>
      <c r="AK198" s="118">
        <f>HYPERLINK("https://docs.google.com/spreadsheets/d/1aKS0eMKQ2l0JWts7eDEnJPFk51RCxpo5", 42.10145)</f>
        <v>42.10145</v>
      </c>
      <c r="AL198" s="118">
        <f>HYPERLINK("https://docs.google.com/spreadsheets/d/1DENXKsMI9q-qUWpQ9H6BAl6Chg0Ss3hn", 4.70031666666667)</f>
        <v>4.700316667</v>
      </c>
      <c r="AM198" s="118">
        <f>HYPERLINK("https://docs.google.com/spreadsheets/d/1fbTFcx3IbeQpexzRUT7gf5n3HOQ7XReJ", 62.0429166666666)</f>
        <v>62.04291667</v>
      </c>
      <c r="AP198" s="118">
        <f>HYPERLINK("https://docs.google.com/spreadsheets/d/1oMW9iQDomh0RwCWTjPPGRPLsjVjXZ68K", 16.0763166666667)</f>
        <v>16.07631667</v>
      </c>
      <c r="AQ198" s="118">
        <f>HYPERLINK("https://docs.google.com/spreadsheets/d/1ykhW2FJdCOtuw0z1KNOn80wxusaiu7op", 6.20008333333333)</f>
        <v>6.200083333</v>
      </c>
      <c r="AR198" s="118">
        <f>HYPERLINK("https://docs.google.com/spreadsheets/d/1bdImCbcgujSxJKkkNtLQuXQq3guNwCFK", 14.59725)</f>
        <v>14.59725</v>
      </c>
      <c r="AU198" s="118">
        <f>HYPERLINK("https://docs.google.com/spreadsheets/d/1b4oDwszFP3DAvrJ1qnUFT1mEKGcgutzD", 4.46815)</f>
        <v>4.46815</v>
      </c>
      <c r="AV198" s="118">
        <f>HYPERLINK("https://docs.google.com/spreadsheets/d/1rkUNTV-rfzc38XZosBJDc_v--yGUetJX", 1.90563333333333)</f>
        <v>1.905633333</v>
      </c>
      <c r="AY198" s="118">
        <f>HYPERLINK("https://docs.google.com/spreadsheets/d/1jzLPST9if1C5NCMekIxxaUR7C9i15YNH", 54.8902833333334)</f>
        <v>54.89028333</v>
      </c>
    </row>
    <row r="199">
      <c r="A199" s="65" t="s">
        <v>54</v>
      </c>
      <c r="B199" s="65" t="s">
        <v>63</v>
      </c>
      <c r="C199" s="65" t="s">
        <v>413</v>
      </c>
      <c r="D199" s="64">
        <f t="shared" si="1"/>
        <v>258.88585</v>
      </c>
      <c r="E199" s="115"/>
      <c r="F199" s="104">
        <v>0.0</v>
      </c>
      <c r="G199" s="104">
        <v>1.06581410364015E-14</v>
      </c>
      <c r="H199" s="104">
        <v>1.2976</v>
      </c>
      <c r="I199" s="104">
        <v>0.322166666666667</v>
      </c>
      <c r="J199" s="104">
        <v>0.0</v>
      </c>
      <c r="K199" s="104">
        <v>18.7665833333333</v>
      </c>
      <c r="L199" s="104"/>
      <c r="M199" s="104"/>
      <c r="N199" s="104"/>
      <c r="O199" s="104"/>
      <c r="P199" s="65">
        <v>1.96225</v>
      </c>
      <c r="Q199" s="65"/>
      <c r="R199" s="65"/>
      <c r="S199" s="65">
        <v>0.222083333333333</v>
      </c>
      <c r="T199" s="65">
        <v>9.92815</v>
      </c>
      <c r="U199" s="65">
        <v>1.88186666666667</v>
      </c>
      <c r="V199" s="65">
        <v>0.857050000000001</v>
      </c>
      <c r="W199" s="65">
        <v>4.66615</v>
      </c>
      <c r="X199" s="65"/>
      <c r="Y199" s="65"/>
      <c r="Z199" s="65">
        <v>1.52575</v>
      </c>
      <c r="AA199" s="65">
        <v>3.23598333333333</v>
      </c>
      <c r="AB199" s="65">
        <v>13.1071666666667</v>
      </c>
      <c r="AC199" s="65">
        <v>0.54425</v>
      </c>
      <c r="AD199" s="65">
        <v>25.2060666666667</v>
      </c>
      <c r="AE199" s="65"/>
      <c r="AF199" s="65"/>
      <c r="AG199" s="65"/>
      <c r="AH199" s="65"/>
      <c r="AI199" s="65">
        <v>0.464533333333333</v>
      </c>
      <c r="AJ199" s="65">
        <v>7.95895</v>
      </c>
      <c r="AK199" s="65">
        <v>16.17555</v>
      </c>
      <c r="AL199" s="65">
        <v>0.493483333333334</v>
      </c>
      <c r="AM199" s="65">
        <v>62.0429166666666</v>
      </c>
      <c r="AN199" s="65"/>
      <c r="AP199" s="65">
        <v>16.0763166666667</v>
      </c>
      <c r="AQ199" s="65">
        <v>0.934083333333332</v>
      </c>
      <c r="AR199" s="65">
        <v>14.59725</v>
      </c>
      <c r="AT199" s="65"/>
      <c r="AU199" s="65">
        <v>1.0256</v>
      </c>
      <c r="AV199" s="65">
        <v>0.703766666666667</v>
      </c>
      <c r="AY199" s="65">
        <v>54.8902833333334</v>
      </c>
    </row>
    <row r="200">
      <c r="A200" s="119" t="s">
        <v>54</v>
      </c>
      <c r="B200" s="119" t="s">
        <v>63</v>
      </c>
      <c r="C200" s="119" t="s">
        <v>414</v>
      </c>
      <c r="D200" s="120">
        <f t="shared" si="1"/>
        <v>4.46815</v>
      </c>
      <c r="E200" s="121"/>
      <c r="F200" s="122">
        <f>HYPERLINK("https://docs.google.com/spreadsheets/d/1L08sRNIcIsNp9KOp3QDQxR7lZA0MeLE-", 0)</f>
        <v>0</v>
      </c>
      <c r="G200" s="122">
        <f>HYPERLINK("https://docs.google.com/spreadsheets/d/15-uWDTLw-OO4-5XpgKEsywy5ETHR-_gn", 0)</f>
        <v>0</v>
      </c>
      <c r="H200" s="122">
        <f>HYPERLINK("https://docs.google.com/spreadsheets/d/1f3ceEEgWW-ZtfD4r8DKSQVqvij15Hhfh", 0)</f>
        <v>0</v>
      </c>
      <c r="I200" s="122">
        <f>HYPERLINK("https://docs.google.com/spreadsheets/d/1VutnDKi7E44GS7DOWY4P3m-G5QGMQo9s", 0)</f>
        <v>0</v>
      </c>
      <c r="J200" s="122">
        <f>HYPERLINK("https://docs.google.com/spreadsheets/d/1RgYvhYvxWWL8dgmjIh78o67A1s9TP4oU", 0)</f>
        <v>0</v>
      </c>
      <c r="K200" s="127">
        <f>HYPERLINK("https://docs.google.com/spreadsheets/d/1zv68wGtQuc6yCKSA1LNNrh-qN7ZHZGtw", 0)</f>
        <v>0</v>
      </c>
      <c r="L200" s="121"/>
      <c r="M200" s="121"/>
      <c r="N200" s="121"/>
      <c r="O200" s="121"/>
      <c r="P200" s="124">
        <f>HYPERLINK("https://docs.google.com/spreadsheets/d/1HpCs05b-DVBW8MXuqV-dhD5bhOPrHDpv", 0)</f>
        <v>0</v>
      </c>
      <c r="Q200" s="120"/>
      <c r="R200" s="119"/>
      <c r="S200" s="124">
        <f>HYPERLINK("https://docs.google.com/spreadsheets/d/1KIZB2oZX54EN6hqPZTxIea3NCvhtDfrE", 0)</f>
        <v>0</v>
      </c>
      <c r="T200" s="125">
        <f>HYPERLINK("https://docs.google.com/spreadsheets/d/1lymKZ2R5SYR6dldwVCV8yiOzWP-cQP-0", 0)</f>
        <v>0</v>
      </c>
      <c r="U200" s="124">
        <f>HYPERLINK("https://docs.google.com/spreadsheets/d/1_dfYAvZWJP-5yswt2RP4ALEtgbXEzu99", 0)</f>
        <v>0</v>
      </c>
      <c r="V200" s="124">
        <f>HYPERLINK("https://docs.google.com/spreadsheets/d/1hGmCSncduupbxo35qa6dJqyNLH5LXNrY", 0)</f>
        <v>0</v>
      </c>
      <c r="W200" s="124">
        <f>HYPERLINK("https://docs.google.com/spreadsheets/d/10DQTeMQouXGGUNcwzuISVSz0Uc4HONsY", 0)</f>
        <v>0</v>
      </c>
      <c r="X200" s="119"/>
      <c r="Y200" s="119"/>
      <c r="Z200" s="124">
        <f>HYPERLINK("https://docs.google.com/spreadsheets/d/1LLgq6e0XetBKr0n4jGiR6FzSW1EP8h0m", 0)</f>
        <v>0</v>
      </c>
      <c r="AA200" s="124">
        <f>HYPERLINK("https://docs.google.com/spreadsheets/d/18IxKvReTNpVpWTJyuGP53XJD1fzLFfbj", 0)</f>
        <v>0</v>
      </c>
      <c r="AB200" s="124">
        <f>HYPERLINK("https://docs.google.com/spreadsheets/d/1m8UxPF_DjjgXQ6RYczA20zz053ar0EgS", 0)</f>
        <v>0</v>
      </c>
      <c r="AC200" s="124">
        <f>HYPERLINK("https://docs.google.com/spreadsheets/d/1yJ6clUJCGBYObZdQDFNE3pEri4OmJu3Z", 0)</f>
        <v>0</v>
      </c>
      <c r="AD200" s="124">
        <f>HYPERLINK("https://docs.google.com/spreadsheets/d/1K32I8Wtb33-orKFHSiQ4XvQUnPVOX2lf", 0)</f>
        <v>0</v>
      </c>
      <c r="AE200" s="119"/>
      <c r="AF200" s="119"/>
      <c r="AG200" s="119"/>
      <c r="AH200" s="119"/>
      <c r="AI200" s="124">
        <f>HYPERLINK("https://docs.google.com/spreadsheets/d/1fwCsz6aV-D97eSS82CAb54RAeVhQbkEc", 0)</f>
        <v>0</v>
      </c>
      <c r="AJ200" s="124">
        <f>HYPERLINK("https://docs.google.com/spreadsheets/d/10BkKeMSL9eJioCqoJHT_FzQBJRO6XbxK", 0)</f>
        <v>0</v>
      </c>
      <c r="AK200" s="124">
        <f>HYPERLINK("https://docs.google.com/spreadsheets/d/1aKS0eMKQ2l0JWts7eDEnJPFk51RCxpo5", 0)</f>
        <v>0</v>
      </c>
      <c r="AL200" s="124">
        <f>HYPERLINK("https://docs.google.com/spreadsheets/d/1DENXKsMI9q-qUWpQ9H6BAl6Chg0Ss3hn", 0)</f>
        <v>0</v>
      </c>
      <c r="AM200" s="124">
        <f>HYPERLINK("https://docs.google.com/spreadsheets/d/1fbTFcx3IbeQpexzRUT7gf5n3HOQ7XReJ", 0)</f>
        <v>0</v>
      </c>
      <c r="AN200" s="120"/>
      <c r="AO200" s="120"/>
      <c r="AP200" s="125">
        <f>HYPERLINK("https://docs.google.com/spreadsheets/d/1oMW9iQDomh0RwCWTjPPGRPLsjVjXZ68K", 0)</f>
        <v>0</v>
      </c>
      <c r="AQ200" s="125">
        <f>HYPERLINK("https://docs.google.com/spreadsheets/d/1ykhW2FJdCOtuw0z1KNOn80wxusaiu7op", 0)</f>
        <v>0</v>
      </c>
      <c r="AR200" s="125">
        <f>HYPERLINK("https://docs.google.com/spreadsheets/d/1bdImCbcgujSxJKkkNtLQuXQq3guNwCFK", 0)</f>
        <v>0</v>
      </c>
      <c r="AS200" s="120"/>
      <c r="AT200" s="120"/>
      <c r="AU200" s="124">
        <f>HYPERLINK("https://docs.google.com/spreadsheets/d/1b4oDwszFP3DAvrJ1qnUFT1mEKGcgutzD", 4.46815)</f>
        <v>4.46815</v>
      </c>
      <c r="AV200" s="124">
        <f>HYPERLINK("https://docs.google.com/spreadsheets/d/1rkUNTV-rfzc38XZosBJDc_v--yGUetJX", 0)</f>
        <v>0</v>
      </c>
      <c r="AW200" s="120"/>
      <c r="AX200" s="120"/>
      <c r="AY200" s="124">
        <f>HYPERLINK("https://docs.google.com/spreadsheets/d/1jzLPST9if1C5NCMekIxxaUR7C9i15YNH", 0)</f>
        <v>0</v>
      </c>
      <c r="AZ200" s="120"/>
      <c r="BA200" s="120"/>
      <c r="BB200" s="120"/>
      <c r="BC200" s="120"/>
      <c r="BD200" s="120"/>
      <c r="BE200" s="120"/>
      <c r="BF200" s="120"/>
      <c r="BG200" s="120"/>
      <c r="BH200" s="120"/>
      <c r="BI200" s="120"/>
      <c r="BJ200" s="120"/>
      <c r="BK200" s="120"/>
      <c r="BL200" s="120"/>
      <c r="BM200" s="120"/>
      <c r="BN200" s="120"/>
      <c r="BO200" s="120"/>
      <c r="BP200" s="120"/>
      <c r="BQ200" s="120"/>
      <c r="BR200" s="120"/>
      <c r="BS200" s="120"/>
      <c r="BT200" s="120"/>
      <c r="BU200" s="120"/>
      <c r="BV200" s="120"/>
      <c r="BW200" s="120"/>
      <c r="BX200" s="120"/>
      <c r="BY200" s="120"/>
      <c r="BZ200" s="120"/>
      <c r="CA200" s="120"/>
      <c r="CB200" s="120"/>
      <c r="CC200" s="120"/>
      <c r="CD200" s="120"/>
      <c r="CE200" s="120"/>
      <c r="CF200" s="120"/>
      <c r="CG200" s="120"/>
      <c r="CH200" s="120"/>
      <c r="CI200" s="120"/>
      <c r="CJ200" s="120"/>
      <c r="CK200" s="120"/>
      <c r="CL200" s="120"/>
      <c r="CM200" s="120"/>
      <c r="CN200" s="120"/>
      <c r="CO200" s="120"/>
      <c r="CP200" s="120"/>
      <c r="CQ200" s="120"/>
      <c r="CR200" s="120"/>
      <c r="CS200" s="120"/>
      <c r="CT200" s="120"/>
      <c r="CU200" s="120"/>
      <c r="CV200" s="120"/>
      <c r="CW200" s="120"/>
      <c r="CX200" s="120"/>
      <c r="CY200" s="120"/>
      <c r="CZ200" s="120"/>
      <c r="DA200" s="120"/>
      <c r="DB200" s="120"/>
      <c r="DC200" s="120"/>
      <c r="DD200" s="120"/>
      <c r="DE200" s="120"/>
      <c r="DF200" s="120"/>
      <c r="DG200" s="120"/>
      <c r="DH200" s="120"/>
      <c r="DI200" s="120"/>
      <c r="DJ200" s="120"/>
      <c r="DK200" s="120"/>
      <c r="DL200" s="120"/>
      <c r="DM200" s="120"/>
      <c r="DN200" s="120"/>
      <c r="DO200" s="120"/>
      <c r="DP200" s="120"/>
      <c r="DQ200" s="120"/>
      <c r="DR200" s="120"/>
      <c r="DS200" s="120"/>
      <c r="DT200" s="120"/>
      <c r="DU200" s="120"/>
      <c r="DV200" s="120"/>
      <c r="DW200" s="120"/>
      <c r="DX200" s="120"/>
      <c r="DY200" s="120"/>
      <c r="DZ200" s="120"/>
      <c r="EA200" s="120"/>
      <c r="EB200" s="120"/>
      <c r="EC200" s="120"/>
      <c r="ED200" s="120"/>
      <c r="EE200" s="120"/>
      <c r="EF200" s="120"/>
      <c r="EG200" s="120"/>
      <c r="EH200" s="120"/>
      <c r="EI200" s="120"/>
      <c r="EJ200" s="120"/>
      <c r="EK200" s="120"/>
      <c r="EL200" s="120"/>
      <c r="EM200" s="120"/>
      <c r="EN200" s="120"/>
      <c r="EO200" s="120"/>
      <c r="EP200" s="120"/>
      <c r="EQ200" s="120"/>
      <c r="ER200" s="120"/>
      <c r="ES200" s="120"/>
      <c r="ET200" s="120"/>
      <c r="EU200" s="120"/>
      <c r="EV200" s="120"/>
      <c r="EW200" s="120"/>
      <c r="EX200" s="120"/>
      <c r="EY200" s="120"/>
    </row>
    <row r="201">
      <c r="A201" s="112" t="s">
        <v>54</v>
      </c>
      <c r="B201" s="112" t="s">
        <v>64</v>
      </c>
      <c r="C201" s="112" t="s">
        <v>409</v>
      </c>
      <c r="D201" s="113">
        <f t="shared" si="1"/>
        <v>494.5215333</v>
      </c>
      <c r="E201" s="114">
        <v>53.4332833333333</v>
      </c>
      <c r="F201" s="114"/>
      <c r="G201" s="114"/>
      <c r="H201" s="114"/>
      <c r="I201" s="114"/>
      <c r="J201" s="114"/>
      <c r="K201" s="114"/>
      <c r="L201" s="114">
        <v>0.343266666666667</v>
      </c>
      <c r="M201" s="114"/>
      <c r="N201" s="114"/>
      <c r="O201" s="114">
        <v>8.53278333333333</v>
      </c>
      <c r="P201" s="112"/>
      <c r="Q201" s="112"/>
      <c r="R201" s="112">
        <v>73.6758166666667</v>
      </c>
      <c r="S201" s="112"/>
      <c r="T201" s="112"/>
      <c r="U201" s="112"/>
      <c r="V201" s="112"/>
      <c r="W201" s="112"/>
      <c r="X201" s="112">
        <v>1.03728333333333</v>
      </c>
      <c r="Y201" s="112">
        <v>107.82485</v>
      </c>
      <c r="Z201" s="112"/>
      <c r="AA201" s="113"/>
      <c r="AB201" s="112"/>
      <c r="AC201" s="112"/>
      <c r="AD201" s="112"/>
      <c r="AE201" s="112">
        <v>1.44735</v>
      </c>
      <c r="AF201" s="112"/>
      <c r="AG201" s="112"/>
      <c r="AH201" s="112">
        <v>152.3836</v>
      </c>
      <c r="AI201" s="112"/>
      <c r="AJ201" s="112"/>
      <c r="AK201" s="112"/>
      <c r="AL201" s="113"/>
      <c r="AM201" s="112"/>
      <c r="AN201" s="112">
        <v>3.31238333333333</v>
      </c>
      <c r="AO201" s="112">
        <v>27.0713666666667</v>
      </c>
      <c r="AP201" s="112"/>
      <c r="AQ201" s="113"/>
      <c r="AR201" s="112"/>
      <c r="AS201" s="112">
        <v>6.95173333333334</v>
      </c>
      <c r="AT201" s="112">
        <v>6.42963333333333</v>
      </c>
      <c r="AU201" s="112"/>
      <c r="AV201" s="112"/>
      <c r="AW201" s="112">
        <v>0.491683333333333</v>
      </c>
      <c r="AX201" s="112">
        <v>49.1620166666666</v>
      </c>
      <c r="AY201" s="113"/>
      <c r="AZ201" s="112">
        <v>2.05091666666667</v>
      </c>
      <c r="BA201" s="112">
        <v>0.373566666666667</v>
      </c>
      <c r="BB201" s="113"/>
      <c r="BC201" s="113"/>
      <c r="BD201" s="113"/>
      <c r="BE201" s="113"/>
      <c r="BF201" s="113"/>
      <c r="BG201" s="113"/>
      <c r="BH201" s="113"/>
      <c r="BI201" s="113"/>
      <c r="BJ201" s="113"/>
      <c r="BK201" s="113"/>
      <c r="BL201" s="113"/>
      <c r="BM201" s="113"/>
      <c r="BN201" s="113"/>
      <c r="BO201" s="113"/>
      <c r="BP201" s="113"/>
      <c r="BQ201" s="113"/>
      <c r="BR201" s="113"/>
      <c r="BS201" s="113"/>
      <c r="BT201" s="113"/>
      <c r="BU201" s="113"/>
      <c r="BV201" s="113"/>
      <c r="BW201" s="113"/>
      <c r="BX201" s="113"/>
      <c r="BY201" s="113"/>
      <c r="BZ201" s="113"/>
      <c r="CA201" s="113"/>
      <c r="CB201" s="113"/>
      <c r="CC201" s="113"/>
      <c r="CD201" s="113"/>
      <c r="CE201" s="113"/>
      <c r="CF201" s="113"/>
      <c r="CG201" s="113"/>
      <c r="CH201" s="113"/>
      <c r="CI201" s="113"/>
      <c r="CJ201" s="113"/>
      <c r="CK201" s="113"/>
      <c r="CL201" s="113"/>
      <c r="CM201" s="113"/>
      <c r="CN201" s="113"/>
      <c r="CO201" s="113"/>
      <c r="CP201" s="113"/>
      <c r="CQ201" s="113"/>
      <c r="CR201" s="113"/>
      <c r="CS201" s="113"/>
      <c r="CT201" s="113"/>
      <c r="CU201" s="113"/>
      <c r="CV201" s="113"/>
      <c r="CW201" s="113"/>
      <c r="CX201" s="113"/>
      <c r="CY201" s="113"/>
      <c r="CZ201" s="113"/>
      <c r="DA201" s="113"/>
      <c r="DB201" s="113"/>
      <c r="DC201" s="113"/>
      <c r="DD201" s="113"/>
      <c r="DE201" s="113"/>
      <c r="DF201" s="113"/>
      <c r="DG201" s="113"/>
      <c r="DH201" s="113"/>
      <c r="DI201" s="113"/>
      <c r="DJ201" s="113"/>
      <c r="DK201" s="113"/>
      <c r="DL201" s="113"/>
      <c r="DM201" s="113"/>
      <c r="DN201" s="113"/>
      <c r="DO201" s="113"/>
      <c r="DP201" s="113"/>
      <c r="DQ201" s="113"/>
      <c r="DR201" s="113"/>
      <c r="DS201" s="113"/>
      <c r="DT201" s="113"/>
      <c r="DU201" s="113"/>
      <c r="DV201" s="113"/>
      <c r="DW201" s="113"/>
      <c r="DX201" s="113"/>
      <c r="DY201" s="113"/>
      <c r="DZ201" s="113"/>
      <c r="EA201" s="113"/>
      <c r="EB201" s="113"/>
      <c r="EC201" s="113"/>
      <c r="ED201" s="113"/>
      <c r="EE201" s="113"/>
      <c r="EF201" s="113"/>
      <c r="EG201" s="113"/>
      <c r="EH201" s="113"/>
      <c r="EI201" s="113"/>
      <c r="EJ201" s="113"/>
      <c r="EK201" s="113"/>
      <c r="EL201" s="113"/>
      <c r="EM201" s="113"/>
      <c r="EN201" s="113"/>
      <c r="EO201" s="113"/>
      <c r="EP201" s="113"/>
      <c r="EQ201" s="113"/>
      <c r="ER201" s="113"/>
      <c r="ES201" s="113"/>
      <c r="ET201" s="113"/>
      <c r="EU201" s="113"/>
      <c r="EV201" s="113"/>
      <c r="EW201" s="113"/>
      <c r="EX201" s="113"/>
      <c r="EY201" s="113"/>
    </row>
    <row r="202">
      <c r="A202" s="65" t="s">
        <v>54</v>
      </c>
      <c r="B202" s="65" t="s">
        <v>64</v>
      </c>
      <c r="C202" s="65" t="s">
        <v>410</v>
      </c>
      <c r="D202" s="64">
        <f t="shared" si="1"/>
        <v>441.9609833</v>
      </c>
      <c r="E202" s="104"/>
      <c r="F202" s="104"/>
      <c r="G202" s="104">
        <v>21.4449666666667</v>
      </c>
      <c r="H202" s="104">
        <v>14.6627833333333</v>
      </c>
      <c r="I202" s="104">
        <v>1.35205</v>
      </c>
      <c r="J202" s="104">
        <v>0.196316666666667</v>
      </c>
      <c r="K202" s="104">
        <v>14.4276666666667</v>
      </c>
      <c r="L202" s="104"/>
      <c r="M202" s="104"/>
      <c r="N202" s="104">
        <v>21.4449666666667</v>
      </c>
      <c r="O202" s="104"/>
      <c r="P202" s="65">
        <v>4.60191666666667</v>
      </c>
      <c r="Q202" s="65"/>
      <c r="R202" s="65"/>
      <c r="S202" s="65"/>
      <c r="T202" s="65">
        <v>17.0483666666667</v>
      </c>
      <c r="U202" s="65">
        <v>17.529</v>
      </c>
      <c r="V202" s="65">
        <v>4.8892</v>
      </c>
      <c r="W202" s="65">
        <v>16.5120666666667</v>
      </c>
      <c r="X202" s="65"/>
      <c r="Y202" s="65"/>
      <c r="Z202" s="65">
        <v>2.0256</v>
      </c>
      <c r="AA202" s="65">
        <v>10.8459</v>
      </c>
      <c r="AB202" s="65">
        <v>23.74525</v>
      </c>
      <c r="AC202" s="65">
        <v>7.32986666666666</v>
      </c>
      <c r="AD202" s="65">
        <v>43.35955</v>
      </c>
      <c r="AE202" s="65"/>
      <c r="AF202" s="65">
        <v>2.0256</v>
      </c>
      <c r="AG202" s="65">
        <v>10.8459</v>
      </c>
      <c r="AH202" s="65"/>
      <c r="AI202" s="65">
        <v>1.94083333333333</v>
      </c>
      <c r="AJ202" s="65">
        <v>21.8586166666667</v>
      </c>
      <c r="AK202" s="65">
        <v>44.7539166666667</v>
      </c>
      <c r="AL202" s="65">
        <v>6.8557</v>
      </c>
      <c r="AM202" s="65">
        <v>62.9519499999999</v>
      </c>
      <c r="AN202" s="65"/>
      <c r="AP202" s="65">
        <v>7.17913333333333</v>
      </c>
      <c r="AQ202" s="65">
        <v>2.5633</v>
      </c>
      <c r="AR202" s="65">
        <v>7.46073333333333</v>
      </c>
      <c r="AT202" s="65"/>
      <c r="AU202" s="65">
        <v>1.60865</v>
      </c>
      <c r="AV202" s="65">
        <v>3.32545</v>
      </c>
      <c r="AY202" s="65">
        <v>47.1757333333333</v>
      </c>
    </row>
    <row r="203">
      <c r="A203" s="65" t="s">
        <v>54</v>
      </c>
      <c r="B203" s="65" t="s">
        <v>64</v>
      </c>
      <c r="C203" s="65" t="s">
        <v>411</v>
      </c>
      <c r="D203" s="64">
        <f t="shared" si="1"/>
        <v>0</v>
      </c>
      <c r="E203" s="115"/>
      <c r="F203" s="115"/>
      <c r="G203" s="115"/>
      <c r="H203" s="115"/>
      <c r="I203" s="115"/>
      <c r="J203" s="115"/>
      <c r="K203" s="115"/>
      <c r="L203" s="115"/>
      <c r="M203" s="115"/>
      <c r="N203" s="115"/>
      <c r="O203" s="115"/>
    </row>
    <row r="204">
      <c r="A204" s="65" t="s">
        <v>54</v>
      </c>
      <c r="B204" s="65" t="s">
        <v>64</v>
      </c>
      <c r="C204" s="65" t="s">
        <v>412</v>
      </c>
      <c r="D204" s="64">
        <f t="shared" si="1"/>
        <v>404.01575</v>
      </c>
      <c r="E204" s="115"/>
      <c r="F204" s="104"/>
      <c r="G204" s="116">
        <f>HYPERLINK("https://docs.google.com/spreadsheets/d/1DfGSnLPCjON3KImYuJZPgdnz4kvYnVVB", 21.4449833333333)</f>
        <v>21.44498333</v>
      </c>
      <c r="H204" s="116">
        <f>HYPERLINK("https://docs.google.com/spreadsheets/d/19SFzp79l7T-93qdqvyE2ImSgQb_EFfoK", 14.6627833333333)</f>
        <v>14.66278333</v>
      </c>
      <c r="I204" s="116">
        <f>HYPERLINK("https://docs.google.com/spreadsheets/d/1V4bB-nv1zyDmLgI-dZ8b2x8zhKtxZoa6", 1.35205)</f>
        <v>1.35205</v>
      </c>
      <c r="J204" s="116">
        <f>HYPERLINK("https://docs.google.com/spreadsheets/d/1B2N1jBTDnD7Get3QKlOTFur35OvP4rKr", 0.196316666666667)</f>
        <v>0.1963166667</v>
      </c>
      <c r="K204" s="117">
        <f>HYPERLINK("https://docs.google.com/spreadsheets/d/1GdIzJFv_OU2-umg_Ie-45TEs0PpKtbQS", 14.2881333333333)</f>
        <v>14.28813333</v>
      </c>
      <c r="L204" s="115"/>
      <c r="M204" s="104"/>
      <c r="N204" s="115"/>
      <c r="O204" s="104"/>
      <c r="P204" s="118">
        <f>HYPERLINK("https://docs.google.com/spreadsheets/d/1TLePnK9py0CoI5cVRiycH_hdrR4AVJjM", 4.60191666666667)</f>
        <v>4.601916667</v>
      </c>
      <c r="T204" s="118">
        <f>HYPERLINK("https://docs.google.com/spreadsheets/d/1my39e8jxH-t3THOxik9kWkDeWhGD1b0F", 17.0483666666667)</f>
        <v>17.04836667</v>
      </c>
      <c r="U204" s="118">
        <f>HYPERLINK("https://docs.google.com/spreadsheets/d/1MsLprqnycShluKyErdNU-va8zvY5cZs8", 16.3973666666667)</f>
        <v>16.39736667</v>
      </c>
      <c r="V204" s="118">
        <f>HYPERLINK("https://docs.google.com/spreadsheets/d/1EFua3rK_mye-EOLV1q0yrH0QnJ_-RHzc", 4.3763)</f>
        <v>4.3763</v>
      </c>
      <c r="W204" s="118">
        <f>HYPERLINK("https://docs.google.com/spreadsheets/d/1Rfn7u1JCd6hXl5r5bq3LQEpudkucEj-B", 16.5120666666667)</f>
        <v>16.51206667</v>
      </c>
      <c r="Z204" s="118">
        <f>HYPERLINK("https://docs.google.com/spreadsheets/d/1CYzXeNSvni8hvK-73F_3GFxmEZIDcn7j", 2.0256)</f>
        <v>2.0256</v>
      </c>
      <c r="AA204" s="118">
        <f>HYPERLINK("https://docs.google.com/spreadsheets/d/1JA7Jh9KkVwn-AN4v8PDZ_0GQi2LFwSVW", 10.8459)</f>
        <v>10.8459</v>
      </c>
      <c r="AB204" s="118">
        <f>HYPERLINK("https://docs.google.com/spreadsheets/d/1hiM3iYHaRqO6rRffGd2pD_eoa_JGeuHN", 23.74525)</f>
        <v>23.74525</v>
      </c>
      <c r="AC204" s="118">
        <f>HYPERLINK("https://docs.google.com/spreadsheets/d/1dfVtnXCnDpz0RPByVpcYvWBXX1S_RBhS", 7.11525)</f>
        <v>7.11525</v>
      </c>
      <c r="AD204" s="118">
        <f>HYPERLINK("https://docs.google.com/spreadsheets/d/1nZaMEh_eowHlEAZZkK2SdsIUAKbuPJU8", 42.8128666666666)</f>
        <v>42.81286667</v>
      </c>
      <c r="AI204" s="118">
        <f>HYPERLINK("https://docs.google.com/spreadsheets/d/1TvtnT4JCEDDHpOen7Gf6pmMQDjHYjZ_o", 1.94081666666667)</f>
        <v>1.940816667</v>
      </c>
      <c r="AJ204" s="118">
        <f>HYPERLINK("https://docs.google.com/spreadsheets/d/12hyWCEYno5UEVHs8CCXATRUh6LLxUHC2", 21.8585833333333)</f>
        <v>21.85858333</v>
      </c>
      <c r="AK204" s="118">
        <f>HYPERLINK("https://docs.google.com/spreadsheets/d/1dxF2nUFApw3NPAqyE4JKusRsexD5A12F", 44.6755833333333)</f>
        <v>44.67558333</v>
      </c>
      <c r="AL204" s="118">
        <f>HYPERLINK("https://docs.google.com/spreadsheets/d/1gzqHpo9m9HC5WIWVWqB0ZmZa-imu1aZW", 6.85571666666666)</f>
        <v>6.855716667</v>
      </c>
      <c r="AM204" s="118">
        <f>HYPERLINK("https://docs.google.com/spreadsheets/d/1MfL7LqYn7n07wfrFfD54o18vgsVuYlcE", 62.1933499999999)</f>
        <v>62.19335</v>
      </c>
      <c r="AP204" s="118">
        <f>HYPERLINK("https://docs.google.com/spreadsheets/d/1SRchUXvCCnkn2Hyf-slVUVPPEf4A3ZOH", 7.06276666666667)</f>
        <v>7.062766667</v>
      </c>
      <c r="AQ204" s="118">
        <f>HYPERLINK("https://docs.google.com/spreadsheets/d/1bqyEI8MqfhSSJV2X5D4_SZe3pemUoPvq", 2.43323333333333)</f>
        <v>2.433233333</v>
      </c>
      <c r="AR204" s="118">
        <f>HYPERLINK("https://docs.google.com/spreadsheets/d/1ZIHpX0rkSFe0l7REjwO922rxjIam-k88", 7.46071666666667)</f>
        <v>7.460716667</v>
      </c>
      <c r="AU204" s="118">
        <f>HYPERLINK("https://docs.google.com/spreadsheets/d/1ir1bCi9d-co3TPx-6XwVB8LSw126TS4v", 1.60865)</f>
        <v>1.60865</v>
      </c>
      <c r="AV204" s="118">
        <f>HYPERLINK("https://docs.google.com/spreadsheets/d/1DKGL04ViFNMYWKvDgREVE3Fwu2306NkS", 3.32545)</f>
        <v>3.32545</v>
      </c>
      <c r="AY204" s="118">
        <f>HYPERLINK("https://docs.google.com/spreadsheets/d/1k7txFNQLencwezxQDjANYxm8Kh1O7Ybn", 47.1757333333333)</f>
        <v>47.17573333</v>
      </c>
    </row>
    <row r="205">
      <c r="A205" s="65" t="s">
        <v>54</v>
      </c>
      <c r="B205" s="65" t="s">
        <v>64</v>
      </c>
      <c r="C205" s="65" t="s">
        <v>413</v>
      </c>
      <c r="D205" s="64">
        <f t="shared" si="1"/>
        <v>263.1841167</v>
      </c>
      <c r="E205" s="115"/>
      <c r="F205" s="104"/>
      <c r="G205" s="104">
        <v>1.65286666666667</v>
      </c>
      <c r="H205" s="104">
        <v>7.77545</v>
      </c>
      <c r="I205" s="104">
        <v>0.122816666666667</v>
      </c>
      <c r="J205" s="104">
        <v>0.0</v>
      </c>
      <c r="K205" s="104">
        <v>14.2881333333333</v>
      </c>
      <c r="L205" s="104"/>
      <c r="M205" s="104"/>
      <c r="N205" s="104"/>
      <c r="O205" s="104"/>
      <c r="P205" s="65">
        <v>4.60191666666667</v>
      </c>
      <c r="Q205" s="65"/>
      <c r="R205" s="65"/>
      <c r="S205" s="65"/>
      <c r="T205" s="65">
        <v>17.0483666666667</v>
      </c>
      <c r="U205" s="65">
        <v>6.5708</v>
      </c>
      <c r="V205" s="65">
        <v>0.712066666666666</v>
      </c>
      <c r="W205" s="65">
        <v>16.5120666666667</v>
      </c>
      <c r="X205" s="65"/>
      <c r="Y205" s="65"/>
      <c r="Z205" s="65">
        <v>1.28038333333333</v>
      </c>
      <c r="AA205" s="65">
        <v>8.3504</v>
      </c>
      <c r="AB205" s="65">
        <v>4.12378333333334</v>
      </c>
      <c r="AC205" s="65">
        <v>0.549100000000001</v>
      </c>
      <c r="AD205" s="65">
        <v>10.4833333333333</v>
      </c>
      <c r="AE205" s="65"/>
      <c r="AF205" s="65"/>
      <c r="AG205" s="65"/>
      <c r="AH205" s="65"/>
      <c r="AI205" s="65">
        <v>1.94081666666667</v>
      </c>
      <c r="AJ205" s="65">
        <v>21.8585833333333</v>
      </c>
      <c r="AK205" s="65">
        <v>16.7751833333333</v>
      </c>
      <c r="AL205" s="65">
        <v>1.73288333333333</v>
      </c>
      <c r="AM205" s="65">
        <v>62.1933499999999</v>
      </c>
      <c r="AN205" s="65"/>
      <c r="AP205" s="65">
        <v>7.06276666666667</v>
      </c>
      <c r="AQ205" s="65">
        <v>0.39025</v>
      </c>
      <c r="AR205" s="65">
        <v>7.46071666666667</v>
      </c>
      <c r="AT205" s="65"/>
      <c r="AU205" s="65">
        <v>0.7204</v>
      </c>
      <c r="AV205" s="65">
        <v>1.80195</v>
      </c>
      <c r="AY205" s="65">
        <v>47.1757333333333</v>
      </c>
    </row>
    <row r="206">
      <c r="A206" s="119" t="s">
        <v>54</v>
      </c>
      <c r="B206" s="119" t="s">
        <v>64</v>
      </c>
      <c r="C206" s="119" t="s">
        <v>414</v>
      </c>
      <c r="D206" s="120">
        <f t="shared" si="1"/>
        <v>1.60865</v>
      </c>
      <c r="E206" s="121"/>
      <c r="F206" s="123"/>
      <c r="G206" s="122">
        <f>HYPERLINK("https://docs.google.com/spreadsheets/d/1DfGSnLPCjON3KImYuJZPgdnz4kvYnVVB", 0)</f>
        <v>0</v>
      </c>
      <c r="H206" s="122">
        <f>HYPERLINK("https://docs.google.com/spreadsheets/d/19SFzp79l7T-93qdqvyE2ImSgQb_EFfoK", 0)</f>
        <v>0</v>
      </c>
      <c r="I206" s="122">
        <f>HYPERLINK("https://docs.google.com/spreadsheets/d/1V4bB-nv1zyDmLgI-dZ8b2x8zhKtxZoa6", 0)</f>
        <v>0</v>
      </c>
      <c r="J206" s="122">
        <f>HYPERLINK("https://docs.google.com/spreadsheets/d/1B2N1jBTDnD7Get3QKlOTFur35OvP4rKr", 0)</f>
        <v>0</v>
      </c>
      <c r="K206" s="127">
        <f>HYPERLINK("https://docs.google.com/spreadsheets/d/1GdIzJFv_OU2-umg_Ie-45TEs0PpKtbQS", 0)</f>
        <v>0</v>
      </c>
      <c r="L206" s="121"/>
      <c r="M206" s="121"/>
      <c r="N206" s="121"/>
      <c r="O206" s="121"/>
      <c r="P206" s="124">
        <f>HYPERLINK("https://docs.google.com/spreadsheets/d/1TLePnK9py0CoI5cVRiycH_hdrR4AVJjM", 0)</f>
        <v>0</v>
      </c>
      <c r="Q206" s="120"/>
      <c r="R206" s="119"/>
      <c r="S206" s="120"/>
      <c r="T206" s="125">
        <f>HYPERLINK("https://docs.google.com/spreadsheets/d/1my39e8jxH-t3THOxik9kWkDeWhGD1b0F", 0)</f>
        <v>0</v>
      </c>
      <c r="U206" s="124">
        <f>HYPERLINK("https://docs.google.com/spreadsheets/d/1MsLprqnycShluKyErdNU-va8zvY5cZs8", 0)</f>
        <v>0</v>
      </c>
      <c r="V206" s="124">
        <f>HYPERLINK("https://docs.google.com/spreadsheets/d/1EFua3rK_mye-EOLV1q0yrH0QnJ_-RHzc", 0)</f>
        <v>0</v>
      </c>
      <c r="W206" s="124">
        <f>HYPERLINK("https://docs.google.com/spreadsheets/d/1Rfn7u1JCd6hXl5r5bq3LQEpudkucEj-B", 0)</f>
        <v>0</v>
      </c>
      <c r="X206" s="119"/>
      <c r="Y206" s="119"/>
      <c r="Z206" s="124">
        <f>HYPERLINK("https://docs.google.com/spreadsheets/d/1CYzXeNSvni8hvK-73F_3GFxmEZIDcn7j", 0)</f>
        <v>0</v>
      </c>
      <c r="AA206" s="124">
        <f>HYPERLINK("https://docs.google.com/spreadsheets/d/1JA7Jh9KkVwn-AN4v8PDZ_0GQi2LFwSVW", 0)</f>
        <v>0</v>
      </c>
      <c r="AB206" s="124">
        <f>HYPERLINK("https://docs.google.com/spreadsheets/d/1hiM3iYHaRqO6rRffGd2pD_eoa_JGeuHN", 0)</f>
        <v>0</v>
      </c>
      <c r="AC206" s="124">
        <f>HYPERLINK("https://docs.google.com/spreadsheets/d/1dfVtnXCnDpz0RPByVpcYvWBXX1S_RBhS", 0)</f>
        <v>0</v>
      </c>
      <c r="AD206" s="124">
        <f>HYPERLINK("https://docs.google.com/spreadsheets/d/1nZaMEh_eowHlEAZZkK2SdsIUAKbuPJU8", 0)</f>
        <v>0</v>
      </c>
      <c r="AE206" s="119"/>
      <c r="AF206" s="119"/>
      <c r="AG206" s="119"/>
      <c r="AH206" s="119"/>
      <c r="AI206" s="124">
        <f>HYPERLINK("https://docs.google.com/spreadsheets/d/1TvtnT4JCEDDHpOen7Gf6pmMQDjHYjZ_o", 0)</f>
        <v>0</v>
      </c>
      <c r="AJ206" s="124">
        <f>HYPERLINK("https://docs.google.com/spreadsheets/d/12hyWCEYno5UEVHs8CCXATRUh6LLxUHC2", 0)</f>
        <v>0</v>
      </c>
      <c r="AK206" s="124">
        <f>HYPERLINK("https://docs.google.com/spreadsheets/d/1dxF2nUFApw3NPAqyE4JKusRsexD5A12F", 0)</f>
        <v>0</v>
      </c>
      <c r="AL206" s="124">
        <f>HYPERLINK("https://docs.google.com/spreadsheets/d/1gzqHpo9m9HC5WIWVWqB0ZmZa-imu1aZW", 0)</f>
        <v>0</v>
      </c>
      <c r="AM206" s="124">
        <f>HYPERLINK("https://docs.google.com/spreadsheets/d/1MfL7LqYn7n07wfrFfD54o18vgsVuYlcE", 0)</f>
        <v>0</v>
      </c>
      <c r="AN206" s="120"/>
      <c r="AO206" s="120"/>
      <c r="AP206" s="124">
        <f>HYPERLINK("https://docs.google.com/spreadsheets/d/1SRchUXvCCnkn2Hyf-slVUVPPEf4A3ZOH", 0)</f>
        <v>0</v>
      </c>
      <c r="AQ206" s="125">
        <f>HYPERLINK("https://docs.google.com/spreadsheets/d/1bqyEI8MqfhSSJV2X5D4_SZe3pemUoPvq", 0)</f>
        <v>0</v>
      </c>
      <c r="AR206" s="125">
        <f>HYPERLINK("https://docs.google.com/spreadsheets/d/1ZIHpX0rkSFe0l7REjwO922rxjIam-k88", 0)</f>
        <v>0</v>
      </c>
      <c r="AS206" s="120"/>
      <c r="AT206" s="120"/>
      <c r="AU206" s="124">
        <f>HYPERLINK("https://docs.google.com/spreadsheets/d/1ir1bCi9d-co3TPx-6XwVB8LSw126TS4v", 1.60865)</f>
        <v>1.60865</v>
      </c>
      <c r="AV206" s="124">
        <f>HYPERLINK("https://docs.google.com/spreadsheets/d/1DKGL04ViFNMYWKvDgREVE3Fwu2306NkS", 0)</f>
        <v>0</v>
      </c>
      <c r="AW206" s="120"/>
      <c r="AX206" s="120"/>
      <c r="AY206" s="124">
        <f>HYPERLINK("https://docs.google.com/spreadsheets/d/1k7txFNQLencwezxQDjANYxm8Kh1O7Ybn", 0)</f>
        <v>0</v>
      </c>
      <c r="AZ206" s="120"/>
      <c r="BA206" s="120"/>
      <c r="BB206" s="120"/>
      <c r="BC206" s="120"/>
      <c r="BD206" s="120"/>
      <c r="BE206" s="120"/>
      <c r="BF206" s="120"/>
      <c r="BG206" s="120"/>
      <c r="BH206" s="120"/>
      <c r="BI206" s="120"/>
      <c r="BJ206" s="120"/>
      <c r="BK206" s="120"/>
      <c r="BL206" s="120"/>
      <c r="BM206" s="120"/>
      <c r="BN206" s="120"/>
      <c r="BO206" s="120"/>
      <c r="BP206" s="120"/>
      <c r="BQ206" s="120"/>
      <c r="BR206" s="120"/>
      <c r="BS206" s="120"/>
      <c r="BT206" s="120"/>
      <c r="BU206" s="120"/>
      <c r="BV206" s="120"/>
      <c r="BW206" s="120"/>
      <c r="BX206" s="120"/>
      <c r="BY206" s="120"/>
      <c r="BZ206" s="120"/>
      <c r="CA206" s="120"/>
      <c r="CB206" s="120"/>
      <c r="CC206" s="120"/>
      <c r="CD206" s="120"/>
      <c r="CE206" s="120"/>
      <c r="CF206" s="120"/>
      <c r="CG206" s="120"/>
      <c r="CH206" s="120"/>
      <c r="CI206" s="120"/>
      <c r="CJ206" s="120"/>
      <c r="CK206" s="120"/>
      <c r="CL206" s="120"/>
      <c r="CM206" s="120"/>
      <c r="CN206" s="120"/>
      <c r="CO206" s="120"/>
      <c r="CP206" s="120"/>
      <c r="CQ206" s="120"/>
      <c r="CR206" s="120"/>
      <c r="CS206" s="120"/>
      <c r="CT206" s="120"/>
      <c r="CU206" s="120"/>
      <c r="CV206" s="120"/>
      <c r="CW206" s="120"/>
      <c r="CX206" s="120"/>
      <c r="CY206" s="120"/>
      <c r="CZ206" s="120"/>
      <c r="DA206" s="120"/>
      <c r="DB206" s="120"/>
      <c r="DC206" s="120"/>
      <c r="DD206" s="120"/>
      <c r="DE206" s="120"/>
      <c r="DF206" s="120"/>
      <c r="DG206" s="120"/>
      <c r="DH206" s="120"/>
      <c r="DI206" s="120"/>
      <c r="DJ206" s="120"/>
      <c r="DK206" s="120"/>
      <c r="DL206" s="120"/>
      <c r="DM206" s="120"/>
      <c r="DN206" s="120"/>
      <c r="DO206" s="120"/>
      <c r="DP206" s="120"/>
      <c r="DQ206" s="120"/>
      <c r="DR206" s="120"/>
      <c r="DS206" s="120"/>
      <c r="DT206" s="120"/>
      <c r="DU206" s="120"/>
      <c r="DV206" s="120"/>
      <c r="DW206" s="120"/>
      <c r="DX206" s="120"/>
      <c r="DY206" s="120"/>
      <c r="DZ206" s="120"/>
      <c r="EA206" s="120"/>
      <c r="EB206" s="120"/>
      <c r="EC206" s="120"/>
      <c r="ED206" s="120"/>
      <c r="EE206" s="120"/>
      <c r="EF206" s="120"/>
      <c r="EG206" s="120"/>
      <c r="EH206" s="120"/>
      <c r="EI206" s="120"/>
      <c r="EJ206" s="120"/>
      <c r="EK206" s="120"/>
      <c r="EL206" s="120"/>
      <c r="EM206" s="120"/>
      <c r="EN206" s="120"/>
      <c r="EO206" s="120"/>
      <c r="EP206" s="120"/>
      <c r="EQ206" s="120"/>
      <c r="ER206" s="120"/>
      <c r="ES206" s="120"/>
      <c r="ET206" s="120"/>
      <c r="EU206" s="120"/>
      <c r="EV206" s="120"/>
      <c r="EW206" s="120"/>
      <c r="EX206" s="120"/>
      <c r="EY206" s="120"/>
    </row>
    <row r="207">
      <c r="A207" s="112" t="s">
        <v>54</v>
      </c>
      <c r="B207" s="112" t="s">
        <v>65</v>
      </c>
      <c r="C207" s="112" t="s">
        <v>409</v>
      </c>
      <c r="D207" s="113">
        <f t="shared" si="1"/>
        <v>456.0736833</v>
      </c>
      <c r="E207" s="114">
        <v>79.5406833333334</v>
      </c>
      <c r="F207" s="114"/>
      <c r="G207" s="114"/>
      <c r="H207" s="114"/>
      <c r="I207" s="114"/>
      <c r="J207" s="114"/>
      <c r="K207" s="114"/>
      <c r="L207" s="114">
        <v>0.650616666666667</v>
      </c>
      <c r="M207" s="114"/>
      <c r="N207" s="114"/>
      <c r="O207" s="114">
        <v>3.00466666666667</v>
      </c>
      <c r="P207" s="112"/>
      <c r="Q207" s="112"/>
      <c r="R207" s="112">
        <v>37.3902</v>
      </c>
      <c r="S207" s="112"/>
      <c r="T207" s="112"/>
      <c r="U207" s="112"/>
      <c r="V207" s="112"/>
      <c r="W207" s="112"/>
      <c r="X207" s="112">
        <v>0.32905</v>
      </c>
      <c r="Y207" s="112">
        <v>116.899566666666</v>
      </c>
      <c r="Z207" s="112"/>
      <c r="AA207" s="113"/>
      <c r="AB207" s="112"/>
      <c r="AC207" s="112"/>
      <c r="AD207" s="112"/>
      <c r="AE207" s="112">
        <v>3.57015</v>
      </c>
      <c r="AF207" s="112"/>
      <c r="AG207" s="112"/>
      <c r="AH207" s="112">
        <v>126.488733333333</v>
      </c>
      <c r="AI207" s="112"/>
      <c r="AJ207" s="112"/>
      <c r="AK207" s="112"/>
      <c r="AL207" s="113"/>
      <c r="AM207" s="112"/>
      <c r="AN207" s="112">
        <v>3.6315</v>
      </c>
      <c r="AO207" s="112">
        <v>38.44495</v>
      </c>
      <c r="AP207" s="112"/>
      <c r="AQ207" s="113"/>
      <c r="AR207" s="112"/>
      <c r="AS207" s="112">
        <v>5.87246666666667</v>
      </c>
      <c r="AT207" s="112">
        <v>8.24565</v>
      </c>
      <c r="AU207" s="112"/>
      <c r="AV207" s="112"/>
      <c r="AW207" s="112">
        <v>2.143</v>
      </c>
      <c r="AX207" s="112">
        <v>28.0569166666667</v>
      </c>
      <c r="AY207" s="113"/>
      <c r="AZ207" s="112">
        <v>1.18156666666667</v>
      </c>
      <c r="BA207" s="112">
        <v>0.623966666666667</v>
      </c>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c r="CW207" s="113"/>
      <c r="CX207" s="113"/>
      <c r="CY207" s="113"/>
      <c r="CZ207" s="113"/>
      <c r="DA207" s="113"/>
      <c r="DB207" s="113"/>
      <c r="DC207" s="113"/>
      <c r="DD207" s="113"/>
      <c r="DE207" s="113"/>
      <c r="DF207" s="113"/>
      <c r="DG207" s="113"/>
      <c r="DH207" s="113"/>
      <c r="DI207" s="113"/>
      <c r="DJ207" s="113"/>
      <c r="DK207" s="113"/>
      <c r="DL207" s="113"/>
      <c r="DM207" s="113"/>
      <c r="DN207" s="113"/>
      <c r="DO207" s="113"/>
      <c r="DP207" s="113"/>
      <c r="DQ207" s="113"/>
      <c r="DR207" s="113"/>
      <c r="DS207" s="113"/>
      <c r="DT207" s="113"/>
      <c r="DU207" s="113"/>
      <c r="DV207" s="113"/>
      <c r="DW207" s="113"/>
      <c r="DX207" s="113"/>
      <c r="DY207" s="113"/>
      <c r="DZ207" s="113"/>
      <c r="EA207" s="113"/>
      <c r="EB207" s="113"/>
      <c r="EC207" s="113"/>
      <c r="ED207" s="113"/>
      <c r="EE207" s="113"/>
      <c r="EF207" s="113"/>
      <c r="EG207" s="113"/>
      <c r="EH207" s="113"/>
      <c r="EI207" s="113"/>
      <c r="EJ207" s="113"/>
      <c r="EK207" s="113"/>
      <c r="EL207" s="113"/>
      <c r="EM207" s="113"/>
      <c r="EN207" s="113"/>
      <c r="EO207" s="113"/>
      <c r="EP207" s="113"/>
      <c r="EQ207" s="113"/>
      <c r="ER207" s="113"/>
      <c r="ES207" s="113"/>
      <c r="ET207" s="113"/>
      <c r="EU207" s="113"/>
      <c r="EV207" s="113"/>
      <c r="EW207" s="113"/>
      <c r="EX207" s="113"/>
      <c r="EY207" s="113"/>
    </row>
    <row r="208">
      <c r="A208" s="65" t="s">
        <v>54</v>
      </c>
      <c r="B208" s="65" t="s">
        <v>65</v>
      </c>
      <c r="C208" s="65" t="s">
        <v>410</v>
      </c>
      <c r="D208" s="64">
        <f t="shared" si="1"/>
        <v>405.4019</v>
      </c>
      <c r="E208" s="104"/>
      <c r="F208" s="104">
        <v>0.523066666666667</v>
      </c>
      <c r="G208" s="104">
        <v>19.5890666666667</v>
      </c>
      <c r="H208" s="104">
        <v>17.3038333333333</v>
      </c>
      <c r="I208" s="104">
        <v>1.94428333333333</v>
      </c>
      <c r="J208" s="104">
        <v>0.686533333333333</v>
      </c>
      <c r="K208" s="104">
        <v>29.6043833333333</v>
      </c>
      <c r="L208" s="104"/>
      <c r="M208" s="104">
        <v>0.523066666666667</v>
      </c>
      <c r="N208" s="104">
        <v>19.5890666666667</v>
      </c>
      <c r="O208" s="104"/>
      <c r="P208" s="65">
        <v>2.26391666666667</v>
      </c>
      <c r="Q208" s="65"/>
      <c r="R208" s="65"/>
      <c r="S208" s="65">
        <v>0.128116666666667</v>
      </c>
      <c r="T208" s="65">
        <v>8.87878333333334</v>
      </c>
      <c r="U208" s="65">
        <v>7.6943</v>
      </c>
      <c r="V208" s="65">
        <v>2.56153333333333</v>
      </c>
      <c r="W208" s="65">
        <v>10.0800166666667</v>
      </c>
      <c r="X208" s="65"/>
      <c r="Y208" s="65"/>
      <c r="Z208" s="65">
        <v>1.58581666666667</v>
      </c>
      <c r="AA208" s="65">
        <v>9.08766666666667</v>
      </c>
      <c r="AB208" s="65">
        <v>30.1637333333333</v>
      </c>
      <c r="AC208" s="65">
        <v>5.21006666666667</v>
      </c>
      <c r="AD208" s="65">
        <v>51.6526833333333</v>
      </c>
      <c r="AE208" s="65"/>
      <c r="AF208" s="65">
        <v>1.58581666666667</v>
      </c>
      <c r="AG208" s="65">
        <v>9.08766666666667</v>
      </c>
      <c r="AH208" s="65"/>
      <c r="AI208" s="65">
        <v>0.27085</v>
      </c>
      <c r="AJ208" s="65">
        <v>13.7016666666667</v>
      </c>
      <c r="AK208" s="65">
        <v>61.7367833333333</v>
      </c>
      <c r="AL208" s="65">
        <v>4.22771666666667</v>
      </c>
      <c r="AM208" s="65">
        <v>38.4738166666667</v>
      </c>
      <c r="AN208" s="65"/>
      <c r="AP208" s="65">
        <v>11.1376</v>
      </c>
      <c r="AQ208" s="65">
        <v>3.60366666666667</v>
      </c>
      <c r="AR208" s="65">
        <v>10.2642833333333</v>
      </c>
      <c r="AT208" s="65"/>
      <c r="AU208" s="65">
        <v>3.44901666666667</v>
      </c>
      <c r="AV208" s="65">
        <v>2.5494</v>
      </c>
      <c r="AY208" s="65">
        <v>26.2436833333333</v>
      </c>
    </row>
    <row r="209">
      <c r="A209" s="65" t="s">
        <v>54</v>
      </c>
      <c r="B209" s="65" t="s">
        <v>65</v>
      </c>
      <c r="C209" s="65" t="s">
        <v>411</v>
      </c>
      <c r="D209" s="64">
        <f t="shared" si="1"/>
        <v>0</v>
      </c>
      <c r="E209" s="115"/>
      <c r="F209" s="115"/>
      <c r="G209" s="115"/>
      <c r="H209" s="115"/>
      <c r="I209" s="115"/>
      <c r="J209" s="115"/>
      <c r="K209" s="115"/>
      <c r="L209" s="115"/>
      <c r="M209" s="115"/>
      <c r="N209" s="115"/>
      <c r="O209" s="115"/>
    </row>
    <row r="210">
      <c r="A210" s="65" t="s">
        <v>54</v>
      </c>
      <c r="B210" s="65" t="s">
        <v>65</v>
      </c>
      <c r="C210" s="65" t="s">
        <v>412</v>
      </c>
      <c r="D210" s="64">
        <f t="shared" si="1"/>
        <v>366.5210167</v>
      </c>
      <c r="E210" s="115"/>
      <c r="F210" s="117">
        <f>HYPERLINK("https://docs.google.com/spreadsheets/d/1PzfHDIy0MQqDr-17g1HKKBhAdsYKWZ5d", 0.523066666666667)</f>
        <v>0.5230666667</v>
      </c>
      <c r="G210" s="116">
        <f>HYPERLINK("https://docs.google.com/spreadsheets/d/1hXfR2vTyhvbW3MybZop1_pIVvxHaRRFO", 19.5890666666667)</f>
        <v>19.58906667</v>
      </c>
      <c r="H210" s="116">
        <f>HYPERLINK("https://docs.google.com/spreadsheets/d/1t5vIxIOZawRFY1adI69rZzNs8zDdmHer", 17.30385)</f>
        <v>17.30385</v>
      </c>
      <c r="I210" s="116">
        <f>HYPERLINK("https://docs.google.com/spreadsheets/d/1R5j4uMf4MEfpACkcDrWhD1nLBO_vpfmz", 1.94428333333333)</f>
        <v>1.944283333</v>
      </c>
      <c r="J210" s="116">
        <f>HYPERLINK("https://docs.google.com/spreadsheets/d/19LxEUiHuo6iAcBIINjhTdev1dJ2YWPC8", 0.686533333333333)</f>
        <v>0.6865333333</v>
      </c>
      <c r="K210" s="117">
        <f>HYPERLINK("https://docs.google.com/spreadsheets/d/10TjGUF0YO37xFHSriKRdLz8cubKZVTii", 29.6043666666667)</f>
        <v>29.60436667</v>
      </c>
      <c r="L210" s="115"/>
      <c r="M210" s="104"/>
      <c r="N210" s="115"/>
      <c r="O210" s="104"/>
      <c r="P210" s="118">
        <f>HYPERLINK("https://docs.google.com/spreadsheets/d/1TwUro5BpBrZD0PbXXUonfRqJ_y8NYr0D", 2.26391666666667)</f>
        <v>2.263916667</v>
      </c>
      <c r="S210" s="118">
        <f>HYPERLINK("https://docs.google.com/spreadsheets/d/1Dghv6A-ZZ9JOtvS8AaMaq2uXIqwMZGLx", 0.128116666666667)</f>
        <v>0.1281166667</v>
      </c>
      <c r="T210" s="118">
        <f>HYPERLINK("https://docs.google.com/spreadsheets/d/1o1DQz6a4Si9jMhXN825OOE56-wekDw66", 8.87873333333334)</f>
        <v>8.878733333</v>
      </c>
      <c r="U210" s="118">
        <f>HYPERLINK("https://docs.google.com/spreadsheets/d/1jPytk6_0w71vrip6Eb0WoFOKlrSRg2em", 7.25635)</f>
        <v>7.25635</v>
      </c>
      <c r="V210" s="118">
        <f>HYPERLINK("https://docs.google.com/spreadsheets/d/1j1Qr3rFP9NTZQNMjI9CDFf49WnUVhEgo", 2.34018333333333)</f>
        <v>2.340183333</v>
      </c>
      <c r="W210" s="118">
        <f>HYPERLINK("https://docs.google.com/spreadsheets/d/1CRh68M47PUISjfZg0_sn4rN96o3AGWhD", 9.90583333333334)</f>
        <v>9.905833333</v>
      </c>
      <c r="Z210" s="118">
        <f>HYPERLINK("https://docs.google.com/spreadsheets/d/1AYX7D2Se8lL3EDV7qaULy574srbrKIsM", 1.58581666666667)</f>
        <v>1.585816667</v>
      </c>
      <c r="AA210" s="118">
        <f>HYPERLINK("https://docs.google.com/spreadsheets/d/1PDDbk3Mtl9pySZjn3fkwMAk7cUglMKwD", 9.08766666666667)</f>
        <v>9.087666667</v>
      </c>
      <c r="AB210" s="118">
        <f>HYPERLINK("https://docs.google.com/spreadsheets/d/1bziF5SS5rIHGfBeeeY9R5X4aYzKeZ1Dl", 29.9487666666667)</f>
        <v>29.94876667</v>
      </c>
      <c r="AC210" s="118">
        <f>HYPERLINK("https://docs.google.com/spreadsheets/d/1X8VCRgun2k6RukC7xbGyZ01kyeJfLcnL", 5.21006666666667)</f>
        <v>5.210066667</v>
      </c>
      <c r="AD210" s="118">
        <f>HYPERLINK("https://docs.google.com/spreadsheets/d/1qaFaBrVF98Zip3tSn1F8JR2sezClgbhQ", 51.52165)</f>
        <v>51.52165</v>
      </c>
      <c r="AI210" s="118">
        <f>HYPERLINK("https://docs.google.com/spreadsheets/d/1EJyo11wph3yfuPAKJLzyLqOmHW2T_5oR", 0.27085)</f>
        <v>0.27085</v>
      </c>
      <c r="AJ210" s="118">
        <f>HYPERLINK("https://docs.google.com/spreadsheets/d/1bTDhy4JQygd-9tt2mADVVw_xyeiQ3nO1", 13.70165)</f>
        <v>13.70165</v>
      </c>
      <c r="AK210" s="118">
        <f>HYPERLINK("https://docs.google.com/spreadsheets/d/1LnjgezGgY-6E7kCEINbfQg8RYNtc1azp", 60.9369833333333)</f>
        <v>60.93698333</v>
      </c>
      <c r="AL210" s="118">
        <f>HYPERLINK("https://docs.google.com/spreadsheets/d/1MaPkPim4jgQaZ-JJLO20AOj8bKai4Gtg", 4.22771666666667)</f>
        <v>4.227716667</v>
      </c>
      <c r="AM210" s="118">
        <f>HYPERLINK("https://docs.google.com/spreadsheets/d/1deEqemVs9-Jycta0Dm75owbm0_jEoUOO", 38.1374333333334)</f>
        <v>38.13743333</v>
      </c>
      <c r="AP210" s="118">
        <f>HYPERLINK("https://docs.google.com/spreadsheets/d/10twzhV2Mmijao05wsCJ2pFMZ5KiVxYP_", 6.31231666666667)</f>
        <v>6.312316667</v>
      </c>
      <c r="AQ210" s="118">
        <f>HYPERLINK("https://docs.google.com/spreadsheets/d/13EXKofMsqkEmBNCAl6S5fnPUSKu9B46I", 3.06966666666667)</f>
        <v>3.069666667</v>
      </c>
      <c r="AR210" s="118">
        <f>HYPERLINK("https://docs.google.com/spreadsheets/d/1eDVsdBSQygQOt8-soKbFo2guqXZcJ0sk", 10.0296833333333)</f>
        <v>10.02968333</v>
      </c>
      <c r="AU210" s="118">
        <f>HYPERLINK("https://docs.google.com/spreadsheets/d/1207BvRvhzoXctwwoiiCzOeEhgKouNo-r", 3.44905)</f>
        <v>3.44905</v>
      </c>
      <c r="AV210" s="118">
        <f>HYPERLINK("https://docs.google.com/spreadsheets/d/19lGT-HV0gGxeaoscKjcicpbpXPGUqneo", 2.5494)</f>
        <v>2.5494</v>
      </c>
      <c r="AY210" s="118">
        <f>HYPERLINK("https://docs.google.com/spreadsheets/d/1u5r9YyxZ01iEq6BtZ11NnnEBkG0AmqMg", 26.058)</f>
        <v>26.058</v>
      </c>
    </row>
    <row r="211">
      <c r="A211" s="65" t="s">
        <v>54</v>
      </c>
      <c r="B211" s="65" t="s">
        <v>65</v>
      </c>
      <c r="C211" s="65" t="s">
        <v>413</v>
      </c>
      <c r="D211" s="64">
        <f t="shared" si="1"/>
        <v>214.3523</v>
      </c>
      <c r="E211" s="115"/>
      <c r="F211" s="104">
        <v>0.0</v>
      </c>
      <c r="G211" s="104">
        <v>-3.5527136788005E-15</v>
      </c>
      <c r="H211" s="104">
        <v>0.111016666666671</v>
      </c>
      <c r="I211" s="104">
        <v>0.0</v>
      </c>
      <c r="J211" s="104">
        <v>0.0</v>
      </c>
      <c r="K211" s="104">
        <v>29.6043666666667</v>
      </c>
      <c r="L211" s="104"/>
      <c r="M211" s="104"/>
      <c r="N211" s="104"/>
      <c r="O211" s="104"/>
      <c r="P211" s="65">
        <v>2.26391666666667</v>
      </c>
      <c r="Q211" s="65"/>
      <c r="R211" s="65"/>
      <c r="S211" s="65">
        <v>0.128116666666667</v>
      </c>
      <c r="T211" s="65">
        <v>8.87873333333334</v>
      </c>
      <c r="U211" s="65">
        <v>2.28233333333333</v>
      </c>
      <c r="V211" s="65">
        <v>0.270366666666667</v>
      </c>
      <c r="W211" s="65">
        <v>9.90583333333334</v>
      </c>
      <c r="X211" s="65"/>
      <c r="Y211" s="65"/>
      <c r="Z211" s="65">
        <v>1.15735</v>
      </c>
      <c r="AA211" s="65">
        <v>6.7582</v>
      </c>
      <c r="AB211" s="65">
        <v>10.9576166666667</v>
      </c>
      <c r="AC211" s="65">
        <v>0.386716666666665</v>
      </c>
      <c r="AD211" s="65">
        <v>11.6666166666667</v>
      </c>
      <c r="AE211" s="65"/>
      <c r="AF211" s="65"/>
      <c r="AG211" s="65"/>
      <c r="AH211" s="65"/>
      <c r="AI211" s="65">
        <v>0.27085</v>
      </c>
      <c r="AJ211" s="65">
        <v>13.70165</v>
      </c>
      <c r="AK211" s="65">
        <v>32.5830666666667</v>
      </c>
      <c r="AL211" s="65">
        <v>0.672566666666668</v>
      </c>
      <c r="AM211" s="65">
        <v>38.1374333333334</v>
      </c>
      <c r="AN211" s="65"/>
      <c r="AP211" s="65">
        <v>6.31231666666667</v>
      </c>
      <c r="AQ211" s="65">
        <v>0.460033333333333</v>
      </c>
      <c r="AR211" s="65">
        <v>10.0296833333333</v>
      </c>
      <c r="AT211" s="65"/>
      <c r="AU211" s="65">
        <v>0.815883333333333</v>
      </c>
      <c r="AV211" s="65">
        <v>0.939633333333333</v>
      </c>
      <c r="AY211" s="65">
        <v>26.058</v>
      </c>
    </row>
    <row r="212">
      <c r="A212" s="119" t="s">
        <v>54</v>
      </c>
      <c r="B212" s="119" t="s">
        <v>65</v>
      </c>
      <c r="C212" s="119" t="s">
        <v>414</v>
      </c>
      <c r="D212" s="120">
        <f t="shared" si="1"/>
        <v>3.44905</v>
      </c>
      <c r="E212" s="121"/>
      <c r="F212" s="122">
        <f>HYPERLINK("https://docs.google.com/spreadsheets/d/1PzfHDIy0MQqDr-17g1HKKBhAdsYKWZ5d", 0)</f>
        <v>0</v>
      </c>
      <c r="G212" s="122">
        <f>HYPERLINK("https://docs.google.com/spreadsheets/d/1hXfR2vTyhvbW3MybZop1_pIVvxHaRRFO", 0)</f>
        <v>0</v>
      </c>
      <c r="H212" s="122">
        <f>HYPERLINK("https://docs.google.com/spreadsheets/d/1t5vIxIOZawRFY1adI69rZzNs8zDdmHer", 0)</f>
        <v>0</v>
      </c>
      <c r="I212" s="122">
        <f>HYPERLINK("https://docs.google.com/spreadsheets/d/1R5j4uMf4MEfpACkcDrWhD1nLBO_vpfmz", 0)</f>
        <v>0</v>
      </c>
      <c r="J212" s="122">
        <f>HYPERLINK("https://docs.google.com/spreadsheets/d/19LxEUiHuo6iAcBIINjhTdev1dJ2YWPC8", 0)</f>
        <v>0</v>
      </c>
      <c r="K212" s="127">
        <f>HYPERLINK("https://docs.google.com/spreadsheets/d/10TjGUF0YO37xFHSriKRdLz8cubKZVTii", 0)</f>
        <v>0</v>
      </c>
      <c r="L212" s="121"/>
      <c r="M212" s="121"/>
      <c r="N212" s="121"/>
      <c r="O212" s="121"/>
      <c r="P212" s="124">
        <f>HYPERLINK("https://docs.google.com/spreadsheets/d/1TwUro5BpBrZD0PbXXUonfRqJ_y8NYr0D", 0)</f>
        <v>0</v>
      </c>
      <c r="Q212" s="120"/>
      <c r="R212" s="119"/>
      <c r="S212" s="124">
        <f>HYPERLINK("https://docs.google.com/spreadsheets/d/1Dghv6A-ZZ9JOtvS8AaMaq2uXIqwMZGLx", 0)</f>
        <v>0</v>
      </c>
      <c r="T212" s="125">
        <f>HYPERLINK("https://docs.google.com/spreadsheets/d/1o1DQz6a4Si9jMhXN825OOE56-wekDw66", 0)</f>
        <v>0</v>
      </c>
      <c r="U212" s="124">
        <f>HYPERLINK("https://docs.google.com/spreadsheets/d/1jPytk6_0w71vrip6Eb0WoFOKlrSRg2em", 0)</f>
        <v>0</v>
      </c>
      <c r="V212" s="124">
        <f>HYPERLINK("https://docs.google.com/spreadsheets/d/1j1Qr3rFP9NTZQNMjI9CDFf49WnUVhEgo", 0)</f>
        <v>0</v>
      </c>
      <c r="W212" s="124">
        <f>HYPERLINK("https://docs.google.com/spreadsheets/d/1CRh68M47PUISjfZg0_sn4rN96o3AGWhD", 0)</f>
        <v>0</v>
      </c>
      <c r="X212" s="119"/>
      <c r="Y212" s="119"/>
      <c r="Z212" s="124">
        <f>HYPERLINK("https://docs.google.com/spreadsheets/d/1AYX7D2Se8lL3EDV7qaULy574srbrKIsM", 0)</f>
        <v>0</v>
      </c>
      <c r="AA212" s="124">
        <f>HYPERLINK("https://docs.google.com/spreadsheets/d/1PDDbk3Mtl9pySZjn3fkwMAk7cUglMKwD", 0)</f>
        <v>0</v>
      </c>
      <c r="AB212" s="124">
        <f>HYPERLINK("https://docs.google.com/spreadsheets/d/1bziF5SS5rIHGfBeeeY9R5X4aYzKeZ1Dl", 0)</f>
        <v>0</v>
      </c>
      <c r="AC212" s="124">
        <f>HYPERLINK("https://docs.google.com/spreadsheets/d/1X8VCRgun2k6RukC7xbGyZ01kyeJfLcnL", 0)</f>
        <v>0</v>
      </c>
      <c r="AD212" s="124">
        <f>HYPERLINK("https://docs.google.com/spreadsheets/d/1qaFaBrVF98Zip3tSn1F8JR2sezClgbhQ", 0)</f>
        <v>0</v>
      </c>
      <c r="AE212" s="119"/>
      <c r="AF212" s="119"/>
      <c r="AG212" s="119"/>
      <c r="AH212" s="119"/>
      <c r="AI212" s="124">
        <f>HYPERLINK("https://docs.google.com/spreadsheets/d/1EJyo11wph3yfuPAKJLzyLqOmHW2T_5oR", 0)</f>
        <v>0</v>
      </c>
      <c r="AJ212" s="124">
        <f>HYPERLINK("https://docs.google.com/spreadsheets/d/1bTDhy4JQygd-9tt2mADVVw_xyeiQ3nO1", 0)</f>
        <v>0</v>
      </c>
      <c r="AK212" s="124">
        <f>HYPERLINK("https://docs.google.com/spreadsheets/d/1LnjgezGgY-6E7kCEINbfQg8RYNtc1azp", 0)</f>
        <v>0</v>
      </c>
      <c r="AL212" s="124">
        <f>HYPERLINK("https://docs.google.com/spreadsheets/d/1MaPkPim4jgQaZ-JJLO20AOj8bKai4Gtg", 0)</f>
        <v>0</v>
      </c>
      <c r="AM212" s="124">
        <f>HYPERLINK("https://docs.google.com/spreadsheets/d/1deEqemVs9-Jycta0Dm75owbm0_jEoUOO", 0)</f>
        <v>0</v>
      </c>
      <c r="AN212" s="120"/>
      <c r="AO212" s="120"/>
      <c r="AP212" s="124">
        <f>HYPERLINK("https://docs.google.com/spreadsheets/d/10twzhV2Mmijao05wsCJ2pFMZ5KiVxYP_", 0)</f>
        <v>0</v>
      </c>
      <c r="AQ212" s="125">
        <f>HYPERLINK("https://docs.google.com/spreadsheets/d/13EXKofMsqkEmBNCAl6S5fnPUSKu9B46I", 0)</f>
        <v>0</v>
      </c>
      <c r="AR212" s="125">
        <f>HYPERLINK("https://docs.google.com/spreadsheets/d/1eDVsdBSQygQOt8-soKbFo2guqXZcJ0sk", 0)</f>
        <v>0</v>
      </c>
      <c r="AS212" s="120"/>
      <c r="AT212" s="120"/>
      <c r="AU212" s="124">
        <f>HYPERLINK("https://docs.google.com/spreadsheets/d/1207BvRvhzoXctwwoiiCzOeEhgKouNo-r", 3.44905)</f>
        <v>3.44905</v>
      </c>
      <c r="AV212" s="124">
        <f>HYPERLINK("https://docs.google.com/spreadsheets/d/19lGT-HV0gGxeaoscKjcicpbpXPGUqneo", 0)</f>
        <v>0</v>
      </c>
      <c r="AW212" s="120"/>
      <c r="AX212" s="120"/>
      <c r="AY212" s="124">
        <f>HYPERLINK("https://docs.google.com/spreadsheets/d/1u5r9YyxZ01iEq6BtZ11NnnEBkG0AmqMg", 0)</f>
        <v>0</v>
      </c>
      <c r="AZ212" s="120"/>
      <c r="BA212" s="120"/>
      <c r="BB212" s="120"/>
      <c r="BC212" s="120"/>
      <c r="BD212" s="120"/>
      <c r="BE212" s="120"/>
      <c r="BF212" s="120"/>
      <c r="BG212" s="120"/>
      <c r="BH212" s="120"/>
      <c r="BI212" s="120"/>
      <c r="BJ212" s="120"/>
      <c r="BK212" s="120"/>
      <c r="BL212" s="120"/>
      <c r="BM212" s="120"/>
      <c r="BN212" s="120"/>
      <c r="BO212" s="120"/>
      <c r="BP212" s="120"/>
      <c r="BQ212" s="120"/>
      <c r="BR212" s="120"/>
      <c r="BS212" s="120"/>
      <c r="BT212" s="120"/>
      <c r="BU212" s="120"/>
      <c r="BV212" s="120"/>
      <c r="BW212" s="120"/>
      <c r="BX212" s="120"/>
      <c r="BY212" s="120"/>
      <c r="BZ212" s="120"/>
      <c r="CA212" s="120"/>
      <c r="CB212" s="120"/>
      <c r="CC212" s="120"/>
      <c r="CD212" s="120"/>
      <c r="CE212" s="120"/>
      <c r="CF212" s="120"/>
      <c r="CG212" s="120"/>
      <c r="CH212" s="120"/>
      <c r="CI212" s="120"/>
      <c r="CJ212" s="120"/>
      <c r="CK212" s="120"/>
      <c r="CL212" s="120"/>
      <c r="CM212" s="120"/>
      <c r="CN212" s="120"/>
      <c r="CO212" s="120"/>
      <c r="CP212" s="120"/>
      <c r="CQ212" s="120"/>
      <c r="CR212" s="120"/>
      <c r="CS212" s="120"/>
      <c r="CT212" s="120"/>
      <c r="CU212" s="120"/>
      <c r="CV212" s="120"/>
      <c r="CW212" s="120"/>
      <c r="CX212" s="120"/>
      <c r="CY212" s="120"/>
      <c r="CZ212" s="120"/>
      <c r="DA212" s="120"/>
      <c r="DB212" s="120"/>
      <c r="DC212" s="120"/>
      <c r="DD212" s="120"/>
      <c r="DE212" s="120"/>
      <c r="DF212" s="120"/>
      <c r="DG212" s="120"/>
      <c r="DH212" s="120"/>
      <c r="DI212" s="120"/>
      <c r="DJ212" s="120"/>
      <c r="DK212" s="120"/>
      <c r="DL212" s="120"/>
      <c r="DM212" s="120"/>
      <c r="DN212" s="120"/>
      <c r="DO212" s="120"/>
      <c r="DP212" s="120"/>
      <c r="DQ212" s="120"/>
      <c r="DR212" s="120"/>
      <c r="DS212" s="120"/>
      <c r="DT212" s="120"/>
      <c r="DU212" s="120"/>
      <c r="DV212" s="120"/>
      <c r="DW212" s="120"/>
      <c r="DX212" s="120"/>
      <c r="DY212" s="120"/>
      <c r="DZ212" s="120"/>
      <c r="EA212" s="120"/>
      <c r="EB212" s="120"/>
      <c r="EC212" s="120"/>
      <c r="ED212" s="120"/>
      <c r="EE212" s="120"/>
      <c r="EF212" s="120"/>
      <c r="EG212" s="120"/>
      <c r="EH212" s="120"/>
      <c r="EI212" s="120"/>
      <c r="EJ212" s="120"/>
      <c r="EK212" s="120"/>
      <c r="EL212" s="120"/>
      <c r="EM212" s="120"/>
      <c r="EN212" s="120"/>
      <c r="EO212" s="120"/>
      <c r="EP212" s="120"/>
      <c r="EQ212" s="120"/>
      <c r="ER212" s="120"/>
      <c r="ES212" s="120"/>
      <c r="ET212" s="120"/>
      <c r="EU212" s="120"/>
      <c r="EV212" s="120"/>
      <c r="EW212" s="120"/>
      <c r="EX212" s="120"/>
      <c r="EY212" s="120"/>
    </row>
    <row r="213">
      <c r="A213" s="112" t="s">
        <v>54</v>
      </c>
      <c r="B213" s="112" t="s">
        <v>66</v>
      </c>
      <c r="C213" s="112" t="s">
        <v>409</v>
      </c>
      <c r="D213" s="113">
        <f t="shared" si="1"/>
        <v>206.8041667</v>
      </c>
      <c r="E213" s="114">
        <v>14.4986666666667</v>
      </c>
      <c r="F213" s="114"/>
      <c r="G213" s="114"/>
      <c r="H213" s="114"/>
      <c r="I213" s="114"/>
      <c r="J213" s="114"/>
      <c r="K213" s="114"/>
      <c r="L213" s="114">
        <v>0.416983333333333</v>
      </c>
      <c r="M213" s="114"/>
      <c r="N213" s="114"/>
      <c r="O213" s="114">
        <v>2.66893333333333</v>
      </c>
      <c r="P213" s="112"/>
      <c r="Q213" s="112"/>
      <c r="R213" s="112">
        <v>16.5610333333333</v>
      </c>
      <c r="S213" s="112"/>
      <c r="T213" s="112"/>
      <c r="U213" s="112"/>
      <c r="V213" s="112"/>
      <c r="W213" s="112"/>
      <c r="X213" s="112">
        <v>0.633783333333333</v>
      </c>
      <c r="Y213" s="112">
        <v>72.41075</v>
      </c>
      <c r="Z213" s="112"/>
      <c r="AA213" s="113"/>
      <c r="AB213" s="112"/>
      <c r="AC213" s="112"/>
      <c r="AD213" s="112"/>
      <c r="AE213" s="112">
        <v>1.00566666666667</v>
      </c>
      <c r="AF213" s="112"/>
      <c r="AG213" s="112"/>
      <c r="AH213" s="112">
        <v>27.27205</v>
      </c>
      <c r="AI213" s="112"/>
      <c r="AJ213" s="112"/>
      <c r="AK213" s="112"/>
      <c r="AL213" s="113"/>
      <c r="AM213" s="112"/>
      <c r="AN213" s="112">
        <v>1.02558333333333</v>
      </c>
      <c r="AO213" s="112">
        <v>9.6118</v>
      </c>
      <c r="AP213" s="112"/>
      <c r="AQ213" s="113"/>
      <c r="AR213" s="112"/>
      <c r="AS213" s="112">
        <v>4.99935</v>
      </c>
      <c r="AT213" s="112">
        <v>7.52646666666667</v>
      </c>
      <c r="AU213" s="112"/>
      <c r="AV213" s="112"/>
      <c r="AW213" s="112">
        <v>0.610616666666667</v>
      </c>
      <c r="AX213" s="112">
        <v>45.7645</v>
      </c>
      <c r="AY213" s="113"/>
      <c r="AZ213" s="112">
        <v>1.79798333333333</v>
      </c>
      <c r="BA213" s="113"/>
      <c r="BB213" s="113"/>
      <c r="BC213" s="113"/>
      <c r="BD213" s="113"/>
      <c r="BE213" s="113"/>
      <c r="BF213" s="113"/>
      <c r="BG213" s="113"/>
      <c r="BH213" s="113"/>
      <c r="BI213" s="113"/>
      <c r="BJ213" s="113"/>
      <c r="BK213" s="113"/>
      <c r="BL213" s="113"/>
      <c r="BM213" s="113"/>
      <c r="BN213" s="113"/>
      <c r="BO213" s="113"/>
      <c r="BP213" s="113"/>
      <c r="BQ213" s="113"/>
      <c r="BR213" s="113"/>
      <c r="BS213" s="113"/>
      <c r="BT213" s="113"/>
      <c r="BU213" s="113"/>
      <c r="BV213" s="113"/>
      <c r="BW213" s="113"/>
      <c r="BX213" s="113"/>
      <c r="BY213" s="113"/>
      <c r="BZ213" s="113"/>
      <c r="CA213" s="113"/>
      <c r="CB213" s="113"/>
      <c r="CC213" s="113"/>
      <c r="CD213" s="113"/>
      <c r="CE213" s="113"/>
      <c r="CF213" s="113"/>
      <c r="CG213" s="113"/>
      <c r="CH213" s="113"/>
      <c r="CI213" s="113"/>
      <c r="CJ213" s="113"/>
      <c r="CK213" s="113"/>
      <c r="CL213" s="113"/>
      <c r="CM213" s="113"/>
      <c r="CN213" s="113"/>
      <c r="CO213" s="113"/>
      <c r="CP213" s="113"/>
      <c r="CQ213" s="113"/>
      <c r="CR213" s="113"/>
      <c r="CS213" s="113"/>
      <c r="CT213" s="113"/>
      <c r="CU213" s="113"/>
      <c r="CV213" s="113"/>
      <c r="CW213" s="113"/>
      <c r="CX213" s="113"/>
      <c r="CY213" s="113"/>
      <c r="CZ213" s="113"/>
      <c r="DA213" s="113"/>
      <c r="DB213" s="113"/>
      <c r="DC213" s="113"/>
      <c r="DD213" s="113"/>
      <c r="DE213" s="113"/>
      <c r="DF213" s="113"/>
      <c r="DG213" s="113"/>
      <c r="DH213" s="113"/>
      <c r="DI213" s="113"/>
      <c r="DJ213" s="113"/>
      <c r="DK213" s="113"/>
      <c r="DL213" s="113"/>
      <c r="DM213" s="113"/>
      <c r="DN213" s="113"/>
      <c r="DO213" s="113"/>
      <c r="DP213" s="113"/>
      <c r="DQ213" s="113"/>
      <c r="DR213" s="113"/>
      <c r="DS213" s="113"/>
      <c r="DT213" s="113"/>
      <c r="DU213" s="113"/>
      <c r="DV213" s="113"/>
      <c r="DW213" s="113"/>
      <c r="DX213" s="113"/>
      <c r="DY213" s="113"/>
      <c r="DZ213" s="113"/>
      <c r="EA213" s="113"/>
      <c r="EB213" s="113"/>
      <c r="EC213" s="113"/>
      <c r="ED213" s="113"/>
      <c r="EE213" s="113"/>
      <c r="EF213" s="113"/>
      <c r="EG213" s="113"/>
      <c r="EH213" s="113"/>
      <c r="EI213" s="113"/>
      <c r="EJ213" s="113"/>
      <c r="EK213" s="113"/>
      <c r="EL213" s="113"/>
      <c r="EM213" s="113"/>
      <c r="EN213" s="113"/>
      <c r="EO213" s="113"/>
      <c r="EP213" s="113"/>
      <c r="EQ213" s="113"/>
      <c r="ER213" s="113"/>
      <c r="ES213" s="113"/>
      <c r="ET213" s="113"/>
      <c r="EU213" s="113"/>
      <c r="EV213" s="113"/>
      <c r="EW213" s="113"/>
      <c r="EX213" s="113"/>
      <c r="EY213" s="113"/>
    </row>
    <row r="214">
      <c r="A214" s="65" t="s">
        <v>54</v>
      </c>
      <c r="B214" s="65" t="s">
        <v>66</v>
      </c>
      <c r="C214" s="65" t="s">
        <v>410</v>
      </c>
      <c r="D214" s="64">
        <f t="shared" si="1"/>
        <v>188.0544</v>
      </c>
      <c r="E214" s="104"/>
      <c r="F214" s="104">
        <v>0.30805</v>
      </c>
      <c r="G214" s="104">
        <v>10.3591333333333</v>
      </c>
      <c r="H214" s="104">
        <v>2.05861666666667</v>
      </c>
      <c r="I214" s="104">
        <v>0.5424</v>
      </c>
      <c r="J214" s="104"/>
      <c r="K214" s="104">
        <v>0.94295</v>
      </c>
      <c r="L214" s="104"/>
      <c r="M214" s="104">
        <v>0.30805</v>
      </c>
      <c r="N214" s="104">
        <v>10.3591333333333</v>
      </c>
      <c r="O214" s="104"/>
      <c r="P214" s="65">
        <v>1.57863333333333</v>
      </c>
      <c r="Q214" s="65"/>
      <c r="R214" s="65"/>
      <c r="S214" s="65">
        <v>0.16775</v>
      </c>
      <c r="T214" s="65">
        <v>10.8824</v>
      </c>
      <c r="U214" s="65">
        <v>2.47723333333333</v>
      </c>
      <c r="V214" s="65">
        <v>0.291283333333333</v>
      </c>
      <c r="W214" s="65">
        <v>2.01818333333333</v>
      </c>
      <c r="X214" s="65"/>
      <c r="Y214" s="65"/>
      <c r="Z214" s="65">
        <v>0.377133333333333</v>
      </c>
      <c r="AA214" s="65">
        <v>10.4880166666667</v>
      </c>
      <c r="AB214" s="65">
        <v>26.56245</v>
      </c>
      <c r="AC214" s="65">
        <v>9.6001</v>
      </c>
      <c r="AD214" s="65">
        <v>14.0403833333333</v>
      </c>
      <c r="AE214" s="65"/>
      <c r="AF214" s="65">
        <v>0.377133333333333</v>
      </c>
      <c r="AG214" s="65">
        <v>10.4880166666667</v>
      </c>
      <c r="AH214" s="65"/>
      <c r="AI214" s="65">
        <v>0.25235</v>
      </c>
      <c r="AJ214" s="65">
        <v>3.31811666666667</v>
      </c>
      <c r="AK214" s="65">
        <v>11.1726166666667</v>
      </c>
      <c r="AL214" s="65">
        <v>0.781533333333333</v>
      </c>
      <c r="AM214" s="65">
        <v>8.51116666666666</v>
      </c>
      <c r="AN214" s="65"/>
      <c r="AP214" s="65">
        <v>2.89096666666667</v>
      </c>
      <c r="AQ214" s="65">
        <v>1.03168333333333</v>
      </c>
      <c r="AR214" s="65">
        <v>2.6853</v>
      </c>
      <c r="AT214" s="65"/>
      <c r="AU214" s="65">
        <v>2.81931666666667</v>
      </c>
      <c r="AV214" s="65">
        <v>2.5028</v>
      </c>
      <c r="AY214" s="65">
        <v>37.8615</v>
      </c>
    </row>
    <row r="215">
      <c r="A215" s="65" t="s">
        <v>54</v>
      </c>
      <c r="B215" s="65" t="s">
        <v>66</v>
      </c>
      <c r="C215" s="65" t="s">
        <v>411</v>
      </c>
      <c r="D215" s="64">
        <f t="shared" si="1"/>
        <v>0</v>
      </c>
      <c r="E215" s="115"/>
      <c r="F215" s="115"/>
      <c r="G215" s="115"/>
      <c r="H215" s="115"/>
      <c r="I215" s="115"/>
      <c r="J215" s="115"/>
      <c r="K215" s="115"/>
      <c r="L215" s="115"/>
      <c r="M215" s="115"/>
      <c r="N215" s="115"/>
      <c r="O215" s="115"/>
    </row>
    <row r="216">
      <c r="A216" s="65" t="s">
        <v>54</v>
      </c>
      <c r="B216" s="65" t="s">
        <v>66</v>
      </c>
      <c r="C216" s="65" t="s">
        <v>412</v>
      </c>
      <c r="D216" s="64">
        <f t="shared" si="1"/>
        <v>166.2520333</v>
      </c>
      <c r="E216" s="115"/>
      <c r="F216" s="117">
        <f>HYPERLINK("https://docs.google.com/spreadsheets/d/1rWV9dz96ftzElSqYV34uonQ2MyyC0UhQ", 0.30805)</f>
        <v>0.30805</v>
      </c>
      <c r="G216" s="116">
        <f>HYPERLINK("https://docs.google.com/spreadsheets/d/154HPXGd2F5QR_7151s6__i5io1RnSDXo", 10.3591333333333)</f>
        <v>10.35913333</v>
      </c>
      <c r="H216" s="116">
        <f>HYPERLINK("https://docs.google.com/spreadsheets/d/11qZvdjYX5h6T3T9SD2ZiV6BSeIus_2d_", 2.05861666666667)</f>
        <v>2.058616667</v>
      </c>
      <c r="I216" s="117">
        <f>HYPERLINK("https://docs.google.com/spreadsheets/d/193Wm9sp4yzIzeAzjEerWJ3wfAQk0rkGJ", 0.5424)</f>
        <v>0.5424</v>
      </c>
      <c r="J216" s="115"/>
      <c r="K216" s="117">
        <f>HYPERLINK("https://docs.google.com/spreadsheets/d/1_FHw2OeI-fkudwP_UBxw2H8gdw3c3nr-", 0.94295)</f>
        <v>0.94295</v>
      </c>
      <c r="L216" s="115"/>
      <c r="M216" s="104"/>
      <c r="N216" s="115"/>
      <c r="O216" s="104"/>
      <c r="P216" s="118">
        <f>HYPERLINK("https://docs.google.com/spreadsheets/d/1W0NxS_0aFdjBnIOWxVJ5VHjC3ClxqCAm", 1.57863333333333)</f>
        <v>1.578633333</v>
      </c>
      <c r="S216" s="118">
        <f>HYPERLINK("https://docs.google.com/spreadsheets/d/1PRmveHzy84bwjtjNeVsMuoAC37ovfTxn", 0.16775)</f>
        <v>0.16775</v>
      </c>
      <c r="T216" s="118">
        <f>HYPERLINK("https://docs.google.com/spreadsheets/d/1p_R7WLm9k2i_ar5kE46u4FePwCZ60wPG", 10.8823666666667)</f>
        <v>10.88236667</v>
      </c>
      <c r="U216" s="118">
        <f>HYPERLINK("https://docs.google.com/spreadsheets/d/1l-W74T-OxS2Q0iPr-bwLpF-sXb3Xg9IE", 2.47723333333333)</f>
        <v>2.477233333</v>
      </c>
      <c r="V216" s="118">
        <f>HYPERLINK("https://docs.google.com/spreadsheets/d/1d56ZpGzIS76UynkPFkCWPG736EU8i_wL", 0.291283333333333)</f>
        <v>0.2912833333</v>
      </c>
      <c r="W216" s="118">
        <f>HYPERLINK("https://docs.google.com/spreadsheets/d/1vh_Skf99jFRx_xe3hntvGsNfvGdfrCZK", 2.01818333333333)</f>
        <v>2.018183333</v>
      </c>
      <c r="Z216" s="118">
        <f>HYPERLINK("https://docs.google.com/spreadsheets/d/19nAhXTb1heq3-PLMyIhDGKiOfcBgEfM_", 0.377133333333333)</f>
        <v>0.3771333333</v>
      </c>
      <c r="AA216" s="118">
        <f>HYPERLINK("https://docs.google.com/spreadsheets/d/1WCqa3k1W40JqbGCgpHd_QQC80huqlfed", 10.4879833333333)</f>
        <v>10.48798333</v>
      </c>
      <c r="AB216" s="118">
        <f>HYPERLINK("https://docs.google.com/spreadsheets/d/18pk4gYg-tYoqRcfKpPum84UiHoPHz7fJ", 26.56245)</f>
        <v>26.56245</v>
      </c>
      <c r="AC216" s="118">
        <f>HYPERLINK("https://docs.google.com/spreadsheets/d/12q8DVIEUDUw9E3W3WmCJi-VHLmuQbfE2", 9.6001)</f>
        <v>9.6001</v>
      </c>
      <c r="AD216" s="118">
        <f>HYPERLINK("https://docs.google.com/spreadsheets/d/1fH7XnJ4Hv6ROYciZp-WnTd5k104xznni", 13.8894)</f>
        <v>13.8894</v>
      </c>
      <c r="AI216" s="118">
        <f>HYPERLINK("https://docs.google.com/spreadsheets/d/16X87WEB_FkUR98KSCGFmLwiDk8p3TybE", 0.252333333333333)</f>
        <v>0.2523333333</v>
      </c>
      <c r="AJ216" s="118">
        <f>HYPERLINK("https://docs.google.com/spreadsheets/d/1BuddBgpCRv9ebf4v30btfqUg3UeoXfTM", 3.31811666666667)</f>
        <v>3.318116667</v>
      </c>
      <c r="AK216" s="118">
        <f>HYPERLINK("https://docs.google.com/spreadsheets/d/1VoNsUOixVFThp1i_weR_BQIEqmqZCWR2", 11.1725833333333)</f>
        <v>11.17258333</v>
      </c>
      <c r="AL216" s="118">
        <f>HYPERLINK("https://docs.google.com/spreadsheets/d/1ST5dm6BhT1TfjZ7TbPS4in0PzdArTC2P", 0.781533333333333)</f>
        <v>0.7815333333</v>
      </c>
      <c r="AM216" s="118">
        <f>HYPERLINK("https://docs.google.com/spreadsheets/d/18I2fiecfJcf0-ZYiPD1AAoz-Uk7AVOvG", 8.46686666666667)</f>
        <v>8.466866667</v>
      </c>
      <c r="AP216" s="118">
        <f>HYPERLINK("https://docs.google.com/spreadsheets/d/1ATXOPacpqhK8MgRJvFl9RLmcXKd0Lk-v", 2.89095)</f>
        <v>2.89095</v>
      </c>
      <c r="AQ216" s="118">
        <f>HYPERLINK("https://docs.google.com/spreadsheets/d/1iRJRh4PYZjl2s0f0XSnK8kVTtw-7xho7", 1.03168333333333)</f>
        <v>1.031683333</v>
      </c>
      <c r="AR216" s="118">
        <f>HYPERLINK("https://docs.google.com/spreadsheets/d/1HjaSwA_NbvWp-yCcn2F_akKB8XST7Yoh", 2.6853)</f>
        <v>2.6853</v>
      </c>
      <c r="AU216" s="118">
        <f>HYPERLINK("https://docs.google.com/spreadsheets/d/1sh7QCSj9AKZRQm-GV0dsbh8JHm5zm052", 2.81931666666667)</f>
        <v>2.819316667</v>
      </c>
      <c r="AV216" s="118">
        <f>HYPERLINK("https://docs.google.com/spreadsheets/d/1vnQBZcSgaaSoqLEcccub9YFSSHOoxGxY", 2.5028)</f>
        <v>2.5028</v>
      </c>
      <c r="AY216" s="118">
        <f>HYPERLINK("https://docs.google.com/spreadsheets/d/1fvZIHlXDdXIkokRnReoY4coptJ3Fa1rh", 37.7868833333333)</f>
        <v>37.78688333</v>
      </c>
    </row>
    <row r="217">
      <c r="A217" s="65" t="s">
        <v>54</v>
      </c>
      <c r="B217" s="65" t="s">
        <v>66</v>
      </c>
      <c r="C217" s="65" t="s">
        <v>413</v>
      </c>
      <c r="D217" s="64">
        <f t="shared" si="1"/>
        <v>102.9041667</v>
      </c>
      <c r="E217" s="115"/>
      <c r="F217" s="104">
        <v>0.0</v>
      </c>
      <c r="G217" s="104">
        <v>1.6678</v>
      </c>
      <c r="H217" s="104">
        <v>0.680616666666666</v>
      </c>
      <c r="I217" s="104">
        <v>0.0</v>
      </c>
      <c r="J217" s="104"/>
      <c r="K217" s="104">
        <v>0.94295</v>
      </c>
      <c r="L217" s="104"/>
      <c r="M217" s="104"/>
      <c r="N217" s="104"/>
      <c r="O217" s="104"/>
      <c r="P217" s="65">
        <v>1.57863333333333</v>
      </c>
      <c r="Q217" s="65"/>
      <c r="R217" s="65"/>
      <c r="S217" s="65">
        <v>0.16775</v>
      </c>
      <c r="T217" s="65">
        <v>10.8823666666667</v>
      </c>
      <c r="U217" s="65">
        <v>0.0</v>
      </c>
      <c r="V217" s="65">
        <v>0.194583333333333</v>
      </c>
      <c r="W217" s="65">
        <v>2.01818333333333</v>
      </c>
      <c r="X217" s="65"/>
      <c r="Y217" s="65"/>
      <c r="Z217" s="65">
        <v>0.148816666666667</v>
      </c>
      <c r="AA217" s="65">
        <v>8.00736666666667</v>
      </c>
      <c r="AB217" s="65">
        <v>8.63873333333333</v>
      </c>
      <c r="AC217" s="65">
        <v>3.5733</v>
      </c>
      <c r="AD217" s="65">
        <v>3.92253333333333</v>
      </c>
      <c r="AE217" s="65"/>
      <c r="AF217" s="65"/>
      <c r="AG217" s="65"/>
      <c r="AH217" s="65"/>
      <c r="AI217" s="65">
        <v>0.252333333333333</v>
      </c>
      <c r="AJ217" s="65">
        <v>3.31811666666667</v>
      </c>
      <c r="AK217" s="65">
        <v>2.84805</v>
      </c>
      <c r="AL217" s="65">
        <v>0.0</v>
      </c>
      <c r="AM217" s="65">
        <v>8.08388333333333</v>
      </c>
      <c r="AN217" s="65"/>
      <c r="AP217" s="65">
        <v>2.89095</v>
      </c>
      <c r="AQ217" s="65">
        <v>0.0</v>
      </c>
      <c r="AR217" s="65">
        <v>2.6853</v>
      </c>
      <c r="AT217" s="65"/>
      <c r="AU217" s="65">
        <v>1.44433333333333</v>
      </c>
      <c r="AV217" s="65">
        <v>1.17068333333333</v>
      </c>
      <c r="AY217" s="65">
        <v>37.7868833333333</v>
      </c>
    </row>
    <row r="218">
      <c r="A218" s="119" t="s">
        <v>54</v>
      </c>
      <c r="B218" s="119" t="s">
        <v>66</v>
      </c>
      <c r="C218" s="119" t="s">
        <v>414</v>
      </c>
      <c r="D218" s="120">
        <f t="shared" si="1"/>
        <v>2.819316667</v>
      </c>
      <c r="E218" s="121"/>
      <c r="F218" s="122">
        <f>HYPERLINK("https://docs.google.com/spreadsheets/d/1rWV9dz96ftzElSqYV34uonQ2MyyC0UhQ", 0)</f>
        <v>0</v>
      </c>
      <c r="G218" s="122">
        <f>HYPERLINK("https://docs.google.com/spreadsheets/d/154HPXGd2F5QR_7151s6__i5io1RnSDXo", 0)</f>
        <v>0</v>
      </c>
      <c r="H218" s="122">
        <f>HYPERLINK("https://docs.google.com/spreadsheets/d/11qZvdjYX5h6T3T9SD2ZiV6BSeIus_2d_", 0)</f>
        <v>0</v>
      </c>
      <c r="I218" s="122">
        <f>HYPERLINK("https://docs.google.com/spreadsheets/d/193Wm9sp4yzIzeAzjEerWJ3wfAQk0rkGJ", 0)</f>
        <v>0</v>
      </c>
      <c r="J218" s="121"/>
      <c r="K218" s="127">
        <f>HYPERLINK("https://docs.google.com/spreadsheets/d/1_FHw2OeI-fkudwP_UBxw2H8gdw3c3nr-", 0)</f>
        <v>0</v>
      </c>
      <c r="L218" s="121"/>
      <c r="M218" s="121"/>
      <c r="N218" s="121"/>
      <c r="O218" s="121"/>
      <c r="P218" s="124">
        <f>HYPERLINK("https://docs.google.com/spreadsheets/d/1W0NxS_0aFdjBnIOWxVJ5VHjC3ClxqCAm", 0)</f>
        <v>0</v>
      </c>
      <c r="Q218" s="120"/>
      <c r="R218" s="119"/>
      <c r="S218" s="124">
        <f>HYPERLINK("https://docs.google.com/spreadsheets/d/1PRmveHzy84bwjtjNeVsMuoAC37ovfTxn", 0)</f>
        <v>0</v>
      </c>
      <c r="T218" s="125">
        <f>HYPERLINK("https://docs.google.com/spreadsheets/d/1p_R7WLm9k2i_ar5kE46u4FePwCZ60wPG", 0)</f>
        <v>0</v>
      </c>
      <c r="U218" s="124">
        <f>HYPERLINK("https://docs.google.com/spreadsheets/d/1l-W74T-OxS2Q0iPr-bwLpF-sXb3Xg9IE", 0)</f>
        <v>0</v>
      </c>
      <c r="V218" s="124">
        <f>HYPERLINK("https://docs.google.com/spreadsheets/d/1d56ZpGzIS76UynkPFkCWPG736EU8i_wL", 0)</f>
        <v>0</v>
      </c>
      <c r="W218" s="124">
        <f>HYPERLINK("https://docs.google.com/spreadsheets/d/1vh_Skf99jFRx_xe3hntvGsNfvGdfrCZK", 0)</f>
        <v>0</v>
      </c>
      <c r="X218" s="119"/>
      <c r="Y218" s="119"/>
      <c r="Z218" s="124">
        <f>HYPERLINK("https://docs.google.com/spreadsheets/d/19nAhXTb1heq3-PLMyIhDGKiOfcBgEfM_", 0)</f>
        <v>0</v>
      </c>
      <c r="AA218" s="124">
        <f>HYPERLINK("https://docs.google.com/spreadsheets/d/1WCqa3k1W40JqbGCgpHd_QQC80huqlfed", 0)</f>
        <v>0</v>
      </c>
      <c r="AB218" s="124">
        <f>HYPERLINK("https://docs.google.com/spreadsheets/d/18pk4gYg-tYoqRcfKpPum84UiHoPHz7fJ", 0)</f>
        <v>0</v>
      </c>
      <c r="AC218" s="124">
        <f>HYPERLINK("https://docs.google.com/spreadsheets/d/12q8DVIEUDUw9E3W3WmCJi-VHLmuQbfE2", 0)</f>
        <v>0</v>
      </c>
      <c r="AD218" s="124">
        <f>HYPERLINK("https://docs.google.com/spreadsheets/d/1fH7XnJ4Hv6ROYciZp-WnTd5k104xznni", 0)</f>
        <v>0</v>
      </c>
      <c r="AE218" s="119"/>
      <c r="AF218" s="119"/>
      <c r="AG218" s="119"/>
      <c r="AH218" s="119"/>
      <c r="AI218" s="125">
        <f>HYPERLINK("https://docs.google.com/spreadsheets/d/16X87WEB_FkUR98KSCGFmLwiDk8p3TybE", 0)</f>
        <v>0</v>
      </c>
      <c r="AJ218" s="124">
        <f>HYPERLINK("https://docs.google.com/spreadsheets/d/1BuddBgpCRv9ebf4v30btfqUg3UeoXfTM", 0)</f>
        <v>0</v>
      </c>
      <c r="AK218" s="124">
        <f>HYPERLINK("https://docs.google.com/spreadsheets/d/1VoNsUOixVFThp1i_weR_BQIEqmqZCWR2", 0)</f>
        <v>0</v>
      </c>
      <c r="AL218" s="124">
        <f>HYPERLINK("https://docs.google.com/spreadsheets/d/1ST5dm6BhT1TfjZ7TbPS4in0PzdArTC2P", 0)</f>
        <v>0</v>
      </c>
      <c r="AM218" s="124">
        <f>HYPERLINK("https://docs.google.com/spreadsheets/d/18I2fiecfJcf0-ZYiPD1AAoz-Uk7AVOvG", 0)</f>
        <v>0</v>
      </c>
      <c r="AN218" s="120"/>
      <c r="AO218" s="120"/>
      <c r="AP218" s="124">
        <f>HYPERLINK("https://docs.google.com/spreadsheets/d/1ATXOPacpqhK8MgRJvFl9RLmcXKd0Lk-v", 0)</f>
        <v>0</v>
      </c>
      <c r="AQ218" s="125">
        <f>HYPERLINK("https://docs.google.com/spreadsheets/d/1iRJRh4PYZjl2s0f0XSnK8kVTtw-7xho7", 0)</f>
        <v>0</v>
      </c>
      <c r="AR218" s="125">
        <f>HYPERLINK("https://docs.google.com/spreadsheets/d/1HjaSwA_NbvWp-yCcn2F_akKB8XST7Yoh", 0)</f>
        <v>0</v>
      </c>
      <c r="AS218" s="120"/>
      <c r="AT218" s="120"/>
      <c r="AU218" s="124">
        <f>HYPERLINK("https://docs.google.com/spreadsheets/d/1sh7QCSj9AKZRQm-GV0dsbh8JHm5zm052", 2.81931666666667)</f>
        <v>2.819316667</v>
      </c>
      <c r="AV218" s="124">
        <f>HYPERLINK("https://docs.google.com/spreadsheets/d/1vnQBZcSgaaSoqLEcccub9YFSSHOoxGxY", 0)</f>
        <v>0</v>
      </c>
      <c r="AW218" s="120"/>
      <c r="AX218" s="120"/>
      <c r="AY218" s="124">
        <f>HYPERLINK("https://docs.google.com/spreadsheets/d/1fvZIHlXDdXIkokRnReoY4coptJ3Fa1rh", 0)</f>
        <v>0</v>
      </c>
      <c r="AZ218" s="120"/>
      <c r="BA218" s="120"/>
      <c r="BB218" s="120"/>
      <c r="BC218" s="120"/>
      <c r="BD218" s="120"/>
      <c r="BE218" s="120"/>
      <c r="BF218" s="120"/>
      <c r="BG218" s="120"/>
      <c r="BH218" s="120"/>
      <c r="BI218" s="120"/>
      <c r="BJ218" s="120"/>
      <c r="BK218" s="120"/>
      <c r="BL218" s="120"/>
      <c r="BM218" s="120"/>
      <c r="BN218" s="120"/>
      <c r="BO218" s="120"/>
      <c r="BP218" s="120"/>
      <c r="BQ218" s="120"/>
      <c r="BR218" s="120"/>
      <c r="BS218" s="120"/>
      <c r="BT218" s="120"/>
      <c r="BU218" s="120"/>
      <c r="BV218" s="120"/>
      <c r="BW218" s="120"/>
      <c r="BX218" s="120"/>
      <c r="BY218" s="120"/>
      <c r="BZ218" s="120"/>
      <c r="CA218" s="120"/>
      <c r="CB218" s="120"/>
      <c r="CC218" s="120"/>
      <c r="CD218" s="120"/>
      <c r="CE218" s="120"/>
      <c r="CF218" s="120"/>
      <c r="CG218" s="120"/>
      <c r="CH218" s="120"/>
      <c r="CI218" s="120"/>
      <c r="CJ218" s="120"/>
      <c r="CK218" s="120"/>
      <c r="CL218" s="120"/>
      <c r="CM218" s="120"/>
      <c r="CN218" s="120"/>
      <c r="CO218" s="120"/>
      <c r="CP218" s="120"/>
      <c r="CQ218" s="120"/>
      <c r="CR218" s="120"/>
      <c r="CS218" s="120"/>
      <c r="CT218" s="120"/>
      <c r="CU218" s="120"/>
      <c r="CV218" s="120"/>
      <c r="CW218" s="120"/>
      <c r="CX218" s="120"/>
      <c r="CY218" s="120"/>
      <c r="CZ218" s="120"/>
      <c r="DA218" s="120"/>
      <c r="DB218" s="120"/>
      <c r="DC218" s="120"/>
      <c r="DD218" s="120"/>
      <c r="DE218" s="120"/>
      <c r="DF218" s="120"/>
      <c r="DG218" s="120"/>
      <c r="DH218" s="120"/>
      <c r="DI218" s="120"/>
      <c r="DJ218" s="120"/>
      <c r="DK218" s="120"/>
      <c r="DL218" s="120"/>
      <c r="DM218" s="120"/>
      <c r="DN218" s="120"/>
      <c r="DO218" s="120"/>
      <c r="DP218" s="120"/>
      <c r="DQ218" s="120"/>
      <c r="DR218" s="120"/>
      <c r="DS218" s="120"/>
      <c r="DT218" s="120"/>
      <c r="DU218" s="120"/>
      <c r="DV218" s="120"/>
      <c r="DW218" s="120"/>
      <c r="DX218" s="120"/>
      <c r="DY218" s="120"/>
      <c r="DZ218" s="120"/>
      <c r="EA218" s="120"/>
      <c r="EB218" s="120"/>
      <c r="EC218" s="120"/>
      <c r="ED218" s="120"/>
      <c r="EE218" s="120"/>
      <c r="EF218" s="120"/>
      <c r="EG218" s="120"/>
      <c r="EH218" s="120"/>
      <c r="EI218" s="120"/>
      <c r="EJ218" s="120"/>
      <c r="EK218" s="120"/>
      <c r="EL218" s="120"/>
      <c r="EM218" s="120"/>
      <c r="EN218" s="120"/>
      <c r="EO218" s="120"/>
      <c r="EP218" s="120"/>
      <c r="EQ218" s="120"/>
      <c r="ER218" s="120"/>
      <c r="ES218" s="120"/>
      <c r="ET218" s="120"/>
      <c r="EU218" s="120"/>
      <c r="EV218" s="120"/>
      <c r="EW218" s="120"/>
      <c r="EX218" s="120"/>
      <c r="EY218" s="120"/>
    </row>
    <row r="219">
      <c r="A219" s="112" t="s">
        <v>45</v>
      </c>
      <c r="B219" s="112" t="s">
        <v>46</v>
      </c>
      <c r="C219" s="112" t="s">
        <v>409</v>
      </c>
      <c r="D219" s="113">
        <f t="shared" si="1"/>
        <v>428.9556667</v>
      </c>
      <c r="E219" s="114">
        <v>40.01895</v>
      </c>
      <c r="F219" s="114"/>
      <c r="G219" s="114"/>
      <c r="H219" s="114"/>
      <c r="I219" s="114"/>
      <c r="J219" s="114"/>
      <c r="K219" s="114"/>
      <c r="L219" s="114">
        <v>0.754</v>
      </c>
      <c r="M219" s="114"/>
      <c r="N219" s="114"/>
      <c r="O219" s="114">
        <v>11.0905833333333</v>
      </c>
      <c r="P219" s="112"/>
      <c r="Q219" s="112">
        <v>0.158633333333333</v>
      </c>
      <c r="R219" s="112">
        <v>8.35058333333333</v>
      </c>
      <c r="S219" s="112"/>
      <c r="T219" s="112"/>
      <c r="U219" s="112"/>
      <c r="V219" s="112"/>
      <c r="W219" s="112"/>
      <c r="X219" s="113"/>
      <c r="Y219" s="112">
        <v>2.79923333333333</v>
      </c>
      <c r="Z219" s="112"/>
      <c r="AA219" s="113"/>
      <c r="AB219" s="112"/>
      <c r="AC219" s="112"/>
      <c r="AD219" s="112"/>
      <c r="AE219" s="112"/>
      <c r="AF219" s="112"/>
      <c r="AG219" s="112"/>
      <c r="AH219" s="112">
        <v>265.66155</v>
      </c>
      <c r="AI219" s="112"/>
      <c r="AJ219" s="112"/>
      <c r="AK219" s="112"/>
      <c r="AL219" s="113"/>
      <c r="AM219" s="112"/>
      <c r="AN219" s="112">
        <v>4.50936666666667</v>
      </c>
      <c r="AO219" s="112">
        <v>2.21925</v>
      </c>
      <c r="AP219" s="112"/>
      <c r="AQ219" s="113"/>
      <c r="AR219" s="112"/>
      <c r="AS219" s="112">
        <v>2.4716</v>
      </c>
      <c r="AT219" s="112">
        <v>3.10668333333333</v>
      </c>
      <c r="AU219" s="112"/>
      <c r="AV219" s="112"/>
      <c r="AW219" s="112">
        <v>0.231266666666667</v>
      </c>
      <c r="AX219" s="112">
        <v>76.9198</v>
      </c>
      <c r="AY219" s="113"/>
      <c r="AZ219" s="112">
        <v>2.96301666666667</v>
      </c>
      <c r="BA219" s="112">
        <v>7.70115</v>
      </c>
      <c r="BB219" s="113"/>
      <c r="BC219" s="113"/>
      <c r="BD219" s="113"/>
      <c r="BE219" s="113"/>
      <c r="BF219" s="113"/>
      <c r="BG219" s="113"/>
      <c r="BH219" s="113"/>
      <c r="BI219" s="113"/>
      <c r="BJ219" s="113"/>
      <c r="BK219" s="113"/>
      <c r="BL219" s="113"/>
      <c r="BM219" s="113"/>
      <c r="BN219" s="113"/>
      <c r="BO219" s="113"/>
      <c r="BP219" s="113"/>
      <c r="BQ219" s="113"/>
      <c r="BR219" s="113"/>
      <c r="BS219" s="113"/>
      <c r="BT219" s="113"/>
      <c r="BU219" s="113"/>
      <c r="BV219" s="113"/>
      <c r="BW219" s="113"/>
      <c r="BX219" s="113"/>
      <c r="BY219" s="113"/>
      <c r="BZ219" s="113"/>
      <c r="CA219" s="113"/>
      <c r="CB219" s="113"/>
      <c r="CC219" s="113"/>
      <c r="CD219" s="113"/>
      <c r="CE219" s="113"/>
      <c r="CF219" s="113"/>
      <c r="CG219" s="113"/>
      <c r="CH219" s="113"/>
      <c r="CI219" s="113"/>
      <c r="CJ219" s="113"/>
      <c r="CK219" s="113"/>
      <c r="CL219" s="113"/>
      <c r="CM219" s="113"/>
      <c r="CN219" s="113"/>
      <c r="CO219" s="113"/>
      <c r="CP219" s="113"/>
      <c r="CQ219" s="113"/>
      <c r="CR219" s="113"/>
      <c r="CS219" s="113"/>
      <c r="CT219" s="113"/>
      <c r="CU219" s="113"/>
      <c r="CV219" s="113"/>
      <c r="CW219" s="113"/>
      <c r="CX219" s="113"/>
      <c r="CY219" s="113"/>
      <c r="CZ219" s="113"/>
      <c r="DA219" s="113"/>
      <c r="DB219" s="113"/>
      <c r="DC219" s="113"/>
      <c r="DD219" s="113"/>
      <c r="DE219" s="113"/>
      <c r="DF219" s="113"/>
      <c r="DG219" s="113"/>
      <c r="DH219" s="113"/>
      <c r="DI219" s="113"/>
      <c r="DJ219" s="113"/>
      <c r="DK219" s="113"/>
      <c r="DL219" s="113"/>
      <c r="DM219" s="113"/>
      <c r="DN219" s="113"/>
      <c r="DO219" s="113"/>
      <c r="DP219" s="113"/>
      <c r="DQ219" s="113"/>
      <c r="DR219" s="113"/>
      <c r="DS219" s="113"/>
      <c r="DT219" s="113"/>
      <c r="DU219" s="113"/>
      <c r="DV219" s="113"/>
      <c r="DW219" s="113"/>
      <c r="DX219" s="113"/>
      <c r="DY219" s="113"/>
      <c r="DZ219" s="113"/>
      <c r="EA219" s="113"/>
      <c r="EB219" s="113"/>
      <c r="EC219" s="113"/>
      <c r="ED219" s="113"/>
      <c r="EE219" s="113"/>
      <c r="EF219" s="113"/>
      <c r="EG219" s="113"/>
      <c r="EH219" s="113"/>
      <c r="EI219" s="113"/>
      <c r="EJ219" s="113"/>
      <c r="EK219" s="113"/>
      <c r="EL219" s="113"/>
      <c r="EM219" s="113"/>
      <c r="EN219" s="113"/>
      <c r="EO219" s="113"/>
      <c r="EP219" s="113"/>
      <c r="EQ219" s="113"/>
      <c r="ER219" s="113"/>
      <c r="ES219" s="113"/>
      <c r="ET219" s="113"/>
      <c r="EU219" s="113"/>
      <c r="EV219" s="113"/>
      <c r="EW219" s="113"/>
      <c r="EX219" s="113"/>
      <c r="EY219" s="113"/>
    </row>
    <row r="220">
      <c r="A220" s="65" t="s">
        <v>45</v>
      </c>
      <c r="B220" s="65" t="s">
        <v>46</v>
      </c>
      <c r="C220" s="65" t="s">
        <v>410</v>
      </c>
      <c r="D220" s="64">
        <f t="shared" si="1"/>
        <v>320.3876667</v>
      </c>
      <c r="E220" s="104"/>
      <c r="F220" s="104"/>
      <c r="G220" s="104"/>
      <c r="H220" s="104">
        <v>2.00963333333333</v>
      </c>
      <c r="I220" s="104">
        <v>6.2875</v>
      </c>
      <c r="J220" s="104"/>
      <c r="K220" s="104">
        <v>19.6607333333333</v>
      </c>
      <c r="L220" s="104"/>
      <c r="M220" s="104"/>
      <c r="N220" s="104"/>
      <c r="O220" s="104"/>
      <c r="P220" s="65">
        <v>0.382116666666667</v>
      </c>
      <c r="Q220" s="65"/>
      <c r="R220" s="65"/>
      <c r="S220" s="65"/>
      <c r="T220" s="65"/>
      <c r="U220" s="65">
        <v>0.78605</v>
      </c>
      <c r="V220" s="65">
        <v>0.79225</v>
      </c>
      <c r="W220" s="65">
        <v>3.58386666666667</v>
      </c>
      <c r="X220" s="65"/>
      <c r="Y220" s="65"/>
      <c r="Z220" s="65"/>
      <c r="AA220" s="65"/>
      <c r="AB220" s="65">
        <v>0.2757</v>
      </c>
      <c r="AC220" s="65">
        <v>0.680283333333333</v>
      </c>
      <c r="AD220" s="65"/>
      <c r="AE220" s="65"/>
      <c r="AF220" s="65"/>
      <c r="AG220" s="65"/>
      <c r="AH220" s="65"/>
      <c r="AI220" s="65"/>
      <c r="AK220" s="65">
        <v>15.10375</v>
      </c>
      <c r="AL220" s="65">
        <v>90.7188833333334</v>
      </c>
      <c r="AM220" s="65">
        <v>116.8056</v>
      </c>
      <c r="AN220" s="65"/>
      <c r="AP220" s="65"/>
      <c r="AQ220" s="65"/>
      <c r="AR220" s="65">
        <v>1.63463333333333</v>
      </c>
      <c r="AT220" s="65"/>
      <c r="AU220" s="65"/>
      <c r="AV220" s="65">
        <v>3.10668333333333</v>
      </c>
      <c r="AY220" s="65">
        <v>58.5599833333334</v>
      </c>
    </row>
    <row r="221">
      <c r="A221" s="65" t="s">
        <v>45</v>
      </c>
      <c r="B221" s="65" t="s">
        <v>46</v>
      </c>
      <c r="C221" s="65" t="s">
        <v>411</v>
      </c>
      <c r="D221" s="64">
        <f t="shared" si="1"/>
        <v>0</v>
      </c>
      <c r="E221" s="115"/>
      <c r="F221" s="115"/>
      <c r="G221" s="115"/>
      <c r="H221" s="115"/>
      <c r="I221" s="115"/>
      <c r="J221" s="115"/>
      <c r="K221" s="115"/>
      <c r="L221" s="115"/>
      <c r="M221" s="115"/>
      <c r="N221" s="115"/>
      <c r="O221" s="115"/>
    </row>
    <row r="222">
      <c r="A222" s="65" t="s">
        <v>45</v>
      </c>
      <c r="B222" s="65" t="s">
        <v>46</v>
      </c>
      <c r="C222" s="65" t="s">
        <v>412</v>
      </c>
      <c r="D222" s="64">
        <f t="shared" si="1"/>
        <v>318.7737167</v>
      </c>
      <c r="E222" s="115"/>
      <c r="F222" s="104"/>
      <c r="G222" s="115"/>
      <c r="H222" s="116">
        <f>HYPERLINK("https://docs.google.com/spreadsheets/d/1RS-GvkuEIPJ-z1fMHUHD9Uaia86WaQdb", 2.00963333333333)</f>
        <v>2.009633333</v>
      </c>
      <c r="I222" s="117">
        <f>HYPERLINK("https://docs.google.com/spreadsheets/d/1XyaxYdfID07spwjwdbl_ZPbCY8TDeWKX", 6.2875)</f>
        <v>6.2875</v>
      </c>
      <c r="J222" s="115"/>
      <c r="K222" s="117">
        <f>HYPERLINK("https://docs.google.com/spreadsheets/d/1a9uYMeE4_FcLOWR7TGsKe0EK9PsqmH3e", 19.5022666666667)</f>
        <v>19.50226667</v>
      </c>
      <c r="L222" s="115"/>
      <c r="M222" s="104"/>
      <c r="N222" s="115"/>
      <c r="O222" s="104"/>
      <c r="P222" s="118">
        <f>HYPERLINK("https://docs.google.com/spreadsheets/d/1-p1iLqScZqYSWR0nlifi3fuHmtXkDoNP", 0.382116666666667)</f>
        <v>0.3821166667</v>
      </c>
      <c r="U222" s="118">
        <f>HYPERLINK("https://docs.google.com/spreadsheets/d/13i711tRFBwZjJ4OTNEx6cSliOSlns8Am", 0.78605)</f>
        <v>0.78605</v>
      </c>
      <c r="V222" s="118">
        <f>HYPERLINK("https://docs.google.com/spreadsheets/d/19EFKPlZD_Al9Giwd27qCx2t4MRh6RSXa", 0.79225)</f>
        <v>0.79225</v>
      </c>
      <c r="W222" s="118">
        <f>HYPERLINK("https://docs.google.com/spreadsheets/d/1u5n13W5gm9XQTdHLAJC7ZYLJKWd3hxBD", 3.58386666666667)</f>
        <v>3.583866667</v>
      </c>
      <c r="AB222" s="118">
        <f>HYPERLINK("https://docs.google.com/spreadsheets/d/1EtjwXcRYdb22hjqqi3S_kiLRb9v-TI1P", 0.2757)</f>
        <v>0.2757</v>
      </c>
      <c r="AC222" s="118">
        <f>HYPERLINK("https://docs.google.com/spreadsheets/d/11XB1jxHyw0i1-MYfRcE9XiAIzs0ooDH1", 0.680283333333333)</f>
        <v>0.6802833333</v>
      </c>
      <c r="AK222" s="118">
        <f>HYPERLINK("https://docs.google.com/spreadsheets/d/1XAfMPaw9_XAWx9mFLWLEnkApyEGQhbUl", 15.10375)</f>
        <v>15.10375</v>
      </c>
      <c r="AL222" s="118">
        <f>HYPERLINK("https://docs.google.com/spreadsheets/d/1ti2Z26Ls7P8dVhWutn3UWcXPwogcdr2_", 90.7188333333334)</f>
        <v>90.71883333</v>
      </c>
      <c r="AM222" s="118">
        <f>HYPERLINK("https://docs.google.com/spreadsheets/d/1aP9f0qzwtRQpdxcZDgf1ZxJQLlXJz3ui", 115.780366666667)</f>
        <v>115.7803667</v>
      </c>
      <c r="AR222" s="118">
        <f>HYPERLINK("https://docs.google.com/spreadsheets/d/1g97uwz6dL3SVjMPEuv9G6Qv3YDwfSwLu", 1.63463333333333)</f>
        <v>1.634633333</v>
      </c>
      <c r="AV222" s="118">
        <f>HYPERLINK("https://docs.google.com/spreadsheets/d/1mrpA-qnMOCNpezlZgRRw7QtmEeB_duoz", 2.96485)</f>
        <v>2.96485</v>
      </c>
      <c r="AY222" s="118">
        <f>HYPERLINK("https://docs.google.com/spreadsheets/d/1xe017-42ZfrXsJOxT6IBrr8s1DYhm2Xd", 58.2716166666667)</f>
        <v>58.27161667</v>
      </c>
    </row>
    <row r="223">
      <c r="A223" s="65" t="s">
        <v>45</v>
      </c>
      <c r="B223" s="65" t="s">
        <v>46</v>
      </c>
      <c r="C223" s="65" t="s">
        <v>413</v>
      </c>
      <c r="D223" s="64">
        <f t="shared" si="1"/>
        <v>210.0245833</v>
      </c>
      <c r="E223" s="115"/>
      <c r="F223" s="104"/>
      <c r="G223" s="104"/>
      <c r="H223" s="104">
        <v>0.227033333333333</v>
      </c>
      <c r="I223" s="104">
        <v>0.827366666666665</v>
      </c>
      <c r="J223" s="104"/>
      <c r="K223" s="104">
        <v>13.31595</v>
      </c>
      <c r="L223" s="104"/>
      <c r="M223" s="104"/>
      <c r="N223" s="104"/>
      <c r="O223" s="104"/>
      <c r="P223" s="65">
        <v>0.382116666666667</v>
      </c>
      <c r="Q223" s="65"/>
      <c r="R223" s="65"/>
      <c r="S223" s="65"/>
      <c r="T223" s="65"/>
      <c r="U223" s="65">
        <v>0.0</v>
      </c>
      <c r="V223" s="65">
        <v>0.0</v>
      </c>
      <c r="W223" s="65">
        <v>3.58386666666667</v>
      </c>
      <c r="X223" s="65"/>
      <c r="Y223" s="65"/>
      <c r="Z223" s="65"/>
      <c r="AA223" s="65"/>
      <c r="AB223" s="65">
        <v>0.0</v>
      </c>
      <c r="AC223" s="65">
        <v>0.0</v>
      </c>
      <c r="AD223" s="65"/>
      <c r="AE223" s="65"/>
      <c r="AF223" s="65"/>
      <c r="AG223" s="65"/>
      <c r="AH223" s="65"/>
      <c r="AI223" s="65"/>
      <c r="AK223" s="65">
        <v>1.86993333333333</v>
      </c>
      <c r="AL223" s="65">
        <v>20.08315</v>
      </c>
      <c r="AM223" s="65">
        <v>115.780366666667</v>
      </c>
      <c r="AN223" s="65"/>
      <c r="AP223" s="65"/>
      <c r="AQ223" s="65"/>
      <c r="AR223" s="65">
        <v>1.63463333333333</v>
      </c>
      <c r="AT223" s="65"/>
      <c r="AU223" s="65"/>
      <c r="AV223" s="65">
        <v>0.0</v>
      </c>
      <c r="AY223" s="65">
        <v>52.3201666666667</v>
      </c>
    </row>
    <row r="224">
      <c r="A224" s="119" t="s">
        <v>45</v>
      </c>
      <c r="B224" s="119" t="s">
        <v>46</v>
      </c>
      <c r="C224" s="119" t="s">
        <v>414</v>
      </c>
      <c r="D224" s="120">
        <f t="shared" si="1"/>
        <v>0</v>
      </c>
      <c r="E224" s="121"/>
      <c r="F224" s="123"/>
      <c r="G224" s="121"/>
      <c r="H224" s="122">
        <f>HYPERLINK("https://docs.google.com/spreadsheets/d/1RS-GvkuEIPJ-z1fMHUHD9Uaia86WaQdb", 0)</f>
        <v>0</v>
      </c>
      <c r="I224" s="122">
        <f>HYPERLINK("https://docs.google.com/spreadsheets/d/1XyaxYdfID07spwjwdbl_ZPbCY8TDeWKX", 0)</f>
        <v>0</v>
      </c>
      <c r="J224" s="121"/>
      <c r="K224" s="122">
        <f>HYPERLINK("https://docs.google.com/spreadsheets/d/1a9uYMeE4_FcLOWR7TGsKe0EK9PsqmH3e", 0)</f>
        <v>0</v>
      </c>
      <c r="L224" s="121"/>
      <c r="M224" s="121"/>
      <c r="N224" s="123"/>
      <c r="O224" s="121"/>
      <c r="P224" s="124">
        <f>HYPERLINK("https://docs.google.com/spreadsheets/d/1-p1iLqScZqYSWR0nlifi3fuHmtXkDoNP", 0)</f>
        <v>0</v>
      </c>
      <c r="Q224" s="120"/>
      <c r="R224" s="120"/>
      <c r="S224" s="120"/>
      <c r="T224" s="119"/>
      <c r="U224" s="125">
        <f>HYPERLINK("https://docs.google.com/spreadsheets/d/13i711tRFBwZjJ4OTNEx6cSliOSlns8Am", 0)</f>
        <v>0</v>
      </c>
      <c r="V224" s="124">
        <f>HYPERLINK("https://docs.google.com/spreadsheets/d/19EFKPlZD_Al9Giwd27qCx2t4MRh6RSXa", 0)</f>
        <v>0</v>
      </c>
      <c r="W224" s="124">
        <f>HYPERLINK("https://docs.google.com/spreadsheets/d/1u5n13W5gm9XQTdHLAJC7ZYLJKWd3hxBD", 0)</f>
        <v>0</v>
      </c>
      <c r="X224" s="120"/>
      <c r="Y224" s="120"/>
      <c r="Z224" s="120"/>
      <c r="AA224" s="120"/>
      <c r="AB224" s="124">
        <f>HYPERLINK("https://docs.google.com/spreadsheets/d/1EtjwXcRYdb22hjqqi3S_kiLRb9v-TI1P", 0)</f>
        <v>0</v>
      </c>
      <c r="AC224" s="124">
        <f>HYPERLINK("https://docs.google.com/spreadsheets/d/11XB1jxHyw0i1-MYfRcE9XiAIzs0ooDH1", 0)</f>
        <v>0</v>
      </c>
      <c r="AD224" s="120"/>
      <c r="AE224" s="120"/>
      <c r="AF224" s="120"/>
      <c r="AG224" s="119"/>
      <c r="AH224" s="119"/>
      <c r="AI224" s="119"/>
      <c r="AJ224" s="120"/>
      <c r="AK224" s="124">
        <f>HYPERLINK("https://docs.google.com/spreadsheets/d/1XAfMPaw9_XAWx9mFLWLEnkApyEGQhbUl", 0)</f>
        <v>0</v>
      </c>
      <c r="AL224" s="124">
        <f>HYPERLINK("https://docs.google.com/spreadsheets/d/1ti2Z26Ls7P8dVhWutn3UWcXPwogcdr2_", 0)</f>
        <v>0</v>
      </c>
      <c r="AM224" s="124">
        <f>HYPERLINK("https://docs.google.com/spreadsheets/d/1aP9f0qzwtRQpdxcZDgf1ZxJQLlXJz3ui", 0)</f>
        <v>0</v>
      </c>
      <c r="AN224" s="119"/>
      <c r="AO224" s="120"/>
      <c r="AP224" s="120"/>
      <c r="AQ224" s="120"/>
      <c r="AR224" s="125">
        <f>HYPERLINK("https://docs.google.com/spreadsheets/d/1g97uwz6dL3SVjMPEuv9G6Qv3YDwfSwLu", 0)</f>
        <v>0</v>
      </c>
      <c r="AS224" s="120"/>
      <c r="AT224" s="120"/>
      <c r="AU224" s="119"/>
      <c r="AV224" s="124">
        <f>HYPERLINK("https://docs.google.com/spreadsheets/d/1mrpA-qnMOCNpezlZgRRw7QtmEeB_duoz", 0)</f>
        <v>0</v>
      </c>
      <c r="AW224" s="120"/>
      <c r="AX224" s="120"/>
      <c r="AY224" s="124">
        <f>HYPERLINK("https://docs.google.com/spreadsheets/d/1xe017-42ZfrXsJOxT6IBrr8s1DYhm2Xd", 0)</f>
        <v>0</v>
      </c>
      <c r="AZ224" s="120"/>
      <c r="BA224" s="120"/>
      <c r="BB224" s="120"/>
      <c r="BC224" s="120"/>
      <c r="BD224" s="120"/>
      <c r="BE224" s="120"/>
      <c r="BF224" s="120"/>
      <c r="BG224" s="120"/>
      <c r="BH224" s="120"/>
      <c r="BI224" s="120"/>
      <c r="BJ224" s="120"/>
      <c r="BK224" s="120"/>
      <c r="BL224" s="120"/>
      <c r="BM224" s="120"/>
      <c r="BN224" s="120"/>
      <c r="BO224" s="120"/>
      <c r="BP224" s="120"/>
      <c r="BQ224" s="120"/>
      <c r="BR224" s="120"/>
      <c r="BS224" s="120"/>
      <c r="BT224" s="120"/>
      <c r="BU224" s="120"/>
      <c r="BV224" s="120"/>
      <c r="BW224" s="120"/>
      <c r="BX224" s="120"/>
      <c r="BY224" s="120"/>
      <c r="BZ224" s="120"/>
      <c r="CA224" s="120"/>
      <c r="CB224" s="120"/>
      <c r="CC224" s="120"/>
      <c r="CD224" s="120"/>
      <c r="CE224" s="120"/>
      <c r="CF224" s="120"/>
      <c r="CG224" s="120"/>
      <c r="CH224" s="120"/>
      <c r="CI224" s="120"/>
      <c r="CJ224" s="120"/>
      <c r="CK224" s="120"/>
      <c r="CL224" s="120"/>
      <c r="CM224" s="120"/>
      <c r="CN224" s="120"/>
      <c r="CO224" s="120"/>
      <c r="CP224" s="120"/>
      <c r="CQ224" s="120"/>
      <c r="CR224" s="120"/>
      <c r="CS224" s="120"/>
      <c r="CT224" s="120"/>
      <c r="CU224" s="120"/>
      <c r="CV224" s="120"/>
      <c r="CW224" s="120"/>
      <c r="CX224" s="120"/>
      <c r="CY224" s="120"/>
      <c r="CZ224" s="120"/>
      <c r="DA224" s="120"/>
      <c r="DB224" s="120"/>
      <c r="DC224" s="120"/>
      <c r="DD224" s="120"/>
      <c r="DE224" s="120"/>
      <c r="DF224" s="120"/>
      <c r="DG224" s="120"/>
      <c r="DH224" s="120"/>
      <c r="DI224" s="120"/>
      <c r="DJ224" s="120"/>
      <c r="DK224" s="120"/>
      <c r="DL224" s="120"/>
      <c r="DM224" s="120"/>
      <c r="DN224" s="120"/>
      <c r="DO224" s="120"/>
      <c r="DP224" s="120"/>
      <c r="DQ224" s="120"/>
      <c r="DR224" s="120"/>
      <c r="DS224" s="120"/>
      <c r="DT224" s="120"/>
      <c r="DU224" s="120"/>
      <c r="DV224" s="120"/>
      <c r="DW224" s="120"/>
      <c r="DX224" s="120"/>
      <c r="DY224" s="120"/>
      <c r="DZ224" s="120"/>
      <c r="EA224" s="120"/>
      <c r="EB224" s="120"/>
      <c r="EC224" s="120"/>
      <c r="ED224" s="120"/>
      <c r="EE224" s="120"/>
      <c r="EF224" s="120"/>
      <c r="EG224" s="120"/>
      <c r="EH224" s="120"/>
      <c r="EI224" s="120"/>
      <c r="EJ224" s="120"/>
      <c r="EK224" s="120"/>
      <c r="EL224" s="120"/>
      <c r="EM224" s="120"/>
      <c r="EN224" s="120"/>
      <c r="EO224" s="120"/>
      <c r="EP224" s="120"/>
      <c r="EQ224" s="120"/>
      <c r="ER224" s="120"/>
      <c r="ES224" s="120"/>
      <c r="ET224" s="120"/>
      <c r="EU224" s="120"/>
      <c r="EV224" s="120"/>
      <c r="EW224" s="120"/>
      <c r="EX224" s="120"/>
      <c r="EY224" s="120"/>
    </row>
    <row r="225">
      <c r="A225" s="112" t="s">
        <v>69</v>
      </c>
      <c r="B225" s="112" t="s">
        <v>70</v>
      </c>
      <c r="C225" s="112" t="s">
        <v>409</v>
      </c>
      <c r="D225" s="113">
        <f t="shared" si="1"/>
        <v>618.6645833</v>
      </c>
      <c r="E225" s="114">
        <v>97.3321833333335</v>
      </c>
      <c r="F225" s="114"/>
      <c r="G225" s="114"/>
      <c r="H225" s="114"/>
      <c r="I225" s="114"/>
      <c r="J225" s="114"/>
      <c r="K225" s="114"/>
      <c r="L225" s="114">
        <v>2.04833333333333</v>
      </c>
      <c r="M225" s="114"/>
      <c r="N225" s="114"/>
      <c r="O225" s="114">
        <v>3.21516666666667</v>
      </c>
      <c r="P225" s="112"/>
      <c r="Q225" s="112"/>
      <c r="R225" s="112">
        <v>104.445066666667</v>
      </c>
      <c r="S225" s="112"/>
      <c r="T225" s="112"/>
      <c r="U225" s="112"/>
      <c r="V225" s="112"/>
      <c r="W225" s="112"/>
      <c r="X225" s="112">
        <v>1.99905</v>
      </c>
      <c r="Y225" s="112">
        <v>8.7495</v>
      </c>
      <c r="Z225" s="112"/>
      <c r="AA225" s="113"/>
      <c r="AB225" s="112"/>
      <c r="AC225" s="112"/>
      <c r="AD225" s="112"/>
      <c r="AE225" s="112">
        <v>1.64148333333333</v>
      </c>
      <c r="AF225" s="112"/>
      <c r="AG225" s="112"/>
      <c r="AH225" s="112">
        <v>262.526133333334</v>
      </c>
      <c r="AI225" s="112"/>
      <c r="AJ225" s="112"/>
      <c r="AK225" s="112"/>
      <c r="AL225" s="113"/>
      <c r="AM225" s="112"/>
      <c r="AN225" s="112">
        <v>10.2015333333333</v>
      </c>
      <c r="AO225" s="112">
        <v>31.4245333333333</v>
      </c>
      <c r="AP225" s="112"/>
      <c r="AQ225" s="113"/>
      <c r="AR225" s="112"/>
      <c r="AS225" s="112">
        <v>7.28318333333333</v>
      </c>
      <c r="AT225" s="112">
        <v>23.5327166666667</v>
      </c>
      <c r="AU225" s="112"/>
      <c r="AV225" s="112"/>
      <c r="AW225" s="112">
        <v>3.7118</v>
      </c>
      <c r="AX225" s="112">
        <v>50.7409</v>
      </c>
      <c r="AY225" s="113"/>
      <c r="AZ225" s="112">
        <v>7.39661666666666</v>
      </c>
      <c r="BA225" s="112">
        <v>2.41638333333333</v>
      </c>
      <c r="BB225" s="113"/>
      <c r="BC225" s="113"/>
      <c r="BD225" s="113"/>
      <c r="BE225" s="113"/>
      <c r="BF225" s="113"/>
      <c r="BG225" s="113"/>
      <c r="BH225" s="113"/>
      <c r="BI225" s="113"/>
      <c r="BJ225" s="113"/>
      <c r="BK225" s="113"/>
      <c r="BL225" s="113"/>
      <c r="BM225" s="113"/>
      <c r="BN225" s="113"/>
      <c r="BO225" s="113"/>
      <c r="BP225" s="113"/>
      <c r="BQ225" s="113"/>
      <c r="BR225" s="113"/>
      <c r="BS225" s="113"/>
      <c r="BT225" s="113"/>
      <c r="BU225" s="113"/>
      <c r="BV225" s="113"/>
      <c r="BW225" s="113"/>
      <c r="BX225" s="113"/>
      <c r="BY225" s="113"/>
      <c r="BZ225" s="113"/>
      <c r="CA225" s="113"/>
      <c r="CB225" s="113"/>
      <c r="CC225" s="113"/>
      <c r="CD225" s="113"/>
      <c r="CE225" s="113"/>
      <c r="CF225" s="113"/>
      <c r="CG225" s="113"/>
      <c r="CH225" s="113"/>
      <c r="CI225" s="113"/>
      <c r="CJ225" s="113"/>
      <c r="CK225" s="113"/>
      <c r="CL225" s="113"/>
      <c r="CM225" s="113"/>
      <c r="CN225" s="113"/>
      <c r="CO225" s="113"/>
      <c r="CP225" s="113"/>
      <c r="CQ225" s="113"/>
      <c r="CR225" s="113"/>
      <c r="CS225" s="113"/>
      <c r="CT225" s="113"/>
      <c r="CU225" s="113"/>
      <c r="CV225" s="113"/>
      <c r="CW225" s="113"/>
      <c r="CX225" s="113"/>
      <c r="CY225" s="113"/>
      <c r="CZ225" s="113"/>
      <c r="DA225" s="113"/>
      <c r="DB225" s="113"/>
      <c r="DC225" s="113"/>
      <c r="DD225" s="113"/>
      <c r="DE225" s="113"/>
      <c r="DF225" s="113"/>
      <c r="DG225" s="113"/>
      <c r="DH225" s="113"/>
      <c r="DI225" s="113"/>
      <c r="DJ225" s="113"/>
      <c r="DK225" s="113"/>
      <c r="DL225" s="113"/>
      <c r="DM225" s="113"/>
      <c r="DN225" s="113"/>
      <c r="DO225" s="113"/>
      <c r="DP225" s="113"/>
      <c r="DQ225" s="113"/>
      <c r="DR225" s="113"/>
      <c r="DS225" s="113"/>
      <c r="DT225" s="113"/>
      <c r="DU225" s="113"/>
      <c r="DV225" s="113"/>
      <c r="DW225" s="113"/>
      <c r="DX225" s="113"/>
      <c r="DY225" s="113"/>
      <c r="DZ225" s="113"/>
      <c r="EA225" s="113"/>
      <c r="EB225" s="113"/>
      <c r="EC225" s="113"/>
      <c r="ED225" s="113"/>
      <c r="EE225" s="113"/>
      <c r="EF225" s="113"/>
      <c r="EG225" s="113"/>
      <c r="EH225" s="113"/>
      <c r="EI225" s="113"/>
      <c r="EJ225" s="113"/>
      <c r="EK225" s="113"/>
      <c r="EL225" s="113"/>
      <c r="EM225" s="113"/>
      <c r="EN225" s="113"/>
      <c r="EO225" s="113"/>
      <c r="EP225" s="113"/>
      <c r="EQ225" s="113"/>
      <c r="ER225" s="113"/>
      <c r="ES225" s="113"/>
      <c r="ET225" s="113"/>
      <c r="EU225" s="113"/>
      <c r="EV225" s="113"/>
      <c r="EW225" s="113"/>
      <c r="EX225" s="113"/>
      <c r="EY225" s="113"/>
    </row>
    <row r="226">
      <c r="A226" s="65" t="s">
        <v>69</v>
      </c>
      <c r="B226" s="65" t="s">
        <v>70</v>
      </c>
      <c r="C226" s="65" t="s">
        <v>410</v>
      </c>
      <c r="D226" s="64">
        <f t="shared" si="1"/>
        <v>592.6391333</v>
      </c>
      <c r="E226" s="115"/>
      <c r="F226" s="104">
        <v>30.4385833333333</v>
      </c>
      <c r="G226" s="104">
        <v>16.68945</v>
      </c>
      <c r="H226" s="104">
        <v>16.0977666666667</v>
      </c>
      <c r="I226" s="104">
        <v>8.13421666666667</v>
      </c>
      <c r="J226" s="104">
        <v>2.68978333333333</v>
      </c>
      <c r="K226" s="104">
        <v>13.3041666666667</v>
      </c>
      <c r="L226" s="104"/>
      <c r="M226" s="104">
        <v>30.4385833333333</v>
      </c>
      <c r="N226" s="104">
        <v>16.68945</v>
      </c>
      <c r="O226" s="104"/>
      <c r="P226" s="65">
        <v>2.46175</v>
      </c>
      <c r="Q226" s="65"/>
      <c r="R226" s="65"/>
      <c r="S226" s="65">
        <v>17.4841333333333</v>
      </c>
      <c r="T226" s="65">
        <v>3.93091666666667</v>
      </c>
      <c r="U226" s="65">
        <v>25.5141</v>
      </c>
      <c r="V226" s="65">
        <v>8.21741666666667</v>
      </c>
      <c r="W226" s="65">
        <v>39.8855666666666</v>
      </c>
      <c r="X226" s="65"/>
      <c r="Y226" s="65"/>
      <c r="Z226" s="65">
        <v>0.43545</v>
      </c>
      <c r="AA226" s="65">
        <v>2.68206666666667</v>
      </c>
      <c r="AB226" s="65">
        <v>2.8049</v>
      </c>
      <c r="AC226" s="65">
        <v>0.32225</v>
      </c>
      <c r="AD226" s="65">
        <v>2.50483333333333</v>
      </c>
      <c r="AE226" s="65"/>
      <c r="AF226" s="65">
        <v>0.43545</v>
      </c>
      <c r="AG226" s="65">
        <v>2.68206666666667</v>
      </c>
      <c r="AH226" s="65"/>
      <c r="AI226" s="65">
        <v>2.25601666666667</v>
      </c>
      <c r="AJ226" s="65">
        <v>94.63995</v>
      </c>
      <c r="AK226" s="65">
        <v>107.318333333333</v>
      </c>
      <c r="AL226" s="65">
        <v>8.6369</v>
      </c>
      <c r="AM226" s="65">
        <v>40.908</v>
      </c>
      <c r="AN226" s="65"/>
      <c r="AP226" s="65">
        <v>3.53108333333333</v>
      </c>
      <c r="AQ226" s="65">
        <v>1.78925</v>
      </c>
      <c r="AR226" s="65">
        <v>21.4315333333333</v>
      </c>
      <c r="AT226" s="65"/>
      <c r="AU226" s="65">
        <v>1.76003333333333</v>
      </c>
      <c r="AV226" s="65">
        <v>17.8030833333333</v>
      </c>
      <c r="AY226" s="65">
        <v>48.72205</v>
      </c>
    </row>
    <row r="227">
      <c r="A227" s="65" t="s">
        <v>69</v>
      </c>
      <c r="B227" s="65" t="s">
        <v>70</v>
      </c>
      <c r="C227" s="65" t="s">
        <v>411</v>
      </c>
      <c r="D227" s="64">
        <f t="shared" si="1"/>
        <v>0</v>
      </c>
      <c r="E227" s="115"/>
      <c r="F227" s="115"/>
      <c r="G227" s="115"/>
      <c r="H227" s="115"/>
      <c r="I227" s="115"/>
      <c r="J227" s="115"/>
      <c r="K227" s="115"/>
      <c r="L227" s="115"/>
      <c r="M227" s="115"/>
      <c r="N227" s="115"/>
      <c r="O227" s="115"/>
    </row>
    <row r="228">
      <c r="A228" s="65" t="s">
        <v>69</v>
      </c>
      <c r="B228" s="65" t="s">
        <v>70</v>
      </c>
      <c r="C228" s="65" t="s">
        <v>412</v>
      </c>
      <c r="D228" s="64">
        <f t="shared" si="1"/>
        <v>525.6629833</v>
      </c>
      <c r="E228" s="115"/>
      <c r="F228" s="116">
        <f>HYPERLINK("https://docs.google.com/spreadsheets/d/1eDuJIwNTHVPQ0JV29LO5WeywnwmmVdDJ", 19.75985)</f>
        <v>19.75985</v>
      </c>
      <c r="G228" s="116">
        <f>HYPERLINK("https://docs.google.com/spreadsheets/d/1YJihaDDLeINZLFfn2736LVc_2FL-Ffyo", 16.6894333333333)</f>
        <v>16.68943333</v>
      </c>
      <c r="H228" s="116">
        <f>HYPERLINK("https://docs.google.com/spreadsheets/d/1HafVzroUlJFpJCj2HoacWunxXCwgBjN9", 16.0977666666667)</f>
        <v>16.09776667</v>
      </c>
      <c r="I228" s="116">
        <f>HYPERLINK("https://docs.google.com/spreadsheets/d/15Ei6C5FedUe4gvUpuVJBDEFD1OulJ5FZ", 8.13425)</f>
        <v>8.13425</v>
      </c>
      <c r="J228" s="116">
        <f>HYPERLINK("https://docs.google.com/spreadsheets/d/1ghDKnn-I9aGBNIUIKBdZ-RXq5gyKou8z", 2.54615)</f>
        <v>2.54615</v>
      </c>
      <c r="K228" s="117">
        <f>HYPERLINK("https://docs.google.com/spreadsheets/d/101V4acCCAG1a2Blv2LOy28iHxtS2sF_O", 13.3041666666667)</f>
        <v>13.30416667</v>
      </c>
      <c r="L228" s="115"/>
      <c r="M228" s="104"/>
      <c r="N228" s="115"/>
      <c r="O228" s="104"/>
      <c r="P228" s="118">
        <f>HYPERLINK("https://docs.google.com/spreadsheets/d/1HQVBUDUpXVP4qe9Z1us0S4i4bxlQHST6", 2.46175)</f>
        <v>2.46175</v>
      </c>
      <c r="S228" s="118">
        <f>HYPERLINK("https://docs.google.com/spreadsheets/d/1CcOVA7uyj-aJWHk-3KaZ5Z7kZVwpxd9b", 14.2099333333333)</f>
        <v>14.20993333</v>
      </c>
      <c r="T228" s="118">
        <f>HYPERLINK("https://docs.google.com/spreadsheets/d/1TikIi7W0MDpefNgmh1V0lUlxuHtb_uXV", 3.9309)</f>
        <v>3.9309</v>
      </c>
      <c r="U228" s="118">
        <f>HYPERLINK("https://docs.google.com/spreadsheets/d/1FK9owAIxYpEuZ_rTAJ2vHK22A6ETZKMV", 25.5141166666667)</f>
        <v>25.51411667</v>
      </c>
      <c r="V228" s="118">
        <f>HYPERLINK("https://docs.google.com/spreadsheets/d/1PQaawuZQCcB0fM_i81fketMxkQ4-7Kzh", 8.21741666666667)</f>
        <v>8.217416667</v>
      </c>
      <c r="W228" s="118">
        <f>HYPERLINK("https://docs.google.com/spreadsheets/d/14AMsVx-I_wDvmKIWlDzcpH2QyNDBf-hp", 39.7694833333333)</f>
        <v>39.76948333</v>
      </c>
      <c r="Z228" s="118">
        <f>HYPERLINK("https://docs.google.com/spreadsheets/d/1TyZuStg0Xug8GCJUcflz9hXJYBM8feTH", 0.305)</f>
        <v>0.305</v>
      </c>
      <c r="AA228" s="118">
        <f>HYPERLINK("https://docs.google.com/spreadsheets/d/1Q0nMsXrxmEK44Ix4Mz1WYQUUE71jIEOl", 2.68206666666667)</f>
        <v>2.682066667</v>
      </c>
      <c r="AB228" s="118">
        <f>HYPERLINK("https://docs.google.com/spreadsheets/d/1WVPcuN5ZmW8PBRxcM3UuQ7q2psc23M_P", 2.8049)</f>
        <v>2.8049</v>
      </c>
      <c r="AC228" s="118">
        <f>HYPERLINK("https://docs.google.com/spreadsheets/d/1phcloaPf-2JCNMsJK8fANEJag_y_UBpy", 0.32225)</f>
        <v>0.32225</v>
      </c>
      <c r="AD228" s="118">
        <f>HYPERLINK("https://docs.google.com/spreadsheets/d/1MnSwNfJZ3pxZ3pLGtGKPPJFAMenwTCyS", 2.50483333333333)</f>
        <v>2.504833333</v>
      </c>
      <c r="AI228" s="118">
        <f>HYPERLINK("https://docs.google.com/spreadsheets/d/1X12xa6MpGuGyycHex2BFMaPXqlKgNn0G", 1.1159)</f>
        <v>1.1159</v>
      </c>
      <c r="AJ228" s="118">
        <f>HYPERLINK("https://docs.google.com/spreadsheets/d/1gCUygsWn6kneLQ_Zy0Wm5m-QpoDLieRh", 94.5892)</f>
        <v>94.5892</v>
      </c>
      <c r="AK228" s="118">
        <f>HYPERLINK("https://docs.google.com/spreadsheets/d/10_47tkglLCfLfLIWZ_gQ89z3ww2IVKC8", 106.877416666667)</f>
        <v>106.8774167</v>
      </c>
      <c r="AL228" s="118">
        <f>HYPERLINK("https://docs.google.com/spreadsheets/d/140Lp98Mx-ASTj889aaJM9V3izvAtRyFF", 8.6369)</f>
        <v>8.6369</v>
      </c>
      <c r="AM228" s="118">
        <f>HYPERLINK("https://docs.google.com/spreadsheets/d/1FGd8SF6csKXZKQ8HpN-zZ1x0mKE5qiV5", 40.3720666666667)</f>
        <v>40.37206667</v>
      </c>
      <c r="AP228" s="118">
        <f>HYPERLINK("https://docs.google.com/spreadsheets/d/1KLUxihGlownb_i3PQpnyQ_OgdwuQ4-NY", 3.53108333333333)</f>
        <v>3.531083333</v>
      </c>
      <c r="AQ228" s="118">
        <f>HYPERLINK("https://docs.google.com/spreadsheets/d/1Ujp8Pfasoo1Px5wobpQjTljvptyJh1r2", 1.78925)</f>
        <v>1.78925</v>
      </c>
      <c r="AR228" s="118">
        <f>HYPERLINK("https://docs.google.com/spreadsheets/d/1PBQrABBQyl21e-WI5m4clOcCuI_85Pzv", 21.2117666666667)</f>
        <v>21.21176667</v>
      </c>
      <c r="AU228" s="118">
        <f>HYPERLINK("https://docs.google.com/spreadsheets/d/1g494VBhmiuk7Ggrq_2EIihDg2f1omcfc", 1.76003333333333)</f>
        <v>1.760033333</v>
      </c>
      <c r="AV228" s="118">
        <f>HYPERLINK("https://docs.google.com/spreadsheets/d/19q1yVjfttzA5BNFSVyZKmVoafT-vfpSx", 17.8030833333333)</f>
        <v>17.80308333</v>
      </c>
      <c r="AY228" s="118">
        <f>HYPERLINK("https://docs.google.com/spreadsheets/d/1ZjHyCllrMiF80GL4n9fFM7SEz2wREu9W", 48.7220166666667)</f>
        <v>48.72201667</v>
      </c>
    </row>
    <row r="229">
      <c r="A229" s="65" t="s">
        <v>69</v>
      </c>
      <c r="B229" s="65" t="s">
        <v>70</v>
      </c>
      <c r="C229" s="65" t="s">
        <v>413</v>
      </c>
      <c r="D229" s="64">
        <f t="shared" si="1"/>
        <v>300.5539167</v>
      </c>
      <c r="E229" s="115"/>
      <c r="F229" s="104">
        <v>1.54236666666666</v>
      </c>
      <c r="G229" s="104">
        <v>0.4894</v>
      </c>
      <c r="H229" s="104">
        <v>0.486150000000004</v>
      </c>
      <c r="I229" s="104">
        <v>0.509483333333334</v>
      </c>
      <c r="J229" s="104">
        <v>0.115033333333334</v>
      </c>
      <c r="K229" s="104">
        <v>13.3041666666667</v>
      </c>
      <c r="L229" s="104"/>
      <c r="M229" s="104"/>
      <c r="N229" s="104"/>
      <c r="O229" s="104"/>
      <c r="P229" s="65">
        <v>2.46175</v>
      </c>
      <c r="Q229" s="65"/>
      <c r="R229" s="65"/>
      <c r="S229" s="65">
        <v>14.2099333333333</v>
      </c>
      <c r="T229" s="65">
        <v>3.9309</v>
      </c>
      <c r="U229" s="65">
        <v>0.104400000000016</v>
      </c>
      <c r="V229" s="65">
        <v>0.530866666666669</v>
      </c>
      <c r="W229" s="65">
        <v>39.7694833333333</v>
      </c>
      <c r="X229" s="65"/>
      <c r="Y229" s="65"/>
      <c r="Z229" s="65">
        <v>0.305</v>
      </c>
      <c r="AA229" s="65">
        <v>1.84161666666667</v>
      </c>
      <c r="AB229" s="65">
        <v>-4.44089209850063E-16</v>
      </c>
      <c r="AC229" s="65">
        <v>0.0</v>
      </c>
      <c r="AD229" s="65">
        <v>0.0</v>
      </c>
      <c r="AE229" s="65"/>
      <c r="AF229" s="65"/>
      <c r="AG229" s="65"/>
      <c r="AH229" s="65"/>
      <c r="AI229" s="65">
        <v>1.1159</v>
      </c>
      <c r="AJ229" s="65">
        <v>94.5892</v>
      </c>
      <c r="AK229" s="65">
        <v>9.04748333333326</v>
      </c>
      <c r="AL229" s="65">
        <v>0.102483333333334</v>
      </c>
      <c r="AM229" s="65">
        <v>40.3720666666667</v>
      </c>
      <c r="AN229" s="65"/>
      <c r="AP229" s="65">
        <v>3.53108333333333</v>
      </c>
      <c r="AQ229" s="65">
        <v>0.0</v>
      </c>
      <c r="AR229" s="65">
        <v>21.2117666666667</v>
      </c>
      <c r="AT229" s="65"/>
      <c r="AU229" s="65">
        <v>0.0</v>
      </c>
      <c r="AV229" s="65">
        <v>2.26136666666667</v>
      </c>
      <c r="AY229" s="65">
        <v>48.7220166666667</v>
      </c>
    </row>
    <row r="230">
      <c r="A230" s="119" t="s">
        <v>69</v>
      </c>
      <c r="B230" s="119" t="s">
        <v>70</v>
      </c>
      <c r="C230" s="119" t="s">
        <v>414</v>
      </c>
      <c r="D230" s="120">
        <f t="shared" si="1"/>
        <v>1.760033333</v>
      </c>
      <c r="E230" s="121"/>
      <c r="F230" s="122">
        <f>HYPERLINK("https://docs.google.com/spreadsheets/d/1eDuJIwNTHVPQ0JV29LO5WeywnwmmVdDJ", 0)</f>
        <v>0</v>
      </c>
      <c r="G230" s="122">
        <f>HYPERLINK("https://docs.google.com/spreadsheets/d/1YJihaDDLeINZLFfn2736LVc_2FL-Ffyo", 0)</f>
        <v>0</v>
      </c>
      <c r="H230" s="122">
        <f>HYPERLINK("https://docs.google.com/spreadsheets/d/1HafVzroUlJFpJCj2HoacWunxXCwgBjN9", 0)</f>
        <v>0</v>
      </c>
      <c r="I230" s="122">
        <f>HYPERLINK("https://docs.google.com/spreadsheets/d/15Ei6C5FedUe4gvUpuVJBDEFD1OulJ5FZ", 0)</f>
        <v>0</v>
      </c>
      <c r="J230" s="122">
        <f>HYPERLINK("https://docs.google.com/spreadsheets/d/1ghDKnn-I9aGBNIUIKBdZ-RXq5gyKou8z", 0)</f>
        <v>0</v>
      </c>
      <c r="K230" s="122">
        <f>HYPERLINK("https://docs.google.com/spreadsheets/d/101V4acCCAG1a2Blv2LOy28iHxtS2sF_O", 0)</f>
        <v>0</v>
      </c>
      <c r="L230" s="121"/>
      <c r="M230" s="121"/>
      <c r="N230" s="123"/>
      <c r="O230" s="121"/>
      <c r="P230" s="124">
        <f>HYPERLINK("https://docs.google.com/spreadsheets/d/1HQVBUDUpXVP4qe9Z1us0S4i4bxlQHST6", 0)</f>
        <v>0</v>
      </c>
      <c r="Q230" s="120"/>
      <c r="R230" s="119"/>
      <c r="S230" s="124">
        <f>HYPERLINK("https://docs.google.com/spreadsheets/d/1CcOVA7uyj-aJWHk-3KaZ5Z7kZVwpxd9b", 0)</f>
        <v>0</v>
      </c>
      <c r="T230" s="125">
        <f>HYPERLINK("https://docs.google.com/spreadsheets/d/1TikIi7W0MDpefNgmh1V0lUlxuHtb_uXV", 0)</f>
        <v>0</v>
      </c>
      <c r="U230" s="125">
        <f>HYPERLINK("https://docs.google.com/spreadsheets/d/1FK9owAIxYpEuZ_rTAJ2vHK22A6ETZKMV", 0)</f>
        <v>0</v>
      </c>
      <c r="V230" s="124">
        <f>HYPERLINK("https://docs.google.com/spreadsheets/d/1PQaawuZQCcB0fM_i81fketMxkQ4-7Kzh", 0)</f>
        <v>0</v>
      </c>
      <c r="W230" s="124">
        <f>HYPERLINK("https://docs.google.com/spreadsheets/d/14AMsVx-I_wDvmKIWlDzcpH2QyNDBf-hp", 0)</f>
        <v>0</v>
      </c>
      <c r="X230" s="120"/>
      <c r="Y230" s="119"/>
      <c r="Z230" s="124">
        <f>HYPERLINK("https://docs.google.com/spreadsheets/d/1TyZuStg0Xug8GCJUcflz9hXJYBM8feTH", 0)</f>
        <v>0</v>
      </c>
      <c r="AA230" s="124">
        <f>HYPERLINK("https://docs.google.com/spreadsheets/d/1Q0nMsXrxmEK44Ix4Mz1WYQUUE71jIEOl", 0)</f>
        <v>0</v>
      </c>
      <c r="AB230" s="124">
        <f>HYPERLINK("https://docs.google.com/spreadsheets/d/1WVPcuN5ZmW8PBRxcM3UuQ7q2psc23M_P", 0)</f>
        <v>0</v>
      </c>
      <c r="AC230" s="124">
        <f>HYPERLINK("https://docs.google.com/spreadsheets/d/1phcloaPf-2JCNMsJK8fANEJag_y_UBpy", 0)</f>
        <v>0</v>
      </c>
      <c r="AD230" s="124">
        <f>HYPERLINK("https://docs.google.com/spreadsheets/d/1MnSwNfJZ3pxZ3pLGtGKPPJFAMenwTCyS", 0)</f>
        <v>0</v>
      </c>
      <c r="AE230" s="119"/>
      <c r="AF230" s="119"/>
      <c r="AG230" s="119"/>
      <c r="AH230" s="119"/>
      <c r="AI230" s="125">
        <f>HYPERLINK("https://docs.google.com/spreadsheets/d/1X12xa6MpGuGyycHex2BFMaPXqlKgNn0G", 0)</f>
        <v>0</v>
      </c>
      <c r="AJ230" s="124">
        <f>HYPERLINK("https://docs.google.com/spreadsheets/d/1gCUygsWn6kneLQ_Zy0Wm5m-QpoDLieRh", 0)</f>
        <v>0</v>
      </c>
      <c r="AK230" s="124">
        <f>HYPERLINK("https://docs.google.com/spreadsheets/d/10_47tkglLCfLfLIWZ_gQ89z3ww2IVKC8", 0)</f>
        <v>0</v>
      </c>
      <c r="AL230" s="125">
        <f>HYPERLINK("https://docs.google.com/spreadsheets/d/140Lp98Mx-ASTj889aaJM9V3izvAtRyFF", 0)</f>
        <v>0</v>
      </c>
      <c r="AM230" s="124">
        <f>HYPERLINK("https://docs.google.com/spreadsheets/d/1FGd8SF6csKXZKQ8HpN-zZ1x0mKE5qiV5", 0)</f>
        <v>0</v>
      </c>
      <c r="AN230" s="119"/>
      <c r="AO230" s="120"/>
      <c r="AP230" s="124">
        <f>HYPERLINK("https://docs.google.com/spreadsheets/d/1KLUxihGlownb_i3PQpnyQ_OgdwuQ4-NY", 0)</f>
        <v>0</v>
      </c>
      <c r="AQ230" s="125">
        <f>HYPERLINK("https://docs.google.com/spreadsheets/d/1Ujp8Pfasoo1Px5wobpQjTljvptyJh1r2", 0)</f>
        <v>0</v>
      </c>
      <c r="AR230" s="125">
        <f>HYPERLINK("https://docs.google.com/spreadsheets/d/1PBQrABBQyl21e-WI5m4clOcCuI_85Pzv", 0)</f>
        <v>0</v>
      </c>
      <c r="AS230" s="120"/>
      <c r="AT230" s="120"/>
      <c r="AU230" s="124">
        <f>HYPERLINK("https://docs.google.com/spreadsheets/d/1g494VBhmiuk7Ggrq_2EIihDg2f1omcfc", 1.76003333333333)</f>
        <v>1.760033333</v>
      </c>
      <c r="AV230" s="124">
        <f>HYPERLINK("https://docs.google.com/spreadsheets/d/19q1yVjfttzA5BNFSVyZKmVoafT-vfpSx", 0)</f>
        <v>0</v>
      </c>
      <c r="AW230" s="120"/>
      <c r="AX230" s="120"/>
      <c r="AY230" s="124">
        <f>HYPERLINK("https://docs.google.com/spreadsheets/d/1ZjHyCllrMiF80GL4n9fFM7SEz2wREu9W", 0)</f>
        <v>0</v>
      </c>
      <c r="AZ230" s="120"/>
      <c r="BA230" s="120"/>
      <c r="BB230" s="120"/>
      <c r="BC230" s="120"/>
      <c r="BD230" s="120"/>
      <c r="BE230" s="120"/>
      <c r="BF230" s="120"/>
      <c r="BG230" s="120"/>
      <c r="BH230" s="120"/>
      <c r="BI230" s="120"/>
      <c r="BJ230" s="120"/>
      <c r="BK230" s="120"/>
      <c r="BL230" s="120"/>
      <c r="BM230" s="120"/>
      <c r="BN230" s="120"/>
      <c r="BO230" s="120"/>
      <c r="BP230" s="120"/>
      <c r="BQ230" s="120"/>
      <c r="BR230" s="120"/>
      <c r="BS230" s="120"/>
      <c r="BT230" s="120"/>
      <c r="BU230" s="120"/>
      <c r="BV230" s="120"/>
      <c r="BW230" s="120"/>
      <c r="BX230" s="120"/>
      <c r="BY230" s="120"/>
      <c r="BZ230" s="120"/>
      <c r="CA230" s="120"/>
      <c r="CB230" s="120"/>
      <c r="CC230" s="120"/>
      <c r="CD230" s="120"/>
      <c r="CE230" s="120"/>
      <c r="CF230" s="120"/>
      <c r="CG230" s="120"/>
      <c r="CH230" s="120"/>
      <c r="CI230" s="120"/>
      <c r="CJ230" s="120"/>
      <c r="CK230" s="120"/>
      <c r="CL230" s="120"/>
      <c r="CM230" s="120"/>
      <c r="CN230" s="120"/>
      <c r="CO230" s="120"/>
      <c r="CP230" s="120"/>
      <c r="CQ230" s="120"/>
      <c r="CR230" s="120"/>
      <c r="CS230" s="120"/>
      <c r="CT230" s="120"/>
      <c r="CU230" s="120"/>
      <c r="CV230" s="120"/>
      <c r="CW230" s="120"/>
      <c r="CX230" s="120"/>
      <c r="CY230" s="120"/>
      <c r="CZ230" s="120"/>
      <c r="DA230" s="120"/>
      <c r="DB230" s="120"/>
      <c r="DC230" s="120"/>
      <c r="DD230" s="120"/>
      <c r="DE230" s="120"/>
      <c r="DF230" s="120"/>
      <c r="DG230" s="120"/>
      <c r="DH230" s="120"/>
      <c r="DI230" s="120"/>
      <c r="DJ230" s="120"/>
      <c r="DK230" s="120"/>
      <c r="DL230" s="120"/>
      <c r="DM230" s="120"/>
      <c r="DN230" s="120"/>
      <c r="DO230" s="120"/>
      <c r="DP230" s="120"/>
      <c r="DQ230" s="120"/>
      <c r="DR230" s="120"/>
      <c r="DS230" s="120"/>
      <c r="DT230" s="120"/>
      <c r="DU230" s="120"/>
      <c r="DV230" s="120"/>
      <c r="DW230" s="120"/>
      <c r="DX230" s="120"/>
      <c r="DY230" s="120"/>
      <c r="DZ230" s="120"/>
      <c r="EA230" s="120"/>
      <c r="EB230" s="120"/>
      <c r="EC230" s="120"/>
      <c r="ED230" s="120"/>
      <c r="EE230" s="120"/>
      <c r="EF230" s="120"/>
      <c r="EG230" s="120"/>
      <c r="EH230" s="120"/>
      <c r="EI230" s="120"/>
      <c r="EJ230" s="120"/>
      <c r="EK230" s="120"/>
      <c r="EL230" s="120"/>
      <c r="EM230" s="120"/>
      <c r="EN230" s="120"/>
      <c r="EO230" s="120"/>
      <c r="EP230" s="120"/>
      <c r="EQ230" s="120"/>
      <c r="ER230" s="120"/>
      <c r="ES230" s="120"/>
      <c r="ET230" s="120"/>
      <c r="EU230" s="120"/>
      <c r="EV230" s="120"/>
      <c r="EW230" s="120"/>
      <c r="EX230" s="120"/>
      <c r="EY230" s="120"/>
    </row>
    <row r="231">
      <c r="A231" s="112" t="s">
        <v>69</v>
      </c>
      <c r="B231" s="112" t="s">
        <v>71</v>
      </c>
      <c r="C231" s="112" t="s">
        <v>409</v>
      </c>
      <c r="D231" s="113">
        <f t="shared" si="1"/>
        <v>524.90585</v>
      </c>
      <c r="E231" s="114">
        <v>94.3809333333334</v>
      </c>
      <c r="F231" s="114"/>
      <c r="G231" s="114"/>
      <c r="H231" s="114"/>
      <c r="I231" s="114"/>
      <c r="J231" s="114"/>
      <c r="K231" s="114"/>
      <c r="L231" s="114">
        <v>1.1995</v>
      </c>
      <c r="M231" s="114"/>
      <c r="N231" s="114"/>
      <c r="O231" s="114">
        <v>11.58585</v>
      </c>
      <c r="P231" s="112"/>
      <c r="Q231" s="112"/>
      <c r="R231" s="112">
        <v>80.6195166666667</v>
      </c>
      <c r="S231" s="112"/>
      <c r="T231" s="112"/>
      <c r="U231" s="112"/>
      <c r="V231" s="112"/>
      <c r="W231" s="112"/>
      <c r="X231" s="112">
        <v>2.15256666666667</v>
      </c>
      <c r="Y231" s="112">
        <v>6.78523333333333</v>
      </c>
      <c r="Z231" s="112"/>
      <c r="AA231" s="113"/>
      <c r="AB231" s="112"/>
      <c r="AC231" s="112"/>
      <c r="AD231" s="112"/>
      <c r="AE231" s="112">
        <v>0.706166666666667</v>
      </c>
      <c r="AF231" s="112"/>
      <c r="AG231" s="112"/>
      <c r="AH231" s="112">
        <v>232.847933333333</v>
      </c>
      <c r="AI231" s="112"/>
      <c r="AJ231" s="112"/>
      <c r="AK231" s="112"/>
      <c r="AL231" s="113"/>
      <c r="AM231" s="112"/>
      <c r="AN231" s="112">
        <v>6.57763333333333</v>
      </c>
      <c r="AO231" s="112">
        <v>20.9450333333333</v>
      </c>
      <c r="AP231" s="112"/>
      <c r="AQ231" s="113"/>
      <c r="AR231" s="112"/>
      <c r="AS231" s="112">
        <v>5.07033333333333</v>
      </c>
      <c r="AT231" s="112">
        <v>16.8904833333333</v>
      </c>
      <c r="AU231" s="112"/>
      <c r="AV231" s="112"/>
      <c r="AW231" s="112">
        <v>1.75653333333333</v>
      </c>
      <c r="AX231" s="112">
        <v>39.1477666666667</v>
      </c>
      <c r="AY231" s="113"/>
      <c r="AZ231" s="112">
        <v>3.50545</v>
      </c>
      <c r="BA231" s="112">
        <v>0.734916666666667</v>
      </c>
      <c r="BB231" s="113"/>
      <c r="BC231" s="113"/>
      <c r="BD231" s="113"/>
      <c r="BE231" s="113"/>
      <c r="BF231" s="113"/>
      <c r="BG231" s="113"/>
      <c r="BH231" s="113"/>
      <c r="BI231" s="113"/>
      <c r="BJ231" s="113"/>
      <c r="BK231" s="113"/>
      <c r="BL231" s="113"/>
      <c r="BM231" s="113"/>
      <c r="BN231" s="113"/>
      <c r="BO231" s="113"/>
      <c r="BP231" s="113"/>
      <c r="BQ231" s="113"/>
      <c r="BR231" s="113"/>
      <c r="BS231" s="113"/>
      <c r="BT231" s="113"/>
      <c r="BU231" s="113"/>
      <c r="BV231" s="113"/>
      <c r="BW231" s="113"/>
      <c r="BX231" s="113"/>
      <c r="BY231" s="113"/>
      <c r="BZ231" s="113"/>
      <c r="CA231" s="113"/>
      <c r="CB231" s="113"/>
      <c r="CC231" s="113"/>
      <c r="CD231" s="113"/>
      <c r="CE231" s="113"/>
      <c r="CF231" s="113"/>
      <c r="CG231" s="113"/>
      <c r="CH231" s="113"/>
      <c r="CI231" s="113"/>
      <c r="CJ231" s="113"/>
      <c r="CK231" s="113"/>
      <c r="CL231" s="113"/>
      <c r="CM231" s="113"/>
      <c r="CN231" s="113"/>
      <c r="CO231" s="113"/>
      <c r="CP231" s="113"/>
      <c r="CQ231" s="113"/>
      <c r="CR231" s="113"/>
      <c r="CS231" s="113"/>
      <c r="CT231" s="113"/>
      <c r="CU231" s="113"/>
      <c r="CV231" s="113"/>
      <c r="CW231" s="113"/>
      <c r="CX231" s="113"/>
      <c r="CY231" s="113"/>
      <c r="CZ231" s="113"/>
      <c r="DA231" s="113"/>
      <c r="DB231" s="113"/>
      <c r="DC231" s="113"/>
      <c r="DD231" s="113"/>
      <c r="DE231" s="113"/>
      <c r="DF231" s="113"/>
      <c r="DG231" s="113"/>
      <c r="DH231" s="113"/>
      <c r="DI231" s="113"/>
      <c r="DJ231" s="113"/>
      <c r="DK231" s="113"/>
      <c r="DL231" s="113"/>
      <c r="DM231" s="113"/>
      <c r="DN231" s="113"/>
      <c r="DO231" s="113"/>
      <c r="DP231" s="113"/>
      <c r="DQ231" s="113"/>
      <c r="DR231" s="113"/>
      <c r="DS231" s="113"/>
      <c r="DT231" s="113"/>
      <c r="DU231" s="113"/>
      <c r="DV231" s="113"/>
      <c r="DW231" s="113"/>
      <c r="DX231" s="113"/>
      <c r="DY231" s="113"/>
      <c r="DZ231" s="113"/>
      <c r="EA231" s="113"/>
      <c r="EB231" s="113"/>
      <c r="EC231" s="113"/>
      <c r="ED231" s="113"/>
      <c r="EE231" s="113"/>
      <c r="EF231" s="113"/>
      <c r="EG231" s="113"/>
      <c r="EH231" s="113"/>
      <c r="EI231" s="113"/>
      <c r="EJ231" s="113"/>
      <c r="EK231" s="113"/>
      <c r="EL231" s="113"/>
      <c r="EM231" s="113"/>
      <c r="EN231" s="113"/>
      <c r="EO231" s="113"/>
      <c r="EP231" s="113"/>
      <c r="EQ231" s="113"/>
      <c r="ER231" s="113"/>
      <c r="ES231" s="113"/>
      <c r="ET231" s="113"/>
      <c r="EU231" s="113"/>
      <c r="EV231" s="113"/>
      <c r="EW231" s="113"/>
      <c r="EX231" s="113"/>
      <c r="EY231" s="113"/>
    </row>
    <row r="232">
      <c r="A232" s="65" t="s">
        <v>69</v>
      </c>
      <c r="B232" s="65" t="s">
        <v>71</v>
      </c>
      <c r="C232" s="65" t="s">
        <v>410</v>
      </c>
      <c r="D232" s="64">
        <f t="shared" si="1"/>
        <v>537.1354833</v>
      </c>
      <c r="E232" s="104"/>
      <c r="F232" s="104">
        <v>50.07775</v>
      </c>
      <c r="G232" s="104">
        <v>16.3552166666667</v>
      </c>
      <c r="H232" s="104">
        <v>2.51108333333333</v>
      </c>
      <c r="I232" s="104">
        <v>1.78261666666667</v>
      </c>
      <c r="J232" s="104">
        <v>1.98108333333333</v>
      </c>
      <c r="K232" s="104">
        <v>14.7837666666667</v>
      </c>
      <c r="L232" s="104"/>
      <c r="M232" s="104">
        <v>50.07775</v>
      </c>
      <c r="N232" s="104">
        <v>16.3552166666667</v>
      </c>
      <c r="O232" s="104"/>
      <c r="P232" s="65">
        <v>7.90833333333333</v>
      </c>
      <c r="Q232" s="65"/>
      <c r="R232" s="65"/>
      <c r="S232" s="65">
        <v>32.9235333333333</v>
      </c>
      <c r="T232" s="65">
        <v>2.18301666666667</v>
      </c>
      <c r="U232" s="65">
        <v>9.20033333333333</v>
      </c>
      <c r="V232" s="65">
        <v>12.9635833333333</v>
      </c>
      <c r="W232" s="65">
        <v>15.1944666666667</v>
      </c>
      <c r="X232" s="65"/>
      <c r="Y232" s="65"/>
      <c r="Z232" s="65">
        <v>0.358466666666667</v>
      </c>
      <c r="AA232" s="65">
        <v>2.83841666666667</v>
      </c>
      <c r="AB232" s="65">
        <v>1.69521666666667</v>
      </c>
      <c r="AC232" s="65">
        <v>0.968716666666667</v>
      </c>
      <c r="AD232" s="65"/>
      <c r="AE232" s="65"/>
      <c r="AF232" s="65">
        <v>0.358466666666667</v>
      </c>
      <c r="AG232" s="65">
        <v>2.83841666666667</v>
      </c>
      <c r="AH232" s="65"/>
      <c r="AI232" s="65">
        <v>26.2622833333333</v>
      </c>
      <c r="AJ232" s="65">
        <v>88.4468833333335</v>
      </c>
      <c r="AK232" s="65">
        <v>67.7740166666667</v>
      </c>
      <c r="AL232" s="65">
        <v>9.71303333333333</v>
      </c>
      <c r="AM232" s="65">
        <v>32.7517333333333</v>
      </c>
      <c r="AN232" s="65"/>
      <c r="AP232" s="65">
        <v>1.07113333333333</v>
      </c>
      <c r="AQ232" s="65">
        <v>1.49466666666667</v>
      </c>
      <c r="AR232" s="65">
        <v>14.3059333333333</v>
      </c>
      <c r="AT232" s="65"/>
      <c r="AU232" s="65">
        <v>1.95123333333333</v>
      </c>
      <c r="AV232" s="65">
        <v>12.4645666666667</v>
      </c>
      <c r="AY232" s="65">
        <v>37.54455</v>
      </c>
    </row>
    <row r="233">
      <c r="A233" s="65" t="s">
        <v>69</v>
      </c>
      <c r="B233" s="65" t="s">
        <v>71</v>
      </c>
      <c r="C233" s="65" t="s">
        <v>411</v>
      </c>
      <c r="D233" s="64">
        <f t="shared" si="1"/>
        <v>0</v>
      </c>
      <c r="E233" s="115"/>
      <c r="F233" s="115"/>
      <c r="G233" s="115"/>
      <c r="H233" s="115"/>
      <c r="I233" s="115"/>
      <c r="J233" s="115"/>
      <c r="K233" s="115"/>
      <c r="L233" s="115"/>
      <c r="M233" s="115"/>
      <c r="N233" s="115"/>
      <c r="O233" s="115"/>
    </row>
    <row r="234">
      <c r="A234" s="65" t="s">
        <v>69</v>
      </c>
      <c r="B234" s="65" t="s">
        <v>71</v>
      </c>
      <c r="C234" s="65" t="s">
        <v>412</v>
      </c>
      <c r="D234" s="64">
        <f t="shared" si="1"/>
        <v>451.3415667</v>
      </c>
      <c r="E234" s="115"/>
      <c r="F234" s="117">
        <f>HYPERLINK("https://docs.google.com/spreadsheets/d/1s0cdhPW8Q4V7Q4os2V8AaSJXJy3i1vgk", 48.5552333333334)</f>
        <v>48.55523333</v>
      </c>
      <c r="G234" s="116">
        <f>HYPERLINK("https://docs.google.com/spreadsheets/d/1ZDMOdUN5kDMByu43vshzl-se76FGlM40", 16.3552166666667)</f>
        <v>16.35521667</v>
      </c>
      <c r="H234" s="116">
        <f>HYPERLINK("https://docs.google.com/spreadsheets/d/1fRAsSdUOVX71nEXwt0ZxdNR0pEJYaZAR", 2.51108333333333)</f>
        <v>2.511083333</v>
      </c>
      <c r="I234" s="116">
        <f>HYPERLINK("https://docs.google.com/spreadsheets/d/1HK2Gj3dax_E4jLYS0t-yiJP7P9dh8w-m", 1.58968333333333)</f>
        <v>1.589683333</v>
      </c>
      <c r="J234" s="116">
        <f>HYPERLINK("https://docs.google.com/spreadsheets/d/14H5cGBnf4UChbjfHZ8L_QRx_iS4_AxOS", 1.98108333333333)</f>
        <v>1.981083333</v>
      </c>
      <c r="K234" s="117">
        <f>HYPERLINK("https://docs.google.com/spreadsheets/d/1LuiAatZzMn43EcXbC7TY7_1es4a_L6dT", 14.6136166666667)</f>
        <v>14.61361667</v>
      </c>
      <c r="L234" s="115"/>
      <c r="M234" s="104"/>
      <c r="N234" s="115"/>
      <c r="O234" s="104"/>
      <c r="P234" s="118">
        <f>HYPERLINK("https://docs.google.com/spreadsheets/d/1GY7GVCMP8p-D9wJcHT-J6IB6xQQE0KXX", 7.90831666666667)</f>
        <v>7.908316667</v>
      </c>
      <c r="S234" s="118">
        <f>HYPERLINK("https://docs.google.com/spreadsheets/d/1ccamTIaTdPLhNSxjalPVPlf_nPG7oS95", 29.3653333333333)</f>
        <v>29.36533333</v>
      </c>
      <c r="T234" s="118">
        <f>HYPERLINK("https://docs.google.com/spreadsheets/d/1xdBXOQPCegrCEiiRnrr-KvGyqUsOyYkU", 2.18301666666667)</f>
        <v>2.183016667</v>
      </c>
      <c r="U234" s="118">
        <f>HYPERLINK("https://docs.google.com/spreadsheets/d/1p4bYTI2pDAgtjibI52gTAZjbyxpFk8xp", 9.20033333333333)</f>
        <v>9.200333333</v>
      </c>
      <c r="V234" s="118">
        <f>HYPERLINK("https://docs.google.com/spreadsheets/d/1o8iSBnVLbf_ni60aUHi63iZA_8XL3DjP", 12.96355)</f>
        <v>12.96355</v>
      </c>
      <c r="W234" s="118">
        <f>HYPERLINK("https://docs.google.com/spreadsheets/d/1PuX21cjUn4e08xJLgJ9TKM-u9Go89Af2", 15.19445)</f>
        <v>15.19445</v>
      </c>
      <c r="Z234" s="118">
        <f>HYPERLINK("https://docs.google.com/spreadsheets/d/1UL2UjpznDNsCqagnOiW2m2hBlprBwe75", 0)</f>
        <v>0</v>
      </c>
      <c r="AA234" s="118">
        <f>HYPERLINK("https://docs.google.com/spreadsheets/d/1_2Bz9ikFbBghP3QJJqSINafT_MKKXpQ3", 2.83841666666667)</f>
        <v>2.838416667</v>
      </c>
      <c r="AB234" s="118">
        <f>HYPERLINK("https://docs.google.com/spreadsheets/d/1Am_1fbrkwgFd9xriAoa5TOTLbZHvlNRS", 1.69521666666667)</f>
        <v>1.695216667</v>
      </c>
      <c r="AC234" s="118">
        <f>HYPERLINK("https://docs.google.com/spreadsheets/d/1c0FYv33NVO44AhAp1yiHJLz7-WNC9HF5", 0.968716666666667)</f>
        <v>0.9687166667</v>
      </c>
      <c r="AI234" s="118">
        <f>HYPERLINK("https://docs.google.com/spreadsheets/d/15zTDyql4sph1Gyl3kUb2HTchm2DFkPFo", 16.2431333333333)</f>
        <v>16.24313333</v>
      </c>
      <c r="AJ234" s="118">
        <f>HYPERLINK("https://docs.google.com/spreadsheets/d/1dxw2773Te1lWmq_HGE38tftl8ixl-Eqy", 88.4468500000001)</f>
        <v>88.44685</v>
      </c>
      <c r="AK234" s="118">
        <f>HYPERLINK("https://docs.google.com/spreadsheets/d/1ri3e-yA109mf5QoP12Fjt2NozVYT0N_O", 67.774)</f>
        <v>67.774</v>
      </c>
      <c r="AL234" s="118">
        <f>HYPERLINK("https://docs.google.com/spreadsheets/d/1oVyZFbD0ZjfEEEMFweue4usij_vyfW5Y", 9.71303333333333)</f>
        <v>9.713033333</v>
      </c>
      <c r="AM234" s="118">
        <f>HYPERLINK("https://docs.google.com/spreadsheets/d/1C_adip_rpi_C1v02iRcEbI7YT-DJxvje", 32.7517333333333)</f>
        <v>32.75173333</v>
      </c>
      <c r="AP234" s="118">
        <f>HYPERLINK("https://docs.google.com/spreadsheets/d/1WlwV8QgqSTP2E33x7Js7dVHdTzoupksw", 1.07113333333333)</f>
        <v>1.071133333</v>
      </c>
      <c r="AQ234" s="118">
        <f>HYPERLINK("https://docs.google.com/spreadsheets/d/1n-u3cq2ke57FT746CNzTiRk40ZbZMgV5", 1.32661666666667)</f>
        <v>1.326616667</v>
      </c>
      <c r="AR234" s="118">
        <f>HYPERLINK("https://docs.google.com/spreadsheets/d/1uqDee3mQEftdEboJMBtVThp-9BnTYLAG", 14.3059166666667)</f>
        <v>14.30591667</v>
      </c>
      <c r="AU234" s="118">
        <f>HYPERLINK("https://docs.google.com/spreadsheets/d/10GoJ7h3AM-vwhoCi2Xj8JlBfF6hM8Khv", 1.95121666666667)</f>
        <v>1.951216667</v>
      </c>
      <c r="AV234" s="118">
        <f>HYPERLINK("https://docs.google.com/spreadsheets/d/11dOayKW5ZlVuw6NN4-bYGXNr7Pml_J9d", 12.4645666666667)</f>
        <v>12.46456667</v>
      </c>
      <c r="AY234" s="118">
        <f>HYPERLINK("https://docs.google.com/spreadsheets/d/1x0jKjrS6_7max6QqVq1i6Ruks-Mc5uD9", 37.3701)</f>
        <v>37.3701</v>
      </c>
    </row>
    <row r="235">
      <c r="A235" s="65" t="s">
        <v>69</v>
      </c>
      <c r="B235" s="65" t="s">
        <v>71</v>
      </c>
      <c r="C235" s="65" t="s">
        <v>413</v>
      </c>
      <c r="D235" s="64">
        <f t="shared" si="1"/>
        <v>304.2017333</v>
      </c>
      <c r="E235" s="115"/>
      <c r="F235" s="104">
        <v>9.13205000000004</v>
      </c>
      <c r="G235" s="104">
        <v>0.475849999999998</v>
      </c>
      <c r="H235" s="104">
        <v>0.1676</v>
      </c>
      <c r="I235" s="104">
        <v>0.59525</v>
      </c>
      <c r="J235" s="104">
        <v>-2.22044604925031E-16</v>
      </c>
      <c r="K235" s="104">
        <v>14.6136166666667</v>
      </c>
      <c r="L235" s="104"/>
      <c r="M235" s="104"/>
      <c r="N235" s="104"/>
      <c r="O235" s="104"/>
      <c r="P235" s="65">
        <v>7.90831666666667</v>
      </c>
      <c r="Q235" s="65"/>
      <c r="R235" s="65"/>
      <c r="S235" s="65">
        <v>28.9349666666667</v>
      </c>
      <c r="T235" s="65">
        <v>2.18301666666667</v>
      </c>
      <c r="U235" s="65">
        <v>3.16631666666666</v>
      </c>
      <c r="V235" s="65">
        <v>3.72458333333333</v>
      </c>
      <c r="W235" s="65">
        <v>15.19445</v>
      </c>
      <c r="X235" s="65"/>
      <c r="Y235" s="65"/>
      <c r="Z235" s="65">
        <v>0.0</v>
      </c>
      <c r="AA235" s="65">
        <v>2.32858333333333</v>
      </c>
      <c r="AB235" s="65">
        <v>0.0</v>
      </c>
      <c r="AC235" s="65">
        <v>1.11022302462516E-16</v>
      </c>
      <c r="AD235" s="65"/>
      <c r="AE235" s="65"/>
      <c r="AF235" s="65"/>
      <c r="AG235" s="65"/>
      <c r="AH235" s="65"/>
      <c r="AI235" s="65">
        <v>16.2431333333333</v>
      </c>
      <c r="AJ235" s="65">
        <v>88.4468500000001</v>
      </c>
      <c r="AK235" s="65">
        <v>17.4666500000001</v>
      </c>
      <c r="AL235" s="65">
        <v>2.03785</v>
      </c>
      <c r="AM235" s="65">
        <v>32.7517333333333</v>
      </c>
      <c r="AN235" s="65"/>
      <c r="AP235" s="65">
        <v>1.07113333333333</v>
      </c>
      <c r="AQ235" s="65">
        <v>0.284983333333333</v>
      </c>
      <c r="AR235" s="65">
        <v>14.3059166666667</v>
      </c>
      <c r="AT235" s="65"/>
      <c r="AU235" s="65">
        <v>0.126783333333334</v>
      </c>
      <c r="AV235" s="65">
        <v>5.672</v>
      </c>
      <c r="AY235" s="65">
        <v>37.3701</v>
      </c>
    </row>
    <row r="236">
      <c r="A236" s="119" t="s">
        <v>69</v>
      </c>
      <c r="B236" s="119" t="s">
        <v>71</v>
      </c>
      <c r="C236" s="119" t="s">
        <v>414</v>
      </c>
      <c r="D236" s="120">
        <f t="shared" si="1"/>
        <v>1.951216667</v>
      </c>
      <c r="E236" s="121"/>
      <c r="F236" s="122">
        <f>HYPERLINK("https://docs.google.com/spreadsheets/d/1s0cdhPW8Q4V7Q4os2V8AaSJXJy3i1vgk", 0)</f>
        <v>0</v>
      </c>
      <c r="G236" s="122">
        <f>HYPERLINK("https://docs.google.com/spreadsheets/d/1ZDMOdUN5kDMByu43vshzl-se76FGlM40", 0)</f>
        <v>0</v>
      </c>
      <c r="H236" s="122">
        <f>HYPERLINK("https://docs.google.com/spreadsheets/d/1fRAsSdUOVX71nEXwt0ZxdNR0pEJYaZAR", 0)</f>
        <v>0</v>
      </c>
      <c r="I236" s="122">
        <f>HYPERLINK("https://docs.google.com/spreadsheets/d/1HK2Gj3dax_E4jLYS0t-yiJP7P9dh8w-m", 0)</f>
        <v>0</v>
      </c>
      <c r="J236" s="122">
        <f>HYPERLINK("https://docs.google.com/spreadsheets/d/14H5cGBnf4UChbjfHZ8L_QRx_iS4_AxOS", 0)</f>
        <v>0</v>
      </c>
      <c r="K236" s="122">
        <f>HYPERLINK("https://docs.google.com/spreadsheets/d/1LuiAatZzMn43EcXbC7TY7_1es4a_L6dT", 0)</f>
        <v>0</v>
      </c>
      <c r="L236" s="121"/>
      <c r="M236" s="121"/>
      <c r="N236" s="123"/>
      <c r="O236" s="121"/>
      <c r="P236" s="124">
        <f>HYPERLINK("https://docs.google.com/spreadsheets/d/1GY7GVCMP8p-D9wJcHT-J6IB6xQQE0KXX", 0)</f>
        <v>0</v>
      </c>
      <c r="Q236" s="119"/>
      <c r="R236" s="119"/>
      <c r="S236" s="124">
        <f>HYPERLINK("https://docs.google.com/spreadsheets/d/1ccamTIaTdPLhNSxjalPVPlf_nPG7oS95", 0)</f>
        <v>0</v>
      </c>
      <c r="T236" s="125">
        <f>HYPERLINK("https://docs.google.com/spreadsheets/d/1xdBXOQPCegrCEiiRnrr-KvGyqUsOyYkU", 0)</f>
        <v>0</v>
      </c>
      <c r="U236" s="125">
        <f>HYPERLINK("https://docs.google.com/spreadsheets/d/1p4bYTI2pDAgtjibI52gTAZjbyxpFk8xp", 0)</f>
        <v>0</v>
      </c>
      <c r="V236" s="124">
        <f>HYPERLINK("https://docs.google.com/spreadsheets/d/1o8iSBnVLbf_ni60aUHi63iZA_8XL3DjP", 0)</f>
        <v>0</v>
      </c>
      <c r="W236" s="124">
        <f>HYPERLINK("https://docs.google.com/spreadsheets/d/1PuX21cjUn4e08xJLgJ9TKM-u9Go89Af2", 0)</f>
        <v>0</v>
      </c>
      <c r="X236" s="120"/>
      <c r="Y236" s="119"/>
      <c r="Z236" s="124">
        <f>HYPERLINK("https://docs.google.com/spreadsheets/d/1UL2UjpznDNsCqagnOiW2m2hBlprBwe75", 0)</f>
        <v>0</v>
      </c>
      <c r="AA236" s="124">
        <f>HYPERLINK("https://docs.google.com/spreadsheets/d/1_2Bz9ikFbBghP3QJJqSINafT_MKKXpQ3", 0)</f>
        <v>0</v>
      </c>
      <c r="AB236" s="124">
        <f>HYPERLINK("https://docs.google.com/spreadsheets/d/1Am_1fbrkwgFd9xriAoa5TOTLbZHvlNRS", 0)</f>
        <v>0</v>
      </c>
      <c r="AC236" s="124">
        <f>HYPERLINK("https://docs.google.com/spreadsheets/d/1c0FYv33NVO44AhAp1yiHJLz7-WNC9HF5", 0)</f>
        <v>0</v>
      </c>
      <c r="AD236" s="120"/>
      <c r="AE236" s="119"/>
      <c r="AF236" s="119"/>
      <c r="AG236" s="119"/>
      <c r="AH236" s="119"/>
      <c r="AI236" s="125">
        <f>HYPERLINK("https://docs.google.com/spreadsheets/d/15zTDyql4sph1Gyl3kUb2HTchm2DFkPFo", 0)</f>
        <v>0</v>
      </c>
      <c r="AJ236" s="124">
        <f>HYPERLINK("https://docs.google.com/spreadsheets/d/1dxw2773Te1lWmq_HGE38tftl8ixl-Eqy", 0)</f>
        <v>0</v>
      </c>
      <c r="AK236" s="124">
        <f>HYPERLINK("https://docs.google.com/spreadsheets/d/1ri3e-yA109mf5QoP12Fjt2NozVYT0N_O", 0)</f>
        <v>0</v>
      </c>
      <c r="AL236" s="125">
        <f>HYPERLINK("https://docs.google.com/spreadsheets/d/1oVyZFbD0ZjfEEEMFweue4usij_vyfW5Y", 0)</f>
        <v>0</v>
      </c>
      <c r="AM236" s="124">
        <f>HYPERLINK("https://docs.google.com/spreadsheets/d/1C_adip_rpi_C1v02iRcEbI7YT-DJxvje", 0)</f>
        <v>0</v>
      </c>
      <c r="AN236" s="119"/>
      <c r="AO236" s="120"/>
      <c r="AP236" s="124">
        <f>HYPERLINK("https://docs.google.com/spreadsheets/d/1WlwV8QgqSTP2E33x7Js7dVHdTzoupksw", 0)</f>
        <v>0</v>
      </c>
      <c r="AQ236" s="125">
        <f>HYPERLINK("https://docs.google.com/spreadsheets/d/1n-u3cq2ke57FT746CNzTiRk40ZbZMgV5", 0)</f>
        <v>0</v>
      </c>
      <c r="AR236" s="125">
        <f>HYPERLINK("https://docs.google.com/spreadsheets/d/1uqDee3mQEftdEboJMBtVThp-9BnTYLAG", 0)</f>
        <v>0</v>
      </c>
      <c r="AS236" s="120"/>
      <c r="AT236" s="120"/>
      <c r="AU236" s="124">
        <f>HYPERLINK("https://docs.google.com/spreadsheets/d/10GoJ7h3AM-vwhoCi2Xj8JlBfF6hM8Khv", 1.95121666666667)</f>
        <v>1.951216667</v>
      </c>
      <c r="AV236" s="124">
        <f>HYPERLINK("https://docs.google.com/spreadsheets/d/11dOayKW5ZlVuw6NN4-bYGXNr7Pml_J9d", 0)</f>
        <v>0</v>
      </c>
      <c r="AW236" s="120"/>
      <c r="AX236" s="120"/>
      <c r="AY236" s="124">
        <f>HYPERLINK("https://docs.google.com/spreadsheets/d/1x0jKjrS6_7max6QqVq1i6Ruks-Mc5uD9", 0)</f>
        <v>0</v>
      </c>
      <c r="AZ236" s="120"/>
      <c r="BA236" s="120"/>
      <c r="BB236" s="120"/>
      <c r="BC236" s="120"/>
      <c r="BD236" s="120"/>
      <c r="BE236" s="120"/>
      <c r="BF236" s="120"/>
      <c r="BG236" s="120"/>
      <c r="BH236" s="120"/>
      <c r="BI236" s="120"/>
      <c r="BJ236" s="120"/>
      <c r="BK236" s="120"/>
      <c r="BL236" s="120"/>
      <c r="BM236" s="120"/>
      <c r="BN236" s="120"/>
      <c r="BO236" s="120"/>
      <c r="BP236" s="120"/>
      <c r="BQ236" s="120"/>
      <c r="BR236" s="120"/>
      <c r="BS236" s="120"/>
      <c r="BT236" s="120"/>
      <c r="BU236" s="120"/>
      <c r="BV236" s="120"/>
      <c r="BW236" s="120"/>
      <c r="BX236" s="120"/>
      <c r="BY236" s="120"/>
      <c r="BZ236" s="120"/>
      <c r="CA236" s="120"/>
      <c r="CB236" s="120"/>
      <c r="CC236" s="120"/>
      <c r="CD236" s="120"/>
      <c r="CE236" s="120"/>
      <c r="CF236" s="120"/>
      <c r="CG236" s="120"/>
      <c r="CH236" s="120"/>
      <c r="CI236" s="120"/>
      <c r="CJ236" s="120"/>
      <c r="CK236" s="120"/>
      <c r="CL236" s="120"/>
      <c r="CM236" s="120"/>
      <c r="CN236" s="120"/>
      <c r="CO236" s="120"/>
      <c r="CP236" s="120"/>
      <c r="CQ236" s="120"/>
      <c r="CR236" s="120"/>
      <c r="CS236" s="120"/>
      <c r="CT236" s="120"/>
      <c r="CU236" s="120"/>
      <c r="CV236" s="120"/>
      <c r="CW236" s="120"/>
      <c r="CX236" s="120"/>
      <c r="CY236" s="120"/>
      <c r="CZ236" s="120"/>
      <c r="DA236" s="120"/>
      <c r="DB236" s="120"/>
      <c r="DC236" s="120"/>
      <c r="DD236" s="120"/>
      <c r="DE236" s="120"/>
      <c r="DF236" s="120"/>
      <c r="DG236" s="120"/>
      <c r="DH236" s="120"/>
      <c r="DI236" s="120"/>
      <c r="DJ236" s="120"/>
      <c r="DK236" s="120"/>
      <c r="DL236" s="120"/>
      <c r="DM236" s="120"/>
      <c r="DN236" s="120"/>
      <c r="DO236" s="120"/>
      <c r="DP236" s="120"/>
      <c r="DQ236" s="120"/>
      <c r="DR236" s="120"/>
      <c r="DS236" s="120"/>
      <c r="DT236" s="120"/>
      <c r="DU236" s="120"/>
      <c r="DV236" s="120"/>
      <c r="DW236" s="120"/>
      <c r="DX236" s="120"/>
      <c r="DY236" s="120"/>
      <c r="DZ236" s="120"/>
      <c r="EA236" s="120"/>
      <c r="EB236" s="120"/>
      <c r="EC236" s="120"/>
      <c r="ED236" s="120"/>
      <c r="EE236" s="120"/>
      <c r="EF236" s="120"/>
      <c r="EG236" s="120"/>
      <c r="EH236" s="120"/>
      <c r="EI236" s="120"/>
      <c r="EJ236" s="120"/>
      <c r="EK236" s="120"/>
      <c r="EL236" s="120"/>
      <c r="EM236" s="120"/>
      <c r="EN236" s="120"/>
      <c r="EO236" s="120"/>
      <c r="EP236" s="120"/>
      <c r="EQ236" s="120"/>
      <c r="ER236" s="120"/>
      <c r="ES236" s="120"/>
      <c r="ET236" s="120"/>
      <c r="EU236" s="120"/>
      <c r="EV236" s="120"/>
      <c r="EW236" s="120"/>
      <c r="EX236" s="120"/>
      <c r="EY236" s="120"/>
    </row>
    <row r="237">
      <c r="A237" s="112" t="s">
        <v>35</v>
      </c>
      <c r="B237" s="112" t="s">
        <v>72</v>
      </c>
      <c r="C237" s="112" t="s">
        <v>409</v>
      </c>
      <c r="D237" s="113">
        <f t="shared" si="1"/>
        <v>629.1787333</v>
      </c>
      <c r="E237" s="114">
        <v>117.218516666667</v>
      </c>
      <c r="F237" s="114"/>
      <c r="G237" s="114"/>
      <c r="H237" s="114"/>
      <c r="I237" s="114"/>
      <c r="J237" s="114"/>
      <c r="K237" s="114"/>
      <c r="L237" s="114">
        <v>1.80346666666667</v>
      </c>
      <c r="M237" s="114"/>
      <c r="N237" s="114"/>
      <c r="O237" s="114">
        <v>14.8825333333333</v>
      </c>
      <c r="P237" s="112"/>
      <c r="Q237" s="112">
        <v>0.1045</v>
      </c>
      <c r="R237" s="112">
        <v>151.90335</v>
      </c>
      <c r="S237" s="112"/>
      <c r="T237" s="112"/>
      <c r="U237" s="112"/>
      <c r="V237" s="112"/>
      <c r="W237" s="112"/>
      <c r="X237" s="112">
        <v>2.67668333333333</v>
      </c>
      <c r="Y237" s="112">
        <v>121.803583333333</v>
      </c>
      <c r="Z237" s="112"/>
      <c r="AA237" s="113"/>
      <c r="AB237" s="112"/>
      <c r="AC237" s="112"/>
      <c r="AD237" s="112"/>
      <c r="AE237" s="112">
        <v>2.44726666666667</v>
      </c>
      <c r="AF237" s="112"/>
      <c r="AG237" s="112"/>
      <c r="AH237" s="112">
        <v>31.3661666666667</v>
      </c>
      <c r="AI237" s="112"/>
      <c r="AJ237" s="112"/>
      <c r="AK237" s="112"/>
      <c r="AL237" s="113"/>
      <c r="AM237" s="112"/>
      <c r="AN237" s="112">
        <v>0.98565</v>
      </c>
      <c r="AO237" s="112">
        <v>24.1747833333333</v>
      </c>
      <c r="AP237" s="112"/>
      <c r="AQ237" s="113"/>
      <c r="AR237" s="112"/>
      <c r="AS237" s="112">
        <v>0.974866666666667</v>
      </c>
      <c r="AT237" s="112">
        <v>5.30115</v>
      </c>
      <c r="AU237" s="112"/>
      <c r="AV237" s="112"/>
      <c r="AW237" s="112">
        <v>0.523583333333333</v>
      </c>
      <c r="AX237" s="112">
        <v>150.10535</v>
      </c>
      <c r="AY237" s="113"/>
      <c r="AZ237" s="112">
        <v>2.6154</v>
      </c>
      <c r="BA237" s="112">
        <v>0.291883333333333</v>
      </c>
      <c r="BB237" s="113"/>
      <c r="BC237" s="113"/>
      <c r="BD237" s="113"/>
      <c r="BE237" s="113"/>
      <c r="BF237" s="113"/>
      <c r="BG237" s="113"/>
      <c r="BH237" s="113"/>
      <c r="BI237" s="113"/>
      <c r="BJ237" s="113"/>
      <c r="BK237" s="113"/>
      <c r="BL237" s="113"/>
      <c r="BM237" s="113"/>
      <c r="BN237" s="113"/>
      <c r="BO237" s="113"/>
      <c r="BP237" s="113"/>
      <c r="BQ237" s="113"/>
      <c r="BR237" s="113"/>
      <c r="BS237" s="113"/>
      <c r="BT237" s="113"/>
      <c r="BU237" s="113"/>
      <c r="BV237" s="113"/>
      <c r="BW237" s="113"/>
      <c r="BX237" s="113"/>
      <c r="BY237" s="113"/>
      <c r="BZ237" s="113"/>
      <c r="CA237" s="113"/>
      <c r="CB237" s="113"/>
      <c r="CC237" s="113"/>
      <c r="CD237" s="113"/>
      <c r="CE237" s="113"/>
      <c r="CF237" s="113"/>
      <c r="CG237" s="113"/>
      <c r="CH237" s="113"/>
      <c r="CI237" s="113"/>
      <c r="CJ237" s="113"/>
      <c r="CK237" s="113"/>
      <c r="CL237" s="113"/>
      <c r="CM237" s="113"/>
      <c r="CN237" s="113"/>
      <c r="CO237" s="113"/>
      <c r="CP237" s="113"/>
      <c r="CQ237" s="113"/>
      <c r="CR237" s="113"/>
      <c r="CS237" s="113"/>
      <c r="CT237" s="113"/>
      <c r="CU237" s="113"/>
      <c r="CV237" s="113"/>
      <c r="CW237" s="113"/>
      <c r="CX237" s="113"/>
      <c r="CY237" s="113"/>
      <c r="CZ237" s="113"/>
      <c r="DA237" s="113"/>
      <c r="DB237" s="113"/>
      <c r="DC237" s="113"/>
      <c r="DD237" s="113"/>
      <c r="DE237" s="113"/>
      <c r="DF237" s="113"/>
      <c r="DG237" s="113"/>
      <c r="DH237" s="113"/>
      <c r="DI237" s="113"/>
      <c r="DJ237" s="113"/>
      <c r="DK237" s="113"/>
      <c r="DL237" s="113"/>
      <c r="DM237" s="113"/>
      <c r="DN237" s="113"/>
      <c r="DO237" s="113"/>
      <c r="DP237" s="113"/>
      <c r="DQ237" s="113"/>
      <c r="DR237" s="113"/>
      <c r="DS237" s="113"/>
      <c r="DT237" s="113"/>
      <c r="DU237" s="113"/>
      <c r="DV237" s="113"/>
      <c r="DW237" s="113"/>
      <c r="DX237" s="113"/>
      <c r="DY237" s="113"/>
      <c r="DZ237" s="113"/>
      <c r="EA237" s="113"/>
      <c r="EB237" s="113"/>
      <c r="EC237" s="113"/>
      <c r="ED237" s="113"/>
      <c r="EE237" s="113"/>
      <c r="EF237" s="113"/>
      <c r="EG237" s="113"/>
      <c r="EH237" s="113"/>
      <c r="EI237" s="113"/>
      <c r="EJ237" s="113"/>
      <c r="EK237" s="113"/>
      <c r="EL237" s="113"/>
      <c r="EM237" s="113"/>
      <c r="EN237" s="113"/>
      <c r="EO237" s="113"/>
      <c r="EP237" s="113"/>
      <c r="EQ237" s="113"/>
      <c r="ER237" s="113"/>
      <c r="ES237" s="113"/>
      <c r="ET237" s="113"/>
      <c r="EU237" s="113"/>
      <c r="EV237" s="113"/>
      <c r="EW237" s="113"/>
      <c r="EX237" s="113"/>
      <c r="EY237" s="113"/>
    </row>
    <row r="238">
      <c r="A238" s="65" t="s">
        <v>35</v>
      </c>
      <c r="B238" s="65" t="s">
        <v>72</v>
      </c>
      <c r="C238" s="65" t="s">
        <v>410</v>
      </c>
      <c r="D238" s="64">
        <f t="shared" si="1"/>
        <v>422.2000833</v>
      </c>
      <c r="E238" s="104"/>
      <c r="F238" s="104"/>
      <c r="G238" s="104">
        <v>3.00361666666667</v>
      </c>
      <c r="H238" s="104">
        <v>1.8699</v>
      </c>
      <c r="I238" s="104">
        <v>24.6823666666667</v>
      </c>
      <c r="J238" s="104">
        <v>26.7463333333333</v>
      </c>
      <c r="K238" s="104">
        <v>13.6132333333333</v>
      </c>
      <c r="L238" s="104"/>
      <c r="M238" s="104"/>
      <c r="N238" s="104">
        <v>3.00361666666667</v>
      </c>
      <c r="O238" s="104"/>
      <c r="P238" s="65">
        <v>0.823933333333333</v>
      </c>
      <c r="Q238" s="65"/>
      <c r="R238" s="65"/>
      <c r="S238" s="65"/>
      <c r="T238" s="65">
        <v>4.40828333333333</v>
      </c>
      <c r="U238" s="65">
        <v>6.28695</v>
      </c>
      <c r="V238" s="65">
        <v>61.2173833333334</v>
      </c>
      <c r="W238" s="65">
        <v>37.1574</v>
      </c>
      <c r="X238" s="65"/>
      <c r="Y238" s="65"/>
      <c r="Z238" s="65"/>
      <c r="AA238" s="65">
        <v>8.32535</v>
      </c>
      <c r="AB238" s="65">
        <v>16.8412166666667</v>
      </c>
      <c r="AC238" s="65">
        <v>51.2793333333333</v>
      </c>
      <c r="AD238" s="65">
        <v>22.0491833333333</v>
      </c>
      <c r="AE238" s="65"/>
      <c r="AF238" s="65"/>
      <c r="AG238" s="65">
        <v>8.32535</v>
      </c>
      <c r="AH238" s="65"/>
      <c r="AI238" s="65"/>
      <c r="AJ238" s="65">
        <v>1.30301666666667</v>
      </c>
      <c r="AK238" s="65">
        <v>3.58563333333333</v>
      </c>
      <c r="AL238" s="65">
        <v>9.32065</v>
      </c>
      <c r="AM238" s="65">
        <v>9.26011666666667</v>
      </c>
      <c r="AN238" s="65"/>
      <c r="AP238" s="65">
        <v>1.03591666666667</v>
      </c>
      <c r="AQ238" s="65">
        <v>2.2561</v>
      </c>
      <c r="AR238" s="65">
        <v>7.33175</v>
      </c>
      <c r="AT238" s="65"/>
      <c r="AU238" s="65"/>
      <c r="AV238" s="65">
        <v>2.25321666666667</v>
      </c>
      <c r="AY238" s="65">
        <v>96.2202333333334</v>
      </c>
    </row>
    <row r="239">
      <c r="A239" s="65" t="s">
        <v>35</v>
      </c>
      <c r="B239" s="65" t="s">
        <v>72</v>
      </c>
      <c r="C239" s="65" t="s">
        <v>411</v>
      </c>
      <c r="D239" s="64">
        <f t="shared" si="1"/>
        <v>0</v>
      </c>
      <c r="E239" s="115"/>
      <c r="F239" s="115"/>
      <c r="G239" s="115"/>
      <c r="H239" s="115"/>
      <c r="I239" s="115"/>
      <c r="J239" s="115"/>
      <c r="K239" s="115"/>
      <c r="L239" s="115"/>
      <c r="M239" s="115"/>
      <c r="N239" s="115"/>
      <c r="O239" s="115"/>
    </row>
    <row r="240">
      <c r="A240" s="65" t="s">
        <v>35</v>
      </c>
      <c r="B240" s="65" t="s">
        <v>72</v>
      </c>
      <c r="C240" s="65" t="s">
        <v>412</v>
      </c>
      <c r="D240" s="64">
        <f t="shared" si="1"/>
        <v>407.80655</v>
      </c>
      <c r="E240" s="115"/>
      <c r="F240" s="104"/>
      <c r="G240" s="116">
        <f>HYPERLINK("https://docs.google.com/spreadsheets/d/13ILUax5_HPHPXaURzsdJhu_VvCi95RD6", 2.55285)</f>
        <v>2.55285</v>
      </c>
      <c r="H240" s="116">
        <f>HYPERLINK("https://docs.google.com/spreadsheets/d/1vlJJqOlK8EZAO5p4EbaWSucGo83xzmR1", 1.8699)</f>
        <v>1.8699</v>
      </c>
      <c r="I240" s="117">
        <f>HYPERLINK("https://docs.google.com/spreadsheets/d/1aR2BQ9tOowHMG9k45pXMaAcdP2DumXzb", 24.6530833333333)</f>
        <v>24.65308333</v>
      </c>
      <c r="J240" s="116">
        <f>HYPERLINK("https://docs.google.com/spreadsheets/d/1mAZJulu-m0duKkk6SY0vkGc-UAxho7Ul", 26.7463333333333)</f>
        <v>26.74633333</v>
      </c>
      <c r="K240" s="117">
        <f>HYPERLINK("https://docs.google.com/spreadsheets/d/1UoVxli8Fc_pGUwL9DAPkEfWZl_UGEpZd", 13.4883)</f>
        <v>13.4883</v>
      </c>
      <c r="L240" s="115"/>
      <c r="M240" s="104"/>
      <c r="N240" s="115"/>
      <c r="O240" s="104"/>
      <c r="P240" s="118">
        <f>HYPERLINK("https://docs.google.com/spreadsheets/d/1Nrvn1LyWVseMeM90PabfMPMaTI3Xme3c", 0.823933333333333)</f>
        <v>0.8239333333</v>
      </c>
      <c r="T240" s="118">
        <f>HYPERLINK("https://docs.google.com/spreadsheets/d/1Wa5ViFpHQdImMmcT7D0wawOsHfAsy67I", 4.40826666666667)</f>
        <v>4.408266667</v>
      </c>
      <c r="U240" s="118">
        <f>HYPERLINK("https://docs.google.com/spreadsheets/d/1foiVqdSurvfRNRkCKQl-cM8U12Swncv2", 6.28695)</f>
        <v>6.28695</v>
      </c>
      <c r="V240" s="118">
        <f>HYPERLINK("https://docs.google.com/spreadsheets/d/195fF7V4e41rSFllEgCj92sUjdC7rP46A", 60.5144333333334)</f>
        <v>60.51443333</v>
      </c>
      <c r="W240" s="118">
        <f>HYPERLINK("https://docs.google.com/spreadsheets/d/1S2k2iHF4EtxEEG8pZcikYj5r5EZDH429", 36.7588833333334)</f>
        <v>36.75888333</v>
      </c>
      <c r="AA240" s="118">
        <f>HYPERLINK("https://docs.google.com/spreadsheets/d/1jNuXTpGdYpzHEC5Ut1CzjbIGp5pk3wVP", 8.14801666666666)</f>
        <v>8.148016667</v>
      </c>
      <c r="AB240" s="118">
        <f>HYPERLINK("https://docs.google.com/spreadsheets/d/1Hgf3Lu4hpxY8wvlrU02FhKkNETNcgvhr", 16.7104166666667)</f>
        <v>16.71041667</v>
      </c>
      <c r="AC240" s="118">
        <f>HYPERLINK("https://docs.google.com/spreadsheets/d/1qeFflE9XpNT3_wgmR-XQZulaBLCUAPNV", 50.6561166666667)</f>
        <v>50.65611667</v>
      </c>
      <c r="AD240" s="118">
        <f>HYPERLINK("https://docs.google.com/spreadsheets/d/1gdS39IUN38F5icwh8Ywtm6ktVcNBaEFf", 22.0491333333333)</f>
        <v>22.04913333</v>
      </c>
      <c r="AJ240" s="118">
        <f>HYPERLINK("https://docs.google.com/spreadsheets/d/1pBwVsuwRchvCe7ZMwxtoO7u7h9hqsaNF", 1.303)</f>
        <v>1.303</v>
      </c>
      <c r="AK240" s="118">
        <f>HYPERLINK("https://docs.google.com/spreadsheets/d/1AzzQUgcMNyodb5LCpLpg-8KHEhh03PlD", 3.58563333333333)</f>
        <v>3.585633333</v>
      </c>
      <c r="AL240" s="118">
        <f>HYPERLINK("https://docs.google.com/spreadsheets/d/1sXxObdCAe5mqY69_U5HmVO-Iw8g_54GR", 9.32065)</f>
        <v>9.32065</v>
      </c>
      <c r="AM240" s="118">
        <f>HYPERLINK("https://docs.google.com/spreadsheets/d/1fSX3BjHaDVoz8EdV8qyG_eVP4QpN6SG_", 9.0491)</f>
        <v>9.0491</v>
      </c>
      <c r="AP240" s="118">
        <f>HYPERLINK("https://docs.google.com/spreadsheets/d/1acNsFa9F_q26hbonWdChWvn_JKu8LK6K", 1.03591666666667)</f>
        <v>1.035916667</v>
      </c>
      <c r="AQ240" s="118">
        <f>HYPERLINK("https://docs.google.com/spreadsheets/d/1-fft-mcbJ4-9JfinJ1lgsLVA8Wg1p0Ac", 2.25611666666667)</f>
        <v>2.256116667</v>
      </c>
      <c r="AR240" s="118">
        <f>HYPERLINK("https://docs.google.com/spreadsheets/d/1f5NTokkoiftjHe7uwnsOdbm8ZYbfvlL0", 7.33175)</f>
        <v>7.33175</v>
      </c>
      <c r="AV240" s="118">
        <f>HYPERLINK("https://docs.google.com/spreadsheets/d/1tFE0MXaWEE_6G1-L5n3GQuBc1LX54yxb", 2.25321666666667)</f>
        <v>2.253216667</v>
      </c>
      <c r="AY240" s="118">
        <f>HYPERLINK("https://docs.google.com/spreadsheets/d/1zvrKqZjl_bsqhAGDaCt_2NymX4MZWs3W", 96.00455)</f>
        <v>96.00455</v>
      </c>
    </row>
    <row r="241">
      <c r="A241" s="65" t="s">
        <v>35</v>
      </c>
      <c r="B241" s="65" t="s">
        <v>72</v>
      </c>
      <c r="C241" s="65" t="s">
        <v>413</v>
      </c>
      <c r="D241" s="64">
        <f t="shared" si="1"/>
        <v>251.04935</v>
      </c>
      <c r="E241" s="115"/>
      <c r="F241" s="104"/>
      <c r="G241" s="104">
        <v>1.5589</v>
      </c>
      <c r="H241" s="104">
        <v>0.66375</v>
      </c>
      <c r="I241" s="104">
        <v>17.12425</v>
      </c>
      <c r="J241" s="104">
        <v>15.0911666666667</v>
      </c>
      <c r="K241" s="104">
        <v>13.4883</v>
      </c>
      <c r="L241" s="104"/>
      <c r="M241" s="104"/>
      <c r="N241" s="104"/>
      <c r="O241" s="104"/>
      <c r="P241" s="65">
        <v>0.823933333333333</v>
      </c>
      <c r="Q241" s="65"/>
      <c r="R241" s="65"/>
      <c r="S241" s="65"/>
      <c r="T241" s="65">
        <v>3.98975</v>
      </c>
      <c r="U241" s="65">
        <v>2.6845</v>
      </c>
      <c r="V241" s="65">
        <v>28.0281166666667</v>
      </c>
      <c r="W241" s="65">
        <v>34.3812333333334</v>
      </c>
      <c r="X241" s="65"/>
      <c r="Y241" s="65"/>
      <c r="Z241" s="65"/>
      <c r="AA241" s="65">
        <v>4.37015</v>
      </c>
      <c r="AB241" s="65">
        <v>8.92775</v>
      </c>
      <c r="AC241" s="65">
        <v>21.3306666666667</v>
      </c>
      <c r="AD241" s="65">
        <v>0.769233333333325</v>
      </c>
      <c r="AE241" s="65"/>
      <c r="AF241" s="65"/>
      <c r="AG241" s="65"/>
      <c r="AH241" s="65"/>
      <c r="AI241" s="65"/>
      <c r="AJ241" s="65">
        <v>1.303</v>
      </c>
      <c r="AK241" s="65">
        <v>1.39233333333333</v>
      </c>
      <c r="AL241" s="65">
        <v>4.03743333333333</v>
      </c>
      <c r="AM241" s="65">
        <v>7.41488333333333</v>
      </c>
      <c r="AN241" s="65"/>
      <c r="AP241" s="65">
        <v>0.86735</v>
      </c>
      <c r="AQ241" s="65">
        <v>0.724783333333333</v>
      </c>
      <c r="AR241" s="65">
        <v>7.06748333333333</v>
      </c>
      <c r="AT241" s="65"/>
      <c r="AU241" s="65"/>
      <c r="AV241" s="65">
        <v>0.214933333333333</v>
      </c>
      <c r="AY241" s="65">
        <v>74.79545</v>
      </c>
    </row>
    <row r="242">
      <c r="A242" s="119" t="s">
        <v>35</v>
      </c>
      <c r="B242" s="119" t="s">
        <v>72</v>
      </c>
      <c r="C242" s="119" t="s">
        <v>414</v>
      </c>
      <c r="D242" s="120">
        <f t="shared" si="1"/>
        <v>0</v>
      </c>
      <c r="E242" s="121"/>
      <c r="F242" s="123"/>
      <c r="G242" s="122">
        <f>HYPERLINK("https://docs.google.com/spreadsheets/d/13ILUax5_HPHPXaURzsdJhu_VvCi95RD6", 0)</f>
        <v>0</v>
      </c>
      <c r="H242" s="122">
        <f>HYPERLINK("https://docs.google.com/spreadsheets/d/1vlJJqOlK8EZAO5p4EbaWSucGo83xzmR1", 0)</f>
        <v>0</v>
      </c>
      <c r="I242" s="122">
        <f>HYPERLINK("https://docs.google.com/spreadsheets/d/1aR2BQ9tOowHMG9k45pXMaAcdP2DumXzb", 0)</f>
        <v>0</v>
      </c>
      <c r="J242" s="122">
        <f>HYPERLINK("https://docs.google.com/spreadsheets/d/1mAZJulu-m0duKkk6SY0vkGc-UAxho7Ul", 0)</f>
        <v>0</v>
      </c>
      <c r="K242" s="122">
        <f>HYPERLINK("https://docs.google.com/spreadsheets/d/1UoVxli8Fc_pGUwL9DAPkEfWZl_UGEpZd", 0)</f>
        <v>0</v>
      </c>
      <c r="L242" s="121"/>
      <c r="M242" s="121"/>
      <c r="N242" s="123"/>
      <c r="O242" s="121"/>
      <c r="P242" s="124">
        <f>HYPERLINK("https://docs.google.com/spreadsheets/d/1Nrvn1LyWVseMeM90PabfMPMaTI3Xme3c", 0)</f>
        <v>0</v>
      </c>
      <c r="Q242" s="120"/>
      <c r="R242" s="119"/>
      <c r="S242" s="120"/>
      <c r="T242" s="125">
        <f>HYPERLINK("https://docs.google.com/spreadsheets/d/1Wa5ViFpHQdImMmcT7D0wawOsHfAsy67I", 0)</f>
        <v>0</v>
      </c>
      <c r="U242" s="125">
        <f>HYPERLINK("https://docs.google.com/spreadsheets/d/1foiVqdSurvfRNRkCKQl-cM8U12Swncv2", 0)</f>
        <v>0</v>
      </c>
      <c r="V242" s="124">
        <f>HYPERLINK("https://docs.google.com/spreadsheets/d/195fF7V4e41rSFllEgCj92sUjdC7rP46A", 0)</f>
        <v>0</v>
      </c>
      <c r="W242" s="124">
        <f>HYPERLINK("https://docs.google.com/spreadsheets/d/1S2k2iHF4EtxEEG8pZcikYj5r5EZDH429", 0)</f>
        <v>0</v>
      </c>
      <c r="X242" s="120"/>
      <c r="Y242" s="119"/>
      <c r="Z242" s="120"/>
      <c r="AA242" s="124">
        <f>HYPERLINK("https://docs.google.com/spreadsheets/d/1jNuXTpGdYpzHEC5Ut1CzjbIGp5pk3wVP", 0)</f>
        <v>0</v>
      </c>
      <c r="AB242" s="124">
        <f>HYPERLINK("https://docs.google.com/spreadsheets/d/1Hgf3Lu4hpxY8wvlrU02FhKkNETNcgvhr", 0)</f>
        <v>0</v>
      </c>
      <c r="AC242" s="124">
        <f>HYPERLINK("https://docs.google.com/spreadsheets/d/1qeFflE9XpNT3_wgmR-XQZulaBLCUAPNV", 0)</f>
        <v>0</v>
      </c>
      <c r="AD242" s="124">
        <f>HYPERLINK("https://docs.google.com/spreadsheets/d/1gdS39IUN38F5icwh8Ywtm6ktVcNBaEFf", 0)</f>
        <v>0</v>
      </c>
      <c r="AE242" s="120"/>
      <c r="AF242" s="119"/>
      <c r="AG242" s="119"/>
      <c r="AH242" s="119"/>
      <c r="AI242" s="119"/>
      <c r="AJ242" s="124">
        <f>HYPERLINK("https://docs.google.com/spreadsheets/d/1pBwVsuwRchvCe7ZMwxtoO7u7h9hqsaNF", 0)</f>
        <v>0</v>
      </c>
      <c r="AK242" s="124">
        <f>HYPERLINK("https://docs.google.com/spreadsheets/d/1AzzQUgcMNyodb5LCpLpg-8KHEhh03PlD", 0)</f>
        <v>0</v>
      </c>
      <c r="AL242" s="125">
        <f>HYPERLINK("https://docs.google.com/spreadsheets/d/1sXxObdCAe5mqY69_U5HmVO-Iw8g_54GR", 0)</f>
        <v>0</v>
      </c>
      <c r="AM242" s="124">
        <f>HYPERLINK("https://docs.google.com/spreadsheets/d/1fSX3BjHaDVoz8EdV8qyG_eVP4QpN6SG_", 0)</f>
        <v>0</v>
      </c>
      <c r="AN242" s="119"/>
      <c r="AO242" s="120"/>
      <c r="AP242" s="124">
        <f>HYPERLINK("https://docs.google.com/spreadsheets/d/1acNsFa9F_q26hbonWdChWvn_JKu8LK6K", 0)</f>
        <v>0</v>
      </c>
      <c r="AQ242" s="124">
        <f>HYPERLINK("https://docs.google.com/spreadsheets/d/1-fft-mcbJ4-9JfinJ1lgsLVA8Wg1p0Ac", 0)</f>
        <v>0</v>
      </c>
      <c r="AR242" s="125">
        <f>HYPERLINK("https://docs.google.com/spreadsheets/d/1f5NTokkoiftjHe7uwnsOdbm8ZYbfvlL0", 0)</f>
        <v>0</v>
      </c>
      <c r="AS242" s="120"/>
      <c r="AT242" s="120"/>
      <c r="AU242" s="119"/>
      <c r="AV242" s="124">
        <f>HYPERLINK("https://docs.google.com/spreadsheets/d/1tFE0MXaWEE_6G1-L5n3GQuBc1LX54yxb", 0)</f>
        <v>0</v>
      </c>
      <c r="AW242" s="120"/>
      <c r="AX242" s="120"/>
      <c r="AY242" s="124">
        <f>HYPERLINK("https://docs.google.com/spreadsheets/d/1zvrKqZjl_bsqhAGDaCt_2NymX4MZWs3W", 0)</f>
        <v>0</v>
      </c>
      <c r="AZ242" s="120"/>
      <c r="BA242" s="120"/>
      <c r="BB242" s="120"/>
      <c r="BC242" s="120"/>
      <c r="BD242" s="120"/>
      <c r="BE242" s="120"/>
      <c r="BF242" s="120"/>
      <c r="BG242" s="120"/>
      <c r="BH242" s="120"/>
      <c r="BI242" s="120"/>
      <c r="BJ242" s="120"/>
      <c r="BK242" s="120"/>
      <c r="BL242" s="120"/>
      <c r="BM242" s="120"/>
      <c r="BN242" s="120"/>
      <c r="BO242" s="120"/>
      <c r="BP242" s="120"/>
      <c r="BQ242" s="120"/>
      <c r="BR242" s="120"/>
      <c r="BS242" s="120"/>
      <c r="BT242" s="120"/>
      <c r="BU242" s="120"/>
      <c r="BV242" s="120"/>
      <c r="BW242" s="120"/>
      <c r="BX242" s="120"/>
      <c r="BY242" s="120"/>
      <c r="BZ242" s="120"/>
      <c r="CA242" s="120"/>
      <c r="CB242" s="120"/>
      <c r="CC242" s="120"/>
      <c r="CD242" s="120"/>
      <c r="CE242" s="120"/>
      <c r="CF242" s="120"/>
      <c r="CG242" s="120"/>
      <c r="CH242" s="120"/>
      <c r="CI242" s="120"/>
      <c r="CJ242" s="120"/>
      <c r="CK242" s="120"/>
      <c r="CL242" s="120"/>
      <c r="CM242" s="120"/>
      <c r="CN242" s="120"/>
      <c r="CO242" s="120"/>
      <c r="CP242" s="120"/>
      <c r="CQ242" s="120"/>
      <c r="CR242" s="120"/>
      <c r="CS242" s="120"/>
      <c r="CT242" s="120"/>
      <c r="CU242" s="120"/>
      <c r="CV242" s="120"/>
      <c r="CW242" s="120"/>
      <c r="CX242" s="120"/>
      <c r="CY242" s="120"/>
      <c r="CZ242" s="120"/>
      <c r="DA242" s="120"/>
      <c r="DB242" s="120"/>
      <c r="DC242" s="120"/>
      <c r="DD242" s="120"/>
      <c r="DE242" s="120"/>
      <c r="DF242" s="120"/>
      <c r="DG242" s="120"/>
      <c r="DH242" s="120"/>
      <c r="DI242" s="120"/>
      <c r="DJ242" s="120"/>
      <c r="DK242" s="120"/>
      <c r="DL242" s="120"/>
      <c r="DM242" s="120"/>
      <c r="DN242" s="120"/>
      <c r="DO242" s="120"/>
      <c r="DP242" s="120"/>
      <c r="DQ242" s="120"/>
      <c r="DR242" s="120"/>
      <c r="DS242" s="120"/>
      <c r="DT242" s="120"/>
      <c r="DU242" s="120"/>
      <c r="DV242" s="120"/>
      <c r="DW242" s="120"/>
      <c r="DX242" s="120"/>
      <c r="DY242" s="120"/>
      <c r="DZ242" s="120"/>
      <c r="EA242" s="120"/>
      <c r="EB242" s="120"/>
      <c r="EC242" s="120"/>
      <c r="ED242" s="120"/>
      <c r="EE242" s="120"/>
      <c r="EF242" s="120"/>
      <c r="EG242" s="120"/>
      <c r="EH242" s="120"/>
      <c r="EI242" s="120"/>
      <c r="EJ242" s="120"/>
      <c r="EK242" s="120"/>
      <c r="EL242" s="120"/>
      <c r="EM242" s="120"/>
      <c r="EN242" s="120"/>
      <c r="EO242" s="120"/>
      <c r="EP242" s="120"/>
      <c r="EQ242" s="120"/>
      <c r="ER242" s="120"/>
      <c r="ES242" s="120"/>
      <c r="ET242" s="120"/>
      <c r="EU242" s="120"/>
      <c r="EV242" s="120"/>
      <c r="EW242" s="120"/>
      <c r="EX242" s="120"/>
      <c r="EY242" s="120"/>
    </row>
    <row r="243">
      <c r="A243" s="112" t="s">
        <v>35</v>
      </c>
      <c r="B243" s="112" t="s">
        <v>73</v>
      </c>
      <c r="C243" s="112" t="s">
        <v>409</v>
      </c>
      <c r="D243" s="113">
        <f t="shared" si="1"/>
        <v>817.0738167</v>
      </c>
      <c r="E243" s="114">
        <v>107.4977</v>
      </c>
      <c r="F243" s="114"/>
      <c r="G243" s="114"/>
      <c r="H243" s="114"/>
      <c r="I243" s="114"/>
      <c r="J243" s="114"/>
      <c r="K243" s="114"/>
      <c r="L243" s="114">
        <v>2.1529</v>
      </c>
      <c r="M243" s="114"/>
      <c r="N243" s="114"/>
      <c r="O243" s="114">
        <v>18.8574333333333</v>
      </c>
      <c r="P243" s="112"/>
      <c r="Q243" s="112"/>
      <c r="R243" s="112">
        <v>182.306183333333</v>
      </c>
      <c r="S243" s="112"/>
      <c r="T243" s="112"/>
      <c r="U243" s="112"/>
      <c r="V243" s="112"/>
      <c r="W243" s="112"/>
      <c r="X243" s="112">
        <v>1.6258</v>
      </c>
      <c r="Y243" s="112">
        <v>122.3244</v>
      </c>
      <c r="Z243" s="112"/>
      <c r="AA243" s="113"/>
      <c r="AB243" s="112"/>
      <c r="AC243" s="112"/>
      <c r="AD243" s="112"/>
      <c r="AE243" s="112">
        <v>3.53776666666667</v>
      </c>
      <c r="AF243" s="112"/>
      <c r="AG243" s="112"/>
      <c r="AH243" s="112">
        <v>55.1260666666667</v>
      </c>
      <c r="AI243" s="112"/>
      <c r="AJ243" s="112"/>
      <c r="AK243" s="112"/>
      <c r="AL243" s="113"/>
      <c r="AM243" s="112"/>
      <c r="AN243" s="112">
        <v>1.34686666666667</v>
      </c>
      <c r="AO243" s="112">
        <v>38.93495</v>
      </c>
      <c r="AP243" s="112"/>
      <c r="AQ243" s="113"/>
      <c r="AR243" s="112"/>
      <c r="AS243" s="112">
        <v>3.2751</v>
      </c>
      <c r="AT243" s="112">
        <v>7.08625</v>
      </c>
      <c r="AU243" s="112"/>
      <c r="AV243" s="112"/>
      <c r="AW243" s="112">
        <v>0.120333333333333</v>
      </c>
      <c r="AX243" s="112">
        <v>263.657366666667</v>
      </c>
      <c r="AY243" s="113"/>
      <c r="AZ243" s="112">
        <v>8.90216666666667</v>
      </c>
      <c r="BA243" s="112">
        <v>0.322533333333333</v>
      </c>
      <c r="BB243" s="113"/>
      <c r="BC243" s="113"/>
      <c r="BD243" s="113"/>
      <c r="BE243" s="113"/>
      <c r="BF243" s="113"/>
      <c r="BG243" s="113"/>
      <c r="BH243" s="113"/>
      <c r="BI243" s="113"/>
      <c r="BJ243" s="113"/>
      <c r="BK243" s="113"/>
      <c r="BL243" s="113"/>
      <c r="BM243" s="113"/>
      <c r="BN243" s="113"/>
      <c r="BO243" s="113"/>
      <c r="BP243" s="113"/>
      <c r="BQ243" s="113"/>
      <c r="BR243" s="113"/>
      <c r="BS243" s="113"/>
      <c r="BT243" s="113"/>
      <c r="BU243" s="113"/>
      <c r="BV243" s="113"/>
      <c r="BW243" s="113"/>
      <c r="BX243" s="113"/>
      <c r="BY243" s="113"/>
      <c r="BZ243" s="113"/>
      <c r="CA243" s="113"/>
      <c r="CB243" s="113"/>
      <c r="CC243" s="113"/>
      <c r="CD243" s="113"/>
      <c r="CE243" s="113"/>
      <c r="CF243" s="113"/>
      <c r="CG243" s="113"/>
      <c r="CH243" s="113"/>
      <c r="CI243" s="113"/>
      <c r="CJ243" s="113"/>
      <c r="CK243" s="113"/>
      <c r="CL243" s="113"/>
      <c r="CM243" s="113"/>
      <c r="CN243" s="113"/>
      <c r="CO243" s="113"/>
      <c r="CP243" s="113"/>
      <c r="CQ243" s="113"/>
      <c r="CR243" s="113"/>
      <c r="CS243" s="113"/>
      <c r="CT243" s="113"/>
      <c r="CU243" s="113"/>
      <c r="CV243" s="113"/>
      <c r="CW243" s="113"/>
      <c r="CX243" s="113"/>
      <c r="CY243" s="113"/>
      <c r="CZ243" s="113"/>
      <c r="DA243" s="113"/>
      <c r="DB243" s="113"/>
      <c r="DC243" s="113"/>
      <c r="DD243" s="113"/>
      <c r="DE243" s="113"/>
      <c r="DF243" s="113"/>
      <c r="DG243" s="113"/>
      <c r="DH243" s="113"/>
      <c r="DI243" s="113"/>
      <c r="DJ243" s="113"/>
      <c r="DK243" s="113"/>
      <c r="DL243" s="113"/>
      <c r="DM243" s="113"/>
      <c r="DN243" s="113"/>
      <c r="DO243" s="113"/>
      <c r="DP243" s="113"/>
      <c r="DQ243" s="113"/>
      <c r="DR243" s="113"/>
      <c r="DS243" s="113"/>
      <c r="DT243" s="113"/>
      <c r="DU243" s="113"/>
      <c r="DV243" s="113"/>
      <c r="DW243" s="113"/>
      <c r="DX243" s="113"/>
      <c r="DY243" s="113"/>
      <c r="DZ243" s="113"/>
      <c r="EA243" s="113"/>
      <c r="EB243" s="113"/>
      <c r="EC243" s="113"/>
      <c r="ED243" s="113"/>
      <c r="EE243" s="113"/>
      <c r="EF243" s="113"/>
      <c r="EG243" s="113"/>
      <c r="EH243" s="113"/>
      <c r="EI243" s="113"/>
      <c r="EJ243" s="113"/>
      <c r="EK243" s="113"/>
      <c r="EL243" s="113"/>
      <c r="EM243" s="113"/>
      <c r="EN243" s="113"/>
      <c r="EO243" s="113"/>
      <c r="EP243" s="113"/>
      <c r="EQ243" s="113"/>
      <c r="ER243" s="113"/>
      <c r="ES243" s="113"/>
      <c r="ET243" s="113"/>
      <c r="EU243" s="113"/>
      <c r="EV243" s="113"/>
      <c r="EW243" s="113"/>
      <c r="EX243" s="113"/>
      <c r="EY243" s="113"/>
    </row>
    <row r="244">
      <c r="A244" s="65" t="s">
        <v>35</v>
      </c>
      <c r="B244" s="65" t="s">
        <v>73</v>
      </c>
      <c r="C244" s="65" t="s">
        <v>410</v>
      </c>
      <c r="D244" s="64">
        <f t="shared" si="1"/>
        <v>465.9424167</v>
      </c>
      <c r="E244" s="104"/>
      <c r="F244" s="104"/>
      <c r="G244" s="104">
        <v>0.506416666666667</v>
      </c>
      <c r="H244" s="104">
        <v>1.77791666666667</v>
      </c>
      <c r="I244" s="104">
        <v>25.6602333333333</v>
      </c>
      <c r="J244" s="104">
        <v>21.2886833333333</v>
      </c>
      <c r="K244" s="104">
        <v>41.6658166666667</v>
      </c>
      <c r="L244" s="104"/>
      <c r="M244" s="104"/>
      <c r="N244" s="104">
        <v>0.506416666666667</v>
      </c>
      <c r="O244" s="104"/>
      <c r="P244" s="65">
        <v>1.89265</v>
      </c>
      <c r="Q244" s="65"/>
      <c r="R244" s="65"/>
      <c r="S244" s="65"/>
      <c r="T244" s="65"/>
      <c r="U244" s="65">
        <v>1.95165</v>
      </c>
      <c r="V244" s="65">
        <v>53.5379666666666</v>
      </c>
      <c r="W244" s="65">
        <v>58.2887666666666</v>
      </c>
      <c r="X244" s="65"/>
      <c r="Y244" s="65"/>
      <c r="Z244" s="65"/>
      <c r="AA244" s="65">
        <v>0.203716666666667</v>
      </c>
      <c r="AB244" s="65">
        <v>1.12318333333333</v>
      </c>
      <c r="AC244" s="65">
        <v>57.8096333333334</v>
      </c>
      <c r="AD244" s="65">
        <v>26.2633</v>
      </c>
      <c r="AE244" s="65"/>
      <c r="AF244" s="65"/>
      <c r="AG244" s="65">
        <v>0.203716666666667</v>
      </c>
      <c r="AH244" s="65"/>
      <c r="AI244" s="65"/>
      <c r="AK244" s="65">
        <v>0.668116666666667</v>
      </c>
      <c r="AL244" s="65">
        <v>6.99523333333333</v>
      </c>
      <c r="AM244" s="65">
        <v>22.8488666666667</v>
      </c>
      <c r="AN244" s="65"/>
      <c r="AP244" s="65">
        <v>2.26721666666667</v>
      </c>
      <c r="AQ244" s="65">
        <v>8.97865</v>
      </c>
      <c r="AR244" s="65">
        <v>6.67961666666667</v>
      </c>
      <c r="AT244" s="65"/>
      <c r="AU244" s="65">
        <v>0.3239</v>
      </c>
      <c r="AV244" s="65">
        <v>2.30451666666667</v>
      </c>
      <c r="AY244" s="65">
        <v>122.196233333333</v>
      </c>
    </row>
    <row r="245">
      <c r="A245" s="65" t="s">
        <v>35</v>
      </c>
      <c r="B245" s="65" t="s">
        <v>73</v>
      </c>
      <c r="C245" s="65" t="s">
        <v>411</v>
      </c>
      <c r="D245" s="64">
        <f t="shared" si="1"/>
        <v>0</v>
      </c>
      <c r="E245" s="115"/>
      <c r="F245" s="115"/>
      <c r="G245" s="115"/>
      <c r="H245" s="115"/>
      <c r="I245" s="115"/>
      <c r="J245" s="115"/>
      <c r="K245" s="115"/>
      <c r="L245" s="115"/>
      <c r="M245" s="115"/>
      <c r="N245" s="115"/>
      <c r="O245" s="115"/>
    </row>
    <row r="246">
      <c r="A246" s="65" t="s">
        <v>35</v>
      </c>
      <c r="B246" s="65" t="s">
        <v>73</v>
      </c>
      <c r="C246" s="65" t="s">
        <v>412</v>
      </c>
      <c r="D246" s="64">
        <f t="shared" si="1"/>
        <v>461.12615</v>
      </c>
      <c r="E246" s="115"/>
      <c r="F246" s="104"/>
      <c r="G246" s="116">
        <f>HYPERLINK("https://docs.google.com/spreadsheets/d/1yaJqKfZWx-jk9hOjuDZopmSZZteMlOoD", 0.506416666666667)</f>
        <v>0.5064166667</v>
      </c>
      <c r="H246" s="116">
        <f>HYPERLINK("https://docs.google.com/spreadsheets/d/1ShX0PQJfHu7rjMsnXETG6CE3qUBy6peW", 1.77791666666667)</f>
        <v>1.777916667</v>
      </c>
      <c r="I246" s="117">
        <f>HYPERLINK("https://docs.google.com/spreadsheets/d/1usoKqPeT66WCFE7CBSpTtPV6UsKPITjr", 25.6602166666667)</f>
        <v>25.66021667</v>
      </c>
      <c r="J246" s="116">
        <f>HYPERLINK("https://docs.google.com/spreadsheets/d/1lc0xaVz-Wm1RkmoyXXsRB5lLnMZ8AXtQ", 20.7860166666667)</f>
        <v>20.78601667</v>
      </c>
      <c r="K246" s="117">
        <f>HYPERLINK("https://docs.google.com/spreadsheets/d/1vu5AsTDx-b7ImjgVfJvmVysAH2I6WyTN", 41.6657666666667)</f>
        <v>41.66576667</v>
      </c>
      <c r="L246" s="115"/>
      <c r="M246" s="104"/>
      <c r="N246" s="115"/>
      <c r="O246" s="104"/>
      <c r="P246" s="118">
        <f>HYPERLINK("https://docs.google.com/spreadsheets/d/1gno0jxZhovfEWtskmuMnXPADLjdAU6cv", 1.89265)</f>
        <v>1.89265</v>
      </c>
      <c r="U246" s="118">
        <f>HYPERLINK("https://docs.google.com/spreadsheets/d/1YbsvqhrTaMonY5vgOz9rX2BVC2mwzUKs", 1.95163333333333)</f>
        <v>1.951633333</v>
      </c>
      <c r="V246" s="118">
        <f>HYPERLINK("https://docs.google.com/spreadsheets/d/1tzBRpBkO8hR1fmSGZHQczGmOh6BKtYMs", 52.7365833333333)</f>
        <v>52.73658333</v>
      </c>
      <c r="W246" s="118">
        <f>HYPERLINK("https://docs.google.com/spreadsheets/d/1c307Dz7r8aA1DilbDFg2RDaWmzck_DVA", 58.28875)</f>
        <v>58.28875</v>
      </c>
      <c r="AA246" s="118">
        <f>HYPERLINK("https://docs.google.com/spreadsheets/d/1hwEMXYwhB32ndsXpR-cKIRaHz2qbIn6i", 0.203716666666667)</f>
        <v>0.2037166667</v>
      </c>
      <c r="AB246" s="118">
        <f>HYPERLINK("https://docs.google.com/spreadsheets/d/1W2-ZsLKrAVBOkBftMXLyPjNKm_27OeK5", 1.12318333333333)</f>
        <v>1.123183333</v>
      </c>
      <c r="AC246" s="118">
        <f>HYPERLINK("https://docs.google.com/spreadsheets/d/1PO7Wr5WckLNGoDb3seUy8gl2QYkZc_2C", 55.4107333333334)</f>
        <v>55.41073333</v>
      </c>
      <c r="AD246" s="118">
        <f>HYPERLINK("https://docs.google.com/spreadsheets/d/1lUwfIP9X3zAMBlfoiktIdwPBLE_ij0mv", 26.0665666666667)</f>
        <v>26.06656667</v>
      </c>
      <c r="AK246" s="118">
        <f>HYPERLINK("https://docs.google.com/spreadsheets/d/1w4YN_4Qt6jDePnhojhVeeeb8Ql2CuDDy", 0.668116666666667)</f>
        <v>0.6681166667</v>
      </c>
      <c r="AL246" s="118">
        <f>HYPERLINK("https://docs.google.com/spreadsheets/d/1GxyEunj4Jlsf-qFJ5zlQcIYdNcVsTUbR", 6.99523333333333)</f>
        <v>6.995233333</v>
      </c>
      <c r="AM246" s="118">
        <f>HYPERLINK("https://docs.google.com/spreadsheets/d/1AAVOY5nQwA-pZ-g92BbKlmsMzLaRX6kd", 22.84885)</f>
        <v>22.84885</v>
      </c>
      <c r="AP246" s="118">
        <f>HYPERLINK("https://docs.google.com/spreadsheets/d/1owIaUSA24qzeG-0_F5_Vf0qJfbX2oQDk", 2.21685)</f>
        <v>2.21685</v>
      </c>
      <c r="AQ246" s="118">
        <f>HYPERLINK("https://docs.google.com/spreadsheets/d/1dnDhAFB7EmUAR031j0zB8t67BDPVecg5", 8.8227)</f>
        <v>8.8227</v>
      </c>
      <c r="AR246" s="118">
        <f>HYPERLINK("https://docs.google.com/spreadsheets/d/1nEAnU-Vh1z5TDD1cUyin8yCVUlCwt_W7", 6.67961666666667)</f>
        <v>6.679616667</v>
      </c>
      <c r="AU246" s="118">
        <f>HYPERLINK("https://docs.google.com/spreadsheets/d/1Ws4xqc9U4y3cbhrY9h7Dy_mSIMG4JqOs", 0.3239)</f>
        <v>0.3239</v>
      </c>
      <c r="AV246" s="118">
        <f>HYPERLINK("https://docs.google.com/spreadsheets/d/1jFI5E5U5rlucmk4lw4eR2Nmulgnzs8B8", 2.30451666666667)</f>
        <v>2.304516667</v>
      </c>
      <c r="AY246" s="118">
        <f>HYPERLINK("https://docs.google.com/spreadsheets/d/1MYVhFzB9xQ_ojZU4TXwZ-hEflY7eSaWA", 122.196216666667)</f>
        <v>122.1962167</v>
      </c>
    </row>
    <row r="247">
      <c r="A247" s="65" t="s">
        <v>35</v>
      </c>
      <c r="B247" s="65" t="s">
        <v>73</v>
      </c>
      <c r="C247" s="65" t="s">
        <v>413</v>
      </c>
      <c r="D247" s="64">
        <f t="shared" si="1"/>
        <v>325.1024</v>
      </c>
      <c r="E247" s="115"/>
      <c r="F247" s="104"/>
      <c r="G247" s="104">
        <v>1.11022302462516E-16</v>
      </c>
      <c r="H247" s="104">
        <v>0.172116666666667</v>
      </c>
      <c r="I247" s="104">
        <v>16.08335</v>
      </c>
      <c r="J247" s="104">
        <v>9.59053333333333</v>
      </c>
      <c r="K247" s="104">
        <v>41.6657666666667</v>
      </c>
      <c r="L247" s="104"/>
      <c r="M247" s="104"/>
      <c r="N247" s="104"/>
      <c r="O247" s="104"/>
      <c r="P247" s="65">
        <v>1.77398333333333</v>
      </c>
      <c r="Q247" s="65"/>
      <c r="R247" s="65"/>
      <c r="S247" s="65"/>
      <c r="T247" s="65"/>
      <c r="U247" s="65">
        <v>0.485099999999999</v>
      </c>
      <c r="V247" s="65">
        <v>29.8853333333333</v>
      </c>
      <c r="W247" s="65">
        <v>58.28875</v>
      </c>
      <c r="X247" s="65"/>
      <c r="Y247" s="65"/>
      <c r="Z247" s="65"/>
      <c r="AA247" s="65">
        <v>0.203716666666667</v>
      </c>
      <c r="AB247" s="65">
        <v>0.239666666666667</v>
      </c>
      <c r="AC247" s="65">
        <v>33.82335</v>
      </c>
      <c r="AD247" s="65">
        <v>4.7035</v>
      </c>
      <c r="AE247" s="65"/>
      <c r="AF247" s="65"/>
      <c r="AG247" s="65"/>
      <c r="AH247" s="65"/>
      <c r="AI247" s="65"/>
      <c r="AK247" s="65">
        <v>0.1043</v>
      </c>
      <c r="AL247" s="65">
        <v>2.47343333333333</v>
      </c>
      <c r="AM247" s="65">
        <v>22.84885</v>
      </c>
      <c r="AN247" s="65"/>
      <c r="AP247" s="65">
        <v>1.98953333333333</v>
      </c>
      <c r="AQ247" s="65">
        <v>3.57878333333333</v>
      </c>
      <c r="AR247" s="65">
        <v>6.67961666666667</v>
      </c>
      <c r="AT247" s="65"/>
      <c r="AU247" s="65">
        <v>0.0</v>
      </c>
      <c r="AV247" s="65">
        <v>0.508183333333333</v>
      </c>
      <c r="AY247" s="65">
        <v>90.0045333333333</v>
      </c>
    </row>
    <row r="248">
      <c r="A248" s="119" t="s">
        <v>35</v>
      </c>
      <c r="B248" s="119" t="s">
        <v>73</v>
      </c>
      <c r="C248" s="119" t="s">
        <v>414</v>
      </c>
      <c r="D248" s="120">
        <f t="shared" si="1"/>
        <v>0.3239</v>
      </c>
      <c r="E248" s="121"/>
      <c r="F248" s="123"/>
      <c r="G248" s="122">
        <f>HYPERLINK("https://docs.google.com/spreadsheets/d/1yaJqKfZWx-jk9hOjuDZopmSZZteMlOoD", 0)</f>
        <v>0</v>
      </c>
      <c r="H248" s="122">
        <f>HYPERLINK("https://docs.google.com/spreadsheets/d/1ShX0PQJfHu7rjMsnXETG6CE3qUBy6peW", 0)</f>
        <v>0</v>
      </c>
      <c r="I248" s="122">
        <f>HYPERLINK("https://docs.google.com/spreadsheets/d/1usoKqPeT66WCFE7CBSpTtPV6UsKPITjr", 0)</f>
        <v>0</v>
      </c>
      <c r="J248" s="122">
        <f>HYPERLINK("https://docs.google.com/spreadsheets/d/1lc0xaVz-Wm1RkmoyXXsRB5lLnMZ8AXtQ", 0)</f>
        <v>0</v>
      </c>
      <c r="K248" s="122">
        <f>HYPERLINK("https://docs.google.com/spreadsheets/d/1vu5AsTDx-b7ImjgVfJvmVysAH2I6WyTN", 0)</f>
        <v>0</v>
      </c>
      <c r="L248" s="121"/>
      <c r="M248" s="121"/>
      <c r="N248" s="123"/>
      <c r="O248" s="121"/>
      <c r="P248" s="124">
        <f>HYPERLINK("https://docs.google.com/spreadsheets/d/1gno0jxZhovfEWtskmuMnXPADLjdAU6cv", 0)</f>
        <v>0</v>
      </c>
      <c r="Q248" s="120"/>
      <c r="R248" s="120"/>
      <c r="S248" s="120"/>
      <c r="T248" s="119"/>
      <c r="U248" s="125">
        <f>HYPERLINK("https://docs.google.com/spreadsheets/d/1YbsvqhrTaMonY5vgOz9rX2BVC2mwzUKs", 0)</f>
        <v>0</v>
      </c>
      <c r="V248" s="124">
        <f>HYPERLINK("https://docs.google.com/spreadsheets/d/1tzBRpBkO8hR1fmSGZHQczGmOh6BKtYMs", 0)</f>
        <v>0</v>
      </c>
      <c r="W248" s="124">
        <f>HYPERLINK("https://docs.google.com/spreadsheets/d/1c307Dz7r8aA1DilbDFg2RDaWmzck_DVA", 0)</f>
        <v>0</v>
      </c>
      <c r="X248" s="120"/>
      <c r="Y248" s="119"/>
      <c r="Z248" s="120"/>
      <c r="AA248" s="124">
        <f>HYPERLINK("https://docs.google.com/spreadsheets/d/1hwEMXYwhB32ndsXpR-cKIRaHz2qbIn6i", 0)</f>
        <v>0</v>
      </c>
      <c r="AB248" s="124">
        <f>HYPERLINK("https://docs.google.com/spreadsheets/d/1W2-ZsLKrAVBOkBftMXLyPjNKm_27OeK5", 0)</f>
        <v>0</v>
      </c>
      <c r="AC248" s="124">
        <f>HYPERLINK("https://docs.google.com/spreadsheets/d/1PO7Wr5WckLNGoDb3seUy8gl2QYkZc_2C", 0)</f>
        <v>0</v>
      </c>
      <c r="AD248" s="124">
        <f>HYPERLINK("https://docs.google.com/spreadsheets/d/1lUwfIP9X3zAMBlfoiktIdwPBLE_ij0mv", 0)</f>
        <v>0</v>
      </c>
      <c r="AE248" s="120"/>
      <c r="AF248" s="120"/>
      <c r="AG248" s="119"/>
      <c r="AH248" s="119"/>
      <c r="AI248" s="119"/>
      <c r="AJ248" s="120"/>
      <c r="AK248" s="124">
        <f>HYPERLINK("https://docs.google.com/spreadsheets/d/1w4YN_4Qt6jDePnhojhVeeeb8Ql2CuDDy", 0)</f>
        <v>0</v>
      </c>
      <c r="AL248" s="125">
        <f>HYPERLINK("https://docs.google.com/spreadsheets/d/1GxyEunj4Jlsf-qFJ5zlQcIYdNcVsTUbR", 0)</f>
        <v>0</v>
      </c>
      <c r="AM248" s="124">
        <f>HYPERLINK("https://docs.google.com/spreadsheets/d/1AAVOY5nQwA-pZ-g92BbKlmsMzLaRX6kd", 0)</f>
        <v>0</v>
      </c>
      <c r="AN248" s="119"/>
      <c r="AO248" s="120"/>
      <c r="AP248" s="124">
        <f>HYPERLINK("https://docs.google.com/spreadsheets/d/1owIaUSA24qzeG-0_F5_Vf0qJfbX2oQDk", 0)</f>
        <v>0</v>
      </c>
      <c r="AQ248" s="125">
        <f>HYPERLINK("https://docs.google.com/spreadsheets/d/1dnDhAFB7EmUAR031j0zB8t67BDPVecg5", 0)</f>
        <v>0</v>
      </c>
      <c r="AR248" s="125">
        <f>HYPERLINK("https://docs.google.com/spreadsheets/d/1nEAnU-Vh1z5TDD1cUyin8yCVUlCwt_W7", 0)</f>
        <v>0</v>
      </c>
      <c r="AS248" s="120"/>
      <c r="AT248" s="120"/>
      <c r="AU248" s="125">
        <f>HYPERLINK("https://docs.google.com/spreadsheets/d/1Ws4xqc9U4y3cbhrY9h7Dy_mSIMG4JqOs", 0.3239)</f>
        <v>0.3239</v>
      </c>
      <c r="AV248" s="124">
        <f>HYPERLINK("https://docs.google.com/spreadsheets/d/1jFI5E5U5rlucmk4lw4eR2Nmulgnzs8B8", 0)</f>
        <v>0</v>
      </c>
      <c r="AW248" s="120"/>
      <c r="AX248" s="120"/>
      <c r="AY248" s="124">
        <f>HYPERLINK("https://docs.google.com/spreadsheets/d/1MYVhFzB9xQ_ojZU4TXwZ-hEflY7eSaWA", 0)</f>
        <v>0</v>
      </c>
      <c r="AZ248" s="120"/>
      <c r="BA248" s="120"/>
      <c r="BB248" s="120"/>
      <c r="BC248" s="120"/>
      <c r="BD248" s="120"/>
      <c r="BE248" s="120"/>
      <c r="BF248" s="120"/>
      <c r="BG248" s="120"/>
      <c r="BH248" s="120"/>
      <c r="BI248" s="120"/>
      <c r="BJ248" s="120"/>
      <c r="BK248" s="120"/>
      <c r="BL248" s="120"/>
      <c r="BM248" s="120"/>
      <c r="BN248" s="120"/>
      <c r="BO248" s="120"/>
      <c r="BP248" s="120"/>
      <c r="BQ248" s="120"/>
      <c r="BR248" s="120"/>
      <c r="BS248" s="120"/>
      <c r="BT248" s="120"/>
      <c r="BU248" s="120"/>
      <c r="BV248" s="120"/>
      <c r="BW248" s="120"/>
      <c r="BX248" s="120"/>
      <c r="BY248" s="120"/>
      <c r="BZ248" s="120"/>
      <c r="CA248" s="120"/>
      <c r="CB248" s="120"/>
      <c r="CC248" s="120"/>
      <c r="CD248" s="120"/>
      <c r="CE248" s="120"/>
      <c r="CF248" s="120"/>
      <c r="CG248" s="120"/>
      <c r="CH248" s="120"/>
      <c r="CI248" s="120"/>
      <c r="CJ248" s="120"/>
      <c r="CK248" s="120"/>
      <c r="CL248" s="120"/>
      <c r="CM248" s="120"/>
      <c r="CN248" s="120"/>
      <c r="CO248" s="120"/>
      <c r="CP248" s="120"/>
      <c r="CQ248" s="120"/>
      <c r="CR248" s="120"/>
      <c r="CS248" s="120"/>
      <c r="CT248" s="120"/>
      <c r="CU248" s="120"/>
      <c r="CV248" s="120"/>
      <c r="CW248" s="120"/>
      <c r="CX248" s="120"/>
      <c r="CY248" s="120"/>
      <c r="CZ248" s="120"/>
      <c r="DA248" s="120"/>
      <c r="DB248" s="120"/>
      <c r="DC248" s="120"/>
      <c r="DD248" s="120"/>
      <c r="DE248" s="120"/>
      <c r="DF248" s="120"/>
      <c r="DG248" s="120"/>
      <c r="DH248" s="120"/>
      <c r="DI248" s="120"/>
      <c r="DJ248" s="120"/>
      <c r="DK248" s="120"/>
      <c r="DL248" s="120"/>
      <c r="DM248" s="120"/>
      <c r="DN248" s="120"/>
      <c r="DO248" s="120"/>
      <c r="DP248" s="120"/>
      <c r="DQ248" s="120"/>
      <c r="DR248" s="120"/>
      <c r="DS248" s="120"/>
      <c r="DT248" s="120"/>
      <c r="DU248" s="120"/>
      <c r="DV248" s="120"/>
      <c r="DW248" s="120"/>
      <c r="DX248" s="120"/>
      <c r="DY248" s="120"/>
      <c r="DZ248" s="120"/>
      <c r="EA248" s="120"/>
      <c r="EB248" s="120"/>
      <c r="EC248" s="120"/>
      <c r="ED248" s="120"/>
      <c r="EE248" s="120"/>
      <c r="EF248" s="120"/>
      <c r="EG248" s="120"/>
      <c r="EH248" s="120"/>
      <c r="EI248" s="120"/>
      <c r="EJ248" s="120"/>
      <c r="EK248" s="120"/>
      <c r="EL248" s="120"/>
      <c r="EM248" s="120"/>
      <c r="EN248" s="120"/>
      <c r="EO248" s="120"/>
      <c r="EP248" s="120"/>
      <c r="EQ248" s="120"/>
      <c r="ER248" s="120"/>
      <c r="ES248" s="120"/>
      <c r="ET248" s="120"/>
      <c r="EU248" s="120"/>
      <c r="EV248" s="120"/>
      <c r="EW248" s="120"/>
      <c r="EX248" s="120"/>
      <c r="EY248" s="120"/>
    </row>
    <row r="249">
      <c r="A249" s="112" t="s">
        <v>35</v>
      </c>
      <c r="B249" s="112" t="s">
        <v>74</v>
      </c>
      <c r="C249" s="112" t="s">
        <v>409</v>
      </c>
      <c r="D249" s="113">
        <f t="shared" si="1"/>
        <v>581.0333333</v>
      </c>
      <c r="E249" s="114">
        <v>98.7424499999999</v>
      </c>
      <c r="F249" s="114"/>
      <c r="G249" s="114"/>
      <c r="H249" s="114"/>
      <c r="I249" s="114"/>
      <c r="J249" s="114"/>
      <c r="K249" s="114"/>
      <c r="L249" s="114">
        <v>1.38685</v>
      </c>
      <c r="M249" s="114"/>
      <c r="N249" s="114"/>
      <c r="O249" s="114">
        <v>16.62375</v>
      </c>
      <c r="P249" s="112"/>
      <c r="Q249" s="112"/>
      <c r="R249" s="112">
        <v>117.0941</v>
      </c>
      <c r="S249" s="112"/>
      <c r="T249" s="112"/>
      <c r="U249" s="112"/>
      <c r="V249" s="112"/>
      <c r="W249" s="112"/>
      <c r="X249" s="112">
        <v>2.82881666666667</v>
      </c>
      <c r="Y249" s="112">
        <v>111.43585</v>
      </c>
      <c r="Z249" s="112"/>
      <c r="AA249" s="113"/>
      <c r="AB249" s="112"/>
      <c r="AC249" s="112"/>
      <c r="AD249" s="112"/>
      <c r="AE249" s="112">
        <v>3.03846666666667</v>
      </c>
      <c r="AF249" s="112"/>
      <c r="AG249" s="112"/>
      <c r="AH249" s="112">
        <v>24.6038333333333</v>
      </c>
      <c r="AI249" s="112"/>
      <c r="AJ249" s="112"/>
      <c r="AK249" s="112"/>
      <c r="AL249" s="113"/>
      <c r="AM249" s="112"/>
      <c r="AN249" s="112">
        <v>1.15128333333333</v>
      </c>
      <c r="AO249" s="112">
        <v>30.30265</v>
      </c>
      <c r="AP249" s="112"/>
      <c r="AQ249" s="113"/>
      <c r="AR249" s="112"/>
      <c r="AS249" s="112">
        <v>2.13885</v>
      </c>
      <c r="AT249" s="112">
        <v>5.1796</v>
      </c>
      <c r="AU249" s="112"/>
      <c r="AV249" s="112"/>
      <c r="AW249" s="112">
        <v>0.180266666666667</v>
      </c>
      <c r="AX249" s="112">
        <v>162.474666666667</v>
      </c>
      <c r="AY249" s="113"/>
      <c r="AZ249" s="112">
        <v>3.38535</v>
      </c>
      <c r="BA249" s="112">
        <v>0.46655</v>
      </c>
      <c r="BB249" s="113"/>
      <c r="BC249" s="113"/>
      <c r="BD249" s="113"/>
      <c r="BE249" s="113"/>
      <c r="BF249" s="113"/>
      <c r="BG249" s="113"/>
      <c r="BH249" s="113"/>
      <c r="BI249" s="113"/>
      <c r="BJ249" s="113"/>
      <c r="BK249" s="113"/>
      <c r="BL249" s="113"/>
      <c r="BM249" s="113"/>
      <c r="BN249" s="113"/>
      <c r="BO249" s="113"/>
      <c r="BP249" s="113"/>
      <c r="BQ249" s="113"/>
      <c r="BR249" s="113"/>
      <c r="BS249" s="113"/>
      <c r="BT249" s="113"/>
      <c r="BU249" s="113"/>
      <c r="BV249" s="113"/>
      <c r="BW249" s="113"/>
      <c r="BX249" s="113"/>
      <c r="BY249" s="113"/>
      <c r="BZ249" s="113"/>
      <c r="CA249" s="113"/>
      <c r="CB249" s="113"/>
      <c r="CC249" s="113"/>
      <c r="CD249" s="113"/>
      <c r="CE249" s="113"/>
      <c r="CF249" s="113"/>
      <c r="CG249" s="113"/>
      <c r="CH249" s="113"/>
      <c r="CI249" s="113"/>
      <c r="CJ249" s="113"/>
      <c r="CK249" s="113"/>
      <c r="CL249" s="113"/>
      <c r="CM249" s="113"/>
      <c r="CN249" s="113"/>
      <c r="CO249" s="113"/>
      <c r="CP249" s="113"/>
      <c r="CQ249" s="113"/>
      <c r="CR249" s="113"/>
      <c r="CS249" s="113"/>
      <c r="CT249" s="113"/>
      <c r="CU249" s="113"/>
      <c r="CV249" s="113"/>
      <c r="CW249" s="113"/>
      <c r="CX249" s="113"/>
      <c r="CY249" s="113"/>
      <c r="CZ249" s="113"/>
      <c r="DA249" s="113"/>
      <c r="DB249" s="113"/>
      <c r="DC249" s="113"/>
      <c r="DD249" s="113"/>
      <c r="DE249" s="113"/>
      <c r="DF249" s="113"/>
      <c r="DG249" s="113"/>
      <c r="DH249" s="113"/>
      <c r="DI249" s="113"/>
      <c r="DJ249" s="113"/>
      <c r="DK249" s="113"/>
      <c r="DL249" s="113"/>
      <c r="DM249" s="113"/>
      <c r="DN249" s="113"/>
      <c r="DO249" s="113"/>
      <c r="DP249" s="113"/>
      <c r="DQ249" s="113"/>
      <c r="DR249" s="113"/>
      <c r="DS249" s="113"/>
      <c r="DT249" s="113"/>
      <c r="DU249" s="113"/>
      <c r="DV249" s="113"/>
      <c r="DW249" s="113"/>
      <c r="DX249" s="113"/>
      <c r="DY249" s="113"/>
      <c r="DZ249" s="113"/>
      <c r="EA249" s="113"/>
      <c r="EB249" s="113"/>
      <c r="EC249" s="113"/>
      <c r="ED249" s="113"/>
      <c r="EE249" s="113"/>
      <c r="EF249" s="113"/>
      <c r="EG249" s="113"/>
      <c r="EH249" s="113"/>
      <c r="EI249" s="113"/>
      <c r="EJ249" s="113"/>
      <c r="EK249" s="113"/>
      <c r="EL249" s="113"/>
      <c r="EM249" s="113"/>
      <c r="EN249" s="113"/>
      <c r="EO249" s="113"/>
      <c r="EP249" s="113"/>
      <c r="EQ249" s="113"/>
      <c r="ER249" s="113"/>
      <c r="ES249" s="113"/>
      <c r="ET249" s="113"/>
      <c r="EU249" s="113"/>
      <c r="EV249" s="113"/>
      <c r="EW249" s="113"/>
      <c r="EX249" s="113"/>
      <c r="EY249" s="113"/>
    </row>
    <row r="250">
      <c r="A250" s="65" t="s">
        <v>35</v>
      </c>
      <c r="B250" s="65" t="s">
        <v>74</v>
      </c>
      <c r="C250" s="65" t="s">
        <v>410</v>
      </c>
      <c r="D250" s="64">
        <f t="shared" si="1"/>
        <v>410.4443667</v>
      </c>
      <c r="E250" s="104"/>
      <c r="F250" s="104"/>
      <c r="G250" s="104"/>
      <c r="H250" s="104">
        <v>1.72428333333333</v>
      </c>
      <c r="I250" s="104">
        <v>25.5995</v>
      </c>
      <c r="J250" s="104">
        <v>29.08535</v>
      </c>
      <c r="K250" s="104">
        <v>15.8726333333333</v>
      </c>
      <c r="L250" s="104"/>
      <c r="M250" s="104"/>
      <c r="N250" s="104"/>
      <c r="O250" s="104"/>
      <c r="P250" s="65">
        <v>0.38025</v>
      </c>
      <c r="Q250" s="65"/>
      <c r="R250" s="65"/>
      <c r="S250" s="65"/>
      <c r="T250" s="65">
        <v>0.105516666666667</v>
      </c>
      <c r="U250" s="65">
        <v>12.5403666666667</v>
      </c>
      <c r="V250" s="65">
        <v>68.78645</v>
      </c>
      <c r="W250" s="65">
        <v>21.03035</v>
      </c>
      <c r="X250" s="65"/>
      <c r="Y250" s="65"/>
      <c r="Z250" s="65"/>
      <c r="AA250" s="65">
        <v>1.08735</v>
      </c>
      <c r="AB250" s="65">
        <v>8.21543333333333</v>
      </c>
      <c r="AC250" s="65">
        <v>69.8360166666667</v>
      </c>
      <c r="AD250" s="65">
        <v>17.5555166666667</v>
      </c>
      <c r="AE250" s="65"/>
      <c r="AF250" s="65"/>
      <c r="AG250" s="65">
        <v>1.08735</v>
      </c>
      <c r="AH250" s="65"/>
      <c r="AI250" s="65"/>
      <c r="AJ250" s="65">
        <v>0.121633333333333</v>
      </c>
      <c r="AK250" s="65">
        <v>4.58708333333333</v>
      </c>
      <c r="AL250" s="65">
        <v>6.40211666666666</v>
      </c>
      <c r="AM250" s="65">
        <v>11.977</v>
      </c>
      <c r="AN250" s="65"/>
      <c r="AP250" s="65">
        <v>0.239083333333333</v>
      </c>
      <c r="AQ250" s="65">
        <v>6.16446666666667</v>
      </c>
      <c r="AR250" s="65">
        <v>9.61896666666667</v>
      </c>
      <c r="AT250" s="65"/>
      <c r="AU250" s="65"/>
      <c r="AV250" s="65">
        <v>2.88851666666667</v>
      </c>
      <c r="AY250" s="65">
        <v>95.5391333333333</v>
      </c>
    </row>
    <row r="251">
      <c r="A251" s="65" t="s">
        <v>35</v>
      </c>
      <c r="B251" s="65" t="s">
        <v>74</v>
      </c>
      <c r="C251" s="65" t="s">
        <v>411</v>
      </c>
      <c r="D251" s="64">
        <f t="shared" si="1"/>
        <v>0</v>
      </c>
      <c r="E251" s="115"/>
      <c r="F251" s="115"/>
      <c r="G251" s="115"/>
      <c r="H251" s="115"/>
      <c r="I251" s="115"/>
      <c r="J251" s="115"/>
      <c r="K251" s="115"/>
      <c r="L251" s="115"/>
      <c r="M251" s="115"/>
      <c r="N251" s="115"/>
      <c r="O251" s="115"/>
    </row>
    <row r="252">
      <c r="A252" s="65" t="s">
        <v>35</v>
      </c>
      <c r="B252" s="65" t="s">
        <v>74</v>
      </c>
      <c r="C252" s="65" t="s">
        <v>412</v>
      </c>
      <c r="D252" s="64">
        <f t="shared" si="1"/>
        <v>408.98455</v>
      </c>
      <c r="E252" s="115"/>
      <c r="F252" s="104"/>
      <c r="G252" s="115"/>
      <c r="H252" s="116">
        <f>HYPERLINK("https://docs.google.com/spreadsheets/d/1NYBZMgjj-KupWIwG0VhkQGpSlAs7ou-1", 1.72426666666667)</f>
        <v>1.724266667</v>
      </c>
      <c r="I252" s="117">
        <f>HYPERLINK("https://docs.google.com/spreadsheets/d/1A1aF3sLl5RA42EaT6rC6thawkciIYggK", 25.5299666666667)</f>
        <v>25.52996667</v>
      </c>
      <c r="J252" s="116">
        <f>HYPERLINK("https://docs.google.com/spreadsheets/d/1u3VL-rtqasmt7ypaEjcG-EeOQNY6v3lS", 29.0853166666667)</f>
        <v>29.08531667</v>
      </c>
      <c r="K252" s="117">
        <f>HYPERLINK("https://docs.google.com/spreadsheets/d/1NBcvyyW21b0IiHm61ppUJYkVoLx2MDaA", 15.8726166666667)</f>
        <v>15.87261667</v>
      </c>
      <c r="L252" s="115"/>
      <c r="M252" s="104"/>
      <c r="N252" s="115"/>
      <c r="O252" s="104"/>
      <c r="P252" s="118">
        <f>HYPERLINK("https://docs.google.com/spreadsheets/d/18TCJo2myO3vfaAZmRePNV2Lp9O6gOyox", 0.38025)</f>
        <v>0.38025</v>
      </c>
      <c r="T252" s="118">
        <f>HYPERLINK("https://docs.google.com/spreadsheets/d/1V8kQwBG52rE6CFrJj8e7bIBj95oJxWzk", 0.105516666666667)</f>
        <v>0.1055166667</v>
      </c>
      <c r="U252" s="118">
        <f>HYPERLINK("https://docs.google.com/spreadsheets/d/1zjZH06W8srOkYhNzS0z4oPfNglho8ryC", 12.5403333333333)</f>
        <v>12.54033333</v>
      </c>
      <c r="V252" s="118">
        <f>HYPERLINK("https://docs.google.com/spreadsheets/d/16tiBGzbpUySVSPfi00Mmtn2mmRV_64ta", 68.68115)</f>
        <v>68.68115</v>
      </c>
      <c r="W252" s="118">
        <f>HYPERLINK("https://docs.google.com/spreadsheets/d/1qBG3VKb0raM69gCtpJiJpCG5KeUGJTLV", 21.03035)</f>
        <v>21.03035</v>
      </c>
      <c r="AA252" s="118">
        <f>HYPERLINK("https://docs.google.com/spreadsheets/d/1SzicMvB3ByK_30cV7eIK_sP3iQarv_KR", 0.889916666666667)</f>
        <v>0.8899166667</v>
      </c>
      <c r="AB252" s="118">
        <f>HYPERLINK("https://docs.google.com/spreadsheets/d/1AeHzlwvGtX_wj-piZZrE5izcJK7GmRt2", 8.21545)</f>
        <v>8.21545</v>
      </c>
      <c r="AC252" s="118">
        <f>HYPERLINK("https://docs.google.com/spreadsheets/d/1fv7UrpjzxXIeWdkEO2cB5VHWY2C0WDiv", 69.8360000000001)</f>
        <v>69.836</v>
      </c>
      <c r="AD252" s="118">
        <f>HYPERLINK("https://docs.google.com/spreadsheets/d/1Xinrccm7h7JJt7oJzG6O4xzj5qXS99Dt", 17.5555333333333)</f>
        <v>17.55553333</v>
      </c>
      <c r="AJ252" s="118">
        <f>HYPERLINK("https://docs.google.com/spreadsheets/d/1utpubCZeXQuyu9bFCPxqlnaPK-M3KkQE", 0.121633333333333)</f>
        <v>0.1216333333</v>
      </c>
      <c r="AK252" s="118">
        <f>HYPERLINK("https://docs.google.com/spreadsheets/d/1fJeQ2FugIKLie20H2zEEJ4Q72_g2_QwB", 4.58706666666667)</f>
        <v>4.587066667</v>
      </c>
      <c r="AL252" s="118">
        <f>HYPERLINK("https://docs.google.com/spreadsheets/d/1YdtFXbe4gpQxV8bCZ3LxD31ac0x6KZVI", 6.40213333333333)</f>
        <v>6.402133333</v>
      </c>
      <c r="AM252" s="118">
        <f>HYPERLINK("https://docs.google.com/spreadsheets/d/1CpSRdTFgEh7QXzz6u1XbJM6BHZcODScQ", 11.9770166666667)</f>
        <v>11.97701667</v>
      </c>
      <c r="AP252" s="118">
        <f>HYPERLINK("https://docs.google.com/spreadsheets/d/1-A4yulTL4f_T5kZorbQZrtUBS5Z8x3jk", 0.239083333333333)</f>
        <v>0.2390833333</v>
      </c>
      <c r="AQ252" s="118">
        <f>HYPERLINK("https://docs.google.com/spreadsheets/d/1XjT_TTkcqPu7B1Q7qg_k0E5e_anf2l_3", 6.16446666666667)</f>
        <v>6.164466667</v>
      </c>
      <c r="AR252" s="118">
        <f>HYPERLINK("https://docs.google.com/spreadsheets/d/1j456aKBcgMGC8k-J7h5-A3mSaQBiunF5", 9.61895)</f>
        <v>9.61895</v>
      </c>
      <c r="AV252" s="118">
        <f>HYPERLINK("https://docs.google.com/spreadsheets/d/1XLiRlpJ1q99dkz6Alp3ssQA85QvWQ4OP", 2.88851666666667)</f>
        <v>2.888516667</v>
      </c>
      <c r="AY252" s="118">
        <f>HYPERLINK("https://docs.google.com/spreadsheets/d/1Wlgy6HMC_hq3UC3UtWz5gscXdFcXNPZe", 95.5390166666666)</f>
        <v>95.53901667</v>
      </c>
    </row>
    <row r="253">
      <c r="A253" s="65" t="s">
        <v>35</v>
      </c>
      <c r="B253" s="65" t="s">
        <v>74</v>
      </c>
      <c r="C253" s="65" t="s">
        <v>413</v>
      </c>
      <c r="D253" s="64">
        <f t="shared" si="1"/>
        <v>229.16025</v>
      </c>
      <c r="E253" s="115"/>
      <c r="F253" s="104"/>
      <c r="G253" s="104"/>
      <c r="H253" s="104">
        <v>0.682716666666667</v>
      </c>
      <c r="I253" s="104">
        <v>14.1407666666667</v>
      </c>
      <c r="J253" s="104">
        <v>14.8105333333333</v>
      </c>
      <c r="K253" s="104">
        <v>15.8726166666667</v>
      </c>
      <c r="L253" s="104"/>
      <c r="M253" s="104"/>
      <c r="N253" s="104"/>
      <c r="O253" s="104"/>
      <c r="P253" s="65">
        <v>0.38025</v>
      </c>
      <c r="Q253" s="65"/>
      <c r="R253" s="65"/>
      <c r="S253" s="65"/>
      <c r="T253" s="65">
        <v>0.105516666666667</v>
      </c>
      <c r="U253" s="65">
        <v>4.71258333333333</v>
      </c>
      <c r="V253" s="65">
        <v>30.1850833333333</v>
      </c>
      <c r="W253" s="65">
        <v>19.1941333333333</v>
      </c>
      <c r="X253" s="65"/>
      <c r="Y253" s="65"/>
      <c r="Z253" s="65"/>
      <c r="AA253" s="65">
        <v>0.278466666666667</v>
      </c>
      <c r="AB253" s="65">
        <v>1.15231666666667</v>
      </c>
      <c r="AC253" s="65">
        <v>25.1248833333334</v>
      </c>
      <c r="AD253" s="65">
        <v>2.47480000000001</v>
      </c>
      <c r="AE253" s="65"/>
      <c r="AF253" s="65"/>
      <c r="AG253" s="65"/>
      <c r="AH253" s="65"/>
      <c r="AI253" s="65"/>
      <c r="AJ253" s="65">
        <v>0.121633333333333</v>
      </c>
      <c r="AK253" s="65">
        <v>1.373</v>
      </c>
      <c r="AL253" s="65">
        <v>2.34616666666666</v>
      </c>
      <c r="AM253" s="65">
        <v>11.9770166666667</v>
      </c>
      <c r="AN253" s="65"/>
      <c r="AP253" s="65">
        <v>0.239083333333333</v>
      </c>
      <c r="AQ253" s="65">
        <v>2.89786666666667</v>
      </c>
      <c r="AR253" s="65">
        <v>8.79938333333333</v>
      </c>
      <c r="AT253" s="65"/>
      <c r="AU253" s="65"/>
      <c r="AV253" s="65">
        <v>0.516533333333333</v>
      </c>
      <c r="AY253" s="65">
        <v>71.7748999999999</v>
      </c>
    </row>
    <row r="254">
      <c r="A254" s="119" t="s">
        <v>35</v>
      </c>
      <c r="B254" s="119" t="s">
        <v>74</v>
      </c>
      <c r="C254" s="119" t="s">
        <v>414</v>
      </c>
      <c r="D254" s="120">
        <f t="shared" si="1"/>
        <v>0</v>
      </c>
      <c r="E254" s="121"/>
      <c r="F254" s="123"/>
      <c r="G254" s="121"/>
      <c r="H254" s="122">
        <f>HYPERLINK("https://docs.google.com/spreadsheets/d/1NYBZMgjj-KupWIwG0VhkQGpSlAs7ou-1", 0)</f>
        <v>0</v>
      </c>
      <c r="I254" s="122">
        <f>HYPERLINK("https://docs.google.com/spreadsheets/d/1A1aF3sLl5RA42EaT6rC6thawkciIYggK", 0)</f>
        <v>0</v>
      </c>
      <c r="J254" s="122">
        <f>HYPERLINK("https://docs.google.com/spreadsheets/d/1u3VL-rtqasmt7ypaEjcG-EeOQNY6v3lS", 0)</f>
        <v>0</v>
      </c>
      <c r="K254" s="122">
        <f>HYPERLINK("https://docs.google.com/spreadsheets/d/1NBcvyyW21b0IiHm61ppUJYkVoLx2MDaA", 0)</f>
        <v>0</v>
      </c>
      <c r="L254" s="121"/>
      <c r="M254" s="121"/>
      <c r="N254" s="123"/>
      <c r="O254" s="121"/>
      <c r="P254" s="124">
        <f>HYPERLINK("https://docs.google.com/spreadsheets/d/18TCJo2myO3vfaAZmRePNV2Lp9O6gOyox", 0)</f>
        <v>0</v>
      </c>
      <c r="Q254" s="120"/>
      <c r="R254" s="119"/>
      <c r="S254" s="120"/>
      <c r="T254" s="125">
        <f>HYPERLINK("https://docs.google.com/spreadsheets/d/1V8kQwBG52rE6CFrJj8e7bIBj95oJxWzk", 0)</f>
        <v>0</v>
      </c>
      <c r="U254" s="125">
        <f>HYPERLINK("https://docs.google.com/spreadsheets/d/1zjZH06W8srOkYhNzS0z4oPfNglho8ryC", 0)</f>
        <v>0</v>
      </c>
      <c r="V254" s="124">
        <f>HYPERLINK("https://docs.google.com/spreadsheets/d/16tiBGzbpUySVSPfi00Mmtn2mmRV_64ta", 0)</f>
        <v>0</v>
      </c>
      <c r="W254" s="124">
        <f>HYPERLINK("https://docs.google.com/spreadsheets/d/1qBG3VKb0raM69gCtpJiJpCG5KeUGJTLV", 0)</f>
        <v>0</v>
      </c>
      <c r="X254" s="120"/>
      <c r="Y254" s="119"/>
      <c r="Z254" s="120"/>
      <c r="AA254" s="124">
        <f>HYPERLINK("https://docs.google.com/spreadsheets/d/1SzicMvB3ByK_30cV7eIK_sP3iQarv_KR", 0)</f>
        <v>0</v>
      </c>
      <c r="AB254" s="124">
        <f>HYPERLINK("https://docs.google.com/spreadsheets/d/1AeHzlwvGtX_wj-piZZrE5izcJK7GmRt2", 0)</f>
        <v>0</v>
      </c>
      <c r="AC254" s="124">
        <f>HYPERLINK("https://docs.google.com/spreadsheets/d/1fv7UrpjzxXIeWdkEO2cB5VHWY2C0WDiv", 0)</f>
        <v>0</v>
      </c>
      <c r="AD254" s="124">
        <f>HYPERLINK("https://docs.google.com/spreadsheets/d/1Xinrccm7h7JJt7oJzG6O4xzj5qXS99Dt", 0)</f>
        <v>0</v>
      </c>
      <c r="AE254" s="120"/>
      <c r="AF254" s="119"/>
      <c r="AG254" s="119"/>
      <c r="AH254" s="119"/>
      <c r="AI254" s="119"/>
      <c r="AJ254" s="124">
        <f>HYPERLINK("https://docs.google.com/spreadsheets/d/1utpubCZeXQuyu9bFCPxqlnaPK-M3KkQE", 0)</f>
        <v>0</v>
      </c>
      <c r="AK254" s="124">
        <f>HYPERLINK("https://docs.google.com/spreadsheets/d/1fJeQ2FugIKLie20H2zEEJ4Q72_g2_QwB", 0)</f>
        <v>0</v>
      </c>
      <c r="AL254" s="125">
        <f>HYPERLINK("https://docs.google.com/spreadsheets/d/1YdtFXbe4gpQxV8bCZ3LxD31ac0x6KZVI", 0)</f>
        <v>0</v>
      </c>
      <c r="AM254" s="124">
        <f>HYPERLINK("https://docs.google.com/spreadsheets/d/1CpSRdTFgEh7QXzz6u1XbJM6BHZcODScQ", 0)</f>
        <v>0</v>
      </c>
      <c r="AN254" s="119"/>
      <c r="AO254" s="120"/>
      <c r="AP254" s="124">
        <f>HYPERLINK("https://docs.google.com/spreadsheets/d/1-A4yulTL4f_T5kZorbQZrtUBS5Z8x3jk", 0)</f>
        <v>0</v>
      </c>
      <c r="AQ254" s="124">
        <f>HYPERLINK("https://docs.google.com/spreadsheets/d/1XjT_TTkcqPu7B1Q7qg_k0E5e_anf2l_3", 0)</f>
        <v>0</v>
      </c>
      <c r="AR254" s="125">
        <f>HYPERLINK("https://docs.google.com/spreadsheets/d/1j456aKBcgMGC8k-J7h5-A3mSaQBiunF5", 0)</f>
        <v>0</v>
      </c>
      <c r="AS254" s="120"/>
      <c r="AT254" s="120"/>
      <c r="AU254" s="119"/>
      <c r="AV254" s="124">
        <f>HYPERLINK("https://docs.google.com/spreadsheets/d/1XLiRlpJ1q99dkz6Alp3ssQA85QvWQ4OP", 0)</f>
        <v>0</v>
      </c>
      <c r="AW254" s="120"/>
      <c r="AX254" s="120"/>
      <c r="AY254" s="124">
        <f>HYPERLINK("https://docs.google.com/spreadsheets/d/1Wlgy6HMC_hq3UC3UtWz5gscXdFcXNPZe", 0)</f>
        <v>0</v>
      </c>
      <c r="AZ254" s="120"/>
      <c r="BA254" s="120"/>
      <c r="BB254" s="120"/>
      <c r="BC254" s="120"/>
      <c r="BD254" s="120"/>
      <c r="BE254" s="120"/>
      <c r="BF254" s="120"/>
      <c r="BG254" s="120"/>
      <c r="BH254" s="120"/>
      <c r="BI254" s="120"/>
      <c r="BJ254" s="120"/>
      <c r="BK254" s="120"/>
      <c r="BL254" s="120"/>
      <c r="BM254" s="120"/>
      <c r="BN254" s="120"/>
      <c r="BO254" s="120"/>
      <c r="BP254" s="120"/>
      <c r="BQ254" s="120"/>
      <c r="BR254" s="120"/>
      <c r="BS254" s="120"/>
      <c r="BT254" s="120"/>
      <c r="BU254" s="120"/>
      <c r="BV254" s="120"/>
      <c r="BW254" s="120"/>
      <c r="BX254" s="120"/>
      <c r="BY254" s="120"/>
      <c r="BZ254" s="120"/>
      <c r="CA254" s="120"/>
      <c r="CB254" s="120"/>
      <c r="CC254" s="120"/>
      <c r="CD254" s="120"/>
      <c r="CE254" s="120"/>
      <c r="CF254" s="120"/>
      <c r="CG254" s="120"/>
      <c r="CH254" s="120"/>
      <c r="CI254" s="120"/>
      <c r="CJ254" s="120"/>
      <c r="CK254" s="120"/>
      <c r="CL254" s="120"/>
      <c r="CM254" s="120"/>
      <c r="CN254" s="120"/>
      <c r="CO254" s="120"/>
      <c r="CP254" s="120"/>
      <c r="CQ254" s="120"/>
      <c r="CR254" s="120"/>
      <c r="CS254" s="120"/>
      <c r="CT254" s="120"/>
      <c r="CU254" s="120"/>
      <c r="CV254" s="120"/>
      <c r="CW254" s="120"/>
      <c r="CX254" s="120"/>
      <c r="CY254" s="120"/>
      <c r="CZ254" s="120"/>
      <c r="DA254" s="120"/>
      <c r="DB254" s="120"/>
      <c r="DC254" s="120"/>
      <c r="DD254" s="120"/>
      <c r="DE254" s="120"/>
      <c r="DF254" s="120"/>
      <c r="DG254" s="120"/>
      <c r="DH254" s="120"/>
      <c r="DI254" s="120"/>
      <c r="DJ254" s="120"/>
      <c r="DK254" s="120"/>
      <c r="DL254" s="120"/>
      <c r="DM254" s="120"/>
      <c r="DN254" s="120"/>
      <c r="DO254" s="120"/>
      <c r="DP254" s="120"/>
      <c r="DQ254" s="120"/>
      <c r="DR254" s="120"/>
      <c r="DS254" s="120"/>
      <c r="DT254" s="120"/>
      <c r="DU254" s="120"/>
      <c r="DV254" s="120"/>
      <c r="DW254" s="120"/>
      <c r="DX254" s="120"/>
      <c r="DY254" s="120"/>
      <c r="DZ254" s="120"/>
      <c r="EA254" s="120"/>
      <c r="EB254" s="120"/>
      <c r="EC254" s="120"/>
      <c r="ED254" s="120"/>
      <c r="EE254" s="120"/>
      <c r="EF254" s="120"/>
      <c r="EG254" s="120"/>
      <c r="EH254" s="120"/>
      <c r="EI254" s="120"/>
      <c r="EJ254" s="120"/>
      <c r="EK254" s="120"/>
      <c r="EL254" s="120"/>
      <c r="EM254" s="120"/>
      <c r="EN254" s="120"/>
      <c r="EO254" s="120"/>
      <c r="EP254" s="120"/>
      <c r="EQ254" s="120"/>
      <c r="ER254" s="120"/>
      <c r="ES254" s="120"/>
      <c r="ET254" s="120"/>
      <c r="EU254" s="120"/>
      <c r="EV254" s="120"/>
      <c r="EW254" s="120"/>
      <c r="EX254" s="120"/>
      <c r="EY254" s="120"/>
    </row>
    <row r="255">
      <c r="A255" s="112" t="s">
        <v>35</v>
      </c>
      <c r="B255" s="112" t="s">
        <v>75</v>
      </c>
      <c r="C255" s="112" t="s">
        <v>409</v>
      </c>
      <c r="D255" s="113">
        <f t="shared" si="1"/>
        <v>610.98895</v>
      </c>
      <c r="E255" s="114">
        <v>71.6630666666666</v>
      </c>
      <c r="F255" s="114"/>
      <c r="G255" s="114"/>
      <c r="H255" s="114"/>
      <c r="I255" s="114"/>
      <c r="J255" s="114"/>
      <c r="K255" s="114"/>
      <c r="L255" s="114">
        <v>0.817866666666667</v>
      </c>
      <c r="M255" s="114"/>
      <c r="N255" s="114"/>
      <c r="O255" s="114">
        <v>21.2479333333333</v>
      </c>
      <c r="P255" s="112"/>
      <c r="Q255" s="112">
        <v>0.122633333333333</v>
      </c>
      <c r="R255" s="112">
        <v>144.553583333333</v>
      </c>
      <c r="S255" s="112"/>
      <c r="T255" s="112"/>
      <c r="U255" s="112"/>
      <c r="V255" s="112"/>
      <c r="W255" s="112"/>
      <c r="X255" s="112">
        <v>1.74348333333333</v>
      </c>
      <c r="Y255" s="112">
        <v>99.5759333333333</v>
      </c>
      <c r="Z255" s="112"/>
      <c r="AA255" s="113"/>
      <c r="AB255" s="112"/>
      <c r="AC255" s="112"/>
      <c r="AD255" s="112"/>
      <c r="AE255" s="112">
        <v>2.97293333333333</v>
      </c>
      <c r="AF255" s="112"/>
      <c r="AG255" s="112"/>
      <c r="AH255" s="112">
        <v>32.1291833333333</v>
      </c>
      <c r="AI255" s="112"/>
      <c r="AJ255" s="112"/>
      <c r="AK255" s="112"/>
      <c r="AL255" s="113"/>
      <c r="AM255" s="112"/>
      <c r="AN255" s="112">
        <v>1.56206666666667</v>
      </c>
      <c r="AO255" s="112">
        <v>30.5570666666667</v>
      </c>
      <c r="AP255" s="112"/>
      <c r="AQ255" s="113"/>
      <c r="AR255" s="112"/>
      <c r="AS255" s="112">
        <v>3.77741666666667</v>
      </c>
      <c r="AT255" s="112">
        <v>8.96965</v>
      </c>
      <c r="AU255" s="112"/>
      <c r="AV255" s="112"/>
      <c r="AW255" s="112">
        <v>0.667016666666667</v>
      </c>
      <c r="AX255" s="112">
        <v>183.392316666667</v>
      </c>
      <c r="AY255" s="113"/>
      <c r="AZ255" s="112">
        <v>6.69116666666667</v>
      </c>
      <c r="BA255" s="112">
        <v>0.545633333333333</v>
      </c>
      <c r="BB255" s="113"/>
      <c r="BC255" s="113"/>
      <c r="BD255" s="113"/>
      <c r="BE255" s="113"/>
      <c r="BF255" s="113"/>
      <c r="BG255" s="113"/>
      <c r="BH255" s="113"/>
      <c r="BI255" s="113"/>
      <c r="BJ255" s="113"/>
      <c r="BK255" s="113"/>
      <c r="BL255" s="113"/>
      <c r="BM255" s="113"/>
      <c r="BN255" s="113"/>
      <c r="BO255" s="113"/>
      <c r="BP255" s="113"/>
      <c r="BQ255" s="113"/>
      <c r="BR255" s="113"/>
      <c r="BS255" s="113"/>
      <c r="BT255" s="113"/>
      <c r="BU255" s="113"/>
      <c r="BV255" s="113"/>
      <c r="BW255" s="113"/>
      <c r="BX255" s="113"/>
      <c r="BY255" s="113"/>
      <c r="BZ255" s="113"/>
      <c r="CA255" s="113"/>
      <c r="CB255" s="113"/>
      <c r="CC255" s="113"/>
      <c r="CD255" s="113"/>
      <c r="CE255" s="113"/>
      <c r="CF255" s="113"/>
      <c r="CG255" s="113"/>
      <c r="CH255" s="113"/>
      <c r="CI255" s="113"/>
      <c r="CJ255" s="113"/>
      <c r="CK255" s="113"/>
      <c r="CL255" s="113"/>
      <c r="CM255" s="113"/>
      <c r="CN255" s="113"/>
      <c r="CO255" s="113"/>
      <c r="CP255" s="113"/>
      <c r="CQ255" s="113"/>
      <c r="CR255" s="113"/>
      <c r="CS255" s="113"/>
      <c r="CT255" s="113"/>
      <c r="CU255" s="113"/>
      <c r="CV255" s="113"/>
      <c r="CW255" s="113"/>
      <c r="CX255" s="113"/>
      <c r="CY255" s="113"/>
      <c r="CZ255" s="113"/>
      <c r="DA255" s="113"/>
      <c r="DB255" s="113"/>
      <c r="DC255" s="113"/>
      <c r="DD255" s="113"/>
      <c r="DE255" s="113"/>
      <c r="DF255" s="113"/>
      <c r="DG255" s="113"/>
      <c r="DH255" s="113"/>
      <c r="DI255" s="113"/>
      <c r="DJ255" s="113"/>
      <c r="DK255" s="113"/>
      <c r="DL255" s="113"/>
      <c r="DM255" s="113"/>
      <c r="DN255" s="113"/>
      <c r="DO255" s="113"/>
      <c r="DP255" s="113"/>
      <c r="DQ255" s="113"/>
      <c r="DR255" s="113"/>
      <c r="DS255" s="113"/>
      <c r="DT255" s="113"/>
      <c r="DU255" s="113"/>
      <c r="DV255" s="113"/>
      <c r="DW255" s="113"/>
      <c r="DX255" s="113"/>
      <c r="DY255" s="113"/>
      <c r="DZ255" s="113"/>
      <c r="EA255" s="113"/>
      <c r="EB255" s="113"/>
      <c r="EC255" s="113"/>
      <c r="ED255" s="113"/>
      <c r="EE255" s="113"/>
      <c r="EF255" s="113"/>
      <c r="EG255" s="113"/>
      <c r="EH255" s="113"/>
      <c r="EI255" s="113"/>
      <c r="EJ255" s="113"/>
      <c r="EK255" s="113"/>
      <c r="EL255" s="113"/>
      <c r="EM255" s="113"/>
      <c r="EN255" s="113"/>
      <c r="EO255" s="113"/>
      <c r="EP255" s="113"/>
      <c r="EQ255" s="113"/>
      <c r="ER255" s="113"/>
      <c r="ES255" s="113"/>
      <c r="ET255" s="113"/>
      <c r="EU255" s="113"/>
      <c r="EV255" s="113"/>
      <c r="EW255" s="113"/>
      <c r="EX255" s="113"/>
      <c r="EY255" s="113"/>
    </row>
    <row r="256">
      <c r="A256" s="65" t="s">
        <v>35</v>
      </c>
      <c r="B256" s="65" t="s">
        <v>75</v>
      </c>
      <c r="C256" s="65" t="s">
        <v>410</v>
      </c>
      <c r="D256" s="64">
        <f t="shared" si="1"/>
        <v>445.6854167</v>
      </c>
      <c r="E256" s="115"/>
      <c r="F256" s="104"/>
      <c r="G256" s="104">
        <v>1.41381666666667</v>
      </c>
      <c r="H256" s="104">
        <v>1.15195</v>
      </c>
      <c r="I256" s="104">
        <v>11.4123333333333</v>
      </c>
      <c r="J256" s="104">
        <v>14.5158833333333</v>
      </c>
      <c r="K256" s="104">
        <v>24.4609166666667</v>
      </c>
      <c r="L256" s="104"/>
      <c r="M256" s="104"/>
      <c r="N256" s="104">
        <v>1.41381666666667</v>
      </c>
      <c r="O256" s="104"/>
      <c r="P256" s="65">
        <v>2.9359</v>
      </c>
      <c r="Q256" s="65"/>
      <c r="R256" s="65"/>
      <c r="S256" s="65"/>
      <c r="T256" s="65"/>
      <c r="U256" s="65">
        <v>7.93936666666667</v>
      </c>
      <c r="V256" s="65">
        <v>53.1549833333334</v>
      </c>
      <c r="W256" s="65">
        <v>70.7813833333334</v>
      </c>
      <c r="X256" s="65"/>
      <c r="Y256" s="65"/>
      <c r="Z256" s="65"/>
      <c r="AA256" s="65"/>
      <c r="AB256" s="65">
        <v>1.08925</v>
      </c>
      <c r="AC256" s="65">
        <v>33.1393333333333</v>
      </c>
      <c r="AD256" s="65">
        <v>53.5941666666667</v>
      </c>
      <c r="AE256" s="65"/>
      <c r="AF256" s="65"/>
      <c r="AG256" s="65"/>
      <c r="AH256" s="65"/>
      <c r="AI256" s="65"/>
      <c r="AK256" s="65">
        <v>0.729766666666667</v>
      </c>
      <c r="AL256" s="65">
        <v>5.55306666666667</v>
      </c>
      <c r="AM256" s="65">
        <v>22.9192</v>
      </c>
      <c r="AN256" s="65"/>
      <c r="AP256" s="65">
        <v>1.77396666666667</v>
      </c>
      <c r="AQ256" s="65">
        <v>5.3263</v>
      </c>
      <c r="AR256" s="65">
        <v>7.47926666666667</v>
      </c>
      <c r="AT256" s="65"/>
      <c r="AU256" s="65">
        <v>0.54095</v>
      </c>
      <c r="AV256" s="65">
        <v>2.3056</v>
      </c>
      <c r="AY256" s="65">
        <v>122.0542</v>
      </c>
    </row>
    <row r="257">
      <c r="A257" s="65" t="s">
        <v>35</v>
      </c>
      <c r="B257" s="65" t="s">
        <v>75</v>
      </c>
      <c r="C257" s="65" t="s">
        <v>411</v>
      </c>
      <c r="D257" s="64">
        <f t="shared" si="1"/>
        <v>0</v>
      </c>
      <c r="E257" s="115"/>
      <c r="F257" s="115"/>
      <c r="G257" s="115"/>
      <c r="H257" s="115"/>
      <c r="I257" s="115"/>
      <c r="J257" s="115"/>
      <c r="K257" s="115"/>
      <c r="L257" s="115"/>
      <c r="M257" s="115"/>
      <c r="N257" s="115"/>
      <c r="O257" s="115"/>
    </row>
    <row r="258">
      <c r="A258" s="65" t="s">
        <v>35</v>
      </c>
      <c r="B258" s="65" t="s">
        <v>75</v>
      </c>
      <c r="C258" s="65" t="s">
        <v>412</v>
      </c>
      <c r="D258" s="64">
        <f t="shared" si="1"/>
        <v>441.8766667</v>
      </c>
      <c r="E258" s="115"/>
      <c r="F258" s="115"/>
      <c r="G258" s="116">
        <f>HYPERLINK("https://docs.google.com/spreadsheets/d/1h2f_tjqM6NfF3t0tgZhQRinoVyMQ14pn", 1.41381666666667)</f>
        <v>1.413816667</v>
      </c>
      <c r="H258" s="116">
        <f>HYPERLINK("https://docs.google.com/spreadsheets/d/1fIBqZ8BoqEzgSdudVHjybEMoshTBGkvh", 1.15195)</f>
        <v>1.15195</v>
      </c>
      <c r="I258" s="116">
        <f>HYPERLINK("https://docs.google.com/spreadsheets/d/1R2dP47_NCPNQ3quLWzfugeVrgBXyqmeL", 11.4123)</f>
        <v>11.4123</v>
      </c>
      <c r="J258" s="116">
        <f>HYPERLINK("https://docs.google.com/spreadsheets/d/1ctdGWIqTU22oYIPv01_Nvvs2MlmjtADt", 13.1634)</f>
        <v>13.1634</v>
      </c>
      <c r="K258" s="117">
        <f>HYPERLINK("https://docs.google.com/spreadsheets/d/1-1SQ09o74iDnvQc1kj7PLTnJvgKJr74y", 24.4609166666667)</f>
        <v>24.46091667</v>
      </c>
      <c r="L258" s="115"/>
      <c r="M258" s="104"/>
      <c r="N258" s="115"/>
      <c r="O258" s="104"/>
      <c r="P258" s="118">
        <f>HYPERLINK("https://docs.google.com/spreadsheets/d/1ug7vhGZ7qXJacsPq8qNQ0y5_PqaAaoew", 2.9359)</f>
        <v>2.9359</v>
      </c>
      <c r="U258" s="118">
        <f>HYPERLINK("https://docs.google.com/spreadsheets/d/1Trqe2yL461LXwzbPbH1j0rkGpTX8TNAk", 7.93936666666667)</f>
        <v>7.939366667</v>
      </c>
      <c r="V258" s="118">
        <f>HYPERLINK("https://docs.google.com/spreadsheets/d/15QY3RTi0hJ2onZqNQdk8fGXdNDQunKua", 52.73245)</f>
        <v>52.73245</v>
      </c>
      <c r="W258" s="118">
        <f>HYPERLINK("https://docs.google.com/spreadsheets/d/1xwwhFojaK2jI9T3YB_vXMUJLA-Z2JGci", 70.4445500000001)</f>
        <v>70.44455</v>
      </c>
      <c r="AB258" s="118">
        <f>HYPERLINK("https://docs.google.com/spreadsheets/d/1b0ZYCvy1DLkJ6ec2PiSaTt_lVFJzpeOr", 1.08925)</f>
        <v>1.08925</v>
      </c>
      <c r="AC258" s="118">
        <f>HYPERLINK("https://docs.google.com/spreadsheets/d/1VfVCaTpgyBHKzsbErbAdNz1i9Y_mLv_s", 33.09715)</f>
        <v>33.09715</v>
      </c>
      <c r="AD258" s="118">
        <f>HYPERLINK("https://docs.google.com/spreadsheets/d/1WLXGpue5rpc7PtVPnOPq2QUqrh_7CHy9", 53.5941333333333)</f>
        <v>53.59413333</v>
      </c>
      <c r="AK258" s="118">
        <f>HYPERLINK("https://docs.google.com/spreadsheets/d/1g7qbQ3Lu4u1I4r3fY_IlNx9vLHYymZz7", 0.729766666666667)</f>
        <v>0.7297666667</v>
      </c>
      <c r="AL258" s="118">
        <f>HYPERLINK("https://docs.google.com/spreadsheets/d/1xiIxP6mFUxoZiaxs7lB544bVqD12mWqO", 5.55308333333333)</f>
        <v>5.553083333</v>
      </c>
      <c r="AM258" s="118">
        <f>HYPERLINK("https://docs.google.com/spreadsheets/d/1TFCwOMgkHgjU6P5rhshGTFJI39q_ofLx", 22.9191666666667)</f>
        <v>22.91916667</v>
      </c>
      <c r="AP258" s="118">
        <f>HYPERLINK("https://docs.google.com/spreadsheets/d/1-WeS-YXIcRvKRlMavS3itLCfNqNllZKb", 1.77396666666667)</f>
        <v>1.773966667</v>
      </c>
      <c r="AQ258" s="118">
        <f>HYPERLINK("https://docs.google.com/spreadsheets/d/17wkY0XOVsdbFXq_2f8IhnM48O_qpQjnO", 5.3263)</f>
        <v>5.3263</v>
      </c>
      <c r="AR258" s="118">
        <f>HYPERLINK("https://docs.google.com/spreadsheets/d/1quVJcklW5mSPDxbHtfDoFzYYYbbIAVXc", 7.33846666666667)</f>
        <v>7.338466667</v>
      </c>
      <c r="AU258" s="118">
        <f>HYPERLINK("https://docs.google.com/spreadsheets/d/1Mv_zLSPnmg2JjtWYY-TmswzETHC4H87a", 0.441016666666667)</f>
        <v>0.4410166667</v>
      </c>
      <c r="AV258" s="118">
        <f>HYPERLINK("https://docs.google.com/spreadsheets/d/1hhebsjCfRwylKEtrqB1AyGvcSxWxvuOz", 2.3056)</f>
        <v>2.3056</v>
      </c>
      <c r="AY258" s="118">
        <f>HYPERLINK("https://docs.google.com/spreadsheets/d/1Cc711J-MCM9a4hqQ-HeoK7tjK13FTZJd", 122.054116666667)</f>
        <v>122.0541167</v>
      </c>
    </row>
    <row r="259">
      <c r="A259" s="65" t="s">
        <v>35</v>
      </c>
      <c r="B259" s="65" t="s">
        <v>75</v>
      </c>
      <c r="C259" s="65" t="s">
        <v>413</v>
      </c>
      <c r="D259" s="64">
        <f t="shared" si="1"/>
        <v>288.7268</v>
      </c>
      <c r="E259" s="115"/>
      <c r="F259" s="115"/>
      <c r="G259" s="104">
        <v>0.34405</v>
      </c>
      <c r="H259" s="104">
        <v>0.31525</v>
      </c>
      <c r="I259" s="104">
        <v>5.88398333333334</v>
      </c>
      <c r="J259" s="104">
        <v>7.51721666666666</v>
      </c>
      <c r="K259" s="104">
        <v>24.4609166666667</v>
      </c>
      <c r="L259" s="104"/>
      <c r="M259" s="104"/>
      <c r="N259" s="104"/>
      <c r="O259" s="104"/>
      <c r="P259" s="65">
        <v>2.9359</v>
      </c>
      <c r="Q259" s="65"/>
      <c r="R259" s="65"/>
      <c r="S259" s="65"/>
      <c r="T259" s="65"/>
      <c r="U259" s="65">
        <v>3.40963333333334</v>
      </c>
      <c r="V259" s="65">
        <v>24.75125</v>
      </c>
      <c r="W259" s="65">
        <v>68.9443333333334</v>
      </c>
      <c r="X259" s="65"/>
      <c r="Y259" s="65"/>
      <c r="Z259" s="65"/>
      <c r="AA259" s="65"/>
      <c r="AB259" s="65">
        <v>0.0</v>
      </c>
      <c r="AC259" s="65">
        <v>13.9497666666667</v>
      </c>
      <c r="AD259" s="65">
        <v>11.11555</v>
      </c>
      <c r="AE259" s="65"/>
      <c r="AF259" s="65"/>
      <c r="AG259" s="65"/>
      <c r="AH259" s="65"/>
      <c r="AI259" s="65"/>
      <c r="AK259" s="65">
        <v>0.0</v>
      </c>
      <c r="AL259" s="65">
        <v>2.38958333333333</v>
      </c>
      <c r="AM259" s="65">
        <v>22.3332166666667</v>
      </c>
      <c r="AN259" s="65"/>
      <c r="AP259" s="65">
        <v>1.6663</v>
      </c>
      <c r="AQ259" s="65">
        <v>0.964916666666666</v>
      </c>
      <c r="AR259" s="65">
        <v>6.13071666666667</v>
      </c>
      <c r="AT259" s="65"/>
      <c r="AU259" s="65">
        <v>0.309633333333333</v>
      </c>
      <c r="AV259" s="65">
        <v>0.388116666666667</v>
      </c>
      <c r="AY259" s="65">
        <v>90.9164666666666</v>
      </c>
    </row>
    <row r="260">
      <c r="A260" s="119" t="s">
        <v>35</v>
      </c>
      <c r="B260" s="119" t="s">
        <v>75</v>
      </c>
      <c r="C260" s="119" t="s">
        <v>414</v>
      </c>
      <c r="D260" s="120">
        <f t="shared" si="1"/>
        <v>0.4410166667</v>
      </c>
      <c r="E260" s="121"/>
      <c r="F260" s="121"/>
      <c r="G260" s="122">
        <f>HYPERLINK("https://docs.google.com/spreadsheets/d/1h2f_tjqM6NfF3t0tgZhQRinoVyMQ14pn", 0)</f>
        <v>0</v>
      </c>
      <c r="H260" s="122">
        <f>HYPERLINK("https://docs.google.com/spreadsheets/d/1fIBqZ8BoqEzgSdudVHjybEMoshTBGkvh", 0)</f>
        <v>0</v>
      </c>
      <c r="I260" s="122">
        <f>HYPERLINK("https://docs.google.com/spreadsheets/d/1R2dP47_NCPNQ3quLWzfugeVrgBXyqmeL", 0)</f>
        <v>0</v>
      </c>
      <c r="J260" s="122">
        <f>HYPERLINK("https://docs.google.com/spreadsheets/d/1ctdGWIqTU22oYIPv01_Nvvs2MlmjtADt", 0)</f>
        <v>0</v>
      </c>
      <c r="K260" s="122">
        <f>HYPERLINK("https://docs.google.com/spreadsheets/d/1-1SQ09o74iDnvQc1kj7PLTnJvgKJr74y", 0)</f>
        <v>0</v>
      </c>
      <c r="L260" s="121"/>
      <c r="M260" s="121"/>
      <c r="N260" s="123"/>
      <c r="O260" s="121"/>
      <c r="P260" s="124">
        <f>HYPERLINK("https://docs.google.com/spreadsheets/d/1ug7vhGZ7qXJacsPq8qNQ0y5_PqaAaoew", 0)</f>
        <v>0</v>
      </c>
      <c r="Q260" s="120"/>
      <c r="R260" s="120"/>
      <c r="S260" s="120"/>
      <c r="T260" s="119"/>
      <c r="U260" s="125">
        <f>HYPERLINK("https://docs.google.com/spreadsheets/d/1Trqe2yL461LXwzbPbH1j0rkGpTX8TNAk", 0)</f>
        <v>0</v>
      </c>
      <c r="V260" s="124">
        <f>HYPERLINK("https://docs.google.com/spreadsheets/d/15QY3RTi0hJ2onZqNQdk8fGXdNDQunKua", 0)</f>
        <v>0</v>
      </c>
      <c r="W260" s="124">
        <f>HYPERLINK("https://docs.google.com/spreadsheets/d/1xwwhFojaK2jI9T3YB_vXMUJLA-Z2JGci", 0)</f>
        <v>0</v>
      </c>
      <c r="X260" s="120"/>
      <c r="Y260" s="120"/>
      <c r="Z260" s="120"/>
      <c r="AA260" s="120"/>
      <c r="AB260" s="124">
        <f>HYPERLINK("https://docs.google.com/spreadsheets/d/1b0ZYCvy1DLkJ6ec2PiSaTt_lVFJzpeOr", 0)</f>
        <v>0</v>
      </c>
      <c r="AC260" s="124">
        <f>HYPERLINK("https://docs.google.com/spreadsheets/d/1VfVCaTpgyBHKzsbErbAdNz1i9Y_mLv_s", 0)</f>
        <v>0</v>
      </c>
      <c r="AD260" s="124">
        <f>HYPERLINK("https://docs.google.com/spreadsheets/d/1WLXGpue5rpc7PtVPnOPq2QUqrh_7CHy9", 0)</f>
        <v>0</v>
      </c>
      <c r="AE260" s="120"/>
      <c r="AF260" s="120"/>
      <c r="AG260" s="119"/>
      <c r="AH260" s="119"/>
      <c r="AI260" s="119"/>
      <c r="AJ260" s="120"/>
      <c r="AK260" s="124">
        <f>HYPERLINK("https://docs.google.com/spreadsheets/d/1g7qbQ3Lu4u1I4r3fY_IlNx9vLHYymZz7", 0)</f>
        <v>0</v>
      </c>
      <c r="AL260" s="125">
        <f>HYPERLINK("https://docs.google.com/spreadsheets/d/1xiIxP6mFUxoZiaxs7lB544bVqD12mWqO", 0)</f>
        <v>0</v>
      </c>
      <c r="AM260" s="124">
        <f>HYPERLINK("https://docs.google.com/spreadsheets/d/1TFCwOMgkHgjU6P5rhshGTFJI39q_ofLx", 0)</f>
        <v>0</v>
      </c>
      <c r="AN260" s="119"/>
      <c r="AO260" s="120"/>
      <c r="AP260" s="124">
        <f>HYPERLINK("https://docs.google.com/spreadsheets/d/1-WeS-YXIcRvKRlMavS3itLCfNqNllZKb", 0)</f>
        <v>0</v>
      </c>
      <c r="AQ260" s="125">
        <f>HYPERLINK("https://docs.google.com/spreadsheets/d/17wkY0XOVsdbFXq_2f8IhnM48O_qpQjnO", 0)</f>
        <v>0</v>
      </c>
      <c r="AR260" s="125">
        <f>HYPERLINK("https://docs.google.com/spreadsheets/d/1quVJcklW5mSPDxbHtfDoFzYYYbbIAVXc", 0)</f>
        <v>0</v>
      </c>
      <c r="AS260" s="120"/>
      <c r="AT260" s="120"/>
      <c r="AU260" s="125">
        <f>HYPERLINK("https://docs.google.com/spreadsheets/d/1Mv_zLSPnmg2JjtWYY-TmswzETHC4H87a", 0.441016666666667)</f>
        <v>0.4410166667</v>
      </c>
      <c r="AV260" s="124">
        <f>HYPERLINK("https://docs.google.com/spreadsheets/d/1hhebsjCfRwylKEtrqB1AyGvcSxWxvuOz", 0)</f>
        <v>0</v>
      </c>
      <c r="AW260" s="120"/>
      <c r="AX260" s="120"/>
      <c r="AY260" s="124">
        <f>HYPERLINK("https://docs.google.com/spreadsheets/d/1Cc711J-MCM9a4hqQ-HeoK7tjK13FTZJd", 0)</f>
        <v>0</v>
      </c>
      <c r="AZ260" s="120"/>
      <c r="BA260" s="120"/>
      <c r="BB260" s="120"/>
      <c r="BC260" s="120"/>
      <c r="BD260" s="120"/>
      <c r="BE260" s="120"/>
      <c r="BF260" s="120"/>
      <c r="BG260" s="120"/>
      <c r="BH260" s="120"/>
      <c r="BI260" s="120"/>
      <c r="BJ260" s="120"/>
      <c r="BK260" s="120"/>
      <c r="BL260" s="120"/>
      <c r="BM260" s="120"/>
      <c r="BN260" s="120"/>
      <c r="BO260" s="120"/>
      <c r="BP260" s="120"/>
      <c r="BQ260" s="120"/>
      <c r="BR260" s="120"/>
      <c r="BS260" s="120"/>
      <c r="BT260" s="120"/>
      <c r="BU260" s="120"/>
      <c r="BV260" s="120"/>
      <c r="BW260" s="120"/>
      <c r="BX260" s="120"/>
      <c r="BY260" s="120"/>
      <c r="BZ260" s="120"/>
      <c r="CA260" s="120"/>
      <c r="CB260" s="120"/>
      <c r="CC260" s="120"/>
      <c r="CD260" s="120"/>
      <c r="CE260" s="120"/>
      <c r="CF260" s="120"/>
      <c r="CG260" s="120"/>
      <c r="CH260" s="120"/>
      <c r="CI260" s="120"/>
      <c r="CJ260" s="120"/>
      <c r="CK260" s="120"/>
      <c r="CL260" s="120"/>
      <c r="CM260" s="120"/>
      <c r="CN260" s="120"/>
      <c r="CO260" s="120"/>
      <c r="CP260" s="120"/>
      <c r="CQ260" s="120"/>
      <c r="CR260" s="120"/>
      <c r="CS260" s="120"/>
      <c r="CT260" s="120"/>
      <c r="CU260" s="120"/>
      <c r="CV260" s="120"/>
      <c r="CW260" s="120"/>
      <c r="CX260" s="120"/>
      <c r="CY260" s="120"/>
      <c r="CZ260" s="120"/>
      <c r="DA260" s="120"/>
      <c r="DB260" s="120"/>
      <c r="DC260" s="120"/>
      <c r="DD260" s="120"/>
      <c r="DE260" s="120"/>
      <c r="DF260" s="120"/>
      <c r="DG260" s="120"/>
      <c r="DH260" s="120"/>
      <c r="DI260" s="120"/>
      <c r="DJ260" s="120"/>
      <c r="DK260" s="120"/>
      <c r="DL260" s="120"/>
      <c r="DM260" s="120"/>
      <c r="DN260" s="120"/>
      <c r="DO260" s="120"/>
      <c r="DP260" s="120"/>
      <c r="DQ260" s="120"/>
      <c r="DR260" s="120"/>
      <c r="DS260" s="120"/>
      <c r="DT260" s="120"/>
      <c r="DU260" s="120"/>
      <c r="DV260" s="120"/>
      <c r="DW260" s="120"/>
      <c r="DX260" s="120"/>
      <c r="DY260" s="120"/>
      <c r="DZ260" s="120"/>
      <c r="EA260" s="120"/>
      <c r="EB260" s="120"/>
      <c r="EC260" s="120"/>
      <c r="ED260" s="120"/>
      <c r="EE260" s="120"/>
      <c r="EF260" s="120"/>
      <c r="EG260" s="120"/>
      <c r="EH260" s="120"/>
      <c r="EI260" s="120"/>
      <c r="EJ260" s="120"/>
      <c r="EK260" s="120"/>
      <c r="EL260" s="120"/>
      <c r="EM260" s="120"/>
      <c r="EN260" s="120"/>
      <c r="EO260" s="120"/>
      <c r="EP260" s="120"/>
      <c r="EQ260" s="120"/>
      <c r="ER260" s="120"/>
      <c r="ES260" s="120"/>
      <c r="ET260" s="120"/>
      <c r="EU260" s="120"/>
      <c r="EV260" s="120"/>
      <c r="EW260" s="120"/>
      <c r="EX260" s="120"/>
      <c r="EY260" s="120"/>
    </row>
    <row r="261">
      <c r="A261" s="112" t="s">
        <v>35</v>
      </c>
      <c r="B261" s="112" t="s">
        <v>76</v>
      </c>
      <c r="C261" s="112" t="s">
        <v>409</v>
      </c>
      <c r="D261" s="113">
        <f t="shared" si="1"/>
        <v>566.5715333</v>
      </c>
      <c r="E261" s="114">
        <v>67.5613666666667</v>
      </c>
      <c r="F261" s="114"/>
      <c r="G261" s="114"/>
      <c r="H261" s="114"/>
      <c r="I261" s="114"/>
      <c r="J261" s="114"/>
      <c r="K261" s="114"/>
      <c r="L261" s="114">
        <v>0.901</v>
      </c>
      <c r="M261" s="114"/>
      <c r="N261" s="114"/>
      <c r="O261" s="114">
        <v>26.22525</v>
      </c>
      <c r="P261" s="112"/>
      <c r="Q261" s="112">
        <v>0.32405</v>
      </c>
      <c r="R261" s="112">
        <v>87.0853666666667</v>
      </c>
      <c r="S261" s="112"/>
      <c r="T261" s="112"/>
      <c r="U261" s="112"/>
      <c r="V261" s="112"/>
      <c r="W261" s="112"/>
      <c r="X261" s="112">
        <v>0.929583333333333</v>
      </c>
      <c r="Y261" s="112">
        <v>103.565183333333</v>
      </c>
      <c r="Z261" s="112"/>
      <c r="AA261" s="113"/>
      <c r="AB261" s="112"/>
      <c r="AC261" s="112"/>
      <c r="AD261" s="112"/>
      <c r="AE261" s="112">
        <v>2.26823333333333</v>
      </c>
      <c r="AF261" s="112"/>
      <c r="AG261" s="112"/>
      <c r="AH261" s="112">
        <v>33.0107666666666</v>
      </c>
      <c r="AI261" s="112"/>
      <c r="AJ261" s="112"/>
      <c r="AK261" s="112"/>
      <c r="AL261" s="113"/>
      <c r="AM261" s="112"/>
      <c r="AN261" s="112">
        <v>0.887716666666667</v>
      </c>
      <c r="AO261" s="112">
        <v>35.6749</v>
      </c>
      <c r="AP261" s="112"/>
      <c r="AQ261" s="113"/>
      <c r="AR261" s="112"/>
      <c r="AS261" s="112">
        <v>2.33385</v>
      </c>
      <c r="AT261" s="112">
        <v>28.7502</v>
      </c>
      <c r="AU261" s="112"/>
      <c r="AV261" s="112"/>
      <c r="AW261" s="112">
        <v>1.12176666666667</v>
      </c>
      <c r="AX261" s="112">
        <v>171.9383</v>
      </c>
      <c r="AY261" s="113"/>
      <c r="AZ261" s="112">
        <v>3.994</v>
      </c>
      <c r="BA261" s="113"/>
      <c r="BB261" s="113"/>
      <c r="BC261" s="113"/>
      <c r="BD261" s="113"/>
      <c r="BE261" s="113"/>
      <c r="BF261" s="113"/>
      <c r="BG261" s="113"/>
      <c r="BH261" s="113"/>
      <c r="BI261" s="113"/>
      <c r="BJ261" s="113"/>
      <c r="BK261" s="113"/>
      <c r="BL261" s="113"/>
      <c r="BM261" s="113"/>
      <c r="BN261" s="113"/>
      <c r="BO261" s="113"/>
      <c r="BP261" s="113"/>
      <c r="BQ261" s="113"/>
      <c r="BR261" s="113"/>
      <c r="BS261" s="113"/>
      <c r="BT261" s="113"/>
      <c r="BU261" s="113"/>
      <c r="BV261" s="113"/>
      <c r="BW261" s="113"/>
      <c r="BX261" s="113"/>
      <c r="BY261" s="113"/>
      <c r="BZ261" s="113"/>
      <c r="CA261" s="113"/>
      <c r="CB261" s="113"/>
      <c r="CC261" s="113"/>
      <c r="CD261" s="113"/>
      <c r="CE261" s="113"/>
      <c r="CF261" s="113"/>
      <c r="CG261" s="113"/>
      <c r="CH261" s="113"/>
      <c r="CI261" s="113"/>
      <c r="CJ261" s="113"/>
      <c r="CK261" s="113"/>
      <c r="CL261" s="113"/>
      <c r="CM261" s="113"/>
      <c r="CN261" s="113"/>
      <c r="CO261" s="113"/>
      <c r="CP261" s="113"/>
      <c r="CQ261" s="113"/>
      <c r="CR261" s="113"/>
      <c r="CS261" s="113"/>
      <c r="CT261" s="113"/>
      <c r="CU261" s="113"/>
      <c r="CV261" s="113"/>
      <c r="CW261" s="113"/>
      <c r="CX261" s="113"/>
      <c r="CY261" s="113"/>
      <c r="CZ261" s="113"/>
      <c r="DA261" s="113"/>
      <c r="DB261" s="113"/>
      <c r="DC261" s="113"/>
      <c r="DD261" s="113"/>
      <c r="DE261" s="113"/>
      <c r="DF261" s="113"/>
      <c r="DG261" s="113"/>
      <c r="DH261" s="113"/>
      <c r="DI261" s="113"/>
      <c r="DJ261" s="113"/>
      <c r="DK261" s="113"/>
      <c r="DL261" s="113"/>
      <c r="DM261" s="113"/>
      <c r="DN261" s="113"/>
      <c r="DO261" s="113"/>
      <c r="DP261" s="113"/>
      <c r="DQ261" s="113"/>
      <c r="DR261" s="113"/>
      <c r="DS261" s="113"/>
      <c r="DT261" s="113"/>
      <c r="DU261" s="113"/>
      <c r="DV261" s="113"/>
      <c r="DW261" s="113"/>
      <c r="DX261" s="113"/>
      <c r="DY261" s="113"/>
      <c r="DZ261" s="113"/>
      <c r="EA261" s="113"/>
      <c r="EB261" s="113"/>
      <c r="EC261" s="113"/>
      <c r="ED261" s="113"/>
      <c r="EE261" s="113"/>
      <c r="EF261" s="113"/>
      <c r="EG261" s="113"/>
      <c r="EH261" s="113"/>
      <c r="EI261" s="113"/>
      <c r="EJ261" s="113"/>
      <c r="EK261" s="113"/>
      <c r="EL261" s="113"/>
      <c r="EM261" s="113"/>
      <c r="EN261" s="113"/>
      <c r="EO261" s="113"/>
      <c r="EP261" s="113"/>
      <c r="EQ261" s="113"/>
      <c r="ER261" s="113"/>
      <c r="ES261" s="113"/>
      <c r="ET261" s="113"/>
      <c r="EU261" s="113"/>
      <c r="EV261" s="113"/>
      <c r="EW261" s="113"/>
      <c r="EX261" s="113"/>
      <c r="EY261" s="113"/>
    </row>
    <row r="262">
      <c r="A262" s="65" t="s">
        <v>35</v>
      </c>
      <c r="B262" s="65" t="s">
        <v>76</v>
      </c>
      <c r="C262" s="65" t="s">
        <v>410</v>
      </c>
      <c r="D262" s="64">
        <f t="shared" si="1"/>
        <v>344.4185167</v>
      </c>
      <c r="E262" s="104"/>
      <c r="F262" s="104"/>
      <c r="G262" s="104">
        <v>5.23595</v>
      </c>
      <c r="H262" s="104">
        <v>1.65736666666667</v>
      </c>
      <c r="I262" s="104">
        <v>0.319016666666667</v>
      </c>
      <c r="J262" s="104"/>
      <c r="K262" s="104">
        <v>31.00205</v>
      </c>
      <c r="L262" s="104"/>
      <c r="M262" s="104"/>
      <c r="N262" s="104">
        <v>5.23595</v>
      </c>
      <c r="O262" s="104"/>
      <c r="P262" s="65">
        <v>3.9947</v>
      </c>
      <c r="Q262" s="65"/>
      <c r="R262" s="65"/>
      <c r="S262" s="65"/>
      <c r="T262" s="65">
        <v>6.49188333333333</v>
      </c>
      <c r="U262" s="65">
        <v>21.5412833333333</v>
      </c>
      <c r="V262" s="65">
        <v>2.43315</v>
      </c>
      <c r="W262" s="65">
        <v>33.4011</v>
      </c>
      <c r="X262" s="65"/>
      <c r="Y262" s="65"/>
      <c r="Z262" s="65"/>
      <c r="AA262" s="65">
        <v>8.79776666666667</v>
      </c>
      <c r="AB262" s="65">
        <v>27.4833333333333</v>
      </c>
      <c r="AC262" s="65">
        <v>3.10375</v>
      </c>
      <c r="AD262" s="65">
        <v>23.7310166666667</v>
      </c>
      <c r="AE262" s="65"/>
      <c r="AF262" s="65"/>
      <c r="AG262" s="65">
        <v>8.79776666666667</v>
      </c>
      <c r="AH262" s="65"/>
      <c r="AI262" s="65"/>
      <c r="AJ262" s="65">
        <v>2.71705</v>
      </c>
      <c r="AK262" s="65">
        <v>10.8233833333333</v>
      </c>
      <c r="AL262" s="65"/>
      <c r="AM262" s="65">
        <v>5.48786666666667</v>
      </c>
      <c r="AN262" s="65"/>
      <c r="AP262" s="65">
        <v>6.27041666666667</v>
      </c>
      <c r="AQ262" s="65">
        <v>5.48118333333333</v>
      </c>
      <c r="AR262" s="65">
        <v>6.52646666666667</v>
      </c>
      <c r="AT262" s="65"/>
      <c r="AU262" s="65">
        <v>1.4082</v>
      </c>
      <c r="AV262" s="65">
        <v>5.32648333333333</v>
      </c>
      <c r="AY262" s="65">
        <v>117.151383333333</v>
      </c>
    </row>
    <row r="263">
      <c r="A263" s="65" t="s">
        <v>35</v>
      </c>
      <c r="B263" s="65" t="s">
        <v>76</v>
      </c>
      <c r="C263" s="65" t="s">
        <v>411</v>
      </c>
      <c r="D263" s="64">
        <f t="shared" si="1"/>
        <v>0</v>
      </c>
      <c r="E263" s="115"/>
      <c r="F263" s="115"/>
      <c r="G263" s="115"/>
      <c r="H263" s="115"/>
      <c r="I263" s="115"/>
      <c r="J263" s="115"/>
      <c r="K263" s="115"/>
      <c r="L263" s="115"/>
      <c r="M263" s="115"/>
      <c r="N263" s="115"/>
      <c r="O263" s="115"/>
    </row>
    <row r="264">
      <c r="A264" s="65" t="s">
        <v>35</v>
      </c>
      <c r="B264" s="65" t="s">
        <v>76</v>
      </c>
      <c r="C264" s="65" t="s">
        <v>412</v>
      </c>
      <c r="D264" s="64">
        <f t="shared" si="1"/>
        <v>326.8531833</v>
      </c>
      <c r="E264" s="115"/>
      <c r="F264" s="104"/>
      <c r="G264" s="116">
        <f>HYPERLINK("https://docs.google.com/spreadsheets/d/1hdUDRN9z3thtXGrE-4r4m-t680VTy5dR", 4.79735)</f>
        <v>4.79735</v>
      </c>
      <c r="H264" s="116">
        <f>HYPERLINK("https://docs.google.com/spreadsheets/d/1fcM2Xj355IVBKxoFmdmQ2924IMC8j-p4", 1.65736666666667)</f>
        <v>1.657366667</v>
      </c>
      <c r="I264" s="117">
        <f>HYPERLINK("https://docs.google.com/spreadsheets/d/1Lk3l1uPue_QePJ2ZA0cukqt1aXpdYLei", 0.319016666666667)</f>
        <v>0.3190166667</v>
      </c>
      <c r="J264" s="115"/>
      <c r="K264" s="117">
        <f>HYPERLINK("https://docs.google.com/spreadsheets/d/1c8Sp-mKF-rSSJ3oDomr4X6WzmYSndjd7", 30.6225666666667)</f>
        <v>30.62256667</v>
      </c>
      <c r="L264" s="115"/>
      <c r="M264" s="104"/>
      <c r="N264" s="115"/>
      <c r="O264" s="104"/>
      <c r="P264" s="118">
        <f>HYPERLINK("https://docs.google.com/spreadsheets/d/1cq8h-hWiFpJd-1j3D7jUwskMXrdUOThP", 3.99468333333333)</f>
        <v>3.994683333</v>
      </c>
      <c r="T264" s="118">
        <f>HYPERLINK("https://docs.google.com/spreadsheets/d/1DZwwQBk9jbzVWJYJYJ40g2TqA7WPNloi", 6.20445)</f>
        <v>6.20445</v>
      </c>
      <c r="U264" s="118">
        <f>HYPERLINK("https://docs.google.com/spreadsheets/d/12f9-AQalqzBOT5obn155MnbdXREvbyTu", 21.3693666666667)</f>
        <v>21.36936667</v>
      </c>
      <c r="V264" s="118">
        <f>HYPERLINK("https://docs.google.com/spreadsheets/d/1JOrbEerBujBwtvolMcxpr_bB0GX1CXRF", 2.43315)</f>
        <v>2.43315</v>
      </c>
      <c r="W264" s="118">
        <f>HYPERLINK("https://docs.google.com/spreadsheets/d/1A-xibExG3ezVDaEejmqa8hU3zEzJoS4K", 32.6591)</f>
        <v>32.6591</v>
      </c>
      <c r="AA264" s="118">
        <f>HYPERLINK("https://docs.google.com/spreadsheets/d/1NUb80Xas5v9Hm8McCAgj9BK-NyvFWzBa", 8.3901)</f>
        <v>8.3901</v>
      </c>
      <c r="AB264" s="118">
        <f>HYPERLINK("https://docs.google.com/spreadsheets/d/1NnLsYtqUqPhn7OrNiVTXJevwT_P7PB0i", 27.48335)</f>
        <v>27.48335</v>
      </c>
      <c r="AC264" s="118">
        <f>HYPERLINK("https://docs.google.com/spreadsheets/d/1DHQvqlbf1ep72dE6M6Qf2HpB8zGQFtiT", 3.04631666666667)</f>
        <v>3.046316667</v>
      </c>
      <c r="AD264" s="118">
        <f>HYPERLINK("https://docs.google.com/spreadsheets/d/1RwLaAEiul4VEJBKE3MQB_fI2ISudkZ1v", 23.7309833333333)</f>
        <v>23.73098333</v>
      </c>
      <c r="AJ264" s="118">
        <f>HYPERLINK("https://docs.google.com/spreadsheets/d/1dBM_97kg9dxv_MiRtDDbWdU9erW8449k", 2.71705)</f>
        <v>2.71705</v>
      </c>
      <c r="AK264" s="118">
        <f>HYPERLINK("https://docs.google.com/spreadsheets/d/1GRwFSwdkBpOgqdKWIaznjv9eYG5vrNHw", 10.49945)</f>
        <v>10.49945</v>
      </c>
      <c r="AM264" s="118">
        <f>HYPERLINK("https://docs.google.com/spreadsheets/d/13Oz3y-WpWAC05CTtgnhbJT8NkshE37Vz", 5.48785)</f>
        <v>5.48785</v>
      </c>
      <c r="AP264" s="118">
        <f>HYPERLINK("https://docs.google.com/spreadsheets/d/19DCC9OCkHDMlReWZodrvSkJ-_WZZcvp6", 6.27041666666667)</f>
        <v>6.270416667</v>
      </c>
      <c r="AQ264" s="118">
        <f>HYPERLINK("https://docs.google.com/spreadsheets/d/1pMkmb3v2xY2KmcFrpiL7i37d9I-d7T5m", 5.48118333333333)</f>
        <v>5.481183333</v>
      </c>
      <c r="AR264" s="118">
        <f>HYPERLINK("https://docs.google.com/spreadsheets/d/1QOdP3kmyrPkUWjJURK9995aUaSYtkdru", 6.52646666666667)</f>
        <v>6.526466667</v>
      </c>
      <c r="AU264" s="118">
        <f>HYPERLINK("https://docs.google.com/spreadsheets/d/1fSilEg5CCYsK4xfQvSiLZxFm33IZLWYH", 1.4082)</f>
        <v>1.4082</v>
      </c>
      <c r="AV264" s="118">
        <f>HYPERLINK("https://docs.google.com/spreadsheets/d/1Z56kMDdkXMUy2TfRjo5frklJqBXtow7V", 5.32648333333333)</f>
        <v>5.326483333</v>
      </c>
      <c r="AY264" s="118">
        <f>HYPERLINK("https://docs.google.com/spreadsheets/d/1ui1JA3a34vv84eYvw2CQ2_zFwEeEM-mx", 116.428283333333)</f>
        <v>116.4282833</v>
      </c>
    </row>
    <row r="265">
      <c r="A265" s="65" t="s">
        <v>35</v>
      </c>
      <c r="B265" s="65" t="s">
        <v>76</v>
      </c>
      <c r="C265" s="65" t="s">
        <v>413</v>
      </c>
      <c r="D265" s="64">
        <f t="shared" si="1"/>
        <v>226.2617333</v>
      </c>
      <c r="E265" s="115"/>
      <c r="F265" s="104"/>
      <c r="G265" s="104">
        <v>1.68106666666667</v>
      </c>
      <c r="H265" s="104">
        <v>0.41545</v>
      </c>
      <c r="I265" s="104">
        <v>0.1048</v>
      </c>
      <c r="J265" s="104"/>
      <c r="K265" s="104">
        <v>30.6225666666667</v>
      </c>
      <c r="L265" s="104"/>
      <c r="M265" s="104"/>
      <c r="N265" s="104"/>
      <c r="O265" s="104"/>
      <c r="P265" s="65">
        <v>3.44995</v>
      </c>
      <c r="Q265" s="65"/>
      <c r="R265" s="65"/>
      <c r="S265" s="65"/>
      <c r="T265" s="65">
        <v>5.08396666666667</v>
      </c>
      <c r="U265" s="65">
        <v>11.98705</v>
      </c>
      <c r="V265" s="65">
        <v>0.622433333333333</v>
      </c>
      <c r="W265" s="65">
        <v>32.6591</v>
      </c>
      <c r="X265" s="65"/>
      <c r="Y265" s="65"/>
      <c r="Z265" s="65"/>
      <c r="AA265" s="65">
        <v>4.52895</v>
      </c>
      <c r="AB265" s="65">
        <v>15.39395</v>
      </c>
      <c r="AC265" s="65">
        <v>0.1303</v>
      </c>
      <c r="AD265" s="65">
        <v>4.76539999999999</v>
      </c>
      <c r="AE265" s="65"/>
      <c r="AF265" s="65"/>
      <c r="AG265" s="65"/>
      <c r="AH265" s="65"/>
      <c r="AI265" s="65"/>
      <c r="AJ265" s="65">
        <v>2.17146666666667</v>
      </c>
      <c r="AK265" s="65">
        <v>4.482</v>
      </c>
      <c r="AL265" s="65"/>
      <c r="AM265" s="65">
        <v>5.48785</v>
      </c>
      <c r="AN265" s="65"/>
      <c r="AP265" s="65">
        <v>5.02123333333333</v>
      </c>
      <c r="AQ265" s="65">
        <v>2.24786666666667</v>
      </c>
      <c r="AR265" s="65">
        <v>5.92608333333333</v>
      </c>
      <c r="AT265" s="65"/>
      <c r="AU265" s="65">
        <v>0.217666666666667</v>
      </c>
      <c r="AV265" s="65">
        <v>1.24163333333333</v>
      </c>
      <c r="AY265" s="65">
        <v>88.0209499999999</v>
      </c>
    </row>
    <row r="266">
      <c r="A266" s="119" t="s">
        <v>35</v>
      </c>
      <c r="B266" s="119" t="s">
        <v>76</v>
      </c>
      <c r="C266" s="119" t="s">
        <v>414</v>
      </c>
      <c r="D266" s="120">
        <f t="shared" si="1"/>
        <v>1.4082</v>
      </c>
      <c r="E266" s="121"/>
      <c r="F266" s="123"/>
      <c r="G266" s="122">
        <f>HYPERLINK("https://docs.google.com/spreadsheets/d/1hdUDRN9z3thtXGrE-4r4m-t680VTy5dR", 0)</f>
        <v>0</v>
      </c>
      <c r="H266" s="122">
        <f>HYPERLINK("https://docs.google.com/spreadsheets/d/1fcM2Xj355IVBKxoFmdmQ2924IMC8j-p4", 0)</f>
        <v>0</v>
      </c>
      <c r="I266" s="122">
        <f>HYPERLINK("https://docs.google.com/spreadsheets/d/1Lk3l1uPue_QePJ2ZA0cukqt1aXpdYLei", 0)</f>
        <v>0</v>
      </c>
      <c r="J266" s="121"/>
      <c r="K266" s="122">
        <f>HYPERLINK("https://docs.google.com/spreadsheets/d/1c8Sp-mKF-rSSJ3oDomr4X6WzmYSndjd7", 0)</f>
        <v>0</v>
      </c>
      <c r="L266" s="121"/>
      <c r="M266" s="121"/>
      <c r="N266" s="123"/>
      <c r="O266" s="121"/>
      <c r="P266" s="124">
        <f>HYPERLINK("https://docs.google.com/spreadsheets/d/1cq8h-hWiFpJd-1j3D7jUwskMXrdUOThP", 0)</f>
        <v>0</v>
      </c>
      <c r="Q266" s="120"/>
      <c r="R266" s="119"/>
      <c r="S266" s="120"/>
      <c r="T266" s="125">
        <f>HYPERLINK("https://docs.google.com/spreadsheets/d/1DZwwQBk9jbzVWJYJYJ40g2TqA7WPNloi", 0)</f>
        <v>0</v>
      </c>
      <c r="U266" s="125">
        <f>HYPERLINK("https://docs.google.com/spreadsheets/d/12f9-AQalqzBOT5obn155MnbdXREvbyTu", 0)</f>
        <v>0</v>
      </c>
      <c r="V266" s="124">
        <f>HYPERLINK("https://docs.google.com/spreadsheets/d/1JOrbEerBujBwtvolMcxpr_bB0GX1CXRF", 0)</f>
        <v>0</v>
      </c>
      <c r="W266" s="124">
        <f>HYPERLINK("https://docs.google.com/spreadsheets/d/1A-xibExG3ezVDaEejmqa8hU3zEzJoS4K", 0)</f>
        <v>0</v>
      </c>
      <c r="X266" s="120"/>
      <c r="Y266" s="119"/>
      <c r="Z266" s="120"/>
      <c r="AA266" s="124">
        <f>HYPERLINK("https://docs.google.com/spreadsheets/d/1NUb80Xas5v9Hm8McCAgj9BK-NyvFWzBa", 0)</f>
        <v>0</v>
      </c>
      <c r="AB266" s="124">
        <f>HYPERLINK("https://docs.google.com/spreadsheets/d/1NnLsYtqUqPhn7OrNiVTXJevwT_P7PB0i", 0)</f>
        <v>0</v>
      </c>
      <c r="AC266" s="124">
        <f>HYPERLINK("https://docs.google.com/spreadsheets/d/1DHQvqlbf1ep72dE6M6Qf2HpB8zGQFtiT", 0)</f>
        <v>0</v>
      </c>
      <c r="AD266" s="124">
        <f>HYPERLINK("https://docs.google.com/spreadsheets/d/1RwLaAEiul4VEJBKE3MQB_fI2ISudkZ1v", 0)</f>
        <v>0</v>
      </c>
      <c r="AE266" s="120"/>
      <c r="AF266" s="119"/>
      <c r="AG266" s="119"/>
      <c r="AH266" s="120"/>
      <c r="AI266" s="119"/>
      <c r="AJ266" s="124">
        <f>HYPERLINK("https://docs.google.com/spreadsheets/d/1dBM_97kg9dxv_MiRtDDbWdU9erW8449k", 0)</f>
        <v>0</v>
      </c>
      <c r="AK266" s="124">
        <f>HYPERLINK("https://docs.google.com/spreadsheets/d/1GRwFSwdkBpOgqdKWIaznjv9eYG5vrNHw", 0)</f>
        <v>0</v>
      </c>
      <c r="AL266" s="119"/>
      <c r="AM266" s="124">
        <f>HYPERLINK("https://docs.google.com/spreadsheets/d/13Oz3y-WpWAC05CTtgnhbJT8NkshE37Vz", 0)</f>
        <v>0</v>
      </c>
      <c r="AN266" s="119"/>
      <c r="AO266" s="120"/>
      <c r="AP266" s="124">
        <f>HYPERLINK("https://docs.google.com/spreadsheets/d/19DCC9OCkHDMlReWZodrvSkJ-_WZZcvp6", 0)</f>
        <v>0</v>
      </c>
      <c r="AQ266" s="125">
        <f>HYPERLINK("https://docs.google.com/spreadsheets/d/1pMkmb3v2xY2KmcFrpiL7i37d9I-d7T5m", 0)</f>
        <v>0</v>
      </c>
      <c r="AR266" s="125">
        <f>HYPERLINK("https://docs.google.com/spreadsheets/d/1QOdP3kmyrPkUWjJURK9995aUaSYtkdru", 0)</f>
        <v>0</v>
      </c>
      <c r="AS266" s="120"/>
      <c r="AT266" s="120"/>
      <c r="AU266" s="125">
        <f>HYPERLINK("https://docs.google.com/spreadsheets/d/1fSilEg5CCYsK4xfQvSiLZxFm33IZLWYH", 1.4082)</f>
        <v>1.4082</v>
      </c>
      <c r="AV266" s="124">
        <f>HYPERLINK("https://docs.google.com/spreadsheets/d/1Z56kMDdkXMUy2TfRjo5frklJqBXtow7V", 0)</f>
        <v>0</v>
      </c>
      <c r="AW266" s="120"/>
      <c r="AX266" s="120"/>
      <c r="AY266" s="124">
        <f>HYPERLINK("https://docs.google.com/spreadsheets/d/1ui1JA3a34vv84eYvw2CQ2_zFwEeEM-mx", 0)</f>
        <v>0</v>
      </c>
      <c r="AZ266" s="120"/>
      <c r="BA266" s="120"/>
      <c r="BB266" s="120"/>
      <c r="BC266" s="120"/>
      <c r="BD266" s="120"/>
      <c r="BE266" s="120"/>
      <c r="BF266" s="120"/>
      <c r="BG266" s="120"/>
      <c r="BH266" s="120"/>
      <c r="BI266" s="120"/>
      <c r="BJ266" s="120"/>
      <c r="BK266" s="120"/>
      <c r="BL266" s="120"/>
      <c r="BM266" s="120"/>
      <c r="BN266" s="120"/>
      <c r="BO266" s="120"/>
      <c r="BP266" s="120"/>
      <c r="BQ266" s="120"/>
      <c r="BR266" s="120"/>
      <c r="BS266" s="120"/>
      <c r="BT266" s="120"/>
      <c r="BU266" s="120"/>
      <c r="BV266" s="120"/>
      <c r="BW266" s="120"/>
      <c r="BX266" s="120"/>
      <c r="BY266" s="120"/>
      <c r="BZ266" s="120"/>
      <c r="CA266" s="120"/>
      <c r="CB266" s="120"/>
      <c r="CC266" s="120"/>
      <c r="CD266" s="120"/>
      <c r="CE266" s="120"/>
      <c r="CF266" s="120"/>
      <c r="CG266" s="120"/>
      <c r="CH266" s="120"/>
      <c r="CI266" s="120"/>
      <c r="CJ266" s="120"/>
      <c r="CK266" s="120"/>
      <c r="CL266" s="120"/>
      <c r="CM266" s="120"/>
      <c r="CN266" s="120"/>
      <c r="CO266" s="120"/>
      <c r="CP266" s="120"/>
      <c r="CQ266" s="120"/>
      <c r="CR266" s="120"/>
      <c r="CS266" s="120"/>
      <c r="CT266" s="120"/>
      <c r="CU266" s="120"/>
      <c r="CV266" s="120"/>
      <c r="CW266" s="120"/>
      <c r="CX266" s="120"/>
      <c r="CY266" s="120"/>
      <c r="CZ266" s="120"/>
      <c r="DA266" s="120"/>
      <c r="DB266" s="120"/>
      <c r="DC266" s="120"/>
      <c r="DD266" s="120"/>
      <c r="DE266" s="120"/>
      <c r="DF266" s="120"/>
      <c r="DG266" s="120"/>
      <c r="DH266" s="120"/>
      <c r="DI266" s="120"/>
      <c r="DJ266" s="120"/>
      <c r="DK266" s="120"/>
      <c r="DL266" s="120"/>
      <c r="DM266" s="120"/>
      <c r="DN266" s="120"/>
      <c r="DO266" s="120"/>
      <c r="DP266" s="120"/>
      <c r="DQ266" s="120"/>
      <c r="DR266" s="120"/>
      <c r="DS266" s="120"/>
      <c r="DT266" s="120"/>
      <c r="DU266" s="120"/>
      <c r="DV266" s="120"/>
      <c r="DW266" s="120"/>
      <c r="DX266" s="120"/>
      <c r="DY266" s="120"/>
      <c r="DZ266" s="120"/>
      <c r="EA266" s="120"/>
      <c r="EB266" s="120"/>
      <c r="EC266" s="120"/>
      <c r="ED266" s="120"/>
      <c r="EE266" s="120"/>
      <c r="EF266" s="120"/>
      <c r="EG266" s="120"/>
      <c r="EH266" s="120"/>
      <c r="EI266" s="120"/>
      <c r="EJ266" s="120"/>
      <c r="EK266" s="120"/>
      <c r="EL266" s="120"/>
      <c r="EM266" s="120"/>
      <c r="EN266" s="120"/>
      <c r="EO266" s="120"/>
      <c r="EP266" s="120"/>
      <c r="EQ266" s="120"/>
      <c r="ER266" s="120"/>
      <c r="ES266" s="120"/>
      <c r="ET266" s="120"/>
      <c r="EU266" s="120"/>
      <c r="EV266" s="120"/>
      <c r="EW266" s="120"/>
      <c r="EX266" s="120"/>
      <c r="EY266" s="120"/>
    </row>
    <row r="267">
      <c r="A267" s="112" t="s">
        <v>35</v>
      </c>
      <c r="B267" s="112" t="s">
        <v>42</v>
      </c>
      <c r="C267" s="112" t="s">
        <v>409</v>
      </c>
      <c r="D267" s="113">
        <f t="shared" si="1"/>
        <v>684.455</v>
      </c>
      <c r="E267" s="114">
        <v>108.831066666667</v>
      </c>
      <c r="F267" s="114"/>
      <c r="G267" s="114"/>
      <c r="H267" s="114"/>
      <c r="I267" s="114"/>
      <c r="J267" s="114"/>
      <c r="K267" s="114"/>
      <c r="L267" s="114">
        <v>2.47245</v>
      </c>
      <c r="M267" s="114"/>
      <c r="N267" s="114"/>
      <c r="O267" s="114">
        <v>15.72635</v>
      </c>
      <c r="P267" s="112"/>
      <c r="Q267" s="112"/>
      <c r="R267" s="112">
        <v>152.656716666667</v>
      </c>
      <c r="S267" s="112"/>
      <c r="T267" s="112"/>
      <c r="U267" s="112"/>
      <c r="V267" s="112"/>
      <c r="W267" s="112"/>
      <c r="X267" s="112">
        <v>1.38036666666667</v>
      </c>
      <c r="Y267" s="112">
        <v>93.5347333333334</v>
      </c>
      <c r="Z267" s="112"/>
      <c r="AA267" s="113"/>
      <c r="AB267" s="112"/>
      <c r="AC267" s="112"/>
      <c r="AD267" s="112"/>
      <c r="AE267" s="112">
        <v>1.68058333333333</v>
      </c>
      <c r="AF267" s="112"/>
      <c r="AG267" s="112"/>
      <c r="AH267" s="112">
        <v>43.5343333333333</v>
      </c>
      <c r="AI267" s="112"/>
      <c r="AJ267" s="112"/>
      <c r="AK267" s="112"/>
      <c r="AL267" s="113"/>
      <c r="AM267" s="112"/>
      <c r="AN267" s="112">
        <v>0.455683333333333</v>
      </c>
      <c r="AO267" s="112">
        <v>85.4403</v>
      </c>
      <c r="AP267" s="112"/>
      <c r="AQ267" s="113"/>
      <c r="AR267" s="112"/>
      <c r="AS267" s="112">
        <v>2.9069</v>
      </c>
      <c r="AT267" s="112">
        <v>5.33148333333333</v>
      </c>
      <c r="AU267" s="112"/>
      <c r="AV267" s="112"/>
      <c r="AW267" s="112"/>
      <c r="AX267" s="112">
        <v>163.5176</v>
      </c>
      <c r="AY267" s="113"/>
      <c r="AZ267" s="112">
        <v>6.09101666666667</v>
      </c>
      <c r="BA267" s="112">
        <v>0.895416666666667</v>
      </c>
      <c r="BB267" s="113"/>
      <c r="BC267" s="113"/>
      <c r="BD267" s="113"/>
      <c r="BE267" s="113"/>
      <c r="BF267" s="113"/>
      <c r="BG267" s="113"/>
      <c r="BH267" s="113"/>
      <c r="BI267" s="113"/>
      <c r="BJ267" s="113"/>
      <c r="BK267" s="113"/>
      <c r="BL267" s="113"/>
      <c r="BM267" s="113"/>
      <c r="BN267" s="113"/>
      <c r="BO267" s="113"/>
      <c r="BP267" s="113"/>
      <c r="BQ267" s="113"/>
      <c r="BR267" s="113"/>
      <c r="BS267" s="113"/>
      <c r="BT267" s="113"/>
      <c r="BU267" s="113"/>
      <c r="BV267" s="113"/>
      <c r="BW267" s="113"/>
      <c r="BX267" s="113"/>
      <c r="BY267" s="113"/>
      <c r="BZ267" s="113"/>
      <c r="CA267" s="113"/>
      <c r="CB267" s="113"/>
      <c r="CC267" s="113"/>
      <c r="CD267" s="113"/>
      <c r="CE267" s="113"/>
      <c r="CF267" s="113"/>
      <c r="CG267" s="113"/>
      <c r="CH267" s="113"/>
      <c r="CI267" s="113"/>
      <c r="CJ267" s="113"/>
      <c r="CK267" s="113"/>
      <c r="CL267" s="113"/>
      <c r="CM267" s="113"/>
      <c r="CN267" s="113"/>
      <c r="CO267" s="113"/>
      <c r="CP267" s="113"/>
      <c r="CQ267" s="113"/>
      <c r="CR267" s="113"/>
      <c r="CS267" s="113"/>
      <c r="CT267" s="113"/>
      <c r="CU267" s="113"/>
      <c r="CV267" s="113"/>
      <c r="CW267" s="113"/>
      <c r="CX267" s="113"/>
      <c r="CY267" s="113"/>
      <c r="CZ267" s="113"/>
      <c r="DA267" s="113"/>
      <c r="DB267" s="113"/>
      <c r="DC267" s="113"/>
      <c r="DD267" s="113"/>
      <c r="DE267" s="113"/>
      <c r="DF267" s="113"/>
      <c r="DG267" s="113"/>
      <c r="DH267" s="113"/>
      <c r="DI267" s="113"/>
      <c r="DJ267" s="113"/>
      <c r="DK267" s="113"/>
      <c r="DL267" s="113"/>
      <c r="DM267" s="113"/>
      <c r="DN267" s="113"/>
      <c r="DO267" s="113"/>
      <c r="DP267" s="113"/>
      <c r="DQ267" s="113"/>
      <c r="DR267" s="113"/>
      <c r="DS267" s="113"/>
      <c r="DT267" s="113"/>
      <c r="DU267" s="113"/>
      <c r="DV267" s="113"/>
      <c r="DW267" s="113"/>
      <c r="DX267" s="113"/>
      <c r="DY267" s="113"/>
      <c r="DZ267" s="113"/>
      <c r="EA267" s="113"/>
      <c r="EB267" s="113"/>
      <c r="EC267" s="113"/>
      <c r="ED267" s="113"/>
      <c r="EE267" s="113"/>
      <c r="EF267" s="113"/>
      <c r="EG267" s="113"/>
      <c r="EH267" s="113"/>
      <c r="EI267" s="113"/>
      <c r="EJ267" s="113"/>
      <c r="EK267" s="113"/>
      <c r="EL267" s="113"/>
      <c r="EM267" s="113"/>
      <c r="EN267" s="113"/>
      <c r="EO267" s="113"/>
      <c r="EP267" s="113"/>
      <c r="EQ267" s="113"/>
      <c r="ER267" s="113"/>
      <c r="ES267" s="113"/>
      <c r="ET267" s="113"/>
      <c r="EU267" s="113"/>
      <c r="EV267" s="113"/>
      <c r="EW267" s="113"/>
      <c r="EX267" s="113"/>
      <c r="EY267" s="113"/>
    </row>
    <row r="268">
      <c r="A268" s="65" t="s">
        <v>35</v>
      </c>
      <c r="B268" s="65" t="s">
        <v>42</v>
      </c>
      <c r="C268" s="65" t="s">
        <v>410</v>
      </c>
      <c r="D268" s="64">
        <f t="shared" si="1"/>
        <v>478.9083167</v>
      </c>
      <c r="E268" s="104"/>
      <c r="F268" s="104"/>
      <c r="G268" s="104">
        <v>9.07438333333333</v>
      </c>
      <c r="H268" s="104">
        <v>2.77926666666667</v>
      </c>
      <c r="I268" s="104">
        <v>17.4349166666667</v>
      </c>
      <c r="J268" s="104">
        <v>16.36095</v>
      </c>
      <c r="K268" s="104">
        <v>32.4475333333333</v>
      </c>
      <c r="L268" s="104"/>
      <c r="M268" s="104"/>
      <c r="N268" s="104">
        <v>9.07438333333333</v>
      </c>
      <c r="O268" s="104"/>
      <c r="P268" s="65">
        <v>4.13811666666667</v>
      </c>
      <c r="Q268" s="65"/>
      <c r="R268" s="65"/>
      <c r="S268" s="65"/>
      <c r="T268" s="65">
        <v>17.4885833333333</v>
      </c>
      <c r="U268" s="65">
        <v>22.0147</v>
      </c>
      <c r="V268" s="65">
        <v>27.62405</v>
      </c>
      <c r="W268" s="65">
        <v>60.8961833333334</v>
      </c>
      <c r="X268" s="65"/>
      <c r="Y268" s="65"/>
      <c r="Z268" s="65"/>
      <c r="AA268" s="65">
        <v>2.24686666666667</v>
      </c>
      <c r="AB268" s="65">
        <v>7.13775</v>
      </c>
      <c r="AC268" s="65">
        <v>16.4127666666667</v>
      </c>
      <c r="AD268" s="65">
        <v>44.9953333333333</v>
      </c>
      <c r="AE268" s="65"/>
      <c r="AF268" s="65"/>
      <c r="AG268" s="65">
        <v>2.24686666666667</v>
      </c>
      <c r="AH268" s="65"/>
      <c r="AI268" s="65"/>
      <c r="AJ268" s="65">
        <v>0.738833333333333</v>
      </c>
      <c r="AK268" s="65">
        <v>1.82353333333333</v>
      </c>
      <c r="AL268" s="65">
        <v>2.28703333333333</v>
      </c>
      <c r="AM268" s="65">
        <v>34.7217</v>
      </c>
      <c r="AN268" s="65"/>
      <c r="AP268" s="65">
        <v>1.07555</v>
      </c>
      <c r="AQ268" s="65">
        <v>18.3838833333333</v>
      </c>
      <c r="AR268" s="65">
        <v>26.9212166666667</v>
      </c>
      <c r="AT268" s="65"/>
      <c r="AU268" s="65">
        <v>0.400966666666667</v>
      </c>
      <c r="AV268" s="65">
        <v>1.80773333333333</v>
      </c>
      <c r="AY268" s="65">
        <v>98.3752166666667</v>
      </c>
    </row>
    <row r="269">
      <c r="A269" s="65" t="s">
        <v>35</v>
      </c>
      <c r="B269" s="65" t="s">
        <v>42</v>
      </c>
      <c r="C269" s="65" t="s">
        <v>411</v>
      </c>
      <c r="D269" s="64">
        <f t="shared" si="1"/>
        <v>0</v>
      </c>
      <c r="E269" s="115"/>
      <c r="F269" s="115"/>
      <c r="G269" s="115"/>
      <c r="H269" s="115"/>
      <c r="I269" s="115"/>
      <c r="J269" s="115"/>
      <c r="K269" s="115"/>
      <c r="L269" s="115"/>
      <c r="M269" s="115"/>
      <c r="N269" s="115"/>
      <c r="O269" s="115"/>
    </row>
    <row r="270">
      <c r="A270" s="65" t="s">
        <v>35</v>
      </c>
      <c r="B270" s="65" t="s">
        <v>42</v>
      </c>
      <c r="C270" s="65" t="s">
        <v>412</v>
      </c>
      <c r="D270" s="64">
        <f t="shared" si="1"/>
        <v>465.2732</v>
      </c>
      <c r="E270" s="115"/>
      <c r="F270" s="104"/>
      <c r="G270" s="116">
        <f>HYPERLINK("https://docs.google.com/spreadsheets/d/19HZ4xI331TvpYhnZSjqQPgUDuzCB1RuG", 8.9718)</f>
        <v>8.9718</v>
      </c>
      <c r="H270" s="116">
        <f>HYPERLINK("https://docs.google.com/spreadsheets/d/1nCs13MdGU74IQ7I0ZeUtOSreJIvZgzGC", 2.68265)</f>
        <v>2.68265</v>
      </c>
      <c r="I270" s="117">
        <f>HYPERLINK("https://docs.google.com/spreadsheets/d/1C-7Io1cB6QW7cEGqih3ltyK8Uy2lg-xO", 17.4349166666667)</f>
        <v>17.43491667</v>
      </c>
      <c r="J270" s="116">
        <f>HYPERLINK("https://docs.google.com/spreadsheets/d/1MLMjxkExoGpgS3m9KTt8yq8Un2j0CRFO", 16.3298)</f>
        <v>16.3298</v>
      </c>
      <c r="K270" s="117">
        <f>HYPERLINK("https://docs.google.com/spreadsheets/d/1BKJOKyYUYJ8zdv4CJivT1dVo_PccS-Wc", 32.4180833333333)</f>
        <v>32.41808333</v>
      </c>
      <c r="L270" s="115"/>
      <c r="M270" s="104"/>
      <c r="N270" s="115"/>
      <c r="O270" s="104"/>
      <c r="P270" s="118">
        <f>HYPERLINK("https://docs.google.com/spreadsheets/d/1TuBnl8r9qKibcPTt1quaaITsg33cIGJu", 3.93915)</f>
        <v>3.93915</v>
      </c>
      <c r="T270" s="118">
        <f>HYPERLINK("https://docs.google.com/spreadsheets/d/1j-onSaK78yDE47CWcd1SjTmyUuZU8Nav", 17.4885666666667)</f>
        <v>17.48856667</v>
      </c>
      <c r="U270" s="118">
        <f>HYPERLINK("https://docs.google.com/spreadsheets/d/15hj9tFiQ_TrK4U1AFybkXUibF7bEwJmY", 22.0146833333333)</f>
        <v>22.01468333</v>
      </c>
      <c r="V270" s="118">
        <f>HYPERLINK("https://docs.google.com/spreadsheets/d/1cDr8pFqqhHkwR59jrUPLKvyY4vFsnZlM", 27.6240333333333)</f>
        <v>27.62403333</v>
      </c>
      <c r="W270" s="118">
        <f>HYPERLINK("https://docs.google.com/spreadsheets/d/1sOZ_TB8QzDs0bDhz9ScnjWeNNGXCEKhH", 60.8962333333334)</f>
        <v>60.89623333</v>
      </c>
      <c r="AA270" s="118">
        <f>HYPERLINK("https://docs.google.com/spreadsheets/d/1c6cRz8ghW9zr9tlL7mA8eb3yQITG8SgP", 2.12351666666667)</f>
        <v>2.123516667</v>
      </c>
      <c r="AB270" s="118">
        <f>HYPERLINK("https://docs.google.com/spreadsheets/d/1Ne4UpCAOL228GwXkcsfR23mZfvVjl5Au", 6.92476666666667)</f>
        <v>6.924766667</v>
      </c>
      <c r="AC270" s="118">
        <f>HYPERLINK("https://docs.google.com/spreadsheets/d/1rWF4R4o0saxdaffgCknRmUKzYczkT_UI", 16.0299)</f>
        <v>16.0299</v>
      </c>
      <c r="AD270" s="118">
        <f>HYPERLINK("https://docs.google.com/spreadsheets/d/1SP0qkakPNp25oaZH6rX7X1mbGxGNzCDx", 44.9953166666666)</f>
        <v>44.99531667</v>
      </c>
      <c r="AJ270" s="118">
        <f>HYPERLINK("https://docs.google.com/spreadsheets/d/1vTCHZ2gfjG6SE33eU52mmUDBTH0xNzUy", 0.738833333333333)</f>
        <v>0.7388333333</v>
      </c>
      <c r="AK270" s="118">
        <f>HYPERLINK("https://docs.google.com/spreadsheets/d/1AjLk1Yq9y9pjxCmksfrofxIW6XK-RCDE", 1.82353333333333)</f>
        <v>1.823533333</v>
      </c>
      <c r="AL270" s="118">
        <f>HYPERLINK("https://docs.google.com/spreadsheets/d/1ZTqsOknlzx0RbRK6EjWm0Hzwn9pw6sVr", 2.28703333333333)</f>
        <v>2.287033333</v>
      </c>
      <c r="AM270" s="118">
        <f>HYPERLINK("https://docs.google.com/spreadsheets/d/1UhGP-Ws_WCnQPj_ROMyKn3voMqME1Ikw", 34.7216666666667)</f>
        <v>34.72166667</v>
      </c>
      <c r="AP270" s="118">
        <f>HYPERLINK("https://docs.google.com/spreadsheets/d/1CgCAF9Fq6xWv6wM6s8_zO8Opi1zD1W8n", 1.07555)</f>
        <v>1.07555</v>
      </c>
      <c r="AQ270" s="118">
        <f>HYPERLINK("https://docs.google.com/spreadsheets/d/1JhUeLuH59rYcCjakVBmeHLnHn-Ch9aEr", 18.3551833333333)</f>
        <v>18.35518333</v>
      </c>
      <c r="AR270" s="118">
        <f>HYPERLINK("https://docs.google.com/spreadsheets/d/1zsH04onghK7czHe4v9ck6Jml72gLvD-_", 26.6598666666667)</f>
        <v>26.65986667</v>
      </c>
      <c r="AU270" s="118">
        <f>HYPERLINK("https://docs.google.com/spreadsheets/d/1P6HiiL0wPeh3EKvAyY6sHad_m9odlVrq", 0)</f>
        <v>0</v>
      </c>
      <c r="AV270" s="118">
        <f>HYPERLINK("https://docs.google.com/spreadsheets/d/1m9QIrDcUUjJoRol_ozuDU5I8cG23jqgH", 1.80773333333333)</f>
        <v>1.807733333</v>
      </c>
      <c r="AY270" s="118">
        <f>HYPERLINK("https://docs.google.com/spreadsheets/d/1MVBTXPXHNwTUr1n697opjKKMZVkmN6ru", 97.9303833333334)</f>
        <v>97.93038333</v>
      </c>
    </row>
    <row r="271">
      <c r="A271" s="65" t="s">
        <v>35</v>
      </c>
      <c r="B271" s="65" t="s">
        <v>42</v>
      </c>
      <c r="C271" s="65" t="s">
        <v>413</v>
      </c>
      <c r="D271" s="64">
        <f t="shared" si="1"/>
        <v>321.72695</v>
      </c>
      <c r="E271" s="115"/>
      <c r="F271" s="104"/>
      <c r="G271" s="104">
        <v>4.24765</v>
      </c>
      <c r="H271" s="104">
        <v>0.585983333333334</v>
      </c>
      <c r="I271" s="104">
        <v>7.77621666666666</v>
      </c>
      <c r="J271" s="104">
        <v>7.1635</v>
      </c>
      <c r="K271" s="104">
        <v>32.4180833333333</v>
      </c>
      <c r="L271" s="104"/>
      <c r="M271" s="104"/>
      <c r="N271" s="104"/>
      <c r="O271" s="104"/>
      <c r="P271" s="65">
        <v>3.48016666666667</v>
      </c>
      <c r="Q271" s="65"/>
      <c r="R271" s="65"/>
      <c r="S271" s="65"/>
      <c r="T271" s="65">
        <v>15.1241666666667</v>
      </c>
      <c r="U271" s="65">
        <v>11.6225</v>
      </c>
      <c r="V271" s="65">
        <v>12.56925</v>
      </c>
      <c r="W271" s="65">
        <v>60.8962333333334</v>
      </c>
      <c r="X271" s="65"/>
      <c r="Y271" s="65"/>
      <c r="Z271" s="65"/>
      <c r="AA271" s="65">
        <v>1.28986666666667</v>
      </c>
      <c r="AB271" s="65">
        <v>4.54438333333333</v>
      </c>
      <c r="AC271" s="65">
        <v>6.37221666666666</v>
      </c>
      <c r="AD271" s="65">
        <v>7.10003333333333</v>
      </c>
      <c r="AE271" s="65"/>
      <c r="AF271" s="65"/>
      <c r="AG271" s="65"/>
      <c r="AH271" s="65"/>
      <c r="AI271" s="65"/>
      <c r="AJ271" s="65">
        <v>0.6016</v>
      </c>
      <c r="AK271" s="65">
        <v>0.480016666666667</v>
      </c>
      <c r="AL271" s="65">
        <v>4.44089209850063E-16</v>
      </c>
      <c r="AM271" s="65">
        <v>34.7216666666667</v>
      </c>
      <c r="AN271" s="65"/>
      <c r="AP271" s="65">
        <v>1.07555</v>
      </c>
      <c r="AQ271" s="65">
        <v>8.81110000000001</v>
      </c>
      <c r="AR271" s="65">
        <v>26.6598666666667</v>
      </c>
      <c r="AT271" s="65"/>
      <c r="AU271" s="65">
        <v>0.0</v>
      </c>
      <c r="AV271" s="65">
        <v>0.20035</v>
      </c>
      <c r="AY271" s="65">
        <v>73.9865500000001</v>
      </c>
    </row>
    <row r="272">
      <c r="A272" s="119" t="s">
        <v>35</v>
      </c>
      <c r="B272" s="119" t="s">
        <v>42</v>
      </c>
      <c r="C272" s="119" t="s">
        <v>414</v>
      </c>
      <c r="D272" s="120">
        <f t="shared" si="1"/>
        <v>0</v>
      </c>
      <c r="E272" s="121"/>
      <c r="F272" s="123"/>
      <c r="G272" s="122">
        <f>HYPERLINK("https://docs.google.com/spreadsheets/d/19HZ4xI331TvpYhnZSjqQPgUDuzCB1RuG", 0)</f>
        <v>0</v>
      </c>
      <c r="H272" s="122">
        <f>HYPERLINK("https://docs.google.com/spreadsheets/d/1nCs13MdGU74IQ7I0ZeUtOSreJIvZgzGC", 0)</f>
        <v>0</v>
      </c>
      <c r="I272" s="122">
        <f>HYPERLINK("https://docs.google.com/spreadsheets/d/1C-7Io1cB6QW7cEGqih3ltyK8Uy2lg-xO", 0)</f>
        <v>0</v>
      </c>
      <c r="J272" s="122">
        <f>HYPERLINK("https://docs.google.com/spreadsheets/d/1MLMjxkExoGpgS3m9KTt8yq8Un2j0CRFO", 0)</f>
        <v>0</v>
      </c>
      <c r="K272" s="122">
        <f>HYPERLINK("https://docs.google.com/spreadsheets/d/1BKJOKyYUYJ8zdv4CJivT1dVo_PccS-Wc", 0)</f>
        <v>0</v>
      </c>
      <c r="L272" s="121"/>
      <c r="M272" s="121"/>
      <c r="N272" s="123"/>
      <c r="O272" s="121"/>
      <c r="P272" s="124">
        <f>HYPERLINK("https://docs.google.com/spreadsheets/d/1TuBnl8r9qKibcPTt1quaaITsg33cIGJu", 0)</f>
        <v>0</v>
      </c>
      <c r="Q272" s="120"/>
      <c r="R272" s="119"/>
      <c r="S272" s="120"/>
      <c r="T272" s="125">
        <f>HYPERLINK("https://docs.google.com/spreadsheets/d/1j-onSaK78yDE47CWcd1SjTmyUuZU8Nav", 0)</f>
        <v>0</v>
      </c>
      <c r="U272" s="125">
        <f>HYPERLINK("https://docs.google.com/spreadsheets/d/15hj9tFiQ_TrK4U1AFybkXUibF7bEwJmY", 0)</f>
        <v>0</v>
      </c>
      <c r="V272" s="124">
        <f>HYPERLINK("https://docs.google.com/spreadsheets/d/1cDr8pFqqhHkwR59jrUPLKvyY4vFsnZlM", 0)</f>
        <v>0</v>
      </c>
      <c r="W272" s="124">
        <f>HYPERLINK("https://docs.google.com/spreadsheets/d/1sOZ_TB8QzDs0bDhz9ScnjWeNNGXCEKhH", 0)</f>
        <v>0</v>
      </c>
      <c r="X272" s="120"/>
      <c r="Y272" s="119"/>
      <c r="Z272" s="120"/>
      <c r="AA272" s="124">
        <f>HYPERLINK("https://docs.google.com/spreadsheets/d/1c6cRz8ghW9zr9tlL7mA8eb3yQITG8SgP", 0)</f>
        <v>0</v>
      </c>
      <c r="AB272" s="124">
        <f>HYPERLINK("https://docs.google.com/spreadsheets/d/1Ne4UpCAOL228GwXkcsfR23mZfvVjl5Au", 0)</f>
        <v>0</v>
      </c>
      <c r="AC272" s="124">
        <f>HYPERLINK("https://docs.google.com/spreadsheets/d/1rWF4R4o0saxdaffgCknRmUKzYczkT_UI", 0)</f>
        <v>0</v>
      </c>
      <c r="AD272" s="124">
        <f>HYPERLINK("https://docs.google.com/spreadsheets/d/1SP0qkakPNp25oaZH6rX7X1mbGxGNzCDx", 0)</f>
        <v>0</v>
      </c>
      <c r="AE272" s="120"/>
      <c r="AF272" s="119"/>
      <c r="AG272" s="119"/>
      <c r="AH272" s="119"/>
      <c r="AI272" s="119"/>
      <c r="AJ272" s="124">
        <f>HYPERLINK("https://docs.google.com/spreadsheets/d/1vTCHZ2gfjG6SE33eU52mmUDBTH0xNzUy", 0)</f>
        <v>0</v>
      </c>
      <c r="AK272" s="124">
        <f>HYPERLINK("https://docs.google.com/spreadsheets/d/1AjLk1Yq9y9pjxCmksfrofxIW6XK-RCDE", 0)</f>
        <v>0</v>
      </c>
      <c r="AL272" s="125">
        <f>HYPERLINK("https://docs.google.com/spreadsheets/d/1ZTqsOknlzx0RbRK6EjWm0Hzwn9pw6sVr", 0)</f>
        <v>0</v>
      </c>
      <c r="AM272" s="124">
        <f>HYPERLINK("https://docs.google.com/spreadsheets/d/1UhGP-Ws_WCnQPj_ROMyKn3voMqME1Ikw", 0)</f>
        <v>0</v>
      </c>
      <c r="AN272" s="119"/>
      <c r="AO272" s="120"/>
      <c r="AP272" s="124">
        <f>HYPERLINK("https://docs.google.com/spreadsheets/d/1CgCAF9Fq6xWv6wM6s8_zO8Opi1zD1W8n", 0)</f>
        <v>0</v>
      </c>
      <c r="AQ272" s="124">
        <f>HYPERLINK("https://docs.google.com/spreadsheets/d/1JhUeLuH59rYcCjakVBmeHLnHn-Ch9aEr", 0)</f>
        <v>0</v>
      </c>
      <c r="AR272" s="125">
        <f>HYPERLINK("https://docs.google.com/spreadsheets/d/1zsH04onghK7czHe4v9ck6Jml72gLvD-_", 0)</f>
        <v>0</v>
      </c>
      <c r="AS272" s="120"/>
      <c r="AT272" s="120"/>
      <c r="AU272" s="125">
        <f>HYPERLINK("https://docs.google.com/spreadsheets/d/1P6HiiL0wPeh3EKvAyY6sHad_m9odlVrq", 0)</f>
        <v>0</v>
      </c>
      <c r="AV272" s="124">
        <f>HYPERLINK("https://docs.google.com/spreadsheets/d/1m9QIrDcUUjJoRol_ozuDU5I8cG23jqgH", 0)</f>
        <v>0</v>
      </c>
      <c r="AW272" s="120"/>
      <c r="AX272" s="120"/>
      <c r="AY272" s="124">
        <f>HYPERLINK("https://docs.google.com/spreadsheets/d/1MVBTXPXHNwTUr1n697opjKKMZVkmN6ru", 0)</f>
        <v>0</v>
      </c>
      <c r="AZ272" s="120"/>
      <c r="BA272" s="120"/>
      <c r="BB272" s="120"/>
      <c r="BC272" s="120"/>
      <c r="BD272" s="120"/>
      <c r="BE272" s="120"/>
      <c r="BF272" s="120"/>
      <c r="BG272" s="120"/>
      <c r="BH272" s="120"/>
      <c r="BI272" s="120"/>
      <c r="BJ272" s="120"/>
      <c r="BK272" s="120"/>
      <c r="BL272" s="120"/>
      <c r="BM272" s="120"/>
      <c r="BN272" s="120"/>
      <c r="BO272" s="120"/>
      <c r="BP272" s="120"/>
      <c r="BQ272" s="120"/>
      <c r="BR272" s="120"/>
      <c r="BS272" s="120"/>
      <c r="BT272" s="120"/>
      <c r="BU272" s="120"/>
      <c r="BV272" s="120"/>
      <c r="BW272" s="120"/>
      <c r="BX272" s="120"/>
      <c r="BY272" s="120"/>
      <c r="BZ272" s="120"/>
      <c r="CA272" s="120"/>
      <c r="CB272" s="120"/>
      <c r="CC272" s="120"/>
      <c r="CD272" s="120"/>
      <c r="CE272" s="120"/>
      <c r="CF272" s="120"/>
      <c r="CG272" s="120"/>
      <c r="CH272" s="120"/>
      <c r="CI272" s="120"/>
      <c r="CJ272" s="120"/>
      <c r="CK272" s="120"/>
      <c r="CL272" s="120"/>
      <c r="CM272" s="120"/>
      <c r="CN272" s="120"/>
      <c r="CO272" s="120"/>
      <c r="CP272" s="120"/>
      <c r="CQ272" s="120"/>
      <c r="CR272" s="120"/>
      <c r="CS272" s="120"/>
      <c r="CT272" s="120"/>
      <c r="CU272" s="120"/>
      <c r="CV272" s="120"/>
      <c r="CW272" s="120"/>
      <c r="CX272" s="120"/>
      <c r="CY272" s="120"/>
      <c r="CZ272" s="120"/>
      <c r="DA272" s="120"/>
      <c r="DB272" s="120"/>
      <c r="DC272" s="120"/>
      <c r="DD272" s="120"/>
      <c r="DE272" s="120"/>
      <c r="DF272" s="120"/>
      <c r="DG272" s="120"/>
      <c r="DH272" s="120"/>
      <c r="DI272" s="120"/>
      <c r="DJ272" s="120"/>
      <c r="DK272" s="120"/>
      <c r="DL272" s="120"/>
      <c r="DM272" s="120"/>
      <c r="DN272" s="120"/>
      <c r="DO272" s="120"/>
      <c r="DP272" s="120"/>
      <c r="DQ272" s="120"/>
      <c r="DR272" s="120"/>
      <c r="DS272" s="120"/>
      <c r="DT272" s="120"/>
      <c r="DU272" s="120"/>
      <c r="DV272" s="120"/>
      <c r="DW272" s="120"/>
      <c r="DX272" s="120"/>
      <c r="DY272" s="120"/>
      <c r="DZ272" s="120"/>
      <c r="EA272" s="120"/>
      <c r="EB272" s="120"/>
      <c r="EC272" s="120"/>
      <c r="ED272" s="120"/>
      <c r="EE272" s="120"/>
      <c r="EF272" s="120"/>
      <c r="EG272" s="120"/>
      <c r="EH272" s="120"/>
      <c r="EI272" s="120"/>
      <c r="EJ272" s="120"/>
      <c r="EK272" s="120"/>
      <c r="EL272" s="120"/>
      <c r="EM272" s="120"/>
      <c r="EN272" s="120"/>
      <c r="EO272" s="120"/>
      <c r="EP272" s="120"/>
      <c r="EQ272" s="120"/>
      <c r="ER272" s="120"/>
      <c r="ES272" s="120"/>
      <c r="ET272" s="120"/>
      <c r="EU272" s="120"/>
      <c r="EV272" s="120"/>
      <c r="EW272" s="120"/>
      <c r="EX272" s="120"/>
      <c r="EY272" s="120"/>
    </row>
    <row r="273">
      <c r="A273" s="112" t="s">
        <v>35</v>
      </c>
      <c r="B273" s="112" t="s">
        <v>80</v>
      </c>
      <c r="C273" s="112" t="s">
        <v>409</v>
      </c>
      <c r="D273" s="113">
        <f t="shared" si="1"/>
        <v>567.8251833</v>
      </c>
      <c r="E273" s="114">
        <v>54.9844833333334</v>
      </c>
      <c r="F273" s="114"/>
      <c r="G273" s="114"/>
      <c r="H273" s="114"/>
      <c r="I273" s="114"/>
      <c r="J273" s="114"/>
      <c r="K273" s="114"/>
      <c r="L273" s="114">
        <v>0.561416666666667</v>
      </c>
      <c r="M273" s="114"/>
      <c r="N273" s="114"/>
      <c r="O273" s="114">
        <v>4.61923333333334</v>
      </c>
      <c r="P273" s="112"/>
      <c r="Q273" s="112"/>
      <c r="R273" s="112">
        <v>105.007266666667</v>
      </c>
      <c r="S273" s="112"/>
      <c r="T273" s="112"/>
      <c r="U273" s="112"/>
      <c r="V273" s="112"/>
      <c r="W273" s="112"/>
      <c r="X273" s="112">
        <v>1.59476666666667</v>
      </c>
      <c r="Y273" s="112">
        <v>117.357166666667</v>
      </c>
      <c r="Z273" s="112"/>
      <c r="AA273" s="113"/>
      <c r="AB273" s="112"/>
      <c r="AC273" s="112"/>
      <c r="AD273" s="112"/>
      <c r="AE273" s="112">
        <v>1.11133333333333</v>
      </c>
      <c r="AF273" s="112"/>
      <c r="AG273" s="112"/>
      <c r="AH273" s="112">
        <v>53.5593333333334</v>
      </c>
      <c r="AI273" s="112"/>
      <c r="AJ273" s="112"/>
      <c r="AK273" s="112"/>
      <c r="AL273" s="113"/>
      <c r="AM273" s="112"/>
      <c r="AN273" s="112">
        <v>0.593666666666667</v>
      </c>
      <c r="AO273" s="112">
        <v>39.4029666666667</v>
      </c>
      <c r="AP273" s="112"/>
      <c r="AQ273" s="113"/>
      <c r="AR273" s="112"/>
      <c r="AS273" s="112">
        <v>3.78895</v>
      </c>
      <c r="AT273" s="112">
        <v>5.70441666666667</v>
      </c>
      <c r="AU273" s="112"/>
      <c r="AV273" s="112"/>
      <c r="AW273" s="112">
        <v>0.609566666666667</v>
      </c>
      <c r="AX273" s="112">
        <v>172.819333333334</v>
      </c>
      <c r="AY273" s="113"/>
      <c r="AZ273" s="112">
        <v>4.88085</v>
      </c>
      <c r="BA273" s="112">
        <v>1.23043333333333</v>
      </c>
      <c r="BB273" s="113"/>
      <c r="BC273" s="113"/>
      <c r="BD273" s="113"/>
      <c r="BE273" s="113"/>
      <c r="BF273" s="113"/>
      <c r="BG273" s="113"/>
      <c r="BH273" s="113"/>
      <c r="BI273" s="113"/>
      <c r="BJ273" s="113"/>
      <c r="BK273" s="113"/>
      <c r="BL273" s="113"/>
      <c r="BM273" s="113"/>
      <c r="BN273" s="113"/>
      <c r="BO273" s="113"/>
      <c r="BP273" s="113"/>
      <c r="BQ273" s="113"/>
      <c r="BR273" s="113"/>
      <c r="BS273" s="113"/>
      <c r="BT273" s="113"/>
      <c r="BU273" s="113"/>
      <c r="BV273" s="113"/>
      <c r="BW273" s="113"/>
      <c r="BX273" s="113"/>
      <c r="BY273" s="113"/>
      <c r="BZ273" s="113"/>
      <c r="CA273" s="113"/>
      <c r="CB273" s="113"/>
      <c r="CC273" s="113"/>
      <c r="CD273" s="113"/>
      <c r="CE273" s="113"/>
      <c r="CF273" s="113"/>
      <c r="CG273" s="113"/>
      <c r="CH273" s="113"/>
      <c r="CI273" s="113"/>
      <c r="CJ273" s="113"/>
      <c r="CK273" s="113"/>
      <c r="CL273" s="113"/>
      <c r="CM273" s="113"/>
      <c r="CN273" s="113"/>
      <c r="CO273" s="113"/>
      <c r="CP273" s="113"/>
      <c r="CQ273" s="113"/>
      <c r="CR273" s="113"/>
      <c r="CS273" s="113"/>
      <c r="CT273" s="113"/>
      <c r="CU273" s="113"/>
      <c r="CV273" s="113"/>
      <c r="CW273" s="113"/>
      <c r="CX273" s="113"/>
      <c r="CY273" s="113"/>
      <c r="CZ273" s="113"/>
      <c r="DA273" s="113"/>
      <c r="DB273" s="113"/>
      <c r="DC273" s="113"/>
      <c r="DD273" s="113"/>
      <c r="DE273" s="113"/>
      <c r="DF273" s="113"/>
      <c r="DG273" s="113"/>
      <c r="DH273" s="113"/>
      <c r="DI273" s="113"/>
      <c r="DJ273" s="113"/>
      <c r="DK273" s="113"/>
      <c r="DL273" s="113"/>
      <c r="DM273" s="113"/>
      <c r="DN273" s="113"/>
      <c r="DO273" s="113"/>
      <c r="DP273" s="113"/>
      <c r="DQ273" s="113"/>
      <c r="DR273" s="113"/>
      <c r="DS273" s="113"/>
      <c r="DT273" s="113"/>
      <c r="DU273" s="113"/>
      <c r="DV273" s="113"/>
      <c r="DW273" s="113"/>
      <c r="DX273" s="113"/>
      <c r="DY273" s="113"/>
      <c r="DZ273" s="113"/>
      <c r="EA273" s="113"/>
      <c r="EB273" s="113"/>
      <c r="EC273" s="113"/>
      <c r="ED273" s="113"/>
      <c r="EE273" s="113"/>
      <c r="EF273" s="113"/>
      <c r="EG273" s="113"/>
      <c r="EH273" s="113"/>
      <c r="EI273" s="113"/>
      <c r="EJ273" s="113"/>
      <c r="EK273" s="113"/>
      <c r="EL273" s="113"/>
      <c r="EM273" s="113"/>
      <c r="EN273" s="113"/>
      <c r="EO273" s="113"/>
      <c r="EP273" s="113"/>
      <c r="EQ273" s="113"/>
      <c r="ER273" s="113"/>
      <c r="ES273" s="113"/>
      <c r="ET273" s="113"/>
      <c r="EU273" s="113"/>
      <c r="EV273" s="113"/>
      <c r="EW273" s="113"/>
      <c r="EX273" s="113"/>
      <c r="EY273" s="113"/>
    </row>
    <row r="274">
      <c r="A274" s="65" t="s">
        <v>35</v>
      </c>
      <c r="B274" s="65" t="s">
        <v>80</v>
      </c>
      <c r="C274" s="65" t="s">
        <v>410</v>
      </c>
      <c r="D274" s="64">
        <f t="shared" si="1"/>
        <v>321.1130167</v>
      </c>
      <c r="E274" s="104"/>
      <c r="F274" s="104"/>
      <c r="G274" s="104">
        <v>3.69315</v>
      </c>
      <c r="H274" s="104">
        <v>9.30811666666667</v>
      </c>
      <c r="I274" s="104">
        <v>12.61135</v>
      </c>
      <c r="J274" s="104">
        <v>6.574</v>
      </c>
      <c r="K274" s="104">
        <v>3.98298333333333</v>
      </c>
      <c r="L274" s="104"/>
      <c r="M274" s="104"/>
      <c r="N274" s="104">
        <v>3.69315</v>
      </c>
      <c r="O274" s="104"/>
      <c r="P274" s="65">
        <v>2.29243333333333</v>
      </c>
      <c r="Q274" s="65"/>
      <c r="R274" s="65"/>
      <c r="S274" s="65"/>
      <c r="T274" s="65">
        <v>0.3914</v>
      </c>
      <c r="U274" s="65">
        <v>3.1414</v>
      </c>
      <c r="V274" s="65">
        <v>18.0515333333333</v>
      </c>
      <c r="W274" s="65">
        <v>48.1475166666667</v>
      </c>
      <c r="X274" s="65"/>
      <c r="Y274" s="65"/>
      <c r="Z274" s="65"/>
      <c r="AA274" s="65">
        <v>1.06258333333333</v>
      </c>
      <c r="AB274" s="65">
        <v>3.32511666666667</v>
      </c>
      <c r="AC274" s="65">
        <v>12.9846</v>
      </c>
      <c r="AD274" s="65">
        <v>66.9391166666666</v>
      </c>
      <c r="AE274" s="65"/>
      <c r="AF274" s="65"/>
      <c r="AG274" s="65">
        <v>1.06258333333333</v>
      </c>
      <c r="AH274" s="65"/>
      <c r="AI274" s="65"/>
      <c r="AJ274" s="65">
        <v>0.567266666666667</v>
      </c>
      <c r="AK274" s="65">
        <v>0.7875</v>
      </c>
      <c r="AL274" s="65">
        <v>0.660333333333333</v>
      </c>
      <c r="AM274" s="65">
        <v>39.7209833333333</v>
      </c>
      <c r="AN274" s="65"/>
      <c r="AP274" s="65">
        <v>0.814233333333333</v>
      </c>
      <c r="AQ274" s="65">
        <v>5.79245</v>
      </c>
      <c r="AR274" s="65">
        <v>4.5602</v>
      </c>
      <c r="AT274" s="65"/>
      <c r="AU274" s="65">
        <v>0.1577</v>
      </c>
      <c r="AV274" s="65">
        <v>1.57885</v>
      </c>
      <c r="AY274" s="65">
        <v>69.2124666666667</v>
      </c>
    </row>
    <row r="275">
      <c r="A275" s="65" t="s">
        <v>35</v>
      </c>
      <c r="B275" s="65" t="s">
        <v>80</v>
      </c>
      <c r="C275" s="65" t="s">
        <v>411</v>
      </c>
      <c r="D275" s="64">
        <f t="shared" si="1"/>
        <v>0</v>
      </c>
      <c r="E275" s="115"/>
      <c r="F275" s="115"/>
      <c r="G275" s="115"/>
      <c r="H275" s="115"/>
      <c r="I275" s="115"/>
      <c r="J275" s="115"/>
      <c r="K275" s="115"/>
      <c r="L275" s="115"/>
      <c r="M275" s="115"/>
      <c r="N275" s="115"/>
      <c r="O275" s="115"/>
    </row>
    <row r="276">
      <c r="A276" s="65" t="s">
        <v>35</v>
      </c>
      <c r="B276" s="65" t="s">
        <v>80</v>
      </c>
      <c r="C276" s="65" t="s">
        <v>412</v>
      </c>
      <c r="D276" s="64">
        <f t="shared" si="1"/>
        <v>315.1326333</v>
      </c>
      <c r="E276" s="115"/>
      <c r="F276" s="104"/>
      <c r="G276" s="116">
        <f>HYPERLINK("https://docs.google.com/spreadsheets/d/1Jsf_EXYYc6i3mwxGBIoEj4HU_HATTnT1", 3.69315)</f>
        <v>3.69315</v>
      </c>
      <c r="H276" s="116">
        <f>HYPERLINK("https://docs.google.com/spreadsheets/d/1yRnxxTJzyhRu2oMZGYIgxCGRwtqjF4y-", 9.27211666666667)</f>
        <v>9.272116667</v>
      </c>
      <c r="I276" s="117">
        <f>HYPERLINK("https://docs.google.com/spreadsheets/d/14fUnnFiQWHJ0-SMARooBeuY0uTFXy0W8", 12.61135)</f>
        <v>12.61135</v>
      </c>
      <c r="J276" s="116">
        <f>HYPERLINK("https://docs.google.com/spreadsheets/d/1JZ4rZv8HfcVOhieTWIj_TdTGKm4HzRfw", 6.574)</f>
        <v>6.574</v>
      </c>
      <c r="K276" s="117">
        <f>HYPERLINK("https://docs.google.com/spreadsheets/d/1RRzpH5Y2T_ircjCq6sxugeempUR5mypt", 3.98298333333333)</f>
        <v>3.982983333</v>
      </c>
      <c r="L276" s="115"/>
      <c r="M276" s="104"/>
      <c r="N276" s="115"/>
      <c r="O276" s="115"/>
      <c r="P276" s="118">
        <f>HYPERLINK("https://docs.google.com/spreadsheets/d/161-J7t-iO19-HAPjTquXS1U-iyEyPNe8", 2.29243333333333)</f>
        <v>2.292433333</v>
      </c>
      <c r="T276" s="118">
        <f>HYPERLINK("https://docs.google.com/spreadsheets/d/1iJK8E84L49lCK8pzuO5KT10yKEqGAJtQ", 0.3914)</f>
        <v>0.3914</v>
      </c>
      <c r="U276" s="118">
        <f>HYPERLINK("https://docs.google.com/spreadsheets/d/1K9VnqxhiksknGbRVCGMabysp7LPITjrx", 3.14138333333333)</f>
        <v>3.141383333</v>
      </c>
      <c r="V276" s="118">
        <f>HYPERLINK("https://docs.google.com/spreadsheets/d/1--osomITA7gVupIyzTDVC-LWbgMXXdja", 17.78975)</f>
        <v>17.78975</v>
      </c>
      <c r="W276" s="118">
        <f>HYPERLINK("https://docs.google.com/spreadsheets/d/1TKyq_6bsuAoOUsG8RKvSJQudi3qgfIOZ", 47.8441333333333)</f>
        <v>47.84413333</v>
      </c>
      <c r="AA276" s="118">
        <f>HYPERLINK("https://docs.google.com/spreadsheets/d/181aSiF7fmHkUkU0ZB2SX-JA_JuETMS0D", 1.06258333333333)</f>
        <v>1.062583333</v>
      </c>
      <c r="AB276" s="118">
        <f>HYPERLINK("https://docs.google.com/spreadsheets/d/1zLJOuKRKh5QWd_cyCiDeWu6hDgVFMIYo", 3.32511666666667)</f>
        <v>3.325116667</v>
      </c>
      <c r="AC276" s="118">
        <f>HYPERLINK("https://docs.google.com/spreadsheets/d/1oKdQfEtn7M4JAFZqiCZVsjMijL7ve4fz", 12.62735)</f>
        <v>12.62735</v>
      </c>
      <c r="AD276" s="118">
        <f>HYPERLINK("https://docs.google.com/spreadsheets/d/1cu9ag9uuD3Y5thVpnngLeOHKGhWz6Xhr", 66.9391)</f>
        <v>66.9391</v>
      </c>
      <c r="AJ276" s="118">
        <f>HYPERLINK("https://docs.google.com/spreadsheets/d/16pVJowwJTHBIl3RA2w6I-S7SfO4MNsQt", 0.567266666666667)</f>
        <v>0.5672666667</v>
      </c>
      <c r="AK276" s="118">
        <f>HYPERLINK("https://docs.google.com/spreadsheets/d/1zhw8u_zkyX2mBi6BI_s5DpCFSjOeDdIL", 0.7875)</f>
        <v>0.7875</v>
      </c>
      <c r="AL276" s="118">
        <f>HYPERLINK("https://docs.google.com/spreadsheets/d/1RUxvgoBMxzmLWBpjYLkqgv1AJRm9H6b8", 0.660333333333333)</f>
        <v>0.6603333333</v>
      </c>
      <c r="AM276" s="118">
        <f>HYPERLINK("https://docs.google.com/spreadsheets/d/195LchYo3hrFiWFwlaPLpqYWKHszPTWV_", 39.7210166666667)</f>
        <v>39.72101667</v>
      </c>
      <c r="AP276" s="118">
        <f>HYPERLINK("https://docs.google.com/spreadsheets/d/1lKs7zR-xpujL7uDXFbrbmasTn0OM7Znv", 0.814216666666667)</f>
        <v>0.8142166667</v>
      </c>
      <c r="AQ276" s="118">
        <f>HYPERLINK("https://docs.google.com/spreadsheets/d/1UGGfQ3APqgMETSXXGNr-wl1iKmazghNi", 5.79245)</f>
        <v>5.79245</v>
      </c>
      <c r="AR276" s="118">
        <f>HYPERLINK("https://docs.google.com/spreadsheets/d/1o3ugFcK8Ymz5Kki4bZnqH5uSJhFOAi83", 4.45176666666667)</f>
        <v>4.451766667</v>
      </c>
      <c r="AU276" s="118">
        <f>HYPERLINK("https://docs.google.com/spreadsheets/d/1ZX3QtekTvyFUnUW5w1UH8ucmqctNzsoK", 0)</f>
        <v>0</v>
      </c>
      <c r="AV276" s="118">
        <f>HYPERLINK("https://docs.google.com/spreadsheets/d/15T86GWzKwystsEYHabvw-7bM2lC0at_Y", 1.57885)</f>
        <v>1.57885</v>
      </c>
      <c r="AY276" s="118">
        <f>HYPERLINK("https://docs.google.com/spreadsheets/d/1bAi3d3iasCoOVNkgMBksqUmJt1RNQnmC", 69.2123833333333)</f>
        <v>69.21238333</v>
      </c>
    </row>
    <row r="277">
      <c r="A277" s="65" t="s">
        <v>35</v>
      </c>
      <c r="B277" s="65" t="s">
        <v>80</v>
      </c>
      <c r="C277" s="65" t="s">
        <v>413</v>
      </c>
      <c r="D277" s="64">
        <f t="shared" si="1"/>
        <v>189.35135</v>
      </c>
      <c r="E277" s="115"/>
      <c r="F277" s="104"/>
      <c r="G277" s="104">
        <v>1.77118333333333</v>
      </c>
      <c r="H277" s="104">
        <v>5.16678333333333</v>
      </c>
      <c r="I277" s="104">
        <v>7.66425</v>
      </c>
      <c r="J277" s="104">
        <v>2.60888333333333</v>
      </c>
      <c r="K277" s="104">
        <v>3.98298333333333</v>
      </c>
      <c r="L277" s="104"/>
      <c r="M277" s="104"/>
      <c r="N277" s="104"/>
      <c r="O277" s="104"/>
      <c r="P277" s="65">
        <v>1.83166666666667</v>
      </c>
      <c r="Q277" s="65"/>
      <c r="R277" s="65"/>
      <c r="S277" s="65"/>
      <c r="T277" s="65">
        <v>0.3914</v>
      </c>
      <c r="U277" s="65">
        <v>1.53961666666667</v>
      </c>
      <c r="V277" s="65">
        <v>6.36964999999999</v>
      </c>
      <c r="W277" s="65">
        <v>44.3868833333333</v>
      </c>
      <c r="X277" s="65"/>
      <c r="Y277" s="65"/>
      <c r="Z277" s="65"/>
      <c r="AA277" s="65">
        <v>0.812916666666667</v>
      </c>
      <c r="AB277" s="65">
        <v>0.862866666666667</v>
      </c>
      <c r="AC277" s="65">
        <v>6.06451666666667</v>
      </c>
      <c r="AD277" s="65">
        <v>7.69244999999997</v>
      </c>
      <c r="AE277" s="65"/>
      <c r="AF277" s="65"/>
      <c r="AG277" s="65"/>
      <c r="AH277" s="65"/>
      <c r="AI277" s="65"/>
      <c r="AJ277" s="65">
        <v>0.567266666666667</v>
      </c>
      <c r="AK277" s="65">
        <v>0.280133333333333</v>
      </c>
      <c r="AL277" s="65">
        <v>0.140616666666667</v>
      </c>
      <c r="AM277" s="65">
        <v>38.2462166666667</v>
      </c>
      <c r="AN277" s="65"/>
      <c r="AP277" s="65">
        <v>0.814216666666667</v>
      </c>
      <c r="AQ277" s="65">
        <v>1.21755</v>
      </c>
      <c r="AR277" s="65">
        <v>4.08398333333333</v>
      </c>
      <c r="AT277" s="65"/>
      <c r="AU277" s="65">
        <v>0.0</v>
      </c>
      <c r="AV277" s="65">
        <v>0.377866666666666</v>
      </c>
      <c r="AY277" s="65">
        <v>52.47745</v>
      </c>
    </row>
    <row r="278">
      <c r="A278" s="119" t="s">
        <v>35</v>
      </c>
      <c r="B278" s="119" t="s">
        <v>80</v>
      </c>
      <c r="C278" s="119" t="s">
        <v>414</v>
      </c>
      <c r="D278" s="120">
        <f t="shared" si="1"/>
        <v>0</v>
      </c>
      <c r="E278" s="121"/>
      <c r="F278" s="123"/>
      <c r="G278" s="122">
        <f>HYPERLINK("https://docs.google.com/spreadsheets/d/1Jsf_EXYYc6i3mwxGBIoEj4HU_HATTnT1", 0)</f>
        <v>0</v>
      </c>
      <c r="H278" s="122">
        <f>HYPERLINK("https://docs.google.com/spreadsheets/d/1yRnxxTJzyhRu2oMZGYIgxCGRwtqjF4y-", 0)</f>
        <v>0</v>
      </c>
      <c r="I278" s="122">
        <f>HYPERLINK("https://docs.google.com/spreadsheets/d/14fUnnFiQWHJ0-SMARooBeuY0uTFXy0W8", 0)</f>
        <v>0</v>
      </c>
      <c r="J278" s="122">
        <f>HYPERLINK("https://docs.google.com/spreadsheets/d/1JZ4rZv8HfcVOhieTWIj_TdTGKm4HzRfw", 0)</f>
        <v>0</v>
      </c>
      <c r="K278" s="122">
        <f>HYPERLINK("https://docs.google.com/spreadsheets/d/1RRzpH5Y2T_ircjCq6sxugeempUR5mypt", 0)</f>
        <v>0</v>
      </c>
      <c r="L278" s="121"/>
      <c r="M278" s="121"/>
      <c r="N278" s="123"/>
      <c r="O278" s="121"/>
      <c r="P278" s="124">
        <f>HYPERLINK("https://docs.google.com/spreadsheets/d/161-J7t-iO19-HAPjTquXS1U-iyEyPNe8", 0)</f>
        <v>0</v>
      </c>
      <c r="Q278" s="120"/>
      <c r="R278" s="119"/>
      <c r="S278" s="120"/>
      <c r="T278" s="125">
        <f>HYPERLINK("https://docs.google.com/spreadsheets/d/1iJK8E84L49lCK8pzuO5KT10yKEqGAJtQ", 0)</f>
        <v>0</v>
      </c>
      <c r="U278" s="125">
        <f>HYPERLINK("https://docs.google.com/spreadsheets/d/1K9VnqxhiksknGbRVCGMabysp7LPITjrx", 0)</f>
        <v>0</v>
      </c>
      <c r="V278" s="124">
        <f>HYPERLINK("https://docs.google.com/spreadsheets/d/1--osomITA7gVupIyzTDVC-LWbgMXXdja", 0)</f>
        <v>0</v>
      </c>
      <c r="W278" s="124">
        <f>HYPERLINK("https://docs.google.com/spreadsheets/d/1TKyq_6bsuAoOUsG8RKvSJQudi3qgfIOZ", 0)</f>
        <v>0</v>
      </c>
      <c r="X278" s="120"/>
      <c r="Y278" s="119"/>
      <c r="Z278" s="120"/>
      <c r="AA278" s="124">
        <f>HYPERLINK("https://docs.google.com/spreadsheets/d/181aSiF7fmHkUkU0ZB2SX-JA_JuETMS0D", 0)</f>
        <v>0</v>
      </c>
      <c r="AB278" s="124">
        <f>HYPERLINK("https://docs.google.com/spreadsheets/d/1zLJOuKRKh5QWd_cyCiDeWu6hDgVFMIYo", 0)</f>
        <v>0</v>
      </c>
      <c r="AC278" s="124">
        <f>HYPERLINK("https://docs.google.com/spreadsheets/d/1oKdQfEtn7M4JAFZqiCZVsjMijL7ve4fz", 0)</f>
        <v>0</v>
      </c>
      <c r="AD278" s="124">
        <f>HYPERLINK("https://docs.google.com/spreadsheets/d/1cu9ag9uuD3Y5thVpnngLeOHKGhWz6Xhr", 0)</f>
        <v>0</v>
      </c>
      <c r="AE278" s="120"/>
      <c r="AF278" s="119"/>
      <c r="AG278" s="119"/>
      <c r="AH278" s="119"/>
      <c r="AI278" s="119"/>
      <c r="AJ278" s="124">
        <f>HYPERLINK("https://docs.google.com/spreadsheets/d/16pVJowwJTHBIl3RA2w6I-S7SfO4MNsQt", 0)</f>
        <v>0</v>
      </c>
      <c r="AK278" s="124">
        <f>HYPERLINK("https://docs.google.com/spreadsheets/d/1zhw8u_zkyX2mBi6BI_s5DpCFSjOeDdIL", 0)</f>
        <v>0</v>
      </c>
      <c r="AL278" s="125">
        <f>HYPERLINK("https://docs.google.com/spreadsheets/d/1RUxvgoBMxzmLWBpjYLkqgv1AJRm9H6b8", 0)</f>
        <v>0</v>
      </c>
      <c r="AM278" s="124">
        <f>HYPERLINK("https://docs.google.com/spreadsheets/d/195LchYo3hrFiWFwlaPLpqYWKHszPTWV_", 0)</f>
        <v>0</v>
      </c>
      <c r="AN278" s="119"/>
      <c r="AO278" s="120"/>
      <c r="AP278" s="124">
        <f>HYPERLINK("https://docs.google.com/spreadsheets/d/1lKs7zR-xpujL7uDXFbrbmasTn0OM7Znv", 0)</f>
        <v>0</v>
      </c>
      <c r="AQ278" s="124">
        <f>HYPERLINK("https://docs.google.com/spreadsheets/d/1UGGfQ3APqgMETSXXGNr-wl1iKmazghNi", 0)</f>
        <v>0</v>
      </c>
      <c r="AR278" s="125">
        <f>HYPERLINK("https://docs.google.com/spreadsheets/d/1o3ugFcK8Ymz5Kki4bZnqH5uSJhFOAi83", 0)</f>
        <v>0</v>
      </c>
      <c r="AS278" s="120"/>
      <c r="AT278" s="120"/>
      <c r="AU278" s="125">
        <f>HYPERLINK("https://docs.google.com/spreadsheets/d/1ZX3QtekTvyFUnUW5w1UH8ucmqctNzsoK", 0)</f>
        <v>0</v>
      </c>
      <c r="AV278" s="124">
        <f>HYPERLINK("https://docs.google.com/spreadsheets/d/15T86GWzKwystsEYHabvw-7bM2lC0at_Y", 0)</f>
        <v>0</v>
      </c>
      <c r="AW278" s="120"/>
      <c r="AX278" s="120"/>
      <c r="AY278" s="124">
        <f>HYPERLINK("https://docs.google.com/spreadsheets/d/1bAi3d3iasCoOVNkgMBksqUmJt1RNQnmC", 0)</f>
        <v>0</v>
      </c>
      <c r="AZ278" s="120"/>
      <c r="BA278" s="120"/>
      <c r="BB278" s="120"/>
      <c r="BC278" s="120"/>
      <c r="BD278" s="120"/>
      <c r="BE278" s="120"/>
      <c r="BF278" s="120"/>
      <c r="BG278" s="120"/>
      <c r="BH278" s="120"/>
      <c r="BI278" s="120"/>
      <c r="BJ278" s="120"/>
      <c r="BK278" s="120"/>
      <c r="BL278" s="120"/>
      <c r="BM278" s="120"/>
      <c r="BN278" s="120"/>
      <c r="BO278" s="120"/>
      <c r="BP278" s="120"/>
      <c r="BQ278" s="120"/>
      <c r="BR278" s="120"/>
      <c r="BS278" s="120"/>
      <c r="BT278" s="120"/>
      <c r="BU278" s="120"/>
      <c r="BV278" s="120"/>
      <c r="BW278" s="120"/>
      <c r="BX278" s="120"/>
      <c r="BY278" s="120"/>
      <c r="BZ278" s="120"/>
      <c r="CA278" s="120"/>
      <c r="CB278" s="120"/>
      <c r="CC278" s="120"/>
      <c r="CD278" s="120"/>
      <c r="CE278" s="120"/>
      <c r="CF278" s="120"/>
      <c r="CG278" s="120"/>
      <c r="CH278" s="120"/>
      <c r="CI278" s="120"/>
      <c r="CJ278" s="120"/>
      <c r="CK278" s="120"/>
      <c r="CL278" s="120"/>
      <c r="CM278" s="120"/>
      <c r="CN278" s="120"/>
      <c r="CO278" s="120"/>
      <c r="CP278" s="120"/>
      <c r="CQ278" s="120"/>
      <c r="CR278" s="120"/>
      <c r="CS278" s="120"/>
      <c r="CT278" s="120"/>
      <c r="CU278" s="120"/>
      <c r="CV278" s="120"/>
      <c r="CW278" s="120"/>
      <c r="CX278" s="120"/>
      <c r="CY278" s="120"/>
      <c r="CZ278" s="120"/>
      <c r="DA278" s="120"/>
      <c r="DB278" s="120"/>
      <c r="DC278" s="120"/>
      <c r="DD278" s="120"/>
      <c r="DE278" s="120"/>
      <c r="DF278" s="120"/>
      <c r="DG278" s="120"/>
      <c r="DH278" s="120"/>
      <c r="DI278" s="120"/>
      <c r="DJ278" s="120"/>
      <c r="DK278" s="120"/>
      <c r="DL278" s="120"/>
      <c r="DM278" s="120"/>
      <c r="DN278" s="120"/>
      <c r="DO278" s="120"/>
      <c r="DP278" s="120"/>
      <c r="DQ278" s="120"/>
      <c r="DR278" s="120"/>
      <c r="DS278" s="120"/>
      <c r="DT278" s="120"/>
      <c r="DU278" s="120"/>
      <c r="DV278" s="120"/>
      <c r="DW278" s="120"/>
      <c r="DX278" s="120"/>
      <c r="DY278" s="120"/>
      <c r="DZ278" s="120"/>
      <c r="EA278" s="120"/>
      <c r="EB278" s="120"/>
      <c r="EC278" s="120"/>
      <c r="ED278" s="120"/>
      <c r="EE278" s="120"/>
      <c r="EF278" s="120"/>
      <c r="EG278" s="120"/>
      <c r="EH278" s="120"/>
      <c r="EI278" s="120"/>
      <c r="EJ278" s="120"/>
      <c r="EK278" s="120"/>
      <c r="EL278" s="120"/>
      <c r="EM278" s="120"/>
      <c r="EN278" s="120"/>
      <c r="EO278" s="120"/>
      <c r="EP278" s="120"/>
      <c r="EQ278" s="120"/>
      <c r="ER278" s="120"/>
      <c r="ES278" s="120"/>
      <c r="ET278" s="120"/>
      <c r="EU278" s="120"/>
      <c r="EV278" s="120"/>
      <c r="EW278" s="120"/>
      <c r="EX278" s="120"/>
      <c r="EY278" s="120"/>
    </row>
    <row r="279">
      <c r="A279" s="112" t="s">
        <v>35</v>
      </c>
      <c r="B279" s="112" t="s">
        <v>82</v>
      </c>
      <c r="C279" s="112" t="s">
        <v>409</v>
      </c>
      <c r="D279" s="113">
        <f t="shared" si="1"/>
        <v>796.13565</v>
      </c>
      <c r="E279" s="114">
        <v>114.303033333333</v>
      </c>
      <c r="F279" s="114"/>
      <c r="G279" s="114"/>
      <c r="H279" s="114"/>
      <c r="I279" s="114"/>
      <c r="J279" s="114"/>
      <c r="K279" s="114"/>
      <c r="L279" s="114">
        <v>1.34988333333333</v>
      </c>
      <c r="M279" s="114"/>
      <c r="N279" s="114"/>
      <c r="O279" s="114">
        <v>32.5019666666667</v>
      </c>
      <c r="P279" s="112"/>
      <c r="Q279" s="112">
        <v>0.186933333333333</v>
      </c>
      <c r="R279" s="112">
        <v>179.267833333333</v>
      </c>
      <c r="S279" s="112"/>
      <c r="T279" s="112"/>
      <c r="U279" s="112"/>
      <c r="V279" s="112"/>
      <c r="W279" s="112"/>
      <c r="X279" s="112">
        <v>2.1888</v>
      </c>
      <c r="Y279" s="112">
        <v>102.203133333333</v>
      </c>
      <c r="Z279" s="112"/>
      <c r="AA279" s="113"/>
      <c r="AB279" s="112"/>
      <c r="AC279" s="112"/>
      <c r="AD279" s="112"/>
      <c r="AE279" s="112">
        <v>2.04155</v>
      </c>
      <c r="AF279" s="112"/>
      <c r="AG279" s="112"/>
      <c r="AH279" s="112">
        <v>34.6612166666667</v>
      </c>
      <c r="AI279" s="112"/>
      <c r="AJ279" s="112"/>
      <c r="AK279" s="112"/>
      <c r="AL279" s="113"/>
      <c r="AM279" s="112"/>
      <c r="AN279" s="112">
        <v>0.35645</v>
      </c>
      <c r="AO279" s="112">
        <v>40.40825</v>
      </c>
      <c r="AP279" s="112"/>
      <c r="AQ279" s="113"/>
      <c r="AR279" s="112"/>
      <c r="AS279" s="112">
        <v>4.5824</v>
      </c>
      <c r="AT279" s="112">
        <v>6.90933333333333</v>
      </c>
      <c r="AU279" s="112"/>
      <c r="AV279" s="112"/>
      <c r="AW279" s="112">
        <v>0.61025</v>
      </c>
      <c r="AX279" s="112">
        <v>268.401916666666</v>
      </c>
      <c r="AY279" s="113"/>
      <c r="AZ279" s="112">
        <v>5.65671666666667</v>
      </c>
      <c r="BA279" s="112">
        <v>0.505983333333333</v>
      </c>
      <c r="BB279" s="113"/>
      <c r="BC279" s="113"/>
      <c r="BD279" s="113"/>
      <c r="BE279" s="113"/>
      <c r="BF279" s="113"/>
      <c r="BG279" s="113"/>
      <c r="BH279" s="113"/>
      <c r="BI279" s="113"/>
      <c r="BJ279" s="113"/>
      <c r="BK279" s="113"/>
      <c r="BL279" s="113"/>
      <c r="BM279" s="113"/>
      <c r="BN279" s="113"/>
      <c r="BO279" s="113"/>
      <c r="BP279" s="113"/>
      <c r="BQ279" s="113"/>
      <c r="BR279" s="113"/>
      <c r="BS279" s="113"/>
      <c r="BT279" s="113"/>
      <c r="BU279" s="113"/>
      <c r="BV279" s="113"/>
      <c r="BW279" s="113"/>
      <c r="BX279" s="113"/>
      <c r="BY279" s="113"/>
      <c r="BZ279" s="113"/>
      <c r="CA279" s="113"/>
      <c r="CB279" s="113"/>
      <c r="CC279" s="113"/>
      <c r="CD279" s="113"/>
      <c r="CE279" s="113"/>
      <c r="CF279" s="113"/>
      <c r="CG279" s="113"/>
      <c r="CH279" s="113"/>
      <c r="CI279" s="113"/>
      <c r="CJ279" s="113"/>
      <c r="CK279" s="113"/>
      <c r="CL279" s="113"/>
      <c r="CM279" s="113"/>
      <c r="CN279" s="113"/>
      <c r="CO279" s="113"/>
      <c r="CP279" s="113"/>
      <c r="CQ279" s="113"/>
      <c r="CR279" s="113"/>
      <c r="CS279" s="113"/>
      <c r="CT279" s="113"/>
      <c r="CU279" s="113"/>
      <c r="CV279" s="113"/>
      <c r="CW279" s="113"/>
      <c r="CX279" s="113"/>
      <c r="CY279" s="113"/>
      <c r="CZ279" s="113"/>
      <c r="DA279" s="113"/>
      <c r="DB279" s="113"/>
      <c r="DC279" s="113"/>
      <c r="DD279" s="113"/>
      <c r="DE279" s="113"/>
      <c r="DF279" s="113"/>
      <c r="DG279" s="113"/>
      <c r="DH279" s="113"/>
      <c r="DI279" s="113"/>
      <c r="DJ279" s="113"/>
      <c r="DK279" s="113"/>
      <c r="DL279" s="113"/>
      <c r="DM279" s="113"/>
      <c r="DN279" s="113"/>
      <c r="DO279" s="113"/>
      <c r="DP279" s="113"/>
      <c r="DQ279" s="113"/>
      <c r="DR279" s="113"/>
      <c r="DS279" s="113"/>
      <c r="DT279" s="113"/>
      <c r="DU279" s="113"/>
      <c r="DV279" s="113"/>
      <c r="DW279" s="113"/>
      <c r="DX279" s="113"/>
      <c r="DY279" s="113"/>
      <c r="DZ279" s="113"/>
      <c r="EA279" s="113"/>
      <c r="EB279" s="113"/>
      <c r="EC279" s="113"/>
      <c r="ED279" s="113"/>
      <c r="EE279" s="113"/>
      <c r="EF279" s="113"/>
      <c r="EG279" s="113"/>
      <c r="EH279" s="113"/>
      <c r="EI279" s="113"/>
      <c r="EJ279" s="113"/>
      <c r="EK279" s="113"/>
      <c r="EL279" s="113"/>
      <c r="EM279" s="113"/>
      <c r="EN279" s="113"/>
      <c r="EO279" s="113"/>
      <c r="EP279" s="113"/>
      <c r="EQ279" s="113"/>
      <c r="ER279" s="113"/>
      <c r="ES279" s="113"/>
      <c r="ET279" s="113"/>
      <c r="EU279" s="113"/>
      <c r="EV279" s="113"/>
      <c r="EW279" s="113"/>
      <c r="EX279" s="113"/>
      <c r="EY279" s="113"/>
    </row>
    <row r="280">
      <c r="A280" s="65" t="s">
        <v>35</v>
      </c>
      <c r="B280" s="65" t="s">
        <v>82</v>
      </c>
      <c r="C280" s="65" t="s">
        <v>410</v>
      </c>
      <c r="D280" s="64">
        <f t="shared" si="1"/>
        <v>519.2434333</v>
      </c>
      <c r="E280" s="104"/>
      <c r="F280" s="104"/>
      <c r="G280" s="104">
        <v>0.267983333333333</v>
      </c>
      <c r="H280" s="104">
        <v>2.39248333333333</v>
      </c>
      <c r="I280" s="104">
        <v>22.4515333333333</v>
      </c>
      <c r="J280" s="104">
        <v>17.5500666666667</v>
      </c>
      <c r="K280" s="104">
        <v>30.9094666666667</v>
      </c>
      <c r="L280" s="104"/>
      <c r="M280" s="104"/>
      <c r="N280" s="104">
        <v>0.267983333333333</v>
      </c>
      <c r="O280" s="104"/>
      <c r="P280" s="65">
        <v>0.581783333333333</v>
      </c>
      <c r="Q280" s="65"/>
      <c r="R280" s="65"/>
      <c r="S280" s="65"/>
      <c r="T280" s="65"/>
      <c r="U280" s="65">
        <v>2.9135</v>
      </c>
      <c r="V280" s="65">
        <v>69.1975833333333</v>
      </c>
      <c r="W280" s="65">
        <v>62.2526833333333</v>
      </c>
      <c r="X280" s="65"/>
      <c r="Y280" s="65"/>
      <c r="Z280" s="65"/>
      <c r="AA280" s="65">
        <v>0.07135</v>
      </c>
      <c r="AB280" s="65">
        <v>0.932066666666667</v>
      </c>
      <c r="AC280" s="65">
        <v>30.8304166666667</v>
      </c>
      <c r="AD280" s="65">
        <v>35.144</v>
      </c>
      <c r="AE280" s="65"/>
      <c r="AF280" s="65"/>
      <c r="AG280" s="65">
        <v>0.07135</v>
      </c>
      <c r="AH280" s="65"/>
      <c r="AI280" s="65"/>
      <c r="AJ280" s="65">
        <v>0.476233333333333</v>
      </c>
      <c r="AK280" s="65">
        <v>1.56531666666667</v>
      </c>
      <c r="AL280" s="65">
        <v>3.77995</v>
      </c>
      <c r="AM280" s="65">
        <v>24.09025</v>
      </c>
      <c r="AN280" s="65"/>
      <c r="AP280" s="65">
        <v>3.0777</v>
      </c>
      <c r="AQ280" s="65">
        <v>7.54208333333333</v>
      </c>
      <c r="AR280" s="65">
        <v>14.6973833333333</v>
      </c>
      <c r="AT280" s="65"/>
      <c r="AU280" s="65">
        <v>0.34985</v>
      </c>
      <c r="AV280" s="65">
        <v>2.3138</v>
      </c>
      <c r="AY280" s="65">
        <v>185.516616666667</v>
      </c>
    </row>
    <row r="281">
      <c r="A281" s="65" t="s">
        <v>35</v>
      </c>
      <c r="B281" s="65" t="s">
        <v>82</v>
      </c>
      <c r="C281" s="65" t="s">
        <v>411</v>
      </c>
      <c r="D281" s="64">
        <f t="shared" si="1"/>
        <v>0</v>
      </c>
      <c r="E281" s="115"/>
      <c r="F281" s="115"/>
      <c r="G281" s="115"/>
      <c r="H281" s="115"/>
      <c r="I281" s="115"/>
      <c r="J281" s="115"/>
      <c r="K281" s="115"/>
      <c r="L281" s="115"/>
      <c r="M281" s="115"/>
      <c r="N281" s="115"/>
      <c r="O281" s="115"/>
    </row>
    <row r="282">
      <c r="A282" s="65" t="s">
        <v>35</v>
      </c>
      <c r="B282" s="65" t="s">
        <v>82</v>
      </c>
      <c r="C282" s="65" t="s">
        <v>412</v>
      </c>
      <c r="D282" s="64">
        <f t="shared" si="1"/>
        <v>515.8017</v>
      </c>
      <c r="E282" s="115"/>
      <c r="F282" s="104"/>
      <c r="G282" s="116">
        <f>HYPERLINK("https://docs.google.com/spreadsheets/d/1w1VOwqvASRHSRLkSSmw3CMIRi4xxMOXK", 0.267983333333333)</f>
        <v>0.2679833333</v>
      </c>
      <c r="H282" s="116">
        <f>HYPERLINK("https://docs.google.com/spreadsheets/d/1DEAVYbzkQAGLjpJPLtWvCDSl99Yp7dzg", 2.39248333333333)</f>
        <v>2.392483333</v>
      </c>
      <c r="I282" s="117">
        <f>HYPERLINK("https://docs.google.com/spreadsheets/d/1v_jjq6A-nHy2Ba0LTFAEddVp8dfWqCQI", 22.45155)</f>
        <v>22.45155</v>
      </c>
      <c r="J282" s="116">
        <f>HYPERLINK("https://docs.google.com/spreadsheets/d/1aKTVNYqyAeNsjtyVltFL4KkkXTwkkKLN", 17.41935)</f>
        <v>17.41935</v>
      </c>
      <c r="K282" s="117">
        <f>HYPERLINK("https://docs.google.com/spreadsheets/d/1DogAeIIoV3s9ne3tSQQmESIsFzvYW_4p", 30.8697333333333)</f>
        <v>30.86973333</v>
      </c>
      <c r="L282" s="115"/>
      <c r="M282" s="104"/>
      <c r="N282" s="115"/>
      <c r="O282" s="104"/>
      <c r="P282" s="118">
        <f>HYPERLINK("https://docs.google.com/spreadsheets/d/1AZ8zQ9qah9k9J3RHmB2My_k68OvHm3x-", 0.581783333333333)</f>
        <v>0.5817833333</v>
      </c>
      <c r="U282" s="118">
        <f>HYPERLINK("https://docs.google.com/spreadsheets/d/1xGgP73_KFtYtWoVrOPaw0E66VEauMY08", 2.85646666666667)</f>
        <v>2.856466667</v>
      </c>
      <c r="V282" s="118">
        <f>HYPERLINK("https://docs.google.com/spreadsheets/d/1cSiiQTnetY5SXBGMdC-Utp3E67fnwlgl", 68.8714333333333)</f>
        <v>68.87143333</v>
      </c>
      <c r="W282" s="118">
        <f>HYPERLINK("https://docs.google.com/spreadsheets/d/1-OcDd6Gm5C78p7Uw-ctcSapl3R5IrHRl", 62.16265)</f>
        <v>62.16265</v>
      </c>
      <c r="AA282" s="118">
        <f>HYPERLINK("https://docs.google.com/spreadsheets/d/1sidwpPbGY8LiRH1KkUJ6-buXJuM4qlPJ", 0.07135)</f>
        <v>0.07135</v>
      </c>
      <c r="AB282" s="118">
        <f>HYPERLINK("https://docs.google.com/spreadsheets/d/1UgazA7owZr-_3ePn3R7lq78Sw6bN2Rs7", 0.932066666666667)</f>
        <v>0.9320666667</v>
      </c>
      <c r="AC282" s="118">
        <f>HYPERLINK("https://docs.google.com/spreadsheets/d/1DcSnsW3UzORTt_rCu3XLIqAZgpIshhVR", 30.4454)</f>
        <v>30.4454</v>
      </c>
      <c r="AD282" s="118">
        <f>HYPERLINK("https://docs.google.com/spreadsheets/d/1r9E7Gz-IIpp9dICYSS5U0GgVMM5J6GJY", 35.144)</f>
        <v>35.144</v>
      </c>
      <c r="AJ282" s="118">
        <f>HYPERLINK("https://docs.google.com/spreadsheets/d/1tndfCQKBXR9G_yT8aSWdtlokPH90iDLY", 0.2736)</f>
        <v>0.2736</v>
      </c>
      <c r="AK282" s="118">
        <f>HYPERLINK("https://docs.google.com/spreadsheets/d/1E2nhSx-kcHxsjLjNYjMXWZiKPwst4Hax", 1.56531666666667)</f>
        <v>1.565316667</v>
      </c>
      <c r="AL282" s="118">
        <f>HYPERLINK("https://docs.google.com/spreadsheets/d/1al53D1ZdNWhMOl6_ABTLAIqSpcSen51u", 3.77995)</f>
        <v>3.77995</v>
      </c>
      <c r="AM282" s="118">
        <f>HYPERLINK("https://docs.google.com/spreadsheets/d/18djtASTiMw7B0mAae1CPHaEYD8HobV-e", 24.0902666666667)</f>
        <v>24.09026667</v>
      </c>
      <c r="AP282" s="118">
        <f>HYPERLINK("https://docs.google.com/spreadsheets/d/1reNqNwWwiUBty5IONWrf9sUgWY42G2a5", 3.0777)</f>
        <v>3.0777</v>
      </c>
      <c r="AQ282" s="118">
        <f>HYPERLINK("https://docs.google.com/spreadsheets/d/1enLY7PpQ1K36Blzqm1n2zwvR5rdT1yir", 7.54206666666667)</f>
        <v>7.542066667</v>
      </c>
      <c r="AR282" s="118">
        <f>HYPERLINK("https://docs.google.com/spreadsheets/d/1r2pKtKqGwmJQO4HZUFloSy3BECurI4Aw", 14.5423833333333)</f>
        <v>14.54238333</v>
      </c>
      <c r="AU282" s="118">
        <f>HYPERLINK("https://docs.google.com/spreadsheets/d/1k6iaKQuCokYurbsNyWIB5hYeCh5ngDW9", 0)</f>
        <v>0</v>
      </c>
      <c r="AV282" s="118">
        <f>HYPERLINK("https://docs.google.com/spreadsheets/d/1Gxlet1UHBgLjfCMrZDFKgdI8g_Vjptcc", 2.31378333333333)</f>
        <v>2.313783333</v>
      </c>
      <c r="AY282" s="118">
        <f>HYPERLINK("https://docs.google.com/spreadsheets/d/1Z-S2Mu2uDvyZ-yuxGl2p8OiR6selZ2rm", 184.150383333333)</f>
        <v>184.1503833</v>
      </c>
    </row>
    <row r="283">
      <c r="A283" s="65" t="s">
        <v>35</v>
      </c>
      <c r="B283" s="65" t="s">
        <v>82</v>
      </c>
      <c r="C283" s="65" t="s">
        <v>413</v>
      </c>
      <c r="D283" s="64">
        <f t="shared" si="1"/>
        <v>363.7411833</v>
      </c>
      <c r="E283" s="115"/>
      <c r="F283" s="104"/>
      <c r="G283" s="104">
        <v>0.0</v>
      </c>
      <c r="H283" s="104">
        <v>1.08446666666667</v>
      </c>
      <c r="I283" s="104">
        <v>10.06335</v>
      </c>
      <c r="J283" s="104">
        <v>7.11401666666667</v>
      </c>
      <c r="K283" s="104">
        <v>30.8697333333333</v>
      </c>
      <c r="L283" s="104"/>
      <c r="M283" s="104"/>
      <c r="N283" s="104"/>
      <c r="O283" s="104"/>
      <c r="P283" s="65">
        <v>0.434783333333333</v>
      </c>
      <c r="Q283" s="65"/>
      <c r="R283" s="65"/>
      <c r="S283" s="65"/>
      <c r="T283" s="65"/>
      <c r="U283" s="65">
        <v>0.983266666666667</v>
      </c>
      <c r="V283" s="65">
        <v>33.81475</v>
      </c>
      <c r="W283" s="65">
        <v>62.16265</v>
      </c>
      <c r="X283" s="65"/>
      <c r="Y283" s="65"/>
      <c r="Z283" s="65"/>
      <c r="AA283" s="65">
        <v>0.07135</v>
      </c>
      <c r="AB283" s="65">
        <v>0.0936166666666669</v>
      </c>
      <c r="AC283" s="65">
        <v>12.8984833333333</v>
      </c>
      <c r="AD283" s="65">
        <v>12.2204333333333</v>
      </c>
      <c r="AE283" s="65"/>
      <c r="AF283" s="65"/>
      <c r="AG283" s="65"/>
      <c r="AH283" s="65"/>
      <c r="AI283" s="65"/>
      <c r="AJ283" s="65">
        <v>0.2736</v>
      </c>
      <c r="AK283" s="65">
        <v>0.243766666666666</v>
      </c>
      <c r="AL283" s="65">
        <v>0.742733333333332</v>
      </c>
      <c r="AM283" s="65">
        <v>24.0902666666667</v>
      </c>
      <c r="AN283" s="65"/>
      <c r="AP283" s="65">
        <v>2.43721666666667</v>
      </c>
      <c r="AQ283" s="65">
        <v>3.71446666666667</v>
      </c>
      <c r="AR283" s="65">
        <v>14.5423833333333</v>
      </c>
      <c r="AT283" s="65"/>
      <c r="AU283" s="65">
        <v>0.0</v>
      </c>
      <c r="AV283" s="65">
        <v>0.796416666666667</v>
      </c>
      <c r="AY283" s="65">
        <v>145.089433333333</v>
      </c>
    </row>
    <row r="284">
      <c r="A284" s="119" t="s">
        <v>35</v>
      </c>
      <c r="B284" s="119" t="s">
        <v>82</v>
      </c>
      <c r="C284" s="119" t="s">
        <v>414</v>
      </c>
      <c r="D284" s="120">
        <f t="shared" si="1"/>
        <v>0</v>
      </c>
      <c r="E284" s="121"/>
      <c r="F284" s="123"/>
      <c r="G284" s="122">
        <f>HYPERLINK("https://docs.google.com/spreadsheets/d/1w1VOwqvASRHSRLkSSmw3CMIRi4xxMOXK", 0)</f>
        <v>0</v>
      </c>
      <c r="H284" s="122">
        <f>HYPERLINK("https://docs.google.com/spreadsheets/d/1DEAVYbzkQAGLjpJPLtWvCDSl99Yp7dzg", 0)</f>
        <v>0</v>
      </c>
      <c r="I284" s="122">
        <f>HYPERLINK("https://docs.google.com/spreadsheets/d/1v_jjq6A-nHy2Ba0LTFAEddVp8dfWqCQI", 0)</f>
        <v>0</v>
      </c>
      <c r="J284" s="122">
        <f>HYPERLINK("https://docs.google.com/spreadsheets/d/1aKTVNYqyAeNsjtyVltFL4KkkXTwkkKLN", 0)</f>
        <v>0</v>
      </c>
      <c r="K284" s="122">
        <f>HYPERLINK("https://docs.google.com/spreadsheets/d/1DogAeIIoV3s9ne3tSQQmESIsFzvYW_4p", 0)</f>
        <v>0</v>
      </c>
      <c r="L284" s="121"/>
      <c r="M284" s="121"/>
      <c r="N284" s="123"/>
      <c r="O284" s="121"/>
      <c r="P284" s="124">
        <f>HYPERLINK("https://docs.google.com/spreadsheets/d/1AZ8zQ9qah9k9J3RHmB2My_k68OvHm3x-", 0)</f>
        <v>0</v>
      </c>
      <c r="Q284" s="120"/>
      <c r="R284" s="120"/>
      <c r="S284" s="120"/>
      <c r="T284" s="119"/>
      <c r="U284" s="125">
        <f>HYPERLINK("https://docs.google.com/spreadsheets/d/1xGgP73_KFtYtWoVrOPaw0E66VEauMY08", 0)</f>
        <v>0</v>
      </c>
      <c r="V284" s="124">
        <f>HYPERLINK("https://docs.google.com/spreadsheets/d/1cSiiQTnetY5SXBGMdC-Utp3E67fnwlgl", 0)</f>
        <v>0</v>
      </c>
      <c r="W284" s="124">
        <f>HYPERLINK("https://docs.google.com/spreadsheets/d/1-OcDd6Gm5C78p7Uw-ctcSapl3R5IrHRl", 0)</f>
        <v>0</v>
      </c>
      <c r="X284" s="120"/>
      <c r="Y284" s="119"/>
      <c r="Z284" s="120"/>
      <c r="AA284" s="124">
        <f>HYPERLINK("https://docs.google.com/spreadsheets/d/1sidwpPbGY8LiRH1KkUJ6-buXJuM4qlPJ", 0)</f>
        <v>0</v>
      </c>
      <c r="AB284" s="124">
        <f>HYPERLINK("https://docs.google.com/spreadsheets/d/1UgazA7owZr-_3ePn3R7lq78Sw6bN2Rs7", 0)</f>
        <v>0</v>
      </c>
      <c r="AC284" s="124">
        <f>HYPERLINK("https://docs.google.com/spreadsheets/d/1DcSnsW3UzORTt_rCu3XLIqAZgpIshhVR", 0)</f>
        <v>0</v>
      </c>
      <c r="AD284" s="124">
        <f>HYPERLINK("https://docs.google.com/spreadsheets/d/1r9E7Gz-IIpp9dICYSS5U0GgVMM5J6GJY", 0)</f>
        <v>0</v>
      </c>
      <c r="AE284" s="120"/>
      <c r="AF284" s="119"/>
      <c r="AG284" s="119"/>
      <c r="AH284" s="119"/>
      <c r="AI284" s="119"/>
      <c r="AJ284" s="124">
        <f>HYPERLINK("https://docs.google.com/spreadsheets/d/1tndfCQKBXR9G_yT8aSWdtlokPH90iDLY", 0)</f>
        <v>0</v>
      </c>
      <c r="AK284" s="124">
        <f>HYPERLINK("https://docs.google.com/spreadsheets/d/1E2nhSx-kcHxsjLjNYjMXWZiKPwst4Hax", 0)</f>
        <v>0</v>
      </c>
      <c r="AL284" s="125">
        <f>HYPERLINK("https://docs.google.com/spreadsheets/d/1al53D1ZdNWhMOl6_ABTLAIqSpcSen51u", 0)</f>
        <v>0</v>
      </c>
      <c r="AM284" s="124">
        <f>HYPERLINK("https://docs.google.com/spreadsheets/d/18djtASTiMw7B0mAae1CPHaEYD8HobV-e", 0)</f>
        <v>0</v>
      </c>
      <c r="AN284" s="119"/>
      <c r="AO284" s="120"/>
      <c r="AP284" s="124">
        <f>HYPERLINK("https://docs.google.com/spreadsheets/d/1reNqNwWwiUBty5IONWrf9sUgWY42G2a5", 0)</f>
        <v>0</v>
      </c>
      <c r="AQ284" s="124">
        <f>HYPERLINK("https://docs.google.com/spreadsheets/d/1enLY7PpQ1K36Blzqm1n2zwvR5rdT1yir", 0)</f>
        <v>0</v>
      </c>
      <c r="AR284" s="125">
        <f>HYPERLINK("https://docs.google.com/spreadsheets/d/1r2pKtKqGwmJQO4HZUFloSy3BECurI4Aw", 0)</f>
        <v>0</v>
      </c>
      <c r="AS284" s="120"/>
      <c r="AT284" s="120"/>
      <c r="AU284" s="125">
        <f>HYPERLINK("https://docs.google.com/spreadsheets/d/1k6iaKQuCokYurbsNyWIB5hYeCh5ngDW9", 0)</f>
        <v>0</v>
      </c>
      <c r="AV284" s="124">
        <f>HYPERLINK("https://docs.google.com/spreadsheets/d/1Gxlet1UHBgLjfCMrZDFKgdI8g_Vjptcc", 0)</f>
        <v>0</v>
      </c>
      <c r="AW284" s="120"/>
      <c r="AX284" s="120"/>
      <c r="AY284" s="124">
        <f>HYPERLINK("https://docs.google.com/spreadsheets/d/1Z-S2Mu2uDvyZ-yuxGl2p8OiR6selZ2rm", 0)</f>
        <v>0</v>
      </c>
      <c r="AZ284" s="120"/>
      <c r="BA284" s="120"/>
      <c r="BB284" s="120"/>
      <c r="BC284" s="120"/>
      <c r="BD284" s="120"/>
      <c r="BE284" s="120"/>
      <c r="BF284" s="120"/>
      <c r="BG284" s="120"/>
      <c r="BH284" s="120"/>
      <c r="BI284" s="120"/>
      <c r="BJ284" s="120"/>
      <c r="BK284" s="120"/>
      <c r="BL284" s="120"/>
      <c r="BM284" s="120"/>
      <c r="BN284" s="120"/>
      <c r="BO284" s="120"/>
      <c r="BP284" s="120"/>
      <c r="BQ284" s="120"/>
      <c r="BR284" s="120"/>
      <c r="BS284" s="120"/>
      <c r="BT284" s="120"/>
      <c r="BU284" s="120"/>
      <c r="BV284" s="120"/>
      <c r="BW284" s="120"/>
      <c r="BX284" s="120"/>
      <c r="BY284" s="120"/>
      <c r="BZ284" s="120"/>
      <c r="CA284" s="120"/>
      <c r="CB284" s="120"/>
      <c r="CC284" s="120"/>
      <c r="CD284" s="120"/>
      <c r="CE284" s="120"/>
      <c r="CF284" s="120"/>
      <c r="CG284" s="120"/>
      <c r="CH284" s="120"/>
      <c r="CI284" s="120"/>
      <c r="CJ284" s="120"/>
      <c r="CK284" s="120"/>
      <c r="CL284" s="120"/>
      <c r="CM284" s="120"/>
      <c r="CN284" s="120"/>
      <c r="CO284" s="120"/>
      <c r="CP284" s="120"/>
      <c r="CQ284" s="120"/>
      <c r="CR284" s="120"/>
      <c r="CS284" s="120"/>
      <c r="CT284" s="120"/>
      <c r="CU284" s="120"/>
      <c r="CV284" s="120"/>
      <c r="CW284" s="120"/>
      <c r="CX284" s="120"/>
      <c r="CY284" s="120"/>
      <c r="CZ284" s="120"/>
      <c r="DA284" s="120"/>
      <c r="DB284" s="120"/>
      <c r="DC284" s="120"/>
      <c r="DD284" s="120"/>
      <c r="DE284" s="120"/>
      <c r="DF284" s="120"/>
      <c r="DG284" s="120"/>
      <c r="DH284" s="120"/>
      <c r="DI284" s="120"/>
      <c r="DJ284" s="120"/>
      <c r="DK284" s="120"/>
      <c r="DL284" s="120"/>
      <c r="DM284" s="120"/>
      <c r="DN284" s="120"/>
      <c r="DO284" s="120"/>
      <c r="DP284" s="120"/>
      <c r="DQ284" s="120"/>
      <c r="DR284" s="120"/>
      <c r="DS284" s="120"/>
      <c r="DT284" s="120"/>
      <c r="DU284" s="120"/>
      <c r="DV284" s="120"/>
      <c r="DW284" s="120"/>
      <c r="DX284" s="120"/>
      <c r="DY284" s="120"/>
      <c r="DZ284" s="120"/>
      <c r="EA284" s="120"/>
      <c r="EB284" s="120"/>
      <c r="EC284" s="120"/>
      <c r="ED284" s="120"/>
      <c r="EE284" s="120"/>
      <c r="EF284" s="120"/>
      <c r="EG284" s="120"/>
      <c r="EH284" s="120"/>
      <c r="EI284" s="120"/>
      <c r="EJ284" s="120"/>
      <c r="EK284" s="120"/>
      <c r="EL284" s="120"/>
      <c r="EM284" s="120"/>
      <c r="EN284" s="120"/>
      <c r="EO284" s="120"/>
      <c r="EP284" s="120"/>
      <c r="EQ284" s="120"/>
      <c r="ER284" s="120"/>
      <c r="ES284" s="120"/>
      <c r="ET284" s="120"/>
      <c r="EU284" s="120"/>
      <c r="EV284" s="120"/>
      <c r="EW284" s="120"/>
      <c r="EX284" s="120"/>
      <c r="EY284" s="120"/>
    </row>
    <row r="285">
      <c r="A285" s="112" t="s">
        <v>35</v>
      </c>
      <c r="B285" s="112" t="s">
        <v>83</v>
      </c>
      <c r="C285" s="112" t="s">
        <v>409</v>
      </c>
      <c r="D285" s="113">
        <f t="shared" si="1"/>
        <v>707.2741</v>
      </c>
      <c r="E285" s="114">
        <v>99.2527999999999</v>
      </c>
      <c r="F285" s="114"/>
      <c r="G285" s="114"/>
      <c r="H285" s="114"/>
      <c r="I285" s="114"/>
      <c r="J285" s="114"/>
      <c r="K285" s="114"/>
      <c r="L285" s="114">
        <v>1.99991666666667</v>
      </c>
      <c r="M285" s="114"/>
      <c r="N285" s="114"/>
      <c r="O285" s="114">
        <v>14.50225</v>
      </c>
      <c r="P285" s="112"/>
      <c r="Q285" s="112">
        <v>0.532933333333333</v>
      </c>
      <c r="R285" s="112">
        <v>162.637316666667</v>
      </c>
      <c r="S285" s="112"/>
      <c r="T285" s="112"/>
      <c r="U285" s="112"/>
      <c r="V285" s="112"/>
      <c r="W285" s="112"/>
      <c r="X285" s="112">
        <v>1.92008333333333</v>
      </c>
      <c r="Y285" s="112">
        <v>90.6826833333335</v>
      </c>
      <c r="Z285" s="112"/>
      <c r="AA285" s="113"/>
      <c r="AB285" s="112"/>
      <c r="AC285" s="112"/>
      <c r="AD285" s="112"/>
      <c r="AE285" s="112">
        <v>2.08206666666667</v>
      </c>
      <c r="AF285" s="112"/>
      <c r="AG285" s="112"/>
      <c r="AH285" s="112">
        <v>54.7331333333333</v>
      </c>
      <c r="AI285" s="112"/>
      <c r="AJ285" s="112"/>
      <c r="AK285" s="112"/>
      <c r="AL285" s="113"/>
      <c r="AM285" s="112"/>
      <c r="AN285" s="112">
        <v>0.6125</v>
      </c>
      <c r="AO285" s="112">
        <v>39.0986833333333</v>
      </c>
      <c r="AP285" s="112"/>
      <c r="AQ285" s="113"/>
      <c r="AR285" s="112"/>
      <c r="AS285" s="112">
        <v>3.67895</v>
      </c>
      <c r="AT285" s="112">
        <v>6.16456666666667</v>
      </c>
      <c r="AU285" s="112"/>
      <c r="AV285" s="112"/>
      <c r="AW285" s="112"/>
      <c r="AX285" s="112">
        <v>222.982766666666</v>
      </c>
      <c r="AY285" s="113"/>
      <c r="AZ285" s="112">
        <v>5.84938333333334</v>
      </c>
      <c r="BA285" s="112">
        <v>0.544066666666667</v>
      </c>
      <c r="BB285" s="113"/>
      <c r="BC285" s="113"/>
      <c r="BD285" s="113"/>
      <c r="BE285" s="113"/>
      <c r="BF285" s="113"/>
      <c r="BG285" s="113"/>
      <c r="BH285" s="113"/>
      <c r="BI285" s="113"/>
      <c r="BJ285" s="113"/>
      <c r="BK285" s="113"/>
      <c r="BL285" s="113"/>
      <c r="BM285" s="113"/>
      <c r="BN285" s="113"/>
      <c r="BO285" s="113"/>
      <c r="BP285" s="113"/>
      <c r="BQ285" s="113"/>
      <c r="BR285" s="113"/>
      <c r="BS285" s="113"/>
      <c r="BT285" s="113"/>
      <c r="BU285" s="113"/>
      <c r="BV285" s="113"/>
      <c r="BW285" s="113"/>
      <c r="BX285" s="113"/>
      <c r="BY285" s="113"/>
      <c r="BZ285" s="113"/>
      <c r="CA285" s="113"/>
      <c r="CB285" s="113"/>
      <c r="CC285" s="113"/>
      <c r="CD285" s="113"/>
      <c r="CE285" s="113"/>
      <c r="CF285" s="113"/>
      <c r="CG285" s="113"/>
      <c r="CH285" s="113"/>
      <c r="CI285" s="113"/>
      <c r="CJ285" s="113"/>
      <c r="CK285" s="113"/>
      <c r="CL285" s="113"/>
      <c r="CM285" s="113"/>
      <c r="CN285" s="113"/>
      <c r="CO285" s="113"/>
      <c r="CP285" s="113"/>
      <c r="CQ285" s="113"/>
      <c r="CR285" s="113"/>
      <c r="CS285" s="113"/>
      <c r="CT285" s="113"/>
      <c r="CU285" s="113"/>
      <c r="CV285" s="113"/>
      <c r="CW285" s="113"/>
      <c r="CX285" s="113"/>
      <c r="CY285" s="113"/>
      <c r="CZ285" s="113"/>
      <c r="DA285" s="113"/>
      <c r="DB285" s="113"/>
      <c r="DC285" s="113"/>
      <c r="DD285" s="113"/>
      <c r="DE285" s="113"/>
      <c r="DF285" s="113"/>
      <c r="DG285" s="113"/>
      <c r="DH285" s="113"/>
      <c r="DI285" s="113"/>
      <c r="DJ285" s="113"/>
      <c r="DK285" s="113"/>
      <c r="DL285" s="113"/>
      <c r="DM285" s="113"/>
      <c r="DN285" s="113"/>
      <c r="DO285" s="113"/>
      <c r="DP285" s="113"/>
      <c r="DQ285" s="113"/>
      <c r="DR285" s="113"/>
      <c r="DS285" s="113"/>
      <c r="DT285" s="113"/>
      <c r="DU285" s="113"/>
      <c r="DV285" s="113"/>
      <c r="DW285" s="113"/>
      <c r="DX285" s="113"/>
      <c r="DY285" s="113"/>
      <c r="DZ285" s="113"/>
      <c r="EA285" s="113"/>
      <c r="EB285" s="113"/>
      <c r="EC285" s="113"/>
      <c r="ED285" s="113"/>
      <c r="EE285" s="113"/>
      <c r="EF285" s="113"/>
      <c r="EG285" s="113"/>
      <c r="EH285" s="113"/>
      <c r="EI285" s="113"/>
      <c r="EJ285" s="113"/>
      <c r="EK285" s="113"/>
      <c r="EL285" s="113"/>
      <c r="EM285" s="113"/>
      <c r="EN285" s="113"/>
      <c r="EO285" s="113"/>
      <c r="EP285" s="113"/>
      <c r="EQ285" s="113"/>
      <c r="ER285" s="113"/>
      <c r="ES285" s="113"/>
      <c r="ET285" s="113"/>
      <c r="EU285" s="113"/>
      <c r="EV285" s="113"/>
      <c r="EW285" s="113"/>
      <c r="EX285" s="113"/>
      <c r="EY285" s="113"/>
    </row>
    <row r="286">
      <c r="A286" s="65" t="s">
        <v>35</v>
      </c>
      <c r="B286" s="65" t="s">
        <v>83</v>
      </c>
      <c r="C286" s="65" t="s">
        <v>410</v>
      </c>
      <c r="D286" s="64">
        <f t="shared" si="1"/>
        <v>422.222</v>
      </c>
      <c r="E286" s="104"/>
      <c r="F286" s="104"/>
      <c r="G286" s="104">
        <v>3.29643333333333</v>
      </c>
      <c r="H286" s="104">
        <v>1.41746666666667</v>
      </c>
      <c r="I286" s="104">
        <v>55.3390666666667</v>
      </c>
      <c r="J286" s="104">
        <v>8.62701666666667</v>
      </c>
      <c r="K286" s="104">
        <v>5.79935</v>
      </c>
      <c r="L286" s="104"/>
      <c r="M286" s="104"/>
      <c r="N286" s="104">
        <v>3.29643333333333</v>
      </c>
      <c r="O286" s="104"/>
      <c r="P286" s="65">
        <v>2.84683333333333</v>
      </c>
      <c r="Q286" s="65"/>
      <c r="R286" s="65"/>
      <c r="S286" s="65"/>
      <c r="T286" s="65"/>
      <c r="U286" s="65">
        <v>2.3656</v>
      </c>
      <c r="V286" s="65">
        <v>38.1330166666667</v>
      </c>
      <c r="W286" s="65">
        <v>81.2848666666667</v>
      </c>
      <c r="X286" s="65"/>
      <c r="Y286" s="65"/>
      <c r="Z286" s="65"/>
      <c r="AA286" s="65">
        <v>0.142133333333333</v>
      </c>
      <c r="AB286" s="65">
        <v>2.15768333333333</v>
      </c>
      <c r="AC286" s="65">
        <v>31.2893833333333</v>
      </c>
      <c r="AD286" s="65">
        <v>31.2749833333333</v>
      </c>
      <c r="AE286" s="65"/>
      <c r="AF286" s="65"/>
      <c r="AG286" s="65">
        <v>0.142133333333333</v>
      </c>
      <c r="AH286" s="65"/>
      <c r="AI286" s="65"/>
      <c r="AJ286" s="65">
        <v>0.369766666666667</v>
      </c>
      <c r="AK286" s="65">
        <v>1.54406666666667</v>
      </c>
      <c r="AL286" s="65">
        <v>4.55453333333333</v>
      </c>
      <c r="AM286" s="65">
        <v>28.8441166666667</v>
      </c>
      <c r="AN286" s="65"/>
      <c r="AP286" s="65">
        <v>0.888733333333333</v>
      </c>
      <c r="AQ286" s="65">
        <v>6.8006</v>
      </c>
      <c r="AR286" s="65">
        <v>6.64086666666667</v>
      </c>
      <c r="AT286" s="65"/>
      <c r="AU286" s="65"/>
      <c r="AV286" s="65">
        <v>3.24131666666667</v>
      </c>
      <c r="AY286" s="65">
        <v>101.9256</v>
      </c>
    </row>
    <row r="287">
      <c r="A287" s="65" t="s">
        <v>35</v>
      </c>
      <c r="B287" s="65" t="s">
        <v>83</v>
      </c>
      <c r="C287" s="65" t="s">
        <v>411</v>
      </c>
      <c r="D287" s="64">
        <f t="shared" si="1"/>
        <v>0</v>
      </c>
      <c r="E287" s="115"/>
      <c r="F287" s="115"/>
      <c r="G287" s="115"/>
      <c r="H287" s="115"/>
      <c r="I287" s="115"/>
      <c r="J287" s="115"/>
      <c r="K287" s="115"/>
      <c r="L287" s="115"/>
      <c r="M287" s="115"/>
      <c r="N287" s="115"/>
      <c r="O287" s="115"/>
    </row>
    <row r="288">
      <c r="A288" s="65" t="s">
        <v>35</v>
      </c>
      <c r="B288" s="65" t="s">
        <v>83</v>
      </c>
      <c r="C288" s="65" t="s">
        <v>412</v>
      </c>
      <c r="D288" s="64">
        <f t="shared" si="1"/>
        <v>417.77775</v>
      </c>
      <c r="E288" s="115"/>
      <c r="F288" s="104"/>
      <c r="G288" s="116">
        <f>HYPERLINK("https://docs.google.com/spreadsheets/d/1Ksprouc1xmUB9uNEaddeJEpT1adIaxoN", 3.29643333333333)</f>
        <v>3.296433333</v>
      </c>
      <c r="H288" s="116">
        <f>HYPERLINK("https://docs.google.com/spreadsheets/d/1lzLQMHIfaXU02FORMa1EsyIKFrni75wV", 1.41746666666667)</f>
        <v>1.417466667</v>
      </c>
      <c r="I288" s="117">
        <f>HYPERLINK("https://docs.google.com/spreadsheets/d/1esZmw-JsvShIDO6yU1haO6T5F6QhHpJu", 55.2681666666667)</f>
        <v>55.26816667</v>
      </c>
      <c r="J288" s="116">
        <f>HYPERLINK("https://docs.google.com/spreadsheets/d/1kVy8GtH7XngAHNKl03EHF4Wz22x4VQat", 8.62698333333334)</f>
        <v>8.626983333</v>
      </c>
      <c r="K288" s="117">
        <f>HYPERLINK("https://docs.google.com/spreadsheets/d/1O409NMV5c5f3hSBAxNmxqrbHw7bDyuhR", 5.79935)</f>
        <v>5.79935</v>
      </c>
      <c r="L288" s="115"/>
      <c r="M288" s="104"/>
      <c r="N288" s="115"/>
      <c r="O288" s="104"/>
      <c r="P288" s="118">
        <f>HYPERLINK("https://docs.google.com/spreadsheets/d/10TnM265zxFGUbz3l9_LuALTmfHFyTx4J", 2.84683333333333)</f>
        <v>2.846833333</v>
      </c>
      <c r="U288" s="118">
        <f>HYPERLINK("https://docs.google.com/spreadsheets/d/1VJgzeKJS9Owna09aoWCQadse5IJBrvXH", 2.3656)</f>
        <v>2.3656</v>
      </c>
      <c r="V288" s="118">
        <f>HYPERLINK("https://docs.google.com/spreadsheets/d/1jB3zL0T7S1dalB3E07YZGerZdDpmArw5", 38.06335)</f>
        <v>38.06335</v>
      </c>
      <c r="W288" s="118">
        <f>HYPERLINK("https://docs.google.com/spreadsheets/d/1njXzdknh-aO7-cXJxzQxdFPkvE5fE6md", 80.9577)</f>
        <v>80.9577</v>
      </c>
      <c r="AA288" s="118">
        <f>HYPERLINK("https://docs.google.com/spreadsheets/d/1dIenuvHgWy30g0wOOBjgkBBHx2EPMsLt", 0.142133333333333)</f>
        <v>0.1421333333</v>
      </c>
      <c r="AB288" s="118">
        <f>HYPERLINK("https://docs.google.com/spreadsheets/d/18uooiJM9xNVXJpPeL1YwF_Ya6Snud1Ub", 2.15768333333333)</f>
        <v>2.157683333</v>
      </c>
      <c r="AC288" s="118">
        <f>HYPERLINK("https://docs.google.com/spreadsheets/d/1CSZlW8dvdmo-BV0M5TxkFcG4-ujn0lQL", 31.2893666666667)</f>
        <v>31.28936667</v>
      </c>
      <c r="AD288" s="118">
        <f>HYPERLINK("https://docs.google.com/spreadsheets/d/1d1y7JoQiuTwTXlFkfYtd0_CsXvi5oY2t", 31.2749666666667)</f>
        <v>31.27496667</v>
      </c>
      <c r="AJ288" s="118">
        <f>HYPERLINK("https://docs.google.com/spreadsheets/d/1Gr9Yi9nbq7qUrxkgamkf99ET-j-QZxEj", 0.369766666666667)</f>
        <v>0.3697666667</v>
      </c>
      <c r="AK288" s="118">
        <f>HYPERLINK("https://docs.google.com/spreadsheets/d/1Ak3nHPXF8vLEliEKonZACGgLK37mX0K0", 1.54406666666667)</f>
        <v>1.544066667</v>
      </c>
      <c r="AL288" s="118">
        <f>HYPERLINK("https://docs.google.com/spreadsheets/d/147UQWkOpjPKqO3bbAs-14K8weCYkLkDZ", 4.55451666666667)</f>
        <v>4.554516667</v>
      </c>
      <c r="AM288" s="118">
        <f>HYPERLINK("https://docs.google.com/spreadsheets/d/1rrvEpjU0WnaJRSS9GOr_zaCSw4fKY2GE", 28.7061166666667)</f>
        <v>28.70611667</v>
      </c>
      <c r="AP288" s="118">
        <f>HYPERLINK("https://docs.google.com/spreadsheets/d/1xkg8Dl1K3SadogKZKTwEepvE7bW9O9Om", 0.888733333333333)</f>
        <v>0.8887333333</v>
      </c>
      <c r="AQ288" s="118">
        <f>HYPERLINK("https://docs.google.com/spreadsheets/d/1Wzv2VvIMJ9f_gOpoe0ankVzn2-3oAkjv", 6.80056666666667)</f>
        <v>6.800566667</v>
      </c>
      <c r="AR288" s="118">
        <f>HYPERLINK("https://docs.google.com/spreadsheets/d/1eY2UuyJBs5NxIduxxPIKpGZORw5Ct3OU", 6.64086666666667)</f>
        <v>6.640866667</v>
      </c>
      <c r="AV288" s="118">
        <f>HYPERLINK("https://docs.google.com/spreadsheets/d/1Lx_k057BjrYadvxjx0RVpTqeNtCSBQvD", 3.24131666666667)</f>
        <v>3.241316667</v>
      </c>
      <c r="AY288" s="118">
        <f>HYPERLINK("https://docs.google.com/spreadsheets/d/1PSEG3vvpTHJX1ldwHN0FgaDRLKMHZcF5", 101.525766666667)</f>
        <v>101.5257667</v>
      </c>
    </row>
    <row r="289">
      <c r="A289" s="65" t="s">
        <v>35</v>
      </c>
      <c r="B289" s="65" t="s">
        <v>83</v>
      </c>
      <c r="C289" s="65" t="s">
        <v>413</v>
      </c>
      <c r="D289" s="64">
        <f t="shared" si="1"/>
        <v>254.2528833</v>
      </c>
      <c r="E289" s="115"/>
      <c r="F289" s="104"/>
      <c r="G289" s="104">
        <v>1.0422</v>
      </c>
      <c r="H289" s="104">
        <v>0.56115</v>
      </c>
      <c r="I289" s="104">
        <v>11.8297333333334</v>
      </c>
      <c r="J289" s="104">
        <v>2.39088333333333</v>
      </c>
      <c r="K289" s="104">
        <v>5.79935</v>
      </c>
      <c r="L289" s="104"/>
      <c r="M289" s="104"/>
      <c r="N289" s="104"/>
      <c r="O289" s="104"/>
      <c r="P289" s="65">
        <v>2.35541666666667</v>
      </c>
      <c r="Q289" s="65"/>
      <c r="R289" s="65"/>
      <c r="S289" s="65"/>
      <c r="T289" s="65"/>
      <c r="U289" s="65">
        <v>0.820216666666667</v>
      </c>
      <c r="V289" s="65">
        <v>15.7181</v>
      </c>
      <c r="W289" s="65">
        <v>79.2214833333333</v>
      </c>
      <c r="X289" s="65"/>
      <c r="Y289" s="65"/>
      <c r="Z289" s="65"/>
      <c r="AA289" s="65">
        <v>0.142133333333333</v>
      </c>
      <c r="AB289" s="65">
        <v>0.412333333333333</v>
      </c>
      <c r="AC289" s="65">
        <v>8.72593333333332</v>
      </c>
      <c r="AD289" s="65">
        <v>5.58495000000001</v>
      </c>
      <c r="AE289" s="65"/>
      <c r="AF289" s="65"/>
      <c r="AG289" s="65"/>
      <c r="AH289" s="65"/>
      <c r="AI289" s="65"/>
      <c r="AJ289" s="65">
        <v>0.369766666666667</v>
      </c>
      <c r="AK289" s="65">
        <v>0.165633333333333</v>
      </c>
      <c r="AL289" s="65">
        <v>0.218066666666665</v>
      </c>
      <c r="AM289" s="65">
        <v>28.7061166666667</v>
      </c>
      <c r="AN289" s="65"/>
      <c r="AP289" s="65">
        <v>0.888733333333333</v>
      </c>
      <c r="AQ289" s="65">
        <v>2.04583333333333</v>
      </c>
      <c r="AR289" s="65">
        <v>6.47496666666667</v>
      </c>
      <c r="AT289" s="65"/>
      <c r="AU289" s="65"/>
      <c r="AV289" s="65">
        <v>1.16353333333333</v>
      </c>
      <c r="AY289" s="65">
        <v>79.6163499999999</v>
      </c>
    </row>
    <row r="290">
      <c r="A290" s="119" t="s">
        <v>35</v>
      </c>
      <c r="B290" s="119" t="s">
        <v>83</v>
      </c>
      <c r="C290" s="119" t="s">
        <v>414</v>
      </c>
      <c r="D290" s="120">
        <f t="shared" si="1"/>
        <v>0</v>
      </c>
      <c r="E290" s="121"/>
      <c r="F290" s="123"/>
      <c r="G290" s="122">
        <f>HYPERLINK("https://docs.google.com/spreadsheets/d/1Ksprouc1xmUB9uNEaddeJEpT1adIaxoN", 0)</f>
        <v>0</v>
      </c>
      <c r="H290" s="122">
        <f>HYPERLINK("https://docs.google.com/spreadsheets/d/1lzLQMHIfaXU02FORMa1EsyIKFrni75wV", 0)</f>
        <v>0</v>
      </c>
      <c r="I290" s="122">
        <f>HYPERLINK("https://docs.google.com/spreadsheets/d/1esZmw-JsvShIDO6yU1haO6T5F6QhHpJu", 0)</f>
        <v>0</v>
      </c>
      <c r="J290" s="122">
        <f>HYPERLINK("https://docs.google.com/spreadsheets/d/1kVy8GtH7XngAHNKl03EHF4Wz22x4VQat", 0)</f>
        <v>0</v>
      </c>
      <c r="K290" s="122">
        <f>HYPERLINK("https://docs.google.com/spreadsheets/d/1O409NMV5c5f3hSBAxNmxqrbHw7bDyuhR", 0)</f>
        <v>0</v>
      </c>
      <c r="L290" s="121"/>
      <c r="M290" s="121"/>
      <c r="N290" s="123"/>
      <c r="O290" s="121"/>
      <c r="P290" s="124">
        <f>HYPERLINK("https://docs.google.com/spreadsheets/d/10TnM265zxFGUbz3l9_LuALTmfHFyTx4J", 0)</f>
        <v>0</v>
      </c>
      <c r="Q290" s="120"/>
      <c r="R290" s="120"/>
      <c r="S290" s="120"/>
      <c r="T290" s="119"/>
      <c r="U290" s="125">
        <f>HYPERLINK("https://docs.google.com/spreadsheets/d/1VJgzeKJS9Owna09aoWCQadse5IJBrvXH", 0)</f>
        <v>0</v>
      </c>
      <c r="V290" s="124">
        <f>HYPERLINK("https://docs.google.com/spreadsheets/d/1jB3zL0T7S1dalB3E07YZGerZdDpmArw5", 0)</f>
        <v>0</v>
      </c>
      <c r="W290" s="124">
        <f>HYPERLINK("https://docs.google.com/spreadsheets/d/1njXzdknh-aO7-cXJxzQxdFPkvE5fE6md", 0)</f>
        <v>0</v>
      </c>
      <c r="X290" s="120"/>
      <c r="Y290" s="119"/>
      <c r="Z290" s="120"/>
      <c r="AA290" s="124">
        <f>HYPERLINK("https://docs.google.com/spreadsheets/d/1dIenuvHgWy30g0wOOBjgkBBHx2EPMsLt", 0)</f>
        <v>0</v>
      </c>
      <c r="AB290" s="124">
        <f>HYPERLINK("https://docs.google.com/spreadsheets/d/18uooiJM9xNVXJpPeL1YwF_Ya6Snud1Ub", 0)</f>
        <v>0</v>
      </c>
      <c r="AC290" s="124">
        <f>HYPERLINK("https://docs.google.com/spreadsheets/d/1CSZlW8dvdmo-BV0M5TxkFcG4-ujn0lQL", 0)</f>
        <v>0</v>
      </c>
      <c r="AD290" s="124">
        <f>HYPERLINK("https://docs.google.com/spreadsheets/d/1d1y7JoQiuTwTXlFkfYtd0_CsXvi5oY2t", 0)</f>
        <v>0</v>
      </c>
      <c r="AE290" s="120"/>
      <c r="AF290" s="119"/>
      <c r="AG290" s="119"/>
      <c r="AH290" s="119"/>
      <c r="AI290" s="119"/>
      <c r="AJ290" s="124">
        <f>HYPERLINK("https://docs.google.com/spreadsheets/d/1Gr9Yi9nbq7qUrxkgamkf99ET-j-QZxEj", 0)</f>
        <v>0</v>
      </c>
      <c r="AK290" s="124">
        <f>HYPERLINK("https://docs.google.com/spreadsheets/d/1Ak3nHPXF8vLEliEKonZACGgLK37mX0K0", 0)</f>
        <v>0</v>
      </c>
      <c r="AL290" s="125">
        <f>HYPERLINK("https://docs.google.com/spreadsheets/d/147UQWkOpjPKqO3bbAs-14K8weCYkLkDZ", 0)</f>
        <v>0</v>
      </c>
      <c r="AM290" s="124">
        <f>HYPERLINK("https://docs.google.com/spreadsheets/d/1rrvEpjU0WnaJRSS9GOr_zaCSw4fKY2GE", 0)</f>
        <v>0</v>
      </c>
      <c r="AN290" s="119"/>
      <c r="AO290" s="120"/>
      <c r="AP290" s="124">
        <f>HYPERLINK("https://docs.google.com/spreadsheets/d/1xkg8Dl1K3SadogKZKTwEepvE7bW9O9Om", 0)</f>
        <v>0</v>
      </c>
      <c r="AQ290" s="124">
        <f>HYPERLINK("https://docs.google.com/spreadsheets/d/1Wzv2VvIMJ9f_gOpoe0ankVzn2-3oAkjv", 0)</f>
        <v>0</v>
      </c>
      <c r="AR290" s="125">
        <f>HYPERLINK("https://docs.google.com/spreadsheets/d/1eY2UuyJBs5NxIduxxPIKpGZORw5Ct3OU", 0)</f>
        <v>0</v>
      </c>
      <c r="AS290" s="120"/>
      <c r="AT290" s="120"/>
      <c r="AU290" s="119"/>
      <c r="AV290" s="124">
        <f>HYPERLINK("https://docs.google.com/spreadsheets/d/1Lx_k057BjrYadvxjx0RVpTqeNtCSBQvD", 0)</f>
        <v>0</v>
      </c>
      <c r="AW290" s="120"/>
      <c r="AX290" s="120"/>
      <c r="AY290" s="124">
        <f>HYPERLINK("https://docs.google.com/spreadsheets/d/1PSEG3vvpTHJX1ldwHN0FgaDRLKMHZcF5", 0)</f>
        <v>0</v>
      </c>
      <c r="AZ290" s="120"/>
      <c r="BA290" s="120"/>
      <c r="BB290" s="120"/>
      <c r="BC290" s="120"/>
      <c r="BD290" s="120"/>
      <c r="BE290" s="120"/>
      <c r="BF290" s="120"/>
      <c r="BG290" s="120"/>
      <c r="BH290" s="120"/>
      <c r="BI290" s="120"/>
      <c r="BJ290" s="120"/>
      <c r="BK290" s="120"/>
      <c r="BL290" s="120"/>
      <c r="BM290" s="120"/>
      <c r="BN290" s="120"/>
      <c r="BO290" s="120"/>
      <c r="BP290" s="120"/>
      <c r="BQ290" s="120"/>
      <c r="BR290" s="120"/>
      <c r="BS290" s="120"/>
      <c r="BT290" s="120"/>
      <c r="BU290" s="120"/>
      <c r="BV290" s="120"/>
      <c r="BW290" s="120"/>
      <c r="BX290" s="120"/>
      <c r="BY290" s="120"/>
      <c r="BZ290" s="120"/>
      <c r="CA290" s="120"/>
      <c r="CB290" s="120"/>
      <c r="CC290" s="120"/>
      <c r="CD290" s="120"/>
      <c r="CE290" s="120"/>
      <c r="CF290" s="120"/>
      <c r="CG290" s="120"/>
      <c r="CH290" s="120"/>
      <c r="CI290" s="120"/>
      <c r="CJ290" s="120"/>
      <c r="CK290" s="120"/>
      <c r="CL290" s="120"/>
      <c r="CM290" s="120"/>
      <c r="CN290" s="120"/>
      <c r="CO290" s="120"/>
      <c r="CP290" s="120"/>
      <c r="CQ290" s="120"/>
      <c r="CR290" s="120"/>
      <c r="CS290" s="120"/>
      <c r="CT290" s="120"/>
      <c r="CU290" s="120"/>
      <c r="CV290" s="120"/>
      <c r="CW290" s="120"/>
      <c r="CX290" s="120"/>
      <c r="CY290" s="120"/>
      <c r="CZ290" s="120"/>
      <c r="DA290" s="120"/>
      <c r="DB290" s="120"/>
      <c r="DC290" s="120"/>
      <c r="DD290" s="120"/>
      <c r="DE290" s="120"/>
      <c r="DF290" s="120"/>
      <c r="DG290" s="120"/>
      <c r="DH290" s="120"/>
      <c r="DI290" s="120"/>
      <c r="DJ290" s="120"/>
      <c r="DK290" s="120"/>
      <c r="DL290" s="120"/>
      <c r="DM290" s="120"/>
      <c r="DN290" s="120"/>
      <c r="DO290" s="120"/>
      <c r="DP290" s="120"/>
      <c r="DQ290" s="120"/>
      <c r="DR290" s="120"/>
      <c r="DS290" s="120"/>
      <c r="DT290" s="120"/>
      <c r="DU290" s="120"/>
      <c r="DV290" s="120"/>
      <c r="DW290" s="120"/>
      <c r="DX290" s="120"/>
      <c r="DY290" s="120"/>
      <c r="DZ290" s="120"/>
      <c r="EA290" s="120"/>
      <c r="EB290" s="120"/>
      <c r="EC290" s="120"/>
      <c r="ED290" s="120"/>
      <c r="EE290" s="120"/>
      <c r="EF290" s="120"/>
      <c r="EG290" s="120"/>
      <c r="EH290" s="120"/>
      <c r="EI290" s="120"/>
      <c r="EJ290" s="120"/>
      <c r="EK290" s="120"/>
      <c r="EL290" s="120"/>
      <c r="EM290" s="120"/>
      <c r="EN290" s="120"/>
      <c r="EO290" s="120"/>
      <c r="EP290" s="120"/>
      <c r="EQ290" s="120"/>
      <c r="ER290" s="120"/>
      <c r="ES290" s="120"/>
      <c r="ET290" s="120"/>
      <c r="EU290" s="120"/>
      <c r="EV290" s="120"/>
      <c r="EW290" s="120"/>
      <c r="EX290" s="120"/>
      <c r="EY290" s="120"/>
    </row>
    <row r="291">
      <c r="A291" s="112" t="s">
        <v>35</v>
      </c>
      <c r="B291" s="112" t="s">
        <v>36</v>
      </c>
      <c r="C291" s="112" t="s">
        <v>409</v>
      </c>
      <c r="D291" s="113">
        <f t="shared" si="1"/>
        <v>628.2161333</v>
      </c>
      <c r="E291" s="114">
        <v>141.422283333333</v>
      </c>
      <c r="F291" s="114"/>
      <c r="G291" s="114"/>
      <c r="H291" s="114"/>
      <c r="I291" s="114"/>
      <c r="J291" s="114"/>
      <c r="K291" s="114"/>
      <c r="L291" s="114">
        <v>2.06643333333333</v>
      </c>
      <c r="M291" s="114"/>
      <c r="N291" s="114"/>
      <c r="O291" s="114">
        <v>38.9696666666667</v>
      </c>
      <c r="P291" s="112"/>
      <c r="Q291" s="112">
        <v>0.504016666666667</v>
      </c>
      <c r="R291" s="112">
        <v>166.00485</v>
      </c>
      <c r="S291" s="112"/>
      <c r="T291" s="112"/>
      <c r="U291" s="112"/>
      <c r="V291" s="112"/>
      <c r="W291" s="112"/>
      <c r="X291" s="112">
        <v>2.79016666666667</v>
      </c>
      <c r="Y291" s="112">
        <v>102.697533333333</v>
      </c>
      <c r="Z291" s="112"/>
      <c r="AA291" s="113"/>
      <c r="AB291" s="112"/>
      <c r="AC291" s="112"/>
      <c r="AD291" s="112"/>
      <c r="AE291" s="112">
        <v>4.26628333333333</v>
      </c>
      <c r="AF291" s="112"/>
      <c r="AG291" s="112"/>
      <c r="AH291" s="112">
        <v>16.7592333333333</v>
      </c>
      <c r="AI291" s="112"/>
      <c r="AJ291" s="112"/>
      <c r="AK291" s="112"/>
      <c r="AL291" s="113"/>
      <c r="AM291" s="112"/>
      <c r="AN291" s="112">
        <v>0.719066666666667</v>
      </c>
      <c r="AO291" s="112">
        <v>25.0192166666667</v>
      </c>
      <c r="AP291" s="112"/>
      <c r="AQ291" s="113"/>
      <c r="AR291" s="112"/>
      <c r="AS291" s="112">
        <v>2.02483333333333</v>
      </c>
      <c r="AT291" s="112">
        <v>6.42858333333333</v>
      </c>
      <c r="AU291" s="112"/>
      <c r="AV291" s="112"/>
      <c r="AW291" s="112">
        <v>0.5725</v>
      </c>
      <c r="AX291" s="112">
        <v>115.803833333333</v>
      </c>
      <c r="AY291" s="113"/>
      <c r="AZ291" s="112">
        <v>2.06155</v>
      </c>
      <c r="BA291" s="112">
        <v>0.106083333333333</v>
      </c>
      <c r="BB291" s="113"/>
      <c r="BC291" s="113"/>
      <c r="BD291" s="113"/>
      <c r="BE291" s="113"/>
      <c r="BF291" s="113"/>
      <c r="BG291" s="113"/>
      <c r="BH291" s="113"/>
      <c r="BI291" s="113"/>
      <c r="BJ291" s="113"/>
      <c r="BK291" s="113"/>
      <c r="BL291" s="113"/>
      <c r="BM291" s="113"/>
      <c r="BN291" s="113"/>
      <c r="BO291" s="113"/>
      <c r="BP291" s="113"/>
      <c r="BQ291" s="113"/>
      <c r="BR291" s="113"/>
      <c r="BS291" s="113"/>
      <c r="BT291" s="113"/>
      <c r="BU291" s="113"/>
      <c r="BV291" s="113"/>
      <c r="BW291" s="113"/>
      <c r="BX291" s="113"/>
      <c r="BY291" s="113"/>
      <c r="BZ291" s="113"/>
      <c r="CA291" s="113"/>
      <c r="CB291" s="113"/>
      <c r="CC291" s="113"/>
      <c r="CD291" s="113"/>
      <c r="CE291" s="113"/>
      <c r="CF291" s="113"/>
      <c r="CG291" s="113"/>
      <c r="CH291" s="113"/>
      <c r="CI291" s="113"/>
      <c r="CJ291" s="113"/>
      <c r="CK291" s="113"/>
      <c r="CL291" s="113"/>
      <c r="CM291" s="113"/>
      <c r="CN291" s="113"/>
      <c r="CO291" s="113"/>
      <c r="CP291" s="113"/>
      <c r="CQ291" s="113"/>
      <c r="CR291" s="113"/>
      <c r="CS291" s="113"/>
      <c r="CT291" s="113"/>
      <c r="CU291" s="113"/>
      <c r="CV291" s="113"/>
      <c r="CW291" s="113"/>
      <c r="CX291" s="113"/>
      <c r="CY291" s="113"/>
      <c r="CZ291" s="113"/>
      <c r="DA291" s="113"/>
      <c r="DB291" s="113"/>
      <c r="DC291" s="113"/>
      <c r="DD291" s="113"/>
      <c r="DE291" s="113"/>
      <c r="DF291" s="113"/>
      <c r="DG291" s="113"/>
      <c r="DH291" s="113"/>
      <c r="DI291" s="113"/>
      <c r="DJ291" s="113"/>
      <c r="DK291" s="113"/>
      <c r="DL291" s="113"/>
      <c r="DM291" s="113"/>
      <c r="DN291" s="113"/>
      <c r="DO291" s="113"/>
      <c r="DP291" s="113"/>
      <c r="DQ291" s="113"/>
      <c r="DR291" s="113"/>
      <c r="DS291" s="113"/>
      <c r="DT291" s="113"/>
      <c r="DU291" s="113"/>
      <c r="DV291" s="113"/>
      <c r="DW291" s="113"/>
      <c r="DX291" s="113"/>
      <c r="DY291" s="113"/>
      <c r="DZ291" s="113"/>
      <c r="EA291" s="113"/>
      <c r="EB291" s="113"/>
      <c r="EC291" s="113"/>
      <c r="ED291" s="113"/>
      <c r="EE291" s="113"/>
      <c r="EF291" s="113"/>
      <c r="EG291" s="113"/>
      <c r="EH291" s="113"/>
      <c r="EI291" s="113"/>
      <c r="EJ291" s="113"/>
      <c r="EK291" s="113"/>
      <c r="EL291" s="113"/>
      <c r="EM291" s="113"/>
      <c r="EN291" s="113"/>
      <c r="EO291" s="113"/>
      <c r="EP291" s="113"/>
      <c r="EQ291" s="113"/>
      <c r="ER291" s="113"/>
      <c r="ES291" s="113"/>
      <c r="ET291" s="113"/>
      <c r="EU291" s="113"/>
      <c r="EV291" s="113"/>
      <c r="EW291" s="113"/>
      <c r="EX291" s="113"/>
      <c r="EY291" s="113"/>
    </row>
    <row r="292">
      <c r="A292" s="65" t="s">
        <v>35</v>
      </c>
      <c r="B292" s="65" t="s">
        <v>36</v>
      </c>
      <c r="C292" s="65" t="s">
        <v>410</v>
      </c>
      <c r="D292" s="64">
        <f t="shared" si="1"/>
        <v>428.59375</v>
      </c>
      <c r="E292" s="115"/>
      <c r="F292" s="104"/>
      <c r="G292" s="104">
        <v>2.51888333333333</v>
      </c>
      <c r="H292" s="104">
        <v>5.872</v>
      </c>
      <c r="I292" s="104">
        <v>52.2694333333333</v>
      </c>
      <c r="J292" s="104">
        <v>9.09901666666667</v>
      </c>
      <c r="K292" s="104">
        <v>28.2295</v>
      </c>
      <c r="L292" s="104"/>
      <c r="M292" s="104"/>
      <c r="N292" s="104">
        <v>2.51888333333333</v>
      </c>
      <c r="O292" s="104"/>
      <c r="P292" s="65">
        <v>2.14881666666667</v>
      </c>
      <c r="Q292" s="65"/>
      <c r="R292" s="65"/>
      <c r="S292" s="65"/>
      <c r="T292" s="65"/>
      <c r="U292" s="65">
        <v>2.40203333333333</v>
      </c>
      <c r="V292" s="65">
        <v>90.6836666666667</v>
      </c>
      <c r="W292" s="65">
        <v>36.8766666666666</v>
      </c>
      <c r="X292" s="65"/>
      <c r="Y292" s="65"/>
      <c r="Z292" s="65"/>
      <c r="AA292" s="65"/>
      <c r="AB292" s="65">
        <v>3.1925</v>
      </c>
      <c r="AC292" s="65">
        <v>62.1097833333333</v>
      </c>
      <c r="AD292" s="65">
        <v>13.1786666666667</v>
      </c>
      <c r="AE292" s="65"/>
      <c r="AF292" s="65"/>
      <c r="AG292" s="65"/>
      <c r="AH292" s="65"/>
      <c r="AI292" s="65"/>
      <c r="AK292" s="65">
        <v>1.19165</v>
      </c>
      <c r="AL292" s="65">
        <v>3.24663333333333</v>
      </c>
      <c r="AM292" s="65">
        <v>10.6868833333333</v>
      </c>
      <c r="AN292" s="65"/>
      <c r="AP292" s="65">
        <v>0.816066666666667</v>
      </c>
      <c r="AQ292" s="65">
        <v>2.37275</v>
      </c>
      <c r="AR292" s="65">
        <v>12.0346</v>
      </c>
      <c r="AT292" s="65"/>
      <c r="AU292" s="65">
        <v>0.106383333333333</v>
      </c>
      <c r="AV292" s="65">
        <v>3.18258333333333</v>
      </c>
      <c r="AY292" s="65">
        <v>83.85635</v>
      </c>
    </row>
    <row r="293">
      <c r="A293" s="65" t="s">
        <v>35</v>
      </c>
      <c r="B293" s="65" t="s">
        <v>36</v>
      </c>
      <c r="C293" s="65" t="s">
        <v>411</v>
      </c>
      <c r="D293" s="64">
        <f t="shared" si="1"/>
        <v>0</v>
      </c>
      <c r="E293" s="115"/>
      <c r="F293" s="115"/>
      <c r="G293" s="115"/>
      <c r="H293" s="115"/>
      <c r="I293" s="115"/>
      <c r="J293" s="115"/>
      <c r="K293" s="115"/>
      <c r="L293" s="115"/>
      <c r="M293" s="115"/>
      <c r="N293" s="115"/>
      <c r="O293" s="115"/>
    </row>
    <row r="294">
      <c r="A294" s="65" t="s">
        <v>35</v>
      </c>
      <c r="B294" s="65" t="s">
        <v>36</v>
      </c>
      <c r="C294" s="65" t="s">
        <v>412</v>
      </c>
      <c r="D294" s="64">
        <f t="shared" si="1"/>
        <v>425.8709167</v>
      </c>
      <c r="E294" s="115"/>
      <c r="F294" s="115"/>
      <c r="G294" s="116">
        <f>HYPERLINK("https://docs.google.com/spreadsheets/d/1P_8ecloYzqqxYVxtjH5HiEURORtKTFlr", 2.51888333333333)</f>
        <v>2.518883333</v>
      </c>
      <c r="H294" s="116">
        <f>HYPERLINK("https://docs.google.com/spreadsheets/d/1eJO-kzmNV_Wtk_0wycHvNeXGvvqoKY5I", 5.872)</f>
        <v>5.872</v>
      </c>
      <c r="I294" s="116">
        <f>HYPERLINK("https://docs.google.com/spreadsheets/d/1NJE3A5Cbw0_vqyBe7E5nEQruU1pyRXfE", 52.2694)</f>
        <v>52.2694</v>
      </c>
      <c r="J294" s="116">
        <f>HYPERLINK("https://docs.google.com/spreadsheets/d/1WbtErQn4MIv2aeNmsoDLZ-HDCSWzefl_", 9.0017)</f>
        <v>9.0017</v>
      </c>
      <c r="K294" s="116">
        <f>HYPERLINK("https://docs.google.com/spreadsheets/d/1Cwk2Sm61wy3JWkQ0dy5lLFq2mF_6Cx-3", 28.2294833333333)</f>
        <v>28.22948333</v>
      </c>
      <c r="L294" s="115"/>
      <c r="M294" s="115"/>
      <c r="N294" s="115"/>
      <c r="O294" s="115"/>
      <c r="P294" s="118">
        <f>HYPERLINK("https://docs.google.com/spreadsheets/d/1YP67YxrRdudTJfbLwMsUyV4I0_O-zhQ2", 2.14881666666667)</f>
        <v>2.148816667</v>
      </c>
      <c r="U294" s="118">
        <f>HYPERLINK("https://docs.google.com/spreadsheets/d/1W5Dhu289JTmSR_vkt80sTVLmyqKUaMoN", 2.40203333333333)</f>
        <v>2.402033333</v>
      </c>
      <c r="V294" s="118">
        <f>HYPERLINK("https://docs.google.com/spreadsheets/d/1OcncdhBXtMEa0Q9iui1WRp9bnTDlxtot", 90.6836333333333)</f>
        <v>90.68363333</v>
      </c>
      <c r="W294" s="118">
        <f>HYPERLINK("https://docs.google.com/spreadsheets/d/1Q8MO7KXJnOjR47pYYOtAhSDSmK27QfDD", 36.8766333333333)</f>
        <v>36.87663333</v>
      </c>
      <c r="AB294" s="118">
        <f>HYPERLINK("https://docs.google.com/spreadsheets/d/1P1y9obzdQCVaspMg9Tu2Ycz2YxmeeCsw", 3.19251666666667)</f>
        <v>3.192516667</v>
      </c>
      <c r="AC294" s="118">
        <f>HYPERLINK("https://docs.google.com/spreadsheets/d/1ZQlAz7DOCEOxQGXKmmsmHwcAOd2BkvEQ", 62.1097499999999)</f>
        <v>62.10975</v>
      </c>
      <c r="AD294" s="118">
        <f>HYPERLINK("https://docs.google.com/spreadsheets/d/12NbrzClzOES3ZLbd3bMA2Y9jnw4leNeK", 13.1786666666667)</f>
        <v>13.17866667</v>
      </c>
      <c r="AK294" s="118">
        <f>HYPERLINK("https://docs.google.com/spreadsheets/d/1HdCgafjIWY6X1Afr2f6KMLGE5fHggREd", 1.19165)</f>
        <v>1.19165</v>
      </c>
      <c r="AL294" s="118">
        <f>HYPERLINK("https://docs.google.com/spreadsheets/d/1ijlwwpNMSLuQs5hx26h0E0IKGdD18zbx", 3.24663333333333)</f>
        <v>3.246633333</v>
      </c>
      <c r="AM294" s="118">
        <f>HYPERLINK("https://docs.google.com/spreadsheets/d/1srHxCdquApcYrIixuBSB1aKbSyusiG59", 10.6868833333333)</f>
        <v>10.68688333</v>
      </c>
      <c r="AP294" s="118">
        <f>HYPERLINK("https://docs.google.com/spreadsheets/d/1mEU2Cmm3QLx4ImfQKGaGoq94yy-WnQI8", 0.816066666666667)</f>
        <v>0.8160666667</v>
      </c>
      <c r="AQ294" s="118">
        <f>HYPERLINK("https://docs.google.com/spreadsheets/d/1WYEnubcMJujSSWrsnS9bSqFQAdN3w1bb", 2.37275)</f>
        <v>2.37275</v>
      </c>
      <c r="AR294" s="118">
        <f>HYPERLINK("https://docs.google.com/spreadsheets/d/1UfpJktMy3rsScfPDlZgPwy1W4Dvh4FTl", 12.03455)</f>
        <v>12.03455</v>
      </c>
      <c r="AU294" s="118">
        <f>HYPERLINK("https://docs.google.com/spreadsheets/d/1RBFdSyznY4Ji2ppBTrMQ1DPEJODyYBNV", 0)</f>
        <v>0</v>
      </c>
      <c r="AV294" s="118">
        <f>HYPERLINK("https://docs.google.com/spreadsheets/d/1hrY0bNNg2tADr-jacrmZfku_z3IG2Au2", 3.18258333333333)</f>
        <v>3.182583333</v>
      </c>
      <c r="AY294" s="118">
        <f>HYPERLINK("https://docs.google.com/spreadsheets/d/1XpTj3RhJnGWIXAVuy9JfFmVLdmDooAMu", 83.8562833333333)</f>
        <v>83.85628333</v>
      </c>
    </row>
    <row r="295">
      <c r="A295" s="65" t="s">
        <v>35</v>
      </c>
      <c r="B295" s="65" t="s">
        <v>36</v>
      </c>
      <c r="C295" s="65" t="s">
        <v>413</v>
      </c>
      <c r="D295" s="64">
        <f t="shared" si="1"/>
        <v>281.9913333</v>
      </c>
      <c r="E295" s="115"/>
      <c r="F295" s="115"/>
      <c r="G295" s="104">
        <v>0.524966666666667</v>
      </c>
      <c r="H295" s="104">
        <v>2.6764</v>
      </c>
      <c r="I295" s="104">
        <v>34.3208333333333</v>
      </c>
      <c r="J295" s="104">
        <v>2.34296666666666</v>
      </c>
      <c r="K295" s="104">
        <v>28.2294833333333</v>
      </c>
      <c r="L295" s="104"/>
      <c r="M295" s="104"/>
      <c r="N295" s="104"/>
      <c r="O295" s="104"/>
      <c r="P295" s="65">
        <v>1.98093333333333</v>
      </c>
      <c r="Q295" s="65"/>
      <c r="R295" s="65"/>
      <c r="S295" s="65"/>
      <c r="T295" s="65"/>
      <c r="U295" s="65">
        <v>0.630366666666667</v>
      </c>
      <c r="V295" s="65">
        <v>58.37165</v>
      </c>
      <c r="W295" s="65">
        <v>36.8766333333333</v>
      </c>
      <c r="X295" s="65"/>
      <c r="Y295" s="65"/>
      <c r="Z295" s="65"/>
      <c r="AA295" s="65"/>
      <c r="AB295" s="65">
        <v>0.364716666666666</v>
      </c>
      <c r="AC295" s="65">
        <v>23.8319999999999</v>
      </c>
      <c r="AD295" s="65">
        <v>1.03938333333334</v>
      </c>
      <c r="AE295" s="65"/>
      <c r="AF295" s="65"/>
      <c r="AG295" s="65"/>
      <c r="AH295" s="65"/>
      <c r="AI295" s="65"/>
      <c r="AK295" s="65">
        <v>0.354033333333333</v>
      </c>
      <c r="AL295" s="65">
        <v>1.12146666666667</v>
      </c>
      <c r="AM295" s="65">
        <v>10.6868833333333</v>
      </c>
      <c r="AN295" s="65"/>
      <c r="AP295" s="65">
        <v>0.6845</v>
      </c>
      <c r="AQ295" s="65">
        <v>0.925016666666667</v>
      </c>
      <c r="AR295" s="65">
        <v>11.64045</v>
      </c>
      <c r="AT295" s="65"/>
      <c r="AU295" s="65">
        <v>0.0</v>
      </c>
      <c r="AV295" s="65">
        <v>1.2846</v>
      </c>
      <c r="AY295" s="65">
        <v>64.10405</v>
      </c>
    </row>
    <row r="296">
      <c r="A296" s="119" t="s">
        <v>35</v>
      </c>
      <c r="B296" s="119" t="s">
        <v>36</v>
      </c>
      <c r="C296" s="119" t="s">
        <v>414</v>
      </c>
      <c r="D296" s="120">
        <f t="shared" si="1"/>
        <v>0</v>
      </c>
      <c r="E296" s="121"/>
      <c r="F296" s="121"/>
      <c r="G296" s="122">
        <f>HYPERLINK("https://docs.google.com/spreadsheets/d/1P_8ecloYzqqxYVxtjH5HiEURORtKTFlr", 0)</f>
        <v>0</v>
      </c>
      <c r="H296" s="122">
        <f>HYPERLINK("https://docs.google.com/spreadsheets/d/1eJO-kzmNV_Wtk_0wycHvNeXGvvqoKY5I", 0)</f>
        <v>0</v>
      </c>
      <c r="I296" s="122">
        <f>HYPERLINK("https://docs.google.com/spreadsheets/d/1NJE3A5Cbw0_vqyBe7E5nEQruU1pyRXfE", 0)</f>
        <v>0</v>
      </c>
      <c r="J296" s="122">
        <f>HYPERLINK("https://docs.google.com/spreadsheets/d/1WbtErQn4MIv2aeNmsoDLZ-HDCSWzefl_", 0)</f>
        <v>0</v>
      </c>
      <c r="K296" s="122">
        <f>HYPERLINK("https://docs.google.com/spreadsheets/d/1Cwk2Sm61wy3JWkQ0dy5lLFq2mF_6Cx-3", 0)</f>
        <v>0</v>
      </c>
      <c r="L296" s="121"/>
      <c r="M296" s="121"/>
      <c r="N296" s="123"/>
      <c r="O296" s="121"/>
      <c r="P296" s="124">
        <f>HYPERLINK("https://docs.google.com/spreadsheets/d/1YP67YxrRdudTJfbLwMsUyV4I0_O-zhQ2", 0)</f>
        <v>0</v>
      </c>
      <c r="Q296" s="120"/>
      <c r="R296" s="120"/>
      <c r="S296" s="120"/>
      <c r="T296" s="119"/>
      <c r="U296" s="125">
        <f>HYPERLINK("https://docs.google.com/spreadsheets/d/1W5Dhu289JTmSR_vkt80sTVLmyqKUaMoN", 0)</f>
        <v>0</v>
      </c>
      <c r="V296" s="124">
        <f>HYPERLINK("https://docs.google.com/spreadsheets/d/1OcncdhBXtMEa0Q9iui1WRp9bnTDlxtot", 0)</f>
        <v>0</v>
      </c>
      <c r="W296" s="124">
        <f>HYPERLINK("https://docs.google.com/spreadsheets/d/1Q8MO7KXJnOjR47pYYOtAhSDSmK27QfDD", 0)</f>
        <v>0</v>
      </c>
      <c r="X296" s="120"/>
      <c r="Y296" s="120"/>
      <c r="Z296" s="120"/>
      <c r="AA296" s="120"/>
      <c r="AB296" s="124">
        <f>HYPERLINK("https://docs.google.com/spreadsheets/d/1P1y9obzdQCVaspMg9Tu2Ycz2YxmeeCsw", 0)</f>
        <v>0</v>
      </c>
      <c r="AC296" s="124">
        <f>HYPERLINK("https://docs.google.com/spreadsheets/d/1ZQlAz7DOCEOxQGXKmmsmHwcAOd2BkvEQ", 0)</f>
        <v>0</v>
      </c>
      <c r="AD296" s="124">
        <f>HYPERLINK("https://docs.google.com/spreadsheets/d/12NbrzClzOES3ZLbd3bMA2Y9jnw4leNeK", 0)</f>
        <v>0</v>
      </c>
      <c r="AE296" s="120"/>
      <c r="AF296" s="120"/>
      <c r="AG296" s="119"/>
      <c r="AH296" s="119"/>
      <c r="AI296" s="119"/>
      <c r="AJ296" s="120"/>
      <c r="AK296" s="124">
        <f>HYPERLINK("https://docs.google.com/spreadsheets/d/1HdCgafjIWY6X1Afr2f6KMLGE5fHggREd", 0)</f>
        <v>0</v>
      </c>
      <c r="AL296" s="125">
        <f>HYPERLINK("https://docs.google.com/spreadsheets/d/1ijlwwpNMSLuQs5hx26h0E0IKGdD18zbx", 0)</f>
        <v>0</v>
      </c>
      <c r="AM296" s="124">
        <f>HYPERLINK("https://docs.google.com/spreadsheets/d/1srHxCdquApcYrIixuBSB1aKbSyusiG59", 0)</f>
        <v>0</v>
      </c>
      <c r="AN296" s="119"/>
      <c r="AO296" s="120"/>
      <c r="AP296" s="124">
        <f>HYPERLINK("https://docs.google.com/spreadsheets/d/1mEU2Cmm3QLx4ImfQKGaGoq94yy-WnQI8", 0)</f>
        <v>0</v>
      </c>
      <c r="AQ296" s="124">
        <f>HYPERLINK("https://docs.google.com/spreadsheets/d/1WYEnubcMJujSSWrsnS9bSqFQAdN3w1bb", 0)</f>
        <v>0</v>
      </c>
      <c r="AR296" s="125">
        <f>HYPERLINK("https://docs.google.com/spreadsheets/d/1UfpJktMy3rsScfPDlZgPwy1W4Dvh4FTl", 0)</f>
        <v>0</v>
      </c>
      <c r="AS296" s="120"/>
      <c r="AT296" s="120"/>
      <c r="AU296" s="125">
        <f>HYPERLINK("https://docs.google.com/spreadsheets/d/1RBFdSyznY4Ji2ppBTrMQ1DPEJODyYBNV", 0)</f>
        <v>0</v>
      </c>
      <c r="AV296" s="124">
        <f>HYPERLINK("https://docs.google.com/spreadsheets/d/1hrY0bNNg2tADr-jacrmZfku_z3IG2Au2", 0)</f>
        <v>0</v>
      </c>
      <c r="AW296" s="120"/>
      <c r="AX296" s="120"/>
      <c r="AY296" s="124">
        <f>HYPERLINK("https://docs.google.com/spreadsheets/d/1XpTj3RhJnGWIXAVuy9JfFmVLdmDooAMu", 0)</f>
        <v>0</v>
      </c>
      <c r="AZ296" s="120"/>
      <c r="BA296" s="120"/>
      <c r="BB296" s="120"/>
      <c r="BC296" s="120"/>
      <c r="BD296" s="120"/>
      <c r="BE296" s="120"/>
      <c r="BF296" s="120"/>
      <c r="BG296" s="120"/>
      <c r="BH296" s="120"/>
      <c r="BI296" s="120"/>
      <c r="BJ296" s="120"/>
      <c r="BK296" s="120"/>
      <c r="BL296" s="120"/>
      <c r="BM296" s="120"/>
      <c r="BN296" s="120"/>
      <c r="BO296" s="120"/>
      <c r="BP296" s="120"/>
      <c r="BQ296" s="120"/>
      <c r="BR296" s="120"/>
      <c r="BS296" s="120"/>
      <c r="BT296" s="120"/>
      <c r="BU296" s="120"/>
      <c r="BV296" s="120"/>
      <c r="BW296" s="120"/>
      <c r="BX296" s="120"/>
      <c r="BY296" s="120"/>
      <c r="BZ296" s="120"/>
      <c r="CA296" s="120"/>
      <c r="CB296" s="120"/>
      <c r="CC296" s="120"/>
      <c r="CD296" s="120"/>
      <c r="CE296" s="120"/>
      <c r="CF296" s="120"/>
      <c r="CG296" s="120"/>
      <c r="CH296" s="120"/>
      <c r="CI296" s="120"/>
      <c r="CJ296" s="120"/>
      <c r="CK296" s="120"/>
      <c r="CL296" s="120"/>
      <c r="CM296" s="120"/>
      <c r="CN296" s="120"/>
      <c r="CO296" s="120"/>
      <c r="CP296" s="120"/>
      <c r="CQ296" s="120"/>
      <c r="CR296" s="120"/>
      <c r="CS296" s="120"/>
      <c r="CT296" s="120"/>
      <c r="CU296" s="120"/>
      <c r="CV296" s="120"/>
      <c r="CW296" s="120"/>
      <c r="CX296" s="120"/>
      <c r="CY296" s="120"/>
      <c r="CZ296" s="120"/>
      <c r="DA296" s="120"/>
      <c r="DB296" s="120"/>
      <c r="DC296" s="120"/>
      <c r="DD296" s="120"/>
      <c r="DE296" s="120"/>
      <c r="DF296" s="120"/>
      <c r="DG296" s="120"/>
      <c r="DH296" s="120"/>
      <c r="DI296" s="120"/>
      <c r="DJ296" s="120"/>
      <c r="DK296" s="120"/>
      <c r="DL296" s="120"/>
      <c r="DM296" s="120"/>
      <c r="DN296" s="120"/>
      <c r="DO296" s="120"/>
      <c r="DP296" s="120"/>
      <c r="DQ296" s="120"/>
      <c r="DR296" s="120"/>
      <c r="DS296" s="120"/>
      <c r="DT296" s="120"/>
      <c r="DU296" s="120"/>
      <c r="DV296" s="120"/>
      <c r="DW296" s="120"/>
      <c r="DX296" s="120"/>
      <c r="DY296" s="120"/>
      <c r="DZ296" s="120"/>
      <c r="EA296" s="120"/>
      <c r="EB296" s="120"/>
      <c r="EC296" s="120"/>
      <c r="ED296" s="120"/>
      <c r="EE296" s="120"/>
      <c r="EF296" s="120"/>
      <c r="EG296" s="120"/>
      <c r="EH296" s="120"/>
      <c r="EI296" s="120"/>
      <c r="EJ296" s="120"/>
      <c r="EK296" s="120"/>
      <c r="EL296" s="120"/>
      <c r="EM296" s="120"/>
      <c r="EN296" s="120"/>
      <c r="EO296" s="120"/>
      <c r="EP296" s="120"/>
      <c r="EQ296" s="120"/>
      <c r="ER296" s="120"/>
      <c r="ES296" s="120"/>
      <c r="ET296" s="120"/>
      <c r="EU296" s="120"/>
      <c r="EV296" s="120"/>
      <c r="EW296" s="120"/>
      <c r="EX296" s="120"/>
      <c r="EY296" s="120"/>
    </row>
    <row r="297">
      <c r="A297" s="112" t="s">
        <v>17</v>
      </c>
      <c r="B297" s="112" t="s">
        <v>84</v>
      </c>
      <c r="C297" s="112" t="s">
        <v>409</v>
      </c>
      <c r="D297" s="113">
        <f t="shared" si="1"/>
        <v>497.1946333</v>
      </c>
      <c r="E297" s="114">
        <v>102.166233333333</v>
      </c>
      <c r="F297" s="114"/>
      <c r="G297" s="114"/>
      <c r="H297" s="114"/>
      <c r="I297" s="114"/>
      <c r="J297" s="114"/>
      <c r="K297" s="114"/>
      <c r="L297" s="114">
        <v>1.51868333333333</v>
      </c>
      <c r="M297" s="114"/>
      <c r="N297" s="114"/>
      <c r="O297" s="114">
        <v>20.125</v>
      </c>
      <c r="P297" s="112"/>
      <c r="Q297" s="112"/>
      <c r="R297" s="112">
        <v>27.6138166666667</v>
      </c>
      <c r="S297" s="112"/>
      <c r="T297" s="112"/>
      <c r="U297" s="112"/>
      <c r="V297" s="112"/>
      <c r="W297" s="112"/>
      <c r="X297" s="112">
        <v>0.497416666666667</v>
      </c>
      <c r="Y297" s="112">
        <v>49.4998166666667</v>
      </c>
      <c r="Z297" s="112"/>
      <c r="AA297" s="113"/>
      <c r="AB297" s="112"/>
      <c r="AC297" s="112"/>
      <c r="AD297" s="112"/>
      <c r="AE297" s="112">
        <v>1.3565</v>
      </c>
      <c r="AF297" s="112"/>
      <c r="AG297" s="112"/>
      <c r="AH297" s="112">
        <v>170.840783333333</v>
      </c>
      <c r="AI297" s="112"/>
      <c r="AJ297" s="112"/>
      <c r="AK297" s="112"/>
      <c r="AL297" s="113"/>
      <c r="AM297" s="112"/>
      <c r="AN297" s="112">
        <v>3.74865</v>
      </c>
      <c r="AO297" s="112">
        <v>31.3793333333333</v>
      </c>
      <c r="AP297" s="112"/>
      <c r="AQ297" s="113"/>
      <c r="AR297" s="112"/>
      <c r="AS297" s="112">
        <v>3.01055</v>
      </c>
      <c r="AT297" s="112">
        <v>41.3004666666667</v>
      </c>
      <c r="AU297" s="112"/>
      <c r="AV297" s="112"/>
      <c r="AW297" s="112">
        <v>1.3016</v>
      </c>
      <c r="AX297" s="112">
        <v>40.3285833333334</v>
      </c>
      <c r="AY297" s="113"/>
      <c r="AZ297" s="112">
        <v>1.67105</v>
      </c>
      <c r="BA297" s="112">
        <v>0.83615</v>
      </c>
      <c r="BB297" s="113"/>
      <c r="BC297" s="113"/>
      <c r="BD297" s="113"/>
      <c r="BE297" s="113"/>
      <c r="BF297" s="113"/>
      <c r="BG297" s="113"/>
      <c r="BH297" s="113"/>
      <c r="BI297" s="113"/>
      <c r="BJ297" s="113"/>
      <c r="BK297" s="113"/>
      <c r="BL297" s="113"/>
      <c r="BM297" s="113"/>
      <c r="BN297" s="113"/>
      <c r="BO297" s="113"/>
      <c r="BP297" s="113"/>
      <c r="BQ297" s="113"/>
      <c r="BR297" s="113"/>
      <c r="BS297" s="113"/>
      <c r="BT297" s="113"/>
      <c r="BU297" s="113"/>
      <c r="BV297" s="113"/>
      <c r="BW297" s="113"/>
      <c r="BX297" s="113"/>
      <c r="BY297" s="113"/>
      <c r="BZ297" s="113"/>
      <c r="CA297" s="113"/>
      <c r="CB297" s="113"/>
      <c r="CC297" s="113"/>
      <c r="CD297" s="113"/>
      <c r="CE297" s="113"/>
      <c r="CF297" s="113"/>
      <c r="CG297" s="113"/>
      <c r="CH297" s="113"/>
      <c r="CI297" s="113"/>
      <c r="CJ297" s="113"/>
      <c r="CK297" s="113"/>
      <c r="CL297" s="113"/>
      <c r="CM297" s="113"/>
      <c r="CN297" s="113"/>
      <c r="CO297" s="113"/>
      <c r="CP297" s="113"/>
      <c r="CQ297" s="113"/>
      <c r="CR297" s="113"/>
      <c r="CS297" s="113"/>
      <c r="CT297" s="113"/>
      <c r="CU297" s="113"/>
      <c r="CV297" s="113"/>
      <c r="CW297" s="113"/>
      <c r="CX297" s="113"/>
      <c r="CY297" s="113"/>
      <c r="CZ297" s="113"/>
      <c r="DA297" s="113"/>
      <c r="DB297" s="113"/>
      <c r="DC297" s="113"/>
      <c r="DD297" s="113"/>
      <c r="DE297" s="113"/>
      <c r="DF297" s="113"/>
      <c r="DG297" s="113"/>
      <c r="DH297" s="113"/>
      <c r="DI297" s="113"/>
      <c r="DJ297" s="113"/>
      <c r="DK297" s="113"/>
      <c r="DL297" s="113"/>
      <c r="DM297" s="113"/>
      <c r="DN297" s="113"/>
      <c r="DO297" s="113"/>
      <c r="DP297" s="113"/>
      <c r="DQ297" s="113"/>
      <c r="DR297" s="113"/>
      <c r="DS297" s="113"/>
      <c r="DT297" s="113"/>
      <c r="DU297" s="113"/>
      <c r="DV297" s="113"/>
      <c r="DW297" s="113"/>
      <c r="DX297" s="113"/>
      <c r="DY297" s="113"/>
      <c r="DZ297" s="113"/>
      <c r="EA297" s="113"/>
      <c r="EB297" s="113"/>
      <c r="EC297" s="113"/>
      <c r="ED297" s="113"/>
      <c r="EE297" s="113"/>
      <c r="EF297" s="113"/>
      <c r="EG297" s="113"/>
      <c r="EH297" s="113"/>
      <c r="EI297" s="113"/>
      <c r="EJ297" s="113"/>
      <c r="EK297" s="113"/>
      <c r="EL297" s="113"/>
      <c r="EM297" s="113"/>
      <c r="EN297" s="113"/>
      <c r="EO297" s="113"/>
      <c r="EP297" s="113"/>
      <c r="EQ297" s="113"/>
      <c r="ER297" s="113"/>
      <c r="ES297" s="113"/>
      <c r="ET297" s="113"/>
      <c r="EU297" s="113"/>
      <c r="EV297" s="113"/>
      <c r="EW297" s="113"/>
      <c r="EX297" s="113"/>
      <c r="EY297" s="113"/>
    </row>
    <row r="298">
      <c r="A298" s="65" t="s">
        <v>17</v>
      </c>
      <c r="B298" s="65" t="s">
        <v>84</v>
      </c>
      <c r="C298" s="65" t="s">
        <v>410</v>
      </c>
      <c r="D298" s="64">
        <f t="shared" si="1"/>
        <v>481.74155</v>
      </c>
      <c r="E298" s="115"/>
      <c r="F298" s="104"/>
      <c r="G298" s="104">
        <v>10.5102333333333</v>
      </c>
      <c r="H298" s="104">
        <v>38.6562333333333</v>
      </c>
      <c r="I298" s="104">
        <v>43.3121666666667</v>
      </c>
      <c r="J298" s="104">
        <v>1.24688333333333</v>
      </c>
      <c r="K298" s="104">
        <v>6.2044</v>
      </c>
      <c r="L298" s="104"/>
      <c r="M298" s="104"/>
      <c r="N298" s="104">
        <v>10.5102333333333</v>
      </c>
      <c r="O298" s="115"/>
      <c r="P298" s="65">
        <v>13.4341166666667</v>
      </c>
      <c r="Q298" s="65"/>
      <c r="R298" s="65"/>
      <c r="S298" s="65"/>
      <c r="T298" s="65">
        <v>6.53081666666667</v>
      </c>
      <c r="U298" s="65">
        <v>12.1978166666667</v>
      </c>
      <c r="V298" s="65">
        <v>8.36415</v>
      </c>
      <c r="W298" s="65"/>
      <c r="X298" s="65"/>
      <c r="Y298" s="65"/>
      <c r="Z298" s="65"/>
      <c r="AA298" s="65">
        <v>19.7200333333333</v>
      </c>
      <c r="AB298" s="65">
        <v>12.2974666666667</v>
      </c>
      <c r="AC298" s="65">
        <v>7.03413333333333</v>
      </c>
      <c r="AD298" s="65">
        <v>9.66313333333333</v>
      </c>
      <c r="AE298" s="65"/>
      <c r="AF298" s="65"/>
      <c r="AG298" s="65">
        <v>19.7200333333333</v>
      </c>
      <c r="AH298" s="65"/>
      <c r="AI298" s="65"/>
      <c r="AJ298" s="65">
        <v>61.00105</v>
      </c>
      <c r="AK298" s="65">
        <v>60.8405166666666</v>
      </c>
      <c r="AL298" s="65">
        <v>19.4378166666667</v>
      </c>
      <c r="AM298" s="65">
        <v>25.8115666666667</v>
      </c>
      <c r="AN298" s="65"/>
      <c r="AP298" s="65">
        <v>22.86885</v>
      </c>
      <c r="AQ298" s="65">
        <v>0.4474</v>
      </c>
      <c r="AR298" s="65">
        <v>1.29911666666667</v>
      </c>
      <c r="AT298" s="65"/>
      <c r="AU298" s="65">
        <v>28.5750666666667</v>
      </c>
      <c r="AV298" s="65">
        <v>3.16836666666667</v>
      </c>
      <c r="AY298" s="65">
        <v>38.88995</v>
      </c>
    </row>
    <row r="299">
      <c r="A299" s="65" t="s">
        <v>17</v>
      </c>
      <c r="B299" s="65" t="s">
        <v>84</v>
      </c>
      <c r="C299" s="65" t="s">
        <v>411</v>
      </c>
      <c r="D299" s="64">
        <f t="shared" si="1"/>
        <v>0</v>
      </c>
      <c r="E299" s="115"/>
      <c r="F299" s="115"/>
      <c r="G299" s="115"/>
      <c r="H299" s="115"/>
      <c r="I299" s="115"/>
      <c r="J299" s="115"/>
      <c r="K299" s="115"/>
      <c r="L299" s="115"/>
      <c r="M299" s="115"/>
      <c r="N299" s="115"/>
      <c r="O299" s="115"/>
    </row>
    <row r="300">
      <c r="A300" s="65" t="s">
        <v>17</v>
      </c>
      <c r="B300" s="65" t="s">
        <v>84</v>
      </c>
      <c r="C300" s="65" t="s">
        <v>412</v>
      </c>
      <c r="D300" s="64">
        <f t="shared" si="1"/>
        <v>450.7570167</v>
      </c>
      <c r="E300" s="115"/>
      <c r="F300" s="115"/>
      <c r="G300" s="116">
        <f>HYPERLINK("https://docs.google.com/spreadsheets/d/1nbh-4BcdoWwFvFUr1D84zJEumqEap8jJ", 10.5102333333333)</f>
        <v>10.51023333</v>
      </c>
      <c r="H300" s="116">
        <f>HYPERLINK("https://docs.google.com/spreadsheets/d/1GmaXwBsJwThpfjeYBb9hvTBUwpWJEjyn", 38.6562)</f>
        <v>38.6562</v>
      </c>
      <c r="I300" s="116">
        <f>HYPERLINK("https://docs.google.com/spreadsheets/d/1KR8aMBrZ6zX3Q98o0-MRG9PsUoOZ5H19", 43.3121000000001)</f>
        <v>43.3121</v>
      </c>
      <c r="J300" s="116">
        <f>HYPERLINK("https://docs.google.com/spreadsheets/d/1_fx_R-Y4QqHvdulRw2hfuNCzoYVc4TKS", 1.04286666666667)</f>
        <v>1.042866667</v>
      </c>
      <c r="K300" s="116">
        <f>HYPERLINK("https://docs.google.com/spreadsheets/d/1ObA3kHmj9lcTV5YyYhpirRDPAlrlSkGG", 6.20441666666667)</f>
        <v>6.204416667</v>
      </c>
      <c r="L300" s="115"/>
      <c r="M300" s="115"/>
      <c r="N300" s="115"/>
      <c r="O300" s="115"/>
      <c r="P300" s="118">
        <f>HYPERLINK("https://docs.google.com/spreadsheets/d/1SlYgMYzaL-j3AbZ8Pk7xg-3nLtHBurlX", 13.4341333333333)</f>
        <v>13.43413333</v>
      </c>
      <c r="T300" s="118">
        <f>HYPERLINK("https://docs.google.com/spreadsheets/d/1P3kUj2t9z6u0lRWcn-8P7Tid555HVEVw", 6.53083333333333)</f>
        <v>6.530833333</v>
      </c>
      <c r="U300" s="118">
        <f>HYPERLINK("https://docs.google.com/spreadsheets/d/1E7lXDsuhtGNNOSiPkbbUD8rfu05-atEh", 12.1978166666667)</f>
        <v>12.19781667</v>
      </c>
      <c r="V300" s="118">
        <f>HYPERLINK("https://docs.google.com/spreadsheets/d/1ySuIlQM3h2h63XFz-M3Mk-i2x3_WK2TR", 8.36415)</f>
        <v>8.36415</v>
      </c>
      <c r="AA300" s="118">
        <f>HYPERLINK("https://docs.google.com/spreadsheets/d/1tsF6qlHi-N416vaQuCtglpjFB6dNDv1l", 19.7200333333333)</f>
        <v>19.72003333</v>
      </c>
      <c r="AB300" s="118">
        <f>HYPERLINK("https://docs.google.com/spreadsheets/d/1KiOUN0MoqQK1QPIg16KBOnAA2AxM1J5R", 12.2974666666667)</f>
        <v>12.29746667</v>
      </c>
      <c r="AC300" s="118">
        <f>HYPERLINK("https://docs.google.com/spreadsheets/d/1cEI7RGQjx02Fyhkhz6RkJ_B6UOT_gDny", 7.03411666666667)</f>
        <v>7.034116667</v>
      </c>
      <c r="AD300" s="118">
        <f>HYPERLINK("https://docs.google.com/spreadsheets/d/1L7WmrPJ3SGK8sK4v2ro0IzGQDmmacK8Z", 9.66315)</f>
        <v>9.66315</v>
      </c>
      <c r="AJ300" s="118">
        <f>HYPERLINK("https://docs.google.com/spreadsheets/d/1ncqMlqnqKs6tjVV2j_j2KJkSp-EljpyY", 61.0010333333333)</f>
        <v>61.00103333</v>
      </c>
      <c r="AK300" s="118">
        <f>HYPERLINK("https://docs.google.com/spreadsheets/d/1CrI95M0W1m2SaAtwAwtcJx_qeiC3ob2v", 60.5590666666666)</f>
        <v>60.55906667</v>
      </c>
      <c r="AL300" s="118">
        <f>HYPERLINK("https://docs.google.com/spreadsheets/d/1uafHyQPOUjgfdlHjTND5RAIR4a8aXKMf", 19.4378333333333)</f>
        <v>19.43783333</v>
      </c>
      <c r="AM300" s="118">
        <f>HYPERLINK("https://docs.google.com/spreadsheets/d/1N5jjcnIbMDXSfXfvBZkvAW2VIKpwcnDC", 25.7474333333333)</f>
        <v>25.74743333</v>
      </c>
      <c r="AP300" s="118">
        <f>HYPERLINK("https://docs.google.com/spreadsheets/d/1XTToGzpw7i1ksKF_WzHAi5lxWTT5uWYV", 22.8109166666667)</f>
        <v>22.81091667</v>
      </c>
      <c r="AQ300" s="118">
        <f>HYPERLINK("https://docs.google.com/spreadsheets/d/1Pjm1oSS5IGg8LuuVcG0fbTEe2HuI93TQ", 0.4474)</f>
        <v>0.4474</v>
      </c>
      <c r="AR300" s="118">
        <f>HYPERLINK("https://docs.google.com/spreadsheets/d/15SSN1JV8Sw38WU3shoRRB5S0i39Nwjx1", 1.29911666666667)</f>
        <v>1.299116667</v>
      </c>
      <c r="AU300" s="118">
        <f>HYPERLINK("https://docs.google.com/spreadsheets/d/1-zUlEvmFrKGzUBYG2lC-jqy0mToZJmZO", 28.5750833333333)</f>
        <v>28.57508333</v>
      </c>
      <c r="AV300" s="118">
        <f>HYPERLINK("https://docs.google.com/spreadsheets/d/1cEyLmLXahXBGbRdFcyIdbTewW4L69_cf", 3.02165)</f>
        <v>3.02165</v>
      </c>
      <c r="AY300" s="118">
        <f>HYPERLINK("https://docs.google.com/spreadsheets/d/17-ujEcvWpckHdBS6o00tljlrEMGP32O0", 38.8899666666667)</f>
        <v>38.88996667</v>
      </c>
    </row>
    <row r="301">
      <c r="A301" s="65" t="s">
        <v>17</v>
      </c>
      <c r="B301" s="65" t="s">
        <v>84</v>
      </c>
      <c r="C301" s="65" t="s">
        <v>413</v>
      </c>
      <c r="D301" s="64">
        <f t="shared" si="1"/>
        <v>213.3032833</v>
      </c>
      <c r="E301" s="115"/>
      <c r="F301" s="115"/>
      <c r="G301" s="104">
        <v>3.5527136788005E-15</v>
      </c>
      <c r="H301" s="104">
        <v>12.4664166666667</v>
      </c>
      <c r="I301" s="104">
        <v>9.37988333333337</v>
      </c>
      <c r="J301" s="104">
        <v>0.0</v>
      </c>
      <c r="K301" s="104">
        <v>6.20441666666667</v>
      </c>
      <c r="L301" s="104"/>
      <c r="M301" s="104"/>
      <c r="N301" s="104"/>
      <c r="O301" s="115"/>
      <c r="P301" s="65">
        <v>12.6558833333333</v>
      </c>
      <c r="Q301" s="65"/>
      <c r="R301" s="65"/>
      <c r="S301" s="65"/>
      <c r="T301" s="65">
        <v>5.92406666666667</v>
      </c>
      <c r="U301" s="65">
        <v>1.94328333333333</v>
      </c>
      <c r="V301" s="65">
        <v>2.52331666666667</v>
      </c>
      <c r="W301" s="65"/>
      <c r="X301" s="65"/>
      <c r="Y301" s="65"/>
      <c r="Z301" s="65"/>
      <c r="AA301" s="65">
        <v>12.3896666666667</v>
      </c>
      <c r="AB301" s="65">
        <v>1.33878333333333</v>
      </c>
      <c r="AC301" s="65">
        <v>0.595966666666667</v>
      </c>
      <c r="AD301" s="65">
        <v>0.955966666666667</v>
      </c>
      <c r="AE301" s="65"/>
      <c r="AF301" s="65"/>
      <c r="AG301" s="65"/>
      <c r="AH301" s="65"/>
      <c r="AI301" s="65"/>
      <c r="AJ301" s="65">
        <v>56.0834333333333</v>
      </c>
      <c r="AK301" s="65">
        <v>8.81903333333335</v>
      </c>
      <c r="AL301" s="65">
        <v>3.56065000000001</v>
      </c>
      <c r="AM301" s="65">
        <v>23.7211166666667</v>
      </c>
      <c r="AN301" s="65"/>
      <c r="AP301" s="65">
        <v>21.0931</v>
      </c>
      <c r="AQ301" s="65">
        <v>0.0</v>
      </c>
      <c r="AR301" s="65">
        <v>1.29911666666667</v>
      </c>
      <c r="AT301" s="65"/>
      <c r="AU301" s="65">
        <v>4.13346666666667</v>
      </c>
      <c r="AV301" s="65">
        <v>0.495383333333333</v>
      </c>
      <c r="AY301" s="65">
        <v>27.7203333333333</v>
      </c>
    </row>
    <row r="302">
      <c r="A302" s="119" t="s">
        <v>17</v>
      </c>
      <c r="B302" s="119" t="s">
        <v>84</v>
      </c>
      <c r="C302" s="119" t="s">
        <v>414</v>
      </c>
      <c r="D302" s="120">
        <f t="shared" si="1"/>
        <v>28.57508333</v>
      </c>
      <c r="E302" s="121"/>
      <c r="F302" s="121"/>
      <c r="G302" s="122">
        <f>HYPERLINK("https://docs.google.com/spreadsheets/d/1nbh-4BcdoWwFvFUr1D84zJEumqEap8jJ", 0)</f>
        <v>0</v>
      </c>
      <c r="H302" s="122">
        <f>HYPERLINK("https://docs.google.com/spreadsheets/d/1GmaXwBsJwThpfjeYBb9hvTBUwpWJEjyn", 0)</f>
        <v>0</v>
      </c>
      <c r="I302" s="122">
        <f>HYPERLINK("https://docs.google.com/spreadsheets/d/1KR8aMBrZ6zX3Q98o0-MRG9PsUoOZ5H19", 0)</f>
        <v>0</v>
      </c>
      <c r="J302" s="122">
        <f>HYPERLINK("https://docs.google.com/spreadsheets/d/1_fx_R-Y4QqHvdulRw2hfuNCzoYVc4TKS", 0)</f>
        <v>0</v>
      </c>
      <c r="K302" s="122">
        <f>HYPERLINK("https://docs.google.com/spreadsheets/d/1ObA3kHmj9lcTV5YyYhpirRDPAlrlSkGG", 0)</f>
        <v>0</v>
      </c>
      <c r="L302" s="121"/>
      <c r="M302" s="121"/>
      <c r="N302" s="123"/>
      <c r="O302" s="121"/>
      <c r="P302" s="124">
        <f>HYPERLINK("https://docs.google.com/spreadsheets/d/1SlYgMYzaL-j3AbZ8Pk7xg-3nLtHBurlX", 0)</f>
        <v>0</v>
      </c>
      <c r="Q302" s="120"/>
      <c r="R302" s="119"/>
      <c r="S302" s="120"/>
      <c r="T302" s="125">
        <f>HYPERLINK("https://docs.google.com/spreadsheets/d/1P3kUj2t9z6u0lRWcn-8P7Tid555HVEVw", 0)</f>
        <v>0</v>
      </c>
      <c r="U302" s="124">
        <f>HYPERLINK("https://docs.google.com/spreadsheets/d/1E7lXDsuhtGNNOSiPkbbUD8rfu05-atEh", 0)</f>
        <v>0</v>
      </c>
      <c r="V302" s="124">
        <f>HYPERLINK("https://docs.google.com/spreadsheets/d/1ySuIlQM3h2h63XFz-M3Mk-i2x3_WK2TR", 0)</f>
        <v>0</v>
      </c>
      <c r="W302" s="120"/>
      <c r="X302" s="120"/>
      <c r="Y302" s="119"/>
      <c r="Z302" s="120"/>
      <c r="AA302" s="124">
        <f>HYPERLINK("https://docs.google.com/spreadsheets/d/1tsF6qlHi-N416vaQuCtglpjFB6dNDv1l", 0)</f>
        <v>0</v>
      </c>
      <c r="AB302" s="124">
        <f>HYPERLINK("https://docs.google.com/spreadsheets/d/1KiOUN0MoqQK1QPIg16KBOnAA2AxM1J5R", 0)</f>
        <v>0</v>
      </c>
      <c r="AC302" s="124">
        <f>HYPERLINK("https://docs.google.com/spreadsheets/d/1cEI7RGQjx02Fyhkhz6RkJ_B6UOT_gDny", 0)</f>
        <v>0</v>
      </c>
      <c r="AD302" s="124">
        <f>HYPERLINK("https://docs.google.com/spreadsheets/d/1L7WmrPJ3SGK8sK4v2ro0IzGQDmmacK8Z", 0)</f>
        <v>0</v>
      </c>
      <c r="AE302" s="120"/>
      <c r="AF302" s="119"/>
      <c r="AG302" s="119"/>
      <c r="AH302" s="119"/>
      <c r="AI302" s="119"/>
      <c r="AJ302" s="124">
        <f>HYPERLINK("https://docs.google.com/spreadsheets/d/1ncqMlqnqKs6tjVV2j_j2KJkSp-EljpyY", 0)</f>
        <v>0</v>
      </c>
      <c r="AK302" s="124">
        <f>HYPERLINK("https://docs.google.com/spreadsheets/d/1CrI95M0W1m2SaAtwAwtcJx_qeiC3ob2v", 0)</f>
        <v>0</v>
      </c>
      <c r="AL302" s="125">
        <f>HYPERLINK("https://docs.google.com/spreadsheets/d/1uafHyQPOUjgfdlHjTND5RAIR4a8aXKMf", 0)</f>
        <v>0</v>
      </c>
      <c r="AM302" s="124">
        <f>HYPERLINK("https://docs.google.com/spreadsheets/d/1N5jjcnIbMDXSfXfvBZkvAW2VIKpwcnDC", 0)</f>
        <v>0</v>
      </c>
      <c r="AN302" s="119"/>
      <c r="AO302" s="120"/>
      <c r="AP302" s="125">
        <f>HYPERLINK("https://docs.google.com/spreadsheets/d/1XTToGzpw7i1ksKF_WzHAi5lxWTT5uWYV", 0)</f>
        <v>0</v>
      </c>
      <c r="AQ302" s="125">
        <f>HYPERLINK("https://docs.google.com/spreadsheets/d/1Pjm1oSS5IGg8LuuVcG0fbTEe2HuI93TQ", 0)</f>
        <v>0</v>
      </c>
      <c r="AR302" s="125">
        <f>HYPERLINK("https://docs.google.com/spreadsheets/d/15SSN1JV8Sw38WU3shoRRB5S0i39Nwjx1", 0)</f>
        <v>0</v>
      </c>
      <c r="AS302" s="120"/>
      <c r="AT302" s="120"/>
      <c r="AU302" s="125">
        <f>HYPERLINK("https://docs.google.com/spreadsheets/d/1-zUlEvmFrKGzUBYG2lC-jqy0mToZJmZO", 28.5750833333333)</f>
        <v>28.57508333</v>
      </c>
      <c r="AV302" s="124">
        <f>HYPERLINK("https://docs.google.com/spreadsheets/d/1cEyLmLXahXBGbRdFcyIdbTewW4L69_cf", 0)</f>
        <v>0</v>
      </c>
      <c r="AW302" s="120"/>
      <c r="AX302" s="120"/>
      <c r="AY302" s="124">
        <f>HYPERLINK("https://docs.google.com/spreadsheets/d/17-ujEcvWpckHdBS6o00tljlrEMGP32O0", 0)</f>
        <v>0</v>
      </c>
      <c r="AZ302" s="120"/>
      <c r="BA302" s="120"/>
      <c r="BB302" s="120"/>
      <c r="BC302" s="120"/>
      <c r="BD302" s="120"/>
      <c r="BE302" s="120"/>
      <c r="BF302" s="120"/>
      <c r="BG302" s="120"/>
      <c r="BH302" s="120"/>
      <c r="BI302" s="120"/>
      <c r="BJ302" s="120"/>
      <c r="BK302" s="120"/>
      <c r="BL302" s="120"/>
      <c r="BM302" s="120"/>
      <c r="BN302" s="120"/>
      <c r="BO302" s="120"/>
      <c r="BP302" s="120"/>
      <c r="BQ302" s="120"/>
      <c r="BR302" s="120"/>
      <c r="BS302" s="120"/>
      <c r="BT302" s="120"/>
      <c r="BU302" s="120"/>
      <c r="BV302" s="120"/>
      <c r="BW302" s="120"/>
      <c r="BX302" s="120"/>
      <c r="BY302" s="120"/>
      <c r="BZ302" s="120"/>
      <c r="CA302" s="120"/>
      <c r="CB302" s="120"/>
      <c r="CC302" s="120"/>
      <c r="CD302" s="120"/>
      <c r="CE302" s="120"/>
      <c r="CF302" s="120"/>
      <c r="CG302" s="120"/>
      <c r="CH302" s="120"/>
      <c r="CI302" s="120"/>
      <c r="CJ302" s="120"/>
      <c r="CK302" s="120"/>
      <c r="CL302" s="120"/>
      <c r="CM302" s="120"/>
      <c r="CN302" s="120"/>
      <c r="CO302" s="120"/>
      <c r="CP302" s="120"/>
      <c r="CQ302" s="120"/>
      <c r="CR302" s="120"/>
      <c r="CS302" s="120"/>
      <c r="CT302" s="120"/>
      <c r="CU302" s="120"/>
      <c r="CV302" s="120"/>
      <c r="CW302" s="120"/>
      <c r="CX302" s="120"/>
      <c r="CY302" s="120"/>
      <c r="CZ302" s="120"/>
      <c r="DA302" s="120"/>
      <c r="DB302" s="120"/>
      <c r="DC302" s="120"/>
      <c r="DD302" s="120"/>
      <c r="DE302" s="120"/>
      <c r="DF302" s="120"/>
      <c r="DG302" s="120"/>
      <c r="DH302" s="120"/>
      <c r="DI302" s="120"/>
      <c r="DJ302" s="120"/>
      <c r="DK302" s="120"/>
      <c r="DL302" s="120"/>
      <c r="DM302" s="120"/>
      <c r="DN302" s="120"/>
      <c r="DO302" s="120"/>
      <c r="DP302" s="120"/>
      <c r="DQ302" s="120"/>
      <c r="DR302" s="120"/>
      <c r="DS302" s="120"/>
      <c r="DT302" s="120"/>
      <c r="DU302" s="120"/>
      <c r="DV302" s="120"/>
      <c r="DW302" s="120"/>
      <c r="DX302" s="120"/>
      <c r="DY302" s="120"/>
      <c r="DZ302" s="120"/>
      <c r="EA302" s="120"/>
      <c r="EB302" s="120"/>
      <c r="EC302" s="120"/>
      <c r="ED302" s="120"/>
      <c r="EE302" s="120"/>
      <c r="EF302" s="120"/>
      <c r="EG302" s="120"/>
      <c r="EH302" s="120"/>
      <c r="EI302" s="120"/>
      <c r="EJ302" s="120"/>
      <c r="EK302" s="120"/>
      <c r="EL302" s="120"/>
      <c r="EM302" s="120"/>
      <c r="EN302" s="120"/>
      <c r="EO302" s="120"/>
      <c r="EP302" s="120"/>
      <c r="EQ302" s="120"/>
      <c r="ER302" s="120"/>
      <c r="ES302" s="120"/>
      <c r="ET302" s="120"/>
      <c r="EU302" s="120"/>
      <c r="EV302" s="120"/>
      <c r="EW302" s="120"/>
      <c r="EX302" s="120"/>
      <c r="EY302" s="120"/>
    </row>
    <row r="303">
      <c r="A303" s="112" t="s">
        <v>17</v>
      </c>
      <c r="B303" s="112" t="s">
        <v>85</v>
      </c>
      <c r="C303" s="112" t="s">
        <v>409</v>
      </c>
      <c r="D303" s="113">
        <f t="shared" si="1"/>
        <v>501.1215333</v>
      </c>
      <c r="E303" s="114">
        <v>43.3252666666666</v>
      </c>
      <c r="F303" s="114"/>
      <c r="G303" s="114"/>
      <c r="H303" s="114"/>
      <c r="I303" s="114"/>
      <c r="J303" s="114"/>
      <c r="K303" s="114"/>
      <c r="L303" s="114">
        <v>0.45795</v>
      </c>
      <c r="M303" s="114"/>
      <c r="N303" s="114"/>
      <c r="O303" s="114">
        <v>12.7847</v>
      </c>
      <c r="P303" s="112"/>
      <c r="Q303" s="112"/>
      <c r="R303" s="112">
        <v>85.2232166666667</v>
      </c>
      <c r="S303" s="112"/>
      <c r="T303" s="112"/>
      <c r="U303" s="112"/>
      <c r="V303" s="112"/>
      <c r="W303" s="112"/>
      <c r="X303" s="112">
        <v>0.7924</v>
      </c>
      <c r="Y303" s="112">
        <v>32.5161166666667</v>
      </c>
      <c r="Z303" s="112"/>
      <c r="AA303" s="113"/>
      <c r="AB303" s="112"/>
      <c r="AC303" s="112"/>
      <c r="AD303" s="112"/>
      <c r="AE303" s="112">
        <v>1.2915</v>
      </c>
      <c r="AF303" s="112"/>
      <c r="AG303" s="112"/>
      <c r="AH303" s="112">
        <v>184.162233333333</v>
      </c>
      <c r="AI303" s="112"/>
      <c r="AJ303" s="112"/>
      <c r="AK303" s="112"/>
      <c r="AL303" s="113"/>
      <c r="AM303" s="112"/>
      <c r="AN303" s="112">
        <v>2.02145</v>
      </c>
      <c r="AO303" s="112">
        <v>18.5280166666667</v>
      </c>
      <c r="AP303" s="112"/>
      <c r="AQ303" s="113"/>
      <c r="AR303" s="112"/>
      <c r="AS303" s="112">
        <v>2.24263333333333</v>
      </c>
      <c r="AT303" s="112">
        <v>55.5920666666667</v>
      </c>
      <c r="AU303" s="112"/>
      <c r="AV303" s="112"/>
      <c r="AW303" s="112">
        <v>2.49398333333333</v>
      </c>
      <c r="AX303" s="112">
        <v>56.0648</v>
      </c>
      <c r="AY303" s="113"/>
      <c r="AZ303" s="112">
        <v>2.63106666666667</v>
      </c>
      <c r="BA303" s="112">
        <v>0.994133333333333</v>
      </c>
      <c r="BB303" s="113"/>
      <c r="BC303" s="113"/>
      <c r="BD303" s="113"/>
      <c r="BE303" s="113"/>
      <c r="BF303" s="113"/>
      <c r="BG303" s="113"/>
      <c r="BH303" s="113"/>
      <c r="BI303" s="113"/>
      <c r="BJ303" s="113"/>
      <c r="BK303" s="113"/>
      <c r="BL303" s="113"/>
      <c r="BM303" s="113"/>
      <c r="BN303" s="113"/>
      <c r="BO303" s="113"/>
      <c r="BP303" s="113"/>
      <c r="BQ303" s="113"/>
      <c r="BR303" s="113"/>
      <c r="BS303" s="113"/>
      <c r="BT303" s="113"/>
      <c r="BU303" s="113"/>
      <c r="BV303" s="113"/>
      <c r="BW303" s="113"/>
      <c r="BX303" s="113"/>
      <c r="BY303" s="113"/>
      <c r="BZ303" s="113"/>
      <c r="CA303" s="113"/>
      <c r="CB303" s="113"/>
      <c r="CC303" s="113"/>
      <c r="CD303" s="113"/>
      <c r="CE303" s="113"/>
      <c r="CF303" s="113"/>
      <c r="CG303" s="113"/>
      <c r="CH303" s="113"/>
      <c r="CI303" s="113"/>
      <c r="CJ303" s="113"/>
      <c r="CK303" s="113"/>
      <c r="CL303" s="113"/>
      <c r="CM303" s="113"/>
      <c r="CN303" s="113"/>
      <c r="CO303" s="113"/>
      <c r="CP303" s="113"/>
      <c r="CQ303" s="113"/>
      <c r="CR303" s="113"/>
      <c r="CS303" s="113"/>
      <c r="CT303" s="113"/>
      <c r="CU303" s="113"/>
      <c r="CV303" s="113"/>
      <c r="CW303" s="113"/>
      <c r="CX303" s="113"/>
      <c r="CY303" s="113"/>
      <c r="CZ303" s="113"/>
      <c r="DA303" s="113"/>
      <c r="DB303" s="113"/>
      <c r="DC303" s="113"/>
      <c r="DD303" s="113"/>
      <c r="DE303" s="113"/>
      <c r="DF303" s="113"/>
      <c r="DG303" s="113"/>
      <c r="DH303" s="113"/>
      <c r="DI303" s="113"/>
      <c r="DJ303" s="113"/>
      <c r="DK303" s="113"/>
      <c r="DL303" s="113"/>
      <c r="DM303" s="113"/>
      <c r="DN303" s="113"/>
      <c r="DO303" s="113"/>
      <c r="DP303" s="113"/>
      <c r="DQ303" s="113"/>
      <c r="DR303" s="113"/>
      <c r="DS303" s="113"/>
      <c r="DT303" s="113"/>
      <c r="DU303" s="113"/>
      <c r="DV303" s="113"/>
      <c r="DW303" s="113"/>
      <c r="DX303" s="113"/>
      <c r="DY303" s="113"/>
      <c r="DZ303" s="113"/>
      <c r="EA303" s="113"/>
      <c r="EB303" s="113"/>
      <c r="EC303" s="113"/>
      <c r="ED303" s="113"/>
      <c r="EE303" s="113"/>
      <c r="EF303" s="113"/>
      <c r="EG303" s="113"/>
      <c r="EH303" s="113"/>
      <c r="EI303" s="113"/>
      <c r="EJ303" s="113"/>
      <c r="EK303" s="113"/>
      <c r="EL303" s="113"/>
      <c r="EM303" s="113"/>
      <c r="EN303" s="113"/>
      <c r="EO303" s="113"/>
      <c r="EP303" s="113"/>
      <c r="EQ303" s="113"/>
      <c r="ER303" s="113"/>
      <c r="ES303" s="113"/>
      <c r="ET303" s="113"/>
      <c r="EU303" s="113"/>
      <c r="EV303" s="113"/>
      <c r="EW303" s="113"/>
      <c r="EX303" s="113"/>
      <c r="EY303" s="113"/>
    </row>
    <row r="304">
      <c r="A304" s="65" t="s">
        <v>17</v>
      </c>
      <c r="B304" s="65" t="s">
        <v>85</v>
      </c>
      <c r="C304" s="65" t="s">
        <v>410</v>
      </c>
      <c r="D304" s="64">
        <f t="shared" si="1"/>
        <v>473.0834167</v>
      </c>
      <c r="E304" s="115"/>
      <c r="F304" s="115"/>
      <c r="G304" s="104">
        <v>9.50828333333334</v>
      </c>
      <c r="H304" s="104">
        <v>29.71265</v>
      </c>
      <c r="I304" s="104">
        <v>2.87673333333333</v>
      </c>
      <c r="J304" s="104"/>
      <c r="K304" s="104"/>
      <c r="L304" s="104"/>
      <c r="M304" s="104"/>
      <c r="N304" s="104">
        <v>9.50828333333334</v>
      </c>
      <c r="O304" s="104"/>
      <c r="P304" s="65">
        <v>12.5548833333333</v>
      </c>
      <c r="Q304" s="65"/>
      <c r="R304" s="65"/>
      <c r="S304" s="65"/>
      <c r="T304" s="65">
        <v>17.5375333333333</v>
      </c>
      <c r="U304" s="65">
        <v>49.8464166666667</v>
      </c>
      <c r="V304" s="65">
        <v>11.5518333333333</v>
      </c>
      <c r="W304" s="65">
        <v>2.40821666666667</v>
      </c>
      <c r="X304" s="65"/>
      <c r="Y304" s="65"/>
      <c r="Z304" s="65"/>
      <c r="AA304" s="65">
        <v>6.46763333333333</v>
      </c>
      <c r="AB304" s="65">
        <v>22.5850833333333</v>
      </c>
      <c r="AC304" s="65">
        <v>2.45131666666667</v>
      </c>
      <c r="AD304" s="65"/>
      <c r="AE304" s="65"/>
      <c r="AF304" s="65"/>
      <c r="AG304" s="65">
        <v>6.46763333333333</v>
      </c>
      <c r="AH304" s="65"/>
      <c r="AI304" s="65"/>
      <c r="AJ304" s="65">
        <v>17.5451333333333</v>
      </c>
      <c r="AK304" s="65">
        <v>96.282</v>
      </c>
      <c r="AL304" s="65">
        <v>60.2155666666668</v>
      </c>
      <c r="AM304" s="65">
        <v>8.02336666666667</v>
      </c>
      <c r="AN304" s="65"/>
      <c r="AP304" s="65">
        <v>12.9001333333333</v>
      </c>
      <c r="AQ304" s="65">
        <v>0.0806</v>
      </c>
      <c r="AR304" s="65"/>
      <c r="AT304" s="65"/>
      <c r="AU304" s="65">
        <v>40.0419333333333</v>
      </c>
      <c r="AV304" s="65">
        <v>1.61145</v>
      </c>
      <c r="AY304" s="65">
        <v>52.9067333333333</v>
      </c>
    </row>
    <row r="305">
      <c r="A305" s="65" t="s">
        <v>17</v>
      </c>
      <c r="B305" s="65" t="s">
        <v>85</v>
      </c>
      <c r="C305" s="65" t="s">
        <v>411</v>
      </c>
      <c r="D305" s="64">
        <f t="shared" si="1"/>
        <v>0</v>
      </c>
      <c r="E305" s="115"/>
      <c r="F305" s="115"/>
      <c r="G305" s="115"/>
      <c r="H305" s="115"/>
      <c r="I305" s="115"/>
      <c r="J305" s="115"/>
      <c r="K305" s="115"/>
      <c r="L305" s="115"/>
      <c r="M305" s="115"/>
      <c r="N305" s="115"/>
      <c r="O305" s="115"/>
    </row>
    <row r="306">
      <c r="A306" s="65" t="s">
        <v>17</v>
      </c>
      <c r="B306" s="65" t="s">
        <v>85</v>
      </c>
      <c r="C306" s="65" t="s">
        <v>412</v>
      </c>
      <c r="D306" s="64">
        <f t="shared" si="1"/>
        <v>455.8249167</v>
      </c>
      <c r="E306" s="115"/>
      <c r="F306" s="115"/>
      <c r="G306" s="116">
        <f>HYPERLINK("https://docs.google.com/spreadsheets/d/1WMJBQ5tMTtxHZfo0XvZqL36kaL1YgMfX", 9.50828333333333)</f>
        <v>9.508283333</v>
      </c>
      <c r="H306" s="116">
        <f>HYPERLINK("https://docs.google.com/spreadsheets/d/18UmQHbameRCw_RKj3idUCBAhZuDnZhc_", 29.7126333333333)</f>
        <v>29.71263333</v>
      </c>
      <c r="I306" s="116">
        <f>HYPERLINK("https://docs.google.com/spreadsheets/d/1zaPewaSde_DSt5XE1Ma8XifmRNZ1y3i4", 2.87673333333333)</f>
        <v>2.876733333</v>
      </c>
      <c r="J306" s="115"/>
      <c r="K306" s="115"/>
      <c r="L306" s="115"/>
      <c r="M306" s="115"/>
      <c r="N306" s="115"/>
      <c r="O306" s="115"/>
      <c r="P306" s="118">
        <f>HYPERLINK("https://docs.google.com/spreadsheets/d/14ZaFfeYJW36milLedNqZyGZemkd3Aaa2", 12.5548833333333)</f>
        <v>12.55488333</v>
      </c>
      <c r="T306" s="118">
        <f>HYPERLINK("https://docs.google.com/spreadsheets/d/1nzsyYLkoeZ3mTLj6KG7LDk6JUA-vDt2e", 17.32015)</f>
        <v>17.32015</v>
      </c>
      <c r="U306" s="118">
        <f>HYPERLINK("https://docs.google.com/spreadsheets/d/18nuc4Q3uSTFFsYRKj2Lqb_kszR4HaqBR", 49.8464)</f>
        <v>49.8464</v>
      </c>
      <c r="V306" s="118">
        <f>HYPERLINK("https://docs.google.com/spreadsheets/d/1lgcrQ1EHtjnB6Di5hp2umFe8dsoQQnfx", 11.5518333333333)</f>
        <v>11.55183333</v>
      </c>
      <c r="W306" s="118">
        <f>HYPERLINK("https://docs.google.com/spreadsheets/d/14IS-mnDwKYRgms-0PExQRYUzaRrMjwrP", 2.40821666666667)</f>
        <v>2.408216667</v>
      </c>
      <c r="AA306" s="118">
        <f>HYPERLINK("https://docs.google.com/spreadsheets/d/16T6bpH4BiYO0Oh_3SpPmIhslO6THkMTq", 6.46761666666667)</f>
        <v>6.467616667</v>
      </c>
      <c r="AB306" s="118">
        <f>HYPERLINK("https://docs.google.com/spreadsheets/d/12LFkgEFICl2glKAiwUN51r74YMn89IHR", 22.5850833333333)</f>
        <v>22.58508333</v>
      </c>
      <c r="AC306" s="118">
        <f>HYPERLINK("https://docs.google.com/spreadsheets/d/1tUWnBs-MAbfJxyPLDQgSVk9QgkpWkD_D", 2.4513)</f>
        <v>2.4513</v>
      </c>
      <c r="AJ306" s="118">
        <f>HYPERLINK("https://docs.google.com/spreadsheets/d/1jl2CWpNa4kp1EgZ9PROJl-8IoegXHLCL", 17.3662666666667)</f>
        <v>17.36626667</v>
      </c>
      <c r="AK306" s="118">
        <f>HYPERLINK("https://docs.google.com/spreadsheets/d/1UmRV5EVRCq58LxFJVYTVFt2VpcADcHgS", 96.1639333333333)</f>
        <v>96.16393333</v>
      </c>
      <c r="AL306" s="118">
        <f>HYPERLINK("https://docs.google.com/spreadsheets/d/1A4dmcurey0bDtoJAQyT0t7k26zdp3GuG", 60.2155666666668)</f>
        <v>60.21556667</v>
      </c>
      <c r="AM306" s="118">
        <f>HYPERLINK("https://docs.google.com/spreadsheets/d/14ZlzEE0laxrCQs544qC005X_EuI4e43p", 8.02335)</f>
        <v>8.02335</v>
      </c>
      <c r="AP306" s="118">
        <f>HYPERLINK("https://docs.google.com/spreadsheets/d/1x2pMXYvzwRQIchRyWxzqs9ge93IYsTPf", 12.9001166666667)</f>
        <v>12.90011667</v>
      </c>
      <c r="AQ306" s="118">
        <f>HYPERLINK("https://docs.google.com/spreadsheets/d/10vC30LIq1e7HrQahBW6XHuKuLVwmBdN0", 0.0806)</f>
        <v>0.0806</v>
      </c>
      <c r="AU306" s="118">
        <f>HYPERLINK("https://docs.google.com/spreadsheets/d/1jxgB43pmPuB2f4Shbog38i1iS83pKzzy", 39.7272)</f>
        <v>39.7272</v>
      </c>
      <c r="AV306" s="118">
        <f>HYPERLINK("https://docs.google.com/spreadsheets/d/1vZs-s86rw5G1zJs3JFZbL1DBoj7xMbe3", 1.58368333333333)</f>
        <v>1.583683333</v>
      </c>
      <c r="AY306" s="118">
        <f>HYPERLINK("https://docs.google.com/spreadsheets/d/1gI6t3OIBIUS49CPCdIi6PWwZ9E7NWwDR", 52.4810666666667)</f>
        <v>52.48106667</v>
      </c>
    </row>
    <row r="307">
      <c r="A307" s="65" t="s">
        <v>17</v>
      </c>
      <c r="B307" s="65" t="s">
        <v>85</v>
      </c>
      <c r="C307" s="65" t="s">
        <v>413</v>
      </c>
      <c r="D307" s="64">
        <f t="shared" si="1"/>
        <v>245.8251667</v>
      </c>
      <c r="E307" s="115"/>
      <c r="F307" s="115"/>
      <c r="G307" s="104">
        <v>2.32706666666667</v>
      </c>
      <c r="H307" s="104">
        <v>10.8823833333333</v>
      </c>
      <c r="I307" s="104">
        <v>0.73225</v>
      </c>
      <c r="J307" s="104"/>
      <c r="K307" s="104"/>
      <c r="L307" s="104"/>
      <c r="M307" s="104"/>
      <c r="N307" s="104"/>
      <c r="O307" s="104"/>
      <c r="P307" s="65">
        <v>11.2825833333333</v>
      </c>
      <c r="Q307" s="65"/>
      <c r="R307" s="65"/>
      <c r="S307" s="65"/>
      <c r="T307" s="65">
        <v>15.9984333333333</v>
      </c>
      <c r="U307" s="65">
        <v>17.721</v>
      </c>
      <c r="V307" s="65">
        <v>5.93165</v>
      </c>
      <c r="W307" s="65">
        <v>2.23336666666667</v>
      </c>
      <c r="X307" s="65"/>
      <c r="Y307" s="65"/>
      <c r="Z307" s="65"/>
      <c r="AA307" s="65">
        <v>3.12678333333333</v>
      </c>
      <c r="AB307" s="65">
        <v>5.99606666666667</v>
      </c>
      <c r="AC307" s="65">
        <v>4.44089209850063E-16</v>
      </c>
      <c r="AD307" s="65"/>
      <c r="AE307" s="65"/>
      <c r="AF307" s="65"/>
      <c r="AG307" s="65"/>
      <c r="AH307" s="65"/>
      <c r="AI307" s="65"/>
      <c r="AJ307" s="65">
        <v>15.0607166666667</v>
      </c>
      <c r="AK307" s="65">
        <v>53.7678166666667</v>
      </c>
      <c r="AL307" s="65">
        <v>30.9737000000001</v>
      </c>
      <c r="AM307" s="65">
        <v>7.28425</v>
      </c>
      <c r="AN307" s="65"/>
      <c r="AP307" s="65">
        <v>11.4708166666667</v>
      </c>
      <c r="AQ307" s="65">
        <v>0.0</v>
      </c>
      <c r="AR307" s="65"/>
      <c r="AT307" s="65"/>
      <c r="AU307" s="65">
        <v>12.7113166666667</v>
      </c>
      <c r="AV307" s="65">
        <v>0.0938500000000002</v>
      </c>
      <c r="AY307" s="65">
        <v>38.2311166666667</v>
      </c>
    </row>
    <row r="308">
      <c r="A308" s="119" t="s">
        <v>17</v>
      </c>
      <c r="B308" s="119" t="s">
        <v>85</v>
      </c>
      <c r="C308" s="119" t="s">
        <v>414</v>
      </c>
      <c r="D308" s="120">
        <f t="shared" si="1"/>
        <v>39.7272</v>
      </c>
      <c r="E308" s="121"/>
      <c r="F308" s="121"/>
      <c r="G308" s="122">
        <f>HYPERLINK("https://docs.google.com/spreadsheets/d/1WMJBQ5tMTtxHZfo0XvZqL36kaL1YgMfX", 0)</f>
        <v>0</v>
      </c>
      <c r="H308" s="122">
        <f>HYPERLINK("https://docs.google.com/spreadsheets/d/18UmQHbameRCw_RKj3idUCBAhZuDnZhc_", 0)</f>
        <v>0</v>
      </c>
      <c r="I308" s="122">
        <f>HYPERLINK("https://docs.google.com/spreadsheets/d/1zaPewaSde_DSt5XE1Ma8XifmRNZ1y3i4", 0)</f>
        <v>0</v>
      </c>
      <c r="J308" s="121"/>
      <c r="K308" s="121"/>
      <c r="L308" s="121"/>
      <c r="M308" s="121"/>
      <c r="N308" s="123"/>
      <c r="O308" s="121"/>
      <c r="P308" s="124">
        <f>HYPERLINK("https://docs.google.com/spreadsheets/d/14ZaFfeYJW36milLedNqZyGZemkd3Aaa2", 0)</f>
        <v>0</v>
      </c>
      <c r="Q308" s="120"/>
      <c r="R308" s="119"/>
      <c r="S308" s="120"/>
      <c r="T308" s="125">
        <f>HYPERLINK("https://docs.google.com/spreadsheets/d/1nzsyYLkoeZ3mTLj6KG7LDk6JUA-vDt2e", 0)</f>
        <v>0</v>
      </c>
      <c r="U308" s="125">
        <f>HYPERLINK("https://docs.google.com/spreadsheets/d/18nuc4Q3uSTFFsYRKj2Lqb_kszR4HaqBR", 0)</f>
        <v>0</v>
      </c>
      <c r="V308" s="124">
        <f>HYPERLINK("https://docs.google.com/spreadsheets/d/1lgcrQ1EHtjnB6Di5hp2umFe8dsoQQnfx", 0)</f>
        <v>0</v>
      </c>
      <c r="W308" s="124">
        <f>HYPERLINK("https://docs.google.com/spreadsheets/d/14IS-mnDwKYRgms-0PExQRYUzaRrMjwrP", 0)</f>
        <v>0</v>
      </c>
      <c r="X308" s="120"/>
      <c r="Y308" s="119"/>
      <c r="Z308" s="120"/>
      <c r="AA308" s="124">
        <f>HYPERLINK("https://docs.google.com/spreadsheets/d/16T6bpH4BiYO0Oh_3SpPmIhslO6THkMTq", 0)</f>
        <v>0</v>
      </c>
      <c r="AB308" s="124">
        <f>HYPERLINK("https://docs.google.com/spreadsheets/d/12LFkgEFICl2glKAiwUN51r74YMn89IHR", 0)</f>
        <v>0</v>
      </c>
      <c r="AC308" s="124">
        <f>HYPERLINK("https://docs.google.com/spreadsheets/d/1tUWnBs-MAbfJxyPLDQgSVk9QgkpWkD_D", 0)</f>
        <v>0</v>
      </c>
      <c r="AD308" s="120"/>
      <c r="AE308" s="120"/>
      <c r="AF308" s="119"/>
      <c r="AG308" s="119"/>
      <c r="AH308" s="119"/>
      <c r="AI308" s="119"/>
      <c r="AJ308" s="124">
        <f>HYPERLINK("https://docs.google.com/spreadsheets/d/1jl2CWpNa4kp1EgZ9PROJl-8IoegXHLCL", 0)</f>
        <v>0</v>
      </c>
      <c r="AK308" s="124">
        <f>HYPERLINK("https://docs.google.com/spreadsheets/d/1UmRV5EVRCq58LxFJVYTVFt2VpcADcHgS", 0)</f>
        <v>0</v>
      </c>
      <c r="AL308" s="125">
        <f>HYPERLINK("https://docs.google.com/spreadsheets/d/1A4dmcurey0bDtoJAQyT0t7k26zdp3GuG", 0)</f>
        <v>0</v>
      </c>
      <c r="AM308" s="124">
        <f>HYPERLINK("https://docs.google.com/spreadsheets/d/14ZlzEE0laxrCQs544qC005X_EuI4e43p", 0)</f>
        <v>0</v>
      </c>
      <c r="AN308" s="120"/>
      <c r="AO308" s="120"/>
      <c r="AP308" s="124">
        <f>HYPERLINK("https://docs.google.com/spreadsheets/d/1x2pMXYvzwRQIchRyWxzqs9ge93IYsTPf", 0)</f>
        <v>0</v>
      </c>
      <c r="AQ308" s="125">
        <f>HYPERLINK("https://docs.google.com/spreadsheets/d/10vC30LIq1e7HrQahBW6XHuKuLVwmBdN0", 0)</f>
        <v>0</v>
      </c>
      <c r="AR308" s="119"/>
      <c r="AS308" s="120"/>
      <c r="AT308" s="120"/>
      <c r="AU308" s="125">
        <f>HYPERLINK("https://docs.google.com/spreadsheets/d/1jxgB43pmPuB2f4Shbog38i1iS83pKzzy", 39.7272)</f>
        <v>39.7272</v>
      </c>
      <c r="AV308" s="124">
        <f>HYPERLINK("https://docs.google.com/spreadsheets/d/1vZs-s86rw5G1zJs3JFZbL1DBoj7xMbe3", 0)</f>
        <v>0</v>
      </c>
      <c r="AW308" s="120"/>
      <c r="AX308" s="120"/>
      <c r="AY308" s="124">
        <f>HYPERLINK("https://docs.google.com/spreadsheets/d/1gI6t3OIBIUS49CPCdIi6PWwZ9E7NWwDR", 0)</f>
        <v>0</v>
      </c>
      <c r="AZ308" s="120"/>
      <c r="BA308" s="120"/>
      <c r="BB308" s="120"/>
      <c r="BC308" s="120"/>
      <c r="BD308" s="120"/>
      <c r="BE308" s="120"/>
      <c r="BF308" s="120"/>
      <c r="BG308" s="120"/>
      <c r="BH308" s="120"/>
      <c r="BI308" s="120"/>
      <c r="BJ308" s="120"/>
      <c r="BK308" s="120"/>
      <c r="BL308" s="120"/>
      <c r="BM308" s="120"/>
      <c r="BN308" s="120"/>
      <c r="BO308" s="120"/>
      <c r="BP308" s="120"/>
      <c r="BQ308" s="120"/>
      <c r="BR308" s="120"/>
      <c r="BS308" s="120"/>
      <c r="BT308" s="120"/>
      <c r="BU308" s="120"/>
      <c r="BV308" s="120"/>
      <c r="BW308" s="120"/>
      <c r="BX308" s="120"/>
      <c r="BY308" s="120"/>
      <c r="BZ308" s="120"/>
      <c r="CA308" s="120"/>
      <c r="CB308" s="120"/>
      <c r="CC308" s="120"/>
      <c r="CD308" s="120"/>
      <c r="CE308" s="120"/>
      <c r="CF308" s="120"/>
      <c r="CG308" s="120"/>
      <c r="CH308" s="120"/>
      <c r="CI308" s="120"/>
      <c r="CJ308" s="120"/>
      <c r="CK308" s="120"/>
      <c r="CL308" s="120"/>
      <c r="CM308" s="120"/>
      <c r="CN308" s="120"/>
      <c r="CO308" s="120"/>
      <c r="CP308" s="120"/>
      <c r="CQ308" s="120"/>
      <c r="CR308" s="120"/>
      <c r="CS308" s="120"/>
      <c r="CT308" s="120"/>
      <c r="CU308" s="120"/>
      <c r="CV308" s="120"/>
      <c r="CW308" s="120"/>
      <c r="CX308" s="120"/>
      <c r="CY308" s="120"/>
      <c r="CZ308" s="120"/>
      <c r="DA308" s="120"/>
      <c r="DB308" s="120"/>
      <c r="DC308" s="120"/>
      <c r="DD308" s="120"/>
      <c r="DE308" s="120"/>
      <c r="DF308" s="120"/>
      <c r="DG308" s="120"/>
      <c r="DH308" s="120"/>
      <c r="DI308" s="120"/>
      <c r="DJ308" s="120"/>
      <c r="DK308" s="120"/>
      <c r="DL308" s="120"/>
      <c r="DM308" s="120"/>
      <c r="DN308" s="120"/>
      <c r="DO308" s="120"/>
      <c r="DP308" s="120"/>
      <c r="DQ308" s="120"/>
      <c r="DR308" s="120"/>
      <c r="DS308" s="120"/>
      <c r="DT308" s="120"/>
      <c r="DU308" s="120"/>
      <c r="DV308" s="120"/>
      <c r="DW308" s="120"/>
      <c r="DX308" s="120"/>
      <c r="DY308" s="120"/>
      <c r="DZ308" s="120"/>
      <c r="EA308" s="120"/>
      <c r="EB308" s="120"/>
      <c r="EC308" s="120"/>
      <c r="ED308" s="120"/>
      <c r="EE308" s="120"/>
      <c r="EF308" s="120"/>
      <c r="EG308" s="120"/>
      <c r="EH308" s="120"/>
      <c r="EI308" s="120"/>
      <c r="EJ308" s="120"/>
      <c r="EK308" s="120"/>
      <c r="EL308" s="120"/>
      <c r="EM308" s="120"/>
      <c r="EN308" s="120"/>
      <c r="EO308" s="120"/>
      <c r="EP308" s="120"/>
      <c r="EQ308" s="120"/>
      <c r="ER308" s="120"/>
      <c r="ES308" s="120"/>
      <c r="ET308" s="120"/>
      <c r="EU308" s="120"/>
      <c r="EV308" s="120"/>
      <c r="EW308" s="120"/>
      <c r="EX308" s="120"/>
      <c r="EY308" s="120"/>
    </row>
    <row r="309">
      <c r="A309" s="112" t="s">
        <v>17</v>
      </c>
      <c r="B309" s="112" t="s">
        <v>79</v>
      </c>
      <c r="C309" s="112" t="s">
        <v>409</v>
      </c>
      <c r="D309" s="113">
        <f t="shared" si="1"/>
        <v>545.3764</v>
      </c>
      <c r="E309" s="114">
        <v>21.8043</v>
      </c>
      <c r="F309" s="114"/>
      <c r="G309" s="114"/>
      <c r="H309" s="114"/>
      <c r="I309" s="114"/>
      <c r="J309" s="114"/>
      <c r="K309" s="114"/>
      <c r="L309" s="114">
        <v>0.645083333333333</v>
      </c>
      <c r="M309" s="114"/>
      <c r="N309" s="114"/>
      <c r="O309" s="114">
        <v>2.90631666666667</v>
      </c>
      <c r="P309" s="112"/>
      <c r="Q309" s="112"/>
      <c r="R309" s="112">
        <v>47.4193666666666</v>
      </c>
      <c r="S309" s="112"/>
      <c r="T309" s="112"/>
      <c r="U309" s="112"/>
      <c r="V309" s="112"/>
      <c r="W309" s="112"/>
      <c r="X309" s="112">
        <v>0.28945</v>
      </c>
      <c r="Y309" s="112">
        <v>48.9878666666666</v>
      </c>
      <c r="Z309" s="112"/>
      <c r="AA309" s="113"/>
      <c r="AB309" s="112"/>
      <c r="AC309" s="112"/>
      <c r="AD309" s="112"/>
      <c r="AE309" s="112">
        <v>0.443266666666667</v>
      </c>
      <c r="AF309" s="112"/>
      <c r="AG309" s="112"/>
      <c r="AH309" s="112">
        <v>255.7926</v>
      </c>
      <c r="AI309" s="112"/>
      <c r="AJ309" s="112"/>
      <c r="AK309" s="112"/>
      <c r="AL309" s="113"/>
      <c r="AM309" s="112"/>
      <c r="AN309" s="112">
        <v>2.15355</v>
      </c>
      <c r="AO309" s="112">
        <v>26.59255</v>
      </c>
      <c r="AP309" s="112"/>
      <c r="AQ309" s="113"/>
      <c r="AR309" s="112"/>
      <c r="AS309" s="112">
        <v>1.38595</v>
      </c>
      <c r="AT309" s="112">
        <v>74.3471666666667</v>
      </c>
      <c r="AU309" s="112"/>
      <c r="AV309" s="112"/>
      <c r="AW309" s="112">
        <v>2.24843333333333</v>
      </c>
      <c r="AX309" s="112">
        <v>57.3940333333333</v>
      </c>
      <c r="AY309" s="113"/>
      <c r="AZ309" s="112">
        <v>2.29711666666667</v>
      </c>
      <c r="BA309" s="112">
        <v>0.66935</v>
      </c>
      <c r="BB309" s="113"/>
      <c r="BC309" s="113"/>
      <c r="BD309" s="113"/>
      <c r="BE309" s="113"/>
      <c r="BF309" s="113"/>
      <c r="BG309" s="113"/>
      <c r="BH309" s="113"/>
      <c r="BI309" s="113"/>
      <c r="BJ309" s="113"/>
      <c r="BK309" s="113"/>
      <c r="BL309" s="113"/>
      <c r="BM309" s="113"/>
      <c r="BN309" s="113"/>
      <c r="BO309" s="113"/>
      <c r="BP309" s="113"/>
      <c r="BQ309" s="113"/>
      <c r="BR309" s="113"/>
      <c r="BS309" s="113"/>
      <c r="BT309" s="113"/>
      <c r="BU309" s="113"/>
      <c r="BV309" s="113"/>
      <c r="BW309" s="113"/>
      <c r="BX309" s="113"/>
      <c r="BY309" s="113"/>
      <c r="BZ309" s="113"/>
      <c r="CA309" s="113"/>
      <c r="CB309" s="113"/>
      <c r="CC309" s="113"/>
      <c r="CD309" s="113"/>
      <c r="CE309" s="113"/>
      <c r="CF309" s="113"/>
      <c r="CG309" s="113"/>
      <c r="CH309" s="113"/>
      <c r="CI309" s="113"/>
      <c r="CJ309" s="113"/>
      <c r="CK309" s="113"/>
      <c r="CL309" s="113"/>
      <c r="CM309" s="113"/>
      <c r="CN309" s="113"/>
      <c r="CO309" s="113"/>
      <c r="CP309" s="113"/>
      <c r="CQ309" s="113"/>
      <c r="CR309" s="113"/>
      <c r="CS309" s="113"/>
      <c r="CT309" s="113"/>
      <c r="CU309" s="113"/>
      <c r="CV309" s="113"/>
      <c r="CW309" s="113"/>
      <c r="CX309" s="113"/>
      <c r="CY309" s="113"/>
      <c r="CZ309" s="113"/>
      <c r="DA309" s="113"/>
      <c r="DB309" s="113"/>
      <c r="DC309" s="113"/>
      <c r="DD309" s="113"/>
      <c r="DE309" s="113"/>
      <c r="DF309" s="113"/>
      <c r="DG309" s="113"/>
      <c r="DH309" s="113"/>
      <c r="DI309" s="113"/>
      <c r="DJ309" s="113"/>
      <c r="DK309" s="113"/>
      <c r="DL309" s="113"/>
      <c r="DM309" s="113"/>
      <c r="DN309" s="113"/>
      <c r="DO309" s="113"/>
      <c r="DP309" s="113"/>
      <c r="DQ309" s="113"/>
      <c r="DR309" s="113"/>
      <c r="DS309" s="113"/>
      <c r="DT309" s="113"/>
      <c r="DU309" s="113"/>
      <c r="DV309" s="113"/>
      <c r="DW309" s="113"/>
      <c r="DX309" s="113"/>
      <c r="DY309" s="113"/>
      <c r="DZ309" s="113"/>
      <c r="EA309" s="113"/>
      <c r="EB309" s="113"/>
      <c r="EC309" s="113"/>
      <c r="ED309" s="113"/>
      <c r="EE309" s="113"/>
      <c r="EF309" s="113"/>
      <c r="EG309" s="113"/>
      <c r="EH309" s="113"/>
      <c r="EI309" s="113"/>
      <c r="EJ309" s="113"/>
      <c r="EK309" s="113"/>
      <c r="EL309" s="113"/>
      <c r="EM309" s="113"/>
      <c r="EN309" s="113"/>
      <c r="EO309" s="113"/>
      <c r="EP309" s="113"/>
      <c r="EQ309" s="113"/>
      <c r="ER309" s="113"/>
      <c r="ES309" s="113"/>
      <c r="ET309" s="113"/>
      <c r="EU309" s="113"/>
      <c r="EV309" s="113"/>
      <c r="EW309" s="113"/>
      <c r="EX309" s="113"/>
      <c r="EY309" s="113"/>
    </row>
    <row r="310">
      <c r="A310" s="65" t="s">
        <v>17</v>
      </c>
      <c r="B310" s="65" t="s">
        <v>79</v>
      </c>
      <c r="C310" s="65" t="s">
        <v>410</v>
      </c>
      <c r="D310" s="64">
        <f t="shared" si="1"/>
        <v>531.0691333</v>
      </c>
      <c r="E310" s="115"/>
      <c r="F310" s="104"/>
      <c r="G310" s="104">
        <v>12.68615</v>
      </c>
      <c r="H310" s="104">
        <v>5.5082</v>
      </c>
      <c r="I310" s="104">
        <v>3.35061666666667</v>
      </c>
      <c r="J310" s="104"/>
      <c r="K310" s="104"/>
      <c r="L310" s="104"/>
      <c r="M310" s="104"/>
      <c r="N310" s="104">
        <v>12.68615</v>
      </c>
      <c r="O310" s="115"/>
      <c r="P310" s="65">
        <v>2.1896</v>
      </c>
      <c r="Q310" s="65"/>
      <c r="R310" s="65"/>
      <c r="S310" s="65"/>
      <c r="T310" s="65">
        <v>11.4169166666667</v>
      </c>
      <c r="U310" s="65">
        <v>25.78395</v>
      </c>
      <c r="V310" s="65">
        <v>3.2802</v>
      </c>
      <c r="W310" s="65">
        <v>5.48838333333333</v>
      </c>
      <c r="X310" s="65"/>
      <c r="Y310" s="65"/>
      <c r="Z310" s="65"/>
      <c r="AA310" s="65">
        <v>14.5209166666667</v>
      </c>
      <c r="AB310" s="65">
        <v>23.3824833333333</v>
      </c>
      <c r="AC310" s="65">
        <v>10.0149</v>
      </c>
      <c r="AD310" s="65"/>
      <c r="AE310" s="65"/>
      <c r="AF310" s="65"/>
      <c r="AG310" s="65">
        <v>14.5209166666667</v>
      </c>
      <c r="AH310" s="65"/>
      <c r="AI310" s="65"/>
      <c r="AJ310" s="65">
        <v>42.4643666666666</v>
      </c>
      <c r="AK310" s="65">
        <v>134.8313</v>
      </c>
      <c r="AL310" s="65">
        <v>65.9756166666667</v>
      </c>
      <c r="AM310" s="65">
        <v>9.89498333333334</v>
      </c>
      <c r="AN310" s="65"/>
      <c r="AP310" s="65">
        <v>18.9752</v>
      </c>
      <c r="AQ310" s="65">
        <v>1.084</v>
      </c>
      <c r="AR310" s="65"/>
      <c r="AT310" s="65"/>
      <c r="AU310" s="65">
        <v>49.1606666666667</v>
      </c>
      <c r="AV310" s="65">
        <v>8.88318333333333</v>
      </c>
      <c r="AY310" s="65">
        <v>54.9704333333333</v>
      </c>
    </row>
    <row r="311">
      <c r="A311" s="65" t="s">
        <v>17</v>
      </c>
      <c r="B311" s="65" t="s">
        <v>79</v>
      </c>
      <c r="C311" s="65" t="s">
        <v>411</v>
      </c>
      <c r="D311" s="64">
        <f t="shared" si="1"/>
        <v>0</v>
      </c>
      <c r="E311" s="115"/>
      <c r="F311" s="115"/>
      <c r="G311" s="115"/>
      <c r="H311" s="115"/>
      <c r="I311" s="115"/>
      <c r="J311" s="115"/>
      <c r="K311" s="115"/>
      <c r="L311" s="115"/>
      <c r="M311" s="115"/>
      <c r="N311" s="115"/>
      <c r="O311" s="115"/>
    </row>
    <row r="312">
      <c r="A312" s="65" t="s">
        <v>17</v>
      </c>
      <c r="B312" s="65" t="s">
        <v>79</v>
      </c>
      <c r="C312" s="65" t="s">
        <v>412</v>
      </c>
      <c r="D312" s="64">
        <f t="shared" si="1"/>
        <v>502.93865</v>
      </c>
      <c r="E312" s="115"/>
      <c r="F312" s="115"/>
      <c r="G312" s="116">
        <f>HYPERLINK("https://docs.google.com/spreadsheets/d/1NpSI49ObdJ_tsj1x1J6ZVHFBCHhYap3X", 12.68615)</f>
        <v>12.68615</v>
      </c>
      <c r="H312" s="116">
        <f>HYPERLINK("https://docs.google.com/spreadsheets/d/1Bjr6DPcd-pMFlnKxSXLPdWaPP3D6tCuX", 5.5082)</f>
        <v>5.5082</v>
      </c>
      <c r="I312" s="116">
        <f>HYPERLINK("https://docs.google.com/spreadsheets/d/1Juoxqixs0Vnhuvw0P8DQRC6zor_Segy_", 3.35061666666667)</f>
        <v>3.350616667</v>
      </c>
      <c r="J312" s="115"/>
      <c r="K312" s="115"/>
      <c r="L312" s="115"/>
      <c r="M312" s="115"/>
      <c r="N312" s="115"/>
      <c r="O312" s="115"/>
      <c r="P312" s="118">
        <f>HYPERLINK("https://docs.google.com/spreadsheets/d/1nbyuQcf8WK1jcKfvE0nLle7zgM4lzuXA", 2.1896)</f>
        <v>2.1896</v>
      </c>
      <c r="T312" s="118">
        <f>HYPERLINK("https://docs.google.com/spreadsheets/d/13ptGEWCDpIoew4MGjzgate601qLhE-HX", 11.4169)</f>
        <v>11.4169</v>
      </c>
      <c r="U312" s="118">
        <f>HYPERLINK("https://docs.google.com/spreadsheets/d/1qFtkJXf0aZ51p6zoiBQ476UHzACU3rBj", 25.78395)</f>
        <v>25.78395</v>
      </c>
      <c r="V312" s="118">
        <f>HYPERLINK("https://docs.google.com/spreadsheets/d/1vjK7FACL-lLEciOMWqpxWocNnQrrK4na", 3.2802)</f>
        <v>3.2802</v>
      </c>
      <c r="W312" s="118">
        <f>HYPERLINK("https://docs.google.com/spreadsheets/d/1rLwXCNymFudlntNn-Ml1cleuPxOSYDjo", 5.48838333333333)</f>
        <v>5.488383333</v>
      </c>
      <c r="AA312" s="118">
        <f>HYPERLINK("https://docs.google.com/spreadsheets/d/1n82GcAkyaWe6_xkrYZyv2geAdTmSs26V", 14.5208833333333)</f>
        <v>14.52088333</v>
      </c>
      <c r="AB312" s="118">
        <f>HYPERLINK("https://docs.google.com/spreadsheets/d/1wpF9KPaOy905T2JYKOs9sKl_b9cf2Y4N", 23.3824666666667)</f>
        <v>23.38246667</v>
      </c>
      <c r="AC312" s="118">
        <f>HYPERLINK("https://docs.google.com/spreadsheets/d/1a5k0_7E0T6NRQAwylK5qoCajWH-D46-O", 10.0149)</f>
        <v>10.0149</v>
      </c>
      <c r="AJ312" s="118">
        <f>HYPERLINK("https://docs.google.com/spreadsheets/d/1eeUUAcbci7BA7FKKwjaEQoq2CMeRH-Fa", 42.4643666666666)</f>
        <v>42.46436667</v>
      </c>
      <c r="AK312" s="118">
        <f>HYPERLINK("https://docs.google.com/spreadsheets/d/1vb7udgLB0REq9yh40FLbynU4svb0Nrf2", 134.831283333333)</f>
        <v>134.8312833</v>
      </c>
      <c r="AL312" s="118">
        <f>HYPERLINK("https://docs.google.com/spreadsheets/d/1dA31vkfEihc3toH3O9Prxp04LErirbwl", 65.6809333333333)</f>
        <v>65.68093333</v>
      </c>
      <c r="AM312" s="118">
        <f>HYPERLINK("https://docs.google.com/spreadsheets/d/1w6QXMlHzmDajaSzlm1rHBWUs21zQrBaD", 9.56938333333334)</f>
        <v>9.569383333</v>
      </c>
      <c r="AP312" s="118">
        <f>HYPERLINK("https://docs.google.com/spreadsheets/d/1n__tssIsmO15fohODREZNng_AA6l2eD6", 18.97515)</f>
        <v>18.97515</v>
      </c>
      <c r="AQ312" s="118">
        <f>HYPERLINK("https://docs.google.com/spreadsheets/d/1HhHIOYGA7YU4mpK_akYjzX6Kmwj6ZJvk", 1.084)</f>
        <v>1.084</v>
      </c>
      <c r="AU312" s="118">
        <f>HYPERLINK("https://docs.google.com/spreadsheets/d/1_Ueyy4VidYwlUdSBm4_nE7unenWv7U62", 49.0413666666667)</f>
        <v>49.04136667</v>
      </c>
      <c r="AV312" s="118">
        <f>HYPERLINK("https://docs.google.com/spreadsheets/d/1v9I3Fkb_ltKiW1lOu0ANpOjVXzqXn0uc", 8.88321666666667)</f>
        <v>8.883216667</v>
      </c>
      <c r="AY312" s="118">
        <f>HYPERLINK("https://docs.google.com/spreadsheets/d/1vB2VvionIf57Tjh_1XYXyBg8zVkTAVMN", 54.7867)</f>
        <v>54.7867</v>
      </c>
    </row>
    <row r="313">
      <c r="A313" s="65" t="s">
        <v>17</v>
      </c>
      <c r="B313" s="65" t="s">
        <v>79</v>
      </c>
      <c r="C313" s="65" t="s">
        <v>413</v>
      </c>
      <c r="D313" s="64">
        <f t="shared" si="1"/>
        <v>262.6871</v>
      </c>
      <c r="E313" s="115"/>
      <c r="F313" s="115"/>
      <c r="G313" s="104">
        <v>2.88676666666667</v>
      </c>
      <c r="H313" s="104">
        <v>2.48201666666667</v>
      </c>
      <c r="I313" s="104">
        <v>1.62726666666667</v>
      </c>
      <c r="J313" s="104"/>
      <c r="K313" s="104"/>
      <c r="L313" s="104"/>
      <c r="M313" s="104"/>
      <c r="N313" s="104"/>
      <c r="O313" s="115"/>
      <c r="P313" s="65">
        <v>1.97095</v>
      </c>
      <c r="Q313" s="65"/>
      <c r="R313" s="65"/>
      <c r="S313" s="65"/>
      <c r="T313" s="65">
        <v>11.4169</v>
      </c>
      <c r="U313" s="65">
        <v>9.73940000000002</v>
      </c>
      <c r="V313" s="65">
        <v>1.24263333333333</v>
      </c>
      <c r="W313" s="65">
        <v>4.45428333333333</v>
      </c>
      <c r="X313" s="65"/>
      <c r="Y313" s="65"/>
      <c r="Z313" s="65"/>
      <c r="AA313" s="65">
        <v>5.83191666666667</v>
      </c>
      <c r="AB313" s="65">
        <v>5.35783333333334</v>
      </c>
      <c r="AC313" s="65">
        <v>2.27213333333333</v>
      </c>
      <c r="AD313" s="65"/>
      <c r="AE313" s="65"/>
      <c r="AF313" s="65"/>
      <c r="AG313" s="65"/>
      <c r="AH313" s="65"/>
      <c r="AI313" s="65"/>
      <c r="AJ313" s="65">
        <v>39.6121</v>
      </c>
      <c r="AK313" s="65">
        <v>57.8359500000001</v>
      </c>
      <c r="AL313" s="65">
        <v>32.3147166666667</v>
      </c>
      <c r="AM313" s="65">
        <v>9.06351666666667</v>
      </c>
      <c r="AN313" s="65"/>
      <c r="AP313" s="65">
        <v>16.007</v>
      </c>
      <c r="AQ313" s="65">
        <v>0.0826833333333332</v>
      </c>
      <c r="AR313" s="65"/>
      <c r="AT313" s="65"/>
      <c r="AU313" s="65">
        <v>16.79075</v>
      </c>
      <c r="AV313" s="65">
        <v>2.40488333333333</v>
      </c>
      <c r="AY313" s="65">
        <v>39.2934</v>
      </c>
    </row>
    <row r="314">
      <c r="A314" s="119" t="s">
        <v>17</v>
      </c>
      <c r="B314" s="119" t="s">
        <v>79</v>
      </c>
      <c r="C314" s="119" t="s">
        <v>414</v>
      </c>
      <c r="D314" s="120">
        <f t="shared" si="1"/>
        <v>49.04136667</v>
      </c>
      <c r="E314" s="121"/>
      <c r="F314" s="121"/>
      <c r="G314" s="122">
        <f>HYPERLINK("https://docs.google.com/spreadsheets/d/1NpSI49ObdJ_tsj1x1J6ZVHFBCHhYap3X", 0)</f>
        <v>0</v>
      </c>
      <c r="H314" s="122">
        <f>HYPERLINK("https://docs.google.com/spreadsheets/d/1Bjr6DPcd-pMFlnKxSXLPdWaPP3D6tCuX", 0)</f>
        <v>0</v>
      </c>
      <c r="I314" s="122">
        <f>HYPERLINK("https://docs.google.com/spreadsheets/d/1Juoxqixs0Vnhuvw0P8DQRC6zor_Segy_", 0)</f>
        <v>0</v>
      </c>
      <c r="J314" s="121"/>
      <c r="K314" s="121"/>
      <c r="L314" s="121"/>
      <c r="M314" s="121"/>
      <c r="N314" s="123"/>
      <c r="O314" s="121"/>
      <c r="P314" s="124">
        <f>HYPERLINK("https://docs.google.com/spreadsheets/d/1nbyuQcf8WK1jcKfvE0nLle7zgM4lzuXA", 0)</f>
        <v>0</v>
      </c>
      <c r="Q314" s="120"/>
      <c r="R314" s="119"/>
      <c r="S314" s="120"/>
      <c r="T314" s="125">
        <f>HYPERLINK("https://docs.google.com/spreadsheets/d/13ptGEWCDpIoew4MGjzgate601qLhE-HX", 0)</f>
        <v>0</v>
      </c>
      <c r="U314" s="125">
        <f>HYPERLINK("https://docs.google.com/spreadsheets/d/1qFtkJXf0aZ51p6zoiBQ476UHzACU3rBj", 0)</f>
        <v>0</v>
      </c>
      <c r="V314" s="124">
        <f>HYPERLINK("https://docs.google.com/spreadsheets/d/1vjK7FACL-lLEciOMWqpxWocNnQrrK4na", 0)</f>
        <v>0</v>
      </c>
      <c r="W314" s="124">
        <f>HYPERLINK("https://docs.google.com/spreadsheets/d/1rLwXCNymFudlntNn-Ml1cleuPxOSYDjo", 0)</f>
        <v>0</v>
      </c>
      <c r="X314" s="120"/>
      <c r="Y314" s="119"/>
      <c r="Z314" s="120"/>
      <c r="AA314" s="124">
        <f>HYPERLINK("https://docs.google.com/spreadsheets/d/1n82GcAkyaWe6_xkrYZyv2geAdTmSs26V", 0)</f>
        <v>0</v>
      </c>
      <c r="AB314" s="124">
        <f>HYPERLINK("https://docs.google.com/spreadsheets/d/1wpF9KPaOy905T2JYKOs9sKl_b9cf2Y4N", 0)</f>
        <v>0</v>
      </c>
      <c r="AC314" s="124">
        <f>HYPERLINK("https://docs.google.com/spreadsheets/d/1a5k0_7E0T6NRQAwylK5qoCajWH-D46-O", 0)</f>
        <v>0</v>
      </c>
      <c r="AD314" s="120"/>
      <c r="AE314" s="120"/>
      <c r="AF314" s="119"/>
      <c r="AG314" s="119"/>
      <c r="AH314" s="119"/>
      <c r="AI314" s="119"/>
      <c r="AJ314" s="124">
        <f>HYPERLINK("https://docs.google.com/spreadsheets/d/1eeUUAcbci7BA7FKKwjaEQoq2CMeRH-Fa", 0)</f>
        <v>0</v>
      </c>
      <c r="AK314" s="124">
        <f>HYPERLINK("https://docs.google.com/spreadsheets/d/1vb7udgLB0REq9yh40FLbynU4svb0Nrf2", 0)</f>
        <v>0</v>
      </c>
      <c r="AL314" s="125">
        <f>HYPERLINK("https://docs.google.com/spreadsheets/d/1dA31vkfEihc3toH3O9Prxp04LErirbwl", 0)</f>
        <v>0</v>
      </c>
      <c r="AM314" s="124">
        <f>HYPERLINK("https://docs.google.com/spreadsheets/d/1w6QXMlHzmDajaSzlm1rHBWUs21zQrBaD", 0)</f>
        <v>0</v>
      </c>
      <c r="AN314" s="120"/>
      <c r="AO314" s="120"/>
      <c r="AP314" s="125">
        <f>HYPERLINK("https://docs.google.com/spreadsheets/d/1n__tssIsmO15fohODREZNng_AA6l2eD6", 0)</f>
        <v>0</v>
      </c>
      <c r="AQ314" s="125">
        <f>HYPERLINK("https://docs.google.com/spreadsheets/d/1HhHIOYGA7YU4mpK_akYjzX6Kmwj6ZJvk", 0)</f>
        <v>0</v>
      </c>
      <c r="AR314" s="119"/>
      <c r="AS314" s="120"/>
      <c r="AT314" s="120"/>
      <c r="AU314" s="125">
        <f>HYPERLINK("https://docs.google.com/spreadsheets/d/1_Ueyy4VidYwlUdSBm4_nE7unenWv7U62", 49.0413666666667)</f>
        <v>49.04136667</v>
      </c>
      <c r="AV314" s="124">
        <f>HYPERLINK("https://docs.google.com/spreadsheets/d/1v9I3Fkb_ltKiW1lOu0ANpOjVXzqXn0uc", 0)</f>
        <v>0</v>
      </c>
      <c r="AW314" s="120"/>
      <c r="AX314" s="120"/>
      <c r="AY314" s="124">
        <f>HYPERLINK("https://docs.google.com/spreadsheets/d/1vB2VvionIf57Tjh_1XYXyBg8zVkTAVMN", 0)</f>
        <v>0</v>
      </c>
      <c r="AZ314" s="120"/>
      <c r="BA314" s="120"/>
      <c r="BB314" s="120"/>
      <c r="BC314" s="120"/>
      <c r="BD314" s="120"/>
      <c r="BE314" s="120"/>
      <c r="BF314" s="120"/>
      <c r="BG314" s="120"/>
      <c r="BH314" s="120"/>
      <c r="BI314" s="120"/>
      <c r="BJ314" s="120"/>
      <c r="BK314" s="120"/>
      <c r="BL314" s="120"/>
      <c r="BM314" s="120"/>
      <c r="BN314" s="120"/>
      <c r="BO314" s="120"/>
      <c r="BP314" s="120"/>
      <c r="BQ314" s="120"/>
      <c r="BR314" s="120"/>
      <c r="BS314" s="120"/>
      <c r="BT314" s="120"/>
      <c r="BU314" s="120"/>
      <c r="BV314" s="120"/>
      <c r="BW314" s="120"/>
      <c r="BX314" s="120"/>
      <c r="BY314" s="120"/>
      <c r="BZ314" s="120"/>
      <c r="CA314" s="120"/>
      <c r="CB314" s="120"/>
      <c r="CC314" s="120"/>
      <c r="CD314" s="120"/>
      <c r="CE314" s="120"/>
      <c r="CF314" s="120"/>
      <c r="CG314" s="120"/>
      <c r="CH314" s="120"/>
      <c r="CI314" s="120"/>
      <c r="CJ314" s="120"/>
      <c r="CK314" s="120"/>
      <c r="CL314" s="120"/>
      <c r="CM314" s="120"/>
      <c r="CN314" s="120"/>
      <c r="CO314" s="120"/>
      <c r="CP314" s="120"/>
      <c r="CQ314" s="120"/>
      <c r="CR314" s="120"/>
      <c r="CS314" s="120"/>
      <c r="CT314" s="120"/>
      <c r="CU314" s="120"/>
      <c r="CV314" s="120"/>
      <c r="CW314" s="120"/>
      <c r="CX314" s="120"/>
      <c r="CY314" s="120"/>
      <c r="CZ314" s="120"/>
      <c r="DA314" s="120"/>
      <c r="DB314" s="120"/>
      <c r="DC314" s="120"/>
      <c r="DD314" s="120"/>
      <c r="DE314" s="120"/>
      <c r="DF314" s="120"/>
      <c r="DG314" s="120"/>
      <c r="DH314" s="120"/>
      <c r="DI314" s="120"/>
      <c r="DJ314" s="120"/>
      <c r="DK314" s="120"/>
      <c r="DL314" s="120"/>
      <c r="DM314" s="120"/>
      <c r="DN314" s="120"/>
      <c r="DO314" s="120"/>
      <c r="DP314" s="120"/>
      <c r="DQ314" s="120"/>
      <c r="DR314" s="120"/>
      <c r="DS314" s="120"/>
      <c r="DT314" s="120"/>
      <c r="DU314" s="120"/>
      <c r="DV314" s="120"/>
      <c r="DW314" s="120"/>
      <c r="DX314" s="120"/>
      <c r="DY314" s="120"/>
      <c r="DZ314" s="120"/>
      <c r="EA314" s="120"/>
      <c r="EB314" s="120"/>
      <c r="EC314" s="120"/>
      <c r="ED314" s="120"/>
      <c r="EE314" s="120"/>
      <c r="EF314" s="120"/>
      <c r="EG314" s="120"/>
      <c r="EH314" s="120"/>
      <c r="EI314" s="120"/>
      <c r="EJ314" s="120"/>
      <c r="EK314" s="120"/>
      <c r="EL314" s="120"/>
      <c r="EM314" s="120"/>
      <c r="EN314" s="120"/>
      <c r="EO314" s="120"/>
      <c r="EP314" s="120"/>
      <c r="EQ314" s="120"/>
      <c r="ER314" s="120"/>
      <c r="ES314" s="120"/>
      <c r="ET314" s="120"/>
      <c r="EU314" s="120"/>
      <c r="EV314" s="120"/>
      <c r="EW314" s="120"/>
      <c r="EX314" s="120"/>
      <c r="EY314" s="120"/>
    </row>
    <row r="315">
      <c r="A315" s="112" t="s">
        <v>17</v>
      </c>
      <c r="B315" s="112" t="s">
        <v>18</v>
      </c>
      <c r="C315" s="112" t="s">
        <v>409</v>
      </c>
      <c r="D315" s="113">
        <f t="shared" si="1"/>
        <v>538.7264</v>
      </c>
      <c r="E315" s="114">
        <v>49.1479333333334</v>
      </c>
      <c r="F315" s="114"/>
      <c r="G315" s="114"/>
      <c r="H315" s="114"/>
      <c r="I315" s="114"/>
      <c r="J315" s="114"/>
      <c r="K315" s="114"/>
      <c r="L315" s="114">
        <v>1.04941666666667</v>
      </c>
      <c r="M315" s="114"/>
      <c r="N315" s="114"/>
      <c r="O315" s="114">
        <v>5.50986666666667</v>
      </c>
      <c r="P315" s="112"/>
      <c r="Q315" s="112"/>
      <c r="R315" s="112">
        <v>17.4403833333333</v>
      </c>
      <c r="S315" s="112"/>
      <c r="T315" s="112"/>
      <c r="U315" s="112"/>
      <c r="V315" s="112"/>
      <c r="W315" s="112"/>
      <c r="X315" s="113"/>
      <c r="Y315" s="112">
        <v>50.0459833333333</v>
      </c>
      <c r="Z315" s="112"/>
      <c r="AA315" s="113"/>
      <c r="AB315" s="112"/>
      <c r="AC315" s="112"/>
      <c r="AD315" s="112"/>
      <c r="AE315" s="112">
        <v>0.27145</v>
      </c>
      <c r="AF315" s="112"/>
      <c r="AG315" s="112"/>
      <c r="AH315" s="112">
        <v>265.9489</v>
      </c>
      <c r="AI315" s="112"/>
      <c r="AJ315" s="112"/>
      <c r="AK315" s="112"/>
      <c r="AL315" s="113"/>
      <c r="AM315" s="112"/>
      <c r="AN315" s="112">
        <v>4.83615</v>
      </c>
      <c r="AO315" s="112">
        <v>29.0506</v>
      </c>
      <c r="AP315" s="112"/>
      <c r="AQ315" s="113"/>
      <c r="AR315" s="112"/>
      <c r="AS315" s="112">
        <v>0.96025</v>
      </c>
      <c r="AT315" s="112">
        <v>66.13905</v>
      </c>
      <c r="AU315" s="112"/>
      <c r="AV315" s="112"/>
      <c r="AW315" s="112">
        <v>1.13031666666667</v>
      </c>
      <c r="AX315" s="112">
        <v>45.3285666666667</v>
      </c>
      <c r="AY315" s="113"/>
      <c r="AZ315" s="112">
        <v>1.86753333333333</v>
      </c>
      <c r="BA315" s="113"/>
      <c r="BB315" s="113"/>
      <c r="BC315" s="113"/>
      <c r="BD315" s="113"/>
      <c r="BE315" s="113"/>
      <c r="BF315" s="113"/>
      <c r="BG315" s="113"/>
      <c r="BH315" s="113"/>
      <c r="BI315" s="113"/>
      <c r="BJ315" s="113"/>
      <c r="BK315" s="113"/>
      <c r="BL315" s="113"/>
      <c r="BM315" s="113"/>
      <c r="BN315" s="113"/>
      <c r="BO315" s="113"/>
      <c r="BP315" s="113"/>
      <c r="BQ315" s="113"/>
      <c r="BR315" s="113"/>
      <c r="BS315" s="113"/>
      <c r="BT315" s="113"/>
      <c r="BU315" s="113"/>
      <c r="BV315" s="113"/>
      <c r="BW315" s="113"/>
      <c r="BX315" s="113"/>
      <c r="BY315" s="113"/>
      <c r="BZ315" s="113"/>
      <c r="CA315" s="113"/>
      <c r="CB315" s="113"/>
      <c r="CC315" s="113"/>
      <c r="CD315" s="113"/>
      <c r="CE315" s="113"/>
      <c r="CF315" s="113"/>
      <c r="CG315" s="113"/>
      <c r="CH315" s="113"/>
      <c r="CI315" s="113"/>
      <c r="CJ315" s="113"/>
      <c r="CK315" s="113"/>
      <c r="CL315" s="113"/>
      <c r="CM315" s="113"/>
      <c r="CN315" s="113"/>
      <c r="CO315" s="113"/>
      <c r="CP315" s="113"/>
      <c r="CQ315" s="113"/>
      <c r="CR315" s="113"/>
      <c r="CS315" s="113"/>
      <c r="CT315" s="113"/>
      <c r="CU315" s="113"/>
      <c r="CV315" s="113"/>
      <c r="CW315" s="113"/>
      <c r="CX315" s="113"/>
      <c r="CY315" s="113"/>
      <c r="CZ315" s="113"/>
      <c r="DA315" s="113"/>
      <c r="DB315" s="113"/>
      <c r="DC315" s="113"/>
      <c r="DD315" s="113"/>
      <c r="DE315" s="113"/>
      <c r="DF315" s="113"/>
      <c r="DG315" s="113"/>
      <c r="DH315" s="113"/>
      <c r="DI315" s="113"/>
      <c r="DJ315" s="113"/>
      <c r="DK315" s="113"/>
      <c r="DL315" s="113"/>
      <c r="DM315" s="113"/>
      <c r="DN315" s="113"/>
      <c r="DO315" s="113"/>
      <c r="DP315" s="113"/>
      <c r="DQ315" s="113"/>
      <c r="DR315" s="113"/>
      <c r="DS315" s="113"/>
      <c r="DT315" s="113"/>
      <c r="DU315" s="113"/>
      <c r="DV315" s="113"/>
      <c r="DW315" s="113"/>
      <c r="DX315" s="113"/>
      <c r="DY315" s="113"/>
      <c r="DZ315" s="113"/>
      <c r="EA315" s="113"/>
      <c r="EB315" s="113"/>
      <c r="EC315" s="113"/>
      <c r="ED315" s="113"/>
      <c r="EE315" s="113"/>
      <c r="EF315" s="113"/>
      <c r="EG315" s="113"/>
      <c r="EH315" s="113"/>
      <c r="EI315" s="113"/>
      <c r="EJ315" s="113"/>
      <c r="EK315" s="113"/>
      <c r="EL315" s="113"/>
      <c r="EM315" s="113"/>
      <c r="EN315" s="113"/>
      <c r="EO315" s="113"/>
      <c r="EP315" s="113"/>
      <c r="EQ315" s="113"/>
      <c r="ER315" s="113"/>
      <c r="ES315" s="113"/>
      <c r="ET315" s="113"/>
      <c r="EU315" s="113"/>
      <c r="EV315" s="113"/>
      <c r="EW315" s="113"/>
      <c r="EX315" s="113"/>
      <c r="EY315" s="113"/>
    </row>
    <row r="316">
      <c r="A316" s="65" t="s">
        <v>17</v>
      </c>
      <c r="B316" s="65" t="s">
        <v>18</v>
      </c>
      <c r="C316" s="65" t="s">
        <v>410</v>
      </c>
      <c r="D316" s="64">
        <f t="shared" si="1"/>
        <v>547.3778333</v>
      </c>
      <c r="E316" s="115"/>
      <c r="F316" s="104"/>
      <c r="G316" s="104">
        <v>36.05305</v>
      </c>
      <c r="H316" s="104">
        <v>10.36625</v>
      </c>
      <c r="I316" s="104">
        <v>2.72863333333333</v>
      </c>
      <c r="J316" s="104"/>
      <c r="K316" s="104"/>
      <c r="L316" s="104"/>
      <c r="M316" s="104"/>
      <c r="N316" s="104">
        <v>36.05305</v>
      </c>
      <c r="O316" s="104"/>
      <c r="P316" s="65">
        <v>5.50986666666667</v>
      </c>
      <c r="Q316" s="65"/>
      <c r="R316" s="65"/>
      <c r="S316" s="65"/>
      <c r="T316" s="65">
        <v>5.19938333333333</v>
      </c>
      <c r="U316" s="65">
        <v>10.5684333333333</v>
      </c>
      <c r="V316" s="65">
        <v>1.20586666666667</v>
      </c>
      <c r="W316" s="65"/>
      <c r="X316" s="65"/>
      <c r="Y316" s="65"/>
      <c r="Z316" s="65"/>
      <c r="AA316" s="65">
        <v>17.1679166666667</v>
      </c>
      <c r="AB316" s="65">
        <v>22.4159833333333</v>
      </c>
      <c r="AC316" s="65">
        <v>8.43968333333333</v>
      </c>
      <c r="AD316" s="65"/>
      <c r="AE316" s="65"/>
      <c r="AF316" s="65"/>
      <c r="AG316" s="65">
        <v>17.1679166666667</v>
      </c>
      <c r="AH316" s="65"/>
      <c r="AI316" s="65"/>
      <c r="AJ316" s="65">
        <v>33.4955166666666</v>
      </c>
      <c r="AK316" s="65">
        <v>152.769</v>
      </c>
      <c r="AL316" s="65">
        <v>62.8462999999999</v>
      </c>
      <c r="AM316" s="65">
        <v>13.34315</v>
      </c>
      <c r="AN316" s="65"/>
      <c r="AP316" s="65">
        <v>15.9141166666667</v>
      </c>
      <c r="AQ316" s="65">
        <v>0.434033333333333</v>
      </c>
      <c r="AR316" s="65">
        <v>2.29245</v>
      </c>
      <c r="AT316" s="65"/>
      <c r="AU316" s="65">
        <v>41.7856333333333</v>
      </c>
      <c r="AV316" s="65">
        <v>8.5513</v>
      </c>
      <c r="AY316" s="65">
        <v>43.0703</v>
      </c>
    </row>
    <row r="317">
      <c r="A317" s="65" t="s">
        <v>17</v>
      </c>
      <c r="B317" s="65" t="s">
        <v>18</v>
      </c>
      <c r="C317" s="65" t="s">
        <v>411</v>
      </c>
      <c r="D317" s="64">
        <f t="shared" si="1"/>
        <v>0</v>
      </c>
      <c r="E317" s="115"/>
      <c r="F317" s="115"/>
      <c r="G317" s="115"/>
      <c r="H317" s="115"/>
      <c r="I317" s="115"/>
      <c r="J317" s="115"/>
      <c r="K317" s="115"/>
      <c r="L317" s="115"/>
      <c r="M317" s="115"/>
      <c r="N317" s="115"/>
      <c r="O317" s="115"/>
    </row>
    <row r="318">
      <c r="A318" s="65" t="s">
        <v>17</v>
      </c>
      <c r="B318" s="65" t="s">
        <v>18</v>
      </c>
      <c r="C318" s="65" t="s">
        <v>412</v>
      </c>
      <c r="D318" s="64">
        <f t="shared" si="1"/>
        <v>493.2478667</v>
      </c>
      <c r="E318" s="115"/>
      <c r="F318" s="115"/>
      <c r="G318" s="116">
        <f>HYPERLINK("https://docs.google.com/spreadsheets/d/1F30t4WQMgwrxbiOg8g9AjlhNoJXevgwg", 36.05305)</f>
        <v>36.05305</v>
      </c>
      <c r="H318" s="116">
        <f>HYPERLINK("https://docs.google.com/spreadsheets/d/1A3y8mgLTzKS8a_PDuzDOigny_kmVwr7E", 10.3406333333333)</f>
        <v>10.34063333</v>
      </c>
      <c r="I318" s="116">
        <f>HYPERLINK("https://docs.google.com/spreadsheets/d/1NBk4jdcli18kJ-Sw68aOcW2kNqEvk43s", 2.72863333333333)</f>
        <v>2.728633333</v>
      </c>
      <c r="J318" s="115"/>
      <c r="K318" s="115"/>
      <c r="L318" s="115"/>
      <c r="M318" s="115"/>
      <c r="N318" s="115"/>
      <c r="O318" s="115"/>
      <c r="P318" s="118">
        <f>HYPERLINK("https://docs.google.com/spreadsheets/d/1hwVImNSOTIwnxEzUE0Y32xQYkcwneeGW", 5.50986666666667)</f>
        <v>5.509866667</v>
      </c>
      <c r="T318" s="118">
        <f>HYPERLINK("https://docs.google.com/spreadsheets/d/1KugIy3XBiXu90vf9bDnApECmrHNeWmWt", 5.19938333333333)</f>
        <v>5.199383333</v>
      </c>
      <c r="U318" s="118">
        <f>HYPERLINK("https://docs.google.com/spreadsheets/d/1nomxzo9CxaHNnCpcvkWQ7M-WOry-PXqy", 10.4061333333333)</f>
        <v>10.40613333</v>
      </c>
      <c r="V318" s="118">
        <f>HYPERLINK("https://docs.google.com/spreadsheets/d/12jZtjzoGBHq3lZ1UMdP1zPO6qxiDhsSN", 1.20586666666667)</f>
        <v>1.205866667</v>
      </c>
      <c r="AA318" s="118">
        <f>HYPERLINK("https://docs.google.com/spreadsheets/d/1qc2CdLNsVW713pxyP7M-s2nsEvONXy1W", 17.16795)</f>
        <v>17.16795</v>
      </c>
      <c r="AB318" s="118">
        <f>HYPERLINK("https://docs.google.com/spreadsheets/d/1EMywybeWmaGUliGxg_AEHh7WIa9FrexK", 22.4159833333333)</f>
        <v>22.41598333</v>
      </c>
      <c r="AC318" s="118">
        <f>HYPERLINK("https://docs.google.com/spreadsheets/d/1Z_u3UVuO0WhTHKnmHgy_ZCWcAKWLEDoT", 8.43966666666666)</f>
        <v>8.439666667</v>
      </c>
      <c r="AJ318" s="118">
        <f>HYPERLINK("https://docs.google.com/spreadsheets/d/1vzcecBnjYEy1Ru0AXSeLNE3pP9iB3BuX", 33.4954833333333)</f>
        <v>33.49548333</v>
      </c>
      <c r="AK318" s="118">
        <f>HYPERLINK("https://docs.google.com/spreadsheets/d/1zX_Y5skYzHsS8gqat8GpevCPEC3HCHgP", 152.52925)</f>
        <v>152.52925</v>
      </c>
      <c r="AL318" s="118">
        <f>HYPERLINK("https://docs.google.com/spreadsheets/d/1JcL9kWspiNu9NwNuXt_XkdONxQmVzUUz", 62.8462999999999)</f>
        <v>62.8463</v>
      </c>
      <c r="AM318" s="118">
        <f>HYPERLINK("https://docs.google.com/spreadsheets/d/1YX4m63P-K5L35UFQPqiq6X2NZR7MYJ3I", 13.0976833333333)</f>
        <v>13.09768333</v>
      </c>
      <c r="AP318" s="118">
        <f>HYPERLINK("https://docs.google.com/spreadsheets/d/1UVzOPDA7OyziZPN3wVoJ37VXEDpxiJLL", 15.9141166666667)</f>
        <v>15.91411667</v>
      </c>
      <c r="AQ318" s="118">
        <f>HYPERLINK("https://docs.google.com/spreadsheets/d/1-1FiiouQvVMp4lAlYZ_JuGPgWGBhnS3K", 0.434033333333333)</f>
        <v>0.4340333333</v>
      </c>
      <c r="AR318" s="118">
        <f>HYPERLINK("https://docs.google.com/spreadsheets/d/1bi9sAS6E03FhqC-pLuFW0l5MPGydBmB5", 2.29245)</f>
        <v>2.29245</v>
      </c>
      <c r="AU318" s="118">
        <f>HYPERLINK("https://docs.google.com/spreadsheets/d/1w7uT6DD8OVFaq5orsqkCCCxIBeXA7N2s", 41.6174666666667)</f>
        <v>41.61746667</v>
      </c>
      <c r="AV318" s="118">
        <f>HYPERLINK("https://docs.google.com/spreadsheets/d/11IojbntpJRX06a-D6MUawRO2K_bYAq9i", 8.5513)</f>
        <v>8.5513</v>
      </c>
      <c r="AY318" s="118">
        <f>HYPERLINK("https://docs.google.com/spreadsheets/d/1XJM6S2Q6BzubRIIye_GHWSFuboCfOsR7", 43.0026166666667)</f>
        <v>43.00261667</v>
      </c>
    </row>
    <row r="319">
      <c r="A319" s="65" t="s">
        <v>17</v>
      </c>
      <c r="B319" s="65" t="s">
        <v>18</v>
      </c>
      <c r="C319" s="65" t="s">
        <v>413</v>
      </c>
      <c r="D319" s="64">
        <f t="shared" si="1"/>
        <v>254.4946333</v>
      </c>
      <c r="E319" s="115"/>
      <c r="F319" s="115"/>
      <c r="G319" s="104">
        <v>23.1558833333333</v>
      </c>
      <c r="H319" s="104">
        <v>7.12556666666667</v>
      </c>
      <c r="I319" s="104">
        <v>1.36481666666667</v>
      </c>
      <c r="J319" s="115"/>
      <c r="K319" s="104"/>
      <c r="L319" s="104"/>
      <c r="M319" s="104"/>
      <c r="N319" s="104"/>
      <c r="O319" s="104"/>
      <c r="P319" s="65">
        <v>4.99555</v>
      </c>
      <c r="Q319" s="65"/>
      <c r="R319" s="65"/>
      <c r="S319" s="65"/>
      <c r="T319" s="65">
        <v>4.76796666666667</v>
      </c>
      <c r="U319" s="65">
        <v>3.73496666666666</v>
      </c>
      <c r="V319" s="65">
        <v>0.0987666666666664</v>
      </c>
      <c r="W319" s="65"/>
      <c r="X319" s="65"/>
      <c r="Y319" s="65"/>
      <c r="Z319" s="65"/>
      <c r="AA319" s="65">
        <v>7.80275</v>
      </c>
      <c r="AB319" s="65">
        <v>6.77285000000001</v>
      </c>
      <c r="AC319" s="65">
        <v>1.45358333333333</v>
      </c>
      <c r="AD319" s="65"/>
      <c r="AE319" s="65"/>
      <c r="AF319" s="65"/>
      <c r="AG319" s="65"/>
      <c r="AH319" s="65"/>
      <c r="AI319" s="65"/>
      <c r="AJ319" s="65">
        <v>30.4472666666666</v>
      </c>
      <c r="AK319" s="65">
        <v>68.1373000000001</v>
      </c>
      <c r="AL319" s="65">
        <v>21.1307666666666</v>
      </c>
      <c r="AM319" s="65">
        <v>11.96275</v>
      </c>
      <c r="AN319" s="65"/>
      <c r="AP319" s="65">
        <v>14.0547</v>
      </c>
      <c r="AQ319" s="65">
        <v>0.0</v>
      </c>
      <c r="AR319" s="65">
        <v>2.11815</v>
      </c>
      <c r="AT319" s="65"/>
      <c r="AU319" s="65">
        <v>12.2578</v>
      </c>
      <c r="AV319" s="65">
        <v>2.49796666666666</v>
      </c>
      <c r="AY319" s="65">
        <v>30.6152333333334</v>
      </c>
    </row>
    <row r="320">
      <c r="A320" s="119" t="s">
        <v>17</v>
      </c>
      <c r="B320" s="119" t="s">
        <v>18</v>
      </c>
      <c r="C320" s="119" t="s">
        <v>414</v>
      </c>
      <c r="D320" s="120">
        <f t="shared" si="1"/>
        <v>41.61746667</v>
      </c>
      <c r="E320" s="121"/>
      <c r="F320" s="121"/>
      <c r="G320" s="122">
        <f>HYPERLINK("https://docs.google.com/spreadsheets/d/1F30t4WQMgwrxbiOg8g9AjlhNoJXevgwg", 0)</f>
        <v>0</v>
      </c>
      <c r="H320" s="122">
        <f>HYPERLINK("https://docs.google.com/spreadsheets/d/1A3y8mgLTzKS8a_PDuzDOigny_kmVwr7E", 0)</f>
        <v>0</v>
      </c>
      <c r="I320" s="122">
        <f>HYPERLINK("https://docs.google.com/spreadsheets/d/1NBk4jdcli18kJ-Sw68aOcW2kNqEvk43s", 0)</f>
        <v>0</v>
      </c>
      <c r="J320" s="121"/>
      <c r="K320" s="121"/>
      <c r="L320" s="121"/>
      <c r="M320" s="121"/>
      <c r="N320" s="123"/>
      <c r="O320" s="121"/>
      <c r="P320" s="124">
        <f>HYPERLINK("https://docs.google.com/spreadsheets/d/1hwVImNSOTIwnxEzUE0Y32xQYkcwneeGW", 0)</f>
        <v>0</v>
      </c>
      <c r="Q320" s="120"/>
      <c r="R320" s="119"/>
      <c r="S320" s="120"/>
      <c r="T320" s="125">
        <f>HYPERLINK("https://docs.google.com/spreadsheets/d/1KugIy3XBiXu90vf9bDnApECmrHNeWmWt", 0)</f>
        <v>0</v>
      </c>
      <c r="U320" s="124">
        <f>HYPERLINK("https://docs.google.com/spreadsheets/d/1nomxzo9CxaHNnCpcvkWQ7M-WOry-PXqy", 0)</f>
        <v>0</v>
      </c>
      <c r="V320" s="124">
        <f>HYPERLINK("https://docs.google.com/spreadsheets/d/12jZtjzoGBHq3lZ1UMdP1zPO6qxiDhsSN", 0)</f>
        <v>0</v>
      </c>
      <c r="W320" s="120"/>
      <c r="X320" s="120"/>
      <c r="Y320" s="119"/>
      <c r="Z320" s="120"/>
      <c r="AA320" s="124">
        <f>HYPERLINK("https://docs.google.com/spreadsheets/d/1qc2CdLNsVW713pxyP7M-s2nsEvONXy1W", 0)</f>
        <v>0</v>
      </c>
      <c r="AB320" s="124">
        <f>HYPERLINK("https://docs.google.com/spreadsheets/d/1EMywybeWmaGUliGxg_AEHh7WIa9FrexK", 0)</f>
        <v>0</v>
      </c>
      <c r="AC320" s="124">
        <f>HYPERLINK("https://docs.google.com/spreadsheets/d/1Z_u3UVuO0WhTHKnmHgy_ZCWcAKWLEDoT", 0)</f>
        <v>0</v>
      </c>
      <c r="AD320" s="120"/>
      <c r="AE320" s="120"/>
      <c r="AF320" s="119"/>
      <c r="AG320" s="119"/>
      <c r="AH320" s="119"/>
      <c r="AI320" s="119"/>
      <c r="AJ320" s="124">
        <f>HYPERLINK("https://docs.google.com/spreadsheets/d/1vzcecBnjYEy1Ru0AXSeLNE3pP9iB3BuX", 0)</f>
        <v>0</v>
      </c>
      <c r="AK320" s="124">
        <f>HYPERLINK("https://docs.google.com/spreadsheets/d/1zX_Y5skYzHsS8gqat8GpevCPEC3HCHgP", 0)</f>
        <v>0</v>
      </c>
      <c r="AL320" s="125">
        <f>HYPERLINK("https://docs.google.com/spreadsheets/d/1JcL9kWspiNu9NwNuXt_XkdONxQmVzUUz", 0)</f>
        <v>0</v>
      </c>
      <c r="AM320" s="124">
        <f>HYPERLINK("https://docs.google.com/spreadsheets/d/1YX4m63P-K5L35UFQPqiq6X2NZR7MYJ3I", 0)</f>
        <v>0</v>
      </c>
      <c r="AN320" s="119"/>
      <c r="AO320" s="120"/>
      <c r="AP320" s="124">
        <f>HYPERLINK("https://docs.google.com/spreadsheets/d/1UVzOPDA7OyziZPN3wVoJ37VXEDpxiJLL", 0)</f>
        <v>0</v>
      </c>
      <c r="AQ320" s="125">
        <f>HYPERLINK("https://docs.google.com/spreadsheets/d/1-1FiiouQvVMp4lAlYZ_JuGPgWGBhnS3K", 0)</f>
        <v>0</v>
      </c>
      <c r="AR320" s="125">
        <f>HYPERLINK("https://docs.google.com/spreadsheets/d/1bi9sAS6E03FhqC-pLuFW0l5MPGydBmB5", 0)</f>
        <v>0</v>
      </c>
      <c r="AS320" s="120"/>
      <c r="AT320" s="120"/>
      <c r="AU320" s="125">
        <f>HYPERLINK("https://docs.google.com/spreadsheets/d/1w7uT6DD8OVFaq5orsqkCCCxIBeXA7N2s", 41.6174666666667)</f>
        <v>41.61746667</v>
      </c>
      <c r="AV320" s="124">
        <f>HYPERLINK("https://docs.google.com/spreadsheets/d/11IojbntpJRX06a-D6MUawRO2K_bYAq9i", 0)</f>
        <v>0</v>
      </c>
      <c r="AW320" s="120"/>
      <c r="AX320" s="120"/>
      <c r="AY320" s="124">
        <f>HYPERLINK("https://docs.google.com/spreadsheets/d/1XJM6S2Q6BzubRIIye_GHWSFuboCfOsR7", 0)</f>
        <v>0</v>
      </c>
      <c r="AZ320" s="120"/>
      <c r="BA320" s="120"/>
      <c r="BB320" s="120"/>
      <c r="BC320" s="120"/>
      <c r="BD320" s="120"/>
      <c r="BE320" s="120"/>
      <c r="BF320" s="120"/>
      <c r="BG320" s="120"/>
      <c r="BH320" s="120"/>
      <c r="BI320" s="120"/>
      <c r="BJ320" s="120"/>
      <c r="BK320" s="120"/>
      <c r="BL320" s="120"/>
      <c r="BM320" s="120"/>
      <c r="BN320" s="120"/>
      <c r="BO320" s="120"/>
      <c r="BP320" s="120"/>
      <c r="BQ320" s="120"/>
      <c r="BR320" s="120"/>
      <c r="BS320" s="120"/>
      <c r="BT320" s="120"/>
      <c r="BU320" s="120"/>
      <c r="BV320" s="120"/>
      <c r="BW320" s="120"/>
      <c r="BX320" s="120"/>
      <c r="BY320" s="120"/>
      <c r="BZ320" s="120"/>
      <c r="CA320" s="120"/>
      <c r="CB320" s="120"/>
      <c r="CC320" s="120"/>
      <c r="CD320" s="120"/>
      <c r="CE320" s="120"/>
      <c r="CF320" s="120"/>
      <c r="CG320" s="120"/>
      <c r="CH320" s="120"/>
      <c r="CI320" s="120"/>
      <c r="CJ320" s="120"/>
      <c r="CK320" s="120"/>
      <c r="CL320" s="120"/>
      <c r="CM320" s="120"/>
      <c r="CN320" s="120"/>
      <c r="CO320" s="120"/>
      <c r="CP320" s="120"/>
      <c r="CQ320" s="120"/>
      <c r="CR320" s="120"/>
      <c r="CS320" s="120"/>
      <c r="CT320" s="120"/>
      <c r="CU320" s="120"/>
      <c r="CV320" s="120"/>
      <c r="CW320" s="120"/>
      <c r="CX320" s="120"/>
      <c r="CY320" s="120"/>
      <c r="CZ320" s="120"/>
      <c r="DA320" s="120"/>
      <c r="DB320" s="120"/>
      <c r="DC320" s="120"/>
      <c r="DD320" s="120"/>
      <c r="DE320" s="120"/>
      <c r="DF320" s="120"/>
      <c r="DG320" s="120"/>
      <c r="DH320" s="120"/>
      <c r="DI320" s="120"/>
      <c r="DJ320" s="120"/>
      <c r="DK320" s="120"/>
      <c r="DL320" s="120"/>
      <c r="DM320" s="120"/>
      <c r="DN320" s="120"/>
      <c r="DO320" s="120"/>
      <c r="DP320" s="120"/>
      <c r="DQ320" s="120"/>
      <c r="DR320" s="120"/>
      <c r="DS320" s="120"/>
      <c r="DT320" s="120"/>
      <c r="DU320" s="120"/>
      <c r="DV320" s="120"/>
      <c r="DW320" s="120"/>
      <c r="DX320" s="120"/>
      <c r="DY320" s="120"/>
      <c r="DZ320" s="120"/>
      <c r="EA320" s="120"/>
      <c r="EB320" s="120"/>
      <c r="EC320" s="120"/>
      <c r="ED320" s="120"/>
      <c r="EE320" s="120"/>
      <c r="EF320" s="120"/>
      <c r="EG320" s="120"/>
      <c r="EH320" s="120"/>
      <c r="EI320" s="120"/>
      <c r="EJ320" s="120"/>
      <c r="EK320" s="120"/>
      <c r="EL320" s="120"/>
      <c r="EM320" s="120"/>
      <c r="EN320" s="120"/>
      <c r="EO320" s="120"/>
      <c r="EP320" s="120"/>
      <c r="EQ320" s="120"/>
      <c r="ER320" s="120"/>
      <c r="ES320" s="120"/>
      <c r="ET320" s="120"/>
      <c r="EU320" s="120"/>
      <c r="EV320" s="120"/>
      <c r="EW320" s="120"/>
      <c r="EX320" s="120"/>
      <c r="EY320" s="120"/>
    </row>
    <row r="321">
      <c r="A321" s="112" t="s">
        <v>17</v>
      </c>
      <c r="B321" s="112" t="s">
        <v>23</v>
      </c>
      <c r="C321" s="112" t="s">
        <v>409</v>
      </c>
      <c r="D321" s="113">
        <f t="shared" si="1"/>
        <v>573.5728833</v>
      </c>
      <c r="E321" s="114">
        <v>82.5247499999999</v>
      </c>
      <c r="F321" s="114"/>
      <c r="G321" s="114"/>
      <c r="H321" s="114"/>
      <c r="I321" s="114"/>
      <c r="J321" s="114"/>
      <c r="K321" s="114"/>
      <c r="L321" s="114">
        <v>1.00255</v>
      </c>
      <c r="M321" s="114"/>
      <c r="N321" s="114"/>
      <c r="O321" s="114">
        <v>14.71945</v>
      </c>
      <c r="P321" s="112"/>
      <c r="Q321" s="112">
        <v>0.40295</v>
      </c>
      <c r="R321" s="112">
        <v>111.643816666667</v>
      </c>
      <c r="S321" s="112"/>
      <c r="T321" s="112"/>
      <c r="U321" s="112"/>
      <c r="V321" s="112"/>
      <c r="W321" s="112"/>
      <c r="X321" s="112">
        <v>0.345266666666667</v>
      </c>
      <c r="Y321" s="112">
        <v>67.8029666666666</v>
      </c>
      <c r="Z321" s="112"/>
      <c r="AA321" s="113"/>
      <c r="AB321" s="112"/>
      <c r="AC321" s="112"/>
      <c r="AD321" s="112"/>
      <c r="AE321" s="112">
        <v>1.04515</v>
      </c>
      <c r="AF321" s="112"/>
      <c r="AG321" s="112"/>
      <c r="AH321" s="112">
        <v>151.749366666667</v>
      </c>
      <c r="AI321" s="112"/>
      <c r="AJ321" s="112"/>
      <c r="AK321" s="112"/>
      <c r="AL321" s="113"/>
      <c r="AM321" s="112"/>
      <c r="AN321" s="112">
        <v>2.42178333333333</v>
      </c>
      <c r="AO321" s="112">
        <v>34.1684</v>
      </c>
      <c r="AP321" s="112"/>
      <c r="AQ321" s="113"/>
      <c r="AR321" s="112"/>
      <c r="AS321" s="112">
        <v>2.30481666666667</v>
      </c>
      <c r="AT321" s="112">
        <v>50.79385</v>
      </c>
      <c r="AU321" s="112"/>
      <c r="AV321" s="112"/>
      <c r="AW321" s="112">
        <v>1.73116666666667</v>
      </c>
      <c r="AX321" s="112">
        <v>47.6333833333333</v>
      </c>
      <c r="AY321" s="113"/>
      <c r="AZ321" s="112">
        <v>2.3074</v>
      </c>
      <c r="BA321" s="112">
        <v>0.975816666666667</v>
      </c>
      <c r="BB321" s="113"/>
      <c r="BC321" s="113"/>
      <c r="BD321" s="113"/>
      <c r="BE321" s="113"/>
      <c r="BF321" s="113"/>
      <c r="BG321" s="113"/>
      <c r="BH321" s="113"/>
      <c r="BI321" s="113"/>
      <c r="BJ321" s="113"/>
      <c r="BK321" s="113"/>
      <c r="BL321" s="113"/>
      <c r="BM321" s="113"/>
      <c r="BN321" s="113"/>
      <c r="BO321" s="113"/>
      <c r="BP321" s="113"/>
      <c r="BQ321" s="113"/>
      <c r="BR321" s="113"/>
      <c r="BS321" s="113"/>
      <c r="BT321" s="113"/>
      <c r="BU321" s="113"/>
      <c r="BV321" s="113"/>
      <c r="BW321" s="113"/>
      <c r="BX321" s="113"/>
      <c r="BY321" s="113"/>
      <c r="BZ321" s="113"/>
      <c r="CA321" s="113"/>
      <c r="CB321" s="113"/>
      <c r="CC321" s="113"/>
      <c r="CD321" s="113"/>
      <c r="CE321" s="113"/>
      <c r="CF321" s="113"/>
      <c r="CG321" s="113"/>
      <c r="CH321" s="113"/>
      <c r="CI321" s="113"/>
      <c r="CJ321" s="113"/>
      <c r="CK321" s="113"/>
      <c r="CL321" s="113"/>
      <c r="CM321" s="113"/>
      <c r="CN321" s="113"/>
      <c r="CO321" s="113"/>
      <c r="CP321" s="113"/>
      <c r="CQ321" s="113"/>
      <c r="CR321" s="113"/>
      <c r="CS321" s="113"/>
      <c r="CT321" s="113"/>
      <c r="CU321" s="113"/>
      <c r="CV321" s="113"/>
      <c r="CW321" s="113"/>
      <c r="CX321" s="113"/>
      <c r="CY321" s="113"/>
      <c r="CZ321" s="113"/>
      <c r="DA321" s="113"/>
      <c r="DB321" s="113"/>
      <c r="DC321" s="113"/>
      <c r="DD321" s="113"/>
      <c r="DE321" s="113"/>
      <c r="DF321" s="113"/>
      <c r="DG321" s="113"/>
      <c r="DH321" s="113"/>
      <c r="DI321" s="113"/>
      <c r="DJ321" s="113"/>
      <c r="DK321" s="113"/>
      <c r="DL321" s="113"/>
      <c r="DM321" s="113"/>
      <c r="DN321" s="113"/>
      <c r="DO321" s="113"/>
      <c r="DP321" s="113"/>
      <c r="DQ321" s="113"/>
      <c r="DR321" s="113"/>
      <c r="DS321" s="113"/>
      <c r="DT321" s="113"/>
      <c r="DU321" s="113"/>
      <c r="DV321" s="113"/>
      <c r="DW321" s="113"/>
      <c r="DX321" s="113"/>
      <c r="DY321" s="113"/>
      <c r="DZ321" s="113"/>
      <c r="EA321" s="113"/>
      <c r="EB321" s="113"/>
      <c r="EC321" s="113"/>
      <c r="ED321" s="113"/>
      <c r="EE321" s="113"/>
      <c r="EF321" s="113"/>
      <c r="EG321" s="113"/>
      <c r="EH321" s="113"/>
      <c r="EI321" s="113"/>
      <c r="EJ321" s="113"/>
      <c r="EK321" s="113"/>
      <c r="EL321" s="113"/>
      <c r="EM321" s="113"/>
      <c r="EN321" s="113"/>
      <c r="EO321" s="113"/>
      <c r="EP321" s="113"/>
      <c r="EQ321" s="113"/>
      <c r="ER321" s="113"/>
      <c r="ES321" s="113"/>
      <c r="ET321" s="113"/>
      <c r="EU321" s="113"/>
      <c r="EV321" s="113"/>
      <c r="EW321" s="113"/>
      <c r="EX321" s="113"/>
      <c r="EY321" s="113"/>
    </row>
    <row r="322">
      <c r="A322" s="65" t="s">
        <v>17</v>
      </c>
      <c r="B322" s="65" t="s">
        <v>23</v>
      </c>
      <c r="C322" s="65" t="s">
        <v>410</v>
      </c>
      <c r="D322" s="64">
        <f t="shared" si="1"/>
        <v>550.4799833</v>
      </c>
      <c r="E322" s="115"/>
      <c r="F322" s="115"/>
      <c r="G322" s="104">
        <v>13.9465833333333</v>
      </c>
      <c r="H322" s="104">
        <v>22.3493666666667</v>
      </c>
      <c r="I322" s="104">
        <v>35.7742166666666</v>
      </c>
      <c r="J322" s="104">
        <v>0.3843</v>
      </c>
      <c r="K322" s="104">
        <v>6.75936666666667</v>
      </c>
      <c r="L322" s="104"/>
      <c r="M322" s="104"/>
      <c r="N322" s="104">
        <v>13.9465833333333</v>
      </c>
      <c r="O322" s="115"/>
      <c r="P322" s="65">
        <v>8.42411666666667</v>
      </c>
      <c r="Q322" s="65"/>
      <c r="R322" s="65"/>
      <c r="S322" s="65"/>
      <c r="T322" s="65">
        <v>21.27045</v>
      </c>
      <c r="U322" s="65">
        <v>19.9061166666667</v>
      </c>
      <c r="V322" s="65">
        <v>42.9653333333334</v>
      </c>
      <c r="W322" s="65">
        <v>20.6745166666667</v>
      </c>
      <c r="X322" s="65"/>
      <c r="Y322" s="65"/>
      <c r="Z322" s="65"/>
      <c r="AA322" s="65">
        <v>16.61505</v>
      </c>
      <c r="AB322" s="65">
        <v>25.9694833333333</v>
      </c>
      <c r="AC322" s="65">
        <v>15.7065</v>
      </c>
      <c r="AD322" s="65">
        <v>8.39911666666667</v>
      </c>
      <c r="AE322" s="65"/>
      <c r="AF322" s="65"/>
      <c r="AG322" s="65">
        <v>16.61505</v>
      </c>
      <c r="AH322" s="65"/>
      <c r="AI322" s="65"/>
      <c r="AJ322" s="65">
        <v>31.02985</v>
      </c>
      <c r="AK322" s="65">
        <v>48.0711333333333</v>
      </c>
      <c r="AL322" s="65">
        <v>16.71335</v>
      </c>
      <c r="AM322" s="65">
        <v>52.7381333333333</v>
      </c>
      <c r="AN322" s="65"/>
      <c r="AP322" s="65">
        <v>23.1965333333333</v>
      </c>
      <c r="AQ322" s="65">
        <v>0.74635</v>
      </c>
      <c r="AR322" s="65">
        <v>2.5879</v>
      </c>
      <c r="AT322" s="65"/>
      <c r="AU322" s="65">
        <v>33.6158666666667</v>
      </c>
      <c r="AV322" s="65">
        <v>7.03253333333333</v>
      </c>
      <c r="AY322" s="65">
        <v>45.0421833333333</v>
      </c>
    </row>
    <row r="323">
      <c r="A323" s="65" t="s">
        <v>17</v>
      </c>
      <c r="B323" s="65" t="s">
        <v>23</v>
      </c>
      <c r="C323" s="65" t="s">
        <v>411</v>
      </c>
      <c r="D323" s="64">
        <f t="shared" si="1"/>
        <v>0</v>
      </c>
      <c r="E323" s="115"/>
      <c r="F323" s="115"/>
      <c r="G323" s="115"/>
      <c r="H323" s="115"/>
      <c r="I323" s="115"/>
      <c r="J323" s="115"/>
      <c r="K323" s="115"/>
      <c r="L323" s="115"/>
      <c r="M323" s="115"/>
      <c r="N323" s="115"/>
      <c r="O323" s="115"/>
    </row>
    <row r="324">
      <c r="A324" s="65" t="s">
        <v>17</v>
      </c>
      <c r="B324" s="65" t="s">
        <v>23</v>
      </c>
      <c r="C324" s="65" t="s">
        <v>412</v>
      </c>
      <c r="D324" s="64">
        <f t="shared" si="1"/>
        <v>519.2907</v>
      </c>
      <c r="E324" s="115"/>
      <c r="F324" s="115"/>
      <c r="G324" s="116">
        <f>HYPERLINK("https://docs.google.com/spreadsheets/d/1vOVw32ru23Qlh5cDo7t_2qLogYjVHdcI", 13.9465666666667)</f>
        <v>13.94656667</v>
      </c>
      <c r="H324" s="116">
        <f>HYPERLINK("https://docs.google.com/spreadsheets/d/1xLUU7D479vsmRJQLHyRsEa7COBnNT-ne", 22.34935)</f>
        <v>22.34935</v>
      </c>
      <c r="I324" s="116">
        <f>HYPERLINK("https://docs.google.com/spreadsheets/d/1w1H-n75PdYWkgxcDbunrH5ueUxcFxmML", 35.7742)</f>
        <v>35.7742</v>
      </c>
      <c r="J324" s="116">
        <f>HYPERLINK("https://docs.google.com/spreadsheets/d/1Lf0O7aWTjN25MJmNTzmRHRxtzDiiTRgI", 0.1999)</f>
        <v>0.1999</v>
      </c>
      <c r="K324" s="116">
        <f>HYPERLINK("https://docs.google.com/spreadsheets/d/1zSvCb5Ht9TvV2Qd6br15_vMChqR98tIU", 6.75936666666667)</f>
        <v>6.759366667</v>
      </c>
      <c r="L324" s="115"/>
      <c r="M324" s="115"/>
      <c r="N324" s="115"/>
      <c r="O324" s="115"/>
      <c r="P324" s="118">
        <f>HYPERLINK("https://docs.google.com/spreadsheets/d/1G0LxEshNlO_RSUH1IoLOsgPlbxL3Dcg9", 8.42413333333333)</f>
        <v>8.424133333</v>
      </c>
      <c r="T324" s="118">
        <f>HYPERLINK("https://docs.google.com/spreadsheets/d/1POHDbvmsCuyc70CXG37VzdPbdKw8Elxk", 21.27045)</f>
        <v>21.27045</v>
      </c>
      <c r="U324" s="118">
        <f>HYPERLINK("https://docs.google.com/spreadsheets/d/1ghU6QDMHr7WVygg3ido9x5kZ1BjRrHj3", 19.9060833333333)</f>
        <v>19.90608333</v>
      </c>
      <c r="V324" s="118">
        <f>HYPERLINK("https://docs.google.com/spreadsheets/d/1aLVRJaJsn1HK_rvSlUBP4h5L2j1juepl", 42.9653)</f>
        <v>42.9653</v>
      </c>
      <c r="W324" s="118">
        <f>HYPERLINK("https://docs.google.com/spreadsheets/d/1Ce6Vqyuvuvyy6KyZokbGIBqNrH4-VNyS", 20.57175)</f>
        <v>20.57175</v>
      </c>
      <c r="AA324" s="118">
        <f>HYPERLINK("https://docs.google.com/spreadsheets/d/1bWeGJHpJ92BgD1XtMIRS0gyu4OOgKj8m", 16.61505)</f>
        <v>16.61505</v>
      </c>
      <c r="AB324" s="118">
        <f>HYPERLINK("https://docs.google.com/spreadsheets/d/1ZaOZ3sb6Bw1odSmbFpnJuCJMAGq_47RB", 25.9694166666667)</f>
        <v>25.96941667</v>
      </c>
      <c r="AC324" s="118">
        <f>HYPERLINK("https://docs.google.com/spreadsheets/d/1kUgNuGbTrgQYjup4NGY3G7yfsUk6iKEA", 15.7064833333333)</f>
        <v>15.70648333</v>
      </c>
      <c r="AD324" s="118">
        <f>HYPERLINK("https://docs.google.com/spreadsheets/d/1u9N96-_H3_MD5TEQBYOlegBor4GRFCOR", 8.39911666666667)</f>
        <v>8.399116667</v>
      </c>
      <c r="AJ324" s="118">
        <f>HYPERLINK("https://docs.google.com/spreadsheets/d/1LeUkBAo6T5ILVfVVoGntYGERLaCc3uQr", 31.0298)</f>
        <v>31.0298</v>
      </c>
      <c r="AK324" s="118">
        <f>HYPERLINK("https://docs.google.com/spreadsheets/d/1zw4jC_dKubzJ152W7MqKoooT4hq_VDXa", 48.04485)</f>
        <v>48.04485</v>
      </c>
      <c r="AL324" s="118">
        <f>HYPERLINK("https://docs.google.com/spreadsheets/d/1bqgQKznvnHGEI8tfIE-fYRCKbCGzQEUt", 16.71335)</f>
        <v>16.71335</v>
      </c>
      <c r="AM324" s="118">
        <f>HYPERLINK("https://docs.google.com/spreadsheets/d/1zW3aWpDnBpFAbPkeJji21O6xHwll2M5m", 52.4242666666667)</f>
        <v>52.42426667</v>
      </c>
      <c r="AP324" s="118">
        <f>HYPERLINK("https://docs.google.com/spreadsheets/d/1S8w2yXWfxP0JoykuDPYaUM-pXvU4ZRgb", 23.1965)</f>
        <v>23.1965</v>
      </c>
      <c r="AQ324" s="118">
        <f>HYPERLINK("https://docs.google.com/spreadsheets/d/1XfM6PCsqK_Ge7g2GJxFATEEeOAX1YcJg", 0.74635)</f>
        <v>0.74635</v>
      </c>
      <c r="AR324" s="118">
        <f>HYPERLINK("https://docs.google.com/spreadsheets/d/1f8oPek_0-oVmiNIpFa_VoVoqQN-sXj-3", 2.5879)</f>
        <v>2.5879</v>
      </c>
      <c r="AU324" s="118">
        <f>HYPERLINK("https://docs.google.com/spreadsheets/d/1SPfVzkbX-Ol-rXmxFlB9cmhSMJXgtmDc", 33.6158166666667)</f>
        <v>33.61581667</v>
      </c>
      <c r="AV324" s="118">
        <f>HYPERLINK("https://docs.google.com/spreadsheets/d/1h3a0bpRUxKpC6R1oRQHhGf9lZmUIVbh2", 7.03253333333333)</f>
        <v>7.032533333</v>
      </c>
      <c r="AY324" s="118">
        <f>HYPERLINK("https://docs.google.com/spreadsheets/d/1wCh68PvgPdG4KemmjZh8WJtjfxVFy2yR", 45.0421666666667)</f>
        <v>45.04216667</v>
      </c>
    </row>
    <row r="325">
      <c r="A325" s="65" t="s">
        <v>17</v>
      </c>
      <c r="B325" s="65" t="s">
        <v>23</v>
      </c>
      <c r="C325" s="65" t="s">
        <v>413</v>
      </c>
      <c r="D325" s="64">
        <f t="shared" si="1"/>
        <v>268.4259667</v>
      </c>
      <c r="E325" s="115"/>
      <c r="F325" s="115"/>
      <c r="G325" s="104">
        <v>0.276033333333334</v>
      </c>
      <c r="H325" s="104">
        <v>8.76810000000001</v>
      </c>
      <c r="I325" s="104">
        <v>22.7050333333333</v>
      </c>
      <c r="J325" s="104">
        <v>0.0</v>
      </c>
      <c r="K325" s="104">
        <v>6.75936666666667</v>
      </c>
      <c r="L325" s="104"/>
      <c r="M325" s="104"/>
      <c r="N325" s="104"/>
      <c r="O325" s="115"/>
      <c r="P325" s="65">
        <v>8.22945</v>
      </c>
      <c r="Q325" s="65"/>
      <c r="R325" s="65"/>
      <c r="S325" s="65"/>
      <c r="T325" s="65">
        <v>20.0665166666667</v>
      </c>
      <c r="U325" s="65">
        <v>2.63821666666668</v>
      </c>
      <c r="V325" s="65">
        <v>11.6165833333334</v>
      </c>
      <c r="W325" s="65">
        <v>18.4402166666667</v>
      </c>
      <c r="X325" s="65"/>
      <c r="Y325" s="65"/>
      <c r="Z325" s="65"/>
      <c r="AA325" s="65">
        <v>9.66336666666666</v>
      </c>
      <c r="AB325" s="65">
        <v>3.41653333333333</v>
      </c>
      <c r="AC325" s="65">
        <v>2.81978333333333</v>
      </c>
      <c r="AD325" s="65">
        <v>1.33586666666667</v>
      </c>
      <c r="AE325" s="65"/>
      <c r="AF325" s="65"/>
      <c r="AG325" s="65"/>
      <c r="AH325" s="65"/>
      <c r="AI325" s="65"/>
      <c r="AJ325" s="65">
        <v>29.8971833333333</v>
      </c>
      <c r="AK325" s="65">
        <v>6.96518333333338</v>
      </c>
      <c r="AL325" s="65">
        <v>3.92446666666667</v>
      </c>
      <c r="AM325" s="65">
        <v>48.2127166666667</v>
      </c>
      <c r="AN325" s="65"/>
      <c r="AP325" s="65">
        <v>20.1102333333333</v>
      </c>
      <c r="AQ325" s="65">
        <v>1.11022302462516E-16</v>
      </c>
      <c r="AR325" s="65">
        <v>2.41458333333333</v>
      </c>
      <c r="AT325" s="65"/>
      <c r="AU325" s="65">
        <v>6.95164999999999</v>
      </c>
      <c r="AV325" s="65">
        <v>0.782649999999999</v>
      </c>
      <c r="AY325" s="65">
        <v>32.4322333333333</v>
      </c>
    </row>
    <row r="326">
      <c r="A326" s="119" t="s">
        <v>17</v>
      </c>
      <c r="B326" s="119" t="s">
        <v>23</v>
      </c>
      <c r="C326" s="119" t="s">
        <v>414</v>
      </c>
      <c r="D326" s="120">
        <f t="shared" si="1"/>
        <v>33.61581667</v>
      </c>
      <c r="E326" s="121"/>
      <c r="F326" s="121"/>
      <c r="G326" s="122">
        <f>HYPERLINK("https://docs.google.com/spreadsheets/d/1vOVw32ru23Qlh5cDo7t_2qLogYjVHdcI", 0)</f>
        <v>0</v>
      </c>
      <c r="H326" s="122">
        <f>HYPERLINK("https://docs.google.com/spreadsheets/d/1xLUU7D479vsmRJQLHyRsEa7COBnNT-ne", 0)</f>
        <v>0</v>
      </c>
      <c r="I326" s="122">
        <f>HYPERLINK("https://docs.google.com/spreadsheets/d/1w1H-n75PdYWkgxcDbunrH5ueUxcFxmML", 0)</f>
        <v>0</v>
      </c>
      <c r="J326" s="122">
        <f>HYPERLINK("https://docs.google.com/spreadsheets/d/1Lf0O7aWTjN25MJmNTzmRHRxtzDiiTRgI", 0)</f>
        <v>0</v>
      </c>
      <c r="K326" s="122">
        <f>HYPERLINK("https://docs.google.com/spreadsheets/d/1zSvCb5Ht9TvV2Qd6br15_vMChqR98tIU", 0)</f>
        <v>0</v>
      </c>
      <c r="L326" s="121"/>
      <c r="M326" s="121"/>
      <c r="N326" s="123"/>
      <c r="O326" s="121"/>
      <c r="P326" s="124">
        <f>HYPERLINK("https://docs.google.com/spreadsheets/d/1G0LxEshNlO_RSUH1IoLOsgPlbxL3Dcg9", 0)</f>
        <v>0</v>
      </c>
      <c r="Q326" s="120"/>
      <c r="R326" s="119"/>
      <c r="S326" s="120"/>
      <c r="T326" s="125">
        <f>HYPERLINK("https://docs.google.com/spreadsheets/d/1POHDbvmsCuyc70CXG37VzdPbdKw8Elxk", 0)</f>
        <v>0</v>
      </c>
      <c r="U326" s="125">
        <f>HYPERLINK("https://docs.google.com/spreadsheets/d/1ghU6QDMHr7WVygg3ido9x5kZ1BjRrHj3", 0)</f>
        <v>0</v>
      </c>
      <c r="V326" s="124">
        <f>HYPERLINK("https://docs.google.com/spreadsheets/d/1aLVRJaJsn1HK_rvSlUBP4h5L2j1juepl", 0)</f>
        <v>0</v>
      </c>
      <c r="W326" s="124">
        <f>HYPERLINK("https://docs.google.com/spreadsheets/d/1Ce6Vqyuvuvyy6KyZokbGIBqNrH4-VNyS", 0)</f>
        <v>0</v>
      </c>
      <c r="X326" s="120"/>
      <c r="Y326" s="119"/>
      <c r="Z326" s="120"/>
      <c r="AA326" s="124">
        <f>HYPERLINK("https://docs.google.com/spreadsheets/d/1bWeGJHpJ92BgD1XtMIRS0gyu4OOgKj8m", 0)</f>
        <v>0</v>
      </c>
      <c r="AB326" s="124">
        <f>HYPERLINK("https://docs.google.com/spreadsheets/d/1ZaOZ3sb6Bw1odSmbFpnJuCJMAGq_47RB", 0)</f>
        <v>0</v>
      </c>
      <c r="AC326" s="124">
        <f>HYPERLINK("https://docs.google.com/spreadsheets/d/1kUgNuGbTrgQYjup4NGY3G7yfsUk6iKEA", 0)</f>
        <v>0</v>
      </c>
      <c r="AD326" s="124">
        <f>HYPERLINK("https://docs.google.com/spreadsheets/d/1u9N96-_H3_MD5TEQBYOlegBor4GRFCOR", 0)</f>
        <v>0</v>
      </c>
      <c r="AE326" s="120"/>
      <c r="AF326" s="119"/>
      <c r="AG326" s="119"/>
      <c r="AH326" s="119"/>
      <c r="AI326" s="119"/>
      <c r="AJ326" s="124">
        <f>HYPERLINK("https://docs.google.com/spreadsheets/d/1LeUkBAo6T5ILVfVVoGntYGERLaCc3uQr", 0)</f>
        <v>0</v>
      </c>
      <c r="AK326" s="124">
        <f>HYPERLINK("https://docs.google.com/spreadsheets/d/1zw4jC_dKubzJ152W7MqKoooT4hq_VDXa", 0)</f>
        <v>0</v>
      </c>
      <c r="AL326" s="125">
        <f>HYPERLINK("https://docs.google.com/spreadsheets/d/1bqgQKznvnHGEI8tfIE-fYRCKbCGzQEUt", 0)</f>
        <v>0</v>
      </c>
      <c r="AM326" s="124">
        <f>HYPERLINK("https://docs.google.com/spreadsheets/d/1zW3aWpDnBpFAbPkeJji21O6xHwll2M5m", 0)</f>
        <v>0</v>
      </c>
      <c r="AN326" s="119"/>
      <c r="AO326" s="120"/>
      <c r="AP326" s="124">
        <f>HYPERLINK("https://docs.google.com/spreadsheets/d/1S8w2yXWfxP0JoykuDPYaUM-pXvU4ZRgb", 0)</f>
        <v>0</v>
      </c>
      <c r="AQ326" s="125">
        <f>HYPERLINK("https://docs.google.com/spreadsheets/d/1XfM6PCsqK_Ge7g2GJxFATEEeOAX1YcJg", 0)</f>
        <v>0</v>
      </c>
      <c r="AR326" s="125">
        <f>HYPERLINK("https://docs.google.com/spreadsheets/d/1f8oPek_0-oVmiNIpFa_VoVoqQN-sXj-3", 0)</f>
        <v>0</v>
      </c>
      <c r="AS326" s="120"/>
      <c r="AT326" s="120"/>
      <c r="AU326" s="125">
        <f>HYPERLINK("https://docs.google.com/spreadsheets/d/1SPfVzkbX-Ol-rXmxFlB9cmhSMJXgtmDc", 33.6158166666667)</f>
        <v>33.61581667</v>
      </c>
      <c r="AV326" s="124">
        <f>HYPERLINK("https://docs.google.com/spreadsheets/d/1h3a0bpRUxKpC6R1oRQHhGf9lZmUIVbh2", 0)</f>
        <v>0</v>
      </c>
      <c r="AW326" s="120"/>
      <c r="AX326" s="120"/>
      <c r="AY326" s="124">
        <f>HYPERLINK("https://docs.google.com/spreadsheets/d/1wCh68PvgPdG4KemmjZh8WJtjfxVFy2yR", 0)</f>
        <v>0</v>
      </c>
      <c r="AZ326" s="120"/>
      <c r="BA326" s="120"/>
      <c r="BB326" s="120"/>
      <c r="BC326" s="120"/>
      <c r="BD326" s="120"/>
      <c r="BE326" s="120"/>
      <c r="BF326" s="120"/>
      <c r="BG326" s="120"/>
      <c r="BH326" s="120"/>
      <c r="BI326" s="120"/>
      <c r="BJ326" s="120"/>
      <c r="BK326" s="120"/>
      <c r="BL326" s="120"/>
      <c r="BM326" s="120"/>
      <c r="BN326" s="120"/>
      <c r="BO326" s="120"/>
      <c r="BP326" s="120"/>
      <c r="BQ326" s="120"/>
      <c r="BR326" s="120"/>
      <c r="BS326" s="120"/>
      <c r="BT326" s="120"/>
      <c r="BU326" s="120"/>
      <c r="BV326" s="120"/>
      <c r="BW326" s="120"/>
      <c r="BX326" s="120"/>
      <c r="BY326" s="120"/>
      <c r="BZ326" s="120"/>
      <c r="CA326" s="120"/>
      <c r="CB326" s="120"/>
      <c r="CC326" s="120"/>
      <c r="CD326" s="120"/>
      <c r="CE326" s="120"/>
      <c r="CF326" s="120"/>
      <c r="CG326" s="120"/>
      <c r="CH326" s="120"/>
      <c r="CI326" s="120"/>
      <c r="CJ326" s="120"/>
      <c r="CK326" s="120"/>
      <c r="CL326" s="120"/>
      <c r="CM326" s="120"/>
      <c r="CN326" s="120"/>
      <c r="CO326" s="120"/>
      <c r="CP326" s="120"/>
      <c r="CQ326" s="120"/>
      <c r="CR326" s="120"/>
      <c r="CS326" s="120"/>
      <c r="CT326" s="120"/>
      <c r="CU326" s="120"/>
      <c r="CV326" s="120"/>
      <c r="CW326" s="120"/>
      <c r="CX326" s="120"/>
      <c r="CY326" s="120"/>
      <c r="CZ326" s="120"/>
      <c r="DA326" s="120"/>
      <c r="DB326" s="120"/>
      <c r="DC326" s="120"/>
      <c r="DD326" s="120"/>
      <c r="DE326" s="120"/>
      <c r="DF326" s="120"/>
      <c r="DG326" s="120"/>
      <c r="DH326" s="120"/>
      <c r="DI326" s="120"/>
      <c r="DJ326" s="120"/>
      <c r="DK326" s="120"/>
      <c r="DL326" s="120"/>
      <c r="DM326" s="120"/>
      <c r="DN326" s="120"/>
      <c r="DO326" s="120"/>
      <c r="DP326" s="120"/>
      <c r="DQ326" s="120"/>
      <c r="DR326" s="120"/>
      <c r="DS326" s="120"/>
      <c r="DT326" s="120"/>
      <c r="DU326" s="120"/>
      <c r="DV326" s="120"/>
      <c r="DW326" s="120"/>
      <c r="DX326" s="120"/>
      <c r="DY326" s="120"/>
      <c r="DZ326" s="120"/>
      <c r="EA326" s="120"/>
      <c r="EB326" s="120"/>
      <c r="EC326" s="120"/>
      <c r="ED326" s="120"/>
      <c r="EE326" s="120"/>
      <c r="EF326" s="120"/>
      <c r="EG326" s="120"/>
      <c r="EH326" s="120"/>
      <c r="EI326" s="120"/>
      <c r="EJ326" s="120"/>
      <c r="EK326" s="120"/>
      <c r="EL326" s="120"/>
      <c r="EM326" s="120"/>
      <c r="EN326" s="120"/>
      <c r="EO326" s="120"/>
      <c r="EP326" s="120"/>
      <c r="EQ326" s="120"/>
      <c r="ER326" s="120"/>
      <c r="ES326" s="120"/>
      <c r="ET326" s="120"/>
      <c r="EU326" s="120"/>
      <c r="EV326" s="120"/>
      <c r="EW326" s="120"/>
      <c r="EX326" s="120"/>
      <c r="EY326" s="120"/>
    </row>
    <row r="327">
      <c r="A327" s="112" t="s">
        <v>17</v>
      </c>
      <c r="B327" s="112" t="s">
        <v>86</v>
      </c>
      <c r="C327" s="112" t="s">
        <v>409</v>
      </c>
      <c r="D327" s="113">
        <f t="shared" si="1"/>
        <v>478.42125</v>
      </c>
      <c r="E327" s="114">
        <v>31.0930833333334</v>
      </c>
      <c r="F327" s="114"/>
      <c r="G327" s="114"/>
      <c r="H327" s="114"/>
      <c r="I327" s="114"/>
      <c r="J327" s="114"/>
      <c r="K327" s="114"/>
      <c r="L327" s="114">
        <v>0.591933333333333</v>
      </c>
      <c r="M327" s="114"/>
      <c r="N327" s="114"/>
      <c r="O327" s="114">
        <v>4.79605</v>
      </c>
      <c r="P327" s="112"/>
      <c r="Q327" s="112"/>
      <c r="R327" s="112">
        <v>16.1834</v>
      </c>
      <c r="S327" s="112"/>
      <c r="T327" s="112"/>
      <c r="U327" s="112"/>
      <c r="V327" s="112"/>
      <c r="W327" s="112"/>
      <c r="X327" s="112">
        <v>0.36845</v>
      </c>
      <c r="Y327" s="112">
        <v>34.9988666666667</v>
      </c>
      <c r="Z327" s="112"/>
      <c r="AA327" s="113"/>
      <c r="AB327" s="112"/>
      <c r="AC327" s="112"/>
      <c r="AD327" s="112"/>
      <c r="AE327" s="112">
        <v>0.164716666666667</v>
      </c>
      <c r="AF327" s="112"/>
      <c r="AG327" s="112"/>
      <c r="AH327" s="112">
        <v>259.531766666667</v>
      </c>
      <c r="AI327" s="112"/>
      <c r="AJ327" s="112"/>
      <c r="AK327" s="112"/>
      <c r="AL327" s="113"/>
      <c r="AM327" s="112"/>
      <c r="AN327" s="112">
        <v>2.63896666666667</v>
      </c>
      <c r="AO327" s="112">
        <v>22.91685</v>
      </c>
      <c r="AP327" s="112"/>
      <c r="AQ327" s="113"/>
      <c r="AR327" s="112"/>
      <c r="AS327" s="112">
        <v>0.22665</v>
      </c>
      <c r="AT327" s="112">
        <v>53.9661333333333</v>
      </c>
      <c r="AU327" s="112"/>
      <c r="AV327" s="112"/>
      <c r="AW327" s="112">
        <v>2.15073333333333</v>
      </c>
      <c r="AX327" s="112">
        <v>45.7567</v>
      </c>
      <c r="AY327" s="113"/>
      <c r="AZ327" s="112">
        <v>1.88388333333333</v>
      </c>
      <c r="BA327" s="112">
        <v>1.15306666666667</v>
      </c>
      <c r="BB327" s="113"/>
      <c r="BC327" s="113"/>
      <c r="BD327" s="113"/>
      <c r="BE327" s="113"/>
      <c r="BF327" s="113"/>
      <c r="BG327" s="113"/>
      <c r="BH327" s="113"/>
      <c r="BI327" s="113"/>
      <c r="BJ327" s="113"/>
      <c r="BK327" s="113"/>
      <c r="BL327" s="113"/>
      <c r="BM327" s="113"/>
      <c r="BN327" s="113"/>
      <c r="BO327" s="113"/>
      <c r="BP327" s="113"/>
      <c r="BQ327" s="113"/>
      <c r="BR327" s="113"/>
      <c r="BS327" s="113"/>
      <c r="BT327" s="113"/>
      <c r="BU327" s="113"/>
      <c r="BV327" s="113"/>
      <c r="BW327" s="113"/>
      <c r="BX327" s="113"/>
      <c r="BY327" s="113"/>
      <c r="BZ327" s="113"/>
      <c r="CA327" s="113"/>
      <c r="CB327" s="113"/>
      <c r="CC327" s="113"/>
      <c r="CD327" s="113"/>
      <c r="CE327" s="113"/>
      <c r="CF327" s="113"/>
      <c r="CG327" s="113"/>
      <c r="CH327" s="113"/>
      <c r="CI327" s="113"/>
      <c r="CJ327" s="113"/>
      <c r="CK327" s="113"/>
      <c r="CL327" s="113"/>
      <c r="CM327" s="113"/>
      <c r="CN327" s="113"/>
      <c r="CO327" s="113"/>
      <c r="CP327" s="113"/>
      <c r="CQ327" s="113"/>
      <c r="CR327" s="113"/>
      <c r="CS327" s="113"/>
      <c r="CT327" s="113"/>
      <c r="CU327" s="113"/>
      <c r="CV327" s="113"/>
      <c r="CW327" s="113"/>
      <c r="CX327" s="113"/>
      <c r="CY327" s="113"/>
      <c r="CZ327" s="113"/>
      <c r="DA327" s="113"/>
      <c r="DB327" s="113"/>
      <c r="DC327" s="113"/>
      <c r="DD327" s="113"/>
      <c r="DE327" s="113"/>
      <c r="DF327" s="113"/>
      <c r="DG327" s="113"/>
      <c r="DH327" s="113"/>
      <c r="DI327" s="113"/>
      <c r="DJ327" s="113"/>
      <c r="DK327" s="113"/>
      <c r="DL327" s="113"/>
      <c r="DM327" s="113"/>
      <c r="DN327" s="113"/>
      <c r="DO327" s="113"/>
      <c r="DP327" s="113"/>
      <c r="DQ327" s="113"/>
      <c r="DR327" s="113"/>
      <c r="DS327" s="113"/>
      <c r="DT327" s="113"/>
      <c r="DU327" s="113"/>
      <c r="DV327" s="113"/>
      <c r="DW327" s="113"/>
      <c r="DX327" s="113"/>
      <c r="DY327" s="113"/>
      <c r="DZ327" s="113"/>
      <c r="EA327" s="113"/>
      <c r="EB327" s="113"/>
      <c r="EC327" s="113"/>
      <c r="ED327" s="113"/>
      <c r="EE327" s="113"/>
      <c r="EF327" s="113"/>
      <c r="EG327" s="113"/>
      <c r="EH327" s="113"/>
      <c r="EI327" s="113"/>
      <c r="EJ327" s="113"/>
      <c r="EK327" s="113"/>
      <c r="EL327" s="113"/>
      <c r="EM327" s="113"/>
      <c r="EN327" s="113"/>
      <c r="EO327" s="113"/>
      <c r="EP327" s="113"/>
      <c r="EQ327" s="113"/>
      <c r="ER327" s="113"/>
      <c r="ES327" s="113"/>
      <c r="ET327" s="113"/>
      <c r="EU327" s="113"/>
      <c r="EV327" s="113"/>
      <c r="EW327" s="113"/>
      <c r="EX327" s="113"/>
      <c r="EY327" s="113"/>
    </row>
    <row r="328">
      <c r="A328" s="65" t="s">
        <v>17</v>
      </c>
      <c r="B328" s="65" t="s">
        <v>86</v>
      </c>
      <c r="C328" s="65" t="s">
        <v>410</v>
      </c>
      <c r="D328" s="64">
        <f t="shared" si="1"/>
        <v>465.5692833</v>
      </c>
      <c r="E328" s="115"/>
      <c r="F328" s="104"/>
      <c r="G328" s="104">
        <v>16.86325</v>
      </c>
      <c r="H328" s="104">
        <v>11.40175</v>
      </c>
      <c r="I328" s="104">
        <v>2.4608</v>
      </c>
      <c r="J328" s="104">
        <v>0.227083333333333</v>
      </c>
      <c r="K328" s="104"/>
      <c r="L328" s="104"/>
      <c r="M328" s="104"/>
      <c r="N328" s="104">
        <v>16.86325</v>
      </c>
      <c r="O328" s="104"/>
      <c r="P328" s="65">
        <v>4.61375</v>
      </c>
      <c r="Q328" s="65"/>
      <c r="R328" s="65"/>
      <c r="S328" s="65"/>
      <c r="T328" s="65">
        <v>7.81541666666667</v>
      </c>
      <c r="U328" s="65">
        <v>6.86941666666667</v>
      </c>
      <c r="V328" s="65">
        <v>0.8313</v>
      </c>
      <c r="W328" s="65"/>
      <c r="X328" s="65"/>
      <c r="Y328" s="65"/>
      <c r="Z328" s="65"/>
      <c r="AA328" s="65">
        <v>9.98901666666667</v>
      </c>
      <c r="AB328" s="65">
        <v>22.5266666666667</v>
      </c>
      <c r="AC328" s="65">
        <v>1.7329</v>
      </c>
      <c r="AD328" s="65"/>
      <c r="AE328" s="65"/>
      <c r="AF328" s="65"/>
      <c r="AG328" s="65">
        <v>9.98901666666667</v>
      </c>
      <c r="AH328" s="65"/>
      <c r="AI328" s="65"/>
      <c r="AJ328" s="65">
        <v>32.1491666666667</v>
      </c>
      <c r="AK328" s="65">
        <v>138.090016666667</v>
      </c>
      <c r="AL328" s="65">
        <v>68.3013</v>
      </c>
      <c r="AM328" s="65">
        <v>12.7132333333333</v>
      </c>
      <c r="AN328" s="65"/>
      <c r="AP328" s="65">
        <v>16.6542833333333</v>
      </c>
      <c r="AQ328" s="65">
        <v>0.566283333333333</v>
      </c>
      <c r="AR328" s="65"/>
      <c r="AT328" s="65"/>
      <c r="AU328" s="65">
        <v>38.5157333333333</v>
      </c>
      <c r="AV328" s="65">
        <v>1.67858333333333</v>
      </c>
      <c r="AY328" s="65">
        <v>44.7170666666667</v>
      </c>
    </row>
    <row r="329">
      <c r="A329" s="65" t="s">
        <v>17</v>
      </c>
      <c r="B329" s="65" t="s">
        <v>86</v>
      </c>
      <c r="C329" s="65" t="s">
        <v>411</v>
      </c>
      <c r="D329" s="64">
        <f t="shared" si="1"/>
        <v>0</v>
      </c>
      <c r="E329" s="115"/>
      <c r="F329" s="115"/>
      <c r="G329" s="115"/>
      <c r="H329" s="115"/>
      <c r="I329" s="115"/>
      <c r="J329" s="115"/>
      <c r="K329" s="115"/>
      <c r="L329" s="115"/>
      <c r="M329" s="115"/>
      <c r="N329" s="115"/>
      <c r="O329" s="115"/>
    </row>
    <row r="330">
      <c r="A330" s="65" t="s">
        <v>17</v>
      </c>
      <c r="B330" s="65" t="s">
        <v>86</v>
      </c>
      <c r="C330" s="65" t="s">
        <v>412</v>
      </c>
      <c r="D330" s="64">
        <f t="shared" si="1"/>
        <v>437.4111833</v>
      </c>
      <c r="E330" s="115"/>
      <c r="F330" s="115"/>
      <c r="G330" s="116">
        <f>HYPERLINK("https://docs.google.com/spreadsheets/d/1JgnegefejVGCp9iHxVDoJknpQKFVcs9t", 16.8632333333333)</f>
        <v>16.86323333</v>
      </c>
      <c r="H330" s="116">
        <f>HYPERLINK("https://docs.google.com/spreadsheets/d/1pR83O5IXFSR7OQOawam9EaFWeUICx4Ms", 11.4017333333333)</f>
        <v>11.40173333</v>
      </c>
      <c r="I330" s="116">
        <f>HYPERLINK("https://docs.google.com/spreadsheets/d/1-mNW5p09z7HJlh9kn17W46onx67ol1qj", 2.4608)</f>
        <v>2.4608</v>
      </c>
      <c r="J330" s="116">
        <f>HYPERLINK("https://docs.google.com/spreadsheets/d/19vMC_S0roNvpuKhCPjK1rfJHpUYl17PA", 0)</f>
        <v>0</v>
      </c>
      <c r="K330" s="115"/>
      <c r="L330" s="115"/>
      <c r="M330" s="115"/>
      <c r="N330" s="115"/>
      <c r="O330" s="115"/>
      <c r="P330" s="118">
        <f>HYPERLINK("https://docs.google.com/spreadsheets/d/1AV1KkAU50TKqDNJjZRzBJc4hQ_uiFq0w", 4.61376666666667)</f>
        <v>4.613766667</v>
      </c>
      <c r="T330" s="118">
        <f>HYPERLINK("https://docs.google.com/spreadsheets/d/18zqVe6kAxijWRi0AQPXWPs_ztwgdkdyD", 7.81541666666667)</f>
        <v>7.815416667</v>
      </c>
      <c r="U330" s="118">
        <f>HYPERLINK("https://docs.google.com/spreadsheets/d/1604xI_AJy8uIAfgOAxRaxBgKahc8WlWQ", 6.72655)</f>
        <v>6.72655</v>
      </c>
      <c r="V330" s="118">
        <f>HYPERLINK("https://docs.google.com/spreadsheets/d/1D-gfs7q4sFm9nCnhxFq_Wjumfam9_oT-", 0.8313)</f>
        <v>0.8313</v>
      </c>
      <c r="AA330" s="118">
        <f>HYPERLINK("https://docs.google.com/spreadsheets/d/1qTTO1haUleImVMdpHoOVk1gTOB5jtK6a", 9.8599)</f>
        <v>9.8599</v>
      </c>
      <c r="AB330" s="118">
        <f>HYPERLINK("https://docs.google.com/spreadsheets/d/1xjso1z55zdwNPJCnBN4yWgavSDw9PKm_", 22.4822333333333)</f>
        <v>22.48223333</v>
      </c>
      <c r="AC330" s="118">
        <f>HYPERLINK("https://docs.google.com/spreadsheets/d/178MWD4Kup_UREC_MXqPzDwaw-id3kjPo", 1.7329)</f>
        <v>1.7329</v>
      </c>
      <c r="AJ330" s="118">
        <f>HYPERLINK("https://docs.google.com/spreadsheets/d/1Eo6NsqwqfKFSUXFVIBEgEV9LUgLz7sip", 32.0197833333334)</f>
        <v>32.01978333</v>
      </c>
      <c r="AK330" s="118">
        <f>HYPERLINK("https://docs.google.com/spreadsheets/d/1ONQ1sQe1O_cAffad0b6psOoAFwuBcehn", 137.733333333333)</f>
        <v>137.7333333</v>
      </c>
      <c r="AL330" s="118">
        <f>HYPERLINK("https://docs.google.com/spreadsheets/d/160wh4FVn4ukKixF15Df9g0R6XWguIR0z", 68.3012666666666)</f>
        <v>68.30126667</v>
      </c>
      <c r="AM330" s="118">
        <f>HYPERLINK("https://docs.google.com/spreadsheets/d/1-HgWoMfAzG7nnp5xhGEL0aQ3q7IcVB_4", 12.6280833333333)</f>
        <v>12.62808333</v>
      </c>
      <c r="AP330" s="118">
        <f>HYPERLINK("https://docs.google.com/spreadsheets/d/1oA9Q_Qz4QnwO1qeKViD-bvN7_gsE_tTf", 16.65425)</f>
        <v>16.65425</v>
      </c>
      <c r="AQ330" s="118">
        <f>HYPERLINK("https://docs.google.com/spreadsheets/d/1wWJrG1Gv1pQ_z482t-bl3qhg1UjZEJeY", 0.566283333333333)</f>
        <v>0.5662833333</v>
      </c>
      <c r="AU330" s="118">
        <f>HYPERLINK("https://docs.google.com/spreadsheets/d/1qNypWZFNbpX39Wvp7hjGdU_6ylpPrSsz", 38.5156833333333)</f>
        <v>38.51568333</v>
      </c>
      <c r="AV330" s="118">
        <f>HYPERLINK("https://docs.google.com/spreadsheets/d/1U-yIHAyeoBAFlasC-hGaLmXN9X-l2zfi", 1.67856666666667)</f>
        <v>1.678566667</v>
      </c>
      <c r="AY330" s="118">
        <f>HYPERLINK("https://docs.google.com/spreadsheets/d/1y_Qmk-hrNoufrSrEPTbimB1Tb1oilYLj", 44.5261)</f>
        <v>44.5261</v>
      </c>
    </row>
    <row r="331">
      <c r="A331" s="65" t="s">
        <v>17</v>
      </c>
      <c r="B331" s="65" t="s">
        <v>86</v>
      </c>
      <c r="C331" s="65" t="s">
        <v>413</v>
      </c>
      <c r="D331" s="64">
        <f t="shared" si="1"/>
        <v>240.5387333</v>
      </c>
      <c r="E331" s="115"/>
      <c r="F331" s="115"/>
      <c r="G331" s="104">
        <v>9.00291666666667</v>
      </c>
      <c r="H331" s="104">
        <v>7.61446666666667</v>
      </c>
      <c r="I331" s="104">
        <v>1.54088333333333</v>
      </c>
      <c r="J331" s="104">
        <v>0.0</v>
      </c>
      <c r="K331" s="104"/>
      <c r="L331" s="104"/>
      <c r="M331" s="104"/>
      <c r="N331" s="104"/>
      <c r="O331" s="104"/>
      <c r="P331" s="65">
        <v>3.85766666666667</v>
      </c>
      <c r="Q331" s="65"/>
      <c r="R331" s="65"/>
      <c r="S331" s="65"/>
      <c r="T331" s="65">
        <v>6.86428333333333</v>
      </c>
      <c r="U331" s="65">
        <v>2.57016666666667</v>
      </c>
      <c r="V331" s="65">
        <v>0.0</v>
      </c>
      <c r="W331" s="65"/>
      <c r="X331" s="65"/>
      <c r="Y331" s="65"/>
      <c r="Z331" s="65"/>
      <c r="AA331" s="65">
        <v>5.40703333333333</v>
      </c>
      <c r="AB331" s="65">
        <v>6.59811666666667</v>
      </c>
      <c r="AC331" s="65">
        <v>-2.22044604925031E-16</v>
      </c>
      <c r="AD331" s="65"/>
      <c r="AE331" s="65"/>
      <c r="AF331" s="65"/>
      <c r="AG331" s="65"/>
      <c r="AH331" s="65"/>
      <c r="AI331" s="65"/>
      <c r="AJ331" s="65">
        <v>30.1009666666667</v>
      </c>
      <c r="AK331" s="65">
        <v>69.0044166666665</v>
      </c>
      <c r="AL331" s="65">
        <v>28.9709999999999</v>
      </c>
      <c r="AM331" s="65">
        <v>11.8411833333333</v>
      </c>
      <c r="AN331" s="65"/>
      <c r="AP331" s="65">
        <v>13.6018</v>
      </c>
      <c r="AQ331" s="65">
        <v>0.0</v>
      </c>
      <c r="AR331" s="65"/>
      <c r="AT331" s="65"/>
      <c r="AU331" s="65">
        <v>11.1583</v>
      </c>
      <c r="AV331" s="65">
        <v>0.34835</v>
      </c>
      <c r="AY331" s="65">
        <v>32.0571833333334</v>
      </c>
    </row>
    <row r="332">
      <c r="A332" s="119" t="s">
        <v>17</v>
      </c>
      <c r="B332" s="119" t="s">
        <v>86</v>
      </c>
      <c r="C332" s="119" t="s">
        <v>414</v>
      </c>
      <c r="D332" s="120">
        <f t="shared" si="1"/>
        <v>38.51568333</v>
      </c>
      <c r="E332" s="121"/>
      <c r="F332" s="121"/>
      <c r="G332" s="122">
        <f>HYPERLINK("https://docs.google.com/spreadsheets/d/1JgnegefejVGCp9iHxVDoJknpQKFVcs9t", 0)</f>
        <v>0</v>
      </c>
      <c r="H332" s="122">
        <f>HYPERLINK("https://docs.google.com/spreadsheets/d/1pR83O5IXFSR7OQOawam9EaFWeUICx4Ms", 0)</f>
        <v>0</v>
      </c>
      <c r="I332" s="122">
        <f>HYPERLINK("https://docs.google.com/spreadsheets/d/1-mNW5p09z7HJlh9kn17W46onx67ol1qj", 0)</f>
        <v>0</v>
      </c>
      <c r="J332" s="127">
        <f>HYPERLINK("https://docs.google.com/spreadsheets/d/19vMC_S0roNvpuKhCPjK1rfJHpUYl17PA", 0)</f>
        <v>0</v>
      </c>
      <c r="K332" s="121"/>
      <c r="L332" s="121"/>
      <c r="M332" s="121"/>
      <c r="N332" s="123"/>
      <c r="O332" s="121"/>
      <c r="P332" s="124">
        <f>HYPERLINK("https://docs.google.com/spreadsheets/d/1AV1KkAU50TKqDNJjZRzBJc4hQ_uiFq0w", 0)</f>
        <v>0</v>
      </c>
      <c r="Q332" s="120"/>
      <c r="R332" s="119"/>
      <c r="S332" s="120"/>
      <c r="T332" s="125">
        <f>HYPERLINK("https://docs.google.com/spreadsheets/d/18zqVe6kAxijWRi0AQPXWPs_ztwgdkdyD", 0)</f>
        <v>0</v>
      </c>
      <c r="U332" s="124">
        <f>HYPERLINK("https://docs.google.com/spreadsheets/d/1604xI_AJy8uIAfgOAxRaxBgKahc8WlWQ", 0)</f>
        <v>0</v>
      </c>
      <c r="V332" s="124">
        <f>HYPERLINK("https://docs.google.com/spreadsheets/d/1D-gfs7q4sFm9nCnhxFq_Wjumfam9_oT-", 0)</f>
        <v>0</v>
      </c>
      <c r="W332" s="120"/>
      <c r="X332" s="120"/>
      <c r="Y332" s="119"/>
      <c r="Z332" s="120"/>
      <c r="AA332" s="124">
        <f>HYPERLINK("https://docs.google.com/spreadsheets/d/1qTTO1haUleImVMdpHoOVk1gTOB5jtK6a", 0)</f>
        <v>0</v>
      </c>
      <c r="AB332" s="124">
        <f>HYPERLINK("https://docs.google.com/spreadsheets/d/1xjso1z55zdwNPJCnBN4yWgavSDw9PKm_", 0)</f>
        <v>0</v>
      </c>
      <c r="AC332" s="124">
        <f>HYPERLINK("https://docs.google.com/spreadsheets/d/178MWD4Kup_UREC_MXqPzDwaw-id3kjPo", 0)</f>
        <v>0</v>
      </c>
      <c r="AD332" s="120"/>
      <c r="AE332" s="120"/>
      <c r="AF332" s="119"/>
      <c r="AG332" s="119"/>
      <c r="AH332" s="119"/>
      <c r="AI332" s="119"/>
      <c r="AJ332" s="124">
        <f>HYPERLINK("https://docs.google.com/spreadsheets/d/1Eo6NsqwqfKFSUXFVIBEgEV9LUgLz7sip", 0)</f>
        <v>0</v>
      </c>
      <c r="AK332" s="124">
        <f>HYPERLINK("https://docs.google.com/spreadsheets/d/1ONQ1sQe1O_cAffad0b6psOoAFwuBcehn", 0)</f>
        <v>0</v>
      </c>
      <c r="AL332" s="125">
        <f>HYPERLINK("https://docs.google.com/spreadsheets/d/160wh4FVn4ukKixF15Df9g0R6XWguIR0z", 0)</f>
        <v>0</v>
      </c>
      <c r="AM332" s="124">
        <f>HYPERLINK("https://docs.google.com/spreadsheets/d/1-HgWoMfAzG7nnp5xhGEL0aQ3q7IcVB_4", 0)</f>
        <v>0</v>
      </c>
      <c r="AN332" s="120"/>
      <c r="AO332" s="120"/>
      <c r="AP332" s="124">
        <f>HYPERLINK("https://docs.google.com/spreadsheets/d/1oA9Q_Qz4QnwO1qeKViD-bvN7_gsE_tTf", 0)</f>
        <v>0</v>
      </c>
      <c r="AQ332" s="125">
        <f>HYPERLINK("https://docs.google.com/spreadsheets/d/1wWJrG1Gv1pQ_z482t-bl3qhg1UjZEJeY", 0)</f>
        <v>0</v>
      </c>
      <c r="AR332" s="119"/>
      <c r="AS332" s="120"/>
      <c r="AT332" s="120"/>
      <c r="AU332" s="125">
        <f>HYPERLINK("https://docs.google.com/spreadsheets/d/1qNypWZFNbpX39Wvp7hjGdU_6ylpPrSsz", 38.5156833333333)</f>
        <v>38.51568333</v>
      </c>
      <c r="AV332" s="124">
        <f>HYPERLINK("https://docs.google.com/spreadsheets/d/1U-yIHAyeoBAFlasC-hGaLmXN9X-l2zfi", 0)</f>
        <v>0</v>
      </c>
      <c r="AW332" s="120"/>
      <c r="AX332" s="120"/>
      <c r="AY332" s="124">
        <f>HYPERLINK("https://docs.google.com/spreadsheets/d/1y_Qmk-hrNoufrSrEPTbimB1Tb1oilYLj", 0)</f>
        <v>0</v>
      </c>
      <c r="AZ332" s="120"/>
      <c r="BA332" s="120"/>
      <c r="BB332" s="120"/>
      <c r="BC332" s="120"/>
      <c r="BD332" s="120"/>
      <c r="BE332" s="120"/>
      <c r="BF332" s="120"/>
      <c r="BG332" s="120"/>
      <c r="BH332" s="120"/>
      <c r="BI332" s="120"/>
      <c r="BJ332" s="120"/>
      <c r="BK332" s="120"/>
      <c r="BL332" s="120"/>
      <c r="BM332" s="120"/>
      <c r="BN332" s="120"/>
      <c r="BO332" s="120"/>
      <c r="BP332" s="120"/>
      <c r="BQ332" s="120"/>
      <c r="BR332" s="120"/>
      <c r="BS332" s="120"/>
      <c r="BT332" s="120"/>
      <c r="BU332" s="120"/>
      <c r="BV332" s="120"/>
      <c r="BW332" s="120"/>
      <c r="BX332" s="120"/>
      <c r="BY332" s="120"/>
      <c r="BZ332" s="120"/>
      <c r="CA332" s="120"/>
      <c r="CB332" s="120"/>
      <c r="CC332" s="120"/>
      <c r="CD332" s="120"/>
      <c r="CE332" s="120"/>
      <c r="CF332" s="120"/>
      <c r="CG332" s="120"/>
      <c r="CH332" s="120"/>
      <c r="CI332" s="120"/>
      <c r="CJ332" s="120"/>
      <c r="CK332" s="120"/>
      <c r="CL332" s="120"/>
      <c r="CM332" s="120"/>
      <c r="CN332" s="120"/>
      <c r="CO332" s="120"/>
      <c r="CP332" s="120"/>
      <c r="CQ332" s="120"/>
      <c r="CR332" s="120"/>
      <c r="CS332" s="120"/>
      <c r="CT332" s="120"/>
      <c r="CU332" s="120"/>
      <c r="CV332" s="120"/>
      <c r="CW332" s="120"/>
      <c r="CX332" s="120"/>
      <c r="CY332" s="120"/>
      <c r="CZ332" s="120"/>
      <c r="DA332" s="120"/>
      <c r="DB332" s="120"/>
      <c r="DC332" s="120"/>
      <c r="DD332" s="120"/>
      <c r="DE332" s="120"/>
      <c r="DF332" s="120"/>
      <c r="DG332" s="120"/>
      <c r="DH332" s="120"/>
      <c r="DI332" s="120"/>
      <c r="DJ332" s="120"/>
      <c r="DK332" s="120"/>
      <c r="DL332" s="120"/>
      <c r="DM332" s="120"/>
      <c r="DN332" s="120"/>
      <c r="DO332" s="120"/>
      <c r="DP332" s="120"/>
      <c r="DQ332" s="120"/>
      <c r="DR332" s="120"/>
      <c r="DS332" s="120"/>
      <c r="DT332" s="120"/>
      <c r="DU332" s="120"/>
      <c r="DV332" s="120"/>
      <c r="DW332" s="120"/>
      <c r="DX332" s="120"/>
      <c r="DY332" s="120"/>
      <c r="DZ332" s="120"/>
      <c r="EA332" s="120"/>
      <c r="EB332" s="120"/>
      <c r="EC332" s="120"/>
      <c r="ED332" s="120"/>
      <c r="EE332" s="120"/>
      <c r="EF332" s="120"/>
      <c r="EG332" s="120"/>
      <c r="EH332" s="120"/>
      <c r="EI332" s="120"/>
      <c r="EJ332" s="120"/>
      <c r="EK332" s="120"/>
      <c r="EL332" s="120"/>
      <c r="EM332" s="120"/>
      <c r="EN332" s="120"/>
      <c r="EO332" s="120"/>
      <c r="EP332" s="120"/>
      <c r="EQ332" s="120"/>
      <c r="ER332" s="120"/>
      <c r="ES332" s="120"/>
      <c r="ET332" s="120"/>
      <c r="EU332" s="120"/>
      <c r="EV332" s="120"/>
      <c r="EW332" s="120"/>
      <c r="EX332" s="120"/>
      <c r="EY332" s="120"/>
    </row>
    <row r="333">
      <c r="A333" s="112" t="s">
        <v>17</v>
      </c>
      <c r="B333" s="112" t="s">
        <v>87</v>
      </c>
      <c r="C333" s="112" t="s">
        <v>409</v>
      </c>
      <c r="D333" s="113">
        <f t="shared" si="1"/>
        <v>569.8818</v>
      </c>
      <c r="E333" s="114">
        <v>100.72285</v>
      </c>
      <c r="F333" s="114"/>
      <c r="G333" s="114"/>
      <c r="H333" s="114"/>
      <c r="I333" s="114"/>
      <c r="J333" s="114"/>
      <c r="K333" s="114"/>
      <c r="L333" s="114">
        <v>1.40378333333333</v>
      </c>
      <c r="M333" s="114"/>
      <c r="N333" s="114"/>
      <c r="O333" s="114">
        <v>17.1661</v>
      </c>
      <c r="P333" s="112"/>
      <c r="Q333" s="112"/>
      <c r="R333" s="112">
        <v>104.10075</v>
      </c>
      <c r="S333" s="112"/>
      <c r="T333" s="112"/>
      <c r="U333" s="112"/>
      <c r="V333" s="112"/>
      <c r="W333" s="112"/>
      <c r="X333" s="112">
        <v>1.06081666666667</v>
      </c>
      <c r="Y333" s="112">
        <v>33.44365</v>
      </c>
      <c r="Z333" s="112"/>
      <c r="AA333" s="113"/>
      <c r="AB333" s="112"/>
      <c r="AC333" s="112"/>
      <c r="AD333" s="112"/>
      <c r="AE333" s="112">
        <v>0.748366666666667</v>
      </c>
      <c r="AF333" s="112"/>
      <c r="AG333" s="112"/>
      <c r="AH333" s="112">
        <v>180.588816666667</v>
      </c>
      <c r="AI333" s="112"/>
      <c r="AJ333" s="112"/>
      <c r="AK333" s="112"/>
      <c r="AL333" s="113"/>
      <c r="AM333" s="112"/>
      <c r="AN333" s="112">
        <v>1.55656666666667</v>
      </c>
      <c r="AO333" s="112">
        <v>33.20465</v>
      </c>
      <c r="AP333" s="112"/>
      <c r="AQ333" s="113"/>
      <c r="AR333" s="112"/>
      <c r="AS333" s="112">
        <v>2.38953333333333</v>
      </c>
      <c r="AT333" s="112">
        <v>48.682</v>
      </c>
      <c r="AU333" s="112"/>
      <c r="AV333" s="112"/>
      <c r="AW333" s="112">
        <v>1.11178333333333</v>
      </c>
      <c r="AX333" s="112">
        <v>42.4413166666667</v>
      </c>
      <c r="AY333" s="113"/>
      <c r="AZ333" s="112">
        <v>1.1012</v>
      </c>
      <c r="BA333" s="112">
        <v>0.159616666666667</v>
      </c>
      <c r="BB333" s="113"/>
      <c r="BC333" s="113"/>
      <c r="BD333" s="113"/>
      <c r="BE333" s="113"/>
      <c r="BF333" s="113"/>
      <c r="BG333" s="113"/>
      <c r="BH333" s="113"/>
      <c r="BI333" s="113"/>
      <c r="BJ333" s="113"/>
      <c r="BK333" s="113"/>
      <c r="BL333" s="113"/>
      <c r="BM333" s="113"/>
      <c r="BN333" s="113"/>
      <c r="BO333" s="113"/>
      <c r="BP333" s="113"/>
      <c r="BQ333" s="113"/>
      <c r="BR333" s="113"/>
      <c r="BS333" s="113"/>
      <c r="BT333" s="113"/>
      <c r="BU333" s="113"/>
      <c r="BV333" s="113"/>
      <c r="BW333" s="113"/>
      <c r="BX333" s="113"/>
      <c r="BY333" s="113"/>
      <c r="BZ333" s="113"/>
      <c r="CA333" s="113"/>
      <c r="CB333" s="113"/>
      <c r="CC333" s="113"/>
      <c r="CD333" s="113"/>
      <c r="CE333" s="113"/>
      <c r="CF333" s="113"/>
      <c r="CG333" s="113"/>
      <c r="CH333" s="113"/>
      <c r="CI333" s="113"/>
      <c r="CJ333" s="113"/>
      <c r="CK333" s="113"/>
      <c r="CL333" s="113"/>
      <c r="CM333" s="113"/>
      <c r="CN333" s="113"/>
      <c r="CO333" s="113"/>
      <c r="CP333" s="113"/>
      <c r="CQ333" s="113"/>
      <c r="CR333" s="113"/>
      <c r="CS333" s="113"/>
      <c r="CT333" s="113"/>
      <c r="CU333" s="113"/>
      <c r="CV333" s="113"/>
      <c r="CW333" s="113"/>
      <c r="CX333" s="113"/>
      <c r="CY333" s="113"/>
      <c r="CZ333" s="113"/>
      <c r="DA333" s="113"/>
      <c r="DB333" s="113"/>
      <c r="DC333" s="113"/>
      <c r="DD333" s="113"/>
      <c r="DE333" s="113"/>
      <c r="DF333" s="113"/>
      <c r="DG333" s="113"/>
      <c r="DH333" s="113"/>
      <c r="DI333" s="113"/>
      <c r="DJ333" s="113"/>
      <c r="DK333" s="113"/>
      <c r="DL333" s="113"/>
      <c r="DM333" s="113"/>
      <c r="DN333" s="113"/>
      <c r="DO333" s="113"/>
      <c r="DP333" s="113"/>
      <c r="DQ333" s="113"/>
      <c r="DR333" s="113"/>
      <c r="DS333" s="113"/>
      <c r="DT333" s="113"/>
      <c r="DU333" s="113"/>
      <c r="DV333" s="113"/>
      <c r="DW333" s="113"/>
      <c r="DX333" s="113"/>
      <c r="DY333" s="113"/>
      <c r="DZ333" s="113"/>
      <c r="EA333" s="113"/>
      <c r="EB333" s="113"/>
      <c r="EC333" s="113"/>
      <c r="ED333" s="113"/>
      <c r="EE333" s="113"/>
      <c r="EF333" s="113"/>
      <c r="EG333" s="113"/>
      <c r="EH333" s="113"/>
      <c r="EI333" s="113"/>
      <c r="EJ333" s="113"/>
      <c r="EK333" s="113"/>
      <c r="EL333" s="113"/>
      <c r="EM333" s="113"/>
      <c r="EN333" s="113"/>
      <c r="EO333" s="113"/>
      <c r="EP333" s="113"/>
      <c r="EQ333" s="113"/>
      <c r="ER333" s="113"/>
      <c r="ES333" s="113"/>
      <c r="ET333" s="113"/>
      <c r="EU333" s="113"/>
      <c r="EV333" s="113"/>
      <c r="EW333" s="113"/>
      <c r="EX333" s="113"/>
      <c r="EY333" s="113"/>
    </row>
    <row r="334">
      <c r="A334" s="65" t="s">
        <v>17</v>
      </c>
      <c r="B334" s="65" t="s">
        <v>87</v>
      </c>
      <c r="C334" s="65" t="s">
        <v>410</v>
      </c>
      <c r="D334" s="64">
        <f t="shared" si="1"/>
        <v>505.91005</v>
      </c>
      <c r="E334" s="115"/>
      <c r="F334" s="104"/>
      <c r="G334" s="104">
        <v>0.867466666666667</v>
      </c>
      <c r="H334" s="104">
        <v>24.0391666666667</v>
      </c>
      <c r="I334" s="104">
        <v>52.9477833333334</v>
      </c>
      <c r="J334" s="104">
        <v>0.7787</v>
      </c>
      <c r="K334" s="104">
        <v>13.5241</v>
      </c>
      <c r="L334" s="104"/>
      <c r="M334" s="104"/>
      <c r="N334" s="104">
        <v>0.867466666666667</v>
      </c>
      <c r="O334" s="104"/>
      <c r="P334" s="65">
        <v>4.65068333333333</v>
      </c>
      <c r="Q334" s="65"/>
      <c r="R334" s="65"/>
      <c r="S334" s="65"/>
      <c r="T334" s="65">
        <v>6.5911</v>
      </c>
      <c r="U334" s="65">
        <v>35.0973666666667</v>
      </c>
      <c r="V334" s="65">
        <v>33.5862</v>
      </c>
      <c r="W334" s="65">
        <v>20.2519333333333</v>
      </c>
      <c r="X334" s="65"/>
      <c r="Y334" s="65"/>
      <c r="Z334" s="65"/>
      <c r="AA334" s="65">
        <v>2.53248333333333</v>
      </c>
      <c r="AB334" s="65">
        <v>15.9684833333333</v>
      </c>
      <c r="AC334" s="65">
        <v>12.9067666666667</v>
      </c>
      <c r="AD334" s="65">
        <v>1.56005</v>
      </c>
      <c r="AE334" s="65"/>
      <c r="AF334" s="65"/>
      <c r="AG334" s="65">
        <v>2.53248333333333</v>
      </c>
      <c r="AH334" s="65"/>
      <c r="AI334" s="65"/>
      <c r="AJ334" s="65">
        <v>10.3419166666667</v>
      </c>
      <c r="AK334" s="65">
        <v>75.0587166666667</v>
      </c>
      <c r="AL334" s="65">
        <v>67.61585</v>
      </c>
      <c r="AM334" s="65">
        <v>23.2586</v>
      </c>
      <c r="AN334" s="65"/>
      <c r="AP334" s="65">
        <v>23.08655</v>
      </c>
      <c r="AQ334" s="65">
        <v>1.76195</v>
      </c>
      <c r="AR334" s="65"/>
      <c r="AT334" s="65"/>
      <c r="AU334" s="65">
        <v>36.0525</v>
      </c>
      <c r="AV334" s="65">
        <v>2.16311666666667</v>
      </c>
      <c r="AY334" s="65">
        <v>37.8686166666667</v>
      </c>
    </row>
    <row r="335">
      <c r="A335" s="65" t="s">
        <v>17</v>
      </c>
      <c r="B335" s="65" t="s">
        <v>87</v>
      </c>
      <c r="C335" s="65" t="s">
        <v>411</v>
      </c>
      <c r="D335" s="64">
        <f t="shared" si="1"/>
        <v>0</v>
      </c>
      <c r="E335" s="115"/>
      <c r="F335" s="115"/>
      <c r="G335" s="115"/>
      <c r="H335" s="115"/>
      <c r="I335" s="115"/>
      <c r="J335" s="115"/>
      <c r="K335" s="115"/>
      <c r="L335" s="115"/>
      <c r="M335" s="115"/>
      <c r="N335" s="115"/>
      <c r="O335" s="115"/>
    </row>
    <row r="336">
      <c r="A336" s="65" t="s">
        <v>17</v>
      </c>
      <c r="B336" s="65" t="s">
        <v>87</v>
      </c>
      <c r="C336" s="65" t="s">
        <v>412</v>
      </c>
      <c r="D336" s="64">
        <f t="shared" si="1"/>
        <v>501.4372167</v>
      </c>
      <c r="E336" s="115"/>
      <c r="F336" s="115"/>
      <c r="G336" s="116">
        <f>HYPERLINK("https://docs.google.com/spreadsheets/d/1ygR_PbEWKDzg-sQL53gJsVzetdkvrQGD", 0.867466666666667)</f>
        <v>0.8674666667</v>
      </c>
      <c r="H336" s="116">
        <f>HYPERLINK("https://docs.google.com/spreadsheets/d/1JGDIs0ByeP2Pa1jtCFz9K5WczWMT59T4", 24.0391333333333)</f>
        <v>24.03913333</v>
      </c>
      <c r="I336" s="116">
        <f>HYPERLINK("https://docs.google.com/spreadsheets/d/1s2nu5TBBm1G3ExM_tXBaGE8xGDMA09vN", 52.5016666666667)</f>
        <v>52.50166667</v>
      </c>
      <c r="J336" s="116">
        <f>HYPERLINK("https://docs.google.com/spreadsheets/d/1i3mI114VUwO1peg1MtPRdwR2JvbMW7IF", 0.45425)</f>
        <v>0.45425</v>
      </c>
      <c r="K336" s="116">
        <f>HYPERLINK("https://docs.google.com/spreadsheets/d/1oj-kLJkIpEdoBCfaWbUQr6ECjSCZBaYP", 13.3547166666667)</f>
        <v>13.35471667</v>
      </c>
      <c r="L336" s="115"/>
      <c r="M336" s="115"/>
      <c r="N336" s="115"/>
      <c r="O336" s="115"/>
      <c r="P336" s="118">
        <f>HYPERLINK("https://docs.google.com/spreadsheets/d/1HKCF6gtdTea3123-Kn4ryNsTsCTPYhYk", 4.65068333333333)</f>
        <v>4.650683333</v>
      </c>
      <c r="T336" s="118">
        <f>HYPERLINK("https://docs.google.com/spreadsheets/d/1WfR1ICEj6RVUOCbnkzpYCPDsqMYSPO8_", 6.5911)</f>
        <v>6.5911</v>
      </c>
      <c r="U336" s="118">
        <f>HYPERLINK("https://docs.google.com/spreadsheets/d/1H_OcueHwsRLZTZXxc4QNX8eO74KBisxw", 35.0973333333333)</f>
        <v>35.09733333</v>
      </c>
      <c r="V336" s="118">
        <f>HYPERLINK("https://docs.google.com/spreadsheets/d/1-gCONZ4g4B7ZR6W6VuFPo-SujYENH4yZ", 33.5861666666667)</f>
        <v>33.58616667</v>
      </c>
      <c r="W336" s="118">
        <f>HYPERLINK("https://docs.google.com/spreadsheets/d/1xV9TpqWDUjNx-wiHg0q1Ye-amg667xiN", 20.2519333333333)</f>
        <v>20.25193333</v>
      </c>
      <c r="AA336" s="118">
        <f>HYPERLINK("https://docs.google.com/spreadsheets/d/12roTqfaKYJjHDs8jtXUOeTgkbxQnl1_z", 2.53248333333333)</f>
        <v>2.532483333</v>
      </c>
      <c r="AB336" s="118">
        <f>HYPERLINK("https://docs.google.com/spreadsheets/d/1-YZkLE8sz_fK8zpVTKq87nWsu1cejArf", 15.9684833333333)</f>
        <v>15.96848333</v>
      </c>
      <c r="AC336" s="118">
        <f>HYPERLINK("https://docs.google.com/spreadsheets/d/1itJQ4thVruNXaxGESW4eGVMVLpsO9jzs", 12.9067833333333)</f>
        <v>12.90678333</v>
      </c>
      <c r="AD336" s="118">
        <f>HYPERLINK("https://docs.google.com/spreadsheets/d/1eyHZ7734bWTqcnGlxpe_Srqj9f9Mgii-", 1.56005)</f>
        <v>1.56005</v>
      </c>
      <c r="AJ336" s="118">
        <f>HYPERLINK("https://docs.google.com/spreadsheets/d/1BGAZpeqJZi8zBmG6llMvgjwZA-5MxWjv", 10.3419166666667)</f>
        <v>10.34191667</v>
      </c>
      <c r="AK336" s="118">
        <f>HYPERLINK("https://docs.google.com/spreadsheets/d/1pP7umYmWjRxs19OYij6rDPxRoOzfoORs", 75.0586666666667)</f>
        <v>75.05866667</v>
      </c>
      <c r="AL336" s="118">
        <f>HYPERLINK("https://docs.google.com/spreadsheets/d/1d2hUUeQbI9k0sVHxV1cHr4ilik5AavLh", 67.6158333333333)</f>
        <v>67.61583333</v>
      </c>
      <c r="AM336" s="118">
        <f>HYPERLINK("https://docs.google.com/spreadsheets/d/1iI0lG0ySg4GhtSilQFCG3VZGRgeZAF4c", 23.1259)</f>
        <v>23.1259</v>
      </c>
      <c r="AP336" s="118">
        <f>HYPERLINK("https://docs.google.com/spreadsheets/d/1nFoR3dLoLrxZrZ5pcPv7UFTjflMK_pD8", 23.0865166666667)</f>
        <v>23.08651667</v>
      </c>
      <c r="AQ336" s="118">
        <f>HYPERLINK("https://docs.google.com/spreadsheets/d/1PkkpZfcu_xLgOMv67yKrtlqNtD6WreQ-", 1.76195)</f>
        <v>1.76195</v>
      </c>
      <c r="AU336" s="118">
        <f>HYPERLINK("https://docs.google.com/spreadsheets/d/1mIGl_tmaZcNKQCFApumqRIUX0S9R4CjU", 36.05245)</f>
        <v>36.05245</v>
      </c>
      <c r="AV336" s="118">
        <f>HYPERLINK("https://docs.google.com/spreadsheets/d/1C846L9vqSFUMvC8kA3Em8H_gvwO3papu", 2.16311666666667)</f>
        <v>2.163116667</v>
      </c>
      <c r="AY336" s="118">
        <f>HYPERLINK("https://docs.google.com/spreadsheets/d/1HWj6FbyAa4x6-NXRFldrUmpPo7Ni9EBT", 37.8686166666667)</f>
        <v>37.86861667</v>
      </c>
    </row>
    <row r="337">
      <c r="A337" s="65" t="s">
        <v>17</v>
      </c>
      <c r="B337" s="65" t="s">
        <v>87</v>
      </c>
      <c r="C337" s="65" t="s">
        <v>413</v>
      </c>
      <c r="D337" s="64">
        <f t="shared" si="1"/>
        <v>247.1427167</v>
      </c>
      <c r="E337" s="115"/>
      <c r="F337" s="115"/>
      <c r="G337" s="104">
        <v>0.0</v>
      </c>
      <c r="H337" s="104">
        <v>7.37248333333334</v>
      </c>
      <c r="I337" s="104">
        <v>32.0741</v>
      </c>
      <c r="J337" s="104">
        <v>0.0</v>
      </c>
      <c r="K337" s="104">
        <v>13.3547166666667</v>
      </c>
      <c r="L337" s="104"/>
      <c r="M337" s="104"/>
      <c r="N337" s="104"/>
      <c r="O337" s="104"/>
      <c r="P337" s="65">
        <v>4.41425</v>
      </c>
      <c r="Q337" s="65"/>
      <c r="R337" s="65"/>
      <c r="S337" s="65"/>
      <c r="T337" s="65">
        <v>6.1244</v>
      </c>
      <c r="U337" s="65">
        <v>7.51713333333334</v>
      </c>
      <c r="V337" s="65">
        <v>9.84269999999999</v>
      </c>
      <c r="W337" s="65">
        <v>17.7141333333333</v>
      </c>
      <c r="X337" s="65"/>
      <c r="Y337" s="65"/>
      <c r="Z337" s="65"/>
      <c r="AA337" s="65">
        <v>1.48665</v>
      </c>
      <c r="AB337" s="65">
        <v>3.09438333333332</v>
      </c>
      <c r="AC337" s="65">
        <v>3.826</v>
      </c>
      <c r="AD337" s="65">
        <v>0.0</v>
      </c>
      <c r="AE337" s="65"/>
      <c r="AF337" s="65"/>
      <c r="AG337" s="65"/>
      <c r="AH337" s="65"/>
      <c r="AI337" s="65"/>
      <c r="AJ337" s="65">
        <v>9.55818333333333</v>
      </c>
      <c r="AK337" s="65">
        <v>18.6682166666666</v>
      </c>
      <c r="AL337" s="65">
        <v>30.73285</v>
      </c>
      <c r="AM337" s="65">
        <v>19.9244166666667</v>
      </c>
      <c r="AN337" s="65"/>
      <c r="AP337" s="65">
        <v>19.5671333333333</v>
      </c>
      <c r="AQ337" s="65">
        <v>0.0</v>
      </c>
      <c r="AR337" s="65"/>
      <c r="AT337" s="65"/>
      <c r="AU337" s="65">
        <v>14.15985</v>
      </c>
      <c r="AV337" s="65">
        <v>0.433633333333334</v>
      </c>
      <c r="AY337" s="65">
        <v>27.2774833333333</v>
      </c>
    </row>
    <row r="338">
      <c r="A338" s="119" t="s">
        <v>17</v>
      </c>
      <c r="B338" s="119" t="s">
        <v>87</v>
      </c>
      <c r="C338" s="119" t="s">
        <v>414</v>
      </c>
      <c r="D338" s="120">
        <f t="shared" si="1"/>
        <v>36.05245</v>
      </c>
      <c r="E338" s="121"/>
      <c r="F338" s="121"/>
      <c r="G338" s="122">
        <f>HYPERLINK("https://docs.google.com/spreadsheets/d/1ygR_PbEWKDzg-sQL53gJsVzetdkvrQGD", 0)</f>
        <v>0</v>
      </c>
      <c r="H338" s="122">
        <f>HYPERLINK("https://docs.google.com/spreadsheets/d/1JGDIs0ByeP2Pa1jtCFz9K5WczWMT59T4", 0)</f>
        <v>0</v>
      </c>
      <c r="I338" s="122">
        <f>HYPERLINK("https://docs.google.com/spreadsheets/d/1s2nu5TBBm1G3ExM_tXBaGE8xGDMA09vN", 0)</f>
        <v>0</v>
      </c>
      <c r="J338" s="122">
        <f>HYPERLINK("https://docs.google.com/spreadsheets/d/1i3mI114VUwO1peg1MtPRdwR2JvbMW7IF", 0)</f>
        <v>0</v>
      </c>
      <c r="K338" s="122">
        <f>HYPERLINK("https://docs.google.com/spreadsheets/d/1oj-kLJkIpEdoBCfaWbUQr6ECjSCZBaYP", 0)</f>
        <v>0</v>
      </c>
      <c r="L338" s="121"/>
      <c r="M338" s="121"/>
      <c r="N338" s="123"/>
      <c r="O338" s="121"/>
      <c r="P338" s="124">
        <f>HYPERLINK("https://docs.google.com/spreadsheets/d/1HKCF6gtdTea3123-Kn4ryNsTsCTPYhYk", 0)</f>
        <v>0</v>
      </c>
      <c r="Q338" s="120"/>
      <c r="R338" s="119"/>
      <c r="S338" s="120"/>
      <c r="T338" s="125">
        <f>HYPERLINK("https://docs.google.com/spreadsheets/d/1WfR1ICEj6RVUOCbnkzpYCPDsqMYSPO8_", 0)</f>
        <v>0</v>
      </c>
      <c r="U338" s="125">
        <f>HYPERLINK("https://docs.google.com/spreadsheets/d/1H_OcueHwsRLZTZXxc4QNX8eO74KBisxw", 0)</f>
        <v>0</v>
      </c>
      <c r="V338" s="124">
        <f>HYPERLINK("https://docs.google.com/spreadsheets/d/1-gCONZ4g4B7ZR6W6VuFPo-SujYENH4yZ", 0)</f>
        <v>0</v>
      </c>
      <c r="W338" s="124">
        <f>HYPERLINK("https://docs.google.com/spreadsheets/d/1xV9TpqWDUjNx-wiHg0q1Ye-amg667xiN", 0)</f>
        <v>0</v>
      </c>
      <c r="X338" s="120"/>
      <c r="Y338" s="119"/>
      <c r="Z338" s="120"/>
      <c r="AA338" s="124">
        <f>HYPERLINK("https://docs.google.com/spreadsheets/d/12roTqfaKYJjHDs8jtXUOeTgkbxQnl1_z", 0)</f>
        <v>0</v>
      </c>
      <c r="AB338" s="124">
        <f>HYPERLINK("https://docs.google.com/spreadsheets/d/1-YZkLE8sz_fK8zpVTKq87nWsu1cejArf", 0)</f>
        <v>0</v>
      </c>
      <c r="AC338" s="124">
        <f>HYPERLINK("https://docs.google.com/spreadsheets/d/1itJQ4thVruNXaxGESW4eGVMVLpsO9jzs", 0)</f>
        <v>0</v>
      </c>
      <c r="AD338" s="124">
        <f>HYPERLINK("https://docs.google.com/spreadsheets/d/1eyHZ7734bWTqcnGlxpe_Srqj9f9Mgii-", 0)</f>
        <v>0</v>
      </c>
      <c r="AE338" s="120"/>
      <c r="AF338" s="119"/>
      <c r="AG338" s="119"/>
      <c r="AH338" s="119"/>
      <c r="AI338" s="119"/>
      <c r="AJ338" s="124">
        <f>HYPERLINK("https://docs.google.com/spreadsheets/d/1BGAZpeqJZi8zBmG6llMvgjwZA-5MxWjv", 0)</f>
        <v>0</v>
      </c>
      <c r="AK338" s="124">
        <f>HYPERLINK("https://docs.google.com/spreadsheets/d/1pP7umYmWjRxs19OYij6rDPxRoOzfoORs", 0)</f>
        <v>0</v>
      </c>
      <c r="AL338" s="125">
        <f>HYPERLINK("https://docs.google.com/spreadsheets/d/1d2hUUeQbI9k0sVHxV1cHr4ilik5AavLh", 0)</f>
        <v>0</v>
      </c>
      <c r="AM338" s="124">
        <f>HYPERLINK("https://docs.google.com/spreadsheets/d/1iI0lG0ySg4GhtSilQFCG3VZGRgeZAF4c", 0)</f>
        <v>0</v>
      </c>
      <c r="AN338" s="120"/>
      <c r="AO338" s="120"/>
      <c r="AP338" s="124">
        <f>HYPERLINK("https://docs.google.com/spreadsheets/d/1nFoR3dLoLrxZrZ5pcPv7UFTjflMK_pD8", 0)</f>
        <v>0</v>
      </c>
      <c r="AQ338" s="125">
        <f>HYPERLINK("https://docs.google.com/spreadsheets/d/1PkkpZfcu_xLgOMv67yKrtlqNtD6WreQ-", 0)</f>
        <v>0</v>
      </c>
      <c r="AR338" s="119"/>
      <c r="AS338" s="120"/>
      <c r="AT338" s="120"/>
      <c r="AU338" s="125">
        <f>HYPERLINK("https://docs.google.com/spreadsheets/d/1mIGl_tmaZcNKQCFApumqRIUX0S9R4CjU", 36.05245)</f>
        <v>36.05245</v>
      </c>
      <c r="AV338" s="124">
        <f>HYPERLINK("https://docs.google.com/spreadsheets/d/1C846L9vqSFUMvC8kA3Em8H_gvwO3papu", 0)</f>
        <v>0</v>
      </c>
      <c r="AW338" s="120"/>
      <c r="AX338" s="120"/>
      <c r="AY338" s="124">
        <f>HYPERLINK("https://docs.google.com/spreadsheets/d/1HWj6FbyAa4x6-NXRFldrUmpPo7Ni9EBT", 0)</f>
        <v>0</v>
      </c>
      <c r="AZ338" s="120"/>
      <c r="BA338" s="120"/>
      <c r="BB338" s="120"/>
      <c r="BC338" s="120"/>
      <c r="BD338" s="120"/>
      <c r="BE338" s="120"/>
      <c r="BF338" s="120"/>
      <c r="BG338" s="120"/>
      <c r="BH338" s="120"/>
      <c r="BI338" s="120"/>
      <c r="BJ338" s="120"/>
      <c r="BK338" s="120"/>
      <c r="BL338" s="120"/>
      <c r="BM338" s="120"/>
      <c r="BN338" s="120"/>
      <c r="BO338" s="120"/>
      <c r="BP338" s="120"/>
      <c r="BQ338" s="120"/>
      <c r="BR338" s="120"/>
      <c r="BS338" s="120"/>
      <c r="BT338" s="120"/>
      <c r="BU338" s="120"/>
      <c r="BV338" s="120"/>
      <c r="BW338" s="120"/>
      <c r="BX338" s="120"/>
      <c r="BY338" s="120"/>
      <c r="BZ338" s="120"/>
      <c r="CA338" s="120"/>
      <c r="CB338" s="120"/>
      <c r="CC338" s="120"/>
      <c r="CD338" s="120"/>
      <c r="CE338" s="120"/>
      <c r="CF338" s="120"/>
      <c r="CG338" s="120"/>
      <c r="CH338" s="120"/>
      <c r="CI338" s="120"/>
      <c r="CJ338" s="120"/>
      <c r="CK338" s="120"/>
      <c r="CL338" s="120"/>
      <c r="CM338" s="120"/>
      <c r="CN338" s="120"/>
      <c r="CO338" s="120"/>
      <c r="CP338" s="120"/>
      <c r="CQ338" s="120"/>
      <c r="CR338" s="120"/>
      <c r="CS338" s="120"/>
      <c r="CT338" s="120"/>
      <c r="CU338" s="120"/>
      <c r="CV338" s="120"/>
      <c r="CW338" s="120"/>
      <c r="CX338" s="120"/>
      <c r="CY338" s="120"/>
      <c r="CZ338" s="120"/>
      <c r="DA338" s="120"/>
      <c r="DB338" s="120"/>
      <c r="DC338" s="120"/>
      <c r="DD338" s="120"/>
      <c r="DE338" s="120"/>
      <c r="DF338" s="120"/>
      <c r="DG338" s="120"/>
      <c r="DH338" s="120"/>
      <c r="DI338" s="120"/>
      <c r="DJ338" s="120"/>
      <c r="DK338" s="120"/>
      <c r="DL338" s="120"/>
      <c r="DM338" s="120"/>
      <c r="DN338" s="120"/>
      <c r="DO338" s="120"/>
      <c r="DP338" s="120"/>
      <c r="DQ338" s="120"/>
      <c r="DR338" s="120"/>
      <c r="DS338" s="120"/>
      <c r="DT338" s="120"/>
      <c r="DU338" s="120"/>
      <c r="DV338" s="120"/>
      <c r="DW338" s="120"/>
      <c r="DX338" s="120"/>
      <c r="DY338" s="120"/>
      <c r="DZ338" s="120"/>
      <c r="EA338" s="120"/>
      <c r="EB338" s="120"/>
      <c r="EC338" s="120"/>
      <c r="ED338" s="120"/>
      <c r="EE338" s="120"/>
      <c r="EF338" s="120"/>
      <c r="EG338" s="120"/>
      <c r="EH338" s="120"/>
      <c r="EI338" s="120"/>
      <c r="EJ338" s="120"/>
      <c r="EK338" s="120"/>
      <c r="EL338" s="120"/>
      <c r="EM338" s="120"/>
      <c r="EN338" s="120"/>
      <c r="EO338" s="120"/>
      <c r="EP338" s="120"/>
      <c r="EQ338" s="120"/>
      <c r="ER338" s="120"/>
      <c r="ES338" s="120"/>
      <c r="ET338" s="120"/>
      <c r="EU338" s="120"/>
      <c r="EV338" s="120"/>
      <c r="EW338" s="120"/>
      <c r="EX338" s="120"/>
      <c r="EY338" s="120"/>
    </row>
    <row r="339">
      <c r="A339" s="112" t="s">
        <v>88</v>
      </c>
      <c r="B339" s="112" t="s">
        <v>89</v>
      </c>
      <c r="C339" s="112" t="s">
        <v>409</v>
      </c>
      <c r="D339" s="113">
        <f t="shared" si="1"/>
        <v>611.08545</v>
      </c>
      <c r="E339" s="114">
        <v>82.5991499999999</v>
      </c>
      <c r="F339" s="114"/>
      <c r="G339" s="114"/>
      <c r="H339" s="114"/>
      <c r="I339" s="114"/>
      <c r="J339" s="114"/>
      <c r="K339" s="114"/>
      <c r="L339" s="114">
        <v>1.50491666666667</v>
      </c>
      <c r="M339" s="114"/>
      <c r="N339" s="114"/>
      <c r="O339" s="114">
        <v>4.5858</v>
      </c>
      <c r="P339" s="112"/>
      <c r="Q339" s="112"/>
      <c r="R339" s="112">
        <v>40.3772166666666</v>
      </c>
      <c r="S339" s="112"/>
      <c r="T339" s="112"/>
      <c r="U339" s="112"/>
      <c r="V339" s="112"/>
      <c r="W339" s="112"/>
      <c r="X339" s="112">
        <v>0.49625</v>
      </c>
      <c r="Y339" s="112">
        <v>34.1907</v>
      </c>
      <c r="Z339" s="112"/>
      <c r="AA339" s="113"/>
      <c r="AB339" s="112"/>
      <c r="AC339" s="112"/>
      <c r="AD339" s="112"/>
      <c r="AE339" s="112">
        <v>1.76528333333333</v>
      </c>
      <c r="AF339" s="112"/>
      <c r="AG339" s="112"/>
      <c r="AH339" s="112">
        <v>68.5347000000001</v>
      </c>
      <c r="AI339" s="112"/>
      <c r="AJ339" s="112"/>
      <c r="AK339" s="112"/>
      <c r="AL339" s="113"/>
      <c r="AM339" s="112"/>
      <c r="AN339" s="112">
        <v>0.730383333333333</v>
      </c>
      <c r="AO339" s="112">
        <v>136.313083333333</v>
      </c>
      <c r="AP339" s="112"/>
      <c r="AQ339" s="113"/>
      <c r="AR339" s="112"/>
      <c r="AS339" s="112">
        <v>2.77346666666667</v>
      </c>
      <c r="AT339" s="112">
        <v>64.9132000000001</v>
      </c>
      <c r="AU339" s="112"/>
      <c r="AV339" s="112"/>
      <c r="AW339" s="112">
        <v>3.98676666666667</v>
      </c>
      <c r="AX339" s="112">
        <v>161.54945</v>
      </c>
      <c r="AY339" s="113"/>
      <c r="AZ339" s="112">
        <v>6.45511666666667</v>
      </c>
      <c r="BA339" s="112">
        <v>0.309966666666667</v>
      </c>
      <c r="BB339" s="113"/>
      <c r="BC339" s="113"/>
      <c r="BD339" s="113"/>
      <c r="BE339" s="113"/>
      <c r="BF339" s="113"/>
      <c r="BG339" s="113"/>
      <c r="BH339" s="113"/>
      <c r="BI339" s="113"/>
      <c r="BJ339" s="113"/>
      <c r="BK339" s="113"/>
      <c r="BL339" s="113"/>
      <c r="BM339" s="113"/>
      <c r="BN339" s="113"/>
      <c r="BO339" s="113"/>
      <c r="BP339" s="113"/>
      <c r="BQ339" s="113"/>
      <c r="BR339" s="113"/>
      <c r="BS339" s="113"/>
      <c r="BT339" s="113"/>
      <c r="BU339" s="113"/>
      <c r="BV339" s="113"/>
      <c r="BW339" s="113"/>
      <c r="BX339" s="113"/>
      <c r="BY339" s="113"/>
      <c r="BZ339" s="113"/>
      <c r="CA339" s="113"/>
      <c r="CB339" s="113"/>
      <c r="CC339" s="113"/>
      <c r="CD339" s="113"/>
      <c r="CE339" s="113"/>
      <c r="CF339" s="113"/>
      <c r="CG339" s="113"/>
      <c r="CH339" s="113"/>
      <c r="CI339" s="113"/>
      <c r="CJ339" s="113"/>
      <c r="CK339" s="113"/>
      <c r="CL339" s="113"/>
      <c r="CM339" s="113"/>
      <c r="CN339" s="113"/>
      <c r="CO339" s="113"/>
      <c r="CP339" s="113"/>
      <c r="CQ339" s="113"/>
      <c r="CR339" s="113"/>
      <c r="CS339" s="113"/>
      <c r="CT339" s="113"/>
      <c r="CU339" s="113"/>
      <c r="CV339" s="113"/>
      <c r="CW339" s="113"/>
      <c r="CX339" s="113"/>
      <c r="CY339" s="113"/>
      <c r="CZ339" s="113"/>
      <c r="DA339" s="113"/>
      <c r="DB339" s="113"/>
      <c r="DC339" s="113"/>
      <c r="DD339" s="113"/>
      <c r="DE339" s="113"/>
      <c r="DF339" s="113"/>
      <c r="DG339" s="113"/>
      <c r="DH339" s="113"/>
      <c r="DI339" s="113"/>
      <c r="DJ339" s="113"/>
      <c r="DK339" s="113"/>
      <c r="DL339" s="113"/>
      <c r="DM339" s="113"/>
      <c r="DN339" s="113"/>
      <c r="DO339" s="113"/>
      <c r="DP339" s="113"/>
      <c r="DQ339" s="113"/>
      <c r="DR339" s="113"/>
      <c r="DS339" s="113"/>
      <c r="DT339" s="113"/>
      <c r="DU339" s="113"/>
      <c r="DV339" s="113"/>
      <c r="DW339" s="113"/>
      <c r="DX339" s="113"/>
      <c r="DY339" s="113"/>
      <c r="DZ339" s="113"/>
      <c r="EA339" s="113"/>
      <c r="EB339" s="113"/>
      <c r="EC339" s="113"/>
      <c r="ED339" s="113"/>
      <c r="EE339" s="113"/>
      <c r="EF339" s="113"/>
      <c r="EG339" s="113"/>
      <c r="EH339" s="113"/>
      <c r="EI339" s="113"/>
      <c r="EJ339" s="113"/>
      <c r="EK339" s="113"/>
      <c r="EL339" s="113"/>
      <c r="EM339" s="113"/>
      <c r="EN339" s="113"/>
      <c r="EO339" s="113"/>
      <c r="EP339" s="113"/>
      <c r="EQ339" s="113"/>
      <c r="ER339" s="113"/>
      <c r="ES339" s="113"/>
      <c r="ET339" s="113"/>
      <c r="EU339" s="113"/>
      <c r="EV339" s="113"/>
      <c r="EW339" s="113"/>
      <c r="EX339" s="113"/>
      <c r="EY339" s="113"/>
    </row>
    <row r="340">
      <c r="A340" s="65" t="s">
        <v>88</v>
      </c>
      <c r="B340" s="65" t="s">
        <v>89</v>
      </c>
      <c r="C340" s="65" t="s">
        <v>410</v>
      </c>
      <c r="D340" s="64">
        <f t="shared" si="1"/>
        <v>571.3338167</v>
      </c>
      <c r="E340" s="104"/>
      <c r="F340" s="104"/>
      <c r="G340" s="104">
        <v>60.4164333333333</v>
      </c>
      <c r="H340" s="104">
        <v>6.01135</v>
      </c>
      <c r="I340" s="104">
        <v>1.94343333333333</v>
      </c>
      <c r="J340" s="104">
        <v>0.2157</v>
      </c>
      <c r="K340" s="104">
        <v>6.26616666666666</v>
      </c>
      <c r="L340" s="104"/>
      <c r="M340" s="104"/>
      <c r="N340" s="104">
        <v>60.4164333333333</v>
      </c>
      <c r="O340" s="104"/>
      <c r="P340" s="65">
        <v>4.5858</v>
      </c>
      <c r="Q340" s="65"/>
      <c r="R340" s="65"/>
      <c r="S340" s="65"/>
      <c r="T340" s="65">
        <v>23.74445</v>
      </c>
      <c r="U340" s="65">
        <v>1.35726666666667</v>
      </c>
      <c r="V340" s="65">
        <v>0.93055</v>
      </c>
      <c r="W340" s="65">
        <v>12.12655</v>
      </c>
      <c r="X340" s="65"/>
      <c r="Y340" s="65"/>
      <c r="Z340" s="65"/>
      <c r="AA340" s="65">
        <v>20.1542666666667</v>
      </c>
      <c r="AB340" s="65">
        <v>4.90065</v>
      </c>
      <c r="AC340" s="65">
        <v>0.163316666666667</v>
      </c>
      <c r="AD340" s="65">
        <v>7.56058333333333</v>
      </c>
      <c r="AE340" s="65"/>
      <c r="AF340" s="65"/>
      <c r="AG340" s="65">
        <v>20.1542666666667</v>
      </c>
      <c r="AH340" s="65"/>
      <c r="AI340" s="65"/>
      <c r="AJ340" s="65">
        <v>37.6147666666667</v>
      </c>
      <c r="AK340" s="65">
        <v>10.5515666666667</v>
      </c>
      <c r="AL340" s="65">
        <v>1.68726666666667</v>
      </c>
      <c r="AM340" s="65">
        <v>17.18905</v>
      </c>
      <c r="AN340" s="65"/>
      <c r="AP340" s="65"/>
      <c r="AQ340" s="65">
        <v>21.2932333333333</v>
      </c>
      <c r="AR340" s="65">
        <v>68.4312833333334</v>
      </c>
      <c r="AT340" s="65"/>
      <c r="AU340" s="65"/>
      <c r="AV340" s="65">
        <v>44.0742833333334</v>
      </c>
      <c r="AY340" s="65">
        <v>139.54515</v>
      </c>
    </row>
    <row r="341">
      <c r="A341" s="65" t="s">
        <v>88</v>
      </c>
      <c r="B341" s="65" t="s">
        <v>89</v>
      </c>
      <c r="C341" s="65" t="s">
        <v>411</v>
      </c>
      <c r="D341" s="64">
        <f t="shared" si="1"/>
        <v>0</v>
      </c>
      <c r="E341" s="115"/>
      <c r="F341" s="115"/>
      <c r="G341" s="115"/>
      <c r="H341" s="115"/>
      <c r="I341" s="115"/>
      <c r="J341" s="115"/>
      <c r="K341" s="115"/>
      <c r="L341" s="115"/>
      <c r="M341" s="115"/>
      <c r="N341" s="115"/>
      <c r="O341" s="115"/>
    </row>
    <row r="342">
      <c r="A342" s="65" t="s">
        <v>88</v>
      </c>
      <c r="B342" s="65" t="s">
        <v>89</v>
      </c>
      <c r="C342" s="65" t="s">
        <v>412</v>
      </c>
      <c r="D342" s="64">
        <f t="shared" si="1"/>
        <v>479.37835</v>
      </c>
      <c r="E342" s="115"/>
      <c r="F342" s="104"/>
      <c r="G342" s="116">
        <f>HYPERLINK("https://docs.google.com/spreadsheets/d/13TOCXR-D-Yht0sCUiocTxKMWmKmwtGOR", 60.3418166666667)</f>
        <v>60.34181667</v>
      </c>
      <c r="H342" s="116">
        <f>HYPERLINK("https://docs.google.com/spreadsheets/d/1wD3-i5g5tZ2BQX4jzhdRFCRwjp9gv-gr", 5.79338333333333)</f>
        <v>5.793383333</v>
      </c>
      <c r="I342" s="117">
        <f>HYPERLINK("https://docs.google.com/spreadsheets/d/1zEMglkiUvXLKGXGL66sRH-u6xmPluFj-", 1.94345)</f>
        <v>1.94345</v>
      </c>
      <c r="J342" s="116">
        <f>HYPERLINK("https://docs.google.com/spreadsheets/d/1QGrxhfd-q1dQFY3J4pdSQ5aQQOUnIxlP", 0.2157)</f>
        <v>0.2157</v>
      </c>
      <c r="K342" s="117">
        <f>HYPERLINK("https://docs.google.com/spreadsheets/d/18IZ9SES66tzi15IbutQm8TgSl6q4M7ht", 6.26616666666666)</f>
        <v>6.266166667</v>
      </c>
      <c r="L342" s="115"/>
      <c r="M342" s="104"/>
      <c r="N342" s="115"/>
      <c r="O342" s="104"/>
      <c r="P342" s="118">
        <f>HYPERLINK("https://docs.google.com/spreadsheets/d/1CWUSJNQH7lQOPUjDQtne6j1DtoR3e1Er", 4.5858)</f>
        <v>4.5858</v>
      </c>
      <c r="T342" s="118">
        <f>HYPERLINK("https://docs.google.com/spreadsheets/d/1CqSAbxk2w9KGmF3yG0MhSZtwhyzGlzUO", 23.6450833333333)</f>
        <v>23.64508333</v>
      </c>
      <c r="U342" s="118">
        <f>HYPERLINK("https://docs.google.com/spreadsheets/d/1aEcx7VYBpmbjj0UyOYikllH2al9zyqgS", 1.35726666666667)</f>
        <v>1.357266667</v>
      </c>
      <c r="V342" s="118">
        <f>HYPERLINK("https://docs.google.com/spreadsheets/d/1IKfMN6wMsMvTcN1me8Eo4i2nO_ZKOqMi", 0.648816666666667)</f>
        <v>0.6488166667</v>
      </c>
      <c r="W342" s="118">
        <f>HYPERLINK("https://docs.google.com/spreadsheets/d/1lM4JdKLYEky-E4md856N9pjkaOLvnyFp", 11.96385)</f>
        <v>11.96385</v>
      </c>
      <c r="AA342" s="118">
        <f>HYPERLINK("https://docs.google.com/spreadsheets/d/1CzJsha7bwNlRVkBSoslOYq8dUjJX_v4R", 20.15425)</f>
        <v>20.15425</v>
      </c>
      <c r="AB342" s="118">
        <f>HYPERLINK("https://docs.google.com/spreadsheets/d/1SM8wRNmToM3hSEUdJ9O6zwx9zJYOO02O", 4.90063333333333)</f>
        <v>4.900633333</v>
      </c>
      <c r="AC342" s="118">
        <f>HYPERLINK("https://docs.google.com/spreadsheets/d/1QMgrBdLqqD2uM1KmhCh9DYumZ7xYezIv", 0.0891)</f>
        <v>0.0891</v>
      </c>
      <c r="AD342" s="118">
        <f>HYPERLINK("https://docs.google.com/spreadsheets/d/1LnpkWZOEmDZPpmWtc4HqIZsf-y5W6lxu", 7.5606)</f>
        <v>7.5606</v>
      </c>
      <c r="AJ342" s="118">
        <f>HYPERLINK("https://docs.google.com/spreadsheets/d/1euWYrP3lJ5fgARBUNE0gvtmJJYn9L3OU", 37.4221)</f>
        <v>37.4221</v>
      </c>
      <c r="AK342" s="118">
        <f>HYPERLINK("https://docs.google.com/spreadsheets/d/1UO7TkZDIibONjxNN0WvXwKGamwenCoHC", 10.5515666666667)</f>
        <v>10.55156667</v>
      </c>
      <c r="AL342" s="118">
        <f>HYPERLINK("https://docs.google.com/spreadsheets/d/1Vql--WYQzpNQPT9OnVGItpdHytfiLFCX", 1.68726666666667)</f>
        <v>1.687266667</v>
      </c>
      <c r="AM342" s="118">
        <f>HYPERLINK("https://docs.google.com/spreadsheets/d/16PBUGsIuXEixe0r-0pSwo2dt8biAdO8i", 17.18905)</f>
        <v>17.18905</v>
      </c>
      <c r="AQ342" s="118">
        <f>HYPERLINK("https://docs.google.com/spreadsheets/d/1aY6ak-sXFKH0S57GdrHmeqeqHgXW5sYS", 11.9348833333333)</f>
        <v>11.93488333</v>
      </c>
      <c r="AR342" s="118">
        <f>HYPERLINK("https://docs.google.com/spreadsheets/d/1UcpRlmdSpiEY1czszHf_t80KwpTArGKW", 68.1859833333334)</f>
        <v>68.18598333</v>
      </c>
      <c r="AV342" s="118">
        <f>HYPERLINK("https://docs.google.com/spreadsheets/d/1lq2-7sfFXJSmMZoWO4lDNQAUZpBZCrAi", 43.5824833333333)</f>
        <v>43.58248333</v>
      </c>
      <c r="AY342" s="118">
        <f>HYPERLINK("https://docs.google.com/spreadsheets/d/1QnqUxH1sIEiU479bl8daTJD5yD22_vcT", 139.3591)</f>
        <v>139.3591</v>
      </c>
    </row>
    <row r="343">
      <c r="A343" s="65" t="s">
        <v>88</v>
      </c>
      <c r="B343" s="65" t="s">
        <v>89</v>
      </c>
      <c r="C343" s="65" t="s">
        <v>413</v>
      </c>
      <c r="D343" s="64">
        <f t="shared" si="1"/>
        <v>324.2327667</v>
      </c>
      <c r="E343" s="115"/>
      <c r="F343" s="104"/>
      <c r="G343" s="104">
        <v>2.67120000000001</v>
      </c>
      <c r="H343" s="104">
        <v>0.324849999999998</v>
      </c>
      <c r="I343" s="104">
        <v>-2.22044604925031E-16</v>
      </c>
      <c r="J343" s="104">
        <v>0.0</v>
      </c>
      <c r="K343" s="104">
        <v>5.29975</v>
      </c>
      <c r="L343" s="104"/>
      <c r="M343" s="104"/>
      <c r="N343" s="104"/>
      <c r="O343" s="104"/>
      <c r="P343" s="65">
        <v>4.5858</v>
      </c>
      <c r="Q343" s="65"/>
      <c r="R343" s="65"/>
      <c r="S343" s="65"/>
      <c r="T343" s="65">
        <v>23.6450833333333</v>
      </c>
      <c r="U343" s="65">
        <v>0.0</v>
      </c>
      <c r="V343" s="65">
        <v>0.218833333333333</v>
      </c>
      <c r="W343" s="65">
        <v>11.96385</v>
      </c>
      <c r="X343" s="65"/>
      <c r="Y343" s="65"/>
      <c r="Z343" s="65"/>
      <c r="AA343" s="65">
        <v>11.86455</v>
      </c>
      <c r="AB343" s="65">
        <v>0.257000000000001</v>
      </c>
      <c r="AC343" s="65">
        <v>0.0</v>
      </c>
      <c r="AD343" s="65">
        <v>1.21545</v>
      </c>
      <c r="AE343" s="65"/>
      <c r="AF343" s="65"/>
      <c r="AG343" s="65"/>
      <c r="AH343" s="65"/>
      <c r="AI343" s="65"/>
      <c r="AJ343" s="65">
        <v>37.4221</v>
      </c>
      <c r="AK343" s="65">
        <v>1.53696666666666</v>
      </c>
      <c r="AL343" s="65">
        <v>0.3089</v>
      </c>
      <c r="AM343" s="65">
        <v>17.18905</v>
      </c>
      <c r="AN343" s="65"/>
      <c r="AP343" s="65"/>
      <c r="AQ343" s="65">
        <v>7.97148333333332</v>
      </c>
      <c r="AR343" s="65">
        <v>68.1859833333334</v>
      </c>
      <c r="AT343" s="65"/>
      <c r="AU343" s="65"/>
      <c r="AV343" s="65">
        <v>5.2403</v>
      </c>
      <c r="AY343" s="65">
        <v>124.331616666667</v>
      </c>
    </row>
    <row r="344">
      <c r="A344" s="119" t="s">
        <v>88</v>
      </c>
      <c r="B344" s="119" t="s">
        <v>89</v>
      </c>
      <c r="C344" s="119" t="s">
        <v>414</v>
      </c>
      <c r="D344" s="120">
        <f t="shared" si="1"/>
        <v>0</v>
      </c>
      <c r="E344" s="121"/>
      <c r="F344" s="123"/>
      <c r="G344" s="122">
        <f>HYPERLINK("https://docs.google.com/spreadsheets/d/13TOCXR-D-Yht0sCUiocTxKMWmKmwtGOR", 0)</f>
        <v>0</v>
      </c>
      <c r="H344" s="122">
        <f>HYPERLINK("https://docs.google.com/spreadsheets/d/1wD3-i5g5tZ2BQX4jzhdRFCRwjp9gv-gr", 0)</f>
        <v>0</v>
      </c>
      <c r="I344" s="122">
        <f>HYPERLINK("https://docs.google.com/spreadsheets/d/1zEMglkiUvXLKGXGL66sRH-u6xmPluFj-", 0)</f>
        <v>0</v>
      </c>
      <c r="J344" s="122">
        <f>HYPERLINK("https://docs.google.com/spreadsheets/d/1QGrxhfd-q1dQFY3J4pdSQ5aQQOUnIxlP", 0)</f>
        <v>0</v>
      </c>
      <c r="K344" s="122">
        <f>HYPERLINK("https://docs.google.com/spreadsheets/d/18IZ9SES66tzi15IbutQm8TgSl6q4M7ht", 0)</f>
        <v>0</v>
      </c>
      <c r="L344" s="121"/>
      <c r="M344" s="121"/>
      <c r="N344" s="123"/>
      <c r="O344" s="121"/>
      <c r="P344" s="124">
        <f>HYPERLINK("https://docs.google.com/spreadsheets/d/1CWUSJNQH7lQOPUjDQtne6j1DtoR3e1Er", 0)</f>
        <v>0</v>
      </c>
      <c r="Q344" s="120"/>
      <c r="R344" s="119"/>
      <c r="S344" s="120"/>
      <c r="T344" s="125">
        <f>HYPERLINK("https://docs.google.com/spreadsheets/d/1CqSAbxk2w9KGmF3yG0MhSZtwhyzGlzUO", 0)</f>
        <v>0</v>
      </c>
      <c r="U344" s="125">
        <f>HYPERLINK("https://docs.google.com/spreadsheets/d/1aEcx7VYBpmbjj0UyOYikllH2al9zyqgS", 0)</f>
        <v>0</v>
      </c>
      <c r="V344" s="124">
        <f>HYPERLINK("https://docs.google.com/spreadsheets/d/1IKfMN6wMsMvTcN1me8Eo4i2nO_ZKOqMi", 0)</f>
        <v>0</v>
      </c>
      <c r="W344" s="124">
        <f>HYPERLINK("https://docs.google.com/spreadsheets/d/1lM4JdKLYEky-E4md856N9pjkaOLvnyFp", 0)</f>
        <v>0</v>
      </c>
      <c r="X344" s="120"/>
      <c r="Y344" s="119"/>
      <c r="Z344" s="120"/>
      <c r="AA344" s="124">
        <f>HYPERLINK("https://docs.google.com/spreadsheets/d/1CzJsha7bwNlRVkBSoslOYq8dUjJX_v4R", 0)</f>
        <v>0</v>
      </c>
      <c r="AB344" s="124">
        <f>HYPERLINK("https://docs.google.com/spreadsheets/d/1SM8wRNmToM3hSEUdJ9O6zwx9zJYOO02O", 0)</f>
        <v>0</v>
      </c>
      <c r="AC344" s="124">
        <f>HYPERLINK("https://docs.google.com/spreadsheets/d/1QMgrBdLqqD2uM1KmhCh9DYumZ7xYezIv", 0)</f>
        <v>0</v>
      </c>
      <c r="AD344" s="124">
        <f>HYPERLINK("https://docs.google.com/spreadsheets/d/1LnpkWZOEmDZPpmWtc4HqIZsf-y5W6lxu", 0)</f>
        <v>0</v>
      </c>
      <c r="AE344" s="120"/>
      <c r="AF344" s="119"/>
      <c r="AG344" s="119"/>
      <c r="AH344" s="119"/>
      <c r="AI344" s="119"/>
      <c r="AJ344" s="124">
        <f>HYPERLINK("https://docs.google.com/spreadsheets/d/1euWYrP3lJ5fgARBUNE0gvtmJJYn9L3OU", 0)</f>
        <v>0</v>
      </c>
      <c r="AK344" s="124">
        <f>HYPERLINK("https://docs.google.com/spreadsheets/d/1UO7TkZDIibONjxNN0WvXwKGamwenCoHC", 0)</f>
        <v>0</v>
      </c>
      <c r="AL344" s="124">
        <f>HYPERLINK("https://docs.google.com/spreadsheets/d/1Vql--WYQzpNQPT9OnVGItpdHytfiLFCX", 0)</f>
        <v>0</v>
      </c>
      <c r="AM344" s="124">
        <f>HYPERLINK("https://docs.google.com/spreadsheets/d/16PBUGsIuXEixe0r-0pSwo2dt8biAdO8i", 0)</f>
        <v>0</v>
      </c>
      <c r="AN344" s="119"/>
      <c r="AO344" s="120"/>
      <c r="AP344" s="120"/>
      <c r="AQ344" s="124">
        <f>HYPERLINK("https://docs.google.com/spreadsheets/d/1aY6ak-sXFKH0S57GdrHmeqeqHgXW5sYS", 0)</f>
        <v>0</v>
      </c>
      <c r="AR344" s="125">
        <f>HYPERLINK("https://docs.google.com/spreadsheets/d/1UcpRlmdSpiEY1czszHf_t80KwpTArGKW", 0)</f>
        <v>0</v>
      </c>
      <c r="AS344" s="120"/>
      <c r="AT344" s="120"/>
      <c r="AU344" s="119"/>
      <c r="AV344" s="124">
        <f>HYPERLINK("https://docs.google.com/spreadsheets/d/1lq2-7sfFXJSmMZoWO4lDNQAUZpBZCrAi", 0)</f>
        <v>0</v>
      </c>
      <c r="AW344" s="120"/>
      <c r="AX344" s="120"/>
      <c r="AY344" s="124">
        <f>HYPERLINK("https://docs.google.com/spreadsheets/d/1QnqUxH1sIEiU479bl8daTJD5yD22_vcT", 0)</f>
        <v>0</v>
      </c>
      <c r="AZ344" s="120"/>
      <c r="BA344" s="120"/>
      <c r="BB344" s="120"/>
      <c r="BC344" s="120"/>
      <c r="BD344" s="120"/>
      <c r="BE344" s="120"/>
      <c r="BF344" s="120"/>
      <c r="BG344" s="120"/>
      <c r="BH344" s="120"/>
      <c r="BI344" s="120"/>
      <c r="BJ344" s="120"/>
      <c r="BK344" s="120"/>
      <c r="BL344" s="120"/>
      <c r="BM344" s="120"/>
      <c r="BN344" s="120"/>
      <c r="BO344" s="120"/>
      <c r="BP344" s="120"/>
      <c r="BQ344" s="120"/>
      <c r="BR344" s="120"/>
      <c r="BS344" s="120"/>
      <c r="BT344" s="120"/>
      <c r="BU344" s="120"/>
      <c r="BV344" s="120"/>
      <c r="BW344" s="120"/>
      <c r="BX344" s="120"/>
      <c r="BY344" s="120"/>
      <c r="BZ344" s="120"/>
      <c r="CA344" s="120"/>
      <c r="CB344" s="120"/>
      <c r="CC344" s="120"/>
      <c r="CD344" s="120"/>
      <c r="CE344" s="120"/>
      <c r="CF344" s="120"/>
      <c r="CG344" s="120"/>
      <c r="CH344" s="120"/>
      <c r="CI344" s="120"/>
      <c r="CJ344" s="120"/>
      <c r="CK344" s="120"/>
      <c r="CL344" s="120"/>
      <c r="CM344" s="120"/>
      <c r="CN344" s="120"/>
      <c r="CO344" s="120"/>
      <c r="CP344" s="120"/>
      <c r="CQ344" s="120"/>
      <c r="CR344" s="120"/>
      <c r="CS344" s="120"/>
      <c r="CT344" s="120"/>
      <c r="CU344" s="120"/>
      <c r="CV344" s="120"/>
      <c r="CW344" s="120"/>
      <c r="CX344" s="120"/>
      <c r="CY344" s="120"/>
      <c r="CZ344" s="120"/>
      <c r="DA344" s="120"/>
      <c r="DB344" s="120"/>
      <c r="DC344" s="120"/>
      <c r="DD344" s="120"/>
      <c r="DE344" s="120"/>
      <c r="DF344" s="120"/>
      <c r="DG344" s="120"/>
      <c r="DH344" s="120"/>
      <c r="DI344" s="120"/>
      <c r="DJ344" s="120"/>
      <c r="DK344" s="120"/>
      <c r="DL344" s="120"/>
      <c r="DM344" s="120"/>
      <c r="DN344" s="120"/>
      <c r="DO344" s="120"/>
      <c r="DP344" s="120"/>
      <c r="DQ344" s="120"/>
      <c r="DR344" s="120"/>
      <c r="DS344" s="120"/>
      <c r="DT344" s="120"/>
      <c r="DU344" s="120"/>
      <c r="DV344" s="120"/>
      <c r="DW344" s="120"/>
      <c r="DX344" s="120"/>
      <c r="DY344" s="120"/>
      <c r="DZ344" s="120"/>
      <c r="EA344" s="120"/>
      <c r="EB344" s="120"/>
      <c r="EC344" s="120"/>
      <c r="ED344" s="120"/>
      <c r="EE344" s="120"/>
      <c r="EF344" s="120"/>
      <c r="EG344" s="120"/>
      <c r="EH344" s="120"/>
      <c r="EI344" s="120"/>
      <c r="EJ344" s="120"/>
      <c r="EK344" s="120"/>
      <c r="EL344" s="120"/>
      <c r="EM344" s="120"/>
      <c r="EN344" s="120"/>
      <c r="EO344" s="120"/>
      <c r="EP344" s="120"/>
      <c r="EQ344" s="120"/>
      <c r="ER344" s="120"/>
      <c r="ES344" s="120"/>
      <c r="ET344" s="120"/>
      <c r="EU344" s="120"/>
      <c r="EV344" s="120"/>
      <c r="EW344" s="120"/>
      <c r="EX344" s="120"/>
      <c r="EY344" s="120"/>
    </row>
    <row r="345">
      <c r="A345" s="112" t="s">
        <v>88</v>
      </c>
      <c r="B345" s="112" t="s">
        <v>90</v>
      </c>
      <c r="C345" s="112" t="s">
        <v>409</v>
      </c>
      <c r="D345" s="113">
        <f t="shared" si="1"/>
        <v>637.4588833</v>
      </c>
      <c r="E345" s="114">
        <v>86.1854</v>
      </c>
      <c r="F345" s="114"/>
      <c r="G345" s="114"/>
      <c r="H345" s="114"/>
      <c r="I345" s="114"/>
      <c r="J345" s="114"/>
      <c r="K345" s="114"/>
      <c r="L345" s="114">
        <v>0.90425</v>
      </c>
      <c r="M345" s="114"/>
      <c r="N345" s="114"/>
      <c r="O345" s="114">
        <v>1.6916</v>
      </c>
      <c r="P345" s="112"/>
      <c r="Q345" s="112"/>
      <c r="R345" s="112">
        <v>24.3823166666667</v>
      </c>
      <c r="S345" s="112"/>
      <c r="T345" s="112"/>
      <c r="U345" s="112"/>
      <c r="V345" s="112"/>
      <c r="W345" s="112"/>
      <c r="X345" s="112">
        <v>0.0835</v>
      </c>
      <c r="Y345" s="112">
        <v>30.6126166666666</v>
      </c>
      <c r="Z345" s="112"/>
      <c r="AA345" s="113"/>
      <c r="AB345" s="112"/>
      <c r="AC345" s="112"/>
      <c r="AD345" s="112"/>
      <c r="AE345" s="112">
        <v>0.30595</v>
      </c>
      <c r="AF345" s="112"/>
      <c r="AG345" s="112"/>
      <c r="AH345" s="112">
        <v>87.442</v>
      </c>
      <c r="AI345" s="112"/>
      <c r="AJ345" s="112"/>
      <c r="AK345" s="112"/>
      <c r="AL345" s="113"/>
      <c r="AM345" s="112"/>
      <c r="AN345" s="112">
        <v>2.41251666666667</v>
      </c>
      <c r="AO345" s="112">
        <v>114.570116666667</v>
      </c>
      <c r="AP345" s="112"/>
      <c r="AQ345" s="113"/>
      <c r="AR345" s="112"/>
      <c r="AS345" s="112">
        <v>2.68416666666667</v>
      </c>
      <c r="AT345" s="112">
        <v>88.9935499999999</v>
      </c>
      <c r="AU345" s="112"/>
      <c r="AV345" s="112"/>
      <c r="AW345" s="112">
        <v>5.17441666666667</v>
      </c>
      <c r="AX345" s="112">
        <v>183.66055</v>
      </c>
      <c r="AY345" s="113"/>
      <c r="AZ345" s="112">
        <v>7.94025</v>
      </c>
      <c r="BA345" s="112">
        <v>0.415683333333333</v>
      </c>
      <c r="BB345" s="113"/>
      <c r="BC345" s="113"/>
      <c r="BD345" s="113"/>
      <c r="BE345" s="113"/>
      <c r="BF345" s="113"/>
      <c r="BG345" s="113"/>
      <c r="BH345" s="113"/>
      <c r="BI345" s="113"/>
      <c r="BJ345" s="113"/>
      <c r="BK345" s="113"/>
      <c r="BL345" s="113"/>
      <c r="BM345" s="113"/>
      <c r="BN345" s="113"/>
      <c r="BO345" s="113"/>
      <c r="BP345" s="113"/>
      <c r="BQ345" s="113"/>
      <c r="BR345" s="113"/>
      <c r="BS345" s="113"/>
      <c r="BT345" s="113"/>
      <c r="BU345" s="113"/>
      <c r="BV345" s="113"/>
      <c r="BW345" s="113"/>
      <c r="BX345" s="113"/>
      <c r="BY345" s="113"/>
      <c r="BZ345" s="113"/>
      <c r="CA345" s="113"/>
      <c r="CB345" s="113"/>
      <c r="CC345" s="113"/>
      <c r="CD345" s="113"/>
      <c r="CE345" s="113"/>
      <c r="CF345" s="113"/>
      <c r="CG345" s="113"/>
      <c r="CH345" s="113"/>
      <c r="CI345" s="113"/>
      <c r="CJ345" s="113"/>
      <c r="CK345" s="113"/>
      <c r="CL345" s="113"/>
      <c r="CM345" s="113"/>
      <c r="CN345" s="113"/>
      <c r="CO345" s="113"/>
      <c r="CP345" s="113"/>
      <c r="CQ345" s="113"/>
      <c r="CR345" s="113"/>
      <c r="CS345" s="113"/>
      <c r="CT345" s="113"/>
      <c r="CU345" s="113"/>
      <c r="CV345" s="113"/>
      <c r="CW345" s="113"/>
      <c r="CX345" s="113"/>
      <c r="CY345" s="113"/>
      <c r="CZ345" s="113"/>
      <c r="DA345" s="113"/>
      <c r="DB345" s="113"/>
      <c r="DC345" s="113"/>
      <c r="DD345" s="113"/>
      <c r="DE345" s="113"/>
      <c r="DF345" s="113"/>
      <c r="DG345" s="113"/>
      <c r="DH345" s="113"/>
      <c r="DI345" s="113"/>
      <c r="DJ345" s="113"/>
      <c r="DK345" s="113"/>
      <c r="DL345" s="113"/>
      <c r="DM345" s="113"/>
      <c r="DN345" s="113"/>
      <c r="DO345" s="113"/>
      <c r="DP345" s="113"/>
      <c r="DQ345" s="113"/>
      <c r="DR345" s="113"/>
      <c r="DS345" s="113"/>
      <c r="DT345" s="113"/>
      <c r="DU345" s="113"/>
      <c r="DV345" s="113"/>
      <c r="DW345" s="113"/>
      <c r="DX345" s="113"/>
      <c r="DY345" s="113"/>
      <c r="DZ345" s="113"/>
      <c r="EA345" s="113"/>
      <c r="EB345" s="113"/>
      <c r="EC345" s="113"/>
      <c r="ED345" s="113"/>
      <c r="EE345" s="113"/>
      <c r="EF345" s="113"/>
      <c r="EG345" s="113"/>
      <c r="EH345" s="113"/>
      <c r="EI345" s="113"/>
      <c r="EJ345" s="113"/>
      <c r="EK345" s="113"/>
      <c r="EL345" s="113"/>
      <c r="EM345" s="113"/>
      <c r="EN345" s="113"/>
      <c r="EO345" s="113"/>
      <c r="EP345" s="113"/>
      <c r="EQ345" s="113"/>
      <c r="ER345" s="113"/>
      <c r="ES345" s="113"/>
      <c r="ET345" s="113"/>
      <c r="EU345" s="113"/>
      <c r="EV345" s="113"/>
      <c r="EW345" s="113"/>
      <c r="EX345" s="113"/>
      <c r="EY345" s="113"/>
    </row>
    <row r="346">
      <c r="A346" s="65" t="s">
        <v>88</v>
      </c>
      <c r="B346" s="65" t="s">
        <v>90</v>
      </c>
      <c r="C346" s="65" t="s">
        <v>410</v>
      </c>
      <c r="D346" s="64">
        <f t="shared" si="1"/>
        <v>532.4326833</v>
      </c>
      <c r="E346" s="115"/>
      <c r="F346" s="104"/>
      <c r="G346" s="104">
        <v>4.69076666666667</v>
      </c>
      <c r="H346" s="104">
        <v>9.84476666666666</v>
      </c>
      <c r="I346" s="104">
        <v>61.2571000000001</v>
      </c>
      <c r="J346" s="104"/>
      <c r="K346" s="104">
        <v>1.8197</v>
      </c>
      <c r="L346" s="104"/>
      <c r="M346" s="104"/>
      <c r="N346" s="104">
        <v>4.69076666666667</v>
      </c>
      <c r="O346" s="115"/>
      <c r="P346" s="65">
        <v>1.20668333333333</v>
      </c>
      <c r="Q346" s="65"/>
      <c r="R346" s="65"/>
      <c r="S346" s="65"/>
      <c r="T346" s="65">
        <v>2.87431666666667</v>
      </c>
      <c r="U346" s="65">
        <v>3.66206666666667</v>
      </c>
      <c r="V346" s="65">
        <v>16.4766833333333</v>
      </c>
      <c r="W346" s="65">
        <v>0.709133333333333</v>
      </c>
      <c r="X346" s="65"/>
      <c r="Y346" s="65"/>
      <c r="Z346" s="65"/>
      <c r="AA346" s="65">
        <v>6.77313333333333</v>
      </c>
      <c r="AB346" s="65">
        <v>9.09783333333333</v>
      </c>
      <c r="AC346" s="65">
        <v>9.68768333333333</v>
      </c>
      <c r="AD346" s="65">
        <v>4.35075</v>
      </c>
      <c r="AE346" s="65"/>
      <c r="AF346" s="65"/>
      <c r="AG346" s="65">
        <v>6.77313333333333</v>
      </c>
      <c r="AH346" s="65"/>
      <c r="AI346" s="65"/>
      <c r="AJ346" s="65">
        <v>30.3943833333333</v>
      </c>
      <c r="AK346" s="65">
        <v>14.5171833333333</v>
      </c>
      <c r="AL346" s="65">
        <v>25.2200833333333</v>
      </c>
      <c r="AM346" s="65">
        <v>14.99485</v>
      </c>
      <c r="AN346" s="65"/>
      <c r="AP346" s="65"/>
      <c r="AQ346" s="65">
        <v>20.8677833333333</v>
      </c>
      <c r="AR346" s="65">
        <v>64.8085166666667</v>
      </c>
      <c r="AT346" s="65"/>
      <c r="AU346" s="65"/>
      <c r="AV346" s="65">
        <v>61.9563166666666</v>
      </c>
      <c r="AY346" s="65">
        <v>155.75905</v>
      </c>
    </row>
    <row r="347">
      <c r="A347" s="65" t="s">
        <v>88</v>
      </c>
      <c r="B347" s="65" t="s">
        <v>90</v>
      </c>
      <c r="C347" s="65" t="s">
        <v>411</v>
      </c>
      <c r="D347" s="64">
        <f t="shared" si="1"/>
        <v>0</v>
      </c>
      <c r="E347" s="115"/>
      <c r="F347" s="115"/>
      <c r="G347" s="115"/>
      <c r="H347" s="115"/>
      <c r="I347" s="115"/>
      <c r="J347" s="115"/>
      <c r="K347" s="115"/>
      <c r="L347" s="115"/>
      <c r="M347" s="115"/>
      <c r="N347" s="115"/>
      <c r="O347" s="115"/>
    </row>
    <row r="348">
      <c r="A348" s="65" t="s">
        <v>88</v>
      </c>
      <c r="B348" s="65" t="s">
        <v>90</v>
      </c>
      <c r="C348" s="65" t="s">
        <v>412</v>
      </c>
      <c r="D348" s="64">
        <f t="shared" si="1"/>
        <v>500.8427</v>
      </c>
      <c r="E348" s="115"/>
      <c r="F348" s="115"/>
      <c r="G348" s="116">
        <f>HYPERLINK("https://docs.google.com/spreadsheets/d/1XSu9BBCtUs8vOsL77PlhNYD_ETaAzebj", 4.69075)</f>
        <v>4.69075</v>
      </c>
      <c r="H348" s="116">
        <f>HYPERLINK("https://docs.google.com/spreadsheets/d/1tbTwOlbLD2h6bTorRS27R3r1WVCQOgvO", 9.84476666666666)</f>
        <v>9.844766667</v>
      </c>
      <c r="I348" s="116">
        <f>HYPERLINK("https://docs.google.com/spreadsheets/d/16GiqL7NQJ2oentkUmz-rZ05ttCiCm2NI", 61.2571000000001)</f>
        <v>61.2571</v>
      </c>
      <c r="J348" s="115"/>
      <c r="K348" s="116">
        <f>HYPERLINK("https://docs.google.com/spreadsheets/d/1GOfmAxpLh09DUZzOzKymhY0t7wOGe2-w", 1.8197)</f>
        <v>1.8197</v>
      </c>
      <c r="L348" s="115"/>
      <c r="M348" s="115"/>
      <c r="N348" s="115"/>
      <c r="O348" s="115"/>
      <c r="P348" s="118">
        <f>HYPERLINK("https://docs.google.com/spreadsheets/d/1zxlhCaBho8DZhARijS53GlLF6uFsR-W8", 1.20668333333333)</f>
        <v>1.206683333</v>
      </c>
      <c r="T348" s="118">
        <f>HYPERLINK("https://docs.google.com/spreadsheets/d/1VMhmatN3ug_h_EGqyUHhoBy9AZrhdFei", 2.87431666666667)</f>
        <v>2.874316667</v>
      </c>
      <c r="U348" s="118">
        <f>HYPERLINK("https://docs.google.com/spreadsheets/d/1DixgaJnskB5lhzFHQR_TfEhLS7Oge90i", 3.66206666666667)</f>
        <v>3.662066667</v>
      </c>
      <c r="V348" s="118">
        <f>HYPERLINK("https://docs.google.com/spreadsheets/d/19VyDazWHxotMqqkfWqa_JdTv7R3xeclU", 16.47665)</f>
        <v>16.47665</v>
      </c>
      <c r="W348" s="118">
        <f>HYPERLINK("https://docs.google.com/spreadsheets/d/1BITj2kC8t02HW80DlCob9kknQUigZWFI", 0.709133333333333)</f>
        <v>0.7091333333</v>
      </c>
      <c r="AA348" s="118">
        <f>HYPERLINK("https://docs.google.com/spreadsheets/d/1Hk0oVZEMGLxIVSeNVrGz2T3JpxrYtcht", 6.77315)</f>
        <v>6.77315</v>
      </c>
      <c r="AB348" s="118">
        <f>HYPERLINK("https://docs.google.com/spreadsheets/d/15wfdIFbI3pRSz6CuPQsLU2iff3cD2JXd", 9.09783333333333)</f>
        <v>9.097833333</v>
      </c>
      <c r="AC348" s="118">
        <f>HYPERLINK("https://docs.google.com/spreadsheets/d/1POahIJveH5kaGq4_r8M_jpzqoGO2Bioj", 9.68768333333333)</f>
        <v>9.687683333</v>
      </c>
      <c r="AD348" s="118">
        <f>HYPERLINK("https://docs.google.com/spreadsheets/d/1qo9mj4dD6Tk9bRpkS9DHPHTbrYip9IpM", 4.35075)</f>
        <v>4.35075</v>
      </c>
      <c r="AJ348" s="118">
        <f>HYPERLINK("https://docs.google.com/spreadsheets/d/1F7CtFPlZCWpGeA6DuI2jxfrEdUrs_bbi", 26.3978666666667)</f>
        <v>26.39786667</v>
      </c>
      <c r="AK348" s="118">
        <f>HYPERLINK("https://docs.google.com/spreadsheets/d/1ACLuUsS1bRgl3wGAIpkdqiF-4WrgxQGW", 14.5171666666667)</f>
        <v>14.51716667</v>
      </c>
      <c r="AL348" s="118">
        <f>HYPERLINK("https://docs.google.com/spreadsheets/d/1EArrj2AyeS2-PC4fhJxcd7baRkCkImi-", 25.0550333333333)</f>
        <v>25.05503333</v>
      </c>
      <c r="AM348" s="118">
        <f>HYPERLINK("https://docs.google.com/spreadsheets/d/1prFwdp1Gp7YMZL91i8xpBv9Co5LsGYJ_", 14.52405)</f>
        <v>14.52405</v>
      </c>
      <c r="AQ348" s="118">
        <f>HYPERLINK("https://docs.google.com/spreadsheets/d/1aI_iw8ySdBJm5gr8nEAwz0p-wMsrjrwm", 6.01698333333333)</f>
        <v>6.016983333</v>
      </c>
      <c r="AR348" s="118">
        <f>HYPERLINK("https://docs.google.com/spreadsheets/d/178GmtY2xfTe-SP7t-_V5zy0XhgprMM9q", 64.5452333333333)</f>
        <v>64.54523333</v>
      </c>
      <c r="AV348" s="118">
        <f>HYPERLINK("https://docs.google.com/spreadsheets/d/1k5ienja9dotzRze9UehOldJaP40V3rgI", 61.7912333333333)</f>
        <v>61.79123333</v>
      </c>
      <c r="AY348" s="118">
        <f>HYPERLINK("https://docs.google.com/spreadsheets/d/1_qsuIr_FMvG152ypZ7Ge-1Mf4S_6fMnh", 155.54455)</f>
        <v>155.54455</v>
      </c>
    </row>
    <row r="349">
      <c r="A349" s="65" t="s">
        <v>88</v>
      </c>
      <c r="B349" s="65" t="s">
        <v>90</v>
      </c>
      <c r="C349" s="65" t="s">
        <v>413</v>
      </c>
      <c r="D349" s="64">
        <f t="shared" si="1"/>
        <v>272.3832167</v>
      </c>
      <c r="E349" s="115"/>
      <c r="F349" s="115"/>
      <c r="G349" s="104">
        <v>8.88178419700125E-16</v>
      </c>
      <c r="H349" s="104">
        <v>2.69636666666667</v>
      </c>
      <c r="I349" s="104">
        <v>0.837883333333394</v>
      </c>
      <c r="J349" s="104"/>
      <c r="K349" s="104">
        <v>1.8197</v>
      </c>
      <c r="L349" s="104"/>
      <c r="M349" s="104"/>
      <c r="N349" s="104"/>
      <c r="O349" s="115"/>
      <c r="P349" s="65">
        <v>1.20668333333333</v>
      </c>
      <c r="Q349" s="65"/>
      <c r="R349" s="65"/>
      <c r="S349" s="65"/>
      <c r="T349" s="65">
        <v>2.87431666666667</v>
      </c>
      <c r="U349" s="65">
        <v>0.869516666666666</v>
      </c>
      <c r="V349" s="65">
        <v>0.63141666666667</v>
      </c>
      <c r="W349" s="65">
        <v>0.709133333333333</v>
      </c>
      <c r="X349" s="65"/>
      <c r="Y349" s="65"/>
      <c r="Z349" s="65"/>
      <c r="AA349" s="65">
        <v>4.01911666666667</v>
      </c>
      <c r="AB349" s="65">
        <v>1.11416666666666</v>
      </c>
      <c r="AC349" s="65">
        <v>0.342716666666663</v>
      </c>
      <c r="AD349" s="65">
        <v>0.383633333333333</v>
      </c>
      <c r="AE349" s="65"/>
      <c r="AF349" s="65"/>
      <c r="AG349" s="65"/>
      <c r="AH349" s="65"/>
      <c r="AI349" s="65"/>
      <c r="AJ349" s="65">
        <v>26.3978666666667</v>
      </c>
      <c r="AK349" s="65">
        <v>3.37981666666666</v>
      </c>
      <c r="AL349" s="65">
        <v>2.89576666666665</v>
      </c>
      <c r="AM349" s="65">
        <v>14.52405</v>
      </c>
      <c r="AN349" s="65"/>
      <c r="AP349" s="65"/>
      <c r="AQ349" s="65">
        <v>2.44005</v>
      </c>
      <c r="AR349" s="65">
        <v>64.5452333333333</v>
      </c>
      <c r="AT349" s="65"/>
      <c r="AU349" s="65"/>
      <c r="AV349" s="65">
        <v>22.22895</v>
      </c>
      <c r="AY349" s="65">
        <v>118.466833333333</v>
      </c>
    </row>
    <row r="350">
      <c r="A350" s="119" t="s">
        <v>88</v>
      </c>
      <c r="B350" s="119" t="s">
        <v>90</v>
      </c>
      <c r="C350" s="119" t="s">
        <v>414</v>
      </c>
      <c r="D350" s="120">
        <f t="shared" si="1"/>
        <v>0</v>
      </c>
      <c r="E350" s="121"/>
      <c r="F350" s="121"/>
      <c r="G350" s="122">
        <f>HYPERLINK("https://docs.google.com/spreadsheets/d/1XSu9BBCtUs8vOsL77PlhNYD_ETaAzebj", 0)</f>
        <v>0</v>
      </c>
      <c r="H350" s="122">
        <f>HYPERLINK("https://docs.google.com/spreadsheets/d/1tbTwOlbLD2h6bTorRS27R3r1WVCQOgvO", 0)</f>
        <v>0</v>
      </c>
      <c r="I350" s="122">
        <f>HYPERLINK("https://docs.google.com/spreadsheets/d/16GiqL7NQJ2oentkUmz-rZ05ttCiCm2NI", 0)</f>
        <v>0</v>
      </c>
      <c r="J350" s="121"/>
      <c r="K350" s="122">
        <f>HYPERLINK("https://docs.google.com/spreadsheets/d/1GOfmAxpLh09DUZzOzKymhY0t7wOGe2-w", 0)</f>
        <v>0</v>
      </c>
      <c r="L350" s="121"/>
      <c r="M350" s="121"/>
      <c r="N350" s="123"/>
      <c r="O350" s="121"/>
      <c r="P350" s="124">
        <f>HYPERLINK("https://docs.google.com/spreadsheets/d/1zxlhCaBho8DZhARijS53GlLF6uFsR-W8", 0)</f>
        <v>0</v>
      </c>
      <c r="Q350" s="120"/>
      <c r="R350" s="119"/>
      <c r="S350" s="120"/>
      <c r="T350" s="125">
        <f>HYPERLINK("https://docs.google.com/spreadsheets/d/1VMhmatN3ug_h_EGqyUHhoBy9AZrhdFei", 0)</f>
        <v>0</v>
      </c>
      <c r="U350" s="125">
        <f>HYPERLINK("https://docs.google.com/spreadsheets/d/1DixgaJnskB5lhzFHQR_TfEhLS7Oge90i", 0)</f>
        <v>0</v>
      </c>
      <c r="V350" s="124">
        <f>HYPERLINK("https://docs.google.com/spreadsheets/d/19VyDazWHxotMqqkfWqa_JdTv7R3xeclU", 0)</f>
        <v>0</v>
      </c>
      <c r="W350" s="124">
        <f>HYPERLINK("https://docs.google.com/spreadsheets/d/1BITj2kC8t02HW80DlCob9kknQUigZWFI", 0)</f>
        <v>0</v>
      </c>
      <c r="X350" s="119"/>
      <c r="Y350" s="119"/>
      <c r="Z350" s="120"/>
      <c r="AA350" s="124">
        <f>HYPERLINK("https://docs.google.com/spreadsheets/d/1Hk0oVZEMGLxIVSeNVrGz2T3JpxrYtcht", 0)</f>
        <v>0</v>
      </c>
      <c r="AB350" s="124">
        <f>HYPERLINK("https://docs.google.com/spreadsheets/d/15wfdIFbI3pRSz6CuPQsLU2iff3cD2JXd", 0)</f>
        <v>0</v>
      </c>
      <c r="AC350" s="124">
        <f>HYPERLINK("https://docs.google.com/spreadsheets/d/1POahIJveH5kaGq4_r8M_jpzqoGO2Bioj", 0)</f>
        <v>0</v>
      </c>
      <c r="AD350" s="124">
        <f>HYPERLINK("https://docs.google.com/spreadsheets/d/1qo9mj4dD6Tk9bRpkS9DHPHTbrYip9IpM", 0)</f>
        <v>0</v>
      </c>
      <c r="AE350" s="120"/>
      <c r="AF350" s="119"/>
      <c r="AG350" s="119"/>
      <c r="AH350" s="119"/>
      <c r="AI350" s="119"/>
      <c r="AJ350" s="124">
        <f>HYPERLINK("https://docs.google.com/spreadsheets/d/1F7CtFPlZCWpGeA6DuI2jxfrEdUrs_bbi", 0)</f>
        <v>0</v>
      </c>
      <c r="AK350" s="124">
        <f>HYPERLINK("https://docs.google.com/spreadsheets/d/1ACLuUsS1bRgl3wGAIpkdqiF-4WrgxQGW", 0)</f>
        <v>0</v>
      </c>
      <c r="AL350" s="124">
        <f>HYPERLINK("https://docs.google.com/spreadsheets/d/1EArrj2AyeS2-PC4fhJxcd7baRkCkImi-", 0)</f>
        <v>0</v>
      </c>
      <c r="AM350" s="124">
        <f>HYPERLINK("https://docs.google.com/spreadsheets/d/1prFwdp1Gp7YMZL91i8xpBv9Co5LsGYJ_", 0)</f>
        <v>0</v>
      </c>
      <c r="AN350" s="119"/>
      <c r="AO350" s="120"/>
      <c r="AP350" s="120"/>
      <c r="AQ350" s="124">
        <f>HYPERLINK("https://docs.google.com/spreadsheets/d/1aI_iw8ySdBJm5gr8nEAwz0p-wMsrjrwm", 0)</f>
        <v>0</v>
      </c>
      <c r="AR350" s="125">
        <f>HYPERLINK("https://docs.google.com/spreadsheets/d/178GmtY2xfTe-SP7t-_V5zy0XhgprMM9q", 0)</f>
        <v>0</v>
      </c>
      <c r="AS350" s="120"/>
      <c r="AT350" s="120"/>
      <c r="AU350" s="119"/>
      <c r="AV350" s="124">
        <f>HYPERLINK("https://docs.google.com/spreadsheets/d/1k5ienja9dotzRze9UehOldJaP40V3rgI", 0)</f>
        <v>0</v>
      </c>
      <c r="AW350" s="120"/>
      <c r="AX350" s="120"/>
      <c r="AY350" s="124">
        <f>HYPERLINK("https://docs.google.com/spreadsheets/d/1_qsuIr_FMvG152ypZ7Ge-1Mf4S_6fMnh", 0)</f>
        <v>0</v>
      </c>
      <c r="AZ350" s="120"/>
      <c r="BA350" s="120"/>
      <c r="BB350" s="120"/>
      <c r="BC350" s="120"/>
      <c r="BD350" s="120"/>
      <c r="BE350" s="120"/>
      <c r="BF350" s="120"/>
      <c r="BG350" s="120"/>
      <c r="BH350" s="120"/>
      <c r="BI350" s="120"/>
      <c r="BJ350" s="120"/>
      <c r="BK350" s="120"/>
      <c r="BL350" s="120"/>
      <c r="BM350" s="120"/>
      <c r="BN350" s="120"/>
      <c r="BO350" s="120"/>
      <c r="BP350" s="120"/>
      <c r="BQ350" s="120"/>
      <c r="BR350" s="120"/>
      <c r="BS350" s="120"/>
      <c r="BT350" s="120"/>
      <c r="BU350" s="120"/>
      <c r="BV350" s="120"/>
      <c r="BW350" s="120"/>
      <c r="BX350" s="120"/>
      <c r="BY350" s="120"/>
      <c r="BZ350" s="120"/>
      <c r="CA350" s="120"/>
      <c r="CB350" s="120"/>
      <c r="CC350" s="120"/>
      <c r="CD350" s="120"/>
      <c r="CE350" s="120"/>
      <c r="CF350" s="120"/>
      <c r="CG350" s="120"/>
      <c r="CH350" s="120"/>
      <c r="CI350" s="120"/>
      <c r="CJ350" s="120"/>
      <c r="CK350" s="120"/>
      <c r="CL350" s="120"/>
      <c r="CM350" s="120"/>
      <c r="CN350" s="120"/>
      <c r="CO350" s="120"/>
      <c r="CP350" s="120"/>
      <c r="CQ350" s="120"/>
      <c r="CR350" s="120"/>
      <c r="CS350" s="120"/>
      <c r="CT350" s="120"/>
      <c r="CU350" s="120"/>
      <c r="CV350" s="120"/>
      <c r="CW350" s="120"/>
      <c r="CX350" s="120"/>
      <c r="CY350" s="120"/>
      <c r="CZ350" s="120"/>
      <c r="DA350" s="120"/>
      <c r="DB350" s="120"/>
      <c r="DC350" s="120"/>
      <c r="DD350" s="120"/>
      <c r="DE350" s="120"/>
      <c r="DF350" s="120"/>
      <c r="DG350" s="120"/>
      <c r="DH350" s="120"/>
      <c r="DI350" s="120"/>
      <c r="DJ350" s="120"/>
      <c r="DK350" s="120"/>
      <c r="DL350" s="120"/>
      <c r="DM350" s="120"/>
      <c r="DN350" s="120"/>
      <c r="DO350" s="120"/>
      <c r="DP350" s="120"/>
      <c r="DQ350" s="120"/>
      <c r="DR350" s="120"/>
      <c r="DS350" s="120"/>
      <c r="DT350" s="120"/>
      <c r="DU350" s="120"/>
      <c r="DV350" s="120"/>
      <c r="DW350" s="120"/>
      <c r="DX350" s="120"/>
      <c r="DY350" s="120"/>
      <c r="DZ350" s="120"/>
      <c r="EA350" s="120"/>
      <c r="EB350" s="120"/>
      <c r="EC350" s="120"/>
      <c r="ED350" s="120"/>
      <c r="EE350" s="120"/>
      <c r="EF350" s="120"/>
      <c r="EG350" s="120"/>
      <c r="EH350" s="120"/>
      <c r="EI350" s="120"/>
      <c r="EJ350" s="120"/>
      <c r="EK350" s="120"/>
      <c r="EL350" s="120"/>
      <c r="EM350" s="120"/>
      <c r="EN350" s="120"/>
      <c r="EO350" s="120"/>
      <c r="EP350" s="120"/>
      <c r="EQ350" s="120"/>
      <c r="ER350" s="120"/>
      <c r="ES350" s="120"/>
      <c r="ET350" s="120"/>
      <c r="EU350" s="120"/>
      <c r="EV350" s="120"/>
      <c r="EW350" s="120"/>
      <c r="EX350" s="120"/>
      <c r="EY350" s="120"/>
    </row>
    <row r="351">
      <c r="A351" s="112" t="s">
        <v>77</v>
      </c>
      <c r="B351" s="112" t="s">
        <v>78</v>
      </c>
      <c r="C351" s="112" t="s">
        <v>409</v>
      </c>
      <c r="D351" s="113">
        <f t="shared" si="1"/>
        <v>856.0579667</v>
      </c>
      <c r="E351" s="114">
        <v>223.77955</v>
      </c>
      <c r="F351" s="114"/>
      <c r="G351" s="114"/>
      <c r="H351" s="114"/>
      <c r="I351" s="114"/>
      <c r="J351" s="114"/>
      <c r="K351" s="114"/>
      <c r="L351" s="114">
        <v>1.87616666666667</v>
      </c>
      <c r="M351" s="114"/>
      <c r="N351" s="114"/>
      <c r="O351" s="114">
        <v>32.9546666666667</v>
      </c>
      <c r="P351" s="112"/>
      <c r="Q351" s="112"/>
      <c r="R351" s="112">
        <v>52.66385</v>
      </c>
      <c r="S351" s="112"/>
      <c r="T351" s="112"/>
      <c r="U351" s="112"/>
      <c r="V351" s="112"/>
      <c r="W351" s="112"/>
      <c r="X351" s="112">
        <v>0.983666666666667</v>
      </c>
      <c r="Y351" s="112">
        <v>284.256866666666</v>
      </c>
      <c r="Z351" s="112"/>
      <c r="AA351" s="113"/>
      <c r="AB351" s="112"/>
      <c r="AC351" s="112"/>
      <c r="AD351" s="112"/>
      <c r="AE351" s="112">
        <v>3.2486</v>
      </c>
      <c r="AF351" s="112"/>
      <c r="AG351" s="112"/>
      <c r="AH351" s="112">
        <v>18.18725</v>
      </c>
      <c r="AI351" s="112"/>
      <c r="AJ351" s="112"/>
      <c r="AK351" s="112"/>
      <c r="AL351" s="113"/>
      <c r="AM351" s="112"/>
      <c r="AN351" s="112">
        <v>0.5065</v>
      </c>
      <c r="AO351" s="112">
        <v>72.9805666666667</v>
      </c>
      <c r="AP351" s="112"/>
      <c r="AQ351" s="113"/>
      <c r="AR351" s="113"/>
      <c r="AS351" s="112">
        <v>2.96783333333333</v>
      </c>
      <c r="AT351" s="112">
        <v>94.5953333333333</v>
      </c>
      <c r="AU351" s="112"/>
      <c r="AV351" s="112"/>
      <c r="AW351" s="112">
        <v>2.34553333333333</v>
      </c>
      <c r="AX351" s="112">
        <v>60.6965666666666</v>
      </c>
      <c r="AY351" s="113"/>
      <c r="AZ351" s="112">
        <v>3.13106666666667</v>
      </c>
      <c r="BA351" s="112">
        <v>0.88395</v>
      </c>
      <c r="BB351" s="113"/>
      <c r="BC351" s="113"/>
      <c r="BD351" s="113"/>
      <c r="BE351" s="113"/>
      <c r="BF351" s="113"/>
      <c r="BG351" s="113"/>
      <c r="BH351" s="113"/>
      <c r="BI351" s="113"/>
      <c r="BJ351" s="113"/>
      <c r="BK351" s="113"/>
      <c r="BL351" s="113"/>
      <c r="BM351" s="113"/>
      <c r="BN351" s="113"/>
      <c r="BO351" s="113"/>
      <c r="BP351" s="113"/>
      <c r="BQ351" s="113"/>
      <c r="BR351" s="113"/>
      <c r="BS351" s="113"/>
      <c r="BT351" s="113"/>
      <c r="BU351" s="113"/>
      <c r="BV351" s="113"/>
      <c r="BW351" s="113"/>
      <c r="BX351" s="113"/>
      <c r="BY351" s="113"/>
      <c r="BZ351" s="113"/>
      <c r="CA351" s="113"/>
      <c r="CB351" s="113"/>
      <c r="CC351" s="113"/>
      <c r="CD351" s="113"/>
      <c r="CE351" s="113"/>
      <c r="CF351" s="113"/>
      <c r="CG351" s="113"/>
      <c r="CH351" s="113"/>
      <c r="CI351" s="113"/>
      <c r="CJ351" s="113"/>
      <c r="CK351" s="113"/>
      <c r="CL351" s="113"/>
      <c r="CM351" s="113"/>
      <c r="CN351" s="113"/>
      <c r="CO351" s="113"/>
      <c r="CP351" s="113"/>
      <c r="CQ351" s="113"/>
      <c r="CR351" s="113"/>
      <c r="CS351" s="113"/>
      <c r="CT351" s="113"/>
      <c r="CU351" s="113"/>
      <c r="CV351" s="113"/>
      <c r="CW351" s="113"/>
      <c r="CX351" s="113"/>
      <c r="CY351" s="113"/>
      <c r="CZ351" s="113"/>
      <c r="DA351" s="113"/>
      <c r="DB351" s="113"/>
      <c r="DC351" s="113"/>
      <c r="DD351" s="113"/>
      <c r="DE351" s="113"/>
      <c r="DF351" s="113"/>
      <c r="DG351" s="113"/>
      <c r="DH351" s="113"/>
      <c r="DI351" s="113"/>
      <c r="DJ351" s="113"/>
      <c r="DK351" s="113"/>
      <c r="DL351" s="113"/>
      <c r="DM351" s="113"/>
      <c r="DN351" s="113"/>
      <c r="DO351" s="113"/>
      <c r="DP351" s="113"/>
      <c r="DQ351" s="113"/>
      <c r="DR351" s="113"/>
      <c r="DS351" s="113"/>
      <c r="DT351" s="113"/>
      <c r="DU351" s="113"/>
      <c r="DV351" s="113"/>
      <c r="DW351" s="113"/>
      <c r="DX351" s="113"/>
      <c r="DY351" s="113"/>
      <c r="DZ351" s="113"/>
      <c r="EA351" s="113"/>
      <c r="EB351" s="113"/>
      <c r="EC351" s="113"/>
      <c r="ED351" s="113"/>
      <c r="EE351" s="113"/>
      <c r="EF351" s="113"/>
      <c r="EG351" s="113"/>
      <c r="EH351" s="113"/>
      <c r="EI351" s="113"/>
      <c r="EJ351" s="113"/>
      <c r="EK351" s="113"/>
      <c r="EL351" s="113"/>
      <c r="EM351" s="113"/>
      <c r="EN351" s="113"/>
      <c r="EO351" s="113"/>
      <c r="EP351" s="113"/>
      <c r="EQ351" s="113"/>
      <c r="ER351" s="113"/>
      <c r="ES351" s="113"/>
      <c r="ET351" s="113"/>
      <c r="EU351" s="113"/>
      <c r="EV351" s="113"/>
      <c r="EW351" s="113"/>
      <c r="EX351" s="113"/>
      <c r="EY351" s="113"/>
    </row>
    <row r="352">
      <c r="A352" s="65" t="s">
        <v>77</v>
      </c>
      <c r="B352" s="65" t="s">
        <v>78</v>
      </c>
      <c r="C352" s="65" t="s">
        <v>410</v>
      </c>
      <c r="D352" s="64">
        <f t="shared" si="1"/>
        <v>711.7133667</v>
      </c>
      <c r="E352" s="115"/>
      <c r="F352" s="104"/>
      <c r="G352" s="104"/>
      <c r="H352" s="104">
        <v>33.9613833333333</v>
      </c>
      <c r="I352" s="104">
        <v>64.52155</v>
      </c>
      <c r="J352" s="104">
        <v>69.0039833333333</v>
      </c>
      <c r="K352" s="104">
        <v>33.0541166666667</v>
      </c>
      <c r="L352" s="104"/>
      <c r="M352" s="104"/>
      <c r="N352" s="104"/>
      <c r="O352" s="115"/>
      <c r="P352" s="65">
        <v>6.56008333333334</v>
      </c>
      <c r="Q352" s="65"/>
      <c r="R352" s="65"/>
      <c r="S352" s="65"/>
      <c r="T352" s="65"/>
      <c r="U352" s="65">
        <v>8.15616666666667</v>
      </c>
      <c r="V352" s="65">
        <v>32.9512</v>
      </c>
      <c r="W352" s="65">
        <v>5.20683333333333</v>
      </c>
      <c r="X352" s="65"/>
      <c r="Y352" s="65"/>
      <c r="Z352" s="65"/>
      <c r="AA352" s="65"/>
      <c r="AB352" s="65">
        <v>10.8533333333333</v>
      </c>
      <c r="AC352" s="65">
        <v>186.378283333334</v>
      </c>
      <c r="AD352" s="65">
        <v>69.2310333333333</v>
      </c>
      <c r="AE352" s="65"/>
      <c r="AF352" s="65"/>
      <c r="AG352" s="65"/>
      <c r="AH352" s="65"/>
      <c r="AI352" s="65"/>
      <c r="AK352" s="65">
        <v>2.19425</v>
      </c>
      <c r="AL352" s="65">
        <v>9.29381666666667</v>
      </c>
      <c r="AM352" s="65">
        <v>6.57235</v>
      </c>
      <c r="AN352" s="65"/>
      <c r="AP352" s="65">
        <v>22.7809166666667</v>
      </c>
      <c r="AQ352" s="65">
        <v>21.2625333333333</v>
      </c>
      <c r="AR352" s="65">
        <v>5.44083333333333</v>
      </c>
      <c r="AT352" s="65"/>
      <c r="AU352" s="65">
        <v>26.7058166666667</v>
      </c>
      <c r="AV352" s="65">
        <v>38.5983833333333</v>
      </c>
      <c r="AY352" s="65">
        <v>58.9865</v>
      </c>
    </row>
    <row r="353">
      <c r="A353" s="65" t="s">
        <v>77</v>
      </c>
      <c r="B353" s="65" t="s">
        <v>78</v>
      </c>
      <c r="C353" s="65" t="s">
        <v>411</v>
      </c>
      <c r="D353" s="64">
        <f t="shared" si="1"/>
        <v>0</v>
      </c>
      <c r="E353" s="115"/>
      <c r="F353" s="115"/>
      <c r="G353" s="115"/>
      <c r="H353" s="115"/>
      <c r="I353" s="115"/>
      <c r="J353" s="115"/>
      <c r="K353" s="115"/>
      <c r="L353" s="115"/>
      <c r="M353" s="115"/>
      <c r="N353" s="115"/>
      <c r="O353" s="115"/>
    </row>
    <row r="354">
      <c r="A354" s="65" t="s">
        <v>77</v>
      </c>
      <c r="B354" s="65" t="s">
        <v>78</v>
      </c>
      <c r="C354" s="65" t="s">
        <v>412</v>
      </c>
      <c r="D354" s="64">
        <f t="shared" si="1"/>
        <v>710.2241667</v>
      </c>
      <c r="E354" s="115"/>
      <c r="F354" s="115"/>
      <c r="G354" s="115"/>
      <c r="H354" s="116">
        <f>HYPERLINK("https://docs.google.com/spreadsheets/d/1BARuygCoPOj6sRTgsa13l0u8QZdgBTOL", 33.8123833333333)</f>
        <v>33.81238333</v>
      </c>
      <c r="I354" s="116">
        <f>HYPERLINK("https://docs.google.com/spreadsheets/d/1GvoMwXhmNRVje3mYhQ4UEMpm0UH_X2xo", 64.3944666666667)</f>
        <v>64.39446667</v>
      </c>
      <c r="J354" s="116">
        <f>HYPERLINK("https://docs.google.com/spreadsheets/d/1J0bfAE8P7J5n25duE9V_RrdF7gxhId4b", 68.5695666666667)</f>
        <v>68.56956667</v>
      </c>
      <c r="K354" s="116">
        <f>HYPERLINK("https://docs.google.com/spreadsheets/d/1lpWbhr5j-LjQOSgy7EcblCG8Icl7md82", 33.0541)</f>
        <v>33.0541</v>
      </c>
      <c r="L354" s="115"/>
      <c r="M354" s="115"/>
      <c r="N354" s="115"/>
      <c r="O354" s="115"/>
      <c r="P354" s="118">
        <f>HYPERLINK("https://docs.google.com/spreadsheets/d/1qHlsMlBN-ttLu2cC3Ie7CryvttlXvje5", 6.5601)</f>
        <v>6.5601</v>
      </c>
      <c r="U354" s="118">
        <f>HYPERLINK("https://docs.google.com/spreadsheets/d/1ru4ovy3q8On_5w5AwioHRxRG4OxSAhix", 8.15616666666667)</f>
        <v>8.156166667</v>
      </c>
      <c r="V354" s="118">
        <f>HYPERLINK("https://docs.google.com/spreadsheets/d/19mPFtTFqFhsoGQ0tyI118Rs2qmW_KpXP", 32.8075666666666)</f>
        <v>32.80756667</v>
      </c>
      <c r="W354" s="118">
        <f>HYPERLINK("https://docs.google.com/spreadsheets/d/1eIw35cjf9XaWQP7xCch4oNUj7b32udKp", 5.20683333333333)</f>
        <v>5.206833333</v>
      </c>
      <c r="AB354" s="118">
        <f>HYPERLINK("https://docs.google.com/spreadsheets/d/1sE86yzgzere4JUoOrG7Gig8q905glyaC", 10.8533333333333)</f>
        <v>10.85333333</v>
      </c>
      <c r="AC354" s="118">
        <f>HYPERLINK("https://docs.google.com/spreadsheets/d/1xu7JqIfLT9VvZrSEOQ8XYBbVr_DQGX7e", 186.378283333334)</f>
        <v>186.3782833</v>
      </c>
      <c r="AD354" s="118">
        <f>HYPERLINK("https://docs.google.com/spreadsheets/d/1IjobndP_rRunbrf7dTLHQobwWRRHx8aK", 69.2309666666667)</f>
        <v>69.23096667</v>
      </c>
      <c r="AK354" s="118">
        <f>HYPERLINK("https://docs.google.com/spreadsheets/d/1J65G4zCGdJmbJYLcFagdGbY1TAS4H6TT", 2.19423333333333)</f>
        <v>2.194233333</v>
      </c>
      <c r="AL354" s="118">
        <f>HYPERLINK("https://docs.google.com/spreadsheets/d/1HffZp6E4g68b-KYXEfCKae744t_BZBSB", 9.2044)</f>
        <v>9.2044</v>
      </c>
      <c r="AM354" s="118">
        <f>HYPERLINK("https://docs.google.com/spreadsheets/d/19Hx0d6eE_-o6T4Ml2KA41wAV1a1GyGIf", 6.57235)</f>
        <v>6.57235</v>
      </c>
      <c r="AP354" s="118">
        <f>HYPERLINK("https://docs.google.com/spreadsheets/d/1mJRdSnizNL5TX_5_edi29aJO0mmYqVjH", 22.7809)</f>
        <v>22.7809</v>
      </c>
      <c r="AQ354" s="118">
        <f>HYPERLINK("https://docs.google.com/spreadsheets/d/1LGOxruQIBzA4cXYVe6qMMfuzFfsGWx6i", 21.0975666666667)</f>
        <v>21.09756667</v>
      </c>
      <c r="AR354" s="118">
        <f>HYPERLINK("https://docs.google.com/spreadsheets/d/1F6fKHs3uUrh7uz_RENGj-xHPFGGcKbRp", 5.44085)</f>
        <v>5.44085</v>
      </c>
      <c r="AU354" s="118">
        <f>HYPERLINK("https://docs.google.com/spreadsheets/d/1UrpBJ3zAynpTC_vlc7CiTpU6GdcY-LY-", 26.7057833333333)</f>
        <v>26.70578333</v>
      </c>
      <c r="AV354" s="118">
        <f>HYPERLINK("https://docs.google.com/spreadsheets/d/1s6ZryExUzs2QeLQ6WL4GJfZkKOi2txBd", 38.2889166666666)</f>
        <v>38.28891667</v>
      </c>
      <c r="AY354" s="118">
        <f>HYPERLINK("https://docs.google.com/spreadsheets/d/1OWsoRhymLr6VJ2fVHYMZUrVzTT2PI4q_", 58.9154)</f>
        <v>58.9154</v>
      </c>
    </row>
    <row r="355">
      <c r="A355" s="65" t="s">
        <v>77</v>
      </c>
      <c r="B355" s="65" t="s">
        <v>78</v>
      </c>
      <c r="C355" s="65" t="s">
        <v>413</v>
      </c>
      <c r="D355" s="64">
        <f t="shared" si="1"/>
        <v>460.1296333</v>
      </c>
      <c r="E355" s="115"/>
      <c r="F355" s="115"/>
      <c r="G355" s="104"/>
      <c r="H355" s="104">
        <v>22.8734</v>
      </c>
      <c r="I355" s="104">
        <v>41.0824833333333</v>
      </c>
      <c r="J355" s="104">
        <v>45.9676666666667</v>
      </c>
      <c r="K355" s="104">
        <v>33.0541</v>
      </c>
      <c r="L355" s="104"/>
      <c r="M355" s="104"/>
      <c r="N355" s="104"/>
      <c r="O355" s="115"/>
      <c r="P355" s="65">
        <v>6.5601</v>
      </c>
      <c r="Q355" s="65"/>
      <c r="R355" s="65"/>
      <c r="S355" s="65"/>
      <c r="T355" s="65"/>
      <c r="U355" s="65">
        <v>4.17735</v>
      </c>
      <c r="V355" s="65">
        <v>20.2401666666666</v>
      </c>
      <c r="W355" s="65">
        <v>5.20683333333333</v>
      </c>
      <c r="X355" s="65"/>
      <c r="Y355" s="65"/>
      <c r="Z355" s="65"/>
      <c r="AA355" s="65"/>
      <c r="AB355" s="65">
        <v>4.92271666666666</v>
      </c>
      <c r="AC355" s="65">
        <v>109.405516666667</v>
      </c>
      <c r="AD355" s="65">
        <v>35.0271666666667</v>
      </c>
      <c r="AE355" s="65"/>
      <c r="AF355" s="65"/>
      <c r="AG355" s="65"/>
      <c r="AH355" s="65"/>
      <c r="AI355" s="65"/>
      <c r="AK355" s="65">
        <v>0.785316666666667</v>
      </c>
      <c r="AL355" s="65">
        <v>2.98185</v>
      </c>
      <c r="AM355" s="65">
        <v>6.57235</v>
      </c>
      <c r="AN355" s="65"/>
      <c r="AP355" s="65">
        <v>22.7809</v>
      </c>
      <c r="AQ355" s="65">
        <v>5.16321666666667</v>
      </c>
      <c r="AR355" s="65">
        <v>5.44085</v>
      </c>
      <c r="AT355" s="65"/>
      <c r="AU355" s="65">
        <v>10.3031833333333</v>
      </c>
      <c r="AV355" s="65">
        <v>18.6690666666667</v>
      </c>
      <c r="AY355" s="65">
        <v>58.9154</v>
      </c>
    </row>
    <row r="356">
      <c r="A356" s="119" t="s">
        <v>77</v>
      </c>
      <c r="B356" s="119" t="s">
        <v>78</v>
      </c>
      <c r="C356" s="119" t="s">
        <v>414</v>
      </c>
      <c r="D356" s="120">
        <f t="shared" si="1"/>
        <v>26.70578333</v>
      </c>
      <c r="E356" s="121"/>
      <c r="F356" s="121"/>
      <c r="G356" s="121"/>
      <c r="H356" s="122">
        <f>HYPERLINK("https://docs.google.com/spreadsheets/d/1BARuygCoPOj6sRTgsa13l0u8QZdgBTOL", 0)</f>
        <v>0</v>
      </c>
      <c r="I356" s="122">
        <f>HYPERLINK("https://docs.google.com/spreadsheets/d/1GvoMwXhmNRVje3mYhQ4UEMpm0UH_X2xo", 0)</f>
        <v>0</v>
      </c>
      <c r="J356" s="122">
        <f>HYPERLINK("https://docs.google.com/spreadsheets/d/1J0bfAE8P7J5n25duE9V_RrdF7gxhId4b", 0)</f>
        <v>0</v>
      </c>
      <c r="K356" s="122">
        <f>HYPERLINK("https://docs.google.com/spreadsheets/d/1lpWbhr5j-LjQOSgy7EcblCG8Icl7md82", 0)</f>
        <v>0</v>
      </c>
      <c r="L356" s="121"/>
      <c r="M356" s="121"/>
      <c r="N356" s="123"/>
      <c r="O356" s="121"/>
      <c r="P356" s="124">
        <f>HYPERLINK("https://docs.google.com/spreadsheets/d/1qHlsMlBN-ttLu2cC3Ie7CryvttlXvje5", 0)</f>
        <v>0</v>
      </c>
      <c r="Q356" s="120"/>
      <c r="R356" s="120"/>
      <c r="S356" s="120"/>
      <c r="T356" s="119"/>
      <c r="U356" s="125">
        <f>HYPERLINK("https://docs.google.com/spreadsheets/d/1ru4ovy3q8On_5w5AwioHRxRG4OxSAhix", 0)</f>
        <v>0</v>
      </c>
      <c r="V356" s="124">
        <f>HYPERLINK("https://docs.google.com/spreadsheets/d/19mPFtTFqFhsoGQ0tyI118Rs2qmW_KpXP", 0)</f>
        <v>0</v>
      </c>
      <c r="W356" s="124">
        <f>HYPERLINK("https://docs.google.com/spreadsheets/d/1eIw35cjf9XaWQP7xCch4oNUj7b32udKp", 0)</f>
        <v>0</v>
      </c>
      <c r="X356" s="119"/>
      <c r="Y356" s="120"/>
      <c r="Z356" s="120"/>
      <c r="AA356" s="120"/>
      <c r="AB356" s="124">
        <f>HYPERLINK("https://docs.google.com/spreadsheets/d/1sE86yzgzere4JUoOrG7Gig8q905glyaC", 0)</f>
        <v>0</v>
      </c>
      <c r="AC356" s="124">
        <f>HYPERLINK("https://docs.google.com/spreadsheets/d/1xu7JqIfLT9VvZrSEOQ8XYBbVr_DQGX7e", 0)</f>
        <v>0</v>
      </c>
      <c r="AD356" s="124">
        <f>HYPERLINK("https://docs.google.com/spreadsheets/d/1IjobndP_rRunbrf7dTLHQobwWRRHx8aK", 0)</f>
        <v>0</v>
      </c>
      <c r="AE356" s="120"/>
      <c r="AF356" s="120"/>
      <c r="AG356" s="119"/>
      <c r="AH356" s="119"/>
      <c r="AI356" s="119"/>
      <c r="AJ356" s="120"/>
      <c r="AK356" s="124">
        <f>HYPERLINK("https://docs.google.com/spreadsheets/d/1J65G4zCGdJmbJYLcFagdGbY1TAS4H6TT", 0)</f>
        <v>0</v>
      </c>
      <c r="AL356" s="125">
        <f>HYPERLINK("https://docs.google.com/spreadsheets/d/1HffZp6E4g68b-KYXEfCKae744t_BZBSB", 0)</f>
        <v>0</v>
      </c>
      <c r="AM356" s="124">
        <f>HYPERLINK("https://docs.google.com/spreadsheets/d/19Hx0d6eE_-o6T4Ml2KA41wAV1a1GyGIf", 0)</f>
        <v>0</v>
      </c>
      <c r="AN356" s="119"/>
      <c r="AO356" s="120"/>
      <c r="AP356" s="124">
        <f>HYPERLINK("https://docs.google.com/spreadsheets/d/1mJRdSnizNL5TX_5_edi29aJO0mmYqVjH", 0)</f>
        <v>0</v>
      </c>
      <c r="AQ356" s="125">
        <f>HYPERLINK("https://docs.google.com/spreadsheets/d/1LGOxruQIBzA4cXYVe6qMMfuzFfsGWx6i", 0)</f>
        <v>0</v>
      </c>
      <c r="AR356" s="125">
        <f>HYPERLINK("https://docs.google.com/spreadsheets/d/1F6fKHs3uUrh7uz_RENGj-xHPFGGcKbRp", 0)</f>
        <v>0</v>
      </c>
      <c r="AS356" s="120"/>
      <c r="AT356" s="120"/>
      <c r="AU356" s="124">
        <f>HYPERLINK("https://docs.google.com/spreadsheets/d/1UrpBJ3zAynpTC_vlc7CiTpU6GdcY-LY-", 26.7057833333333)</f>
        <v>26.70578333</v>
      </c>
      <c r="AV356" s="124">
        <f>HYPERLINK("https://docs.google.com/spreadsheets/d/1s6ZryExUzs2QeLQ6WL4GJfZkKOi2txBd", 0)</f>
        <v>0</v>
      </c>
      <c r="AW356" s="120"/>
      <c r="AX356" s="120"/>
      <c r="AY356" s="124">
        <f>HYPERLINK("https://docs.google.com/spreadsheets/d/1OWsoRhymLr6VJ2fVHYMZUrVzTT2PI4q_", 0)</f>
        <v>0</v>
      </c>
      <c r="AZ356" s="120"/>
      <c r="BA356" s="120"/>
      <c r="BB356" s="120"/>
      <c r="BC356" s="120"/>
      <c r="BD356" s="120"/>
      <c r="BE356" s="120"/>
      <c r="BF356" s="120"/>
      <c r="BG356" s="120"/>
      <c r="BH356" s="120"/>
      <c r="BI356" s="120"/>
      <c r="BJ356" s="120"/>
      <c r="BK356" s="120"/>
      <c r="BL356" s="120"/>
      <c r="BM356" s="120"/>
      <c r="BN356" s="120"/>
      <c r="BO356" s="120"/>
      <c r="BP356" s="120"/>
      <c r="BQ356" s="120"/>
      <c r="BR356" s="120"/>
      <c r="BS356" s="120"/>
      <c r="BT356" s="120"/>
      <c r="BU356" s="120"/>
      <c r="BV356" s="120"/>
      <c r="BW356" s="120"/>
      <c r="BX356" s="120"/>
      <c r="BY356" s="120"/>
      <c r="BZ356" s="120"/>
      <c r="CA356" s="120"/>
      <c r="CB356" s="120"/>
      <c r="CC356" s="120"/>
      <c r="CD356" s="120"/>
      <c r="CE356" s="120"/>
      <c r="CF356" s="120"/>
      <c r="CG356" s="120"/>
      <c r="CH356" s="120"/>
      <c r="CI356" s="120"/>
      <c r="CJ356" s="120"/>
      <c r="CK356" s="120"/>
      <c r="CL356" s="120"/>
      <c r="CM356" s="120"/>
      <c r="CN356" s="120"/>
      <c r="CO356" s="120"/>
      <c r="CP356" s="120"/>
      <c r="CQ356" s="120"/>
      <c r="CR356" s="120"/>
      <c r="CS356" s="120"/>
      <c r="CT356" s="120"/>
      <c r="CU356" s="120"/>
      <c r="CV356" s="120"/>
      <c r="CW356" s="120"/>
      <c r="CX356" s="120"/>
      <c r="CY356" s="120"/>
      <c r="CZ356" s="120"/>
      <c r="DA356" s="120"/>
      <c r="DB356" s="120"/>
      <c r="DC356" s="120"/>
      <c r="DD356" s="120"/>
      <c r="DE356" s="120"/>
      <c r="DF356" s="120"/>
      <c r="DG356" s="120"/>
      <c r="DH356" s="120"/>
      <c r="DI356" s="120"/>
      <c r="DJ356" s="120"/>
      <c r="DK356" s="120"/>
      <c r="DL356" s="120"/>
      <c r="DM356" s="120"/>
      <c r="DN356" s="120"/>
      <c r="DO356" s="120"/>
      <c r="DP356" s="120"/>
      <c r="DQ356" s="120"/>
      <c r="DR356" s="120"/>
      <c r="DS356" s="120"/>
      <c r="DT356" s="120"/>
      <c r="DU356" s="120"/>
      <c r="DV356" s="120"/>
      <c r="DW356" s="120"/>
      <c r="DX356" s="120"/>
      <c r="DY356" s="120"/>
      <c r="DZ356" s="120"/>
      <c r="EA356" s="120"/>
      <c r="EB356" s="120"/>
      <c r="EC356" s="120"/>
      <c r="ED356" s="120"/>
      <c r="EE356" s="120"/>
      <c r="EF356" s="120"/>
      <c r="EG356" s="120"/>
      <c r="EH356" s="120"/>
      <c r="EI356" s="120"/>
      <c r="EJ356" s="120"/>
      <c r="EK356" s="120"/>
      <c r="EL356" s="120"/>
      <c r="EM356" s="120"/>
      <c r="EN356" s="120"/>
      <c r="EO356" s="120"/>
      <c r="EP356" s="120"/>
      <c r="EQ356" s="120"/>
      <c r="ER356" s="120"/>
      <c r="ES356" s="120"/>
      <c r="ET356" s="120"/>
      <c r="EU356" s="120"/>
      <c r="EV356" s="120"/>
      <c r="EW356" s="120"/>
      <c r="EX356" s="120"/>
      <c r="EY356" s="120"/>
    </row>
    <row r="357">
      <c r="A357" s="112" t="s">
        <v>77</v>
      </c>
      <c r="B357" s="112" t="s">
        <v>91</v>
      </c>
      <c r="C357" s="112" t="s">
        <v>409</v>
      </c>
      <c r="D357" s="113">
        <f t="shared" si="1"/>
        <v>736.0492333</v>
      </c>
      <c r="E357" s="114">
        <v>210.5806</v>
      </c>
      <c r="F357" s="114"/>
      <c r="G357" s="114"/>
      <c r="H357" s="114"/>
      <c r="I357" s="114"/>
      <c r="J357" s="114"/>
      <c r="K357" s="114"/>
      <c r="L357" s="114">
        <v>2.98613333333333</v>
      </c>
      <c r="M357" s="114"/>
      <c r="N357" s="114"/>
      <c r="O357" s="114">
        <v>35.0877666666667</v>
      </c>
      <c r="P357" s="112"/>
      <c r="Q357" s="112">
        <v>0.355566666666667</v>
      </c>
      <c r="R357" s="112">
        <v>25.70885</v>
      </c>
      <c r="S357" s="112"/>
      <c r="T357" s="112"/>
      <c r="U357" s="112"/>
      <c r="V357" s="112"/>
      <c r="W357" s="112"/>
      <c r="X357" s="112">
        <v>0.504566666666667</v>
      </c>
      <c r="Y357" s="112">
        <v>185.450016666667</v>
      </c>
      <c r="Z357" s="112"/>
      <c r="AA357" s="113"/>
      <c r="AB357" s="112"/>
      <c r="AC357" s="112"/>
      <c r="AD357" s="112"/>
      <c r="AE357" s="112">
        <v>4.51671666666667</v>
      </c>
      <c r="AF357" s="112"/>
      <c r="AG357" s="112"/>
      <c r="AH357" s="112">
        <v>17.0405833333333</v>
      </c>
      <c r="AI357" s="112"/>
      <c r="AJ357" s="112"/>
      <c r="AK357" s="112"/>
      <c r="AL357" s="113"/>
      <c r="AM357" s="112"/>
      <c r="AN357" s="112">
        <v>1.0969</v>
      </c>
      <c r="AO357" s="112">
        <v>70.7284333333333</v>
      </c>
      <c r="AP357" s="112"/>
      <c r="AQ357" s="113"/>
      <c r="AR357" s="112"/>
      <c r="AS357" s="112">
        <v>3.99005</v>
      </c>
      <c r="AT357" s="112">
        <v>143.1195</v>
      </c>
      <c r="AU357" s="112"/>
      <c r="AV357" s="112"/>
      <c r="AW357" s="112">
        <v>6.8912</v>
      </c>
      <c r="AX357" s="112">
        <v>24.9917333333333</v>
      </c>
      <c r="AY357" s="113"/>
      <c r="AZ357" s="112">
        <v>2.84656666666667</v>
      </c>
      <c r="BA357" s="112">
        <v>0.15405</v>
      </c>
      <c r="BB357" s="113"/>
      <c r="BC357" s="113"/>
      <c r="BD357" s="113"/>
      <c r="BE357" s="113"/>
      <c r="BF357" s="113"/>
      <c r="BG357" s="113"/>
      <c r="BH357" s="113"/>
      <c r="BI357" s="113"/>
      <c r="BJ357" s="113"/>
      <c r="BK357" s="113"/>
      <c r="BL357" s="113"/>
      <c r="BM357" s="113"/>
      <c r="BN357" s="113"/>
      <c r="BO357" s="113"/>
      <c r="BP357" s="113"/>
      <c r="BQ357" s="113"/>
      <c r="BR357" s="113"/>
      <c r="BS357" s="113"/>
      <c r="BT357" s="113"/>
      <c r="BU357" s="113"/>
      <c r="BV357" s="113"/>
      <c r="BW357" s="113"/>
      <c r="BX357" s="113"/>
      <c r="BY357" s="113"/>
      <c r="BZ357" s="113"/>
      <c r="CA357" s="113"/>
      <c r="CB357" s="113"/>
      <c r="CC357" s="113"/>
      <c r="CD357" s="113"/>
      <c r="CE357" s="113"/>
      <c r="CF357" s="113"/>
      <c r="CG357" s="113"/>
      <c r="CH357" s="113"/>
      <c r="CI357" s="113"/>
      <c r="CJ357" s="113"/>
      <c r="CK357" s="113"/>
      <c r="CL357" s="113"/>
      <c r="CM357" s="113"/>
      <c r="CN357" s="113"/>
      <c r="CO357" s="113"/>
      <c r="CP357" s="113"/>
      <c r="CQ357" s="113"/>
      <c r="CR357" s="113"/>
      <c r="CS357" s="113"/>
      <c r="CT357" s="113"/>
      <c r="CU357" s="113"/>
      <c r="CV357" s="113"/>
      <c r="CW357" s="113"/>
      <c r="CX357" s="113"/>
      <c r="CY357" s="113"/>
      <c r="CZ357" s="113"/>
      <c r="DA357" s="113"/>
      <c r="DB357" s="113"/>
      <c r="DC357" s="113"/>
      <c r="DD357" s="113"/>
      <c r="DE357" s="113"/>
      <c r="DF357" s="113"/>
      <c r="DG357" s="113"/>
      <c r="DH357" s="113"/>
      <c r="DI357" s="113"/>
      <c r="DJ357" s="113"/>
      <c r="DK357" s="113"/>
      <c r="DL357" s="113"/>
      <c r="DM357" s="113"/>
      <c r="DN357" s="113"/>
      <c r="DO357" s="113"/>
      <c r="DP357" s="113"/>
      <c r="DQ357" s="113"/>
      <c r="DR357" s="113"/>
      <c r="DS357" s="113"/>
      <c r="DT357" s="113"/>
      <c r="DU357" s="113"/>
      <c r="DV357" s="113"/>
      <c r="DW357" s="113"/>
      <c r="DX357" s="113"/>
      <c r="DY357" s="113"/>
      <c r="DZ357" s="113"/>
      <c r="EA357" s="113"/>
      <c r="EB357" s="113"/>
      <c r="EC357" s="113"/>
      <c r="ED357" s="113"/>
      <c r="EE357" s="113"/>
      <c r="EF357" s="113"/>
      <c r="EG357" s="113"/>
      <c r="EH357" s="113"/>
      <c r="EI357" s="113"/>
      <c r="EJ357" s="113"/>
      <c r="EK357" s="113"/>
      <c r="EL357" s="113"/>
      <c r="EM357" s="113"/>
      <c r="EN357" s="113"/>
      <c r="EO357" s="113"/>
      <c r="EP357" s="113"/>
      <c r="EQ357" s="113"/>
      <c r="ER357" s="113"/>
      <c r="ES357" s="113"/>
      <c r="ET357" s="113"/>
      <c r="EU357" s="113"/>
      <c r="EV357" s="113"/>
      <c r="EW357" s="113"/>
      <c r="EX357" s="113"/>
      <c r="EY357" s="113"/>
    </row>
    <row r="358">
      <c r="A358" s="65" t="s">
        <v>77</v>
      </c>
      <c r="B358" s="65" t="s">
        <v>91</v>
      </c>
      <c r="C358" s="65" t="s">
        <v>410</v>
      </c>
      <c r="D358" s="64">
        <f t="shared" si="1"/>
        <v>599.10745</v>
      </c>
      <c r="E358" s="115"/>
      <c r="F358" s="104"/>
      <c r="G358" s="104"/>
      <c r="H358" s="104">
        <v>67.8292166666667</v>
      </c>
      <c r="I358" s="104">
        <v>70.3785666666667</v>
      </c>
      <c r="J358" s="104">
        <v>43.9095333333333</v>
      </c>
      <c r="K358" s="104">
        <v>15.18135</v>
      </c>
      <c r="L358" s="104"/>
      <c r="M358" s="104"/>
      <c r="N358" s="104"/>
      <c r="O358" s="104"/>
      <c r="P358" s="65">
        <v>7.04385</v>
      </c>
      <c r="Q358" s="65"/>
      <c r="R358" s="65"/>
      <c r="S358" s="65"/>
      <c r="T358" s="65"/>
      <c r="U358" s="65">
        <v>1.24031666666667</v>
      </c>
      <c r="V358" s="65">
        <v>18.9851833333333</v>
      </c>
      <c r="W358" s="65">
        <v>2.90725</v>
      </c>
      <c r="X358" s="65"/>
      <c r="Y358" s="65"/>
      <c r="Z358" s="65"/>
      <c r="AA358" s="65"/>
      <c r="AB358" s="65">
        <v>19.3179333333333</v>
      </c>
      <c r="AC358" s="65">
        <v>134.575183333333</v>
      </c>
      <c r="AD358" s="65">
        <v>21.9264666666667</v>
      </c>
      <c r="AE358" s="65"/>
      <c r="AF358" s="65"/>
      <c r="AG358" s="65"/>
      <c r="AH358" s="65"/>
      <c r="AI358" s="65"/>
      <c r="AK358" s="65">
        <v>2.49465</v>
      </c>
      <c r="AL358" s="65">
        <v>7.0881</v>
      </c>
      <c r="AM358" s="65">
        <v>7.10433333333333</v>
      </c>
      <c r="AN358" s="65"/>
      <c r="AP358" s="65">
        <v>25.5801333333333</v>
      </c>
      <c r="AQ358" s="65">
        <v>19.72465</v>
      </c>
      <c r="AR358" s="65">
        <v>3.52303333333333</v>
      </c>
      <c r="AT358" s="65"/>
      <c r="AU358" s="65">
        <v>57.5264666666666</v>
      </c>
      <c r="AV358" s="65">
        <v>48.75555</v>
      </c>
      <c r="AY358" s="65">
        <v>24.0156833333333</v>
      </c>
    </row>
    <row r="359">
      <c r="A359" s="65" t="s">
        <v>77</v>
      </c>
      <c r="B359" s="65" t="s">
        <v>91</v>
      </c>
      <c r="C359" s="65" t="s">
        <v>411</v>
      </c>
      <c r="D359" s="64">
        <f t="shared" si="1"/>
        <v>0</v>
      </c>
      <c r="E359" s="115"/>
      <c r="F359" s="115"/>
      <c r="G359" s="115"/>
      <c r="H359" s="115"/>
      <c r="I359" s="115"/>
      <c r="J359" s="115"/>
      <c r="K359" s="115"/>
      <c r="L359" s="115"/>
      <c r="M359" s="115"/>
      <c r="N359" s="115"/>
      <c r="O359" s="115"/>
    </row>
    <row r="360">
      <c r="A360" s="65" t="s">
        <v>77</v>
      </c>
      <c r="B360" s="65" t="s">
        <v>91</v>
      </c>
      <c r="C360" s="65" t="s">
        <v>412</v>
      </c>
      <c r="D360" s="64">
        <f t="shared" si="1"/>
        <v>595.9807833</v>
      </c>
      <c r="E360" s="115"/>
      <c r="F360" s="115"/>
      <c r="G360" s="115"/>
      <c r="H360" s="116">
        <f>HYPERLINK("https://docs.google.com/spreadsheets/d/1bDQo-ROVghFiIcOptZ-1TZpUoc_QY10O", 67.4989)</f>
        <v>67.4989</v>
      </c>
      <c r="I360" s="116">
        <f>HYPERLINK("https://docs.google.com/spreadsheets/d/1lkPK1qqn9p44Iwpa7bBuO8j9H5pw4lZt", 69.5579333333334)</f>
        <v>69.55793333</v>
      </c>
      <c r="J360" s="116">
        <f>HYPERLINK("https://docs.google.com/spreadsheets/d/1mWlQScvgrNykQnxUI3s4KpZAc_fXgIOA", 43.2571)</f>
        <v>43.2571</v>
      </c>
      <c r="K360" s="116">
        <f>HYPERLINK("https://docs.google.com/spreadsheets/d/1fu0TVLPthEahywmTaN8YXwtoU7jStXRh", 15.1813333333333)</f>
        <v>15.18133333</v>
      </c>
      <c r="L360" s="115"/>
      <c r="M360" s="115"/>
      <c r="N360" s="115"/>
      <c r="O360" s="115"/>
      <c r="P360" s="118">
        <f>HYPERLINK("https://docs.google.com/spreadsheets/d/1jZGXNDifhfxGzCg0DEkx9UK0-x9bch_m", 7.04385)</f>
        <v>7.04385</v>
      </c>
      <c r="U360" s="118">
        <f>HYPERLINK("https://docs.google.com/spreadsheets/d/1Ys9Q4gRKeE15VF6ym7F7cOGZSUWgHgrc", 1.24031666666667)</f>
        <v>1.240316667</v>
      </c>
      <c r="V360" s="118">
        <f>HYPERLINK("https://docs.google.com/spreadsheets/d/1UJhdULo8NZIOipu7no9o7puwKF9Oscao", 18.9851666666667)</f>
        <v>18.98516667</v>
      </c>
      <c r="W360" s="118">
        <f>HYPERLINK("https://docs.google.com/spreadsheets/d/1Mro8L0t9WUvrrLXiJp9wo-CAEOBDb1EB", 2.90726666666667)</f>
        <v>2.907266667</v>
      </c>
      <c r="AB360" s="118">
        <f>HYPERLINK("https://docs.google.com/spreadsheets/d/1KBwbj9NYPv20o99nFwvXa6WFmNwYE32m", 19.0149833333333)</f>
        <v>19.01498333</v>
      </c>
      <c r="AC360" s="118">
        <f>HYPERLINK("https://docs.google.com/spreadsheets/d/15Hv80GgZAkgIo2nKnDhD1-pEJ1wE20uZ", 134.017366666667)</f>
        <v>134.0173667</v>
      </c>
      <c r="AD360" s="118">
        <f>HYPERLINK("https://docs.google.com/spreadsheets/d/1GMWcNQ6-czZeAMbQjJr2AvPjK7l0hMf0", 21.92645)</f>
        <v>21.92645</v>
      </c>
      <c r="AK360" s="118">
        <f>HYPERLINK("https://docs.google.com/spreadsheets/d/1QMltdHMzrK9EfVfE2OEKKB20tLS8Zbnh", 2.49465)</f>
        <v>2.49465</v>
      </c>
      <c r="AL360" s="118">
        <f>HYPERLINK("https://docs.google.com/spreadsheets/d/1v39VuBPj-1R8n2uPQEdoCzQopY-NA_1c", 7.0881)</f>
        <v>7.0881</v>
      </c>
      <c r="AM360" s="118">
        <f>HYPERLINK("https://docs.google.com/spreadsheets/d/1V9P6YhLyVjvxxTfgfQevHcsGwtJxNy0c", 7.10433333333333)</f>
        <v>7.104333333</v>
      </c>
      <c r="AP360" s="118">
        <f>HYPERLINK("https://docs.google.com/spreadsheets/d/1aK7fSTlfXpGKKi3Lk2tlj_fHQ1O0Hi5C", 25.5800833333333)</f>
        <v>25.58008333</v>
      </c>
      <c r="AQ360" s="118">
        <f>HYPERLINK("https://docs.google.com/spreadsheets/d/1O9j3yGl9o7ofQdBPZqpmdBKNPz2Fj83Y", 19.7246333333333)</f>
        <v>19.72463333</v>
      </c>
      <c r="AR360" s="118">
        <f>HYPERLINK("https://docs.google.com/spreadsheets/d/1l8wrb9VueKyThvAqB9fp4RAi8Q_NUCMN", 3.52305)</f>
        <v>3.52305</v>
      </c>
      <c r="AU360" s="118">
        <f>HYPERLINK("https://docs.google.com/spreadsheets/d/1gTXW5W6YIXtt4M325kMhyHSvwvWB5hVc", 57.0640833333333)</f>
        <v>57.06408333</v>
      </c>
      <c r="AV360" s="118">
        <f>HYPERLINK("https://docs.google.com/spreadsheets/d/1gYbNULaZO6BInDVtnx60ufsqRNhvgdDo", 48.7555)</f>
        <v>48.7555</v>
      </c>
      <c r="AY360" s="118">
        <f>HYPERLINK("https://docs.google.com/spreadsheets/d/18LetSQGPLrggxUt6L9AXHYznsk4Buc65", 24.0156833333333)</f>
        <v>24.01568333</v>
      </c>
    </row>
    <row r="361">
      <c r="A361" s="65" t="s">
        <v>77</v>
      </c>
      <c r="B361" s="65" t="s">
        <v>91</v>
      </c>
      <c r="C361" s="65" t="s">
        <v>413</v>
      </c>
      <c r="D361" s="64">
        <f t="shared" si="1"/>
        <v>394.0521</v>
      </c>
      <c r="E361" s="115"/>
      <c r="F361" s="115"/>
      <c r="G361" s="104"/>
      <c r="H361" s="104">
        <v>49.5943666666667</v>
      </c>
      <c r="I361" s="104">
        <v>47.9867166666667</v>
      </c>
      <c r="J361" s="104">
        <v>27.3357833333333</v>
      </c>
      <c r="K361" s="104">
        <v>15.1813333333333</v>
      </c>
      <c r="L361" s="104"/>
      <c r="M361" s="104"/>
      <c r="N361" s="104"/>
      <c r="O361" s="104"/>
      <c r="P361" s="65">
        <v>7.04385</v>
      </c>
      <c r="Q361" s="65"/>
      <c r="R361" s="65"/>
      <c r="S361" s="65"/>
      <c r="T361" s="65"/>
      <c r="U361" s="65">
        <v>0.292183333333333</v>
      </c>
      <c r="V361" s="65">
        <v>11.6217</v>
      </c>
      <c r="W361" s="65">
        <v>2.90726666666667</v>
      </c>
      <c r="X361" s="65"/>
      <c r="Y361" s="65"/>
      <c r="Z361" s="65"/>
      <c r="AA361" s="65"/>
      <c r="AB361" s="65">
        <v>6.60728333333334</v>
      </c>
      <c r="AC361" s="65">
        <v>83.6781833333333</v>
      </c>
      <c r="AD361" s="65">
        <v>5.76005000000001</v>
      </c>
      <c r="AE361" s="65"/>
      <c r="AF361" s="65"/>
      <c r="AG361" s="65"/>
      <c r="AH361" s="65"/>
      <c r="AI361" s="65"/>
      <c r="AK361" s="65">
        <v>0.177933333333334</v>
      </c>
      <c r="AL361" s="65">
        <v>3.31226666666667</v>
      </c>
      <c r="AM361" s="65">
        <v>7.10433333333333</v>
      </c>
      <c r="AN361" s="65"/>
      <c r="AP361" s="65">
        <v>25.5800833333333</v>
      </c>
      <c r="AQ361" s="65">
        <v>8.28221666666665</v>
      </c>
      <c r="AR361" s="65">
        <v>3.52305</v>
      </c>
      <c r="AT361" s="65"/>
      <c r="AU361" s="65">
        <v>36.5495666666667</v>
      </c>
      <c r="AV361" s="65">
        <v>27.49825</v>
      </c>
      <c r="AY361" s="65">
        <v>24.0156833333333</v>
      </c>
    </row>
    <row r="362">
      <c r="A362" s="119" t="s">
        <v>77</v>
      </c>
      <c r="B362" s="119" t="s">
        <v>91</v>
      </c>
      <c r="C362" s="119" t="s">
        <v>414</v>
      </c>
      <c r="D362" s="120">
        <f t="shared" si="1"/>
        <v>57.06408333</v>
      </c>
      <c r="E362" s="121"/>
      <c r="F362" s="121"/>
      <c r="G362" s="121"/>
      <c r="H362" s="122">
        <f>HYPERLINK("https://docs.google.com/spreadsheets/d/1bDQo-ROVghFiIcOptZ-1TZpUoc_QY10O", 0)</f>
        <v>0</v>
      </c>
      <c r="I362" s="122">
        <f>HYPERLINK("https://docs.google.com/spreadsheets/d/1lkPK1qqn9p44Iwpa7bBuO8j9H5pw4lZt", 0)</f>
        <v>0</v>
      </c>
      <c r="J362" s="122">
        <f>HYPERLINK("https://docs.google.com/spreadsheets/d/1mWlQScvgrNykQnxUI3s4KpZAc_fXgIOA", 0)</f>
        <v>0</v>
      </c>
      <c r="K362" s="122">
        <f>HYPERLINK("https://docs.google.com/spreadsheets/d/1fu0TVLPthEahywmTaN8YXwtoU7jStXRh", 0)</f>
        <v>0</v>
      </c>
      <c r="L362" s="121"/>
      <c r="M362" s="121"/>
      <c r="N362" s="123"/>
      <c r="O362" s="121"/>
      <c r="P362" s="124">
        <f>HYPERLINK("https://docs.google.com/spreadsheets/d/1jZGXNDifhfxGzCg0DEkx9UK0-x9bch_m", 0)</f>
        <v>0</v>
      </c>
      <c r="Q362" s="120"/>
      <c r="R362" s="120"/>
      <c r="S362" s="120"/>
      <c r="T362" s="119"/>
      <c r="U362" s="125">
        <f>HYPERLINK("https://docs.google.com/spreadsheets/d/1Ys9Q4gRKeE15VF6ym7F7cOGZSUWgHgrc", 0)</f>
        <v>0</v>
      </c>
      <c r="V362" s="124">
        <f>HYPERLINK("https://docs.google.com/spreadsheets/d/1UJhdULo8NZIOipu7no9o7puwKF9Oscao", 0)</f>
        <v>0</v>
      </c>
      <c r="W362" s="124">
        <f>HYPERLINK("https://docs.google.com/spreadsheets/d/1Mro8L0t9WUvrrLXiJp9wo-CAEOBDb1EB", 0)</f>
        <v>0</v>
      </c>
      <c r="X362" s="120"/>
      <c r="Y362" s="120"/>
      <c r="Z362" s="120"/>
      <c r="AA362" s="120"/>
      <c r="AB362" s="124">
        <f>HYPERLINK("https://docs.google.com/spreadsheets/d/1KBwbj9NYPv20o99nFwvXa6WFmNwYE32m", 0)</f>
        <v>0</v>
      </c>
      <c r="AC362" s="124">
        <f>HYPERLINK("https://docs.google.com/spreadsheets/d/15Hv80GgZAkgIo2nKnDhD1-pEJ1wE20uZ", 0)</f>
        <v>0</v>
      </c>
      <c r="AD362" s="124">
        <f>HYPERLINK("https://docs.google.com/spreadsheets/d/1GMWcNQ6-czZeAMbQjJr2AvPjK7l0hMf0", 0)</f>
        <v>0</v>
      </c>
      <c r="AE362" s="120"/>
      <c r="AF362" s="120"/>
      <c r="AG362" s="119"/>
      <c r="AH362" s="119"/>
      <c r="AI362" s="119"/>
      <c r="AJ362" s="120"/>
      <c r="AK362" s="124">
        <f>HYPERLINK("https://docs.google.com/spreadsheets/d/1QMltdHMzrK9EfVfE2OEKKB20tLS8Zbnh", 0)</f>
        <v>0</v>
      </c>
      <c r="AL362" s="125">
        <f>HYPERLINK("https://docs.google.com/spreadsheets/d/1v39VuBPj-1R8n2uPQEdoCzQopY-NA_1c", 0)</f>
        <v>0</v>
      </c>
      <c r="AM362" s="124">
        <f>HYPERLINK("https://docs.google.com/spreadsheets/d/1V9P6YhLyVjvxxTfgfQevHcsGwtJxNy0c", 0)</f>
        <v>0</v>
      </c>
      <c r="AN362" s="119"/>
      <c r="AO362" s="120"/>
      <c r="AP362" s="124">
        <f>HYPERLINK("https://docs.google.com/spreadsheets/d/1aK7fSTlfXpGKKi3Lk2tlj_fHQ1O0Hi5C", 0)</f>
        <v>0</v>
      </c>
      <c r="AQ362" s="125">
        <f>HYPERLINK("https://docs.google.com/spreadsheets/d/1O9j3yGl9o7ofQdBPZqpmdBKNPz2Fj83Y", 0)</f>
        <v>0</v>
      </c>
      <c r="AR362" s="125">
        <f>HYPERLINK("https://docs.google.com/spreadsheets/d/1l8wrb9VueKyThvAqB9fp4RAi8Q_NUCMN", 0)</f>
        <v>0</v>
      </c>
      <c r="AS362" s="120"/>
      <c r="AT362" s="120"/>
      <c r="AU362" s="124">
        <f>HYPERLINK("https://docs.google.com/spreadsheets/d/1gTXW5W6YIXtt4M325kMhyHSvwvWB5hVc", 57.0640833333333)</f>
        <v>57.06408333</v>
      </c>
      <c r="AV362" s="124">
        <f>HYPERLINK("https://docs.google.com/spreadsheets/d/1gYbNULaZO6BInDVtnx60ufsqRNhvgdDo", 0)</f>
        <v>0</v>
      </c>
      <c r="AW362" s="120"/>
      <c r="AX362" s="120"/>
      <c r="AY362" s="124">
        <f>HYPERLINK("https://docs.google.com/spreadsheets/d/18LetSQGPLrggxUt6L9AXHYznsk4Buc65", 0)</f>
        <v>0</v>
      </c>
      <c r="AZ362" s="120"/>
      <c r="BA362" s="120"/>
      <c r="BB362" s="120"/>
      <c r="BC362" s="120"/>
      <c r="BD362" s="120"/>
      <c r="BE362" s="120"/>
      <c r="BF362" s="120"/>
      <c r="BG362" s="120"/>
      <c r="BH362" s="120"/>
      <c r="BI362" s="120"/>
      <c r="BJ362" s="120"/>
      <c r="BK362" s="120"/>
      <c r="BL362" s="120"/>
      <c r="BM362" s="120"/>
      <c r="BN362" s="120"/>
      <c r="BO362" s="120"/>
      <c r="BP362" s="120"/>
      <c r="BQ362" s="120"/>
      <c r="BR362" s="120"/>
      <c r="BS362" s="120"/>
      <c r="BT362" s="120"/>
      <c r="BU362" s="120"/>
      <c r="BV362" s="120"/>
      <c r="BW362" s="120"/>
      <c r="BX362" s="120"/>
      <c r="BY362" s="120"/>
      <c r="BZ362" s="120"/>
      <c r="CA362" s="120"/>
      <c r="CB362" s="120"/>
      <c r="CC362" s="120"/>
      <c r="CD362" s="120"/>
      <c r="CE362" s="120"/>
      <c r="CF362" s="120"/>
      <c r="CG362" s="120"/>
      <c r="CH362" s="120"/>
      <c r="CI362" s="120"/>
      <c r="CJ362" s="120"/>
      <c r="CK362" s="120"/>
      <c r="CL362" s="120"/>
      <c r="CM362" s="120"/>
      <c r="CN362" s="120"/>
      <c r="CO362" s="120"/>
      <c r="CP362" s="120"/>
      <c r="CQ362" s="120"/>
      <c r="CR362" s="120"/>
      <c r="CS362" s="120"/>
      <c r="CT362" s="120"/>
      <c r="CU362" s="120"/>
      <c r="CV362" s="120"/>
      <c r="CW362" s="120"/>
      <c r="CX362" s="120"/>
      <c r="CY362" s="120"/>
      <c r="CZ362" s="120"/>
      <c r="DA362" s="120"/>
      <c r="DB362" s="120"/>
      <c r="DC362" s="120"/>
      <c r="DD362" s="120"/>
      <c r="DE362" s="120"/>
      <c r="DF362" s="120"/>
      <c r="DG362" s="120"/>
      <c r="DH362" s="120"/>
      <c r="DI362" s="120"/>
      <c r="DJ362" s="120"/>
      <c r="DK362" s="120"/>
      <c r="DL362" s="120"/>
      <c r="DM362" s="120"/>
      <c r="DN362" s="120"/>
      <c r="DO362" s="120"/>
      <c r="DP362" s="120"/>
      <c r="DQ362" s="120"/>
      <c r="DR362" s="120"/>
      <c r="DS362" s="120"/>
      <c r="DT362" s="120"/>
      <c r="DU362" s="120"/>
      <c r="DV362" s="120"/>
      <c r="DW362" s="120"/>
      <c r="DX362" s="120"/>
      <c r="DY362" s="120"/>
      <c r="DZ362" s="120"/>
      <c r="EA362" s="120"/>
      <c r="EB362" s="120"/>
      <c r="EC362" s="120"/>
      <c r="ED362" s="120"/>
      <c r="EE362" s="120"/>
      <c r="EF362" s="120"/>
      <c r="EG362" s="120"/>
      <c r="EH362" s="120"/>
      <c r="EI362" s="120"/>
      <c r="EJ362" s="120"/>
      <c r="EK362" s="120"/>
      <c r="EL362" s="120"/>
      <c r="EM362" s="120"/>
      <c r="EN362" s="120"/>
      <c r="EO362" s="120"/>
      <c r="EP362" s="120"/>
      <c r="EQ362" s="120"/>
      <c r="ER362" s="120"/>
      <c r="ES362" s="120"/>
      <c r="ET362" s="120"/>
      <c r="EU362" s="120"/>
      <c r="EV362" s="120"/>
      <c r="EW362" s="120"/>
      <c r="EX362" s="120"/>
      <c r="EY362" s="120"/>
    </row>
    <row r="363">
      <c r="A363" s="112" t="s">
        <v>38</v>
      </c>
      <c r="B363" s="112" t="s">
        <v>94</v>
      </c>
      <c r="C363" s="112" t="s">
        <v>409</v>
      </c>
      <c r="D363" s="113">
        <f t="shared" si="1"/>
        <v>588.8371</v>
      </c>
      <c r="E363" s="114">
        <v>31.0078</v>
      </c>
      <c r="F363" s="114"/>
      <c r="G363" s="114"/>
      <c r="H363" s="114"/>
      <c r="I363" s="114"/>
      <c r="J363" s="114"/>
      <c r="K363" s="114"/>
      <c r="L363" s="114">
        <v>0.873216666666667</v>
      </c>
      <c r="M363" s="114"/>
      <c r="N363" s="114"/>
      <c r="O363" s="114">
        <v>8.96211666666666</v>
      </c>
      <c r="P363" s="112"/>
      <c r="Q363" s="112">
        <v>0.0979166666666667</v>
      </c>
      <c r="R363" s="112">
        <v>59.7589166666667</v>
      </c>
      <c r="S363" s="112"/>
      <c r="T363" s="112"/>
      <c r="U363" s="112"/>
      <c r="V363" s="112"/>
      <c r="W363" s="112"/>
      <c r="X363" s="112">
        <v>1.05611666666667</v>
      </c>
      <c r="Y363" s="112">
        <v>84.3871333333333</v>
      </c>
      <c r="Z363" s="112"/>
      <c r="AA363" s="113"/>
      <c r="AB363" s="112"/>
      <c r="AC363" s="112"/>
      <c r="AD363" s="112"/>
      <c r="AE363" s="112">
        <v>2.93663333333333</v>
      </c>
      <c r="AF363" s="112"/>
      <c r="AG363" s="112"/>
      <c r="AH363" s="112">
        <v>231.857516666667</v>
      </c>
      <c r="AI363" s="112"/>
      <c r="AJ363" s="112"/>
      <c r="AK363" s="112"/>
      <c r="AL363" s="113"/>
      <c r="AM363" s="112"/>
      <c r="AN363" s="112">
        <v>3.84</v>
      </c>
      <c r="AO363" s="112">
        <v>58.5213166666667</v>
      </c>
      <c r="AP363" s="112"/>
      <c r="AQ363" s="113"/>
      <c r="AR363" s="112"/>
      <c r="AS363" s="112">
        <v>5.16531666666667</v>
      </c>
      <c r="AT363" s="112">
        <v>16.6637833333333</v>
      </c>
      <c r="AU363" s="112"/>
      <c r="AV363" s="112"/>
      <c r="AW363" s="112">
        <v>2.70046666666667</v>
      </c>
      <c r="AX363" s="112">
        <v>77.2774833333335</v>
      </c>
      <c r="AY363" s="113"/>
      <c r="AZ363" s="112">
        <v>2.43083333333333</v>
      </c>
      <c r="BA363" s="112">
        <v>1.30053333333333</v>
      </c>
      <c r="BB363" s="113"/>
      <c r="BC363" s="113"/>
      <c r="BD363" s="113"/>
      <c r="BE363" s="113"/>
      <c r="BF363" s="113"/>
      <c r="BG363" s="113"/>
      <c r="BH363" s="113"/>
      <c r="BI363" s="113"/>
      <c r="BJ363" s="113"/>
      <c r="BK363" s="113"/>
      <c r="BL363" s="113"/>
      <c r="BM363" s="113"/>
      <c r="BN363" s="113"/>
      <c r="BO363" s="113"/>
      <c r="BP363" s="113"/>
      <c r="BQ363" s="113"/>
      <c r="BR363" s="113"/>
      <c r="BS363" s="113"/>
      <c r="BT363" s="113"/>
      <c r="BU363" s="113"/>
      <c r="BV363" s="113"/>
      <c r="BW363" s="113"/>
      <c r="BX363" s="113"/>
      <c r="BY363" s="113"/>
      <c r="BZ363" s="113"/>
      <c r="CA363" s="113"/>
      <c r="CB363" s="113"/>
      <c r="CC363" s="113"/>
      <c r="CD363" s="113"/>
      <c r="CE363" s="113"/>
      <c r="CF363" s="113"/>
      <c r="CG363" s="113"/>
      <c r="CH363" s="113"/>
      <c r="CI363" s="113"/>
      <c r="CJ363" s="113"/>
      <c r="CK363" s="113"/>
      <c r="CL363" s="113"/>
      <c r="CM363" s="113"/>
      <c r="CN363" s="113"/>
      <c r="CO363" s="113"/>
      <c r="CP363" s="113"/>
      <c r="CQ363" s="113"/>
      <c r="CR363" s="113"/>
      <c r="CS363" s="113"/>
      <c r="CT363" s="113"/>
      <c r="CU363" s="113"/>
      <c r="CV363" s="113"/>
      <c r="CW363" s="113"/>
      <c r="CX363" s="113"/>
      <c r="CY363" s="113"/>
      <c r="CZ363" s="113"/>
      <c r="DA363" s="113"/>
      <c r="DB363" s="113"/>
      <c r="DC363" s="113"/>
      <c r="DD363" s="113"/>
      <c r="DE363" s="113"/>
      <c r="DF363" s="113"/>
      <c r="DG363" s="113"/>
      <c r="DH363" s="113"/>
      <c r="DI363" s="113"/>
      <c r="DJ363" s="113"/>
      <c r="DK363" s="113"/>
      <c r="DL363" s="113"/>
      <c r="DM363" s="113"/>
      <c r="DN363" s="113"/>
      <c r="DO363" s="113"/>
      <c r="DP363" s="113"/>
      <c r="DQ363" s="113"/>
      <c r="DR363" s="113"/>
      <c r="DS363" s="113"/>
      <c r="DT363" s="113"/>
      <c r="DU363" s="113"/>
      <c r="DV363" s="113"/>
      <c r="DW363" s="113"/>
      <c r="DX363" s="113"/>
      <c r="DY363" s="113"/>
      <c r="DZ363" s="113"/>
      <c r="EA363" s="113"/>
      <c r="EB363" s="113"/>
      <c r="EC363" s="113"/>
      <c r="ED363" s="113"/>
      <c r="EE363" s="113"/>
      <c r="EF363" s="113"/>
      <c r="EG363" s="113"/>
      <c r="EH363" s="113"/>
      <c r="EI363" s="113"/>
      <c r="EJ363" s="113"/>
      <c r="EK363" s="113"/>
      <c r="EL363" s="113"/>
      <c r="EM363" s="113"/>
      <c r="EN363" s="113"/>
      <c r="EO363" s="113"/>
      <c r="EP363" s="113"/>
      <c r="EQ363" s="113"/>
      <c r="ER363" s="113"/>
      <c r="ES363" s="113"/>
      <c r="ET363" s="113"/>
      <c r="EU363" s="113"/>
      <c r="EV363" s="113"/>
      <c r="EW363" s="113"/>
      <c r="EX363" s="113"/>
      <c r="EY363" s="113"/>
    </row>
    <row r="364">
      <c r="A364" s="65" t="s">
        <v>38</v>
      </c>
      <c r="B364" s="65" t="s">
        <v>94</v>
      </c>
      <c r="C364" s="65" t="s">
        <v>410</v>
      </c>
      <c r="D364" s="64">
        <f t="shared" si="1"/>
        <v>614.5446333</v>
      </c>
      <c r="E364" s="115"/>
      <c r="F364" s="104">
        <v>8.25501666666667</v>
      </c>
      <c r="G364" s="104">
        <v>6.62945</v>
      </c>
      <c r="H364" s="104">
        <v>6.34488333333333</v>
      </c>
      <c r="I364" s="104">
        <v>2.00058333333333</v>
      </c>
      <c r="J364" s="104">
        <v>2.03383333333333</v>
      </c>
      <c r="K364" s="104">
        <v>4.18221666666667</v>
      </c>
      <c r="L364" s="104"/>
      <c r="M364" s="104">
        <v>8.25501666666667</v>
      </c>
      <c r="N364" s="104">
        <v>6.62945</v>
      </c>
      <c r="O364" s="104"/>
      <c r="P364" s="65">
        <v>7.84075</v>
      </c>
      <c r="Q364" s="65"/>
      <c r="R364" s="65"/>
      <c r="S364" s="65">
        <v>12.59075</v>
      </c>
      <c r="T364" s="65">
        <v>21.16205</v>
      </c>
      <c r="U364" s="65">
        <v>10.6180833333333</v>
      </c>
      <c r="V364" s="65">
        <v>7.61086666666667</v>
      </c>
      <c r="W364" s="65">
        <v>3.06995</v>
      </c>
      <c r="X364" s="65"/>
      <c r="Y364" s="65"/>
      <c r="Z364" s="65">
        <v>17.7067666666667</v>
      </c>
      <c r="AA364" s="65">
        <v>50.3211166666667</v>
      </c>
      <c r="AB364" s="65">
        <v>9.52735</v>
      </c>
      <c r="AC364" s="65">
        <v>1.34685</v>
      </c>
      <c r="AD364" s="65">
        <v>2.16418333333333</v>
      </c>
      <c r="AE364" s="65"/>
      <c r="AF364" s="65">
        <v>17.7067666666667</v>
      </c>
      <c r="AG364" s="65">
        <v>50.3211166666667</v>
      </c>
      <c r="AH364" s="65"/>
      <c r="AI364" s="65">
        <v>17.7409666666667</v>
      </c>
      <c r="AJ364" s="65">
        <v>169.947583333333</v>
      </c>
      <c r="AK364" s="65">
        <v>25.3430333333333</v>
      </c>
      <c r="AL364" s="65">
        <v>6.33006666666667</v>
      </c>
      <c r="AM364" s="65">
        <v>11.03155</v>
      </c>
      <c r="AN364" s="65"/>
      <c r="AP364" s="65">
        <v>12.4224</v>
      </c>
      <c r="AQ364" s="65">
        <v>15.05695</v>
      </c>
      <c r="AR364" s="65">
        <v>15.4494666666667</v>
      </c>
      <c r="AT364" s="65"/>
      <c r="AU364" s="65">
        <v>5.55013333333333</v>
      </c>
      <c r="AV364" s="65">
        <v>4.6623</v>
      </c>
      <c r="AY364" s="65">
        <v>74.6931333333333</v>
      </c>
    </row>
    <row r="365">
      <c r="A365" s="65" t="s">
        <v>38</v>
      </c>
      <c r="B365" s="65" t="s">
        <v>94</v>
      </c>
      <c r="C365" s="65" t="s">
        <v>411</v>
      </c>
      <c r="D365" s="64">
        <f t="shared" si="1"/>
        <v>0</v>
      </c>
      <c r="E365" s="115"/>
      <c r="F365" s="115"/>
      <c r="G365" s="115"/>
      <c r="H365" s="115"/>
      <c r="I365" s="115"/>
      <c r="J365" s="115"/>
      <c r="K365" s="115"/>
      <c r="L365" s="115"/>
      <c r="M365" s="115"/>
      <c r="N365" s="115"/>
      <c r="O365" s="115"/>
    </row>
    <row r="366">
      <c r="A366" s="65" t="s">
        <v>38</v>
      </c>
      <c r="B366" s="65" t="s">
        <v>94</v>
      </c>
      <c r="C366" s="65" t="s">
        <v>412</v>
      </c>
      <c r="D366" s="64">
        <f t="shared" si="1"/>
        <v>519.9310667</v>
      </c>
      <c r="E366" s="115"/>
      <c r="F366" s="116">
        <f>HYPERLINK("https://docs.google.com/spreadsheets/d/10Ct8mHH4o8Dns_LJhA8QTUeGeFHIaWO0", 8.04323333333334)</f>
        <v>8.043233333</v>
      </c>
      <c r="G366" s="116">
        <f>HYPERLINK("https://docs.google.com/spreadsheets/d/1DrkGqDnq3KXSx6Huek-p525sYESlf2dM", 6.62945)</f>
        <v>6.62945</v>
      </c>
      <c r="H366" s="116">
        <f>HYPERLINK("https://docs.google.com/spreadsheets/d/1_kRIOVLB7iDEMd-PNifdTdNECs-x_ffm", 6.34486666666666)</f>
        <v>6.344866667</v>
      </c>
      <c r="I366" s="116">
        <f>HYPERLINK("https://docs.google.com/spreadsheets/d/1PYuozn_Ogonk5EAYHJKZkFAfzJzhZeBu", 2.00058333333333)</f>
        <v>2.000583333</v>
      </c>
      <c r="J366" s="116">
        <f>HYPERLINK("https://docs.google.com/spreadsheets/d/12xP8o6yyx8iCfUlVAkgANrMMUTIDTo14", 1.15276666666667)</f>
        <v>1.152766667</v>
      </c>
      <c r="K366" s="116">
        <f>HYPERLINK("https://docs.google.com/spreadsheets/d/1jazM8hGiFPFMIkKXx-eO_qBiwd0Fn8Z6", 4.18221666666667)</f>
        <v>4.182216667</v>
      </c>
      <c r="L366" s="115"/>
      <c r="M366" s="115"/>
      <c r="N366" s="115"/>
      <c r="O366" s="115"/>
      <c r="P366" s="118">
        <f>HYPERLINK("https://docs.google.com/spreadsheets/d/1DRPOjHjE7VhB9NDsCJ00HeV8OAI0Q91h", 7.84073333333334)</f>
        <v>7.840733333</v>
      </c>
      <c r="S366" s="118">
        <f>HYPERLINK("https://docs.google.com/spreadsheets/d/1-UcW6-NiPNlftY4u8-buYMNdbZdAS1Fn", 12.0120333333333)</f>
        <v>12.01203333</v>
      </c>
      <c r="T366" s="118">
        <f>HYPERLINK("https://docs.google.com/spreadsheets/d/1fMFPolkUC0dEoIduZaNzrBL69J0HIw1T", 21.1620166666667)</f>
        <v>21.16201667</v>
      </c>
      <c r="U366" s="118">
        <f>HYPERLINK("https://docs.google.com/spreadsheets/d/1Z25ZvoKzlxpiDLhhxD9hGCjuxjqBEkkG", 10.5056666666667)</f>
        <v>10.50566667</v>
      </c>
      <c r="V366" s="118">
        <f>HYPERLINK("https://docs.google.com/spreadsheets/d/16m2bWOpv_Uo_e9EOMKiqDyGAMB1VgGGu", 7.19761666666667)</f>
        <v>7.197616667</v>
      </c>
      <c r="W366" s="118">
        <f>HYPERLINK("https://docs.google.com/spreadsheets/d/1HNchK9z09p-lBYuWuDmQW9-egzEHg9Um", 3.06995)</f>
        <v>3.06995</v>
      </c>
      <c r="Z366" s="118">
        <f>HYPERLINK("https://docs.google.com/spreadsheets/d/1M_3jw3AxoSHYByzIcBqRCugRxIdOvfKj", 17.70675)</f>
        <v>17.70675</v>
      </c>
      <c r="AA366" s="118">
        <f>HYPERLINK("https://docs.google.com/spreadsheets/d/1Greb2t0RxMI_2Ap0KK-ruCDC7tqKg2MC", 50.1034)</f>
        <v>50.1034</v>
      </c>
      <c r="AB366" s="118">
        <f>HYPERLINK("https://docs.google.com/spreadsheets/d/1YTidoBdcx7oxZ03y0ZtEjfawDf_fy2VW", 9.52735)</f>
        <v>9.52735</v>
      </c>
      <c r="AC366" s="118">
        <f>HYPERLINK("https://docs.google.com/spreadsheets/d/18u8147nx5JJigGCLYso7_QVCGGXjr65Z", 1.34685)</f>
        <v>1.34685</v>
      </c>
      <c r="AD366" s="118">
        <f>HYPERLINK("https://docs.google.com/spreadsheets/d/1jtGmyEZ0wV6uJ0D_5r1WsCxgVD6oPTaI", 2.16418333333333)</f>
        <v>2.164183333</v>
      </c>
      <c r="AI366" s="118">
        <f>HYPERLINK("https://docs.google.com/spreadsheets/d/1l6GmMIzuCp_mp2pNGJYMTQBGmMjhd9dg", 17.59155)</f>
        <v>17.59155</v>
      </c>
      <c r="AJ366" s="118">
        <f>HYPERLINK("https://docs.google.com/spreadsheets/d/1xlMoMol1ZzlC2QCZznu0SvcAH2RkuE2H", 168.28495)</f>
        <v>168.28495</v>
      </c>
      <c r="AK366" s="118">
        <f>HYPERLINK("https://docs.google.com/spreadsheets/d/1gYGXgnWLdRHjW0FNkqUhfsDYHGPjchAX", 25.3430166666667)</f>
        <v>25.34301667</v>
      </c>
      <c r="AL366" s="118">
        <f>HYPERLINK("https://docs.google.com/spreadsheets/d/1g3FPltMZpy2jiVupAzbrTozLTaDvc8Th", 6.33006666666667)</f>
        <v>6.330066667</v>
      </c>
      <c r="AM366" s="118">
        <f>HYPERLINK("https://docs.google.com/spreadsheets/d/1tbMAg8e6ZfBx-DM5g-AscWqLDGJTFjG2", 10.6320333333333)</f>
        <v>10.63203333</v>
      </c>
      <c r="AP366" s="118">
        <f>HYPERLINK("https://docs.google.com/spreadsheets/d/1H7C462rruCzs1amBradzOcAsIQGh84Cy", 8.54298333333334)</f>
        <v>8.542983333</v>
      </c>
      <c r="AQ366" s="118">
        <f>HYPERLINK("https://docs.google.com/spreadsheets/d/1uhUX5mv09Rk9Q6iO7QbmQDlYw1ylRkMm", 14.11435)</f>
        <v>14.11435</v>
      </c>
      <c r="AR366" s="118">
        <f>HYPERLINK("https://docs.google.com/spreadsheets/d/16j48qKSUKNk37DkUupIiqHBQHBMtVGx_", 15.3409666666667)</f>
        <v>15.34096667</v>
      </c>
      <c r="AU366" s="118">
        <f>HYPERLINK("https://docs.google.com/spreadsheets/d/1IZDgeh3-3Gcem7OXKT75Naavz-lopJwq", 3.97788333333333)</f>
        <v>3.977883333</v>
      </c>
      <c r="AV366" s="118">
        <f>HYPERLINK("https://docs.google.com/spreadsheets/d/1oBipH8oHHuiUkkN0GD6KiRF7q06ZLuLb", 4.6623)</f>
        <v>4.6623</v>
      </c>
      <c r="AY366" s="118">
        <f>HYPERLINK("https://docs.google.com/spreadsheets/d/19zf9HyBVXMz1eZJ15C512Xbn1CsBirrQ", 74.1212999999999)</f>
        <v>74.1213</v>
      </c>
    </row>
    <row r="367">
      <c r="A367" s="65" t="s">
        <v>38</v>
      </c>
      <c r="B367" s="65" t="s">
        <v>94</v>
      </c>
      <c r="C367" s="65" t="s">
        <v>413</v>
      </c>
      <c r="D367" s="64">
        <f t="shared" si="1"/>
        <v>299.0774167</v>
      </c>
      <c r="E367" s="115"/>
      <c r="F367" s="104">
        <v>0.349366666666668</v>
      </c>
      <c r="G367" s="104">
        <v>0.173066666666668</v>
      </c>
      <c r="H367" s="104">
        <v>1.90471666666666</v>
      </c>
      <c r="I367" s="104">
        <v>0.268683333333333</v>
      </c>
      <c r="J367" s="104">
        <v>0.223666666666667</v>
      </c>
      <c r="K367" s="104">
        <v>4.18221666666667</v>
      </c>
      <c r="L367" s="104"/>
      <c r="M367" s="104"/>
      <c r="N367" s="104"/>
      <c r="O367" s="104"/>
      <c r="P367" s="65">
        <v>7.63738333333333</v>
      </c>
      <c r="Q367" s="65"/>
      <c r="R367" s="65"/>
      <c r="S367" s="65">
        <v>6.489</v>
      </c>
      <c r="T367" s="65">
        <v>8.92839999999998</v>
      </c>
      <c r="U367" s="65">
        <v>0.395233333333337</v>
      </c>
      <c r="V367" s="65">
        <v>2.41245</v>
      </c>
      <c r="W367" s="65">
        <v>3.06995</v>
      </c>
      <c r="X367" s="65"/>
      <c r="Y367" s="65"/>
      <c r="Z367" s="65">
        <v>7.28811666666667</v>
      </c>
      <c r="AA367" s="65">
        <v>22.021</v>
      </c>
      <c r="AB367" s="65">
        <v>1.74463333333334</v>
      </c>
      <c r="AC367" s="65">
        <v>0.0</v>
      </c>
      <c r="AD367" s="65">
        <v>0.263516666666668</v>
      </c>
      <c r="AE367" s="65"/>
      <c r="AF367" s="65"/>
      <c r="AG367" s="65"/>
      <c r="AH367" s="65"/>
      <c r="AI367" s="65">
        <v>9.24625</v>
      </c>
      <c r="AJ367" s="65">
        <v>122.706933333333</v>
      </c>
      <c r="AK367" s="65">
        <v>5.84216666666668</v>
      </c>
      <c r="AL367" s="65">
        <v>1.854</v>
      </c>
      <c r="AM367" s="65">
        <v>10.6320333333333</v>
      </c>
      <c r="AN367" s="65"/>
      <c r="AP367" s="65">
        <v>7.53413333333334</v>
      </c>
      <c r="AQ367" s="65">
        <v>2.30948333333333</v>
      </c>
      <c r="AR367" s="65">
        <v>15.3409666666667</v>
      </c>
      <c r="AT367" s="65"/>
      <c r="AU367" s="65">
        <v>1.92303333333333</v>
      </c>
      <c r="AV367" s="65">
        <v>2.20448333333333</v>
      </c>
      <c r="AY367" s="65">
        <v>52.1325333333333</v>
      </c>
    </row>
    <row r="368">
      <c r="A368" s="119" t="s">
        <v>38</v>
      </c>
      <c r="B368" s="119" t="s">
        <v>94</v>
      </c>
      <c r="C368" s="119" t="s">
        <v>414</v>
      </c>
      <c r="D368" s="120">
        <f t="shared" si="1"/>
        <v>3.977883333</v>
      </c>
      <c r="E368" s="121"/>
      <c r="F368" s="122">
        <f>HYPERLINK("https://docs.google.com/spreadsheets/d/10Ct8mHH4o8Dns_LJhA8QTUeGeFHIaWO0", 0)</f>
        <v>0</v>
      </c>
      <c r="G368" s="122">
        <f>HYPERLINK("https://docs.google.com/spreadsheets/d/1DrkGqDnq3KXSx6Huek-p525sYESlf2dM", 0)</f>
        <v>0</v>
      </c>
      <c r="H368" s="122">
        <f>HYPERLINK("https://docs.google.com/spreadsheets/d/1_kRIOVLB7iDEMd-PNifdTdNECs-x_ffm", 0)</f>
        <v>0</v>
      </c>
      <c r="I368" s="122">
        <f>HYPERLINK("https://docs.google.com/spreadsheets/d/1PYuozn_Ogonk5EAYHJKZkFAfzJzhZeBu", 0)</f>
        <v>0</v>
      </c>
      <c r="J368" s="122">
        <f>HYPERLINK("https://docs.google.com/spreadsheets/d/12xP8o6yyx8iCfUlVAkgANrMMUTIDTo14", 0)</f>
        <v>0</v>
      </c>
      <c r="K368" s="122">
        <f>HYPERLINK("https://docs.google.com/spreadsheets/d/1jazM8hGiFPFMIkKXx-eO_qBiwd0Fn8Z6", 0)</f>
        <v>0</v>
      </c>
      <c r="L368" s="121"/>
      <c r="M368" s="121"/>
      <c r="N368" s="123"/>
      <c r="O368" s="121"/>
      <c r="P368" s="124">
        <f>HYPERLINK("https://docs.google.com/spreadsheets/d/1DRPOjHjE7VhB9NDsCJ00HeV8OAI0Q91h", 0)</f>
        <v>0</v>
      </c>
      <c r="Q368" s="119"/>
      <c r="R368" s="119"/>
      <c r="S368" s="124">
        <f>HYPERLINK("https://docs.google.com/spreadsheets/d/1-UcW6-NiPNlftY4u8-buYMNdbZdAS1Fn", 0)</f>
        <v>0</v>
      </c>
      <c r="T368" s="125">
        <f>HYPERLINK("https://docs.google.com/spreadsheets/d/1fMFPolkUC0dEoIduZaNzrBL69J0HIw1T", 0)</f>
        <v>0</v>
      </c>
      <c r="U368" s="125">
        <f>HYPERLINK("https://docs.google.com/spreadsheets/d/1Z25ZvoKzlxpiDLhhxD9hGCjuxjqBEkkG", 0)</f>
        <v>0</v>
      </c>
      <c r="V368" s="124">
        <f>HYPERLINK("https://docs.google.com/spreadsheets/d/16m2bWOpv_Uo_e9EOMKiqDyGAMB1VgGGu", 0)</f>
        <v>0</v>
      </c>
      <c r="W368" s="124">
        <f>HYPERLINK("https://docs.google.com/spreadsheets/d/1HNchK9z09p-lBYuWuDmQW9-egzEHg9Um", 0)</f>
        <v>0</v>
      </c>
      <c r="X368" s="119"/>
      <c r="Y368" s="119"/>
      <c r="Z368" s="124">
        <f>HYPERLINK("https://docs.google.com/spreadsheets/d/1M_3jw3AxoSHYByzIcBqRCugRxIdOvfKj", 0)</f>
        <v>0</v>
      </c>
      <c r="AA368" s="124">
        <f>HYPERLINK("https://docs.google.com/spreadsheets/d/1Greb2t0RxMI_2Ap0KK-ruCDC7tqKg2MC", 0)</f>
        <v>0</v>
      </c>
      <c r="AB368" s="124">
        <f>HYPERLINK("https://docs.google.com/spreadsheets/d/1YTidoBdcx7oxZ03y0ZtEjfawDf_fy2VW", 0)</f>
        <v>0</v>
      </c>
      <c r="AC368" s="124">
        <f>HYPERLINK("https://docs.google.com/spreadsheets/d/18u8147nx5JJigGCLYso7_QVCGGXjr65Z", 0)</f>
        <v>0</v>
      </c>
      <c r="AD368" s="124">
        <f>HYPERLINK("https://docs.google.com/spreadsheets/d/1jtGmyEZ0wV6uJ0D_5r1WsCxgVD6oPTaI", 0)</f>
        <v>0</v>
      </c>
      <c r="AE368" s="119"/>
      <c r="AF368" s="119"/>
      <c r="AG368" s="119"/>
      <c r="AH368" s="119"/>
      <c r="AI368" s="125">
        <f>HYPERLINK("https://docs.google.com/spreadsheets/d/1l6GmMIzuCp_mp2pNGJYMTQBGmMjhd9dg", 0)</f>
        <v>0</v>
      </c>
      <c r="AJ368" s="124">
        <f>HYPERLINK("https://docs.google.com/spreadsheets/d/1xlMoMol1ZzlC2QCZznu0SvcAH2RkuE2H", 0)</f>
        <v>0</v>
      </c>
      <c r="AK368" s="124">
        <f>HYPERLINK("https://docs.google.com/spreadsheets/d/1gYGXgnWLdRHjW0FNkqUhfsDYHGPjchAX", 0)</f>
        <v>0</v>
      </c>
      <c r="AL368" s="125">
        <f>HYPERLINK("https://docs.google.com/spreadsheets/d/1g3FPltMZpy2jiVupAzbrTozLTaDvc8Th", 0)</f>
        <v>0</v>
      </c>
      <c r="AM368" s="124">
        <f>HYPERLINK("https://docs.google.com/spreadsheets/d/1tbMAg8e6ZfBx-DM5g-AscWqLDGJTFjG2", 0)</f>
        <v>0</v>
      </c>
      <c r="AN368" s="119"/>
      <c r="AO368" s="120"/>
      <c r="AP368" s="124">
        <f>HYPERLINK("https://docs.google.com/spreadsheets/d/1H7C462rruCzs1amBradzOcAsIQGh84Cy", 0)</f>
        <v>0</v>
      </c>
      <c r="AQ368" s="125">
        <f>HYPERLINK("https://docs.google.com/spreadsheets/d/1uhUX5mv09Rk9Q6iO7QbmQDlYw1ylRkMm", 0)</f>
        <v>0</v>
      </c>
      <c r="AR368" s="125">
        <f>HYPERLINK("https://docs.google.com/spreadsheets/d/16j48qKSUKNk37DkUupIiqHBQHBMtVGx_", 0)</f>
        <v>0</v>
      </c>
      <c r="AS368" s="120"/>
      <c r="AT368" s="120"/>
      <c r="AU368" s="125">
        <f>HYPERLINK("https://docs.google.com/spreadsheets/d/1IZDgeh3-3Gcem7OXKT75Naavz-lopJwq", 3.97788333333333)</f>
        <v>3.977883333</v>
      </c>
      <c r="AV368" s="124">
        <f>HYPERLINK("https://docs.google.com/spreadsheets/d/1oBipH8oHHuiUkkN0GD6KiRF7q06ZLuLb", 0)</f>
        <v>0</v>
      </c>
      <c r="AW368" s="120"/>
      <c r="AX368" s="120"/>
      <c r="AY368" s="124">
        <f>HYPERLINK("https://docs.google.com/spreadsheets/d/19zf9HyBVXMz1eZJ15C512Xbn1CsBirrQ", 0)</f>
        <v>0</v>
      </c>
      <c r="AZ368" s="120"/>
      <c r="BA368" s="120"/>
      <c r="BB368" s="120"/>
      <c r="BC368" s="120"/>
      <c r="BD368" s="120"/>
      <c r="BE368" s="120"/>
      <c r="BF368" s="120"/>
      <c r="BG368" s="120"/>
      <c r="BH368" s="120"/>
      <c r="BI368" s="120"/>
      <c r="BJ368" s="120"/>
      <c r="BK368" s="120"/>
      <c r="BL368" s="120"/>
      <c r="BM368" s="120"/>
      <c r="BN368" s="120"/>
      <c r="BO368" s="120"/>
      <c r="BP368" s="120"/>
      <c r="BQ368" s="120"/>
      <c r="BR368" s="120"/>
      <c r="BS368" s="120"/>
      <c r="BT368" s="120"/>
      <c r="BU368" s="120"/>
      <c r="BV368" s="120"/>
      <c r="BW368" s="120"/>
      <c r="BX368" s="120"/>
      <c r="BY368" s="120"/>
      <c r="BZ368" s="120"/>
      <c r="CA368" s="120"/>
      <c r="CB368" s="120"/>
      <c r="CC368" s="120"/>
      <c r="CD368" s="120"/>
      <c r="CE368" s="120"/>
      <c r="CF368" s="120"/>
      <c r="CG368" s="120"/>
      <c r="CH368" s="120"/>
      <c r="CI368" s="120"/>
      <c r="CJ368" s="120"/>
      <c r="CK368" s="120"/>
      <c r="CL368" s="120"/>
      <c r="CM368" s="120"/>
      <c r="CN368" s="120"/>
      <c r="CO368" s="120"/>
      <c r="CP368" s="120"/>
      <c r="CQ368" s="120"/>
      <c r="CR368" s="120"/>
      <c r="CS368" s="120"/>
      <c r="CT368" s="120"/>
      <c r="CU368" s="120"/>
      <c r="CV368" s="120"/>
      <c r="CW368" s="120"/>
      <c r="CX368" s="120"/>
      <c r="CY368" s="120"/>
      <c r="CZ368" s="120"/>
      <c r="DA368" s="120"/>
      <c r="DB368" s="120"/>
      <c r="DC368" s="120"/>
      <c r="DD368" s="120"/>
      <c r="DE368" s="120"/>
      <c r="DF368" s="120"/>
      <c r="DG368" s="120"/>
      <c r="DH368" s="120"/>
      <c r="DI368" s="120"/>
      <c r="DJ368" s="120"/>
      <c r="DK368" s="120"/>
      <c r="DL368" s="120"/>
      <c r="DM368" s="120"/>
      <c r="DN368" s="120"/>
      <c r="DO368" s="120"/>
      <c r="DP368" s="120"/>
      <c r="DQ368" s="120"/>
      <c r="DR368" s="120"/>
      <c r="DS368" s="120"/>
      <c r="DT368" s="120"/>
      <c r="DU368" s="120"/>
      <c r="DV368" s="120"/>
      <c r="DW368" s="120"/>
      <c r="DX368" s="120"/>
      <c r="DY368" s="120"/>
      <c r="DZ368" s="120"/>
      <c r="EA368" s="120"/>
      <c r="EB368" s="120"/>
      <c r="EC368" s="120"/>
      <c r="ED368" s="120"/>
      <c r="EE368" s="120"/>
      <c r="EF368" s="120"/>
      <c r="EG368" s="120"/>
      <c r="EH368" s="120"/>
      <c r="EI368" s="120"/>
      <c r="EJ368" s="120"/>
      <c r="EK368" s="120"/>
      <c r="EL368" s="120"/>
      <c r="EM368" s="120"/>
      <c r="EN368" s="120"/>
      <c r="EO368" s="120"/>
      <c r="EP368" s="120"/>
      <c r="EQ368" s="120"/>
      <c r="ER368" s="120"/>
      <c r="ES368" s="120"/>
      <c r="ET368" s="120"/>
      <c r="EU368" s="120"/>
      <c r="EV368" s="120"/>
      <c r="EW368" s="120"/>
      <c r="EX368" s="120"/>
      <c r="EY368" s="120"/>
    </row>
    <row r="369">
      <c r="A369" s="112" t="s">
        <v>38</v>
      </c>
      <c r="B369" s="112" t="s">
        <v>95</v>
      </c>
      <c r="C369" s="112" t="s">
        <v>409</v>
      </c>
      <c r="D369" s="113">
        <f t="shared" si="1"/>
        <v>570.30115</v>
      </c>
      <c r="E369" s="114">
        <v>84.3564833333333</v>
      </c>
      <c r="F369" s="114"/>
      <c r="G369" s="114"/>
      <c r="H369" s="114"/>
      <c r="I369" s="114"/>
      <c r="J369" s="114"/>
      <c r="K369" s="114"/>
      <c r="L369" s="114">
        <v>1.92091666666667</v>
      </c>
      <c r="M369" s="114"/>
      <c r="N369" s="114"/>
      <c r="O369" s="114">
        <v>7.9234</v>
      </c>
      <c r="P369" s="112"/>
      <c r="Q369" s="112"/>
      <c r="R369" s="112">
        <v>142.501816666667</v>
      </c>
      <c r="S369" s="112"/>
      <c r="T369" s="112"/>
      <c r="U369" s="112"/>
      <c r="V369" s="112"/>
      <c r="W369" s="112"/>
      <c r="X369" s="112">
        <v>4.46241666666667</v>
      </c>
      <c r="Y369" s="112">
        <v>69.0120666666667</v>
      </c>
      <c r="Z369" s="112"/>
      <c r="AA369" s="113"/>
      <c r="AB369" s="112"/>
      <c r="AC369" s="112"/>
      <c r="AD369" s="112"/>
      <c r="AE369" s="112">
        <v>3.22503333333333</v>
      </c>
      <c r="AF369" s="112"/>
      <c r="AG369" s="112"/>
      <c r="AH369" s="112">
        <v>82.7117333333333</v>
      </c>
      <c r="AI369" s="112"/>
      <c r="AJ369" s="112"/>
      <c r="AK369" s="112"/>
      <c r="AL369" s="113"/>
      <c r="AM369" s="112"/>
      <c r="AN369" s="112">
        <v>1.43915</v>
      </c>
      <c r="AO369" s="112">
        <v>112.28615</v>
      </c>
      <c r="AP369" s="112"/>
      <c r="AQ369" s="113"/>
      <c r="AR369" s="112"/>
      <c r="AS369" s="112">
        <v>5.8912</v>
      </c>
      <c r="AT369" s="112">
        <v>8.83865</v>
      </c>
      <c r="AU369" s="112"/>
      <c r="AV369" s="112"/>
      <c r="AW369" s="112">
        <v>4.30275</v>
      </c>
      <c r="AX369" s="112">
        <v>38.9116833333333</v>
      </c>
      <c r="AY369" s="113"/>
      <c r="AZ369" s="112">
        <v>1.74058333333333</v>
      </c>
      <c r="BA369" s="112">
        <v>0.777116666666667</v>
      </c>
      <c r="BB369" s="113"/>
      <c r="BC369" s="113"/>
      <c r="BD369" s="113"/>
      <c r="BE369" s="113"/>
      <c r="BF369" s="113"/>
      <c r="BG369" s="113"/>
      <c r="BH369" s="113"/>
      <c r="BI369" s="113"/>
      <c r="BJ369" s="113"/>
      <c r="BK369" s="113"/>
      <c r="BL369" s="113"/>
      <c r="BM369" s="113"/>
      <c r="BN369" s="113"/>
      <c r="BO369" s="113"/>
      <c r="BP369" s="113"/>
      <c r="BQ369" s="113"/>
      <c r="BR369" s="113"/>
      <c r="BS369" s="113"/>
      <c r="BT369" s="113"/>
      <c r="BU369" s="113"/>
      <c r="BV369" s="113"/>
      <c r="BW369" s="113"/>
      <c r="BX369" s="113"/>
      <c r="BY369" s="113"/>
      <c r="BZ369" s="113"/>
      <c r="CA369" s="113"/>
      <c r="CB369" s="113"/>
      <c r="CC369" s="113"/>
      <c r="CD369" s="113"/>
      <c r="CE369" s="113"/>
      <c r="CF369" s="113"/>
      <c r="CG369" s="113"/>
      <c r="CH369" s="113"/>
      <c r="CI369" s="113"/>
      <c r="CJ369" s="113"/>
      <c r="CK369" s="113"/>
      <c r="CL369" s="113"/>
      <c r="CM369" s="113"/>
      <c r="CN369" s="113"/>
      <c r="CO369" s="113"/>
      <c r="CP369" s="113"/>
      <c r="CQ369" s="113"/>
      <c r="CR369" s="113"/>
      <c r="CS369" s="113"/>
      <c r="CT369" s="113"/>
      <c r="CU369" s="113"/>
      <c r="CV369" s="113"/>
      <c r="CW369" s="113"/>
      <c r="CX369" s="113"/>
      <c r="CY369" s="113"/>
      <c r="CZ369" s="113"/>
      <c r="DA369" s="113"/>
      <c r="DB369" s="113"/>
      <c r="DC369" s="113"/>
      <c r="DD369" s="113"/>
      <c r="DE369" s="113"/>
      <c r="DF369" s="113"/>
      <c r="DG369" s="113"/>
      <c r="DH369" s="113"/>
      <c r="DI369" s="113"/>
      <c r="DJ369" s="113"/>
      <c r="DK369" s="113"/>
      <c r="DL369" s="113"/>
      <c r="DM369" s="113"/>
      <c r="DN369" s="113"/>
      <c r="DO369" s="113"/>
      <c r="DP369" s="113"/>
      <c r="DQ369" s="113"/>
      <c r="DR369" s="113"/>
      <c r="DS369" s="113"/>
      <c r="DT369" s="113"/>
      <c r="DU369" s="113"/>
      <c r="DV369" s="113"/>
      <c r="DW369" s="113"/>
      <c r="DX369" s="113"/>
      <c r="DY369" s="113"/>
      <c r="DZ369" s="113"/>
      <c r="EA369" s="113"/>
      <c r="EB369" s="113"/>
      <c r="EC369" s="113"/>
      <c r="ED369" s="113"/>
      <c r="EE369" s="113"/>
      <c r="EF369" s="113"/>
      <c r="EG369" s="113"/>
      <c r="EH369" s="113"/>
      <c r="EI369" s="113"/>
      <c r="EJ369" s="113"/>
      <c r="EK369" s="113"/>
      <c r="EL369" s="113"/>
      <c r="EM369" s="113"/>
      <c r="EN369" s="113"/>
      <c r="EO369" s="113"/>
      <c r="EP369" s="113"/>
      <c r="EQ369" s="113"/>
      <c r="ER369" s="113"/>
      <c r="ES369" s="113"/>
      <c r="ET369" s="113"/>
      <c r="EU369" s="113"/>
      <c r="EV369" s="113"/>
      <c r="EW369" s="113"/>
      <c r="EX369" s="113"/>
      <c r="EY369" s="113"/>
    </row>
    <row r="370">
      <c r="A370" s="65" t="s">
        <v>38</v>
      </c>
      <c r="B370" s="65" t="s">
        <v>95</v>
      </c>
      <c r="C370" s="65" t="s">
        <v>410</v>
      </c>
      <c r="D370" s="64">
        <f t="shared" si="1"/>
        <v>518.6998667</v>
      </c>
      <c r="E370" s="115"/>
      <c r="F370" s="104">
        <v>26.22825</v>
      </c>
      <c r="G370" s="104">
        <v>2.71531666666667</v>
      </c>
      <c r="H370" s="104">
        <v>5.60901666666667</v>
      </c>
      <c r="I370" s="104">
        <v>1.78916666666667</v>
      </c>
      <c r="J370" s="104">
        <v>5.8643</v>
      </c>
      <c r="K370" s="104">
        <v>28.1922833333333</v>
      </c>
      <c r="L370" s="104"/>
      <c r="M370" s="104">
        <v>26.22825</v>
      </c>
      <c r="N370" s="104">
        <v>2.71531666666667</v>
      </c>
      <c r="O370" s="104"/>
      <c r="P370" s="65">
        <v>3.4914</v>
      </c>
      <c r="Q370" s="65"/>
      <c r="R370" s="65"/>
      <c r="S370" s="65">
        <v>32.7997</v>
      </c>
      <c r="T370" s="65">
        <v>4.1122</v>
      </c>
      <c r="U370" s="65">
        <v>3.55015</v>
      </c>
      <c r="V370" s="65">
        <v>8.4312</v>
      </c>
      <c r="W370" s="65">
        <v>78.0150666666666</v>
      </c>
      <c r="X370" s="65"/>
      <c r="Y370" s="65"/>
      <c r="Z370" s="65">
        <v>14.4502833333333</v>
      </c>
      <c r="AA370" s="65">
        <v>9.24691666666667</v>
      </c>
      <c r="AB370" s="65">
        <v>4.18245</v>
      </c>
      <c r="AC370" s="65">
        <v>1.80076666666667</v>
      </c>
      <c r="AD370" s="65">
        <v>33.3872</v>
      </c>
      <c r="AE370" s="65"/>
      <c r="AF370" s="65">
        <v>14.4502833333333</v>
      </c>
      <c r="AG370" s="65">
        <v>9.24691666666667</v>
      </c>
      <c r="AH370" s="65"/>
      <c r="AI370" s="65">
        <v>13.0203333333333</v>
      </c>
      <c r="AJ370" s="65">
        <v>36.46815</v>
      </c>
      <c r="AK370" s="65">
        <v>6.09655</v>
      </c>
      <c r="AL370" s="65">
        <v>0.848883333333333</v>
      </c>
      <c r="AM370" s="65">
        <v>21.5220833333333</v>
      </c>
      <c r="AN370" s="65"/>
      <c r="AP370" s="65">
        <v>34.82005</v>
      </c>
      <c r="AQ370" s="65">
        <v>15.6356333333333</v>
      </c>
      <c r="AR370" s="65">
        <v>31.9198666666667</v>
      </c>
      <c r="AT370" s="65"/>
      <c r="AU370" s="65">
        <v>2.60551666666667</v>
      </c>
      <c r="AV370" s="65">
        <v>3.90498333333333</v>
      </c>
      <c r="AY370" s="65">
        <v>35.3513833333333</v>
      </c>
    </row>
    <row r="371">
      <c r="A371" s="65" t="s">
        <v>38</v>
      </c>
      <c r="B371" s="65" t="s">
        <v>95</v>
      </c>
      <c r="C371" s="65" t="s">
        <v>411</v>
      </c>
      <c r="D371" s="64">
        <f t="shared" si="1"/>
        <v>0</v>
      </c>
      <c r="E371" s="115"/>
      <c r="F371" s="115"/>
      <c r="G371" s="115"/>
      <c r="H371" s="115"/>
      <c r="I371" s="115"/>
      <c r="J371" s="115"/>
      <c r="K371" s="115"/>
      <c r="L371" s="115"/>
      <c r="M371" s="115"/>
      <c r="N371" s="115"/>
      <c r="O371" s="115"/>
    </row>
    <row r="372">
      <c r="A372" s="65" t="s">
        <v>38</v>
      </c>
      <c r="B372" s="65" t="s">
        <v>95</v>
      </c>
      <c r="C372" s="65" t="s">
        <v>412</v>
      </c>
      <c r="D372" s="64">
        <f t="shared" si="1"/>
        <v>435.1619333</v>
      </c>
      <c r="E372" s="115"/>
      <c r="F372" s="116">
        <f>HYPERLINK("https://docs.google.com/spreadsheets/d/1xXDdRqJDkSnkoLNKaMVE1IB2lI6H_ZJR", 22.6069666666667)</f>
        <v>22.60696667</v>
      </c>
      <c r="G372" s="116">
        <f>HYPERLINK("https://docs.google.com/spreadsheets/d/1h8B_EmIvgQK0TI56ORM1I-QQdkNe_PX3", 2.71531666666667)</f>
        <v>2.715316667</v>
      </c>
      <c r="H372" s="116">
        <f>HYPERLINK("https://docs.google.com/spreadsheets/d/1Yy3z_2DGJF-OYQtvxWmhFcCa3058uM8_", 5.609)</f>
        <v>5.609</v>
      </c>
      <c r="I372" s="116">
        <f>HYPERLINK("https://docs.google.com/spreadsheets/d/1zK72zbYI8Y-a051XwlB3B4PGQpyucNXc", 1.67171666666667)</f>
        <v>1.671716667</v>
      </c>
      <c r="J372" s="116">
        <f>HYPERLINK("https://docs.google.com/spreadsheets/d/1H-tWN2P-KlTrdKvonm5ZOH_n72nkzieh", 3.5834)</f>
        <v>3.5834</v>
      </c>
      <c r="K372" s="116">
        <f>HYPERLINK("https://docs.google.com/spreadsheets/d/1PHsweSB1z-qwqu_Z5g7rtvCRKled-ti0", 27.8618833333333)</f>
        <v>27.86188333</v>
      </c>
      <c r="L372" s="115"/>
      <c r="M372" s="115"/>
      <c r="N372" s="115"/>
      <c r="O372" s="115"/>
      <c r="P372" s="118">
        <f>HYPERLINK("https://docs.google.com/spreadsheets/d/1kUSd7_d6SuI1pnslV7dah7p8S7a4Vx_W", 3.4914)</f>
        <v>3.4914</v>
      </c>
      <c r="S372" s="118">
        <f>HYPERLINK("https://docs.google.com/spreadsheets/d/1tuNMP-mNxzT5l6w7BcifUOdxbKOWh4BR", 23.804)</f>
        <v>23.804</v>
      </c>
      <c r="T372" s="118">
        <f>HYPERLINK("https://docs.google.com/spreadsheets/d/1ftpPdu9zrCiSdMejNorhq511Y1U8v7-Y", 4.1122)</f>
        <v>4.1122</v>
      </c>
      <c r="U372" s="118">
        <f>HYPERLINK("https://docs.google.com/spreadsheets/d/1sMCUk0xlTnc4Y9PpAraZMcNRB5Kqqm3a", 3.55015)</f>
        <v>3.55015</v>
      </c>
      <c r="V372" s="118">
        <f>HYPERLINK("https://docs.google.com/spreadsheets/d/1l_f30cX26zgHNYdjkZAzVrE3iSo8eNoN", 6.94785)</f>
        <v>6.94785</v>
      </c>
      <c r="W372" s="118">
        <f>HYPERLINK("https://docs.google.com/spreadsheets/d/12parjkVtBpYAwF1wyA1ToCam3rgXq8Yv", 77.0046333333333)</f>
        <v>77.00463333</v>
      </c>
      <c r="Z372" s="118">
        <f>HYPERLINK("https://docs.google.com/spreadsheets/d/1Bb8It7CUKEqQRdWJq93Iv8JFOcxxwb-D", 12.2124333333333)</f>
        <v>12.21243333</v>
      </c>
      <c r="AA372" s="118">
        <f>HYPERLINK("https://docs.google.com/spreadsheets/d/1pBHu-gHZarcdyxFd7rZOiWKMF9z2COet", 9.08701666666667)</f>
        <v>9.087016667</v>
      </c>
      <c r="AB372" s="118">
        <f>HYPERLINK("https://docs.google.com/spreadsheets/d/17FBQjylxtarlbg1hpMQ1Au7KzINphbuh", 4.18245)</f>
        <v>4.18245</v>
      </c>
      <c r="AC372" s="118">
        <f>HYPERLINK("https://docs.google.com/spreadsheets/d/1XSwDPtoF0UkVO27zKfMNHdxmTf0fVegl", 1.1843)</f>
        <v>1.1843</v>
      </c>
      <c r="AD372" s="118">
        <f>HYPERLINK("https://docs.google.com/spreadsheets/d/1FLhzmwk8X8qO2aYY-jkwyl48Zahmd2Wh", 33.3872)</f>
        <v>33.3872</v>
      </c>
      <c r="AI372" s="118">
        <f>HYPERLINK("https://docs.google.com/spreadsheets/d/1w5XgvTrpz_K0qh-dtgOKMqFyGlJ_v3iW", 11.2483333333333)</f>
        <v>11.24833333</v>
      </c>
      <c r="AJ372" s="118">
        <f>HYPERLINK("https://docs.google.com/spreadsheets/d/1wc5NJGBPyPKWJ0_subGZXdKU03GrkF--", 36.4681333333333)</f>
        <v>36.46813333</v>
      </c>
      <c r="AK372" s="118">
        <f>HYPERLINK("https://docs.google.com/spreadsheets/d/103v2W16M2woIp9EmgZymAcipxCQmc9vL", 6.09655)</f>
        <v>6.09655</v>
      </c>
      <c r="AL372" s="118">
        <f>HYPERLINK("https://docs.google.com/spreadsheets/d/1QpTB1wep9G5jTt-bSMkm-nsFMLT6dgUk", 0.848883333333333)</f>
        <v>0.8488833333</v>
      </c>
      <c r="AM372" s="118">
        <f>HYPERLINK("https://docs.google.com/spreadsheets/d/1sK4v8W0ELgiSmwqZldy3cfkn2HeEsRXQ", 21.4581666666667)</f>
        <v>21.45816667</v>
      </c>
      <c r="AP372" s="118">
        <f>HYPERLINK("https://docs.google.com/spreadsheets/d/1Eynmv_p4nXSHjpvMYNMq2j5Vl2Co5_0h", 28.2624166666667)</f>
        <v>28.26241667</v>
      </c>
      <c r="AQ372" s="118">
        <f>HYPERLINK("https://docs.google.com/spreadsheets/d/1eXb6qBBk4yeV352kZHkl9F4bRVvTlDOx", 15.4009)</f>
        <v>15.4009</v>
      </c>
      <c r="AR372" s="118">
        <f>HYPERLINK("https://docs.google.com/spreadsheets/d/1HsEfP8qZIbp2is84oKX3OHXWeWTGiI3I", 31.3849833333333)</f>
        <v>31.38498333</v>
      </c>
      <c r="AU372" s="118">
        <f>HYPERLINK("https://docs.google.com/spreadsheets/d/1n-qNib2cQXcX7kYZ-AjkznR46HmBh0I7", 1.88551666666667)</f>
        <v>1.885516667</v>
      </c>
      <c r="AV372" s="118">
        <f>HYPERLINK("https://docs.google.com/spreadsheets/d/1X3S20j3DlNe1t3ll0V94Gf2e5sKZGxnf", 3.90498333333333)</f>
        <v>3.904983333</v>
      </c>
      <c r="AY372" s="118">
        <f>HYPERLINK("https://docs.google.com/spreadsheets/d/1anveNC6Myh3BY-cW-qY1woQ-GfQeGWq1", 35.19115)</f>
        <v>35.19115</v>
      </c>
    </row>
    <row r="373">
      <c r="A373" s="65" t="s">
        <v>38</v>
      </c>
      <c r="B373" s="65" t="s">
        <v>95</v>
      </c>
      <c r="C373" s="65" t="s">
        <v>413</v>
      </c>
      <c r="D373" s="64">
        <f t="shared" si="1"/>
        <v>317.27225</v>
      </c>
      <c r="E373" s="115"/>
      <c r="F373" s="104">
        <v>0.613466666666675</v>
      </c>
      <c r="G373" s="104">
        <v>8.88178419700125E-16</v>
      </c>
      <c r="H373" s="104">
        <v>1.34143333333333</v>
      </c>
      <c r="I373" s="104">
        <v>-4.44089209850063E-16</v>
      </c>
      <c r="J373" s="104">
        <v>1.91688333333333</v>
      </c>
      <c r="K373" s="104">
        <v>27.8618833333333</v>
      </c>
      <c r="L373" s="104"/>
      <c r="M373" s="104"/>
      <c r="N373" s="104"/>
      <c r="O373" s="104"/>
      <c r="P373" s="65">
        <v>3.4914</v>
      </c>
      <c r="Q373" s="65"/>
      <c r="R373" s="65"/>
      <c r="S373" s="65">
        <v>12.0817833333333</v>
      </c>
      <c r="T373" s="65">
        <v>4.1122</v>
      </c>
      <c r="U373" s="65">
        <v>0.307216666666667</v>
      </c>
      <c r="V373" s="65">
        <v>0.850533333333331</v>
      </c>
      <c r="W373" s="65">
        <v>77.0046333333333</v>
      </c>
      <c r="X373" s="65"/>
      <c r="Y373" s="65"/>
      <c r="Z373" s="65">
        <v>4.14261666666667</v>
      </c>
      <c r="AA373" s="65">
        <v>5.221</v>
      </c>
      <c r="AB373" s="65">
        <v>0.8284</v>
      </c>
      <c r="AC373" s="65">
        <v>0.0</v>
      </c>
      <c r="AD373" s="65">
        <v>16.7575</v>
      </c>
      <c r="AE373" s="65"/>
      <c r="AF373" s="65"/>
      <c r="AG373" s="65"/>
      <c r="AH373" s="65"/>
      <c r="AI373" s="65">
        <v>5.9378</v>
      </c>
      <c r="AJ373" s="65">
        <v>36.4681333333333</v>
      </c>
      <c r="AK373" s="65">
        <v>1.21406666666667</v>
      </c>
      <c r="AL373" s="65">
        <v>-2.22044604925031E-16</v>
      </c>
      <c r="AM373" s="65">
        <v>21.4581666666667</v>
      </c>
      <c r="AN373" s="65"/>
      <c r="AP373" s="65">
        <v>25.1471333333333</v>
      </c>
      <c r="AQ373" s="65">
        <v>2.34488333333333</v>
      </c>
      <c r="AR373" s="65">
        <v>31.3849833333333</v>
      </c>
      <c r="AT373" s="65"/>
      <c r="AU373" s="65">
        <v>0.600883333333333</v>
      </c>
      <c r="AV373" s="65">
        <v>1.29651666666667</v>
      </c>
      <c r="AY373" s="65">
        <v>34.8887333333333</v>
      </c>
    </row>
    <row r="374">
      <c r="A374" s="119" t="s">
        <v>38</v>
      </c>
      <c r="B374" s="119" t="s">
        <v>95</v>
      </c>
      <c r="C374" s="119" t="s">
        <v>414</v>
      </c>
      <c r="D374" s="120">
        <f t="shared" si="1"/>
        <v>1.885516667</v>
      </c>
      <c r="E374" s="121"/>
      <c r="F374" s="122">
        <f>HYPERLINK("https://docs.google.com/spreadsheets/d/1xXDdRqJDkSnkoLNKaMVE1IB2lI6H_ZJR", 0)</f>
        <v>0</v>
      </c>
      <c r="G374" s="122">
        <f>HYPERLINK("https://docs.google.com/spreadsheets/d/1h8B_EmIvgQK0TI56ORM1I-QQdkNe_PX3", 0)</f>
        <v>0</v>
      </c>
      <c r="H374" s="122">
        <f>HYPERLINK("https://docs.google.com/spreadsheets/d/1Yy3z_2DGJF-OYQtvxWmhFcCa3058uM8_", 0)</f>
        <v>0</v>
      </c>
      <c r="I374" s="122">
        <f>HYPERLINK("https://docs.google.com/spreadsheets/d/1zK72zbYI8Y-a051XwlB3B4PGQpyucNXc", 0)</f>
        <v>0</v>
      </c>
      <c r="J374" s="122">
        <f>HYPERLINK("https://docs.google.com/spreadsheets/d/1H-tWN2P-KlTrdKvonm5ZOH_n72nkzieh", 0)</f>
        <v>0</v>
      </c>
      <c r="K374" s="122">
        <f>HYPERLINK("https://docs.google.com/spreadsheets/d/1PHsweSB1z-qwqu_Z5g7rtvCRKled-ti0", 0)</f>
        <v>0</v>
      </c>
      <c r="L374" s="121"/>
      <c r="M374" s="121"/>
      <c r="N374" s="123"/>
      <c r="O374" s="121"/>
      <c r="P374" s="124">
        <f>HYPERLINK("https://docs.google.com/spreadsheets/d/1kUSd7_d6SuI1pnslV7dah7p8S7a4Vx_W", 0)</f>
        <v>0</v>
      </c>
      <c r="Q374" s="119"/>
      <c r="R374" s="120"/>
      <c r="S374" s="124">
        <f>HYPERLINK("https://docs.google.com/spreadsheets/d/1tuNMP-mNxzT5l6w7BcifUOdxbKOWh4BR", 0)</f>
        <v>0</v>
      </c>
      <c r="T374" s="125">
        <f>HYPERLINK("https://docs.google.com/spreadsheets/d/1ftpPdu9zrCiSdMejNorhq511Y1U8v7-Y", 0)</f>
        <v>0</v>
      </c>
      <c r="U374" s="125">
        <f>HYPERLINK("https://docs.google.com/spreadsheets/d/1sMCUk0xlTnc4Y9PpAraZMcNRB5Kqqm3a", 0)</f>
        <v>0</v>
      </c>
      <c r="V374" s="124">
        <f>HYPERLINK("https://docs.google.com/spreadsheets/d/1l_f30cX26zgHNYdjkZAzVrE3iSo8eNoN", 0)</f>
        <v>0</v>
      </c>
      <c r="W374" s="124">
        <f>HYPERLINK("https://docs.google.com/spreadsheets/d/12parjkVtBpYAwF1wyA1ToCam3rgXq8Yv", 0)</f>
        <v>0</v>
      </c>
      <c r="X374" s="119"/>
      <c r="Y374" s="119"/>
      <c r="Z374" s="124">
        <f>HYPERLINK("https://docs.google.com/spreadsheets/d/1Bb8It7CUKEqQRdWJq93Iv8JFOcxxwb-D", 0)</f>
        <v>0</v>
      </c>
      <c r="AA374" s="124">
        <f>HYPERLINK("https://docs.google.com/spreadsheets/d/1pBHu-gHZarcdyxFd7rZOiWKMF9z2COet", 0)</f>
        <v>0</v>
      </c>
      <c r="AB374" s="124">
        <f>HYPERLINK("https://docs.google.com/spreadsheets/d/17FBQjylxtarlbg1hpMQ1Au7KzINphbuh", 0)</f>
        <v>0</v>
      </c>
      <c r="AC374" s="124">
        <f>HYPERLINK("https://docs.google.com/spreadsheets/d/1XSwDPtoF0UkVO27zKfMNHdxmTf0fVegl", 0)</f>
        <v>0</v>
      </c>
      <c r="AD374" s="124">
        <f>HYPERLINK("https://docs.google.com/spreadsheets/d/1FLhzmwk8X8qO2aYY-jkwyl48Zahmd2Wh", 0)</f>
        <v>0</v>
      </c>
      <c r="AE374" s="119"/>
      <c r="AF374" s="120"/>
      <c r="AG374" s="119"/>
      <c r="AH374" s="119"/>
      <c r="AI374" s="125">
        <f>HYPERLINK("https://docs.google.com/spreadsheets/d/1w5XgvTrpz_K0qh-dtgOKMqFyGlJ_v3iW", 0)</f>
        <v>0</v>
      </c>
      <c r="AJ374" s="124">
        <f>HYPERLINK("https://docs.google.com/spreadsheets/d/1wc5NJGBPyPKWJ0_subGZXdKU03GrkF--", 0)</f>
        <v>0</v>
      </c>
      <c r="AK374" s="124">
        <f>HYPERLINK("https://docs.google.com/spreadsheets/d/103v2W16M2woIp9EmgZymAcipxCQmc9vL", 0)</f>
        <v>0</v>
      </c>
      <c r="AL374" s="125">
        <f>HYPERLINK("https://docs.google.com/spreadsheets/d/1QpTB1wep9G5jTt-bSMkm-nsFMLT6dgUk", 0)</f>
        <v>0</v>
      </c>
      <c r="AM374" s="124">
        <f>HYPERLINK("https://docs.google.com/spreadsheets/d/1sK4v8W0ELgiSmwqZldy3cfkn2HeEsRXQ", 0)</f>
        <v>0</v>
      </c>
      <c r="AN374" s="119"/>
      <c r="AO374" s="120"/>
      <c r="AP374" s="124">
        <f>HYPERLINK("https://docs.google.com/spreadsheets/d/1Eynmv_p4nXSHjpvMYNMq2j5Vl2Co5_0h", 0)</f>
        <v>0</v>
      </c>
      <c r="AQ374" s="125">
        <f>HYPERLINK("https://docs.google.com/spreadsheets/d/1eXb6qBBk4yeV352kZHkl9F4bRVvTlDOx", 0)</f>
        <v>0</v>
      </c>
      <c r="AR374" s="125">
        <f>HYPERLINK("https://docs.google.com/spreadsheets/d/1HsEfP8qZIbp2is84oKX3OHXWeWTGiI3I", 0)</f>
        <v>0</v>
      </c>
      <c r="AS374" s="120"/>
      <c r="AT374" s="120"/>
      <c r="AU374" s="125">
        <f>HYPERLINK("https://docs.google.com/spreadsheets/d/1n-qNib2cQXcX7kYZ-AjkznR46HmBh0I7", 1.88551666666667)</f>
        <v>1.885516667</v>
      </c>
      <c r="AV374" s="124">
        <f>HYPERLINK("https://docs.google.com/spreadsheets/d/1X3S20j3DlNe1t3ll0V94Gf2e5sKZGxnf", 0)</f>
        <v>0</v>
      </c>
      <c r="AW374" s="120"/>
      <c r="AX374" s="120"/>
      <c r="AY374" s="124">
        <f>HYPERLINK("https://docs.google.com/spreadsheets/d/1anveNC6Myh3BY-cW-qY1woQ-GfQeGWq1", 0)</f>
        <v>0</v>
      </c>
      <c r="AZ374" s="120"/>
      <c r="BA374" s="120"/>
      <c r="BB374" s="120"/>
      <c r="BC374" s="120"/>
      <c r="BD374" s="120"/>
      <c r="BE374" s="120"/>
      <c r="BF374" s="120"/>
      <c r="BG374" s="120"/>
      <c r="BH374" s="120"/>
      <c r="BI374" s="120"/>
      <c r="BJ374" s="120"/>
      <c r="BK374" s="120"/>
      <c r="BL374" s="120"/>
      <c r="BM374" s="120"/>
      <c r="BN374" s="120"/>
      <c r="BO374" s="120"/>
      <c r="BP374" s="120"/>
      <c r="BQ374" s="120"/>
      <c r="BR374" s="120"/>
      <c r="BS374" s="120"/>
      <c r="BT374" s="120"/>
      <c r="BU374" s="120"/>
      <c r="BV374" s="120"/>
      <c r="BW374" s="120"/>
      <c r="BX374" s="120"/>
      <c r="BY374" s="120"/>
      <c r="BZ374" s="120"/>
      <c r="CA374" s="120"/>
      <c r="CB374" s="120"/>
      <c r="CC374" s="120"/>
      <c r="CD374" s="120"/>
      <c r="CE374" s="120"/>
      <c r="CF374" s="120"/>
      <c r="CG374" s="120"/>
      <c r="CH374" s="120"/>
      <c r="CI374" s="120"/>
      <c r="CJ374" s="120"/>
      <c r="CK374" s="120"/>
      <c r="CL374" s="120"/>
      <c r="CM374" s="120"/>
      <c r="CN374" s="120"/>
      <c r="CO374" s="120"/>
      <c r="CP374" s="120"/>
      <c r="CQ374" s="120"/>
      <c r="CR374" s="120"/>
      <c r="CS374" s="120"/>
      <c r="CT374" s="120"/>
      <c r="CU374" s="120"/>
      <c r="CV374" s="120"/>
      <c r="CW374" s="120"/>
      <c r="CX374" s="120"/>
      <c r="CY374" s="120"/>
      <c r="CZ374" s="120"/>
      <c r="DA374" s="120"/>
      <c r="DB374" s="120"/>
      <c r="DC374" s="120"/>
      <c r="DD374" s="120"/>
      <c r="DE374" s="120"/>
      <c r="DF374" s="120"/>
      <c r="DG374" s="120"/>
      <c r="DH374" s="120"/>
      <c r="DI374" s="120"/>
      <c r="DJ374" s="120"/>
      <c r="DK374" s="120"/>
      <c r="DL374" s="120"/>
      <c r="DM374" s="120"/>
      <c r="DN374" s="120"/>
      <c r="DO374" s="120"/>
      <c r="DP374" s="120"/>
      <c r="DQ374" s="120"/>
      <c r="DR374" s="120"/>
      <c r="DS374" s="120"/>
      <c r="DT374" s="120"/>
      <c r="DU374" s="120"/>
      <c r="DV374" s="120"/>
      <c r="DW374" s="120"/>
      <c r="DX374" s="120"/>
      <c r="DY374" s="120"/>
      <c r="DZ374" s="120"/>
      <c r="EA374" s="120"/>
      <c r="EB374" s="120"/>
      <c r="EC374" s="120"/>
      <c r="ED374" s="120"/>
      <c r="EE374" s="120"/>
      <c r="EF374" s="120"/>
      <c r="EG374" s="120"/>
      <c r="EH374" s="120"/>
      <c r="EI374" s="120"/>
      <c r="EJ374" s="120"/>
      <c r="EK374" s="120"/>
      <c r="EL374" s="120"/>
      <c r="EM374" s="120"/>
      <c r="EN374" s="120"/>
      <c r="EO374" s="120"/>
      <c r="EP374" s="120"/>
      <c r="EQ374" s="120"/>
      <c r="ER374" s="120"/>
      <c r="ES374" s="120"/>
      <c r="ET374" s="120"/>
      <c r="EU374" s="120"/>
      <c r="EV374" s="120"/>
      <c r="EW374" s="120"/>
      <c r="EX374" s="120"/>
      <c r="EY374" s="120"/>
    </row>
    <row r="375">
      <c r="A375" s="112" t="s">
        <v>38</v>
      </c>
      <c r="B375" s="112" t="s">
        <v>96</v>
      </c>
      <c r="C375" s="112" t="s">
        <v>409</v>
      </c>
      <c r="D375" s="113">
        <f t="shared" si="1"/>
        <v>606.7891</v>
      </c>
      <c r="E375" s="114">
        <v>27.3359666666666</v>
      </c>
      <c r="F375" s="114"/>
      <c r="G375" s="114"/>
      <c r="H375" s="114"/>
      <c r="I375" s="114"/>
      <c r="J375" s="114"/>
      <c r="K375" s="114"/>
      <c r="L375" s="114">
        <v>0.695366666666667</v>
      </c>
      <c r="M375" s="114"/>
      <c r="N375" s="114"/>
      <c r="O375" s="114">
        <v>1.0163</v>
      </c>
      <c r="P375" s="112"/>
      <c r="Q375" s="112"/>
      <c r="R375" s="112">
        <v>39.5766833333334</v>
      </c>
      <c r="S375" s="112"/>
      <c r="T375" s="112"/>
      <c r="U375" s="112"/>
      <c r="V375" s="112"/>
      <c r="W375" s="112"/>
      <c r="X375" s="112">
        <v>0.783366666666667</v>
      </c>
      <c r="Y375" s="112">
        <v>119.141566666667</v>
      </c>
      <c r="Z375" s="112"/>
      <c r="AA375" s="113"/>
      <c r="AB375" s="112"/>
      <c r="AC375" s="112"/>
      <c r="AD375" s="112"/>
      <c r="AE375" s="112">
        <v>1.4256</v>
      </c>
      <c r="AF375" s="112"/>
      <c r="AG375" s="112"/>
      <c r="AH375" s="112">
        <v>260.979016666667</v>
      </c>
      <c r="AI375" s="112"/>
      <c r="AJ375" s="112"/>
      <c r="AK375" s="112"/>
      <c r="AL375" s="113"/>
      <c r="AM375" s="112"/>
      <c r="AN375" s="112">
        <v>6.80261666666667</v>
      </c>
      <c r="AO375" s="112">
        <v>53.5827166666666</v>
      </c>
      <c r="AP375" s="112"/>
      <c r="AQ375" s="113"/>
      <c r="AR375" s="112"/>
      <c r="AS375" s="112">
        <v>4.91183333333333</v>
      </c>
      <c r="AT375" s="112">
        <v>7.88248333333333</v>
      </c>
      <c r="AU375" s="112"/>
      <c r="AV375" s="112"/>
      <c r="AW375" s="112">
        <v>1.91568333333333</v>
      </c>
      <c r="AX375" s="112">
        <v>74.8200666666666</v>
      </c>
      <c r="AY375" s="113"/>
      <c r="AZ375" s="112">
        <v>5.57313333333333</v>
      </c>
      <c r="BA375" s="112">
        <v>0.3467</v>
      </c>
      <c r="BB375" s="113"/>
      <c r="BC375" s="113"/>
      <c r="BD375" s="113"/>
      <c r="BE375" s="113"/>
      <c r="BF375" s="113"/>
      <c r="BG375" s="113"/>
      <c r="BH375" s="113"/>
      <c r="BI375" s="113"/>
      <c r="BJ375" s="113"/>
      <c r="BK375" s="113"/>
      <c r="BL375" s="113"/>
      <c r="BM375" s="113"/>
      <c r="BN375" s="113"/>
      <c r="BO375" s="113"/>
      <c r="BP375" s="113"/>
      <c r="BQ375" s="113"/>
      <c r="BR375" s="113"/>
      <c r="BS375" s="113"/>
      <c r="BT375" s="113"/>
      <c r="BU375" s="113"/>
      <c r="BV375" s="113"/>
      <c r="BW375" s="113"/>
      <c r="BX375" s="113"/>
      <c r="BY375" s="113"/>
      <c r="BZ375" s="113"/>
      <c r="CA375" s="113"/>
      <c r="CB375" s="113"/>
      <c r="CC375" s="113"/>
      <c r="CD375" s="113"/>
      <c r="CE375" s="113"/>
      <c r="CF375" s="113"/>
      <c r="CG375" s="113"/>
      <c r="CH375" s="113"/>
      <c r="CI375" s="113"/>
      <c r="CJ375" s="113"/>
      <c r="CK375" s="113"/>
      <c r="CL375" s="113"/>
      <c r="CM375" s="113"/>
      <c r="CN375" s="113"/>
      <c r="CO375" s="113"/>
      <c r="CP375" s="113"/>
      <c r="CQ375" s="113"/>
      <c r="CR375" s="113"/>
      <c r="CS375" s="113"/>
      <c r="CT375" s="113"/>
      <c r="CU375" s="113"/>
      <c r="CV375" s="113"/>
      <c r="CW375" s="113"/>
      <c r="CX375" s="113"/>
      <c r="CY375" s="113"/>
      <c r="CZ375" s="113"/>
      <c r="DA375" s="113"/>
      <c r="DB375" s="113"/>
      <c r="DC375" s="113"/>
      <c r="DD375" s="113"/>
      <c r="DE375" s="113"/>
      <c r="DF375" s="113"/>
      <c r="DG375" s="113"/>
      <c r="DH375" s="113"/>
      <c r="DI375" s="113"/>
      <c r="DJ375" s="113"/>
      <c r="DK375" s="113"/>
      <c r="DL375" s="113"/>
      <c r="DM375" s="113"/>
      <c r="DN375" s="113"/>
      <c r="DO375" s="113"/>
      <c r="DP375" s="113"/>
      <c r="DQ375" s="113"/>
      <c r="DR375" s="113"/>
      <c r="DS375" s="113"/>
      <c r="DT375" s="113"/>
      <c r="DU375" s="113"/>
      <c r="DV375" s="113"/>
      <c r="DW375" s="113"/>
      <c r="DX375" s="113"/>
      <c r="DY375" s="113"/>
      <c r="DZ375" s="113"/>
      <c r="EA375" s="113"/>
      <c r="EB375" s="113"/>
      <c r="EC375" s="113"/>
      <c r="ED375" s="113"/>
      <c r="EE375" s="113"/>
      <c r="EF375" s="113"/>
      <c r="EG375" s="113"/>
      <c r="EH375" s="113"/>
      <c r="EI375" s="113"/>
      <c r="EJ375" s="113"/>
      <c r="EK375" s="113"/>
      <c r="EL375" s="113"/>
      <c r="EM375" s="113"/>
      <c r="EN375" s="113"/>
      <c r="EO375" s="113"/>
      <c r="EP375" s="113"/>
      <c r="EQ375" s="113"/>
      <c r="ER375" s="113"/>
      <c r="ES375" s="113"/>
      <c r="ET375" s="113"/>
      <c r="EU375" s="113"/>
      <c r="EV375" s="113"/>
      <c r="EW375" s="113"/>
      <c r="EX375" s="113"/>
      <c r="EY375" s="113"/>
    </row>
    <row r="376">
      <c r="A376" s="65" t="s">
        <v>38</v>
      </c>
      <c r="B376" s="65" t="s">
        <v>96</v>
      </c>
      <c r="C376" s="65" t="s">
        <v>410</v>
      </c>
      <c r="D376" s="64">
        <f t="shared" si="1"/>
        <v>667.2975167</v>
      </c>
      <c r="E376" s="115"/>
      <c r="F376" s="104">
        <v>21.1835833333333</v>
      </c>
      <c r="G376" s="104">
        <v>0.98035</v>
      </c>
      <c r="H376" s="104">
        <v>0.5766</v>
      </c>
      <c r="I376" s="104">
        <v>0.1215</v>
      </c>
      <c r="J376" s="104">
        <v>0.186383333333333</v>
      </c>
      <c r="K376" s="104">
        <v>2.78953333333333</v>
      </c>
      <c r="L376" s="104"/>
      <c r="M376" s="104">
        <v>21.1835833333333</v>
      </c>
      <c r="N376" s="104">
        <v>0.98035</v>
      </c>
      <c r="O376" s="104"/>
      <c r="P376" s="65">
        <v>1.0163</v>
      </c>
      <c r="Q376" s="65"/>
      <c r="R376" s="65"/>
      <c r="S376" s="65">
        <v>21.7825833333333</v>
      </c>
      <c r="T376" s="65">
        <v>2.38016666666667</v>
      </c>
      <c r="U376" s="65">
        <v>0.80555</v>
      </c>
      <c r="V376" s="65">
        <v>2.52106666666667</v>
      </c>
      <c r="W376" s="65">
        <v>7.37488333333333</v>
      </c>
      <c r="X376" s="65"/>
      <c r="Y376" s="65"/>
      <c r="Z376" s="65">
        <v>54.7118166666667</v>
      </c>
      <c r="AA376" s="65">
        <v>37.5904166666666</v>
      </c>
      <c r="AB376" s="65">
        <v>5.88758333333333</v>
      </c>
      <c r="AC376" s="65">
        <v>2.4193</v>
      </c>
      <c r="AD376" s="65">
        <v>15.7922833333333</v>
      </c>
      <c r="AE376" s="65"/>
      <c r="AF376" s="65">
        <v>54.7118166666667</v>
      </c>
      <c r="AG376" s="65">
        <v>37.5904166666666</v>
      </c>
      <c r="AH376" s="65"/>
      <c r="AI376" s="65">
        <v>112.978766666667</v>
      </c>
      <c r="AJ376" s="65">
        <v>118.2085</v>
      </c>
      <c r="AK376" s="65">
        <v>20.3243</v>
      </c>
      <c r="AL376" s="65">
        <v>2.12868333333333</v>
      </c>
      <c r="AM376" s="65">
        <v>5.6329</v>
      </c>
      <c r="AN376" s="65"/>
      <c r="AP376" s="65">
        <v>11.6907833333333</v>
      </c>
      <c r="AQ376" s="65">
        <v>10.97865</v>
      </c>
      <c r="AR376" s="65">
        <v>15.23035</v>
      </c>
      <c r="AT376" s="65"/>
      <c r="AU376" s="65">
        <v>2.16286666666667</v>
      </c>
      <c r="AV376" s="65">
        <v>3.12403333333333</v>
      </c>
      <c r="AY376" s="65">
        <v>72.2516166666666</v>
      </c>
    </row>
    <row r="377">
      <c r="A377" s="65" t="s">
        <v>38</v>
      </c>
      <c r="B377" s="65" t="s">
        <v>96</v>
      </c>
      <c r="C377" s="65" t="s">
        <v>411</v>
      </c>
      <c r="D377" s="64">
        <f t="shared" si="1"/>
        <v>0</v>
      </c>
      <c r="E377" s="115"/>
      <c r="F377" s="115"/>
      <c r="G377" s="115"/>
      <c r="H377" s="115"/>
      <c r="I377" s="115"/>
      <c r="J377" s="115"/>
      <c r="K377" s="115"/>
      <c r="L377" s="115"/>
      <c r="M377" s="115"/>
      <c r="N377" s="115"/>
      <c r="O377" s="115"/>
    </row>
    <row r="378">
      <c r="A378" s="65" t="s">
        <v>38</v>
      </c>
      <c r="B378" s="65" t="s">
        <v>96</v>
      </c>
      <c r="C378" s="65" t="s">
        <v>412</v>
      </c>
      <c r="D378" s="64">
        <f t="shared" si="1"/>
        <v>541.8458833</v>
      </c>
      <c r="E378" s="115"/>
      <c r="F378" s="116">
        <f>HYPERLINK("https://docs.google.com/spreadsheets/d/1CFUEY6dd2jCgVwHFAanUC49jt2vizoUF", 20.8003)</f>
        <v>20.8003</v>
      </c>
      <c r="G378" s="116">
        <f>HYPERLINK("https://docs.google.com/spreadsheets/d/1JKwPlMw-CQqdUKDawVOIqJeD0Pt1Nt4G", 0.98035)</f>
        <v>0.98035</v>
      </c>
      <c r="H378" s="116">
        <f>HYPERLINK("https://docs.google.com/spreadsheets/d/1QYSwls6XbUjJNyxRdyEP9Z0TFbfsiVQy", 0.5766)</f>
        <v>0.5766</v>
      </c>
      <c r="I378" s="116">
        <f>HYPERLINK("https://docs.google.com/spreadsheets/d/1KnlMxn2qcC2pqti8BPUutytDfNSIX_6j", 0.1215)</f>
        <v>0.1215</v>
      </c>
      <c r="J378" s="116">
        <f>HYPERLINK("https://docs.google.com/spreadsheets/d/1ZRGIJ9LgYUiZPZI4_JDpBx9qRgEuHStR", 0.186383333333333)</f>
        <v>0.1863833333</v>
      </c>
      <c r="K378" s="116">
        <f>HYPERLINK("https://docs.google.com/spreadsheets/d/1kQIDsFydaQO3KigVSsXjMJ7ELoWD4ap4", 2.78953333333333)</f>
        <v>2.789533333</v>
      </c>
      <c r="L378" s="115"/>
      <c r="M378" s="115"/>
      <c r="N378" s="115"/>
      <c r="O378" s="115"/>
      <c r="P378" s="118">
        <f>HYPERLINK("https://docs.google.com/spreadsheets/d/1a03sklWrXSvDU-fXs5IKV4uq678zpTbe", 1.0163)</f>
        <v>1.0163</v>
      </c>
      <c r="S378" s="118">
        <f>HYPERLINK("https://docs.google.com/spreadsheets/d/1HPmRJq1nyEPgQH8kH97qa03oc8fVQWGp", 18.0263333333333)</f>
        <v>18.02633333</v>
      </c>
      <c r="T378" s="118">
        <f>HYPERLINK("https://docs.google.com/spreadsheets/d/1AX0IZYiTqjeE2nXqEUQ6oRiKNLIPInbE", 2.38018333333333)</f>
        <v>2.380183333</v>
      </c>
      <c r="U378" s="118">
        <f>HYPERLINK("https://docs.google.com/spreadsheets/d/10iVCuN5cFLz-qIeG_gEjj6hy8QFuj1Jr", 0.805533333333333)</f>
        <v>0.8055333333</v>
      </c>
      <c r="V378" s="118">
        <f>HYPERLINK("https://docs.google.com/spreadsheets/d/1n--nrA-LjEutNWd730YSvF9ibHlU3-rr", 2.52106666666667)</f>
        <v>2.521066667</v>
      </c>
      <c r="W378" s="118">
        <f>HYPERLINK("https://docs.google.com/spreadsheets/d/1iz_VnS_LAHjLbqcSzZeP3QlBpmQ5ejt-", 7.37486666666667)</f>
        <v>7.374866667</v>
      </c>
      <c r="Z378" s="118">
        <f>HYPERLINK("https://docs.google.com/spreadsheets/d/1Va-nv27yzDokwh8DzWS-aIuh4bRKtRRM", 51.8900166666667)</f>
        <v>51.89001667</v>
      </c>
      <c r="AA378" s="118">
        <f>HYPERLINK("https://docs.google.com/spreadsheets/d/1IeDuAUoAdplVf3lIhEYLGmpSVURmhmxl", 37.5903833333333)</f>
        <v>37.59038333</v>
      </c>
      <c r="AB378" s="118">
        <f>HYPERLINK("https://docs.google.com/spreadsheets/d/1lTYKhusUchWJsATgwPi694wTmyM6janj", 5.88758333333333)</f>
        <v>5.887583333</v>
      </c>
      <c r="AC378" s="118">
        <f>HYPERLINK("https://docs.google.com/spreadsheets/d/1n6cKbWUf4WXC6qO3LR5gXzbMflfmc-n7", 2.4193)</f>
        <v>2.4193</v>
      </c>
      <c r="AD378" s="118">
        <f>HYPERLINK("https://docs.google.com/spreadsheets/d/1ijHbNn1vdLM4PfrkvjLwLPocAr0uRyDr", 15.7922833333333)</f>
        <v>15.79228333</v>
      </c>
      <c r="AI378" s="118">
        <f>HYPERLINK("https://docs.google.com/spreadsheets/d/1YeNRIrrJuQDWdcOV-bM0qXt6uE7PTiFD", 111.182)</f>
        <v>111.182</v>
      </c>
      <c r="AJ378" s="118">
        <f>HYPERLINK("https://docs.google.com/spreadsheets/d/1Ms-zbjfkeNfujVKC9H27w0xX4L9q5aa9", 117.316983333333)</f>
        <v>117.3169833</v>
      </c>
      <c r="AK378" s="118">
        <f>HYPERLINK("https://docs.google.com/spreadsheets/d/1Dt4hxL-IRL8l2Jj96A7ypEw4Bm_A-lvj", 19.9785833333333)</f>
        <v>19.97858333</v>
      </c>
      <c r="AL378" s="118">
        <f>HYPERLINK("https://docs.google.com/spreadsheets/d/1SaCZbvPAXJiYdTdyhEcpcsq6Rv9mPuOo", 2.12868333333333)</f>
        <v>2.128683333</v>
      </c>
      <c r="AM378" s="118">
        <f>HYPERLINK("https://docs.google.com/spreadsheets/d/1JddAeL5jdSgav6PjMtx4pDYgf-D0eFTr", 5.63291666666666)</f>
        <v>5.632916667</v>
      </c>
      <c r="AP378" s="118">
        <f>HYPERLINK("https://docs.google.com/spreadsheets/d/1sDBxv3ejlF_2YHexUXoPGQyN6z0km2uF", 11.12625)</f>
        <v>11.12625</v>
      </c>
      <c r="AQ378" s="118">
        <f>HYPERLINK("https://docs.google.com/spreadsheets/d/1mlbMbos79J2IzikZZxiLeC9kYA_e1Xd1", 10.6981833333333)</f>
        <v>10.69818333</v>
      </c>
      <c r="AR378" s="118">
        <f>HYPERLINK("https://docs.google.com/spreadsheets/d/1KZfY11MiclUyagU-edk41VX3If3_bT6p", 15.23035)</f>
        <v>15.23035</v>
      </c>
      <c r="AU378" s="118">
        <f>HYPERLINK("https://docs.google.com/spreadsheets/d/1VROu0g3gw1eA5HVT0o7Y91B1Sd8WOeGY", 2.16286666666667)</f>
        <v>2.162866667</v>
      </c>
      <c r="AV378" s="118">
        <f>HYPERLINK("https://docs.google.com/spreadsheets/d/18rbtF0MIDNtaJjKYOC_FzQmGOK0apJKq", 3.12403333333333)</f>
        <v>3.124033333</v>
      </c>
      <c r="AY378" s="118">
        <f>HYPERLINK("https://docs.google.com/spreadsheets/d/1s83QJRlMUSrQ4Sfbg2-5IjCizeS8-f-z", 72.1065166666666)</f>
        <v>72.10651667</v>
      </c>
    </row>
    <row r="379">
      <c r="A379" s="65" t="s">
        <v>38</v>
      </c>
      <c r="B379" s="65" t="s">
        <v>96</v>
      </c>
      <c r="C379" s="65" t="s">
        <v>413</v>
      </c>
      <c r="D379" s="64">
        <f t="shared" si="1"/>
        <v>395.4106333</v>
      </c>
      <c r="E379" s="115"/>
      <c r="F379" s="104">
        <v>4.28306666666667</v>
      </c>
      <c r="G379" s="104">
        <v>1.11022302462516E-16</v>
      </c>
      <c r="H379" s="104">
        <v>0.0</v>
      </c>
      <c r="I379" s="104">
        <v>0.0</v>
      </c>
      <c r="J379" s="104">
        <v>0.0</v>
      </c>
      <c r="K379" s="104">
        <v>2.78953333333333</v>
      </c>
      <c r="L379" s="104"/>
      <c r="M379" s="104"/>
      <c r="N379" s="104"/>
      <c r="O379" s="104"/>
      <c r="P379" s="65">
        <v>0.827666666666667</v>
      </c>
      <c r="Q379" s="65"/>
      <c r="R379" s="65"/>
      <c r="S379" s="65">
        <v>10.14775</v>
      </c>
      <c r="T379" s="65">
        <v>2.38018333333333</v>
      </c>
      <c r="U379" s="65">
        <v>-1.11022302462516E-16</v>
      </c>
      <c r="V379" s="65">
        <v>0.434566666666667</v>
      </c>
      <c r="W379" s="65">
        <v>7.37486666666667</v>
      </c>
      <c r="X379" s="65"/>
      <c r="Y379" s="65"/>
      <c r="Z379" s="65">
        <v>24.9359000000001</v>
      </c>
      <c r="AA379" s="65">
        <v>22.7968166666666</v>
      </c>
      <c r="AB379" s="65">
        <v>1.2205</v>
      </c>
      <c r="AC379" s="65">
        <v>0.239616666666667</v>
      </c>
      <c r="AD379" s="65">
        <v>6.0275</v>
      </c>
      <c r="AE379" s="65"/>
      <c r="AF379" s="65"/>
      <c r="AG379" s="65"/>
      <c r="AH379" s="65"/>
      <c r="AI379" s="65">
        <v>82.5263000000001</v>
      </c>
      <c r="AJ379" s="65">
        <v>116.452716666667</v>
      </c>
      <c r="AK379" s="65">
        <v>6.35306666666666</v>
      </c>
      <c r="AL379" s="65">
        <v>0.351316666666666</v>
      </c>
      <c r="AM379" s="65">
        <v>5.63291666666666</v>
      </c>
      <c r="AN379" s="65"/>
      <c r="AP379" s="65">
        <v>11.12625</v>
      </c>
      <c r="AQ379" s="65">
        <v>0.876383333333331</v>
      </c>
      <c r="AR379" s="65">
        <v>15.23035</v>
      </c>
      <c r="AT379" s="65"/>
      <c r="AU379" s="65">
        <v>1.2654</v>
      </c>
      <c r="AV379" s="65">
        <v>1.134</v>
      </c>
      <c r="AY379" s="65">
        <v>71.0039666666667</v>
      </c>
    </row>
    <row r="380">
      <c r="A380" s="119" t="s">
        <v>38</v>
      </c>
      <c r="B380" s="119" t="s">
        <v>96</v>
      </c>
      <c r="C380" s="119" t="s">
        <v>414</v>
      </c>
      <c r="D380" s="120">
        <f t="shared" si="1"/>
        <v>2.162866667</v>
      </c>
      <c r="E380" s="121"/>
      <c r="F380" s="122">
        <f>HYPERLINK("https://docs.google.com/spreadsheets/d/1CFUEY6dd2jCgVwHFAanUC49jt2vizoUF", 0)</f>
        <v>0</v>
      </c>
      <c r="G380" s="122">
        <f>HYPERLINK("https://docs.google.com/spreadsheets/d/1JKwPlMw-CQqdUKDawVOIqJeD0Pt1Nt4G", 0)</f>
        <v>0</v>
      </c>
      <c r="H380" s="122">
        <f>HYPERLINK("https://docs.google.com/spreadsheets/d/1QYSwls6XbUjJNyxRdyEP9Z0TFbfsiVQy", 0)</f>
        <v>0</v>
      </c>
      <c r="I380" s="122">
        <f>HYPERLINK("https://docs.google.com/spreadsheets/d/1KnlMxn2qcC2pqti8BPUutytDfNSIX_6j", 0)</f>
        <v>0</v>
      </c>
      <c r="J380" s="122">
        <f>HYPERLINK("https://docs.google.com/spreadsheets/d/1ZRGIJ9LgYUiZPZI4_JDpBx9qRgEuHStR", 0)</f>
        <v>0</v>
      </c>
      <c r="K380" s="122">
        <f>HYPERLINK("https://docs.google.com/spreadsheets/d/1kQIDsFydaQO3KigVSsXjMJ7ELoWD4ap4", 0)</f>
        <v>0</v>
      </c>
      <c r="L380" s="121"/>
      <c r="M380" s="121"/>
      <c r="N380" s="123"/>
      <c r="O380" s="121"/>
      <c r="P380" s="124">
        <f>HYPERLINK("https://docs.google.com/spreadsheets/d/1a03sklWrXSvDU-fXs5IKV4uq678zpTbe", 0)</f>
        <v>0</v>
      </c>
      <c r="Q380" s="119"/>
      <c r="R380" s="120"/>
      <c r="S380" s="124">
        <f>HYPERLINK("https://docs.google.com/spreadsheets/d/1HPmRJq1nyEPgQH8kH97qa03oc8fVQWGp", 0)</f>
        <v>0</v>
      </c>
      <c r="T380" s="125">
        <f>HYPERLINK("https://docs.google.com/spreadsheets/d/1AX0IZYiTqjeE2nXqEUQ6oRiKNLIPInbE", 0)</f>
        <v>0</v>
      </c>
      <c r="U380" s="125">
        <f>HYPERLINK("https://docs.google.com/spreadsheets/d/10iVCuN5cFLz-qIeG_gEjj6hy8QFuj1Jr", 0)</f>
        <v>0</v>
      </c>
      <c r="V380" s="124">
        <f>HYPERLINK("https://docs.google.com/spreadsheets/d/1n--nrA-LjEutNWd730YSvF9ibHlU3-rr", 0)</f>
        <v>0</v>
      </c>
      <c r="W380" s="124">
        <f>HYPERLINK("https://docs.google.com/spreadsheets/d/1iz_VnS_LAHjLbqcSzZeP3QlBpmQ5ejt-", 0)</f>
        <v>0</v>
      </c>
      <c r="X380" s="119"/>
      <c r="Y380" s="119"/>
      <c r="Z380" s="124">
        <f>HYPERLINK("https://docs.google.com/spreadsheets/d/1Va-nv27yzDokwh8DzWS-aIuh4bRKtRRM", 0)</f>
        <v>0</v>
      </c>
      <c r="AA380" s="124">
        <f>HYPERLINK("https://docs.google.com/spreadsheets/d/1IeDuAUoAdplVf3lIhEYLGmpSVURmhmxl", 0)</f>
        <v>0</v>
      </c>
      <c r="AB380" s="124">
        <f>HYPERLINK("https://docs.google.com/spreadsheets/d/1lTYKhusUchWJsATgwPi694wTmyM6janj", 0)</f>
        <v>0</v>
      </c>
      <c r="AC380" s="124">
        <f>HYPERLINK("https://docs.google.com/spreadsheets/d/1n6cKbWUf4WXC6qO3LR5gXzbMflfmc-n7", 0)</f>
        <v>0</v>
      </c>
      <c r="AD380" s="124">
        <f>HYPERLINK("https://docs.google.com/spreadsheets/d/1ijHbNn1vdLM4PfrkvjLwLPocAr0uRyDr", 0)</f>
        <v>0</v>
      </c>
      <c r="AE380" s="119"/>
      <c r="AF380" s="119"/>
      <c r="AG380" s="119"/>
      <c r="AH380" s="119"/>
      <c r="AI380" s="125">
        <f>HYPERLINK("https://docs.google.com/spreadsheets/d/1YeNRIrrJuQDWdcOV-bM0qXt6uE7PTiFD", 0)</f>
        <v>0</v>
      </c>
      <c r="AJ380" s="124">
        <f>HYPERLINK("https://docs.google.com/spreadsheets/d/1Ms-zbjfkeNfujVKC9H27w0xX4L9q5aa9", 0)</f>
        <v>0</v>
      </c>
      <c r="AK380" s="124">
        <f>HYPERLINK("https://docs.google.com/spreadsheets/d/1Dt4hxL-IRL8l2Jj96A7ypEw4Bm_A-lvj", 0)</f>
        <v>0</v>
      </c>
      <c r="AL380" s="125">
        <f>HYPERLINK("https://docs.google.com/spreadsheets/d/1SaCZbvPAXJiYdTdyhEcpcsq6Rv9mPuOo", 0)</f>
        <v>0</v>
      </c>
      <c r="AM380" s="124">
        <f>HYPERLINK("https://docs.google.com/spreadsheets/d/1JddAeL5jdSgav6PjMtx4pDYgf-D0eFTr", 0)</f>
        <v>0</v>
      </c>
      <c r="AN380" s="119"/>
      <c r="AO380" s="120"/>
      <c r="AP380" s="124">
        <f>HYPERLINK("https://docs.google.com/spreadsheets/d/1sDBxv3ejlF_2YHexUXoPGQyN6z0km2uF", 0)</f>
        <v>0</v>
      </c>
      <c r="AQ380" s="125">
        <f>HYPERLINK("https://docs.google.com/spreadsheets/d/1mlbMbos79J2IzikZZxiLeC9kYA_e1Xd1", 0)</f>
        <v>0</v>
      </c>
      <c r="AR380" s="125">
        <f>HYPERLINK("https://docs.google.com/spreadsheets/d/1KZfY11MiclUyagU-edk41VX3If3_bT6p", 0)</f>
        <v>0</v>
      </c>
      <c r="AS380" s="120"/>
      <c r="AT380" s="120"/>
      <c r="AU380" s="125">
        <f>HYPERLINK("https://docs.google.com/spreadsheets/d/1VROu0g3gw1eA5HVT0o7Y91B1Sd8WOeGY", 2.16286666666667)</f>
        <v>2.162866667</v>
      </c>
      <c r="AV380" s="124">
        <f>HYPERLINK("https://docs.google.com/spreadsheets/d/18rbtF0MIDNtaJjKYOC_FzQmGOK0apJKq", 0)</f>
        <v>0</v>
      </c>
      <c r="AW380" s="120"/>
      <c r="AX380" s="120"/>
      <c r="AY380" s="124">
        <f>HYPERLINK("https://docs.google.com/spreadsheets/d/1s83QJRlMUSrQ4Sfbg2-5IjCizeS8-f-z", 0)</f>
        <v>0</v>
      </c>
      <c r="AZ380" s="120"/>
      <c r="BA380" s="120"/>
      <c r="BB380" s="120"/>
      <c r="BC380" s="120"/>
      <c r="BD380" s="120"/>
      <c r="BE380" s="120"/>
      <c r="BF380" s="120"/>
      <c r="BG380" s="120"/>
      <c r="BH380" s="120"/>
      <c r="BI380" s="120"/>
      <c r="BJ380" s="120"/>
      <c r="BK380" s="120"/>
      <c r="BL380" s="120"/>
      <c r="BM380" s="120"/>
      <c r="BN380" s="120"/>
      <c r="BO380" s="120"/>
      <c r="BP380" s="120"/>
      <c r="BQ380" s="120"/>
      <c r="BR380" s="120"/>
      <c r="BS380" s="120"/>
      <c r="BT380" s="120"/>
      <c r="BU380" s="120"/>
      <c r="BV380" s="120"/>
      <c r="BW380" s="120"/>
      <c r="BX380" s="120"/>
      <c r="BY380" s="120"/>
      <c r="BZ380" s="120"/>
      <c r="CA380" s="120"/>
      <c r="CB380" s="120"/>
      <c r="CC380" s="120"/>
      <c r="CD380" s="120"/>
      <c r="CE380" s="120"/>
      <c r="CF380" s="120"/>
      <c r="CG380" s="120"/>
      <c r="CH380" s="120"/>
      <c r="CI380" s="120"/>
      <c r="CJ380" s="120"/>
      <c r="CK380" s="120"/>
      <c r="CL380" s="120"/>
      <c r="CM380" s="120"/>
      <c r="CN380" s="120"/>
      <c r="CO380" s="120"/>
      <c r="CP380" s="120"/>
      <c r="CQ380" s="120"/>
      <c r="CR380" s="120"/>
      <c r="CS380" s="120"/>
      <c r="CT380" s="120"/>
      <c r="CU380" s="120"/>
      <c r="CV380" s="120"/>
      <c r="CW380" s="120"/>
      <c r="CX380" s="120"/>
      <c r="CY380" s="120"/>
      <c r="CZ380" s="120"/>
      <c r="DA380" s="120"/>
      <c r="DB380" s="120"/>
      <c r="DC380" s="120"/>
      <c r="DD380" s="120"/>
      <c r="DE380" s="120"/>
      <c r="DF380" s="120"/>
      <c r="DG380" s="120"/>
      <c r="DH380" s="120"/>
      <c r="DI380" s="120"/>
      <c r="DJ380" s="120"/>
      <c r="DK380" s="120"/>
      <c r="DL380" s="120"/>
      <c r="DM380" s="120"/>
      <c r="DN380" s="120"/>
      <c r="DO380" s="120"/>
      <c r="DP380" s="120"/>
      <c r="DQ380" s="120"/>
      <c r="DR380" s="120"/>
      <c r="DS380" s="120"/>
      <c r="DT380" s="120"/>
      <c r="DU380" s="120"/>
      <c r="DV380" s="120"/>
      <c r="DW380" s="120"/>
      <c r="DX380" s="120"/>
      <c r="DY380" s="120"/>
      <c r="DZ380" s="120"/>
      <c r="EA380" s="120"/>
      <c r="EB380" s="120"/>
      <c r="EC380" s="120"/>
      <c r="ED380" s="120"/>
      <c r="EE380" s="120"/>
      <c r="EF380" s="120"/>
      <c r="EG380" s="120"/>
      <c r="EH380" s="120"/>
      <c r="EI380" s="120"/>
      <c r="EJ380" s="120"/>
      <c r="EK380" s="120"/>
      <c r="EL380" s="120"/>
      <c r="EM380" s="120"/>
      <c r="EN380" s="120"/>
      <c r="EO380" s="120"/>
      <c r="EP380" s="120"/>
      <c r="EQ380" s="120"/>
      <c r="ER380" s="120"/>
      <c r="ES380" s="120"/>
      <c r="ET380" s="120"/>
      <c r="EU380" s="120"/>
      <c r="EV380" s="120"/>
      <c r="EW380" s="120"/>
      <c r="EX380" s="120"/>
      <c r="EY380" s="120"/>
    </row>
    <row r="381">
      <c r="A381" s="112" t="s">
        <v>38</v>
      </c>
      <c r="B381" s="112" t="s">
        <v>92</v>
      </c>
      <c r="C381" s="112" t="s">
        <v>409</v>
      </c>
      <c r="D381" s="113">
        <f t="shared" si="1"/>
        <v>491.6758667</v>
      </c>
      <c r="E381" s="114">
        <v>130.10135</v>
      </c>
      <c r="F381" s="114"/>
      <c r="G381" s="114"/>
      <c r="H381" s="114"/>
      <c r="I381" s="114"/>
      <c r="J381" s="114"/>
      <c r="K381" s="114"/>
      <c r="L381" s="114">
        <v>2.68668333333333</v>
      </c>
      <c r="M381" s="114"/>
      <c r="N381" s="114"/>
      <c r="O381" s="114">
        <v>3.90388333333333</v>
      </c>
      <c r="P381" s="112"/>
      <c r="Q381" s="112"/>
      <c r="R381" s="112">
        <v>62.8179666666666</v>
      </c>
      <c r="S381" s="112"/>
      <c r="T381" s="112"/>
      <c r="U381" s="112"/>
      <c r="V381" s="112"/>
      <c r="W381" s="112"/>
      <c r="X381" s="112">
        <v>0.789883333333333</v>
      </c>
      <c r="Y381" s="112">
        <v>71.3475499999999</v>
      </c>
      <c r="Z381" s="112"/>
      <c r="AA381" s="113"/>
      <c r="AB381" s="112"/>
      <c r="AC381" s="112"/>
      <c r="AD381" s="112"/>
      <c r="AE381" s="112">
        <v>1.76566666666667</v>
      </c>
      <c r="AF381" s="112"/>
      <c r="AG381" s="112"/>
      <c r="AH381" s="112">
        <v>144.676566666667</v>
      </c>
      <c r="AI381" s="112"/>
      <c r="AJ381" s="112"/>
      <c r="AK381" s="112"/>
      <c r="AL381" s="113"/>
      <c r="AM381" s="112"/>
      <c r="AN381" s="112">
        <v>2.56331666666667</v>
      </c>
      <c r="AO381" s="112">
        <v>28.7633166666667</v>
      </c>
      <c r="AP381" s="112"/>
      <c r="AQ381" s="113"/>
      <c r="AR381" s="112"/>
      <c r="AS381" s="112">
        <v>4.25731666666667</v>
      </c>
      <c r="AT381" s="112">
        <v>4.45911666666667</v>
      </c>
      <c r="AU381" s="112"/>
      <c r="AV381" s="112"/>
      <c r="AW381" s="112">
        <v>0.901083333333333</v>
      </c>
      <c r="AX381" s="112">
        <v>29.91405</v>
      </c>
      <c r="AY381" s="113"/>
      <c r="AZ381" s="112">
        <v>2.05076666666667</v>
      </c>
      <c r="BA381" s="112">
        <v>0.67735</v>
      </c>
      <c r="BB381" s="113"/>
      <c r="BC381" s="113"/>
      <c r="BD381" s="113"/>
      <c r="BE381" s="113"/>
      <c r="BF381" s="113"/>
      <c r="BG381" s="113"/>
      <c r="BH381" s="113"/>
      <c r="BI381" s="113"/>
      <c r="BJ381" s="113"/>
      <c r="BK381" s="113"/>
      <c r="BL381" s="113"/>
      <c r="BM381" s="113"/>
      <c r="BN381" s="113"/>
      <c r="BO381" s="113"/>
      <c r="BP381" s="113"/>
      <c r="BQ381" s="113"/>
      <c r="BR381" s="113"/>
      <c r="BS381" s="113"/>
      <c r="BT381" s="113"/>
      <c r="BU381" s="113"/>
      <c r="BV381" s="113"/>
      <c r="BW381" s="113"/>
      <c r="BX381" s="113"/>
      <c r="BY381" s="113"/>
      <c r="BZ381" s="113"/>
      <c r="CA381" s="113"/>
      <c r="CB381" s="113"/>
      <c r="CC381" s="113"/>
      <c r="CD381" s="113"/>
      <c r="CE381" s="113"/>
      <c r="CF381" s="113"/>
      <c r="CG381" s="113"/>
      <c r="CH381" s="113"/>
      <c r="CI381" s="113"/>
      <c r="CJ381" s="113"/>
      <c r="CK381" s="113"/>
      <c r="CL381" s="113"/>
      <c r="CM381" s="113"/>
      <c r="CN381" s="113"/>
      <c r="CO381" s="113"/>
      <c r="CP381" s="113"/>
      <c r="CQ381" s="113"/>
      <c r="CR381" s="113"/>
      <c r="CS381" s="113"/>
      <c r="CT381" s="113"/>
      <c r="CU381" s="113"/>
      <c r="CV381" s="113"/>
      <c r="CW381" s="113"/>
      <c r="CX381" s="113"/>
      <c r="CY381" s="113"/>
      <c r="CZ381" s="113"/>
      <c r="DA381" s="113"/>
      <c r="DB381" s="113"/>
      <c r="DC381" s="113"/>
      <c r="DD381" s="113"/>
      <c r="DE381" s="113"/>
      <c r="DF381" s="113"/>
      <c r="DG381" s="113"/>
      <c r="DH381" s="113"/>
      <c r="DI381" s="113"/>
      <c r="DJ381" s="113"/>
      <c r="DK381" s="113"/>
      <c r="DL381" s="113"/>
      <c r="DM381" s="113"/>
      <c r="DN381" s="113"/>
      <c r="DO381" s="113"/>
      <c r="DP381" s="113"/>
      <c r="DQ381" s="113"/>
      <c r="DR381" s="113"/>
      <c r="DS381" s="113"/>
      <c r="DT381" s="113"/>
      <c r="DU381" s="113"/>
      <c r="DV381" s="113"/>
      <c r="DW381" s="113"/>
      <c r="DX381" s="113"/>
      <c r="DY381" s="113"/>
      <c r="DZ381" s="113"/>
      <c r="EA381" s="113"/>
      <c r="EB381" s="113"/>
      <c r="EC381" s="113"/>
      <c r="ED381" s="113"/>
      <c r="EE381" s="113"/>
      <c r="EF381" s="113"/>
      <c r="EG381" s="113"/>
      <c r="EH381" s="113"/>
      <c r="EI381" s="113"/>
      <c r="EJ381" s="113"/>
      <c r="EK381" s="113"/>
      <c r="EL381" s="113"/>
      <c r="EM381" s="113"/>
      <c r="EN381" s="113"/>
      <c r="EO381" s="113"/>
      <c r="EP381" s="113"/>
      <c r="EQ381" s="113"/>
      <c r="ER381" s="113"/>
      <c r="ES381" s="113"/>
      <c r="ET381" s="113"/>
      <c r="EU381" s="113"/>
      <c r="EV381" s="113"/>
      <c r="EW381" s="113"/>
      <c r="EX381" s="113"/>
      <c r="EY381" s="113"/>
    </row>
    <row r="382">
      <c r="A382" s="65" t="s">
        <v>38</v>
      </c>
      <c r="B382" s="65" t="s">
        <v>92</v>
      </c>
      <c r="C382" s="65" t="s">
        <v>410</v>
      </c>
      <c r="D382" s="64">
        <f t="shared" si="1"/>
        <v>496.4676167</v>
      </c>
      <c r="E382" s="115"/>
      <c r="F382" s="104">
        <v>29.6265666666667</v>
      </c>
      <c r="G382" s="104">
        <v>2.78695</v>
      </c>
      <c r="H382" s="104">
        <v>3.1338</v>
      </c>
      <c r="I382" s="104">
        <v>1.00975</v>
      </c>
      <c r="J382" s="104">
        <v>8.9424</v>
      </c>
      <c r="K382" s="104">
        <v>53.7111166666667</v>
      </c>
      <c r="L382" s="104"/>
      <c r="M382" s="104">
        <v>29.6265666666667</v>
      </c>
      <c r="N382" s="104">
        <v>2.78695</v>
      </c>
      <c r="O382" s="104"/>
      <c r="P382" s="65">
        <v>3.90388333333333</v>
      </c>
      <c r="Q382" s="65"/>
      <c r="R382" s="65"/>
      <c r="S382" s="65">
        <v>25.9454166666667</v>
      </c>
      <c r="T382" s="65">
        <v>5.73673333333333</v>
      </c>
      <c r="U382" s="65">
        <v>4.01661666666667</v>
      </c>
      <c r="V382" s="65">
        <v>2.47811666666667</v>
      </c>
      <c r="W382" s="65">
        <v>16.7235</v>
      </c>
      <c r="X382" s="65"/>
      <c r="Y382" s="65"/>
      <c r="Z382" s="65">
        <v>27.0573833333333</v>
      </c>
      <c r="AA382" s="65">
        <v>19.7505333333333</v>
      </c>
      <c r="AB382" s="65">
        <v>5.74636666666667</v>
      </c>
      <c r="AC382" s="65">
        <v>2.72421666666667</v>
      </c>
      <c r="AD382" s="65">
        <v>12.2112833333333</v>
      </c>
      <c r="AE382" s="65"/>
      <c r="AF382" s="65">
        <v>27.0573833333333</v>
      </c>
      <c r="AG382" s="65">
        <v>19.7505333333333</v>
      </c>
      <c r="AH382" s="65"/>
      <c r="AI382" s="65">
        <v>20.4481166666667</v>
      </c>
      <c r="AJ382" s="65">
        <v>94.4907500000001</v>
      </c>
      <c r="AK382" s="65">
        <v>16.1774166666667</v>
      </c>
      <c r="AL382" s="65">
        <v>1.03385</v>
      </c>
      <c r="AM382" s="65">
        <v>9.4623</v>
      </c>
      <c r="AN382" s="65"/>
      <c r="AP382" s="65">
        <v>3.9925</v>
      </c>
      <c r="AQ382" s="65">
        <v>5.60383333333333</v>
      </c>
      <c r="AR382" s="65">
        <v>8.94283333333333</v>
      </c>
      <c r="AT382" s="65"/>
      <c r="AU382" s="65">
        <v>0.707716666666667</v>
      </c>
      <c r="AV382" s="65">
        <v>2.83031666666667</v>
      </c>
      <c r="AY382" s="65">
        <v>28.0519166666667</v>
      </c>
    </row>
    <row r="383">
      <c r="A383" s="65" t="s">
        <v>38</v>
      </c>
      <c r="B383" s="65" t="s">
        <v>92</v>
      </c>
      <c r="C383" s="65" t="s">
        <v>411</v>
      </c>
      <c r="D383" s="64">
        <f t="shared" si="1"/>
        <v>0</v>
      </c>
      <c r="E383" s="115"/>
      <c r="F383" s="115"/>
      <c r="G383" s="115"/>
      <c r="H383" s="115"/>
      <c r="I383" s="115"/>
      <c r="J383" s="115"/>
      <c r="K383" s="115"/>
      <c r="L383" s="115"/>
      <c r="M383" s="115"/>
      <c r="N383" s="115"/>
      <c r="O383" s="115"/>
    </row>
    <row r="384">
      <c r="A384" s="65" t="s">
        <v>38</v>
      </c>
      <c r="B384" s="65" t="s">
        <v>92</v>
      </c>
      <c r="C384" s="65" t="s">
        <v>412</v>
      </c>
      <c r="D384" s="64">
        <f t="shared" si="1"/>
        <v>404.8380667</v>
      </c>
      <c r="E384" s="115"/>
      <c r="F384" s="116">
        <f>HYPERLINK("https://docs.google.com/spreadsheets/d/1tOGA_upAqpb2jrB2b_SSvnI22nFP-K8s", 25.73095)</f>
        <v>25.73095</v>
      </c>
      <c r="G384" s="116">
        <f>HYPERLINK("https://docs.google.com/spreadsheets/d/1z311SfymcZ_eOy73DfpNY0oTMS6tWWFD", 2.6807)</f>
        <v>2.6807</v>
      </c>
      <c r="H384" s="116">
        <f>HYPERLINK("https://docs.google.com/spreadsheets/d/1djLsFKYiG9N2XeoJDeC5MlslZjud44YD", 3.13381666666667)</f>
        <v>3.133816667</v>
      </c>
      <c r="I384" s="116">
        <f>HYPERLINK("https://docs.google.com/spreadsheets/d/14UQVFvMrG7mbYJHkJBzRXJHNmOaeAfoV", 1.00975)</f>
        <v>1.00975</v>
      </c>
      <c r="J384" s="116">
        <f>HYPERLINK("https://docs.google.com/spreadsheets/d/1nrjzJ8h8Z0abDr9qDmahbcy0wNs6uip7", 4.36138333333334)</f>
        <v>4.361383333</v>
      </c>
      <c r="K384" s="116">
        <f>HYPERLINK("https://docs.google.com/spreadsheets/d/1NkjOuv0I9FMhqM4nRkHGxy_9yVw30i3a", 53.6058666666667)</f>
        <v>53.60586667</v>
      </c>
      <c r="L384" s="115"/>
      <c r="M384" s="115"/>
      <c r="N384" s="115"/>
      <c r="O384" s="115"/>
      <c r="P384" s="118">
        <f>HYPERLINK("https://docs.google.com/spreadsheets/d/1t7CG1yVJsKEUpD1H834zjqgd8MCHPq6l", 3.90388333333333)</f>
        <v>3.903883333</v>
      </c>
      <c r="S384" s="118">
        <f>HYPERLINK("https://docs.google.com/spreadsheets/d/1kvaObXWGm6IxyJvpMoAC58KcFlrxowKM", 24.7453333333333)</f>
        <v>24.74533333</v>
      </c>
      <c r="T384" s="118">
        <f>HYPERLINK("https://docs.google.com/spreadsheets/d/1v0X90y33Shz0rMPd19dYYmTCBfegsnCL", 5.73673333333333)</f>
        <v>5.736733333</v>
      </c>
      <c r="U384" s="118">
        <f>HYPERLINK("https://docs.google.com/spreadsheets/d/1p2XOKUGBuj4OKWJh5bpUDDTAr8xoaaVY", 3.85358333333333)</f>
        <v>3.853583333</v>
      </c>
      <c r="V384" s="118">
        <f>HYPERLINK("https://docs.google.com/spreadsheets/d/1J57O01w2pEwX3iBX0PbRU_Uo-fZ18UGC", 1.77093333333333)</f>
        <v>1.770933333</v>
      </c>
      <c r="W384" s="118">
        <f>HYPERLINK("https://docs.google.com/spreadsheets/d/1fVxeKaGbnjZwRNr9u6OSO2FXImPEx-DO", 16.5588333333333)</f>
        <v>16.55883333</v>
      </c>
      <c r="Z384" s="118">
        <f>HYPERLINK("https://docs.google.com/spreadsheets/d/1a49BF1T1GgPlMlpu8mBmX_T2gInzb-lo", 26.9019333333333)</f>
        <v>26.90193333</v>
      </c>
      <c r="AA384" s="118">
        <f>HYPERLINK("https://docs.google.com/spreadsheets/d/1tMf7qDOavo-RFq8pNv5PqKqR7hKjOhQG", 19.7505333333333)</f>
        <v>19.75053333</v>
      </c>
      <c r="AB384" s="118">
        <f>HYPERLINK("https://docs.google.com/spreadsheets/d/1IH3GuCRCsvA53NkmPOs5bflhE1FEb8oE", 5.56698333333333)</f>
        <v>5.566983333</v>
      </c>
      <c r="AC384" s="118">
        <f>HYPERLINK("https://docs.google.com/spreadsheets/d/1tK0teQOg0TDH1atVUw-8XnJTNLyL_Gkh", 2.72421666666667)</f>
        <v>2.724216667</v>
      </c>
      <c r="AD384" s="118">
        <f>HYPERLINK("https://docs.google.com/spreadsheets/d/1OEVQEGIcetSgUJj2xfgczVMrdaOOXM2C", 12.2112666666667)</f>
        <v>12.21126667</v>
      </c>
      <c r="AI384" s="118">
        <f>HYPERLINK("https://docs.google.com/spreadsheets/d/1NZM-xjLhTG0En3RcSIvwpXkfeELHFowf", 20.2106166666667)</f>
        <v>20.21061667</v>
      </c>
      <c r="AJ384" s="118">
        <f>HYPERLINK("https://docs.google.com/spreadsheets/d/1xamQ_Do3Mu_438PHJqhPTH6yX2L4-fJI", 94.3498833333334)</f>
        <v>94.34988333</v>
      </c>
      <c r="AK384" s="118">
        <f>HYPERLINK("https://docs.google.com/spreadsheets/d/156mG_08epxagLjgjQJ4PQodcTO4lck1Y", 16.1774)</f>
        <v>16.1774</v>
      </c>
      <c r="AL384" s="118">
        <f>HYPERLINK("https://docs.google.com/spreadsheets/d/10IYt1FA7uCRoUJZBWvxbijLp1Ixw_Gwp", 1.03385)</f>
        <v>1.03385</v>
      </c>
      <c r="AM384" s="118">
        <f>HYPERLINK("https://docs.google.com/spreadsheets/d/1eFOt6Xp2PW-txM1rctsuj-zC_I9ZbjJm", 9.15985)</f>
        <v>9.15985</v>
      </c>
      <c r="AP384" s="118">
        <f>HYPERLINK("https://docs.google.com/spreadsheets/d/1sAG5xaSWhXDBdsO1rKFNwjPYUF-JNiLo", 3.9925)</f>
        <v>3.9925</v>
      </c>
      <c r="AQ384" s="118">
        <f>HYPERLINK("https://docs.google.com/spreadsheets/d/1XBgfQkjVEzJw87v60CINhUtmZNa2v2I1", 5.31185)</f>
        <v>5.31185</v>
      </c>
      <c r="AR384" s="118">
        <f>HYPERLINK("https://docs.google.com/spreadsheets/d/1WwDvGXELkpNRlYdM8uwkB_JhEvvknLS0", 8.94281666666667)</f>
        <v>8.942816667</v>
      </c>
      <c r="AU384" s="118">
        <f>HYPERLINK("https://docs.google.com/spreadsheets/d/1phQPMcpyEFCcvOD6Cow0nC2NtVTqdMN2", 0.707716666666667)</f>
        <v>0.7077166667</v>
      </c>
      <c r="AV384" s="118">
        <f>HYPERLINK("https://docs.google.com/spreadsheets/d/1nvHT6SGMgJimSafGXnoRANEa16pU-l6l", 2.83031666666667)</f>
        <v>2.830316667</v>
      </c>
      <c r="AY384" s="118">
        <f>HYPERLINK("https://docs.google.com/spreadsheets/d/1d3-eEg3DrWBiuINlEUgvIGeDd-d6UeMw", 27.8745666666667)</f>
        <v>27.87456667</v>
      </c>
    </row>
    <row r="385">
      <c r="A385" s="65" t="s">
        <v>38</v>
      </c>
      <c r="B385" s="65" t="s">
        <v>92</v>
      </c>
      <c r="C385" s="65" t="s">
        <v>413</v>
      </c>
      <c r="D385" s="64">
        <f t="shared" si="1"/>
        <v>291.007</v>
      </c>
      <c r="E385" s="115"/>
      <c r="F385" s="104">
        <v>1.08556666666667</v>
      </c>
      <c r="G385" s="104">
        <v>4.44089209850063E-16</v>
      </c>
      <c r="H385" s="104">
        <v>0.373933333333334</v>
      </c>
      <c r="I385" s="104">
        <v>0.0</v>
      </c>
      <c r="J385" s="104">
        <v>2.3568</v>
      </c>
      <c r="K385" s="104">
        <v>53.6058666666667</v>
      </c>
      <c r="L385" s="104"/>
      <c r="M385" s="104"/>
      <c r="N385" s="104"/>
      <c r="O385" s="104"/>
      <c r="P385" s="65">
        <v>3.69955</v>
      </c>
      <c r="Q385" s="65"/>
      <c r="R385" s="65"/>
      <c r="S385" s="65">
        <v>15.0945</v>
      </c>
      <c r="T385" s="65">
        <v>5.73673333333333</v>
      </c>
      <c r="U385" s="65">
        <v>0.69485</v>
      </c>
      <c r="V385" s="65">
        <v>0.2606</v>
      </c>
      <c r="W385" s="65">
        <v>16.5588333333333</v>
      </c>
      <c r="X385" s="65"/>
      <c r="Y385" s="65"/>
      <c r="Z385" s="65">
        <v>11.4396</v>
      </c>
      <c r="AA385" s="65">
        <v>13.9332</v>
      </c>
      <c r="AB385" s="65">
        <v>0.454683333333331</v>
      </c>
      <c r="AC385" s="65">
        <v>0.0</v>
      </c>
      <c r="AD385" s="65">
        <v>2.6103</v>
      </c>
      <c r="AE385" s="65"/>
      <c r="AF385" s="65"/>
      <c r="AG385" s="65"/>
      <c r="AH385" s="65"/>
      <c r="AI385" s="65">
        <v>12.7046</v>
      </c>
      <c r="AJ385" s="65">
        <v>91.7419333333334</v>
      </c>
      <c r="AK385" s="65">
        <v>6.01901666666666</v>
      </c>
      <c r="AL385" s="65">
        <v>0.116333333333334</v>
      </c>
      <c r="AM385" s="65">
        <v>9.15985</v>
      </c>
      <c r="AN385" s="65"/>
      <c r="AP385" s="65">
        <v>3.9925</v>
      </c>
      <c r="AQ385" s="65">
        <v>1.41658333333333</v>
      </c>
      <c r="AR385" s="65">
        <v>8.94281666666667</v>
      </c>
      <c r="AT385" s="65"/>
      <c r="AU385" s="65">
        <v>1.11022302462516E-16</v>
      </c>
      <c r="AV385" s="65">
        <v>1.13378333333333</v>
      </c>
      <c r="AY385" s="65">
        <v>27.8745666666667</v>
      </c>
    </row>
    <row r="386">
      <c r="A386" s="119" t="s">
        <v>38</v>
      </c>
      <c r="B386" s="119" t="s">
        <v>92</v>
      </c>
      <c r="C386" s="119" t="s">
        <v>414</v>
      </c>
      <c r="D386" s="120">
        <f t="shared" si="1"/>
        <v>0.7077166667</v>
      </c>
      <c r="E386" s="121"/>
      <c r="F386" s="122">
        <f>HYPERLINK("https://docs.google.com/spreadsheets/d/1tOGA_upAqpb2jrB2b_SSvnI22nFP-K8s", 0)</f>
        <v>0</v>
      </c>
      <c r="G386" s="122">
        <f>HYPERLINK("https://docs.google.com/spreadsheets/d/1z311SfymcZ_eOy73DfpNY0oTMS6tWWFD", 0)</f>
        <v>0</v>
      </c>
      <c r="H386" s="122">
        <f>HYPERLINK("https://docs.google.com/spreadsheets/d/1djLsFKYiG9N2XeoJDeC5MlslZjud44YD", 0)</f>
        <v>0</v>
      </c>
      <c r="I386" s="122">
        <f>HYPERLINK("https://docs.google.com/spreadsheets/d/14UQVFvMrG7mbYJHkJBzRXJHNmOaeAfoV", 0)</f>
        <v>0</v>
      </c>
      <c r="J386" s="122">
        <f>HYPERLINK("https://docs.google.com/spreadsheets/d/1nrjzJ8h8Z0abDr9qDmahbcy0wNs6uip7", 0)</f>
        <v>0</v>
      </c>
      <c r="K386" s="122">
        <f>HYPERLINK("https://docs.google.com/spreadsheets/d/1NkjOuv0I9FMhqM4nRkHGxy_9yVw30i3a", 0)</f>
        <v>0</v>
      </c>
      <c r="L386" s="121"/>
      <c r="M386" s="121"/>
      <c r="N386" s="123"/>
      <c r="O386" s="121"/>
      <c r="P386" s="124">
        <f>HYPERLINK("https://docs.google.com/spreadsheets/d/1t7CG1yVJsKEUpD1H834zjqgd8MCHPq6l", 0)</f>
        <v>0</v>
      </c>
      <c r="Q386" s="119"/>
      <c r="R386" s="120"/>
      <c r="S386" s="124">
        <f>HYPERLINK("https://docs.google.com/spreadsheets/d/1kvaObXWGm6IxyJvpMoAC58KcFlrxowKM", 0)</f>
        <v>0</v>
      </c>
      <c r="T386" s="125">
        <f>HYPERLINK("https://docs.google.com/spreadsheets/d/1v0X90y33Shz0rMPd19dYYmTCBfegsnCL", 0)</f>
        <v>0</v>
      </c>
      <c r="U386" s="125">
        <f>HYPERLINK("https://docs.google.com/spreadsheets/d/1p2XOKUGBuj4OKWJh5bpUDDTAr8xoaaVY", 0)</f>
        <v>0</v>
      </c>
      <c r="V386" s="124">
        <f>HYPERLINK("https://docs.google.com/spreadsheets/d/1J57O01w2pEwX3iBX0PbRU_Uo-fZ18UGC", 0)</f>
        <v>0</v>
      </c>
      <c r="W386" s="124">
        <f>HYPERLINK("https://docs.google.com/spreadsheets/d/1fVxeKaGbnjZwRNr9u6OSO2FXImPEx-DO", 0)</f>
        <v>0</v>
      </c>
      <c r="X386" s="119"/>
      <c r="Y386" s="119"/>
      <c r="Z386" s="124">
        <f>HYPERLINK("https://docs.google.com/spreadsheets/d/1a49BF1T1GgPlMlpu8mBmX_T2gInzb-lo", 0)</f>
        <v>0</v>
      </c>
      <c r="AA386" s="124">
        <f>HYPERLINK("https://docs.google.com/spreadsheets/d/1tMf7qDOavo-RFq8pNv5PqKqR7hKjOhQG", 0)</f>
        <v>0</v>
      </c>
      <c r="AB386" s="124">
        <f>HYPERLINK("https://docs.google.com/spreadsheets/d/1IH3GuCRCsvA53NkmPOs5bflhE1FEb8oE", 0)</f>
        <v>0</v>
      </c>
      <c r="AC386" s="124">
        <f>HYPERLINK("https://docs.google.com/spreadsheets/d/1tK0teQOg0TDH1atVUw-8XnJTNLyL_Gkh", 0)</f>
        <v>0</v>
      </c>
      <c r="AD386" s="124">
        <f>HYPERLINK("https://docs.google.com/spreadsheets/d/1OEVQEGIcetSgUJj2xfgczVMrdaOOXM2C", 0)</f>
        <v>0</v>
      </c>
      <c r="AE386" s="119"/>
      <c r="AF386" s="119"/>
      <c r="AG386" s="119"/>
      <c r="AH386" s="119"/>
      <c r="AI386" s="125">
        <f>HYPERLINK("https://docs.google.com/spreadsheets/d/1NZM-xjLhTG0En3RcSIvwpXkfeELHFowf", 0)</f>
        <v>0</v>
      </c>
      <c r="AJ386" s="124">
        <f>HYPERLINK("https://docs.google.com/spreadsheets/d/1xamQ_Do3Mu_438PHJqhPTH6yX2L4-fJI", 0)</f>
        <v>0</v>
      </c>
      <c r="AK386" s="124">
        <f>HYPERLINK("https://docs.google.com/spreadsheets/d/156mG_08epxagLjgjQJ4PQodcTO4lck1Y", 0)</f>
        <v>0</v>
      </c>
      <c r="AL386" s="125">
        <f>HYPERLINK("https://docs.google.com/spreadsheets/d/10IYt1FA7uCRoUJZBWvxbijLp1Ixw_Gwp", 0)</f>
        <v>0</v>
      </c>
      <c r="AM386" s="124">
        <f>HYPERLINK("https://docs.google.com/spreadsheets/d/1eFOt6Xp2PW-txM1rctsuj-zC_I9ZbjJm", 0)</f>
        <v>0</v>
      </c>
      <c r="AN386" s="119"/>
      <c r="AO386" s="120"/>
      <c r="AP386" s="124">
        <f>HYPERLINK("https://docs.google.com/spreadsheets/d/1sAG5xaSWhXDBdsO1rKFNwjPYUF-JNiLo", 0)</f>
        <v>0</v>
      </c>
      <c r="AQ386" s="125">
        <f>HYPERLINK("https://docs.google.com/spreadsheets/d/1XBgfQkjVEzJw87v60CINhUtmZNa2v2I1", 0)</f>
        <v>0</v>
      </c>
      <c r="AR386" s="125">
        <f>HYPERLINK("https://docs.google.com/spreadsheets/d/1WwDvGXELkpNRlYdM8uwkB_JhEvvknLS0", 0)</f>
        <v>0</v>
      </c>
      <c r="AS386" s="120"/>
      <c r="AT386" s="120"/>
      <c r="AU386" s="124">
        <f>HYPERLINK("https://docs.google.com/spreadsheets/d/1phQPMcpyEFCcvOD6Cow0nC2NtVTqdMN2", 0.707716666666667)</f>
        <v>0.7077166667</v>
      </c>
      <c r="AV386" s="124">
        <f>HYPERLINK("https://docs.google.com/spreadsheets/d/1nvHT6SGMgJimSafGXnoRANEa16pU-l6l", 0)</f>
        <v>0</v>
      </c>
      <c r="AW386" s="120"/>
      <c r="AX386" s="120"/>
      <c r="AY386" s="124">
        <f>HYPERLINK("https://docs.google.com/spreadsheets/d/1d3-eEg3DrWBiuINlEUgvIGeDd-d6UeMw", 0)</f>
        <v>0</v>
      </c>
      <c r="AZ386" s="120"/>
      <c r="BA386" s="120"/>
      <c r="BB386" s="120"/>
      <c r="BC386" s="120"/>
      <c r="BD386" s="120"/>
      <c r="BE386" s="120"/>
      <c r="BF386" s="120"/>
      <c r="BG386" s="120"/>
      <c r="BH386" s="120"/>
      <c r="BI386" s="120"/>
      <c r="BJ386" s="120"/>
      <c r="BK386" s="120"/>
      <c r="BL386" s="120"/>
      <c r="BM386" s="120"/>
      <c r="BN386" s="120"/>
      <c r="BO386" s="120"/>
      <c r="BP386" s="120"/>
      <c r="BQ386" s="120"/>
      <c r="BR386" s="120"/>
      <c r="BS386" s="120"/>
      <c r="BT386" s="120"/>
      <c r="BU386" s="120"/>
      <c r="BV386" s="120"/>
      <c r="BW386" s="120"/>
      <c r="BX386" s="120"/>
      <c r="BY386" s="120"/>
      <c r="BZ386" s="120"/>
      <c r="CA386" s="120"/>
      <c r="CB386" s="120"/>
      <c r="CC386" s="120"/>
      <c r="CD386" s="120"/>
      <c r="CE386" s="120"/>
      <c r="CF386" s="120"/>
      <c r="CG386" s="120"/>
      <c r="CH386" s="120"/>
      <c r="CI386" s="120"/>
      <c r="CJ386" s="120"/>
      <c r="CK386" s="120"/>
      <c r="CL386" s="120"/>
      <c r="CM386" s="120"/>
      <c r="CN386" s="120"/>
      <c r="CO386" s="120"/>
      <c r="CP386" s="120"/>
      <c r="CQ386" s="120"/>
      <c r="CR386" s="120"/>
      <c r="CS386" s="120"/>
      <c r="CT386" s="120"/>
      <c r="CU386" s="120"/>
      <c r="CV386" s="120"/>
      <c r="CW386" s="120"/>
      <c r="CX386" s="120"/>
      <c r="CY386" s="120"/>
      <c r="CZ386" s="120"/>
      <c r="DA386" s="120"/>
      <c r="DB386" s="120"/>
      <c r="DC386" s="120"/>
      <c r="DD386" s="120"/>
      <c r="DE386" s="120"/>
      <c r="DF386" s="120"/>
      <c r="DG386" s="120"/>
      <c r="DH386" s="120"/>
      <c r="DI386" s="120"/>
      <c r="DJ386" s="120"/>
      <c r="DK386" s="120"/>
      <c r="DL386" s="120"/>
      <c r="DM386" s="120"/>
      <c r="DN386" s="120"/>
      <c r="DO386" s="120"/>
      <c r="DP386" s="120"/>
      <c r="DQ386" s="120"/>
      <c r="DR386" s="120"/>
      <c r="DS386" s="120"/>
      <c r="DT386" s="120"/>
      <c r="DU386" s="120"/>
      <c r="DV386" s="120"/>
      <c r="DW386" s="120"/>
      <c r="DX386" s="120"/>
      <c r="DY386" s="120"/>
      <c r="DZ386" s="120"/>
      <c r="EA386" s="120"/>
      <c r="EB386" s="120"/>
      <c r="EC386" s="120"/>
      <c r="ED386" s="120"/>
      <c r="EE386" s="120"/>
      <c r="EF386" s="120"/>
      <c r="EG386" s="120"/>
      <c r="EH386" s="120"/>
      <c r="EI386" s="120"/>
      <c r="EJ386" s="120"/>
      <c r="EK386" s="120"/>
      <c r="EL386" s="120"/>
      <c r="EM386" s="120"/>
      <c r="EN386" s="120"/>
      <c r="EO386" s="120"/>
      <c r="EP386" s="120"/>
      <c r="EQ386" s="120"/>
      <c r="ER386" s="120"/>
      <c r="ES386" s="120"/>
      <c r="ET386" s="120"/>
      <c r="EU386" s="120"/>
      <c r="EV386" s="120"/>
      <c r="EW386" s="120"/>
      <c r="EX386" s="120"/>
      <c r="EY386" s="120"/>
    </row>
    <row r="387">
      <c r="A387" s="112" t="s">
        <v>38</v>
      </c>
      <c r="B387" s="112" t="s">
        <v>97</v>
      </c>
      <c r="C387" s="112" t="s">
        <v>409</v>
      </c>
      <c r="D387" s="113">
        <f t="shared" si="1"/>
        <v>562.0249167</v>
      </c>
      <c r="E387" s="114">
        <v>117.62145</v>
      </c>
      <c r="F387" s="114"/>
      <c r="G387" s="114"/>
      <c r="H387" s="114"/>
      <c r="I387" s="114"/>
      <c r="J387" s="114"/>
      <c r="K387" s="114"/>
      <c r="L387" s="114">
        <v>3.6013</v>
      </c>
      <c r="M387" s="114"/>
      <c r="N387" s="114"/>
      <c r="O387" s="114">
        <v>7.91401666666667</v>
      </c>
      <c r="P387" s="112"/>
      <c r="Q387" s="112"/>
      <c r="R387" s="112">
        <v>106.06845</v>
      </c>
      <c r="S387" s="112"/>
      <c r="T387" s="112"/>
      <c r="U387" s="112"/>
      <c r="V387" s="112"/>
      <c r="W387" s="112"/>
      <c r="X387" s="112">
        <v>1.66693333333333</v>
      </c>
      <c r="Y387" s="112">
        <v>77.8481833333333</v>
      </c>
      <c r="Z387" s="112"/>
      <c r="AA387" s="113"/>
      <c r="AB387" s="112"/>
      <c r="AC387" s="112"/>
      <c r="AD387" s="112"/>
      <c r="AE387" s="112">
        <v>2.18308333333333</v>
      </c>
      <c r="AF387" s="112"/>
      <c r="AG387" s="112"/>
      <c r="AH387" s="112">
        <v>129.105733333334</v>
      </c>
      <c r="AI387" s="112"/>
      <c r="AJ387" s="112"/>
      <c r="AK387" s="112"/>
      <c r="AL387" s="113"/>
      <c r="AM387" s="112"/>
      <c r="AN387" s="112">
        <v>3.79488333333333</v>
      </c>
      <c r="AO387" s="112">
        <v>56.7656166666667</v>
      </c>
      <c r="AP387" s="112"/>
      <c r="AQ387" s="113"/>
      <c r="AR387" s="112"/>
      <c r="AS387" s="112">
        <v>5.39323333333333</v>
      </c>
      <c r="AT387" s="112">
        <v>6.45108333333333</v>
      </c>
      <c r="AU387" s="112"/>
      <c r="AV387" s="112"/>
      <c r="AW387" s="112">
        <v>2.26223333333333</v>
      </c>
      <c r="AX387" s="112">
        <v>38.8201333333333</v>
      </c>
      <c r="AY387" s="113"/>
      <c r="AZ387" s="112">
        <v>1.91545</v>
      </c>
      <c r="BA387" s="112">
        <v>0.613133333333333</v>
      </c>
      <c r="BB387" s="113"/>
      <c r="BC387" s="113"/>
      <c r="BD387" s="113"/>
      <c r="BE387" s="113"/>
      <c r="BF387" s="113"/>
      <c r="BG387" s="113"/>
      <c r="BH387" s="113"/>
      <c r="BI387" s="113"/>
      <c r="BJ387" s="113"/>
      <c r="BK387" s="113"/>
      <c r="BL387" s="113"/>
      <c r="BM387" s="113"/>
      <c r="BN387" s="113"/>
      <c r="BO387" s="113"/>
      <c r="BP387" s="113"/>
      <c r="BQ387" s="113"/>
      <c r="BR387" s="113"/>
      <c r="BS387" s="113"/>
      <c r="BT387" s="113"/>
      <c r="BU387" s="113"/>
      <c r="BV387" s="113"/>
      <c r="BW387" s="113"/>
      <c r="BX387" s="113"/>
      <c r="BY387" s="113"/>
      <c r="BZ387" s="113"/>
      <c r="CA387" s="113"/>
      <c r="CB387" s="113"/>
      <c r="CC387" s="113"/>
      <c r="CD387" s="113"/>
      <c r="CE387" s="113"/>
      <c r="CF387" s="113"/>
      <c r="CG387" s="113"/>
      <c r="CH387" s="113"/>
      <c r="CI387" s="113"/>
      <c r="CJ387" s="113"/>
      <c r="CK387" s="113"/>
      <c r="CL387" s="113"/>
      <c r="CM387" s="113"/>
      <c r="CN387" s="113"/>
      <c r="CO387" s="113"/>
      <c r="CP387" s="113"/>
      <c r="CQ387" s="113"/>
      <c r="CR387" s="113"/>
      <c r="CS387" s="113"/>
      <c r="CT387" s="113"/>
      <c r="CU387" s="113"/>
      <c r="CV387" s="113"/>
      <c r="CW387" s="113"/>
      <c r="CX387" s="113"/>
      <c r="CY387" s="113"/>
      <c r="CZ387" s="113"/>
      <c r="DA387" s="113"/>
      <c r="DB387" s="113"/>
      <c r="DC387" s="113"/>
      <c r="DD387" s="113"/>
      <c r="DE387" s="113"/>
      <c r="DF387" s="113"/>
      <c r="DG387" s="113"/>
      <c r="DH387" s="113"/>
      <c r="DI387" s="113"/>
      <c r="DJ387" s="113"/>
      <c r="DK387" s="113"/>
      <c r="DL387" s="113"/>
      <c r="DM387" s="113"/>
      <c r="DN387" s="113"/>
      <c r="DO387" s="113"/>
      <c r="DP387" s="113"/>
      <c r="DQ387" s="113"/>
      <c r="DR387" s="113"/>
      <c r="DS387" s="113"/>
      <c r="DT387" s="113"/>
      <c r="DU387" s="113"/>
      <c r="DV387" s="113"/>
      <c r="DW387" s="113"/>
      <c r="DX387" s="113"/>
      <c r="DY387" s="113"/>
      <c r="DZ387" s="113"/>
      <c r="EA387" s="113"/>
      <c r="EB387" s="113"/>
      <c r="EC387" s="113"/>
      <c r="ED387" s="113"/>
      <c r="EE387" s="113"/>
      <c r="EF387" s="113"/>
      <c r="EG387" s="113"/>
      <c r="EH387" s="113"/>
      <c r="EI387" s="113"/>
      <c r="EJ387" s="113"/>
      <c r="EK387" s="113"/>
      <c r="EL387" s="113"/>
      <c r="EM387" s="113"/>
      <c r="EN387" s="113"/>
      <c r="EO387" s="113"/>
      <c r="EP387" s="113"/>
      <c r="EQ387" s="113"/>
      <c r="ER387" s="113"/>
      <c r="ES387" s="113"/>
      <c r="ET387" s="113"/>
      <c r="EU387" s="113"/>
      <c r="EV387" s="113"/>
      <c r="EW387" s="113"/>
      <c r="EX387" s="113"/>
      <c r="EY387" s="113"/>
    </row>
    <row r="388">
      <c r="A388" s="65" t="s">
        <v>38</v>
      </c>
      <c r="B388" s="65" t="s">
        <v>97</v>
      </c>
      <c r="C388" s="65" t="s">
        <v>410</v>
      </c>
      <c r="D388" s="64">
        <f t="shared" si="1"/>
        <v>568.52725</v>
      </c>
      <c r="E388" s="115"/>
      <c r="F388" s="104">
        <v>39.3386833333334</v>
      </c>
      <c r="G388" s="104">
        <v>5.87115</v>
      </c>
      <c r="H388" s="104">
        <v>7.21786666666667</v>
      </c>
      <c r="I388" s="104">
        <v>2.57681666666667</v>
      </c>
      <c r="J388" s="104">
        <v>6.13935</v>
      </c>
      <c r="K388" s="104">
        <v>39.74565</v>
      </c>
      <c r="L388" s="104"/>
      <c r="M388" s="104">
        <v>39.3386833333334</v>
      </c>
      <c r="N388" s="104">
        <v>5.87115</v>
      </c>
      <c r="O388" s="104"/>
      <c r="P388" s="65">
        <v>2.57303333333333</v>
      </c>
      <c r="Q388" s="65"/>
      <c r="R388" s="65"/>
      <c r="S388" s="65">
        <v>25.5470833333333</v>
      </c>
      <c r="T388" s="65">
        <v>12.5614333333333</v>
      </c>
      <c r="U388" s="65">
        <v>12.6719333333333</v>
      </c>
      <c r="V388" s="65">
        <v>7.7424</v>
      </c>
      <c r="W388" s="65">
        <v>36.50625</v>
      </c>
      <c r="X388" s="65"/>
      <c r="Y388" s="65"/>
      <c r="Z388" s="65">
        <v>11.8434833333333</v>
      </c>
      <c r="AA388" s="65">
        <v>33.6000833333333</v>
      </c>
      <c r="AB388" s="65">
        <v>10.5546</v>
      </c>
      <c r="AC388" s="65">
        <v>4.81785</v>
      </c>
      <c r="AD388" s="65">
        <v>14.0281333333333</v>
      </c>
      <c r="AE388" s="65"/>
      <c r="AF388" s="65">
        <v>11.8434833333333</v>
      </c>
      <c r="AG388" s="65">
        <v>33.6000833333333</v>
      </c>
      <c r="AH388" s="65"/>
      <c r="AI388" s="65">
        <v>24.6078166666667</v>
      </c>
      <c r="AJ388" s="65">
        <v>55.6588166666667</v>
      </c>
      <c r="AK388" s="65">
        <v>14.0369166666667</v>
      </c>
      <c r="AL388" s="65">
        <v>2.87623333333333</v>
      </c>
      <c r="AM388" s="65">
        <v>22.9163166666667</v>
      </c>
      <c r="AN388" s="65"/>
      <c r="AP388" s="65">
        <v>15.1777166666667</v>
      </c>
      <c r="AQ388" s="65">
        <v>9.87718333333333</v>
      </c>
      <c r="AR388" s="65">
        <v>17.6036833333333</v>
      </c>
      <c r="AT388" s="65"/>
      <c r="AU388" s="65">
        <v>1.78918333333333</v>
      </c>
      <c r="AV388" s="65">
        <v>3.71235</v>
      </c>
      <c r="AY388" s="65">
        <v>36.2818333333333</v>
      </c>
    </row>
    <row r="389">
      <c r="A389" s="65" t="s">
        <v>38</v>
      </c>
      <c r="B389" s="65" t="s">
        <v>97</v>
      </c>
      <c r="C389" s="65" t="s">
        <v>411</v>
      </c>
      <c r="D389" s="64">
        <f t="shared" si="1"/>
        <v>0</v>
      </c>
      <c r="E389" s="115"/>
      <c r="F389" s="115"/>
      <c r="G389" s="115"/>
      <c r="H389" s="115"/>
      <c r="I389" s="115"/>
      <c r="J389" s="115"/>
      <c r="K389" s="115"/>
      <c r="L389" s="115"/>
      <c r="M389" s="115"/>
      <c r="N389" s="115"/>
      <c r="O389" s="115"/>
    </row>
    <row r="390">
      <c r="A390" s="65" t="s">
        <v>38</v>
      </c>
      <c r="B390" s="65" t="s">
        <v>97</v>
      </c>
      <c r="C390" s="65" t="s">
        <v>412</v>
      </c>
      <c r="D390" s="64">
        <f t="shared" si="1"/>
        <v>443.1174167</v>
      </c>
      <c r="E390" s="115"/>
      <c r="F390" s="116">
        <f>HYPERLINK("https://docs.google.com/spreadsheets/d/1LW_Ntu8_0k9ICz9yfvuXAzAvBEECvX81", 33.2202333333333)</f>
        <v>33.22023333</v>
      </c>
      <c r="G390" s="116">
        <f>HYPERLINK("https://docs.google.com/spreadsheets/d/1k8em8Az74eZqS7KmtP0d-ELzSWRtnQRX", 5.87115)</f>
        <v>5.87115</v>
      </c>
      <c r="H390" s="116">
        <f>HYPERLINK("https://docs.google.com/spreadsheets/d/1xphKMYKInbs2B-jy1BgtE_d2B9OZsjpD", 7.21788333333334)</f>
        <v>7.217883333</v>
      </c>
      <c r="I390" s="116">
        <f>HYPERLINK("https://docs.google.com/spreadsheets/d/1l7AYYawAeTFXZQ0raLvCLcINZxp7bA0W", 2.26)</f>
        <v>2.26</v>
      </c>
      <c r="J390" s="116">
        <f>HYPERLINK("https://docs.google.com/spreadsheets/d/1H6B6vMo5Huv3fsm60gx3VtnIsvjIq7Zc", 4.86556666666667)</f>
        <v>4.865566667</v>
      </c>
      <c r="K390" s="116">
        <f>HYPERLINK("https://docs.google.com/spreadsheets/d/1M0B5zUjUeDSARaM71Q9IkCZO-dU4BVzm", 39.164)</f>
        <v>39.164</v>
      </c>
      <c r="L390" s="115"/>
      <c r="M390" s="115"/>
      <c r="N390" s="115"/>
      <c r="O390" s="115"/>
      <c r="P390" s="118">
        <f>HYPERLINK("https://docs.google.com/spreadsheets/d/1xQZtZU3ERtTELIRSa8HsUB9HOsfqn2he", 2.57303333333333)</f>
        <v>2.573033333</v>
      </c>
      <c r="S390" s="118">
        <f>HYPERLINK("https://docs.google.com/spreadsheets/d/16TeD9CHEZ3Gm9tGRP7fstikJ6E3HAE1C", 18.17035)</f>
        <v>18.17035</v>
      </c>
      <c r="T390" s="118">
        <f>HYPERLINK("https://docs.google.com/spreadsheets/d/1fg4ofrb2zbpEshE5vcPdmLGa8IOr78DS", 12.5614333333333)</f>
        <v>12.56143333</v>
      </c>
      <c r="U390" s="118">
        <f>HYPERLINK("https://docs.google.com/spreadsheets/d/16TCilMb23Oi2__6C_Wtu-7p3sMlVAqvm", 12.6719333333333)</f>
        <v>12.67193333</v>
      </c>
      <c r="V390" s="118">
        <f>HYPERLINK("https://docs.google.com/spreadsheets/d/1V2iKJvAbHgeUUqLbbbnwhTt2tUYPXAka", 7.1757)</f>
        <v>7.1757</v>
      </c>
      <c r="W390" s="118">
        <f>HYPERLINK("https://docs.google.com/spreadsheets/d/1TFiZLiByIbCuJlVWVv2YGGRWJhhANLvl", 36.5062166666666)</f>
        <v>36.50621667</v>
      </c>
      <c r="Z390" s="118">
        <f>HYPERLINK("https://docs.google.com/spreadsheets/d/1c-1gThWiym3p5eyiN_784gdMm3rhMNz3", 9.26041666666667)</f>
        <v>9.260416667</v>
      </c>
      <c r="AA390" s="118">
        <f>HYPERLINK("https://docs.google.com/spreadsheets/d/1eMfGHBd5feqRNoHy9LEmuqD1u6RDpC9g", 33.6000666666667)</f>
        <v>33.60006667</v>
      </c>
      <c r="AB390" s="118">
        <f>HYPERLINK("https://docs.google.com/spreadsheets/d/1aotYwPT1dOxam0UOXeQcfv2lZd6OvQ8n", 10.4319666666667)</f>
        <v>10.43196667</v>
      </c>
      <c r="AC390" s="118">
        <f>HYPERLINK("https://docs.google.com/spreadsheets/d/1XLq6FxVi33-LG1KVSdd7rWZtGr_LdcLl", 4.81783333333333)</f>
        <v>4.817833333</v>
      </c>
      <c r="AD390" s="118">
        <f>HYPERLINK("https://docs.google.com/spreadsheets/d/1EDz26cjvnFcWmp-2N0uV3mpSW5IjjoAm", 14.0281166666667)</f>
        <v>14.02811667</v>
      </c>
      <c r="AI390" s="118">
        <f>HYPERLINK("https://docs.google.com/spreadsheets/d/1GhzZtirjDTMqoX6luXqHBQMYfmhXTZbX", 15.63295)</f>
        <v>15.63295</v>
      </c>
      <c r="AJ390" s="118">
        <f>HYPERLINK("https://docs.google.com/spreadsheets/d/1M4pKiQItZPr1H7kmxup-2vOKqYKGO1RF", 55.3097333333333)</f>
        <v>55.30973333</v>
      </c>
      <c r="AK390" s="118">
        <f>HYPERLINK("https://docs.google.com/spreadsheets/d/1cC9uH9U9y1hVDRb-58uLZ1PAByFVRFNp", 14.0369166666667)</f>
        <v>14.03691667</v>
      </c>
      <c r="AL390" s="118">
        <f>HYPERLINK("https://docs.google.com/spreadsheets/d/1HEeBaQKFU7zBJTu7kprgrDzx453IW-fm", 2.87623333333333)</f>
        <v>2.876233333</v>
      </c>
      <c r="AM390" s="118">
        <f>HYPERLINK("https://docs.google.com/spreadsheets/d/1EeGGfGTuFIL2tOHuzdMUSmGqWdAmvBS6", 22.5811333333333)</f>
        <v>22.58113333</v>
      </c>
      <c r="AP390" s="118">
        <f>HYPERLINK("https://docs.google.com/spreadsheets/d/1_vPVdJImOsqnrs1MIlJ5jZ-7Lfr0oALJ", 10.2812666666667)</f>
        <v>10.28126667</v>
      </c>
      <c r="AQ390" s="118">
        <f>HYPERLINK("https://docs.google.com/spreadsheets/d/113ZXu1UO1jwriHb4NJkYLuFZLcQ0pwHK", 8.99575)</f>
        <v>8.99575</v>
      </c>
      <c r="AR390" s="118">
        <f>HYPERLINK("https://docs.google.com/spreadsheets/d/15TXNzp7MvcAvxfsxjGrjPn3SE2QYqw9Z", 17.6036333333333)</f>
        <v>17.60363333</v>
      </c>
      <c r="AU390" s="118">
        <f>HYPERLINK("https://docs.google.com/spreadsheets/d/1pXecm1VqqwTdt9LEHP8MRGs7q1MJjn46", 1.70065)</f>
        <v>1.70065</v>
      </c>
      <c r="AV390" s="118">
        <f>HYPERLINK("https://docs.google.com/spreadsheets/d/13dU0Jbs5Yi001a8DPFVudD29S6Zb8KyA", 3.71233333333333)</f>
        <v>3.712333333</v>
      </c>
      <c r="AY390" s="118">
        <f>HYPERLINK("https://docs.google.com/spreadsheets/d/1kFs2mvBhqHRy1kkCI5aURp75gC9Wq8Mj", 35.9909166666667)</f>
        <v>35.99091667</v>
      </c>
    </row>
    <row r="391">
      <c r="A391" s="65" t="s">
        <v>38</v>
      </c>
      <c r="B391" s="65" t="s">
        <v>97</v>
      </c>
      <c r="C391" s="65" t="s">
        <v>413</v>
      </c>
      <c r="D391" s="64">
        <f t="shared" si="1"/>
        <v>304.3987833</v>
      </c>
      <c r="E391" s="115"/>
      <c r="F391" s="104">
        <v>1.57089999999999</v>
      </c>
      <c r="G391" s="104">
        <v>0.175083333333333</v>
      </c>
      <c r="H391" s="104">
        <v>1.59373333333334</v>
      </c>
      <c r="I391" s="104">
        <v>0.251933333333333</v>
      </c>
      <c r="J391" s="104">
        <v>2.2665</v>
      </c>
      <c r="K391" s="104">
        <v>39.164</v>
      </c>
      <c r="L391" s="104"/>
      <c r="M391" s="104"/>
      <c r="N391" s="104"/>
      <c r="O391" s="104"/>
      <c r="P391" s="65">
        <v>2.40311666666667</v>
      </c>
      <c r="Q391" s="65"/>
      <c r="R391" s="65"/>
      <c r="S391" s="65">
        <v>9.54743333333334</v>
      </c>
      <c r="T391" s="65">
        <v>12.5614333333333</v>
      </c>
      <c r="U391" s="65">
        <v>2.42370000000001</v>
      </c>
      <c r="V391" s="65">
        <v>0.643899999999999</v>
      </c>
      <c r="W391" s="65">
        <v>36.5062166666666</v>
      </c>
      <c r="X391" s="65"/>
      <c r="Y391" s="65"/>
      <c r="Z391" s="65">
        <v>3.42881666666667</v>
      </c>
      <c r="AA391" s="65">
        <v>22.4316666666667</v>
      </c>
      <c r="AB391" s="65">
        <v>2.89035</v>
      </c>
      <c r="AC391" s="65">
        <v>1.58728333333333</v>
      </c>
      <c r="AD391" s="65">
        <v>5.77358333333334</v>
      </c>
      <c r="AE391" s="65"/>
      <c r="AF391" s="65"/>
      <c r="AG391" s="65"/>
      <c r="AH391" s="65"/>
      <c r="AI391" s="65">
        <v>8.97708333333333</v>
      </c>
      <c r="AJ391" s="65">
        <v>55.0644833333333</v>
      </c>
      <c r="AK391" s="65">
        <v>4.00263333333334</v>
      </c>
      <c r="AL391" s="65">
        <v>0.142449999999999</v>
      </c>
      <c r="AM391" s="65">
        <v>22.5811333333333</v>
      </c>
      <c r="AN391" s="65"/>
      <c r="AP391" s="65">
        <v>9.58766666666667</v>
      </c>
      <c r="AQ391" s="65">
        <v>2.99321666666667</v>
      </c>
      <c r="AR391" s="65">
        <v>17.6036333333333</v>
      </c>
      <c r="AT391" s="65"/>
      <c r="AU391" s="65">
        <v>0.7525</v>
      </c>
      <c r="AV391" s="65">
        <v>1.48341666666667</v>
      </c>
      <c r="AY391" s="65">
        <v>35.9909166666667</v>
      </c>
    </row>
    <row r="392">
      <c r="A392" s="119" t="s">
        <v>38</v>
      </c>
      <c r="B392" s="119" t="s">
        <v>97</v>
      </c>
      <c r="C392" s="119" t="s">
        <v>414</v>
      </c>
      <c r="D392" s="120">
        <f t="shared" si="1"/>
        <v>1.70065</v>
      </c>
      <c r="E392" s="121"/>
      <c r="F392" s="122">
        <f>HYPERLINK("https://docs.google.com/spreadsheets/d/1LW_Ntu8_0k9ICz9yfvuXAzAvBEECvX81", 0)</f>
        <v>0</v>
      </c>
      <c r="G392" s="122">
        <f>HYPERLINK("https://docs.google.com/spreadsheets/d/1k8em8Az74eZqS7KmtP0d-ELzSWRtnQRX", 0)</f>
        <v>0</v>
      </c>
      <c r="H392" s="122">
        <f>HYPERLINK("https://docs.google.com/spreadsheets/d/1xphKMYKInbs2B-jy1BgtE_d2B9OZsjpD", 0)</f>
        <v>0</v>
      </c>
      <c r="I392" s="122">
        <f>HYPERLINK("https://docs.google.com/spreadsheets/d/1l7AYYawAeTFXZQ0raLvCLcINZxp7bA0W", 0)</f>
        <v>0</v>
      </c>
      <c r="J392" s="122">
        <f>HYPERLINK("https://docs.google.com/spreadsheets/d/1H6B6vMo5Huv3fsm60gx3VtnIsvjIq7Zc", 0)</f>
        <v>0</v>
      </c>
      <c r="K392" s="122">
        <f>HYPERLINK("https://docs.google.com/spreadsheets/d/1M0B5zUjUeDSARaM71Q9IkCZO-dU4BVzm", 0)</f>
        <v>0</v>
      </c>
      <c r="L392" s="121"/>
      <c r="M392" s="121"/>
      <c r="N392" s="123"/>
      <c r="O392" s="121"/>
      <c r="P392" s="124">
        <f>HYPERLINK("https://docs.google.com/spreadsheets/d/1xQZtZU3ERtTELIRSa8HsUB9HOsfqn2he", 0)</f>
        <v>0</v>
      </c>
      <c r="Q392" s="119"/>
      <c r="R392" s="120"/>
      <c r="S392" s="124">
        <f>HYPERLINK("https://docs.google.com/spreadsheets/d/16TeD9CHEZ3Gm9tGRP7fstikJ6E3HAE1C", 0)</f>
        <v>0</v>
      </c>
      <c r="T392" s="125">
        <f>HYPERLINK("https://docs.google.com/spreadsheets/d/1fg4ofrb2zbpEshE5vcPdmLGa8IOr78DS", 0)</f>
        <v>0</v>
      </c>
      <c r="U392" s="125">
        <f>HYPERLINK("https://docs.google.com/spreadsheets/d/16TCilMb23Oi2__6C_Wtu-7p3sMlVAqvm", 0)</f>
        <v>0</v>
      </c>
      <c r="V392" s="124">
        <f>HYPERLINK("https://docs.google.com/spreadsheets/d/1V2iKJvAbHgeUUqLbbbnwhTt2tUYPXAka", 0)</f>
        <v>0</v>
      </c>
      <c r="W392" s="124">
        <f>HYPERLINK("https://docs.google.com/spreadsheets/d/1TFiZLiByIbCuJlVWVv2YGGRWJhhANLvl", 0)</f>
        <v>0</v>
      </c>
      <c r="X392" s="119"/>
      <c r="Y392" s="119"/>
      <c r="Z392" s="124">
        <f>HYPERLINK("https://docs.google.com/spreadsheets/d/1c-1gThWiym3p5eyiN_784gdMm3rhMNz3", 0)</f>
        <v>0</v>
      </c>
      <c r="AA392" s="124">
        <f>HYPERLINK("https://docs.google.com/spreadsheets/d/1eMfGHBd5feqRNoHy9LEmuqD1u6RDpC9g", 0)</f>
        <v>0</v>
      </c>
      <c r="AB392" s="124">
        <f>HYPERLINK("https://docs.google.com/spreadsheets/d/1aotYwPT1dOxam0UOXeQcfv2lZd6OvQ8n", 0)</f>
        <v>0</v>
      </c>
      <c r="AC392" s="124">
        <f>HYPERLINK("https://docs.google.com/spreadsheets/d/1XLq6FxVi33-LG1KVSdd7rWZtGr_LdcLl", 0)</f>
        <v>0</v>
      </c>
      <c r="AD392" s="124">
        <f>HYPERLINK("https://docs.google.com/spreadsheets/d/1EDz26cjvnFcWmp-2N0uV3mpSW5IjjoAm", 0)</f>
        <v>0</v>
      </c>
      <c r="AE392" s="119"/>
      <c r="AF392" s="119"/>
      <c r="AG392" s="119"/>
      <c r="AH392" s="119"/>
      <c r="AI392" s="125">
        <f>HYPERLINK("https://docs.google.com/spreadsheets/d/1GhzZtirjDTMqoX6luXqHBQMYfmhXTZbX", 0)</f>
        <v>0</v>
      </c>
      <c r="AJ392" s="124">
        <f>HYPERLINK("https://docs.google.com/spreadsheets/d/1M4pKiQItZPr1H7kmxup-2vOKqYKGO1RF", 0)</f>
        <v>0</v>
      </c>
      <c r="AK392" s="124">
        <f>HYPERLINK("https://docs.google.com/spreadsheets/d/1cC9uH9U9y1hVDRb-58uLZ1PAByFVRFNp", 0)</f>
        <v>0</v>
      </c>
      <c r="AL392" s="125">
        <f>HYPERLINK("https://docs.google.com/spreadsheets/d/1HEeBaQKFU7zBJTu7kprgrDzx453IW-fm", 0)</f>
        <v>0</v>
      </c>
      <c r="AM392" s="124">
        <f>HYPERLINK("https://docs.google.com/spreadsheets/d/1EeGGfGTuFIL2tOHuzdMUSmGqWdAmvBS6", 0)</f>
        <v>0</v>
      </c>
      <c r="AN392" s="119"/>
      <c r="AO392" s="120"/>
      <c r="AP392" s="124">
        <f>HYPERLINK("https://docs.google.com/spreadsheets/d/1_vPVdJImOsqnrs1MIlJ5jZ-7Lfr0oALJ", 0)</f>
        <v>0</v>
      </c>
      <c r="AQ392" s="125">
        <f>HYPERLINK("https://docs.google.com/spreadsheets/d/113ZXu1UO1jwriHb4NJkYLuFZLcQ0pwHK", 0)</f>
        <v>0</v>
      </c>
      <c r="AR392" s="125">
        <f>HYPERLINK("https://docs.google.com/spreadsheets/d/15TXNzp7MvcAvxfsxjGrjPn3SE2QYqw9Z", 0)</f>
        <v>0</v>
      </c>
      <c r="AS392" s="120"/>
      <c r="AT392" s="120"/>
      <c r="AU392" s="124">
        <f>HYPERLINK("https://docs.google.com/spreadsheets/d/1pXecm1VqqwTdt9LEHP8MRGs7q1MJjn46", 1.70065)</f>
        <v>1.70065</v>
      </c>
      <c r="AV392" s="124">
        <f>HYPERLINK("https://docs.google.com/spreadsheets/d/13dU0Jbs5Yi001a8DPFVudD29S6Zb8KyA", 0)</f>
        <v>0</v>
      </c>
      <c r="AW392" s="120"/>
      <c r="AX392" s="120"/>
      <c r="AY392" s="124">
        <f>HYPERLINK("https://docs.google.com/spreadsheets/d/1kFs2mvBhqHRy1kkCI5aURp75gC9Wq8Mj", 0)</f>
        <v>0</v>
      </c>
      <c r="AZ392" s="120"/>
      <c r="BA392" s="120"/>
      <c r="BB392" s="120"/>
      <c r="BC392" s="120"/>
      <c r="BD392" s="120"/>
      <c r="BE392" s="120"/>
      <c r="BF392" s="120"/>
      <c r="BG392" s="120"/>
      <c r="BH392" s="120"/>
      <c r="BI392" s="120"/>
      <c r="BJ392" s="120"/>
      <c r="BK392" s="120"/>
      <c r="BL392" s="120"/>
      <c r="BM392" s="120"/>
      <c r="BN392" s="120"/>
      <c r="BO392" s="120"/>
      <c r="BP392" s="120"/>
      <c r="BQ392" s="120"/>
      <c r="BR392" s="120"/>
      <c r="BS392" s="120"/>
      <c r="BT392" s="120"/>
      <c r="BU392" s="120"/>
      <c r="BV392" s="120"/>
      <c r="BW392" s="120"/>
      <c r="BX392" s="120"/>
      <c r="BY392" s="120"/>
      <c r="BZ392" s="120"/>
      <c r="CA392" s="120"/>
      <c r="CB392" s="120"/>
      <c r="CC392" s="120"/>
      <c r="CD392" s="120"/>
      <c r="CE392" s="120"/>
      <c r="CF392" s="120"/>
      <c r="CG392" s="120"/>
      <c r="CH392" s="120"/>
      <c r="CI392" s="120"/>
      <c r="CJ392" s="120"/>
      <c r="CK392" s="120"/>
      <c r="CL392" s="120"/>
      <c r="CM392" s="120"/>
      <c r="CN392" s="120"/>
      <c r="CO392" s="120"/>
      <c r="CP392" s="120"/>
      <c r="CQ392" s="120"/>
      <c r="CR392" s="120"/>
      <c r="CS392" s="120"/>
      <c r="CT392" s="120"/>
      <c r="CU392" s="120"/>
      <c r="CV392" s="120"/>
      <c r="CW392" s="120"/>
      <c r="CX392" s="120"/>
      <c r="CY392" s="120"/>
      <c r="CZ392" s="120"/>
      <c r="DA392" s="120"/>
      <c r="DB392" s="120"/>
      <c r="DC392" s="120"/>
      <c r="DD392" s="120"/>
      <c r="DE392" s="120"/>
      <c r="DF392" s="120"/>
      <c r="DG392" s="120"/>
      <c r="DH392" s="120"/>
      <c r="DI392" s="120"/>
      <c r="DJ392" s="120"/>
      <c r="DK392" s="120"/>
      <c r="DL392" s="120"/>
      <c r="DM392" s="120"/>
      <c r="DN392" s="120"/>
      <c r="DO392" s="120"/>
      <c r="DP392" s="120"/>
      <c r="DQ392" s="120"/>
      <c r="DR392" s="120"/>
      <c r="DS392" s="120"/>
      <c r="DT392" s="120"/>
      <c r="DU392" s="120"/>
      <c r="DV392" s="120"/>
      <c r="DW392" s="120"/>
      <c r="DX392" s="120"/>
      <c r="DY392" s="120"/>
      <c r="DZ392" s="120"/>
      <c r="EA392" s="120"/>
      <c r="EB392" s="120"/>
      <c r="EC392" s="120"/>
      <c r="ED392" s="120"/>
      <c r="EE392" s="120"/>
      <c r="EF392" s="120"/>
      <c r="EG392" s="120"/>
      <c r="EH392" s="120"/>
      <c r="EI392" s="120"/>
      <c r="EJ392" s="120"/>
      <c r="EK392" s="120"/>
      <c r="EL392" s="120"/>
      <c r="EM392" s="120"/>
      <c r="EN392" s="120"/>
      <c r="EO392" s="120"/>
      <c r="EP392" s="120"/>
      <c r="EQ392" s="120"/>
      <c r="ER392" s="120"/>
      <c r="ES392" s="120"/>
      <c r="ET392" s="120"/>
      <c r="EU392" s="120"/>
      <c r="EV392" s="120"/>
      <c r="EW392" s="120"/>
      <c r="EX392" s="120"/>
      <c r="EY392" s="120"/>
    </row>
    <row r="393">
      <c r="A393" s="112" t="s">
        <v>38</v>
      </c>
      <c r="B393" s="112" t="s">
        <v>57</v>
      </c>
      <c r="C393" s="112" t="s">
        <v>409</v>
      </c>
      <c r="D393" s="113">
        <f t="shared" si="1"/>
        <v>668.21315</v>
      </c>
      <c r="E393" s="114">
        <v>39.8170833333333</v>
      </c>
      <c r="F393" s="114"/>
      <c r="G393" s="114"/>
      <c r="H393" s="114"/>
      <c r="I393" s="114"/>
      <c r="J393" s="114"/>
      <c r="K393" s="114"/>
      <c r="L393" s="114">
        <v>0.56815</v>
      </c>
      <c r="M393" s="114"/>
      <c r="N393" s="114"/>
      <c r="O393" s="114">
        <v>10.12765</v>
      </c>
      <c r="P393" s="112"/>
      <c r="Q393" s="112"/>
      <c r="R393" s="112">
        <v>63.4782666666667</v>
      </c>
      <c r="S393" s="112"/>
      <c r="T393" s="112"/>
      <c r="U393" s="112"/>
      <c r="V393" s="112"/>
      <c r="W393" s="112"/>
      <c r="X393" s="112">
        <v>0.737833333333333</v>
      </c>
      <c r="Y393" s="112">
        <v>142.894766666667</v>
      </c>
      <c r="Z393" s="112"/>
      <c r="AA393" s="113"/>
      <c r="AB393" s="112"/>
      <c r="AC393" s="112"/>
      <c r="AD393" s="112"/>
      <c r="AE393" s="112">
        <v>2.0088</v>
      </c>
      <c r="AF393" s="112"/>
      <c r="AG393" s="112"/>
      <c r="AH393" s="112">
        <v>218.57955</v>
      </c>
      <c r="AI393" s="112"/>
      <c r="AJ393" s="112"/>
      <c r="AK393" s="112"/>
      <c r="AL393" s="113"/>
      <c r="AM393" s="112"/>
      <c r="AN393" s="112">
        <v>3.71565</v>
      </c>
      <c r="AO393" s="112">
        <v>73.3387</v>
      </c>
      <c r="AP393" s="112"/>
      <c r="AQ393" s="113"/>
      <c r="AR393" s="112"/>
      <c r="AS393" s="112">
        <v>5.1868</v>
      </c>
      <c r="AT393" s="112">
        <v>11.8946833333333</v>
      </c>
      <c r="AU393" s="112"/>
      <c r="AV393" s="112"/>
      <c r="AW393" s="112">
        <v>4.57688333333333</v>
      </c>
      <c r="AX393" s="112">
        <v>86.3405</v>
      </c>
      <c r="AY393" s="113"/>
      <c r="AZ393" s="112">
        <v>4.2555</v>
      </c>
      <c r="BA393" s="112">
        <v>0.692333333333333</v>
      </c>
      <c r="BB393" s="113"/>
      <c r="BC393" s="113"/>
      <c r="BD393" s="113"/>
      <c r="BE393" s="113"/>
      <c r="BF393" s="113"/>
      <c r="BG393" s="113"/>
      <c r="BH393" s="113"/>
      <c r="BI393" s="113"/>
      <c r="BJ393" s="113"/>
      <c r="BK393" s="113"/>
      <c r="BL393" s="113"/>
      <c r="BM393" s="113"/>
      <c r="BN393" s="113"/>
      <c r="BO393" s="113"/>
      <c r="BP393" s="113"/>
      <c r="BQ393" s="113"/>
      <c r="BR393" s="113"/>
      <c r="BS393" s="113"/>
      <c r="BT393" s="113"/>
      <c r="BU393" s="113"/>
      <c r="BV393" s="113"/>
      <c r="BW393" s="113"/>
      <c r="BX393" s="113"/>
      <c r="BY393" s="113"/>
      <c r="BZ393" s="113"/>
      <c r="CA393" s="113"/>
      <c r="CB393" s="113"/>
      <c r="CC393" s="113"/>
      <c r="CD393" s="113"/>
      <c r="CE393" s="113"/>
      <c r="CF393" s="113"/>
      <c r="CG393" s="113"/>
      <c r="CH393" s="113"/>
      <c r="CI393" s="113"/>
      <c r="CJ393" s="113"/>
      <c r="CK393" s="113"/>
      <c r="CL393" s="113"/>
      <c r="CM393" s="113"/>
      <c r="CN393" s="113"/>
      <c r="CO393" s="113"/>
      <c r="CP393" s="113"/>
      <c r="CQ393" s="113"/>
      <c r="CR393" s="113"/>
      <c r="CS393" s="113"/>
      <c r="CT393" s="113"/>
      <c r="CU393" s="113"/>
      <c r="CV393" s="113"/>
      <c r="CW393" s="113"/>
      <c r="CX393" s="113"/>
      <c r="CY393" s="113"/>
      <c r="CZ393" s="113"/>
      <c r="DA393" s="113"/>
      <c r="DB393" s="113"/>
      <c r="DC393" s="113"/>
      <c r="DD393" s="113"/>
      <c r="DE393" s="113"/>
      <c r="DF393" s="113"/>
      <c r="DG393" s="113"/>
      <c r="DH393" s="113"/>
      <c r="DI393" s="113"/>
      <c r="DJ393" s="113"/>
      <c r="DK393" s="113"/>
      <c r="DL393" s="113"/>
      <c r="DM393" s="113"/>
      <c r="DN393" s="113"/>
      <c r="DO393" s="113"/>
      <c r="DP393" s="113"/>
      <c r="DQ393" s="113"/>
      <c r="DR393" s="113"/>
      <c r="DS393" s="113"/>
      <c r="DT393" s="113"/>
      <c r="DU393" s="113"/>
      <c r="DV393" s="113"/>
      <c r="DW393" s="113"/>
      <c r="DX393" s="113"/>
      <c r="DY393" s="113"/>
      <c r="DZ393" s="113"/>
      <c r="EA393" s="113"/>
      <c r="EB393" s="113"/>
      <c r="EC393" s="113"/>
      <c r="ED393" s="113"/>
      <c r="EE393" s="113"/>
      <c r="EF393" s="113"/>
      <c r="EG393" s="113"/>
      <c r="EH393" s="113"/>
      <c r="EI393" s="113"/>
      <c r="EJ393" s="113"/>
      <c r="EK393" s="113"/>
      <c r="EL393" s="113"/>
      <c r="EM393" s="113"/>
      <c r="EN393" s="113"/>
      <c r="EO393" s="113"/>
      <c r="EP393" s="113"/>
      <c r="EQ393" s="113"/>
      <c r="ER393" s="113"/>
      <c r="ES393" s="113"/>
      <c r="ET393" s="113"/>
      <c r="EU393" s="113"/>
      <c r="EV393" s="113"/>
      <c r="EW393" s="113"/>
      <c r="EX393" s="113"/>
      <c r="EY393" s="113"/>
    </row>
    <row r="394">
      <c r="A394" s="65" t="s">
        <v>38</v>
      </c>
      <c r="B394" s="65" t="s">
        <v>57</v>
      </c>
      <c r="C394" s="65" t="s">
        <v>410</v>
      </c>
      <c r="D394" s="64">
        <f t="shared" si="1"/>
        <v>730.9265167</v>
      </c>
      <c r="E394" s="115"/>
      <c r="F394" s="104">
        <v>22.4450166666667</v>
      </c>
      <c r="G394" s="104">
        <v>2.72083333333333</v>
      </c>
      <c r="H394" s="104">
        <v>2.39768333333333</v>
      </c>
      <c r="I394" s="104">
        <v>1.31205</v>
      </c>
      <c r="J394" s="104">
        <v>4.72513333333333</v>
      </c>
      <c r="K394" s="104">
        <v>4.13448333333333</v>
      </c>
      <c r="L394" s="104"/>
      <c r="M394" s="104">
        <v>22.4450166666667</v>
      </c>
      <c r="N394" s="104">
        <v>2.72083333333333</v>
      </c>
      <c r="O394" s="115"/>
      <c r="P394" s="65">
        <v>7.97886666666667</v>
      </c>
      <c r="Q394" s="65"/>
      <c r="R394" s="65"/>
      <c r="S394" s="65">
        <v>26.9213666666666</v>
      </c>
      <c r="T394" s="65">
        <v>7.17261666666667</v>
      </c>
      <c r="U394" s="65">
        <v>2.57921666666667</v>
      </c>
      <c r="V394" s="65">
        <v>8.8512</v>
      </c>
      <c r="W394" s="65">
        <v>14.5375166666667</v>
      </c>
      <c r="X394" s="65"/>
      <c r="Y394" s="65"/>
      <c r="Z394" s="65">
        <v>43.8278833333333</v>
      </c>
      <c r="AA394" s="65">
        <v>54.9759333333333</v>
      </c>
      <c r="AB394" s="65">
        <v>10.9847166666667</v>
      </c>
      <c r="AC394" s="65">
        <v>4.91516666666667</v>
      </c>
      <c r="AD394" s="65">
        <v>24.69635</v>
      </c>
      <c r="AE394" s="65"/>
      <c r="AF394" s="65">
        <v>43.8278833333333</v>
      </c>
      <c r="AG394" s="65">
        <v>54.9759333333333</v>
      </c>
      <c r="AH394" s="65"/>
      <c r="AI394" s="65">
        <v>31.0042333333333</v>
      </c>
      <c r="AJ394" s="65">
        <v>154.006566666667</v>
      </c>
      <c r="AK394" s="65">
        <v>18.7200833333333</v>
      </c>
      <c r="AL394" s="65">
        <v>3.73653333333333</v>
      </c>
      <c r="AM394" s="65">
        <v>9.95383333333333</v>
      </c>
      <c r="AN394" s="65"/>
      <c r="AP394" s="65">
        <v>23.5709333333333</v>
      </c>
      <c r="AQ394" s="65">
        <v>11.28075</v>
      </c>
      <c r="AR394" s="65">
        <v>17.1577333333333</v>
      </c>
      <c r="AT394" s="65"/>
      <c r="AU394" s="65">
        <v>5.0336</v>
      </c>
      <c r="AV394" s="65">
        <v>3.57026666666667</v>
      </c>
      <c r="AY394" s="65">
        <v>83.7462833333334</v>
      </c>
    </row>
    <row r="395">
      <c r="A395" s="65" t="s">
        <v>38</v>
      </c>
      <c r="B395" s="65" t="s">
        <v>57</v>
      </c>
      <c r="C395" s="65" t="s">
        <v>411</v>
      </c>
      <c r="D395" s="64">
        <f t="shared" si="1"/>
        <v>0</v>
      </c>
      <c r="E395" s="115"/>
      <c r="F395" s="115"/>
      <c r="G395" s="115"/>
      <c r="H395" s="115"/>
      <c r="I395" s="115"/>
      <c r="J395" s="115"/>
      <c r="K395" s="115"/>
      <c r="L395" s="115"/>
      <c r="M395" s="115"/>
      <c r="N395" s="115"/>
      <c r="O395" s="115"/>
    </row>
    <row r="396">
      <c r="A396" s="65" t="s">
        <v>38</v>
      </c>
      <c r="B396" s="65" t="s">
        <v>57</v>
      </c>
      <c r="C396" s="65" t="s">
        <v>412</v>
      </c>
      <c r="D396" s="64">
        <f t="shared" si="1"/>
        <v>587.5234</v>
      </c>
      <c r="E396" s="115"/>
      <c r="F396" s="116">
        <f>HYPERLINK("https://docs.google.com/spreadsheets/d/1ui6_XKUC4ociedmORHyQfEytNgYF0hJN", 21.7807333333333)</f>
        <v>21.78073333</v>
      </c>
      <c r="G396" s="116">
        <f>HYPERLINK("https://docs.google.com/spreadsheets/d/1sOPzeU1zccmNwM1dTFa0u_FjiikaJ1ZE", 2.72083333333333)</f>
        <v>2.720833333</v>
      </c>
      <c r="H396" s="116">
        <f>HYPERLINK("https://docs.google.com/spreadsheets/d/1fuE8H2teSZONyCSsv8BxKy6wBWE65AL8", 2.39768333333333)</f>
        <v>2.397683333</v>
      </c>
      <c r="I396" s="116">
        <f>HYPERLINK("https://docs.google.com/spreadsheets/d/1D59NV6ulkH0ekqfocsEPwno0LCc04RcP", 1.20891666666667)</f>
        <v>1.208916667</v>
      </c>
      <c r="J396" s="116">
        <f>HYPERLINK("https://docs.google.com/spreadsheets/d/1A-FodHA6HopLUIB9WNDh_dWbGvxSQDL0", 2.98675)</f>
        <v>2.98675</v>
      </c>
      <c r="K396" s="116">
        <f>HYPERLINK("https://docs.google.com/spreadsheets/d/1h7lzONN5vX-hdIvqLbOk9vbu9Hl9nYae", 4.13448333333333)</f>
        <v>4.134483333</v>
      </c>
      <c r="L396" s="115"/>
      <c r="M396" s="115"/>
      <c r="N396" s="115"/>
      <c r="O396" s="115"/>
      <c r="P396" s="118">
        <f>HYPERLINK("https://docs.google.com/spreadsheets/d/1RzzaJxAT_9jJp4SDPKL6zjwNGstixuYB", 7.97885)</f>
        <v>7.97885</v>
      </c>
      <c r="S396" s="118">
        <f>HYPERLINK("https://docs.google.com/spreadsheets/d/1V1o5whzeRWS3SzQLBQ35u0_xaGwGtuWT", 24.1443833333333)</f>
        <v>24.14438333</v>
      </c>
      <c r="T396" s="118">
        <f>HYPERLINK("https://docs.google.com/spreadsheets/d/1qk_4jnOXetLjKq8THyXJyIp2YpIQ9tYy", 7.17261666666667)</f>
        <v>7.172616667</v>
      </c>
      <c r="U396" s="118">
        <f>HYPERLINK("https://docs.google.com/spreadsheets/d/1Lv0fTjEeX8f3CCU3I34hu7k5HP0GBsCZ", 2.57921666666667)</f>
        <v>2.579216667</v>
      </c>
      <c r="V396" s="118">
        <f>HYPERLINK("https://docs.google.com/spreadsheets/d/1g0POrPELjpIZ2uoRb6Vwtg0RPM1sKkTn", 6.48695)</f>
        <v>6.48695</v>
      </c>
      <c r="W396" s="118">
        <f>HYPERLINK("https://docs.google.com/spreadsheets/d/1OuqUO99plXAMur3bzXMgEC1M-apjZ2Gj", 14.3778)</f>
        <v>14.3778</v>
      </c>
      <c r="Z396" s="118">
        <f>HYPERLINK("https://docs.google.com/spreadsheets/d/1iiaToX-FyNtLuwzEicC2UU6F17B2u5bN", 43.0817333333334)</f>
        <v>43.08173333</v>
      </c>
      <c r="AA396" s="118">
        <f>HYPERLINK("https://docs.google.com/spreadsheets/d/1oejiiOk0UDTMXRg55hquKRes3ALquDe9", 54.8672)</f>
        <v>54.8672</v>
      </c>
      <c r="AB396" s="118">
        <f>HYPERLINK("https://docs.google.com/spreadsheets/d/1BEDvIbcG9drpDS3u_SiupJfa6US3Kn-o", 10.9847)</f>
        <v>10.9847</v>
      </c>
      <c r="AC396" s="118">
        <f>HYPERLINK("https://docs.google.com/spreadsheets/d/1cNG5jYkTl-fjJA0AEwAz1SgVBiAsDatr", 4.08445)</f>
        <v>4.08445</v>
      </c>
      <c r="AD396" s="118">
        <f>HYPERLINK("https://docs.google.com/spreadsheets/d/1R_zGEC_3M0K4BkGE2XTIyBhs9YgIH91o", 24.5803)</f>
        <v>24.5803</v>
      </c>
      <c r="AI396" s="118">
        <f>HYPERLINK("https://docs.google.com/spreadsheets/d/1YBvIPpxLzR0So0-DiKpOEI_pAs5G8dtH", 31.0041)</f>
        <v>31.0041</v>
      </c>
      <c r="AJ396" s="118">
        <f>HYPERLINK("https://docs.google.com/spreadsheets/d/1fVbCBitrLBEA7NT8nus4aqym2xOJUKPh", 149.357016666667)</f>
        <v>149.3570167</v>
      </c>
      <c r="AK396" s="118">
        <f>HYPERLINK("https://docs.google.com/spreadsheets/d/1looNS9sqPZSI86pMkhH8_8pC-HSLljk7", 18.58745)</f>
        <v>18.58745</v>
      </c>
      <c r="AL396" s="118">
        <f>HYPERLINK("https://docs.google.com/spreadsheets/d/1RJpgLUAHt3zLfoRQUZNToVJv_ecuaAwF", 3.73651666666667)</f>
        <v>3.736516667</v>
      </c>
      <c r="AM396" s="118">
        <f>HYPERLINK("https://docs.google.com/spreadsheets/d/14GVlcpEsrc0vYh5awSDJKNl9SS5cNsa6", 9.95381666666667)</f>
        <v>9.953816667</v>
      </c>
      <c r="AP396" s="118">
        <f>HYPERLINK("https://docs.google.com/spreadsheets/d/1VNaHGLTXGOsoGa5o6SOizA5JtMKqXsZh", 20.1214833333333)</f>
        <v>20.12148333</v>
      </c>
      <c r="AQ396" s="118">
        <f>HYPERLINK("https://docs.google.com/spreadsheets/d/1V6xehqwRJMb7IpOVLWM0rzkKHdGiaI5e", 10.2850833333333)</f>
        <v>10.28508333</v>
      </c>
      <c r="AR396" s="118">
        <f>HYPERLINK("https://docs.google.com/spreadsheets/d/1MkUatmfW_aU4FheE6XJM6AnwYj12l00w", 17.1577333333333)</f>
        <v>17.15773333</v>
      </c>
      <c r="AU396" s="118">
        <f>HYPERLINK("https://docs.google.com/spreadsheets/d/1q2pe04jwNFOj41vqk3Fj7icqz6a39yHz", 4.53051666666667)</f>
        <v>4.530516667</v>
      </c>
      <c r="AV396" s="118">
        <f>HYPERLINK("https://docs.google.com/spreadsheets/d/17mwLUsY60jspWD2lCNXjpRAtdLiKOaW9", 3.57026666666667)</f>
        <v>3.570266667</v>
      </c>
      <c r="AY396" s="118">
        <f>HYPERLINK("https://docs.google.com/spreadsheets/d/1mNLtmrdtvCwrDPrzTZaiatDe0kH7vGIl", 83.6518166666667)</f>
        <v>83.65181667</v>
      </c>
    </row>
    <row r="397">
      <c r="A397" s="65" t="s">
        <v>38</v>
      </c>
      <c r="B397" s="65" t="s">
        <v>57</v>
      </c>
      <c r="C397" s="65" t="s">
        <v>413</v>
      </c>
      <c r="D397" s="64">
        <f t="shared" si="1"/>
        <v>417.74385</v>
      </c>
      <c r="E397" s="115"/>
      <c r="F397" s="104">
        <v>1.45233333333335</v>
      </c>
      <c r="G397" s="104">
        <v>0.0</v>
      </c>
      <c r="H397" s="104">
        <v>0.0996833333333327</v>
      </c>
      <c r="I397" s="104">
        <v>0.0988000000000002</v>
      </c>
      <c r="J397" s="104">
        <v>0.325316666666666</v>
      </c>
      <c r="K397" s="104">
        <v>3.85793333333333</v>
      </c>
      <c r="L397" s="104"/>
      <c r="M397" s="104"/>
      <c r="N397" s="104"/>
      <c r="O397" s="115"/>
      <c r="P397" s="65">
        <v>7.43791666666667</v>
      </c>
      <c r="Q397" s="65"/>
      <c r="R397" s="65"/>
      <c r="S397" s="65">
        <v>16.0476166666667</v>
      </c>
      <c r="T397" s="65">
        <v>4.83888333333333</v>
      </c>
      <c r="U397" s="65">
        <v>0.3651</v>
      </c>
      <c r="V397" s="65">
        <v>1.68261666666667</v>
      </c>
      <c r="W397" s="65">
        <v>14.3778</v>
      </c>
      <c r="X397" s="65"/>
      <c r="Y397" s="65"/>
      <c r="Z397" s="65">
        <v>18.80655</v>
      </c>
      <c r="AA397" s="65">
        <v>37.48365</v>
      </c>
      <c r="AB397" s="65">
        <v>1.34441666666666</v>
      </c>
      <c r="AC397" s="65">
        <v>0.69195</v>
      </c>
      <c r="AD397" s="65">
        <v>9.80515</v>
      </c>
      <c r="AE397" s="65"/>
      <c r="AF397" s="65"/>
      <c r="AG397" s="65"/>
      <c r="AH397" s="65"/>
      <c r="AI397" s="65">
        <v>14.6817666666667</v>
      </c>
      <c r="AJ397" s="65">
        <v>149.292816666667</v>
      </c>
      <c r="AK397" s="65">
        <v>2.61578333333333</v>
      </c>
      <c r="AL397" s="65">
        <v>0.277416666666667</v>
      </c>
      <c r="AM397" s="65">
        <v>9.95381666666667</v>
      </c>
      <c r="AN397" s="65"/>
      <c r="AP397" s="65">
        <v>16.8190333333333</v>
      </c>
      <c r="AQ397" s="65">
        <v>2.03481666666667</v>
      </c>
      <c r="AR397" s="65">
        <v>17.1577333333333</v>
      </c>
      <c r="AT397" s="65"/>
      <c r="AU397" s="65">
        <v>2.01023333333333</v>
      </c>
      <c r="AV397" s="65">
        <v>1.10625</v>
      </c>
      <c r="AY397" s="65">
        <v>83.0784666666667</v>
      </c>
    </row>
    <row r="398">
      <c r="A398" s="119" t="s">
        <v>38</v>
      </c>
      <c r="B398" s="119" t="s">
        <v>57</v>
      </c>
      <c r="C398" s="119" t="s">
        <v>414</v>
      </c>
      <c r="D398" s="120">
        <f t="shared" si="1"/>
        <v>4.530516667</v>
      </c>
      <c r="E398" s="121"/>
      <c r="F398" s="122">
        <f>HYPERLINK("https://docs.google.com/spreadsheets/d/1ui6_XKUC4ociedmORHyQfEytNgYF0hJN", 0)</f>
        <v>0</v>
      </c>
      <c r="G398" s="122">
        <f>HYPERLINK("https://docs.google.com/spreadsheets/d/1sOPzeU1zccmNwM1dTFa0u_FjiikaJ1ZE", 0)</f>
        <v>0</v>
      </c>
      <c r="H398" s="122">
        <f>HYPERLINK("https://docs.google.com/spreadsheets/d/1fuE8H2teSZONyCSsv8BxKy6wBWE65AL8", 0)</f>
        <v>0</v>
      </c>
      <c r="I398" s="122">
        <f>HYPERLINK("https://docs.google.com/spreadsheets/d/1D59NV6ulkH0ekqfocsEPwno0LCc04RcP", 0)</f>
        <v>0</v>
      </c>
      <c r="J398" s="122">
        <f>HYPERLINK("https://docs.google.com/spreadsheets/d/1A-FodHA6HopLUIB9WNDh_dWbGvxSQDL0", 0)</f>
        <v>0</v>
      </c>
      <c r="K398" s="122">
        <f>HYPERLINK("https://docs.google.com/spreadsheets/d/1h7lzONN5vX-hdIvqLbOk9vbu9Hl9nYae", 0)</f>
        <v>0</v>
      </c>
      <c r="L398" s="121"/>
      <c r="M398" s="121"/>
      <c r="N398" s="123"/>
      <c r="O398" s="121"/>
      <c r="P398" s="124">
        <f>HYPERLINK("https://docs.google.com/spreadsheets/d/1RzzaJxAT_9jJp4SDPKL6zjwNGstixuYB", 0)</f>
        <v>0</v>
      </c>
      <c r="Q398" s="119"/>
      <c r="R398" s="119"/>
      <c r="S398" s="124">
        <f>HYPERLINK("https://docs.google.com/spreadsheets/d/1V1o5whzeRWS3SzQLBQ35u0_xaGwGtuWT", 0)</f>
        <v>0</v>
      </c>
      <c r="T398" s="125">
        <f>HYPERLINK("https://docs.google.com/spreadsheets/d/1qk_4jnOXetLjKq8THyXJyIp2YpIQ9tYy", 0)</f>
        <v>0</v>
      </c>
      <c r="U398" s="125">
        <f>HYPERLINK("https://docs.google.com/spreadsheets/d/1Lv0fTjEeX8f3CCU3I34hu7k5HP0GBsCZ", 0)</f>
        <v>0</v>
      </c>
      <c r="V398" s="124">
        <f>HYPERLINK("https://docs.google.com/spreadsheets/d/1g0POrPELjpIZ2uoRb6Vwtg0RPM1sKkTn", 0)</f>
        <v>0</v>
      </c>
      <c r="W398" s="124">
        <f>HYPERLINK("https://docs.google.com/spreadsheets/d/1OuqUO99plXAMur3bzXMgEC1M-apjZ2Gj", 0)</f>
        <v>0</v>
      </c>
      <c r="X398" s="119"/>
      <c r="Y398" s="119"/>
      <c r="Z398" s="124">
        <f>HYPERLINK("https://docs.google.com/spreadsheets/d/1iiaToX-FyNtLuwzEicC2UU6F17B2u5bN", 0)</f>
        <v>0</v>
      </c>
      <c r="AA398" s="124">
        <f>HYPERLINK("https://docs.google.com/spreadsheets/d/1oejiiOk0UDTMXRg55hquKRes3ALquDe9", 0)</f>
        <v>0</v>
      </c>
      <c r="AB398" s="124">
        <f>HYPERLINK("https://docs.google.com/spreadsheets/d/1BEDvIbcG9drpDS3u_SiupJfa6US3Kn-o", 0)</f>
        <v>0</v>
      </c>
      <c r="AC398" s="124">
        <f>HYPERLINK("https://docs.google.com/spreadsheets/d/1cNG5jYkTl-fjJA0AEwAz1SgVBiAsDatr", 0)</f>
        <v>0</v>
      </c>
      <c r="AD398" s="124">
        <f>HYPERLINK("https://docs.google.com/spreadsheets/d/1R_zGEC_3M0K4BkGE2XTIyBhs9YgIH91o", 0)</f>
        <v>0</v>
      </c>
      <c r="AE398" s="119"/>
      <c r="AF398" s="119"/>
      <c r="AG398" s="119"/>
      <c r="AH398" s="119"/>
      <c r="AI398" s="125">
        <f>HYPERLINK("https://docs.google.com/spreadsheets/d/1YBvIPpxLzR0So0-DiKpOEI_pAs5G8dtH", 0)</f>
        <v>0</v>
      </c>
      <c r="AJ398" s="124">
        <f>HYPERLINK("https://docs.google.com/spreadsheets/d/1fVbCBitrLBEA7NT8nus4aqym2xOJUKPh", 0)</f>
        <v>0</v>
      </c>
      <c r="AK398" s="124">
        <f>HYPERLINK("https://docs.google.com/spreadsheets/d/1looNS9sqPZSI86pMkhH8_8pC-HSLljk7", 0)</f>
        <v>0</v>
      </c>
      <c r="AL398" s="125">
        <f>HYPERLINK("https://docs.google.com/spreadsheets/d/1RJpgLUAHt3zLfoRQUZNToVJv_ecuaAwF", 0)</f>
        <v>0</v>
      </c>
      <c r="AM398" s="124">
        <f>HYPERLINK("https://docs.google.com/spreadsheets/d/14GVlcpEsrc0vYh5awSDJKNl9SS5cNsa6", 0)</f>
        <v>0</v>
      </c>
      <c r="AN398" s="119"/>
      <c r="AO398" s="120"/>
      <c r="AP398" s="124">
        <f>HYPERLINK("https://docs.google.com/spreadsheets/d/1VNaHGLTXGOsoGa5o6SOizA5JtMKqXsZh", 0)</f>
        <v>0</v>
      </c>
      <c r="AQ398" s="125">
        <f>HYPERLINK("https://docs.google.com/spreadsheets/d/1V6xehqwRJMb7IpOVLWM0rzkKHdGiaI5e", 0)</f>
        <v>0</v>
      </c>
      <c r="AR398" s="125">
        <f>HYPERLINK("https://docs.google.com/spreadsheets/d/1MkUatmfW_aU4FheE6XJM6AnwYj12l00w", 0)</f>
        <v>0</v>
      </c>
      <c r="AS398" s="120"/>
      <c r="AT398" s="120"/>
      <c r="AU398" s="125">
        <f>HYPERLINK("https://docs.google.com/spreadsheets/d/1q2pe04jwNFOj41vqk3Fj7icqz6a39yHz", 4.53051666666667)</f>
        <v>4.530516667</v>
      </c>
      <c r="AV398" s="124">
        <f>HYPERLINK("https://docs.google.com/spreadsheets/d/17mwLUsY60jspWD2lCNXjpRAtdLiKOaW9", 0)</f>
        <v>0</v>
      </c>
      <c r="AW398" s="120"/>
      <c r="AX398" s="120"/>
      <c r="AY398" s="124">
        <f>HYPERLINK("https://docs.google.com/spreadsheets/d/1mNLtmrdtvCwrDPrzTZaiatDe0kH7vGIl", 0)</f>
        <v>0</v>
      </c>
      <c r="AZ398" s="120"/>
      <c r="BA398" s="120"/>
      <c r="BB398" s="120"/>
      <c r="BC398" s="120"/>
      <c r="BD398" s="120"/>
      <c r="BE398" s="120"/>
      <c r="BF398" s="120"/>
      <c r="BG398" s="120"/>
      <c r="BH398" s="120"/>
      <c r="BI398" s="120"/>
      <c r="BJ398" s="120"/>
      <c r="BK398" s="120"/>
      <c r="BL398" s="120"/>
      <c r="BM398" s="120"/>
      <c r="BN398" s="120"/>
      <c r="BO398" s="120"/>
      <c r="BP398" s="120"/>
      <c r="BQ398" s="120"/>
      <c r="BR398" s="120"/>
      <c r="BS398" s="120"/>
      <c r="BT398" s="120"/>
      <c r="BU398" s="120"/>
      <c r="BV398" s="120"/>
      <c r="BW398" s="120"/>
      <c r="BX398" s="120"/>
      <c r="BY398" s="120"/>
      <c r="BZ398" s="120"/>
      <c r="CA398" s="120"/>
      <c r="CB398" s="120"/>
      <c r="CC398" s="120"/>
      <c r="CD398" s="120"/>
      <c r="CE398" s="120"/>
      <c r="CF398" s="120"/>
      <c r="CG398" s="120"/>
      <c r="CH398" s="120"/>
      <c r="CI398" s="120"/>
      <c r="CJ398" s="120"/>
      <c r="CK398" s="120"/>
      <c r="CL398" s="120"/>
      <c r="CM398" s="120"/>
      <c r="CN398" s="120"/>
      <c r="CO398" s="120"/>
      <c r="CP398" s="120"/>
      <c r="CQ398" s="120"/>
      <c r="CR398" s="120"/>
      <c r="CS398" s="120"/>
      <c r="CT398" s="120"/>
      <c r="CU398" s="120"/>
      <c r="CV398" s="120"/>
      <c r="CW398" s="120"/>
      <c r="CX398" s="120"/>
      <c r="CY398" s="120"/>
      <c r="CZ398" s="120"/>
      <c r="DA398" s="120"/>
      <c r="DB398" s="120"/>
      <c r="DC398" s="120"/>
      <c r="DD398" s="120"/>
      <c r="DE398" s="120"/>
      <c r="DF398" s="120"/>
      <c r="DG398" s="120"/>
      <c r="DH398" s="120"/>
      <c r="DI398" s="120"/>
      <c r="DJ398" s="120"/>
      <c r="DK398" s="120"/>
      <c r="DL398" s="120"/>
      <c r="DM398" s="120"/>
      <c r="DN398" s="120"/>
      <c r="DO398" s="120"/>
      <c r="DP398" s="120"/>
      <c r="DQ398" s="120"/>
      <c r="DR398" s="120"/>
      <c r="DS398" s="120"/>
      <c r="DT398" s="120"/>
      <c r="DU398" s="120"/>
      <c r="DV398" s="120"/>
      <c r="DW398" s="120"/>
      <c r="DX398" s="120"/>
      <c r="DY398" s="120"/>
      <c r="DZ398" s="120"/>
      <c r="EA398" s="120"/>
      <c r="EB398" s="120"/>
      <c r="EC398" s="120"/>
      <c r="ED398" s="120"/>
      <c r="EE398" s="120"/>
      <c r="EF398" s="120"/>
      <c r="EG398" s="120"/>
      <c r="EH398" s="120"/>
      <c r="EI398" s="120"/>
      <c r="EJ398" s="120"/>
      <c r="EK398" s="120"/>
      <c r="EL398" s="120"/>
      <c r="EM398" s="120"/>
      <c r="EN398" s="120"/>
      <c r="EO398" s="120"/>
      <c r="EP398" s="120"/>
      <c r="EQ398" s="120"/>
      <c r="ER398" s="120"/>
      <c r="ES398" s="120"/>
      <c r="ET398" s="120"/>
      <c r="EU398" s="120"/>
      <c r="EV398" s="120"/>
      <c r="EW398" s="120"/>
      <c r="EX398" s="120"/>
      <c r="EY398" s="120"/>
    </row>
    <row r="399">
      <c r="A399" s="112" t="s">
        <v>38</v>
      </c>
      <c r="B399" s="112" t="s">
        <v>98</v>
      </c>
      <c r="C399" s="112" t="s">
        <v>409</v>
      </c>
      <c r="D399" s="113">
        <f t="shared" si="1"/>
        <v>782.3331</v>
      </c>
      <c r="E399" s="114">
        <v>44.42575</v>
      </c>
      <c r="F399" s="114"/>
      <c r="G399" s="114"/>
      <c r="H399" s="114"/>
      <c r="I399" s="114"/>
      <c r="J399" s="114"/>
      <c r="K399" s="114"/>
      <c r="L399" s="114">
        <v>0.516066666666667</v>
      </c>
      <c r="M399" s="114"/>
      <c r="N399" s="114"/>
      <c r="O399" s="114">
        <v>9.15283333333333</v>
      </c>
      <c r="P399" s="112"/>
      <c r="Q399" s="112"/>
      <c r="R399" s="112">
        <v>63.10325</v>
      </c>
      <c r="S399" s="112"/>
      <c r="T399" s="112"/>
      <c r="U399" s="112"/>
      <c r="V399" s="112"/>
      <c r="W399" s="112"/>
      <c r="X399" s="112">
        <v>1.19563333333333</v>
      </c>
      <c r="Y399" s="112">
        <v>184.952283333333</v>
      </c>
      <c r="Z399" s="112"/>
      <c r="AA399" s="113"/>
      <c r="AB399" s="112"/>
      <c r="AC399" s="112"/>
      <c r="AD399" s="112"/>
      <c r="AE399" s="112">
        <v>0.952783333333333</v>
      </c>
      <c r="AF399" s="112"/>
      <c r="AG399" s="112"/>
      <c r="AH399" s="112">
        <v>291.220783333333</v>
      </c>
      <c r="AI399" s="112"/>
      <c r="AJ399" s="112"/>
      <c r="AK399" s="112"/>
      <c r="AL399" s="113"/>
      <c r="AM399" s="112"/>
      <c r="AN399" s="112">
        <v>5.10083333333333</v>
      </c>
      <c r="AO399" s="112">
        <v>63.9015833333333</v>
      </c>
      <c r="AP399" s="112"/>
      <c r="AQ399" s="113"/>
      <c r="AR399" s="112"/>
      <c r="AS399" s="112">
        <v>6.3779</v>
      </c>
      <c r="AT399" s="112">
        <v>16.0916166666667</v>
      </c>
      <c r="AU399" s="112"/>
      <c r="AV399" s="112"/>
      <c r="AW399" s="112">
        <v>2.868</v>
      </c>
      <c r="AX399" s="112">
        <v>86.0898833333333</v>
      </c>
      <c r="AY399" s="113"/>
      <c r="AZ399" s="112">
        <v>4.7645</v>
      </c>
      <c r="BA399" s="112">
        <v>1.6194</v>
      </c>
      <c r="BB399" s="113"/>
      <c r="BC399" s="113"/>
      <c r="BD399" s="113"/>
      <c r="BE399" s="113"/>
      <c r="BF399" s="113"/>
      <c r="BG399" s="113"/>
      <c r="BH399" s="113"/>
      <c r="BI399" s="113"/>
      <c r="BJ399" s="113"/>
      <c r="BK399" s="113"/>
      <c r="BL399" s="113"/>
      <c r="BM399" s="113"/>
      <c r="BN399" s="113"/>
      <c r="BO399" s="113"/>
      <c r="BP399" s="113"/>
      <c r="BQ399" s="113"/>
      <c r="BR399" s="113"/>
      <c r="BS399" s="113"/>
      <c r="BT399" s="113"/>
      <c r="BU399" s="113"/>
      <c r="BV399" s="113"/>
      <c r="BW399" s="113"/>
      <c r="BX399" s="113"/>
      <c r="BY399" s="113"/>
      <c r="BZ399" s="113"/>
      <c r="CA399" s="113"/>
      <c r="CB399" s="113"/>
      <c r="CC399" s="113"/>
      <c r="CD399" s="113"/>
      <c r="CE399" s="113"/>
      <c r="CF399" s="113"/>
      <c r="CG399" s="113"/>
      <c r="CH399" s="113"/>
      <c r="CI399" s="113"/>
      <c r="CJ399" s="113"/>
      <c r="CK399" s="113"/>
      <c r="CL399" s="113"/>
      <c r="CM399" s="113"/>
      <c r="CN399" s="113"/>
      <c r="CO399" s="113"/>
      <c r="CP399" s="113"/>
      <c r="CQ399" s="113"/>
      <c r="CR399" s="113"/>
      <c r="CS399" s="113"/>
      <c r="CT399" s="113"/>
      <c r="CU399" s="113"/>
      <c r="CV399" s="113"/>
      <c r="CW399" s="113"/>
      <c r="CX399" s="113"/>
      <c r="CY399" s="113"/>
      <c r="CZ399" s="113"/>
      <c r="DA399" s="113"/>
      <c r="DB399" s="113"/>
      <c r="DC399" s="113"/>
      <c r="DD399" s="113"/>
      <c r="DE399" s="113"/>
      <c r="DF399" s="113"/>
      <c r="DG399" s="113"/>
      <c r="DH399" s="113"/>
      <c r="DI399" s="113"/>
      <c r="DJ399" s="113"/>
      <c r="DK399" s="113"/>
      <c r="DL399" s="113"/>
      <c r="DM399" s="113"/>
      <c r="DN399" s="113"/>
      <c r="DO399" s="113"/>
      <c r="DP399" s="113"/>
      <c r="DQ399" s="113"/>
      <c r="DR399" s="113"/>
      <c r="DS399" s="113"/>
      <c r="DT399" s="113"/>
      <c r="DU399" s="113"/>
      <c r="DV399" s="113"/>
      <c r="DW399" s="113"/>
      <c r="DX399" s="113"/>
      <c r="DY399" s="113"/>
      <c r="DZ399" s="113"/>
      <c r="EA399" s="113"/>
      <c r="EB399" s="113"/>
      <c r="EC399" s="113"/>
      <c r="ED399" s="113"/>
      <c r="EE399" s="113"/>
      <c r="EF399" s="113"/>
      <c r="EG399" s="113"/>
      <c r="EH399" s="113"/>
      <c r="EI399" s="113"/>
      <c r="EJ399" s="113"/>
      <c r="EK399" s="113"/>
      <c r="EL399" s="113"/>
      <c r="EM399" s="113"/>
      <c r="EN399" s="113"/>
      <c r="EO399" s="113"/>
      <c r="EP399" s="113"/>
      <c r="EQ399" s="113"/>
      <c r="ER399" s="113"/>
      <c r="ES399" s="113"/>
      <c r="ET399" s="113"/>
      <c r="EU399" s="113"/>
      <c r="EV399" s="113"/>
      <c r="EW399" s="113"/>
      <c r="EX399" s="113"/>
      <c r="EY399" s="113"/>
    </row>
    <row r="400">
      <c r="A400" s="65" t="s">
        <v>38</v>
      </c>
      <c r="B400" s="65" t="s">
        <v>98</v>
      </c>
      <c r="C400" s="65" t="s">
        <v>410</v>
      </c>
      <c r="D400" s="64">
        <f t="shared" si="1"/>
        <v>902.8130333</v>
      </c>
      <c r="E400" s="104"/>
      <c r="F400" s="104">
        <v>24.4768666666667</v>
      </c>
      <c r="G400" s="104">
        <v>7.74873333333333</v>
      </c>
      <c r="H400" s="104">
        <v>6.04783333333333</v>
      </c>
      <c r="I400" s="104">
        <v>1.32205</v>
      </c>
      <c r="J400" s="104">
        <v>1.33933333333333</v>
      </c>
      <c r="K400" s="104">
        <v>1.0941</v>
      </c>
      <c r="L400" s="104"/>
      <c r="M400" s="104">
        <v>24.4768666666667</v>
      </c>
      <c r="N400" s="104">
        <v>7.74873333333333</v>
      </c>
      <c r="O400" s="104"/>
      <c r="P400" s="65">
        <v>6.3476</v>
      </c>
      <c r="Q400" s="65"/>
      <c r="R400" s="65"/>
      <c r="S400" s="65">
        <v>20.6814166666667</v>
      </c>
      <c r="T400" s="65">
        <v>29.7225833333333</v>
      </c>
      <c r="U400" s="65">
        <v>7.17971666666667</v>
      </c>
      <c r="V400" s="65">
        <v>1.28655</v>
      </c>
      <c r="W400" s="65">
        <v>3.40881666666667</v>
      </c>
      <c r="X400" s="65"/>
      <c r="Y400" s="65"/>
      <c r="Z400" s="65">
        <v>8.75251666666667</v>
      </c>
      <c r="AA400" s="65">
        <v>144.207583333333</v>
      </c>
      <c r="AB400" s="65">
        <v>19.3793166666667</v>
      </c>
      <c r="AC400" s="65">
        <v>2.93706666666667</v>
      </c>
      <c r="AD400" s="65">
        <v>5.17888333333333</v>
      </c>
      <c r="AE400" s="65"/>
      <c r="AF400" s="65">
        <v>8.75251666666667</v>
      </c>
      <c r="AG400" s="65">
        <v>144.207583333333</v>
      </c>
      <c r="AH400" s="65"/>
      <c r="AI400" s="65">
        <v>87.5054333333333</v>
      </c>
      <c r="AJ400" s="65">
        <v>170.636416666667</v>
      </c>
      <c r="AK400" s="65">
        <v>23.8714333333333</v>
      </c>
      <c r="AL400" s="65">
        <v>5.35768333333333</v>
      </c>
      <c r="AM400" s="65">
        <v>2.73953333333333</v>
      </c>
      <c r="AN400" s="65"/>
      <c r="AP400" s="65">
        <v>12.5377833333333</v>
      </c>
      <c r="AQ400" s="65">
        <v>11.7213666666667</v>
      </c>
      <c r="AR400" s="65">
        <v>21.0030333333333</v>
      </c>
      <c r="AT400" s="65"/>
      <c r="AU400" s="65">
        <v>2.90371666666667</v>
      </c>
      <c r="AV400" s="65">
        <v>9.88576666666667</v>
      </c>
      <c r="AY400" s="65">
        <v>78.3542000000001</v>
      </c>
    </row>
    <row r="401">
      <c r="A401" s="65" t="s">
        <v>38</v>
      </c>
      <c r="B401" s="65" t="s">
        <v>98</v>
      </c>
      <c r="C401" s="65" t="s">
        <v>411</v>
      </c>
      <c r="D401" s="64">
        <f t="shared" si="1"/>
        <v>0</v>
      </c>
      <c r="E401" s="115"/>
      <c r="F401" s="115"/>
      <c r="G401" s="115"/>
      <c r="H401" s="115"/>
      <c r="I401" s="115"/>
      <c r="J401" s="115"/>
      <c r="K401" s="115"/>
      <c r="L401" s="115"/>
      <c r="M401" s="115"/>
      <c r="N401" s="115"/>
      <c r="O401" s="115"/>
    </row>
    <row r="402">
      <c r="A402" s="65" t="s">
        <v>38</v>
      </c>
      <c r="B402" s="65" t="s">
        <v>98</v>
      </c>
      <c r="C402" s="65" t="s">
        <v>412</v>
      </c>
      <c r="D402" s="64">
        <f t="shared" si="1"/>
        <v>706.0184333</v>
      </c>
      <c r="E402" s="115"/>
      <c r="F402" s="117">
        <f>HYPERLINK("https://docs.google.com/spreadsheets/d/14rqabYD8OsA9h0M3GqwzaWFN9THhgPsy", 23.0043)</f>
        <v>23.0043</v>
      </c>
      <c r="G402" s="116">
        <f>HYPERLINK("https://docs.google.com/spreadsheets/d/1uuCyVIm2n7rMhp59I6uznnz7wuXexDuj", 7.74873333333333)</f>
        <v>7.748733333</v>
      </c>
      <c r="H402" s="116">
        <f>HYPERLINK("https://docs.google.com/spreadsheets/d/1VUu5LfAYRlU5zrSCd6V-3o1nvta3qM0y", 6.04783333333333)</f>
        <v>6.047833333</v>
      </c>
      <c r="I402" s="117">
        <f>HYPERLINK("https://docs.google.com/spreadsheets/d/1hz380EFzlFsNcBK79ratwwXn0dokHBvy", 1.32205)</f>
        <v>1.32205</v>
      </c>
      <c r="J402" s="116">
        <f>HYPERLINK("https://docs.google.com/spreadsheets/d/1t8_5tRpyH8y4Tjf6EEPr_X8fohrjDG2y", 0)</f>
        <v>0</v>
      </c>
      <c r="K402" s="117">
        <f>HYPERLINK("https://docs.google.com/spreadsheets/d/1-fsPa8xuDM4Ck7NWTF8dpo4FwUnqeljG", 1.0941)</f>
        <v>1.0941</v>
      </c>
      <c r="L402" s="115"/>
      <c r="M402" s="104"/>
      <c r="N402" s="115"/>
      <c r="O402" s="104"/>
      <c r="P402" s="118">
        <f>HYPERLINK("https://docs.google.com/spreadsheets/d/17QFn-byfhnkkam9GPfocgiUb5B8g3-2C", 6.3476)</f>
        <v>6.3476</v>
      </c>
      <c r="S402" s="118">
        <f>HYPERLINK("https://docs.google.com/spreadsheets/d/1lXlgn9to6WhFK824QBOOMuXeY2-DIU5L", 17.1534166666667)</f>
        <v>17.15341667</v>
      </c>
      <c r="T402" s="118">
        <f>HYPERLINK("https://docs.google.com/spreadsheets/d/16aeomBAYRsMyG3azli_C-PjUrpH5JkmU", 29.5667666666667)</f>
        <v>29.56676667</v>
      </c>
      <c r="U402" s="118">
        <f>HYPERLINK("https://docs.google.com/spreadsheets/d/1ANQh5pDPV3hh_mPOeNhAeM2ZX8NqHqED", 6.84136666666667)</f>
        <v>6.841366667</v>
      </c>
      <c r="V402" s="118">
        <f>HYPERLINK("https://docs.google.com/spreadsheets/d/10mvPzDYUlBNCh-4YXITXOaR65eIOr0mb", 1.28655)</f>
        <v>1.28655</v>
      </c>
      <c r="W402" s="118">
        <f>HYPERLINK("https://docs.google.com/spreadsheets/d/151BMtNuhr8bdSgMJXCQFAYZD_5DECvsk", 3.40881666666667)</f>
        <v>3.408816667</v>
      </c>
      <c r="Z402" s="118">
        <f>HYPERLINK("https://docs.google.com/spreadsheets/d/1kZEeW-chMIAufXfCa1bkjOXJ7aAQ2xEe", 8.355)</f>
        <v>8.355</v>
      </c>
      <c r="AA402" s="118">
        <f>HYPERLINK("https://docs.google.com/spreadsheets/d/1mK6TxrOSEuVuOaBlDbDdSz4aEvJ5ZYxN", 144.207566666667)</f>
        <v>144.2075667</v>
      </c>
      <c r="AB402" s="118">
        <f>HYPERLINK("https://docs.google.com/spreadsheets/d/1YwOqFDh1WqEl8TjMLPF9vNLHUTUpxXe9", 18.9319)</f>
        <v>18.9319</v>
      </c>
      <c r="AC402" s="118">
        <f>HYPERLINK("https://docs.google.com/spreadsheets/d/13XWMFm0ODc3crfxmWU6K45xeh4GMA1Nx", 2.93706666666667)</f>
        <v>2.937066667</v>
      </c>
      <c r="AD402" s="118">
        <f>HYPERLINK("https://docs.google.com/spreadsheets/d/1gDa4GMUOiGAiiDnDZo4-Wy2JVRuaaZZf", 5.17888333333333)</f>
        <v>5.178883333</v>
      </c>
      <c r="AI402" s="118">
        <f>HYPERLINK("https://docs.google.com/spreadsheets/d/17qvijwOnYhjW7bC-yE3iCifCDNh60E3j", 87.1121833333333)</f>
        <v>87.11218333</v>
      </c>
      <c r="AJ402" s="118">
        <f>HYPERLINK("https://docs.google.com/spreadsheets/d/1T2sZAmJTYyKvqQv1F5hnOETXb28UQnF-", 170.04855)</f>
        <v>170.04855</v>
      </c>
      <c r="AK402" s="118">
        <f>HYPERLINK("https://docs.google.com/spreadsheets/d/1nad8Mll13l5drlpzIoDDHWvfveTT03Nu", 23.66365)</f>
        <v>23.66365</v>
      </c>
      <c r="AL402" s="118">
        <f>HYPERLINK("https://docs.google.com/spreadsheets/d/1fH0_oCgWuYDPmz29OZqyRmRhOZmmAvAs", 5.35768333333333)</f>
        <v>5.357683333</v>
      </c>
      <c r="AM402" s="118">
        <f>HYPERLINK("https://docs.google.com/spreadsheets/d/1KfrjgHcUxYxZEjTSKOBocuqkfcrgpCkt", 2.73953333333333)</f>
        <v>2.739533333</v>
      </c>
      <c r="AP402" s="118">
        <f>HYPERLINK("https://docs.google.com/spreadsheets/d/1Pa7mFHcTQxoJ60KyB0Ck47phQnyTHTMd", 11.4139)</f>
        <v>11.4139</v>
      </c>
      <c r="AQ402" s="118">
        <f>HYPERLINK("https://docs.google.com/spreadsheets/d/100L3ifjLYG8uc5Gy498ShzEuFoIbDT8y", 10.4416666666667)</f>
        <v>10.44166667</v>
      </c>
      <c r="AR402" s="118">
        <f>HYPERLINK("https://docs.google.com/spreadsheets/d/16XULPVsNDjLyILCTEuFpYlCZfNeK1MHX", 21.0030166666667)</f>
        <v>21.00301667</v>
      </c>
      <c r="AU402" s="118">
        <f>HYPERLINK("https://docs.google.com/spreadsheets/d/1z5v829YeXODQZ198vW2YIAv4TRL7mqy3", 2.9037)</f>
        <v>2.9037</v>
      </c>
      <c r="AV402" s="118">
        <f>HYPERLINK("https://docs.google.com/spreadsheets/d/1GIyy7dbNab_B1rCVrGDATOoKelyJmj7m", 9.88575)</f>
        <v>9.88575</v>
      </c>
      <c r="AY402" s="118">
        <f>HYPERLINK("https://docs.google.com/spreadsheets/d/1mzw0UiifT9LIYuIAz-hOM7iuIYAOQbrQ", 78.0168500000001)</f>
        <v>78.01685</v>
      </c>
    </row>
    <row r="403">
      <c r="A403" s="65" t="s">
        <v>38</v>
      </c>
      <c r="B403" s="65" t="s">
        <v>98</v>
      </c>
      <c r="C403" s="65" t="s">
        <v>413</v>
      </c>
      <c r="D403" s="64">
        <f t="shared" si="1"/>
        <v>467.3047833</v>
      </c>
      <c r="E403" s="115"/>
      <c r="F403" s="104">
        <v>4.11578333333332</v>
      </c>
      <c r="G403" s="104">
        <v>0.2672</v>
      </c>
      <c r="H403" s="104">
        <v>1.10555</v>
      </c>
      <c r="I403" s="104">
        <v>0.71075</v>
      </c>
      <c r="J403" s="104">
        <v>0.0</v>
      </c>
      <c r="K403" s="104">
        <v>0.921416666666667</v>
      </c>
      <c r="L403" s="104"/>
      <c r="M403" s="104"/>
      <c r="N403" s="104"/>
      <c r="O403" s="104"/>
      <c r="P403" s="65">
        <v>5.54708333333333</v>
      </c>
      <c r="Q403" s="65"/>
      <c r="R403" s="65"/>
      <c r="S403" s="65">
        <v>11.0172833333333</v>
      </c>
      <c r="T403" s="65">
        <v>16.6746166666667</v>
      </c>
      <c r="U403" s="65">
        <v>1.79166666666667</v>
      </c>
      <c r="V403" s="65">
        <v>0.150633333333333</v>
      </c>
      <c r="W403" s="65">
        <v>3.10366666666667</v>
      </c>
      <c r="X403" s="65"/>
      <c r="Y403" s="65"/>
      <c r="Z403" s="65">
        <v>2.1118</v>
      </c>
      <c r="AA403" s="65">
        <v>88.2015333333334</v>
      </c>
      <c r="AB403" s="65">
        <v>3.15036666666667</v>
      </c>
      <c r="AC403" s="65">
        <v>0.164116666666667</v>
      </c>
      <c r="AD403" s="65">
        <v>0.823683333333332</v>
      </c>
      <c r="AE403" s="65"/>
      <c r="AF403" s="65"/>
      <c r="AG403" s="65"/>
      <c r="AH403" s="65"/>
      <c r="AI403" s="65">
        <v>58.3664</v>
      </c>
      <c r="AJ403" s="65">
        <v>143.660466666667</v>
      </c>
      <c r="AK403" s="65">
        <v>5.35898333333334</v>
      </c>
      <c r="AL403" s="65">
        <v>1.6007</v>
      </c>
      <c r="AM403" s="65">
        <v>2.73953333333333</v>
      </c>
      <c r="AN403" s="65"/>
      <c r="AP403" s="65">
        <v>9.71171666666667</v>
      </c>
      <c r="AQ403" s="65">
        <v>3.91575</v>
      </c>
      <c r="AR403" s="65">
        <v>20.7312333333333</v>
      </c>
      <c r="AT403" s="65"/>
      <c r="AU403" s="65">
        <v>0.439766666666667</v>
      </c>
      <c r="AV403" s="65">
        <v>4.10986666666666</v>
      </c>
      <c r="AY403" s="65">
        <v>76.8132166666668</v>
      </c>
    </row>
    <row r="404">
      <c r="A404" s="119" t="s">
        <v>38</v>
      </c>
      <c r="B404" s="119" t="s">
        <v>98</v>
      </c>
      <c r="C404" s="119" t="s">
        <v>414</v>
      </c>
      <c r="D404" s="120">
        <f t="shared" si="1"/>
        <v>2.9037</v>
      </c>
      <c r="E404" s="121"/>
      <c r="F404" s="122">
        <f>HYPERLINK("https://docs.google.com/spreadsheets/d/14rqabYD8OsA9h0M3GqwzaWFN9THhgPsy", 0)</f>
        <v>0</v>
      </c>
      <c r="G404" s="122">
        <f>HYPERLINK("https://docs.google.com/spreadsheets/d/1uuCyVIm2n7rMhp59I6uznnz7wuXexDuj", 0)</f>
        <v>0</v>
      </c>
      <c r="H404" s="122">
        <f>HYPERLINK("https://docs.google.com/spreadsheets/d/1VUu5LfAYRlU5zrSCd6V-3o1nvta3qM0y", 0)</f>
        <v>0</v>
      </c>
      <c r="I404" s="122">
        <f>HYPERLINK("https://docs.google.com/spreadsheets/d/1hz380EFzlFsNcBK79ratwwXn0dokHBvy", 0)</f>
        <v>0</v>
      </c>
      <c r="J404" s="127">
        <f>HYPERLINK("https://docs.google.com/spreadsheets/d/1t8_5tRpyH8y4Tjf6EEPr_X8fohrjDG2y", 0)</f>
        <v>0</v>
      </c>
      <c r="K404" s="122">
        <f>HYPERLINK("https://docs.google.com/spreadsheets/d/1-fsPa8xuDM4Ck7NWTF8dpo4FwUnqeljG", 0)</f>
        <v>0</v>
      </c>
      <c r="L404" s="121"/>
      <c r="M404" s="121"/>
      <c r="N404" s="123"/>
      <c r="O404" s="121"/>
      <c r="P404" s="124">
        <f>HYPERLINK("https://docs.google.com/spreadsheets/d/17QFn-byfhnkkam9GPfocgiUb5B8g3-2C", 0)</f>
        <v>0</v>
      </c>
      <c r="Q404" s="119"/>
      <c r="R404" s="119"/>
      <c r="S404" s="124">
        <f>HYPERLINK("https://docs.google.com/spreadsheets/d/1lXlgn9to6WhFK824QBOOMuXeY2-DIU5L", 0)</f>
        <v>0</v>
      </c>
      <c r="T404" s="125">
        <f>HYPERLINK("https://docs.google.com/spreadsheets/d/16aeomBAYRsMyG3azli_C-PjUrpH5JkmU", 0)</f>
        <v>0</v>
      </c>
      <c r="U404" s="125">
        <f>HYPERLINK("https://docs.google.com/spreadsheets/d/1ANQh5pDPV3hh_mPOeNhAeM2ZX8NqHqED", 0)</f>
        <v>0</v>
      </c>
      <c r="V404" s="124">
        <f>HYPERLINK("https://docs.google.com/spreadsheets/d/10mvPzDYUlBNCh-4YXITXOaR65eIOr0mb", 0)</f>
        <v>0</v>
      </c>
      <c r="W404" s="124">
        <f>HYPERLINK("https://docs.google.com/spreadsheets/d/151BMtNuhr8bdSgMJXCQFAYZD_5DECvsk", 0)</f>
        <v>0</v>
      </c>
      <c r="X404" s="119"/>
      <c r="Y404" s="119"/>
      <c r="Z404" s="124">
        <f>HYPERLINK("https://docs.google.com/spreadsheets/d/1kZEeW-chMIAufXfCa1bkjOXJ7aAQ2xEe", 0)</f>
        <v>0</v>
      </c>
      <c r="AA404" s="124">
        <f>HYPERLINK("https://docs.google.com/spreadsheets/d/1mK6TxrOSEuVuOaBlDbDdSz4aEvJ5ZYxN", 0)</f>
        <v>0</v>
      </c>
      <c r="AB404" s="124">
        <f>HYPERLINK("https://docs.google.com/spreadsheets/d/1YwOqFDh1WqEl8TjMLPF9vNLHUTUpxXe9", 0)</f>
        <v>0</v>
      </c>
      <c r="AC404" s="124">
        <f>HYPERLINK("https://docs.google.com/spreadsheets/d/13XWMFm0ODc3crfxmWU6K45xeh4GMA1Nx", 0)</f>
        <v>0</v>
      </c>
      <c r="AD404" s="124">
        <f>HYPERLINK("https://docs.google.com/spreadsheets/d/1gDa4GMUOiGAiiDnDZo4-Wy2JVRuaaZZf", 0)</f>
        <v>0</v>
      </c>
      <c r="AE404" s="119"/>
      <c r="AF404" s="119"/>
      <c r="AG404" s="119"/>
      <c r="AH404" s="119"/>
      <c r="AI404" s="125">
        <f>HYPERLINK("https://docs.google.com/spreadsheets/d/17qvijwOnYhjW7bC-yE3iCifCDNh60E3j", 0)</f>
        <v>0</v>
      </c>
      <c r="AJ404" s="124">
        <f>HYPERLINK("https://docs.google.com/spreadsheets/d/1T2sZAmJTYyKvqQv1F5hnOETXb28UQnF-", 0)</f>
        <v>0</v>
      </c>
      <c r="AK404" s="124">
        <f>HYPERLINK("https://docs.google.com/spreadsheets/d/1nad8Mll13l5drlpzIoDDHWvfveTT03Nu", 0)</f>
        <v>0</v>
      </c>
      <c r="AL404" s="125">
        <f>HYPERLINK("https://docs.google.com/spreadsheets/d/1fH0_oCgWuYDPmz29OZqyRmRhOZmmAvAs", 0)</f>
        <v>0</v>
      </c>
      <c r="AM404" s="124">
        <f>HYPERLINK("https://docs.google.com/spreadsheets/d/1KfrjgHcUxYxZEjTSKOBocuqkfcrgpCkt", 0)</f>
        <v>0</v>
      </c>
      <c r="AN404" s="119"/>
      <c r="AO404" s="120"/>
      <c r="AP404" s="124">
        <f>HYPERLINK("https://docs.google.com/spreadsheets/d/1Pa7mFHcTQxoJ60KyB0Ck47phQnyTHTMd", 0)</f>
        <v>0</v>
      </c>
      <c r="AQ404" s="125">
        <f>HYPERLINK("https://docs.google.com/spreadsheets/d/100L3ifjLYG8uc5Gy498ShzEuFoIbDT8y", 0)</f>
        <v>0</v>
      </c>
      <c r="AR404" s="125">
        <f>HYPERLINK("https://docs.google.com/spreadsheets/d/16XULPVsNDjLyILCTEuFpYlCZfNeK1MHX", 0)</f>
        <v>0</v>
      </c>
      <c r="AS404" s="120"/>
      <c r="AT404" s="120"/>
      <c r="AU404" s="125">
        <f>HYPERLINK("https://docs.google.com/spreadsheets/d/1z5v829YeXODQZ198vW2YIAv4TRL7mqy3", 2.9037)</f>
        <v>2.9037</v>
      </c>
      <c r="AV404" s="124">
        <f>HYPERLINK("https://docs.google.com/spreadsheets/d/1GIyy7dbNab_B1rCVrGDATOoKelyJmj7m", 0)</f>
        <v>0</v>
      </c>
      <c r="AW404" s="120"/>
      <c r="AX404" s="120"/>
      <c r="AY404" s="124">
        <f>HYPERLINK("https://docs.google.com/spreadsheets/d/1mzw0UiifT9LIYuIAz-hOM7iuIYAOQbrQ", 0)</f>
        <v>0</v>
      </c>
      <c r="AZ404" s="120"/>
      <c r="BA404" s="120"/>
      <c r="BB404" s="120"/>
      <c r="BC404" s="120"/>
      <c r="BD404" s="120"/>
      <c r="BE404" s="120"/>
      <c r="BF404" s="120"/>
      <c r="BG404" s="120"/>
      <c r="BH404" s="120"/>
      <c r="BI404" s="120"/>
      <c r="BJ404" s="120"/>
      <c r="BK404" s="120"/>
      <c r="BL404" s="120"/>
      <c r="BM404" s="120"/>
      <c r="BN404" s="120"/>
      <c r="BO404" s="120"/>
      <c r="BP404" s="120"/>
      <c r="BQ404" s="120"/>
      <c r="BR404" s="120"/>
      <c r="BS404" s="120"/>
      <c r="BT404" s="120"/>
      <c r="BU404" s="120"/>
      <c r="BV404" s="120"/>
      <c r="BW404" s="120"/>
      <c r="BX404" s="120"/>
      <c r="BY404" s="120"/>
      <c r="BZ404" s="120"/>
      <c r="CA404" s="120"/>
      <c r="CB404" s="120"/>
      <c r="CC404" s="120"/>
      <c r="CD404" s="120"/>
      <c r="CE404" s="120"/>
      <c r="CF404" s="120"/>
      <c r="CG404" s="120"/>
      <c r="CH404" s="120"/>
      <c r="CI404" s="120"/>
      <c r="CJ404" s="120"/>
      <c r="CK404" s="120"/>
      <c r="CL404" s="120"/>
      <c r="CM404" s="120"/>
      <c r="CN404" s="120"/>
      <c r="CO404" s="120"/>
      <c r="CP404" s="120"/>
      <c r="CQ404" s="120"/>
      <c r="CR404" s="120"/>
      <c r="CS404" s="120"/>
      <c r="CT404" s="120"/>
      <c r="CU404" s="120"/>
      <c r="CV404" s="120"/>
      <c r="CW404" s="120"/>
      <c r="CX404" s="120"/>
      <c r="CY404" s="120"/>
      <c r="CZ404" s="120"/>
      <c r="DA404" s="120"/>
      <c r="DB404" s="120"/>
      <c r="DC404" s="120"/>
      <c r="DD404" s="120"/>
      <c r="DE404" s="120"/>
      <c r="DF404" s="120"/>
      <c r="DG404" s="120"/>
      <c r="DH404" s="120"/>
      <c r="DI404" s="120"/>
      <c r="DJ404" s="120"/>
      <c r="DK404" s="120"/>
      <c r="DL404" s="120"/>
      <c r="DM404" s="120"/>
      <c r="DN404" s="120"/>
      <c r="DO404" s="120"/>
      <c r="DP404" s="120"/>
      <c r="DQ404" s="120"/>
      <c r="DR404" s="120"/>
      <c r="DS404" s="120"/>
      <c r="DT404" s="120"/>
      <c r="DU404" s="120"/>
      <c r="DV404" s="120"/>
      <c r="DW404" s="120"/>
      <c r="DX404" s="120"/>
      <c r="DY404" s="120"/>
      <c r="DZ404" s="120"/>
      <c r="EA404" s="120"/>
      <c r="EB404" s="120"/>
      <c r="EC404" s="120"/>
      <c r="ED404" s="120"/>
      <c r="EE404" s="120"/>
      <c r="EF404" s="120"/>
      <c r="EG404" s="120"/>
      <c r="EH404" s="120"/>
      <c r="EI404" s="120"/>
      <c r="EJ404" s="120"/>
      <c r="EK404" s="120"/>
      <c r="EL404" s="120"/>
      <c r="EM404" s="120"/>
      <c r="EN404" s="120"/>
      <c r="EO404" s="120"/>
      <c r="EP404" s="120"/>
      <c r="EQ404" s="120"/>
      <c r="ER404" s="120"/>
      <c r="ES404" s="120"/>
      <c r="ET404" s="120"/>
      <c r="EU404" s="120"/>
      <c r="EV404" s="120"/>
      <c r="EW404" s="120"/>
      <c r="EX404" s="120"/>
      <c r="EY404" s="120"/>
    </row>
    <row r="405">
      <c r="A405" s="112" t="s">
        <v>38</v>
      </c>
      <c r="B405" s="112" t="s">
        <v>39</v>
      </c>
      <c r="C405" s="112" t="s">
        <v>409</v>
      </c>
      <c r="D405" s="113">
        <f t="shared" si="1"/>
        <v>560.7474333</v>
      </c>
      <c r="E405" s="114">
        <v>113.88175</v>
      </c>
      <c r="F405" s="114"/>
      <c r="G405" s="114"/>
      <c r="H405" s="114"/>
      <c r="I405" s="114"/>
      <c r="J405" s="114"/>
      <c r="K405" s="114"/>
      <c r="L405" s="114">
        <v>1.97435</v>
      </c>
      <c r="M405" s="114"/>
      <c r="N405" s="114"/>
      <c r="O405" s="114">
        <v>20.4298166666667</v>
      </c>
      <c r="P405" s="112"/>
      <c r="Q405" s="112">
        <v>0.291366666666667</v>
      </c>
      <c r="R405" s="112">
        <v>32.0841666666667</v>
      </c>
      <c r="S405" s="112"/>
      <c r="T405" s="112"/>
      <c r="U405" s="112"/>
      <c r="V405" s="112"/>
      <c r="W405" s="112"/>
      <c r="X405" s="112">
        <v>0.149616666666667</v>
      </c>
      <c r="Y405" s="112">
        <v>91.8090166666666</v>
      </c>
      <c r="Z405" s="112"/>
      <c r="AA405" s="113"/>
      <c r="AB405" s="112"/>
      <c r="AC405" s="112"/>
      <c r="AD405" s="112"/>
      <c r="AE405" s="112">
        <v>1.37918333333333</v>
      </c>
      <c r="AF405" s="112"/>
      <c r="AG405" s="112"/>
      <c r="AH405" s="112">
        <v>202.868683333333</v>
      </c>
      <c r="AI405" s="112"/>
      <c r="AJ405" s="112"/>
      <c r="AK405" s="112"/>
      <c r="AL405" s="113"/>
      <c r="AM405" s="112"/>
      <c r="AN405" s="112">
        <v>3.58441666666667</v>
      </c>
      <c r="AO405" s="112">
        <v>22.0167666666667</v>
      </c>
      <c r="AP405" s="112"/>
      <c r="AQ405" s="113"/>
      <c r="AR405" s="112"/>
      <c r="AS405" s="112">
        <v>3.43498333333333</v>
      </c>
      <c r="AT405" s="112">
        <v>10.5810666666667</v>
      </c>
      <c r="AU405" s="112"/>
      <c r="AV405" s="112"/>
      <c r="AW405" s="112">
        <v>1.11968333333333</v>
      </c>
      <c r="AX405" s="112">
        <v>51.8055166666667</v>
      </c>
      <c r="AY405" s="113"/>
      <c r="AZ405" s="112">
        <v>3.2248</v>
      </c>
      <c r="BA405" s="112">
        <v>0.11225</v>
      </c>
      <c r="BB405" s="113"/>
      <c r="BC405" s="113"/>
      <c r="BD405" s="113"/>
      <c r="BE405" s="113"/>
      <c r="BF405" s="113"/>
      <c r="BG405" s="113"/>
      <c r="BH405" s="113"/>
      <c r="BI405" s="113"/>
      <c r="BJ405" s="113"/>
      <c r="BK405" s="113"/>
      <c r="BL405" s="113"/>
      <c r="BM405" s="113"/>
      <c r="BN405" s="113"/>
      <c r="BO405" s="113"/>
      <c r="BP405" s="113"/>
      <c r="BQ405" s="113"/>
      <c r="BR405" s="113"/>
      <c r="BS405" s="113"/>
      <c r="BT405" s="113"/>
      <c r="BU405" s="113"/>
      <c r="BV405" s="113"/>
      <c r="BW405" s="113"/>
      <c r="BX405" s="113"/>
      <c r="BY405" s="113"/>
      <c r="BZ405" s="113"/>
      <c r="CA405" s="113"/>
      <c r="CB405" s="113"/>
      <c r="CC405" s="113"/>
      <c r="CD405" s="113"/>
      <c r="CE405" s="113"/>
      <c r="CF405" s="113"/>
      <c r="CG405" s="113"/>
      <c r="CH405" s="113"/>
      <c r="CI405" s="113"/>
      <c r="CJ405" s="113"/>
      <c r="CK405" s="113"/>
      <c r="CL405" s="113"/>
      <c r="CM405" s="113"/>
      <c r="CN405" s="113"/>
      <c r="CO405" s="113"/>
      <c r="CP405" s="113"/>
      <c r="CQ405" s="113"/>
      <c r="CR405" s="113"/>
      <c r="CS405" s="113"/>
      <c r="CT405" s="113"/>
      <c r="CU405" s="113"/>
      <c r="CV405" s="113"/>
      <c r="CW405" s="113"/>
      <c r="CX405" s="113"/>
      <c r="CY405" s="113"/>
      <c r="CZ405" s="113"/>
      <c r="DA405" s="113"/>
      <c r="DB405" s="113"/>
      <c r="DC405" s="113"/>
      <c r="DD405" s="113"/>
      <c r="DE405" s="113"/>
      <c r="DF405" s="113"/>
      <c r="DG405" s="113"/>
      <c r="DH405" s="113"/>
      <c r="DI405" s="113"/>
      <c r="DJ405" s="113"/>
      <c r="DK405" s="113"/>
      <c r="DL405" s="113"/>
      <c r="DM405" s="113"/>
      <c r="DN405" s="113"/>
      <c r="DO405" s="113"/>
      <c r="DP405" s="113"/>
      <c r="DQ405" s="113"/>
      <c r="DR405" s="113"/>
      <c r="DS405" s="113"/>
      <c r="DT405" s="113"/>
      <c r="DU405" s="113"/>
      <c r="DV405" s="113"/>
      <c r="DW405" s="113"/>
      <c r="DX405" s="113"/>
      <c r="DY405" s="113"/>
      <c r="DZ405" s="113"/>
      <c r="EA405" s="113"/>
      <c r="EB405" s="113"/>
      <c r="EC405" s="113"/>
      <c r="ED405" s="113"/>
      <c r="EE405" s="113"/>
      <c r="EF405" s="113"/>
      <c r="EG405" s="113"/>
      <c r="EH405" s="113"/>
      <c r="EI405" s="113"/>
      <c r="EJ405" s="113"/>
      <c r="EK405" s="113"/>
      <c r="EL405" s="113"/>
      <c r="EM405" s="113"/>
      <c r="EN405" s="113"/>
      <c r="EO405" s="113"/>
      <c r="EP405" s="113"/>
      <c r="EQ405" s="113"/>
      <c r="ER405" s="113"/>
      <c r="ES405" s="113"/>
      <c r="ET405" s="113"/>
      <c r="EU405" s="113"/>
      <c r="EV405" s="113"/>
      <c r="EW405" s="113"/>
      <c r="EX405" s="113"/>
      <c r="EY405" s="113"/>
    </row>
    <row r="406">
      <c r="A406" s="65" t="s">
        <v>38</v>
      </c>
      <c r="B406" s="65" t="s">
        <v>39</v>
      </c>
      <c r="C406" s="65" t="s">
        <v>410</v>
      </c>
      <c r="D406" s="64">
        <f t="shared" si="1"/>
        <v>678.4569</v>
      </c>
      <c r="E406" s="104"/>
      <c r="F406" s="104">
        <v>60.9072333333334</v>
      </c>
      <c r="G406" s="104">
        <v>20.7258833333333</v>
      </c>
      <c r="H406" s="104">
        <v>10.9444666666667</v>
      </c>
      <c r="I406" s="104">
        <v>1.9989</v>
      </c>
      <c r="J406" s="104">
        <v>0.845583333333333</v>
      </c>
      <c r="K406" s="104">
        <v>12.3211</v>
      </c>
      <c r="L406" s="104"/>
      <c r="M406" s="104">
        <v>60.9072333333334</v>
      </c>
      <c r="N406" s="104">
        <v>20.7258833333333</v>
      </c>
      <c r="O406" s="104"/>
      <c r="P406" s="65">
        <v>16.10035</v>
      </c>
      <c r="Q406" s="65"/>
      <c r="R406" s="65"/>
      <c r="S406" s="65">
        <v>7.50521666666667</v>
      </c>
      <c r="T406" s="65">
        <v>16.0315166666667</v>
      </c>
      <c r="U406" s="65">
        <v>4.41058333333333</v>
      </c>
      <c r="V406" s="65">
        <v>1.01363333333333</v>
      </c>
      <c r="W406" s="65">
        <v>2.30185</v>
      </c>
      <c r="X406" s="65"/>
      <c r="Y406" s="65"/>
      <c r="Z406" s="65">
        <v>3.64813333333333</v>
      </c>
      <c r="AA406" s="65">
        <v>73.6472666666667</v>
      </c>
      <c r="AB406" s="65">
        <v>8.67556666666666</v>
      </c>
      <c r="AC406" s="65">
        <v>0.805366666666667</v>
      </c>
      <c r="AD406" s="65">
        <v>1.67656666666667</v>
      </c>
      <c r="AE406" s="65"/>
      <c r="AF406" s="65">
        <v>3.64813333333333</v>
      </c>
      <c r="AG406" s="65">
        <v>73.6472666666667</v>
      </c>
      <c r="AH406" s="65"/>
      <c r="AI406" s="65">
        <v>13.4975833333333</v>
      </c>
      <c r="AJ406" s="65">
        <v>157.695966666667</v>
      </c>
      <c r="AK406" s="65">
        <v>24.65705</v>
      </c>
      <c r="AL406" s="65">
        <v>1.06351666666667</v>
      </c>
      <c r="AM406" s="65">
        <v>4.97865</v>
      </c>
      <c r="AN406" s="65"/>
      <c r="AP406" s="65">
        <v>5.8096</v>
      </c>
      <c r="AQ406" s="65">
        <v>4.04796666666667</v>
      </c>
      <c r="AR406" s="65">
        <v>6.24401666666667</v>
      </c>
      <c r="AT406" s="65"/>
      <c r="AU406" s="65">
        <v>1.97505</v>
      </c>
      <c r="AV406" s="65">
        <v>6.05318333333333</v>
      </c>
      <c r="AY406" s="65">
        <v>49.9465833333334</v>
      </c>
    </row>
    <row r="407">
      <c r="A407" s="65" t="s">
        <v>38</v>
      </c>
      <c r="B407" s="65" t="s">
        <v>39</v>
      </c>
      <c r="C407" s="65" t="s">
        <v>411</v>
      </c>
      <c r="D407" s="64">
        <f t="shared" si="1"/>
        <v>0</v>
      </c>
      <c r="E407" s="115"/>
      <c r="F407" s="115"/>
      <c r="G407" s="115"/>
      <c r="H407" s="115"/>
      <c r="I407" s="115"/>
      <c r="J407" s="115"/>
      <c r="K407" s="115"/>
      <c r="L407" s="115"/>
      <c r="M407" s="115"/>
      <c r="N407" s="115"/>
      <c r="O407" s="115"/>
    </row>
    <row r="408">
      <c r="A408" s="65" t="s">
        <v>38</v>
      </c>
      <c r="B408" s="65" t="s">
        <v>39</v>
      </c>
      <c r="C408" s="65" t="s">
        <v>412</v>
      </c>
      <c r="D408" s="64">
        <f t="shared" si="1"/>
        <v>504.7438833</v>
      </c>
      <c r="E408" s="115"/>
      <c r="F408" s="117">
        <f>HYPERLINK("https://docs.google.com/spreadsheets/d/1rgqxogzcneY6y2c7RqrgAhzAB4lgFX1t", 56.81675)</f>
        <v>56.81675</v>
      </c>
      <c r="G408" s="116">
        <f>HYPERLINK("https://docs.google.com/spreadsheets/d/1y70MHZKXn3zA4pz4qPOIPnkI5rNtvDcw", 20.62765)</f>
        <v>20.62765</v>
      </c>
      <c r="H408" s="116">
        <f>HYPERLINK("https://docs.google.com/spreadsheets/d/1A6Y5RSd88aZDxjHfbiZThh6NH6Nujq8W", 10.9444666666667)</f>
        <v>10.94446667</v>
      </c>
      <c r="I408" s="117">
        <f>HYPERLINK("https://docs.google.com/spreadsheets/d/18gzdrsHBOjrGUnIMFa4afOAbHzmQSa-m", 1.9989)</f>
        <v>1.9989</v>
      </c>
      <c r="J408" s="116">
        <f>HYPERLINK("https://docs.google.com/spreadsheets/d/1s4dySWHE4mRix-PXgUvzdOhGiHLMPDzC", 0.67045)</f>
        <v>0.67045</v>
      </c>
      <c r="K408" s="117">
        <f>HYPERLINK("https://docs.google.com/spreadsheets/d/1lJPTZaPDowGDNefI9kIu7Da1QGjXfRSs", 12.3211)</f>
        <v>12.3211</v>
      </c>
      <c r="L408" s="115"/>
      <c r="M408" s="104"/>
      <c r="N408" s="115"/>
      <c r="O408" s="104"/>
      <c r="P408" s="118">
        <f>HYPERLINK("https://docs.google.com/spreadsheets/d/1W5QYIO25rfFAGKTzn0DhrFoFHlvujb7F", 16.10035)</f>
        <v>16.10035</v>
      </c>
      <c r="S408" s="118">
        <f>HYPERLINK("https://docs.google.com/spreadsheets/d/1cxPjhX31myQ4XdCJ8c0UaSKo_Ew5G0jk", 6.1846)</f>
        <v>6.1846</v>
      </c>
      <c r="T408" s="118">
        <f>HYPERLINK("https://docs.google.com/spreadsheets/d/1TJwwBoEElJd-BgmfJymKtWRvyC9z6pFk", 16.0315166666667)</f>
        <v>16.03151667</v>
      </c>
      <c r="U408" s="118">
        <f>HYPERLINK("https://docs.google.com/spreadsheets/d/13RO3oTmBpZ-VdNucxKsS9iZClaaO1Viz", 4.21926666666667)</f>
        <v>4.219266667</v>
      </c>
      <c r="V408" s="118">
        <f>HYPERLINK("https://docs.google.com/spreadsheets/d/1fmT2ALqgehVkFgN_Ch_XtwgVO-hKkOom", 0.705483333333333)</f>
        <v>0.7054833333</v>
      </c>
      <c r="W408" s="118">
        <f>HYPERLINK("https://docs.google.com/spreadsheets/d/15cdgV4mLWqlp1yBYXuWo2yaBkt9sGz_z", 2.30185)</f>
        <v>2.30185</v>
      </c>
      <c r="Z408" s="118">
        <f>HYPERLINK("https://docs.google.com/spreadsheets/d/1BdqOPhDpwglw4wQnOZM1Kx2YhDpyYDk1", 2.2851)</f>
        <v>2.2851</v>
      </c>
      <c r="AA408" s="118">
        <f>HYPERLINK("https://docs.google.com/spreadsheets/d/1vU9AWr0iPseyCKEB7dHLKbClqb3L-jlT", 73.6472333333333)</f>
        <v>73.64723333</v>
      </c>
      <c r="AB408" s="118">
        <f>HYPERLINK("https://docs.google.com/spreadsheets/d/1kQZIo5cTcFIffzmfDz7Vcy_Bu7GCwdNs", 8.65363333333333)</f>
        <v>8.653633333</v>
      </c>
      <c r="AC408" s="118">
        <f>HYPERLINK("https://docs.google.com/spreadsheets/d/1nL6TWu7_9KiBrv2bD7CUMaepPUruts_o", 0.805383333333333)</f>
        <v>0.8053833333</v>
      </c>
      <c r="AD408" s="118">
        <f>HYPERLINK("https://docs.google.com/spreadsheets/d/10iLNeJz1F7zdOevV3L4UPXdTRQJmJTvu", 1.67656666666667)</f>
        <v>1.676566667</v>
      </c>
      <c r="AI408" s="118">
        <f>HYPERLINK("https://docs.google.com/spreadsheets/d/1sIiwOJG7auviopBULDTbcxJvTcQSITuA", 7.11788333333333)</f>
        <v>7.117883333</v>
      </c>
      <c r="AJ408" s="118">
        <f>HYPERLINK("https://docs.google.com/spreadsheets/d/1JgfVY9-A7fuQSD7uNocbDX7gmeBbG1UF", 157.657583333333)</f>
        <v>157.6575833</v>
      </c>
      <c r="AK408" s="118">
        <f>HYPERLINK("https://docs.google.com/spreadsheets/d/1-J-c9opj7gO_N7gDkzQED25VPSpcQrYp", 24.4075666666667)</f>
        <v>24.40756667</v>
      </c>
      <c r="AL408" s="118">
        <f>HYPERLINK("https://docs.google.com/spreadsheets/d/1OLcBmESzl0rfDSE7OAWumOy9UZhtJpAI", 1.06351666666667)</f>
        <v>1.063516667</v>
      </c>
      <c r="AM408" s="118">
        <f>HYPERLINK("https://docs.google.com/spreadsheets/d/1SWgOyjKYMRFWPRLiKijVQyG3ot9gG3WJ", 4.97865)</f>
        <v>4.97865</v>
      </c>
      <c r="AP408" s="118">
        <f>HYPERLINK("https://docs.google.com/spreadsheets/d/1z9EprvZeBsiYoE9i64SrLMSFpjXJmj6v", 5.39173333333333)</f>
        <v>5.391733333</v>
      </c>
      <c r="AQ408" s="118">
        <f>HYPERLINK("https://docs.google.com/spreadsheets/d/1XpcK39J-8fd7EKOgAEUbenY_jr9Xzyvc", 4.04796666666667)</f>
        <v>4.047966667</v>
      </c>
      <c r="AR408" s="118">
        <f>HYPERLINK("https://docs.google.com/spreadsheets/d/1nMeC9fYy2uwprTmE0wEqAr97a998vXmc", 6.24401666666667)</f>
        <v>6.244016667</v>
      </c>
      <c r="AU408" s="118">
        <f>HYPERLINK("https://docs.google.com/spreadsheets/d/1z9AEZoAoMKvFSafcuHxY9eX53xjkEfBK", 1.97505)</f>
        <v>1.97505</v>
      </c>
      <c r="AV408" s="118">
        <f>HYPERLINK("https://docs.google.com/spreadsheets/d/1VHbmELp4WQnc4pHh7VLWJOxyeh7-gSwR", 6.05316666666667)</f>
        <v>6.053166667</v>
      </c>
      <c r="AY408" s="118">
        <f>HYPERLINK("https://docs.google.com/spreadsheets/d/1eL3A6rgbp4joxiH3AWb4V6dh81RAxxFx", 49.81645)</f>
        <v>49.81645</v>
      </c>
    </row>
    <row r="409">
      <c r="A409" s="65" t="s">
        <v>38</v>
      </c>
      <c r="B409" s="65" t="s">
        <v>39</v>
      </c>
      <c r="C409" s="65" t="s">
        <v>413</v>
      </c>
      <c r="D409" s="64">
        <f t="shared" si="1"/>
        <v>360.0595333</v>
      </c>
      <c r="E409" s="115"/>
      <c r="F409" s="104">
        <v>11.9914333333334</v>
      </c>
      <c r="G409" s="104">
        <v>1.74668333333333</v>
      </c>
      <c r="H409" s="104">
        <v>3.68058333333333</v>
      </c>
      <c r="I409" s="104">
        <v>0.510216666666667</v>
      </c>
      <c r="J409" s="104">
        <v>0.0431833333333332</v>
      </c>
      <c r="K409" s="104">
        <v>12.3211</v>
      </c>
      <c r="L409" s="104"/>
      <c r="M409" s="104"/>
      <c r="N409" s="104"/>
      <c r="O409" s="104"/>
      <c r="P409" s="65">
        <v>14.3316166666667</v>
      </c>
      <c r="Q409" s="65"/>
      <c r="R409" s="65"/>
      <c r="S409" s="65">
        <v>4.0171</v>
      </c>
      <c r="T409" s="65">
        <v>16.0315166666667</v>
      </c>
      <c r="U409" s="65">
        <v>1.20396666666667</v>
      </c>
      <c r="V409" s="65">
        <v>0.0</v>
      </c>
      <c r="W409" s="65">
        <v>2.30185</v>
      </c>
      <c r="X409" s="65"/>
      <c r="Y409" s="65"/>
      <c r="Z409" s="65">
        <v>0.426883333333333</v>
      </c>
      <c r="AA409" s="65">
        <v>50.6839</v>
      </c>
      <c r="AB409" s="65">
        <v>1.57558333333333</v>
      </c>
      <c r="AC409" s="65">
        <v>0.0801666666666667</v>
      </c>
      <c r="AD409" s="65">
        <v>0.566016666666667</v>
      </c>
      <c r="AE409" s="65"/>
      <c r="AF409" s="65"/>
      <c r="AG409" s="65"/>
      <c r="AH409" s="65"/>
      <c r="AI409" s="65">
        <v>5.00331666666667</v>
      </c>
      <c r="AJ409" s="65">
        <v>157.0251</v>
      </c>
      <c r="AK409" s="65">
        <v>7.14960000000002</v>
      </c>
      <c r="AL409" s="65">
        <v>0.184266666666667</v>
      </c>
      <c r="AM409" s="65">
        <v>4.97865</v>
      </c>
      <c r="AN409" s="65"/>
      <c r="AP409" s="65">
        <v>5.39173333333333</v>
      </c>
      <c r="AQ409" s="65">
        <v>0.0</v>
      </c>
      <c r="AR409" s="65">
        <v>6.24401666666667</v>
      </c>
      <c r="AT409" s="65"/>
      <c r="AU409" s="65">
        <v>0.506983333333333</v>
      </c>
      <c r="AV409" s="65">
        <v>2.24761666666667</v>
      </c>
      <c r="AY409" s="65">
        <v>49.81645</v>
      </c>
    </row>
    <row r="410">
      <c r="A410" s="119" t="s">
        <v>38</v>
      </c>
      <c r="B410" s="119" t="s">
        <v>39</v>
      </c>
      <c r="C410" s="119" t="s">
        <v>414</v>
      </c>
      <c r="D410" s="120">
        <f t="shared" si="1"/>
        <v>1.97505</v>
      </c>
      <c r="E410" s="121"/>
      <c r="F410" s="122">
        <f>HYPERLINK("https://docs.google.com/spreadsheets/d/1rgqxogzcneY6y2c7RqrgAhzAB4lgFX1t", 0)</f>
        <v>0</v>
      </c>
      <c r="G410" s="122">
        <f>HYPERLINK("https://docs.google.com/spreadsheets/d/1y70MHZKXn3zA4pz4qPOIPnkI5rNtvDcw", 0)</f>
        <v>0</v>
      </c>
      <c r="H410" s="122">
        <f>HYPERLINK("https://docs.google.com/spreadsheets/d/1A6Y5RSd88aZDxjHfbiZThh6NH6Nujq8W", 0)</f>
        <v>0</v>
      </c>
      <c r="I410" s="122">
        <f>HYPERLINK("https://docs.google.com/spreadsheets/d/18gzdrsHBOjrGUnIMFa4afOAbHzmQSa-m", 0)</f>
        <v>0</v>
      </c>
      <c r="J410" s="122">
        <f>HYPERLINK("https://docs.google.com/spreadsheets/d/1s4dySWHE4mRix-PXgUvzdOhGiHLMPDzC", 0)</f>
        <v>0</v>
      </c>
      <c r="K410" s="122">
        <f>HYPERLINK("https://docs.google.com/spreadsheets/d/1lJPTZaPDowGDNefI9kIu7Da1QGjXfRSs", 0)</f>
        <v>0</v>
      </c>
      <c r="L410" s="121"/>
      <c r="M410" s="121"/>
      <c r="N410" s="123"/>
      <c r="O410" s="121"/>
      <c r="P410" s="124">
        <f>HYPERLINK("https://docs.google.com/spreadsheets/d/1W5QYIO25rfFAGKTzn0DhrFoFHlvujb7F", 0)</f>
        <v>0</v>
      </c>
      <c r="Q410" s="119"/>
      <c r="R410" s="120"/>
      <c r="S410" s="124">
        <f>HYPERLINK("https://docs.google.com/spreadsheets/d/1cxPjhX31myQ4XdCJ8c0UaSKo_Ew5G0jk", 0)</f>
        <v>0</v>
      </c>
      <c r="T410" s="125">
        <f>HYPERLINK("https://docs.google.com/spreadsheets/d/1TJwwBoEElJd-BgmfJymKtWRvyC9z6pFk", 0)</f>
        <v>0</v>
      </c>
      <c r="U410" s="125">
        <f>HYPERLINK("https://docs.google.com/spreadsheets/d/13RO3oTmBpZ-VdNucxKsS9iZClaaO1Viz", 0)</f>
        <v>0</v>
      </c>
      <c r="V410" s="124">
        <f>HYPERLINK("https://docs.google.com/spreadsheets/d/1fmT2ALqgehVkFgN_Ch_XtwgVO-hKkOom", 0)</f>
        <v>0</v>
      </c>
      <c r="W410" s="124">
        <f>HYPERLINK("https://docs.google.com/spreadsheets/d/15cdgV4mLWqlp1yBYXuWo2yaBkt9sGz_z", 0)</f>
        <v>0</v>
      </c>
      <c r="X410" s="119"/>
      <c r="Y410" s="119"/>
      <c r="Z410" s="124">
        <f>HYPERLINK("https://docs.google.com/spreadsheets/d/1BdqOPhDpwglw4wQnOZM1Kx2YhDpyYDk1", 0)</f>
        <v>0</v>
      </c>
      <c r="AA410" s="124">
        <f>HYPERLINK("https://docs.google.com/spreadsheets/d/1vU9AWr0iPseyCKEB7dHLKbClqb3L-jlT", 0)</f>
        <v>0</v>
      </c>
      <c r="AB410" s="124">
        <f>HYPERLINK("https://docs.google.com/spreadsheets/d/1kQZIo5cTcFIffzmfDz7Vcy_Bu7GCwdNs", 0)</f>
        <v>0</v>
      </c>
      <c r="AC410" s="124">
        <f>HYPERLINK("https://docs.google.com/spreadsheets/d/1nL6TWu7_9KiBrv2bD7CUMaepPUruts_o", 0)</f>
        <v>0</v>
      </c>
      <c r="AD410" s="124">
        <f>HYPERLINK("https://docs.google.com/spreadsheets/d/10iLNeJz1F7zdOevV3L4UPXdTRQJmJTvu", 0)</f>
        <v>0</v>
      </c>
      <c r="AE410" s="119"/>
      <c r="AF410" s="119"/>
      <c r="AG410" s="119"/>
      <c r="AH410" s="119"/>
      <c r="AI410" s="125">
        <f>HYPERLINK("https://docs.google.com/spreadsheets/d/1sIiwOJG7auviopBULDTbcxJvTcQSITuA", 0)</f>
        <v>0</v>
      </c>
      <c r="AJ410" s="124">
        <f>HYPERLINK("https://docs.google.com/spreadsheets/d/1JgfVY9-A7fuQSD7uNocbDX7gmeBbG1UF", 0)</f>
        <v>0</v>
      </c>
      <c r="AK410" s="124">
        <f>HYPERLINK("https://docs.google.com/spreadsheets/d/1-J-c9opj7gO_N7gDkzQED25VPSpcQrYp", 0)</f>
        <v>0</v>
      </c>
      <c r="AL410" s="125">
        <f>HYPERLINK("https://docs.google.com/spreadsheets/d/1OLcBmESzl0rfDSE7OAWumOy9UZhtJpAI", 0)</f>
        <v>0</v>
      </c>
      <c r="AM410" s="124">
        <f>HYPERLINK("https://docs.google.com/spreadsheets/d/1SWgOyjKYMRFWPRLiKijVQyG3ot9gG3WJ", 0)</f>
        <v>0</v>
      </c>
      <c r="AN410" s="119"/>
      <c r="AO410" s="120"/>
      <c r="AP410" s="124">
        <f>HYPERLINK("https://docs.google.com/spreadsheets/d/1z9EprvZeBsiYoE9i64SrLMSFpjXJmj6v", 0)</f>
        <v>0</v>
      </c>
      <c r="AQ410" s="125">
        <f>HYPERLINK("https://docs.google.com/spreadsheets/d/1XpcK39J-8fd7EKOgAEUbenY_jr9Xzyvc", 0)</f>
        <v>0</v>
      </c>
      <c r="AR410" s="125">
        <f>HYPERLINK("https://docs.google.com/spreadsheets/d/1nMeC9fYy2uwprTmE0wEqAr97a998vXmc", 0)</f>
        <v>0</v>
      </c>
      <c r="AS410" s="120"/>
      <c r="AT410" s="120"/>
      <c r="AU410" s="124">
        <f>HYPERLINK("https://docs.google.com/spreadsheets/d/1z9AEZoAoMKvFSafcuHxY9eX53xjkEfBK", 1.97505)</f>
        <v>1.97505</v>
      </c>
      <c r="AV410" s="124">
        <f>HYPERLINK("https://docs.google.com/spreadsheets/d/1VHbmELp4WQnc4pHh7VLWJOxyeh7-gSwR", 0)</f>
        <v>0</v>
      </c>
      <c r="AW410" s="120"/>
      <c r="AX410" s="120"/>
      <c r="AY410" s="124">
        <f>HYPERLINK("https://docs.google.com/spreadsheets/d/1eL3A6rgbp4joxiH3AWb4V6dh81RAxxFx", 0)</f>
        <v>0</v>
      </c>
      <c r="AZ410" s="120"/>
      <c r="BA410" s="120"/>
      <c r="BB410" s="120"/>
      <c r="BC410" s="120"/>
      <c r="BD410" s="120"/>
      <c r="BE410" s="120"/>
      <c r="BF410" s="120"/>
      <c r="BG410" s="120"/>
      <c r="BH410" s="120"/>
      <c r="BI410" s="120"/>
      <c r="BJ410" s="120"/>
      <c r="BK410" s="120"/>
      <c r="BL410" s="120"/>
      <c r="BM410" s="120"/>
      <c r="BN410" s="120"/>
      <c r="BO410" s="120"/>
      <c r="BP410" s="120"/>
      <c r="BQ410" s="120"/>
      <c r="BR410" s="120"/>
      <c r="BS410" s="120"/>
      <c r="BT410" s="120"/>
      <c r="BU410" s="120"/>
      <c r="BV410" s="120"/>
      <c r="BW410" s="120"/>
      <c r="BX410" s="120"/>
      <c r="BY410" s="120"/>
      <c r="BZ410" s="120"/>
      <c r="CA410" s="120"/>
      <c r="CB410" s="120"/>
      <c r="CC410" s="120"/>
      <c r="CD410" s="120"/>
      <c r="CE410" s="120"/>
      <c r="CF410" s="120"/>
      <c r="CG410" s="120"/>
      <c r="CH410" s="120"/>
      <c r="CI410" s="120"/>
      <c r="CJ410" s="120"/>
      <c r="CK410" s="120"/>
      <c r="CL410" s="120"/>
      <c r="CM410" s="120"/>
      <c r="CN410" s="120"/>
      <c r="CO410" s="120"/>
      <c r="CP410" s="120"/>
      <c r="CQ410" s="120"/>
      <c r="CR410" s="120"/>
      <c r="CS410" s="120"/>
      <c r="CT410" s="120"/>
      <c r="CU410" s="120"/>
      <c r="CV410" s="120"/>
      <c r="CW410" s="120"/>
      <c r="CX410" s="120"/>
      <c r="CY410" s="120"/>
      <c r="CZ410" s="120"/>
      <c r="DA410" s="120"/>
      <c r="DB410" s="120"/>
      <c r="DC410" s="120"/>
      <c r="DD410" s="120"/>
      <c r="DE410" s="120"/>
      <c r="DF410" s="120"/>
      <c r="DG410" s="120"/>
      <c r="DH410" s="120"/>
      <c r="DI410" s="120"/>
      <c r="DJ410" s="120"/>
      <c r="DK410" s="120"/>
      <c r="DL410" s="120"/>
      <c r="DM410" s="120"/>
      <c r="DN410" s="120"/>
      <c r="DO410" s="120"/>
      <c r="DP410" s="120"/>
      <c r="DQ410" s="120"/>
      <c r="DR410" s="120"/>
      <c r="DS410" s="120"/>
      <c r="DT410" s="120"/>
      <c r="DU410" s="120"/>
      <c r="DV410" s="120"/>
      <c r="DW410" s="120"/>
      <c r="DX410" s="120"/>
      <c r="DY410" s="120"/>
      <c r="DZ410" s="120"/>
      <c r="EA410" s="120"/>
      <c r="EB410" s="120"/>
      <c r="EC410" s="120"/>
      <c r="ED410" s="120"/>
      <c r="EE410" s="120"/>
      <c r="EF410" s="120"/>
      <c r="EG410" s="120"/>
      <c r="EH410" s="120"/>
      <c r="EI410" s="120"/>
      <c r="EJ410" s="120"/>
      <c r="EK410" s="120"/>
      <c r="EL410" s="120"/>
      <c r="EM410" s="120"/>
      <c r="EN410" s="120"/>
      <c r="EO410" s="120"/>
      <c r="EP410" s="120"/>
      <c r="EQ410" s="120"/>
      <c r="ER410" s="120"/>
      <c r="ES410" s="120"/>
      <c r="ET410" s="120"/>
      <c r="EU410" s="120"/>
      <c r="EV410" s="120"/>
      <c r="EW410" s="120"/>
      <c r="EX410" s="120"/>
      <c r="EY410" s="120"/>
    </row>
    <row r="411">
      <c r="A411" s="112" t="s">
        <v>38</v>
      </c>
      <c r="B411" s="112" t="s">
        <v>99</v>
      </c>
      <c r="C411" s="112" t="s">
        <v>409</v>
      </c>
      <c r="D411" s="113">
        <f t="shared" si="1"/>
        <v>567.7417833</v>
      </c>
      <c r="E411" s="114">
        <v>116.253183333333</v>
      </c>
      <c r="F411" s="114"/>
      <c r="G411" s="114"/>
      <c r="H411" s="114"/>
      <c r="I411" s="114"/>
      <c r="J411" s="114"/>
      <c r="K411" s="114"/>
      <c r="L411" s="114">
        <v>1.01225</v>
      </c>
      <c r="M411" s="114"/>
      <c r="N411" s="114"/>
      <c r="O411" s="114">
        <v>33.4313</v>
      </c>
      <c r="P411" s="112"/>
      <c r="Q411" s="112">
        <v>0.23865</v>
      </c>
      <c r="R411" s="112">
        <v>68.7649833333333</v>
      </c>
      <c r="S411" s="112"/>
      <c r="T411" s="112"/>
      <c r="U411" s="112"/>
      <c r="V411" s="112"/>
      <c r="W411" s="112"/>
      <c r="X411" s="112">
        <v>1.33265</v>
      </c>
      <c r="Y411" s="112">
        <v>87.8338500000001</v>
      </c>
      <c r="Z411" s="112"/>
      <c r="AA411" s="113"/>
      <c r="AB411" s="112"/>
      <c r="AC411" s="112"/>
      <c r="AD411" s="112"/>
      <c r="AE411" s="112">
        <v>2.06488333333333</v>
      </c>
      <c r="AF411" s="112"/>
      <c r="AG411" s="112"/>
      <c r="AH411" s="112">
        <v>105.958666666667</v>
      </c>
      <c r="AI411" s="112"/>
      <c r="AJ411" s="112"/>
      <c r="AK411" s="112"/>
      <c r="AL411" s="113"/>
      <c r="AM411" s="112"/>
      <c r="AN411" s="112">
        <v>2.45885</v>
      </c>
      <c r="AO411" s="112">
        <v>81.9878166666666</v>
      </c>
      <c r="AP411" s="112"/>
      <c r="AQ411" s="113"/>
      <c r="AR411" s="112"/>
      <c r="AS411" s="112">
        <v>5.05505</v>
      </c>
      <c r="AT411" s="112">
        <v>10.7618333333333</v>
      </c>
      <c r="AU411" s="112"/>
      <c r="AV411" s="112"/>
      <c r="AW411" s="112">
        <v>2.76975</v>
      </c>
      <c r="AX411" s="112">
        <v>45.3236833333333</v>
      </c>
      <c r="AY411" s="113"/>
      <c r="AZ411" s="112">
        <v>1.67208333333333</v>
      </c>
      <c r="BA411" s="112">
        <v>0.8223</v>
      </c>
      <c r="BB411" s="113"/>
      <c r="BC411" s="113"/>
      <c r="BD411" s="113"/>
      <c r="BE411" s="113"/>
      <c r="BF411" s="113"/>
      <c r="BG411" s="113"/>
      <c r="BH411" s="113"/>
      <c r="BI411" s="113"/>
      <c r="BJ411" s="113"/>
      <c r="BK411" s="113"/>
      <c r="BL411" s="113"/>
      <c r="BM411" s="113"/>
      <c r="BN411" s="113"/>
      <c r="BO411" s="113"/>
      <c r="BP411" s="113"/>
      <c r="BQ411" s="113"/>
      <c r="BR411" s="113"/>
      <c r="BS411" s="113"/>
      <c r="BT411" s="113"/>
      <c r="BU411" s="113"/>
      <c r="BV411" s="113"/>
      <c r="BW411" s="113"/>
      <c r="BX411" s="113"/>
      <c r="BY411" s="113"/>
      <c r="BZ411" s="113"/>
      <c r="CA411" s="113"/>
      <c r="CB411" s="113"/>
      <c r="CC411" s="113"/>
      <c r="CD411" s="113"/>
      <c r="CE411" s="113"/>
      <c r="CF411" s="113"/>
      <c r="CG411" s="113"/>
      <c r="CH411" s="113"/>
      <c r="CI411" s="113"/>
      <c r="CJ411" s="113"/>
      <c r="CK411" s="113"/>
      <c r="CL411" s="113"/>
      <c r="CM411" s="113"/>
      <c r="CN411" s="113"/>
      <c r="CO411" s="113"/>
      <c r="CP411" s="113"/>
      <c r="CQ411" s="113"/>
      <c r="CR411" s="113"/>
      <c r="CS411" s="113"/>
      <c r="CT411" s="113"/>
      <c r="CU411" s="113"/>
      <c r="CV411" s="113"/>
      <c r="CW411" s="113"/>
      <c r="CX411" s="113"/>
      <c r="CY411" s="113"/>
      <c r="CZ411" s="113"/>
      <c r="DA411" s="113"/>
      <c r="DB411" s="113"/>
      <c r="DC411" s="113"/>
      <c r="DD411" s="113"/>
      <c r="DE411" s="113"/>
      <c r="DF411" s="113"/>
      <c r="DG411" s="113"/>
      <c r="DH411" s="113"/>
      <c r="DI411" s="113"/>
      <c r="DJ411" s="113"/>
      <c r="DK411" s="113"/>
      <c r="DL411" s="113"/>
      <c r="DM411" s="113"/>
      <c r="DN411" s="113"/>
      <c r="DO411" s="113"/>
      <c r="DP411" s="113"/>
      <c r="DQ411" s="113"/>
      <c r="DR411" s="113"/>
      <c r="DS411" s="113"/>
      <c r="DT411" s="113"/>
      <c r="DU411" s="113"/>
      <c r="DV411" s="113"/>
      <c r="DW411" s="113"/>
      <c r="DX411" s="113"/>
      <c r="DY411" s="113"/>
      <c r="DZ411" s="113"/>
      <c r="EA411" s="113"/>
      <c r="EB411" s="113"/>
      <c r="EC411" s="113"/>
      <c r="ED411" s="113"/>
      <c r="EE411" s="113"/>
      <c r="EF411" s="113"/>
      <c r="EG411" s="113"/>
      <c r="EH411" s="113"/>
      <c r="EI411" s="113"/>
      <c r="EJ411" s="113"/>
      <c r="EK411" s="113"/>
      <c r="EL411" s="113"/>
      <c r="EM411" s="113"/>
      <c r="EN411" s="113"/>
      <c r="EO411" s="113"/>
      <c r="EP411" s="113"/>
      <c r="EQ411" s="113"/>
      <c r="ER411" s="113"/>
      <c r="ES411" s="113"/>
      <c r="ET411" s="113"/>
      <c r="EU411" s="113"/>
      <c r="EV411" s="113"/>
      <c r="EW411" s="113"/>
      <c r="EX411" s="113"/>
      <c r="EY411" s="113"/>
    </row>
    <row r="412">
      <c r="A412" s="65" t="s">
        <v>38</v>
      </c>
      <c r="B412" s="65" t="s">
        <v>99</v>
      </c>
      <c r="C412" s="65" t="s">
        <v>410</v>
      </c>
      <c r="D412" s="64">
        <f t="shared" si="1"/>
        <v>667.07185</v>
      </c>
      <c r="E412" s="104"/>
      <c r="F412" s="104">
        <v>33.6000333333333</v>
      </c>
      <c r="G412" s="104">
        <v>52.4892833333333</v>
      </c>
      <c r="H412" s="104">
        <v>17.5337</v>
      </c>
      <c r="I412" s="104">
        <v>2.2498</v>
      </c>
      <c r="J412" s="104">
        <v>0.774016666666667</v>
      </c>
      <c r="K412" s="104">
        <v>7.44255</v>
      </c>
      <c r="L412" s="104"/>
      <c r="M412" s="104">
        <v>33.6000333333333</v>
      </c>
      <c r="N412" s="104">
        <v>52.4892833333333</v>
      </c>
      <c r="O412" s="104"/>
      <c r="P412" s="65">
        <v>30.25755</v>
      </c>
      <c r="Q412" s="65"/>
      <c r="R412" s="65"/>
      <c r="S412" s="65">
        <v>17.9369166666667</v>
      </c>
      <c r="T412" s="65">
        <v>35.4268333333333</v>
      </c>
      <c r="U412" s="65">
        <v>8.2634</v>
      </c>
      <c r="V412" s="65">
        <v>2.26033333333333</v>
      </c>
      <c r="W412" s="65">
        <v>1.59656666666667</v>
      </c>
      <c r="X412" s="65"/>
      <c r="Y412" s="65"/>
      <c r="Z412" s="65">
        <v>11.7323333333333</v>
      </c>
      <c r="AA412" s="65">
        <v>57.4406666666667</v>
      </c>
      <c r="AB412" s="65">
        <v>9.80935</v>
      </c>
      <c r="AC412" s="65">
        <v>2.82833333333333</v>
      </c>
      <c r="AD412" s="65">
        <v>4.98605</v>
      </c>
      <c r="AE412" s="65"/>
      <c r="AF412" s="65">
        <v>11.7323333333333</v>
      </c>
      <c r="AG412" s="65">
        <v>57.4406666666667</v>
      </c>
      <c r="AH412" s="65"/>
      <c r="AI412" s="65">
        <v>21.27885</v>
      </c>
      <c r="AJ412" s="65">
        <v>66.46605</v>
      </c>
      <c r="AK412" s="65">
        <v>10.3307166666667</v>
      </c>
      <c r="AL412" s="65">
        <v>1.55628333333333</v>
      </c>
      <c r="AM412" s="65">
        <v>4.50768333333333</v>
      </c>
      <c r="AN412" s="65"/>
      <c r="AP412" s="65">
        <v>25.532</v>
      </c>
      <c r="AQ412" s="65">
        <v>16.6167833333333</v>
      </c>
      <c r="AR412" s="65">
        <v>15.35315</v>
      </c>
      <c r="AT412" s="65"/>
      <c r="AU412" s="65">
        <v>3.22706666666667</v>
      </c>
      <c r="AV412" s="65">
        <v>5.58926666666667</v>
      </c>
      <c r="AY412" s="65">
        <v>44.7239666666667</v>
      </c>
    </row>
    <row r="413">
      <c r="A413" s="65" t="s">
        <v>38</v>
      </c>
      <c r="B413" s="65" t="s">
        <v>99</v>
      </c>
      <c r="C413" s="65" t="s">
        <v>411</v>
      </c>
      <c r="D413" s="64">
        <f t="shared" si="1"/>
        <v>0</v>
      </c>
      <c r="E413" s="115"/>
      <c r="F413" s="115"/>
      <c r="G413" s="115"/>
      <c r="H413" s="115"/>
      <c r="I413" s="115"/>
      <c r="J413" s="115"/>
      <c r="K413" s="115"/>
      <c r="L413" s="115"/>
      <c r="M413" s="115"/>
      <c r="N413" s="115"/>
      <c r="O413" s="115"/>
    </row>
    <row r="414">
      <c r="A414" s="65" t="s">
        <v>38</v>
      </c>
      <c r="B414" s="65" t="s">
        <v>99</v>
      </c>
      <c r="C414" s="65" t="s">
        <v>412</v>
      </c>
      <c r="D414" s="64">
        <f t="shared" si="1"/>
        <v>497.12315</v>
      </c>
      <c r="E414" s="115"/>
      <c r="F414" s="117">
        <f>HYPERLINK("https://docs.google.com/spreadsheets/d/1rdg2wyN5ZHeTgbH1-8y-JB3PtL4o8uAW", 32.76195)</f>
        <v>32.76195</v>
      </c>
      <c r="G414" s="116">
        <f>HYPERLINK("https://docs.google.com/spreadsheets/d/1qosIy--fiPmWHpZi6MC6Js14fQYD8dxM", 52.48925)</f>
        <v>52.48925</v>
      </c>
      <c r="H414" s="116">
        <f>HYPERLINK("https://docs.google.com/spreadsheets/d/1N_w3G223ePydA2qlyOqxWMJ26HtMxmJi", 17.4329166666667)</f>
        <v>17.43291667</v>
      </c>
      <c r="I414" s="117">
        <f>HYPERLINK("https://docs.google.com/spreadsheets/d/1aQ0mbB1nKAJtS0N6dKKGGAdfnbbnEaYc", 2.2498)</f>
        <v>2.2498</v>
      </c>
      <c r="J414" s="116">
        <f>HYPERLINK("https://docs.google.com/spreadsheets/d/1RH5E5p7nzA-XZr3xfgSIj5Ta-un6USPN", 0.296733333333333)</f>
        <v>0.2967333333</v>
      </c>
      <c r="K414" s="117">
        <f>HYPERLINK("https://docs.google.com/spreadsheets/d/1ByOZUn2FrKebcbb55MuHk_z0MkfNHS_d", 7.44255)</f>
        <v>7.44255</v>
      </c>
      <c r="L414" s="115"/>
      <c r="M414" s="104"/>
      <c r="N414" s="115"/>
      <c r="O414" s="104"/>
      <c r="P414" s="118">
        <f>HYPERLINK("https://docs.google.com/spreadsheets/d/1Zkh34FVOicWOxAGMNH_WcsedYeT34xU1", 30.2575333333333)</f>
        <v>30.25753333</v>
      </c>
      <c r="S414" s="118">
        <f>HYPERLINK("https://docs.google.com/spreadsheets/d/1kIR6sxAeBSNpql9iskKWeRdlvlZqBw0R", 14.2363)</f>
        <v>14.2363</v>
      </c>
      <c r="T414" s="118">
        <f>HYPERLINK("https://docs.google.com/spreadsheets/d/1eDmclj1vxmG2f_5JpZSm7RzRJUS0NxEF", 35.26215)</f>
        <v>35.26215</v>
      </c>
      <c r="U414" s="118">
        <f>HYPERLINK("https://docs.google.com/spreadsheets/d/1Tv9ni3TcLLnCbPlsRTsMzQ89NeDB160q", 8.26341666666667)</f>
        <v>8.263416667</v>
      </c>
      <c r="V414" s="118">
        <f>HYPERLINK("https://docs.google.com/spreadsheets/d/1i1ZjxHE4AZQz94cgo3VQ-F85oNMmCdi5", 2.02168333333333)</f>
        <v>2.021683333</v>
      </c>
      <c r="W414" s="118">
        <f>HYPERLINK("https://docs.google.com/spreadsheets/d/1ZjiHnHwafeZsd894PnU4zHhx5X9aRHyO", 1.59656666666667)</f>
        <v>1.596566667</v>
      </c>
      <c r="Z414" s="118">
        <f>HYPERLINK("https://docs.google.com/spreadsheets/d/1F2xw-MbrooQBtV0ocQchMo6MZxETnf2k", 11.7323166666667)</f>
        <v>11.73231667</v>
      </c>
      <c r="AA414" s="118">
        <f>HYPERLINK("https://docs.google.com/spreadsheets/d/12RsHT9ilTngk0LXzi_2qTMB3NkjILVKT", 57.4406)</f>
        <v>57.4406</v>
      </c>
      <c r="AB414" s="118">
        <f>HYPERLINK("https://docs.google.com/spreadsheets/d/1CyxctqBDErc7rGG03lpMr_eodwel4DQn", 9.80935)</f>
        <v>9.80935</v>
      </c>
      <c r="AC414" s="118">
        <f>HYPERLINK("https://docs.google.com/spreadsheets/d/1-4Ze-3cN8Opn1ZjG0F2TH65HjLL3qsR7", 2.82833333333333)</f>
        <v>2.828333333</v>
      </c>
      <c r="AD414" s="118">
        <f>HYPERLINK("https://docs.google.com/spreadsheets/d/1PCBRZUb_Gybh74vYGSxPUAnDV5dLHoP0", 4.96138333333333)</f>
        <v>4.961383333</v>
      </c>
      <c r="AI414" s="118">
        <f>HYPERLINK("https://docs.google.com/spreadsheets/d/1AEvZxEq38Hv8NXw8wN2Lk-gIUotxGJJq", 21.2788333333333)</f>
        <v>21.27883333</v>
      </c>
      <c r="AJ414" s="118">
        <f>HYPERLINK("https://docs.google.com/spreadsheets/d/1O52rocCgYMAbqFb2LxHbSTZTZFCt5q4y", 66.4659666666666)</f>
        <v>66.46596667</v>
      </c>
      <c r="AK414" s="118">
        <f>HYPERLINK("https://docs.google.com/spreadsheets/d/1-2IwELP1wq0xVbacuEEn0k6MOjOfPq1z", 10.3307)</f>
        <v>10.3307</v>
      </c>
      <c r="AL414" s="118">
        <f>HYPERLINK("https://docs.google.com/spreadsheets/d/1e3sYYRN_cPqqzcK504IoAefClTCM0s4R", 1.55628333333333)</f>
        <v>1.556283333</v>
      </c>
      <c r="AM414" s="118">
        <f>HYPERLINK("https://docs.google.com/spreadsheets/d/1zldo8-NiKXDwLUz9ft0nHkD-uBblpnpx", 4.50766666666667)</f>
        <v>4.507666667</v>
      </c>
      <c r="AP414" s="118">
        <f>HYPERLINK("https://docs.google.com/spreadsheets/d/1DWnuNGhmMv-_0bzzv0z0_U6qj1fZuVND", 19.0082166666667)</f>
        <v>19.00821667</v>
      </c>
      <c r="AQ414" s="118">
        <f>HYPERLINK("https://docs.google.com/spreadsheets/d/1SQ3nVyoj1y_BFhTf7Wo6KsW6E2Py2UpF", 14.8430333333333)</f>
        <v>14.84303333</v>
      </c>
      <c r="AR414" s="118">
        <f>HYPERLINK("https://docs.google.com/spreadsheets/d/1aKHYLd3m7kFroZcAUv0SXbtD5KJ-qBaP", 15.3531166666667)</f>
        <v>15.35311667</v>
      </c>
      <c r="AU414" s="118">
        <f>HYPERLINK("https://docs.google.com/spreadsheets/d/1pJMTpdIq5cV8SyYSo7CPOlUGXW0haFYF", 2.38328333333333)</f>
        <v>2.383283333</v>
      </c>
      <c r="AV414" s="118">
        <f>HYPERLINK("https://docs.google.com/spreadsheets/d/1bbCffqqkIkP4GGqUYPCzorSQddbZvwXj", 5.58925)</f>
        <v>5.58925</v>
      </c>
      <c r="AY414" s="118">
        <f>HYPERLINK("https://docs.google.com/spreadsheets/d/1w_eT4-ULf127ozlukpFwzNLp8Pg82NlM", 44.7239666666667)</f>
        <v>44.72396667</v>
      </c>
    </row>
    <row r="415">
      <c r="A415" s="65" t="s">
        <v>38</v>
      </c>
      <c r="B415" s="65" t="s">
        <v>99</v>
      </c>
      <c r="C415" s="65" t="s">
        <v>413</v>
      </c>
      <c r="D415" s="64">
        <f t="shared" si="1"/>
        <v>319.1847333</v>
      </c>
      <c r="E415" s="115"/>
      <c r="F415" s="104">
        <v>1.20803333333333</v>
      </c>
      <c r="G415" s="104">
        <v>10.7871</v>
      </c>
      <c r="H415" s="104">
        <v>5.36143333333333</v>
      </c>
      <c r="I415" s="104">
        <v>0.294433333333334</v>
      </c>
      <c r="J415" s="104">
        <v>0.13445</v>
      </c>
      <c r="K415" s="104">
        <v>7.44255</v>
      </c>
      <c r="L415" s="104"/>
      <c r="M415" s="104"/>
      <c r="N415" s="104"/>
      <c r="O415" s="104"/>
      <c r="P415" s="65">
        <v>26.7733166666667</v>
      </c>
      <c r="Q415" s="65"/>
      <c r="R415" s="65"/>
      <c r="S415" s="65">
        <v>8.43421666666667</v>
      </c>
      <c r="T415" s="65">
        <v>35.26215</v>
      </c>
      <c r="U415" s="65">
        <v>2.54498333333333</v>
      </c>
      <c r="V415" s="65">
        <v>0.350466666666666</v>
      </c>
      <c r="W415" s="65">
        <v>1.59656666666667</v>
      </c>
      <c r="X415" s="65"/>
      <c r="Y415" s="65"/>
      <c r="Z415" s="65">
        <v>5.50518333333333</v>
      </c>
      <c r="AA415" s="65">
        <v>39.4492833333334</v>
      </c>
      <c r="AB415" s="65">
        <v>2.1989</v>
      </c>
      <c r="AC415" s="65">
        <v>0.406566666666666</v>
      </c>
      <c r="AD415" s="65">
        <v>1.49826666666667</v>
      </c>
      <c r="AE415" s="65"/>
      <c r="AF415" s="65"/>
      <c r="AG415" s="65"/>
      <c r="AH415" s="65"/>
      <c r="AI415" s="65">
        <v>11.0604</v>
      </c>
      <c r="AJ415" s="65">
        <v>66.4659666666666</v>
      </c>
      <c r="AK415" s="65">
        <v>1.60273333333333</v>
      </c>
      <c r="AL415" s="65">
        <v>0.546216666666666</v>
      </c>
      <c r="AM415" s="65">
        <v>4.50766666666667</v>
      </c>
      <c r="AN415" s="65"/>
      <c r="AP415" s="65">
        <v>19.0082166666667</v>
      </c>
      <c r="AQ415" s="65">
        <v>2.98498333333334</v>
      </c>
      <c r="AR415" s="65">
        <v>15.3531166666667</v>
      </c>
      <c r="AT415" s="65"/>
      <c r="AU415" s="65">
        <v>1.11561666666667</v>
      </c>
      <c r="AV415" s="65">
        <v>2.56795</v>
      </c>
      <c r="AY415" s="65">
        <v>44.7239666666667</v>
      </c>
    </row>
    <row r="416">
      <c r="A416" s="119" t="s">
        <v>38</v>
      </c>
      <c r="B416" s="119" t="s">
        <v>99</v>
      </c>
      <c r="C416" s="119" t="s">
        <v>414</v>
      </c>
      <c r="D416" s="120">
        <f t="shared" si="1"/>
        <v>2.383283333</v>
      </c>
      <c r="E416" s="121"/>
      <c r="F416" s="122">
        <f>HYPERLINK("https://docs.google.com/spreadsheets/d/1rdg2wyN5ZHeTgbH1-8y-JB3PtL4o8uAW", 0)</f>
        <v>0</v>
      </c>
      <c r="G416" s="122">
        <f>HYPERLINK("https://docs.google.com/spreadsheets/d/1qosIy--fiPmWHpZi6MC6Js14fQYD8dxM", 0)</f>
        <v>0</v>
      </c>
      <c r="H416" s="122">
        <f>HYPERLINK("https://docs.google.com/spreadsheets/d/1N_w3G223ePydA2qlyOqxWMJ26HtMxmJi", 0)</f>
        <v>0</v>
      </c>
      <c r="I416" s="122">
        <f>HYPERLINK("https://docs.google.com/spreadsheets/d/1aQ0mbB1nKAJtS0N6dKKGGAdfnbbnEaYc", 0)</f>
        <v>0</v>
      </c>
      <c r="J416" s="122">
        <f>HYPERLINK("https://docs.google.com/spreadsheets/d/1RH5E5p7nzA-XZr3xfgSIj5Ta-un6USPN", 0)</f>
        <v>0</v>
      </c>
      <c r="K416" s="122">
        <f>HYPERLINK("https://docs.google.com/spreadsheets/d/1ByOZUn2FrKebcbb55MuHk_z0MkfNHS_d", 0)</f>
        <v>0</v>
      </c>
      <c r="L416" s="121"/>
      <c r="M416" s="121"/>
      <c r="N416" s="123"/>
      <c r="O416" s="121"/>
      <c r="P416" s="124">
        <f>HYPERLINK("https://docs.google.com/spreadsheets/d/1Zkh34FVOicWOxAGMNH_WcsedYeT34xU1", 0)</f>
        <v>0</v>
      </c>
      <c r="Q416" s="119"/>
      <c r="R416" s="120"/>
      <c r="S416" s="124">
        <f>HYPERLINK("https://docs.google.com/spreadsheets/d/1kIR6sxAeBSNpql9iskKWeRdlvlZqBw0R", 0)</f>
        <v>0</v>
      </c>
      <c r="T416" s="125">
        <f>HYPERLINK("https://docs.google.com/spreadsheets/d/1eDmclj1vxmG2f_5JpZSm7RzRJUS0NxEF", 0)</f>
        <v>0</v>
      </c>
      <c r="U416" s="125">
        <f>HYPERLINK("https://docs.google.com/spreadsheets/d/1Tv9ni3TcLLnCbPlsRTsMzQ89NeDB160q", 0)</f>
        <v>0</v>
      </c>
      <c r="V416" s="124">
        <f>HYPERLINK("https://docs.google.com/spreadsheets/d/1i1ZjxHE4AZQz94cgo3VQ-F85oNMmCdi5", 0)</f>
        <v>0</v>
      </c>
      <c r="W416" s="124">
        <f>HYPERLINK("https://docs.google.com/spreadsheets/d/1ZjiHnHwafeZsd894PnU4zHhx5X9aRHyO", 0)</f>
        <v>0</v>
      </c>
      <c r="X416" s="119"/>
      <c r="Y416" s="119"/>
      <c r="Z416" s="124">
        <f>HYPERLINK("https://docs.google.com/spreadsheets/d/1F2xw-MbrooQBtV0ocQchMo6MZxETnf2k", 0)</f>
        <v>0</v>
      </c>
      <c r="AA416" s="124">
        <f>HYPERLINK("https://docs.google.com/spreadsheets/d/12RsHT9ilTngk0LXzi_2qTMB3NkjILVKT", 0)</f>
        <v>0</v>
      </c>
      <c r="AB416" s="124">
        <f>HYPERLINK("https://docs.google.com/spreadsheets/d/1CyxctqBDErc7rGG03lpMr_eodwel4DQn", 0)</f>
        <v>0</v>
      </c>
      <c r="AC416" s="124">
        <f>HYPERLINK("https://docs.google.com/spreadsheets/d/1-4Ze-3cN8Opn1ZjG0F2TH65HjLL3qsR7", 0)</f>
        <v>0</v>
      </c>
      <c r="AD416" s="124">
        <f>HYPERLINK("https://docs.google.com/spreadsheets/d/1PCBRZUb_Gybh74vYGSxPUAnDV5dLHoP0", 0)</f>
        <v>0</v>
      </c>
      <c r="AE416" s="119"/>
      <c r="AF416" s="120"/>
      <c r="AG416" s="119"/>
      <c r="AH416" s="119"/>
      <c r="AI416" s="125">
        <f>HYPERLINK("https://docs.google.com/spreadsheets/d/1AEvZxEq38Hv8NXw8wN2Lk-gIUotxGJJq", 0)</f>
        <v>0</v>
      </c>
      <c r="AJ416" s="124">
        <f>HYPERLINK("https://docs.google.com/spreadsheets/d/1O52rocCgYMAbqFb2LxHbSTZTZFCt5q4y", 0)</f>
        <v>0</v>
      </c>
      <c r="AK416" s="124">
        <f>HYPERLINK("https://docs.google.com/spreadsheets/d/1-2IwELP1wq0xVbacuEEn0k6MOjOfPq1z", 0)</f>
        <v>0</v>
      </c>
      <c r="AL416" s="125">
        <f>HYPERLINK("https://docs.google.com/spreadsheets/d/1e3sYYRN_cPqqzcK504IoAefClTCM0s4R", 0)</f>
        <v>0</v>
      </c>
      <c r="AM416" s="124">
        <f>HYPERLINK("https://docs.google.com/spreadsheets/d/1zldo8-NiKXDwLUz9ft0nHkD-uBblpnpx", 0)</f>
        <v>0</v>
      </c>
      <c r="AN416" s="119"/>
      <c r="AO416" s="120"/>
      <c r="AP416" s="124">
        <f>HYPERLINK("https://docs.google.com/spreadsheets/d/1DWnuNGhmMv-_0bzzv0z0_U6qj1fZuVND", 0)</f>
        <v>0</v>
      </c>
      <c r="AQ416" s="125">
        <f>HYPERLINK("https://docs.google.com/spreadsheets/d/1SQ3nVyoj1y_BFhTf7Wo6KsW6E2Py2UpF", 0)</f>
        <v>0</v>
      </c>
      <c r="AR416" s="125">
        <f>HYPERLINK("https://docs.google.com/spreadsheets/d/1aKHYLd3m7kFroZcAUv0SXbtD5KJ-qBaP", 0)</f>
        <v>0</v>
      </c>
      <c r="AS416" s="120"/>
      <c r="AT416" s="120"/>
      <c r="AU416" s="124">
        <f>HYPERLINK("https://docs.google.com/spreadsheets/d/1pJMTpdIq5cV8SyYSo7CPOlUGXW0haFYF", 2.38328333333333)</f>
        <v>2.383283333</v>
      </c>
      <c r="AV416" s="124">
        <f>HYPERLINK("https://docs.google.com/spreadsheets/d/1bbCffqqkIkP4GGqUYPCzorSQddbZvwXj", 0)</f>
        <v>0</v>
      </c>
      <c r="AW416" s="120"/>
      <c r="AX416" s="120"/>
      <c r="AY416" s="124">
        <f>HYPERLINK("https://docs.google.com/spreadsheets/d/1w_eT4-ULf127ozlukpFwzNLp8Pg82NlM", 0)</f>
        <v>0</v>
      </c>
      <c r="AZ416" s="120"/>
      <c r="BA416" s="120"/>
      <c r="BB416" s="120"/>
      <c r="BC416" s="120"/>
      <c r="BD416" s="120"/>
      <c r="BE416" s="120"/>
      <c r="BF416" s="120"/>
      <c r="BG416" s="120"/>
      <c r="BH416" s="120"/>
      <c r="BI416" s="120"/>
      <c r="BJ416" s="120"/>
      <c r="BK416" s="120"/>
      <c r="BL416" s="120"/>
      <c r="BM416" s="120"/>
      <c r="BN416" s="120"/>
      <c r="BO416" s="120"/>
      <c r="BP416" s="120"/>
      <c r="BQ416" s="120"/>
      <c r="BR416" s="120"/>
      <c r="BS416" s="120"/>
      <c r="BT416" s="120"/>
      <c r="BU416" s="120"/>
      <c r="BV416" s="120"/>
      <c r="BW416" s="120"/>
      <c r="BX416" s="120"/>
      <c r="BY416" s="120"/>
      <c r="BZ416" s="120"/>
      <c r="CA416" s="120"/>
      <c r="CB416" s="120"/>
      <c r="CC416" s="120"/>
      <c r="CD416" s="120"/>
      <c r="CE416" s="120"/>
      <c r="CF416" s="120"/>
      <c r="CG416" s="120"/>
      <c r="CH416" s="120"/>
      <c r="CI416" s="120"/>
      <c r="CJ416" s="120"/>
      <c r="CK416" s="120"/>
      <c r="CL416" s="120"/>
      <c r="CM416" s="120"/>
      <c r="CN416" s="120"/>
      <c r="CO416" s="120"/>
      <c r="CP416" s="120"/>
      <c r="CQ416" s="120"/>
      <c r="CR416" s="120"/>
      <c r="CS416" s="120"/>
      <c r="CT416" s="120"/>
      <c r="CU416" s="120"/>
      <c r="CV416" s="120"/>
      <c r="CW416" s="120"/>
      <c r="CX416" s="120"/>
      <c r="CY416" s="120"/>
      <c r="CZ416" s="120"/>
      <c r="DA416" s="120"/>
      <c r="DB416" s="120"/>
      <c r="DC416" s="120"/>
      <c r="DD416" s="120"/>
      <c r="DE416" s="120"/>
      <c r="DF416" s="120"/>
      <c r="DG416" s="120"/>
      <c r="DH416" s="120"/>
      <c r="DI416" s="120"/>
      <c r="DJ416" s="120"/>
      <c r="DK416" s="120"/>
      <c r="DL416" s="120"/>
      <c r="DM416" s="120"/>
      <c r="DN416" s="120"/>
      <c r="DO416" s="120"/>
      <c r="DP416" s="120"/>
      <c r="DQ416" s="120"/>
      <c r="DR416" s="120"/>
      <c r="DS416" s="120"/>
      <c r="DT416" s="120"/>
      <c r="DU416" s="120"/>
      <c r="DV416" s="120"/>
      <c r="DW416" s="120"/>
      <c r="DX416" s="120"/>
      <c r="DY416" s="120"/>
      <c r="DZ416" s="120"/>
      <c r="EA416" s="120"/>
      <c r="EB416" s="120"/>
      <c r="EC416" s="120"/>
      <c r="ED416" s="120"/>
      <c r="EE416" s="120"/>
      <c r="EF416" s="120"/>
      <c r="EG416" s="120"/>
      <c r="EH416" s="120"/>
      <c r="EI416" s="120"/>
      <c r="EJ416" s="120"/>
      <c r="EK416" s="120"/>
      <c r="EL416" s="120"/>
      <c r="EM416" s="120"/>
      <c r="EN416" s="120"/>
      <c r="EO416" s="120"/>
      <c r="EP416" s="120"/>
      <c r="EQ416" s="120"/>
      <c r="ER416" s="120"/>
      <c r="ES416" s="120"/>
      <c r="ET416" s="120"/>
      <c r="EU416" s="120"/>
      <c r="EV416" s="120"/>
      <c r="EW416" s="120"/>
      <c r="EX416" s="120"/>
      <c r="EY416" s="120"/>
    </row>
    <row r="417">
      <c r="A417" s="112" t="s">
        <v>38</v>
      </c>
      <c r="B417" s="112" t="s">
        <v>61</v>
      </c>
      <c r="C417" s="112" t="s">
        <v>409</v>
      </c>
      <c r="D417" s="113">
        <f t="shared" si="1"/>
        <v>510.6973167</v>
      </c>
      <c r="E417" s="114">
        <v>120.47325</v>
      </c>
      <c r="F417" s="114"/>
      <c r="G417" s="114"/>
      <c r="H417" s="114"/>
      <c r="I417" s="114"/>
      <c r="J417" s="114"/>
      <c r="K417" s="114"/>
      <c r="L417" s="114">
        <v>2.00206666666667</v>
      </c>
      <c r="M417" s="114"/>
      <c r="N417" s="114"/>
      <c r="O417" s="114">
        <v>18.6431</v>
      </c>
      <c r="P417" s="112"/>
      <c r="Q417" s="112">
        <v>0.1757</v>
      </c>
      <c r="R417" s="112">
        <v>111.388283333333</v>
      </c>
      <c r="S417" s="112"/>
      <c r="T417" s="112"/>
      <c r="U417" s="112"/>
      <c r="V417" s="112"/>
      <c r="W417" s="112"/>
      <c r="X417" s="112">
        <v>0.902466666666667</v>
      </c>
      <c r="Y417" s="112">
        <v>100.704783333333</v>
      </c>
      <c r="Z417" s="112"/>
      <c r="AA417" s="113"/>
      <c r="AB417" s="112"/>
      <c r="AC417" s="112"/>
      <c r="AD417" s="112"/>
      <c r="AE417" s="112">
        <v>2.86816666666667</v>
      </c>
      <c r="AF417" s="112"/>
      <c r="AG417" s="112"/>
      <c r="AH417" s="112">
        <v>51.1507</v>
      </c>
      <c r="AI417" s="112"/>
      <c r="AJ417" s="112"/>
      <c r="AK417" s="112"/>
      <c r="AL417" s="113"/>
      <c r="AM417" s="112"/>
      <c r="AN417" s="112">
        <v>2.50165</v>
      </c>
      <c r="AO417" s="112">
        <v>39.4280333333333</v>
      </c>
      <c r="AP417" s="112"/>
      <c r="AQ417" s="113"/>
      <c r="AR417" s="112"/>
      <c r="AS417" s="112">
        <v>5.10931666666667</v>
      </c>
      <c r="AT417" s="112">
        <v>6.37858333333333</v>
      </c>
      <c r="AU417" s="112"/>
      <c r="AV417" s="112"/>
      <c r="AW417" s="112">
        <v>2.1025</v>
      </c>
      <c r="AX417" s="112">
        <v>43.6004833333333</v>
      </c>
      <c r="AY417" s="113"/>
      <c r="AZ417" s="112">
        <v>3.13601666666667</v>
      </c>
      <c r="BA417" s="112">
        <v>0.132216666666667</v>
      </c>
      <c r="BB417" s="113"/>
      <c r="BC417" s="113"/>
      <c r="BD417" s="113"/>
      <c r="BE417" s="113"/>
      <c r="BF417" s="113"/>
      <c r="BG417" s="113"/>
      <c r="BH417" s="113"/>
      <c r="BI417" s="113"/>
      <c r="BJ417" s="113"/>
      <c r="BK417" s="113"/>
      <c r="BL417" s="113"/>
      <c r="BM417" s="113"/>
      <c r="BN417" s="113"/>
      <c r="BO417" s="113"/>
      <c r="BP417" s="113"/>
      <c r="BQ417" s="113"/>
      <c r="BR417" s="113"/>
      <c r="BS417" s="113"/>
      <c r="BT417" s="113"/>
      <c r="BU417" s="113"/>
      <c r="BV417" s="113"/>
      <c r="BW417" s="113"/>
      <c r="BX417" s="113"/>
      <c r="BY417" s="113"/>
      <c r="BZ417" s="113"/>
      <c r="CA417" s="113"/>
      <c r="CB417" s="113"/>
      <c r="CC417" s="113"/>
      <c r="CD417" s="113"/>
      <c r="CE417" s="113"/>
      <c r="CF417" s="113"/>
      <c r="CG417" s="113"/>
      <c r="CH417" s="113"/>
      <c r="CI417" s="113"/>
      <c r="CJ417" s="113"/>
      <c r="CK417" s="113"/>
      <c r="CL417" s="113"/>
      <c r="CM417" s="113"/>
      <c r="CN417" s="113"/>
      <c r="CO417" s="113"/>
      <c r="CP417" s="113"/>
      <c r="CQ417" s="113"/>
      <c r="CR417" s="113"/>
      <c r="CS417" s="113"/>
      <c r="CT417" s="113"/>
      <c r="CU417" s="113"/>
      <c r="CV417" s="113"/>
      <c r="CW417" s="113"/>
      <c r="CX417" s="113"/>
      <c r="CY417" s="113"/>
      <c r="CZ417" s="113"/>
      <c r="DA417" s="113"/>
      <c r="DB417" s="113"/>
      <c r="DC417" s="113"/>
      <c r="DD417" s="113"/>
      <c r="DE417" s="113"/>
      <c r="DF417" s="113"/>
      <c r="DG417" s="113"/>
      <c r="DH417" s="113"/>
      <c r="DI417" s="113"/>
      <c r="DJ417" s="113"/>
      <c r="DK417" s="113"/>
      <c r="DL417" s="113"/>
      <c r="DM417" s="113"/>
      <c r="DN417" s="113"/>
      <c r="DO417" s="113"/>
      <c r="DP417" s="113"/>
      <c r="DQ417" s="113"/>
      <c r="DR417" s="113"/>
      <c r="DS417" s="113"/>
      <c r="DT417" s="113"/>
      <c r="DU417" s="113"/>
      <c r="DV417" s="113"/>
      <c r="DW417" s="113"/>
      <c r="DX417" s="113"/>
      <c r="DY417" s="113"/>
      <c r="DZ417" s="113"/>
      <c r="EA417" s="113"/>
      <c r="EB417" s="113"/>
      <c r="EC417" s="113"/>
      <c r="ED417" s="113"/>
      <c r="EE417" s="113"/>
      <c r="EF417" s="113"/>
      <c r="EG417" s="113"/>
      <c r="EH417" s="113"/>
      <c r="EI417" s="113"/>
      <c r="EJ417" s="113"/>
      <c r="EK417" s="113"/>
      <c r="EL417" s="113"/>
      <c r="EM417" s="113"/>
      <c r="EN417" s="113"/>
      <c r="EO417" s="113"/>
      <c r="EP417" s="113"/>
      <c r="EQ417" s="113"/>
      <c r="ER417" s="113"/>
      <c r="ES417" s="113"/>
      <c r="ET417" s="113"/>
      <c r="EU417" s="113"/>
      <c r="EV417" s="113"/>
      <c r="EW417" s="113"/>
      <c r="EX417" s="113"/>
      <c r="EY417" s="113"/>
    </row>
    <row r="418">
      <c r="A418" s="65" t="s">
        <v>38</v>
      </c>
      <c r="B418" s="65" t="s">
        <v>61</v>
      </c>
      <c r="C418" s="65" t="s">
        <v>410</v>
      </c>
      <c r="D418" s="64">
        <f t="shared" si="1"/>
        <v>609.0656667</v>
      </c>
      <c r="E418" s="104"/>
      <c r="F418" s="104">
        <v>67.7509666666666</v>
      </c>
      <c r="G418" s="104">
        <v>20.5526333333333</v>
      </c>
      <c r="H418" s="104">
        <v>8.77818333333333</v>
      </c>
      <c r="I418" s="104">
        <v>2.22206666666667</v>
      </c>
      <c r="J418" s="104">
        <v>2.633</v>
      </c>
      <c r="K418" s="104">
        <v>10.42585</v>
      </c>
      <c r="L418" s="104"/>
      <c r="M418" s="104">
        <v>67.7509666666666</v>
      </c>
      <c r="N418" s="104">
        <v>20.5526333333333</v>
      </c>
      <c r="O418" s="104"/>
      <c r="P418" s="65">
        <v>13.4818</v>
      </c>
      <c r="Q418" s="65"/>
      <c r="R418" s="65"/>
      <c r="S418" s="65">
        <v>34.1371</v>
      </c>
      <c r="T418" s="65">
        <v>22.9547</v>
      </c>
      <c r="U418" s="65">
        <v>17.7941833333333</v>
      </c>
      <c r="V418" s="65">
        <v>7.84558333333333</v>
      </c>
      <c r="W418" s="65">
        <v>15.3235166666667</v>
      </c>
      <c r="X418" s="65"/>
      <c r="Y418" s="65"/>
      <c r="Z418" s="65">
        <v>51.3374333333333</v>
      </c>
      <c r="AA418" s="65">
        <v>27.14695</v>
      </c>
      <c r="AB418" s="65">
        <v>8.97711666666667</v>
      </c>
      <c r="AC418" s="65">
        <v>4.32725</v>
      </c>
      <c r="AD418" s="65">
        <v>6.62138333333333</v>
      </c>
      <c r="AE418" s="65"/>
      <c r="AF418" s="65">
        <v>51.3374333333333</v>
      </c>
      <c r="AG418" s="65">
        <v>27.14695</v>
      </c>
      <c r="AH418" s="65"/>
      <c r="AI418" s="65">
        <v>17.4404333333333</v>
      </c>
      <c r="AJ418" s="65">
        <v>16.2418833333333</v>
      </c>
      <c r="AK418" s="65">
        <v>5.94021666666667</v>
      </c>
      <c r="AL418" s="65">
        <v>3.90065</v>
      </c>
      <c r="AM418" s="65">
        <v>5.33625</v>
      </c>
      <c r="AN418" s="65"/>
      <c r="AP418" s="65">
        <v>7.11416666666667</v>
      </c>
      <c r="AQ418" s="65">
        <v>9.14473333333333</v>
      </c>
      <c r="AR418" s="65">
        <v>10.6785333333333</v>
      </c>
      <c r="AT418" s="65"/>
      <c r="AU418" s="65">
        <v>0.9294</v>
      </c>
      <c r="AV418" s="65">
        <v>3.23538333333333</v>
      </c>
      <c r="AY418" s="65">
        <v>40.0063166666666</v>
      </c>
    </row>
    <row r="419">
      <c r="A419" s="65" t="s">
        <v>38</v>
      </c>
      <c r="B419" s="65" t="s">
        <v>61</v>
      </c>
      <c r="C419" s="65" t="s">
        <v>411</v>
      </c>
      <c r="D419" s="64">
        <f t="shared" si="1"/>
        <v>0</v>
      </c>
      <c r="E419" s="115"/>
      <c r="F419" s="115"/>
      <c r="G419" s="115"/>
      <c r="H419" s="115"/>
      <c r="I419" s="115"/>
      <c r="J419" s="115"/>
      <c r="K419" s="115"/>
      <c r="L419" s="115"/>
      <c r="M419" s="115"/>
      <c r="N419" s="115"/>
      <c r="O419" s="115"/>
    </row>
    <row r="420">
      <c r="A420" s="65" t="s">
        <v>38</v>
      </c>
      <c r="B420" s="65" t="s">
        <v>61</v>
      </c>
      <c r="C420" s="65" t="s">
        <v>412</v>
      </c>
      <c r="D420" s="64">
        <f t="shared" si="1"/>
        <v>392.26145</v>
      </c>
      <c r="E420" s="115"/>
      <c r="F420" s="117">
        <f>HYPERLINK("https://docs.google.com/spreadsheets/d/1Ueav7M1Hix9QEuqscPhRxTa9s-AUDZL1", 62.90175)</f>
        <v>62.90175</v>
      </c>
      <c r="G420" s="116">
        <f>HYPERLINK("https://docs.google.com/spreadsheets/d/1TAoUzlDqw3eXcESpjeCnzK18F2HmYVcQ", 20.3605666666667)</f>
        <v>20.36056667</v>
      </c>
      <c r="H420" s="116">
        <f>HYPERLINK("https://docs.google.com/spreadsheets/d/1ng8qfW9YtjzcyETanEktLJ3JslHtoPjH", 8.77818333333334)</f>
        <v>8.778183333</v>
      </c>
      <c r="I420" s="117">
        <f>HYPERLINK("https://docs.google.com/spreadsheets/d/1RfQMvRnxxSIqntQslN_JoXyE72Iruw-i", 2.22206666666667)</f>
        <v>2.222066667</v>
      </c>
      <c r="J420" s="116">
        <f>HYPERLINK("https://docs.google.com/spreadsheets/d/1j9XV74nWLgt_UfhuOxM6Eqe7Fm45pZvA", 1.21565)</f>
        <v>1.21565</v>
      </c>
      <c r="K420" s="117">
        <f>HYPERLINK("https://docs.google.com/spreadsheets/d/1M6B4WOd2PN5o3uohmOCdO__gFEvWTB4G", 10.2020333333333)</f>
        <v>10.20203333</v>
      </c>
      <c r="L420" s="115"/>
      <c r="M420" s="104"/>
      <c r="N420" s="115"/>
      <c r="O420" s="104"/>
      <c r="P420" s="118">
        <f>HYPERLINK("https://docs.google.com/spreadsheets/d/1wh6G3NLHOMWmaBnX5VlV0Wuh10lYiSXA", 13.4818166666667)</f>
        <v>13.48181667</v>
      </c>
      <c r="S420" s="118">
        <f>HYPERLINK("https://docs.google.com/spreadsheets/d/1xZrsGqIKaVVDuqvSdKRODjYAvbQvO7Xw", 26.1672833333333)</f>
        <v>26.16728333</v>
      </c>
      <c r="T420" s="118">
        <f>HYPERLINK("https://docs.google.com/spreadsheets/d/1kvSaZCzjFz-CGL8NL6Qas2BA_p3HswhX", 22.8796)</f>
        <v>22.8796</v>
      </c>
      <c r="U420" s="118">
        <f>HYPERLINK("https://docs.google.com/spreadsheets/d/1_8qunvHA7rDe7MV_wFl9Ark31ZKvdDhd", 17.5793833333333)</f>
        <v>17.57938333</v>
      </c>
      <c r="V420" s="118">
        <f>HYPERLINK("https://docs.google.com/spreadsheets/d/1os407hDv-7_PN6XrWVKZbwhcR5m2Ra7w", 6.60565)</f>
        <v>6.60565</v>
      </c>
      <c r="W420" s="118">
        <f>HYPERLINK("https://docs.google.com/spreadsheets/d/1Y_tsd6pW457-YY2QScqzcc_M4WmP0tOy", 14.7389333333333)</f>
        <v>14.73893333</v>
      </c>
      <c r="Z420" s="118">
        <f>HYPERLINK("https://docs.google.com/spreadsheets/d/1HZ8KA-x3fvv4gDEc6Rt2njQF9NMg5LpP", 28.2927166666667)</f>
        <v>28.29271667</v>
      </c>
      <c r="AA420" s="118">
        <f>HYPERLINK("https://docs.google.com/spreadsheets/d/1f2UJxcm1ttIouRcn_zg70IsEE6kuMc8a", 26.7005166666667)</f>
        <v>26.70051667</v>
      </c>
      <c r="AB420" s="118">
        <f>HYPERLINK("https://docs.google.com/spreadsheets/d/1m63SV1vhC7ZjpwmEmOS4JOCHLuVLQJZR", 8.83835)</f>
        <v>8.83835</v>
      </c>
      <c r="AC420" s="118">
        <f>HYPERLINK("https://docs.google.com/spreadsheets/d/1jPvKy602Ivyv408UVkWzuA4aJDvHYLic", 4.25373333333333)</f>
        <v>4.253733333</v>
      </c>
      <c r="AD420" s="118">
        <f>HYPERLINK("https://docs.google.com/spreadsheets/d/1-c-kOibjmTp6LhjBU18JJZmUqMjTxbSM", 6.2839)</f>
        <v>6.2839</v>
      </c>
      <c r="AI420" s="118">
        <f>HYPERLINK("https://docs.google.com/spreadsheets/d/1MyCY73jaa30us09RGMhB5dip4jn40iKd", 10.17825)</f>
        <v>10.17825</v>
      </c>
      <c r="AJ420" s="118">
        <f>HYPERLINK("https://docs.google.com/spreadsheets/d/1cyeiD82zhHq1raYwZXOTsj8EXYK7G4VU", 16.24185)</f>
        <v>16.24185</v>
      </c>
      <c r="AK420" s="118">
        <f>HYPERLINK("https://docs.google.com/spreadsheets/d/1Bl9wnLyoHMwPt35GxR1FrE1pjkHTBiI7", 5.821)</f>
        <v>5.821</v>
      </c>
      <c r="AL420" s="118">
        <f>HYPERLINK("https://docs.google.com/spreadsheets/d/1ZDYUvWkoCH-E_r62oxuUt8DpZEY-P8gc", 3.85858333333333)</f>
        <v>3.858583333</v>
      </c>
      <c r="AM420" s="118">
        <f>HYPERLINK("https://docs.google.com/spreadsheets/d/1ikz6-XYYwBEfaaqbDLj6Gka1oYoLGR1N", 5.33625)</f>
        <v>5.33625</v>
      </c>
      <c r="AP420" s="118">
        <f>HYPERLINK("https://docs.google.com/spreadsheets/d/1t-W_6vak9gbiadb0m9MThW2pEJxqghOh", 6.09508333333333)</f>
        <v>6.095083333</v>
      </c>
      <c r="AQ420" s="118">
        <f>HYPERLINK("https://docs.google.com/spreadsheets/d/1bSfhLuXWr_dV-RGLJZXNCPPJdcohbvPL", 8.37871666666667)</f>
        <v>8.378716667</v>
      </c>
      <c r="AR420" s="118">
        <f>HYPERLINK("https://docs.google.com/spreadsheets/d/1K_SHE0DeGRDcgQ6iUK5FTnVXC9CL7jHx", 10.6785333333333)</f>
        <v>10.67853333</v>
      </c>
      <c r="AU420" s="118">
        <f>HYPERLINK("https://docs.google.com/spreadsheets/d/1-g8hCmiU00LsQppbht-ql-ZZJ7605qqn", 0.9294)</f>
        <v>0.9294</v>
      </c>
      <c r="AV420" s="118">
        <f>HYPERLINK("https://docs.google.com/spreadsheets/d/1tux6MCStvscFCowBD5V-_o6DyvCrhNGj", 3.23538333333333)</f>
        <v>3.235383333</v>
      </c>
      <c r="AY420" s="118">
        <f>HYPERLINK("https://docs.google.com/spreadsheets/d/1jnglpTz85EooPgOSq44R16Eewa4PdB_u", 40.0062666666666)</f>
        <v>40.00626667</v>
      </c>
    </row>
    <row r="421">
      <c r="A421" s="65" t="s">
        <v>38</v>
      </c>
      <c r="B421" s="65" t="s">
        <v>61</v>
      </c>
      <c r="C421" s="65" t="s">
        <v>413</v>
      </c>
      <c r="D421" s="64">
        <f t="shared" si="1"/>
        <v>226.0054333</v>
      </c>
      <c r="E421" s="115"/>
      <c r="F421" s="104">
        <v>17.1764833333333</v>
      </c>
      <c r="G421" s="104">
        <v>1.30061666666666</v>
      </c>
      <c r="H421" s="104">
        <v>1.46815</v>
      </c>
      <c r="I421" s="104">
        <v>0.131516666666667</v>
      </c>
      <c r="J421" s="104">
        <v>0.506716666666667</v>
      </c>
      <c r="K421" s="104">
        <v>10.2020333333333</v>
      </c>
      <c r="L421" s="104"/>
      <c r="M421" s="104"/>
      <c r="N421" s="104"/>
      <c r="O421" s="104"/>
      <c r="P421" s="65">
        <v>11.8982</v>
      </c>
      <c r="Q421" s="65"/>
      <c r="R421" s="65"/>
      <c r="S421" s="65">
        <v>17.6102666666667</v>
      </c>
      <c r="T421" s="65">
        <v>22.8796</v>
      </c>
      <c r="U421" s="65">
        <v>3.7487</v>
      </c>
      <c r="V421" s="65">
        <v>2.06616666666667</v>
      </c>
      <c r="W421" s="65">
        <v>14.7389333333333</v>
      </c>
      <c r="X421" s="65"/>
      <c r="Y421" s="65"/>
      <c r="Z421" s="65">
        <v>13.10825</v>
      </c>
      <c r="AA421" s="65">
        <v>19.1813166666667</v>
      </c>
      <c r="AB421" s="65">
        <v>0.713666666666668</v>
      </c>
      <c r="AC421" s="65">
        <v>0.232333333333335</v>
      </c>
      <c r="AD421" s="65">
        <v>1.78011666666667</v>
      </c>
      <c r="AE421" s="65"/>
      <c r="AF421" s="65"/>
      <c r="AG421" s="65"/>
      <c r="AH421" s="65"/>
      <c r="AI421" s="65">
        <v>5.53828333333333</v>
      </c>
      <c r="AJ421" s="65">
        <v>16.05055</v>
      </c>
      <c r="AK421" s="65">
        <v>0.933433333333335</v>
      </c>
      <c r="AL421" s="65">
        <v>1.25673333333333</v>
      </c>
      <c r="AM421" s="65">
        <v>5.33625</v>
      </c>
      <c r="AN421" s="65"/>
      <c r="AP421" s="65">
        <v>6.09508333333333</v>
      </c>
      <c r="AQ421" s="65">
        <v>1.13786666666667</v>
      </c>
      <c r="AR421" s="65">
        <v>10.6785333333333</v>
      </c>
      <c r="AT421" s="65"/>
      <c r="AU421" s="65">
        <v>0.220183333333333</v>
      </c>
      <c r="AV421" s="65">
        <v>1.11226666666667</v>
      </c>
      <c r="AY421" s="65">
        <v>38.9031833333333</v>
      </c>
    </row>
    <row r="422">
      <c r="A422" s="119" t="s">
        <v>38</v>
      </c>
      <c r="B422" s="119" t="s">
        <v>61</v>
      </c>
      <c r="C422" s="119" t="s">
        <v>414</v>
      </c>
      <c r="D422" s="120">
        <f t="shared" si="1"/>
        <v>0.9294</v>
      </c>
      <c r="E422" s="121"/>
      <c r="F422" s="122">
        <f>HYPERLINK("https://docs.google.com/spreadsheets/d/1Ueav7M1Hix9QEuqscPhRxTa9s-AUDZL1", 0)</f>
        <v>0</v>
      </c>
      <c r="G422" s="122">
        <f>HYPERLINK("https://docs.google.com/spreadsheets/d/1TAoUzlDqw3eXcESpjeCnzK18F2HmYVcQ", 0)</f>
        <v>0</v>
      </c>
      <c r="H422" s="122">
        <f>HYPERLINK("https://docs.google.com/spreadsheets/d/1ng8qfW9YtjzcyETanEktLJ3JslHtoPjH", 0)</f>
        <v>0</v>
      </c>
      <c r="I422" s="122">
        <f>HYPERLINK("https://docs.google.com/spreadsheets/d/1RfQMvRnxxSIqntQslN_JoXyE72Iruw-i", 0)</f>
        <v>0</v>
      </c>
      <c r="J422" s="122">
        <f>HYPERLINK("https://docs.google.com/spreadsheets/d/1j9XV74nWLgt_UfhuOxM6Eqe7Fm45pZvA", 0)</f>
        <v>0</v>
      </c>
      <c r="K422" s="122">
        <f>HYPERLINK("https://docs.google.com/spreadsheets/d/1M6B4WOd2PN5o3uohmOCdO__gFEvWTB4G", 0)</f>
        <v>0</v>
      </c>
      <c r="L422" s="121"/>
      <c r="M422" s="121"/>
      <c r="N422" s="123"/>
      <c r="O422" s="121"/>
      <c r="P422" s="124">
        <f>HYPERLINK("https://docs.google.com/spreadsheets/d/1wh6G3NLHOMWmaBnX5VlV0Wuh10lYiSXA", 0)</f>
        <v>0</v>
      </c>
      <c r="Q422" s="119"/>
      <c r="R422" s="120"/>
      <c r="S422" s="124">
        <f>HYPERLINK("https://docs.google.com/spreadsheets/d/1xZrsGqIKaVVDuqvSdKRODjYAvbQvO7Xw", 0)</f>
        <v>0</v>
      </c>
      <c r="T422" s="125">
        <f>HYPERLINK("https://docs.google.com/spreadsheets/d/1kvSaZCzjFz-CGL8NL6Qas2BA_p3HswhX", 0)</f>
        <v>0</v>
      </c>
      <c r="U422" s="125">
        <f>HYPERLINK("https://docs.google.com/spreadsheets/d/1_8qunvHA7rDe7MV_wFl9Ark31ZKvdDhd", 0)</f>
        <v>0</v>
      </c>
      <c r="V422" s="124">
        <f>HYPERLINK("https://docs.google.com/spreadsheets/d/1os407hDv-7_PN6XrWVKZbwhcR5m2Ra7w", 0)</f>
        <v>0</v>
      </c>
      <c r="W422" s="124">
        <f>HYPERLINK("https://docs.google.com/spreadsheets/d/1Y_tsd6pW457-YY2QScqzcc_M4WmP0tOy", 0)</f>
        <v>0</v>
      </c>
      <c r="X422" s="119"/>
      <c r="Y422" s="119"/>
      <c r="Z422" s="124">
        <f>HYPERLINK("https://docs.google.com/spreadsheets/d/1HZ8KA-x3fvv4gDEc6Rt2njQF9NMg5LpP", 0)</f>
        <v>0</v>
      </c>
      <c r="AA422" s="124">
        <f>HYPERLINK("https://docs.google.com/spreadsheets/d/1f2UJxcm1ttIouRcn_zg70IsEE6kuMc8a", 0)</f>
        <v>0</v>
      </c>
      <c r="AB422" s="124">
        <f>HYPERLINK("https://docs.google.com/spreadsheets/d/1m63SV1vhC7ZjpwmEmOS4JOCHLuVLQJZR", 0)</f>
        <v>0</v>
      </c>
      <c r="AC422" s="124">
        <f>HYPERLINK("https://docs.google.com/spreadsheets/d/1jPvKy602Ivyv408UVkWzuA4aJDvHYLic", 0)</f>
        <v>0</v>
      </c>
      <c r="AD422" s="124">
        <f>HYPERLINK("https://docs.google.com/spreadsheets/d/1-c-kOibjmTp6LhjBU18JJZmUqMjTxbSM", 0)</f>
        <v>0</v>
      </c>
      <c r="AE422" s="119"/>
      <c r="AF422" s="119"/>
      <c r="AG422" s="119"/>
      <c r="AH422" s="119"/>
      <c r="AI422" s="125">
        <f>HYPERLINK("https://docs.google.com/spreadsheets/d/1MyCY73jaa30us09RGMhB5dip4jn40iKd", 0)</f>
        <v>0</v>
      </c>
      <c r="AJ422" s="124">
        <f>HYPERLINK("https://docs.google.com/spreadsheets/d/1cyeiD82zhHq1raYwZXOTsj8EXYK7G4VU", 0)</f>
        <v>0</v>
      </c>
      <c r="AK422" s="124">
        <f>HYPERLINK("https://docs.google.com/spreadsheets/d/1Bl9wnLyoHMwPt35GxR1FrE1pjkHTBiI7", 0)</f>
        <v>0</v>
      </c>
      <c r="AL422" s="125">
        <f>HYPERLINK("https://docs.google.com/spreadsheets/d/1ZDYUvWkoCH-E_r62oxuUt8DpZEY-P8gc", 0)</f>
        <v>0</v>
      </c>
      <c r="AM422" s="124">
        <f>HYPERLINK("https://docs.google.com/spreadsheets/d/1ikz6-XYYwBEfaaqbDLj6Gka1oYoLGR1N", 0)</f>
        <v>0</v>
      </c>
      <c r="AN422" s="119"/>
      <c r="AO422" s="120"/>
      <c r="AP422" s="124">
        <f>HYPERLINK("https://docs.google.com/spreadsheets/d/1t-W_6vak9gbiadb0m9MThW2pEJxqghOh", 0)</f>
        <v>0</v>
      </c>
      <c r="AQ422" s="125">
        <f>HYPERLINK("https://docs.google.com/spreadsheets/d/1bSfhLuXWr_dV-RGLJZXNCPPJdcohbvPL", 0)</f>
        <v>0</v>
      </c>
      <c r="AR422" s="125">
        <f>HYPERLINK("https://docs.google.com/spreadsheets/d/1K_SHE0DeGRDcgQ6iUK5FTnVXC9CL7jHx", 0)</f>
        <v>0</v>
      </c>
      <c r="AS422" s="120"/>
      <c r="AT422" s="120"/>
      <c r="AU422" s="125">
        <f>HYPERLINK("https://docs.google.com/spreadsheets/d/1-g8hCmiU00LsQppbht-ql-ZZJ7605qqn", 0.9294)</f>
        <v>0.9294</v>
      </c>
      <c r="AV422" s="124">
        <f>HYPERLINK("https://docs.google.com/spreadsheets/d/1tux6MCStvscFCowBD5V-_o6DyvCrhNGj", 0)</f>
        <v>0</v>
      </c>
      <c r="AW422" s="120"/>
      <c r="AX422" s="120"/>
      <c r="AY422" s="124">
        <f>HYPERLINK("https://docs.google.com/spreadsheets/d/1jnglpTz85EooPgOSq44R16Eewa4PdB_u", 0)</f>
        <v>0</v>
      </c>
      <c r="AZ422" s="120"/>
      <c r="BA422" s="120"/>
      <c r="BB422" s="120"/>
      <c r="BC422" s="120"/>
      <c r="BD422" s="120"/>
      <c r="BE422" s="120"/>
      <c r="BF422" s="120"/>
      <c r="BG422" s="120"/>
      <c r="BH422" s="120"/>
      <c r="BI422" s="120"/>
      <c r="BJ422" s="120"/>
      <c r="BK422" s="120"/>
      <c r="BL422" s="120"/>
      <c r="BM422" s="120"/>
      <c r="BN422" s="120"/>
      <c r="BO422" s="120"/>
      <c r="BP422" s="120"/>
      <c r="BQ422" s="120"/>
      <c r="BR422" s="120"/>
      <c r="BS422" s="120"/>
      <c r="BT422" s="120"/>
      <c r="BU422" s="120"/>
      <c r="BV422" s="120"/>
      <c r="BW422" s="120"/>
      <c r="BX422" s="120"/>
      <c r="BY422" s="120"/>
      <c r="BZ422" s="120"/>
      <c r="CA422" s="120"/>
      <c r="CB422" s="120"/>
      <c r="CC422" s="120"/>
      <c r="CD422" s="120"/>
      <c r="CE422" s="120"/>
      <c r="CF422" s="120"/>
      <c r="CG422" s="120"/>
      <c r="CH422" s="120"/>
      <c r="CI422" s="120"/>
      <c r="CJ422" s="120"/>
      <c r="CK422" s="120"/>
      <c r="CL422" s="120"/>
      <c r="CM422" s="120"/>
      <c r="CN422" s="120"/>
      <c r="CO422" s="120"/>
      <c r="CP422" s="120"/>
      <c r="CQ422" s="120"/>
      <c r="CR422" s="120"/>
      <c r="CS422" s="120"/>
      <c r="CT422" s="120"/>
      <c r="CU422" s="120"/>
      <c r="CV422" s="120"/>
      <c r="CW422" s="120"/>
      <c r="CX422" s="120"/>
      <c r="CY422" s="120"/>
      <c r="CZ422" s="120"/>
      <c r="DA422" s="120"/>
      <c r="DB422" s="120"/>
      <c r="DC422" s="120"/>
      <c r="DD422" s="120"/>
      <c r="DE422" s="120"/>
      <c r="DF422" s="120"/>
      <c r="DG422" s="120"/>
      <c r="DH422" s="120"/>
      <c r="DI422" s="120"/>
      <c r="DJ422" s="120"/>
      <c r="DK422" s="120"/>
      <c r="DL422" s="120"/>
      <c r="DM422" s="120"/>
      <c r="DN422" s="120"/>
      <c r="DO422" s="120"/>
      <c r="DP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120"/>
      <c r="EK422" s="120"/>
      <c r="EL422" s="120"/>
      <c r="EM422" s="120"/>
      <c r="EN422" s="120"/>
      <c r="EO422" s="120"/>
      <c r="EP422" s="120"/>
      <c r="EQ422" s="120"/>
      <c r="ER422" s="120"/>
      <c r="ES422" s="120"/>
      <c r="ET422" s="120"/>
      <c r="EU422" s="120"/>
      <c r="EV422" s="120"/>
      <c r="EW422" s="120"/>
      <c r="EX422" s="120"/>
      <c r="EY422" s="120"/>
    </row>
    <row r="423">
      <c r="A423" s="112" t="s">
        <v>67</v>
      </c>
      <c r="B423" s="112" t="s">
        <v>68</v>
      </c>
      <c r="C423" s="112" t="s">
        <v>409</v>
      </c>
      <c r="D423" s="113">
        <f t="shared" si="1"/>
        <v>616.8419333</v>
      </c>
      <c r="E423" s="114">
        <v>47.2151666666667</v>
      </c>
      <c r="F423" s="114"/>
      <c r="G423" s="114"/>
      <c r="H423" s="114"/>
      <c r="I423" s="114"/>
      <c r="J423" s="114"/>
      <c r="K423" s="114"/>
      <c r="L423" s="114">
        <v>0.6136</v>
      </c>
      <c r="M423" s="114"/>
      <c r="N423" s="114"/>
      <c r="O423" s="114">
        <v>5.0982</v>
      </c>
      <c r="P423" s="112"/>
      <c r="Q423" s="112"/>
      <c r="R423" s="112">
        <v>284.285583333334</v>
      </c>
      <c r="S423" s="112"/>
      <c r="T423" s="112"/>
      <c r="U423" s="112"/>
      <c r="V423" s="112"/>
      <c r="W423" s="112"/>
      <c r="X423" s="112">
        <v>2.8139</v>
      </c>
      <c r="Y423" s="112">
        <v>37.3491666666667</v>
      </c>
      <c r="Z423" s="112"/>
      <c r="AA423" s="113"/>
      <c r="AB423" s="112"/>
      <c r="AC423" s="112"/>
      <c r="AD423" s="112"/>
      <c r="AE423" s="112">
        <v>0.287483333333333</v>
      </c>
      <c r="AF423" s="112"/>
      <c r="AG423" s="112"/>
      <c r="AH423" s="112">
        <v>86.2114333333334</v>
      </c>
      <c r="AI423" s="112"/>
      <c r="AJ423" s="112"/>
      <c r="AK423" s="112"/>
      <c r="AL423" s="113"/>
      <c r="AM423" s="112"/>
      <c r="AN423" s="112">
        <v>2.00058333333333</v>
      </c>
      <c r="AO423" s="112">
        <v>80.2924666666667</v>
      </c>
      <c r="AP423" s="112"/>
      <c r="AQ423" s="113"/>
      <c r="AR423" s="112"/>
      <c r="AS423" s="112">
        <v>3.28743333333333</v>
      </c>
      <c r="AT423" s="112">
        <v>22.3240833333333</v>
      </c>
      <c r="AU423" s="112"/>
      <c r="AV423" s="112"/>
      <c r="AW423" s="112">
        <v>0.255366666666667</v>
      </c>
      <c r="AX423" s="112">
        <v>42.82465</v>
      </c>
      <c r="AY423" s="113"/>
      <c r="AZ423" s="112">
        <v>1.4043</v>
      </c>
      <c r="BA423" s="112">
        <v>0.578516666666667</v>
      </c>
      <c r="BB423" s="113"/>
      <c r="BC423" s="113"/>
      <c r="BD423" s="113"/>
      <c r="BE423" s="113"/>
      <c r="BF423" s="113"/>
      <c r="BG423" s="113"/>
      <c r="BH423" s="113"/>
      <c r="BI423" s="113"/>
      <c r="BJ423" s="113"/>
      <c r="BK423" s="113"/>
      <c r="BL423" s="113"/>
      <c r="BM423" s="113"/>
      <c r="BN423" s="113"/>
      <c r="BO423" s="113"/>
      <c r="BP423" s="113"/>
      <c r="BQ423" s="113"/>
      <c r="BR423" s="113"/>
      <c r="BS423" s="113"/>
      <c r="BT423" s="113"/>
      <c r="BU423" s="113"/>
      <c r="BV423" s="113"/>
      <c r="BW423" s="113"/>
      <c r="BX423" s="113"/>
      <c r="BY423" s="113"/>
      <c r="BZ423" s="113"/>
      <c r="CA423" s="113"/>
      <c r="CB423" s="113"/>
      <c r="CC423" s="113"/>
      <c r="CD423" s="113"/>
      <c r="CE423" s="113"/>
      <c r="CF423" s="113"/>
      <c r="CG423" s="113"/>
      <c r="CH423" s="113"/>
      <c r="CI423" s="113"/>
      <c r="CJ423" s="113"/>
      <c r="CK423" s="113"/>
      <c r="CL423" s="113"/>
      <c r="CM423" s="113"/>
      <c r="CN423" s="113"/>
      <c r="CO423" s="113"/>
      <c r="CP423" s="113"/>
      <c r="CQ423" s="113"/>
      <c r="CR423" s="113"/>
      <c r="CS423" s="113"/>
      <c r="CT423" s="113"/>
      <c r="CU423" s="113"/>
      <c r="CV423" s="113"/>
      <c r="CW423" s="113"/>
      <c r="CX423" s="113"/>
      <c r="CY423" s="113"/>
      <c r="CZ423" s="113"/>
      <c r="DA423" s="113"/>
      <c r="DB423" s="113"/>
      <c r="DC423" s="113"/>
      <c r="DD423" s="113"/>
      <c r="DE423" s="113"/>
      <c r="DF423" s="113"/>
      <c r="DG423" s="113"/>
      <c r="DH423" s="113"/>
      <c r="DI423" s="113"/>
      <c r="DJ423" s="113"/>
      <c r="DK423" s="113"/>
      <c r="DL423" s="113"/>
      <c r="DM423" s="113"/>
      <c r="DN423" s="113"/>
      <c r="DO423" s="113"/>
      <c r="DP423" s="113"/>
      <c r="DQ423" s="113"/>
      <c r="DR423" s="113"/>
      <c r="DS423" s="113"/>
      <c r="DT423" s="113"/>
      <c r="DU423" s="113"/>
      <c r="DV423" s="113"/>
      <c r="DW423" s="113"/>
      <c r="DX423" s="113"/>
      <c r="DY423" s="113"/>
      <c r="DZ423" s="113"/>
      <c r="EA423" s="113"/>
      <c r="EB423" s="113"/>
      <c r="EC423" s="113"/>
      <c r="ED423" s="113"/>
      <c r="EE423" s="113"/>
      <c r="EF423" s="113"/>
      <c r="EG423" s="113"/>
      <c r="EH423" s="113"/>
      <c r="EI423" s="113"/>
      <c r="EJ423" s="113"/>
      <c r="EK423" s="113"/>
      <c r="EL423" s="113"/>
      <c r="EM423" s="113"/>
      <c r="EN423" s="113"/>
      <c r="EO423" s="113"/>
      <c r="EP423" s="113"/>
      <c r="EQ423" s="113"/>
      <c r="ER423" s="113"/>
      <c r="ES423" s="113"/>
      <c r="ET423" s="113"/>
      <c r="EU423" s="113"/>
      <c r="EV423" s="113"/>
      <c r="EW423" s="113"/>
      <c r="EX423" s="113"/>
      <c r="EY423" s="113"/>
    </row>
    <row r="424">
      <c r="A424" s="65" t="s">
        <v>67</v>
      </c>
      <c r="B424" s="65" t="s">
        <v>68</v>
      </c>
      <c r="C424" s="65" t="s">
        <v>410</v>
      </c>
      <c r="D424" s="64">
        <f t="shared" si="1"/>
        <v>506.35285</v>
      </c>
      <c r="E424" s="104"/>
      <c r="F424" s="104">
        <v>13.06205</v>
      </c>
      <c r="G424" s="104">
        <v>6.01723333333333</v>
      </c>
      <c r="H424" s="104">
        <v>4.43545</v>
      </c>
      <c r="I424" s="104">
        <v>2.39288333333333</v>
      </c>
      <c r="J424" s="104">
        <v>3.17758333333333</v>
      </c>
      <c r="K424" s="104">
        <v>10.0576166666667</v>
      </c>
      <c r="L424" s="104"/>
      <c r="M424" s="104">
        <v>13.06205</v>
      </c>
      <c r="N424" s="104">
        <v>6.01723333333333</v>
      </c>
      <c r="O424" s="104"/>
      <c r="P424" s="65">
        <v>2.81696666666667</v>
      </c>
      <c r="Q424" s="65"/>
      <c r="R424" s="65"/>
      <c r="S424" s="65">
        <v>29.17725</v>
      </c>
      <c r="T424" s="65">
        <v>34.6353166666667</v>
      </c>
      <c r="U424" s="65">
        <v>18.1218166666667</v>
      </c>
      <c r="V424" s="65">
        <v>21.4283</v>
      </c>
      <c r="W424" s="65">
        <v>106.905633333333</v>
      </c>
      <c r="X424" s="65"/>
      <c r="Y424" s="65"/>
      <c r="Z424" s="65">
        <v>0.3628</v>
      </c>
      <c r="AA424" s="65">
        <v>7.23016666666667</v>
      </c>
      <c r="AB424" s="65">
        <v>10.1576666666667</v>
      </c>
      <c r="AC424" s="65">
        <v>3.08681666666667</v>
      </c>
      <c r="AD424" s="65">
        <v>7.18053333333333</v>
      </c>
      <c r="AE424" s="65"/>
      <c r="AF424" s="65">
        <v>0.3628</v>
      </c>
      <c r="AG424" s="65">
        <v>7.23016666666667</v>
      </c>
      <c r="AH424" s="65"/>
      <c r="AI424" s="65"/>
      <c r="AJ424" s="65">
        <v>51.2662833333333</v>
      </c>
      <c r="AK424" s="65">
        <v>9.5974</v>
      </c>
      <c r="AL424" s="65">
        <v>1.8523</v>
      </c>
      <c r="AM424" s="65">
        <v>20.3080166666667</v>
      </c>
      <c r="AN424" s="65"/>
      <c r="AP424" s="65">
        <v>22.09715</v>
      </c>
      <c r="AQ424" s="65">
        <v>13.1358</v>
      </c>
      <c r="AR424" s="65">
        <v>26.1435833333333</v>
      </c>
      <c r="AT424" s="65"/>
      <c r="AU424" s="65">
        <v>4.80495</v>
      </c>
      <c r="AV424" s="65">
        <v>10.4803666666667</v>
      </c>
      <c r="AY424" s="65">
        <v>39.7486666666667</v>
      </c>
    </row>
    <row r="425">
      <c r="A425" s="65" t="s">
        <v>67</v>
      </c>
      <c r="B425" s="65" t="s">
        <v>68</v>
      </c>
      <c r="C425" s="65" t="s">
        <v>411</v>
      </c>
      <c r="D425" s="64">
        <f t="shared" si="1"/>
        <v>0</v>
      </c>
      <c r="E425" s="115"/>
      <c r="F425" s="115"/>
      <c r="G425" s="115"/>
      <c r="H425" s="115"/>
      <c r="I425" s="115"/>
      <c r="J425" s="115"/>
      <c r="K425" s="115"/>
      <c r="L425" s="115"/>
      <c r="M425" s="115"/>
      <c r="N425" s="115"/>
      <c r="O425" s="115"/>
    </row>
    <row r="426">
      <c r="A426" s="65" t="s">
        <v>67</v>
      </c>
      <c r="B426" s="65" t="s">
        <v>68</v>
      </c>
      <c r="C426" s="65" t="s">
        <v>412</v>
      </c>
      <c r="D426" s="64">
        <f t="shared" si="1"/>
        <v>437.8760167</v>
      </c>
      <c r="E426" s="115"/>
      <c r="F426" s="117">
        <f>HYPERLINK("https://docs.google.com/spreadsheets/d/1IG4UoG-BmimjBWcdSrLfrFsUW1VvZzgy", 7.48553333333333)</f>
        <v>7.485533333</v>
      </c>
      <c r="G426" s="116">
        <f>HYPERLINK("https://docs.google.com/spreadsheets/d/1SCl7ghau5MOfDR6jlcIYhUXEPpSHKSSH", 6.01723333333333)</f>
        <v>6.017233333</v>
      </c>
      <c r="H426" s="116">
        <f>HYPERLINK("https://docs.google.com/spreadsheets/d/1GMa5SnyAVP9J2eTiihdaugVfNZjyGwt4", 4.43545)</f>
        <v>4.43545</v>
      </c>
      <c r="I426" s="117">
        <f>HYPERLINK("https://docs.google.com/spreadsheets/d/1A4m4eTfwTDqM8qT0H6ohLT7VhHeNjBE3", 2.39286666666667)</f>
        <v>2.392866667</v>
      </c>
      <c r="J426" s="116">
        <f>HYPERLINK("https://docs.google.com/spreadsheets/d/1WuidY3hy9nLvGdjuW-RFx8j_X7XirxKH", 2.42888333333333)</f>
        <v>2.428883333</v>
      </c>
      <c r="K426" s="117">
        <f>HYPERLINK("https://docs.google.com/spreadsheets/d/1cVh2kspAWOVucXVrc0X1KvsUh1BiB3WW", 9.60833333333333)</f>
        <v>9.608333333</v>
      </c>
      <c r="L426" s="115"/>
      <c r="M426" s="104"/>
      <c r="N426" s="115"/>
      <c r="O426" s="104"/>
      <c r="P426" s="118">
        <f>HYPERLINK("https://docs.google.com/spreadsheets/d/1jLnRdcVcgblxA-ooqcs9Kn9NSTIo_dTu", 2.81696666666667)</f>
        <v>2.816966667</v>
      </c>
      <c r="S426" s="118">
        <f>HYPERLINK("https://docs.google.com/spreadsheets/d/1SEOl0DftsvJUOJoCaqfDGVkqWzP_sYsv", 18.9067166666667)</f>
        <v>18.90671667</v>
      </c>
      <c r="T426" s="118">
        <f>HYPERLINK("https://docs.google.com/spreadsheets/d/1Sjc1-6ryT_Zb2ovqVR3pNp49z5oheY69", 34.215)</f>
        <v>34.215</v>
      </c>
      <c r="U426" s="118">
        <f>HYPERLINK("https://docs.google.com/spreadsheets/d/1pu-BFrUVLCnhCfBVHXdZJzHRnqQbCgUZ", 18.1218166666667)</f>
        <v>18.12181667</v>
      </c>
      <c r="V426" s="118">
        <f>HYPERLINK("https://docs.google.com/spreadsheets/d/1G-5NTRB4w6hoWSMLEatfEi96TADR32ze", 15.5014333333333)</f>
        <v>15.50143333</v>
      </c>
      <c r="W426" s="118">
        <f>HYPERLINK("https://docs.google.com/spreadsheets/d/1xKt-4pp9kfD0c1cDuerNWTUrwAszq8Nb", 106.303283333333)</f>
        <v>106.3032833</v>
      </c>
      <c r="Z426" s="118">
        <f>HYPERLINK("https://docs.google.com/spreadsheets/d/1riL_YDgGeImD7YQxh72vWcIwAMZJNn9m", 0.198466666666667)</f>
        <v>0.1984666667</v>
      </c>
      <c r="AA426" s="118">
        <f>HYPERLINK("https://docs.google.com/spreadsheets/d/1tU3gI0CWLZoPc6UKIar_lCtpZBteG4x0", 7.23016666666667)</f>
        <v>7.230166667</v>
      </c>
      <c r="AB426" s="118">
        <f>HYPERLINK("https://docs.google.com/spreadsheets/d/1rg5CzJZZbXGORE3F2TuO-xSpISzsy6zj", 10.15765)</f>
        <v>10.15765</v>
      </c>
      <c r="AC426" s="118">
        <f>HYPERLINK("https://docs.google.com/spreadsheets/d/1DWHOtEEkE3cZA0rnOtDUJ-SmEGOU6Pj2", 2.36343333333333)</f>
        <v>2.363433333</v>
      </c>
      <c r="AD426" s="118">
        <f>HYPERLINK("https://docs.google.com/spreadsheets/d/1vS0D7HnJNUA_FP9x1sj5G9Fv1SAxuT35", 7.18048333333333)</f>
        <v>7.180483333</v>
      </c>
      <c r="AJ426" s="118">
        <f>HYPERLINK("https://docs.google.com/spreadsheets/d/1JZ4fg5pfjyg5iaF56jS2xmA8Klnr1_oP", 51.2662666666667)</f>
        <v>51.26626667</v>
      </c>
      <c r="AK426" s="118">
        <f>HYPERLINK("https://docs.google.com/spreadsheets/d/1pw6LgWMYIyJfsW8c99qIQP72MlgUO72Z", 9.5974)</f>
        <v>9.5974</v>
      </c>
      <c r="AL426" s="118">
        <f>HYPERLINK("https://docs.google.com/spreadsheets/d/1wTShcYOZnoW8J-cD4JoYdqo-r3vd4GCW", 1.8523)</f>
        <v>1.8523</v>
      </c>
      <c r="AM426" s="118">
        <f>HYPERLINK("https://docs.google.com/spreadsheets/d/1JQesny0dHDWoJMsPIqHcbmusvz3WzTbj", 20.3079666666667)</f>
        <v>20.30796667</v>
      </c>
      <c r="AP426" s="118">
        <f>HYPERLINK("https://docs.google.com/spreadsheets/d/1RaquXrCZ_lSG0aDhOn7kU0w1eNZ_ZOLb", 6.83345)</f>
        <v>6.83345</v>
      </c>
      <c r="AQ426" s="118">
        <f>HYPERLINK("https://docs.google.com/spreadsheets/d/18ESJoXUqTux8GFlGbic3OvtZuvKOTQmU", 12.5169666666667)</f>
        <v>12.51696667</v>
      </c>
      <c r="AR426" s="118">
        <f>HYPERLINK("https://docs.google.com/spreadsheets/d/1tcHR-lQ8koFuuWCgA-gOfP9IYF1UmG9p", 26.14355)</f>
        <v>26.14355</v>
      </c>
      <c r="AU426" s="118">
        <f>HYPERLINK("https://docs.google.com/spreadsheets/d/1qbwiTmkN2QFTcv-0QdQckE_tZwHWGYgS", 3.97065)</f>
        <v>3.97065</v>
      </c>
      <c r="AV426" s="118">
        <f>HYPERLINK("https://docs.google.com/spreadsheets/d/12ZsuPgnNyReu5P1Xlso9fDEK-uhQfRoX", 10.2750833333333)</f>
        <v>10.27508333</v>
      </c>
      <c r="AY426" s="118">
        <f>HYPERLINK("https://docs.google.com/spreadsheets/d/1LSLjNgac2TOJsfLMCW2z_m12xLLwCpYh", 39.7486666666667)</f>
        <v>39.74866667</v>
      </c>
    </row>
    <row r="427">
      <c r="A427" s="65" t="s">
        <v>67</v>
      </c>
      <c r="B427" s="65" t="s">
        <v>68</v>
      </c>
      <c r="C427" s="65" t="s">
        <v>413</v>
      </c>
      <c r="D427" s="64">
        <f t="shared" si="1"/>
        <v>323.5636667</v>
      </c>
      <c r="E427" s="115"/>
      <c r="F427" s="104">
        <v>1.04526666666667</v>
      </c>
      <c r="G427" s="104">
        <v>0.475083333333336</v>
      </c>
      <c r="H427" s="104">
        <v>0.219016666666667</v>
      </c>
      <c r="I427" s="104">
        <v>0.0</v>
      </c>
      <c r="J427" s="104">
        <v>0.0</v>
      </c>
      <c r="K427" s="104">
        <v>9.60833333333333</v>
      </c>
      <c r="L427" s="104"/>
      <c r="M427" s="104"/>
      <c r="N427" s="104"/>
      <c r="O427" s="104"/>
      <c r="P427" s="65">
        <v>2.81696666666667</v>
      </c>
      <c r="Q427" s="65"/>
      <c r="R427" s="65"/>
      <c r="S427" s="65">
        <v>10.4488166666667</v>
      </c>
      <c r="T427" s="65">
        <v>34.215</v>
      </c>
      <c r="U427" s="65">
        <v>4.40743333333333</v>
      </c>
      <c r="V427" s="65">
        <v>2.28925</v>
      </c>
      <c r="W427" s="65">
        <v>106.303283333333</v>
      </c>
      <c r="X427" s="65"/>
      <c r="Y427" s="65"/>
      <c r="Z427" s="65">
        <v>0.06355</v>
      </c>
      <c r="AA427" s="65">
        <v>4.3745</v>
      </c>
      <c r="AB427" s="65">
        <v>3.35445</v>
      </c>
      <c r="AC427" s="65">
        <v>0.2097</v>
      </c>
      <c r="AD427" s="65">
        <v>1.77663333333333</v>
      </c>
      <c r="AE427" s="65"/>
      <c r="AF427" s="65"/>
      <c r="AG427" s="65"/>
      <c r="AH427" s="65"/>
      <c r="AI427" s="65"/>
      <c r="AJ427" s="65">
        <v>51.2662666666667</v>
      </c>
      <c r="AK427" s="65">
        <v>2.14056666666667</v>
      </c>
      <c r="AL427" s="65">
        <v>0.415533333333334</v>
      </c>
      <c r="AM427" s="65">
        <v>20.1748</v>
      </c>
      <c r="AN427" s="65"/>
      <c r="AP427" s="65">
        <v>6.83345</v>
      </c>
      <c r="AQ427" s="65">
        <v>1.82886666666667</v>
      </c>
      <c r="AR427" s="65">
        <v>26.14355</v>
      </c>
      <c r="AT427" s="65"/>
      <c r="AU427" s="65">
        <v>1.19848333333333</v>
      </c>
      <c r="AV427" s="65">
        <v>3.3533</v>
      </c>
      <c r="AY427" s="65">
        <v>28.6015666666667</v>
      </c>
    </row>
    <row r="428">
      <c r="A428" s="119" t="s">
        <v>67</v>
      </c>
      <c r="B428" s="119" t="s">
        <v>68</v>
      </c>
      <c r="C428" s="119" t="s">
        <v>414</v>
      </c>
      <c r="D428" s="120">
        <f t="shared" si="1"/>
        <v>3.97065</v>
      </c>
      <c r="E428" s="121"/>
      <c r="F428" s="122">
        <f>HYPERLINK("https://docs.google.com/spreadsheets/d/1IG4UoG-BmimjBWcdSrLfrFsUW1VvZzgy", 0)</f>
        <v>0</v>
      </c>
      <c r="G428" s="122">
        <f>HYPERLINK("https://docs.google.com/spreadsheets/d/1SCl7ghau5MOfDR6jlcIYhUXEPpSHKSSH", 0)</f>
        <v>0</v>
      </c>
      <c r="H428" s="122">
        <f>HYPERLINK("https://docs.google.com/spreadsheets/d/1GMa5SnyAVP9J2eTiihdaugVfNZjyGwt4", 0)</f>
        <v>0</v>
      </c>
      <c r="I428" s="122">
        <f>HYPERLINK("https://docs.google.com/spreadsheets/d/1A4m4eTfwTDqM8qT0H6ohLT7VhHeNjBE3", 0)</f>
        <v>0</v>
      </c>
      <c r="J428" s="122">
        <f>HYPERLINK("https://docs.google.com/spreadsheets/d/1WuidY3hy9nLvGdjuW-RFx8j_X7XirxKH", 0)</f>
        <v>0</v>
      </c>
      <c r="K428" s="122">
        <f>HYPERLINK("https://docs.google.com/spreadsheets/d/1cVh2kspAWOVucXVrc0X1KvsUh1BiB3WW", 0)</f>
        <v>0</v>
      </c>
      <c r="L428" s="121"/>
      <c r="M428" s="121"/>
      <c r="N428" s="123"/>
      <c r="O428" s="121"/>
      <c r="P428" s="124">
        <f>HYPERLINK("https://docs.google.com/spreadsheets/d/1jLnRdcVcgblxA-ooqcs9Kn9NSTIo_dTu", 0)</f>
        <v>0</v>
      </c>
      <c r="Q428" s="119"/>
      <c r="R428" s="119"/>
      <c r="S428" s="124">
        <f>HYPERLINK("https://docs.google.com/spreadsheets/d/1SEOl0DftsvJUOJoCaqfDGVkqWzP_sYsv", 0)</f>
        <v>0</v>
      </c>
      <c r="T428" s="125">
        <f>HYPERLINK("https://docs.google.com/spreadsheets/d/1Sjc1-6ryT_Zb2ovqVR3pNp49z5oheY69", 0)</f>
        <v>0</v>
      </c>
      <c r="U428" s="125">
        <f>HYPERLINK("https://docs.google.com/spreadsheets/d/1pu-BFrUVLCnhCfBVHXdZJzHRnqQbCgUZ", 0)</f>
        <v>0</v>
      </c>
      <c r="V428" s="124">
        <f>HYPERLINK("https://docs.google.com/spreadsheets/d/1G-5NTRB4w6hoWSMLEatfEi96TADR32ze", 0)</f>
        <v>0</v>
      </c>
      <c r="W428" s="124">
        <f>HYPERLINK("https://docs.google.com/spreadsheets/d/1xKt-4pp9kfD0c1cDuerNWTUrwAszq8Nb", 0)</f>
        <v>0</v>
      </c>
      <c r="X428" s="119"/>
      <c r="Y428" s="119"/>
      <c r="Z428" s="124">
        <f>HYPERLINK("https://docs.google.com/spreadsheets/d/1riL_YDgGeImD7YQxh72vWcIwAMZJNn9m", 0)</f>
        <v>0</v>
      </c>
      <c r="AA428" s="124">
        <f>HYPERLINK("https://docs.google.com/spreadsheets/d/1tU3gI0CWLZoPc6UKIar_lCtpZBteG4x0", 0)</f>
        <v>0</v>
      </c>
      <c r="AB428" s="124">
        <f>HYPERLINK("https://docs.google.com/spreadsheets/d/1rg5CzJZZbXGORE3F2TuO-xSpISzsy6zj", 0)</f>
        <v>0</v>
      </c>
      <c r="AC428" s="124">
        <f>HYPERLINK("https://docs.google.com/spreadsheets/d/1DWHOtEEkE3cZA0rnOtDUJ-SmEGOU6Pj2", 0)</f>
        <v>0</v>
      </c>
      <c r="AD428" s="124">
        <f>HYPERLINK("https://docs.google.com/spreadsheets/d/1vS0D7HnJNUA_FP9x1sj5G9Fv1SAxuT35", 0)</f>
        <v>0</v>
      </c>
      <c r="AE428" s="120"/>
      <c r="AF428" s="119"/>
      <c r="AG428" s="119"/>
      <c r="AH428" s="119"/>
      <c r="AI428" s="119"/>
      <c r="AJ428" s="124">
        <f>HYPERLINK("https://docs.google.com/spreadsheets/d/1JZ4fg5pfjyg5iaF56jS2xmA8Klnr1_oP", 0)</f>
        <v>0</v>
      </c>
      <c r="AK428" s="124">
        <f>HYPERLINK("https://docs.google.com/spreadsheets/d/1pw6LgWMYIyJfsW8c99qIQP72MlgUO72Z", 0)</f>
        <v>0</v>
      </c>
      <c r="AL428" s="125">
        <f>HYPERLINK("https://docs.google.com/spreadsheets/d/1wTShcYOZnoW8J-cD4JoYdqo-r3vd4GCW", 0)</f>
        <v>0</v>
      </c>
      <c r="AM428" s="124">
        <f>HYPERLINK("https://docs.google.com/spreadsheets/d/1JQesny0dHDWoJMsPIqHcbmusvz3WzTbj", 0)</f>
        <v>0</v>
      </c>
      <c r="AN428" s="119"/>
      <c r="AO428" s="120"/>
      <c r="AP428" s="124">
        <f>HYPERLINK("https://docs.google.com/spreadsheets/d/1RaquXrCZ_lSG0aDhOn7kU0w1eNZ_ZOLb", 0)</f>
        <v>0</v>
      </c>
      <c r="AQ428" s="125">
        <f>HYPERLINK("https://docs.google.com/spreadsheets/d/18ESJoXUqTux8GFlGbic3OvtZuvKOTQmU", 0)</f>
        <v>0</v>
      </c>
      <c r="AR428" s="125">
        <f>HYPERLINK("https://docs.google.com/spreadsheets/d/1tcHR-lQ8koFuuWCgA-gOfP9IYF1UmG9p", 0)</f>
        <v>0</v>
      </c>
      <c r="AS428" s="120"/>
      <c r="AT428" s="120"/>
      <c r="AU428" s="125">
        <f>HYPERLINK("https://docs.google.com/spreadsheets/d/1qbwiTmkN2QFTcv-0QdQckE_tZwHWGYgS", 3.97065)</f>
        <v>3.97065</v>
      </c>
      <c r="AV428" s="124">
        <f>HYPERLINK("https://docs.google.com/spreadsheets/d/12ZsuPgnNyReu5P1Xlso9fDEK-uhQfRoX", 0)</f>
        <v>0</v>
      </c>
      <c r="AW428" s="120"/>
      <c r="AX428" s="120"/>
      <c r="AY428" s="124">
        <f>HYPERLINK("https://docs.google.com/spreadsheets/d/1LSLjNgac2TOJsfLMCW2z_m12xLLwCpYh", 0)</f>
        <v>0</v>
      </c>
      <c r="AZ428" s="120"/>
      <c r="BA428" s="120"/>
      <c r="BB428" s="120"/>
      <c r="BC428" s="120"/>
      <c r="BD428" s="120"/>
      <c r="BE428" s="120"/>
      <c r="BF428" s="120"/>
      <c r="BG428" s="120"/>
      <c r="BH428" s="120"/>
      <c r="BI428" s="120"/>
      <c r="BJ428" s="120"/>
      <c r="BK428" s="120"/>
      <c r="BL428" s="120"/>
      <c r="BM428" s="120"/>
      <c r="BN428" s="120"/>
      <c r="BO428" s="120"/>
      <c r="BP428" s="120"/>
      <c r="BQ428" s="120"/>
      <c r="BR428" s="120"/>
      <c r="BS428" s="120"/>
      <c r="BT428" s="120"/>
      <c r="BU428" s="120"/>
      <c r="BV428" s="120"/>
      <c r="BW428" s="120"/>
      <c r="BX428" s="120"/>
      <c r="BY428" s="120"/>
      <c r="BZ428" s="120"/>
      <c r="CA428" s="120"/>
      <c r="CB428" s="120"/>
      <c r="CC428" s="120"/>
      <c r="CD428" s="120"/>
      <c r="CE428" s="120"/>
      <c r="CF428" s="120"/>
      <c r="CG428" s="120"/>
      <c r="CH428" s="120"/>
      <c r="CI428" s="120"/>
      <c r="CJ428" s="120"/>
      <c r="CK428" s="120"/>
      <c r="CL428" s="120"/>
      <c r="CM428" s="120"/>
      <c r="CN428" s="120"/>
      <c r="CO428" s="120"/>
      <c r="CP428" s="120"/>
      <c r="CQ428" s="120"/>
      <c r="CR428" s="120"/>
      <c r="CS428" s="120"/>
      <c r="CT428" s="120"/>
      <c r="CU428" s="120"/>
      <c r="CV428" s="120"/>
      <c r="CW428" s="120"/>
      <c r="CX428" s="120"/>
      <c r="CY428" s="120"/>
      <c r="CZ428" s="120"/>
      <c r="DA428" s="120"/>
      <c r="DB428" s="120"/>
      <c r="DC428" s="120"/>
      <c r="DD428" s="120"/>
      <c r="DE428" s="120"/>
      <c r="DF428" s="120"/>
      <c r="DG428" s="120"/>
      <c r="DH428" s="120"/>
      <c r="DI428" s="120"/>
      <c r="DJ428" s="120"/>
      <c r="DK428" s="120"/>
      <c r="DL428" s="120"/>
      <c r="DM428" s="120"/>
      <c r="DN428" s="120"/>
      <c r="DO428" s="120"/>
      <c r="DP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120"/>
      <c r="EK428" s="120"/>
      <c r="EL428" s="120"/>
      <c r="EM428" s="120"/>
      <c r="EN428" s="120"/>
      <c r="EO428" s="120"/>
      <c r="EP428" s="120"/>
      <c r="EQ428" s="120"/>
      <c r="ER428" s="120"/>
      <c r="ES428" s="120"/>
      <c r="ET428" s="120"/>
      <c r="EU428" s="120"/>
      <c r="EV428" s="120"/>
      <c r="EW428" s="120"/>
      <c r="EX428" s="120"/>
      <c r="EY428" s="120"/>
    </row>
    <row r="429">
      <c r="A429" s="112" t="s">
        <v>67</v>
      </c>
      <c r="B429" s="112" t="s">
        <v>93</v>
      </c>
      <c r="C429" s="112" t="s">
        <v>409</v>
      </c>
      <c r="D429" s="113">
        <f t="shared" si="1"/>
        <v>580.2250833</v>
      </c>
      <c r="E429" s="114">
        <v>46.6729</v>
      </c>
      <c r="F429" s="114"/>
      <c r="G429" s="114"/>
      <c r="H429" s="114"/>
      <c r="I429" s="114"/>
      <c r="J429" s="114"/>
      <c r="K429" s="114"/>
      <c r="L429" s="114">
        <v>0.61235</v>
      </c>
      <c r="M429" s="114"/>
      <c r="N429" s="114"/>
      <c r="O429" s="114">
        <v>13.2235166666667</v>
      </c>
      <c r="P429" s="112"/>
      <c r="Q429" s="112">
        <v>0.21325</v>
      </c>
      <c r="R429" s="112">
        <v>283.647816666667</v>
      </c>
      <c r="S429" s="112"/>
      <c r="T429" s="112"/>
      <c r="U429" s="112"/>
      <c r="V429" s="112"/>
      <c r="W429" s="112"/>
      <c r="X429" s="112">
        <v>3.03406666666667</v>
      </c>
      <c r="Y429" s="112">
        <v>11.0774</v>
      </c>
      <c r="Z429" s="112"/>
      <c r="AA429" s="113"/>
      <c r="AB429" s="112"/>
      <c r="AC429" s="112"/>
      <c r="AD429" s="112"/>
      <c r="AE429" s="112">
        <v>0.0909</v>
      </c>
      <c r="AF429" s="112"/>
      <c r="AG429" s="112"/>
      <c r="AH429" s="112">
        <v>94.2614666666667</v>
      </c>
      <c r="AI429" s="112"/>
      <c r="AJ429" s="112"/>
      <c r="AK429" s="112"/>
      <c r="AL429" s="113"/>
      <c r="AM429" s="112"/>
      <c r="AN429" s="112">
        <v>1.5115</v>
      </c>
      <c r="AO429" s="112">
        <v>43.2085833333333</v>
      </c>
      <c r="AP429" s="112"/>
      <c r="AQ429" s="113"/>
      <c r="AR429" s="112"/>
      <c r="AS429" s="112">
        <v>3.99481666666667</v>
      </c>
      <c r="AT429" s="112">
        <v>19.4255333333333</v>
      </c>
      <c r="AU429" s="112"/>
      <c r="AV429" s="112"/>
      <c r="AW429" s="112">
        <v>2.45208333333333</v>
      </c>
      <c r="AX429" s="112">
        <v>53.8763999999999</v>
      </c>
      <c r="AY429" s="113"/>
      <c r="AZ429" s="112">
        <v>2.35378333333333</v>
      </c>
      <c r="BA429" s="112">
        <v>0.568716666666667</v>
      </c>
      <c r="BB429" s="113"/>
      <c r="BC429" s="113"/>
      <c r="BD429" s="113"/>
      <c r="BE429" s="113"/>
      <c r="BF429" s="113"/>
      <c r="BG429" s="113"/>
      <c r="BH429" s="113"/>
      <c r="BI429" s="113"/>
      <c r="BJ429" s="113"/>
      <c r="BK429" s="113"/>
      <c r="BL429" s="113"/>
      <c r="BM429" s="113"/>
      <c r="BN429" s="113"/>
      <c r="BO429" s="113"/>
      <c r="BP429" s="113"/>
      <c r="BQ429" s="113"/>
      <c r="BR429" s="113"/>
      <c r="BS429" s="113"/>
      <c r="BT429" s="113"/>
      <c r="BU429" s="113"/>
      <c r="BV429" s="113"/>
      <c r="BW429" s="113"/>
      <c r="BX429" s="113"/>
      <c r="BY429" s="113"/>
      <c r="BZ429" s="113"/>
      <c r="CA429" s="113"/>
      <c r="CB429" s="113"/>
      <c r="CC429" s="113"/>
      <c r="CD429" s="113"/>
      <c r="CE429" s="113"/>
      <c r="CF429" s="113"/>
      <c r="CG429" s="113"/>
      <c r="CH429" s="113"/>
      <c r="CI429" s="113"/>
      <c r="CJ429" s="113"/>
      <c r="CK429" s="113"/>
      <c r="CL429" s="113"/>
      <c r="CM429" s="113"/>
      <c r="CN429" s="113"/>
      <c r="CO429" s="113"/>
      <c r="CP429" s="113"/>
      <c r="CQ429" s="113"/>
      <c r="CR429" s="113"/>
      <c r="CS429" s="113"/>
      <c r="CT429" s="113"/>
      <c r="CU429" s="113"/>
      <c r="CV429" s="113"/>
      <c r="CW429" s="113"/>
      <c r="CX429" s="113"/>
      <c r="CY429" s="113"/>
      <c r="CZ429" s="113"/>
      <c r="DA429" s="113"/>
      <c r="DB429" s="113"/>
      <c r="DC429" s="113"/>
      <c r="DD429" s="113"/>
      <c r="DE429" s="113"/>
      <c r="DF429" s="113"/>
      <c r="DG429" s="113"/>
      <c r="DH429" s="113"/>
      <c r="DI429" s="113"/>
      <c r="DJ429" s="113"/>
      <c r="DK429" s="113"/>
      <c r="DL429" s="113"/>
      <c r="DM429" s="113"/>
      <c r="DN429" s="113"/>
      <c r="DO429" s="113"/>
      <c r="DP429" s="113"/>
      <c r="DQ429" s="113"/>
      <c r="DR429" s="113"/>
      <c r="DS429" s="113"/>
      <c r="DT429" s="113"/>
      <c r="DU429" s="113"/>
      <c r="DV429" s="113"/>
      <c r="DW429" s="113"/>
      <c r="DX429" s="113"/>
      <c r="DY429" s="113"/>
      <c r="DZ429" s="113"/>
      <c r="EA429" s="113"/>
      <c r="EB429" s="113"/>
      <c r="EC429" s="113"/>
      <c r="ED429" s="113"/>
      <c r="EE429" s="113"/>
      <c r="EF429" s="113"/>
      <c r="EG429" s="113"/>
      <c r="EH429" s="113"/>
      <c r="EI429" s="113"/>
      <c r="EJ429" s="113"/>
      <c r="EK429" s="113"/>
      <c r="EL429" s="113"/>
      <c r="EM429" s="113"/>
      <c r="EN429" s="113"/>
      <c r="EO429" s="113"/>
      <c r="EP429" s="113"/>
      <c r="EQ429" s="113"/>
      <c r="ER429" s="113"/>
      <c r="ES429" s="113"/>
      <c r="ET429" s="113"/>
      <c r="EU429" s="113"/>
      <c r="EV429" s="113"/>
      <c r="EW429" s="113"/>
      <c r="EX429" s="113"/>
      <c r="EY429" s="113"/>
    </row>
    <row r="430">
      <c r="A430" s="65" t="s">
        <v>67</v>
      </c>
      <c r="B430" s="65" t="s">
        <v>93</v>
      </c>
      <c r="C430" s="65" t="s">
        <v>410</v>
      </c>
      <c r="D430" s="64">
        <f t="shared" si="1"/>
        <v>497.1387833</v>
      </c>
      <c r="E430" s="104"/>
      <c r="F430" s="104">
        <v>17.0268166666667</v>
      </c>
      <c r="G430" s="104">
        <v>2.93123333333333</v>
      </c>
      <c r="H430" s="104">
        <v>1.59108333333333</v>
      </c>
      <c r="I430" s="104"/>
      <c r="J430" s="104">
        <v>0.231533333333333</v>
      </c>
      <c r="K430" s="104">
        <v>13.6833666666667</v>
      </c>
      <c r="L430" s="104"/>
      <c r="M430" s="104">
        <v>17.0268166666667</v>
      </c>
      <c r="N430" s="104">
        <v>2.93123333333333</v>
      </c>
      <c r="O430" s="104"/>
      <c r="P430" s="65">
        <v>6.4336</v>
      </c>
      <c r="Q430" s="65"/>
      <c r="R430" s="65"/>
      <c r="S430" s="65">
        <v>63.0317333333333</v>
      </c>
      <c r="T430" s="65">
        <v>50.8953833333333</v>
      </c>
      <c r="U430" s="65">
        <v>30.29205</v>
      </c>
      <c r="V430" s="65">
        <v>35.5218166666667</v>
      </c>
      <c r="W430" s="65">
        <v>70.6761833333333</v>
      </c>
      <c r="X430" s="65"/>
      <c r="Y430" s="65"/>
      <c r="Z430" s="65">
        <v>1.39565</v>
      </c>
      <c r="AA430" s="65">
        <v>3.66453333333333</v>
      </c>
      <c r="AB430" s="65">
        <v>0.99235</v>
      </c>
      <c r="AC430" s="65">
        <v>1.30321666666667</v>
      </c>
      <c r="AD430" s="65">
        <v>0.8743</v>
      </c>
      <c r="AE430" s="65"/>
      <c r="AF430" s="65">
        <v>1.39565</v>
      </c>
      <c r="AG430" s="65">
        <v>3.66453333333333</v>
      </c>
      <c r="AH430" s="65"/>
      <c r="AI430" s="65">
        <v>13.32465</v>
      </c>
      <c r="AJ430" s="65">
        <v>29.89665</v>
      </c>
      <c r="AK430" s="65">
        <v>20.4595833333333</v>
      </c>
      <c r="AL430" s="65">
        <v>5.85343333333333</v>
      </c>
      <c r="AM430" s="65">
        <v>19.0744833333333</v>
      </c>
      <c r="AN430" s="65"/>
      <c r="AP430" s="65">
        <v>9.12525</v>
      </c>
      <c r="AQ430" s="65">
        <v>2.51603333333333</v>
      </c>
      <c r="AR430" s="65">
        <v>16.39655</v>
      </c>
      <c r="AT430" s="65"/>
      <c r="AU430" s="65">
        <v>3.04951666666667</v>
      </c>
      <c r="AV430" s="65">
        <v>10.4493166666667</v>
      </c>
      <c r="AY430" s="65">
        <v>41.4302333333333</v>
      </c>
    </row>
    <row r="431">
      <c r="A431" s="65" t="s">
        <v>67</v>
      </c>
      <c r="B431" s="65" t="s">
        <v>93</v>
      </c>
      <c r="C431" s="65" t="s">
        <v>411</v>
      </c>
      <c r="D431" s="64">
        <f t="shared" si="1"/>
        <v>0</v>
      </c>
      <c r="E431" s="115"/>
      <c r="F431" s="115"/>
      <c r="G431" s="115"/>
      <c r="H431" s="115"/>
      <c r="I431" s="115"/>
      <c r="J431" s="115"/>
      <c r="K431" s="115"/>
      <c r="L431" s="115"/>
      <c r="M431" s="115"/>
      <c r="N431" s="115"/>
      <c r="O431" s="115"/>
    </row>
    <row r="432">
      <c r="A432" s="65" t="s">
        <v>67</v>
      </c>
      <c r="B432" s="65" t="s">
        <v>93</v>
      </c>
      <c r="C432" s="65" t="s">
        <v>412</v>
      </c>
      <c r="D432" s="64">
        <f t="shared" si="1"/>
        <v>422.0769333</v>
      </c>
      <c r="E432" s="115"/>
      <c r="F432" s="117">
        <f>HYPERLINK("https://docs.google.com/spreadsheets/d/1rsGMBrPmVtiUhNxW14fm39A0yECFxEqO", 13.9288833333333)</f>
        <v>13.92888333</v>
      </c>
      <c r="G432" s="116">
        <f>HYPERLINK("https://docs.google.com/spreadsheets/d/130XSQo2ybPRxCjDlimu04me73sbD8VPE", 2.93123333333333)</f>
        <v>2.931233333</v>
      </c>
      <c r="H432" s="116">
        <f>HYPERLINK("https://docs.google.com/spreadsheets/d/1klHaygOwYpFCb1owcfMjxfqPp5SF8AOo", 1.59108333333333)</f>
        <v>1.591083333</v>
      </c>
      <c r="I432" s="104"/>
      <c r="J432" s="116">
        <f>HYPERLINK("https://docs.google.com/spreadsheets/d/1DCaqK69gMzZ8YDy-co80G80GnadKjvnY", 0)</f>
        <v>0</v>
      </c>
      <c r="K432" s="117">
        <f>HYPERLINK("https://docs.google.com/spreadsheets/d/1JVRbYVWB2flYUQA7dDxRE-qgXMLML6dL", 13.0264833333333)</f>
        <v>13.02648333</v>
      </c>
      <c r="L432" s="115"/>
      <c r="M432" s="104"/>
      <c r="N432" s="115"/>
      <c r="O432" s="104"/>
      <c r="P432" s="118">
        <f>HYPERLINK("https://docs.google.com/spreadsheets/d/1fzOXe6dIuzXFUoLN8vS577EAvSZbkX7j", 6.4336)</f>
        <v>6.4336</v>
      </c>
      <c r="S432" s="118">
        <f>HYPERLINK("https://docs.google.com/spreadsheets/d/1R3urg4JqM3I90fw0PSfotkuqjdhHOQ7i", 28.7788166666667)</f>
        <v>28.77881667</v>
      </c>
      <c r="T432" s="118">
        <f>HYPERLINK("https://docs.google.com/spreadsheets/d/16_tPwI2k9K6CSu8OaWlAuP7Eu3UcVeH3", 50.89535)</f>
        <v>50.89535</v>
      </c>
      <c r="U432" s="118">
        <f>HYPERLINK("https://docs.google.com/spreadsheets/d/1cro6Ue_TRnqo5rVP0yBalLnGaxzOs4dl", 30.292)</f>
        <v>30.292</v>
      </c>
      <c r="V432" s="118">
        <f>HYPERLINK("https://docs.google.com/spreadsheets/d/1JCEfVcrJtoGBNpfPsOGkMl2A3bcvv92w", 32.4136833333333)</f>
        <v>32.41368333</v>
      </c>
      <c r="W432" s="118">
        <f>HYPERLINK("https://docs.google.com/spreadsheets/d/1pvOqW6VFoVPvnPcG3mhhdOGN0_hZmAmR", 70.1158666666667)</f>
        <v>70.11586667</v>
      </c>
      <c r="Z432" s="118">
        <f>HYPERLINK("https://docs.google.com/spreadsheets/d/1LDnDDWvJDAT8Dsx69SawY7OIXqgtXvbJ", 0.243666666666667)</f>
        <v>0.2436666667</v>
      </c>
      <c r="AA432" s="118">
        <f>HYPERLINK("https://docs.google.com/spreadsheets/d/1X_fXmAh4kk7aeMmZS12o8vwBUMOgH6jZ", 3.66451666666667)</f>
        <v>3.664516667</v>
      </c>
      <c r="AB432" s="118">
        <f>HYPERLINK("https://docs.google.com/spreadsheets/d/1Fq1O5SyXelYGOM2-qLApGyRFQDcGzvxE", 0.99235)</f>
        <v>0.99235</v>
      </c>
      <c r="AC432" s="118">
        <f>HYPERLINK("https://docs.google.com/spreadsheets/d/1JG4-JEGy3mvLiOpbvjJJnCbEU3nb8XCZ", 0.9911)</f>
        <v>0.9911</v>
      </c>
      <c r="AD432" s="118">
        <f>HYPERLINK("https://docs.google.com/spreadsheets/d/1cu70IfPvM3GXOmDvN4q9HgQEZVYhXdsu", 0.8743)</f>
        <v>0.8743</v>
      </c>
      <c r="AI432" s="118">
        <f>HYPERLINK("https://docs.google.com/spreadsheets/d/1TzGfRMN2wKxGwz5DtBZtWxp9qn6X1eaU", 11.0687666666667)</f>
        <v>11.06876667</v>
      </c>
      <c r="AJ432" s="118">
        <f>HYPERLINK("https://docs.google.com/spreadsheets/d/1RUbuLwagBRieTNCsX5HTDf_m5Rz5NxsU", 29.6956333333333)</f>
        <v>29.69563333</v>
      </c>
      <c r="AK432" s="118">
        <f>HYPERLINK("https://docs.google.com/spreadsheets/d/1bfHslzsLveJHIMDmC1J-yN5bH2p7jpIc", 20.4596)</f>
        <v>20.4596</v>
      </c>
      <c r="AL432" s="118">
        <f>HYPERLINK("https://docs.google.com/spreadsheets/d/1LDttRyd8NoBqevapAMJs4uJrAODSq88_", 5.85343333333333)</f>
        <v>5.853433333</v>
      </c>
      <c r="AM432" s="118">
        <f>HYPERLINK("https://docs.google.com/spreadsheets/d/1sydvBNi0RNzy6i0dxbXt9m68cofIuBxY", 19.0744833333333)</f>
        <v>19.07448333</v>
      </c>
      <c r="AP432" s="118">
        <f>HYPERLINK("https://docs.google.com/spreadsheets/d/19uE-R_DoxB8az_nzlyP2zxZKXw3-S1G7", 5.06821666666667)</f>
        <v>5.068216667</v>
      </c>
      <c r="AQ432" s="118">
        <f>HYPERLINK("https://docs.google.com/spreadsheets/d/1UZvUzme29bQqb4SUN-LvwD8CJR4YXVlO", 2.51603333333333)</f>
        <v>2.516033333</v>
      </c>
      <c r="AR432" s="118">
        <f>HYPERLINK("https://docs.google.com/spreadsheets/d/1N913bON18XW94c1RlQRcRyLxZQPU8cIp", 16.39655)</f>
        <v>16.39655</v>
      </c>
      <c r="AU432" s="118">
        <f>HYPERLINK("https://docs.google.com/spreadsheets/d/1ydYgg00Ai-TGmaj7KQdk-zSPy-QZfErT", 3.04951666666667)</f>
        <v>3.049516667</v>
      </c>
      <c r="AV432" s="118">
        <f>HYPERLINK("https://docs.google.com/spreadsheets/d/1eWzxeGydZQUMAy_TJ4KQScMMY1WchXVY", 10.4492666666667)</f>
        <v>10.44926667</v>
      </c>
      <c r="AY432" s="118">
        <f>HYPERLINK("https://docs.google.com/spreadsheets/d/1mvSEzygJaRsWWwr8q9YJLX_-Y1nT9yEk", 41.2725)</f>
        <v>41.2725</v>
      </c>
    </row>
    <row r="433">
      <c r="A433" s="65" t="s">
        <v>67</v>
      </c>
      <c r="B433" s="65" t="s">
        <v>93</v>
      </c>
      <c r="C433" s="65" t="s">
        <v>413</v>
      </c>
      <c r="D433" s="64">
        <f t="shared" si="1"/>
        <v>299.4554833</v>
      </c>
      <c r="E433" s="115"/>
      <c r="F433" s="104">
        <v>2.20574999999999</v>
      </c>
      <c r="G433" s="104">
        <v>0.539066666666667</v>
      </c>
      <c r="H433" s="104">
        <v>-2.22044604925031E-16</v>
      </c>
      <c r="I433" s="104"/>
      <c r="J433" s="104">
        <v>0.0</v>
      </c>
      <c r="K433" s="104">
        <v>13.0264833333333</v>
      </c>
      <c r="L433" s="104"/>
      <c r="M433" s="104"/>
      <c r="N433" s="104"/>
      <c r="O433" s="104"/>
      <c r="P433" s="65">
        <v>6.4336</v>
      </c>
      <c r="Q433" s="65"/>
      <c r="R433" s="65"/>
      <c r="S433" s="65">
        <v>19.16385</v>
      </c>
      <c r="T433" s="65">
        <v>50.89535</v>
      </c>
      <c r="U433" s="65">
        <v>11.9743833333333</v>
      </c>
      <c r="V433" s="65">
        <v>12.4494333333333</v>
      </c>
      <c r="W433" s="65">
        <v>69.9272666666667</v>
      </c>
      <c r="X433" s="65"/>
      <c r="Y433" s="65"/>
      <c r="Z433" s="65">
        <v>0.124783333333333</v>
      </c>
      <c r="AA433" s="65">
        <v>1.97171666666667</v>
      </c>
      <c r="AB433" s="65">
        <v>0.0</v>
      </c>
      <c r="AC433" s="65">
        <v>0.11365</v>
      </c>
      <c r="AD433" s="65">
        <v>1.11022302462516E-16</v>
      </c>
      <c r="AE433" s="65"/>
      <c r="AF433" s="65"/>
      <c r="AG433" s="65"/>
      <c r="AH433" s="65"/>
      <c r="AI433" s="65">
        <v>7.35936666666667</v>
      </c>
      <c r="AJ433" s="65">
        <v>29.6956333333333</v>
      </c>
      <c r="AK433" s="65">
        <v>5.19886666666667</v>
      </c>
      <c r="AL433" s="65">
        <v>2.57665</v>
      </c>
      <c r="AM433" s="65">
        <v>18.9501</v>
      </c>
      <c r="AN433" s="65"/>
      <c r="AP433" s="65">
        <v>5.06821666666667</v>
      </c>
      <c r="AQ433" s="65">
        <v>0.171916666666667</v>
      </c>
      <c r="AR433" s="65">
        <v>16.39655</v>
      </c>
      <c r="AT433" s="65"/>
      <c r="AU433" s="65">
        <v>0.711883333333333</v>
      </c>
      <c r="AV433" s="65">
        <v>3.41701666666667</v>
      </c>
      <c r="AY433" s="65">
        <v>21.08395</v>
      </c>
    </row>
    <row r="434">
      <c r="A434" s="119" t="s">
        <v>67</v>
      </c>
      <c r="B434" s="119" t="s">
        <v>93</v>
      </c>
      <c r="C434" s="119" t="s">
        <v>414</v>
      </c>
      <c r="D434" s="120">
        <f t="shared" si="1"/>
        <v>3.049516667</v>
      </c>
      <c r="E434" s="121"/>
      <c r="F434" s="122">
        <f>HYPERLINK("https://docs.google.com/spreadsheets/d/1rsGMBrPmVtiUhNxW14fm39A0yECFxEqO", 0)</f>
        <v>0</v>
      </c>
      <c r="G434" s="122">
        <f>HYPERLINK("https://docs.google.com/spreadsheets/d/130XSQo2ybPRxCjDlimu04me73sbD8VPE", 0)</f>
        <v>0</v>
      </c>
      <c r="H434" s="122">
        <f>HYPERLINK("https://docs.google.com/spreadsheets/d/1klHaygOwYpFCb1owcfMjxfqPp5SF8AOo", 0)</f>
        <v>0</v>
      </c>
      <c r="I434" s="121"/>
      <c r="J434" s="127">
        <f>HYPERLINK("https://docs.google.com/spreadsheets/d/1DCaqK69gMzZ8YDy-co80G80GnadKjvnY", 0)</f>
        <v>0</v>
      </c>
      <c r="K434" s="122">
        <f>HYPERLINK("https://docs.google.com/spreadsheets/d/1JVRbYVWB2flYUQA7dDxRE-qgXMLML6dL", 0)</f>
        <v>0</v>
      </c>
      <c r="L434" s="121"/>
      <c r="M434" s="121"/>
      <c r="N434" s="123"/>
      <c r="O434" s="121"/>
      <c r="P434" s="124">
        <f>HYPERLINK("https://docs.google.com/spreadsheets/d/1fzOXe6dIuzXFUoLN8vS577EAvSZbkX7j", 0)</f>
        <v>0</v>
      </c>
      <c r="Q434" s="119"/>
      <c r="R434" s="119"/>
      <c r="S434" s="124">
        <f>HYPERLINK("https://docs.google.com/spreadsheets/d/1R3urg4JqM3I90fw0PSfotkuqjdhHOQ7i", 0)</f>
        <v>0</v>
      </c>
      <c r="T434" s="125">
        <f>HYPERLINK("https://docs.google.com/spreadsheets/d/16_tPwI2k9K6CSu8OaWlAuP7Eu3UcVeH3", 0)</f>
        <v>0</v>
      </c>
      <c r="U434" s="125">
        <f>HYPERLINK("https://docs.google.com/spreadsheets/d/1cro6Ue_TRnqo5rVP0yBalLnGaxzOs4dl", 0)</f>
        <v>0</v>
      </c>
      <c r="V434" s="124">
        <f>HYPERLINK("https://docs.google.com/spreadsheets/d/1JCEfVcrJtoGBNpfPsOGkMl2A3bcvv92w", 0)</f>
        <v>0</v>
      </c>
      <c r="W434" s="124">
        <f>HYPERLINK("https://docs.google.com/spreadsheets/d/1pvOqW6VFoVPvnPcG3mhhdOGN0_hZmAmR", 0)</f>
        <v>0</v>
      </c>
      <c r="X434" s="119"/>
      <c r="Y434" s="119"/>
      <c r="Z434" s="124">
        <f>HYPERLINK("https://docs.google.com/spreadsheets/d/1LDnDDWvJDAT8Dsx69SawY7OIXqgtXvbJ", 0)</f>
        <v>0</v>
      </c>
      <c r="AA434" s="124">
        <f>HYPERLINK("https://docs.google.com/spreadsheets/d/1X_fXmAh4kk7aeMmZS12o8vwBUMOgH6jZ", 0)</f>
        <v>0</v>
      </c>
      <c r="AB434" s="124">
        <f>HYPERLINK("https://docs.google.com/spreadsheets/d/1Fq1O5SyXelYGOM2-qLApGyRFQDcGzvxE", 0)</f>
        <v>0</v>
      </c>
      <c r="AC434" s="124">
        <f>HYPERLINK("https://docs.google.com/spreadsheets/d/1JG4-JEGy3mvLiOpbvjJJnCbEU3nb8XCZ", 0)</f>
        <v>0</v>
      </c>
      <c r="AD434" s="124">
        <f>HYPERLINK("https://docs.google.com/spreadsheets/d/1cu70IfPvM3GXOmDvN4q9HgQEZVYhXdsu", 0)</f>
        <v>0</v>
      </c>
      <c r="AE434" s="119"/>
      <c r="AF434" s="119"/>
      <c r="AG434" s="119"/>
      <c r="AH434" s="119"/>
      <c r="AI434" s="125">
        <f>HYPERLINK("https://docs.google.com/spreadsheets/d/1TzGfRMN2wKxGwz5DtBZtWxp9qn6X1eaU", 0)</f>
        <v>0</v>
      </c>
      <c r="AJ434" s="124">
        <f>HYPERLINK("https://docs.google.com/spreadsheets/d/1RUbuLwagBRieTNCsX5HTDf_m5Rz5NxsU", 0)</f>
        <v>0</v>
      </c>
      <c r="AK434" s="124">
        <f>HYPERLINK("https://docs.google.com/spreadsheets/d/1bfHslzsLveJHIMDmC1J-yN5bH2p7jpIc", 0)</f>
        <v>0</v>
      </c>
      <c r="AL434" s="125">
        <f>HYPERLINK("https://docs.google.com/spreadsheets/d/1LDttRyd8NoBqevapAMJs4uJrAODSq88_", 0)</f>
        <v>0</v>
      </c>
      <c r="AM434" s="124">
        <f>HYPERLINK("https://docs.google.com/spreadsheets/d/1sydvBNi0RNzy6i0dxbXt9m68cofIuBxY", 0)</f>
        <v>0</v>
      </c>
      <c r="AN434" s="119"/>
      <c r="AO434" s="120"/>
      <c r="AP434" s="124">
        <f>HYPERLINK("https://docs.google.com/spreadsheets/d/19uE-R_DoxB8az_nzlyP2zxZKXw3-S1G7", 0)</f>
        <v>0</v>
      </c>
      <c r="AQ434" s="125">
        <f>HYPERLINK("https://docs.google.com/spreadsheets/d/1UZvUzme29bQqb4SUN-LvwD8CJR4YXVlO", 0)</f>
        <v>0</v>
      </c>
      <c r="AR434" s="125">
        <f>HYPERLINK("https://docs.google.com/spreadsheets/d/1N913bON18XW94c1RlQRcRyLxZQPU8cIp", 0)</f>
        <v>0</v>
      </c>
      <c r="AS434" s="120"/>
      <c r="AT434" s="120"/>
      <c r="AU434" s="125">
        <f>HYPERLINK("https://docs.google.com/spreadsheets/d/1ydYgg00Ai-TGmaj7KQdk-zSPy-QZfErT", 3.04951666666667)</f>
        <v>3.049516667</v>
      </c>
      <c r="AV434" s="124">
        <f>HYPERLINK("https://docs.google.com/spreadsheets/d/1eWzxeGydZQUMAy_TJ4KQScMMY1WchXVY", 0)</f>
        <v>0</v>
      </c>
      <c r="AW434" s="120"/>
      <c r="AX434" s="120"/>
      <c r="AY434" s="124">
        <f>HYPERLINK("https://docs.google.com/spreadsheets/d/1mvSEzygJaRsWWwr8q9YJLX_-Y1nT9yEk", 0)</f>
        <v>0</v>
      </c>
      <c r="AZ434" s="120"/>
      <c r="BA434" s="120"/>
      <c r="BB434" s="120"/>
      <c r="BC434" s="120"/>
      <c r="BD434" s="120"/>
      <c r="BE434" s="120"/>
      <c r="BF434" s="120"/>
      <c r="BG434" s="120"/>
      <c r="BH434" s="120"/>
      <c r="BI434" s="120"/>
      <c r="BJ434" s="120"/>
      <c r="BK434" s="120"/>
      <c r="BL434" s="120"/>
      <c r="BM434" s="120"/>
      <c r="BN434" s="120"/>
      <c r="BO434" s="120"/>
      <c r="BP434" s="120"/>
      <c r="BQ434" s="120"/>
      <c r="BR434" s="120"/>
      <c r="BS434" s="120"/>
      <c r="BT434" s="120"/>
      <c r="BU434" s="120"/>
      <c r="BV434" s="120"/>
      <c r="BW434" s="120"/>
      <c r="BX434" s="120"/>
      <c r="BY434" s="120"/>
      <c r="BZ434" s="120"/>
      <c r="CA434" s="120"/>
      <c r="CB434" s="120"/>
      <c r="CC434" s="120"/>
      <c r="CD434" s="120"/>
      <c r="CE434" s="120"/>
      <c r="CF434" s="120"/>
      <c r="CG434" s="120"/>
      <c r="CH434" s="120"/>
      <c r="CI434" s="120"/>
      <c r="CJ434" s="120"/>
      <c r="CK434" s="120"/>
      <c r="CL434" s="120"/>
      <c r="CM434" s="120"/>
      <c r="CN434" s="120"/>
      <c r="CO434" s="120"/>
      <c r="CP434" s="120"/>
      <c r="CQ434" s="120"/>
      <c r="CR434" s="120"/>
      <c r="CS434" s="120"/>
      <c r="CT434" s="120"/>
      <c r="CU434" s="120"/>
      <c r="CV434" s="120"/>
      <c r="CW434" s="120"/>
      <c r="CX434" s="120"/>
      <c r="CY434" s="120"/>
      <c r="CZ434" s="120"/>
      <c r="DA434" s="120"/>
      <c r="DB434" s="120"/>
      <c r="DC434" s="120"/>
      <c r="DD434" s="120"/>
      <c r="DE434" s="120"/>
      <c r="DF434" s="120"/>
      <c r="DG434" s="120"/>
      <c r="DH434" s="120"/>
      <c r="DI434" s="120"/>
      <c r="DJ434" s="120"/>
      <c r="DK434" s="120"/>
      <c r="DL434" s="120"/>
      <c r="DM434" s="120"/>
      <c r="DN434" s="120"/>
      <c r="DO434" s="120"/>
      <c r="DP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120"/>
      <c r="EK434" s="120"/>
      <c r="EL434" s="120"/>
      <c r="EM434" s="120"/>
      <c r="EN434" s="120"/>
      <c r="EO434" s="120"/>
      <c r="EP434" s="120"/>
      <c r="EQ434" s="120"/>
      <c r="ER434" s="120"/>
      <c r="ES434" s="120"/>
      <c r="ET434" s="120"/>
      <c r="EU434" s="120"/>
      <c r="EV434" s="120"/>
      <c r="EW434" s="120"/>
      <c r="EX434" s="120"/>
      <c r="EY434" s="120"/>
    </row>
    <row r="435">
      <c r="A435" s="112" t="s">
        <v>28</v>
      </c>
      <c r="B435" s="112" t="s">
        <v>100</v>
      </c>
      <c r="C435" s="112" t="s">
        <v>409</v>
      </c>
      <c r="D435" s="113">
        <f t="shared" si="1"/>
        <v>605.0533667</v>
      </c>
      <c r="E435" s="114">
        <v>29.25385</v>
      </c>
      <c r="F435" s="114"/>
      <c r="G435" s="114"/>
      <c r="H435" s="114"/>
      <c r="I435" s="114"/>
      <c r="J435" s="114"/>
      <c r="K435" s="114"/>
      <c r="L435" s="114">
        <v>0.398316666666667</v>
      </c>
      <c r="M435" s="114"/>
      <c r="N435" s="114"/>
      <c r="O435" s="114">
        <v>9.95083333333333</v>
      </c>
      <c r="P435" s="112"/>
      <c r="Q435" s="112">
        <v>0.229366666666667</v>
      </c>
      <c r="R435" s="112">
        <v>7.35873333333333</v>
      </c>
      <c r="S435" s="112"/>
      <c r="T435" s="112"/>
      <c r="U435" s="112"/>
      <c r="V435" s="112"/>
      <c r="W435" s="112"/>
      <c r="X435" s="113"/>
      <c r="Y435" s="112">
        <v>53.5814666666667</v>
      </c>
      <c r="Z435" s="112"/>
      <c r="AA435" s="113"/>
      <c r="AB435" s="112"/>
      <c r="AC435" s="112"/>
      <c r="AD435" s="112"/>
      <c r="AE435" s="112">
        <v>0.750283333333333</v>
      </c>
      <c r="AF435" s="112"/>
      <c r="AG435" s="112"/>
      <c r="AH435" s="112">
        <v>109.444733333333</v>
      </c>
      <c r="AI435" s="112"/>
      <c r="AJ435" s="112"/>
      <c r="AK435" s="112"/>
      <c r="AL435" s="113"/>
      <c r="AM435" s="112"/>
      <c r="AN435" s="112">
        <v>0.992783333333333</v>
      </c>
      <c r="AO435" s="112">
        <v>141.027616666667</v>
      </c>
      <c r="AP435" s="112"/>
      <c r="AQ435" s="113"/>
      <c r="AR435" s="112"/>
      <c r="AS435" s="112">
        <v>10.30545</v>
      </c>
      <c r="AT435" s="112">
        <v>144.237783333333</v>
      </c>
      <c r="AU435" s="112"/>
      <c r="AV435" s="112"/>
      <c r="AW435" s="112">
        <v>6.1086</v>
      </c>
      <c r="AX435" s="112">
        <v>81.8680666666667</v>
      </c>
      <c r="AY435" s="113"/>
      <c r="AZ435" s="112">
        <v>6.63623333333334</v>
      </c>
      <c r="BA435" s="112">
        <v>2.90925</v>
      </c>
      <c r="BB435" s="113"/>
      <c r="BC435" s="113"/>
      <c r="BD435" s="113"/>
      <c r="BE435" s="113"/>
      <c r="BF435" s="113"/>
      <c r="BG435" s="113"/>
      <c r="BH435" s="113"/>
      <c r="BI435" s="113"/>
      <c r="BJ435" s="113"/>
      <c r="BK435" s="113"/>
      <c r="BL435" s="113"/>
      <c r="BM435" s="113"/>
      <c r="BN435" s="113"/>
      <c r="BO435" s="113"/>
      <c r="BP435" s="113"/>
      <c r="BQ435" s="113"/>
      <c r="BR435" s="113"/>
      <c r="BS435" s="113"/>
      <c r="BT435" s="113"/>
      <c r="BU435" s="113"/>
      <c r="BV435" s="113"/>
      <c r="BW435" s="113"/>
      <c r="BX435" s="113"/>
      <c r="BY435" s="113"/>
      <c r="BZ435" s="113"/>
      <c r="CA435" s="113"/>
      <c r="CB435" s="113"/>
      <c r="CC435" s="113"/>
      <c r="CD435" s="113"/>
      <c r="CE435" s="113"/>
      <c r="CF435" s="113"/>
      <c r="CG435" s="113"/>
      <c r="CH435" s="113"/>
      <c r="CI435" s="113"/>
      <c r="CJ435" s="113"/>
      <c r="CK435" s="113"/>
      <c r="CL435" s="113"/>
      <c r="CM435" s="113"/>
      <c r="CN435" s="113"/>
      <c r="CO435" s="113"/>
      <c r="CP435" s="113"/>
      <c r="CQ435" s="113"/>
      <c r="CR435" s="113"/>
      <c r="CS435" s="113"/>
      <c r="CT435" s="113"/>
      <c r="CU435" s="113"/>
      <c r="CV435" s="113"/>
      <c r="CW435" s="113"/>
      <c r="CX435" s="113"/>
      <c r="CY435" s="113"/>
      <c r="CZ435" s="113"/>
      <c r="DA435" s="113"/>
      <c r="DB435" s="113"/>
      <c r="DC435" s="113"/>
      <c r="DD435" s="113"/>
      <c r="DE435" s="113"/>
      <c r="DF435" s="113"/>
      <c r="DG435" s="113"/>
      <c r="DH435" s="113"/>
      <c r="DI435" s="113"/>
      <c r="DJ435" s="113"/>
      <c r="DK435" s="113"/>
      <c r="DL435" s="113"/>
      <c r="DM435" s="113"/>
      <c r="DN435" s="113"/>
      <c r="DO435" s="113"/>
      <c r="DP435" s="113"/>
      <c r="DQ435" s="113"/>
      <c r="DR435" s="113"/>
      <c r="DS435" s="113"/>
      <c r="DT435" s="113"/>
      <c r="DU435" s="113"/>
      <c r="DV435" s="113"/>
      <c r="DW435" s="113"/>
      <c r="DX435" s="113"/>
      <c r="DY435" s="113"/>
      <c r="DZ435" s="113"/>
      <c r="EA435" s="113"/>
      <c r="EB435" s="113"/>
      <c r="EC435" s="113"/>
      <c r="ED435" s="113"/>
      <c r="EE435" s="113"/>
      <c r="EF435" s="113"/>
      <c r="EG435" s="113"/>
      <c r="EH435" s="113"/>
      <c r="EI435" s="113"/>
      <c r="EJ435" s="113"/>
      <c r="EK435" s="113"/>
      <c r="EL435" s="113"/>
      <c r="EM435" s="113"/>
      <c r="EN435" s="113"/>
      <c r="EO435" s="113"/>
      <c r="EP435" s="113"/>
      <c r="EQ435" s="113"/>
      <c r="ER435" s="113"/>
      <c r="ES435" s="113"/>
      <c r="ET435" s="113"/>
      <c r="EU435" s="113"/>
      <c r="EV435" s="113"/>
      <c r="EW435" s="113"/>
      <c r="EX435" s="113"/>
      <c r="EY435" s="113"/>
    </row>
    <row r="436">
      <c r="A436" s="65" t="s">
        <v>28</v>
      </c>
      <c r="B436" s="65" t="s">
        <v>100</v>
      </c>
      <c r="C436" s="65" t="s">
        <v>410</v>
      </c>
      <c r="D436" s="64">
        <f t="shared" si="1"/>
        <v>558.9280833</v>
      </c>
      <c r="E436" s="104"/>
      <c r="F436" s="104">
        <v>13.1796</v>
      </c>
      <c r="G436" s="104">
        <v>5.04053333333333</v>
      </c>
      <c r="H436" s="104">
        <v>6.6585</v>
      </c>
      <c r="I436" s="104">
        <v>0.3735</v>
      </c>
      <c r="J436" s="104"/>
      <c r="K436" s="104">
        <v>2.81515</v>
      </c>
      <c r="L436" s="104"/>
      <c r="M436" s="104">
        <v>13.1796</v>
      </c>
      <c r="N436" s="104">
        <v>5.04053333333333</v>
      </c>
      <c r="O436" s="104"/>
      <c r="P436" s="65">
        <v>8.05108333333333</v>
      </c>
      <c r="Q436" s="65"/>
      <c r="R436" s="65"/>
      <c r="S436" s="65">
        <v>7.23281666666667</v>
      </c>
      <c r="T436" s="65">
        <v>0.125916666666667</v>
      </c>
      <c r="U436" s="65"/>
      <c r="V436" s="65"/>
      <c r="W436" s="65"/>
      <c r="X436" s="65"/>
      <c r="Y436" s="65"/>
      <c r="Z436" s="65">
        <v>33.3005333333333</v>
      </c>
      <c r="AA436" s="65">
        <v>9.43911666666667</v>
      </c>
      <c r="AB436" s="65">
        <v>3.85503333333333</v>
      </c>
      <c r="AC436" s="65">
        <v>0.451683333333333</v>
      </c>
      <c r="AD436" s="65">
        <v>4.70223333333333</v>
      </c>
      <c r="AE436" s="65"/>
      <c r="AF436" s="65">
        <v>33.3005333333333</v>
      </c>
      <c r="AG436" s="65">
        <v>9.43911666666667</v>
      </c>
      <c r="AH436" s="65"/>
      <c r="AI436" s="65">
        <v>72.1650833333334</v>
      </c>
      <c r="AJ436" s="65">
        <v>16.8145666666667</v>
      </c>
      <c r="AK436" s="65">
        <v>3.53886666666667</v>
      </c>
      <c r="AL436" s="65">
        <v>1.08248333333333</v>
      </c>
      <c r="AM436" s="65">
        <v>14.2320166666667</v>
      </c>
      <c r="AN436" s="65"/>
      <c r="AP436" s="65">
        <v>95.4980333333333</v>
      </c>
      <c r="AQ436" s="65">
        <v>1.4824</v>
      </c>
      <c r="AR436" s="65">
        <v>11.3447</v>
      </c>
      <c r="AT436" s="65"/>
      <c r="AU436" s="65">
        <v>92.1039833333335</v>
      </c>
      <c r="AV436" s="65">
        <v>13.138</v>
      </c>
      <c r="AY436" s="65">
        <v>81.3424666666667</v>
      </c>
    </row>
    <row r="437">
      <c r="A437" s="65" t="s">
        <v>28</v>
      </c>
      <c r="B437" s="65" t="s">
        <v>100</v>
      </c>
      <c r="C437" s="65" t="s">
        <v>411</v>
      </c>
      <c r="D437" s="64">
        <f t="shared" si="1"/>
        <v>0</v>
      </c>
      <c r="E437" s="115"/>
      <c r="F437" s="115"/>
      <c r="G437" s="115"/>
      <c r="H437" s="115"/>
      <c r="I437" s="115"/>
      <c r="J437" s="115"/>
      <c r="K437" s="115"/>
      <c r="L437" s="115"/>
      <c r="M437" s="115"/>
      <c r="N437" s="115"/>
      <c r="O437" s="115"/>
    </row>
    <row r="438">
      <c r="A438" s="65" t="s">
        <v>28</v>
      </c>
      <c r="B438" s="65" t="s">
        <v>100</v>
      </c>
      <c r="C438" s="65" t="s">
        <v>412</v>
      </c>
      <c r="D438" s="64">
        <f t="shared" si="1"/>
        <v>496.5649833</v>
      </c>
      <c r="E438" s="115"/>
      <c r="F438" s="117">
        <f>HYPERLINK("https://docs.google.com/spreadsheets/d/1mUhg6RLIMwHXARWNyiUJW_36JDHHisQ8", 13.1796166666667)</f>
        <v>13.17961667</v>
      </c>
      <c r="G438" s="116">
        <f>HYPERLINK("https://docs.google.com/spreadsheets/d/1gtwgP7Oeh1vMvTPEeEcs8RwtAVjd7uzZ", 5.04053333333333)</f>
        <v>5.040533333</v>
      </c>
      <c r="H438" s="116">
        <f>HYPERLINK("https://docs.google.com/spreadsheets/d/1tijGAh8XO3VT7CtBMCmg1g0xhr2glITI", 6.62531666666667)</f>
        <v>6.625316667</v>
      </c>
      <c r="I438" s="117">
        <f>HYPERLINK("https://docs.google.com/spreadsheets/d/12FjfLH_2cRXeMWXnBpGajSTtm-mKi-mM", 0.3735)</f>
        <v>0.3735</v>
      </c>
      <c r="J438" s="115"/>
      <c r="K438" s="117">
        <f>HYPERLINK("https://docs.google.com/spreadsheets/d/13YcgC7vQgq_Hff_wmoinsLVOLaikO5hU", 2.74258333333333)</f>
        <v>2.742583333</v>
      </c>
      <c r="L438" s="115"/>
      <c r="M438" s="104"/>
      <c r="N438" s="115"/>
      <c r="O438" s="104"/>
      <c r="P438" s="118">
        <f>HYPERLINK("https://docs.google.com/spreadsheets/d/17dDFrBdR3WH34r3DuINw_KFuempdJ0bd", 8.05106666666667)</f>
        <v>8.051066667</v>
      </c>
      <c r="S438" s="118">
        <f>HYPERLINK("https://docs.google.com/spreadsheets/d/1SXxuA3frZzHhfzQQgVe24h3rtzCx1Ng5", 7.23283333333333)</f>
        <v>7.232833333</v>
      </c>
      <c r="T438" s="118">
        <f>HYPERLINK("https://docs.google.com/spreadsheets/d/1nygAv_23BIWwMY7imZqbhDDPbWi9BHDa", 0)</f>
        <v>0</v>
      </c>
      <c r="Z438" s="118">
        <f>HYPERLINK("https://docs.google.com/spreadsheets/d/1QezuYbfU5bIfUU-WJWazjvuCVHX1GcJS", 33.3004833333333)</f>
        <v>33.30048333</v>
      </c>
      <c r="AA438" s="118">
        <f>HYPERLINK("https://docs.google.com/spreadsheets/d/1ENwE2GfnnNvDxhn2dHYxGlDTpWrbQsYg", 9.43908333333333)</f>
        <v>9.439083333</v>
      </c>
      <c r="AB438" s="118">
        <f>HYPERLINK("https://docs.google.com/spreadsheets/d/1f7AaAIzZD14cuL50O1NA3IpY49VSIv6Q", 3.85501666666667)</f>
        <v>3.855016667</v>
      </c>
      <c r="AC438" s="118">
        <f>HYPERLINK("https://docs.google.com/spreadsheets/d/1P5ecCA8lD--BOi3T8ZlyGCLUrumctbD0", 0.451683333333333)</f>
        <v>0.4516833333</v>
      </c>
      <c r="AD438" s="118">
        <f>HYPERLINK("https://docs.google.com/spreadsheets/d/1HzeA8pKs9ZpmrqQ3cPE5zvRWiK2TPaQs", 4.70221666666667)</f>
        <v>4.702216667</v>
      </c>
      <c r="AI438" s="118">
        <f>HYPERLINK("https://docs.google.com/spreadsheets/d/1vYjDyn4pBwgibs-DEwzaDt9Nz0tsJNGb", 72.0931666666667)</f>
        <v>72.09316667</v>
      </c>
      <c r="AJ438" s="118">
        <f>HYPERLINK("https://docs.google.com/spreadsheets/d/1iaY7BqYIDKBgD5kpfI4Ilr-7mG2Ur9r8", 16.8145666666667)</f>
        <v>16.81456667</v>
      </c>
      <c r="AK438" s="118">
        <f>HYPERLINK("https://docs.google.com/spreadsheets/d/1_J7Q3eeEIGuyKwlTuVbzaGo90iwXVS-m", 3.53886666666667)</f>
        <v>3.538866667</v>
      </c>
      <c r="AL438" s="118">
        <f>HYPERLINK("https://docs.google.com/spreadsheets/d/1gEQi5ITTXFM9YfzJPxm-_lwkHN7BKzf6", 1.08248333333333)</f>
        <v>1.082483333</v>
      </c>
      <c r="AM438" s="118">
        <f>HYPERLINK("https://docs.google.com/spreadsheets/d/1xqNBvvDaei48ZBSeucDoX-gouvrZ_trU", 13.83985)</f>
        <v>13.83985</v>
      </c>
      <c r="AP438" s="118">
        <f>HYPERLINK("https://docs.google.com/spreadsheets/d/1BwJWiP6RSCDlonDZDGVNi1FhbU5QonRU", 95.4389833333333)</f>
        <v>95.43898333</v>
      </c>
      <c r="AQ438" s="118">
        <f>HYPERLINK("https://docs.google.com/spreadsheets/d/1IxPCieVbNn9miFmIjdgIs6vORawW5jKq", 1.4824)</f>
        <v>1.4824</v>
      </c>
      <c r="AR438" s="118">
        <f>HYPERLINK("https://docs.google.com/spreadsheets/d/1rwePWjjWuIjWi24ooag0RBw9xR8FGurA", 11.3446833333333)</f>
        <v>11.34468333</v>
      </c>
      <c r="AU438" s="118">
        <f>HYPERLINK("https://docs.google.com/spreadsheets/d/1oaQ9Tf4MMLSOSMjeWBmQPa_zT_uStcwl", 92.0335666666668)</f>
        <v>92.03356667</v>
      </c>
      <c r="AV438" s="118">
        <f>HYPERLINK("https://docs.google.com/spreadsheets/d/1de-qI-uV9zTAu5I-x6mtgaKY0XXxncgE", 12.8955)</f>
        <v>12.8955</v>
      </c>
      <c r="AY438" s="118">
        <f>HYPERLINK("https://docs.google.com/spreadsheets/d/1IaHRuGayZ9icYlOuyVWqrvTAhbyAdDq5", 81.0069833333333)</f>
        <v>81.00698333</v>
      </c>
    </row>
    <row r="439">
      <c r="A439" s="65" t="s">
        <v>28</v>
      </c>
      <c r="B439" s="65" t="s">
        <v>100</v>
      </c>
      <c r="C439" s="65" t="s">
        <v>413</v>
      </c>
      <c r="D439" s="64">
        <f t="shared" si="1"/>
        <v>408.8807333</v>
      </c>
      <c r="E439" s="115"/>
      <c r="F439" s="104">
        <v>6.10765</v>
      </c>
      <c r="G439" s="104">
        <v>1.78131666666667</v>
      </c>
      <c r="H439" s="104">
        <v>4.71415</v>
      </c>
      <c r="I439" s="104">
        <v>0.0</v>
      </c>
      <c r="J439" s="104"/>
      <c r="K439" s="104">
        <v>2.74258333333333</v>
      </c>
      <c r="L439" s="104"/>
      <c r="M439" s="104"/>
      <c r="N439" s="104"/>
      <c r="O439" s="104"/>
      <c r="P439" s="65">
        <v>8.05106666666667</v>
      </c>
      <c r="Q439" s="65"/>
      <c r="R439" s="65"/>
      <c r="S439" s="65">
        <v>4.76535</v>
      </c>
      <c r="T439" s="65">
        <v>0.0</v>
      </c>
      <c r="U439" s="65"/>
      <c r="V439" s="65"/>
      <c r="W439" s="65"/>
      <c r="X439" s="65"/>
      <c r="Y439" s="65"/>
      <c r="Z439" s="65">
        <v>22.5825666666666</v>
      </c>
      <c r="AA439" s="65">
        <v>5.70391666666667</v>
      </c>
      <c r="AB439" s="65">
        <v>1.61503333333333</v>
      </c>
      <c r="AC439" s="65">
        <v>0.0</v>
      </c>
      <c r="AD439" s="65">
        <v>0.0916833333333322</v>
      </c>
      <c r="AE439" s="65"/>
      <c r="AF439" s="65"/>
      <c r="AG439" s="65"/>
      <c r="AH439" s="65"/>
      <c r="AI439" s="65">
        <v>72.0931666666667</v>
      </c>
      <c r="AJ439" s="65">
        <v>16.8145666666667</v>
      </c>
      <c r="AK439" s="65">
        <v>1.13746666666667</v>
      </c>
      <c r="AL439" s="65">
        <v>0.193066666666667</v>
      </c>
      <c r="AM439" s="65">
        <v>13.83985</v>
      </c>
      <c r="AN439" s="65"/>
      <c r="AP439" s="65">
        <v>95.4389833333333</v>
      </c>
      <c r="AQ439" s="65">
        <v>0.30355</v>
      </c>
      <c r="AR439" s="65">
        <v>11.3446833333333</v>
      </c>
      <c r="AT439" s="65"/>
      <c r="AU439" s="65">
        <v>58.2201333333335</v>
      </c>
      <c r="AV439" s="65">
        <v>0.332966666666668</v>
      </c>
      <c r="AY439" s="65">
        <v>81.0069833333333</v>
      </c>
    </row>
    <row r="440">
      <c r="A440" s="119" t="s">
        <v>28</v>
      </c>
      <c r="B440" s="119" t="s">
        <v>100</v>
      </c>
      <c r="C440" s="119" t="s">
        <v>414</v>
      </c>
      <c r="D440" s="120">
        <f t="shared" si="1"/>
        <v>92.03356667</v>
      </c>
      <c r="E440" s="121"/>
      <c r="F440" s="122">
        <f>HYPERLINK("https://docs.google.com/spreadsheets/d/1mUhg6RLIMwHXARWNyiUJW_36JDHHisQ8", 0)</f>
        <v>0</v>
      </c>
      <c r="G440" s="122">
        <f>HYPERLINK("https://docs.google.com/spreadsheets/d/1gtwgP7Oeh1vMvTPEeEcs8RwtAVjd7uzZ", 0)</f>
        <v>0</v>
      </c>
      <c r="H440" s="122">
        <f>HYPERLINK("https://docs.google.com/spreadsheets/d/1tijGAh8XO3VT7CtBMCmg1g0xhr2glITI", 0)</f>
        <v>0</v>
      </c>
      <c r="I440" s="122">
        <f>HYPERLINK("https://docs.google.com/spreadsheets/d/12FjfLH_2cRXeMWXnBpGajSTtm-mKi-mM", 0)</f>
        <v>0</v>
      </c>
      <c r="J440" s="121"/>
      <c r="K440" s="122">
        <f>HYPERLINK("https://docs.google.com/spreadsheets/d/13YcgC7vQgq_Hff_wmoinsLVOLaikO5hU", 0)</f>
        <v>0</v>
      </c>
      <c r="L440" s="121"/>
      <c r="M440" s="121"/>
      <c r="N440" s="123"/>
      <c r="O440" s="121"/>
      <c r="P440" s="124">
        <f>HYPERLINK("https://docs.google.com/spreadsheets/d/17dDFrBdR3WH34r3DuINw_KFuempdJ0bd", 0)</f>
        <v>0</v>
      </c>
      <c r="Q440" s="119"/>
      <c r="R440" s="120"/>
      <c r="S440" s="124">
        <f>HYPERLINK("https://docs.google.com/spreadsheets/d/1SXxuA3frZzHhfzQQgVe24h3rtzCx1Ng5", 0)</f>
        <v>0</v>
      </c>
      <c r="T440" s="124">
        <f>HYPERLINK("https://docs.google.com/spreadsheets/d/1nygAv_23BIWwMY7imZqbhDDPbWi9BHDa", 0)</f>
        <v>0</v>
      </c>
      <c r="U440" s="120"/>
      <c r="V440" s="120"/>
      <c r="W440" s="120"/>
      <c r="X440" s="119"/>
      <c r="Y440" s="119"/>
      <c r="Z440" s="124">
        <f>HYPERLINK("https://docs.google.com/spreadsheets/d/1QezuYbfU5bIfUU-WJWazjvuCVHX1GcJS", 0)</f>
        <v>0</v>
      </c>
      <c r="AA440" s="124">
        <f>HYPERLINK("https://docs.google.com/spreadsheets/d/1ENwE2GfnnNvDxhn2dHYxGlDTpWrbQsYg", 0)</f>
        <v>0</v>
      </c>
      <c r="AB440" s="124">
        <f>HYPERLINK("https://docs.google.com/spreadsheets/d/1f7AaAIzZD14cuL50O1NA3IpY49VSIv6Q", 0)</f>
        <v>0</v>
      </c>
      <c r="AC440" s="124">
        <f>HYPERLINK("https://docs.google.com/spreadsheets/d/1P5ecCA8lD--BOi3T8ZlyGCLUrumctbD0", 0)</f>
        <v>0</v>
      </c>
      <c r="AD440" s="124">
        <f>HYPERLINK("https://docs.google.com/spreadsheets/d/1HzeA8pKs9ZpmrqQ3cPE5zvRWiK2TPaQs", 0)</f>
        <v>0</v>
      </c>
      <c r="AE440" s="119"/>
      <c r="AF440" s="119"/>
      <c r="AG440" s="119"/>
      <c r="AH440" s="119"/>
      <c r="AI440" s="125">
        <f>HYPERLINK("https://docs.google.com/spreadsheets/d/1vYjDyn4pBwgibs-DEwzaDt9Nz0tsJNGb", 0)</f>
        <v>0</v>
      </c>
      <c r="AJ440" s="124">
        <f>HYPERLINK("https://docs.google.com/spreadsheets/d/1iaY7BqYIDKBgD5kpfI4Ilr-7mG2Ur9r8", 0)</f>
        <v>0</v>
      </c>
      <c r="AK440" s="124">
        <f>HYPERLINK("https://docs.google.com/spreadsheets/d/1_J7Q3eeEIGuyKwlTuVbzaGo90iwXVS-m", 0)</f>
        <v>0</v>
      </c>
      <c r="AL440" s="125">
        <f>HYPERLINK("https://docs.google.com/spreadsheets/d/1gEQi5ITTXFM9YfzJPxm-_lwkHN7BKzf6", 0)</f>
        <v>0</v>
      </c>
      <c r="AM440" s="124">
        <f>HYPERLINK("https://docs.google.com/spreadsheets/d/1xqNBvvDaei48ZBSeucDoX-gouvrZ_trU", 0)</f>
        <v>0</v>
      </c>
      <c r="AN440" s="119"/>
      <c r="AO440" s="120"/>
      <c r="AP440" s="124">
        <f>HYPERLINK("https://docs.google.com/spreadsheets/d/1BwJWiP6RSCDlonDZDGVNi1FhbU5QonRU", 0)</f>
        <v>0</v>
      </c>
      <c r="AQ440" s="125">
        <f>HYPERLINK("https://docs.google.com/spreadsheets/d/1IxPCieVbNn9miFmIjdgIs6vORawW5jKq", 0)</f>
        <v>0</v>
      </c>
      <c r="AR440" s="125">
        <f>HYPERLINK("https://docs.google.com/spreadsheets/d/1rwePWjjWuIjWi24ooag0RBw9xR8FGurA", 0)</f>
        <v>0</v>
      </c>
      <c r="AS440" s="120"/>
      <c r="AT440" s="120"/>
      <c r="AU440" s="124">
        <f>HYPERLINK("https://docs.google.com/spreadsheets/d/1oaQ9Tf4MMLSOSMjeWBmQPa_zT_uStcwl", 92.0335666666668)</f>
        <v>92.03356667</v>
      </c>
      <c r="AV440" s="124">
        <f>HYPERLINK("https://docs.google.com/spreadsheets/d/1de-qI-uV9zTAu5I-x6mtgaKY0XXxncgE", 0)</f>
        <v>0</v>
      </c>
      <c r="AW440" s="120"/>
      <c r="AX440" s="120"/>
      <c r="AY440" s="124">
        <f>HYPERLINK("https://docs.google.com/spreadsheets/d/1IaHRuGayZ9icYlOuyVWqrvTAhbyAdDq5", 0)</f>
        <v>0</v>
      </c>
      <c r="AZ440" s="120"/>
      <c r="BA440" s="120"/>
      <c r="BB440" s="120"/>
      <c r="BC440" s="120"/>
      <c r="BD440" s="120"/>
      <c r="BE440" s="120"/>
      <c r="BF440" s="120"/>
      <c r="BG440" s="120"/>
      <c r="BH440" s="120"/>
      <c r="BI440" s="120"/>
      <c r="BJ440" s="120"/>
      <c r="BK440" s="120"/>
      <c r="BL440" s="120"/>
      <c r="BM440" s="120"/>
      <c r="BN440" s="120"/>
      <c r="BO440" s="120"/>
      <c r="BP440" s="120"/>
      <c r="BQ440" s="120"/>
      <c r="BR440" s="120"/>
      <c r="BS440" s="120"/>
      <c r="BT440" s="120"/>
      <c r="BU440" s="120"/>
      <c r="BV440" s="120"/>
      <c r="BW440" s="120"/>
      <c r="BX440" s="120"/>
      <c r="BY440" s="120"/>
      <c r="BZ440" s="120"/>
      <c r="CA440" s="120"/>
      <c r="CB440" s="120"/>
      <c r="CC440" s="120"/>
      <c r="CD440" s="120"/>
      <c r="CE440" s="120"/>
      <c r="CF440" s="120"/>
      <c r="CG440" s="120"/>
      <c r="CH440" s="120"/>
      <c r="CI440" s="120"/>
      <c r="CJ440" s="120"/>
      <c r="CK440" s="120"/>
      <c r="CL440" s="120"/>
      <c r="CM440" s="120"/>
      <c r="CN440" s="120"/>
      <c r="CO440" s="120"/>
      <c r="CP440" s="120"/>
      <c r="CQ440" s="120"/>
      <c r="CR440" s="120"/>
      <c r="CS440" s="120"/>
      <c r="CT440" s="120"/>
      <c r="CU440" s="120"/>
      <c r="CV440" s="120"/>
      <c r="CW440" s="120"/>
      <c r="CX440" s="120"/>
      <c r="CY440" s="120"/>
      <c r="CZ440" s="120"/>
      <c r="DA440" s="120"/>
      <c r="DB440" s="120"/>
      <c r="DC440" s="120"/>
      <c r="DD440" s="120"/>
      <c r="DE440" s="120"/>
      <c r="DF440" s="120"/>
      <c r="DG440" s="120"/>
      <c r="DH440" s="120"/>
      <c r="DI440" s="120"/>
      <c r="DJ440" s="120"/>
      <c r="DK440" s="120"/>
      <c r="DL440" s="120"/>
      <c r="DM440" s="120"/>
      <c r="DN440" s="120"/>
      <c r="DO440" s="120"/>
      <c r="DP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120"/>
      <c r="EK440" s="120"/>
      <c r="EL440" s="120"/>
      <c r="EM440" s="120"/>
      <c r="EN440" s="120"/>
      <c r="EO440" s="120"/>
      <c r="EP440" s="120"/>
      <c r="EQ440" s="120"/>
      <c r="ER440" s="120"/>
      <c r="ES440" s="120"/>
      <c r="ET440" s="120"/>
      <c r="EU440" s="120"/>
      <c r="EV440" s="120"/>
      <c r="EW440" s="120"/>
      <c r="EX440" s="120"/>
      <c r="EY440" s="120"/>
    </row>
    <row r="441">
      <c r="A441" s="112" t="s">
        <v>28</v>
      </c>
      <c r="B441" s="112" t="s">
        <v>101</v>
      </c>
      <c r="C441" s="112" t="s">
        <v>409</v>
      </c>
      <c r="D441" s="113">
        <f t="shared" si="1"/>
        <v>619.91915</v>
      </c>
      <c r="E441" s="114">
        <v>30.4681666666667</v>
      </c>
      <c r="F441" s="114"/>
      <c r="G441" s="114"/>
      <c r="H441" s="114"/>
      <c r="I441" s="114"/>
      <c r="J441" s="114"/>
      <c r="K441" s="114"/>
      <c r="L441" s="114">
        <v>0.3798</v>
      </c>
      <c r="M441" s="114"/>
      <c r="N441" s="114"/>
      <c r="O441" s="114">
        <v>10.4539333333333</v>
      </c>
      <c r="P441" s="112"/>
      <c r="Q441" s="112">
        <v>0.618616666666667</v>
      </c>
      <c r="R441" s="112">
        <v>34.2829333333333</v>
      </c>
      <c r="S441" s="112"/>
      <c r="T441" s="112"/>
      <c r="U441" s="112"/>
      <c r="V441" s="112"/>
      <c r="W441" s="112"/>
      <c r="X441" s="112">
        <v>1.11751666666667</v>
      </c>
      <c r="Y441" s="112">
        <v>65.9544</v>
      </c>
      <c r="Z441" s="112"/>
      <c r="AA441" s="113"/>
      <c r="AB441" s="112"/>
      <c r="AC441" s="112"/>
      <c r="AD441" s="112"/>
      <c r="AE441" s="112">
        <v>1.44358333333333</v>
      </c>
      <c r="AF441" s="112"/>
      <c r="AG441" s="112"/>
      <c r="AH441" s="112">
        <v>101.11245</v>
      </c>
      <c r="AI441" s="112"/>
      <c r="AJ441" s="112"/>
      <c r="AK441" s="112"/>
      <c r="AL441" s="113"/>
      <c r="AM441" s="112"/>
      <c r="AN441" s="112">
        <v>0.959683333333333</v>
      </c>
      <c r="AO441" s="112">
        <v>122.739716666667</v>
      </c>
      <c r="AP441" s="112"/>
      <c r="AQ441" s="113"/>
      <c r="AR441" s="112"/>
      <c r="AS441" s="112">
        <v>5.7571</v>
      </c>
      <c r="AT441" s="112">
        <v>141.668466666667</v>
      </c>
      <c r="AU441" s="112"/>
      <c r="AV441" s="112"/>
      <c r="AW441" s="112">
        <v>7.4044</v>
      </c>
      <c r="AX441" s="112">
        <v>83.4121166666668</v>
      </c>
      <c r="AY441" s="113"/>
      <c r="AZ441" s="112">
        <v>8.92803333333333</v>
      </c>
      <c r="BA441" s="112">
        <v>3.21823333333333</v>
      </c>
      <c r="BB441" s="113"/>
      <c r="BC441" s="113"/>
      <c r="BD441" s="113"/>
      <c r="BE441" s="113"/>
      <c r="BF441" s="113"/>
      <c r="BG441" s="113"/>
      <c r="BH441" s="113"/>
      <c r="BI441" s="113"/>
      <c r="BJ441" s="113"/>
      <c r="BK441" s="113"/>
      <c r="BL441" s="113"/>
      <c r="BM441" s="113"/>
      <c r="BN441" s="113"/>
      <c r="BO441" s="113"/>
      <c r="BP441" s="113"/>
      <c r="BQ441" s="113"/>
      <c r="BR441" s="113"/>
      <c r="BS441" s="113"/>
      <c r="BT441" s="113"/>
      <c r="BU441" s="113"/>
      <c r="BV441" s="113"/>
      <c r="BW441" s="113"/>
      <c r="BX441" s="113"/>
      <c r="BY441" s="113"/>
      <c r="BZ441" s="113"/>
      <c r="CA441" s="113"/>
      <c r="CB441" s="113"/>
      <c r="CC441" s="113"/>
      <c r="CD441" s="113"/>
      <c r="CE441" s="113"/>
      <c r="CF441" s="113"/>
      <c r="CG441" s="113"/>
      <c r="CH441" s="113"/>
      <c r="CI441" s="113"/>
      <c r="CJ441" s="113"/>
      <c r="CK441" s="113"/>
      <c r="CL441" s="113"/>
      <c r="CM441" s="113"/>
      <c r="CN441" s="113"/>
      <c r="CO441" s="113"/>
      <c r="CP441" s="113"/>
      <c r="CQ441" s="113"/>
      <c r="CR441" s="113"/>
      <c r="CS441" s="113"/>
      <c r="CT441" s="113"/>
      <c r="CU441" s="113"/>
      <c r="CV441" s="113"/>
      <c r="CW441" s="113"/>
      <c r="CX441" s="113"/>
      <c r="CY441" s="113"/>
      <c r="CZ441" s="113"/>
      <c r="DA441" s="113"/>
      <c r="DB441" s="113"/>
      <c r="DC441" s="113"/>
      <c r="DD441" s="113"/>
      <c r="DE441" s="113"/>
      <c r="DF441" s="113"/>
      <c r="DG441" s="113"/>
      <c r="DH441" s="113"/>
      <c r="DI441" s="113"/>
      <c r="DJ441" s="113"/>
      <c r="DK441" s="113"/>
      <c r="DL441" s="113"/>
      <c r="DM441" s="113"/>
      <c r="DN441" s="113"/>
      <c r="DO441" s="113"/>
      <c r="DP441" s="113"/>
      <c r="DQ441" s="113"/>
      <c r="DR441" s="113"/>
      <c r="DS441" s="113"/>
      <c r="DT441" s="113"/>
      <c r="DU441" s="113"/>
      <c r="DV441" s="113"/>
      <c r="DW441" s="113"/>
      <c r="DX441" s="113"/>
      <c r="DY441" s="113"/>
      <c r="DZ441" s="113"/>
      <c r="EA441" s="113"/>
      <c r="EB441" s="113"/>
      <c r="EC441" s="113"/>
      <c r="ED441" s="113"/>
      <c r="EE441" s="113"/>
      <c r="EF441" s="113"/>
      <c r="EG441" s="113"/>
      <c r="EH441" s="113"/>
      <c r="EI441" s="113"/>
      <c r="EJ441" s="113"/>
      <c r="EK441" s="113"/>
      <c r="EL441" s="113"/>
      <c r="EM441" s="113"/>
      <c r="EN441" s="113"/>
      <c r="EO441" s="113"/>
      <c r="EP441" s="113"/>
      <c r="EQ441" s="113"/>
      <c r="ER441" s="113"/>
      <c r="ES441" s="113"/>
      <c r="ET441" s="113"/>
      <c r="EU441" s="113"/>
      <c r="EV441" s="113"/>
      <c r="EW441" s="113"/>
      <c r="EX441" s="113"/>
      <c r="EY441" s="113"/>
    </row>
    <row r="442">
      <c r="A442" s="65" t="s">
        <v>28</v>
      </c>
      <c r="B442" s="65" t="s">
        <v>101</v>
      </c>
      <c r="C442" s="65" t="s">
        <v>410</v>
      </c>
      <c r="D442" s="64">
        <f t="shared" si="1"/>
        <v>587.2396667</v>
      </c>
      <c r="E442" s="104"/>
      <c r="F442" s="104">
        <v>17.5644166666667</v>
      </c>
      <c r="G442" s="104">
        <v>6.11546666666667</v>
      </c>
      <c r="H442" s="104">
        <v>0.780416666666667</v>
      </c>
      <c r="I442" s="104">
        <v>0.86335</v>
      </c>
      <c r="J442" s="104"/>
      <c r="K442" s="104">
        <v>3.0275</v>
      </c>
      <c r="L442" s="104"/>
      <c r="M442" s="104">
        <v>17.5644166666667</v>
      </c>
      <c r="N442" s="104">
        <v>6.11546666666667</v>
      </c>
      <c r="O442" s="104"/>
      <c r="P442" s="65">
        <v>10.2348666666667</v>
      </c>
      <c r="Q442" s="65"/>
      <c r="R442" s="65"/>
      <c r="S442" s="65">
        <v>31.5902333333333</v>
      </c>
      <c r="T442" s="65">
        <v>2.1664</v>
      </c>
      <c r="U442" s="65"/>
      <c r="V442" s="65"/>
      <c r="W442" s="65"/>
      <c r="X442" s="65"/>
      <c r="Y442" s="65"/>
      <c r="Z442" s="65">
        <v>40.2327833333333</v>
      </c>
      <c r="AA442" s="65">
        <v>10.9382</v>
      </c>
      <c r="AB442" s="65">
        <v>1.9107</v>
      </c>
      <c r="AC442" s="65">
        <v>2.53481666666667</v>
      </c>
      <c r="AD442" s="65">
        <v>4.7988</v>
      </c>
      <c r="AE442" s="65"/>
      <c r="AF442" s="65">
        <v>40.2327833333333</v>
      </c>
      <c r="AG442" s="65">
        <v>10.9382</v>
      </c>
      <c r="AH442" s="65"/>
      <c r="AI442" s="65">
        <v>63.4383333333333</v>
      </c>
      <c r="AJ442" s="65">
        <v>14.7843</v>
      </c>
      <c r="AK442" s="65">
        <v>4.24426666666667</v>
      </c>
      <c r="AL442" s="65">
        <v>2.59808333333333</v>
      </c>
      <c r="AM442" s="65">
        <v>14.69285</v>
      </c>
      <c r="AN442" s="65"/>
      <c r="AP442" s="65">
        <v>82.5294666666666</v>
      </c>
      <c r="AQ442" s="65">
        <v>0.514566666666667</v>
      </c>
      <c r="AR442" s="65">
        <v>10.4309166666667</v>
      </c>
      <c r="AT442" s="65"/>
      <c r="AU442" s="65">
        <v>92.1163500000001</v>
      </c>
      <c r="AV442" s="65">
        <v>12.4691</v>
      </c>
      <c r="AY442" s="65">
        <v>81.8126166666667</v>
      </c>
    </row>
    <row r="443">
      <c r="A443" s="65" t="s">
        <v>28</v>
      </c>
      <c r="B443" s="65" t="s">
        <v>101</v>
      </c>
      <c r="C443" s="65" t="s">
        <v>411</v>
      </c>
      <c r="D443" s="64">
        <f t="shared" si="1"/>
        <v>0</v>
      </c>
      <c r="E443" s="115"/>
      <c r="F443" s="115"/>
      <c r="G443" s="115"/>
      <c r="H443" s="115"/>
      <c r="I443" s="115"/>
      <c r="J443" s="115"/>
      <c r="K443" s="115"/>
      <c r="L443" s="115"/>
      <c r="M443" s="115"/>
      <c r="N443" s="115"/>
      <c r="O443" s="115"/>
    </row>
    <row r="444">
      <c r="A444" s="65" t="s">
        <v>28</v>
      </c>
      <c r="B444" s="65" t="s">
        <v>101</v>
      </c>
      <c r="C444" s="65" t="s">
        <v>412</v>
      </c>
      <c r="D444" s="64">
        <f t="shared" si="1"/>
        <v>510.4529833</v>
      </c>
      <c r="E444" s="115"/>
      <c r="F444" s="117">
        <f>HYPERLINK("https://docs.google.com/spreadsheets/d/14iPi6vC64Hs9lHZXmeQgX5xPlUO-IvSM", 17.5644333333333)</f>
        <v>17.56443333</v>
      </c>
      <c r="G444" s="116">
        <f>HYPERLINK("https://docs.google.com/spreadsheets/d/133iiBU0JogfmT5T_rOojHFpoAtZsHM92", 6.11548333333333)</f>
        <v>6.115483333</v>
      </c>
      <c r="H444" s="116">
        <f>HYPERLINK("https://docs.google.com/spreadsheets/d/1rH_rzPSVf8B2VpRJ4XA8lp5pKhhE6Wig", 0.780416666666667)</f>
        <v>0.7804166667</v>
      </c>
      <c r="I444" s="117">
        <f>HYPERLINK("https://docs.google.com/spreadsheets/d/1IxJx_DEqc4cTPrqH4qpHI0jaBdXwYdji", 0.86335)</f>
        <v>0.86335</v>
      </c>
      <c r="J444" s="115"/>
      <c r="K444" s="117">
        <f>HYPERLINK("https://docs.google.com/spreadsheets/d/15CLmgn0Nfc7ZMOfEwuj07MUXaF6eUfhB", 3.0275)</f>
        <v>3.0275</v>
      </c>
      <c r="L444" s="115"/>
      <c r="M444" s="104"/>
      <c r="N444" s="115"/>
      <c r="O444" s="104"/>
      <c r="P444" s="118">
        <f>HYPERLINK("https://docs.google.com/spreadsheets/d/1yKtHHkebWbk5VP7H480_TElp_SMSHp2c", 10.2348666666667)</f>
        <v>10.23486667</v>
      </c>
      <c r="S444" s="118">
        <f>HYPERLINK("https://docs.google.com/spreadsheets/d/1sXSXMrAjU8vEX2_PhOYzDI4EH9TESPZI", 31.5902166666667)</f>
        <v>31.59021667</v>
      </c>
      <c r="T444" s="118">
        <f>HYPERLINK("https://docs.google.com/spreadsheets/d/1ONlfxnELJHuki4zUoEaFOQqqIl7Svk6Y", 1.31951666666667)</f>
        <v>1.319516667</v>
      </c>
      <c r="Z444" s="118">
        <f>HYPERLINK("https://docs.google.com/spreadsheets/d/1Bf1UpHYL-a2eLT1oMOCHj53fwe_shcl6", 40.2327833333333)</f>
        <v>40.23278333</v>
      </c>
      <c r="AA444" s="118">
        <f>HYPERLINK("https://docs.google.com/spreadsheets/d/1HNdpO08f0x0qZaCIj7tRrVVhSsBOGXOF", 10.9381666666667)</f>
        <v>10.93816667</v>
      </c>
      <c r="AB444" s="118">
        <f>HYPERLINK("https://docs.google.com/spreadsheets/d/1PXK8YJRgSak-Ymo-H7G_gaURpIVwbj86", 1.9107)</f>
        <v>1.9107</v>
      </c>
      <c r="AC444" s="118">
        <f>HYPERLINK("https://docs.google.com/spreadsheets/d/1yl10RAx2T0IqSjXoQvLAlFD5-JFNrD3J", 2.53481666666667)</f>
        <v>2.534816667</v>
      </c>
      <c r="AD444" s="118">
        <f>HYPERLINK("https://docs.google.com/spreadsheets/d/1ofurAl7C91zdUYBDHr4obIGUXGMHJAVH", 4.7988)</f>
        <v>4.7988</v>
      </c>
      <c r="AI444" s="118">
        <f>HYPERLINK("https://docs.google.com/spreadsheets/d/1aEIPgFLI7_UWghJk0PKv2HVbBA7v5j4-", 63.4383166666667)</f>
        <v>63.43831667</v>
      </c>
      <c r="AJ444" s="118">
        <f>HYPERLINK("https://docs.google.com/spreadsheets/d/1zPH12mjFJKRurUCa97vQhgFY5UY9_gaP", 14.7843166666667)</f>
        <v>14.78431667</v>
      </c>
      <c r="AK444" s="118">
        <f>HYPERLINK("https://docs.google.com/spreadsheets/d/1YR9lEp3sXLv1MKUWstLgwuTewgPacmc0", 4.24426666666667)</f>
        <v>4.244266667</v>
      </c>
      <c r="AL444" s="118">
        <f>HYPERLINK("https://docs.google.com/spreadsheets/d/1EEKG3pGwlboxaxno9qpiq-YpUKQUEqZe", 2.59808333333333)</f>
        <v>2.598083333</v>
      </c>
      <c r="AM444" s="118">
        <f>HYPERLINK("https://docs.google.com/spreadsheets/d/1iqIOIqpaUL9WTvobRhB9bJrTNvQaxR0g", 14.3411666666667)</f>
        <v>14.34116667</v>
      </c>
      <c r="AP444" s="118">
        <f>HYPERLINK("https://docs.google.com/spreadsheets/d/1SrFk72Pulj7gsH8e5tPvGMrkYF8FJHtx", 82.3835)</f>
        <v>82.3835</v>
      </c>
      <c r="AQ444" s="118">
        <f>HYPERLINK("https://docs.google.com/spreadsheets/d/15WoWh5VINmrdvmfn2Cbz733GaWCPdTNV", 0.514566666666667)</f>
        <v>0.5145666667</v>
      </c>
      <c r="AR444" s="118">
        <f>HYPERLINK("https://docs.google.com/spreadsheets/d/1IrSV1LYeON38dQWsjGzAL8i1nUe7lGjk", 10.0614166666667)</f>
        <v>10.06141667</v>
      </c>
      <c r="AU444" s="118">
        <f>HYPERLINK("https://docs.google.com/spreadsheets/d/1ur2tbCd23W3i6xbH0sB6K3tA9UMZOtBr", 92.1163333333335)</f>
        <v>92.11633333</v>
      </c>
      <c r="AV444" s="118">
        <f>HYPERLINK("https://docs.google.com/spreadsheets/d/1D3KzVapvOog7qHHXqZz8Qd-2Ssg-fMLb", 12.32165)</f>
        <v>12.32165</v>
      </c>
      <c r="AY444" s="118">
        <f>HYPERLINK("https://docs.google.com/spreadsheets/d/1W8-exhsPYM9yn3UO13YfrE1PgMmPw7sy", 81.7383166666667)</f>
        <v>81.73831667</v>
      </c>
    </row>
    <row r="445">
      <c r="A445" s="65" t="s">
        <v>28</v>
      </c>
      <c r="B445" s="65" t="s">
        <v>101</v>
      </c>
      <c r="C445" s="65" t="s">
        <v>413</v>
      </c>
      <c r="D445" s="64">
        <f t="shared" si="1"/>
        <v>416.7333333</v>
      </c>
      <c r="E445" s="115"/>
      <c r="F445" s="104">
        <v>9.48815</v>
      </c>
      <c r="G445" s="104">
        <v>2.93565</v>
      </c>
      <c r="H445" s="104">
        <v>0.183383333333333</v>
      </c>
      <c r="I445" s="104">
        <v>0.143783333333333</v>
      </c>
      <c r="J445" s="104"/>
      <c r="K445" s="104">
        <v>3.0275</v>
      </c>
      <c r="L445" s="104"/>
      <c r="M445" s="104"/>
      <c r="N445" s="104"/>
      <c r="O445" s="104"/>
      <c r="P445" s="65">
        <v>10.2348666666667</v>
      </c>
      <c r="Q445" s="65"/>
      <c r="R445" s="65"/>
      <c r="S445" s="65">
        <v>22.3410166666667</v>
      </c>
      <c r="T445" s="65">
        <v>1.31951666666667</v>
      </c>
      <c r="U445" s="65"/>
      <c r="V445" s="65"/>
      <c r="W445" s="65"/>
      <c r="X445" s="65"/>
      <c r="Y445" s="65"/>
      <c r="Z445" s="65">
        <v>27.1278333333333</v>
      </c>
      <c r="AA445" s="65">
        <v>6.68908333333333</v>
      </c>
      <c r="AB445" s="65">
        <v>0.75335</v>
      </c>
      <c r="AC445" s="65">
        <v>0.542966666666667</v>
      </c>
      <c r="AD445" s="65">
        <v>1.86003333333333</v>
      </c>
      <c r="AE445" s="65"/>
      <c r="AF445" s="65"/>
      <c r="AG445" s="65"/>
      <c r="AH445" s="65"/>
      <c r="AI445" s="65">
        <v>63.4383166666667</v>
      </c>
      <c r="AJ445" s="65">
        <v>14.7843166666667</v>
      </c>
      <c r="AK445" s="65">
        <v>1.76515</v>
      </c>
      <c r="AL445" s="65">
        <v>0.388083333333334</v>
      </c>
      <c r="AM445" s="65">
        <v>14.3411666666667</v>
      </c>
      <c r="AN445" s="65"/>
      <c r="AP445" s="65">
        <v>82.3835</v>
      </c>
      <c r="AQ445" s="65">
        <v>1.11022302462516E-16</v>
      </c>
      <c r="AR445" s="65">
        <v>10.0614166666667</v>
      </c>
      <c r="AT445" s="65"/>
      <c r="AU445" s="65">
        <v>57.1319666666668</v>
      </c>
      <c r="AV445" s="65">
        <v>4.05396666666667</v>
      </c>
      <c r="AY445" s="65">
        <v>81.7383166666667</v>
      </c>
    </row>
    <row r="446">
      <c r="A446" s="119" t="s">
        <v>28</v>
      </c>
      <c r="B446" s="119" t="s">
        <v>101</v>
      </c>
      <c r="C446" s="119" t="s">
        <v>414</v>
      </c>
      <c r="D446" s="120">
        <f t="shared" si="1"/>
        <v>92.11633333</v>
      </c>
      <c r="E446" s="121"/>
      <c r="F446" s="122">
        <f>HYPERLINK("https://docs.google.com/spreadsheets/d/14iPi6vC64Hs9lHZXmeQgX5xPlUO-IvSM", 0)</f>
        <v>0</v>
      </c>
      <c r="G446" s="122">
        <f>HYPERLINK("https://docs.google.com/spreadsheets/d/133iiBU0JogfmT5T_rOojHFpoAtZsHM92", 0)</f>
        <v>0</v>
      </c>
      <c r="H446" s="122">
        <f>HYPERLINK("https://docs.google.com/spreadsheets/d/1rH_rzPSVf8B2VpRJ4XA8lp5pKhhE6Wig", 0)</f>
        <v>0</v>
      </c>
      <c r="I446" s="122">
        <f>HYPERLINK("https://docs.google.com/spreadsheets/d/1IxJx_DEqc4cTPrqH4qpHI0jaBdXwYdji", 0)</f>
        <v>0</v>
      </c>
      <c r="J446" s="121"/>
      <c r="K446" s="122">
        <f>HYPERLINK("https://docs.google.com/spreadsheets/d/15CLmgn0Nfc7ZMOfEwuj07MUXaF6eUfhB", 0)</f>
        <v>0</v>
      </c>
      <c r="L446" s="121"/>
      <c r="M446" s="121"/>
      <c r="N446" s="123"/>
      <c r="O446" s="121"/>
      <c r="P446" s="124">
        <f>HYPERLINK("https://docs.google.com/spreadsheets/d/1yKtHHkebWbk5VP7H480_TElp_SMSHp2c", 0)</f>
        <v>0</v>
      </c>
      <c r="Q446" s="119"/>
      <c r="R446" s="119"/>
      <c r="S446" s="124">
        <f>HYPERLINK("https://docs.google.com/spreadsheets/d/1sXSXMrAjU8vEX2_PhOYzDI4EH9TESPZI", 0)</f>
        <v>0</v>
      </c>
      <c r="T446" s="124">
        <f>HYPERLINK("https://docs.google.com/spreadsheets/d/1ONlfxnELJHuki4zUoEaFOQqqIl7Svk6Y", 0)</f>
        <v>0</v>
      </c>
      <c r="U446" s="120"/>
      <c r="V446" s="120"/>
      <c r="W446" s="120"/>
      <c r="X446" s="119"/>
      <c r="Y446" s="119"/>
      <c r="Z446" s="124">
        <f>HYPERLINK("https://docs.google.com/spreadsheets/d/1Bf1UpHYL-a2eLT1oMOCHj53fwe_shcl6", 0)</f>
        <v>0</v>
      </c>
      <c r="AA446" s="124">
        <f>HYPERLINK("https://docs.google.com/spreadsheets/d/1HNdpO08f0x0qZaCIj7tRrVVhSsBOGXOF", 0)</f>
        <v>0</v>
      </c>
      <c r="AB446" s="124">
        <f>HYPERLINK("https://docs.google.com/spreadsheets/d/1PXK8YJRgSak-Ymo-H7G_gaURpIVwbj86", 0)</f>
        <v>0</v>
      </c>
      <c r="AC446" s="124">
        <f>HYPERLINK("https://docs.google.com/spreadsheets/d/1yl10RAx2T0IqSjXoQvLAlFD5-JFNrD3J", 0)</f>
        <v>0</v>
      </c>
      <c r="AD446" s="124">
        <f>HYPERLINK("https://docs.google.com/spreadsheets/d/1ofurAl7C91zdUYBDHr4obIGUXGMHJAVH", 0)</f>
        <v>0</v>
      </c>
      <c r="AE446" s="119"/>
      <c r="AF446" s="119"/>
      <c r="AG446" s="119"/>
      <c r="AH446" s="119"/>
      <c r="AI446" s="125">
        <f>HYPERLINK("https://docs.google.com/spreadsheets/d/1aEIPgFLI7_UWghJk0PKv2HVbBA7v5j4-", 0)</f>
        <v>0</v>
      </c>
      <c r="AJ446" s="124">
        <f>HYPERLINK("https://docs.google.com/spreadsheets/d/1zPH12mjFJKRurUCa97vQhgFY5UY9_gaP", 0)</f>
        <v>0</v>
      </c>
      <c r="AK446" s="124">
        <f>HYPERLINK("https://docs.google.com/spreadsheets/d/1YR9lEp3sXLv1MKUWstLgwuTewgPacmc0", 0)</f>
        <v>0</v>
      </c>
      <c r="AL446" s="125">
        <f>HYPERLINK("https://docs.google.com/spreadsheets/d/1EEKG3pGwlboxaxno9qpiq-YpUKQUEqZe", 0)</f>
        <v>0</v>
      </c>
      <c r="AM446" s="124">
        <f>HYPERLINK("https://docs.google.com/spreadsheets/d/1iqIOIqpaUL9WTvobRhB9bJrTNvQaxR0g", 0)</f>
        <v>0</v>
      </c>
      <c r="AN446" s="119"/>
      <c r="AO446" s="120"/>
      <c r="AP446" s="124">
        <f>HYPERLINK("https://docs.google.com/spreadsheets/d/1SrFk72Pulj7gsH8e5tPvGMrkYF8FJHtx", 0)</f>
        <v>0</v>
      </c>
      <c r="AQ446" s="125">
        <f>HYPERLINK("https://docs.google.com/spreadsheets/d/15WoWh5VINmrdvmfn2Cbz733GaWCPdTNV", 0)</f>
        <v>0</v>
      </c>
      <c r="AR446" s="125">
        <f>HYPERLINK("https://docs.google.com/spreadsheets/d/1IrSV1LYeON38dQWsjGzAL8i1nUe7lGjk", 0)</f>
        <v>0</v>
      </c>
      <c r="AS446" s="120"/>
      <c r="AT446" s="120"/>
      <c r="AU446" s="124">
        <f>HYPERLINK("https://docs.google.com/spreadsheets/d/1ur2tbCd23W3i6xbH0sB6K3tA9UMZOtBr", 92.1163333333335)</f>
        <v>92.11633333</v>
      </c>
      <c r="AV446" s="124">
        <f>HYPERLINK("https://docs.google.com/spreadsheets/d/1D3KzVapvOog7qHHXqZz8Qd-2Ssg-fMLb", 0)</f>
        <v>0</v>
      </c>
      <c r="AW446" s="120"/>
      <c r="AX446" s="120"/>
      <c r="AY446" s="124">
        <f>HYPERLINK("https://docs.google.com/spreadsheets/d/1W8-exhsPYM9yn3UO13YfrE1PgMmPw7sy", 0)</f>
        <v>0</v>
      </c>
      <c r="AZ446" s="120"/>
      <c r="BA446" s="120"/>
      <c r="BB446" s="120"/>
      <c r="BC446" s="120"/>
      <c r="BD446" s="120"/>
      <c r="BE446" s="120"/>
      <c r="BF446" s="120"/>
      <c r="BG446" s="120"/>
      <c r="BH446" s="120"/>
      <c r="BI446" s="120"/>
      <c r="BJ446" s="120"/>
      <c r="BK446" s="120"/>
      <c r="BL446" s="120"/>
      <c r="BM446" s="120"/>
      <c r="BN446" s="120"/>
      <c r="BO446" s="120"/>
      <c r="BP446" s="120"/>
      <c r="BQ446" s="120"/>
      <c r="BR446" s="120"/>
      <c r="BS446" s="120"/>
      <c r="BT446" s="120"/>
      <c r="BU446" s="120"/>
      <c r="BV446" s="120"/>
      <c r="BW446" s="120"/>
      <c r="BX446" s="120"/>
      <c r="BY446" s="120"/>
      <c r="BZ446" s="120"/>
      <c r="CA446" s="120"/>
      <c r="CB446" s="120"/>
      <c r="CC446" s="120"/>
      <c r="CD446" s="120"/>
      <c r="CE446" s="120"/>
      <c r="CF446" s="120"/>
      <c r="CG446" s="120"/>
      <c r="CH446" s="120"/>
      <c r="CI446" s="120"/>
      <c r="CJ446" s="120"/>
      <c r="CK446" s="120"/>
      <c r="CL446" s="120"/>
      <c r="CM446" s="120"/>
      <c r="CN446" s="120"/>
      <c r="CO446" s="120"/>
      <c r="CP446" s="120"/>
      <c r="CQ446" s="120"/>
      <c r="CR446" s="120"/>
      <c r="CS446" s="120"/>
      <c r="CT446" s="120"/>
      <c r="CU446" s="120"/>
      <c r="CV446" s="120"/>
      <c r="CW446" s="120"/>
      <c r="CX446" s="120"/>
      <c r="CY446" s="120"/>
      <c r="CZ446" s="120"/>
      <c r="DA446" s="120"/>
      <c r="DB446" s="120"/>
      <c r="DC446" s="120"/>
      <c r="DD446" s="120"/>
      <c r="DE446" s="120"/>
      <c r="DF446" s="120"/>
      <c r="DG446" s="120"/>
      <c r="DH446" s="120"/>
      <c r="DI446" s="120"/>
      <c r="DJ446" s="120"/>
      <c r="DK446" s="120"/>
      <c r="DL446" s="120"/>
      <c r="DM446" s="120"/>
      <c r="DN446" s="120"/>
      <c r="DO446" s="120"/>
      <c r="DP446" s="120"/>
      <c r="DQ446" s="120"/>
      <c r="DR446" s="120"/>
      <c r="DS446" s="120"/>
      <c r="DT446" s="120"/>
      <c r="DU446" s="120"/>
      <c r="DV446" s="120"/>
      <c r="DW446" s="120"/>
      <c r="DX446" s="120"/>
      <c r="DY446" s="120"/>
      <c r="DZ446" s="120"/>
      <c r="EA446" s="120"/>
      <c r="EB446" s="120"/>
      <c r="EC446" s="120"/>
      <c r="ED446" s="120"/>
      <c r="EE446" s="120"/>
      <c r="EF446" s="120"/>
      <c r="EG446" s="120"/>
      <c r="EH446" s="120"/>
      <c r="EI446" s="120"/>
      <c r="EJ446" s="120"/>
      <c r="EK446" s="120"/>
      <c r="EL446" s="120"/>
      <c r="EM446" s="120"/>
      <c r="EN446" s="120"/>
      <c r="EO446" s="120"/>
      <c r="EP446" s="120"/>
      <c r="EQ446" s="120"/>
      <c r="ER446" s="120"/>
      <c r="ES446" s="120"/>
      <c r="ET446" s="120"/>
      <c r="EU446" s="120"/>
      <c r="EV446" s="120"/>
      <c r="EW446" s="120"/>
      <c r="EX446" s="120"/>
      <c r="EY446" s="120"/>
    </row>
    <row r="447">
      <c r="A447" s="112" t="s">
        <v>28</v>
      </c>
      <c r="B447" s="112" t="s">
        <v>102</v>
      </c>
      <c r="C447" s="112" t="s">
        <v>409</v>
      </c>
      <c r="D447" s="113">
        <f t="shared" si="1"/>
        <v>464.61335</v>
      </c>
      <c r="E447" s="114">
        <v>21.2663</v>
      </c>
      <c r="F447" s="114"/>
      <c r="G447" s="114"/>
      <c r="H447" s="114"/>
      <c r="I447" s="114"/>
      <c r="J447" s="114"/>
      <c r="K447" s="114"/>
      <c r="L447" s="114">
        <v>0.397733333333333</v>
      </c>
      <c r="M447" s="114"/>
      <c r="N447" s="114"/>
      <c r="O447" s="114">
        <v>4.64921666666667</v>
      </c>
      <c r="P447" s="112"/>
      <c r="Q447" s="112"/>
      <c r="R447" s="112">
        <v>1.55891666666667</v>
      </c>
      <c r="S447" s="112"/>
      <c r="T447" s="112"/>
      <c r="U447" s="113"/>
      <c r="V447" s="112"/>
      <c r="W447" s="112"/>
      <c r="X447" s="113"/>
      <c r="Y447" s="112">
        <v>58.9939333333333</v>
      </c>
      <c r="Z447" s="112"/>
      <c r="AA447" s="113"/>
      <c r="AB447" s="112"/>
      <c r="AC447" s="112"/>
      <c r="AD447" s="112"/>
      <c r="AE447" s="112">
        <v>0.555183333333333</v>
      </c>
      <c r="AF447" s="112"/>
      <c r="AG447" s="112"/>
      <c r="AH447" s="112">
        <v>77.3518333333333</v>
      </c>
      <c r="AI447" s="112"/>
      <c r="AJ447" s="112"/>
      <c r="AK447" s="112"/>
      <c r="AL447" s="113"/>
      <c r="AM447" s="112"/>
      <c r="AN447" s="112">
        <v>1.72535</v>
      </c>
      <c r="AO447" s="112">
        <v>108.599</v>
      </c>
      <c r="AP447" s="112"/>
      <c r="AQ447" s="113"/>
      <c r="AR447" s="112"/>
      <c r="AS447" s="112">
        <v>4.7539</v>
      </c>
      <c r="AT447" s="112">
        <v>109.731216666667</v>
      </c>
      <c r="AU447" s="112"/>
      <c r="AV447" s="112"/>
      <c r="AW447" s="112">
        <v>2.80025</v>
      </c>
      <c r="AX447" s="112">
        <v>65.2674166666667</v>
      </c>
      <c r="AY447" s="113"/>
      <c r="AZ447" s="112">
        <v>5.67661666666667</v>
      </c>
      <c r="BA447" s="112">
        <v>1.28648333333333</v>
      </c>
      <c r="BB447" s="113"/>
      <c r="BC447" s="113"/>
      <c r="BD447" s="113"/>
      <c r="BE447" s="113"/>
      <c r="BF447" s="113"/>
      <c r="BG447" s="113"/>
      <c r="BH447" s="113"/>
      <c r="BI447" s="113"/>
      <c r="BJ447" s="113"/>
      <c r="BK447" s="113"/>
      <c r="BL447" s="113"/>
      <c r="BM447" s="113"/>
      <c r="BN447" s="113"/>
      <c r="BO447" s="113"/>
      <c r="BP447" s="113"/>
      <c r="BQ447" s="113"/>
      <c r="BR447" s="113"/>
      <c r="BS447" s="113"/>
      <c r="BT447" s="113"/>
      <c r="BU447" s="113"/>
      <c r="BV447" s="113"/>
      <c r="BW447" s="113"/>
      <c r="BX447" s="113"/>
      <c r="BY447" s="113"/>
      <c r="BZ447" s="113"/>
      <c r="CA447" s="113"/>
      <c r="CB447" s="113"/>
      <c r="CC447" s="113"/>
      <c r="CD447" s="113"/>
      <c r="CE447" s="113"/>
      <c r="CF447" s="113"/>
      <c r="CG447" s="113"/>
      <c r="CH447" s="113"/>
      <c r="CI447" s="113"/>
      <c r="CJ447" s="113"/>
      <c r="CK447" s="113"/>
      <c r="CL447" s="113"/>
      <c r="CM447" s="113"/>
      <c r="CN447" s="113"/>
      <c r="CO447" s="113"/>
      <c r="CP447" s="113"/>
      <c r="CQ447" s="113"/>
      <c r="CR447" s="113"/>
      <c r="CS447" s="113"/>
      <c r="CT447" s="113"/>
      <c r="CU447" s="113"/>
      <c r="CV447" s="113"/>
      <c r="CW447" s="113"/>
      <c r="CX447" s="113"/>
      <c r="CY447" s="113"/>
      <c r="CZ447" s="113"/>
      <c r="DA447" s="113"/>
      <c r="DB447" s="113"/>
      <c r="DC447" s="113"/>
      <c r="DD447" s="113"/>
      <c r="DE447" s="113"/>
      <c r="DF447" s="113"/>
      <c r="DG447" s="113"/>
      <c r="DH447" s="113"/>
      <c r="DI447" s="113"/>
      <c r="DJ447" s="113"/>
      <c r="DK447" s="113"/>
      <c r="DL447" s="113"/>
      <c r="DM447" s="113"/>
      <c r="DN447" s="113"/>
      <c r="DO447" s="113"/>
      <c r="DP447" s="113"/>
      <c r="DQ447" s="113"/>
      <c r="DR447" s="113"/>
      <c r="DS447" s="113"/>
      <c r="DT447" s="113"/>
      <c r="DU447" s="113"/>
      <c r="DV447" s="113"/>
      <c r="DW447" s="113"/>
      <c r="DX447" s="113"/>
      <c r="DY447" s="113"/>
      <c r="DZ447" s="113"/>
      <c r="EA447" s="113"/>
      <c r="EB447" s="113"/>
      <c r="EC447" s="113"/>
      <c r="ED447" s="113"/>
      <c r="EE447" s="113"/>
      <c r="EF447" s="113"/>
      <c r="EG447" s="113"/>
      <c r="EH447" s="113"/>
      <c r="EI447" s="113"/>
      <c r="EJ447" s="113"/>
      <c r="EK447" s="113"/>
      <c r="EL447" s="113"/>
      <c r="EM447" s="113"/>
      <c r="EN447" s="113"/>
      <c r="EO447" s="113"/>
      <c r="EP447" s="113"/>
      <c r="EQ447" s="113"/>
      <c r="ER447" s="113"/>
      <c r="ES447" s="113"/>
      <c r="ET447" s="113"/>
      <c r="EU447" s="113"/>
      <c r="EV447" s="113"/>
      <c r="EW447" s="113"/>
      <c r="EX447" s="113"/>
      <c r="EY447" s="113"/>
    </row>
    <row r="448">
      <c r="A448" s="65" t="s">
        <v>28</v>
      </c>
      <c r="B448" s="65" t="s">
        <v>102</v>
      </c>
      <c r="C448" s="65" t="s">
        <v>410</v>
      </c>
      <c r="D448" s="64">
        <f t="shared" si="1"/>
        <v>437.6536</v>
      </c>
      <c r="E448" s="104"/>
      <c r="F448" s="104">
        <v>12.9581666666667</v>
      </c>
      <c r="G448" s="104">
        <v>0.287516666666667</v>
      </c>
      <c r="H448" s="104">
        <v>0.536366666666667</v>
      </c>
      <c r="I448" s="104">
        <v>0.942983333333334</v>
      </c>
      <c r="J448" s="104">
        <v>0.1377</v>
      </c>
      <c r="K448" s="104">
        <v>2.76756666666667</v>
      </c>
      <c r="L448" s="104"/>
      <c r="M448" s="104">
        <v>12.9581666666667</v>
      </c>
      <c r="N448" s="104">
        <v>0.287516666666667</v>
      </c>
      <c r="O448" s="104"/>
      <c r="P448" s="65">
        <v>3.66883333333333</v>
      </c>
      <c r="Q448" s="65"/>
      <c r="R448" s="65"/>
      <c r="S448" s="65">
        <v>1.22026666666667</v>
      </c>
      <c r="T448" s="65"/>
      <c r="U448" s="65"/>
      <c r="V448" s="65"/>
      <c r="W448" s="65"/>
      <c r="X448" s="65"/>
      <c r="Y448" s="65"/>
      <c r="Z448" s="65">
        <v>31.7867666666667</v>
      </c>
      <c r="AA448" s="65">
        <v>14.9171833333333</v>
      </c>
      <c r="AB448" s="65">
        <v>2.57108333333333</v>
      </c>
      <c r="AC448" s="65">
        <v>0.160733333333333</v>
      </c>
      <c r="AD448" s="65">
        <v>7.13923333333333</v>
      </c>
      <c r="AE448" s="65"/>
      <c r="AF448" s="65">
        <v>31.7867666666667</v>
      </c>
      <c r="AG448" s="65">
        <v>14.9171833333333</v>
      </c>
      <c r="AH448" s="65"/>
      <c r="AI448" s="65">
        <v>46.0941</v>
      </c>
      <c r="AJ448" s="65">
        <v>12.1498333333333</v>
      </c>
      <c r="AK448" s="65">
        <v>2.75136666666667</v>
      </c>
      <c r="AL448" s="65">
        <v>0.51625</v>
      </c>
      <c r="AM448" s="65">
        <v>15.2331166666667</v>
      </c>
      <c r="AN448" s="65"/>
      <c r="AP448" s="65">
        <v>77.7684</v>
      </c>
      <c r="AQ448" s="65">
        <v>0.66595</v>
      </c>
      <c r="AR448" s="65">
        <v>5.23506666666667</v>
      </c>
      <c r="AT448" s="65"/>
      <c r="AU448" s="65">
        <v>69.4205</v>
      </c>
      <c r="AV448" s="65">
        <v>6.32823333333333</v>
      </c>
      <c r="AY448" s="65">
        <v>62.44675</v>
      </c>
    </row>
    <row r="449">
      <c r="A449" s="65" t="s">
        <v>28</v>
      </c>
      <c r="B449" s="65" t="s">
        <v>102</v>
      </c>
      <c r="C449" s="65" t="s">
        <v>411</v>
      </c>
      <c r="D449" s="64">
        <f t="shared" si="1"/>
        <v>0</v>
      </c>
      <c r="E449" s="115"/>
      <c r="F449" s="115"/>
      <c r="G449" s="115"/>
      <c r="H449" s="115"/>
      <c r="I449" s="115"/>
      <c r="J449" s="115"/>
      <c r="K449" s="115"/>
      <c r="L449" s="115"/>
      <c r="M449" s="115"/>
      <c r="N449" s="115"/>
      <c r="O449" s="115"/>
    </row>
    <row r="450">
      <c r="A450" s="65" t="s">
        <v>28</v>
      </c>
      <c r="B450" s="65" t="s">
        <v>102</v>
      </c>
      <c r="C450" s="65" t="s">
        <v>412</v>
      </c>
      <c r="D450" s="64">
        <f t="shared" si="1"/>
        <v>376.7310333</v>
      </c>
      <c r="E450" s="115"/>
      <c r="F450" s="117">
        <f>HYPERLINK("https://docs.google.com/spreadsheets/d/1aezmFHvfJ9z0hIAZ3osgBHLKQeB8X5ue", 12.9581666666667)</f>
        <v>12.95816667</v>
      </c>
      <c r="G450" s="116">
        <f>HYPERLINK("https://docs.google.com/spreadsheets/d/1CrFDz-kKp52GmLRA81zd3UCFWOOKot4x", 0.287516666666667)</f>
        <v>0.2875166667</v>
      </c>
      <c r="H450" s="116">
        <f>HYPERLINK("https://docs.google.com/spreadsheets/d/1lq7CxARHL-zPaWuy2O-aVdnGWn4FOHlW", 0.536366666666667)</f>
        <v>0.5363666667</v>
      </c>
      <c r="I450" s="117">
        <f>HYPERLINK("https://docs.google.com/spreadsheets/d/1WVWyA_3Dfy1Ez9E0OK8YgH0v9ozX0G1J", 0.942983333333333)</f>
        <v>0.9429833333</v>
      </c>
      <c r="J450" s="116">
        <f>HYPERLINK("https://docs.google.com/spreadsheets/d/1-n2-3Lm2EsMSKeptLLWMCA146m7zz1K_", 0.1377)</f>
        <v>0.1377</v>
      </c>
      <c r="K450" s="117">
        <f>HYPERLINK("https://docs.google.com/spreadsheets/d/1KLmpdg4Hxay_BHEFS2pTi-Iy5SUI2_sQ", 2.76756666666667)</f>
        <v>2.767566667</v>
      </c>
      <c r="L450" s="115"/>
      <c r="M450" s="104"/>
      <c r="N450" s="115"/>
      <c r="O450" s="104"/>
      <c r="P450" s="118">
        <f>HYPERLINK("https://docs.google.com/spreadsheets/d/1CIx71fNeOBiyoAnZwehSBhID_FVjMOf2", 3.66883333333333)</f>
        <v>3.668833333</v>
      </c>
      <c r="S450" s="118">
        <f>HYPERLINK("https://docs.google.com/spreadsheets/d/1GCVFdljmBIF5lJirzWybD8Nh-I0gwFwI", 1.22026666666667)</f>
        <v>1.220266667</v>
      </c>
      <c r="Z450" s="118">
        <f>HYPERLINK("https://docs.google.com/spreadsheets/d/1xnq4jN-fS3sp6MnmwUhb6Ju6rhAzGsJy", 31.78675)</f>
        <v>31.78675</v>
      </c>
      <c r="AA450" s="118">
        <f>HYPERLINK("https://docs.google.com/spreadsheets/d/1VC7FXfnWI74u8IyIOGLuGUdDaHxeh-9y", 14.9171833333333)</f>
        <v>14.91718333</v>
      </c>
      <c r="AB450" s="118">
        <f>HYPERLINK("https://docs.google.com/spreadsheets/d/1DZZBpdr1iH-m0OFgG4ujVNPJcbXUopmF", 2.57108333333333)</f>
        <v>2.571083333</v>
      </c>
      <c r="AC450" s="118">
        <f>HYPERLINK("https://docs.google.com/spreadsheets/d/1x68cws9YNnBP5rGa7uJUTzIaQsgXJWQU", 0.160733333333333)</f>
        <v>0.1607333333</v>
      </c>
      <c r="AD450" s="118">
        <f>HYPERLINK("https://docs.google.com/spreadsheets/d/1oWwUTfPLQzcgUJBH2lYCgL2vMmoSwyNb", 7.13921666666667)</f>
        <v>7.139216667</v>
      </c>
      <c r="AI450" s="118">
        <f>HYPERLINK("https://docs.google.com/spreadsheets/d/1se1ADfwfjrPThc5fCJgSA6In942B9Yc3", 46.0940666666666)</f>
        <v>46.09406667</v>
      </c>
      <c r="AJ450" s="118">
        <f>HYPERLINK("https://docs.google.com/spreadsheets/d/1BtWTAwc_Q0W9bzy4rLnPGnk7nmhI4NGm", 12.1498166666667)</f>
        <v>12.14981667</v>
      </c>
      <c r="AK450" s="118">
        <f>HYPERLINK("https://docs.google.com/spreadsheets/d/1N735j9LhJ9nmEFbGLkLQD95GEAxJkXf2", 2.60995)</f>
        <v>2.60995</v>
      </c>
      <c r="AL450" s="118">
        <f>HYPERLINK("https://docs.google.com/spreadsheets/d/1fnT4kCfkMkgluLqcDkPllRFDttgAWjYb", 0.51625)</f>
        <v>0.51625</v>
      </c>
      <c r="AM450" s="118">
        <f>HYPERLINK("https://docs.google.com/spreadsheets/d/1p59oeFg-IGg_KD4IZBpErwapyWtichB3", 15.0903)</f>
        <v>15.0903</v>
      </c>
      <c r="AP450" s="118">
        <f>HYPERLINK("https://docs.google.com/spreadsheets/d/1d3IG43JbxBz2ZqWHi_zhbuk7AoFgnBrE", 77.5037333333333)</f>
        <v>77.50373333</v>
      </c>
      <c r="AQ450" s="118">
        <f>HYPERLINK("https://docs.google.com/spreadsheets/d/1QkAcwX8R_j0UYfiYLbxAQN6YATktmSqq", 0.66595)</f>
        <v>0.66595</v>
      </c>
      <c r="AR450" s="118">
        <f>HYPERLINK("https://docs.google.com/spreadsheets/d/1NWqnAWlD4d8LLy-WhNV7R8vOfhUzPpI3", 5.07301666666667)</f>
        <v>5.073016667</v>
      </c>
      <c r="AU450" s="118">
        <f>HYPERLINK("https://docs.google.com/spreadsheets/d/1_m0QT4ZZOgKViCiHYyuyJ5_QD-oGZBIT", 69.3302)</f>
        <v>69.3302</v>
      </c>
      <c r="AV450" s="118">
        <f>HYPERLINK("https://docs.google.com/spreadsheets/d/18axJRe4rZCL0QL_EIppUhPTmCGqvqveV", 6.15663333333333)</f>
        <v>6.156633333</v>
      </c>
      <c r="AY450" s="118">
        <f>HYPERLINK("https://docs.google.com/spreadsheets/d/1ORaxhubyNVtx_xSeonKay2XkqmAvI-1Q", 62.44675)</f>
        <v>62.44675</v>
      </c>
    </row>
    <row r="451">
      <c r="A451" s="65" t="s">
        <v>28</v>
      </c>
      <c r="B451" s="65" t="s">
        <v>102</v>
      </c>
      <c r="C451" s="65" t="s">
        <v>413</v>
      </c>
      <c r="D451" s="64">
        <f t="shared" si="1"/>
        <v>307.9552333</v>
      </c>
      <c r="E451" s="115"/>
      <c r="F451" s="104">
        <v>6.5649</v>
      </c>
      <c r="G451" s="104">
        <v>0.0</v>
      </c>
      <c r="H451" s="104">
        <v>0.2078</v>
      </c>
      <c r="I451" s="104">
        <v>0.80835</v>
      </c>
      <c r="J451" s="104">
        <v>0.0</v>
      </c>
      <c r="K451" s="104">
        <v>2.76756666666667</v>
      </c>
      <c r="L451" s="104"/>
      <c r="M451" s="104"/>
      <c r="N451" s="104"/>
      <c r="O451" s="104"/>
      <c r="P451" s="65">
        <v>3.66883333333333</v>
      </c>
      <c r="Q451" s="65"/>
      <c r="S451" s="65">
        <v>0.745816666666667</v>
      </c>
      <c r="T451" s="65"/>
      <c r="U451" s="65"/>
      <c r="V451" s="65"/>
      <c r="W451" s="65"/>
      <c r="X451" s="65"/>
      <c r="Y451" s="65"/>
      <c r="Z451" s="65">
        <v>19.7685833333333</v>
      </c>
      <c r="AA451" s="65">
        <v>8.50285</v>
      </c>
      <c r="AB451" s="65">
        <v>0.884016666666667</v>
      </c>
      <c r="AC451" s="65">
        <v>0.0</v>
      </c>
      <c r="AD451" s="65">
        <v>2.65853333333333</v>
      </c>
      <c r="AE451" s="65"/>
      <c r="AF451" s="65"/>
      <c r="AG451" s="65"/>
      <c r="AH451" s="65"/>
      <c r="AI451" s="65">
        <v>46.0940666666666</v>
      </c>
      <c r="AJ451" s="65">
        <v>12.1498166666667</v>
      </c>
      <c r="AK451" s="65">
        <v>0.21945</v>
      </c>
      <c r="AL451" s="65">
        <v>0.0</v>
      </c>
      <c r="AM451" s="65">
        <v>15.0903</v>
      </c>
      <c r="AN451" s="65"/>
      <c r="AP451" s="65">
        <v>77.5037333333333</v>
      </c>
      <c r="AQ451" s="65">
        <v>0.0</v>
      </c>
      <c r="AR451" s="65">
        <v>5.07301666666667</v>
      </c>
      <c r="AT451" s="65"/>
      <c r="AU451" s="65">
        <v>40.9817</v>
      </c>
      <c r="AV451" s="65">
        <v>1.81915</v>
      </c>
      <c r="AY451" s="65">
        <v>62.44675</v>
      </c>
    </row>
    <row r="452">
      <c r="A452" s="119" t="s">
        <v>28</v>
      </c>
      <c r="B452" s="119" t="s">
        <v>102</v>
      </c>
      <c r="C452" s="119" t="s">
        <v>414</v>
      </c>
      <c r="D452" s="120">
        <f t="shared" si="1"/>
        <v>69.3302</v>
      </c>
      <c r="E452" s="121"/>
      <c r="F452" s="122">
        <f>HYPERLINK("https://docs.google.com/spreadsheets/d/1aezmFHvfJ9z0hIAZ3osgBHLKQeB8X5ue", 0)</f>
        <v>0</v>
      </c>
      <c r="G452" s="122">
        <f>HYPERLINK("https://docs.google.com/spreadsheets/d/1CrFDz-kKp52GmLRA81zd3UCFWOOKot4x", 0)</f>
        <v>0</v>
      </c>
      <c r="H452" s="122">
        <f>HYPERLINK("https://docs.google.com/spreadsheets/d/1lq7CxARHL-zPaWuy2O-aVdnGWn4FOHlW", 0)</f>
        <v>0</v>
      </c>
      <c r="I452" s="122">
        <f>HYPERLINK("https://docs.google.com/spreadsheets/d/1WVWyA_3Dfy1Ez9E0OK8YgH0v9ozX0G1J", 0)</f>
        <v>0</v>
      </c>
      <c r="J452" s="122">
        <f>HYPERLINK("https://docs.google.com/spreadsheets/d/1-n2-3Lm2EsMSKeptLLWMCA146m7zz1K_", 0)</f>
        <v>0</v>
      </c>
      <c r="K452" s="122">
        <f>HYPERLINK("https://docs.google.com/spreadsheets/d/1KLmpdg4Hxay_BHEFS2pTi-Iy5SUI2_sQ", 0)</f>
        <v>0</v>
      </c>
      <c r="L452" s="121"/>
      <c r="M452" s="121"/>
      <c r="N452" s="123"/>
      <c r="O452" s="121"/>
      <c r="P452" s="124">
        <f>HYPERLINK("https://docs.google.com/spreadsheets/d/1CIx71fNeOBiyoAnZwehSBhID_FVjMOf2", 0)</f>
        <v>0</v>
      </c>
      <c r="Q452" s="119"/>
      <c r="R452" s="120"/>
      <c r="S452" s="124">
        <f>HYPERLINK("https://docs.google.com/spreadsheets/d/1GCVFdljmBIF5lJirzWybD8Nh-I0gwFwI", 0)</f>
        <v>0</v>
      </c>
      <c r="T452" s="120"/>
      <c r="U452" s="120"/>
      <c r="V452" s="120"/>
      <c r="W452" s="120"/>
      <c r="X452" s="119"/>
      <c r="Y452" s="119"/>
      <c r="Z452" s="124">
        <f>HYPERLINK("https://docs.google.com/spreadsheets/d/1xnq4jN-fS3sp6MnmwUhb6Ju6rhAzGsJy", 0)</f>
        <v>0</v>
      </c>
      <c r="AA452" s="124">
        <f>HYPERLINK("https://docs.google.com/spreadsheets/d/1VC7FXfnWI74u8IyIOGLuGUdDaHxeh-9y", 0)</f>
        <v>0</v>
      </c>
      <c r="AB452" s="124">
        <f>HYPERLINK("https://docs.google.com/spreadsheets/d/1DZZBpdr1iH-m0OFgG4ujVNPJcbXUopmF", 0)</f>
        <v>0</v>
      </c>
      <c r="AC452" s="124">
        <f>HYPERLINK("https://docs.google.com/spreadsheets/d/1x68cws9YNnBP5rGa7uJUTzIaQsgXJWQU", 0)</f>
        <v>0</v>
      </c>
      <c r="AD452" s="124">
        <f>HYPERLINK("https://docs.google.com/spreadsheets/d/1oWwUTfPLQzcgUJBH2lYCgL2vMmoSwyNb", 0)</f>
        <v>0</v>
      </c>
      <c r="AE452" s="119"/>
      <c r="AF452" s="119"/>
      <c r="AG452" s="119"/>
      <c r="AH452" s="119"/>
      <c r="AI452" s="125">
        <f>HYPERLINK("https://docs.google.com/spreadsheets/d/1se1ADfwfjrPThc5fCJgSA6In942B9Yc3", 0)</f>
        <v>0</v>
      </c>
      <c r="AJ452" s="124">
        <f>HYPERLINK("https://docs.google.com/spreadsheets/d/1BtWTAwc_Q0W9bzy4rLnPGnk7nmhI4NGm", 0)</f>
        <v>0</v>
      </c>
      <c r="AK452" s="124">
        <f>HYPERLINK("https://docs.google.com/spreadsheets/d/1N735j9LhJ9nmEFbGLkLQD95GEAxJkXf2", 0)</f>
        <v>0</v>
      </c>
      <c r="AL452" s="125">
        <f>HYPERLINK("https://docs.google.com/spreadsheets/d/1fnT4kCfkMkgluLqcDkPllRFDttgAWjYb", 0)</f>
        <v>0</v>
      </c>
      <c r="AM452" s="124">
        <f>HYPERLINK("https://docs.google.com/spreadsheets/d/1p59oeFg-IGg_KD4IZBpErwapyWtichB3", 0)</f>
        <v>0</v>
      </c>
      <c r="AN452" s="119"/>
      <c r="AO452" s="120"/>
      <c r="AP452" s="124">
        <f>HYPERLINK("https://docs.google.com/spreadsheets/d/1d3IG43JbxBz2ZqWHi_zhbuk7AoFgnBrE", 0)</f>
        <v>0</v>
      </c>
      <c r="AQ452" s="125">
        <f>HYPERLINK("https://docs.google.com/spreadsheets/d/1QkAcwX8R_j0UYfiYLbxAQN6YATktmSqq", 0)</f>
        <v>0</v>
      </c>
      <c r="AR452" s="125">
        <f>HYPERLINK("https://docs.google.com/spreadsheets/d/1NWqnAWlD4d8LLy-WhNV7R8vOfhUzPpI3", 0)</f>
        <v>0</v>
      </c>
      <c r="AS452" s="120"/>
      <c r="AT452" s="120"/>
      <c r="AU452" s="124">
        <f>HYPERLINK("https://docs.google.com/spreadsheets/d/1_m0QT4ZZOgKViCiHYyuyJ5_QD-oGZBIT", 69.3302)</f>
        <v>69.3302</v>
      </c>
      <c r="AV452" s="124">
        <f>HYPERLINK("https://docs.google.com/spreadsheets/d/18axJRe4rZCL0QL_EIppUhPTmCGqvqveV", 0)</f>
        <v>0</v>
      </c>
      <c r="AW452" s="120"/>
      <c r="AX452" s="120"/>
      <c r="AY452" s="124">
        <f>HYPERLINK("https://docs.google.com/spreadsheets/d/1ORaxhubyNVtx_xSeonKay2XkqmAvI-1Q", 0)</f>
        <v>0</v>
      </c>
      <c r="AZ452" s="120"/>
      <c r="BA452" s="120"/>
      <c r="BB452" s="120"/>
      <c r="BC452" s="120"/>
      <c r="BD452" s="120"/>
      <c r="BE452" s="120"/>
      <c r="BF452" s="120"/>
      <c r="BG452" s="120"/>
      <c r="BH452" s="120"/>
      <c r="BI452" s="120"/>
      <c r="BJ452" s="120"/>
      <c r="BK452" s="120"/>
      <c r="BL452" s="120"/>
      <c r="BM452" s="120"/>
      <c r="BN452" s="120"/>
      <c r="BO452" s="120"/>
      <c r="BP452" s="120"/>
      <c r="BQ452" s="120"/>
      <c r="BR452" s="120"/>
      <c r="BS452" s="120"/>
      <c r="BT452" s="120"/>
      <c r="BU452" s="120"/>
      <c r="BV452" s="120"/>
      <c r="BW452" s="120"/>
      <c r="BX452" s="120"/>
      <c r="BY452" s="120"/>
      <c r="BZ452" s="120"/>
      <c r="CA452" s="120"/>
      <c r="CB452" s="120"/>
      <c r="CC452" s="120"/>
      <c r="CD452" s="120"/>
      <c r="CE452" s="120"/>
      <c r="CF452" s="120"/>
      <c r="CG452" s="120"/>
      <c r="CH452" s="120"/>
      <c r="CI452" s="120"/>
      <c r="CJ452" s="120"/>
      <c r="CK452" s="120"/>
      <c r="CL452" s="120"/>
      <c r="CM452" s="120"/>
      <c r="CN452" s="120"/>
      <c r="CO452" s="120"/>
      <c r="CP452" s="120"/>
      <c r="CQ452" s="120"/>
      <c r="CR452" s="120"/>
      <c r="CS452" s="120"/>
      <c r="CT452" s="120"/>
      <c r="CU452" s="120"/>
      <c r="CV452" s="120"/>
      <c r="CW452" s="120"/>
      <c r="CX452" s="120"/>
      <c r="CY452" s="120"/>
      <c r="CZ452" s="120"/>
      <c r="DA452" s="120"/>
      <c r="DB452" s="120"/>
      <c r="DC452" s="120"/>
      <c r="DD452" s="120"/>
      <c r="DE452" s="120"/>
      <c r="DF452" s="120"/>
      <c r="DG452" s="120"/>
      <c r="DH452" s="120"/>
      <c r="DI452" s="120"/>
      <c r="DJ452" s="120"/>
      <c r="DK452" s="120"/>
      <c r="DL452" s="120"/>
      <c r="DM452" s="120"/>
      <c r="DN452" s="120"/>
      <c r="DO452" s="120"/>
      <c r="DP452" s="120"/>
      <c r="DQ452" s="120"/>
      <c r="DR452" s="120"/>
      <c r="DS452" s="120"/>
      <c r="DT452" s="120"/>
      <c r="DU452" s="120"/>
      <c r="DV452" s="120"/>
      <c r="DW452" s="120"/>
      <c r="DX452" s="120"/>
      <c r="DY452" s="120"/>
      <c r="DZ452" s="120"/>
      <c r="EA452" s="120"/>
      <c r="EB452" s="120"/>
      <c r="EC452" s="120"/>
      <c r="ED452" s="120"/>
      <c r="EE452" s="120"/>
      <c r="EF452" s="120"/>
      <c r="EG452" s="120"/>
      <c r="EH452" s="120"/>
      <c r="EI452" s="120"/>
      <c r="EJ452" s="120"/>
      <c r="EK452" s="120"/>
      <c r="EL452" s="120"/>
      <c r="EM452" s="120"/>
      <c r="EN452" s="120"/>
      <c r="EO452" s="120"/>
      <c r="EP452" s="120"/>
      <c r="EQ452" s="120"/>
      <c r="ER452" s="120"/>
      <c r="ES452" s="120"/>
      <c r="ET452" s="120"/>
      <c r="EU452" s="120"/>
      <c r="EV452" s="120"/>
      <c r="EW452" s="120"/>
      <c r="EX452" s="120"/>
      <c r="EY452" s="120"/>
    </row>
    <row r="453">
      <c r="A453" s="112" t="s">
        <v>28</v>
      </c>
      <c r="B453" s="112" t="s">
        <v>29</v>
      </c>
      <c r="C453" s="112" t="s">
        <v>409</v>
      </c>
      <c r="D453" s="113">
        <f t="shared" si="1"/>
        <v>673.92035</v>
      </c>
      <c r="E453" s="114">
        <v>114.615366666667</v>
      </c>
      <c r="F453" s="114"/>
      <c r="G453" s="114"/>
      <c r="H453" s="114"/>
      <c r="I453" s="114"/>
      <c r="J453" s="114"/>
      <c r="K453" s="114"/>
      <c r="L453" s="114">
        <v>2.18271666666667</v>
      </c>
      <c r="M453" s="114"/>
      <c r="N453" s="114"/>
      <c r="O453" s="114">
        <v>19.70255</v>
      </c>
      <c r="P453" s="112"/>
      <c r="Q453" s="112">
        <v>0.0680666666666667</v>
      </c>
      <c r="R453" s="112">
        <v>5.95006666666667</v>
      </c>
      <c r="S453" s="112"/>
      <c r="T453" s="112"/>
      <c r="U453" s="112"/>
      <c r="V453" s="112"/>
      <c r="W453" s="112"/>
      <c r="X453" s="112">
        <v>0.207533333333333</v>
      </c>
      <c r="Y453" s="112">
        <v>51.5293166666667</v>
      </c>
      <c r="Z453" s="112"/>
      <c r="AA453" s="113"/>
      <c r="AB453" s="112"/>
      <c r="AC453" s="112"/>
      <c r="AD453" s="112"/>
      <c r="AE453" s="112">
        <v>0.37065</v>
      </c>
      <c r="AF453" s="112"/>
      <c r="AG453" s="112"/>
      <c r="AH453" s="112">
        <v>92.0216166666667</v>
      </c>
      <c r="AI453" s="112"/>
      <c r="AJ453" s="112"/>
      <c r="AK453" s="112"/>
      <c r="AL453" s="113"/>
      <c r="AM453" s="112"/>
      <c r="AN453" s="112">
        <v>1.76478333333333</v>
      </c>
      <c r="AO453" s="112">
        <v>155.980716666667</v>
      </c>
      <c r="AP453" s="112"/>
      <c r="AQ453" s="113"/>
      <c r="AR453" s="112"/>
      <c r="AS453" s="112">
        <v>8.2625</v>
      </c>
      <c r="AT453" s="112">
        <v>119.054866666667</v>
      </c>
      <c r="AU453" s="112"/>
      <c r="AV453" s="112"/>
      <c r="AW453" s="112">
        <v>10.6662</v>
      </c>
      <c r="AX453" s="112">
        <v>85.3473</v>
      </c>
      <c r="AY453" s="113"/>
      <c r="AZ453" s="112">
        <v>5.64131666666667</v>
      </c>
      <c r="BA453" s="112">
        <v>0.554783333333333</v>
      </c>
      <c r="BB453" s="113"/>
      <c r="BC453" s="113"/>
      <c r="BD453" s="113"/>
      <c r="BE453" s="113"/>
      <c r="BF453" s="113"/>
      <c r="BG453" s="113"/>
      <c r="BH453" s="113"/>
      <c r="BI453" s="113"/>
      <c r="BJ453" s="113"/>
      <c r="BK453" s="113"/>
      <c r="BL453" s="113"/>
      <c r="BM453" s="113"/>
      <c r="BN453" s="113"/>
      <c r="BO453" s="113"/>
      <c r="BP453" s="113"/>
      <c r="BQ453" s="113"/>
      <c r="BR453" s="113"/>
      <c r="BS453" s="113"/>
      <c r="BT453" s="113"/>
      <c r="BU453" s="113"/>
      <c r="BV453" s="113"/>
      <c r="BW453" s="113"/>
      <c r="BX453" s="113"/>
      <c r="BY453" s="113"/>
      <c r="BZ453" s="113"/>
      <c r="CA453" s="113"/>
      <c r="CB453" s="113"/>
      <c r="CC453" s="113"/>
      <c r="CD453" s="113"/>
      <c r="CE453" s="113"/>
      <c r="CF453" s="113"/>
      <c r="CG453" s="113"/>
      <c r="CH453" s="113"/>
      <c r="CI453" s="113"/>
      <c r="CJ453" s="113"/>
      <c r="CK453" s="113"/>
      <c r="CL453" s="113"/>
      <c r="CM453" s="113"/>
      <c r="CN453" s="113"/>
      <c r="CO453" s="113"/>
      <c r="CP453" s="113"/>
      <c r="CQ453" s="113"/>
      <c r="CR453" s="113"/>
      <c r="CS453" s="113"/>
      <c r="CT453" s="113"/>
      <c r="CU453" s="113"/>
      <c r="CV453" s="113"/>
      <c r="CW453" s="113"/>
      <c r="CX453" s="113"/>
      <c r="CY453" s="113"/>
      <c r="CZ453" s="113"/>
      <c r="DA453" s="113"/>
      <c r="DB453" s="113"/>
      <c r="DC453" s="113"/>
      <c r="DD453" s="113"/>
      <c r="DE453" s="113"/>
      <c r="DF453" s="113"/>
      <c r="DG453" s="113"/>
      <c r="DH453" s="113"/>
      <c r="DI453" s="113"/>
      <c r="DJ453" s="113"/>
      <c r="DK453" s="113"/>
      <c r="DL453" s="113"/>
      <c r="DM453" s="113"/>
      <c r="DN453" s="113"/>
      <c r="DO453" s="113"/>
      <c r="DP453" s="113"/>
      <c r="DQ453" s="113"/>
      <c r="DR453" s="113"/>
      <c r="DS453" s="113"/>
      <c r="DT453" s="113"/>
      <c r="DU453" s="113"/>
      <c r="DV453" s="113"/>
      <c r="DW453" s="113"/>
      <c r="DX453" s="113"/>
      <c r="DY453" s="113"/>
      <c r="DZ453" s="113"/>
      <c r="EA453" s="113"/>
      <c r="EB453" s="113"/>
      <c r="EC453" s="113"/>
      <c r="ED453" s="113"/>
      <c r="EE453" s="113"/>
      <c r="EF453" s="113"/>
      <c r="EG453" s="113"/>
      <c r="EH453" s="113"/>
      <c r="EI453" s="113"/>
      <c r="EJ453" s="113"/>
      <c r="EK453" s="113"/>
      <c r="EL453" s="113"/>
      <c r="EM453" s="113"/>
      <c r="EN453" s="113"/>
      <c r="EO453" s="113"/>
      <c r="EP453" s="113"/>
      <c r="EQ453" s="113"/>
      <c r="ER453" s="113"/>
      <c r="ES453" s="113"/>
      <c r="ET453" s="113"/>
      <c r="EU453" s="113"/>
      <c r="EV453" s="113"/>
      <c r="EW453" s="113"/>
      <c r="EX453" s="113"/>
      <c r="EY453" s="113"/>
    </row>
    <row r="454">
      <c r="A454" s="65" t="s">
        <v>28</v>
      </c>
      <c r="B454" s="65" t="s">
        <v>29</v>
      </c>
      <c r="C454" s="65" t="s">
        <v>410</v>
      </c>
      <c r="D454" s="64">
        <f t="shared" si="1"/>
        <v>696.8237</v>
      </c>
      <c r="E454" s="104"/>
      <c r="F454" s="104">
        <v>74.2750833333334</v>
      </c>
      <c r="G454" s="104">
        <v>19.0142333333333</v>
      </c>
      <c r="H454" s="104">
        <v>4.22481666666667</v>
      </c>
      <c r="I454" s="104">
        <v>2.20948333333333</v>
      </c>
      <c r="J454" s="104"/>
      <c r="K454" s="104">
        <v>6.93111666666667</v>
      </c>
      <c r="L454" s="104"/>
      <c r="M454" s="104">
        <v>74.2750833333334</v>
      </c>
      <c r="N454" s="104">
        <v>19.0142333333333</v>
      </c>
      <c r="O454" s="104"/>
      <c r="P454" s="65">
        <v>17.50425</v>
      </c>
      <c r="Q454" s="65"/>
      <c r="R454" s="65"/>
      <c r="S454" s="65">
        <v>4.79531666666667</v>
      </c>
      <c r="T454" s="65">
        <v>0.557233333333333</v>
      </c>
      <c r="U454" s="65"/>
      <c r="V454" s="65"/>
      <c r="W454" s="65"/>
      <c r="X454" s="65"/>
      <c r="Y454" s="65"/>
      <c r="Z454" s="65">
        <v>32.1583666666667</v>
      </c>
      <c r="AA454" s="65">
        <v>6.95393333333333</v>
      </c>
      <c r="AB454" s="65">
        <v>0.813366666666667</v>
      </c>
      <c r="AC454" s="65">
        <v>4.10385</v>
      </c>
      <c r="AD454" s="65">
        <v>5.69493333333333</v>
      </c>
      <c r="AE454" s="65"/>
      <c r="AF454" s="65">
        <v>32.1583666666667</v>
      </c>
      <c r="AG454" s="65">
        <v>6.95393333333333</v>
      </c>
      <c r="AH454" s="65"/>
      <c r="AI454" s="65">
        <v>53.9410166666666</v>
      </c>
      <c r="AJ454" s="65">
        <v>12.9481666666667</v>
      </c>
      <c r="AK454" s="65">
        <v>1.60998333333333</v>
      </c>
      <c r="AL454" s="65">
        <v>3.99801666666667</v>
      </c>
      <c r="AM454" s="65">
        <v>19.216</v>
      </c>
      <c r="AN454" s="65"/>
      <c r="AP454" s="65">
        <v>106.519583333333</v>
      </c>
      <c r="AQ454" s="65">
        <v>3.19558333333333</v>
      </c>
      <c r="AR454" s="65">
        <v>14.5688</v>
      </c>
      <c r="AT454" s="65"/>
      <c r="AU454" s="65">
        <v>71.9209333333334</v>
      </c>
      <c r="AV454" s="65">
        <v>14.5306</v>
      </c>
      <c r="AY454" s="65">
        <v>82.7374166666666</v>
      </c>
    </row>
    <row r="455">
      <c r="A455" s="65" t="s">
        <v>28</v>
      </c>
      <c r="B455" s="65" t="s">
        <v>29</v>
      </c>
      <c r="C455" s="65" t="s">
        <v>411</v>
      </c>
      <c r="D455" s="64">
        <f t="shared" si="1"/>
        <v>0</v>
      </c>
      <c r="E455" s="115"/>
      <c r="F455" s="115"/>
      <c r="G455" s="115"/>
      <c r="H455" s="115"/>
      <c r="I455" s="115"/>
      <c r="J455" s="115"/>
      <c r="K455" s="115"/>
      <c r="L455" s="115"/>
      <c r="M455" s="115"/>
      <c r="N455" s="115"/>
      <c r="O455" s="115"/>
    </row>
    <row r="456">
      <c r="A456" s="65" t="s">
        <v>28</v>
      </c>
      <c r="B456" s="65" t="s">
        <v>29</v>
      </c>
      <c r="C456" s="65" t="s">
        <v>412</v>
      </c>
      <c r="D456" s="64">
        <f t="shared" si="1"/>
        <v>562.4463167</v>
      </c>
      <c r="E456" s="115"/>
      <c r="F456" s="117">
        <f>HYPERLINK("https://docs.google.com/spreadsheets/d/1OZ380BMn7QEtnVI1cK7b9PS1EDp39G7W", 73.9324166666667)</f>
        <v>73.93241667</v>
      </c>
      <c r="G456" s="116">
        <f>HYPERLINK("https://docs.google.com/spreadsheets/d/1S6za4AtCMDQmdF-DFFCIowzZ0BWFlCwF", 19.0142166666667)</f>
        <v>19.01421667</v>
      </c>
      <c r="H456" s="116">
        <f>HYPERLINK("https://docs.google.com/spreadsheets/d/1FFX1AKVzoZ-F5JPHfN1nsqaMdWwpEe2n", 4.22481666666667)</f>
        <v>4.224816667</v>
      </c>
      <c r="I456" s="117">
        <f>HYPERLINK("https://docs.google.com/spreadsheets/d/115wGyPq7kUto8l30chXj0RyOPV032lwY", 2.20948333333333)</f>
        <v>2.209483333</v>
      </c>
      <c r="J456" s="115"/>
      <c r="K456" s="117">
        <f>HYPERLINK("https://docs.google.com/spreadsheets/d/1TQ8FC6lLuRpAIT1wTRclHx8s-A6VU0ty", 6.69623333333333)</f>
        <v>6.696233333</v>
      </c>
      <c r="L456" s="115"/>
      <c r="M456" s="104"/>
      <c r="N456" s="115"/>
      <c r="O456" s="104"/>
      <c r="P456" s="118">
        <f>HYPERLINK("https://docs.google.com/spreadsheets/d/1zcHlhOEtJZql15MVXnmTtGH061X1rFRy", 17.5042333333333)</f>
        <v>17.50423333</v>
      </c>
      <c r="S456" s="118">
        <f>HYPERLINK("https://docs.google.com/spreadsheets/d/1yVtYEZxJXrB4QuhdkY0zyCbESJOI_Cfk", 4.72978333333333)</f>
        <v>4.729783333</v>
      </c>
      <c r="T456" s="118">
        <f>HYPERLINK("https://docs.google.com/spreadsheets/d/1zUyVMVLf5C32E8OyLsbPjY2AgoKrlImW", 0.557233333333333)</f>
        <v>0.5572333333</v>
      </c>
      <c r="Z456" s="118">
        <f>HYPERLINK("https://docs.google.com/spreadsheets/d/12TRa9RtsRL6S-GIDVtqCdTKxqNg9BmMC", 32.0699166666667)</f>
        <v>32.06991667</v>
      </c>
      <c r="AA456" s="118">
        <f>HYPERLINK("https://docs.google.com/spreadsheets/d/1xfMnN8_Rak6twZWsxuzI0cUhK1hWcTI8", 6.95393333333333)</f>
        <v>6.953933333</v>
      </c>
      <c r="AB456" s="118">
        <f>HYPERLINK("https://docs.google.com/spreadsheets/d/1C597OWM20QIas6xR7zew-KMfioAyWMY8", 0.70865)</f>
        <v>0.70865</v>
      </c>
      <c r="AC456" s="118">
        <f>HYPERLINK("https://docs.google.com/spreadsheets/d/1CnVInK0ghqjaBqjkOihzqHIOVfpsKMnI", 4.10385)</f>
        <v>4.10385</v>
      </c>
      <c r="AD456" s="118">
        <f>HYPERLINK("https://docs.google.com/spreadsheets/d/15xMKC5cAB_Ma0JfsjeSJYd9REDlUJl2q", 5.69493333333333)</f>
        <v>5.694933333</v>
      </c>
      <c r="AI456" s="118">
        <f>HYPERLINK("https://docs.google.com/spreadsheets/d/1bzkkn2jOBSeKvjoudz4zNDfcwth-w0gE", 53.9410166666666)</f>
        <v>53.94101667</v>
      </c>
      <c r="AJ456" s="118">
        <f>HYPERLINK("https://docs.google.com/spreadsheets/d/1hvbBDL4Wvtyrkz_mbeGHCilQS6YckUIT", 12.94815)</f>
        <v>12.94815</v>
      </c>
      <c r="AK456" s="118">
        <f>HYPERLINK("https://docs.google.com/spreadsheets/d/1E_Dzg7_HFBEc7Nzr3L3GWQuOe7dPC-A1", 1.60993333333333)</f>
        <v>1.609933333</v>
      </c>
      <c r="AL456" s="118">
        <f>HYPERLINK("https://docs.google.com/spreadsheets/d/1tMy1NKqe5UPHWNH9zNmGpo6rSm85bSYx", 3.99803333333333)</f>
        <v>3.998033333</v>
      </c>
      <c r="AM456" s="118">
        <f>HYPERLINK("https://docs.google.com/spreadsheets/d/1hoQqolfqLmObJ2yEMgNZTesalzbZFbgk", 18.8603833333333)</f>
        <v>18.86038333</v>
      </c>
      <c r="AP456" s="118">
        <f>HYPERLINK("https://docs.google.com/spreadsheets/d/1awRfMJYucP4Z0l6WopciSX_IzlCpIl5q", 106.421833333333)</f>
        <v>106.4218333</v>
      </c>
      <c r="AQ456" s="118">
        <f>HYPERLINK("https://docs.google.com/spreadsheets/d/1AMfB6HHvkvpb9MWso96eqynV5rPwzCn5", 3.19558333333333)</f>
        <v>3.195583333</v>
      </c>
      <c r="AR456" s="118">
        <f>HYPERLINK("https://docs.google.com/spreadsheets/d/18LSjUh1wTUNDe0giraCyA6Mo1d7h1XYw", 14.5687666666667)</f>
        <v>14.56876667</v>
      </c>
      <c r="AU456" s="118">
        <f>HYPERLINK("https://docs.google.com/spreadsheets/d/1u8o5Sbc9XXLZePArCczsrlkTjYjJAqJM", 71.9208833333334)</f>
        <v>71.92088333</v>
      </c>
      <c r="AV456" s="118">
        <f>HYPERLINK("https://docs.google.com/spreadsheets/d/1DWXLFxb0CuF6WpxckQwvTVZOid1dwn6r", 13.9599833333333)</f>
        <v>13.95998333</v>
      </c>
      <c r="AY456" s="118">
        <f>HYPERLINK("https://docs.google.com/spreadsheets/d/1WDsANApCdMfXWmCQg2IZNMdTVBAR8Uja", 82.62205)</f>
        <v>82.62205</v>
      </c>
    </row>
    <row r="457">
      <c r="A457" s="65" t="s">
        <v>28</v>
      </c>
      <c r="B457" s="65" t="s">
        <v>29</v>
      </c>
      <c r="C457" s="65" t="s">
        <v>413</v>
      </c>
      <c r="D457" s="64">
        <f t="shared" si="1"/>
        <v>450.0307167</v>
      </c>
      <c r="E457" s="115"/>
      <c r="F457" s="104">
        <v>45.3945666666667</v>
      </c>
      <c r="G457" s="104">
        <v>5.92315</v>
      </c>
      <c r="H457" s="104">
        <v>2.60518333333333</v>
      </c>
      <c r="I457" s="104">
        <v>0.601016666666666</v>
      </c>
      <c r="J457" s="104"/>
      <c r="K457" s="104">
        <v>6.69623333333333</v>
      </c>
      <c r="L457" s="104"/>
      <c r="M457" s="104"/>
      <c r="N457" s="104"/>
      <c r="O457" s="104"/>
      <c r="P457" s="65">
        <v>17.5042333333333</v>
      </c>
      <c r="Q457" s="65"/>
      <c r="R457" s="65"/>
      <c r="S457" s="65">
        <v>3.5004</v>
      </c>
      <c r="T457" s="65">
        <v>0.557233333333333</v>
      </c>
      <c r="U457" s="65"/>
      <c r="V457" s="65"/>
      <c r="W457" s="65"/>
      <c r="X457" s="65"/>
      <c r="Y457" s="65"/>
      <c r="Z457" s="65">
        <v>20.6572166666667</v>
      </c>
      <c r="AA457" s="65">
        <v>4.47958333333333</v>
      </c>
      <c r="AB457" s="65">
        <v>0.36765</v>
      </c>
      <c r="AC457" s="65">
        <v>0.90765</v>
      </c>
      <c r="AD457" s="65">
        <v>0.962666666666668</v>
      </c>
      <c r="AE457" s="65"/>
      <c r="AF457" s="65"/>
      <c r="AG457" s="65"/>
      <c r="AH457" s="65"/>
      <c r="AI457" s="65">
        <v>53.9410166666666</v>
      </c>
      <c r="AJ457" s="65">
        <v>12.94815</v>
      </c>
      <c r="AK457" s="65">
        <v>0.2994</v>
      </c>
      <c r="AL457" s="65">
        <v>1.12618333333333</v>
      </c>
      <c r="AM457" s="65">
        <v>18.8603833333333</v>
      </c>
      <c r="AN457" s="65"/>
      <c r="AP457" s="65">
        <v>106.421833333333</v>
      </c>
      <c r="AQ457" s="65">
        <v>0.254466666666667</v>
      </c>
      <c r="AR457" s="65">
        <v>14.5687666666667</v>
      </c>
      <c r="AT457" s="65"/>
      <c r="AU457" s="65">
        <v>42.0106166666667</v>
      </c>
      <c r="AV457" s="65">
        <v>6.82106666666667</v>
      </c>
      <c r="AY457" s="65">
        <v>82.62205</v>
      </c>
    </row>
    <row r="458">
      <c r="A458" s="119" t="s">
        <v>28</v>
      </c>
      <c r="B458" s="119" t="s">
        <v>29</v>
      </c>
      <c r="C458" s="119" t="s">
        <v>414</v>
      </c>
      <c r="D458" s="120">
        <f t="shared" si="1"/>
        <v>71.92088333</v>
      </c>
      <c r="E458" s="121"/>
      <c r="F458" s="122">
        <f>HYPERLINK("https://docs.google.com/spreadsheets/d/1OZ380BMn7QEtnVI1cK7b9PS1EDp39G7W", 0)</f>
        <v>0</v>
      </c>
      <c r="G458" s="122">
        <f>HYPERLINK("https://docs.google.com/spreadsheets/d/1S6za4AtCMDQmdF-DFFCIowzZ0BWFlCwF", 0)</f>
        <v>0</v>
      </c>
      <c r="H458" s="122">
        <f>HYPERLINK("https://docs.google.com/spreadsheets/d/1FFX1AKVzoZ-F5JPHfN1nsqaMdWwpEe2n", 0)</f>
        <v>0</v>
      </c>
      <c r="I458" s="122">
        <f>HYPERLINK("https://docs.google.com/spreadsheets/d/115wGyPq7kUto8l30chXj0RyOPV032lwY", 0)</f>
        <v>0</v>
      </c>
      <c r="J458" s="121"/>
      <c r="K458" s="122">
        <f>HYPERLINK("https://docs.google.com/spreadsheets/d/1TQ8FC6lLuRpAIT1wTRclHx8s-A6VU0ty", 0)</f>
        <v>0</v>
      </c>
      <c r="L458" s="121"/>
      <c r="M458" s="121"/>
      <c r="N458" s="123"/>
      <c r="O458" s="121"/>
      <c r="P458" s="124">
        <f>HYPERLINK("https://docs.google.com/spreadsheets/d/1zcHlhOEtJZql15MVXnmTtGH061X1rFRy", 0)</f>
        <v>0</v>
      </c>
      <c r="Q458" s="119"/>
      <c r="R458" s="119"/>
      <c r="S458" s="124">
        <f>HYPERLINK("https://docs.google.com/spreadsheets/d/1yVtYEZxJXrB4QuhdkY0zyCbESJOI_Cfk", 0)</f>
        <v>0</v>
      </c>
      <c r="T458" s="124">
        <f>HYPERLINK("https://docs.google.com/spreadsheets/d/1zUyVMVLf5C32E8OyLsbPjY2AgoKrlImW", 0)</f>
        <v>0</v>
      </c>
      <c r="U458" s="120"/>
      <c r="V458" s="120"/>
      <c r="W458" s="120"/>
      <c r="X458" s="119"/>
      <c r="Y458" s="119"/>
      <c r="Z458" s="124">
        <f>HYPERLINK("https://docs.google.com/spreadsheets/d/12TRa9RtsRL6S-GIDVtqCdTKxqNg9BmMC", 0)</f>
        <v>0</v>
      </c>
      <c r="AA458" s="124">
        <f>HYPERLINK("https://docs.google.com/spreadsheets/d/1xfMnN8_Rak6twZWsxuzI0cUhK1hWcTI8", 0)</f>
        <v>0</v>
      </c>
      <c r="AB458" s="124">
        <f>HYPERLINK("https://docs.google.com/spreadsheets/d/1C597OWM20QIas6xR7zew-KMfioAyWMY8", 0)</f>
        <v>0</v>
      </c>
      <c r="AC458" s="124">
        <f>HYPERLINK("https://docs.google.com/spreadsheets/d/1CnVInK0ghqjaBqjkOihzqHIOVfpsKMnI", 0)</f>
        <v>0</v>
      </c>
      <c r="AD458" s="124">
        <f>HYPERLINK("https://docs.google.com/spreadsheets/d/15xMKC5cAB_Ma0JfsjeSJYd9REDlUJl2q", 0)</f>
        <v>0</v>
      </c>
      <c r="AE458" s="119"/>
      <c r="AF458" s="119"/>
      <c r="AG458" s="119"/>
      <c r="AH458" s="119"/>
      <c r="AI458" s="125">
        <f>HYPERLINK("https://docs.google.com/spreadsheets/d/1bzkkn2jOBSeKvjoudz4zNDfcwth-w0gE", 0)</f>
        <v>0</v>
      </c>
      <c r="AJ458" s="124">
        <f>HYPERLINK("https://docs.google.com/spreadsheets/d/1hvbBDL4Wvtyrkz_mbeGHCilQS6YckUIT", 0)</f>
        <v>0</v>
      </c>
      <c r="AK458" s="124">
        <f>HYPERLINK("https://docs.google.com/spreadsheets/d/1E_Dzg7_HFBEc7Nzr3L3GWQuOe7dPC-A1", 0)</f>
        <v>0</v>
      </c>
      <c r="AL458" s="125">
        <f>HYPERLINK("https://docs.google.com/spreadsheets/d/1tMy1NKqe5UPHWNH9zNmGpo6rSm85bSYx", 0)</f>
        <v>0</v>
      </c>
      <c r="AM458" s="124">
        <f>HYPERLINK("https://docs.google.com/spreadsheets/d/1hoQqolfqLmObJ2yEMgNZTesalzbZFbgk", 0)</f>
        <v>0</v>
      </c>
      <c r="AN458" s="119"/>
      <c r="AO458" s="120"/>
      <c r="AP458" s="124">
        <f>HYPERLINK("https://docs.google.com/spreadsheets/d/1awRfMJYucP4Z0l6WopciSX_IzlCpIl5q", 0)</f>
        <v>0</v>
      </c>
      <c r="AQ458" s="125">
        <f>HYPERLINK("https://docs.google.com/spreadsheets/d/1AMfB6HHvkvpb9MWso96eqynV5rPwzCn5", 0)</f>
        <v>0</v>
      </c>
      <c r="AR458" s="125">
        <f>HYPERLINK("https://docs.google.com/spreadsheets/d/18LSjUh1wTUNDe0giraCyA6Mo1d7h1XYw", 0)</f>
        <v>0</v>
      </c>
      <c r="AS458" s="120"/>
      <c r="AT458" s="120"/>
      <c r="AU458" s="124">
        <f>HYPERLINK("https://docs.google.com/spreadsheets/d/1u8o5Sbc9XXLZePArCczsrlkTjYjJAqJM", 71.9208833333334)</f>
        <v>71.92088333</v>
      </c>
      <c r="AV458" s="124">
        <f>HYPERLINK("https://docs.google.com/spreadsheets/d/1DWXLFxb0CuF6WpxckQwvTVZOid1dwn6r", 0)</f>
        <v>0</v>
      </c>
      <c r="AW458" s="120"/>
      <c r="AX458" s="120"/>
      <c r="AY458" s="124">
        <f>HYPERLINK("https://docs.google.com/spreadsheets/d/1WDsANApCdMfXWmCQg2IZNMdTVBAR8Uja", 0)</f>
        <v>0</v>
      </c>
      <c r="AZ458" s="120"/>
      <c r="BA458" s="120"/>
      <c r="BB458" s="120"/>
      <c r="BC458" s="120"/>
      <c r="BD458" s="120"/>
      <c r="BE458" s="120"/>
      <c r="BF458" s="120"/>
      <c r="BG458" s="120"/>
      <c r="BH458" s="120"/>
      <c r="BI458" s="120"/>
      <c r="BJ458" s="120"/>
      <c r="BK458" s="120"/>
      <c r="BL458" s="120"/>
      <c r="BM458" s="120"/>
      <c r="BN458" s="120"/>
      <c r="BO458" s="120"/>
      <c r="BP458" s="120"/>
      <c r="BQ458" s="120"/>
      <c r="BR458" s="120"/>
      <c r="BS458" s="120"/>
      <c r="BT458" s="120"/>
      <c r="BU458" s="120"/>
      <c r="BV458" s="120"/>
      <c r="BW458" s="120"/>
      <c r="BX458" s="120"/>
      <c r="BY458" s="120"/>
      <c r="BZ458" s="120"/>
      <c r="CA458" s="120"/>
      <c r="CB458" s="120"/>
      <c r="CC458" s="120"/>
      <c r="CD458" s="120"/>
      <c r="CE458" s="120"/>
      <c r="CF458" s="120"/>
      <c r="CG458" s="120"/>
      <c r="CH458" s="120"/>
      <c r="CI458" s="120"/>
      <c r="CJ458" s="120"/>
      <c r="CK458" s="120"/>
      <c r="CL458" s="120"/>
      <c r="CM458" s="120"/>
      <c r="CN458" s="120"/>
      <c r="CO458" s="120"/>
      <c r="CP458" s="120"/>
      <c r="CQ458" s="120"/>
      <c r="CR458" s="120"/>
      <c r="CS458" s="120"/>
      <c r="CT458" s="120"/>
      <c r="CU458" s="120"/>
      <c r="CV458" s="120"/>
      <c r="CW458" s="120"/>
      <c r="CX458" s="120"/>
      <c r="CY458" s="120"/>
      <c r="CZ458" s="120"/>
      <c r="DA458" s="120"/>
      <c r="DB458" s="120"/>
      <c r="DC458" s="120"/>
      <c r="DD458" s="120"/>
      <c r="DE458" s="120"/>
      <c r="DF458" s="120"/>
      <c r="DG458" s="120"/>
      <c r="DH458" s="120"/>
      <c r="DI458" s="120"/>
      <c r="DJ458" s="120"/>
      <c r="DK458" s="120"/>
      <c r="DL458" s="120"/>
      <c r="DM458" s="120"/>
      <c r="DN458" s="120"/>
      <c r="DO458" s="120"/>
      <c r="DP458" s="120"/>
      <c r="DQ458" s="120"/>
      <c r="DR458" s="120"/>
      <c r="DS458" s="120"/>
      <c r="DT458" s="120"/>
      <c r="DU458" s="120"/>
      <c r="DV458" s="120"/>
      <c r="DW458" s="120"/>
      <c r="DX458" s="120"/>
      <c r="DY458" s="120"/>
      <c r="DZ458" s="120"/>
      <c r="EA458" s="120"/>
      <c r="EB458" s="120"/>
      <c r="EC458" s="120"/>
      <c r="ED458" s="120"/>
      <c r="EE458" s="120"/>
      <c r="EF458" s="120"/>
      <c r="EG458" s="120"/>
      <c r="EH458" s="120"/>
      <c r="EI458" s="120"/>
      <c r="EJ458" s="120"/>
      <c r="EK458" s="120"/>
      <c r="EL458" s="120"/>
      <c r="EM458" s="120"/>
      <c r="EN458" s="120"/>
      <c r="EO458" s="120"/>
      <c r="EP458" s="120"/>
      <c r="EQ458" s="120"/>
      <c r="ER458" s="120"/>
      <c r="ES458" s="120"/>
      <c r="ET458" s="120"/>
      <c r="EU458" s="120"/>
      <c r="EV458" s="120"/>
      <c r="EW458" s="120"/>
      <c r="EX458" s="120"/>
      <c r="EY458" s="120"/>
    </row>
    <row r="459">
      <c r="A459" s="112" t="s">
        <v>28</v>
      </c>
      <c r="B459" s="112" t="s">
        <v>103</v>
      </c>
      <c r="C459" s="112" t="s">
        <v>409</v>
      </c>
      <c r="D459" s="113">
        <f t="shared" si="1"/>
        <v>679.5339</v>
      </c>
      <c r="E459" s="114">
        <v>49.17635</v>
      </c>
      <c r="F459" s="114"/>
      <c r="G459" s="114"/>
      <c r="H459" s="114"/>
      <c r="I459" s="114"/>
      <c r="J459" s="114"/>
      <c r="K459" s="114"/>
      <c r="L459" s="114">
        <v>0.79115</v>
      </c>
      <c r="M459" s="114"/>
      <c r="N459" s="114"/>
      <c r="O459" s="114">
        <v>22.34115</v>
      </c>
      <c r="P459" s="112"/>
      <c r="Q459" s="112"/>
      <c r="R459" s="112">
        <v>1.57156666666667</v>
      </c>
      <c r="S459" s="112"/>
      <c r="T459" s="112"/>
      <c r="U459" s="113"/>
      <c r="V459" s="112"/>
      <c r="W459" s="112"/>
      <c r="X459" s="113"/>
      <c r="Y459" s="112">
        <v>67.2606833333333</v>
      </c>
      <c r="Z459" s="112"/>
      <c r="AA459" s="113"/>
      <c r="AB459" s="112"/>
      <c r="AC459" s="112"/>
      <c r="AD459" s="112"/>
      <c r="AE459" s="112">
        <v>0.23645</v>
      </c>
      <c r="AF459" s="112"/>
      <c r="AG459" s="112"/>
      <c r="AH459" s="112">
        <v>122.242866666667</v>
      </c>
      <c r="AI459" s="112"/>
      <c r="AJ459" s="112"/>
      <c r="AK459" s="112"/>
      <c r="AL459" s="113"/>
      <c r="AM459" s="112"/>
      <c r="AN459" s="112">
        <v>1.39216666666667</v>
      </c>
      <c r="AO459" s="112">
        <v>146.916383333333</v>
      </c>
      <c r="AP459" s="112"/>
      <c r="AQ459" s="113"/>
      <c r="AR459" s="112"/>
      <c r="AS459" s="112">
        <v>7.37176666666667</v>
      </c>
      <c r="AT459" s="112">
        <v>157.041466666667</v>
      </c>
      <c r="AU459" s="112"/>
      <c r="AV459" s="112"/>
      <c r="AW459" s="112">
        <v>9.40026666666667</v>
      </c>
      <c r="AX459" s="112">
        <v>83.4191166666667</v>
      </c>
      <c r="AY459" s="113"/>
      <c r="AZ459" s="112">
        <v>8.69185</v>
      </c>
      <c r="BA459" s="112">
        <v>1.68066666666667</v>
      </c>
      <c r="BB459" s="113"/>
      <c r="BC459" s="113"/>
      <c r="BD459" s="113"/>
      <c r="BE459" s="113"/>
      <c r="BF459" s="113"/>
      <c r="BG459" s="113"/>
      <c r="BH459" s="113"/>
      <c r="BI459" s="113"/>
      <c r="BJ459" s="113"/>
      <c r="BK459" s="113"/>
      <c r="BL459" s="113"/>
      <c r="BM459" s="113"/>
      <c r="BN459" s="113"/>
      <c r="BO459" s="113"/>
      <c r="BP459" s="113"/>
      <c r="BQ459" s="113"/>
      <c r="BR459" s="113"/>
      <c r="BS459" s="113"/>
      <c r="BT459" s="113"/>
      <c r="BU459" s="113"/>
      <c r="BV459" s="113"/>
      <c r="BW459" s="113"/>
      <c r="BX459" s="113"/>
      <c r="BY459" s="113"/>
      <c r="BZ459" s="113"/>
      <c r="CA459" s="113"/>
      <c r="CB459" s="113"/>
      <c r="CC459" s="113"/>
      <c r="CD459" s="113"/>
      <c r="CE459" s="113"/>
      <c r="CF459" s="113"/>
      <c r="CG459" s="113"/>
      <c r="CH459" s="113"/>
      <c r="CI459" s="113"/>
      <c r="CJ459" s="113"/>
      <c r="CK459" s="113"/>
      <c r="CL459" s="113"/>
      <c r="CM459" s="113"/>
      <c r="CN459" s="113"/>
      <c r="CO459" s="113"/>
      <c r="CP459" s="113"/>
      <c r="CQ459" s="113"/>
      <c r="CR459" s="113"/>
      <c r="CS459" s="113"/>
      <c r="CT459" s="113"/>
      <c r="CU459" s="113"/>
      <c r="CV459" s="113"/>
      <c r="CW459" s="113"/>
      <c r="CX459" s="113"/>
      <c r="CY459" s="113"/>
      <c r="CZ459" s="113"/>
      <c r="DA459" s="113"/>
      <c r="DB459" s="113"/>
      <c r="DC459" s="113"/>
      <c r="DD459" s="113"/>
      <c r="DE459" s="113"/>
      <c r="DF459" s="113"/>
      <c r="DG459" s="113"/>
      <c r="DH459" s="113"/>
      <c r="DI459" s="113"/>
      <c r="DJ459" s="113"/>
      <c r="DK459" s="113"/>
      <c r="DL459" s="113"/>
      <c r="DM459" s="113"/>
      <c r="DN459" s="113"/>
      <c r="DO459" s="113"/>
      <c r="DP459" s="113"/>
      <c r="DQ459" s="113"/>
      <c r="DR459" s="113"/>
      <c r="DS459" s="113"/>
      <c r="DT459" s="113"/>
      <c r="DU459" s="113"/>
      <c r="DV459" s="113"/>
      <c r="DW459" s="113"/>
      <c r="DX459" s="113"/>
      <c r="DY459" s="113"/>
      <c r="DZ459" s="113"/>
      <c r="EA459" s="113"/>
      <c r="EB459" s="113"/>
      <c r="EC459" s="113"/>
      <c r="ED459" s="113"/>
      <c r="EE459" s="113"/>
      <c r="EF459" s="113"/>
      <c r="EG459" s="113"/>
      <c r="EH459" s="113"/>
      <c r="EI459" s="113"/>
      <c r="EJ459" s="113"/>
      <c r="EK459" s="113"/>
      <c r="EL459" s="113"/>
      <c r="EM459" s="113"/>
      <c r="EN459" s="113"/>
      <c r="EO459" s="113"/>
      <c r="EP459" s="113"/>
      <c r="EQ459" s="113"/>
      <c r="ER459" s="113"/>
      <c r="ES459" s="113"/>
      <c r="ET459" s="113"/>
      <c r="EU459" s="113"/>
      <c r="EV459" s="113"/>
      <c r="EW459" s="113"/>
      <c r="EX459" s="113"/>
      <c r="EY459" s="113"/>
    </row>
    <row r="460">
      <c r="A460" s="65" t="s">
        <v>28</v>
      </c>
      <c r="B460" s="65" t="s">
        <v>103</v>
      </c>
      <c r="C460" s="65" t="s">
        <v>410</v>
      </c>
      <c r="D460" s="64">
        <f t="shared" si="1"/>
        <v>665.54155</v>
      </c>
      <c r="E460" s="104"/>
      <c r="F460" s="104">
        <v>31.9752</v>
      </c>
      <c r="G460" s="104">
        <v>8.92358333333333</v>
      </c>
      <c r="H460" s="104">
        <v>0.487283333333333</v>
      </c>
      <c r="I460" s="104">
        <v>1.14676666666667</v>
      </c>
      <c r="J460" s="104"/>
      <c r="K460" s="104">
        <v>3.39873333333333</v>
      </c>
      <c r="L460" s="104"/>
      <c r="M460" s="104">
        <v>31.9752</v>
      </c>
      <c r="N460" s="104">
        <v>8.92358333333333</v>
      </c>
      <c r="O460" s="104"/>
      <c r="P460" s="65">
        <v>19.5478333333333</v>
      </c>
      <c r="Q460" s="65"/>
      <c r="R460" s="65"/>
      <c r="S460" s="65">
        <v>0.620116666666667</v>
      </c>
      <c r="T460" s="65"/>
      <c r="U460" s="65">
        <v>0.95145</v>
      </c>
      <c r="V460" s="65"/>
      <c r="W460" s="65"/>
      <c r="X460" s="65"/>
      <c r="Y460" s="65"/>
      <c r="Z460" s="65">
        <v>39.1620333333333</v>
      </c>
      <c r="AA460" s="65">
        <v>17.0613666666667</v>
      </c>
      <c r="AB460" s="65">
        <v>4.02523333333333</v>
      </c>
      <c r="AC460" s="65">
        <v>2.30073333333333</v>
      </c>
      <c r="AD460" s="65">
        <v>4.4572</v>
      </c>
      <c r="AE460" s="65"/>
      <c r="AF460" s="65">
        <v>39.1620333333333</v>
      </c>
      <c r="AG460" s="65">
        <v>17.0613666666667</v>
      </c>
      <c r="AH460" s="65"/>
      <c r="AI460" s="65">
        <v>70.48215</v>
      </c>
      <c r="AJ460" s="65">
        <v>27.5665333333333</v>
      </c>
      <c r="AK460" s="65">
        <v>10.7818166666667</v>
      </c>
      <c r="AL460" s="65">
        <v>1.91811666666667</v>
      </c>
      <c r="AM460" s="65">
        <v>10.6273</v>
      </c>
      <c r="AN460" s="65"/>
      <c r="AP460" s="65">
        <v>97.3577333333333</v>
      </c>
      <c r="AQ460" s="65">
        <v>2.0666</v>
      </c>
      <c r="AR460" s="65">
        <v>14.0017</v>
      </c>
      <c r="AT460" s="65"/>
      <c r="AU460" s="65">
        <v>106.66915</v>
      </c>
      <c r="AV460" s="65">
        <v>11.2723333333333</v>
      </c>
      <c r="AY460" s="65">
        <v>81.6184</v>
      </c>
    </row>
    <row r="461">
      <c r="A461" s="65" t="s">
        <v>28</v>
      </c>
      <c r="B461" s="65" t="s">
        <v>103</v>
      </c>
      <c r="C461" s="65" t="s">
        <v>411</v>
      </c>
      <c r="D461" s="64">
        <f t="shared" si="1"/>
        <v>0</v>
      </c>
      <c r="E461" s="115"/>
      <c r="F461" s="115"/>
      <c r="G461" s="115"/>
      <c r="H461" s="115"/>
      <c r="I461" s="115"/>
      <c r="J461" s="115"/>
      <c r="K461" s="115"/>
      <c r="L461" s="115"/>
      <c r="M461" s="115"/>
      <c r="N461" s="115"/>
      <c r="O461" s="115"/>
    </row>
    <row r="462">
      <c r="A462" s="65" t="s">
        <v>28</v>
      </c>
      <c r="B462" s="65" t="s">
        <v>103</v>
      </c>
      <c r="C462" s="65" t="s">
        <v>412</v>
      </c>
      <c r="D462" s="64">
        <f t="shared" si="1"/>
        <v>566.9492833</v>
      </c>
      <c r="E462" s="115"/>
      <c r="F462" s="117">
        <f>HYPERLINK("https://docs.google.com/spreadsheets/d/1OmCLX1fsaMi0Y46I1vgLQKQfotjgjkTi", 31.9752166666667)</f>
        <v>31.97521667</v>
      </c>
      <c r="G462" s="116">
        <f>HYPERLINK("https://docs.google.com/spreadsheets/d/1YMz7E6m-Cm5RLhXDBE8UQ-mq3NrwL79b", 8.92356666666667)</f>
        <v>8.923566667</v>
      </c>
      <c r="H462" s="116">
        <f>HYPERLINK("https://docs.google.com/spreadsheets/d/1oniXmMRBioWRxFRHIgYYzmcetQ7D4NbU", 0.487283333333333)</f>
        <v>0.4872833333</v>
      </c>
      <c r="I462" s="117">
        <f>HYPERLINK("https://docs.google.com/spreadsheets/d/1YfZY97QiNFPZP1lZTDBMQNLUF1rGojB1", 1.14676666666667)</f>
        <v>1.146766667</v>
      </c>
      <c r="J462" s="115"/>
      <c r="K462" s="117">
        <f>HYPERLINK("https://docs.google.com/spreadsheets/d/197DL7jgBiBMkjQ83Uw_xQ0tcc8ITB-57", 3.25108333333333)</f>
        <v>3.251083333</v>
      </c>
      <c r="L462" s="115"/>
      <c r="M462" s="104"/>
      <c r="N462" s="115"/>
      <c r="O462" s="104"/>
      <c r="P462" s="118">
        <f>HYPERLINK("https://docs.google.com/spreadsheets/d/1v3hb2xNLFCgG9VRGadlyqeJhp_4LBATy", 19.5477833333333)</f>
        <v>19.54778333</v>
      </c>
      <c r="S462" s="118">
        <f>HYPERLINK("https://docs.google.com/spreadsheets/d/1wWysGfyH4tIul_4Y0rf9YfjqPB9qZNQW", 0.620116666666667)</f>
        <v>0.6201166667</v>
      </c>
      <c r="U462" s="118">
        <f>HYPERLINK("https://docs.google.com/spreadsheets/d/1bsfB9UThAzdW6t0UqIPWvvqJwpgzynUS", 0)</f>
        <v>0</v>
      </c>
      <c r="Z462" s="118">
        <f>HYPERLINK("https://docs.google.com/spreadsheets/d/1LgcWNhZ4w20vbv-Bl48KRKw00PcxYFA2", 39.16205)</f>
        <v>39.16205</v>
      </c>
      <c r="AA462" s="118">
        <f>HYPERLINK("https://docs.google.com/spreadsheets/d/1ctiXwE6jjNKeYsZCpNCcHKC02ZLe-IoJ", 17.0614)</f>
        <v>17.0614</v>
      </c>
      <c r="AB462" s="118">
        <f>HYPERLINK("https://docs.google.com/spreadsheets/d/1f7HD2vq9kayVkBgo5zdh2B0TBpR21C4g", 3.99171666666667)</f>
        <v>3.991716667</v>
      </c>
      <c r="AC462" s="118">
        <f>HYPERLINK("https://docs.google.com/spreadsheets/d/1PcsJFB1wrl0HZzBFslv8B5XoIJxOi24O", 2.30075)</f>
        <v>2.30075</v>
      </c>
      <c r="AD462" s="118">
        <f>HYPERLINK("https://docs.google.com/spreadsheets/d/1l5wHJBRZzzkRmgylwdHuAmdcaEwwNeGZ", 4.4572)</f>
        <v>4.4572</v>
      </c>
      <c r="AI462" s="118">
        <f>HYPERLINK("https://docs.google.com/spreadsheets/d/18mAFdiOU2PTWUJQoPqPwFqI_fQ8KpiG6", 70.39355)</f>
        <v>70.39355</v>
      </c>
      <c r="AJ462" s="118">
        <f>HYPERLINK("https://docs.google.com/spreadsheets/d/1Gx-ctkZdR95QzSplAkdcanvcMhAu2sSz", 27.467)</f>
        <v>27.467</v>
      </c>
      <c r="AK462" s="118">
        <f>HYPERLINK("https://docs.google.com/spreadsheets/d/144HjqV-lzKuUzIWE2iONlUPucQy7PJhP", 10.7818)</f>
        <v>10.7818</v>
      </c>
      <c r="AL462" s="118">
        <f>HYPERLINK("https://docs.google.com/spreadsheets/d/1atr1T1ZtDnWvJ7D9TzhzBLQZAis174mH", 1.9181)</f>
        <v>1.9181</v>
      </c>
      <c r="AM462" s="118">
        <f>HYPERLINK("https://docs.google.com/spreadsheets/d/1tjn94zaWww99rddTH8uPfSRmyqK9FMo5", 10.6273)</f>
        <v>10.6273</v>
      </c>
      <c r="AP462" s="118">
        <f>HYPERLINK("https://docs.google.com/spreadsheets/d/1UnhtZZ5PpAoN1Qr3NiKZ3t9FuaGjgvDN", 97.3577499999999)</f>
        <v>97.35775</v>
      </c>
      <c r="AQ462" s="118">
        <f>HYPERLINK("https://docs.google.com/spreadsheets/d/1SVXLahf65jJOQJlQepXVdPsTpARD8hfg", 2.0666)</f>
        <v>2.0666</v>
      </c>
      <c r="AR462" s="118">
        <f>HYPERLINK("https://docs.google.com/spreadsheets/d/1GnrcdxytRXxd_OBzEh_Kqw8tsVUOThf5", 13.8523666666667)</f>
        <v>13.85236667</v>
      </c>
      <c r="AU462" s="118">
        <f>HYPERLINK("https://docs.google.com/spreadsheets/d/1XP1pA--sFbkutpBXsJ1oXEAQq2A3Jkwb", 106.669116666667)</f>
        <v>106.6691167</v>
      </c>
      <c r="AV462" s="118">
        <f>HYPERLINK("https://docs.google.com/spreadsheets/d/1i8j3qPnL_OznbQQo7YxsG9i4hzu2MNcR", 11.2723333333333)</f>
        <v>11.27233333</v>
      </c>
      <c r="AY462" s="118">
        <f>HYPERLINK("https://docs.google.com/spreadsheets/d/1Ie939UniXp3I3i48jfNfVx_jTqkFgm_4", 81.6184333333333)</f>
        <v>81.61843333</v>
      </c>
    </row>
    <row r="463">
      <c r="A463" s="65" t="s">
        <v>28</v>
      </c>
      <c r="B463" s="65" t="s">
        <v>103</v>
      </c>
      <c r="C463" s="65" t="s">
        <v>413</v>
      </c>
      <c r="D463" s="64">
        <f t="shared" si="1"/>
        <v>467.9060833</v>
      </c>
      <c r="E463" s="115"/>
      <c r="F463" s="104">
        <v>19.8655333333333</v>
      </c>
      <c r="G463" s="104">
        <v>3.28765</v>
      </c>
      <c r="H463" s="104">
        <v>0.259566666666667</v>
      </c>
      <c r="I463" s="104">
        <v>0.6823</v>
      </c>
      <c r="J463" s="104"/>
      <c r="K463" s="104">
        <v>3.25108333333333</v>
      </c>
      <c r="L463" s="104"/>
      <c r="M463" s="104"/>
      <c r="N463" s="104"/>
      <c r="O463" s="104"/>
      <c r="P463" s="65">
        <v>19.5477833333333</v>
      </c>
      <c r="Q463" s="65"/>
      <c r="S463" s="65">
        <v>0.138683333333333</v>
      </c>
      <c r="T463" s="65"/>
      <c r="U463" s="65">
        <v>0.0</v>
      </c>
      <c r="V463" s="65"/>
      <c r="W463" s="65"/>
      <c r="X463" s="65"/>
      <c r="Y463" s="65"/>
      <c r="Z463" s="65">
        <v>26.3817166666667</v>
      </c>
      <c r="AA463" s="65">
        <v>11.0751666666667</v>
      </c>
      <c r="AB463" s="65">
        <v>1.56098333333333</v>
      </c>
      <c r="AC463" s="65">
        <v>0.335966666666667</v>
      </c>
      <c r="AD463" s="65">
        <v>1.60221666666667</v>
      </c>
      <c r="AE463" s="65"/>
      <c r="AF463" s="65"/>
      <c r="AG463" s="65"/>
      <c r="AH463" s="65"/>
      <c r="AI463" s="65">
        <v>70.39355</v>
      </c>
      <c r="AJ463" s="65">
        <v>27.467</v>
      </c>
      <c r="AK463" s="65">
        <v>5.10346666666667</v>
      </c>
      <c r="AL463" s="65">
        <v>0.06525</v>
      </c>
      <c r="AM463" s="65">
        <v>10.6273</v>
      </c>
      <c r="AN463" s="65"/>
      <c r="AP463" s="65">
        <v>97.3577499999999</v>
      </c>
      <c r="AQ463" s="65">
        <v>1.06398333333333</v>
      </c>
      <c r="AR463" s="65">
        <v>13.8523666666667</v>
      </c>
      <c r="AT463" s="65"/>
      <c r="AU463" s="65">
        <v>67.8671166666668</v>
      </c>
      <c r="AV463" s="65">
        <v>4.50121666666666</v>
      </c>
      <c r="AY463" s="65">
        <v>81.6184333333333</v>
      </c>
    </row>
    <row r="464">
      <c r="A464" s="119" t="s">
        <v>28</v>
      </c>
      <c r="B464" s="119" t="s">
        <v>103</v>
      </c>
      <c r="C464" s="119" t="s">
        <v>414</v>
      </c>
      <c r="D464" s="120">
        <f t="shared" si="1"/>
        <v>106.6691167</v>
      </c>
      <c r="E464" s="121"/>
      <c r="F464" s="122">
        <f>HYPERLINK("https://docs.google.com/spreadsheets/d/1OmCLX1fsaMi0Y46I1vgLQKQfotjgjkTi", 0)</f>
        <v>0</v>
      </c>
      <c r="G464" s="122">
        <f>HYPERLINK("https://docs.google.com/spreadsheets/d/1YMz7E6m-Cm5RLhXDBE8UQ-mq3NrwL79b", 0)</f>
        <v>0</v>
      </c>
      <c r="H464" s="122">
        <f>HYPERLINK("https://docs.google.com/spreadsheets/d/1oniXmMRBioWRxFRHIgYYzmcetQ7D4NbU", 0)</f>
        <v>0</v>
      </c>
      <c r="I464" s="122">
        <f>HYPERLINK("https://docs.google.com/spreadsheets/d/1YfZY97QiNFPZP1lZTDBMQNLUF1rGojB1", 0)</f>
        <v>0</v>
      </c>
      <c r="J464" s="121"/>
      <c r="K464" s="122">
        <f>HYPERLINK("https://docs.google.com/spreadsheets/d/197DL7jgBiBMkjQ83Uw_xQ0tcc8ITB-57", 0)</f>
        <v>0</v>
      </c>
      <c r="L464" s="121"/>
      <c r="M464" s="121"/>
      <c r="N464" s="123"/>
      <c r="O464" s="121"/>
      <c r="P464" s="124">
        <f>HYPERLINK("https://docs.google.com/spreadsheets/d/1v3hb2xNLFCgG9VRGadlyqeJhp_4LBATy", 0)</f>
        <v>0</v>
      </c>
      <c r="Q464" s="119"/>
      <c r="R464" s="120"/>
      <c r="S464" s="124">
        <f>HYPERLINK("https://docs.google.com/spreadsheets/d/1wWysGfyH4tIul_4Y0rf9YfjqPB9qZNQW", 0)</f>
        <v>0</v>
      </c>
      <c r="T464" s="120"/>
      <c r="U464" s="124">
        <f>HYPERLINK("https://docs.google.com/spreadsheets/d/1bsfB9UThAzdW6t0UqIPWvvqJwpgzynUS", 0)</f>
        <v>0</v>
      </c>
      <c r="V464" s="120"/>
      <c r="W464" s="120"/>
      <c r="X464" s="119"/>
      <c r="Y464" s="119"/>
      <c r="Z464" s="124">
        <f>HYPERLINK("https://docs.google.com/spreadsheets/d/1LgcWNhZ4w20vbv-Bl48KRKw00PcxYFA2", 0)</f>
        <v>0</v>
      </c>
      <c r="AA464" s="124">
        <f>HYPERLINK("https://docs.google.com/spreadsheets/d/1ctiXwE6jjNKeYsZCpNCcHKC02ZLe-IoJ", 0)</f>
        <v>0</v>
      </c>
      <c r="AB464" s="124">
        <f>HYPERLINK("https://docs.google.com/spreadsheets/d/1f7HD2vq9kayVkBgo5zdh2B0TBpR21C4g", 0)</f>
        <v>0</v>
      </c>
      <c r="AC464" s="124">
        <f>HYPERLINK("https://docs.google.com/spreadsheets/d/1PcsJFB1wrl0HZzBFslv8B5XoIJxOi24O", 0)</f>
        <v>0</v>
      </c>
      <c r="AD464" s="124">
        <f>HYPERLINK("https://docs.google.com/spreadsheets/d/1l5wHJBRZzzkRmgylwdHuAmdcaEwwNeGZ", 0)</f>
        <v>0</v>
      </c>
      <c r="AE464" s="119"/>
      <c r="AF464" s="119"/>
      <c r="AG464" s="119"/>
      <c r="AH464" s="119"/>
      <c r="AI464" s="125">
        <f>HYPERLINK("https://docs.google.com/spreadsheets/d/18mAFdiOU2PTWUJQoPqPwFqI_fQ8KpiG6", 0)</f>
        <v>0</v>
      </c>
      <c r="AJ464" s="124">
        <f>HYPERLINK("https://docs.google.com/spreadsheets/d/1Gx-ctkZdR95QzSplAkdcanvcMhAu2sSz", 0)</f>
        <v>0</v>
      </c>
      <c r="AK464" s="124">
        <f>HYPERLINK("https://docs.google.com/spreadsheets/d/144HjqV-lzKuUzIWE2iONlUPucQy7PJhP", 0)</f>
        <v>0</v>
      </c>
      <c r="AL464" s="125">
        <f>HYPERLINK("https://docs.google.com/spreadsheets/d/1atr1T1ZtDnWvJ7D9TzhzBLQZAis174mH", 0)</f>
        <v>0</v>
      </c>
      <c r="AM464" s="124">
        <f>HYPERLINK("https://docs.google.com/spreadsheets/d/1tjn94zaWww99rddTH8uPfSRmyqK9FMo5", 0)</f>
        <v>0</v>
      </c>
      <c r="AN464" s="119"/>
      <c r="AO464" s="120"/>
      <c r="AP464" s="124">
        <f>HYPERLINK("https://docs.google.com/spreadsheets/d/1UnhtZZ5PpAoN1Qr3NiKZ3t9FuaGjgvDN", 0)</f>
        <v>0</v>
      </c>
      <c r="AQ464" s="125">
        <f>HYPERLINK("https://docs.google.com/spreadsheets/d/1SVXLahf65jJOQJlQepXVdPsTpARD8hfg", 0)</f>
        <v>0</v>
      </c>
      <c r="AR464" s="125">
        <f>HYPERLINK("https://docs.google.com/spreadsheets/d/1GnrcdxytRXxd_OBzEh_Kqw8tsVUOThf5", 0)</f>
        <v>0</v>
      </c>
      <c r="AS464" s="120"/>
      <c r="AT464" s="120"/>
      <c r="AU464" s="124">
        <f>HYPERLINK("https://docs.google.com/spreadsheets/d/1XP1pA--sFbkutpBXsJ1oXEAQq2A3Jkwb", 106.669116666667)</f>
        <v>106.6691167</v>
      </c>
      <c r="AV464" s="124">
        <f>HYPERLINK("https://docs.google.com/spreadsheets/d/1i8j3qPnL_OznbQQo7YxsG9i4hzu2MNcR", 0)</f>
        <v>0</v>
      </c>
      <c r="AW464" s="120"/>
      <c r="AX464" s="120"/>
      <c r="AY464" s="124">
        <f>HYPERLINK("https://docs.google.com/spreadsheets/d/1Ie939UniXp3I3i48jfNfVx_jTqkFgm_4", 0)</f>
        <v>0</v>
      </c>
      <c r="AZ464" s="120"/>
      <c r="BA464" s="120"/>
      <c r="BB464" s="120"/>
      <c r="BC464" s="120"/>
      <c r="BD464" s="120"/>
      <c r="BE464" s="120"/>
      <c r="BF464" s="120"/>
      <c r="BG464" s="120"/>
      <c r="BH464" s="120"/>
      <c r="BI464" s="120"/>
      <c r="BJ464" s="120"/>
      <c r="BK464" s="120"/>
      <c r="BL464" s="120"/>
      <c r="BM464" s="120"/>
      <c r="BN464" s="120"/>
      <c r="BO464" s="120"/>
      <c r="BP464" s="120"/>
      <c r="BQ464" s="120"/>
      <c r="BR464" s="120"/>
      <c r="BS464" s="120"/>
      <c r="BT464" s="120"/>
      <c r="BU464" s="120"/>
      <c r="BV464" s="120"/>
      <c r="BW464" s="120"/>
      <c r="BX464" s="120"/>
      <c r="BY464" s="120"/>
      <c r="BZ464" s="120"/>
      <c r="CA464" s="120"/>
      <c r="CB464" s="120"/>
      <c r="CC464" s="120"/>
      <c r="CD464" s="120"/>
      <c r="CE464" s="120"/>
      <c r="CF464" s="120"/>
      <c r="CG464" s="120"/>
      <c r="CH464" s="120"/>
      <c r="CI464" s="120"/>
      <c r="CJ464" s="120"/>
      <c r="CK464" s="120"/>
      <c r="CL464" s="120"/>
      <c r="CM464" s="120"/>
      <c r="CN464" s="120"/>
      <c r="CO464" s="120"/>
      <c r="CP464" s="120"/>
      <c r="CQ464" s="120"/>
      <c r="CR464" s="120"/>
      <c r="CS464" s="120"/>
      <c r="CT464" s="120"/>
      <c r="CU464" s="120"/>
      <c r="CV464" s="120"/>
      <c r="CW464" s="120"/>
      <c r="CX464" s="120"/>
      <c r="CY464" s="120"/>
      <c r="CZ464" s="120"/>
      <c r="DA464" s="120"/>
      <c r="DB464" s="120"/>
      <c r="DC464" s="120"/>
      <c r="DD464" s="120"/>
      <c r="DE464" s="120"/>
      <c r="DF464" s="120"/>
      <c r="DG464" s="120"/>
      <c r="DH464" s="120"/>
      <c r="DI464" s="120"/>
      <c r="DJ464" s="120"/>
      <c r="DK464" s="120"/>
      <c r="DL464" s="120"/>
      <c r="DM464" s="120"/>
      <c r="DN464" s="120"/>
      <c r="DO464" s="120"/>
      <c r="DP464" s="120"/>
      <c r="DQ464" s="120"/>
      <c r="DR464" s="120"/>
      <c r="DS464" s="120"/>
      <c r="DT464" s="120"/>
      <c r="DU464" s="120"/>
      <c r="DV464" s="120"/>
      <c r="DW464" s="120"/>
      <c r="DX464" s="120"/>
      <c r="DY464" s="120"/>
      <c r="DZ464" s="120"/>
      <c r="EA464" s="120"/>
      <c r="EB464" s="120"/>
      <c r="EC464" s="120"/>
      <c r="ED464" s="120"/>
      <c r="EE464" s="120"/>
      <c r="EF464" s="120"/>
      <c r="EG464" s="120"/>
      <c r="EH464" s="120"/>
      <c r="EI464" s="120"/>
      <c r="EJ464" s="120"/>
      <c r="EK464" s="120"/>
      <c r="EL464" s="120"/>
      <c r="EM464" s="120"/>
      <c r="EN464" s="120"/>
      <c r="EO464" s="120"/>
      <c r="EP464" s="120"/>
      <c r="EQ464" s="120"/>
      <c r="ER464" s="120"/>
      <c r="ES464" s="120"/>
      <c r="ET464" s="120"/>
      <c r="EU464" s="120"/>
      <c r="EV464" s="120"/>
      <c r="EW464" s="120"/>
      <c r="EX464" s="120"/>
      <c r="EY464" s="120"/>
    </row>
    <row r="465">
      <c r="A465" s="112" t="s">
        <v>28</v>
      </c>
      <c r="B465" s="112" t="s">
        <v>81</v>
      </c>
      <c r="C465" s="112" t="s">
        <v>409</v>
      </c>
      <c r="D465" s="113">
        <f t="shared" si="1"/>
        <v>558.2326</v>
      </c>
      <c r="E465" s="114">
        <v>66.1398833333333</v>
      </c>
      <c r="F465" s="114"/>
      <c r="G465" s="114"/>
      <c r="H465" s="114"/>
      <c r="I465" s="114"/>
      <c r="J465" s="114"/>
      <c r="K465" s="114"/>
      <c r="L465" s="114">
        <v>0.855566666666667</v>
      </c>
      <c r="M465" s="114"/>
      <c r="N465" s="114"/>
      <c r="O465" s="114">
        <v>36.8537833333333</v>
      </c>
      <c r="P465" s="112"/>
      <c r="Q465" s="112">
        <v>0.0957166666666667</v>
      </c>
      <c r="R465" s="112">
        <v>4.45286666666667</v>
      </c>
      <c r="S465" s="112"/>
      <c r="T465" s="112"/>
      <c r="U465" s="113"/>
      <c r="V465" s="112"/>
      <c r="W465" s="112"/>
      <c r="X465" s="112">
        <v>0.388966666666667</v>
      </c>
      <c r="Y465" s="112">
        <v>47.2172</v>
      </c>
      <c r="Z465" s="112"/>
      <c r="AA465" s="113"/>
      <c r="AB465" s="112"/>
      <c r="AC465" s="112"/>
      <c r="AD465" s="112"/>
      <c r="AE465" s="112">
        <v>0.202383333333333</v>
      </c>
      <c r="AF465" s="112"/>
      <c r="AG465" s="112"/>
      <c r="AH465" s="112">
        <v>72.3782</v>
      </c>
      <c r="AI465" s="112"/>
      <c r="AJ465" s="112"/>
      <c r="AK465" s="112"/>
      <c r="AL465" s="113"/>
      <c r="AM465" s="112"/>
      <c r="AN465" s="112">
        <v>2.11861666666667</v>
      </c>
      <c r="AO465" s="112">
        <v>157.622466666667</v>
      </c>
      <c r="AP465" s="112"/>
      <c r="AQ465" s="113"/>
      <c r="AR465" s="112"/>
      <c r="AS465" s="112">
        <v>8.54498333333333</v>
      </c>
      <c r="AT465" s="112">
        <v>88.5044833333334</v>
      </c>
      <c r="AU465" s="112"/>
      <c r="AV465" s="112"/>
      <c r="AW465" s="112">
        <v>4.65868333333333</v>
      </c>
      <c r="AX465" s="112">
        <v>61.7210333333334</v>
      </c>
      <c r="AY465" s="113"/>
      <c r="AZ465" s="112">
        <v>5.53653333333333</v>
      </c>
      <c r="BA465" s="112">
        <v>0.941233333333333</v>
      </c>
      <c r="BB465" s="113"/>
      <c r="BC465" s="113"/>
      <c r="BD465" s="113"/>
      <c r="BE465" s="113"/>
      <c r="BF465" s="113"/>
      <c r="BG465" s="113"/>
      <c r="BH465" s="113"/>
      <c r="BI465" s="113"/>
      <c r="BJ465" s="113"/>
      <c r="BK465" s="113"/>
      <c r="BL465" s="113"/>
      <c r="BM465" s="113"/>
      <c r="BN465" s="113"/>
      <c r="BO465" s="113"/>
      <c r="BP465" s="113"/>
      <c r="BQ465" s="113"/>
      <c r="BR465" s="113"/>
      <c r="BS465" s="113"/>
      <c r="BT465" s="113"/>
      <c r="BU465" s="113"/>
      <c r="BV465" s="113"/>
      <c r="BW465" s="113"/>
      <c r="BX465" s="113"/>
      <c r="BY465" s="113"/>
      <c r="BZ465" s="113"/>
      <c r="CA465" s="113"/>
      <c r="CB465" s="113"/>
      <c r="CC465" s="113"/>
      <c r="CD465" s="113"/>
      <c r="CE465" s="113"/>
      <c r="CF465" s="113"/>
      <c r="CG465" s="113"/>
      <c r="CH465" s="113"/>
      <c r="CI465" s="113"/>
      <c r="CJ465" s="113"/>
      <c r="CK465" s="113"/>
      <c r="CL465" s="113"/>
      <c r="CM465" s="113"/>
      <c r="CN465" s="113"/>
      <c r="CO465" s="113"/>
      <c r="CP465" s="113"/>
      <c r="CQ465" s="113"/>
      <c r="CR465" s="113"/>
      <c r="CS465" s="113"/>
      <c r="CT465" s="113"/>
      <c r="CU465" s="113"/>
      <c r="CV465" s="113"/>
      <c r="CW465" s="113"/>
      <c r="CX465" s="113"/>
      <c r="CY465" s="113"/>
      <c r="CZ465" s="113"/>
      <c r="DA465" s="113"/>
      <c r="DB465" s="113"/>
      <c r="DC465" s="113"/>
      <c r="DD465" s="113"/>
      <c r="DE465" s="113"/>
      <c r="DF465" s="113"/>
      <c r="DG465" s="113"/>
      <c r="DH465" s="113"/>
      <c r="DI465" s="113"/>
      <c r="DJ465" s="113"/>
      <c r="DK465" s="113"/>
      <c r="DL465" s="113"/>
      <c r="DM465" s="113"/>
      <c r="DN465" s="113"/>
      <c r="DO465" s="113"/>
      <c r="DP465" s="113"/>
      <c r="DQ465" s="113"/>
      <c r="DR465" s="113"/>
      <c r="DS465" s="113"/>
      <c r="DT465" s="113"/>
      <c r="DU465" s="113"/>
      <c r="DV465" s="113"/>
      <c r="DW465" s="113"/>
      <c r="DX465" s="113"/>
      <c r="DY465" s="113"/>
      <c r="DZ465" s="113"/>
      <c r="EA465" s="113"/>
      <c r="EB465" s="113"/>
      <c r="EC465" s="113"/>
      <c r="ED465" s="113"/>
      <c r="EE465" s="113"/>
      <c r="EF465" s="113"/>
      <c r="EG465" s="113"/>
      <c r="EH465" s="113"/>
      <c r="EI465" s="113"/>
      <c r="EJ465" s="113"/>
      <c r="EK465" s="113"/>
      <c r="EL465" s="113"/>
      <c r="EM465" s="113"/>
      <c r="EN465" s="113"/>
      <c r="EO465" s="113"/>
      <c r="EP465" s="113"/>
      <c r="EQ465" s="113"/>
      <c r="ER465" s="113"/>
      <c r="ES465" s="113"/>
      <c r="ET465" s="113"/>
      <c r="EU465" s="113"/>
      <c r="EV465" s="113"/>
      <c r="EW465" s="113"/>
      <c r="EX465" s="113"/>
      <c r="EY465" s="113"/>
    </row>
    <row r="466">
      <c r="A466" s="65" t="s">
        <v>28</v>
      </c>
      <c r="B466" s="65" t="s">
        <v>81</v>
      </c>
      <c r="C466" s="65" t="s">
        <v>410</v>
      </c>
      <c r="D466" s="64">
        <f t="shared" si="1"/>
        <v>572.7174167</v>
      </c>
      <c r="E466" s="104"/>
      <c r="F466" s="104">
        <v>41.0729333333333</v>
      </c>
      <c r="G466" s="104">
        <v>15.4742333333333</v>
      </c>
      <c r="H466" s="104">
        <v>3.27015</v>
      </c>
      <c r="I466" s="104">
        <v>1.54673333333333</v>
      </c>
      <c r="J466" s="104"/>
      <c r="K466" s="104">
        <v>2.15325</v>
      </c>
      <c r="L466" s="104"/>
      <c r="M466" s="104">
        <v>41.0729333333333</v>
      </c>
      <c r="N466" s="104">
        <v>15.4742333333333</v>
      </c>
      <c r="O466" s="104"/>
      <c r="P466" s="65">
        <v>34.6579333333333</v>
      </c>
      <c r="Q466" s="65"/>
      <c r="R466" s="65"/>
      <c r="S466" s="65">
        <v>0.975916666666667</v>
      </c>
      <c r="T466" s="65">
        <v>3.01526666666667</v>
      </c>
      <c r="U466" s="65">
        <v>0.129366666666667</v>
      </c>
      <c r="V466" s="65">
        <v>0.332316666666667</v>
      </c>
      <c r="W466" s="65"/>
      <c r="X466" s="65"/>
      <c r="Y466" s="65"/>
      <c r="Z466" s="65">
        <v>27.4291666666667</v>
      </c>
      <c r="AA466" s="65">
        <v>16.4419333333333</v>
      </c>
      <c r="AB466" s="65">
        <v>0.750516666666667</v>
      </c>
      <c r="AC466" s="65">
        <v>0.455833333333333</v>
      </c>
      <c r="AD466" s="65">
        <v>2.10966666666667</v>
      </c>
      <c r="AE466" s="65"/>
      <c r="AF466" s="65">
        <v>27.4291666666667</v>
      </c>
      <c r="AG466" s="65">
        <v>16.4419333333333</v>
      </c>
      <c r="AH466" s="65"/>
      <c r="AI466" s="65">
        <v>35.0111666666667</v>
      </c>
      <c r="AJ466" s="65">
        <v>24.1045</v>
      </c>
      <c r="AK466" s="65">
        <v>3.12483333333333</v>
      </c>
      <c r="AL466" s="65">
        <v>3.75766666666667</v>
      </c>
      <c r="AM466" s="65">
        <v>4.49248333333333</v>
      </c>
      <c r="AN466" s="65"/>
      <c r="AP466" s="65">
        <v>117.1458</v>
      </c>
      <c r="AQ466" s="65">
        <v>4.06565</v>
      </c>
      <c r="AR466" s="65">
        <v>6.09253333333333</v>
      </c>
      <c r="AT466" s="65"/>
      <c r="AU466" s="65">
        <v>60.7312333333333</v>
      </c>
      <c r="AV466" s="65">
        <v>6.22665</v>
      </c>
      <c r="AY466" s="65">
        <v>57.7314166666667</v>
      </c>
    </row>
    <row r="467">
      <c r="A467" s="65" t="s">
        <v>28</v>
      </c>
      <c r="B467" s="65" t="s">
        <v>81</v>
      </c>
      <c r="C467" s="65" t="s">
        <v>411</v>
      </c>
      <c r="D467" s="64">
        <f t="shared" si="1"/>
        <v>0</v>
      </c>
      <c r="E467" s="115"/>
      <c r="F467" s="115"/>
      <c r="G467" s="115"/>
      <c r="H467" s="115"/>
      <c r="I467" s="115"/>
      <c r="J467" s="115"/>
      <c r="K467" s="115"/>
      <c r="L467" s="115"/>
      <c r="M467" s="115"/>
      <c r="N467" s="115"/>
      <c r="O467" s="115"/>
    </row>
    <row r="468">
      <c r="A468" s="65" t="s">
        <v>28</v>
      </c>
      <c r="B468" s="65" t="s">
        <v>81</v>
      </c>
      <c r="C468" s="65" t="s">
        <v>412</v>
      </c>
      <c r="D468" s="64">
        <f t="shared" si="1"/>
        <v>470.6771167</v>
      </c>
      <c r="E468" s="115"/>
      <c r="F468" s="117">
        <f>HYPERLINK("https://docs.google.com/spreadsheets/d/1WJ66G87iYBKLjKGHCnhNFL4KnSi4lvn9", 41.0729333333333)</f>
        <v>41.07293333</v>
      </c>
      <c r="G468" s="116">
        <f>HYPERLINK("https://docs.google.com/spreadsheets/d/1jK1qZor83jGfT8ofJa1oqrd_fflw7iHa", 15.4742333333333)</f>
        <v>15.47423333</v>
      </c>
      <c r="H468" s="116">
        <f>HYPERLINK("https://docs.google.com/spreadsheets/d/1gqQ0E9z9tqEF7NoXUTM5RTzhwdEyV9EN", 3.27013333333333)</f>
        <v>3.270133333</v>
      </c>
      <c r="I468" s="117">
        <f>HYPERLINK("https://docs.google.com/spreadsheets/d/1PelH4-YJ2jWuUGTaB1rq3DXHvp_sVgr3", 1.5467)</f>
        <v>1.5467</v>
      </c>
      <c r="J468" s="115"/>
      <c r="K468" s="117">
        <f>HYPERLINK("https://docs.google.com/spreadsheets/d/1RY8deqMTGwjNM3og77zdDoqVCGT-gQIQ", 2.15321666666667)</f>
        <v>2.153216667</v>
      </c>
      <c r="L468" s="115"/>
      <c r="M468" s="104"/>
      <c r="N468" s="115"/>
      <c r="O468" s="104"/>
      <c r="P468" s="118">
        <f>HYPERLINK("https://docs.google.com/spreadsheets/d/1tutwF66MG9DpNdhMlFJqbeHWqvBfkQ6_", 34.6579)</f>
        <v>34.6579</v>
      </c>
      <c r="S468" s="118">
        <f>HYPERLINK("https://docs.google.com/spreadsheets/d/11vvfGIc2q6PBI-dCaY-c40idtH43uxj_", 0.975916666666667)</f>
        <v>0.9759166667</v>
      </c>
      <c r="T468" s="118">
        <f>HYPERLINK("https://docs.google.com/spreadsheets/d/1MzsBAN2_XXhrhxII4CsCgApGRhDTHmEW", 3.01525)</f>
        <v>3.01525</v>
      </c>
      <c r="U468" s="118">
        <f>HYPERLINK("https://docs.google.com/spreadsheets/d/1R0sAf2hG4UTOU7Dp6l2tWFTW_E-0o8cU", 0)</f>
        <v>0</v>
      </c>
      <c r="V468" s="118">
        <f>HYPERLINK("https://docs.google.com/spreadsheets/d/1fIwQbXw1PLu4W_eCEmmLTvQpDbKPS7Wa", 0.332316666666667)</f>
        <v>0.3323166667</v>
      </c>
      <c r="Z468" s="118">
        <f>HYPERLINK("https://docs.google.com/spreadsheets/d/1yxCYwUkRSzor4WQIhFtQTocl_ixWNPJd", 27.2654166666667)</f>
        <v>27.26541667</v>
      </c>
      <c r="AA468" s="118">
        <f>HYPERLINK("https://docs.google.com/spreadsheets/d/1_bzEofQU-jMaaOQbFt-m2w8CMHw9vQu3", 16.4419333333333)</f>
        <v>16.44193333</v>
      </c>
      <c r="AB468" s="118">
        <f>HYPERLINK("https://docs.google.com/spreadsheets/d/12kpWGhkR9UzSdtiPPD9vqrLoXwgTgPJy", 0.60665)</f>
        <v>0.60665</v>
      </c>
      <c r="AC468" s="118">
        <f>HYPERLINK("https://docs.google.com/spreadsheets/d/1U3NHRvnmPPjvaQikGdqokweXra8ILRrj", 0.455833333333333)</f>
        <v>0.4558333333</v>
      </c>
      <c r="AD468" s="118">
        <f>HYPERLINK("https://docs.google.com/spreadsheets/d/1OYlsO1ZdTSDCArQUKosA3COjBwWxj_QW", 2.10966666666667)</f>
        <v>2.109666667</v>
      </c>
      <c r="AI468" s="118">
        <f>HYPERLINK("https://docs.google.com/spreadsheets/d/19IGPqyCADC1VDf9eA6DUx2rw6L1US5Gs", 34.72165)</f>
        <v>34.72165</v>
      </c>
      <c r="AJ468" s="118">
        <f>HYPERLINK("https://docs.google.com/spreadsheets/d/18sJ7GTw-WMid75tzw2Awtr6VkYMUdAqe", 23.8584)</f>
        <v>23.8584</v>
      </c>
      <c r="AK468" s="118">
        <f>HYPERLINK("https://docs.google.com/spreadsheets/d/1gsPbD7iDBdzJATDnst7nuZCo0i-bdo6M", 3.09925)</f>
        <v>3.09925</v>
      </c>
      <c r="AL468" s="118">
        <f>HYPERLINK("https://docs.google.com/spreadsheets/d/14X8abah4GRq1IsH_Mb6XnK_wMgwNPMDF", 3.75768333333333)</f>
        <v>3.757683333</v>
      </c>
      <c r="AM468" s="118">
        <f>HYPERLINK("https://docs.google.com/spreadsheets/d/1jW0FJwPhaQUtZ2B3WFKVIMQsdfEEx5Hx", 4.49248333333333)</f>
        <v>4.492483333</v>
      </c>
      <c r="AP468" s="118">
        <f>HYPERLINK("https://docs.google.com/spreadsheets/d/1MMhXR2rvcV_Qo-LoMQ0sA8wvakTo4mE5", 116.901033333333)</f>
        <v>116.9010333</v>
      </c>
      <c r="AQ468" s="118">
        <f>HYPERLINK("https://docs.google.com/spreadsheets/d/14WVJ9FJUxjVsxmRMoXKWP6VFvOe7cNGt", 4.06563333333333)</f>
        <v>4.065633333</v>
      </c>
      <c r="AR468" s="118">
        <f>HYPERLINK("https://docs.google.com/spreadsheets/d/1XmUULFaQjPzSoPRjzrO06xlvhLwK_rk5", 5.98768333333334)</f>
        <v>5.987683333</v>
      </c>
      <c r="AU468" s="118">
        <f>HYPERLINK("https://docs.google.com/spreadsheets/d/155xs2PaqnfWq_ZquPiyYUSvsLFmoXJbq", 60.7312333333333)</f>
        <v>60.73123333</v>
      </c>
      <c r="AV468" s="118">
        <f>HYPERLINK("https://docs.google.com/spreadsheets/d/1GVsYIZ04Gaaw6JwarjtZcM2dnPY3wLll", 6.22663333333334)</f>
        <v>6.226633333</v>
      </c>
      <c r="AY468" s="118">
        <f>HYPERLINK("https://docs.google.com/spreadsheets/d/1QoUlyoi0ZTorLswwAmExit2Thuu6Fu58", 57.4573333333334)</f>
        <v>57.45733333</v>
      </c>
    </row>
    <row r="469">
      <c r="A469" s="65" t="s">
        <v>28</v>
      </c>
      <c r="B469" s="65" t="s">
        <v>81</v>
      </c>
      <c r="C469" s="65" t="s">
        <v>413</v>
      </c>
      <c r="D469" s="64">
        <f t="shared" si="1"/>
        <v>387.8607833</v>
      </c>
      <c r="E469" s="115"/>
      <c r="F469" s="104">
        <v>24.5723666666667</v>
      </c>
      <c r="G469" s="104">
        <v>8.14795</v>
      </c>
      <c r="H469" s="104">
        <v>2.15175</v>
      </c>
      <c r="I469" s="104">
        <v>0.305</v>
      </c>
      <c r="J469" s="104"/>
      <c r="K469" s="104">
        <v>2.15321666666667</v>
      </c>
      <c r="L469" s="104"/>
      <c r="M469" s="104"/>
      <c r="N469" s="104"/>
      <c r="O469" s="104"/>
      <c r="P469" s="65">
        <v>34.6579</v>
      </c>
      <c r="Q469" s="65"/>
      <c r="R469" s="65"/>
      <c r="S469" s="65">
        <v>0.5328</v>
      </c>
      <c r="T469" s="65">
        <v>3.01525</v>
      </c>
      <c r="U469" s="65">
        <v>0.0</v>
      </c>
      <c r="V469" s="65">
        <v>0.0</v>
      </c>
      <c r="W469" s="65"/>
      <c r="X469" s="65"/>
      <c r="Y469" s="65"/>
      <c r="Z469" s="65">
        <v>18.07205</v>
      </c>
      <c r="AA469" s="65">
        <v>10.5486666666667</v>
      </c>
      <c r="AB469" s="65">
        <v>0.110433333333333</v>
      </c>
      <c r="AC469" s="65">
        <v>0.0</v>
      </c>
      <c r="AD469" s="65">
        <v>0.228916666666666</v>
      </c>
      <c r="AE469" s="65"/>
      <c r="AF469" s="65"/>
      <c r="AG469" s="65"/>
      <c r="AH469" s="65"/>
      <c r="AI469" s="65">
        <v>34.72165</v>
      </c>
      <c r="AJ469" s="65">
        <v>23.8584</v>
      </c>
      <c r="AK469" s="65">
        <v>0.542200000000001</v>
      </c>
      <c r="AL469" s="65">
        <v>0.580433333333333</v>
      </c>
      <c r="AM469" s="65">
        <v>4.49248333333333</v>
      </c>
      <c r="AN469" s="65"/>
      <c r="AP469" s="65">
        <v>116.901033333333</v>
      </c>
      <c r="AQ469" s="65">
        <v>1.35881666666667</v>
      </c>
      <c r="AR469" s="65">
        <v>5.98768333333334</v>
      </c>
      <c r="AT469" s="65"/>
      <c r="AU469" s="65">
        <v>35.52585</v>
      </c>
      <c r="AV469" s="65">
        <v>1.9386</v>
      </c>
      <c r="AY469" s="65">
        <v>57.4573333333334</v>
      </c>
    </row>
    <row r="470">
      <c r="A470" s="119" t="s">
        <v>28</v>
      </c>
      <c r="B470" s="119" t="s">
        <v>81</v>
      </c>
      <c r="C470" s="119" t="s">
        <v>414</v>
      </c>
      <c r="D470" s="120">
        <f t="shared" si="1"/>
        <v>60.73123333</v>
      </c>
      <c r="E470" s="121"/>
      <c r="F470" s="122">
        <f>HYPERLINK("https://docs.google.com/spreadsheets/d/1WJ66G87iYBKLjKGHCnhNFL4KnSi4lvn9", 0)</f>
        <v>0</v>
      </c>
      <c r="G470" s="122">
        <f>HYPERLINK("https://docs.google.com/spreadsheets/d/1jK1qZor83jGfT8ofJa1oqrd_fflw7iHa", 0)</f>
        <v>0</v>
      </c>
      <c r="H470" s="122">
        <f>HYPERLINK("https://docs.google.com/spreadsheets/d/1gqQ0E9z9tqEF7NoXUTM5RTzhwdEyV9EN", 0)</f>
        <v>0</v>
      </c>
      <c r="I470" s="122">
        <f>HYPERLINK("https://docs.google.com/spreadsheets/d/1PelH4-YJ2jWuUGTaB1rq3DXHvp_sVgr3", 0)</f>
        <v>0</v>
      </c>
      <c r="J470" s="121"/>
      <c r="K470" s="122">
        <f>HYPERLINK("https://docs.google.com/spreadsheets/d/1RY8deqMTGwjNM3og77zdDoqVCGT-gQIQ", 0)</f>
        <v>0</v>
      </c>
      <c r="L470" s="121"/>
      <c r="M470" s="121"/>
      <c r="N470" s="123"/>
      <c r="O470" s="121"/>
      <c r="P470" s="124">
        <f>HYPERLINK("https://docs.google.com/spreadsheets/d/1tutwF66MG9DpNdhMlFJqbeHWqvBfkQ6_", 0)</f>
        <v>0</v>
      </c>
      <c r="Q470" s="119"/>
      <c r="R470" s="119"/>
      <c r="S470" s="124">
        <f>HYPERLINK("https://docs.google.com/spreadsheets/d/11vvfGIc2q6PBI-dCaY-c40idtH43uxj_", 0)</f>
        <v>0</v>
      </c>
      <c r="T470" s="125">
        <f>HYPERLINK("https://docs.google.com/spreadsheets/d/1MzsBAN2_XXhrhxII4CsCgApGRhDTHmEW", 0)</f>
        <v>0</v>
      </c>
      <c r="U470" s="124">
        <f>HYPERLINK("https://docs.google.com/spreadsheets/d/1R0sAf2hG4UTOU7Dp6l2tWFTW_E-0o8cU", 0)</f>
        <v>0</v>
      </c>
      <c r="V470" s="124">
        <f>HYPERLINK("https://docs.google.com/spreadsheets/d/1fIwQbXw1PLu4W_eCEmmLTvQpDbKPS7Wa", 0)</f>
        <v>0</v>
      </c>
      <c r="W470" s="120"/>
      <c r="X470" s="119"/>
      <c r="Y470" s="119"/>
      <c r="Z470" s="124">
        <f>HYPERLINK("https://docs.google.com/spreadsheets/d/1yxCYwUkRSzor4WQIhFtQTocl_ixWNPJd", 0)</f>
        <v>0</v>
      </c>
      <c r="AA470" s="124">
        <f>HYPERLINK("https://docs.google.com/spreadsheets/d/1_bzEofQU-jMaaOQbFt-m2w8CMHw9vQu3", 0)</f>
        <v>0</v>
      </c>
      <c r="AB470" s="124">
        <f>HYPERLINK("https://docs.google.com/spreadsheets/d/12kpWGhkR9UzSdtiPPD9vqrLoXwgTgPJy", 0)</f>
        <v>0</v>
      </c>
      <c r="AC470" s="124">
        <f>HYPERLINK("https://docs.google.com/spreadsheets/d/1U3NHRvnmPPjvaQikGdqokweXra8ILRrj", 0)</f>
        <v>0</v>
      </c>
      <c r="AD470" s="124">
        <f>HYPERLINK("https://docs.google.com/spreadsheets/d/1OYlsO1ZdTSDCArQUKosA3COjBwWxj_QW", 0)</f>
        <v>0</v>
      </c>
      <c r="AE470" s="119"/>
      <c r="AF470" s="119"/>
      <c r="AG470" s="119"/>
      <c r="AH470" s="119"/>
      <c r="AI470" s="125">
        <f>HYPERLINK("https://docs.google.com/spreadsheets/d/19IGPqyCADC1VDf9eA6DUx2rw6L1US5Gs", 0)</f>
        <v>0</v>
      </c>
      <c r="AJ470" s="124">
        <f>HYPERLINK("https://docs.google.com/spreadsheets/d/18sJ7GTw-WMid75tzw2Awtr6VkYMUdAqe", 0)</f>
        <v>0</v>
      </c>
      <c r="AK470" s="124">
        <f>HYPERLINK("https://docs.google.com/spreadsheets/d/1gsPbD7iDBdzJATDnst7nuZCo0i-bdo6M", 0)</f>
        <v>0</v>
      </c>
      <c r="AL470" s="125">
        <f>HYPERLINK("https://docs.google.com/spreadsheets/d/14X8abah4GRq1IsH_Mb6XnK_wMgwNPMDF", 0)</f>
        <v>0</v>
      </c>
      <c r="AM470" s="124">
        <f>HYPERLINK("https://docs.google.com/spreadsheets/d/1jW0FJwPhaQUtZ2B3WFKVIMQsdfEEx5Hx", 0)</f>
        <v>0</v>
      </c>
      <c r="AN470" s="119"/>
      <c r="AO470" s="120"/>
      <c r="AP470" s="124">
        <f>HYPERLINK("https://docs.google.com/spreadsheets/d/1MMhXR2rvcV_Qo-LoMQ0sA8wvakTo4mE5", 0)</f>
        <v>0</v>
      </c>
      <c r="AQ470" s="125">
        <f>HYPERLINK("https://docs.google.com/spreadsheets/d/14WVJ9FJUxjVsxmRMoXKWP6VFvOe7cNGt", 0)</f>
        <v>0</v>
      </c>
      <c r="AR470" s="125">
        <f>HYPERLINK("https://docs.google.com/spreadsheets/d/1XmUULFaQjPzSoPRjzrO06xlvhLwK_rk5", 0)</f>
        <v>0</v>
      </c>
      <c r="AS470" s="120"/>
      <c r="AT470" s="120"/>
      <c r="AU470" s="124">
        <f>HYPERLINK("https://docs.google.com/spreadsheets/d/155xs2PaqnfWq_ZquPiyYUSvsLFmoXJbq", 60.7312333333333)</f>
        <v>60.73123333</v>
      </c>
      <c r="AV470" s="124">
        <f>HYPERLINK("https://docs.google.com/spreadsheets/d/1GVsYIZ04Gaaw6JwarjtZcM2dnPY3wLll", 0)</f>
        <v>0</v>
      </c>
      <c r="AW470" s="120"/>
      <c r="AX470" s="120"/>
      <c r="AY470" s="124">
        <f>HYPERLINK("https://docs.google.com/spreadsheets/d/1QoUlyoi0ZTorLswwAmExit2Thuu6Fu58", 0)</f>
        <v>0</v>
      </c>
      <c r="AZ470" s="120"/>
      <c r="BA470" s="120"/>
      <c r="BB470" s="120"/>
      <c r="BC470" s="120"/>
      <c r="BD470" s="120"/>
      <c r="BE470" s="120"/>
      <c r="BF470" s="120"/>
      <c r="BG470" s="120"/>
      <c r="BH470" s="120"/>
      <c r="BI470" s="120"/>
      <c r="BJ470" s="120"/>
      <c r="BK470" s="120"/>
      <c r="BL470" s="120"/>
      <c r="BM470" s="120"/>
      <c r="BN470" s="120"/>
      <c r="BO470" s="120"/>
      <c r="BP470" s="120"/>
      <c r="BQ470" s="120"/>
      <c r="BR470" s="120"/>
      <c r="BS470" s="120"/>
      <c r="BT470" s="120"/>
      <c r="BU470" s="120"/>
      <c r="BV470" s="120"/>
      <c r="BW470" s="120"/>
      <c r="BX470" s="120"/>
      <c r="BY470" s="120"/>
      <c r="BZ470" s="120"/>
      <c r="CA470" s="120"/>
      <c r="CB470" s="120"/>
      <c r="CC470" s="120"/>
      <c r="CD470" s="120"/>
      <c r="CE470" s="120"/>
      <c r="CF470" s="120"/>
      <c r="CG470" s="120"/>
      <c r="CH470" s="120"/>
      <c r="CI470" s="120"/>
      <c r="CJ470" s="120"/>
      <c r="CK470" s="120"/>
      <c r="CL470" s="120"/>
      <c r="CM470" s="120"/>
      <c r="CN470" s="120"/>
      <c r="CO470" s="120"/>
      <c r="CP470" s="120"/>
      <c r="CQ470" s="120"/>
      <c r="CR470" s="120"/>
      <c r="CS470" s="120"/>
      <c r="CT470" s="120"/>
      <c r="CU470" s="120"/>
      <c r="CV470" s="120"/>
      <c r="CW470" s="120"/>
      <c r="CX470" s="120"/>
      <c r="CY470" s="120"/>
      <c r="CZ470" s="120"/>
      <c r="DA470" s="120"/>
      <c r="DB470" s="120"/>
      <c r="DC470" s="120"/>
      <c r="DD470" s="120"/>
      <c r="DE470" s="120"/>
      <c r="DF470" s="120"/>
      <c r="DG470" s="120"/>
      <c r="DH470" s="120"/>
      <c r="DI470" s="120"/>
      <c r="DJ470" s="120"/>
      <c r="DK470" s="120"/>
      <c r="DL470" s="120"/>
      <c r="DM470" s="120"/>
      <c r="DN470" s="120"/>
      <c r="DO470" s="120"/>
      <c r="DP470" s="120"/>
      <c r="DQ470" s="120"/>
      <c r="DR470" s="120"/>
      <c r="DS470" s="120"/>
      <c r="DT470" s="120"/>
      <c r="DU470" s="120"/>
      <c r="DV470" s="120"/>
      <c r="DW470" s="120"/>
      <c r="DX470" s="120"/>
      <c r="DY470" s="120"/>
      <c r="DZ470" s="120"/>
      <c r="EA470" s="120"/>
      <c r="EB470" s="120"/>
      <c r="EC470" s="120"/>
      <c r="ED470" s="120"/>
      <c r="EE470" s="120"/>
      <c r="EF470" s="120"/>
      <c r="EG470" s="120"/>
      <c r="EH470" s="120"/>
      <c r="EI470" s="120"/>
      <c r="EJ470" s="120"/>
      <c r="EK470" s="120"/>
      <c r="EL470" s="120"/>
      <c r="EM470" s="120"/>
      <c r="EN470" s="120"/>
      <c r="EO470" s="120"/>
      <c r="EP470" s="120"/>
      <c r="EQ470" s="120"/>
      <c r="ER470" s="120"/>
      <c r="ES470" s="120"/>
      <c r="ET470" s="120"/>
      <c r="EU470" s="120"/>
      <c r="EV470" s="120"/>
      <c r="EW470" s="120"/>
      <c r="EX470" s="120"/>
      <c r="EY470" s="120"/>
    </row>
    <row r="471">
      <c r="A471" s="112" t="s">
        <v>28</v>
      </c>
      <c r="B471" s="112" t="s">
        <v>104</v>
      </c>
      <c r="C471" s="112" t="s">
        <v>409</v>
      </c>
      <c r="D471" s="113">
        <f t="shared" si="1"/>
        <v>543.7598833</v>
      </c>
      <c r="E471" s="114">
        <v>71.1868166666667</v>
      </c>
      <c r="F471" s="114"/>
      <c r="G471" s="114"/>
      <c r="H471" s="114"/>
      <c r="I471" s="114"/>
      <c r="J471" s="114"/>
      <c r="K471" s="114"/>
      <c r="L471" s="114">
        <v>1.40671666666667</v>
      </c>
      <c r="M471" s="114"/>
      <c r="N471" s="114"/>
      <c r="O471" s="114">
        <v>23.2853666666667</v>
      </c>
      <c r="P471" s="112"/>
      <c r="Q471" s="112">
        <v>0.494533333333333</v>
      </c>
      <c r="R471" s="112">
        <v>6.20535</v>
      </c>
      <c r="S471" s="112"/>
      <c r="T471" s="112"/>
      <c r="U471" s="112"/>
      <c r="V471" s="112"/>
      <c r="W471" s="112"/>
      <c r="X471" s="112">
        <v>0.372383333333333</v>
      </c>
      <c r="Y471" s="112">
        <v>57.14815</v>
      </c>
      <c r="Z471" s="112"/>
      <c r="AA471" s="113"/>
      <c r="AB471" s="112"/>
      <c r="AC471" s="112"/>
      <c r="AD471" s="112"/>
      <c r="AE471" s="112">
        <v>0.839116666666667</v>
      </c>
      <c r="AF471" s="112"/>
      <c r="AG471" s="112"/>
      <c r="AH471" s="112">
        <v>82.1625666666666</v>
      </c>
      <c r="AI471" s="112"/>
      <c r="AJ471" s="112"/>
      <c r="AK471" s="112"/>
      <c r="AL471" s="113"/>
      <c r="AM471" s="112"/>
      <c r="AN471" s="112">
        <v>2.84556666666667</v>
      </c>
      <c r="AO471" s="112">
        <v>125.452016666667</v>
      </c>
      <c r="AP471" s="112"/>
      <c r="AQ471" s="113"/>
      <c r="AR471" s="112"/>
      <c r="AS471" s="112">
        <v>7.86441666666666</v>
      </c>
      <c r="AT471" s="112">
        <v>93.9698999999999</v>
      </c>
      <c r="AU471" s="112"/>
      <c r="AV471" s="112"/>
      <c r="AW471" s="112">
        <v>4.98638333333334</v>
      </c>
      <c r="AX471" s="112">
        <v>59.6592166666667</v>
      </c>
      <c r="AY471" s="113"/>
      <c r="AZ471" s="112">
        <v>4.52071666666667</v>
      </c>
      <c r="BA471" s="112">
        <v>1.36066666666667</v>
      </c>
      <c r="BB471" s="113"/>
      <c r="BC471" s="113"/>
      <c r="BD471" s="113"/>
      <c r="BE471" s="113"/>
      <c r="BF471" s="113"/>
      <c r="BG471" s="113"/>
      <c r="BH471" s="113"/>
      <c r="BI471" s="113"/>
      <c r="BJ471" s="113"/>
      <c r="BK471" s="113"/>
      <c r="BL471" s="113"/>
      <c r="BM471" s="113"/>
      <c r="BN471" s="113"/>
      <c r="BO471" s="113"/>
      <c r="BP471" s="113"/>
      <c r="BQ471" s="113"/>
      <c r="BR471" s="113"/>
      <c r="BS471" s="113"/>
      <c r="BT471" s="113"/>
      <c r="BU471" s="113"/>
      <c r="BV471" s="113"/>
      <c r="BW471" s="113"/>
      <c r="BX471" s="113"/>
      <c r="BY471" s="113"/>
      <c r="BZ471" s="113"/>
      <c r="CA471" s="113"/>
      <c r="CB471" s="113"/>
      <c r="CC471" s="113"/>
      <c r="CD471" s="113"/>
      <c r="CE471" s="113"/>
      <c r="CF471" s="113"/>
      <c r="CG471" s="113"/>
      <c r="CH471" s="113"/>
      <c r="CI471" s="113"/>
      <c r="CJ471" s="113"/>
      <c r="CK471" s="113"/>
      <c r="CL471" s="113"/>
      <c r="CM471" s="113"/>
      <c r="CN471" s="113"/>
      <c r="CO471" s="113"/>
      <c r="CP471" s="113"/>
      <c r="CQ471" s="113"/>
      <c r="CR471" s="113"/>
      <c r="CS471" s="113"/>
      <c r="CT471" s="113"/>
      <c r="CU471" s="113"/>
      <c r="CV471" s="113"/>
      <c r="CW471" s="113"/>
      <c r="CX471" s="113"/>
      <c r="CY471" s="113"/>
      <c r="CZ471" s="113"/>
      <c r="DA471" s="113"/>
      <c r="DB471" s="113"/>
      <c r="DC471" s="113"/>
      <c r="DD471" s="113"/>
      <c r="DE471" s="113"/>
      <c r="DF471" s="113"/>
      <c r="DG471" s="113"/>
      <c r="DH471" s="113"/>
      <c r="DI471" s="113"/>
      <c r="DJ471" s="113"/>
      <c r="DK471" s="113"/>
      <c r="DL471" s="113"/>
      <c r="DM471" s="113"/>
      <c r="DN471" s="113"/>
      <c r="DO471" s="113"/>
      <c r="DP471" s="113"/>
      <c r="DQ471" s="113"/>
      <c r="DR471" s="113"/>
      <c r="DS471" s="113"/>
      <c r="DT471" s="113"/>
      <c r="DU471" s="113"/>
      <c r="DV471" s="113"/>
      <c r="DW471" s="113"/>
      <c r="DX471" s="113"/>
      <c r="DY471" s="113"/>
      <c r="DZ471" s="113"/>
      <c r="EA471" s="113"/>
      <c r="EB471" s="113"/>
      <c r="EC471" s="113"/>
      <c r="ED471" s="113"/>
      <c r="EE471" s="113"/>
      <c r="EF471" s="113"/>
      <c r="EG471" s="113"/>
      <c r="EH471" s="113"/>
      <c r="EI471" s="113"/>
      <c r="EJ471" s="113"/>
      <c r="EK471" s="113"/>
      <c r="EL471" s="113"/>
      <c r="EM471" s="113"/>
      <c r="EN471" s="113"/>
      <c r="EO471" s="113"/>
      <c r="EP471" s="113"/>
      <c r="EQ471" s="113"/>
      <c r="ER471" s="113"/>
      <c r="ES471" s="113"/>
      <c r="ET471" s="113"/>
      <c r="EU471" s="113"/>
      <c r="EV471" s="113"/>
      <c r="EW471" s="113"/>
      <c r="EX471" s="113"/>
      <c r="EY471" s="113"/>
    </row>
    <row r="472">
      <c r="A472" s="65" t="s">
        <v>28</v>
      </c>
      <c r="B472" s="65" t="s">
        <v>104</v>
      </c>
      <c r="C472" s="65" t="s">
        <v>410</v>
      </c>
      <c r="D472" s="64">
        <f t="shared" si="1"/>
        <v>561.9397333</v>
      </c>
      <c r="E472" s="104"/>
      <c r="F472" s="104">
        <v>38.56025</v>
      </c>
      <c r="G472" s="104">
        <v>21.1626333333333</v>
      </c>
      <c r="H472" s="104">
        <v>4.10451666666667</v>
      </c>
      <c r="I472" s="104">
        <v>1.45326666666667</v>
      </c>
      <c r="J472" s="104"/>
      <c r="K472" s="104">
        <v>0.580016666666667</v>
      </c>
      <c r="L472" s="104"/>
      <c r="M472" s="104">
        <v>38.56025</v>
      </c>
      <c r="N472" s="104">
        <v>21.1626333333333</v>
      </c>
      <c r="O472" s="104"/>
      <c r="P472" s="65">
        <v>20.8318666666667</v>
      </c>
      <c r="Q472" s="65"/>
      <c r="R472" s="65"/>
      <c r="S472" s="65">
        <v>4.7737</v>
      </c>
      <c r="T472" s="65">
        <v>0.478316666666667</v>
      </c>
      <c r="U472" s="65">
        <v>0.75265</v>
      </c>
      <c r="V472" s="65"/>
      <c r="W472" s="65"/>
      <c r="X472" s="65"/>
      <c r="Y472" s="65"/>
      <c r="Z472" s="65">
        <v>38.9802333333333</v>
      </c>
      <c r="AA472" s="65">
        <v>5.81071666666667</v>
      </c>
      <c r="AB472" s="65">
        <v>1.83203333333333</v>
      </c>
      <c r="AC472" s="65">
        <v>0.0999666666666667</v>
      </c>
      <c r="AD472" s="65">
        <v>7.82738333333333</v>
      </c>
      <c r="AE472" s="65"/>
      <c r="AF472" s="65">
        <v>38.9802333333333</v>
      </c>
      <c r="AG472" s="65">
        <v>5.81071666666667</v>
      </c>
      <c r="AH472" s="65"/>
      <c r="AI472" s="65">
        <v>56.3065166666667</v>
      </c>
      <c r="AJ472" s="65">
        <v>9.87278333333333</v>
      </c>
      <c r="AK472" s="65">
        <v>2.30315</v>
      </c>
      <c r="AL472" s="65">
        <v>0.675566666666667</v>
      </c>
      <c r="AM472" s="65">
        <v>11.4486333333333</v>
      </c>
      <c r="AN472" s="65"/>
      <c r="AP472" s="65">
        <v>93.8387833333333</v>
      </c>
      <c r="AQ472" s="65">
        <v>1.3399</v>
      </c>
      <c r="AR472" s="65">
        <v>5.4742</v>
      </c>
      <c r="AT472" s="65"/>
      <c r="AU472" s="65">
        <v>64.6719666666667</v>
      </c>
      <c r="AV472" s="65">
        <v>4.9906</v>
      </c>
      <c r="AY472" s="65">
        <v>59.25625</v>
      </c>
    </row>
    <row r="473">
      <c r="A473" s="65" t="s">
        <v>28</v>
      </c>
      <c r="B473" s="65" t="s">
        <v>104</v>
      </c>
      <c r="C473" s="65" t="s">
        <v>411</v>
      </c>
      <c r="D473" s="64">
        <f t="shared" si="1"/>
        <v>0</v>
      </c>
      <c r="E473" s="115"/>
      <c r="F473" s="115"/>
      <c r="G473" s="115"/>
      <c r="H473" s="115"/>
      <c r="I473" s="115"/>
      <c r="J473" s="115"/>
      <c r="K473" s="115"/>
      <c r="L473" s="115"/>
      <c r="M473" s="115"/>
      <c r="N473" s="115"/>
      <c r="O473" s="115"/>
    </row>
    <row r="474">
      <c r="A474" s="65" t="s">
        <v>28</v>
      </c>
      <c r="B474" s="65" t="s">
        <v>104</v>
      </c>
      <c r="C474" s="65" t="s">
        <v>412</v>
      </c>
      <c r="D474" s="64">
        <f t="shared" si="1"/>
        <v>455.4819</v>
      </c>
      <c r="E474" s="115"/>
      <c r="F474" s="117">
        <f>HYPERLINK("https://docs.google.com/spreadsheets/d/1E0iNu7BPkaA4lFBH9JdL42suZloWuGLv", 38.4021666666667)</f>
        <v>38.40216667</v>
      </c>
      <c r="G474" s="116">
        <f>HYPERLINK("https://docs.google.com/spreadsheets/d/1LkaF-8Iw0R1c58EvN9pSLNqTefxCN97O", 21.1266166666667)</f>
        <v>21.12661667</v>
      </c>
      <c r="H474" s="116">
        <f>HYPERLINK("https://docs.google.com/spreadsheets/d/1d1iNi1nvdAMEjWyrMm6EXplFFfVkGg4D", 4.10453333333333)</f>
        <v>4.104533333</v>
      </c>
      <c r="I474" s="117">
        <f>HYPERLINK("https://docs.google.com/spreadsheets/d/1SpkmO6JVt741LLdLTS98uXuNnuq9-I2r", 1.45326666666667)</f>
        <v>1.453266667</v>
      </c>
      <c r="J474" s="115"/>
      <c r="K474" s="117">
        <f>HYPERLINK("https://docs.google.com/spreadsheets/d/17Cje3VQdXmiviZnHdCNQqQ_ZwTLVqqW8", 0.580016666666667)</f>
        <v>0.5800166667</v>
      </c>
      <c r="L474" s="115"/>
      <c r="M474" s="104"/>
      <c r="N474" s="115"/>
      <c r="O474" s="104"/>
      <c r="P474" s="118">
        <f>HYPERLINK("https://docs.google.com/spreadsheets/d/1-4BFD8-aaU1uvAL2GTzRp0fw21PosDI3", 20.7772833333333)</f>
        <v>20.77728333</v>
      </c>
      <c r="S474" s="118">
        <f>HYPERLINK("https://docs.google.com/spreadsheets/d/1N4-eaP05E6iKzWtBg56fAGnveV8RK1Z6", 4.42748333333333)</f>
        <v>4.427483333</v>
      </c>
      <c r="T474" s="118">
        <f>HYPERLINK("https://docs.google.com/spreadsheets/d/1VxDvaqfvks-0Px3Us0RK_db7LxtqmdjH", 0.478316666666667)</f>
        <v>0.4783166667</v>
      </c>
      <c r="U474" s="118">
        <f>HYPERLINK("https://docs.google.com/spreadsheets/d/1MP6eWp704rVBAgZQDY53zBUPZGn4c0Br", 0)</f>
        <v>0</v>
      </c>
      <c r="Z474" s="118">
        <f>HYPERLINK("https://docs.google.com/spreadsheets/d/1OAM3XSCZ4IOyG6u6Or0VFtpc7EfvIUj5", 38.8424)</f>
        <v>38.8424</v>
      </c>
      <c r="AA474" s="118">
        <f>HYPERLINK("https://docs.google.com/spreadsheets/d/1kXfpGt5aHcxtqoDRUNNpPBLyXBBCHQ2_", 5.8107)</f>
        <v>5.8107</v>
      </c>
      <c r="AB474" s="118">
        <f>HYPERLINK("https://docs.google.com/spreadsheets/d/1o6shJCF9Te_wF4KJ0De8Bfzv61fSxKgp", 1.83203333333333)</f>
        <v>1.832033333</v>
      </c>
      <c r="AC474" s="118">
        <f>HYPERLINK("https://docs.google.com/spreadsheets/d/1w8Wppkzdwo55HB6Y7N-Eg6GxtB85qOD0", 0.0999666666666667)</f>
        <v>0.09996666667</v>
      </c>
      <c r="AD474" s="118">
        <f>HYPERLINK("https://docs.google.com/spreadsheets/d/1PUtwLcciFqcO32_HpAu1nBAMBCVGrt1t", 7.82736666666666)</f>
        <v>7.827366667</v>
      </c>
      <c r="AI474" s="118">
        <f>HYPERLINK("https://docs.google.com/spreadsheets/d/1QUzgGrXhyKwYkphBm1K7f4Cn-ecqdG17", 56.1632666666667)</f>
        <v>56.16326667</v>
      </c>
      <c r="AJ474" s="118">
        <f>HYPERLINK("https://docs.google.com/spreadsheets/d/1JbGUl_b2XP388nxBBtI4oBCGFj1R6QZ_", 9.87276666666667)</f>
        <v>9.872766667</v>
      </c>
      <c r="AK474" s="118">
        <f>HYPERLINK("https://docs.google.com/spreadsheets/d/1FvOEp_ccouSAiLew9qVjPX9uj3w3DriV", 2.30315)</f>
        <v>2.30315</v>
      </c>
      <c r="AL474" s="118">
        <f>HYPERLINK("https://docs.google.com/spreadsheets/d/1F7dj4zAwBSkqVizgrbw2Xvco7NSOer3y", 0.675566666666667)</f>
        <v>0.6755666667</v>
      </c>
      <c r="AM474" s="118">
        <f>HYPERLINK("https://docs.google.com/spreadsheets/d/1JNrCYWWYzjmrijLltvhYtkwXci7WfdvW", 11.4486333333333)</f>
        <v>11.44863333</v>
      </c>
      <c r="AP474" s="118">
        <f>HYPERLINK("https://docs.google.com/spreadsheets/d/1Qc5dTYQjwwfvHN5m1rxWYcWdFrdLlzu4", 93.83875)</f>
        <v>93.83875</v>
      </c>
      <c r="AQ474" s="118">
        <f>HYPERLINK("https://docs.google.com/spreadsheets/d/1041zgUGW5XUY9xXTRqq2ABzDG-UcZf76", 1.3399)</f>
        <v>1.3399</v>
      </c>
      <c r="AR474" s="118">
        <f>HYPERLINK("https://docs.google.com/spreadsheets/d/1y47d-BYOHS-qLmUpLlw3mKyJUyHVWJPG", 5.3075)</f>
        <v>5.3075</v>
      </c>
      <c r="AU474" s="118">
        <f>HYPERLINK("https://docs.google.com/spreadsheets/d/1Rrpo6IQDBKCvM4I0p_EeCm_AGGjo56b5", 64.5233833333333)</f>
        <v>64.52338333</v>
      </c>
      <c r="AV474" s="118">
        <f>HYPERLINK("https://docs.google.com/spreadsheets/d/1XO32OgR3PUdAU1euRmEsBgi-cLtCDoft", 4.9906)</f>
        <v>4.9906</v>
      </c>
      <c r="AY474" s="118">
        <f>HYPERLINK("https://docs.google.com/spreadsheets/d/11FrczjFVCSeWztlWbarvugxLxm0q-1Bi", 59.2562333333333)</f>
        <v>59.25623333</v>
      </c>
    </row>
    <row r="475">
      <c r="A475" s="65" t="s">
        <v>28</v>
      </c>
      <c r="B475" s="65" t="s">
        <v>104</v>
      </c>
      <c r="C475" s="65" t="s">
        <v>413</v>
      </c>
      <c r="D475" s="64">
        <f t="shared" si="1"/>
        <v>355.5893667</v>
      </c>
      <c r="E475" s="115"/>
      <c r="F475" s="104">
        <v>21.29285</v>
      </c>
      <c r="G475" s="104">
        <v>8.82055</v>
      </c>
      <c r="H475" s="104">
        <v>1.59618333333333</v>
      </c>
      <c r="I475" s="104">
        <v>0.328533333333334</v>
      </c>
      <c r="J475" s="104"/>
      <c r="K475" s="104">
        <v>0.580016666666667</v>
      </c>
      <c r="L475" s="104"/>
      <c r="M475" s="104"/>
      <c r="N475" s="104"/>
      <c r="O475" s="104"/>
      <c r="P475" s="65">
        <v>18.2733333333333</v>
      </c>
      <c r="Q475" s="65"/>
      <c r="R475" s="65"/>
      <c r="S475" s="65">
        <v>2.71961666666667</v>
      </c>
      <c r="T475" s="65">
        <v>0.478316666666667</v>
      </c>
      <c r="U475" s="65">
        <v>0.0</v>
      </c>
      <c r="V475" s="65"/>
      <c r="W475" s="65"/>
      <c r="X475" s="65"/>
      <c r="Y475" s="65"/>
      <c r="Z475" s="65">
        <v>22.5168</v>
      </c>
      <c r="AA475" s="65">
        <v>3.60623333333333</v>
      </c>
      <c r="AB475" s="65">
        <v>0.4568</v>
      </c>
      <c r="AC475" s="65">
        <v>0.0</v>
      </c>
      <c r="AD475" s="65">
        <v>3.10136666666666</v>
      </c>
      <c r="AE475" s="65"/>
      <c r="AF475" s="65"/>
      <c r="AG475" s="65"/>
      <c r="AH475" s="65"/>
      <c r="AI475" s="65">
        <v>51.7887666666667</v>
      </c>
      <c r="AJ475" s="65">
        <v>9.87276666666667</v>
      </c>
      <c r="AK475" s="65">
        <v>0.856216666666667</v>
      </c>
      <c r="AL475" s="65">
        <v>0.181233333333333</v>
      </c>
      <c r="AM475" s="65">
        <v>11.4486333333333</v>
      </c>
      <c r="AN475" s="65"/>
      <c r="AP475" s="65">
        <v>93.83875</v>
      </c>
      <c r="AQ475" s="65">
        <v>-2.22044604925031E-16</v>
      </c>
      <c r="AR475" s="65">
        <v>5.3075</v>
      </c>
      <c r="AT475" s="65"/>
      <c r="AU475" s="65">
        <v>37.8403333333333</v>
      </c>
      <c r="AV475" s="65">
        <v>1.42833333333333</v>
      </c>
      <c r="AY475" s="65">
        <v>59.2562333333333</v>
      </c>
    </row>
    <row r="476">
      <c r="A476" s="119" t="s">
        <v>28</v>
      </c>
      <c r="B476" s="119" t="s">
        <v>104</v>
      </c>
      <c r="C476" s="119" t="s">
        <v>414</v>
      </c>
      <c r="D476" s="120">
        <f t="shared" si="1"/>
        <v>64.52338333</v>
      </c>
      <c r="E476" s="121"/>
      <c r="F476" s="122">
        <f>HYPERLINK("https://docs.google.com/spreadsheets/d/1E0iNu7BPkaA4lFBH9JdL42suZloWuGLv", 0)</f>
        <v>0</v>
      </c>
      <c r="G476" s="122">
        <f>HYPERLINK("https://docs.google.com/spreadsheets/d/1LkaF-8Iw0R1c58EvN9pSLNqTefxCN97O", 0)</f>
        <v>0</v>
      </c>
      <c r="H476" s="122">
        <f>HYPERLINK("https://docs.google.com/spreadsheets/d/1d1iNi1nvdAMEjWyrMm6EXplFFfVkGg4D", 0)</f>
        <v>0</v>
      </c>
      <c r="I476" s="122">
        <f>HYPERLINK("https://docs.google.com/spreadsheets/d/1SpkmO6JVt741LLdLTS98uXuNnuq9-I2r", 0)</f>
        <v>0</v>
      </c>
      <c r="J476" s="121"/>
      <c r="K476" s="122">
        <f>HYPERLINK("https://docs.google.com/spreadsheets/d/17Cje3VQdXmiviZnHdCNQqQ_ZwTLVqqW8", 0)</f>
        <v>0</v>
      </c>
      <c r="L476" s="121"/>
      <c r="M476" s="121"/>
      <c r="N476" s="123"/>
      <c r="O476" s="121"/>
      <c r="P476" s="124">
        <f>HYPERLINK("https://docs.google.com/spreadsheets/d/1-4BFD8-aaU1uvAL2GTzRp0fw21PosDI3", 0)</f>
        <v>0</v>
      </c>
      <c r="Q476" s="119"/>
      <c r="R476" s="119"/>
      <c r="S476" s="124">
        <f>HYPERLINK("https://docs.google.com/spreadsheets/d/1N4-eaP05E6iKzWtBg56fAGnveV8RK1Z6", 0)</f>
        <v>0</v>
      </c>
      <c r="T476" s="124">
        <f>HYPERLINK("https://docs.google.com/spreadsheets/d/1VxDvaqfvks-0Px3Us0RK_db7LxtqmdjH", 0)</f>
        <v>0</v>
      </c>
      <c r="U476" s="124">
        <f>HYPERLINK("https://docs.google.com/spreadsheets/d/1MP6eWp704rVBAgZQDY53zBUPZGn4c0Br", 0)</f>
        <v>0</v>
      </c>
      <c r="V476" s="120"/>
      <c r="W476" s="120"/>
      <c r="X476" s="119"/>
      <c r="Y476" s="119"/>
      <c r="Z476" s="125">
        <f>HYPERLINK("https://docs.google.com/spreadsheets/d/1OAM3XSCZ4IOyG6u6Or0VFtpc7EfvIUj5", 0)</f>
        <v>0</v>
      </c>
      <c r="AA476" s="124">
        <f>HYPERLINK("https://docs.google.com/spreadsheets/d/1kXfpGt5aHcxtqoDRUNNpPBLyXBBCHQ2_", 0)</f>
        <v>0</v>
      </c>
      <c r="AB476" s="124">
        <f>HYPERLINK("https://docs.google.com/spreadsheets/d/1o6shJCF9Te_wF4KJ0De8Bfzv61fSxKgp", 0)</f>
        <v>0</v>
      </c>
      <c r="AC476" s="124">
        <f>HYPERLINK("https://docs.google.com/spreadsheets/d/1w8Wppkzdwo55HB6Y7N-Eg6GxtB85qOD0", 0)</f>
        <v>0</v>
      </c>
      <c r="AD476" s="124">
        <f>HYPERLINK("https://docs.google.com/spreadsheets/d/1PUtwLcciFqcO32_HpAu1nBAMBCVGrt1t", 0)</f>
        <v>0</v>
      </c>
      <c r="AE476" s="119"/>
      <c r="AF476" s="119"/>
      <c r="AG476" s="119"/>
      <c r="AH476" s="119"/>
      <c r="AI476" s="125">
        <f>HYPERLINK("https://docs.google.com/spreadsheets/d/1QUzgGrXhyKwYkphBm1K7f4Cn-ecqdG17", 0)</f>
        <v>0</v>
      </c>
      <c r="AJ476" s="124">
        <f>HYPERLINK("https://docs.google.com/spreadsheets/d/1JbGUl_b2XP388nxBBtI4oBCGFj1R6QZ_", 0)</f>
        <v>0</v>
      </c>
      <c r="AK476" s="124">
        <f>HYPERLINK("https://docs.google.com/spreadsheets/d/1FvOEp_ccouSAiLew9qVjPX9uj3w3DriV", 0)</f>
        <v>0</v>
      </c>
      <c r="AL476" s="125">
        <f>HYPERLINK("https://docs.google.com/spreadsheets/d/1F7dj4zAwBSkqVizgrbw2Xvco7NSOer3y", 0)</f>
        <v>0</v>
      </c>
      <c r="AM476" s="124">
        <f>HYPERLINK("https://docs.google.com/spreadsheets/d/1JNrCYWWYzjmrijLltvhYtkwXci7WfdvW", 0)</f>
        <v>0</v>
      </c>
      <c r="AN476" s="119"/>
      <c r="AO476" s="120"/>
      <c r="AP476" s="124">
        <f>HYPERLINK("https://docs.google.com/spreadsheets/d/1Qc5dTYQjwwfvHN5m1rxWYcWdFrdLlzu4", 0)</f>
        <v>0</v>
      </c>
      <c r="AQ476" s="125">
        <f>HYPERLINK("https://docs.google.com/spreadsheets/d/1041zgUGW5XUY9xXTRqq2ABzDG-UcZf76", 0)</f>
        <v>0</v>
      </c>
      <c r="AR476" s="125">
        <f>HYPERLINK("https://docs.google.com/spreadsheets/d/1y47d-BYOHS-qLmUpLlw3mKyJUyHVWJPG", 0)</f>
        <v>0</v>
      </c>
      <c r="AS476" s="120"/>
      <c r="AT476" s="120"/>
      <c r="AU476" s="124">
        <f>HYPERLINK("https://docs.google.com/spreadsheets/d/1Rrpo6IQDBKCvM4I0p_EeCm_AGGjo56b5", 64.5233833333333)</f>
        <v>64.52338333</v>
      </c>
      <c r="AV476" s="124">
        <f>HYPERLINK("https://docs.google.com/spreadsheets/d/1XO32OgR3PUdAU1euRmEsBgi-cLtCDoft", 0)</f>
        <v>0</v>
      </c>
      <c r="AW476" s="120"/>
      <c r="AX476" s="120"/>
      <c r="AY476" s="124">
        <f>HYPERLINK("https://docs.google.com/spreadsheets/d/11FrczjFVCSeWztlWbarvugxLxm0q-1Bi", 0)</f>
        <v>0</v>
      </c>
      <c r="AZ476" s="120"/>
      <c r="BA476" s="120"/>
      <c r="BB476" s="120"/>
      <c r="BC476" s="120"/>
      <c r="BD476" s="120"/>
      <c r="BE476" s="120"/>
      <c r="BF476" s="120"/>
      <c r="BG476" s="120"/>
      <c r="BH476" s="120"/>
      <c r="BI476" s="120"/>
      <c r="BJ476" s="120"/>
      <c r="BK476" s="120"/>
      <c r="BL476" s="120"/>
      <c r="BM476" s="120"/>
      <c r="BN476" s="120"/>
      <c r="BO476" s="120"/>
      <c r="BP476" s="120"/>
      <c r="BQ476" s="120"/>
      <c r="BR476" s="120"/>
      <c r="BS476" s="120"/>
      <c r="BT476" s="120"/>
      <c r="BU476" s="120"/>
      <c r="BV476" s="120"/>
      <c r="BW476" s="120"/>
      <c r="BX476" s="120"/>
      <c r="BY476" s="120"/>
      <c r="BZ476" s="120"/>
      <c r="CA476" s="120"/>
      <c r="CB476" s="120"/>
      <c r="CC476" s="120"/>
      <c r="CD476" s="120"/>
      <c r="CE476" s="120"/>
      <c r="CF476" s="120"/>
      <c r="CG476" s="120"/>
      <c r="CH476" s="120"/>
      <c r="CI476" s="120"/>
      <c r="CJ476" s="120"/>
      <c r="CK476" s="120"/>
      <c r="CL476" s="120"/>
      <c r="CM476" s="120"/>
      <c r="CN476" s="120"/>
      <c r="CO476" s="120"/>
      <c r="CP476" s="120"/>
      <c r="CQ476" s="120"/>
      <c r="CR476" s="120"/>
      <c r="CS476" s="120"/>
      <c r="CT476" s="120"/>
      <c r="CU476" s="120"/>
      <c r="CV476" s="120"/>
      <c r="CW476" s="120"/>
      <c r="CX476" s="120"/>
      <c r="CY476" s="120"/>
      <c r="CZ476" s="120"/>
      <c r="DA476" s="120"/>
      <c r="DB476" s="120"/>
      <c r="DC476" s="120"/>
      <c r="DD476" s="120"/>
      <c r="DE476" s="120"/>
      <c r="DF476" s="120"/>
      <c r="DG476" s="120"/>
      <c r="DH476" s="120"/>
      <c r="DI476" s="120"/>
      <c r="DJ476" s="120"/>
      <c r="DK476" s="120"/>
      <c r="DL476" s="120"/>
      <c r="DM476" s="120"/>
      <c r="DN476" s="120"/>
      <c r="DO476" s="120"/>
      <c r="DP476" s="120"/>
      <c r="DQ476" s="120"/>
      <c r="DR476" s="120"/>
      <c r="DS476" s="120"/>
      <c r="DT476" s="120"/>
      <c r="DU476" s="120"/>
      <c r="DV476" s="120"/>
      <c r="DW476" s="120"/>
      <c r="DX476" s="120"/>
      <c r="DY476" s="120"/>
      <c r="DZ476" s="120"/>
      <c r="EA476" s="120"/>
      <c r="EB476" s="120"/>
      <c r="EC476" s="120"/>
      <c r="ED476" s="120"/>
      <c r="EE476" s="120"/>
      <c r="EF476" s="120"/>
      <c r="EG476" s="120"/>
      <c r="EH476" s="120"/>
      <c r="EI476" s="120"/>
      <c r="EJ476" s="120"/>
      <c r="EK476" s="120"/>
      <c r="EL476" s="120"/>
      <c r="EM476" s="120"/>
      <c r="EN476" s="120"/>
      <c r="EO476" s="120"/>
      <c r="EP476" s="120"/>
      <c r="EQ476" s="120"/>
      <c r="ER476" s="120"/>
      <c r="ES476" s="120"/>
      <c r="ET476" s="120"/>
      <c r="EU476" s="120"/>
      <c r="EV476" s="120"/>
      <c r="EW476" s="120"/>
      <c r="EX476" s="120"/>
      <c r="EY476" s="120"/>
    </row>
    <row r="477">
      <c r="A477" s="112" t="s">
        <v>28</v>
      </c>
      <c r="B477" s="112" t="s">
        <v>105</v>
      </c>
      <c r="C477" s="112" t="s">
        <v>409</v>
      </c>
      <c r="D477" s="113">
        <f t="shared" si="1"/>
        <v>584.5188167</v>
      </c>
      <c r="E477" s="114">
        <v>51.3529</v>
      </c>
      <c r="F477" s="114"/>
      <c r="G477" s="114"/>
      <c r="H477" s="114"/>
      <c r="I477" s="114"/>
      <c r="J477" s="114"/>
      <c r="K477" s="114"/>
      <c r="L477" s="114">
        <v>0.735816666666667</v>
      </c>
      <c r="M477" s="114"/>
      <c r="N477" s="114"/>
      <c r="O477" s="114">
        <v>13.7791166666667</v>
      </c>
      <c r="P477" s="112"/>
      <c r="Q477" s="112"/>
      <c r="R477" s="112">
        <v>0.66615</v>
      </c>
      <c r="S477" s="112"/>
      <c r="T477" s="112"/>
      <c r="U477" s="113"/>
      <c r="V477" s="112"/>
      <c r="W477" s="112"/>
      <c r="X477" s="113"/>
      <c r="Y477" s="112">
        <v>70.1677166666666</v>
      </c>
      <c r="Z477" s="112"/>
      <c r="AA477" s="113"/>
      <c r="AB477" s="112"/>
      <c r="AC477" s="112"/>
      <c r="AD477" s="112"/>
      <c r="AE477" s="112">
        <v>0.179066666666667</v>
      </c>
      <c r="AF477" s="112"/>
      <c r="AG477" s="112"/>
      <c r="AH477" s="112">
        <v>104.471966666667</v>
      </c>
      <c r="AI477" s="112"/>
      <c r="AJ477" s="112"/>
      <c r="AK477" s="112"/>
      <c r="AL477" s="113"/>
      <c r="AM477" s="112"/>
      <c r="AN477" s="112">
        <v>1.411</v>
      </c>
      <c r="AO477" s="112">
        <v>130.723433333333</v>
      </c>
      <c r="AP477" s="112"/>
      <c r="AQ477" s="113"/>
      <c r="AR477" s="112"/>
      <c r="AS477" s="112">
        <v>4.90965</v>
      </c>
      <c r="AT477" s="112">
        <v>120.152716666667</v>
      </c>
      <c r="AU477" s="112"/>
      <c r="AV477" s="112"/>
      <c r="AW477" s="112">
        <v>5.40293333333333</v>
      </c>
      <c r="AX477" s="112">
        <v>72.4582333333334</v>
      </c>
      <c r="AY477" s="113"/>
      <c r="AZ477" s="112">
        <v>6.88753333333333</v>
      </c>
      <c r="BA477" s="112">
        <v>1.22058333333333</v>
      </c>
      <c r="BB477" s="113"/>
      <c r="BC477" s="113"/>
      <c r="BD477" s="113"/>
      <c r="BE477" s="113"/>
      <c r="BF477" s="113"/>
      <c r="BG477" s="113"/>
      <c r="BH477" s="113"/>
      <c r="BI477" s="113"/>
      <c r="BJ477" s="113"/>
      <c r="BK477" s="113"/>
      <c r="BL477" s="113"/>
      <c r="BM477" s="113"/>
      <c r="BN477" s="113"/>
      <c r="BO477" s="113"/>
      <c r="BP477" s="113"/>
      <c r="BQ477" s="113"/>
      <c r="BR477" s="113"/>
      <c r="BS477" s="113"/>
      <c r="BT477" s="113"/>
      <c r="BU477" s="113"/>
      <c r="BV477" s="113"/>
      <c r="BW477" s="113"/>
      <c r="BX477" s="113"/>
      <c r="BY477" s="113"/>
      <c r="BZ477" s="113"/>
      <c r="CA477" s="113"/>
      <c r="CB477" s="113"/>
      <c r="CC477" s="113"/>
      <c r="CD477" s="113"/>
      <c r="CE477" s="113"/>
      <c r="CF477" s="113"/>
      <c r="CG477" s="113"/>
      <c r="CH477" s="113"/>
      <c r="CI477" s="113"/>
      <c r="CJ477" s="113"/>
      <c r="CK477" s="113"/>
      <c r="CL477" s="113"/>
      <c r="CM477" s="113"/>
      <c r="CN477" s="113"/>
      <c r="CO477" s="113"/>
      <c r="CP477" s="113"/>
      <c r="CQ477" s="113"/>
      <c r="CR477" s="113"/>
      <c r="CS477" s="113"/>
      <c r="CT477" s="113"/>
      <c r="CU477" s="113"/>
      <c r="CV477" s="113"/>
      <c r="CW477" s="113"/>
      <c r="CX477" s="113"/>
      <c r="CY477" s="113"/>
      <c r="CZ477" s="113"/>
      <c r="DA477" s="113"/>
      <c r="DB477" s="113"/>
      <c r="DC477" s="113"/>
      <c r="DD477" s="113"/>
      <c r="DE477" s="113"/>
      <c r="DF477" s="113"/>
      <c r="DG477" s="113"/>
      <c r="DH477" s="113"/>
      <c r="DI477" s="113"/>
      <c r="DJ477" s="113"/>
      <c r="DK477" s="113"/>
      <c r="DL477" s="113"/>
      <c r="DM477" s="113"/>
      <c r="DN477" s="113"/>
      <c r="DO477" s="113"/>
      <c r="DP477" s="113"/>
      <c r="DQ477" s="113"/>
      <c r="DR477" s="113"/>
      <c r="DS477" s="113"/>
      <c r="DT477" s="113"/>
      <c r="DU477" s="113"/>
      <c r="DV477" s="113"/>
      <c r="DW477" s="113"/>
      <c r="DX477" s="113"/>
      <c r="DY477" s="113"/>
      <c r="DZ477" s="113"/>
      <c r="EA477" s="113"/>
      <c r="EB477" s="113"/>
      <c r="EC477" s="113"/>
      <c r="ED477" s="113"/>
      <c r="EE477" s="113"/>
      <c r="EF477" s="113"/>
      <c r="EG477" s="113"/>
      <c r="EH477" s="113"/>
      <c r="EI477" s="113"/>
      <c r="EJ477" s="113"/>
      <c r="EK477" s="113"/>
      <c r="EL477" s="113"/>
      <c r="EM477" s="113"/>
      <c r="EN477" s="113"/>
      <c r="EO477" s="113"/>
      <c r="EP477" s="113"/>
      <c r="EQ477" s="113"/>
      <c r="ER477" s="113"/>
      <c r="ES477" s="113"/>
      <c r="ET477" s="113"/>
      <c r="EU477" s="113"/>
      <c r="EV477" s="113"/>
      <c r="EW477" s="113"/>
      <c r="EX477" s="113"/>
      <c r="EY477" s="113"/>
    </row>
    <row r="478">
      <c r="A478" s="65" t="s">
        <v>28</v>
      </c>
      <c r="B478" s="65" t="s">
        <v>105</v>
      </c>
      <c r="C478" s="65" t="s">
        <v>410</v>
      </c>
      <c r="D478" s="64">
        <f t="shared" si="1"/>
        <v>588.7552167</v>
      </c>
      <c r="E478" s="104"/>
      <c r="F478" s="104">
        <v>35.0644833333333</v>
      </c>
      <c r="G478" s="104">
        <v>4.92743333333333</v>
      </c>
      <c r="H478" s="104">
        <v>1.394</v>
      </c>
      <c r="I478" s="104">
        <v>1.52078333333333</v>
      </c>
      <c r="J478" s="104">
        <v>0.282733333333333</v>
      </c>
      <c r="K478" s="104">
        <v>5.98371666666667</v>
      </c>
      <c r="L478" s="104"/>
      <c r="M478" s="104">
        <v>35.0644833333333</v>
      </c>
      <c r="N478" s="104">
        <v>4.92743333333333</v>
      </c>
      <c r="O478" s="104"/>
      <c r="P478" s="65">
        <v>10.6010333333333</v>
      </c>
      <c r="Q478" s="65"/>
      <c r="R478" s="65"/>
      <c r="S478" s="65"/>
      <c r="T478" s="65"/>
      <c r="U478" s="65"/>
      <c r="V478" s="65">
        <v>0.520416666666667</v>
      </c>
      <c r="W478" s="65"/>
      <c r="X478" s="65"/>
      <c r="Y478" s="65"/>
      <c r="Z478" s="65">
        <v>19.2831166666667</v>
      </c>
      <c r="AA478" s="65">
        <v>34.6398333333333</v>
      </c>
      <c r="AB478" s="65">
        <v>1.6963</v>
      </c>
      <c r="AC478" s="65">
        <v>8.23535</v>
      </c>
      <c r="AD478" s="65">
        <v>5.47823333333333</v>
      </c>
      <c r="AE478" s="65"/>
      <c r="AF478" s="65">
        <v>19.2831166666667</v>
      </c>
      <c r="AG478" s="65">
        <v>34.6398333333333</v>
      </c>
      <c r="AH478" s="65"/>
      <c r="AI478" s="65">
        <v>27.9178666666667</v>
      </c>
      <c r="AJ478" s="65">
        <v>41.8747</v>
      </c>
      <c r="AK478" s="65">
        <v>3.23515</v>
      </c>
      <c r="AL478" s="65">
        <v>12.6590833333333</v>
      </c>
      <c r="AM478" s="65">
        <v>17.6505333333333</v>
      </c>
      <c r="AN478" s="65"/>
      <c r="AP478" s="65">
        <v>77.5942833333333</v>
      </c>
      <c r="AQ478" s="65">
        <v>0.9936</v>
      </c>
      <c r="AR478" s="65">
        <v>24.3101666666667</v>
      </c>
      <c r="AT478" s="65"/>
      <c r="AU478" s="65">
        <v>69.4397666666666</v>
      </c>
      <c r="AV478" s="65">
        <v>21.14835</v>
      </c>
      <c r="AY478" s="65">
        <v>68.3894166666666</v>
      </c>
    </row>
    <row r="479">
      <c r="A479" s="65" t="s">
        <v>28</v>
      </c>
      <c r="B479" s="65" t="s">
        <v>105</v>
      </c>
      <c r="C479" s="65" t="s">
        <v>411</v>
      </c>
      <c r="D479" s="64">
        <f t="shared" si="1"/>
        <v>0</v>
      </c>
      <c r="E479" s="115"/>
      <c r="F479" s="115"/>
      <c r="G479" s="115"/>
      <c r="H479" s="115"/>
      <c r="I479" s="115"/>
      <c r="J479" s="115"/>
      <c r="K479" s="115"/>
      <c r="L479" s="115"/>
      <c r="M479" s="115"/>
      <c r="N479" s="115"/>
      <c r="O479" s="115"/>
    </row>
    <row r="480">
      <c r="A480" s="65" t="s">
        <v>28</v>
      </c>
      <c r="B480" s="65" t="s">
        <v>105</v>
      </c>
      <c r="C480" s="65" t="s">
        <v>412</v>
      </c>
      <c r="D480" s="64">
        <f t="shared" si="1"/>
        <v>492.5110167</v>
      </c>
      <c r="E480" s="115"/>
      <c r="F480" s="117">
        <f>HYPERLINK("https://docs.google.com/spreadsheets/d/1fB1lakBV9kIKpoxIjCn_nSq9c70NjlfP", 34.94485)</f>
        <v>34.94485</v>
      </c>
      <c r="G480" s="116">
        <f>HYPERLINK("https://docs.google.com/spreadsheets/d/1Z-TXuTftCDcPzTmbzl8tMfyeLQJdGrOg", 4.92743333333333)</f>
        <v>4.927433333</v>
      </c>
      <c r="H480" s="116">
        <f>HYPERLINK("https://docs.google.com/spreadsheets/d/1yMbI5nrBjQ1lsXKyx6rYtr-DWpM_vgsf", 1.394)</f>
        <v>1.394</v>
      </c>
      <c r="I480" s="116">
        <f>HYPERLINK("https://docs.google.com/spreadsheets/d/1v0N3x9NjMZPKRmmdRJsdxJ3TGWd98-te", 1.52078333333333)</f>
        <v>1.520783333</v>
      </c>
      <c r="J480" s="116">
        <f>HYPERLINK("https://docs.google.com/spreadsheets/d/1Wv_UbLUZMFISrthAgeTC9RVmqk0LwZPp", 0.282733333333333)</f>
        <v>0.2827333333</v>
      </c>
      <c r="K480" s="117">
        <f>HYPERLINK("https://docs.google.com/spreadsheets/d/1cWtbNj2WfQCEmWWaEPeOIvdseBvUpwhI", 5.98371666666667)</f>
        <v>5.983716667</v>
      </c>
      <c r="L480" s="115"/>
      <c r="M480" s="104"/>
      <c r="N480" s="115"/>
      <c r="O480" s="104"/>
      <c r="P480" s="118">
        <f>HYPERLINK("https://docs.google.com/spreadsheets/d/11KW3VL_s3H3lgonrRv8M6OKiJh7a6LXv", 10.6010333333333)</f>
        <v>10.60103333</v>
      </c>
      <c r="V480" s="118">
        <f>HYPERLINK("https://docs.google.com/spreadsheets/d/1p6Qr-yB7T5nmuVPd24l2mzsmWiSvTXiB", 0.520416666666667)</f>
        <v>0.5204166667</v>
      </c>
      <c r="Z480" s="118">
        <f>HYPERLINK("https://docs.google.com/spreadsheets/d/1bBiObuMVEqNSEQs-0Y1VHMJ55wgXthHd", 19.2830833333333)</f>
        <v>19.28308333</v>
      </c>
      <c r="AA480" s="118">
        <f>HYPERLINK("https://docs.google.com/spreadsheets/d/16UmuFwk4RBHCNjenyzpxiIiKG-Vc9Tbi", 34.5992666666667)</f>
        <v>34.59926667</v>
      </c>
      <c r="AB480" s="118">
        <f>HYPERLINK("https://docs.google.com/spreadsheets/d/1MqevHF8miGA0PaIcu6q3h9VuOsH1x6KS", 1.6963)</f>
        <v>1.6963</v>
      </c>
      <c r="AC480" s="118">
        <f>HYPERLINK("https://docs.google.com/spreadsheets/d/1nUxj_zf-tyLcqHFuxwMuPOf3ZjS7leBn", 8.23535)</f>
        <v>8.23535</v>
      </c>
      <c r="AD480" s="118">
        <f>HYPERLINK("https://docs.google.com/spreadsheets/d/1Z-hhsVIx9js-FGVJuEkcabdKVoiJ1Ysi", 5.11805)</f>
        <v>5.11805</v>
      </c>
      <c r="AI480" s="118">
        <f>HYPERLINK("https://docs.google.com/spreadsheets/d/1sVxkc_aJugYkSM2mqNY3BaBLCj2QUJLG", 27.8001333333333)</f>
        <v>27.80013333</v>
      </c>
      <c r="AJ480" s="118">
        <f>HYPERLINK("https://docs.google.com/spreadsheets/d/1340kNwHciX-bu0QwjamPGCwpXrh8z-fl", 41.7833333333333)</f>
        <v>41.78333333</v>
      </c>
      <c r="AK480" s="118">
        <f>HYPERLINK("https://docs.google.com/spreadsheets/d/1XsEKARY6h8JrpfT0v9iJgb8QElvsqSJw", 3.23513333333333)</f>
        <v>3.235133333</v>
      </c>
      <c r="AL480" s="118">
        <f>HYPERLINK("https://docs.google.com/spreadsheets/d/1GeMQnS3qUm4z5J6j2GODKQv5JvtAl_1b", 12.65905)</f>
        <v>12.65905</v>
      </c>
      <c r="AM480" s="118">
        <f>HYPERLINK("https://docs.google.com/spreadsheets/d/1nPjyA7-wofJEEk1BJrrN123j0w6TT1U1", 17.4591833333333)</f>
        <v>17.45918333</v>
      </c>
      <c r="AP480" s="118">
        <f>HYPERLINK("https://docs.google.com/spreadsheets/d/1a4JC3-bH1MILXkf4rfE91hPlFSOtK8hm", 77.59425)</f>
        <v>77.59425</v>
      </c>
      <c r="AQ480" s="118">
        <f>HYPERLINK("https://docs.google.com/spreadsheets/d/1JWbL4LPDr5VowbVnJQ-wY5hVTfPKIxpI", 0.9936)</f>
        <v>0.9936</v>
      </c>
      <c r="AR480" s="118">
        <f>HYPERLINK("https://docs.google.com/spreadsheets/d/1aSbrf8u-H_Plde5TatGSOwUvl2_rq2fo", 23.4861)</f>
        <v>23.4861</v>
      </c>
      <c r="AU480" s="118">
        <f>HYPERLINK("https://docs.google.com/spreadsheets/d/1SZ3JE66klgJQPhiuL-yZNLnaVQwlxads", 69.3071)</f>
        <v>69.3071</v>
      </c>
      <c r="AV480" s="118">
        <f>HYPERLINK("https://docs.google.com/spreadsheets/d/1qfVgFrgxEdCBUEzbLaQVu5wi6LoTvB_i", 20.99035)</f>
        <v>20.99035</v>
      </c>
      <c r="AY480" s="118">
        <f>HYPERLINK("https://docs.google.com/spreadsheets/d/1vTZZwl9AfX-8q0NneEtiyA7oYiTKeFSj", 68.0957666666666)</f>
        <v>68.09576667</v>
      </c>
    </row>
    <row r="481">
      <c r="A481" s="65" t="s">
        <v>28</v>
      </c>
      <c r="B481" s="65" t="s">
        <v>105</v>
      </c>
      <c r="C481" s="65" t="s">
        <v>413</v>
      </c>
      <c r="D481" s="64">
        <f t="shared" si="1"/>
        <v>401.59655</v>
      </c>
      <c r="E481" s="115"/>
      <c r="F481" s="104">
        <v>24.2160333333333</v>
      </c>
      <c r="G481" s="104">
        <v>1.08925</v>
      </c>
      <c r="H481" s="104">
        <v>0.868466666666666</v>
      </c>
      <c r="I481" s="104">
        <v>0.31325</v>
      </c>
      <c r="J481" s="104">
        <v>0.0681333333333334</v>
      </c>
      <c r="K481" s="104">
        <v>5.98371666666667</v>
      </c>
      <c r="L481" s="104"/>
      <c r="M481" s="104"/>
      <c r="N481" s="104"/>
      <c r="O481" s="104"/>
      <c r="P481" s="65">
        <v>10.6010333333333</v>
      </c>
      <c r="Q481" s="65"/>
      <c r="R481" s="65"/>
      <c r="S481" s="65"/>
      <c r="T481" s="65"/>
      <c r="U481" s="65"/>
      <c r="V481" s="65">
        <v>0.31905</v>
      </c>
      <c r="W481" s="65"/>
      <c r="X481" s="65"/>
      <c r="Y481" s="65"/>
      <c r="Z481" s="65">
        <v>12.29125</v>
      </c>
      <c r="AA481" s="65">
        <v>23.2470166666667</v>
      </c>
      <c r="AB481" s="65">
        <v>0.258116666666667</v>
      </c>
      <c r="AC481" s="65">
        <v>3.44158333333334</v>
      </c>
      <c r="AD481" s="65">
        <v>1.50995</v>
      </c>
      <c r="AE481" s="65"/>
      <c r="AF481" s="65"/>
      <c r="AG481" s="65"/>
      <c r="AH481" s="65"/>
      <c r="AI481" s="65">
        <v>27.8001333333333</v>
      </c>
      <c r="AJ481" s="65">
        <v>41.7833333333333</v>
      </c>
      <c r="AK481" s="65">
        <v>0.649983333333333</v>
      </c>
      <c r="AL481" s="65">
        <v>6.94704999999999</v>
      </c>
      <c r="AM481" s="65">
        <v>17.4591833333333</v>
      </c>
      <c r="AN481" s="65"/>
      <c r="AP481" s="65">
        <v>77.59425</v>
      </c>
      <c r="AQ481" s="65">
        <v>0.146266666666667</v>
      </c>
      <c r="AR481" s="65">
        <v>23.4861</v>
      </c>
      <c r="AT481" s="65"/>
      <c r="AU481" s="65">
        <v>41.5518833333333</v>
      </c>
      <c r="AV481" s="65">
        <v>11.87575</v>
      </c>
      <c r="AY481" s="65">
        <v>68.0957666666666</v>
      </c>
    </row>
    <row r="482">
      <c r="A482" s="119" t="s">
        <v>28</v>
      </c>
      <c r="B482" s="119" t="s">
        <v>105</v>
      </c>
      <c r="C482" s="119" t="s">
        <v>414</v>
      </c>
      <c r="D482" s="120">
        <f t="shared" si="1"/>
        <v>69.3071</v>
      </c>
      <c r="E482" s="121"/>
      <c r="F482" s="122">
        <f>HYPERLINK("https://docs.google.com/spreadsheets/d/1fB1lakBV9kIKpoxIjCn_nSq9c70NjlfP", 0)</f>
        <v>0</v>
      </c>
      <c r="G482" s="122">
        <f>HYPERLINK("https://docs.google.com/spreadsheets/d/1Z-TXuTftCDcPzTmbzl8tMfyeLQJdGrOg", 0)</f>
        <v>0</v>
      </c>
      <c r="H482" s="122">
        <f>HYPERLINK("https://docs.google.com/spreadsheets/d/1yMbI5nrBjQ1lsXKyx6rYtr-DWpM_vgsf", 0)</f>
        <v>0</v>
      </c>
      <c r="I482" s="122">
        <f>HYPERLINK("https://docs.google.com/spreadsheets/d/1v0N3x9NjMZPKRmmdRJsdxJ3TGWd98-te", 0)</f>
        <v>0</v>
      </c>
      <c r="J482" s="122">
        <f>HYPERLINK("https://docs.google.com/spreadsheets/d/1Wv_UbLUZMFISrthAgeTC9RVmqk0LwZPp", 0)</f>
        <v>0</v>
      </c>
      <c r="K482" s="122">
        <f>HYPERLINK("https://docs.google.com/spreadsheets/d/1cWtbNj2WfQCEmWWaEPeOIvdseBvUpwhI", 0)</f>
        <v>0</v>
      </c>
      <c r="L482" s="121"/>
      <c r="M482" s="121"/>
      <c r="N482" s="123"/>
      <c r="O482" s="121"/>
      <c r="P482" s="124">
        <f>HYPERLINK("https://docs.google.com/spreadsheets/d/11KW3VL_s3H3lgonrRv8M6OKiJh7a6LXv", 0)</f>
        <v>0</v>
      </c>
      <c r="Q482" s="120"/>
      <c r="R482" s="120"/>
      <c r="S482" s="120"/>
      <c r="T482" s="119"/>
      <c r="U482" s="120"/>
      <c r="V482" s="124">
        <f>HYPERLINK("https://docs.google.com/spreadsheets/d/1p6Qr-yB7T5nmuVPd24l2mzsmWiSvTXiB", 0)</f>
        <v>0</v>
      </c>
      <c r="W482" s="120"/>
      <c r="X482" s="119"/>
      <c r="Y482" s="119"/>
      <c r="Z482" s="124">
        <f>HYPERLINK("https://docs.google.com/spreadsheets/d/1bBiObuMVEqNSEQs-0Y1VHMJ55wgXthHd", 0)</f>
        <v>0</v>
      </c>
      <c r="AA482" s="124">
        <f>HYPERLINK("https://docs.google.com/spreadsheets/d/16UmuFwk4RBHCNjenyzpxiIiKG-Vc9Tbi", 0)</f>
        <v>0</v>
      </c>
      <c r="AB482" s="124">
        <f>HYPERLINK("https://docs.google.com/spreadsheets/d/1MqevHF8miGA0PaIcu6q3h9VuOsH1x6KS", 0)</f>
        <v>0</v>
      </c>
      <c r="AC482" s="124">
        <f>HYPERLINK("https://docs.google.com/spreadsheets/d/1nUxj_zf-tyLcqHFuxwMuPOf3ZjS7leBn", 0)</f>
        <v>0</v>
      </c>
      <c r="AD482" s="124">
        <f>HYPERLINK("https://docs.google.com/spreadsheets/d/1Z-hhsVIx9js-FGVJuEkcabdKVoiJ1Ysi", 0)</f>
        <v>0</v>
      </c>
      <c r="AE482" s="119"/>
      <c r="AF482" s="119"/>
      <c r="AG482" s="119"/>
      <c r="AH482" s="119"/>
      <c r="AI482" s="125">
        <f>HYPERLINK("https://docs.google.com/spreadsheets/d/1sVxkc_aJugYkSM2mqNY3BaBLCj2QUJLG", 0)</f>
        <v>0</v>
      </c>
      <c r="AJ482" s="124">
        <f>HYPERLINK("https://docs.google.com/spreadsheets/d/1340kNwHciX-bu0QwjamPGCwpXrh8z-fl", 0)</f>
        <v>0</v>
      </c>
      <c r="AK482" s="124">
        <f>HYPERLINK("https://docs.google.com/spreadsheets/d/1XsEKARY6h8JrpfT0v9iJgb8QElvsqSJw", 0)</f>
        <v>0</v>
      </c>
      <c r="AL482" s="125">
        <f>HYPERLINK("https://docs.google.com/spreadsheets/d/1GeMQnS3qUm4z5J6j2GODKQv5JvtAl_1b", 0)</f>
        <v>0</v>
      </c>
      <c r="AM482" s="124">
        <f>HYPERLINK("https://docs.google.com/spreadsheets/d/1nPjyA7-wofJEEk1BJrrN123j0w6TT1U1", 0)</f>
        <v>0</v>
      </c>
      <c r="AN482" s="119"/>
      <c r="AO482" s="120"/>
      <c r="AP482" s="124">
        <f>HYPERLINK("https://docs.google.com/spreadsheets/d/1a4JC3-bH1MILXkf4rfE91hPlFSOtK8hm", 0)</f>
        <v>0</v>
      </c>
      <c r="AQ482" s="125">
        <f>HYPERLINK("https://docs.google.com/spreadsheets/d/1JWbL4LPDr5VowbVnJQ-wY5hVTfPKIxpI", 0)</f>
        <v>0</v>
      </c>
      <c r="AR482" s="125">
        <f>HYPERLINK("https://docs.google.com/spreadsheets/d/1aSbrf8u-H_Plde5TatGSOwUvl2_rq2fo", 0)</f>
        <v>0</v>
      </c>
      <c r="AS482" s="120"/>
      <c r="AT482" s="120"/>
      <c r="AU482" s="124">
        <f>HYPERLINK("https://docs.google.com/spreadsheets/d/1SZ3JE66klgJQPhiuL-yZNLnaVQwlxads", 69.3071)</f>
        <v>69.3071</v>
      </c>
      <c r="AV482" s="124">
        <f>HYPERLINK("https://docs.google.com/spreadsheets/d/1qfVgFrgxEdCBUEzbLaQVu5wi6LoTvB_i", 0)</f>
        <v>0</v>
      </c>
      <c r="AW482" s="120"/>
      <c r="AX482" s="120"/>
      <c r="AY482" s="124">
        <f>HYPERLINK("https://docs.google.com/spreadsheets/d/1vTZZwl9AfX-8q0NneEtiyA7oYiTKeFSj", 0)</f>
        <v>0</v>
      </c>
      <c r="AZ482" s="120"/>
      <c r="BA482" s="120"/>
      <c r="BB482" s="120"/>
      <c r="BC482" s="120"/>
      <c r="BD482" s="120"/>
      <c r="BE482" s="120"/>
      <c r="BF482" s="120"/>
      <c r="BG482" s="120"/>
      <c r="BH482" s="120"/>
      <c r="BI482" s="120"/>
      <c r="BJ482" s="120"/>
      <c r="BK482" s="120"/>
      <c r="BL482" s="120"/>
      <c r="BM482" s="120"/>
      <c r="BN482" s="120"/>
      <c r="BO482" s="120"/>
      <c r="BP482" s="120"/>
      <c r="BQ482" s="120"/>
      <c r="BR482" s="120"/>
      <c r="BS482" s="120"/>
      <c r="BT482" s="120"/>
      <c r="BU482" s="120"/>
      <c r="BV482" s="120"/>
      <c r="BW482" s="120"/>
      <c r="BX482" s="120"/>
      <c r="BY482" s="120"/>
      <c r="BZ482" s="120"/>
      <c r="CA482" s="120"/>
      <c r="CB482" s="120"/>
      <c r="CC482" s="120"/>
      <c r="CD482" s="120"/>
      <c r="CE482" s="120"/>
      <c r="CF482" s="120"/>
      <c r="CG482" s="120"/>
      <c r="CH482" s="120"/>
      <c r="CI482" s="120"/>
      <c r="CJ482" s="120"/>
      <c r="CK482" s="120"/>
      <c r="CL482" s="120"/>
      <c r="CM482" s="120"/>
      <c r="CN482" s="120"/>
      <c r="CO482" s="120"/>
      <c r="CP482" s="120"/>
      <c r="CQ482" s="120"/>
      <c r="CR482" s="120"/>
      <c r="CS482" s="120"/>
      <c r="CT482" s="120"/>
      <c r="CU482" s="120"/>
      <c r="CV482" s="120"/>
      <c r="CW482" s="120"/>
      <c r="CX482" s="120"/>
      <c r="CY482" s="120"/>
      <c r="CZ482" s="120"/>
      <c r="DA482" s="120"/>
      <c r="DB482" s="120"/>
      <c r="DC482" s="120"/>
      <c r="DD482" s="120"/>
      <c r="DE482" s="120"/>
      <c r="DF482" s="120"/>
      <c r="DG482" s="120"/>
      <c r="DH482" s="120"/>
      <c r="DI482" s="120"/>
      <c r="DJ482" s="120"/>
      <c r="DK482" s="120"/>
      <c r="DL482" s="120"/>
      <c r="DM482" s="120"/>
      <c r="DN482" s="120"/>
      <c r="DO482" s="120"/>
      <c r="DP482" s="120"/>
      <c r="DQ482" s="120"/>
      <c r="DR482" s="120"/>
      <c r="DS482" s="120"/>
      <c r="DT482" s="120"/>
      <c r="DU482" s="120"/>
      <c r="DV482" s="120"/>
      <c r="DW482" s="120"/>
      <c r="DX482" s="120"/>
      <c r="DY482" s="120"/>
      <c r="DZ482" s="120"/>
      <c r="EA482" s="120"/>
      <c r="EB482" s="120"/>
      <c r="EC482" s="120"/>
      <c r="ED482" s="120"/>
      <c r="EE482" s="120"/>
      <c r="EF482" s="120"/>
      <c r="EG482" s="120"/>
      <c r="EH482" s="120"/>
      <c r="EI482" s="120"/>
      <c r="EJ482" s="120"/>
      <c r="EK482" s="120"/>
      <c r="EL482" s="120"/>
      <c r="EM482" s="120"/>
      <c r="EN482" s="120"/>
      <c r="EO482" s="120"/>
      <c r="EP482" s="120"/>
      <c r="EQ482" s="120"/>
      <c r="ER482" s="120"/>
      <c r="ES482" s="120"/>
      <c r="ET482" s="120"/>
      <c r="EU482" s="120"/>
      <c r="EV482" s="120"/>
      <c r="EW482" s="120"/>
      <c r="EX482" s="120"/>
      <c r="EY482" s="120"/>
    </row>
    <row r="483">
      <c r="D483" s="64">
        <f t="shared" si="1"/>
        <v>0</v>
      </c>
      <c r="E483" s="115"/>
      <c r="F483" s="115"/>
      <c r="G483" s="115"/>
      <c r="H483" s="115"/>
      <c r="I483" s="115"/>
      <c r="J483" s="115"/>
      <c r="K483" s="115"/>
      <c r="L483" s="115"/>
      <c r="M483" s="115"/>
      <c r="N483" s="115"/>
      <c r="O483" s="115"/>
    </row>
    <row r="484">
      <c r="D484" s="64">
        <f t="shared" si="1"/>
        <v>0</v>
      </c>
      <c r="E484" s="115"/>
      <c r="F484" s="115"/>
      <c r="G484" s="115"/>
      <c r="H484" s="115"/>
      <c r="I484" s="115"/>
      <c r="J484" s="115"/>
      <c r="K484" s="115"/>
      <c r="L484" s="115"/>
      <c r="M484" s="115"/>
      <c r="N484" s="115"/>
      <c r="O484" s="115"/>
    </row>
    <row r="485">
      <c r="E485" s="115"/>
      <c r="F485" s="115"/>
      <c r="G485" s="115"/>
      <c r="H485" s="115"/>
      <c r="I485" s="115"/>
      <c r="J485" s="115"/>
      <c r="K485" s="115"/>
      <c r="L485" s="115"/>
      <c r="M485" s="115"/>
      <c r="N485" s="115"/>
      <c r="O485" s="115"/>
    </row>
    <row r="486">
      <c r="E486" s="115"/>
      <c r="F486" s="115"/>
      <c r="G486" s="115"/>
      <c r="H486" s="115"/>
      <c r="I486" s="115"/>
      <c r="J486" s="115"/>
      <c r="K486" s="115"/>
      <c r="L486" s="115"/>
      <c r="M486" s="115"/>
      <c r="N486" s="115"/>
      <c r="O486" s="115"/>
    </row>
    <row r="487">
      <c r="E487" s="115"/>
      <c r="F487" s="115"/>
      <c r="G487" s="115"/>
      <c r="H487" s="115"/>
      <c r="I487" s="115"/>
      <c r="J487" s="115"/>
      <c r="K487" s="115"/>
      <c r="L487" s="115"/>
      <c r="M487" s="115"/>
      <c r="N487" s="115"/>
      <c r="O487" s="115"/>
    </row>
    <row r="488">
      <c r="E488" s="115"/>
      <c r="F488" s="115"/>
      <c r="G488" s="115"/>
      <c r="H488" s="115"/>
      <c r="I488" s="115"/>
      <c r="J488" s="115"/>
      <c r="K488" s="115"/>
      <c r="L488" s="115"/>
      <c r="M488" s="115"/>
      <c r="N488" s="115"/>
      <c r="O488" s="115"/>
    </row>
    <row r="489">
      <c r="E489" s="115"/>
      <c r="F489" s="115"/>
      <c r="G489" s="115"/>
      <c r="H489" s="115"/>
      <c r="I489" s="115"/>
      <c r="J489" s="115"/>
      <c r="K489" s="115"/>
      <c r="L489" s="115"/>
      <c r="M489" s="115"/>
      <c r="N489" s="115"/>
      <c r="O489" s="115"/>
    </row>
    <row r="490">
      <c r="E490" s="115"/>
      <c r="F490" s="115"/>
      <c r="G490" s="115"/>
      <c r="H490" s="115"/>
      <c r="I490" s="115"/>
      <c r="J490" s="115"/>
      <c r="K490" s="115"/>
      <c r="L490" s="115"/>
      <c r="M490" s="115"/>
      <c r="N490" s="115"/>
      <c r="O490" s="115"/>
    </row>
    <row r="491">
      <c r="E491" s="115"/>
      <c r="F491" s="115"/>
      <c r="G491" s="115"/>
      <c r="H491" s="115"/>
      <c r="I491" s="115"/>
      <c r="J491" s="115"/>
      <c r="K491" s="115"/>
      <c r="L491" s="115"/>
      <c r="M491" s="115"/>
      <c r="N491" s="115"/>
      <c r="O491" s="115"/>
    </row>
    <row r="492">
      <c r="E492" s="115"/>
      <c r="F492" s="115"/>
      <c r="G492" s="115"/>
      <c r="H492" s="115"/>
      <c r="I492" s="115"/>
      <c r="J492" s="115"/>
      <c r="K492" s="115"/>
      <c r="L492" s="115"/>
      <c r="M492" s="115"/>
      <c r="N492" s="115"/>
      <c r="O492" s="115"/>
    </row>
    <row r="493">
      <c r="E493" s="115"/>
      <c r="F493" s="115"/>
      <c r="G493" s="115"/>
      <c r="H493" s="115"/>
      <c r="I493" s="115"/>
      <c r="J493" s="115"/>
      <c r="K493" s="115"/>
      <c r="L493" s="115"/>
      <c r="M493" s="115"/>
      <c r="N493" s="115"/>
      <c r="O493" s="115"/>
    </row>
    <row r="494">
      <c r="E494" s="115"/>
      <c r="F494" s="115"/>
      <c r="G494" s="115"/>
      <c r="H494" s="115"/>
      <c r="I494" s="115"/>
      <c r="J494" s="115"/>
      <c r="K494" s="115"/>
      <c r="L494" s="115"/>
      <c r="M494" s="115"/>
      <c r="N494" s="115"/>
      <c r="O494" s="115"/>
    </row>
    <row r="495">
      <c r="E495" s="115"/>
      <c r="F495" s="115"/>
      <c r="G495" s="115"/>
      <c r="H495" s="115"/>
      <c r="I495" s="115"/>
      <c r="J495" s="115"/>
      <c r="K495" s="115"/>
      <c r="L495" s="115"/>
      <c r="M495" s="115"/>
      <c r="N495" s="115"/>
      <c r="O495" s="115"/>
    </row>
    <row r="496">
      <c r="E496" s="115"/>
      <c r="F496" s="115"/>
      <c r="G496" s="115"/>
      <c r="H496" s="115"/>
      <c r="I496" s="115"/>
      <c r="J496" s="115"/>
      <c r="K496" s="115"/>
      <c r="L496" s="115"/>
      <c r="M496" s="115"/>
      <c r="N496" s="115"/>
      <c r="O496" s="115"/>
    </row>
    <row r="497">
      <c r="E497" s="115"/>
      <c r="F497" s="115"/>
      <c r="G497" s="115"/>
      <c r="H497" s="115"/>
      <c r="I497" s="115"/>
      <c r="J497" s="115"/>
      <c r="K497" s="115"/>
      <c r="L497" s="115"/>
      <c r="M497" s="115"/>
      <c r="N497" s="115"/>
      <c r="O497" s="115"/>
    </row>
    <row r="498">
      <c r="E498" s="115"/>
      <c r="F498" s="115"/>
      <c r="G498" s="115"/>
      <c r="H498" s="115"/>
      <c r="I498" s="115"/>
      <c r="J498" s="115"/>
      <c r="K498" s="115"/>
      <c r="L498" s="115"/>
      <c r="M498" s="115"/>
      <c r="N498" s="115"/>
      <c r="O498" s="115"/>
    </row>
    <row r="499">
      <c r="E499" s="115"/>
      <c r="F499" s="115"/>
      <c r="G499" s="115"/>
      <c r="H499" s="115"/>
      <c r="I499" s="115"/>
      <c r="J499" s="115"/>
      <c r="K499" s="115"/>
      <c r="L499" s="115"/>
      <c r="M499" s="115"/>
      <c r="N499" s="115"/>
      <c r="O499" s="115"/>
    </row>
    <row r="500">
      <c r="E500" s="115"/>
      <c r="F500" s="115"/>
      <c r="G500" s="115"/>
      <c r="H500" s="115"/>
      <c r="I500" s="115"/>
      <c r="J500" s="115"/>
      <c r="K500" s="115"/>
      <c r="L500" s="115"/>
      <c r="M500" s="115"/>
      <c r="N500" s="115"/>
      <c r="O500" s="115"/>
    </row>
    <row r="501">
      <c r="E501" s="115"/>
      <c r="F501" s="115"/>
      <c r="G501" s="115"/>
      <c r="H501" s="115"/>
      <c r="I501" s="115"/>
      <c r="J501" s="115"/>
      <c r="K501" s="115"/>
      <c r="L501" s="115"/>
      <c r="M501" s="115"/>
      <c r="N501" s="115"/>
      <c r="O501" s="115"/>
    </row>
    <row r="502">
      <c r="E502" s="115"/>
      <c r="F502" s="115"/>
      <c r="G502" s="115"/>
      <c r="H502" s="115"/>
      <c r="I502" s="115"/>
      <c r="J502" s="115"/>
      <c r="K502" s="115"/>
      <c r="L502" s="115"/>
      <c r="M502" s="115"/>
      <c r="N502" s="115"/>
      <c r="O502" s="115"/>
    </row>
    <row r="503">
      <c r="E503" s="115"/>
      <c r="F503" s="115"/>
      <c r="G503" s="115"/>
      <c r="H503" s="115"/>
      <c r="I503" s="115"/>
      <c r="J503" s="115"/>
      <c r="K503" s="115"/>
      <c r="L503" s="115"/>
      <c r="M503" s="115"/>
      <c r="N503" s="115"/>
      <c r="O503" s="115"/>
    </row>
    <row r="504">
      <c r="E504" s="115"/>
      <c r="F504" s="115"/>
      <c r="G504" s="115"/>
      <c r="H504" s="115"/>
      <c r="I504" s="115"/>
      <c r="J504" s="115"/>
      <c r="K504" s="115"/>
      <c r="L504" s="115"/>
      <c r="M504" s="115"/>
      <c r="N504" s="115"/>
      <c r="O504" s="115"/>
    </row>
    <row r="505">
      <c r="E505" s="115"/>
      <c r="F505" s="115"/>
      <c r="G505" s="115"/>
      <c r="H505" s="115"/>
      <c r="I505" s="115"/>
      <c r="J505" s="115"/>
      <c r="K505" s="115"/>
      <c r="L505" s="115"/>
      <c r="M505" s="115"/>
      <c r="N505" s="115"/>
      <c r="O505" s="115"/>
    </row>
    <row r="506">
      <c r="E506" s="115"/>
      <c r="F506" s="115"/>
      <c r="G506" s="115"/>
      <c r="H506" s="115"/>
      <c r="I506" s="115"/>
      <c r="J506" s="115"/>
      <c r="K506" s="115"/>
      <c r="L506" s="115"/>
      <c r="M506" s="115"/>
      <c r="N506" s="115"/>
      <c r="O506" s="115"/>
    </row>
    <row r="507">
      <c r="E507" s="115"/>
      <c r="F507" s="115"/>
      <c r="G507" s="115"/>
      <c r="H507" s="115"/>
      <c r="I507" s="115"/>
      <c r="J507" s="115"/>
      <c r="K507" s="115"/>
      <c r="L507" s="115"/>
      <c r="M507" s="115"/>
      <c r="N507" s="115"/>
      <c r="O507" s="115"/>
    </row>
    <row r="508">
      <c r="E508" s="115"/>
      <c r="F508" s="115"/>
      <c r="G508" s="115"/>
      <c r="H508" s="115"/>
      <c r="I508" s="115"/>
      <c r="J508" s="115"/>
      <c r="K508" s="115"/>
      <c r="L508" s="115"/>
      <c r="M508" s="115"/>
      <c r="N508" s="115"/>
      <c r="O508" s="115"/>
    </row>
    <row r="509">
      <c r="E509" s="115"/>
      <c r="F509" s="115"/>
      <c r="G509" s="115"/>
      <c r="H509" s="115"/>
      <c r="I509" s="115"/>
      <c r="J509" s="115"/>
      <c r="K509" s="115"/>
      <c r="L509" s="115"/>
      <c r="M509" s="115"/>
      <c r="N509" s="115"/>
      <c r="O509" s="115"/>
    </row>
    <row r="510">
      <c r="E510" s="115"/>
      <c r="F510" s="115"/>
      <c r="G510" s="115"/>
      <c r="H510" s="115"/>
      <c r="I510" s="115"/>
      <c r="J510" s="115"/>
      <c r="K510" s="115"/>
      <c r="L510" s="115"/>
      <c r="M510" s="115"/>
      <c r="N510" s="115"/>
      <c r="O510" s="115"/>
    </row>
    <row r="511">
      <c r="E511" s="115"/>
      <c r="F511" s="115"/>
      <c r="G511" s="115"/>
      <c r="H511" s="115"/>
      <c r="I511" s="115"/>
      <c r="J511" s="115"/>
      <c r="K511" s="115"/>
      <c r="L511" s="115"/>
      <c r="M511" s="115"/>
      <c r="N511" s="115"/>
      <c r="O511" s="115"/>
    </row>
    <row r="512">
      <c r="E512" s="115"/>
      <c r="F512" s="115"/>
      <c r="G512" s="115"/>
      <c r="H512" s="115"/>
      <c r="I512" s="115"/>
      <c r="J512" s="115"/>
      <c r="K512" s="115"/>
      <c r="L512" s="115"/>
      <c r="M512" s="115"/>
      <c r="N512" s="115"/>
      <c r="O512" s="115"/>
    </row>
    <row r="513">
      <c r="E513" s="115"/>
      <c r="F513" s="115"/>
      <c r="G513" s="115"/>
      <c r="H513" s="115"/>
      <c r="I513" s="115"/>
      <c r="J513" s="115"/>
      <c r="K513" s="115"/>
      <c r="L513" s="115"/>
      <c r="M513" s="115"/>
      <c r="N513" s="115"/>
      <c r="O513" s="115"/>
    </row>
    <row r="514">
      <c r="E514" s="115"/>
      <c r="F514" s="115"/>
      <c r="G514" s="115"/>
      <c r="H514" s="115"/>
      <c r="I514" s="115"/>
      <c r="J514" s="115"/>
      <c r="K514" s="115"/>
      <c r="L514" s="115"/>
      <c r="M514" s="115"/>
      <c r="N514" s="115"/>
      <c r="O514" s="115"/>
    </row>
    <row r="515">
      <c r="E515" s="115"/>
      <c r="F515" s="115"/>
      <c r="G515" s="115"/>
      <c r="H515" s="115"/>
      <c r="I515" s="115"/>
      <c r="J515" s="115"/>
      <c r="K515" s="115"/>
      <c r="L515" s="115"/>
      <c r="M515" s="115"/>
      <c r="N515" s="115"/>
      <c r="O515" s="115"/>
    </row>
    <row r="516">
      <c r="E516" s="115"/>
      <c r="F516" s="115"/>
      <c r="G516" s="115"/>
      <c r="H516" s="115"/>
      <c r="I516" s="115"/>
      <c r="J516" s="115"/>
      <c r="K516" s="115"/>
      <c r="L516" s="115"/>
      <c r="M516" s="115"/>
      <c r="N516" s="115"/>
      <c r="O516" s="115"/>
    </row>
    <row r="517">
      <c r="E517" s="115"/>
      <c r="F517" s="115"/>
      <c r="G517" s="115"/>
      <c r="H517" s="115"/>
      <c r="I517" s="115"/>
      <c r="J517" s="115"/>
      <c r="K517" s="115"/>
      <c r="L517" s="115"/>
      <c r="M517" s="115"/>
      <c r="N517" s="115"/>
      <c r="O517" s="115"/>
    </row>
    <row r="518">
      <c r="E518" s="115"/>
      <c r="F518" s="115"/>
      <c r="G518" s="115"/>
      <c r="H518" s="115"/>
      <c r="I518" s="115"/>
      <c r="J518" s="115"/>
      <c r="K518" s="115"/>
      <c r="L518" s="115"/>
      <c r="M518" s="115"/>
      <c r="N518" s="115"/>
      <c r="O518" s="115"/>
    </row>
    <row r="519">
      <c r="E519" s="115"/>
      <c r="F519" s="115"/>
      <c r="G519" s="115"/>
      <c r="H519" s="115"/>
      <c r="I519" s="115"/>
      <c r="J519" s="115"/>
      <c r="K519" s="115"/>
      <c r="L519" s="115"/>
      <c r="M519" s="115"/>
      <c r="N519" s="115"/>
      <c r="O519" s="115"/>
    </row>
    <row r="520">
      <c r="E520" s="115"/>
      <c r="F520" s="115"/>
      <c r="G520" s="115"/>
      <c r="H520" s="115"/>
      <c r="I520" s="115"/>
      <c r="J520" s="115"/>
      <c r="K520" s="115"/>
      <c r="L520" s="115"/>
      <c r="M520" s="115"/>
      <c r="N520" s="115"/>
      <c r="O520" s="115"/>
    </row>
    <row r="521">
      <c r="E521" s="115"/>
      <c r="F521" s="115"/>
      <c r="G521" s="115"/>
      <c r="H521" s="115"/>
      <c r="I521" s="115"/>
      <c r="J521" s="115"/>
      <c r="K521" s="115"/>
      <c r="L521" s="115"/>
      <c r="M521" s="115"/>
      <c r="N521" s="115"/>
      <c r="O521" s="115"/>
    </row>
    <row r="522">
      <c r="E522" s="115"/>
      <c r="F522" s="115"/>
      <c r="G522" s="115"/>
      <c r="H522" s="115"/>
      <c r="I522" s="115"/>
      <c r="J522" s="115"/>
      <c r="K522" s="115"/>
      <c r="L522" s="115"/>
      <c r="M522" s="115"/>
      <c r="N522" s="115"/>
      <c r="O522" s="115"/>
    </row>
    <row r="523">
      <c r="E523" s="115"/>
      <c r="F523" s="115"/>
      <c r="G523" s="115"/>
      <c r="H523" s="115"/>
      <c r="I523" s="115"/>
      <c r="J523" s="115"/>
      <c r="K523" s="115"/>
      <c r="L523" s="115"/>
      <c r="M523" s="115"/>
      <c r="N523" s="115"/>
      <c r="O523" s="115"/>
    </row>
    <row r="524">
      <c r="E524" s="115"/>
      <c r="F524" s="115"/>
      <c r="G524" s="115"/>
      <c r="H524" s="115"/>
      <c r="I524" s="115"/>
      <c r="J524" s="115"/>
      <c r="K524" s="115"/>
      <c r="L524" s="115"/>
      <c r="M524" s="115"/>
      <c r="N524" s="115"/>
      <c r="O524" s="115"/>
    </row>
    <row r="525">
      <c r="E525" s="115"/>
      <c r="F525" s="115"/>
      <c r="G525" s="115"/>
      <c r="H525" s="115"/>
      <c r="I525" s="115"/>
      <c r="J525" s="115"/>
      <c r="K525" s="115"/>
      <c r="L525" s="115"/>
      <c r="M525" s="115"/>
      <c r="N525" s="115"/>
      <c r="O525" s="115"/>
    </row>
    <row r="526">
      <c r="E526" s="115"/>
      <c r="F526" s="115"/>
      <c r="G526" s="115"/>
      <c r="H526" s="115"/>
      <c r="I526" s="115"/>
      <c r="J526" s="115"/>
      <c r="K526" s="115"/>
      <c r="L526" s="115"/>
      <c r="M526" s="115"/>
      <c r="N526" s="115"/>
      <c r="O526" s="115"/>
    </row>
    <row r="527">
      <c r="E527" s="115"/>
      <c r="F527" s="115"/>
      <c r="G527" s="115"/>
      <c r="H527" s="115"/>
      <c r="I527" s="115"/>
      <c r="J527" s="115"/>
      <c r="K527" s="115"/>
      <c r="L527" s="115"/>
      <c r="M527" s="115"/>
      <c r="N527" s="115"/>
      <c r="O527" s="115"/>
    </row>
    <row r="528">
      <c r="E528" s="115"/>
      <c r="F528" s="115"/>
      <c r="G528" s="115"/>
      <c r="H528" s="115"/>
      <c r="I528" s="115"/>
      <c r="J528" s="115"/>
      <c r="K528" s="115"/>
      <c r="L528" s="115"/>
      <c r="M528" s="115"/>
      <c r="N528" s="115"/>
      <c r="O528" s="115"/>
    </row>
    <row r="529">
      <c r="E529" s="115"/>
      <c r="F529" s="115"/>
      <c r="G529" s="115"/>
      <c r="H529" s="115"/>
      <c r="I529" s="115"/>
      <c r="J529" s="115"/>
      <c r="K529" s="115"/>
      <c r="L529" s="115"/>
      <c r="M529" s="115"/>
      <c r="N529" s="115"/>
      <c r="O529" s="115"/>
    </row>
    <row r="530">
      <c r="E530" s="115"/>
      <c r="F530" s="115"/>
      <c r="G530" s="115"/>
      <c r="H530" s="115"/>
      <c r="I530" s="115"/>
      <c r="J530" s="115"/>
      <c r="K530" s="115"/>
      <c r="L530" s="115"/>
      <c r="M530" s="115"/>
      <c r="N530" s="115"/>
      <c r="O530" s="115"/>
    </row>
    <row r="531">
      <c r="E531" s="115"/>
      <c r="F531" s="115"/>
      <c r="G531" s="115"/>
      <c r="H531" s="115"/>
      <c r="I531" s="115"/>
      <c r="J531" s="115"/>
      <c r="K531" s="115"/>
      <c r="L531" s="115"/>
      <c r="M531" s="115"/>
      <c r="N531" s="115"/>
      <c r="O531" s="115"/>
    </row>
    <row r="532">
      <c r="E532" s="115"/>
      <c r="F532" s="115"/>
      <c r="G532" s="115"/>
      <c r="H532" s="115"/>
      <c r="I532" s="115"/>
      <c r="J532" s="115"/>
      <c r="K532" s="115"/>
      <c r="L532" s="115"/>
      <c r="M532" s="115"/>
      <c r="N532" s="115"/>
      <c r="O532" s="115"/>
    </row>
    <row r="533">
      <c r="E533" s="115"/>
      <c r="F533" s="115"/>
      <c r="G533" s="115"/>
      <c r="H533" s="115"/>
      <c r="I533" s="115"/>
      <c r="J533" s="115"/>
      <c r="K533" s="115"/>
      <c r="L533" s="115"/>
      <c r="M533" s="115"/>
      <c r="N533" s="115"/>
      <c r="O533" s="115"/>
    </row>
    <row r="534">
      <c r="E534" s="115"/>
      <c r="F534" s="115"/>
      <c r="G534" s="115"/>
      <c r="H534" s="115"/>
      <c r="I534" s="115"/>
      <c r="J534" s="115"/>
      <c r="K534" s="115"/>
      <c r="L534" s="115"/>
      <c r="M534" s="115"/>
      <c r="N534" s="115"/>
      <c r="O534" s="115"/>
    </row>
    <row r="535">
      <c r="E535" s="115"/>
      <c r="F535" s="115"/>
      <c r="G535" s="115"/>
      <c r="H535" s="115"/>
      <c r="I535" s="115"/>
      <c r="J535" s="115"/>
      <c r="K535" s="115"/>
      <c r="L535" s="115"/>
      <c r="M535" s="115"/>
      <c r="N535" s="115"/>
      <c r="O535" s="115"/>
    </row>
    <row r="536">
      <c r="E536" s="115"/>
      <c r="F536" s="115"/>
      <c r="G536" s="115"/>
      <c r="H536" s="115"/>
      <c r="I536" s="115"/>
      <c r="J536" s="115"/>
      <c r="K536" s="115"/>
      <c r="L536" s="115"/>
      <c r="M536" s="115"/>
      <c r="N536" s="115"/>
      <c r="O536" s="115"/>
    </row>
    <row r="537">
      <c r="E537" s="115"/>
      <c r="F537" s="115"/>
      <c r="G537" s="115"/>
      <c r="H537" s="115"/>
      <c r="I537" s="115"/>
      <c r="J537" s="115"/>
      <c r="K537" s="115"/>
      <c r="L537" s="115"/>
      <c r="M537" s="115"/>
      <c r="N537" s="115"/>
      <c r="O537" s="115"/>
    </row>
    <row r="538">
      <c r="E538" s="115"/>
      <c r="F538" s="115"/>
      <c r="G538" s="115"/>
      <c r="H538" s="115"/>
      <c r="I538" s="115"/>
      <c r="J538" s="115"/>
      <c r="K538" s="115"/>
      <c r="L538" s="115"/>
      <c r="M538" s="115"/>
      <c r="N538" s="115"/>
      <c r="O538" s="115"/>
    </row>
    <row r="539">
      <c r="E539" s="115"/>
      <c r="F539" s="115"/>
      <c r="G539" s="115"/>
      <c r="H539" s="115"/>
      <c r="I539" s="115"/>
      <c r="J539" s="115"/>
      <c r="K539" s="115"/>
      <c r="L539" s="115"/>
      <c r="M539" s="115"/>
      <c r="N539" s="115"/>
      <c r="O539" s="115"/>
    </row>
    <row r="540">
      <c r="E540" s="115"/>
      <c r="F540" s="115"/>
      <c r="G540" s="115"/>
      <c r="H540" s="115"/>
      <c r="I540" s="115"/>
      <c r="J540" s="115"/>
      <c r="K540" s="115"/>
      <c r="L540" s="115"/>
      <c r="M540" s="115"/>
      <c r="N540" s="115"/>
      <c r="O540" s="115"/>
    </row>
    <row r="541">
      <c r="E541" s="115"/>
      <c r="F541" s="115"/>
      <c r="G541" s="115"/>
      <c r="H541" s="115"/>
      <c r="I541" s="115"/>
      <c r="J541" s="115"/>
      <c r="K541" s="115"/>
      <c r="L541" s="115"/>
      <c r="M541" s="115"/>
      <c r="N541" s="115"/>
      <c r="O541" s="115"/>
    </row>
    <row r="542">
      <c r="E542" s="115"/>
      <c r="F542" s="115"/>
      <c r="G542" s="115"/>
      <c r="H542" s="115"/>
      <c r="I542" s="115"/>
      <c r="J542" s="115"/>
      <c r="K542" s="115"/>
      <c r="L542" s="115"/>
      <c r="M542" s="115"/>
      <c r="N542" s="115"/>
      <c r="O542" s="115"/>
    </row>
    <row r="543">
      <c r="E543" s="115"/>
      <c r="F543" s="115"/>
      <c r="G543" s="115"/>
      <c r="H543" s="115"/>
      <c r="I543" s="115"/>
      <c r="J543" s="115"/>
      <c r="K543" s="115"/>
      <c r="L543" s="115"/>
      <c r="M543" s="115"/>
      <c r="N543" s="115"/>
      <c r="O543" s="115"/>
    </row>
    <row r="544">
      <c r="E544" s="115"/>
      <c r="F544" s="115"/>
      <c r="G544" s="115"/>
      <c r="H544" s="115"/>
      <c r="I544" s="115"/>
      <c r="J544" s="115"/>
      <c r="K544" s="115"/>
      <c r="L544" s="115"/>
      <c r="M544" s="115"/>
      <c r="N544" s="115"/>
      <c r="O544" s="115"/>
    </row>
    <row r="545">
      <c r="E545" s="115"/>
      <c r="F545" s="115"/>
      <c r="G545" s="115"/>
      <c r="H545" s="115"/>
      <c r="I545" s="115"/>
      <c r="J545" s="115"/>
      <c r="K545" s="115"/>
      <c r="L545" s="115"/>
      <c r="M545" s="115"/>
      <c r="N545" s="115"/>
      <c r="O545" s="115"/>
    </row>
    <row r="546">
      <c r="E546" s="115"/>
      <c r="F546" s="115"/>
      <c r="G546" s="115"/>
      <c r="H546" s="115"/>
      <c r="I546" s="115"/>
      <c r="J546" s="115"/>
      <c r="K546" s="115"/>
      <c r="L546" s="115"/>
      <c r="M546" s="115"/>
      <c r="N546" s="115"/>
      <c r="O546" s="115"/>
    </row>
    <row r="547">
      <c r="E547" s="115"/>
      <c r="F547" s="115"/>
      <c r="G547" s="115"/>
      <c r="H547" s="115"/>
      <c r="I547" s="115"/>
      <c r="J547" s="115"/>
      <c r="K547" s="115"/>
      <c r="L547" s="115"/>
      <c r="M547" s="115"/>
      <c r="N547" s="115"/>
      <c r="O547" s="115"/>
    </row>
    <row r="548">
      <c r="E548" s="115"/>
      <c r="F548" s="115"/>
      <c r="G548" s="115"/>
      <c r="H548" s="115"/>
      <c r="I548" s="115"/>
      <c r="J548" s="115"/>
      <c r="K548" s="115"/>
      <c r="L548" s="115"/>
      <c r="M548" s="115"/>
      <c r="N548" s="115"/>
      <c r="O548" s="115"/>
    </row>
    <row r="549">
      <c r="E549" s="115"/>
      <c r="F549" s="115"/>
      <c r="G549" s="115"/>
      <c r="H549" s="115"/>
      <c r="I549" s="115"/>
      <c r="J549" s="115"/>
      <c r="K549" s="115"/>
      <c r="L549" s="115"/>
      <c r="M549" s="115"/>
      <c r="N549" s="115"/>
      <c r="O549" s="115"/>
    </row>
    <row r="550">
      <c r="E550" s="115"/>
      <c r="F550" s="115"/>
      <c r="G550" s="115"/>
      <c r="H550" s="115"/>
      <c r="I550" s="115"/>
      <c r="J550" s="115"/>
      <c r="K550" s="115"/>
      <c r="L550" s="115"/>
      <c r="M550" s="115"/>
      <c r="N550" s="115"/>
      <c r="O550" s="115"/>
    </row>
    <row r="551">
      <c r="E551" s="115"/>
      <c r="F551" s="115"/>
      <c r="G551" s="115"/>
      <c r="H551" s="115"/>
      <c r="I551" s="115"/>
      <c r="J551" s="115"/>
      <c r="K551" s="115"/>
      <c r="L551" s="115"/>
      <c r="M551" s="115"/>
      <c r="N551" s="115"/>
      <c r="O551" s="115"/>
    </row>
    <row r="552">
      <c r="E552" s="115"/>
      <c r="F552" s="115"/>
      <c r="G552" s="115"/>
      <c r="H552" s="115"/>
      <c r="I552" s="115"/>
      <c r="J552" s="115"/>
      <c r="K552" s="115"/>
      <c r="L552" s="115"/>
      <c r="M552" s="115"/>
      <c r="N552" s="115"/>
      <c r="O552" s="115"/>
    </row>
    <row r="553">
      <c r="E553" s="115"/>
      <c r="F553" s="115"/>
      <c r="G553" s="115"/>
      <c r="H553" s="115"/>
      <c r="I553" s="115"/>
      <c r="J553" s="115"/>
      <c r="K553" s="115"/>
      <c r="L553" s="115"/>
      <c r="M553" s="115"/>
      <c r="N553" s="115"/>
      <c r="O553" s="115"/>
    </row>
    <row r="554">
      <c r="E554" s="115"/>
      <c r="F554" s="115"/>
      <c r="G554" s="115"/>
      <c r="H554" s="115"/>
      <c r="I554" s="115"/>
      <c r="J554" s="115"/>
      <c r="K554" s="115"/>
      <c r="L554" s="115"/>
      <c r="M554" s="115"/>
      <c r="N554" s="115"/>
      <c r="O554" s="115"/>
    </row>
    <row r="555">
      <c r="E555" s="115"/>
      <c r="F555" s="115"/>
      <c r="G555" s="115"/>
      <c r="H555" s="115"/>
      <c r="I555" s="115"/>
      <c r="J555" s="115"/>
      <c r="K555" s="115"/>
      <c r="L555" s="115"/>
      <c r="M555" s="115"/>
      <c r="N555" s="115"/>
      <c r="O555" s="115"/>
    </row>
    <row r="556">
      <c r="E556" s="115"/>
      <c r="F556" s="115"/>
      <c r="G556" s="115"/>
      <c r="H556" s="115"/>
      <c r="I556" s="115"/>
      <c r="J556" s="115"/>
      <c r="K556" s="115"/>
      <c r="L556" s="115"/>
      <c r="M556" s="115"/>
      <c r="N556" s="115"/>
      <c r="O556" s="115"/>
    </row>
    <row r="557">
      <c r="E557" s="115"/>
      <c r="F557" s="115"/>
      <c r="G557" s="115"/>
      <c r="H557" s="115"/>
      <c r="I557" s="115"/>
      <c r="J557" s="115"/>
      <c r="K557" s="115"/>
      <c r="L557" s="115"/>
      <c r="M557" s="115"/>
      <c r="N557" s="115"/>
      <c r="O557" s="115"/>
    </row>
    <row r="558">
      <c r="E558" s="115"/>
      <c r="F558" s="115"/>
      <c r="G558" s="115"/>
      <c r="H558" s="115"/>
      <c r="I558" s="115"/>
      <c r="J558" s="115"/>
      <c r="K558" s="115"/>
      <c r="L558" s="115"/>
      <c r="M558" s="115"/>
      <c r="N558" s="115"/>
      <c r="O558" s="115"/>
    </row>
    <row r="559">
      <c r="E559" s="115"/>
      <c r="F559" s="115"/>
      <c r="G559" s="115"/>
      <c r="H559" s="115"/>
      <c r="I559" s="115"/>
      <c r="J559" s="115"/>
      <c r="K559" s="115"/>
      <c r="L559" s="115"/>
      <c r="M559" s="115"/>
      <c r="N559" s="115"/>
      <c r="O559" s="115"/>
    </row>
    <row r="560">
      <c r="E560" s="115"/>
      <c r="F560" s="115"/>
      <c r="G560" s="115"/>
      <c r="H560" s="115"/>
      <c r="I560" s="115"/>
      <c r="J560" s="115"/>
      <c r="K560" s="115"/>
      <c r="L560" s="115"/>
      <c r="M560" s="115"/>
      <c r="N560" s="115"/>
      <c r="O560" s="115"/>
    </row>
    <row r="561">
      <c r="E561" s="115"/>
      <c r="F561" s="115"/>
      <c r="G561" s="115"/>
      <c r="H561" s="115"/>
      <c r="I561" s="115"/>
      <c r="J561" s="115"/>
      <c r="K561" s="115"/>
      <c r="L561" s="115"/>
      <c r="M561" s="115"/>
      <c r="N561" s="115"/>
      <c r="O561" s="115"/>
    </row>
    <row r="562">
      <c r="E562" s="115"/>
      <c r="F562" s="115"/>
      <c r="G562" s="115"/>
      <c r="H562" s="115"/>
      <c r="I562" s="115"/>
      <c r="J562" s="115"/>
      <c r="K562" s="115"/>
      <c r="L562" s="115"/>
      <c r="M562" s="115"/>
      <c r="N562" s="115"/>
      <c r="O562" s="115"/>
    </row>
    <row r="563">
      <c r="E563" s="115"/>
      <c r="F563" s="115"/>
      <c r="G563" s="115"/>
      <c r="H563" s="115"/>
      <c r="I563" s="115"/>
      <c r="J563" s="115"/>
      <c r="K563" s="115"/>
      <c r="L563" s="115"/>
      <c r="M563" s="115"/>
      <c r="N563" s="115"/>
      <c r="O563" s="115"/>
    </row>
    <row r="564">
      <c r="E564" s="115"/>
      <c r="F564" s="115"/>
      <c r="G564" s="115"/>
      <c r="H564" s="115"/>
      <c r="I564" s="115"/>
      <c r="J564" s="115"/>
      <c r="K564" s="115"/>
      <c r="L564" s="115"/>
      <c r="M564" s="115"/>
      <c r="N564" s="115"/>
      <c r="O564" s="115"/>
    </row>
    <row r="565">
      <c r="E565" s="115"/>
      <c r="F565" s="115"/>
      <c r="G565" s="115"/>
      <c r="H565" s="115"/>
      <c r="I565" s="115"/>
      <c r="J565" s="115"/>
      <c r="K565" s="115"/>
      <c r="L565" s="115"/>
      <c r="M565" s="115"/>
      <c r="N565" s="115"/>
      <c r="O565" s="115"/>
    </row>
    <row r="566">
      <c r="E566" s="115"/>
      <c r="F566" s="115"/>
      <c r="G566" s="115"/>
      <c r="H566" s="115"/>
      <c r="I566" s="115"/>
      <c r="J566" s="115"/>
      <c r="K566" s="115"/>
      <c r="L566" s="115"/>
      <c r="M566" s="115"/>
      <c r="N566" s="115"/>
      <c r="O566" s="115"/>
    </row>
    <row r="567">
      <c r="E567" s="115"/>
      <c r="F567" s="115"/>
      <c r="G567" s="115"/>
      <c r="H567" s="115"/>
      <c r="I567" s="115"/>
      <c r="J567" s="115"/>
      <c r="K567" s="115"/>
      <c r="L567" s="115"/>
      <c r="M567" s="115"/>
      <c r="N567" s="115"/>
      <c r="O567" s="115"/>
    </row>
    <row r="568">
      <c r="E568" s="115"/>
      <c r="F568" s="115"/>
      <c r="G568" s="115"/>
      <c r="H568" s="115"/>
      <c r="I568" s="115"/>
      <c r="J568" s="115"/>
      <c r="K568" s="115"/>
      <c r="L568" s="115"/>
      <c r="M568" s="115"/>
      <c r="N568" s="115"/>
      <c r="O568" s="115"/>
    </row>
    <row r="569">
      <c r="E569" s="115"/>
      <c r="F569" s="115"/>
      <c r="G569" s="115"/>
      <c r="H569" s="115"/>
      <c r="I569" s="115"/>
      <c r="J569" s="115"/>
      <c r="K569" s="115"/>
      <c r="L569" s="115"/>
      <c r="M569" s="115"/>
      <c r="N569" s="115"/>
      <c r="O569" s="115"/>
    </row>
    <row r="570">
      <c r="E570" s="115"/>
      <c r="F570" s="115"/>
      <c r="G570" s="115"/>
      <c r="H570" s="115"/>
      <c r="I570" s="115"/>
      <c r="J570" s="115"/>
      <c r="K570" s="115"/>
      <c r="L570" s="115"/>
      <c r="M570" s="115"/>
      <c r="N570" s="115"/>
      <c r="O570" s="115"/>
    </row>
    <row r="571">
      <c r="E571" s="115"/>
      <c r="F571" s="115"/>
      <c r="G571" s="115"/>
      <c r="H571" s="115"/>
      <c r="I571" s="115"/>
      <c r="J571" s="115"/>
      <c r="K571" s="115"/>
      <c r="L571" s="115"/>
      <c r="M571" s="115"/>
      <c r="N571" s="115"/>
      <c r="O571" s="115"/>
    </row>
    <row r="572">
      <c r="E572" s="115"/>
      <c r="F572" s="115"/>
      <c r="G572" s="115"/>
      <c r="H572" s="115"/>
      <c r="I572" s="115"/>
      <c r="J572" s="115"/>
      <c r="K572" s="115"/>
      <c r="L572" s="115"/>
      <c r="M572" s="115"/>
      <c r="N572" s="115"/>
      <c r="O572" s="115"/>
    </row>
    <row r="573">
      <c r="E573" s="115"/>
      <c r="F573" s="115"/>
      <c r="G573" s="115"/>
      <c r="H573" s="115"/>
      <c r="I573" s="115"/>
      <c r="J573" s="115"/>
      <c r="K573" s="115"/>
      <c r="L573" s="115"/>
      <c r="M573" s="115"/>
      <c r="N573" s="115"/>
      <c r="O573" s="115"/>
    </row>
    <row r="574">
      <c r="E574" s="115"/>
      <c r="F574" s="115"/>
      <c r="G574" s="115"/>
      <c r="H574" s="115"/>
      <c r="I574" s="115"/>
      <c r="J574" s="115"/>
      <c r="K574" s="115"/>
      <c r="L574" s="115"/>
      <c r="M574" s="115"/>
      <c r="N574" s="115"/>
      <c r="O574" s="115"/>
    </row>
    <row r="575">
      <c r="E575" s="115"/>
      <c r="F575" s="115"/>
      <c r="G575" s="115"/>
      <c r="H575" s="115"/>
      <c r="I575" s="115"/>
      <c r="J575" s="115"/>
      <c r="K575" s="115"/>
      <c r="L575" s="115"/>
      <c r="M575" s="115"/>
      <c r="N575" s="115"/>
      <c r="O575" s="115"/>
    </row>
    <row r="576">
      <c r="E576" s="115"/>
      <c r="F576" s="115"/>
      <c r="G576" s="115"/>
      <c r="H576" s="115"/>
      <c r="I576" s="115"/>
      <c r="J576" s="115"/>
      <c r="K576" s="115"/>
      <c r="L576" s="115"/>
      <c r="M576" s="115"/>
      <c r="N576" s="115"/>
      <c r="O576" s="115"/>
    </row>
    <row r="577">
      <c r="E577" s="115"/>
      <c r="F577" s="115"/>
      <c r="G577" s="115"/>
      <c r="H577" s="115"/>
      <c r="I577" s="115"/>
      <c r="J577" s="115"/>
      <c r="K577" s="115"/>
      <c r="L577" s="115"/>
      <c r="M577" s="115"/>
      <c r="N577" s="115"/>
      <c r="O577" s="115"/>
    </row>
    <row r="578">
      <c r="E578" s="115"/>
      <c r="F578" s="115"/>
      <c r="G578" s="115"/>
      <c r="H578" s="115"/>
      <c r="I578" s="115"/>
      <c r="J578" s="115"/>
      <c r="K578" s="115"/>
      <c r="L578" s="115"/>
      <c r="M578" s="115"/>
      <c r="N578" s="115"/>
      <c r="O578" s="115"/>
    </row>
    <row r="579">
      <c r="E579" s="115"/>
      <c r="F579" s="115"/>
      <c r="G579" s="115"/>
      <c r="H579" s="115"/>
      <c r="I579" s="115"/>
      <c r="J579" s="115"/>
      <c r="K579" s="115"/>
      <c r="L579" s="115"/>
      <c r="M579" s="115"/>
      <c r="N579" s="115"/>
      <c r="O579" s="115"/>
    </row>
    <row r="580">
      <c r="E580" s="115"/>
      <c r="F580" s="115"/>
      <c r="G580" s="115"/>
      <c r="H580" s="115"/>
      <c r="I580" s="115"/>
      <c r="J580" s="115"/>
      <c r="K580" s="115"/>
      <c r="L580" s="115"/>
      <c r="M580" s="115"/>
      <c r="N580" s="115"/>
      <c r="O580" s="115"/>
    </row>
    <row r="581">
      <c r="E581" s="115"/>
      <c r="F581" s="115"/>
      <c r="G581" s="115"/>
      <c r="H581" s="115"/>
      <c r="I581" s="115"/>
      <c r="J581" s="115"/>
      <c r="K581" s="115"/>
      <c r="L581" s="115"/>
      <c r="M581" s="115"/>
      <c r="N581" s="115"/>
      <c r="O581" s="115"/>
    </row>
    <row r="582">
      <c r="E582" s="115"/>
      <c r="F582" s="115"/>
      <c r="G582" s="115"/>
      <c r="H582" s="115"/>
      <c r="I582" s="115"/>
      <c r="J582" s="115"/>
      <c r="K582" s="115"/>
      <c r="L582" s="115"/>
      <c r="M582" s="115"/>
      <c r="N582" s="115"/>
      <c r="O582" s="115"/>
    </row>
    <row r="583">
      <c r="E583" s="115"/>
      <c r="F583" s="115"/>
      <c r="G583" s="115"/>
      <c r="H583" s="115"/>
      <c r="I583" s="115"/>
      <c r="J583" s="115"/>
      <c r="K583" s="115"/>
      <c r="L583" s="115"/>
      <c r="M583" s="115"/>
      <c r="N583" s="115"/>
      <c r="O583" s="115"/>
    </row>
    <row r="584">
      <c r="E584" s="115"/>
      <c r="F584" s="115"/>
      <c r="G584" s="115"/>
      <c r="H584" s="115"/>
      <c r="I584" s="115"/>
      <c r="J584" s="115"/>
      <c r="K584" s="115"/>
      <c r="L584" s="115"/>
      <c r="M584" s="115"/>
      <c r="N584" s="115"/>
      <c r="O584" s="115"/>
    </row>
    <row r="585">
      <c r="E585" s="115"/>
      <c r="F585" s="115"/>
      <c r="G585" s="115"/>
      <c r="H585" s="115"/>
      <c r="I585" s="115"/>
      <c r="J585" s="115"/>
      <c r="K585" s="115"/>
      <c r="L585" s="115"/>
      <c r="M585" s="115"/>
      <c r="N585" s="115"/>
      <c r="O585" s="115"/>
    </row>
    <row r="586">
      <c r="E586" s="115"/>
      <c r="F586" s="115"/>
      <c r="G586" s="115"/>
      <c r="H586" s="115"/>
      <c r="I586" s="115"/>
      <c r="J586" s="115"/>
      <c r="K586" s="115"/>
      <c r="L586" s="115"/>
      <c r="M586" s="115"/>
      <c r="N586" s="115"/>
      <c r="O586" s="115"/>
    </row>
    <row r="587">
      <c r="E587" s="115"/>
      <c r="F587" s="115"/>
      <c r="G587" s="115"/>
      <c r="H587" s="115"/>
      <c r="I587" s="115"/>
      <c r="J587" s="115"/>
      <c r="K587" s="115"/>
      <c r="L587" s="115"/>
      <c r="M587" s="115"/>
      <c r="N587" s="115"/>
      <c r="O587" s="115"/>
    </row>
    <row r="588">
      <c r="E588" s="115"/>
      <c r="F588" s="115"/>
      <c r="G588" s="115"/>
      <c r="H588" s="115"/>
      <c r="I588" s="115"/>
      <c r="J588" s="115"/>
      <c r="K588" s="115"/>
      <c r="L588" s="115"/>
      <c r="M588" s="115"/>
      <c r="N588" s="115"/>
      <c r="O588" s="115"/>
    </row>
    <row r="589">
      <c r="E589" s="115"/>
      <c r="F589" s="115"/>
      <c r="G589" s="115"/>
      <c r="H589" s="115"/>
      <c r="I589" s="115"/>
      <c r="J589" s="115"/>
      <c r="K589" s="115"/>
      <c r="L589" s="115"/>
      <c r="M589" s="115"/>
      <c r="N589" s="115"/>
      <c r="O589" s="115"/>
    </row>
    <row r="590">
      <c r="E590" s="115"/>
      <c r="F590" s="115"/>
      <c r="G590" s="115"/>
      <c r="H590" s="115"/>
      <c r="I590" s="115"/>
      <c r="J590" s="115"/>
      <c r="K590" s="115"/>
      <c r="L590" s="115"/>
      <c r="M590" s="115"/>
      <c r="N590" s="115"/>
      <c r="O590" s="115"/>
    </row>
    <row r="591">
      <c r="E591" s="115"/>
      <c r="F591" s="115"/>
      <c r="G591" s="115"/>
      <c r="H591" s="115"/>
      <c r="I591" s="115"/>
      <c r="J591" s="115"/>
      <c r="K591" s="115"/>
      <c r="L591" s="115"/>
      <c r="M591" s="115"/>
      <c r="N591" s="115"/>
      <c r="O591" s="115"/>
    </row>
    <row r="592">
      <c r="E592" s="115"/>
      <c r="F592" s="115"/>
      <c r="G592" s="115"/>
      <c r="H592" s="115"/>
      <c r="I592" s="115"/>
      <c r="J592" s="115"/>
      <c r="K592" s="115"/>
      <c r="L592" s="115"/>
      <c r="M592" s="115"/>
      <c r="N592" s="115"/>
      <c r="O592" s="115"/>
    </row>
    <row r="593">
      <c r="E593" s="115"/>
      <c r="F593" s="115"/>
      <c r="G593" s="115"/>
      <c r="H593" s="115"/>
      <c r="I593" s="115"/>
      <c r="J593" s="115"/>
      <c r="K593" s="115"/>
      <c r="L593" s="115"/>
      <c r="M593" s="115"/>
      <c r="N593" s="115"/>
      <c r="O593" s="115"/>
    </row>
    <row r="594">
      <c r="E594" s="115"/>
      <c r="F594" s="115"/>
      <c r="G594" s="115"/>
      <c r="H594" s="115"/>
      <c r="I594" s="115"/>
      <c r="J594" s="115"/>
      <c r="K594" s="115"/>
      <c r="L594" s="115"/>
      <c r="M594" s="115"/>
      <c r="N594" s="115"/>
      <c r="O594" s="115"/>
    </row>
    <row r="595">
      <c r="E595" s="115"/>
      <c r="F595" s="115"/>
      <c r="G595" s="115"/>
      <c r="H595" s="115"/>
      <c r="I595" s="115"/>
      <c r="J595" s="115"/>
      <c r="K595" s="115"/>
      <c r="L595" s="115"/>
      <c r="M595" s="115"/>
      <c r="N595" s="115"/>
      <c r="O595" s="115"/>
    </row>
    <row r="596">
      <c r="E596" s="115"/>
      <c r="F596" s="115"/>
      <c r="G596" s="115"/>
      <c r="H596" s="115"/>
      <c r="I596" s="115"/>
      <c r="J596" s="115"/>
      <c r="K596" s="115"/>
      <c r="L596" s="115"/>
      <c r="M596" s="115"/>
      <c r="N596" s="115"/>
      <c r="O596" s="115"/>
    </row>
    <row r="597">
      <c r="E597" s="115"/>
      <c r="F597" s="115"/>
      <c r="G597" s="115"/>
      <c r="H597" s="115"/>
      <c r="I597" s="115"/>
      <c r="J597" s="115"/>
      <c r="K597" s="115"/>
      <c r="L597" s="115"/>
      <c r="M597" s="115"/>
      <c r="N597" s="115"/>
      <c r="O597" s="115"/>
    </row>
    <row r="598">
      <c r="E598" s="115"/>
      <c r="F598" s="115"/>
      <c r="G598" s="115"/>
      <c r="H598" s="115"/>
      <c r="I598" s="115"/>
      <c r="J598" s="115"/>
      <c r="K598" s="115"/>
      <c r="L598" s="115"/>
      <c r="M598" s="115"/>
      <c r="N598" s="115"/>
      <c r="O598" s="115"/>
    </row>
    <row r="599">
      <c r="E599" s="115"/>
      <c r="F599" s="115"/>
      <c r="G599" s="115"/>
      <c r="H599" s="115"/>
      <c r="I599" s="115"/>
      <c r="J599" s="115"/>
      <c r="K599" s="115"/>
      <c r="L599" s="115"/>
      <c r="M599" s="115"/>
      <c r="N599" s="115"/>
      <c r="O599" s="115"/>
    </row>
    <row r="600">
      <c r="E600" s="115"/>
      <c r="F600" s="115"/>
      <c r="G600" s="115"/>
      <c r="H600" s="115"/>
      <c r="I600" s="115"/>
      <c r="J600" s="115"/>
      <c r="K600" s="115"/>
      <c r="L600" s="115"/>
      <c r="M600" s="115"/>
      <c r="N600" s="115"/>
      <c r="O600" s="115"/>
    </row>
    <row r="601">
      <c r="E601" s="115"/>
      <c r="F601" s="115"/>
      <c r="G601" s="115"/>
      <c r="H601" s="115"/>
      <c r="I601" s="115"/>
      <c r="J601" s="115"/>
      <c r="K601" s="115"/>
      <c r="L601" s="115"/>
      <c r="M601" s="115"/>
      <c r="N601" s="115"/>
      <c r="O601" s="115"/>
    </row>
    <row r="602">
      <c r="E602" s="115"/>
      <c r="F602" s="115"/>
      <c r="G602" s="115"/>
      <c r="H602" s="115"/>
      <c r="I602" s="115"/>
      <c r="J602" s="115"/>
      <c r="K602" s="115"/>
      <c r="L602" s="115"/>
      <c r="M602" s="115"/>
      <c r="N602" s="115"/>
      <c r="O602" s="115"/>
    </row>
    <row r="603">
      <c r="E603" s="115"/>
      <c r="F603" s="115"/>
      <c r="G603" s="115"/>
      <c r="H603" s="115"/>
      <c r="I603" s="115"/>
      <c r="J603" s="115"/>
      <c r="K603" s="115"/>
      <c r="L603" s="115"/>
      <c r="M603" s="115"/>
      <c r="N603" s="115"/>
      <c r="O603" s="115"/>
    </row>
    <row r="604">
      <c r="E604" s="115"/>
      <c r="F604" s="115"/>
      <c r="G604" s="115"/>
      <c r="H604" s="115"/>
      <c r="I604" s="115"/>
      <c r="J604" s="115"/>
      <c r="K604" s="115"/>
      <c r="L604" s="115"/>
      <c r="M604" s="115"/>
      <c r="N604" s="115"/>
      <c r="O604" s="115"/>
    </row>
    <row r="605">
      <c r="E605" s="115"/>
      <c r="F605" s="115"/>
      <c r="G605" s="115"/>
      <c r="H605" s="115"/>
      <c r="I605" s="115"/>
      <c r="J605" s="115"/>
      <c r="K605" s="115"/>
      <c r="L605" s="115"/>
      <c r="M605" s="115"/>
      <c r="N605" s="115"/>
      <c r="O605" s="115"/>
    </row>
    <row r="606">
      <c r="E606" s="115"/>
      <c r="F606" s="115"/>
      <c r="G606" s="115"/>
      <c r="H606" s="115"/>
      <c r="I606" s="115"/>
      <c r="J606" s="115"/>
      <c r="K606" s="115"/>
      <c r="L606" s="115"/>
      <c r="M606" s="115"/>
      <c r="N606" s="115"/>
      <c r="O606" s="115"/>
    </row>
    <row r="607">
      <c r="E607" s="115"/>
      <c r="F607" s="115"/>
      <c r="G607" s="115"/>
      <c r="H607" s="115"/>
      <c r="I607" s="115"/>
      <c r="J607" s="115"/>
      <c r="K607" s="115"/>
      <c r="L607" s="115"/>
      <c r="M607" s="115"/>
      <c r="N607" s="115"/>
      <c r="O607" s="115"/>
    </row>
    <row r="608">
      <c r="E608" s="115"/>
      <c r="F608" s="115"/>
      <c r="G608" s="115"/>
      <c r="H608" s="115"/>
      <c r="I608" s="115"/>
      <c r="J608" s="115"/>
      <c r="K608" s="115"/>
      <c r="L608" s="115"/>
      <c r="M608" s="115"/>
      <c r="N608" s="115"/>
      <c r="O608" s="115"/>
    </row>
    <row r="609">
      <c r="E609" s="115"/>
      <c r="F609" s="115"/>
      <c r="G609" s="115"/>
      <c r="H609" s="115"/>
      <c r="I609" s="115"/>
      <c r="J609" s="115"/>
      <c r="K609" s="115"/>
      <c r="L609" s="115"/>
      <c r="M609" s="115"/>
      <c r="N609" s="115"/>
      <c r="O609" s="115"/>
    </row>
    <row r="610">
      <c r="E610" s="115"/>
      <c r="F610" s="115"/>
      <c r="G610" s="115"/>
      <c r="H610" s="115"/>
      <c r="I610" s="115"/>
      <c r="J610" s="115"/>
      <c r="K610" s="115"/>
      <c r="L610" s="115"/>
      <c r="M610" s="115"/>
      <c r="N610" s="115"/>
      <c r="O610" s="115"/>
    </row>
    <row r="611">
      <c r="E611" s="115"/>
      <c r="F611" s="115"/>
      <c r="G611" s="115"/>
      <c r="H611" s="115"/>
      <c r="I611" s="115"/>
      <c r="J611" s="115"/>
      <c r="K611" s="115"/>
      <c r="L611" s="115"/>
      <c r="M611" s="115"/>
      <c r="N611" s="115"/>
      <c r="O611" s="115"/>
    </row>
    <row r="612">
      <c r="E612" s="115"/>
      <c r="F612" s="115"/>
      <c r="G612" s="115"/>
      <c r="H612" s="115"/>
      <c r="I612" s="115"/>
      <c r="J612" s="115"/>
      <c r="K612" s="115"/>
      <c r="L612" s="115"/>
      <c r="M612" s="115"/>
      <c r="N612" s="115"/>
      <c r="O612" s="115"/>
    </row>
    <row r="613">
      <c r="E613" s="115"/>
      <c r="F613" s="115"/>
      <c r="G613" s="115"/>
      <c r="H613" s="115"/>
      <c r="I613" s="115"/>
      <c r="J613" s="115"/>
      <c r="K613" s="115"/>
      <c r="L613" s="115"/>
      <c r="M613" s="115"/>
      <c r="N613" s="115"/>
      <c r="O613" s="115"/>
    </row>
    <row r="614">
      <c r="E614" s="115"/>
      <c r="F614" s="115"/>
      <c r="G614" s="115"/>
      <c r="H614" s="115"/>
      <c r="I614" s="115"/>
      <c r="J614" s="115"/>
      <c r="K614" s="115"/>
      <c r="L614" s="115"/>
      <c r="M614" s="115"/>
      <c r="N614" s="115"/>
      <c r="O614" s="115"/>
    </row>
    <row r="615">
      <c r="E615" s="115"/>
      <c r="F615" s="115"/>
      <c r="G615" s="115"/>
      <c r="H615" s="115"/>
      <c r="I615" s="115"/>
      <c r="J615" s="115"/>
      <c r="K615" s="115"/>
      <c r="L615" s="115"/>
      <c r="M615" s="115"/>
      <c r="N615" s="115"/>
      <c r="O615" s="115"/>
    </row>
    <row r="616">
      <c r="E616" s="115"/>
      <c r="F616" s="115"/>
      <c r="G616" s="115"/>
      <c r="H616" s="115"/>
      <c r="I616" s="115"/>
      <c r="J616" s="115"/>
      <c r="K616" s="115"/>
      <c r="L616" s="115"/>
      <c r="M616" s="115"/>
      <c r="N616" s="115"/>
      <c r="O616" s="115"/>
    </row>
    <row r="617">
      <c r="E617" s="115"/>
      <c r="F617" s="115"/>
      <c r="G617" s="115"/>
      <c r="H617" s="115"/>
      <c r="I617" s="115"/>
      <c r="J617" s="115"/>
      <c r="K617" s="115"/>
      <c r="L617" s="115"/>
      <c r="M617" s="115"/>
      <c r="N617" s="115"/>
      <c r="O617" s="115"/>
    </row>
    <row r="618">
      <c r="E618" s="115"/>
      <c r="F618" s="115"/>
      <c r="G618" s="115"/>
      <c r="H618" s="115"/>
      <c r="I618" s="115"/>
      <c r="J618" s="115"/>
      <c r="K618" s="115"/>
      <c r="L618" s="115"/>
      <c r="M618" s="115"/>
      <c r="N618" s="115"/>
      <c r="O618" s="115"/>
    </row>
    <row r="619">
      <c r="E619" s="115"/>
      <c r="F619" s="115"/>
      <c r="G619" s="115"/>
      <c r="H619" s="115"/>
      <c r="I619" s="115"/>
      <c r="J619" s="115"/>
      <c r="K619" s="115"/>
      <c r="L619" s="115"/>
      <c r="M619" s="115"/>
      <c r="N619" s="115"/>
      <c r="O619" s="115"/>
    </row>
    <row r="620">
      <c r="E620" s="115"/>
      <c r="F620" s="115"/>
      <c r="G620" s="115"/>
      <c r="H620" s="115"/>
      <c r="I620" s="115"/>
      <c r="J620" s="115"/>
      <c r="K620" s="115"/>
      <c r="L620" s="115"/>
      <c r="M620" s="115"/>
      <c r="N620" s="115"/>
      <c r="O620" s="115"/>
    </row>
    <row r="621">
      <c r="E621" s="115"/>
      <c r="F621" s="115"/>
      <c r="G621" s="115"/>
      <c r="H621" s="115"/>
      <c r="I621" s="115"/>
      <c r="J621" s="115"/>
      <c r="K621" s="115"/>
      <c r="L621" s="115"/>
      <c r="M621" s="115"/>
      <c r="N621" s="115"/>
      <c r="O621" s="115"/>
    </row>
    <row r="622">
      <c r="E622" s="115"/>
      <c r="F622" s="115"/>
      <c r="G622" s="115"/>
      <c r="H622" s="115"/>
      <c r="I622" s="115"/>
      <c r="J622" s="115"/>
      <c r="K622" s="115"/>
      <c r="L622" s="115"/>
      <c r="M622" s="115"/>
      <c r="N622" s="115"/>
      <c r="O622" s="115"/>
    </row>
    <row r="623">
      <c r="E623" s="115"/>
      <c r="F623" s="115"/>
      <c r="G623" s="115"/>
      <c r="H623" s="115"/>
      <c r="I623" s="115"/>
      <c r="J623" s="115"/>
      <c r="K623" s="115"/>
      <c r="L623" s="115"/>
      <c r="M623" s="115"/>
      <c r="N623" s="115"/>
      <c r="O623" s="115"/>
    </row>
    <row r="624">
      <c r="E624" s="115"/>
      <c r="F624" s="115"/>
      <c r="G624" s="115"/>
      <c r="H624" s="115"/>
      <c r="I624" s="115"/>
      <c r="J624" s="115"/>
      <c r="K624" s="115"/>
      <c r="L624" s="115"/>
      <c r="M624" s="115"/>
      <c r="N624" s="115"/>
      <c r="O624" s="115"/>
    </row>
    <row r="625">
      <c r="E625" s="115"/>
      <c r="F625" s="115"/>
      <c r="G625" s="115"/>
      <c r="H625" s="115"/>
      <c r="I625" s="115"/>
      <c r="J625" s="115"/>
      <c r="K625" s="115"/>
      <c r="L625" s="115"/>
      <c r="M625" s="115"/>
      <c r="N625" s="115"/>
      <c r="O625" s="115"/>
    </row>
    <row r="626">
      <c r="E626" s="115"/>
      <c r="F626" s="115"/>
      <c r="G626" s="115"/>
      <c r="H626" s="115"/>
      <c r="I626" s="115"/>
      <c r="J626" s="115"/>
      <c r="K626" s="115"/>
      <c r="L626" s="115"/>
      <c r="M626" s="115"/>
      <c r="N626" s="115"/>
      <c r="O626" s="115"/>
    </row>
    <row r="627">
      <c r="E627" s="115"/>
      <c r="F627" s="115"/>
      <c r="G627" s="115"/>
      <c r="H627" s="115"/>
      <c r="I627" s="115"/>
      <c r="J627" s="115"/>
      <c r="K627" s="115"/>
      <c r="L627" s="115"/>
      <c r="M627" s="115"/>
      <c r="N627" s="115"/>
      <c r="O627" s="115"/>
    </row>
    <row r="628">
      <c r="E628" s="115"/>
      <c r="F628" s="115"/>
      <c r="G628" s="115"/>
      <c r="H628" s="115"/>
      <c r="I628" s="115"/>
      <c r="J628" s="115"/>
      <c r="K628" s="115"/>
      <c r="L628" s="115"/>
      <c r="M628" s="115"/>
      <c r="N628" s="115"/>
      <c r="O628" s="115"/>
    </row>
    <row r="629">
      <c r="E629" s="115"/>
      <c r="F629" s="115"/>
      <c r="G629" s="115"/>
      <c r="H629" s="115"/>
      <c r="I629" s="115"/>
      <c r="J629" s="115"/>
      <c r="K629" s="115"/>
      <c r="L629" s="115"/>
      <c r="M629" s="115"/>
      <c r="N629" s="115"/>
      <c r="O629" s="115"/>
    </row>
    <row r="630">
      <c r="E630" s="115"/>
      <c r="F630" s="115"/>
      <c r="G630" s="115"/>
      <c r="H630" s="115"/>
      <c r="I630" s="115"/>
      <c r="J630" s="115"/>
      <c r="K630" s="115"/>
      <c r="L630" s="115"/>
      <c r="M630" s="115"/>
      <c r="N630" s="115"/>
      <c r="O630" s="115"/>
    </row>
    <row r="631">
      <c r="E631" s="115"/>
      <c r="F631" s="115"/>
      <c r="G631" s="115"/>
      <c r="H631" s="115"/>
      <c r="I631" s="115"/>
      <c r="J631" s="115"/>
      <c r="K631" s="115"/>
      <c r="L631" s="115"/>
      <c r="M631" s="115"/>
      <c r="N631" s="115"/>
      <c r="O631" s="115"/>
    </row>
    <row r="632">
      <c r="E632" s="115"/>
      <c r="F632" s="115"/>
      <c r="G632" s="115"/>
      <c r="H632" s="115"/>
      <c r="I632" s="115"/>
      <c r="J632" s="115"/>
      <c r="K632" s="115"/>
      <c r="L632" s="115"/>
      <c r="M632" s="115"/>
      <c r="N632" s="115"/>
      <c r="O632" s="115"/>
    </row>
    <row r="633">
      <c r="E633" s="115"/>
      <c r="F633" s="115"/>
      <c r="G633" s="115"/>
      <c r="H633" s="115"/>
      <c r="I633" s="115"/>
      <c r="J633" s="115"/>
      <c r="K633" s="115"/>
      <c r="L633" s="115"/>
      <c r="M633" s="115"/>
      <c r="N633" s="115"/>
      <c r="O633" s="115"/>
    </row>
    <row r="634">
      <c r="E634" s="115"/>
      <c r="F634" s="115"/>
      <c r="G634" s="115"/>
      <c r="H634" s="115"/>
      <c r="I634" s="115"/>
      <c r="J634" s="115"/>
      <c r="K634" s="115"/>
      <c r="L634" s="115"/>
      <c r="M634" s="115"/>
      <c r="N634" s="115"/>
      <c r="O634" s="115"/>
    </row>
    <row r="635">
      <c r="E635" s="115"/>
      <c r="F635" s="115"/>
      <c r="G635" s="115"/>
      <c r="H635" s="115"/>
      <c r="I635" s="115"/>
      <c r="J635" s="115"/>
      <c r="K635" s="115"/>
      <c r="L635" s="115"/>
      <c r="M635" s="115"/>
      <c r="N635" s="115"/>
      <c r="O635" s="115"/>
    </row>
    <row r="636">
      <c r="E636" s="115"/>
      <c r="F636" s="115"/>
      <c r="G636" s="115"/>
      <c r="H636" s="115"/>
      <c r="I636" s="115"/>
      <c r="J636" s="115"/>
      <c r="K636" s="115"/>
      <c r="L636" s="115"/>
      <c r="M636" s="115"/>
      <c r="N636" s="115"/>
      <c r="O636" s="115"/>
    </row>
    <row r="637">
      <c r="E637" s="115"/>
      <c r="F637" s="115"/>
      <c r="G637" s="115"/>
      <c r="H637" s="115"/>
      <c r="I637" s="115"/>
      <c r="J637" s="115"/>
      <c r="K637" s="115"/>
      <c r="L637" s="115"/>
      <c r="M637" s="115"/>
      <c r="N637" s="115"/>
      <c r="O637" s="115"/>
    </row>
    <row r="638">
      <c r="E638" s="115"/>
      <c r="F638" s="115"/>
      <c r="G638" s="115"/>
      <c r="H638" s="115"/>
      <c r="I638" s="115"/>
      <c r="J638" s="115"/>
      <c r="K638" s="115"/>
      <c r="L638" s="115"/>
      <c r="M638" s="115"/>
      <c r="N638" s="115"/>
      <c r="O638" s="115"/>
    </row>
    <row r="639">
      <c r="E639" s="115"/>
      <c r="F639" s="115"/>
      <c r="G639" s="115"/>
      <c r="H639" s="115"/>
      <c r="I639" s="115"/>
      <c r="J639" s="115"/>
      <c r="K639" s="115"/>
      <c r="L639" s="115"/>
      <c r="M639" s="115"/>
      <c r="N639" s="115"/>
      <c r="O639" s="115"/>
    </row>
    <row r="640">
      <c r="E640" s="115"/>
      <c r="F640" s="115"/>
      <c r="G640" s="115"/>
      <c r="H640" s="115"/>
      <c r="I640" s="115"/>
      <c r="J640" s="115"/>
      <c r="K640" s="115"/>
      <c r="L640" s="115"/>
      <c r="M640" s="115"/>
      <c r="N640" s="115"/>
      <c r="O640" s="115"/>
    </row>
    <row r="641">
      <c r="E641" s="115"/>
      <c r="F641" s="115"/>
      <c r="G641" s="115"/>
      <c r="H641" s="115"/>
      <c r="I641" s="115"/>
      <c r="J641" s="115"/>
      <c r="K641" s="115"/>
      <c r="L641" s="115"/>
      <c r="M641" s="115"/>
      <c r="N641" s="115"/>
      <c r="O641" s="115"/>
    </row>
    <row r="642">
      <c r="E642" s="115"/>
      <c r="F642" s="115"/>
      <c r="G642" s="115"/>
      <c r="H642" s="115"/>
      <c r="I642" s="115"/>
      <c r="J642" s="115"/>
      <c r="K642" s="115"/>
      <c r="L642" s="115"/>
      <c r="M642" s="115"/>
      <c r="N642" s="115"/>
      <c r="O642" s="115"/>
    </row>
    <row r="643">
      <c r="E643" s="115"/>
      <c r="F643" s="115"/>
      <c r="G643" s="115"/>
      <c r="H643" s="115"/>
      <c r="I643" s="115"/>
      <c r="J643" s="115"/>
      <c r="K643" s="115"/>
      <c r="L643" s="115"/>
      <c r="M643" s="115"/>
      <c r="N643" s="115"/>
      <c r="O643" s="115"/>
    </row>
    <row r="644">
      <c r="E644" s="115"/>
      <c r="F644" s="115"/>
      <c r="G644" s="115"/>
      <c r="H644" s="115"/>
      <c r="I644" s="115"/>
      <c r="J644" s="115"/>
      <c r="K644" s="115"/>
      <c r="L644" s="115"/>
      <c r="M644" s="115"/>
      <c r="N644" s="115"/>
      <c r="O644" s="115"/>
    </row>
    <row r="645">
      <c r="E645" s="115"/>
      <c r="F645" s="115"/>
      <c r="G645" s="115"/>
      <c r="H645" s="115"/>
      <c r="I645" s="115"/>
      <c r="J645" s="115"/>
      <c r="K645" s="115"/>
      <c r="L645" s="115"/>
      <c r="M645" s="115"/>
      <c r="N645" s="115"/>
      <c r="O645" s="115"/>
    </row>
    <row r="646">
      <c r="E646" s="115"/>
      <c r="F646" s="115"/>
      <c r="G646" s="115"/>
      <c r="H646" s="115"/>
      <c r="I646" s="115"/>
      <c r="J646" s="115"/>
      <c r="K646" s="115"/>
      <c r="L646" s="115"/>
      <c r="M646" s="115"/>
      <c r="N646" s="115"/>
      <c r="O646" s="115"/>
    </row>
    <row r="647">
      <c r="E647" s="115"/>
      <c r="F647" s="115"/>
      <c r="G647" s="115"/>
      <c r="H647" s="115"/>
      <c r="I647" s="115"/>
      <c r="J647" s="115"/>
      <c r="K647" s="115"/>
      <c r="L647" s="115"/>
      <c r="M647" s="115"/>
      <c r="N647" s="115"/>
      <c r="O647" s="115"/>
    </row>
    <row r="648">
      <c r="E648" s="115"/>
      <c r="F648" s="115"/>
      <c r="G648" s="115"/>
      <c r="H648" s="115"/>
      <c r="I648" s="115"/>
      <c r="J648" s="115"/>
      <c r="K648" s="115"/>
      <c r="L648" s="115"/>
      <c r="M648" s="115"/>
      <c r="N648" s="115"/>
      <c r="O648" s="115"/>
    </row>
    <row r="649">
      <c r="E649" s="115"/>
      <c r="F649" s="115"/>
      <c r="G649" s="115"/>
      <c r="H649" s="115"/>
      <c r="I649" s="115"/>
      <c r="J649" s="115"/>
      <c r="K649" s="115"/>
      <c r="L649" s="115"/>
      <c r="M649" s="115"/>
      <c r="N649" s="115"/>
      <c r="O649" s="115"/>
    </row>
    <row r="650">
      <c r="E650" s="115"/>
      <c r="F650" s="115"/>
      <c r="G650" s="115"/>
      <c r="H650" s="115"/>
      <c r="I650" s="115"/>
      <c r="J650" s="115"/>
      <c r="K650" s="115"/>
      <c r="L650" s="115"/>
      <c r="M650" s="115"/>
      <c r="N650" s="115"/>
      <c r="O650" s="115"/>
    </row>
    <row r="651">
      <c r="E651" s="115"/>
      <c r="F651" s="115"/>
      <c r="G651" s="115"/>
      <c r="H651" s="115"/>
      <c r="I651" s="115"/>
      <c r="J651" s="115"/>
      <c r="K651" s="115"/>
      <c r="L651" s="115"/>
      <c r="M651" s="115"/>
      <c r="N651" s="115"/>
      <c r="O651" s="115"/>
    </row>
    <row r="652">
      <c r="E652" s="115"/>
      <c r="F652" s="115"/>
      <c r="G652" s="115"/>
      <c r="H652" s="115"/>
      <c r="I652" s="115"/>
      <c r="J652" s="115"/>
      <c r="K652" s="115"/>
      <c r="L652" s="115"/>
      <c r="M652" s="115"/>
      <c r="N652" s="115"/>
      <c r="O652" s="115"/>
    </row>
    <row r="653">
      <c r="E653" s="115"/>
      <c r="F653" s="115"/>
      <c r="G653" s="115"/>
      <c r="H653" s="115"/>
      <c r="I653" s="115"/>
      <c r="J653" s="115"/>
      <c r="K653" s="115"/>
      <c r="L653" s="115"/>
      <c r="M653" s="115"/>
      <c r="N653" s="115"/>
      <c r="O653" s="115"/>
    </row>
    <row r="654">
      <c r="E654" s="115"/>
      <c r="F654" s="115"/>
      <c r="G654" s="115"/>
      <c r="H654" s="115"/>
      <c r="I654" s="115"/>
      <c r="J654" s="115"/>
      <c r="K654" s="115"/>
      <c r="L654" s="115"/>
      <c r="M654" s="115"/>
      <c r="N654" s="115"/>
      <c r="O654" s="115"/>
    </row>
    <row r="655">
      <c r="E655" s="115"/>
      <c r="F655" s="115"/>
      <c r="G655" s="115"/>
      <c r="H655" s="115"/>
      <c r="I655" s="115"/>
      <c r="J655" s="115"/>
      <c r="K655" s="115"/>
      <c r="L655" s="115"/>
      <c r="M655" s="115"/>
      <c r="N655" s="115"/>
      <c r="O655" s="115"/>
    </row>
    <row r="656">
      <c r="E656" s="115"/>
      <c r="F656" s="115"/>
      <c r="G656" s="115"/>
      <c r="H656" s="115"/>
      <c r="I656" s="115"/>
      <c r="J656" s="115"/>
      <c r="K656" s="115"/>
      <c r="L656" s="115"/>
      <c r="M656" s="115"/>
      <c r="N656" s="115"/>
      <c r="O656" s="115"/>
    </row>
    <row r="657">
      <c r="E657" s="115"/>
      <c r="F657" s="115"/>
      <c r="G657" s="115"/>
      <c r="H657" s="115"/>
      <c r="I657" s="115"/>
      <c r="J657" s="115"/>
      <c r="K657" s="115"/>
      <c r="L657" s="115"/>
      <c r="M657" s="115"/>
      <c r="N657" s="115"/>
      <c r="O657" s="115"/>
    </row>
    <row r="658">
      <c r="E658" s="115"/>
      <c r="F658" s="115"/>
      <c r="G658" s="115"/>
      <c r="H658" s="115"/>
      <c r="I658" s="115"/>
      <c r="J658" s="115"/>
      <c r="K658" s="115"/>
      <c r="L658" s="115"/>
      <c r="M658" s="115"/>
      <c r="N658" s="115"/>
      <c r="O658" s="115"/>
    </row>
    <row r="659">
      <c r="E659" s="115"/>
      <c r="F659" s="115"/>
      <c r="G659" s="115"/>
      <c r="H659" s="115"/>
      <c r="I659" s="115"/>
      <c r="J659" s="115"/>
      <c r="K659" s="115"/>
      <c r="L659" s="115"/>
      <c r="M659" s="115"/>
      <c r="N659" s="115"/>
      <c r="O659" s="115"/>
    </row>
    <row r="660">
      <c r="E660" s="115"/>
      <c r="F660" s="115"/>
      <c r="G660" s="115"/>
      <c r="H660" s="115"/>
      <c r="I660" s="115"/>
      <c r="J660" s="115"/>
      <c r="K660" s="115"/>
      <c r="L660" s="115"/>
      <c r="M660" s="115"/>
      <c r="N660" s="115"/>
      <c r="O660" s="115"/>
    </row>
    <row r="661">
      <c r="E661" s="115"/>
      <c r="F661" s="115"/>
      <c r="G661" s="115"/>
      <c r="H661" s="115"/>
      <c r="I661" s="115"/>
      <c r="J661" s="115"/>
      <c r="K661" s="115"/>
      <c r="L661" s="115"/>
      <c r="M661" s="115"/>
      <c r="N661" s="115"/>
      <c r="O661" s="115"/>
    </row>
    <row r="662">
      <c r="E662" s="115"/>
      <c r="F662" s="115"/>
      <c r="G662" s="115"/>
      <c r="H662" s="115"/>
      <c r="I662" s="115"/>
      <c r="J662" s="115"/>
      <c r="K662" s="115"/>
      <c r="L662" s="115"/>
      <c r="M662" s="115"/>
      <c r="N662" s="115"/>
      <c r="O662" s="115"/>
    </row>
    <row r="663">
      <c r="E663" s="115"/>
      <c r="F663" s="115"/>
      <c r="G663" s="115"/>
      <c r="H663" s="115"/>
      <c r="I663" s="115"/>
      <c r="J663" s="115"/>
      <c r="K663" s="115"/>
      <c r="L663" s="115"/>
      <c r="M663" s="115"/>
      <c r="N663" s="115"/>
      <c r="O663" s="115"/>
    </row>
    <row r="664">
      <c r="E664" s="115"/>
      <c r="F664" s="115"/>
      <c r="G664" s="115"/>
      <c r="H664" s="115"/>
      <c r="I664" s="115"/>
      <c r="J664" s="115"/>
      <c r="K664" s="115"/>
      <c r="L664" s="115"/>
      <c r="M664" s="115"/>
      <c r="N664" s="115"/>
      <c r="O664" s="115"/>
    </row>
    <row r="665">
      <c r="E665" s="115"/>
      <c r="F665" s="115"/>
      <c r="G665" s="115"/>
      <c r="H665" s="115"/>
      <c r="I665" s="115"/>
      <c r="J665" s="115"/>
      <c r="K665" s="115"/>
      <c r="L665" s="115"/>
      <c r="M665" s="115"/>
      <c r="N665" s="115"/>
      <c r="O665" s="115"/>
    </row>
    <row r="666">
      <c r="E666" s="115"/>
      <c r="F666" s="115"/>
      <c r="G666" s="115"/>
      <c r="H666" s="115"/>
      <c r="I666" s="115"/>
      <c r="J666" s="115"/>
      <c r="K666" s="115"/>
      <c r="L666" s="115"/>
      <c r="M666" s="115"/>
      <c r="N666" s="115"/>
      <c r="O666" s="115"/>
    </row>
    <row r="667">
      <c r="E667" s="115"/>
      <c r="F667" s="115"/>
      <c r="G667" s="115"/>
      <c r="H667" s="115"/>
      <c r="I667" s="115"/>
      <c r="J667" s="115"/>
      <c r="K667" s="115"/>
      <c r="L667" s="115"/>
      <c r="M667" s="115"/>
      <c r="N667" s="115"/>
      <c r="O667" s="115"/>
    </row>
    <row r="668">
      <c r="E668" s="115"/>
      <c r="F668" s="115"/>
      <c r="G668" s="115"/>
      <c r="H668" s="115"/>
      <c r="I668" s="115"/>
      <c r="J668" s="115"/>
      <c r="K668" s="115"/>
      <c r="L668" s="115"/>
      <c r="M668" s="115"/>
      <c r="N668" s="115"/>
      <c r="O668" s="115"/>
    </row>
    <row r="669">
      <c r="E669" s="115"/>
      <c r="F669" s="115"/>
      <c r="G669" s="115"/>
      <c r="H669" s="115"/>
      <c r="I669" s="115"/>
      <c r="J669" s="115"/>
      <c r="K669" s="115"/>
      <c r="L669" s="115"/>
      <c r="M669" s="115"/>
      <c r="N669" s="115"/>
      <c r="O669" s="115"/>
    </row>
    <row r="670">
      <c r="E670" s="115"/>
      <c r="F670" s="115"/>
      <c r="G670" s="115"/>
      <c r="H670" s="115"/>
      <c r="I670" s="115"/>
      <c r="J670" s="115"/>
      <c r="K670" s="115"/>
      <c r="L670" s="115"/>
      <c r="M670" s="115"/>
      <c r="N670" s="115"/>
      <c r="O670" s="115"/>
    </row>
    <row r="671">
      <c r="E671" s="115"/>
      <c r="F671" s="115"/>
      <c r="G671" s="115"/>
      <c r="H671" s="115"/>
      <c r="I671" s="115"/>
      <c r="J671" s="115"/>
      <c r="K671" s="115"/>
      <c r="L671" s="115"/>
      <c r="M671" s="115"/>
      <c r="N671" s="115"/>
      <c r="O671" s="115"/>
    </row>
    <row r="672">
      <c r="E672" s="115"/>
      <c r="F672" s="115"/>
      <c r="G672" s="115"/>
      <c r="H672" s="115"/>
      <c r="I672" s="115"/>
      <c r="J672" s="115"/>
      <c r="K672" s="115"/>
      <c r="L672" s="115"/>
      <c r="M672" s="115"/>
      <c r="N672" s="115"/>
      <c r="O672" s="115"/>
    </row>
    <row r="673">
      <c r="E673" s="115"/>
      <c r="F673" s="115"/>
      <c r="G673" s="115"/>
      <c r="H673" s="115"/>
      <c r="I673" s="115"/>
      <c r="J673" s="115"/>
      <c r="K673" s="115"/>
      <c r="L673" s="115"/>
      <c r="M673" s="115"/>
      <c r="N673" s="115"/>
      <c r="O673" s="115"/>
    </row>
    <row r="674">
      <c r="E674" s="115"/>
      <c r="F674" s="115"/>
      <c r="G674" s="115"/>
      <c r="H674" s="115"/>
      <c r="I674" s="115"/>
      <c r="J674" s="115"/>
      <c r="K674" s="115"/>
      <c r="L674" s="115"/>
      <c r="M674" s="115"/>
      <c r="N674" s="115"/>
      <c r="O674" s="115"/>
    </row>
    <row r="675">
      <c r="E675" s="115"/>
      <c r="F675" s="115"/>
      <c r="G675" s="115"/>
      <c r="H675" s="115"/>
      <c r="I675" s="115"/>
      <c r="J675" s="115"/>
      <c r="K675" s="115"/>
      <c r="L675" s="115"/>
      <c r="M675" s="115"/>
      <c r="N675" s="115"/>
      <c r="O675" s="115"/>
    </row>
    <row r="676">
      <c r="E676" s="115"/>
      <c r="F676" s="115"/>
      <c r="G676" s="115"/>
      <c r="H676" s="115"/>
      <c r="I676" s="115"/>
      <c r="J676" s="115"/>
      <c r="K676" s="115"/>
      <c r="L676" s="115"/>
      <c r="M676" s="115"/>
      <c r="N676" s="115"/>
      <c r="O676" s="115"/>
    </row>
    <row r="677">
      <c r="E677" s="115"/>
      <c r="F677" s="115"/>
      <c r="G677" s="115"/>
      <c r="H677" s="115"/>
      <c r="I677" s="115"/>
      <c r="J677" s="115"/>
      <c r="K677" s="115"/>
      <c r="L677" s="115"/>
      <c r="M677" s="115"/>
      <c r="N677" s="115"/>
      <c r="O677" s="115"/>
    </row>
    <row r="678">
      <c r="E678" s="115"/>
      <c r="F678" s="115"/>
      <c r="G678" s="115"/>
      <c r="H678" s="115"/>
      <c r="I678" s="115"/>
      <c r="J678" s="115"/>
      <c r="K678" s="115"/>
      <c r="L678" s="115"/>
      <c r="M678" s="115"/>
      <c r="N678" s="115"/>
      <c r="O678" s="115"/>
    </row>
    <row r="679">
      <c r="E679" s="115"/>
      <c r="F679" s="115"/>
      <c r="G679" s="115"/>
      <c r="H679" s="115"/>
      <c r="I679" s="115"/>
      <c r="J679" s="115"/>
      <c r="K679" s="115"/>
      <c r="L679" s="115"/>
      <c r="M679" s="115"/>
      <c r="N679" s="115"/>
      <c r="O679" s="115"/>
    </row>
    <row r="680">
      <c r="E680" s="115"/>
      <c r="F680" s="115"/>
      <c r="G680" s="115"/>
      <c r="H680" s="115"/>
      <c r="I680" s="115"/>
      <c r="J680" s="115"/>
      <c r="K680" s="115"/>
      <c r="L680" s="115"/>
      <c r="M680" s="115"/>
      <c r="N680" s="115"/>
      <c r="O680" s="115"/>
    </row>
    <row r="681">
      <c r="E681" s="115"/>
      <c r="F681" s="115"/>
      <c r="G681" s="115"/>
      <c r="H681" s="115"/>
      <c r="I681" s="115"/>
      <c r="J681" s="115"/>
      <c r="K681" s="115"/>
      <c r="L681" s="115"/>
      <c r="M681" s="115"/>
      <c r="N681" s="115"/>
      <c r="O681" s="115"/>
    </row>
    <row r="682">
      <c r="E682" s="115"/>
      <c r="F682" s="115"/>
      <c r="G682" s="115"/>
      <c r="H682" s="115"/>
      <c r="I682" s="115"/>
      <c r="J682" s="115"/>
      <c r="K682" s="115"/>
      <c r="L682" s="115"/>
      <c r="M682" s="115"/>
      <c r="N682" s="115"/>
      <c r="O682" s="115"/>
    </row>
    <row r="683">
      <c r="E683" s="115"/>
      <c r="F683" s="115"/>
      <c r="G683" s="115"/>
      <c r="H683" s="115"/>
      <c r="I683" s="115"/>
      <c r="J683" s="115"/>
      <c r="K683" s="115"/>
      <c r="L683" s="115"/>
      <c r="M683" s="115"/>
      <c r="N683" s="115"/>
      <c r="O683" s="115"/>
    </row>
    <row r="684">
      <c r="E684" s="115"/>
      <c r="F684" s="115"/>
      <c r="G684" s="115"/>
      <c r="H684" s="115"/>
      <c r="I684" s="115"/>
      <c r="J684" s="115"/>
      <c r="K684" s="115"/>
      <c r="L684" s="115"/>
      <c r="M684" s="115"/>
      <c r="N684" s="115"/>
      <c r="O684" s="115"/>
    </row>
    <row r="685">
      <c r="E685" s="115"/>
      <c r="F685" s="115"/>
      <c r="G685" s="115"/>
      <c r="H685" s="115"/>
      <c r="I685" s="115"/>
      <c r="J685" s="115"/>
      <c r="K685" s="115"/>
      <c r="L685" s="115"/>
      <c r="M685" s="115"/>
      <c r="N685" s="115"/>
      <c r="O685" s="115"/>
    </row>
    <row r="686">
      <c r="E686" s="115"/>
      <c r="F686" s="115"/>
      <c r="G686" s="115"/>
      <c r="H686" s="115"/>
      <c r="I686" s="115"/>
      <c r="J686" s="115"/>
      <c r="K686" s="115"/>
      <c r="L686" s="115"/>
      <c r="M686" s="115"/>
      <c r="N686" s="115"/>
      <c r="O686" s="115"/>
    </row>
    <row r="687">
      <c r="E687" s="115"/>
      <c r="F687" s="115"/>
      <c r="G687" s="115"/>
      <c r="H687" s="115"/>
      <c r="I687" s="115"/>
      <c r="J687" s="115"/>
      <c r="K687" s="115"/>
      <c r="L687" s="115"/>
      <c r="M687" s="115"/>
      <c r="N687" s="115"/>
      <c r="O687" s="115"/>
    </row>
    <row r="688">
      <c r="E688" s="115"/>
      <c r="F688" s="115"/>
      <c r="G688" s="115"/>
      <c r="H688" s="115"/>
      <c r="I688" s="115"/>
      <c r="J688" s="115"/>
      <c r="K688" s="115"/>
      <c r="L688" s="115"/>
      <c r="M688" s="115"/>
      <c r="N688" s="115"/>
      <c r="O688" s="115"/>
    </row>
    <row r="689">
      <c r="E689" s="115"/>
      <c r="F689" s="115"/>
      <c r="G689" s="115"/>
      <c r="H689" s="115"/>
      <c r="I689" s="115"/>
      <c r="J689" s="115"/>
      <c r="K689" s="115"/>
      <c r="L689" s="115"/>
      <c r="M689" s="115"/>
      <c r="N689" s="115"/>
      <c r="O689" s="115"/>
    </row>
    <row r="690">
      <c r="E690" s="115"/>
      <c r="F690" s="115"/>
      <c r="G690" s="115"/>
      <c r="H690" s="115"/>
      <c r="I690" s="115"/>
      <c r="J690" s="115"/>
      <c r="K690" s="115"/>
      <c r="L690" s="115"/>
      <c r="M690" s="115"/>
      <c r="N690" s="115"/>
      <c r="O690" s="115"/>
    </row>
    <row r="691">
      <c r="E691" s="115"/>
      <c r="F691" s="115"/>
      <c r="G691" s="115"/>
      <c r="H691" s="115"/>
      <c r="I691" s="115"/>
      <c r="J691" s="115"/>
      <c r="K691" s="115"/>
      <c r="L691" s="115"/>
      <c r="M691" s="115"/>
      <c r="N691" s="115"/>
      <c r="O691" s="115"/>
    </row>
    <row r="692">
      <c r="E692" s="115"/>
      <c r="F692" s="115"/>
      <c r="G692" s="115"/>
      <c r="H692" s="115"/>
      <c r="I692" s="115"/>
      <c r="J692" s="115"/>
      <c r="K692" s="115"/>
      <c r="L692" s="115"/>
      <c r="M692" s="115"/>
      <c r="N692" s="115"/>
      <c r="O692" s="115"/>
    </row>
    <row r="693">
      <c r="E693" s="115"/>
      <c r="F693" s="115"/>
      <c r="G693" s="115"/>
      <c r="H693" s="115"/>
      <c r="I693" s="115"/>
      <c r="J693" s="115"/>
      <c r="K693" s="115"/>
      <c r="L693" s="115"/>
      <c r="M693" s="115"/>
      <c r="N693" s="115"/>
      <c r="O693" s="115"/>
    </row>
    <row r="694">
      <c r="E694" s="115"/>
      <c r="F694" s="115"/>
      <c r="G694" s="115"/>
      <c r="H694" s="115"/>
      <c r="I694" s="115"/>
      <c r="J694" s="115"/>
      <c r="K694" s="115"/>
      <c r="L694" s="115"/>
      <c r="M694" s="115"/>
      <c r="N694" s="115"/>
      <c r="O694" s="115"/>
    </row>
    <row r="695">
      <c r="E695" s="115"/>
      <c r="F695" s="115"/>
      <c r="G695" s="115"/>
      <c r="H695" s="115"/>
      <c r="I695" s="115"/>
      <c r="J695" s="115"/>
      <c r="K695" s="115"/>
      <c r="L695" s="115"/>
      <c r="M695" s="115"/>
      <c r="N695" s="115"/>
      <c r="O695" s="115"/>
    </row>
    <row r="696">
      <c r="E696" s="115"/>
      <c r="F696" s="115"/>
      <c r="G696" s="115"/>
      <c r="H696" s="115"/>
      <c r="I696" s="115"/>
      <c r="J696" s="115"/>
      <c r="K696" s="115"/>
      <c r="L696" s="115"/>
      <c r="M696" s="115"/>
      <c r="N696" s="115"/>
      <c r="O696" s="115"/>
    </row>
    <row r="697">
      <c r="E697" s="115"/>
      <c r="F697" s="115"/>
      <c r="G697" s="115"/>
      <c r="H697" s="115"/>
      <c r="I697" s="115"/>
      <c r="J697" s="115"/>
      <c r="K697" s="115"/>
      <c r="L697" s="115"/>
      <c r="M697" s="115"/>
      <c r="N697" s="115"/>
      <c r="O697" s="115"/>
    </row>
    <row r="698">
      <c r="E698" s="115"/>
      <c r="F698" s="115"/>
      <c r="G698" s="115"/>
      <c r="H698" s="115"/>
      <c r="I698" s="115"/>
      <c r="J698" s="115"/>
      <c r="K698" s="115"/>
      <c r="L698" s="115"/>
      <c r="M698" s="115"/>
      <c r="N698" s="115"/>
      <c r="O698" s="115"/>
    </row>
    <row r="699">
      <c r="E699" s="115"/>
      <c r="F699" s="115"/>
      <c r="G699" s="115"/>
      <c r="H699" s="115"/>
      <c r="I699" s="115"/>
      <c r="J699" s="115"/>
      <c r="K699" s="115"/>
      <c r="L699" s="115"/>
      <c r="M699" s="115"/>
      <c r="N699" s="115"/>
      <c r="O699" s="115"/>
    </row>
    <row r="700">
      <c r="E700" s="115"/>
      <c r="F700" s="115"/>
      <c r="G700" s="115"/>
      <c r="H700" s="115"/>
      <c r="I700" s="115"/>
      <c r="J700" s="115"/>
      <c r="K700" s="115"/>
      <c r="L700" s="115"/>
      <c r="M700" s="115"/>
      <c r="N700" s="115"/>
      <c r="O700" s="115"/>
    </row>
    <row r="701">
      <c r="E701" s="115"/>
      <c r="F701" s="115"/>
      <c r="G701" s="115"/>
      <c r="H701" s="115"/>
      <c r="I701" s="115"/>
      <c r="J701" s="115"/>
      <c r="K701" s="115"/>
      <c r="L701" s="115"/>
      <c r="M701" s="115"/>
      <c r="N701" s="115"/>
      <c r="O701" s="115"/>
    </row>
    <row r="702">
      <c r="E702" s="115"/>
      <c r="F702" s="115"/>
      <c r="G702" s="115"/>
      <c r="H702" s="115"/>
      <c r="I702" s="115"/>
      <c r="J702" s="115"/>
      <c r="K702" s="115"/>
      <c r="L702" s="115"/>
      <c r="M702" s="115"/>
      <c r="N702" s="115"/>
      <c r="O702" s="115"/>
    </row>
    <row r="703">
      <c r="E703" s="115"/>
      <c r="F703" s="115"/>
      <c r="G703" s="115"/>
      <c r="H703" s="115"/>
      <c r="I703" s="115"/>
      <c r="J703" s="115"/>
      <c r="K703" s="115"/>
      <c r="L703" s="115"/>
      <c r="M703" s="115"/>
      <c r="N703" s="115"/>
      <c r="O703" s="115"/>
    </row>
    <row r="704">
      <c r="E704" s="115"/>
      <c r="F704" s="115"/>
      <c r="G704" s="115"/>
      <c r="H704" s="115"/>
      <c r="I704" s="115"/>
      <c r="J704" s="115"/>
      <c r="K704" s="115"/>
      <c r="L704" s="115"/>
      <c r="M704" s="115"/>
      <c r="N704" s="115"/>
      <c r="O704" s="115"/>
    </row>
    <row r="705">
      <c r="E705" s="115"/>
      <c r="F705" s="115"/>
      <c r="G705" s="115"/>
      <c r="H705" s="115"/>
      <c r="I705" s="115"/>
      <c r="J705" s="115"/>
      <c r="K705" s="115"/>
      <c r="L705" s="115"/>
      <c r="M705" s="115"/>
      <c r="N705" s="115"/>
      <c r="O705" s="115"/>
    </row>
    <row r="706">
      <c r="E706" s="115"/>
      <c r="F706" s="115"/>
      <c r="G706" s="115"/>
      <c r="H706" s="115"/>
      <c r="I706" s="115"/>
      <c r="J706" s="115"/>
      <c r="K706" s="115"/>
      <c r="L706" s="115"/>
      <c r="M706" s="115"/>
      <c r="N706" s="115"/>
      <c r="O706" s="115"/>
    </row>
    <row r="707">
      <c r="E707" s="115"/>
      <c r="F707" s="115"/>
      <c r="G707" s="115"/>
      <c r="H707" s="115"/>
      <c r="I707" s="115"/>
      <c r="J707" s="115"/>
      <c r="K707" s="115"/>
      <c r="L707" s="115"/>
      <c r="M707" s="115"/>
      <c r="N707" s="115"/>
      <c r="O707" s="115"/>
    </row>
    <row r="708">
      <c r="E708" s="115"/>
      <c r="F708" s="115"/>
      <c r="G708" s="115"/>
      <c r="H708" s="115"/>
      <c r="I708" s="115"/>
      <c r="J708" s="115"/>
      <c r="K708" s="115"/>
      <c r="L708" s="115"/>
      <c r="M708" s="115"/>
      <c r="N708" s="115"/>
      <c r="O708" s="115"/>
    </row>
    <row r="709">
      <c r="E709" s="115"/>
      <c r="F709" s="115"/>
      <c r="G709" s="115"/>
      <c r="H709" s="115"/>
      <c r="I709" s="115"/>
      <c r="J709" s="115"/>
      <c r="K709" s="115"/>
      <c r="L709" s="115"/>
      <c r="M709" s="115"/>
      <c r="N709" s="115"/>
      <c r="O709" s="115"/>
    </row>
    <row r="710">
      <c r="E710" s="115"/>
      <c r="F710" s="115"/>
      <c r="G710" s="115"/>
      <c r="H710" s="115"/>
      <c r="I710" s="115"/>
      <c r="J710" s="115"/>
      <c r="K710" s="115"/>
      <c r="L710" s="115"/>
      <c r="M710" s="115"/>
      <c r="N710" s="115"/>
      <c r="O710" s="115"/>
    </row>
    <row r="711">
      <c r="E711" s="115"/>
      <c r="F711" s="115"/>
      <c r="G711" s="115"/>
      <c r="H711" s="115"/>
      <c r="I711" s="115"/>
      <c r="J711" s="115"/>
      <c r="K711" s="115"/>
      <c r="L711" s="115"/>
      <c r="M711" s="115"/>
      <c r="N711" s="115"/>
      <c r="O711" s="115"/>
    </row>
    <row r="712">
      <c r="E712" s="115"/>
      <c r="F712" s="115"/>
      <c r="G712" s="115"/>
      <c r="H712" s="115"/>
      <c r="I712" s="115"/>
      <c r="J712" s="115"/>
      <c r="K712" s="115"/>
      <c r="L712" s="115"/>
      <c r="M712" s="115"/>
      <c r="N712" s="115"/>
      <c r="O712" s="115"/>
    </row>
    <row r="713">
      <c r="E713" s="115"/>
      <c r="F713" s="115"/>
      <c r="G713" s="115"/>
      <c r="H713" s="115"/>
      <c r="I713" s="115"/>
      <c r="J713" s="115"/>
      <c r="K713" s="115"/>
      <c r="L713" s="115"/>
      <c r="M713" s="115"/>
      <c r="N713" s="115"/>
      <c r="O713" s="115"/>
    </row>
    <row r="714">
      <c r="E714" s="115"/>
      <c r="F714" s="115"/>
      <c r="G714" s="115"/>
      <c r="H714" s="115"/>
      <c r="I714" s="115"/>
      <c r="J714" s="115"/>
      <c r="K714" s="115"/>
      <c r="L714" s="115"/>
      <c r="M714" s="115"/>
      <c r="N714" s="115"/>
      <c r="O714" s="115"/>
    </row>
    <row r="715">
      <c r="E715" s="115"/>
      <c r="F715" s="115"/>
      <c r="G715" s="115"/>
      <c r="H715" s="115"/>
      <c r="I715" s="115"/>
      <c r="J715" s="115"/>
      <c r="K715" s="115"/>
      <c r="L715" s="115"/>
      <c r="M715" s="115"/>
      <c r="N715" s="115"/>
      <c r="O715" s="115"/>
    </row>
    <row r="716">
      <c r="E716" s="115"/>
      <c r="F716" s="115"/>
      <c r="G716" s="115"/>
      <c r="H716" s="115"/>
      <c r="I716" s="115"/>
      <c r="J716" s="115"/>
      <c r="K716" s="115"/>
      <c r="L716" s="115"/>
      <c r="M716" s="115"/>
      <c r="N716" s="115"/>
      <c r="O716" s="115"/>
    </row>
    <row r="717">
      <c r="E717" s="115"/>
      <c r="F717" s="115"/>
      <c r="G717" s="115"/>
      <c r="H717" s="115"/>
      <c r="I717" s="115"/>
      <c r="J717" s="115"/>
      <c r="K717" s="115"/>
      <c r="L717" s="115"/>
      <c r="M717" s="115"/>
      <c r="N717" s="115"/>
      <c r="O717" s="115"/>
    </row>
    <row r="718">
      <c r="E718" s="115"/>
      <c r="F718" s="115"/>
      <c r="G718" s="115"/>
      <c r="H718" s="115"/>
      <c r="I718" s="115"/>
      <c r="J718" s="115"/>
      <c r="K718" s="115"/>
      <c r="L718" s="115"/>
      <c r="M718" s="115"/>
      <c r="N718" s="115"/>
      <c r="O718" s="115"/>
    </row>
    <row r="719">
      <c r="E719" s="115"/>
      <c r="F719" s="115"/>
      <c r="G719" s="115"/>
      <c r="H719" s="115"/>
      <c r="I719" s="115"/>
      <c r="J719" s="115"/>
      <c r="K719" s="115"/>
      <c r="L719" s="115"/>
      <c r="M719" s="115"/>
      <c r="N719" s="115"/>
      <c r="O719" s="115"/>
    </row>
    <row r="720">
      <c r="E720" s="115"/>
      <c r="F720" s="115"/>
      <c r="G720" s="115"/>
      <c r="H720" s="115"/>
      <c r="I720" s="115"/>
      <c r="J720" s="115"/>
      <c r="K720" s="115"/>
      <c r="L720" s="115"/>
      <c r="M720" s="115"/>
      <c r="N720" s="115"/>
      <c r="O720" s="115"/>
    </row>
    <row r="721">
      <c r="E721" s="115"/>
      <c r="F721" s="115"/>
      <c r="G721" s="115"/>
      <c r="H721" s="115"/>
      <c r="I721" s="115"/>
      <c r="J721" s="115"/>
      <c r="K721" s="115"/>
      <c r="L721" s="115"/>
      <c r="M721" s="115"/>
      <c r="N721" s="115"/>
      <c r="O721" s="115"/>
    </row>
    <row r="722">
      <c r="E722" s="115"/>
      <c r="F722" s="115"/>
      <c r="G722" s="115"/>
      <c r="H722" s="115"/>
      <c r="I722" s="115"/>
      <c r="J722" s="115"/>
      <c r="K722" s="115"/>
      <c r="L722" s="115"/>
      <c r="M722" s="115"/>
      <c r="N722" s="115"/>
      <c r="O722" s="115"/>
    </row>
    <row r="723">
      <c r="E723" s="115"/>
      <c r="F723" s="115"/>
      <c r="G723" s="115"/>
      <c r="H723" s="115"/>
      <c r="I723" s="115"/>
      <c r="J723" s="115"/>
      <c r="K723" s="115"/>
      <c r="L723" s="115"/>
      <c r="M723" s="115"/>
      <c r="N723" s="115"/>
      <c r="O723" s="115"/>
    </row>
    <row r="724">
      <c r="E724" s="115"/>
      <c r="F724" s="115"/>
      <c r="G724" s="115"/>
      <c r="H724" s="115"/>
      <c r="I724" s="115"/>
      <c r="J724" s="115"/>
      <c r="K724" s="115"/>
      <c r="L724" s="115"/>
      <c r="M724" s="115"/>
      <c r="N724" s="115"/>
      <c r="O724" s="115"/>
    </row>
    <row r="725">
      <c r="E725" s="115"/>
      <c r="F725" s="115"/>
      <c r="G725" s="115"/>
      <c r="H725" s="115"/>
      <c r="I725" s="115"/>
      <c r="J725" s="115"/>
      <c r="K725" s="115"/>
      <c r="L725" s="115"/>
      <c r="M725" s="115"/>
      <c r="N725" s="115"/>
      <c r="O725" s="115"/>
    </row>
    <row r="726">
      <c r="E726" s="115"/>
      <c r="F726" s="115"/>
      <c r="G726" s="115"/>
      <c r="H726" s="115"/>
      <c r="I726" s="115"/>
      <c r="J726" s="115"/>
      <c r="K726" s="115"/>
      <c r="L726" s="115"/>
      <c r="M726" s="115"/>
      <c r="N726" s="115"/>
      <c r="O726" s="115"/>
    </row>
    <row r="727">
      <c r="E727" s="115"/>
      <c r="F727" s="115"/>
      <c r="G727" s="115"/>
      <c r="H727" s="115"/>
      <c r="I727" s="115"/>
      <c r="J727" s="115"/>
      <c r="K727" s="115"/>
      <c r="L727" s="115"/>
      <c r="M727" s="115"/>
      <c r="N727" s="115"/>
      <c r="O727" s="115"/>
    </row>
    <row r="728">
      <c r="E728" s="115"/>
      <c r="F728" s="115"/>
      <c r="G728" s="115"/>
      <c r="H728" s="115"/>
      <c r="I728" s="115"/>
      <c r="J728" s="115"/>
      <c r="K728" s="115"/>
      <c r="L728" s="115"/>
      <c r="M728" s="115"/>
      <c r="N728" s="115"/>
      <c r="O728" s="115"/>
    </row>
    <row r="729">
      <c r="E729" s="115"/>
      <c r="F729" s="115"/>
      <c r="G729" s="115"/>
      <c r="H729" s="115"/>
      <c r="I729" s="115"/>
      <c r="J729" s="115"/>
      <c r="K729" s="115"/>
      <c r="L729" s="115"/>
      <c r="M729" s="115"/>
      <c r="N729" s="115"/>
      <c r="O729" s="115"/>
    </row>
    <row r="730">
      <c r="E730" s="115"/>
      <c r="F730" s="115"/>
      <c r="G730" s="115"/>
      <c r="H730" s="115"/>
      <c r="I730" s="115"/>
      <c r="J730" s="115"/>
      <c r="K730" s="115"/>
      <c r="L730" s="115"/>
      <c r="M730" s="115"/>
      <c r="N730" s="115"/>
      <c r="O730" s="115"/>
    </row>
    <row r="731">
      <c r="E731" s="115"/>
      <c r="F731" s="115"/>
      <c r="G731" s="115"/>
      <c r="H731" s="115"/>
      <c r="I731" s="115"/>
      <c r="J731" s="115"/>
      <c r="K731" s="115"/>
      <c r="L731" s="115"/>
      <c r="M731" s="115"/>
      <c r="N731" s="115"/>
      <c r="O731" s="115"/>
    </row>
    <row r="732">
      <c r="E732" s="115"/>
      <c r="F732" s="115"/>
      <c r="G732" s="115"/>
      <c r="H732" s="115"/>
      <c r="I732" s="115"/>
      <c r="J732" s="115"/>
      <c r="K732" s="115"/>
      <c r="L732" s="115"/>
      <c r="M732" s="115"/>
      <c r="N732" s="115"/>
      <c r="O732" s="115"/>
    </row>
    <row r="733">
      <c r="E733" s="115"/>
      <c r="F733" s="115"/>
      <c r="G733" s="115"/>
      <c r="H733" s="115"/>
      <c r="I733" s="115"/>
      <c r="J733" s="115"/>
      <c r="K733" s="115"/>
      <c r="L733" s="115"/>
      <c r="M733" s="115"/>
      <c r="N733" s="115"/>
      <c r="O733" s="115"/>
    </row>
    <row r="734">
      <c r="E734" s="115"/>
      <c r="F734" s="115"/>
      <c r="G734" s="115"/>
      <c r="H734" s="115"/>
      <c r="I734" s="115"/>
      <c r="J734" s="115"/>
      <c r="K734" s="115"/>
      <c r="L734" s="115"/>
      <c r="M734" s="115"/>
      <c r="N734" s="115"/>
      <c r="O734" s="115"/>
    </row>
    <row r="735">
      <c r="E735" s="115"/>
      <c r="F735" s="115"/>
      <c r="G735" s="115"/>
      <c r="H735" s="115"/>
      <c r="I735" s="115"/>
      <c r="J735" s="115"/>
      <c r="K735" s="115"/>
      <c r="L735" s="115"/>
      <c r="M735" s="115"/>
      <c r="N735" s="115"/>
      <c r="O735" s="115"/>
    </row>
    <row r="736">
      <c r="E736" s="115"/>
      <c r="F736" s="115"/>
      <c r="G736" s="115"/>
      <c r="H736" s="115"/>
      <c r="I736" s="115"/>
      <c r="J736" s="115"/>
      <c r="K736" s="115"/>
      <c r="L736" s="115"/>
      <c r="M736" s="115"/>
      <c r="N736" s="115"/>
      <c r="O736" s="115"/>
    </row>
    <row r="737">
      <c r="E737" s="115"/>
      <c r="F737" s="115"/>
      <c r="G737" s="115"/>
      <c r="H737" s="115"/>
      <c r="I737" s="115"/>
      <c r="J737" s="115"/>
      <c r="K737" s="115"/>
      <c r="L737" s="115"/>
      <c r="M737" s="115"/>
      <c r="N737" s="115"/>
      <c r="O737" s="115"/>
    </row>
    <row r="738">
      <c r="E738" s="115"/>
      <c r="F738" s="115"/>
      <c r="G738" s="115"/>
      <c r="H738" s="115"/>
      <c r="I738" s="115"/>
      <c r="J738" s="115"/>
      <c r="K738" s="115"/>
      <c r="L738" s="115"/>
      <c r="M738" s="115"/>
      <c r="N738" s="115"/>
      <c r="O738" s="115"/>
    </row>
    <row r="739">
      <c r="E739" s="115"/>
      <c r="F739" s="115"/>
      <c r="G739" s="115"/>
      <c r="H739" s="115"/>
      <c r="I739" s="115"/>
      <c r="J739" s="115"/>
      <c r="K739" s="115"/>
      <c r="L739" s="115"/>
      <c r="M739" s="115"/>
      <c r="N739" s="115"/>
      <c r="O739" s="115"/>
    </row>
    <row r="740">
      <c r="E740" s="115"/>
      <c r="F740" s="115"/>
      <c r="G740" s="115"/>
      <c r="H740" s="115"/>
      <c r="I740" s="115"/>
      <c r="J740" s="115"/>
      <c r="K740" s="115"/>
      <c r="L740" s="115"/>
      <c r="M740" s="115"/>
      <c r="N740" s="115"/>
      <c r="O740" s="115"/>
    </row>
    <row r="741">
      <c r="E741" s="115"/>
      <c r="F741" s="115"/>
      <c r="G741" s="115"/>
      <c r="H741" s="115"/>
      <c r="I741" s="115"/>
      <c r="J741" s="115"/>
      <c r="K741" s="115"/>
      <c r="L741" s="115"/>
      <c r="M741" s="115"/>
      <c r="N741" s="115"/>
      <c r="O741" s="115"/>
    </row>
    <row r="742">
      <c r="E742" s="115"/>
      <c r="F742" s="115"/>
      <c r="G742" s="115"/>
      <c r="H742" s="115"/>
      <c r="I742" s="115"/>
      <c r="J742" s="115"/>
      <c r="K742" s="115"/>
      <c r="L742" s="115"/>
      <c r="M742" s="115"/>
      <c r="N742" s="115"/>
      <c r="O742" s="115"/>
    </row>
    <row r="743">
      <c r="E743" s="115"/>
      <c r="F743" s="115"/>
      <c r="G743" s="115"/>
      <c r="H743" s="115"/>
      <c r="I743" s="115"/>
      <c r="J743" s="115"/>
      <c r="K743" s="115"/>
      <c r="L743" s="115"/>
      <c r="M743" s="115"/>
      <c r="N743" s="115"/>
      <c r="O743" s="115"/>
    </row>
    <row r="744">
      <c r="E744" s="115"/>
      <c r="F744" s="115"/>
      <c r="G744" s="115"/>
      <c r="H744" s="115"/>
      <c r="I744" s="115"/>
      <c r="J744" s="115"/>
      <c r="K744" s="115"/>
      <c r="L744" s="115"/>
      <c r="M744" s="115"/>
      <c r="N744" s="115"/>
      <c r="O744" s="115"/>
    </row>
    <row r="745">
      <c r="E745" s="115"/>
      <c r="F745" s="115"/>
      <c r="G745" s="115"/>
      <c r="H745" s="115"/>
      <c r="I745" s="115"/>
      <c r="J745" s="115"/>
      <c r="K745" s="115"/>
      <c r="L745" s="115"/>
      <c r="M745" s="115"/>
      <c r="N745" s="115"/>
      <c r="O745" s="115"/>
    </row>
    <row r="746">
      <c r="E746" s="115"/>
      <c r="F746" s="115"/>
      <c r="G746" s="115"/>
      <c r="H746" s="115"/>
      <c r="I746" s="115"/>
      <c r="J746" s="115"/>
      <c r="K746" s="115"/>
      <c r="L746" s="115"/>
      <c r="M746" s="115"/>
      <c r="N746" s="115"/>
      <c r="O746" s="115"/>
    </row>
    <row r="747">
      <c r="E747" s="115"/>
      <c r="F747" s="115"/>
      <c r="G747" s="115"/>
      <c r="H747" s="115"/>
      <c r="I747" s="115"/>
      <c r="J747" s="115"/>
      <c r="K747" s="115"/>
      <c r="L747" s="115"/>
      <c r="M747" s="115"/>
      <c r="N747" s="115"/>
      <c r="O747" s="115"/>
    </row>
    <row r="748">
      <c r="E748" s="115"/>
      <c r="F748" s="115"/>
      <c r="G748" s="115"/>
      <c r="H748" s="115"/>
      <c r="I748" s="115"/>
      <c r="J748" s="115"/>
      <c r="K748" s="115"/>
      <c r="L748" s="115"/>
      <c r="M748" s="115"/>
      <c r="N748" s="115"/>
      <c r="O748" s="115"/>
    </row>
    <row r="749">
      <c r="E749" s="115"/>
      <c r="F749" s="115"/>
      <c r="G749" s="115"/>
      <c r="H749" s="115"/>
      <c r="I749" s="115"/>
      <c r="J749" s="115"/>
      <c r="K749" s="115"/>
      <c r="L749" s="115"/>
      <c r="M749" s="115"/>
      <c r="N749" s="115"/>
      <c r="O749" s="115"/>
    </row>
    <row r="750">
      <c r="E750" s="115"/>
      <c r="F750" s="115"/>
      <c r="G750" s="115"/>
      <c r="H750" s="115"/>
      <c r="I750" s="115"/>
      <c r="J750" s="115"/>
      <c r="K750" s="115"/>
      <c r="L750" s="115"/>
      <c r="M750" s="115"/>
      <c r="N750" s="115"/>
      <c r="O750" s="115"/>
    </row>
    <row r="751">
      <c r="E751" s="115"/>
      <c r="F751" s="115"/>
      <c r="G751" s="115"/>
      <c r="H751" s="115"/>
      <c r="I751" s="115"/>
      <c r="J751" s="115"/>
      <c r="K751" s="115"/>
      <c r="L751" s="115"/>
      <c r="M751" s="115"/>
      <c r="N751" s="115"/>
      <c r="O751" s="115"/>
    </row>
    <row r="752">
      <c r="E752" s="115"/>
      <c r="F752" s="115"/>
      <c r="G752" s="115"/>
      <c r="H752" s="115"/>
      <c r="I752" s="115"/>
      <c r="J752" s="115"/>
      <c r="K752" s="115"/>
      <c r="L752" s="115"/>
      <c r="M752" s="115"/>
      <c r="N752" s="115"/>
      <c r="O752" s="115"/>
    </row>
    <row r="753">
      <c r="E753" s="115"/>
      <c r="F753" s="115"/>
      <c r="G753" s="115"/>
      <c r="H753" s="115"/>
      <c r="I753" s="115"/>
      <c r="J753" s="115"/>
      <c r="K753" s="115"/>
      <c r="L753" s="115"/>
      <c r="M753" s="115"/>
      <c r="N753" s="115"/>
      <c r="O753" s="115"/>
    </row>
    <row r="754">
      <c r="E754" s="115"/>
      <c r="F754" s="115"/>
      <c r="G754" s="115"/>
      <c r="H754" s="115"/>
      <c r="I754" s="115"/>
      <c r="J754" s="115"/>
      <c r="K754" s="115"/>
      <c r="L754" s="115"/>
      <c r="M754" s="115"/>
      <c r="N754" s="115"/>
      <c r="O754" s="115"/>
    </row>
    <row r="755">
      <c r="E755" s="115"/>
      <c r="F755" s="115"/>
      <c r="G755" s="115"/>
      <c r="H755" s="115"/>
      <c r="I755" s="115"/>
      <c r="J755" s="115"/>
      <c r="K755" s="115"/>
      <c r="L755" s="115"/>
      <c r="M755" s="115"/>
      <c r="N755" s="115"/>
      <c r="O755" s="115"/>
    </row>
    <row r="756">
      <c r="E756" s="115"/>
      <c r="F756" s="115"/>
      <c r="G756" s="115"/>
      <c r="H756" s="115"/>
      <c r="I756" s="115"/>
      <c r="J756" s="115"/>
      <c r="K756" s="115"/>
      <c r="L756" s="115"/>
      <c r="M756" s="115"/>
      <c r="N756" s="115"/>
      <c r="O756" s="115"/>
    </row>
    <row r="757">
      <c r="E757" s="115"/>
      <c r="F757" s="115"/>
      <c r="G757" s="115"/>
      <c r="H757" s="115"/>
      <c r="I757" s="115"/>
      <c r="J757" s="115"/>
      <c r="K757" s="115"/>
      <c r="L757" s="115"/>
      <c r="M757" s="115"/>
      <c r="N757" s="115"/>
      <c r="O757" s="115"/>
    </row>
    <row r="758">
      <c r="E758" s="115"/>
      <c r="F758" s="115"/>
      <c r="G758" s="115"/>
      <c r="H758" s="115"/>
      <c r="I758" s="115"/>
      <c r="J758" s="115"/>
      <c r="K758" s="115"/>
      <c r="L758" s="115"/>
      <c r="M758" s="115"/>
      <c r="N758" s="115"/>
      <c r="O758" s="115"/>
    </row>
    <row r="759">
      <c r="E759" s="115"/>
      <c r="F759" s="115"/>
      <c r="G759" s="115"/>
      <c r="H759" s="115"/>
      <c r="I759" s="115"/>
      <c r="J759" s="115"/>
      <c r="K759" s="115"/>
      <c r="L759" s="115"/>
      <c r="M759" s="115"/>
      <c r="N759" s="115"/>
      <c r="O759" s="115"/>
    </row>
    <row r="760">
      <c r="E760" s="115"/>
      <c r="F760" s="115"/>
      <c r="G760" s="115"/>
      <c r="H760" s="115"/>
      <c r="I760" s="115"/>
      <c r="J760" s="115"/>
      <c r="K760" s="115"/>
      <c r="L760" s="115"/>
      <c r="M760" s="115"/>
      <c r="N760" s="115"/>
      <c r="O760" s="115"/>
    </row>
    <row r="761">
      <c r="E761" s="115"/>
      <c r="F761" s="115"/>
      <c r="G761" s="115"/>
      <c r="H761" s="115"/>
      <c r="I761" s="115"/>
      <c r="J761" s="115"/>
      <c r="K761" s="115"/>
      <c r="L761" s="115"/>
      <c r="M761" s="115"/>
      <c r="N761" s="115"/>
      <c r="O761" s="115"/>
    </row>
    <row r="762">
      <c r="E762" s="115"/>
      <c r="F762" s="115"/>
      <c r="G762" s="115"/>
      <c r="H762" s="115"/>
      <c r="I762" s="115"/>
      <c r="J762" s="115"/>
      <c r="K762" s="115"/>
      <c r="L762" s="115"/>
      <c r="M762" s="115"/>
      <c r="N762" s="115"/>
      <c r="O762" s="115"/>
    </row>
    <row r="763">
      <c r="E763" s="115"/>
      <c r="F763" s="115"/>
      <c r="G763" s="115"/>
      <c r="H763" s="115"/>
      <c r="I763" s="115"/>
      <c r="J763" s="115"/>
      <c r="K763" s="115"/>
      <c r="L763" s="115"/>
      <c r="M763" s="115"/>
      <c r="N763" s="115"/>
      <c r="O763" s="115"/>
    </row>
    <row r="764">
      <c r="E764" s="115"/>
      <c r="F764" s="115"/>
      <c r="G764" s="115"/>
      <c r="H764" s="115"/>
      <c r="I764" s="115"/>
      <c r="J764" s="115"/>
      <c r="K764" s="115"/>
      <c r="L764" s="115"/>
      <c r="M764" s="115"/>
      <c r="N764" s="115"/>
      <c r="O764" s="115"/>
    </row>
    <row r="765">
      <c r="E765" s="115"/>
      <c r="F765" s="115"/>
      <c r="G765" s="115"/>
      <c r="H765" s="115"/>
      <c r="I765" s="115"/>
      <c r="J765" s="115"/>
      <c r="K765" s="115"/>
      <c r="L765" s="115"/>
      <c r="M765" s="115"/>
      <c r="N765" s="115"/>
      <c r="O765" s="115"/>
    </row>
    <row r="766">
      <c r="E766" s="115"/>
      <c r="F766" s="115"/>
      <c r="G766" s="115"/>
      <c r="H766" s="115"/>
      <c r="I766" s="115"/>
      <c r="J766" s="115"/>
      <c r="K766" s="115"/>
      <c r="L766" s="115"/>
      <c r="M766" s="115"/>
      <c r="N766" s="115"/>
      <c r="O766" s="115"/>
    </row>
    <row r="767">
      <c r="E767" s="115"/>
      <c r="F767" s="115"/>
      <c r="G767" s="115"/>
      <c r="H767" s="115"/>
      <c r="I767" s="115"/>
      <c r="J767" s="115"/>
      <c r="K767" s="115"/>
      <c r="L767" s="115"/>
      <c r="M767" s="115"/>
      <c r="N767" s="115"/>
      <c r="O767" s="115"/>
    </row>
    <row r="768">
      <c r="E768" s="115"/>
      <c r="F768" s="115"/>
      <c r="G768" s="115"/>
      <c r="H768" s="115"/>
      <c r="I768" s="115"/>
      <c r="J768" s="115"/>
      <c r="K768" s="115"/>
      <c r="L768" s="115"/>
      <c r="M768" s="115"/>
      <c r="N768" s="115"/>
      <c r="O768" s="115"/>
    </row>
    <row r="769">
      <c r="E769" s="115"/>
      <c r="F769" s="115"/>
      <c r="G769" s="115"/>
      <c r="H769" s="115"/>
      <c r="I769" s="115"/>
      <c r="J769" s="115"/>
      <c r="K769" s="115"/>
      <c r="L769" s="115"/>
      <c r="M769" s="115"/>
      <c r="N769" s="115"/>
      <c r="O769" s="115"/>
    </row>
    <row r="770">
      <c r="E770" s="115"/>
      <c r="F770" s="115"/>
      <c r="G770" s="115"/>
      <c r="H770" s="115"/>
      <c r="I770" s="115"/>
      <c r="J770" s="115"/>
      <c r="K770" s="115"/>
      <c r="L770" s="115"/>
      <c r="M770" s="115"/>
      <c r="N770" s="115"/>
      <c r="O770" s="115"/>
    </row>
    <row r="771">
      <c r="E771" s="115"/>
      <c r="F771" s="115"/>
      <c r="G771" s="115"/>
      <c r="H771" s="115"/>
      <c r="I771" s="115"/>
      <c r="J771" s="115"/>
      <c r="K771" s="115"/>
      <c r="L771" s="115"/>
      <c r="M771" s="115"/>
      <c r="N771" s="115"/>
      <c r="O771" s="115"/>
    </row>
    <row r="772">
      <c r="E772" s="115"/>
      <c r="F772" s="115"/>
      <c r="G772" s="115"/>
      <c r="H772" s="115"/>
      <c r="I772" s="115"/>
      <c r="J772" s="115"/>
      <c r="K772" s="115"/>
      <c r="L772" s="115"/>
      <c r="M772" s="115"/>
      <c r="N772" s="115"/>
      <c r="O772" s="115"/>
    </row>
    <row r="773">
      <c r="E773" s="115"/>
      <c r="F773" s="115"/>
      <c r="G773" s="115"/>
      <c r="H773" s="115"/>
      <c r="I773" s="115"/>
      <c r="J773" s="115"/>
      <c r="K773" s="115"/>
      <c r="L773" s="115"/>
      <c r="M773" s="115"/>
      <c r="N773" s="115"/>
      <c r="O773" s="115"/>
    </row>
    <row r="774">
      <c r="E774" s="115"/>
      <c r="F774" s="115"/>
      <c r="G774" s="115"/>
      <c r="H774" s="115"/>
      <c r="I774" s="115"/>
      <c r="J774" s="115"/>
      <c r="K774" s="115"/>
      <c r="L774" s="115"/>
      <c r="M774" s="115"/>
      <c r="N774" s="115"/>
      <c r="O774" s="115"/>
    </row>
    <row r="775">
      <c r="E775" s="115"/>
      <c r="F775" s="115"/>
      <c r="G775" s="115"/>
      <c r="H775" s="115"/>
      <c r="I775" s="115"/>
      <c r="J775" s="115"/>
      <c r="K775" s="115"/>
      <c r="L775" s="115"/>
      <c r="M775" s="115"/>
      <c r="N775" s="115"/>
      <c r="O775" s="115"/>
    </row>
    <row r="776">
      <c r="E776" s="115"/>
      <c r="F776" s="115"/>
      <c r="G776" s="115"/>
      <c r="H776" s="115"/>
      <c r="I776" s="115"/>
      <c r="J776" s="115"/>
      <c r="K776" s="115"/>
      <c r="L776" s="115"/>
      <c r="M776" s="115"/>
      <c r="N776" s="115"/>
      <c r="O776" s="115"/>
    </row>
    <row r="777">
      <c r="E777" s="115"/>
      <c r="F777" s="115"/>
      <c r="G777" s="115"/>
      <c r="H777" s="115"/>
      <c r="I777" s="115"/>
      <c r="J777" s="115"/>
      <c r="K777" s="115"/>
      <c r="L777" s="115"/>
      <c r="M777" s="115"/>
      <c r="N777" s="115"/>
      <c r="O777" s="115"/>
    </row>
    <row r="778">
      <c r="E778" s="115"/>
      <c r="F778" s="115"/>
      <c r="G778" s="115"/>
      <c r="H778" s="115"/>
      <c r="I778" s="115"/>
      <c r="J778" s="115"/>
      <c r="K778" s="115"/>
      <c r="L778" s="115"/>
      <c r="M778" s="115"/>
      <c r="N778" s="115"/>
      <c r="O778" s="115"/>
    </row>
    <row r="779">
      <c r="E779" s="115"/>
      <c r="F779" s="115"/>
      <c r="G779" s="115"/>
      <c r="H779" s="115"/>
      <c r="I779" s="115"/>
      <c r="J779" s="115"/>
      <c r="K779" s="115"/>
      <c r="L779" s="115"/>
      <c r="M779" s="115"/>
      <c r="N779" s="115"/>
      <c r="O779" s="115"/>
    </row>
    <row r="780">
      <c r="E780" s="115"/>
      <c r="F780" s="115"/>
      <c r="G780" s="115"/>
      <c r="H780" s="115"/>
      <c r="I780" s="115"/>
      <c r="J780" s="115"/>
      <c r="K780" s="115"/>
      <c r="L780" s="115"/>
      <c r="M780" s="115"/>
      <c r="N780" s="115"/>
      <c r="O780" s="115"/>
    </row>
    <row r="781">
      <c r="E781" s="115"/>
      <c r="F781" s="115"/>
      <c r="G781" s="115"/>
      <c r="H781" s="115"/>
      <c r="I781" s="115"/>
      <c r="J781" s="115"/>
      <c r="K781" s="115"/>
      <c r="L781" s="115"/>
      <c r="M781" s="115"/>
      <c r="N781" s="115"/>
      <c r="O781" s="115"/>
    </row>
    <row r="782">
      <c r="E782" s="115"/>
      <c r="F782" s="115"/>
      <c r="G782" s="115"/>
      <c r="H782" s="115"/>
      <c r="I782" s="115"/>
      <c r="J782" s="115"/>
      <c r="K782" s="115"/>
      <c r="L782" s="115"/>
      <c r="M782" s="115"/>
      <c r="N782" s="115"/>
      <c r="O782" s="115"/>
    </row>
    <row r="783">
      <c r="E783" s="115"/>
      <c r="F783" s="115"/>
      <c r="G783" s="115"/>
      <c r="H783" s="115"/>
      <c r="I783" s="115"/>
      <c r="J783" s="115"/>
      <c r="K783" s="115"/>
      <c r="L783" s="115"/>
      <c r="M783" s="115"/>
      <c r="N783" s="115"/>
      <c r="O783" s="115"/>
    </row>
    <row r="784">
      <c r="E784" s="115"/>
      <c r="F784" s="115"/>
      <c r="G784" s="115"/>
      <c r="H784" s="115"/>
      <c r="I784" s="115"/>
      <c r="J784" s="115"/>
      <c r="K784" s="115"/>
      <c r="L784" s="115"/>
      <c r="M784" s="115"/>
      <c r="N784" s="115"/>
      <c r="O784" s="115"/>
    </row>
    <row r="785">
      <c r="E785" s="115"/>
      <c r="F785" s="115"/>
      <c r="G785" s="115"/>
      <c r="H785" s="115"/>
      <c r="I785" s="115"/>
      <c r="J785" s="115"/>
      <c r="K785" s="115"/>
      <c r="L785" s="115"/>
      <c r="M785" s="115"/>
      <c r="N785" s="115"/>
      <c r="O785" s="115"/>
    </row>
    <row r="786">
      <c r="E786" s="115"/>
      <c r="F786" s="115"/>
      <c r="G786" s="115"/>
      <c r="H786" s="115"/>
      <c r="I786" s="115"/>
      <c r="J786" s="115"/>
      <c r="K786" s="115"/>
      <c r="L786" s="115"/>
      <c r="M786" s="115"/>
      <c r="N786" s="115"/>
      <c r="O786" s="115"/>
    </row>
    <row r="787">
      <c r="E787" s="115"/>
      <c r="F787" s="115"/>
      <c r="G787" s="115"/>
      <c r="H787" s="115"/>
      <c r="I787" s="115"/>
      <c r="J787" s="115"/>
      <c r="K787" s="115"/>
      <c r="L787" s="115"/>
      <c r="M787" s="115"/>
      <c r="N787" s="115"/>
      <c r="O787" s="115"/>
    </row>
    <row r="788">
      <c r="E788" s="115"/>
      <c r="F788" s="115"/>
      <c r="G788" s="115"/>
      <c r="H788" s="115"/>
      <c r="I788" s="115"/>
      <c r="J788" s="115"/>
      <c r="K788" s="115"/>
      <c r="L788" s="115"/>
      <c r="M788" s="115"/>
      <c r="N788" s="115"/>
      <c r="O788" s="115"/>
    </row>
    <row r="789">
      <c r="E789" s="115"/>
      <c r="F789" s="115"/>
      <c r="G789" s="115"/>
      <c r="H789" s="115"/>
      <c r="I789" s="115"/>
      <c r="J789" s="115"/>
      <c r="K789" s="115"/>
      <c r="L789" s="115"/>
      <c r="M789" s="115"/>
      <c r="N789" s="115"/>
      <c r="O789" s="115"/>
    </row>
    <row r="790">
      <c r="E790" s="115"/>
      <c r="F790" s="115"/>
      <c r="G790" s="115"/>
      <c r="H790" s="115"/>
      <c r="I790" s="115"/>
      <c r="J790" s="115"/>
      <c r="K790" s="115"/>
      <c r="L790" s="115"/>
      <c r="M790" s="115"/>
      <c r="N790" s="115"/>
      <c r="O790" s="115"/>
    </row>
    <row r="791">
      <c r="E791" s="115"/>
      <c r="F791" s="115"/>
      <c r="G791" s="115"/>
      <c r="H791" s="115"/>
      <c r="I791" s="115"/>
      <c r="J791" s="115"/>
      <c r="K791" s="115"/>
      <c r="L791" s="115"/>
      <c r="M791" s="115"/>
      <c r="N791" s="115"/>
      <c r="O791" s="115"/>
    </row>
    <row r="792">
      <c r="E792" s="115"/>
      <c r="F792" s="115"/>
      <c r="G792" s="115"/>
      <c r="H792" s="115"/>
      <c r="I792" s="115"/>
      <c r="J792" s="115"/>
      <c r="K792" s="115"/>
      <c r="L792" s="115"/>
      <c r="M792" s="115"/>
      <c r="N792" s="115"/>
      <c r="O792" s="115"/>
    </row>
    <row r="793">
      <c r="E793" s="115"/>
      <c r="F793" s="115"/>
      <c r="G793" s="115"/>
      <c r="H793" s="115"/>
      <c r="I793" s="115"/>
      <c r="J793" s="115"/>
      <c r="K793" s="115"/>
      <c r="L793" s="115"/>
      <c r="M793" s="115"/>
      <c r="N793" s="115"/>
      <c r="O793" s="115"/>
    </row>
    <row r="794">
      <c r="E794" s="115"/>
      <c r="F794" s="115"/>
      <c r="G794" s="115"/>
      <c r="H794" s="115"/>
      <c r="I794" s="115"/>
      <c r="J794" s="115"/>
      <c r="K794" s="115"/>
      <c r="L794" s="115"/>
      <c r="M794" s="115"/>
      <c r="N794" s="115"/>
      <c r="O794" s="115"/>
    </row>
    <row r="795">
      <c r="E795" s="115"/>
      <c r="F795" s="115"/>
      <c r="G795" s="115"/>
      <c r="H795" s="115"/>
      <c r="I795" s="115"/>
      <c r="J795" s="115"/>
      <c r="K795" s="115"/>
      <c r="L795" s="115"/>
      <c r="M795" s="115"/>
      <c r="N795" s="115"/>
      <c r="O795" s="115"/>
    </row>
    <row r="796">
      <c r="E796" s="115"/>
      <c r="F796" s="115"/>
      <c r="G796" s="115"/>
      <c r="H796" s="115"/>
      <c r="I796" s="115"/>
      <c r="J796" s="115"/>
      <c r="K796" s="115"/>
      <c r="L796" s="115"/>
      <c r="M796" s="115"/>
      <c r="N796" s="115"/>
      <c r="O796" s="115"/>
    </row>
    <row r="797">
      <c r="E797" s="115"/>
      <c r="F797" s="115"/>
      <c r="G797" s="115"/>
      <c r="H797" s="115"/>
      <c r="I797" s="115"/>
      <c r="J797" s="115"/>
      <c r="K797" s="115"/>
      <c r="L797" s="115"/>
      <c r="M797" s="115"/>
      <c r="N797" s="115"/>
      <c r="O797" s="115"/>
    </row>
    <row r="798">
      <c r="E798" s="115"/>
      <c r="F798" s="115"/>
      <c r="G798" s="115"/>
      <c r="H798" s="115"/>
      <c r="I798" s="115"/>
      <c r="J798" s="115"/>
      <c r="K798" s="115"/>
      <c r="L798" s="115"/>
      <c r="M798" s="115"/>
      <c r="N798" s="115"/>
      <c r="O798" s="115"/>
    </row>
    <row r="799">
      <c r="E799" s="115"/>
      <c r="F799" s="115"/>
      <c r="G799" s="115"/>
      <c r="H799" s="115"/>
      <c r="I799" s="115"/>
      <c r="J799" s="115"/>
      <c r="K799" s="115"/>
      <c r="L799" s="115"/>
      <c r="M799" s="115"/>
      <c r="N799" s="115"/>
      <c r="O799" s="115"/>
    </row>
    <row r="800">
      <c r="E800" s="115"/>
      <c r="F800" s="115"/>
      <c r="G800" s="115"/>
      <c r="H800" s="115"/>
      <c r="I800" s="115"/>
      <c r="J800" s="115"/>
      <c r="K800" s="115"/>
      <c r="L800" s="115"/>
      <c r="M800" s="115"/>
      <c r="N800" s="115"/>
      <c r="O800" s="115"/>
    </row>
    <row r="801">
      <c r="E801" s="115"/>
      <c r="F801" s="115"/>
      <c r="G801" s="115"/>
      <c r="H801" s="115"/>
      <c r="I801" s="115"/>
      <c r="J801" s="115"/>
      <c r="K801" s="115"/>
      <c r="L801" s="115"/>
      <c r="M801" s="115"/>
      <c r="N801" s="115"/>
      <c r="O801" s="115"/>
    </row>
    <row r="802">
      <c r="E802" s="115"/>
      <c r="F802" s="115"/>
      <c r="G802" s="115"/>
      <c r="H802" s="115"/>
      <c r="I802" s="115"/>
      <c r="J802" s="115"/>
      <c r="K802" s="115"/>
      <c r="L802" s="115"/>
      <c r="M802" s="115"/>
      <c r="N802" s="115"/>
      <c r="O802" s="115"/>
    </row>
    <row r="803">
      <c r="E803" s="115"/>
      <c r="F803" s="115"/>
      <c r="G803" s="115"/>
      <c r="H803" s="115"/>
      <c r="I803" s="115"/>
      <c r="J803" s="115"/>
      <c r="K803" s="115"/>
      <c r="L803" s="115"/>
      <c r="M803" s="115"/>
      <c r="N803" s="115"/>
      <c r="O803" s="115"/>
    </row>
    <row r="804">
      <c r="E804" s="115"/>
      <c r="F804" s="115"/>
      <c r="G804" s="115"/>
      <c r="H804" s="115"/>
      <c r="I804" s="115"/>
      <c r="J804" s="115"/>
      <c r="K804" s="115"/>
      <c r="L804" s="115"/>
      <c r="M804" s="115"/>
      <c r="N804" s="115"/>
      <c r="O804" s="115"/>
    </row>
    <row r="805">
      <c r="E805" s="115"/>
      <c r="F805" s="115"/>
      <c r="G805" s="115"/>
      <c r="H805" s="115"/>
      <c r="I805" s="115"/>
      <c r="J805" s="115"/>
      <c r="K805" s="115"/>
      <c r="L805" s="115"/>
      <c r="M805" s="115"/>
      <c r="N805" s="115"/>
      <c r="O805" s="115"/>
    </row>
    <row r="806">
      <c r="E806" s="115"/>
      <c r="F806" s="115"/>
      <c r="G806" s="115"/>
      <c r="H806" s="115"/>
      <c r="I806" s="115"/>
      <c r="J806" s="115"/>
      <c r="K806" s="115"/>
      <c r="L806" s="115"/>
      <c r="M806" s="115"/>
      <c r="N806" s="115"/>
      <c r="O806" s="115"/>
    </row>
    <row r="807">
      <c r="E807" s="115"/>
      <c r="F807" s="115"/>
      <c r="G807" s="115"/>
      <c r="H807" s="115"/>
      <c r="I807" s="115"/>
      <c r="J807" s="115"/>
      <c r="K807" s="115"/>
      <c r="L807" s="115"/>
      <c r="M807" s="115"/>
      <c r="N807" s="115"/>
      <c r="O807" s="115"/>
    </row>
    <row r="808">
      <c r="E808" s="115"/>
      <c r="F808" s="115"/>
      <c r="G808" s="115"/>
      <c r="H808" s="115"/>
      <c r="I808" s="115"/>
      <c r="J808" s="115"/>
      <c r="K808" s="115"/>
      <c r="L808" s="115"/>
      <c r="M808" s="115"/>
      <c r="N808" s="115"/>
      <c r="O808" s="115"/>
    </row>
    <row r="809">
      <c r="E809" s="115"/>
      <c r="F809" s="115"/>
      <c r="G809" s="115"/>
      <c r="H809" s="115"/>
      <c r="I809" s="115"/>
      <c r="J809" s="115"/>
      <c r="K809" s="115"/>
      <c r="L809" s="115"/>
      <c r="M809" s="115"/>
      <c r="N809" s="115"/>
      <c r="O809" s="115"/>
    </row>
    <row r="810">
      <c r="E810" s="115"/>
      <c r="F810" s="115"/>
      <c r="G810" s="115"/>
      <c r="H810" s="115"/>
      <c r="I810" s="115"/>
      <c r="J810" s="115"/>
      <c r="K810" s="115"/>
      <c r="L810" s="115"/>
      <c r="M810" s="115"/>
      <c r="N810" s="115"/>
      <c r="O810" s="115"/>
    </row>
    <row r="811">
      <c r="E811" s="115"/>
      <c r="F811" s="115"/>
      <c r="G811" s="115"/>
      <c r="H811" s="115"/>
      <c r="I811" s="115"/>
      <c r="J811" s="115"/>
      <c r="K811" s="115"/>
      <c r="L811" s="115"/>
      <c r="M811" s="115"/>
      <c r="N811" s="115"/>
      <c r="O811" s="115"/>
    </row>
    <row r="812">
      <c r="E812" s="115"/>
      <c r="F812" s="115"/>
      <c r="G812" s="115"/>
      <c r="H812" s="115"/>
      <c r="I812" s="115"/>
      <c r="J812" s="115"/>
      <c r="K812" s="115"/>
      <c r="L812" s="115"/>
      <c r="M812" s="115"/>
      <c r="N812" s="115"/>
      <c r="O812" s="115"/>
    </row>
    <row r="813">
      <c r="E813" s="115"/>
      <c r="F813" s="115"/>
      <c r="G813" s="115"/>
      <c r="H813" s="115"/>
      <c r="I813" s="115"/>
      <c r="J813" s="115"/>
      <c r="K813" s="115"/>
      <c r="L813" s="115"/>
      <c r="M813" s="115"/>
      <c r="N813" s="115"/>
      <c r="O813" s="115"/>
    </row>
    <row r="814">
      <c r="E814" s="115"/>
      <c r="F814" s="115"/>
      <c r="G814" s="115"/>
      <c r="H814" s="115"/>
      <c r="I814" s="115"/>
      <c r="J814" s="115"/>
      <c r="K814" s="115"/>
      <c r="L814" s="115"/>
      <c r="M814" s="115"/>
      <c r="N814" s="115"/>
      <c r="O814" s="115"/>
    </row>
    <row r="815">
      <c r="E815" s="115"/>
      <c r="F815" s="115"/>
      <c r="G815" s="115"/>
      <c r="H815" s="115"/>
      <c r="I815" s="115"/>
      <c r="J815" s="115"/>
      <c r="K815" s="115"/>
      <c r="L815" s="115"/>
      <c r="M815" s="115"/>
      <c r="N815" s="115"/>
      <c r="O815" s="115"/>
    </row>
    <row r="816">
      <c r="E816" s="115"/>
      <c r="F816" s="115"/>
      <c r="G816" s="115"/>
      <c r="H816" s="115"/>
      <c r="I816" s="115"/>
      <c r="J816" s="115"/>
      <c r="K816" s="115"/>
      <c r="L816" s="115"/>
      <c r="M816" s="115"/>
      <c r="N816" s="115"/>
      <c r="O816" s="115"/>
    </row>
    <row r="817">
      <c r="E817" s="115"/>
      <c r="F817" s="115"/>
      <c r="G817" s="115"/>
      <c r="H817" s="115"/>
      <c r="I817" s="115"/>
      <c r="J817" s="115"/>
      <c r="K817" s="115"/>
      <c r="L817" s="115"/>
      <c r="M817" s="115"/>
      <c r="N817" s="115"/>
      <c r="O817" s="115"/>
    </row>
    <row r="818">
      <c r="E818" s="115"/>
      <c r="F818" s="115"/>
      <c r="G818" s="115"/>
      <c r="H818" s="115"/>
      <c r="I818" s="115"/>
      <c r="J818" s="115"/>
      <c r="K818" s="115"/>
      <c r="L818" s="115"/>
      <c r="M818" s="115"/>
      <c r="N818" s="115"/>
      <c r="O818" s="115"/>
    </row>
    <row r="819">
      <c r="E819" s="115"/>
      <c r="F819" s="115"/>
      <c r="G819" s="115"/>
      <c r="H819" s="115"/>
      <c r="I819" s="115"/>
      <c r="J819" s="115"/>
      <c r="K819" s="115"/>
      <c r="L819" s="115"/>
      <c r="M819" s="115"/>
      <c r="N819" s="115"/>
      <c r="O819" s="115"/>
    </row>
    <row r="820">
      <c r="E820" s="115"/>
      <c r="F820" s="115"/>
      <c r="G820" s="115"/>
      <c r="H820" s="115"/>
      <c r="I820" s="115"/>
      <c r="J820" s="115"/>
      <c r="K820" s="115"/>
      <c r="L820" s="115"/>
      <c r="M820" s="115"/>
      <c r="N820" s="115"/>
      <c r="O820" s="115"/>
    </row>
    <row r="821">
      <c r="E821" s="115"/>
      <c r="F821" s="115"/>
      <c r="G821" s="115"/>
      <c r="H821" s="115"/>
      <c r="I821" s="115"/>
      <c r="J821" s="115"/>
      <c r="K821" s="115"/>
      <c r="L821" s="115"/>
      <c r="M821" s="115"/>
      <c r="N821" s="115"/>
      <c r="O821" s="115"/>
    </row>
    <row r="822">
      <c r="E822" s="115"/>
      <c r="F822" s="115"/>
      <c r="G822" s="115"/>
      <c r="H822" s="115"/>
      <c r="I822" s="115"/>
      <c r="J822" s="115"/>
      <c r="K822" s="115"/>
      <c r="L822" s="115"/>
      <c r="M822" s="115"/>
      <c r="N822" s="115"/>
      <c r="O822" s="115"/>
    </row>
    <row r="823">
      <c r="E823" s="115"/>
      <c r="F823" s="115"/>
      <c r="G823" s="115"/>
      <c r="H823" s="115"/>
      <c r="I823" s="115"/>
      <c r="J823" s="115"/>
      <c r="K823" s="115"/>
      <c r="L823" s="115"/>
      <c r="M823" s="115"/>
      <c r="N823" s="115"/>
      <c r="O823" s="115"/>
    </row>
    <row r="824">
      <c r="E824" s="115"/>
      <c r="F824" s="115"/>
      <c r="G824" s="115"/>
      <c r="H824" s="115"/>
      <c r="I824" s="115"/>
      <c r="J824" s="115"/>
      <c r="K824" s="115"/>
      <c r="L824" s="115"/>
      <c r="M824" s="115"/>
      <c r="N824" s="115"/>
      <c r="O824" s="115"/>
    </row>
    <row r="825">
      <c r="E825" s="115"/>
      <c r="F825" s="115"/>
      <c r="G825" s="115"/>
      <c r="H825" s="115"/>
      <c r="I825" s="115"/>
      <c r="J825" s="115"/>
      <c r="K825" s="115"/>
      <c r="L825" s="115"/>
      <c r="M825" s="115"/>
      <c r="N825" s="115"/>
      <c r="O825" s="115"/>
    </row>
    <row r="826">
      <c r="E826" s="115"/>
      <c r="F826" s="115"/>
      <c r="G826" s="115"/>
      <c r="H826" s="115"/>
      <c r="I826" s="115"/>
      <c r="J826" s="115"/>
      <c r="K826" s="115"/>
      <c r="L826" s="115"/>
      <c r="M826" s="115"/>
      <c r="N826" s="115"/>
      <c r="O826" s="115"/>
    </row>
    <row r="827">
      <c r="E827" s="115"/>
      <c r="F827" s="115"/>
      <c r="G827" s="115"/>
      <c r="H827" s="115"/>
      <c r="I827" s="115"/>
      <c r="J827" s="115"/>
      <c r="K827" s="115"/>
      <c r="L827" s="115"/>
      <c r="M827" s="115"/>
      <c r="N827" s="115"/>
      <c r="O827" s="115"/>
    </row>
    <row r="828">
      <c r="E828" s="115"/>
      <c r="F828" s="115"/>
      <c r="G828" s="115"/>
      <c r="H828" s="115"/>
      <c r="I828" s="115"/>
      <c r="J828" s="115"/>
      <c r="K828" s="115"/>
      <c r="L828" s="115"/>
      <c r="M828" s="115"/>
      <c r="N828" s="115"/>
      <c r="O828" s="115"/>
    </row>
    <row r="829">
      <c r="E829" s="115"/>
      <c r="F829" s="115"/>
      <c r="G829" s="115"/>
      <c r="H829" s="115"/>
      <c r="I829" s="115"/>
      <c r="J829" s="115"/>
      <c r="K829" s="115"/>
      <c r="L829" s="115"/>
      <c r="M829" s="115"/>
      <c r="N829" s="115"/>
      <c r="O829" s="115"/>
    </row>
    <row r="830">
      <c r="E830" s="115"/>
      <c r="F830" s="115"/>
      <c r="G830" s="115"/>
      <c r="H830" s="115"/>
      <c r="I830" s="115"/>
      <c r="J830" s="115"/>
      <c r="K830" s="115"/>
      <c r="L830" s="115"/>
      <c r="M830" s="115"/>
      <c r="N830" s="115"/>
      <c r="O830" s="115"/>
    </row>
    <row r="831">
      <c r="E831" s="115"/>
      <c r="F831" s="115"/>
      <c r="G831" s="115"/>
      <c r="H831" s="115"/>
      <c r="I831" s="115"/>
      <c r="J831" s="115"/>
      <c r="K831" s="115"/>
      <c r="L831" s="115"/>
      <c r="M831" s="115"/>
      <c r="N831" s="115"/>
      <c r="O831" s="115"/>
    </row>
    <row r="832">
      <c r="E832" s="115"/>
      <c r="F832" s="115"/>
      <c r="G832" s="115"/>
      <c r="H832" s="115"/>
      <c r="I832" s="115"/>
      <c r="J832" s="115"/>
      <c r="K832" s="115"/>
      <c r="L832" s="115"/>
      <c r="M832" s="115"/>
      <c r="N832" s="115"/>
      <c r="O832" s="115"/>
    </row>
    <row r="833">
      <c r="E833" s="115"/>
      <c r="F833" s="115"/>
      <c r="G833" s="115"/>
      <c r="H833" s="115"/>
      <c r="I833" s="115"/>
      <c r="J833" s="115"/>
      <c r="K833" s="115"/>
      <c r="L833" s="115"/>
      <c r="M833" s="115"/>
      <c r="N833" s="115"/>
      <c r="O833" s="115"/>
    </row>
    <row r="834">
      <c r="E834" s="115"/>
      <c r="F834" s="115"/>
      <c r="G834" s="115"/>
      <c r="H834" s="115"/>
      <c r="I834" s="115"/>
      <c r="J834" s="115"/>
      <c r="K834" s="115"/>
      <c r="L834" s="115"/>
      <c r="M834" s="115"/>
      <c r="N834" s="115"/>
      <c r="O834" s="115"/>
    </row>
    <row r="835">
      <c r="E835" s="115"/>
      <c r="F835" s="115"/>
      <c r="G835" s="115"/>
      <c r="H835" s="115"/>
      <c r="I835" s="115"/>
      <c r="J835" s="115"/>
      <c r="K835" s="115"/>
      <c r="L835" s="115"/>
      <c r="M835" s="115"/>
      <c r="N835" s="115"/>
      <c r="O835" s="115"/>
    </row>
    <row r="836">
      <c r="E836" s="115"/>
      <c r="F836" s="115"/>
      <c r="G836" s="115"/>
      <c r="H836" s="115"/>
      <c r="I836" s="115"/>
      <c r="J836" s="115"/>
      <c r="K836" s="115"/>
      <c r="L836" s="115"/>
      <c r="M836" s="115"/>
      <c r="N836" s="115"/>
      <c r="O836" s="115"/>
    </row>
    <row r="837">
      <c r="E837" s="115"/>
      <c r="F837" s="115"/>
      <c r="G837" s="115"/>
      <c r="H837" s="115"/>
      <c r="I837" s="115"/>
      <c r="J837" s="115"/>
      <c r="K837" s="115"/>
      <c r="L837" s="115"/>
      <c r="M837" s="115"/>
      <c r="N837" s="115"/>
      <c r="O837" s="115"/>
    </row>
    <row r="838">
      <c r="E838" s="115"/>
      <c r="F838" s="115"/>
      <c r="G838" s="115"/>
      <c r="H838" s="115"/>
      <c r="I838" s="115"/>
      <c r="J838" s="115"/>
      <c r="K838" s="115"/>
      <c r="L838" s="115"/>
      <c r="M838" s="115"/>
      <c r="N838" s="115"/>
      <c r="O838" s="115"/>
    </row>
    <row r="839">
      <c r="E839" s="115"/>
      <c r="F839" s="115"/>
      <c r="G839" s="115"/>
      <c r="H839" s="115"/>
      <c r="I839" s="115"/>
      <c r="J839" s="115"/>
      <c r="K839" s="115"/>
      <c r="L839" s="115"/>
      <c r="M839" s="115"/>
      <c r="N839" s="115"/>
      <c r="O839" s="115"/>
    </row>
    <row r="840">
      <c r="E840" s="115"/>
      <c r="F840" s="115"/>
      <c r="G840" s="115"/>
      <c r="H840" s="115"/>
      <c r="I840" s="115"/>
      <c r="J840" s="115"/>
      <c r="K840" s="115"/>
      <c r="L840" s="115"/>
      <c r="M840" s="115"/>
      <c r="N840" s="115"/>
      <c r="O840" s="115"/>
    </row>
    <row r="841">
      <c r="E841" s="115"/>
      <c r="F841" s="115"/>
      <c r="G841" s="115"/>
      <c r="H841" s="115"/>
      <c r="I841" s="115"/>
      <c r="J841" s="115"/>
      <c r="K841" s="115"/>
      <c r="L841" s="115"/>
      <c r="M841" s="115"/>
      <c r="N841" s="115"/>
      <c r="O841" s="115"/>
    </row>
    <row r="842">
      <c r="E842" s="115"/>
      <c r="F842" s="115"/>
      <c r="G842" s="115"/>
      <c r="H842" s="115"/>
      <c r="I842" s="115"/>
      <c r="J842" s="115"/>
      <c r="K842" s="115"/>
      <c r="L842" s="115"/>
      <c r="M842" s="115"/>
      <c r="N842" s="115"/>
      <c r="O842" s="115"/>
    </row>
    <row r="843">
      <c r="E843" s="115"/>
      <c r="F843" s="115"/>
      <c r="G843" s="115"/>
      <c r="H843" s="115"/>
      <c r="I843" s="115"/>
      <c r="J843" s="115"/>
      <c r="K843" s="115"/>
      <c r="L843" s="115"/>
      <c r="M843" s="115"/>
      <c r="N843" s="115"/>
      <c r="O843" s="115"/>
    </row>
    <row r="844">
      <c r="E844" s="115"/>
      <c r="F844" s="115"/>
      <c r="G844" s="115"/>
      <c r="H844" s="115"/>
      <c r="I844" s="115"/>
      <c r="J844" s="115"/>
      <c r="K844" s="115"/>
      <c r="L844" s="115"/>
      <c r="M844" s="115"/>
      <c r="N844" s="115"/>
      <c r="O844" s="115"/>
    </row>
    <row r="845">
      <c r="E845" s="115"/>
      <c r="F845" s="115"/>
      <c r="G845" s="115"/>
      <c r="H845" s="115"/>
      <c r="I845" s="115"/>
      <c r="J845" s="115"/>
      <c r="K845" s="115"/>
      <c r="L845" s="115"/>
      <c r="M845" s="115"/>
      <c r="N845" s="115"/>
      <c r="O845" s="115"/>
    </row>
    <row r="846">
      <c r="E846" s="115"/>
      <c r="F846" s="115"/>
      <c r="G846" s="115"/>
      <c r="H846" s="115"/>
      <c r="I846" s="115"/>
      <c r="J846" s="115"/>
      <c r="K846" s="115"/>
      <c r="L846" s="115"/>
      <c r="M846" s="115"/>
      <c r="N846" s="115"/>
      <c r="O846" s="115"/>
    </row>
    <row r="847">
      <c r="E847" s="115"/>
      <c r="F847" s="115"/>
      <c r="G847" s="115"/>
      <c r="H847" s="115"/>
      <c r="I847" s="115"/>
      <c r="J847" s="115"/>
      <c r="K847" s="115"/>
      <c r="L847" s="115"/>
      <c r="M847" s="115"/>
      <c r="N847" s="115"/>
      <c r="O847" s="115"/>
    </row>
    <row r="848">
      <c r="E848" s="115"/>
      <c r="F848" s="115"/>
      <c r="G848" s="115"/>
      <c r="H848" s="115"/>
      <c r="I848" s="115"/>
      <c r="J848" s="115"/>
      <c r="K848" s="115"/>
      <c r="L848" s="115"/>
      <c r="M848" s="115"/>
      <c r="N848" s="115"/>
      <c r="O848" s="115"/>
    </row>
    <row r="849">
      <c r="E849" s="115"/>
      <c r="F849" s="115"/>
      <c r="G849" s="115"/>
      <c r="H849" s="115"/>
      <c r="I849" s="115"/>
      <c r="J849" s="115"/>
      <c r="K849" s="115"/>
      <c r="L849" s="115"/>
      <c r="M849" s="115"/>
      <c r="N849" s="115"/>
      <c r="O849" s="115"/>
    </row>
    <row r="850">
      <c r="E850" s="115"/>
      <c r="F850" s="115"/>
      <c r="G850" s="115"/>
      <c r="H850" s="115"/>
      <c r="I850" s="115"/>
      <c r="J850" s="115"/>
      <c r="K850" s="115"/>
      <c r="L850" s="115"/>
      <c r="M850" s="115"/>
      <c r="N850" s="115"/>
      <c r="O850" s="115"/>
    </row>
    <row r="851">
      <c r="E851" s="115"/>
      <c r="F851" s="115"/>
      <c r="G851" s="115"/>
      <c r="H851" s="115"/>
      <c r="I851" s="115"/>
      <c r="J851" s="115"/>
      <c r="K851" s="115"/>
      <c r="L851" s="115"/>
      <c r="M851" s="115"/>
      <c r="N851" s="115"/>
      <c r="O851" s="115"/>
    </row>
    <row r="852">
      <c r="E852" s="115"/>
      <c r="F852" s="115"/>
      <c r="G852" s="115"/>
      <c r="H852" s="115"/>
      <c r="I852" s="115"/>
      <c r="J852" s="115"/>
      <c r="K852" s="115"/>
      <c r="L852" s="115"/>
      <c r="M852" s="115"/>
      <c r="N852" s="115"/>
      <c r="O852" s="115"/>
    </row>
    <row r="853">
      <c r="E853" s="115"/>
      <c r="F853" s="115"/>
      <c r="G853" s="115"/>
      <c r="H853" s="115"/>
      <c r="I853" s="115"/>
      <c r="J853" s="115"/>
      <c r="K853" s="115"/>
      <c r="L853" s="115"/>
      <c r="M853" s="115"/>
      <c r="N853" s="115"/>
      <c r="O853" s="115"/>
    </row>
    <row r="854">
      <c r="E854" s="115"/>
      <c r="F854" s="115"/>
      <c r="G854" s="115"/>
      <c r="H854" s="115"/>
      <c r="I854" s="115"/>
      <c r="J854" s="115"/>
      <c r="K854" s="115"/>
      <c r="L854" s="115"/>
      <c r="M854" s="115"/>
      <c r="N854" s="115"/>
      <c r="O854" s="115"/>
    </row>
    <row r="855">
      <c r="E855" s="115"/>
      <c r="F855" s="115"/>
      <c r="G855" s="115"/>
      <c r="H855" s="115"/>
      <c r="I855" s="115"/>
      <c r="J855" s="115"/>
      <c r="K855" s="115"/>
      <c r="L855" s="115"/>
      <c r="M855" s="115"/>
      <c r="N855" s="115"/>
      <c r="O855" s="115"/>
    </row>
    <row r="856">
      <c r="E856" s="115"/>
      <c r="F856" s="115"/>
      <c r="G856" s="115"/>
      <c r="H856" s="115"/>
      <c r="I856" s="115"/>
      <c r="J856" s="115"/>
      <c r="K856" s="115"/>
      <c r="L856" s="115"/>
      <c r="M856" s="115"/>
      <c r="N856" s="115"/>
      <c r="O856" s="115"/>
    </row>
    <row r="857">
      <c r="E857" s="115"/>
      <c r="F857" s="115"/>
      <c r="G857" s="115"/>
      <c r="H857" s="115"/>
      <c r="I857" s="115"/>
      <c r="J857" s="115"/>
      <c r="K857" s="115"/>
      <c r="L857" s="115"/>
      <c r="M857" s="115"/>
      <c r="N857" s="115"/>
      <c r="O857" s="115"/>
    </row>
    <row r="858">
      <c r="E858" s="115"/>
      <c r="F858" s="115"/>
      <c r="G858" s="115"/>
      <c r="H858" s="115"/>
      <c r="I858" s="115"/>
      <c r="J858" s="115"/>
      <c r="K858" s="115"/>
      <c r="L858" s="115"/>
      <c r="M858" s="115"/>
      <c r="N858" s="115"/>
      <c r="O858" s="115"/>
    </row>
    <row r="859">
      <c r="E859" s="115"/>
      <c r="F859" s="115"/>
      <c r="G859" s="115"/>
      <c r="H859" s="115"/>
      <c r="I859" s="115"/>
      <c r="J859" s="115"/>
      <c r="K859" s="115"/>
      <c r="L859" s="115"/>
      <c r="M859" s="115"/>
      <c r="N859" s="115"/>
      <c r="O859" s="115"/>
    </row>
    <row r="860">
      <c r="E860" s="115"/>
      <c r="F860" s="115"/>
      <c r="G860" s="115"/>
      <c r="H860" s="115"/>
      <c r="I860" s="115"/>
      <c r="J860" s="115"/>
      <c r="K860" s="115"/>
      <c r="L860" s="115"/>
      <c r="M860" s="115"/>
      <c r="N860" s="115"/>
      <c r="O860" s="115"/>
    </row>
    <row r="861">
      <c r="E861" s="115"/>
      <c r="F861" s="115"/>
      <c r="G861" s="115"/>
      <c r="H861" s="115"/>
      <c r="I861" s="115"/>
      <c r="J861" s="115"/>
      <c r="K861" s="115"/>
      <c r="L861" s="115"/>
      <c r="M861" s="115"/>
      <c r="N861" s="115"/>
      <c r="O861" s="115"/>
    </row>
    <row r="862">
      <c r="E862" s="115"/>
      <c r="F862" s="115"/>
      <c r="G862" s="115"/>
      <c r="H862" s="115"/>
      <c r="I862" s="115"/>
      <c r="J862" s="115"/>
      <c r="K862" s="115"/>
      <c r="L862" s="115"/>
      <c r="M862" s="115"/>
      <c r="N862" s="115"/>
      <c r="O862" s="115"/>
    </row>
    <row r="863">
      <c r="E863" s="115"/>
      <c r="F863" s="115"/>
      <c r="G863" s="115"/>
      <c r="H863" s="115"/>
      <c r="I863" s="115"/>
      <c r="J863" s="115"/>
      <c r="K863" s="115"/>
      <c r="L863" s="115"/>
      <c r="M863" s="115"/>
      <c r="N863" s="115"/>
      <c r="O863" s="115"/>
    </row>
    <row r="864">
      <c r="E864" s="115"/>
      <c r="F864" s="115"/>
      <c r="G864" s="115"/>
      <c r="H864" s="115"/>
      <c r="I864" s="115"/>
      <c r="J864" s="115"/>
      <c r="K864" s="115"/>
      <c r="L864" s="115"/>
      <c r="M864" s="115"/>
      <c r="N864" s="115"/>
      <c r="O864" s="115"/>
    </row>
    <row r="865">
      <c r="E865" s="115"/>
      <c r="F865" s="115"/>
      <c r="G865" s="115"/>
      <c r="H865" s="115"/>
      <c r="I865" s="115"/>
      <c r="J865" s="115"/>
      <c r="K865" s="115"/>
      <c r="L865" s="115"/>
      <c r="M865" s="115"/>
      <c r="N865" s="115"/>
      <c r="O865" s="115"/>
    </row>
    <row r="866">
      <c r="E866" s="115"/>
      <c r="F866" s="115"/>
      <c r="G866" s="115"/>
      <c r="H866" s="115"/>
      <c r="I866" s="115"/>
      <c r="J866" s="115"/>
      <c r="K866" s="115"/>
      <c r="L866" s="115"/>
      <c r="M866" s="115"/>
      <c r="N866" s="115"/>
      <c r="O866" s="115"/>
    </row>
    <row r="867">
      <c r="E867" s="115"/>
      <c r="F867" s="115"/>
      <c r="G867" s="115"/>
      <c r="H867" s="115"/>
      <c r="I867" s="115"/>
      <c r="J867" s="115"/>
      <c r="K867" s="115"/>
      <c r="L867" s="115"/>
      <c r="M867" s="115"/>
      <c r="N867" s="115"/>
      <c r="O867" s="115"/>
    </row>
    <row r="868">
      <c r="E868" s="115"/>
      <c r="F868" s="115"/>
      <c r="G868" s="115"/>
      <c r="H868" s="115"/>
      <c r="I868" s="115"/>
      <c r="J868" s="115"/>
      <c r="K868" s="115"/>
      <c r="L868" s="115"/>
      <c r="M868" s="115"/>
      <c r="N868" s="115"/>
      <c r="O868" s="115"/>
    </row>
    <row r="869">
      <c r="E869" s="115"/>
      <c r="F869" s="115"/>
      <c r="G869" s="115"/>
      <c r="H869" s="115"/>
      <c r="I869" s="115"/>
      <c r="J869" s="115"/>
      <c r="K869" s="115"/>
      <c r="L869" s="115"/>
      <c r="M869" s="115"/>
      <c r="N869" s="115"/>
      <c r="O869" s="115"/>
    </row>
    <row r="870">
      <c r="E870" s="115"/>
      <c r="F870" s="115"/>
      <c r="G870" s="115"/>
      <c r="H870" s="115"/>
      <c r="I870" s="115"/>
      <c r="J870" s="115"/>
      <c r="K870" s="115"/>
      <c r="L870" s="115"/>
      <c r="M870" s="115"/>
      <c r="N870" s="115"/>
      <c r="O870" s="115"/>
    </row>
    <row r="871">
      <c r="E871" s="115"/>
      <c r="F871" s="115"/>
      <c r="G871" s="115"/>
      <c r="H871" s="115"/>
      <c r="I871" s="115"/>
      <c r="J871" s="115"/>
      <c r="K871" s="115"/>
      <c r="L871" s="115"/>
      <c r="M871" s="115"/>
      <c r="N871" s="115"/>
      <c r="O871" s="115"/>
    </row>
    <row r="872">
      <c r="E872" s="115"/>
      <c r="F872" s="115"/>
      <c r="G872" s="115"/>
      <c r="H872" s="115"/>
      <c r="I872" s="115"/>
      <c r="J872" s="115"/>
      <c r="K872" s="115"/>
      <c r="L872" s="115"/>
      <c r="M872" s="115"/>
      <c r="N872" s="115"/>
      <c r="O872" s="115"/>
    </row>
    <row r="873">
      <c r="E873" s="115"/>
      <c r="F873" s="115"/>
      <c r="G873" s="115"/>
      <c r="H873" s="115"/>
      <c r="I873" s="115"/>
      <c r="J873" s="115"/>
      <c r="K873" s="115"/>
      <c r="L873" s="115"/>
      <c r="M873" s="115"/>
      <c r="N873" s="115"/>
      <c r="O873" s="115"/>
    </row>
    <row r="874">
      <c r="E874" s="115"/>
      <c r="F874" s="115"/>
      <c r="G874" s="115"/>
      <c r="H874" s="115"/>
      <c r="I874" s="115"/>
      <c r="J874" s="115"/>
      <c r="K874" s="115"/>
      <c r="L874" s="115"/>
      <c r="M874" s="115"/>
      <c r="N874" s="115"/>
      <c r="O874" s="115"/>
    </row>
    <row r="875">
      <c r="E875" s="115"/>
      <c r="F875" s="115"/>
      <c r="G875" s="115"/>
      <c r="H875" s="115"/>
      <c r="I875" s="115"/>
      <c r="J875" s="115"/>
      <c r="K875" s="115"/>
      <c r="L875" s="115"/>
      <c r="M875" s="115"/>
      <c r="N875" s="115"/>
      <c r="O875" s="115"/>
    </row>
    <row r="876">
      <c r="E876" s="115"/>
      <c r="F876" s="115"/>
      <c r="G876" s="115"/>
      <c r="H876" s="115"/>
      <c r="I876" s="115"/>
      <c r="J876" s="115"/>
      <c r="K876" s="115"/>
      <c r="L876" s="115"/>
      <c r="M876" s="115"/>
      <c r="N876" s="115"/>
      <c r="O876" s="115"/>
    </row>
    <row r="877">
      <c r="E877" s="115"/>
      <c r="F877" s="115"/>
      <c r="G877" s="115"/>
      <c r="H877" s="115"/>
      <c r="I877" s="115"/>
      <c r="J877" s="115"/>
      <c r="K877" s="115"/>
      <c r="L877" s="115"/>
      <c r="M877" s="115"/>
      <c r="N877" s="115"/>
      <c r="O877" s="115"/>
    </row>
    <row r="878">
      <c r="E878" s="115"/>
      <c r="F878" s="115"/>
      <c r="G878" s="115"/>
      <c r="H878" s="115"/>
      <c r="I878" s="115"/>
      <c r="J878" s="115"/>
      <c r="K878" s="115"/>
      <c r="L878" s="115"/>
      <c r="M878" s="115"/>
      <c r="N878" s="115"/>
      <c r="O878" s="115"/>
    </row>
    <row r="879">
      <c r="E879" s="115"/>
      <c r="F879" s="115"/>
      <c r="G879" s="115"/>
      <c r="H879" s="115"/>
      <c r="I879" s="115"/>
      <c r="J879" s="115"/>
      <c r="K879" s="115"/>
      <c r="L879" s="115"/>
      <c r="M879" s="115"/>
      <c r="N879" s="115"/>
      <c r="O879" s="115"/>
    </row>
    <row r="880">
      <c r="E880" s="115"/>
      <c r="F880" s="115"/>
      <c r="G880" s="115"/>
      <c r="H880" s="115"/>
      <c r="I880" s="115"/>
      <c r="J880" s="115"/>
      <c r="K880" s="115"/>
      <c r="L880" s="115"/>
      <c r="M880" s="115"/>
      <c r="N880" s="115"/>
      <c r="O880" s="115"/>
    </row>
    <row r="881">
      <c r="E881" s="115"/>
      <c r="F881" s="115"/>
      <c r="G881" s="115"/>
      <c r="H881" s="115"/>
      <c r="I881" s="115"/>
      <c r="J881" s="115"/>
      <c r="K881" s="115"/>
      <c r="L881" s="115"/>
      <c r="M881" s="115"/>
      <c r="N881" s="115"/>
      <c r="O881" s="115"/>
    </row>
    <row r="882">
      <c r="E882" s="115"/>
      <c r="F882" s="115"/>
      <c r="G882" s="115"/>
      <c r="H882" s="115"/>
      <c r="I882" s="115"/>
      <c r="J882" s="115"/>
      <c r="K882" s="115"/>
      <c r="L882" s="115"/>
      <c r="M882" s="115"/>
      <c r="N882" s="115"/>
      <c r="O882" s="115"/>
    </row>
    <row r="883">
      <c r="E883" s="115"/>
      <c r="F883" s="115"/>
      <c r="G883" s="115"/>
      <c r="H883" s="115"/>
      <c r="I883" s="115"/>
      <c r="J883" s="115"/>
      <c r="K883" s="115"/>
      <c r="L883" s="115"/>
      <c r="M883" s="115"/>
      <c r="N883" s="115"/>
      <c r="O883" s="115"/>
    </row>
    <row r="884">
      <c r="E884" s="115"/>
      <c r="F884" s="115"/>
      <c r="G884" s="115"/>
      <c r="H884" s="115"/>
      <c r="I884" s="115"/>
      <c r="J884" s="115"/>
      <c r="K884" s="115"/>
      <c r="L884" s="115"/>
      <c r="M884" s="115"/>
      <c r="N884" s="115"/>
      <c r="O884" s="115"/>
    </row>
    <row r="885">
      <c r="E885" s="115"/>
      <c r="F885" s="115"/>
      <c r="G885" s="115"/>
      <c r="H885" s="115"/>
      <c r="I885" s="115"/>
      <c r="J885" s="115"/>
      <c r="K885" s="115"/>
      <c r="L885" s="115"/>
      <c r="M885" s="115"/>
      <c r="N885" s="115"/>
      <c r="O885" s="115"/>
    </row>
    <row r="886">
      <c r="E886" s="115"/>
      <c r="F886" s="115"/>
      <c r="G886" s="115"/>
      <c r="H886" s="115"/>
      <c r="I886" s="115"/>
      <c r="J886" s="115"/>
      <c r="K886" s="115"/>
      <c r="L886" s="115"/>
      <c r="M886" s="115"/>
      <c r="N886" s="115"/>
      <c r="O886" s="115"/>
    </row>
    <row r="887">
      <c r="E887" s="115"/>
      <c r="F887" s="115"/>
      <c r="G887" s="115"/>
      <c r="H887" s="115"/>
      <c r="I887" s="115"/>
      <c r="J887" s="115"/>
      <c r="K887" s="115"/>
      <c r="L887" s="115"/>
      <c r="M887" s="115"/>
      <c r="N887" s="115"/>
      <c r="O887" s="115"/>
    </row>
    <row r="888">
      <c r="E888" s="115"/>
      <c r="F888" s="115"/>
      <c r="G888" s="115"/>
      <c r="H888" s="115"/>
      <c r="I888" s="115"/>
      <c r="J888" s="115"/>
      <c r="K888" s="115"/>
      <c r="L888" s="115"/>
      <c r="M888" s="115"/>
      <c r="N888" s="115"/>
      <c r="O888" s="115"/>
    </row>
    <row r="889">
      <c r="E889" s="115"/>
      <c r="F889" s="115"/>
      <c r="G889" s="115"/>
      <c r="H889" s="115"/>
      <c r="I889" s="115"/>
      <c r="J889" s="115"/>
      <c r="K889" s="115"/>
      <c r="L889" s="115"/>
      <c r="M889" s="115"/>
      <c r="N889" s="115"/>
      <c r="O889" s="115"/>
    </row>
    <row r="890">
      <c r="E890" s="115"/>
      <c r="F890" s="115"/>
      <c r="G890" s="115"/>
      <c r="H890" s="115"/>
      <c r="I890" s="115"/>
      <c r="J890" s="115"/>
      <c r="K890" s="115"/>
      <c r="L890" s="115"/>
      <c r="M890" s="115"/>
      <c r="N890" s="115"/>
      <c r="O890" s="115"/>
    </row>
    <row r="891">
      <c r="E891" s="115"/>
      <c r="F891" s="115"/>
      <c r="G891" s="115"/>
      <c r="H891" s="115"/>
      <c r="I891" s="115"/>
      <c r="J891" s="115"/>
      <c r="K891" s="115"/>
      <c r="L891" s="115"/>
      <c r="M891" s="115"/>
      <c r="N891" s="115"/>
      <c r="O891" s="115"/>
    </row>
    <row r="892">
      <c r="E892" s="115"/>
      <c r="F892" s="115"/>
      <c r="G892" s="115"/>
      <c r="H892" s="115"/>
      <c r="I892" s="115"/>
      <c r="J892" s="115"/>
      <c r="K892" s="115"/>
      <c r="L892" s="115"/>
      <c r="M892" s="115"/>
      <c r="N892" s="115"/>
      <c r="O892" s="115"/>
    </row>
    <row r="893">
      <c r="E893" s="115"/>
      <c r="F893" s="115"/>
      <c r="G893" s="115"/>
      <c r="H893" s="115"/>
      <c r="I893" s="115"/>
      <c r="J893" s="115"/>
      <c r="K893" s="115"/>
      <c r="L893" s="115"/>
      <c r="M893" s="115"/>
      <c r="N893" s="115"/>
      <c r="O893" s="115"/>
    </row>
    <row r="894">
      <c r="E894" s="115"/>
      <c r="F894" s="115"/>
      <c r="G894" s="115"/>
      <c r="H894" s="115"/>
      <c r="I894" s="115"/>
      <c r="J894" s="115"/>
      <c r="K894" s="115"/>
      <c r="L894" s="115"/>
      <c r="M894" s="115"/>
      <c r="N894" s="115"/>
      <c r="O894" s="115"/>
    </row>
    <row r="895">
      <c r="E895" s="115"/>
      <c r="F895" s="115"/>
      <c r="G895" s="115"/>
      <c r="H895" s="115"/>
      <c r="I895" s="115"/>
      <c r="J895" s="115"/>
      <c r="K895" s="115"/>
      <c r="L895" s="115"/>
      <c r="M895" s="115"/>
      <c r="N895" s="115"/>
      <c r="O895" s="115"/>
    </row>
    <row r="896">
      <c r="E896" s="115"/>
      <c r="F896" s="115"/>
      <c r="G896" s="115"/>
      <c r="H896" s="115"/>
      <c r="I896" s="115"/>
      <c r="J896" s="115"/>
      <c r="K896" s="115"/>
      <c r="L896" s="115"/>
      <c r="M896" s="115"/>
      <c r="N896" s="115"/>
      <c r="O896" s="115"/>
    </row>
    <row r="897">
      <c r="E897" s="115"/>
      <c r="F897" s="115"/>
      <c r="G897" s="115"/>
      <c r="H897" s="115"/>
      <c r="I897" s="115"/>
      <c r="J897" s="115"/>
      <c r="K897" s="115"/>
      <c r="L897" s="115"/>
      <c r="M897" s="115"/>
      <c r="N897" s="115"/>
      <c r="O897" s="115"/>
    </row>
    <row r="898">
      <c r="E898" s="115"/>
      <c r="F898" s="115"/>
      <c r="G898" s="115"/>
      <c r="H898" s="115"/>
      <c r="I898" s="115"/>
      <c r="J898" s="115"/>
      <c r="K898" s="115"/>
      <c r="L898" s="115"/>
      <c r="M898" s="115"/>
      <c r="N898" s="115"/>
      <c r="O898" s="115"/>
    </row>
    <row r="899">
      <c r="E899" s="115"/>
      <c r="F899" s="115"/>
      <c r="G899" s="115"/>
      <c r="H899" s="115"/>
      <c r="I899" s="115"/>
      <c r="J899" s="115"/>
      <c r="K899" s="115"/>
      <c r="L899" s="115"/>
      <c r="M899" s="115"/>
      <c r="N899" s="115"/>
      <c r="O899" s="115"/>
    </row>
    <row r="900">
      <c r="E900" s="115"/>
      <c r="F900" s="115"/>
      <c r="G900" s="115"/>
      <c r="H900" s="115"/>
      <c r="I900" s="115"/>
      <c r="J900" s="115"/>
      <c r="K900" s="115"/>
      <c r="L900" s="115"/>
      <c r="M900" s="115"/>
      <c r="N900" s="115"/>
      <c r="O900" s="115"/>
    </row>
    <row r="901">
      <c r="E901" s="115"/>
      <c r="F901" s="115"/>
      <c r="G901" s="115"/>
      <c r="H901" s="115"/>
      <c r="I901" s="115"/>
      <c r="J901" s="115"/>
      <c r="K901" s="115"/>
      <c r="L901" s="115"/>
      <c r="M901" s="115"/>
      <c r="N901" s="115"/>
      <c r="O901" s="115"/>
    </row>
    <row r="902">
      <c r="E902" s="115"/>
      <c r="F902" s="115"/>
      <c r="G902" s="115"/>
      <c r="H902" s="115"/>
      <c r="I902" s="115"/>
      <c r="J902" s="115"/>
      <c r="K902" s="115"/>
      <c r="L902" s="115"/>
      <c r="M902" s="115"/>
      <c r="N902" s="115"/>
      <c r="O902" s="115"/>
    </row>
    <row r="903">
      <c r="E903" s="115"/>
      <c r="F903" s="115"/>
      <c r="G903" s="115"/>
      <c r="H903" s="115"/>
      <c r="I903" s="115"/>
      <c r="J903" s="115"/>
      <c r="K903" s="115"/>
      <c r="L903" s="115"/>
      <c r="M903" s="115"/>
      <c r="N903" s="115"/>
      <c r="O903" s="115"/>
    </row>
    <row r="904">
      <c r="E904" s="115"/>
      <c r="F904" s="115"/>
      <c r="G904" s="115"/>
      <c r="H904" s="115"/>
      <c r="I904" s="115"/>
      <c r="J904" s="115"/>
      <c r="K904" s="115"/>
      <c r="L904" s="115"/>
      <c r="M904" s="115"/>
      <c r="N904" s="115"/>
      <c r="O904" s="115"/>
    </row>
    <row r="905">
      <c r="E905" s="115"/>
      <c r="F905" s="115"/>
      <c r="G905" s="115"/>
      <c r="H905" s="115"/>
      <c r="I905" s="115"/>
      <c r="J905" s="115"/>
      <c r="K905" s="115"/>
      <c r="L905" s="115"/>
      <c r="M905" s="115"/>
      <c r="N905" s="115"/>
      <c r="O905" s="115"/>
    </row>
    <row r="906">
      <c r="E906" s="115"/>
      <c r="F906" s="115"/>
      <c r="G906" s="115"/>
      <c r="H906" s="115"/>
      <c r="I906" s="115"/>
      <c r="J906" s="115"/>
      <c r="K906" s="115"/>
      <c r="L906" s="115"/>
      <c r="M906" s="115"/>
      <c r="N906" s="115"/>
      <c r="O906" s="115"/>
    </row>
    <row r="907">
      <c r="E907" s="115"/>
      <c r="F907" s="115"/>
      <c r="G907" s="115"/>
      <c r="H907" s="115"/>
      <c r="I907" s="115"/>
      <c r="J907" s="115"/>
      <c r="K907" s="115"/>
      <c r="L907" s="115"/>
      <c r="M907" s="115"/>
      <c r="N907" s="115"/>
      <c r="O907" s="115"/>
    </row>
    <row r="908">
      <c r="E908" s="115"/>
      <c r="F908" s="115"/>
      <c r="G908" s="115"/>
      <c r="H908" s="115"/>
      <c r="I908" s="115"/>
      <c r="J908" s="115"/>
      <c r="K908" s="115"/>
      <c r="L908" s="115"/>
      <c r="M908" s="115"/>
      <c r="N908" s="115"/>
      <c r="O908" s="115"/>
    </row>
    <row r="909">
      <c r="E909" s="115"/>
      <c r="F909" s="115"/>
      <c r="G909" s="115"/>
      <c r="H909" s="115"/>
      <c r="I909" s="115"/>
      <c r="J909" s="115"/>
      <c r="K909" s="115"/>
      <c r="L909" s="115"/>
      <c r="M909" s="115"/>
      <c r="N909" s="115"/>
      <c r="O909" s="115"/>
    </row>
    <row r="910">
      <c r="E910" s="115"/>
      <c r="F910" s="115"/>
      <c r="G910" s="115"/>
      <c r="H910" s="115"/>
      <c r="I910" s="115"/>
      <c r="J910" s="115"/>
      <c r="K910" s="115"/>
      <c r="L910" s="115"/>
      <c r="M910" s="115"/>
      <c r="N910" s="115"/>
      <c r="O910" s="115"/>
    </row>
    <row r="911">
      <c r="E911" s="115"/>
      <c r="F911" s="115"/>
      <c r="G911" s="115"/>
      <c r="H911" s="115"/>
      <c r="I911" s="115"/>
      <c r="J911" s="115"/>
      <c r="K911" s="115"/>
      <c r="L911" s="115"/>
      <c r="M911" s="115"/>
      <c r="N911" s="115"/>
      <c r="O911" s="115"/>
    </row>
    <row r="912">
      <c r="E912" s="115"/>
      <c r="F912" s="115"/>
      <c r="G912" s="115"/>
      <c r="H912" s="115"/>
      <c r="I912" s="115"/>
      <c r="J912" s="115"/>
      <c r="K912" s="115"/>
      <c r="L912" s="115"/>
      <c r="M912" s="115"/>
      <c r="N912" s="115"/>
      <c r="O912" s="115"/>
    </row>
    <row r="913">
      <c r="E913" s="115"/>
      <c r="F913" s="115"/>
      <c r="G913" s="115"/>
      <c r="H913" s="115"/>
      <c r="I913" s="115"/>
      <c r="J913" s="115"/>
      <c r="K913" s="115"/>
      <c r="L913" s="115"/>
      <c r="M913" s="115"/>
      <c r="N913" s="115"/>
      <c r="O913" s="115"/>
    </row>
    <row r="914">
      <c r="E914" s="115"/>
      <c r="F914" s="115"/>
      <c r="G914" s="115"/>
      <c r="H914" s="115"/>
      <c r="I914" s="115"/>
      <c r="J914" s="115"/>
      <c r="K914" s="115"/>
      <c r="L914" s="115"/>
      <c r="M914" s="115"/>
      <c r="N914" s="115"/>
      <c r="O914" s="115"/>
    </row>
    <row r="915">
      <c r="E915" s="115"/>
      <c r="F915" s="115"/>
      <c r="G915" s="115"/>
      <c r="H915" s="115"/>
      <c r="I915" s="115"/>
      <c r="J915" s="115"/>
      <c r="K915" s="115"/>
      <c r="L915" s="115"/>
      <c r="M915" s="115"/>
      <c r="N915" s="115"/>
      <c r="O915" s="115"/>
    </row>
    <row r="916">
      <c r="E916" s="115"/>
      <c r="F916" s="115"/>
      <c r="G916" s="115"/>
      <c r="H916" s="115"/>
      <c r="I916" s="115"/>
      <c r="J916" s="115"/>
      <c r="K916" s="115"/>
      <c r="L916" s="115"/>
      <c r="M916" s="115"/>
      <c r="N916" s="115"/>
      <c r="O916" s="115"/>
    </row>
    <row r="917">
      <c r="E917" s="115"/>
      <c r="F917" s="115"/>
      <c r="G917" s="115"/>
      <c r="H917" s="115"/>
      <c r="I917" s="115"/>
      <c r="J917" s="115"/>
      <c r="K917" s="115"/>
      <c r="L917" s="115"/>
      <c r="M917" s="115"/>
      <c r="N917" s="115"/>
      <c r="O917" s="115"/>
    </row>
    <row r="918">
      <c r="E918" s="115"/>
      <c r="F918" s="115"/>
      <c r="G918" s="115"/>
      <c r="H918" s="115"/>
      <c r="I918" s="115"/>
      <c r="J918" s="115"/>
      <c r="K918" s="115"/>
      <c r="L918" s="115"/>
      <c r="M918" s="115"/>
      <c r="N918" s="115"/>
      <c r="O918" s="115"/>
    </row>
    <row r="919">
      <c r="E919" s="115"/>
      <c r="F919" s="115"/>
      <c r="G919" s="115"/>
      <c r="H919" s="115"/>
      <c r="I919" s="115"/>
      <c r="J919" s="115"/>
      <c r="K919" s="115"/>
      <c r="L919" s="115"/>
      <c r="M919" s="115"/>
      <c r="N919" s="115"/>
      <c r="O919" s="115"/>
    </row>
    <row r="920">
      <c r="E920" s="115"/>
      <c r="F920" s="115"/>
      <c r="G920" s="115"/>
      <c r="H920" s="115"/>
      <c r="I920" s="115"/>
      <c r="J920" s="115"/>
      <c r="K920" s="115"/>
      <c r="L920" s="115"/>
      <c r="M920" s="115"/>
      <c r="N920" s="115"/>
      <c r="O920" s="115"/>
    </row>
    <row r="921">
      <c r="E921" s="115"/>
      <c r="F921" s="115"/>
      <c r="G921" s="115"/>
      <c r="H921" s="115"/>
      <c r="I921" s="115"/>
      <c r="J921" s="115"/>
      <c r="K921" s="115"/>
      <c r="L921" s="115"/>
      <c r="M921" s="115"/>
      <c r="N921" s="115"/>
      <c r="O921" s="115"/>
    </row>
    <row r="922">
      <c r="E922" s="115"/>
      <c r="F922" s="115"/>
      <c r="G922" s="115"/>
      <c r="H922" s="115"/>
      <c r="I922" s="115"/>
      <c r="J922" s="115"/>
      <c r="K922" s="115"/>
      <c r="L922" s="115"/>
      <c r="M922" s="115"/>
      <c r="N922" s="115"/>
      <c r="O922" s="115"/>
    </row>
    <row r="923">
      <c r="E923" s="115"/>
      <c r="F923" s="115"/>
      <c r="G923" s="115"/>
      <c r="H923" s="115"/>
      <c r="I923" s="115"/>
      <c r="J923" s="115"/>
      <c r="K923" s="115"/>
      <c r="L923" s="115"/>
      <c r="M923" s="115"/>
      <c r="N923" s="115"/>
      <c r="O923" s="115"/>
    </row>
    <row r="924">
      <c r="E924" s="115"/>
      <c r="F924" s="115"/>
      <c r="G924" s="115"/>
      <c r="H924" s="115"/>
      <c r="I924" s="115"/>
      <c r="J924" s="115"/>
      <c r="K924" s="115"/>
      <c r="L924" s="115"/>
      <c r="M924" s="115"/>
      <c r="N924" s="115"/>
      <c r="O924" s="115"/>
    </row>
    <row r="925">
      <c r="E925" s="115"/>
      <c r="F925" s="115"/>
      <c r="G925" s="115"/>
      <c r="H925" s="115"/>
      <c r="I925" s="115"/>
      <c r="J925" s="115"/>
      <c r="K925" s="115"/>
      <c r="L925" s="115"/>
      <c r="M925" s="115"/>
      <c r="N925" s="115"/>
      <c r="O925" s="115"/>
    </row>
    <row r="926">
      <c r="E926" s="115"/>
      <c r="F926" s="115"/>
      <c r="G926" s="115"/>
      <c r="H926" s="115"/>
      <c r="I926" s="115"/>
      <c r="J926" s="115"/>
      <c r="K926" s="115"/>
      <c r="L926" s="115"/>
      <c r="M926" s="115"/>
      <c r="N926" s="115"/>
      <c r="O926" s="115"/>
    </row>
    <row r="927">
      <c r="E927" s="115"/>
      <c r="F927" s="115"/>
      <c r="G927" s="115"/>
      <c r="H927" s="115"/>
      <c r="I927" s="115"/>
      <c r="J927" s="115"/>
      <c r="K927" s="115"/>
      <c r="L927" s="115"/>
      <c r="M927" s="115"/>
      <c r="N927" s="115"/>
      <c r="O927" s="115"/>
    </row>
    <row r="928">
      <c r="E928" s="115"/>
      <c r="F928" s="115"/>
      <c r="G928" s="115"/>
      <c r="H928" s="115"/>
      <c r="I928" s="115"/>
      <c r="J928" s="115"/>
      <c r="K928" s="115"/>
      <c r="L928" s="115"/>
      <c r="M928" s="115"/>
      <c r="N928" s="115"/>
      <c r="O928" s="115"/>
    </row>
    <row r="929">
      <c r="E929" s="115"/>
      <c r="F929" s="115"/>
      <c r="G929" s="115"/>
      <c r="H929" s="115"/>
      <c r="I929" s="115"/>
      <c r="J929" s="115"/>
      <c r="K929" s="115"/>
      <c r="L929" s="115"/>
      <c r="M929" s="115"/>
      <c r="N929" s="115"/>
      <c r="O929" s="115"/>
    </row>
    <row r="930">
      <c r="E930" s="115"/>
      <c r="F930" s="115"/>
      <c r="G930" s="115"/>
      <c r="H930" s="115"/>
      <c r="I930" s="115"/>
      <c r="J930" s="115"/>
      <c r="K930" s="115"/>
      <c r="L930" s="115"/>
      <c r="M930" s="115"/>
      <c r="N930" s="115"/>
      <c r="O930" s="115"/>
    </row>
    <row r="931">
      <c r="E931" s="115"/>
      <c r="F931" s="115"/>
      <c r="G931" s="115"/>
      <c r="H931" s="115"/>
      <c r="I931" s="115"/>
      <c r="J931" s="115"/>
      <c r="K931" s="115"/>
      <c r="L931" s="115"/>
      <c r="M931" s="115"/>
      <c r="N931" s="115"/>
      <c r="O931" s="115"/>
    </row>
    <row r="932">
      <c r="E932" s="115"/>
      <c r="F932" s="115"/>
      <c r="G932" s="115"/>
      <c r="H932" s="115"/>
      <c r="I932" s="115"/>
      <c r="J932" s="115"/>
      <c r="K932" s="115"/>
      <c r="L932" s="115"/>
      <c r="M932" s="115"/>
      <c r="N932" s="115"/>
      <c r="O932" s="115"/>
    </row>
    <row r="933">
      <c r="E933" s="115"/>
      <c r="F933" s="115"/>
      <c r="G933" s="115"/>
      <c r="H933" s="115"/>
      <c r="I933" s="115"/>
      <c r="J933" s="115"/>
      <c r="K933" s="115"/>
      <c r="L933" s="115"/>
      <c r="M933" s="115"/>
      <c r="N933" s="115"/>
      <c r="O933" s="115"/>
    </row>
    <row r="934">
      <c r="E934" s="115"/>
      <c r="F934" s="115"/>
      <c r="G934" s="115"/>
      <c r="H934" s="115"/>
      <c r="I934" s="115"/>
      <c r="J934" s="115"/>
      <c r="K934" s="115"/>
      <c r="L934" s="115"/>
      <c r="M934" s="115"/>
      <c r="N934" s="115"/>
      <c r="O934" s="115"/>
    </row>
    <row r="935">
      <c r="E935" s="115"/>
      <c r="F935" s="115"/>
      <c r="G935" s="115"/>
      <c r="H935" s="115"/>
      <c r="I935" s="115"/>
      <c r="J935" s="115"/>
      <c r="K935" s="115"/>
      <c r="L935" s="115"/>
      <c r="M935" s="115"/>
      <c r="N935" s="115"/>
      <c r="O935" s="115"/>
    </row>
    <row r="936">
      <c r="E936" s="115"/>
      <c r="F936" s="115"/>
      <c r="G936" s="115"/>
      <c r="H936" s="115"/>
      <c r="I936" s="115"/>
      <c r="J936" s="115"/>
      <c r="K936" s="115"/>
      <c r="L936" s="115"/>
      <c r="M936" s="115"/>
      <c r="N936" s="115"/>
      <c r="O936" s="115"/>
    </row>
    <row r="937">
      <c r="E937" s="115"/>
      <c r="F937" s="115"/>
      <c r="G937" s="115"/>
      <c r="H937" s="115"/>
      <c r="I937" s="115"/>
      <c r="J937" s="115"/>
      <c r="K937" s="115"/>
      <c r="L937" s="115"/>
      <c r="M937" s="115"/>
      <c r="N937" s="115"/>
      <c r="O937" s="115"/>
    </row>
    <row r="938">
      <c r="E938" s="115"/>
      <c r="F938" s="115"/>
      <c r="G938" s="115"/>
      <c r="H938" s="115"/>
      <c r="I938" s="115"/>
      <c r="J938" s="115"/>
      <c r="K938" s="115"/>
      <c r="L938" s="115"/>
      <c r="M938" s="115"/>
      <c r="N938" s="115"/>
      <c r="O938" s="115"/>
    </row>
    <row r="939">
      <c r="E939" s="115"/>
      <c r="F939" s="115"/>
      <c r="G939" s="115"/>
      <c r="H939" s="115"/>
      <c r="I939" s="115"/>
      <c r="J939" s="115"/>
      <c r="K939" s="115"/>
      <c r="L939" s="115"/>
      <c r="M939" s="115"/>
      <c r="N939" s="115"/>
      <c r="O939" s="115"/>
    </row>
    <row r="940">
      <c r="E940" s="115"/>
      <c r="F940" s="115"/>
      <c r="G940" s="115"/>
      <c r="H940" s="115"/>
      <c r="I940" s="115"/>
      <c r="J940" s="115"/>
      <c r="K940" s="115"/>
      <c r="L940" s="115"/>
      <c r="M940" s="115"/>
      <c r="N940" s="115"/>
      <c r="O940" s="115"/>
    </row>
    <row r="941">
      <c r="E941" s="115"/>
      <c r="F941" s="115"/>
      <c r="G941" s="115"/>
      <c r="H941" s="115"/>
      <c r="I941" s="115"/>
      <c r="J941" s="115"/>
      <c r="K941" s="115"/>
      <c r="L941" s="115"/>
      <c r="M941" s="115"/>
      <c r="N941" s="115"/>
      <c r="O941" s="115"/>
    </row>
    <row r="942">
      <c r="E942" s="115"/>
      <c r="F942" s="115"/>
      <c r="G942" s="115"/>
      <c r="H942" s="115"/>
      <c r="I942" s="115"/>
      <c r="J942" s="115"/>
      <c r="K942" s="115"/>
      <c r="L942" s="115"/>
      <c r="M942" s="115"/>
      <c r="N942" s="115"/>
      <c r="O942" s="115"/>
    </row>
    <row r="943">
      <c r="E943" s="115"/>
      <c r="F943" s="115"/>
      <c r="G943" s="115"/>
      <c r="H943" s="115"/>
      <c r="I943" s="115"/>
      <c r="J943" s="115"/>
      <c r="K943" s="115"/>
      <c r="L943" s="115"/>
      <c r="M943" s="115"/>
      <c r="N943" s="115"/>
      <c r="O943" s="115"/>
    </row>
    <row r="944">
      <c r="E944" s="115"/>
      <c r="F944" s="115"/>
      <c r="G944" s="115"/>
      <c r="H944" s="115"/>
      <c r="I944" s="115"/>
      <c r="J944" s="115"/>
      <c r="K944" s="115"/>
      <c r="L944" s="115"/>
      <c r="M944" s="115"/>
      <c r="N944" s="115"/>
      <c r="O944" s="115"/>
    </row>
    <row r="945">
      <c r="E945" s="115"/>
      <c r="F945" s="115"/>
      <c r="G945" s="115"/>
      <c r="H945" s="115"/>
      <c r="I945" s="115"/>
      <c r="J945" s="115"/>
      <c r="K945" s="115"/>
      <c r="L945" s="115"/>
      <c r="M945" s="115"/>
      <c r="N945" s="115"/>
      <c r="O945" s="115"/>
    </row>
    <row r="946">
      <c r="E946" s="115"/>
      <c r="F946" s="115"/>
      <c r="G946" s="115"/>
      <c r="H946" s="115"/>
      <c r="I946" s="115"/>
      <c r="J946" s="115"/>
      <c r="K946" s="115"/>
      <c r="L946" s="115"/>
      <c r="M946" s="115"/>
      <c r="N946" s="115"/>
      <c r="O946" s="115"/>
    </row>
    <row r="947">
      <c r="E947" s="115"/>
      <c r="F947" s="115"/>
      <c r="G947" s="115"/>
      <c r="H947" s="115"/>
      <c r="I947" s="115"/>
      <c r="J947" s="115"/>
      <c r="K947" s="115"/>
      <c r="L947" s="115"/>
      <c r="M947" s="115"/>
      <c r="N947" s="115"/>
      <c r="O947" s="115"/>
    </row>
    <row r="948">
      <c r="E948" s="115"/>
      <c r="F948" s="115"/>
      <c r="G948" s="115"/>
      <c r="H948" s="115"/>
      <c r="I948" s="115"/>
      <c r="J948" s="115"/>
      <c r="K948" s="115"/>
      <c r="L948" s="115"/>
      <c r="M948" s="115"/>
      <c r="N948" s="115"/>
      <c r="O948" s="115"/>
    </row>
    <row r="949">
      <c r="E949" s="115"/>
      <c r="F949" s="115"/>
      <c r="G949" s="115"/>
      <c r="H949" s="115"/>
      <c r="I949" s="115"/>
      <c r="J949" s="115"/>
      <c r="K949" s="115"/>
      <c r="L949" s="115"/>
      <c r="M949" s="115"/>
      <c r="N949" s="115"/>
      <c r="O949" s="115"/>
    </row>
    <row r="950">
      <c r="E950" s="115"/>
      <c r="F950" s="115"/>
      <c r="G950" s="115"/>
      <c r="H950" s="115"/>
      <c r="I950" s="115"/>
      <c r="J950" s="115"/>
      <c r="K950" s="115"/>
      <c r="L950" s="115"/>
      <c r="M950" s="115"/>
      <c r="N950" s="115"/>
      <c r="O950" s="115"/>
    </row>
    <row r="951">
      <c r="E951" s="115"/>
      <c r="F951" s="115"/>
      <c r="G951" s="115"/>
      <c r="H951" s="115"/>
      <c r="I951" s="115"/>
      <c r="J951" s="115"/>
      <c r="K951" s="115"/>
      <c r="L951" s="115"/>
      <c r="M951" s="115"/>
      <c r="N951" s="115"/>
      <c r="O951" s="115"/>
    </row>
    <row r="952">
      <c r="E952" s="115"/>
      <c r="F952" s="115"/>
      <c r="G952" s="115"/>
      <c r="H952" s="115"/>
      <c r="I952" s="115"/>
      <c r="J952" s="115"/>
      <c r="K952" s="115"/>
      <c r="L952" s="115"/>
      <c r="M952" s="115"/>
      <c r="N952" s="115"/>
      <c r="O952" s="115"/>
    </row>
    <row r="953">
      <c r="E953" s="115"/>
      <c r="F953" s="115"/>
      <c r="G953" s="115"/>
      <c r="H953" s="115"/>
      <c r="I953" s="115"/>
      <c r="J953" s="115"/>
      <c r="K953" s="115"/>
      <c r="L953" s="115"/>
      <c r="M953" s="115"/>
      <c r="N953" s="115"/>
      <c r="O953" s="115"/>
    </row>
    <row r="954">
      <c r="E954" s="115"/>
      <c r="F954" s="115"/>
      <c r="G954" s="115"/>
      <c r="H954" s="115"/>
      <c r="I954" s="115"/>
      <c r="J954" s="115"/>
      <c r="K954" s="115"/>
      <c r="L954" s="115"/>
      <c r="M954" s="115"/>
      <c r="N954" s="115"/>
      <c r="O954" s="115"/>
    </row>
    <row r="955">
      <c r="E955" s="115"/>
      <c r="F955" s="115"/>
      <c r="G955" s="115"/>
      <c r="H955" s="115"/>
      <c r="I955" s="115"/>
      <c r="J955" s="115"/>
      <c r="K955" s="115"/>
      <c r="L955" s="115"/>
      <c r="M955" s="115"/>
      <c r="N955" s="115"/>
      <c r="O955" s="115"/>
    </row>
    <row r="956">
      <c r="E956" s="115"/>
      <c r="F956" s="115"/>
      <c r="G956" s="115"/>
      <c r="H956" s="115"/>
      <c r="I956" s="115"/>
      <c r="J956" s="115"/>
      <c r="K956" s="115"/>
      <c r="L956" s="115"/>
      <c r="M956" s="115"/>
      <c r="N956" s="115"/>
      <c r="O956" s="115"/>
    </row>
    <row r="957">
      <c r="E957" s="115"/>
      <c r="F957" s="115"/>
      <c r="G957" s="115"/>
      <c r="H957" s="115"/>
      <c r="I957" s="115"/>
      <c r="J957" s="115"/>
      <c r="K957" s="115"/>
      <c r="L957" s="115"/>
      <c r="M957" s="115"/>
      <c r="N957" s="115"/>
      <c r="O957" s="115"/>
    </row>
    <row r="958">
      <c r="E958" s="115"/>
      <c r="F958" s="115"/>
      <c r="G958" s="115"/>
      <c r="H958" s="115"/>
      <c r="I958" s="115"/>
      <c r="J958" s="115"/>
      <c r="K958" s="115"/>
      <c r="L958" s="115"/>
      <c r="M958" s="115"/>
      <c r="N958" s="115"/>
      <c r="O958" s="115"/>
    </row>
    <row r="959">
      <c r="E959" s="115"/>
      <c r="F959" s="115"/>
      <c r="G959" s="115"/>
      <c r="H959" s="115"/>
      <c r="I959" s="115"/>
      <c r="J959" s="115"/>
      <c r="K959" s="115"/>
      <c r="L959" s="115"/>
      <c r="M959" s="115"/>
      <c r="N959" s="115"/>
      <c r="O959" s="115"/>
    </row>
    <row r="960">
      <c r="E960" s="115"/>
      <c r="F960" s="115"/>
      <c r="G960" s="115"/>
      <c r="H960" s="115"/>
      <c r="I960" s="115"/>
      <c r="J960" s="115"/>
      <c r="K960" s="115"/>
      <c r="L960" s="115"/>
      <c r="M960" s="115"/>
      <c r="N960" s="115"/>
      <c r="O960" s="115"/>
    </row>
    <row r="961">
      <c r="E961" s="115"/>
      <c r="F961" s="115"/>
      <c r="G961" s="115"/>
      <c r="H961" s="115"/>
      <c r="I961" s="115"/>
      <c r="J961" s="115"/>
      <c r="K961" s="115"/>
      <c r="L961" s="115"/>
      <c r="M961" s="115"/>
      <c r="N961" s="115"/>
      <c r="O961" s="115"/>
    </row>
    <row r="962">
      <c r="E962" s="115"/>
      <c r="F962" s="115"/>
      <c r="G962" s="115"/>
      <c r="H962" s="115"/>
      <c r="I962" s="115"/>
      <c r="J962" s="115"/>
      <c r="K962" s="115"/>
      <c r="L962" s="115"/>
      <c r="M962" s="115"/>
      <c r="N962" s="115"/>
      <c r="O962" s="115"/>
    </row>
    <row r="963">
      <c r="E963" s="115"/>
      <c r="F963" s="115"/>
      <c r="G963" s="115"/>
      <c r="H963" s="115"/>
      <c r="I963" s="115"/>
      <c r="J963" s="115"/>
      <c r="K963" s="115"/>
      <c r="L963" s="115"/>
      <c r="M963" s="115"/>
      <c r="N963" s="115"/>
      <c r="O963" s="115"/>
    </row>
    <row r="964">
      <c r="E964" s="115"/>
      <c r="F964" s="115"/>
      <c r="G964" s="115"/>
      <c r="H964" s="115"/>
      <c r="I964" s="115"/>
      <c r="J964" s="115"/>
      <c r="K964" s="115"/>
      <c r="L964" s="115"/>
      <c r="M964" s="115"/>
      <c r="N964" s="115"/>
      <c r="O964" s="115"/>
    </row>
    <row r="965">
      <c r="E965" s="115"/>
      <c r="F965" s="115"/>
      <c r="G965" s="115"/>
      <c r="H965" s="115"/>
      <c r="I965" s="115"/>
      <c r="J965" s="115"/>
      <c r="K965" s="115"/>
      <c r="L965" s="115"/>
      <c r="M965" s="115"/>
      <c r="N965" s="115"/>
      <c r="O965" s="115"/>
    </row>
    <row r="966">
      <c r="E966" s="115"/>
      <c r="F966" s="115"/>
      <c r="G966" s="115"/>
      <c r="H966" s="115"/>
      <c r="I966" s="115"/>
      <c r="J966" s="115"/>
      <c r="K966" s="115"/>
      <c r="L966" s="115"/>
      <c r="M966" s="115"/>
      <c r="N966" s="115"/>
      <c r="O966" s="115"/>
    </row>
    <row r="967">
      <c r="E967" s="115"/>
      <c r="F967" s="115"/>
      <c r="G967" s="115"/>
      <c r="H967" s="115"/>
      <c r="I967" s="115"/>
      <c r="J967" s="115"/>
      <c r="K967" s="115"/>
      <c r="L967" s="115"/>
      <c r="M967" s="115"/>
      <c r="N967" s="115"/>
      <c r="O967" s="115"/>
    </row>
    <row r="968">
      <c r="E968" s="115"/>
      <c r="F968" s="115"/>
      <c r="G968" s="115"/>
      <c r="H968" s="115"/>
      <c r="I968" s="115"/>
      <c r="J968" s="115"/>
      <c r="K968" s="115"/>
      <c r="L968" s="115"/>
      <c r="M968" s="115"/>
      <c r="N968" s="115"/>
      <c r="O968" s="115"/>
    </row>
    <row r="969">
      <c r="E969" s="115"/>
      <c r="F969" s="115"/>
      <c r="G969" s="115"/>
      <c r="H969" s="115"/>
      <c r="I969" s="115"/>
      <c r="J969" s="115"/>
      <c r="K969" s="115"/>
      <c r="L969" s="115"/>
      <c r="M969" s="115"/>
      <c r="N969" s="115"/>
      <c r="O969" s="115"/>
    </row>
    <row r="970">
      <c r="E970" s="115"/>
      <c r="F970" s="115"/>
      <c r="G970" s="115"/>
      <c r="H970" s="115"/>
      <c r="I970" s="115"/>
      <c r="J970" s="115"/>
      <c r="K970" s="115"/>
      <c r="L970" s="115"/>
      <c r="M970" s="115"/>
      <c r="N970" s="115"/>
      <c r="O970" s="115"/>
    </row>
    <row r="971">
      <c r="E971" s="115"/>
      <c r="F971" s="115"/>
      <c r="G971" s="115"/>
      <c r="H971" s="115"/>
      <c r="I971" s="115"/>
      <c r="J971" s="115"/>
      <c r="K971" s="115"/>
      <c r="L971" s="115"/>
      <c r="M971" s="115"/>
      <c r="N971" s="115"/>
      <c r="O971" s="115"/>
    </row>
    <row r="972">
      <c r="E972" s="115"/>
      <c r="F972" s="115"/>
      <c r="G972" s="115"/>
      <c r="H972" s="115"/>
      <c r="I972" s="115"/>
      <c r="J972" s="115"/>
      <c r="K972" s="115"/>
      <c r="L972" s="115"/>
      <c r="M972" s="115"/>
      <c r="N972" s="115"/>
      <c r="O972" s="115"/>
    </row>
    <row r="973">
      <c r="E973" s="115"/>
      <c r="F973" s="115"/>
      <c r="G973" s="115"/>
      <c r="H973" s="115"/>
      <c r="I973" s="115"/>
      <c r="J973" s="115"/>
      <c r="K973" s="115"/>
      <c r="L973" s="115"/>
      <c r="M973" s="115"/>
      <c r="N973" s="115"/>
      <c r="O973" s="115"/>
    </row>
    <row r="974">
      <c r="E974" s="115"/>
      <c r="F974" s="115"/>
      <c r="G974" s="115"/>
      <c r="H974" s="115"/>
      <c r="I974" s="115"/>
      <c r="J974" s="115"/>
      <c r="K974" s="115"/>
      <c r="L974" s="115"/>
      <c r="M974" s="115"/>
      <c r="N974" s="115"/>
      <c r="O974" s="115"/>
    </row>
    <row r="975">
      <c r="E975" s="115"/>
      <c r="F975" s="115"/>
      <c r="G975" s="115"/>
      <c r="H975" s="115"/>
      <c r="I975" s="115"/>
      <c r="J975" s="115"/>
      <c r="K975" s="115"/>
      <c r="L975" s="115"/>
      <c r="M975" s="115"/>
      <c r="N975" s="115"/>
      <c r="O975" s="115"/>
    </row>
    <row r="976">
      <c r="E976" s="115"/>
      <c r="F976" s="115"/>
      <c r="G976" s="115"/>
      <c r="H976" s="115"/>
      <c r="I976" s="115"/>
      <c r="J976" s="115"/>
      <c r="K976" s="115"/>
      <c r="L976" s="115"/>
      <c r="M976" s="115"/>
      <c r="N976" s="115"/>
      <c r="O976" s="115"/>
    </row>
    <row r="977">
      <c r="E977" s="115"/>
      <c r="F977" s="115"/>
      <c r="G977" s="115"/>
      <c r="H977" s="115"/>
      <c r="I977" s="115"/>
      <c r="J977" s="115"/>
      <c r="K977" s="115"/>
      <c r="L977" s="115"/>
      <c r="M977" s="115"/>
      <c r="N977" s="115"/>
      <c r="O977" s="115"/>
    </row>
    <row r="978">
      <c r="E978" s="115"/>
      <c r="F978" s="115"/>
      <c r="G978" s="115"/>
      <c r="H978" s="115"/>
      <c r="I978" s="115"/>
      <c r="J978" s="115"/>
      <c r="K978" s="115"/>
      <c r="L978" s="115"/>
      <c r="M978" s="115"/>
      <c r="N978" s="115"/>
      <c r="O978" s="115"/>
    </row>
    <row r="979">
      <c r="E979" s="115"/>
      <c r="F979" s="115"/>
      <c r="G979" s="115"/>
      <c r="H979" s="115"/>
      <c r="I979" s="115"/>
      <c r="J979" s="115"/>
      <c r="K979" s="115"/>
      <c r="L979" s="115"/>
      <c r="M979" s="115"/>
      <c r="N979" s="115"/>
      <c r="O979" s="115"/>
    </row>
    <row r="980">
      <c r="E980" s="115"/>
      <c r="F980" s="115"/>
      <c r="G980" s="115"/>
      <c r="H980" s="115"/>
      <c r="I980" s="115"/>
      <c r="J980" s="115"/>
      <c r="K980" s="115"/>
      <c r="L980" s="115"/>
      <c r="M980" s="115"/>
      <c r="N980" s="115"/>
      <c r="O980" s="115"/>
    </row>
    <row r="981">
      <c r="E981" s="115"/>
      <c r="F981" s="115"/>
      <c r="G981" s="115"/>
      <c r="H981" s="115"/>
      <c r="I981" s="115"/>
      <c r="J981" s="115"/>
      <c r="K981" s="115"/>
      <c r="L981" s="115"/>
      <c r="M981" s="115"/>
      <c r="N981" s="115"/>
      <c r="O981" s="115"/>
    </row>
    <row r="982">
      <c r="E982" s="115"/>
      <c r="F982" s="115"/>
      <c r="G982" s="115"/>
      <c r="H982" s="115"/>
      <c r="I982" s="115"/>
      <c r="J982" s="115"/>
      <c r="K982" s="115"/>
      <c r="L982" s="115"/>
      <c r="M982" s="115"/>
      <c r="N982" s="115"/>
      <c r="O982" s="115"/>
    </row>
    <row r="983">
      <c r="E983" s="115"/>
      <c r="F983" s="115"/>
      <c r="G983" s="115"/>
      <c r="H983" s="115"/>
      <c r="I983" s="115"/>
      <c r="J983" s="115"/>
      <c r="K983" s="115"/>
      <c r="L983" s="115"/>
      <c r="M983" s="115"/>
      <c r="N983" s="115"/>
      <c r="O983" s="115"/>
    </row>
    <row r="984">
      <c r="E984" s="115"/>
      <c r="F984" s="115"/>
      <c r="G984" s="115"/>
      <c r="H984" s="115"/>
      <c r="I984" s="115"/>
      <c r="J984" s="115"/>
      <c r="K984" s="115"/>
      <c r="L984" s="115"/>
      <c r="M984" s="115"/>
      <c r="N984" s="115"/>
      <c r="O984" s="115"/>
    </row>
    <row r="985">
      <c r="E985" s="115"/>
      <c r="F985" s="115"/>
      <c r="G985" s="115"/>
      <c r="H985" s="115"/>
      <c r="I985" s="115"/>
      <c r="J985" s="115"/>
      <c r="K985" s="115"/>
      <c r="L985" s="115"/>
      <c r="M985" s="115"/>
      <c r="N985" s="115"/>
      <c r="O985" s="115"/>
    </row>
    <row r="986">
      <c r="E986" s="115"/>
      <c r="F986" s="115"/>
      <c r="G986" s="115"/>
      <c r="H986" s="115"/>
      <c r="I986" s="115"/>
      <c r="J986" s="115"/>
      <c r="K986" s="115"/>
      <c r="L986" s="115"/>
      <c r="M986" s="115"/>
      <c r="N986" s="115"/>
      <c r="O986" s="115"/>
    </row>
    <row r="987">
      <c r="E987" s="115"/>
      <c r="F987" s="115"/>
      <c r="G987" s="115"/>
      <c r="H987" s="115"/>
      <c r="I987" s="115"/>
      <c r="J987" s="115"/>
      <c r="K987" s="115"/>
      <c r="L987" s="115"/>
      <c r="M987" s="115"/>
      <c r="N987" s="115"/>
      <c r="O987" s="115"/>
    </row>
    <row r="988">
      <c r="E988" s="115"/>
      <c r="F988" s="115"/>
      <c r="G988" s="115"/>
      <c r="H988" s="115"/>
      <c r="I988" s="115"/>
      <c r="J988" s="115"/>
      <c r="K988" s="115"/>
      <c r="L988" s="115"/>
      <c r="M988" s="115"/>
      <c r="N988" s="115"/>
      <c r="O988" s="115"/>
    </row>
    <row r="989">
      <c r="E989" s="115"/>
      <c r="F989" s="115"/>
      <c r="G989" s="115"/>
      <c r="H989" s="115"/>
      <c r="I989" s="115"/>
      <c r="J989" s="115"/>
      <c r="K989" s="115"/>
      <c r="L989" s="115"/>
      <c r="M989" s="115"/>
      <c r="N989" s="115"/>
      <c r="O989" s="115"/>
    </row>
    <row r="990">
      <c r="E990" s="115"/>
      <c r="F990" s="115"/>
      <c r="G990" s="115"/>
      <c r="H990" s="115"/>
      <c r="I990" s="115"/>
      <c r="J990" s="115"/>
      <c r="K990" s="115"/>
      <c r="L990" s="115"/>
      <c r="M990" s="115"/>
      <c r="N990" s="115"/>
      <c r="O990" s="115"/>
    </row>
    <row r="991">
      <c r="E991" s="115"/>
      <c r="F991" s="115"/>
      <c r="G991" s="115"/>
      <c r="H991" s="115"/>
      <c r="I991" s="115"/>
      <c r="J991" s="115"/>
      <c r="K991" s="115"/>
      <c r="L991" s="115"/>
      <c r="M991" s="115"/>
      <c r="N991" s="115"/>
      <c r="O991" s="115"/>
    </row>
    <row r="992">
      <c r="E992" s="115"/>
      <c r="F992" s="115"/>
      <c r="G992" s="115"/>
      <c r="H992" s="115"/>
      <c r="I992" s="115"/>
      <c r="J992" s="115"/>
      <c r="K992" s="115"/>
      <c r="L992" s="115"/>
      <c r="M992" s="115"/>
      <c r="N992" s="115"/>
      <c r="O992" s="115"/>
    </row>
    <row r="993">
      <c r="E993" s="115"/>
      <c r="F993" s="115"/>
      <c r="G993" s="115"/>
      <c r="H993" s="115"/>
      <c r="I993" s="115"/>
      <c r="J993" s="115"/>
      <c r="K993" s="115"/>
      <c r="L993" s="115"/>
      <c r="M993" s="115"/>
      <c r="N993" s="115"/>
      <c r="O993" s="115"/>
    </row>
    <row r="994">
      <c r="E994" s="115"/>
      <c r="F994" s="115"/>
      <c r="G994" s="115"/>
      <c r="H994" s="115"/>
      <c r="I994" s="115"/>
      <c r="J994" s="115"/>
      <c r="K994" s="115"/>
      <c r="L994" s="115"/>
      <c r="M994" s="115"/>
      <c r="N994" s="115"/>
      <c r="O994" s="115"/>
    </row>
    <row r="995">
      <c r="E995" s="115"/>
      <c r="F995" s="115"/>
      <c r="G995" s="115"/>
      <c r="H995" s="115"/>
      <c r="I995" s="115"/>
      <c r="J995" s="115"/>
      <c r="K995" s="115"/>
      <c r="L995" s="115"/>
      <c r="M995" s="115"/>
      <c r="N995" s="115"/>
      <c r="O995" s="115"/>
    </row>
    <row r="996">
      <c r="E996" s="115"/>
      <c r="F996" s="115"/>
      <c r="G996" s="115"/>
      <c r="H996" s="115"/>
      <c r="I996" s="115"/>
      <c r="J996" s="115"/>
      <c r="K996" s="115"/>
      <c r="L996" s="115"/>
      <c r="M996" s="115"/>
      <c r="N996" s="115"/>
      <c r="O996" s="115"/>
    </row>
    <row r="997">
      <c r="E997" s="115"/>
      <c r="F997" s="115"/>
      <c r="G997" s="115"/>
      <c r="H997" s="115"/>
      <c r="I997" s="115"/>
      <c r="J997" s="115"/>
      <c r="K997" s="115"/>
      <c r="L997" s="115"/>
      <c r="M997" s="115"/>
      <c r="N997" s="115"/>
      <c r="O997" s="115"/>
    </row>
    <row r="998">
      <c r="E998" s="115"/>
      <c r="F998" s="115"/>
      <c r="G998" s="115"/>
      <c r="H998" s="115"/>
      <c r="I998" s="115"/>
      <c r="J998" s="115"/>
      <c r="K998" s="115"/>
      <c r="L998" s="115"/>
      <c r="M998" s="115"/>
      <c r="N998" s="115"/>
      <c r="O998" s="115"/>
    </row>
    <row r="999">
      <c r="E999" s="115"/>
      <c r="F999" s="115"/>
      <c r="G999" s="115"/>
      <c r="H999" s="115"/>
      <c r="I999" s="115"/>
      <c r="J999" s="115"/>
      <c r="K999" s="115"/>
      <c r="L999" s="115"/>
      <c r="M999" s="115"/>
      <c r="N999" s="115"/>
      <c r="O999" s="115"/>
    </row>
    <row r="1000">
      <c r="E1000" s="115"/>
      <c r="F1000" s="115"/>
      <c r="G1000" s="115"/>
      <c r="H1000" s="115"/>
      <c r="I1000" s="115"/>
      <c r="J1000" s="115"/>
      <c r="K1000" s="115"/>
      <c r="L1000" s="115"/>
      <c r="M1000" s="115"/>
      <c r="N1000" s="115"/>
      <c r="O1000" s="115"/>
    </row>
    <row r="1001">
      <c r="E1001" s="115"/>
      <c r="F1001" s="115"/>
      <c r="G1001" s="115"/>
      <c r="H1001" s="115"/>
      <c r="I1001" s="115"/>
      <c r="J1001" s="115"/>
      <c r="K1001" s="115"/>
      <c r="L1001" s="115"/>
      <c r="M1001" s="115"/>
      <c r="N1001" s="115"/>
      <c r="O1001" s="115"/>
    </row>
    <row r="1002">
      <c r="E1002" s="115"/>
      <c r="F1002" s="115"/>
      <c r="G1002" s="115"/>
      <c r="H1002" s="115"/>
      <c r="I1002" s="115"/>
      <c r="J1002" s="115"/>
      <c r="K1002" s="115"/>
      <c r="L1002" s="115"/>
      <c r="M1002" s="115"/>
      <c r="N1002" s="115"/>
      <c r="O1002" s="115"/>
    </row>
    <row r="1003">
      <c r="E1003" s="115"/>
      <c r="F1003" s="115"/>
      <c r="G1003" s="115"/>
      <c r="H1003" s="115"/>
      <c r="I1003" s="115"/>
      <c r="J1003" s="115"/>
      <c r="K1003" s="115"/>
      <c r="L1003" s="115"/>
      <c r="M1003" s="115"/>
      <c r="N1003" s="115"/>
      <c r="O1003" s="115"/>
    </row>
    <row r="1004">
      <c r="E1004" s="115"/>
      <c r="F1004" s="115"/>
      <c r="G1004" s="115"/>
      <c r="H1004" s="115"/>
      <c r="I1004" s="115"/>
      <c r="J1004" s="115"/>
      <c r="K1004" s="115"/>
      <c r="L1004" s="115"/>
      <c r="M1004" s="115"/>
      <c r="N1004" s="115"/>
      <c r="O1004" s="115"/>
    </row>
    <row r="1005">
      <c r="E1005" s="115"/>
      <c r="F1005" s="115"/>
      <c r="G1005" s="115"/>
      <c r="H1005" s="115"/>
      <c r="I1005" s="115"/>
      <c r="J1005" s="115"/>
      <c r="K1005" s="115"/>
      <c r="L1005" s="115"/>
      <c r="M1005" s="115"/>
      <c r="N1005" s="115"/>
      <c r="O1005" s="115"/>
    </row>
    <row r="1006">
      <c r="E1006" s="115"/>
      <c r="F1006" s="115"/>
      <c r="G1006" s="115"/>
      <c r="H1006" s="115"/>
      <c r="I1006" s="115"/>
      <c r="J1006" s="115"/>
      <c r="K1006" s="115"/>
      <c r="L1006" s="115"/>
      <c r="M1006" s="115"/>
      <c r="N1006" s="115"/>
      <c r="O1006" s="115"/>
    </row>
    <row r="1007">
      <c r="E1007" s="115"/>
      <c r="F1007" s="115"/>
      <c r="G1007" s="115"/>
      <c r="H1007" s="115"/>
      <c r="I1007" s="115"/>
      <c r="J1007" s="115"/>
      <c r="K1007" s="115"/>
      <c r="L1007" s="115"/>
      <c r="M1007" s="115"/>
      <c r="N1007" s="115"/>
      <c r="O1007" s="115"/>
    </row>
    <row r="1008">
      <c r="E1008" s="115"/>
      <c r="F1008" s="115"/>
      <c r="G1008" s="115"/>
      <c r="H1008" s="115"/>
      <c r="I1008" s="115"/>
      <c r="J1008" s="115"/>
      <c r="K1008" s="115"/>
      <c r="L1008" s="115"/>
      <c r="M1008" s="115"/>
      <c r="N1008" s="115"/>
      <c r="O1008" s="115"/>
    </row>
    <row r="1009">
      <c r="E1009" s="115"/>
      <c r="F1009" s="115"/>
      <c r="G1009" s="115"/>
      <c r="H1009" s="115"/>
      <c r="I1009" s="115"/>
      <c r="J1009" s="115"/>
      <c r="K1009" s="115"/>
      <c r="L1009" s="115"/>
      <c r="M1009" s="115"/>
      <c r="N1009" s="115"/>
      <c r="O1009" s="115"/>
    </row>
    <row r="1010">
      <c r="E1010" s="115"/>
      <c r="F1010" s="115"/>
      <c r="G1010" s="115"/>
      <c r="H1010" s="115"/>
      <c r="I1010" s="115"/>
      <c r="J1010" s="115"/>
      <c r="K1010" s="115"/>
      <c r="L1010" s="115"/>
      <c r="M1010" s="115"/>
      <c r="N1010" s="115"/>
      <c r="O1010" s="115"/>
    </row>
    <row r="1011">
      <c r="E1011" s="115"/>
      <c r="F1011" s="115"/>
      <c r="G1011" s="115"/>
      <c r="H1011" s="115"/>
      <c r="I1011" s="115"/>
      <c r="J1011" s="115"/>
      <c r="K1011" s="115"/>
      <c r="L1011" s="115"/>
      <c r="M1011" s="115"/>
      <c r="N1011" s="115"/>
      <c r="O1011" s="115"/>
    </row>
    <row r="1012">
      <c r="E1012" s="115"/>
      <c r="F1012" s="115"/>
      <c r="G1012" s="115"/>
      <c r="H1012" s="115"/>
      <c r="I1012" s="115"/>
      <c r="J1012" s="115"/>
      <c r="K1012" s="115"/>
      <c r="L1012" s="115"/>
      <c r="M1012" s="115"/>
      <c r="N1012" s="115"/>
      <c r="O1012" s="115"/>
    </row>
    <row r="1013">
      <c r="E1013" s="115"/>
      <c r="F1013" s="115"/>
      <c r="G1013" s="115"/>
      <c r="H1013" s="115"/>
      <c r="I1013" s="115"/>
      <c r="J1013" s="115"/>
      <c r="K1013" s="115"/>
      <c r="L1013" s="115"/>
      <c r="M1013" s="115"/>
      <c r="N1013" s="115"/>
      <c r="O1013" s="115"/>
    </row>
    <row r="1014">
      <c r="E1014" s="115"/>
      <c r="F1014" s="115"/>
      <c r="G1014" s="115"/>
      <c r="H1014" s="115"/>
      <c r="I1014" s="115"/>
      <c r="J1014" s="115"/>
      <c r="K1014" s="115"/>
      <c r="L1014" s="115"/>
      <c r="M1014" s="115"/>
      <c r="N1014" s="115"/>
      <c r="O1014" s="115"/>
    </row>
    <row r="1015">
      <c r="E1015" s="115"/>
      <c r="F1015" s="115"/>
      <c r="G1015" s="115"/>
      <c r="H1015" s="115"/>
      <c r="I1015" s="115"/>
      <c r="J1015" s="115"/>
      <c r="K1015" s="115"/>
      <c r="L1015" s="115"/>
      <c r="M1015" s="115"/>
      <c r="N1015" s="115"/>
      <c r="O1015" s="115"/>
    </row>
    <row r="1016">
      <c r="E1016" s="115"/>
      <c r="F1016" s="115"/>
      <c r="G1016" s="115"/>
      <c r="H1016" s="115"/>
      <c r="I1016" s="115"/>
      <c r="J1016" s="115"/>
      <c r="K1016" s="115"/>
      <c r="L1016" s="115"/>
      <c r="M1016" s="115"/>
      <c r="N1016" s="115"/>
      <c r="O1016" s="115"/>
    </row>
    <row r="1017">
      <c r="E1017" s="115"/>
      <c r="F1017" s="115"/>
      <c r="G1017" s="115"/>
      <c r="H1017" s="115"/>
      <c r="I1017" s="115"/>
      <c r="J1017" s="115"/>
      <c r="K1017" s="115"/>
      <c r="L1017" s="115"/>
      <c r="M1017" s="115"/>
      <c r="N1017" s="115"/>
      <c r="O1017" s="115"/>
    </row>
    <row r="1018">
      <c r="E1018" s="115"/>
      <c r="F1018" s="115"/>
      <c r="G1018" s="115"/>
      <c r="H1018" s="115"/>
      <c r="I1018" s="115"/>
      <c r="J1018" s="115"/>
      <c r="K1018" s="115"/>
      <c r="L1018" s="115"/>
      <c r="M1018" s="115"/>
      <c r="N1018" s="115"/>
      <c r="O1018" s="115"/>
    </row>
    <row r="1019">
      <c r="E1019" s="115"/>
      <c r="F1019" s="115"/>
      <c r="G1019" s="115"/>
      <c r="H1019" s="115"/>
      <c r="I1019" s="115"/>
      <c r="J1019" s="115"/>
      <c r="K1019" s="115"/>
      <c r="L1019" s="115"/>
      <c r="M1019" s="115"/>
      <c r="N1019" s="115"/>
      <c r="O1019" s="115"/>
    </row>
    <row r="1020">
      <c r="E1020" s="115"/>
      <c r="F1020" s="115"/>
      <c r="G1020" s="115"/>
      <c r="H1020" s="115"/>
      <c r="I1020" s="115"/>
      <c r="J1020" s="115"/>
      <c r="K1020" s="115"/>
      <c r="L1020" s="115"/>
      <c r="M1020" s="115"/>
      <c r="N1020" s="115"/>
      <c r="O1020" s="115"/>
    </row>
    <row r="1021">
      <c r="E1021" s="115"/>
      <c r="F1021" s="115"/>
      <c r="G1021" s="115"/>
      <c r="H1021" s="115"/>
      <c r="I1021" s="115"/>
      <c r="J1021" s="115"/>
      <c r="K1021" s="115"/>
      <c r="L1021" s="115"/>
      <c r="M1021" s="115"/>
      <c r="N1021" s="115"/>
      <c r="O1021" s="115"/>
    </row>
    <row r="1022">
      <c r="E1022" s="115"/>
      <c r="F1022" s="115"/>
      <c r="G1022" s="115"/>
      <c r="H1022" s="115"/>
      <c r="I1022" s="115"/>
      <c r="J1022" s="115"/>
      <c r="K1022" s="115"/>
      <c r="L1022" s="115"/>
      <c r="M1022" s="115"/>
      <c r="N1022" s="115"/>
      <c r="O1022" s="115"/>
    </row>
    <row r="1023">
      <c r="E1023" s="115"/>
      <c r="F1023" s="115"/>
      <c r="G1023" s="115"/>
      <c r="H1023" s="115"/>
      <c r="I1023" s="115"/>
      <c r="J1023" s="115"/>
      <c r="K1023" s="115"/>
      <c r="L1023" s="115"/>
      <c r="M1023" s="115"/>
      <c r="N1023" s="115"/>
      <c r="O1023" s="115"/>
    </row>
    <row r="1024">
      <c r="E1024" s="115"/>
      <c r="F1024" s="115"/>
      <c r="G1024" s="115"/>
      <c r="H1024" s="115"/>
      <c r="I1024" s="115"/>
      <c r="J1024" s="115"/>
      <c r="K1024" s="115"/>
      <c r="L1024" s="115"/>
      <c r="M1024" s="115"/>
      <c r="N1024" s="115"/>
      <c r="O1024" s="115"/>
    </row>
    <row r="1025">
      <c r="E1025" s="115"/>
      <c r="F1025" s="115"/>
      <c r="G1025" s="115"/>
      <c r="H1025" s="115"/>
      <c r="I1025" s="115"/>
      <c r="J1025" s="115"/>
      <c r="K1025" s="115"/>
      <c r="L1025" s="115"/>
      <c r="M1025" s="115"/>
      <c r="N1025" s="115"/>
      <c r="O1025" s="115"/>
    </row>
    <row r="1026">
      <c r="E1026" s="115"/>
      <c r="F1026" s="115"/>
      <c r="G1026" s="115"/>
      <c r="H1026" s="115"/>
      <c r="I1026" s="115"/>
      <c r="J1026" s="115"/>
      <c r="K1026" s="115"/>
      <c r="L1026" s="115"/>
      <c r="M1026" s="115"/>
      <c r="N1026" s="115"/>
      <c r="O1026" s="115"/>
    </row>
    <row r="1027">
      <c r="E1027" s="115"/>
      <c r="F1027" s="115"/>
      <c r="G1027" s="115"/>
      <c r="H1027" s="115"/>
      <c r="I1027" s="115"/>
      <c r="J1027" s="115"/>
      <c r="K1027" s="115"/>
      <c r="L1027" s="115"/>
      <c r="M1027" s="115"/>
      <c r="N1027" s="115"/>
      <c r="O1027" s="115"/>
    </row>
    <row r="1028">
      <c r="E1028" s="115"/>
      <c r="F1028" s="115"/>
      <c r="G1028" s="115"/>
      <c r="H1028" s="115"/>
      <c r="I1028" s="115"/>
      <c r="J1028" s="115"/>
      <c r="K1028" s="115"/>
      <c r="L1028" s="115"/>
      <c r="M1028" s="115"/>
      <c r="N1028" s="115"/>
      <c r="O1028" s="115"/>
    </row>
    <row r="1029">
      <c r="E1029" s="115"/>
      <c r="F1029" s="115"/>
      <c r="G1029" s="115"/>
      <c r="H1029" s="115"/>
      <c r="I1029" s="115"/>
      <c r="J1029" s="115"/>
      <c r="K1029" s="115"/>
      <c r="L1029" s="115"/>
      <c r="M1029" s="115"/>
      <c r="N1029" s="115"/>
      <c r="O1029" s="115"/>
    </row>
    <row r="1030">
      <c r="E1030" s="115"/>
      <c r="F1030" s="115"/>
      <c r="G1030" s="115"/>
      <c r="H1030" s="115"/>
      <c r="I1030" s="115"/>
      <c r="J1030" s="115"/>
      <c r="K1030" s="115"/>
      <c r="L1030" s="115"/>
      <c r="M1030" s="115"/>
      <c r="N1030" s="115"/>
      <c r="O1030" s="115"/>
    </row>
    <row r="1031">
      <c r="E1031" s="115"/>
      <c r="F1031" s="115"/>
      <c r="G1031" s="115"/>
      <c r="H1031" s="115"/>
      <c r="I1031" s="115"/>
      <c r="J1031" s="115"/>
      <c r="K1031" s="115"/>
      <c r="L1031" s="115"/>
      <c r="M1031" s="115"/>
      <c r="N1031" s="115"/>
      <c r="O1031" s="115"/>
    </row>
    <row r="1032">
      <c r="E1032" s="115"/>
      <c r="F1032" s="115"/>
      <c r="G1032" s="115"/>
      <c r="H1032" s="115"/>
      <c r="I1032" s="115"/>
      <c r="J1032" s="115"/>
      <c r="K1032" s="115"/>
      <c r="L1032" s="115"/>
      <c r="M1032" s="115"/>
      <c r="N1032" s="115"/>
      <c r="O1032" s="115"/>
    </row>
    <row r="1033">
      <c r="E1033" s="115"/>
      <c r="F1033" s="115"/>
      <c r="G1033" s="115"/>
      <c r="H1033" s="115"/>
      <c r="I1033" s="115"/>
      <c r="J1033" s="115"/>
      <c r="K1033" s="115"/>
      <c r="L1033" s="115"/>
      <c r="M1033" s="115"/>
      <c r="N1033" s="115"/>
      <c r="O1033" s="115"/>
    </row>
    <row r="1034">
      <c r="E1034" s="115"/>
      <c r="F1034" s="115"/>
      <c r="G1034" s="115"/>
      <c r="H1034" s="115"/>
      <c r="I1034" s="115"/>
      <c r="J1034" s="115"/>
      <c r="K1034" s="115"/>
      <c r="L1034" s="115"/>
      <c r="M1034" s="115"/>
      <c r="N1034" s="115"/>
      <c r="O1034" s="115"/>
    </row>
    <row r="1035">
      <c r="E1035" s="115"/>
      <c r="F1035" s="115"/>
      <c r="G1035" s="115"/>
      <c r="H1035" s="115"/>
      <c r="I1035" s="115"/>
      <c r="J1035" s="115"/>
      <c r="K1035" s="115"/>
      <c r="L1035" s="115"/>
      <c r="M1035" s="115"/>
      <c r="N1035" s="115"/>
      <c r="O1035" s="115"/>
    </row>
    <row r="1036">
      <c r="E1036" s="115"/>
      <c r="F1036" s="115"/>
      <c r="G1036" s="115"/>
      <c r="H1036" s="115"/>
      <c r="I1036" s="115"/>
      <c r="J1036" s="115"/>
      <c r="K1036" s="115"/>
      <c r="L1036" s="115"/>
      <c r="M1036" s="115"/>
      <c r="N1036" s="115"/>
      <c r="O1036" s="115"/>
    </row>
    <row r="1037">
      <c r="E1037" s="115"/>
      <c r="F1037" s="115"/>
      <c r="G1037" s="115"/>
      <c r="H1037" s="115"/>
      <c r="I1037" s="115"/>
      <c r="J1037" s="115"/>
      <c r="K1037" s="115"/>
      <c r="L1037" s="115"/>
      <c r="M1037" s="115"/>
      <c r="N1037" s="115"/>
      <c r="O1037" s="115"/>
    </row>
    <row r="1038">
      <c r="E1038" s="115"/>
      <c r="F1038" s="115"/>
      <c r="G1038" s="115"/>
      <c r="H1038" s="115"/>
      <c r="I1038" s="115"/>
      <c r="J1038" s="115"/>
      <c r="K1038" s="115"/>
      <c r="L1038" s="115"/>
      <c r="M1038" s="115"/>
      <c r="N1038" s="115"/>
      <c r="O1038" s="115"/>
    </row>
    <row r="1039">
      <c r="E1039" s="115"/>
      <c r="F1039" s="115"/>
      <c r="G1039" s="115"/>
      <c r="H1039" s="115"/>
      <c r="I1039" s="115"/>
      <c r="J1039" s="115"/>
      <c r="K1039" s="115"/>
      <c r="L1039" s="115"/>
      <c r="M1039" s="115"/>
      <c r="N1039" s="115"/>
      <c r="O1039" s="115"/>
    </row>
    <row r="1040">
      <c r="E1040" s="115"/>
      <c r="F1040" s="115"/>
      <c r="G1040" s="115"/>
      <c r="H1040" s="115"/>
      <c r="I1040" s="115"/>
      <c r="J1040" s="115"/>
      <c r="K1040" s="115"/>
      <c r="L1040" s="115"/>
      <c r="M1040" s="115"/>
      <c r="N1040" s="115"/>
      <c r="O1040" s="115"/>
    </row>
    <row r="1041">
      <c r="E1041" s="115"/>
      <c r="F1041" s="115"/>
      <c r="G1041" s="115"/>
      <c r="H1041" s="115"/>
      <c r="I1041" s="115"/>
      <c r="J1041" s="115"/>
      <c r="K1041" s="115"/>
      <c r="L1041" s="115"/>
      <c r="M1041" s="115"/>
      <c r="N1041" s="115"/>
      <c r="O1041" s="115"/>
    </row>
    <row r="1042">
      <c r="E1042" s="115"/>
      <c r="F1042" s="115"/>
      <c r="G1042" s="115"/>
      <c r="H1042" s="115"/>
      <c r="I1042" s="115"/>
      <c r="J1042" s="115"/>
      <c r="K1042" s="115"/>
      <c r="L1042" s="115"/>
      <c r="M1042" s="115"/>
      <c r="N1042" s="115"/>
      <c r="O1042" s="115"/>
    </row>
    <row r="1043">
      <c r="E1043" s="115"/>
      <c r="F1043" s="115"/>
      <c r="G1043" s="115"/>
      <c r="H1043" s="115"/>
      <c r="I1043" s="115"/>
      <c r="J1043" s="115"/>
      <c r="K1043" s="115"/>
      <c r="L1043" s="115"/>
      <c r="M1043" s="115"/>
      <c r="N1043" s="115"/>
      <c r="O1043" s="115"/>
    </row>
    <row r="1044">
      <c r="E1044" s="115"/>
      <c r="F1044" s="115"/>
      <c r="G1044" s="115"/>
      <c r="H1044" s="115"/>
      <c r="I1044" s="115"/>
      <c r="J1044" s="115"/>
      <c r="K1044" s="115"/>
      <c r="L1044" s="115"/>
      <c r="M1044" s="115"/>
      <c r="N1044" s="115"/>
      <c r="O1044" s="115"/>
    </row>
    <row r="1045">
      <c r="E1045" s="115"/>
      <c r="F1045" s="115"/>
      <c r="G1045" s="115"/>
      <c r="H1045" s="115"/>
      <c r="I1045" s="115"/>
      <c r="J1045" s="115"/>
      <c r="K1045" s="115"/>
      <c r="L1045" s="115"/>
      <c r="M1045" s="115"/>
      <c r="N1045" s="115"/>
      <c r="O1045" s="115"/>
    </row>
    <row r="1046">
      <c r="E1046" s="115"/>
      <c r="F1046" s="115"/>
      <c r="G1046" s="115"/>
      <c r="H1046" s="115"/>
      <c r="I1046" s="115"/>
      <c r="J1046" s="115"/>
      <c r="K1046" s="115"/>
      <c r="L1046" s="115"/>
      <c r="M1046" s="115"/>
      <c r="N1046" s="115"/>
      <c r="O1046" s="115"/>
    </row>
    <row r="1047">
      <c r="E1047" s="115"/>
      <c r="F1047" s="115"/>
      <c r="G1047" s="115"/>
      <c r="H1047" s="115"/>
      <c r="I1047" s="115"/>
      <c r="J1047" s="115"/>
      <c r="K1047" s="115"/>
      <c r="L1047" s="115"/>
      <c r="M1047" s="115"/>
      <c r="N1047" s="115"/>
      <c r="O1047" s="115"/>
    </row>
    <row r="1048">
      <c r="E1048" s="115"/>
      <c r="F1048" s="115"/>
      <c r="G1048" s="115"/>
      <c r="H1048" s="115"/>
      <c r="I1048" s="115"/>
      <c r="J1048" s="115"/>
      <c r="K1048" s="115"/>
      <c r="L1048" s="115"/>
      <c r="M1048" s="115"/>
      <c r="N1048" s="115"/>
      <c r="O1048" s="115"/>
    </row>
    <row r="1049">
      <c r="E1049" s="115"/>
      <c r="F1049" s="115"/>
      <c r="G1049" s="115"/>
      <c r="H1049" s="115"/>
      <c r="I1049" s="115"/>
      <c r="J1049" s="115"/>
      <c r="K1049" s="115"/>
      <c r="L1049" s="115"/>
      <c r="M1049" s="115"/>
      <c r="N1049" s="115"/>
      <c r="O1049" s="115"/>
    </row>
    <row r="1050">
      <c r="E1050" s="115"/>
      <c r="F1050" s="115"/>
      <c r="G1050" s="115"/>
      <c r="H1050" s="115"/>
      <c r="I1050" s="115"/>
      <c r="J1050" s="115"/>
      <c r="K1050" s="115"/>
      <c r="L1050" s="115"/>
      <c r="M1050" s="115"/>
      <c r="N1050" s="115"/>
      <c r="O1050" s="115"/>
    </row>
    <row r="1051">
      <c r="E1051" s="115"/>
      <c r="F1051" s="115"/>
      <c r="G1051" s="115"/>
      <c r="H1051" s="115"/>
      <c r="I1051" s="115"/>
      <c r="J1051" s="115"/>
      <c r="K1051" s="115"/>
      <c r="L1051" s="115"/>
      <c r="M1051" s="115"/>
      <c r="N1051" s="115"/>
      <c r="O1051" s="115"/>
    </row>
    <row r="1052">
      <c r="E1052" s="115"/>
      <c r="F1052" s="115"/>
      <c r="G1052" s="115"/>
      <c r="H1052" s="115"/>
      <c r="I1052" s="115"/>
      <c r="J1052" s="115"/>
      <c r="K1052" s="115"/>
      <c r="L1052" s="115"/>
      <c r="M1052" s="115"/>
      <c r="N1052" s="115"/>
      <c r="O1052" s="115"/>
    </row>
    <row r="1053">
      <c r="E1053" s="115"/>
      <c r="F1053" s="115"/>
      <c r="G1053" s="115"/>
      <c r="H1053" s="115"/>
      <c r="I1053" s="115"/>
      <c r="J1053" s="115"/>
      <c r="K1053" s="115"/>
      <c r="L1053" s="115"/>
      <c r="M1053" s="115"/>
      <c r="N1053" s="115"/>
      <c r="O1053" s="115"/>
    </row>
    <row r="1054">
      <c r="E1054" s="115"/>
      <c r="F1054" s="115"/>
      <c r="G1054" s="115"/>
      <c r="H1054" s="115"/>
      <c r="I1054" s="115"/>
      <c r="J1054" s="115"/>
      <c r="K1054" s="115"/>
      <c r="L1054" s="115"/>
      <c r="M1054" s="115"/>
      <c r="N1054" s="115"/>
      <c r="O1054" s="115"/>
    </row>
    <row r="1055">
      <c r="E1055" s="115"/>
      <c r="F1055" s="115"/>
      <c r="G1055" s="115"/>
      <c r="H1055" s="115"/>
      <c r="I1055" s="115"/>
      <c r="J1055" s="115"/>
      <c r="K1055" s="115"/>
      <c r="L1055" s="115"/>
      <c r="M1055" s="115"/>
      <c r="N1055" s="115"/>
      <c r="O1055" s="115"/>
    </row>
    <row r="1056">
      <c r="E1056" s="115"/>
      <c r="F1056" s="115"/>
      <c r="G1056" s="115"/>
      <c r="H1056" s="115"/>
      <c r="I1056" s="115"/>
      <c r="J1056" s="115"/>
      <c r="K1056" s="115"/>
      <c r="L1056" s="115"/>
      <c r="M1056" s="115"/>
      <c r="N1056" s="115"/>
      <c r="O1056" s="115"/>
    </row>
    <row r="1057">
      <c r="E1057" s="115"/>
      <c r="F1057" s="115"/>
      <c r="G1057" s="115"/>
      <c r="H1057" s="115"/>
      <c r="I1057" s="115"/>
      <c r="J1057" s="115"/>
      <c r="K1057" s="115"/>
      <c r="L1057" s="115"/>
      <c r="M1057" s="115"/>
      <c r="N1057" s="115"/>
      <c r="O1057" s="115"/>
    </row>
    <row r="1058">
      <c r="E1058" s="115"/>
      <c r="F1058" s="115"/>
      <c r="G1058" s="115"/>
      <c r="H1058" s="115"/>
      <c r="I1058" s="115"/>
      <c r="J1058" s="115"/>
      <c r="K1058" s="115"/>
      <c r="L1058" s="115"/>
      <c r="M1058" s="115"/>
      <c r="N1058" s="115"/>
      <c r="O1058" s="115"/>
    </row>
    <row r="1059">
      <c r="E1059" s="115"/>
      <c r="F1059" s="115"/>
      <c r="G1059" s="115"/>
      <c r="H1059" s="115"/>
      <c r="I1059" s="115"/>
      <c r="J1059" s="115"/>
      <c r="K1059" s="115"/>
      <c r="L1059" s="115"/>
      <c r="M1059" s="115"/>
      <c r="N1059" s="115"/>
      <c r="O1059" s="115"/>
    </row>
    <row r="1060">
      <c r="E1060" s="115"/>
      <c r="F1060" s="115"/>
      <c r="G1060" s="115"/>
      <c r="H1060" s="115"/>
      <c r="I1060" s="115"/>
      <c r="J1060" s="115"/>
      <c r="K1060" s="115"/>
      <c r="L1060" s="115"/>
      <c r="M1060" s="115"/>
      <c r="N1060" s="115"/>
      <c r="O1060" s="115"/>
    </row>
    <row r="1061">
      <c r="E1061" s="115"/>
      <c r="F1061" s="115"/>
      <c r="G1061" s="115"/>
      <c r="H1061" s="115"/>
      <c r="I1061" s="115"/>
      <c r="J1061" s="115"/>
      <c r="K1061" s="115"/>
      <c r="L1061" s="115"/>
      <c r="M1061" s="115"/>
      <c r="N1061" s="115"/>
      <c r="O1061" s="115"/>
    </row>
    <row r="1062">
      <c r="E1062" s="115"/>
      <c r="F1062" s="115"/>
      <c r="G1062" s="115"/>
      <c r="H1062" s="115"/>
      <c r="I1062" s="115"/>
      <c r="J1062" s="115"/>
      <c r="K1062" s="115"/>
      <c r="L1062" s="115"/>
      <c r="M1062" s="115"/>
      <c r="N1062" s="115"/>
      <c r="O1062" s="115"/>
    </row>
    <row r="1063">
      <c r="E1063" s="115"/>
      <c r="F1063" s="115"/>
      <c r="G1063" s="115"/>
      <c r="H1063" s="115"/>
      <c r="I1063" s="115"/>
      <c r="J1063" s="115"/>
      <c r="K1063" s="115"/>
      <c r="L1063" s="115"/>
      <c r="M1063" s="115"/>
      <c r="N1063" s="115"/>
      <c r="O1063" s="115"/>
    </row>
    <row r="1064">
      <c r="E1064" s="115"/>
      <c r="F1064" s="115"/>
      <c r="G1064" s="115"/>
      <c r="H1064" s="115"/>
      <c r="I1064" s="115"/>
      <c r="J1064" s="115"/>
      <c r="K1064" s="115"/>
      <c r="L1064" s="115"/>
      <c r="M1064" s="115"/>
      <c r="N1064" s="115"/>
      <c r="O1064" s="115"/>
    </row>
    <row r="1065">
      <c r="E1065" s="115"/>
      <c r="F1065" s="115"/>
      <c r="G1065" s="115"/>
      <c r="H1065" s="115"/>
      <c r="I1065" s="115"/>
      <c r="J1065" s="115"/>
      <c r="K1065" s="115"/>
      <c r="L1065" s="115"/>
      <c r="M1065" s="115"/>
      <c r="N1065" s="115"/>
      <c r="O1065" s="115"/>
    </row>
    <row r="1066">
      <c r="E1066" s="115"/>
      <c r="F1066" s="115"/>
      <c r="G1066" s="115"/>
      <c r="H1066" s="115"/>
      <c r="I1066" s="115"/>
      <c r="J1066" s="115"/>
      <c r="K1066" s="115"/>
      <c r="L1066" s="115"/>
      <c r="M1066" s="115"/>
      <c r="N1066" s="115"/>
      <c r="O1066" s="115"/>
    </row>
    <row r="1067">
      <c r="E1067" s="115"/>
      <c r="F1067" s="115"/>
      <c r="G1067" s="115"/>
      <c r="H1067" s="115"/>
      <c r="I1067" s="115"/>
      <c r="J1067" s="115"/>
      <c r="K1067" s="115"/>
      <c r="L1067" s="115"/>
      <c r="M1067" s="115"/>
      <c r="N1067" s="115"/>
      <c r="O1067" s="115"/>
    </row>
    <row r="1068">
      <c r="E1068" s="115"/>
      <c r="F1068" s="115"/>
      <c r="G1068" s="115"/>
      <c r="H1068" s="115"/>
      <c r="I1068" s="115"/>
      <c r="J1068" s="115"/>
      <c r="K1068" s="115"/>
      <c r="L1068" s="115"/>
      <c r="M1068" s="115"/>
      <c r="N1068" s="115"/>
      <c r="O1068" s="115"/>
    </row>
    <row r="1069">
      <c r="E1069" s="115"/>
      <c r="F1069" s="115"/>
      <c r="G1069" s="115"/>
      <c r="H1069" s="115"/>
      <c r="I1069" s="115"/>
      <c r="J1069" s="115"/>
      <c r="K1069" s="115"/>
      <c r="L1069" s="115"/>
      <c r="M1069" s="115"/>
      <c r="N1069" s="115"/>
      <c r="O1069" s="115"/>
    </row>
    <row r="1070">
      <c r="E1070" s="115"/>
      <c r="F1070" s="115"/>
      <c r="G1070" s="115"/>
      <c r="H1070" s="115"/>
      <c r="I1070" s="115"/>
      <c r="J1070" s="115"/>
      <c r="K1070" s="115"/>
      <c r="L1070" s="115"/>
      <c r="M1070" s="115"/>
      <c r="N1070" s="115"/>
      <c r="O1070" s="115"/>
    </row>
    <row r="1071">
      <c r="E1071" s="115"/>
      <c r="F1071" s="115"/>
      <c r="G1071" s="115"/>
      <c r="H1071" s="115"/>
      <c r="I1071" s="115"/>
      <c r="J1071" s="115"/>
      <c r="K1071" s="115"/>
      <c r="L1071" s="115"/>
      <c r="M1071" s="115"/>
      <c r="N1071" s="115"/>
      <c r="O1071" s="115"/>
    </row>
    <row r="1072">
      <c r="E1072" s="115"/>
      <c r="F1072" s="115"/>
      <c r="G1072" s="115"/>
      <c r="H1072" s="115"/>
      <c r="I1072" s="115"/>
      <c r="J1072" s="115"/>
      <c r="K1072" s="115"/>
      <c r="L1072" s="115"/>
      <c r="M1072" s="115"/>
      <c r="N1072" s="115"/>
      <c r="O1072" s="115"/>
    </row>
    <row r="1073">
      <c r="E1073" s="115"/>
      <c r="F1073" s="115"/>
      <c r="G1073" s="115"/>
      <c r="H1073" s="115"/>
      <c r="I1073" s="115"/>
      <c r="J1073" s="115"/>
      <c r="K1073" s="115"/>
      <c r="L1073" s="115"/>
      <c r="M1073" s="115"/>
      <c r="N1073" s="115"/>
      <c r="O1073" s="115"/>
    </row>
    <row r="1074">
      <c r="E1074" s="115"/>
      <c r="F1074" s="115"/>
      <c r="G1074" s="115"/>
      <c r="H1074" s="115"/>
      <c r="I1074" s="115"/>
      <c r="J1074" s="115"/>
      <c r="K1074" s="115"/>
      <c r="L1074" s="115"/>
      <c r="M1074" s="115"/>
      <c r="N1074" s="115"/>
      <c r="O1074" s="115"/>
    </row>
    <row r="1075">
      <c r="E1075" s="115"/>
      <c r="F1075" s="115"/>
      <c r="G1075" s="115"/>
      <c r="H1075" s="115"/>
      <c r="I1075" s="115"/>
      <c r="J1075" s="115"/>
      <c r="K1075" s="115"/>
      <c r="L1075" s="115"/>
      <c r="M1075" s="115"/>
      <c r="N1075" s="115"/>
      <c r="O1075" s="115"/>
    </row>
    <row r="1076">
      <c r="E1076" s="115"/>
      <c r="F1076" s="115"/>
      <c r="G1076" s="115"/>
      <c r="H1076" s="115"/>
      <c r="I1076" s="115"/>
      <c r="J1076" s="115"/>
      <c r="K1076" s="115"/>
      <c r="L1076" s="115"/>
      <c r="M1076" s="115"/>
      <c r="N1076" s="115"/>
      <c r="O1076" s="115"/>
    </row>
    <row r="1077">
      <c r="E1077" s="115"/>
      <c r="F1077" s="115"/>
      <c r="G1077" s="115"/>
      <c r="H1077" s="115"/>
      <c r="I1077" s="115"/>
      <c r="J1077" s="115"/>
      <c r="K1077" s="115"/>
      <c r="L1077" s="115"/>
      <c r="M1077" s="115"/>
      <c r="N1077" s="115"/>
      <c r="O1077" s="115"/>
    </row>
    <row r="1078">
      <c r="E1078" s="115"/>
      <c r="F1078" s="115"/>
      <c r="G1078" s="115"/>
      <c r="H1078" s="115"/>
      <c r="I1078" s="115"/>
      <c r="J1078" s="115"/>
      <c r="K1078" s="115"/>
      <c r="L1078" s="115"/>
      <c r="M1078" s="115"/>
      <c r="N1078" s="115"/>
      <c r="O1078" s="115"/>
    </row>
    <row r="1079">
      <c r="E1079" s="115"/>
      <c r="F1079" s="115"/>
      <c r="G1079" s="115"/>
      <c r="H1079" s="115"/>
      <c r="I1079" s="115"/>
      <c r="J1079" s="115"/>
      <c r="K1079" s="115"/>
      <c r="L1079" s="115"/>
      <c r="M1079" s="115"/>
      <c r="N1079" s="115"/>
      <c r="O1079" s="115"/>
    </row>
    <row r="1080">
      <c r="E1080" s="115"/>
      <c r="F1080" s="115"/>
      <c r="G1080" s="115"/>
      <c r="H1080" s="115"/>
      <c r="I1080" s="115"/>
      <c r="J1080" s="115"/>
      <c r="K1080" s="115"/>
      <c r="L1080" s="115"/>
      <c r="M1080" s="115"/>
      <c r="N1080" s="115"/>
      <c r="O1080" s="115"/>
    </row>
    <row r="1081">
      <c r="E1081" s="115"/>
      <c r="F1081" s="115"/>
      <c r="G1081" s="115"/>
      <c r="H1081" s="115"/>
      <c r="I1081" s="115"/>
      <c r="J1081" s="115"/>
      <c r="K1081" s="115"/>
      <c r="L1081" s="115"/>
      <c r="M1081" s="115"/>
      <c r="N1081" s="115"/>
      <c r="O1081" s="115"/>
    </row>
    <row r="1082">
      <c r="E1082" s="115"/>
      <c r="F1082" s="115"/>
      <c r="G1082" s="115"/>
      <c r="H1082" s="115"/>
      <c r="I1082" s="115"/>
      <c r="J1082" s="115"/>
      <c r="K1082" s="115"/>
      <c r="L1082" s="115"/>
      <c r="M1082" s="115"/>
      <c r="N1082" s="115"/>
      <c r="O1082" s="115"/>
    </row>
    <row r="1083">
      <c r="E1083" s="115"/>
      <c r="F1083" s="115"/>
      <c r="G1083" s="115"/>
      <c r="H1083" s="115"/>
      <c r="I1083" s="115"/>
      <c r="J1083" s="115"/>
      <c r="K1083" s="115"/>
      <c r="L1083" s="115"/>
      <c r="M1083" s="115"/>
      <c r="N1083" s="115"/>
      <c r="O1083" s="115"/>
    </row>
    <row r="1084">
      <c r="E1084" s="115"/>
      <c r="F1084" s="115"/>
      <c r="G1084" s="115"/>
      <c r="H1084" s="115"/>
      <c r="I1084" s="115"/>
      <c r="J1084" s="115"/>
      <c r="K1084" s="115"/>
      <c r="L1084" s="115"/>
      <c r="M1084" s="115"/>
      <c r="N1084" s="115"/>
      <c r="O1084" s="115"/>
    </row>
    <row r="1085">
      <c r="E1085" s="115"/>
      <c r="F1085" s="115"/>
      <c r="G1085" s="115"/>
      <c r="H1085" s="115"/>
      <c r="I1085" s="115"/>
      <c r="J1085" s="115"/>
      <c r="K1085" s="115"/>
      <c r="L1085" s="115"/>
      <c r="M1085" s="115"/>
      <c r="N1085" s="115"/>
      <c r="O1085" s="115"/>
    </row>
    <row r="1086">
      <c r="E1086" s="115"/>
      <c r="F1086" s="115"/>
      <c r="G1086" s="115"/>
      <c r="H1086" s="115"/>
      <c r="I1086" s="115"/>
      <c r="J1086" s="115"/>
      <c r="K1086" s="115"/>
      <c r="L1086" s="115"/>
      <c r="M1086" s="115"/>
      <c r="N1086" s="115"/>
      <c r="O1086" s="115"/>
    </row>
    <row r="1087">
      <c r="E1087" s="115"/>
      <c r="F1087" s="115"/>
      <c r="G1087" s="115"/>
      <c r="H1087" s="115"/>
      <c r="I1087" s="115"/>
      <c r="J1087" s="115"/>
      <c r="K1087" s="115"/>
      <c r="L1087" s="115"/>
      <c r="M1087" s="115"/>
      <c r="N1087" s="115"/>
      <c r="O1087" s="115"/>
    </row>
    <row r="1088">
      <c r="E1088" s="115"/>
      <c r="F1088" s="115"/>
      <c r="G1088" s="115"/>
      <c r="H1088" s="115"/>
      <c r="I1088" s="115"/>
      <c r="J1088" s="115"/>
      <c r="K1088" s="115"/>
      <c r="L1088" s="115"/>
      <c r="M1088" s="115"/>
      <c r="N1088" s="115"/>
      <c r="O1088" s="115"/>
    </row>
    <row r="1089">
      <c r="E1089" s="115"/>
      <c r="F1089" s="115"/>
      <c r="G1089" s="115"/>
      <c r="H1089" s="115"/>
      <c r="I1089" s="115"/>
      <c r="J1089" s="115"/>
      <c r="K1089" s="115"/>
      <c r="L1089" s="115"/>
      <c r="M1089" s="115"/>
      <c r="N1089" s="115"/>
      <c r="O1089" s="115"/>
    </row>
    <row r="1090">
      <c r="E1090" s="115"/>
      <c r="F1090" s="115"/>
      <c r="G1090" s="115"/>
      <c r="H1090" s="115"/>
      <c r="I1090" s="115"/>
      <c r="J1090" s="115"/>
      <c r="K1090" s="115"/>
      <c r="L1090" s="115"/>
      <c r="M1090" s="115"/>
      <c r="N1090" s="115"/>
      <c r="O1090" s="115"/>
    </row>
    <row r="1091">
      <c r="E1091" s="115"/>
      <c r="F1091" s="115"/>
      <c r="G1091" s="115"/>
      <c r="H1091" s="115"/>
      <c r="I1091" s="115"/>
      <c r="J1091" s="115"/>
      <c r="K1091" s="115"/>
      <c r="L1091" s="115"/>
      <c r="M1091" s="115"/>
      <c r="N1091" s="115"/>
      <c r="O1091" s="115"/>
    </row>
    <row r="1092">
      <c r="E1092" s="115"/>
      <c r="F1092" s="115"/>
      <c r="G1092" s="115"/>
      <c r="H1092" s="115"/>
      <c r="I1092" s="115"/>
      <c r="J1092" s="115"/>
      <c r="K1092" s="115"/>
      <c r="L1092" s="115"/>
      <c r="M1092" s="115"/>
      <c r="N1092" s="115"/>
      <c r="O1092" s="115"/>
    </row>
    <row r="1093">
      <c r="E1093" s="115"/>
      <c r="F1093" s="115"/>
      <c r="G1093" s="115"/>
      <c r="H1093" s="115"/>
      <c r="I1093" s="115"/>
      <c r="J1093" s="115"/>
      <c r="K1093" s="115"/>
      <c r="L1093" s="115"/>
      <c r="M1093" s="115"/>
      <c r="N1093" s="115"/>
      <c r="O1093" s="115"/>
    </row>
    <row r="1094">
      <c r="E1094" s="115"/>
      <c r="F1094" s="115"/>
      <c r="G1094" s="115"/>
      <c r="H1094" s="115"/>
      <c r="I1094" s="115"/>
      <c r="J1094" s="115"/>
      <c r="K1094" s="115"/>
      <c r="L1094" s="115"/>
      <c r="M1094" s="115"/>
      <c r="N1094" s="115"/>
      <c r="O1094" s="115"/>
    </row>
    <row r="1095">
      <c r="E1095" s="115"/>
      <c r="F1095" s="115"/>
      <c r="G1095" s="115"/>
      <c r="H1095" s="115"/>
      <c r="I1095" s="115"/>
      <c r="J1095" s="115"/>
      <c r="K1095" s="115"/>
      <c r="L1095" s="115"/>
      <c r="M1095" s="115"/>
      <c r="N1095" s="115"/>
      <c r="O1095" s="115"/>
    </row>
    <row r="1096">
      <c r="E1096" s="115"/>
      <c r="F1096" s="115"/>
      <c r="G1096" s="115"/>
      <c r="H1096" s="115"/>
      <c r="I1096" s="115"/>
      <c r="J1096" s="115"/>
      <c r="K1096" s="115"/>
      <c r="L1096" s="115"/>
      <c r="M1096" s="115"/>
      <c r="N1096" s="115"/>
      <c r="O1096" s="115"/>
    </row>
    <row r="1097">
      <c r="E1097" s="115"/>
      <c r="F1097" s="115"/>
      <c r="G1097" s="115"/>
      <c r="H1097" s="115"/>
      <c r="I1097" s="115"/>
      <c r="J1097" s="115"/>
      <c r="K1097" s="115"/>
      <c r="L1097" s="115"/>
      <c r="M1097" s="115"/>
      <c r="N1097" s="115"/>
      <c r="O1097" s="115"/>
    </row>
    <row r="1098">
      <c r="E1098" s="115"/>
      <c r="F1098" s="115"/>
      <c r="G1098" s="115"/>
      <c r="H1098" s="115"/>
      <c r="I1098" s="115"/>
      <c r="J1098" s="115"/>
      <c r="K1098" s="115"/>
      <c r="L1098" s="115"/>
      <c r="M1098" s="115"/>
      <c r="N1098" s="115"/>
      <c r="O1098" s="115"/>
    </row>
    <row r="1099">
      <c r="E1099" s="115"/>
      <c r="F1099" s="115"/>
      <c r="G1099" s="115"/>
      <c r="H1099" s="115"/>
      <c r="I1099" s="115"/>
      <c r="J1099" s="115"/>
      <c r="K1099" s="115"/>
      <c r="L1099" s="115"/>
      <c r="M1099" s="115"/>
      <c r="N1099" s="115"/>
      <c r="O1099" s="115"/>
    </row>
    <row r="1100">
      <c r="E1100" s="115"/>
      <c r="F1100" s="115"/>
      <c r="G1100" s="115"/>
      <c r="H1100" s="115"/>
      <c r="I1100" s="115"/>
      <c r="J1100" s="115"/>
      <c r="K1100" s="115"/>
      <c r="L1100" s="115"/>
      <c r="M1100" s="115"/>
      <c r="N1100" s="115"/>
      <c r="O1100" s="115"/>
    </row>
    <row r="1101">
      <c r="E1101" s="115"/>
      <c r="F1101" s="115"/>
      <c r="G1101" s="115"/>
      <c r="H1101" s="115"/>
      <c r="I1101" s="115"/>
      <c r="J1101" s="115"/>
      <c r="K1101" s="115"/>
      <c r="L1101" s="115"/>
      <c r="M1101" s="115"/>
      <c r="N1101" s="115"/>
      <c r="O1101" s="115"/>
    </row>
    <row r="1102">
      <c r="E1102" s="115"/>
      <c r="F1102" s="115"/>
      <c r="G1102" s="115"/>
      <c r="H1102" s="115"/>
      <c r="I1102" s="115"/>
      <c r="J1102" s="115"/>
      <c r="K1102" s="115"/>
      <c r="L1102" s="115"/>
      <c r="M1102" s="115"/>
      <c r="N1102" s="115"/>
      <c r="O1102" s="115"/>
    </row>
    <row r="1103">
      <c r="E1103" s="115"/>
      <c r="F1103" s="115"/>
      <c r="G1103" s="115"/>
      <c r="H1103" s="115"/>
      <c r="I1103" s="115"/>
      <c r="J1103" s="115"/>
      <c r="K1103" s="115"/>
      <c r="L1103" s="115"/>
      <c r="M1103" s="115"/>
      <c r="N1103" s="115"/>
      <c r="O1103" s="115"/>
    </row>
    <row r="1104">
      <c r="E1104" s="115"/>
      <c r="F1104" s="115"/>
      <c r="G1104" s="115"/>
      <c r="H1104" s="115"/>
      <c r="I1104" s="115"/>
      <c r="J1104" s="115"/>
      <c r="K1104" s="115"/>
      <c r="L1104" s="115"/>
      <c r="M1104" s="115"/>
      <c r="N1104" s="115"/>
      <c r="O1104" s="115"/>
    </row>
    <row r="1105">
      <c r="E1105" s="115"/>
      <c r="F1105" s="115"/>
      <c r="G1105" s="115"/>
      <c r="H1105" s="115"/>
      <c r="I1105" s="115"/>
      <c r="J1105" s="115"/>
      <c r="K1105" s="115"/>
      <c r="L1105" s="115"/>
      <c r="M1105" s="115"/>
      <c r="N1105" s="115"/>
      <c r="O1105" s="115"/>
    </row>
    <row r="1106">
      <c r="E1106" s="115"/>
      <c r="F1106" s="115"/>
      <c r="G1106" s="115"/>
      <c r="H1106" s="115"/>
      <c r="I1106" s="115"/>
      <c r="J1106" s="115"/>
      <c r="K1106" s="115"/>
      <c r="L1106" s="115"/>
      <c r="M1106" s="115"/>
      <c r="N1106" s="115"/>
      <c r="O1106" s="115"/>
    </row>
    <row r="1107">
      <c r="E1107" s="115"/>
      <c r="F1107" s="115"/>
      <c r="G1107" s="115"/>
      <c r="H1107" s="115"/>
      <c r="I1107" s="115"/>
      <c r="J1107" s="115"/>
      <c r="K1107" s="115"/>
      <c r="L1107" s="115"/>
      <c r="M1107" s="115"/>
      <c r="N1107" s="115"/>
      <c r="O1107" s="115"/>
    </row>
    <row r="1108">
      <c r="E1108" s="115"/>
      <c r="F1108" s="115"/>
      <c r="G1108" s="115"/>
      <c r="H1108" s="115"/>
      <c r="I1108" s="115"/>
      <c r="J1108" s="115"/>
      <c r="K1108" s="115"/>
      <c r="L1108" s="115"/>
      <c r="M1108" s="115"/>
      <c r="N1108" s="115"/>
      <c r="O1108" s="115"/>
    </row>
    <row r="1109">
      <c r="E1109" s="115"/>
      <c r="F1109" s="115"/>
      <c r="G1109" s="115"/>
      <c r="H1109" s="115"/>
      <c r="I1109" s="115"/>
      <c r="J1109" s="115"/>
      <c r="K1109" s="115"/>
      <c r="L1109" s="115"/>
      <c r="M1109" s="115"/>
      <c r="N1109" s="115"/>
      <c r="O1109" s="115"/>
    </row>
    <row r="1110">
      <c r="E1110" s="115"/>
      <c r="F1110" s="115"/>
      <c r="G1110" s="115"/>
      <c r="H1110" s="115"/>
      <c r="I1110" s="115"/>
      <c r="J1110" s="115"/>
      <c r="K1110" s="115"/>
      <c r="L1110" s="115"/>
      <c r="M1110" s="115"/>
      <c r="N1110" s="115"/>
      <c r="O1110" s="115"/>
    </row>
    <row r="1111">
      <c r="E1111" s="115"/>
      <c r="F1111" s="115"/>
      <c r="G1111" s="115"/>
      <c r="H1111" s="115"/>
      <c r="I1111" s="115"/>
      <c r="J1111" s="115"/>
      <c r="K1111" s="115"/>
      <c r="L1111" s="115"/>
      <c r="M1111" s="115"/>
      <c r="N1111" s="115"/>
      <c r="O1111" s="115"/>
    </row>
    <row r="1112">
      <c r="E1112" s="115"/>
      <c r="F1112" s="115"/>
      <c r="G1112" s="115"/>
      <c r="H1112" s="115"/>
      <c r="I1112" s="115"/>
      <c r="J1112" s="115"/>
      <c r="K1112" s="115"/>
      <c r="L1112" s="115"/>
      <c r="M1112" s="115"/>
      <c r="N1112" s="115"/>
      <c r="O1112" s="115"/>
    </row>
    <row r="1113">
      <c r="E1113" s="115"/>
      <c r="F1113" s="115"/>
      <c r="G1113" s="115"/>
      <c r="H1113" s="115"/>
      <c r="I1113" s="115"/>
      <c r="J1113" s="115"/>
      <c r="K1113" s="115"/>
      <c r="L1113" s="115"/>
      <c r="M1113" s="115"/>
      <c r="N1113" s="115"/>
      <c r="O1113" s="115"/>
    </row>
    <row r="1114">
      <c r="E1114" s="115"/>
      <c r="F1114" s="115"/>
      <c r="G1114" s="115"/>
      <c r="H1114" s="115"/>
      <c r="I1114" s="115"/>
      <c r="J1114" s="115"/>
      <c r="K1114" s="115"/>
      <c r="L1114" s="115"/>
      <c r="M1114" s="115"/>
      <c r="N1114" s="115"/>
      <c r="O1114" s="115"/>
    </row>
    <row r="1115">
      <c r="E1115" s="115"/>
      <c r="F1115" s="115"/>
      <c r="G1115" s="115"/>
      <c r="H1115" s="115"/>
      <c r="I1115" s="115"/>
      <c r="J1115" s="115"/>
      <c r="K1115" s="115"/>
      <c r="L1115" s="115"/>
      <c r="M1115" s="115"/>
      <c r="N1115" s="115"/>
      <c r="O1115" s="115"/>
    </row>
    <row r="1116">
      <c r="E1116" s="115"/>
      <c r="F1116" s="115"/>
      <c r="G1116" s="115"/>
      <c r="H1116" s="115"/>
      <c r="I1116" s="115"/>
      <c r="J1116" s="115"/>
      <c r="K1116" s="115"/>
      <c r="L1116" s="115"/>
      <c r="M1116" s="115"/>
      <c r="N1116" s="115"/>
      <c r="O1116" s="115"/>
    </row>
    <row r="1117">
      <c r="E1117" s="115"/>
      <c r="F1117" s="115"/>
      <c r="G1117" s="115"/>
      <c r="H1117" s="115"/>
      <c r="I1117" s="115"/>
      <c r="J1117" s="115"/>
      <c r="K1117" s="115"/>
      <c r="L1117" s="115"/>
      <c r="M1117" s="115"/>
      <c r="N1117" s="115"/>
      <c r="O1117" s="115"/>
    </row>
    <row r="1118">
      <c r="E1118" s="115"/>
      <c r="F1118" s="115"/>
      <c r="G1118" s="115"/>
      <c r="H1118" s="115"/>
      <c r="I1118" s="115"/>
      <c r="J1118" s="115"/>
      <c r="K1118" s="115"/>
      <c r="L1118" s="115"/>
      <c r="M1118" s="115"/>
      <c r="N1118" s="115"/>
      <c r="O1118" s="115"/>
    </row>
    <row r="1119">
      <c r="E1119" s="115"/>
      <c r="F1119" s="115"/>
      <c r="G1119" s="115"/>
      <c r="H1119" s="115"/>
      <c r="I1119" s="115"/>
      <c r="J1119" s="115"/>
      <c r="K1119" s="115"/>
      <c r="L1119" s="115"/>
      <c r="M1119" s="115"/>
      <c r="N1119" s="115"/>
      <c r="O1119" s="115"/>
    </row>
    <row r="1120">
      <c r="E1120" s="115"/>
      <c r="F1120" s="115"/>
      <c r="G1120" s="115"/>
      <c r="H1120" s="115"/>
      <c r="I1120" s="115"/>
      <c r="J1120" s="115"/>
      <c r="K1120" s="115"/>
      <c r="L1120" s="115"/>
      <c r="M1120" s="115"/>
      <c r="N1120" s="115"/>
      <c r="O1120" s="115"/>
    </row>
    <row r="1121">
      <c r="E1121" s="115"/>
      <c r="F1121" s="115"/>
      <c r="G1121" s="115"/>
      <c r="H1121" s="115"/>
      <c r="I1121" s="115"/>
      <c r="J1121" s="115"/>
      <c r="K1121" s="115"/>
      <c r="L1121" s="115"/>
      <c r="M1121" s="115"/>
      <c r="N1121" s="115"/>
      <c r="O1121" s="115"/>
    </row>
    <row r="1122">
      <c r="E1122" s="115"/>
      <c r="F1122" s="115"/>
      <c r="G1122" s="115"/>
      <c r="H1122" s="115"/>
      <c r="I1122" s="115"/>
      <c r="J1122" s="115"/>
      <c r="K1122" s="115"/>
      <c r="L1122" s="115"/>
      <c r="M1122" s="115"/>
      <c r="N1122" s="115"/>
      <c r="O1122" s="115"/>
    </row>
    <row r="1123">
      <c r="E1123" s="115"/>
      <c r="F1123" s="115"/>
      <c r="G1123" s="115"/>
      <c r="H1123" s="115"/>
      <c r="I1123" s="115"/>
      <c r="J1123" s="115"/>
      <c r="K1123" s="115"/>
      <c r="L1123" s="115"/>
      <c r="M1123" s="115"/>
      <c r="N1123" s="115"/>
      <c r="O1123" s="115"/>
    </row>
    <row r="1124">
      <c r="E1124" s="115"/>
      <c r="F1124" s="115"/>
      <c r="G1124" s="115"/>
      <c r="H1124" s="115"/>
      <c r="I1124" s="115"/>
      <c r="J1124" s="115"/>
      <c r="K1124" s="115"/>
      <c r="L1124" s="115"/>
      <c r="M1124" s="115"/>
      <c r="N1124" s="115"/>
      <c r="O1124" s="115"/>
    </row>
    <row r="1125">
      <c r="E1125" s="115"/>
      <c r="F1125" s="115"/>
      <c r="G1125" s="115"/>
      <c r="H1125" s="115"/>
      <c r="I1125" s="115"/>
      <c r="J1125" s="115"/>
      <c r="K1125" s="115"/>
      <c r="L1125" s="115"/>
      <c r="M1125" s="115"/>
      <c r="N1125" s="115"/>
      <c r="O1125" s="115"/>
    </row>
    <row r="1126">
      <c r="E1126" s="115"/>
      <c r="F1126" s="115"/>
      <c r="G1126" s="115"/>
      <c r="H1126" s="115"/>
      <c r="I1126" s="115"/>
      <c r="J1126" s="115"/>
      <c r="K1126" s="115"/>
      <c r="L1126" s="115"/>
      <c r="M1126" s="115"/>
      <c r="N1126" s="115"/>
      <c r="O1126" s="115"/>
    </row>
    <row r="1127">
      <c r="E1127" s="115"/>
      <c r="F1127" s="115"/>
      <c r="G1127" s="115"/>
      <c r="H1127" s="115"/>
      <c r="I1127" s="115"/>
      <c r="J1127" s="115"/>
      <c r="K1127" s="115"/>
      <c r="L1127" s="115"/>
      <c r="M1127" s="115"/>
      <c r="N1127" s="115"/>
      <c r="O1127" s="115"/>
    </row>
    <row r="1128">
      <c r="E1128" s="115"/>
      <c r="F1128" s="115"/>
      <c r="G1128" s="115"/>
      <c r="H1128" s="115"/>
      <c r="I1128" s="115"/>
      <c r="J1128" s="115"/>
      <c r="K1128" s="115"/>
      <c r="L1128" s="115"/>
      <c r="M1128" s="115"/>
      <c r="N1128" s="115"/>
      <c r="O1128" s="115"/>
    </row>
    <row r="1129">
      <c r="E1129" s="115"/>
      <c r="F1129" s="115"/>
      <c r="G1129" s="115"/>
      <c r="H1129" s="115"/>
      <c r="I1129" s="115"/>
      <c r="J1129" s="115"/>
      <c r="K1129" s="115"/>
      <c r="L1129" s="115"/>
      <c r="M1129" s="115"/>
      <c r="N1129" s="115"/>
      <c r="O1129" s="115"/>
    </row>
    <row r="1130">
      <c r="E1130" s="115"/>
      <c r="F1130" s="115"/>
      <c r="G1130" s="115"/>
      <c r="H1130" s="115"/>
      <c r="I1130" s="115"/>
      <c r="J1130" s="115"/>
      <c r="K1130" s="115"/>
      <c r="L1130" s="115"/>
      <c r="M1130" s="115"/>
      <c r="N1130" s="115"/>
      <c r="O1130" s="115"/>
    </row>
    <row r="1131">
      <c r="E1131" s="115"/>
      <c r="F1131" s="115"/>
      <c r="G1131" s="115"/>
      <c r="H1131" s="115"/>
      <c r="I1131" s="115"/>
      <c r="J1131" s="115"/>
      <c r="K1131" s="115"/>
      <c r="L1131" s="115"/>
      <c r="M1131" s="115"/>
      <c r="N1131" s="115"/>
      <c r="O1131" s="115"/>
    </row>
    <row r="1132">
      <c r="E1132" s="115"/>
      <c r="F1132" s="115"/>
      <c r="G1132" s="115"/>
      <c r="H1132" s="115"/>
      <c r="I1132" s="115"/>
      <c r="J1132" s="115"/>
      <c r="K1132" s="115"/>
      <c r="L1132" s="115"/>
      <c r="M1132" s="115"/>
      <c r="N1132" s="115"/>
      <c r="O1132" s="115"/>
    </row>
    <row r="1133">
      <c r="E1133" s="115"/>
      <c r="F1133" s="115"/>
      <c r="G1133" s="115"/>
      <c r="H1133" s="115"/>
      <c r="I1133" s="115"/>
      <c r="J1133" s="115"/>
      <c r="K1133" s="115"/>
      <c r="L1133" s="115"/>
      <c r="M1133" s="115"/>
      <c r="N1133" s="115"/>
      <c r="O1133" s="115"/>
    </row>
    <row r="1134">
      <c r="E1134" s="115"/>
      <c r="F1134" s="115"/>
      <c r="G1134" s="115"/>
      <c r="H1134" s="115"/>
      <c r="I1134" s="115"/>
      <c r="J1134" s="115"/>
      <c r="K1134" s="115"/>
      <c r="L1134" s="115"/>
      <c r="M1134" s="115"/>
      <c r="N1134" s="115"/>
      <c r="O1134" s="115"/>
    </row>
    <row r="1135">
      <c r="E1135" s="115"/>
      <c r="F1135" s="115"/>
      <c r="G1135" s="115"/>
      <c r="H1135" s="115"/>
      <c r="I1135" s="115"/>
      <c r="J1135" s="115"/>
      <c r="K1135" s="115"/>
      <c r="L1135" s="115"/>
      <c r="M1135" s="115"/>
      <c r="N1135" s="115"/>
      <c r="O1135" s="115"/>
    </row>
    <row r="1136">
      <c r="E1136" s="115"/>
      <c r="F1136" s="115"/>
      <c r="G1136" s="115"/>
      <c r="H1136" s="115"/>
      <c r="I1136" s="115"/>
      <c r="J1136" s="115"/>
      <c r="K1136" s="115"/>
      <c r="L1136" s="115"/>
      <c r="M1136" s="115"/>
      <c r="N1136" s="115"/>
      <c r="O1136" s="115"/>
    </row>
    <row r="1137">
      <c r="E1137" s="115"/>
      <c r="F1137" s="115"/>
      <c r="G1137" s="115"/>
      <c r="H1137" s="115"/>
      <c r="I1137" s="115"/>
      <c r="J1137" s="115"/>
      <c r="K1137" s="115"/>
      <c r="L1137" s="115"/>
      <c r="M1137" s="115"/>
      <c r="N1137" s="115"/>
      <c r="O1137" s="115"/>
    </row>
    <row r="1138">
      <c r="E1138" s="115"/>
      <c r="F1138" s="115"/>
      <c r="G1138" s="115"/>
      <c r="H1138" s="115"/>
      <c r="I1138" s="115"/>
      <c r="J1138" s="115"/>
      <c r="K1138" s="115"/>
      <c r="L1138" s="115"/>
      <c r="M1138" s="115"/>
      <c r="N1138" s="115"/>
      <c r="O1138" s="115"/>
    </row>
    <row r="1139">
      <c r="E1139" s="115"/>
      <c r="F1139" s="115"/>
      <c r="G1139" s="115"/>
      <c r="H1139" s="115"/>
      <c r="I1139" s="115"/>
      <c r="J1139" s="115"/>
      <c r="K1139" s="115"/>
      <c r="L1139" s="115"/>
      <c r="M1139" s="115"/>
      <c r="N1139" s="115"/>
      <c r="O1139" s="115"/>
    </row>
    <row r="1140">
      <c r="E1140" s="115"/>
      <c r="F1140" s="115"/>
      <c r="G1140" s="115"/>
      <c r="H1140" s="115"/>
      <c r="I1140" s="115"/>
      <c r="J1140" s="115"/>
      <c r="K1140" s="115"/>
      <c r="L1140" s="115"/>
      <c r="M1140" s="115"/>
      <c r="N1140" s="115"/>
      <c r="O1140" s="115"/>
    </row>
    <row r="1141">
      <c r="E1141" s="115"/>
      <c r="F1141" s="115"/>
      <c r="G1141" s="115"/>
      <c r="H1141" s="115"/>
      <c r="I1141" s="115"/>
      <c r="J1141" s="115"/>
      <c r="K1141" s="115"/>
      <c r="L1141" s="115"/>
      <c r="M1141" s="115"/>
      <c r="N1141" s="115"/>
      <c r="O1141" s="115"/>
    </row>
    <row r="1142">
      <c r="E1142" s="115"/>
      <c r="F1142" s="115"/>
      <c r="G1142" s="115"/>
      <c r="H1142" s="115"/>
      <c r="I1142" s="115"/>
      <c r="J1142" s="115"/>
      <c r="K1142" s="115"/>
      <c r="L1142" s="115"/>
      <c r="M1142" s="115"/>
      <c r="N1142" s="115"/>
      <c r="O1142" s="115"/>
    </row>
    <row r="1143">
      <c r="E1143" s="115"/>
      <c r="F1143" s="115"/>
      <c r="G1143" s="115"/>
      <c r="H1143" s="115"/>
      <c r="I1143" s="115"/>
      <c r="J1143" s="115"/>
      <c r="K1143" s="115"/>
      <c r="L1143" s="115"/>
      <c r="M1143" s="115"/>
      <c r="N1143" s="115"/>
      <c r="O1143" s="115"/>
    </row>
    <row r="1144">
      <c r="E1144" s="115"/>
      <c r="F1144" s="115"/>
      <c r="G1144" s="115"/>
      <c r="H1144" s="115"/>
      <c r="I1144" s="115"/>
      <c r="J1144" s="115"/>
      <c r="K1144" s="115"/>
      <c r="L1144" s="115"/>
      <c r="M1144" s="115"/>
      <c r="N1144" s="115"/>
      <c r="O1144" s="115"/>
    </row>
    <row r="1145">
      <c r="E1145" s="115"/>
      <c r="F1145" s="115"/>
      <c r="G1145" s="115"/>
      <c r="H1145" s="115"/>
      <c r="I1145" s="115"/>
      <c r="J1145" s="115"/>
      <c r="K1145" s="115"/>
      <c r="L1145" s="115"/>
      <c r="M1145" s="115"/>
      <c r="N1145" s="115"/>
      <c r="O1145" s="115"/>
    </row>
    <row r="1146">
      <c r="E1146" s="115"/>
      <c r="F1146" s="115"/>
      <c r="G1146" s="115"/>
      <c r="H1146" s="115"/>
      <c r="I1146" s="115"/>
      <c r="J1146" s="115"/>
      <c r="K1146" s="115"/>
      <c r="L1146" s="115"/>
      <c r="M1146" s="115"/>
      <c r="N1146" s="115"/>
      <c r="O1146" s="115"/>
    </row>
    <row r="1147">
      <c r="E1147" s="115"/>
      <c r="F1147" s="115"/>
      <c r="G1147" s="115"/>
      <c r="H1147" s="115"/>
      <c r="I1147" s="115"/>
      <c r="J1147" s="115"/>
      <c r="K1147" s="115"/>
      <c r="L1147" s="115"/>
      <c r="M1147" s="115"/>
      <c r="N1147" s="115"/>
      <c r="O1147" s="115"/>
    </row>
    <row r="1148">
      <c r="E1148" s="115"/>
      <c r="F1148" s="115"/>
      <c r="G1148" s="115"/>
      <c r="H1148" s="115"/>
      <c r="I1148" s="115"/>
      <c r="J1148" s="115"/>
      <c r="K1148" s="115"/>
      <c r="L1148" s="115"/>
      <c r="M1148" s="115"/>
      <c r="N1148" s="115"/>
      <c r="O1148" s="115"/>
    </row>
    <row r="1149">
      <c r="E1149" s="115"/>
      <c r="F1149" s="115"/>
      <c r="G1149" s="115"/>
      <c r="H1149" s="115"/>
      <c r="I1149" s="115"/>
      <c r="J1149" s="115"/>
      <c r="K1149" s="115"/>
      <c r="L1149" s="115"/>
      <c r="M1149" s="115"/>
      <c r="N1149" s="115"/>
      <c r="O1149" s="115"/>
    </row>
    <row r="1150">
      <c r="E1150" s="115"/>
      <c r="F1150" s="115"/>
      <c r="G1150" s="115"/>
      <c r="H1150" s="115"/>
      <c r="I1150" s="115"/>
      <c r="J1150" s="115"/>
      <c r="K1150" s="115"/>
      <c r="L1150" s="115"/>
      <c r="M1150" s="115"/>
      <c r="N1150" s="115"/>
      <c r="O1150" s="115"/>
    </row>
    <row r="1151">
      <c r="E1151" s="115"/>
      <c r="F1151" s="115"/>
      <c r="G1151" s="115"/>
      <c r="H1151" s="115"/>
      <c r="I1151" s="115"/>
      <c r="J1151" s="115"/>
      <c r="K1151" s="115"/>
      <c r="L1151" s="115"/>
      <c r="M1151" s="115"/>
      <c r="N1151" s="115"/>
      <c r="O1151" s="115"/>
    </row>
    <row r="1152">
      <c r="E1152" s="115"/>
      <c r="F1152" s="115"/>
      <c r="G1152" s="115"/>
      <c r="H1152" s="115"/>
      <c r="I1152" s="115"/>
      <c r="J1152" s="115"/>
      <c r="K1152" s="115"/>
      <c r="L1152" s="115"/>
      <c r="M1152" s="115"/>
      <c r="N1152" s="115"/>
      <c r="O1152" s="115"/>
    </row>
    <row r="1153">
      <c r="E1153" s="115"/>
      <c r="F1153" s="115"/>
      <c r="G1153" s="115"/>
      <c r="H1153" s="115"/>
      <c r="I1153" s="115"/>
      <c r="J1153" s="115"/>
      <c r="K1153" s="115"/>
      <c r="L1153" s="115"/>
      <c r="M1153" s="115"/>
      <c r="N1153" s="115"/>
      <c r="O1153" s="115"/>
    </row>
    <row r="1154">
      <c r="E1154" s="115"/>
      <c r="F1154" s="115"/>
      <c r="G1154" s="115"/>
      <c r="H1154" s="115"/>
      <c r="I1154" s="115"/>
      <c r="J1154" s="115"/>
      <c r="K1154" s="115"/>
      <c r="L1154" s="115"/>
      <c r="M1154" s="115"/>
      <c r="N1154" s="115"/>
      <c r="O1154" s="115"/>
    </row>
    <row r="1155">
      <c r="E1155" s="115"/>
      <c r="F1155" s="115"/>
      <c r="G1155" s="115"/>
      <c r="H1155" s="115"/>
      <c r="I1155" s="115"/>
      <c r="J1155" s="115"/>
      <c r="K1155" s="115"/>
      <c r="L1155" s="115"/>
      <c r="M1155" s="115"/>
      <c r="N1155" s="115"/>
      <c r="O1155" s="115"/>
    </row>
    <row r="1156">
      <c r="E1156" s="115"/>
      <c r="F1156" s="115"/>
      <c r="G1156" s="115"/>
      <c r="H1156" s="115"/>
      <c r="I1156" s="115"/>
      <c r="J1156" s="115"/>
      <c r="K1156" s="115"/>
      <c r="L1156" s="115"/>
      <c r="M1156" s="115"/>
      <c r="N1156" s="115"/>
      <c r="O1156" s="115"/>
    </row>
    <row r="1157">
      <c r="E1157" s="115"/>
      <c r="F1157" s="115"/>
      <c r="G1157" s="115"/>
      <c r="H1157" s="115"/>
      <c r="I1157" s="115"/>
      <c r="J1157" s="115"/>
      <c r="K1157" s="115"/>
      <c r="L1157" s="115"/>
      <c r="M1157" s="115"/>
      <c r="N1157" s="115"/>
      <c r="O1157" s="115"/>
    </row>
    <row r="1158">
      <c r="E1158" s="115"/>
      <c r="F1158" s="115"/>
      <c r="G1158" s="115"/>
      <c r="H1158" s="115"/>
      <c r="I1158" s="115"/>
      <c r="J1158" s="115"/>
      <c r="K1158" s="115"/>
      <c r="L1158" s="115"/>
      <c r="M1158" s="115"/>
      <c r="N1158" s="115"/>
      <c r="O1158" s="115"/>
    </row>
    <row r="1159">
      <c r="E1159" s="115"/>
      <c r="F1159" s="115"/>
      <c r="G1159" s="115"/>
      <c r="H1159" s="115"/>
      <c r="I1159" s="115"/>
      <c r="J1159" s="115"/>
      <c r="K1159" s="115"/>
      <c r="L1159" s="115"/>
      <c r="M1159" s="115"/>
      <c r="N1159" s="115"/>
      <c r="O1159" s="115"/>
    </row>
    <row r="1160">
      <c r="E1160" s="115"/>
      <c r="F1160" s="115"/>
      <c r="G1160" s="115"/>
      <c r="H1160" s="115"/>
      <c r="I1160" s="115"/>
      <c r="J1160" s="115"/>
      <c r="K1160" s="115"/>
      <c r="L1160" s="115"/>
      <c r="M1160" s="115"/>
      <c r="N1160" s="115"/>
      <c r="O1160" s="115"/>
    </row>
    <row r="1161">
      <c r="E1161" s="115"/>
      <c r="F1161" s="115"/>
      <c r="G1161" s="115"/>
      <c r="H1161" s="115"/>
      <c r="I1161" s="115"/>
      <c r="J1161" s="115"/>
      <c r="K1161" s="115"/>
      <c r="L1161" s="115"/>
      <c r="M1161" s="115"/>
      <c r="N1161" s="115"/>
      <c r="O1161" s="115"/>
    </row>
    <row r="1162">
      <c r="E1162" s="115"/>
      <c r="F1162" s="115"/>
      <c r="G1162" s="115"/>
      <c r="H1162" s="115"/>
      <c r="I1162" s="115"/>
      <c r="J1162" s="115"/>
      <c r="K1162" s="115"/>
      <c r="L1162" s="115"/>
      <c r="M1162" s="115"/>
      <c r="N1162" s="115"/>
      <c r="O1162" s="115"/>
    </row>
    <row r="1163">
      <c r="E1163" s="115"/>
      <c r="F1163" s="115"/>
      <c r="G1163" s="115"/>
      <c r="H1163" s="115"/>
      <c r="I1163" s="115"/>
      <c r="J1163" s="115"/>
      <c r="K1163" s="115"/>
      <c r="L1163" s="115"/>
      <c r="M1163" s="115"/>
      <c r="N1163" s="115"/>
      <c r="O1163" s="115"/>
    </row>
    <row r="1164">
      <c r="E1164" s="115"/>
      <c r="F1164" s="115"/>
      <c r="G1164" s="115"/>
      <c r="H1164" s="115"/>
      <c r="I1164" s="115"/>
      <c r="J1164" s="115"/>
      <c r="K1164" s="115"/>
      <c r="L1164" s="115"/>
      <c r="M1164" s="115"/>
      <c r="N1164" s="115"/>
      <c r="O1164" s="115"/>
    </row>
    <row r="1165">
      <c r="E1165" s="115"/>
      <c r="F1165" s="115"/>
      <c r="G1165" s="115"/>
      <c r="H1165" s="115"/>
      <c r="I1165" s="115"/>
      <c r="J1165" s="115"/>
      <c r="K1165" s="115"/>
      <c r="L1165" s="115"/>
      <c r="M1165" s="115"/>
      <c r="N1165" s="115"/>
      <c r="O1165" s="115"/>
    </row>
    <row r="1166">
      <c r="E1166" s="115"/>
      <c r="F1166" s="115"/>
      <c r="G1166" s="115"/>
      <c r="H1166" s="115"/>
      <c r="I1166" s="115"/>
      <c r="J1166" s="115"/>
      <c r="K1166" s="115"/>
      <c r="L1166" s="115"/>
      <c r="M1166" s="115"/>
      <c r="N1166" s="115"/>
      <c r="O1166" s="115"/>
    </row>
    <row r="1167">
      <c r="E1167" s="115"/>
      <c r="F1167" s="115"/>
      <c r="G1167" s="115"/>
      <c r="H1167" s="115"/>
      <c r="I1167" s="115"/>
      <c r="J1167" s="115"/>
      <c r="K1167" s="115"/>
      <c r="L1167" s="115"/>
      <c r="M1167" s="115"/>
      <c r="N1167" s="115"/>
      <c r="O1167" s="115"/>
    </row>
    <row r="1168">
      <c r="E1168" s="115"/>
      <c r="F1168" s="115"/>
      <c r="G1168" s="115"/>
      <c r="H1168" s="115"/>
      <c r="I1168" s="115"/>
      <c r="J1168" s="115"/>
      <c r="K1168" s="115"/>
      <c r="L1168" s="115"/>
      <c r="M1168" s="115"/>
      <c r="N1168" s="115"/>
      <c r="O1168" s="115"/>
    </row>
    <row r="1169">
      <c r="E1169" s="115"/>
      <c r="F1169" s="115"/>
      <c r="G1169" s="115"/>
      <c r="H1169" s="115"/>
      <c r="I1169" s="115"/>
      <c r="J1169" s="115"/>
      <c r="K1169" s="115"/>
      <c r="L1169" s="115"/>
      <c r="M1169" s="115"/>
      <c r="N1169" s="115"/>
      <c r="O1169" s="115"/>
    </row>
    <row r="1170">
      <c r="E1170" s="115"/>
      <c r="F1170" s="115"/>
      <c r="G1170" s="115"/>
      <c r="H1170" s="115"/>
      <c r="I1170" s="115"/>
      <c r="J1170" s="115"/>
      <c r="K1170" s="115"/>
      <c r="L1170" s="115"/>
      <c r="M1170" s="115"/>
      <c r="N1170" s="115"/>
      <c r="O1170" s="115"/>
    </row>
    <row r="1171">
      <c r="E1171" s="115"/>
      <c r="F1171" s="115"/>
      <c r="G1171" s="115"/>
      <c r="H1171" s="115"/>
      <c r="I1171" s="115"/>
      <c r="J1171" s="115"/>
      <c r="K1171" s="115"/>
      <c r="L1171" s="115"/>
      <c r="M1171" s="115"/>
      <c r="N1171" s="115"/>
      <c r="O1171" s="115"/>
    </row>
    <row r="1172">
      <c r="E1172" s="115"/>
      <c r="F1172" s="115"/>
      <c r="G1172" s="115"/>
      <c r="H1172" s="115"/>
      <c r="I1172" s="115"/>
      <c r="J1172" s="115"/>
      <c r="K1172" s="115"/>
      <c r="L1172" s="115"/>
      <c r="M1172" s="115"/>
      <c r="N1172" s="115"/>
      <c r="O1172" s="115"/>
    </row>
    <row r="1173">
      <c r="E1173" s="115"/>
      <c r="F1173" s="115"/>
      <c r="G1173" s="115"/>
      <c r="H1173" s="115"/>
      <c r="I1173" s="115"/>
      <c r="J1173" s="115"/>
      <c r="K1173" s="115"/>
      <c r="L1173" s="115"/>
      <c r="M1173" s="115"/>
      <c r="N1173" s="115"/>
      <c r="O1173" s="115"/>
    </row>
    <row r="1174">
      <c r="E1174" s="115"/>
      <c r="F1174" s="115"/>
      <c r="G1174" s="115"/>
      <c r="H1174" s="115"/>
      <c r="I1174" s="115"/>
      <c r="J1174" s="115"/>
      <c r="K1174" s="115"/>
      <c r="L1174" s="115"/>
      <c r="M1174" s="115"/>
      <c r="N1174" s="115"/>
      <c r="O1174" s="115"/>
    </row>
    <row r="1175">
      <c r="E1175" s="115"/>
      <c r="F1175" s="115"/>
      <c r="G1175" s="115"/>
      <c r="H1175" s="115"/>
      <c r="I1175" s="115"/>
      <c r="J1175" s="115"/>
      <c r="K1175" s="115"/>
      <c r="L1175" s="115"/>
      <c r="M1175" s="115"/>
      <c r="N1175" s="115"/>
      <c r="O1175" s="115"/>
    </row>
    <row r="1176">
      <c r="E1176" s="115"/>
      <c r="F1176" s="115"/>
      <c r="G1176" s="115"/>
      <c r="H1176" s="115"/>
      <c r="I1176" s="115"/>
      <c r="J1176" s="115"/>
      <c r="K1176" s="115"/>
      <c r="L1176" s="115"/>
      <c r="M1176" s="115"/>
      <c r="N1176" s="115"/>
      <c r="O1176" s="115"/>
    </row>
    <row r="1177">
      <c r="E1177" s="115"/>
      <c r="F1177" s="115"/>
      <c r="G1177" s="115"/>
      <c r="H1177" s="115"/>
      <c r="I1177" s="115"/>
      <c r="J1177" s="115"/>
      <c r="K1177" s="115"/>
      <c r="L1177" s="115"/>
      <c r="M1177" s="115"/>
      <c r="N1177" s="115"/>
      <c r="O1177" s="115"/>
    </row>
    <row r="1178">
      <c r="E1178" s="115"/>
      <c r="F1178" s="115"/>
      <c r="G1178" s="115"/>
      <c r="H1178" s="115"/>
      <c r="I1178" s="115"/>
      <c r="J1178" s="115"/>
      <c r="K1178" s="115"/>
      <c r="L1178" s="115"/>
      <c r="M1178" s="115"/>
      <c r="N1178" s="115"/>
      <c r="O1178" s="115"/>
    </row>
    <row r="1179">
      <c r="E1179" s="115"/>
      <c r="F1179" s="115"/>
      <c r="G1179" s="115"/>
      <c r="H1179" s="115"/>
      <c r="I1179" s="115"/>
      <c r="J1179" s="115"/>
      <c r="K1179" s="115"/>
      <c r="L1179" s="115"/>
      <c r="M1179" s="115"/>
      <c r="N1179" s="115"/>
      <c r="O1179" s="115"/>
    </row>
    <row r="1180">
      <c r="E1180" s="115"/>
      <c r="F1180" s="115"/>
      <c r="G1180" s="115"/>
      <c r="H1180" s="115"/>
      <c r="I1180" s="115"/>
      <c r="J1180" s="115"/>
      <c r="K1180" s="115"/>
      <c r="L1180" s="115"/>
      <c r="M1180" s="115"/>
      <c r="N1180" s="115"/>
      <c r="O1180" s="115"/>
    </row>
    <row r="1181">
      <c r="E1181" s="115"/>
      <c r="F1181" s="115"/>
      <c r="G1181" s="115"/>
      <c r="H1181" s="115"/>
      <c r="I1181" s="115"/>
      <c r="J1181" s="115"/>
      <c r="K1181" s="115"/>
      <c r="L1181" s="115"/>
      <c r="M1181" s="115"/>
      <c r="N1181" s="115"/>
      <c r="O1181" s="115"/>
    </row>
    <row r="1182">
      <c r="E1182" s="115"/>
      <c r="F1182" s="115"/>
      <c r="G1182" s="115"/>
      <c r="H1182" s="115"/>
      <c r="I1182" s="115"/>
      <c r="J1182" s="115"/>
      <c r="K1182" s="115"/>
      <c r="L1182" s="115"/>
      <c r="M1182" s="115"/>
      <c r="N1182" s="115"/>
      <c r="O1182" s="115"/>
    </row>
    <row r="1183">
      <c r="E1183" s="115"/>
      <c r="F1183" s="115"/>
      <c r="G1183" s="115"/>
      <c r="H1183" s="115"/>
      <c r="I1183" s="115"/>
      <c r="J1183" s="115"/>
      <c r="K1183" s="115"/>
      <c r="L1183" s="115"/>
      <c r="M1183" s="115"/>
      <c r="N1183" s="115"/>
      <c r="O1183" s="115"/>
    </row>
    <row r="1184">
      <c r="E1184" s="115"/>
      <c r="F1184" s="115"/>
      <c r="G1184" s="115"/>
      <c r="H1184" s="115"/>
      <c r="I1184" s="115"/>
      <c r="J1184" s="115"/>
      <c r="K1184" s="115"/>
      <c r="L1184" s="115"/>
      <c r="M1184" s="115"/>
      <c r="N1184" s="115"/>
      <c r="O1184" s="115"/>
    </row>
    <row r="1185">
      <c r="E1185" s="115"/>
      <c r="F1185" s="115"/>
      <c r="G1185" s="115"/>
      <c r="H1185" s="115"/>
      <c r="I1185" s="115"/>
      <c r="J1185" s="115"/>
      <c r="K1185" s="115"/>
      <c r="L1185" s="115"/>
      <c r="M1185" s="115"/>
      <c r="N1185" s="115"/>
      <c r="O1185" s="115"/>
    </row>
    <row r="1186">
      <c r="E1186" s="115"/>
      <c r="F1186" s="115"/>
      <c r="G1186" s="115"/>
      <c r="H1186" s="115"/>
      <c r="I1186" s="115"/>
      <c r="J1186" s="115"/>
      <c r="K1186" s="115"/>
      <c r="L1186" s="115"/>
      <c r="M1186" s="115"/>
      <c r="N1186" s="115"/>
      <c r="O1186" s="115"/>
    </row>
    <row r="1187">
      <c r="E1187" s="115"/>
      <c r="F1187" s="115"/>
      <c r="G1187" s="115"/>
      <c r="H1187" s="115"/>
      <c r="I1187" s="115"/>
      <c r="J1187" s="115"/>
      <c r="K1187" s="115"/>
      <c r="L1187" s="115"/>
      <c r="M1187" s="115"/>
      <c r="N1187" s="115"/>
      <c r="O1187" s="115"/>
    </row>
    <row r="1188">
      <c r="E1188" s="115"/>
      <c r="F1188" s="115"/>
      <c r="G1188" s="115"/>
      <c r="H1188" s="115"/>
      <c r="I1188" s="115"/>
      <c r="J1188" s="115"/>
      <c r="K1188" s="115"/>
      <c r="L1188" s="115"/>
      <c r="M1188" s="115"/>
      <c r="N1188" s="115"/>
      <c r="O1188" s="115"/>
    </row>
    <row r="1189">
      <c r="E1189" s="115"/>
      <c r="F1189" s="115"/>
      <c r="G1189" s="115"/>
      <c r="H1189" s="115"/>
      <c r="I1189" s="115"/>
      <c r="J1189" s="115"/>
      <c r="K1189" s="115"/>
      <c r="L1189" s="115"/>
      <c r="M1189" s="115"/>
      <c r="N1189" s="115"/>
      <c r="O1189" s="115"/>
    </row>
    <row r="1190">
      <c r="E1190" s="115"/>
      <c r="F1190" s="115"/>
      <c r="G1190" s="115"/>
      <c r="H1190" s="115"/>
      <c r="I1190" s="115"/>
      <c r="J1190" s="115"/>
      <c r="K1190" s="115"/>
      <c r="L1190" s="115"/>
      <c r="M1190" s="115"/>
      <c r="N1190" s="115"/>
      <c r="O1190" s="115"/>
    </row>
    <row r="1191">
      <c r="E1191" s="115"/>
      <c r="F1191" s="115"/>
      <c r="G1191" s="115"/>
      <c r="H1191" s="115"/>
      <c r="I1191" s="115"/>
      <c r="J1191" s="115"/>
      <c r="K1191" s="115"/>
      <c r="L1191" s="115"/>
      <c r="M1191" s="115"/>
      <c r="N1191" s="115"/>
      <c r="O1191" s="115"/>
    </row>
    <row r="1192">
      <c r="E1192" s="115"/>
      <c r="F1192" s="115"/>
      <c r="G1192" s="115"/>
      <c r="H1192" s="115"/>
      <c r="I1192" s="115"/>
      <c r="J1192" s="115"/>
      <c r="K1192" s="115"/>
      <c r="L1192" s="115"/>
      <c r="M1192" s="115"/>
      <c r="N1192" s="115"/>
      <c r="O1192" s="115"/>
    </row>
    <row r="1193">
      <c r="E1193" s="115"/>
      <c r="F1193" s="115"/>
      <c r="G1193" s="115"/>
      <c r="H1193" s="115"/>
      <c r="I1193" s="115"/>
      <c r="J1193" s="115"/>
      <c r="K1193" s="115"/>
      <c r="L1193" s="115"/>
      <c r="M1193" s="115"/>
      <c r="N1193" s="115"/>
      <c r="O1193" s="115"/>
    </row>
    <row r="1194">
      <c r="E1194" s="115"/>
      <c r="F1194" s="115"/>
      <c r="G1194" s="115"/>
      <c r="H1194" s="115"/>
      <c r="I1194" s="115"/>
      <c r="J1194" s="115"/>
      <c r="K1194" s="115"/>
      <c r="L1194" s="115"/>
      <c r="M1194" s="115"/>
      <c r="N1194" s="115"/>
      <c r="O1194" s="115"/>
    </row>
    <row r="1195">
      <c r="E1195" s="115"/>
      <c r="F1195" s="115"/>
      <c r="G1195" s="115"/>
      <c r="H1195" s="115"/>
      <c r="I1195" s="115"/>
      <c r="J1195" s="115"/>
      <c r="K1195" s="115"/>
      <c r="L1195" s="115"/>
      <c r="M1195" s="115"/>
      <c r="N1195" s="115"/>
      <c r="O1195" s="115"/>
    </row>
    <row r="1196">
      <c r="E1196" s="115"/>
      <c r="F1196" s="115"/>
      <c r="G1196" s="115"/>
      <c r="H1196" s="115"/>
      <c r="I1196" s="115"/>
      <c r="J1196" s="115"/>
      <c r="K1196" s="115"/>
      <c r="L1196" s="115"/>
      <c r="M1196" s="115"/>
      <c r="N1196" s="115"/>
      <c r="O1196" s="115"/>
    </row>
    <row r="1197">
      <c r="E1197" s="115"/>
      <c r="F1197" s="115"/>
      <c r="G1197" s="115"/>
      <c r="H1197" s="115"/>
      <c r="I1197" s="115"/>
      <c r="J1197" s="115"/>
      <c r="K1197" s="115"/>
      <c r="L1197" s="115"/>
      <c r="M1197" s="115"/>
      <c r="N1197" s="115"/>
      <c r="O1197" s="115"/>
    </row>
    <row r="1198">
      <c r="E1198" s="115"/>
      <c r="F1198" s="115"/>
      <c r="G1198" s="115"/>
      <c r="H1198" s="115"/>
      <c r="I1198" s="115"/>
      <c r="J1198" s="115"/>
      <c r="K1198" s="115"/>
      <c r="L1198" s="115"/>
      <c r="M1198" s="115"/>
      <c r="N1198" s="115"/>
      <c r="O1198" s="115"/>
    </row>
    <row r="1199">
      <c r="E1199" s="115"/>
      <c r="F1199" s="115"/>
      <c r="G1199" s="115"/>
      <c r="H1199" s="115"/>
      <c r="I1199" s="115"/>
      <c r="J1199" s="115"/>
      <c r="K1199" s="115"/>
      <c r="L1199" s="115"/>
      <c r="M1199" s="115"/>
      <c r="N1199" s="115"/>
      <c r="O1199" s="115"/>
    </row>
    <row r="1200">
      <c r="E1200" s="115"/>
      <c r="F1200" s="115"/>
      <c r="G1200" s="115"/>
      <c r="H1200" s="115"/>
      <c r="I1200" s="115"/>
      <c r="J1200" s="115"/>
      <c r="K1200" s="115"/>
      <c r="L1200" s="115"/>
      <c r="M1200" s="115"/>
      <c r="N1200" s="115"/>
      <c r="O1200" s="115"/>
    </row>
    <row r="1201">
      <c r="E1201" s="115"/>
      <c r="F1201" s="115"/>
      <c r="G1201" s="115"/>
      <c r="H1201" s="115"/>
      <c r="I1201" s="115"/>
      <c r="J1201" s="115"/>
      <c r="K1201" s="115"/>
      <c r="L1201" s="115"/>
      <c r="M1201" s="115"/>
      <c r="N1201" s="115"/>
      <c r="O1201" s="115"/>
    </row>
    <row r="1202">
      <c r="E1202" s="115"/>
      <c r="F1202" s="115"/>
      <c r="G1202" s="115"/>
      <c r="H1202" s="115"/>
      <c r="I1202" s="115"/>
      <c r="J1202" s="115"/>
      <c r="K1202" s="115"/>
      <c r="L1202" s="115"/>
      <c r="M1202" s="115"/>
      <c r="N1202" s="115"/>
      <c r="O1202" s="115"/>
    </row>
    <row r="1203">
      <c r="E1203" s="115"/>
      <c r="F1203" s="115"/>
      <c r="G1203" s="115"/>
      <c r="H1203" s="115"/>
      <c r="I1203" s="115"/>
      <c r="J1203" s="115"/>
      <c r="K1203" s="115"/>
      <c r="L1203" s="115"/>
      <c r="M1203" s="115"/>
      <c r="N1203" s="115"/>
      <c r="O1203" s="115"/>
    </row>
    <row r="1204">
      <c r="E1204" s="115"/>
      <c r="F1204" s="115"/>
      <c r="G1204" s="115"/>
      <c r="H1204" s="115"/>
      <c r="I1204" s="115"/>
      <c r="J1204" s="115"/>
      <c r="K1204" s="115"/>
      <c r="L1204" s="115"/>
      <c r="M1204" s="115"/>
      <c r="N1204" s="115"/>
      <c r="O1204" s="115"/>
    </row>
    <row r="1205">
      <c r="E1205" s="115"/>
      <c r="F1205" s="115"/>
      <c r="G1205" s="115"/>
      <c r="H1205" s="115"/>
      <c r="I1205" s="115"/>
      <c r="J1205" s="115"/>
      <c r="K1205" s="115"/>
      <c r="L1205" s="115"/>
      <c r="M1205" s="115"/>
      <c r="N1205" s="115"/>
      <c r="O1205" s="115"/>
    </row>
    <row r="1206">
      <c r="E1206" s="115"/>
      <c r="F1206" s="115"/>
      <c r="G1206" s="115"/>
      <c r="H1206" s="115"/>
      <c r="I1206" s="115"/>
      <c r="J1206" s="115"/>
      <c r="K1206" s="115"/>
      <c r="L1206" s="115"/>
      <c r="M1206" s="115"/>
      <c r="N1206" s="115"/>
      <c r="O1206" s="115"/>
    </row>
    <row r="1207">
      <c r="E1207" s="115"/>
      <c r="F1207" s="115"/>
      <c r="G1207" s="115"/>
      <c r="H1207" s="115"/>
      <c r="I1207" s="115"/>
      <c r="J1207" s="115"/>
      <c r="K1207" s="115"/>
      <c r="L1207" s="115"/>
      <c r="M1207" s="115"/>
      <c r="N1207" s="115"/>
      <c r="O1207" s="115"/>
    </row>
    <row r="1208">
      <c r="E1208" s="115"/>
      <c r="F1208" s="115"/>
      <c r="G1208" s="115"/>
      <c r="H1208" s="115"/>
      <c r="I1208" s="115"/>
      <c r="J1208" s="115"/>
      <c r="K1208" s="115"/>
      <c r="L1208" s="115"/>
      <c r="M1208" s="115"/>
      <c r="N1208" s="115"/>
      <c r="O1208" s="115"/>
    </row>
    <row r="1209">
      <c r="E1209" s="115"/>
      <c r="F1209" s="115"/>
      <c r="G1209" s="115"/>
      <c r="H1209" s="115"/>
      <c r="I1209" s="115"/>
      <c r="J1209" s="115"/>
      <c r="K1209" s="115"/>
      <c r="L1209" s="115"/>
      <c r="M1209" s="115"/>
      <c r="N1209" s="115"/>
      <c r="O1209" s="115"/>
    </row>
    <row r="1210">
      <c r="E1210" s="115"/>
      <c r="F1210" s="115"/>
      <c r="G1210" s="115"/>
      <c r="H1210" s="115"/>
      <c r="I1210" s="115"/>
      <c r="J1210" s="115"/>
      <c r="K1210" s="115"/>
      <c r="L1210" s="115"/>
      <c r="M1210" s="115"/>
      <c r="N1210" s="115"/>
      <c r="O1210" s="115"/>
    </row>
    <row r="1211">
      <c r="E1211" s="115"/>
      <c r="F1211" s="115"/>
      <c r="G1211" s="115"/>
      <c r="H1211" s="115"/>
      <c r="I1211" s="115"/>
      <c r="J1211" s="115"/>
      <c r="K1211" s="115"/>
      <c r="L1211" s="115"/>
      <c r="M1211" s="115"/>
      <c r="N1211" s="115"/>
      <c r="O1211" s="115"/>
    </row>
    <row r="1212">
      <c r="E1212" s="115"/>
      <c r="F1212" s="115"/>
      <c r="G1212" s="115"/>
      <c r="H1212" s="115"/>
      <c r="I1212" s="115"/>
      <c r="J1212" s="115"/>
      <c r="K1212" s="115"/>
      <c r="L1212" s="115"/>
      <c r="M1212" s="115"/>
      <c r="N1212" s="115"/>
      <c r="O1212" s="115"/>
    </row>
    <row r="1213">
      <c r="E1213" s="115"/>
      <c r="F1213" s="115"/>
      <c r="G1213" s="115"/>
      <c r="H1213" s="115"/>
      <c r="I1213" s="115"/>
      <c r="J1213" s="115"/>
      <c r="K1213" s="115"/>
      <c r="L1213" s="115"/>
      <c r="M1213" s="115"/>
      <c r="N1213" s="115"/>
      <c r="O1213" s="115"/>
    </row>
    <row r="1214">
      <c r="E1214" s="115"/>
      <c r="F1214" s="115"/>
      <c r="G1214" s="115"/>
      <c r="H1214" s="115"/>
      <c r="I1214" s="115"/>
      <c r="J1214" s="115"/>
      <c r="K1214" s="115"/>
      <c r="L1214" s="115"/>
      <c r="M1214" s="115"/>
      <c r="N1214" s="115"/>
      <c r="O1214" s="115"/>
    </row>
    <row r="1215">
      <c r="E1215" s="115"/>
      <c r="F1215" s="115"/>
      <c r="G1215" s="115"/>
      <c r="H1215" s="115"/>
      <c r="I1215" s="115"/>
      <c r="J1215" s="115"/>
      <c r="K1215" s="115"/>
      <c r="L1215" s="115"/>
      <c r="M1215" s="115"/>
      <c r="N1215" s="115"/>
      <c r="O1215" s="115"/>
    </row>
    <row r="1216">
      <c r="E1216" s="115"/>
      <c r="F1216" s="115"/>
      <c r="G1216" s="115"/>
      <c r="H1216" s="115"/>
      <c r="I1216" s="115"/>
      <c r="J1216" s="115"/>
      <c r="K1216" s="115"/>
      <c r="L1216" s="115"/>
      <c r="M1216" s="115"/>
      <c r="N1216" s="115"/>
      <c r="O1216" s="115"/>
    </row>
    <row r="1217">
      <c r="E1217" s="115"/>
      <c r="F1217" s="115"/>
      <c r="G1217" s="115"/>
      <c r="H1217" s="115"/>
      <c r="I1217" s="115"/>
      <c r="J1217" s="115"/>
      <c r="K1217" s="115"/>
      <c r="L1217" s="115"/>
      <c r="M1217" s="115"/>
      <c r="N1217" s="115"/>
      <c r="O1217" s="115"/>
    </row>
    <row r="1218">
      <c r="E1218" s="115"/>
      <c r="F1218" s="115"/>
      <c r="G1218" s="115"/>
      <c r="H1218" s="115"/>
      <c r="I1218" s="115"/>
      <c r="J1218" s="115"/>
      <c r="K1218" s="115"/>
      <c r="L1218" s="115"/>
      <c r="M1218" s="115"/>
      <c r="N1218" s="115"/>
      <c r="O1218" s="115"/>
    </row>
    <row r="1219">
      <c r="E1219" s="115"/>
      <c r="F1219" s="115"/>
      <c r="G1219" s="115"/>
      <c r="H1219" s="115"/>
      <c r="I1219" s="115"/>
      <c r="J1219" s="115"/>
      <c r="K1219" s="115"/>
      <c r="L1219" s="115"/>
      <c r="M1219" s="115"/>
      <c r="N1219" s="115"/>
      <c r="O1219" s="115"/>
    </row>
    <row r="1220">
      <c r="E1220" s="115"/>
      <c r="F1220" s="115"/>
      <c r="G1220" s="115"/>
      <c r="H1220" s="115"/>
      <c r="I1220" s="115"/>
      <c r="J1220" s="115"/>
      <c r="K1220" s="115"/>
      <c r="L1220" s="115"/>
      <c r="M1220" s="115"/>
      <c r="N1220" s="115"/>
      <c r="O1220" s="115"/>
    </row>
    <row r="1221">
      <c r="E1221" s="115"/>
      <c r="F1221" s="115"/>
      <c r="G1221" s="115"/>
      <c r="H1221" s="115"/>
      <c r="I1221" s="115"/>
      <c r="J1221" s="115"/>
      <c r="K1221" s="115"/>
      <c r="L1221" s="115"/>
      <c r="M1221" s="115"/>
      <c r="N1221" s="115"/>
      <c r="O1221" s="115"/>
    </row>
    <row r="1222">
      <c r="E1222" s="115"/>
      <c r="F1222" s="115"/>
      <c r="G1222" s="115"/>
      <c r="H1222" s="115"/>
      <c r="I1222" s="115"/>
      <c r="J1222" s="115"/>
      <c r="K1222" s="115"/>
      <c r="L1222" s="115"/>
      <c r="M1222" s="115"/>
      <c r="N1222" s="115"/>
      <c r="O1222" s="115"/>
    </row>
    <row r="1223">
      <c r="E1223" s="115"/>
      <c r="F1223" s="115"/>
      <c r="G1223" s="115"/>
      <c r="H1223" s="115"/>
      <c r="I1223" s="115"/>
      <c r="J1223" s="115"/>
      <c r="K1223" s="115"/>
      <c r="L1223" s="115"/>
      <c r="M1223" s="115"/>
      <c r="N1223" s="115"/>
      <c r="O1223" s="115"/>
    </row>
    <row r="1224">
      <c r="E1224" s="115"/>
      <c r="F1224" s="115"/>
      <c r="G1224" s="115"/>
      <c r="H1224" s="115"/>
      <c r="I1224" s="115"/>
      <c r="J1224" s="115"/>
      <c r="K1224" s="115"/>
      <c r="L1224" s="115"/>
      <c r="M1224" s="115"/>
      <c r="N1224" s="115"/>
      <c r="O1224" s="115"/>
    </row>
    <row r="1225">
      <c r="E1225" s="115"/>
      <c r="F1225" s="115"/>
      <c r="G1225" s="115"/>
      <c r="H1225" s="115"/>
      <c r="I1225" s="115"/>
      <c r="J1225" s="115"/>
      <c r="K1225" s="115"/>
      <c r="L1225" s="115"/>
      <c r="M1225" s="115"/>
      <c r="N1225" s="115"/>
      <c r="O1225" s="115"/>
    </row>
    <row r="1226">
      <c r="E1226" s="115"/>
      <c r="F1226" s="115"/>
      <c r="G1226" s="115"/>
      <c r="H1226" s="115"/>
      <c r="I1226" s="115"/>
      <c r="J1226" s="115"/>
      <c r="K1226" s="115"/>
      <c r="L1226" s="115"/>
      <c r="M1226" s="115"/>
      <c r="N1226" s="115"/>
      <c r="O1226" s="115"/>
    </row>
    <row r="1227">
      <c r="E1227" s="115"/>
      <c r="F1227" s="115"/>
      <c r="G1227" s="115"/>
      <c r="H1227" s="115"/>
      <c r="I1227" s="115"/>
      <c r="J1227" s="115"/>
      <c r="K1227" s="115"/>
      <c r="L1227" s="115"/>
      <c r="M1227" s="115"/>
      <c r="N1227" s="115"/>
      <c r="O1227" s="115"/>
    </row>
    <row r="1228">
      <c r="E1228" s="115"/>
      <c r="F1228" s="115"/>
      <c r="G1228" s="115"/>
      <c r="H1228" s="115"/>
      <c r="I1228" s="115"/>
      <c r="J1228" s="115"/>
      <c r="K1228" s="115"/>
      <c r="L1228" s="115"/>
      <c r="M1228" s="115"/>
      <c r="N1228" s="115"/>
      <c r="O1228" s="115"/>
    </row>
    <row r="1229">
      <c r="E1229" s="115"/>
      <c r="F1229" s="115"/>
      <c r="G1229" s="115"/>
      <c r="H1229" s="115"/>
      <c r="I1229" s="115"/>
      <c r="J1229" s="115"/>
      <c r="K1229" s="115"/>
      <c r="L1229" s="115"/>
      <c r="M1229" s="115"/>
      <c r="N1229" s="115"/>
      <c r="O1229" s="115"/>
    </row>
    <row r="1230">
      <c r="E1230" s="115"/>
      <c r="F1230" s="115"/>
      <c r="G1230" s="115"/>
      <c r="H1230" s="115"/>
      <c r="I1230" s="115"/>
      <c r="J1230" s="115"/>
      <c r="K1230" s="115"/>
      <c r="L1230" s="115"/>
      <c r="M1230" s="115"/>
      <c r="N1230" s="115"/>
      <c r="O1230" s="115"/>
    </row>
    <row r="1231">
      <c r="E1231" s="115"/>
      <c r="F1231" s="115"/>
      <c r="G1231" s="115"/>
      <c r="H1231" s="115"/>
      <c r="I1231" s="115"/>
      <c r="J1231" s="115"/>
      <c r="K1231" s="115"/>
      <c r="L1231" s="115"/>
      <c r="M1231" s="115"/>
      <c r="N1231" s="115"/>
      <c r="O1231" s="115"/>
    </row>
    <row r="1232">
      <c r="E1232" s="115"/>
      <c r="F1232" s="115"/>
      <c r="G1232" s="115"/>
      <c r="H1232" s="115"/>
      <c r="I1232" s="115"/>
      <c r="J1232" s="115"/>
      <c r="K1232" s="115"/>
      <c r="L1232" s="115"/>
      <c r="M1232" s="115"/>
      <c r="N1232" s="115"/>
      <c r="O1232" s="115"/>
    </row>
    <row r="1233">
      <c r="E1233" s="115"/>
      <c r="F1233" s="115"/>
      <c r="G1233" s="115"/>
      <c r="H1233" s="115"/>
      <c r="I1233" s="115"/>
      <c r="J1233" s="115"/>
      <c r="K1233" s="115"/>
      <c r="L1233" s="115"/>
      <c r="M1233" s="115"/>
      <c r="N1233" s="115"/>
      <c r="O1233" s="115"/>
    </row>
    <row r="1234">
      <c r="E1234" s="115"/>
      <c r="F1234" s="115"/>
      <c r="G1234" s="115"/>
      <c r="H1234" s="115"/>
      <c r="I1234" s="115"/>
      <c r="J1234" s="115"/>
      <c r="K1234" s="115"/>
      <c r="L1234" s="115"/>
      <c r="M1234" s="115"/>
      <c r="N1234" s="115"/>
      <c r="O1234" s="115"/>
    </row>
    <row r="1235">
      <c r="E1235" s="115"/>
      <c r="F1235" s="115"/>
      <c r="G1235" s="115"/>
      <c r="H1235" s="115"/>
      <c r="I1235" s="115"/>
      <c r="J1235" s="115"/>
      <c r="K1235" s="115"/>
      <c r="L1235" s="115"/>
      <c r="M1235" s="115"/>
      <c r="N1235" s="115"/>
      <c r="O1235" s="115"/>
    </row>
    <row r="1236">
      <c r="E1236" s="115"/>
      <c r="F1236" s="115"/>
      <c r="G1236" s="115"/>
      <c r="H1236" s="115"/>
      <c r="I1236" s="115"/>
      <c r="J1236" s="115"/>
      <c r="K1236" s="115"/>
      <c r="L1236" s="115"/>
      <c r="M1236" s="115"/>
      <c r="N1236" s="115"/>
      <c r="O1236" s="115"/>
    </row>
    <row r="1237">
      <c r="E1237" s="115"/>
      <c r="F1237" s="115"/>
      <c r="G1237" s="115"/>
      <c r="H1237" s="115"/>
      <c r="I1237" s="115"/>
      <c r="J1237" s="115"/>
      <c r="K1237" s="115"/>
      <c r="L1237" s="115"/>
      <c r="M1237" s="115"/>
      <c r="N1237" s="115"/>
      <c r="O1237" s="115"/>
    </row>
    <row r="1238">
      <c r="E1238" s="115"/>
      <c r="F1238" s="115"/>
      <c r="G1238" s="115"/>
      <c r="H1238" s="115"/>
      <c r="I1238" s="115"/>
      <c r="J1238" s="115"/>
      <c r="K1238" s="115"/>
      <c r="L1238" s="115"/>
      <c r="M1238" s="115"/>
      <c r="N1238" s="115"/>
      <c r="O1238" s="115"/>
    </row>
    <row r="1239">
      <c r="E1239" s="115"/>
      <c r="F1239" s="115"/>
      <c r="G1239" s="115"/>
      <c r="H1239" s="115"/>
      <c r="I1239" s="115"/>
      <c r="J1239" s="115"/>
      <c r="K1239" s="115"/>
      <c r="L1239" s="115"/>
      <c r="M1239" s="115"/>
      <c r="N1239" s="115"/>
      <c r="O1239" s="115"/>
    </row>
    <row r="1240">
      <c r="E1240" s="115"/>
      <c r="F1240" s="115"/>
      <c r="G1240" s="115"/>
      <c r="H1240" s="115"/>
      <c r="I1240" s="115"/>
      <c r="J1240" s="115"/>
      <c r="K1240" s="115"/>
      <c r="L1240" s="115"/>
      <c r="M1240" s="115"/>
      <c r="N1240" s="115"/>
      <c r="O1240" s="115"/>
    </row>
    <row r="1241">
      <c r="E1241" s="115"/>
      <c r="F1241" s="115"/>
      <c r="G1241" s="115"/>
      <c r="H1241" s="115"/>
      <c r="I1241" s="115"/>
      <c r="J1241" s="115"/>
      <c r="K1241" s="115"/>
      <c r="L1241" s="115"/>
      <c r="M1241" s="115"/>
      <c r="N1241" s="115"/>
      <c r="O1241" s="115"/>
    </row>
    <row r="1242">
      <c r="E1242" s="115"/>
      <c r="F1242" s="115"/>
      <c r="G1242" s="115"/>
      <c r="H1242" s="115"/>
      <c r="I1242" s="115"/>
      <c r="J1242" s="115"/>
      <c r="K1242" s="115"/>
      <c r="L1242" s="115"/>
      <c r="M1242" s="115"/>
      <c r="N1242" s="115"/>
      <c r="O1242" s="115"/>
    </row>
    <row r="1243">
      <c r="E1243" s="115"/>
      <c r="F1243" s="115"/>
      <c r="G1243" s="115"/>
      <c r="H1243" s="115"/>
      <c r="I1243" s="115"/>
      <c r="J1243" s="115"/>
      <c r="K1243" s="115"/>
      <c r="L1243" s="115"/>
      <c r="M1243" s="115"/>
      <c r="N1243" s="115"/>
      <c r="O1243" s="115"/>
    </row>
    <row r="1244">
      <c r="E1244" s="115"/>
      <c r="F1244" s="115"/>
      <c r="G1244" s="115"/>
      <c r="H1244" s="115"/>
      <c r="I1244" s="115"/>
      <c r="J1244" s="115"/>
      <c r="K1244" s="115"/>
      <c r="L1244" s="115"/>
      <c r="M1244" s="115"/>
      <c r="N1244" s="115"/>
      <c r="O1244" s="115"/>
    </row>
    <row r="1245">
      <c r="E1245" s="115"/>
      <c r="F1245" s="115"/>
      <c r="G1245" s="115"/>
      <c r="H1245" s="115"/>
      <c r="I1245" s="115"/>
      <c r="J1245" s="115"/>
      <c r="K1245" s="115"/>
      <c r="L1245" s="115"/>
      <c r="M1245" s="115"/>
      <c r="N1245" s="115"/>
      <c r="O1245" s="115"/>
    </row>
    <row r="1246">
      <c r="E1246" s="115"/>
      <c r="F1246" s="115"/>
      <c r="G1246" s="115"/>
      <c r="H1246" s="115"/>
      <c r="I1246" s="115"/>
      <c r="J1246" s="115"/>
      <c r="K1246" s="115"/>
      <c r="L1246" s="115"/>
      <c r="M1246" s="115"/>
      <c r="N1246" s="115"/>
      <c r="O1246" s="115"/>
    </row>
    <row r="1247">
      <c r="E1247" s="115"/>
      <c r="F1247" s="115"/>
      <c r="G1247" s="115"/>
      <c r="H1247" s="115"/>
      <c r="I1247" s="115"/>
      <c r="J1247" s="115"/>
      <c r="K1247" s="115"/>
      <c r="L1247" s="115"/>
      <c r="M1247" s="115"/>
      <c r="N1247" s="115"/>
      <c r="O1247" s="115"/>
    </row>
    <row r="1248">
      <c r="E1248" s="115"/>
      <c r="F1248" s="115"/>
      <c r="G1248" s="115"/>
      <c r="H1248" s="115"/>
      <c r="I1248" s="115"/>
      <c r="J1248" s="115"/>
      <c r="K1248" s="115"/>
      <c r="L1248" s="115"/>
      <c r="M1248" s="115"/>
      <c r="N1248" s="115"/>
      <c r="O1248" s="115"/>
    </row>
    <row r="1249">
      <c r="E1249" s="115"/>
      <c r="F1249" s="115"/>
      <c r="G1249" s="115"/>
      <c r="H1249" s="115"/>
      <c r="I1249" s="115"/>
      <c r="J1249" s="115"/>
      <c r="K1249" s="115"/>
      <c r="L1249" s="115"/>
      <c r="M1249" s="115"/>
      <c r="N1249" s="115"/>
      <c r="O1249" s="115"/>
    </row>
    <row r="1250">
      <c r="E1250" s="115"/>
      <c r="F1250" s="115"/>
      <c r="G1250" s="115"/>
      <c r="H1250" s="115"/>
      <c r="I1250" s="115"/>
      <c r="J1250" s="115"/>
      <c r="K1250" s="115"/>
      <c r="L1250" s="115"/>
      <c r="M1250" s="115"/>
      <c r="N1250" s="115"/>
      <c r="O1250" s="115"/>
    </row>
    <row r="1251">
      <c r="E1251" s="115"/>
      <c r="F1251" s="115"/>
      <c r="G1251" s="115"/>
      <c r="H1251" s="115"/>
      <c r="I1251" s="115"/>
      <c r="J1251" s="115"/>
      <c r="K1251" s="115"/>
      <c r="L1251" s="115"/>
      <c r="M1251" s="115"/>
      <c r="N1251" s="115"/>
      <c r="O1251" s="115"/>
    </row>
    <row r="1252">
      <c r="E1252" s="115"/>
      <c r="F1252" s="115"/>
      <c r="G1252" s="115"/>
      <c r="H1252" s="115"/>
      <c r="I1252" s="115"/>
      <c r="J1252" s="115"/>
      <c r="K1252" s="115"/>
      <c r="L1252" s="115"/>
      <c r="M1252" s="115"/>
      <c r="N1252" s="115"/>
      <c r="O1252" s="115"/>
    </row>
    <row r="1253">
      <c r="E1253" s="115"/>
      <c r="F1253" s="115"/>
      <c r="G1253" s="115"/>
      <c r="H1253" s="115"/>
      <c r="I1253" s="115"/>
      <c r="J1253" s="115"/>
      <c r="K1253" s="115"/>
      <c r="L1253" s="115"/>
      <c r="M1253" s="115"/>
      <c r="N1253" s="115"/>
      <c r="O1253" s="115"/>
    </row>
    <row r="1254">
      <c r="E1254" s="115"/>
      <c r="F1254" s="115"/>
      <c r="G1254" s="115"/>
      <c r="H1254" s="115"/>
      <c r="I1254" s="115"/>
      <c r="J1254" s="115"/>
      <c r="K1254" s="115"/>
      <c r="L1254" s="115"/>
      <c r="M1254" s="115"/>
      <c r="N1254" s="115"/>
      <c r="O1254" s="115"/>
    </row>
    <row r="1255">
      <c r="E1255" s="115"/>
      <c r="F1255" s="115"/>
      <c r="G1255" s="115"/>
      <c r="H1255" s="115"/>
      <c r="I1255" s="115"/>
      <c r="J1255" s="115"/>
      <c r="K1255" s="115"/>
      <c r="L1255" s="115"/>
      <c r="M1255" s="115"/>
      <c r="N1255" s="115"/>
      <c r="O1255" s="115"/>
    </row>
    <row r="1256">
      <c r="E1256" s="115"/>
      <c r="F1256" s="115"/>
      <c r="G1256" s="115"/>
      <c r="H1256" s="115"/>
      <c r="I1256" s="115"/>
      <c r="J1256" s="115"/>
      <c r="K1256" s="115"/>
      <c r="L1256" s="115"/>
      <c r="M1256" s="115"/>
      <c r="N1256" s="115"/>
      <c r="O1256" s="115"/>
    </row>
    <row r="1257">
      <c r="E1257" s="115"/>
      <c r="F1257" s="115"/>
      <c r="G1257" s="115"/>
      <c r="H1257" s="115"/>
      <c r="I1257" s="115"/>
      <c r="J1257" s="115"/>
      <c r="K1257" s="115"/>
      <c r="L1257" s="115"/>
      <c r="M1257" s="115"/>
      <c r="N1257" s="115"/>
      <c r="O1257" s="115"/>
    </row>
    <row r="1258">
      <c r="E1258" s="115"/>
      <c r="F1258" s="115"/>
      <c r="G1258" s="115"/>
      <c r="H1258" s="115"/>
      <c r="I1258" s="115"/>
      <c r="J1258" s="115"/>
      <c r="K1258" s="115"/>
      <c r="L1258" s="115"/>
      <c r="M1258" s="115"/>
      <c r="N1258" s="115"/>
      <c r="O1258" s="115"/>
    </row>
    <row r="1259">
      <c r="E1259" s="115"/>
      <c r="F1259" s="115"/>
      <c r="G1259" s="115"/>
      <c r="H1259" s="115"/>
      <c r="I1259" s="115"/>
      <c r="J1259" s="115"/>
      <c r="K1259" s="115"/>
      <c r="L1259" s="115"/>
      <c r="M1259" s="115"/>
      <c r="N1259" s="115"/>
      <c r="O1259" s="115"/>
    </row>
    <row r="1260">
      <c r="E1260" s="115"/>
      <c r="F1260" s="115"/>
      <c r="G1260" s="115"/>
      <c r="H1260" s="115"/>
      <c r="I1260" s="115"/>
      <c r="J1260" s="115"/>
      <c r="K1260" s="115"/>
      <c r="L1260" s="115"/>
      <c r="M1260" s="115"/>
      <c r="N1260" s="115"/>
      <c r="O1260" s="115"/>
    </row>
    <row r="1261">
      <c r="E1261" s="115"/>
      <c r="F1261" s="115"/>
      <c r="G1261" s="115"/>
      <c r="H1261" s="115"/>
      <c r="I1261" s="115"/>
      <c r="J1261" s="115"/>
      <c r="K1261" s="115"/>
      <c r="L1261" s="115"/>
      <c r="M1261" s="115"/>
      <c r="N1261" s="115"/>
      <c r="O1261" s="115"/>
    </row>
    <row r="1262">
      <c r="E1262" s="115"/>
      <c r="F1262" s="115"/>
      <c r="G1262" s="115"/>
      <c r="H1262" s="115"/>
      <c r="I1262" s="115"/>
      <c r="J1262" s="115"/>
      <c r="K1262" s="115"/>
      <c r="L1262" s="115"/>
      <c r="M1262" s="115"/>
      <c r="N1262" s="115"/>
      <c r="O1262" s="115"/>
    </row>
    <row r="1263">
      <c r="E1263" s="115"/>
      <c r="F1263" s="115"/>
      <c r="G1263" s="115"/>
      <c r="H1263" s="115"/>
      <c r="I1263" s="115"/>
      <c r="J1263" s="115"/>
      <c r="K1263" s="115"/>
      <c r="L1263" s="115"/>
      <c r="M1263" s="115"/>
      <c r="N1263" s="115"/>
      <c r="O1263" s="115"/>
    </row>
    <row r="1264">
      <c r="E1264" s="115"/>
      <c r="F1264" s="115"/>
      <c r="G1264" s="115"/>
      <c r="H1264" s="115"/>
      <c r="I1264" s="115"/>
      <c r="J1264" s="115"/>
      <c r="K1264" s="115"/>
      <c r="L1264" s="115"/>
      <c r="M1264" s="115"/>
      <c r="N1264" s="115"/>
      <c r="O1264" s="115"/>
    </row>
    <row r="1265">
      <c r="E1265" s="115"/>
      <c r="F1265" s="115"/>
      <c r="G1265" s="115"/>
      <c r="H1265" s="115"/>
      <c r="I1265" s="115"/>
      <c r="J1265" s="115"/>
      <c r="K1265" s="115"/>
      <c r="L1265" s="115"/>
      <c r="M1265" s="115"/>
      <c r="N1265" s="115"/>
      <c r="O1265" s="115"/>
    </row>
    <row r="1266">
      <c r="E1266" s="115"/>
      <c r="F1266" s="115"/>
      <c r="G1266" s="115"/>
      <c r="H1266" s="115"/>
      <c r="I1266" s="115"/>
      <c r="J1266" s="115"/>
      <c r="K1266" s="115"/>
      <c r="L1266" s="115"/>
      <c r="M1266" s="115"/>
      <c r="N1266" s="115"/>
      <c r="O1266" s="115"/>
    </row>
    <row r="1267">
      <c r="E1267" s="115"/>
      <c r="F1267" s="115"/>
      <c r="G1267" s="115"/>
      <c r="H1267" s="115"/>
      <c r="I1267" s="115"/>
      <c r="J1267" s="115"/>
      <c r="K1267" s="115"/>
      <c r="L1267" s="115"/>
      <c r="M1267" s="115"/>
      <c r="N1267" s="115"/>
      <c r="O1267" s="115"/>
    </row>
    <row r="1268">
      <c r="E1268" s="115"/>
      <c r="F1268" s="115"/>
      <c r="G1268" s="115"/>
      <c r="H1268" s="115"/>
      <c r="I1268" s="115"/>
      <c r="J1268" s="115"/>
      <c r="K1268" s="115"/>
      <c r="L1268" s="115"/>
      <c r="M1268" s="115"/>
      <c r="N1268" s="115"/>
      <c r="O1268" s="115"/>
    </row>
    <row r="1269">
      <c r="E1269" s="115"/>
      <c r="F1269" s="115"/>
      <c r="G1269" s="115"/>
      <c r="H1269" s="115"/>
      <c r="I1269" s="115"/>
      <c r="J1269" s="115"/>
      <c r="K1269" s="115"/>
      <c r="L1269" s="115"/>
      <c r="M1269" s="115"/>
      <c r="N1269" s="115"/>
      <c r="O1269" s="115"/>
    </row>
    <row r="1270">
      <c r="E1270" s="115"/>
      <c r="F1270" s="115"/>
      <c r="G1270" s="115"/>
      <c r="H1270" s="115"/>
      <c r="I1270" s="115"/>
      <c r="J1270" s="115"/>
      <c r="K1270" s="115"/>
      <c r="L1270" s="115"/>
      <c r="M1270" s="115"/>
      <c r="N1270" s="115"/>
      <c r="O1270" s="115"/>
    </row>
    <row r="1271">
      <c r="E1271" s="115"/>
      <c r="F1271" s="115"/>
      <c r="G1271" s="115"/>
      <c r="H1271" s="115"/>
      <c r="I1271" s="115"/>
      <c r="J1271" s="115"/>
      <c r="K1271" s="115"/>
      <c r="L1271" s="115"/>
      <c r="M1271" s="115"/>
      <c r="N1271" s="115"/>
      <c r="O1271" s="115"/>
    </row>
    <row r="1272">
      <c r="E1272" s="115"/>
      <c r="F1272" s="115"/>
      <c r="G1272" s="115"/>
      <c r="H1272" s="115"/>
      <c r="I1272" s="115"/>
      <c r="J1272" s="115"/>
      <c r="K1272" s="115"/>
      <c r="L1272" s="115"/>
      <c r="M1272" s="115"/>
      <c r="N1272" s="115"/>
      <c r="O1272" s="115"/>
    </row>
    <row r="1273">
      <c r="E1273" s="115"/>
      <c r="F1273" s="115"/>
      <c r="G1273" s="115"/>
      <c r="H1273" s="115"/>
      <c r="I1273" s="115"/>
      <c r="J1273" s="115"/>
      <c r="K1273" s="115"/>
      <c r="L1273" s="115"/>
      <c r="M1273" s="115"/>
      <c r="N1273" s="115"/>
      <c r="O1273" s="115"/>
    </row>
    <row r="1274">
      <c r="E1274" s="115"/>
      <c r="F1274" s="115"/>
      <c r="G1274" s="115"/>
      <c r="H1274" s="115"/>
      <c r="I1274" s="115"/>
      <c r="J1274" s="115"/>
      <c r="K1274" s="115"/>
      <c r="L1274" s="115"/>
      <c r="M1274" s="115"/>
      <c r="N1274" s="115"/>
      <c r="O1274" s="115"/>
    </row>
    <row r="1275">
      <c r="E1275" s="115"/>
      <c r="F1275" s="115"/>
      <c r="G1275" s="115"/>
      <c r="H1275" s="115"/>
      <c r="I1275" s="115"/>
      <c r="J1275" s="115"/>
      <c r="K1275" s="115"/>
      <c r="L1275" s="115"/>
      <c r="M1275" s="115"/>
      <c r="N1275" s="115"/>
      <c r="O1275" s="115"/>
    </row>
    <row r="1276">
      <c r="E1276" s="115"/>
      <c r="F1276" s="115"/>
      <c r="G1276" s="115"/>
      <c r="H1276" s="115"/>
      <c r="I1276" s="115"/>
      <c r="J1276" s="115"/>
      <c r="K1276" s="115"/>
      <c r="L1276" s="115"/>
      <c r="M1276" s="115"/>
      <c r="N1276" s="115"/>
      <c r="O1276" s="115"/>
    </row>
    <row r="1277">
      <c r="E1277" s="115"/>
      <c r="F1277" s="115"/>
      <c r="G1277" s="115"/>
      <c r="H1277" s="115"/>
      <c r="I1277" s="115"/>
      <c r="J1277" s="115"/>
      <c r="K1277" s="115"/>
      <c r="L1277" s="115"/>
      <c r="M1277" s="115"/>
      <c r="N1277" s="115"/>
      <c r="O1277" s="115"/>
    </row>
    <row r="1278">
      <c r="E1278" s="115"/>
      <c r="F1278" s="115"/>
      <c r="G1278" s="115"/>
      <c r="H1278" s="115"/>
      <c r="I1278" s="115"/>
      <c r="J1278" s="115"/>
      <c r="K1278" s="115"/>
      <c r="L1278" s="115"/>
      <c r="M1278" s="115"/>
      <c r="N1278" s="115"/>
      <c r="O1278" s="115"/>
    </row>
    <row r="1279">
      <c r="E1279" s="115"/>
      <c r="F1279" s="115"/>
      <c r="G1279" s="115"/>
      <c r="H1279" s="115"/>
      <c r="I1279" s="115"/>
      <c r="J1279" s="115"/>
      <c r="K1279" s="115"/>
      <c r="L1279" s="115"/>
      <c r="M1279" s="115"/>
      <c r="N1279" s="115"/>
      <c r="O1279" s="115"/>
    </row>
    <row r="1280">
      <c r="E1280" s="115"/>
      <c r="F1280" s="115"/>
      <c r="G1280" s="115"/>
      <c r="H1280" s="115"/>
      <c r="I1280" s="115"/>
      <c r="J1280" s="115"/>
      <c r="K1280" s="115"/>
      <c r="L1280" s="115"/>
      <c r="M1280" s="115"/>
      <c r="N1280" s="115"/>
      <c r="O1280" s="115"/>
    </row>
    <row r="1281">
      <c r="E1281" s="115"/>
      <c r="F1281" s="115"/>
      <c r="G1281" s="115"/>
      <c r="H1281" s="115"/>
      <c r="I1281" s="115"/>
      <c r="J1281" s="115"/>
      <c r="K1281" s="115"/>
      <c r="L1281" s="115"/>
      <c r="M1281" s="115"/>
      <c r="N1281" s="115"/>
      <c r="O1281" s="115"/>
    </row>
    <row r="1282">
      <c r="E1282" s="115"/>
      <c r="F1282" s="115"/>
      <c r="G1282" s="115"/>
      <c r="H1282" s="115"/>
      <c r="I1282" s="115"/>
      <c r="J1282" s="115"/>
      <c r="K1282" s="115"/>
      <c r="L1282" s="115"/>
      <c r="M1282" s="115"/>
      <c r="N1282" s="115"/>
      <c r="O1282" s="115"/>
    </row>
    <row r="1283">
      <c r="E1283" s="115"/>
      <c r="F1283" s="115"/>
      <c r="G1283" s="115"/>
      <c r="H1283" s="115"/>
      <c r="I1283" s="115"/>
      <c r="J1283" s="115"/>
      <c r="K1283" s="115"/>
      <c r="L1283" s="115"/>
      <c r="M1283" s="115"/>
      <c r="N1283" s="115"/>
      <c r="O1283" s="115"/>
    </row>
    <row r="1284">
      <c r="E1284" s="115"/>
      <c r="F1284" s="115"/>
      <c r="G1284" s="115"/>
      <c r="H1284" s="115"/>
      <c r="I1284" s="115"/>
      <c r="J1284" s="115"/>
      <c r="K1284" s="115"/>
      <c r="L1284" s="115"/>
      <c r="M1284" s="115"/>
      <c r="N1284" s="115"/>
      <c r="O1284" s="115"/>
    </row>
    <row r="1285">
      <c r="E1285" s="115"/>
      <c r="F1285" s="115"/>
      <c r="G1285" s="115"/>
      <c r="H1285" s="115"/>
      <c r="I1285" s="115"/>
      <c r="J1285" s="115"/>
      <c r="K1285" s="115"/>
      <c r="L1285" s="115"/>
      <c r="M1285" s="115"/>
      <c r="N1285" s="115"/>
      <c r="O1285" s="115"/>
    </row>
    <row r="1286">
      <c r="E1286" s="115"/>
      <c r="F1286" s="115"/>
      <c r="G1286" s="115"/>
      <c r="H1286" s="115"/>
      <c r="I1286" s="115"/>
      <c r="J1286" s="115"/>
      <c r="K1286" s="115"/>
      <c r="L1286" s="115"/>
      <c r="M1286" s="115"/>
      <c r="N1286" s="115"/>
      <c r="O1286" s="115"/>
    </row>
    <row r="1287">
      <c r="E1287" s="115"/>
      <c r="F1287" s="115"/>
      <c r="G1287" s="115"/>
      <c r="H1287" s="115"/>
      <c r="I1287" s="115"/>
      <c r="J1287" s="115"/>
      <c r="K1287" s="115"/>
      <c r="L1287" s="115"/>
      <c r="M1287" s="115"/>
      <c r="N1287" s="115"/>
      <c r="O1287" s="115"/>
    </row>
    <row r="1288">
      <c r="E1288" s="115"/>
      <c r="F1288" s="115"/>
      <c r="G1288" s="115"/>
      <c r="H1288" s="115"/>
      <c r="I1288" s="115"/>
      <c r="J1288" s="115"/>
      <c r="K1288" s="115"/>
      <c r="L1288" s="115"/>
      <c r="M1288" s="115"/>
      <c r="N1288" s="115"/>
      <c r="O1288" s="115"/>
    </row>
    <row r="1289">
      <c r="E1289" s="115"/>
      <c r="F1289" s="115"/>
      <c r="G1289" s="115"/>
      <c r="H1289" s="115"/>
      <c r="I1289" s="115"/>
      <c r="J1289" s="115"/>
      <c r="K1289" s="115"/>
      <c r="L1289" s="115"/>
      <c r="M1289" s="115"/>
      <c r="N1289" s="115"/>
      <c r="O1289" s="115"/>
    </row>
    <row r="1290">
      <c r="E1290" s="115"/>
      <c r="F1290" s="115"/>
      <c r="G1290" s="115"/>
      <c r="H1290" s="115"/>
      <c r="I1290" s="115"/>
      <c r="J1290" s="115"/>
      <c r="K1290" s="115"/>
      <c r="L1290" s="115"/>
      <c r="M1290" s="115"/>
      <c r="N1290" s="115"/>
      <c r="O1290" s="115"/>
    </row>
    <row r="1291">
      <c r="E1291" s="115"/>
      <c r="F1291" s="115"/>
      <c r="G1291" s="115"/>
      <c r="H1291" s="115"/>
      <c r="I1291" s="115"/>
      <c r="J1291" s="115"/>
      <c r="K1291" s="115"/>
      <c r="L1291" s="115"/>
      <c r="M1291" s="115"/>
      <c r="N1291" s="115"/>
      <c r="O1291" s="115"/>
    </row>
    <row r="1292">
      <c r="E1292" s="115"/>
      <c r="F1292" s="115"/>
      <c r="G1292" s="115"/>
      <c r="H1292" s="115"/>
      <c r="I1292" s="115"/>
      <c r="J1292" s="115"/>
      <c r="K1292" s="115"/>
      <c r="L1292" s="115"/>
      <c r="M1292" s="115"/>
      <c r="N1292" s="115"/>
      <c r="O1292" s="115"/>
    </row>
    <row r="1293">
      <c r="E1293" s="115"/>
      <c r="F1293" s="115"/>
      <c r="G1293" s="115"/>
      <c r="H1293" s="115"/>
      <c r="I1293" s="115"/>
      <c r="J1293" s="115"/>
      <c r="K1293" s="115"/>
      <c r="L1293" s="115"/>
      <c r="M1293" s="115"/>
      <c r="N1293" s="115"/>
      <c r="O1293" s="115"/>
    </row>
    <row r="1294">
      <c r="E1294" s="115"/>
      <c r="F1294" s="115"/>
      <c r="G1294" s="115"/>
      <c r="H1294" s="115"/>
      <c r="I1294" s="115"/>
      <c r="J1294" s="115"/>
      <c r="K1294" s="115"/>
      <c r="L1294" s="115"/>
      <c r="M1294" s="115"/>
      <c r="N1294" s="115"/>
      <c r="O1294" s="115"/>
    </row>
    <row r="1295">
      <c r="E1295" s="115"/>
      <c r="F1295" s="115"/>
      <c r="G1295" s="115"/>
      <c r="H1295" s="115"/>
      <c r="I1295" s="115"/>
      <c r="J1295" s="115"/>
      <c r="K1295" s="115"/>
      <c r="L1295" s="115"/>
      <c r="M1295" s="115"/>
      <c r="N1295" s="115"/>
      <c r="O1295" s="115"/>
    </row>
    <row r="1296">
      <c r="E1296" s="115"/>
      <c r="F1296" s="115"/>
      <c r="G1296" s="115"/>
      <c r="H1296" s="115"/>
      <c r="I1296" s="115"/>
      <c r="J1296" s="115"/>
      <c r="K1296" s="115"/>
      <c r="L1296" s="115"/>
      <c r="M1296" s="115"/>
      <c r="N1296" s="115"/>
      <c r="O1296" s="115"/>
    </row>
    <row r="1297">
      <c r="E1297" s="115"/>
      <c r="F1297" s="115"/>
      <c r="G1297" s="115"/>
      <c r="H1297" s="115"/>
      <c r="I1297" s="115"/>
      <c r="J1297" s="115"/>
      <c r="K1297" s="115"/>
      <c r="L1297" s="115"/>
      <c r="M1297" s="115"/>
      <c r="N1297" s="115"/>
      <c r="O1297" s="115"/>
    </row>
    <row r="1298">
      <c r="E1298" s="115"/>
      <c r="F1298" s="115"/>
      <c r="G1298" s="115"/>
      <c r="H1298" s="115"/>
      <c r="I1298" s="115"/>
      <c r="J1298" s="115"/>
      <c r="K1298" s="115"/>
      <c r="L1298" s="115"/>
      <c r="M1298" s="115"/>
      <c r="N1298" s="115"/>
      <c r="O1298" s="115"/>
    </row>
    <row r="1299">
      <c r="E1299" s="115"/>
      <c r="F1299" s="115"/>
      <c r="G1299" s="115"/>
      <c r="H1299" s="115"/>
      <c r="I1299" s="115"/>
      <c r="J1299" s="115"/>
      <c r="K1299" s="115"/>
      <c r="L1299" s="115"/>
      <c r="M1299" s="115"/>
      <c r="N1299" s="115"/>
      <c r="O1299" s="115"/>
    </row>
    <row r="1300">
      <c r="E1300" s="115"/>
      <c r="F1300" s="115"/>
      <c r="G1300" s="115"/>
      <c r="H1300" s="115"/>
      <c r="I1300" s="115"/>
      <c r="J1300" s="115"/>
      <c r="K1300" s="115"/>
      <c r="L1300" s="115"/>
      <c r="M1300" s="115"/>
      <c r="N1300" s="115"/>
      <c r="O1300" s="115"/>
    </row>
    <row r="1301">
      <c r="E1301" s="115"/>
      <c r="F1301" s="115"/>
      <c r="G1301" s="115"/>
      <c r="H1301" s="115"/>
      <c r="I1301" s="115"/>
      <c r="J1301" s="115"/>
      <c r="K1301" s="115"/>
      <c r="L1301" s="115"/>
      <c r="M1301" s="115"/>
      <c r="N1301" s="115"/>
      <c r="O1301" s="115"/>
    </row>
    <row r="1302">
      <c r="E1302" s="115"/>
      <c r="F1302" s="115"/>
      <c r="G1302" s="115"/>
      <c r="H1302" s="115"/>
      <c r="I1302" s="115"/>
      <c r="J1302" s="115"/>
      <c r="K1302" s="115"/>
      <c r="L1302" s="115"/>
      <c r="M1302" s="115"/>
      <c r="N1302" s="115"/>
      <c r="O1302" s="115"/>
    </row>
    <row r="1303">
      <c r="E1303" s="115"/>
      <c r="F1303" s="115"/>
      <c r="G1303" s="115"/>
      <c r="H1303" s="115"/>
      <c r="I1303" s="115"/>
      <c r="J1303" s="115"/>
      <c r="K1303" s="115"/>
      <c r="L1303" s="115"/>
      <c r="M1303" s="115"/>
      <c r="N1303" s="115"/>
      <c r="O1303" s="115"/>
    </row>
    <row r="1304">
      <c r="E1304" s="115"/>
      <c r="F1304" s="115"/>
      <c r="G1304" s="115"/>
      <c r="H1304" s="115"/>
      <c r="I1304" s="115"/>
      <c r="J1304" s="115"/>
      <c r="K1304" s="115"/>
      <c r="L1304" s="115"/>
      <c r="M1304" s="115"/>
      <c r="N1304" s="115"/>
      <c r="O1304" s="115"/>
    </row>
    <row r="1305">
      <c r="E1305" s="115"/>
      <c r="F1305" s="115"/>
      <c r="G1305" s="115"/>
      <c r="H1305" s="115"/>
      <c r="I1305" s="115"/>
      <c r="J1305" s="115"/>
      <c r="K1305" s="115"/>
      <c r="L1305" s="115"/>
      <c r="M1305" s="115"/>
      <c r="N1305" s="115"/>
      <c r="O1305" s="115"/>
    </row>
    <row r="1306">
      <c r="E1306" s="115"/>
      <c r="F1306" s="115"/>
      <c r="G1306" s="115"/>
      <c r="H1306" s="115"/>
      <c r="I1306" s="115"/>
      <c r="J1306" s="115"/>
      <c r="K1306" s="115"/>
      <c r="L1306" s="115"/>
      <c r="M1306" s="115"/>
      <c r="N1306" s="115"/>
      <c r="O1306" s="115"/>
    </row>
    <row r="1307">
      <c r="E1307" s="115"/>
      <c r="F1307" s="115"/>
      <c r="G1307" s="115"/>
      <c r="H1307" s="115"/>
      <c r="I1307" s="115"/>
      <c r="J1307" s="115"/>
      <c r="K1307" s="115"/>
      <c r="L1307" s="115"/>
      <c r="M1307" s="115"/>
      <c r="N1307" s="115"/>
      <c r="O1307" s="115"/>
    </row>
    <row r="1308">
      <c r="E1308" s="115"/>
      <c r="F1308" s="115"/>
      <c r="G1308" s="115"/>
      <c r="H1308" s="115"/>
      <c r="I1308" s="115"/>
      <c r="J1308" s="115"/>
      <c r="K1308" s="115"/>
      <c r="L1308" s="115"/>
      <c r="M1308" s="115"/>
      <c r="N1308" s="115"/>
      <c r="O1308" s="115"/>
    </row>
    <row r="1309">
      <c r="E1309" s="115"/>
      <c r="F1309" s="115"/>
      <c r="G1309" s="115"/>
      <c r="H1309" s="115"/>
      <c r="I1309" s="115"/>
      <c r="J1309" s="115"/>
      <c r="K1309" s="115"/>
      <c r="L1309" s="115"/>
      <c r="M1309" s="115"/>
      <c r="N1309" s="115"/>
      <c r="O1309" s="115"/>
    </row>
    <row r="1310">
      <c r="E1310" s="115"/>
      <c r="F1310" s="115"/>
      <c r="G1310" s="115"/>
      <c r="H1310" s="115"/>
      <c r="I1310" s="115"/>
      <c r="J1310" s="115"/>
      <c r="K1310" s="115"/>
      <c r="L1310" s="115"/>
      <c r="M1310" s="115"/>
      <c r="N1310" s="115"/>
      <c r="O1310" s="115"/>
    </row>
    <row r="1311">
      <c r="E1311" s="115"/>
      <c r="F1311" s="115"/>
      <c r="G1311" s="115"/>
      <c r="H1311" s="115"/>
      <c r="I1311" s="115"/>
      <c r="J1311" s="115"/>
      <c r="K1311" s="115"/>
      <c r="L1311" s="115"/>
      <c r="M1311" s="115"/>
      <c r="N1311" s="115"/>
      <c r="O1311" s="115"/>
    </row>
    <row r="1312">
      <c r="E1312" s="115"/>
      <c r="F1312" s="115"/>
      <c r="G1312" s="115"/>
      <c r="H1312" s="115"/>
      <c r="I1312" s="115"/>
      <c r="J1312" s="115"/>
      <c r="K1312" s="115"/>
      <c r="L1312" s="115"/>
      <c r="M1312" s="115"/>
      <c r="N1312" s="115"/>
      <c r="O1312" s="115"/>
    </row>
    <row r="1313">
      <c r="E1313" s="115"/>
      <c r="F1313" s="115"/>
      <c r="G1313" s="115"/>
      <c r="H1313" s="115"/>
      <c r="I1313" s="115"/>
      <c r="J1313" s="115"/>
      <c r="K1313" s="115"/>
      <c r="L1313" s="115"/>
      <c r="M1313" s="115"/>
      <c r="N1313" s="115"/>
      <c r="O1313" s="115"/>
    </row>
    <row r="1314">
      <c r="E1314" s="115"/>
      <c r="F1314" s="115"/>
      <c r="G1314" s="115"/>
      <c r="H1314" s="115"/>
      <c r="I1314" s="115"/>
      <c r="J1314" s="115"/>
      <c r="K1314" s="115"/>
      <c r="L1314" s="115"/>
      <c r="M1314" s="115"/>
      <c r="N1314" s="115"/>
      <c r="O1314" s="115"/>
    </row>
    <row r="1315">
      <c r="E1315" s="115"/>
      <c r="F1315" s="115"/>
      <c r="G1315" s="115"/>
      <c r="H1315" s="115"/>
      <c r="I1315" s="115"/>
      <c r="J1315" s="115"/>
      <c r="K1315" s="115"/>
      <c r="L1315" s="115"/>
      <c r="M1315" s="115"/>
      <c r="N1315" s="115"/>
      <c r="O1315" s="115"/>
    </row>
    <row r="1316">
      <c r="E1316" s="115"/>
      <c r="F1316" s="115"/>
      <c r="G1316" s="115"/>
      <c r="H1316" s="115"/>
      <c r="I1316" s="115"/>
      <c r="J1316" s="115"/>
      <c r="K1316" s="115"/>
      <c r="L1316" s="115"/>
      <c r="M1316" s="115"/>
      <c r="N1316" s="115"/>
      <c r="O1316" s="115"/>
    </row>
    <row r="1317">
      <c r="E1317" s="115"/>
      <c r="F1317" s="115"/>
      <c r="G1317" s="115"/>
      <c r="H1317" s="115"/>
      <c r="I1317" s="115"/>
      <c r="J1317" s="115"/>
      <c r="K1317" s="115"/>
      <c r="L1317" s="115"/>
      <c r="M1317" s="115"/>
      <c r="N1317" s="115"/>
      <c r="O1317" s="115"/>
    </row>
    <row r="1318">
      <c r="E1318" s="115"/>
      <c r="F1318" s="115"/>
      <c r="G1318" s="115"/>
      <c r="H1318" s="115"/>
      <c r="I1318" s="115"/>
      <c r="J1318" s="115"/>
      <c r="K1318" s="115"/>
      <c r="L1318" s="115"/>
      <c r="M1318" s="115"/>
      <c r="N1318" s="115"/>
      <c r="O1318" s="115"/>
    </row>
    <row r="1319">
      <c r="E1319" s="115"/>
      <c r="F1319" s="115"/>
      <c r="G1319" s="115"/>
      <c r="H1319" s="115"/>
      <c r="I1319" s="115"/>
      <c r="J1319" s="115"/>
      <c r="K1319" s="115"/>
      <c r="L1319" s="115"/>
      <c r="M1319" s="115"/>
      <c r="N1319" s="115"/>
      <c r="O1319" s="115"/>
    </row>
    <row r="1320">
      <c r="E1320" s="115"/>
      <c r="F1320" s="115"/>
      <c r="G1320" s="115"/>
      <c r="H1320" s="115"/>
      <c r="I1320" s="115"/>
      <c r="J1320" s="115"/>
      <c r="K1320" s="115"/>
      <c r="L1320" s="115"/>
      <c r="M1320" s="115"/>
      <c r="N1320" s="115"/>
      <c r="O1320" s="115"/>
    </row>
    <row r="1321">
      <c r="E1321" s="115"/>
      <c r="F1321" s="115"/>
      <c r="G1321" s="115"/>
      <c r="H1321" s="115"/>
      <c r="I1321" s="115"/>
      <c r="J1321" s="115"/>
      <c r="K1321" s="115"/>
      <c r="L1321" s="115"/>
      <c r="M1321" s="115"/>
      <c r="N1321" s="115"/>
      <c r="O1321" s="115"/>
    </row>
    <row r="1322">
      <c r="E1322" s="115"/>
      <c r="F1322" s="115"/>
      <c r="G1322" s="115"/>
      <c r="H1322" s="115"/>
      <c r="I1322" s="115"/>
      <c r="J1322" s="115"/>
      <c r="K1322" s="115"/>
      <c r="L1322" s="115"/>
      <c r="M1322" s="115"/>
      <c r="N1322" s="115"/>
      <c r="O1322" s="115"/>
    </row>
    <row r="1323">
      <c r="E1323" s="115"/>
      <c r="F1323" s="115"/>
      <c r="G1323" s="115"/>
      <c r="H1323" s="115"/>
      <c r="I1323" s="115"/>
      <c r="J1323" s="115"/>
      <c r="K1323" s="115"/>
      <c r="L1323" s="115"/>
      <c r="M1323" s="115"/>
      <c r="N1323" s="115"/>
      <c r="O1323" s="115"/>
    </row>
    <row r="1324">
      <c r="E1324" s="115"/>
      <c r="F1324" s="115"/>
      <c r="G1324" s="115"/>
      <c r="H1324" s="115"/>
      <c r="I1324" s="115"/>
      <c r="J1324" s="115"/>
      <c r="K1324" s="115"/>
      <c r="L1324" s="115"/>
      <c r="M1324" s="115"/>
      <c r="N1324" s="115"/>
      <c r="O1324" s="115"/>
    </row>
    <row r="1325">
      <c r="E1325" s="115"/>
      <c r="F1325" s="115"/>
      <c r="G1325" s="115"/>
      <c r="H1325" s="115"/>
      <c r="I1325" s="115"/>
      <c r="J1325" s="115"/>
      <c r="K1325" s="115"/>
      <c r="L1325" s="115"/>
      <c r="M1325" s="115"/>
      <c r="N1325" s="115"/>
      <c r="O1325" s="115"/>
    </row>
    <row r="1326">
      <c r="E1326" s="115"/>
      <c r="F1326" s="115"/>
      <c r="G1326" s="115"/>
      <c r="H1326" s="115"/>
      <c r="I1326" s="115"/>
      <c r="J1326" s="115"/>
      <c r="K1326" s="115"/>
      <c r="L1326" s="115"/>
      <c r="M1326" s="115"/>
      <c r="N1326" s="115"/>
      <c r="O1326" s="115"/>
    </row>
    <row r="1327">
      <c r="E1327" s="115"/>
      <c r="F1327" s="115"/>
      <c r="G1327" s="115"/>
      <c r="H1327" s="115"/>
      <c r="I1327" s="115"/>
      <c r="J1327" s="115"/>
      <c r="K1327" s="115"/>
      <c r="L1327" s="115"/>
      <c r="M1327" s="115"/>
      <c r="N1327" s="115"/>
      <c r="O1327" s="115"/>
    </row>
    <row r="1328">
      <c r="E1328" s="115"/>
      <c r="F1328" s="115"/>
      <c r="G1328" s="115"/>
      <c r="H1328" s="115"/>
      <c r="I1328" s="115"/>
      <c r="J1328" s="115"/>
      <c r="K1328" s="115"/>
      <c r="L1328" s="115"/>
      <c r="M1328" s="115"/>
      <c r="N1328" s="115"/>
      <c r="O1328" s="115"/>
    </row>
    <row r="1329">
      <c r="E1329" s="115"/>
      <c r="F1329" s="115"/>
      <c r="G1329" s="115"/>
      <c r="H1329" s="115"/>
      <c r="I1329" s="115"/>
      <c r="J1329" s="115"/>
      <c r="K1329" s="115"/>
      <c r="L1329" s="115"/>
      <c r="M1329" s="115"/>
      <c r="N1329" s="115"/>
      <c r="O1329" s="115"/>
    </row>
    <row r="1330">
      <c r="E1330" s="115"/>
      <c r="F1330" s="115"/>
      <c r="G1330" s="115"/>
      <c r="H1330" s="115"/>
      <c r="I1330" s="115"/>
      <c r="J1330" s="115"/>
      <c r="K1330" s="115"/>
      <c r="L1330" s="115"/>
      <c r="M1330" s="115"/>
      <c r="N1330" s="115"/>
      <c r="O1330" s="115"/>
    </row>
    <row r="1331">
      <c r="E1331" s="115"/>
      <c r="F1331" s="115"/>
      <c r="G1331" s="115"/>
      <c r="H1331" s="115"/>
      <c r="I1331" s="115"/>
      <c r="J1331" s="115"/>
      <c r="K1331" s="115"/>
      <c r="L1331" s="115"/>
      <c r="M1331" s="115"/>
      <c r="N1331" s="115"/>
      <c r="O1331" s="115"/>
    </row>
    <row r="1332">
      <c r="E1332" s="115"/>
      <c r="F1332" s="115"/>
      <c r="G1332" s="115"/>
      <c r="H1332" s="115"/>
      <c r="I1332" s="115"/>
      <c r="J1332" s="115"/>
      <c r="K1332" s="115"/>
      <c r="L1332" s="115"/>
      <c r="M1332" s="115"/>
      <c r="N1332" s="115"/>
      <c r="O1332" s="115"/>
    </row>
    <row r="1333">
      <c r="E1333" s="115"/>
      <c r="F1333" s="115"/>
      <c r="G1333" s="115"/>
      <c r="H1333" s="115"/>
      <c r="I1333" s="115"/>
      <c r="J1333" s="115"/>
      <c r="K1333" s="115"/>
      <c r="L1333" s="115"/>
      <c r="M1333" s="115"/>
      <c r="N1333" s="115"/>
      <c r="O1333" s="115"/>
    </row>
    <row r="1334">
      <c r="E1334" s="115"/>
      <c r="F1334" s="115"/>
      <c r="G1334" s="115"/>
      <c r="H1334" s="115"/>
      <c r="I1334" s="115"/>
      <c r="J1334" s="115"/>
      <c r="K1334" s="115"/>
      <c r="L1334" s="115"/>
      <c r="M1334" s="115"/>
      <c r="N1334" s="115"/>
      <c r="O1334" s="115"/>
    </row>
    <row r="1335">
      <c r="E1335" s="115"/>
      <c r="F1335" s="115"/>
      <c r="G1335" s="115"/>
      <c r="H1335" s="115"/>
      <c r="I1335" s="115"/>
      <c r="J1335" s="115"/>
      <c r="K1335" s="115"/>
      <c r="L1335" s="115"/>
      <c r="M1335" s="115"/>
      <c r="N1335" s="115"/>
      <c r="O1335" s="115"/>
    </row>
    <row r="1336">
      <c r="E1336" s="115"/>
      <c r="F1336" s="115"/>
      <c r="G1336" s="115"/>
      <c r="H1336" s="115"/>
      <c r="I1336" s="115"/>
      <c r="J1336" s="115"/>
      <c r="K1336" s="115"/>
      <c r="L1336" s="115"/>
      <c r="M1336" s="115"/>
      <c r="N1336" s="115"/>
      <c r="O1336" s="115"/>
    </row>
    <row r="1337">
      <c r="E1337" s="115"/>
      <c r="F1337" s="115"/>
      <c r="G1337" s="115"/>
      <c r="H1337" s="115"/>
      <c r="I1337" s="115"/>
      <c r="J1337" s="115"/>
      <c r="K1337" s="115"/>
      <c r="L1337" s="115"/>
      <c r="M1337" s="115"/>
      <c r="N1337" s="115"/>
      <c r="O1337" s="115"/>
    </row>
    <row r="1338">
      <c r="E1338" s="115"/>
      <c r="F1338" s="115"/>
      <c r="G1338" s="115"/>
      <c r="H1338" s="115"/>
      <c r="I1338" s="115"/>
      <c r="J1338" s="115"/>
      <c r="K1338" s="115"/>
      <c r="L1338" s="115"/>
      <c r="M1338" s="115"/>
      <c r="N1338" s="115"/>
      <c r="O1338" s="115"/>
    </row>
    <row r="1339">
      <c r="E1339" s="115"/>
      <c r="F1339" s="115"/>
      <c r="G1339" s="115"/>
      <c r="H1339" s="115"/>
      <c r="I1339" s="115"/>
      <c r="J1339" s="115"/>
      <c r="K1339" s="115"/>
      <c r="L1339" s="115"/>
      <c r="M1339" s="115"/>
      <c r="N1339" s="115"/>
      <c r="O1339" s="115"/>
    </row>
    <row r="1340">
      <c r="E1340" s="115"/>
      <c r="F1340" s="115"/>
      <c r="G1340" s="115"/>
      <c r="H1340" s="115"/>
      <c r="I1340" s="115"/>
      <c r="J1340" s="115"/>
      <c r="K1340" s="115"/>
      <c r="L1340" s="115"/>
      <c r="M1340" s="115"/>
      <c r="N1340" s="115"/>
      <c r="O1340" s="115"/>
    </row>
    <row r="1341">
      <c r="E1341" s="115"/>
      <c r="F1341" s="115"/>
      <c r="G1341" s="115"/>
      <c r="H1341" s="115"/>
      <c r="I1341" s="115"/>
      <c r="J1341" s="115"/>
      <c r="K1341" s="115"/>
      <c r="L1341" s="115"/>
      <c r="M1341" s="115"/>
      <c r="N1341" s="115"/>
      <c r="O1341" s="115"/>
    </row>
    <row r="1342">
      <c r="E1342" s="115"/>
      <c r="F1342" s="115"/>
      <c r="G1342" s="115"/>
      <c r="H1342" s="115"/>
      <c r="I1342" s="115"/>
      <c r="J1342" s="115"/>
      <c r="K1342" s="115"/>
      <c r="L1342" s="115"/>
      <c r="M1342" s="115"/>
      <c r="N1342" s="115"/>
      <c r="O1342" s="115"/>
    </row>
    <row r="1343">
      <c r="E1343" s="115"/>
      <c r="F1343" s="115"/>
      <c r="G1343" s="115"/>
      <c r="H1343" s="115"/>
      <c r="I1343" s="115"/>
      <c r="J1343" s="115"/>
      <c r="K1343" s="115"/>
      <c r="L1343" s="115"/>
      <c r="M1343" s="115"/>
      <c r="N1343" s="115"/>
      <c r="O1343" s="115"/>
    </row>
    <row r="1344">
      <c r="E1344" s="115"/>
      <c r="F1344" s="115"/>
      <c r="G1344" s="115"/>
      <c r="H1344" s="115"/>
      <c r="I1344" s="115"/>
      <c r="J1344" s="115"/>
      <c r="K1344" s="115"/>
      <c r="L1344" s="115"/>
      <c r="M1344" s="115"/>
      <c r="N1344" s="115"/>
      <c r="O1344" s="115"/>
    </row>
    <row r="1345">
      <c r="E1345" s="115"/>
      <c r="F1345" s="115"/>
      <c r="G1345" s="115"/>
      <c r="H1345" s="115"/>
      <c r="I1345" s="115"/>
      <c r="J1345" s="115"/>
      <c r="K1345" s="115"/>
      <c r="L1345" s="115"/>
      <c r="M1345" s="115"/>
      <c r="N1345" s="115"/>
      <c r="O1345" s="115"/>
    </row>
    <row r="1346">
      <c r="E1346" s="115"/>
      <c r="F1346" s="115"/>
      <c r="G1346" s="115"/>
      <c r="H1346" s="115"/>
      <c r="I1346" s="115"/>
      <c r="J1346" s="115"/>
      <c r="K1346" s="115"/>
      <c r="L1346" s="115"/>
      <c r="M1346" s="115"/>
      <c r="N1346" s="115"/>
      <c r="O1346" s="115"/>
    </row>
    <row r="1347">
      <c r="E1347" s="115"/>
      <c r="F1347" s="115"/>
      <c r="G1347" s="115"/>
      <c r="H1347" s="115"/>
      <c r="I1347" s="115"/>
      <c r="J1347" s="115"/>
      <c r="K1347" s="115"/>
      <c r="L1347" s="115"/>
      <c r="M1347" s="115"/>
      <c r="N1347" s="115"/>
      <c r="O1347" s="115"/>
    </row>
    <row r="1348">
      <c r="E1348" s="115"/>
      <c r="F1348" s="115"/>
      <c r="G1348" s="115"/>
      <c r="H1348" s="115"/>
      <c r="I1348" s="115"/>
      <c r="J1348" s="115"/>
      <c r="K1348" s="115"/>
      <c r="L1348" s="115"/>
      <c r="M1348" s="115"/>
      <c r="N1348" s="115"/>
      <c r="O1348" s="115"/>
    </row>
    <row r="1349">
      <c r="E1349" s="115"/>
      <c r="F1349" s="115"/>
      <c r="G1349" s="115"/>
      <c r="H1349" s="115"/>
      <c r="I1349" s="115"/>
      <c r="J1349" s="115"/>
      <c r="K1349" s="115"/>
      <c r="L1349" s="115"/>
      <c r="M1349" s="115"/>
      <c r="N1349" s="115"/>
      <c r="O1349" s="115"/>
    </row>
    <row r="1350">
      <c r="E1350" s="115"/>
      <c r="F1350" s="115"/>
      <c r="G1350" s="115"/>
      <c r="H1350" s="115"/>
      <c r="I1350" s="115"/>
      <c r="J1350" s="115"/>
      <c r="K1350" s="115"/>
      <c r="L1350" s="115"/>
      <c r="M1350" s="115"/>
      <c r="N1350" s="115"/>
      <c r="O1350" s="115"/>
    </row>
    <row r="1351">
      <c r="E1351" s="115"/>
      <c r="F1351" s="115"/>
      <c r="G1351" s="115"/>
      <c r="H1351" s="115"/>
      <c r="I1351" s="115"/>
      <c r="J1351" s="115"/>
      <c r="K1351" s="115"/>
      <c r="L1351" s="115"/>
      <c r="M1351" s="115"/>
      <c r="N1351" s="115"/>
      <c r="O1351" s="115"/>
    </row>
    <row r="1352">
      <c r="E1352" s="115"/>
      <c r="F1352" s="115"/>
      <c r="G1352" s="115"/>
      <c r="H1352" s="115"/>
      <c r="I1352" s="115"/>
      <c r="J1352" s="115"/>
      <c r="K1352" s="115"/>
      <c r="L1352" s="115"/>
      <c r="M1352" s="115"/>
      <c r="N1352" s="115"/>
      <c r="O1352" s="115"/>
    </row>
    <row r="1353">
      <c r="E1353" s="115"/>
      <c r="F1353" s="115"/>
      <c r="G1353" s="115"/>
      <c r="H1353" s="115"/>
      <c r="I1353" s="115"/>
      <c r="J1353" s="115"/>
      <c r="K1353" s="115"/>
      <c r="L1353" s="115"/>
      <c r="M1353" s="115"/>
      <c r="N1353" s="115"/>
      <c r="O1353" s="115"/>
    </row>
    <row r="1354">
      <c r="E1354" s="115"/>
      <c r="F1354" s="115"/>
      <c r="G1354" s="115"/>
      <c r="H1354" s="115"/>
      <c r="I1354" s="115"/>
      <c r="J1354" s="115"/>
      <c r="K1354" s="115"/>
      <c r="L1354" s="115"/>
      <c r="M1354" s="115"/>
      <c r="N1354" s="115"/>
      <c r="O1354" s="115"/>
    </row>
    <row r="1355">
      <c r="E1355" s="115"/>
      <c r="F1355" s="115"/>
      <c r="G1355" s="115"/>
      <c r="H1355" s="115"/>
      <c r="I1355" s="115"/>
      <c r="J1355" s="115"/>
      <c r="K1355" s="115"/>
      <c r="L1355" s="115"/>
      <c r="M1355" s="115"/>
      <c r="N1355" s="115"/>
      <c r="O1355" s="115"/>
    </row>
    <row r="1356">
      <c r="E1356" s="115"/>
      <c r="F1356" s="115"/>
      <c r="G1356" s="115"/>
      <c r="H1356" s="115"/>
      <c r="I1356" s="115"/>
      <c r="J1356" s="115"/>
      <c r="K1356" s="115"/>
      <c r="L1356" s="115"/>
      <c r="M1356" s="115"/>
      <c r="N1356" s="115"/>
      <c r="O1356" s="115"/>
    </row>
    <row r="1357">
      <c r="E1357" s="115"/>
      <c r="F1357" s="115"/>
      <c r="G1357" s="115"/>
      <c r="H1357" s="115"/>
      <c r="I1357" s="115"/>
      <c r="J1357" s="115"/>
      <c r="K1357" s="115"/>
      <c r="L1357" s="115"/>
      <c r="M1357" s="115"/>
      <c r="N1357" s="115"/>
      <c r="O1357" s="115"/>
    </row>
    <row r="1358">
      <c r="E1358" s="115"/>
      <c r="F1358" s="115"/>
      <c r="G1358" s="115"/>
      <c r="H1358" s="115"/>
      <c r="I1358" s="115"/>
      <c r="J1358" s="115"/>
      <c r="K1358" s="115"/>
      <c r="L1358" s="115"/>
      <c r="M1358" s="115"/>
      <c r="N1358" s="115"/>
      <c r="O1358" s="115"/>
    </row>
    <row r="1359">
      <c r="E1359" s="115"/>
      <c r="F1359" s="115"/>
      <c r="G1359" s="115"/>
      <c r="H1359" s="115"/>
      <c r="I1359" s="115"/>
      <c r="J1359" s="115"/>
      <c r="K1359" s="115"/>
      <c r="L1359" s="115"/>
      <c r="M1359" s="115"/>
      <c r="N1359" s="115"/>
      <c r="O1359" s="115"/>
    </row>
    <row r="1360">
      <c r="E1360" s="115"/>
      <c r="F1360" s="115"/>
      <c r="G1360" s="115"/>
      <c r="H1360" s="115"/>
      <c r="I1360" s="115"/>
      <c r="J1360" s="115"/>
      <c r="K1360" s="115"/>
      <c r="L1360" s="115"/>
      <c r="M1360" s="115"/>
      <c r="N1360" s="115"/>
      <c r="O1360" s="115"/>
    </row>
    <row r="1361">
      <c r="E1361" s="115"/>
      <c r="F1361" s="115"/>
      <c r="G1361" s="115"/>
      <c r="H1361" s="115"/>
      <c r="I1361" s="115"/>
      <c r="J1361" s="115"/>
      <c r="K1361" s="115"/>
      <c r="L1361" s="115"/>
      <c r="M1361" s="115"/>
      <c r="N1361" s="115"/>
      <c r="O1361" s="115"/>
    </row>
    <row r="1362">
      <c r="E1362" s="115"/>
      <c r="F1362" s="115"/>
      <c r="G1362" s="115"/>
      <c r="H1362" s="115"/>
      <c r="I1362" s="115"/>
      <c r="J1362" s="115"/>
      <c r="K1362" s="115"/>
      <c r="L1362" s="115"/>
      <c r="M1362" s="115"/>
      <c r="N1362" s="115"/>
      <c r="O1362" s="115"/>
    </row>
    <row r="1363">
      <c r="E1363" s="115"/>
      <c r="F1363" s="115"/>
      <c r="G1363" s="115"/>
      <c r="H1363" s="115"/>
      <c r="I1363" s="115"/>
      <c r="J1363" s="115"/>
      <c r="K1363" s="115"/>
      <c r="L1363" s="115"/>
      <c r="M1363" s="115"/>
      <c r="N1363" s="115"/>
      <c r="O1363" s="115"/>
    </row>
    <row r="1364">
      <c r="E1364" s="115"/>
      <c r="F1364" s="115"/>
      <c r="G1364" s="115"/>
      <c r="H1364" s="115"/>
      <c r="I1364" s="115"/>
      <c r="J1364" s="115"/>
      <c r="K1364" s="115"/>
      <c r="L1364" s="115"/>
      <c r="M1364" s="115"/>
      <c r="N1364" s="115"/>
      <c r="O1364" s="115"/>
    </row>
    <row r="1365">
      <c r="E1365" s="115"/>
      <c r="F1365" s="115"/>
      <c r="G1365" s="115"/>
      <c r="H1365" s="115"/>
      <c r="I1365" s="115"/>
      <c r="J1365" s="115"/>
      <c r="K1365" s="115"/>
      <c r="L1365" s="115"/>
      <c r="M1365" s="115"/>
      <c r="N1365" s="115"/>
      <c r="O1365" s="115"/>
    </row>
    <row r="1366">
      <c r="E1366" s="115"/>
      <c r="F1366" s="115"/>
      <c r="G1366" s="115"/>
      <c r="H1366" s="115"/>
      <c r="I1366" s="115"/>
      <c r="J1366" s="115"/>
      <c r="K1366" s="115"/>
      <c r="L1366" s="115"/>
      <c r="M1366" s="115"/>
      <c r="N1366" s="115"/>
      <c r="O1366" s="115"/>
    </row>
    <row r="1367">
      <c r="E1367" s="115"/>
      <c r="F1367" s="115"/>
      <c r="G1367" s="115"/>
      <c r="H1367" s="115"/>
      <c r="I1367" s="115"/>
      <c r="J1367" s="115"/>
      <c r="K1367" s="115"/>
      <c r="L1367" s="115"/>
      <c r="M1367" s="115"/>
      <c r="N1367" s="115"/>
      <c r="O1367" s="115"/>
    </row>
    <row r="1368">
      <c r="E1368" s="115"/>
      <c r="F1368" s="115"/>
      <c r="G1368" s="115"/>
      <c r="H1368" s="115"/>
      <c r="I1368" s="115"/>
      <c r="J1368" s="115"/>
      <c r="K1368" s="115"/>
      <c r="L1368" s="115"/>
      <c r="M1368" s="115"/>
      <c r="N1368" s="115"/>
      <c r="O1368" s="115"/>
    </row>
    <row r="1369">
      <c r="E1369" s="115"/>
      <c r="F1369" s="115"/>
      <c r="G1369" s="115"/>
      <c r="H1369" s="115"/>
      <c r="I1369" s="115"/>
      <c r="J1369" s="115"/>
      <c r="K1369" s="115"/>
      <c r="L1369" s="115"/>
      <c r="M1369" s="115"/>
      <c r="N1369" s="115"/>
      <c r="O1369" s="115"/>
    </row>
    <row r="1370">
      <c r="E1370" s="115"/>
      <c r="F1370" s="115"/>
      <c r="G1370" s="115"/>
      <c r="H1370" s="115"/>
      <c r="I1370" s="115"/>
      <c r="J1370" s="115"/>
      <c r="K1370" s="115"/>
      <c r="L1370" s="115"/>
      <c r="M1370" s="115"/>
      <c r="N1370" s="115"/>
      <c r="O1370" s="115"/>
    </row>
    <row r="1371">
      <c r="E1371" s="115"/>
      <c r="F1371" s="115"/>
      <c r="G1371" s="115"/>
      <c r="H1371" s="115"/>
      <c r="I1371" s="115"/>
      <c r="J1371" s="115"/>
      <c r="K1371" s="115"/>
      <c r="L1371" s="115"/>
      <c r="M1371" s="115"/>
      <c r="N1371" s="115"/>
      <c r="O1371" s="115"/>
    </row>
    <row r="1372">
      <c r="E1372" s="115"/>
      <c r="F1372" s="115"/>
      <c r="G1372" s="115"/>
      <c r="H1372" s="115"/>
      <c r="I1372" s="115"/>
      <c r="J1372" s="115"/>
      <c r="K1372" s="115"/>
      <c r="L1372" s="115"/>
      <c r="M1372" s="115"/>
      <c r="N1372" s="115"/>
      <c r="O1372" s="115"/>
    </row>
    <row r="1373">
      <c r="E1373" s="115"/>
      <c r="F1373" s="115"/>
      <c r="G1373" s="115"/>
      <c r="H1373" s="115"/>
      <c r="I1373" s="115"/>
      <c r="J1373" s="115"/>
      <c r="K1373" s="115"/>
      <c r="L1373" s="115"/>
      <c r="M1373" s="115"/>
      <c r="N1373" s="115"/>
      <c r="O1373" s="115"/>
    </row>
    <row r="1374">
      <c r="E1374" s="115"/>
      <c r="F1374" s="115"/>
      <c r="G1374" s="115"/>
      <c r="H1374" s="115"/>
      <c r="I1374" s="115"/>
      <c r="J1374" s="115"/>
      <c r="K1374" s="115"/>
      <c r="L1374" s="115"/>
      <c r="M1374" s="115"/>
      <c r="N1374" s="115"/>
      <c r="O1374" s="115"/>
    </row>
    <row r="1375">
      <c r="E1375" s="115"/>
      <c r="F1375" s="115"/>
      <c r="G1375" s="115"/>
      <c r="H1375" s="115"/>
      <c r="I1375" s="115"/>
      <c r="J1375" s="115"/>
      <c r="K1375" s="115"/>
      <c r="L1375" s="115"/>
      <c r="M1375" s="115"/>
      <c r="N1375" s="115"/>
      <c r="O1375" s="115"/>
    </row>
    <row r="1376">
      <c r="E1376" s="115"/>
      <c r="F1376" s="115"/>
      <c r="G1376" s="115"/>
      <c r="H1376" s="115"/>
      <c r="I1376" s="115"/>
      <c r="J1376" s="115"/>
      <c r="K1376" s="115"/>
      <c r="L1376" s="115"/>
      <c r="M1376" s="115"/>
      <c r="N1376" s="115"/>
      <c r="O1376" s="115"/>
    </row>
    <row r="1377">
      <c r="E1377" s="115"/>
      <c r="F1377" s="115"/>
      <c r="G1377" s="115"/>
      <c r="H1377" s="115"/>
      <c r="I1377" s="115"/>
      <c r="J1377" s="115"/>
      <c r="K1377" s="115"/>
      <c r="L1377" s="115"/>
      <c r="M1377" s="115"/>
      <c r="N1377" s="115"/>
      <c r="O1377" s="115"/>
    </row>
    <row r="1378">
      <c r="E1378" s="115"/>
      <c r="F1378" s="115"/>
      <c r="G1378" s="115"/>
      <c r="H1378" s="115"/>
      <c r="I1378" s="115"/>
      <c r="J1378" s="115"/>
      <c r="K1378" s="115"/>
      <c r="L1378" s="115"/>
      <c r="M1378" s="115"/>
      <c r="N1378" s="115"/>
      <c r="O1378" s="115"/>
    </row>
    <row r="1379">
      <c r="E1379" s="115"/>
      <c r="F1379" s="115"/>
      <c r="G1379" s="115"/>
      <c r="H1379" s="115"/>
      <c r="I1379" s="115"/>
      <c r="J1379" s="115"/>
      <c r="K1379" s="115"/>
      <c r="L1379" s="115"/>
      <c r="M1379" s="115"/>
      <c r="N1379" s="115"/>
      <c r="O1379" s="115"/>
    </row>
    <row r="1380">
      <c r="E1380" s="115"/>
      <c r="F1380" s="115"/>
      <c r="G1380" s="115"/>
      <c r="H1380" s="115"/>
      <c r="I1380" s="115"/>
      <c r="J1380" s="115"/>
      <c r="K1380" s="115"/>
      <c r="L1380" s="115"/>
      <c r="M1380" s="115"/>
      <c r="N1380" s="115"/>
      <c r="O1380" s="115"/>
    </row>
    <row r="1381">
      <c r="E1381" s="115"/>
      <c r="F1381" s="115"/>
      <c r="G1381" s="115"/>
      <c r="H1381" s="115"/>
      <c r="I1381" s="115"/>
      <c r="J1381" s="115"/>
      <c r="K1381" s="115"/>
      <c r="L1381" s="115"/>
      <c r="M1381" s="115"/>
      <c r="N1381" s="115"/>
      <c r="O1381" s="115"/>
    </row>
    <row r="1382">
      <c r="E1382" s="115"/>
      <c r="F1382" s="115"/>
      <c r="G1382" s="115"/>
      <c r="H1382" s="115"/>
      <c r="I1382" s="115"/>
      <c r="J1382" s="115"/>
      <c r="K1382" s="115"/>
      <c r="L1382" s="115"/>
      <c r="M1382" s="115"/>
      <c r="N1382" s="115"/>
      <c r="O1382" s="115"/>
    </row>
    <row r="1383">
      <c r="E1383" s="115"/>
      <c r="F1383" s="115"/>
      <c r="G1383" s="115"/>
      <c r="H1383" s="115"/>
      <c r="I1383" s="115"/>
      <c r="J1383" s="115"/>
      <c r="K1383" s="115"/>
      <c r="L1383" s="115"/>
      <c r="M1383" s="115"/>
      <c r="N1383" s="115"/>
      <c r="O1383" s="115"/>
    </row>
    <row r="1384">
      <c r="E1384" s="115"/>
      <c r="F1384" s="115"/>
      <c r="G1384" s="115"/>
      <c r="H1384" s="115"/>
      <c r="I1384" s="115"/>
      <c r="J1384" s="115"/>
      <c r="K1384" s="115"/>
      <c r="L1384" s="115"/>
      <c r="M1384" s="115"/>
      <c r="N1384" s="115"/>
      <c r="O1384" s="115"/>
    </row>
    <row r="1385">
      <c r="E1385" s="115"/>
      <c r="F1385" s="115"/>
      <c r="G1385" s="115"/>
      <c r="H1385" s="115"/>
      <c r="I1385" s="115"/>
      <c r="J1385" s="115"/>
      <c r="K1385" s="115"/>
      <c r="L1385" s="115"/>
      <c r="M1385" s="115"/>
      <c r="N1385" s="115"/>
      <c r="O1385" s="115"/>
    </row>
    <row r="1386">
      <c r="E1386" s="115"/>
      <c r="F1386" s="115"/>
      <c r="G1386" s="115"/>
      <c r="H1386" s="115"/>
      <c r="I1386" s="115"/>
      <c r="J1386" s="115"/>
      <c r="K1386" s="115"/>
      <c r="L1386" s="115"/>
      <c r="M1386" s="115"/>
      <c r="N1386" s="115"/>
      <c r="O1386" s="115"/>
    </row>
    <row r="1387">
      <c r="E1387" s="115"/>
      <c r="F1387" s="115"/>
      <c r="G1387" s="115"/>
      <c r="H1387" s="115"/>
      <c r="I1387" s="115"/>
      <c r="J1387" s="115"/>
      <c r="K1387" s="115"/>
      <c r="L1387" s="115"/>
      <c r="M1387" s="115"/>
      <c r="N1387" s="115"/>
      <c r="O1387" s="115"/>
    </row>
    <row r="1388">
      <c r="E1388" s="115"/>
      <c r="F1388" s="115"/>
      <c r="G1388" s="115"/>
      <c r="H1388" s="115"/>
      <c r="I1388" s="115"/>
      <c r="J1388" s="115"/>
      <c r="K1388" s="115"/>
      <c r="L1388" s="115"/>
      <c r="M1388" s="115"/>
      <c r="N1388" s="115"/>
      <c r="O1388" s="115"/>
    </row>
    <row r="1389">
      <c r="E1389" s="115"/>
      <c r="F1389" s="115"/>
      <c r="G1389" s="115"/>
      <c r="H1389" s="115"/>
      <c r="I1389" s="115"/>
      <c r="J1389" s="115"/>
      <c r="K1389" s="115"/>
      <c r="L1389" s="115"/>
      <c r="M1389" s="115"/>
      <c r="N1389" s="115"/>
      <c r="O1389" s="115"/>
    </row>
    <row r="1390">
      <c r="E1390" s="115"/>
      <c r="F1390" s="115"/>
      <c r="G1390" s="115"/>
      <c r="H1390" s="115"/>
      <c r="I1390" s="115"/>
      <c r="J1390" s="115"/>
      <c r="K1390" s="115"/>
      <c r="L1390" s="115"/>
      <c r="M1390" s="115"/>
      <c r="N1390" s="115"/>
      <c r="O1390" s="115"/>
    </row>
    <row r="1391">
      <c r="E1391" s="115"/>
      <c r="F1391" s="115"/>
      <c r="G1391" s="115"/>
      <c r="H1391" s="115"/>
      <c r="I1391" s="115"/>
      <c r="J1391" s="115"/>
      <c r="K1391" s="115"/>
      <c r="L1391" s="115"/>
      <c r="M1391" s="115"/>
      <c r="N1391" s="115"/>
      <c r="O1391" s="115"/>
    </row>
    <row r="1392">
      <c r="E1392" s="115"/>
      <c r="F1392" s="115"/>
      <c r="G1392" s="115"/>
      <c r="H1392" s="115"/>
      <c r="I1392" s="115"/>
      <c r="J1392" s="115"/>
      <c r="K1392" s="115"/>
      <c r="L1392" s="115"/>
      <c r="M1392" s="115"/>
      <c r="N1392" s="115"/>
      <c r="O1392" s="115"/>
    </row>
    <row r="1393">
      <c r="E1393" s="115"/>
      <c r="F1393" s="115"/>
      <c r="G1393" s="115"/>
      <c r="H1393" s="115"/>
      <c r="I1393" s="115"/>
      <c r="J1393" s="115"/>
      <c r="K1393" s="115"/>
      <c r="L1393" s="115"/>
      <c r="M1393" s="115"/>
      <c r="N1393" s="115"/>
      <c r="O1393" s="115"/>
    </row>
    <row r="1394">
      <c r="E1394" s="115"/>
      <c r="F1394" s="115"/>
      <c r="G1394" s="115"/>
      <c r="H1394" s="115"/>
      <c r="I1394" s="115"/>
      <c r="J1394" s="115"/>
      <c r="K1394" s="115"/>
      <c r="L1394" s="115"/>
      <c r="M1394" s="115"/>
      <c r="N1394" s="115"/>
      <c r="O1394" s="115"/>
    </row>
    <row r="1395">
      <c r="E1395" s="115"/>
      <c r="F1395" s="115"/>
      <c r="G1395" s="115"/>
      <c r="H1395" s="115"/>
      <c r="I1395" s="115"/>
      <c r="J1395" s="115"/>
      <c r="K1395" s="115"/>
      <c r="L1395" s="115"/>
      <c r="M1395" s="115"/>
      <c r="N1395" s="115"/>
      <c r="O1395" s="115"/>
    </row>
    <row r="1396">
      <c r="E1396" s="115"/>
      <c r="F1396" s="115"/>
      <c r="G1396" s="115"/>
      <c r="H1396" s="115"/>
      <c r="I1396" s="115"/>
      <c r="J1396" s="115"/>
      <c r="K1396" s="115"/>
      <c r="L1396" s="115"/>
      <c r="M1396" s="115"/>
      <c r="N1396" s="115"/>
      <c r="O1396" s="115"/>
    </row>
    <row r="1397">
      <c r="E1397" s="115"/>
      <c r="F1397" s="115"/>
      <c r="G1397" s="115"/>
      <c r="H1397" s="115"/>
      <c r="I1397" s="115"/>
      <c r="J1397" s="115"/>
      <c r="K1397" s="115"/>
      <c r="L1397" s="115"/>
      <c r="M1397" s="115"/>
      <c r="N1397" s="115"/>
      <c r="O1397" s="115"/>
    </row>
    <row r="1398">
      <c r="E1398" s="115"/>
      <c r="F1398" s="115"/>
      <c r="G1398" s="115"/>
      <c r="H1398" s="115"/>
      <c r="I1398" s="115"/>
      <c r="J1398" s="115"/>
      <c r="K1398" s="115"/>
      <c r="L1398" s="115"/>
      <c r="M1398" s="115"/>
      <c r="N1398" s="115"/>
      <c r="O1398" s="115"/>
    </row>
    <row r="1399">
      <c r="E1399" s="115"/>
      <c r="F1399" s="115"/>
      <c r="G1399" s="115"/>
      <c r="H1399" s="115"/>
      <c r="I1399" s="115"/>
      <c r="J1399" s="115"/>
      <c r="K1399" s="115"/>
      <c r="L1399" s="115"/>
      <c r="M1399" s="115"/>
      <c r="N1399" s="115"/>
      <c r="O1399" s="115"/>
    </row>
    <row r="1400">
      <c r="E1400" s="115"/>
      <c r="F1400" s="115"/>
      <c r="G1400" s="115"/>
      <c r="H1400" s="115"/>
      <c r="I1400" s="115"/>
      <c r="J1400" s="115"/>
      <c r="K1400" s="115"/>
      <c r="L1400" s="115"/>
      <c r="M1400" s="115"/>
      <c r="N1400" s="115"/>
      <c r="O1400" s="115"/>
    </row>
    <row r="1401">
      <c r="E1401" s="115"/>
      <c r="F1401" s="115"/>
      <c r="G1401" s="115"/>
      <c r="H1401" s="115"/>
      <c r="I1401" s="115"/>
      <c r="J1401" s="115"/>
      <c r="K1401" s="115"/>
      <c r="L1401" s="115"/>
      <c r="M1401" s="115"/>
      <c r="N1401" s="115"/>
      <c r="O1401" s="115"/>
    </row>
    <row r="1402">
      <c r="E1402" s="115"/>
      <c r="F1402" s="115"/>
      <c r="G1402" s="115"/>
      <c r="H1402" s="115"/>
      <c r="I1402" s="115"/>
      <c r="J1402" s="115"/>
      <c r="K1402" s="115"/>
      <c r="L1402" s="115"/>
      <c r="M1402" s="115"/>
      <c r="N1402" s="115"/>
      <c r="O1402" s="115"/>
    </row>
    <row r="1403">
      <c r="E1403" s="115"/>
      <c r="F1403" s="115"/>
      <c r="G1403" s="115"/>
      <c r="H1403" s="115"/>
      <c r="I1403" s="115"/>
      <c r="J1403" s="115"/>
      <c r="K1403" s="115"/>
      <c r="L1403" s="115"/>
      <c r="M1403" s="115"/>
      <c r="N1403" s="115"/>
      <c r="O1403" s="115"/>
    </row>
    <row r="1404">
      <c r="E1404" s="115"/>
      <c r="F1404" s="115"/>
      <c r="G1404" s="115"/>
      <c r="H1404" s="115"/>
      <c r="I1404" s="115"/>
      <c r="J1404" s="115"/>
      <c r="K1404" s="115"/>
      <c r="L1404" s="115"/>
      <c r="M1404" s="115"/>
      <c r="N1404" s="115"/>
      <c r="O1404" s="115"/>
    </row>
    <row r="1405">
      <c r="E1405" s="115"/>
      <c r="F1405" s="115"/>
      <c r="G1405" s="115"/>
      <c r="H1405" s="115"/>
      <c r="I1405" s="115"/>
      <c r="J1405" s="115"/>
      <c r="K1405" s="115"/>
      <c r="L1405" s="115"/>
      <c r="M1405" s="115"/>
      <c r="N1405" s="115"/>
      <c r="O1405" s="115"/>
    </row>
    <row r="1406">
      <c r="E1406" s="115"/>
      <c r="F1406" s="115"/>
      <c r="G1406" s="115"/>
      <c r="H1406" s="115"/>
      <c r="I1406" s="115"/>
      <c r="J1406" s="115"/>
      <c r="K1406" s="115"/>
      <c r="L1406" s="115"/>
      <c r="M1406" s="115"/>
      <c r="N1406" s="115"/>
      <c r="O1406" s="115"/>
    </row>
    <row r="1407">
      <c r="E1407" s="115"/>
      <c r="F1407" s="115"/>
      <c r="G1407" s="115"/>
      <c r="H1407" s="115"/>
      <c r="I1407" s="115"/>
      <c r="J1407" s="115"/>
      <c r="K1407" s="115"/>
      <c r="L1407" s="115"/>
      <c r="M1407" s="115"/>
      <c r="N1407" s="115"/>
      <c r="O1407" s="115"/>
    </row>
    <row r="1408">
      <c r="E1408" s="115"/>
      <c r="F1408" s="115"/>
      <c r="G1408" s="115"/>
      <c r="H1408" s="115"/>
      <c r="I1408" s="115"/>
      <c r="J1408" s="115"/>
      <c r="K1408" s="115"/>
      <c r="L1408" s="115"/>
      <c r="M1408" s="115"/>
      <c r="N1408" s="115"/>
      <c r="O1408" s="115"/>
    </row>
    <row r="1409">
      <c r="E1409" s="115"/>
      <c r="F1409" s="115"/>
      <c r="G1409" s="115"/>
      <c r="H1409" s="115"/>
      <c r="I1409" s="115"/>
      <c r="J1409" s="115"/>
      <c r="K1409" s="115"/>
      <c r="L1409" s="115"/>
      <c r="M1409" s="115"/>
      <c r="N1409" s="115"/>
      <c r="O1409" s="115"/>
    </row>
    <row r="1410">
      <c r="E1410" s="115"/>
      <c r="F1410" s="115"/>
      <c r="G1410" s="115"/>
      <c r="H1410" s="115"/>
      <c r="I1410" s="115"/>
      <c r="J1410" s="115"/>
      <c r="K1410" s="115"/>
      <c r="L1410" s="115"/>
      <c r="M1410" s="115"/>
      <c r="N1410" s="115"/>
      <c r="O1410" s="115"/>
    </row>
    <row r="1411">
      <c r="E1411" s="115"/>
      <c r="F1411" s="115"/>
      <c r="G1411" s="115"/>
      <c r="H1411" s="115"/>
      <c r="I1411" s="115"/>
      <c r="J1411" s="115"/>
      <c r="K1411" s="115"/>
      <c r="L1411" s="115"/>
      <c r="M1411" s="115"/>
      <c r="N1411" s="115"/>
      <c r="O1411" s="115"/>
    </row>
    <row r="1412">
      <c r="E1412" s="115"/>
      <c r="F1412" s="115"/>
      <c r="G1412" s="115"/>
      <c r="H1412" s="115"/>
      <c r="I1412" s="115"/>
      <c r="J1412" s="115"/>
      <c r="K1412" s="115"/>
      <c r="L1412" s="115"/>
      <c r="M1412" s="115"/>
      <c r="N1412" s="115"/>
      <c r="O1412" s="115"/>
    </row>
    <row r="1413">
      <c r="E1413" s="115"/>
      <c r="F1413" s="115"/>
      <c r="G1413" s="115"/>
      <c r="H1413" s="115"/>
      <c r="I1413" s="115"/>
      <c r="J1413" s="115"/>
      <c r="K1413" s="115"/>
      <c r="L1413" s="115"/>
      <c r="M1413" s="115"/>
      <c r="N1413" s="115"/>
      <c r="O1413" s="115"/>
    </row>
    <row r="1414">
      <c r="E1414" s="115"/>
      <c r="F1414" s="115"/>
      <c r="G1414" s="115"/>
      <c r="H1414" s="115"/>
      <c r="I1414" s="115"/>
      <c r="J1414" s="115"/>
      <c r="K1414" s="115"/>
      <c r="L1414" s="115"/>
      <c r="M1414" s="115"/>
      <c r="N1414" s="115"/>
      <c r="O1414" s="115"/>
    </row>
    <row r="1415">
      <c r="E1415" s="115"/>
      <c r="F1415" s="115"/>
      <c r="G1415" s="115"/>
      <c r="H1415" s="115"/>
      <c r="I1415" s="115"/>
      <c r="J1415" s="115"/>
      <c r="K1415" s="115"/>
      <c r="L1415" s="115"/>
      <c r="M1415" s="115"/>
      <c r="N1415" s="115"/>
      <c r="O1415" s="115"/>
    </row>
    <row r="1416">
      <c r="E1416" s="115"/>
      <c r="F1416" s="115"/>
      <c r="G1416" s="115"/>
      <c r="H1416" s="115"/>
      <c r="I1416" s="115"/>
      <c r="J1416" s="115"/>
      <c r="K1416" s="115"/>
      <c r="L1416" s="115"/>
      <c r="M1416" s="115"/>
      <c r="N1416" s="115"/>
      <c r="O1416" s="115"/>
    </row>
    <row r="1417">
      <c r="E1417" s="115"/>
      <c r="F1417" s="115"/>
      <c r="G1417" s="115"/>
      <c r="H1417" s="115"/>
      <c r="I1417" s="115"/>
      <c r="J1417" s="115"/>
      <c r="K1417" s="115"/>
      <c r="L1417" s="115"/>
      <c r="M1417" s="115"/>
      <c r="N1417" s="115"/>
      <c r="O1417" s="115"/>
    </row>
    <row r="1418">
      <c r="E1418" s="115"/>
      <c r="F1418" s="115"/>
      <c r="G1418" s="115"/>
      <c r="H1418" s="115"/>
      <c r="I1418" s="115"/>
      <c r="J1418" s="115"/>
      <c r="K1418" s="115"/>
      <c r="L1418" s="115"/>
      <c r="M1418" s="115"/>
      <c r="N1418" s="115"/>
      <c r="O1418" s="115"/>
    </row>
    <row r="1419">
      <c r="E1419" s="115"/>
      <c r="F1419" s="115"/>
      <c r="G1419" s="115"/>
      <c r="H1419" s="115"/>
      <c r="I1419" s="115"/>
      <c r="J1419" s="115"/>
      <c r="K1419" s="115"/>
      <c r="L1419" s="115"/>
      <c r="M1419" s="115"/>
      <c r="N1419" s="115"/>
      <c r="O1419" s="115"/>
    </row>
    <row r="1420">
      <c r="E1420" s="115"/>
      <c r="F1420" s="115"/>
      <c r="G1420" s="115"/>
      <c r="H1420" s="115"/>
      <c r="I1420" s="115"/>
      <c r="J1420" s="115"/>
      <c r="K1420" s="115"/>
      <c r="L1420" s="115"/>
      <c r="M1420" s="115"/>
      <c r="N1420" s="115"/>
      <c r="O1420" s="115"/>
    </row>
    <row r="1421">
      <c r="E1421" s="115"/>
      <c r="F1421" s="115"/>
      <c r="G1421" s="115"/>
      <c r="H1421" s="115"/>
      <c r="I1421" s="115"/>
      <c r="J1421" s="115"/>
      <c r="K1421" s="115"/>
      <c r="L1421" s="115"/>
      <c r="M1421" s="115"/>
      <c r="N1421" s="115"/>
      <c r="O1421" s="115"/>
    </row>
    <row r="1422">
      <c r="E1422" s="115"/>
      <c r="F1422" s="115"/>
      <c r="G1422" s="115"/>
      <c r="H1422" s="115"/>
      <c r="I1422" s="115"/>
      <c r="J1422" s="115"/>
      <c r="K1422" s="115"/>
      <c r="L1422" s="115"/>
      <c r="M1422" s="115"/>
      <c r="N1422" s="115"/>
      <c r="O1422" s="115"/>
    </row>
    <row r="1423">
      <c r="E1423" s="115"/>
      <c r="F1423" s="115"/>
      <c r="G1423" s="115"/>
      <c r="H1423" s="115"/>
      <c r="I1423" s="115"/>
      <c r="J1423" s="115"/>
      <c r="K1423" s="115"/>
      <c r="L1423" s="115"/>
      <c r="M1423" s="115"/>
      <c r="N1423" s="115"/>
      <c r="O1423" s="115"/>
    </row>
    <row r="1424">
      <c r="E1424" s="115"/>
      <c r="F1424" s="115"/>
      <c r="G1424" s="115"/>
      <c r="H1424" s="115"/>
      <c r="I1424" s="115"/>
      <c r="J1424" s="115"/>
      <c r="K1424" s="115"/>
      <c r="L1424" s="115"/>
      <c r="M1424" s="115"/>
      <c r="N1424" s="115"/>
      <c r="O1424" s="115"/>
    </row>
    <row r="1425">
      <c r="E1425" s="115"/>
      <c r="F1425" s="115"/>
      <c r="G1425" s="115"/>
      <c r="H1425" s="115"/>
      <c r="I1425" s="115"/>
      <c r="J1425" s="115"/>
      <c r="K1425" s="115"/>
      <c r="L1425" s="115"/>
      <c r="M1425" s="115"/>
      <c r="N1425" s="115"/>
      <c r="O1425" s="115"/>
    </row>
    <row r="1426">
      <c r="E1426" s="115"/>
      <c r="F1426" s="115"/>
      <c r="G1426" s="115"/>
      <c r="H1426" s="115"/>
      <c r="I1426" s="115"/>
      <c r="J1426" s="115"/>
      <c r="K1426" s="115"/>
      <c r="L1426" s="115"/>
      <c r="M1426" s="115"/>
      <c r="N1426" s="115"/>
      <c r="O1426" s="115"/>
    </row>
    <row r="1427">
      <c r="E1427" s="115"/>
      <c r="F1427" s="115"/>
      <c r="G1427" s="115"/>
      <c r="H1427" s="115"/>
      <c r="I1427" s="115"/>
      <c r="J1427" s="115"/>
      <c r="K1427" s="115"/>
      <c r="L1427" s="115"/>
      <c r="M1427" s="115"/>
      <c r="N1427" s="115"/>
      <c r="O1427" s="115"/>
    </row>
    <row r="1428">
      <c r="E1428" s="115"/>
      <c r="F1428" s="115"/>
      <c r="G1428" s="115"/>
      <c r="H1428" s="115"/>
      <c r="I1428" s="115"/>
      <c r="J1428" s="115"/>
      <c r="K1428" s="115"/>
      <c r="L1428" s="115"/>
      <c r="M1428" s="115"/>
      <c r="N1428" s="115"/>
      <c r="O1428" s="115"/>
    </row>
    <row r="1429">
      <c r="E1429" s="115"/>
      <c r="F1429" s="115"/>
      <c r="G1429" s="115"/>
      <c r="H1429" s="115"/>
      <c r="I1429" s="115"/>
      <c r="J1429" s="115"/>
      <c r="K1429" s="115"/>
      <c r="L1429" s="115"/>
      <c r="M1429" s="115"/>
      <c r="N1429" s="115"/>
      <c r="O1429" s="115"/>
    </row>
    <row r="1430">
      <c r="E1430" s="115"/>
      <c r="F1430" s="115"/>
      <c r="G1430" s="115"/>
      <c r="H1430" s="115"/>
      <c r="I1430" s="115"/>
      <c r="J1430" s="115"/>
      <c r="K1430" s="115"/>
      <c r="L1430" s="115"/>
      <c r="M1430" s="115"/>
      <c r="N1430" s="115"/>
      <c r="O1430" s="115"/>
    </row>
    <row r="1431">
      <c r="E1431" s="115"/>
      <c r="F1431" s="115"/>
      <c r="G1431" s="115"/>
      <c r="H1431" s="115"/>
      <c r="I1431" s="115"/>
      <c r="J1431" s="115"/>
      <c r="K1431" s="115"/>
      <c r="L1431" s="115"/>
      <c r="M1431" s="115"/>
      <c r="N1431" s="115"/>
      <c r="O1431" s="115"/>
    </row>
    <row r="1432">
      <c r="E1432" s="115"/>
      <c r="F1432" s="115"/>
      <c r="G1432" s="115"/>
      <c r="H1432" s="115"/>
      <c r="I1432" s="115"/>
      <c r="J1432" s="115"/>
      <c r="K1432" s="115"/>
      <c r="L1432" s="115"/>
      <c r="M1432" s="115"/>
      <c r="N1432" s="115"/>
      <c r="O1432" s="115"/>
    </row>
    <row r="1433">
      <c r="E1433" s="115"/>
      <c r="F1433" s="115"/>
      <c r="G1433" s="115"/>
      <c r="H1433" s="115"/>
      <c r="I1433" s="115"/>
      <c r="J1433" s="115"/>
      <c r="K1433" s="115"/>
      <c r="L1433" s="115"/>
      <c r="M1433" s="115"/>
      <c r="N1433" s="115"/>
      <c r="O1433" s="115"/>
    </row>
    <row r="1434">
      <c r="E1434" s="115"/>
      <c r="F1434" s="115"/>
      <c r="G1434" s="115"/>
      <c r="H1434" s="115"/>
      <c r="I1434" s="115"/>
      <c r="J1434" s="115"/>
      <c r="K1434" s="115"/>
      <c r="L1434" s="115"/>
      <c r="M1434" s="115"/>
      <c r="N1434" s="115"/>
      <c r="O1434" s="115"/>
    </row>
    <row r="1435">
      <c r="E1435" s="115"/>
      <c r="F1435" s="115"/>
      <c r="G1435" s="115"/>
      <c r="H1435" s="115"/>
      <c r="I1435" s="115"/>
      <c r="J1435" s="115"/>
      <c r="K1435" s="115"/>
      <c r="L1435" s="115"/>
      <c r="M1435" s="115"/>
      <c r="N1435" s="115"/>
      <c r="O1435" s="115"/>
    </row>
    <row r="1436">
      <c r="E1436" s="115"/>
      <c r="F1436" s="115"/>
      <c r="G1436" s="115"/>
      <c r="H1436" s="115"/>
      <c r="I1436" s="115"/>
      <c r="J1436" s="115"/>
      <c r="K1436" s="115"/>
      <c r="L1436" s="115"/>
      <c r="M1436" s="115"/>
      <c r="N1436" s="115"/>
      <c r="O1436" s="115"/>
    </row>
    <row r="1437">
      <c r="E1437" s="115"/>
      <c r="F1437" s="115"/>
      <c r="G1437" s="115"/>
      <c r="H1437" s="115"/>
      <c r="I1437" s="115"/>
      <c r="J1437" s="115"/>
      <c r="K1437" s="115"/>
      <c r="L1437" s="115"/>
      <c r="M1437" s="115"/>
      <c r="N1437" s="115"/>
      <c r="O1437" s="115"/>
    </row>
    <row r="1438">
      <c r="E1438" s="115"/>
      <c r="F1438" s="115"/>
      <c r="G1438" s="115"/>
      <c r="H1438" s="115"/>
      <c r="I1438" s="115"/>
      <c r="J1438" s="115"/>
      <c r="K1438" s="115"/>
      <c r="L1438" s="115"/>
      <c r="M1438" s="115"/>
      <c r="N1438" s="115"/>
      <c r="O1438" s="115"/>
    </row>
    <row r="1439">
      <c r="E1439" s="115"/>
      <c r="F1439" s="115"/>
      <c r="G1439" s="115"/>
      <c r="H1439" s="115"/>
      <c r="I1439" s="115"/>
      <c r="J1439" s="115"/>
      <c r="K1439" s="115"/>
      <c r="L1439" s="115"/>
      <c r="M1439" s="115"/>
      <c r="N1439" s="115"/>
      <c r="O1439" s="115"/>
    </row>
    <row r="1440">
      <c r="E1440" s="115"/>
      <c r="F1440" s="115"/>
      <c r="G1440" s="115"/>
      <c r="H1440" s="115"/>
      <c r="I1440" s="115"/>
      <c r="J1440" s="115"/>
      <c r="K1440" s="115"/>
      <c r="L1440" s="115"/>
      <c r="M1440" s="115"/>
      <c r="N1440" s="115"/>
      <c r="O1440" s="115"/>
    </row>
    <row r="1441">
      <c r="E1441" s="115"/>
      <c r="F1441" s="115"/>
      <c r="G1441" s="115"/>
      <c r="H1441" s="115"/>
      <c r="I1441" s="115"/>
      <c r="J1441" s="115"/>
      <c r="K1441" s="115"/>
      <c r="L1441" s="115"/>
      <c r="M1441" s="115"/>
      <c r="N1441" s="115"/>
      <c r="O1441" s="115"/>
    </row>
    <row r="1442">
      <c r="E1442" s="115"/>
      <c r="F1442" s="115"/>
      <c r="G1442" s="115"/>
      <c r="H1442" s="115"/>
      <c r="I1442" s="115"/>
      <c r="J1442" s="115"/>
      <c r="K1442" s="115"/>
      <c r="L1442" s="115"/>
      <c r="M1442" s="115"/>
      <c r="N1442" s="115"/>
      <c r="O1442" s="115"/>
    </row>
    <row r="1443">
      <c r="E1443" s="115"/>
      <c r="F1443" s="115"/>
      <c r="G1443" s="115"/>
      <c r="H1443" s="115"/>
      <c r="I1443" s="115"/>
      <c r="J1443" s="115"/>
      <c r="K1443" s="115"/>
      <c r="L1443" s="115"/>
      <c r="M1443" s="115"/>
      <c r="N1443" s="115"/>
      <c r="O1443" s="115"/>
    </row>
    <row r="1444">
      <c r="E1444" s="115"/>
      <c r="F1444" s="115"/>
      <c r="G1444" s="115"/>
      <c r="H1444" s="115"/>
      <c r="I1444" s="115"/>
      <c r="J1444" s="115"/>
      <c r="K1444" s="115"/>
      <c r="L1444" s="115"/>
      <c r="M1444" s="115"/>
      <c r="N1444" s="115"/>
      <c r="O1444" s="115"/>
    </row>
    <row r="1445">
      <c r="E1445" s="115"/>
      <c r="F1445" s="115"/>
      <c r="G1445" s="115"/>
      <c r="H1445" s="115"/>
      <c r="I1445" s="115"/>
      <c r="J1445" s="115"/>
      <c r="K1445" s="115"/>
      <c r="L1445" s="115"/>
      <c r="M1445" s="115"/>
      <c r="N1445" s="115"/>
      <c r="O1445" s="115"/>
    </row>
    <row r="1446">
      <c r="E1446" s="115"/>
      <c r="F1446" s="115"/>
      <c r="G1446" s="115"/>
      <c r="H1446" s="115"/>
      <c r="I1446" s="115"/>
      <c r="J1446" s="115"/>
      <c r="K1446" s="115"/>
      <c r="L1446" s="115"/>
      <c r="M1446" s="115"/>
      <c r="N1446" s="115"/>
      <c r="O1446" s="115"/>
    </row>
    <row r="1447">
      <c r="E1447" s="115"/>
      <c r="F1447" s="115"/>
      <c r="G1447" s="115"/>
      <c r="H1447" s="115"/>
      <c r="I1447" s="115"/>
      <c r="J1447" s="115"/>
      <c r="K1447" s="115"/>
      <c r="L1447" s="115"/>
      <c r="M1447" s="115"/>
      <c r="N1447" s="115"/>
      <c r="O1447" s="115"/>
    </row>
    <row r="1448">
      <c r="E1448" s="115"/>
      <c r="F1448" s="115"/>
      <c r="G1448" s="115"/>
      <c r="H1448" s="115"/>
      <c r="I1448" s="115"/>
      <c r="J1448" s="115"/>
      <c r="K1448" s="115"/>
      <c r="L1448" s="115"/>
      <c r="M1448" s="115"/>
      <c r="N1448" s="115"/>
      <c r="O1448" s="115"/>
    </row>
    <row r="1449">
      <c r="E1449" s="115"/>
      <c r="F1449" s="115"/>
      <c r="G1449" s="115"/>
      <c r="H1449" s="115"/>
      <c r="I1449" s="115"/>
      <c r="J1449" s="115"/>
      <c r="K1449" s="115"/>
      <c r="L1449" s="115"/>
      <c r="M1449" s="115"/>
      <c r="N1449" s="115"/>
      <c r="O1449" s="115"/>
    </row>
    <row r="1450">
      <c r="E1450" s="115"/>
      <c r="F1450" s="115"/>
      <c r="G1450" s="115"/>
      <c r="H1450" s="115"/>
      <c r="I1450" s="115"/>
      <c r="J1450" s="115"/>
      <c r="K1450" s="115"/>
      <c r="L1450" s="115"/>
      <c r="M1450" s="115"/>
      <c r="N1450" s="115"/>
      <c r="O1450" s="115"/>
    </row>
    <row r="1451">
      <c r="E1451" s="115"/>
      <c r="F1451" s="115"/>
      <c r="G1451" s="115"/>
      <c r="H1451" s="115"/>
      <c r="I1451" s="115"/>
      <c r="J1451" s="115"/>
      <c r="K1451" s="115"/>
      <c r="L1451" s="115"/>
      <c r="M1451" s="115"/>
      <c r="N1451" s="115"/>
      <c r="O1451" s="115"/>
    </row>
    <row r="1452">
      <c r="E1452" s="115"/>
      <c r="F1452" s="115"/>
      <c r="G1452" s="115"/>
      <c r="H1452" s="115"/>
      <c r="I1452" s="115"/>
      <c r="J1452" s="115"/>
      <c r="K1452" s="115"/>
      <c r="L1452" s="115"/>
      <c r="M1452" s="115"/>
      <c r="N1452" s="115"/>
      <c r="O1452" s="115"/>
    </row>
    <row r="1453">
      <c r="E1453" s="115"/>
      <c r="F1453" s="115"/>
      <c r="G1453" s="115"/>
      <c r="H1453" s="115"/>
      <c r="I1453" s="115"/>
      <c r="J1453" s="115"/>
      <c r="K1453" s="115"/>
      <c r="L1453" s="115"/>
      <c r="M1453" s="115"/>
      <c r="N1453" s="115"/>
      <c r="O1453" s="115"/>
    </row>
    <row r="1454">
      <c r="E1454" s="115"/>
      <c r="F1454" s="115"/>
      <c r="G1454" s="115"/>
      <c r="H1454" s="115"/>
      <c r="I1454" s="115"/>
      <c r="J1454" s="115"/>
      <c r="K1454" s="115"/>
      <c r="L1454" s="115"/>
      <c r="M1454" s="115"/>
      <c r="N1454" s="115"/>
      <c r="O1454" s="115"/>
    </row>
    <row r="1455">
      <c r="E1455" s="115"/>
      <c r="F1455" s="115"/>
      <c r="G1455" s="115"/>
      <c r="H1455" s="115"/>
      <c r="I1455" s="115"/>
      <c r="J1455" s="115"/>
      <c r="K1455" s="115"/>
      <c r="L1455" s="115"/>
      <c r="M1455" s="115"/>
      <c r="N1455" s="115"/>
      <c r="O1455" s="115"/>
    </row>
    <row r="1456">
      <c r="E1456" s="115"/>
      <c r="F1456" s="115"/>
      <c r="G1456" s="115"/>
      <c r="H1456" s="115"/>
      <c r="I1456" s="115"/>
      <c r="J1456" s="115"/>
      <c r="K1456" s="115"/>
      <c r="L1456" s="115"/>
      <c r="M1456" s="115"/>
      <c r="N1456" s="115"/>
      <c r="O1456" s="115"/>
    </row>
    <row r="1457">
      <c r="E1457" s="115"/>
      <c r="F1457" s="115"/>
      <c r="G1457" s="115"/>
      <c r="H1457" s="115"/>
      <c r="I1457" s="115"/>
      <c r="J1457" s="115"/>
      <c r="K1457" s="115"/>
      <c r="L1457" s="115"/>
      <c r="M1457" s="115"/>
      <c r="N1457" s="115"/>
      <c r="O1457" s="115"/>
    </row>
    <row r="1458">
      <c r="E1458" s="115"/>
      <c r="F1458" s="115"/>
      <c r="G1458" s="115"/>
      <c r="H1458" s="115"/>
      <c r="I1458" s="115"/>
      <c r="J1458" s="115"/>
      <c r="K1458" s="115"/>
      <c r="L1458" s="115"/>
      <c r="M1458" s="115"/>
      <c r="N1458" s="115"/>
      <c r="O1458" s="115"/>
    </row>
    <row r="1459">
      <c r="E1459" s="115"/>
      <c r="F1459" s="115"/>
      <c r="G1459" s="115"/>
      <c r="H1459" s="115"/>
      <c r="I1459" s="115"/>
      <c r="J1459" s="115"/>
      <c r="K1459" s="115"/>
      <c r="L1459" s="115"/>
      <c r="M1459" s="115"/>
      <c r="N1459" s="115"/>
      <c r="O1459" s="115"/>
    </row>
    <row r="1460">
      <c r="E1460" s="115"/>
      <c r="F1460" s="115"/>
      <c r="G1460" s="115"/>
      <c r="H1460" s="115"/>
      <c r="I1460" s="115"/>
      <c r="J1460" s="115"/>
      <c r="K1460" s="115"/>
      <c r="L1460" s="115"/>
      <c r="M1460" s="115"/>
      <c r="N1460" s="115"/>
      <c r="O1460" s="115"/>
    </row>
    <row r="1461">
      <c r="E1461" s="115"/>
      <c r="F1461" s="115"/>
      <c r="G1461" s="115"/>
      <c r="H1461" s="115"/>
      <c r="I1461" s="115"/>
      <c r="J1461" s="115"/>
      <c r="K1461" s="115"/>
      <c r="L1461" s="115"/>
      <c r="M1461" s="115"/>
      <c r="N1461" s="115"/>
      <c r="O1461" s="115"/>
    </row>
    <row r="1462">
      <c r="E1462" s="115"/>
      <c r="F1462" s="115"/>
      <c r="G1462" s="115"/>
      <c r="H1462" s="115"/>
      <c r="I1462" s="115"/>
      <c r="J1462" s="115"/>
      <c r="K1462" s="115"/>
      <c r="L1462" s="115"/>
      <c r="M1462" s="115"/>
      <c r="N1462" s="115"/>
      <c r="O1462" s="115"/>
    </row>
    <row r="1463">
      <c r="E1463" s="115"/>
      <c r="F1463" s="115"/>
      <c r="G1463" s="115"/>
      <c r="H1463" s="115"/>
      <c r="I1463" s="115"/>
      <c r="J1463" s="115"/>
      <c r="K1463" s="115"/>
      <c r="L1463" s="115"/>
      <c r="M1463" s="115"/>
      <c r="N1463" s="115"/>
      <c r="O1463" s="115"/>
    </row>
    <row r="1464">
      <c r="E1464" s="115"/>
      <c r="F1464" s="115"/>
      <c r="G1464" s="115"/>
      <c r="H1464" s="115"/>
      <c r="I1464" s="115"/>
      <c r="J1464" s="115"/>
      <c r="K1464" s="115"/>
      <c r="L1464" s="115"/>
      <c r="M1464" s="115"/>
      <c r="N1464" s="115"/>
      <c r="O1464" s="115"/>
    </row>
    <row r="1465">
      <c r="E1465" s="115"/>
      <c r="F1465" s="115"/>
      <c r="G1465" s="115"/>
      <c r="H1465" s="115"/>
      <c r="I1465" s="115"/>
      <c r="J1465" s="115"/>
      <c r="K1465" s="115"/>
      <c r="L1465" s="115"/>
      <c r="M1465" s="115"/>
      <c r="N1465" s="115"/>
      <c r="O1465" s="115"/>
    </row>
    <row r="1466">
      <c r="E1466" s="115"/>
      <c r="F1466" s="115"/>
      <c r="G1466" s="115"/>
      <c r="H1466" s="115"/>
      <c r="I1466" s="115"/>
      <c r="J1466" s="115"/>
      <c r="K1466" s="115"/>
      <c r="L1466" s="115"/>
      <c r="M1466" s="115"/>
      <c r="N1466" s="115"/>
      <c r="O1466" s="115"/>
    </row>
    <row r="1467">
      <c r="E1467" s="115"/>
      <c r="F1467" s="115"/>
      <c r="G1467" s="115"/>
      <c r="H1467" s="115"/>
      <c r="I1467" s="115"/>
      <c r="J1467" s="115"/>
      <c r="K1467" s="115"/>
      <c r="L1467" s="115"/>
      <c r="M1467" s="115"/>
      <c r="N1467" s="115"/>
      <c r="O1467" s="115"/>
    </row>
    <row r="1468">
      <c r="E1468" s="115"/>
      <c r="F1468" s="115"/>
      <c r="G1468" s="115"/>
      <c r="H1468" s="115"/>
      <c r="I1468" s="115"/>
      <c r="J1468" s="115"/>
      <c r="K1468" s="115"/>
      <c r="L1468" s="115"/>
      <c r="M1468" s="115"/>
      <c r="N1468" s="115"/>
      <c r="O1468" s="115"/>
    </row>
    <row r="1469">
      <c r="E1469" s="115"/>
      <c r="F1469" s="115"/>
      <c r="G1469" s="115"/>
      <c r="H1469" s="115"/>
      <c r="I1469" s="115"/>
      <c r="J1469" s="115"/>
      <c r="K1469" s="115"/>
      <c r="L1469" s="115"/>
      <c r="M1469" s="115"/>
      <c r="N1469" s="115"/>
      <c r="O1469" s="115"/>
    </row>
    <row r="1470">
      <c r="E1470" s="115"/>
      <c r="F1470" s="115"/>
      <c r="G1470" s="115"/>
      <c r="H1470" s="115"/>
      <c r="I1470" s="115"/>
      <c r="J1470" s="115"/>
      <c r="K1470" s="115"/>
      <c r="L1470" s="115"/>
      <c r="M1470" s="115"/>
      <c r="N1470" s="115"/>
      <c r="O1470" s="115"/>
    </row>
    <row r="1471">
      <c r="E1471" s="115"/>
      <c r="F1471" s="115"/>
      <c r="G1471" s="115"/>
      <c r="H1471" s="115"/>
      <c r="I1471" s="115"/>
      <c r="J1471" s="115"/>
      <c r="K1471" s="115"/>
      <c r="L1471" s="115"/>
      <c r="M1471" s="115"/>
      <c r="N1471" s="115"/>
      <c r="O1471" s="115"/>
    </row>
    <row r="1472">
      <c r="E1472" s="115"/>
      <c r="F1472" s="115"/>
      <c r="G1472" s="115"/>
      <c r="H1472" s="115"/>
      <c r="I1472" s="115"/>
      <c r="J1472" s="115"/>
      <c r="K1472" s="115"/>
      <c r="L1472" s="115"/>
      <c r="M1472" s="115"/>
      <c r="N1472" s="115"/>
      <c r="O1472" s="115"/>
    </row>
    <row r="1473">
      <c r="E1473" s="115"/>
      <c r="F1473" s="115"/>
      <c r="G1473" s="115"/>
      <c r="H1473" s="115"/>
      <c r="I1473" s="115"/>
      <c r="J1473" s="115"/>
      <c r="K1473" s="115"/>
      <c r="L1473" s="115"/>
      <c r="M1473" s="115"/>
      <c r="N1473" s="115"/>
      <c r="O1473" s="115"/>
    </row>
    <row r="1474">
      <c r="E1474" s="115"/>
      <c r="F1474" s="115"/>
      <c r="G1474" s="115"/>
      <c r="H1474" s="115"/>
      <c r="I1474" s="115"/>
      <c r="J1474" s="115"/>
      <c r="K1474" s="115"/>
      <c r="L1474" s="115"/>
      <c r="M1474" s="115"/>
      <c r="N1474" s="115"/>
      <c r="O1474" s="115"/>
    </row>
    <row r="1475">
      <c r="E1475" s="115"/>
      <c r="F1475" s="115"/>
      <c r="G1475" s="115"/>
      <c r="H1475" s="115"/>
      <c r="I1475" s="115"/>
      <c r="J1475" s="115"/>
      <c r="K1475" s="115"/>
      <c r="L1475" s="115"/>
      <c r="M1475" s="115"/>
      <c r="N1475" s="115"/>
      <c r="O1475" s="115"/>
    </row>
    <row r="1476">
      <c r="E1476" s="115"/>
      <c r="F1476" s="115"/>
      <c r="G1476" s="115"/>
      <c r="H1476" s="115"/>
      <c r="I1476" s="115"/>
      <c r="J1476" s="115"/>
      <c r="K1476" s="115"/>
      <c r="L1476" s="115"/>
      <c r="M1476" s="115"/>
      <c r="N1476" s="115"/>
      <c r="O1476" s="115"/>
    </row>
    <row r="1477">
      <c r="E1477" s="115"/>
      <c r="F1477" s="115"/>
      <c r="G1477" s="115"/>
      <c r="H1477" s="115"/>
      <c r="I1477" s="115"/>
      <c r="J1477" s="115"/>
      <c r="K1477" s="115"/>
      <c r="L1477" s="115"/>
      <c r="M1477" s="115"/>
      <c r="N1477" s="115"/>
      <c r="O1477" s="115"/>
    </row>
    <row r="1478">
      <c r="E1478" s="115"/>
      <c r="F1478" s="115"/>
      <c r="G1478" s="115"/>
      <c r="H1478" s="115"/>
      <c r="I1478" s="115"/>
      <c r="J1478" s="115"/>
      <c r="K1478" s="115"/>
      <c r="L1478" s="115"/>
      <c r="M1478" s="115"/>
      <c r="N1478" s="115"/>
      <c r="O1478" s="115"/>
    </row>
    <row r="1479">
      <c r="E1479" s="115"/>
      <c r="F1479" s="115"/>
      <c r="G1479" s="115"/>
      <c r="H1479" s="115"/>
      <c r="I1479" s="115"/>
      <c r="J1479" s="115"/>
      <c r="K1479" s="115"/>
      <c r="L1479" s="115"/>
      <c r="M1479" s="115"/>
      <c r="N1479" s="115"/>
      <c r="O1479" s="115"/>
    </row>
    <row r="1480">
      <c r="E1480" s="115"/>
      <c r="F1480" s="115"/>
      <c r="G1480" s="115"/>
      <c r="H1480" s="115"/>
      <c r="I1480" s="115"/>
      <c r="J1480" s="115"/>
      <c r="K1480" s="115"/>
      <c r="L1480" s="115"/>
      <c r="M1480" s="115"/>
      <c r="N1480" s="115"/>
      <c r="O1480" s="115"/>
    </row>
    <row r="1481">
      <c r="E1481" s="115"/>
      <c r="F1481" s="115"/>
      <c r="G1481" s="115"/>
      <c r="H1481" s="115"/>
      <c r="I1481" s="115"/>
      <c r="J1481" s="115"/>
      <c r="K1481" s="115"/>
      <c r="L1481" s="115"/>
      <c r="M1481" s="115"/>
      <c r="N1481" s="115"/>
      <c r="O1481" s="115"/>
    </row>
    <row r="1482">
      <c r="E1482" s="115"/>
      <c r="F1482" s="115"/>
      <c r="G1482" s="115"/>
      <c r="H1482" s="115"/>
      <c r="I1482" s="115"/>
      <c r="J1482" s="115"/>
      <c r="K1482" s="115"/>
      <c r="L1482" s="115"/>
      <c r="M1482" s="115"/>
      <c r="N1482" s="115"/>
      <c r="O1482" s="115"/>
    </row>
    <row r="1483">
      <c r="E1483" s="115"/>
      <c r="F1483" s="115"/>
      <c r="G1483" s="115"/>
      <c r="H1483" s="115"/>
      <c r="I1483" s="115"/>
      <c r="J1483" s="115"/>
      <c r="K1483" s="115"/>
      <c r="L1483" s="115"/>
      <c r="M1483" s="115"/>
      <c r="N1483" s="115"/>
      <c r="O1483" s="115"/>
    </row>
    <row r="1484">
      <c r="E1484" s="115"/>
      <c r="F1484" s="115"/>
      <c r="G1484" s="115"/>
      <c r="H1484" s="115"/>
      <c r="I1484" s="115"/>
      <c r="J1484" s="115"/>
      <c r="K1484" s="115"/>
      <c r="L1484" s="115"/>
      <c r="M1484" s="115"/>
      <c r="N1484" s="115"/>
      <c r="O1484" s="115"/>
    </row>
    <row r="1485">
      <c r="E1485" s="115"/>
      <c r="F1485" s="115"/>
      <c r="G1485" s="115"/>
      <c r="H1485" s="115"/>
      <c r="I1485" s="115"/>
      <c r="J1485" s="115"/>
      <c r="K1485" s="115"/>
      <c r="L1485" s="115"/>
      <c r="M1485" s="115"/>
      <c r="N1485" s="115"/>
      <c r="O1485" s="115"/>
    </row>
    <row r="1486">
      <c r="E1486" s="115"/>
      <c r="F1486" s="115"/>
      <c r="G1486" s="115"/>
      <c r="H1486" s="115"/>
      <c r="I1486" s="115"/>
      <c r="J1486" s="115"/>
      <c r="K1486" s="115"/>
      <c r="L1486" s="115"/>
      <c r="M1486" s="115"/>
      <c r="N1486" s="115"/>
      <c r="O1486" s="115"/>
    </row>
    <row r="1487">
      <c r="E1487" s="115"/>
      <c r="F1487" s="115"/>
      <c r="G1487" s="115"/>
      <c r="H1487" s="115"/>
      <c r="I1487" s="115"/>
      <c r="J1487" s="115"/>
      <c r="K1487" s="115"/>
      <c r="L1487" s="115"/>
      <c r="M1487" s="115"/>
      <c r="N1487" s="115"/>
      <c r="O1487" s="115"/>
    </row>
    <row r="1488">
      <c r="E1488" s="115"/>
      <c r="F1488" s="115"/>
      <c r="G1488" s="115"/>
      <c r="H1488" s="115"/>
      <c r="I1488" s="115"/>
      <c r="J1488" s="115"/>
      <c r="K1488" s="115"/>
      <c r="L1488" s="115"/>
      <c r="M1488" s="115"/>
      <c r="N1488" s="115"/>
      <c r="O1488" s="115"/>
    </row>
    <row r="1489">
      <c r="E1489" s="115"/>
      <c r="F1489" s="115"/>
      <c r="G1489" s="115"/>
      <c r="H1489" s="115"/>
      <c r="I1489" s="115"/>
      <c r="J1489" s="115"/>
      <c r="K1489" s="115"/>
      <c r="L1489" s="115"/>
      <c r="M1489" s="115"/>
      <c r="N1489" s="115"/>
      <c r="O1489" s="115"/>
    </row>
    <row r="1490">
      <c r="E1490" s="115"/>
      <c r="F1490" s="115"/>
      <c r="G1490" s="115"/>
      <c r="H1490" s="115"/>
      <c r="I1490" s="115"/>
      <c r="J1490" s="115"/>
      <c r="K1490" s="115"/>
      <c r="L1490" s="115"/>
      <c r="M1490" s="115"/>
      <c r="N1490" s="115"/>
      <c r="O1490" s="115"/>
    </row>
    <row r="1491">
      <c r="E1491" s="115"/>
      <c r="F1491" s="115"/>
      <c r="G1491" s="115"/>
      <c r="H1491" s="115"/>
      <c r="I1491" s="115"/>
      <c r="J1491" s="115"/>
      <c r="K1491" s="115"/>
      <c r="L1491" s="115"/>
      <c r="M1491" s="115"/>
      <c r="N1491" s="115"/>
      <c r="O1491" s="115"/>
    </row>
    <row r="1492">
      <c r="E1492" s="115"/>
      <c r="F1492" s="115"/>
      <c r="G1492" s="115"/>
      <c r="H1492" s="115"/>
      <c r="I1492" s="115"/>
      <c r="J1492" s="115"/>
      <c r="K1492" s="115"/>
      <c r="L1492" s="115"/>
      <c r="M1492" s="115"/>
      <c r="N1492" s="115"/>
      <c r="O1492" s="115"/>
    </row>
    <row r="1493">
      <c r="E1493" s="115"/>
      <c r="F1493" s="115"/>
      <c r="G1493" s="115"/>
      <c r="H1493" s="115"/>
      <c r="I1493" s="115"/>
      <c r="J1493" s="115"/>
      <c r="K1493" s="115"/>
      <c r="L1493" s="115"/>
      <c r="M1493" s="115"/>
      <c r="N1493" s="115"/>
      <c r="O1493" s="115"/>
    </row>
    <row r="1494">
      <c r="E1494" s="115"/>
      <c r="F1494" s="115"/>
      <c r="G1494" s="115"/>
      <c r="H1494" s="115"/>
      <c r="I1494" s="115"/>
      <c r="J1494" s="115"/>
      <c r="K1494" s="115"/>
      <c r="L1494" s="115"/>
      <c r="M1494" s="115"/>
      <c r="N1494" s="115"/>
      <c r="O1494" s="115"/>
    </row>
    <row r="1495">
      <c r="E1495" s="115"/>
      <c r="F1495" s="115"/>
      <c r="G1495" s="115"/>
      <c r="H1495" s="115"/>
      <c r="I1495" s="115"/>
      <c r="J1495" s="115"/>
      <c r="K1495" s="115"/>
      <c r="L1495" s="115"/>
      <c r="M1495" s="115"/>
      <c r="N1495" s="115"/>
      <c r="O1495" s="115"/>
    </row>
    <row r="1496">
      <c r="E1496" s="115"/>
      <c r="F1496" s="115"/>
      <c r="G1496" s="115"/>
      <c r="H1496" s="115"/>
      <c r="I1496" s="115"/>
      <c r="J1496" s="115"/>
      <c r="K1496" s="115"/>
      <c r="L1496" s="115"/>
      <c r="M1496" s="115"/>
      <c r="N1496" s="115"/>
      <c r="O1496" s="115"/>
    </row>
    <row r="1497">
      <c r="E1497" s="115"/>
      <c r="F1497" s="115"/>
      <c r="G1497" s="115"/>
      <c r="H1497" s="115"/>
      <c r="I1497" s="115"/>
      <c r="J1497" s="115"/>
      <c r="K1497" s="115"/>
      <c r="L1497" s="115"/>
      <c r="M1497" s="115"/>
      <c r="N1497" s="115"/>
      <c r="O1497" s="115"/>
    </row>
    <row r="1498">
      <c r="E1498" s="115"/>
      <c r="F1498" s="115"/>
      <c r="G1498" s="115"/>
      <c r="H1498" s="115"/>
      <c r="I1498" s="115"/>
      <c r="J1498" s="115"/>
      <c r="K1498" s="115"/>
      <c r="L1498" s="115"/>
      <c r="M1498" s="115"/>
      <c r="N1498" s="115"/>
      <c r="O1498" s="115"/>
    </row>
    <row r="1499">
      <c r="E1499" s="115"/>
      <c r="F1499" s="115"/>
      <c r="G1499" s="115"/>
      <c r="H1499" s="115"/>
      <c r="I1499" s="115"/>
      <c r="J1499" s="115"/>
      <c r="K1499" s="115"/>
      <c r="L1499" s="115"/>
      <c r="M1499" s="115"/>
      <c r="N1499" s="115"/>
      <c r="O1499" s="115"/>
    </row>
    <row r="1500">
      <c r="E1500" s="115"/>
      <c r="F1500" s="115"/>
      <c r="G1500" s="115"/>
      <c r="H1500" s="115"/>
      <c r="I1500" s="115"/>
      <c r="J1500" s="115"/>
      <c r="K1500" s="115"/>
      <c r="L1500" s="115"/>
      <c r="M1500" s="115"/>
      <c r="N1500" s="115"/>
      <c r="O1500" s="115"/>
    </row>
    <row r="1501">
      <c r="E1501" s="115"/>
      <c r="F1501" s="115"/>
      <c r="G1501" s="115"/>
      <c r="H1501" s="115"/>
      <c r="I1501" s="115"/>
      <c r="J1501" s="115"/>
      <c r="K1501" s="115"/>
      <c r="L1501" s="115"/>
      <c r="M1501" s="115"/>
      <c r="N1501" s="115"/>
      <c r="O1501" s="115"/>
    </row>
    <row r="1502">
      <c r="E1502" s="115"/>
      <c r="F1502" s="115"/>
      <c r="G1502" s="115"/>
      <c r="H1502" s="115"/>
      <c r="I1502" s="115"/>
      <c r="J1502" s="115"/>
      <c r="K1502" s="115"/>
      <c r="L1502" s="115"/>
      <c r="M1502" s="115"/>
      <c r="N1502" s="115"/>
      <c r="O1502" s="115"/>
    </row>
    <row r="1503">
      <c r="E1503" s="115"/>
      <c r="F1503" s="115"/>
      <c r="G1503" s="115"/>
      <c r="H1503" s="115"/>
      <c r="I1503" s="115"/>
      <c r="J1503" s="115"/>
      <c r="K1503" s="115"/>
      <c r="L1503" s="115"/>
      <c r="M1503" s="115"/>
      <c r="N1503" s="115"/>
      <c r="O1503" s="115"/>
    </row>
    <row r="1504">
      <c r="E1504" s="115"/>
      <c r="F1504" s="115"/>
      <c r="G1504" s="115"/>
      <c r="H1504" s="115"/>
      <c r="I1504" s="115"/>
      <c r="J1504" s="115"/>
      <c r="K1504" s="115"/>
      <c r="L1504" s="115"/>
      <c r="M1504" s="115"/>
      <c r="N1504" s="115"/>
      <c r="O1504" s="115"/>
    </row>
    <row r="1505">
      <c r="E1505" s="115"/>
      <c r="F1505" s="115"/>
      <c r="G1505" s="115"/>
      <c r="H1505" s="115"/>
      <c r="I1505" s="115"/>
      <c r="J1505" s="115"/>
      <c r="K1505" s="115"/>
      <c r="L1505" s="115"/>
      <c r="M1505" s="115"/>
      <c r="N1505" s="115"/>
      <c r="O1505" s="115"/>
    </row>
    <row r="1506">
      <c r="E1506" s="115"/>
      <c r="F1506" s="115"/>
      <c r="G1506" s="115"/>
      <c r="H1506" s="115"/>
      <c r="I1506" s="115"/>
      <c r="J1506" s="115"/>
      <c r="K1506" s="115"/>
      <c r="L1506" s="115"/>
      <c r="M1506" s="115"/>
      <c r="N1506" s="115"/>
      <c r="O1506" s="115"/>
    </row>
    <row r="1507">
      <c r="E1507" s="115"/>
      <c r="F1507" s="115"/>
      <c r="G1507" s="115"/>
      <c r="H1507" s="115"/>
      <c r="I1507" s="115"/>
      <c r="J1507" s="115"/>
      <c r="K1507" s="115"/>
      <c r="L1507" s="115"/>
      <c r="M1507" s="115"/>
      <c r="N1507" s="115"/>
      <c r="O1507" s="115"/>
    </row>
    <row r="1508">
      <c r="E1508" s="115"/>
      <c r="F1508" s="115"/>
      <c r="G1508" s="115"/>
      <c r="H1508" s="115"/>
      <c r="I1508" s="115"/>
      <c r="J1508" s="115"/>
      <c r="K1508" s="115"/>
      <c r="L1508" s="115"/>
      <c r="M1508" s="115"/>
      <c r="N1508" s="115"/>
      <c r="O1508" s="115"/>
    </row>
    <row r="1509">
      <c r="E1509" s="115"/>
      <c r="F1509" s="115"/>
      <c r="G1509" s="115"/>
      <c r="H1509" s="115"/>
      <c r="I1509" s="115"/>
      <c r="J1509" s="115"/>
      <c r="K1509" s="115"/>
      <c r="L1509" s="115"/>
      <c r="M1509" s="115"/>
      <c r="N1509" s="115"/>
      <c r="O1509" s="115"/>
    </row>
    <row r="1510">
      <c r="E1510" s="115"/>
      <c r="F1510" s="115"/>
      <c r="G1510" s="115"/>
      <c r="H1510" s="115"/>
      <c r="I1510" s="115"/>
      <c r="J1510" s="115"/>
      <c r="K1510" s="115"/>
      <c r="L1510" s="115"/>
      <c r="M1510" s="115"/>
      <c r="N1510" s="115"/>
      <c r="O1510" s="115"/>
    </row>
    <row r="1511">
      <c r="E1511" s="115"/>
      <c r="F1511" s="115"/>
      <c r="G1511" s="115"/>
      <c r="H1511" s="115"/>
      <c r="I1511" s="115"/>
      <c r="J1511" s="115"/>
      <c r="K1511" s="115"/>
      <c r="L1511" s="115"/>
      <c r="M1511" s="115"/>
      <c r="N1511" s="115"/>
      <c r="O1511" s="115"/>
    </row>
    <row r="1512">
      <c r="E1512" s="115"/>
      <c r="F1512" s="115"/>
      <c r="G1512" s="115"/>
      <c r="H1512" s="115"/>
      <c r="I1512" s="115"/>
      <c r="J1512" s="115"/>
      <c r="K1512" s="115"/>
      <c r="L1512" s="115"/>
      <c r="M1512" s="115"/>
      <c r="N1512" s="115"/>
      <c r="O1512" s="115"/>
    </row>
    <row r="1513">
      <c r="E1513" s="115"/>
      <c r="F1513" s="115"/>
      <c r="G1513" s="115"/>
      <c r="H1513" s="115"/>
      <c r="I1513" s="115"/>
      <c r="J1513" s="115"/>
      <c r="K1513" s="115"/>
      <c r="L1513" s="115"/>
      <c r="M1513" s="115"/>
      <c r="N1513" s="115"/>
      <c r="O1513" s="115"/>
    </row>
    <row r="1514">
      <c r="E1514" s="115"/>
      <c r="F1514" s="115"/>
      <c r="G1514" s="115"/>
      <c r="H1514" s="115"/>
      <c r="I1514" s="115"/>
      <c r="J1514" s="115"/>
      <c r="K1514" s="115"/>
      <c r="L1514" s="115"/>
      <c r="M1514" s="115"/>
      <c r="N1514" s="115"/>
      <c r="O1514" s="115"/>
    </row>
    <row r="1515">
      <c r="E1515" s="115"/>
      <c r="F1515" s="115"/>
      <c r="G1515" s="115"/>
      <c r="H1515" s="115"/>
      <c r="I1515" s="115"/>
      <c r="J1515" s="115"/>
      <c r="K1515" s="115"/>
      <c r="L1515" s="115"/>
      <c r="M1515" s="115"/>
      <c r="N1515" s="115"/>
      <c r="O1515" s="115"/>
    </row>
    <row r="1516">
      <c r="E1516" s="115"/>
      <c r="F1516" s="115"/>
      <c r="G1516" s="115"/>
      <c r="H1516" s="115"/>
      <c r="I1516" s="115"/>
      <c r="J1516" s="115"/>
      <c r="K1516" s="115"/>
      <c r="L1516" s="115"/>
      <c r="M1516" s="115"/>
      <c r="N1516" s="115"/>
      <c r="O1516" s="115"/>
    </row>
    <row r="1517">
      <c r="E1517" s="115"/>
      <c r="F1517" s="115"/>
      <c r="G1517" s="115"/>
      <c r="H1517" s="115"/>
      <c r="I1517" s="115"/>
      <c r="J1517" s="115"/>
      <c r="K1517" s="115"/>
      <c r="L1517" s="115"/>
      <c r="M1517" s="115"/>
      <c r="N1517" s="115"/>
      <c r="O1517" s="115"/>
    </row>
    <row r="1518">
      <c r="E1518" s="115"/>
      <c r="F1518" s="115"/>
      <c r="G1518" s="115"/>
      <c r="H1518" s="115"/>
      <c r="I1518" s="115"/>
      <c r="J1518" s="115"/>
      <c r="K1518" s="115"/>
      <c r="L1518" s="115"/>
      <c r="M1518" s="115"/>
      <c r="N1518" s="115"/>
      <c r="O1518" s="115"/>
    </row>
    <row r="1519">
      <c r="E1519" s="115"/>
      <c r="F1519" s="115"/>
      <c r="G1519" s="115"/>
      <c r="H1519" s="115"/>
      <c r="I1519" s="115"/>
      <c r="J1519" s="115"/>
      <c r="K1519" s="115"/>
      <c r="L1519" s="115"/>
      <c r="M1519" s="115"/>
      <c r="N1519" s="115"/>
      <c r="O1519" s="115"/>
    </row>
    <row r="1520">
      <c r="E1520" s="115"/>
      <c r="F1520" s="115"/>
      <c r="G1520" s="115"/>
      <c r="H1520" s="115"/>
      <c r="I1520" s="115"/>
      <c r="J1520" s="115"/>
      <c r="K1520" s="115"/>
      <c r="L1520" s="115"/>
      <c r="M1520" s="115"/>
      <c r="N1520" s="115"/>
      <c r="O1520" s="115"/>
    </row>
    <row r="1521">
      <c r="E1521" s="115"/>
      <c r="F1521" s="115"/>
      <c r="G1521" s="115"/>
      <c r="H1521" s="115"/>
      <c r="I1521" s="115"/>
      <c r="J1521" s="115"/>
      <c r="K1521" s="115"/>
      <c r="L1521" s="115"/>
      <c r="M1521" s="115"/>
      <c r="N1521" s="115"/>
      <c r="O1521" s="115"/>
    </row>
    <row r="1522">
      <c r="E1522" s="115"/>
      <c r="F1522" s="115"/>
      <c r="G1522" s="115"/>
      <c r="H1522" s="115"/>
      <c r="I1522" s="115"/>
      <c r="J1522" s="115"/>
      <c r="K1522" s="115"/>
      <c r="L1522" s="115"/>
      <c r="M1522" s="115"/>
      <c r="N1522" s="115"/>
      <c r="O1522" s="115"/>
    </row>
    <row r="1523">
      <c r="E1523" s="115"/>
      <c r="F1523" s="115"/>
      <c r="G1523" s="115"/>
      <c r="H1523" s="115"/>
      <c r="I1523" s="115"/>
      <c r="J1523" s="115"/>
      <c r="K1523" s="115"/>
      <c r="L1523" s="115"/>
      <c r="M1523" s="115"/>
      <c r="N1523" s="115"/>
      <c r="O1523" s="115"/>
    </row>
    <row r="1524">
      <c r="E1524" s="115"/>
      <c r="F1524" s="115"/>
      <c r="G1524" s="115"/>
      <c r="H1524" s="115"/>
      <c r="I1524" s="115"/>
      <c r="J1524" s="115"/>
      <c r="K1524" s="115"/>
      <c r="L1524" s="115"/>
      <c r="M1524" s="115"/>
      <c r="N1524" s="115"/>
      <c r="O1524" s="115"/>
    </row>
    <row r="1525">
      <c r="E1525" s="115"/>
      <c r="F1525" s="115"/>
      <c r="G1525" s="115"/>
      <c r="H1525" s="115"/>
      <c r="I1525" s="115"/>
      <c r="J1525" s="115"/>
      <c r="K1525" s="115"/>
      <c r="L1525" s="115"/>
      <c r="M1525" s="115"/>
      <c r="N1525" s="115"/>
      <c r="O1525" s="115"/>
    </row>
    <row r="1526">
      <c r="E1526" s="115"/>
      <c r="F1526" s="115"/>
      <c r="G1526" s="115"/>
      <c r="H1526" s="115"/>
      <c r="I1526" s="115"/>
      <c r="J1526" s="115"/>
      <c r="K1526" s="115"/>
      <c r="L1526" s="115"/>
      <c r="M1526" s="115"/>
      <c r="N1526" s="115"/>
      <c r="O1526" s="115"/>
    </row>
    <row r="1527">
      <c r="E1527" s="115"/>
      <c r="F1527" s="115"/>
      <c r="G1527" s="115"/>
      <c r="H1527" s="115"/>
      <c r="I1527" s="115"/>
      <c r="J1527" s="115"/>
      <c r="K1527" s="115"/>
      <c r="L1527" s="115"/>
      <c r="M1527" s="115"/>
      <c r="N1527" s="115"/>
      <c r="O1527" s="115"/>
    </row>
    <row r="1528">
      <c r="E1528" s="115"/>
      <c r="F1528" s="115"/>
      <c r="G1528" s="115"/>
      <c r="H1528" s="115"/>
      <c r="I1528" s="115"/>
      <c r="J1528" s="115"/>
      <c r="K1528" s="115"/>
      <c r="L1528" s="115"/>
      <c r="M1528" s="115"/>
      <c r="N1528" s="115"/>
      <c r="O1528" s="115"/>
    </row>
    <row r="1529">
      <c r="E1529" s="115"/>
      <c r="F1529" s="115"/>
      <c r="G1529" s="115"/>
      <c r="H1529" s="115"/>
      <c r="I1529" s="115"/>
      <c r="J1529" s="115"/>
      <c r="K1529" s="115"/>
      <c r="L1529" s="115"/>
      <c r="M1529" s="115"/>
      <c r="N1529" s="115"/>
      <c r="O1529" s="115"/>
    </row>
    <row r="1530">
      <c r="E1530" s="115"/>
      <c r="F1530" s="115"/>
      <c r="G1530" s="115"/>
      <c r="H1530" s="115"/>
      <c r="I1530" s="115"/>
      <c r="J1530" s="115"/>
      <c r="K1530" s="115"/>
      <c r="L1530" s="115"/>
      <c r="M1530" s="115"/>
      <c r="N1530" s="115"/>
      <c r="O1530" s="115"/>
    </row>
    <row r="1531">
      <c r="E1531" s="115"/>
      <c r="F1531" s="115"/>
      <c r="G1531" s="115"/>
      <c r="H1531" s="115"/>
      <c r="I1531" s="115"/>
      <c r="J1531" s="115"/>
      <c r="K1531" s="115"/>
      <c r="L1531" s="115"/>
      <c r="M1531" s="115"/>
      <c r="N1531" s="115"/>
      <c r="O1531" s="115"/>
    </row>
    <row r="1532">
      <c r="E1532" s="115"/>
      <c r="F1532" s="115"/>
      <c r="G1532" s="115"/>
      <c r="H1532" s="115"/>
      <c r="I1532" s="115"/>
      <c r="J1532" s="115"/>
      <c r="K1532" s="115"/>
      <c r="L1532" s="115"/>
      <c r="M1532" s="115"/>
      <c r="N1532" s="115"/>
      <c r="O1532" s="115"/>
    </row>
    <row r="1533">
      <c r="E1533" s="115"/>
      <c r="F1533" s="115"/>
      <c r="G1533" s="115"/>
      <c r="H1533" s="115"/>
      <c r="I1533" s="115"/>
      <c r="J1533" s="115"/>
      <c r="K1533" s="115"/>
      <c r="L1533" s="115"/>
      <c r="M1533" s="115"/>
      <c r="N1533" s="115"/>
      <c r="O1533" s="115"/>
    </row>
    <row r="1534">
      <c r="E1534" s="115"/>
      <c r="F1534" s="115"/>
      <c r="G1534" s="115"/>
      <c r="H1534" s="115"/>
      <c r="I1534" s="115"/>
      <c r="J1534" s="115"/>
      <c r="K1534" s="115"/>
      <c r="L1534" s="115"/>
      <c r="M1534" s="115"/>
      <c r="N1534" s="115"/>
      <c r="O1534" s="115"/>
    </row>
    <row r="1535">
      <c r="E1535" s="115"/>
      <c r="F1535" s="115"/>
      <c r="G1535" s="115"/>
      <c r="H1535" s="115"/>
      <c r="I1535" s="115"/>
      <c r="J1535" s="115"/>
      <c r="K1535" s="115"/>
      <c r="L1535" s="115"/>
      <c r="M1535" s="115"/>
      <c r="N1535" s="115"/>
      <c r="O1535" s="115"/>
    </row>
    <row r="1536">
      <c r="E1536" s="115"/>
      <c r="F1536" s="115"/>
      <c r="G1536" s="115"/>
      <c r="H1536" s="115"/>
      <c r="I1536" s="115"/>
      <c r="J1536" s="115"/>
      <c r="K1536" s="115"/>
      <c r="L1536" s="115"/>
      <c r="M1536" s="115"/>
      <c r="N1536" s="115"/>
      <c r="O1536" s="115"/>
    </row>
    <row r="1537">
      <c r="E1537" s="115"/>
      <c r="F1537" s="115"/>
      <c r="G1537" s="115"/>
      <c r="H1537" s="115"/>
      <c r="I1537" s="115"/>
      <c r="J1537" s="115"/>
      <c r="K1537" s="115"/>
      <c r="L1537" s="115"/>
      <c r="M1537" s="115"/>
      <c r="N1537" s="115"/>
      <c r="O1537" s="115"/>
    </row>
    <row r="1538">
      <c r="E1538" s="115"/>
      <c r="F1538" s="115"/>
      <c r="G1538" s="115"/>
      <c r="H1538" s="115"/>
      <c r="I1538" s="115"/>
      <c r="J1538" s="115"/>
      <c r="K1538" s="115"/>
      <c r="L1538" s="115"/>
      <c r="M1538" s="115"/>
      <c r="N1538" s="115"/>
      <c r="O1538" s="115"/>
    </row>
    <row r="1539">
      <c r="E1539" s="115"/>
      <c r="F1539" s="115"/>
      <c r="G1539" s="115"/>
      <c r="H1539" s="115"/>
      <c r="I1539" s="115"/>
      <c r="J1539" s="115"/>
      <c r="K1539" s="115"/>
      <c r="L1539" s="115"/>
      <c r="M1539" s="115"/>
      <c r="N1539" s="115"/>
      <c r="O1539" s="115"/>
    </row>
    <row r="1540">
      <c r="E1540" s="115"/>
      <c r="F1540" s="115"/>
      <c r="G1540" s="115"/>
      <c r="H1540" s="115"/>
      <c r="I1540" s="115"/>
      <c r="J1540" s="115"/>
      <c r="K1540" s="115"/>
      <c r="L1540" s="115"/>
      <c r="M1540" s="115"/>
      <c r="N1540" s="115"/>
      <c r="O1540" s="115"/>
    </row>
    <row r="1541">
      <c r="E1541" s="115"/>
      <c r="F1541" s="115"/>
      <c r="G1541" s="115"/>
      <c r="H1541" s="115"/>
      <c r="I1541" s="115"/>
      <c r="J1541" s="115"/>
      <c r="K1541" s="115"/>
      <c r="L1541" s="115"/>
      <c r="M1541" s="115"/>
      <c r="N1541" s="115"/>
      <c r="O1541" s="115"/>
    </row>
    <row r="1542">
      <c r="E1542" s="115"/>
      <c r="F1542" s="115"/>
      <c r="G1542" s="115"/>
      <c r="H1542" s="115"/>
      <c r="I1542" s="115"/>
      <c r="J1542" s="115"/>
      <c r="K1542" s="115"/>
      <c r="L1542" s="115"/>
      <c r="M1542" s="115"/>
      <c r="N1542" s="115"/>
      <c r="O1542" s="115"/>
    </row>
    <row r="1543">
      <c r="E1543" s="115"/>
      <c r="F1543" s="115"/>
      <c r="G1543" s="115"/>
      <c r="H1543" s="115"/>
      <c r="I1543" s="115"/>
      <c r="J1543" s="115"/>
      <c r="K1543" s="115"/>
      <c r="L1543" s="115"/>
      <c r="M1543" s="115"/>
      <c r="N1543" s="115"/>
      <c r="O1543" s="115"/>
    </row>
    <row r="1544">
      <c r="E1544" s="115"/>
      <c r="F1544" s="115"/>
      <c r="G1544" s="115"/>
      <c r="H1544" s="115"/>
      <c r="I1544" s="115"/>
      <c r="J1544" s="115"/>
      <c r="K1544" s="115"/>
      <c r="L1544" s="115"/>
      <c r="M1544" s="115"/>
      <c r="N1544" s="115"/>
      <c r="O1544" s="115"/>
    </row>
    <row r="1545">
      <c r="E1545" s="115"/>
      <c r="F1545" s="115"/>
      <c r="G1545" s="115"/>
      <c r="H1545" s="115"/>
      <c r="I1545" s="115"/>
      <c r="J1545" s="115"/>
      <c r="K1545" s="115"/>
      <c r="L1545" s="115"/>
      <c r="M1545" s="115"/>
      <c r="N1545" s="115"/>
      <c r="O1545" s="115"/>
    </row>
    <row r="1546">
      <c r="E1546" s="115"/>
      <c r="F1546" s="115"/>
      <c r="G1546" s="115"/>
      <c r="H1546" s="115"/>
      <c r="I1546" s="115"/>
      <c r="J1546" s="115"/>
      <c r="K1546" s="115"/>
      <c r="L1546" s="115"/>
      <c r="M1546" s="115"/>
      <c r="N1546" s="115"/>
      <c r="O1546" s="115"/>
    </row>
    <row r="1547">
      <c r="E1547" s="115"/>
      <c r="F1547" s="115"/>
      <c r="G1547" s="115"/>
      <c r="H1547" s="115"/>
      <c r="I1547" s="115"/>
      <c r="J1547" s="115"/>
      <c r="K1547" s="115"/>
      <c r="L1547" s="115"/>
      <c r="M1547" s="115"/>
      <c r="N1547" s="115"/>
      <c r="O1547" s="115"/>
    </row>
    <row r="1548">
      <c r="E1548" s="115"/>
      <c r="F1548" s="115"/>
      <c r="G1548" s="115"/>
      <c r="H1548" s="115"/>
      <c r="I1548" s="115"/>
      <c r="J1548" s="115"/>
      <c r="K1548" s="115"/>
      <c r="L1548" s="115"/>
      <c r="M1548" s="115"/>
      <c r="N1548" s="115"/>
      <c r="O1548" s="115"/>
    </row>
    <row r="1549">
      <c r="E1549" s="115"/>
      <c r="F1549" s="115"/>
      <c r="G1549" s="115"/>
      <c r="H1549" s="115"/>
      <c r="I1549" s="115"/>
      <c r="J1549" s="115"/>
      <c r="K1549" s="115"/>
      <c r="L1549" s="115"/>
      <c r="M1549" s="115"/>
      <c r="N1549" s="115"/>
      <c r="O1549" s="115"/>
    </row>
    <row r="1550">
      <c r="E1550" s="115"/>
      <c r="F1550" s="115"/>
      <c r="G1550" s="115"/>
      <c r="H1550" s="115"/>
      <c r="I1550" s="115"/>
      <c r="J1550" s="115"/>
      <c r="K1550" s="115"/>
      <c r="L1550" s="115"/>
      <c r="M1550" s="115"/>
      <c r="N1550" s="115"/>
      <c r="O1550" s="115"/>
    </row>
    <row r="1551">
      <c r="E1551" s="115"/>
      <c r="F1551" s="115"/>
      <c r="G1551" s="115"/>
      <c r="H1551" s="115"/>
      <c r="I1551" s="115"/>
      <c r="J1551" s="115"/>
      <c r="K1551" s="115"/>
      <c r="L1551" s="115"/>
      <c r="M1551" s="115"/>
      <c r="N1551" s="115"/>
      <c r="O1551" s="115"/>
    </row>
    <row r="1552">
      <c r="E1552" s="115"/>
      <c r="F1552" s="115"/>
      <c r="G1552" s="115"/>
      <c r="H1552" s="115"/>
      <c r="I1552" s="115"/>
      <c r="J1552" s="115"/>
      <c r="K1552" s="115"/>
      <c r="L1552" s="115"/>
      <c r="M1552" s="115"/>
      <c r="N1552" s="115"/>
      <c r="O1552" s="115"/>
    </row>
    <row r="1553">
      <c r="E1553" s="115"/>
      <c r="F1553" s="115"/>
      <c r="G1553" s="115"/>
      <c r="H1553" s="115"/>
      <c r="I1553" s="115"/>
      <c r="J1553" s="115"/>
      <c r="K1553" s="115"/>
      <c r="L1553" s="115"/>
      <c r="M1553" s="115"/>
      <c r="N1553" s="115"/>
      <c r="O1553" s="115"/>
    </row>
    <row r="1554">
      <c r="E1554" s="115"/>
      <c r="F1554" s="115"/>
      <c r="G1554" s="115"/>
      <c r="H1554" s="115"/>
      <c r="I1554" s="115"/>
      <c r="J1554" s="115"/>
      <c r="K1554" s="115"/>
      <c r="L1554" s="115"/>
      <c r="M1554" s="115"/>
      <c r="N1554" s="115"/>
      <c r="O1554" s="115"/>
    </row>
    <row r="1555">
      <c r="E1555" s="115"/>
      <c r="F1555" s="115"/>
      <c r="G1555" s="115"/>
      <c r="H1555" s="115"/>
      <c r="I1555" s="115"/>
      <c r="J1555" s="115"/>
      <c r="K1555" s="115"/>
      <c r="L1555" s="115"/>
      <c r="M1555" s="115"/>
      <c r="N1555" s="115"/>
      <c r="O1555" s="115"/>
    </row>
    <row r="1556">
      <c r="E1556" s="115"/>
      <c r="F1556" s="115"/>
      <c r="G1556" s="115"/>
      <c r="H1556" s="115"/>
      <c r="I1556" s="115"/>
      <c r="J1556" s="115"/>
      <c r="K1556" s="115"/>
      <c r="L1556" s="115"/>
      <c r="M1556" s="115"/>
      <c r="N1556" s="115"/>
      <c r="O1556" s="115"/>
    </row>
    <row r="1557">
      <c r="E1557" s="115"/>
      <c r="F1557" s="115"/>
      <c r="G1557" s="115"/>
      <c r="H1557" s="115"/>
      <c r="I1557" s="115"/>
      <c r="J1557" s="115"/>
      <c r="K1557" s="115"/>
      <c r="L1557" s="115"/>
      <c r="M1557" s="115"/>
      <c r="N1557" s="115"/>
      <c r="O1557" s="115"/>
    </row>
    <row r="1558">
      <c r="E1558" s="115"/>
      <c r="F1558" s="115"/>
      <c r="G1558" s="115"/>
      <c r="H1558" s="115"/>
      <c r="I1558" s="115"/>
      <c r="J1558" s="115"/>
      <c r="K1558" s="115"/>
      <c r="L1558" s="115"/>
      <c r="M1558" s="115"/>
      <c r="N1558" s="115"/>
      <c r="O1558" s="115"/>
    </row>
    <row r="1559">
      <c r="E1559" s="115"/>
      <c r="F1559" s="115"/>
      <c r="G1559" s="115"/>
      <c r="H1559" s="115"/>
      <c r="I1559" s="115"/>
      <c r="J1559" s="115"/>
      <c r="K1559" s="115"/>
      <c r="L1559" s="115"/>
      <c r="M1559" s="115"/>
      <c r="N1559" s="115"/>
      <c r="O1559" s="115"/>
    </row>
    <row r="1560">
      <c r="E1560" s="115"/>
      <c r="F1560" s="115"/>
      <c r="G1560" s="115"/>
      <c r="H1560" s="115"/>
      <c r="I1560" s="115"/>
      <c r="J1560" s="115"/>
      <c r="K1560" s="115"/>
      <c r="L1560" s="115"/>
      <c r="M1560" s="115"/>
      <c r="N1560" s="115"/>
      <c r="O1560" s="115"/>
    </row>
    <row r="1561">
      <c r="E1561" s="115"/>
      <c r="F1561" s="115"/>
      <c r="G1561" s="115"/>
      <c r="H1561" s="115"/>
      <c r="I1561" s="115"/>
      <c r="J1561" s="115"/>
      <c r="K1561" s="115"/>
      <c r="L1561" s="115"/>
      <c r="M1561" s="115"/>
      <c r="N1561" s="115"/>
      <c r="O1561" s="115"/>
    </row>
    <row r="1562">
      <c r="E1562" s="115"/>
      <c r="F1562" s="115"/>
      <c r="G1562" s="115"/>
      <c r="H1562" s="115"/>
      <c r="I1562" s="115"/>
      <c r="J1562" s="115"/>
      <c r="K1562" s="115"/>
      <c r="L1562" s="115"/>
      <c r="M1562" s="115"/>
      <c r="N1562" s="115"/>
      <c r="O1562" s="115"/>
    </row>
    <row r="1563">
      <c r="E1563" s="115"/>
      <c r="F1563" s="115"/>
      <c r="G1563" s="115"/>
      <c r="H1563" s="115"/>
      <c r="I1563" s="115"/>
      <c r="J1563" s="115"/>
      <c r="K1563" s="115"/>
      <c r="L1563" s="115"/>
      <c r="M1563" s="115"/>
      <c r="N1563" s="115"/>
      <c r="O1563" s="115"/>
    </row>
    <row r="1564">
      <c r="E1564" s="115"/>
      <c r="F1564" s="115"/>
      <c r="G1564" s="115"/>
      <c r="H1564" s="115"/>
      <c r="I1564" s="115"/>
      <c r="J1564" s="115"/>
      <c r="K1564" s="115"/>
      <c r="L1564" s="115"/>
      <c r="M1564" s="115"/>
      <c r="N1564" s="115"/>
      <c r="O1564" s="115"/>
    </row>
    <row r="1565">
      <c r="E1565" s="115"/>
      <c r="F1565" s="115"/>
      <c r="G1565" s="115"/>
      <c r="H1565" s="115"/>
      <c r="I1565" s="115"/>
      <c r="J1565" s="115"/>
      <c r="K1565" s="115"/>
      <c r="L1565" s="115"/>
      <c r="M1565" s="115"/>
      <c r="N1565" s="115"/>
      <c r="O1565" s="115"/>
    </row>
    <row r="1566">
      <c r="E1566" s="115"/>
      <c r="F1566" s="115"/>
      <c r="G1566" s="115"/>
      <c r="H1566" s="115"/>
      <c r="I1566" s="115"/>
      <c r="J1566" s="115"/>
      <c r="K1566" s="115"/>
      <c r="L1566" s="115"/>
      <c r="M1566" s="115"/>
      <c r="N1566" s="115"/>
      <c r="O1566" s="115"/>
    </row>
    <row r="1567">
      <c r="E1567" s="115"/>
      <c r="F1567" s="115"/>
      <c r="G1567" s="115"/>
      <c r="H1567" s="115"/>
      <c r="I1567" s="115"/>
      <c r="J1567" s="115"/>
      <c r="K1567" s="115"/>
      <c r="L1567" s="115"/>
      <c r="M1567" s="115"/>
      <c r="N1567" s="115"/>
      <c r="O1567" s="115"/>
    </row>
    <row r="1568">
      <c r="E1568" s="115"/>
      <c r="F1568" s="115"/>
      <c r="G1568" s="115"/>
      <c r="H1568" s="115"/>
      <c r="I1568" s="115"/>
      <c r="J1568" s="115"/>
      <c r="K1568" s="115"/>
      <c r="L1568" s="115"/>
      <c r="M1568" s="115"/>
      <c r="N1568" s="115"/>
      <c r="O1568" s="115"/>
    </row>
    <row r="1569">
      <c r="E1569" s="115"/>
      <c r="F1569" s="115"/>
      <c r="G1569" s="115"/>
      <c r="H1569" s="115"/>
      <c r="I1569" s="115"/>
      <c r="J1569" s="115"/>
      <c r="K1569" s="115"/>
      <c r="L1569" s="115"/>
      <c r="M1569" s="115"/>
      <c r="N1569" s="115"/>
      <c r="O1569" s="115"/>
    </row>
    <row r="1570">
      <c r="E1570" s="115"/>
      <c r="F1570" s="115"/>
      <c r="G1570" s="115"/>
      <c r="H1570" s="115"/>
      <c r="I1570" s="115"/>
      <c r="J1570" s="115"/>
      <c r="K1570" s="115"/>
      <c r="L1570" s="115"/>
      <c r="M1570" s="115"/>
      <c r="N1570" s="115"/>
      <c r="O1570" s="115"/>
    </row>
    <row r="1571">
      <c r="E1571" s="115"/>
      <c r="F1571" s="115"/>
      <c r="G1571" s="115"/>
      <c r="H1571" s="115"/>
      <c r="I1571" s="115"/>
      <c r="J1571" s="115"/>
      <c r="K1571" s="115"/>
      <c r="L1571" s="115"/>
      <c r="M1571" s="115"/>
      <c r="N1571" s="115"/>
      <c r="O1571" s="115"/>
    </row>
    <row r="1572">
      <c r="E1572" s="115"/>
      <c r="F1572" s="115"/>
      <c r="G1572" s="115"/>
      <c r="H1572" s="115"/>
      <c r="I1572" s="115"/>
      <c r="J1572" s="115"/>
      <c r="K1572" s="115"/>
      <c r="L1572" s="115"/>
      <c r="M1572" s="115"/>
      <c r="N1572" s="115"/>
      <c r="O1572" s="115"/>
    </row>
    <row r="1573">
      <c r="E1573" s="115"/>
      <c r="F1573" s="115"/>
      <c r="G1573" s="115"/>
      <c r="H1573" s="115"/>
      <c r="I1573" s="115"/>
      <c r="J1573" s="115"/>
      <c r="K1573" s="115"/>
      <c r="L1573" s="115"/>
      <c r="M1573" s="115"/>
      <c r="N1573" s="115"/>
      <c r="O1573" s="115"/>
    </row>
    <row r="1574">
      <c r="E1574" s="115"/>
      <c r="F1574" s="115"/>
      <c r="G1574" s="115"/>
      <c r="H1574" s="115"/>
      <c r="I1574" s="115"/>
      <c r="J1574" s="115"/>
      <c r="K1574" s="115"/>
      <c r="L1574" s="115"/>
      <c r="M1574" s="115"/>
      <c r="N1574" s="115"/>
      <c r="O1574" s="115"/>
    </row>
    <row r="1575">
      <c r="E1575" s="115"/>
      <c r="F1575" s="115"/>
      <c r="G1575" s="115"/>
      <c r="H1575" s="115"/>
      <c r="I1575" s="115"/>
      <c r="J1575" s="115"/>
      <c r="K1575" s="115"/>
      <c r="L1575" s="115"/>
      <c r="M1575" s="115"/>
      <c r="N1575" s="115"/>
      <c r="O1575" s="115"/>
    </row>
    <row r="1576">
      <c r="E1576" s="115"/>
      <c r="F1576" s="115"/>
      <c r="G1576" s="115"/>
      <c r="H1576" s="115"/>
      <c r="I1576" s="115"/>
      <c r="J1576" s="115"/>
      <c r="K1576" s="115"/>
      <c r="L1576" s="115"/>
      <c r="M1576" s="115"/>
      <c r="N1576" s="115"/>
      <c r="O1576" s="115"/>
    </row>
    <row r="1577">
      <c r="E1577" s="115"/>
      <c r="F1577" s="115"/>
      <c r="G1577" s="115"/>
      <c r="H1577" s="115"/>
      <c r="I1577" s="115"/>
      <c r="J1577" s="115"/>
      <c r="K1577" s="115"/>
      <c r="L1577" s="115"/>
      <c r="M1577" s="115"/>
      <c r="N1577" s="115"/>
      <c r="O1577" s="115"/>
    </row>
    <row r="1578">
      <c r="E1578" s="115"/>
      <c r="F1578" s="115"/>
      <c r="G1578" s="115"/>
      <c r="H1578" s="115"/>
      <c r="I1578" s="115"/>
      <c r="J1578" s="115"/>
      <c r="K1578" s="115"/>
      <c r="L1578" s="115"/>
      <c r="M1578" s="115"/>
      <c r="N1578" s="115"/>
      <c r="O1578" s="115"/>
    </row>
    <row r="1579">
      <c r="E1579" s="115"/>
      <c r="F1579" s="115"/>
      <c r="G1579" s="115"/>
      <c r="H1579" s="115"/>
      <c r="I1579" s="115"/>
      <c r="J1579" s="115"/>
      <c r="K1579" s="115"/>
      <c r="L1579" s="115"/>
      <c r="M1579" s="115"/>
      <c r="N1579" s="115"/>
      <c r="O1579" s="115"/>
    </row>
    <row r="1580">
      <c r="E1580" s="115"/>
      <c r="F1580" s="115"/>
      <c r="G1580" s="115"/>
      <c r="H1580" s="115"/>
      <c r="I1580" s="115"/>
      <c r="J1580" s="115"/>
      <c r="K1580" s="115"/>
      <c r="L1580" s="115"/>
      <c r="M1580" s="115"/>
      <c r="N1580" s="115"/>
      <c r="O1580" s="115"/>
    </row>
    <row r="1581">
      <c r="E1581" s="115"/>
      <c r="F1581" s="115"/>
      <c r="G1581" s="115"/>
      <c r="H1581" s="115"/>
      <c r="I1581" s="115"/>
      <c r="J1581" s="115"/>
      <c r="K1581" s="115"/>
      <c r="L1581" s="115"/>
      <c r="M1581" s="115"/>
      <c r="N1581" s="115"/>
      <c r="O1581" s="115"/>
    </row>
    <row r="1582">
      <c r="E1582" s="115"/>
      <c r="F1582" s="115"/>
      <c r="G1582" s="115"/>
      <c r="H1582" s="115"/>
      <c r="I1582" s="115"/>
      <c r="J1582" s="115"/>
      <c r="K1582" s="115"/>
      <c r="L1582" s="115"/>
      <c r="M1582" s="115"/>
      <c r="N1582" s="115"/>
      <c r="O1582" s="115"/>
    </row>
    <row r="1583">
      <c r="E1583" s="115"/>
      <c r="F1583" s="115"/>
      <c r="G1583" s="115"/>
      <c r="H1583" s="115"/>
      <c r="I1583" s="115"/>
      <c r="J1583" s="115"/>
      <c r="K1583" s="115"/>
      <c r="L1583" s="115"/>
      <c r="M1583" s="115"/>
      <c r="N1583" s="115"/>
      <c r="O1583" s="115"/>
    </row>
    <row r="1584">
      <c r="E1584" s="115"/>
      <c r="F1584" s="115"/>
      <c r="G1584" s="115"/>
      <c r="H1584" s="115"/>
      <c r="I1584" s="115"/>
      <c r="J1584" s="115"/>
      <c r="K1584" s="115"/>
      <c r="L1584" s="115"/>
      <c r="M1584" s="115"/>
      <c r="N1584" s="115"/>
      <c r="O1584" s="115"/>
    </row>
    <row r="1585">
      <c r="E1585" s="115"/>
      <c r="F1585" s="115"/>
      <c r="G1585" s="115"/>
      <c r="H1585" s="115"/>
      <c r="I1585" s="115"/>
      <c r="J1585" s="115"/>
      <c r="K1585" s="115"/>
      <c r="L1585" s="115"/>
      <c r="M1585" s="115"/>
      <c r="N1585" s="115"/>
      <c r="O1585" s="115"/>
    </row>
    <row r="1586">
      <c r="E1586" s="115"/>
      <c r="F1586" s="115"/>
      <c r="G1586" s="115"/>
      <c r="H1586" s="115"/>
      <c r="I1586" s="115"/>
      <c r="J1586" s="115"/>
      <c r="K1586" s="115"/>
      <c r="L1586" s="115"/>
      <c r="M1586" s="115"/>
      <c r="N1586" s="115"/>
      <c r="O1586" s="115"/>
    </row>
    <row r="1587">
      <c r="E1587" s="115"/>
      <c r="F1587" s="115"/>
      <c r="G1587" s="115"/>
      <c r="H1587" s="115"/>
      <c r="I1587" s="115"/>
      <c r="J1587" s="115"/>
      <c r="K1587" s="115"/>
      <c r="L1587" s="115"/>
      <c r="M1587" s="115"/>
      <c r="N1587" s="115"/>
      <c r="O1587" s="115"/>
    </row>
    <row r="1588">
      <c r="E1588" s="115"/>
      <c r="F1588" s="115"/>
      <c r="G1588" s="115"/>
      <c r="H1588" s="115"/>
      <c r="I1588" s="115"/>
      <c r="J1588" s="115"/>
      <c r="K1588" s="115"/>
      <c r="L1588" s="115"/>
      <c r="M1588" s="115"/>
      <c r="N1588" s="115"/>
      <c r="O1588" s="115"/>
    </row>
    <row r="1589">
      <c r="E1589" s="115"/>
      <c r="F1589" s="115"/>
      <c r="G1589" s="115"/>
      <c r="H1589" s="115"/>
      <c r="I1589" s="115"/>
      <c r="J1589" s="115"/>
      <c r="K1589" s="115"/>
      <c r="L1589" s="115"/>
      <c r="M1589" s="115"/>
      <c r="N1589" s="115"/>
      <c r="O1589" s="115"/>
    </row>
    <row r="1590">
      <c r="E1590" s="115"/>
      <c r="F1590" s="115"/>
      <c r="G1590" s="115"/>
      <c r="H1590" s="115"/>
      <c r="I1590" s="115"/>
      <c r="J1590" s="115"/>
      <c r="K1590" s="115"/>
      <c r="L1590" s="115"/>
      <c r="M1590" s="115"/>
      <c r="N1590" s="115"/>
      <c r="O1590" s="115"/>
    </row>
    <row r="1591">
      <c r="E1591" s="115"/>
      <c r="F1591" s="115"/>
      <c r="G1591" s="115"/>
      <c r="H1591" s="115"/>
      <c r="I1591" s="115"/>
      <c r="J1591" s="115"/>
      <c r="K1591" s="115"/>
      <c r="L1591" s="115"/>
      <c r="M1591" s="115"/>
      <c r="N1591" s="115"/>
      <c r="O1591" s="115"/>
    </row>
    <row r="1592">
      <c r="E1592" s="115"/>
      <c r="F1592" s="115"/>
      <c r="G1592" s="115"/>
      <c r="H1592" s="115"/>
      <c r="I1592" s="115"/>
      <c r="J1592" s="115"/>
      <c r="K1592" s="115"/>
      <c r="L1592" s="115"/>
      <c r="M1592" s="115"/>
      <c r="N1592" s="115"/>
      <c r="O1592" s="115"/>
    </row>
    <row r="1593">
      <c r="E1593" s="115"/>
      <c r="F1593" s="115"/>
      <c r="G1593" s="115"/>
      <c r="H1593" s="115"/>
      <c r="I1593" s="115"/>
      <c r="J1593" s="115"/>
      <c r="K1593" s="115"/>
      <c r="L1593" s="115"/>
      <c r="M1593" s="115"/>
      <c r="N1593" s="115"/>
      <c r="O1593" s="115"/>
    </row>
    <row r="1594">
      <c r="E1594" s="115"/>
      <c r="F1594" s="115"/>
      <c r="G1594" s="115"/>
      <c r="H1594" s="115"/>
      <c r="I1594" s="115"/>
      <c r="J1594" s="115"/>
      <c r="K1594" s="115"/>
      <c r="L1594" s="115"/>
      <c r="M1594" s="115"/>
      <c r="N1594" s="115"/>
      <c r="O1594" s="115"/>
    </row>
    <row r="1595">
      <c r="E1595" s="115"/>
      <c r="F1595" s="115"/>
      <c r="G1595" s="115"/>
      <c r="H1595" s="115"/>
      <c r="I1595" s="115"/>
      <c r="J1595" s="115"/>
      <c r="K1595" s="115"/>
      <c r="L1595" s="115"/>
      <c r="M1595" s="115"/>
      <c r="N1595" s="115"/>
      <c r="O1595" s="115"/>
    </row>
    <row r="1596">
      <c r="E1596" s="115"/>
      <c r="F1596" s="115"/>
      <c r="G1596" s="115"/>
      <c r="H1596" s="115"/>
      <c r="I1596" s="115"/>
      <c r="J1596" s="115"/>
      <c r="K1596" s="115"/>
      <c r="L1596" s="115"/>
      <c r="M1596" s="115"/>
      <c r="N1596" s="115"/>
      <c r="O1596" s="115"/>
    </row>
    <row r="1597">
      <c r="E1597" s="115"/>
      <c r="F1597" s="115"/>
      <c r="G1597" s="115"/>
      <c r="H1597" s="115"/>
      <c r="I1597" s="115"/>
      <c r="J1597" s="115"/>
      <c r="K1597" s="115"/>
      <c r="L1597" s="115"/>
      <c r="M1597" s="115"/>
      <c r="N1597" s="115"/>
      <c r="O1597" s="115"/>
    </row>
    <row r="1598">
      <c r="E1598" s="115"/>
      <c r="F1598" s="115"/>
      <c r="G1598" s="115"/>
      <c r="H1598" s="115"/>
      <c r="I1598" s="115"/>
      <c r="J1598" s="115"/>
      <c r="K1598" s="115"/>
      <c r="L1598" s="115"/>
      <c r="M1598" s="115"/>
      <c r="N1598" s="115"/>
      <c r="O1598" s="115"/>
    </row>
    <row r="1599">
      <c r="E1599" s="115"/>
      <c r="F1599" s="115"/>
      <c r="G1599" s="115"/>
      <c r="H1599" s="115"/>
      <c r="I1599" s="115"/>
      <c r="J1599" s="115"/>
      <c r="K1599" s="115"/>
      <c r="L1599" s="115"/>
      <c r="M1599" s="115"/>
      <c r="N1599" s="115"/>
      <c r="O1599" s="115"/>
    </row>
    <row r="1600">
      <c r="E1600" s="115"/>
      <c r="F1600" s="115"/>
      <c r="G1600" s="115"/>
      <c r="H1600" s="115"/>
      <c r="I1600" s="115"/>
      <c r="J1600" s="115"/>
      <c r="K1600" s="115"/>
      <c r="L1600" s="115"/>
      <c r="M1600" s="115"/>
      <c r="N1600" s="115"/>
      <c r="O1600" s="115"/>
    </row>
    <row r="1601">
      <c r="E1601" s="115"/>
      <c r="F1601" s="115"/>
      <c r="G1601" s="115"/>
      <c r="H1601" s="115"/>
      <c r="I1601" s="115"/>
      <c r="J1601" s="115"/>
      <c r="K1601" s="115"/>
      <c r="L1601" s="115"/>
      <c r="M1601" s="115"/>
      <c r="N1601" s="115"/>
      <c r="O1601" s="115"/>
    </row>
    <row r="1602">
      <c r="E1602" s="115"/>
      <c r="F1602" s="115"/>
      <c r="G1602" s="115"/>
      <c r="H1602" s="115"/>
      <c r="I1602" s="115"/>
      <c r="J1602" s="115"/>
      <c r="K1602" s="115"/>
      <c r="L1602" s="115"/>
      <c r="M1602" s="115"/>
      <c r="N1602" s="115"/>
      <c r="O1602" s="115"/>
    </row>
    <row r="1603">
      <c r="E1603" s="115"/>
      <c r="F1603" s="115"/>
      <c r="G1603" s="115"/>
      <c r="H1603" s="115"/>
      <c r="I1603" s="115"/>
      <c r="J1603" s="115"/>
      <c r="K1603" s="115"/>
      <c r="L1603" s="115"/>
      <c r="M1603" s="115"/>
      <c r="N1603" s="115"/>
      <c r="O1603" s="115"/>
    </row>
    <row r="1604">
      <c r="E1604" s="115"/>
      <c r="F1604" s="115"/>
      <c r="G1604" s="115"/>
      <c r="H1604" s="115"/>
      <c r="I1604" s="115"/>
      <c r="J1604" s="115"/>
      <c r="K1604" s="115"/>
      <c r="L1604" s="115"/>
      <c r="M1604" s="115"/>
      <c r="N1604" s="115"/>
      <c r="O1604" s="115"/>
    </row>
    <row r="1605">
      <c r="E1605" s="115"/>
      <c r="F1605" s="115"/>
      <c r="G1605" s="115"/>
      <c r="H1605" s="115"/>
      <c r="I1605" s="115"/>
      <c r="J1605" s="115"/>
      <c r="K1605" s="115"/>
      <c r="L1605" s="115"/>
      <c r="M1605" s="115"/>
      <c r="N1605" s="115"/>
      <c r="O1605" s="115"/>
    </row>
    <row r="1606">
      <c r="E1606" s="115"/>
      <c r="F1606" s="115"/>
      <c r="G1606" s="115"/>
      <c r="H1606" s="115"/>
      <c r="I1606" s="115"/>
      <c r="J1606" s="115"/>
      <c r="K1606" s="115"/>
      <c r="L1606" s="115"/>
      <c r="M1606" s="115"/>
      <c r="N1606" s="115"/>
      <c r="O1606" s="115"/>
    </row>
    <row r="1607">
      <c r="E1607" s="115"/>
      <c r="F1607" s="115"/>
      <c r="G1607" s="115"/>
      <c r="H1607" s="115"/>
      <c r="I1607" s="115"/>
      <c r="J1607" s="115"/>
      <c r="K1607" s="115"/>
      <c r="L1607" s="115"/>
      <c r="M1607" s="115"/>
      <c r="N1607" s="115"/>
      <c r="O1607" s="115"/>
    </row>
    <row r="1608">
      <c r="E1608" s="115"/>
      <c r="F1608" s="115"/>
      <c r="G1608" s="115"/>
      <c r="H1608" s="115"/>
      <c r="I1608" s="115"/>
      <c r="J1608" s="115"/>
      <c r="K1608" s="115"/>
      <c r="L1608" s="115"/>
      <c r="M1608" s="115"/>
      <c r="N1608" s="115"/>
      <c r="O1608" s="115"/>
    </row>
    <row r="1609">
      <c r="E1609" s="115"/>
      <c r="F1609" s="115"/>
      <c r="G1609" s="115"/>
      <c r="H1609" s="115"/>
      <c r="I1609" s="115"/>
      <c r="J1609" s="115"/>
      <c r="K1609" s="115"/>
      <c r="L1609" s="115"/>
      <c r="M1609" s="115"/>
      <c r="N1609" s="115"/>
      <c r="O1609" s="115"/>
    </row>
    <row r="1610">
      <c r="E1610" s="115"/>
      <c r="F1610" s="115"/>
      <c r="G1610" s="115"/>
      <c r="H1610" s="115"/>
      <c r="I1610" s="115"/>
      <c r="J1610" s="115"/>
      <c r="K1610" s="115"/>
      <c r="L1610" s="115"/>
      <c r="M1610" s="115"/>
      <c r="N1610" s="115"/>
      <c r="O1610" s="115"/>
    </row>
    <row r="1611">
      <c r="E1611" s="115"/>
      <c r="F1611" s="115"/>
      <c r="G1611" s="115"/>
      <c r="H1611" s="115"/>
      <c r="I1611" s="115"/>
      <c r="J1611" s="115"/>
      <c r="K1611" s="115"/>
      <c r="L1611" s="115"/>
      <c r="M1611" s="115"/>
      <c r="N1611" s="115"/>
      <c r="O1611" s="115"/>
    </row>
    <row r="1612">
      <c r="E1612" s="115"/>
      <c r="F1612" s="115"/>
      <c r="G1612" s="115"/>
      <c r="H1612" s="115"/>
      <c r="I1612" s="115"/>
      <c r="J1612" s="115"/>
      <c r="K1612" s="115"/>
      <c r="L1612" s="115"/>
      <c r="M1612" s="115"/>
      <c r="N1612" s="115"/>
      <c r="O1612" s="115"/>
    </row>
    <row r="1613">
      <c r="E1613" s="115"/>
      <c r="F1613" s="115"/>
      <c r="G1613" s="115"/>
      <c r="H1613" s="115"/>
      <c r="I1613" s="115"/>
      <c r="J1613" s="115"/>
      <c r="K1613" s="115"/>
      <c r="L1613" s="115"/>
      <c r="M1613" s="115"/>
      <c r="N1613" s="115"/>
      <c r="O1613" s="115"/>
    </row>
    <row r="1614">
      <c r="E1614" s="115"/>
      <c r="F1614" s="115"/>
      <c r="G1614" s="115"/>
      <c r="H1614" s="115"/>
      <c r="I1614" s="115"/>
      <c r="J1614" s="115"/>
      <c r="K1614" s="115"/>
      <c r="L1614" s="115"/>
      <c r="M1614" s="115"/>
      <c r="N1614" s="115"/>
      <c r="O1614" s="115"/>
    </row>
    <row r="1615">
      <c r="E1615" s="115"/>
      <c r="F1615" s="115"/>
      <c r="G1615" s="115"/>
      <c r="H1615" s="115"/>
      <c r="I1615" s="115"/>
      <c r="J1615" s="115"/>
      <c r="K1615" s="115"/>
      <c r="L1615" s="115"/>
      <c r="M1615" s="115"/>
      <c r="N1615" s="115"/>
      <c r="O1615" s="115"/>
    </row>
    <row r="1616">
      <c r="E1616" s="115"/>
      <c r="F1616" s="115"/>
      <c r="G1616" s="115"/>
      <c r="H1616" s="115"/>
      <c r="I1616" s="115"/>
      <c r="J1616" s="115"/>
      <c r="K1616" s="115"/>
      <c r="L1616" s="115"/>
      <c r="M1616" s="115"/>
      <c r="N1616" s="115"/>
      <c r="O1616" s="115"/>
    </row>
    <row r="1617">
      <c r="E1617" s="115"/>
      <c r="F1617" s="115"/>
      <c r="G1617" s="115"/>
      <c r="H1617" s="115"/>
      <c r="I1617" s="115"/>
      <c r="J1617" s="115"/>
      <c r="K1617" s="115"/>
      <c r="L1617" s="115"/>
      <c r="M1617" s="115"/>
      <c r="N1617" s="115"/>
      <c r="O1617" s="115"/>
    </row>
    <row r="1618">
      <c r="E1618" s="115"/>
      <c r="F1618" s="115"/>
      <c r="G1618" s="115"/>
      <c r="H1618" s="115"/>
      <c r="I1618" s="115"/>
      <c r="J1618" s="115"/>
      <c r="K1618" s="115"/>
      <c r="L1618" s="115"/>
      <c r="M1618" s="115"/>
      <c r="N1618" s="115"/>
      <c r="O1618" s="115"/>
    </row>
    <row r="1619">
      <c r="E1619" s="115"/>
      <c r="F1619" s="115"/>
      <c r="G1619" s="115"/>
      <c r="H1619" s="115"/>
      <c r="I1619" s="115"/>
      <c r="J1619" s="115"/>
      <c r="K1619" s="115"/>
      <c r="L1619" s="115"/>
      <c r="M1619" s="115"/>
      <c r="N1619" s="115"/>
      <c r="O1619" s="115"/>
    </row>
    <row r="1620">
      <c r="E1620" s="115"/>
      <c r="F1620" s="115"/>
      <c r="G1620" s="115"/>
      <c r="H1620" s="115"/>
      <c r="I1620" s="115"/>
      <c r="J1620" s="115"/>
      <c r="K1620" s="115"/>
      <c r="L1620" s="115"/>
      <c r="M1620" s="115"/>
      <c r="N1620" s="115"/>
      <c r="O1620" s="115"/>
    </row>
    <row r="1621">
      <c r="E1621" s="115"/>
      <c r="F1621" s="115"/>
      <c r="G1621" s="115"/>
      <c r="H1621" s="115"/>
      <c r="I1621" s="115"/>
      <c r="J1621" s="115"/>
      <c r="K1621" s="115"/>
      <c r="L1621" s="115"/>
      <c r="M1621" s="115"/>
      <c r="N1621" s="115"/>
      <c r="O1621" s="115"/>
    </row>
    <row r="1622">
      <c r="E1622" s="115"/>
      <c r="F1622" s="115"/>
      <c r="G1622" s="115"/>
      <c r="H1622" s="115"/>
      <c r="I1622" s="115"/>
      <c r="J1622" s="115"/>
      <c r="K1622" s="115"/>
      <c r="L1622" s="115"/>
      <c r="M1622" s="115"/>
      <c r="N1622" s="115"/>
      <c r="O1622" s="115"/>
    </row>
    <row r="1623">
      <c r="E1623" s="115"/>
      <c r="F1623" s="115"/>
      <c r="G1623" s="115"/>
      <c r="H1623" s="115"/>
      <c r="I1623" s="115"/>
      <c r="J1623" s="115"/>
      <c r="K1623" s="115"/>
      <c r="L1623" s="115"/>
      <c r="M1623" s="115"/>
      <c r="N1623" s="115"/>
      <c r="O1623" s="115"/>
    </row>
    <row r="1624">
      <c r="E1624" s="115"/>
      <c r="F1624" s="115"/>
      <c r="G1624" s="115"/>
      <c r="H1624" s="115"/>
      <c r="I1624" s="115"/>
      <c r="J1624" s="115"/>
      <c r="K1624" s="115"/>
      <c r="L1624" s="115"/>
      <c r="M1624" s="115"/>
      <c r="N1624" s="115"/>
      <c r="O1624" s="115"/>
    </row>
    <row r="1625">
      <c r="E1625" s="115"/>
      <c r="F1625" s="115"/>
      <c r="G1625" s="115"/>
      <c r="H1625" s="115"/>
      <c r="I1625" s="115"/>
      <c r="J1625" s="115"/>
      <c r="K1625" s="115"/>
      <c r="L1625" s="115"/>
      <c r="M1625" s="115"/>
      <c r="N1625" s="115"/>
      <c r="O1625" s="115"/>
    </row>
    <row r="1626">
      <c r="E1626" s="115"/>
      <c r="F1626" s="115"/>
      <c r="G1626" s="115"/>
      <c r="H1626" s="115"/>
      <c r="I1626" s="115"/>
      <c r="J1626" s="115"/>
      <c r="K1626" s="115"/>
      <c r="L1626" s="115"/>
      <c r="M1626" s="115"/>
      <c r="N1626" s="115"/>
      <c r="O1626" s="115"/>
    </row>
    <row r="1627">
      <c r="E1627" s="115"/>
      <c r="F1627" s="115"/>
      <c r="G1627" s="115"/>
      <c r="H1627" s="115"/>
      <c r="I1627" s="115"/>
      <c r="J1627" s="115"/>
      <c r="K1627" s="115"/>
      <c r="L1627" s="115"/>
      <c r="M1627" s="115"/>
      <c r="N1627" s="115"/>
      <c r="O1627" s="115"/>
    </row>
    <row r="1628">
      <c r="E1628" s="115"/>
      <c r="F1628" s="115"/>
      <c r="G1628" s="115"/>
      <c r="H1628" s="115"/>
      <c r="I1628" s="115"/>
      <c r="J1628" s="115"/>
      <c r="K1628" s="115"/>
      <c r="L1628" s="115"/>
      <c r="M1628" s="115"/>
      <c r="N1628" s="115"/>
      <c r="O1628" s="115"/>
    </row>
    <row r="1629">
      <c r="E1629" s="115"/>
      <c r="F1629" s="115"/>
      <c r="G1629" s="115"/>
      <c r="H1629" s="115"/>
      <c r="I1629" s="115"/>
      <c r="J1629" s="115"/>
      <c r="K1629" s="115"/>
      <c r="L1629" s="115"/>
      <c r="M1629" s="115"/>
      <c r="N1629" s="115"/>
      <c r="O1629" s="115"/>
    </row>
    <row r="1630">
      <c r="E1630" s="115"/>
      <c r="F1630" s="115"/>
      <c r="G1630" s="115"/>
      <c r="H1630" s="115"/>
      <c r="I1630" s="115"/>
      <c r="J1630" s="115"/>
      <c r="K1630" s="115"/>
      <c r="L1630" s="115"/>
      <c r="M1630" s="115"/>
      <c r="N1630" s="115"/>
      <c r="O1630" s="115"/>
    </row>
    <row r="1631">
      <c r="E1631" s="115"/>
      <c r="F1631" s="115"/>
      <c r="G1631" s="115"/>
      <c r="H1631" s="115"/>
      <c r="I1631" s="115"/>
      <c r="J1631" s="115"/>
      <c r="K1631" s="115"/>
      <c r="L1631" s="115"/>
      <c r="M1631" s="115"/>
      <c r="N1631" s="115"/>
      <c r="O1631" s="115"/>
    </row>
    <row r="1632">
      <c r="E1632" s="115"/>
      <c r="F1632" s="115"/>
      <c r="G1632" s="115"/>
      <c r="H1632" s="115"/>
      <c r="I1632" s="115"/>
      <c r="J1632" s="115"/>
      <c r="K1632" s="115"/>
      <c r="L1632" s="115"/>
      <c r="M1632" s="115"/>
      <c r="N1632" s="115"/>
      <c r="O1632" s="115"/>
    </row>
    <row r="1633">
      <c r="E1633" s="115"/>
      <c r="F1633" s="115"/>
      <c r="G1633" s="115"/>
      <c r="H1633" s="115"/>
      <c r="I1633" s="115"/>
      <c r="J1633" s="115"/>
      <c r="K1633" s="115"/>
      <c r="L1633" s="115"/>
      <c r="M1633" s="115"/>
      <c r="N1633" s="115"/>
      <c r="O1633" s="115"/>
    </row>
    <row r="1634">
      <c r="E1634" s="115"/>
      <c r="F1634" s="115"/>
      <c r="G1634" s="115"/>
      <c r="H1634" s="115"/>
      <c r="I1634" s="115"/>
      <c r="J1634" s="115"/>
      <c r="K1634" s="115"/>
      <c r="L1634" s="115"/>
      <c r="M1634" s="115"/>
      <c r="N1634" s="115"/>
      <c r="O1634" s="115"/>
    </row>
    <row r="1635">
      <c r="E1635" s="115"/>
      <c r="F1635" s="115"/>
      <c r="G1635" s="115"/>
      <c r="H1635" s="115"/>
      <c r="I1635" s="115"/>
      <c r="J1635" s="115"/>
      <c r="K1635" s="115"/>
      <c r="L1635" s="115"/>
      <c r="M1635" s="115"/>
      <c r="N1635" s="115"/>
      <c r="O1635" s="115"/>
    </row>
    <row r="1636">
      <c r="E1636" s="115"/>
      <c r="F1636" s="115"/>
      <c r="G1636" s="115"/>
      <c r="H1636" s="115"/>
      <c r="I1636" s="115"/>
      <c r="J1636" s="115"/>
      <c r="K1636" s="115"/>
      <c r="L1636" s="115"/>
      <c r="M1636" s="115"/>
      <c r="N1636" s="115"/>
      <c r="O1636" s="115"/>
    </row>
    <row r="1637">
      <c r="E1637" s="115"/>
      <c r="F1637" s="115"/>
      <c r="G1637" s="115"/>
      <c r="H1637" s="115"/>
      <c r="I1637" s="115"/>
      <c r="J1637" s="115"/>
      <c r="K1637" s="115"/>
      <c r="L1637" s="115"/>
      <c r="M1637" s="115"/>
      <c r="N1637" s="115"/>
      <c r="O1637" s="115"/>
    </row>
    <row r="1638">
      <c r="E1638" s="115"/>
      <c r="F1638" s="115"/>
      <c r="G1638" s="115"/>
      <c r="H1638" s="115"/>
      <c r="I1638" s="115"/>
      <c r="J1638" s="115"/>
      <c r="K1638" s="115"/>
      <c r="L1638" s="115"/>
      <c r="M1638" s="115"/>
      <c r="N1638" s="115"/>
      <c r="O1638" s="115"/>
    </row>
    <row r="1639">
      <c r="E1639" s="115"/>
      <c r="F1639" s="115"/>
      <c r="G1639" s="115"/>
      <c r="H1639" s="115"/>
      <c r="I1639" s="115"/>
      <c r="J1639" s="115"/>
      <c r="K1639" s="115"/>
      <c r="L1639" s="115"/>
      <c r="M1639" s="115"/>
      <c r="N1639" s="115"/>
      <c r="O1639" s="115"/>
    </row>
    <row r="1640">
      <c r="E1640" s="115"/>
      <c r="F1640" s="115"/>
      <c r="G1640" s="115"/>
      <c r="H1640" s="115"/>
      <c r="I1640" s="115"/>
      <c r="J1640" s="115"/>
      <c r="K1640" s="115"/>
      <c r="L1640" s="115"/>
      <c r="M1640" s="115"/>
      <c r="N1640" s="115"/>
      <c r="O1640" s="115"/>
    </row>
    <row r="1641">
      <c r="E1641" s="115"/>
      <c r="F1641" s="115"/>
      <c r="G1641" s="115"/>
      <c r="H1641" s="115"/>
      <c r="I1641" s="115"/>
      <c r="J1641" s="115"/>
      <c r="K1641" s="115"/>
      <c r="L1641" s="115"/>
      <c r="M1641" s="115"/>
      <c r="N1641" s="115"/>
      <c r="O1641" s="115"/>
    </row>
    <row r="1642">
      <c r="E1642" s="115"/>
      <c r="F1642" s="115"/>
      <c r="G1642" s="115"/>
      <c r="H1642" s="115"/>
      <c r="I1642" s="115"/>
      <c r="J1642" s="115"/>
      <c r="K1642" s="115"/>
      <c r="L1642" s="115"/>
      <c r="M1642" s="115"/>
      <c r="N1642" s="115"/>
      <c r="O1642" s="115"/>
    </row>
    <row r="1643">
      <c r="E1643" s="115"/>
      <c r="F1643" s="115"/>
      <c r="G1643" s="115"/>
      <c r="H1643" s="115"/>
      <c r="I1643" s="115"/>
      <c r="J1643" s="115"/>
      <c r="K1643" s="115"/>
      <c r="L1643" s="115"/>
      <c r="M1643" s="115"/>
      <c r="N1643" s="115"/>
      <c r="O1643" s="115"/>
    </row>
    <row r="1644">
      <c r="E1644" s="115"/>
      <c r="F1644" s="115"/>
      <c r="G1644" s="115"/>
      <c r="H1644" s="115"/>
      <c r="I1644" s="115"/>
      <c r="J1644" s="115"/>
      <c r="K1644" s="115"/>
      <c r="L1644" s="115"/>
      <c r="M1644" s="115"/>
      <c r="N1644" s="115"/>
      <c r="O1644" s="115"/>
    </row>
    <row r="1645">
      <c r="E1645" s="115"/>
      <c r="F1645" s="115"/>
      <c r="G1645" s="115"/>
      <c r="H1645" s="115"/>
      <c r="I1645" s="115"/>
      <c r="J1645" s="115"/>
      <c r="K1645" s="115"/>
      <c r="L1645" s="115"/>
      <c r="M1645" s="115"/>
      <c r="N1645" s="115"/>
      <c r="O1645" s="115"/>
    </row>
    <row r="1646">
      <c r="E1646" s="115"/>
      <c r="F1646" s="115"/>
      <c r="G1646" s="115"/>
      <c r="H1646" s="115"/>
      <c r="I1646" s="115"/>
      <c r="J1646" s="115"/>
      <c r="K1646" s="115"/>
      <c r="L1646" s="115"/>
      <c r="M1646" s="115"/>
      <c r="N1646" s="115"/>
      <c r="O1646" s="115"/>
    </row>
    <row r="1647">
      <c r="E1647" s="115"/>
      <c r="F1647" s="115"/>
      <c r="G1647" s="115"/>
      <c r="H1647" s="115"/>
      <c r="I1647" s="115"/>
      <c r="J1647" s="115"/>
      <c r="K1647" s="115"/>
      <c r="L1647" s="115"/>
      <c r="M1647" s="115"/>
      <c r="N1647" s="115"/>
      <c r="O1647" s="115"/>
    </row>
    <row r="1648">
      <c r="E1648" s="115"/>
      <c r="F1648" s="115"/>
      <c r="G1648" s="115"/>
      <c r="H1648" s="115"/>
      <c r="I1648" s="115"/>
      <c r="J1648" s="115"/>
      <c r="K1648" s="115"/>
      <c r="L1648" s="115"/>
      <c r="M1648" s="115"/>
      <c r="N1648" s="115"/>
      <c r="O1648" s="115"/>
    </row>
    <row r="1649">
      <c r="E1649" s="115"/>
      <c r="F1649" s="115"/>
      <c r="G1649" s="115"/>
      <c r="H1649" s="115"/>
      <c r="I1649" s="115"/>
      <c r="J1649" s="115"/>
      <c r="K1649" s="115"/>
      <c r="L1649" s="115"/>
      <c r="M1649" s="115"/>
      <c r="N1649" s="115"/>
      <c r="O1649" s="115"/>
    </row>
    <row r="1650">
      <c r="E1650" s="115"/>
      <c r="F1650" s="115"/>
      <c r="G1650" s="115"/>
      <c r="H1650" s="115"/>
      <c r="I1650" s="115"/>
      <c r="J1650" s="115"/>
      <c r="K1650" s="115"/>
      <c r="L1650" s="115"/>
      <c r="M1650" s="115"/>
      <c r="N1650" s="115"/>
      <c r="O1650" s="115"/>
    </row>
    <row r="1651">
      <c r="E1651" s="115"/>
      <c r="F1651" s="115"/>
      <c r="G1651" s="115"/>
      <c r="H1651" s="115"/>
      <c r="I1651" s="115"/>
      <c r="J1651" s="115"/>
      <c r="K1651" s="115"/>
      <c r="L1651" s="115"/>
      <c r="M1651" s="115"/>
      <c r="N1651" s="115"/>
      <c r="O1651" s="115"/>
    </row>
    <row r="1652">
      <c r="E1652" s="115"/>
      <c r="F1652" s="115"/>
      <c r="G1652" s="115"/>
      <c r="H1652" s="115"/>
      <c r="I1652" s="115"/>
      <c r="J1652" s="115"/>
      <c r="K1652" s="115"/>
      <c r="L1652" s="115"/>
      <c r="M1652" s="115"/>
      <c r="N1652" s="115"/>
      <c r="O1652" s="115"/>
    </row>
    <row r="1653">
      <c r="E1653" s="115"/>
      <c r="F1653" s="115"/>
      <c r="G1653" s="115"/>
      <c r="H1653" s="115"/>
      <c r="I1653" s="115"/>
      <c r="J1653" s="115"/>
      <c r="K1653" s="115"/>
      <c r="L1653" s="115"/>
      <c r="M1653" s="115"/>
      <c r="N1653" s="115"/>
      <c r="O1653" s="115"/>
    </row>
    <row r="1654">
      <c r="E1654" s="115"/>
      <c r="F1654" s="115"/>
      <c r="G1654" s="115"/>
      <c r="H1654" s="115"/>
      <c r="I1654" s="115"/>
      <c r="J1654" s="115"/>
      <c r="K1654" s="115"/>
      <c r="L1654" s="115"/>
      <c r="M1654" s="115"/>
      <c r="N1654" s="115"/>
      <c r="O1654" s="115"/>
    </row>
    <row r="1655">
      <c r="E1655" s="115"/>
      <c r="F1655" s="115"/>
      <c r="G1655" s="115"/>
      <c r="H1655" s="115"/>
      <c r="I1655" s="115"/>
      <c r="J1655" s="115"/>
      <c r="K1655" s="115"/>
      <c r="L1655" s="115"/>
      <c r="M1655" s="115"/>
      <c r="N1655" s="115"/>
      <c r="O1655" s="115"/>
    </row>
    <row r="1656">
      <c r="E1656" s="115"/>
      <c r="F1656" s="115"/>
      <c r="G1656" s="115"/>
      <c r="H1656" s="115"/>
      <c r="I1656" s="115"/>
      <c r="J1656" s="115"/>
      <c r="K1656" s="115"/>
      <c r="L1656" s="115"/>
      <c r="M1656" s="115"/>
      <c r="N1656" s="115"/>
      <c r="O1656" s="115"/>
    </row>
    <row r="1657">
      <c r="E1657" s="115"/>
      <c r="F1657" s="115"/>
      <c r="G1657" s="115"/>
      <c r="H1657" s="115"/>
      <c r="I1657" s="115"/>
      <c r="J1657" s="115"/>
      <c r="K1657" s="115"/>
      <c r="L1657" s="115"/>
      <c r="M1657" s="115"/>
      <c r="N1657" s="115"/>
      <c r="O1657" s="115"/>
    </row>
    <row r="1658">
      <c r="E1658" s="115"/>
      <c r="F1658" s="115"/>
      <c r="G1658" s="115"/>
      <c r="H1658" s="115"/>
      <c r="I1658" s="115"/>
      <c r="J1658" s="115"/>
      <c r="K1658" s="115"/>
      <c r="L1658" s="115"/>
      <c r="M1658" s="115"/>
      <c r="N1658" s="115"/>
      <c r="O1658" s="115"/>
    </row>
    <row r="1659">
      <c r="E1659" s="115"/>
      <c r="F1659" s="115"/>
      <c r="G1659" s="115"/>
      <c r="H1659" s="115"/>
      <c r="I1659" s="115"/>
      <c r="J1659" s="115"/>
      <c r="K1659" s="115"/>
      <c r="L1659" s="115"/>
      <c r="M1659" s="115"/>
      <c r="N1659" s="115"/>
      <c r="O1659" s="115"/>
    </row>
    <row r="1660">
      <c r="E1660" s="115"/>
      <c r="F1660" s="115"/>
      <c r="G1660" s="115"/>
      <c r="H1660" s="115"/>
      <c r="I1660" s="115"/>
      <c r="J1660" s="115"/>
      <c r="K1660" s="115"/>
      <c r="L1660" s="115"/>
      <c r="M1660" s="115"/>
      <c r="N1660" s="115"/>
      <c r="O1660" s="115"/>
    </row>
    <row r="1661">
      <c r="E1661" s="115"/>
      <c r="F1661" s="115"/>
      <c r="G1661" s="115"/>
      <c r="H1661" s="115"/>
      <c r="I1661" s="115"/>
      <c r="J1661" s="115"/>
      <c r="K1661" s="115"/>
      <c r="L1661" s="115"/>
      <c r="M1661" s="115"/>
      <c r="N1661" s="115"/>
      <c r="O1661" s="115"/>
    </row>
    <row r="1662">
      <c r="E1662" s="115"/>
      <c r="F1662" s="115"/>
      <c r="G1662" s="115"/>
      <c r="H1662" s="115"/>
      <c r="I1662" s="115"/>
      <c r="J1662" s="115"/>
      <c r="K1662" s="115"/>
      <c r="L1662" s="115"/>
      <c r="M1662" s="115"/>
      <c r="N1662" s="115"/>
      <c r="O1662" s="115"/>
    </row>
    <row r="1663">
      <c r="E1663" s="115"/>
      <c r="F1663" s="115"/>
      <c r="G1663" s="115"/>
      <c r="H1663" s="115"/>
      <c r="I1663" s="115"/>
      <c r="J1663" s="115"/>
      <c r="K1663" s="115"/>
      <c r="L1663" s="115"/>
      <c r="M1663" s="115"/>
      <c r="N1663" s="115"/>
      <c r="O1663" s="115"/>
    </row>
    <row r="1664">
      <c r="E1664" s="115"/>
      <c r="F1664" s="115"/>
      <c r="G1664" s="115"/>
      <c r="H1664" s="115"/>
      <c r="I1664" s="115"/>
      <c r="J1664" s="115"/>
      <c r="K1664" s="115"/>
      <c r="L1664" s="115"/>
      <c r="M1664" s="115"/>
      <c r="N1664" s="115"/>
      <c r="O1664" s="115"/>
    </row>
    <row r="1665">
      <c r="E1665" s="115"/>
      <c r="F1665" s="115"/>
      <c r="G1665" s="115"/>
      <c r="H1665" s="115"/>
      <c r="I1665" s="115"/>
      <c r="J1665" s="115"/>
      <c r="K1665" s="115"/>
      <c r="L1665" s="115"/>
      <c r="M1665" s="115"/>
      <c r="N1665" s="115"/>
      <c r="O1665" s="115"/>
    </row>
    <row r="1666">
      <c r="E1666" s="115"/>
      <c r="F1666" s="115"/>
      <c r="G1666" s="115"/>
      <c r="H1666" s="115"/>
      <c r="I1666" s="115"/>
      <c r="J1666" s="115"/>
      <c r="K1666" s="115"/>
      <c r="L1666" s="115"/>
      <c r="M1666" s="115"/>
      <c r="N1666" s="115"/>
      <c r="O1666" s="115"/>
    </row>
    <row r="1667">
      <c r="E1667" s="115"/>
      <c r="F1667" s="115"/>
      <c r="G1667" s="115"/>
      <c r="H1667" s="115"/>
      <c r="I1667" s="115"/>
      <c r="J1667" s="115"/>
      <c r="K1667" s="115"/>
      <c r="L1667" s="115"/>
      <c r="M1667" s="115"/>
      <c r="N1667" s="115"/>
      <c r="O1667" s="115"/>
    </row>
    <row r="1668">
      <c r="E1668" s="115"/>
      <c r="F1668" s="115"/>
      <c r="G1668" s="115"/>
      <c r="H1668" s="115"/>
      <c r="I1668" s="115"/>
      <c r="J1668" s="115"/>
      <c r="K1668" s="115"/>
      <c r="L1668" s="115"/>
      <c r="M1668" s="115"/>
      <c r="N1668" s="115"/>
      <c r="O1668" s="115"/>
    </row>
    <row r="1669">
      <c r="E1669" s="115"/>
      <c r="F1669" s="115"/>
      <c r="G1669" s="115"/>
      <c r="H1669" s="115"/>
      <c r="I1669" s="115"/>
      <c r="J1669" s="115"/>
      <c r="K1669" s="115"/>
      <c r="L1669" s="115"/>
      <c r="M1669" s="115"/>
      <c r="N1669" s="115"/>
      <c r="O1669" s="115"/>
    </row>
    <row r="1670">
      <c r="E1670" s="115"/>
      <c r="F1670" s="115"/>
      <c r="G1670" s="115"/>
      <c r="H1670" s="115"/>
      <c r="I1670" s="115"/>
      <c r="J1670" s="115"/>
      <c r="K1670" s="115"/>
      <c r="L1670" s="115"/>
      <c r="M1670" s="115"/>
      <c r="N1670" s="115"/>
      <c r="O1670" s="115"/>
    </row>
    <row r="1671">
      <c r="E1671" s="115"/>
      <c r="F1671" s="115"/>
      <c r="G1671" s="115"/>
      <c r="H1671" s="115"/>
      <c r="I1671" s="115"/>
      <c r="J1671" s="115"/>
      <c r="K1671" s="115"/>
      <c r="L1671" s="115"/>
      <c r="M1671" s="115"/>
      <c r="N1671" s="115"/>
      <c r="O1671" s="115"/>
    </row>
    <row r="1672">
      <c r="E1672" s="115"/>
      <c r="F1672" s="115"/>
      <c r="G1672" s="115"/>
      <c r="H1672" s="115"/>
      <c r="I1672" s="115"/>
      <c r="J1672" s="115"/>
      <c r="K1672" s="115"/>
      <c r="L1672" s="115"/>
      <c r="M1672" s="115"/>
      <c r="N1672" s="115"/>
      <c r="O1672" s="115"/>
    </row>
    <row r="1673">
      <c r="E1673" s="115"/>
      <c r="F1673" s="115"/>
      <c r="G1673" s="115"/>
      <c r="H1673" s="115"/>
      <c r="I1673" s="115"/>
      <c r="J1673" s="115"/>
      <c r="K1673" s="115"/>
      <c r="L1673" s="115"/>
      <c r="M1673" s="115"/>
      <c r="N1673" s="115"/>
      <c r="O1673" s="115"/>
    </row>
    <row r="1674">
      <c r="E1674" s="115"/>
      <c r="F1674" s="115"/>
      <c r="G1674" s="115"/>
      <c r="H1674" s="115"/>
      <c r="I1674" s="115"/>
      <c r="J1674" s="115"/>
      <c r="K1674" s="115"/>
      <c r="L1674" s="115"/>
      <c r="M1674" s="115"/>
      <c r="N1674" s="115"/>
      <c r="O1674" s="115"/>
    </row>
    <row r="1675">
      <c r="E1675" s="115"/>
      <c r="F1675" s="115"/>
      <c r="G1675" s="115"/>
      <c r="H1675" s="115"/>
      <c r="I1675" s="115"/>
      <c r="J1675" s="115"/>
      <c r="K1675" s="115"/>
      <c r="L1675" s="115"/>
      <c r="M1675" s="115"/>
      <c r="N1675" s="115"/>
      <c r="O1675" s="115"/>
    </row>
    <row r="1676">
      <c r="E1676" s="115"/>
      <c r="F1676" s="115"/>
      <c r="G1676" s="115"/>
      <c r="H1676" s="115"/>
      <c r="I1676" s="115"/>
      <c r="J1676" s="115"/>
      <c r="K1676" s="115"/>
      <c r="L1676" s="115"/>
      <c r="M1676" s="115"/>
      <c r="N1676" s="115"/>
      <c r="O1676" s="115"/>
    </row>
    <row r="1677">
      <c r="E1677" s="115"/>
      <c r="F1677" s="115"/>
      <c r="G1677" s="115"/>
      <c r="H1677" s="115"/>
      <c r="I1677" s="115"/>
      <c r="J1677" s="115"/>
      <c r="K1677" s="115"/>
      <c r="L1677" s="115"/>
      <c r="M1677" s="115"/>
      <c r="N1677" s="115"/>
      <c r="O1677" s="115"/>
    </row>
    <row r="1678">
      <c r="E1678" s="115"/>
      <c r="F1678" s="115"/>
      <c r="G1678" s="115"/>
      <c r="H1678" s="115"/>
      <c r="I1678" s="115"/>
      <c r="J1678" s="115"/>
      <c r="K1678" s="115"/>
      <c r="L1678" s="115"/>
      <c r="M1678" s="115"/>
      <c r="N1678" s="115"/>
      <c r="O1678" s="115"/>
    </row>
    <row r="1679">
      <c r="E1679" s="115"/>
      <c r="F1679" s="115"/>
      <c r="G1679" s="115"/>
      <c r="H1679" s="115"/>
      <c r="I1679" s="115"/>
      <c r="J1679" s="115"/>
      <c r="K1679" s="115"/>
      <c r="L1679" s="115"/>
      <c r="M1679" s="115"/>
      <c r="N1679" s="115"/>
      <c r="O1679" s="115"/>
    </row>
    <row r="1680">
      <c r="E1680" s="115"/>
      <c r="F1680" s="115"/>
      <c r="G1680" s="115"/>
      <c r="H1680" s="115"/>
      <c r="I1680" s="115"/>
      <c r="J1680" s="115"/>
      <c r="K1680" s="115"/>
      <c r="L1680" s="115"/>
      <c r="M1680" s="115"/>
      <c r="N1680" s="115"/>
      <c r="O1680" s="115"/>
    </row>
    <row r="1681">
      <c r="E1681" s="115"/>
      <c r="F1681" s="115"/>
      <c r="G1681" s="115"/>
      <c r="H1681" s="115"/>
      <c r="I1681" s="115"/>
      <c r="J1681" s="115"/>
      <c r="K1681" s="115"/>
      <c r="L1681" s="115"/>
      <c r="M1681" s="115"/>
      <c r="N1681" s="115"/>
      <c r="O1681" s="115"/>
    </row>
    <row r="1682">
      <c r="E1682" s="115"/>
      <c r="F1682" s="115"/>
      <c r="G1682" s="115"/>
      <c r="H1682" s="115"/>
      <c r="I1682" s="115"/>
      <c r="J1682" s="115"/>
      <c r="K1682" s="115"/>
      <c r="L1682" s="115"/>
      <c r="M1682" s="115"/>
      <c r="N1682" s="115"/>
      <c r="O1682" s="115"/>
    </row>
    <row r="1683">
      <c r="E1683" s="115"/>
      <c r="F1683" s="115"/>
      <c r="G1683" s="115"/>
      <c r="H1683" s="115"/>
      <c r="I1683" s="115"/>
      <c r="J1683" s="115"/>
      <c r="K1683" s="115"/>
      <c r="L1683" s="115"/>
      <c r="M1683" s="115"/>
      <c r="N1683" s="115"/>
      <c r="O1683" s="115"/>
    </row>
    <row r="1684">
      <c r="E1684" s="115"/>
      <c r="F1684" s="115"/>
      <c r="G1684" s="115"/>
      <c r="H1684" s="115"/>
      <c r="I1684" s="115"/>
      <c r="J1684" s="115"/>
      <c r="K1684" s="115"/>
      <c r="L1684" s="115"/>
      <c r="M1684" s="115"/>
      <c r="N1684" s="115"/>
      <c r="O1684" s="115"/>
    </row>
    <row r="1685">
      <c r="E1685" s="115"/>
      <c r="F1685" s="115"/>
      <c r="G1685" s="115"/>
      <c r="H1685" s="115"/>
      <c r="I1685" s="115"/>
      <c r="J1685" s="115"/>
      <c r="K1685" s="115"/>
      <c r="L1685" s="115"/>
      <c r="M1685" s="115"/>
      <c r="N1685" s="115"/>
      <c r="O1685" s="115"/>
    </row>
    <row r="1686">
      <c r="E1686" s="115"/>
      <c r="F1686" s="115"/>
      <c r="G1686" s="115"/>
      <c r="H1686" s="115"/>
      <c r="I1686" s="115"/>
      <c r="J1686" s="115"/>
      <c r="K1686" s="115"/>
      <c r="L1686" s="115"/>
      <c r="M1686" s="115"/>
      <c r="N1686" s="115"/>
      <c r="O1686" s="115"/>
    </row>
    <row r="1687">
      <c r="E1687" s="115"/>
      <c r="F1687" s="115"/>
      <c r="G1687" s="115"/>
      <c r="H1687" s="115"/>
      <c r="I1687" s="115"/>
      <c r="J1687" s="115"/>
      <c r="K1687" s="115"/>
      <c r="L1687" s="115"/>
      <c r="M1687" s="115"/>
      <c r="N1687" s="115"/>
      <c r="O1687" s="115"/>
    </row>
    <row r="1688">
      <c r="E1688" s="115"/>
      <c r="F1688" s="115"/>
      <c r="G1688" s="115"/>
      <c r="H1688" s="115"/>
      <c r="I1688" s="115"/>
      <c r="J1688" s="115"/>
      <c r="K1688" s="115"/>
      <c r="L1688" s="115"/>
      <c r="M1688" s="115"/>
      <c r="N1688" s="115"/>
      <c r="O1688" s="115"/>
    </row>
    <row r="1689">
      <c r="E1689" s="115"/>
      <c r="F1689" s="115"/>
      <c r="G1689" s="115"/>
      <c r="H1689" s="115"/>
      <c r="I1689" s="115"/>
      <c r="J1689" s="115"/>
      <c r="K1689" s="115"/>
      <c r="L1689" s="115"/>
      <c r="M1689" s="115"/>
      <c r="N1689" s="115"/>
      <c r="O1689" s="115"/>
    </row>
    <row r="1690">
      <c r="E1690" s="115"/>
      <c r="F1690" s="115"/>
      <c r="G1690" s="115"/>
      <c r="H1690" s="115"/>
      <c r="I1690" s="115"/>
      <c r="J1690" s="115"/>
      <c r="K1690" s="115"/>
      <c r="L1690" s="115"/>
      <c r="M1690" s="115"/>
      <c r="N1690" s="115"/>
      <c r="O1690" s="115"/>
    </row>
    <row r="1691">
      <c r="E1691" s="115"/>
      <c r="F1691" s="115"/>
      <c r="G1691" s="115"/>
      <c r="H1691" s="115"/>
      <c r="I1691" s="115"/>
      <c r="J1691" s="115"/>
      <c r="K1691" s="115"/>
      <c r="L1691" s="115"/>
      <c r="M1691" s="115"/>
      <c r="N1691" s="115"/>
      <c r="O1691" s="115"/>
    </row>
    <row r="1692">
      <c r="E1692" s="115"/>
      <c r="F1692" s="115"/>
      <c r="G1692" s="115"/>
      <c r="H1692" s="115"/>
      <c r="I1692" s="115"/>
      <c r="J1692" s="115"/>
      <c r="K1692" s="115"/>
      <c r="L1692" s="115"/>
      <c r="M1692" s="115"/>
      <c r="N1692" s="115"/>
      <c r="O1692" s="115"/>
    </row>
    <row r="1693">
      <c r="E1693" s="115"/>
      <c r="F1693" s="115"/>
      <c r="G1693" s="115"/>
      <c r="H1693" s="115"/>
      <c r="I1693" s="115"/>
      <c r="J1693" s="115"/>
      <c r="K1693" s="115"/>
      <c r="L1693" s="115"/>
      <c r="M1693" s="115"/>
      <c r="N1693" s="115"/>
      <c r="O1693" s="115"/>
    </row>
    <row r="1694">
      <c r="E1694" s="115"/>
      <c r="F1694" s="115"/>
      <c r="G1694" s="115"/>
      <c r="H1694" s="115"/>
      <c r="I1694" s="115"/>
      <c r="J1694" s="115"/>
      <c r="K1694" s="115"/>
      <c r="L1694" s="115"/>
      <c r="M1694" s="115"/>
      <c r="N1694" s="115"/>
      <c r="O1694" s="115"/>
    </row>
    <row r="1695">
      <c r="E1695" s="115"/>
      <c r="F1695" s="115"/>
      <c r="G1695" s="115"/>
      <c r="H1695" s="115"/>
      <c r="I1695" s="115"/>
      <c r="J1695" s="115"/>
      <c r="K1695" s="115"/>
      <c r="L1695" s="115"/>
      <c r="M1695" s="115"/>
      <c r="N1695" s="115"/>
      <c r="O1695" s="115"/>
    </row>
    <row r="1696">
      <c r="E1696" s="115"/>
      <c r="F1696" s="115"/>
      <c r="G1696" s="115"/>
      <c r="H1696" s="115"/>
      <c r="I1696" s="115"/>
      <c r="J1696" s="115"/>
      <c r="K1696" s="115"/>
      <c r="L1696" s="115"/>
      <c r="M1696" s="115"/>
      <c r="N1696" s="115"/>
      <c r="O1696" s="115"/>
    </row>
    <row r="1697">
      <c r="E1697" s="115"/>
      <c r="F1697" s="115"/>
      <c r="G1697" s="115"/>
      <c r="H1697" s="115"/>
      <c r="I1697" s="115"/>
      <c r="J1697" s="115"/>
      <c r="K1697" s="115"/>
      <c r="L1697" s="115"/>
      <c r="M1697" s="115"/>
      <c r="N1697" s="115"/>
      <c r="O1697" s="115"/>
    </row>
    <row r="1698">
      <c r="E1698" s="115"/>
      <c r="F1698" s="115"/>
      <c r="G1698" s="115"/>
      <c r="H1698" s="115"/>
      <c r="I1698" s="115"/>
      <c r="J1698" s="115"/>
      <c r="K1698" s="115"/>
      <c r="L1698" s="115"/>
      <c r="M1698" s="115"/>
      <c r="N1698" s="115"/>
      <c r="O1698" s="115"/>
    </row>
    <row r="1699">
      <c r="E1699" s="115"/>
      <c r="F1699" s="115"/>
      <c r="G1699" s="115"/>
      <c r="H1699" s="115"/>
      <c r="I1699" s="115"/>
      <c r="J1699" s="115"/>
      <c r="K1699" s="115"/>
      <c r="L1699" s="115"/>
      <c r="M1699" s="115"/>
      <c r="N1699" s="115"/>
      <c r="O1699" s="115"/>
    </row>
    <row r="1700">
      <c r="E1700" s="115"/>
      <c r="F1700" s="115"/>
      <c r="G1700" s="115"/>
      <c r="H1700" s="115"/>
      <c r="I1700" s="115"/>
      <c r="J1700" s="115"/>
      <c r="K1700" s="115"/>
      <c r="L1700" s="115"/>
      <c r="M1700" s="115"/>
      <c r="N1700" s="115"/>
      <c r="O1700" s="115"/>
    </row>
    <row r="1701">
      <c r="E1701" s="115"/>
      <c r="F1701" s="115"/>
      <c r="G1701" s="115"/>
      <c r="H1701" s="115"/>
      <c r="I1701" s="115"/>
      <c r="J1701" s="115"/>
      <c r="K1701" s="115"/>
      <c r="L1701" s="115"/>
      <c r="M1701" s="115"/>
      <c r="N1701" s="115"/>
      <c r="O1701" s="115"/>
    </row>
    <row r="1702">
      <c r="E1702" s="115"/>
      <c r="F1702" s="115"/>
      <c r="G1702" s="115"/>
      <c r="H1702" s="115"/>
      <c r="I1702" s="115"/>
      <c r="J1702" s="115"/>
      <c r="K1702" s="115"/>
      <c r="L1702" s="115"/>
      <c r="M1702" s="115"/>
      <c r="N1702" s="115"/>
      <c r="O1702" s="115"/>
    </row>
    <row r="1703">
      <c r="E1703" s="115"/>
      <c r="F1703" s="115"/>
      <c r="G1703" s="115"/>
      <c r="H1703" s="115"/>
      <c r="I1703" s="115"/>
      <c r="J1703" s="115"/>
      <c r="K1703" s="115"/>
      <c r="L1703" s="115"/>
      <c r="M1703" s="115"/>
      <c r="N1703" s="115"/>
      <c r="O1703" s="115"/>
    </row>
    <row r="1704">
      <c r="E1704" s="115"/>
      <c r="F1704" s="115"/>
      <c r="G1704" s="115"/>
      <c r="H1704" s="115"/>
      <c r="I1704" s="115"/>
      <c r="J1704" s="115"/>
      <c r="K1704" s="115"/>
      <c r="L1704" s="115"/>
      <c r="M1704" s="115"/>
      <c r="N1704" s="115"/>
      <c r="O1704" s="115"/>
    </row>
    <row r="1705">
      <c r="E1705" s="115"/>
      <c r="F1705" s="115"/>
      <c r="G1705" s="115"/>
      <c r="H1705" s="115"/>
      <c r="I1705" s="115"/>
      <c r="J1705" s="115"/>
      <c r="K1705" s="115"/>
      <c r="L1705" s="115"/>
      <c r="M1705" s="115"/>
      <c r="N1705" s="115"/>
      <c r="O1705" s="115"/>
    </row>
    <row r="1706">
      <c r="E1706" s="115"/>
      <c r="F1706" s="115"/>
      <c r="G1706" s="115"/>
      <c r="H1706" s="115"/>
      <c r="I1706" s="115"/>
      <c r="J1706" s="115"/>
      <c r="K1706" s="115"/>
      <c r="L1706" s="115"/>
      <c r="M1706" s="115"/>
      <c r="N1706" s="115"/>
      <c r="O1706" s="115"/>
    </row>
    <row r="1707">
      <c r="E1707" s="115"/>
      <c r="F1707" s="115"/>
      <c r="G1707" s="115"/>
      <c r="H1707" s="115"/>
      <c r="I1707" s="115"/>
      <c r="J1707" s="115"/>
      <c r="K1707" s="115"/>
      <c r="L1707" s="115"/>
      <c r="M1707" s="115"/>
      <c r="N1707" s="115"/>
      <c r="O1707" s="115"/>
    </row>
    <row r="1708">
      <c r="E1708" s="115"/>
      <c r="F1708" s="115"/>
      <c r="G1708" s="115"/>
      <c r="H1708" s="115"/>
      <c r="I1708" s="115"/>
      <c r="J1708" s="115"/>
      <c r="K1708" s="115"/>
      <c r="L1708" s="115"/>
      <c r="M1708" s="115"/>
      <c r="N1708" s="115"/>
      <c r="O1708" s="115"/>
    </row>
    <row r="1709">
      <c r="E1709" s="115"/>
      <c r="F1709" s="115"/>
      <c r="G1709" s="115"/>
      <c r="H1709" s="115"/>
      <c r="I1709" s="115"/>
      <c r="J1709" s="115"/>
      <c r="K1709" s="115"/>
      <c r="L1709" s="115"/>
      <c r="M1709" s="115"/>
      <c r="N1709" s="115"/>
      <c r="O1709" s="115"/>
    </row>
    <row r="1710">
      <c r="E1710" s="115"/>
      <c r="F1710" s="115"/>
      <c r="G1710" s="115"/>
      <c r="H1710" s="115"/>
      <c r="I1710" s="115"/>
      <c r="J1710" s="115"/>
      <c r="K1710" s="115"/>
      <c r="L1710" s="115"/>
      <c r="M1710" s="115"/>
      <c r="N1710" s="115"/>
      <c r="O1710" s="115"/>
    </row>
    <row r="1711">
      <c r="E1711" s="115"/>
      <c r="F1711" s="115"/>
      <c r="G1711" s="115"/>
      <c r="H1711" s="115"/>
      <c r="I1711" s="115"/>
      <c r="J1711" s="115"/>
      <c r="K1711" s="115"/>
      <c r="L1711" s="115"/>
      <c r="M1711" s="115"/>
      <c r="N1711" s="115"/>
      <c r="O1711" s="115"/>
    </row>
    <row r="1712">
      <c r="E1712" s="115"/>
      <c r="F1712" s="115"/>
      <c r="G1712" s="115"/>
      <c r="H1712" s="115"/>
      <c r="I1712" s="115"/>
      <c r="J1712" s="115"/>
      <c r="K1712" s="115"/>
      <c r="L1712" s="115"/>
      <c r="M1712" s="115"/>
      <c r="N1712" s="115"/>
      <c r="O1712" s="115"/>
    </row>
    <row r="1713">
      <c r="E1713" s="115"/>
      <c r="F1713" s="115"/>
      <c r="G1713" s="115"/>
      <c r="H1713" s="115"/>
      <c r="I1713" s="115"/>
      <c r="J1713" s="115"/>
      <c r="K1713" s="115"/>
      <c r="L1713" s="115"/>
      <c r="M1713" s="115"/>
      <c r="N1713" s="115"/>
      <c r="O1713" s="115"/>
    </row>
    <row r="1714">
      <c r="E1714" s="115"/>
      <c r="F1714" s="115"/>
      <c r="G1714" s="115"/>
      <c r="H1714" s="115"/>
      <c r="I1714" s="115"/>
      <c r="J1714" s="115"/>
      <c r="K1714" s="115"/>
      <c r="L1714" s="115"/>
      <c r="M1714" s="115"/>
      <c r="N1714" s="115"/>
      <c r="O1714" s="115"/>
    </row>
    <row r="1715">
      <c r="E1715" s="115"/>
      <c r="F1715" s="115"/>
      <c r="G1715" s="115"/>
      <c r="H1715" s="115"/>
      <c r="I1715" s="115"/>
      <c r="J1715" s="115"/>
      <c r="K1715" s="115"/>
      <c r="L1715" s="115"/>
      <c r="M1715" s="115"/>
      <c r="N1715" s="115"/>
      <c r="O1715" s="115"/>
    </row>
    <row r="1716">
      <c r="E1716" s="115"/>
      <c r="F1716" s="115"/>
      <c r="G1716" s="115"/>
      <c r="H1716" s="115"/>
      <c r="I1716" s="115"/>
      <c r="J1716" s="115"/>
      <c r="K1716" s="115"/>
      <c r="L1716" s="115"/>
      <c r="M1716" s="115"/>
      <c r="N1716" s="115"/>
      <c r="O1716" s="115"/>
    </row>
    <row r="1717">
      <c r="E1717" s="115"/>
      <c r="F1717" s="115"/>
      <c r="G1717" s="115"/>
      <c r="H1717" s="115"/>
      <c r="I1717" s="115"/>
      <c r="J1717" s="115"/>
      <c r="K1717" s="115"/>
      <c r="L1717" s="115"/>
      <c r="M1717" s="115"/>
      <c r="N1717" s="115"/>
      <c r="O1717" s="115"/>
    </row>
    <row r="1718">
      <c r="E1718" s="115"/>
      <c r="F1718" s="115"/>
      <c r="G1718" s="115"/>
      <c r="H1718" s="115"/>
      <c r="I1718" s="115"/>
      <c r="J1718" s="115"/>
      <c r="K1718" s="115"/>
      <c r="L1718" s="115"/>
      <c r="M1718" s="115"/>
      <c r="N1718" s="115"/>
      <c r="O1718" s="115"/>
    </row>
    <row r="1719">
      <c r="E1719" s="115"/>
      <c r="F1719" s="115"/>
      <c r="G1719" s="115"/>
      <c r="H1719" s="115"/>
      <c r="I1719" s="115"/>
      <c r="J1719" s="115"/>
      <c r="K1719" s="115"/>
      <c r="L1719" s="115"/>
      <c r="M1719" s="115"/>
      <c r="N1719" s="115"/>
      <c r="O1719" s="115"/>
    </row>
    <row r="1720">
      <c r="E1720" s="115"/>
      <c r="F1720" s="115"/>
      <c r="G1720" s="115"/>
      <c r="H1720" s="115"/>
      <c r="I1720" s="115"/>
      <c r="J1720" s="115"/>
      <c r="K1720" s="115"/>
      <c r="L1720" s="115"/>
      <c r="M1720" s="115"/>
      <c r="N1720" s="115"/>
      <c r="O1720" s="115"/>
    </row>
    <row r="1721">
      <c r="E1721" s="115"/>
      <c r="F1721" s="115"/>
      <c r="G1721" s="115"/>
      <c r="H1721" s="115"/>
      <c r="I1721" s="115"/>
      <c r="J1721" s="115"/>
      <c r="K1721" s="115"/>
      <c r="L1721" s="115"/>
      <c r="M1721" s="115"/>
      <c r="N1721" s="115"/>
      <c r="O1721" s="115"/>
    </row>
    <row r="1722">
      <c r="E1722" s="115"/>
      <c r="F1722" s="115"/>
      <c r="G1722" s="115"/>
      <c r="H1722" s="115"/>
      <c r="I1722" s="115"/>
      <c r="J1722" s="115"/>
      <c r="K1722" s="115"/>
      <c r="L1722" s="115"/>
      <c r="M1722" s="115"/>
      <c r="N1722" s="115"/>
      <c r="O1722" s="115"/>
    </row>
    <row r="1723">
      <c r="E1723" s="115"/>
      <c r="F1723" s="115"/>
      <c r="G1723" s="115"/>
      <c r="H1723" s="115"/>
      <c r="I1723" s="115"/>
      <c r="J1723" s="115"/>
      <c r="K1723" s="115"/>
      <c r="L1723" s="115"/>
      <c r="M1723" s="115"/>
      <c r="N1723" s="115"/>
      <c r="O1723" s="115"/>
    </row>
    <row r="1724">
      <c r="E1724" s="115"/>
      <c r="F1724" s="115"/>
      <c r="G1724" s="115"/>
      <c r="H1724" s="115"/>
      <c r="I1724" s="115"/>
      <c r="J1724" s="115"/>
      <c r="K1724" s="115"/>
      <c r="L1724" s="115"/>
      <c r="M1724" s="115"/>
      <c r="N1724" s="115"/>
      <c r="O1724" s="115"/>
    </row>
    <row r="1725">
      <c r="E1725" s="115"/>
      <c r="F1725" s="115"/>
      <c r="G1725" s="115"/>
      <c r="H1725" s="115"/>
      <c r="I1725" s="115"/>
      <c r="J1725" s="115"/>
      <c r="K1725" s="115"/>
      <c r="L1725" s="115"/>
      <c r="M1725" s="115"/>
      <c r="N1725" s="115"/>
      <c r="O1725" s="115"/>
    </row>
    <row r="1726">
      <c r="E1726" s="115"/>
      <c r="F1726" s="115"/>
      <c r="G1726" s="115"/>
      <c r="H1726" s="115"/>
      <c r="I1726" s="115"/>
      <c r="J1726" s="115"/>
      <c r="K1726" s="115"/>
      <c r="L1726" s="115"/>
      <c r="M1726" s="115"/>
      <c r="N1726" s="115"/>
      <c r="O1726" s="115"/>
    </row>
    <row r="1727">
      <c r="E1727" s="115"/>
      <c r="F1727" s="115"/>
      <c r="G1727" s="115"/>
      <c r="H1727" s="115"/>
      <c r="I1727" s="115"/>
      <c r="J1727" s="115"/>
      <c r="K1727" s="115"/>
      <c r="L1727" s="115"/>
      <c r="M1727" s="115"/>
      <c r="N1727" s="115"/>
      <c r="O1727" s="115"/>
    </row>
    <row r="1728">
      <c r="E1728" s="115"/>
      <c r="F1728" s="115"/>
      <c r="G1728" s="115"/>
      <c r="H1728" s="115"/>
      <c r="I1728" s="115"/>
      <c r="J1728" s="115"/>
      <c r="K1728" s="115"/>
      <c r="L1728" s="115"/>
      <c r="M1728" s="115"/>
      <c r="N1728" s="115"/>
      <c r="O1728" s="115"/>
    </row>
    <row r="1729">
      <c r="E1729" s="115"/>
      <c r="F1729" s="115"/>
      <c r="G1729" s="115"/>
      <c r="H1729" s="115"/>
      <c r="I1729" s="115"/>
      <c r="J1729" s="115"/>
      <c r="K1729" s="115"/>
      <c r="L1729" s="115"/>
      <c r="M1729" s="115"/>
      <c r="N1729" s="115"/>
      <c r="O1729" s="115"/>
    </row>
    <row r="1730">
      <c r="E1730" s="115"/>
      <c r="F1730" s="115"/>
      <c r="G1730" s="115"/>
      <c r="H1730" s="115"/>
      <c r="I1730" s="115"/>
      <c r="J1730" s="115"/>
      <c r="K1730" s="115"/>
      <c r="L1730" s="115"/>
      <c r="M1730" s="115"/>
      <c r="N1730" s="115"/>
      <c r="O1730" s="115"/>
    </row>
    <row r="1731">
      <c r="E1731" s="115"/>
      <c r="F1731" s="115"/>
      <c r="G1731" s="115"/>
      <c r="H1731" s="115"/>
      <c r="I1731" s="115"/>
      <c r="J1731" s="115"/>
      <c r="K1731" s="115"/>
      <c r="L1731" s="115"/>
      <c r="M1731" s="115"/>
      <c r="N1731" s="115"/>
      <c r="O1731" s="115"/>
    </row>
    <row r="1732">
      <c r="E1732" s="115"/>
      <c r="F1732" s="115"/>
      <c r="G1732" s="115"/>
      <c r="H1732" s="115"/>
      <c r="I1732" s="115"/>
      <c r="J1732" s="115"/>
      <c r="K1732" s="115"/>
      <c r="L1732" s="115"/>
      <c r="M1732" s="115"/>
      <c r="N1732" s="115"/>
      <c r="O1732" s="115"/>
    </row>
    <row r="1733">
      <c r="E1733" s="115"/>
      <c r="F1733" s="115"/>
      <c r="G1733" s="115"/>
      <c r="H1733" s="115"/>
      <c r="I1733" s="115"/>
      <c r="J1733" s="115"/>
      <c r="K1733" s="115"/>
      <c r="L1733" s="115"/>
      <c r="M1733" s="115"/>
      <c r="N1733" s="115"/>
      <c r="O1733" s="115"/>
    </row>
    <row r="1734">
      <c r="E1734" s="115"/>
      <c r="F1734" s="115"/>
      <c r="G1734" s="115"/>
      <c r="H1734" s="115"/>
      <c r="I1734" s="115"/>
      <c r="J1734" s="115"/>
      <c r="K1734" s="115"/>
      <c r="L1734" s="115"/>
      <c r="M1734" s="115"/>
      <c r="N1734" s="115"/>
      <c r="O1734" s="115"/>
    </row>
    <row r="1735">
      <c r="E1735" s="115"/>
      <c r="F1735" s="115"/>
      <c r="G1735" s="115"/>
      <c r="H1735" s="115"/>
      <c r="I1735" s="115"/>
      <c r="J1735" s="115"/>
      <c r="K1735" s="115"/>
      <c r="L1735" s="115"/>
      <c r="M1735" s="115"/>
      <c r="N1735" s="115"/>
      <c r="O1735" s="115"/>
    </row>
    <row r="1736">
      <c r="E1736" s="115"/>
      <c r="F1736" s="115"/>
      <c r="G1736" s="115"/>
      <c r="H1736" s="115"/>
      <c r="I1736" s="115"/>
      <c r="J1736" s="115"/>
      <c r="K1736" s="115"/>
      <c r="L1736" s="115"/>
      <c r="M1736" s="115"/>
      <c r="N1736" s="115"/>
      <c r="O1736" s="115"/>
    </row>
    <row r="1737">
      <c r="E1737" s="115"/>
      <c r="F1737" s="115"/>
      <c r="G1737" s="115"/>
      <c r="H1737" s="115"/>
      <c r="I1737" s="115"/>
      <c r="J1737" s="115"/>
      <c r="K1737" s="115"/>
      <c r="L1737" s="115"/>
      <c r="M1737" s="115"/>
      <c r="N1737" s="115"/>
      <c r="O1737" s="115"/>
    </row>
    <row r="1738">
      <c r="E1738" s="115"/>
      <c r="F1738" s="115"/>
      <c r="G1738" s="115"/>
      <c r="H1738" s="115"/>
      <c r="I1738" s="115"/>
      <c r="J1738" s="115"/>
      <c r="K1738" s="115"/>
      <c r="L1738" s="115"/>
      <c r="M1738" s="115"/>
      <c r="N1738" s="115"/>
      <c r="O1738" s="115"/>
    </row>
    <row r="1739">
      <c r="E1739" s="115"/>
      <c r="F1739" s="115"/>
      <c r="G1739" s="115"/>
      <c r="H1739" s="115"/>
      <c r="I1739" s="115"/>
      <c r="J1739" s="115"/>
      <c r="K1739" s="115"/>
      <c r="L1739" s="115"/>
      <c r="M1739" s="115"/>
      <c r="N1739" s="115"/>
      <c r="O1739" s="115"/>
    </row>
    <row r="1740">
      <c r="E1740" s="115"/>
      <c r="F1740" s="115"/>
      <c r="G1740" s="115"/>
      <c r="H1740" s="115"/>
      <c r="I1740" s="115"/>
      <c r="J1740" s="115"/>
      <c r="K1740" s="115"/>
      <c r="L1740" s="115"/>
      <c r="M1740" s="115"/>
      <c r="N1740" s="115"/>
      <c r="O1740" s="115"/>
    </row>
    <row r="1741">
      <c r="E1741" s="115"/>
      <c r="F1741" s="115"/>
      <c r="G1741" s="115"/>
      <c r="H1741" s="115"/>
      <c r="I1741" s="115"/>
      <c r="J1741" s="115"/>
      <c r="K1741" s="115"/>
      <c r="L1741" s="115"/>
      <c r="M1741" s="115"/>
      <c r="N1741" s="115"/>
      <c r="O1741" s="115"/>
    </row>
    <row r="1742">
      <c r="E1742" s="115"/>
      <c r="F1742" s="115"/>
      <c r="G1742" s="115"/>
      <c r="H1742" s="115"/>
      <c r="I1742" s="115"/>
      <c r="J1742" s="115"/>
      <c r="K1742" s="115"/>
      <c r="L1742" s="115"/>
      <c r="M1742" s="115"/>
      <c r="N1742" s="115"/>
      <c r="O1742" s="115"/>
    </row>
    <row r="1743">
      <c r="E1743" s="115"/>
      <c r="F1743" s="115"/>
      <c r="G1743" s="115"/>
      <c r="H1743" s="115"/>
      <c r="I1743" s="115"/>
      <c r="J1743" s="115"/>
      <c r="K1743" s="115"/>
      <c r="L1743" s="115"/>
      <c r="M1743" s="115"/>
      <c r="N1743" s="115"/>
      <c r="O1743" s="115"/>
    </row>
    <row r="1744">
      <c r="E1744" s="115"/>
      <c r="F1744" s="115"/>
      <c r="G1744" s="115"/>
      <c r="H1744" s="115"/>
      <c r="I1744" s="115"/>
      <c r="J1744" s="115"/>
      <c r="K1744" s="115"/>
      <c r="L1744" s="115"/>
      <c r="M1744" s="115"/>
      <c r="N1744" s="115"/>
      <c r="O1744" s="115"/>
    </row>
    <row r="1745">
      <c r="E1745" s="115"/>
      <c r="F1745" s="115"/>
      <c r="G1745" s="115"/>
      <c r="H1745" s="115"/>
      <c r="I1745" s="115"/>
      <c r="J1745" s="115"/>
      <c r="K1745" s="115"/>
      <c r="L1745" s="115"/>
      <c r="M1745" s="115"/>
      <c r="N1745" s="115"/>
      <c r="O1745" s="115"/>
    </row>
    <row r="1746">
      <c r="E1746" s="115"/>
      <c r="F1746" s="115"/>
      <c r="G1746" s="115"/>
      <c r="H1746" s="115"/>
      <c r="I1746" s="115"/>
      <c r="J1746" s="115"/>
      <c r="K1746" s="115"/>
      <c r="L1746" s="115"/>
      <c r="M1746" s="115"/>
      <c r="N1746" s="115"/>
      <c r="O1746" s="115"/>
    </row>
    <row r="1747">
      <c r="E1747" s="115"/>
      <c r="F1747" s="115"/>
      <c r="G1747" s="115"/>
      <c r="H1747" s="115"/>
      <c r="I1747" s="115"/>
      <c r="J1747" s="115"/>
      <c r="K1747" s="115"/>
      <c r="L1747" s="115"/>
      <c r="M1747" s="115"/>
      <c r="N1747" s="115"/>
      <c r="O1747" s="115"/>
    </row>
    <row r="1748">
      <c r="E1748" s="115"/>
      <c r="F1748" s="115"/>
      <c r="G1748" s="115"/>
      <c r="H1748" s="115"/>
      <c r="I1748" s="115"/>
      <c r="J1748" s="115"/>
      <c r="K1748" s="115"/>
      <c r="L1748" s="115"/>
      <c r="M1748" s="115"/>
      <c r="N1748" s="115"/>
      <c r="O1748" s="115"/>
    </row>
    <row r="1749">
      <c r="E1749" s="115"/>
      <c r="F1749" s="115"/>
      <c r="G1749" s="115"/>
      <c r="H1749" s="115"/>
      <c r="I1749" s="115"/>
      <c r="J1749" s="115"/>
      <c r="K1749" s="115"/>
      <c r="L1749" s="115"/>
      <c r="M1749" s="115"/>
      <c r="N1749" s="115"/>
      <c r="O1749" s="115"/>
    </row>
    <row r="1750">
      <c r="E1750" s="115"/>
      <c r="F1750" s="115"/>
      <c r="G1750" s="115"/>
      <c r="H1750" s="115"/>
      <c r="I1750" s="115"/>
      <c r="J1750" s="115"/>
      <c r="K1750" s="115"/>
      <c r="L1750" s="115"/>
      <c r="M1750" s="115"/>
      <c r="N1750" s="115"/>
      <c r="O1750" s="115"/>
    </row>
    <row r="1751">
      <c r="E1751" s="115"/>
      <c r="F1751" s="115"/>
      <c r="G1751" s="115"/>
      <c r="H1751" s="115"/>
      <c r="I1751" s="115"/>
      <c r="J1751" s="115"/>
      <c r="K1751" s="115"/>
      <c r="L1751" s="115"/>
      <c r="M1751" s="115"/>
      <c r="N1751" s="115"/>
      <c r="O1751" s="115"/>
    </row>
    <row r="1752">
      <c r="E1752" s="115"/>
      <c r="F1752" s="115"/>
      <c r="G1752" s="115"/>
      <c r="H1752" s="115"/>
      <c r="I1752" s="115"/>
      <c r="J1752" s="115"/>
      <c r="K1752" s="115"/>
      <c r="L1752" s="115"/>
      <c r="M1752" s="115"/>
      <c r="N1752" s="115"/>
      <c r="O1752" s="115"/>
    </row>
    <row r="1753">
      <c r="E1753" s="115"/>
      <c r="F1753" s="115"/>
      <c r="G1753" s="115"/>
      <c r="H1753" s="115"/>
      <c r="I1753" s="115"/>
      <c r="J1753" s="115"/>
      <c r="K1753" s="115"/>
      <c r="L1753" s="115"/>
      <c r="M1753" s="115"/>
      <c r="N1753" s="115"/>
      <c r="O1753" s="115"/>
    </row>
    <row r="1754">
      <c r="E1754" s="115"/>
      <c r="F1754" s="115"/>
      <c r="G1754" s="115"/>
      <c r="H1754" s="115"/>
      <c r="I1754" s="115"/>
      <c r="J1754" s="115"/>
      <c r="K1754" s="115"/>
      <c r="L1754" s="115"/>
      <c r="M1754" s="115"/>
      <c r="N1754" s="115"/>
      <c r="O1754" s="115"/>
    </row>
    <row r="1755">
      <c r="E1755" s="115"/>
      <c r="F1755" s="115"/>
      <c r="G1755" s="115"/>
      <c r="H1755" s="115"/>
      <c r="I1755" s="115"/>
      <c r="J1755" s="115"/>
      <c r="K1755" s="115"/>
      <c r="L1755" s="115"/>
      <c r="M1755" s="115"/>
      <c r="N1755" s="115"/>
      <c r="O1755" s="115"/>
    </row>
    <row r="1756">
      <c r="E1756" s="115"/>
      <c r="F1756" s="115"/>
      <c r="G1756" s="115"/>
      <c r="H1756" s="115"/>
      <c r="I1756" s="115"/>
      <c r="J1756" s="115"/>
      <c r="K1756" s="115"/>
      <c r="L1756" s="115"/>
      <c r="M1756" s="115"/>
      <c r="N1756" s="115"/>
      <c r="O1756" s="115"/>
    </row>
    <row r="1757">
      <c r="E1757" s="115"/>
      <c r="F1757" s="115"/>
      <c r="G1757" s="115"/>
      <c r="H1757" s="115"/>
      <c r="I1757" s="115"/>
      <c r="J1757" s="115"/>
      <c r="K1757" s="115"/>
      <c r="L1757" s="115"/>
      <c r="M1757" s="115"/>
      <c r="N1757" s="115"/>
      <c r="O1757" s="115"/>
    </row>
    <row r="1758">
      <c r="E1758" s="115"/>
      <c r="F1758" s="115"/>
      <c r="G1758" s="115"/>
      <c r="H1758" s="115"/>
      <c r="I1758" s="115"/>
      <c r="J1758" s="115"/>
      <c r="K1758" s="115"/>
      <c r="L1758" s="115"/>
      <c r="M1758" s="115"/>
      <c r="N1758" s="115"/>
      <c r="O1758" s="115"/>
    </row>
    <row r="1759">
      <c r="E1759" s="115"/>
      <c r="F1759" s="115"/>
      <c r="G1759" s="115"/>
      <c r="H1759" s="115"/>
      <c r="I1759" s="115"/>
      <c r="J1759" s="115"/>
      <c r="K1759" s="115"/>
      <c r="L1759" s="115"/>
      <c r="M1759" s="115"/>
      <c r="N1759" s="115"/>
      <c r="O1759" s="115"/>
    </row>
    <row r="1760">
      <c r="E1760" s="115"/>
      <c r="F1760" s="115"/>
      <c r="G1760" s="115"/>
      <c r="H1760" s="115"/>
      <c r="I1760" s="115"/>
      <c r="J1760" s="115"/>
      <c r="K1760" s="115"/>
      <c r="L1760" s="115"/>
      <c r="M1760" s="115"/>
      <c r="N1760" s="115"/>
      <c r="O1760" s="115"/>
    </row>
    <row r="1761">
      <c r="E1761" s="115"/>
      <c r="F1761" s="115"/>
      <c r="G1761" s="115"/>
      <c r="H1761" s="115"/>
      <c r="I1761" s="115"/>
      <c r="J1761" s="115"/>
      <c r="K1761" s="115"/>
      <c r="L1761" s="115"/>
      <c r="M1761" s="115"/>
      <c r="N1761" s="115"/>
      <c r="O1761" s="115"/>
    </row>
    <row r="1762">
      <c r="E1762" s="115"/>
      <c r="F1762" s="115"/>
      <c r="G1762" s="115"/>
      <c r="H1762" s="115"/>
      <c r="I1762" s="115"/>
      <c r="J1762" s="115"/>
      <c r="K1762" s="115"/>
      <c r="L1762" s="115"/>
      <c r="M1762" s="115"/>
      <c r="N1762" s="115"/>
      <c r="O1762" s="115"/>
    </row>
    <row r="1763">
      <c r="E1763" s="115"/>
      <c r="F1763" s="115"/>
      <c r="G1763" s="115"/>
      <c r="H1763" s="115"/>
      <c r="I1763" s="115"/>
      <c r="J1763" s="115"/>
      <c r="K1763" s="115"/>
      <c r="L1763" s="115"/>
      <c r="M1763" s="115"/>
      <c r="N1763" s="115"/>
      <c r="O1763" s="115"/>
    </row>
    <row r="1764">
      <c r="E1764" s="115"/>
      <c r="F1764" s="115"/>
      <c r="G1764" s="115"/>
      <c r="H1764" s="115"/>
      <c r="I1764" s="115"/>
      <c r="J1764" s="115"/>
      <c r="K1764" s="115"/>
      <c r="L1764" s="115"/>
      <c r="M1764" s="115"/>
      <c r="N1764" s="115"/>
      <c r="O1764" s="115"/>
    </row>
    <row r="1765">
      <c r="E1765" s="115"/>
      <c r="F1765" s="115"/>
      <c r="G1765" s="115"/>
      <c r="H1765" s="115"/>
      <c r="I1765" s="115"/>
      <c r="J1765" s="115"/>
      <c r="K1765" s="115"/>
      <c r="L1765" s="115"/>
      <c r="M1765" s="115"/>
      <c r="N1765" s="115"/>
      <c r="O1765" s="115"/>
    </row>
    <row r="1766">
      <c r="E1766" s="115"/>
      <c r="F1766" s="115"/>
      <c r="G1766" s="115"/>
      <c r="H1766" s="115"/>
      <c r="I1766" s="115"/>
      <c r="J1766" s="115"/>
      <c r="K1766" s="115"/>
      <c r="L1766" s="115"/>
      <c r="M1766" s="115"/>
      <c r="N1766" s="115"/>
      <c r="O1766" s="115"/>
    </row>
    <row r="1767">
      <c r="E1767" s="115"/>
      <c r="F1767" s="115"/>
      <c r="G1767" s="115"/>
      <c r="H1767" s="115"/>
      <c r="I1767" s="115"/>
      <c r="J1767" s="115"/>
      <c r="K1767" s="115"/>
      <c r="L1767" s="115"/>
      <c r="M1767" s="115"/>
      <c r="N1767" s="115"/>
      <c r="O1767" s="115"/>
    </row>
    <row r="1768">
      <c r="E1768" s="115"/>
      <c r="F1768" s="115"/>
      <c r="G1768" s="115"/>
      <c r="H1768" s="115"/>
      <c r="I1768" s="115"/>
      <c r="J1768" s="115"/>
      <c r="K1768" s="115"/>
      <c r="L1768" s="115"/>
      <c r="M1768" s="115"/>
      <c r="N1768" s="115"/>
      <c r="O1768" s="115"/>
    </row>
    <row r="1769">
      <c r="E1769" s="115"/>
      <c r="F1769" s="115"/>
      <c r="G1769" s="115"/>
      <c r="H1769" s="115"/>
      <c r="I1769" s="115"/>
      <c r="J1769" s="115"/>
      <c r="K1769" s="115"/>
      <c r="L1769" s="115"/>
      <c r="M1769" s="115"/>
      <c r="N1769" s="115"/>
      <c r="O1769" s="115"/>
    </row>
    <row r="1770">
      <c r="E1770" s="115"/>
      <c r="F1770" s="115"/>
      <c r="G1770" s="115"/>
      <c r="H1770" s="115"/>
      <c r="I1770" s="115"/>
      <c r="J1770" s="115"/>
      <c r="K1770" s="115"/>
      <c r="L1770" s="115"/>
      <c r="M1770" s="115"/>
      <c r="N1770" s="115"/>
      <c r="O1770" s="115"/>
    </row>
    <row r="1771">
      <c r="E1771" s="115"/>
      <c r="F1771" s="115"/>
      <c r="G1771" s="115"/>
      <c r="H1771" s="115"/>
      <c r="I1771" s="115"/>
      <c r="J1771" s="115"/>
      <c r="K1771" s="115"/>
      <c r="L1771" s="115"/>
      <c r="M1771" s="115"/>
      <c r="N1771" s="115"/>
      <c r="O1771" s="115"/>
    </row>
    <row r="1772">
      <c r="E1772" s="115"/>
      <c r="F1772" s="115"/>
      <c r="G1772" s="115"/>
      <c r="H1772" s="115"/>
      <c r="I1772" s="115"/>
      <c r="J1772" s="115"/>
      <c r="K1772" s="115"/>
      <c r="L1772" s="115"/>
      <c r="M1772" s="115"/>
      <c r="N1772" s="115"/>
      <c r="O1772" s="115"/>
    </row>
    <row r="1773">
      <c r="E1773" s="115"/>
      <c r="F1773" s="115"/>
      <c r="G1773" s="115"/>
      <c r="H1773" s="115"/>
      <c r="I1773" s="115"/>
      <c r="J1773" s="115"/>
      <c r="K1773" s="115"/>
      <c r="L1773" s="115"/>
      <c r="M1773" s="115"/>
      <c r="N1773" s="115"/>
      <c r="O1773" s="115"/>
    </row>
    <row r="1774">
      <c r="E1774" s="115"/>
      <c r="F1774" s="115"/>
      <c r="G1774" s="115"/>
      <c r="H1774" s="115"/>
      <c r="I1774" s="115"/>
      <c r="J1774" s="115"/>
      <c r="K1774" s="115"/>
      <c r="L1774" s="115"/>
      <c r="M1774" s="115"/>
      <c r="N1774" s="115"/>
      <c r="O1774" s="115"/>
    </row>
    <row r="1775">
      <c r="E1775" s="115"/>
      <c r="F1775" s="115"/>
      <c r="G1775" s="115"/>
      <c r="H1775" s="115"/>
      <c r="I1775" s="115"/>
      <c r="J1775" s="115"/>
      <c r="K1775" s="115"/>
      <c r="L1775" s="115"/>
      <c r="M1775" s="115"/>
      <c r="N1775" s="115"/>
      <c r="O1775" s="115"/>
    </row>
    <row r="1776">
      <c r="E1776" s="115"/>
      <c r="F1776" s="115"/>
      <c r="G1776" s="115"/>
      <c r="H1776" s="115"/>
      <c r="I1776" s="115"/>
      <c r="J1776" s="115"/>
      <c r="K1776" s="115"/>
      <c r="L1776" s="115"/>
      <c r="M1776" s="115"/>
      <c r="N1776" s="115"/>
      <c r="O1776" s="115"/>
    </row>
    <row r="1777">
      <c r="E1777" s="115"/>
      <c r="F1777" s="115"/>
      <c r="G1777" s="115"/>
      <c r="H1777" s="115"/>
      <c r="I1777" s="115"/>
      <c r="J1777" s="115"/>
      <c r="K1777" s="115"/>
      <c r="L1777" s="115"/>
      <c r="M1777" s="115"/>
      <c r="N1777" s="115"/>
      <c r="O1777" s="115"/>
    </row>
    <row r="1778">
      <c r="E1778" s="115"/>
      <c r="F1778" s="115"/>
      <c r="G1778" s="115"/>
      <c r="H1778" s="115"/>
      <c r="I1778" s="115"/>
      <c r="J1778" s="115"/>
      <c r="K1778" s="115"/>
      <c r="L1778" s="115"/>
      <c r="M1778" s="115"/>
      <c r="N1778" s="115"/>
      <c r="O1778" s="115"/>
    </row>
    <row r="1779">
      <c r="E1779" s="115"/>
      <c r="F1779" s="115"/>
      <c r="G1779" s="115"/>
      <c r="H1779" s="115"/>
      <c r="I1779" s="115"/>
      <c r="J1779" s="115"/>
      <c r="K1779" s="115"/>
      <c r="L1779" s="115"/>
      <c r="M1779" s="115"/>
      <c r="N1779" s="115"/>
      <c r="O1779" s="115"/>
    </row>
    <row r="1780">
      <c r="E1780" s="115"/>
      <c r="F1780" s="115"/>
      <c r="G1780" s="115"/>
      <c r="H1780" s="115"/>
      <c r="I1780" s="115"/>
      <c r="J1780" s="115"/>
      <c r="K1780" s="115"/>
      <c r="L1780" s="115"/>
      <c r="M1780" s="115"/>
      <c r="N1780" s="115"/>
      <c r="O1780" s="115"/>
    </row>
    <row r="1781">
      <c r="E1781" s="115"/>
      <c r="F1781" s="115"/>
      <c r="G1781" s="115"/>
      <c r="H1781" s="115"/>
      <c r="I1781" s="115"/>
      <c r="J1781" s="115"/>
      <c r="K1781" s="115"/>
      <c r="L1781" s="115"/>
      <c r="M1781" s="115"/>
      <c r="N1781" s="115"/>
      <c r="O1781" s="115"/>
    </row>
    <row r="1782">
      <c r="E1782" s="115"/>
      <c r="F1782" s="115"/>
      <c r="G1782" s="115"/>
      <c r="H1782" s="115"/>
      <c r="I1782" s="115"/>
      <c r="J1782" s="115"/>
      <c r="K1782" s="115"/>
      <c r="L1782" s="115"/>
      <c r="M1782" s="115"/>
      <c r="N1782" s="115"/>
      <c r="O1782" s="115"/>
    </row>
    <row r="1783">
      <c r="E1783" s="115"/>
      <c r="F1783" s="115"/>
      <c r="G1783" s="115"/>
      <c r="H1783" s="115"/>
      <c r="I1783" s="115"/>
      <c r="J1783" s="115"/>
      <c r="K1783" s="115"/>
      <c r="L1783" s="115"/>
      <c r="M1783" s="115"/>
      <c r="N1783" s="115"/>
      <c r="O1783" s="115"/>
    </row>
    <row r="1784">
      <c r="E1784" s="115"/>
      <c r="F1784" s="115"/>
      <c r="G1784" s="115"/>
      <c r="H1784" s="115"/>
      <c r="I1784" s="115"/>
      <c r="J1784" s="115"/>
      <c r="K1784" s="115"/>
      <c r="L1784" s="115"/>
      <c r="M1784" s="115"/>
      <c r="N1784" s="115"/>
      <c r="O1784" s="115"/>
    </row>
    <row r="1785">
      <c r="E1785" s="115"/>
      <c r="F1785" s="115"/>
      <c r="G1785" s="115"/>
      <c r="H1785" s="115"/>
      <c r="I1785" s="115"/>
      <c r="J1785" s="115"/>
      <c r="K1785" s="115"/>
      <c r="L1785" s="115"/>
      <c r="M1785" s="115"/>
      <c r="N1785" s="115"/>
      <c r="O1785" s="115"/>
    </row>
    <row r="1786">
      <c r="E1786" s="115"/>
      <c r="F1786" s="115"/>
      <c r="G1786" s="115"/>
      <c r="H1786" s="115"/>
      <c r="I1786" s="115"/>
      <c r="J1786" s="115"/>
      <c r="K1786" s="115"/>
      <c r="L1786" s="115"/>
      <c r="M1786" s="115"/>
      <c r="N1786" s="115"/>
      <c r="O1786" s="115"/>
    </row>
    <row r="1787">
      <c r="E1787" s="115"/>
      <c r="F1787" s="115"/>
      <c r="G1787" s="115"/>
      <c r="H1787" s="115"/>
      <c r="I1787" s="115"/>
      <c r="J1787" s="115"/>
      <c r="K1787" s="115"/>
      <c r="L1787" s="115"/>
      <c r="M1787" s="115"/>
      <c r="N1787" s="115"/>
      <c r="O1787" s="115"/>
    </row>
    <row r="1788">
      <c r="E1788" s="115"/>
      <c r="F1788" s="115"/>
      <c r="G1788" s="115"/>
      <c r="H1788" s="115"/>
      <c r="I1788" s="115"/>
      <c r="J1788" s="115"/>
      <c r="K1788" s="115"/>
      <c r="L1788" s="115"/>
      <c r="M1788" s="115"/>
      <c r="N1788" s="115"/>
      <c r="O1788" s="115"/>
    </row>
    <row r="1789">
      <c r="E1789" s="115"/>
      <c r="F1789" s="115"/>
      <c r="G1789" s="115"/>
      <c r="H1789" s="115"/>
      <c r="I1789" s="115"/>
      <c r="J1789" s="115"/>
      <c r="K1789" s="115"/>
      <c r="L1789" s="115"/>
      <c r="M1789" s="115"/>
      <c r="N1789" s="115"/>
      <c r="O1789" s="115"/>
    </row>
    <row r="1790">
      <c r="E1790" s="115"/>
      <c r="F1790" s="115"/>
      <c r="G1790" s="115"/>
      <c r="H1790" s="115"/>
      <c r="I1790" s="115"/>
      <c r="J1790" s="115"/>
      <c r="K1790" s="115"/>
      <c r="L1790" s="115"/>
      <c r="M1790" s="115"/>
      <c r="N1790" s="115"/>
      <c r="O1790" s="115"/>
    </row>
    <row r="1791">
      <c r="E1791" s="115"/>
      <c r="F1791" s="115"/>
      <c r="G1791" s="115"/>
      <c r="H1791" s="115"/>
      <c r="I1791" s="115"/>
      <c r="J1791" s="115"/>
      <c r="K1791" s="115"/>
      <c r="L1791" s="115"/>
      <c r="M1791" s="115"/>
      <c r="N1791" s="115"/>
      <c r="O1791" s="115"/>
    </row>
    <row r="1792">
      <c r="E1792" s="115"/>
      <c r="F1792" s="115"/>
      <c r="G1792" s="115"/>
      <c r="H1792" s="115"/>
      <c r="I1792" s="115"/>
      <c r="J1792" s="115"/>
      <c r="K1792" s="115"/>
      <c r="L1792" s="115"/>
      <c r="M1792" s="115"/>
      <c r="N1792" s="115"/>
      <c r="O1792" s="115"/>
    </row>
    <row r="1793">
      <c r="E1793" s="115"/>
      <c r="F1793" s="115"/>
      <c r="G1793" s="115"/>
      <c r="H1793" s="115"/>
      <c r="I1793" s="115"/>
      <c r="J1793" s="115"/>
      <c r="K1793" s="115"/>
      <c r="L1793" s="115"/>
      <c r="M1793" s="115"/>
      <c r="N1793" s="115"/>
      <c r="O1793" s="115"/>
    </row>
    <row r="1794">
      <c r="E1794" s="115"/>
      <c r="F1794" s="115"/>
      <c r="G1794" s="115"/>
      <c r="H1794" s="115"/>
      <c r="I1794" s="115"/>
      <c r="J1794" s="115"/>
      <c r="K1794" s="115"/>
      <c r="L1794" s="115"/>
      <c r="M1794" s="115"/>
      <c r="N1794" s="115"/>
      <c r="O1794" s="115"/>
    </row>
    <row r="1795">
      <c r="E1795" s="115"/>
      <c r="F1795" s="115"/>
      <c r="G1795" s="115"/>
      <c r="H1795" s="115"/>
      <c r="I1795" s="115"/>
      <c r="J1795" s="115"/>
      <c r="K1795" s="115"/>
      <c r="L1795" s="115"/>
      <c r="M1795" s="115"/>
      <c r="N1795" s="115"/>
      <c r="O1795" s="115"/>
    </row>
    <row r="1796">
      <c r="E1796" s="115"/>
      <c r="F1796" s="115"/>
      <c r="G1796" s="115"/>
      <c r="H1796" s="115"/>
      <c r="I1796" s="115"/>
      <c r="J1796" s="115"/>
      <c r="K1796" s="115"/>
      <c r="L1796" s="115"/>
      <c r="M1796" s="115"/>
      <c r="N1796" s="115"/>
      <c r="O1796" s="115"/>
    </row>
    <row r="1797">
      <c r="E1797" s="115"/>
      <c r="F1797" s="115"/>
      <c r="G1797" s="115"/>
      <c r="H1797" s="115"/>
      <c r="I1797" s="115"/>
      <c r="J1797" s="115"/>
      <c r="K1797" s="115"/>
      <c r="L1797" s="115"/>
      <c r="M1797" s="115"/>
      <c r="N1797" s="115"/>
      <c r="O1797" s="115"/>
    </row>
    <row r="1798">
      <c r="E1798" s="115"/>
      <c r="F1798" s="115"/>
      <c r="G1798" s="115"/>
      <c r="H1798" s="115"/>
      <c r="I1798" s="115"/>
      <c r="J1798" s="115"/>
      <c r="K1798" s="115"/>
      <c r="L1798" s="115"/>
      <c r="M1798" s="115"/>
      <c r="N1798" s="115"/>
      <c r="O1798" s="115"/>
    </row>
    <row r="1799">
      <c r="E1799" s="115"/>
      <c r="F1799" s="115"/>
      <c r="G1799" s="115"/>
      <c r="H1799" s="115"/>
      <c r="I1799" s="115"/>
      <c r="J1799" s="115"/>
      <c r="K1799" s="115"/>
      <c r="L1799" s="115"/>
      <c r="M1799" s="115"/>
      <c r="N1799" s="115"/>
      <c r="O1799" s="115"/>
    </row>
    <row r="1800">
      <c r="E1800" s="115"/>
      <c r="F1800" s="115"/>
      <c r="G1800" s="115"/>
      <c r="H1800" s="115"/>
      <c r="I1800" s="115"/>
      <c r="J1800" s="115"/>
      <c r="K1800" s="115"/>
      <c r="L1800" s="115"/>
      <c r="M1800" s="115"/>
      <c r="N1800" s="115"/>
      <c r="O1800" s="115"/>
    </row>
    <row r="1801">
      <c r="E1801" s="115"/>
      <c r="F1801" s="115"/>
      <c r="G1801" s="115"/>
      <c r="H1801" s="115"/>
      <c r="I1801" s="115"/>
      <c r="J1801" s="115"/>
      <c r="K1801" s="115"/>
      <c r="L1801" s="115"/>
      <c r="M1801" s="115"/>
      <c r="N1801" s="115"/>
      <c r="O1801" s="115"/>
    </row>
    <row r="1802">
      <c r="E1802" s="115"/>
      <c r="F1802" s="115"/>
      <c r="G1802" s="115"/>
      <c r="H1802" s="115"/>
      <c r="I1802" s="115"/>
      <c r="J1802" s="115"/>
      <c r="K1802" s="115"/>
      <c r="L1802" s="115"/>
      <c r="M1802" s="115"/>
      <c r="N1802" s="115"/>
      <c r="O1802" s="115"/>
    </row>
    <row r="1803">
      <c r="E1803" s="115"/>
      <c r="F1803" s="115"/>
      <c r="G1803" s="115"/>
      <c r="H1803" s="115"/>
      <c r="I1803" s="115"/>
      <c r="J1803" s="115"/>
      <c r="K1803" s="115"/>
      <c r="L1803" s="115"/>
      <c r="M1803" s="115"/>
      <c r="N1803" s="115"/>
      <c r="O1803" s="115"/>
    </row>
    <row r="1804">
      <c r="E1804" s="115"/>
      <c r="F1804" s="115"/>
      <c r="G1804" s="115"/>
      <c r="H1804" s="115"/>
      <c r="I1804" s="115"/>
      <c r="J1804" s="115"/>
      <c r="K1804" s="115"/>
      <c r="L1804" s="115"/>
      <c r="M1804" s="115"/>
      <c r="N1804" s="115"/>
      <c r="O1804" s="115"/>
    </row>
    <row r="1805">
      <c r="E1805" s="115"/>
      <c r="F1805" s="115"/>
      <c r="G1805" s="115"/>
      <c r="H1805" s="115"/>
      <c r="I1805" s="115"/>
      <c r="J1805" s="115"/>
      <c r="K1805" s="115"/>
      <c r="L1805" s="115"/>
      <c r="M1805" s="115"/>
      <c r="N1805" s="115"/>
      <c r="O1805" s="115"/>
    </row>
    <row r="1806">
      <c r="E1806" s="115"/>
      <c r="F1806" s="115"/>
      <c r="G1806" s="115"/>
      <c r="H1806" s="115"/>
      <c r="I1806" s="115"/>
      <c r="J1806" s="115"/>
      <c r="K1806" s="115"/>
      <c r="L1806" s="115"/>
      <c r="M1806" s="115"/>
      <c r="N1806" s="115"/>
      <c r="O1806" s="115"/>
    </row>
    <row r="1807">
      <c r="E1807" s="115"/>
      <c r="F1807" s="115"/>
      <c r="G1807" s="115"/>
      <c r="H1807" s="115"/>
      <c r="I1807" s="115"/>
      <c r="J1807" s="115"/>
      <c r="K1807" s="115"/>
      <c r="L1807" s="115"/>
      <c r="M1807" s="115"/>
      <c r="N1807" s="115"/>
      <c r="O1807" s="115"/>
    </row>
    <row r="1808">
      <c r="E1808" s="115"/>
      <c r="F1808" s="115"/>
      <c r="G1808" s="115"/>
      <c r="H1808" s="115"/>
      <c r="I1808" s="115"/>
      <c r="J1808" s="115"/>
      <c r="K1808" s="115"/>
      <c r="L1808" s="115"/>
      <c r="M1808" s="115"/>
      <c r="N1808" s="115"/>
      <c r="O1808" s="115"/>
    </row>
    <row r="1809">
      <c r="E1809" s="115"/>
      <c r="F1809" s="115"/>
      <c r="G1809" s="115"/>
      <c r="H1809" s="115"/>
      <c r="I1809" s="115"/>
      <c r="J1809" s="115"/>
      <c r="K1809" s="115"/>
      <c r="L1809" s="115"/>
      <c r="M1809" s="115"/>
      <c r="N1809" s="115"/>
      <c r="O1809" s="115"/>
    </row>
    <row r="1810">
      <c r="E1810" s="115"/>
      <c r="F1810" s="115"/>
      <c r="G1810" s="115"/>
      <c r="H1810" s="115"/>
      <c r="I1810" s="115"/>
      <c r="J1810" s="115"/>
      <c r="K1810" s="115"/>
      <c r="L1810" s="115"/>
      <c r="M1810" s="115"/>
      <c r="N1810" s="115"/>
      <c r="O1810" s="115"/>
    </row>
    <row r="1811">
      <c r="E1811" s="115"/>
      <c r="F1811" s="115"/>
      <c r="G1811" s="115"/>
      <c r="H1811" s="115"/>
      <c r="I1811" s="115"/>
      <c r="J1811" s="115"/>
      <c r="K1811" s="115"/>
      <c r="L1811" s="115"/>
      <c r="M1811" s="115"/>
      <c r="N1811" s="115"/>
      <c r="O1811" s="115"/>
    </row>
    <row r="1812">
      <c r="E1812" s="115"/>
      <c r="F1812" s="115"/>
      <c r="G1812" s="115"/>
      <c r="H1812" s="115"/>
      <c r="I1812" s="115"/>
      <c r="J1812" s="115"/>
      <c r="K1812" s="115"/>
      <c r="L1812" s="115"/>
      <c r="M1812" s="115"/>
      <c r="N1812" s="115"/>
      <c r="O1812" s="115"/>
    </row>
    <row r="1813">
      <c r="E1813" s="115"/>
      <c r="F1813" s="115"/>
      <c r="G1813" s="115"/>
      <c r="H1813" s="115"/>
      <c r="I1813" s="115"/>
      <c r="J1813" s="115"/>
      <c r="K1813" s="115"/>
      <c r="L1813" s="115"/>
      <c r="M1813" s="115"/>
      <c r="N1813" s="115"/>
      <c r="O1813" s="115"/>
    </row>
    <row r="1814">
      <c r="E1814" s="115"/>
      <c r="F1814" s="115"/>
      <c r="G1814" s="115"/>
      <c r="H1814" s="115"/>
      <c r="I1814" s="115"/>
      <c r="J1814" s="115"/>
      <c r="K1814" s="115"/>
      <c r="L1814" s="115"/>
      <c r="M1814" s="115"/>
      <c r="N1814" s="115"/>
      <c r="O1814" s="115"/>
    </row>
    <row r="1815">
      <c r="E1815" s="115"/>
      <c r="F1815" s="115"/>
      <c r="G1815" s="115"/>
      <c r="H1815" s="115"/>
      <c r="I1815" s="115"/>
      <c r="J1815" s="115"/>
      <c r="K1815" s="115"/>
      <c r="L1815" s="115"/>
      <c r="M1815" s="115"/>
      <c r="N1815" s="115"/>
      <c r="O1815" s="115"/>
    </row>
    <row r="1816">
      <c r="E1816" s="115"/>
      <c r="F1816" s="115"/>
      <c r="G1816" s="115"/>
      <c r="H1816" s="115"/>
      <c r="I1816" s="115"/>
      <c r="J1816" s="115"/>
      <c r="K1816" s="115"/>
      <c r="L1816" s="115"/>
      <c r="M1816" s="115"/>
      <c r="N1816" s="115"/>
      <c r="O1816" s="115"/>
    </row>
    <row r="1817">
      <c r="E1817" s="115"/>
      <c r="F1817" s="115"/>
      <c r="G1817" s="115"/>
      <c r="H1817" s="115"/>
      <c r="I1817" s="115"/>
      <c r="J1817" s="115"/>
      <c r="K1817" s="115"/>
      <c r="L1817" s="115"/>
      <c r="M1817" s="115"/>
      <c r="N1817" s="115"/>
      <c r="O1817" s="115"/>
    </row>
    <row r="1818">
      <c r="E1818" s="115"/>
      <c r="F1818" s="115"/>
      <c r="G1818" s="115"/>
      <c r="H1818" s="115"/>
      <c r="I1818" s="115"/>
      <c r="J1818" s="115"/>
      <c r="K1818" s="115"/>
      <c r="L1818" s="115"/>
      <c r="M1818" s="115"/>
      <c r="N1818" s="115"/>
      <c r="O1818" s="115"/>
    </row>
    <row r="1819">
      <c r="E1819" s="115"/>
      <c r="F1819" s="115"/>
      <c r="G1819" s="115"/>
      <c r="H1819" s="115"/>
      <c r="I1819" s="115"/>
      <c r="J1819" s="115"/>
      <c r="K1819" s="115"/>
      <c r="L1819" s="115"/>
      <c r="M1819" s="115"/>
      <c r="N1819" s="115"/>
      <c r="O1819" s="115"/>
    </row>
    <row r="1820">
      <c r="E1820" s="115"/>
      <c r="F1820" s="115"/>
      <c r="G1820" s="115"/>
      <c r="H1820" s="115"/>
      <c r="I1820" s="115"/>
      <c r="J1820" s="115"/>
      <c r="K1820" s="115"/>
      <c r="L1820" s="115"/>
      <c r="M1820" s="115"/>
      <c r="N1820" s="115"/>
      <c r="O1820" s="115"/>
    </row>
    <row r="1821">
      <c r="E1821" s="115"/>
      <c r="F1821" s="115"/>
      <c r="G1821" s="115"/>
      <c r="H1821" s="115"/>
      <c r="I1821" s="115"/>
      <c r="J1821" s="115"/>
      <c r="K1821" s="115"/>
      <c r="L1821" s="115"/>
      <c r="M1821" s="115"/>
      <c r="N1821" s="115"/>
      <c r="O1821" s="115"/>
    </row>
    <row r="1822">
      <c r="E1822" s="115"/>
      <c r="F1822" s="115"/>
      <c r="G1822" s="115"/>
      <c r="H1822" s="115"/>
      <c r="I1822" s="115"/>
      <c r="J1822" s="115"/>
      <c r="K1822" s="115"/>
      <c r="L1822" s="115"/>
      <c r="M1822" s="115"/>
      <c r="N1822" s="115"/>
      <c r="O1822" s="115"/>
    </row>
    <row r="1823">
      <c r="E1823" s="115"/>
      <c r="F1823" s="115"/>
      <c r="G1823" s="115"/>
      <c r="H1823" s="115"/>
      <c r="I1823" s="115"/>
      <c r="J1823" s="115"/>
      <c r="K1823" s="115"/>
      <c r="L1823" s="115"/>
      <c r="M1823" s="115"/>
      <c r="N1823" s="115"/>
      <c r="O1823" s="115"/>
    </row>
    <row r="1824">
      <c r="E1824" s="115"/>
      <c r="F1824" s="115"/>
      <c r="G1824" s="115"/>
      <c r="H1824" s="115"/>
      <c r="I1824" s="115"/>
      <c r="J1824" s="115"/>
      <c r="K1824" s="115"/>
      <c r="L1824" s="115"/>
      <c r="M1824" s="115"/>
      <c r="N1824" s="115"/>
      <c r="O1824" s="115"/>
    </row>
    <row r="1825">
      <c r="E1825" s="115"/>
      <c r="F1825" s="115"/>
      <c r="G1825" s="115"/>
      <c r="H1825" s="115"/>
      <c r="I1825" s="115"/>
      <c r="J1825" s="115"/>
      <c r="K1825" s="115"/>
      <c r="L1825" s="115"/>
      <c r="M1825" s="115"/>
      <c r="N1825" s="115"/>
      <c r="O1825" s="115"/>
    </row>
    <row r="1826">
      <c r="E1826" s="115"/>
      <c r="F1826" s="115"/>
      <c r="G1826" s="115"/>
      <c r="H1826" s="115"/>
      <c r="I1826" s="115"/>
      <c r="J1826" s="115"/>
      <c r="K1826" s="115"/>
      <c r="L1826" s="115"/>
      <c r="M1826" s="115"/>
      <c r="N1826" s="115"/>
      <c r="O1826" s="115"/>
    </row>
    <row r="1827">
      <c r="E1827" s="115"/>
      <c r="F1827" s="115"/>
      <c r="G1827" s="115"/>
      <c r="H1827" s="115"/>
      <c r="I1827" s="115"/>
      <c r="J1827" s="115"/>
      <c r="K1827" s="115"/>
      <c r="L1827" s="115"/>
      <c r="M1827" s="115"/>
      <c r="N1827" s="115"/>
      <c r="O1827" s="115"/>
    </row>
    <row r="1828">
      <c r="E1828" s="115"/>
      <c r="F1828" s="115"/>
      <c r="G1828" s="115"/>
      <c r="H1828" s="115"/>
      <c r="I1828" s="115"/>
      <c r="J1828" s="115"/>
      <c r="K1828" s="115"/>
      <c r="L1828" s="115"/>
      <c r="M1828" s="115"/>
      <c r="N1828" s="115"/>
      <c r="O1828" s="115"/>
    </row>
    <row r="1829">
      <c r="E1829" s="115"/>
      <c r="F1829" s="115"/>
      <c r="G1829" s="115"/>
      <c r="H1829" s="115"/>
      <c r="I1829" s="115"/>
      <c r="J1829" s="115"/>
      <c r="K1829" s="115"/>
      <c r="L1829" s="115"/>
      <c r="M1829" s="115"/>
      <c r="N1829" s="115"/>
      <c r="O1829" s="115"/>
    </row>
    <row r="1830">
      <c r="E1830" s="115"/>
      <c r="F1830" s="115"/>
      <c r="G1830" s="115"/>
      <c r="H1830" s="115"/>
      <c r="I1830" s="115"/>
      <c r="J1830" s="115"/>
      <c r="K1830" s="115"/>
      <c r="L1830" s="115"/>
      <c r="M1830" s="115"/>
      <c r="N1830" s="115"/>
      <c r="O1830" s="115"/>
    </row>
    <row r="1831">
      <c r="E1831" s="115"/>
      <c r="F1831" s="115"/>
      <c r="G1831" s="115"/>
      <c r="H1831" s="115"/>
      <c r="I1831" s="115"/>
      <c r="J1831" s="115"/>
      <c r="K1831" s="115"/>
      <c r="L1831" s="115"/>
      <c r="M1831" s="115"/>
      <c r="N1831" s="115"/>
      <c r="O1831" s="115"/>
    </row>
    <row r="1832">
      <c r="E1832" s="115"/>
      <c r="F1832" s="115"/>
      <c r="G1832" s="115"/>
      <c r="H1832" s="115"/>
      <c r="I1832" s="115"/>
      <c r="J1832" s="115"/>
      <c r="K1832" s="115"/>
      <c r="L1832" s="115"/>
      <c r="M1832" s="115"/>
      <c r="N1832" s="115"/>
      <c r="O1832" s="115"/>
    </row>
    <row r="1833">
      <c r="E1833" s="115"/>
      <c r="F1833" s="115"/>
      <c r="G1833" s="115"/>
      <c r="H1833" s="115"/>
      <c r="I1833" s="115"/>
      <c r="J1833" s="115"/>
      <c r="K1833" s="115"/>
      <c r="L1833" s="115"/>
      <c r="M1833" s="115"/>
      <c r="N1833" s="115"/>
      <c r="O1833" s="115"/>
    </row>
    <row r="1834">
      <c r="E1834" s="115"/>
      <c r="F1834" s="115"/>
      <c r="G1834" s="115"/>
      <c r="H1834" s="115"/>
      <c r="I1834" s="115"/>
      <c r="J1834" s="115"/>
      <c r="K1834" s="115"/>
      <c r="L1834" s="115"/>
      <c r="M1834" s="115"/>
      <c r="N1834" s="115"/>
      <c r="O1834" s="115"/>
    </row>
    <row r="1835">
      <c r="E1835" s="115"/>
      <c r="F1835" s="115"/>
      <c r="G1835" s="115"/>
      <c r="H1835" s="115"/>
      <c r="I1835" s="115"/>
      <c r="J1835" s="115"/>
      <c r="K1835" s="115"/>
      <c r="L1835" s="115"/>
      <c r="M1835" s="115"/>
      <c r="N1835" s="115"/>
      <c r="O1835" s="115"/>
    </row>
    <row r="1836">
      <c r="E1836" s="115"/>
      <c r="F1836" s="115"/>
      <c r="G1836" s="115"/>
      <c r="H1836" s="115"/>
      <c r="I1836" s="115"/>
      <c r="J1836" s="115"/>
      <c r="K1836" s="115"/>
      <c r="L1836" s="115"/>
      <c r="M1836" s="115"/>
      <c r="N1836" s="115"/>
      <c r="O1836" s="115"/>
    </row>
    <row r="1837">
      <c r="E1837" s="115"/>
      <c r="F1837" s="115"/>
      <c r="G1837" s="115"/>
      <c r="H1837" s="115"/>
      <c r="I1837" s="115"/>
      <c r="J1837" s="115"/>
      <c r="K1837" s="115"/>
      <c r="L1837" s="115"/>
      <c r="M1837" s="115"/>
      <c r="N1837" s="115"/>
      <c r="O1837" s="115"/>
    </row>
    <row r="1838">
      <c r="E1838" s="115"/>
      <c r="F1838" s="115"/>
      <c r="G1838" s="115"/>
      <c r="H1838" s="115"/>
      <c r="I1838" s="115"/>
      <c r="J1838" s="115"/>
      <c r="K1838" s="115"/>
      <c r="L1838" s="115"/>
      <c r="M1838" s="115"/>
      <c r="N1838" s="115"/>
      <c r="O1838" s="115"/>
    </row>
    <row r="1839">
      <c r="E1839" s="115"/>
      <c r="F1839" s="115"/>
      <c r="G1839" s="115"/>
      <c r="H1839" s="115"/>
      <c r="I1839" s="115"/>
      <c r="J1839" s="115"/>
      <c r="K1839" s="115"/>
      <c r="L1839" s="115"/>
      <c r="M1839" s="115"/>
      <c r="N1839" s="115"/>
      <c r="O1839" s="115"/>
    </row>
    <row r="1840">
      <c r="E1840" s="115"/>
      <c r="F1840" s="115"/>
      <c r="G1840" s="115"/>
      <c r="H1840" s="115"/>
      <c r="I1840" s="115"/>
      <c r="J1840" s="115"/>
      <c r="K1840" s="115"/>
      <c r="L1840" s="115"/>
      <c r="M1840" s="115"/>
      <c r="N1840" s="115"/>
      <c r="O1840" s="115"/>
    </row>
    <row r="1841">
      <c r="E1841" s="115"/>
      <c r="F1841" s="115"/>
      <c r="G1841" s="115"/>
      <c r="H1841" s="115"/>
      <c r="I1841" s="115"/>
      <c r="J1841" s="115"/>
      <c r="K1841" s="115"/>
      <c r="L1841" s="115"/>
      <c r="M1841" s="115"/>
      <c r="N1841" s="115"/>
      <c r="O1841" s="115"/>
    </row>
    <row r="1842">
      <c r="E1842" s="115"/>
      <c r="F1842" s="115"/>
      <c r="G1842" s="115"/>
      <c r="H1842" s="115"/>
      <c r="I1842" s="115"/>
      <c r="J1842" s="115"/>
      <c r="K1842" s="115"/>
      <c r="L1842" s="115"/>
      <c r="M1842" s="115"/>
      <c r="N1842" s="115"/>
      <c r="O1842" s="115"/>
    </row>
    <row r="1843">
      <c r="E1843" s="115"/>
      <c r="F1843" s="115"/>
      <c r="G1843" s="115"/>
      <c r="H1843" s="115"/>
      <c r="I1843" s="115"/>
      <c r="J1843" s="115"/>
      <c r="K1843" s="115"/>
      <c r="L1843" s="115"/>
      <c r="M1843" s="115"/>
      <c r="N1843" s="115"/>
      <c r="O1843" s="115"/>
    </row>
    <row r="1844">
      <c r="E1844" s="115"/>
      <c r="F1844" s="115"/>
      <c r="G1844" s="115"/>
      <c r="H1844" s="115"/>
      <c r="I1844" s="115"/>
      <c r="J1844" s="115"/>
      <c r="K1844" s="115"/>
      <c r="L1844" s="115"/>
      <c r="M1844" s="115"/>
      <c r="N1844" s="115"/>
      <c r="O1844" s="115"/>
    </row>
    <row r="1845">
      <c r="E1845" s="115"/>
      <c r="F1845" s="115"/>
      <c r="G1845" s="115"/>
      <c r="H1845" s="115"/>
      <c r="I1845" s="115"/>
      <c r="J1845" s="115"/>
      <c r="K1845" s="115"/>
      <c r="L1845" s="115"/>
      <c r="M1845" s="115"/>
      <c r="N1845" s="115"/>
      <c r="O1845" s="115"/>
    </row>
    <row r="1846">
      <c r="E1846" s="115"/>
      <c r="F1846" s="115"/>
      <c r="G1846" s="115"/>
      <c r="H1846" s="115"/>
      <c r="I1846" s="115"/>
      <c r="J1846" s="115"/>
      <c r="K1846" s="115"/>
      <c r="L1846" s="115"/>
      <c r="M1846" s="115"/>
      <c r="N1846" s="115"/>
      <c r="O1846" s="115"/>
    </row>
    <row r="1847">
      <c r="E1847" s="115"/>
      <c r="F1847" s="115"/>
      <c r="G1847" s="115"/>
      <c r="H1847" s="115"/>
      <c r="I1847" s="115"/>
      <c r="J1847" s="115"/>
      <c r="K1847" s="115"/>
      <c r="L1847" s="115"/>
      <c r="M1847" s="115"/>
      <c r="N1847" s="115"/>
      <c r="O1847" s="115"/>
    </row>
    <row r="1848">
      <c r="E1848" s="115"/>
      <c r="F1848" s="115"/>
      <c r="G1848" s="115"/>
      <c r="H1848" s="115"/>
      <c r="I1848" s="115"/>
      <c r="J1848" s="115"/>
      <c r="K1848" s="115"/>
      <c r="L1848" s="115"/>
      <c r="M1848" s="115"/>
      <c r="N1848" s="115"/>
      <c r="O1848" s="115"/>
    </row>
    <row r="1849">
      <c r="E1849" s="115"/>
      <c r="F1849" s="115"/>
      <c r="G1849" s="115"/>
      <c r="H1849" s="115"/>
      <c r="I1849" s="115"/>
      <c r="J1849" s="115"/>
      <c r="K1849" s="115"/>
      <c r="L1849" s="115"/>
      <c r="M1849" s="115"/>
      <c r="N1849" s="115"/>
      <c r="O1849" s="115"/>
    </row>
    <row r="1850">
      <c r="E1850" s="115"/>
      <c r="F1850" s="115"/>
      <c r="G1850" s="115"/>
      <c r="H1850" s="115"/>
      <c r="I1850" s="115"/>
      <c r="J1850" s="115"/>
      <c r="K1850" s="115"/>
      <c r="L1850" s="115"/>
      <c r="M1850" s="115"/>
      <c r="N1850" s="115"/>
      <c r="O1850" s="115"/>
    </row>
    <row r="1851">
      <c r="E1851" s="115"/>
      <c r="F1851" s="115"/>
      <c r="G1851" s="115"/>
      <c r="H1851" s="115"/>
      <c r="I1851" s="115"/>
      <c r="J1851" s="115"/>
      <c r="K1851" s="115"/>
      <c r="L1851" s="115"/>
      <c r="M1851" s="115"/>
      <c r="N1851" s="115"/>
      <c r="O1851" s="115"/>
    </row>
    <row r="1852">
      <c r="E1852" s="115"/>
      <c r="F1852" s="115"/>
      <c r="G1852" s="115"/>
      <c r="H1852" s="115"/>
      <c r="I1852" s="115"/>
      <c r="J1852" s="115"/>
      <c r="K1852" s="115"/>
      <c r="L1852" s="115"/>
      <c r="M1852" s="115"/>
      <c r="N1852" s="115"/>
      <c r="O1852" s="115"/>
    </row>
    <row r="1853">
      <c r="E1853" s="115"/>
      <c r="F1853" s="115"/>
      <c r="G1853" s="115"/>
      <c r="H1853" s="115"/>
      <c r="I1853" s="115"/>
      <c r="J1853" s="115"/>
      <c r="K1853" s="115"/>
      <c r="L1853" s="115"/>
      <c r="M1853" s="115"/>
      <c r="N1853" s="115"/>
      <c r="O1853" s="115"/>
    </row>
    <row r="1854">
      <c r="E1854" s="115"/>
      <c r="F1854" s="115"/>
      <c r="G1854" s="115"/>
      <c r="H1854" s="115"/>
      <c r="I1854" s="115"/>
      <c r="J1854" s="115"/>
      <c r="K1854" s="115"/>
      <c r="L1854" s="115"/>
      <c r="M1854" s="115"/>
      <c r="N1854" s="115"/>
      <c r="O1854" s="115"/>
    </row>
    <row r="1855">
      <c r="E1855" s="115"/>
      <c r="F1855" s="115"/>
      <c r="G1855" s="115"/>
      <c r="H1855" s="115"/>
      <c r="I1855" s="115"/>
      <c r="J1855" s="115"/>
      <c r="K1855" s="115"/>
      <c r="L1855" s="115"/>
      <c r="M1855" s="115"/>
      <c r="N1855" s="115"/>
      <c r="O1855" s="115"/>
    </row>
    <row r="1856">
      <c r="E1856" s="115"/>
      <c r="F1856" s="115"/>
      <c r="G1856" s="115"/>
      <c r="H1856" s="115"/>
      <c r="I1856" s="115"/>
      <c r="J1856" s="115"/>
      <c r="K1856" s="115"/>
      <c r="L1856" s="115"/>
      <c r="M1856" s="115"/>
      <c r="N1856" s="115"/>
      <c r="O1856" s="115"/>
    </row>
    <row r="1857">
      <c r="E1857" s="115"/>
      <c r="F1857" s="115"/>
      <c r="G1857" s="115"/>
      <c r="H1857" s="115"/>
      <c r="I1857" s="115"/>
      <c r="J1857" s="115"/>
      <c r="K1857" s="115"/>
      <c r="L1857" s="115"/>
      <c r="M1857" s="115"/>
      <c r="N1857" s="115"/>
      <c r="O1857" s="115"/>
    </row>
    <row r="1858">
      <c r="E1858" s="115"/>
      <c r="F1858" s="115"/>
      <c r="G1858" s="115"/>
      <c r="H1858" s="115"/>
      <c r="I1858" s="115"/>
      <c r="J1858" s="115"/>
      <c r="K1858" s="115"/>
      <c r="L1858" s="115"/>
      <c r="M1858" s="115"/>
      <c r="N1858" s="115"/>
      <c r="O1858" s="115"/>
    </row>
    <row r="1859">
      <c r="E1859" s="115"/>
      <c r="F1859" s="115"/>
      <c r="G1859" s="115"/>
      <c r="H1859" s="115"/>
      <c r="I1859" s="115"/>
      <c r="J1859" s="115"/>
      <c r="K1859" s="115"/>
      <c r="L1859" s="115"/>
      <c r="M1859" s="115"/>
      <c r="N1859" s="115"/>
      <c r="O1859" s="115"/>
    </row>
    <row r="1860">
      <c r="E1860" s="115"/>
      <c r="F1860" s="115"/>
      <c r="G1860" s="115"/>
      <c r="H1860" s="115"/>
      <c r="I1860" s="115"/>
      <c r="J1860" s="115"/>
      <c r="K1860" s="115"/>
      <c r="L1860" s="115"/>
      <c r="M1860" s="115"/>
      <c r="N1860" s="115"/>
      <c r="O1860" s="115"/>
    </row>
    <row r="1861">
      <c r="E1861" s="115"/>
      <c r="F1861" s="115"/>
      <c r="G1861" s="115"/>
      <c r="H1861" s="115"/>
      <c r="I1861" s="115"/>
      <c r="J1861" s="115"/>
      <c r="K1861" s="115"/>
      <c r="L1861" s="115"/>
      <c r="M1861" s="115"/>
      <c r="N1861" s="115"/>
      <c r="O1861" s="115"/>
    </row>
    <row r="1862">
      <c r="E1862" s="115"/>
      <c r="F1862" s="115"/>
      <c r="G1862" s="115"/>
      <c r="H1862" s="115"/>
      <c r="I1862" s="115"/>
      <c r="J1862" s="115"/>
      <c r="K1862" s="115"/>
      <c r="L1862" s="115"/>
      <c r="M1862" s="115"/>
      <c r="N1862" s="115"/>
      <c r="O1862" s="115"/>
    </row>
    <row r="1863">
      <c r="E1863" s="115"/>
      <c r="F1863" s="115"/>
      <c r="G1863" s="115"/>
      <c r="H1863" s="115"/>
      <c r="I1863" s="115"/>
      <c r="J1863" s="115"/>
      <c r="K1863" s="115"/>
      <c r="L1863" s="115"/>
      <c r="M1863" s="115"/>
      <c r="N1863" s="115"/>
      <c r="O1863" s="115"/>
    </row>
    <row r="1864">
      <c r="E1864" s="115"/>
      <c r="F1864" s="115"/>
      <c r="G1864" s="115"/>
      <c r="H1864" s="115"/>
      <c r="I1864" s="115"/>
      <c r="J1864" s="115"/>
      <c r="K1864" s="115"/>
      <c r="L1864" s="115"/>
      <c r="M1864" s="115"/>
      <c r="N1864" s="115"/>
      <c r="O1864" s="115"/>
    </row>
    <row r="1865">
      <c r="E1865" s="115"/>
      <c r="F1865" s="115"/>
      <c r="G1865" s="115"/>
      <c r="H1865" s="115"/>
      <c r="I1865" s="115"/>
      <c r="J1865" s="115"/>
      <c r="K1865" s="115"/>
      <c r="L1865" s="115"/>
      <c r="M1865" s="115"/>
      <c r="N1865" s="115"/>
      <c r="O1865" s="115"/>
    </row>
    <row r="1866">
      <c r="E1866" s="115"/>
      <c r="F1866" s="115"/>
      <c r="G1866" s="115"/>
      <c r="H1866" s="115"/>
      <c r="I1866" s="115"/>
      <c r="J1866" s="115"/>
      <c r="K1866" s="115"/>
      <c r="L1866" s="115"/>
      <c r="M1866" s="115"/>
      <c r="N1866" s="115"/>
      <c r="O1866" s="115"/>
    </row>
    <row r="1867">
      <c r="E1867" s="115"/>
      <c r="F1867" s="115"/>
      <c r="G1867" s="115"/>
      <c r="H1867" s="115"/>
      <c r="I1867" s="115"/>
      <c r="J1867" s="115"/>
      <c r="K1867" s="115"/>
      <c r="L1867" s="115"/>
      <c r="M1867" s="115"/>
      <c r="N1867" s="115"/>
      <c r="O1867" s="115"/>
    </row>
    <row r="1868">
      <c r="E1868" s="115"/>
      <c r="F1868" s="115"/>
      <c r="G1868" s="115"/>
      <c r="H1868" s="115"/>
      <c r="I1868" s="115"/>
      <c r="J1868" s="115"/>
      <c r="K1868" s="115"/>
      <c r="L1868" s="115"/>
      <c r="M1868" s="115"/>
      <c r="N1868" s="115"/>
      <c r="O1868" s="115"/>
    </row>
    <row r="1869">
      <c r="E1869" s="115"/>
      <c r="F1869" s="115"/>
      <c r="G1869" s="115"/>
      <c r="H1869" s="115"/>
      <c r="I1869" s="115"/>
      <c r="J1869" s="115"/>
      <c r="K1869" s="115"/>
      <c r="L1869" s="115"/>
      <c r="M1869" s="115"/>
      <c r="N1869" s="115"/>
      <c r="O1869" s="115"/>
    </row>
    <row r="1870">
      <c r="E1870" s="115"/>
      <c r="F1870" s="115"/>
      <c r="G1870" s="115"/>
      <c r="H1870" s="115"/>
      <c r="I1870" s="115"/>
      <c r="J1870" s="115"/>
      <c r="K1870" s="115"/>
      <c r="L1870" s="115"/>
      <c r="M1870" s="115"/>
      <c r="N1870" s="115"/>
      <c r="O1870" s="115"/>
    </row>
    <row r="1871">
      <c r="E1871" s="115"/>
      <c r="F1871" s="115"/>
      <c r="G1871" s="115"/>
      <c r="H1871" s="115"/>
      <c r="I1871" s="115"/>
      <c r="J1871" s="115"/>
      <c r="K1871" s="115"/>
      <c r="L1871" s="115"/>
      <c r="M1871" s="115"/>
      <c r="N1871" s="115"/>
      <c r="O1871" s="115"/>
    </row>
    <row r="1872">
      <c r="E1872" s="115"/>
      <c r="F1872" s="115"/>
      <c r="G1872" s="115"/>
      <c r="H1872" s="115"/>
      <c r="I1872" s="115"/>
      <c r="J1872" s="115"/>
      <c r="K1872" s="115"/>
      <c r="L1872" s="115"/>
      <c r="M1872" s="115"/>
      <c r="N1872" s="115"/>
      <c r="O1872" s="115"/>
    </row>
    <row r="1873">
      <c r="E1873" s="115"/>
      <c r="F1873" s="115"/>
      <c r="G1873" s="115"/>
      <c r="H1873" s="115"/>
      <c r="I1873" s="115"/>
      <c r="J1873" s="115"/>
      <c r="K1873" s="115"/>
      <c r="L1873" s="115"/>
      <c r="M1873" s="115"/>
      <c r="N1873" s="115"/>
      <c r="O1873" s="115"/>
    </row>
    <row r="1874">
      <c r="E1874" s="115"/>
      <c r="F1874" s="115"/>
      <c r="G1874" s="115"/>
      <c r="H1874" s="115"/>
      <c r="I1874" s="115"/>
      <c r="J1874" s="115"/>
      <c r="K1874" s="115"/>
      <c r="L1874" s="115"/>
      <c r="M1874" s="115"/>
      <c r="N1874" s="115"/>
      <c r="O1874" s="115"/>
    </row>
    <row r="1875">
      <c r="E1875" s="115"/>
      <c r="F1875" s="115"/>
      <c r="G1875" s="115"/>
      <c r="H1875" s="115"/>
      <c r="I1875" s="115"/>
      <c r="J1875" s="115"/>
      <c r="K1875" s="115"/>
      <c r="L1875" s="115"/>
      <c r="M1875" s="115"/>
      <c r="N1875" s="115"/>
      <c r="O1875" s="115"/>
    </row>
    <row r="1876">
      <c r="E1876" s="115"/>
      <c r="F1876" s="115"/>
      <c r="G1876" s="115"/>
      <c r="H1876" s="115"/>
      <c r="I1876" s="115"/>
      <c r="J1876" s="115"/>
      <c r="K1876" s="115"/>
      <c r="L1876" s="115"/>
      <c r="M1876" s="115"/>
      <c r="N1876" s="115"/>
      <c r="O1876" s="115"/>
    </row>
    <row r="1877">
      <c r="E1877" s="115"/>
      <c r="F1877" s="115"/>
      <c r="G1877" s="115"/>
      <c r="H1877" s="115"/>
      <c r="I1877" s="115"/>
      <c r="J1877" s="115"/>
      <c r="K1877" s="115"/>
      <c r="L1877" s="115"/>
      <c r="M1877" s="115"/>
      <c r="N1877" s="115"/>
      <c r="O1877" s="115"/>
    </row>
    <row r="1878">
      <c r="E1878" s="115"/>
      <c r="F1878" s="115"/>
      <c r="G1878" s="115"/>
      <c r="H1878" s="115"/>
      <c r="I1878" s="115"/>
      <c r="J1878" s="115"/>
      <c r="K1878" s="115"/>
      <c r="L1878" s="115"/>
      <c r="M1878" s="115"/>
      <c r="N1878" s="115"/>
      <c r="O1878" s="115"/>
    </row>
    <row r="1879">
      <c r="E1879" s="115"/>
      <c r="F1879" s="115"/>
      <c r="G1879" s="115"/>
      <c r="H1879" s="115"/>
      <c r="I1879" s="115"/>
      <c r="J1879" s="115"/>
      <c r="K1879" s="115"/>
      <c r="L1879" s="115"/>
      <c r="M1879" s="115"/>
      <c r="N1879" s="115"/>
      <c r="O1879" s="115"/>
    </row>
    <row r="1880">
      <c r="E1880" s="115"/>
      <c r="F1880" s="115"/>
      <c r="G1880" s="115"/>
      <c r="H1880" s="115"/>
      <c r="I1880" s="115"/>
      <c r="J1880" s="115"/>
      <c r="K1880" s="115"/>
      <c r="L1880" s="115"/>
      <c r="M1880" s="115"/>
      <c r="N1880" s="115"/>
      <c r="O1880" s="115"/>
    </row>
    <row r="1881">
      <c r="E1881" s="115"/>
      <c r="F1881" s="115"/>
      <c r="G1881" s="115"/>
      <c r="H1881" s="115"/>
      <c r="I1881" s="115"/>
      <c r="J1881" s="115"/>
      <c r="K1881" s="115"/>
      <c r="L1881" s="115"/>
      <c r="M1881" s="115"/>
      <c r="N1881" s="115"/>
      <c r="O1881" s="115"/>
    </row>
    <row r="1882">
      <c r="E1882" s="115"/>
      <c r="F1882" s="115"/>
      <c r="G1882" s="115"/>
      <c r="H1882" s="115"/>
      <c r="I1882" s="115"/>
      <c r="J1882" s="115"/>
      <c r="K1882" s="115"/>
      <c r="L1882" s="115"/>
      <c r="M1882" s="115"/>
      <c r="N1882" s="115"/>
      <c r="O1882" s="115"/>
    </row>
    <row r="1883">
      <c r="E1883" s="115"/>
      <c r="F1883" s="115"/>
      <c r="G1883" s="115"/>
      <c r="H1883" s="115"/>
      <c r="I1883" s="115"/>
      <c r="J1883" s="115"/>
      <c r="K1883" s="115"/>
      <c r="L1883" s="115"/>
      <c r="M1883" s="115"/>
      <c r="N1883" s="115"/>
      <c r="O1883" s="115"/>
    </row>
    <row r="1884">
      <c r="E1884" s="115"/>
      <c r="F1884" s="115"/>
      <c r="G1884" s="115"/>
      <c r="H1884" s="115"/>
      <c r="I1884" s="115"/>
      <c r="J1884" s="115"/>
      <c r="K1884" s="115"/>
      <c r="L1884" s="115"/>
      <c r="M1884" s="115"/>
      <c r="N1884" s="115"/>
      <c r="O1884" s="115"/>
    </row>
    <row r="1885">
      <c r="E1885" s="115"/>
      <c r="F1885" s="115"/>
      <c r="G1885" s="115"/>
      <c r="H1885" s="115"/>
      <c r="I1885" s="115"/>
      <c r="J1885" s="115"/>
      <c r="K1885" s="115"/>
      <c r="L1885" s="115"/>
      <c r="M1885" s="115"/>
      <c r="N1885" s="115"/>
      <c r="O1885" s="115"/>
    </row>
    <row r="1886">
      <c r="E1886" s="115"/>
      <c r="F1886" s="115"/>
      <c r="G1886" s="115"/>
      <c r="H1886" s="115"/>
      <c r="I1886" s="115"/>
      <c r="J1886" s="115"/>
      <c r="K1886" s="115"/>
      <c r="L1886" s="115"/>
      <c r="M1886" s="115"/>
      <c r="N1886" s="115"/>
      <c r="O1886" s="115"/>
    </row>
    <row r="1887">
      <c r="E1887" s="115"/>
      <c r="F1887" s="115"/>
      <c r="G1887" s="115"/>
      <c r="H1887" s="115"/>
      <c r="I1887" s="115"/>
      <c r="J1887" s="115"/>
      <c r="K1887" s="115"/>
      <c r="L1887" s="115"/>
      <c r="M1887" s="115"/>
      <c r="N1887" s="115"/>
      <c r="O1887" s="115"/>
    </row>
    <row r="1888">
      <c r="E1888" s="115"/>
      <c r="F1888" s="115"/>
      <c r="G1888" s="115"/>
      <c r="H1888" s="115"/>
      <c r="I1888" s="115"/>
      <c r="J1888" s="115"/>
      <c r="K1888" s="115"/>
      <c r="L1888" s="115"/>
      <c r="M1888" s="115"/>
      <c r="N1888" s="115"/>
      <c r="O1888" s="115"/>
    </row>
    <row r="1889">
      <c r="E1889" s="115"/>
      <c r="F1889" s="115"/>
      <c r="G1889" s="115"/>
      <c r="H1889" s="115"/>
      <c r="I1889" s="115"/>
      <c r="J1889" s="115"/>
      <c r="K1889" s="115"/>
      <c r="L1889" s="115"/>
      <c r="M1889" s="115"/>
      <c r="N1889" s="115"/>
      <c r="O1889" s="115"/>
    </row>
    <row r="1890">
      <c r="E1890" s="115"/>
      <c r="F1890" s="115"/>
      <c r="G1890" s="115"/>
      <c r="H1890" s="115"/>
      <c r="I1890" s="115"/>
      <c r="J1890" s="115"/>
      <c r="K1890" s="115"/>
      <c r="L1890" s="115"/>
      <c r="M1890" s="115"/>
      <c r="N1890" s="115"/>
      <c r="O1890" s="115"/>
    </row>
    <row r="1891">
      <c r="E1891" s="115"/>
      <c r="F1891" s="115"/>
      <c r="G1891" s="115"/>
      <c r="H1891" s="115"/>
      <c r="I1891" s="115"/>
      <c r="J1891" s="115"/>
      <c r="K1891" s="115"/>
      <c r="L1891" s="115"/>
      <c r="M1891" s="115"/>
      <c r="N1891" s="115"/>
      <c r="O1891" s="115"/>
    </row>
    <row r="1892">
      <c r="E1892" s="115"/>
      <c r="F1892" s="115"/>
      <c r="G1892" s="115"/>
      <c r="H1892" s="115"/>
      <c r="I1892" s="115"/>
      <c r="J1892" s="115"/>
      <c r="K1892" s="115"/>
      <c r="L1892" s="115"/>
      <c r="M1892" s="115"/>
      <c r="N1892" s="115"/>
      <c r="O1892" s="115"/>
    </row>
    <row r="1893">
      <c r="E1893" s="115"/>
      <c r="F1893" s="115"/>
      <c r="G1893" s="115"/>
      <c r="H1893" s="115"/>
      <c r="I1893" s="115"/>
      <c r="J1893" s="115"/>
      <c r="K1893" s="115"/>
      <c r="L1893" s="115"/>
      <c r="M1893" s="115"/>
      <c r="N1893" s="115"/>
      <c r="O1893" s="115"/>
    </row>
    <row r="1894">
      <c r="E1894" s="115"/>
      <c r="F1894" s="115"/>
      <c r="G1894" s="115"/>
      <c r="H1894" s="115"/>
      <c r="I1894" s="115"/>
      <c r="J1894" s="115"/>
      <c r="K1894" s="115"/>
      <c r="L1894" s="115"/>
      <c r="M1894" s="115"/>
      <c r="N1894" s="115"/>
      <c r="O1894" s="115"/>
    </row>
    <row r="1895">
      <c r="E1895" s="115"/>
      <c r="F1895" s="115"/>
      <c r="G1895" s="115"/>
      <c r="H1895" s="115"/>
      <c r="I1895" s="115"/>
      <c r="J1895" s="115"/>
      <c r="K1895" s="115"/>
      <c r="L1895" s="115"/>
      <c r="M1895" s="115"/>
      <c r="N1895" s="115"/>
      <c r="O1895" s="115"/>
    </row>
    <row r="1896">
      <c r="E1896" s="115"/>
      <c r="F1896" s="115"/>
      <c r="G1896" s="115"/>
      <c r="H1896" s="115"/>
      <c r="I1896" s="115"/>
      <c r="J1896" s="115"/>
      <c r="K1896" s="115"/>
      <c r="L1896" s="115"/>
      <c r="M1896" s="115"/>
      <c r="N1896" s="115"/>
      <c r="O1896" s="115"/>
    </row>
    <row r="1897">
      <c r="E1897" s="115"/>
      <c r="F1897" s="115"/>
      <c r="G1897" s="115"/>
      <c r="H1897" s="115"/>
      <c r="I1897" s="115"/>
      <c r="J1897" s="115"/>
      <c r="K1897" s="115"/>
      <c r="L1897" s="115"/>
      <c r="M1897" s="115"/>
      <c r="N1897" s="115"/>
      <c r="O1897" s="115"/>
    </row>
    <row r="1898">
      <c r="E1898" s="115"/>
      <c r="F1898" s="115"/>
      <c r="G1898" s="115"/>
      <c r="H1898" s="115"/>
      <c r="I1898" s="115"/>
      <c r="J1898" s="115"/>
      <c r="K1898" s="115"/>
      <c r="L1898" s="115"/>
      <c r="M1898" s="115"/>
      <c r="N1898" s="115"/>
      <c r="O1898" s="115"/>
    </row>
    <row r="1899">
      <c r="E1899" s="115"/>
      <c r="F1899" s="115"/>
      <c r="G1899" s="115"/>
      <c r="H1899" s="115"/>
      <c r="I1899" s="115"/>
      <c r="J1899" s="115"/>
      <c r="K1899" s="115"/>
      <c r="L1899" s="115"/>
      <c r="M1899" s="115"/>
      <c r="N1899" s="115"/>
      <c r="O1899" s="115"/>
    </row>
    <row r="1900">
      <c r="E1900" s="115"/>
      <c r="F1900" s="115"/>
      <c r="G1900" s="115"/>
      <c r="H1900" s="115"/>
      <c r="I1900" s="115"/>
      <c r="J1900" s="115"/>
      <c r="K1900" s="115"/>
      <c r="L1900" s="115"/>
      <c r="M1900" s="115"/>
      <c r="N1900" s="115"/>
      <c r="O1900" s="115"/>
    </row>
    <row r="1901">
      <c r="E1901" s="115"/>
      <c r="F1901" s="115"/>
      <c r="G1901" s="115"/>
      <c r="H1901" s="115"/>
      <c r="I1901" s="115"/>
      <c r="J1901" s="115"/>
      <c r="K1901" s="115"/>
      <c r="L1901" s="115"/>
      <c r="M1901" s="115"/>
      <c r="N1901" s="115"/>
      <c r="O1901" s="115"/>
    </row>
    <row r="1902">
      <c r="E1902" s="115"/>
      <c r="F1902" s="115"/>
      <c r="G1902" s="115"/>
      <c r="H1902" s="115"/>
      <c r="I1902" s="115"/>
      <c r="J1902" s="115"/>
      <c r="K1902" s="115"/>
      <c r="L1902" s="115"/>
      <c r="M1902" s="115"/>
      <c r="N1902" s="115"/>
      <c r="O1902" s="115"/>
    </row>
    <row r="1903">
      <c r="E1903" s="115"/>
      <c r="F1903" s="115"/>
      <c r="G1903" s="115"/>
      <c r="H1903" s="115"/>
      <c r="I1903" s="115"/>
      <c r="J1903" s="115"/>
      <c r="K1903" s="115"/>
      <c r="L1903" s="115"/>
      <c r="M1903" s="115"/>
      <c r="N1903" s="115"/>
      <c r="O1903" s="115"/>
    </row>
    <row r="1904">
      <c r="E1904" s="115"/>
      <c r="F1904" s="115"/>
      <c r="G1904" s="115"/>
      <c r="H1904" s="115"/>
      <c r="I1904" s="115"/>
      <c r="J1904" s="115"/>
      <c r="K1904" s="115"/>
      <c r="L1904" s="115"/>
      <c r="M1904" s="115"/>
      <c r="N1904" s="115"/>
      <c r="O1904" s="115"/>
    </row>
    <row r="1905">
      <c r="E1905" s="115"/>
      <c r="F1905" s="115"/>
      <c r="G1905" s="115"/>
      <c r="H1905" s="115"/>
      <c r="I1905" s="115"/>
      <c r="J1905" s="115"/>
      <c r="K1905" s="115"/>
      <c r="L1905" s="115"/>
      <c r="M1905" s="115"/>
      <c r="N1905" s="115"/>
      <c r="O1905" s="115"/>
    </row>
    <row r="1906">
      <c r="E1906" s="115"/>
      <c r="F1906" s="115"/>
      <c r="G1906" s="115"/>
      <c r="H1906" s="115"/>
      <c r="I1906" s="115"/>
      <c r="J1906" s="115"/>
      <c r="K1906" s="115"/>
      <c r="L1906" s="115"/>
      <c r="M1906" s="115"/>
      <c r="N1906" s="115"/>
      <c r="O1906" s="115"/>
    </row>
    <row r="1907">
      <c r="E1907" s="115"/>
      <c r="F1907" s="115"/>
      <c r="G1907" s="115"/>
      <c r="H1907" s="115"/>
      <c r="I1907" s="115"/>
      <c r="J1907" s="115"/>
      <c r="K1907" s="115"/>
      <c r="L1907" s="115"/>
      <c r="M1907" s="115"/>
      <c r="N1907" s="115"/>
      <c r="O1907" s="115"/>
    </row>
    <row r="1908">
      <c r="E1908" s="115"/>
      <c r="F1908" s="115"/>
      <c r="G1908" s="115"/>
      <c r="H1908" s="115"/>
      <c r="I1908" s="115"/>
      <c r="J1908" s="115"/>
      <c r="K1908" s="115"/>
      <c r="L1908" s="115"/>
      <c r="M1908" s="115"/>
      <c r="N1908" s="115"/>
      <c r="O1908" s="115"/>
    </row>
    <row r="1909">
      <c r="E1909" s="115"/>
      <c r="F1909" s="115"/>
      <c r="G1909" s="115"/>
      <c r="H1909" s="115"/>
      <c r="I1909" s="115"/>
      <c r="J1909" s="115"/>
      <c r="K1909" s="115"/>
      <c r="L1909" s="115"/>
      <c r="M1909" s="115"/>
      <c r="N1909" s="115"/>
      <c r="O1909" s="115"/>
    </row>
    <row r="1910">
      <c r="E1910" s="115"/>
      <c r="F1910" s="115"/>
      <c r="G1910" s="115"/>
      <c r="H1910" s="115"/>
      <c r="I1910" s="115"/>
      <c r="J1910" s="115"/>
      <c r="K1910" s="115"/>
      <c r="L1910" s="115"/>
      <c r="M1910" s="115"/>
      <c r="N1910" s="115"/>
      <c r="O1910" s="115"/>
    </row>
    <row r="1911">
      <c r="E1911" s="115"/>
      <c r="F1911" s="115"/>
      <c r="G1911" s="115"/>
      <c r="H1911" s="115"/>
      <c r="I1911" s="115"/>
      <c r="J1911" s="115"/>
      <c r="K1911" s="115"/>
      <c r="L1911" s="115"/>
      <c r="M1911" s="115"/>
      <c r="N1911" s="115"/>
      <c r="O1911" s="115"/>
    </row>
    <row r="1912">
      <c r="E1912" s="115"/>
      <c r="F1912" s="115"/>
      <c r="G1912" s="115"/>
      <c r="H1912" s="115"/>
      <c r="I1912" s="115"/>
      <c r="J1912" s="115"/>
      <c r="K1912" s="115"/>
      <c r="L1912" s="115"/>
      <c r="M1912" s="115"/>
      <c r="N1912" s="115"/>
      <c r="O1912" s="115"/>
    </row>
    <row r="1913">
      <c r="E1913" s="115"/>
      <c r="F1913" s="115"/>
      <c r="G1913" s="115"/>
      <c r="H1913" s="115"/>
      <c r="I1913" s="115"/>
      <c r="J1913" s="115"/>
      <c r="K1913" s="115"/>
      <c r="L1913" s="115"/>
      <c r="M1913" s="115"/>
      <c r="N1913" s="115"/>
      <c r="O1913" s="115"/>
    </row>
    <row r="1914">
      <c r="E1914" s="115"/>
      <c r="F1914" s="115"/>
      <c r="G1914" s="115"/>
      <c r="H1914" s="115"/>
      <c r="I1914" s="115"/>
      <c r="J1914" s="115"/>
      <c r="K1914" s="115"/>
      <c r="L1914" s="115"/>
      <c r="M1914" s="115"/>
      <c r="N1914" s="115"/>
      <c r="O1914" s="115"/>
    </row>
    <row r="1915">
      <c r="E1915" s="115"/>
      <c r="F1915" s="115"/>
      <c r="G1915" s="115"/>
      <c r="H1915" s="115"/>
      <c r="I1915" s="115"/>
      <c r="J1915" s="115"/>
      <c r="K1915" s="115"/>
      <c r="L1915" s="115"/>
      <c r="M1915" s="115"/>
      <c r="N1915" s="115"/>
      <c r="O1915" s="115"/>
    </row>
    <row r="1916">
      <c r="E1916" s="115"/>
      <c r="F1916" s="115"/>
      <c r="G1916" s="115"/>
      <c r="H1916" s="115"/>
      <c r="I1916" s="115"/>
      <c r="J1916" s="115"/>
      <c r="K1916" s="115"/>
      <c r="L1916" s="115"/>
      <c r="M1916" s="115"/>
      <c r="N1916" s="115"/>
      <c r="O1916" s="115"/>
    </row>
    <row r="1917">
      <c r="E1917" s="115"/>
      <c r="F1917" s="115"/>
      <c r="G1917" s="115"/>
      <c r="H1917" s="115"/>
      <c r="I1917" s="115"/>
      <c r="J1917" s="115"/>
      <c r="K1917" s="115"/>
      <c r="L1917" s="115"/>
      <c r="M1917" s="115"/>
      <c r="N1917" s="115"/>
      <c r="O1917" s="115"/>
    </row>
    <row r="1918">
      <c r="E1918" s="115"/>
      <c r="F1918" s="115"/>
      <c r="G1918" s="115"/>
      <c r="H1918" s="115"/>
      <c r="I1918" s="115"/>
      <c r="J1918" s="115"/>
      <c r="K1918" s="115"/>
      <c r="L1918" s="115"/>
      <c r="M1918" s="115"/>
      <c r="N1918" s="115"/>
      <c r="O1918" s="115"/>
    </row>
    <row r="1919">
      <c r="E1919" s="115"/>
      <c r="F1919" s="115"/>
      <c r="G1919" s="115"/>
      <c r="H1919" s="115"/>
      <c r="I1919" s="115"/>
      <c r="J1919" s="115"/>
      <c r="K1919" s="115"/>
      <c r="L1919" s="115"/>
      <c r="M1919" s="115"/>
      <c r="N1919" s="115"/>
      <c r="O1919" s="115"/>
    </row>
    <row r="1920">
      <c r="E1920" s="115"/>
      <c r="F1920" s="115"/>
      <c r="G1920" s="115"/>
      <c r="H1920" s="115"/>
      <c r="I1920" s="115"/>
      <c r="J1920" s="115"/>
      <c r="K1920" s="115"/>
      <c r="L1920" s="115"/>
      <c r="M1920" s="115"/>
      <c r="N1920" s="115"/>
      <c r="O1920" s="115"/>
    </row>
    <row r="1921">
      <c r="E1921" s="115"/>
      <c r="F1921" s="115"/>
      <c r="G1921" s="115"/>
      <c r="H1921" s="115"/>
      <c r="I1921" s="115"/>
      <c r="J1921" s="115"/>
      <c r="K1921" s="115"/>
      <c r="L1921" s="115"/>
      <c r="M1921" s="115"/>
      <c r="N1921" s="115"/>
      <c r="O1921" s="115"/>
    </row>
    <row r="1922">
      <c r="E1922" s="115"/>
      <c r="F1922" s="115"/>
      <c r="G1922" s="115"/>
      <c r="H1922" s="115"/>
      <c r="I1922" s="115"/>
      <c r="J1922" s="115"/>
      <c r="K1922" s="115"/>
      <c r="L1922" s="115"/>
      <c r="M1922" s="115"/>
      <c r="N1922" s="115"/>
      <c r="O1922" s="115"/>
    </row>
    <row r="1923">
      <c r="E1923" s="115"/>
      <c r="F1923" s="115"/>
      <c r="G1923" s="115"/>
      <c r="H1923" s="115"/>
      <c r="I1923" s="115"/>
      <c r="J1923" s="115"/>
      <c r="K1923" s="115"/>
      <c r="L1923" s="115"/>
      <c r="M1923" s="115"/>
      <c r="N1923" s="115"/>
      <c r="O1923" s="115"/>
    </row>
    <row r="1924">
      <c r="E1924" s="115"/>
      <c r="F1924" s="115"/>
      <c r="G1924" s="115"/>
      <c r="H1924" s="115"/>
      <c r="I1924" s="115"/>
      <c r="J1924" s="115"/>
      <c r="K1924" s="115"/>
      <c r="L1924" s="115"/>
      <c r="M1924" s="115"/>
      <c r="N1924" s="115"/>
      <c r="O1924" s="115"/>
    </row>
    <row r="1925">
      <c r="E1925" s="115"/>
      <c r="F1925" s="115"/>
      <c r="G1925" s="115"/>
      <c r="H1925" s="115"/>
      <c r="I1925" s="115"/>
      <c r="J1925" s="115"/>
      <c r="K1925" s="115"/>
      <c r="L1925" s="115"/>
      <c r="M1925" s="115"/>
      <c r="N1925" s="115"/>
      <c r="O1925" s="115"/>
    </row>
    <row r="1926">
      <c r="E1926" s="115"/>
      <c r="F1926" s="115"/>
      <c r="G1926" s="115"/>
      <c r="H1926" s="115"/>
      <c r="I1926" s="115"/>
      <c r="J1926" s="115"/>
      <c r="K1926" s="115"/>
      <c r="L1926" s="115"/>
      <c r="M1926" s="115"/>
      <c r="N1926" s="115"/>
      <c r="O1926" s="115"/>
    </row>
    <row r="1927">
      <c r="E1927" s="115"/>
      <c r="F1927" s="115"/>
      <c r="G1927" s="115"/>
      <c r="H1927" s="115"/>
      <c r="I1927" s="115"/>
      <c r="J1927" s="115"/>
      <c r="K1927" s="115"/>
      <c r="L1927" s="115"/>
      <c r="M1927" s="115"/>
      <c r="N1927" s="115"/>
      <c r="O1927" s="115"/>
    </row>
    <row r="1928">
      <c r="E1928" s="115"/>
      <c r="F1928" s="115"/>
      <c r="G1928" s="115"/>
      <c r="H1928" s="115"/>
      <c r="I1928" s="115"/>
      <c r="J1928" s="115"/>
      <c r="K1928" s="115"/>
      <c r="L1928" s="115"/>
      <c r="M1928" s="115"/>
      <c r="N1928" s="115"/>
      <c r="O1928" s="115"/>
    </row>
    <row r="1929">
      <c r="E1929" s="115"/>
      <c r="F1929" s="115"/>
      <c r="G1929" s="115"/>
      <c r="H1929" s="115"/>
      <c r="I1929" s="115"/>
      <c r="J1929" s="115"/>
      <c r="K1929" s="115"/>
      <c r="L1929" s="115"/>
      <c r="M1929" s="115"/>
      <c r="N1929" s="115"/>
      <c r="O1929" s="115"/>
    </row>
    <row r="1930">
      <c r="E1930" s="115"/>
      <c r="F1930" s="115"/>
      <c r="G1930" s="115"/>
      <c r="H1930" s="115"/>
      <c r="I1930" s="115"/>
      <c r="J1930" s="115"/>
      <c r="K1930" s="115"/>
      <c r="L1930" s="115"/>
      <c r="M1930" s="115"/>
      <c r="N1930" s="115"/>
      <c r="O1930" s="115"/>
    </row>
    <row r="1931">
      <c r="E1931" s="115"/>
      <c r="F1931" s="115"/>
      <c r="G1931" s="115"/>
      <c r="H1931" s="115"/>
      <c r="I1931" s="115"/>
      <c r="J1931" s="115"/>
      <c r="K1931" s="115"/>
      <c r="L1931" s="115"/>
      <c r="M1931" s="115"/>
      <c r="N1931" s="115"/>
      <c r="O1931" s="115"/>
    </row>
    <row r="1932">
      <c r="E1932" s="115"/>
      <c r="F1932" s="115"/>
      <c r="G1932" s="115"/>
      <c r="H1932" s="115"/>
      <c r="I1932" s="115"/>
      <c r="J1932" s="115"/>
      <c r="K1932" s="115"/>
      <c r="L1932" s="115"/>
      <c r="M1932" s="115"/>
      <c r="N1932" s="115"/>
      <c r="O1932" s="115"/>
    </row>
    <row r="1933">
      <c r="E1933" s="115"/>
      <c r="F1933" s="115"/>
      <c r="G1933" s="115"/>
      <c r="H1933" s="115"/>
      <c r="I1933" s="115"/>
      <c r="J1933" s="115"/>
      <c r="K1933" s="115"/>
      <c r="L1933" s="115"/>
      <c r="M1933" s="115"/>
      <c r="N1933" s="115"/>
      <c r="O1933" s="115"/>
    </row>
    <row r="1934">
      <c r="E1934" s="115"/>
      <c r="F1934" s="115"/>
      <c r="G1934" s="115"/>
      <c r="H1934" s="115"/>
      <c r="I1934" s="115"/>
      <c r="J1934" s="115"/>
      <c r="K1934" s="115"/>
      <c r="L1934" s="115"/>
      <c r="M1934" s="115"/>
      <c r="N1934" s="115"/>
      <c r="O1934" s="115"/>
    </row>
    <row r="1935">
      <c r="E1935" s="115"/>
      <c r="F1935" s="115"/>
      <c r="G1935" s="115"/>
      <c r="H1935" s="115"/>
      <c r="I1935" s="115"/>
      <c r="J1935" s="115"/>
      <c r="K1935" s="115"/>
      <c r="L1935" s="115"/>
      <c r="M1935" s="115"/>
      <c r="N1935" s="115"/>
      <c r="O1935" s="115"/>
    </row>
    <row r="1936">
      <c r="E1936" s="115"/>
      <c r="F1936" s="115"/>
      <c r="G1936" s="115"/>
      <c r="H1936" s="115"/>
      <c r="I1936" s="115"/>
      <c r="J1936" s="115"/>
      <c r="K1936" s="115"/>
      <c r="L1936" s="115"/>
      <c r="M1936" s="115"/>
      <c r="N1936" s="115"/>
      <c r="O1936" s="115"/>
    </row>
    <row r="1937">
      <c r="E1937" s="115"/>
      <c r="F1937" s="115"/>
      <c r="G1937" s="115"/>
      <c r="H1937" s="115"/>
      <c r="I1937" s="115"/>
      <c r="J1937" s="115"/>
      <c r="K1937" s="115"/>
      <c r="L1937" s="115"/>
      <c r="M1937" s="115"/>
      <c r="N1937" s="115"/>
      <c r="O1937" s="115"/>
    </row>
    <row r="1938">
      <c r="E1938" s="115"/>
      <c r="F1938" s="115"/>
      <c r="G1938" s="115"/>
      <c r="H1938" s="115"/>
      <c r="I1938" s="115"/>
      <c r="J1938" s="115"/>
      <c r="K1938" s="115"/>
      <c r="L1938" s="115"/>
      <c r="M1938" s="115"/>
      <c r="N1938" s="115"/>
      <c r="O1938" s="115"/>
    </row>
    <row r="1939">
      <c r="E1939" s="115"/>
      <c r="F1939" s="115"/>
      <c r="G1939" s="115"/>
      <c r="H1939" s="115"/>
      <c r="I1939" s="115"/>
      <c r="J1939" s="115"/>
      <c r="K1939" s="115"/>
      <c r="L1939" s="115"/>
      <c r="M1939" s="115"/>
      <c r="N1939" s="115"/>
      <c r="O1939" s="115"/>
    </row>
    <row r="1940">
      <c r="E1940" s="115"/>
      <c r="F1940" s="115"/>
      <c r="G1940" s="115"/>
      <c r="H1940" s="115"/>
      <c r="I1940" s="115"/>
      <c r="J1940" s="115"/>
      <c r="K1940" s="115"/>
      <c r="L1940" s="115"/>
      <c r="M1940" s="115"/>
      <c r="N1940" s="115"/>
      <c r="O1940" s="115"/>
    </row>
    <row r="1941">
      <c r="E1941" s="115"/>
      <c r="F1941" s="115"/>
      <c r="G1941" s="115"/>
      <c r="H1941" s="115"/>
      <c r="I1941" s="115"/>
      <c r="J1941" s="115"/>
      <c r="K1941" s="115"/>
      <c r="L1941" s="115"/>
      <c r="M1941" s="115"/>
      <c r="N1941" s="115"/>
      <c r="O1941" s="115"/>
    </row>
    <row r="1942">
      <c r="E1942" s="115"/>
      <c r="F1942" s="115"/>
      <c r="G1942" s="115"/>
      <c r="H1942" s="115"/>
      <c r="I1942" s="115"/>
      <c r="J1942" s="115"/>
      <c r="K1942" s="115"/>
      <c r="L1942" s="115"/>
      <c r="M1942" s="115"/>
      <c r="N1942" s="115"/>
      <c r="O1942" s="115"/>
    </row>
    <row r="1943">
      <c r="E1943" s="115"/>
      <c r="F1943" s="115"/>
      <c r="G1943" s="115"/>
      <c r="H1943" s="115"/>
      <c r="I1943" s="115"/>
      <c r="J1943" s="115"/>
      <c r="K1943" s="115"/>
      <c r="L1943" s="115"/>
      <c r="M1943" s="115"/>
      <c r="N1943" s="115"/>
      <c r="O1943" s="115"/>
    </row>
    <row r="1944">
      <c r="E1944" s="115"/>
      <c r="F1944" s="115"/>
      <c r="G1944" s="115"/>
      <c r="H1944" s="115"/>
      <c r="I1944" s="115"/>
      <c r="J1944" s="115"/>
      <c r="K1944" s="115"/>
      <c r="L1944" s="115"/>
      <c r="M1944" s="115"/>
      <c r="N1944" s="115"/>
      <c r="O1944" s="115"/>
    </row>
    <row r="1945">
      <c r="E1945" s="115"/>
      <c r="F1945" s="115"/>
      <c r="G1945" s="115"/>
      <c r="H1945" s="115"/>
      <c r="I1945" s="115"/>
      <c r="J1945" s="115"/>
      <c r="K1945" s="115"/>
      <c r="L1945" s="115"/>
      <c r="M1945" s="115"/>
      <c r="N1945" s="115"/>
      <c r="O1945" s="115"/>
    </row>
    <row r="1946">
      <c r="E1946" s="115"/>
      <c r="F1946" s="115"/>
      <c r="G1946" s="115"/>
      <c r="H1946" s="115"/>
      <c r="I1946" s="115"/>
      <c r="J1946" s="115"/>
      <c r="K1946" s="115"/>
      <c r="L1946" s="115"/>
      <c r="M1946" s="115"/>
      <c r="N1946" s="115"/>
      <c r="O1946" s="115"/>
    </row>
    <row r="1947">
      <c r="E1947" s="115"/>
      <c r="F1947" s="115"/>
      <c r="G1947" s="115"/>
      <c r="H1947" s="115"/>
      <c r="I1947" s="115"/>
      <c r="J1947" s="115"/>
      <c r="K1947" s="115"/>
      <c r="L1947" s="115"/>
      <c r="M1947" s="115"/>
      <c r="N1947" s="115"/>
      <c r="O1947" s="115"/>
    </row>
    <row r="1948">
      <c r="E1948" s="115"/>
      <c r="F1948" s="115"/>
      <c r="G1948" s="115"/>
      <c r="H1948" s="115"/>
      <c r="I1948" s="115"/>
      <c r="J1948" s="115"/>
      <c r="K1948" s="115"/>
      <c r="L1948" s="115"/>
      <c r="M1948" s="115"/>
      <c r="N1948" s="115"/>
      <c r="O1948" s="115"/>
    </row>
    <row r="1949">
      <c r="E1949" s="115"/>
      <c r="F1949" s="115"/>
      <c r="G1949" s="115"/>
      <c r="H1949" s="115"/>
      <c r="I1949" s="115"/>
      <c r="J1949" s="115"/>
      <c r="K1949" s="115"/>
      <c r="L1949" s="115"/>
      <c r="M1949" s="115"/>
      <c r="N1949" s="115"/>
      <c r="O1949" s="115"/>
    </row>
    <row r="1950">
      <c r="E1950" s="115"/>
      <c r="F1950" s="115"/>
      <c r="G1950" s="115"/>
      <c r="H1950" s="115"/>
      <c r="I1950" s="115"/>
      <c r="J1950" s="115"/>
      <c r="K1950" s="115"/>
      <c r="L1950" s="115"/>
      <c r="M1950" s="115"/>
      <c r="N1950" s="115"/>
      <c r="O1950" s="115"/>
    </row>
    <row r="1951">
      <c r="E1951" s="115"/>
      <c r="F1951" s="115"/>
      <c r="G1951" s="115"/>
      <c r="H1951" s="115"/>
      <c r="I1951" s="115"/>
      <c r="J1951" s="115"/>
      <c r="K1951" s="115"/>
      <c r="L1951" s="115"/>
      <c r="M1951" s="115"/>
      <c r="N1951" s="115"/>
      <c r="O1951" s="115"/>
    </row>
    <row r="1952">
      <c r="E1952" s="115"/>
      <c r="F1952" s="115"/>
      <c r="G1952" s="115"/>
      <c r="H1952" s="115"/>
      <c r="I1952" s="115"/>
      <c r="J1952" s="115"/>
      <c r="K1952" s="115"/>
      <c r="L1952" s="115"/>
      <c r="M1952" s="115"/>
      <c r="N1952" s="115"/>
      <c r="O1952" s="115"/>
    </row>
    <row r="1953">
      <c r="E1953" s="115"/>
      <c r="F1953" s="115"/>
      <c r="G1953" s="115"/>
      <c r="H1953" s="115"/>
      <c r="I1953" s="115"/>
      <c r="J1953" s="115"/>
      <c r="K1953" s="115"/>
      <c r="L1953" s="115"/>
      <c r="M1953" s="115"/>
      <c r="N1953" s="115"/>
      <c r="O1953" s="115"/>
    </row>
    <row r="1954">
      <c r="E1954" s="115"/>
      <c r="F1954" s="115"/>
      <c r="G1954" s="115"/>
      <c r="H1954" s="115"/>
      <c r="I1954" s="115"/>
      <c r="J1954" s="115"/>
      <c r="K1954" s="115"/>
      <c r="L1954" s="115"/>
      <c r="M1954" s="115"/>
      <c r="N1954" s="115"/>
      <c r="O1954" s="115"/>
    </row>
    <row r="1955">
      <c r="E1955" s="115"/>
      <c r="F1955" s="115"/>
      <c r="G1955" s="115"/>
      <c r="H1955" s="115"/>
      <c r="I1955" s="115"/>
      <c r="J1955" s="115"/>
      <c r="K1955" s="115"/>
      <c r="L1955" s="115"/>
      <c r="M1955" s="115"/>
      <c r="N1955" s="115"/>
      <c r="O1955" s="115"/>
    </row>
    <row r="1956">
      <c r="E1956" s="115"/>
      <c r="F1956" s="115"/>
      <c r="G1956" s="115"/>
      <c r="H1956" s="115"/>
      <c r="I1956" s="115"/>
      <c r="J1956" s="115"/>
      <c r="K1956" s="115"/>
      <c r="L1956" s="115"/>
      <c r="M1956" s="115"/>
      <c r="N1956" s="115"/>
      <c r="O1956" s="115"/>
    </row>
    <row r="1957">
      <c r="E1957" s="115"/>
      <c r="F1957" s="115"/>
      <c r="G1957" s="115"/>
      <c r="H1957" s="115"/>
      <c r="I1957" s="115"/>
      <c r="J1957" s="115"/>
      <c r="K1957" s="115"/>
      <c r="L1957" s="115"/>
      <c r="M1957" s="115"/>
      <c r="N1957" s="115"/>
      <c r="O1957" s="115"/>
    </row>
    <row r="1958">
      <c r="E1958" s="115"/>
      <c r="F1958" s="115"/>
      <c r="G1958" s="115"/>
      <c r="H1958" s="115"/>
      <c r="I1958" s="115"/>
      <c r="J1958" s="115"/>
      <c r="K1958" s="115"/>
      <c r="L1958" s="115"/>
      <c r="M1958" s="115"/>
      <c r="N1958" s="115"/>
      <c r="O1958" s="115"/>
    </row>
    <row r="1959">
      <c r="E1959" s="115"/>
      <c r="F1959" s="115"/>
      <c r="G1959" s="115"/>
      <c r="H1959" s="115"/>
      <c r="I1959" s="115"/>
      <c r="J1959" s="115"/>
      <c r="K1959" s="115"/>
      <c r="L1959" s="115"/>
      <c r="M1959" s="115"/>
      <c r="N1959" s="115"/>
      <c r="O1959" s="115"/>
    </row>
    <row r="1960">
      <c r="E1960" s="115"/>
      <c r="F1960" s="115"/>
      <c r="G1960" s="115"/>
      <c r="H1960" s="115"/>
      <c r="I1960" s="115"/>
      <c r="J1960" s="115"/>
      <c r="K1960" s="115"/>
      <c r="L1960" s="115"/>
      <c r="M1960" s="115"/>
      <c r="N1960" s="115"/>
      <c r="O1960" s="115"/>
    </row>
    <row r="1961">
      <c r="E1961" s="115"/>
      <c r="F1961" s="115"/>
      <c r="G1961" s="115"/>
      <c r="H1961" s="115"/>
      <c r="I1961" s="115"/>
      <c r="J1961" s="115"/>
      <c r="K1961" s="115"/>
      <c r="L1961" s="115"/>
      <c r="M1961" s="115"/>
      <c r="N1961" s="115"/>
      <c r="O1961" s="115"/>
    </row>
    <row r="1962">
      <c r="E1962" s="115"/>
      <c r="F1962" s="115"/>
      <c r="G1962" s="115"/>
      <c r="H1962" s="115"/>
      <c r="I1962" s="115"/>
      <c r="J1962" s="115"/>
      <c r="K1962" s="115"/>
      <c r="L1962" s="115"/>
      <c r="M1962" s="115"/>
      <c r="N1962" s="115"/>
      <c r="O1962" s="115"/>
    </row>
    <row r="1963">
      <c r="E1963" s="115"/>
      <c r="F1963" s="115"/>
      <c r="G1963" s="115"/>
      <c r="H1963" s="115"/>
      <c r="I1963" s="115"/>
      <c r="J1963" s="115"/>
      <c r="K1963" s="115"/>
      <c r="L1963" s="115"/>
      <c r="M1963" s="115"/>
      <c r="N1963" s="115"/>
      <c r="O1963" s="115"/>
    </row>
    <row r="1964">
      <c r="E1964" s="115"/>
      <c r="F1964" s="115"/>
      <c r="G1964" s="115"/>
      <c r="H1964" s="115"/>
      <c r="I1964" s="115"/>
      <c r="J1964" s="115"/>
      <c r="K1964" s="115"/>
      <c r="L1964" s="115"/>
      <c r="M1964" s="115"/>
      <c r="N1964" s="115"/>
      <c r="O1964" s="115"/>
    </row>
    <row r="1965">
      <c r="E1965" s="115"/>
      <c r="F1965" s="115"/>
      <c r="G1965" s="115"/>
      <c r="H1965" s="115"/>
      <c r="I1965" s="115"/>
      <c r="J1965" s="115"/>
      <c r="K1965" s="115"/>
      <c r="L1965" s="115"/>
      <c r="M1965" s="115"/>
      <c r="N1965" s="115"/>
      <c r="O1965" s="115"/>
    </row>
    <row r="1966">
      <c r="E1966" s="115"/>
      <c r="F1966" s="115"/>
      <c r="G1966" s="115"/>
      <c r="H1966" s="115"/>
      <c r="I1966" s="115"/>
      <c r="J1966" s="115"/>
      <c r="K1966" s="115"/>
      <c r="L1966" s="115"/>
      <c r="M1966" s="115"/>
      <c r="N1966" s="115"/>
      <c r="O1966" s="115"/>
    </row>
    <row r="1967">
      <c r="E1967" s="115"/>
      <c r="F1967" s="115"/>
      <c r="G1967" s="115"/>
      <c r="H1967" s="115"/>
      <c r="I1967" s="115"/>
      <c r="J1967" s="115"/>
      <c r="K1967" s="115"/>
      <c r="L1967" s="115"/>
      <c r="M1967" s="115"/>
      <c r="N1967" s="115"/>
      <c r="O1967" s="115"/>
    </row>
    <row r="1968">
      <c r="E1968" s="115"/>
      <c r="F1968" s="115"/>
      <c r="G1968" s="115"/>
      <c r="H1968" s="115"/>
      <c r="I1968" s="115"/>
      <c r="J1968" s="115"/>
      <c r="K1968" s="115"/>
      <c r="L1968" s="115"/>
      <c r="M1968" s="115"/>
      <c r="N1968" s="115"/>
      <c r="O1968" s="115"/>
    </row>
    <row r="1969">
      <c r="E1969" s="115"/>
      <c r="F1969" s="115"/>
      <c r="G1969" s="115"/>
      <c r="H1969" s="115"/>
      <c r="I1969" s="115"/>
      <c r="J1969" s="115"/>
      <c r="K1969" s="115"/>
      <c r="L1969" s="115"/>
      <c r="M1969" s="115"/>
      <c r="N1969" s="115"/>
      <c r="O1969" s="115"/>
    </row>
    <row r="1970">
      <c r="E1970" s="115"/>
      <c r="F1970" s="115"/>
      <c r="G1970" s="115"/>
      <c r="H1970" s="115"/>
      <c r="I1970" s="115"/>
      <c r="J1970" s="115"/>
      <c r="K1970" s="115"/>
      <c r="L1970" s="115"/>
      <c r="M1970" s="115"/>
      <c r="N1970" s="115"/>
      <c r="O1970" s="115"/>
    </row>
    <row r="1971">
      <c r="E1971" s="115"/>
      <c r="F1971" s="115"/>
      <c r="G1971" s="115"/>
      <c r="H1971" s="115"/>
      <c r="I1971" s="115"/>
      <c r="J1971" s="115"/>
      <c r="K1971" s="115"/>
      <c r="L1971" s="115"/>
      <c r="M1971" s="115"/>
      <c r="N1971" s="115"/>
      <c r="O1971" s="115"/>
    </row>
    <row r="1972">
      <c r="E1972" s="115"/>
      <c r="F1972" s="115"/>
      <c r="G1972" s="115"/>
      <c r="H1972" s="115"/>
      <c r="I1972" s="115"/>
      <c r="J1972" s="115"/>
      <c r="K1972" s="115"/>
      <c r="L1972" s="115"/>
      <c r="M1972" s="115"/>
      <c r="N1972" s="115"/>
      <c r="O1972" s="115"/>
    </row>
    <row r="1973">
      <c r="E1973" s="115"/>
      <c r="F1973" s="115"/>
      <c r="G1973" s="115"/>
      <c r="H1973" s="115"/>
      <c r="I1973" s="115"/>
      <c r="J1973" s="115"/>
      <c r="K1973" s="115"/>
      <c r="L1973" s="115"/>
      <c r="M1973" s="115"/>
      <c r="N1973" s="115"/>
      <c r="O1973" s="115"/>
    </row>
    <row r="1974">
      <c r="E1974" s="115"/>
      <c r="F1974" s="115"/>
      <c r="G1974" s="115"/>
      <c r="H1974" s="115"/>
      <c r="I1974" s="115"/>
      <c r="J1974" s="115"/>
      <c r="K1974" s="115"/>
      <c r="L1974" s="115"/>
      <c r="M1974" s="115"/>
      <c r="N1974" s="115"/>
      <c r="O1974" s="115"/>
    </row>
    <row r="1975">
      <c r="E1975" s="115"/>
      <c r="F1975" s="115"/>
      <c r="G1975" s="115"/>
      <c r="H1975" s="115"/>
      <c r="I1975" s="115"/>
      <c r="J1975" s="115"/>
      <c r="K1975" s="115"/>
      <c r="L1975" s="115"/>
      <c r="M1975" s="115"/>
      <c r="N1975" s="115"/>
      <c r="O1975" s="115"/>
    </row>
    <row r="1976">
      <c r="E1976" s="115"/>
      <c r="F1976" s="115"/>
      <c r="G1976" s="115"/>
      <c r="H1976" s="115"/>
      <c r="I1976" s="115"/>
      <c r="J1976" s="115"/>
      <c r="K1976" s="115"/>
      <c r="L1976" s="115"/>
      <c r="M1976" s="115"/>
      <c r="N1976" s="115"/>
      <c r="O1976" s="115"/>
    </row>
    <row r="1977">
      <c r="E1977" s="115"/>
      <c r="F1977" s="115"/>
      <c r="G1977" s="115"/>
      <c r="H1977" s="115"/>
      <c r="I1977" s="115"/>
      <c r="J1977" s="115"/>
      <c r="K1977" s="115"/>
      <c r="L1977" s="115"/>
      <c r="M1977" s="115"/>
      <c r="N1977" s="115"/>
      <c r="O1977" s="115"/>
    </row>
    <row r="1978">
      <c r="E1978" s="115"/>
      <c r="F1978" s="115"/>
      <c r="G1978" s="115"/>
      <c r="H1978" s="115"/>
      <c r="I1978" s="115"/>
      <c r="J1978" s="115"/>
      <c r="K1978" s="115"/>
      <c r="L1978" s="115"/>
      <c r="M1978" s="115"/>
      <c r="N1978" s="115"/>
      <c r="O1978" s="115"/>
    </row>
    <row r="1979">
      <c r="E1979" s="115"/>
      <c r="F1979" s="115"/>
      <c r="G1979" s="115"/>
      <c r="H1979" s="115"/>
      <c r="I1979" s="115"/>
      <c r="J1979" s="115"/>
      <c r="K1979" s="115"/>
      <c r="L1979" s="115"/>
      <c r="M1979" s="115"/>
      <c r="N1979" s="115"/>
      <c r="O1979" s="115"/>
    </row>
    <row r="1980">
      <c r="E1980" s="115"/>
      <c r="F1980" s="115"/>
      <c r="G1980" s="115"/>
      <c r="H1980" s="115"/>
      <c r="I1980" s="115"/>
      <c r="J1980" s="115"/>
      <c r="K1980" s="115"/>
      <c r="L1980" s="115"/>
      <c r="M1980" s="115"/>
      <c r="N1980" s="115"/>
      <c r="O1980" s="115"/>
    </row>
    <row r="1981">
      <c r="E1981" s="115"/>
      <c r="F1981" s="115"/>
      <c r="G1981" s="115"/>
      <c r="H1981" s="115"/>
      <c r="I1981" s="115"/>
      <c r="J1981" s="115"/>
      <c r="K1981" s="115"/>
      <c r="L1981" s="115"/>
      <c r="M1981" s="115"/>
      <c r="N1981" s="115"/>
      <c r="O1981" s="115"/>
    </row>
    <row r="1982">
      <c r="E1982" s="115"/>
      <c r="F1982" s="115"/>
      <c r="G1982" s="115"/>
      <c r="H1982" s="115"/>
      <c r="I1982" s="115"/>
      <c r="J1982" s="115"/>
      <c r="K1982" s="115"/>
      <c r="L1982" s="115"/>
      <c r="M1982" s="115"/>
      <c r="N1982" s="115"/>
      <c r="O1982" s="115"/>
    </row>
    <row r="1983">
      <c r="E1983" s="115"/>
      <c r="F1983" s="115"/>
      <c r="G1983" s="115"/>
      <c r="H1983" s="115"/>
      <c r="I1983" s="115"/>
      <c r="J1983" s="115"/>
      <c r="K1983" s="115"/>
      <c r="L1983" s="115"/>
      <c r="M1983" s="115"/>
      <c r="N1983" s="115"/>
      <c r="O1983" s="115"/>
    </row>
    <row r="1984">
      <c r="E1984" s="115"/>
      <c r="F1984" s="115"/>
      <c r="G1984" s="115"/>
      <c r="H1984" s="115"/>
      <c r="I1984" s="115"/>
      <c r="J1984" s="115"/>
      <c r="K1984" s="115"/>
      <c r="L1984" s="115"/>
      <c r="M1984" s="115"/>
      <c r="N1984" s="115"/>
      <c r="O1984" s="115"/>
    </row>
    <row r="1985">
      <c r="E1985" s="115"/>
      <c r="F1985" s="115"/>
      <c r="G1985" s="115"/>
      <c r="H1985" s="115"/>
      <c r="I1985" s="115"/>
      <c r="J1985" s="115"/>
      <c r="K1985" s="115"/>
      <c r="L1985" s="115"/>
      <c r="M1985" s="115"/>
      <c r="N1985" s="115"/>
      <c r="O1985" s="115"/>
    </row>
    <row r="1986">
      <c r="E1986" s="115"/>
      <c r="F1986" s="115"/>
      <c r="G1986" s="115"/>
      <c r="H1986" s="115"/>
      <c r="I1986" s="115"/>
      <c r="J1986" s="115"/>
      <c r="K1986" s="115"/>
      <c r="L1986" s="115"/>
      <c r="M1986" s="115"/>
      <c r="N1986" s="115"/>
      <c r="O1986" s="115"/>
    </row>
    <row r="1987">
      <c r="E1987" s="115"/>
      <c r="F1987" s="115"/>
      <c r="G1987" s="115"/>
      <c r="H1987" s="115"/>
      <c r="I1987" s="115"/>
      <c r="J1987" s="115"/>
      <c r="K1987" s="115"/>
      <c r="L1987" s="115"/>
      <c r="M1987" s="115"/>
      <c r="N1987" s="115"/>
      <c r="O1987" s="115"/>
    </row>
    <row r="1988">
      <c r="E1988" s="115"/>
      <c r="F1988" s="115"/>
      <c r="G1988" s="115"/>
      <c r="H1988" s="115"/>
      <c r="I1988" s="115"/>
      <c r="J1988" s="115"/>
      <c r="K1988" s="115"/>
      <c r="L1988" s="115"/>
      <c r="M1988" s="115"/>
      <c r="N1988" s="115"/>
      <c r="O1988" s="115"/>
    </row>
    <row r="1989">
      <c r="E1989" s="115"/>
      <c r="F1989" s="115"/>
      <c r="G1989" s="115"/>
      <c r="H1989" s="115"/>
      <c r="I1989" s="115"/>
      <c r="J1989" s="115"/>
      <c r="K1989" s="115"/>
      <c r="L1989" s="115"/>
      <c r="M1989" s="115"/>
      <c r="N1989" s="115"/>
      <c r="O1989" s="115"/>
    </row>
    <row r="1990">
      <c r="E1990" s="115"/>
      <c r="F1990" s="115"/>
      <c r="G1990" s="115"/>
      <c r="H1990" s="115"/>
      <c r="I1990" s="115"/>
      <c r="J1990" s="115"/>
      <c r="K1990" s="115"/>
      <c r="L1990" s="115"/>
      <c r="M1990" s="115"/>
      <c r="N1990" s="115"/>
      <c r="O1990" s="115"/>
    </row>
    <row r="1991">
      <c r="E1991" s="115"/>
      <c r="F1991" s="115"/>
      <c r="G1991" s="115"/>
      <c r="H1991" s="115"/>
      <c r="I1991" s="115"/>
      <c r="J1991" s="115"/>
      <c r="K1991" s="115"/>
      <c r="L1991" s="115"/>
      <c r="M1991" s="115"/>
      <c r="N1991" s="115"/>
      <c r="O1991" s="115"/>
    </row>
    <row r="1992">
      <c r="E1992" s="115"/>
      <c r="F1992" s="115"/>
      <c r="G1992" s="115"/>
      <c r="H1992" s="115"/>
      <c r="I1992" s="115"/>
      <c r="J1992" s="115"/>
      <c r="K1992" s="115"/>
      <c r="L1992" s="115"/>
      <c r="M1992" s="115"/>
      <c r="N1992" s="115"/>
      <c r="O1992" s="115"/>
    </row>
    <row r="1993">
      <c r="E1993" s="115"/>
      <c r="F1993" s="115"/>
      <c r="G1993" s="115"/>
      <c r="H1993" s="115"/>
      <c r="I1993" s="115"/>
      <c r="J1993" s="115"/>
      <c r="K1993" s="115"/>
      <c r="L1993" s="115"/>
      <c r="M1993" s="115"/>
      <c r="N1993" s="115"/>
      <c r="O1993" s="115"/>
    </row>
    <row r="1994">
      <c r="E1994" s="115"/>
      <c r="F1994" s="115"/>
      <c r="G1994" s="115"/>
      <c r="H1994" s="115"/>
      <c r="I1994" s="115"/>
      <c r="J1994" s="115"/>
      <c r="K1994" s="115"/>
      <c r="L1994" s="115"/>
      <c r="M1994" s="115"/>
      <c r="N1994" s="115"/>
      <c r="O1994" s="115"/>
    </row>
    <row r="1995">
      <c r="E1995" s="115"/>
      <c r="F1995" s="115"/>
      <c r="G1995" s="115"/>
      <c r="H1995" s="115"/>
      <c r="I1995" s="115"/>
      <c r="J1995" s="115"/>
      <c r="K1995" s="115"/>
      <c r="L1995" s="115"/>
      <c r="M1995" s="115"/>
      <c r="N1995" s="115"/>
      <c r="O1995" s="115"/>
    </row>
    <row r="1996">
      <c r="E1996" s="115"/>
      <c r="F1996" s="115"/>
      <c r="G1996" s="115"/>
      <c r="H1996" s="115"/>
      <c r="I1996" s="115"/>
      <c r="J1996" s="115"/>
      <c r="K1996" s="115"/>
      <c r="L1996" s="115"/>
      <c r="M1996" s="115"/>
      <c r="N1996" s="115"/>
      <c r="O1996" s="115"/>
    </row>
    <row r="1997">
      <c r="E1997" s="115"/>
      <c r="F1997" s="115"/>
      <c r="G1997" s="115"/>
      <c r="H1997" s="115"/>
      <c r="I1997" s="115"/>
      <c r="J1997" s="115"/>
      <c r="K1997" s="115"/>
      <c r="L1997" s="115"/>
      <c r="M1997" s="115"/>
      <c r="N1997" s="115"/>
      <c r="O1997" s="115"/>
    </row>
    <row r="1998">
      <c r="E1998" s="115"/>
      <c r="F1998" s="115"/>
      <c r="G1998" s="115"/>
      <c r="H1998" s="115"/>
      <c r="I1998" s="115"/>
      <c r="J1998" s="115"/>
      <c r="K1998" s="115"/>
      <c r="L1998" s="115"/>
      <c r="M1998" s="115"/>
      <c r="N1998" s="115"/>
      <c r="O1998" s="115"/>
    </row>
    <row r="1999">
      <c r="E1999" s="115"/>
      <c r="F1999" s="115"/>
      <c r="G1999" s="115"/>
      <c r="H1999" s="115"/>
      <c r="I1999" s="115"/>
      <c r="J1999" s="115"/>
      <c r="K1999" s="115"/>
      <c r="L1999" s="115"/>
      <c r="M1999" s="115"/>
      <c r="N1999" s="115"/>
      <c r="O1999" s="115"/>
    </row>
    <row r="2000">
      <c r="E2000" s="115"/>
      <c r="F2000" s="115"/>
      <c r="G2000" s="115"/>
      <c r="H2000" s="115"/>
      <c r="I2000" s="115"/>
      <c r="J2000" s="115"/>
      <c r="K2000" s="115"/>
      <c r="L2000" s="115"/>
      <c r="M2000" s="115"/>
      <c r="N2000" s="115"/>
      <c r="O2000" s="115"/>
    </row>
    <row r="2001">
      <c r="E2001" s="115"/>
      <c r="F2001" s="115"/>
      <c r="G2001" s="115"/>
      <c r="H2001" s="115"/>
      <c r="I2001" s="115"/>
      <c r="J2001" s="115"/>
      <c r="K2001" s="115"/>
      <c r="L2001" s="115"/>
      <c r="M2001" s="115"/>
      <c r="N2001" s="115"/>
      <c r="O2001" s="115"/>
    </row>
    <row r="2002">
      <c r="E2002" s="115"/>
      <c r="F2002" s="115"/>
      <c r="G2002" s="115"/>
      <c r="H2002" s="115"/>
      <c r="I2002" s="115"/>
      <c r="J2002" s="115"/>
      <c r="K2002" s="115"/>
      <c r="L2002" s="115"/>
      <c r="M2002" s="115"/>
      <c r="N2002" s="115"/>
      <c r="O2002" s="115"/>
    </row>
    <row r="2003">
      <c r="E2003" s="115"/>
      <c r="F2003" s="115"/>
      <c r="G2003" s="115"/>
      <c r="H2003" s="115"/>
      <c r="I2003" s="115"/>
      <c r="J2003" s="115"/>
      <c r="K2003" s="115"/>
      <c r="L2003" s="115"/>
      <c r="M2003" s="115"/>
      <c r="N2003" s="115"/>
      <c r="O2003" s="115"/>
    </row>
    <row r="2004">
      <c r="E2004" s="115"/>
      <c r="F2004" s="115"/>
      <c r="G2004" s="115"/>
      <c r="H2004" s="115"/>
      <c r="I2004" s="115"/>
      <c r="J2004" s="115"/>
      <c r="K2004" s="115"/>
      <c r="L2004" s="115"/>
      <c r="M2004" s="115"/>
      <c r="N2004" s="115"/>
      <c r="O2004" s="115"/>
    </row>
    <row r="2005">
      <c r="E2005" s="115"/>
      <c r="F2005" s="115"/>
      <c r="G2005" s="115"/>
      <c r="H2005" s="115"/>
      <c r="I2005" s="115"/>
      <c r="J2005" s="115"/>
      <c r="K2005" s="115"/>
      <c r="L2005" s="115"/>
      <c r="M2005" s="115"/>
      <c r="N2005" s="115"/>
      <c r="O2005" s="115"/>
    </row>
    <row r="2006">
      <c r="E2006" s="115"/>
      <c r="F2006" s="115"/>
      <c r="G2006" s="115"/>
      <c r="H2006" s="115"/>
      <c r="I2006" s="115"/>
      <c r="J2006" s="115"/>
      <c r="K2006" s="115"/>
      <c r="L2006" s="115"/>
      <c r="M2006" s="115"/>
      <c r="N2006" s="115"/>
      <c r="O2006" s="115"/>
    </row>
    <row r="2007">
      <c r="E2007" s="115"/>
      <c r="F2007" s="115"/>
      <c r="G2007" s="115"/>
      <c r="H2007" s="115"/>
      <c r="I2007" s="115"/>
      <c r="J2007" s="115"/>
      <c r="K2007" s="115"/>
      <c r="L2007" s="115"/>
      <c r="M2007" s="115"/>
      <c r="N2007" s="115"/>
      <c r="O2007" s="115"/>
    </row>
    <row r="2008">
      <c r="E2008" s="115"/>
      <c r="F2008" s="115"/>
      <c r="G2008" s="115"/>
      <c r="H2008" s="115"/>
      <c r="I2008" s="115"/>
      <c r="J2008" s="115"/>
      <c r="K2008" s="115"/>
      <c r="L2008" s="115"/>
      <c r="M2008" s="115"/>
      <c r="N2008" s="115"/>
      <c r="O2008" s="115"/>
    </row>
    <row r="2009">
      <c r="E2009" s="115"/>
      <c r="F2009" s="115"/>
      <c r="G2009" s="115"/>
      <c r="H2009" s="115"/>
      <c r="I2009" s="115"/>
      <c r="J2009" s="115"/>
      <c r="K2009" s="115"/>
      <c r="L2009" s="115"/>
      <c r="M2009" s="115"/>
      <c r="N2009" s="115"/>
      <c r="O2009" s="115"/>
    </row>
    <row r="2010">
      <c r="E2010" s="115"/>
      <c r="F2010" s="115"/>
      <c r="G2010" s="115"/>
      <c r="H2010" s="115"/>
      <c r="I2010" s="115"/>
      <c r="J2010" s="115"/>
      <c r="K2010" s="115"/>
      <c r="L2010" s="115"/>
      <c r="M2010" s="115"/>
      <c r="N2010" s="115"/>
      <c r="O2010" s="115"/>
    </row>
    <row r="2011">
      <c r="E2011" s="115"/>
      <c r="F2011" s="115"/>
      <c r="G2011" s="115"/>
      <c r="H2011" s="115"/>
      <c r="I2011" s="115"/>
      <c r="J2011" s="115"/>
      <c r="K2011" s="115"/>
      <c r="L2011" s="115"/>
      <c r="M2011" s="115"/>
      <c r="N2011" s="115"/>
      <c r="O2011" s="115"/>
    </row>
    <row r="2012">
      <c r="E2012" s="115"/>
      <c r="F2012" s="115"/>
      <c r="G2012" s="115"/>
      <c r="H2012" s="115"/>
      <c r="I2012" s="115"/>
      <c r="J2012" s="115"/>
      <c r="K2012" s="115"/>
      <c r="L2012" s="115"/>
      <c r="M2012" s="115"/>
      <c r="N2012" s="115"/>
      <c r="O2012" s="115"/>
    </row>
    <row r="2013">
      <c r="E2013" s="115"/>
      <c r="F2013" s="115"/>
      <c r="G2013" s="115"/>
      <c r="H2013" s="115"/>
      <c r="I2013" s="115"/>
      <c r="J2013" s="115"/>
      <c r="K2013" s="115"/>
      <c r="L2013" s="115"/>
      <c r="M2013" s="115"/>
      <c r="N2013" s="115"/>
      <c r="O2013" s="115"/>
    </row>
    <row r="2014">
      <c r="E2014" s="115"/>
      <c r="F2014" s="115"/>
      <c r="G2014" s="115"/>
      <c r="H2014" s="115"/>
      <c r="I2014" s="115"/>
      <c r="J2014" s="115"/>
      <c r="K2014" s="115"/>
      <c r="L2014" s="115"/>
      <c r="M2014" s="115"/>
      <c r="N2014" s="115"/>
      <c r="O2014" s="115"/>
    </row>
    <row r="2015">
      <c r="E2015" s="115"/>
      <c r="F2015" s="115"/>
      <c r="G2015" s="115"/>
      <c r="H2015" s="115"/>
      <c r="I2015" s="115"/>
      <c r="J2015" s="115"/>
      <c r="K2015" s="115"/>
      <c r="L2015" s="115"/>
      <c r="M2015" s="115"/>
      <c r="N2015" s="115"/>
      <c r="O2015" s="115"/>
    </row>
    <row r="2016">
      <c r="E2016" s="115"/>
      <c r="F2016" s="115"/>
      <c r="G2016" s="115"/>
      <c r="H2016" s="115"/>
      <c r="I2016" s="115"/>
      <c r="J2016" s="115"/>
      <c r="K2016" s="115"/>
      <c r="L2016" s="115"/>
      <c r="M2016" s="115"/>
      <c r="N2016" s="115"/>
      <c r="O2016" s="115"/>
    </row>
    <row r="2017">
      <c r="E2017" s="115"/>
      <c r="F2017" s="115"/>
      <c r="G2017" s="115"/>
      <c r="H2017" s="115"/>
      <c r="I2017" s="115"/>
      <c r="J2017" s="115"/>
      <c r="K2017" s="115"/>
      <c r="L2017" s="115"/>
      <c r="M2017" s="115"/>
      <c r="N2017" s="115"/>
      <c r="O2017" s="115"/>
    </row>
    <row r="2018">
      <c r="E2018" s="115"/>
      <c r="F2018" s="115"/>
      <c r="G2018" s="115"/>
      <c r="H2018" s="115"/>
      <c r="I2018" s="115"/>
      <c r="J2018" s="115"/>
      <c r="K2018" s="115"/>
      <c r="L2018" s="115"/>
      <c r="M2018" s="115"/>
      <c r="N2018" s="115"/>
      <c r="O2018" s="115"/>
    </row>
    <row r="2019">
      <c r="E2019" s="115"/>
      <c r="F2019" s="115"/>
      <c r="G2019" s="115"/>
      <c r="H2019" s="115"/>
      <c r="I2019" s="115"/>
      <c r="J2019" s="115"/>
      <c r="K2019" s="115"/>
      <c r="L2019" s="115"/>
      <c r="M2019" s="115"/>
      <c r="N2019" s="115"/>
      <c r="O2019" s="115"/>
    </row>
    <row r="2020">
      <c r="E2020" s="115"/>
      <c r="F2020" s="115"/>
      <c r="G2020" s="115"/>
      <c r="H2020" s="115"/>
      <c r="I2020" s="115"/>
      <c r="J2020" s="115"/>
      <c r="K2020" s="115"/>
      <c r="L2020" s="115"/>
      <c r="M2020" s="115"/>
      <c r="N2020" s="115"/>
      <c r="O2020" s="115"/>
    </row>
    <row r="2021">
      <c r="E2021" s="115"/>
      <c r="F2021" s="115"/>
      <c r="G2021" s="115"/>
      <c r="H2021" s="115"/>
      <c r="I2021" s="115"/>
      <c r="J2021" s="115"/>
      <c r="K2021" s="115"/>
      <c r="L2021" s="115"/>
      <c r="M2021" s="115"/>
      <c r="N2021" s="115"/>
      <c r="O2021" s="115"/>
    </row>
    <row r="2022">
      <c r="E2022" s="115"/>
      <c r="F2022" s="115"/>
      <c r="G2022" s="115"/>
      <c r="H2022" s="115"/>
      <c r="I2022" s="115"/>
      <c r="J2022" s="115"/>
      <c r="K2022" s="115"/>
      <c r="L2022" s="115"/>
      <c r="M2022" s="115"/>
      <c r="N2022" s="115"/>
      <c r="O2022" s="115"/>
    </row>
    <row r="2023">
      <c r="E2023" s="115"/>
      <c r="F2023" s="115"/>
      <c r="G2023" s="115"/>
      <c r="H2023" s="115"/>
      <c r="I2023" s="115"/>
      <c r="J2023" s="115"/>
      <c r="K2023" s="115"/>
      <c r="L2023" s="115"/>
      <c r="M2023" s="115"/>
      <c r="N2023" s="115"/>
      <c r="O2023" s="115"/>
    </row>
    <row r="2024">
      <c r="E2024" s="115"/>
      <c r="F2024" s="115"/>
      <c r="G2024" s="115"/>
      <c r="H2024" s="115"/>
      <c r="I2024" s="115"/>
      <c r="J2024" s="115"/>
      <c r="K2024" s="115"/>
      <c r="L2024" s="115"/>
      <c r="M2024" s="115"/>
      <c r="N2024" s="115"/>
      <c r="O2024" s="115"/>
    </row>
    <row r="2025">
      <c r="E2025" s="115"/>
      <c r="F2025" s="115"/>
      <c r="G2025" s="115"/>
      <c r="H2025" s="115"/>
      <c r="I2025" s="115"/>
      <c r="J2025" s="115"/>
      <c r="K2025" s="115"/>
      <c r="L2025" s="115"/>
      <c r="M2025" s="115"/>
      <c r="N2025" s="115"/>
      <c r="O2025" s="115"/>
    </row>
    <row r="2026">
      <c r="E2026" s="115"/>
      <c r="F2026" s="115"/>
      <c r="G2026" s="115"/>
      <c r="H2026" s="115"/>
      <c r="I2026" s="115"/>
      <c r="J2026" s="115"/>
      <c r="K2026" s="115"/>
      <c r="L2026" s="115"/>
      <c r="M2026" s="115"/>
      <c r="N2026" s="115"/>
      <c r="O2026" s="115"/>
    </row>
    <row r="2027">
      <c r="E2027" s="115"/>
      <c r="F2027" s="115"/>
      <c r="G2027" s="115"/>
      <c r="H2027" s="115"/>
      <c r="I2027" s="115"/>
      <c r="J2027" s="115"/>
      <c r="K2027" s="115"/>
      <c r="L2027" s="115"/>
      <c r="M2027" s="115"/>
      <c r="N2027" s="115"/>
      <c r="O2027" s="115"/>
    </row>
    <row r="2028">
      <c r="E2028" s="115"/>
      <c r="F2028" s="115"/>
      <c r="G2028" s="115"/>
      <c r="H2028" s="115"/>
      <c r="I2028" s="115"/>
      <c r="J2028" s="115"/>
      <c r="K2028" s="115"/>
      <c r="L2028" s="115"/>
      <c r="M2028" s="115"/>
      <c r="N2028" s="115"/>
      <c r="O2028" s="115"/>
    </row>
    <row r="2029">
      <c r="E2029" s="115"/>
      <c r="F2029" s="115"/>
      <c r="G2029" s="115"/>
      <c r="H2029" s="115"/>
      <c r="I2029" s="115"/>
      <c r="J2029" s="115"/>
      <c r="K2029" s="115"/>
      <c r="L2029" s="115"/>
      <c r="M2029" s="115"/>
      <c r="N2029" s="115"/>
      <c r="O2029" s="115"/>
    </row>
    <row r="2030">
      <c r="E2030" s="115"/>
      <c r="F2030" s="115"/>
      <c r="G2030" s="115"/>
      <c r="H2030" s="115"/>
      <c r="I2030" s="115"/>
      <c r="J2030" s="115"/>
      <c r="K2030" s="115"/>
      <c r="L2030" s="115"/>
      <c r="M2030" s="115"/>
      <c r="N2030" s="115"/>
      <c r="O2030" s="115"/>
    </row>
    <row r="2031">
      <c r="E2031" s="115"/>
      <c r="F2031" s="115"/>
      <c r="G2031" s="115"/>
      <c r="H2031" s="115"/>
      <c r="I2031" s="115"/>
      <c r="J2031" s="115"/>
      <c r="K2031" s="115"/>
      <c r="L2031" s="115"/>
      <c r="M2031" s="115"/>
      <c r="N2031" s="115"/>
      <c r="O2031" s="115"/>
    </row>
    <row r="2032">
      <c r="E2032" s="115"/>
      <c r="F2032" s="115"/>
      <c r="G2032" s="115"/>
      <c r="H2032" s="115"/>
      <c r="I2032" s="115"/>
      <c r="J2032" s="115"/>
      <c r="K2032" s="115"/>
      <c r="L2032" s="115"/>
      <c r="M2032" s="115"/>
      <c r="N2032" s="115"/>
      <c r="O2032" s="115"/>
    </row>
    <row r="2033">
      <c r="E2033" s="115"/>
      <c r="F2033" s="115"/>
      <c r="G2033" s="115"/>
      <c r="H2033" s="115"/>
      <c r="I2033" s="115"/>
      <c r="J2033" s="115"/>
      <c r="K2033" s="115"/>
      <c r="L2033" s="115"/>
      <c r="M2033" s="115"/>
      <c r="N2033" s="115"/>
      <c r="O2033" s="115"/>
    </row>
    <row r="2034">
      <c r="E2034" s="115"/>
      <c r="F2034" s="115"/>
      <c r="G2034" s="115"/>
      <c r="H2034" s="115"/>
      <c r="I2034" s="115"/>
      <c r="J2034" s="115"/>
      <c r="K2034" s="115"/>
      <c r="L2034" s="115"/>
      <c r="M2034" s="115"/>
      <c r="N2034" s="115"/>
      <c r="O2034" s="115"/>
    </row>
    <row r="2035">
      <c r="E2035" s="115"/>
      <c r="F2035" s="115"/>
      <c r="G2035" s="115"/>
      <c r="H2035" s="115"/>
      <c r="I2035" s="115"/>
      <c r="J2035" s="115"/>
      <c r="K2035" s="115"/>
      <c r="L2035" s="115"/>
      <c r="M2035" s="115"/>
      <c r="N2035" s="115"/>
      <c r="O2035" s="115"/>
    </row>
    <row r="2036">
      <c r="E2036" s="115"/>
      <c r="F2036" s="115"/>
      <c r="G2036" s="115"/>
      <c r="H2036" s="115"/>
      <c r="I2036" s="115"/>
      <c r="J2036" s="115"/>
      <c r="K2036" s="115"/>
      <c r="L2036" s="115"/>
      <c r="M2036" s="115"/>
      <c r="N2036" s="115"/>
      <c r="O2036" s="115"/>
    </row>
    <row r="2037">
      <c r="E2037" s="115"/>
      <c r="F2037" s="115"/>
      <c r="G2037" s="115"/>
      <c r="H2037" s="115"/>
      <c r="I2037" s="115"/>
      <c r="J2037" s="115"/>
      <c r="K2037" s="115"/>
      <c r="L2037" s="115"/>
      <c r="M2037" s="115"/>
      <c r="N2037" s="115"/>
      <c r="O2037" s="115"/>
    </row>
    <row r="2038">
      <c r="E2038" s="115"/>
      <c r="F2038" s="115"/>
      <c r="G2038" s="115"/>
      <c r="H2038" s="115"/>
      <c r="I2038" s="115"/>
      <c r="J2038" s="115"/>
      <c r="K2038" s="115"/>
      <c r="L2038" s="115"/>
      <c r="M2038" s="115"/>
      <c r="N2038" s="115"/>
      <c r="O2038" s="115"/>
    </row>
    <row r="2039">
      <c r="E2039" s="115"/>
      <c r="F2039" s="115"/>
      <c r="G2039" s="115"/>
      <c r="H2039" s="115"/>
      <c r="I2039" s="115"/>
      <c r="J2039" s="115"/>
      <c r="K2039" s="115"/>
      <c r="L2039" s="115"/>
      <c r="M2039" s="115"/>
      <c r="N2039" s="115"/>
      <c r="O2039" s="115"/>
    </row>
    <row r="2040">
      <c r="E2040" s="115"/>
      <c r="F2040" s="115"/>
      <c r="G2040" s="115"/>
      <c r="H2040" s="115"/>
      <c r="I2040" s="115"/>
      <c r="J2040" s="115"/>
      <c r="K2040" s="115"/>
      <c r="L2040" s="115"/>
      <c r="M2040" s="115"/>
      <c r="N2040" s="115"/>
      <c r="O2040" s="115"/>
    </row>
    <row r="2041">
      <c r="E2041" s="115"/>
      <c r="F2041" s="115"/>
      <c r="G2041" s="115"/>
      <c r="H2041" s="115"/>
      <c r="I2041" s="115"/>
      <c r="J2041" s="115"/>
      <c r="K2041" s="115"/>
      <c r="L2041" s="115"/>
      <c r="M2041" s="115"/>
      <c r="N2041" s="115"/>
      <c r="O2041" s="115"/>
    </row>
    <row r="2042">
      <c r="E2042" s="115"/>
      <c r="F2042" s="115"/>
      <c r="G2042" s="115"/>
      <c r="H2042" s="115"/>
      <c r="I2042" s="115"/>
      <c r="J2042" s="115"/>
      <c r="K2042" s="115"/>
      <c r="L2042" s="115"/>
      <c r="M2042" s="115"/>
      <c r="N2042" s="115"/>
      <c r="O2042" s="115"/>
    </row>
    <row r="2043">
      <c r="E2043" s="115"/>
      <c r="F2043" s="115"/>
      <c r="G2043" s="115"/>
      <c r="H2043" s="115"/>
      <c r="I2043" s="115"/>
      <c r="J2043" s="115"/>
      <c r="K2043" s="115"/>
      <c r="L2043" s="115"/>
      <c r="M2043" s="115"/>
      <c r="N2043" s="115"/>
      <c r="O2043" s="115"/>
    </row>
    <row r="2044">
      <c r="E2044" s="115"/>
      <c r="F2044" s="115"/>
      <c r="G2044" s="115"/>
      <c r="H2044" s="115"/>
      <c r="I2044" s="115"/>
      <c r="J2044" s="115"/>
      <c r="K2044" s="115"/>
      <c r="L2044" s="115"/>
      <c r="M2044" s="115"/>
      <c r="N2044" s="115"/>
      <c r="O2044" s="115"/>
    </row>
    <row r="2045">
      <c r="E2045" s="115"/>
      <c r="F2045" s="115"/>
      <c r="G2045" s="115"/>
      <c r="H2045" s="115"/>
      <c r="I2045" s="115"/>
      <c r="J2045" s="115"/>
      <c r="K2045" s="115"/>
      <c r="L2045" s="115"/>
      <c r="M2045" s="115"/>
      <c r="N2045" s="115"/>
      <c r="O2045" s="115"/>
    </row>
    <row r="2046">
      <c r="E2046" s="115"/>
      <c r="F2046" s="115"/>
      <c r="G2046" s="115"/>
      <c r="H2046" s="115"/>
      <c r="I2046" s="115"/>
      <c r="J2046" s="115"/>
      <c r="K2046" s="115"/>
      <c r="L2046" s="115"/>
      <c r="M2046" s="115"/>
      <c r="N2046" s="115"/>
      <c r="O2046" s="115"/>
    </row>
    <row r="2047">
      <c r="E2047" s="115"/>
      <c r="F2047" s="115"/>
      <c r="G2047" s="115"/>
      <c r="H2047" s="115"/>
      <c r="I2047" s="115"/>
      <c r="J2047" s="115"/>
      <c r="K2047" s="115"/>
      <c r="L2047" s="115"/>
      <c r="M2047" s="115"/>
      <c r="N2047" s="115"/>
      <c r="O2047" s="115"/>
    </row>
    <row r="2048">
      <c r="E2048" s="115"/>
      <c r="F2048" s="115"/>
      <c r="G2048" s="115"/>
      <c r="H2048" s="115"/>
      <c r="I2048" s="115"/>
      <c r="J2048" s="115"/>
      <c r="K2048" s="115"/>
      <c r="L2048" s="115"/>
      <c r="M2048" s="115"/>
      <c r="N2048" s="115"/>
      <c r="O2048" s="115"/>
    </row>
    <row r="2049">
      <c r="E2049" s="115"/>
      <c r="F2049" s="115"/>
      <c r="G2049" s="115"/>
      <c r="H2049" s="115"/>
      <c r="I2049" s="115"/>
      <c r="J2049" s="115"/>
      <c r="K2049" s="115"/>
      <c r="L2049" s="115"/>
      <c r="M2049" s="115"/>
      <c r="N2049" s="115"/>
      <c r="O2049" s="115"/>
    </row>
    <row r="2050">
      <c r="E2050" s="115"/>
      <c r="F2050" s="115"/>
      <c r="G2050" s="115"/>
      <c r="H2050" s="115"/>
      <c r="I2050" s="115"/>
      <c r="J2050" s="115"/>
      <c r="K2050" s="115"/>
      <c r="L2050" s="115"/>
      <c r="M2050" s="115"/>
      <c r="N2050" s="115"/>
      <c r="O2050" s="115"/>
    </row>
    <row r="2051">
      <c r="E2051" s="115"/>
      <c r="F2051" s="115"/>
      <c r="G2051" s="115"/>
      <c r="H2051" s="115"/>
      <c r="I2051" s="115"/>
      <c r="J2051" s="115"/>
      <c r="K2051" s="115"/>
      <c r="L2051" s="115"/>
      <c r="M2051" s="115"/>
      <c r="N2051" s="115"/>
      <c r="O2051" s="115"/>
    </row>
    <row r="2052">
      <c r="E2052" s="115"/>
      <c r="F2052" s="115"/>
      <c r="G2052" s="115"/>
      <c r="H2052" s="115"/>
      <c r="I2052" s="115"/>
      <c r="J2052" s="115"/>
      <c r="K2052" s="115"/>
      <c r="L2052" s="115"/>
      <c r="M2052" s="115"/>
      <c r="N2052" s="115"/>
      <c r="O2052" s="115"/>
    </row>
    <row r="2053">
      <c r="E2053" s="115"/>
      <c r="F2053" s="115"/>
      <c r="G2053" s="115"/>
      <c r="H2053" s="115"/>
      <c r="I2053" s="115"/>
      <c r="J2053" s="115"/>
      <c r="K2053" s="115"/>
      <c r="L2053" s="115"/>
      <c r="M2053" s="115"/>
      <c r="N2053" s="115"/>
      <c r="O2053" s="115"/>
    </row>
    <row r="2054">
      <c r="E2054" s="115"/>
      <c r="F2054" s="115"/>
      <c r="G2054" s="115"/>
      <c r="H2054" s="115"/>
      <c r="I2054" s="115"/>
      <c r="J2054" s="115"/>
      <c r="K2054" s="115"/>
      <c r="L2054" s="115"/>
      <c r="M2054" s="115"/>
      <c r="N2054" s="115"/>
      <c r="O2054" s="115"/>
    </row>
    <row r="2055">
      <c r="E2055" s="115"/>
      <c r="F2055" s="115"/>
      <c r="G2055" s="115"/>
      <c r="H2055" s="115"/>
      <c r="I2055" s="115"/>
      <c r="J2055" s="115"/>
      <c r="K2055" s="115"/>
      <c r="L2055" s="115"/>
      <c r="M2055" s="115"/>
      <c r="N2055" s="115"/>
      <c r="O2055" s="115"/>
    </row>
    <row r="2056">
      <c r="E2056" s="115"/>
      <c r="F2056" s="115"/>
      <c r="G2056" s="115"/>
      <c r="H2056" s="115"/>
      <c r="I2056" s="115"/>
      <c r="J2056" s="115"/>
      <c r="K2056" s="115"/>
      <c r="L2056" s="115"/>
      <c r="M2056" s="115"/>
      <c r="N2056" s="115"/>
      <c r="O2056" s="115"/>
    </row>
    <row r="2057">
      <c r="E2057" s="115"/>
      <c r="F2057" s="115"/>
      <c r="G2057" s="115"/>
      <c r="H2057" s="115"/>
      <c r="I2057" s="115"/>
      <c r="J2057" s="115"/>
      <c r="K2057" s="115"/>
      <c r="L2057" s="115"/>
      <c r="M2057" s="115"/>
      <c r="N2057" s="115"/>
      <c r="O2057" s="115"/>
    </row>
    <row r="2058">
      <c r="E2058" s="115"/>
      <c r="F2058" s="115"/>
      <c r="G2058" s="115"/>
      <c r="H2058" s="115"/>
      <c r="I2058" s="115"/>
      <c r="J2058" s="115"/>
      <c r="K2058" s="115"/>
      <c r="L2058" s="115"/>
      <c r="M2058" s="115"/>
      <c r="N2058" s="115"/>
      <c r="O2058" s="115"/>
    </row>
    <row r="2059">
      <c r="E2059" s="115"/>
      <c r="F2059" s="115"/>
      <c r="G2059" s="115"/>
      <c r="H2059" s="115"/>
      <c r="I2059" s="115"/>
      <c r="J2059" s="115"/>
      <c r="K2059" s="115"/>
      <c r="L2059" s="115"/>
      <c r="M2059" s="115"/>
      <c r="N2059" s="115"/>
      <c r="O2059" s="115"/>
    </row>
    <row r="2060">
      <c r="E2060" s="115"/>
      <c r="F2060" s="115"/>
      <c r="G2060" s="115"/>
      <c r="H2060" s="115"/>
      <c r="I2060" s="115"/>
      <c r="J2060" s="115"/>
      <c r="K2060" s="115"/>
      <c r="L2060" s="115"/>
      <c r="M2060" s="115"/>
      <c r="N2060" s="115"/>
      <c r="O2060" s="115"/>
    </row>
    <row r="2061">
      <c r="E2061" s="115"/>
      <c r="F2061" s="115"/>
      <c r="G2061" s="115"/>
      <c r="H2061" s="115"/>
      <c r="I2061" s="115"/>
      <c r="J2061" s="115"/>
      <c r="K2061" s="115"/>
      <c r="L2061" s="115"/>
      <c r="M2061" s="115"/>
      <c r="N2061" s="115"/>
      <c r="O2061" s="115"/>
    </row>
    <row r="2062">
      <c r="E2062" s="115"/>
      <c r="F2062" s="115"/>
      <c r="G2062" s="115"/>
      <c r="H2062" s="115"/>
      <c r="I2062" s="115"/>
      <c r="J2062" s="115"/>
      <c r="K2062" s="115"/>
      <c r="L2062" s="115"/>
      <c r="M2062" s="115"/>
      <c r="N2062" s="115"/>
      <c r="O2062" s="115"/>
    </row>
    <row r="2063">
      <c r="E2063" s="115"/>
      <c r="F2063" s="115"/>
      <c r="G2063" s="115"/>
      <c r="H2063" s="115"/>
      <c r="I2063" s="115"/>
      <c r="J2063" s="115"/>
      <c r="K2063" s="115"/>
      <c r="L2063" s="115"/>
      <c r="M2063" s="115"/>
      <c r="N2063" s="115"/>
      <c r="O2063" s="115"/>
    </row>
    <row r="2064">
      <c r="E2064" s="115"/>
      <c r="F2064" s="115"/>
      <c r="G2064" s="115"/>
      <c r="H2064" s="115"/>
      <c r="I2064" s="115"/>
      <c r="J2064" s="115"/>
      <c r="K2064" s="115"/>
      <c r="L2064" s="115"/>
      <c r="M2064" s="115"/>
      <c r="N2064" s="115"/>
      <c r="O2064" s="115"/>
    </row>
    <row r="2065">
      <c r="E2065" s="115"/>
      <c r="F2065" s="115"/>
      <c r="G2065" s="115"/>
      <c r="H2065" s="115"/>
      <c r="I2065" s="115"/>
      <c r="J2065" s="115"/>
      <c r="K2065" s="115"/>
      <c r="L2065" s="115"/>
      <c r="M2065" s="115"/>
      <c r="N2065" s="115"/>
      <c r="O2065" s="115"/>
    </row>
    <row r="2066">
      <c r="E2066" s="115"/>
      <c r="F2066" s="115"/>
      <c r="G2066" s="115"/>
      <c r="H2066" s="115"/>
      <c r="I2066" s="115"/>
      <c r="J2066" s="115"/>
      <c r="K2066" s="115"/>
      <c r="L2066" s="115"/>
      <c r="M2066" s="115"/>
      <c r="N2066" s="115"/>
      <c r="O2066" s="115"/>
    </row>
    <row r="2067">
      <c r="E2067" s="115"/>
      <c r="F2067" s="115"/>
      <c r="G2067" s="115"/>
      <c r="H2067" s="115"/>
      <c r="I2067" s="115"/>
      <c r="J2067" s="115"/>
      <c r="K2067" s="115"/>
      <c r="L2067" s="115"/>
      <c r="M2067" s="115"/>
      <c r="N2067" s="115"/>
      <c r="O2067" s="115"/>
    </row>
    <row r="2068">
      <c r="E2068" s="115"/>
      <c r="F2068" s="115"/>
      <c r="G2068" s="115"/>
      <c r="H2068" s="115"/>
      <c r="I2068" s="115"/>
      <c r="J2068" s="115"/>
      <c r="K2068" s="115"/>
      <c r="L2068" s="115"/>
      <c r="M2068" s="115"/>
      <c r="N2068" s="115"/>
      <c r="O2068" s="115"/>
    </row>
    <row r="2069">
      <c r="E2069" s="115"/>
      <c r="F2069" s="115"/>
      <c r="G2069" s="115"/>
      <c r="H2069" s="115"/>
      <c r="I2069" s="115"/>
      <c r="J2069" s="115"/>
      <c r="K2069" s="115"/>
      <c r="L2069" s="115"/>
      <c r="M2069" s="115"/>
      <c r="N2069" s="115"/>
      <c r="O2069" s="115"/>
    </row>
    <row r="2070">
      <c r="E2070" s="115"/>
      <c r="F2070" s="115"/>
      <c r="G2070" s="115"/>
      <c r="H2070" s="115"/>
      <c r="I2070" s="115"/>
      <c r="J2070" s="115"/>
      <c r="K2070" s="115"/>
      <c r="L2070" s="115"/>
      <c r="M2070" s="115"/>
      <c r="N2070" s="115"/>
      <c r="O2070" s="115"/>
    </row>
    <row r="2071">
      <c r="E2071" s="115"/>
      <c r="F2071" s="115"/>
      <c r="G2071" s="115"/>
      <c r="H2071" s="115"/>
      <c r="I2071" s="115"/>
      <c r="J2071" s="115"/>
      <c r="K2071" s="115"/>
      <c r="L2071" s="115"/>
      <c r="M2071" s="115"/>
      <c r="N2071" s="115"/>
      <c r="O2071" s="115"/>
    </row>
    <row r="2072">
      <c r="E2072" s="115"/>
      <c r="F2072" s="115"/>
      <c r="G2072" s="115"/>
      <c r="H2072" s="115"/>
      <c r="I2072" s="115"/>
      <c r="J2072" s="115"/>
      <c r="K2072" s="115"/>
      <c r="L2072" s="115"/>
      <c r="M2072" s="115"/>
      <c r="N2072" s="115"/>
      <c r="O2072" s="115"/>
    </row>
    <row r="2073">
      <c r="E2073" s="115"/>
      <c r="F2073" s="115"/>
      <c r="G2073" s="115"/>
      <c r="H2073" s="115"/>
      <c r="I2073" s="115"/>
      <c r="J2073" s="115"/>
      <c r="K2073" s="115"/>
      <c r="L2073" s="115"/>
      <c r="M2073" s="115"/>
      <c r="N2073" s="115"/>
      <c r="O2073" s="115"/>
    </row>
    <row r="2074">
      <c r="E2074" s="115"/>
      <c r="F2074" s="115"/>
      <c r="G2074" s="115"/>
      <c r="H2074" s="115"/>
      <c r="I2074" s="115"/>
      <c r="J2074" s="115"/>
      <c r="K2074" s="115"/>
      <c r="L2074" s="115"/>
      <c r="M2074" s="115"/>
      <c r="N2074" s="115"/>
      <c r="O2074" s="115"/>
    </row>
    <row r="2075">
      <c r="E2075" s="115"/>
      <c r="F2075" s="115"/>
      <c r="G2075" s="115"/>
      <c r="H2075" s="115"/>
      <c r="I2075" s="115"/>
      <c r="J2075" s="115"/>
      <c r="K2075" s="115"/>
      <c r="L2075" s="115"/>
      <c r="M2075" s="115"/>
      <c r="N2075" s="115"/>
      <c r="O2075" s="115"/>
    </row>
    <row r="2076">
      <c r="E2076" s="115"/>
      <c r="F2076" s="115"/>
      <c r="G2076" s="115"/>
      <c r="H2076" s="115"/>
      <c r="I2076" s="115"/>
      <c r="J2076" s="115"/>
      <c r="K2076" s="115"/>
      <c r="L2076" s="115"/>
      <c r="M2076" s="115"/>
      <c r="N2076" s="115"/>
      <c r="O2076" s="115"/>
    </row>
    <row r="2077">
      <c r="E2077" s="115"/>
      <c r="F2077" s="115"/>
      <c r="G2077" s="115"/>
      <c r="H2077" s="115"/>
      <c r="I2077" s="115"/>
      <c r="J2077" s="115"/>
      <c r="K2077" s="115"/>
      <c r="L2077" s="115"/>
      <c r="M2077" s="115"/>
      <c r="N2077" s="115"/>
      <c r="O2077" s="115"/>
    </row>
    <row r="2078">
      <c r="E2078" s="115"/>
      <c r="F2078" s="115"/>
      <c r="G2078" s="115"/>
      <c r="H2078" s="115"/>
      <c r="I2078" s="115"/>
      <c r="J2078" s="115"/>
      <c r="K2078" s="115"/>
      <c r="L2078" s="115"/>
      <c r="M2078" s="115"/>
      <c r="N2078" s="115"/>
      <c r="O2078" s="115"/>
    </row>
    <row r="2079">
      <c r="E2079" s="115"/>
      <c r="F2079" s="115"/>
      <c r="G2079" s="115"/>
      <c r="H2079" s="115"/>
      <c r="I2079" s="115"/>
      <c r="J2079" s="115"/>
      <c r="K2079" s="115"/>
      <c r="L2079" s="115"/>
      <c r="M2079" s="115"/>
      <c r="N2079" s="115"/>
      <c r="O2079" s="115"/>
    </row>
    <row r="2080">
      <c r="E2080" s="115"/>
      <c r="F2080" s="115"/>
      <c r="G2080" s="115"/>
      <c r="H2080" s="115"/>
      <c r="I2080" s="115"/>
      <c r="J2080" s="115"/>
      <c r="K2080" s="115"/>
      <c r="L2080" s="115"/>
      <c r="M2080" s="115"/>
      <c r="N2080" s="115"/>
      <c r="O2080" s="115"/>
    </row>
    <row r="2081">
      <c r="E2081" s="115"/>
      <c r="F2081" s="115"/>
      <c r="G2081" s="115"/>
      <c r="H2081" s="115"/>
      <c r="I2081" s="115"/>
      <c r="J2081" s="115"/>
      <c r="K2081" s="115"/>
      <c r="L2081" s="115"/>
      <c r="M2081" s="115"/>
      <c r="N2081" s="115"/>
      <c r="O2081" s="115"/>
    </row>
    <row r="2082">
      <c r="E2082" s="115"/>
      <c r="F2082" s="115"/>
      <c r="G2082" s="115"/>
      <c r="H2082" s="115"/>
      <c r="I2082" s="115"/>
      <c r="J2082" s="115"/>
      <c r="K2082" s="115"/>
      <c r="L2082" s="115"/>
      <c r="M2082" s="115"/>
      <c r="N2082" s="115"/>
      <c r="O2082" s="115"/>
    </row>
    <row r="2083">
      <c r="E2083" s="115"/>
      <c r="F2083" s="115"/>
      <c r="G2083" s="115"/>
      <c r="H2083" s="115"/>
      <c r="I2083" s="115"/>
      <c r="J2083" s="115"/>
      <c r="K2083" s="115"/>
      <c r="L2083" s="115"/>
      <c r="M2083" s="115"/>
      <c r="N2083" s="115"/>
      <c r="O2083" s="115"/>
    </row>
    <row r="2084">
      <c r="E2084" s="115"/>
      <c r="F2084" s="115"/>
      <c r="G2084" s="115"/>
      <c r="H2084" s="115"/>
      <c r="I2084" s="115"/>
      <c r="J2084" s="115"/>
      <c r="K2084" s="115"/>
      <c r="L2084" s="115"/>
      <c r="M2084" s="115"/>
      <c r="N2084" s="115"/>
      <c r="O2084" s="115"/>
    </row>
    <row r="2085">
      <c r="E2085" s="115"/>
      <c r="F2085" s="115"/>
      <c r="G2085" s="115"/>
      <c r="H2085" s="115"/>
      <c r="I2085" s="115"/>
      <c r="J2085" s="115"/>
      <c r="K2085" s="115"/>
      <c r="L2085" s="115"/>
      <c r="M2085" s="115"/>
      <c r="N2085" s="115"/>
      <c r="O2085" s="115"/>
    </row>
    <row r="2086">
      <c r="E2086" s="115"/>
      <c r="F2086" s="115"/>
      <c r="G2086" s="115"/>
      <c r="H2086" s="115"/>
      <c r="I2086" s="115"/>
      <c r="J2086" s="115"/>
      <c r="K2086" s="115"/>
      <c r="L2086" s="115"/>
      <c r="M2086" s="115"/>
      <c r="N2086" s="115"/>
      <c r="O2086" s="115"/>
    </row>
    <row r="2087">
      <c r="E2087" s="115"/>
      <c r="F2087" s="115"/>
      <c r="G2087" s="115"/>
      <c r="H2087" s="115"/>
      <c r="I2087" s="115"/>
      <c r="J2087" s="115"/>
      <c r="K2087" s="115"/>
      <c r="L2087" s="115"/>
      <c r="M2087" s="115"/>
      <c r="N2087" s="115"/>
      <c r="O2087" s="115"/>
    </row>
    <row r="2088">
      <c r="E2088" s="115"/>
      <c r="F2088" s="115"/>
      <c r="G2088" s="115"/>
      <c r="H2088" s="115"/>
      <c r="I2088" s="115"/>
      <c r="J2088" s="115"/>
      <c r="K2088" s="115"/>
      <c r="L2088" s="115"/>
      <c r="M2088" s="115"/>
      <c r="N2088" s="115"/>
      <c r="O2088" s="115"/>
    </row>
    <row r="2089">
      <c r="E2089" s="115"/>
      <c r="F2089" s="115"/>
      <c r="G2089" s="115"/>
      <c r="H2089" s="115"/>
      <c r="I2089" s="115"/>
      <c r="J2089" s="115"/>
      <c r="K2089" s="115"/>
      <c r="L2089" s="115"/>
      <c r="M2089" s="115"/>
      <c r="N2089" s="115"/>
      <c r="O2089" s="115"/>
    </row>
    <row r="2090">
      <c r="E2090" s="115"/>
      <c r="F2090" s="115"/>
      <c r="G2090" s="115"/>
      <c r="H2090" s="115"/>
      <c r="I2090" s="115"/>
      <c r="J2090" s="115"/>
      <c r="K2090" s="115"/>
      <c r="L2090" s="115"/>
      <c r="M2090" s="115"/>
      <c r="N2090" s="115"/>
      <c r="O2090" s="115"/>
    </row>
    <row r="2091">
      <c r="E2091" s="115"/>
      <c r="F2091" s="115"/>
      <c r="G2091" s="115"/>
      <c r="H2091" s="115"/>
      <c r="I2091" s="115"/>
      <c r="J2091" s="115"/>
      <c r="K2091" s="115"/>
      <c r="L2091" s="115"/>
      <c r="M2091" s="115"/>
      <c r="N2091" s="115"/>
      <c r="O2091" s="115"/>
    </row>
    <row r="2092">
      <c r="E2092" s="115"/>
      <c r="F2092" s="115"/>
      <c r="G2092" s="115"/>
      <c r="H2092" s="115"/>
      <c r="I2092" s="115"/>
      <c r="J2092" s="115"/>
      <c r="K2092" s="115"/>
      <c r="L2092" s="115"/>
      <c r="M2092" s="115"/>
      <c r="N2092" s="115"/>
      <c r="O2092" s="115"/>
    </row>
    <row r="2093">
      <c r="E2093" s="115"/>
      <c r="F2093" s="115"/>
      <c r="G2093" s="115"/>
      <c r="H2093" s="115"/>
      <c r="I2093" s="115"/>
      <c r="J2093" s="115"/>
      <c r="K2093" s="115"/>
      <c r="L2093" s="115"/>
      <c r="M2093" s="115"/>
      <c r="N2093" s="115"/>
      <c r="O2093" s="115"/>
    </row>
    <row r="2094">
      <c r="E2094" s="115"/>
      <c r="F2094" s="115"/>
      <c r="G2094" s="115"/>
      <c r="H2094" s="115"/>
      <c r="I2094" s="115"/>
      <c r="J2094" s="115"/>
      <c r="K2094" s="115"/>
      <c r="L2094" s="115"/>
      <c r="M2094" s="115"/>
      <c r="N2094" s="115"/>
      <c r="O2094" s="115"/>
    </row>
    <row r="2095">
      <c r="E2095" s="115"/>
      <c r="F2095" s="115"/>
      <c r="G2095" s="115"/>
      <c r="H2095" s="115"/>
      <c r="I2095" s="115"/>
      <c r="J2095" s="115"/>
      <c r="K2095" s="115"/>
      <c r="L2095" s="115"/>
      <c r="M2095" s="115"/>
      <c r="N2095" s="115"/>
      <c r="O2095" s="115"/>
    </row>
    <row r="2096">
      <c r="E2096" s="115"/>
      <c r="F2096" s="115"/>
      <c r="G2096" s="115"/>
      <c r="H2096" s="115"/>
      <c r="I2096" s="115"/>
      <c r="J2096" s="115"/>
      <c r="K2096" s="115"/>
      <c r="L2096" s="115"/>
      <c r="M2096" s="115"/>
      <c r="N2096" s="115"/>
      <c r="O2096" s="115"/>
    </row>
    <row r="2097">
      <c r="E2097" s="115"/>
      <c r="F2097" s="115"/>
      <c r="G2097" s="115"/>
      <c r="H2097" s="115"/>
      <c r="I2097" s="115"/>
      <c r="J2097" s="115"/>
      <c r="K2097" s="115"/>
      <c r="L2097" s="115"/>
      <c r="M2097" s="115"/>
      <c r="N2097" s="115"/>
      <c r="O2097" s="115"/>
    </row>
    <row r="2098">
      <c r="E2098" s="115"/>
      <c r="F2098" s="115"/>
      <c r="G2098" s="115"/>
      <c r="H2098" s="115"/>
      <c r="I2098" s="115"/>
      <c r="J2098" s="115"/>
      <c r="K2098" s="115"/>
      <c r="L2098" s="115"/>
      <c r="M2098" s="115"/>
      <c r="N2098" s="115"/>
      <c r="O2098" s="115"/>
    </row>
    <row r="2099">
      <c r="E2099" s="115"/>
      <c r="F2099" s="115"/>
      <c r="G2099" s="115"/>
      <c r="H2099" s="115"/>
      <c r="I2099" s="115"/>
      <c r="J2099" s="115"/>
      <c r="K2099" s="115"/>
      <c r="L2099" s="115"/>
      <c r="M2099" s="115"/>
      <c r="N2099" s="115"/>
      <c r="O2099" s="115"/>
    </row>
    <row r="2100">
      <c r="E2100" s="115"/>
      <c r="F2100" s="115"/>
      <c r="G2100" s="115"/>
      <c r="H2100" s="115"/>
      <c r="I2100" s="115"/>
      <c r="J2100" s="115"/>
      <c r="K2100" s="115"/>
      <c r="L2100" s="115"/>
      <c r="M2100" s="115"/>
      <c r="N2100" s="115"/>
      <c r="O2100" s="115"/>
    </row>
    <row r="2101">
      <c r="E2101" s="115"/>
      <c r="F2101" s="115"/>
      <c r="G2101" s="115"/>
      <c r="H2101" s="115"/>
      <c r="I2101" s="115"/>
      <c r="J2101" s="115"/>
      <c r="K2101" s="115"/>
      <c r="L2101" s="115"/>
      <c r="M2101" s="115"/>
      <c r="N2101" s="115"/>
      <c r="O2101" s="115"/>
    </row>
    <row r="2102">
      <c r="E2102" s="115"/>
      <c r="F2102" s="115"/>
      <c r="G2102" s="115"/>
      <c r="H2102" s="115"/>
      <c r="I2102" s="115"/>
      <c r="J2102" s="115"/>
      <c r="K2102" s="115"/>
      <c r="L2102" s="115"/>
      <c r="M2102" s="115"/>
      <c r="N2102" s="115"/>
      <c r="O2102" s="115"/>
    </row>
    <row r="2103">
      <c r="E2103" s="115"/>
      <c r="F2103" s="115"/>
      <c r="G2103" s="115"/>
      <c r="H2103" s="115"/>
      <c r="I2103" s="115"/>
      <c r="J2103" s="115"/>
      <c r="K2103" s="115"/>
      <c r="L2103" s="115"/>
      <c r="M2103" s="115"/>
      <c r="N2103" s="115"/>
      <c r="O2103" s="115"/>
    </row>
    <row r="2104">
      <c r="E2104" s="115"/>
      <c r="F2104" s="115"/>
      <c r="G2104" s="115"/>
      <c r="H2104" s="115"/>
      <c r="I2104" s="115"/>
      <c r="J2104" s="115"/>
      <c r="K2104" s="115"/>
      <c r="L2104" s="115"/>
      <c r="M2104" s="115"/>
      <c r="N2104" s="115"/>
      <c r="O2104" s="115"/>
    </row>
    <row r="2105">
      <c r="E2105" s="115"/>
      <c r="F2105" s="115"/>
      <c r="G2105" s="115"/>
      <c r="H2105" s="115"/>
      <c r="I2105" s="115"/>
      <c r="J2105" s="115"/>
      <c r="K2105" s="115"/>
      <c r="L2105" s="115"/>
      <c r="M2105" s="115"/>
      <c r="N2105" s="115"/>
      <c r="O2105" s="115"/>
    </row>
    <row r="2106">
      <c r="E2106" s="115"/>
      <c r="F2106" s="115"/>
      <c r="G2106" s="115"/>
      <c r="H2106" s="115"/>
      <c r="I2106" s="115"/>
      <c r="J2106" s="115"/>
      <c r="K2106" s="115"/>
      <c r="L2106" s="115"/>
      <c r="M2106" s="115"/>
      <c r="N2106" s="115"/>
      <c r="O2106" s="115"/>
    </row>
    <row r="2107">
      <c r="E2107" s="115"/>
      <c r="F2107" s="115"/>
      <c r="G2107" s="115"/>
      <c r="H2107" s="115"/>
      <c r="I2107" s="115"/>
      <c r="J2107" s="115"/>
      <c r="K2107" s="115"/>
      <c r="L2107" s="115"/>
      <c r="M2107" s="115"/>
      <c r="N2107" s="115"/>
      <c r="O2107" s="115"/>
    </row>
    <row r="2108">
      <c r="E2108" s="115"/>
      <c r="F2108" s="115"/>
      <c r="G2108" s="115"/>
      <c r="H2108" s="115"/>
      <c r="I2108" s="115"/>
      <c r="J2108" s="115"/>
      <c r="K2108" s="115"/>
      <c r="L2108" s="115"/>
      <c r="M2108" s="115"/>
      <c r="N2108" s="115"/>
      <c r="O2108" s="115"/>
    </row>
    <row r="2109">
      <c r="E2109" s="115"/>
      <c r="F2109" s="115"/>
      <c r="G2109" s="115"/>
      <c r="H2109" s="115"/>
      <c r="I2109" s="115"/>
      <c r="J2109" s="115"/>
      <c r="K2109" s="115"/>
      <c r="L2109" s="115"/>
      <c r="M2109" s="115"/>
      <c r="N2109" s="115"/>
      <c r="O2109" s="115"/>
    </row>
    <row r="2110">
      <c r="E2110" s="115"/>
      <c r="F2110" s="115"/>
      <c r="G2110" s="115"/>
      <c r="H2110" s="115"/>
      <c r="I2110" s="115"/>
      <c r="J2110" s="115"/>
      <c r="K2110" s="115"/>
      <c r="L2110" s="115"/>
      <c r="M2110" s="115"/>
      <c r="N2110" s="115"/>
      <c r="O2110" s="115"/>
    </row>
    <row r="2111">
      <c r="E2111" s="115"/>
      <c r="F2111" s="115"/>
      <c r="G2111" s="115"/>
      <c r="H2111" s="115"/>
      <c r="I2111" s="115"/>
      <c r="J2111" s="115"/>
      <c r="K2111" s="115"/>
      <c r="L2111" s="115"/>
      <c r="M2111" s="115"/>
      <c r="N2111" s="115"/>
      <c r="O2111" s="115"/>
    </row>
    <row r="2112">
      <c r="E2112" s="115"/>
      <c r="F2112" s="115"/>
      <c r="G2112" s="115"/>
      <c r="H2112" s="115"/>
      <c r="I2112" s="115"/>
      <c r="J2112" s="115"/>
      <c r="K2112" s="115"/>
      <c r="L2112" s="115"/>
      <c r="M2112" s="115"/>
      <c r="N2112" s="115"/>
      <c r="O2112" s="115"/>
    </row>
    <row r="2113">
      <c r="E2113" s="115"/>
      <c r="F2113" s="115"/>
      <c r="G2113" s="115"/>
      <c r="H2113" s="115"/>
      <c r="I2113" s="115"/>
      <c r="J2113" s="115"/>
      <c r="K2113" s="115"/>
      <c r="L2113" s="115"/>
      <c r="M2113" s="115"/>
      <c r="N2113" s="115"/>
      <c r="O2113" s="115"/>
    </row>
    <row r="2114">
      <c r="E2114" s="115"/>
      <c r="F2114" s="115"/>
      <c r="G2114" s="115"/>
      <c r="H2114" s="115"/>
      <c r="I2114" s="115"/>
      <c r="J2114" s="115"/>
      <c r="K2114" s="115"/>
      <c r="L2114" s="115"/>
      <c r="M2114" s="115"/>
      <c r="N2114" s="115"/>
      <c r="O2114" s="115"/>
    </row>
    <row r="2115">
      <c r="E2115" s="115"/>
      <c r="F2115" s="115"/>
      <c r="G2115" s="115"/>
      <c r="H2115" s="115"/>
      <c r="I2115" s="115"/>
      <c r="J2115" s="115"/>
      <c r="K2115" s="115"/>
      <c r="L2115" s="115"/>
      <c r="M2115" s="115"/>
      <c r="N2115" s="115"/>
      <c r="O2115" s="115"/>
    </row>
    <row r="2116">
      <c r="E2116" s="115"/>
      <c r="F2116" s="115"/>
      <c r="G2116" s="115"/>
      <c r="H2116" s="115"/>
      <c r="I2116" s="115"/>
      <c r="J2116" s="115"/>
      <c r="K2116" s="115"/>
      <c r="L2116" s="115"/>
      <c r="M2116" s="115"/>
      <c r="N2116" s="115"/>
      <c r="O2116" s="115"/>
    </row>
    <row r="2117">
      <c r="E2117" s="115"/>
      <c r="F2117" s="115"/>
      <c r="G2117" s="115"/>
      <c r="H2117" s="115"/>
      <c r="I2117" s="115"/>
      <c r="J2117" s="115"/>
      <c r="K2117" s="115"/>
      <c r="L2117" s="115"/>
      <c r="M2117" s="115"/>
      <c r="N2117" s="115"/>
      <c r="O2117" s="115"/>
    </row>
    <row r="2118">
      <c r="E2118" s="115"/>
      <c r="F2118" s="115"/>
      <c r="G2118" s="115"/>
      <c r="H2118" s="115"/>
      <c r="I2118" s="115"/>
      <c r="J2118" s="115"/>
      <c r="K2118" s="115"/>
      <c r="L2118" s="115"/>
      <c r="M2118" s="115"/>
      <c r="N2118" s="115"/>
      <c r="O2118" s="115"/>
    </row>
    <row r="2119">
      <c r="E2119" s="115"/>
      <c r="F2119" s="115"/>
      <c r="G2119" s="115"/>
      <c r="H2119" s="115"/>
      <c r="I2119" s="115"/>
      <c r="J2119" s="115"/>
      <c r="K2119" s="115"/>
      <c r="L2119" s="115"/>
      <c r="M2119" s="115"/>
      <c r="N2119" s="115"/>
      <c r="O2119" s="115"/>
    </row>
    <row r="2120">
      <c r="E2120" s="115"/>
      <c r="F2120" s="115"/>
      <c r="G2120" s="115"/>
      <c r="H2120" s="115"/>
      <c r="I2120" s="115"/>
      <c r="J2120" s="115"/>
      <c r="K2120" s="115"/>
      <c r="L2120" s="115"/>
      <c r="M2120" s="115"/>
      <c r="N2120" s="115"/>
      <c r="O2120" s="115"/>
    </row>
    <row r="2121">
      <c r="E2121" s="115"/>
      <c r="F2121" s="115"/>
      <c r="G2121" s="115"/>
      <c r="H2121" s="115"/>
      <c r="I2121" s="115"/>
      <c r="J2121" s="115"/>
      <c r="K2121" s="115"/>
      <c r="L2121" s="115"/>
      <c r="M2121" s="115"/>
      <c r="N2121" s="115"/>
      <c r="O2121" s="115"/>
    </row>
    <row r="2122">
      <c r="E2122" s="115"/>
      <c r="F2122" s="115"/>
      <c r="G2122" s="115"/>
      <c r="H2122" s="115"/>
      <c r="I2122" s="115"/>
      <c r="J2122" s="115"/>
      <c r="K2122" s="115"/>
      <c r="L2122" s="115"/>
      <c r="M2122" s="115"/>
      <c r="N2122" s="115"/>
      <c r="O2122" s="115"/>
    </row>
    <row r="2123">
      <c r="E2123" s="115"/>
      <c r="F2123" s="115"/>
      <c r="G2123" s="115"/>
      <c r="H2123" s="115"/>
      <c r="I2123" s="115"/>
      <c r="J2123" s="115"/>
      <c r="K2123" s="115"/>
      <c r="L2123" s="115"/>
      <c r="M2123" s="115"/>
      <c r="N2123" s="115"/>
      <c r="O2123" s="115"/>
    </row>
    <row r="2124">
      <c r="E2124" s="115"/>
      <c r="F2124" s="115"/>
      <c r="G2124" s="115"/>
      <c r="H2124" s="115"/>
      <c r="I2124" s="115"/>
      <c r="J2124" s="115"/>
      <c r="K2124" s="115"/>
      <c r="L2124" s="115"/>
      <c r="M2124" s="115"/>
      <c r="N2124" s="115"/>
      <c r="O2124" s="115"/>
    </row>
    <row r="2125">
      <c r="E2125" s="115"/>
      <c r="F2125" s="115"/>
      <c r="G2125" s="115"/>
      <c r="H2125" s="115"/>
      <c r="I2125" s="115"/>
      <c r="J2125" s="115"/>
      <c r="K2125" s="115"/>
      <c r="L2125" s="115"/>
      <c r="M2125" s="115"/>
      <c r="N2125" s="115"/>
      <c r="O2125" s="115"/>
    </row>
    <row r="2126">
      <c r="E2126" s="115"/>
      <c r="F2126" s="115"/>
      <c r="G2126" s="115"/>
      <c r="H2126" s="115"/>
      <c r="I2126" s="115"/>
      <c r="J2126" s="115"/>
      <c r="K2126" s="115"/>
      <c r="L2126" s="115"/>
      <c r="M2126" s="115"/>
      <c r="N2126" s="115"/>
      <c r="O2126" s="115"/>
    </row>
    <row r="2127">
      <c r="E2127" s="115"/>
      <c r="F2127" s="115"/>
      <c r="G2127" s="115"/>
      <c r="H2127" s="115"/>
      <c r="I2127" s="115"/>
      <c r="J2127" s="115"/>
      <c r="K2127" s="115"/>
      <c r="L2127" s="115"/>
      <c r="M2127" s="115"/>
      <c r="N2127" s="115"/>
      <c r="O2127" s="115"/>
    </row>
    <row r="2128">
      <c r="E2128" s="115"/>
      <c r="F2128" s="115"/>
      <c r="G2128" s="115"/>
      <c r="H2128" s="115"/>
      <c r="I2128" s="115"/>
      <c r="J2128" s="115"/>
      <c r="K2128" s="115"/>
      <c r="L2128" s="115"/>
      <c r="M2128" s="115"/>
      <c r="N2128" s="115"/>
      <c r="O2128" s="115"/>
    </row>
    <row r="2129">
      <c r="E2129" s="115"/>
      <c r="F2129" s="115"/>
      <c r="G2129" s="115"/>
      <c r="H2129" s="115"/>
      <c r="I2129" s="115"/>
      <c r="J2129" s="115"/>
      <c r="K2129" s="115"/>
      <c r="L2129" s="115"/>
      <c r="M2129" s="115"/>
      <c r="N2129" s="115"/>
      <c r="O2129" s="115"/>
    </row>
    <row r="2130">
      <c r="E2130" s="115"/>
      <c r="F2130" s="115"/>
      <c r="G2130" s="115"/>
      <c r="H2130" s="115"/>
      <c r="I2130" s="115"/>
      <c r="J2130" s="115"/>
      <c r="K2130" s="115"/>
      <c r="L2130" s="115"/>
      <c r="M2130" s="115"/>
      <c r="N2130" s="115"/>
      <c r="O2130" s="115"/>
    </row>
    <row r="2131">
      <c r="E2131" s="115"/>
      <c r="F2131" s="115"/>
      <c r="G2131" s="115"/>
      <c r="H2131" s="115"/>
      <c r="I2131" s="115"/>
      <c r="J2131" s="115"/>
      <c r="K2131" s="115"/>
      <c r="L2131" s="115"/>
      <c r="M2131" s="115"/>
      <c r="N2131" s="115"/>
      <c r="O2131" s="115"/>
    </row>
    <row r="2132">
      <c r="E2132" s="115"/>
      <c r="F2132" s="115"/>
      <c r="G2132" s="115"/>
      <c r="H2132" s="115"/>
      <c r="I2132" s="115"/>
      <c r="J2132" s="115"/>
      <c r="K2132" s="115"/>
      <c r="L2132" s="115"/>
      <c r="M2132" s="115"/>
      <c r="N2132" s="115"/>
      <c r="O2132" s="115"/>
    </row>
    <row r="2133">
      <c r="E2133" s="115"/>
      <c r="F2133" s="115"/>
      <c r="G2133" s="115"/>
      <c r="H2133" s="115"/>
      <c r="I2133" s="115"/>
      <c r="J2133" s="115"/>
      <c r="K2133" s="115"/>
      <c r="L2133" s="115"/>
      <c r="M2133" s="115"/>
      <c r="N2133" s="115"/>
      <c r="O2133" s="115"/>
    </row>
    <row r="2134">
      <c r="E2134" s="115"/>
      <c r="F2134" s="115"/>
      <c r="G2134" s="115"/>
      <c r="H2134" s="115"/>
      <c r="I2134" s="115"/>
      <c r="J2134" s="115"/>
      <c r="K2134" s="115"/>
      <c r="L2134" s="115"/>
      <c r="M2134" s="115"/>
      <c r="N2134" s="115"/>
      <c r="O2134" s="115"/>
    </row>
    <row r="2135">
      <c r="E2135" s="115"/>
      <c r="F2135" s="115"/>
      <c r="G2135" s="115"/>
      <c r="H2135" s="115"/>
      <c r="I2135" s="115"/>
      <c r="J2135" s="115"/>
      <c r="K2135" s="115"/>
      <c r="L2135" s="115"/>
      <c r="M2135" s="115"/>
      <c r="N2135" s="115"/>
      <c r="O2135" s="115"/>
    </row>
    <row r="2136">
      <c r="E2136" s="115"/>
      <c r="F2136" s="115"/>
      <c r="G2136" s="115"/>
      <c r="H2136" s="115"/>
      <c r="I2136" s="115"/>
      <c r="J2136" s="115"/>
      <c r="K2136" s="115"/>
      <c r="L2136" s="115"/>
      <c r="M2136" s="115"/>
      <c r="N2136" s="115"/>
      <c r="O2136" s="115"/>
    </row>
    <row r="2137">
      <c r="E2137" s="115"/>
      <c r="F2137" s="115"/>
      <c r="G2137" s="115"/>
      <c r="H2137" s="115"/>
      <c r="I2137" s="115"/>
      <c r="J2137" s="115"/>
      <c r="K2137" s="115"/>
      <c r="L2137" s="115"/>
      <c r="M2137" s="115"/>
      <c r="N2137" s="115"/>
      <c r="O2137" s="115"/>
    </row>
    <row r="2138">
      <c r="E2138" s="115"/>
      <c r="F2138" s="115"/>
      <c r="G2138" s="115"/>
      <c r="H2138" s="115"/>
      <c r="I2138" s="115"/>
      <c r="J2138" s="115"/>
      <c r="K2138" s="115"/>
      <c r="L2138" s="115"/>
      <c r="M2138" s="115"/>
      <c r="N2138" s="115"/>
      <c r="O2138" s="115"/>
    </row>
    <row r="2139">
      <c r="E2139" s="115"/>
      <c r="F2139" s="115"/>
      <c r="G2139" s="115"/>
      <c r="H2139" s="115"/>
      <c r="I2139" s="115"/>
      <c r="J2139" s="115"/>
      <c r="K2139" s="115"/>
      <c r="L2139" s="115"/>
      <c r="M2139" s="115"/>
      <c r="N2139" s="115"/>
      <c r="O2139" s="115"/>
    </row>
    <row r="2140">
      <c r="E2140" s="115"/>
      <c r="F2140" s="115"/>
      <c r="G2140" s="115"/>
      <c r="H2140" s="115"/>
      <c r="I2140" s="115"/>
      <c r="J2140" s="115"/>
      <c r="K2140" s="115"/>
      <c r="L2140" s="115"/>
      <c r="M2140" s="115"/>
      <c r="N2140" s="115"/>
      <c r="O2140" s="115"/>
    </row>
    <row r="2141">
      <c r="E2141" s="115"/>
      <c r="F2141" s="115"/>
      <c r="G2141" s="115"/>
      <c r="H2141" s="115"/>
      <c r="I2141" s="115"/>
      <c r="J2141" s="115"/>
      <c r="K2141" s="115"/>
      <c r="L2141" s="115"/>
      <c r="M2141" s="115"/>
      <c r="N2141" s="115"/>
      <c r="O2141" s="115"/>
    </row>
    <row r="2142">
      <c r="E2142" s="115"/>
      <c r="F2142" s="115"/>
      <c r="G2142" s="115"/>
      <c r="H2142" s="115"/>
      <c r="I2142" s="115"/>
      <c r="J2142" s="115"/>
      <c r="K2142" s="115"/>
      <c r="L2142" s="115"/>
      <c r="M2142" s="115"/>
      <c r="N2142" s="115"/>
      <c r="O2142" s="115"/>
    </row>
    <row r="2143">
      <c r="E2143" s="115"/>
      <c r="F2143" s="115"/>
      <c r="G2143" s="115"/>
      <c r="H2143" s="115"/>
      <c r="I2143" s="115"/>
      <c r="J2143" s="115"/>
      <c r="K2143" s="115"/>
      <c r="L2143" s="115"/>
      <c r="M2143" s="115"/>
      <c r="N2143" s="115"/>
      <c r="O2143" s="115"/>
    </row>
    <row r="2144">
      <c r="E2144" s="115"/>
      <c r="F2144" s="115"/>
      <c r="G2144" s="115"/>
      <c r="H2144" s="115"/>
      <c r="I2144" s="115"/>
      <c r="J2144" s="115"/>
      <c r="K2144" s="115"/>
      <c r="L2144" s="115"/>
      <c r="M2144" s="115"/>
      <c r="N2144" s="115"/>
      <c r="O2144" s="115"/>
    </row>
    <row r="2145">
      <c r="E2145" s="115"/>
      <c r="F2145" s="115"/>
      <c r="G2145" s="115"/>
      <c r="H2145" s="115"/>
      <c r="I2145" s="115"/>
      <c r="J2145" s="115"/>
      <c r="K2145" s="115"/>
      <c r="L2145" s="115"/>
      <c r="M2145" s="115"/>
      <c r="N2145" s="115"/>
      <c r="O2145" s="115"/>
    </row>
    <row r="2146">
      <c r="E2146" s="115"/>
      <c r="F2146" s="115"/>
      <c r="G2146" s="115"/>
      <c r="H2146" s="115"/>
      <c r="I2146" s="115"/>
      <c r="J2146" s="115"/>
      <c r="K2146" s="115"/>
      <c r="L2146" s="115"/>
      <c r="M2146" s="115"/>
      <c r="N2146" s="115"/>
      <c r="O2146" s="115"/>
    </row>
    <row r="2147">
      <c r="E2147" s="115"/>
      <c r="F2147" s="115"/>
      <c r="G2147" s="115"/>
      <c r="H2147" s="115"/>
      <c r="I2147" s="115"/>
      <c r="J2147" s="115"/>
      <c r="K2147" s="115"/>
      <c r="L2147" s="115"/>
      <c r="M2147" s="115"/>
      <c r="N2147" s="115"/>
      <c r="O2147" s="115"/>
    </row>
    <row r="2148">
      <c r="E2148" s="115"/>
      <c r="F2148" s="115"/>
      <c r="G2148" s="115"/>
      <c r="H2148" s="115"/>
      <c r="I2148" s="115"/>
      <c r="J2148" s="115"/>
      <c r="K2148" s="115"/>
      <c r="L2148" s="115"/>
      <c r="M2148" s="115"/>
      <c r="N2148" s="115"/>
      <c r="O2148" s="115"/>
    </row>
    <row r="2149">
      <c r="E2149" s="115"/>
      <c r="F2149" s="115"/>
      <c r="G2149" s="115"/>
      <c r="H2149" s="115"/>
      <c r="I2149" s="115"/>
      <c r="J2149" s="115"/>
      <c r="K2149" s="115"/>
      <c r="L2149" s="115"/>
      <c r="M2149" s="115"/>
      <c r="N2149" s="115"/>
      <c r="O2149" s="115"/>
    </row>
    <row r="2150">
      <c r="E2150" s="115"/>
      <c r="F2150" s="115"/>
      <c r="G2150" s="115"/>
      <c r="H2150" s="115"/>
      <c r="I2150" s="115"/>
      <c r="J2150" s="115"/>
      <c r="K2150" s="115"/>
      <c r="L2150" s="115"/>
      <c r="M2150" s="115"/>
      <c r="N2150" s="115"/>
      <c r="O2150" s="115"/>
    </row>
    <row r="2151">
      <c r="E2151" s="115"/>
      <c r="F2151" s="115"/>
      <c r="G2151" s="115"/>
      <c r="H2151" s="115"/>
      <c r="I2151" s="115"/>
      <c r="J2151" s="115"/>
      <c r="K2151" s="115"/>
      <c r="L2151" s="115"/>
      <c r="M2151" s="115"/>
      <c r="N2151" s="115"/>
      <c r="O2151" s="115"/>
    </row>
    <row r="2152">
      <c r="E2152" s="115"/>
      <c r="F2152" s="115"/>
      <c r="G2152" s="115"/>
      <c r="H2152" s="115"/>
      <c r="I2152" s="115"/>
      <c r="J2152" s="115"/>
      <c r="K2152" s="115"/>
      <c r="L2152" s="115"/>
      <c r="M2152" s="115"/>
      <c r="N2152" s="115"/>
      <c r="O2152" s="115"/>
    </row>
    <row r="2153">
      <c r="E2153" s="115"/>
      <c r="F2153" s="115"/>
      <c r="G2153" s="115"/>
      <c r="H2153" s="115"/>
      <c r="I2153" s="115"/>
      <c r="J2153" s="115"/>
      <c r="K2153" s="115"/>
      <c r="L2153" s="115"/>
      <c r="M2153" s="115"/>
      <c r="N2153" s="115"/>
      <c r="O2153" s="115"/>
    </row>
    <row r="2154">
      <c r="E2154" s="115"/>
      <c r="F2154" s="115"/>
      <c r="G2154" s="115"/>
      <c r="H2154" s="115"/>
      <c r="I2154" s="115"/>
      <c r="J2154" s="115"/>
      <c r="K2154" s="115"/>
      <c r="L2154" s="115"/>
      <c r="M2154" s="115"/>
      <c r="N2154" s="115"/>
      <c r="O2154" s="115"/>
    </row>
    <row r="2155">
      <c r="E2155" s="115"/>
      <c r="F2155" s="115"/>
      <c r="G2155" s="115"/>
      <c r="H2155" s="115"/>
      <c r="I2155" s="115"/>
      <c r="J2155" s="115"/>
      <c r="K2155" s="115"/>
      <c r="L2155" s="115"/>
      <c r="M2155" s="115"/>
      <c r="N2155" s="115"/>
      <c r="O2155" s="115"/>
    </row>
    <row r="2156">
      <c r="E2156" s="115"/>
      <c r="F2156" s="115"/>
      <c r="G2156" s="115"/>
      <c r="H2156" s="115"/>
      <c r="I2156" s="115"/>
      <c r="J2156" s="115"/>
      <c r="K2156" s="115"/>
      <c r="L2156" s="115"/>
      <c r="M2156" s="115"/>
      <c r="N2156" s="115"/>
      <c r="O2156" s="115"/>
    </row>
    <row r="2157">
      <c r="E2157" s="115"/>
      <c r="F2157" s="115"/>
      <c r="G2157" s="115"/>
      <c r="H2157" s="115"/>
      <c r="I2157" s="115"/>
      <c r="J2157" s="115"/>
      <c r="K2157" s="115"/>
      <c r="L2157" s="115"/>
      <c r="M2157" s="115"/>
      <c r="N2157" s="115"/>
      <c r="O2157" s="115"/>
    </row>
    <row r="2158">
      <c r="E2158" s="115"/>
      <c r="F2158" s="115"/>
      <c r="G2158" s="115"/>
      <c r="H2158" s="115"/>
      <c r="I2158" s="115"/>
      <c r="J2158" s="115"/>
      <c r="K2158" s="115"/>
      <c r="L2158" s="115"/>
      <c r="M2158" s="115"/>
      <c r="N2158" s="115"/>
      <c r="O2158" s="115"/>
    </row>
    <row r="2159">
      <c r="E2159" s="115"/>
      <c r="F2159" s="115"/>
      <c r="G2159" s="115"/>
      <c r="H2159" s="115"/>
      <c r="I2159" s="115"/>
      <c r="J2159" s="115"/>
      <c r="K2159" s="115"/>
      <c r="L2159" s="115"/>
      <c r="M2159" s="115"/>
      <c r="N2159" s="115"/>
      <c r="O2159" s="115"/>
    </row>
    <row r="2160">
      <c r="E2160" s="115"/>
      <c r="F2160" s="115"/>
      <c r="G2160" s="115"/>
      <c r="H2160" s="115"/>
      <c r="I2160" s="115"/>
      <c r="J2160" s="115"/>
      <c r="K2160" s="115"/>
      <c r="L2160" s="115"/>
      <c r="M2160" s="115"/>
      <c r="N2160" s="115"/>
      <c r="O2160" s="115"/>
    </row>
    <row r="2161">
      <c r="E2161" s="115"/>
      <c r="F2161" s="115"/>
      <c r="G2161" s="115"/>
      <c r="H2161" s="115"/>
      <c r="I2161" s="115"/>
      <c r="J2161" s="115"/>
      <c r="K2161" s="115"/>
      <c r="L2161" s="115"/>
      <c r="M2161" s="115"/>
      <c r="N2161" s="115"/>
      <c r="O2161" s="115"/>
    </row>
    <row r="2162">
      <c r="E2162" s="115"/>
      <c r="F2162" s="115"/>
      <c r="G2162" s="115"/>
      <c r="H2162" s="115"/>
      <c r="I2162" s="115"/>
      <c r="J2162" s="115"/>
      <c r="K2162" s="115"/>
      <c r="L2162" s="115"/>
      <c r="M2162" s="115"/>
      <c r="N2162" s="115"/>
      <c r="O2162" s="115"/>
    </row>
    <row r="2163">
      <c r="E2163" s="115"/>
      <c r="F2163" s="115"/>
      <c r="G2163" s="115"/>
      <c r="H2163" s="115"/>
      <c r="I2163" s="115"/>
      <c r="J2163" s="115"/>
      <c r="K2163" s="115"/>
      <c r="L2163" s="115"/>
      <c r="M2163" s="115"/>
      <c r="N2163" s="115"/>
      <c r="O2163" s="115"/>
    </row>
    <row r="2164">
      <c r="E2164" s="115"/>
      <c r="F2164" s="115"/>
      <c r="G2164" s="115"/>
      <c r="H2164" s="115"/>
      <c r="I2164" s="115"/>
      <c r="J2164" s="115"/>
      <c r="K2164" s="115"/>
      <c r="L2164" s="115"/>
      <c r="M2164" s="115"/>
      <c r="N2164" s="115"/>
      <c r="O2164" s="115"/>
    </row>
    <row r="2165">
      <c r="E2165" s="115"/>
      <c r="F2165" s="115"/>
      <c r="G2165" s="115"/>
      <c r="H2165" s="115"/>
      <c r="I2165" s="115"/>
      <c r="J2165" s="115"/>
      <c r="K2165" s="115"/>
      <c r="L2165" s="115"/>
      <c r="M2165" s="115"/>
      <c r="N2165" s="115"/>
      <c r="O2165" s="115"/>
    </row>
    <row r="2166">
      <c r="E2166" s="115"/>
      <c r="F2166" s="115"/>
      <c r="G2166" s="115"/>
      <c r="H2166" s="115"/>
      <c r="I2166" s="115"/>
      <c r="J2166" s="115"/>
      <c r="K2166" s="115"/>
      <c r="L2166" s="115"/>
      <c r="M2166" s="115"/>
      <c r="N2166" s="115"/>
      <c r="O2166" s="115"/>
    </row>
    <row r="2167">
      <c r="E2167" s="115"/>
      <c r="F2167" s="115"/>
      <c r="G2167" s="115"/>
      <c r="H2167" s="115"/>
      <c r="I2167" s="115"/>
      <c r="J2167" s="115"/>
      <c r="K2167" s="115"/>
      <c r="L2167" s="115"/>
      <c r="M2167" s="115"/>
      <c r="N2167" s="115"/>
      <c r="O2167" s="115"/>
    </row>
    <row r="2168">
      <c r="E2168" s="115"/>
      <c r="F2168" s="115"/>
      <c r="G2168" s="115"/>
      <c r="H2168" s="115"/>
      <c r="I2168" s="115"/>
      <c r="J2168" s="115"/>
      <c r="K2168" s="115"/>
      <c r="L2168" s="115"/>
      <c r="M2168" s="115"/>
      <c r="N2168" s="115"/>
      <c r="O2168" s="115"/>
    </row>
    <row r="2169">
      <c r="E2169" s="115"/>
      <c r="F2169" s="115"/>
      <c r="G2169" s="115"/>
      <c r="H2169" s="115"/>
      <c r="I2169" s="115"/>
      <c r="J2169" s="115"/>
      <c r="K2169" s="115"/>
      <c r="L2169" s="115"/>
      <c r="M2169" s="115"/>
      <c r="N2169" s="115"/>
      <c r="O2169" s="115"/>
    </row>
    <row r="2170">
      <c r="E2170" s="115"/>
      <c r="F2170" s="115"/>
      <c r="G2170" s="115"/>
      <c r="H2170" s="115"/>
      <c r="I2170" s="115"/>
      <c r="J2170" s="115"/>
      <c r="K2170" s="115"/>
      <c r="L2170" s="115"/>
      <c r="M2170" s="115"/>
      <c r="N2170" s="115"/>
      <c r="O2170" s="115"/>
    </row>
    <row r="2171">
      <c r="E2171" s="115"/>
      <c r="F2171" s="115"/>
      <c r="G2171" s="115"/>
      <c r="H2171" s="115"/>
      <c r="I2171" s="115"/>
      <c r="J2171" s="115"/>
      <c r="K2171" s="115"/>
      <c r="L2171" s="115"/>
      <c r="M2171" s="115"/>
      <c r="N2171" s="115"/>
      <c r="O2171" s="115"/>
    </row>
    <row r="2172">
      <c r="E2172" s="115"/>
      <c r="F2172" s="115"/>
      <c r="G2172" s="115"/>
      <c r="H2172" s="115"/>
      <c r="I2172" s="115"/>
      <c r="J2172" s="115"/>
      <c r="K2172" s="115"/>
      <c r="L2172" s="115"/>
      <c r="M2172" s="115"/>
      <c r="N2172" s="115"/>
      <c r="O2172" s="115"/>
    </row>
    <row r="2173">
      <c r="E2173" s="115"/>
      <c r="F2173" s="115"/>
      <c r="G2173" s="115"/>
      <c r="H2173" s="115"/>
      <c r="I2173" s="115"/>
      <c r="J2173" s="115"/>
      <c r="K2173" s="115"/>
      <c r="L2173" s="115"/>
      <c r="M2173" s="115"/>
      <c r="N2173" s="115"/>
      <c r="O2173" s="115"/>
    </row>
    <row r="2174">
      <c r="E2174" s="115"/>
      <c r="F2174" s="115"/>
      <c r="G2174" s="115"/>
      <c r="H2174" s="115"/>
      <c r="I2174" s="115"/>
      <c r="J2174" s="115"/>
      <c r="K2174" s="115"/>
      <c r="L2174" s="115"/>
      <c r="M2174" s="115"/>
      <c r="N2174" s="115"/>
      <c r="O2174" s="115"/>
    </row>
    <row r="2175">
      <c r="E2175" s="115"/>
      <c r="F2175" s="115"/>
      <c r="G2175" s="115"/>
      <c r="H2175" s="115"/>
      <c r="I2175" s="115"/>
      <c r="J2175" s="115"/>
      <c r="K2175" s="115"/>
      <c r="L2175" s="115"/>
      <c r="M2175" s="115"/>
      <c r="N2175" s="115"/>
      <c r="O2175" s="115"/>
    </row>
    <row r="2176">
      <c r="E2176" s="115"/>
      <c r="F2176" s="115"/>
      <c r="G2176" s="115"/>
      <c r="H2176" s="115"/>
      <c r="I2176" s="115"/>
      <c r="J2176" s="115"/>
      <c r="K2176" s="115"/>
      <c r="L2176" s="115"/>
      <c r="M2176" s="115"/>
      <c r="N2176" s="115"/>
      <c r="O2176" s="115"/>
    </row>
    <row r="2177">
      <c r="E2177" s="115"/>
      <c r="F2177" s="115"/>
      <c r="G2177" s="115"/>
      <c r="H2177" s="115"/>
      <c r="I2177" s="115"/>
      <c r="J2177" s="115"/>
      <c r="K2177" s="115"/>
      <c r="L2177" s="115"/>
      <c r="M2177" s="115"/>
      <c r="N2177" s="115"/>
      <c r="O2177" s="115"/>
    </row>
    <row r="2178">
      <c r="E2178" s="115"/>
      <c r="F2178" s="115"/>
      <c r="G2178" s="115"/>
      <c r="H2178" s="115"/>
      <c r="I2178" s="115"/>
      <c r="J2178" s="115"/>
      <c r="K2178" s="115"/>
      <c r="L2178" s="115"/>
      <c r="M2178" s="115"/>
      <c r="N2178" s="115"/>
      <c r="O2178" s="115"/>
    </row>
    <row r="2179">
      <c r="E2179" s="115"/>
      <c r="F2179" s="115"/>
      <c r="G2179" s="115"/>
      <c r="H2179" s="115"/>
      <c r="I2179" s="115"/>
      <c r="J2179" s="115"/>
      <c r="K2179" s="115"/>
      <c r="L2179" s="115"/>
      <c r="M2179" s="115"/>
      <c r="N2179" s="115"/>
      <c r="O2179" s="115"/>
    </row>
    <row r="2180">
      <c r="E2180" s="115"/>
      <c r="F2180" s="115"/>
      <c r="G2180" s="115"/>
      <c r="H2180" s="115"/>
      <c r="I2180" s="115"/>
      <c r="J2180" s="115"/>
      <c r="K2180" s="115"/>
      <c r="L2180" s="115"/>
      <c r="M2180" s="115"/>
      <c r="N2180" s="115"/>
      <c r="O2180" s="115"/>
    </row>
    <row r="2181">
      <c r="E2181" s="115"/>
      <c r="F2181" s="115"/>
      <c r="G2181" s="115"/>
      <c r="H2181" s="115"/>
      <c r="I2181" s="115"/>
      <c r="J2181" s="115"/>
      <c r="K2181" s="115"/>
      <c r="L2181" s="115"/>
      <c r="M2181" s="115"/>
      <c r="N2181" s="115"/>
      <c r="O2181" s="115"/>
    </row>
    <row r="2182">
      <c r="E2182" s="115"/>
      <c r="F2182" s="115"/>
      <c r="G2182" s="115"/>
      <c r="H2182" s="115"/>
      <c r="I2182" s="115"/>
      <c r="J2182" s="115"/>
      <c r="K2182" s="115"/>
      <c r="L2182" s="115"/>
      <c r="M2182" s="115"/>
      <c r="N2182" s="115"/>
      <c r="O2182" s="115"/>
    </row>
    <row r="2183">
      <c r="E2183" s="115"/>
      <c r="F2183" s="115"/>
      <c r="G2183" s="115"/>
      <c r="H2183" s="115"/>
      <c r="I2183" s="115"/>
      <c r="J2183" s="115"/>
      <c r="K2183" s="115"/>
      <c r="L2183" s="115"/>
      <c r="M2183" s="115"/>
      <c r="N2183" s="115"/>
      <c r="O2183" s="115"/>
    </row>
    <row r="2184">
      <c r="E2184" s="115"/>
      <c r="F2184" s="115"/>
      <c r="G2184" s="115"/>
      <c r="H2184" s="115"/>
      <c r="I2184" s="115"/>
      <c r="J2184" s="115"/>
      <c r="K2184" s="115"/>
      <c r="L2184" s="115"/>
      <c r="M2184" s="115"/>
      <c r="N2184" s="115"/>
      <c r="O2184" s="115"/>
    </row>
    <row r="2185">
      <c r="E2185" s="115"/>
      <c r="F2185" s="115"/>
      <c r="G2185" s="115"/>
      <c r="H2185" s="115"/>
      <c r="I2185" s="115"/>
      <c r="J2185" s="115"/>
      <c r="K2185" s="115"/>
      <c r="L2185" s="115"/>
      <c r="M2185" s="115"/>
      <c r="N2185" s="115"/>
      <c r="O2185" s="115"/>
    </row>
    <row r="2186">
      <c r="E2186" s="115"/>
      <c r="F2186" s="115"/>
      <c r="G2186" s="115"/>
      <c r="H2186" s="115"/>
      <c r="I2186" s="115"/>
      <c r="J2186" s="115"/>
      <c r="K2186" s="115"/>
      <c r="L2186" s="115"/>
      <c r="M2186" s="115"/>
      <c r="N2186" s="115"/>
      <c r="O2186" s="115"/>
    </row>
    <row r="2187">
      <c r="E2187" s="115"/>
      <c r="F2187" s="115"/>
      <c r="G2187" s="115"/>
      <c r="H2187" s="115"/>
      <c r="I2187" s="115"/>
      <c r="J2187" s="115"/>
      <c r="K2187" s="115"/>
      <c r="L2187" s="115"/>
      <c r="M2187" s="115"/>
      <c r="N2187" s="115"/>
      <c r="O2187" s="115"/>
    </row>
    <row r="2188">
      <c r="E2188" s="115"/>
      <c r="F2188" s="115"/>
      <c r="G2188" s="115"/>
      <c r="H2188" s="115"/>
      <c r="I2188" s="115"/>
      <c r="J2188" s="115"/>
      <c r="K2188" s="115"/>
      <c r="L2188" s="115"/>
      <c r="M2188" s="115"/>
      <c r="N2188" s="115"/>
      <c r="O2188" s="115"/>
    </row>
    <row r="2189">
      <c r="E2189" s="115"/>
      <c r="F2189" s="115"/>
      <c r="G2189" s="115"/>
      <c r="H2189" s="115"/>
      <c r="I2189" s="115"/>
      <c r="J2189" s="115"/>
      <c r="K2189" s="115"/>
      <c r="L2189" s="115"/>
      <c r="M2189" s="115"/>
      <c r="N2189" s="115"/>
      <c r="O2189" s="115"/>
    </row>
    <row r="2190">
      <c r="E2190" s="115"/>
      <c r="F2190" s="115"/>
      <c r="G2190" s="115"/>
      <c r="H2190" s="115"/>
      <c r="I2190" s="115"/>
      <c r="J2190" s="115"/>
      <c r="K2190" s="115"/>
      <c r="L2190" s="115"/>
      <c r="M2190" s="115"/>
      <c r="N2190" s="115"/>
      <c r="O2190" s="115"/>
    </row>
    <row r="2191">
      <c r="E2191" s="115"/>
      <c r="F2191" s="115"/>
      <c r="G2191" s="115"/>
      <c r="H2191" s="115"/>
      <c r="I2191" s="115"/>
      <c r="J2191" s="115"/>
      <c r="K2191" s="115"/>
      <c r="L2191" s="115"/>
      <c r="M2191" s="115"/>
      <c r="N2191" s="115"/>
      <c r="O2191" s="115"/>
    </row>
    <row r="2192">
      <c r="E2192" s="115"/>
      <c r="F2192" s="115"/>
      <c r="G2192" s="115"/>
      <c r="H2192" s="115"/>
      <c r="I2192" s="115"/>
      <c r="J2192" s="115"/>
      <c r="K2192" s="115"/>
      <c r="L2192" s="115"/>
      <c r="M2192" s="115"/>
      <c r="N2192" s="115"/>
      <c r="O2192" s="115"/>
    </row>
    <row r="2193">
      <c r="E2193" s="115"/>
      <c r="F2193" s="115"/>
      <c r="G2193" s="115"/>
      <c r="H2193" s="115"/>
      <c r="I2193" s="115"/>
      <c r="J2193" s="115"/>
      <c r="K2193" s="115"/>
      <c r="L2193" s="115"/>
      <c r="M2193" s="115"/>
      <c r="N2193" s="115"/>
      <c r="O2193" s="115"/>
    </row>
    <row r="2194">
      <c r="E2194" s="115"/>
      <c r="F2194" s="115"/>
      <c r="G2194" s="115"/>
      <c r="H2194" s="115"/>
      <c r="I2194" s="115"/>
      <c r="J2194" s="115"/>
      <c r="K2194" s="115"/>
      <c r="L2194" s="115"/>
      <c r="M2194" s="115"/>
      <c r="N2194" s="115"/>
      <c r="O2194" s="115"/>
    </row>
    <row r="2195">
      <c r="E2195" s="115"/>
      <c r="F2195" s="115"/>
      <c r="G2195" s="115"/>
      <c r="H2195" s="115"/>
      <c r="I2195" s="115"/>
      <c r="J2195" s="115"/>
      <c r="K2195" s="115"/>
      <c r="L2195" s="115"/>
      <c r="M2195" s="115"/>
      <c r="N2195" s="115"/>
      <c r="O2195" s="115"/>
    </row>
    <row r="2196">
      <c r="E2196" s="115"/>
      <c r="F2196" s="115"/>
      <c r="G2196" s="115"/>
      <c r="H2196" s="115"/>
      <c r="I2196" s="115"/>
      <c r="J2196" s="115"/>
      <c r="K2196" s="115"/>
      <c r="L2196" s="115"/>
      <c r="M2196" s="115"/>
      <c r="N2196" s="115"/>
      <c r="O2196" s="115"/>
    </row>
    <row r="2197">
      <c r="E2197" s="115"/>
      <c r="F2197" s="115"/>
      <c r="G2197" s="115"/>
      <c r="H2197" s="115"/>
      <c r="I2197" s="115"/>
      <c r="J2197" s="115"/>
      <c r="K2197" s="115"/>
      <c r="L2197" s="115"/>
      <c r="M2197" s="115"/>
      <c r="N2197" s="115"/>
      <c r="O2197" s="115"/>
    </row>
    <row r="2198">
      <c r="E2198" s="115"/>
      <c r="F2198" s="115"/>
      <c r="G2198" s="115"/>
      <c r="H2198" s="115"/>
      <c r="I2198" s="115"/>
      <c r="J2198" s="115"/>
      <c r="K2198" s="115"/>
      <c r="L2198" s="115"/>
      <c r="M2198" s="115"/>
      <c r="N2198" s="115"/>
      <c r="O2198" s="115"/>
    </row>
    <row r="2199">
      <c r="E2199" s="115"/>
      <c r="F2199" s="115"/>
      <c r="G2199" s="115"/>
      <c r="H2199" s="115"/>
      <c r="I2199" s="115"/>
      <c r="J2199" s="115"/>
      <c r="K2199" s="115"/>
      <c r="L2199" s="115"/>
      <c r="M2199" s="115"/>
      <c r="N2199" s="115"/>
      <c r="O2199" s="115"/>
    </row>
    <row r="2200">
      <c r="E2200" s="115"/>
      <c r="F2200" s="115"/>
      <c r="G2200" s="115"/>
      <c r="H2200" s="115"/>
      <c r="I2200" s="115"/>
      <c r="J2200" s="115"/>
      <c r="K2200" s="115"/>
      <c r="L2200" s="115"/>
      <c r="M2200" s="115"/>
      <c r="N2200" s="115"/>
      <c r="O2200" s="115"/>
    </row>
    <row r="2201">
      <c r="E2201" s="115"/>
      <c r="F2201" s="115"/>
      <c r="G2201" s="115"/>
      <c r="H2201" s="115"/>
      <c r="I2201" s="115"/>
      <c r="J2201" s="115"/>
      <c r="K2201" s="115"/>
      <c r="L2201" s="115"/>
      <c r="M2201" s="115"/>
      <c r="N2201" s="115"/>
      <c r="O2201" s="115"/>
    </row>
    <row r="2202">
      <c r="E2202" s="115"/>
      <c r="F2202" s="115"/>
      <c r="G2202" s="115"/>
      <c r="H2202" s="115"/>
      <c r="I2202" s="115"/>
      <c r="J2202" s="115"/>
      <c r="K2202" s="115"/>
      <c r="L2202" s="115"/>
      <c r="M2202" s="115"/>
      <c r="N2202" s="115"/>
      <c r="O2202" s="115"/>
    </row>
    <row r="2203">
      <c r="E2203" s="115"/>
      <c r="F2203" s="115"/>
      <c r="G2203" s="115"/>
      <c r="H2203" s="115"/>
      <c r="I2203" s="115"/>
      <c r="J2203" s="115"/>
      <c r="K2203" s="115"/>
      <c r="L2203" s="115"/>
      <c r="M2203" s="115"/>
      <c r="N2203" s="115"/>
      <c r="O2203" s="115"/>
    </row>
    <row r="2204">
      <c r="E2204" s="115"/>
      <c r="F2204" s="115"/>
      <c r="G2204" s="115"/>
      <c r="H2204" s="115"/>
      <c r="I2204" s="115"/>
      <c r="J2204" s="115"/>
      <c r="K2204" s="115"/>
      <c r="L2204" s="115"/>
      <c r="M2204" s="115"/>
      <c r="N2204" s="115"/>
      <c r="O2204" s="115"/>
    </row>
    <row r="2205">
      <c r="E2205" s="115"/>
      <c r="F2205" s="115"/>
      <c r="G2205" s="115"/>
      <c r="H2205" s="115"/>
      <c r="I2205" s="115"/>
      <c r="J2205" s="115"/>
      <c r="K2205" s="115"/>
      <c r="L2205" s="115"/>
      <c r="M2205" s="115"/>
      <c r="N2205" s="115"/>
      <c r="O2205" s="115"/>
    </row>
    <row r="2206">
      <c r="E2206" s="115"/>
      <c r="F2206" s="115"/>
      <c r="G2206" s="115"/>
      <c r="H2206" s="115"/>
      <c r="I2206" s="115"/>
      <c r="J2206" s="115"/>
      <c r="K2206" s="115"/>
      <c r="L2206" s="115"/>
      <c r="M2206" s="115"/>
      <c r="N2206" s="115"/>
      <c r="O2206" s="115"/>
    </row>
    <row r="2207">
      <c r="E2207" s="115"/>
      <c r="F2207" s="115"/>
      <c r="G2207" s="115"/>
      <c r="H2207" s="115"/>
      <c r="I2207" s="115"/>
      <c r="J2207" s="115"/>
      <c r="K2207" s="115"/>
      <c r="L2207" s="115"/>
      <c r="M2207" s="115"/>
      <c r="N2207" s="115"/>
      <c r="O2207" s="115"/>
    </row>
    <row r="2208">
      <c r="E2208" s="115"/>
      <c r="F2208" s="115"/>
      <c r="G2208" s="115"/>
      <c r="H2208" s="115"/>
      <c r="I2208" s="115"/>
      <c r="J2208" s="115"/>
      <c r="K2208" s="115"/>
      <c r="L2208" s="115"/>
      <c r="M2208" s="115"/>
      <c r="N2208" s="115"/>
      <c r="O2208" s="115"/>
    </row>
    <row r="2209">
      <c r="E2209" s="115"/>
      <c r="F2209" s="115"/>
      <c r="G2209" s="115"/>
      <c r="H2209" s="115"/>
      <c r="I2209" s="115"/>
      <c r="J2209" s="115"/>
      <c r="K2209" s="115"/>
      <c r="L2209" s="115"/>
      <c r="M2209" s="115"/>
      <c r="N2209" s="115"/>
      <c r="O2209" s="115"/>
    </row>
    <row r="2210">
      <c r="E2210" s="115"/>
      <c r="F2210" s="115"/>
      <c r="G2210" s="115"/>
      <c r="H2210" s="115"/>
      <c r="I2210" s="115"/>
      <c r="J2210" s="115"/>
      <c r="K2210" s="115"/>
      <c r="L2210" s="115"/>
      <c r="M2210" s="115"/>
      <c r="N2210" s="115"/>
      <c r="O2210" s="115"/>
    </row>
    <row r="2211">
      <c r="E2211" s="115"/>
      <c r="F2211" s="115"/>
      <c r="G2211" s="115"/>
      <c r="H2211" s="115"/>
      <c r="I2211" s="115"/>
      <c r="J2211" s="115"/>
      <c r="K2211" s="115"/>
      <c r="L2211" s="115"/>
      <c r="M2211" s="115"/>
      <c r="N2211" s="115"/>
      <c r="O2211" s="115"/>
    </row>
    <row r="2212">
      <c r="E2212" s="115"/>
      <c r="F2212" s="115"/>
      <c r="G2212" s="115"/>
      <c r="H2212" s="115"/>
      <c r="I2212" s="115"/>
      <c r="J2212" s="115"/>
      <c r="K2212" s="115"/>
      <c r="L2212" s="115"/>
      <c r="M2212" s="115"/>
      <c r="N2212" s="115"/>
      <c r="O2212" s="115"/>
    </row>
    <row r="2213">
      <c r="E2213" s="115"/>
      <c r="F2213" s="115"/>
      <c r="G2213" s="115"/>
      <c r="H2213" s="115"/>
      <c r="I2213" s="115"/>
      <c r="J2213" s="115"/>
      <c r="K2213" s="115"/>
      <c r="L2213" s="115"/>
      <c r="M2213" s="115"/>
      <c r="N2213" s="115"/>
      <c r="O2213" s="115"/>
    </row>
    <row r="2214">
      <c r="E2214" s="115"/>
      <c r="F2214" s="115"/>
      <c r="G2214" s="115"/>
      <c r="H2214" s="115"/>
      <c r="I2214" s="115"/>
      <c r="J2214" s="115"/>
      <c r="K2214" s="115"/>
      <c r="L2214" s="115"/>
      <c r="M2214" s="115"/>
      <c r="N2214" s="115"/>
      <c r="O2214" s="115"/>
    </row>
    <row r="2215">
      <c r="E2215" s="115"/>
      <c r="F2215" s="115"/>
      <c r="G2215" s="115"/>
      <c r="H2215" s="115"/>
      <c r="I2215" s="115"/>
      <c r="J2215" s="115"/>
      <c r="K2215" s="115"/>
      <c r="L2215" s="115"/>
      <c r="M2215" s="115"/>
      <c r="N2215" s="115"/>
      <c r="O2215" s="115"/>
    </row>
    <row r="2216">
      <c r="E2216" s="115"/>
      <c r="F2216" s="115"/>
      <c r="G2216" s="115"/>
      <c r="H2216" s="115"/>
      <c r="I2216" s="115"/>
      <c r="J2216" s="115"/>
      <c r="K2216" s="115"/>
      <c r="L2216" s="115"/>
      <c r="M2216" s="115"/>
      <c r="N2216" s="115"/>
      <c r="O2216" s="115"/>
    </row>
    <row r="2217">
      <c r="E2217" s="115"/>
      <c r="F2217" s="115"/>
      <c r="G2217" s="115"/>
      <c r="H2217" s="115"/>
      <c r="I2217" s="115"/>
      <c r="J2217" s="115"/>
      <c r="K2217" s="115"/>
      <c r="L2217" s="115"/>
      <c r="M2217" s="115"/>
      <c r="N2217" s="115"/>
      <c r="O2217" s="115"/>
    </row>
    <row r="2218">
      <c r="E2218" s="115"/>
      <c r="F2218" s="115"/>
      <c r="G2218" s="115"/>
      <c r="H2218" s="115"/>
      <c r="I2218" s="115"/>
      <c r="J2218" s="115"/>
      <c r="K2218" s="115"/>
      <c r="L2218" s="115"/>
      <c r="M2218" s="115"/>
      <c r="N2218" s="115"/>
      <c r="O2218" s="115"/>
    </row>
    <row r="2219">
      <c r="E2219" s="115"/>
      <c r="F2219" s="115"/>
      <c r="G2219" s="115"/>
      <c r="H2219" s="115"/>
      <c r="I2219" s="115"/>
      <c r="J2219" s="115"/>
      <c r="K2219" s="115"/>
      <c r="L2219" s="115"/>
      <c r="M2219" s="115"/>
      <c r="N2219" s="115"/>
      <c r="O2219" s="115"/>
    </row>
    <row r="2220">
      <c r="E2220" s="115"/>
      <c r="F2220" s="115"/>
      <c r="G2220" s="115"/>
      <c r="H2220" s="115"/>
      <c r="I2220" s="115"/>
      <c r="J2220" s="115"/>
      <c r="K2220" s="115"/>
      <c r="L2220" s="115"/>
      <c r="M2220" s="115"/>
      <c r="N2220" s="115"/>
      <c r="O2220" s="115"/>
    </row>
    <row r="2221">
      <c r="E2221" s="115"/>
      <c r="F2221" s="115"/>
      <c r="G2221" s="115"/>
      <c r="H2221" s="115"/>
      <c r="I2221" s="115"/>
      <c r="J2221" s="115"/>
      <c r="K2221" s="115"/>
      <c r="L2221" s="115"/>
      <c r="M2221" s="115"/>
      <c r="N2221" s="115"/>
      <c r="O2221" s="115"/>
    </row>
    <row r="2222">
      <c r="E2222" s="115"/>
      <c r="F2222" s="115"/>
      <c r="G2222" s="115"/>
      <c r="H2222" s="115"/>
      <c r="I2222" s="115"/>
      <c r="J2222" s="115"/>
      <c r="K2222" s="115"/>
      <c r="L2222" s="115"/>
      <c r="M2222" s="115"/>
      <c r="N2222" s="115"/>
      <c r="O2222" s="115"/>
    </row>
    <row r="2223">
      <c r="E2223" s="115"/>
      <c r="F2223" s="115"/>
      <c r="G2223" s="115"/>
      <c r="H2223" s="115"/>
      <c r="I2223" s="115"/>
      <c r="J2223" s="115"/>
      <c r="K2223" s="115"/>
      <c r="L2223" s="115"/>
      <c r="M2223" s="115"/>
      <c r="N2223" s="115"/>
      <c r="O2223" s="115"/>
    </row>
    <row r="2224">
      <c r="E2224" s="115"/>
      <c r="F2224" s="115"/>
      <c r="G2224" s="115"/>
      <c r="H2224" s="115"/>
      <c r="I2224" s="115"/>
      <c r="J2224" s="115"/>
      <c r="K2224" s="115"/>
      <c r="L2224" s="115"/>
      <c r="M2224" s="115"/>
      <c r="N2224" s="115"/>
      <c r="O2224" s="115"/>
    </row>
    <row r="2225">
      <c r="E2225" s="115"/>
      <c r="F2225" s="115"/>
      <c r="G2225" s="115"/>
      <c r="H2225" s="115"/>
      <c r="I2225" s="115"/>
      <c r="J2225" s="115"/>
      <c r="K2225" s="115"/>
      <c r="L2225" s="115"/>
      <c r="M2225" s="115"/>
      <c r="N2225" s="115"/>
      <c r="O2225" s="115"/>
    </row>
    <row r="2226">
      <c r="E2226" s="115"/>
      <c r="F2226" s="115"/>
      <c r="G2226" s="115"/>
      <c r="H2226" s="115"/>
      <c r="I2226" s="115"/>
      <c r="J2226" s="115"/>
      <c r="K2226" s="115"/>
      <c r="L2226" s="115"/>
      <c r="M2226" s="115"/>
      <c r="N2226" s="115"/>
      <c r="O2226" s="115"/>
    </row>
    <row r="2227">
      <c r="E2227" s="115"/>
      <c r="F2227" s="115"/>
      <c r="G2227" s="115"/>
      <c r="H2227" s="115"/>
      <c r="I2227" s="115"/>
      <c r="J2227" s="115"/>
      <c r="K2227" s="115"/>
      <c r="L2227" s="115"/>
      <c r="M2227" s="115"/>
      <c r="N2227" s="115"/>
      <c r="O2227" s="115"/>
    </row>
    <row r="2228">
      <c r="E2228" s="115"/>
      <c r="F2228" s="115"/>
      <c r="G2228" s="115"/>
      <c r="H2228" s="115"/>
      <c r="I2228" s="115"/>
      <c r="J2228" s="115"/>
      <c r="K2228" s="115"/>
      <c r="L2228" s="115"/>
      <c r="M2228" s="115"/>
      <c r="N2228" s="115"/>
      <c r="O2228" s="115"/>
    </row>
    <row r="2229">
      <c r="E2229" s="115"/>
      <c r="F2229" s="115"/>
      <c r="G2229" s="115"/>
      <c r="H2229" s="115"/>
      <c r="I2229" s="115"/>
      <c r="J2229" s="115"/>
      <c r="K2229" s="115"/>
      <c r="L2229" s="115"/>
      <c r="M2229" s="115"/>
      <c r="N2229" s="115"/>
      <c r="O2229" s="115"/>
    </row>
    <row r="2230">
      <c r="E2230" s="115"/>
      <c r="F2230" s="115"/>
      <c r="G2230" s="115"/>
      <c r="H2230" s="115"/>
      <c r="I2230" s="115"/>
      <c r="J2230" s="115"/>
      <c r="K2230" s="115"/>
      <c r="L2230" s="115"/>
      <c r="M2230" s="115"/>
      <c r="N2230" s="115"/>
      <c r="O2230" s="115"/>
    </row>
    <row r="2231">
      <c r="E2231" s="115"/>
      <c r="F2231" s="115"/>
      <c r="G2231" s="115"/>
      <c r="H2231" s="115"/>
      <c r="I2231" s="115"/>
      <c r="J2231" s="115"/>
      <c r="K2231" s="115"/>
      <c r="L2231" s="115"/>
      <c r="M2231" s="115"/>
      <c r="N2231" s="115"/>
      <c r="O2231" s="115"/>
    </row>
    <row r="2232">
      <c r="E2232" s="115"/>
      <c r="F2232" s="115"/>
      <c r="G2232" s="115"/>
      <c r="H2232" s="115"/>
      <c r="I2232" s="115"/>
      <c r="J2232" s="115"/>
      <c r="K2232" s="115"/>
      <c r="L2232" s="115"/>
      <c r="M2232" s="115"/>
      <c r="N2232" s="115"/>
      <c r="O2232" s="115"/>
    </row>
    <row r="2233">
      <c r="E2233" s="115"/>
      <c r="F2233" s="115"/>
      <c r="G2233" s="115"/>
      <c r="H2233" s="115"/>
      <c r="I2233" s="115"/>
      <c r="J2233" s="115"/>
      <c r="K2233" s="115"/>
      <c r="L2233" s="115"/>
      <c r="M2233" s="115"/>
      <c r="N2233" s="115"/>
      <c r="O2233" s="115"/>
    </row>
    <row r="2234">
      <c r="E2234" s="115"/>
      <c r="F2234" s="115"/>
      <c r="G2234" s="115"/>
      <c r="H2234" s="115"/>
      <c r="I2234" s="115"/>
      <c r="J2234" s="115"/>
      <c r="K2234" s="115"/>
      <c r="L2234" s="115"/>
      <c r="M2234" s="115"/>
      <c r="N2234" s="115"/>
      <c r="O2234" s="115"/>
    </row>
    <row r="2235">
      <c r="E2235" s="115"/>
      <c r="F2235" s="115"/>
      <c r="G2235" s="115"/>
      <c r="H2235" s="115"/>
      <c r="I2235" s="115"/>
      <c r="J2235" s="115"/>
      <c r="K2235" s="115"/>
      <c r="L2235" s="115"/>
      <c r="M2235" s="115"/>
      <c r="N2235" s="115"/>
      <c r="O2235" s="115"/>
    </row>
    <row r="2236">
      <c r="E2236" s="115"/>
      <c r="F2236" s="115"/>
      <c r="G2236" s="115"/>
      <c r="H2236" s="115"/>
      <c r="I2236" s="115"/>
      <c r="J2236" s="115"/>
      <c r="K2236" s="115"/>
      <c r="L2236" s="115"/>
      <c r="M2236" s="115"/>
      <c r="N2236" s="115"/>
      <c r="O2236" s="115"/>
    </row>
    <row r="2237">
      <c r="E2237" s="115"/>
      <c r="F2237" s="115"/>
      <c r="G2237" s="115"/>
      <c r="H2237" s="115"/>
      <c r="I2237" s="115"/>
      <c r="J2237" s="115"/>
      <c r="K2237" s="115"/>
      <c r="L2237" s="115"/>
      <c r="M2237" s="115"/>
      <c r="N2237" s="115"/>
      <c r="O2237" s="115"/>
    </row>
    <row r="2238">
      <c r="E2238" s="115"/>
      <c r="F2238" s="115"/>
      <c r="G2238" s="115"/>
      <c r="H2238" s="115"/>
      <c r="I2238" s="115"/>
      <c r="J2238" s="115"/>
      <c r="K2238" s="115"/>
      <c r="L2238" s="115"/>
      <c r="M2238" s="115"/>
      <c r="N2238" s="115"/>
      <c r="O2238" s="115"/>
    </row>
    <row r="2239">
      <c r="E2239" s="115"/>
      <c r="F2239" s="115"/>
      <c r="G2239" s="115"/>
      <c r="H2239" s="115"/>
      <c r="I2239" s="115"/>
      <c r="J2239" s="115"/>
      <c r="K2239" s="115"/>
      <c r="L2239" s="115"/>
      <c r="M2239" s="115"/>
      <c r="N2239" s="115"/>
      <c r="O2239" s="115"/>
    </row>
    <row r="2240">
      <c r="E2240" s="115"/>
      <c r="F2240" s="115"/>
      <c r="G2240" s="115"/>
      <c r="H2240" s="115"/>
      <c r="I2240" s="115"/>
      <c r="J2240" s="115"/>
      <c r="K2240" s="115"/>
      <c r="L2240" s="115"/>
      <c r="M2240" s="115"/>
      <c r="N2240" s="115"/>
      <c r="O2240" s="115"/>
    </row>
    <row r="2241">
      <c r="E2241" s="115"/>
      <c r="F2241" s="115"/>
      <c r="G2241" s="115"/>
      <c r="H2241" s="115"/>
      <c r="I2241" s="115"/>
      <c r="J2241" s="115"/>
      <c r="K2241" s="115"/>
      <c r="L2241" s="115"/>
      <c r="M2241" s="115"/>
      <c r="N2241" s="115"/>
      <c r="O2241" s="115"/>
    </row>
    <row r="2242">
      <c r="E2242" s="115"/>
      <c r="F2242" s="115"/>
      <c r="G2242" s="115"/>
      <c r="H2242" s="115"/>
      <c r="I2242" s="115"/>
      <c r="J2242" s="115"/>
      <c r="K2242" s="115"/>
      <c r="L2242" s="115"/>
      <c r="M2242" s="115"/>
      <c r="N2242" s="115"/>
      <c r="O2242" s="115"/>
    </row>
    <row r="2243">
      <c r="E2243" s="115"/>
      <c r="F2243" s="115"/>
      <c r="G2243" s="115"/>
      <c r="H2243" s="115"/>
      <c r="I2243" s="115"/>
      <c r="J2243" s="115"/>
      <c r="K2243" s="115"/>
      <c r="L2243" s="115"/>
      <c r="M2243" s="115"/>
      <c r="N2243" s="115"/>
      <c r="O2243" s="115"/>
    </row>
    <row r="2244">
      <c r="E2244" s="115"/>
      <c r="F2244" s="115"/>
      <c r="G2244" s="115"/>
      <c r="H2244" s="115"/>
      <c r="I2244" s="115"/>
      <c r="J2244" s="115"/>
      <c r="K2244" s="115"/>
      <c r="L2244" s="115"/>
      <c r="M2244" s="115"/>
      <c r="N2244" s="115"/>
      <c r="O2244" s="115"/>
    </row>
    <row r="2245">
      <c r="E2245" s="115"/>
      <c r="F2245" s="115"/>
      <c r="G2245" s="115"/>
      <c r="H2245" s="115"/>
      <c r="I2245" s="115"/>
      <c r="J2245" s="115"/>
      <c r="K2245" s="115"/>
      <c r="L2245" s="115"/>
      <c r="M2245" s="115"/>
      <c r="N2245" s="115"/>
      <c r="O2245" s="115"/>
    </row>
    <row r="2246">
      <c r="E2246" s="115"/>
      <c r="F2246" s="115"/>
      <c r="G2246" s="115"/>
      <c r="H2246" s="115"/>
      <c r="I2246" s="115"/>
      <c r="J2246" s="115"/>
      <c r="K2246" s="115"/>
      <c r="L2246" s="115"/>
      <c r="M2246" s="115"/>
      <c r="N2246" s="115"/>
      <c r="O2246" s="115"/>
    </row>
    <row r="2247">
      <c r="E2247" s="115"/>
      <c r="F2247" s="115"/>
      <c r="G2247" s="115"/>
      <c r="H2247" s="115"/>
      <c r="I2247" s="115"/>
      <c r="J2247" s="115"/>
      <c r="K2247" s="115"/>
      <c r="L2247" s="115"/>
      <c r="M2247" s="115"/>
      <c r="N2247" s="115"/>
      <c r="O2247" s="115"/>
    </row>
    <row r="2248">
      <c r="E2248" s="115"/>
      <c r="F2248" s="115"/>
      <c r="G2248" s="115"/>
      <c r="H2248" s="115"/>
      <c r="I2248" s="115"/>
      <c r="J2248" s="115"/>
      <c r="K2248" s="115"/>
      <c r="L2248" s="115"/>
      <c r="M2248" s="115"/>
      <c r="N2248" s="115"/>
      <c r="O2248" s="115"/>
    </row>
    <row r="2249">
      <c r="E2249" s="115"/>
      <c r="F2249" s="115"/>
      <c r="G2249" s="115"/>
      <c r="H2249" s="115"/>
      <c r="I2249" s="115"/>
      <c r="J2249" s="115"/>
      <c r="K2249" s="115"/>
      <c r="L2249" s="115"/>
      <c r="M2249" s="115"/>
      <c r="N2249" s="115"/>
      <c r="O2249" s="115"/>
    </row>
    <row r="2250">
      <c r="E2250" s="115"/>
      <c r="F2250" s="115"/>
      <c r="G2250" s="115"/>
      <c r="H2250" s="115"/>
      <c r="I2250" s="115"/>
      <c r="J2250" s="115"/>
      <c r="K2250" s="115"/>
      <c r="L2250" s="115"/>
      <c r="M2250" s="115"/>
      <c r="N2250" s="115"/>
      <c r="O2250" s="115"/>
    </row>
    <row r="2251">
      <c r="E2251" s="115"/>
      <c r="F2251" s="115"/>
      <c r="G2251" s="115"/>
      <c r="H2251" s="115"/>
      <c r="I2251" s="115"/>
      <c r="J2251" s="115"/>
      <c r="K2251" s="115"/>
      <c r="L2251" s="115"/>
      <c r="M2251" s="115"/>
      <c r="N2251" s="115"/>
      <c r="O2251" s="115"/>
    </row>
    <row r="2252">
      <c r="E2252" s="115"/>
      <c r="F2252" s="115"/>
      <c r="G2252" s="115"/>
      <c r="H2252" s="115"/>
      <c r="I2252" s="115"/>
      <c r="J2252" s="115"/>
      <c r="K2252" s="115"/>
      <c r="L2252" s="115"/>
      <c r="M2252" s="115"/>
      <c r="N2252" s="115"/>
      <c r="O2252" s="115"/>
    </row>
    <row r="2253">
      <c r="E2253" s="115"/>
      <c r="F2253" s="115"/>
      <c r="G2253" s="115"/>
      <c r="H2253" s="115"/>
      <c r="I2253" s="115"/>
      <c r="J2253" s="115"/>
      <c r="K2253" s="115"/>
      <c r="L2253" s="115"/>
      <c r="M2253" s="115"/>
      <c r="N2253" s="115"/>
      <c r="O2253" s="115"/>
    </row>
    <row r="2254">
      <c r="E2254" s="115"/>
      <c r="F2254" s="115"/>
      <c r="G2254" s="115"/>
      <c r="H2254" s="115"/>
      <c r="I2254" s="115"/>
      <c r="J2254" s="115"/>
      <c r="K2254" s="115"/>
      <c r="L2254" s="115"/>
      <c r="M2254" s="115"/>
      <c r="N2254" s="115"/>
      <c r="O2254" s="115"/>
    </row>
    <row r="2255">
      <c r="E2255" s="115"/>
      <c r="F2255" s="115"/>
      <c r="G2255" s="115"/>
      <c r="H2255" s="115"/>
      <c r="I2255" s="115"/>
      <c r="J2255" s="115"/>
      <c r="K2255" s="115"/>
      <c r="L2255" s="115"/>
      <c r="M2255" s="115"/>
      <c r="N2255" s="115"/>
      <c r="O2255" s="115"/>
    </row>
    <row r="2256">
      <c r="E2256" s="115"/>
      <c r="F2256" s="115"/>
      <c r="G2256" s="115"/>
      <c r="H2256" s="115"/>
      <c r="I2256" s="115"/>
      <c r="J2256" s="115"/>
      <c r="K2256" s="115"/>
      <c r="L2256" s="115"/>
      <c r="M2256" s="115"/>
      <c r="N2256" s="115"/>
      <c r="O2256" s="115"/>
    </row>
    <row r="2257">
      <c r="E2257" s="115"/>
      <c r="F2257" s="115"/>
      <c r="G2257" s="115"/>
      <c r="H2257" s="115"/>
      <c r="I2257" s="115"/>
      <c r="J2257" s="115"/>
      <c r="K2257" s="115"/>
      <c r="L2257" s="115"/>
      <c r="M2257" s="115"/>
      <c r="N2257" s="115"/>
      <c r="O2257" s="115"/>
    </row>
    <row r="2258">
      <c r="E2258" s="115"/>
      <c r="F2258" s="115"/>
      <c r="G2258" s="115"/>
      <c r="H2258" s="115"/>
      <c r="I2258" s="115"/>
      <c r="J2258" s="115"/>
      <c r="K2258" s="115"/>
      <c r="L2258" s="115"/>
      <c r="M2258" s="115"/>
      <c r="N2258" s="115"/>
      <c r="O2258" s="115"/>
    </row>
    <row r="2259">
      <c r="E2259" s="115"/>
      <c r="F2259" s="115"/>
      <c r="G2259" s="115"/>
      <c r="H2259" s="115"/>
      <c r="I2259" s="115"/>
      <c r="J2259" s="115"/>
      <c r="K2259" s="115"/>
      <c r="L2259" s="115"/>
      <c r="M2259" s="115"/>
      <c r="N2259" s="115"/>
      <c r="O2259" s="115"/>
    </row>
    <row r="2260">
      <c r="E2260" s="115"/>
      <c r="F2260" s="115"/>
      <c r="G2260" s="115"/>
      <c r="H2260" s="115"/>
      <c r="I2260" s="115"/>
      <c r="J2260" s="115"/>
      <c r="K2260" s="115"/>
      <c r="L2260" s="115"/>
      <c r="M2260" s="115"/>
      <c r="N2260" s="115"/>
      <c r="O2260" s="115"/>
    </row>
    <row r="2261">
      <c r="E2261" s="115"/>
      <c r="F2261" s="115"/>
      <c r="G2261" s="115"/>
      <c r="H2261" s="115"/>
      <c r="I2261" s="115"/>
      <c r="J2261" s="115"/>
      <c r="K2261" s="115"/>
      <c r="L2261" s="115"/>
      <c r="M2261" s="115"/>
      <c r="N2261" s="115"/>
      <c r="O2261" s="115"/>
    </row>
    <row r="2262">
      <c r="E2262" s="115"/>
      <c r="F2262" s="115"/>
      <c r="G2262" s="115"/>
      <c r="H2262" s="115"/>
      <c r="I2262" s="115"/>
      <c r="J2262" s="115"/>
      <c r="K2262" s="115"/>
      <c r="L2262" s="115"/>
      <c r="M2262" s="115"/>
      <c r="N2262" s="115"/>
      <c r="O2262" s="115"/>
    </row>
    <row r="2263">
      <c r="E2263" s="115"/>
      <c r="F2263" s="115"/>
      <c r="G2263" s="115"/>
      <c r="H2263" s="115"/>
      <c r="I2263" s="115"/>
      <c r="J2263" s="115"/>
      <c r="K2263" s="115"/>
      <c r="L2263" s="115"/>
      <c r="M2263" s="115"/>
      <c r="N2263" s="115"/>
      <c r="O2263" s="115"/>
    </row>
    <row r="2264">
      <c r="E2264" s="115"/>
      <c r="F2264" s="115"/>
      <c r="G2264" s="115"/>
      <c r="H2264" s="115"/>
      <c r="I2264" s="115"/>
      <c r="J2264" s="115"/>
      <c r="K2264" s="115"/>
      <c r="L2264" s="115"/>
      <c r="M2264" s="115"/>
      <c r="N2264" s="115"/>
      <c r="O2264" s="115"/>
    </row>
    <row r="2265">
      <c r="E2265" s="115"/>
      <c r="F2265" s="115"/>
      <c r="G2265" s="115"/>
      <c r="H2265" s="115"/>
      <c r="I2265" s="115"/>
      <c r="J2265" s="115"/>
      <c r="K2265" s="115"/>
      <c r="L2265" s="115"/>
      <c r="M2265" s="115"/>
      <c r="N2265" s="115"/>
      <c r="O2265" s="115"/>
    </row>
    <row r="2266">
      <c r="E2266" s="115"/>
      <c r="F2266" s="115"/>
      <c r="G2266" s="115"/>
      <c r="H2266" s="115"/>
      <c r="I2266" s="115"/>
      <c r="J2266" s="115"/>
      <c r="K2266" s="115"/>
      <c r="L2266" s="115"/>
      <c r="M2266" s="115"/>
      <c r="N2266" s="115"/>
      <c r="O2266" s="115"/>
    </row>
    <row r="2267">
      <c r="E2267" s="115"/>
      <c r="F2267" s="115"/>
      <c r="G2267" s="115"/>
      <c r="H2267" s="115"/>
      <c r="I2267" s="115"/>
      <c r="J2267" s="115"/>
      <c r="K2267" s="115"/>
      <c r="L2267" s="115"/>
      <c r="M2267" s="115"/>
      <c r="N2267" s="115"/>
      <c r="O2267" s="115"/>
    </row>
    <row r="2268">
      <c r="E2268" s="115"/>
      <c r="F2268" s="115"/>
      <c r="G2268" s="115"/>
      <c r="H2268" s="115"/>
      <c r="I2268" s="115"/>
      <c r="J2268" s="115"/>
      <c r="K2268" s="115"/>
      <c r="L2268" s="115"/>
      <c r="M2268" s="115"/>
      <c r="N2268" s="115"/>
      <c r="O2268" s="115"/>
    </row>
    <row r="2269">
      <c r="E2269" s="115"/>
      <c r="F2269" s="115"/>
      <c r="G2269" s="115"/>
      <c r="H2269" s="115"/>
      <c r="I2269" s="115"/>
      <c r="J2269" s="115"/>
      <c r="K2269" s="115"/>
      <c r="L2269" s="115"/>
      <c r="M2269" s="115"/>
      <c r="N2269" s="115"/>
      <c r="O2269" s="115"/>
    </row>
    <row r="2270">
      <c r="E2270" s="115"/>
      <c r="F2270" s="115"/>
      <c r="G2270" s="115"/>
      <c r="H2270" s="115"/>
      <c r="I2270" s="115"/>
      <c r="J2270" s="115"/>
      <c r="K2270" s="115"/>
      <c r="L2270" s="115"/>
      <c r="M2270" s="115"/>
      <c r="N2270" s="115"/>
      <c r="O2270" s="115"/>
    </row>
    <row r="2271">
      <c r="E2271" s="115"/>
      <c r="F2271" s="115"/>
      <c r="G2271" s="115"/>
      <c r="H2271" s="115"/>
      <c r="I2271" s="115"/>
      <c r="J2271" s="115"/>
      <c r="K2271" s="115"/>
      <c r="L2271" s="115"/>
      <c r="M2271" s="115"/>
      <c r="N2271" s="115"/>
      <c r="O2271" s="115"/>
    </row>
    <row r="2272">
      <c r="E2272" s="115"/>
      <c r="F2272" s="115"/>
      <c r="G2272" s="115"/>
      <c r="H2272" s="115"/>
      <c r="I2272" s="115"/>
      <c r="J2272" s="115"/>
      <c r="K2272" s="115"/>
      <c r="L2272" s="115"/>
      <c r="M2272" s="115"/>
      <c r="N2272" s="115"/>
      <c r="O2272" s="115"/>
    </row>
    <row r="2273">
      <c r="E2273" s="115"/>
      <c r="F2273" s="115"/>
      <c r="G2273" s="115"/>
      <c r="H2273" s="115"/>
      <c r="I2273" s="115"/>
      <c r="J2273" s="115"/>
      <c r="K2273" s="115"/>
      <c r="L2273" s="115"/>
      <c r="M2273" s="115"/>
      <c r="N2273" s="115"/>
      <c r="O2273" s="115"/>
    </row>
    <row r="2274">
      <c r="E2274" s="115"/>
      <c r="F2274" s="115"/>
      <c r="G2274" s="115"/>
      <c r="H2274" s="115"/>
      <c r="I2274" s="115"/>
      <c r="J2274" s="115"/>
      <c r="K2274" s="115"/>
      <c r="L2274" s="115"/>
      <c r="M2274" s="115"/>
      <c r="N2274" s="115"/>
      <c r="O2274" s="115"/>
    </row>
    <row r="2275">
      <c r="E2275" s="115"/>
      <c r="F2275" s="115"/>
      <c r="G2275" s="115"/>
      <c r="H2275" s="115"/>
      <c r="I2275" s="115"/>
      <c r="J2275" s="115"/>
      <c r="K2275" s="115"/>
      <c r="L2275" s="115"/>
      <c r="M2275" s="115"/>
      <c r="N2275" s="115"/>
      <c r="O2275" s="115"/>
    </row>
    <row r="2276">
      <c r="E2276" s="115"/>
      <c r="F2276" s="115"/>
      <c r="G2276" s="115"/>
      <c r="H2276" s="115"/>
      <c r="I2276" s="115"/>
      <c r="J2276" s="115"/>
      <c r="K2276" s="115"/>
      <c r="L2276" s="115"/>
      <c r="M2276" s="115"/>
      <c r="N2276" s="115"/>
      <c r="O2276" s="115"/>
    </row>
    <row r="2277">
      <c r="E2277" s="115"/>
      <c r="F2277" s="115"/>
      <c r="G2277" s="115"/>
      <c r="H2277" s="115"/>
      <c r="I2277" s="115"/>
      <c r="J2277" s="115"/>
      <c r="K2277" s="115"/>
      <c r="L2277" s="115"/>
      <c r="M2277" s="115"/>
      <c r="N2277" s="115"/>
      <c r="O2277" s="115"/>
    </row>
    <row r="2278">
      <c r="E2278" s="115"/>
      <c r="F2278" s="115"/>
      <c r="G2278" s="115"/>
      <c r="H2278" s="115"/>
      <c r="I2278" s="115"/>
      <c r="J2278" s="115"/>
      <c r="K2278" s="115"/>
      <c r="L2278" s="115"/>
      <c r="M2278" s="115"/>
      <c r="N2278" s="115"/>
      <c r="O2278" s="115"/>
    </row>
    <row r="2279">
      <c r="E2279" s="115"/>
      <c r="F2279" s="115"/>
      <c r="G2279" s="115"/>
      <c r="H2279" s="115"/>
      <c r="I2279" s="115"/>
      <c r="J2279" s="115"/>
      <c r="K2279" s="115"/>
      <c r="L2279" s="115"/>
      <c r="M2279" s="115"/>
      <c r="N2279" s="115"/>
      <c r="O2279" s="115"/>
    </row>
    <row r="2280">
      <c r="E2280" s="115"/>
      <c r="F2280" s="115"/>
      <c r="G2280" s="115"/>
      <c r="H2280" s="115"/>
      <c r="I2280" s="115"/>
      <c r="J2280" s="115"/>
      <c r="K2280" s="115"/>
      <c r="L2280" s="115"/>
      <c r="M2280" s="115"/>
      <c r="N2280" s="115"/>
      <c r="O2280" s="115"/>
    </row>
    <row r="2281">
      <c r="E2281" s="115"/>
      <c r="F2281" s="115"/>
      <c r="G2281" s="115"/>
      <c r="H2281" s="115"/>
      <c r="I2281" s="115"/>
      <c r="J2281" s="115"/>
      <c r="K2281" s="115"/>
      <c r="L2281" s="115"/>
      <c r="M2281" s="115"/>
      <c r="N2281" s="115"/>
      <c r="O2281" s="115"/>
    </row>
    <row r="2282">
      <c r="E2282" s="115"/>
      <c r="F2282" s="115"/>
      <c r="G2282" s="115"/>
      <c r="H2282" s="115"/>
      <c r="I2282" s="115"/>
      <c r="J2282" s="115"/>
      <c r="K2282" s="115"/>
      <c r="L2282" s="115"/>
      <c r="M2282" s="115"/>
      <c r="N2282" s="115"/>
      <c r="O2282" s="115"/>
    </row>
    <row r="2283">
      <c r="E2283" s="115"/>
      <c r="F2283" s="115"/>
      <c r="G2283" s="115"/>
      <c r="H2283" s="115"/>
      <c r="I2283" s="115"/>
      <c r="J2283" s="115"/>
      <c r="K2283" s="115"/>
      <c r="L2283" s="115"/>
      <c r="M2283" s="115"/>
      <c r="N2283" s="115"/>
      <c r="O2283" s="115"/>
    </row>
    <row r="2284">
      <c r="E2284" s="115"/>
      <c r="F2284" s="115"/>
      <c r="G2284" s="115"/>
      <c r="H2284" s="115"/>
      <c r="I2284" s="115"/>
      <c r="J2284" s="115"/>
      <c r="K2284" s="115"/>
      <c r="L2284" s="115"/>
      <c r="M2284" s="115"/>
      <c r="N2284" s="115"/>
      <c r="O2284" s="115"/>
    </row>
    <row r="2285">
      <c r="E2285" s="115"/>
      <c r="F2285" s="115"/>
      <c r="G2285" s="115"/>
      <c r="H2285" s="115"/>
      <c r="I2285" s="115"/>
      <c r="J2285" s="115"/>
      <c r="K2285" s="115"/>
      <c r="L2285" s="115"/>
      <c r="M2285" s="115"/>
      <c r="N2285" s="115"/>
      <c r="O2285" s="115"/>
    </row>
    <row r="2286">
      <c r="E2286" s="115"/>
      <c r="F2286" s="115"/>
      <c r="G2286" s="115"/>
      <c r="H2286" s="115"/>
      <c r="I2286" s="115"/>
      <c r="J2286" s="115"/>
      <c r="K2286" s="115"/>
      <c r="L2286" s="115"/>
      <c r="M2286" s="115"/>
      <c r="N2286" s="115"/>
      <c r="O2286" s="115"/>
    </row>
    <row r="2287">
      <c r="E2287" s="115"/>
      <c r="F2287" s="115"/>
      <c r="G2287" s="115"/>
      <c r="H2287" s="115"/>
      <c r="I2287" s="115"/>
      <c r="J2287" s="115"/>
      <c r="K2287" s="115"/>
      <c r="L2287" s="115"/>
      <c r="M2287" s="115"/>
      <c r="N2287" s="115"/>
      <c r="O2287" s="115"/>
    </row>
    <row r="2288">
      <c r="E2288" s="115"/>
      <c r="F2288" s="115"/>
      <c r="G2288" s="115"/>
      <c r="H2288" s="115"/>
      <c r="I2288" s="115"/>
      <c r="J2288" s="115"/>
      <c r="K2288" s="115"/>
      <c r="L2288" s="115"/>
      <c r="M2288" s="115"/>
      <c r="N2288" s="115"/>
      <c r="O2288" s="115"/>
    </row>
    <row r="2289">
      <c r="E2289" s="115"/>
      <c r="F2289" s="115"/>
      <c r="G2289" s="115"/>
      <c r="H2289" s="115"/>
      <c r="I2289" s="115"/>
      <c r="J2289" s="115"/>
      <c r="K2289" s="115"/>
      <c r="L2289" s="115"/>
      <c r="M2289" s="115"/>
      <c r="N2289" s="115"/>
      <c r="O2289" s="115"/>
    </row>
    <row r="2290">
      <c r="E2290" s="115"/>
      <c r="F2290" s="115"/>
      <c r="G2290" s="115"/>
      <c r="H2290" s="115"/>
      <c r="I2290" s="115"/>
      <c r="J2290" s="115"/>
      <c r="K2290" s="115"/>
      <c r="L2290" s="115"/>
      <c r="M2290" s="115"/>
      <c r="N2290" s="115"/>
      <c r="O2290" s="115"/>
    </row>
    <row r="2291">
      <c r="E2291" s="115"/>
      <c r="F2291" s="115"/>
      <c r="G2291" s="115"/>
      <c r="H2291" s="115"/>
      <c r="I2291" s="115"/>
      <c r="J2291" s="115"/>
      <c r="K2291" s="115"/>
      <c r="L2291" s="115"/>
      <c r="M2291" s="115"/>
      <c r="N2291" s="115"/>
      <c r="O2291" s="115"/>
    </row>
    <row r="2292">
      <c r="E2292" s="115"/>
      <c r="F2292" s="115"/>
      <c r="G2292" s="115"/>
      <c r="H2292" s="115"/>
      <c r="I2292" s="115"/>
      <c r="J2292" s="115"/>
      <c r="K2292" s="115"/>
      <c r="L2292" s="115"/>
      <c r="M2292" s="115"/>
      <c r="N2292" s="115"/>
      <c r="O2292" s="115"/>
    </row>
    <row r="2293">
      <c r="E2293" s="115"/>
      <c r="F2293" s="115"/>
      <c r="G2293" s="115"/>
      <c r="H2293" s="115"/>
      <c r="I2293" s="115"/>
      <c r="J2293" s="115"/>
      <c r="K2293" s="115"/>
      <c r="L2293" s="115"/>
      <c r="M2293" s="115"/>
      <c r="N2293" s="115"/>
      <c r="O2293" s="115"/>
    </row>
    <row r="2294">
      <c r="E2294" s="115"/>
      <c r="F2294" s="115"/>
      <c r="G2294" s="115"/>
      <c r="H2294" s="115"/>
      <c r="I2294" s="115"/>
      <c r="J2294" s="115"/>
      <c r="K2294" s="115"/>
      <c r="L2294" s="115"/>
      <c r="M2294" s="115"/>
      <c r="N2294" s="115"/>
      <c r="O2294" s="115"/>
    </row>
    <row r="2295">
      <c r="E2295" s="115"/>
      <c r="F2295" s="115"/>
      <c r="G2295" s="115"/>
      <c r="H2295" s="115"/>
      <c r="I2295" s="115"/>
      <c r="J2295" s="115"/>
      <c r="K2295" s="115"/>
      <c r="L2295" s="115"/>
      <c r="M2295" s="115"/>
      <c r="N2295" s="115"/>
      <c r="O2295" s="115"/>
    </row>
    <row r="2296">
      <c r="E2296" s="115"/>
      <c r="F2296" s="115"/>
      <c r="G2296" s="115"/>
      <c r="H2296" s="115"/>
      <c r="I2296" s="115"/>
      <c r="J2296" s="115"/>
      <c r="K2296" s="115"/>
      <c r="L2296" s="115"/>
      <c r="M2296" s="115"/>
      <c r="N2296" s="115"/>
      <c r="O2296" s="115"/>
    </row>
    <row r="2297">
      <c r="E2297" s="115"/>
      <c r="F2297" s="115"/>
      <c r="G2297" s="115"/>
      <c r="H2297" s="115"/>
      <c r="I2297" s="115"/>
      <c r="J2297" s="115"/>
      <c r="K2297" s="115"/>
      <c r="L2297" s="115"/>
      <c r="M2297" s="115"/>
      <c r="N2297" s="115"/>
      <c r="O2297" s="115"/>
    </row>
    <row r="2298">
      <c r="E2298" s="115"/>
      <c r="F2298" s="115"/>
      <c r="G2298" s="115"/>
      <c r="H2298" s="115"/>
      <c r="I2298" s="115"/>
      <c r="J2298" s="115"/>
      <c r="K2298" s="115"/>
      <c r="L2298" s="115"/>
      <c r="M2298" s="115"/>
      <c r="N2298" s="115"/>
      <c r="O2298" s="115"/>
    </row>
    <row r="2299">
      <c r="E2299" s="115"/>
      <c r="F2299" s="115"/>
      <c r="G2299" s="115"/>
      <c r="H2299" s="115"/>
      <c r="I2299" s="115"/>
      <c r="J2299" s="115"/>
      <c r="K2299" s="115"/>
      <c r="L2299" s="115"/>
      <c r="M2299" s="115"/>
      <c r="N2299" s="115"/>
      <c r="O2299" s="115"/>
    </row>
    <row r="2300">
      <c r="E2300" s="115"/>
      <c r="F2300" s="115"/>
      <c r="G2300" s="115"/>
      <c r="H2300" s="115"/>
      <c r="I2300" s="115"/>
      <c r="J2300" s="115"/>
      <c r="K2300" s="115"/>
      <c r="L2300" s="115"/>
      <c r="M2300" s="115"/>
      <c r="N2300" s="115"/>
      <c r="O2300" s="115"/>
    </row>
    <row r="2301">
      <c r="E2301" s="115"/>
      <c r="F2301" s="115"/>
      <c r="G2301" s="115"/>
      <c r="H2301" s="115"/>
      <c r="I2301" s="115"/>
      <c r="J2301" s="115"/>
      <c r="K2301" s="115"/>
      <c r="L2301" s="115"/>
      <c r="M2301" s="115"/>
      <c r="N2301" s="115"/>
      <c r="O2301" s="115"/>
    </row>
    <row r="2302">
      <c r="E2302" s="115"/>
      <c r="F2302" s="115"/>
      <c r="G2302" s="115"/>
      <c r="H2302" s="115"/>
      <c r="I2302" s="115"/>
      <c r="J2302" s="115"/>
      <c r="K2302" s="115"/>
      <c r="L2302" s="115"/>
      <c r="M2302" s="115"/>
      <c r="N2302" s="115"/>
      <c r="O2302" s="115"/>
    </row>
    <row r="2303">
      <c r="E2303" s="115"/>
      <c r="F2303" s="115"/>
      <c r="G2303" s="115"/>
      <c r="H2303" s="115"/>
      <c r="I2303" s="115"/>
      <c r="J2303" s="115"/>
      <c r="K2303" s="115"/>
      <c r="L2303" s="115"/>
      <c r="M2303" s="115"/>
      <c r="N2303" s="115"/>
      <c r="O2303" s="115"/>
    </row>
    <row r="2304">
      <c r="E2304" s="115"/>
      <c r="F2304" s="115"/>
      <c r="G2304" s="115"/>
      <c r="H2304" s="115"/>
      <c r="I2304" s="115"/>
      <c r="J2304" s="115"/>
      <c r="K2304" s="115"/>
      <c r="L2304" s="115"/>
      <c r="M2304" s="115"/>
      <c r="N2304" s="115"/>
      <c r="O2304" s="115"/>
    </row>
    <row r="2305">
      <c r="E2305" s="115"/>
      <c r="F2305" s="115"/>
      <c r="G2305" s="115"/>
      <c r="H2305" s="115"/>
      <c r="I2305" s="115"/>
      <c r="J2305" s="115"/>
      <c r="K2305" s="115"/>
      <c r="L2305" s="115"/>
      <c r="M2305" s="115"/>
      <c r="N2305" s="115"/>
      <c r="O2305" s="115"/>
    </row>
    <row r="2306">
      <c r="E2306" s="115"/>
      <c r="F2306" s="115"/>
      <c r="G2306" s="115"/>
      <c r="H2306" s="115"/>
      <c r="I2306" s="115"/>
      <c r="J2306" s="115"/>
      <c r="K2306" s="115"/>
      <c r="L2306" s="115"/>
      <c r="M2306" s="115"/>
      <c r="N2306" s="115"/>
      <c r="O2306" s="115"/>
    </row>
    <row r="2307">
      <c r="E2307" s="115"/>
      <c r="F2307" s="115"/>
      <c r="G2307" s="115"/>
      <c r="H2307" s="115"/>
      <c r="I2307" s="115"/>
      <c r="J2307" s="115"/>
      <c r="K2307" s="115"/>
      <c r="L2307" s="115"/>
      <c r="M2307" s="115"/>
      <c r="N2307" s="115"/>
      <c r="O2307" s="115"/>
    </row>
    <row r="2308">
      <c r="E2308" s="115"/>
      <c r="F2308" s="115"/>
      <c r="G2308" s="115"/>
      <c r="H2308" s="115"/>
      <c r="I2308" s="115"/>
      <c r="J2308" s="115"/>
      <c r="K2308" s="115"/>
      <c r="L2308" s="115"/>
      <c r="M2308" s="115"/>
      <c r="N2308" s="115"/>
      <c r="O2308" s="115"/>
    </row>
    <row r="2309">
      <c r="E2309" s="115"/>
      <c r="F2309" s="115"/>
      <c r="G2309" s="115"/>
      <c r="H2309" s="115"/>
      <c r="I2309" s="115"/>
      <c r="J2309" s="115"/>
      <c r="K2309" s="115"/>
      <c r="L2309" s="115"/>
      <c r="M2309" s="115"/>
      <c r="N2309" s="115"/>
      <c r="O2309" s="115"/>
    </row>
    <row r="2310">
      <c r="E2310" s="115"/>
      <c r="F2310" s="115"/>
      <c r="G2310" s="115"/>
      <c r="H2310" s="115"/>
      <c r="I2310" s="115"/>
      <c r="J2310" s="115"/>
      <c r="K2310" s="115"/>
      <c r="L2310" s="115"/>
      <c r="M2310" s="115"/>
      <c r="N2310" s="115"/>
      <c r="O2310" s="115"/>
    </row>
    <row r="2311">
      <c r="E2311" s="115"/>
      <c r="F2311" s="115"/>
      <c r="G2311" s="115"/>
      <c r="H2311" s="115"/>
      <c r="I2311" s="115"/>
      <c r="J2311" s="115"/>
      <c r="K2311" s="115"/>
      <c r="L2311" s="115"/>
      <c r="M2311" s="115"/>
      <c r="N2311" s="115"/>
      <c r="O2311" s="115"/>
    </row>
    <row r="2312">
      <c r="E2312" s="115"/>
      <c r="F2312" s="115"/>
      <c r="G2312" s="115"/>
      <c r="H2312" s="115"/>
      <c r="I2312" s="115"/>
      <c r="J2312" s="115"/>
      <c r="K2312" s="115"/>
      <c r="L2312" s="115"/>
      <c r="M2312" s="115"/>
      <c r="N2312" s="115"/>
      <c r="O2312" s="115"/>
    </row>
    <row r="2313">
      <c r="E2313" s="115"/>
      <c r="F2313" s="115"/>
      <c r="G2313" s="115"/>
      <c r="H2313" s="115"/>
      <c r="I2313" s="115"/>
      <c r="J2313" s="115"/>
      <c r="K2313" s="115"/>
      <c r="L2313" s="115"/>
      <c r="M2313" s="115"/>
      <c r="N2313" s="115"/>
      <c r="O2313" s="115"/>
    </row>
    <row r="2314">
      <c r="E2314" s="115"/>
      <c r="F2314" s="115"/>
      <c r="G2314" s="115"/>
      <c r="H2314" s="115"/>
      <c r="I2314" s="115"/>
      <c r="J2314" s="115"/>
      <c r="K2314" s="115"/>
      <c r="L2314" s="115"/>
      <c r="M2314" s="115"/>
      <c r="N2314" s="115"/>
      <c r="O2314" s="115"/>
    </row>
    <row r="2315">
      <c r="E2315" s="115"/>
      <c r="F2315" s="115"/>
      <c r="G2315" s="115"/>
      <c r="H2315" s="115"/>
      <c r="I2315" s="115"/>
      <c r="J2315" s="115"/>
      <c r="K2315" s="115"/>
      <c r="L2315" s="115"/>
      <c r="M2315" s="115"/>
      <c r="N2315" s="115"/>
      <c r="O2315" s="115"/>
    </row>
    <row r="2316">
      <c r="E2316" s="115"/>
      <c r="F2316" s="115"/>
      <c r="G2316" s="115"/>
      <c r="H2316" s="115"/>
      <c r="I2316" s="115"/>
      <c r="J2316" s="115"/>
      <c r="K2316" s="115"/>
      <c r="L2316" s="115"/>
      <c r="M2316" s="115"/>
      <c r="N2316" s="115"/>
      <c r="O2316" s="115"/>
    </row>
    <row r="2317">
      <c r="E2317" s="115"/>
      <c r="F2317" s="115"/>
      <c r="G2317" s="115"/>
      <c r="H2317" s="115"/>
      <c r="I2317" s="115"/>
      <c r="J2317" s="115"/>
      <c r="K2317" s="115"/>
      <c r="L2317" s="115"/>
      <c r="M2317" s="115"/>
      <c r="N2317" s="115"/>
      <c r="O2317" s="115"/>
    </row>
    <row r="2318">
      <c r="E2318" s="115"/>
      <c r="F2318" s="115"/>
      <c r="G2318" s="115"/>
      <c r="H2318" s="115"/>
      <c r="I2318" s="115"/>
      <c r="J2318" s="115"/>
      <c r="K2318" s="115"/>
      <c r="L2318" s="115"/>
      <c r="M2318" s="115"/>
      <c r="N2318" s="115"/>
      <c r="O2318" s="115"/>
    </row>
    <row r="2319">
      <c r="E2319" s="115"/>
      <c r="F2319" s="115"/>
      <c r="G2319" s="115"/>
      <c r="H2319" s="115"/>
      <c r="I2319" s="115"/>
      <c r="J2319" s="115"/>
      <c r="K2319" s="115"/>
      <c r="L2319" s="115"/>
      <c r="M2319" s="115"/>
      <c r="N2319" s="115"/>
      <c r="O2319" s="115"/>
    </row>
    <row r="2320">
      <c r="E2320" s="115"/>
      <c r="F2320" s="115"/>
      <c r="G2320" s="115"/>
      <c r="H2320" s="115"/>
      <c r="I2320" s="115"/>
      <c r="J2320" s="115"/>
      <c r="K2320" s="115"/>
      <c r="L2320" s="115"/>
      <c r="M2320" s="115"/>
      <c r="N2320" s="115"/>
      <c r="O2320" s="115"/>
    </row>
    <row r="2321">
      <c r="E2321" s="115"/>
      <c r="F2321" s="115"/>
      <c r="G2321" s="115"/>
      <c r="H2321" s="115"/>
      <c r="I2321" s="115"/>
      <c r="J2321" s="115"/>
      <c r="K2321" s="115"/>
      <c r="L2321" s="115"/>
      <c r="M2321" s="115"/>
      <c r="N2321" s="115"/>
      <c r="O2321" s="115"/>
    </row>
    <row r="2322">
      <c r="E2322" s="115"/>
      <c r="F2322" s="115"/>
      <c r="G2322" s="115"/>
      <c r="H2322" s="115"/>
      <c r="I2322" s="115"/>
      <c r="J2322" s="115"/>
      <c r="K2322" s="115"/>
      <c r="L2322" s="115"/>
      <c r="M2322" s="115"/>
      <c r="N2322" s="115"/>
      <c r="O2322" s="115"/>
    </row>
    <row r="2323">
      <c r="E2323" s="115"/>
      <c r="F2323" s="115"/>
      <c r="G2323" s="115"/>
      <c r="H2323" s="115"/>
      <c r="I2323" s="115"/>
      <c r="J2323" s="115"/>
      <c r="K2323" s="115"/>
      <c r="L2323" s="115"/>
      <c r="M2323" s="115"/>
      <c r="N2323" s="115"/>
      <c r="O2323" s="115"/>
    </row>
    <row r="2324">
      <c r="E2324" s="115"/>
      <c r="F2324" s="115"/>
      <c r="G2324" s="115"/>
      <c r="H2324" s="115"/>
      <c r="I2324" s="115"/>
      <c r="J2324" s="115"/>
      <c r="K2324" s="115"/>
      <c r="L2324" s="115"/>
      <c r="M2324" s="115"/>
      <c r="N2324" s="115"/>
      <c r="O2324" s="115"/>
    </row>
    <row r="2325">
      <c r="E2325" s="115"/>
      <c r="F2325" s="115"/>
      <c r="G2325" s="115"/>
      <c r="H2325" s="115"/>
      <c r="I2325" s="115"/>
      <c r="J2325" s="115"/>
      <c r="K2325" s="115"/>
      <c r="L2325" s="115"/>
      <c r="M2325" s="115"/>
      <c r="N2325" s="115"/>
      <c r="O2325" s="115"/>
    </row>
    <row r="2326">
      <c r="E2326" s="115"/>
      <c r="F2326" s="115"/>
      <c r="G2326" s="115"/>
      <c r="H2326" s="115"/>
      <c r="I2326" s="115"/>
      <c r="J2326" s="115"/>
      <c r="K2326" s="115"/>
      <c r="L2326" s="115"/>
      <c r="M2326" s="115"/>
      <c r="N2326" s="115"/>
      <c r="O2326" s="115"/>
    </row>
    <row r="2327">
      <c r="E2327" s="115"/>
      <c r="F2327" s="115"/>
      <c r="G2327" s="115"/>
      <c r="H2327" s="115"/>
      <c r="I2327" s="115"/>
      <c r="J2327" s="115"/>
      <c r="K2327" s="115"/>
      <c r="L2327" s="115"/>
      <c r="M2327" s="115"/>
      <c r="N2327" s="115"/>
      <c r="O2327" s="115"/>
    </row>
    <row r="2328">
      <c r="E2328" s="115"/>
      <c r="F2328" s="115"/>
      <c r="G2328" s="115"/>
      <c r="H2328" s="115"/>
      <c r="I2328" s="115"/>
      <c r="J2328" s="115"/>
      <c r="K2328" s="115"/>
      <c r="L2328" s="115"/>
      <c r="M2328" s="115"/>
      <c r="N2328" s="115"/>
      <c r="O2328" s="115"/>
    </row>
    <row r="2329">
      <c r="E2329" s="115"/>
      <c r="F2329" s="115"/>
      <c r="G2329" s="115"/>
      <c r="H2329" s="115"/>
      <c r="I2329" s="115"/>
      <c r="J2329" s="115"/>
      <c r="K2329" s="115"/>
      <c r="L2329" s="115"/>
      <c r="M2329" s="115"/>
      <c r="N2329" s="115"/>
      <c r="O2329" s="115"/>
    </row>
    <row r="2330">
      <c r="E2330" s="115"/>
      <c r="F2330" s="115"/>
      <c r="G2330" s="115"/>
      <c r="H2330" s="115"/>
      <c r="I2330" s="115"/>
      <c r="J2330" s="115"/>
      <c r="K2330" s="115"/>
      <c r="L2330" s="115"/>
      <c r="M2330" s="115"/>
      <c r="N2330" s="115"/>
      <c r="O2330" s="115"/>
    </row>
    <row r="2331">
      <c r="E2331" s="115"/>
      <c r="F2331" s="115"/>
      <c r="G2331" s="115"/>
      <c r="H2331" s="115"/>
      <c r="I2331" s="115"/>
      <c r="J2331" s="115"/>
      <c r="K2331" s="115"/>
      <c r="L2331" s="115"/>
      <c r="M2331" s="115"/>
      <c r="N2331" s="115"/>
      <c r="O2331" s="115"/>
    </row>
    <row r="2332">
      <c r="E2332" s="115"/>
      <c r="F2332" s="115"/>
      <c r="G2332" s="115"/>
      <c r="H2332" s="115"/>
      <c r="I2332" s="115"/>
      <c r="J2332" s="115"/>
      <c r="K2332" s="115"/>
      <c r="L2332" s="115"/>
      <c r="M2332" s="115"/>
      <c r="N2332" s="115"/>
      <c r="O2332" s="115"/>
    </row>
    <row r="2333">
      <c r="E2333" s="115"/>
      <c r="F2333" s="115"/>
      <c r="G2333" s="115"/>
      <c r="H2333" s="115"/>
      <c r="I2333" s="115"/>
      <c r="J2333" s="115"/>
      <c r="K2333" s="115"/>
      <c r="L2333" s="115"/>
      <c r="M2333" s="115"/>
      <c r="N2333" s="115"/>
      <c r="O2333" s="115"/>
    </row>
    <row r="2334">
      <c r="E2334" s="115"/>
      <c r="F2334" s="115"/>
      <c r="G2334" s="115"/>
      <c r="H2334" s="115"/>
      <c r="I2334" s="115"/>
      <c r="J2334" s="115"/>
      <c r="K2334" s="115"/>
      <c r="L2334" s="115"/>
      <c r="M2334" s="115"/>
      <c r="N2334" s="115"/>
      <c r="O2334" s="115"/>
    </row>
    <row r="2335">
      <c r="E2335" s="115"/>
      <c r="F2335" s="115"/>
      <c r="G2335" s="115"/>
      <c r="H2335" s="115"/>
      <c r="I2335" s="115"/>
      <c r="J2335" s="115"/>
      <c r="K2335" s="115"/>
      <c r="L2335" s="115"/>
      <c r="M2335" s="115"/>
      <c r="N2335" s="115"/>
      <c r="O2335" s="115"/>
    </row>
    <row r="2336">
      <c r="E2336" s="115"/>
      <c r="F2336" s="115"/>
      <c r="G2336" s="115"/>
      <c r="H2336" s="115"/>
      <c r="I2336" s="115"/>
      <c r="J2336" s="115"/>
      <c r="K2336" s="115"/>
      <c r="L2336" s="115"/>
      <c r="M2336" s="115"/>
      <c r="N2336" s="115"/>
      <c r="O2336" s="115"/>
    </row>
    <row r="2337">
      <c r="E2337" s="115"/>
      <c r="F2337" s="115"/>
      <c r="G2337" s="115"/>
      <c r="H2337" s="115"/>
      <c r="I2337" s="115"/>
      <c r="J2337" s="115"/>
      <c r="K2337" s="115"/>
      <c r="L2337" s="115"/>
      <c r="M2337" s="115"/>
      <c r="N2337" s="115"/>
      <c r="O2337" s="115"/>
    </row>
    <row r="2338">
      <c r="E2338" s="115"/>
      <c r="F2338" s="115"/>
      <c r="G2338" s="115"/>
      <c r="H2338" s="115"/>
      <c r="I2338" s="115"/>
      <c r="J2338" s="115"/>
      <c r="K2338" s="115"/>
      <c r="L2338" s="115"/>
      <c r="M2338" s="115"/>
      <c r="N2338" s="115"/>
      <c r="O2338" s="115"/>
    </row>
    <row r="2339">
      <c r="E2339" s="115"/>
      <c r="F2339" s="115"/>
      <c r="G2339" s="115"/>
      <c r="H2339" s="115"/>
      <c r="I2339" s="115"/>
      <c r="J2339" s="115"/>
      <c r="K2339" s="115"/>
      <c r="L2339" s="115"/>
      <c r="M2339" s="115"/>
      <c r="N2339" s="115"/>
      <c r="O2339" s="115"/>
    </row>
    <row r="2340">
      <c r="E2340" s="115"/>
      <c r="F2340" s="115"/>
      <c r="G2340" s="115"/>
      <c r="H2340" s="115"/>
      <c r="I2340" s="115"/>
      <c r="J2340" s="115"/>
      <c r="K2340" s="115"/>
      <c r="L2340" s="115"/>
      <c r="M2340" s="115"/>
      <c r="N2340" s="115"/>
      <c r="O2340" s="115"/>
    </row>
    <row r="2341">
      <c r="E2341" s="115"/>
      <c r="F2341" s="115"/>
      <c r="G2341" s="115"/>
      <c r="H2341" s="115"/>
      <c r="I2341" s="115"/>
      <c r="J2341" s="115"/>
      <c r="K2341" s="115"/>
      <c r="L2341" s="115"/>
      <c r="M2341" s="115"/>
      <c r="N2341" s="115"/>
      <c r="O2341" s="115"/>
    </row>
    <row r="2342">
      <c r="E2342" s="115"/>
      <c r="F2342" s="115"/>
      <c r="G2342" s="115"/>
      <c r="H2342" s="115"/>
      <c r="I2342" s="115"/>
      <c r="J2342" s="115"/>
      <c r="K2342" s="115"/>
      <c r="L2342" s="115"/>
      <c r="M2342" s="115"/>
      <c r="N2342" s="115"/>
      <c r="O2342" s="115"/>
    </row>
    <row r="2343">
      <c r="E2343" s="115"/>
      <c r="F2343" s="115"/>
      <c r="G2343" s="115"/>
      <c r="H2343" s="115"/>
      <c r="I2343" s="115"/>
      <c r="J2343" s="115"/>
      <c r="K2343" s="115"/>
      <c r="L2343" s="115"/>
      <c r="M2343" s="115"/>
      <c r="N2343" s="115"/>
      <c r="O2343" s="115"/>
    </row>
    <row r="2344">
      <c r="E2344" s="115"/>
      <c r="F2344" s="115"/>
      <c r="G2344" s="115"/>
      <c r="H2344" s="115"/>
      <c r="I2344" s="115"/>
      <c r="J2344" s="115"/>
      <c r="K2344" s="115"/>
      <c r="L2344" s="115"/>
      <c r="M2344" s="115"/>
      <c r="N2344" s="115"/>
      <c r="O2344" s="115"/>
    </row>
    <row r="2345">
      <c r="E2345" s="115"/>
      <c r="F2345" s="115"/>
      <c r="G2345" s="115"/>
      <c r="H2345" s="115"/>
      <c r="I2345" s="115"/>
      <c r="J2345" s="115"/>
      <c r="K2345" s="115"/>
      <c r="L2345" s="115"/>
      <c r="M2345" s="115"/>
      <c r="N2345" s="115"/>
      <c r="O2345" s="115"/>
    </row>
    <row r="2346">
      <c r="E2346" s="115"/>
      <c r="F2346" s="115"/>
      <c r="G2346" s="115"/>
      <c r="H2346" s="115"/>
      <c r="I2346" s="115"/>
      <c r="J2346" s="115"/>
      <c r="K2346" s="115"/>
      <c r="L2346" s="115"/>
      <c r="M2346" s="115"/>
      <c r="N2346" s="115"/>
      <c r="O2346" s="115"/>
    </row>
    <row r="2347">
      <c r="E2347" s="115"/>
      <c r="F2347" s="115"/>
      <c r="G2347" s="115"/>
      <c r="H2347" s="115"/>
      <c r="I2347" s="115"/>
      <c r="J2347" s="115"/>
      <c r="K2347" s="115"/>
      <c r="L2347" s="115"/>
      <c r="M2347" s="115"/>
      <c r="N2347" s="115"/>
      <c r="O2347" s="115"/>
    </row>
    <row r="2348">
      <c r="E2348" s="115"/>
      <c r="F2348" s="115"/>
      <c r="G2348" s="115"/>
      <c r="H2348" s="115"/>
      <c r="I2348" s="115"/>
      <c r="J2348" s="115"/>
      <c r="K2348" s="115"/>
      <c r="L2348" s="115"/>
      <c r="M2348" s="115"/>
      <c r="N2348" s="115"/>
      <c r="O2348" s="115"/>
    </row>
    <row r="2349">
      <c r="E2349" s="115"/>
      <c r="F2349" s="115"/>
      <c r="G2349" s="115"/>
      <c r="H2349" s="115"/>
      <c r="I2349" s="115"/>
      <c r="J2349" s="115"/>
      <c r="K2349" s="115"/>
      <c r="L2349" s="115"/>
      <c r="M2349" s="115"/>
      <c r="N2349" s="115"/>
      <c r="O2349" s="115"/>
    </row>
    <row r="2350">
      <c r="E2350" s="115"/>
      <c r="F2350" s="115"/>
      <c r="G2350" s="115"/>
      <c r="H2350" s="115"/>
      <c r="I2350" s="115"/>
      <c r="J2350" s="115"/>
      <c r="K2350" s="115"/>
      <c r="L2350" s="115"/>
      <c r="M2350" s="115"/>
      <c r="N2350" s="115"/>
      <c r="O2350" s="115"/>
    </row>
    <row r="2351">
      <c r="E2351" s="115"/>
      <c r="F2351" s="115"/>
      <c r="G2351" s="115"/>
      <c r="H2351" s="115"/>
      <c r="I2351" s="115"/>
      <c r="J2351" s="115"/>
      <c r="K2351" s="115"/>
      <c r="L2351" s="115"/>
      <c r="M2351" s="115"/>
      <c r="N2351" s="115"/>
      <c r="O2351" s="115"/>
    </row>
    <row r="2352">
      <c r="E2352" s="115"/>
      <c r="F2352" s="115"/>
      <c r="G2352" s="115"/>
      <c r="H2352" s="115"/>
      <c r="I2352" s="115"/>
      <c r="J2352" s="115"/>
      <c r="K2352" s="115"/>
      <c r="L2352" s="115"/>
      <c r="M2352" s="115"/>
      <c r="N2352" s="115"/>
      <c r="O2352" s="115"/>
    </row>
    <row r="2353">
      <c r="E2353" s="115"/>
      <c r="F2353" s="115"/>
      <c r="G2353" s="115"/>
      <c r="H2353" s="115"/>
      <c r="I2353" s="115"/>
      <c r="J2353" s="115"/>
      <c r="K2353" s="115"/>
      <c r="L2353" s="115"/>
      <c r="M2353" s="115"/>
      <c r="N2353" s="115"/>
      <c r="O2353" s="115"/>
    </row>
    <row r="2354">
      <c r="E2354" s="115"/>
      <c r="F2354" s="115"/>
      <c r="G2354" s="115"/>
      <c r="H2354" s="115"/>
      <c r="I2354" s="115"/>
      <c r="J2354" s="115"/>
      <c r="K2354" s="115"/>
      <c r="L2354" s="115"/>
      <c r="M2354" s="115"/>
      <c r="N2354" s="115"/>
      <c r="O2354" s="115"/>
    </row>
    <row r="2355">
      <c r="E2355" s="115"/>
      <c r="F2355" s="115"/>
      <c r="G2355" s="115"/>
      <c r="H2355" s="115"/>
      <c r="I2355" s="115"/>
      <c r="J2355" s="115"/>
      <c r="K2355" s="115"/>
      <c r="L2355" s="115"/>
      <c r="M2355" s="115"/>
      <c r="N2355" s="115"/>
      <c r="O2355" s="115"/>
    </row>
    <row r="2356">
      <c r="E2356" s="115"/>
      <c r="F2356" s="115"/>
      <c r="G2356" s="115"/>
      <c r="H2356" s="115"/>
      <c r="I2356" s="115"/>
      <c r="J2356" s="115"/>
      <c r="K2356" s="115"/>
      <c r="L2356" s="115"/>
      <c r="M2356" s="115"/>
      <c r="N2356" s="115"/>
      <c r="O2356" s="115"/>
    </row>
    <row r="2357">
      <c r="E2357" s="115"/>
      <c r="F2357" s="115"/>
      <c r="G2357" s="115"/>
      <c r="H2357" s="115"/>
      <c r="I2357" s="115"/>
      <c r="J2357" s="115"/>
      <c r="K2357" s="115"/>
      <c r="L2357" s="115"/>
      <c r="M2357" s="115"/>
      <c r="N2357" s="115"/>
      <c r="O2357" s="115"/>
    </row>
    <row r="2358">
      <c r="E2358" s="115"/>
      <c r="F2358" s="115"/>
      <c r="G2358" s="115"/>
      <c r="H2358" s="115"/>
      <c r="I2358" s="115"/>
      <c r="J2358" s="115"/>
      <c r="K2358" s="115"/>
      <c r="L2358" s="115"/>
      <c r="M2358" s="115"/>
      <c r="N2358" s="115"/>
      <c r="O2358" s="115"/>
    </row>
    <row r="2359">
      <c r="E2359" s="115"/>
      <c r="F2359" s="115"/>
      <c r="G2359" s="115"/>
      <c r="H2359" s="115"/>
      <c r="I2359" s="115"/>
      <c r="J2359" s="115"/>
      <c r="K2359" s="115"/>
      <c r="L2359" s="115"/>
      <c r="M2359" s="115"/>
      <c r="N2359" s="115"/>
      <c r="O2359" s="115"/>
    </row>
    <row r="2360">
      <c r="E2360" s="115"/>
      <c r="F2360" s="115"/>
      <c r="G2360" s="115"/>
      <c r="H2360" s="115"/>
      <c r="I2360" s="115"/>
      <c r="J2360" s="115"/>
      <c r="K2360" s="115"/>
      <c r="L2360" s="115"/>
      <c r="M2360" s="115"/>
      <c r="N2360" s="115"/>
      <c r="O2360" s="115"/>
    </row>
    <row r="2361">
      <c r="E2361" s="115"/>
      <c r="F2361" s="115"/>
      <c r="G2361" s="115"/>
      <c r="H2361" s="115"/>
      <c r="I2361" s="115"/>
      <c r="J2361" s="115"/>
      <c r="K2361" s="115"/>
      <c r="L2361" s="115"/>
      <c r="M2361" s="115"/>
      <c r="N2361" s="115"/>
      <c r="O2361" s="115"/>
    </row>
    <row r="2362">
      <c r="E2362" s="115"/>
      <c r="F2362" s="115"/>
      <c r="G2362" s="115"/>
      <c r="H2362" s="115"/>
      <c r="I2362" s="115"/>
      <c r="J2362" s="115"/>
      <c r="K2362" s="115"/>
      <c r="L2362" s="115"/>
      <c r="M2362" s="115"/>
      <c r="N2362" s="115"/>
      <c r="O2362" s="115"/>
    </row>
    <row r="2363">
      <c r="E2363" s="115"/>
      <c r="F2363" s="115"/>
      <c r="G2363" s="115"/>
      <c r="H2363" s="115"/>
      <c r="I2363" s="115"/>
      <c r="J2363" s="115"/>
      <c r="K2363" s="115"/>
      <c r="L2363" s="115"/>
      <c r="M2363" s="115"/>
      <c r="N2363" s="115"/>
      <c r="O2363" s="115"/>
    </row>
    <row r="2364">
      <c r="E2364" s="115"/>
      <c r="F2364" s="115"/>
      <c r="G2364" s="115"/>
      <c r="H2364" s="115"/>
      <c r="I2364" s="115"/>
      <c r="J2364" s="115"/>
      <c r="K2364" s="115"/>
      <c r="L2364" s="115"/>
      <c r="M2364" s="115"/>
      <c r="N2364" s="115"/>
      <c r="O2364" s="115"/>
    </row>
    <row r="2365">
      <c r="E2365" s="115"/>
      <c r="F2365" s="115"/>
      <c r="G2365" s="115"/>
      <c r="H2365" s="115"/>
      <c r="I2365" s="115"/>
      <c r="J2365" s="115"/>
      <c r="K2365" s="115"/>
      <c r="L2365" s="115"/>
      <c r="M2365" s="115"/>
      <c r="N2365" s="115"/>
      <c r="O2365" s="115"/>
    </row>
    <row r="2366">
      <c r="E2366" s="115"/>
      <c r="F2366" s="115"/>
      <c r="G2366" s="115"/>
      <c r="H2366" s="115"/>
      <c r="I2366" s="115"/>
      <c r="J2366" s="115"/>
      <c r="K2366" s="115"/>
      <c r="L2366" s="115"/>
      <c r="M2366" s="115"/>
      <c r="N2366" s="115"/>
      <c r="O2366" s="115"/>
    </row>
    <row r="2367">
      <c r="E2367" s="115"/>
      <c r="F2367" s="115"/>
      <c r="G2367" s="115"/>
      <c r="H2367" s="115"/>
      <c r="I2367" s="115"/>
      <c r="J2367" s="115"/>
      <c r="K2367" s="115"/>
      <c r="L2367" s="115"/>
      <c r="M2367" s="115"/>
      <c r="N2367" s="115"/>
      <c r="O2367" s="115"/>
    </row>
    <row r="2368">
      <c r="E2368" s="115"/>
      <c r="F2368" s="115"/>
      <c r="G2368" s="115"/>
      <c r="H2368" s="115"/>
      <c r="I2368" s="115"/>
      <c r="J2368" s="115"/>
      <c r="K2368" s="115"/>
      <c r="L2368" s="115"/>
      <c r="M2368" s="115"/>
      <c r="N2368" s="115"/>
      <c r="O2368" s="115"/>
    </row>
    <row r="2369">
      <c r="E2369" s="115"/>
      <c r="F2369" s="115"/>
      <c r="G2369" s="115"/>
      <c r="H2369" s="115"/>
      <c r="I2369" s="115"/>
      <c r="J2369" s="115"/>
      <c r="K2369" s="115"/>
      <c r="L2369" s="115"/>
      <c r="M2369" s="115"/>
      <c r="N2369" s="115"/>
      <c r="O2369" s="115"/>
    </row>
    <row r="2370">
      <c r="E2370" s="115"/>
      <c r="F2370" s="115"/>
      <c r="G2370" s="115"/>
      <c r="H2370" s="115"/>
      <c r="I2370" s="115"/>
      <c r="J2370" s="115"/>
      <c r="K2370" s="115"/>
      <c r="L2370" s="115"/>
      <c r="M2370" s="115"/>
      <c r="N2370" s="115"/>
      <c r="O2370" s="115"/>
    </row>
    <row r="2371">
      <c r="E2371" s="115"/>
      <c r="F2371" s="115"/>
      <c r="G2371" s="115"/>
      <c r="H2371" s="115"/>
      <c r="I2371" s="115"/>
      <c r="J2371" s="115"/>
      <c r="K2371" s="115"/>
      <c r="L2371" s="115"/>
      <c r="M2371" s="115"/>
      <c r="N2371" s="115"/>
      <c r="O2371" s="115"/>
    </row>
    <row r="2372">
      <c r="E2372" s="115"/>
      <c r="F2372" s="115"/>
      <c r="G2372" s="115"/>
      <c r="H2372" s="115"/>
      <c r="I2372" s="115"/>
      <c r="J2372" s="115"/>
      <c r="K2372" s="115"/>
      <c r="L2372" s="115"/>
      <c r="M2372" s="115"/>
      <c r="N2372" s="115"/>
      <c r="O2372" s="115"/>
    </row>
    <row r="2373">
      <c r="E2373" s="115"/>
      <c r="F2373" s="115"/>
      <c r="G2373" s="115"/>
      <c r="H2373" s="115"/>
      <c r="I2373" s="115"/>
      <c r="J2373" s="115"/>
      <c r="K2373" s="115"/>
      <c r="L2373" s="115"/>
      <c r="M2373" s="115"/>
      <c r="N2373" s="115"/>
      <c r="O2373" s="115"/>
    </row>
    <row r="2374">
      <c r="E2374" s="115"/>
      <c r="F2374" s="115"/>
      <c r="G2374" s="115"/>
      <c r="H2374" s="115"/>
      <c r="I2374" s="115"/>
      <c r="J2374" s="115"/>
      <c r="K2374" s="115"/>
      <c r="L2374" s="115"/>
      <c r="M2374" s="115"/>
      <c r="N2374" s="115"/>
      <c r="O2374" s="115"/>
    </row>
    <row r="2375">
      <c r="E2375" s="115"/>
      <c r="F2375" s="115"/>
      <c r="G2375" s="115"/>
      <c r="H2375" s="115"/>
      <c r="I2375" s="115"/>
      <c r="J2375" s="115"/>
      <c r="K2375" s="115"/>
      <c r="L2375" s="115"/>
      <c r="M2375" s="115"/>
      <c r="N2375" s="115"/>
      <c r="O2375" s="115"/>
    </row>
    <row r="2376">
      <c r="E2376" s="115"/>
      <c r="F2376" s="115"/>
      <c r="G2376" s="115"/>
      <c r="H2376" s="115"/>
      <c r="I2376" s="115"/>
      <c r="J2376" s="115"/>
      <c r="K2376" s="115"/>
      <c r="L2376" s="115"/>
      <c r="M2376" s="115"/>
      <c r="N2376" s="115"/>
      <c r="O2376" s="115"/>
    </row>
    <row r="2377">
      <c r="E2377" s="115"/>
      <c r="F2377" s="115"/>
      <c r="G2377" s="115"/>
      <c r="H2377" s="115"/>
      <c r="I2377" s="115"/>
      <c r="J2377" s="115"/>
      <c r="K2377" s="115"/>
      <c r="L2377" s="115"/>
      <c r="M2377" s="115"/>
      <c r="N2377" s="115"/>
      <c r="O2377" s="115"/>
    </row>
    <row r="2378">
      <c r="E2378" s="115"/>
      <c r="F2378" s="115"/>
      <c r="G2378" s="115"/>
      <c r="H2378" s="115"/>
      <c r="I2378" s="115"/>
      <c r="J2378" s="115"/>
      <c r="K2378" s="115"/>
      <c r="L2378" s="115"/>
      <c r="M2378" s="115"/>
      <c r="N2378" s="115"/>
      <c r="O2378" s="115"/>
    </row>
    <row r="2379">
      <c r="E2379" s="115"/>
      <c r="F2379" s="115"/>
      <c r="G2379" s="115"/>
      <c r="H2379" s="115"/>
      <c r="I2379" s="115"/>
      <c r="J2379" s="115"/>
      <c r="K2379" s="115"/>
      <c r="L2379" s="115"/>
      <c r="M2379" s="115"/>
      <c r="N2379" s="115"/>
      <c r="O2379" s="115"/>
    </row>
    <row r="2380">
      <c r="E2380" s="115"/>
      <c r="F2380" s="115"/>
      <c r="G2380" s="115"/>
      <c r="H2380" s="115"/>
      <c r="I2380" s="115"/>
      <c r="J2380" s="115"/>
      <c r="K2380" s="115"/>
      <c r="L2380" s="115"/>
      <c r="M2380" s="115"/>
      <c r="N2380" s="115"/>
      <c r="O2380" s="115"/>
    </row>
    <row r="2381">
      <c r="E2381" s="115"/>
      <c r="F2381" s="115"/>
      <c r="G2381" s="115"/>
      <c r="H2381" s="115"/>
      <c r="I2381" s="115"/>
      <c r="J2381" s="115"/>
      <c r="K2381" s="115"/>
      <c r="L2381" s="115"/>
      <c r="M2381" s="115"/>
      <c r="N2381" s="115"/>
      <c r="O2381" s="115"/>
    </row>
    <row r="2382">
      <c r="E2382" s="115"/>
      <c r="F2382" s="115"/>
      <c r="G2382" s="115"/>
      <c r="H2382" s="115"/>
      <c r="I2382" s="115"/>
      <c r="J2382" s="115"/>
      <c r="K2382" s="115"/>
      <c r="L2382" s="115"/>
      <c r="M2382" s="115"/>
      <c r="N2382" s="115"/>
      <c r="O2382" s="115"/>
    </row>
    <row r="2383">
      <c r="E2383" s="115"/>
      <c r="F2383" s="115"/>
      <c r="G2383" s="115"/>
      <c r="H2383" s="115"/>
      <c r="I2383" s="115"/>
      <c r="J2383" s="115"/>
      <c r="K2383" s="115"/>
      <c r="L2383" s="115"/>
      <c r="M2383" s="115"/>
      <c r="N2383" s="115"/>
      <c r="O2383" s="115"/>
    </row>
    <row r="2384">
      <c r="E2384" s="115"/>
      <c r="F2384" s="115"/>
      <c r="G2384" s="115"/>
      <c r="H2384" s="115"/>
      <c r="I2384" s="115"/>
      <c r="J2384" s="115"/>
      <c r="K2384" s="115"/>
      <c r="L2384" s="115"/>
      <c r="M2384" s="115"/>
      <c r="N2384" s="115"/>
      <c r="O2384" s="115"/>
    </row>
    <row r="2385">
      <c r="E2385" s="115"/>
      <c r="F2385" s="115"/>
      <c r="G2385" s="115"/>
      <c r="H2385" s="115"/>
      <c r="I2385" s="115"/>
      <c r="J2385" s="115"/>
      <c r="K2385" s="115"/>
      <c r="L2385" s="115"/>
      <c r="M2385" s="115"/>
      <c r="N2385" s="115"/>
      <c r="O2385" s="115"/>
    </row>
    <row r="2386">
      <c r="E2386" s="115"/>
      <c r="F2386" s="115"/>
      <c r="G2386" s="115"/>
      <c r="H2386" s="115"/>
      <c r="I2386" s="115"/>
      <c r="J2386" s="115"/>
      <c r="K2386" s="115"/>
      <c r="L2386" s="115"/>
      <c r="M2386" s="115"/>
      <c r="N2386" s="115"/>
      <c r="O2386" s="115"/>
    </row>
    <row r="2387">
      <c r="E2387" s="115"/>
      <c r="F2387" s="115"/>
      <c r="G2387" s="115"/>
      <c r="H2387" s="115"/>
      <c r="I2387" s="115"/>
      <c r="J2387" s="115"/>
      <c r="K2387" s="115"/>
      <c r="L2387" s="115"/>
      <c r="M2387" s="115"/>
      <c r="N2387" s="115"/>
      <c r="O2387" s="115"/>
    </row>
    <row r="2388">
      <c r="E2388" s="115"/>
      <c r="F2388" s="115"/>
      <c r="G2388" s="115"/>
      <c r="H2388" s="115"/>
      <c r="I2388" s="115"/>
      <c r="J2388" s="115"/>
      <c r="K2388" s="115"/>
      <c r="L2388" s="115"/>
      <c r="M2388" s="115"/>
      <c r="N2388" s="115"/>
      <c r="O2388" s="115"/>
    </row>
    <row r="2389">
      <c r="E2389" s="115"/>
      <c r="F2389" s="115"/>
      <c r="G2389" s="115"/>
      <c r="H2389" s="115"/>
      <c r="I2389" s="115"/>
      <c r="J2389" s="115"/>
      <c r="K2389" s="115"/>
      <c r="L2389" s="115"/>
      <c r="M2389" s="115"/>
      <c r="N2389" s="115"/>
      <c r="O2389" s="115"/>
    </row>
    <row r="2390">
      <c r="E2390" s="115"/>
      <c r="F2390" s="115"/>
      <c r="G2390" s="115"/>
      <c r="H2390" s="115"/>
      <c r="I2390" s="115"/>
      <c r="J2390" s="115"/>
      <c r="K2390" s="115"/>
      <c r="L2390" s="115"/>
      <c r="M2390" s="115"/>
      <c r="N2390" s="115"/>
      <c r="O2390" s="115"/>
    </row>
    <row r="2391">
      <c r="E2391" s="115"/>
      <c r="F2391" s="115"/>
      <c r="G2391" s="115"/>
      <c r="H2391" s="115"/>
      <c r="I2391" s="115"/>
      <c r="J2391" s="115"/>
      <c r="K2391" s="115"/>
      <c r="L2391" s="115"/>
      <c r="M2391" s="115"/>
      <c r="N2391" s="115"/>
      <c r="O2391" s="115"/>
    </row>
    <row r="2392">
      <c r="E2392" s="115"/>
      <c r="F2392" s="115"/>
      <c r="G2392" s="115"/>
      <c r="H2392" s="115"/>
      <c r="I2392" s="115"/>
      <c r="J2392" s="115"/>
      <c r="K2392" s="115"/>
      <c r="L2392" s="115"/>
      <c r="M2392" s="115"/>
      <c r="N2392" s="115"/>
      <c r="O2392" s="115"/>
    </row>
    <row r="2393">
      <c r="E2393" s="115"/>
      <c r="F2393" s="115"/>
      <c r="G2393" s="115"/>
      <c r="H2393" s="115"/>
      <c r="I2393" s="115"/>
      <c r="J2393" s="115"/>
      <c r="K2393" s="115"/>
      <c r="L2393" s="115"/>
      <c r="M2393" s="115"/>
      <c r="N2393" s="115"/>
      <c r="O2393" s="115"/>
    </row>
    <row r="2394">
      <c r="E2394" s="115"/>
      <c r="F2394" s="115"/>
      <c r="G2394" s="115"/>
      <c r="H2394" s="115"/>
      <c r="I2394" s="115"/>
      <c r="J2394" s="115"/>
      <c r="K2394" s="115"/>
      <c r="L2394" s="115"/>
      <c r="M2394" s="115"/>
      <c r="N2394" s="115"/>
      <c r="O2394" s="115"/>
    </row>
    <row r="2395">
      <c r="E2395" s="115"/>
      <c r="F2395" s="115"/>
      <c r="G2395" s="115"/>
      <c r="H2395" s="115"/>
      <c r="I2395" s="115"/>
      <c r="J2395" s="115"/>
      <c r="K2395" s="115"/>
      <c r="L2395" s="115"/>
      <c r="M2395" s="115"/>
      <c r="N2395" s="115"/>
      <c r="O2395" s="115"/>
    </row>
    <row r="2396">
      <c r="E2396" s="115"/>
      <c r="F2396" s="115"/>
      <c r="G2396" s="115"/>
      <c r="H2396" s="115"/>
      <c r="I2396" s="115"/>
      <c r="J2396" s="115"/>
      <c r="K2396" s="115"/>
      <c r="L2396" s="115"/>
      <c r="M2396" s="115"/>
      <c r="N2396" s="115"/>
      <c r="O2396" s="115"/>
    </row>
    <row r="2397">
      <c r="E2397" s="115"/>
      <c r="F2397" s="115"/>
      <c r="G2397" s="115"/>
      <c r="H2397" s="115"/>
      <c r="I2397" s="115"/>
      <c r="J2397" s="115"/>
      <c r="K2397" s="115"/>
      <c r="L2397" s="115"/>
      <c r="M2397" s="115"/>
      <c r="N2397" s="115"/>
      <c r="O2397" s="115"/>
    </row>
    <row r="2398">
      <c r="E2398" s="115"/>
      <c r="F2398" s="115"/>
      <c r="G2398" s="115"/>
      <c r="H2398" s="115"/>
      <c r="I2398" s="115"/>
      <c r="J2398" s="115"/>
      <c r="K2398" s="115"/>
      <c r="L2398" s="115"/>
      <c r="M2398" s="115"/>
      <c r="N2398" s="115"/>
      <c r="O2398" s="115"/>
    </row>
    <row r="2399">
      <c r="E2399" s="115"/>
      <c r="F2399" s="115"/>
      <c r="G2399" s="115"/>
      <c r="H2399" s="115"/>
      <c r="I2399" s="115"/>
      <c r="J2399" s="115"/>
      <c r="K2399" s="115"/>
      <c r="L2399" s="115"/>
      <c r="M2399" s="115"/>
      <c r="N2399" s="115"/>
      <c r="O2399" s="115"/>
    </row>
    <row r="2400">
      <c r="E2400" s="115"/>
      <c r="F2400" s="115"/>
      <c r="G2400" s="115"/>
      <c r="H2400" s="115"/>
      <c r="I2400" s="115"/>
      <c r="J2400" s="115"/>
      <c r="K2400" s="115"/>
      <c r="L2400" s="115"/>
      <c r="M2400" s="115"/>
      <c r="N2400" s="115"/>
      <c r="O2400" s="115"/>
    </row>
    <row r="2401">
      <c r="E2401" s="115"/>
      <c r="F2401" s="115"/>
      <c r="G2401" s="115"/>
      <c r="H2401" s="115"/>
      <c r="I2401" s="115"/>
      <c r="J2401" s="115"/>
      <c r="K2401" s="115"/>
      <c r="L2401" s="115"/>
      <c r="M2401" s="115"/>
      <c r="N2401" s="115"/>
      <c r="O2401" s="115"/>
    </row>
    <row r="2402">
      <c r="E2402" s="115"/>
      <c r="F2402" s="115"/>
      <c r="G2402" s="115"/>
      <c r="H2402" s="115"/>
      <c r="I2402" s="115"/>
      <c r="J2402" s="115"/>
      <c r="K2402" s="115"/>
      <c r="L2402" s="115"/>
      <c r="M2402" s="115"/>
      <c r="N2402" s="115"/>
      <c r="O2402" s="115"/>
    </row>
    <row r="2403">
      <c r="E2403" s="115"/>
      <c r="F2403" s="115"/>
      <c r="G2403" s="115"/>
      <c r="H2403" s="115"/>
      <c r="I2403" s="115"/>
      <c r="J2403" s="115"/>
      <c r="K2403" s="115"/>
      <c r="L2403" s="115"/>
      <c r="M2403" s="115"/>
      <c r="N2403" s="115"/>
      <c r="O2403" s="115"/>
    </row>
    <row r="2404">
      <c r="E2404" s="115"/>
      <c r="F2404" s="115"/>
      <c r="G2404" s="115"/>
      <c r="H2404" s="115"/>
      <c r="I2404" s="115"/>
      <c r="J2404" s="115"/>
      <c r="K2404" s="115"/>
      <c r="L2404" s="115"/>
      <c r="M2404" s="115"/>
      <c r="N2404" s="115"/>
      <c r="O2404" s="115"/>
    </row>
    <row r="2405">
      <c r="E2405" s="115"/>
      <c r="F2405" s="115"/>
      <c r="G2405" s="115"/>
      <c r="H2405" s="115"/>
      <c r="I2405" s="115"/>
      <c r="J2405" s="115"/>
      <c r="K2405" s="115"/>
      <c r="L2405" s="115"/>
      <c r="M2405" s="115"/>
      <c r="N2405" s="115"/>
      <c r="O2405" s="115"/>
    </row>
    <row r="2406">
      <c r="E2406" s="115"/>
      <c r="F2406" s="115"/>
      <c r="G2406" s="115"/>
      <c r="H2406" s="115"/>
      <c r="I2406" s="115"/>
      <c r="J2406" s="115"/>
      <c r="K2406" s="115"/>
      <c r="L2406" s="115"/>
      <c r="M2406" s="115"/>
      <c r="N2406" s="115"/>
      <c r="O2406" s="115"/>
    </row>
    <row r="2407">
      <c r="E2407" s="115"/>
      <c r="F2407" s="115"/>
      <c r="G2407" s="115"/>
      <c r="H2407" s="115"/>
      <c r="I2407" s="115"/>
      <c r="J2407" s="115"/>
      <c r="K2407" s="115"/>
      <c r="L2407" s="115"/>
      <c r="M2407" s="115"/>
      <c r="N2407" s="115"/>
      <c r="O2407" s="115"/>
    </row>
    <row r="2408">
      <c r="E2408" s="115"/>
      <c r="F2408" s="115"/>
      <c r="G2408" s="115"/>
      <c r="H2408" s="115"/>
      <c r="I2408" s="115"/>
      <c r="J2408" s="115"/>
      <c r="K2408" s="115"/>
      <c r="L2408" s="115"/>
      <c r="M2408" s="115"/>
      <c r="N2408" s="115"/>
      <c r="O2408" s="115"/>
    </row>
    <row r="2409">
      <c r="E2409" s="115"/>
      <c r="F2409" s="115"/>
      <c r="G2409" s="115"/>
      <c r="H2409" s="115"/>
      <c r="I2409" s="115"/>
      <c r="J2409" s="115"/>
      <c r="K2409" s="115"/>
      <c r="L2409" s="115"/>
      <c r="M2409" s="115"/>
      <c r="N2409" s="115"/>
      <c r="O2409" s="115"/>
    </row>
    <row r="2410">
      <c r="E2410" s="115"/>
      <c r="F2410" s="115"/>
      <c r="G2410" s="115"/>
      <c r="H2410" s="115"/>
      <c r="I2410" s="115"/>
      <c r="J2410" s="115"/>
      <c r="K2410" s="115"/>
      <c r="L2410" s="115"/>
      <c r="M2410" s="115"/>
      <c r="N2410" s="115"/>
      <c r="O2410" s="115"/>
    </row>
    <row r="2411">
      <c r="E2411" s="115"/>
      <c r="F2411" s="115"/>
      <c r="G2411" s="115"/>
      <c r="H2411" s="115"/>
      <c r="I2411" s="115"/>
      <c r="J2411" s="115"/>
      <c r="K2411" s="115"/>
      <c r="L2411" s="115"/>
      <c r="M2411" s="115"/>
      <c r="N2411" s="115"/>
      <c r="O2411" s="115"/>
    </row>
    <row r="2412">
      <c r="E2412" s="115"/>
      <c r="F2412" s="115"/>
      <c r="G2412" s="115"/>
      <c r="H2412" s="115"/>
      <c r="I2412" s="115"/>
      <c r="J2412" s="115"/>
      <c r="K2412" s="115"/>
      <c r="L2412" s="115"/>
      <c r="M2412" s="115"/>
      <c r="N2412" s="115"/>
      <c r="O2412" s="115"/>
    </row>
    <row r="2413">
      <c r="E2413" s="115"/>
      <c r="F2413" s="115"/>
      <c r="G2413" s="115"/>
      <c r="H2413" s="115"/>
      <c r="I2413" s="115"/>
      <c r="J2413" s="115"/>
      <c r="K2413" s="115"/>
      <c r="L2413" s="115"/>
      <c r="M2413" s="115"/>
      <c r="N2413" s="115"/>
      <c r="O2413" s="115"/>
    </row>
    <row r="2414">
      <c r="E2414" s="115"/>
      <c r="F2414" s="115"/>
      <c r="G2414" s="115"/>
      <c r="H2414" s="115"/>
      <c r="I2414" s="115"/>
      <c r="J2414" s="115"/>
      <c r="K2414" s="115"/>
      <c r="L2414" s="115"/>
      <c r="M2414" s="115"/>
      <c r="N2414" s="115"/>
      <c r="O2414" s="115"/>
    </row>
    <row r="2415">
      <c r="E2415" s="115"/>
      <c r="F2415" s="115"/>
      <c r="G2415" s="115"/>
      <c r="H2415" s="115"/>
      <c r="I2415" s="115"/>
      <c r="J2415" s="115"/>
      <c r="K2415" s="115"/>
      <c r="L2415" s="115"/>
      <c r="M2415" s="115"/>
      <c r="N2415" s="115"/>
      <c r="O2415" s="115"/>
    </row>
    <row r="2416">
      <c r="E2416" s="115"/>
      <c r="F2416" s="115"/>
      <c r="G2416" s="115"/>
      <c r="H2416" s="115"/>
      <c r="I2416" s="115"/>
      <c r="J2416" s="115"/>
      <c r="K2416" s="115"/>
      <c r="L2416" s="115"/>
      <c r="M2416" s="115"/>
      <c r="N2416" s="115"/>
      <c r="O2416" s="115"/>
    </row>
    <row r="2417">
      <c r="E2417" s="115"/>
      <c r="F2417" s="115"/>
      <c r="G2417" s="115"/>
      <c r="H2417" s="115"/>
      <c r="I2417" s="115"/>
      <c r="J2417" s="115"/>
      <c r="K2417" s="115"/>
      <c r="L2417" s="115"/>
      <c r="M2417" s="115"/>
      <c r="N2417" s="115"/>
      <c r="O2417" s="115"/>
    </row>
    <row r="2418">
      <c r="E2418" s="115"/>
      <c r="F2418" s="115"/>
      <c r="G2418" s="115"/>
      <c r="H2418" s="115"/>
      <c r="I2418" s="115"/>
      <c r="J2418" s="115"/>
      <c r="K2418" s="115"/>
      <c r="L2418" s="115"/>
      <c r="M2418" s="115"/>
      <c r="N2418" s="115"/>
      <c r="O2418" s="115"/>
    </row>
    <row r="2419">
      <c r="E2419" s="115"/>
      <c r="F2419" s="115"/>
      <c r="G2419" s="115"/>
      <c r="H2419" s="115"/>
      <c r="I2419" s="115"/>
      <c r="J2419" s="115"/>
      <c r="K2419" s="115"/>
      <c r="L2419" s="115"/>
      <c r="M2419" s="115"/>
      <c r="N2419" s="115"/>
      <c r="O2419" s="115"/>
    </row>
    <row r="2420">
      <c r="E2420" s="115"/>
      <c r="F2420" s="115"/>
      <c r="G2420" s="115"/>
      <c r="H2420" s="115"/>
      <c r="I2420" s="115"/>
      <c r="J2420" s="115"/>
      <c r="K2420" s="115"/>
      <c r="L2420" s="115"/>
      <c r="M2420" s="115"/>
      <c r="N2420" s="115"/>
      <c r="O2420" s="115"/>
    </row>
    <row r="2421">
      <c r="E2421" s="115"/>
      <c r="F2421" s="115"/>
      <c r="G2421" s="115"/>
      <c r="H2421" s="115"/>
      <c r="I2421" s="115"/>
      <c r="J2421" s="115"/>
      <c r="K2421" s="115"/>
      <c r="L2421" s="115"/>
      <c r="M2421" s="115"/>
      <c r="N2421" s="115"/>
      <c r="O2421" s="115"/>
    </row>
    <row r="2422">
      <c r="E2422" s="115"/>
      <c r="F2422" s="115"/>
      <c r="G2422" s="115"/>
      <c r="H2422" s="115"/>
      <c r="I2422" s="115"/>
      <c r="J2422" s="115"/>
      <c r="K2422" s="115"/>
      <c r="L2422" s="115"/>
      <c r="M2422" s="115"/>
      <c r="N2422" s="115"/>
      <c r="O2422" s="115"/>
    </row>
    <row r="2423">
      <c r="E2423" s="115"/>
      <c r="F2423" s="115"/>
      <c r="G2423" s="115"/>
      <c r="H2423" s="115"/>
      <c r="I2423" s="115"/>
      <c r="J2423" s="115"/>
      <c r="K2423" s="115"/>
      <c r="L2423" s="115"/>
      <c r="M2423" s="115"/>
      <c r="N2423" s="115"/>
      <c r="O2423" s="115"/>
    </row>
    <row r="2424">
      <c r="E2424" s="115"/>
      <c r="F2424" s="115"/>
      <c r="G2424" s="115"/>
      <c r="H2424" s="115"/>
      <c r="I2424" s="115"/>
      <c r="J2424" s="115"/>
      <c r="K2424" s="115"/>
      <c r="L2424" s="115"/>
      <c r="M2424" s="115"/>
      <c r="N2424" s="115"/>
      <c r="O2424" s="115"/>
    </row>
    <row r="2425">
      <c r="E2425" s="115"/>
      <c r="F2425" s="115"/>
      <c r="G2425" s="115"/>
      <c r="H2425" s="115"/>
      <c r="I2425" s="115"/>
      <c r="J2425" s="115"/>
      <c r="K2425" s="115"/>
      <c r="L2425" s="115"/>
      <c r="M2425" s="115"/>
      <c r="N2425" s="115"/>
      <c r="O2425" s="115"/>
    </row>
    <row r="2426">
      <c r="E2426" s="115"/>
      <c r="F2426" s="115"/>
      <c r="G2426" s="115"/>
      <c r="H2426" s="115"/>
      <c r="I2426" s="115"/>
      <c r="J2426" s="115"/>
      <c r="K2426" s="115"/>
      <c r="L2426" s="115"/>
      <c r="M2426" s="115"/>
      <c r="N2426" s="115"/>
      <c r="O2426" s="115"/>
    </row>
    <row r="2427">
      <c r="E2427" s="115"/>
      <c r="F2427" s="115"/>
      <c r="G2427" s="115"/>
      <c r="H2427" s="115"/>
      <c r="I2427" s="115"/>
      <c r="J2427" s="115"/>
      <c r="K2427" s="115"/>
      <c r="L2427" s="115"/>
      <c r="M2427" s="115"/>
      <c r="N2427" s="115"/>
      <c r="O2427" s="115"/>
    </row>
    <row r="2428">
      <c r="E2428" s="115"/>
      <c r="F2428" s="115"/>
      <c r="G2428" s="115"/>
      <c r="H2428" s="115"/>
      <c r="I2428" s="115"/>
      <c r="J2428" s="115"/>
      <c r="K2428" s="115"/>
      <c r="L2428" s="115"/>
      <c r="M2428" s="115"/>
      <c r="N2428" s="115"/>
      <c r="O2428" s="115"/>
    </row>
    <row r="2429">
      <c r="E2429" s="115"/>
      <c r="F2429" s="115"/>
      <c r="G2429" s="115"/>
      <c r="H2429" s="115"/>
      <c r="I2429" s="115"/>
      <c r="J2429" s="115"/>
      <c r="K2429" s="115"/>
      <c r="L2429" s="115"/>
      <c r="M2429" s="115"/>
      <c r="N2429" s="115"/>
      <c r="O2429" s="115"/>
    </row>
    <row r="2430">
      <c r="E2430" s="115"/>
      <c r="F2430" s="115"/>
      <c r="G2430" s="115"/>
      <c r="H2430" s="115"/>
      <c r="I2430" s="115"/>
      <c r="J2430" s="115"/>
      <c r="K2430" s="115"/>
      <c r="L2430" s="115"/>
      <c r="M2430" s="115"/>
      <c r="N2430" s="115"/>
      <c r="O2430" s="115"/>
    </row>
    <row r="2431">
      <c r="E2431" s="115"/>
      <c r="F2431" s="115"/>
      <c r="G2431" s="115"/>
      <c r="H2431" s="115"/>
      <c r="I2431" s="115"/>
      <c r="J2431" s="115"/>
      <c r="K2431" s="115"/>
      <c r="L2431" s="115"/>
      <c r="M2431" s="115"/>
      <c r="N2431" s="115"/>
      <c r="O2431" s="115"/>
    </row>
    <row r="2432">
      <c r="E2432" s="115"/>
      <c r="F2432" s="115"/>
      <c r="G2432" s="115"/>
      <c r="H2432" s="115"/>
      <c r="I2432" s="115"/>
      <c r="J2432" s="115"/>
      <c r="K2432" s="115"/>
      <c r="L2432" s="115"/>
      <c r="M2432" s="115"/>
      <c r="N2432" s="115"/>
      <c r="O2432" s="115"/>
    </row>
    <row r="2433">
      <c r="E2433" s="115"/>
      <c r="F2433" s="115"/>
      <c r="G2433" s="115"/>
      <c r="H2433" s="115"/>
      <c r="I2433" s="115"/>
      <c r="J2433" s="115"/>
      <c r="K2433" s="115"/>
      <c r="L2433" s="115"/>
      <c r="M2433" s="115"/>
      <c r="N2433" s="115"/>
      <c r="O2433" s="115"/>
    </row>
    <row r="2434">
      <c r="E2434" s="115"/>
      <c r="F2434" s="115"/>
      <c r="G2434" s="115"/>
      <c r="H2434" s="115"/>
      <c r="I2434" s="115"/>
      <c r="J2434" s="115"/>
      <c r="K2434" s="115"/>
      <c r="L2434" s="115"/>
      <c r="M2434" s="115"/>
      <c r="N2434" s="115"/>
      <c r="O2434" s="115"/>
    </row>
    <row r="2435">
      <c r="E2435" s="115"/>
      <c r="F2435" s="115"/>
      <c r="G2435" s="115"/>
      <c r="H2435" s="115"/>
      <c r="I2435" s="115"/>
      <c r="J2435" s="115"/>
      <c r="K2435" s="115"/>
      <c r="L2435" s="115"/>
      <c r="M2435" s="115"/>
      <c r="N2435" s="115"/>
      <c r="O2435" s="115"/>
    </row>
    <row r="2436">
      <c r="E2436" s="115"/>
      <c r="F2436" s="115"/>
      <c r="G2436" s="115"/>
      <c r="H2436" s="115"/>
      <c r="I2436" s="115"/>
      <c r="J2436" s="115"/>
      <c r="K2436" s="115"/>
      <c r="L2436" s="115"/>
      <c r="M2436" s="115"/>
      <c r="N2436" s="115"/>
      <c r="O2436" s="115"/>
    </row>
    <row r="2437">
      <c r="E2437" s="115"/>
      <c r="F2437" s="115"/>
      <c r="G2437" s="115"/>
      <c r="H2437" s="115"/>
      <c r="I2437" s="115"/>
      <c r="J2437" s="115"/>
      <c r="K2437" s="115"/>
      <c r="L2437" s="115"/>
      <c r="M2437" s="115"/>
      <c r="N2437" s="115"/>
      <c r="O2437" s="115"/>
    </row>
    <row r="2438">
      <c r="E2438" s="115"/>
      <c r="F2438" s="115"/>
      <c r="G2438" s="115"/>
      <c r="H2438" s="115"/>
      <c r="I2438" s="115"/>
      <c r="J2438" s="115"/>
      <c r="K2438" s="115"/>
      <c r="L2438" s="115"/>
      <c r="M2438" s="115"/>
      <c r="N2438" s="115"/>
      <c r="O2438" s="115"/>
    </row>
    <row r="2439">
      <c r="E2439" s="115"/>
      <c r="F2439" s="115"/>
      <c r="G2439" s="115"/>
      <c r="H2439" s="115"/>
      <c r="I2439" s="115"/>
      <c r="J2439" s="115"/>
      <c r="K2439" s="115"/>
      <c r="L2439" s="115"/>
      <c r="M2439" s="115"/>
      <c r="N2439" s="115"/>
      <c r="O2439" s="115"/>
    </row>
    <row r="2440">
      <c r="E2440" s="115"/>
      <c r="F2440" s="115"/>
      <c r="G2440" s="115"/>
      <c r="H2440" s="115"/>
      <c r="I2440" s="115"/>
      <c r="J2440" s="115"/>
      <c r="K2440" s="115"/>
      <c r="L2440" s="115"/>
      <c r="M2440" s="115"/>
      <c r="N2440" s="115"/>
      <c r="O2440" s="115"/>
    </row>
    <row r="2441">
      <c r="E2441" s="115"/>
      <c r="F2441" s="115"/>
      <c r="G2441" s="115"/>
      <c r="H2441" s="115"/>
      <c r="I2441" s="115"/>
      <c r="J2441" s="115"/>
      <c r="K2441" s="115"/>
      <c r="L2441" s="115"/>
      <c r="M2441" s="115"/>
      <c r="N2441" s="115"/>
      <c r="O2441" s="115"/>
    </row>
    <row r="2442">
      <c r="E2442" s="115"/>
      <c r="F2442" s="115"/>
      <c r="G2442" s="115"/>
      <c r="H2442" s="115"/>
      <c r="I2442" s="115"/>
      <c r="J2442" s="115"/>
      <c r="K2442" s="115"/>
      <c r="L2442" s="115"/>
      <c r="M2442" s="115"/>
      <c r="N2442" s="115"/>
      <c r="O2442" s="115"/>
    </row>
    <row r="2443">
      <c r="E2443" s="115"/>
      <c r="F2443" s="115"/>
      <c r="G2443" s="115"/>
      <c r="H2443" s="115"/>
      <c r="I2443" s="115"/>
      <c r="J2443" s="115"/>
      <c r="K2443" s="115"/>
      <c r="L2443" s="115"/>
      <c r="M2443" s="115"/>
      <c r="N2443" s="115"/>
      <c r="O2443" s="115"/>
    </row>
    <row r="2444">
      <c r="E2444" s="115"/>
      <c r="F2444" s="115"/>
      <c r="G2444" s="115"/>
      <c r="H2444" s="115"/>
      <c r="I2444" s="115"/>
      <c r="J2444" s="115"/>
      <c r="K2444" s="115"/>
      <c r="L2444" s="115"/>
      <c r="M2444" s="115"/>
      <c r="N2444" s="115"/>
      <c r="O2444" s="115"/>
    </row>
    <row r="2445">
      <c r="E2445" s="115"/>
      <c r="F2445" s="115"/>
      <c r="G2445" s="115"/>
      <c r="H2445" s="115"/>
      <c r="I2445" s="115"/>
      <c r="J2445" s="115"/>
      <c r="K2445" s="115"/>
      <c r="L2445" s="115"/>
      <c r="M2445" s="115"/>
      <c r="N2445" s="115"/>
      <c r="O2445" s="115"/>
    </row>
    <row r="2446">
      <c r="E2446" s="115"/>
      <c r="F2446" s="115"/>
      <c r="G2446" s="115"/>
      <c r="H2446" s="115"/>
      <c r="I2446" s="115"/>
      <c r="J2446" s="115"/>
      <c r="K2446" s="115"/>
      <c r="L2446" s="115"/>
      <c r="M2446" s="115"/>
      <c r="N2446" s="115"/>
      <c r="O2446" s="115"/>
    </row>
    <row r="2447">
      <c r="E2447" s="115"/>
      <c r="F2447" s="115"/>
      <c r="G2447" s="115"/>
      <c r="H2447" s="115"/>
      <c r="I2447" s="115"/>
      <c r="J2447" s="115"/>
      <c r="K2447" s="115"/>
      <c r="L2447" s="115"/>
      <c r="M2447" s="115"/>
      <c r="N2447" s="115"/>
      <c r="O2447" s="115"/>
    </row>
    <row r="2448">
      <c r="E2448" s="115"/>
      <c r="F2448" s="115"/>
      <c r="G2448" s="115"/>
      <c r="H2448" s="115"/>
      <c r="I2448" s="115"/>
      <c r="J2448" s="115"/>
      <c r="K2448" s="115"/>
      <c r="L2448" s="115"/>
      <c r="M2448" s="115"/>
      <c r="N2448" s="115"/>
      <c r="O2448" s="115"/>
    </row>
    <row r="2449">
      <c r="E2449" s="115"/>
      <c r="F2449" s="115"/>
      <c r="G2449" s="115"/>
      <c r="H2449" s="115"/>
      <c r="I2449" s="115"/>
      <c r="J2449" s="115"/>
      <c r="K2449" s="115"/>
      <c r="L2449" s="115"/>
      <c r="M2449" s="115"/>
      <c r="N2449" s="115"/>
      <c r="O2449" s="115"/>
    </row>
    <row r="2450">
      <c r="E2450" s="115"/>
      <c r="F2450" s="115"/>
      <c r="G2450" s="115"/>
      <c r="H2450" s="115"/>
      <c r="I2450" s="115"/>
      <c r="J2450" s="115"/>
      <c r="K2450" s="115"/>
      <c r="L2450" s="115"/>
      <c r="M2450" s="115"/>
      <c r="N2450" s="115"/>
      <c r="O2450" s="115"/>
    </row>
    <row r="2451">
      <c r="E2451" s="115"/>
      <c r="F2451" s="115"/>
      <c r="G2451" s="115"/>
      <c r="H2451" s="115"/>
      <c r="I2451" s="115"/>
      <c r="J2451" s="115"/>
      <c r="K2451" s="115"/>
      <c r="L2451" s="115"/>
      <c r="M2451" s="115"/>
      <c r="N2451" s="115"/>
      <c r="O2451" s="115"/>
    </row>
    <row r="2452">
      <c r="E2452" s="115"/>
      <c r="F2452" s="115"/>
      <c r="G2452" s="115"/>
      <c r="H2452" s="115"/>
      <c r="I2452" s="115"/>
      <c r="J2452" s="115"/>
      <c r="K2452" s="115"/>
      <c r="L2452" s="115"/>
      <c r="M2452" s="115"/>
      <c r="N2452" s="115"/>
      <c r="O2452" s="115"/>
    </row>
    <row r="2453">
      <c r="E2453" s="115"/>
      <c r="F2453" s="115"/>
      <c r="G2453" s="115"/>
      <c r="H2453" s="115"/>
      <c r="I2453" s="115"/>
      <c r="J2453" s="115"/>
      <c r="K2453" s="115"/>
      <c r="L2453" s="115"/>
      <c r="M2453" s="115"/>
      <c r="N2453" s="115"/>
      <c r="O2453" s="115"/>
    </row>
    <row r="2454">
      <c r="E2454" s="115"/>
      <c r="F2454" s="115"/>
      <c r="G2454" s="115"/>
      <c r="H2454" s="115"/>
      <c r="I2454" s="115"/>
      <c r="J2454" s="115"/>
      <c r="K2454" s="115"/>
      <c r="L2454" s="115"/>
      <c r="M2454" s="115"/>
      <c r="N2454" s="115"/>
      <c r="O2454" s="115"/>
    </row>
    <row r="2455">
      <c r="E2455" s="115"/>
      <c r="F2455" s="115"/>
      <c r="G2455" s="115"/>
      <c r="H2455" s="115"/>
      <c r="I2455" s="115"/>
      <c r="J2455" s="115"/>
      <c r="K2455" s="115"/>
      <c r="L2455" s="115"/>
      <c r="M2455" s="115"/>
      <c r="N2455" s="115"/>
      <c r="O2455" s="115"/>
    </row>
    <row r="2456">
      <c r="E2456" s="115"/>
      <c r="F2456" s="115"/>
      <c r="G2456" s="115"/>
      <c r="H2456" s="115"/>
      <c r="I2456" s="115"/>
      <c r="J2456" s="115"/>
      <c r="K2456" s="115"/>
      <c r="L2456" s="115"/>
      <c r="M2456" s="115"/>
      <c r="N2456" s="115"/>
      <c r="O2456" s="115"/>
    </row>
    <row r="2457">
      <c r="E2457" s="115"/>
      <c r="F2457" s="115"/>
      <c r="G2457" s="115"/>
      <c r="H2457" s="115"/>
      <c r="I2457" s="115"/>
      <c r="J2457" s="115"/>
      <c r="K2457" s="115"/>
      <c r="L2457" s="115"/>
      <c r="M2457" s="115"/>
      <c r="N2457" s="115"/>
      <c r="O2457" s="115"/>
    </row>
    <row r="2458">
      <c r="E2458" s="115"/>
      <c r="F2458" s="115"/>
      <c r="G2458" s="115"/>
      <c r="H2458" s="115"/>
      <c r="I2458" s="115"/>
      <c r="J2458" s="115"/>
      <c r="K2458" s="115"/>
      <c r="L2458" s="115"/>
      <c r="M2458" s="115"/>
      <c r="N2458" s="115"/>
      <c r="O2458" s="115"/>
    </row>
    <row r="2459">
      <c r="E2459" s="115"/>
      <c r="F2459" s="115"/>
      <c r="G2459" s="115"/>
      <c r="H2459" s="115"/>
      <c r="I2459" s="115"/>
      <c r="J2459" s="115"/>
      <c r="K2459" s="115"/>
      <c r="L2459" s="115"/>
      <c r="M2459" s="115"/>
      <c r="N2459" s="115"/>
      <c r="O2459" s="115"/>
    </row>
    <row r="2460">
      <c r="E2460" s="115"/>
      <c r="F2460" s="115"/>
      <c r="G2460" s="115"/>
      <c r="H2460" s="115"/>
      <c r="I2460" s="115"/>
      <c r="J2460" s="115"/>
      <c r="K2460" s="115"/>
      <c r="L2460" s="115"/>
      <c r="M2460" s="115"/>
      <c r="N2460" s="115"/>
      <c r="O2460" s="115"/>
    </row>
    <row r="2461">
      <c r="E2461" s="115"/>
      <c r="F2461" s="115"/>
      <c r="G2461" s="115"/>
      <c r="H2461" s="115"/>
      <c r="I2461" s="115"/>
      <c r="J2461" s="115"/>
      <c r="K2461" s="115"/>
      <c r="L2461" s="115"/>
      <c r="M2461" s="115"/>
      <c r="N2461" s="115"/>
      <c r="O2461" s="115"/>
    </row>
    <row r="2462">
      <c r="E2462" s="115"/>
      <c r="F2462" s="115"/>
      <c r="G2462" s="115"/>
      <c r="H2462" s="115"/>
      <c r="I2462" s="115"/>
      <c r="J2462" s="115"/>
      <c r="K2462" s="115"/>
      <c r="L2462" s="115"/>
      <c r="M2462" s="115"/>
      <c r="N2462" s="115"/>
      <c r="O2462" s="115"/>
    </row>
    <row r="2463">
      <c r="E2463" s="115"/>
      <c r="F2463" s="115"/>
      <c r="G2463" s="115"/>
      <c r="H2463" s="115"/>
      <c r="I2463" s="115"/>
      <c r="J2463" s="115"/>
      <c r="K2463" s="115"/>
      <c r="L2463" s="115"/>
      <c r="M2463" s="115"/>
      <c r="N2463" s="115"/>
      <c r="O2463" s="115"/>
    </row>
    <row r="2464">
      <c r="E2464" s="115"/>
      <c r="F2464" s="115"/>
      <c r="G2464" s="115"/>
      <c r="H2464" s="115"/>
      <c r="I2464" s="115"/>
      <c r="J2464" s="115"/>
      <c r="K2464" s="115"/>
      <c r="L2464" s="115"/>
      <c r="M2464" s="115"/>
      <c r="N2464" s="115"/>
      <c r="O2464" s="115"/>
    </row>
    <row r="2465">
      <c r="E2465" s="115"/>
      <c r="F2465" s="115"/>
      <c r="G2465" s="115"/>
      <c r="H2465" s="115"/>
      <c r="I2465" s="115"/>
      <c r="J2465" s="115"/>
      <c r="K2465" s="115"/>
      <c r="L2465" s="115"/>
      <c r="M2465" s="115"/>
      <c r="N2465" s="115"/>
      <c r="O2465" s="115"/>
    </row>
    <row r="2466">
      <c r="E2466" s="115"/>
      <c r="F2466" s="115"/>
      <c r="G2466" s="115"/>
      <c r="H2466" s="115"/>
      <c r="I2466" s="115"/>
      <c r="J2466" s="115"/>
      <c r="K2466" s="115"/>
      <c r="L2466" s="115"/>
      <c r="M2466" s="115"/>
      <c r="N2466" s="115"/>
      <c r="O2466" s="115"/>
    </row>
    <row r="2467">
      <c r="E2467" s="115"/>
      <c r="F2467" s="115"/>
      <c r="G2467" s="115"/>
      <c r="H2467" s="115"/>
      <c r="I2467" s="115"/>
      <c r="J2467" s="115"/>
      <c r="K2467" s="115"/>
      <c r="L2467" s="115"/>
      <c r="M2467" s="115"/>
      <c r="N2467" s="115"/>
      <c r="O2467" s="115"/>
    </row>
    <row r="2468">
      <c r="E2468" s="115"/>
      <c r="F2468" s="115"/>
      <c r="G2468" s="115"/>
      <c r="H2468" s="115"/>
      <c r="I2468" s="115"/>
      <c r="J2468" s="115"/>
      <c r="K2468" s="115"/>
      <c r="L2468" s="115"/>
      <c r="M2468" s="115"/>
      <c r="N2468" s="115"/>
      <c r="O2468" s="115"/>
    </row>
    <row r="2469">
      <c r="E2469" s="115"/>
      <c r="F2469" s="115"/>
      <c r="G2469" s="115"/>
      <c r="H2469" s="115"/>
      <c r="I2469" s="115"/>
      <c r="J2469" s="115"/>
      <c r="K2469" s="115"/>
      <c r="L2469" s="115"/>
      <c r="M2469" s="115"/>
      <c r="N2469" s="115"/>
      <c r="O2469" s="115"/>
    </row>
    <row r="2470">
      <c r="E2470" s="115"/>
      <c r="F2470" s="115"/>
      <c r="G2470" s="115"/>
      <c r="H2470" s="115"/>
      <c r="I2470" s="115"/>
      <c r="J2470" s="115"/>
      <c r="K2470" s="115"/>
      <c r="L2470" s="115"/>
      <c r="M2470" s="115"/>
      <c r="N2470" s="115"/>
      <c r="O2470" s="115"/>
    </row>
    <row r="2471">
      <c r="E2471" s="115"/>
      <c r="F2471" s="115"/>
      <c r="G2471" s="115"/>
      <c r="H2471" s="115"/>
      <c r="I2471" s="115"/>
      <c r="J2471" s="115"/>
      <c r="K2471" s="115"/>
      <c r="L2471" s="115"/>
      <c r="M2471" s="115"/>
      <c r="N2471" s="115"/>
      <c r="O2471" s="115"/>
    </row>
    <row r="2472">
      <c r="E2472" s="115"/>
      <c r="F2472" s="115"/>
      <c r="G2472" s="115"/>
      <c r="H2472" s="115"/>
      <c r="I2472" s="115"/>
      <c r="J2472" s="115"/>
      <c r="K2472" s="115"/>
      <c r="L2472" s="115"/>
      <c r="M2472" s="115"/>
      <c r="N2472" s="115"/>
      <c r="O2472" s="115"/>
    </row>
    <row r="2473">
      <c r="E2473" s="115"/>
      <c r="F2473" s="115"/>
      <c r="G2473" s="115"/>
      <c r="H2473" s="115"/>
      <c r="I2473" s="115"/>
      <c r="J2473" s="115"/>
      <c r="K2473" s="115"/>
      <c r="L2473" s="115"/>
      <c r="M2473" s="115"/>
      <c r="N2473" s="115"/>
      <c r="O2473" s="115"/>
    </row>
    <row r="2474">
      <c r="E2474" s="115"/>
      <c r="F2474" s="115"/>
      <c r="G2474" s="115"/>
      <c r="H2474" s="115"/>
      <c r="I2474" s="115"/>
      <c r="J2474" s="115"/>
      <c r="K2474" s="115"/>
      <c r="L2474" s="115"/>
      <c r="M2474" s="115"/>
      <c r="N2474" s="115"/>
      <c r="O2474" s="115"/>
    </row>
    <row r="2475">
      <c r="E2475" s="115"/>
      <c r="F2475" s="115"/>
      <c r="G2475" s="115"/>
      <c r="H2475" s="115"/>
      <c r="I2475" s="115"/>
      <c r="J2475" s="115"/>
      <c r="K2475" s="115"/>
      <c r="L2475" s="115"/>
      <c r="M2475" s="115"/>
      <c r="N2475" s="115"/>
      <c r="O2475" s="115"/>
    </row>
    <row r="2476">
      <c r="E2476" s="115"/>
      <c r="F2476" s="115"/>
      <c r="G2476" s="115"/>
      <c r="H2476" s="115"/>
      <c r="I2476" s="115"/>
      <c r="J2476" s="115"/>
      <c r="K2476" s="115"/>
      <c r="L2476" s="115"/>
      <c r="M2476" s="115"/>
      <c r="N2476" s="115"/>
      <c r="O2476" s="115"/>
    </row>
    <row r="2477">
      <c r="E2477" s="115"/>
      <c r="F2477" s="115"/>
      <c r="G2477" s="115"/>
      <c r="H2477" s="115"/>
      <c r="I2477" s="115"/>
      <c r="J2477" s="115"/>
      <c r="K2477" s="115"/>
      <c r="L2477" s="115"/>
      <c r="M2477" s="115"/>
      <c r="N2477" s="115"/>
      <c r="O2477" s="115"/>
    </row>
    <row r="2478">
      <c r="E2478" s="115"/>
      <c r="F2478" s="115"/>
      <c r="G2478" s="115"/>
      <c r="H2478" s="115"/>
      <c r="I2478" s="115"/>
      <c r="J2478" s="115"/>
      <c r="K2478" s="115"/>
      <c r="L2478" s="115"/>
      <c r="M2478" s="115"/>
      <c r="N2478" s="115"/>
      <c r="O2478" s="115"/>
    </row>
    <row r="2479">
      <c r="E2479" s="115"/>
      <c r="F2479" s="115"/>
      <c r="G2479" s="115"/>
      <c r="H2479" s="115"/>
      <c r="I2479" s="115"/>
      <c r="J2479" s="115"/>
      <c r="K2479" s="115"/>
      <c r="L2479" s="115"/>
      <c r="M2479" s="115"/>
      <c r="N2479" s="115"/>
      <c r="O2479" s="115"/>
    </row>
    <row r="2480">
      <c r="E2480" s="115"/>
      <c r="F2480" s="115"/>
      <c r="G2480" s="115"/>
      <c r="H2480" s="115"/>
      <c r="I2480" s="115"/>
      <c r="J2480" s="115"/>
      <c r="K2480" s="115"/>
      <c r="L2480" s="115"/>
      <c r="M2480" s="115"/>
      <c r="N2480" s="115"/>
      <c r="O2480" s="115"/>
    </row>
    <row r="2481">
      <c r="E2481" s="115"/>
      <c r="F2481" s="115"/>
      <c r="G2481" s="115"/>
      <c r="H2481" s="115"/>
      <c r="I2481" s="115"/>
      <c r="J2481" s="115"/>
      <c r="K2481" s="115"/>
      <c r="L2481" s="115"/>
      <c r="M2481" s="115"/>
      <c r="N2481" s="115"/>
      <c r="O2481" s="115"/>
    </row>
    <row r="2482">
      <c r="E2482" s="115"/>
      <c r="F2482" s="115"/>
      <c r="G2482" s="115"/>
      <c r="H2482" s="115"/>
      <c r="I2482" s="115"/>
      <c r="J2482" s="115"/>
      <c r="K2482" s="115"/>
      <c r="L2482" s="115"/>
      <c r="M2482" s="115"/>
      <c r="N2482" s="115"/>
      <c r="O2482" s="115"/>
    </row>
    <row r="2483">
      <c r="E2483" s="115"/>
      <c r="F2483" s="115"/>
      <c r="G2483" s="115"/>
      <c r="H2483" s="115"/>
      <c r="I2483" s="115"/>
      <c r="J2483" s="115"/>
      <c r="K2483" s="115"/>
      <c r="L2483" s="115"/>
      <c r="M2483" s="115"/>
      <c r="N2483" s="115"/>
      <c r="O2483" s="115"/>
    </row>
    <row r="2484">
      <c r="E2484" s="115"/>
      <c r="F2484" s="115"/>
      <c r="G2484" s="115"/>
      <c r="H2484" s="115"/>
      <c r="I2484" s="115"/>
      <c r="J2484" s="115"/>
      <c r="K2484" s="115"/>
      <c r="L2484" s="115"/>
      <c r="M2484" s="115"/>
      <c r="N2484" s="115"/>
      <c r="O2484" s="115"/>
    </row>
    <row r="2485">
      <c r="E2485" s="115"/>
      <c r="F2485" s="115"/>
      <c r="G2485" s="115"/>
      <c r="H2485" s="115"/>
      <c r="I2485" s="115"/>
      <c r="J2485" s="115"/>
      <c r="K2485" s="115"/>
      <c r="L2485" s="115"/>
      <c r="M2485" s="115"/>
      <c r="N2485" s="115"/>
      <c r="O2485" s="115"/>
    </row>
    <row r="2486">
      <c r="E2486" s="115"/>
      <c r="F2486" s="115"/>
      <c r="G2486" s="115"/>
      <c r="H2486" s="115"/>
      <c r="I2486" s="115"/>
      <c r="J2486" s="115"/>
      <c r="K2486" s="115"/>
      <c r="L2486" s="115"/>
      <c r="M2486" s="115"/>
      <c r="N2486" s="115"/>
      <c r="O2486" s="115"/>
    </row>
    <row r="2487">
      <c r="E2487" s="115"/>
      <c r="F2487" s="115"/>
      <c r="G2487" s="115"/>
      <c r="H2487" s="115"/>
      <c r="I2487" s="115"/>
      <c r="J2487" s="115"/>
      <c r="K2487" s="115"/>
      <c r="L2487" s="115"/>
      <c r="M2487" s="115"/>
      <c r="N2487" s="115"/>
      <c r="O2487" s="115"/>
    </row>
    <row r="2488">
      <c r="E2488" s="115"/>
      <c r="F2488" s="115"/>
      <c r="G2488" s="115"/>
      <c r="H2488" s="115"/>
      <c r="I2488" s="115"/>
      <c r="J2488" s="115"/>
      <c r="K2488" s="115"/>
      <c r="L2488" s="115"/>
      <c r="M2488" s="115"/>
      <c r="N2488" s="115"/>
      <c r="O2488" s="115"/>
    </row>
    <row r="2489">
      <c r="E2489" s="115"/>
      <c r="F2489" s="115"/>
      <c r="G2489" s="115"/>
      <c r="H2489" s="115"/>
      <c r="I2489" s="115"/>
      <c r="J2489" s="115"/>
      <c r="K2489" s="115"/>
      <c r="L2489" s="115"/>
      <c r="M2489" s="115"/>
      <c r="N2489" s="115"/>
      <c r="O2489" s="115"/>
    </row>
    <row r="2490">
      <c r="E2490" s="115"/>
      <c r="F2490" s="115"/>
      <c r="G2490" s="115"/>
      <c r="H2490" s="115"/>
      <c r="I2490" s="115"/>
      <c r="J2490" s="115"/>
      <c r="K2490" s="115"/>
      <c r="L2490" s="115"/>
      <c r="M2490" s="115"/>
      <c r="N2490" s="115"/>
      <c r="O2490" s="115"/>
    </row>
    <row r="2491">
      <c r="E2491" s="115"/>
      <c r="F2491" s="115"/>
      <c r="G2491" s="115"/>
      <c r="H2491" s="115"/>
      <c r="I2491" s="115"/>
      <c r="J2491" s="115"/>
      <c r="K2491" s="115"/>
      <c r="L2491" s="115"/>
      <c r="M2491" s="115"/>
      <c r="N2491" s="115"/>
      <c r="O2491" s="115"/>
    </row>
    <row r="2492">
      <c r="E2492" s="115"/>
      <c r="F2492" s="115"/>
      <c r="G2492" s="115"/>
      <c r="H2492" s="115"/>
      <c r="I2492" s="115"/>
      <c r="J2492" s="115"/>
      <c r="K2492" s="115"/>
      <c r="L2492" s="115"/>
      <c r="M2492" s="115"/>
      <c r="N2492" s="115"/>
      <c r="O2492" s="115"/>
    </row>
    <row r="2493">
      <c r="E2493" s="115"/>
      <c r="F2493" s="115"/>
      <c r="G2493" s="115"/>
      <c r="H2493" s="115"/>
      <c r="I2493" s="115"/>
      <c r="J2493" s="115"/>
      <c r="K2493" s="115"/>
      <c r="L2493" s="115"/>
      <c r="M2493" s="115"/>
      <c r="N2493" s="115"/>
      <c r="O2493" s="115"/>
    </row>
    <row r="2494">
      <c r="E2494" s="115"/>
      <c r="F2494" s="115"/>
      <c r="G2494" s="115"/>
      <c r="H2494" s="115"/>
      <c r="I2494" s="115"/>
      <c r="J2494" s="115"/>
      <c r="K2494" s="115"/>
      <c r="L2494" s="115"/>
      <c r="M2494" s="115"/>
      <c r="N2494" s="115"/>
      <c r="O2494" s="115"/>
    </row>
    <row r="2495">
      <c r="E2495" s="115"/>
      <c r="F2495" s="115"/>
      <c r="G2495" s="115"/>
      <c r="H2495" s="115"/>
      <c r="I2495" s="115"/>
      <c r="J2495" s="115"/>
      <c r="K2495" s="115"/>
      <c r="L2495" s="115"/>
      <c r="M2495" s="115"/>
      <c r="N2495" s="115"/>
      <c r="O2495" s="115"/>
    </row>
    <row r="2496">
      <c r="E2496" s="115"/>
      <c r="F2496" s="115"/>
      <c r="G2496" s="115"/>
      <c r="H2496" s="115"/>
      <c r="I2496" s="115"/>
      <c r="J2496" s="115"/>
      <c r="K2496" s="115"/>
      <c r="L2496" s="115"/>
      <c r="M2496" s="115"/>
      <c r="N2496" s="115"/>
      <c r="O2496" s="115"/>
    </row>
    <row r="2497">
      <c r="E2497" s="115"/>
      <c r="F2497" s="115"/>
      <c r="G2497" s="115"/>
      <c r="H2497" s="115"/>
      <c r="I2497" s="115"/>
      <c r="J2497" s="115"/>
      <c r="K2497" s="115"/>
      <c r="L2497" s="115"/>
      <c r="M2497" s="115"/>
      <c r="N2497" s="115"/>
      <c r="O2497" s="115"/>
    </row>
    <row r="2498">
      <c r="E2498" s="115"/>
      <c r="F2498" s="115"/>
      <c r="G2498" s="115"/>
      <c r="H2498" s="115"/>
      <c r="I2498" s="115"/>
      <c r="J2498" s="115"/>
      <c r="K2498" s="115"/>
      <c r="L2498" s="115"/>
      <c r="M2498" s="115"/>
      <c r="N2498" s="115"/>
      <c r="O2498" s="115"/>
    </row>
    <row r="2499">
      <c r="E2499" s="115"/>
      <c r="F2499" s="115"/>
      <c r="G2499" s="115"/>
      <c r="H2499" s="115"/>
      <c r="I2499" s="115"/>
      <c r="J2499" s="115"/>
      <c r="K2499" s="115"/>
      <c r="L2499" s="115"/>
      <c r="M2499" s="115"/>
      <c r="N2499" s="115"/>
      <c r="O2499" s="115"/>
    </row>
    <row r="2500">
      <c r="E2500" s="115"/>
      <c r="F2500" s="115"/>
      <c r="G2500" s="115"/>
      <c r="H2500" s="115"/>
      <c r="I2500" s="115"/>
      <c r="J2500" s="115"/>
      <c r="K2500" s="115"/>
      <c r="L2500" s="115"/>
      <c r="M2500" s="115"/>
      <c r="N2500" s="115"/>
      <c r="O2500" s="115"/>
    </row>
    <row r="2501">
      <c r="E2501" s="115"/>
      <c r="F2501" s="115"/>
      <c r="G2501" s="115"/>
      <c r="H2501" s="115"/>
      <c r="I2501" s="115"/>
      <c r="J2501" s="115"/>
      <c r="K2501" s="115"/>
      <c r="L2501" s="115"/>
      <c r="M2501" s="115"/>
      <c r="N2501" s="115"/>
      <c r="O2501" s="115"/>
    </row>
    <row r="2502">
      <c r="E2502" s="115"/>
      <c r="F2502" s="115"/>
      <c r="G2502" s="115"/>
      <c r="H2502" s="115"/>
      <c r="I2502" s="115"/>
      <c r="J2502" s="115"/>
      <c r="K2502" s="115"/>
      <c r="L2502" s="115"/>
      <c r="M2502" s="115"/>
      <c r="N2502" s="115"/>
      <c r="O2502" s="115"/>
    </row>
    <row r="2503">
      <c r="E2503" s="115"/>
      <c r="F2503" s="115"/>
      <c r="G2503" s="115"/>
      <c r="H2503" s="115"/>
      <c r="I2503" s="115"/>
      <c r="J2503" s="115"/>
      <c r="K2503" s="115"/>
      <c r="L2503" s="115"/>
      <c r="M2503" s="115"/>
      <c r="N2503" s="115"/>
      <c r="O2503" s="115"/>
    </row>
    <row r="2504">
      <c r="E2504" s="115"/>
      <c r="F2504" s="115"/>
      <c r="G2504" s="115"/>
      <c r="H2504" s="115"/>
      <c r="I2504" s="115"/>
      <c r="J2504" s="115"/>
      <c r="K2504" s="115"/>
      <c r="L2504" s="115"/>
      <c r="M2504" s="115"/>
      <c r="N2504" s="115"/>
      <c r="O2504" s="115"/>
    </row>
    <row r="2505">
      <c r="E2505" s="115"/>
      <c r="F2505" s="115"/>
      <c r="G2505" s="115"/>
      <c r="H2505" s="115"/>
      <c r="I2505" s="115"/>
      <c r="J2505" s="115"/>
      <c r="K2505" s="115"/>
      <c r="L2505" s="115"/>
      <c r="M2505" s="115"/>
      <c r="N2505" s="115"/>
      <c r="O2505" s="115"/>
    </row>
    <row r="2506">
      <c r="E2506" s="115"/>
      <c r="F2506" s="115"/>
      <c r="G2506" s="115"/>
      <c r="H2506" s="115"/>
      <c r="I2506" s="115"/>
      <c r="J2506" s="115"/>
      <c r="K2506" s="115"/>
      <c r="L2506" s="115"/>
      <c r="M2506" s="115"/>
      <c r="N2506" s="115"/>
      <c r="O2506" s="115"/>
    </row>
    <row r="2507">
      <c r="E2507" s="115"/>
      <c r="F2507" s="115"/>
      <c r="G2507" s="115"/>
      <c r="H2507" s="115"/>
      <c r="I2507" s="115"/>
      <c r="J2507" s="115"/>
      <c r="K2507" s="115"/>
      <c r="L2507" s="115"/>
      <c r="M2507" s="115"/>
      <c r="N2507" s="115"/>
      <c r="O2507" s="115"/>
    </row>
    <row r="2508">
      <c r="E2508" s="115"/>
      <c r="F2508" s="115"/>
      <c r="G2508" s="115"/>
      <c r="H2508" s="115"/>
      <c r="I2508" s="115"/>
      <c r="J2508" s="115"/>
      <c r="K2508" s="115"/>
      <c r="L2508" s="115"/>
      <c r="M2508" s="115"/>
      <c r="N2508" s="115"/>
      <c r="O2508" s="115"/>
    </row>
    <row r="2509">
      <c r="E2509" s="115"/>
      <c r="F2509" s="115"/>
      <c r="G2509" s="115"/>
      <c r="H2509" s="115"/>
      <c r="I2509" s="115"/>
      <c r="J2509" s="115"/>
      <c r="K2509" s="115"/>
      <c r="L2509" s="115"/>
      <c r="M2509" s="115"/>
      <c r="N2509" s="115"/>
      <c r="O2509" s="115"/>
    </row>
    <row r="2510">
      <c r="E2510" s="115"/>
      <c r="F2510" s="115"/>
      <c r="G2510" s="115"/>
      <c r="H2510" s="115"/>
      <c r="I2510" s="115"/>
      <c r="J2510" s="115"/>
      <c r="K2510" s="115"/>
      <c r="L2510" s="115"/>
      <c r="M2510" s="115"/>
      <c r="N2510" s="115"/>
      <c r="O2510" s="115"/>
    </row>
    <row r="2511">
      <c r="E2511" s="115"/>
      <c r="F2511" s="115"/>
      <c r="G2511" s="115"/>
      <c r="H2511" s="115"/>
      <c r="I2511" s="115"/>
      <c r="J2511" s="115"/>
      <c r="K2511" s="115"/>
      <c r="L2511" s="115"/>
      <c r="M2511" s="115"/>
      <c r="N2511" s="115"/>
      <c r="O2511" s="115"/>
    </row>
    <row r="2512">
      <c r="E2512" s="115"/>
      <c r="F2512" s="115"/>
      <c r="G2512" s="115"/>
      <c r="H2512" s="115"/>
      <c r="I2512" s="115"/>
      <c r="J2512" s="115"/>
      <c r="K2512" s="115"/>
      <c r="L2512" s="115"/>
      <c r="M2512" s="115"/>
      <c r="N2512" s="115"/>
      <c r="O2512" s="115"/>
    </row>
    <row r="2513">
      <c r="E2513" s="115"/>
      <c r="F2513" s="115"/>
      <c r="G2513" s="115"/>
      <c r="H2513" s="115"/>
      <c r="I2513" s="115"/>
      <c r="J2513" s="115"/>
      <c r="K2513" s="115"/>
      <c r="L2513" s="115"/>
      <c r="M2513" s="115"/>
      <c r="N2513" s="115"/>
      <c r="O2513" s="115"/>
    </row>
    <row r="2514">
      <c r="E2514" s="115"/>
      <c r="F2514" s="115"/>
      <c r="G2514" s="115"/>
      <c r="H2514" s="115"/>
      <c r="I2514" s="115"/>
      <c r="J2514" s="115"/>
      <c r="K2514" s="115"/>
      <c r="L2514" s="115"/>
      <c r="M2514" s="115"/>
      <c r="N2514" s="115"/>
      <c r="O2514" s="115"/>
    </row>
    <row r="2515">
      <c r="E2515" s="115"/>
      <c r="F2515" s="115"/>
      <c r="G2515" s="115"/>
      <c r="H2515" s="115"/>
      <c r="I2515" s="115"/>
      <c r="J2515" s="115"/>
      <c r="K2515" s="115"/>
      <c r="L2515" s="115"/>
      <c r="M2515" s="115"/>
      <c r="N2515" s="115"/>
      <c r="O2515" s="115"/>
    </row>
    <row r="2516">
      <c r="E2516" s="115"/>
      <c r="F2516" s="115"/>
      <c r="G2516" s="115"/>
      <c r="H2516" s="115"/>
      <c r="I2516" s="115"/>
      <c r="J2516" s="115"/>
      <c r="K2516" s="115"/>
      <c r="L2516" s="115"/>
      <c r="M2516" s="115"/>
      <c r="N2516" s="115"/>
      <c r="O2516" s="115"/>
    </row>
    <row r="2517">
      <c r="E2517" s="115"/>
      <c r="F2517" s="115"/>
      <c r="G2517" s="115"/>
      <c r="H2517" s="115"/>
      <c r="I2517" s="115"/>
      <c r="J2517" s="115"/>
      <c r="K2517" s="115"/>
      <c r="L2517" s="115"/>
      <c r="M2517" s="115"/>
      <c r="N2517" s="115"/>
      <c r="O2517" s="115"/>
    </row>
    <row r="2518">
      <c r="E2518" s="115"/>
      <c r="F2518" s="115"/>
      <c r="G2518" s="115"/>
      <c r="H2518" s="115"/>
      <c r="I2518" s="115"/>
      <c r="J2518" s="115"/>
      <c r="K2518" s="115"/>
      <c r="L2518" s="115"/>
      <c r="M2518" s="115"/>
      <c r="N2518" s="115"/>
      <c r="O2518" s="115"/>
    </row>
    <row r="2519">
      <c r="E2519" s="115"/>
      <c r="F2519" s="115"/>
      <c r="G2519" s="115"/>
      <c r="H2519" s="115"/>
      <c r="I2519" s="115"/>
      <c r="J2519" s="115"/>
      <c r="K2519" s="115"/>
      <c r="L2519" s="115"/>
      <c r="M2519" s="115"/>
      <c r="N2519" s="115"/>
      <c r="O2519" s="115"/>
    </row>
    <row r="2520">
      <c r="E2520" s="115"/>
      <c r="F2520" s="115"/>
      <c r="G2520" s="115"/>
      <c r="H2520" s="115"/>
      <c r="I2520" s="115"/>
      <c r="J2520" s="115"/>
      <c r="K2520" s="115"/>
      <c r="L2520" s="115"/>
      <c r="M2520" s="115"/>
      <c r="N2520" s="115"/>
      <c r="O2520" s="115"/>
    </row>
    <row r="2521">
      <c r="E2521" s="115"/>
      <c r="F2521" s="115"/>
      <c r="G2521" s="115"/>
      <c r="H2521" s="115"/>
      <c r="I2521" s="115"/>
      <c r="J2521" s="115"/>
      <c r="K2521" s="115"/>
      <c r="L2521" s="115"/>
      <c r="M2521" s="115"/>
      <c r="N2521" s="115"/>
      <c r="O2521" s="115"/>
    </row>
    <row r="2522">
      <c r="E2522" s="115"/>
      <c r="F2522" s="115"/>
      <c r="G2522" s="115"/>
      <c r="H2522" s="115"/>
      <c r="I2522" s="115"/>
      <c r="J2522" s="115"/>
      <c r="K2522" s="115"/>
      <c r="L2522" s="115"/>
      <c r="M2522" s="115"/>
      <c r="N2522" s="115"/>
      <c r="O2522" s="115"/>
    </row>
    <row r="2523">
      <c r="E2523" s="115"/>
      <c r="F2523" s="115"/>
      <c r="G2523" s="115"/>
      <c r="H2523" s="115"/>
      <c r="I2523" s="115"/>
      <c r="J2523" s="115"/>
      <c r="K2523" s="115"/>
      <c r="L2523" s="115"/>
      <c r="M2523" s="115"/>
      <c r="N2523" s="115"/>
      <c r="O2523" s="115"/>
    </row>
    <row r="2524">
      <c r="E2524" s="115"/>
      <c r="F2524" s="115"/>
      <c r="G2524" s="115"/>
      <c r="H2524" s="115"/>
      <c r="I2524" s="115"/>
      <c r="J2524" s="115"/>
      <c r="K2524" s="115"/>
      <c r="L2524" s="115"/>
      <c r="M2524" s="115"/>
      <c r="N2524" s="115"/>
      <c r="O2524" s="115"/>
    </row>
    <row r="2525">
      <c r="E2525" s="115"/>
      <c r="F2525" s="115"/>
      <c r="G2525" s="115"/>
      <c r="H2525" s="115"/>
      <c r="I2525" s="115"/>
      <c r="J2525" s="115"/>
      <c r="K2525" s="115"/>
      <c r="L2525" s="115"/>
      <c r="M2525" s="115"/>
      <c r="N2525" s="115"/>
      <c r="O2525" s="115"/>
    </row>
    <row r="2526">
      <c r="E2526" s="115"/>
      <c r="F2526" s="115"/>
      <c r="G2526" s="115"/>
      <c r="H2526" s="115"/>
      <c r="I2526" s="115"/>
      <c r="J2526" s="115"/>
      <c r="K2526" s="115"/>
      <c r="L2526" s="115"/>
      <c r="M2526" s="115"/>
      <c r="N2526" s="115"/>
      <c r="O2526" s="115"/>
    </row>
    <row r="2527">
      <c r="E2527" s="115"/>
      <c r="F2527" s="115"/>
      <c r="G2527" s="115"/>
      <c r="H2527" s="115"/>
      <c r="I2527" s="115"/>
      <c r="J2527" s="115"/>
      <c r="K2527" s="115"/>
      <c r="L2527" s="115"/>
      <c r="M2527" s="115"/>
      <c r="N2527" s="115"/>
      <c r="O2527" s="115"/>
    </row>
    <row r="2528">
      <c r="E2528" s="115"/>
      <c r="F2528" s="115"/>
      <c r="G2528" s="115"/>
      <c r="H2528" s="115"/>
      <c r="I2528" s="115"/>
      <c r="J2528" s="115"/>
      <c r="K2528" s="115"/>
      <c r="L2528" s="115"/>
      <c r="M2528" s="115"/>
      <c r="N2528" s="115"/>
      <c r="O2528" s="115"/>
    </row>
    <row r="2529">
      <c r="E2529" s="115"/>
      <c r="F2529" s="115"/>
      <c r="G2529" s="115"/>
      <c r="H2529" s="115"/>
      <c r="I2529" s="115"/>
      <c r="J2529" s="115"/>
      <c r="K2529" s="115"/>
      <c r="L2529" s="115"/>
      <c r="M2529" s="115"/>
      <c r="N2529" s="115"/>
      <c r="O2529" s="115"/>
    </row>
    <row r="2530">
      <c r="E2530" s="115"/>
      <c r="F2530" s="115"/>
      <c r="G2530" s="115"/>
      <c r="H2530" s="115"/>
      <c r="I2530" s="115"/>
      <c r="J2530" s="115"/>
      <c r="K2530" s="115"/>
      <c r="L2530" s="115"/>
      <c r="M2530" s="115"/>
      <c r="N2530" s="115"/>
      <c r="O2530" s="115"/>
    </row>
    <row r="2531">
      <c r="E2531" s="115"/>
      <c r="F2531" s="115"/>
      <c r="G2531" s="115"/>
      <c r="H2531" s="115"/>
      <c r="I2531" s="115"/>
      <c r="J2531" s="115"/>
      <c r="K2531" s="115"/>
      <c r="L2531" s="115"/>
      <c r="M2531" s="115"/>
      <c r="N2531" s="115"/>
      <c r="O2531" s="115"/>
    </row>
    <row r="2532">
      <c r="E2532" s="115"/>
      <c r="F2532" s="115"/>
      <c r="G2532" s="115"/>
      <c r="H2532" s="115"/>
      <c r="I2532" s="115"/>
      <c r="J2532" s="115"/>
      <c r="K2532" s="115"/>
      <c r="L2532" s="115"/>
      <c r="M2532" s="115"/>
      <c r="N2532" s="115"/>
      <c r="O2532" s="115"/>
    </row>
    <row r="2533">
      <c r="E2533" s="115"/>
      <c r="F2533" s="115"/>
      <c r="G2533" s="115"/>
      <c r="H2533" s="115"/>
      <c r="I2533" s="115"/>
      <c r="J2533" s="115"/>
      <c r="K2533" s="115"/>
      <c r="L2533" s="115"/>
      <c r="M2533" s="115"/>
      <c r="N2533" s="115"/>
      <c r="O2533" s="115"/>
    </row>
    <row r="2534">
      <c r="E2534" s="115"/>
      <c r="F2534" s="115"/>
      <c r="G2534" s="115"/>
      <c r="H2534" s="115"/>
      <c r="I2534" s="115"/>
      <c r="J2534" s="115"/>
      <c r="K2534" s="115"/>
      <c r="L2534" s="115"/>
      <c r="M2534" s="115"/>
      <c r="N2534" s="115"/>
      <c r="O2534" s="115"/>
    </row>
    <row r="2535">
      <c r="E2535" s="115"/>
      <c r="F2535" s="115"/>
      <c r="G2535" s="115"/>
      <c r="H2535" s="115"/>
      <c r="I2535" s="115"/>
      <c r="J2535" s="115"/>
      <c r="K2535" s="115"/>
      <c r="L2535" s="115"/>
      <c r="M2535" s="115"/>
      <c r="N2535" s="115"/>
      <c r="O2535" s="115"/>
    </row>
    <row r="2536">
      <c r="E2536" s="115"/>
      <c r="F2536" s="115"/>
      <c r="G2536" s="115"/>
      <c r="H2536" s="115"/>
      <c r="I2536" s="115"/>
      <c r="J2536" s="115"/>
      <c r="K2536" s="115"/>
      <c r="L2536" s="115"/>
      <c r="M2536" s="115"/>
      <c r="N2536" s="115"/>
      <c r="O2536" s="115"/>
    </row>
    <row r="2537">
      <c r="E2537" s="115"/>
      <c r="F2537" s="115"/>
      <c r="G2537" s="115"/>
      <c r="H2537" s="115"/>
      <c r="I2537" s="115"/>
      <c r="J2537" s="115"/>
      <c r="K2537" s="115"/>
      <c r="L2537" s="115"/>
      <c r="M2537" s="115"/>
      <c r="N2537" s="115"/>
      <c r="O2537" s="115"/>
    </row>
    <row r="2538">
      <c r="E2538" s="115"/>
      <c r="F2538" s="115"/>
      <c r="G2538" s="115"/>
      <c r="H2538" s="115"/>
      <c r="I2538" s="115"/>
      <c r="J2538" s="115"/>
      <c r="K2538" s="115"/>
      <c r="L2538" s="115"/>
      <c r="M2538" s="115"/>
      <c r="N2538" s="115"/>
      <c r="O2538" s="115"/>
    </row>
    <row r="2539">
      <c r="E2539" s="115"/>
      <c r="F2539" s="115"/>
      <c r="G2539" s="115"/>
      <c r="H2539" s="115"/>
      <c r="I2539" s="115"/>
      <c r="J2539" s="115"/>
      <c r="K2539" s="115"/>
      <c r="L2539" s="115"/>
      <c r="M2539" s="115"/>
      <c r="N2539" s="115"/>
      <c r="O2539" s="115"/>
    </row>
    <row r="2540">
      <c r="E2540" s="115"/>
      <c r="F2540" s="115"/>
      <c r="G2540" s="115"/>
      <c r="H2540" s="115"/>
      <c r="I2540" s="115"/>
      <c r="J2540" s="115"/>
      <c r="K2540" s="115"/>
      <c r="L2540" s="115"/>
      <c r="M2540" s="115"/>
      <c r="N2540" s="115"/>
      <c r="O2540" s="115"/>
    </row>
    <row r="2541">
      <c r="E2541" s="115"/>
      <c r="F2541" s="115"/>
      <c r="G2541" s="115"/>
      <c r="H2541" s="115"/>
      <c r="I2541" s="115"/>
      <c r="J2541" s="115"/>
      <c r="K2541" s="115"/>
      <c r="L2541" s="115"/>
      <c r="M2541" s="115"/>
      <c r="N2541" s="115"/>
      <c r="O2541" s="115"/>
    </row>
    <row r="2542">
      <c r="E2542" s="115"/>
      <c r="F2542" s="115"/>
      <c r="G2542" s="115"/>
      <c r="H2542" s="115"/>
      <c r="I2542" s="115"/>
      <c r="J2542" s="115"/>
      <c r="K2542" s="115"/>
      <c r="L2542" s="115"/>
      <c r="M2542" s="115"/>
      <c r="N2542" s="115"/>
      <c r="O2542" s="115"/>
    </row>
    <row r="2543">
      <c r="E2543" s="115"/>
      <c r="F2543" s="115"/>
      <c r="G2543" s="115"/>
      <c r="H2543" s="115"/>
      <c r="I2543" s="115"/>
      <c r="J2543" s="115"/>
      <c r="K2543" s="115"/>
      <c r="L2543" s="115"/>
      <c r="M2543" s="115"/>
      <c r="N2543" s="115"/>
      <c r="O2543" s="115"/>
    </row>
    <row r="2544">
      <c r="E2544" s="115"/>
      <c r="F2544" s="115"/>
      <c r="G2544" s="115"/>
      <c r="H2544" s="115"/>
      <c r="I2544" s="115"/>
      <c r="J2544" s="115"/>
      <c r="K2544" s="115"/>
      <c r="L2544" s="115"/>
      <c r="M2544" s="115"/>
      <c r="N2544" s="115"/>
      <c r="O2544" s="115"/>
    </row>
    <row r="2545">
      <c r="E2545" s="115"/>
      <c r="F2545" s="115"/>
      <c r="G2545" s="115"/>
      <c r="H2545" s="115"/>
      <c r="I2545" s="115"/>
      <c r="J2545" s="115"/>
      <c r="K2545" s="115"/>
      <c r="L2545" s="115"/>
      <c r="M2545" s="115"/>
      <c r="N2545" s="115"/>
      <c r="O2545" s="115"/>
    </row>
    <row r="2546">
      <c r="E2546" s="115"/>
      <c r="F2546" s="115"/>
      <c r="G2546" s="115"/>
      <c r="H2546" s="115"/>
      <c r="I2546" s="115"/>
      <c r="J2546" s="115"/>
      <c r="K2546" s="115"/>
      <c r="L2546" s="115"/>
      <c r="M2546" s="115"/>
      <c r="N2546" s="115"/>
      <c r="O2546" s="115"/>
    </row>
    <row r="2547">
      <c r="E2547" s="115"/>
      <c r="F2547" s="115"/>
      <c r="G2547" s="115"/>
      <c r="H2547" s="115"/>
      <c r="I2547" s="115"/>
      <c r="J2547" s="115"/>
      <c r="K2547" s="115"/>
      <c r="L2547" s="115"/>
      <c r="M2547" s="115"/>
      <c r="N2547" s="115"/>
      <c r="O2547" s="115"/>
    </row>
    <row r="2548">
      <c r="E2548" s="115"/>
      <c r="F2548" s="115"/>
      <c r="G2548" s="115"/>
      <c r="H2548" s="115"/>
      <c r="I2548" s="115"/>
      <c r="J2548" s="115"/>
      <c r="K2548" s="115"/>
      <c r="L2548" s="115"/>
      <c r="M2548" s="115"/>
      <c r="N2548" s="115"/>
      <c r="O2548" s="115"/>
    </row>
    <row r="2549">
      <c r="E2549" s="115"/>
      <c r="F2549" s="115"/>
      <c r="G2549" s="115"/>
      <c r="H2549" s="115"/>
      <c r="I2549" s="115"/>
      <c r="J2549" s="115"/>
      <c r="K2549" s="115"/>
      <c r="L2549" s="115"/>
      <c r="M2549" s="115"/>
      <c r="N2549" s="115"/>
      <c r="O2549" s="115"/>
    </row>
    <row r="2550">
      <c r="E2550" s="115"/>
      <c r="F2550" s="115"/>
      <c r="G2550" s="115"/>
      <c r="H2550" s="115"/>
      <c r="I2550" s="115"/>
      <c r="J2550" s="115"/>
      <c r="K2550" s="115"/>
      <c r="L2550" s="115"/>
      <c r="M2550" s="115"/>
      <c r="N2550" s="115"/>
      <c r="O2550" s="115"/>
    </row>
    <row r="2551">
      <c r="E2551" s="115"/>
      <c r="F2551" s="115"/>
      <c r="G2551" s="115"/>
      <c r="H2551" s="115"/>
      <c r="I2551" s="115"/>
      <c r="J2551" s="115"/>
      <c r="K2551" s="115"/>
      <c r="L2551" s="115"/>
      <c r="M2551" s="115"/>
      <c r="N2551" s="115"/>
      <c r="O2551" s="115"/>
    </row>
    <row r="2552">
      <c r="E2552" s="115"/>
      <c r="F2552" s="115"/>
      <c r="G2552" s="115"/>
      <c r="H2552" s="115"/>
      <c r="I2552" s="115"/>
      <c r="J2552" s="115"/>
      <c r="K2552" s="115"/>
      <c r="L2552" s="115"/>
      <c r="M2552" s="115"/>
      <c r="N2552" s="115"/>
      <c r="O2552" s="115"/>
    </row>
    <row r="2553">
      <c r="E2553" s="115"/>
      <c r="F2553" s="115"/>
      <c r="G2553" s="115"/>
      <c r="H2553" s="115"/>
      <c r="I2553" s="115"/>
      <c r="J2553" s="115"/>
      <c r="K2553" s="115"/>
      <c r="L2553" s="115"/>
      <c r="M2553" s="115"/>
      <c r="N2553" s="115"/>
      <c r="O2553" s="115"/>
    </row>
    <row r="2554">
      <c r="E2554" s="115"/>
      <c r="F2554" s="115"/>
      <c r="G2554" s="115"/>
      <c r="H2554" s="115"/>
      <c r="I2554" s="115"/>
      <c r="J2554" s="115"/>
      <c r="K2554" s="115"/>
      <c r="L2554" s="115"/>
      <c r="M2554" s="115"/>
      <c r="N2554" s="115"/>
      <c r="O2554" s="115"/>
    </row>
    <row r="2555">
      <c r="E2555" s="115"/>
      <c r="F2555" s="115"/>
      <c r="G2555" s="115"/>
      <c r="H2555" s="115"/>
      <c r="I2555" s="115"/>
      <c r="J2555" s="115"/>
      <c r="K2555" s="115"/>
      <c r="L2555" s="115"/>
      <c r="M2555" s="115"/>
      <c r="N2555" s="115"/>
      <c r="O2555" s="115"/>
    </row>
    <row r="2556">
      <c r="E2556" s="115"/>
      <c r="F2556" s="115"/>
      <c r="G2556" s="115"/>
      <c r="H2556" s="115"/>
      <c r="I2556" s="115"/>
      <c r="J2556" s="115"/>
      <c r="K2556" s="115"/>
      <c r="L2556" s="115"/>
      <c r="M2556" s="115"/>
      <c r="N2556" s="115"/>
      <c r="O2556" s="115"/>
    </row>
    <row r="2557">
      <c r="E2557" s="115"/>
      <c r="F2557" s="115"/>
      <c r="G2557" s="115"/>
      <c r="H2557" s="115"/>
      <c r="I2557" s="115"/>
      <c r="J2557" s="115"/>
      <c r="K2557" s="115"/>
      <c r="L2557" s="115"/>
      <c r="M2557" s="115"/>
      <c r="N2557" s="115"/>
      <c r="O2557" s="115"/>
    </row>
    <row r="2558">
      <c r="E2558" s="115"/>
      <c r="F2558" s="115"/>
      <c r="G2558" s="115"/>
      <c r="H2558" s="115"/>
      <c r="I2558" s="115"/>
      <c r="J2558" s="115"/>
      <c r="K2558" s="115"/>
      <c r="L2558" s="115"/>
      <c r="M2558" s="115"/>
      <c r="N2558" s="115"/>
      <c r="O2558" s="115"/>
    </row>
    <row r="2559">
      <c r="E2559" s="115"/>
      <c r="F2559" s="115"/>
      <c r="G2559" s="115"/>
      <c r="H2559" s="115"/>
      <c r="I2559" s="115"/>
      <c r="J2559" s="115"/>
      <c r="K2559" s="115"/>
      <c r="L2559" s="115"/>
      <c r="M2559" s="115"/>
      <c r="N2559" s="115"/>
      <c r="O2559" s="115"/>
    </row>
    <row r="2560">
      <c r="E2560" s="115"/>
      <c r="F2560" s="115"/>
      <c r="G2560" s="115"/>
      <c r="H2560" s="115"/>
      <c r="I2560" s="115"/>
      <c r="J2560" s="115"/>
      <c r="K2560" s="115"/>
      <c r="L2560" s="115"/>
      <c r="M2560" s="115"/>
      <c r="N2560" s="115"/>
      <c r="O2560" s="115"/>
    </row>
    <row r="2561">
      <c r="E2561" s="115"/>
      <c r="F2561" s="115"/>
      <c r="G2561" s="115"/>
      <c r="H2561" s="115"/>
      <c r="I2561" s="115"/>
      <c r="J2561" s="115"/>
      <c r="K2561" s="115"/>
      <c r="L2561" s="115"/>
      <c r="M2561" s="115"/>
      <c r="N2561" s="115"/>
      <c r="O2561" s="115"/>
    </row>
    <row r="2562">
      <c r="E2562" s="115"/>
      <c r="F2562" s="115"/>
      <c r="G2562" s="115"/>
      <c r="H2562" s="115"/>
      <c r="I2562" s="115"/>
      <c r="J2562" s="115"/>
      <c r="K2562" s="115"/>
      <c r="L2562" s="115"/>
      <c r="M2562" s="115"/>
      <c r="N2562" s="115"/>
      <c r="O2562" s="115"/>
    </row>
    <row r="2563">
      <c r="E2563" s="115"/>
      <c r="F2563" s="115"/>
      <c r="G2563" s="115"/>
      <c r="H2563" s="115"/>
      <c r="I2563" s="115"/>
      <c r="J2563" s="115"/>
      <c r="K2563" s="115"/>
      <c r="L2563" s="115"/>
      <c r="M2563" s="115"/>
      <c r="N2563" s="115"/>
      <c r="O2563" s="115"/>
    </row>
    <row r="2564">
      <c r="E2564" s="115"/>
      <c r="F2564" s="115"/>
      <c r="G2564" s="115"/>
      <c r="H2564" s="115"/>
      <c r="I2564" s="115"/>
      <c r="J2564" s="115"/>
      <c r="K2564" s="115"/>
      <c r="L2564" s="115"/>
      <c r="M2564" s="115"/>
      <c r="N2564" s="115"/>
      <c r="O2564" s="115"/>
    </row>
    <row r="2565">
      <c r="E2565" s="115"/>
      <c r="F2565" s="115"/>
      <c r="G2565" s="115"/>
      <c r="H2565" s="115"/>
      <c r="I2565" s="115"/>
      <c r="J2565" s="115"/>
      <c r="K2565" s="115"/>
      <c r="L2565" s="115"/>
      <c r="M2565" s="115"/>
      <c r="N2565" s="115"/>
      <c r="O2565" s="115"/>
    </row>
    <row r="2566">
      <c r="E2566" s="115"/>
      <c r="F2566" s="115"/>
      <c r="G2566" s="115"/>
      <c r="H2566" s="115"/>
      <c r="I2566" s="115"/>
      <c r="J2566" s="115"/>
      <c r="K2566" s="115"/>
      <c r="L2566" s="115"/>
      <c r="M2566" s="115"/>
      <c r="N2566" s="115"/>
      <c r="O2566" s="115"/>
    </row>
    <row r="2567">
      <c r="E2567" s="115"/>
      <c r="F2567" s="115"/>
      <c r="G2567" s="115"/>
      <c r="H2567" s="115"/>
      <c r="I2567" s="115"/>
      <c r="J2567" s="115"/>
      <c r="K2567" s="115"/>
      <c r="L2567" s="115"/>
      <c r="M2567" s="115"/>
      <c r="N2567" s="115"/>
      <c r="O2567" s="115"/>
    </row>
    <row r="2568">
      <c r="E2568" s="115"/>
      <c r="F2568" s="115"/>
      <c r="G2568" s="115"/>
      <c r="H2568" s="115"/>
      <c r="I2568" s="115"/>
      <c r="J2568" s="115"/>
      <c r="K2568" s="115"/>
      <c r="L2568" s="115"/>
      <c r="M2568" s="115"/>
      <c r="N2568" s="115"/>
      <c r="O2568" s="115"/>
    </row>
    <row r="2569">
      <c r="E2569" s="115"/>
      <c r="F2569" s="115"/>
      <c r="G2569" s="115"/>
      <c r="H2569" s="115"/>
      <c r="I2569" s="115"/>
      <c r="J2569" s="115"/>
      <c r="K2569" s="115"/>
      <c r="L2569" s="115"/>
      <c r="M2569" s="115"/>
      <c r="N2569" s="115"/>
      <c r="O2569" s="115"/>
    </row>
    <row r="2570">
      <c r="E2570" s="115"/>
      <c r="F2570" s="115"/>
      <c r="G2570" s="115"/>
      <c r="H2570" s="115"/>
      <c r="I2570" s="115"/>
      <c r="J2570" s="115"/>
      <c r="K2570" s="115"/>
      <c r="L2570" s="115"/>
      <c r="M2570" s="115"/>
      <c r="N2570" s="115"/>
      <c r="O2570" s="115"/>
    </row>
    <row r="2571">
      <c r="E2571" s="115"/>
      <c r="F2571" s="115"/>
      <c r="G2571" s="115"/>
      <c r="H2571" s="115"/>
      <c r="I2571" s="115"/>
      <c r="J2571" s="115"/>
      <c r="K2571" s="115"/>
      <c r="L2571" s="115"/>
      <c r="M2571" s="115"/>
      <c r="N2571" s="115"/>
      <c r="O2571" s="115"/>
    </row>
    <row r="2572">
      <c r="E2572" s="115"/>
      <c r="F2572" s="115"/>
      <c r="G2572" s="115"/>
      <c r="H2572" s="115"/>
      <c r="I2572" s="115"/>
      <c r="J2572" s="115"/>
      <c r="K2572" s="115"/>
      <c r="L2572" s="115"/>
      <c r="M2572" s="115"/>
      <c r="N2572" s="115"/>
      <c r="O2572" s="115"/>
    </row>
    <row r="2573">
      <c r="E2573" s="115"/>
      <c r="F2573" s="115"/>
      <c r="G2573" s="115"/>
      <c r="H2573" s="115"/>
      <c r="I2573" s="115"/>
      <c r="J2573" s="115"/>
      <c r="K2573" s="115"/>
      <c r="L2573" s="115"/>
      <c r="M2573" s="115"/>
      <c r="N2573" s="115"/>
      <c r="O2573" s="115"/>
    </row>
    <row r="2574">
      <c r="E2574" s="115"/>
      <c r="F2574" s="115"/>
      <c r="G2574" s="115"/>
      <c r="H2574" s="115"/>
      <c r="I2574" s="115"/>
      <c r="J2574" s="115"/>
      <c r="K2574" s="115"/>
      <c r="L2574" s="115"/>
      <c r="M2574" s="115"/>
      <c r="N2574" s="115"/>
      <c r="O2574" s="115"/>
    </row>
    <row r="2575">
      <c r="E2575" s="115"/>
      <c r="F2575" s="115"/>
      <c r="G2575" s="115"/>
      <c r="H2575" s="115"/>
      <c r="I2575" s="115"/>
      <c r="J2575" s="115"/>
      <c r="K2575" s="115"/>
      <c r="L2575" s="115"/>
      <c r="M2575" s="115"/>
      <c r="N2575" s="115"/>
      <c r="O2575" s="115"/>
    </row>
    <row r="2576">
      <c r="E2576" s="115"/>
      <c r="F2576" s="115"/>
      <c r="G2576" s="115"/>
      <c r="H2576" s="115"/>
      <c r="I2576" s="115"/>
      <c r="J2576" s="115"/>
      <c r="K2576" s="115"/>
      <c r="L2576" s="115"/>
      <c r="M2576" s="115"/>
      <c r="N2576" s="115"/>
      <c r="O2576" s="115"/>
    </row>
    <row r="2577">
      <c r="E2577" s="115"/>
      <c r="F2577" s="115"/>
      <c r="G2577" s="115"/>
      <c r="H2577" s="115"/>
      <c r="I2577" s="115"/>
      <c r="J2577" s="115"/>
      <c r="K2577" s="115"/>
      <c r="L2577" s="115"/>
      <c r="M2577" s="115"/>
      <c r="N2577" s="115"/>
      <c r="O2577" s="115"/>
    </row>
    <row r="2578">
      <c r="E2578" s="115"/>
      <c r="F2578" s="115"/>
      <c r="G2578" s="115"/>
      <c r="H2578" s="115"/>
      <c r="I2578" s="115"/>
      <c r="J2578" s="115"/>
      <c r="K2578" s="115"/>
      <c r="L2578" s="115"/>
      <c r="M2578" s="115"/>
      <c r="N2578" s="115"/>
      <c r="O2578" s="115"/>
    </row>
    <row r="2579">
      <c r="E2579" s="115"/>
      <c r="F2579" s="115"/>
      <c r="G2579" s="115"/>
      <c r="H2579" s="115"/>
      <c r="I2579" s="115"/>
      <c r="J2579" s="115"/>
      <c r="K2579" s="115"/>
      <c r="L2579" s="115"/>
      <c r="M2579" s="115"/>
      <c r="N2579" s="115"/>
      <c r="O2579" s="115"/>
    </row>
    <row r="2580">
      <c r="E2580" s="115"/>
      <c r="F2580" s="115"/>
      <c r="G2580" s="115"/>
      <c r="H2580" s="115"/>
      <c r="I2580" s="115"/>
      <c r="J2580" s="115"/>
      <c r="K2580" s="115"/>
      <c r="L2580" s="115"/>
      <c r="M2580" s="115"/>
      <c r="N2580" s="115"/>
      <c r="O2580" s="115"/>
    </row>
    <row r="2581">
      <c r="E2581" s="115"/>
      <c r="F2581" s="115"/>
      <c r="G2581" s="115"/>
      <c r="H2581" s="115"/>
      <c r="I2581" s="115"/>
      <c r="J2581" s="115"/>
      <c r="K2581" s="115"/>
      <c r="L2581" s="115"/>
      <c r="M2581" s="115"/>
      <c r="N2581" s="115"/>
      <c r="O2581" s="115"/>
    </row>
    <row r="2582">
      <c r="E2582" s="115"/>
      <c r="F2582" s="115"/>
      <c r="G2582" s="115"/>
      <c r="H2582" s="115"/>
      <c r="I2582" s="115"/>
      <c r="J2582" s="115"/>
      <c r="K2582" s="115"/>
      <c r="L2582" s="115"/>
      <c r="M2582" s="115"/>
      <c r="N2582" s="115"/>
      <c r="O2582" s="115"/>
    </row>
    <row r="2583">
      <c r="E2583" s="115"/>
      <c r="F2583" s="115"/>
      <c r="G2583" s="115"/>
      <c r="H2583" s="115"/>
      <c r="I2583" s="115"/>
      <c r="J2583" s="115"/>
      <c r="K2583" s="115"/>
      <c r="L2583" s="115"/>
      <c r="M2583" s="115"/>
      <c r="N2583" s="115"/>
      <c r="O2583" s="115"/>
    </row>
    <row r="2584">
      <c r="E2584" s="115"/>
      <c r="F2584" s="115"/>
      <c r="G2584" s="115"/>
      <c r="H2584" s="115"/>
      <c r="I2584" s="115"/>
      <c r="J2584" s="115"/>
      <c r="K2584" s="115"/>
      <c r="L2584" s="115"/>
      <c r="M2584" s="115"/>
      <c r="N2584" s="115"/>
      <c r="O2584" s="115"/>
    </row>
    <row r="2585">
      <c r="E2585" s="115"/>
      <c r="F2585" s="115"/>
      <c r="G2585" s="115"/>
      <c r="H2585" s="115"/>
      <c r="I2585" s="115"/>
      <c r="J2585" s="115"/>
      <c r="K2585" s="115"/>
      <c r="L2585" s="115"/>
      <c r="M2585" s="115"/>
      <c r="N2585" s="115"/>
      <c r="O2585" s="115"/>
    </row>
    <row r="2586">
      <c r="E2586" s="115"/>
      <c r="F2586" s="115"/>
      <c r="G2586" s="115"/>
      <c r="H2586" s="115"/>
      <c r="I2586" s="115"/>
      <c r="J2586" s="115"/>
      <c r="K2586" s="115"/>
      <c r="L2586" s="115"/>
      <c r="M2586" s="115"/>
      <c r="N2586" s="115"/>
      <c r="O2586" s="115"/>
    </row>
    <row r="2587">
      <c r="E2587" s="115"/>
      <c r="F2587" s="115"/>
      <c r="G2587" s="115"/>
      <c r="H2587" s="115"/>
      <c r="I2587" s="115"/>
      <c r="J2587" s="115"/>
      <c r="K2587" s="115"/>
      <c r="L2587" s="115"/>
      <c r="M2587" s="115"/>
      <c r="N2587" s="115"/>
      <c r="O2587" s="115"/>
    </row>
    <row r="2588">
      <c r="E2588" s="115"/>
      <c r="F2588" s="115"/>
      <c r="G2588" s="115"/>
      <c r="H2588" s="115"/>
      <c r="I2588" s="115"/>
      <c r="J2588" s="115"/>
      <c r="K2588" s="115"/>
      <c r="L2588" s="115"/>
      <c r="M2588" s="115"/>
      <c r="N2588" s="115"/>
      <c r="O2588" s="115"/>
    </row>
    <row r="2589">
      <c r="E2589" s="115"/>
      <c r="F2589" s="115"/>
      <c r="G2589" s="115"/>
      <c r="H2589" s="115"/>
      <c r="I2589" s="115"/>
      <c r="J2589" s="115"/>
      <c r="K2589" s="115"/>
      <c r="L2589" s="115"/>
      <c r="M2589" s="115"/>
      <c r="N2589" s="115"/>
      <c r="O2589" s="115"/>
    </row>
    <row r="2590">
      <c r="E2590" s="115"/>
      <c r="F2590" s="115"/>
      <c r="G2590" s="115"/>
      <c r="H2590" s="115"/>
      <c r="I2590" s="115"/>
      <c r="J2590" s="115"/>
      <c r="K2590" s="115"/>
      <c r="L2590" s="115"/>
      <c r="M2590" s="115"/>
      <c r="N2590" s="115"/>
      <c r="O2590" s="115"/>
    </row>
    <row r="2591">
      <c r="E2591" s="115"/>
      <c r="F2591" s="115"/>
      <c r="G2591" s="115"/>
      <c r="H2591" s="115"/>
      <c r="I2591" s="115"/>
      <c r="J2591" s="115"/>
      <c r="K2591" s="115"/>
      <c r="L2591" s="115"/>
      <c r="M2591" s="115"/>
      <c r="N2591" s="115"/>
      <c r="O2591" s="115"/>
    </row>
    <row r="2592">
      <c r="E2592" s="115"/>
      <c r="F2592" s="115"/>
      <c r="G2592" s="115"/>
      <c r="H2592" s="115"/>
      <c r="I2592" s="115"/>
      <c r="J2592" s="115"/>
      <c r="K2592" s="115"/>
      <c r="L2592" s="115"/>
      <c r="M2592" s="115"/>
      <c r="N2592" s="115"/>
      <c r="O2592" s="115"/>
    </row>
    <row r="2593">
      <c r="E2593" s="115"/>
      <c r="F2593" s="115"/>
      <c r="G2593" s="115"/>
      <c r="H2593" s="115"/>
      <c r="I2593" s="115"/>
      <c r="J2593" s="115"/>
      <c r="K2593" s="115"/>
      <c r="L2593" s="115"/>
      <c r="M2593" s="115"/>
      <c r="N2593" s="115"/>
      <c r="O2593" s="115"/>
    </row>
    <row r="2594">
      <c r="E2594" s="115"/>
      <c r="F2594" s="115"/>
      <c r="G2594" s="115"/>
      <c r="H2594" s="115"/>
      <c r="I2594" s="115"/>
      <c r="J2594" s="115"/>
      <c r="K2594" s="115"/>
      <c r="L2594" s="115"/>
      <c r="M2594" s="115"/>
      <c r="N2594" s="115"/>
      <c r="O2594" s="115"/>
    </row>
    <row r="2595">
      <c r="E2595" s="115"/>
      <c r="F2595" s="115"/>
      <c r="G2595" s="115"/>
      <c r="H2595" s="115"/>
      <c r="I2595" s="115"/>
      <c r="J2595" s="115"/>
      <c r="K2595" s="115"/>
      <c r="L2595" s="115"/>
      <c r="M2595" s="115"/>
      <c r="N2595" s="115"/>
      <c r="O2595" s="115"/>
    </row>
    <row r="2596">
      <c r="E2596" s="115"/>
      <c r="F2596" s="115"/>
      <c r="G2596" s="115"/>
      <c r="H2596" s="115"/>
      <c r="I2596" s="115"/>
      <c r="J2596" s="115"/>
      <c r="K2596" s="115"/>
      <c r="L2596" s="115"/>
      <c r="M2596" s="115"/>
      <c r="N2596" s="115"/>
      <c r="O2596" s="115"/>
    </row>
    <row r="2597">
      <c r="E2597" s="115"/>
      <c r="F2597" s="115"/>
      <c r="G2597" s="115"/>
      <c r="H2597" s="115"/>
      <c r="I2597" s="115"/>
      <c r="J2597" s="115"/>
      <c r="K2597" s="115"/>
      <c r="L2597" s="115"/>
      <c r="M2597" s="115"/>
      <c r="N2597" s="115"/>
      <c r="O2597" s="115"/>
    </row>
    <row r="2598">
      <c r="E2598" s="115"/>
      <c r="F2598" s="115"/>
      <c r="G2598" s="115"/>
      <c r="H2598" s="115"/>
      <c r="I2598" s="115"/>
      <c r="J2598" s="115"/>
      <c r="K2598" s="115"/>
      <c r="L2598" s="115"/>
      <c r="M2598" s="115"/>
      <c r="N2598" s="115"/>
      <c r="O2598" s="115"/>
    </row>
    <row r="2599">
      <c r="E2599" s="115"/>
      <c r="F2599" s="115"/>
      <c r="G2599" s="115"/>
      <c r="H2599" s="115"/>
      <c r="I2599" s="115"/>
      <c r="J2599" s="115"/>
      <c r="K2599" s="115"/>
      <c r="L2599" s="115"/>
      <c r="M2599" s="115"/>
      <c r="N2599" s="115"/>
      <c r="O2599" s="115"/>
    </row>
    <row r="2600">
      <c r="E2600" s="115"/>
      <c r="F2600" s="115"/>
      <c r="G2600" s="115"/>
      <c r="H2600" s="115"/>
      <c r="I2600" s="115"/>
      <c r="J2600" s="115"/>
      <c r="K2600" s="115"/>
      <c r="L2600" s="115"/>
      <c r="M2600" s="115"/>
      <c r="N2600" s="115"/>
      <c r="O2600" s="115"/>
    </row>
    <row r="2601">
      <c r="E2601" s="115"/>
      <c r="F2601" s="115"/>
      <c r="G2601" s="115"/>
      <c r="H2601" s="115"/>
      <c r="I2601" s="115"/>
      <c r="J2601" s="115"/>
      <c r="K2601" s="115"/>
      <c r="L2601" s="115"/>
      <c r="M2601" s="115"/>
      <c r="N2601" s="115"/>
      <c r="O2601" s="115"/>
    </row>
    <row r="2602">
      <c r="E2602" s="115"/>
      <c r="F2602" s="115"/>
      <c r="G2602" s="115"/>
      <c r="H2602" s="115"/>
      <c r="I2602" s="115"/>
      <c r="J2602" s="115"/>
      <c r="K2602" s="115"/>
      <c r="L2602" s="115"/>
      <c r="M2602" s="115"/>
      <c r="N2602" s="115"/>
      <c r="O2602" s="115"/>
    </row>
    <row r="2603">
      <c r="E2603" s="115"/>
      <c r="F2603" s="115"/>
      <c r="G2603" s="115"/>
      <c r="H2603" s="115"/>
      <c r="I2603" s="115"/>
      <c r="J2603" s="115"/>
      <c r="K2603" s="115"/>
      <c r="L2603" s="115"/>
      <c r="M2603" s="115"/>
      <c r="N2603" s="115"/>
      <c r="O2603" s="115"/>
    </row>
    <row r="2604">
      <c r="E2604" s="115"/>
      <c r="F2604" s="115"/>
      <c r="G2604" s="115"/>
      <c r="H2604" s="115"/>
      <c r="I2604" s="115"/>
      <c r="J2604" s="115"/>
      <c r="K2604" s="115"/>
      <c r="L2604" s="115"/>
      <c r="M2604" s="115"/>
      <c r="N2604" s="115"/>
      <c r="O2604" s="115"/>
    </row>
    <row r="2605">
      <c r="E2605" s="115"/>
      <c r="F2605" s="115"/>
      <c r="G2605" s="115"/>
      <c r="H2605" s="115"/>
      <c r="I2605" s="115"/>
      <c r="J2605" s="115"/>
      <c r="K2605" s="115"/>
      <c r="L2605" s="115"/>
      <c r="M2605" s="115"/>
      <c r="N2605" s="115"/>
      <c r="O2605" s="115"/>
    </row>
    <row r="2606">
      <c r="E2606" s="115"/>
      <c r="F2606" s="115"/>
      <c r="G2606" s="115"/>
      <c r="H2606" s="115"/>
      <c r="I2606" s="115"/>
      <c r="J2606" s="115"/>
      <c r="K2606" s="115"/>
      <c r="L2606" s="115"/>
      <c r="M2606" s="115"/>
      <c r="N2606" s="115"/>
      <c r="O2606" s="115"/>
    </row>
    <row r="2607">
      <c r="E2607" s="115"/>
      <c r="F2607" s="115"/>
      <c r="G2607" s="115"/>
      <c r="H2607" s="115"/>
      <c r="I2607" s="115"/>
      <c r="J2607" s="115"/>
      <c r="K2607" s="115"/>
      <c r="L2607" s="115"/>
      <c r="M2607" s="115"/>
      <c r="N2607" s="115"/>
      <c r="O2607" s="115"/>
    </row>
    <row r="2608">
      <c r="E2608" s="115"/>
      <c r="F2608" s="115"/>
      <c r="G2608" s="115"/>
      <c r="H2608" s="115"/>
      <c r="I2608" s="115"/>
      <c r="J2608" s="115"/>
      <c r="K2608" s="115"/>
      <c r="L2608" s="115"/>
      <c r="M2608" s="115"/>
      <c r="N2608" s="115"/>
      <c r="O2608" s="115"/>
    </row>
    <row r="2609">
      <c r="E2609" s="115"/>
      <c r="F2609" s="115"/>
      <c r="G2609" s="115"/>
      <c r="H2609" s="115"/>
      <c r="I2609" s="115"/>
      <c r="J2609" s="115"/>
      <c r="K2609" s="115"/>
      <c r="L2609" s="115"/>
      <c r="M2609" s="115"/>
      <c r="N2609" s="115"/>
      <c r="O2609" s="115"/>
    </row>
    <row r="2610">
      <c r="E2610" s="115"/>
      <c r="F2610" s="115"/>
      <c r="G2610" s="115"/>
      <c r="H2610" s="115"/>
      <c r="I2610" s="115"/>
      <c r="J2610" s="115"/>
      <c r="K2610" s="115"/>
      <c r="L2610" s="115"/>
      <c r="M2610" s="115"/>
      <c r="N2610" s="115"/>
      <c r="O2610" s="115"/>
    </row>
    <row r="2611">
      <c r="E2611" s="115"/>
      <c r="F2611" s="115"/>
      <c r="G2611" s="115"/>
      <c r="H2611" s="115"/>
      <c r="I2611" s="115"/>
      <c r="J2611" s="115"/>
      <c r="K2611" s="115"/>
      <c r="L2611" s="115"/>
      <c r="M2611" s="115"/>
      <c r="N2611" s="115"/>
      <c r="O2611" s="115"/>
    </row>
    <row r="2612">
      <c r="E2612" s="115"/>
      <c r="F2612" s="115"/>
      <c r="G2612" s="115"/>
      <c r="H2612" s="115"/>
      <c r="I2612" s="115"/>
      <c r="J2612" s="115"/>
      <c r="K2612" s="115"/>
      <c r="L2612" s="115"/>
      <c r="M2612" s="115"/>
      <c r="N2612" s="115"/>
      <c r="O2612" s="115"/>
    </row>
    <row r="2613">
      <c r="E2613" s="115"/>
      <c r="F2613" s="115"/>
      <c r="G2613" s="115"/>
      <c r="H2613" s="115"/>
      <c r="I2613" s="115"/>
      <c r="J2613" s="115"/>
      <c r="K2613" s="115"/>
      <c r="L2613" s="115"/>
      <c r="M2613" s="115"/>
      <c r="N2613" s="115"/>
      <c r="O2613" s="115"/>
    </row>
    <row r="2614">
      <c r="E2614" s="115"/>
      <c r="F2614" s="115"/>
      <c r="G2614" s="115"/>
      <c r="H2614" s="115"/>
      <c r="I2614" s="115"/>
      <c r="J2614" s="115"/>
      <c r="K2614" s="115"/>
      <c r="L2614" s="115"/>
      <c r="M2614" s="115"/>
      <c r="N2614" s="115"/>
      <c r="O2614" s="115"/>
    </row>
    <row r="2615">
      <c r="E2615" s="115"/>
      <c r="F2615" s="115"/>
      <c r="G2615" s="115"/>
      <c r="H2615" s="115"/>
      <c r="I2615" s="115"/>
      <c r="J2615" s="115"/>
      <c r="K2615" s="115"/>
      <c r="L2615" s="115"/>
      <c r="M2615" s="115"/>
      <c r="N2615" s="115"/>
      <c r="O2615" s="115"/>
    </row>
    <row r="2616">
      <c r="E2616" s="115"/>
      <c r="F2616" s="115"/>
      <c r="G2616" s="115"/>
      <c r="H2616" s="115"/>
      <c r="I2616" s="115"/>
      <c r="J2616" s="115"/>
      <c r="K2616" s="115"/>
      <c r="L2616" s="115"/>
      <c r="M2616" s="115"/>
      <c r="N2616" s="115"/>
      <c r="O2616" s="115"/>
    </row>
    <row r="2617">
      <c r="E2617" s="115"/>
      <c r="F2617" s="115"/>
      <c r="G2617" s="115"/>
      <c r="H2617" s="115"/>
      <c r="I2617" s="115"/>
      <c r="J2617" s="115"/>
      <c r="K2617" s="115"/>
      <c r="L2617" s="115"/>
      <c r="M2617" s="115"/>
      <c r="N2617" s="115"/>
      <c r="O2617" s="115"/>
    </row>
    <row r="2618">
      <c r="E2618" s="115"/>
      <c r="F2618" s="115"/>
      <c r="G2618" s="115"/>
      <c r="H2618" s="115"/>
      <c r="I2618" s="115"/>
      <c r="J2618" s="115"/>
      <c r="K2618" s="115"/>
      <c r="L2618" s="115"/>
      <c r="M2618" s="115"/>
      <c r="N2618" s="115"/>
      <c r="O2618" s="115"/>
    </row>
    <row r="2619">
      <c r="E2619" s="115"/>
      <c r="F2619" s="115"/>
      <c r="G2619" s="115"/>
      <c r="H2619" s="115"/>
      <c r="I2619" s="115"/>
      <c r="J2619" s="115"/>
      <c r="K2619" s="115"/>
      <c r="L2619" s="115"/>
      <c r="M2619" s="115"/>
      <c r="N2619" s="115"/>
      <c r="O2619" s="115"/>
    </row>
    <row r="2620">
      <c r="E2620" s="115"/>
      <c r="F2620" s="115"/>
      <c r="G2620" s="115"/>
      <c r="H2620" s="115"/>
      <c r="I2620" s="115"/>
      <c r="J2620" s="115"/>
      <c r="K2620" s="115"/>
      <c r="L2620" s="115"/>
      <c r="M2620" s="115"/>
      <c r="N2620" s="115"/>
      <c r="O2620" s="115"/>
    </row>
    <row r="2621">
      <c r="E2621" s="115"/>
      <c r="F2621" s="115"/>
      <c r="G2621" s="115"/>
      <c r="H2621" s="115"/>
      <c r="I2621" s="115"/>
      <c r="J2621" s="115"/>
      <c r="K2621" s="115"/>
      <c r="L2621" s="115"/>
      <c r="M2621" s="115"/>
      <c r="N2621" s="115"/>
      <c r="O2621" s="115"/>
    </row>
    <row r="2622">
      <c r="E2622" s="115"/>
      <c r="F2622" s="115"/>
      <c r="G2622" s="115"/>
      <c r="H2622" s="115"/>
      <c r="I2622" s="115"/>
      <c r="J2622" s="115"/>
      <c r="K2622" s="115"/>
      <c r="L2622" s="115"/>
      <c r="M2622" s="115"/>
      <c r="N2622" s="115"/>
      <c r="O2622" s="115"/>
    </row>
    <row r="2623">
      <c r="E2623" s="115"/>
      <c r="F2623" s="115"/>
      <c r="G2623" s="115"/>
      <c r="H2623" s="115"/>
      <c r="I2623" s="115"/>
      <c r="J2623" s="115"/>
      <c r="K2623" s="115"/>
      <c r="L2623" s="115"/>
      <c r="M2623" s="115"/>
      <c r="N2623" s="115"/>
      <c r="O2623" s="115"/>
    </row>
    <row r="2624">
      <c r="E2624" s="115"/>
      <c r="F2624" s="115"/>
      <c r="G2624" s="115"/>
      <c r="H2624" s="115"/>
      <c r="I2624" s="115"/>
      <c r="J2624" s="115"/>
      <c r="K2624" s="115"/>
      <c r="L2624" s="115"/>
      <c r="M2624" s="115"/>
      <c r="N2624" s="115"/>
      <c r="O2624" s="115"/>
    </row>
    <row r="2625">
      <c r="E2625" s="115"/>
      <c r="F2625" s="115"/>
      <c r="G2625" s="115"/>
      <c r="H2625" s="115"/>
      <c r="I2625" s="115"/>
      <c r="J2625" s="115"/>
      <c r="K2625" s="115"/>
      <c r="L2625" s="115"/>
      <c r="M2625" s="115"/>
      <c r="N2625" s="115"/>
      <c r="O2625" s="115"/>
    </row>
    <row r="2626">
      <c r="E2626" s="115"/>
      <c r="F2626" s="115"/>
      <c r="G2626" s="115"/>
      <c r="H2626" s="115"/>
      <c r="I2626" s="115"/>
      <c r="J2626" s="115"/>
      <c r="K2626" s="115"/>
      <c r="L2626" s="115"/>
      <c r="M2626" s="115"/>
      <c r="N2626" s="115"/>
      <c r="O2626" s="115"/>
    </row>
    <row r="2627">
      <c r="E2627" s="115"/>
      <c r="F2627" s="115"/>
      <c r="G2627" s="115"/>
      <c r="H2627" s="115"/>
      <c r="I2627" s="115"/>
      <c r="J2627" s="115"/>
      <c r="K2627" s="115"/>
      <c r="L2627" s="115"/>
      <c r="M2627" s="115"/>
      <c r="N2627" s="115"/>
      <c r="O2627" s="115"/>
    </row>
    <row r="2628">
      <c r="E2628" s="115"/>
      <c r="F2628" s="115"/>
      <c r="G2628" s="115"/>
      <c r="H2628" s="115"/>
      <c r="I2628" s="115"/>
      <c r="J2628" s="115"/>
      <c r="K2628" s="115"/>
      <c r="L2628" s="115"/>
      <c r="M2628" s="115"/>
      <c r="N2628" s="115"/>
      <c r="O2628" s="115"/>
    </row>
    <row r="2629">
      <c r="E2629" s="115"/>
      <c r="F2629" s="115"/>
      <c r="G2629" s="115"/>
      <c r="H2629" s="115"/>
      <c r="I2629" s="115"/>
      <c r="J2629" s="115"/>
      <c r="K2629" s="115"/>
      <c r="L2629" s="115"/>
      <c r="M2629" s="115"/>
      <c r="N2629" s="115"/>
      <c r="O2629" s="115"/>
    </row>
    <row r="2630">
      <c r="E2630" s="115"/>
      <c r="F2630" s="115"/>
      <c r="G2630" s="115"/>
      <c r="H2630" s="115"/>
      <c r="I2630" s="115"/>
      <c r="J2630" s="115"/>
      <c r="K2630" s="115"/>
      <c r="L2630" s="115"/>
      <c r="M2630" s="115"/>
      <c r="N2630" s="115"/>
      <c r="O2630" s="115"/>
    </row>
    <row r="2631">
      <c r="E2631" s="115"/>
      <c r="F2631" s="115"/>
      <c r="G2631" s="115"/>
      <c r="H2631" s="115"/>
      <c r="I2631" s="115"/>
      <c r="J2631" s="115"/>
      <c r="K2631" s="115"/>
      <c r="L2631" s="115"/>
      <c r="M2631" s="115"/>
      <c r="N2631" s="115"/>
      <c r="O2631" s="115"/>
    </row>
    <row r="2632">
      <c r="E2632" s="115"/>
      <c r="F2632" s="115"/>
      <c r="G2632" s="115"/>
      <c r="H2632" s="115"/>
      <c r="I2632" s="115"/>
      <c r="J2632" s="115"/>
      <c r="K2632" s="115"/>
      <c r="L2632" s="115"/>
      <c r="M2632" s="115"/>
      <c r="N2632" s="115"/>
      <c r="O2632" s="115"/>
    </row>
    <row r="2633">
      <c r="E2633" s="115"/>
      <c r="F2633" s="115"/>
      <c r="G2633" s="115"/>
      <c r="H2633" s="115"/>
      <c r="I2633" s="115"/>
      <c r="J2633" s="115"/>
      <c r="K2633" s="115"/>
      <c r="L2633" s="115"/>
      <c r="M2633" s="115"/>
      <c r="N2633" s="115"/>
      <c r="O2633" s="115"/>
    </row>
    <row r="2634">
      <c r="E2634" s="115"/>
      <c r="F2634" s="115"/>
      <c r="G2634" s="115"/>
      <c r="H2634" s="115"/>
      <c r="I2634" s="115"/>
      <c r="J2634" s="115"/>
      <c r="K2634" s="115"/>
      <c r="L2634" s="115"/>
      <c r="M2634" s="115"/>
      <c r="N2634" s="115"/>
      <c r="O2634" s="115"/>
    </row>
    <row r="2635">
      <c r="E2635" s="115"/>
      <c r="F2635" s="115"/>
      <c r="G2635" s="115"/>
      <c r="H2635" s="115"/>
      <c r="I2635" s="115"/>
      <c r="J2635" s="115"/>
      <c r="K2635" s="115"/>
      <c r="L2635" s="115"/>
      <c r="M2635" s="115"/>
      <c r="N2635" s="115"/>
      <c r="O2635" s="115"/>
    </row>
    <row r="2636">
      <c r="E2636" s="115"/>
      <c r="F2636" s="115"/>
      <c r="G2636" s="115"/>
      <c r="H2636" s="115"/>
      <c r="I2636" s="115"/>
      <c r="J2636" s="115"/>
      <c r="K2636" s="115"/>
      <c r="L2636" s="115"/>
      <c r="M2636" s="115"/>
      <c r="N2636" s="115"/>
      <c r="O2636" s="115"/>
    </row>
    <row r="2637">
      <c r="E2637" s="115"/>
      <c r="F2637" s="115"/>
      <c r="G2637" s="115"/>
      <c r="H2637" s="115"/>
      <c r="I2637" s="115"/>
      <c r="J2637" s="115"/>
      <c r="K2637" s="115"/>
      <c r="L2637" s="115"/>
      <c r="M2637" s="115"/>
      <c r="N2637" s="115"/>
      <c r="O2637" s="115"/>
    </row>
    <row r="2638">
      <c r="E2638" s="115"/>
      <c r="F2638" s="115"/>
      <c r="G2638" s="115"/>
      <c r="H2638" s="115"/>
      <c r="I2638" s="115"/>
      <c r="J2638" s="115"/>
      <c r="K2638" s="115"/>
      <c r="L2638" s="115"/>
      <c r="M2638" s="115"/>
      <c r="N2638" s="115"/>
      <c r="O2638" s="115"/>
    </row>
    <row r="2639">
      <c r="E2639" s="115"/>
      <c r="F2639" s="115"/>
      <c r="G2639" s="115"/>
      <c r="H2639" s="115"/>
      <c r="I2639" s="115"/>
      <c r="J2639" s="115"/>
      <c r="K2639" s="115"/>
      <c r="L2639" s="115"/>
      <c r="M2639" s="115"/>
      <c r="N2639" s="115"/>
      <c r="O2639" s="115"/>
    </row>
    <row r="2640">
      <c r="E2640" s="115"/>
      <c r="F2640" s="115"/>
      <c r="G2640" s="115"/>
      <c r="H2640" s="115"/>
      <c r="I2640" s="115"/>
      <c r="J2640" s="115"/>
      <c r="K2640" s="115"/>
      <c r="L2640" s="115"/>
      <c r="M2640" s="115"/>
      <c r="N2640" s="115"/>
      <c r="O2640" s="115"/>
    </row>
    <row r="2641">
      <c r="E2641" s="115"/>
      <c r="F2641" s="115"/>
      <c r="G2641" s="115"/>
      <c r="H2641" s="115"/>
      <c r="I2641" s="115"/>
      <c r="J2641" s="115"/>
      <c r="K2641" s="115"/>
      <c r="L2641" s="115"/>
      <c r="M2641" s="115"/>
      <c r="N2641" s="115"/>
      <c r="O2641" s="115"/>
    </row>
    <row r="2642">
      <c r="E2642" s="115"/>
      <c r="F2642" s="115"/>
      <c r="G2642" s="115"/>
      <c r="H2642" s="115"/>
      <c r="I2642" s="115"/>
      <c r="J2642" s="115"/>
      <c r="K2642" s="115"/>
      <c r="L2642" s="115"/>
      <c r="M2642" s="115"/>
      <c r="N2642" s="115"/>
      <c r="O2642" s="115"/>
    </row>
    <row r="2643">
      <c r="E2643" s="115"/>
      <c r="F2643" s="115"/>
      <c r="G2643" s="115"/>
      <c r="H2643" s="115"/>
      <c r="I2643" s="115"/>
      <c r="J2643" s="115"/>
      <c r="K2643" s="115"/>
      <c r="L2643" s="115"/>
      <c r="M2643" s="115"/>
      <c r="N2643" s="115"/>
      <c r="O2643" s="115"/>
    </row>
    <row r="2644">
      <c r="E2644" s="115"/>
      <c r="F2644" s="115"/>
      <c r="G2644" s="115"/>
      <c r="H2644" s="115"/>
      <c r="I2644" s="115"/>
      <c r="J2644" s="115"/>
      <c r="K2644" s="115"/>
      <c r="L2644" s="115"/>
      <c r="M2644" s="115"/>
      <c r="N2644" s="115"/>
      <c r="O2644" s="115"/>
    </row>
    <row r="2645">
      <c r="E2645" s="115"/>
      <c r="F2645" s="115"/>
      <c r="G2645" s="115"/>
      <c r="H2645" s="115"/>
      <c r="I2645" s="115"/>
      <c r="J2645" s="115"/>
      <c r="K2645" s="115"/>
      <c r="L2645" s="115"/>
      <c r="M2645" s="115"/>
      <c r="N2645" s="115"/>
      <c r="O2645" s="115"/>
    </row>
    <row r="2646">
      <c r="E2646" s="115"/>
      <c r="F2646" s="115"/>
      <c r="G2646" s="115"/>
      <c r="H2646" s="115"/>
      <c r="I2646" s="115"/>
      <c r="J2646" s="115"/>
      <c r="K2646" s="115"/>
      <c r="L2646" s="115"/>
      <c r="M2646" s="115"/>
      <c r="N2646" s="115"/>
      <c r="O2646" s="115"/>
    </row>
    <row r="2647">
      <c r="E2647" s="115"/>
      <c r="F2647" s="115"/>
      <c r="G2647" s="115"/>
      <c r="H2647" s="115"/>
      <c r="I2647" s="115"/>
      <c r="J2647" s="115"/>
      <c r="K2647" s="115"/>
      <c r="L2647" s="115"/>
      <c r="M2647" s="115"/>
      <c r="N2647" s="115"/>
      <c r="O2647" s="115"/>
    </row>
    <row r="2648">
      <c r="E2648" s="115"/>
      <c r="F2648" s="115"/>
      <c r="G2648" s="115"/>
      <c r="H2648" s="115"/>
      <c r="I2648" s="115"/>
      <c r="J2648" s="115"/>
      <c r="K2648" s="115"/>
      <c r="L2648" s="115"/>
      <c r="M2648" s="115"/>
      <c r="N2648" s="115"/>
      <c r="O2648" s="115"/>
    </row>
    <row r="2649">
      <c r="E2649" s="115"/>
      <c r="F2649" s="115"/>
      <c r="G2649" s="115"/>
      <c r="H2649" s="115"/>
      <c r="I2649" s="115"/>
      <c r="J2649" s="115"/>
      <c r="K2649" s="115"/>
      <c r="L2649" s="115"/>
      <c r="M2649" s="115"/>
      <c r="N2649" s="115"/>
      <c r="O2649" s="115"/>
    </row>
    <row r="2650">
      <c r="E2650" s="115"/>
      <c r="F2650" s="115"/>
      <c r="G2650" s="115"/>
      <c r="H2650" s="115"/>
      <c r="I2650" s="115"/>
      <c r="J2650" s="115"/>
      <c r="K2650" s="115"/>
      <c r="L2650" s="115"/>
      <c r="M2650" s="115"/>
      <c r="N2650" s="115"/>
      <c r="O2650" s="115"/>
    </row>
    <row r="2651">
      <c r="E2651" s="115"/>
      <c r="F2651" s="115"/>
      <c r="G2651" s="115"/>
      <c r="H2651" s="115"/>
      <c r="I2651" s="115"/>
      <c r="J2651" s="115"/>
      <c r="K2651" s="115"/>
      <c r="L2651" s="115"/>
      <c r="M2651" s="115"/>
      <c r="N2651" s="115"/>
      <c r="O2651" s="115"/>
    </row>
    <row r="2652">
      <c r="E2652" s="115"/>
      <c r="F2652" s="115"/>
      <c r="G2652" s="115"/>
      <c r="H2652" s="115"/>
      <c r="I2652" s="115"/>
      <c r="J2652" s="115"/>
      <c r="K2652" s="115"/>
      <c r="L2652" s="115"/>
      <c r="M2652" s="115"/>
      <c r="N2652" s="115"/>
      <c r="O2652" s="115"/>
    </row>
    <row r="2653">
      <c r="E2653" s="115"/>
      <c r="F2653" s="115"/>
      <c r="G2653" s="115"/>
      <c r="H2653" s="115"/>
      <c r="I2653" s="115"/>
      <c r="J2653" s="115"/>
      <c r="K2653" s="115"/>
      <c r="L2653" s="115"/>
      <c r="M2653" s="115"/>
      <c r="N2653" s="115"/>
      <c r="O2653" s="115"/>
    </row>
    <row r="2654">
      <c r="E2654" s="115"/>
      <c r="F2654" s="115"/>
      <c r="G2654" s="115"/>
      <c r="H2654" s="115"/>
      <c r="I2654" s="115"/>
      <c r="J2654" s="115"/>
      <c r="K2654" s="115"/>
      <c r="L2654" s="115"/>
      <c r="M2654" s="115"/>
      <c r="N2654" s="115"/>
      <c r="O2654" s="115"/>
    </row>
    <row r="2655">
      <c r="E2655" s="115"/>
      <c r="F2655" s="115"/>
      <c r="G2655" s="115"/>
      <c r="H2655" s="115"/>
      <c r="I2655" s="115"/>
      <c r="J2655" s="115"/>
      <c r="K2655" s="115"/>
      <c r="L2655" s="115"/>
      <c r="M2655" s="115"/>
      <c r="N2655" s="115"/>
      <c r="O2655" s="115"/>
    </row>
    <row r="2656">
      <c r="E2656" s="115"/>
      <c r="F2656" s="115"/>
      <c r="G2656" s="115"/>
      <c r="H2656" s="115"/>
      <c r="I2656" s="115"/>
      <c r="J2656" s="115"/>
      <c r="K2656" s="115"/>
      <c r="L2656" s="115"/>
      <c r="M2656" s="115"/>
      <c r="N2656" s="115"/>
      <c r="O2656" s="115"/>
    </row>
    <row r="2657">
      <c r="E2657" s="115"/>
      <c r="F2657" s="115"/>
      <c r="G2657" s="115"/>
      <c r="H2657" s="115"/>
      <c r="I2657" s="115"/>
      <c r="J2657" s="115"/>
      <c r="K2657" s="115"/>
      <c r="L2657" s="115"/>
      <c r="M2657" s="115"/>
      <c r="N2657" s="115"/>
      <c r="O2657" s="115"/>
    </row>
    <row r="2658">
      <c r="E2658" s="115"/>
      <c r="F2658" s="115"/>
      <c r="G2658" s="115"/>
      <c r="H2658" s="115"/>
      <c r="I2658" s="115"/>
      <c r="J2658" s="115"/>
      <c r="K2658" s="115"/>
      <c r="L2658" s="115"/>
      <c r="M2658" s="115"/>
      <c r="N2658" s="115"/>
      <c r="O2658" s="115"/>
    </row>
    <row r="2659">
      <c r="E2659" s="115"/>
      <c r="F2659" s="115"/>
      <c r="G2659" s="115"/>
      <c r="H2659" s="115"/>
      <c r="I2659" s="115"/>
      <c r="J2659" s="115"/>
      <c r="K2659" s="115"/>
      <c r="L2659" s="115"/>
      <c r="M2659" s="115"/>
      <c r="N2659" s="115"/>
      <c r="O2659" s="115"/>
    </row>
    <row r="2660">
      <c r="E2660" s="115"/>
      <c r="F2660" s="115"/>
      <c r="G2660" s="115"/>
      <c r="H2660" s="115"/>
      <c r="I2660" s="115"/>
      <c r="J2660" s="115"/>
      <c r="K2660" s="115"/>
      <c r="L2660" s="115"/>
      <c r="M2660" s="115"/>
      <c r="N2660" s="115"/>
      <c r="O2660" s="115"/>
    </row>
    <row r="2661">
      <c r="E2661" s="115"/>
      <c r="F2661" s="115"/>
      <c r="G2661" s="115"/>
      <c r="H2661" s="115"/>
      <c r="I2661" s="115"/>
      <c r="J2661" s="115"/>
      <c r="K2661" s="115"/>
      <c r="L2661" s="115"/>
      <c r="M2661" s="115"/>
      <c r="N2661" s="115"/>
      <c r="O2661" s="115"/>
    </row>
    <row r="2662">
      <c r="E2662" s="115"/>
      <c r="F2662" s="115"/>
      <c r="G2662" s="115"/>
      <c r="H2662" s="115"/>
      <c r="I2662" s="115"/>
      <c r="J2662" s="115"/>
      <c r="K2662" s="115"/>
      <c r="L2662" s="115"/>
      <c r="M2662" s="115"/>
      <c r="N2662" s="115"/>
      <c r="O2662" s="115"/>
    </row>
    <row r="2663">
      <c r="E2663" s="115"/>
      <c r="F2663" s="115"/>
      <c r="G2663" s="115"/>
      <c r="H2663" s="115"/>
      <c r="I2663" s="115"/>
      <c r="J2663" s="115"/>
      <c r="K2663" s="115"/>
      <c r="L2663" s="115"/>
      <c r="M2663" s="115"/>
      <c r="N2663" s="115"/>
      <c r="O2663" s="115"/>
    </row>
    <row r="2664">
      <c r="E2664" s="115"/>
      <c r="F2664" s="115"/>
      <c r="G2664" s="115"/>
      <c r="H2664" s="115"/>
      <c r="I2664" s="115"/>
      <c r="J2664" s="115"/>
      <c r="K2664" s="115"/>
      <c r="L2664" s="115"/>
      <c r="M2664" s="115"/>
      <c r="N2664" s="115"/>
      <c r="O2664" s="115"/>
    </row>
    <row r="2665">
      <c r="E2665" s="115"/>
      <c r="F2665" s="115"/>
      <c r="G2665" s="115"/>
      <c r="H2665" s="115"/>
      <c r="I2665" s="115"/>
      <c r="J2665" s="115"/>
      <c r="K2665" s="115"/>
      <c r="L2665" s="115"/>
      <c r="M2665" s="115"/>
      <c r="N2665" s="115"/>
      <c r="O2665" s="115"/>
    </row>
    <row r="2666">
      <c r="E2666" s="115"/>
      <c r="F2666" s="115"/>
      <c r="G2666" s="115"/>
      <c r="H2666" s="115"/>
      <c r="I2666" s="115"/>
      <c r="J2666" s="115"/>
      <c r="K2666" s="115"/>
      <c r="L2666" s="115"/>
      <c r="M2666" s="115"/>
      <c r="N2666" s="115"/>
      <c r="O2666" s="115"/>
    </row>
    <row r="2667">
      <c r="E2667" s="115"/>
      <c r="F2667" s="115"/>
      <c r="G2667" s="115"/>
      <c r="H2667" s="115"/>
      <c r="I2667" s="115"/>
      <c r="J2667" s="115"/>
      <c r="K2667" s="115"/>
      <c r="L2667" s="115"/>
      <c r="M2667" s="115"/>
      <c r="N2667" s="115"/>
      <c r="O2667" s="115"/>
    </row>
    <row r="2668">
      <c r="E2668" s="115"/>
      <c r="F2668" s="115"/>
      <c r="G2668" s="115"/>
      <c r="H2668" s="115"/>
      <c r="I2668" s="115"/>
      <c r="J2668" s="115"/>
      <c r="K2668" s="115"/>
      <c r="L2668" s="115"/>
      <c r="M2668" s="115"/>
      <c r="N2668" s="115"/>
      <c r="O2668" s="115"/>
    </row>
    <row r="2669">
      <c r="E2669" s="115"/>
      <c r="F2669" s="115"/>
      <c r="G2669" s="115"/>
      <c r="H2669" s="115"/>
      <c r="I2669" s="115"/>
      <c r="J2669" s="115"/>
      <c r="K2669" s="115"/>
      <c r="L2669" s="115"/>
      <c r="M2669" s="115"/>
      <c r="N2669" s="115"/>
      <c r="O2669" s="115"/>
    </row>
    <row r="2670">
      <c r="E2670" s="115"/>
      <c r="F2670" s="115"/>
      <c r="G2670" s="115"/>
      <c r="H2670" s="115"/>
      <c r="I2670" s="115"/>
      <c r="J2670" s="115"/>
      <c r="K2670" s="115"/>
      <c r="L2670" s="115"/>
      <c r="M2670" s="115"/>
      <c r="N2670" s="115"/>
      <c r="O2670" s="115"/>
    </row>
    <row r="2671">
      <c r="E2671" s="115"/>
      <c r="F2671" s="115"/>
      <c r="G2671" s="115"/>
      <c r="H2671" s="115"/>
      <c r="I2671" s="115"/>
      <c r="J2671" s="115"/>
      <c r="K2671" s="115"/>
      <c r="L2671" s="115"/>
      <c r="M2671" s="115"/>
      <c r="N2671" s="115"/>
      <c r="O2671" s="115"/>
    </row>
    <row r="2672">
      <c r="E2672" s="115"/>
      <c r="F2672" s="115"/>
      <c r="G2672" s="115"/>
      <c r="H2672" s="115"/>
      <c r="I2672" s="115"/>
      <c r="J2672" s="115"/>
      <c r="K2672" s="115"/>
      <c r="L2672" s="115"/>
      <c r="M2672" s="115"/>
      <c r="N2672" s="115"/>
      <c r="O2672" s="115"/>
    </row>
    <row r="2673">
      <c r="E2673" s="115"/>
      <c r="F2673" s="115"/>
      <c r="G2673" s="115"/>
      <c r="H2673" s="115"/>
      <c r="I2673" s="115"/>
      <c r="J2673" s="115"/>
      <c r="K2673" s="115"/>
      <c r="L2673" s="115"/>
      <c r="M2673" s="115"/>
      <c r="N2673" s="115"/>
      <c r="O2673" s="115"/>
    </row>
    <row r="2674">
      <c r="E2674" s="115"/>
      <c r="F2674" s="115"/>
      <c r="G2674" s="115"/>
      <c r="H2674" s="115"/>
      <c r="I2674" s="115"/>
      <c r="J2674" s="115"/>
      <c r="K2674" s="115"/>
      <c r="L2674" s="115"/>
      <c r="M2674" s="115"/>
      <c r="N2674" s="115"/>
      <c r="O2674" s="115"/>
    </row>
    <row r="2675">
      <c r="E2675" s="115"/>
      <c r="F2675" s="115"/>
      <c r="G2675" s="115"/>
      <c r="H2675" s="115"/>
      <c r="I2675" s="115"/>
      <c r="J2675" s="115"/>
      <c r="K2675" s="115"/>
      <c r="L2675" s="115"/>
      <c r="M2675" s="115"/>
      <c r="N2675" s="115"/>
      <c r="O2675" s="115"/>
    </row>
    <row r="2676">
      <c r="E2676" s="115"/>
      <c r="F2676" s="115"/>
      <c r="G2676" s="115"/>
      <c r="H2676" s="115"/>
      <c r="I2676" s="115"/>
      <c r="J2676" s="115"/>
      <c r="K2676" s="115"/>
      <c r="L2676" s="115"/>
      <c r="M2676" s="115"/>
      <c r="N2676" s="115"/>
      <c r="O2676" s="115"/>
    </row>
    <row r="2677">
      <c r="E2677" s="115"/>
      <c r="F2677" s="115"/>
      <c r="G2677" s="115"/>
      <c r="H2677" s="115"/>
      <c r="I2677" s="115"/>
      <c r="J2677" s="115"/>
      <c r="K2677" s="115"/>
      <c r="L2677" s="115"/>
      <c r="M2677" s="115"/>
      <c r="N2677" s="115"/>
      <c r="O2677" s="115"/>
    </row>
    <row r="2678">
      <c r="E2678" s="115"/>
      <c r="F2678" s="115"/>
      <c r="G2678" s="115"/>
      <c r="H2678" s="115"/>
      <c r="I2678" s="115"/>
      <c r="J2678" s="115"/>
      <c r="K2678" s="115"/>
      <c r="L2678" s="115"/>
      <c r="M2678" s="115"/>
      <c r="N2678" s="115"/>
      <c r="O2678" s="115"/>
    </row>
    <row r="2679">
      <c r="E2679" s="115"/>
      <c r="F2679" s="115"/>
      <c r="G2679" s="115"/>
      <c r="H2679" s="115"/>
      <c r="I2679" s="115"/>
      <c r="J2679" s="115"/>
      <c r="K2679" s="115"/>
      <c r="L2679" s="115"/>
      <c r="M2679" s="115"/>
      <c r="N2679" s="115"/>
      <c r="O2679" s="115"/>
    </row>
    <row r="2680">
      <c r="E2680" s="115"/>
      <c r="F2680" s="115"/>
      <c r="G2680" s="115"/>
      <c r="H2680" s="115"/>
      <c r="I2680" s="115"/>
      <c r="J2680" s="115"/>
      <c r="K2680" s="115"/>
      <c r="L2680" s="115"/>
      <c r="M2680" s="115"/>
      <c r="N2680" s="115"/>
      <c r="O2680" s="115"/>
    </row>
    <row r="2681">
      <c r="E2681" s="115"/>
      <c r="F2681" s="115"/>
      <c r="G2681" s="115"/>
      <c r="H2681" s="115"/>
      <c r="I2681" s="115"/>
      <c r="J2681" s="115"/>
      <c r="K2681" s="115"/>
      <c r="L2681" s="115"/>
      <c r="M2681" s="115"/>
      <c r="N2681" s="115"/>
      <c r="O2681" s="115"/>
    </row>
    <row r="2682">
      <c r="E2682" s="115"/>
      <c r="F2682" s="115"/>
      <c r="G2682" s="115"/>
      <c r="H2682" s="115"/>
      <c r="I2682" s="115"/>
      <c r="J2682" s="115"/>
      <c r="K2682" s="115"/>
      <c r="L2682" s="115"/>
      <c r="M2682" s="115"/>
      <c r="N2682" s="115"/>
      <c r="O2682" s="115"/>
    </row>
    <row r="2683">
      <c r="E2683" s="115"/>
      <c r="F2683" s="115"/>
      <c r="G2683" s="115"/>
      <c r="H2683" s="115"/>
      <c r="I2683" s="115"/>
      <c r="J2683" s="115"/>
      <c r="K2683" s="115"/>
      <c r="L2683" s="115"/>
      <c r="M2683" s="115"/>
      <c r="N2683" s="115"/>
      <c r="O2683" s="115"/>
    </row>
    <row r="2684">
      <c r="E2684" s="115"/>
      <c r="F2684" s="115"/>
      <c r="G2684" s="115"/>
      <c r="H2684" s="115"/>
      <c r="I2684" s="115"/>
      <c r="J2684" s="115"/>
      <c r="K2684" s="115"/>
      <c r="L2684" s="115"/>
      <c r="M2684" s="115"/>
      <c r="N2684" s="115"/>
      <c r="O2684" s="115"/>
    </row>
    <row r="2685">
      <c r="E2685" s="115"/>
      <c r="F2685" s="115"/>
      <c r="G2685" s="115"/>
      <c r="H2685" s="115"/>
      <c r="I2685" s="115"/>
      <c r="J2685" s="115"/>
      <c r="K2685" s="115"/>
      <c r="L2685" s="115"/>
      <c r="M2685" s="115"/>
      <c r="N2685" s="115"/>
      <c r="O2685" s="115"/>
    </row>
    <row r="2686">
      <c r="E2686" s="115"/>
      <c r="F2686" s="115"/>
      <c r="G2686" s="115"/>
      <c r="H2686" s="115"/>
      <c r="I2686" s="115"/>
      <c r="J2686" s="115"/>
      <c r="K2686" s="115"/>
      <c r="L2686" s="115"/>
      <c r="M2686" s="115"/>
      <c r="N2686" s="115"/>
      <c r="O2686" s="115"/>
    </row>
    <row r="2687">
      <c r="E2687" s="115"/>
      <c r="F2687" s="115"/>
      <c r="G2687" s="115"/>
      <c r="H2687" s="115"/>
      <c r="I2687" s="115"/>
      <c r="J2687" s="115"/>
      <c r="K2687" s="115"/>
      <c r="L2687" s="115"/>
      <c r="M2687" s="115"/>
      <c r="N2687" s="115"/>
      <c r="O2687" s="115"/>
    </row>
    <row r="2688">
      <c r="E2688" s="115"/>
      <c r="F2688" s="115"/>
      <c r="G2688" s="115"/>
      <c r="H2688" s="115"/>
      <c r="I2688" s="115"/>
      <c r="J2688" s="115"/>
      <c r="K2688" s="115"/>
      <c r="L2688" s="115"/>
      <c r="M2688" s="115"/>
      <c r="N2688" s="115"/>
      <c r="O2688" s="115"/>
    </row>
    <row r="2689">
      <c r="E2689" s="115"/>
      <c r="F2689" s="115"/>
      <c r="G2689" s="115"/>
      <c r="H2689" s="115"/>
      <c r="I2689" s="115"/>
      <c r="J2689" s="115"/>
      <c r="K2689" s="115"/>
      <c r="L2689" s="115"/>
      <c r="M2689" s="115"/>
      <c r="N2689" s="115"/>
      <c r="O2689" s="115"/>
    </row>
    <row r="2690">
      <c r="E2690" s="115"/>
      <c r="F2690" s="115"/>
      <c r="G2690" s="115"/>
      <c r="H2690" s="115"/>
      <c r="I2690" s="115"/>
      <c r="J2690" s="115"/>
      <c r="K2690" s="115"/>
      <c r="L2690" s="115"/>
      <c r="M2690" s="115"/>
      <c r="N2690" s="115"/>
      <c r="O2690" s="115"/>
    </row>
    <row r="2691">
      <c r="E2691" s="115"/>
      <c r="F2691" s="115"/>
      <c r="G2691" s="115"/>
      <c r="H2691" s="115"/>
      <c r="I2691" s="115"/>
      <c r="J2691" s="115"/>
      <c r="K2691" s="115"/>
      <c r="L2691" s="115"/>
      <c r="M2691" s="115"/>
      <c r="N2691" s="115"/>
      <c r="O2691" s="115"/>
    </row>
    <row r="2692">
      <c r="E2692" s="115"/>
      <c r="F2692" s="115"/>
      <c r="G2692" s="115"/>
      <c r="H2692" s="115"/>
      <c r="I2692" s="115"/>
      <c r="J2692" s="115"/>
      <c r="K2692" s="115"/>
      <c r="L2692" s="115"/>
      <c r="M2692" s="115"/>
      <c r="N2692" s="115"/>
      <c r="O2692" s="115"/>
    </row>
    <row r="2693">
      <c r="E2693" s="115"/>
      <c r="F2693" s="115"/>
      <c r="G2693" s="115"/>
      <c r="H2693" s="115"/>
      <c r="I2693" s="115"/>
      <c r="J2693" s="115"/>
      <c r="K2693" s="115"/>
      <c r="L2693" s="115"/>
      <c r="M2693" s="115"/>
      <c r="N2693" s="115"/>
      <c r="O2693" s="115"/>
    </row>
    <row r="2694">
      <c r="E2694" s="115"/>
      <c r="F2694" s="115"/>
      <c r="G2694" s="115"/>
      <c r="H2694" s="115"/>
      <c r="I2694" s="115"/>
      <c r="J2694" s="115"/>
      <c r="K2694" s="115"/>
      <c r="L2694" s="115"/>
      <c r="M2694" s="115"/>
      <c r="N2694" s="115"/>
      <c r="O2694" s="115"/>
    </row>
    <row r="2695">
      <c r="E2695" s="115"/>
      <c r="F2695" s="115"/>
      <c r="G2695" s="115"/>
      <c r="H2695" s="115"/>
      <c r="I2695" s="115"/>
      <c r="J2695" s="115"/>
      <c r="K2695" s="115"/>
      <c r="L2695" s="115"/>
      <c r="M2695" s="115"/>
      <c r="N2695" s="115"/>
      <c r="O2695" s="115"/>
    </row>
    <row r="2696">
      <c r="E2696" s="115"/>
      <c r="F2696" s="115"/>
      <c r="G2696" s="115"/>
      <c r="H2696" s="115"/>
      <c r="I2696" s="115"/>
      <c r="J2696" s="115"/>
      <c r="K2696" s="115"/>
      <c r="L2696" s="115"/>
      <c r="M2696" s="115"/>
      <c r="N2696" s="115"/>
      <c r="O2696" s="115"/>
    </row>
    <row r="2697">
      <c r="E2697" s="115"/>
      <c r="F2697" s="115"/>
      <c r="G2697" s="115"/>
      <c r="H2697" s="115"/>
      <c r="I2697" s="115"/>
      <c r="J2697" s="115"/>
      <c r="K2697" s="115"/>
      <c r="L2697" s="115"/>
      <c r="M2697" s="115"/>
      <c r="N2697" s="115"/>
      <c r="O2697" s="115"/>
    </row>
    <row r="2698">
      <c r="E2698" s="115"/>
      <c r="F2698" s="115"/>
      <c r="G2698" s="115"/>
      <c r="H2698" s="115"/>
      <c r="I2698" s="115"/>
      <c r="J2698" s="115"/>
      <c r="K2698" s="115"/>
      <c r="L2698" s="115"/>
      <c r="M2698" s="115"/>
      <c r="N2698" s="115"/>
      <c r="O2698" s="115"/>
    </row>
    <row r="2699">
      <c r="E2699" s="115"/>
      <c r="F2699" s="115"/>
      <c r="G2699" s="115"/>
      <c r="H2699" s="115"/>
      <c r="I2699" s="115"/>
      <c r="J2699" s="115"/>
      <c r="K2699" s="115"/>
      <c r="L2699" s="115"/>
      <c r="M2699" s="115"/>
      <c r="N2699" s="115"/>
      <c r="O2699" s="115"/>
    </row>
    <row r="2700">
      <c r="E2700" s="115"/>
      <c r="F2700" s="115"/>
      <c r="G2700" s="115"/>
      <c r="H2700" s="115"/>
      <c r="I2700" s="115"/>
      <c r="J2700" s="115"/>
      <c r="K2700" s="115"/>
      <c r="L2700" s="115"/>
      <c r="M2700" s="115"/>
      <c r="N2700" s="115"/>
      <c r="O2700" s="115"/>
    </row>
    <row r="2701">
      <c r="E2701" s="115"/>
      <c r="F2701" s="115"/>
      <c r="G2701" s="115"/>
      <c r="H2701" s="115"/>
      <c r="I2701" s="115"/>
      <c r="J2701" s="115"/>
      <c r="K2701" s="115"/>
      <c r="L2701" s="115"/>
      <c r="M2701" s="115"/>
      <c r="N2701" s="115"/>
      <c r="O2701" s="115"/>
    </row>
    <row r="2702">
      <c r="E2702" s="115"/>
      <c r="F2702" s="115"/>
      <c r="G2702" s="115"/>
      <c r="H2702" s="115"/>
      <c r="I2702" s="115"/>
      <c r="J2702" s="115"/>
      <c r="K2702" s="115"/>
      <c r="L2702" s="115"/>
      <c r="M2702" s="115"/>
      <c r="N2702" s="115"/>
      <c r="O2702" s="115"/>
    </row>
    <row r="2703">
      <c r="E2703" s="115"/>
      <c r="F2703" s="115"/>
      <c r="G2703" s="115"/>
      <c r="H2703" s="115"/>
      <c r="I2703" s="115"/>
      <c r="J2703" s="115"/>
      <c r="K2703" s="115"/>
      <c r="L2703" s="115"/>
      <c r="M2703" s="115"/>
      <c r="N2703" s="115"/>
      <c r="O2703" s="115"/>
    </row>
    <row r="2704">
      <c r="E2704" s="115"/>
      <c r="F2704" s="115"/>
      <c r="G2704" s="115"/>
      <c r="H2704" s="115"/>
      <c r="I2704" s="115"/>
      <c r="J2704" s="115"/>
      <c r="K2704" s="115"/>
      <c r="L2704" s="115"/>
      <c r="M2704" s="115"/>
      <c r="N2704" s="115"/>
      <c r="O2704" s="115"/>
    </row>
    <row r="2705">
      <c r="E2705" s="115"/>
      <c r="F2705" s="115"/>
      <c r="G2705" s="115"/>
      <c r="H2705" s="115"/>
      <c r="I2705" s="115"/>
      <c r="J2705" s="115"/>
      <c r="K2705" s="115"/>
      <c r="L2705" s="115"/>
      <c r="M2705" s="115"/>
      <c r="N2705" s="115"/>
      <c r="O2705" s="115"/>
    </row>
    <row r="2706">
      <c r="E2706" s="115"/>
      <c r="F2706" s="115"/>
      <c r="G2706" s="115"/>
      <c r="H2706" s="115"/>
      <c r="I2706" s="115"/>
      <c r="J2706" s="115"/>
      <c r="K2706" s="115"/>
      <c r="L2706" s="115"/>
      <c r="M2706" s="115"/>
      <c r="N2706" s="115"/>
      <c r="O2706" s="115"/>
    </row>
    <row r="2707">
      <c r="E2707" s="115"/>
      <c r="F2707" s="115"/>
      <c r="G2707" s="115"/>
      <c r="H2707" s="115"/>
      <c r="I2707" s="115"/>
      <c r="J2707" s="115"/>
      <c r="K2707" s="115"/>
      <c r="L2707" s="115"/>
      <c r="M2707" s="115"/>
      <c r="N2707" s="115"/>
      <c r="O2707" s="115"/>
    </row>
    <row r="2708">
      <c r="E2708" s="115"/>
      <c r="F2708" s="115"/>
      <c r="G2708" s="115"/>
      <c r="H2708" s="115"/>
      <c r="I2708" s="115"/>
      <c r="J2708" s="115"/>
      <c r="K2708" s="115"/>
      <c r="L2708" s="115"/>
      <c r="M2708" s="115"/>
      <c r="N2708" s="115"/>
      <c r="O2708" s="115"/>
    </row>
    <row r="2709">
      <c r="E2709" s="115"/>
      <c r="F2709" s="115"/>
      <c r="G2709" s="115"/>
      <c r="H2709" s="115"/>
      <c r="I2709" s="115"/>
      <c r="J2709" s="115"/>
      <c r="K2709" s="115"/>
      <c r="L2709" s="115"/>
      <c r="M2709" s="115"/>
      <c r="N2709" s="115"/>
      <c r="O2709" s="115"/>
    </row>
    <row r="2710">
      <c r="E2710" s="115"/>
      <c r="F2710" s="115"/>
      <c r="G2710" s="115"/>
      <c r="H2710" s="115"/>
      <c r="I2710" s="115"/>
      <c r="J2710" s="115"/>
      <c r="K2710" s="115"/>
      <c r="L2710" s="115"/>
      <c r="M2710" s="115"/>
      <c r="N2710" s="115"/>
      <c r="O2710" s="115"/>
    </row>
    <row r="2711">
      <c r="E2711" s="115"/>
      <c r="F2711" s="115"/>
      <c r="G2711" s="115"/>
      <c r="H2711" s="115"/>
      <c r="I2711" s="115"/>
      <c r="J2711" s="115"/>
      <c r="K2711" s="115"/>
      <c r="L2711" s="115"/>
      <c r="M2711" s="115"/>
      <c r="N2711" s="115"/>
      <c r="O2711" s="115"/>
    </row>
    <row r="2712">
      <c r="E2712" s="115"/>
      <c r="F2712" s="115"/>
      <c r="G2712" s="115"/>
      <c r="H2712" s="115"/>
      <c r="I2712" s="115"/>
      <c r="J2712" s="115"/>
      <c r="K2712" s="115"/>
      <c r="L2712" s="115"/>
      <c r="M2712" s="115"/>
      <c r="N2712" s="115"/>
      <c r="O2712" s="115"/>
    </row>
    <row r="2713">
      <c r="E2713" s="115"/>
      <c r="F2713" s="115"/>
      <c r="G2713" s="115"/>
      <c r="H2713" s="115"/>
      <c r="I2713" s="115"/>
      <c r="J2713" s="115"/>
      <c r="K2713" s="115"/>
      <c r="L2713" s="115"/>
      <c r="M2713" s="115"/>
      <c r="N2713" s="115"/>
      <c r="O2713" s="115"/>
    </row>
    <row r="2714">
      <c r="E2714" s="115"/>
      <c r="F2714" s="115"/>
      <c r="G2714" s="115"/>
      <c r="H2714" s="115"/>
      <c r="I2714" s="115"/>
      <c r="J2714" s="115"/>
      <c r="K2714" s="115"/>
      <c r="L2714" s="115"/>
      <c r="M2714" s="115"/>
      <c r="N2714" s="115"/>
      <c r="O2714" s="115"/>
    </row>
    <row r="2715">
      <c r="E2715" s="115"/>
      <c r="F2715" s="115"/>
      <c r="G2715" s="115"/>
      <c r="H2715" s="115"/>
      <c r="I2715" s="115"/>
      <c r="J2715" s="115"/>
      <c r="K2715" s="115"/>
      <c r="L2715" s="115"/>
      <c r="M2715" s="115"/>
      <c r="N2715" s="115"/>
      <c r="O2715" s="115"/>
    </row>
    <row r="2716">
      <c r="E2716" s="115"/>
      <c r="F2716" s="115"/>
      <c r="G2716" s="115"/>
      <c r="H2716" s="115"/>
      <c r="I2716" s="115"/>
      <c r="J2716" s="115"/>
      <c r="K2716" s="115"/>
      <c r="L2716" s="115"/>
      <c r="M2716" s="115"/>
      <c r="N2716" s="115"/>
      <c r="O2716" s="115"/>
    </row>
    <row r="2717">
      <c r="E2717" s="115"/>
      <c r="F2717" s="115"/>
      <c r="G2717" s="115"/>
      <c r="H2717" s="115"/>
      <c r="I2717" s="115"/>
      <c r="J2717" s="115"/>
      <c r="K2717" s="115"/>
      <c r="L2717" s="115"/>
      <c r="M2717" s="115"/>
      <c r="N2717" s="115"/>
      <c r="O2717" s="115"/>
    </row>
    <row r="2718">
      <c r="E2718" s="115"/>
      <c r="F2718" s="115"/>
      <c r="G2718" s="115"/>
      <c r="H2718" s="115"/>
      <c r="I2718" s="115"/>
      <c r="J2718" s="115"/>
      <c r="K2718" s="115"/>
      <c r="L2718" s="115"/>
      <c r="M2718" s="115"/>
      <c r="N2718" s="115"/>
      <c r="O2718" s="115"/>
    </row>
    <row r="2719">
      <c r="E2719" s="115"/>
      <c r="F2719" s="115"/>
      <c r="G2719" s="115"/>
      <c r="H2719" s="115"/>
      <c r="I2719" s="115"/>
      <c r="J2719" s="115"/>
      <c r="K2719" s="115"/>
      <c r="L2719" s="115"/>
      <c r="M2719" s="115"/>
      <c r="N2719" s="115"/>
      <c r="O2719" s="115"/>
    </row>
    <row r="2720">
      <c r="E2720" s="115"/>
      <c r="F2720" s="115"/>
      <c r="G2720" s="115"/>
      <c r="H2720" s="115"/>
      <c r="I2720" s="115"/>
      <c r="J2720" s="115"/>
      <c r="K2720" s="115"/>
      <c r="L2720" s="115"/>
      <c r="M2720" s="115"/>
      <c r="N2720" s="115"/>
      <c r="O2720" s="115"/>
    </row>
    <row r="2721">
      <c r="E2721" s="115"/>
      <c r="F2721" s="115"/>
      <c r="G2721" s="115"/>
      <c r="H2721" s="115"/>
      <c r="I2721" s="115"/>
      <c r="J2721" s="115"/>
      <c r="K2721" s="115"/>
      <c r="L2721" s="115"/>
      <c r="M2721" s="115"/>
      <c r="N2721" s="115"/>
      <c r="O2721" s="115"/>
    </row>
    <row r="2722">
      <c r="E2722" s="115"/>
      <c r="F2722" s="115"/>
      <c r="G2722" s="115"/>
      <c r="H2722" s="115"/>
      <c r="I2722" s="115"/>
      <c r="J2722" s="115"/>
      <c r="K2722" s="115"/>
      <c r="L2722" s="115"/>
      <c r="M2722" s="115"/>
      <c r="N2722" s="115"/>
      <c r="O2722" s="115"/>
    </row>
    <row r="2723">
      <c r="E2723" s="115"/>
      <c r="F2723" s="115"/>
      <c r="G2723" s="115"/>
      <c r="H2723" s="115"/>
      <c r="I2723" s="115"/>
      <c r="J2723" s="115"/>
      <c r="K2723" s="115"/>
      <c r="L2723" s="115"/>
      <c r="M2723" s="115"/>
      <c r="N2723" s="115"/>
      <c r="O2723" s="115"/>
    </row>
    <row r="2724">
      <c r="E2724" s="115"/>
      <c r="F2724" s="115"/>
      <c r="G2724" s="115"/>
      <c r="H2724" s="115"/>
      <c r="I2724" s="115"/>
      <c r="J2724" s="115"/>
      <c r="K2724" s="115"/>
      <c r="L2724" s="115"/>
      <c r="M2724" s="115"/>
      <c r="N2724" s="115"/>
      <c r="O2724" s="115"/>
    </row>
    <row r="2725">
      <c r="E2725" s="115"/>
      <c r="F2725" s="115"/>
      <c r="G2725" s="115"/>
      <c r="H2725" s="115"/>
      <c r="I2725" s="115"/>
      <c r="J2725" s="115"/>
      <c r="K2725" s="115"/>
      <c r="L2725" s="115"/>
      <c r="M2725" s="115"/>
      <c r="N2725" s="115"/>
      <c r="O2725" s="115"/>
    </row>
    <row r="2726">
      <c r="E2726" s="115"/>
      <c r="F2726" s="115"/>
      <c r="G2726" s="115"/>
      <c r="H2726" s="115"/>
      <c r="I2726" s="115"/>
      <c r="J2726" s="115"/>
      <c r="K2726" s="115"/>
      <c r="L2726" s="115"/>
      <c r="M2726" s="115"/>
      <c r="N2726" s="115"/>
      <c r="O2726" s="115"/>
    </row>
    <row r="2727">
      <c r="E2727" s="115"/>
      <c r="F2727" s="115"/>
      <c r="G2727" s="115"/>
      <c r="H2727" s="115"/>
      <c r="I2727" s="115"/>
      <c r="J2727" s="115"/>
      <c r="K2727" s="115"/>
      <c r="L2727" s="115"/>
      <c r="M2727" s="115"/>
      <c r="N2727" s="115"/>
      <c r="O2727" s="115"/>
    </row>
    <row r="2728">
      <c r="E2728" s="115"/>
      <c r="F2728" s="115"/>
      <c r="G2728" s="115"/>
      <c r="H2728" s="115"/>
      <c r="I2728" s="115"/>
      <c r="J2728" s="115"/>
      <c r="K2728" s="115"/>
      <c r="L2728" s="115"/>
      <c r="M2728" s="115"/>
      <c r="N2728" s="115"/>
      <c r="O2728" s="115"/>
    </row>
    <row r="2729">
      <c r="E2729" s="115"/>
      <c r="F2729" s="115"/>
      <c r="G2729" s="115"/>
      <c r="H2729" s="115"/>
      <c r="I2729" s="115"/>
      <c r="J2729" s="115"/>
      <c r="K2729" s="115"/>
      <c r="L2729" s="115"/>
      <c r="M2729" s="115"/>
      <c r="N2729" s="115"/>
      <c r="O2729" s="115"/>
    </row>
    <row r="2730">
      <c r="E2730" s="115"/>
      <c r="F2730" s="115"/>
      <c r="G2730" s="115"/>
      <c r="H2730" s="115"/>
      <c r="I2730" s="115"/>
      <c r="J2730" s="115"/>
      <c r="K2730" s="115"/>
      <c r="L2730" s="115"/>
      <c r="M2730" s="115"/>
      <c r="N2730" s="115"/>
      <c r="O2730" s="115"/>
    </row>
    <row r="2731">
      <c r="E2731" s="115"/>
      <c r="F2731" s="115"/>
      <c r="G2731" s="115"/>
      <c r="H2731" s="115"/>
      <c r="I2731" s="115"/>
      <c r="J2731" s="115"/>
      <c r="K2731" s="115"/>
      <c r="L2731" s="115"/>
      <c r="M2731" s="115"/>
      <c r="N2731" s="115"/>
      <c r="O2731" s="115"/>
    </row>
    <row r="2732">
      <c r="E2732" s="115"/>
      <c r="F2732" s="115"/>
      <c r="G2732" s="115"/>
      <c r="H2732" s="115"/>
      <c r="I2732" s="115"/>
      <c r="J2732" s="115"/>
      <c r="K2732" s="115"/>
      <c r="L2732" s="115"/>
      <c r="M2732" s="115"/>
      <c r="N2732" s="115"/>
      <c r="O2732" s="115"/>
    </row>
    <row r="2733">
      <c r="E2733" s="115"/>
      <c r="F2733" s="115"/>
      <c r="G2733" s="115"/>
      <c r="H2733" s="115"/>
      <c r="I2733" s="115"/>
      <c r="J2733" s="115"/>
      <c r="K2733" s="115"/>
      <c r="L2733" s="115"/>
      <c r="M2733" s="115"/>
      <c r="N2733" s="115"/>
      <c r="O2733" s="115"/>
    </row>
    <row r="2734">
      <c r="E2734" s="115"/>
      <c r="F2734" s="115"/>
      <c r="G2734" s="115"/>
      <c r="H2734" s="115"/>
      <c r="I2734" s="115"/>
      <c r="J2734" s="115"/>
      <c r="K2734" s="115"/>
      <c r="L2734" s="115"/>
      <c r="M2734" s="115"/>
      <c r="N2734" s="115"/>
      <c r="O2734" s="115"/>
    </row>
    <row r="2735">
      <c r="E2735" s="115"/>
      <c r="F2735" s="115"/>
      <c r="G2735" s="115"/>
      <c r="H2735" s="115"/>
      <c r="I2735" s="115"/>
      <c r="J2735" s="115"/>
      <c r="K2735" s="115"/>
      <c r="L2735" s="115"/>
      <c r="M2735" s="115"/>
      <c r="N2735" s="115"/>
      <c r="O2735" s="115"/>
    </row>
    <row r="2736">
      <c r="E2736" s="115"/>
      <c r="F2736" s="115"/>
      <c r="G2736" s="115"/>
      <c r="H2736" s="115"/>
      <c r="I2736" s="115"/>
      <c r="J2736" s="115"/>
      <c r="K2736" s="115"/>
      <c r="L2736" s="115"/>
      <c r="M2736" s="115"/>
      <c r="N2736" s="115"/>
      <c r="O2736" s="115"/>
    </row>
    <row r="2737">
      <c r="E2737" s="115"/>
      <c r="F2737" s="115"/>
      <c r="G2737" s="115"/>
      <c r="H2737" s="115"/>
      <c r="I2737" s="115"/>
      <c r="J2737" s="115"/>
      <c r="K2737" s="115"/>
      <c r="L2737" s="115"/>
      <c r="M2737" s="115"/>
      <c r="N2737" s="115"/>
      <c r="O2737" s="115"/>
    </row>
    <row r="2738">
      <c r="E2738" s="115"/>
      <c r="F2738" s="115"/>
      <c r="G2738" s="115"/>
      <c r="H2738" s="115"/>
      <c r="I2738" s="115"/>
      <c r="J2738" s="115"/>
      <c r="K2738" s="115"/>
      <c r="L2738" s="115"/>
      <c r="M2738" s="115"/>
      <c r="N2738" s="115"/>
      <c r="O2738" s="115"/>
    </row>
    <row r="2739">
      <c r="E2739" s="115"/>
      <c r="F2739" s="115"/>
      <c r="G2739" s="115"/>
      <c r="H2739" s="115"/>
      <c r="I2739" s="115"/>
      <c r="J2739" s="115"/>
      <c r="K2739" s="115"/>
      <c r="L2739" s="115"/>
      <c r="M2739" s="115"/>
      <c r="N2739" s="115"/>
      <c r="O2739" s="115"/>
    </row>
    <row r="2740">
      <c r="E2740" s="115"/>
      <c r="F2740" s="115"/>
      <c r="G2740" s="115"/>
      <c r="H2740" s="115"/>
      <c r="I2740" s="115"/>
      <c r="J2740" s="115"/>
      <c r="K2740" s="115"/>
      <c r="L2740" s="115"/>
      <c r="M2740" s="115"/>
      <c r="N2740" s="115"/>
      <c r="O2740" s="115"/>
    </row>
    <row r="2741">
      <c r="E2741" s="115"/>
      <c r="F2741" s="115"/>
      <c r="G2741" s="115"/>
      <c r="H2741" s="115"/>
      <c r="I2741" s="115"/>
      <c r="J2741" s="115"/>
      <c r="K2741" s="115"/>
      <c r="L2741" s="115"/>
      <c r="M2741" s="115"/>
      <c r="N2741" s="115"/>
      <c r="O2741" s="115"/>
    </row>
    <row r="2742">
      <c r="E2742" s="115"/>
      <c r="F2742" s="115"/>
      <c r="G2742" s="115"/>
      <c r="H2742" s="115"/>
      <c r="I2742" s="115"/>
      <c r="J2742" s="115"/>
      <c r="K2742" s="115"/>
      <c r="L2742" s="115"/>
      <c r="M2742" s="115"/>
      <c r="N2742" s="115"/>
      <c r="O2742" s="115"/>
    </row>
    <row r="2743">
      <c r="E2743" s="115"/>
      <c r="F2743" s="115"/>
      <c r="G2743" s="115"/>
      <c r="H2743" s="115"/>
      <c r="I2743" s="115"/>
      <c r="J2743" s="115"/>
      <c r="K2743" s="115"/>
      <c r="L2743" s="115"/>
      <c r="M2743" s="115"/>
      <c r="N2743" s="115"/>
      <c r="O2743" s="115"/>
    </row>
    <row r="2744">
      <c r="E2744" s="115"/>
      <c r="F2744" s="115"/>
      <c r="G2744" s="115"/>
      <c r="H2744" s="115"/>
      <c r="I2744" s="115"/>
      <c r="J2744" s="115"/>
      <c r="K2744" s="115"/>
      <c r="L2744" s="115"/>
      <c r="M2744" s="115"/>
      <c r="N2744" s="115"/>
      <c r="O2744" s="115"/>
    </row>
    <row r="2745">
      <c r="E2745" s="115"/>
      <c r="F2745" s="115"/>
      <c r="G2745" s="115"/>
      <c r="H2745" s="115"/>
      <c r="I2745" s="115"/>
      <c r="J2745" s="115"/>
      <c r="K2745" s="115"/>
      <c r="L2745" s="115"/>
      <c r="M2745" s="115"/>
      <c r="N2745" s="115"/>
      <c r="O2745" s="115"/>
    </row>
    <row r="2746">
      <c r="E2746" s="115"/>
      <c r="F2746" s="115"/>
      <c r="G2746" s="115"/>
      <c r="H2746" s="115"/>
      <c r="I2746" s="115"/>
      <c r="J2746" s="115"/>
      <c r="K2746" s="115"/>
      <c r="L2746" s="115"/>
      <c r="M2746" s="115"/>
      <c r="N2746" s="115"/>
      <c r="O2746" s="115"/>
    </row>
    <row r="2747">
      <c r="E2747" s="115"/>
      <c r="F2747" s="115"/>
      <c r="G2747" s="115"/>
      <c r="H2747" s="115"/>
      <c r="I2747" s="115"/>
      <c r="J2747" s="115"/>
      <c r="K2747" s="115"/>
      <c r="L2747" s="115"/>
      <c r="M2747" s="115"/>
      <c r="N2747" s="115"/>
      <c r="O2747" s="115"/>
    </row>
    <row r="2748">
      <c r="E2748" s="115"/>
      <c r="F2748" s="115"/>
      <c r="G2748" s="115"/>
      <c r="H2748" s="115"/>
      <c r="I2748" s="115"/>
      <c r="J2748" s="115"/>
      <c r="K2748" s="115"/>
      <c r="L2748" s="115"/>
      <c r="M2748" s="115"/>
      <c r="N2748" s="115"/>
      <c r="O2748" s="115"/>
    </row>
    <row r="2749">
      <c r="E2749" s="115"/>
      <c r="F2749" s="115"/>
      <c r="G2749" s="115"/>
      <c r="H2749" s="115"/>
      <c r="I2749" s="115"/>
      <c r="J2749" s="115"/>
      <c r="K2749" s="115"/>
      <c r="L2749" s="115"/>
      <c r="M2749" s="115"/>
      <c r="N2749" s="115"/>
      <c r="O2749" s="115"/>
    </row>
    <row r="2750">
      <c r="E2750" s="115"/>
      <c r="F2750" s="115"/>
      <c r="G2750" s="115"/>
      <c r="H2750" s="115"/>
      <c r="I2750" s="115"/>
      <c r="J2750" s="115"/>
      <c r="K2750" s="115"/>
      <c r="L2750" s="115"/>
      <c r="M2750" s="115"/>
      <c r="N2750" s="115"/>
      <c r="O2750" s="115"/>
    </row>
    <row r="2751">
      <c r="E2751" s="115"/>
      <c r="F2751" s="115"/>
      <c r="G2751" s="115"/>
      <c r="H2751" s="115"/>
      <c r="I2751" s="115"/>
      <c r="J2751" s="115"/>
      <c r="K2751" s="115"/>
      <c r="L2751" s="115"/>
      <c r="M2751" s="115"/>
      <c r="N2751" s="115"/>
      <c r="O2751" s="115"/>
    </row>
    <row r="2752">
      <c r="E2752" s="115"/>
      <c r="F2752" s="115"/>
      <c r="G2752" s="115"/>
      <c r="H2752" s="115"/>
      <c r="I2752" s="115"/>
      <c r="J2752" s="115"/>
      <c r="K2752" s="115"/>
      <c r="L2752" s="115"/>
      <c r="M2752" s="115"/>
      <c r="N2752" s="115"/>
      <c r="O2752" s="115"/>
    </row>
    <row r="2753">
      <c r="E2753" s="115"/>
      <c r="F2753" s="115"/>
      <c r="G2753" s="115"/>
      <c r="H2753" s="115"/>
      <c r="I2753" s="115"/>
      <c r="J2753" s="115"/>
      <c r="K2753" s="115"/>
      <c r="L2753" s="115"/>
      <c r="M2753" s="115"/>
      <c r="N2753" s="115"/>
      <c r="O2753" s="115"/>
    </row>
    <row r="2754">
      <c r="E2754" s="115"/>
      <c r="F2754" s="115"/>
      <c r="G2754" s="115"/>
      <c r="H2754" s="115"/>
      <c r="I2754" s="115"/>
      <c r="J2754" s="115"/>
      <c r="K2754" s="115"/>
      <c r="L2754" s="115"/>
      <c r="M2754" s="115"/>
      <c r="N2754" s="115"/>
      <c r="O2754" s="115"/>
    </row>
    <row r="2755">
      <c r="E2755" s="115"/>
      <c r="F2755" s="115"/>
      <c r="G2755" s="115"/>
      <c r="H2755" s="115"/>
      <c r="I2755" s="115"/>
      <c r="J2755" s="115"/>
      <c r="K2755" s="115"/>
      <c r="L2755" s="115"/>
      <c r="M2755" s="115"/>
      <c r="N2755" s="115"/>
      <c r="O2755" s="115"/>
    </row>
    <row r="2756">
      <c r="E2756" s="115"/>
      <c r="F2756" s="115"/>
      <c r="G2756" s="115"/>
      <c r="H2756" s="115"/>
      <c r="I2756" s="115"/>
      <c r="J2756" s="115"/>
      <c r="K2756" s="115"/>
      <c r="L2756" s="115"/>
      <c r="M2756" s="115"/>
      <c r="N2756" s="115"/>
      <c r="O2756" s="115"/>
    </row>
    <row r="2757">
      <c r="E2757" s="115"/>
      <c r="F2757" s="115"/>
      <c r="G2757" s="115"/>
      <c r="H2757" s="115"/>
      <c r="I2757" s="115"/>
      <c r="J2757" s="115"/>
      <c r="K2757" s="115"/>
      <c r="L2757" s="115"/>
      <c r="M2757" s="115"/>
      <c r="N2757" s="115"/>
      <c r="O2757" s="115"/>
    </row>
    <row r="2758">
      <c r="E2758" s="115"/>
      <c r="F2758" s="115"/>
      <c r="G2758" s="115"/>
      <c r="H2758" s="115"/>
      <c r="I2758" s="115"/>
      <c r="J2758" s="115"/>
      <c r="K2758" s="115"/>
      <c r="L2758" s="115"/>
      <c r="M2758" s="115"/>
      <c r="N2758" s="115"/>
      <c r="O2758" s="115"/>
    </row>
    <row r="2759">
      <c r="E2759" s="115"/>
      <c r="F2759" s="115"/>
      <c r="G2759" s="115"/>
      <c r="H2759" s="115"/>
      <c r="I2759" s="115"/>
      <c r="J2759" s="115"/>
      <c r="K2759" s="115"/>
      <c r="L2759" s="115"/>
      <c r="M2759" s="115"/>
      <c r="N2759" s="115"/>
      <c r="O2759" s="115"/>
    </row>
    <row r="2760">
      <c r="E2760" s="115"/>
      <c r="F2760" s="115"/>
      <c r="G2760" s="115"/>
      <c r="H2760" s="115"/>
      <c r="I2760" s="115"/>
      <c r="J2760" s="115"/>
      <c r="K2760" s="115"/>
      <c r="L2760" s="115"/>
      <c r="M2760" s="115"/>
      <c r="N2760" s="115"/>
      <c r="O2760" s="115"/>
    </row>
    <row r="2761">
      <c r="E2761" s="115"/>
      <c r="F2761" s="115"/>
      <c r="G2761" s="115"/>
      <c r="H2761" s="115"/>
      <c r="I2761" s="115"/>
      <c r="J2761" s="115"/>
      <c r="K2761" s="115"/>
      <c r="L2761" s="115"/>
      <c r="M2761" s="115"/>
      <c r="N2761" s="115"/>
      <c r="O2761" s="115"/>
    </row>
    <row r="2762">
      <c r="E2762" s="115"/>
      <c r="F2762" s="115"/>
      <c r="G2762" s="115"/>
      <c r="H2762" s="115"/>
      <c r="I2762" s="115"/>
      <c r="J2762" s="115"/>
      <c r="K2762" s="115"/>
      <c r="L2762" s="115"/>
      <c r="M2762" s="115"/>
      <c r="N2762" s="115"/>
      <c r="O2762" s="115"/>
    </row>
    <row r="2763">
      <c r="E2763" s="115"/>
      <c r="F2763" s="115"/>
      <c r="G2763" s="115"/>
      <c r="H2763" s="115"/>
      <c r="I2763" s="115"/>
      <c r="J2763" s="115"/>
      <c r="K2763" s="115"/>
      <c r="L2763" s="115"/>
      <c r="M2763" s="115"/>
      <c r="N2763" s="115"/>
      <c r="O2763" s="115"/>
    </row>
    <row r="2764">
      <c r="E2764" s="115"/>
      <c r="F2764" s="115"/>
      <c r="G2764" s="115"/>
      <c r="H2764" s="115"/>
      <c r="I2764" s="115"/>
      <c r="J2764" s="115"/>
      <c r="K2764" s="115"/>
      <c r="L2764" s="115"/>
      <c r="M2764" s="115"/>
      <c r="N2764" s="115"/>
      <c r="O2764" s="115"/>
    </row>
    <row r="2765">
      <c r="E2765" s="115"/>
      <c r="F2765" s="115"/>
      <c r="G2765" s="115"/>
      <c r="H2765" s="115"/>
      <c r="I2765" s="115"/>
      <c r="J2765" s="115"/>
      <c r="K2765" s="115"/>
      <c r="L2765" s="115"/>
      <c r="M2765" s="115"/>
      <c r="N2765" s="115"/>
      <c r="O2765" s="115"/>
    </row>
    <row r="2766">
      <c r="E2766" s="115"/>
      <c r="F2766" s="115"/>
      <c r="G2766" s="115"/>
      <c r="H2766" s="115"/>
      <c r="I2766" s="115"/>
      <c r="J2766" s="115"/>
      <c r="K2766" s="115"/>
      <c r="L2766" s="115"/>
      <c r="M2766" s="115"/>
      <c r="N2766" s="115"/>
      <c r="O2766" s="115"/>
    </row>
    <row r="2767">
      <c r="E2767" s="115"/>
      <c r="F2767" s="115"/>
      <c r="G2767" s="115"/>
      <c r="H2767" s="115"/>
      <c r="I2767" s="115"/>
      <c r="J2767" s="115"/>
      <c r="K2767" s="115"/>
      <c r="L2767" s="115"/>
      <c r="M2767" s="115"/>
      <c r="N2767" s="115"/>
      <c r="O2767" s="115"/>
    </row>
    <row r="2768">
      <c r="E2768" s="115"/>
      <c r="F2768" s="115"/>
      <c r="G2768" s="115"/>
      <c r="H2768" s="115"/>
      <c r="I2768" s="115"/>
      <c r="J2768" s="115"/>
      <c r="K2768" s="115"/>
      <c r="L2768" s="115"/>
      <c r="M2768" s="115"/>
      <c r="N2768" s="115"/>
      <c r="O2768" s="115"/>
    </row>
    <row r="2769">
      <c r="E2769" s="115"/>
      <c r="F2769" s="115"/>
      <c r="G2769" s="115"/>
      <c r="H2769" s="115"/>
      <c r="I2769" s="115"/>
      <c r="J2769" s="115"/>
      <c r="K2769" s="115"/>
      <c r="L2769" s="115"/>
      <c r="M2769" s="115"/>
      <c r="N2769" s="115"/>
      <c r="O2769" s="115"/>
    </row>
    <row r="2770">
      <c r="E2770" s="115"/>
      <c r="F2770" s="115"/>
      <c r="G2770" s="115"/>
      <c r="H2770" s="115"/>
      <c r="I2770" s="115"/>
      <c r="J2770" s="115"/>
      <c r="K2770" s="115"/>
      <c r="L2770" s="115"/>
      <c r="M2770" s="115"/>
      <c r="N2770" s="115"/>
      <c r="O2770" s="115"/>
    </row>
    <row r="2771">
      <c r="E2771" s="115"/>
      <c r="F2771" s="115"/>
      <c r="G2771" s="115"/>
      <c r="H2771" s="115"/>
      <c r="I2771" s="115"/>
      <c r="J2771" s="115"/>
      <c r="K2771" s="115"/>
      <c r="L2771" s="115"/>
      <c r="M2771" s="115"/>
      <c r="N2771" s="115"/>
      <c r="O2771" s="115"/>
    </row>
    <row r="2772">
      <c r="E2772" s="115"/>
      <c r="F2772" s="115"/>
      <c r="G2772" s="115"/>
      <c r="H2772" s="115"/>
      <c r="I2772" s="115"/>
      <c r="J2772" s="115"/>
      <c r="K2772" s="115"/>
      <c r="L2772" s="115"/>
      <c r="M2772" s="115"/>
      <c r="N2772" s="115"/>
      <c r="O2772" s="115"/>
    </row>
    <row r="2773">
      <c r="E2773" s="115"/>
      <c r="F2773" s="115"/>
      <c r="G2773" s="115"/>
      <c r="H2773" s="115"/>
      <c r="I2773" s="115"/>
      <c r="J2773" s="115"/>
      <c r="K2773" s="115"/>
      <c r="L2773" s="115"/>
      <c r="M2773" s="115"/>
      <c r="N2773" s="115"/>
      <c r="O2773" s="115"/>
    </row>
    <row r="2774">
      <c r="E2774" s="115"/>
      <c r="F2774" s="115"/>
      <c r="G2774" s="115"/>
      <c r="H2774" s="115"/>
      <c r="I2774" s="115"/>
      <c r="J2774" s="115"/>
      <c r="K2774" s="115"/>
      <c r="L2774" s="115"/>
      <c r="M2774" s="115"/>
      <c r="N2774" s="115"/>
      <c r="O2774" s="115"/>
    </row>
    <row r="2775">
      <c r="E2775" s="115"/>
      <c r="F2775" s="115"/>
      <c r="G2775" s="115"/>
      <c r="H2775" s="115"/>
      <c r="I2775" s="115"/>
      <c r="J2775" s="115"/>
      <c r="K2775" s="115"/>
      <c r="L2775" s="115"/>
      <c r="M2775" s="115"/>
      <c r="N2775" s="115"/>
      <c r="O2775" s="115"/>
    </row>
    <row r="2776">
      <c r="E2776" s="115"/>
      <c r="F2776" s="115"/>
      <c r="G2776" s="115"/>
      <c r="H2776" s="115"/>
      <c r="I2776" s="115"/>
      <c r="J2776" s="115"/>
      <c r="K2776" s="115"/>
      <c r="L2776" s="115"/>
      <c r="M2776" s="115"/>
      <c r="N2776" s="115"/>
      <c r="O2776" s="115"/>
    </row>
    <row r="2777">
      <c r="E2777" s="115"/>
      <c r="F2777" s="115"/>
      <c r="G2777" s="115"/>
      <c r="H2777" s="115"/>
      <c r="I2777" s="115"/>
      <c r="J2777" s="115"/>
      <c r="K2777" s="115"/>
      <c r="L2777" s="115"/>
      <c r="M2777" s="115"/>
      <c r="N2777" s="115"/>
      <c r="O2777" s="115"/>
    </row>
    <row r="2778">
      <c r="E2778" s="115"/>
      <c r="F2778" s="115"/>
      <c r="G2778" s="115"/>
      <c r="H2778" s="115"/>
      <c r="I2778" s="115"/>
      <c r="J2778" s="115"/>
      <c r="K2778" s="115"/>
      <c r="L2778" s="115"/>
      <c r="M2778" s="115"/>
      <c r="N2778" s="115"/>
      <c r="O2778" s="115"/>
    </row>
    <row r="2779">
      <c r="E2779" s="115"/>
      <c r="F2779" s="115"/>
      <c r="G2779" s="115"/>
      <c r="H2779" s="115"/>
      <c r="I2779" s="115"/>
      <c r="J2779" s="115"/>
      <c r="K2779" s="115"/>
      <c r="L2779" s="115"/>
      <c r="M2779" s="115"/>
      <c r="N2779" s="115"/>
      <c r="O2779" s="115"/>
    </row>
    <row r="2780">
      <c r="E2780" s="115"/>
      <c r="F2780" s="115"/>
      <c r="G2780" s="115"/>
      <c r="H2780" s="115"/>
      <c r="I2780" s="115"/>
      <c r="J2780" s="115"/>
      <c r="K2780" s="115"/>
      <c r="L2780" s="115"/>
      <c r="M2780" s="115"/>
      <c r="N2780" s="115"/>
      <c r="O2780" s="115"/>
    </row>
    <row r="2781">
      <c r="E2781" s="115"/>
      <c r="F2781" s="115"/>
      <c r="G2781" s="115"/>
      <c r="H2781" s="115"/>
      <c r="I2781" s="115"/>
      <c r="J2781" s="115"/>
      <c r="K2781" s="115"/>
      <c r="L2781" s="115"/>
      <c r="M2781" s="115"/>
      <c r="N2781" s="115"/>
      <c r="O2781" s="115"/>
    </row>
    <row r="2782">
      <c r="E2782" s="115"/>
      <c r="F2782" s="115"/>
      <c r="G2782" s="115"/>
      <c r="H2782" s="115"/>
      <c r="I2782" s="115"/>
      <c r="J2782" s="115"/>
      <c r="K2782" s="115"/>
      <c r="L2782" s="115"/>
      <c r="M2782" s="115"/>
      <c r="N2782" s="115"/>
      <c r="O2782" s="115"/>
    </row>
    <row r="2783">
      <c r="E2783" s="115"/>
      <c r="F2783" s="115"/>
      <c r="G2783" s="115"/>
      <c r="H2783" s="115"/>
      <c r="I2783" s="115"/>
      <c r="J2783" s="115"/>
      <c r="K2783" s="115"/>
      <c r="L2783" s="115"/>
      <c r="M2783" s="115"/>
      <c r="N2783" s="115"/>
      <c r="O2783" s="115"/>
    </row>
    <row r="2784">
      <c r="E2784" s="115"/>
      <c r="F2784" s="115"/>
      <c r="G2784" s="115"/>
      <c r="H2784" s="115"/>
      <c r="I2784" s="115"/>
      <c r="J2784" s="115"/>
      <c r="K2784" s="115"/>
      <c r="L2784" s="115"/>
      <c r="M2784" s="115"/>
      <c r="N2784" s="115"/>
      <c r="O2784" s="115"/>
    </row>
    <row r="2785">
      <c r="E2785" s="115"/>
      <c r="F2785" s="115"/>
      <c r="G2785" s="115"/>
      <c r="H2785" s="115"/>
      <c r="I2785" s="115"/>
      <c r="J2785" s="115"/>
      <c r="K2785" s="115"/>
      <c r="L2785" s="115"/>
      <c r="M2785" s="115"/>
      <c r="N2785" s="115"/>
      <c r="O2785" s="115"/>
    </row>
    <row r="2786">
      <c r="E2786" s="115"/>
      <c r="F2786" s="115"/>
      <c r="G2786" s="115"/>
      <c r="H2786" s="115"/>
      <c r="I2786" s="115"/>
      <c r="J2786" s="115"/>
      <c r="K2786" s="115"/>
      <c r="L2786" s="115"/>
      <c r="M2786" s="115"/>
      <c r="N2786" s="115"/>
      <c r="O2786" s="115"/>
    </row>
    <row r="2787">
      <c r="E2787" s="115"/>
      <c r="F2787" s="115"/>
      <c r="G2787" s="115"/>
      <c r="H2787" s="115"/>
      <c r="I2787" s="115"/>
      <c r="J2787" s="115"/>
      <c r="K2787" s="115"/>
      <c r="L2787" s="115"/>
      <c r="M2787" s="115"/>
      <c r="N2787" s="115"/>
      <c r="O2787" s="115"/>
    </row>
    <row r="2788">
      <c r="E2788" s="115"/>
      <c r="F2788" s="115"/>
      <c r="G2788" s="115"/>
      <c r="H2788" s="115"/>
      <c r="I2788" s="115"/>
      <c r="J2788" s="115"/>
      <c r="K2788" s="115"/>
      <c r="L2788" s="115"/>
      <c r="M2788" s="115"/>
      <c r="N2788" s="115"/>
      <c r="O2788" s="115"/>
    </row>
    <row r="2789">
      <c r="E2789" s="115"/>
      <c r="F2789" s="115"/>
      <c r="G2789" s="115"/>
      <c r="H2789" s="115"/>
      <c r="I2789" s="115"/>
      <c r="J2789" s="115"/>
      <c r="K2789" s="115"/>
      <c r="L2789" s="115"/>
      <c r="M2789" s="115"/>
      <c r="N2789" s="115"/>
      <c r="O2789" s="115"/>
    </row>
    <row r="2790">
      <c r="E2790" s="115"/>
      <c r="F2790" s="115"/>
      <c r="G2790" s="115"/>
      <c r="H2790" s="115"/>
      <c r="I2790" s="115"/>
      <c r="J2790" s="115"/>
      <c r="K2790" s="115"/>
      <c r="L2790" s="115"/>
      <c r="M2790" s="115"/>
      <c r="N2790" s="115"/>
      <c r="O2790" s="115"/>
    </row>
    <row r="2791">
      <c r="E2791" s="115"/>
      <c r="F2791" s="115"/>
      <c r="G2791" s="115"/>
      <c r="H2791" s="115"/>
      <c r="I2791" s="115"/>
      <c r="J2791" s="115"/>
      <c r="K2791" s="115"/>
      <c r="L2791" s="115"/>
      <c r="M2791" s="115"/>
      <c r="N2791" s="115"/>
      <c r="O2791" s="115"/>
    </row>
    <row r="2792">
      <c r="E2792" s="115"/>
      <c r="F2792" s="115"/>
      <c r="G2792" s="115"/>
      <c r="H2792" s="115"/>
      <c r="I2792" s="115"/>
      <c r="J2792" s="115"/>
      <c r="K2792" s="115"/>
      <c r="L2792" s="115"/>
      <c r="M2792" s="115"/>
      <c r="N2792" s="115"/>
      <c r="O2792" s="115"/>
    </row>
    <row r="2793">
      <c r="E2793" s="115"/>
      <c r="F2793" s="115"/>
      <c r="G2793" s="115"/>
      <c r="H2793" s="115"/>
      <c r="I2793" s="115"/>
      <c r="J2793" s="115"/>
      <c r="K2793" s="115"/>
      <c r="L2793" s="115"/>
      <c r="M2793" s="115"/>
      <c r="N2793" s="115"/>
      <c r="O2793" s="115"/>
    </row>
    <row r="2794">
      <c r="E2794" s="115"/>
      <c r="F2794" s="115"/>
      <c r="G2794" s="115"/>
      <c r="H2794" s="115"/>
      <c r="I2794" s="115"/>
      <c r="J2794" s="115"/>
      <c r="K2794" s="115"/>
      <c r="L2794" s="115"/>
      <c r="M2794" s="115"/>
      <c r="N2794" s="115"/>
      <c r="O2794" s="115"/>
    </row>
    <row r="2795">
      <c r="E2795" s="115"/>
      <c r="F2795" s="115"/>
      <c r="G2795" s="115"/>
      <c r="H2795" s="115"/>
      <c r="I2795" s="115"/>
      <c r="J2795" s="115"/>
      <c r="K2795" s="115"/>
      <c r="L2795" s="115"/>
      <c r="M2795" s="115"/>
      <c r="N2795" s="115"/>
      <c r="O2795" s="115"/>
    </row>
    <row r="2796">
      <c r="E2796" s="115"/>
      <c r="F2796" s="115"/>
      <c r="G2796" s="115"/>
      <c r="H2796" s="115"/>
      <c r="I2796" s="115"/>
      <c r="J2796" s="115"/>
      <c r="K2796" s="115"/>
      <c r="L2796" s="115"/>
      <c r="M2796" s="115"/>
      <c r="N2796" s="115"/>
      <c r="O2796" s="115"/>
    </row>
    <row r="2797">
      <c r="E2797" s="115"/>
      <c r="F2797" s="115"/>
      <c r="G2797" s="115"/>
      <c r="H2797" s="115"/>
      <c r="I2797" s="115"/>
      <c r="J2797" s="115"/>
      <c r="K2797" s="115"/>
      <c r="L2797" s="115"/>
      <c r="M2797" s="115"/>
      <c r="N2797" s="115"/>
      <c r="O2797" s="115"/>
    </row>
    <row r="2798">
      <c r="E2798" s="115"/>
      <c r="F2798" s="115"/>
      <c r="G2798" s="115"/>
      <c r="H2798" s="115"/>
      <c r="I2798" s="115"/>
      <c r="J2798" s="115"/>
      <c r="K2798" s="115"/>
      <c r="L2798" s="115"/>
      <c r="M2798" s="115"/>
      <c r="N2798" s="115"/>
      <c r="O2798" s="115"/>
    </row>
    <row r="2799">
      <c r="E2799" s="115"/>
      <c r="F2799" s="115"/>
      <c r="G2799" s="115"/>
      <c r="H2799" s="115"/>
      <c r="I2799" s="115"/>
      <c r="J2799" s="115"/>
      <c r="K2799" s="115"/>
      <c r="L2799" s="115"/>
      <c r="M2799" s="115"/>
      <c r="N2799" s="115"/>
      <c r="O2799" s="115"/>
    </row>
    <row r="2800">
      <c r="E2800" s="115"/>
      <c r="F2800" s="115"/>
      <c r="G2800" s="115"/>
      <c r="H2800" s="115"/>
      <c r="I2800" s="115"/>
      <c r="J2800" s="115"/>
      <c r="K2800" s="115"/>
      <c r="L2800" s="115"/>
      <c r="M2800" s="115"/>
      <c r="N2800" s="115"/>
      <c r="O2800" s="115"/>
    </row>
    <row r="2801">
      <c r="E2801" s="115"/>
      <c r="F2801" s="115"/>
      <c r="G2801" s="115"/>
      <c r="H2801" s="115"/>
      <c r="I2801" s="115"/>
      <c r="J2801" s="115"/>
      <c r="K2801" s="115"/>
      <c r="L2801" s="115"/>
      <c r="M2801" s="115"/>
      <c r="N2801" s="115"/>
      <c r="O2801" s="115"/>
    </row>
    <row r="2802">
      <c r="E2802" s="115"/>
      <c r="F2802" s="115"/>
      <c r="G2802" s="115"/>
      <c r="H2802" s="115"/>
      <c r="I2802" s="115"/>
      <c r="J2802" s="115"/>
      <c r="K2802" s="115"/>
      <c r="L2802" s="115"/>
      <c r="M2802" s="115"/>
      <c r="N2802" s="115"/>
      <c r="O2802" s="115"/>
    </row>
    <row r="2803">
      <c r="E2803" s="115"/>
      <c r="F2803" s="115"/>
      <c r="G2803" s="115"/>
      <c r="H2803" s="115"/>
      <c r="I2803" s="115"/>
      <c r="J2803" s="115"/>
      <c r="K2803" s="115"/>
      <c r="L2803" s="115"/>
      <c r="M2803" s="115"/>
      <c r="N2803" s="115"/>
      <c r="O2803" s="115"/>
    </row>
    <row r="2804">
      <c r="E2804" s="115"/>
      <c r="F2804" s="115"/>
      <c r="G2804" s="115"/>
      <c r="H2804" s="115"/>
      <c r="I2804" s="115"/>
      <c r="J2804" s="115"/>
      <c r="K2804" s="115"/>
      <c r="L2804" s="115"/>
      <c r="M2804" s="115"/>
      <c r="N2804" s="115"/>
      <c r="O2804" s="115"/>
    </row>
    <row r="2805">
      <c r="E2805" s="115"/>
      <c r="F2805" s="115"/>
      <c r="G2805" s="115"/>
      <c r="H2805" s="115"/>
      <c r="I2805" s="115"/>
      <c r="J2805" s="115"/>
      <c r="K2805" s="115"/>
      <c r="L2805" s="115"/>
      <c r="M2805" s="115"/>
      <c r="N2805" s="115"/>
      <c r="O2805" s="115"/>
    </row>
    <row r="2806">
      <c r="E2806" s="115"/>
      <c r="F2806" s="115"/>
      <c r="G2806" s="115"/>
      <c r="H2806" s="115"/>
      <c r="I2806" s="115"/>
      <c r="J2806" s="115"/>
      <c r="K2806" s="115"/>
      <c r="L2806" s="115"/>
      <c r="M2806" s="115"/>
      <c r="N2806" s="115"/>
      <c r="O2806" s="115"/>
    </row>
    <row r="2807">
      <c r="E2807" s="115"/>
      <c r="F2807" s="115"/>
      <c r="G2807" s="115"/>
      <c r="H2807" s="115"/>
      <c r="I2807" s="115"/>
      <c r="J2807" s="115"/>
      <c r="K2807" s="115"/>
      <c r="L2807" s="115"/>
      <c r="M2807" s="115"/>
      <c r="N2807" s="115"/>
      <c r="O2807" s="115"/>
    </row>
    <row r="2808">
      <c r="E2808" s="115"/>
      <c r="F2808" s="115"/>
      <c r="G2808" s="115"/>
      <c r="H2808" s="115"/>
      <c r="I2808" s="115"/>
      <c r="J2808" s="115"/>
      <c r="K2808" s="115"/>
      <c r="L2808" s="115"/>
      <c r="M2808" s="115"/>
      <c r="N2808" s="115"/>
      <c r="O2808" s="115"/>
    </row>
    <row r="2809">
      <c r="E2809" s="115"/>
      <c r="F2809" s="115"/>
      <c r="G2809" s="115"/>
      <c r="H2809" s="115"/>
      <c r="I2809" s="115"/>
      <c r="J2809" s="115"/>
      <c r="K2809" s="115"/>
      <c r="L2809" s="115"/>
      <c r="M2809" s="115"/>
      <c r="N2809" s="115"/>
      <c r="O2809" s="115"/>
    </row>
    <row r="2810">
      <c r="E2810" s="115"/>
      <c r="F2810" s="115"/>
      <c r="G2810" s="115"/>
      <c r="H2810" s="115"/>
      <c r="I2810" s="115"/>
      <c r="J2810" s="115"/>
      <c r="K2810" s="115"/>
      <c r="L2810" s="115"/>
      <c r="M2810" s="115"/>
      <c r="N2810" s="115"/>
      <c r="O2810" s="115"/>
    </row>
    <row r="2811">
      <c r="E2811" s="115"/>
      <c r="F2811" s="115"/>
      <c r="G2811" s="115"/>
      <c r="H2811" s="115"/>
      <c r="I2811" s="115"/>
      <c r="J2811" s="115"/>
      <c r="K2811" s="115"/>
      <c r="L2811" s="115"/>
      <c r="M2811" s="115"/>
      <c r="N2811" s="115"/>
      <c r="O2811" s="115"/>
    </row>
    <row r="2812">
      <c r="E2812" s="115"/>
      <c r="F2812" s="115"/>
      <c r="G2812" s="115"/>
      <c r="H2812" s="115"/>
      <c r="I2812" s="115"/>
      <c r="J2812" s="115"/>
      <c r="K2812" s="115"/>
      <c r="L2812" s="115"/>
      <c r="M2812" s="115"/>
      <c r="N2812" s="115"/>
      <c r="O2812" s="115"/>
    </row>
    <row r="2813">
      <c r="E2813" s="115"/>
      <c r="F2813" s="115"/>
      <c r="G2813" s="115"/>
      <c r="H2813" s="115"/>
      <c r="I2813" s="115"/>
      <c r="J2813" s="115"/>
      <c r="K2813" s="115"/>
      <c r="L2813" s="115"/>
      <c r="M2813" s="115"/>
      <c r="N2813" s="115"/>
      <c r="O2813" s="115"/>
    </row>
    <row r="2814">
      <c r="E2814" s="115"/>
      <c r="F2814" s="115"/>
      <c r="G2814" s="115"/>
      <c r="H2814" s="115"/>
      <c r="I2814" s="115"/>
      <c r="J2814" s="115"/>
      <c r="K2814" s="115"/>
      <c r="L2814" s="115"/>
      <c r="M2814" s="115"/>
      <c r="N2814" s="115"/>
      <c r="O2814" s="115"/>
    </row>
    <row r="2815">
      <c r="E2815" s="115"/>
      <c r="F2815" s="115"/>
      <c r="G2815" s="115"/>
      <c r="H2815" s="115"/>
      <c r="I2815" s="115"/>
      <c r="J2815" s="115"/>
      <c r="K2815" s="115"/>
      <c r="L2815" s="115"/>
      <c r="M2815" s="115"/>
      <c r="N2815" s="115"/>
      <c r="O2815" s="115"/>
    </row>
    <row r="2816">
      <c r="E2816" s="115"/>
      <c r="F2816" s="115"/>
      <c r="G2816" s="115"/>
      <c r="H2816" s="115"/>
      <c r="I2816" s="115"/>
      <c r="J2816" s="115"/>
      <c r="K2816" s="115"/>
      <c r="L2816" s="115"/>
      <c r="M2816" s="115"/>
      <c r="N2816" s="115"/>
      <c r="O2816" s="115"/>
    </row>
    <row r="2817">
      <c r="E2817" s="115"/>
      <c r="F2817" s="115"/>
      <c r="G2817" s="115"/>
      <c r="H2817" s="115"/>
      <c r="I2817" s="115"/>
      <c r="J2817" s="115"/>
      <c r="K2817" s="115"/>
      <c r="L2817" s="115"/>
      <c r="M2817" s="115"/>
      <c r="N2817" s="115"/>
      <c r="O2817" s="115"/>
    </row>
    <row r="2818">
      <c r="E2818" s="115"/>
      <c r="F2818" s="115"/>
      <c r="G2818" s="115"/>
      <c r="H2818" s="115"/>
      <c r="I2818" s="115"/>
      <c r="J2818" s="115"/>
      <c r="K2818" s="115"/>
      <c r="L2818" s="115"/>
      <c r="M2818" s="115"/>
      <c r="N2818" s="115"/>
      <c r="O2818" s="115"/>
    </row>
    <row r="2819">
      <c r="E2819" s="115"/>
      <c r="F2819" s="115"/>
      <c r="G2819" s="115"/>
      <c r="H2819" s="115"/>
      <c r="I2819" s="115"/>
      <c r="J2819" s="115"/>
      <c r="K2819" s="115"/>
      <c r="L2819" s="115"/>
      <c r="M2819" s="115"/>
      <c r="N2819" s="115"/>
      <c r="O2819" s="115"/>
    </row>
    <row r="2820">
      <c r="E2820" s="115"/>
      <c r="F2820" s="115"/>
      <c r="G2820" s="115"/>
      <c r="H2820" s="115"/>
      <c r="I2820" s="115"/>
      <c r="J2820" s="115"/>
      <c r="K2820" s="115"/>
      <c r="L2820" s="115"/>
      <c r="M2820" s="115"/>
      <c r="N2820" s="115"/>
      <c r="O2820" s="115"/>
    </row>
    <row r="2821">
      <c r="E2821" s="115"/>
      <c r="F2821" s="115"/>
      <c r="G2821" s="115"/>
      <c r="H2821" s="115"/>
      <c r="I2821" s="115"/>
      <c r="J2821" s="115"/>
      <c r="K2821" s="115"/>
      <c r="L2821" s="115"/>
      <c r="M2821" s="115"/>
      <c r="N2821" s="115"/>
      <c r="O2821" s="115"/>
    </row>
    <row r="2822">
      <c r="E2822" s="115"/>
      <c r="F2822" s="115"/>
      <c r="G2822" s="115"/>
      <c r="H2822" s="115"/>
      <c r="I2822" s="115"/>
      <c r="J2822" s="115"/>
      <c r="K2822" s="115"/>
      <c r="L2822" s="115"/>
      <c r="M2822" s="115"/>
      <c r="N2822" s="115"/>
      <c r="O2822" s="115"/>
    </row>
    <row r="2823">
      <c r="E2823" s="115"/>
      <c r="F2823" s="115"/>
      <c r="G2823" s="115"/>
      <c r="H2823" s="115"/>
      <c r="I2823" s="115"/>
      <c r="J2823" s="115"/>
      <c r="K2823" s="115"/>
      <c r="L2823" s="115"/>
      <c r="M2823" s="115"/>
      <c r="N2823" s="115"/>
      <c r="O2823" s="115"/>
    </row>
    <row r="2824">
      <c r="E2824" s="115"/>
      <c r="F2824" s="115"/>
      <c r="G2824" s="115"/>
      <c r="H2824" s="115"/>
      <c r="I2824" s="115"/>
      <c r="J2824" s="115"/>
      <c r="K2824" s="115"/>
      <c r="L2824" s="115"/>
      <c r="M2824" s="115"/>
      <c r="N2824" s="115"/>
      <c r="O2824" s="115"/>
    </row>
    <row r="2825">
      <c r="E2825" s="115"/>
      <c r="F2825" s="115"/>
      <c r="G2825" s="115"/>
      <c r="H2825" s="115"/>
      <c r="I2825" s="115"/>
      <c r="J2825" s="115"/>
      <c r="K2825" s="115"/>
      <c r="L2825" s="115"/>
      <c r="M2825" s="115"/>
      <c r="N2825" s="115"/>
      <c r="O2825" s="115"/>
    </row>
    <row r="2826">
      <c r="E2826" s="115"/>
      <c r="F2826" s="115"/>
      <c r="G2826" s="115"/>
      <c r="H2826" s="115"/>
      <c r="I2826" s="115"/>
      <c r="J2826" s="115"/>
      <c r="K2826" s="115"/>
      <c r="L2826" s="115"/>
      <c r="M2826" s="115"/>
      <c r="N2826" s="115"/>
      <c r="O2826" s="115"/>
    </row>
    <row r="2827">
      <c r="E2827" s="115"/>
      <c r="F2827" s="115"/>
      <c r="G2827" s="115"/>
      <c r="H2827" s="115"/>
      <c r="I2827" s="115"/>
      <c r="J2827" s="115"/>
      <c r="K2827" s="115"/>
      <c r="L2827" s="115"/>
      <c r="M2827" s="115"/>
      <c r="N2827" s="115"/>
      <c r="O2827" s="115"/>
    </row>
    <row r="2828">
      <c r="E2828" s="115"/>
      <c r="F2828" s="115"/>
      <c r="G2828" s="115"/>
      <c r="H2828" s="115"/>
      <c r="I2828" s="115"/>
      <c r="J2828" s="115"/>
      <c r="K2828" s="115"/>
      <c r="L2828" s="115"/>
      <c r="M2828" s="115"/>
      <c r="N2828" s="115"/>
      <c r="O2828" s="115"/>
    </row>
    <row r="2829">
      <c r="E2829" s="115"/>
      <c r="F2829" s="115"/>
      <c r="G2829" s="115"/>
      <c r="H2829" s="115"/>
      <c r="I2829" s="115"/>
      <c r="J2829" s="115"/>
      <c r="K2829" s="115"/>
      <c r="L2829" s="115"/>
      <c r="M2829" s="115"/>
      <c r="N2829" s="115"/>
      <c r="O2829" s="115"/>
    </row>
    <row r="2830">
      <c r="E2830" s="115"/>
      <c r="F2830" s="115"/>
      <c r="G2830" s="115"/>
      <c r="H2830" s="115"/>
      <c r="I2830" s="115"/>
      <c r="J2830" s="115"/>
      <c r="K2830" s="115"/>
      <c r="L2830" s="115"/>
      <c r="M2830" s="115"/>
      <c r="N2830" s="115"/>
      <c r="O2830" s="115"/>
    </row>
    <row r="2831">
      <c r="E2831" s="115"/>
      <c r="F2831" s="115"/>
      <c r="G2831" s="115"/>
      <c r="H2831" s="115"/>
      <c r="I2831" s="115"/>
      <c r="J2831" s="115"/>
      <c r="K2831" s="115"/>
      <c r="L2831" s="115"/>
      <c r="M2831" s="115"/>
      <c r="N2831" s="115"/>
      <c r="O2831" s="115"/>
    </row>
    <row r="2832">
      <c r="E2832" s="115"/>
      <c r="F2832" s="115"/>
      <c r="G2832" s="115"/>
      <c r="H2832" s="115"/>
      <c r="I2832" s="115"/>
      <c r="J2832" s="115"/>
      <c r="K2832" s="115"/>
      <c r="L2832" s="115"/>
      <c r="M2832" s="115"/>
      <c r="N2832" s="115"/>
      <c r="O2832" s="115"/>
    </row>
    <row r="2833">
      <c r="E2833" s="115"/>
      <c r="F2833" s="115"/>
      <c r="G2833" s="115"/>
      <c r="H2833" s="115"/>
      <c r="I2833" s="115"/>
      <c r="J2833" s="115"/>
      <c r="K2833" s="115"/>
      <c r="L2833" s="115"/>
      <c r="M2833" s="115"/>
      <c r="N2833" s="115"/>
      <c r="O2833" s="115"/>
    </row>
    <row r="2834">
      <c r="E2834" s="115"/>
      <c r="F2834" s="115"/>
      <c r="G2834" s="115"/>
      <c r="H2834" s="115"/>
      <c r="I2834" s="115"/>
      <c r="J2834" s="115"/>
      <c r="K2834" s="115"/>
      <c r="L2834" s="115"/>
      <c r="M2834" s="115"/>
      <c r="N2834" s="115"/>
      <c r="O2834" s="115"/>
    </row>
    <row r="2835">
      <c r="E2835" s="115"/>
      <c r="F2835" s="115"/>
      <c r="G2835" s="115"/>
      <c r="H2835" s="115"/>
      <c r="I2835" s="115"/>
      <c r="J2835" s="115"/>
      <c r="K2835" s="115"/>
      <c r="L2835" s="115"/>
      <c r="M2835" s="115"/>
      <c r="N2835" s="115"/>
      <c r="O2835" s="115"/>
    </row>
    <row r="2836">
      <c r="E2836" s="115"/>
      <c r="F2836" s="115"/>
      <c r="G2836" s="115"/>
      <c r="H2836" s="115"/>
      <c r="I2836" s="115"/>
      <c r="J2836" s="115"/>
      <c r="K2836" s="115"/>
      <c r="L2836" s="115"/>
      <c r="M2836" s="115"/>
      <c r="N2836" s="115"/>
      <c r="O2836" s="115"/>
    </row>
    <row r="2837">
      <c r="E2837" s="115"/>
      <c r="F2837" s="115"/>
      <c r="G2837" s="115"/>
      <c r="H2837" s="115"/>
      <c r="I2837" s="115"/>
      <c r="J2837" s="115"/>
      <c r="K2837" s="115"/>
      <c r="L2837" s="115"/>
      <c r="M2837" s="115"/>
      <c r="N2837" s="115"/>
      <c r="O2837" s="115"/>
    </row>
    <row r="2838">
      <c r="E2838" s="115"/>
      <c r="F2838" s="115"/>
      <c r="G2838" s="115"/>
      <c r="H2838" s="115"/>
      <c r="I2838" s="115"/>
      <c r="J2838" s="115"/>
      <c r="K2838" s="115"/>
      <c r="L2838" s="115"/>
      <c r="M2838" s="115"/>
      <c r="N2838" s="115"/>
      <c r="O2838" s="115"/>
    </row>
    <row r="2839">
      <c r="E2839" s="115"/>
      <c r="F2839" s="115"/>
      <c r="G2839" s="115"/>
      <c r="H2839" s="115"/>
      <c r="I2839" s="115"/>
      <c r="J2839" s="115"/>
      <c r="K2839" s="115"/>
      <c r="L2839" s="115"/>
      <c r="M2839" s="115"/>
      <c r="N2839" s="115"/>
      <c r="O2839" s="115"/>
    </row>
    <row r="2840">
      <c r="E2840" s="115"/>
      <c r="F2840" s="115"/>
      <c r="G2840" s="115"/>
      <c r="H2840" s="115"/>
      <c r="I2840" s="115"/>
      <c r="J2840" s="115"/>
      <c r="K2840" s="115"/>
      <c r="L2840" s="115"/>
      <c r="M2840" s="115"/>
      <c r="N2840" s="115"/>
      <c r="O2840" s="115"/>
    </row>
    <row r="2841">
      <c r="E2841" s="115"/>
      <c r="F2841" s="115"/>
      <c r="G2841" s="115"/>
      <c r="H2841" s="115"/>
      <c r="I2841" s="115"/>
      <c r="J2841" s="115"/>
      <c r="K2841" s="115"/>
      <c r="L2841" s="115"/>
      <c r="M2841" s="115"/>
      <c r="N2841" s="115"/>
      <c r="O2841" s="115"/>
    </row>
    <row r="2842">
      <c r="E2842" s="115"/>
      <c r="F2842" s="115"/>
      <c r="G2842" s="115"/>
      <c r="H2842" s="115"/>
      <c r="I2842" s="115"/>
      <c r="J2842" s="115"/>
      <c r="K2842" s="115"/>
      <c r="L2842" s="115"/>
      <c r="M2842" s="115"/>
      <c r="N2842" s="115"/>
      <c r="O2842" s="115"/>
    </row>
    <row r="2843">
      <c r="E2843" s="115"/>
      <c r="F2843" s="115"/>
      <c r="G2843" s="115"/>
      <c r="H2843" s="115"/>
      <c r="I2843" s="115"/>
      <c r="J2843" s="115"/>
      <c r="K2843" s="115"/>
      <c r="L2843" s="115"/>
      <c r="M2843" s="115"/>
      <c r="N2843" s="115"/>
      <c r="O2843" s="115"/>
    </row>
    <row r="2844">
      <c r="E2844" s="115"/>
      <c r="F2844" s="115"/>
      <c r="G2844" s="115"/>
      <c r="H2844" s="115"/>
      <c r="I2844" s="115"/>
      <c r="J2844" s="115"/>
      <c r="K2844" s="115"/>
      <c r="L2844" s="115"/>
      <c r="M2844" s="115"/>
      <c r="N2844" s="115"/>
      <c r="O2844" s="115"/>
    </row>
    <row r="2845">
      <c r="E2845" s="115"/>
      <c r="F2845" s="115"/>
      <c r="G2845" s="115"/>
      <c r="H2845" s="115"/>
      <c r="I2845" s="115"/>
      <c r="J2845" s="115"/>
      <c r="K2845" s="115"/>
      <c r="L2845" s="115"/>
      <c r="M2845" s="115"/>
      <c r="N2845" s="115"/>
      <c r="O2845" s="115"/>
    </row>
    <row r="2846">
      <c r="E2846" s="115"/>
      <c r="F2846" s="115"/>
      <c r="G2846" s="115"/>
      <c r="H2846" s="115"/>
      <c r="I2846" s="115"/>
      <c r="J2846" s="115"/>
      <c r="K2846" s="115"/>
      <c r="L2846" s="115"/>
      <c r="M2846" s="115"/>
      <c r="N2846" s="115"/>
      <c r="O2846" s="115"/>
    </row>
    <row r="2847">
      <c r="E2847" s="115"/>
      <c r="F2847" s="115"/>
      <c r="G2847" s="115"/>
      <c r="H2847" s="115"/>
      <c r="I2847" s="115"/>
      <c r="J2847" s="115"/>
      <c r="K2847" s="115"/>
      <c r="L2847" s="115"/>
      <c r="M2847" s="115"/>
      <c r="N2847" s="115"/>
      <c r="O2847" s="115"/>
    </row>
    <row r="2848">
      <c r="E2848" s="115"/>
      <c r="F2848" s="115"/>
      <c r="G2848" s="115"/>
      <c r="H2848" s="115"/>
      <c r="I2848" s="115"/>
      <c r="J2848" s="115"/>
      <c r="K2848" s="115"/>
      <c r="L2848" s="115"/>
      <c r="M2848" s="115"/>
      <c r="N2848" s="115"/>
      <c r="O2848" s="115"/>
    </row>
    <row r="2849">
      <c r="E2849" s="115"/>
      <c r="F2849" s="115"/>
      <c r="G2849" s="115"/>
      <c r="H2849" s="115"/>
      <c r="I2849" s="115"/>
      <c r="J2849" s="115"/>
      <c r="K2849" s="115"/>
      <c r="L2849" s="115"/>
      <c r="M2849" s="115"/>
      <c r="N2849" s="115"/>
      <c r="O2849" s="115"/>
    </row>
    <row r="2850">
      <c r="E2850" s="115"/>
      <c r="F2850" s="115"/>
      <c r="G2850" s="115"/>
      <c r="H2850" s="115"/>
      <c r="I2850" s="115"/>
      <c r="J2850" s="115"/>
      <c r="K2850" s="115"/>
      <c r="L2850" s="115"/>
      <c r="M2850" s="115"/>
      <c r="N2850" s="115"/>
      <c r="O2850" s="115"/>
    </row>
    <row r="2851">
      <c r="E2851" s="115"/>
      <c r="F2851" s="115"/>
      <c r="G2851" s="115"/>
      <c r="H2851" s="115"/>
      <c r="I2851" s="115"/>
      <c r="J2851" s="115"/>
      <c r="K2851" s="115"/>
      <c r="L2851" s="115"/>
      <c r="M2851" s="115"/>
      <c r="N2851" s="115"/>
      <c r="O2851" s="115"/>
    </row>
    <row r="2852">
      <c r="E2852" s="115"/>
      <c r="F2852" s="115"/>
      <c r="G2852" s="115"/>
      <c r="H2852" s="115"/>
      <c r="I2852" s="115"/>
      <c r="J2852" s="115"/>
      <c r="K2852" s="115"/>
      <c r="L2852" s="115"/>
      <c r="M2852" s="115"/>
      <c r="N2852" s="115"/>
      <c r="O2852" s="115"/>
    </row>
    <row r="2853">
      <c r="E2853" s="115"/>
      <c r="F2853" s="115"/>
      <c r="G2853" s="115"/>
      <c r="H2853" s="115"/>
      <c r="I2853" s="115"/>
      <c r="J2853" s="115"/>
      <c r="K2853" s="115"/>
      <c r="L2853" s="115"/>
      <c r="M2853" s="115"/>
      <c r="N2853" s="115"/>
      <c r="O2853" s="115"/>
    </row>
    <row r="2854">
      <c r="E2854" s="115"/>
      <c r="F2854" s="115"/>
      <c r="G2854" s="115"/>
      <c r="H2854" s="115"/>
      <c r="I2854" s="115"/>
      <c r="J2854" s="115"/>
      <c r="K2854" s="115"/>
      <c r="L2854" s="115"/>
      <c r="M2854" s="115"/>
      <c r="N2854" s="115"/>
      <c r="O2854" s="115"/>
    </row>
    <row r="2855">
      <c r="E2855" s="115"/>
      <c r="F2855" s="115"/>
      <c r="G2855" s="115"/>
      <c r="H2855" s="115"/>
      <c r="I2855" s="115"/>
      <c r="J2855" s="115"/>
      <c r="K2855" s="115"/>
      <c r="L2855" s="115"/>
      <c r="M2855" s="115"/>
      <c r="N2855" s="115"/>
      <c r="O2855" s="115"/>
    </row>
    <row r="2856">
      <c r="E2856" s="115"/>
      <c r="F2856" s="115"/>
      <c r="G2856" s="115"/>
      <c r="H2856" s="115"/>
      <c r="I2856" s="115"/>
      <c r="J2856" s="115"/>
      <c r="K2856" s="115"/>
      <c r="L2856" s="115"/>
      <c r="M2856" s="115"/>
      <c r="N2856" s="115"/>
      <c r="O2856" s="115"/>
    </row>
    <row r="2857">
      <c r="E2857" s="115"/>
      <c r="F2857" s="115"/>
      <c r="G2857" s="115"/>
      <c r="H2857" s="115"/>
      <c r="I2857" s="115"/>
      <c r="J2857" s="115"/>
      <c r="K2857" s="115"/>
      <c r="L2857" s="115"/>
      <c r="M2857" s="115"/>
      <c r="N2857" s="115"/>
      <c r="O2857" s="115"/>
    </row>
    <row r="2858">
      <c r="E2858" s="115"/>
      <c r="F2858" s="115"/>
      <c r="G2858" s="115"/>
      <c r="H2858" s="115"/>
      <c r="I2858" s="115"/>
      <c r="J2858" s="115"/>
      <c r="K2858" s="115"/>
      <c r="L2858" s="115"/>
      <c r="M2858" s="115"/>
      <c r="N2858" s="115"/>
      <c r="O2858" s="115"/>
    </row>
    <row r="2859">
      <c r="E2859" s="115"/>
      <c r="F2859" s="115"/>
      <c r="G2859" s="115"/>
      <c r="H2859" s="115"/>
      <c r="I2859" s="115"/>
      <c r="J2859" s="115"/>
      <c r="K2859" s="115"/>
      <c r="L2859" s="115"/>
      <c r="M2859" s="115"/>
      <c r="N2859" s="115"/>
      <c r="O2859" s="115"/>
    </row>
    <row r="2860">
      <c r="E2860" s="115"/>
      <c r="F2860" s="115"/>
      <c r="G2860" s="115"/>
      <c r="H2860" s="115"/>
      <c r="I2860" s="115"/>
      <c r="J2860" s="115"/>
      <c r="K2860" s="115"/>
      <c r="L2860" s="115"/>
      <c r="M2860" s="115"/>
      <c r="N2860" s="115"/>
      <c r="O2860" s="115"/>
    </row>
    <row r="2861">
      <c r="E2861" s="115"/>
      <c r="F2861" s="115"/>
      <c r="G2861" s="115"/>
      <c r="H2861" s="115"/>
      <c r="I2861" s="115"/>
      <c r="J2861" s="115"/>
      <c r="K2861" s="115"/>
      <c r="L2861" s="115"/>
      <c r="M2861" s="115"/>
      <c r="N2861" s="115"/>
      <c r="O2861" s="115"/>
    </row>
    <row r="2862">
      <c r="E2862" s="115"/>
      <c r="F2862" s="115"/>
      <c r="G2862" s="115"/>
      <c r="H2862" s="115"/>
      <c r="I2862" s="115"/>
      <c r="J2862" s="115"/>
      <c r="K2862" s="115"/>
      <c r="L2862" s="115"/>
      <c r="M2862" s="115"/>
      <c r="N2862" s="115"/>
      <c r="O2862" s="115"/>
    </row>
    <row r="2863">
      <c r="E2863" s="115"/>
      <c r="F2863" s="115"/>
      <c r="G2863" s="115"/>
      <c r="H2863" s="115"/>
      <c r="I2863" s="115"/>
      <c r="J2863" s="115"/>
      <c r="K2863" s="115"/>
      <c r="L2863" s="115"/>
      <c r="M2863" s="115"/>
      <c r="N2863" s="115"/>
      <c r="O2863" s="115"/>
    </row>
    <row r="2864">
      <c r="E2864" s="115"/>
      <c r="F2864" s="115"/>
      <c r="G2864" s="115"/>
      <c r="H2864" s="115"/>
      <c r="I2864" s="115"/>
      <c r="J2864" s="115"/>
      <c r="K2864" s="115"/>
      <c r="L2864" s="115"/>
      <c r="M2864" s="115"/>
      <c r="N2864" s="115"/>
      <c r="O2864" s="115"/>
    </row>
    <row r="2865">
      <c r="E2865" s="115"/>
      <c r="F2865" s="115"/>
      <c r="G2865" s="115"/>
      <c r="H2865" s="115"/>
      <c r="I2865" s="115"/>
      <c r="J2865" s="115"/>
      <c r="K2865" s="115"/>
      <c r="L2865" s="115"/>
      <c r="M2865" s="115"/>
      <c r="N2865" s="115"/>
      <c r="O2865" s="115"/>
    </row>
    <row r="2866">
      <c r="E2866" s="115"/>
      <c r="F2866" s="115"/>
      <c r="G2866" s="115"/>
      <c r="H2866" s="115"/>
      <c r="I2866" s="115"/>
      <c r="J2866" s="115"/>
      <c r="K2866" s="115"/>
      <c r="L2866" s="115"/>
      <c r="M2866" s="115"/>
      <c r="N2866" s="115"/>
      <c r="O2866" s="115"/>
    </row>
    <row r="2867">
      <c r="E2867" s="115"/>
      <c r="F2867" s="115"/>
      <c r="G2867" s="115"/>
      <c r="H2867" s="115"/>
      <c r="I2867" s="115"/>
      <c r="J2867" s="115"/>
      <c r="K2867" s="115"/>
      <c r="L2867" s="115"/>
      <c r="M2867" s="115"/>
      <c r="N2867" s="115"/>
      <c r="O2867" s="115"/>
    </row>
    <row r="2868">
      <c r="E2868" s="115"/>
      <c r="F2868" s="115"/>
      <c r="G2868" s="115"/>
      <c r="H2868" s="115"/>
      <c r="I2868" s="115"/>
      <c r="J2868" s="115"/>
      <c r="K2868" s="115"/>
      <c r="L2868" s="115"/>
      <c r="M2868" s="115"/>
      <c r="N2868" s="115"/>
      <c r="O2868" s="115"/>
    </row>
    <row r="2869">
      <c r="E2869" s="115"/>
      <c r="F2869" s="115"/>
      <c r="G2869" s="115"/>
      <c r="H2869" s="115"/>
      <c r="I2869" s="115"/>
      <c r="J2869" s="115"/>
      <c r="K2869" s="115"/>
      <c r="L2869" s="115"/>
      <c r="M2869" s="115"/>
      <c r="N2869" s="115"/>
      <c r="O2869" s="115"/>
    </row>
    <row r="2870">
      <c r="E2870" s="115"/>
      <c r="F2870" s="115"/>
      <c r="G2870" s="115"/>
      <c r="H2870" s="115"/>
      <c r="I2870" s="115"/>
      <c r="J2870" s="115"/>
      <c r="K2870" s="115"/>
      <c r="L2870" s="115"/>
      <c r="M2870" s="115"/>
      <c r="N2870" s="115"/>
      <c r="O2870" s="115"/>
    </row>
    <row r="2871">
      <c r="E2871" s="115"/>
      <c r="F2871" s="115"/>
      <c r="G2871" s="115"/>
      <c r="H2871" s="115"/>
      <c r="I2871" s="115"/>
      <c r="J2871" s="115"/>
      <c r="K2871" s="115"/>
      <c r="L2871" s="115"/>
      <c r="M2871" s="115"/>
      <c r="N2871" s="115"/>
      <c r="O2871" s="115"/>
    </row>
    <row r="2872">
      <c r="E2872" s="115"/>
      <c r="F2872" s="115"/>
      <c r="G2872" s="115"/>
      <c r="H2872" s="115"/>
      <c r="I2872" s="115"/>
      <c r="J2872" s="115"/>
      <c r="K2872" s="115"/>
      <c r="L2872" s="115"/>
      <c r="M2872" s="115"/>
      <c r="N2872" s="115"/>
      <c r="O2872" s="115"/>
    </row>
    <row r="2873">
      <c r="E2873" s="115"/>
      <c r="F2873" s="115"/>
      <c r="G2873" s="115"/>
      <c r="H2873" s="115"/>
      <c r="I2873" s="115"/>
      <c r="J2873" s="115"/>
      <c r="K2873" s="115"/>
      <c r="L2873" s="115"/>
      <c r="M2873" s="115"/>
      <c r="N2873" s="115"/>
      <c r="O2873" s="115"/>
    </row>
    <row r="2874">
      <c r="E2874" s="115"/>
      <c r="F2874" s="115"/>
      <c r="G2874" s="115"/>
      <c r="H2874" s="115"/>
      <c r="I2874" s="115"/>
      <c r="J2874" s="115"/>
      <c r="K2874" s="115"/>
      <c r="L2874" s="115"/>
      <c r="M2874" s="115"/>
      <c r="N2874" s="115"/>
      <c r="O2874" s="115"/>
    </row>
    <row r="2875">
      <c r="E2875" s="115"/>
      <c r="F2875" s="115"/>
      <c r="G2875" s="115"/>
      <c r="H2875" s="115"/>
      <c r="I2875" s="115"/>
      <c r="J2875" s="115"/>
      <c r="K2875" s="115"/>
      <c r="L2875" s="115"/>
      <c r="M2875" s="115"/>
      <c r="N2875" s="115"/>
      <c r="O2875" s="115"/>
    </row>
    <row r="2876">
      <c r="E2876" s="115"/>
      <c r="F2876" s="115"/>
      <c r="G2876" s="115"/>
      <c r="H2876" s="115"/>
      <c r="I2876" s="115"/>
      <c r="J2876" s="115"/>
      <c r="K2876" s="115"/>
      <c r="L2876" s="115"/>
      <c r="M2876" s="115"/>
      <c r="N2876" s="115"/>
      <c r="O2876" s="115"/>
    </row>
    <row r="2877">
      <c r="E2877" s="115"/>
      <c r="F2877" s="115"/>
      <c r="G2877" s="115"/>
      <c r="H2877" s="115"/>
      <c r="I2877" s="115"/>
      <c r="J2877" s="115"/>
      <c r="K2877" s="115"/>
      <c r="L2877" s="115"/>
      <c r="M2877" s="115"/>
      <c r="N2877" s="115"/>
      <c r="O2877" s="115"/>
    </row>
    <row r="2878">
      <c r="E2878" s="115"/>
      <c r="F2878" s="115"/>
      <c r="G2878" s="115"/>
      <c r="H2878" s="115"/>
      <c r="I2878" s="115"/>
      <c r="J2878" s="115"/>
      <c r="K2878" s="115"/>
      <c r="L2878" s="115"/>
      <c r="M2878" s="115"/>
      <c r="N2878" s="115"/>
      <c r="O2878" s="115"/>
    </row>
    <row r="2879">
      <c r="E2879" s="115"/>
      <c r="F2879" s="115"/>
      <c r="G2879" s="115"/>
      <c r="H2879" s="115"/>
      <c r="I2879" s="115"/>
      <c r="J2879" s="115"/>
      <c r="K2879" s="115"/>
      <c r="L2879" s="115"/>
      <c r="M2879" s="115"/>
      <c r="N2879" s="115"/>
      <c r="O2879" s="115"/>
    </row>
    <row r="2880">
      <c r="E2880" s="115"/>
      <c r="F2880" s="115"/>
      <c r="G2880" s="115"/>
      <c r="H2880" s="115"/>
      <c r="I2880" s="115"/>
      <c r="J2880" s="115"/>
      <c r="K2880" s="115"/>
      <c r="L2880" s="115"/>
      <c r="M2880" s="115"/>
      <c r="N2880" s="115"/>
      <c r="O2880" s="115"/>
    </row>
    <row r="2881">
      <c r="E2881" s="115"/>
      <c r="F2881" s="115"/>
      <c r="G2881" s="115"/>
      <c r="H2881" s="115"/>
      <c r="I2881" s="115"/>
      <c r="J2881" s="115"/>
      <c r="K2881" s="115"/>
      <c r="L2881" s="115"/>
      <c r="M2881" s="115"/>
      <c r="N2881" s="115"/>
      <c r="O2881" s="115"/>
    </row>
    <row r="2882">
      <c r="E2882" s="115"/>
      <c r="F2882" s="115"/>
      <c r="G2882" s="115"/>
      <c r="H2882" s="115"/>
      <c r="I2882" s="115"/>
      <c r="J2882" s="115"/>
      <c r="K2882" s="115"/>
      <c r="L2882" s="115"/>
      <c r="M2882" s="115"/>
      <c r="N2882" s="115"/>
      <c r="O2882" s="115"/>
    </row>
    <row r="2883">
      <c r="E2883" s="115"/>
      <c r="F2883" s="115"/>
      <c r="G2883" s="115"/>
      <c r="H2883" s="115"/>
      <c r="I2883" s="115"/>
      <c r="J2883" s="115"/>
      <c r="K2883" s="115"/>
      <c r="L2883" s="115"/>
      <c r="M2883" s="115"/>
      <c r="N2883" s="115"/>
      <c r="O2883" s="115"/>
    </row>
    <row r="2884">
      <c r="E2884" s="115"/>
      <c r="F2884" s="115"/>
      <c r="G2884" s="115"/>
      <c r="H2884" s="115"/>
      <c r="I2884" s="115"/>
      <c r="J2884" s="115"/>
      <c r="K2884" s="115"/>
      <c r="L2884" s="115"/>
      <c r="M2884" s="115"/>
      <c r="N2884" s="115"/>
      <c r="O2884" s="115"/>
    </row>
    <row r="2885">
      <c r="E2885" s="115"/>
      <c r="F2885" s="115"/>
      <c r="G2885" s="115"/>
      <c r="H2885" s="115"/>
      <c r="I2885" s="115"/>
      <c r="J2885" s="115"/>
      <c r="K2885" s="115"/>
      <c r="L2885" s="115"/>
      <c r="M2885" s="115"/>
      <c r="N2885" s="115"/>
      <c r="O2885" s="115"/>
    </row>
    <row r="2886">
      <c r="E2886" s="115"/>
      <c r="F2886" s="115"/>
      <c r="G2886" s="115"/>
      <c r="H2886" s="115"/>
      <c r="I2886" s="115"/>
      <c r="J2886" s="115"/>
      <c r="K2886" s="115"/>
      <c r="L2886" s="115"/>
      <c r="M2886" s="115"/>
      <c r="N2886" s="115"/>
      <c r="O2886" s="115"/>
    </row>
    <row r="2887">
      <c r="E2887" s="115"/>
      <c r="F2887" s="115"/>
      <c r="G2887" s="115"/>
      <c r="H2887" s="115"/>
      <c r="I2887" s="115"/>
      <c r="J2887" s="115"/>
      <c r="K2887" s="115"/>
      <c r="L2887" s="115"/>
      <c r="M2887" s="115"/>
      <c r="N2887" s="115"/>
      <c r="O2887" s="115"/>
    </row>
    <row r="2888">
      <c r="E2888" s="115"/>
      <c r="F2888" s="115"/>
      <c r="G2888" s="115"/>
      <c r="H2888" s="115"/>
      <c r="I2888" s="115"/>
      <c r="J2888" s="115"/>
      <c r="K2888" s="115"/>
      <c r="L2888" s="115"/>
      <c r="M2888" s="115"/>
      <c r="N2888" s="115"/>
      <c r="O2888" s="115"/>
    </row>
    <row r="2889">
      <c r="E2889" s="115"/>
      <c r="F2889" s="115"/>
      <c r="G2889" s="115"/>
      <c r="H2889" s="115"/>
      <c r="I2889" s="115"/>
      <c r="J2889" s="115"/>
      <c r="K2889" s="115"/>
      <c r="L2889" s="115"/>
      <c r="M2889" s="115"/>
      <c r="N2889" s="115"/>
      <c r="O2889" s="115"/>
    </row>
    <row r="2890">
      <c r="E2890" s="115"/>
      <c r="F2890" s="115"/>
      <c r="G2890" s="115"/>
      <c r="H2890" s="115"/>
      <c r="I2890" s="115"/>
      <c r="J2890" s="115"/>
      <c r="K2890" s="115"/>
      <c r="L2890" s="115"/>
      <c r="M2890" s="115"/>
      <c r="N2890" s="115"/>
      <c r="O2890" s="115"/>
    </row>
    <row r="2891">
      <c r="E2891" s="115"/>
      <c r="F2891" s="115"/>
      <c r="G2891" s="115"/>
      <c r="H2891" s="115"/>
      <c r="I2891" s="115"/>
      <c r="J2891" s="115"/>
      <c r="K2891" s="115"/>
      <c r="L2891" s="115"/>
      <c r="M2891" s="115"/>
      <c r="N2891" s="115"/>
      <c r="O2891" s="115"/>
    </row>
    <row r="2892">
      <c r="E2892" s="115"/>
      <c r="F2892" s="115"/>
      <c r="G2892" s="115"/>
      <c r="H2892" s="115"/>
      <c r="I2892" s="115"/>
      <c r="J2892" s="115"/>
      <c r="K2892" s="115"/>
      <c r="L2892" s="115"/>
      <c r="M2892" s="115"/>
      <c r="N2892" s="115"/>
      <c r="O2892" s="115"/>
    </row>
    <row r="2893">
      <c r="E2893" s="115"/>
      <c r="F2893" s="115"/>
      <c r="G2893" s="115"/>
      <c r="H2893" s="115"/>
      <c r="I2893" s="115"/>
      <c r="J2893" s="115"/>
      <c r="K2893" s="115"/>
      <c r="L2893" s="115"/>
      <c r="M2893" s="115"/>
      <c r="N2893" s="115"/>
      <c r="O2893" s="115"/>
    </row>
    <row r="2894">
      <c r="E2894" s="115"/>
      <c r="F2894" s="115"/>
      <c r="G2894" s="115"/>
      <c r="H2894" s="115"/>
      <c r="I2894" s="115"/>
      <c r="J2894" s="115"/>
      <c r="K2894" s="115"/>
      <c r="L2894" s="115"/>
      <c r="M2894" s="115"/>
      <c r="N2894" s="115"/>
      <c r="O2894" s="115"/>
    </row>
    <row r="2895">
      <c r="E2895" s="115"/>
      <c r="F2895" s="115"/>
      <c r="G2895" s="115"/>
      <c r="H2895" s="115"/>
      <c r="I2895" s="115"/>
      <c r="J2895" s="115"/>
      <c r="K2895" s="115"/>
      <c r="L2895" s="115"/>
      <c r="M2895" s="115"/>
      <c r="N2895" s="115"/>
      <c r="O2895" s="115"/>
    </row>
    <row r="2896">
      <c r="E2896" s="115"/>
      <c r="F2896" s="115"/>
      <c r="G2896" s="115"/>
      <c r="H2896" s="115"/>
      <c r="I2896" s="115"/>
      <c r="J2896" s="115"/>
      <c r="K2896" s="115"/>
      <c r="L2896" s="115"/>
      <c r="M2896" s="115"/>
      <c r="N2896" s="115"/>
      <c r="O2896" s="115"/>
    </row>
    <row r="2897">
      <c r="E2897" s="115"/>
      <c r="F2897" s="115"/>
      <c r="G2897" s="115"/>
      <c r="H2897" s="115"/>
      <c r="I2897" s="115"/>
      <c r="J2897" s="115"/>
      <c r="K2897" s="115"/>
      <c r="L2897" s="115"/>
      <c r="M2897" s="115"/>
      <c r="N2897" s="115"/>
      <c r="O2897" s="115"/>
    </row>
    <row r="2898">
      <c r="E2898" s="115"/>
      <c r="F2898" s="115"/>
      <c r="G2898" s="115"/>
      <c r="H2898" s="115"/>
      <c r="I2898" s="115"/>
      <c r="J2898" s="115"/>
      <c r="K2898" s="115"/>
      <c r="L2898" s="115"/>
      <c r="M2898" s="115"/>
      <c r="N2898" s="115"/>
      <c r="O2898" s="115"/>
    </row>
    <row r="2899">
      <c r="E2899" s="115"/>
      <c r="F2899" s="115"/>
      <c r="G2899" s="115"/>
      <c r="H2899" s="115"/>
      <c r="I2899" s="115"/>
      <c r="J2899" s="115"/>
      <c r="K2899" s="115"/>
      <c r="L2899" s="115"/>
      <c r="M2899" s="115"/>
      <c r="N2899" s="115"/>
      <c r="O2899" s="115"/>
    </row>
    <row r="2900">
      <c r="E2900" s="115"/>
      <c r="F2900" s="115"/>
      <c r="G2900" s="115"/>
      <c r="H2900" s="115"/>
      <c r="I2900" s="115"/>
      <c r="J2900" s="115"/>
      <c r="K2900" s="115"/>
      <c r="L2900" s="115"/>
      <c r="M2900" s="115"/>
      <c r="N2900" s="115"/>
      <c r="O2900" s="115"/>
    </row>
    <row r="2901">
      <c r="E2901" s="115"/>
      <c r="F2901" s="115"/>
      <c r="G2901" s="115"/>
      <c r="H2901" s="115"/>
      <c r="I2901" s="115"/>
      <c r="J2901" s="115"/>
      <c r="K2901" s="115"/>
      <c r="L2901" s="115"/>
      <c r="M2901" s="115"/>
      <c r="N2901" s="115"/>
      <c r="O2901" s="115"/>
    </row>
    <row r="2902">
      <c r="E2902" s="115"/>
      <c r="F2902" s="115"/>
      <c r="G2902" s="115"/>
      <c r="H2902" s="115"/>
      <c r="I2902" s="115"/>
      <c r="J2902" s="115"/>
      <c r="K2902" s="115"/>
      <c r="L2902" s="115"/>
      <c r="M2902" s="115"/>
      <c r="N2902" s="115"/>
      <c r="O2902" s="115"/>
    </row>
    <row r="2903">
      <c r="E2903" s="115"/>
      <c r="F2903" s="115"/>
      <c r="G2903" s="115"/>
      <c r="H2903" s="115"/>
      <c r="I2903" s="115"/>
      <c r="J2903" s="115"/>
      <c r="K2903" s="115"/>
      <c r="L2903" s="115"/>
      <c r="M2903" s="115"/>
      <c r="N2903" s="115"/>
      <c r="O2903" s="115"/>
    </row>
    <row r="2904">
      <c r="E2904" s="115"/>
      <c r="F2904" s="115"/>
      <c r="G2904" s="115"/>
      <c r="H2904" s="115"/>
      <c r="I2904" s="115"/>
      <c r="J2904" s="115"/>
      <c r="K2904" s="115"/>
      <c r="L2904" s="115"/>
      <c r="M2904" s="115"/>
      <c r="N2904" s="115"/>
      <c r="O2904" s="115"/>
    </row>
    <row r="2905">
      <c r="E2905" s="115"/>
      <c r="F2905" s="115"/>
      <c r="G2905" s="115"/>
      <c r="H2905" s="115"/>
      <c r="I2905" s="115"/>
      <c r="J2905" s="115"/>
      <c r="K2905" s="115"/>
      <c r="L2905" s="115"/>
      <c r="M2905" s="115"/>
      <c r="N2905" s="115"/>
      <c r="O2905" s="115"/>
    </row>
    <row r="2906">
      <c r="E2906" s="115"/>
      <c r="F2906" s="115"/>
      <c r="G2906" s="115"/>
      <c r="H2906" s="115"/>
      <c r="I2906" s="115"/>
      <c r="J2906" s="115"/>
      <c r="K2906" s="115"/>
      <c r="L2906" s="115"/>
      <c r="M2906" s="115"/>
      <c r="N2906" s="115"/>
      <c r="O2906" s="115"/>
    </row>
    <row r="2907">
      <c r="E2907" s="115"/>
      <c r="F2907" s="115"/>
      <c r="G2907" s="115"/>
      <c r="H2907" s="115"/>
      <c r="I2907" s="115"/>
      <c r="J2907" s="115"/>
      <c r="K2907" s="115"/>
      <c r="L2907" s="115"/>
      <c r="M2907" s="115"/>
      <c r="N2907" s="115"/>
      <c r="O2907" s="115"/>
    </row>
    <row r="2908">
      <c r="E2908" s="115"/>
      <c r="F2908" s="115"/>
      <c r="G2908" s="115"/>
      <c r="H2908" s="115"/>
      <c r="I2908" s="115"/>
      <c r="J2908" s="115"/>
      <c r="K2908" s="115"/>
      <c r="L2908" s="115"/>
      <c r="M2908" s="115"/>
      <c r="N2908" s="115"/>
      <c r="O2908" s="115"/>
    </row>
    <row r="2909">
      <c r="E2909" s="115"/>
      <c r="F2909" s="115"/>
      <c r="G2909" s="115"/>
      <c r="H2909" s="115"/>
      <c r="I2909" s="115"/>
      <c r="J2909" s="115"/>
      <c r="K2909" s="115"/>
      <c r="L2909" s="115"/>
      <c r="M2909" s="115"/>
      <c r="N2909" s="115"/>
      <c r="O2909" s="115"/>
    </row>
    <row r="2910">
      <c r="E2910" s="115"/>
      <c r="F2910" s="115"/>
      <c r="G2910" s="115"/>
      <c r="H2910" s="115"/>
      <c r="I2910" s="115"/>
      <c r="J2910" s="115"/>
      <c r="K2910" s="115"/>
      <c r="L2910" s="115"/>
      <c r="M2910" s="115"/>
      <c r="N2910" s="115"/>
      <c r="O2910" s="115"/>
    </row>
    <row r="2911">
      <c r="E2911" s="115"/>
      <c r="F2911" s="115"/>
      <c r="G2911" s="115"/>
      <c r="H2911" s="115"/>
      <c r="I2911" s="115"/>
      <c r="J2911" s="115"/>
      <c r="K2911" s="115"/>
      <c r="L2911" s="115"/>
      <c r="M2911" s="115"/>
      <c r="N2911" s="115"/>
      <c r="O2911" s="115"/>
    </row>
    <row r="2912">
      <c r="E2912" s="115"/>
      <c r="F2912" s="115"/>
      <c r="G2912" s="115"/>
      <c r="H2912" s="115"/>
      <c r="I2912" s="115"/>
      <c r="J2912" s="115"/>
      <c r="K2912" s="115"/>
      <c r="L2912" s="115"/>
      <c r="M2912" s="115"/>
      <c r="N2912" s="115"/>
      <c r="O2912" s="115"/>
    </row>
    <row r="2913">
      <c r="E2913" s="115"/>
      <c r="F2913" s="115"/>
      <c r="G2913" s="115"/>
      <c r="H2913" s="115"/>
      <c r="I2913" s="115"/>
      <c r="J2913" s="115"/>
      <c r="K2913" s="115"/>
      <c r="L2913" s="115"/>
      <c r="M2913" s="115"/>
      <c r="N2913" s="115"/>
      <c r="O2913" s="115"/>
    </row>
    <row r="2914">
      <c r="E2914" s="115"/>
      <c r="F2914" s="115"/>
      <c r="G2914" s="115"/>
      <c r="H2914" s="115"/>
      <c r="I2914" s="115"/>
      <c r="J2914" s="115"/>
      <c r="K2914" s="115"/>
      <c r="L2914" s="115"/>
      <c r="M2914" s="115"/>
      <c r="N2914" s="115"/>
      <c r="O2914" s="115"/>
    </row>
    <row r="2915">
      <c r="E2915" s="115"/>
      <c r="F2915" s="115"/>
      <c r="G2915" s="115"/>
      <c r="H2915" s="115"/>
      <c r="I2915" s="115"/>
      <c r="J2915" s="115"/>
      <c r="K2915" s="115"/>
      <c r="L2915" s="115"/>
      <c r="M2915" s="115"/>
      <c r="N2915" s="115"/>
      <c r="O2915" s="115"/>
    </row>
    <row r="2916">
      <c r="E2916" s="115"/>
      <c r="F2916" s="115"/>
      <c r="G2916" s="115"/>
      <c r="H2916" s="115"/>
      <c r="I2916" s="115"/>
      <c r="J2916" s="115"/>
      <c r="K2916" s="115"/>
      <c r="L2916" s="115"/>
      <c r="M2916" s="115"/>
      <c r="N2916" s="115"/>
      <c r="O2916" s="115"/>
    </row>
    <row r="2917">
      <c r="E2917" s="115"/>
      <c r="F2917" s="115"/>
      <c r="G2917" s="115"/>
      <c r="H2917" s="115"/>
      <c r="I2917" s="115"/>
      <c r="J2917" s="115"/>
      <c r="K2917" s="115"/>
      <c r="L2917" s="115"/>
      <c r="M2917" s="115"/>
      <c r="N2917" s="115"/>
      <c r="O2917" s="115"/>
    </row>
    <row r="2918">
      <c r="E2918" s="115"/>
      <c r="F2918" s="115"/>
      <c r="G2918" s="115"/>
      <c r="H2918" s="115"/>
      <c r="I2918" s="115"/>
      <c r="J2918" s="115"/>
      <c r="K2918" s="115"/>
      <c r="L2918" s="115"/>
      <c r="M2918" s="115"/>
      <c r="N2918" s="115"/>
      <c r="O2918" s="115"/>
    </row>
    <row r="2919">
      <c r="E2919" s="115"/>
      <c r="F2919" s="115"/>
      <c r="G2919" s="115"/>
      <c r="H2919" s="115"/>
      <c r="I2919" s="115"/>
      <c r="J2919" s="115"/>
      <c r="K2919" s="115"/>
      <c r="L2919" s="115"/>
      <c r="M2919" s="115"/>
      <c r="N2919" s="115"/>
      <c r="O2919" s="115"/>
    </row>
    <row r="2920">
      <c r="E2920" s="115"/>
      <c r="F2920" s="115"/>
      <c r="G2920" s="115"/>
      <c r="H2920" s="115"/>
      <c r="I2920" s="115"/>
      <c r="J2920" s="115"/>
      <c r="K2920" s="115"/>
      <c r="L2920" s="115"/>
      <c r="M2920" s="115"/>
      <c r="N2920" s="115"/>
      <c r="O2920" s="115"/>
    </row>
    <row r="2921">
      <c r="E2921" s="115"/>
      <c r="F2921" s="115"/>
      <c r="G2921" s="115"/>
      <c r="H2921" s="115"/>
      <c r="I2921" s="115"/>
      <c r="J2921" s="115"/>
      <c r="K2921" s="115"/>
      <c r="L2921" s="115"/>
      <c r="M2921" s="115"/>
      <c r="N2921" s="115"/>
      <c r="O2921" s="115"/>
    </row>
    <row r="2922">
      <c r="E2922" s="115"/>
      <c r="F2922" s="115"/>
      <c r="G2922" s="115"/>
      <c r="H2922" s="115"/>
      <c r="I2922" s="115"/>
      <c r="J2922" s="115"/>
      <c r="K2922" s="115"/>
      <c r="L2922" s="115"/>
      <c r="M2922" s="115"/>
      <c r="N2922" s="115"/>
      <c r="O2922" s="115"/>
    </row>
    <row r="2923">
      <c r="E2923" s="115"/>
      <c r="F2923" s="115"/>
      <c r="G2923" s="115"/>
      <c r="H2923" s="115"/>
      <c r="I2923" s="115"/>
      <c r="J2923" s="115"/>
      <c r="K2923" s="115"/>
      <c r="L2923" s="115"/>
      <c r="M2923" s="115"/>
      <c r="N2923" s="115"/>
      <c r="O2923" s="115"/>
    </row>
    <row r="2924">
      <c r="E2924" s="115"/>
      <c r="F2924" s="115"/>
      <c r="G2924" s="115"/>
      <c r="H2924" s="115"/>
      <c r="I2924" s="115"/>
      <c r="J2924" s="115"/>
      <c r="K2924" s="115"/>
      <c r="L2924" s="115"/>
      <c r="M2924" s="115"/>
      <c r="N2924" s="115"/>
      <c r="O2924" s="115"/>
    </row>
    <row r="2925">
      <c r="E2925" s="115"/>
      <c r="F2925" s="115"/>
      <c r="G2925" s="115"/>
      <c r="H2925" s="115"/>
      <c r="I2925" s="115"/>
      <c r="J2925" s="115"/>
      <c r="K2925" s="115"/>
      <c r="L2925" s="115"/>
      <c r="M2925" s="115"/>
      <c r="N2925" s="115"/>
      <c r="O2925" s="115"/>
    </row>
    <row r="2926">
      <c r="E2926" s="115"/>
      <c r="F2926" s="115"/>
      <c r="G2926" s="115"/>
      <c r="H2926" s="115"/>
      <c r="I2926" s="115"/>
      <c r="J2926" s="115"/>
      <c r="K2926" s="115"/>
      <c r="L2926" s="115"/>
      <c r="M2926" s="115"/>
      <c r="N2926" s="115"/>
      <c r="O2926" s="115"/>
    </row>
    <row r="2927">
      <c r="E2927" s="115"/>
      <c r="F2927" s="115"/>
      <c r="G2927" s="115"/>
      <c r="H2927" s="115"/>
      <c r="I2927" s="115"/>
      <c r="J2927" s="115"/>
      <c r="K2927" s="115"/>
      <c r="L2927" s="115"/>
      <c r="M2927" s="115"/>
      <c r="N2927" s="115"/>
      <c r="O2927" s="115"/>
    </row>
    <row r="2928">
      <c r="E2928" s="115"/>
      <c r="F2928" s="115"/>
      <c r="G2928" s="115"/>
      <c r="H2928" s="115"/>
      <c r="I2928" s="115"/>
      <c r="J2928" s="115"/>
      <c r="K2928" s="115"/>
      <c r="L2928" s="115"/>
      <c r="M2928" s="115"/>
      <c r="N2928" s="115"/>
      <c r="O2928" s="115"/>
    </row>
    <row r="2929">
      <c r="E2929" s="115"/>
      <c r="F2929" s="115"/>
      <c r="G2929" s="115"/>
      <c r="H2929" s="115"/>
      <c r="I2929" s="115"/>
      <c r="J2929" s="115"/>
      <c r="K2929" s="115"/>
      <c r="L2929" s="115"/>
      <c r="M2929" s="115"/>
      <c r="N2929" s="115"/>
      <c r="O2929" s="115"/>
    </row>
    <row r="2930">
      <c r="E2930" s="115"/>
      <c r="F2930" s="115"/>
      <c r="G2930" s="115"/>
      <c r="H2930" s="115"/>
      <c r="I2930" s="115"/>
      <c r="J2930" s="115"/>
      <c r="K2930" s="115"/>
      <c r="L2930" s="115"/>
      <c r="M2930" s="115"/>
      <c r="N2930" s="115"/>
      <c r="O2930" s="115"/>
    </row>
    <row r="2931">
      <c r="E2931" s="115"/>
      <c r="F2931" s="115"/>
      <c r="G2931" s="115"/>
      <c r="H2931" s="115"/>
      <c r="I2931" s="115"/>
      <c r="J2931" s="115"/>
      <c r="K2931" s="115"/>
      <c r="L2931" s="115"/>
      <c r="M2931" s="115"/>
      <c r="N2931" s="115"/>
      <c r="O2931" s="115"/>
    </row>
    <row r="2932">
      <c r="E2932" s="115"/>
      <c r="F2932" s="115"/>
      <c r="G2932" s="115"/>
      <c r="H2932" s="115"/>
      <c r="I2932" s="115"/>
      <c r="J2932" s="115"/>
      <c r="K2932" s="115"/>
      <c r="L2932" s="115"/>
      <c r="M2932" s="115"/>
      <c r="N2932" s="115"/>
      <c r="O2932" s="115"/>
    </row>
    <row r="2933">
      <c r="E2933" s="115"/>
      <c r="F2933" s="115"/>
      <c r="G2933" s="115"/>
      <c r="H2933" s="115"/>
      <c r="I2933" s="115"/>
      <c r="J2933" s="115"/>
      <c r="K2933" s="115"/>
      <c r="L2933" s="115"/>
      <c r="M2933" s="115"/>
      <c r="N2933" s="115"/>
      <c r="O2933" s="115"/>
    </row>
    <row r="2934">
      <c r="E2934" s="115"/>
      <c r="F2934" s="115"/>
      <c r="G2934" s="115"/>
      <c r="H2934" s="115"/>
      <c r="I2934" s="115"/>
      <c r="J2934" s="115"/>
      <c r="K2934" s="115"/>
      <c r="L2934" s="115"/>
      <c r="M2934" s="115"/>
      <c r="N2934" s="115"/>
      <c r="O2934" s="115"/>
    </row>
    <row r="2935">
      <c r="E2935" s="115"/>
      <c r="F2935" s="115"/>
      <c r="G2935" s="115"/>
      <c r="H2935" s="115"/>
      <c r="I2935" s="115"/>
      <c r="J2935" s="115"/>
      <c r="K2935" s="115"/>
      <c r="L2935" s="115"/>
      <c r="M2935" s="115"/>
      <c r="N2935" s="115"/>
      <c r="O2935" s="115"/>
    </row>
    <row r="2936">
      <c r="E2936" s="115"/>
      <c r="F2936" s="115"/>
      <c r="G2936" s="115"/>
      <c r="H2936" s="115"/>
      <c r="I2936" s="115"/>
      <c r="J2936" s="115"/>
      <c r="K2936" s="115"/>
      <c r="L2936" s="115"/>
      <c r="M2936" s="115"/>
      <c r="N2936" s="115"/>
      <c r="O2936" s="115"/>
    </row>
    <row r="2937">
      <c r="E2937" s="115"/>
      <c r="F2937" s="115"/>
      <c r="G2937" s="115"/>
      <c r="H2937" s="115"/>
      <c r="I2937" s="115"/>
      <c r="J2937" s="115"/>
      <c r="K2937" s="115"/>
      <c r="L2937" s="115"/>
      <c r="M2937" s="115"/>
      <c r="N2937" s="115"/>
      <c r="O2937" s="115"/>
    </row>
    <row r="2938">
      <c r="E2938" s="115"/>
      <c r="F2938" s="115"/>
      <c r="G2938" s="115"/>
      <c r="H2938" s="115"/>
      <c r="I2938" s="115"/>
      <c r="J2938" s="115"/>
      <c r="K2938" s="115"/>
      <c r="L2938" s="115"/>
      <c r="M2938" s="115"/>
      <c r="N2938" s="115"/>
      <c r="O2938" s="115"/>
    </row>
    <row r="2939">
      <c r="E2939" s="115"/>
      <c r="F2939" s="115"/>
      <c r="G2939" s="115"/>
      <c r="H2939" s="115"/>
      <c r="I2939" s="115"/>
      <c r="J2939" s="115"/>
      <c r="K2939" s="115"/>
      <c r="L2939" s="115"/>
      <c r="M2939" s="115"/>
      <c r="N2939" s="115"/>
      <c r="O2939" s="115"/>
    </row>
    <row r="2940">
      <c r="E2940" s="115"/>
      <c r="F2940" s="115"/>
      <c r="G2940" s="115"/>
      <c r="H2940" s="115"/>
      <c r="I2940" s="115"/>
      <c r="J2940" s="115"/>
      <c r="K2940" s="115"/>
      <c r="L2940" s="115"/>
      <c r="M2940" s="115"/>
      <c r="N2940" s="115"/>
      <c r="O2940" s="115"/>
    </row>
    <row r="2941">
      <c r="E2941" s="115"/>
      <c r="F2941" s="115"/>
      <c r="G2941" s="115"/>
      <c r="H2941" s="115"/>
      <c r="I2941" s="115"/>
      <c r="J2941" s="115"/>
      <c r="K2941" s="115"/>
      <c r="L2941" s="115"/>
      <c r="M2941" s="115"/>
      <c r="N2941" s="115"/>
      <c r="O2941" s="115"/>
    </row>
    <row r="2942">
      <c r="E2942" s="115"/>
      <c r="F2942" s="115"/>
      <c r="G2942" s="115"/>
      <c r="H2942" s="115"/>
      <c r="I2942" s="115"/>
      <c r="J2942" s="115"/>
      <c r="K2942" s="115"/>
      <c r="L2942" s="115"/>
      <c r="M2942" s="115"/>
      <c r="N2942" s="115"/>
      <c r="O2942" s="115"/>
    </row>
    <row r="2943">
      <c r="E2943" s="115"/>
      <c r="F2943" s="115"/>
      <c r="G2943" s="115"/>
      <c r="H2943" s="115"/>
      <c r="I2943" s="115"/>
      <c r="J2943" s="115"/>
      <c r="K2943" s="115"/>
      <c r="L2943" s="115"/>
      <c r="M2943" s="115"/>
      <c r="N2943" s="115"/>
      <c r="O2943" s="115"/>
    </row>
    <row r="2944">
      <c r="E2944" s="115"/>
      <c r="F2944" s="115"/>
      <c r="G2944" s="115"/>
      <c r="H2944" s="115"/>
      <c r="I2944" s="115"/>
      <c r="J2944" s="115"/>
      <c r="K2944" s="115"/>
      <c r="L2944" s="115"/>
      <c r="M2944" s="115"/>
      <c r="N2944" s="115"/>
      <c r="O2944" s="115"/>
    </row>
    <row r="2945">
      <c r="E2945" s="115"/>
      <c r="F2945" s="115"/>
      <c r="G2945" s="115"/>
      <c r="H2945" s="115"/>
      <c r="I2945" s="115"/>
      <c r="J2945" s="115"/>
      <c r="K2945" s="115"/>
      <c r="L2945" s="115"/>
      <c r="M2945" s="115"/>
      <c r="N2945" s="115"/>
      <c r="O2945" s="115"/>
    </row>
    <row r="2946">
      <c r="E2946" s="115"/>
      <c r="F2946" s="115"/>
      <c r="G2946" s="115"/>
      <c r="H2946" s="115"/>
      <c r="I2946" s="115"/>
      <c r="J2946" s="115"/>
      <c r="K2946" s="115"/>
      <c r="L2946" s="115"/>
      <c r="M2946" s="115"/>
      <c r="N2946" s="115"/>
      <c r="O2946" s="115"/>
    </row>
    <row r="2947">
      <c r="E2947" s="115"/>
      <c r="F2947" s="115"/>
      <c r="G2947" s="115"/>
      <c r="H2947" s="115"/>
      <c r="I2947" s="115"/>
      <c r="J2947" s="115"/>
      <c r="K2947" s="115"/>
      <c r="L2947" s="115"/>
      <c r="M2947" s="115"/>
      <c r="N2947" s="115"/>
      <c r="O2947" s="115"/>
    </row>
    <row r="2948">
      <c r="E2948" s="115"/>
      <c r="F2948" s="115"/>
      <c r="G2948" s="115"/>
      <c r="H2948" s="115"/>
      <c r="I2948" s="115"/>
      <c r="J2948" s="115"/>
      <c r="K2948" s="115"/>
      <c r="L2948" s="115"/>
      <c r="M2948" s="115"/>
      <c r="N2948" s="115"/>
      <c r="O2948" s="115"/>
    </row>
    <row r="2949">
      <c r="E2949" s="115"/>
      <c r="F2949" s="115"/>
      <c r="G2949" s="115"/>
      <c r="H2949" s="115"/>
      <c r="I2949" s="115"/>
      <c r="J2949" s="115"/>
      <c r="K2949" s="115"/>
      <c r="L2949" s="115"/>
      <c r="M2949" s="115"/>
      <c r="N2949" s="115"/>
      <c r="O2949" s="115"/>
    </row>
    <row r="2950">
      <c r="E2950" s="115"/>
      <c r="F2950" s="115"/>
      <c r="G2950" s="115"/>
      <c r="H2950" s="115"/>
      <c r="I2950" s="115"/>
      <c r="J2950" s="115"/>
      <c r="K2950" s="115"/>
      <c r="L2950" s="115"/>
      <c r="M2950" s="115"/>
      <c r="N2950" s="115"/>
      <c r="O2950" s="115"/>
    </row>
    <row r="2951">
      <c r="E2951" s="115"/>
      <c r="F2951" s="115"/>
      <c r="G2951" s="115"/>
      <c r="H2951" s="115"/>
      <c r="I2951" s="115"/>
      <c r="J2951" s="115"/>
      <c r="K2951" s="115"/>
      <c r="L2951" s="115"/>
      <c r="M2951" s="115"/>
      <c r="N2951" s="115"/>
      <c r="O2951" s="115"/>
    </row>
    <row r="2952">
      <c r="E2952" s="115"/>
      <c r="F2952" s="115"/>
      <c r="G2952" s="115"/>
      <c r="H2952" s="115"/>
      <c r="I2952" s="115"/>
      <c r="J2952" s="115"/>
      <c r="K2952" s="115"/>
      <c r="L2952" s="115"/>
      <c r="M2952" s="115"/>
      <c r="N2952" s="115"/>
      <c r="O2952" s="115"/>
    </row>
    <row r="2953">
      <c r="E2953" s="115"/>
      <c r="F2953" s="115"/>
      <c r="G2953" s="115"/>
      <c r="H2953" s="115"/>
      <c r="I2953" s="115"/>
      <c r="J2953" s="115"/>
      <c r="K2953" s="115"/>
      <c r="L2953" s="115"/>
      <c r="M2953" s="115"/>
      <c r="N2953" s="115"/>
      <c r="O2953" s="115"/>
    </row>
    <row r="2954">
      <c r="E2954" s="115"/>
      <c r="F2954" s="115"/>
      <c r="G2954" s="115"/>
      <c r="H2954" s="115"/>
      <c r="I2954" s="115"/>
      <c r="J2954" s="115"/>
      <c r="K2954" s="115"/>
      <c r="L2954" s="115"/>
      <c r="M2954" s="115"/>
      <c r="N2954" s="115"/>
      <c r="O2954" s="115"/>
    </row>
    <row r="2955">
      <c r="E2955" s="115"/>
      <c r="F2955" s="115"/>
      <c r="G2955" s="115"/>
      <c r="H2955" s="115"/>
      <c r="I2955" s="115"/>
      <c r="J2955" s="115"/>
      <c r="K2955" s="115"/>
      <c r="L2955" s="115"/>
      <c r="M2955" s="115"/>
      <c r="N2955" s="115"/>
      <c r="O2955" s="115"/>
    </row>
    <row r="2956">
      <c r="E2956" s="115"/>
      <c r="F2956" s="115"/>
      <c r="G2956" s="115"/>
      <c r="H2956" s="115"/>
      <c r="I2956" s="115"/>
      <c r="J2956" s="115"/>
      <c r="K2956" s="115"/>
      <c r="L2956" s="115"/>
      <c r="M2956" s="115"/>
      <c r="N2956" s="115"/>
      <c r="O2956" s="115"/>
    </row>
    <row r="2957">
      <c r="E2957" s="115"/>
      <c r="F2957" s="115"/>
      <c r="G2957" s="115"/>
      <c r="H2957" s="115"/>
      <c r="I2957" s="115"/>
      <c r="J2957" s="115"/>
      <c r="K2957" s="115"/>
      <c r="L2957" s="115"/>
      <c r="M2957" s="115"/>
      <c r="N2957" s="115"/>
      <c r="O2957" s="115"/>
    </row>
    <row r="2958">
      <c r="E2958" s="115"/>
      <c r="F2958" s="115"/>
      <c r="G2958" s="115"/>
      <c r="H2958" s="115"/>
      <c r="I2958" s="115"/>
      <c r="J2958" s="115"/>
      <c r="K2958" s="115"/>
      <c r="L2958" s="115"/>
      <c r="M2958" s="115"/>
      <c r="N2958" s="115"/>
      <c r="O2958" s="115"/>
    </row>
    <row r="2959">
      <c r="E2959" s="115"/>
      <c r="F2959" s="115"/>
      <c r="G2959" s="115"/>
      <c r="H2959" s="115"/>
      <c r="I2959" s="115"/>
      <c r="J2959" s="115"/>
      <c r="K2959" s="115"/>
      <c r="L2959" s="115"/>
      <c r="M2959" s="115"/>
      <c r="N2959" s="115"/>
      <c r="O2959" s="115"/>
    </row>
    <row r="2960">
      <c r="E2960" s="115"/>
      <c r="F2960" s="115"/>
      <c r="G2960" s="115"/>
      <c r="H2960" s="115"/>
      <c r="I2960" s="115"/>
      <c r="J2960" s="115"/>
      <c r="K2960" s="115"/>
      <c r="L2960" s="115"/>
      <c r="M2960" s="115"/>
      <c r="N2960" s="115"/>
      <c r="O2960" s="115"/>
    </row>
    <row r="2961">
      <c r="E2961" s="115"/>
      <c r="F2961" s="115"/>
      <c r="G2961" s="115"/>
      <c r="H2961" s="115"/>
      <c r="I2961" s="115"/>
      <c r="J2961" s="115"/>
      <c r="K2961" s="115"/>
      <c r="L2961" s="115"/>
      <c r="M2961" s="115"/>
      <c r="N2961" s="115"/>
      <c r="O2961" s="115"/>
    </row>
    <row r="2962">
      <c r="E2962" s="115"/>
      <c r="F2962" s="115"/>
      <c r="G2962" s="115"/>
      <c r="H2962" s="115"/>
      <c r="I2962" s="115"/>
      <c r="J2962" s="115"/>
      <c r="K2962" s="115"/>
      <c r="L2962" s="115"/>
      <c r="M2962" s="115"/>
      <c r="N2962" s="115"/>
      <c r="O2962" s="115"/>
    </row>
    <row r="2963">
      <c r="E2963" s="115"/>
      <c r="F2963" s="115"/>
      <c r="G2963" s="115"/>
      <c r="H2963" s="115"/>
      <c r="I2963" s="115"/>
      <c r="J2963" s="115"/>
      <c r="K2963" s="115"/>
      <c r="L2963" s="115"/>
      <c r="M2963" s="115"/>
      <c r="N2963" s="115"/>
      <c r="O2963" s="115"/>
    </row>
    <row r="2964">
      <c r="E2964" s="115"/>
      <c r="F2964" s="115"/>
      <c r="G2964" s="115"/>
      <c r="H2964" s="115"/>
      <c r="I2964" s="115"/>
      <c r="J2964" s="115"/>
      <c r="K2964" s="115"/>
      <c r="L2964" s="115"/>
      <c r="M2964" s="115"/>
      <c r="N2964" s="115"/>
      <c r="O2964" s="115"/>
    </row>
    <row r="2965">
      <c r="E2965" s="115"/>
      <c r="F2965" s="115"/>
      <c r="G2965" s="115"/>
      <c r="H2965" s="115"/>
      <c r="I2965" s="115"/>
      <c r="J2965" s="115"/>
      <c r="K2965" s="115"/>
      <c r="L2965" s="115"/>
      <c r="M2965" s="115"/>
      <c r="N2965" s="115"/>
      <c r="O2965" s="115"/>
    </row>
    <row r="2966">
      <c r="E2966" s="115"/>
      <c r="F2966" s="115"/>
      <c r="G2966" s="115"/>
      <c r="H2966" s="115"/>
      <c r="I2966" s="115"/>
      <c r="J2966" s="115"/>
      <c r="K2966" s="115"/>
      <c r="L2966" s="115"/>
      <c r="M2966" s="115"/>
      <c r="N2966" s="115"/>
      <c r="O2966" s="115"/>
    </row>
    <row r="2967">
      <c r="E2967" s="115"/>
      <c r="F2967" s="115"/>
      <c r="G2967" s="115"/>
      <c r="H2967" s="115"/>
      <c r="I2967" s="115"/>
      <c r="J2967" s="115"/>
      <c r="K2967" s="115"/>
      <c r="L2967" s="115"/>
      <c r="M2967" s="115"/>
      <c r="N2967" s="115"/>
      <c r="O2967" s="115"/>
    </row>
    <row r="2968">
      <c r="E2968" s="115"/>
      <c r="F2968" s="115"/>
      <c r="G2968" s="115"/>
      <c r="H2968" s="115"/>
      <c r="I2968" s="115"/>
      <c r="J2968" s="115"/>
      <c r="K2968" s="115"/>
      <c r="L2968" s="115"/>
      <c r="M2968" s="115"/>
      <c r="N2968" s="115"/>
      <c r="O2968" s="115"/>
    </row>
    <row r="2969">
      <c r="E2969" s="115"/>
      <c r="F2969" s="115"/>
      <c r="G2969" s="115"/>
      <c r="H2969" s="115"/>
      <c r="I2969" s="115"/>
      <c r="J2969" s="115"/>
      <c r="K2969" s="115"/>
      <c r="L2969" s="115"/>
      <c r="M2969" s="115"/>
      <c r="N2969" s="115"/>
      <c r="O2969" s="115"/>
    </row>
    <row r="2970">
      <c r="E2970" s="115"/>
      <c r="F2970" s="115"/>
      <c r="G2970" s="115"/>
      <c r="H2970" s="115"/>
      <c r="I2970" s="115"/>
      <c r="J2970" s="115"/>
      <c r="K2970" s="115"/>
      <c r="L2970" s="115"/>
      <c r="M2970" s="115"/>
      <c r="N2970" s="115"/>
      <c r="O2970" s="115"/>
    </row>
    <row r="2971">
      <c r="E2971" s="115"/>
      <c r="F2971" s="115"/>
      <c r="G2971" s="115"/>
      <c r="H2971" s="115"/>
      <c r="I2971" s="115"/>
      <c r="J2971" s="115"/>
      <c r="K2971" s="115"/>
      <c r="L2971" s="115"/>
      <c r="M2971" s="115"/>
      <c r="N2971" s="115"/>
      <c r="O2971" s="115"/>
    </row>
    <row r="2972">
      <c r="E2972" s="115"/>
      <c r="F2972" s="115"/>
      <c r="G2972" s="115"/>
      <c r="H2972" s="115"/>
      <c r="I2972" s="115"/>
      <c r="J2972" s="115"/>
      <c r="K2972" s="115"/>
      <c r="L2972" s="115"/>
      <c r="M2972" s="115"/>
      <c r="N2972" s="115"/>
      <c r="O2972" s="115"/>
    </row>
    <row r="2973">
      <c r="E2973" s="115"/>
      <c r="F2973" s="115"/>
      <c r="G2973" s="115"/>
      <c r="H2973" s="115"/>
      <c r="I2973" s="115"/>
      <c r="J2973" s="115"/>
      <c r="K2973" s="115"/>
      <c r="L2973" s="115"/>
      <c r="M2973" s="115"/>
      <c r="N2973" s="115"/>
      <c r="O2973" s="115"/>
    </row>
    <row r="2974">
      <c r="E2974" s="115"/>
      <c r="F2974" s="115"/>
      <c r="G2974" s="115"/>
      <c r="H2974" s="115"/>
      <c r="I2974" s="115"/>
      <c r="J2974" s="115"/>
      <c r="K2974" s="115"/>
      <c r="L2974" s="115"/>
      <c r="M2974" s="115"/>
      <c r="N2974" s="115"/>
      <c r="O2974" s="115"/>
    </row>
    <row r="2975">
      <c r="E2975" s="115"/>
      <c r="F2975" s="115"/>
      <c r="G2975" s="115"/>
      <c r="H2975" s="115"/>
      <c r="I2975" s="115"/>
      <c r="J2975" s="115"/>
      <c r="K2975" s="115"/>
      <c r="L2975" s="115"/>
      <c r="M2975" s="115"/>
      <c r="N2975" s="115"/>
      <c r="O2975" s="115"/>
    </row>
    <row r="2976">
      <c r="E2976" s="115"/>
      <c r="F2976" s="115"/>
      <c r="G2976" s="115"/>
      <c r="H2976" s="115"/>
      <c r="I2976" s="115"/>
      <c r="J2976" s="115"/>
      <c r="K2976" s="115"/>
      <c r="L2976" s="115"/>
      <c r="M2976" s="115"/>
      <c r="N2976" s="115"/>
      <c r="O2976" s="115"/>
    </row>
    <row r="2977">
      <c r="E2977" s="115"/>
      <c r="F2977" s="115"/>
      <c r="G2977" s="115"/>
      <c r="H2977" s="115"/>
      <c r="I2977" s="115"/>
      <c r="J2977" s="115"/>
      <c r="K2977" s="115"/>
      <c r="L2977" s="115"/>
      <c r="M2977" s="115"/>
      <c r="N2977" s="115"/>
      <c r="O2977" s="115"/>
    </row>
    <row r="2978">
      <c r="E2978" s="115"/>
      <c r="F2978" s="115"/>
      <c r="G2978" s="115"/>
      <c r="H2978" s="115"/>
      <c r="I2978" s="115"/>
      <c r="J2978" s="115"/>
      <c r="K2978" s="115"/>
      <c r="L2978" s="115"/>
      <c r="M2978" s="115"/>
      <c r="N2978" s="115"/>
      <c r="O2978" s="115"/>
    </row>
    <row r="2979">
      <c r="E2979" s="115"/>
      <c r="F2979" s="115"/>
      <c r="G2979" s="115"/>
      <c r="H2979" s="115"/>
      <c r="I2979" s="115"/>
      <c r="J2979" s="115"/>
      <c r="K2979" s="115"/>
      <c r="L2979" s="115"/>
      <c r="M2979" s="115"/>
      <c r="N2979" s="115"/>
      <c r="O2979" s="115"/>
    </row>
    <row r="2980">
      <c r="E2980" s="115"/>
      <c r="F2980" s="115"/>
      <c r="G2980" s="115"/>
      <c r="H2980" s="115"/>
      <c r="I2980" s="115"/>
      <c r="J2980" s="115"/>
      <c r="K2980" s="115"/>
      <c r="L2980" s="115"/>
      <c r="M2980" s="115"/>
      <c r="N2980" s="115"/>
      <c r="O2980" s="115"/>
    </row>
    <row r="2981">
      <c r="E2981" s="115"/>
      <c r="F2981" s="115"/>
      <c r="G2981" s="115"/>
      <c r="H2981" s="115"/>
      <c r="I2981" s="115"/>
      <c r="J2981" s="115"/>
      <c r="K2981" s="115"/>
      <c r="L2981" s="115"/>
      <c r="M2981" s="115"/>
      <c r="N2981" s="115"/>
      <c r="O2981" s="115"/>
    </row>
    <row r="2982">
      <c r="E2982" s="115"/>
      <c r="F2982" s="115"/>
      <c r="G2982" s="115"/>
      <c r="H2982" s="115"/>
      <c r="I2982" s="115"/>
      <c r="J2982" s="115"/>
      <c r="K2982" s="115"/>
      <c r="L2982" s="115"/>
      <c r="M2982" s="115"/>
      <c r="N2982" s="115"/>
      <c r="O2982" s="115"/>
    </row>
    <row r="2983">
      <c r="E2983" s="115"/>
      <c r="F2983" s="115"/>
      <c r="G2983" s="115"/>
      <c r="H2983" s="115"/>
      <c r="I2983" s="115"/>
      <c r="J2983" s="115"/>
      <c r="K2983" s="115"/>
      <c r="L2983" s="115"/>
      <c r="M2983" s="115"/>
      <c r="N2983" s="115"/>
      <c r="O2983" s="115"/>
    </row>
    <row r="2984">
      <c r="E2984" s="115"/>
      <c r="F2984" s="115"/>
      <c r="G2984" s="115"/>
      <c r="H2984" s="115"/>
      <c r="I2984" s="115"/>
      <c r="J2984" s="115"/>
      <c r="K2984" s="115"/>
      <c r="L2984" s="115"/>
      <c r="M2984" s="115"/>
      <c r="N2984" s="115"/>
      <c r="O2984" s="115"/>
    </row>
    <row r="2985">
      <c r="E2985" s="115"/>
      <c r="F2985" s="115"/>
      <c r="G2985" s="115"/>
      <c r="H2985" s="115"/>
      <c r="I2985" s="115"/>
      <c r="J2985" s="115"/>
      <c r="K2985" s="115"/>
      <c r="L2985" s="115"/>
      <c r="M2985" s="115"/>
      <c r="N2985" s="115"/>
      <c r="O2985" s="115"/>
    </row>
    <row r="2986">
      <c r="E2986" s="115"/>
      <c r="F2986" s="115"/>
      <c r="G2986" s="115"/>
      <c r="H2986" s="115"/>
      <c r="I2986" s="115"/>
      <c r="J2986" s="115"/>
      <c r="K2986" s="115"/>
      <c r="L2986" s="115"/>
      <c r="M2986" s="115"/>
      <c r="N2986" s="115"/>
      <c r="O2986" s="115"/>
    </row>
    <row r="2987">
      <c r="E2987" s="115"/>
      <c r="F2987" s="115"/>
      <c r="G2987" s="115"/>
      <c r="H2987" s="115"/>
      <c r="I2987" s="115"/>
      <c r="J2987" s="115"/>
      <c r="K2987" s="115"/>
      <c r="L2987" s="115"/>
      <c r="M2987" s="115"/>
      <c r="N2987" s="115"/>
      <c r="O2987" s="115"/>
    </row>
    <row r="2988">
      <c r="E2988" s="115"/>
      <c r="F2988" s="115"/>
      <c r="G2988" s="115"/>
      <c r="H2988" s="115"/>
      <c r="I2988" s="115"/>
      <c r="J2988" s="115"/>
      <c r="K2988" s="115"/>
      <c r="L2988" s="115"/>
      <c r="M2988" s="115"/>
      <c r="N2988" s="115"/>
      <c r="O2988" s="115"/>
    </row>
    <row r="2989">
      <c r="E2989" s="115"/>
      <c r="F2989" s="115"/>
      <c r="G2989" s="115"/>
      <c r="H2989" s="115"/>
      <c r="I2989" s="115"/>
      <c r="J2989" s="115"/>
      <c r="K2989" s="115"/>
      <c r="L2989" s="115"/>
      <c r="M2989" s="115"/>
      <c r="N2989" s="115"/>
      <c r="O2989" s="115"/>
    </row>
    <row r="2990">
      <c r="E2990" s="115"/>
      <c r="F2990" s="115"/>
      <c r="G2990" s="115"/>
      <c r="H2990" s="115"/>
      <c r="I2990" s="115"/>
      <c r="J2990" s="115"/>
      <c r="K2990" s="115"/>
      <c r="L2990" s="115"/>
      <c r="M2990" s="115"/>
      <c r="N2990" s="115"/>
      <c r="O2990" s="115"/>
    </row>
    <row r="2991">
      <c r="E2991" s="115"/>
      <c r="F2991" s="115"/>
      <c r="G2991" s="115"/>
      <c r="H2991" s="115"/>
      <c r="I2991" s="115"/>
      <c r="J2991" s="115"/>
      <c r="K2991" s="115"/>
      <c r="L2991" s="115"/>
      <c r="M2991" s="115"/>
      <c r="N2991" s="115"/>
      <c r="O2991" s="115"/>
    </row>
    <row r="2992">
      <c r="E2992" s="115"/>
      <c r="F2992" s="115"/>
      <c r="G2992" s="115"/>
      <c r="H2992" s="115"/>
      <c r="I2992" s="115"/>
      <c r="J2992" s="115"/>
      <c r="K2992" s="115"/>
      <c r="L2992" s="115"/>
      <c r="M2992" s="115"/>
      <c r="N2992" s="115"/>
      <c r="O2992" s="115"/>
    </row>
    <row r="2993">
      <c r="E2993" s="115"/>
      <c r="F2993" s="115"/>
      <c r="G2993" s="115"/>
      <c r="H2993" s="115"/>
      <c r="I2993" s="115"/>
      <c r="J2993" s="115"/>
      <c r="K2993" s="115"/>
      <c r="L2993" s="115"/>
      <c r="M2993" s="115"/>
      <c r="N2993" s="115"/>
      <c r="O2993" s="115"/>
    </row>
    <row r="2994">
      <c r="E2994" s="115"/>
      <c r="F2994" s="115"/>
      <c r="G2994" s="115"/>
      <c r="H2994" s="115"/>
      <c r="I2994" s="115"/>
      <c r="J2994" s="115"/>
      <c r="K2994" s="115"/>
      <c r="L2994" s="115"/>
      <c r="M2994" s="115"/>
      <c r="N2994" s="115"/>
      <c r="O2994" s="115"/>
    </row>
    <row r="2995">
      <c r="E2995" s="115"/>
      <c r="F2995" s="115"/>
      <c r="G2995" s="115"/>
      <c r="H2995" s="115"/>
      <c r="I2995" s="115"/>
      <c r="J2995" s="115"/>
      <c r="K2995" s="115"/>
      <c r="L2995" s="115"/>
      <c r="M2995" s="115"/>
      <c r="N2995" s="115"/>
      <c r="O2995" s="115"/>
    </row>
    <row r="2996">
      <c r="E2996" s="115"/>
      <c r="F2996" s="115"/>
      <c r="G2996" s="115"/>
      <c r="H2996" s="115"/>
      <c r="I2996" s="115"/>
      <c r="J2996" s="115"/>
      <c r="K2996" s="115"/>
      <c r="L2996" s="115"/>
      <c r="M2996" s="115"/>
      <c r="N2996" s="115"/>
      <c r="O2996" s="115"/>
    </row>
    <row r="2997">
      <c r="E2997" s="115"/>
      <c r="F2997" s="115"/>
      <c r="G2997" s="115"/>
      <c r="H2997" s="115"/>
      <c r="I2997" s="115"/>
      <c r="J2997" s="115"/>
      <c r="K2997" s="115"/>
      <c r="L2997" s="115"/>
      <c r="M2997" s="115"/>
      <c r="N2997" s="115"/>
      <c r="O2997" s="115"/>
    </row>
    <row r="2998">
      <c r="E2998" s="115"/>
      <c r="F2998" s="115"/>
      <c r="G2998" s="115"/>
      <c r="H2998" s="115"/>
      <c r="I2998" s="115"/>
      <c r="J2998" s="115"/>
      <c r="K2998" s="115"/>
      <c r="L2998" s="115"/>
      <c r="M2998" s="115"/>
      <c r="N2998" s="115"/>
      <c r="O2998" s="115"/>
    </row>
    <row r="2999">
      <c r="E2999" s="115"/>
      <c r="F2999" s="115"/>
      <c r="G2999" s="115"/>
      <c r="H2999" s="115"/>
      <c r="I2999" s="115"/>
      <c r="J2999" s="115"/>
      <c r="K2999" s="115"/>
      <c r="L2999" s="115"/>
      <c r="M2999" s="115"/>
      <c r="N2999" s="115"/>
      <c r="O2999" s="115"/>
    </row>
    <row r="3000">
      <c r="E3000" s="115"/>
      <c r="F3000" s="115"/>
      <c r="G3000" s="115"/>
      <c r="H3000" s="115"/>
      <c r="I3000" s="115"/>
      <c r="J3000" s="115"/>
      <c r="K3000" s="115"/>
      <c r="L3000" s="115"/>
      <c r="M3000" s="115"/>
      <c r="N3000" s="115"/>
      <c r="O3000" s="115"/>
    </row>
    <row r="3001">
      <c r="E3001" s="115"/>
      <c r="F3001" s="115"/>
      <c r="G3001" s="115"/>
      <c r="H3001" s="115"/>
      <c r="I3001" s="115"/>
      <c r="J3001" s="115"/>
      <c r="K3001" s="115"/>
      <c r="L3001" s="115"/>
      <c r="M3001" s="115"/>
      <c r="N3001" s="115"/>
      <c r="O3001" s="115"/>
    </row>
    <row r="3002">
      <c r="E3002" s="115"/>
      <c r="F3002" s="115"/>
      <c r="G3002" s="115"/>
      <c r="H3002" s="115"/>
      <c r="I3002" s="115"/>
      <c r="J3002" s="115"/>
      <c r="K3002" s="115"/>
      <c r="L3002" s="115"/>
      <c r="M3002" s="115"/>
      <c r="N3002" s="115"/>
      <c r="O3002" s="115"/>
    </row>
    <row r="3003">
      <c r="E3003" s="115"/>
      <c r="F3003" s="115"/>
      <c r="G3003" s="115"/>
      <c r="H3003" s="115"/>
      <c r="I3003" s="115"/>
      <c r="J3003" s="115"/>
      <c r="K3003" s="115"/>
      <c r="L3003" s="115"/>
      <c r="M3003" s="115"/>
      <c r="N3003" s="115"/>
      <c r="O3003" s="115"/>
    </row>
    <row r="3004">
      <c r="E3004" s="115"/>
      <c r="F3004" s="115"/>
      <c r="G3004" s="115"/>
      <c r="H3004" s="115"/>
      <c r="I3004" s="115"/>
      <c r="J3004" s="115"/>
      <c r="K3004" s="115"/>
      <c r="L3004" s="115"/>
      <c r="M3004" s="115"/>
      <c r="N3004" s="115"/>
      <c r="O3004" s="115"/>
    </row>
    <row r="3005">
      <c r="E3005" s="115"/>
      <c r="F3005" s="115"/>
      <c r="G3005" s="115"/>
      <c r="H3005" s="115"/>
      <c r="I3005" s="115"/>
      <c r="J3005" s="115"/>
      <c r="K3005" s="115"/>
      <c r="L3005" s="115"/>
      <c r="M3005" s="115"/>
      <c r="N3005" s="115"/>
      <c r="O3005" s="115"/>
    </row>
    <row r="3006">
      <c r="E3006" s="115"/>
      <c r="F3006" s="115"/>
      <c r="G3006" s="115"/>
      <c r="H3006" s="115"/>
      <c r="I3006" s="115"/>
      <c r="J3006" s="115"/>
      <c r="K3006" s="115"/>
      <c r="L3006" s="115"/>
      <c r="M3006" s="115"/>
      <c r="N3006" s="115"/>
      <c r="O3006" s="115"/>
    </row>
    <row r="3007">
      <c r="E3007" s="115"/>
      <c r="F3007" s="115"/>
      <c r="G3007" s="115"/>
      <c r="H3007" s="115"/>
      <c r="I3007" s="115"/>
      <c r="J3007" s="115"/>
      <c r="K3007" s="115"/>
      <c r="L3007" s="115"/>
      <c r="M3007" s="115"/>
      <c r="N3007" s="115"/>
      <c r="O3007" s="115"/>
    </row>
    <row r="3008">
      <c r="E3008" s="115"/>
      <c r="F3008" s="115"/>
      <c r="G3008" s="115"/>
      <c r="H3008" s="115"/>
      <c r="I3008" s="115"/>
      <c r="J3008" s="115"/>
      <c r="K3008" s="115"/>
      <c r="L3008" s="115"/>
      <c r="M3008" s="115"/>
      <c r="N3008" s="115"/>
      <c r="O3008" s="115"/>
    </row>
    <row r="3009">
      <c r="E3009" s="115"/>
      <c r="F3009" s="115"/>
      <c r="G3009" s="115"/>
      <c r="H3009" s="115"/>
      <c r="I3009" s="115"/>
      <c r="J3009" s="115"/>
      <c r="K3009" s="115"/>
      <c r="L3009" s="115"/>
      <c r="M3009" s="115"/>
      <c r="N3009" s="115"/>
      <c r="O3009" s="115"/>
    </row>
    <row r="3010">
      <c r="E3010" s="115"/>
      <c r="F3010" s="115"/>
      <c r="G3010" s="115"/>
      <c r="H3010" s="115"/>
      <c r="I3010" s="115"/>
      <c r="J3010" s="115"/>
      <c r="K3010" s="115"/>
      <c r="L3010" s="115"/>
      <c r="M3010" s="115"/>
      <c r="N3010" s="115"/>
      <c r="O3010" s="115"/>
    </row>
    <row r="3011">
      <c r="E3011" s="115"/>
      <c r="F3011" s="115"/>
      <c r="G3011" s="115"/>
      <c r="H3011" s="115"/>
      <c r="I3011" s="115"/>
      <c r="J3011" s="115"/>
      <c r="K3011" s="115"/>
      <c r="L3011" s="115"/>
      <c r="M3011" s="115"/>
      <c r="N3011" s="115"/>
      <c r="O3011" s="115"/>
    </row>
    <row r="3012">
      <c r="E3012" s="115"/>
      <c r="F3012" s="115"/>
      <c r="G3012" s="115"/>
      <c r="H3012" s="115"/>
      <c r="I3012" s="115"/>
      <c r="J3012" s="115"/>
      <c r="K3012" s="115"/>
      <c r="L3012" s="115"/>
      <c r="M3012" s="115"/>
      <c r="N3012" s="115"/>
      <c r="O3012" s="115"/>
    </row>
    <row r="3013">
      <c r="E3013" s="115"/>
      <c r="F3013" s="115"/>
      <c r="G3013" s="115"/>
      <c r="H3013" s="115"/>
      <c r="I3013" s="115"/>
      <c r="J3013" s="115"/>
      <c r="K3013" s="115"/>
      <c r="L3013" s="115"/>
      <c r="M3013" s="115"/>
      <c r="N3013" s="115"/>
      <c r="O3013" s="115"/>
    </row>
    <row r="3014">
      <c r="E3014" s="115"/>
      <c r="F3014" s="115"/>
      <c r="G3014" s="115"/>
      <c r="H3014" s="115"/>
      <c r="I3014" s="115"/>
      <c r="J3014" s="115"/>
      <c r="K3014" s="115"/>
      <c r="L3014" s="115"/>
      <c r="M3014" s="115"/>
      <c r="N3014" s="115"/>
      <c r="O3014" s="115"/>
    </row>
    <row r="3015">
      <c r="E3015" s="115"/>
      <c r="F3015" s="115"/>
      <c r="G3015" s="115"/>
      <c r="H3015" s="115"/>
      <c r="I3015" s="115"/>
      <c r="J3015" s="115"/>
      <c r="K3015" s="115"/>
      <c r="L3015" s="115"/>
      <c r="M3015" s="115"/>
      <c r="N3015" s="115"/>
      <c r="O3015" s="115"/>
    </row>
    <row r="3016">
      <c r="E3016" s="115"/>
      <c r="F3016" s="115"/>
      <c r="G3016" s="115"/>
      <c r="H3016" s="115"/>
      <c r="I3016" s="115"/>
      <c r="J3016" s="115"/>
      <c r="K3016" s="115"/>
      <c r="L3016" s="115"/>
      <c r="M3016" s="115"/>
      <c r="N3016" s="115"/>
      <c r="O3016" s="115"/>
    </row>
    <row r="3017">
      <c r="E3017" s="115"/>
      <c r="F3017" s="115"/>
      <c r="G3017" s="115"/>
      <c r="H3017" s="115"/>
      <c r="I3017" s="115"/>
      <c r="J3017" s="115"/>
      <c r="K3017" s="115"/>
      <c r="L3017" s="115"/>
      <c r="M3017" s="115"/>
      <c r="N3017" s="115"/>
      <c r="O3017" s="115"/>
    </row>
    <row r="3018">
      <c r="E3018" s="115"/>
      <c r="F3018" s="115"/>
      <c r="G3018" s="115"/>
      <c r="H3018" s="115"/>
      <c r="I3018" s="115"/>
      <c r="J3018" s="115"/>
      <c r="K3018" s="115"/>
      <c r="L3018" s="115"/>
      <c r="M3018" s="115"/>
      <c r="N3018" s="115"/>
      <c r="O3018" s="115"/>
    </row>
    <row r="3019">
      <c r="E3019" s="115"/>
      <c r="F3019" s="115"/>
      <c r="G3019" s="115"/>
      <c r="H3019" s="115"/>
      <c r="I3019" s="115"/>
      <c r="J3019" s="115"/>
      <c r="K3019" s="115"/>
      <c r="L3019" s="115"/>
      <c r="M3019" s="115"/>
      <c r="N3019" s="115"/>
      <c r="O3019" s="115"/>
    </row>
    <row r="3020">
      <c r="E3020" s="115"/>
      <c r="F3020" s="115"/>
      <c r="G3020" s="115"/>
      <c r="H3020" s="115"/>
      <c r="I3020" s="115"/>
      <c r="J3020" s="115"/>
      <c r="K3020" s="115"/>
      <c r="L3020" s="115"/>
      <c r="M3020" s="115"/>
      <c r="N3020" s="115"/>
      <c r="O3020" s="115"/>
    </row>
    <row r="3021">
      <c r="E3021" s="115"/>
      <c r="F3021" s="115"/>
      <c r="G3021" s="115"/>
      <c r="H3021" s="115"/>
      <c r="I3021" s="115"/>
      <c r="J3021" s="115"/>
      <c r="K3021" s="115"/>
      <c r="L3021" s="115"/>
      <c r="M3021" s="115"/>
      <c r="N3021" s="115"/>
      <c r="O3021" s="115"/>
    </row>
    <row r="3022">
      <c r="E3022" s="115"/>
      <c r="F3022" s="115"/>
      <c r="G3022" s="115"/>
      <c r="H3022" s="115"/>
      <c r="I3022" s="115"/>
      <c r="J3022" s="115"/>
      <c r="K3022" s="115"/>
      <c r="L3022" s="115"/>
      <c r="M3022" s="115"/>
      <c r="N3022" s="115"/>
      <c r="O3022" s="115"/>
    </row>
    <row r="3023">
      <c r="E3023" s="115"/>
      <c r="F3023" s="115"/>
      <c r="G3023" s="115"/>
      <c r="H3023" s="115"/>
      <c r="I3023" s="115"/>
      <c r="J3023" s="115"/>
      <c r="K3023" s="115"/>
      <c r="L3023" s="115"/>
      <c r="M3023" s="115"/>
      <c r="N3023" s="115"/>
      <c r="O3023" s="115"/>
    </row>
    <row r="3024">
      <c r="E3024" s="115"/>
      <c r="F3024" s="115"/>
      <c r="G3024" s="115"/>
      <c r="H3024" s="115"/>
      <c r="I3024" s="115"/>
      <c r="J3024" s="115"/>
      <c r="K3024" s="115"/>
      <c r="L3024" s="115"/>
      <c r="M3024" s="115"/>
      <c r="N3024" s="115"/>
      <c r="O3024" s="115"/>
    </row>
    <row r="3025">
      <c r="E3025" s="115"/>
      <c r="F3025" s="115"/>
      <c r="G3025" s="115"/>
      <c r="H3025" s="115"/>
      <c r="I3025" s="115"/>
      <c r="J3025" s="115"/>
      <c r="K3025" s="115"/>
      <c r="L3025" s="115"/>
      <c r="M3025" s="115"/>
      <c r="N3025" s="115"/>
      <c r="O3025" s="115"/>
    </row>
    <row r="3026">
      <c r="E3026" s="115"/>
      <c r="F3026" s="115"/>
      <c r="G3026" s="115"/>
      <c r="H3026" s="115"/>
      <c r="I3026" s="115"/>
      <c r="J3026" s="115"/>
      <c r="K3026" s="115"/>
      <c r="L3026" s="115"/>
      <c r="M3026" s="115"/>
      <c r="N3026" s="115"/>
      <c r="O3026" s="115"/>
    </row>
    <row r="3027">
      <c r="E3027" s="115"/>
      <c r="F3027" s="115"/>
      <c r="G3027" s="115"/>
      <c r="H3027" s="115"/>
      <c r="I3027" s="115"/>
      <c r="J3027" s="115"/>
      <c r="K3027" s="115"/>
      <c r="L3027" s="115"/>
      <c r="M3027" s="115"/>
      <c r="N3027" s="115"/>
      <c r="O3027" s="115"/>
    </row>
    <row r="3028">
      <c r="E3028" s="115"/>
      <c r="F3028" s="115"/>
      <c r="G3028" s="115"/>
      <c r="H3028" s="115"/>
      <c r="I3028" s="115"/>
      <c r="J3028" s="115"/>
      <c r="K3028" s="115"/>
      <c r="L3028" s="115"/>
      <c r="M3028" s="115"/>
      <c r="N3028" s="115"/>
      <c r="O3028" s="115"/>
    </row>
    <row r="3029">
      <c r="E3029" s="115"/>
      <c r="F3029" s="115"/>
      <c r="G3029" s="115"/>
      <c r="H3029" s="115"/>
      <c r="I3029" s="115"/>
      <c r="J3029" s="115"/>
      <c r="K3029" s="115"/>
      <c r="L3029" s="115"/>
      <c r="M3029" s="115"/>
      <c r="N3029" s="115"/>
      <c r="O3029" s="115"/>
    </row>
    <row r="3030">
      <c r="E3030" s="115"/>
      <c r="F3030" s="115"/>
      <c r="G3030" s="115"/>
      <c r="H3030" s="115"/>
      <c r="I3030" s="115"/>
      <c r="J3030" s="115"/>
      <c r="K3030" s="115"/>
      <c r="L3030" s="115"/>
      <c r="M3030" s="115"/>
      <c r="N3030" s="115"/>
      <c r="O3030" s="115"/>
    </row>
    <row r="3031">
      <c r="E3031" s="115"/>
      <c r="F3031" s="115"/>
      <c r="G3031" s="115"/>
      <c r="H3031" s="115"/>
      <c r="I3031" s="115"/>
      <c r="J3031" s="115"/>
      <c r="K3031" s="115"/>
      <c r="L3031" s="115"/>
      <c r="M3031" s="115"/>
      <c r="N3031" s="115"/>
      <c r="O3031" s="115"/>
    </row>
    <row r="3032">
      <c r="E3032" s="115"/>
      <c r="F3032" s="115"/>
      <c r="G3032" s="115"/>
      <c r="H3032" s="115"/>
      <c r="I3032" s="115"/>
      <c r="J3032" s="115"/>
      <c r="K3032" s="115"/>
      <c r="L3032" s="115"/>
      <c r="M3032" s="115"/>
      <c r="N3032" s="115"/>
      <c r="O3032" s="115"/>
    </row>
    <row r="3033">
      <c r="E3033" s="115"/>
      <c r="F3033" s="115"/>
      <c r="G3033" s="115"/>
      <c r="H3033" s="115"/>
      <c r="I3033" s="115"/>
      <c r="J3033" s="115"/>
      <c r="K3033" s="115"/>
      <c r="L3033" s="115"/>
      <c r="M3033" s="115"/>
      <c r="N3033" s="115"/>
      <c r="O3033" s="115"/>
    </row>
    <row r="3034">
      <c r="E3034" s="115"/>
      <c r="F3034" s="115"/>
      <c r="G3034" s="115"/>
      <c r="H3034" s="115"/>
      <c r="I3034" s="115"/>
      <c r="J3034" s="115"/>
      <c r="K3034" s="115"/>
      <c r="L3034" s="115"/>
      <c r="M3034" s="115"/>
      <c r="N3034" s="115"/>
      <c r="O3034" s="115"/>
    </row>
    <row r="3035">
      <c r="E3035" s="115"/>
      <c r="F3035" s="115"/>
      <c r="G3035" s="115"/>
      <c r="H3035" s="115"/>
      <c r="I3035" s="115"/>
      <c r="J3035" s="115"/>
      <c r="K3035" s="115"/>
      <c r="L3035" s="115"/>
      <c r="M3035" s="115"/>
      <c r="N3035" s="115"/>
      <c r="O3035" s="115"/>
    </row>
    <row r="3036">
      <c r="E3036" s="115"/>
      <c r="F3036" s="115"/>
      <c r="G3036" s="115"/>
      <c r="H3036" s="115"/>
      <c r="I3036" s="115"/>
      <c r="J3036" s="115"/>
      <c r="K3036" s="115"/>
      <c r="L3036" s="115"/>
      <c r="M3036" s="115"/>
      <c r="N3036" s="115"/>
      <c r="O3036" s="115"/>
    </row>
    <row r="3037">
      <c r="E3037" s="115"/>
      <c r="F3037" s="115"/>
      <c r="G3037" s="115"/>
      <c r="H3037" s="115"/>
      <c r="I3037" s="115"/>
      <c r="J3037" s="115"/>
      <c r="K3037" s="115"/>
      <c r="L3037" s="115"/>
      <c r="M3037" s="115"/>
      <c r="N3037" s="115"/>
      <c r="O3037" s="115"/>
    </row>
    <row r="3038">
      <c r="E3038" s="115"/>
      <c r="F3038" s="115"/>
      <c r="G3038" s="115"/>
      <c r="H3038" s="115"/>
      <c r="I3038" s="115"/>
      <c r="J3038" s="115"/>
      <c r="K3038" s="115"/>
      <c r="L3038" s="115"/>
      <c r="M3038" s="115"/>
      <c r="N3038" s="115"/>
      <c r="O3038" s="115"/>
    </row>
    <row r="3039">
      <c r="E3039" s="115"/>
      <c r="F3039" s="115"/>
      <c r="G3039" s="115"/>
      <c r="H3039" s="115"/>
      <c r="I3039" s="115"/>
      <c r="J3039" s="115"/>
      <c r="K3039" s="115"/>
      <c r="L3039" s="115"/>
      <c r="M3039" s="115"/>
      <c r="N3039" s="115"/>
      <c r="O3039" s="115"/>
    </row>
    <row r="3040">
      <c r="E3040" s="115"/>
      <c r="F3040" s="115"/>
      <c r="G3040" s="115"/>
      <c r="H3040" s="115"/>
      <c r="I3040" s="115"/>
      <c r="J3040" s="115"/>
      <c r="K3040" s="115"/>
      <c r="L3040" s="115"/>
      <c r="M3040" s="115"/>
      <c r="N3040" s="115"/>
      <c r="O3040" s="115"/>
    </row>
    <row r="3041">
      <c r="E3041" s="115"/>
      <c r="F3041" s="115"/>
      <c r="G3041" s="115"/>
      <c r="H3041" s="115"/>
      <c r="I3041" s="115"/>
      <c r="J3041" s="115"/>
      <c r="K3041" s="115"/>
      <c r="L3041" s="115"/>
      <c r="M3041" s="115"/>
      <c r="N3041" s="115"/>
      <c r="O3041" s="115"/>
    </row>
    <row r="3042">
      <c r="E3042" s="115"/>
      <c r="F3042" s="115"/>
      <c r="G3042" s="115"/>
      <c r="H3042" s="115"/>
      <c r="I3042" s="115"/>
      <c r="J3042" s="115"/>
      <c r="K3042" s="115"/>
      <c r="L3042" s="115"/>
      <c r="M3042" s="115"/>
      <c r="N3042" s="115"/>
      <c r="O3042" s="115"/>
    </row>
    <row r="3043">
      <c r="E3043" s="115"/>
      <c r="F3043" s="115"/>
      <c r="G3043" s="115"/>
      <c r="H3043" s="115"/>
      <c r="I3043" s="115"/>
      <c r="J3043" s="115"/>
      <c r="K3043" s="115"/>
      <c r="L3043" s="115"/>
      <c r="M3043" s="115"/>
      <c r="N3043" s="115"/>
      <c r="O3043" s="115"/>
    </row>
    <row r="3044">
      <c r="E3044" s="115"/>
      <c r="F3044" s="115"/>
      <c r="G3044" s="115"/>
      <c r="H3044" s="115"/>
      <c r="I3044" s="115"/>
      <c r="J3044" s="115"/>
      <c r="K3044" s="115"/>
      <c r="L3044" s="115"/>
      <c r="M3044" s="115"/>
      <c r="N3044" s="115"/>
      <c r="O3044" s="115"/>
    </row>
    <row r="3045">
      <c r="E3045" s="115"/>
      <c r="F3045" s="115"/>
      <c r="G3045" s="115"/>
      <c r="H3045" s="115"/>
      <c r="I3045" s="115"/>
      <c r="J3045" s="115"/>
      <c r="K3045" s="115"/>
      <c r="L3045" s="115"/>
      <c r="M3045" s="115"/>
      <c r="N3045" s="115"/>
      <c r="O3045" s="115"/>
    </row>
    <row r="3046">
      <c r="E3046" s="115"/>
      <c r="F3046" s="115"/>
      <c r="G3046" s="115"/>
      <c r="H3046" s="115"/>
      <c r="I3046" s="115"/>
      <c r="J3046" s="115"/>
      <c r="K3046" s="115"/>
      <c r="L3046" s="115"/>
      <c r="M3046" s="115"/>
      <c r="N3046" s="115"/>
      <c r="O3046" s="115"/>
    </row>
    <row r="3047">
      <c r="E3047" s="115"/>
      <c r="F3047" s="115"/>
      <c r="G3047" s="115"/>
      <c r="H3047" s="115"/>
      <c r="I3047" s="115"/>
      <c r="J3047" s="115"/>
      <c r="K3047" s="115"/>
      <c r="L3047" s="115"/>
      <c r="M3047" s="115"/>
      <c r="N3047" s="115"/>
      <c r="O3047" s="115"/>
    </row>
    <row r="3048">
      <c r="E3048" s="115"/>
      <c r="F3048" s="115"/>
      <c r="G3048" s="115"/>
      <c r="H3048" s="115"/>
      <c r="I3048" s="115"/>
      <c r="J3048" s="115"/>
      <c r="K3048" s="115"/>
      <c r="L3048" s="115"/>
      <c r="M3048" s="115"/>
      <c r="N3048" s="115"/>
      <c r="O3048" s="115"/>
    </row>
    <row r="3049">
      <c r="E3049" s="115"/>
      <c r="F3049" s="115"/>
      <c r="G3049" s="115"/>
      <c r="H3049" s="115"/>
      <c r="I3049" s="115"/>
      <c r="J3049" s="115"/>
      <c r="K3049" s="115"/>
      <c r="L3049" s="115"/>
      <c r="M3049" s="115"/>
      <c r="N3049" s="115"/>
      <c r="O3049" s="115"/>
    </row>
    <row r="3050">
      <c r="E3050" s="115"/>
      <c r="F3050" s="115"/>
      <c r="G3050" s="115"/>
      <c r="H3050" s="115"/>
      <c r="I3050" s="115"/>
      <c r="J3050" s="115"/>
      <c r="K3050" s="115"/>
      <c r="L3050" s="115"/>
      <c r="M3050" s="115"/>
      <c r="N3050" s="115"/>
      <c r="O3050" s="115"/>
    </row>
    <row r="3051">
      <c r="E3051" s="115"/>
      <c r="F3051" s="115"/>
      <c r="G3051" s="115"/>
      <c r="H3051" s="115"/>
      <c r="I3051" s="115"/>
      <c r="J3051" s="115"/>
      <c r="K3051" s="115"/>
      <c r="L3051" s="115"/>
      <c r="M3051" s="115"/>
      <c r="N3051" s="115"/>
      <c r="O3051" s="115"/>
    </row>
    <row r="3052">
      <c r="E3052" s="115"/>
      <c r="F3052" s="115"/>
      <c r="G3052" s="115"/>
      <c r="H3052" s="115"/>
      <c r="I3052" s="115"/>
      <c r="J3052" s="115"/>
      <c r="K3052" s="115"/>
      <c r="L3052" s="115"/>
      <c r="M3052" s="115"/>
      <c r="N3052" s="115"/>
      <c r="O3052" s="115"/>
    </row>
    <row r="3053">
      <c r="E3053" s="115"/>
      <c r="F3053" s="115"/>
      <c r="G3053" s="115"/>
      <c r="H3053" s="115"/>
      <c r="I3053" s="115"/>
      <c r="J3053" s="115"/>
      <c r="K3053" s="115"/>
      <c r="L3053" s="115"/>
      <c r="M3053" s="115"/>
      <c r="N3053" s="115"/>
      <c r="O3053" s="115"/>
    </row>
    <row r="3054">
      <c r="E3054" s="115"/>
      <c r="F3054" s="115"/>
      <c r="G3054" s="115"/>
      <c r="H3054" s="115"/>
      <c r="I3054" s="115"/>
      <c r="J3054" s="115"/>
      <c r="K3054" s="115"/>
      <c r="L3054" s="115"/>
      <c r="M3054" s="115"/>
      <c r="N3054" s="115"/>
      <c r="O3054" s="115"/>
    </row>
    <row r="3055">
      <c r="E3055" s="115"/>
      <c r="F3055" s="115"/>
      <c r="G3055" s="115"/>
      <c r="H3055" s="115"/>
      <c r="I3055" s="115"/>
      <c r="J3055" s="115"/>
      <c r="K3055" s="115"/>
      <c r="L3055" s="115"/>
      <c r="M3055" s="115"/>
      <c r="N3055" s="115"/>
      <c r="O3055" s="115"/>
    </row>
    <row r="3056">
      <c r="E3056" s="115"/>
      <c r="F3056" s="115"/>
      <c r="G3056" s="115"/>
      <c r="H3056" s="115"/>
      <c r="I3056" s="115"/>
      <c r="J3056" s="115"/>
      <c r="K3056" s="115"/>
      <c r="L3056" s="115"/>
      <c r="M3056" s="115"/>
      <c r="N3056" s="115"/>
      <c r="O3056" s="115"/>
    </row>
    <row r="3057">
      <c r="E3057" s="115"/>
      <c r="F3057" s="115"/>
      <c r="G3057" s="115"/>
      <c r="H3057" s="115"/>
      <c r="I3057" s="115"/>
      <c r="J3057" s="115"/>
      <c r="K3057" s="115"/>
      <c r="L3057" s="115"/>
      <c r="M3057" s="115"/>
      <c r="N3057" s="115"/>
      <c r="O3057" s="115"/>
    </row>
    <row r="3058">
      <c r="E3058" s="115"/>
      <c r="F3058" s="115"/>
      <c r="G3058" s="115"/>
      <c r="H3058" s="115"/>
      <c r="I3058" s="115"/>
      <c r="J3058" s="115"/>
      <c r="K3058" s="115"/>
      <c r="L3058" s="115"/>
      <c r="M3058" s="115"/>
      <c r="N3058" s="115"/>
      <c r="O3058" s="115"/>
    </row>
    <row r="3059">
      <c r="E3059" s="115"/>
      <c r="F3059" s="115"/>
      <c r="G3059" s="115"/>
      <c r="H3059" s="115"/>
      <c r="I3059" s="115"/>
      <c r="J3059" s="115"/>
      <c r="K3059" s="115"/>
      <c r="L3059" s="115"/>
      <c r="M3059" s="115"/>
      <c r="N3059" s="115"/>
      <c r="O3059" s="115"/>
    </row>
    <row r="3060">
      <c r="E3060" s="115"/>
      <c r="F3060" s="115"/>
      <c r="G3060" s="115"/>
      <c r="H3060" s="115"/>
      <c r="I3060" s="115"/>
      <c r="J3060" s="115"/>
      <c r="K3060" s="115"/>
      <c r="L3060" s="115"/>
      <c r="M3060" s="115"/>
      <c r="N3060" s="115"/>
      <c r="O3060" s="115"/>
    </row>
    <row r="3061">
      <c r="E3061" s="115"/>
      <c r="F3061" s="115"/>
      <c r="G3061" s="115"/>
      <c r="H3061" s="115"/>
      <c r="I3061" s="115"/>
      <c r="J3061" s="115"/>
      <c r="K3061" s="115"/>
      <c r="L3061" s="115"/>
      <c r="M3061" s="115"/>
      <c r="N3061" s="115"/>
      <c r="O3061" s="115"/>
    </row>
    <row r="3062">
      <c r="E3062" s="115"/>
      <c r="F3062" s="115"/>
      <c r="G3062" s="115"/>
      <c r="H3062" s="115"/>
      <c r="I3062" s="115"/>
      <c r="J3062" s="115"/>
      <c r="K3062" s="115"/>
      <c r="L3062" s="115"/>
      <c r="M3062" s="115"/>
      <c r="N3062" s="115"/>
      <c r="O3062" s="115"/>
    </row>
    <row r="3063">
      <c r="E3063" s="115"/>
      <c r="F3063" s="115"/>
      <c r="G3063" s="115"/>
      <c r="H3063" s="115"/>
      <c r="I3063" s="115"/>
      <c r="J3063" s="115"/>
      <c r="K3063" s="115"/>
      <c r="L3063" s="115"/>
      <c r="M3063" s="115"/>
      <c r="N3063" s="115"/>
      <c r="O3063" s="115"/>
    </row>
    <row r="3064">
      <c r="E3064" s="115"/>
      <c r="F3064" s="115"/>
      <c r="G3064" s="115"/>
      <c r="H3064" s="115"/>
      <c r="I3064" s="115"/>
      <c r="J3064" s="115"/>
      <c r="K3064" s="115"/>
      <c r="L3064" s="115"/>
      <c r="M3064" s="115"/>
      <c r="N3064" s="115"/>
      <c r="O3064" s="115"/>
    </row>
    <row r="3065">
      <c r="E3065" s="115"/>
      <c r="F3065" s="115"/>
      <c r="G3065" s="115"/>
      <c r="H3065" s="115"/>
      <c r="I3065" s="115"/>
      <c r="J3065" s="115"/>
      <c r="K3065" s="115"/>
      <c r="L3065" s="115"/>
      <c r="M3065" s="115"/>
      <c r="N3065" s="115"/>
      <c r="O3065" s="115"/>
    </row>
    <row r="3066">
      <c r="E3066" s="115"/>
      <c r="F3066" s="115"/>
      <c r="G3066" s="115"/>
      <c r="H3066" s="115"/>
      <c r="I3066" s="115"/>
      <c r="J3066" s="115"/>
      <c r="K3066" s="115"/>
      <c r="L3066" s="115"/>
      <c r="M3066" s="115"/>
      <c r="N3066" s="115"/>
      <c r="O3066" s="115"/>
    </row>
    <row r="3067">
      <c r="E3067" s="115"/>
      <c r="F3067" s="115"/>
      <c r="G3067" s="115"/>
      <c r="H3067" s="115"/>
      <c r="I3067" s="115"/>
      <c r="J3067" s="115"/>
      <c r="K3067" s="115"/>
      <c r="L3067" s="115"/>
      <c r="M3067" s="115"/>
      <c r="N3067" s="115"/>
      <c r="O3067" s="115"/>
    </row>
    <row r="3068">
      <c r="E3068" s="115"/>
      <c r="F3068" s="115"/>
      <c r="G3068" s="115"/>
      <c r="H3068" s="115"/>
      <c r="I3068" s="115"/>
      <c r="J3068" s="115"/>
      <c r="K3068" s="115"/>
      <c r="L3068" s="115"/>
      <c r="M3068" s="115"/>
      <c r="N3068" s="115"/>
      <c r="O3068" s="115"/>
    </row>
    <row r="3069">
      <c r="E3069" s="115"/>
      <c r="F3069" s="115"/>
      <c r="G3069" s="115"/>
      <c r="H3069" s="115"/>
      <c r="I3069" s="115"/>
      <c r="J3069" s="115"/>
      <c r="K3069" s="115"/>
      <c r="L3069" s="115"/>
      <c r="M3069" s="115"/>
      <c r="N3069" s="115"/>
      <c r="O3069" s="115"/>
    </row>
    <row r="3070">
      <c r="E3070" s="115"/>
      <c r="F3070" s="115"/>
      <c r="G3070" s="115"/>
      <c r="H3070" s="115"/>
      <c r="I3070" s="115"/>
      <c r="J3070" s="115"/>
      <c r="K3070" s="115"/>
      <c r="L3070" s="115"/>
      <c r="M3070" s="115"/>
      <c r="N3070" s="115"/>
      <c r="O3070" s="115"/>
    </row>
    <row r="3071">
      <c r="E3071" s="115"/>
      <c r="F3071" s="115"/>
      <c r="G3071" s="115"/>
      <c r="H3071" s="115"/>
      <c r="I3071" s="115"/>
      <c r="J3071" s="115"/>
      <c r="K3071" s="115"/>
      <c r="L3071" s="115"/>
      <c r="M3071" s="115"/>
      <c r="N3071" s="115"/>
      <c r="O3071" s="115"/>
    </row>
    <row r="3072">
      <c r="E3072" s="115"/>
      <c r="F3072" s="115"/>
      <c r="G3072" s="115"/>
      <c r="H3072" s="115"/>
      <c r="I3072" s="115"/>
      <c r="J3072" s="115"/>
      <c r="K3072" s="115"/>
      <c r="L3072" s="115"/>
      <c r="M3072" s="115"/>
      <c r="N3072" s="115"/>
      <c r="O3072" s="115"/>
    </row>
    <row r="3073">
      <c r="E3073" s="115"/>
      <c r="F3073" s="115"/>
      <c r="G3073" s="115"/>
      <c r="H3073" s="115"/>
      <c r="I3073" s="115"/>
      <c r="J3073" s="115"/>
      <c r="K3073" s="115"/>
      <c r="L3073" s="115"/>
      <c r="M3073" s="115"/>
      <c r="N3073" s="115"/>
      <c r="O3073" s="115"/>
    </row>
    <row r="3074">
      <c r="E3074" s="115"/>
      <c r="F3074" s="115"/>
      <c r="G3074" s="115"/>
      <c r="H3074" s="115"/>
      <c r="I3074" s="115"/>
      <c r="J3074" s="115"/>
      <c r="K3074" s="115"/>
      <c r="L3074" s="115"/>
      <c r="M3074" s="115"/>
      <c r="N3074" s="115"/>
      <c r="O3074" s="115"/>
    </row>
    <row r="3075">
      <c r="E3075" s="115"/>
      <c r="F3075" s="115"/>
      <c r="G3075" s="115"/>
      <c r="H3075" s="115"/>
      <c r="I3075" s="115"/>
      <c r="J3075" s="115"/>
      <c r="K3075" s="115"/>
      <c r="L3075" s="115"/>
      <c r="M3075" s="115"/>
      <c r="N3075" s="115"/>
      <c r="O3075" s="115"/>
    </row>
    <row r="3076">
      <c r="E3076" s="115"/>
      <c r="F3076" s="115"/>
      <c r="G3076" s="115"/>
      <c r="H3076" s="115"/>
      <c r="I3076" s="115"/>
      <c r="J3076" s="115"/>
      <c r="K3076" s="115"/>
      <c r="L3076" s="115"/>
      <c r="M3076" s="115"/>
      <c r="N3076" s="115"/>
      <c r="O3076" s="115"/>
    </row>
    <row r="3077">
      <c r="E3077" s="115"/>
      <c r="F3077" s="115"/>
      <c r="G3077" s="115"/>
      <c r="H3077" s="115"/>
      <c r="I3077" s="115"/>
      <c r="J3077" s="115"/>
      <c r="K3077" s="115"/>
      <c r="L3077" s="115"/>
      <c r="M3077" s="115"/>
      <c r="N3077" s="115"/>
      <c r="O3077" s="115"/>
    </row>
    <row r="3078">
      <c r="E3078" s="115"/>
      <c r="F3078" s="115"/>
      <c r="G3078" s="115"/>
      <c r="H3078" s="115"/>
      <c r="I3078" s="115"/>
      <c r="J3078" s="115"/>
      <c r="K3078" s="115"/>
      <c r="L3078" s="115"/>
      <c r="M3078" s="115"/>
      <c r="N3078" s="115"/>
      <c r="O3078" s="115"/>
    </row>
    <row r="3079">
      <c r="E3079" s="115"/>
      <c r="F3079" s="115"/>
      <c r="G3079" s="115"/>
      <c r="H3079" s="115"/>
      <c r="I3079" s="115"/>
      <c r="J3079" s="115"/>
      <c r="K3079" s="115"/>
      <c r="L3079" s="115"/>
      <c r="M3079" s="115"/>
      <c r="N3079" s="115"/>
      <c r="O3079" s="115"/>
    </row>
    <row r="3080">
      <c r="E3080" s="115"/>
      <c r="F3080" s="115"/>
      <c r="G3080" s="115"/>
      <c r="H3080" s="115"/>
      <c r="I3080" s="115"/>
      <c r="J3080" s="115"/>
      <c r="K3080" s="115"/>
      <c r="L3080" s="115"/>
      <c r="M3080" s="115"/>
      <c r="N3080" s="115"/>
      <c r="O3080" s="115"/>
    </row>
    <row r="3081">
      <c r="E3081" s="115"/>
      <c r="F3081" s="115"/>
      <c r="G3081" s="115"/>
      <c r="H3081" s="115"/>
      <c r="I3081" s="115"/>
      <c r="J3081" s="115"/>
      <c r="K3081" s="115"/>
      <c r="L3081" s="115"/>
      <c r="M3081" s="115"/>
      <c r="N3081" s="115"/>
      <c r="O3081" s="115"/>
    </row>
    <row r="3082">
      <c r="E3082" s="115"/>
      <c r="F3082" s="115"/>
      <c r="G3082" s="115"/>
      <c r="H3082" s="115"/>
      <c r="I3082" s="115"/>
      <c r="J3082" s="115"/>
      <c r="K3082" s="115"/>
      <c r="L3082" s="115"/>
      <c r="M3082" s="115"/>
      <c r="N3082" s="115"/>
      <c r="O3082" s="115"/>
    </row>
    <row r="3083">
      <c r="E3083" s="115"/>
      <c r="F3083" s="115"/>
      <c r="G3083" s="115"/>
      <c r="H3083" s="115"/>
      <c r="I3083" s="115"/>
      <c r="J3083" s="115"/>
      <c r="K3083" s="115"/>
      <c r="L3083" s="115"/>
      <c r="M3083" s="115"/>
      <c r="N3083" s="115"/>
      <c r="O3083" s="115"/>
    </row>
    <row r="3084">
      <c r="E3084" s="115"/>
      <c r="F3084" s="115"/>
      <c r="G3084" s="115"/>
      <c r="H3084" s="115"/>
      <c r="I3084" s="115"/>
      <c r="J3084" s="115"/>
      <c r="K3084" s="115"/>
      <c r="L3084" s="115"/>
      <c r="M3084" s="115"/>
      <c r="N3084" s="115"/>
      <c r="O3084" s="115"/>
    </row>
    <row r="3085">
      <c r="E3085" s="115"/>
      <c r="F3085" s="115"/>
      <c r="G3085" s="115"/>
      <c r="H3085" s="115"/>
      <c r="I3085" s="115"/>
      <c r="J3085" s="115"/>
      <c r="K3085" s="115"/>
      <c r="L3085" s="115"/>
      <c r="M3085" s="115"/>
      <c r="N3085" s="115"/>
      <c r="O3085" s="115"/>
    </row>
    <row r="3086">
      <c r="E3086" s="115"/>
      <c r="F3086" s="115"/>
      <c r="G3086" s="115"/>
      <c r="H3086" s="115"/>
      <c r="I3086" s="115"/>
      <c r="J3086" s="115"/>
      <c r="K3086" s="115"/>
      <c r="L3086" s="115"/>
      <c r="M3086" s="115"/>
      <c r="N3086" s="115"/>
      <c r="O3086" s="115"/>
    </row>
    <row r="3087">
      <c r="E3087" s="115"/>
      <c r="F3087" s="115"/>
      <c r="G3087" s="115"/>
      <c r="H3087" s="115"/>
      <c r="I3087" s="115"/>
      <c r="J3087" s="115"/>
      <c r="K3087" s="115"/>
      <c r="L3087" s="115"/>
      <c r="M3087" s="115"/>
      <c r="N3087" s="115"/>
      <c r="O3087" s="115"/>
    </row>
    <row r="3088">
      <c r="E3088" s="115"/>
      <c r="F3088" s="115"/>
      <c r="G3088" s="115"/>
      <c r="H3088" s="115"/>
      <c r="I3088" s="115"/>
      <c r="J3088" s="115"/>
      <c r="K3088" s="115"/>
      <c r="L3088" s="115"/>
      <c r="M3088" s="115"/>
      <c r="N3088" s="115"/>
      <c r="O3088" s="115"/>
    </row>
    <row r="3089">
      <c r="E3089" s="115"/>
      <c r="F3089" s="115"/>
      <c r="G3089" s="115"/>
      <c r="H3089" s="115"/>
      <c r="I3089" s="115"/>
      <c r="J3089" s="115"/>
      <c r="K3089" s="115"/>
      <c r="L3089" s="115"/>
      <c r="M3089" s="115"/>
      <c r="N3089" s="115"/>
      <c r="O3089" s="115"/>
    </row>
    <row r="3090">
      <c r="E3090" s="115"/>
      <c r="F3090" s="115"/>
      <c r="G3090" s="115"/>
      <c r="H3090" s="115"/>
      <c r="I3090" s="115"/>
      <c r="J3090" s="115"/>
      <c r="K3090" s="115"/>
      <c r="L3090" s="115"/>
      <c r="M3090" s="115"/>
      <c r="N3090" s="115"/>
      <c r="O3090" s="115"/>
    </row>
    <row r="3091">
      <c r="E3091" s="115"/>
      <c r="F3091" s="115"/>
      <c r="G3091" s="115"/>
      <c r="H3091" s="115"/>
      <c r="I3091" s="115"/>
      <c r="J3091" s="115"/>
      <c r="K3091" s="115"/>
      <c r="L3091" s="115"/>
      <c r="M3091" s="115"/>
      <c r="N3091" s="115"/>
      <c r="O3091" s="115"/>
    </row>
    <row r="3092">
      <c r="E3092" s="115"/>
      <c r="F3092" s="115"/>
      <c r="G3092" s="115"/>
      <c r="H3092" s="115"/>
      <c r="I3092" s="115"/>
      <c r="J3092" s="115"/>
      <c r="K3092" s="115"/>
      <c r="L3092" s="115"/>
      <c r="M3092" s="115"/>
      <c r="N3092" s="115"/>
      <c r="O3092" s="115"/>
    </row>
    <row r="3093">
      <c r="E3093" s="115"/>
      <c r="F3093" s="115"/>
      <c r="G3093" s="115"/>
      <c r="H3093" s="115"/>
      <c r="I3093" s="115"/>
      <c r="J3093" s="115"/>
      <c r="K3093" s="115"/>
      <c r="L3093" s="115"/>
      <c r="M3093" s="115"/>
      <c r="N3093" s="115"/>
      <c r="O3093" s="115"/>
    </row>
    <row r="3094">
      <c r="E3094" s="115"/>
      <c r="F3094" s="115"/>
      <c r="G3094" s="115"/>
      <c r="H3094" s="115"/>
      <c r="I3094" s="115"/>
      <c r="J3094" s="115"/>
      <c r="K3094" s="115"/>
      <c r="L3094" s="115"/>
      <c r="M3094" s="115"/>
      <c r="N3094" s="115"/>
      <c r="O3094" s="115"/>
    </row>
    <row r="3095">
      <c r="E3095" s="115"/>
      <c r="F3095" s="115"/>
      <c r="G3095" s="115"/>
      <c r="H3095" s="115"/>
      <c r="I3095" s="115"/>
      <c r="J3095" s="115"/>
      <c r="K3095" s="115"/>
      <c r="L3095" s="115"/>
      <c r="M3095" s="115"/>
      <c r="N3095" s="115"/>
      <c r="O3095" s="115"/>
    </row>
    <row r="3096">
      <c r="E3096" s="115"/>
      <c r="F3096" s="115"/>
      <c r="G3096" s="115"/>
      <c r="H3096" s="115"/>
      <c r="I3096" s="115"/>
      <c r="J3096" s="115"/>
      <c r="K3096" s="115"/>
      <c r="L3096" s="115"/>
      <c r="M3096" s="115"/>
      <c r="N3096" s="115"/>
      <c r="O3096" s="115"/>
    </row>
    <row r="3097">
      <c r="E3097" s="115"/>
      <c r="F3097" s="115"/>
      <c r="G3097" s="115"/>
      <c r="H3097" s="115"/>
      <c r="I3097" s="115"/>
      <c r="J3097" s="115"/>
      <c r="K3097" s="115"/>
      <c r="L3097" s="115"/>
      <c r="M3097" s="115"/>
      <c r="N3097" s="115"/>
      <c r="O3097" s="115"/>
    </row>
    <row r="3098">
      <c r="E3098" s="115"/>
      <c r="F3098" s="115"/>
      <c r="G3098" s="115"/>
      <c r="H3098" s="115"/>
      <c r="I3098" s="115"/>
      <c r="J3098" s="115"/>
      <c r="K3098" s="115"/>
      <c r="L3098" s="115"/>
      <c r="M3098" s="115"/>
      <c r="N3098" s="115"/>
      <c r="O3098" s="115"/>
    </row>
    <row r="3099">
      <c r="E3099" s="115"/>
      <c r="F3099" s="115"/>
      <c r="G3099" s="115"/>
      <c r="H3099" s="115"/>
      <c r="I3099" s="115"/>
      <c r="J3099" s="115"/>
      <c r="K3099" s="115"/>
      <c r="L3099" s="115"/>
      <c r="M3099" s="115"/>
      <c r="N3099" s="115"/>
      <c r="O3099" s="115"/>
    </row>
    <row r="3100">
      <c r="E3100" s="115"/>
      <c r="F3100" s="115"/>
      <c r="G3100" s="115"/>
      <c r="H3100" s="115"/>
      <c r="I3100" s="115"/>
      <c r="J3100" s="115"/>
      <c r="K3100" s="115"/>
      <c r="L3100" s="115"/>
      <c r="M3100" s="115"/>
      <c r="N3100" s="115"/>
      <c r="O3100" s="115"/>
    </row>
    <row r="3101">
      <c r="E3101" s="115"/>
      <c r="F3101" s="115"/>
      <c r="G3101" s="115"/>
      <c r="H3101" s="115"/>
      <c r="I3101" s="115"/>
      <c r="J3101" s="115"/>
      <c r="K3101" s="115"/>
      <c r="L3101" s="115"/>
      <c r="M3101" s="115"/>
      <c r="N3101" s="115"/>
      <c r="O3101" s="115"/>
    </row>
    <row r="3102">
      <c r="E3102" s="115"/>
      <c r="F3102" s="115"/>
      <c r="G3102" s="115"/>
      <c r="H3102" s="115"/>
      <c r="I3102" s="115"/>
      <c r="J3102" s="115"/>
      <c r="K3102" s="115"/>
      <c r="L3102" s="115"/>
      <c r="M3102" s="115"/>
      <c r="N3102" s="115"/>
      <c r="O3102" s="115"/>
    </row>
    <row r="3103">
      <c r="E3103" s="115"/>
      <c r="F3103" s="115"/>
      <c r="G3103" s="115"/>
      <c r="H3103" s="115"/>
      <c r="I3103" s="115"/>
      <c r="J3103" s="115"/>
      <c r="K3103" s="115"/>
      <c r="L3103" s="115"/>
      <c r="M3103" s="115"/>
      <c r="N3103" s="115"/>
      <c r="O3103" s="115"/>
    </row>
    <row r="3104">
      <c r="E3104" s="115"/>
      <c r="F3104" s="115"/>
      <c r="G3104" s="115"/>
      <c r="H3104" s="115"/>
      <c r="I3104" s="115"/>
      <c r="J3104" s="115"/>
      <c r="K3104" s="115"/>
      <c r="L3104" s="115"/>
      <c r="M3104" s="115"/>
      <c r="N3104" s="115"/>
      <c r="O3104" s="115"/>
    </row>
    <row r="3105">
      <c r="E3105" s="115"/>
      <c r="F3105" s="115"/>
      <c r="G3105" s="115"/>
      <c r="H3105" s="115"/>
      <c r="I3105" s="115"/>
      <c r="J3105" s="115"/>
      <c r="K3105" s="115"/>
      <c r="L3105" s="115"/>
      <c r="M3105" s="115"/>
      <c r="N3105" s="115"/>
      <c r="O3105" s="115"/>
    </row>
    <row r="3106">
      <c r="E3106" s="115"/>
      <c r="F3106" s="115"/>
      <c r="G3106" s="115"/>
      <c r="H3106" s="115"/>
      <c r="I3106" s="115"/>
      <c r="J3106" s="115"/>
      <c r="K3106" s="115"/>
      <c r="L3106" s="115"/>
      <c r="M3106" s="115"/>
      <c r="N3106" s="115"/>
      <c r="O3106" s="115"/>
    </row>
    <row r="3107">
      <c r="E3107" s="115"/>
      <c r="F3107" s="115"/>
      <c r="G3107" s="115"/>
      <c r="H3107" s="115"/>
      <c r="I3107" s="115"/>
      <c r="J3107" s="115"/>
      <c r="K3107" s="115"/>
      <c r="L3107" s="115"/>
      <c r="M3107" s="115"/>
      <c r="N3107" s="115"/>
      <c r="O3107" s="115"/>
    </row>
    <row r="3108">
      <c r="E3108" s="115"/>
      <c r="F3108" s="115"/>
      <c r="G3108" s="115"/>
      <c r="H3108" s="115"/>
      <c r="I3108" s="115"/>
      <c r="J3108" s="115"/>
      <c r="K3108" s="115"/>
      <c r="L3108" s="115"/>
      <c r="M3108" s="115"/>
      <c r="N3108" s="115"/>
      <c r="O3108" s="115"/>
    </row>
    <row r="3109">
      <c r="E3109" s="115"/>
      <c r="F3109" s="115"/>
      <c r="G3109" s="115"/>
      <c r="H3109" s="115"/>
      <c r="I3109" s="115"/>
      <c r="J3109" s="115"/>
      <c r="K3109" s="115"/>
      <c r="L3109" s="115"/>
      <c r="M3109" s="115"/>
      <c r="N3109" s="115"/>
      <c r="O3109" s="115"/>
    </row>
    <row r="3110">
      <c r="E3110" s="115"/>
      <c r="F3110" s="115"/>
      <c r="G3110" s="115"/>
      <c r="H3110" s="115"/>
      <c r="I3110" s="115"/>
      <c r="J3110" s="115"/>
      <c r="K3110" s="115"/>
      <c r="L3110" s="115"/>
      <c r="M3110" s="115"/>
      <c r="N3110" s="115"/>
      <c r="O3110" s="115"/>
    </row>
    <row r="3111">
      <c r="E3111" s="115"/>
      <c r="F3111" s="115"/>
      <c r="G3111" s="115"/>
      <c r="H3111" s="115"/>
      <c r="I3111" s="115"/>
      <c r="J3111" s="115"/>
      <c r="K3111" s="115"/>
      <c r="L3111" s="115"/>
      <c r="M3111" s="115"/>
      <c r="N3111" s="115"/>
      <c r="O3111" s="115"/>
    </row>
    <row r="3112">
      <c r="E3112" s="115"/>
      <c r="F3112" s="115"/>
      <c r="G3112" s="115"/>
      <c r="H3112" s="115"/>
      <c r="I3112" s="115"/>
      <c r="J3112" s="115"/>
      <c r="K3112" s="115"/>
      <c r="L3112" s="115"/>
      <c r="M3112" s="115"/>
      <c r="N3112" s="115"/>
      <c r="O3112" s="115"/>
    </row>
    <row r="3113">
      <c r="E3113" s="115"/>
      <c r="F3113" s="115"/>
      <c r="G3113" s="115"/>
      <c r="H3113" s="115"/>
      <c r="I3113" s="115"/>
      <c r="J3113" s="115"/>
      <c r="K3113" s="115"/>
      <c r="L3113" s="115"/>
      <c r="M3113" s="115"/>
      <c r="N3113" s="115"/>
      <c r="O3113" s="115"/>
    </row>
    <row r="3114">
      <c r="E3114" s="115"/>
      <c r="F3114" s="115"/>
      <c r="G3114" s="115"/>
      <c r="H3114" s="115"/>
      <c r="I3114" s="115"/>
      <c r="J3114" s="115"/>
      <c r="K3114" s="115"/>
      <c r="L3114" s="115"/>
      <c r="M3114" s="115"/>
      <c r="N3114" s="115"/>
      <c r="O3114" s="115"/>
    </row>
    <row r="3115">
      <c r="E3115" s="115"/>
      <c r="F3115" s="115"/>
      <c r="G3115" s="115"/>
      <c r="H3115" s="115"/>
      <c r="I3115" s="115"/>
      <c r="J3115" s="115"/>
      <c r="K3115" s="115"/>
      <c r="L3115" s="115"/>
      <c r="M3115" s="115"/>
      <c r="N3115" s="115"/>
      <c r="O3115" s="115"/>
    </row>
    <row r="3116">
      <c r="E3116" s="115"/>
      <c r="F3116" s="115"/>
      <c r="G3116" s="115"/>
      <c r="H3116" s="115"/>
      <c r="I3116" s="115"/>
      <c r="J3116" s="115"/>
      <c r="K3116" s="115"/>
      <c r="L3116" s="115"/>
      <c r="M3116" s="115"/>
      <c r="N3116" s="115"/>
      <c r="O3116" s="115"/>
    </row>
    <row r="3117">
      <c r="E3117" s="115"/>
      <c r="F3117" s="115"/>
      <c r="G3117" s="115"/>
      <c r="H3117" s="115"/>
      <c r="I3117" s="115"/>
      <c r="J3117" s="115"/>
      <c r="K3117" s="115"/>
      <c r="L3117" s="115"/>
      <c r="M3117" s="115"/>
      <c r="N3117" s="115"/>
      <c r="O3117" s="115"/>
    </row>
    <row r="3118">
      <c r="E3118" s="115"/>
      <c r="F3118" s="115"/>
      <c r="G3118" s="115"/>
      <c r="H3118" s="115"/>
      <c r="I3118" s="115"/>
      <c r="J3118" s="115"/>
      <c r="K3118" s="115"/>
      <c r="L3118" s="115"/>
      <c r="M3118" s="115"/>
      <c r="N3118" s="115"/>
      <c r="O3118" s="115"/>
    </row>
    <row r="3119">
      <c r="E3119" s="115"/>
      <c r="F3119" s="115"/>
      <c r="G3119" s="115"/>
      <c r="H3119" s="115"/>
      <c r="I3119" s="115"/>
      <c r="J3119" s="115"/>
      <c r="K3119" s="115"/>
      <c r="L3119" s="115"/>
      <c r="M3119" s="115"/>
      <c r="N3119" s="115"/>
      <c r="O3119" s="115"/>
    </row>
    <row r="3120">
      <c r="E3120" s="115"/>
      <c r="F3120" s="115"/>
      <c r="G3120" s="115"/>
      <c r="H3120" s="115"/>
      <c r="I3120" s="115"/>
      <c r="J3120" s="115"/>
      <c r="K3120" s="115"/>
      <c r="L3120" s="115"/>
      <c r="M3120" s="115"/>
      <c r="N3120" s="115"/>
      <c r="O3120" s="115"/>
    </row>
    <row r="3121">
      <c r="E3121" s="115"/>
      <c r="F3121" s="115"/>
      <c r="G3121" s="115"/>
      <c r="H3121" s="115"/>
      <c r="I3121" s="115"/>
      <c r="J3121" s="115"/>
      <c r="K3121" s="115"/>
      <c r="L3121" s="115"/>
      <c r="M3121" s="115"/>
      <c r="N3121" s="115"/>
      <c r="O3121" s="115"/>
    </row>
    <row r="3122">
      <c r="E3122" s="115"/>
      <c r="F3122" s="115"/>
      <c r="G3122" s="115"/>
      <c r="H3122" s="115"/>
      <c r="I3122" s="115"/>
      <c r="J3122" s="115"/>
      <c r="K3122" s="115"/>
      <c r="L3122" s="115"/>
      <c r="M3122" s="115"/>
      <c r="N3122" s="115"/>
      <c r="O3122" s="115"/>
    </row>
    <row r="3123">
      <c r="E3123" s="115"/>
      <c r="F3123" s="115"/>
      <c r="G3123" s="115"/>
      <c r="H3123" s="115"/>
      <c r="I3123" s="115"/>
      <c r="J3123" s="115"/>
      <c r="K3123" s="115"/>
      <c r="L3123" s="115"/>
      <c r="M3123" s="115"/>
      <c r="N3123" s="115"/>
      <c r="O3123" s="115"/>
    </row>
    <row r="3124">
      <c r="E3124" s="115"/>
      <c r="F3124" s="115"/>
      <c r="G3124" s="115"/>
      <c r="H3124" s="115"/>
      <c r="I3124" s="115"/>
      <c r="J3124" s="115"/>
      <c r="K3124" s="115"/>
      <c r="L3124" s="115"/>
      <c r="M3124" s="115"/>
      <c r="N3124" s="115"/>
      <c r="O3124" s="115"/>
    </row>
    <row r="3125">
      <c r="E3125" s="115"/>
      <c r="F3125" s="115"/>
      <c r="G3125" s="115"/>
      <c r="H3125" s="115"/>
      <c r="I3125" s="115"/>
      <c r="J3125" s="115"/>
      <c r="K3125" s="115"/>
      <c r="L3125" s="115"/>
      <c r="M3125" s="115"/>
      <c r="N3125" s="115"/>
      <c r="O3125" s="115"/>
    </row>
    <row r="3126">
      <c r="E3126" s="115"/>
      <c r="F3126" s="115"/>
      <c r="G3126" s="115"/>
      <c r="H3126" s="115"/>
      <c r="I3126" s="115"/>
      <c r="J3126" s="115"/>
      <c r="K3126" s="115"/>
      <c r="L3126" s="115"/>
      <c r="M3126" s="115"/>
      <c r="N3126" s="115"/>
      <c r="O3126" s="115"/>
    </row>
    <row r="3127">
      <c r="E3127" s="115"/>
      <c r="F3127" s="115"/>
      <c r="G3127" s="115"/>
      <c r="H3127" s="115"/>
      <c r="I3127" s="115"/>
      <c r="J3127" s="115"/>
      <c r="K3127" s="115"/>
      <c r="L3127" s="115"/>
      <c r="M3127" s="115"/>
      <c r="N3127" s="115"/>
      <c r="O3127" s="115"/>
    </row>
    <row r="3128">
      <c r="E3128" s="115"/>
      <c r="F3128" s="115"/>
      <c r="G3128" s="115"/>
      <c r="H3128" s="115"/>
      <c r="I3128" s="115"/>
      <c r="J3128" s="115"/>
      <c r="K3128" s="115"/>
      <c r="L3128" s="115"/>
      <c r="M3128" s="115"/>
      <c r="N3128" s="115"/>
      <c r="O3128" s="115"/>
    </row>
    <row r="3129">
      <c r="E3129" s="115"/>
      <c r="F3129" s="115"/>
      <c r="G3129" s="115"/>
      <c r="H3129" s="115"/>
      <c r="I3129" s="115"/>
      <c r="J3129" s="115"/>
      <c r="K3129" s="115"/>
      <c r="L3129" s="115"/>
      <c r="M3129" s="115"/>
      <c r="N3129" s="115"/>
      <c r="O3129" s="115"/>
    </row>
    <row r="3130">
      <c r="E3130" s="115"/>
      <c r="F3130" s="115"/>
      <c r="G3130" s="115"/>
      <c r="H3130" s="115"/>
      <c r="I3130" s="115"/>
      <c r="J3130" s="115"/>
      <c r="K3130" s="115"/>
      <c r="L3130" s="115"/>
      <c r="M3130" s="115"/>
      <c r="N3130" s="115"/>
      <c r="O3130" s="115"/>
    </row>
    <row r="3131">
      <c r="E3131" s="115"/>
      <c r="F3131" s="115"/>
      <c r="G3131" s="115"/>
      <c r="H3131" s="115"/>
      <c r="I3131" s="115"/>
      <c r="J3131" s="115"/>
      <c r="K3131" s="115"/>
      <c r="L3131" s="115"/>
      <c r="M3131" s="115"/>
      <c r="N3131" s="115"/>
      <c r="O3131" s="115"/>
    </row>
    <row r="3132">
      <c r="E3132" s="115"/>
      <c r="F3132" s="115"/>
      <c r="G3132" s="115"/>
      <c r="H3132" s="115"/>
      <c r="I3132" s="115"/>
      <c r="J3132" s="115"/>
      <c r="K3132" s="115"/>
      <c r="L3132" s="115"/>
      <c r="M3132" s="115"/>
      <c r="N3132" s="115"/>
      <c r="O3132" s="115"/>
    </row>
    <row r="3133">
      <c r="E3133" s="115"/>
      <c r="F3133" s="115"/>
      <c r="G3133" s="115"/>
      <c r="H3133" s="115"/>
      <c r="I3133" s="115"/>
      <c r="J3133" s="115"/>
      <c r="K3133" s="115"/>
      <c r="L3133" s="115"/>
      <c r="M3133" s="115"/>
      <c r="N3133" s="115"/>
      <c r="O3133" s="115"/>
    </row>
    <row r="3134">
      <c r="E3134" s="115"/>
      <c r="F3134" s="115"/>
      <c r="G3134" s="115"/>
      <c r="H3134" s="115"/>
      <c r="I3134" s="115"/>
      <c r="J3134" s="115"/>
      <c r="K3134" s="115"/>
      <c r="L3134" s="115"/>
      <c r="M3134" s="115"/>
      <c r="N3134" s="115"/>
      <c r="O3134" s="115"/>
    </row>
    <row r="3135">
      <c r="E3135" s="115"/>
      <c r="F3135" s="115"/>
      <c r="G3135" s="115"/>
      <c r="H3135" s="115"/>
      <c r="I3135" s="115"/>
      <c r="J3135" s="115"/>
      <c r="K3135" s="115"/>
      <c r="L3135" s="115"/>
      <c r="M3135" s="115"/>
      <c r="N3135" s="115"/>
      <c r="O3135" s="115"/>
    </row>
    <row r="3136">
      <c r="E3136" s="115"/>
      <c r="F3136" s="115"/>
      <c r="G3136" s="115"/>
      <c r="H3136" s="115"/>
      <c r="I3136" s="115"/>
      <c r="J3136" s="115"/>
      <c r="K3136" s="115"/>
      <c r="L3136" s="115"/>
      <c r="M3136" s="115"/>
      <c r="N3136" s="115"/>
      <c r="O3136" s="115"/>
    </row>
    <row r="3137">
      <c r="E3137" s="115"/>
      <c r="F3137" s="115"/>
      <c r="G3137" s="115"/>
      <c r="H3137" s="115"/>
      <c r="I3137" s="115"/>
      <c r="J3137" s="115"/>
      <c r="K3137" s="115"/>
      <c r="L3137" s="115"/>
      <c r="M3137" s="115"/>
      <c r="N3137" s="115"/>
      <c r="O3137" s="115"/>
    </row>
    <row r="3138">
      <c r="E3138" s="115"/>
      <c r="F3138" s="115"/>
      <c r="G3138" s="115"/>
      <c r="H3138" s="115"/>
      <c r="I3138" s="115"/>
      <c r="J3138" s="115"/>
      <c r="K3138" s="115"/>
      <c r="L3138" s="115"/>
      <c r="M3138" s="115"/>
      <c r="N3138" s="115"/>
      <c r="O3138" s="115"/>
    </row>
    <row r="3139">
      <c r="E3139" s="115"/>
      <c r="F3139" s="115"/>
      <c r="G3139" s="115"/>
      <c r="H3139" s="115"/>
      <c r="I3139" s="115"/>
      <c r="J3139" s="115"/>
      <c r="K3139" s="115"/>
      <c r="L3139" s="115"/>
      <c r="M3139" s="115"/>
      <c r="N3139" s="115"/>
      <c r="O3139" s="115"/>
    </row>
    <row r="3140">
      <c r="E3140" s="115"/>
      <c r="F3140" s="115"/>
      <c r="G3140" s="115"/>
      <c r="H3140" s="115"/>
      <c r="I3140" s="115"/>
      <c r="J3140" s="115"/>
      <c r="K3140" s="115"/>
      <c r="L3140" s="115"/>
      <c r="M3140" s="115"/>
      <c r="N3140" s="115"/>
      <c r="O3140" s="115"/>
    </row>
    <row r="3141">
      <c r="E3141" s="115"/>
      <c r="F3141" s="115"/>
      <c r="G3141" s="115"/>
      <c r="H3141" s="115"/>
      <c r="I3141" s="115"/>
      <c r="J3141" s="115"/>
      <c r="K3141" s="115"/>
      <c r="L3141" s="115"/>
      <c r="M3141" s="115"/>
      <c r="N3141" s="115"/>
      <c r="O3141" s="115"/>
    </row>
    <row r="3142">
      <c r="E3142" s="115"/>
      <c r="F3142" s="115"/>
      <c r="G3142" s="115"/>
      <c r="H3142" s="115"/>
      <c r="I3142" s="115"/>
      <c r="J3142" s="115"/>
      <c r="K3142" s="115"/>
      <c r="L3142" s="115"/>
      <c r="M3142" s="115"/>
      <c r="N3142" s="115"/>
      <c r="O3142" s="115"/>
    </row>
    <row r="3143">
      <c r="E3143" s="115"/>
      <c r="F3143" s="115"/>
      <c r="G3143" s="115"/>
      <c r="H3143" s="115"/>
      <c r="I3143" s="115"/>
      <c r="J3143" s="115"/>
      <c r="K3143" s="115"/>
      <c r="L3143" s="115"/>
      <c r="M3143" s="115"/>
      <c r="N3143" s="115"/>
      <c r="O3143" s="115"/>
    </row>
    <row r="3144">
      <c r="E3144" s="115"/>
      <c r="F3144" s="115"/>
      <c r="G3144" s="115"/>
      <c r="H3144" s="115"/>
      <c r="I3144" s="115"/>
      <c r="J3144" s="115"/>
      <c r="K3144" s="115"/>
      <c r="L3144" s="115"/>
      <c r="M3144" s="115"/>
      <c r="N3144" s="115"/>
      <c r="O3144" s="115"/>
    </row>
    <row r="3145">
      <c r="E3145" s="115"/>
      <c r="F3145" s="115"/>
      <c r="G3145" s="115"/>
      <c r="H3145" s="115"/>
      <c r="I3145" s="115"/>
      <c r="J3145" s="115"/>
      <c r="K3145" s="115"/>
      <c r="L3145" s="115"/>
      <c r="M3145" s="115"/>
      <c r="N3145" s="115"/>
      <c r="O3145" s="115"/>
    </row>
    <row r="3146">
      <c r="E3146" s="115"/>
      <c r="F3146" s="115"/>
      <c r="G3146" s="115"/>
      <c r="H3146" s="115"/>
      <c r="I3146" s="115"/>
      <c r="J3146" s="115"/>
      <c r="K3146" s="115"/>
      <c r="L3146" s="115"/>
      <c r="M3146" s="115"/>
      <c r="N3146" s="115"/>
      <c r="O3146" s="115"/>
    </row>
    <row r="3147">
      <c r="E3147" s="115"/>
      <c r="F3147" s="115"/>
      <c r="G3147" s="115"/>
      <c r="H3147" s="115"/>
      <c r="I3147" s="115"/>
      <c r="J3147" s="115"/>
      <c r="K3147" s="115"/>
      <c r="L3147" s="115"/>
      <c r="M3147" s="115"/>
      <c r="N3147" s="115"/>
      <c r="O3147" s="115"/>
    </row>
    <row r="3148">
      <c r="E3148" s="115"/>
      <c r="F3148" s="115"/>
      <c r="G3148" s="115"/>
      <c r="H3148" s="115"/>
      <c r="I3148" s="115"/>
      <c r="J3148" s="115"/>
      <c r="K3148" s="115"/>
      <c r="L3148" s="115"/>
      <c r="M3148" s="115"/>
      <c r="N3148" s="115"/>
      <c r="O3148" s="115"/>
    </row>
    <row r="3149">
      <c r="E3149" s="115"/>
      <c r="F3149" s="115"/>
      <c r="G3149" s="115"/>
      <c r="H3149" s="115"/>
      <c r="I3149" s="115"/>
      <c r="J3149" s="115"/>
      <c r="K3149" s="115"/>
      <c r="L3149" s="115"/>
      <c r="M3149" s="115"/>
      <c r="N3149" s="115"/>
      <c r="O3149" s="115"/>
    </row>
    <row r="3150">
      <c r="E3150" s="115"/>
      <c r="F3150" s="115"/>
      <c r="G3150" s="115"/>
      <c r="H3150" s="115"/>
      <c r="I3150" s="115"/>
      <c r="J3150" s="115"/>
      <c r="K3150" s="115"/>
      <c r="L3150" s="115"/>
      <c r="M3150" s="115"/>
      <c r="N3150" s="115"/>
      <c r="O3150" s="115"/>
    </row>
    <row r="3151">
      <c r="E3151" s="115"/>
      <c r="F3151" s="115"/>
      <c r="G3151" s="115"/>
      <c r="H3151" s="115"/>
      <c r="I3151" s="115"/>
      <c r="J3151" s="115"/>
      <c r="K3151" s="115"/>
      <c r="L3151" s="115"/>
      <c r="M3151" s="115"/>
      <c r="N3151" s="115"/>
      <c r="O3151" s="115"/>
    </row>
    <row r="3152">
      <c r="E3152" s="115"/>
      <c r="F3152" s="115"/>
      <c r="G3152" s="115"/>
      <c r="H3152" s="115"/>
      <c r="I3152" s="115"/>
      <c r="J3152" s="115"/>
      <c r="K3152" s="115"/>
      <c r="L3152" s="115"/>
      <c r="M3152" s="115"/>
      <c r="N3152" s="115"/>
      <c r="O3152" s="115"/>
    </row>
    <row r="3153">
      <c r="E3153" s="115"/>
      <c r="F3153" s="115"/>
      <c r="G3153" s="115"/>
      <c r="H3153" s="115"/>
      <c r="I3153" s="115"/>
      <c r="J3153" s="115"/>
      <c r="K3153" s="115"/>
      <c r="L3153" s="115"/>
      <c r="M3153" s="115"/>
      <c r="N3153" s="115"/>
      <c r="O3153" s="115"/>
    </row>
    <row r="3154">
      <c r="E3154" s="115"/>
      <c r="F3154" s="115"/>
      <c r="G3154" s="115"/>
      <c r="H3154" s="115"/>
      <c r="I3154" s="115"/>
      <c r="J3154" s="115"/>
      <c r="K3154" s="115"/>
      <c r="L3154" s="115"/>
      <c r="M3154" s="115"/>
      <c r="N3154" s="115"/>
      <c r="O3154" s="115"/>
    </row>
    <row r="3155">
      <c r="E3155" s="115"/>
      <c r="F3155" s="115"/>
      <c r="G3155" s="115"/>
      <c r="H3155" s="115"/>
      <c r="I3155" s="115"/>
      <c r="J3155" s="115"/>
      <c r="K3155" s="115"/>
      <c r="L3155" s="115"/>
      <c r="M3155" s="115"/>
      <c r="N3155" s="115"/>
      <c r="O3155" s="115"/>
    </row>
    <row r="3156">
      <c r="E3156" s="115"/>
      <c r="F3156" s="115"/>
      <c r="G3156" s="115"/>
      <c r="H3156" s="115"/>
      <c r="I3156" s="115"/>
      <c r="J3156" s="115"/>
      <c r="K3156" s="115"/>
      <c r="L3156" s="115"/>
      <c r="M3156" s="115"/>
      <c r="N3156" s="115"/>
      <c r="O3156" s="115"/>
    </row>
    <row r="3157">
      <c r="E3157" s="115"/>
      <c r="F3157" s="115"/>
      <c r="G3157" s="115"/>
      <c r="H3157" s="115"/>
      <c r="I3157" s="115"/>
      <c r="J3157" s="115"/>
      <c r="K3157" s="115"/>
      <c r="L3157" s="115"/>
      <c r="M3157" s="115"/>
      <c r="N3157" s="115"/>
      <c r="O3157" s="115"/>
    </row>
    <row r="3158">
      <c r="E3158" s="115"/>
      <c r="F3158" s="115"/>
      <c r="G3158" s="115"/>
      <c r="H3158" s="115"/>
      <c r="I3158" s="115"/>
      <c r="J3158" s="115"/>
      <c r="K3158" s="115"/>
      <c r="L3158" s="115"/>
      <c r="M3158" s="115"/>
      <c r="N3158" s="115"/>
      <c r="O3158" s="115"/>
    </row>
    <row r="3159">
      <c r="E3159" s="115"/>
      <c r="F3159" s="115"/>
      <c r="G3159" s="115"/>
      <c r="H3159" s="115"/>
      <c r="I3159" s="115"/>
      <c r="J3159" s="115"/>
      <c r="K3159" s="115"/>
      <c r="L3159" s="115"/>
      <c r="M3159" s="115"/>
      <c r="N3159" s="115"/>
      <c r="O3159" s="115"/>
    </row>
    <row r="3160">
      <c r="E3160" s="115"/>
      <c r="F3160" s="115"/>
      <c r="G3160" s="115"/>
      <c r="H3160" s="115"/>
      <c r="I3160" s="115"/>
      <c r="J3160" s="115"/>
      <c r="K3160" s="115"/>
      <c r="L3160" s="115"/>
      <c r="M3160" s="115"/>
      <c r="N3160" s="115"/>
      <c r="O3160" s="115"/>
    </row>
    <row r="3161">
      <c r="E3161" s="115"/>
      <c r="F3161" s="115"/>
      <c r="G3161" s="115"/>
      <c r="H3161" s="115"/>
      <c r="I3161" s="115"/>
      <c r="J3161" s="115"/>
      <c r="K3161" s="115"/>
      <c r="L3161" s="115"/>
      <c r="M3161" s="115"/>
      <c r="N3161" s="115"/>
      <c r="O3161" s="115"/>
    </row>
    <row r="3162">
      <c r="E3162" s="115"/>
      <c r="F3162" s="115"/>
      <c r="G3162" s="115"/>
      <c r="H3162" s="115"/>
      <c r="I3162" s="115"/>
      <c r="J3162" s="115"/>
      <c r="K3162" s="115"/>
      <c r="L3162" s="115"/>
      <c r="M3162" s="115"/>
      <c r="N3162" s="115"/>
      <c r="O3162" s="115"/>
    </row>
    <row r="3163">
      <c r="E3163" s="115"/>
      <c r="F3163" s="115"/>
      <c r="G3163" s="115"/>
      <c r="H3163" s="115"/>
      <c r="I3163" s="115"/>
      <c r="J3163" s="115"/>
      <c r="K3163" s="115"/>
      <c r="L3163" s="115"/>
      <c r="M3163" s="115"/>
      <c r="N3163" s="115"/>
      <c r="O3163" s="115"/>
    </row>
    <row r="3164">
      <c r="E3164" s="115"/>
      <c r="F3164" s="115"/>
      <c r="G3164" s="115"/>
      <c r="H3164" s="115"/>
      <c r="I3164" s="115"/>
      <c r="J3164" s="115"/>
      <c r="K3164" s="115"/>
      <c r="L3164" s="115"/>
      <c r="M3164" s="115"/>
      <c r="N3164" s="115"/>
      <c r="O3164" s="115"/>
    </row>
    <row r="3165">
      <c r="E3165" s="115"/>
      <c r="F3165" s="115"/>
      <c r="G3165" s="115"/>
      <c r="H3165" s="115"/>
      <c r="I3165" s="115"/>
      <c r="J3165" s="115"/>
      <c r="K3165" s="115"/>
      <c r="L3165" s="115"/>
      <c r="M3165" s="115"/>
      <c r="N3165" s="115"/>
      <c r="O3165" s="115"/>
    </row>
    <row r="3166">
      <c r="E3166" s="115"/>
      <c r="F3166" s="115"/>
      <c r="G3166" s="115"/>
      <c r="H3166" s="115"/>
      <c r="I3166" s="115"/>
      <c r="J3166" s="115"/>
      <c r="K3166" s="115"/>
      <c r="L3166" s="115"/>
      <c r="M3166" s="115"/>
      <c r="N3166" s="115"/>
      <c r="O3166" s="115"/>
    </row>
    <row r="3167">
      <c r="E3167" s="115"/>
      <c r="F3167" s="115"/>
      <c r="G3167" s="115"/>
      <c r="H3167" s="115"/>
      <c r="I3167" s="115"/>
      <c r="J3167" s="115"/>
      <c r="K3167" s="115"/>
      <c r="L3167" s="115"/>
      <c r="M3167" s="115"/>
      <c r="N3167" s="115"/>
      <c r="O3167" s="115"/>
    </row>
    <row r="3168">
      <c r="E3168" s="115"/>
      <c r="F3168" s="115"/>
      <c r="G3168" s="115"/>
      <c r="H3168" s="115"/>
      <c r="I3168" s="115"/>
      <c r="J3168" s="115"/>
      <c r="K3168" s="115"/>
      <c r="L3168" s="115"/>
      <c r="M3168" s="115"/>
      <c r="N3168" s="115"/>
      <c r="O3168" s="115"/>
    </row>
    <row r="3169">
      <c r="E3169" s="115"/>
      <c r="F3169" s="115"/>
      <c r="G3169" s="115"/>
      <c r="H3169" s="115"/>
      <c r="I3169" s="115"/>
      <c r="J3169" s="115"/>
      <c r="K3169" s="115"/>
      <c r="L3169" s="115"/>
      <c r="M3169" s="115"/>
      <c r="N3169" s="115"/>
      <c r="O3169" s="115"/>
    </row>
    <row r="3170">
      <c r="E3170" s="115"/>
      <c r="F3170" s="115"/>
      <c r="G3170" s="115"/>
      <c r="H3170" s="115"/>
      <c r="I3170" s="115"/>
      <c r="J3170" s="115"/>
      <c r="K3170" s="115"/>
      <c r="L3170" s="115"/>
      <c r="M3170" s="115"/>
      <c r="N3170" s="115"/>
      <c r="O3170" s="115"/>
    </row>
    <row r="3171">
      <c r="E3171" s="115"/>
      <c r="F3171" s="115"/>
      <c r="G3171" s="115"/>
      <c r="H3171" s="115"/>
      <c r="I3171" s="115"/>
      <c r="J3171" s="115"/>
      <c r="K3171" s="115"/>
      <c r="L3171" s="115"/>
      <c r="M3171" s="115"/>
      <c r="N3171" s="115"/>
      <c r="O3171" s="115"/>
    </row>
    <row r="3172">
      <c r="E3172" s="115"/>
      <c r="F3172" s="115"/>
      <c r="G3172" s="115"/>
      <c r="H3172" s="115"/>
      <c r="I3172" s="115"/>
      <c r="J3172" s="115"/>
      <c r="K3172" s="115"/>
      <c r="L3172" s="115"/>
      <c r="M3172" s="115"/>
      <c r="N3172" s="115"/>
      <c r="O3172" s="115"/>
    </row>
    <row r="3173">
      <c r="E3173" s="115"/>
      <c r="F3173" s="115"/>
      <c r="G3173" s="115"/>
      <c r="H3173" s="115"/>
      <c r="I3173" s="115"/>
      <c r="J3173" s="115"/>
      <c r="K3173" s="115"/>
      <c r="L3173" s="115"/>
      <c r="M3173" s="115"/>
      <c r="N3173" s="115"/>
      <c r="O3173" s="115"/>
    </row>
    <row r="3174">
      <c r="E3174" s="115"/>
      <c r="F3174" s="115"/>
      <c r="G3174" s="115"/>
      <c r="H3174" s="115"/>
      <c r="I3174" s="115"/>
      <c r="J3174" s="115"/>
      <c r="K3174" s="115"/>
      <c r="L3174" s="115"/>
      <c r="M3174" s="115"/>
      <c r="N3174" s="115"/>
      <c r="O3174" s="115"/>
    </row>
    <row r="3175">
      <c r="E3175" s="115"/>
      <c r="F3175" s="115"/>
      <c r="G3175" s="115"/>
      <c r="H3175" s="115"/>
      <c r="I3175" s="115"/>
      <c r="J3175" s="115"/>
      <c r="K3175" s="115"/>
      <c r="L3175" s="115"/>
      <c r="M3175" s="115"/>
      <c r="N3175" s="115"/>
      <c r="O3175" s="115"/>
    </row>
    <row r="3176">
      <c r="E3176" s="115"/>
      <c r="F3176" s="115"/>
      <c r="G3176" s="115"/>
      <c r="H3176" s="115"/>
      <c r="I3176" s="115"/>
      <c r="J3176" s="115"/>
      <c r="K3176" s="115"/>
      <c r="L3176" s="115"/>
      <c r="M3176" s="115"/>
      <c r="N3176" s="115"/>
      <c r="O3176" s="115"/>
    </row>
    <row r="3177">
      <c r="E3177" s="115"/>
      <c r="F3177" s="115"/>
      <c r="G3177" s="115"/>
      <c r="H3177" s="115"/>
      <c r="I3177" s="115"/>
      <c r="J3177" s="115"/>
      <c r="K3177" s="115"/>
      <c r="L3177" s="115"/>
      <c r="M3177" s="115"/>
      <c r="N3177" s="115"/>
      <c r="O3177" s="115"/>
    </row>
    <row r="3178">
      <c r="E3178" s="115"/>
      <c r="F3178" s="115"/>
      <c r="G3178" s="115"/>
      <c r="H3178" s="115"/>
      <c r="I3178" s="115"/>
      <c r="J3178" s="115"/>
      <c r="K3178" s="115"/>
      <c r="L3178" s="115"/>
      <c r="M3178" s="115"/>
      <c r="N3178" s="115"/>
      <c r="O3178" s="115"/>
    </row>
    <row r="3179">
      <c r="E3179" s="115"/>
      <c r="F3179" s="115"/>
      <c r="G3179" s="115"/>
      <c r="H3179" s="115"/>
      <c r="I3179" s="115"/>
      <c r="J3179" s="115"/>
      <c r="K3179" s="115"/>
      <c r="L3179" s="115"/>
      <c r="M3179" s="115"/>
      <c r="N3179" s="115"/>
      <c r="O3179" s="115"/>
    </row>
    <row r="3180">
      <c r="E3180" s="115"/>
      <c r="F3180" s="115"/>
      <c r="G3180" s="115"/>
      <c r="H3180" s="115"/>
      <c r="I3180" s="115"/>
      <c r="J3180" s="115"/>
      <c r="K3180" s="115"/>
      <c r="L3180" s="115"/>
      <c r="M3180" s="115"/>
      <c r="N3180" s="115"/>
      <c r="O3180" s="115"/>
    </row>
    <row r="3181">
      <c r="E3181" s="115"/>
      <c r="F3181" s="115"/>
      <c r="G3181" s="115"/>
      <c r="H3181" s="115"/>
      <c r="I3181" s="115"/>
      <c r="J3181" s="115"/>
      <c r="K3181" s="115"/>
      <c r="L3181" s="115"/>
      <c r="M3181" s="115"/>
      <c r="N3181" s="115"/>
      <c r="O3181" s="115"/>
    </row>
    <row r="3182">
      <c r="E3182" s="115"/>
      <c r="F3182" s="115"/>
      <c r="G3182" s="115"/>
      <c r="H3182" s="115"/>
      <c r="I3182" s="115"/>
      <c r="J3182" s="115"/>
      <c r="K3182" s="115"/>
      <c r="L3182" s="115"/>
      <c r="M3182" s="115"/>
      <c r="N3182" s="115"/>
      <c r="O3182" s="115"/>
    </row>
    <row r="3183">
      <c r="E3183" s="115"/>
      <c r="F3183" s="115"/>
      <c r="G3183" s="115"/>
      <c r="H3183" s="115"/>
      <c r="I3183" s="115"/>
      <c r="J3183" s="115"/>
      <c r="K3183" s="115"/>
      <c r="L3183" s="115"/>
      <c r="M3183" s="115"/>
      <c r="N3183" s="115"/>
      <c r="O3183" s="115"/>
    </row>
    <row r="3184">
      <c r="E3184" s="115"/>
      <c r="F3184" s="115"/>
      <c r="G3184" s="115"/>
      <c r="H3184" s="115"/>
      <c r="I3184" s="115"/>
      <c r="J3184" s="115"/>
      <c r="K3184" s="115"/>
      <c r="L3184" s="115"/>
      <c r="M3184" s="115"/>
      <c r="N3184" s="115"/>
      <c r="O3184" s="115"/>
    </row>
    <row r="3185">
      <c r="E3185" s="115"/>
      <c r="F3185" s="115"/>
      <c r="G3185" s="115"/>
      <c r="H3185" s="115"/>
      <c r="I3185" s="115"/>
      <c r="J3185" s="115"/>
      <c r="K3185" s="115"/>
      <c r="L3185" s="115"/>
      <c r="M3185" s="115"/>
      <c r="N3185" s="115"/>
      <c r="O3185" s="115"/>
    </row>
    <row r="3186">
      <c r="E3186" s="115"/>
      <c r="F3186" s="115"/>
      <c r="G3186" s="115"/>
      <c r="H3186" s="115"/>
      <c r="I3186" s="115"/>
      <c r="J3186" s="115"/>
      <c r="K3186" s="115"/>
      <c r="L3186" s="115"/>
      <c r="M3186" s="115"/>
      <c r="N3186" s="115"/>
      <c r="O3186" s="115"/>
    </row>
    <row r="3187">
      <c r="E3187" s="115"/>
      <c r="F3187" s="115"/>
      <c r="G3187" s="115"/>
      <c r="H3187" s="115"/>
      <c r="I3187" s="115"/>
      <c r="J3187" s="115"/>
      <c r="K3187" s="115"/>
      <c r="L3187" s="115"/>
      <c r="M3187" s="115"/>
      <c r="N3187" s="115"/>
      <c r="O3187" s="115"/>
    </row>
    <row r="3188">
      <c r="E3188" s="115"/>
      <c r="F3188" s="115"/>
      <c r="G3188" s="115"/>
      <c r="H3188" s="115"/>
      <c r="I3188" s="115"/>
      <c r="J3188" s="115"/>
      <c r="K3188" s="115"/>
      <c r="L3188" s="115"/>
      <c r="M3188" s="115"/>
      <c r="N3188" s="115"/>
      <c r="O3188" s="115"/>
    </row>
    <row r="3189">
      <c r="E3189" s="115"/>
      <c r="F3189" s="115"/>
      <c r="G3189" s="115"/>
      <c r="H3189" s="115"/>
      <c r="I3189" s="115"/>
      <c r="J3189" s="115"/>
      <c r="K3189" s="115"/>
      <c r="L3189" s="115"/>
      <c r="M3189" s="115"/>
      <c r="N3189" s="115"/>
      <c r="O3189" s="115"/>
    </row>
    <row r="3190">
      <c r="E3190" s="115"/>
      <c r="F3190" s="115"/>
      <c r="G3190" s="115"/>
      <c r="H3190" s="115"/>
      <c r="I3190" s="115"/>
      <c r="J3190" s="115"/>
      <c r="K3190" s="115"/>
      <c r="L3190" s="115"/>
      <c r="M3190" s="115"/>
      <c r="N3190" s="115"/>
      <c r="O3190" s="115"/>
    </row>
    <row r="3191">
      <c r="E3191" s="115"/>
      <c r="F3191" s="115"/>
      <c r="G3191" s="115"/>
      <c r="H3191" s="115"/>
      <c r="I3191" s="115"/>
      <c r="J3191" s="115"/>
      <c r="K3191" s="115"/>
      <c r="L3191" s="115"/>
      <c r="M3191" s="115"/>
      <c r="N3191" s="115"/>
      <c r="O3191" s="115"/>
    </row>
    <row r="3192">
      <c r="E3192" s="115"/>
      <c r="F3192" s="115"/>
      <c r="G3192" s="115"/>
      <c r="H3192" s="115"/>
      <c r="I3192" s="115"/>
      <c r="J3192" s="115"/>
      <c r="K3192" s="115"/>
      <c r="L3192" s="115"/>
      <c r="M3192" s="115"/>
      <c r="N3192" s="115"/>
      <c r="O3192" s="115"/>
    </row>
    <row r="3193">
      <c r="E3193" s="115"/>
      <c r="F3193" s="115"/>
      <c r="G3193" s="115"/>
      <c r="H3193" s="115"/>
      <c r="I3193" s="115"/>
      <c r="J3193" s="115"/>
      <c r="K3193" s="115"/>
      <c r="L3193" s="115"/>
      <c r="M3193" s="115"/>
      <c r="N3193" s="115"/>
      <c r="O3193" s="115"/>
    </row>
    <row r="3194">
      <c r="E3194" s="115"/>
      <c r="F3194" s="115"/>
      <c r="G3194" s="115"/>
      <c r="H3194" s="115"/>
      <c r="I3194" s="115"/>
      <c r="J3194" s="115"/>
      <c r="K3194" s="115"/>
      <c r="L3194" s="115"/>
      <c r="M3194" s="115"/>
      <c r="N3194" s="115"/>
      <c r="O3194" s="115"/>
    </row>
    <row r="3195">
      <c r="E3195" s="115"/>
      <c r="F3195" s="115"/>
      <c r="G3195" s="115"/>
      <c r="H3195" s="115"/>
      <c r="I3195" s="115"/>
      <c r="J3195" s="115"/>
      <c r="K3195" s="115"/>
      <c r="L3195" s="115"/>
      <c r="M3195" s="115"/>
      <c r="N3195" s="115"/>
      <c r="O3195" s="115"/>
    </row>
    <row r="3196">
      <c r="E3196" s="115"/>
      <c r="F3196" s="115"/>
      <c r="G3196" s="115"/>
      <c r="H3196" s="115"/>
      <c r="I3196" s="115"/>
      <c r="J3196" s="115"/>
      <c r="K3196" s="115"/>
      <c r="L3196" s="115"/>
      <c r="M3196" s="115"/>
      <c r="N3196" s="115"/>
      <c r="O3196" s="115"/>
    </row>
    <row r="3197">
      <c r="E3197" s="115"/>
      <c r="F3197" s="115"/>
      <c r="G3197" s="115"/>
      <c r="H3197" s="115"/>
      <c r="I3197" s="115"/>
      <c r="J3197" s="115"/>
      <c r="K3197" s="115"/>
      <c r="L3197" s="115"/>
      <c r="M3197" s="115"/>
      <c r="N3197" s="115"/>
      <c r="O3197" s="115"/>
    </row>
    <row r="3198">
      <c r="E3198" s="115"/>
      <c r="F3198" s="115"/>
      <c r="G3198" s="115"/>
      <c r="H3198" s="115"/>
      <c r="I3198" s="115"/>
      <c r="J3198" s="115"/>
      <c r="K3198" s="115"/>
      <c r="L3198" s="115"/>
      <c r="M3198" s="115"/>
      <c r="N3198" s="115"/>
      <c r="O3198" s="115"/>
    </row>
    <row r="3199">
      <c r="E3199" s="115"/>
      <c r="F3199" s="115"/>
      <c r="G3199" s="115"/>
      <c r="H3199" s="115"/>
      <c r="I3199" s="115"/>
      <c r="J3199" s="115"/>
      <c r="K3199" s="115"/>
      <c r="L3199" s="115"/>
      <c r="M3199" s="115"/>
      <c r="N3199" s="115"/>
      <c r="O3199" s="115"/>
    </row>
    <row r="3200">
      <c r="E3200" s="115"/>
      <c r="F3200" s="115"/>
      <c r="G3200" s="115"/>
      <c r="H3200" s="115"/>
      <c r="I3200" s="115"/>
      <c r="J3200" s="115"/>
      <c r="K3200" s="115"/>
      <c r="L3200" s="115"/>
      <c r="M3200" s="115"/>
      <c r="N3200" s="115"/>
      <c r="O3200" s="115"/>
    </row>
    <row r="3201">
      <c r="E3201" s="115"/>
      <c r="F3201" s="115"/>
      <c r="G3201" s="115"/>
      <c r="H3201" s="115"/>
      <c r="I3201" s="115"/>
      <c r="J3201" s="115"/>
      <c r="K3201" s="115"/>
      <c r="L3201" s="115"/>
      <c r="M3201" s="115"/>
      <c r="N3201" s="115"/>
      <c r="O3201" s="115"/>
    </row>
    <row r="3202">
      <c r="E3202" s="115"/>
      <c r="F3202" s="115"/>
      <c r="G3202" s="115"/>
      <c r="H3202" s="115"/>
      <c r="I3202" s="115"/>
      <c r="J3202" s="115"/>
      <c r="K3202" s="115"/>
      <c r="L3202" s="115"/>
      <c r="M3202" s="115"/>
      <c r="N3202" s="115"/>
      <c r="O3202" s="115"/>
    </row>
    <row r="3203">
      <c r="E3203" s="115"/>
      <c r="F3203" s="115"/>
      <c r="G3203" s="115"/>
      <c r="H3203" s="115"/>
      <c r="I3203" s="115"/>
      <c r="J3203" s="115"/>
      <c r="K3203" s="115"/>
      <c r="L3203" s="115"/>
      <c r="M3203" s="115"/>
      <c r="N3203" s="115"/>
      <c r="O3203" s="115"/>
    </row>
    <row r="3204">
      <c r="E3204" s="115"/>
      <c r="F3204" s="115"/>
      <c r="G3204" s="115"/>
      <c r="H3204" s="115"/>
      <c r="I3204" s="115"/>
      <c r="J3204" s="115"/>
      <c r="K3204" s="115"/>
      <c r="L3204" s="115"/>
      <c r="M3204" s="115"/>
      <c r="N3204" s="115"/>
      <c r="O3204" s="115"/>
    </row>
    <row r="3205">
      <c r="E3205" s="115"/>
      <c r="F3205" s="115"/>
      <c r="G3205" s="115"/>
      <c r="H3205" s="115"/>
      <c r="I3205" s="115"/>
      <c r="J3205" s="115"/>
      <c r="K3205" s="115"/>
      <c r="L3205" s="115"/>
      <c r="M3205" s="115"/>
      <c r="N3205" s="115"/>
      <c r="O3205" s="115"/>
    </row>
    <row r="3206">
      <c r="E3206" s="115"/>
      <c r="F3206" s="115"/>
      <c r="G3206" s="115"/>
      <c r="H3206" s="115"/>
      <c r="I3206" s="115"/>
      <c r="J3206" s="115"/>
      <c r="K3206" s="115"/>
      <c r="L3206" s="115"/>
      <c r="M3206" s="115"/>
      <c r="N3206" s="115"/>
      <c r="O3206" s="115"/>
    </row>
    <row r="3207">
      <c r="E3207" s="115"/>
      <c r="F3207" s="115"/>
      <c r="G3207" s="115"/>
      <c r="H3207" s="115"/>
      <c r="I3207" s="115"/>
      <c r="J3207" s="115"/>
      <c r="K3207" s="115"/>
      <c r="L3207" s="115"/>
      <c r="M3207" s="115"/>
      <c r="N3207" s="115"/>
      <c r="O3207" s="115"/>
    </row>
    <row r="3208">
      <c r="E3208" s="115"/>
      <c r="F3208" s="115"/>
      <c r="G3208" s="115"/>
      <c r="H3208" s="115"/>
      <c r="I3208" s="115"/>
      <c r="J3208" s="115"/>
      <c r="K3208" s="115"/>
      <c r="L3208" s="115"/>
      <c r="M3208" s="115"/>
      <c r="N3208" s="115"/>
      <c r="O3208" s="115"/>
    </row>
    <row r="3209">
      <c r="E3209" s="115"/>
      <c r="F3209" s="115"/>
      <c r="G3209" s="115"/>
      <c r="H3209" s="115"/>
      <c r="I3209" s="115"/>
      <c r="J3209" s="115"/>
      <c r="K3209" s="115"/>
      <c r="L3209" s="115"/>
      <c r="M3209" s="115"/>
      <c r="N3209" s="115"/>
      <c r="O3209" s="115"/>
    </row>
    <row r="3210">
      <c r="E3210" s="115"/>
      <c r="F3210" s="115"/>
      <c r="G3210" s="115"/>
      <c r="H3210" s="115"/>
      <c r="I3210" s="115"/>
      <c r="J3210" s="115"/>
      <c r="K3210" s="115"/>
      <c r="L3210" s="115"/>
      <c r="M3210" s="115"/>
      <c r="N3210" s="115"/>
      <c r="O3210" s="115"/>
    </row>
    <row r="3211">
      <c r="E3211" s="115"/>
      <c r="F3211" s="115"/>
      <c r="G3211" s="115"/>
      <c r="H3211" s="115"/>
      <c r="I3211" s="115"/>
      <c r="J3211" s="115"/>
      <c r="K3211" s="115"/>
      <c r="L3211" s="115"/>
      <c r="M3211" s="115"/>
      <c r="N3211" s="115"/>
      <c r="O3211" s="115"/>
    </row>
    <row r="3212">
      <c r="E3212" s="115"/>
      <c r="F3212" s="115"/>
      <c r="G3212" s="115"/>
      <c r="H3212" s="115"/>
      <c r="I3212" s="115"/>
      <c r="J3212" s="115"/>
      <c r="K3212" s="115"/>
      <c r="L3212" s="115"/>
      <c r="M3212" s="115"/>
      <c r="N3212" s="115"/>
      <c r="O3212" s="115"/>
    </row>
    <row r="3213">
      <c r="E3213" s="115"/>
      <c r="F3213" s="115"/>
      <c r="G3213" s="115"/>
      <c r="H3213" s="115"/>
      <c r="I3213" s="115"/>
      <c r="J3213" s="115"/>
      <c r="K3213" s="115"/>
      <c r="L3213" s="115"/>
      <c r="M3213" s="115"/>
      <c r="N3213" s="115"/>
      <c r="O3213" s="115"/>
    </row>
    <row r="3214">
      <c r="E3214" s="115"/>
      <c r="F3214" s="115"/>
      <c r="G3214" s="115"/>
      <c r="H3214" s="115"/>
      <c r="I3214" s="115"/>
      <c r="J3214" s="115"/>
      <c r="K3214" s="115"/>
      <c r="L3214" s="115"/>
      <c r="M3214" s="115"/>
      <c r="N3214" s="115"/>
      <c r="O3214" s="115"/>
    </row>
    <row r="3215">
      <c r="E3215" s="115"/>
      <c r="F3215" s="115"/>
      <c r="G3215" s="115"/>
      <c r="H3215" s="115"/>
      <c r="I3215" s="115"/>
      <c r="J3215" s="115"/>
      <c r="K3215" s="115"/>
      <c r="L3215" s="115"/>
      <c r="M3215" s="115"/>
      <c r="N3215" s="115"/>
      <c r="O3215" s="115"/>
    </row>
    <row r="3216">
      <c r="E3216" s="115"/>
      <c r="F3216" s="115"/>
      <c r="G3216" s="115"/>
      <c r="H3216" s="115"/>
      <c r="I3216" s="115"/>
      <c r="J3216" s="115"/>
      <c r="K3216" s="115"/>
      <c r="L3216" s="115"/>
      <c r="M3216" s="115"/>
      <c r="N3216" s="115"/>
      <c r="O3216" s="115"/>
    </row>
    <row r="3217">
      <c r="E3217" s="115"/>
      <c r="F3217" s="115"/>
      <c r="G3217" s="115"/>
      <c r="H3217" s="115"/>
      <c r="I3217" s="115"/>
      <c r="J3217" s="115"/>
      <c r="K3217" s="115"/>
      <c r="L3217" s="115"/>
      <c r="M3217" s="115"/>
      <c r="N3217" s="115"/>
      <c r="O3217" s="115"/>
    </row>
    <row r="3218">
      <c r="E3218" s="115"/>
      <c r="F3218" s="115"/>
      <c r="G3218" s="115"/>
      <c r="H3218" s="115"/>
      <c r="I3218" s="115"/>
      <c r="J3218" s="115"/>
      <c r="K3218" s="115"/>
      <c r="L3218" s="115"/>
      <c r="M3218" s="115"/>
      <c r="N3218" s="115"/>
      <c r="O3218" s="115"/>
    </row>
    <row r="3219">
      <c r="E3219" s="115"/>
      <c r="F3219" s="115"/>
      <c r="G3219" s="115"/>
      <c r="H3219" s="115"/>
      <c r="I3219" s="115"/>
      <c r="J3219" s="115"/>
      <c r="K3219" s="115"/>
      <c r="L3219" s="115"/>
      <c r="M3219" s="115"/>
      <c r="N3219" s="115"/>
      <c r="O3219" s="115"/>
    </row>
    <row r="3220">
      <c r="E3220" s="115"/>
      <c r="F3220" s="115"/>
      <c r="G3220" s="115"/>
      <c r="H3220" s="115"/>
      <c r="I3220" s="115"/>
      <c r="J3220" s="115"/>
      <c r="K3220" s="115"/>
      <c r="L3220" s="115"/>
      <c r="M3220" s="115"/>
      <c r="N3220" s="115"/>
      <c r="O3220" s="115"/>
    </row>
    <row r="3221">
      <c r="E3221" s="115"/>
      <c r="F3221" s="115"/>
      <c r="G3221" s="115"/>
      <c r="H3221" s="115"/>
      <c r="I3221" s="115"/>
      <c r="J3221" s="115"/>
      <c r="K3221" s="115"/>
      <c r="L3221" s="115"/>
      <c r="M3221" s="115"/>
      <c r="N3221" s="115"/>
      <c r="O3221" s="115"/>
    </row>
    <row r="3222">
      <c r="E3222" s="115"/>
      <c r="F3222" s="115"/>
      <c r="G3222" s="115"/>
      <c r="H3222" s="115"/>
      <c r="I3222" s="115"/>
      <c r="J3222" s="115"/>
      <c r="K3222" s="115"/>
      <c r="L3222" s="115"/>
      <c r="M3222" s="115"/>
      <c r="N3222" s="115"/>
      <c r="O3222" s="115"/>
    </row>
    <row r="3223">
      <c r="E3223" s="115"/>
      <c r="F3223" s="115"/>
      <c r="G3223" s="115"/>
      <c r="H3223" s="115"/>
      <c r="I3223" s="115"/>
      <c r="J3223" s="115"/>
      <c r="K3223" s="115"/>
      <c r="L3223" s="115"/>
      <c r="M3223" s="115"/>
      <c r="N3223" s="115"/>
      <c r="O3223" s="115"/>
    </row>
    <row r="3224">
      <c r="E3224" s="115"/>
      <c r="F3224" s="115"/>
      <c r="G3224" s="115"/>
      <c r="H3224" s="115"/>
      <c r="I3224" s="115"/>
      <c r="J3224" s="115"/>
      <c r="K3224" s="115"/>
      <c r="L3224" s="115"/>
      <c r="M3224" s="115"/>
      <c r="N3224" s="115"/>
      <c r="O3224" s="115"/>
    </row>
    <row r="3225">
      <c r="E3225" s="115"/>
      <c r="F3225" s="115"/>
      <c r="G3225" s="115"/>
      <c r="H3225" s="115"/>
      <c r="I3225" s="115"/>
      <c r="J3225" s="115"/>
      <c r="K3225" s="115"/>
      <c r="L3225" s="115"/>
      <c r="M3225" s="115"/>
      <c r="N3225" s="115"/>
      <c r="O3225" s="115"/>
    </row>
    <row r="3226">
      <c r="E3226" s="115"/>
      <c r="F3226" s="115"/>
      <c r="G3226" s="115"/>
      <c r="H3226" s="115"/>
      <c r="I3226" s="115"/>
      <c r="J3226" s="115"/>
      <c r="K3226" s="115"/>
      <c r="L3226" s="115"/>
      <c r="M3226" s="115"/>
      <c r="N3226" s="115"/>
      <c r="O3226" s="115"/>
    </row>
    <row r="3227">
      <c r="E3227" s="115"/>
      <c r="F3227" s="115"/>
      <c r="G3227" s="115"/>
      <c r="H3227" s="115"/>
      <c r="I3227" s="115"/>
      <c r="J3227" s="115"/>
      <c r="K3227" s="115"/>
      <c r="L3227" s="115"/>
      <c r="M3227" s="115"/>
      <c r="N3227" s="115"/>
      <c r="O3227" s="115"/>
    </row>
    <row r="3228">
      <c r="E3228" s="115"/>
      <c r="F3228" s="115"/>
      <c r="G3228" s="115"/>
      <c r="H3228" s="115"/>
      <c r="I3228" s="115"/>
      <c r="J3228" s="115"/>
      <c r="K3228" s="115"/>
      <c r="L3228" s="115"/>
      <c r="M3228" s="115"/>
      <c r="N3228" s="115"/>
      <c r="O3228" s="115"/>
    </row>
    <row r="3229">
      <c r="E3229" s="115"/>
      <c r="F3229" s="115"/>
      <c r="G3229" s="115"/>
      <c r="H3229" s="115"/>
      <c r="I3229" s="115"/>
      <c r="J3229" s="115"/>
      <c r="K3229" s="115"/>
      <c r="L3229" s="115"/>
      <c r="M3229" s="115"/>
      <c r="N3229" s="115"/>
      <c r="O3229" s="115"/>
    </row>
    <row r="3230">
      <c r="E3230" s="115"/>
      <c r="F3230" s="115"/>
      <c r="G3230" s="115"/>
      <c r="H3230" s="115"/>
      <c r="I3230" s="115"/>
      <c r="J3230" s="115"/>
      <c r="K3230" s="115"/>
      <c r="L3230" s="115"/>
      <c r="M3230" s="115"/>
      <c r="N3230" s="115"/>
      <c r="O3230" s="115"/>
    </row>
    <row r="3231">
      <c r="E3231" s="115"/>
      <c r="F3231" s="115"/>
      <c r="G3231" s="115"/>
      <c r="H3231" s="115"/>
      <c r="I3231" s="115"/>
      <c r="J3231" s="115"/>
      <c r="K3231" s="115"/>
      <c r="L3231" s="115"/>
      <c r="M3231" s="115"/>
      <c r="N3231" s="115"/>
      <c r="O3231" s="115"/>
    </row>
    <row r="3232">
      <c r="E3232" s="115"/>
      <c r="F3232" s="115"/>
      <c r="G3232" s="115"/>
      <c r="H3232" s="115"/>
      <c r="I3232" s="115"/>
      <c r="J3232" s="115"/>
      <c r="K3232" s="115"/>
      <c r="L3232" s="115"/>
      <c r="M3232" s="115"/>
      <c r="N3232" s="115"/>
      <c r="O3232" s="115"/>
    </row>
    <row r="3233">
      <c r="E3233" s="115"/>
      <c r="F3233" s="115"/>
      <c r="G3233" s="115"/>
      <c r="H3233" s="115"/>
      <c r="I3233" s="115"/>
      <c r="J3233" s="115"/>
      <c r="K3233" s="115"/>
      <c r="L3233" s="115"/>
      <c r="M3233" s="115"/>
      <c r="N3233" s="115"/>
      <c r="O3233" s="115"/>
    </row>
    <row r="3234">
      <c r="E3234" s="115"/>
      <c r="F3234" s="115"/>
      <c r="G3234" s="115"/>
      <c r="H3234" s="115"/>
      <c r="I3234" s="115"/>
      <c r="J3234" s="115"/>
      <c r="K3234" s="115"/>
      <c r="L3234" s="115"/>
      <c r="M3234" s="115"/>
      <c r="N3234" s="115"/>
      <c r="O3234" s="115"/>
    </row>
    <row r="3235">
      <c r="E3235" s="115"/>
      <c r="F3235" s="115"/>
      <c r="G3235" s="115"/>
      <c r="H3235" s="115"/>
      <c r="I3235" s="115"/>
      <c r="J3235" s="115"/>
      <c r="K3235" s="115"/>
      <c r="L3235" s="115"/>
      <c r="M3235" s="115"/>
      <c r="N3235" s="115"/>
      <c r="O3235" s="115"/>
    </row>
    <row r="3236">
      <c r="E3236" s="115"/>
      <c r="F3236" s="115"/>
      <c r="G3236" s="115"/>
      <c r="H3236" s="115"/>
      <c r="I3236" s="115"/>
      <c r="J3236" s="115"/>
      <c r="K3236" s="115"/>
      <c r="L3236" s="115"/>
      <c r="M3236" s="115"/>
      <c r="N3236" s="115"/>
      <c r="O3236" s="115"/>
    </row>
    <row r="3237">
      <c r="E3237" s="115"/>
      <c r="F3237" s="115"/>
      <c r="G3237" s="115"/>
      <c r="H3237" s="115"/>
      <c r="I3237" s="115"/>
      <c r="J3237" s="115"/>
      <c r="K3237" s="115"/>
      <c r="L3237" s="115"/>
      <c r="M3237" s="115"/>
      <c r="N3237" s="115"/>
      <c r="O3237" s="115"/>
    </row>
    <row r="3238">
      <c r="E3238" s="115"/>
      <c r="F3238" s="115"/>
      <c r="G3238" s="115"/>
      <c r="H3238" s="115"/>
      <c r="I3238" s="115"/>
      <c r="J3238" s="115"/>
      <c r="K3238" s="115"/>
      <c r="L3238" s="115"/>
      <c r="M3238" s="115"/>
      <c r="N3238" s="115"/>
      <c r="O3238" s="115"/>
    </row>
    <row r="3239">
      <c r="E3239" s="115"/>
      <c r="F3239" s="115"/>
      <c r="G3239" s="115"/>
      <c r="H3239" s="115"/>
      <c r="I3239" s="115"/>
      <c r="J3239" s="115"/>
      <c r="K3239" s="115"/>
      <c r="L3239" s="115"/>
      <c r="M3239" s="115"/>
      <c r="N3239" s="115"/>
      <c r="O3239" s="115"/>
    </row>
    <row r="3240">
      <c r="E3240" s="115"/>
      <c r="F3240" s="115"/>
      <c r="G3240" s="115"/>
      <c r="H3240" s="115"/>
      <c r="I3240" s="115"/>
      <c r="J3240" s="115"/>
      <c r="K3240" s="115"/>
      <c r="L3240" s="115"/>
      <c r="M3240" s="115"/>
      <c r="N3240" s="115"/>
      <c r="O3240" s="115"/>
    </row>
    <row r="3241">
      <c r="E3241" s="115"/>
      <c r="F3241" s="115"/>
      <c r="G3241" s="115"/>
      <c r="H3241" s="115"/>
      <c r="I3241" s="115"/>
      <c r="J3241" s="115"/>
      <c r="K3241" s="115"/>
      <c r="L3241" s="115"/>
      <c r="M3241" s="115"/>
      <c r="N3241" s="115"/>
      <c r="O3241" s="115"/>
    </row>
    <row r="3242">
      <c r="E3242" s="115"/>
      <c r="F3242" s="115"/>
      <c r="G3242" s="115"/>
      <c r="H3242" s="115"/>
      <c r="I3242" s="115"/>
      <c r="J3242" s="115"/>
      <c r="K3242" s="115"/>
      <c r="L3242" s="115"/>
      <c r="M3242" s="115"/>
      <c r="N3242" s="115"/>
      <c r="O3242" s="115"/>
    </row>
    <row r="3243">
      <c r="E3243" s="115"/>
      <c r="F3243" s="115"/>
      <c r="G3243" s="115"/>
      <c r="H3243" s="115"/>
      <c r="I3243" s="115"/>
      <c r="J3243" s="115"/>
      <c r="K3243" s="115"/>
      <c r="L3243" s="115"/>
      <c r="M3243" s="115"/>
      <c r="N3243" s="115"/>
      <c r="O3243" s="115"/>
    </row>
    <row r="3244">
      <c r="E3244" s="115"/>
      <c r="F3244" s="115"/>
      <c r="G3244" s="115"/>
      <c r="H3244" s="115"/>
      <c r="I3244" s="115"/>
      <c r="J3244" s="115"/>
      <c r="K3244" s="115"/>
      <c r="L3244" s="115"/>
      <c r="M3244" s="115"/>
      <c r="N3244" s="115"/>
      <c r="O3244" s="115"/>
    </row>
    <row r="3245">
      <c r="E3245" s="115"/>
      <c r="F3245" s="115"/>
      <c r="G3245" s="115"/>
      <c r="H3245" s="115"/>
      <c r="I3245" s="115"/>
      <c r="J3245" s="115"/>
      <c r="K3245" s="115"/>
      <c r="L3245" s="115"/>
      <c r="M3245" s="115"/>
      <c r="N3245" s="115"/>
      <c r="O3245" s="115"/>
    </row>
    <row r="3246">
      <c r="E3246" s="115"/>
      <c r="F3246" s="115"/>
      <c r="G3246" s="115"/>
      <c r="H3246" s="115"/>
      <c r="I3246" s="115"/>
      <c r="J3246" s="115"/>
      <c r="K3246" s="115"/>
      <c r="L3246" s="115"/>
      <c r="M3246" s="115"/>
      <c r="N3246" s="115"/>
      <c r="O3246" s="115"/>
    </row>
    <row r="3247">
      <c r="E3247" s="115"/>
      <c r="F3247" s="115"/>
      <c r="G3247" s="115"/>
      <c r="H3247" s="115"/>
      <c r="I3247" s="115"/>
      <c r="J3247" s="115"/>
      <c r="K3247" s="115"/>
      <c r="L3247" s="115"/>
      <c r="M3247" s="115"/>
      <c r="N3247" s="115"/>
      <c r="O3247" s="115"/>
    </row>
    <row r="3248">
      <c r="E3248" s="115"/>
      <c r="F3248" s="115"/>
      <c r="G3248" s="115"/>
      <c r="H3248" s="115"/>
      <c r="I3248" s="115"/>
      <c r="J3248" s="115"/>
      <c r="K3248" s="115"/>
      <c r="L3248" s="115"/>
      <c r="M3248" s="115"/>
      <c r="N3248" s="115"/>
      <c r="O3248" s="115"/>
    </row>
    <row r="3249">
      <c r="E3249" s="115"/>
      <c r="F3249" s="115"/>
      <c r="G3249" s="115"/>
      <c r="H3249" s="115"/>
      <c r="I3249" s="115"/>
      <c r="J3249" s="115"/>
      <c r="K3249" s="115"/>
      <c r="L3249" s="115"/>
      <c r="M3249" s="115"/>
      <c r="N3249" s="115"/>
      <c r="O3249" s="115"/>
    </row>
    <row r="3250">
      <c r="E3250" s="115"/>
      <c r="F3250" s="115"/>
      <c r="G3250" s="115"/>
      <c r="H3250" s="115"/>
      <c r="I3250" s="115"/>
      <c r="J3250" s="115"/>
      <c r="K3250" s="115"/>
      <c r="L3250" s="115"/>
      <c r="M3250" s="115"/>
      <c r="N3250" s="115"/>
      <c r="O3250" s="115"/>
    </row>
    <row r="3251">
      <c r="E3251" s="115"/>
      <c r="F3251" s="115"/>
      <c r="G3251" s="115"/>
      <c r="H3251" s="115"/>
      <c r="I3251" s="115"/>
      <c r="J3251" s="115"/>
      <c r="K3251" s="115"/>
      <c r="L3251" s="115"/>
      <c r="M3251" s="115"/>
      <c r="N3251" s="115"/>
      <c r="O3251" s="115"/>
    </row>
    <row r="3252">
      <c r="E3252" s="115"/>
      <c r="F3252" s="115"/>
      <c r="G3252" s="115"/>
      <c r="H3252" s="115"/>
      <c r="I3252" s="115"/>
      <c r="J3252" s="115"/>
      <c r="K3252" s="115"/>
      <c r="L3252" s="115"/>
      <c r="M3252" s="115"/>
      <c r="N3252" s="115"/>
      <c r="O3252" s="115"/>
    </row>
    <row r="3253">
      <c r="E3253" s="115"/>
      <c r="F3253" s="115"/>
      <c r="G3253" s="115"/>
      <c r="H3253" s="115"/>
      <c r="I3253" s="115"/>
      <c r="J3253" s="115"/>
      <c r="K3253" s="115"/>
      <c r="L3253" s="115"/>
      <c r="M3253" s="115"/>
      <c r="N3253" s="115"/>
      <c r="O3253" s="115"/>
    </row>
    <row r="3254">
      <c r="E3254" s="115"/>
      <c r="F3254" s="115"/>
      <c r="G3254" s="115"/>
      <c r="H3254" s="115"/>
      <c r="I3254" s="115"/>
      <c r="J3254" s="115"/>
      <c r="K3254" s="115"/>
      <c r="L3254" s="115"/>
      <c r="M3254" s="115"/>
      <c r="N3254" s="115"/>
      <c r="O3254" s="115"/>
    </row>
    <row r="3255">
      <c r="E3255" s="115"/>
      <c r="F3255" s="115"/>
      <c r="G3255" s="115"/>
      <c r="H3255" s="115"/>
      <c r="I3255" s="115"/>
      <c r="J3255" s="115"/>
      <c r="K3255" s="115"/>
      <c r="L3255" s="115"/>
      <c r="M3255" s="115"/>
      <c r="N3255" s="115"/>
      <c r="O3255" s="115"/>
    </row>
    <row r="3256">
      <c r="E3256" s="115"/>
      <c r="F3256" s="115"/>
      <c r="G3256" s="115"/>
      <c r="H3256" s="115"/>
      <c r="I3256" s="115"/>
      <c r="J3256" s="115"/>
      <c r="K3256" s="115"/>
      <c r="L3256" s="115"/>
      <c r="M3256" s="115"/>
      <c r="N3256" s="115"/>
      <c r="O3256" s="115"/>
    </row>
    <row r="3257">
      <c r="E3257" s="115"/>
      <c r="F3257" s="115"/>
      <c r="G3257" s="115"/>
      <c r="H3257" s="115"/>
      <c r="I3257" s="115"/>
      <c r="J3257" s="115"/>
      <c r="K3257" s="115"/>
      <c r="L3257" s="115"/>
      <c r="M3257" s="115"/>
      <c r="N3257" s="115"/>
      <c r="O3257" s="115"/>
    </row>
    <row r="3258">
      <c r="E3258" s="115"/>
      <c r="F3258" s="115"/>
      <c r="G3258" s="115"/>
      <c r="H3258" s="115"/>
      <c r="I3258" s="115"/>
      <c r="J3258" s="115"/>
      <c r="K3258" s="115"/>
      <c r="L3258" s="115"/>
      <c r="M3258" s="115"/>
      <c r="N3258" s="115"/>
      <c r="O3258" s="115"/>
    </row>
    <row r="3259">
      <c r="E3259" s="115"/>
      <c r="F3259" s="115"/>
      <c r="G3259" s="115"/>
      <c r="H3259" s="115"/>
      <c r="I3259" s="115"/>
      <c r="J3259" s="115"/>
      <c r="K3259" s="115"/>
      <c r="L3259" s="115"/>
      <c r="M3259" s="115"/>
      <c r="N3259" s="115"/>
      <c r="O3259" s="115"/>
    </row>
    <row r="3260">
      <c r="E3260" s="115"/>
      <c r="F3260" s="115"/>
      <c r="G3260" s="115"/>
      <c r="H3260" s="115"/>
      <c r="I3260" s="115"/>
      <c r="J3260" s="115"/>
      <c r="K3260" s="115"/>
      <c r="L3260" s="115"/>
      <c r="M3260" s="115"/>
      <c r="N3260" s="115"/>
      <c r="O3260" s="115"/>
    </row>
    <row r="3261">
      <c r="E3261" s="115"/>
      <c r="F3261" s="115"/>
      <c r="G3261" s="115"/>
      <c r="H3261" s="115"/>
      <c r="I3261" s="115"/>
      <c r="J3261" s="115"/>
      <c r="K3261" s="115"/>
      <c r="L3261" s="115"/>
      <c r="M3261" s="115"/>
      <c r="N3261" s="115"/>
      <c r="O3261" s="115"/>
    </row>
    <row r="3262">
      <c r="E3262" s="115"/>
      <c r="F3262" s="115"/>
      <c r="G3262" s="115"/>
      <c r="H3262" s="115"/>
      <c r="I3262" s="115"/>
      <c r="J3262" s="115"/>
      <c r="K3262" s="115"/>
      <c r="L3262" s="115"/>
      <c r="M3262" s="115"/>
      <c r="N3262" s="115"/>
      <c r="O3262" s="115"/>
    </row>
    <row r="3263">
      <c r="E3263" s="115"/>
      <c r="F3263" s="115"/>
      <c r="G3263" s="115"/>
      <c r="H3263" s="115"/>
      <c r="I3263" s="115"/>
      <c r="J3263" s="115"/>
      <c r="K3263" s="115"/>
      <c r="L3263" s="115"/>
      <c r="M3263" s="115"/>
      <c r="N3263" s="115"/>
      <c r="O3263" s="115"/>
    </row>
    <row r="3264">
      <c r="E3264" s="115"/>
      <c r="F3264" s="115"/>
      <c r="G3264" s="115"/>
      <c r="H3264" s="115"/>
      <c r="I3264" s="115"/>
      <c r="J3264" s="115"/>
      <c r="K3264" s="115"/>
      <c r="L3264" s="115"/>
      <c r="M3264" s="115"/>
      <c r="N3264" s="115"/>
      <c r="O3264" s="115"/>
    </row>
    <row r="3265">
      <c r="E3265" s="115"/>
      <c r="F3265" s="115"/>
      <c r="G3265" s="115"/>
      <c r="H3265" s="115"/>
      <c r="I3265" s="115"/>
      <c r="J3265" s="115"/>
      <c r="K3265" s="115"/>
      <c r="L3265" s="115"/>
      <c r="M3265" s="115"/>
      <c r="N3265" s="115"/>
      <c r="O3265" s="115"/>
    </row>
    <row r="3266">
      <c r="E3266" s="115"/>
      <c r="F3266" s="115"/>
      <c r="G3266" s="115"/>
      <c r="H3266" s="115"/>
      <c r="I3266" s="115"/>
      <c r="J3266" s="115"/>
      <c r="K3266" s="115"/>
      <c r="L3266" s="115"/>
      <c r="M3266" s="115"/>
      <c r="N3266" s="115"/>
      <c r="O3266" s="115"/>
    </row>
    <row r="3267">
      <c r="E3267" s="115"/>
      <c r="F3267" s="115"/>
      <c r="G3267" s="115"/>
      <c r="H3267" s="115"/>
      <c r="I3267" s="115"/>
      <c r="J3267" s="115"/>
      <c r="K3267" s="115"/>
      <c r="L3267" s="115"/>
      <c r="M3267" s="115"/>
      <c r="N3267" s="115"/>
      <c r="O3267" s="115"/>
    </row>
    <row r="3268">
      <c r="E3268" s="115"/>
      <c r="F3268" s="115"/>
      <c r="G3268" s="115"/>
      <c r="H3268" s="115"/>
      <c r="I3268" s="115"/>
      <c r="J3268" s="115"/>
      <c r="K3268" s="115"/>
      <c r="L3268" s="115"/>
      <c r="M3268" s="115"/>
      <c r="N3268" s="115"/>
      <c r="O3268" s="115"/>
    </row>
    <row r="3269">
      <c r="E3269" s="115"/>
      <c r="F3269" s="115"/>
      <c r="G3269" s="115"/>
      <c r="H3269" s="115"/>
      <c r="I3269" s="115"/>
      <c r="J3269" s="115"/>
      <c r="K3269" s="115"/>
      <c r="L3269" s="115"/>
      <c r="M3269" s="115"/>
      <c r="N3269" s="115"/>
      <c r="O3269" s="115"/>
    </row>
    <row r="3270">
      <c r="E3270" s="115"/>
      <c r="F3270" s="115"/>
      <c r="G3270" s="115"/>
      <c r="H3270" s="115"/>
      <c r="I3270" s="115"/>
      <c r="J3270" s="115"/>
      <c r="K3270" s="115"/>
      <c r="L3270" s="115"/>
      <c r="M3270" s="115"/>
      <c r="N3270" s="115"/>
      <c r="O3270" s="115"/>
    </row>
    <row r="3271">
      <c r="E3271" s="115"/>
      <c r="F3271" s="115"/>
      <c r="G3271" s="115"/>
      <c r="H3271" s="115"/>
      <c r="I3271" s="115"/>
      <c r="J3271" s="115"/>
      <c r="K3271" s="115"/>
      <c r="L3271" s="115"/>
      <c r="M3271" s="115"/>
      <c r="N3271" s="115"/>
      <c r="O3271" s="115"/>
    </row>
    <row r="3272">
      <c r="E3272" s="115"/>
      <c r="F3272" s="115"/>
      <c r="G3272" s="115"/>
      <c r="H3272" s="115"/>
      <c r="I3272" s="115"/>
      <c r="J3272" s="115"/>
      <c r="K3272" s="115"/>
      <c r="L3272" s="115"/>
      <c r="M3272" s="115"/>
      <c r="N3272" s="115"/>
      <c r="O3272" s="115"/>
    </row>
    <row r="3273">
      <c r="E3273" s="115"/>
      <c r="F3273" s="115"/>
      <c r="G3273" s="115"/>
      <c r="H3273" s="115"/>
      <c r="I3273" s="115"/>
      <c r="J3273" s="115"/>
      <c r="K3273" s="115"/>
      <c r="L3273" s="115"/>
      <c r="M3273" s="115"/>
      <c r="N3273" s="115"/>
      <c r="O3273" s="115"/>
    </row>
    <row r="3274">
      <c r="E3274" s="115"/>
      <c r="F3274" s="115"/>
      <c r="G3274" s="115"/>
      <c r="H3274" s="115"/>
      <c r="I3274" s="115"/>
      <c r="J3274" s="115"/>
      <c r="K3274" s="115"/>
      <c r="L3274" s="115"/>
      <c r="M3274" s="115"/>
      <c r="N3274" s="115"/>
      <c r="O3274" s="115"/>
    </row>
    <row r="3275">
      <c r="E3275" s="115"/>
      <c r="F3275" s="115"/>
      <c r="G3275" s="115"/>
      <c r="H3275" s="115"/>
      <c r="I3275" s="115"/>
      <c r="J3275" s="115"/>
      <c r="K3275" s="115"/>
      <c r="L3275" s="115"/>
      <c r="M3275" s="115"/>
      <c r="N3275" s="115"/>
      <c r="O3275" s="115"/>
    </row>
    <row r="3276">
      <c r="E3276" s="115"/>
      <c r="F3276" s="115"/>
      <c r="G3276" s="115"/>
      <c r="H3276" s="115"/>
      <c r="I3276" s="115"/>
      <c r="J3276" s="115"/>
      <c r="K3276" s="115"/>
      <c r="L3276" s="115"/>
      <c r="M3276" s="115"/>
      <c r="N3276" s="115"/>
      <c r="O3276" s="115"/>
    </row>
    <row r="3277">
      <c r="E3277" s="115"/>
      <c r="F3277" s="115"/>
      <c r="G3277" s="115"/>
      <c r="H3277" s="115"/>
      <c r="I3277" s="115"/>
      <c r="J3277" s="115"/>
      <c r="K3277" s="115"/>
      <c r="L3277" s="115"/>
      <c r="M3277" s="115"/>
      <c r="N3277" s="115"/>
      <c r="O3277" s="115"/>
    </row>
    <row r="3278">
      <c r="E3278" s="115"/>
      <c r="F3278" s="115"/>
      <c r="G3278" s="115"/>
      <c r="H3278" s="115"/>
      <c r="I3278" s="115"/>
      <c r="J3278" s="115"/>
      <c r="K3278" s="115"/>
      <c r="L3278" s="115"/>
      <c r="M3278" s="115"/>
      <c r="N3278" s="115"/>
      <c r="O3278" s="115"/>
    </row>
    <row r="3279">
      <c r="E3279" s="115"/>
      <c r="F3279" s="115"/>
      <c r="G3279" s="115"/>
      <c r="H3279" s="115"/>
      <c r="I3279" s="115"/>
      <c r="J3279" s="115"/>
      <c r="K3279" s="115"/>
      <c r="L3279" s="115"/>
      <c r="M3279" s="115"/>
      <c r="N3279" s="115"/>
      <c r="O3279" s="115"/>
    </row>
    <row r="3280">
      <c r="E3280" s="115"/>
      <c r="F3280" s="115"/>
      <c r="G3280" s="115"/>
      <c r="H3280" s="115"/>
      <c r="I3280" s="115"/>
      <c r="J3280" s="115"/>
      <c r="K3280" s="115"/>
      <c r="L3280" s="115"/>
      <c r="M3280" s="115"/>
      <c r="N3280" s="115"/>
      <c r="O3280" s="115"/>
    </row>
    <row r="3281">
      <c r="E3281" s="115"/>
      <c r="F3281" s="115"/>
      <c r="G3281" s="115"/>
      <c r="H3281" s="115"/>
      <c r="I3281" s="115"/>
      <c r="J3281" s="115"/>
      <c r="K3281" s="115"/>
      <c r="L3281" s="115"/>
      <c r="M3281" s="115"/>
      <c r="N3281" s="115"/>
      <c r="O3281" s="115"/>
    </row>
    <row r="3282">
      <c r="E3282" s="115"/>
      <c r="F3282" s="115"/>
      <c r="G3282" s="115"/>
      <c r="H3282" s="115"/>
      <c r="I3282" s="115"/>
      <c r="J3282" s="115"/>
      <c r="K3282" s="115"/>
      <c r="L3282" s="115"/>
      <c r="M3282" s="115"/>
      <c r="N3282" s="115"/>
      <c r="O3282" s="115"/>
    </row>
    <row r="3283">
      <c r="E3283" s="115"/>
      <c r="F3283" s="115"/>
      <c r="G3283" s="115"/>
      <c r="H3283" s="115"/>
      <c r="I3283" s="115"/>
      <c r="J3283" s="115"/>
      <c r="K3283" s="115"/>
      <c r="L3283" s="115"/>
      <c r="M3283" s="115"/>
      <c r="N3283" s="115"/>
      <c r="O3283" s="115"/>
    </row>
    <row r="3284">
      <c r="E3284" s="115"/>
      <c r="F3284" s="115"/>
      <c r="G3284" s="115"/>
      <c r="H3284" s="115"/>
      <c r="I3284" s="115"/>
      <c r="J3284" s="115"/>
      <c r="K3284" s="115"/>
      <c r="L3284" s="115"/>
      <c r="M3284" s="115"/>
      <c r="N3284" s="115"/>
      <c r="O3284" s="115"/>
    </row>
    <row r="3285">
      <c r="E3285" s="115"/>
      <c r="F3285" s="115"/>
      <c r="G3285" s="115"/>
      <c r="H3285" s="115"/>
      <c r="I3285" s="115"/>
      <c r="J3285" s="115"/>
      <c r="K3285" s="115"/>
      <c r="L3285" s="115"/>
      <c r="M3285" s="115"/>
      <c r="N3285" s="115"/>
      <c r="O3285" s="115"/>
    </row>
    <row r="3286">
      <c r="E3286" s="115"/>
      <c r="F3286" s="115"/>
      <c r="G3286" s="115"/>
      <c r="H3286" s="115"/>
      <c r="I3286" s="115"/>
      <c r="J3286" s="115"/>
      <c r="K3286" s="115"/>
      <c r="L3286" s="115"/>
      <c r="M3286" s="115"/>
      <c r="N3286" s="115"/>
      <c r="O3286" s="115"/>
    </row>
    <row r="3287">
      <c r="E3287" s="115"/>
      <c r="F3287" s="115"/>
      <c r="G3287" s="115"/>
      <c r="H3287" s="115"/>
      <c r="I3287" s="115"/>
      <c r="J3287" s="115"/>
      <c r="K3287" s="115"/>
      <c r="L3287" s="115"/>
      <c r="M3287" s="115"/>
      <c r="N3287" s="115"/>
      <c r="O3287" s="115"/>
    </row>
    <row r="3288">
      <c r="E3288" s="115"/>
      <c r="F3288" s="115"/>
      <c r="G3288" s="115"/>
      <c r="H3288" s="115"/>
      <c r="I3288" s="115"/>
      <c r="J3288" s="115"/>
      <c r="K3288" s="115"/>
      <c r="L3288" s="115"/>
      <c r="M3288" s="115"/>
      <c r="N3288" s="115"/>
      <c r="O3288" s="115"/>
    </row>
    <row r="3289">
      <c r="E3289" s="115"/>
      <c r="F3289" s="115"/>
      <c r="G3289" s="115"/>
      <c r="H3289" s="115"/>
      <c r="I3289" s="115"/>
      <c r="J3289" s="115"/>
      <c r="K3289" s="115"/>
      <c r="L3289" s="115"/>
      <c r="M3289" s="115"/>
      <c r="N3289" s="115"/>
      <c r="O3289" s="115"/>
    </row>
    <row r="3290">
      <c r="E3290" s="115"/>
      <c r="F3290" s="115"/>
      <c r="G3290" s="115"/>
      <c r="H3290" s="115"/>
      <c r="I3290" s="115"/>
      <c r="J3290" s="115"/>
      <c r="K3290" s="115"/>
      <c r="L3290" s="115"/>
      <c r="M3290" s="115"/>
      <c r="N3290" s="115"/>
      <c r="O3290" s="115"/>
    </row>
    <row r="3291">
      <c r="E3291" s="115"/>
      <c r="F3291" s="115"/>
      <c r="G3291" s="115"/>
      <c r="H3291" s="115"/>
      <c r="I3291" s="115"/>
      <c r="J3291" s="115"/>
      <c r="K3291" s="115"/>
      <c r="L3291" s="115"/>
      <c r="M3291" s="115"/>
      <c r="N3291" s="115"/>
      <c r="O3291" s="115"/>
    </row>
    <row r="3292">
      <c r="E3292" s="115"/>
      <c r="F3292" s="115"/>
      <c r="G3292" s="115"/>
      <c r="H3292" s="115"/>
      <c r="I3292" s="115"/>
      <c r="J3292" s="115"/>
      <c r="K3292" s="115"/>
      <c r="L3292" s="115"/>
      <c r="M3292" s="115"/>
      <c r="N3292" s="115"/>
      <c r="O3292" s="115"/>
    </row>
    <row r="3293">
      <c r="E3293" s="115"/>
      <c r="F3293" s="115"/>
      <c r="G3293" s="115"/>
      <c r="H3293" s="115"/>
      <c r="I3293" s="115"/>
      <c r="J3293" s="115"/>
      <c r="K3293" s="115"/>
      <c r="L3293" s="115"/>
      <c r="M3293" s="115"/>
      <c r="N3293" s="115"/>
      <c r="O3293" s="115"/>
    </row>
    <row r="3294">
      <c r="E3294" s="115"/>
      <c r="F3294" s="115"/>
      <c r="G3294" s="115"/>
      <c r="H3294" s="115"/>
      <c r="I3294" s="115"/>
      <c r="J3294" s="115"/>
      <c r="K3294" s="115"/>
      <c r="L3294" s="115"/>
      <c r="M3294" s="115"/>
      <c r="N3294" s="115"/>
      <c r="O3294" s="115"/>
    </row>
    <row r="3295">
      <c r="E3295" s="115"/>
      <c r="F3295" s="115"/>
      <c r="G3295" s="115"/>
      <c r="H3295" s="115"/>
      <c r="I3295" s="115"/>
      <c r="J3295" s="115"/>
      <c r="K3295" s="115"/>
      <c r="L3295" s="115"/>
      <c r="M3295" s="115"/>
      <c r="N3295" s="115"/>
      <c r="O3295" s="115"/>
    </row>
    <row r="3296">
      <c r="E3296" s="115"/>
      <c r="F3296" s="115"/>
      <c r="G3296" s="115"/>
      <c r="H3296" s="115"/>
      <c r="I3296" s="115"/>
      <c r="J3296" s="115"/>
      <c r="K3296" s="115"/>
      <c r="L3296" s="115"/>
      <c r="M3296" s="115"/>
      <c r="N3296" s="115"/>
      <c r="O3296" s="115"/>
    </row>
    <row r="3297">
      <c r="E3297" s="115"/>
      <c r="F3297" s="115"/>
      <c r="G3297" s="115"/>
      <c r="H3297" s="115"/>
      <c r="I3297" s="115"/>
      <c r="J3297" s="115"/>
      <c r="K3297" s="115"/>
      <c r="L3297" s="115"/>
      <c r="M3297" s="115"/>
      <c r="N3297" s="115"/>
      <c r="O3297" s="115"/>
    </row>
    <row r="3298">
      <c r="E3298" s="115"/>
      <c r="F3298" s="115"/>
      <c r="G3298" s="115"/>
      <c r="H3298" s="115"/>
      <c r="I3298" s="115"/>
      <c r="J3298" s="115"/>
      <c r="K3298" s="115"/>
      <c r="L3298" s="115"/>
      <c r="M3298" s="115"/>
      <c r="N3298" s="115"/>
      <c r="O3298" s="115"/>
    </row>
    <row r="3299">
      <c r="E3299" s="115"/>
      <c r="F3299" s="115"/>
      <c r="G3299" s="115"/>
      <c r="H3299" s="115"/>
      <c r="I3299" s="115"/>
      <c r="J3299" s="115"/>
      <c r="K3299" s="115"/>
      <c r="L3299" s="115"/>
      <c r="M3299" s="115"/>
      <c r="N3299" s="115"/>
      <c r="O3299" s="115"/>
    </row>
    <row r="3300">
      <c r="E3300" s="115"/>
      <c r="F3300" s="115"/>
      <c r="G3300" s="115"/>
      <c r="H3300" s="115"/>
      <c r="I3300" s="115"/>
      <c r="J3300" s="115"/>
      <c r="K3300" s="115"/>
      <c r="L3300" s="115"/>
      <c r="M3300" s="115"/>
      <c r="N3300" s="115"/>
      <c r="O3300" s="115"/>
    </row>
    <row r="3301">
      <c r="E3301" s="115"/>
      <c r="F3301" s="115"/>
      <c r="G3301" s="115"/>
      <c r="H3301" s="115"/>
      <c r="I3301" s="115"/>
      <c r="J3301" s="115"/>
      <c r="K3301" s="115"/>
      <c r="L3301" s="115"/>
      <c r="M3301" s="115"/>
      <c r="N3301" s="115"/>
      <c r="O3301" s="115"/>
    </row>
    <row r="3302">
      <c r="E3302" s="115"/>
      <c r="F3302" s="115"/>
      <c r="G3302" s="115"/>
      <c r="H3302" s="115"/>
      <c r="I3302" s="115"/>
      <c r="J3302" s="115"/>
      <c r="K3302" s="115"/>
      <c r="L3302" s="115"/>
      <c r="M3302" s="115"/>
      <c r="N3302" s="115"/>
      <c r="O3302" s="115"/>
    </row>
    <row r="3303">
      <c r="E3303" s="115"/>
      <c r="F3303" s="115"/>
      <c r="G3303" s="115"/>
      <c r="H3303" s="115"/>
      <c r="I3303" s="115"/>
      <c r="J3303" s="115"/>
      <c r="K3303" s="115"/>
      <c r="L3303" s="115"/>
      <c r="M3303" s="115"/>
      <c r="N3303" s="115"/>
      <c r="O3303" s="115"/>
    </row>
    <row r="3304">
      <c r="E3304" s="115"/>
      <c r="F3304" s="115"/>
      <c r="G3304" s="115"/>
      <c r="H3304" s="115"/>
      <c r="I3304" s="115"/>
      <c r="J3304" s="115"/>
      <c r="K3304" s="115"/>
      <c r="L3304" s="115"/>
      <c r="M3304" s="115"/>
      <c r="N3304" s="115"/>
      <c r="O3304" s="115"/>
    </row>
    <row r="3305">
      <c r="E3305" s="115"/>
      <c r="F3305" s="115"/>
      <c r="G3305" s="115"/>
      <c r="H3305" s="115"/>
      <c r="I3305" s="115"/>
      <c r="J3305" s="115"/>
      <c r="K3305" s="115"/>
      <c r="L3305" s="115"/>
      <c r="M3305" s="115"/>
      <c r="N3305" s="115"/>
      <c r="O3305" s="115"/>
    </row>
    <row r="3306">
      <c r="E3306" s="115"/>
      <c r="F3306" s="115"/>
      <c r="G3306" s="115"/>
      <c r="H3306" s="115"/>
      <c r="I3306" s="115"/>
      <c r="J3306" s="115"/>
      <c r="K3306" s="115"/>
      <c r="L3306" s="115"/>
      <c r="M3306" s="115"/>
      <c r="N3306" s="115"/>
      <c r="O3306" s="115"/>
    </row>
    <row r="3307">
      <c r="E3307" s="115"/>
      <c r="F3307" s="115"/>
      <c r="G3307" s="115"/>
      <c r="H3307" s="115"/>
      <c r="I3307" s="115"/>
      <c r="J3307" s="115"/>
      <c r="K3307" s="115"/>
      <c r="L3307" s="115"/>
      <c r="M3307" s="115"/>
      <c r="N3307" s="115"/>
      <c r="O3307" s="115"/>
    </row>
    <row r="3308">
      <c r="E3308" s="115"/>
      <c r="F3308" s="115"/>
      <c r="G3308" s="115"/>
      <c r="H3308" s="115"/>
      <c r="I3308" s="115"/>
      <c r="J3308" s="115"/>
      <c r="K3308" s="115"/>
      <c r="L3308" s="115"/>
      <c r="M3308" s="115"/>
      <c r="N3308" s="115"/>
      <c r="O3308" s="115"/>
    </row>
    <row r="3309">
      <c r="E3309" s="115"/>
      <c r="F3309" s="115"/>
      <c r="G3309" s="115"/>
      <c r="H3309" s="115"/>
      <c r="I3309" s="115"/>
      <c r="J3309" s="115"/>
      <c r="K3309" s="115"/>
      <c r="L3309" s="115"/>
      <c r="M3309" s="115"/>
      <c r="N3309" s="115"/>
      <c r="O3309" s="115"/>
    </row>
    <row r="3310">
      <c r="E3310" s="115"/>
      <c r="F3310" s="115"/>
      <c r="G3310" s="115"/>
      <c r="H3310" s="115"/>
      <c r="I3310" s="115"/>
      <c r="J3310" s="115"/>
      <c r="K3310" s="115"/>
      <c r="L3310" s="115"/>
      <c r="M3310" s="115"/>
      <c r="N3310" s="115"/>
      <c r="O3310" s="115"/>
    </row>
    <row r="3311">
      <c r="E3311" s="115"/>
      <c r="F3311" s="115"/>
      <c r="G3311" s="115"/>
      <c r="H3311" s="115"/>
      <c r="I3311" s="115"/>
      <c r="J3311" s="115"/>
      <c r="K3311" s="115"/>
      <c r="L3311" s="115"/>
      <c r="M3311" s="115"/>
      <c r="N3311" s="115"/>
      <c r="O3311" s="115"/>
    </row>
    <row r="3312">
      <c r="E3312" s="115"/>
      <c r="F3312" s="115"/>
      <c r="G3312" s="115"/>
      <c r="H3312" s="115"/>
      <c r="I3312" s="115"/>
      <c r="J3312" s="115"/>
      <c r="K3312" s="115"/>
      <c r="L3312" s="115"/>
      <c r="M3312" s="115"/>
      <c r="N3312" s="115"/>
      <c r="O3312" s="115"/>
    </row>
    <row r="3313">
      <c r="E3313" s="115"/>
      <c r="F3313" s="115"/>
      <c r="G3313" s="115"/>
      <c r="H3313" s="115"/>
      <c r="I3313" s="115"/>
      <c r="J3313" s="115"/>
      <c r="K3313" s="115"/>
      <c r="L3313" s="115"/>
      <c r="M3313" s="115"/>
      <c r="N3313" s="115"/>
      <c r="O3313" s="115"/>
    </row>
    <row r="3314">
      <c r="E3314" s="115"/>
      <c r="F3314" s="115"/>
      <c r="G3314" s="115"/>
      <c r="H3314" s="115"/>
      <c r="I3314" s="115"/>
      <c r="J3314" s="115"/>
      <c r="K3314" s="115"/>
      <c r="L3314" s="115"/>
      <c r="M3314" s="115"/>
      <c r="N3314" s="115"/>
      <c r="O3314" s="115"/>
    </row>
    <row r="3315">
      <c r="E3315" s="115"/>
      <c r="F3315" s="115"/>
      <c r="G3315" s="115"/>
      <c r="H3315" s="115"/>
      <c r="I3315" s="115"/>
      <c r="J3315" s="115"/>
      <c r="K3315" s="115"/>
      <c r="L3315" s="115"/>
      <c r="M3315" s="115"/>
      <c r="N3315" s="115"/>
      <c r="O3315" s="115"/>
    </row>
    <row r="3316">
      <c r="E3316" s="115"/>
      <c r="F3316" s="115"/>
      <c r="G3316" s="115"/>
      <c r="H3316" s="115"/>
      <c r="I3316" s="115"/>
      <c r="J3316" s="115"/>
      <c r="K3316" s="115"/>
      <c r="L3316" s="115"/>
      <c r="M3316" s="115"/>
      <c r="N3316" s="115"/>
      <c r="O3316" s="115"/>
    </row>
    <row r="3317">
      <c r="E3317" s="115"/>
      <c r="F3317" s="115"/>
      <c r="G3317" s="115"/>
      <c r="H3317" s="115"/>
      <c r="I3317" s="115"/>
      <c r="J3317" s="115"/>
      <c r="K3317" s="115"/>
      <c r="L3317" s="115"/>
      <c r="M3317" s="115"/>
      <c r="N3317" s="115"/>
      <c r="O3317" s="115"/>
    </row>
    <row r="3318">
      <c r="E3318" s="115"/>
      <c r="F3318" s="115"/>
      <c r="G3318" s="115"/>
      <c r="H3318" s="115"/>
      <c r="I3318" s="115"/>
      <c r="J3318" s="115"/>
      <c r="K3318" s="115"/>
      <c r="L3318" s="115"/>
      <c r="M3318" s="115"/>
      <c r="N3318" s="115"/>
      <c r="O3318" s="115"/>
    </row>
    <row r="3319">
      <c r="E3319" s="115"/>
      <c r="F3319" s="115"/>
      <c r="G3319" s="115"/>
      <c r="H3319" s="115"/>
      <c r="I3319" s="115"/>
      <c r="J3319" s="115"/>
      <c r="K3319" s="115"/>
      <c r="L3319" s="115"/>
      <c r="M3319" s="115"/>
      <c r="N3319" s="115"/>
      <c r="O3319" s="115"/>
    </row>
    <row r="3320">
      <c r="E3320" s="115"/>
      <c r="F3320" s="115"/>
      <c r="G3320" s="115"/>
      <c r="H3320" s="115"/>
      <c r="I3320" s="115"/>
      <c r="J3320" s="115"/>
      <c r="K3320" s="115"/>
      <c r="L3320" s="115"/>
      <c r="M3320" s="115"/>
      <c r="N3320" s="115"/>
      <c r="O3320" s="115"/>
    </row>
    <row r="3321">
      <c r="E3321" s="115"/>
      <c r="F3321" s="115"/>
      <c r="G3321" s="115"/>
      <c r="H3321" s="115"/>
      <c r="I3321" s="115"/>
      <c r="J3321" s="115"/>
      <c r="K3321" s="115"/>
      <c r="L3321" s="115"/>
      <c r="M3321" s="115"/>
      <c r="N3321" s="115"/>
      <c r="O3321" s="115"/>
    </row>
    <row r="3322">
      <c r="E3322" s="115"/>
      <c r="F3322" s="115"/>
      <c r="G3322" s="115"/>
      <c r="H3322" s="115"/>
      <c r="I3322" s="115"/>
      <c r="J3322" s="115"/>
      <c r="K3322" s="115"/>
      <c r="L3322" s="115"/>
      <c r="M3322" s="115"/>
      <c r="N3322" s="115"/>
      <c r="O3322" s="115"/>
    </row>
    <row r="3323">
      <c r="E3323" s="115"/>
      <c r="F3323" s="115"/>
      <c r="G3323" s="115"/>
      <c r="H3323" s="115"/>
      <c r="I3323" s="115"/>
      <c r="J3323" s="115"/>
      <c r="K3323" s="115"/>
      <c r="L3323" s="115"/>
      <c r="M3323" s="115"/>
      <c r="N3323" s="115"/>
      <c r="O3323" s="115"/>
    </row>
    <row r="3324">
      <c r="E3324" s="115"/>
      <c r="F3324" s="115"/>
      <c r="G3324" s="115"/>
      <c r="H3324" s="115"/>
      <c r="I3324" s="115"/>
      <c r="J3324" s="115"/>
      <c r="K3324" s="115"/>
      <c r="L3324" s="115"/>
      <c r="M3324" s="115"/>
      <c r="N3324" s="115"/>
      <c r="O3324" s="115"/>
    </row>
    <row r="3325">
      <c r="E3325" s="115"/>
      <c r="F3325" s="115"/>
      <c r="G3325" s="115"/>
      <c r="H3325" s="115"/>
      <c r="I3325" s="115"/>
      <c r="J3325" s="115"/>
      <c r="K3325" s="115"/>
      <c r="L3325" s="115"/>
      <c r="M3325" s="115"/>
      <c r="N3325" s="115"/>
      <c r="O3325" s="115"/>
    </row>
    <row r="3326">
      <c r="E3326" s="115"/>
      <c r="F3326" s="115"/>
      <c r="G3326" s="115"/>
      <c r="H3326" s="115"/>
      <c r="I3326" s="115"/>
      <c r="J3326" s="115"/>
      <c r="K3326" s="115"/>
      <c r="L3326" s="115"/>
      <c r="M3326" s="115"/>
      <c r="N3326" s="115"/>
      <c r="O3326" s="115"/>
    </row>
    <row r="3327">
      <c r="E3327" s="115"/>
      <c r="F3327" s="115"/>
      <c r="G3327" s="115"/>
      <c r="H3327" s="115"/>
      <c r="I3327" s="115"/>
      <c r="J3327" s="115"/>
      <c r="K3327" s="115"/>
      <c r="L3327" s="115"/>
      <c r="M3327" s="115"/>
      <c r="N3327" s="115"/>
      <c r="O3327" s="115"/>
    </row>
    <row r="3328">
      <c r="E3328" s="115"/>
      <c r="F3328" s="115"/>
      <c r="G3328" s="115"/>
      <c r="H3328" s="115"/>
      <c r="I3328" s="115"/>
      <c r="J3328" s="115"/>
      <c r="K3328" s="115"/>
      <c r="L3328" s="115"/>
      <c r="M3328" s="115"/>
      <c r="N3328" s="115"/>
      <c r="O3328" s="115"/>
    </row>
    <row r="3329">
      <c r="E3329" s="115"/>
      <c r="F3329" s="115"/>
      <c r="G3329" s="115"/>
      <c r="H3329" s="115"/>
      <c r="I3329" s="115"/>
      <c r="J3329" s="115"/>
      <c r="K3329" s="115"/>
      <c r="L3329" s="115"/>
      <c r="M3329" s="115"/>
      <c r="N3329" s="115"/>
      <c r="O3329" s="115"/>
    </row>
    <row r="3330">
      <c r="E3330" s="115"/>
      <c r="F3330" s="115"/>
      <c r="G3330" s="115"/>
      <c r="H3330" s="115"/>
      <c r="I3330" s="115"/>
      <c r="J3330" s="115"/>
      <c r="K3330" s="115"/>
      <c r="L3330" s="115"/>
      <c r="M3330" s="115"/>
      <c r="N3330" s="115"/>
      <c r="O3330" s="115"/>
    </row>
    <row r="3331">
      <c r="E3331" s="115"/>
      <c r="F3331" s="115"/>
      <c r="G3331" s="115"/>
      <c r="H3331" s="115"/>
      <c r="I3331" s="115"/>
      <c r="J3331" s="115"/>
      <c r="K3331" s="115"/>
      <c r="L3331" s="115"/>
      <c r="M3331" s="115"/>
      <c r="N3331" s="115"/>
      <c r="O3331" s="115"/>
    </row>
    <row r="3332">
      <c r="E3332" s="115"/>
      <c r="F3332" s="115"/>
      <c r="G3332" s="115"/>
      <c r="H3332" s="115"/>
      <c r="I3332" s="115"/>
      <c r="J3332" s="115"/>
      <c r="K3332" s="115"/>
      <c r="L3332" s="115"/>
      <c r="M3332" s="115"/>
      <c r="N3332" s="115"/>
      <c r="O3332" s="115"/>
    </row>
    <row r="3333">
      <c r="E3333" s="115"/>
      <c r="F3333" s="115"/>
      <c r="G3333" s="115"/>
      <c r="H3333" s="115"/>
      <c r="I3333" s="115"/>
      <c r="J3333" s="115"/>
      <c r="K3333" s="115"/>
      <c r="L3333" s="115"/>
      <c r="M3333" s="115"/>
      <c r="N3333" s="115"/>
      <c r="O3333" s="115"/>
    </row>
    <row r="3334">
      <c r="E3334" s="115"/>
      <c r="F3334" s="115"/>
      <c r="G3334" s="115"/>
      <c r="H3334" s="115"/>
      <c r="I3334" s="115"/>
      <c r="J3334" s="115"/>
      <c r="K3334" s="115"/>
      <c r="L3334" s="115"/>
      <c r="M3334" s="115"/>
      <c r="N3334" s="115"/>
      <c r="O3334" s="115"/>
    </row>
    <row r="3335">
      <c r="E3335" s="115"/>
      <c r="F3335" s="115"/>
      <c r="G3335" s="115"/>
      <c r="H3335" s="115"/>
      <c r="I3335" s="115"/>
      <c r="J3335" s="115"/>
      <c r="K3335" s="115"/>
      <c r="L3335" s="115"/>
      <c r="M3335" s="115"/>
      <c r="N3335" s="115"/>
      <c r="O3335" s="115"/>
    </row>
    <row r="3336">
      <c r="E3336" s="115"/>
      <c r="F3336" s="115"/>
      <c r="G3336" s="115"/>
      <c r="H3336" s="115"/>
      <c r="I3336" s="115"/>
      <c r="J3336" s="115"/>
      <c r="K3336" s="115"/>
      <c r="L3336" s="115"/>
      <c r="M3336" s="115"/>
      <c r="N3336" s="115"/>
      <c r="O3336" s="115"/>
    </row>
    <row r="3337">
      <c r="E3337" s="115"/>
      <c r="F3337" s="115"/>
      <c r="G3337" s="115"/>
      <c r="H3337" s="115"/>
      <c r="I3337" s="115"/>
      <c r="J3337" s="115"/>
      <c r="K3337" s="115"/>
      <c r="L3337" s="115"/>
      <c r="M3337" s="115"/>
      <c r="N3337" s="115"/>
      <c r="O3337" s="115"/>
    </row>
    <row r="3338">
      <c r="E3338" s="115"/>
      <c r="F3338" s="115"/>
      <c r="G3338" s="115"/>
      <c r="H3338" s="115"/>
      <c r="I3338" s="115"/>
      <c r="J3338" s="115"/>
      <c r="K3338" s="115"/>
      <c r="L3338" s="115"/>
      <c r="M3338" s="115"/>
      <c r="N3338" s="115"/>
      <c r="O3338" s="115"/>
    </row>
    <row r="3339">
      <c r="E3339" s="115"/>
      <c r="F3339" s="115"/>
      <c r="G3339" s="115"/>
      <c r="H3339" s="115"/>
      <c r="I3339" s="115"/>
      <c r="J3339" s="115"/>
      <c r="K3339" s="115"/>
      <c r="L3339" s="115"/>
      <c r="M3339" s="115"/>
      <c r="N3339" s="115"/>
      <c r="O3339" s="115"/>
    </row>
    <row r="3340">
      <c r="E3340" s="115"/>
      <c r="F3340" s="115"/>
      <c r="G3340" s="115"/>
      <c r="H3340" s="115"/>
      <c r="I3340" s="115"/>
      <c r="J3340" s="115"/>
      <c r="K3340" s="115"/>
      <c r="L3340" s="115"/>
      <c r="M3340" s="115"/>
      <c r="N3340" s="115"/>
      <c r="O3340" s="115"/>
    </row>
    <row r="3341">
      <c r="E3341" s="115"/>
      <c r="F3341" s="115"/>
      <c r="G3341" s="115"/>
      <c r="H3341" s="115"/>
      <c r="I3341" s="115"/>
      <c r="J3341" s="115"/>
      <c r="K3341" s="115"/>
      <c r="L3341" s="115"/>
      <c r="M3341" s="115"/>
      <c r="N3341" s="115"/>
      <c r="O3341" s="115"/>
    </row>
    <row r="3342">
      <c r="E3342" s="115"/>
      <c r="F3342" s="115"/>
      <c r="G3342" s="115"/>
      <c r="H3342" s="115"/>
      <c r="I3342" s="115"/>
      <c r="J3342" s="115"/>
      <c r="K3342" s="115"/>
      <c r="L3342" s="115"/>
      <c r="M3342" s="115"/>
      <c r="N3342" s="115"/>
      <c r="O3342" s="115"/>
    </row>
    <row r="3343">
      <c r="E3343" s="115"/>
      <c r="F3343" s="115"/>
      <c r="G3343" s="115"/>
      <c r="H3343" s="115"/>
      <c r="I3343" s="115"/>
      <c r="J3343" s="115"/>
      <c r="K3343" s="115"/>
      <c r="L3343" s="115"/>
      <c r="M3343" s="115"/>
      <c r="N3343" s="115"/>
      <c r="O3343" s="115"/>
    </row>
    <row r="3344">
      <c r="E3344" s="115"/>
      <c r="F3344" s="115"/>
      <c r="G3344" s="115"/>
      <c r="H3344" s="115"/>
      <c r="I3344" s="115"/>
      <c r="J3344" s="115"/>
      <c r="K3344" s="115"/>
      <c r="L3344" s="115"/>
      <c r="M3344" s="115"/>
      <c r="N3344" s="115"/>
      <c r="O3344" s="115"/>
    </row>
    <row r="3345">
      <c r="E3345" s="115"/>
      <c r="F3345" s="115"/>
      <c r="G3345" s="115"/>
      <c r="H3345" s="115"/>
      <c r="I3345" s="115"/>
      <c r="J3345" s="115"/>
      <c r="K3345" s="115"/>
      <c r="L3345" s="115"/>
      <c r="M3345" s="115"/>
      <c r="N3345" s="115"/>
      <c r="O3345" s="115"/>
    </row>
    <row r="3346">
      <c r="E3346" s="115"/>
      <c r="F3346" s="115"/>
      <c r="G3346" s="115"/>
      <c r="H3346" s="115"/>
      <c r="I3346" s="115"/>
      <c r="J3346" s="115"/>
      <c r="K3346" s="115"/>
      <c r="L3346" s="115"/>
      <c r="M3346" s="115"/>
      <c r="N3346" s="115"/>
      <c r="O3346" s="115"/>
    </row>
    <row r="3347">
      <c r="E3347" s="115"/>
      <c r="F3347" s="115"/>
      <c r="G3347" s="115"/>
      <c r="H3347" s="115"/>
      <c r="I3347" s="115"/>
      <c r="J3347" s="115"/>
      <c r="K3347" s="115"/>
      <c r="L3347" s="115"/>
      <c r="M3347" s="115"/>
      <c r="N3347" s="115"/>
      <c r="O3347" s="115"/>
    </row>
    <row r="3348">
      <c r="E3348" s="115"/>
      <c r="F3348" s="115"/>
      <c r="G3348" s="115"/>
      <c r="H3348" s="115"/>
      <c r="I3348" s="115"/>
      <c r="J3348" s="115"/>
      <c r="K3348" s="115"/>
      <c r="L3348" s="115"/>
      <c r="M3348" s="115"/>
      <c r="N3348" s="115"/>
      <c r="O3348" s="115"/>
    </row>
    <row r="3349">
      <c r="E3349" s="115"/>
      <c r="F3349" s="115"/>
      <c r="G3349" s="115"/>
      <c r="H3349" s="115"/>
      <c r="I3349" s="115"/>
      <c r="J3349" s="115"/>
      <c r="K3349" s="115"/>
      <c r="L3349" s="115"/>
      <c r="M3349" s="115"/>
      <c r="N3349" s="115"/>
      <c r="O3349" s="115"/>
    </row>
    <row r="3350">
      <c r="E3350" s="115"/>
      <c r="F3350" s="115"/>
      <c r="G3350" s="115"/>
      <c r="H3350" s="115"/>
      <c r="I3350" s="115"/>
      <c r="J3350" s="115"/>
      <c r="K3350" s="115"/>
      <c r="L3350" s="115"/>
      <c r="M3350" s="115"/>
      <c r="N3350" s="115"/>
      <c r="O3350" s="115"/>
    </row>
    <row r="3351">
      <c r="E3351" s="115"/>
      <c r="F3351" s="115"/>
      <c r="G3351" s="115"/>
      <c r="H3351" s="115"/>
      <c r="I3351" s="115"/>
      <c r="J3351" s="115"/>
      <c r="K3351" s="115"/>
      <c r="L3351" s="115"/>
      <c r="M3351" s="115"/>
      <c r="N3351" s="115"/>
      <c r="O3351" s="115"/>
    </row>
    <row r="3352">
      <c r="E3352" s="115"/>
      <c r="F3352" s="115"/>
      <c r="G3352" s="115"/>
      <c r="H3352" s="115"/>
      <c r="I3352" s="115"/>
      <c r="J3352" s="115"/>
      <c r="K3352" s="115"/>
      <c r="L3352" s="115"/>
      <c r="M3352" s="115"/>
      <c r="N3352" s="115"/>
      <c r="O3352" s="115"/>
    </row>
    <row r="3353">
      <c r="E3353" s="115"/>
      <c r="F3353" s="115"/>
      <c r="G3353" s="115"/>
      <c r="H3353" s="115"/>
      <c r="I3353" s="115"/>
      <c r="J3353" s="115"/>
      <c r="K3353" s="115"/>
      <c r="L3353" s="115"/>
      <c r="M3353" s="115"/>
      <c r="N3353" s="115"/>
      <c r="O3353" s="115"/>
    </row>
    <row r="3354">
      <c r="E3354" s="115"/>
      <c r="F3354" s="115"/>
      <c r="G3354" s="115"/>
      <c r="H3354" s="115"/>
      <c r="I3354" s="115"/>
      <c r="J3354" s="115"/>
      <c r="K3354" s="115"/>
      <c r="L3354" s="115"/>
      <c r="M3354" s="115"/>
      <c r="N3354" s="115"/>
      <c r="O3354" s="115"/>
    </row>
    <row r="3355">
      <c r="E3355" s="115"/>
      <c r="F3355" s="115"/>
      <c r="G3355" s="115"/>
      <c r="H3355" s="115"/>
      <c r="I3355" s="115"/>
      <c r="J3355" s="115"/>
      <c r="K3355" s="115"/>
      <c r="L3355" s="115"/>
      <c r="M3355" s="115"/>
      <c r="N3355" s="115"/>
      <c r="O3355" s="115"/>
    </row>
    <row r="3356">
      <c r="E3356" s="115"/>
      <c r="F3356" s="115"/>
      <c r="G3356" s="115"/>
      <c r="H3356" s="115"/>
      <c r="I3356" s="115"/>
      <c r="J3356" s="115"/>
      <c r="K3356" s="115"/>
      <c r="L3356" s="115"/>
      <c r="M3356" s="115"/>
      <c r="N3356" s="115"/>
      <c r="O3356" s="115"/>
    </row>
    <row r="3357">
      <c r="E3357" s="115"/>
      <c r="F3357" s="115"/>
      <c r="G3357" s="115"/>
      <c r="H3357" s="115"/>
      <c r="I3357" s="115"/>
      <c r="J3357" s="115"/>
      <c r="K3357" s="115"/>
      <c r="L3357" s="115"/>
      <c r="M3357" s="115"/>
      <c r="N3357" s="115"/>
      <c r="O3357" s="115"/>
    </row>
    <row r="3358">
      <c r="E3358" s="115"/>
      <c r="F3358" s="115"/>
      <c r="G3358" s="115"/>
      <c r="H3358" s="115"/>
      <c r="I3358" s="115"/>
      <c r="J3358" s="115"/>
      <c r="K3358" s="115"/>
      <c r="L3358" s="115"/>
      <c r="M3358" s="115"/>
      <c r="N3358" s="115"/>
      <c r="O3358" s="115"/>
    </row>
    <row r="3359">
      <c r="E3359" s="115"/>
      <c r="F3359" s="115"/>
      <c r="G3359" s="115"/>
      <c r="H3359" s="115"/>
      <c r="I3359" s="115"/>
      <c r="J3359" s="115"/>
      <c r="K3359" s="115"/>
      <c r="L3359" s="115"/>
      <c r="M3359" s="115"/>
      <c r="N3359" s="115"/>
      <c r="O3359" s="115"/>
    </row>
    <row r="3360">
      <c r="E3360" s="115"/>
      <c r="F3360" s="115"/>
      <c r="G3360" s="115"/>
      <c r="H3360" s="115"/>
      <c r="I3360" s="115"/>
      <c r="J3360" s="115"/>
      <c r="K3360" s="115"/>
      <c r="L3360" s="115"/>
      <c r="M3360" s="115"/>
      <c r="N3360" s="115"/>
      <c r="O3360" s="115"/>
    </row>
    <row r="3361">
      <c r="E3361" s="115"/>
      <c r="F3361" s="115"/>
      <c r="G3361" s="115"/>
      <c r="H3361" s="115"/>
      <c r="I3361" s="115"/>
      <c r="J3361" s="115"/>
      <c r="K3361" s="115"/>
      <c r="L3361" s="115"/>
      <c r="M3361" s="115"/>
      <c r="N3361" s="115"/>
      <c r="O3361" s="115"/>
    </row>
    <row r="3362">
      <c r="E3362" s="115"/>
      <c r="F3362" s="115"/>
      <c r="G3362" s="115"/>
      <c r="H3362" s="115"/>
      <c r="I3362" s="115"/>
      <c r="J3362" s="115"/>
      <c r="K3362" s="115"/>
      <c r="L3362" s="115"/>
      <c r="M3362" s="115"/>
      <c r="N3362" s="115"/>
      <c r="O3362" s="115"/>
    </row>
    <row r="3363">
      <c r="E3363" s="115"/>
      <c r="F3363" s="115"/>
      <c r="G3363" s="115"/>
      <c r="H3363" s="115"/>
      <c r="I3363" s="115"/>
      <c r="J3363" s="115"/>
      <c r="K3363" s="115"/>
      <c r="L3363" s="115"/>
      <c r="M3363" s="115"/>
      <c r="N3363" s="115"/>
      <c r="O3363" s="115"/>
    </row>
    <row r="3364">
      <c r="E3364" s="115"/>
      <c r="F3364" s="115"/>
      <c r="G3364" s="115"/>
      <c r="H3364" s="115"/>
      <c r="I3364" s="115"/>
      <c r="J3364" s="115"/>
      <c r="K3364" s="115"/>
      <c r="L3364" s="115"/>
      <c r="M3364" s="115"/>
      <c r="N3364" s="115"/>
      <c r="O3364" s="115"/>
    </row>
    <row r="3365">
      <c r="E3365" s="115"/>
      <c r="F3365" s="115"/>
      <c r="G3365" s="115"/>
      <c r="H3365" s="115"/>
      <c r="I3365" s="115"/>
      <c r="J3365" s="115"/>
      <c r="K3365" s="115"/>
      <c r="L3365" s="115"/>
      <c r="M3365" s="115"/>
      <c r="N3365" s="115"/>
      <c r="O3365" s="115"/>
    </row>
    <row r="3366">
      <c r="E3366" s="115"/>
      <c r="F3366" s="115"/>
      <c r="G3366" s="115"/>
      <c r="H3366" s="115"/>
      <c r="I3366" s="115"/>
      <c r="J3366" s="115"/>
      <c r="K3366" s="115"/>
      <c r="L3366" s="115"/>
      <c r="M3366" s="115"/>
      <c r="N3366" s="115"/>
      <c r="O3366" s="115"/>
    </row>
    <row r="3367">
      <c r="E3367" s="115"/>
      <c r="F3367" s="115"/>
      <c r="G3367" s="115"/>
      <c r="H3367" s="115"/>
      <c r="I3367" s="115"/>
      <c r="J3367" s="115"/>
      <c r="K3367" s="115"/>
      <c r="L3367" s="115"/>
      <c r="M3367" s="115"/>
      <c r="N3367" s="115"/>
      <c r="O3367" s="115"/>
    </row>
    <row r="3368">
      <c r="E3368" s="115"/>
      <c r="F3368" s="115"/>
      <c r="G3368" s="115"/>
      <c r="H3368" s="115"/>
      <c r="I3368" s="115"/>
      <c r="J3368" s="115"/>
      <c r="K3368" s="115"/>
      <c r="L3368" s="115"/>
      <c r="M3368" s="115"/>
      <c r="N3368" s="115"/>
      <c r="O3368" s="115"/>
    </row>
    <row r="3369">
      <c r="E3369" s="115"/>
      <c r="F3369" s="115"/>
      <c r="G3369" s="115"/>
      <c r="H3369" s="115"/>
      <c r="I3369" s="115"/>
      <c r="J3369" s="115"/>
      <c r="K3369" s="115"/>
      <c r="L3369" s="115"/>
      <c r="M3369" s="115"/>
      <c r="N3369" s="115"/>
      <c r="O3369" s="115"/>
    </row>
    <row r="3370">
      <c r="E3370" s="115"/>
      <c r="F3370" s="115"/>
      <c r="G3370" s="115"/>
      <c r="H3370" s="115"/>
      <c r="I3370" s="115"/>
      <c r="J3370" s="115"/>
      <c r="K3370" s="115"/>
      <c r="L3370" s="115"/>
      <c r="M3370" s="115"/>
      <c r="N3370" s="115"/>
      <c r="O3370" s="115"/>
    </row>
    <row r="3371">
      <c r="E3371" s="115"/>
      <c r="F3371" s="115"/>
      <c r="G3371" s="115"/>
      <c r="H3371" s="115"/>
      <c r="I3371" s="115"/>
      <c r="J3371" s="115"/>
      <c r="K3371" s="115"/>
      <c r="L3371" s="115"/>
      <c r="M3371" s="115"/>
      <c r="N3371" s="115"/>
      <c r="O3371" s="115"/>
    </row>
    <row r="3372">
      <c r="E3372" s="115"/>
      <c r="F3372" s="115"/>
      <c r="G3372" s="115"/>
      <c r="H3372" s="115"/>
      <c r="I3372" s="115"/>
      <c r="J3372" s="115"/>
      <c r="K3372" s="115"/>
      <c r="L3372" s="115"/>
      <c r="M3372" s="115"/>
      <c r="N3372" s="115"/>
      <c r="O3372" s="115"/>
    </row>
    <row r="3373">
      <c r="E3373" s="115"/>
      <c r="F3373" s="115"/>
      <c r="G3373" s="115"/>
      <c r="H3373" s="115"/>
      <c r="I3373" s="115"/>
      <c r="J3373" s="115"/>
      <c r="K3373" s="115"/>
      <c r="L3373" s="115"/>
      <c r="M3373" s="115"/>
      <c r="N3373" s="115"/>
      <c r="O3373" s="115"/>
    </row>
    <row r="3374">
      <c r="E3374" s="115"/>
      <c r="F3374" s="115"/>
      <c r="G3374" s="115"/>
      <c r="H3374" s="115"/>
      <c r="I3374" s="115"/>
      <c r="J3374" s="115"/>
      <c r="K3374" s="115"/>
      <c r="L3374" s="115"/>
      <c r="M3374" s="115"/>
      <c r="N3374" s="115"/>
      <c r="O3374" s="115"/>
    </row>
    <row r="3375">
      <c r="E3375" s="115"/>
      <c r="F3375" s="115"/>
      <c r="G3375" s="115"/>
      <c r="H3375" s="115"/>
      <c r="I3375" s="115"/>
      <c r="J3375" s="115"/>
      <c r="K3375" s="115"/>
      <c r="L3375" s="115"/>
      <c r="M3375" s="115"/>
      <c r="N3375" s="115"/>
      <c r="O3375" s="115"/>
    </row>
    <row r="3376">
      <c r="E3376" s="115"/>
      <c r="F3376" s="115"/>
      <c r="G3376" s="115"/>
      <c r="H3376" s="115"/>
      <c r="I3376" s="115"/>
      <c r="J3376" s="115"/>
      <c r="K3376" s="115"/>
      <c r="L3376" s="115"/>
      <c r="M3376" s="115"/>
      <c r="N3376" s="115"/>
      <c r="O3376" s="115"/>
    </row>
    <row r="3377">
      <c r="E3377" s="115"/>
      <c r="F3377" s="115"/>
      <c r="G3377" s="115"/>
      <c r="H3377" s="115"/>
      <c r="I3377" s="115"/>
      <c r="J3377" s="115"/>
      <c r="K3377" s="115"/>
      <c r="L3377" s="115"/>
      <c r="M3377" s="115"/>
      <c r="N3377" s="115"/>
      <c r="O3377" s="115"/>
    </row>
    <row r="3378">
      <c r="E3378" s="115"/>
      <c r="F3378" s="115"/>
      <c r="G3378" s="115"/>
      <c r="H3378" s="115"/>
      <c r="I3378" s="115"/>
      <c r="J3378" s="115"/>
      <c r="K3378" s="115"/>
      <c r="L3378" s="115"/>
      <c r="M3378" s="115"/>
      <c r="N3378" s="115"/>
      <c r="O3378" s="115"/>
    </row>
    <row r="3379">
      <c r="E3379" s="115"/>
      <c r="F3379" s="115"/>
      <c r="G3379" s="115"/>
      <c r="H3379" s="115"/>
      <c r="I3379" s="115"/>
      <c r="J3379" s="115"/>
      <c r="K3379" s="115"/>
      <c r="L3379" s="115"/>
      <c r="M3379" s="115"/>
      <c r="N3379" s="115"/>
      <c r="O3379" s="115"/>
    </row>
    <row r="3380">
      <c r="E3380" s="115"/>
      <c r="F3380" s="115"/>
      <c r="G3380" s="115"/>
      <c r="H3380" s="115"/>
      <c r="I3380" s="115"/>
      <c r="J3380" s="115"/>
      <c r="K3380" s="115"/>
      <c r="L3380" s="115"/>
      <c r="M3380" s="115"/>
      <c r="N3380" s="115"/>
      <c r="O3380" s="115"/>
    </row>
    <row r="3381">
      <c r="E3381" s="115"/>
      <c r="F3381" s="115"/>
      <c r="G3381" s="115"/>
      <c r="H3381" s="115"/>
      <c r="I3381" s="115"/>
      <c r="J3381" s="115"/>
      <c r="K3381" s="115"/>
      <c r="L3381" s="115"/>
      <c r="M3381" s="115"/>
      <c r="N3381" s="115"/>
      <c r="O3381" s="115"/>
    </row>
    <row r="3382">
      <c r="E3382" s="115"/>
      <c r="F3382" s="115"/>
      <c r="G3382" s="115"/>
      <c r="H3382" s="115"/>
      <c r="I3382" s="115"/>
      <c r="J3382" s="115"/>
      <c r="K3382" s="115"/>
      <c r="L3382" s="115"/>
      <c r="M3382" s="115"/>
      <c r="N3382" s="115"/>
      <c r="O3382" s="115"/>
    </row>
    <row r="3383">
      <c r="E3383" s="115"/>
      <c r="F3383" s="115"/>
      <c r="G3383" s="115"/>
      <c r="H3383" s="115"/>
      <c r="I3383" s="115"/>
      <c r="J3383" s="115"/>
      <c r="K3383" s="115"/>
      <c r="L3383" s="115"/>
      <c r="M3383" s="115"/>
      <c r="N3383" s="115"/>
      <c r="O3383" s="115"/>
    </row>
    <row r="3384">
      <c r="E3384" s="115"/>
      <c r="F3384" s="115"/>
      <c r="G3384" s="115"/>
      <c r="H3384" s="115"/>
      <c r="I3384" s="115"/>
      <c r="J3384" s="115"/>
      <c r="K3384" s="115"/>
      <c r="L3384" s="115"/>
      <c r="M3384" s="115"/>
      <c r="N3384" s="115"/>
      <c r="O3384" s="115"/>
    </row>
    <row r="3385">
      <c r="E3385" s="115"/>
      <c r="F3385" s="115"/>
      <c r="G3385" s="115"/>
      <c r="H3385" s="115"/>
      <c r="I3385" s="115"/>
      <c r="J3385" s="115"/>
      <c r="K3385" s="115"/>
      <c r="L3385" s="115"/>
      <c r="M3385" s="115"/>
      <c r="N3385" s="115"/>
      <c r="O3385" s="115"/>
    </row>
    <row r="3386">
      <c r="E3386" s="115"/>
      <c r="F3386" s="115"/>
      <c r="G3386" s="115"/>
      <c r="H3386" s="115"/>
      <c r="I3386" s="115"/>
      <c r="J3386" s="115"/>
      <c r="K3386" s="115"/>
      <c r="L3386" s="115"/>
      <c r="M3386" s="115"/>
      <c r="N3386" s="115"/>
      <c r="O3386" s="115"/>
    </row>
    <row r="3387">
      <c r="E3387" s="115"/>
      <c r="F3387" s="115"/>
      <c r="G3387" s="115"/>
      <c r="H3387" s="115"/>
      <c r="I3387" s="115"/>
      <c r="J3387" s="115"/>
      <c r="K3387" s="115"/>
      <c r="L3387" s="115"/>
      <c r="M3387" s="115"/>
      <c r="N3387" s="115"/>
      <c r="O3387" s="115"/>
    </row>
    <row r="3388">
      <c r="E3388" s="115"/>
      <c r="F3388" s="115"/>
      <c r="G3388" s="115"/>
      <c r="H3388" s="115"/>
      <c r="I3388" s="115"/>
      <c r="J3388" s="115"/>
      <c r="K3388" s="115"/>
      <c r="L3388" s="115"/>
      <c r="M3388" s="115"/>
      <c r="N3388" s="115"/>
      <c r="O3388" s="115"/>
    </row>
    <row r="3389">
      <c r="E3389" s="115"/>
      <c r="F3389" s="115"/>
      <c r="G3389" s="115"/>
      <c r="H3389" s="115"/>
      <c r="I3389" s="115"/>
      <c r="J3389" s="115"/>
      <c r="K3389" s="115"/>
      <c r="L3389" s="115"/>
      <c r="M3389" s="115"/>
      <c r="N3389" s="115"/>
      <c r="O3389" s="115"/>
    </row>
    <row r="3390">
      <c r="E3390" s="115"/>
      <c r="F3390" s="115"/>
      <c r="G3390" s="115"/>
      <c r="H3390" s="115"/>
      <c r="I3390" s="115"/>
      <c r="J3390" s="115"/>
      <c r="K3390" s="115"/>
      <c r="L3390" s="115"/>
      <c r="M3390" s="115"/>
      <c r="N3390" s="115"/>
      <c r="O3390" s="115"/>
    </row>
    <row r="3391">
      <c r="E3391" s="115"/>
      <c r="F3391" s="115"/>
      <c r="G3391" s="115"/>
      <c r="H3391" s="115"/>
      <c r="I3391" s="115"/>
      <c r="J3391" s="115"/>
      <c r="K3391" s="115"/>
      <c r="L3391" s="115"/>
      <c r="M3391" s="115"/>
      <c r="N3391" s="115"/>
      <c r="O3391" s="115"/>
    </row>
    <row r="3392">
      <c r="E3392" s="115"/>
      <c r="F3392" s="115"/>
      <c r="G3392" s="115"/>
      <c r="H3392" s="115"/>
      <c r="I3392" s="115"/>
      <c r="J3392" s="115"/>
      <c r="K3392" s="115"/>
      <c r="L3392" s="115"/>
      <c r="M3392" s="115"/>
      <c r="N3392" s="115"/>
      <c r="O3392" s="115"/>
    </row>
    <row r="3393">
      <c r="E3393" s="115"/>
      <c r="F3393" s="115"/>
      <c r="G3393" s="115"/>
      <c r="H3393" s="115"/>
      <c r="I3393" s="115"/>
      <c r="J3393" s="115"/>
      <c r="K3393" s="115"/>
      <c r="L3393" s="115"/>
      <c r="M3393" s="115"/>
      <c r="N3393" s="115"/>
      <c r="O3393" s="115"/>
    </row>
    <row r="3394">
      <c r="E3394" s="115"/>
      <c r="F3394" s="115"/>
      <c r="G3394" s="115"/>
      <c r="H3394" s="115"/>
      <c r="I3394" s="115"/>
      <c r="J3394" s="115"/>
      <c r="K3394" s="115"/>
      <c r="L3394" s="115"/>
      <c r="M3394" s="115"/>
      <c r="N3394" s="115"/>
      <c r="O3394" s="115"/>
    </row>
    <row r="3395">
      <c r="E3395" s="115"/>
      <c r="F3395" s="115"/>
      <c r="G3395" s="115"/>
      <c r="H3395" s="115"/>
      <c r="I3395" s="115"/>
      <c r="J3395" s="115"/>
      <c r="K3395" s="115"/>
      <c r="L3395" s="115"/>
      <c r="M3395" s="115"/>
      <c r="N3395" s="115"/>
      <c r="O3395" s="115"/>
    </row>
    <row r="3396">
      <c r="E3396" s="115"/>
      <c r="F3396" s="115"/>
      <c r="G3396" s="115"/>
      <c r="H3396" s="115"/>
      <c r="I3396" s="115"/>
      <c r="J3396" s="115"/>
      <c r="K3396" s="115"/>
      <c r="L3396" s="115"/>
      <c r="M3396" s="115"/>
      <c r="N3396" s="115"/>
      <c r="O3396" s="115"/>
    </row>
    <row r="3397">
      <c r="E3397" s="115"/>
      <c r="F3397" s="115"/>
      <c r="G3397" s="115"/>
      <c r="H3397" s="115"/>
      <c r="I3397" s="115"/>
      <c r="J3397" s="115"/>
      <c r="K3397" s="115"/>
      <c r="L3397" s="115"/>
      <c r="M3397" s="115"/>
      <c r="N3397" s="115"/>
      <c r="O3397" s="115"/>
    </row>
    <row r="3398">
      <c r="E3398" s="115"/>
      <c r="F3398" s="115"/>
      <c r="G3398" s="115"/>
      <c r="H3398" s="115"/>
      <c r="I3398" s="115"/>
      <c r="J3398" s="115"/>
      <c r="K3398" s="115"/>
      <c r="L3398" s="115"/>
      <c r="M3398" s="115"/>
      <c r="N3398" s="115"/>
      <c r="O3398" s="115"/>
    </row>
    <row r="3399">
      <c r="E3399" s="115"/>
      <c r="F3399" s="115"/>
      <c r="G3399" s="115"/>
      <c r="H3399" s="115"/>
      <c r="I3399" s="115"/>
      <c r="J3399" s="115"/>
      <c r="K3399" s="115"/>
      <c r="L3399" s="115"/>
      <c r="M3399" s="115"/>
      <c r="N3399" s="115"/>
      <c r="O3399" s="115"/>
    </row>
    <row r="3400">
      <c r="E3400" s="115"/>
      <c r="F3400" s="115"/>
      <c r="G3400" s="115"/>
      <c r="H3400" s="115"/>
      <c r="I3400" s="115"/>
      <c r="J3400" s="115"/>
      <c r="K3400" s="115"/>
      <c r="L3400" s="115"/>
      <c r="M3400" s="115"/>
      <c r="N3400" s="115"/>
      <c r="O3400" s="115"/>
    </row>
    <row r="3401">
      <c r="E3401" s="115"/>
      <c r="F3401" s="115"/>
      <c r="G3401" s="115"/>
      <c r="H3401" s="115"/>
      <c r="I3401" s="115"/>
      <c r="J3401" s="115"/>
      <c r="K3401" s="115"/>
      <c r="L3401" s="115"/>
      <c r="M3401" s="115"/>
      <c r="N3401" s="115"/>
      <c r="O3401" s="115"/>
    </row>
    <row r="3402">
      <c r="E3402" s="115"/>
      <c r="F3402" s="115"/>
      <c r="G3402" s="115"/>
      <c r="H3402" s="115"/>
      <c r="I3402" s="115"/>
      <c r="J3402" s="115"/>
      <c r="K3402" s="115"/>
      <c r="L3402" s="115"/>
      <c r="M3402" s="115"/>
      <c r="N3402" s="115"/>
      <c r="O3402" s="115"/>
    </row>
    <row r="3403">
      <c r="E3403" s="115"/>
      <c r="F3403" s="115"/>
      <c r="G3403" s="115"/>
      <c r="H3403" s="115"/>
      <c r="I3403" s="115"/>
      <c r="J3403" s="115"/>
      <c r="K3403" s="115"/>
      <c r="L3403" s="115"/>
      <c r="M3403" s="115"/>
      <c r="N3403" s="115"/>
      <c r="O3403" s="115"/>
    </row>
    <row r="3404">
      <c r="E3404" s="115"/>
      <c r="F3404" s="115"/>
      <c r="G3404" s="115"/>
      <c r="H3404" s="115"/>
      <c r="I3404" s="115"/>
      <c r="J3404" s="115"/>
      <c r="K3404" s="115"/>
      <c r="L3404" s="115"/>
      <c r="M3404" s="115"/>
      <c r="N3404" s="115"/>
      <c r="O3404" s="115"/>
    </row>
    <row r="3405">
      <c r="E3405" s="115"/>
      <c r="F3405" s="115"/>
      <c r="G3405" s="115"/>
      <c r="H3405" s="115"/>
      <c r="I3405" s="115"/>
      <c r="J3405" s="115"/>
      <c r="K3405" s="115"/>
      <c r="L3405" s="115"/>
      <c r="M3405" s="115"/>
      <c r="N3405" s="115"/>
      <c r="O3405" s="115"/>
    </row>
    <row r="3406">
      <c r="E3406" s="115"/>
      <c r="F3406" s="115"/>
      <c r="G3406" s="115"/>
      <c r="H3406" s="115"/>
      <c r="I3406" s="115"/>
      <c r="J3406" s="115"/>
      <c r="K3406" s="115"/>
      <c r="L3406" s="115"/>
      <c r="M3406" s="115"/>
      <c r="N3406" s="115"/>
      <c r="O3406" s="115"/>
    </row>
    <row r="3407">
      <c r="E3407" s="115"/>
      <c r="F3407" s="115"/>
      <c r="G3407" s="115"/>
      <c r="H3407" s="115"/>
      <c r="I3407" s="115"/>
      <c r="J3407" s="115"/>
      <c r="K3407" s="115"/>
      <c r="L3407" s="115"/>
      <c r="M3407" s="115"/>
      <c r="N3407" s="115"/>
      <c r="O3407" s="115"/>
    </row>
    <row r="3408">
      <c r="E3408" s="115"/>
      <c r="F3408" s="115"/>
      <c r="G3408" s="115"/>
      <c r="H3408" s="115"/>
      <c r="I3408" s="115"/>
      <c r="J3408" s="115"/>
      <c r="K3408" s="115"/>
      <c r="L3408" s="115"/>
      <c r="M3408" s="115"/>
      <c r="N3408" s="115"/>
      <c r="O3408" s="115"/>
    </row>
    <row r="3409">
      <c r="E3409" s="115"/>
      <c r="F3409" s="115"/>
      <c r="G3409" s="115"/>
      <c r="H3409" s="115"/>
      <c r="I3409" s="115"/>
      <c r="J3409" s="115"/>
      <c r="K3409" s="115"/>
      <c r="L3409" s="115"/>
      <c r="M3409" s="115"/>
      <c r="N3409" s="115"/>
      <c r="O3409" s="115"/>
    </row>
    <row r="3410">
      <c r="E3410" s="115"/>
      <c r="F3410" s="115"/>
      <c r="G3410" s="115"/>
      <c r="H3410" s="115"/>
      <c r="I3410" s="115"/>
      <c r="J3410" s="115"/>
      <c r="K3410" s="115"/>
      <c r="L3410" s="115"/>
      <c r="M3410" s="115"/>
      <c r="N3410" s="115"/>
      <c r="O3410" s="115"/>
    </row>
    <row r="3411">
      <c r="E3411" s="115"/>
      <c r="F3411" s="115"/>
      <c r="G3411" s="115"/>
      <c r="H3411" s="115"/>
      <c r="I3411" s="115"/>
      <c r="J3411" s="115"/>
      <c r="K3411" s="115"/>
      <c r="L3411" s="115"/>
      <c r="M3411" s="115"/>
      <c r="N3411" s="115"/>
      <c r="O3411" s="115"/>
    </row>
    <row r="3412">
      <c r="E3412" s="115"/>
      <c r="F3412" s="115"/>
      <c r="G3412" s="115"/>
      <c r="H3412" s="115"/>
      <c r="I3412" s="115"/>
      <c r="J3412" s="115"/>
      <c r="K3412" s="115"/>
      <c r="L3412" s="115"/>
      <c r="M3412" s="115"/>
      <c r="N3412" s="115"/>
      <c r="O3412" s="115"/>
    </row>
    <row r="3413">
      <c r="E3413" s="115"/>
      <c r="F3413" s="115"/>
      <c r="G3413" s="115"/>
      <c r="H3413" s="115"/>
      <c r="I3413" s="115"/>
      <c r="J3413" s="115"/>
      <c r="K3413" s="115"/>
      <c r="L3413" s="115"/>
      <c r="M3413" s="115"/>
      <c r="N3413" s="115"/>
      <c r="O3413" s="115"/>
    </row>
    <row r="3414">
      <c r="E3414" s="115"/>
      <c r="F3414" s="115"/>
      <c r="G3414" s="115"/>
      <c r="H3414" s="115"/>
      <c r="I3414" s="115"/>
      <c r="J3414" s="115"/>
      <c r="K3414" s="115"/>
      <c r="L3414" s="115"/>
      <c r="M3414" s="115"/>
      <c r="N3414" s="115"/>
      <c r="O3414" s="115"/>
    </row>
    <row r="3415">
      <c r="E3415" s="115"/>
      <c r="F3415" s="115"/>
      <c r="G3415" s="115"/>
      <c r="H3415" s="115"/>
      <c r="I3415" s="115"/>
      <c r="J3415" s="115"/>
      <c r="K3415" s="115"/>
      <c r="L3415" s="115"/>
      <c r="M3415" s="115"/>
      <c r="N3415" s="115"/>
      <c r="O3415" s="115"/>
    </row>
    <row r="3416">
      <c r="E3416" s="115"/>
      <c r="F3416" s="115"/>
      <c r="G3416" s="115"/>
      <c r="H3416" s="115"/>
      <c r="I3416" s="115"/>
      <c r="J3416" s="115"/>
      <c r="K3416" s="115"/>
      <c r="L3416" s="115"/>
      <c r="M3416" s="115"/>
      <c r="N3416" s="115"/>
      <c r="O3416" s="115"/>
    </row>
    <row r="3417">
      <c r="E3417" s="115"/>
      <c r="F3417" s="115"/>
      <c r="G3417" s="115"/>
      <c r="H3417" s="115"/>
      <c r="I3417" s="115"/>
      <c r="J3417" s="115"/>
      <c r="K3417" s="115"/>
      <c r="L3417" s="115"/>
      <c r="M3417" s="115"/>
      <c r="N3417" s="115"/>
      <c r="O3417" s="115"/>
    </row>
    <row r="3418">
      <c r="E3418" s="115"/>
      <c r="F3418" s="115"/>
      <c r="G3418" s="115"/>
      <c r="H3418" s="115"/>
      <c r="I3418" s="115"/>
      <c r="J3418" s="115"/>
      <c r="K3418" s="115"/>
      <c r="L3418" s="115"/>
      <c r="M3418" s="115"/>
      <c r="N3418" s="115"/>
      <c r="O3418" s="115"/>
    </row>
    <row r="3419">
      <c r="E3419" s="115"/>
      <c r="F3419" s="115"/>
      <c r="G3419" s="115"/>
      <c r="H3419" s="115"/>
      <c r="I3419" s="115"/>
      <c r="J3419" s="115"/>
      <c r="K3419" s="115"/>
      <c r="L3419" s="115"/>
      <c r="M3419" s="115"/>
      <c r="N3419" s="115"/>
      <c r="O3419" s="115"/>
    </row>
    <row r="3420">
      <c r="E3420" s="115"/>
      <c r="F3420" s="115"/>
      <c r="G3420" s="115"/>
      <c r="H3420" s="115"/>
      <c r="I3420" s="115"/>
      <c r="J3420" s="115"/>
      <c r="K3420" s="115"/>
      <c r="L3420" s="115"/>
      <c r="M3420" s="115"/>
      <c r="N3420" s="115"/>
      <c r="O3420" s="115"/>
    </row>
    <row r="3421">
      <c r="E3421" s="115"/>
      <c r="F3421" s="115"/>
      <c r="G3421" s="115"/>
      <c r="H3421" s="115"/>
      <c r="I3421" s="115"/>
      <c r="J3421" s="115"/>
      <c r="K3421" s="115"/>
      <c r="L3421" s="115"/>
      <c r="M3421" s="115"/>
      <c r="N3421" s="115"/>
      <c r="O3421" s="115"/>
    </row>
    <row r="3422">
      <c r="E3422" s="115"/>
      <c r="F3422" s="115"/>
      <c r="G3422" s="115"/>
      <c r="H3422" s="115"/>
      <c r="I3422" s="115"/>
      <c r="J3422" s="115"/>
      <c r="K3422" s="115"/>
      <c r="L3422" s="115"/>
      <c r="M3422" s="115"/>
      <c r="N3422" s="115"/>
      <c r="O3422" s="115"/>
    </row>
    <row r="3423">
      <c r="E3423" s="115"/>
      <c r="F3423" s="115"/>
      <c r="G3423" s="115"/>
      <c r="H3423" s="115"/>
      <c r="I3423" s="115"/>
      <c r="J3423" s="115"/>
      <c r="K3423" s="115"/>
      <c r="L3423" s="115"/>
      <c r="M3423" s="115"/>
      <c r="N3423" s="115"/>
      <c r="O3423" s="115"/>
    </row>
    <row r="3424">
      <c r="E3424" s="115"/>
      <c r="F3424" s="115"/>
      <c r="G3424" s="115"/>
      <c r="H3424" s="115"/>
      <c r="I3424" s="115"/>
      <c r="J3424" s="115"/>
      <c r="K3424" s="115"/>
      <c r="L3424" s="115"/>
      <c r="M3424" s="115"/>
      <c r="N3424" s="115"/>
      <c r="O3424" s="115"/>
    </row>
    <row r="3425">
      <c r="E3425" s="115"/>
      <c r="F3425" s="115"/>
      <c r="G3425" s="115"/>
      <c r="H3425" s="115"/>
      <c r="I3425" s="115"/>
      <c r="J3425" s="115"/>
      <c r="K3425" s="115"/>
      <c r="L3425" s="115"/>
      <c r="M3425" s="115"/>
      <c r="N3425" s="115"/>
      <c r="O3425" s="115"/>
    </row>
    <row r="3426">
      <c r="E3426" s="115"/>
      <c r="F3426" s="115"/>
      <c r="G3426" s="115"/>
      <c r="H3426" s="115"/>
      <c r="I3426" s="115"/>
      <c r="J3426" s="115"/>
      <c r="K3426" s="115"/>
      <c r="L3426" s="115"/>
      <c r="M3426" s="115"/>
      <c r="N3426" s="115"/>
      <c r="O3426" s="115"/>
    </row>
    <row r="3427">
      <c r="E3427" s="115"/>
      <c r="F3427" s="115"/>
      <c r="G3427" s="115"/>
      <c r="H3427" s="115"/>
      <c r="I3427" s="115"/>
      <c r="J3427" s="115"/>
      <c r="K3427" s="115"/>
      <c r="L3427" s="115"/>
      <c r="M3427" s="115"/>
      <c r="N3427" s="115"/>
      <c r="O3427" s="115"/>
    </row>
    <row r="3428">
      <c r="E3428" s="115"/>
      <c r="F3428" s="115"/>
      <c r="G3428" s="115"/>
      <c r="H3428" s="115"/>
      <c r="I3428" s="115"/>
      <c r="J3428" s="115"/>
      <c r="K3428" s="115"/>
      <c r="L3428" s="115"/>
      <c r="M3428" s="115"/>
      <c r="N3428" s="115"/>
      <c r="O3428" s="115"/>
    </row>
    <row r="3429">
      <c r="E3429" s="115"/>
      <c r="F3429" s="115"/>
      <c r="G3429" s="115"/>
      <c r="H3429" s="115"/>
      <c r="I3429" s="115"/>
      <c r="J3429" s="115"/>
      <c r="K3429" s="115"/>
      <c r="L3429" s="115"/>
      <c r="M3429" s="115"/>
      <c r="N3429" s="115"/>
      <c r="O3429" s="115"/>
    </row>
    <row r="3430">
      <c r="E3430" s="115"/>
      <c r="F3430" s="115"/>
      <c r="G3430" s="115"/>
      <c r="H3430" s="115"/>
      <c r="I3430" s="115"/>
      <c r="J3430" s="115"/>
      <c r="K3430" s="115"/>
      <c r="L3430" s="115"/>
      <c r="M3430" s="115"/>
      <c r="N3430" s="115"/>
      <c r="O3430" s="115"/>
    </row>
    <row r="3431">
      <c r="E3431" s="115"/>
      <c r="F3431" s="115"/>
      <c r="G3431" s="115"/>
      <c r="H3431" s="115"/>
      <c r="I3431" s="115"/>
      <c r="J3431" s="115"/>
      <c r="K3431" s="115"/>
      <c r="L3431" s="115"/>
      <c r="M3431" s="115"/>
      <c r="N3431" s="115"/>
      <c r="O3431" s="115"/>
    </row>
    <row r="3432">
      <c r="E3432" s="115"/>
      <c r="F3432" s="115"/>
      <c r="G3432" s="115"/>
      <c r="H3432" s="115"/>
      <c r="I3432" s="115"/>
      <c r="J3432" s="115"/>
      <c r="K3432" s="115"/>
      <c r="L3432" s="115"/>
      <c r="M3432" s="115"/>
      <c r="N3432" s="115"/>
      <c r="O3432" s="115"/>
    </row>
    <row r="3433">
      <c r="E3433" s="115"/>
      <c r="F3433" s="115"/>
      <c r="G3433" s="115"/>
      <c r="H3433" s="115"/>
      <c r="I3433" s="115"/>
      <c r="J3433" s="115"/>
      <c r="K3433" s="115"/>
      <c r="L3433" s="115"/>
      <c r="M3433" s="115"/>
      <c r="N3433" s="115"/>
      <c r="O3433" s="115"/>
    </row>
    <row r="3434">
      <c r="E3434" s="115"/>
      <c r="F3434" s="115"/>
      <c r="G3434" s="115"/>
      <c r="H3434" s="115"/>
      <c r="I3434" s="115"/>
      <c r="J3434" s="115"/>
      <c r="K3434" s="115"/>
      <c r="L3434" s="115"/>
      <c r="M3434" s="115"/>
      <c r="N3434" s="115"/>
      <c r="O3434" s="115"/>
    </row>
    <row r="3435">
      <c r="E3435" s="115"/>
      <c r="F3435" s="115"/>
      <c r="G3435" s="115"/>
      <c r="H3435" s="115"/>
      <c r="I3435" s="115"/>
      <c r="J3435" s="115"/>
      <c r="K3435" s="115"/>
      <c r="L3435" s="115"/>
      <c r="M3435" s="115"/>
      <c r="N3435" s="115"/>
      <c r="O3435" s="115"/>
    </row>
    <row r="3436">
      <c r="E3436" s="115"/>
      <c r="F3436" s="115"/>
      <c r="G3436" s="115"/>
      <c r="H3436" s="115"/>
      <c r="I3436" s="115"/>
      <c r="J3436" s="115"/>
      <c r="K3436" s="115"/>
      <c r="L3436" s="115"/>
      <c r="M3436" s="115"/>
      <c r="N3436" s="115"/>
      <c r="O3436" s="115"/>
    </row>
    <row r="3437">
      <c r="E3437" s="115"/>
      <c r="F3437" s="115"/>
      <c r="G3437" s="115"/>
      <c r="H3437" s="115"/>
      <c r="I3437" s="115"/>
      <c r="J3437" s="115"/>
      <c r="K3437" s="115"/>
      <c r="L3437" s="115"/>
      <c r="M3437" s="115"/>
      <c r="N3437" s="115"/>
      <c r="O3437" s="115"/>
    </row>
    <row r="3438">
      <c r="E3438" s="115"/>
      <c r="F3438" s="115"/>
      <c r="G3438" s="115"/>
      <c r="H3438" s="115"/>
      <c r="I3438" s="115"/>
      <c r="J3438" s="115"/>
      <c r="K3438" s="115"/>
      <c r="L3438" s="115"/>
      <c r="M3438" s="115"/>
      <c r="N3438" s="115"/>
      <c r="O3438" s="115"/>
    </row>
    <row r="3439">
      <c r="E3439" s="115"/>
      <c r="F3439" s="115"/>
      <c r="G3439" s="115"/>
      <c r="H3439" s="115"/>
      <c r="I3439" s="115"/>
      <c r="J3439" s="115"/>
      <c r="K3439" s="115"/>
      <c r="L3439" s="115"/>
      <c r="M3439" s="115"/>
      <c r="N3439" s="115"/>
      <c r="O3439" s="115"/>
    </row>
    <row r="3440">
      <c r="E3440" s="115"/>
      <c r="F3440" s="115"/>
      <c r="G3440" s="115"/>
      <c r="H3440" s="115"/>
      <c r="I3440" s="115"/>
      <c r="J3440" s="115"/>
      <c r="K3440" s="115"/>
      <c r="L3440" s="115"/>
      <c r="M3440" s="115"/>
      <c r="N3440" s="115"/>
      <c r="O3440" s="115"/>
    </row>
    <row r="3441">
      <c r="E3441" s="115"/>
      <c r="F3441" s="115"/>
      <c r="G3441" s="115"/>
      <c r="H3441" s="115"/>
      <c r="I3441" s="115"/>
      <c r="J3441" s="115"/>
      <c r="K3441" s="115"/>
      <c r="L3441" s="115"/>
      <c r="M3441" s="115"/>
      <c r="N3441" s="115"/>
      <c r="O3441" s="115"/>
    </row>
    <row r="3442">
      <c r="E3442" s="115"/>
      <c r="F3442" s="115"/>
      <c r="G3442" s="115"/>
      <c r="H3442" s="115"/>
      <c r="I3442" s="115"/>
      <c r="J3442" s="115"/>
      <c r="K3442" s="115"/>
      <c r="L3442" s="115"/>
      <c r="M3442" s="115"/>
      <c r="N3442" s="115"/>
      <c r="O3442" s="115"/>
    </row>
    <row r="3443">
      <c r="E3443" s="115"/>
      <c r="F3443" s="115"/>
      <c r="G3443" s="115"/>
      <c r="H3443" s="115"/>
      <c r="I3443" s="115"/>
      <c r="J3443" s="115"/>
      <c r="K3443" s="115"/>
      <c r="L3443" s="115"/>
      <c r="M3443" s="115"/>
      <c r="N3443" s="115"/>
      <c r="O3443" s="115"/>
    </row>
    <row r="3444">
      <c r="E3444" s="115"/>
      <c r="F3444" s="115"/>
      <c r="G3444" s="115"/>
      <c r="H3444" s="115"/>
      <c r="I3444" s="115"/>
      <c r="J3444" s="115"/>
      <c r="K3444" s="115"/>
      <c r="L3444" s="115"/>
      <c r="M3444" s="115"/>
      <c r="N3444" s="115"/>
      <c r="O3444" s="115"/>
    </row>
    <row r="3445">
      <c r="E3445" s="115"/>
      <c r="F3445" s="115"/>
      <c r="G3445" s="115"/>
      <c r="H3445" s="115"/>
      <c r="I3445" s="115"/>
      <c r="J3445" s="115"/>
      <c r="K3445" s="115"/>
      <c r="L3445" s="115"/>
      <c r="M3445" s="115"/>
      <c r="N3445" s="115"/>
      <c r="O3445" s="115"/>
    </row>
    <row r="3446">
      <c r="E3446" s="115"/>
      <c r="F3446" s="115"/>
      <c r="G3446" s="115"/>
      <c r="H3446" s="115"/>
      <c r="I3446" s="115"/>
      <c r="J3446" s="115"/>
      <c r="K3446" s="115"/>
      <c r="L3446" s="115"/>
      <c r="M3446" s="115"/>
      <c r="N3446" s="115"/>
      <c r="O3446" s="115"/>
    </row>
    <row r="3447">
      <c r="E3447" s="115"/>
      <c r="F3447" s="115"/>
      <c r="G3447" s="115"/>
      <c r="H3447" s="115"/>
      <c r="I3447" s="115"/>
      <c r="J3447" s="115"/>
      <c r="K3447" s="115"/>
      <c r="L3447" s="115"/>
      <c r="M3447" s="115"/>
      <c r="N3447" s="115"/>
      <c r="O3447" s="115"/>
    </row>
    <row r="3448">
      <c r="E3448" s="115"/>
      <c r="F3448" s="115"/>
      <c r="G3448" s="115"/>
      <c r="H3448" s="115"/>
      <c r="I3448" s="115"/>
      <c r="J3448" s="115"/>
      <c r="K3448" s="115"/>
      <c r="L3448" s="115"/>
      <c r="M3448" s="115"/>
      <c r="N3448" s="115"/>
      <c r="O3448" s="115"/>
    </row>
    <row r="3449">
      <c r="E3449" s="115"/>
      <c r="F3449" s="115"/>
      <c r="G3449" s="115"/>
      <c r="H3449" s="115"/>
      <c r="I3449" s="115"/>
      <c r="J3449" s="115"/>
      <c r="K3449" s="115"/>
      <c r="L3449" s="115"/>
      <c r="M3449" s="115"/>
      <c r="N3449" s="115"/>
      <c r="O3449" s="115"/>
    </row>
    <row r="3450">
      <c r="E3450" s="115"/>
      <c r="F3450" s="115"/>
      <c r="G3450" s="115"/>
      <c r="H3450" s="115"/>
      <c r="I3450" s="115"/>
      <c r="J3450" s="115"/>
      <c r="K3450" s="115"/>
      <c r="L3450" s="115"/>
      <c r="M3450" s="115"/>
      <c r="N3450" s="115"/>
      <c r="O3450" s="115"/>
    </row>
    <row r="3451">
      <c r="E3451" s="115"/>
      <c r="F3451" s="115"/>
      <c r="G3451" s="115"/>
      <c r="H3451" s="115"/>
      <c r="I3451" s="115"/>
      <c r="J3451" s="115"/>
      <c r="K3451" s="115"/>
      <c r="L3451" s="115"/>
      <c r="M3451" s="115"/>
      <c r="N3451" s="115"/>
      <c r="O3451" s="115"/>
    </row>
    <row r="3452">
      <c r="E3452" s="115"/>
      <c r="F3452" s="115"/>
      <c r="G3452" s="115"/>
      <c r="H3452" s="115"/>
      <c r="I3452" s="115"/>
      <c r="J3452" s="115"/>
      <c r="K3452" s="115"/>
      <c r="L3452" s="115"/>
      <c r="M3452" s="115"/>
      <c r="N3452" s="115"/>
      <c r="O3452" s="115"/>
    </row>
    <row r="3453">
      <c r="E3453" s="115"/>
      <c r="F3453" s="115"/>
      <c r="G3453" s="115"/>
      <c r="H3453" s="115"/>
      <c r="I3453" s="115"/>
      <c r="J3453" s="115"/>
      <c r="K3453" s="115"/>
      <c r="L3453" s="115"/>
      <c r="M3453" s="115"/>
      <c r="N3453" s="115"/>
      <c r="O3453" s="115"/>
    </row>
    <row r="3454">
      <c r="E3454" s="115"/>
      <c r="F3454" s="115"/>
      <c r="G3454" s="115"/>
      <c r="H3454" s="115"/>
      <c r="I3454" s="115"/>
      <c r="J3454" s="115"/>
      <c r="K3454" s="115"/>
      <c r="L3454" s="115"/>
      <c r="M3454" s="115"/>
      <c r="N3454" s="115"/>
      <c r="O3454" s="115"/>
    </row>
    <row r="3455">
      <c r="E3455" s="115"/>
      <c r="F3455" s="115"/>
      <c r="G3455" s="115"/>
      <c r="H3455" s="115"/>
      <c r="I3455" s="115"/>
      <c r="J3455" s="115"/>
      <c r="K3455" s="115"/>
      <c r="L3455" s="115"/>
      <c r="M3455" s="115"/>
      <c r="N3455" s="115"/>
      <c r="O3455" s="115"/>
    </row>
    <row r="3456">
      <c r="E3456" s="115"/>
      <c r="F3456" s="115"/>
      <c r="G3456" s="115"/>
      <c r="H3456" s="115"/>
      <c r="I3456" s="115"/>
      <c r="J3456" s="115"/>
      <c r="K3456" s="115"/>
      <c r="L3456" s="115"/>
      <c r="M3456" s="115"/>
      <c r="N3456" s="115"/>
      <c r="O3456" s="115"/>
    </row>
    <row r="3457">
      <c r="E3457" s="115"/>
      <c r="F3457" s="115"/>
      <c r="G3457" s="115"/>
      <c r="H3457" s="115"/>
      <c r="I3457" s="115"/>
      <c r="J3457" s="115"/>
      <c r="K3457" s="115"/>
      <c r="L3457" s="115"/>
      <c r="M3457" s="115"/>
      <c r="N3457" s="115"/>
      <c r="O3457" s="115"/>
    </row>
    <row r="3458">
      <c r="E3458" s="115"/>
      <c r="F3458" s="115"/>
      <c r="G3458" s="115"/>
      <c r="H3458" s="115"/>
      <c r="I3458" s="115"/>
      <c r="J3458" s="115"/>
      <c r="K3458" s="115"/>
      <c r="L3458" s="115"/>
      <c r="M3458" s="115"/>
      <c r="N3458" s="115"/>
      <c r="O3458" s="115"/>
    </row>
    <row r="3459">
      <c r="E3459" s="115"/>
      <c r="F3459" s="115"/>
      <c r="G3459" s="115"/>
      <c r="H3459" s="115"/>
      <c r="I3459" s="115"/>
      <c r="J3459" s="115"/>
      <c r="K3459" s="115"/>
      <c r="L3459" s="115"/>
      <c r="M3459" s="115"/>
      <c r="N3459" s="115"/>
      <c r="O3459" s="115"/>
    </row>
    <row r="3460">
      <c r="E3460" s="115"/>
      <c r="F3460" s="115"/>
      <c r="G3460" s="115"/>
      <c r="H3460" s="115"/>
      <c r="I3460" s="115"/>
      <c r="J3460" s="115"/>
      <c r="K3460" s="115"/>
      <c r="L3460" s="115"/>
      <c r="M3460" s="115"/>
      <c r="N3460" s="115"/>
      <c r="O3460" s="115"/>
    </row>
    <row r="3461">
      <c r="E3461" s="115"/>
      <c r="F3461" s="115"/>
      <c r="G3461" s="115"/>
      <c r="H3461" s="115"/>
      <c r="I3461" s="115"/>
      <c r="J3461" s="115"/>
      <c r="K3461" s="115"/>
      <c r="L3461" s="115"/>
      <c r="M3461" s="115"/>
      <c r="N3461" s="115"/>
      <c r="O3461" s="115"/>
    </row>
    <row r="3462">
      <c r="E3462" s="115"/>
      <c r="F3462" s="115"/>
      <c r="G3462" s="115"/>
      <c r="H3462" s="115"/>
      <c r="I3462" s="115"/>
      <c r="J3462" s="115"/>
      <c r="K3462" s="115"/>
      <c r="L3462" s="115"/>
      <c r="M3462" s="115"/>
      <c r="N3462" s="115"/>
      <c r="O3462" s="115"/>
    </row>
    <row r="3463">
      <c r="E3463" s="115"/>
      <c r="F3463" s="115"/>
      <c r="G3463" s="115"/>
      <c r="H3463" s="115"/>
      <c r="I3463" s="115"/>
      <c r="J3463" s="115"/>
      <c r="K3463" s="115"/>
      <c r="L3463" s="115"/>
      <c r="M3463" s="115"/>
      <c r="N3463" s="115"/>
      <c r="O3463" s="115"/>
    </row>
    <row r="3464">
      <c r="E3464" s="115"/>
      <c r="F3464" s="115"/>
      <c r="G3464" s="115"/>
      <c r="H3464" s="115"/>
      <c r="I3464" s="115"/>
      <c r="J3464" s="115"/>
      <c r="K3464" s="115"/>
      <c r="L3464" s="115"/>
      <c r="M3464" s="115"/>
      <c r="N3464" s="115"/>
      <c r="O3464" s="115"/>
    </row>
    <row r="3465">
      <c r="E3465" s="115"/>
      <c r="F3465" s="115"/>
      <c r="G3465" s="115"/>
      <c r="H3465" s="115"/>
      <c r="I3465" s="115"/>
      <c r="J3465" s="115"/>
      <c r="K3465" s="115"/>
      <c r="L3465" s="115"/>
      <c r="M3465" s="115"/>
      <c r="N3465" s="115"/>
      <c r="O3465" s="115"/>
    </row>
    <row r="3466">
      <c r="E3466" s="115"/>
      <c r="F3466" s="115"/>
      <c r="G3466" s="115"/>
      <c r="H3466" s="115"/>
      <c r="I3466" s="115"/>
      <c r="J3466" s="115"/>
      <c r="K3466" s="115"/>
      <c r="L3466" s="115"/>
      <c r="M3466" s="115"/>
      <c r="N3466" s="115"/>
      <c r="O3466" s="115"/>
    </row>
    <row r="3467">
      <c r="E3467" s="115"/>
      <c r="F3467" s="115"/>
      <c r="G3467" s="115"/>
      <c r="H3467" s="115"/>
      <c r="I3467" s="115"/>
      <c r="J3467" s="115"/>
      <c r="K3467" s="115"/>
      <c r="L3467" s="115"/>
      <c r="M3467" s="115"/>
      <c r="N3467" s="115"/>
      <c r="O3467" s="115"/>
    </row>
    <row r="3468">
      <c r="E3468" s="115"/>
      <c r="F3468" s="115"/>
      <c r="G3468" s="115"/>
      <c r="H3468" s="115"/>
      <c r="I3468" s="115"/>
      <c r="J3468" s="115"/>
      <c r="K3468" s="115"/>
      <c r="L3468" s="115"/>
      <c r="M3468" s="115"/>
      <c r="N3468" s="115"/>
      <c r="O3468" s="115"/>
    </row>
    <row r="3469">
      <c r="E3469" s="115"/>
      <c r="F3469" s="115"/>
      <c r="G3469" s="115"/>
      <c r="H3469" s="115"/>
      <c r="I3469" s="115"/>
      <c r="J3469" s="115"/>
      <c r="K3469" s="115"/>
      <c r="L3469" s="115"/>
      <c r="M3469" s="115"/>
      <c r="N3469" s="115"/>
      <c r="O3469" s="115"/>
    </row>
    <row r="3470">
      <c r="E3470" s="115"/>
      <c r="F3470" s="115"/>
      <c r="G3470" s="115"/>
      <c r="H3470" s="115"/>
      <c r="I3470" s="115"/>
      <c r="J3470" s="115"/>
      <c r="K3470" s="115"/>
      <c r="L3470" s="115"/>
      <c r="M3470" s="115"/>
      <c r="N3470" s="115"/>
      <c r="O3470" s="115"/>
    </row>
    <row r="3471">
      <c r="E3471" s="115"/>
      <c r="F3471" s="115"/>
      <c r="G3471" s="115"/>
      <c r="H3471" s="115"/>
      <c r="I3471" s="115"/>
      <c r="J3471" s="115"/>
      <c r="K3471" s="115"/>
      <c r="L3471" s="115"/>
      <c r="M3471" s="115"/>
      <c r="N3471" s="115"/>
      <c r="O3471" s="115"/>
    </row>
    <row r="3472">
      <c r="E3472" s="115"/>
      <c r="F3472" s="115"/>
      <c r="G3472" s="115"/>
      <c r="H3472" s="115"/>
      <c r="I3472" s="115"/>
      <c r="J3472" s="115"/>
      <c r="K3472" s="115"/>
      <c r="L3472" s="115"/>
      <c r="M3472" s="115"/>
      <c r="N3472" s="115"/>
      <c r="O3472" s="115"/>
    </row>
    <row r="3473">
      <c r="E3473" s="115"/>
      <c r="F3473" s="115"/>
      <c r="G3473" s="115"/>
      <c r="H3473" s="115"/>
      <c r="I3473" s="115"/>
      <c r="J3473" s="115"/>
      <c r="K3473" s="115"/>
      <c r="L3473" s="115"/>
      <c r="M3473" s="115"/>
      <c r="N3473" s="115"/>
      <c r="O3473" s="115"/>
    </row>
    <row r="3474">
      <c r="E3474" s="115"/>
      <c r="F3474" s="115"/>
      <c r="G3474" s="115"/>
      <c r="H3474" s="115"/>
      <c r="I3474" s="115"/>
      <c r="J3474" s="115"/>
      <c r="K3474" s="115"/>
      <c r="L3474" s="115"/>
      <c r="M3474" s="115"/>
      <c r="N3474" s="115"/>
      <c r="O3474" s="115"/>
    </row>
    <row r="3475">
      <c r="E3475" s="115"/>
      <c r="F3475" s="115"/>
      <c r="G3475" s="115"/>
      <c r="H3475" s="115"/>
      <c r="I3475" s="115"/>
      <c r="J3475" s="115"/>
      <c r="K3475" s="115"/>
      <c r="L3475" s="115"/>
      <c r="M3475" s="115"/>
      <c r="N3475" s="115"/>
      <c r="O3475" s="115"/>
    </row>
    <row r="3476">
      <c r="E3476" s="115"/>
      <c r="F3476" s="115"/>
      <c r="G3476" s="115"/>
      <c r="H3476" s="115"/>
      <c r="I3476" s="115"/>
      <c r="J3476" s="115"/>
      <c r="K3476" s="115"/>
      <c r="L3476" s="115"/>
      <c r="M3476" s="115"/>
      <c r="N3476" s="115"/>
      <c r="O3476" s="115"/>
    </row>
    <row r="3477">
      <c r="E3477" s="115"/>
      <c r="F3477" s="115"/>
      <c r="G3477" s="115"/>
      <c r="H3477" s="115"/>
      <c r="I3477" s="115"/>
      <c r="J3477" s="115"/>
      <c r="K3477" s="115"/>
      <c r="L3477" s="115"/>
      <c r="M3477" s="115"/>
      <c r="N3477" s="115"/>
      <c r="O3477" s="115"/>
    </row>
    <row r="3478">
      <c r="E3478" s="115"/>
      <c r="F3478" s="115"/>
      <c r="G3478" s="115"/>
      <c r="H3478" s="115"/>
      <c r="I3478" s="115"/>
      <c r="J3478" s="115"/>
      <c r="K3478" s="115"/>
      <c r="L3478" s="115"/>
      <c r="M3478" s="115"/>
      <c r="N3478" s="115"/>
      <c r="O3478" s="115"/>
    </row>
    <row r="3479">
      <c r="E3479" s="115"/>
      <c r="F3479" s="115"/>
      <c r="G3479" s="115"/>
      <c r="H3479" s="115"/>
      <c r="I3479" s="115"/>
      <c r="J3479" s="115"/>
      <c r="K3479" s="115"/>
      <c r="L3479" s="115"/>
      <c r="M3479" s="115"/>
      <c r="N3479" s="115"/>
      <c r="O3479" s="115"/>
    </row>
    <row r="3480">
      <c r="E3480" s="115"/>
      <c r="F3480" s="115"/>
      <c r="G3480" s="115"/>
      <c r="H3480" s="115"/>
      <c r="I3480" s="115"/>
      <c r="J3480" s="115"/>
      <c r="K3480" s="115"/>
      <c r="L3480" s="115"/>
      <c r="M3480" s="115"/>
      <c r="N3480" s="115"/>
      <c r="O3480" s="115"/>
    </row>
    <row r="3481">
      <c r="E3481" s="115"/>
      <c r="F3481" s="115"/>
      <c r="G3481" s="115"/>
      <c r="H3481" s="115"/>
      <c r="I3481" s="115"/>
      <c r="J3481" s="115"/>
      <c r="K3481" s="115"/>
      <c r="L3481" s="115"/>
      <c r="M3481" s="115"/>
      <c r="N3481" s="115"/>
      <c r="O3481" s="115"/>
    </row>
    <row r="3482">
      <c r="E3482" s="115"/>
      <c r="F3482" s="115"/>
      <c r="G3482" s="115"/>
      <c r="H3482" s="115"/>
      <c r="I3482" s="115"/>
      <c r="J3482" s="115"/>
      <c r="K3482" s="115"/>
      <c r="L3482" s="115"/>
      <c r="M3482" s="115"/>
      <c r="N3482" s="115"/>
      <c r="O3482" s="115"/>
    </row>
    <row r="3483">
      <c r="E3483" s="115"/>
      <c r="F3483" s="115"/>
      <c r="G3483" s="115"/>
      <c r="H3483" s="115"/>
      <c r="I3483" s="115"/>
      <c r="J3483" s="115"/>
      <c r="K3483" s="115"/>
      <c r="L3483" s="115"/>
      <c r="M3483" s="115"/>
      <c r="N3483" s="115"/>
      <c r="O3483" s="115"/>
    </row>
    <row r="3484">
      <c r="E3484" s="115"/>
      <c r="F3484" s="115"/>
      <c r="G3484" s="115"/>
      <c r="H3484" s="115"/>
      <c r="I3484" s="115"/>
      <c r="J3484" s="115"/>
      <c r="K3484" s="115"/>
      <c r="L3484" s="115"/>
      <c r="M3484" s="115"/>
      <c r="N3484" s="115"/>
      <c r="O3484" s="115"/>
    </row>
    <row r="3485">
      <c r="E3485" s="115"/>
      <c r="F3485" s="115"/>
      <c r="G3485" s="115"/>
      <c r="H3485" s="115"/>
      <c r="I3485" s="115"/>
      <c r="J3485" s="115"/>
      <c r="K3485" s="115"/>
      <c r="L3485" s="115"/>
      <c r="M3485" s="115"/>
      <c r="N3485" s="115"/>
      <c r="O3485" s="115"/>
    </row>
    <row r="3486">
      <c r="E3486" s="115"/>
      <c r="F3486" s="115"/>
      <c r="G3486" s="115"/>
      <c r="H3486" s="115"/>
      <c r="I3486" s="115"/>
      <c r="J3486" s="115"/>
      <c r="K3486" s="115"/>
      <c r="L3486" s="115"/>
      <c r="M3486" s="115"/>
      <c r="N3486" s="115"/>
      <c r="O3486" s="115"/>
    </row>
    <row r="3487">
      <c r="E3487" s="115"/>
      <c r="F3487" s="115"/>
      <c r="G3487" s="115"/>
      <c r="H3487" s="115"/>
      <c r="I3487" s="115"/>
      <c r="J3487" s="115"/>
      <c r="K3487" s="115"/>
      <c r="L3487" s="115"/>
      <c r="M3487" s="115"/>
      <c r="N3487" s="115"/>
      <c r="O3487" s="115"/>
    </row>
    <row r="3488">
      <c r="E3488" s="115"/>
      <c r="F3488" s="115"/>
      <c r="G3488" s="115"/>
      <c r="H3488" s="115"/>
      <c r="I3488" s="115"/>
      <c r="J3488" s="115"/>
      <c r="K3488" s="115"/>
      <c r="L3488" s="115"/>
      <c r="M3488" s="115"/>
      <c r="N3488" s="115"/>
      <c r="O3488" s="115"/>
    </row>
    <row r="3489">
      <c r="E3489" s="115"/>
      <c r="F3489" s="115"/>
      <c r="G3489" s="115"/>
      <c r="H3489" s="115"/>
      <c r="I3489" s="115"/>
      <c r="J3489" s="115"/>
      <c r="K3489" s="115"/>
      <c r="L3489" s="115"/>
      <c r="M3489" s="115"/>
      <c r="N3489" s="115"/>
      <c r="O3489" s="115"/>
    </row>
    <row r="3490">
      <c r="E3490" s="115"/>
      <c r="F3490" s="115"/>
      <c r="G3490" s="115"/>
      <c r="H3490" s="115"/>
      <c r="I3490" s="115"/>
      <c r="J3490" s="115"/>
      <c r="K3490" s="115"/>
      <c r="L3490" s="115"/>
      <c r="M3490" s="115"/>
      <c r="N3490" s="115"/>
      <c r="O3490" s="115"/>
    </row>
    <row r="3491">
      <c r="E3491" s="115"/>
      <c r="F3491" s="115"/>
      <c r="G3491" s="115"/>
      <c r="H3491" s="115"/>
      <c r="I3491" s="115"/>
      <c r="J3491" s="115"/>
      <c r="K3491" s="115"/>
      <c r="L3491" s="115"/>
      <c r="M3491" s="115"/>
      <c r="N3491" s="115"/>
      <c r="O3491" s="115"/>
    </row>
    <row r="3492">
      <c r="E3492" s="115"/>
      <c r="F3492" s="115"/>
      <c r="G3492" s="115"/>
      <c r="H3492" s="115"/>
      <c r="I3492" s="115"/>
      <c r="J3492" s="115"/>
      <c r="K3492" s="115"/>
      <c r="L3492" s="115"/>
      <c r="M3492" s="115"/>
      <c r="N3492" s="115"/>
      <c r="O3492" s="115"/>
    </row>
    <row r="3493">
      <c r="E3493" s="115"/>
      <c r="F3493" s="115"/>
      <c r="G3493" s="115"/>
      <c r="H3493" s="115"/>
      <c r="I3493" s="115"/>
      <c r="J3493" s="115"/>
      <c r="K3493" s="115"/>
      <c r="L3493" s="115"/>
      <c r="M3493" s="115"/>
      <c r="N3493" s="115"/>
      <c r="O3493" s="115"/>
    </row>
    <row r="3494">
      <c r="E3494" s="115"/>
      <c r="F3494" s="115"/>
      <c r="G3494" s="115"/>
      <c r="H3494" s="115"/>
      <c r="I3494" s="115"/>
      <c r="J3494" s="115"/>
      <c r="K3494" s="115"/>
      <c r="L3494" s="115"/>
      <c r="M3494" s="115"/>
      <c r="N3494" s="115"/>
      <c r="O3494" s="115"/>
    </row>
    <row r="3495">
      <c r="E3495" s="115"/>
      <c r="F3495" s="115"/>
      <c r="G3495" s="115"/>
      <c r="H3495" s="115"/>
      <c r="I3495" s="115"/>
      <c r="J3495" s="115"/>
      <c r="K3495" s="115"/>
      <c r="L3495" s="115"/>
      <c r="M3495" s="115"/>
      <c r="N3495" s="115"/>
      <c r="O3495" s="115"/>
    </row>
    <row r="3496">
      <c r="E3496" s="115"/>
      <c r="F3496" s="115"/>
      <c r="G3496" s="115"/>
      <c r="H3496" s="115"/>
      <c r="I3496" s="115"/>
      <c r="J3496" s="115"/>
      <c r="K3496" s="115"/>
      <c r="L3496" s="115"/>
      <c r="M3496" s="115"/>
      <c r="N3496" s="115"/>
      <c r="O3496" s="115"/>
    </row>
    <row r="3497">
      <c r="E3497" s="115"/>
      <c r="F3497" s="115"/>
      <c r="G3497" s="115"/>
      <c r="H3497" s="115"/>
      <c r="I3497" s="115"/>
      <c r="J3497" s="115"/>
      <c r="K3497" s="115"/>
      <c r="L3497" s="115"/>
      <c r="M3497" s="115"/>
      <c r="N3497" s="115"/>
      <c r="O3497" s="115"/>
    </row>
    <row r="3498">
      <c r="E3498" s="115"/>
      <c r="F3498" s="115"/>
      <c r="G3498" s="115"/>
      <c r="H3498" s="115"/>
      <c r="I3498" s="115"/>
      <c r="J3498" s="115"/>
      <c r="K3498" s="115"/>
      <c r="L3498" s="115"/>
      <c r="M3498" s="115"/>
      <c r="N3498" s="115"/>
      <c r="O3498" s="115"/>
    </row>
    <row r="3499">
      <c r="E3499" s="115"/>
      <c r="F3499" s="115"/>
      <c r="G3499" s="115"/>
      <c r="H3499" s="115"/>
      <c r="I3499" s="115"/>
      <c r="J3499" s="115"/>
      <c r="K3499" s="115"/>
      <c r="L3499" s="115"/>
      <c r="M3499" s="115"/>
      <c r="N3499" s="115"/>
      <c r="O3499" s="115"/>
    </row>
    <row r="3500">
      <c r="E3500" s="115"/>
      <c r="F3500" s="115"/>
      <c r="G3500" s="115"/>
      <c r="H3500" s="115"/>
      <c r="I3500" s="115"/>
      <c r="J3500" s="115"/>
      <c r="K3500" s="115"/>
      <c r="L3500" s="115"/>
      <c r="M3500" s="115"/>
      <c r="N3500" s="115"/>
      <c r="O3500" s="115"/>
    </row>
    <row r="3501">
      <c r="E3501" s="115"/>
      <c r="F3501" s="115"/>
      <c r="G3501" s="115"/>
      <c r="H3501" s="115"/>
      <c r="I3501" s="115"/>
      <c r="J3501" s="115"/>
      <c r="K3501" s="115"/>
      <c r="L3501" s="115"/>
      <c r="M3501" s="115"/>
      <c r="N3501" s="115"/>
      <c r="O3501" s="115"/>
    </row>
    <row r="3502">
      <c r="E3502" s="115"/>
      <c r="F3502" s="115"/>
      <c r="G3502" s="115"/>
      <c r="H3502" s="115"/>
      <c r="I3502" s="115"/>
      <c r="J3502" s="115"/>
      <c r="K3502" s="115"/>
      <c r="L3502" s="115"/>
      <c r="M3502" s="115"/>
      <c r="N3502" s="115"/>
      <c r="O3502" s="115"/>
    </row>
    <row r="3503">
      <c r="E3503" s="115"/>
      <c r="F3503" s="115"/>
      <c r="G3503" s="115"/>
      <c r="H3503" s="115"/>
      <c r="I3503" s="115"/>
      <c r="J3503" s="115"/>
      <c r="K3503" s="115"/>
      <c r="L3503" s="115"/>
      <c r="M3503" s="115"/>
      <c r="N3503" s="115"/>
      <c r="O3503" s="115"/>
    </row>
    <row r="3504">
      <c r="E3504" s="115"/>
      <c r="F3504" s="115"/>
      <c r="G3504" s="115"/>
      <c r="H3504" s="115"/>
      <c r="I3504" s="115"/>
      <c r="J3504" s="115"/>
      <c r="K3504" s="115"/>
      <c r="L3504" s="115"/>
      <c r="M3504" s="115"/>
      <c r="N3504" s="115"/>
      <c r="O3504" s="115"/>
    </row>
    <row r="3505">
      <c r="E3505" s="115"/>
      <c r="F3505" s="115"/>
      <c r="G3505" s="115"/>
      <c r="H3505" s="115"/>
      <c r="I3505" s="115"/>
      <c r="J3505" s="115"/>
      <c r="K3505" s="115"/>
      <c r="L3505" s="115"/>
      <c r="M3505" s="115"/>
      <c r="N3505" s="115"/>
      <c r="O3505" s="115"/>
    </row>
    <row r="3506">
      <c r="E3506" s="115"/>
      <c r="F3506" s="115"/>
      <c r="G3506" s="115"/>
      <c r="H3506" s="115"/>
      <c r="I3506" s="115"/>
      <c r="J3506" s="115"/>
      <c r="K3506" s="115"/>
      <c r="L3506" s="115"/>
      <c r="M3506" s="115"/>
      <c r="N3506" s="115"/>
      <c r="O3506" s="115"/>
    </row>
    <row r="3507">
      <c r="E3507" s="115"/>
      <c r="F3507" s="115"/>
      <c r="G3507" s="115"/>
      <c r="H3507" s="115"/>
      <c r="I3507" s="115"/>
      <c r="J3507" s="115"/>
      <c r="K3507" s="115"/>
      <c r="L3507" s="115"/>
      <c r="M3507" s="115"/>
      <c r="N3507" s="115"/>
      <c r="O3507" s="115"/>
    </row>
    <row r="3508">
      <c r="E3508" s="115"/>
      <c r="F3508" s="115"/>
      <c r="G3508" s="115"/>
      <c r="H3508" s="115"/>
      <c r="I3508" s="115"/>
      <c r="J3508" s="115"/>
      <c r="K3508" s="115"/>
      <c r="L3508" s="115"/>
      <c r="M3508" s="115"/>
      <c r="N3508" s="115"/>
      <c r="O3508" s="115"/>
    </row>
    <row r="3509">
      <c r="E3509" s="115"/>
      <c r="F3509" s="115"/>
      <c r="G3509" s="115"/>
      <c r="H3509" s="115"/>
      <c r="I3509" s="115"/>
      <c r="J3509" s="115"/>
      <c r="K3509" s="115"/>
      <c r="L3509" s="115"/>
      <c r="M3509" s="115"/>
      <c r="N3509" s="115"/>
      <c r="O3509" s="115"/>
    </row>
    <row r="3510">
      <c r="E3510" s="115"/>
      <c r="F3510" s="115"/>
      <c r="G3510" s="115"/>
      <c r="H3510" s="115"/>
      <c r="I3510" s="115"/>
      <c r="J3510" s="115"/>
      <c r="K3510" s="115"/>
      <c r="L3510" s="115"/>
      <c r="M3510" s="115"/>
      <c r="N3510" s="115"/>
      <c r="O3510" s="115"/>
    </row>
    <row r="3511">
      <c r="E3511" s="115"/>
      <c r="F3511" s="115"/>
      <c r="G3511" s="115"/>
      <c r="H3511" s="115"/>
      <c r="I3511" s="115"/>
      <c r="J3511" s="115"/>
      <c r="K3511" s="115"/>
      <c r="L3511" s="115"/>
      <c r="M3511" s="115"/>
      <c r="N3511" s="115"/>
      <c r="O3511" s="115"/>
    </row>
    <row r="3512">
      <c r="E3512" s="115"/>
      <c r="F3512" s="115"/>
      <c r="G3512" s="115"/>
      <c r="H3512" s="115"/>
      <c r="I3512" s="115"/>
      <c r="J3512" s="115"/>
      <c r="K3512" s="115"/>
      <c r="L3512" s="115"/>
      <c r="M3512" s="115"/>
      <c r="N3512" s="115"/>
      <c r="O3512" s="115"/>
    </row>
    <row r="3513">
      <c r="E3513" s="115"/>
      <c r="F3513" s="115"/>
      <c r="G3513" s="115"/>
      <c r="H3513" s="115"/>
      <c r="I3513" s="115"/>
      <c r="J3513" s="115"/>
      <c r="K3513" s="115"/>
      <c r="L3513" s="115"/>
      <c r="M3513" s="115"/>
      <c r="N3513" s="115"/>
      <c r="O3513" s="115"/>
    </row>
    <row r="3514">
      <c r="E3514" s="115"/>
      <c r="F3514" s="115"/>
      <c r="G3514" s="115"/>
      <c r="H3514" s="115"/>
      <c r="I3514" s="115"/>
      <c r="J3514" s="115"/>
      <c r="K3514" s="115"/>
      <c r="L3514" s="115"/>
      <c r="M3514" s="115"/>
      <c r="N3514" s="115"/>
      <c r="O3514" s="115"/>
    </row>
    <row r="3515">
      <c r="E3515" s="115"/>
      <c r="F3515" s="115"/>
      <c r="G3515" s="115"/>
      <c r="H3515" s="115"/>
      <c r="I3515" s="115"/>
      <c r="J3515" s="115"/>
      <c r="K3515" s="115"/>
      <c r="L3515" s="115"/>
      <c r="M3515" s="115"/>
      <c r="N3515" s="115"/>
      <c r="O3515" s="115"/>
    </row>
    <row r="3516">
      <c r="E3516" s="115"/>
      <c r="F3516" s="115"/>
      <c r="G3516" s="115"/>
      <c r="H3516" s="115"/>
      <c r="I3516" s="115"/>
      <c r="J3516" s="115"/>
      <c r="K3516" s="115"/>
      <c r="L3516" s="115"/>
      <c r="M3516" s="115"/>
      <c r="N3516" s="115"/>
      <c r="O3516" s="115"/>
    </row>
    <row r="3517">
      <c r="E3517" s="115"/>
      <c r="F3517" s="115"/>
      <c r="G3517" s="115"/>
      <c r="H3517" s="115"/>
      <c r="I3517" s="115"/>
      <c r="J3517" s="115"/>
      <c r="K3517" s="115"/>
      <c r="L3517" s="115"/>
      <c r="M3517" s="115"/>
      <c r="N3517" s="115"/>
      <c r="O3517" s="115"/>
    </row>
    <row r="3518">
      <c r="E3518" s="115"/>
      <c r="F3518" s="115"/>
      <c r="G3518" s="115"/>
      <c r="H3518" s="115"/>
      <c r="I3518" s="115"/>
      <c r="J3518" s="115"/>
      <c r="K3518" s="115"/>
      <c r="L3518" s="115"/>
      <c r="M3518" s="115"/>
      <c r="N3518" s="115"/>
      <c r="O3518" s="115"/>
    </row>
    <row r="3519">
      <c r="E3519" s="115"/>
      <c r="F3519" s="115"/>
      <c r="G3519" s="115"/>
      <c r="H3519" s="115"/>
      <c r="I3519" s="115"/>
      <c r="J3519" s="115"/>
      <c r="K3519" s="115"/>
      <c r="L3519" s="115"/>
      <c r="M3519" s="115"/>
      <c r="N3519" s="115"/>
      <c r="O3519" s="115"/>
    </row>
    <row r="3520">
      <c r="E3520" s="115"/>
      <c r="F3520" s="115"/>
      <c r="G3520" s="115"/>
      <c r="H3520" s="115"/>
      <c r="I3520" s="115"/>
      <c r="J3520" s="115"/>
      <c r="K3520" s="115"/>
      <c r="L3520" s="115"/>
      <c r="M3520" s="115"/>
      <c r="N3520" s="115"/>
      <c r="O3520" s="115"/>
    </row>
    <row r="3521">
      <c r="E3521" s="115"/>
      <c r="F3521" s="115"/>
      <c r="G3521" s="115"/>
      <c r="H3521" s="115"/>
      <c r="I3521" s="115"/>
      <c r="J3521" s="115"/>
      <c r="K3521" s="115"/>
      <c r="L3521" s="115"/>
      <c r="M3521" s="115"/>
      <c r="N3521" s="115"/>
      <c r="O3521" s="115"/>
    </row>
    <row r="3522">
      <c r="E3522" s="115"/>
      <c r="F3522" s="115"/>
      <c r="G3522" s="115"/>
      <c r="H3522" s="115"/>
      <c r="I3522" s="115"/>
      <c r="J3522" s="115"/>
      <c r="K3522" s="115"/>
      <c r="L3522" s="115"/>
      <c r="M3522" s="115"/>
      <c r="N3522" s="115"/>
      <c r="O3522" s="115"/>
    </row>
    <row r="3523">
      <c r="E3523" s="115"/>
      <c r="F3523" s="115"/>
      <c r="G3523" s="115"/>
      <c r="H3523" s="115"/>
      <c r="I3523" s="115"/>
      <c r="J3523" s="115"/>
      <c r="K3523" s="115"/>
      <c r="L3523" s="115"/>
      <c r="M3523" s="115"/>
      <c r="N3523" s="115"/>
      <c r="O3523" s="115"/>
    </row>
    <row r="3524">
      <c r="E3524" s="115"/>
      <c r="F3524" s="115"/>
      <c r="G3524" s="115"/>
      <c r="H3524" s="115"/>
      <c r="I3524" s="115"/>
      <c r="J3524" s="115"/>
      <c r="K3524" s="115"/>
      <c r="L3524" s="115"/>
      <c r="M3524" s="115"/>
      <c r="N3524" s="115"/>
      <c r="O3524" s="115"/>
    </row>
    <row r="3525">
      <c r="E3525" s="115"/>
      <c r="F3525" s="115"/>
      <c r="G3525" s="115"/>
      <c r="H3525" s="115"/>
      <c r="I3525" s="115"/>
      <c r="J3525" s="115"/>
      <c r="K3525" s="115"/>
      <c r="L3525" s="115"/>
      <c r="M3525" s="115"/>
      <c r="N3525" s="115"/>
      <c r="O3525" s="115"/>
    </row>
    <row r="3526">
      <c r="E3526" s="115"/>
      <c r="F3526" s="115"/>
      <c r="G3526" s="115"/>
      <c r="H3526" s="115"/>
      <c r="I3526" s="115"/>
      <c r="J3526" s="115"/>
      <c r="K3526" s="115"/>
      <c r="L3526" s="115"/>
      <c r="M3526" s="115"/>
      <c r="N3526" s="115"/>
      <c r="O3526" s="115"/>
    </row>
    <row r="3527">
      <c r="E3527" s="115"/>
      <c r="F3527" s="115"/>
      <c r="G3527" s="115"/>
      <c r="H3527" s="115"/>
      <c r="I3527" s="115"/>
      <c r="J3527" s="115"/>
      <c r="K3527" s="115"/>
      <c r="L3527" s="115"/>
      <c r="M3527" s="115"/>
      <c r="N3527" s="115"/>
      <c r="O3527" s="115"/>
    </row>
    <row r="3528">
      <c r="E3528" s="115"/>
      <c r="F3528" s="115"/>
      <c r="G3528" s="115"/>
      <c r="H3528" s="115"/>
      <c r="I3528" s="115"/>
      <c r="J3528" s="115"/>
      <c r="K3528" s="115"/>
      <c r="L3528" s="115"/>
      <c r="M3528" s="115"/>
      <c r="N3528" s="115"/>
      <c r="O3528" s="115"/>
    </row>
    <row r="3529">
      <c r="E3529" s="115"/>
      <c r="F3529" s="115"/>
      <c r="G3529" s="115"/>
      <c r="H3529" s="115"/>
      <c r="I3529" s="115"/>
      <c r="J3529" s="115"/>
      <c r="K3529" s="115"/>
      <c r="L3529" s="115"/>
      <c r="M3529" s="115"/>
      <c r="N3529" s="115"/>
      <c r="O3529" s="115"/>
    </row>
    <row r="3530">
      <c r="E3530" s="115"/>
      <c r="F3530" s="115"/>
      <c r="G3530" s="115"/>
      <c r="H3530" s="115"/>
      <c r="I3530" s="115"/>
      <c r="J3530" s="115"/>
      <c r="K3530" s="115"/>
      <c r="L3530" s="115"/>
      <c r="M3530" s="115"/>
      <c r="N3530" s="115"/>
      <c r="O3530" s="115"/>
    </row>
    <row r="3531">
      <c r="E3531" s="115"/>
      <c r="F3531" s="115"/>
      <c r="G3531" s="115"/>
      <c r="H3531" s="115"/>
      <c r="I3531" s="115"/>
      <c r="J3531" s="115"/>
      <c r="K3531" s="115"/>
      <c r="L3531" s="115"/>
      <c r="M3531" s="115"/>
      <c r="N3531" s="115"/>
      <c r="O3531" s="115"/>
    </row>
    <row r="3532">
      <c r="E3532" s="115"/>
      <c r="F3532" s="115"/>
      <c r="G3532" s="115"/>
      <c r="H3532" s="115"/>
      <c r="I3532" s="115"/>
      <c r="J3532" s="115"/>
      <c r="K3532" s="115"/>
      <c r="L3532" s="115"/>
      <c r="M3532" s="115"/>
      <c r="N3532" s="115"/>
      <c r="O3532" s="115"/>
    </row>
    <row r="3533">
      <c r="E3533" s="115"/>
      <c r="F3533" s="115"/>
      <c r="G3533" s="115"/>
      <c r="H3533" s="115"/>
      <c r="I3533" s="115"/>
      <c r="J3533" s="115"/>
      <c r="K3533" s="115"/>
      <c r="L3533" s="115"/>
      <c r="M3533" s="115"/>
      <c r="N3533" s="115"/>
      <c r="O3533" s="115"/>
    </row>
    <row r="3534">
      <c r="E3534" s="115"/>
      <c r="F3534" s="115"/>
      <c r="G3534" s="115"/>
      <c r="H3534" s="115"/>
      <c r="I3534" s="115"/>
      <c r="J3534" s="115"/>
      <c r="K3534" s="115"/>
      <c r="L3534" s="115"/>
      <c r="M3534" s="115"/>
      <c r="N3534" s="115"/>
      <c r="O3534" s="115"/>
    </row>
    <row r="3535">
      <c r="E3535" s="115"/>
      <c r="F3535" s="115"/>
      <c r="G3535" s="115"/>
      <c r="H3535" s="115"/>
      <c r="I3535" s="115"/>
      <c r="J3535" s="115"/>
      <c r="K3535" s="115"/>
      <c r="L3535" s="115"/>
      <c r="M3535" s="115"/>
      <c r="N3535" s="115"/>
      <c r="O3535" s="115"/>
    </row>
    <row r="3536">
      <c r="E3536" s="115"/>
      <c r="F3536" s="115"/>
      <c r="G3536" s="115"/>
      <c r="H3536" s="115"/>
      <c r="I3536" s="115"/>
      <c r="J3536" s="115"/>
      <c r="K3536" s="115"/>
      <c r="L3536" s="115"/>
      <c r="M3536" s="115"/>
      <c r="N3536" s="115"/>
      <c r="O3536" s="115"/>
    </row>
    <row r="3537">
      <c r="E3537" s="115"/>
      <c r="F3537" s="115"/>
      <c r="G3537" s="115"/>
      <c r="H3537" s="115"/>
      <c r="I3537" s="115"/>
      <c r="J3537" s="115"/>
      <c r="K3537" s="115"/>
      <c r="L3537" s="115"/>
      <c r="M3537" s="115"/>
      <c r="N3537" s="115"/>
      <c r="O3537" s="115"/>
    </row>
    <row r="3538">
      <c r="E3538" s="115"/>
      <c r="F3538" s="115"/>
      <c r="G3538" s="115"/>
      <c r="H3538" s="115"/>
      <c r="I3538" s="115"/>
      <c r="J3538" s="115"/>
      <c r="K3538" s="115"/>
      <c r="L3538" s="115"/>
      <c r="M3538" s="115"/>
      <c r="N3538" s="115"/>
      <c r="O3538" s="115"/>
    </row>
    <row r="3539">
      <c r="E3539" s="115"/>
      <c r="F3539" s="115"/>
      <c r="G3539" s="115"/>
      <c r="H3539" s="115"/>
      <c r="I3539" s="115"/>
      <c r="J3539" s="115"/>
      <c r="K3539" s="115"/>
      <c r="L3539" s="115"/>
      <c r="M3539" s="115"/>
      <c r="N3539" s="115"/>
      <c r="O3539" s="115"/>
    </row>
    <row r="3540">
      <c r="E3540" s="115"/>
      <c r="F3540" s="115"/>
      <c r="G3540" s="115"/>
      <c r="H3540" s="115"/>
      <c r="I3540" s="115"/>
      <c r="J3540" s="115"/>
      <c r="K3540" s="115"/>
      <c r="L3540" s="115"/>
      <c r="M3540" s="115"/>
      <c r="N3540" s="115"/>
      <c r="O3540" s="115"/>
    </row>
    <row r="3541">
      <c r="E3541" s="115"/>
      <c r="F3541" s="115"/>
      <c r="G3541" s="115"/>
      <c r="H3541" s="115"/>
      <c r="I3541" s="115"/>
      <c r="J3541" s="115"/>
      <c r="K3541" s="115"/>
      <c r="L3541" s="115"/>
      <c r="M3541" s="115"/>
      <c r="N3541" s="115"/>
      <c r="O3541" s="115"/>
    </row>
    <row r="3542">
      <c r="E3542" s="115"/>
      <c r="F3542" s="115"/>
      <c r="G3542" s="115"/>
      <c r="H3542" s="115"/>
      <c r="I3542" s="115"/>
      <c r="J3542" s="115"/>
      <c r="K3542" s="115"/>
      <c r="L3542" s="115"/>
      <c r="M3542" s="115"/>
      <c r="N3542" s="115"/>
      <c r="O3542" s="115"/>
    </row>
    <row r="3543">
      <c r="E3543" s="115"/>
      <c r="F3543" s="115"/>
      <c r="G3543" s="115"/>
      <c r="H3543" s="115"/>
      <c r="I3543" s="115"/>
      <c r="J3543" s="115"/>
      <c r="K3543" s="115"/>
      <c r="L3543" s="115"/>
      <c r="M3543" s="115"/>
      <c r="N3543" s="115"/>
      <c r="O3543" s="115"/>
    </row>
    <row r="3544">
      <c r="E3544" s="115"/>
      <c r="F3544" s="115"/>
      <c r="G3544" s="115"/>
      <c r="H3544" s="115"/>
      <c r="I3544" s="115"/>
      <c r="J3544" s="115"/>
      <c r="K3544" s="115"/>
      <c r="L3544" s="115"/>
      <c r="M3544" s="115"/>
      <c r="N3544" s="115"/>
      <c r="O3544" s="115"/>
    </row>
    <row r="3545">
      <c r="E3545" s="115"/>
      <c r="F3545" s="115"/>
      <c r="G3545" s="115"/>
      <c r="H3545" s="115"/>
      <c r="I3545" s="115"/>
      <c r="J3545" s="115"/>
      <c r="K3545" s="115"/>
      <c r="L3545" s="115"/>
      <c r="M3545" s="115"/>
      <c r="N3545" s="115"/>
      <c r="O3545" s="115"/>
    </row>
    <row r="3546">
      <c r="E3546" s="115"/>
      <c r="F3546" s="115"/>
      <c r="G3546" s="115"/>
      <c r="H3546" s="115"/>
      <c r="I3546" s="115"/>
      <c r="J3546" s="115"/>
      <c r="K3546" s="115"/>
      <c r="L3546" s="115"/>
      <c r="M3546" s="115"/>
      <c r="N3546" s="115"/>
      <c r="O3546" s="115"/>
    </row>
    <row r="3547">
      <c r="E3547" s="115"/>
      <c r="F3547" s="115"/>
      <c r="G3547" s="115"/>
      <c r="H3547" s="115"/>
      <c r="I3547" s="115"/>
      <c r="J3547" s="115"/>
      <c r="K3547" s="115"/>
      <c r="L3547" s="115"/>
      <c r="M3547" s="115"/>
      <c r="N3547" s="115"/>
      <c r="O3547" s="115"/>
    </row>
    <row r="3548">
      <c r="E3548" s="115"/>
      <c r="F3548" s="115"/>
      <c r="G3548" s="115"/>
      <c r="H3548" s="115"/>
      <c r="I3548" s="115"/>
      <c r="J3548" s="115"/>
      <c r="K3548" s="115"/>
      <c r="L3548" s="115"/>
      <c r="M3548" s="115"/>
      <c r="N3548" s="115"/>
      <c r="O3548" s="115"/>
    </row>
    <row r="3549">
      <c r="E3549" s="115"/>
      <c r="F3549" s="115"/>
      <c r="G3549" s="115"/>
      <c r="H3549" s="115"/>
      <c r="I3549" s="115"/>
      <c r="J3549" s="115"/>
      <c r="K3549" s="115"/>
      <c r="L3549" s="115"/>
      <c r="M3549" s="115"/>
      <c r="N3549" s="115"/>
      <c r="O3549" s="115"/>
    </row>
    <row r="3550">
      <c r="E3550" s="115"/>
      <c r="F3550" s="115"/>
      <c r="G3550" s="115"/>
      <c r="H3550" s="115"/>
      <c r="I3550" s="115"/>
      <c r="J3550" s="115"/>
      <c r="K3550" s="115"/>
      <c r="L3550" s="115"/>
      <c r="M3550" s="115"/>
      <c r="N3550" s="115"/>
      <c r="O3550" s="115"/>
    </row>
    <row r="3551">
      <c r="E3551" s="115"/>
      <c r="F3551" s="115"/>
      <c r="G3551" s="115"/>
      <c r="H3551" s="115"/>
      <c r="I3551" s="115"/>
      <c r="J3551" s="115"/>
      <c r="K3551" s="115"/>
      <c r="L3551" s="115"/>
      <c r="M3551" s="115"/>
      <c r="N3551" s="115"/>
      <c r="O3551" s="115"/>
    </row>
    <row r="3552">
      <c r="E3552" s="115"/>
      <c r="F3552" s="115"/>
      <c r="G3552" s="115"/>
      <c r="H3552" s="115"/>
      <c r="I3552" s="115"/>
      <c r="J3552" s="115"/>
      <c r="K3552" s="115"/>
      <c r="L3552" s="115"/>
      <c r="M3552" s="115"/>
      <c r="N3552" s="115"/>
      <c r="O3552" s="115"/>
    </row>
    <row r="3553">
      <c r="E3553" s="115"/>
      <c r="F3553" s="115"/>
      <c r="G3553" s="115"/>
      <c r="H3553" s="115"/>
      <c r="I3553" s="115"/>
      <c r="J3553" s="115"/>
      <c r="K3553" s="115"/>
      <c r="L3553" s="115"/>
      <c r="M3553" s="115"/>
      <c r="N3553" s="115"/>
      <c r="O3553" s="115"/>
    </row>
    <row r="3554">
      <c r="E3554" s="115"/>
      <c r="F3554" s="115"/>
      <c r="G3554" s="115"/>
      <c r="H3554" s="115"/>
      <c r="I3554" s="115"/>
      <c r="J3554" s="115"/>
      <c r="K3554" s="115"/>
      <c r="L3554" s="115"/>
      <c r="M3554" s="115"/>
      <c r="N3554" s="115"/>
      <c r="O3554" s="115"/>
    </row>
    <row r="3555">
      <c r="E3555" s="115"/>
      <c r="F3555" s="115"/>
      <c r="G3555" s="115"/>
      <c r="H3555" s="115"/>
      <c r="I3555" s="115"/>
      <c r="J3555" s="115"/>
      <c r="K3555" s="115"/>
      <c r="L3555" s="115"/>
      <c r="M3555" s="115"/>
      <c r="N3555" s="115"/>
      <c r="O3555" s="115"/>
    </row>
    <row r="3556">
      <c r="E3556" s="115"/>
      <c r="F3556" s="115"/>
      <c r="G3556" s="115"/>
      <c r="H3556" s="115"/>
      <c r="I3556" s="115"/>
      <c r="J3556" s="115"/>
      <c r="K3556" s="115"/>
      <c r="L3556" s="115"/>
      <c r="M3556" s="115"/>
      <c r="N3556" s="115"/>
      <c r="O3556" s="115"/>
    </row>
    <row r="3557">
      <c r="E3557" s="115"/>
      <c r="F3557" s="115"/>
      <c r="G3557" s="115"/>
      <c r="H3557" s="115"/>
      <c r="I3557" s="115"/>
      <c r="J3557" s="115"/>
      <c r="K3557" s="115"/>
      <c r="L3557" s="115"/>
      <c r="M3557" s="115"/>
      <c r="N3557" s="115"/>
      <c r="O3557" s="115"/>
    </row>
    <row r="3558">
      <c r="E3558" s="115"/>
      <c r="F3558" s="115"/>
      <c r="G3558" s="115"/>
      <c r="H3558" s="115"/>
      <c r="I3558" s="115"/>
      <c r="J3558" s="115"/>
      <c r="K3558" s="115"/>
      <c r="L3558" s="115"/>
      <c r="M3558" s="115"/>
      <c r="N3558" s="115"/>
      <c r="O3558" s="115"/>
    </row>
    <row r="3559">
      <c r="E3559" s="115"/>
      <c r="F3559" s="115"/>
      <c r="G3559" s="115"/>
      <c r="H3559" s="115"/>
      <c r="I3559" s="115"/>
      <c r="J3559" s="115"/>
      <c r="K3559" s="115"/>
      <c r="L3559" s="115"/>
      <c r="M3559" s="115"/>
      <c r="N3559" s="115"/>
      <c r="O3559" s="115"/>
    </row>
    <row r="3560">
      <c r="E3560" s="115"/>
      <c r="F3560" s="115"/>
      <c r="G3560" s="115"/>
      <c r="H3560" s="115"/>
      <c r="I3560" s="115"/>
      <c r="J3560" s="115"/>
      <c r="K3560" s="115"/>
      <c r="L3560" s="115"/>
      <c r="M3560" s="115"/>
      <c r="N3560" s="115"/>
      <c r="O3560" s="115"/>
    </row>
    <row r="3561">
      <c r="E3561" s="115"/>
      <c r="F3561" s="115"/>
      <c r="G3561" s="115"/>
      <c r="H3561" s="115"/>
      <c r="I3561" s="115"/>
      <c r="J3561" s="115"/>
      <c r="K3561" s="115"/>
      <c r="L3561" s="115"/>
      <c r="M3561" s="115"/>
      <c r="N3561" s="115"/>
      <c r="O3561" s="115"/>
    </row>
    <row r="3562">
      <c r="E3562" s="115"/>
      <c r="F3562" s="115"/>
      <c r="G3562" s="115"/>
      <c r="H3562" s="115"/>
      <c r="I3562" s="115"/>
      <c r="J3562" s="115"/>
      <c r="K3562" s="115"/>
      <c r="L3562" s="115"/>
      <c r="M3562" s="115"/>
      <c r="N3562" s="115"/>
      <c r="O3562" s="115"/>
    </row>
    <row r="3563">
      <c r="E3563" s="115"/>
      <c r="F3563" s="115"/>
      <c r="G3563" s="115"/>
      <c r="H3563" s="115"/>
      <c r="I3563" s="115"/>
      <c r="J3563" s="115"/>
      <c r="K3563" s="115"/>
      <c r="L3563" s="115"/>
      <c r="M3563" s="115"/>
      <c r="N3563" s="115"/>
      <c r="O3563" s="115"/>
    </row>
    <row r="3564">
      <c r="E3564" s="115"/>
      <c r="F3564" s="115"/>
      <c r="G3564" s="115"/>
      <c r="H3564" s="115"/>
      <c r="I3564" s="115"/>
      <c r="J3564" s="115"/>
      <c r="K3564" s="115"/>
      <c r="L3564" s="115"/>
      <c r="M3564" s="115"/>
      <c r="N3564" s="115"/>
      <c r="O3564" s="115"/>
    </row>
    <row r="3565">
      <c r="E3565" s="115"/>
      <c r="F3565" s="115"/>
      <c r="G3565" s="115"/>
      <c r="H3565" s="115"/>
      <c r="I3565" s="115"/>
      <c r="J3565" s="115"/>
      <c r="K3565" s="115"/>
      <c r="L3565" s="115"/>
      <c r="M3565" s="115"/>
      <c r="N3565" s="115"/>
      <c r="O3565" s="115"/>
    </row>
    <row r="3566">
      <c r="E3566" s="115"/>
      <c r="F3566" s="115"/>
      <c r="G3566" s="115"/>
      <c r="H3566" s="115"/>
      <c r="I3566" s="115"/>
      <c r="J3566" s="115"/>
      <c r="K3566" s="115"/>
      <c r="L3566" s="115"/>
      <c r="M3566" s="115"/>
      <c r="N3566" s="115"/>
      <c r="O3566" s="115"/>
    </row>
    <row r="3567">
      <c r="E3567" s="115"/>
      <c r="F3567" s="115"/>
      <c r="G3567" s="115"/>
      <c r="H3567" s="115"/>
      <c r="I3567" s="115"/>
      <c r="J3567" s="115"/>
      <c r="K3567" s="115"/>
      <c r="L3567" s="115"/>
      <c r="M3567" s="115"/>
      <c r="N3567" s="115"/>
      <c r="O3567" s="115"/>
    </row>
    <row r="3568">
      <c r="E3568" s="115"/>
      <c r="F3568" s="115"/>
      <c r="G3568" s="115"/>
      <c r="H3568" s="115"/>
      <c r="I3568" s="115"/>
      <c r="J3568" s="115"/>
      <c r="K3568" s="115"/>
      <c r="L3568" s="115"/>
      <c r="M3568" s="115"/>
      <c r="N3568" s="115"/>
      <c r="O3568" s="115"/>
    </row>
    <row r="3569">
      <c r="E3569" s="115"/>
      <c r="F3569" s="115"/>
      <c r="G3569" s="115"/>
      <c r="H3569" s="115"/>
      <c r="I3569" s="115"/>
      <c r="J3569" s="115"/>
      <c r="K3569" s="115"/>
      <c r="L3569" s="115"/>
      <c r="M3569" s="115"/>
      <c r="N3569" s="115"/>
      <c r="O3569" s="115"/>
    </row>
    <row r="3570">
      <c r="E3570" s="115"/>
      <c r="F3570" s="115"/>
      <c r="G3570" s="115"/>
      <c r="H3570" s="115"/>
      <c r="I3570" s="115"/>
      <c r="J3570" s="115"/>
      <c r="K3570" s="115"/>
      <c r="L3570" s="115"/>
      <c r="M3570" s="115"/>
      <c r="N3570" s="115"/>
      <c r="O3570" s="115"/>
    </row>
    <row r="3571">
      <c r="E3571" s="115"/>
      <c r="F3571" s="115"/>
      <c r="G3571" s="115"/>
      <c r="H3571" s="115"/>
      <c r="I3571" s="115"/>
      <c r="J3571" s="115"/>
      <c r="K3571" s="115"/>
      <c r="L3571" s="115"/>
      <c r="M3571" s="115"/>
      <c r="N3571" s="115"/>
      <c r="O3571" s="115"/>
    </row>
    <row r="3572">
      <c r="E3572" s="115"/>
      <c r="F3572" s="115"/>
      <c r="G3572" s="115"/>
      <c r="H3572" s="115"/>
      <c r="I3572" s="115"/>
      <c r="J3572" s="115"/>
      <c r="K3572" s="115"/>
      <c r="L3572" s="115"/>
      <c r="M3572" s="115"/>
      <c r="N3572" s="115"/>
      <c r="O3572" s="115"/>
    </row>
    <row r="3573">
      <c r="E3573" s="115"/>
      <c r="F3573" s="115"/>
      <c r="G3573" s="115"/>
      <c r="H3573" s="115"/>
      <c r="I3573" s="115"/>
      <c r="J3573" s="115"/>
      <c r="K3573" s="115"/>
      <c r="L3573" s="115"/>
      <c r="M3573" s="115"/>
      <c r="N3573" s="115"/>
      <c r="O3573" s="115"/>
    </row>
    <row r="3574">
      <c r="E3574" s="115"/>
      <c r="F3574" s="115"/>
      <c r="G3574" s="115"/>
      <c r="H3574" s="115"/>
      <c r="I3574" s="115"/>
      <c r="J3574" s="115"/>
      <c r="K3574" s="115"/>
      <c r="L3574" s="115"/>
      <c r="M3574" s="115"/>
      <c r="N3574" s="115"/>
      <c r="O3574" s="115"/>
    </row>
    <row r="3575">
      <c r="E3575" s="115"/>
      <c r="F3575" s="115"/>
      <c r="G3575" s="115"/>
      <c r="H3575" s="115"/>
      <c r="I3575" s="115"/>
      <c r="J3575" s="115"/>
      <c r="K3575" s="115"/>
      <c r="L3575" s="115"/>
      <c r="M3575" s="115"/>
      <c r="N3575" s="115"/>
      <c r="O3575" s="115"/>
    </row>
    <row r="3576">
      <c r="E3576" s="115"/>
      <c r="F3576" s="115"/>
      <c r="G3576" s="115"/>
      <c r="H3576" s="115"/>
      <c r="I3576" s="115"/>
      <c r="J3576" s="115"/>
      <c r="K3576" s="115"/>
      <c r="L3576" s="115"/>
      <c r="M3576" s="115"/>
      <c r="N3576" s="115"/>
      <c r="O3576" s="115"/>
    </row>
    <row r="3577">
      <c r="E3577" s="115"/>
      <c r="F3577" s="115"/>
      <c r="G3577" s="115"/>
      <c r="H3577" s="115"/>
      <c r="I3577" s="115"/>
      <c r="J3577" s="115"/>
      <c r="K3577" s="115"/>
      <c r="L3577" s="115"/>
      <c r="M3577" s="115"/>
      <c r="N3577" s="115"/>
      <c r="O3577" s="115"/>
    </row>
    <row r="3578">
      <c r="E3578" s="115"/>
      <c r="F3578" s="115"/>
      <c r="G3578" s="115"/>
      <c r="H3578" s="115"/>
      <c r="I3578" s="115"/>
      <c r="J3578" s="115"/>
      <c r="K3578" s="115"/>
      <c r="L3578" s="115"/>
      <c r="M3578" s="115"/>
      <c r="N3578" s="115"/>
      <c r="O3578" s="115"/>
    </row>
    <row r="3579">
      <c r="E3579" s="115"/>
      <c r="F3579" s="115"/>
      <c r="G3579" s="115"/>
      <c r="H3579" s="115"/>
      <c r="I3579" s="115"/>
      <c r="J3579" s="115"/>
      <c r="K3579" s="115"/>
      <c r="L3579" s="115"/>
      <c r="M3579" s="115"/>
      <c r="N3579" s="115"/>
      <c r="O3579" s="115"/>
    </row>
    <row r="3580">
      <c r="E3580" s="115"/>
      <c r="F3580" s="115"/>
      <c r="G3580" s="115"/>
      <c r="H3580" s="115"/>
      <c r="I3580" s="115"/>
      <c r="J3580" s="115"/>
      <c r="K3580" s="115"/>
      <c r="L3580" s="115"/>
      <c r="M3580" s="115"/>
      <c r="N3580" s="115"/>
      <c r="O3580" s="115"/>
    </row>
    <row r="3581">
      <c r="E3581" s="115"/>
      <c r="F3581" s="115"/>
      <c r="G3581" s="115"/>
      <c r="H3581" s="115"/>
      <c r="I3581" s="115"/>
      <c r="J3581" s="115"/>
      <c r="K3581" s="115"/>
      <c r="L3581" s="115"/>
      <c r="M3581" s="115"/>
      <c r="N3581" s="115"/>
      <c r="O3581" s="115"/>
    </row>
    <row r="3582">
      <c r="E3582" s="115"/>
      <c r="F3582" s="115"/>
      <c r="G3582" s="115"/>
      <c r="H3582" s="115"/>
      <c r="I3582" s="115"/>
      <c r="J3582" s="115"/>
      <c r="K3582" s="115"/>
      <c r="L3582" s="115"/>
      <c r="M3582" s="115"/>
      <c r="N3582" s="115"/>
      <c r="O3582" s="115"/>
    </row>
    <row r="3583">
      <c r="E3583" s="115"/>
      <c r="F3583" s="115"/>
      <c r="G3583" s="115"/>
      <c r="H3583" s="115"/>
      <c r="I3583" s="115"/>
      <c r="J3583" s="115"/>
      <c r="K3583" s="115"/>
      <c r="L3583" s="115"/>
      <c r="M3583" s="115"/>
      <c r="N3583" s="115"/>
      <c r="O3583" s="115"/>
    </row>
    <row r="3584">
      <c r="E3584" s="115"/>
      <c r="F3584" s="115"/>
      <c r="G3584" s="115"/>
      <c r="H3584" s="115"/>
      <c r="I3584" s="115"/>
      <c r="J3584" s="115"/>
      <c r="K3584" s="115"/>
      <c r="L3584" s="115"/>
      <c r="M3584" s="115"/>
      <c r="N3584" s="115"/>
      <c r="O3584" s="115"/>
    </row>
    <row r="3585">
      <c r="E3585" s="115"/>
      <c r="F3585" s="115"/>
      <c r="G3585" s="115"/>
      <c r="H3585" s="115"/>
      <c r="I3585" s="115"/>
      <c r="J3585" s="115"/>
      <c r="K3585" s="115"/>
      <c r="L3585" s="115"/>
      <c r="M3585" s="115"/>
      <c r="N3585" s="115"/>
      <c r="O3585" s="115"/>
    </row>
    <row r="3586">
      <c r="E3586" s="115"/>
      <c r="F3586" s="115"/>
      <c r="G3586" s="115"/>
      <c r="H3586" s="115"/>
      <c r="I3586" s="115"/>
      <c r="J3586" s="115"/>
      <c r="K3586" s="115"/>
      <c r="L3586" s="115"/>
      <c r="M3586" s="115"/>
      <c r="N3586" s="115"/>
      <c r="O3586" s="115"/>
    </row>
    <row r="3587">
      <c r="E3587" s="115"/>
      <c r="F3587" s="115"/>
      <c r="G3587" s="115"/>
      <c r="H3587" s="115"/>
      <c r="I3587" s="115"/>
      <c r="J3587" s="115"/>
      <c r="K3587" s="115"/>
      <c r="L3587" s="115"/>
      <c r="M3587" s="115"/>
      <c r="N3587" s="115"/>
      <c r="O3587" s="115"/>
    </row>
    <row r="3588">
      <c r="E3588" s="115"/>
      <c r="F3588" s="115"/>
      <c r="G3588" s="115"/>
      <c r="H3588" s="115"/>
      <c r="I3588" s="115"/>
      <c r="J3588" s="115"/>
      <c r="K3588" s="115"/>
      <c r="L3588" s="115"/>
      <c r="M3588" s="115"/>
      <c r="N3588" s="115"/>
      <c r="O3588" s="115"/>
    </row>
    <row r="3589">
      <c r="E3589" s="115"/>
      <c r="F3589" s="115"/>
      <c r="G3589" s="115"/>
      <c r="H3589" s="115"/>
      <c r="I3589" s="115"/>
      <c r="J3589" s="115"/>
      <c r="K3589" s="115"/>
      <c r="L3589" s="115"/>
      <c r="M3589" s="115"/>
      <c r="N3589" s="115"/>
      <c r="O3589" s="115"/>
    </row>
    <row r="3590">
      <c r="E3590" s="115"/>
      <c r="F3590" s="115"/>
      <c r="G3590" s="115"/>
      <c r="H3590" s="115"/>
      <c r="I3590" s="115"/>
      <c r="J3590" s="115"/>
      <c r="K3590" s="115"/>
      <c r="L3590" s="115"/>
      <c r="M3590" s="115"/>
      <c r="N3590" s="115"/>
      <c r="O3590" s="115"/>
    </row>
    <row r="3591">
      <c r="E3591" s="115"/>
      <c r="F3591" s="115"/>
      <c r="G3591" s="115"/>
      <c r="H3591" s="115"/>
      <c r="I3591" s="115"/>
      <c r="J3591" s="115"/>
      <c r="K3591" s="115"/>
      <c r="L3591" s="115"/>
      <c r="M3591" s="115"/>
      <c r="N3591" s="115"/>
      <c r="O3591" s="115"/>
    </row>
    <row r="3592">
      <c r="E3592" s="115"/>
      <c r="F3592" s="115"/>
      <c r="G3592" s="115"/>
      <c r="H3592" s="115"/>
      <c r="I3592" s="115"/>
      <c r="J3592" s="115"/>
      <c r="K3592" s="115"/>
      <c r="L3592" s="115"/>
      <c r="M3592" s="115"/>
      <c r="N3592" s="115"/>
      <c r="O3592" s="115"/>
    </row>
    <row r="3593">
      <c r="E3593" s="115"/>
      <c r="F3593" s="115"/>
      <c r="G3593" s="115"/>
      <c r="H3593" s="115"/>
      <c r="I3593" s="115"/>
      <c r="J3593" s="115"/>
      <c r="K3593" s="115"/>
      <c r="L3593" s="115"/>
      <c r="M3593" s="115"/>
      <c r="N3593" s="115"/>
      <c r="O3593" s="115"/>
    </row>
    <row r="3594">
      <c r="E3594" s="115"/>
      <c r="F3594" s="115"/>
      <c r="G3594" s="115"/>
      <c r="H3594" s="115"/>
      <c r="I3594" s="115"/>
      <c r="J3594" s="115"/>
      <c r="K3594" s="115"/>
      <c r="L3594" s="115"/>
      <c r="M3594" s="115"/>
      <c r="N3594" s="115"/>
      <c r="O3594" s="115"/>
    </row>
    <row r="3595">
      <c r="E3595" s="115"/>
      <c r="F3595" s="115"/>
      <c r="G3595" s="115"/>
      <c r="H3595" s="115"/>
      <c r="I3595" s="115"/>
      <c r="J3595" s="115"/>
      <c r="K3595" s="115"/>
      <c r="L3595" s="115"/>
      <c r="M3595" s="115"/>
      <c r="N3595" s="115"/>
      <c r="O3595" s="115"/>
    </row>
    <row r="3596">
      <c r="E3596" s="115"/>
      <c r="F3596" s="115"/>
      <c r="G3596" s="115"/>
      <c r="H3596" s="115"/>
      <c r="I3596" s="115"/>
      <c r="J3596" s="115"/>
      <c r="K3596" s="115"/>
      <c r="L3596" s="115"/>
      <c r="M3596" s="115"/>
      <c r="N3596" s="115"/>
      <c r="O3596" s="115"/>
    </row>
    <row r="3597">
      <c r="E3597" s="115"/>
      <c r="F3597" s="115"/>
      <c r="G3597" s="115"/>
      <c r="H3597" s="115"/>
      <c r="I3597" s="115"/>
      <c r="J3597" s="115"/>
      <c r="K3597" s="115"/>
      <c r="L3597" s="115"/>
      <c r="M3597" s="115"/>
      <c r="N3597" s="115"/>
      <c r="O3597" s="115"/>
    </row>
    <row r="3598">
      <c r="E3598" s="115"/>
      <c r="F3598" s="115"/>
      <c r="G3598" s="115"/>
      <c r="H3598" s="115"/>
      <c r="I3598" s="115"/>
      <c r="J3598" s="115"/>
      <c r="K3598" s="115"/>
      <c r="L3598" s="115"/>
      <c r="M3598" s="115"/>
      <c r="N3598" s="115"/>
      <c r="O3598" s="115"/>
    </row>
    <row r="3599">
      <c r="E3599" s="115"/>
      <c r="F3599" s="115"/>
      <c r="G3599" s="115"/>
      <c r="H3599" s="115"/>
      <c r="I3599" s="115"/>
      <c r="J3599" s="115"/>
      <c r="K3599" s="115"/>
      <c r="L3599" s="115"/>
      <c r="M3599" s="115"/>
      <c r="N3599" s="115"/>
      <c r="O3599" s="115"/>
    </row>
    <row r="3600">
      <c r="E3600" s="115"/>
      <c r="F3600" s="115"/>
      <c r="G3600" s="115"/>
      <c r="H3600" s="115"/>
      <c r="I3600" s="115"/>
      <c r="J3600" s="115"/>
      <c r="K3600" s="115"/>
      <c r="L3600" s="115"/>
      <c r="M3600" s="115"/>
      <c r="N3600" s="115"/>
      <c r="O3600" s="115"/>
    </row>
    <row r="3601">
      <c r="E3601" s="115"/>
      <c r="F3601" s="115"/>
      <c r="G3601" s="115"/>
      <c r="H3601" s="115"/>
      <c r="I3601" s="115"/>
      <c r="J3601" s="115"/>
      <c r="K3601" s="115"/>
      <c r="L3601" s="115"/>
      <c r="M3601" s="115"/>
      <c r="N3601" s="115"/>
      <c r="O3601" s="115"/>
    </row>
    <row r="3602">
      <c r="E3602" s="115"/>
      <c r="F3602" s="115"/>
      <c r="G3602" s="115"/>
      <c r="H3602" s="115"/>
      <c r="I3602" s="115"/>
      <c r="J3602" s="115"/>
      <c r="K3602" s="115"/>
      <c r="L3602" s="115"/>
      <c r="M3602" s="115"/>
      <c r="N3602" s="115"/>
      <c r="O3602" s="115"/>
    </row>
    <row r="3603">
      <c r="E3603" s="115"/>
      <c r="F3603" s="115"/>
      <c r="G3603" s="115"/>
      <c r="H3603" s="115"/>
      <c r="I3603" s="115"/>
      <c r="J3603" s="115"/>
      <c r="K3603" s="115"/>
      <c r="L3603" s="115"/>
      <c r="M3603" s="115"/>
      <c r="N3603" s="115"/>
      <c r="O3603" s="115"/>
    </row>
    <row r="3604">
      <c r="E3604" s="115"/>
      <c r="F3604" s="115"/>
      <c r="G3604" s="115"/>
      <c r="H3604" s="115"/>
      <c r="I3604" s="115"/>
      <c r="J3604" s="115"/>
      <c r="K3604" s="115"/>
      <c r="L3604" s="115"/>
      <c r="M3604" s="115"/>
      <c r="N3604" s="115"/>
      <c r="O3604" s="115"/>
    </row>
    <row r="3605">
      <c r="E3605" s="115"/>
      <c r="F3605" s="115"/>
      <c r="G3605" s="115"/>
      <c r="H3605" s="115"/>
      <c r="I3605" s="115"/>
      <c r="J3605" s="115"/>
      <c r="K3605" s="115"/>
      <c r="L3605" s="115"/>
      <c r="M3605" s="115"/>
      <c r="N3605" s="115"/>
      <c r="O3605" s="115"/>
    </row>
    <row r="3606">
      <c r="E3606" s="115"/>
      <c r="F3606" s="115"/>
      <c r="G3606" s="115"/>
      <c r="H3606" s="115"/>
      <c r="I3606" s="115"/>
      <c r="J3606" s="115"/>
      <c r="K3606" s="115"/>
      <c r="L3606" s="115"/>
      <c r="M3606" s="115"/>
      <c r="N3606" s="115"/>
      <c r="O3606" s="115"/>
    </row>
    <row r="3607">
      <c r="E3607" s="115"/>
      <c r="F3607" s="115"/>
      <c r="G3607" s="115"/>
      <c r="H3607" s="115"/>
      <c r="I3607" s="115"/>
      <c r="J3607" s="115"/>
      <c r="K3607" s="115"/>
      <c r="L3607" s="115"/>
      <c r="M3607" s="115"/>
      <c r="N3607" s="115"/>
      <c r="O3607" s="115"/>
    </row>
    <row r="3608">
      <c r="E3608" s="115"/>
      <c r="F3608" s="115"/>
      <c r="G3608" s="115"/>
      <c r="H3608" s="115"/>
      <c r="I3608" s="115"/>
      <c r="J3608" s="115"/>
      <c r="K3608" s="115"/>
      <c r="L3608" s="115"/>
      <c r="M3608" s="115"/>
      <c r="N3608" s="115"/>
      <c r="O3608" s="115"/>
    </row>
    <row r="3609">
      <c r="E3609" s="115"/>
      <c r="F3609" s="115"/>
      <c r="G3609" s="115"/>
      <c r="H3609" s="115"/>
      <c r="I3609" s="115"/>
      <c r="J3609" s="115"/>
      <c r="K3609" s="115"/>
      <c r="L3609" s="115"/>
      <c r="M3609" s="115"/>
      <c r="N3609" s="115"/>
      <c r="O3609" s="115"/>
    </row>
    <row r="3610">
      <c r="E3610" s="115"/>
      <c r="F3610" s="115"/>
      <c r="G3610" s="115"/>
      <c r="H3610" s="115"/>
      <c r="I3610" s="115"/>
      <c r="J3610" s="115"/>
      <c r="K3610" s="115"/>
      <c r="L3610" s="115"/>
      <c r="M3610" s="115"/>
      <c r="N3610" s="115"/>
      <c r="O3610" s="115"/>
    </row>
    <row r="3611">
      <c r="E3611" s="115"/>
      <c r="F3611" s="115"/>
      <c r="G3611" s="115"/>
      <c r="H3611" s="115"/>
      <c r="I3611" s="115"/>
      <c r="J3611" s="115"/>
      <c r="K3611" s="115"/>
      <c r="L3611" s="115"/>
      <c r="M3611" s="115"/>
      <c r="N3611" s="115"/>
      <c r="O3611" s="115"/>
    </row>
    <row r="3612">
      <c r="E3612" s="115"/>
      <c r="F3612" s="115"/>
      <c r="G3612" s="115"/>
      <c r="H3612" s="115"/>
      <c r="I3612" s="115"/>
      <c r="J3612" s="115"/>
      <c r="K3612" s="115"/>
      <c r="L3612" s="115"/>
      <c r="M3612" s="115"/>
      <c r="N3612" s="115"/>
      <c r="O3612" s="115"/>
    </row>
    <row r="3613">
      <c r="E3613" s="115"/>
      <c r="F3613" s="115"/>
      <c r="G3613" s="115"/>
      <c r="H3613" s="115"/>
      <c r="I3613" s="115"/>
      <c r="J3613" s="115"/>
      <c r="K3613" s="115"/>
      <c r="L3613" s="115"/>
      <c r="M3613" s="115"/>
      <c r="N3613" s="115"/>
      <c r="O3613" s="115"/>
    </row>
    <row r="3614">
      <c r="E3614" s="115"/>
      <c r="F3614" s="115"/>
      <c r="G3614" s="115"/>
      <c r="H3614" s="115"/>
      <c r="I3614" s="115"/>
      <c r="J3614" s="115"/>
      <c r="K3614" s="115"/>
      <c r="L3614" s="115"/>
      <c r="M3614" s="115"/>
      <c r="N3614" s="115"/>
      <c r="O3614" s="115"/>
    </row>
    <row r="3615">
      <c r="E3615" s="115"/>
      <c r="F3615" s="115"/>
      <c r="G3615" s="115"/>
      <c r="H3615" s="115"/>
      <c r="I3615" s="115"/>
      <c r="J3615" s="115"/>
      <c r="K3615" s="115"/>
      <c r="L3615" s="115"/>
      <c r="M3615" s="115"/>
      <c r="N3615" s="115"/>
      <c r="O3615" s="115"/>
    </row>
    <row r="3616">
      <c r="E3616" s="115"/>
      <c r="F3616" s="115"/>
      <c r="G3616" s="115"/>
      <c r="H3616" s="115"/>
      <c r="I3616" s="115"/>
      <c r="J3616" s="115"/>
      <c r="K3616" s="115"/>
      <c r="L3616" s="115"/>
      <c r="M3616" s="115"/>
      <c r="N3616" s="115"/>
      <c r="O3616" s="115"/>
    </row>
    <row r="3617">
      <c r="E3617" s="115"/>
      <c r="F3617" s="115"/>
      <c r="G3617" s="115"/>
      <c r="H3617" s="115"/>
      <c r="I3617" s="115"/>
      <c r="J3617" s="115"/>
      <c r="K3617" s="115"/>
      <c r="L3617" s="115"/>
      <c r="M3617" s="115"/>
      <c r="N3617" s="115"/>
      <c r="O3617" s="115"/>
    </row>
    <row r="3618">
      <c r="E3618" s="115"/>
      <c r="F3618" s="115"/>
      <c r="G3618" s="115"/>
      <c r="H3618" s="115"/>
      <c r="I3618" s="115"/>
      <c r="J3618" s="115"/>
      <c r="K3618" s="115"/>
      <c r="L3618" s="115"/>
      <c r="M3618" s="115"/>
      <c r="N3618" s="115"/>
      <c r="O3618" s="115"/>
    </row>
    <row r="3619">
      <c r="E3619" s="115"/>
      <c r="F3619" s="115"/>
      <c r="G3619" s="115"/>
      <c r="H3619" s="115"/>
      <c r="I3619" s="115"/>
      <c r="J3619" s="115"/>
      <c r="K3619" s="115"/>
      <c r="L3619" s="115"/>
      <c r="M3619" s="115"/>
      <c r="N3619" s="115"/>
      <c r="O3619" s="115"/>
    </row>
    <row r="3620">
      <c r="E3620" s="115"/>
      <c r="F3620" s="115"/>
      <c r="G3620" s="115"/>
      <c r="H3620" s="115"/>
      <c r="I3620" s="115"/>
      <c r="J3620" s="115"/>
      <c r="K3620" s="115"/>
      <c r="L3620" s="115"/>
      <c r="M3620" s="115"/>
      <c r="N3620" s="115"/>
      <c r="O3620" s="115"/>
    </row>
    <row r="3621">
      <c r="E3621" s="115"/>
      <c r="F3621" s="115"/>
      <c r="G3621" s="115"/>
      <c r="H3621" s="115"/>
      <c r="I3621" s="115"/>
      <c r="J3621" s="115"/>
      <c r="K3621" s="115"/>
      <c r="L3621" s="115"/>
      <c r="M3621" s="115"/>
      <c r="N3621" s="115"/>
      <c r="O3621" s="115"/>
    </row>
    <row r="3622">
      <c r="E3622" s="115"/>
      <c r="F3622" s="115"/>
      <c r="G3622" s="115"/>
      <c r="H3622" s="115"/>
      <c r="I3622" s="115"/>
      <c r="J3622" s="115"/>
      <c r="K3622" s="115"/>
      <c r="L3622" s="115"/>
      <c r="M3622" s="115"/>
      <c r="N3622" s="115"/>
      <c r="O3622" s="115"/>
    </row>
    <row r="3623">
      <c r="E3623" s="115"/>
      <c r="F3623" s="115"/>
      <c r="G3623" s="115"/>
      <c r="H3623" s="115"/>
      <c r="I3623" s="115"/>
      <c r="J3623" s="115"/>
      <c r="K3623" s="115"/>
      <c r="L3623" s="115"/>
      <c r="M3623" s="115"/>
      <c r="N3623" s="115"/>
      <c r="O3623" s="115"/>
    </row>
    <row r="3624">
      <c r="E3624" s="115"/>
      <c r="F3624" s="115"/>
      <c r="G3624" s="115"/>
      <c r="H3624" s="115"/>
      <c r="I3624" s="115"/>
      <c r="J3624" s="115"/>
      <c r="K3624" s="115"/>
      <c r="L3624" s="115"/>
      <c r="M3624" s="115"/>
      <c r="N3624" s="115"/>
      <c r="O3624" s="115"/>
    </row>
    <row r="3625">
      <c r="E3625" s="115"/>
      <c r="F3625" s="115"/>
      <c r="G3625" s="115"/>
      <c r="H3625" s="115"/>
      <c r="I3625" s="115"/>
      <c r="J3625" s="115"/>
      <c r="K3625" s="115"/>
      <c r="L3625" s="115"/>
      <c r="M3625" s="115"/>
      <c r="N3625" s="115"/>
      <c r="O3625" s="115"/>
    </row>
    <row r="3626">
      <c r="E3626" s="115"/>
      <c r="F3626" s="115"/>
      <c r="G3626" s="115"/>
      <c r="H3626" s="115"/>
      <c r="I3626" s="115"/>
      <c r="J3626" s="115"/>
      <c r="K3626" s="115"/>
      <c r="L3626" s="115"/>
      <c r="M3626" s="115"/>
      <c r="N3626" s="115"/>
      <c r="O3626" s="115"/>
    </row>
    <row r="3627">
      <c r="E3627" s="115"/>
      <c r="F3627" s="115"/>
      <c r="G3627" s="115"/>
      <c r="H3627" s="115"/>
      <c r="I3627" s="115"/>
      <c r="J3627" s="115"/>
      <c r="K3627" s="115"/>
      <c r="L3627" s="115"/>
      <c r="M3627" s="115"/>
      <c r="N3627" s="115"/>
      <c r="O3627" s="115"/>
    </row>
    <row r="3628">
      <c r="E3628" s="115"/>
      <c r="F3628" s="115"/>
      <c r="G3628" s="115"/>
      <c r="H3628" s="115"/>
      <c r="I3628" s="115"/>
      <c r="J3628" s="115"/>
      <c r="K3628" s="115"/>
      <c r="L3628" s="115"/>
      <c r="M3628" s="115"/>
      <c r="N3628" s="115"/>
      <c r="O3628" s="115"/>
    </row>
    <row r="3629">
      <c r="E3629" s="115"/>
      <c r="F3629" s="115"/>
      <c r="G3629" s="115"/>
      <c r="H3629" s="115"/>
      <c r="I3629" s="115"/>
      <c r="J3629" s="115"/>
      <c r="K3629" s="115"/>
      <c r="L3629" s="115"/>
      <c r="M3629" s="115"/>
      <c r="N3629" s="115"/>
      <c r="O3629" s="115"/>
    </row>
    <row r="3630">
      <c r="E3630" s="115"/>
      <c r="F3630" s="115"/>
      <c r="G3630" s="115"/>
      <c r="H3630" s="115"/>
      <c r="I3630" s="115"/>
      <c r="J3630" s="115"/>
      <c r="K3630" s="115"/>
      <c r="L3630" s="115"/>
      <c r="M3630" s="115"/>
      <c r="N3630" s="115"/>
      <c r="O3630" s="115"/>
    </row>
    <row r="3631">
      <c r="E3631" s="115"/>
      <c r="F3631" s="115"/>
      <c r="G3631" s="115"/>
      <c r="H3631" s="115"/>
      <c r="I3631" s="115"/>
      <c r="J3631" s="115"/>
      <c r="K3631" s="115"/>
      <c r="L3631" s="115"/>
      <c r="M3631" s="115"/>
      <c r="N3631" s="115"/>
      <c r="O3631" s="115"/>
    </row>
    <row r="3632">
      <c r="E3632" s="115"/>
      <c r="F3632" s="115"/>
      <c r="G3632" s="115"/>
      <c r="H3632" s="115"/>
      <c r="I3632" s="115"/>
      <c r="J3632" s="115"/>
      <c r="K3632" s="115"/>
      <c r="L3632" s="115"/>
      <c r="M3632" s="115"/>
      <c r="N3632" s="115"/>
      <c r="O3632" s="115"/>
    </row>
    <row r="3633">
      <c r="E3633" s="115"/>
      <c r="F3633" s="115"/>
      <c r="G3633" s="115"/>
      <c r="H3633" s="115"/>
      <c r="I3633" s="115"/>
      <c r="J3633" s="115"/>
      <c r="K3633" s="115"/>
      <c r="L3633" s="115"/>
      <c r="M3633" s="115"/>
      <c r="N3633" s="115"/>
      <c r="O3633" s="115"/>
    </row>
    <row r="3634">
      <c r="E3634" s="115"/>
      <c r="F3634" s="115"/>
      <c r="G3634" s="115"/>
      <c r="H3634" s="115"/>
      <c r="I3634" s="115"/>
      <c r="J3634" s="115"/>
      <c r="K3634" s="115"/>
      <c r="L3634" s="115"/>
      <c r="M3634" s="115"/>
      <c r="N3634" s="115"/>
      <c r="O3634" s="115"/>
    </row>
    <row r="3635">
      <c r="E3635" s="115"/>
      <c r="F3635" s="115"/>
      <c r="G3635" s="115"/>
      <c r="H3635" s="115"/>
      <c r="I3635" s="115"/>
      <c r="J3635" s="115"/>
      <c r="K3635" s="115"/>
      <c r="L3635" s="115"/>
      <c r="M3635" s="115"/>
      <c r="N3635" s="115"/>
      <c r="O3635" s="115"/>
    </row>
    <row r="3636">
      <c r="E3636" s="115"/>
      <c r="F3636" s="115"/>
      <c r="G3636" s="115"/>
      <c r="H3636" s="115"/>
      <c r="I3636" s="115"/>
      <c r="J3636" s="115"/>
      <c r="K3636" s="115"/>
      <c r="L3636" s="115"/>
      <c r="M3636" s="115"/>
      <c r="N3636" s="115"/>
      <c r="O3636" s="115"/>
    </row>
    <row r="3637">
      <c r="E3637" s="115"/>
      <c r="F3637" s="115"/>
      <c r="G3637" s="115"/>
      <c r="H3637" s="115"/>
      <c r="I3637" s="115"/>
      <c r="J3637" s="115"/>
      <c r="K3637" s="115"/>
      <c r="L3637" s="115"/>
      <c r="M3637" s="115"/>
      <c r="N3637" s="115"/>
      <c r="O3637" s="115"/>
    </row>
    <row r="3638">
      <c r="E3638" s="115"/>
      <c r="F3638" s="115"/>
      <c r="G3638" s="115"/>
      <c r="H3638" s="115"/>
      <c r="I3638" s="115"/>
      <c r="J3638" s="115"/>
      <c r="K3638" s="115"/>
      <c r="L3638" s="115"/>
      <c r="M3638" s="115"/>
      <c r="N3638" s="115"/>
      <c r="O3638" s="115"/>
    </row>
    <row r="3639">
      <c r="E3639" s="115"/>
      <c r="F3639" s="115"/>
      <c r="G3639" s="115"/>
      <c r="H3639" s="115"/>
      <c r="I3639" s="115"/>
      <c r="J3639" s="115"/>
      <c r="K3639" s="115"/>
      <c r="L3639" s="115"/>
      <c r="M3639" s="115"/>
      <c r="N3639" s="115"/>
      <c r="O3639" s="115"/>
    </row>
    <row r="3640">
      <c r="E3640" s="115"/>
      <c r="F3640" s="115"/>
      <c r="G3640" s="115"/>
      <c r="H3640" s="115"/>
      <c r="I3640" s="115"/>
      <c r="J3640" s="115"/>
      <c r="K3640" s="115"/>
      <c r="L3640" s="115"/>
      <c r="M3640" s="115"/>
      <c r="N3640" s="115"/>
      <c r="O3640" s="115"/>
    </row>
    <row r="3641">
      <c r="E3641" s="115"/>
      <c r="F3641" s="115"/>
      <c r="G3641" s="115"/>
      <c r="H3641" s="115"/>
      <c r="I3641" s="115"/>
      <c r="J3641" s="115"/>
      <c r="K3641" s="115"/>
      <c r="L3641" s="115"/>
      <c r="M3641" s="115"/>
      <c r="N3641" s="115"/>
      <c r="O3641" s="115"/>
    </row>
    <row r="3642">
      <c r="E3642" s="115"/>
      <c r="F3642" s="115"/>
      <c r="G3642" s="115"/>
      <c r="H3642" s="115"/>
      <c r="I3642" s="115"/>
      <c r="J3642" s="115"/>
      <c r="K3642" s="115"/>
      <c r="L3642" s="115"/>
      <c r="M3642" s="115"/>
      <c r="N3642" s="115"/>
      <c r="O3642" s="115"/>
    </row>
    <row r="3643">
      <c r="E3643" s="115"/>
      <c r="F3643" s="115"/>
      <c r="G3643" s="115"/>
      <c r="H3643" s="115"/>
      <c r="I3643" s="115"/>
      <c r="J3643" s="115"/>
      <c r="K3643" s="115"/>
      <c r="L3643" s="115"/>
      <c r="M3643" s="115"/>
      <c r="N3643" s="115"/>
      <c r="O3643" s="115"/>
    </row>
    <row r="3644">
      <c r="E3644" s="115"/>
      <c r="F3644" s="115"/>
      <c r="G3644" s="115"/>
      <c r="H3644" s="115"/>
      <c r="I3644" s="115"/>
      <c r="J3644" s="115"/>
      <c r="K3644" s="115"/>
      <c r="L3644" s="115"/>
      <c r="M3644" s="115"/>
      <c r="N3644" s="115"/>
      <c r="O3644" s="115"/>
    </row>
    <row r="3645">
      <c r="E3645" s="115"/>
      <c r="F3645" s="115"/>
      <c r="G3645" s="115"/>
      <c r="H3645" s="115"/>
      <c r="I3645" s="115"/>
      <c r="J3645" s="115"/>
      <c r="K3645" s="115"/>
      <c r="L3645" s="115"/>
      <c r="M3645" s="115"/>
      <c r="N3645" s="115"/>
      <c r="O3645" s="115"/>
    </row>
    <row r="3646">
      <c r="E3646" s="115"/>
      <c r="F3646" s="115"/>
      <c r="G3646" s="115"/>
      <c r="H3646" s="115"/>
      <c r="I3646" s="115"/>
      <c r="J3646" s="115"/>
      <c r="K3646" s="115"/>
      <c r="L3646" s="115"/>
      <c r="M3646" s="115"/>
      <c r="N3646" s="115"/>
      <c r="O3646" s="115"/>
    </row>
    <row r="3647">
      <c r="E3647" s="115"/>
      <c r="F3647" s="115"/>
      <c r="G3647" s="115"/>
      <c r="H3647" s="115"/>
      <c r="I3647" s="115"/>
      <c r="J3647" s="115"/>
      <c r="K3647" s="115"/>
      <c r="L3647" s="115"/>
      <c r="M3647" s="115"/>
      <c r="N3647" s="115"/>
      <c r="O3647" s="115"/>
    </row>
    <row r="3648">
      <c r="E3648" s="115"/>
      <c r="F3648" s="115"/>
      <c r="G3648" s="115"/>
      <c r="H3648" s="115"/>
      <c r="I3648" s="115"/>
      <c r="J3648" s="115"/>
      <c r="K3648" s="115"/>
      <c r="L3648" s="115"/>
      <c r="M3648" s="115"/>
      <c r="N3648" s="115"/>
      <c r="O3648" s="115"/>
    </row>
    <row r="3649">
      <c r="E3649" s="115"/>
      <c r="F3649" s="115"/>
      <c r="G3649" s="115"/>
      <c r="H3649" s="115"/>
      <c r="I3649" s="115"/>
      <c r="J3649" s="115"/>
      <c r="K3649" s="115"/>
      <c r="L3649" s="115"/>
      <c r="M3649" s="115"/>
      <c r="N3649" s="115"/>
      <c r="O3649" s="115"/>
    </row>
    <row r="3650">
      <c r="E3650" s="115"/>
      <c r="F3650" s="115"/>
      <c r="G3650" s="115"/>
      <c r="H3650" s="115"/>
      <c r="I3650" s="115"/>
      <c r="J3650" s="115"/>
      <c r="K3650" s="115"/>
      <c r="L3650" s="115"/>
      <c r="M3650" s="115"/>
      <c r="N3650" s="115"/>
      <c r="O3650" s="115"/>
    </row>
    <row r="3651">
      <c r="E3651" s="115"/>
      <c r="F3651" s="115"/>
      <c r="G3651" s="115"/>
      <c r="H3651" s="115"/>
      <c r="I3651" s="115"/>
      <c r="J3651" s="115"/>
      <c r="K3651" s="115"/>
      <c r="L3651" s="115"/>
      <c r="M3651" s="115"/>
      <c r="N3651" s="115"/>
      <c r="O3651" s="115"/>
    </row>
    <row r="3652">
      <c r="E3652" s="115"/>
      <c r="F3652" s="115"/>
      <c r="G3652" s="115"/>
      <c r="H3652" s="115"/>
      <c r="I3652" s="115"/>
      <c r="J3652" s="115"/>
      <c r="K3652" s="115"/>
      <c r="L3652" s="115"/>
      <c r="M3652" s="115"/>
      <c r="N3652" s="115"/>
      <c r="O3652" s="115"/>
    </row>
    <row r="3653">
      <c r="E3653" s="115"/>
      <c r="F3653" s="115"/>
      <c r="G3653" s="115"/>
      <c r="H3653" s="115"/>
      <c r="I3653" s="115"/>
      <c r="J3653" s="115"/>
      <c r="K3653" s="115"/>
      <c r="L3653" s="115"/>
      <c r="M3653" s="115"/>
      <c r="N3653" s="115"/>
      <c r="O3653" s="115"/>
    </row>
    <row r="3654">
      <c r="E3654" s="115"/>
      <c r="F3654" s="115"/>
      <c r="G3654" s="115"/>
      <c r="H3654" s="115"/>
      <c r="I3654" s="115"/>
      <c r="J3654" s="115"/>
      <c r="K3654" s="115"/>
      <c r="L3654" s="115"/>
      <c r="M3654" s="115"/>
      <c r="N3654" s="115"/>
      <c r="O3654" s="115"/>
    </row>
    <row r="3655">
      <c r="E3655" s="115"/>
      <c r="F3655" s="115"/>
      <c r="G3655" s="115"/>
      <c r="H3655" s="115"/>
      <c r="I3655" s="115"/>
      <c r="J3655" s="115"/>
      <c r="K3655" s="115"/>
      <c r="L3655" s="115"/>
      <c r="M3655" s="115"/>
      <c r="N3655" s="115"/>
      <c r="O3655" s="115"/>
    </row>
    <row r="3656">
      <c r="E3656" s="115"/>
      <c r="F3656" s="115"/>
      <c r="G3656" s="115"/>
      <c r="H3656" s="115"/>
      <c r="I3656" s="115"/>
      <c r="J3656" s="115"/>
      <c r="K3656" s="115"/>
      <c r="L3656" s="115"/>
      <c r="M3656" s="115"/>
      <c r="N3656" s="115"/>
      <c r="O3656" s="115"/>
    </row>
    <row r="3657">
      <c r="E3657" s="115"/>
      <c r="F3657" s="115"/>
      <c r="G3657" s="115"/>
      <c r="H3657" s="115"/>
      <c r="I3657" s="115"/>
      <c r="J3657" s="115"/>
      <c r="K3657" s="115"/>
      <c r="L3657" s="115"/>
      <c r="M3657" s="115"/>
      <c r="N3657" s="115"/>
      <c r="O3657" s="115"/>
    </row>
    <row r="3658">
      <c r="E3658" s="115"/>
      <c r="F3658" s="115"/>
      <c r="G3658" s="115"/>
      <c r="H3658" s="115"/>
      <c r="I3658" s="115"/>
      <c r="J3658" s="115"/>
      <c r="K3658" s="115"/>
      <c r="L3658" s="115"/>
      <c r="M3658" s="115"/>
      <c r="N3658" s="115"/>
      <c r="O3658" s="115"/>
    </row>
    <row r="3659">
      <c r="E3659" s="115"/>
      <c r="F3659" s="115"/>
      <c r="G3659" s="115"/>
      <c r="H3659" s="115"/>
      <c r="I3659" s="115"/>
      <c r="J3659" s="115"/>
      <c r="K3659" s="115"/>
      <c r="L3659" s="115"/>
      <c r="M3659" s="115"/>
      <c r="N3659" s="115"/>
      <c r="O3659" s="115"/>
    </row>
    <row r="3660">
      <c r="E3660" s="115"/>
      <c r="F3660" s="115"/>
      <c r="G3660" s="115"/>
      <c r="H3660" s="115"/>
      <c r="I3660" s="115"/>
      <c r="J3660" s="115"/>
      <c r="K3660" s="115"/>
      <c r="L3660" s="115"/>
      <c r="M3660" s="115"/>
      <c r="N3660" s="115"/>
      <c r="O3660" s="115"/>
    </row>
    <row r="3661">
      <c r="E3661" s="115"/>
      <c r="F3661" s="115"/>
      <c r="G3661" s="115"/>
      <c r="H3661" s="115"/>
      <c r="I3661" s="115"/>
      <c r="J3661" s="115"/>
      <c r="K3661" s="115"/>
      <c r="L3661" s="115"/>
      <c r="M3661" s="115"/>
      <c r="N3661" s="115"/>
      <c r="O3661" s="115"/>
    </row>
    <row r="3662">
      <c r="E3662" s="115"/>
      <c r="F3662" s="115"/>
      <c r="G3662" s="115"/>
      <c r="H3662" s="115"/>
      <c r="I3662" s="115"/>
      <c r="J3662" s="115"/>
      <c r="K3662" s="115"/>
      <c r="L3662" s="115"/>
      <c r="M3662" s="115"/>
      <c r="N3662" s="115"/>
      <c r="O3662" s="115"/>
    </row>
    <row r="3663">
      <c r="E3663" s="115"/>
      <c r="F3663" s="115"/>
      <c r="G3663" s="115"/>
      <c r="H3663" s="115"/>
      <c r="I3663" s="115"/>
      <c r="J3663" s="115"/>
      <c r="K3663" s="115"/>
      <c r="L3663" s="115"/>
      <c r="M3663" s="115"/>
      <c r="N3663" s="115"/>
      <c r="O3663" s="115"/>
    </row>
    <row r="3664">
      <c r="E3664" s="115"/>
      <c r="F3664" s="115"/>
      <c r="G3664" s="115"/>
      <c r="H3664" s="115"/>
      <c r="I3664" s="115"/>
      <c r="J3664" s="115"/>
      <c r="K3664" s="115"/>
      <c r="L3664" s="115"/>
      <c r="M3664" s="115"/>
      <c r="N3664" s="115"/>
      <c r="O3664" s="115"/>
    </row>
    <row r="3665">
      <c r="E3665" s="115"/>
      <c r="F3665" s="115"/>
      <c r="G3665" s="115"/>
      <c r="H3665" s="115"/>
      <c r="I3665" s="115"/>
      <c r="J3665" s="115"/>
      <c r="K3665" s="115"/>
      <c r="L3665" s="115"/>
      <c r="M3665" s="115"/>
      <c r="N3665" s="115"/>
      <c r="O3665" s="115"/>
    </row>
    <row r="3666">
      <c r="E3666" s="115"/>
      <c r="F3666" s="115"/>
      <c r="G3666" s="115"/>
      <c r="H3666" s="115"/>
      <c r="I3666" s="115"/>
      <c r="J3666" s="115"/>
      <c r="K3666" s="115"/>
      <c r="L3666" s="115"/>
      <c r="M3666" s="115"/>
      <c r="N3666" s="115"/>
      <c r="O3666" s="115"/>
    </row>
    <row r="3667">
      <c r="E3667" s="115"/>
      <c r="F3667" s="115"/>
      <c r="G3667" s="115"/>
      <c r="H3667" s="115"/>
      <c r="I3667" s="115"/>
      <c r="J3667" s="115"/>
      <c r="K3667" s="115"/>
      <c r="L3667" s="115"/>
      <c r="M3667" s="115"/>
      <c r="N3667" s="115"/>
      <c r="O3667" s="115"/>
    </row>
    <row r="3668">
      <c r="E3668" s="115"/>
      <c r="F3668" s="115"/>
      <c r="G3668" s="115"/>
      <c r="H3668" s="115"/>
      <c r="I3668" s="115"/>
      <c r="J3668" s="115"/>
      <c r="K3668" s="115"/>
      <c r="L3668" s="115"/>
      <c r="M3668" s="115"/>
      <c r="N3668" s="115"/>
      <c r="O3668" s="115"/>
    </row>
    <row r="3669">
      <c r="E3669" s="115"/>
      <c r="F3669" s="115"/>
      <c r="G3669" s="115"/>
      <c r="H3669" s="115"/>
      <c r="I3669" s="115"/>
      <c r="J3669" s="115"/>
      <c r="K3669" s="115"/>
      <c r="L3669" s="115"/>
      <c r="M3669" s="115"/>
      <c r="N3669" s="115"/>
      <c r="O3669" s="115"/>
    </row>
    <row r="3670">
      <c r="E3670" s="115"/>
      <c r="F3670" s="115"/>
      <c r="G3670" s="115"/>
      <c r="H3670" s="115"/>
      <c r="I3670" s="115"/>
      <c r="J3670" s="115"/>
      <c r="K3670" s="115"/>
      <c r="L3670" s="115"/>
      <c r="M3670" s="115"/>
      <c r="N3670" s="115"/>
      <c r="O3670" s="115"/>
    </row>
    <row r="3671">
      <c r="E3671" s="115"/>
      <c r="F3671" s="115"/>
      <c r="G3671" s="115"/>
      <c r="H3671" s="115"/>
      <c r="I3671" s="115"/>
      <c r="J3671" s="115"/>
      <c r="K3671" s="115"/>
      <c r="L3671" s="115"/>
      <c r="M3671" s="115"/>
      <c r="N3671" s="115"/>
      <c r="O3671" s="115"/>
    </row>
    <row r="3672">
      <c r="E3672" s="115"/>
      <c r="F3672" s="115"/>
      <c r="G3672" s="115"/>
      <c r="H3672" s="115"/>
      <c r="I3672" s="115"/>
      <c r="J3672" s="115"/>
      <c r="K3672" s="115"/>
      <c r="L3672" s="115"/>
      <c r="M3672" s="115"/>
      <c r="N3672" s="115"/>
      <c r="O3672" s="115"/>
    </row>
    <row r="3673">
      <c r="E3673" s="115"/>
      <c r="F3673" s="115"/>
      <c r="G3673" s="115"/>
      <c r="H3673" s="115"/>
      <c r="I3673" s="115"/>
      <c r="J3673" s="115"/>
      <c r="K3673" s="115"/>
      <c r="L3673" s="115"/>
      <c r="M3673" s="115"/>
      <c r="N3673" s="115"/>
      <c r="O3673" s="115"/>
    </row>
    <row r="3674">
      <c r="E3674" s="115"/>
      <c r="F3674" s="115"/>
      <c r="G3674" s="115"/>
      <c r="H3674" s="115"/>
      <c r="I3674" s="115"/>
      <c r="J3674" s="115"/>
      <c r="K3674" s="115"/>
      <c r="L3674" s="115"/>
      <c r="M3674" s="115"/>
      <c r="N3674" s="115"/>
      <c r="O3674" s="115"/>
    </row>
    <row r="3675">
      <c r="E3675" s="115"/>
      <c r="F3675" s="115"/>
      <c r="G3675" s="115"/>
      <c r="H3675" s="115"/>
      <c r="I3675" s="115"/>
      <c r="J3675" s="115"/>
      <c r="K3675" s="115"/>
      <c r="L3675" s="115"/>
      <c r="M3675" s="115"/>
      <c r="N3675" s="115"/>
      <c r="O3675" s="115"/>
    </row>
    <row r="3676">
      <c r="E3676" s="115"/>
      <c r="F3676" s="115"/>
      <c r="G3676" s="115"/>
      <c r="H3676" s="115"/>
      <c r="I3676" s="115"/>
      <c r="J3676" s="115"/>
      <c r="K3676" s="115"/>
      <c r="L3676" s="115"/>
      <c r="M3676" s="115"/>
      <c r="N3676" s="115"/>
      <c r="O3676" s="115"/>
    </row>
    <row r="3677">
      <c r="E3677" s="115"/>
      <c r="F3677" s="115"/>
      <c r="G3677" s="115"/>
      <c r="H3677" s="115"/>
      <c r="I3677" s="115"/>
      <c r="J3677" s="115"/>
      <c r="K3677" s="115"/>
      <c r="L3677" s="115"/>
      <c r="M3677" s="115"/>
      <c r="N3677" s="115"/>
      <c r="O3677" s="115"/>
    </row>
    <row r="3678">
      <c r="E3678" s="115"/>
      <c r="F3678" s="115"/>
      <c r="G3678" s="115"/>
      <c r="H3678" s="115"/>
      <c r="I3678" s="115"/>
      <c r="J3678" s="115"/>
      <c r="K3678" s="115"/>
      <c r="L3678" s="115"/>
      <c r="M3678" s="115"/>
      <c r="N3678" s="115"/>
      <c r="O3678" s="115"/>
    </row>
    <row r="3679">
      <c r="E3679" s="115"/>
      <c r="F3679" s="115"/>
      <c r="G3679" s="115"/>
      <c r="H3679" s="115"/>
      <c r="I3679" s="115"/>
      <c r="J3679" s="115"/>
      <c r="K3679" s="115"/>
      <c r="L3679" s="115"/>
      <c r="M3679" s="115"/>
      <c r="N3679" s="115"/>
      <c r="O3679" s="115"/>
    </row>
    <row r="3680">
      <c r="E3680" s="115"/>
      <c r="F3680" s="115"/>
      <c r="G3680" s="115"/>
      <c r="H3680" s="115"/>
      <c r="I3680" s="115"/>
      <c r="J3680" s="115"/>
      <c r="K3680" s="115"/>
      <c r="L3680" s="115"/>
      <c r="M3680" s="115"/>
      <c r="N3680" s="115"/>
      <c r="O3680" s="115"/>
    </row>
    <row r="3681">
      <c r="E3681" s="115"/>
      <c r="F3681" s="115"/>
      <c r="G3681" s="115"/>
      <c r="H3681" s="115"/>
      <c r="I3681" s="115"/>
      <c r="J3681" s="115"/>
      <c r="K3681" s="115"/>
      <c r="L3681" s="115"/>
      <c r="M3681" s="115"/>
      <c r="N3681" s="115"/>
      <c r="O3681" s="115"/>
    </row>
    <row r="3682">
      <c r="E3682" s="115"/>
      <c r="F3682" s="115"/>
      <c r="G3682" s="115"/>
      <c r="H3682" s="115"/>
      <c r="I3682" s="115"/>
      <c r="J3682" s="115"/>
      <c r="K3682" s="115"/>
      <c r="L3682" s="115"/>
      <c r="M3682" s="115"/>
      <c r="N3682" s="115"/>
      <c r="O3682" s="115"/>
    </row>
    <row r="3683">
      <c r="E3683" s="115"/>
      <c r="F3683" s="115"/>
      <c r="G3683" s="115"/>
      <c r="H3683" s="115"/>
      <c r="I3683" s="115"/>
      <c r="J3683" s="115"/>
      <c r="K3683" s="115"/>
      <c r="L3683" s="115"/>
      <c r="M3683" s="115"/>
      <c r="N3683" s="115"/>
      <c r="O3683" s="115"/>
    </row>
    <row r="3684">
      <c r="E3684" s="115"/>
      <c r="F3684" s="115"/>
      <c r="G3684" s="115"/>
      <c r="H3684" s="115"/>
      <c r="I3684" s="115"/>
      <c r="J3684" s="115"/>
      <c r="K3684" s="115"/>
      <c r="L3684" s="115"/>
      <c r="M3684" s="115"/>
      <c r="N3684" s="115"/>
      <c r="O3684" s="115"/>
    </row>
    <row r="3685">
      <c r="E3685" s="115"/>
      <c r="F3685" s="115"/>
      <c r="G3685" s="115"/>
      <c r="H3685" s="115"/>
      <c r="I3685" s="115"/>
      <c r="J3685" s="115"/>
      <c r="K3685" s="115"/>
      <c r="L3685" s="115"/>
      <c r="M3685" s="115"/>
      <c r="N3685" s="115"/>
      <c r="O3685" s="115"/>
    </row>
    <row r="3686">
      <c r="E3686" s="115"/>
      <c r="F3686" s="115"/>
      <c r="G3686" s="115"/>
      <c r="H3686" s="115"/>
      <c r="I3686" s="115"/>
      <c r="J3686" s="115"/>
      <c r="K3686" s="115"/>
      <c r="L3686" s="115"/>
      <c r="M3686" s="115"/>
      <c r="N3686" s="115"/>
      <c r="O3686" s="115"/>
    </row>
    <row r="3687">
      <c r="E3687" s="115"/>
      <c r="F3687" s="115"/>
      <c r="G3687" s="115"/>
      <c r="H3687" s="115"/>
      <c r="I3687" s="115"/>
      <c r="J3687" s="115"/>
      <c r="K3687" s="115"/>
      <c r="L3687" s="115"/>
      <c r="M3687" s="115"/>
      <c r="N3687" s="115"/>
      <c r="O3687" s="115"/>
    </row>
    <row r="3688">
      <c r="E3688" s="115"/>
      <c r="F3688" s="115"/>
      <c r="G3688" s="115"/>
      <c r="H3688" s="115"/>
      <c r="I3688" s="115"/>
      <c r="J3688" s="115"/>
      <c r="K3688" s="115"/>
      <c r="L3688" s="115"/>
      <c r="M3688" s="115"/>
      <c r="N3688" s="115"/>
      <c r="O3688" s="115"/>
    </row>
    <row r="3689">
      <c r="E3689" s="115"/>
      <c r="F3689" s="115"/>
      <c r="G3689" s="115"/>
      <c r="H3689" s="115"/>
      <c r="I3689" s="115"/>
      <c r="J3689" s="115"/>
      <c r="K3689" s="115"/>
      <c r="L3689" s="115"/>
      <c r="M3689" s="115"/>
      <c r="N3689" s="115"/>
      <c r="O3689" s="115"/>
    </row>
    <row r="3690">
      <c r="E3690" s="115"/>
      <c r="F3690" s="115"/>
      <c r="G3690" s="115"/>
      <c r="H3690" s="115"/>
      <c r="I3690" s="115"/>
      <c r="J3690" s="115"/>
      <c r="K3690" s="115"/>
      <c r="L3690" s="115"/>
      <c r="M3690" s="115"/>
      <c r="N3690" s="115"/>
      <c r="O3690" s="115"/>
    </row>
    <row r="3691">
      <c r="E3691" s="115"/>
      <c r="F3691" s="115"/>
      <c r="G3691" s="115"/>
      <c r="H3691" s="115"/>
      <c r="I3691" s="115"/>
      <c r="J3691" s="115"/>
      <c r="K3691" s="115"/>
      <c r="L3691" s="115"/>
      <c r="M3691" s="115"/>
      <c r="N3691" s="115"/>
      <c r="O3691" s="115"/>
    </row>
    <row r="3692">
      <c r="E3692" s="115"/>
      <c r="F3692" s="115"/>
      <c r="G3692" s="115"/>
      <c r="H3692" s="115"/>
      <c r="I3692" s="115"/>
      <c r="J3692" s="115"/>
      <c r="K3692" s="115"/>
      <c r="L3692" s="115"/>
      <c r="M3692" s="115"/>
      <c r="N3692" s="115"/>
      <c r="O3692" s="115"/>
    </row>
    <row r="3693">
      <c r="E3693" s="115"/>
      <c r="F3693" s="115"/>
      <c r="G3693" s="115"/>
      <c r="H3693" s="115"/>
      <c r="I3693" s="115"/>
      <c r="J3693" s="115"/>
      <c r="K3693" s="115"/>
      <c r="L3693" s="115"/>
      <c r="M3693" s="115"/>
      <c r="N3693" s="115"/>
      <c r="O3693" s="115"/>
    </row>
    <row r="3694">
      <c r="E3694" s="115"/>
      <c r="F3694" s="115"/>
      <c r="G3694" s="115"/>
      <c r="H3694" s="115"/>
      <c r="I3694" s="115"/>
      <c r="J3694" s="115"/>
      <c r="K3694" s="115"/>
      <c r="L3694" s="115"/>
      <c r="M3694" s="115"/>
      <c r="N3694" s="115"/>
      <c r="O3694" s="115"/>
    </row>
    <row r="3695">
      <c r="E3695" s="115"/>
      <c r="F3695" s="115"/>
      <c r="G3695" s="115"/>
      <c r="H3695" s="115"/>
      <c r="I3695" s="115"/>
      <c r="J3695" s="115"/>
      <c r="K3695" s="115"/>
      <c r="L3695" s="115"/>
      <c r="M3695" s="115"/>
      <c r="N3695" s="115"/>
      <c r="O3695" s="115"/>
    </row>
    <row r="3696">
      <c r="E3696" s="115"/>
      <c r="F3696" s="115"/>
      <c r="G3696" s="115"/>
      <c r="H3696" s="115"/>
      <c r="I3696" s="115"/>
      <c r="J3696" s="115"/>
      <c r="K3696" s="115"/>
      <c r="L3696" s="115"/>
      <c r="M3696" s="115"/>
      <c r="N3696" s="115"/>
      <c r="O3696" s="115"/>
    </row>
    <row r="3697">
      <c r="E3697" s="115"/>
      <c r="F3697" s="115"/>
      <c r="G3697" s="115"/>
      <c r="H3697" s="115"/>
      <c r="I3697" s="115"/>
      <c r="J3697" s="115"/>
      <c r="K3697" s="115"/>
      <c r="L3697" s="115"/>
      <c r="M3697" s="115"/>
      <c r="N3697" s="115"/>
      <c r="O3697" s="115"/>
    </row>
    <row r="3698">
      <c r="E3698" s="115"/>
      <c r="F3698" s="115"/>
      <c r="G3698" s="115"/>
      <c r="H3698" s="115"/>
      <c r="I3698" s="115"/>
      <c r="J3698" s="115"/>
      <c r="K3698" s="115"/>
      <c r="L3698" s="115"/>
      <c r="M3698" s="115"/>
      <c r="N3698" s="115"/>
      <c r="O3698" s="115"/>
    </row>
    <row r="3699">
      <c r="E3699" s="115"/>
      <c r="F3699" s="115"/>
      <c r="G3699" s="115"/>
      <c r="H3699" s="115"/>
      <c r="I3699" s="115"/>
      <c r="J3699" s="115"/>
      <c r="K3699" s="115"/>
      <c r="L3699" s="115"/>
      <c r="M3699" s="115"/>
      <c r="N3699" s="115"/>
      <c r="O3699" s="115"/>
    </row>
    <row r="3700">
      <c r="E3700" s="115"/>
      <c r="F3700" s="115"/>
      <c r="G3700" s="115"/>
      <c r="H3700" s="115"/>
      <c r="I3700" s="115"/>
      <c r="J3700" s="115"/>
      <c r="K3700" s="115"/>
      <c r="L3700" s="115"/>
      <c r="M3700" s="115"/>
      <c r="N3700" s="115"/>
      <c r="O3700" s="115"/>
    </row>
    <row r="3701">
      <c r="E3701" s="115"/>
      <c r="F3701" s="115"/>
      <c r="G3701" s="115"/>
      <c r="H3701" s="115"/>
      <c r="I3701" s="115"/>
      <c r="J3701" s="115"/>
      <c r="K3701" s="115"/>
      <c r="L3701" s="115"/>
      <c r="M3701" s="115"/>
      <c r="N3701" s="115"/>
      <c r="O3701" s="115"/>
    </row>
    <row r="3702">
      <c r="E3702" s="115"/>
      <c r="F3702" s="115"/>
      <c r="G3702" s="115"/>
      <c r="H3702" s="115"/>
      <c r="I3702" s="115"/>
      <c r="J3702" s="115"/>
      <c r="K3702" s="115"/>
      <c r="L3702" s="115"/>
      <c r="M3702" s="115"/>
      <c r="N3702" s="115"/>
      <c r="O3702" s="115"/>
    </row>
    <row r="3703">
      <c r="E3703" s="115"/>
      <c r="F3703" s="115"/>
      <c r="G3703" s="115"/>
      <c r="H3703" s="115"/>
      <c r="I3703" s="115"/>
      <c r="J3703" s="115"/>
      <c r="K3703" s="115"/>
      <c r="L3703" s="115"/>
      <c r="M3703" s="115"/>
      <c r="N3703" s="115"/>
      <c r="O3703" s="115"/>
    </row>
    <row r="3704">
      <c r="E3704" s="115"/>
      <c r="F3704" s="115"/>
      <c r="G3704" s="115"/>
      <c r="H3704" s="115"/>
      <c r="I3704" s="115"/>
      <c r="J3704" s="115"/>
      <c r="K3704" s="115"/>
      <c r="L3704" s="115"/>
      <c r="M3704" s="115"/>
      <c r="N3704" s="115"/>
      <c r="O3704" s="115"/>
    </row>
    <row r="3705">
      <c r="E3705" s="115"/>
      <c r="F3705" s="115"/>
      <c r="G3705" s="115"/>
      <c r="H3705" s="115"/>
      <c r="I3705" s="115"/>
      <c r="J3705" s="115"/>
      <c r="K3705" s="115"/>
      <c r="L3705" s="115"/>
      <c r="M3705" s="115"/>
      <c r="N3705" s="115"/>
      <c r="O3705" s="115"/>
    </row>
    <row r="3706">
      <c r="E3706" s="115"/>
      <c r="F3706" s="115"/>
      <c r="G3706" s="115"/>
      <c r="H3706" s="115"/>
      <c r="I3706" s="115"/>
      <c r="J3706" s="115"/>
      <c r="K3706" s="115"/>
      <c r="L3706" s="115"/>
      <c r="M3706" s="115"/>
      <c r="N3706" s="115"/>
      <c r="O3706" s="115"/>
    </row>
    <row r="3707">
      <c r="E3707" s="115"/>
      <c r="F3707" s="115"/>
      <c r="G3707" s="115"/>
      <c r="H3707" s="115"/>
      <c r="I3707" s="115"/>
      <c r="J3707" s="115"/>
      <c r="K3707" s="115"/>
      <c r="L3707" s="115"/>
      <c r="M3707" s="115"/>
      <c r="N3707" s="115"/>
      <c r="O3707" s="115"/>
    </row>
    <row r="3708">
      <c r="E3708" s="115"/>
      <c r="F3708" s="115"/>
      <c r="G3708" s="115"/>
      <c r="H3708" s="115"/>
      <c r="I3708" s="115"/>
      <c r="J3708" s="115"/>
      <c r="K3708" s="115"/>
      <c r="L3708" s="115"/>
      <c r="M3708" s="115"/>
      <c r="N3708" s="115"/>
      <c r="O3708" s="115"/>
    </row>
    <row r="3709">
      <c r="E3709" s="115"/>
      <c r="F3709" s="115"/>
      <c r="G3709" s="115"/>
      <c r="H3709" s="115"/>
      <c r="I3709" s="115"/>
      <c r="J3709" s="115"/>
      <c r="K3709" s="115"/>
      <c r="L3709" s="115"/>
      <c r="M3709" s="115"/>
      <c r="N3709" s="115"/>
      <c r="O3709" s="115"/>
    </row>
    <row r="3710">
      <c r="E3710" s="115"/>
      <c r="F3710" s="115"/>
      <c r="G3710" s="115"/>
      <c r="H3710" s="115"/>
      <c r="I3710" s="115"/>
      <c r="J3710" s="115"/>
      <c r="K3710" s="115"/>
      <c r="L3710" s="115"/>
      <c r="M3710" s="115"/>
      <c r="N3710" s="115"/>
      <c r="O3710" s="115"/>
    </row>
    <row r="3711">
      <c r="E3711" s="115"/>
      <c r="F3711" s="115"/>
      <c r="G3711" s="115"/>
      <c r="H3711" s="115"/>
      <c r="I3711" s="115"/>
      <c r="J3711" s="115"/>
      <c r="K3711" s="115"/>
      <c r="L3711" s="115"/>
      <c r="M3711" s="115"/>
      <c r="N3711" s="115"/>
      <c r="O3711" s="115"/>
    </row>
    <row r="3712">
      <c r="E3712" s="115"/>
      <c r="F3712" s="115"/>
      <c r="G3712" s="115"/>
      <c r="H3712" s="115"/>
      <c r="I3712" s="115"/>
      <c r="J3712" s="115"/>
      <c r="K3712" s="115"/>
      <c r="L3712" s="115"/>
      <c r="M3712" s="115"/>
      <c r="N3712" s="115"/>
      <c r="O3712" s="115"/>
    </row>
    <row r="3713">
      <c r="E3713" s="115"/>
      <c r="F3713" s="115"/>
      <c r="G3713" s="115"/>
      <c r="H3713" s="115"/>
      <c r="I3713" s="115"/>
      <c r="J3713" s="115"/>
      <c r="K3713" s="115"/>
      <c r="L3713" s="115"/>
      <c r="M3713" s="115"/>
      <c r="N3713" s="115"/>
      <c r="O3713" s="115"/>
    </row>
    <row r="3714">
      <c r="E3714" s="115"/>
      <c r="F3714" s="115"/>
      <c r="G3714" s="115"/>
      <c r="H3714" s="115"/>
      <c r="I3714" s="115"/>
      <c r="J3714" s="115"/>
      <c r="K3714" s="115"/>
      <c r="L3714" s="115"/>
      <c r="M3714" s="115"/>
      <c r="N3714" s="115"/>
      <c r="O3714" s="115"/>
    </row>
    <row r="3715">
      <c r="E3715" s="115"/>
      <c r="F3715" s="115"/>
      <c r="G3715" s="115"/>
      <c r="H3715" s="115"/>
      <c r="I3715" s="115"/>
      <c r="J3715" s="115"/>
      <c r="K3715" s="115"/>
      <c r="L3715" s="115"/>
      <c r="M3715" s="115"/>
      <c r="N3715" s="115"/>
      <c r="O3715" s="115"/>
    </row>
    <row r="3716">
      <c r="E3716" s="115"/>
      <c r="F3716" s="115"/>
      <c r="G3716" s="115"/>
      <c r="H3716" s="115"/>
      <c r="I3716" s="115"/>
      <c r="J3716" s="115"/>
      <c r="K3716" s="115"/>
      <c r="L3716" s="115"/>
      <c r="M3716" s="115"/>
      <c r="N3716" s="115"/>
      <c r="O3716" s="115"/>
    </row>
    <row r="3717">
      <c r="E3717" s="115"/>
      <c r="F3717" s="115"/>
      <c r="G3717" s="115"/>
      <c r="H3717" s="115"/>
      <c r="I3717" s="115"/>
      <c r="J3717" s="115"/>
      <c r="K3717" s="115"/>
      <c r="L3717" s="115"/>
      <c r="M3717" s="115"/>
      <c r="N3717" s="115"/>
      <c r="O3717" s="115"/>
    </row>
    <row r="3718">
      <c r="E3718" s="115"/>
      <c r="F3718" s="115"/>
      <c r="G3718" s="115"/>
      <c r="H3718" s="115"/>
      <c r="I3718" s="115"/>
      <c r="J3718" s="115"/>
      <c r="K3718" s="115"/>
      <c r="L3718" s="115"/>
      <c r="M3718" s="115"/>
      <c r="N3718" s="115"/>
      <c r="O3718" s="115"/>
    </row>
    <row r="3719">
      <c r="E3719" s="115"/>
      <c r="F3719" s="115"/>
      <c r="G3719" s="115"/>
      <c r="H3719" s="115"/>
      <c r="I3719" s="115"/>
      <c r="J3719" s="115"/>
      <c r="K3719" s="115"/>
      <c r="L3719" s="115"/>
      <c r="M3719" s="115"/>
      <c r="N3719" s="115"/>
      <c r="O3719" s="115"/>
    </row>
    <row r="3720">
      <c r="E3720" s="115"/>
      <c r="F3720" s="115"/>
      <c r="G3720" s="115"/>
      <c r="H3720" s="115"/>
      <c r="I3720" s="115"/>
      <c r="J3720" s="115"/>
      <c r="K3720" s="115"/>
      <c r="L3720" s="115"/>
      <c r="M3720" s="115"/>
      <c r="N3720" s="115"/>
      <c r="O3720" s="115"/>
    </row>
    <row r="3721">
      <c r="E3721" s="115"/>
      <c r="F3721" s="115"/>
      <c r="G3721" s="115"/>
      <c r="H3721" s="115"/>
      <c r="I3721" s="115"/>
      <c r="J3721" s="115"/>
      <c r="K3721" s="115"/>
      <c r="L3721" s="115"/>
      <c r="M3721" s="115"/>
      <c r="N3721" s="115"/>
      <c r="O3721" s="115"/>
    </row>
    <row r="3722">
      <c r="E3722" s="115"/>
      <c r="F3722" s="115"/>
      <c r="G3722" s="115"/>
      <c r="H3722" s="115"/>
      <c r="I3722" s="115"/>
      <c r="J3722" s="115"/>
      <c r="K3722" s="115"/>
      <c r="L3722" s="115"/>
      <c r="M3722" s="115"/>
      <c r="N3722" s="115"/>
      <c r="O3722" s="115"/>
    </row>
    <row r="3723">
      <c r="E3723" s="115"/>
      <c r="F3723" s="115"/>
      <c r="G3723" s="115"/>
      <c r="H3723" s="115"/>
      <c r="I3723" s="115"/>
      <c r="J3723" s="115"/>
      <c r="K3723" s="115"/>
      <c r="L3723" s="115"/>
      <c r="M3723" s="115"/>
      <c r="N3723" s="115"/>
      <c r="O3723" s="115"/>
    </row>
    <row r="3724">
      <c r="E3724" s="115"/>
      <c r="F3724" s="115"/>
      <c r="G3724" s="115"/>
      <c r="H3724" s="115"/>
      <c r="I3724" s="115"/>
      <c r="J3724" s="115"/>
      <c r="K3724" s="115"/>
      <c r="L3724" s="115"/>
      <c r="M3724" s="115"/>
      <c r="N3724" s="115"/>
      <c r="O3724" s="115"/>
    </row>
    <row r="3725">
      <c r="E3725" s="115"/>
      <c r="F3725" s="115"/>
      <c r="G3725" s="115"/>
      <c r="H3725" s="115"/>
      <c r="I3725" s="115"/>
      <c r="J3725" s="115"/>
      <c r="K3725" s="115"/>
      <c r="L3725" s="115"/>
      <c r="M3725" s="115"/>
      <c r="N3725" s="115"/>
      <c r="O3725" s="115"/>
    </row>
    <row r="3726">
      <c r="E3726" s="115"/>
      <c r="F3726" s="115"/>
      <c r="G3726" s="115"/>
      <c r="H3726" s="115"/>
      <c r="I3726" s="115"/>
      <c r="J3726" s="115"/>
      <c r="K3726" s="115"/>
      <c r="L3726" s="115"/>
      <c r="M3726" s="115"/>
      <c r="N3726" s="115"/>
      <c r="O3726" s="115"/>
    </row>
    <row r="3727">
      <c r="E3727" s="115"/>
      <c r="F3727" s="115"/>
      <c r="G3727" s="115"/>
      <c r="H3727" s="115"/>
      <c r="I3727" s="115"/>
      <c r="J3727" s="115"/>
      <c r="K3727" s="115"/>
      <c r="L3727" s="115"/>
      <c r="M3727" s="115"/>
      <c r="N3727" s="115"/>
      <c r="O3727" s="115"/>
    </row>
    <row r="3728">
      <c r="E3728" s="115"/>
      <c r="F3728" s="115"/>
      <c r="G3728" s="115"/>
      <c r="H3728" s="115"/>
      <c r="I3728" s="115"/>
      <c r="J3728" s="115"/>
      <c r="K3728" s="115"/>
      <c r="L3728" s="115"/>
      <c r="M3728" s="115"/>
      <c r="N3728" s="115"/>
      <c r="O3728" s="115"/>
    </row>
    <row r="3729">
      <c r="E3729" s="115"/>
      <c r="F3729" s="115"/>
      <c r="G3729" s="115"/>
      <c r="H3729" s="115"/>
      <c r="I3729" s="115"/>
      <c r="J3729" s="115"/>
      <c r="K3729" s="115"/>
      <c r="L3729" s="115"/>
      <c r="M3729" s="115"/>
      <c r="N3729" s="115"/>
      <c r="O3729" s="115"/>
    </row>
    <row r="3730">
      <c r="E3730" s="115"/>
      <c r="F3730" s="115"/>
      <c r="G3730" s="115"/>
      <c r="H3730" s="115"/>
      <c r="I3730" s="115"/>
      <c r="J3730" s="115"/>
      <c r="K3730" s="115"/>
      <c r="L3730" s="115"/>
      <c r="M3730" s="115"/>
      <c r="N3730" s="115"/>
      <c r="O3730" s="115"/>
    </row>
    <row r="3731">
      <c r="E3731" s="115"/>
      <c r="F3731" s="115"/>
      <c r="G3731" s="115"/>
      <c r="H3731" s="115"/>
      <c r="I3731" s="115"/>
      <c r="J3731" s="115"/>
      <c r="K3731" s="115"/>
      <c r="L3731" s="115"/>
      <c r="M3731" s="115"/>
      <c r="N3731" s="115"/>
      <c r="O3731" s="115"/>
    </row>
    <row r="3732">
      <c r="E3732" s="115"/>
      <c r="F3732" s="115"/>
      <c r="G3732" s="115"/>
      <c r="H3732" s="115"/>
      <c r="I3732" s="115"/>
      <c r="J3732" s="115"/>
      <c r="K3732" s="115"/>
      <c r="L3732" s="115"/>
      <c r="M3732" s="115"/>
      <c r="N3732" s="115"/>
      <c r="O3732" s="115"/>
    </row>
    <row r="3733">
      <c r="E3733" s="115"/>
      <c r="F3733" s="115"/>
      <c r="G3733" s="115"/>
      <c r="H3733" s="115"/>
      <c r="I3733" s="115"/>
      <c r="J3733" s="115"/>
      <c r="K3733" s="115"/>
      <c r="L3733" s="115"/>
      <c r="M3733" s="115"/>
      <c r="N3733" s="115"/>
      <c r="O3733" s="115"/>
    </row>
    <row r="3734">
      <c r="E3734" s="115"/>
      <c r="F3734" s="115"/>
      <c r="G3734" s="115"/>
      <c r="H3734" s="115"/>
      <c r="I3734" s="115"/>
      <c r="J3734" s="115"/>
      <c r="K3734" s="115"/>
      <c r="L3734" s="115"/>
      <c r="M3734" s="115"/>
      <c r="N3734" s="115"/>
      <c r="O3734" s="115"/>
    </row>
    <row r="3735">
      <c r="E3735" s="115"/>
      <c r="F3735" s="115"/>
      <c r="G3735" s="115"/>
      <c r="H3735" s="115"/>
      <c r="I3735" s="115"/>
      <c r="J3735" s="115"/>
      <c r="K3735" s="115"/>
      <c r="L3735" s="115"/>
      <c r="M3735" s="115"/>
      <c r="N3735" s="115"/>
      <c r="O3735" s="115"/>
    </row>
    <row r="3736">
      <c r="E3736" s="115"/>
      <c r="F3736" s="115"/>
      <c r="G3736" s="115"/>
      <c r="H3736" s="115"/>
      <c r="I3736" s="115"/>
      <c r="J3736" s="115"/>
      <c r="K3736" s="115"/>
      <c r="L3736" s="115"/>
      <c r="M3736" s="115"/>
      <c r="N3736" s="115"/>
      <c r="O3736" s="115"/>
    </row>
    <row r="3737">
      <c r="E3737" s="115"/>
      <c r="F3737" s="115"/>
      <c r="G3737" s="115"/>
      <c r="H3737" s="115"/>
      <c r="I3737" s="115"/>
      <c r="J3737" s="115"/>
      <c r="K3737" s="115"/>
      <c r="L3737" s="115"/>
      <c r="M3737" s="115"/>
      <c r="N3737" s="115"/>
      <c r="O3737" s="115"/>
    </row>
    <row r="3738">
      <c r="E3738" s="115"/>
      <c r="F3738" s="115"/>
      <c r="G3738" s="115"/>
      <c r="H3738" s="115"/>
      <c r="I3738" s="115"/>
      <c r="J3738" s="115"/>
      <c r="K3738" s="115"/>
      <c r="L3738" s="115"/>
      <c r="M3738" s="115"/>
      <c r="N3738" s="115"/>
      <c r="O3738" s="115"/>
    </row>
    <row r="3739">
      <c r="E3739" s="115"/>
      <c r="F3739" s="115"/>
      <c r="G3739" s="115"/>
      <c r="H3739" s="115"/>
      <c r="I3739" s="115"/>
      <c r="J3739" s="115"/>
      <c r="K3739" s="115"/>
      <c r="L3739" s="115"/>
      <c r="M3739" s="115"/>
      <c r="N3739" s="115"/>
      <c r="O3739" s="115"/>
    </row>
    <row r="3740">
      <c r="E3740" s="115"/>
      <c r="F3740" s="115"/>
      <c r="G3740" s="115"/>
      <c r="H3740" s="115"/>
      <c r="I3740" s="115"/>
      <c r="J3740" s="115"/>
      <c r="K3740" s="115"/>
      <c r="L3740" s="115"/>
      <c r="M3740" s="115"/>
      <c r="N3740" s="115"/>
      <c r="O3740" s="115"/>
    </row>
    <row r="3741">
      <c r="E3741" s="115"/>
      <c r="F3741" s="115"/>
      <c r="G3741" s="115"/>
      <c r="H3741" s="115"/>
      <c r="I3741" s="115"/>
      <c r="J3741" s="115"/>
      <c r="K3741" s="115"/>
      <c r="L3741" s="115"/>
      <c r="M3741" s="115"/>
      <c r="N3741" s="115"/>
      <c r="O3741" s="115"/>
    </row>
    <row r="3742">
      <c r="E3742" s="115"/>
      <c r="F3742" s="115"/>
      <c r="G3742" s="115"/>
      <c r="H3742" s="115"/>
      <c r="I3742" s="115"/>
      <c r="J3742" s="115"/>
      <c r="K3742" s="115"/>
      <c r="L3742" s="115"/>
      <c r="M3742" s="115"/>
      <c r="N3742" s="115"/>
      <c r="O3742" s="115"/>
    </row>
    <row r="3743">
      <c r="E3743" s="115"/>
      <c r="F3743" s="115"/>
      <c r="G3743" s="115"/>
      <c r="H3743" s="115"/>
      <c r="I3743" s="115"/>
      <c r="J3743" s="115"/>
      <c r="K3743" s="115"/>
      <c r="L3743" s="115"/>
      <c r="M3743" s="115"/>
      <c r="N3743" s="115"/>
      <c r="O3743" s="115"/>
    </row>
    <row r="3744">
      <c r="E3744" s="115"/>
      <c r="F3744" s="115"/>
      <c r="G3744" s="115"/>
      <c r="H3744" s="115"/>
      <c r="I3744" s="115"/>
      <c r="J3744" s="115"/>
      <c r="K3744" s="115"/>
      <c r="L3744" s="115"/>
      <c r="M3744" s="115"/>
      <c r="N3744" s="115"/>
      <c r="O3744" s="115"/>
    </row>
    <row r="3745">
      <c r="E3745" s="115"/>
      <c r="F3745" s="115"/>
      <c r="G3745" s="115"/>
      <c r="H3745" s="115"/>
      <c r="I3745" s="115"/>
      <c r="J3745" s="115"/>
      <c r="K3745" s="115"/>
      <c r="L3745" s="115"/>
      <c r="M3745" s="115"/>
      <c r="N3745" s="115"/>
      <c r="O3745" s="115"/>
    </row>
    <row r="3746">
      <c r="E3746" s="115"/>
      <c r="F3746" s="115"/>
      <c r="G3746" s="115"/>
      <c r="H3746" s="115"/>
      <c r="I3746" s="115"/>
      <c r="J3746" s="115"/>
      <c r="K3746" s="115"/>
      <c r="L3746" s="115"/>
      <c r="M3746" s="115"/>
      <c r="N3746" s="115"/>
      <c r="O3746" s="115"/>
    </row>
    <row r="3747">
      <c r="E3747" s="115"/>
      <c r="F3747" s="115"/>
      <c r="G3747" s="115"/>
      <c r="H3747" s="115"/>
      <c r="I3747" s="115"/>
      <c r="J3747" s="115"/>
      <c r="K3747" s="115"/>
      <c r="L3747" s="115"/>
      <c r="M3747" s="115"/>
      <c r="N3747" s="115"/>
      <c r="O3747" s="115"/>
    </row>
    <row r="3748">
      <c r="E3748" s="115"/>
      <c r="F3748" s="115"/>
      <c r="G3748" s="115"/>
      <c r="H3748" s="115"/>
      <c r="I3748" s="115"/>
      <c r="J3748" s="115"/>
      <c r="K3748" s="115"/>
      <c r="L3748" s="115"/>
      <c r="M3748" s="115"/>
      <c r="N3748" s="115"/>
      <c r="O3748" s="115"/>
    </row>
    <row r="3749">
      <c r="E3749" s="115"/>
      <c r="F3749" s="115"/>
      <c r="G3749" s="115"/>
      <c r="H3749" s="115"/>
      <c r="I3749" s="115"/>
      <c r="J3749" s="115"/>
      <c r="K3749" s="115"/>
      <c r="L3749" s="115"/>
      <c r="M3749" s="115"/>
      <c r="N3749" s="115"/>
      <c r="O3749" s="115"/>
    </row>
    <row r="3750">
      <c r="E3750" s="115"/>
      <c r="F3750" s="115"/>
      <c r="G3750" s="115"/>
      <c r="H3750" s="115"/>
      <c r="I3750" s="115"/>
      <c r="J3750" s="115"/>
      <c r="K3750" s="115"/>
      <c r="L3750" s="115"/>
      <c r="M3750" s="115"/>
      <c r="N3750" s="115"/>
      <c r="O3750" s="115"/>
    </row>
    <row r="3751">
      <c r="E3751" s="115"/>
      <c r="F3751" s="115"/>
      <c r="G3751" s="115"/>
      <c r="H3751" s="115"/>
      <c r="I3751" s="115"/>
      <c r="J3751" s="115"/>
      <c r="K3751" s="115"/>
      <c r="L3751" s="115"/>
      <c r="M3751" s="115"/>
      <c r="N3751" s="115"/>
      <c r="O3751" s="115"/>
    </row>
    <row r="3752">
      <c r="E3752" s="115"/>
      <c r="F3752" s="115"/>
      <c r="G3752" s="115"/>
      <c r="H3752" s="115"/>
      <c r="I3752" s="115"/>
      <c r="J3752" s="115"/>
      <c r="K3752" s="115"/>
      <c r="L3752" s="115"/>
      <c r="M3752" s="115"/>
      <c r="N3752" s="115"/>
      <c r="O3752" s="115"/>
    </row>
    <row r="3753">
      <c r="E3753" s="115"/>
      <c r="F3753" s="115"/>
      <c r="G3753" s="115"/>
      <c r="H3753" s="115"/>
      <c r="I3753" s="115"/>
      <c r="J3753" s="115"/>
      <c r="K3753" s="115"/>
      <c r="L3753" s="115"/>
      <c r="M3753" s="115"/>
      <c r="N3753" s="115"/>
      <c r="O3753" s="115"/>
    </row>
    <row r="3754">
      <c r="E3754" s="115"/>
      <c r="F3754" s="115"/>
      <c r="G3754" s="115"/>
      <c r="H3754" s="115"/>
      <c r="I3754" s="115"/>
      <c r="J3754" s="115"/>
      <c r="K3754" s="115"/>
      <c r="L3754" s="115"/>
      <c r="M3754" s="115"/>
      <c r="N3754" s="115"/>
      <c r="O3754" s="115"/>
    </row>
    <row r="3755">
      <c r="E3755" s="115"/>
      <c r="F3755" s="115"/>
      <c r="G3755" s="115"/>
      <c r="H3755" s="115"/>
      <c r="I3755" s="115"/>
      <c r="J3755" s="115"/>
      <c r="K3755" s="115"/>
      <c r="L3755" s="115"/>
      <c r="M3755" s="115"/>
      <c r="N3755" s="115"/>
      <c r="O3755" s="115"/>
    </row>
    <row r="3756">
      <c r="E3756" s="115"/>
      <c r="F3756" s="115"/>
      <c r="G3756" s="115"/>
      <c r="H3756" s="115"/>
      <c r="I3756" s="115"/>
      <c r="J3756" s="115"/>
      <c r="K3756" s="115"/>
      <c r="L3756" s="115"/>
      <c r="M3756" s="115"/>
      <c r="N3756" s="115"/>
      <c r="O3756" s="115"/>
    </row>
    <row r="3757">
      <c r="E3757" s="115"/>
      <c r="F3757" s="115"/>
      <c r="G3757" s="115"/>
      <c r="H3757" s="115"/>
      <c r="I3757" s="115"/>
      <c r="J3757" s="115"/>
      <c r="K3757" s="115"/>
      <c r="L3757" s="115"/>
      <c r="M3757" s="115"/>
      <c r="N3757" s="115"/>
      <c r="O3757" s="115"/>
    </row>
    <row r="3758">
      <c r="E3758" s="115"/>
      <c r="F3758" s="115"/>
      <c r="G3758" s="115"/>
      <c r="H3758" s="115"/>
      <c r="I3758" s="115"/>
      <c r="J3758" s="115"/>
      <c r="K3758" s="115"/>
      <c r="L3758" s="115"/>
      <c r="M3758" s="115"/>
      <c r="N3758" s="115"/>
      <c r="O3758" s="115"/>
    </row>
    <row r="3759">
      <c r="E3759" s="115"/>
      <c r="F3759" s="115"/>
      <c r="G3759" s="115"/>
      <c r="H3759" s="115"/>
      <c r="I3759" s="115"/>
      <c r="J3759" s="115"/>
      <c r="K3759" s="115"/>
      <c r="L3759" s="115"/>
      <c r="M3759" s="115"/>
      <c r="N3759" s="115"/>
      <c r="O3759" s="115"/>
    </row>
    <row r="3760">
      <c r="E3760" s="115"/>
      <c r="F3760" s="115"/>
      <c r="G3760" s="115"/>
      <c r="H3760" s="115"/>
      <c r="I3760" s="115"/>
      <c r="J3760" s="115"/>
      <c r="K3760" s="115"/>
      <c r="L3760" s="115"/>
      <c r="M3760" s="115"/>
      <c r="N3760" s="115"/>
      <c r="O3760" s="115"/>
    </row>
    <row r="3761">
      <c r="E3761" s="115"/>
      <c r="F3761" s="115"/>
      <c r="G3761" s="115"/>
      <c r="H3761" s="115"/>
      <c r="I3761" s="115"/>
      <c r="J3761" s="115"/>
      <c r="K3761" s="115"/>
      <c r="L3761" s="115"/>
      <c r="M3761" s="115"/>
      <c r="N3761" s="115"/>
      <c r="O3761" s="115"/>
    </row>
    <row r="3762">
      <c r="E3762" s="115"/>
      <c r="F3762" s="115"/>
      <c r="G3762" s="115"/>
      <c r="H3762" s="115"/>
      <c r="I3762" s="115"/>
      <c r="J3762" s="115"/>
      <c r="K3762" s="115"/>
      <c r="L3762" s="115"/>
      <c r="M3762" s="115"/>
      <c r="N3762" s="115"/>
      <c r="O3762" s="115"/>
    </row>
    <row r="3763">
      <c r="E3763" s="115"/>
      <c r="F3763" s="115"/>
      <c r="G3763" s="115"/>
      <c r="H3763" s="115"/>
      <c r="I3763" s="115"/>
      <c r="J3763" s="115"/>
      <c r="K3763" s="115"/>
      <c r="L3763" s="115"/>
      <c r="M3763" s="115"/>
      <c r="N3763" s="115"/>
      <c r="O3763" s="115"/>
    </row>
    <row r="3764">
      <c r="E3764" s="115"/>
      <c r="F3764" s="115"/>
      <c r="G3764" s="115"/>
      <c r="H3764" s="115"/>
      <c r="I3764" s="115"/>
      <c r="J3764" s="115"/>
      <c r="K3764" s="115"/>
      <c r="L3764" s="115"/>
      <c r="M3764" s="115"/>
      <c r="N3764" s="115"/>
      <c r="O3764" s="115"/>
    </row>
    <row r="3765">
      <c r="E3765" s="115"/>
      <c r="F3765" s="115"/>
      <c r="G3765" s="115"/>
      <c r="H3765" s="115"/>
      <c r="I3765" s="115"/>
      <c r="J3765" s="115"/>
      <c r="K3765" s="115"/>
      <c r="L3765" s="115"/>
      <c r="M3765" s="115"/>
      <c r="N3765" s="115"/>
      <c r="O3765" s="115"/>
    </row>
    <row r="3766">
      <c r="E3766" s="115"/>
      <c r="F3766" s="115"/>
      <c r="G3766" s="115"/>
      <c r="H3766" s="115"/>
      <c r="I3766" s="115"/>
      <c r="J3766" s="115"/>
      <c r="K3766" s="115"/>
      <c r="L3766" s="115"/>
      <c r="M3766" s="115"/>
      <c r="N3766" s="115"/>
      <c r="O3766" s="115"/>
    </row>
    <row r="3767">
      <c r="E3767" s="115"/>
      <c r="F3767" s="115"/>
      <c r="G3767" s="115"/>
      <c r="H3767" s="115"/>
      <c r="I3767" s="115"/>
      <c r="J3767" s="115"/>
      <c r="K3767" s="115"/>
      <c r="L3767" s="115"/>
      <c r="M3767" s="115"/>
      <c r="N3767" s="115"/>
      <c r="O3767" s="115"/>
    </row>
    <row r="3768">
      <c r="E3768" s="115"/>
      <c r="F3768" s="115"/>
      <c r="G3768" s="115"/>
      <c r="H3768" s="115"/>
      <c r="I3768" s="115"/>
      <c r="J3768" s="115"/>
      <c r="K3768" s="115"/>
      <c r="L3768" s="115"/>
      <c r="M3768" s="115"/>
      <c r="N3768" s="115"/>
      <c r="O3768" s="115"/>
    </row>
    <row r="3769">
      <c r="E3769" s="115"/>
      <c r="F3769" s="115"/>
      <c r="G3769" s="115"/>
      <c r="H3769" s="115"/>
      <c r="I3769" s="115"/>
      <c r="J3769" s="115"/>
      <c r="K3769" s="115"/>
      <c r="L3769" s="115"/>
      <c r="M3769" s="115"/>
      <c r="N3769" s="115"/>
      <c r="O3769" s="115"/>
    </row>
    <row r="3770">
      <c r="E3770" s="115"/>
      <c r="F3770" s="115"/>
      <c r="G3770" s="115"/>
      <c r="H3770" s="115"/>
      <c r="I3770" s="115"/>
      <c r="J3770" s="115"/>
      <c r="K3770" s="115"/>
      <c r="L3770" s="115"/>
      <c r="M3770" s="115"/>
      <c r="N3770" s="115"/>
      <c r="O3770" s="115"/>
    </row>
    <row r="3771">
      <c r="E3771" s="115"/>
      <c r="F3771" s="115"/>
      <c r="G3771" s="115"/>
      <c r="H3771" s="115"/>
      <c r="I3771" s="115"/>
      <c r="J3771" s="115"/>
      <c r="K3771" s="115"/>
      <c r="L3771" s="115"/>
      <c r="M3771" s="115"/>
      <c r="N3771" s="115"/>
      <c r="O3771" s="115"/>
    </row>
    <row r="3772">
      <c r="E3772" s="115"/>
      <c r="F3772" s="115"/>
      <c r="G3772" s="115"/>
      <c r="H3772" s="115"/>
      <c r="I3772" s="115"/>
      <c r="J3772" s="115"/>
      <c r="K3772" s="115"/>
      <c r="L3772" s="115"/>
      <c r="M3772" s="115"/>
      <c r="N3772" s="115"/>
      <c r="O3772" s="115"/>
    </row>
    <row r="3773">
      <c r="E3773" s="115"/>
      <c r="F3773" s="115"/>
      <c r="G3773" s="115"/>
      <c r="H3773" s="115"/>
      <c r="I3773" s="115"/>
      <c r="J3773" s="115"/>
      <c r="K3773" s="115"/>
      <c r="L3773" s="115"/>
      <c r="M3773" s="115"/>
      <c r="N3773" s="115"/>
      <c r="O3773" s="115"/>
    </row>
    <row r="3774">
      <c r="E3774" s="115"/>
      <c r="F3774" s="115"/>
      <c r="G3774" s="115"/>
      <c r="H3774" s="115"/>
      <c r="I3774" s="115"/>
      <c r="J3774" s="115"/>
      <c r="K3774" s="115"/>
      <c r="L3774" s="115"/>
      <c r="M3774" s="115"/>
      <c r="N3774" s="115"/>
      <c r="O3774" s="115"/>
    </row>
    <row r="3775">
      <c r="E3775" s="115"/>
      <c r="F3775" s="115"/>
      <c r="G3775" s="115"/>
      <c r="H3775" s="115"/>
      <c r="I3775" s="115"/>
      <c r="J3775" s="115"/>
      <c r="K3775" s="115"/>
      <c r="L3775" s="115"/>
      <c r="M3775" s="115"/>
      <c r="N3775" s="115"/>
      <c r="O3775" s="115"/>
    </row>
    <row r="3776">
      <c r="E3776" s="115"/>
      <c r="F3776" s="115"/>
      <c r="G3776" s="115"/>
      <c r="H3776" s="115"/>
      <c r="I3776" s="115"/>
      <c r="J3776" s="115"/>
      <c r="K3776" s="115"/>
      <c r="L3776" s="115"/>
      <c r="M3776" s="115"/>
      <c r="N3776" s="115"/>
      <c r="O3776" s="115"/>
    </row>
    <row r="3777">
      <c r="E3777" s="115"/>
      <c r="F3777" s="115"/>
      <c r="G3777" s="115"/>
      <c r="H3777" s="115"/>
      <c r="I3777" s="115"/>
      <c r="J3777" s="115"/>
      <c r="K3777" s="115"/>
      <c r="L3777" s="115"/>
      <c r="M3777" s="115"/>
      <c r="N3777" s="115"/>
      <c r="O3777" s="115"/>
    </row>
    <row r="3778">
      <c r="E3778" s="115"/>
      <c r="F3778" s="115"/>
      <c r="G3778" s="115"/>
      <c r="H3778" s="115"/>
      <c r="I3778" s="115"/>
      <c r="J3778" s="115"/>
      <c r="K3778" s="115"/>
      <c r="L3778" s="115"/>
      <c r="M3778" s="115"/>
      <c r="N3778" s="115"/>
      <c r="O3778" s="115"/>
    </row>
    <row r="3779">
      <c r="E3779" s="115"/>
      <c r="F3779" s="115"/>
      <c r="G3779" s="115"/>
      <c r="H3779" s="115"/>
      <c r="I3779" s="115"/>
      <c r="J3779" s="115"/>
      <c r="K3779" s="115"/>
      <c r="L3779" s="115"/>
      <c r="M3779" s="115"/>
      <c r="N3779" s="115"/>
      <c r="O3779" s="115"/>
    </row>
    <row r="3780">
      <c r="E3780" s="115"/>
      <c r="F3780" s="115"/>
      <c r="G3780" s="115"/>
      <c r="H3780" s="115"/>
      <c r="I3780" s="115"/>
      <c r="J3780" s="115"/>
      <c r="K3780" s="115"/>
      <c r="L3780" s="115"/>
      <c r="M3780" s="115"/>
      <c r="N3780" s="115"/>
      <c r="O3780" s="115"/>
    </row>
    <row r="3781">
      <c r="E3781" s="115"/>
      <c r="F3781" s="115"/>
      <c r="G3781" s="115"/>
      <c r="H3781" s="115"/>
      <c r="I3781" s="115"/>
      <c r="J3781" s="115"/>
      <c r="K3781" s="115"/>
      <c r="L3781" s="115"/>
      <c r="M3781" s="115"/>
      <c r="N3781" s="115"/>
      <c r="O3781" s="115"/>
    </row>
    <row r="3782">
      <c r="E3782" s="115"/>
      <c r="F3782" s="115"/>
      <c r="G3782" s="115"/>
      <c r="H3782" s="115"/>
      <c r="I3782" s="115"/>
      <c r="J3782" s="115"/>
      <c r="K3782" s="115"/>
      <c r="L3782" s="115"/>
      <c r="M3782" s="115"/>
      <c r="N3782" s="115"/>
      <c r="O3782" s="115"/>
    </row>
    <row r="3783">
      <c r="E3783" s="115"/>
      <c r="F3783" s="115"/>
      <c r="G3783" s="115"/>
      <c r="H3783" s="115"/>
      <c r="I3783" s="115"/>
      <c r="J3783" s="115"/>
      <c r="K3783" s="115"/>
      <c r="L3783" s="115"/>
      <c r="M3783" s="115"/>
      <c r="N3783" s="115"/>
      <c r="O3783" s="115"/>
    </row>
    <row r="3784">
      <c r="E3784" s="115"/>
      <c r="F3784" s="115"/>
      <c r="G3784" s="115"/>
      <c r="H3784" s="115"/>
      <c r="I3784" s="115"/>
      <c r="J3784" s="115"/>
      <c r="K3784" s="115"/>
      <c r="L3784" s="115"/>
      <c r="M3784" s="115"/>
      <c r="N3784" s="115"/>
      <c r="O3784" s="115"/>
    </row>
    <row r="3785">
      <c r="E3785" s="115"/>
      <c r="F3785" s="115"/>
      <c r="G3785" s="115"/>
      <c r="H3785" s="115"/>
      <c r="I3785" s="115"/>
      <c r="J3785" s="115"/>
      <c r="K3785" s="115"/>
      <c r="L3785" s="115"/>
      <c r="M3785" s="115"/>
      <c r="N3785" s="115"/>
      <c r="O3785" s="115"/>
    </row>
    <row r="3786">
      <c r="E3786" s="115"/>
      <c r="F3786" s="115"/>
      <c r="G3786" s="115"/>
      <c r="H3786" s="115"/>
      <c r="I3786" s="115"/>
      <c r="J3786" s="115"/>
      <c r="K3786" s="115"/>
      <c r="L3786" s="115"/>
      <c r="M3786" s="115"/>
      <c r="N3786" s="115"/>
      <c r="O3786" s="115"/>
    </row>
    <row r="3787">
      <c r="E3787" s="115"/>
      <c r="F3787" s="115"/>
      <c r="G3787" s="115"/>
      <c r="H3787" s="115"/>
      <c r="I3787" s="115"/>
      <c r="J3787" s="115"/>
      <c r="K3787" s="115"/>
      <c r="L3787" s="115"/>
      <c r="M3787" s="115"/>
      <c r="N3787" s="115"/>
      <c r="O3787" s="115"/>
    </row>
    <row r="3788">
      <c r="E3788" s="115"/>
      <c r="F3788" s="115"/>
      <c r="G3788" s="115"/>
      <c r="H3788" s="115"/>
      <c r="I3788" s="115"/>
      <c r="J3788" s="115"/>
      <c r="K3788" s="115"/>
      <c r="L3788" s="115"/>
      <c r="M3788" s="115"/>
      <c r="N3788" s="115"/>
      <c r="O3788" s="115"/>
    </row>
    <row r="3789">
      <c r="E3789" s="115"/>
      <c r="F3789" s="115"/>
      <c r="G3789" s="115"/>
      <c r="H3789" s="115"/>
      <c r="I3789" s="115"/>
      <c r="J3789" s="115"/>
      <c r="K3789" s="115"/>
      <c r="L3789" s="115"/>
      <c r="M3789" s="115"/>
      <c r="N3789" s="115"/>
      <c r="O3789" s="115"/>
    </row>
    <row r="3790">
      <c r="E3790" s="115"/>
      <c r="F3790" s="115"/>
      <c r="G3790" s="115"/>
      <c r="H3790" s="115"/>
      <c r="I3790" s="115"/>
      <c r="J3790" s="115"/>
      <c r="K3790" s="115"/>
      <c r="L3790" s="115"/>
      <c r="M3790" s="115"/>
      <c r="N3790" s="115"/>
      <c r="O3790" s="115"/>
    </row>
    <row r="3791">
      <c r="E3791" s="115"/>
      <c r="F3791" s="115"/>
      <c r="G3791" s="115"/>
      <c r="H3791" s="115"/>
      <c r="I3791" s="115"/>
      <c r="J3791" s="115"/>
      <c r="K3791" s="115"/>
      <c r="L3791" s="115"/>
      <c r="M3791" s="115"/>
      <c r="N3791" s="115"/>
      <c r="O3791" s="115"/>
    </row>
    <row r="3792">
      <c r="E3792" s="115"/>
      <c r="F3792" s="115"/>
      <c r="G3792" s="115"/>
      <c r="H3792" s="115"/>
      <c r="I3792" s="115"/>
      <c r="J3792" s="115"/>
      <c r="K3792" s="115"/>
      <c r="L3792" s="115"/>
      <c r="M3792" s="115"/>
      <c r="N3792" s="115"/>
      <c r="O3792" s="115"/>
    </row>
    <row r="3793">
      <c r="E3793" s="115"/>
      <c r="F3793" s="115"/>
      <c r="G3793" s="115"/>
      <c r="H3793" s="115"/>
      <c r="I3793" s="115"/>
      <c r="J3793" s="115"/>
      <c r="K3793" s="115"/>
      <c r="L3793" s="115"/>
      <c r="M3793" s="115"/>
      <c r="N3793" s="115"/>
      <c r="O3793" s="115"/>
    </row>
    <row r="3794">
      <c r="E3794" s="115"/>
      <c r="F3794" s="115"/>
      <c r="G3794" s="115"/>
      <c r="H3794" s="115"/>
      <c r="I3794" s="115"/>
      <c r="J3794" s="115"/>
      <c r="K3794" s="115"/>
      <c r="L3794" s="115"/>
      <c r="M3794" s="115"/>
      <c r="N3794" s="115"/>
      <c r="O3794" s="115"/>
    </row>
    <row r="3795">
      <c r="E3795" s="115"/>
      <c r="F3795" s="115"/>
      <c r="G3795" s="115"/>
      <c r="H3795" s="115"/>
      <c r="I3795" s="115"/>
      <c r="J3795" s="115"/>
      <c r="K3795" s="115"/>
      <c r="L3795" s="115"/>
      <c r="M3795" s="115"/>
      <c r="N3795" s="115"/>
      <c r="O3795" s="115"/>
    </row>
    <row r="3796">
      <c r="E3796" s="115"/>
      <c r="F3796" s="115"/>
      <c r="G3796" s="115"/>
      <c r="H3796" s="115"/>
      <c r="I3796" s="115"/>
      <c r="J3796" s="115"/>
      <c r="K3796" s="115"/>
      <c r="L3796" s="115"/>
      <c r="M3796" s="115"/>
      <c r="N3796" s="115"/>
      <c r="O3796" s="115"/>
    </row>
    <row r="3797">
      <c r="E3797" s="115"/>
      <c r="F3797" s="115"/>
      <c r="G3797" s="115"/>
      <c r="H3797" s="115"/>
      <c r="I3797" s="115"/>
      <c r="J3797" s="115"/>
      <c r="K3797" s="115"/>
      <c r="L3797" s="115"/>
      <c r="M3797" s="115"/>
      <c r="N3797" s="115"/>
      <c r="O3797" s="115"/>
    </row>
    <row r="3798">
      <c r="E3798" s="115"/>
      <c r="F3798" s="115"/>
      <c r="G3798" s="115"/>
      <c r="H3798" s="115"/>
      <c r="I3798" s="115"/>
      <c r="J3798" s="115"/>
      <c r="K3798" s="115"/>
      <c r="L3798" s="115"/>
      <c r="M3798" s="115"/>
      <c r="N3798" s="115"/>
      <c r="O3798" s="115"/>
    </row>
    <row r="3799">
      <c r="E3799" s="115"/>
      <c r="F3799" s="115"/>
      <c r="G3799" s="115"/>
      <c r="H3799" s="115"/>
      <c r="I3799" s="115"/>
      <c r="J3799" s="115"/>
      <c r="K3799" s="115"/>
      <c r="L3799" s="115"/>
      <c r="M3799" s="115"/>
      <c r="N3799" s="115"/>
      <c r="O3799" s="115"/>
    </row>
    <row r="3800">
      <c r="E3800" s="115"/>
      <c r="F3800" s="115"/>
      <c r="G3800" s="115"/>
      <c r="H3800" s="115"/>
      <c r="I3800" s="115"/>
      <c r="J3800" s="115"/>
      <c r="K3800" s="115"/>
      <c r="L3800" s="115"/>
      <c r="M3800" s="115"/>
      <c r="N3800" s="115"/>
      <c r="O3800" s="115"/>
    </row>
    <row r="3801">
      <c r="E3801" s="115"/>
      <c r="F3801" s="115"/>
      <c r="G3801" s="115"/>
      <c r="H3801" s="115"/>
      <c r="I3801" s="115"/>
      <c r="J3801" s="115"/>
      <c r="K3801" s="115"/>
      <c r="L3801" s="115"/>
      <c r="M3801" s="115"/>
      <c r="N3801" s="115"/>
      <c r="O3801" s="115"/>
    </row>
    <row r="3802">
      <c r="E3802" s="115"/>
      <c r="F3802" s="115"/>
      <c r="G3802" s="115"/>
      <c r="H3802" s="115"/>
      <c r="I3802" s="115"/>
      <c r="J3802" s="115"/>
      <c r="K3802" s="115"/>
      <c r="L3802" s="115"/>
      <c r="M3802" s="115"/>
      <c r="N3802" s="115"/>
      <c r="O3802" s="115"/>
    </row>
    <row r="3803">
      <c r="E3803" s="115"/>
      <c r="F3803" s="115"/>
      <c r="G3803" s="115"/>
      <c r="H3803" s="115"/>
      <c r="I3803" s="115"/>
      <c r="J3803" s="115"/>
      <c r="K3803" s="115"/>
      <c r="L3803" s="115"/>
      <c r="M3803" s="115"/>
      <c r="N3803" s="115"/>
      <c r="O3803" s="115"/>
    </row>
    <row r="3804">
      <c r="E3804" s="115"/>
      <c r="F3804" s="115"/>
      <c r="G3804" s="115"/>
      <c r="H3804" s="115"/>
      <c r="I3804" s="115"/>
      <c r="J3804" s="115"/>
      <c r="K3804" s="115"/>
      <c r="L3804" s="115"/>
      <c r="M3804" s="115"/>
      <c r="N3804" s="115"/>
      <c r="O3804" s="115"/>
    </row>
    <row r="3805">
      <c r="E3805" s="115"/>
      <c r="F3805" s="115"/>
      <c r="G3805" s="115"/>
      <c r="H3805" s="115"/>
      <c r="I3805" s="115"/>
      <c r="J3805" s="115"/>
      <c r="K3805" s="115"/>
      <c r="L3805" s="115"/>
      <c r="M3805" s="115"/>
      <c r="N3805" s="115"/>
      <c r="O3805" s="115"/>
    </row>
    <row r="3806">
      <c r="E3806" s="115"/>
      <c r="F3806" s="115"/>
      <c r="G3806" s="115"/>
      <c r="H3806" s="115"/>
      <c r="I3806" s="115"/>
      <c r="J3806" s="115"/>
      <c r="K3806" s="115"/>
      <c r="L3806" s="115"/>
      <c r="M3806" s="115"/>
      <c r="N3806" s="115"/>
      <c r="O3806" s="115"/>
    </row>
    <row r="3807">
      <c r="E3807" s="115"/>
      <c r="F3807" s="115"/>
      <c r="G3807" s="115"/>
      <c r="H3807" s="115"/>
      <c r="I3807" s="115"/>
      <c r="J3807" s="115"/>
      <c r="K3807" s="115"/>
      <c r="L3807" s="115"/>
      <c r="M3807" s="115"/>
      <c r="N3807" s="115"/>
      <c r="O3807" s="115"/>
    </row>
    <row r="3808">
      <c r="E3808" s="115"/>
      <c r="F3808" s="115"/>
      <c r="G3808" s="115"/>
      <c r="H3808" s="115"/>
      <c r="I3808" s="115"/>
      <c r="J3808" s="115"/>
      <c r="K3808" s="115"/>
      <c r="L3808" s="115"/>
      <c r="M3808" s="115"/>
      <c r="N3808" s="115"/>
      <c r="O3808" s="115"/>
    </row>
    <row r="3809">
      <c r="E3809" s="115"/>
      <c r="F3809" s="115"/>
      <c r="G3809" s="115"/>
      <c r="H3809" s="115"/>
      <c r="I3809" s="115"/>
      <c r="J3809" s="115"/>
      <c r="K3809" s="115"/>
      <c r="L3809" s="115"/>
      <c r="M3809" s="115"/>
      <c r="N3809" s="115"/>
      <c r="O3809" s="115"/>
    </row>
    <row r="3810">
      <c r="E3810" s="115"/>
      <c r="F3810" s="115"/>
      <c r="G3810" s="115"/>
      <c r="H3810" s="115"/>
      <c r="I3810" s="115"/>
      <c r="J3810" s="115"/>
      <c r="K3810" s="115"/>
      <c r="L3810" s="115"/>
      <c r="M3810" s="115"/>
      <c r="N3810" s="115"/>
      <c r="O3810" s="115"/>
    </row>
    <row r="3811">
      <c r="E3811" s="115"/>
      <c r="F3811" s="115"/>
      <c r="G3811" s="115"/>
      <c r="H3811" s="115"/>
      <c r="I3811" s="115"/>
      <c r="J3811" s="115"/>
      <c r="K3811" s="115"/>
      <c r="L3811" s="115"/>
      <c r="M3811" s="115"/>
      <c r="N3811" s="115"/>
      <c r="O3811" s="115"/>
    </row>
    <row r="3812">
      <c r="E3812" s="115"/>
      <c r="F3812" s="115"/>
      <c r="G3812" s="115"/>
      <c r="H3812" s="115"/>
      <c r="I3812" s="115"/>
      <c r="J3812" s="115"/>
      <c r="K3812" s="115"/>
      <c r="L3812" s="115"/>
      <c r="M3812" s="115"/>
      <c r="N3812" s="115"/>
      <c r="O3812" s="115"/>
    </row>
    <row r="3813">
      <c r="E3813" s="115"/>
      <c r="F3813" s="115"/>
      <c r="G3813" s="115"/>
      <c r="H3813" s="115"/>
      <c r="I3813" s="115"/>
      <c r="J3813" s="115"/>
      <c r="K3813" s="115"/>
      <c r="L3813" s="115"/>
      <c r="M3813" s="115"/>
      <c r="N3813" s="115"/>
      <c r="O3813" s="115"/>
    </row>
    <row r="3814">
      <c r="E3814" s="115"/>
      <c r="F3814" s="115"/>
      <c r="G3814" s="115"/>
      <c r="H3814" s="115"/>
      <c r="I3814" s="115"/>
      <c r="J3814" s="115"/>
      <c r="K3814" s="115"/>
      <c r="L3814" s="115"/>
      <c r="M3814" s="115"/>
      <c r="N3814" s="115"/>
      <c r="O3814" s="115"/>
    </row>
    <row r="3815">
      <c r="E3815" s="115"/>
      <c r="F3815" s="115"/>
      <c r="G3815" s="115"/>
      <c r="H3815" s="115"/>
      <c r="I3815" s="115"/>
      <c r="J3815" s="115"/>
      <c r="K3815" s="115"/>
      <c r="L3815" s="115"/>
      <c r="M3815" s="115"/>
      <c r="N3815" s="115"/>
      <c r="O3815" s="115"/>
    </row>
    <row r="3816">
      <c r="E3816" s="115"/>
      <c r="F3816" s="115"/>
      <c r="G3816" s="115"/>
      <c r="H3816" s="115"/>
      <c r="I3816" s="115"/>
      <c r="J3816" s="115"/>
      <c r="K3816" s="115"/>
      <c r="L3816" s="115"/>
      <c r="M3816" s="115"/>
      <c r="N3816" s="115"/>
      <c r="O3816" s="115"/>
    </row>
    <row r="3817">
      <c r="E3817" s="115"/>
      <c r="F3817" s="115"/>
      <c r="G3817" s="115"/>
      <c r="H3817" s="115"/>
      <c r="I3817" s="115"/>
      <c r="J3817" s="115"/>
      <c r="K3817" s="115"/>
      <c r="L3817" s="115"/>
      <c r="M3817" s="115"/>
      <c r="N3817" s="115"/>
      <c r="O3817" s="115"/>
    </row>
    <row r="3818">
      <c r="E3818" s="115"/>
      <c r="F3818" s="115"/>
      <c r="G3818" s="115"/>
      <c r="H3818" s="115"/>
      <c r="I3818" s="115"/>
      <c r="J3818" s="115"/>
      <c r="K3818" s="115"/>
      <c r="L3818" s="115"/>
      <c r="M3818" s="115"/>
      <c r="N3818" s="115"/>
      <c r="O3818" s="115"/>
    </row>
    <row r="3819">
      <c r="E3819" s="115"/>
      <c r="F3819" s="115"/>
      <c r="G3819" s="115"/>
      <c r="H3819" s="115"/>
      <c r="I3819" s="115"/>
      <c r="J3819" s="115"/>
      <c r="K3819" s="115"/>
      <c r="L3819" s="115"/>
      <c r="M3819" s="115"/>
      <c r="N3819" s="115"/>
      <c r="O3819" s="115"/>
    </row>
    <row r="3820">
      <c r="E3820" s="115"/>
      <c r="F3820" s="115"/>
      <c r="G3820" s="115"/>
      <c r="H3820" s="115"/>
      <c r="I3820" s="115"/>
      <c r="J3820" s="115"/>
      <c r="K3820" s="115"/>
      <c r="L3820" s="115"/>
      <c r="M3820" s="115"/>
      <c r="N3820" s="115"/>
      <c r="O3820" s="115"/>
    </row>
    <row r="3821">
      <c r="E3821" s="115"/>
      <c r="F3821" s="115"/>
      <c r="G3821" s="115"/>
      <c r="H3821" s="115"/>
      <c r="I3821" s="115"/>
      <c r="J3821" s="115"/>
      <c r="K3821" s="115"/>
      <c r="L3821" s="115"/>
      <c r="M3821" s="115"/>
      <c r="N3821" s="115"/>
      <c r="O3821" s="115"/>
    </row>
    <row r="3822">
      <c r="E3822" s="115"/>
      <c r="F3822" s="115"/>
      <c r="G3822" s="115"/>
      <c r="H3822" s="115"/>
      <c r="I3822" s="115"/>
      <c r="J3822" s="115"/>
      <c r="K3822" s="115"/>
      <c r="L3822" s="115"/>
      <c r="M3822" s="115"/>
      <c r="N3822" s="115"/>
      <c r="O3822" s="115"/>
    </row>
    <row r="3823">
      <c r="E3823" s="115"/>
      <c r="F3823" s="115"/>
      <c r="G3823" s="115"/>
      <c r="H3823" s="115"/>
      <c r="I3823" s="115"/>
      <c r="J3823" s="115"/>
      <c r="K3823" s="115"/>
      <c r="L3823" s="115"/>
      <c r="M3823" s="115"/>
      <c r="N3823" s="115"/>
      <c r="O3823" s="115"/>
    </row>
    <row r="3824">
      <c r="E3824" s="115"/>
      <c r="F3824" s="115"/>
      <c r="G3824" s="115"/>
      <c r="H3824" s="115"/>
      <c r="I3824" s="115"/>
      <c r="J3824" s="115"/>
      <c r="K3824" s="115"/>
      <c r="L3824" s="115"/>
      <c r="M3824" s="115"/>
      <c r="N3824" s="115"/>
      <c r="O3824" s="115"/>
    </row>
    <row r="3825">
      <c r="E3825" s="115"/>
      <c r="F3825" s="115"/>
      <c r="G3825" s="115"/>
      <c r="H3825" s="115"/>
      <c r="I3825" s="115"/>
      <c r="J3825" s="115"/>
      <c r="K3825" s="115"/>
      <c r="L3825" s="115"/>
      <c r="M3825" s="115"/>
      <c r="N3825" s="115"/>
      <c r="O3825" s="115"/>
    </row>
    <row r="3826">
      <c r="E3826" s="115"/>
      <c r="F3826" s="115"/>
      <c r="G3826" s="115"/>
      <c r="H3826" s="115"/>
      <c r="I3826" s="115"/>
      <c r="J3826" s="115"/>
      <c r="K3826" s="115"/>
      <c r="L3826" s="115"/>
      <c r="M3826" s="115"/>
      <c r="N3826" s="115"/>
      <c r="O3826" s="115"/>
    </row>
    <row r="3827">
      <c r="E3827" s="115"/>
      <c r="F3827" s="115"/>
      <c r="G3827" s="115"/>
      <c r="H3827" s="115"/>
      <c r="I3827" s="115"/>
      <c r="J3827" s="115"/>
      <c r="K3827" s="115"/>
      <c r="L3827" s="115"/>
      <c r="M3827" s="115"/>
      <c r="N3827" s="115"/>
      <c r="O3827" s="115"/>
    </row>
    <row r="3828">
      <c r="E3828" s="115"/>
      <c r="F3828" s="115"/>
      <c r="G3828" s="115"/>
      <c r="H3828" s="115"/>
      <c r="I3828" s="115"/>
      <c r="J3828" s="115"/>
      <c r="K3828" s="115"/>
      <c r="L3828" s="115"/>
      <c r="M3828" s="115"/>
      <c r="N3828" s="115"/>
      <c r="O3828" s="115"/>
    </row>
    <row r="3829">
      <c r="E3829" s="115"/>
      <c r="F3829" s="115"/>
      <c r="G3829" s="115"/>
      <c r="H3829" s="115"/>
      <c r="I3829" s="115"/>
      <c r="J3829" s="115"/>
      <c r="K3829" s="115"/>
      <c r="L3829" s="115"/>
      <c r="M3829" s="115"/>
      <c r="N3829" s="115"/>
      <c r="O3829" s="115"/>
    </row>
    <row r="3830">
      <c r="E3830" s="115"/>
      <c r="F3830" s="115"/>
      <c r="G3830" s="115"/>
      <c r="H3830" s="115"/>
      <c r="I3830" s="115"/>
      <c r="J3830" s="115"/>
      <c r="K3830" s="115"/>
      <c r="L3830" s="115"/>
      <c r="M3830" s="115"/>
      <c r="N3830" s="115"/>
      <c r="O3830" s="115"/>
    </row>
    <row r="3831">
      <c r="E3831" s="115"/>
      <c r="F3831" s="115"/>
      <c r="G3831" s="115"/>
      <c r="H3831" s="115"/>
      <c r="I3831" s="115"/>
      <c r="J3831" s="115"/>
      <c r="K3831" s="115"/>
      <c r="L3831" s="115"/>
      <c r="M3831" s="115"/>
      <c r="N3831" s="115"/>
      <c r="O3831" s="115"/>
    </row>
    <row r="3832">
      <c r="E3832" s="115"/>
      <c r="F3832" s="115"/>
      <c r="G3832" s="115"/>
      <c r="H3832" s="115"/>
      <c r="I3832" s="115"/>
      <c r="J3832" s="115"/>
      <c r="K3832" s="115"/>
      <c r="L3832" s="115"/>
      <c r="M3832" s="115"/>
      <c r="N3832" s="115"/>
      <c r="O3832" s="115"/>
    </row>
    <row r="3833">
      <c r="E3833" s="115"/>
      <c r="F3833" s="115"/>
      <c r="G3833" s="115"/>
      <c r="H3833" s="115"/>
      <c r="I3833" s="115"/>
      <c r="J3833" s="115"/>
      <c r="K3833" s="115"/>
      <c r="L3833" s="115"/>
      <c r="M3833" s="115"/>
      <c r="N3833" s="115"/>
      <c r="O3833" s="115"/>
    </row>
    <row r="3834">
      <c r="E3834" s="115"/>
      <c r="F3834" s="115"/>
      <c r="G3834" s="115"/>
      <c r="H3834" s="115"/>
      <c r="I3834" s="115"/>
      <c r="J3834" s="115"/>
      <c r="K3834" s="115"/>
      <c r="L3834" s="115"/>
      <c r="M3834" s="115"/>
      <c r="N3834" s="115"/>
      <c r="O3834" s="115"/>
    </row>
    <row r="3835">
      <c r="E3835" s="115"/>
      <c r="F3835" s="115"/>
      <c r="G3835" s="115"/>
      <c r="H3835" s="115"/>
      <c r="I3835" s="115"/>
      <c r="J3835" s="115"/>
      <c r="K3835" s="115"/>
      <c r="L3835" s="115"/>
      <c r="M3835" s="115"/>
      <c r="N3835" s="115"/>
      <c r="O3835" s="115"/>
    </row>
    <row r="3836">
      <c r="E3836" s="115"/>
      <c r="F3836" s="115"/>
      <c r="G3836" s="115"/>
      <c r="H3836" s="115"/>
      <c r="I3836" s="115"/>
      <c r="J3836" s="115"/>
      <c r="K3836" s="115"/>
      <c r="L3836" s="115"/>
      <c r="M3836" s="115"/>
      <c r="N3836" s="115"/>
      <c r="O3836" s="115"/>
    </row>
    <row r="3837">
      <c r="E3837" s="115"/>
      <c r="F3837" s="115"/>
      <c r="G3837" s="115"/>
      <c r="H3837" s="115"/>
      <c r="I3837" s="115"/>
      <c r="J3837" s="115"/>
      <c r="K3837" s="115"/>
      <c r="L3837" s="115"/>
      <c r="M3837" s="115"/>
      <c r="N3837" s="115"/>
      <c r="O3837" s="115"/>
    </row>
    <row r="3838">
      <c r="E3838" s="115"/>
      <c r="F3838" s="115"/>
      <c r="G3838" s="115"/>
      <c r="H3838" s="115"/>
      <c r="I3838" s="115"/>
      <c r="J3838" s="115"/>
      <c r="K3838" s="115"/>
      <c r="L3838" s="115"/>
      <c r="M3838" s="115"/>
      <c r="N3838" s="115"/>
      <c r="O3838" s="115"/>
    </row>
    <row r="3839">
      <c r="E3839" s="115"/>
      <c r="F3839" s="115"/>
      <c r="G3839" s="115"/>
      <c r="H3839" s="115"/>
      <c r="I3839" s="115"/>
      <c r="J3839" s="115"/>
      <c r="K3839" s="115"/>
      <c r="L3839" s="115"/>
      <c r="M3839" s="115"/>
      <c r="N3839" s="115"/>
      <c r="O3839" s="115"/>
    </row>
    <row r="3840">
      <c r="E3840" s="115"/>
      <c r="F3840" s="115"/>
      <c r="G3840" s="115"/>
      <c r="H3840" s="115"/>
      <c r="I3840" s="115"/>
      <c r="J3840" s="115"/>
      <c r="K3840" s="115"/>
      <c r="L3840" s="115"/>
      <c r="M3840" s="115"/>
      <c r="N3840" s="115"/>
      <c r="O3840" s="115"/>
    </row>
    <row r="3841">
      <c r="E3841" s="115"/>
      <c r="F3841" s="115"/>
      <c r="G3841" s="115"/>
      <c r="H3841" s="115"/>
      <c r="I3841" s="115"/>
      <c r="J3841" s="115"/>
      <c r="K3841" s="115"/>
      <c r="L3841" s="115"/>
      <c r="M3841" s="115"/>
      <c r="N3841" s="115"/>
      <c r="O3841" s="115"/>
    </row>
    <row r="3842">
      <c r="E3842" s="115"/>
      <c r="F3842" s="115"/>
      <c r="G3842" s="115"/>
      <c r="H3842" s="115"/>
      <c r="I3842" s="115"/>
      <c r="J3842" s="115"/>
      <c r="K3842" s="115"/>
      <c r="L3842" s="115"/>
      <c r="M3842" s="115"/>
      <c r="N3842" s="115"/>
      <c r="O3842" s="115"/>
    </row>
    <row r="3843">
      <c r="E3843" s="115"/>
      <c r="F3843" s="115"/>
      <c r="G3843" s="115"/>
      <c r="H3843" s="115"/>
      <c r="I3843" s="115"/>
      <c r="J3843" s="115"/>
      <c r="K3843" s="115"/>
      <c r="L3843" s="115"/>
      <c r="M3843" s="115"/>
      <c r="N3843" s="115"/>
      <c r="O3843" s="115"/>
    </row>
    <row r="3844">
      <c r="E3844" s="115"/>
      <c r="F3844" s="115"/>
      <c r="G3844" s="115"/>
      <c r="H3844" s="115"/>
      <c r="I3844" s="115"/>
      <c r="J3844" s="115"/>
      <c r="K3844" s="115"/>
      <c r="L3844" s="115"/>
      <c r="M3844" s="115"/>
      <c r="N3844" s="115"/>
      <c r="O3844" s="115"/>
    </row>
    <row r="3845">
      <c r="E3845" s="115"/>
      <c r="F3845" s="115"/>
      <c r="G3845" s="115"/>
      <c r="H3845" s="115"/>
      <c r="I3845" s="115"/>
      <c r="J3845" s="115"/>
      <c r="K3845" s="115"/>
      <c r="L3845" s="115"/>
      <c r="M3845" s="115"/>
      <c r="N3845" s="115"/>
      <c r="O3845" s="115"/>
    </row>
    <row r="3846">
      <c r="E3846" s="115"/>
      <c r="F3846" s="115"/>
      <c r="G3846" s="115"/>
      <c r="H3846" s="115"/>
      <c r="I3846" s="115"/>
      <c r="J3846" s="115"/>
      <c r="K3846" s="115"/>
      <c r="L3846" s="115"/>
      <c r="M3846" s="115"/>
      <c r="N3846" s="115"/>
      <c r="O3846" s="115"/>
    </row>
    <row r="3847">
      <c r="E3847" s="115"/>
      <c r="F3847" s="115"/>
      <c r="G3847" s="115"/>
      <c r="H3847" s="115"/>
      <c r="I3847" s="115"/>
      <c r="J3847" s="115"/>
      <c r="K3847" s="115"/>
      <c r="L3847" s="115"/>
      <c r="M3847" s="115"/>
      <c r="N3847" s="115"/>
      <c r="O3847" s="115"/>
    </row>
    <row r="3848">
      <c r="E3848" s="115"/>
      <c r="F3848" s="115"/>
      <c r="G3848" s="115"/>
      <c r="H3848" s="115"/>
      <c r="I3848" s="115"/>
      <c r="J3848" s="115"/>
      <c r="K3848" s="115"/>
      <c r="L3848" s="115"/>
      <c r="M3848" s="115"/>
      <c r="N3848" s="115"/>
      <c r="O3848" s="115"/>
    </row>
    <row r="3849">
      <c r="E3849" s="115"/>
      <c r="F3849" s="115"/>
      <c r="G3849" s="115"/>
      <c r="H3849" s="115"/>
      <c r="I3849" s="115"/>
      <c r="J3849" s="115"/>
      <c r="K3849" s="115"/>
      <c r="L3849" s="115"/>
      <c r="M3849" s="115"/>
      <c r="N3849" s="115"/>
      <c r="O3849" s="115"/>
    </row>
    <row r="3850">
      <c r="E3850" s="115"/>
      <c r="F3850" s="115"/>
      <c r="G3850" s="115"/>
      <c r="H3850" s="115"/>
      <c r="I3850" s="115"/>
      <c r="J3850" s="115"/>
      <c r="K3850" s="115"/>
      <c r="L3850" s="115"/>
      <c r="M3850" s="115"/>
      <c r="N3850" s="115"/>
      <c r="O3850" s="115"/>
    </row>
    <row r="3851">
      <c r="E3851" s="115"/>
      <c r="F3851" s="115"/>
      <c r="G3851" s="115"/>
      <c r="H3851" s="115"/>
      <c r="I3851" s="115"/>
      <c r="J3851" s="115"/>
      <c r="K3851" s="115"/>
      <c r="L3851" s="115"/>
      <c r="M3851" s="115"/>
      <c r="N3851" s="115"/>
      <c r="O3851" s="115"/>
    </row>
    <row r="3852">
      <c r="E3852" s="115"/>
      <c r="F3852" s="115"/>
      <c r="G3852" s="115"/>
      <c r="H3852" s="115"/>
      <c r="I3852" s="115"/>
      <c r="J3852" s="115"/>
      <c r="K3852" s="115"/>
      <c r="L3852" s="115"/>
      <c r="M3852" s="115"/>
      <c r="N3852" s="115"/>
      <c r="O3852" s="115"/>
    </row>
    <row r="3853">
      <c r="E3853" s="115"/>
      <c r="F3853" s="115"/>
      <c r="G3853" s="115"/>
      <c r="H3853" s="115"/>
      <c r="I3853" s="115"/>
      <c r="J3853" s="115"/>
      <c r="K3853" s="115"/>
      <c r="L3853" s="115"/>
      <c r="M3853" s="115"/>
      <c r="N3853" s="115"/>
      <c r="O3853" s="115"/>
    </row>
    <row r="3854">
      <c r="E3854" s="115"/>
      <c r="F3854" s="115"/>
      <c r="G3854" s="115"/>
      <c r="H3854" s="115"/>
      <c r="I3854" s="115"/>
      <c r="J3854" s="115"/>
      <c r="K3854" s="115"/>
      <c r="L3854" s="115"/>
      <c r="M3854" s="115"/>
      <c r="N3854" s="115"/>
      <c r="O3854" s="115"/>
    </row>
    <row r="3855">
      <c r="E3855" s="115"/>
      <c r="F3855" s="115"/>
      <c r="G3855" s="115"/>
      <c r="H3855" s="115"/>
      <c r="I3855" s="115"/>
      <c r="J3855" s="115"/>
      <c r="K3855" s="115"/>
      <c r="L3855" s="115"/>
      <c r="M3855" s="115"/>
      <c r="N3855" s="115"/>
      <c r="O3855" s="115"/>
    </row>
    <row r="3856">
      <c r="E3856" s="115"/>
      <c r="F3856" s="115"/>
      <c r="G3856" s="115"/>
      <c r="H3856" s="115"/>
      <c r="I3856" s="115"/>
      <c r="J3856" s="115"/>
      <c r="K3856" s="115"/>
      <c r="L3856" s="115"/>
      <c r="M3856" s="115"/>
      <c r="N3856" s="115"/>
      <c r="O3856" s="115"/>
    </row>
    <row r="3857">
      <c r="E3857" s="115"/>
      <c r="F3857" s="115"/>
      <c r="G3857" s="115"/>
      <c r="H3857" s="115"/>
      <c r="I3857" s="115"/>
      <c r="J3857" s="115"/>
      <c r="K3857" s="115"/>
      <c r="L3857" s="115"/>
      <c r="M3857" s="115"/>
      <c r="N3857" s="115"/>
      <c r="O3857" s="115"/>
    </row>
    <row r="3858">
      <c r="E3858" s="115"/>
      <c r="F3858" s="115"/>
      <c r="G3858" s="115"/>
      <c r="H3858" s="115"/>
      <c r="I3858" s="115"/>
      <c r="J3858" s="115"/>
      <c r="K3858" s="115"/>
      <c r="L3858" s="115"/>
      <c r="M3858" s="115"/>
      <c r="N3858" s="115"/>
      <c r="O3858" s="115"/>
    </row>
    <row r="3859">
      <c r="E3859" s="115"/>
      <c r="F3859" s="115"/>
      <c r="G3859" s="115"/>
      <c r="H3859" s="115"/>
      <c r="I3859" s="115"/>
      <c r="J3859" s="115"/>
      <c r="K3859" s="115"/>
      <c r="L3859" s="115"/>
      <c r="M3859" s="115"/>
      <c r="N3859" s="115"/>
      <c r="O3859" s="115"/>
    </row>
    <row r="3860">
      <c r="E3860" s="115"/>
      <c r="F3860" s="115"/>
      <c r="G3860" s="115"/>
      <c r="H3860" s="115"/>
      <c r="I3860" s="115"/>
      <c r="J3860" s="115"/>
      <c r="K3860" s="115"/>
      <c r="L3860" s="115"/>
      <c r="M3860" s="115"/>
      <c r="N3860" s="115"/>
      <c r="O3860" s="115"/>
    </row>
    <row r="3861">
      <c r="E3861" s="115"/>
      <c r="F3861" s="115"/>
      <c r="G3861" s="115"/>
      <c r="H3861" s="115"/>
      <c r="I3861" s="115"/>
      <c r="J3861" s="115"/>
      <c r="K3861" s="115"/>
      <c r="L3861" s="115"/>
      <c r="M3861" s="115"/>
      <c r="N3861" s="115"/>
      <c r="O3861" s="115"/>
    </row>
    <row r="3862">
      <c r="E3862" s="115"/>
      <c r="F3862" s="115"/>
      <c r="G3862" s="115"/>
      <c r="H3862" s="115"/>
      <c r="I3862" s="115"/>
      <c r="J3862" s="115"/>
      <c r="K3862" s="115"/>
      <c r="L3862" s="115"/>
      <c r="M3862" s="115"/>
      <c r="N3862" s="115"/>
      <c r="O3862" s="115"/>
    </row>
    <row r="3863">
      <c r="E3863" s="115"/>
      <c r="F3863" s="115"/>
      <c r="G3863" s="115"/>
      <c r="H3863" s="115"/>
      <c r="I3863" s="115"/>
      <c r="J3863" s="115"/>
      <c r="K3863" s="115"/>
      <c r="L3863" s="115"/>
      <c r="M3863" s="115"/>
      <c r="N3863" s="115"/>
      <c r="O3863" s="115"/>
    </row>
    <row r="3864">
      <c r="E3864" s="115"/>
      <c r="F3864" s="115"/>
      <c r="G3864" s="115"/>
      <c r="H3864" s="115"/>
      <c r="I3864" s="115"/>
      <c r="J3864" s="115"/>
      <c r="K3864" s="115"/>
      <c r="L3864" s="115"/>
      <c r="M3864" s="115"/>
      <c r="N3864" s="115"/>
      <c r="O3864" s="115"/>
    </row>
    <row r="3865">
      <c r="E3865" s="115"/>
      <c r="F3865" s="115"/>
      <c r="G3865" s="115"/>
      <c r="H3865" s="115"/>
      <c r="I3865" s="115"/>
      <c r="J3865" s="115"/>
      <c r="K3865" s="115"/>
      <c r="L3865" s="115"/>
      <c r="M3865" s="115"/>
      <c r="N3865" s="115"/>
      <c r="O3865" s="115"/>
    </row>
    <row r="3866">
      <c r="E3866" s="115"/>
      <c r="F3866" s="115"/>
      <c r="G3866" s="115"/>
      <c r="H3866" s="115"/>
      <c r="I3866" s="115"/>
      <c r="J3866" s="115"/>
      <c r="K3866" s="115"/>
      <c r="L3866" s="115"/>
      <c r="M3866" s="115"/>
      <c r="N3866" s="115"/>
      <c r="O3866" s="115"/>
    </row>
    <row r="3867">
      <c r="E3867" s="115"/>
      <c r="F3867" s="115"/>
      <c r="G3867" s="115"/>
      <c r="H3867" s="115"/>
      <c r="I3867" s="115"/>
      <c r="J3867" s="115"/>
      <c r="K3867" s="115"/>
      <c r="L3867" s="115"/>
      <c r="M3867" s="115"/>
      <c r="N3867" s="115"/>
      <c r="O3867" s="115"/>
    </row>
    <row r="3868">
      <c r="E3868" s="115"/>
      <c r="F3868" s="115"/>
      <c r="G3868" s="115"/>
      <c r="H3868" s="115"/>
      <c r="I3868" s="115"/>
      <c r="J3868" s="115"/>
      <c r="K3868" s="115"/>
      <c r="L3868" s="115"/>
      <c r="M3868" s="115"/>
      <c r="N3868" s="115"/>
      <c r="O3868" s="115"/>
    </row>
    <row r="3869">
      <c r="E3869" s="115"/>
      <c r="F3869" s="115"/>
      <c r="G3869" s="115"/>
      <c r="H3869" s="115"/>
      <c r="I3869" s="115"/>
      <c r="J3869" s="115"/>
      <c r="K3869" s="115"/>
      <c r="L3869" s="115"/>
      <c r="M3869" s="115"/>
      <c r="N3869" s="115"/>
      <c r="O3869" s="115"/>
    </row>
    <row r="3870">
      <c r="E3870" s="115"/>
      <c r="F3870" s="115"/>
      <c r="G3870" s="115"/>
      <c r="H3870" s="115"/>
      <c r="I3870" s="115"/>
      <c r="J3870" s="115"/>
      <c r="K3870" s="115"/>
      <c r="L3870" s="115"/>
      <c r="M3870" s="115"/>
      <c r="N3870" s="115"/>
      <c r="O3870" s="115"/>
    </row>
    <row r="3871">
      <c r="E3871" s="115"/>
      <c r="F3871" s="115"/>
      <c r="G3871" s="115"/>
      <c r="H3871" s="115"/>
      <c r="I3871" s="115"/>
      <c r="J3871" s="115"/>
      <c r="K3871" s="115"/>
      <c r="L3871" s="115"/>
      <c r="M3871" s="115"/>
      <c r="N3871" s="115"/>
      <c r="O3871" s="115"/>
    </row>
    <row r="3872">
      <c r="E3872" s="115"/>
      <c r="F3872" s="115"/>
      <c r="G3872" s="115"/>
      <c r="H3872" s="115"/>
      <c r="I3872" s="115"/>
      <c r="J3872" s="115"/>
      <c r="K3872" s="115"/>
      <c r="L3872" s="115"/>
      <c r="M3872" s="115"/>
      <c r="N3872" s="115"/>
      <c r="O3872" s="115"/>
    </row>
    <row r="3873">
      <c r="E3873" s="115"/>
      <c r="F3873" s="115"/>
      <c r="G3873" s="115"/>
      <c r="H3873" s="115"/>
      <c r="I3873" s="115"/>
      <c r="J3873" s="115"/>
      <c r="K3873" s="115"/>
      <c r="L3873" s="115"/>
      <c r="M3873" s="115"/>
      <c r="N3873" s="115"/>
      <c r="O3873" s="115"/>
    </row>
    <row r="3874">
      <c r="E3874" s="115"/>
      <c r="F3874" s="115"/>
      <c r="G3874" s="115"/>
      <c r="H3874" s="115"/>
      <c r="I3874" s="115"/>
      <c r="J3874" s="115"/>
      <c r="K3874" s="115"/>
      <c r="L3874" s="115"/>
      <c r="M3874" s="115"/>
      <c r="N3874" s="115"/>
      <c r="O3874" s="115"/>
    </row>
    <row r="3875">
      <c r="E3875" s="115"/>
      <c r="F3875" s="115"/>
      <c r="G3875" s="115"/>
      <c r="H3875" s="115"/>
      <c r="I3875" s="115"/>
      <c r="J3875" s="115"/>
      <c r="K3875" s="115"/>
      <c r="L3875" s="115"/>
      <c r="M3875" s="115"/>
      <c r="N3875" s="115"/>
      <c r="O3875" s="115"/>
    </row>
    <row r="3876">
      <c r="E3876" s="115"/>
      <c r="F3876" s="115"/>
      <c r="G3876" s="115"/>
      <c r="H3876" s="115"/>
      <c r="I3876" s="115"/>
      <c r="J3876" s="115"/>
      <c r="K3876" s="115"/>
      <c r="L3876" s="115"/>
      <c r="M3876" s="115"/>
      <c r="N3876" s="115"/>
      <c r="O3876" s="115"/>
    </row>
    <row r="3877">
      <c r="E3877" s="115"/>
      <c r="F3877" s="115"/>
      <c r="G3877" s="115"/>
      <c r="H3877" s="115"/>
      <c r="I3877" s="115"/>
      <c r="J3877" s="115"/>
      <c r="K3877" s="115"/>
      <c r="L3877" s="115"/>
      <c r="M3877" s="115"/>
      <c r="N3877" s="115"/>
      <c r="O3877" s="115"/>
    </row>
    <row r="3878">
      <c r="E3878" s="115"/>
      <c r="F3878" s="115"/>
      <c r="G3878" s="115"/>
      <c r="H3878" s="115"/>
      <c r="I3878" s="115"/>
      <c r="J3878" s="115"/>
      <c r="K3878" s="115"/>
      <c r="L3878" s="115"/>
      <c r="M3878" s="115"/>
      <c r="N3878" s="115"/>
      <c r="O3878" s="115"/>
    </row>
    <row r="3879">
      <c r="E3879" s="115"/>
      <c r="F3879" s="115"/>
      <c r="G3879" s="115"/>
      <c r="H3879" s="115"/>
      <c r="I3879" s="115"/>
      <c r="J3879" s="115"/>
      <c r="K3879" s="115"/>
      <c r="L3879" s="115"/>
      <c r="M3879" s="115"/>
      <c r="N3879" s="115"/>
      <c r="O3879" s="115"/>
    </row>
    <row r="3880">
      <c r="E3880" s="115"/>
      <c r="F3880" s="115"/>
      <c r="G3880" s="115"/>
      <c r="H3880" s="115"/>
      <c r="I3880" s="115"/>
      <c r="J3880" s="115"/>
      <c r="K3880" s="115"/>
      <c r="L3880" s="115"/>
      <c r="M3880" s="115"/>
      <c r="N3880" s="115"/>
      <c r="O3880" s="115"/>
    </row>
    <row r="3881">
      <c r="E3881" s="115"/>
      <c r="F3881" s="115"/>
      <c r="G3881" s="115"/>
      <c r="H3881" s="115"/>
      <c r="I3881" s="115"/>
      <c r="J3881" s="115"/>
      <c r="K3881" s="115"/>
      <c r="L3881" s="115"/>
      <c r="M3881" s="115"/>
      <c r="N3881" s="115"/>
      <c r="O3881" s="115"/>
    </row>
    <row r="3882">
      <c r="E3882" s="115"/>
      <c r="F3882" s="115"/>
      <c r="G3882" s="115"/>
      <c r="H3882" s="115"/>
      <c r="I3882" s="115"/>
      <c r="J3882" s="115"/>
      <c r="K3882" s="115"/>
      <c r="L3882" s="115"/>
      <c r="M3882" s="115"/>
      <c r="N3882" s="115"/>
      <c r="O3882" s="115"/>
    </row>
    <row r="3883">
      <c r="E3883" s="115"/>
      <c r="F3883" s="115"/>
      <c r="G3883" s="115"/>
      <c r="H3883" s="115"/>
      <c r="I3883" s="115"/>
      <c r="J3883" s="115"/>
      <c r="K3883" s="115"/>
      <c r="L3883" s="115"/>
      <c r="M3883" s="115"/>
      <c r="N3883" s="115"/>
      <c r="O3883" s="115"/>
    </row>
    <row r="3884">
      <c r="E3884" s="115"/>
      <c r="F3884" s="115"/>
      <c r="G3884" s="115"/>
      <c r="H3884" s="115"/>
      <c r="I3884" s="115"/>
      <c r="J3884" s="115"/>
      <c r="K3884" s="115"/>
      <c r="L3884" s="115"/>
      <c r="M3884" s="115"/>
      <c r="N3884" s="115"/>
      <c r="O3884" s="115"/>
    </row>
    <row r="3885">
      <c r="E3885" s="115"/>
      <c r="F3885" s="115"/>
      <c r="G3885" s="115"/>
      <c r="H3885" s="115"/>
      <c r="I3885" s="115"/>
      <c r="J3885" s="115"/>
      <c r="K3885" s="115"/>
      <c r="L3885" s="115"/>
      <c r="M3885" s="115"/>
      <c r="N3885" s="115"/>
      <c r="O3885" s="115"/>
    </row>
    <row r="3886">
      <c r="E3886" s="115"/>
      <c r="F3886" s="115"/>
      <c r="G3886" s="115"/>
      <c r="H3886" s="115"/>
      <c r="I3886" s="115"/>
      <c r="J3886" s="115"/>
      <c r="K3886" s="115"/>
      <c r="L3886" s="115"/>
      <c r="M3886" s="115"/>
      <c r="N3886" s="115"/>
      <c r="O3886" s="115"/>
    </row>
    <row r="3887">
      <c r="E3887" s="115"/>
      <c r="F3887" s="115"/>
      <c r="G3887" s="115"/>
      <c r="H3887" s="115"/>
      <c r="I3887" s="115"/>
      <c r="J3887" s="115"/>
      <c r="K3887" s="115"/>
      <c r="L3887" s="115"/>
      <c r="M3887" s="115"/>
      <c r="N3887" s="115"/>
      <c r="O3887" s="115"/>
    </row>
    <row r="3888">
      <c r="E3888" s="115"/>
      <c r="F3888" s="115"/>
      <c r="G3888" s="115"/>
      <c r="H3888" s="115"/>
      <c r="I3888" s="115"/>
      <c r="J3888" s="115"/>
      <c r="K3888" s="115"/>
      <c r="L3888" s="115"/>
      <c r="M3888" s="115"/>
      <c r="N3888" s="115"/>
      <c r="O3888" s="115"/>
    </row>
    <row r="3889">
      <c r="E3889" s="115"/>
      <c r="F3889" s="115"/>
      <c r="G3889" s="115"/>
      <c r="H3889" s="115"/>
      <c r="I3889" s="115"/>
      <c r="J3889" s="115"/>
      <c r="K3889" s="115"/>
      <c r="L3889" s="115"/>
      <c r="M3889" s="115"/>
      <c r="N3889" s="115"/>
      <c r="O3889" s="115"/>
    </row>
    <row r="3890">
      <c r="E3890" s="115"/>
      <c r="F3890" s="115"/>
      <c r="G3890" s="115"/>
      <c r="H3890" s="115"/>
      <c r="I3890" s="115"/>
      <c r="J3890" s="115"/>
      <c r="K3890" s="115"/>
      <c r="L3890" s="115"/>
      <c r="M3890" s="115"/>
      <c r="N3890" s="115"/>
      <c r="O3890" s="115"/>
    </row>
    <row r="3891">
      <c r="E3891" s="115"/>
      <c r="F3891" s="115"/>
      <c r="G3891" s="115"/>
      <c r="H3891" s="115"/>
      <c r="I3891" s="115"/>
      <c r="J3891" s="115"/>
      <c r="K3891" s="115"/>
      <c r="L3891" s="115"/>
      <c r="M3891" s="115"/>
      <c r="N3891" s="115"/>
      <c r="O3891" s="115"/>
    </row>
    <row r="3892">
      <c r="E3892" s="115"/>
      <c r="F3892" s="115"/>
      <c r="G3892" s="115"/>
      <c r="H3892" s="115"/>
      <c r="I3892" s="115"/>
      <c r="J3892" s="115"/>
      <c r="K3892" s="115"/>
      <c r="L3892" s="115"/>
      <c r="M3892" s="115"/>
      <c r="N3892" s="115"/>
      <c r="O3892" s="115"/>
    </row>
    <row r="3893">
      <c r="E3893" s="115"/>
      <c r="F3893" s="115"/>
      <c r="G3893" s="115"/>
      <c r="H3893" s="115"/>
      <c r="I3893" s="115"/>
      <c r="J3893" s="115"/>
      <c r="K3893" s="115"/>
      <c r="L3893" s="115"/>
      <c r="M3893" s="115"/>
      <c r="N3893" s="115"/>
      <c r="O3893" s="115"/>
    </row>
    <row r="3894">
      <c r="E3894" s="115"/>
      <c r="F3894" s="115"/>
      <c r="G3894" s="115"/>
      <c r="H3894" s="115"/>
      <c r="I3894" s="115"/>
      <c r="J3894" s="115"/>
      <c r="K3894" s="115"/>
      <c r="L3894" s="115"/>
      <c r="M3894" s="115"/>
      <c r="N3894" s="115"/>
      <c r="O3894" s="115"/>
    </row>
    <row r="3895">
      <c r="E3895" s="115"/>
      <c r="F3895" s="115"/>
      <c r="G3895" s="115"/>
      <c r="H3895" s="115"/>
      <c r="I3895" s="115"/>
      <c r="J3895" s="115"/>
      <c r="K3895" s="115"/>
      <c r="L3895" s="115"/>
      <c r="M3895" s="115"/>
      <c r="N3895" s="115"/>
      <c r="O3895" s="115"/>
    </row>
    <row r="3896">
      <c r="E3896" s="115"/>
      <c r="F3896" s="115"/>
      <c r="G3896" s="115"/>
      <c r="H3896" s="115"/>
      <c r="I3896" s="115"/>
      <c r="J3896" s="115"/>
      <c r="K3896" s="115"/>
      <c r="L3896" s="115"/>
      <c r="M3896" s="115"/>
      <c r="N3896" s="115"/>
      <c r="O3896" s="115"/>
    </row>
    <row r="3897">
      <c r="E3897" s="115"/>
      <c r="F3897" s="115"/>
      <c r="G3897" s="115"/>
      <c r="H3897" s="115"/>
      <c r="I3897" s="115"/>
      <c r="J3897" s="115"/>
      <c r="K3897" s="115"/>
      <c r="L3897" s="115"/>
      <c r="M3897" s="115"/>
      <c r="N3897" s="115"/>
      <c r="O3897" s="115"/>
    </row>
    <row r="3898">
      <c r="E3898" s="115"/>
      <c r="F3898" s="115"/>
      <c r="G3898" s="115"/>
      <c r="H3898" s="115"/>
      <c r="I3898" s="115"/>
      <c r="J3898" s="115"/>
      <c r="K3898" s="115"/>
      <c r="L3898" s="115"/>
      <c r="M3898" s="115"/>
      <c r="N3898" s="115"/>
      <c r="O3898" s="115"/>
    </row>
    <row r="3899">
      <c r="E3899" s="115"/>
      <c r="F3899" s="115"/>
      <c r="G3899" s="115"/>
      <c r="H3899" s="115"/>
      <c r="I3899" s="115"/>
      <c r="J3899" s="115"/>
      <c r="K3899" s="115"/>
      <c r="L3899" s="115"/>
      <c r="M3899" s="115"/>
      <c r="N3899" s="115"/>
      <c r="O3899" s="115"/>
    </row>
    <row r="3900">
      <c r="E3900" s="115"/>
      <c r="F3900" s="115"/>
      <c r="G3900" s="115"/>
      <c r="H3900" s="115"/>
      <c r="I3900" s="115"/>
      <c r="J3900" s="115"/>
      <c r="K3900" s="115"/>
      <c r="L3900" s="115"/>
      <c r="M3900" s="115"/>
      <c r="N3900" s="115"/>
      <c r="O3900" s="115"/>
    </row>
    <row r="3901">
      <c r="E3901" s="115"/>
      <c r="F3901" s="115"/>
      <c r="G3901" s="115"/>
      <c r="H3901" s="115"/>
      <c r="I3901" s="115"/>
      <c r="J3901" s="115"/>
      <c r="K3901" s="115"/>
      <c r="L3901" s="115"/>
      <c r="M3901" s="115"/>
      <c r="N3901" s="115"/>
      <c r="O3901" s="115"/>
    </row>
    <row r="3902">
      <c r="E3902" s="115"/>
      <c r="F3902" s="115"/>
      <c r="G3902" s="115"/>
      <c r="H3902" s="115"/>
      <c r="I3902" s="115"/>
      <c r="J3902" s="115"/>
      <c r="K3902" s="115"/>
      <c r="L3902" s="115"/>
      <c r="M3902" s="115"/>
      <c r="N3902" s="115"/>
      <c r="O3902" s="115"/>
    </row>
    <row r="3903">
      <c r="E3903" s="115"/>
      <c r="F3903" s="115"/>
      <c r="G3903" s="115"/>
      <c r="H3903" s="115"/>
      <c r="I3903" s="115"/>
      <c r="J3903" s="115"/>
      <c r="K3903" s="115"/>
      <c r="L3903" s="115"/>
      <c r="M3903" s="115"/>
      <c r="N3903" s="115"/>
      <c r="O3903" s="115"/>
    </row>
    <row r="3904">
      <c r="E3904" s="115"/>
      <c r="F3904" s="115"/>
      <c r="G3904" s="115"/>
      <c r="H3904" s="115"/>
      <c r="I3904" s="115"/>
      <c r="J3904" s="115"/>
      <c r="K3904" s="115"/>
      <c r="L3904" s="115"/>
      <c r="M3904" s="115"/>
      <c r="N3904" s="115"/>
      <c r="O3904" s="115"/>
    </row>
    <row r="3905">
      <c r="E3905" s="115"/>
      <c r="F3905" s="115"/>
      <c r="G3905" s="115"/>
      <c r="H3905" s="115"/>
      <c r="I3905" s="115"/>
      <c r="J3905" s="115"/>
      <c r="K3905" s="115"/>
      <c r="L3905" s="115"/>
      <c r="M3905" s="115"/>
      <c r="N3905" s="115"/>
      <c r="O3905" s="115"/>
    </row>
    <row r="3906">
      <c r="E3906" s="115"/>
      <c r="F3906" s="115"/>
      <c r="G3906" s="115"/>
      <c r="H3906" s="115"/>
      <c r="I3906" s="115"/>
      <c r="J3906" s="115"/>
      <c r="K3906" s="115"/>
      <c r="L3906" s="115"/>
      <c r="M3906" s="115"/>
      <c r="N3906" s="115"/>
      <c r="O3906" s="115"/>
    </row>
    <row r="3907">
      <c r="E3907" s="115"/>
      <c r="F3907" s="115"/>
      <c r="G3907" s="115"/>
      <c r="H3907" s="115"/>
      <c r="I3907" s="115"/>
      <c r="J3907" s="115"/>
      <c r="K3907" s="115"/>
      <c r="L3907" s="115"/>
      <c r="M3907" s="115"/>
      <c r="N3907" s="115"/>
      <c r="O3907" s="115"/>
    </row>
    <row r="3908">
      <c r="E3908" s="115"/>
      <c r="F3908" s="115"/>
      <c r="G3908" s="115"/>
      <c r="H3908" s="115"/>
      <c r="I3908" s="115"/>
      <c r="J3908" s="115"/>
      <c r="K3908" s="115"/>
      <c r="L3908" s="115"/>
      <c r="M3908" s="115"/>
      <c r="N3908" s="115"/>
      <c r="O3908" s="115"/>
    </row>
    <row r="3909">
      <c r="E3909" s="115"/>
      <c r="F3909" s="115"/>
      <c r="G3909" s="115"/>
      <c r="H3909" s="115"/>
      <c r="I3909" s="115"/>
      <c r="J3909" s="115"/>
      <c r="K3909" s="115"/>
      <c r="L3909" s="115"/>
      <c r="M3909" s="115"/>
      <c r="N3909" s="115"/>
      <c r="O3909" s="115"/>
    </row>
    <row r="3910">
      <c r="E3910" s="115"/>
      <c r="F3910" s="115"/>
      <c r="G3910" s="115"/>
      <c r="H3910" s="115"/>
      <c r="I3910" s="115"/>
      <c r="J3910" s="115"/>
      <c r="K3910" s="115"/>
      <c r="L3910" s="115"/>
      <c r="M3910" s="115"/>
      <c r="N3910" s="115"/>
      <c r="O3910" s="115"/>
    </row>
    <row r="3911">
      <c r="E3911" s="115"/>
      <c r="F3911" s="115"/>
      <c r="G3911" s="115"/>
      <c r="H3911" s="115"/>
      <c r="I3911" s="115"/>
      <c r="J3911" s="115"/>
      <c r="K3911" s="115"/>
      <c r="L3911" s="115"/>
      <c r="M3911" s="115"/>
      <c r="N3911" s="115"/>
      <c r="O3911" s="115"/>
    </row>
    <row r="3912">
      <c r="E3912" s="115"/>
      <c r="F3912" s="115"/>
      <c r="G3912" s="115"/>
      <c r="H3912" s="115"/>
      <c r="I3912" s="115"/>
      <c r="J3912" s="115"/>
      <c r="K3912" s="115"/>
      <c r="L3912" s="115"/>
      <c r="M3912" s="115"/>
      <c r="N3912" s="115"/>
      <c r="O3912" s="115"/>
    </row>
    <row r="3913">
      <c r="E3913" s="115"/>
      <c r="F3913" s="115"/>
      <c r="G3913" s="115"/>
      <c r="H3913" s="115"/>
      <c r="I3913" s="115"/>
      <c r="J3913" s="115"/>
      <c r="K3913" s="115"/>
      <c r="L3913" s="115"/>
      <c r="M3913" s="115"/>
      <c r="N3913" s="115"/>
      <c r="O3913" s="115"/>
    </row>
    <row r="3914">
      <c r="E3914" s="115"/>
      <c r="F3914" s="115"/>
      <c r="G3914" s="115"/>
      <c r="H3914" s="115"/>
      <c r="I3914" s="115"/>
      <c r="J3914" s="115"/>
      <c r="K3914" s="115"/>
      <c r="L3914" s="115"/>
      <c r="M3914" s="115"/>
      <c r="N3914" s="115"/>
      <c r="O3914" s="115"/>
    </row>
    <row r="3915">
      <c r="E3915" s="115"/>
      <c r="F3915" s="115"/>
      <c r="G3915" s="115"/>
      <c r="H3915" s="115"/>
      <c r="I3915" s="115"/>
      <c r="J3915" s="115"/>
      <c r="K3915" s="115"/>
      <c r="L3915" s="115"/>
      <c r="M3915" s="115"/>
      <c r="N3915" s="115"/>
      <c r="O3915" s="115"/>
    </row>
    <row r="3916">
      <c r="E3916" s="115"/>
      <c r="F3916" s="115"/>
      <c r="G3916" s="115"/>
      <c r="H3916" s="115"/>
      <c r="I3916" s="115"/>
      <c r="J3916" s="115"/>
      <c r="K3916" s="115"/>
      <c r="L3916" s="115"/>
      <c r="M3916" s="115"/>
      <c r="N3916" s="115"/>
      <c r="O3916" s="115"/>
    </row>
    <row r="3917">
      <c r="E3917" s="115"/>
      <c r="F3917" s="115"/>
      <c r="G3917" s="115"/>
      <c r="H3917" s="115"/>
      <c r="I3917" s="115"/>
      <c r="J3917" s="115"/>
      <c r="K3917" s="115"/>
      <c r="L3917" s="115"/>
      <c r="M3917" s="115"/>
      <c r="N3917" s="115"/>
      <c r="O3917" s="115"/>
    </row>
    <row r="3918">
      <c r="E3918" s="115"/>
      <c r="F3918" s="115"/>
      <c r="G3918" s="115"/>
      <c r="H3918" s="115"/>
      <c r="I3918" s="115"/>
      <c r="J3918" s="115"/>
      <c r="K3918" s="115"/>
      <c r="L3918" s="115"/>
      <c r="M3918" s="115"/>
      <c r="N3918" s="115"/>
      <c r="O3918" s="115"/>
    </row>
    <row r="3919">
      <c r="E3919" s="115"/>
      <c r="F3919" s="115"/>
      <c r="G3919" s="115"/>
      <c r="H3919" s="115"/>
      <c r="I3919" s="115"/>
      <c r="J3919" s="115"/>
      <c r="K3919" s="115"/>
      <c r="L3919" s="115"/>
      <c r="M3919" s="115"/>
      <c r="N3919" s="115"/>
      <c r="O3919" s="115"/>
    </row>
    <row r="3920">
      <c r="E3920" s="115"/>
      <c r="F3920" s="115"/>
      <c r="G3920" s="115"/>
      <c r="H3920" s="115"/>
      <c r="I3920" s="115"/>
      <c r="J3920" s="115"/>
      <c r="K3920" s="115"/>
      <c r="L3920" s="115"/>
      <c r="M3920" s="115"/>
      <c r="N3920" s="115"/>
      <c r="O3920" s="115"/>
    </row>
    <row r="3921">
      <c r="E3921" s="115"/>
      <c r="F3921" s="115"/>
      <c r="G3921" s="115"/>
      <c r="H3921" s="115"/>
      <c r="I3921" s="115"/>
      <c r="J3921" s="115"/>
      <c r="K3921" s="115"/>
      <c r="L3921" s="115"/>
      <c r="M3921" s="115"/>
      <c r="N3921" s="115"/>
      <c r="O3921" s="115"/>
    </row>
    <row r="3922">
      <c r="E3922" s="115"/>
      <c r="F3922" s="115"/>
      <c r="G3922" s="115"/>
      <c r="H3922" s="115"/>
      <c r="I3922" s="115"/>
      <c r="J3922" s="115"/>
      <c r="K3922" s="115"/>
      <c r="L3922" s="115"/>
      <c r="M3922" s="115"/>
      <c r="N3922" s="115"/>
      <c r="O3922" s="115"/>
    </row>
    <row r="3923">
      <c r="E3923" s="115"/>
      <c r="F3923" s="115"/>
      <c r="G3923" s="115"/>
      <c r="H3923" s="115"/>
      <c r="I3923" s="115"/>
      <c r="J3923" s="115"/>
      <c r="K3923" s="115"/>
      <c r="L3923" s="115"/>
      <c r="M3923" s="115"/>
      <c r="N3923" s="115"/>
      <c r="O3923" s="115"/>
    </row>
    <row r="3924">
      <c r="E3924" s="115"/>
      <c r="F3924" s="115"/>
      <c r="G3924" s="115"/>
      <c r="H3924" s="115"/>
      <c r="I3924" s="115"/>
      <c r="J3924" s="115"/>
      <c r="K3924" s="115"/>
      <c r="L3924" s="115"/>
      <c r="M3924" s="115"/>
      <c r="N3924" s="115"/>
      <c r="O3924" s="115"/>
    </row>
    <row r="3925">
      <c r="E3925" s="115"/>
      <c r="F3925" s="115"/>
      <c r="G3925" s="115"/>
      <c r="H3925" s="115"/>
      <c r="I3925" s="115"/>
      <c r="J3925" s="115"/>
      <c r="K3925" s="115"/>
      <c r="L3925" s="115"/>
      <c r="M3925" s="115"/>
      <c r="N3925" s="115"/>
      <c r="O3925" s="115"/>
    </row>
    <row r="3926">
      <c r="E3926" s="115"/>
      <c r="F3926" s="115"/>
      <c r="G3926" s="115"/>
      <c r="H3926" s="115"/>
      <c r="I3926" s="115"/>
      <c r="J3926" s="115"/>
      <c r="K3926" s="115"/>
      <c r="L3926" s="115"/>
      <c r="M3926" s="115"/>
      <c r="N3926" s="115"/>
      <c r="O3926" s="115"/>
    </row>
    <row r="3927">
      <c r="E3927" s="115"/>
      <c r="F3927" s="115"/>
      <c r="G3927" s="115"/>
      <c r="H3927" s="115"/>
      <c r="I3927" s="115"/>
      <c r="J3927" s="115"/>
      <c r="K3927" s="115"/>
      <c r="L3927" s="115"/>
      <c r="M3927" s="115"/>
      <c r="N3927" s="115"/>
      <c r="O3927" s="115"/>
    </row>
    <row r="3928">
      <c r="E3928" s="115"/>
      <c r="F3928" s="115"/>
      <c r="G3928" s="115"/>
      <c r="H3928" s="115"/>
      <c r="I3928" s="115"/>
      <c r="J3928" s="115"/>
      <c r="K3928" s="115"/>
      <c r="L3928" s="115"/>
      <c r="M3928" s="115"/>
      <c r="N3928" s="115"/>
      <c r="O3928" s="115"/>
    </row>
    <row r="3929">
      <c r="E3929" s="115"/>
      <c r="F3929" s="115"/>
      <c r="G3929" s="115"/>
      <c r="H3929" s="115"/>
      <c r="I3929" s="115"/>
      <c r="J3929" s="115"/>
      <c r="K3929" s="115"/>
      <c r="L3929" s="115"/>
      <c r="M3929" s="115"/>
      <c r="N3929" s="115"/>
      <c r="O3929" s="115"/>
    </row>
    <row r="3930">
      <c r="E3930" s="115"/>
      <c r="F3930" s="115"/>
      <c r="G3930" s="115"/>
      <c r="H3930" s="115"/>
      <c r="I3930" s="115"/>
      <c r="J3930" s="115"/>
      <c r="K3930" s="115"/>
      <c r="L3930" s="115"/>
      <c r="M3930" s="115"/>
      <c r="N3930" s="115"/>
      <c r="O3930" s="115"/>
    </row>
    <row r="3931">
      <c r="E3931" s="115"/>
      <c r="F3931" s="115"/>
      <c r="G3931" s="115"/>
      <c r="H3931" s="115"/>
      <c r="I3931" s="115"/>
      <c r="J3931" s="115"/>
      <c r="K3931" s="115"/>
      <c r="L3931" s="115"/>
      <c r="M3931" s="115"/>
      <c r="N3931" s="115"/>
      <c r="O3931" s="115"/>
    </row>
    <row r="3932">
      <c r="E3932" s="115"/>
      <c r="F3932" s="115"/>
      <c r="G3932" s="115"/>
      <c r="H3932" s="115"/>
      <c r="I3932" s="115"/>
      <c r="J3932" s="115"/>
      <c r="K3932" s="115"/>
      <c r="L3932" s="115"/>
      <c r="M3932" s="115"/>
      <c r="N3932" s="115"/>
      <c r="O3932" s="115"/>
    </row>
    <row r="3933">
      <c r="E3933" s="115"/>
      <c r="F3933" s="115"/>
      <c r="G3933" s="115"/>
      <c r="H3933" s="115"/>
      <c r="I3933" s="115"/>
      <c r="J3933" s="115"/>
      <c r="K3933" s="115"/>
      <c r="L3933" s="115"/>
      <c r="M3933" s="115"/>
      <c r="N3933" s="115"/>
      <c r="O3933" s="115"/>
    </row>
    <row r="3934">
      <c r="E3934" s="115"/>
      <c r="F3934" s="115"/>
      <c r="G3934" s="115"/>
      <c r="H3934" s="115"/>
      <c r="I3934" s="115"/>
      <c r="J3934" s="115"/>
      <c r="K3934" s="115"/>
      <c r="L3934" s="115"/>
      <c r="M3934" s="115"/>
      <c r="N3934" s="115"/>
      <c r="O3934" s="115"/>
    </row>
    <row r="3935">
      <c r="E3935" s="115"/>
      <c r="F3935" s="115"/>
      <c r="G3935" s="115"/>
      <c r="H3935" s="115"/>
      <c r="I3935" s="115"/>
      <c r="J3935" s="115"/>
      <c r="K3935" s="115"/>
      <c r="L3935" s="115"/>
      <c r="M3935" s="115"/>
      <c r="N3935" s="115"/>
      <c r="O3935" s="115"/>
    </row>
    <row r="3936">
      <c r="E3936" s="115"/>
      <c r="F3936" s="115"/>
      <c r="G3936" s="115"/>
      <c r="H3936" s="115"/>
      <c r="I3936" s="115"/>
      <c r="J3936" s="115"/>
      <c r="K3936" s="115"/>
      <c r="L3936" s="115"/>
      <c r="M3936" s="115"/>
      <c r="N3936" s="115"/>
      <c r="O3936" s="115"/>
    </row>
    <row r="3937">
      <c r="E3937" s="115"/>
      <c r="F3937" s="115"/>
      <c r="G3937" s="115"/>
      <c r="H3937" s="115"/>
      <c r="I3937" s="115"/>
      <c r="J3937" s="115"/>
      <c r="K3937" s="115"/>
      <c r="L3937" s="115"/>
      <c r="M3937" s="115"/>
      <c r="N3937" s="115"/>
      <c r="O3937" s="115"/>
    </row>
    <row r="3938">
      <c r="E3938" s="115"/>
      <c r="F3938" s="115"/>
      <c r="G3938" s="115"/>
      <c r="H3938" s="115"/>
      <c r="I3938" s="115"/>
      <c r="J3938" s="115"/>
      <c r="K3938" s="115"/>
      <c r="L3938" s="115"/>
      <c r="M3938" s="115"/>
      <c r="N3938" s="115"/>
      <c r="O3938" s="115"/>
    </row>
    <row r="3939">
      <c r="E3939" s="115"/>
      <c r="F3939" s="115"/>
      <c r="G3939" s="115"/>
      <c r="H3939" s="115"/>
      <c r="I3939" s="115"/>
      <c r="J3939" s="115"/>
      <c r="K3939" s="115"/>
      <c r="L3939" s="115"/>
      <c r="M3939" s="115"/>
      <c r="N3939" s="115"/>
      <c r="O3939" s="115"/>
    </row>
    <row r="3940">
      <c r="E3940" s="115"/>
      <c r="F3940" s="115"/>
      <c r="G3940" s="115"/>
      <c r="H3940" s="115"/>
      <c r="I3940" s="115"/>
      <c r="J3940" s="115"/>
      <c r="K3940" s="115"/>
      <c r="L3940" s="115"/>
      <c r="M3940" s="115"/>
      <c r="N3940" s="115"/>
      <c r="O3940" s="115"/>
    </row>
    <row r="3941">
      <c r="E3941" s="115"/>
      <c r="F3941" s="115"/>
      <c r="G3941" s="115"/>
      <c r="H3941" s="115"/>
      <c r="I3941" s="115"/>
      <c r="J3941" s="115"/>
      <c r="K3941" s="115"/>
      <c r="L3941" s="115"/>
      <c r="M3941" s="115"/>
      <c r="N3941" s="115"/>
      <c r="O3941" s="115"/>
    </row>
    <row r="3942">
      <c r="E3942" s="115"/>
      <c r="F3942" s="115"/>
      <c r="G3942" s="115"/>
      <c r="H3942" s="115"/>
      <c r="I3942" s="115"/>
      <c r="J3942" s="115"/>
      <c r="K3942" s="115"/>
      <c r="L3942" s="115"/>
      <c r="M3942" s="115"/>
      <c r="N3942" s="115"/>
      <c r="O3942" s="115"/>
    </row>
    <row r="3943">
      <c r="E3943" s="115"/>
      <c r="F3943" s="115"/>
      <c r="G3943" s="115"/>
      <c r="H3943" s="115"/>
      <c r="I3943" s="115"/>
      <c r="J3943" s="115"/>
      <c r="K3943" s="115"/>
      <c r="L3943" s="115"/>
      <c r="M3943" s="115"/>
      <c r="N3943" s="115"/>
      <c r="O3943" s="115"/>
    </row>
    <row r="3944">
      <c r="E3944" s="115"/>
      <c r="F3944" s="115"/>
      <c r="G3944" s="115"/>
      <c r="H3944" s="115"/>
      <c r="I3944" s="115"/>
      <c r="J3944" s="115"/>
      <c r="K3944" s="115"/>
      <c r="L3944" s="115"/>
      <c r="M3944" s="115"/>
      <c r="N3944" s="115"/>
      <c r="O3944" s="115"/>
    </row>
    <row r="3945">
      <c r="E3945" s="115"/>
      <c r="F3945" s="115"/>
      <c r="G3945" s="115"/>
      <c r="H3945" s="115"/>
      <c r="I3945" s="115"/>
      <c r="J3945" s="115"/>
      <c r="K3945" s="115"/>
      <c r="L3945" s="115"/>
      <c r="M3945" s="115"/>
      <c r="N3945" s="115"/>
      <c r="O3945" s="115"/>
    </row>
    <row r="3946">
      <c r="E3946" s="115"/>
      <c r="F3946" s="115"/>
      <c r="G3946" s="115"/>
      <c r="H3946" s="115"/>
      <c r="I3946" s="115"/>
      <c r="J3946" s="115"/>
      <c r="K3946" s="115"/>
      <c r="L3946" s="115"/>
      <c r="M3946" s="115"/>
      <c r="N3946" s="115"/>
      <c r="O3946" s="115"/>
    </row>
    <row r="3947">
      <c r="E3947" s="115"/>
      <c r="F3947" s="115"/>
      <c r="G3947" s="115"/>
      <c r="H3947" s="115"/>
      <c r="I3947" s="115"/>
      <c r="J3947" s="115"/>
      <c r="K3947" s="115"/>
      <c r="L3947" s="115"/>
      <c r="M3947" s="115"/>
      <c r="N3947" s="115"/>
      <c r="O3947" s="115"/>
    </row>
    <row r="3948">
      <c r="E3948" s="115"/>
      <c r="F3948" s="115"/>
      <c r="G3948" s="115"/>
      <c r="H3948" s="115"/>
      <c r="I3948" s="115"/>
      <c r="J3948" s="115"/>
      <c r="K3948" s="115"/>
      <c r="L3948" s="115"/>
      <c r="M3948" s="115"/>
      <c r="N3948" s="115"/>
      <c r="O3948" s="115"/>
    </row>
    <row r="3949">
      <c r="E3949" s="115"/>
      <c r="F3949" s="115"/>
      <c r="G3949" s="115"/>
      <c r="H3949" s="115"/>
      <c r="I3949" s="115"/>
      <c r="J3949" s="115"/>
      <c r="K3949" s="115"/>
      <c r="L3949" s="115"/>
      <c r="M3949" s="115"/>
      <c r="N3949" s="115"/>
      <c r="O3949" s="115"/>
    </row>
    <row r="3950">
      <c r="E3950" s="115"/>
      <c r="F3950" s="115"/>
      <c r="G3950" s="115"/>
      <c r="H3950" s="115"/>
      <c r="I3950" s="115"/>
      <c r="J3950" s="115"/>
      <c r="K3950" s="115"/>
      <c r="L3950" s="115"/>
      <c r="M3950" s="115"/>
      <c r="N3950" s="115"/>
      <c r="O3950" s="115"/>
    </row>
    <row r="3951">
      <c r="E3951" s="115"/>
      <c r="F3951" s="115"/>
      <c r="G3951" s="115"/>
      <c r="H3951" s="115"/>
      <c r="I3951" s="115"/>
      <c r="J3951" s="115"/>
      <c r="K3951" s="115"/>
      <c r="L3951" s="115"/>
      <c r="M3951" s="115"/>
      <c r="N3951" s="115"/>
      <c r="O3951" s="115"/>
    </row>
    <row r="3952">
      <c r="E3952" s="115"/>
      <c r="F3952" s="115"/>
      <c r="G3952" s="115"/>
      <c r="H3952" s="115"/>
      <c r="I3952" s="115"/>
      <c r="J3952" s="115"/>
      <c r="K3952" s="115"/>
      <c r="L3952" s="115"/>
      <c r="M3952" s="115"/>
      <c r="N3952" s="115"/>
      <c r="O3952" s="115"/>
    </row>
    <row r="3953">
      <c r="E3953" s="115"/>
      <c r="F3953" s="115"/>
      <c r="G3953" s="115"/>
      <c r="H3953" s="115"/>
      <c r="I3953" s="115"/>
      <c r="J3953" s="115"/>
      <c r="K3953" s="115"/>
      <c r="L3953" s="115"/>
      <c r="M3953" s="115"/>
      <c r="N3953" s="115"/>
      <c r="O3953" s="115"/>
    </row>
    <row r="3954">
      <c r="E3954" s="115"/>
      <c r="F3954" s="115"/>
      <c r="G3954" s="115"/>
      <c r="H3954" s="115"/>
      <c r="I3954" s="115"/>
      <c r="J3954" s="115"/>
      <c r="K3954" s="115"/>
      <c r="L3954" s="115"/>
      <c r="M3954" s="115"/>
      <c r="N3954" s="115"/>
      <c r="O3954" s="115"/>
    </row>
    <row r="3955">
      <c r="E3955" s="115"/>
      <c r="F3955" s="115"/>
      <c r="G3955" s="115"/>
      <c r="H3955" s="115"/>
      <c r="I3955" s="115"/>
      <c r="J3955" s="115"/>
      <c r="K3955" s="115"/>
      <c r="L3955" s="115"/>
      <c r="M3955" s="115"/>
      <c r="N3955" s="115"/>
      <c r="O3955" s="115"/>
    </row>
    <row r="3956">
      <c r="E3956" s="115"/>
      <c r="F3956" s="115"/>
      <c r="G3956" s="115"/>
      <c r="H3956" s="115"/>
      <c r="I3956" s="115"/>
      <c r="J3956" s="115"/>
      <c r="K3956" s="115"/>
      <c r="L3956" s="115"/>
      <c r="M3956" s="115"/>
      <c r="N3956" s="115"/>
      <c r="O3956" s="115"/>
    </row>
    <row r="3957">
      <c r="E3957" s="115"/>
      <c r="F3957" s="115"/>
      <c r="G3957" s="115"/>
      <c r="H3957" s="115"/>
      <c r="I3957" s="115"/>
      <c r="J3957" s="115"/>
      <c r="K3957" s="115"/>
      <c r="L3957" s="115"/>
      <c r="M3957" s="115"/>
      <c r="N3957" s="115"/>
      <c r="O3957" s="115"/>
    </row>
    <row r="3958">
      <c r="E3958" s="115"/>
      <c r="F3958" s="115"/>
      <c r="G3958" s="115"/>
      <c r="H3958" s="115"/>
      <c r="I3958" s="115"/>
      <c r="J3958" s="115"/>
      <c r="K3958" s="115"/>
      <c r="L3958" s="115"/>
      <c r="M3958" s="115"/>
      <c r="N3958" s="115"/>
      <c r="O3958" s="115"/>
    </row>
    <row r="3959">
      <c r="E3959" s="115"/>
      <c r="F3959" s="115"/>
      <c r="G3959" s="115"/>
      <c r="H3959" s="115"/>
      <c r="I3959" s="115"/>
      <c r="J3959" s="115"/>
      <c r="K3959" s="115"/>
      <c r="L3959" s="115"/>
      <c r="M3959" s="115"/>
      <c r="N3959" s="115"/>
      <c r="O3959" s="115"/>
    </row>
    <row r="3960">
      <c r="E3960" s="115"/>
      <c r="F3960" s="115"/>
      <c r="G3960" s="115"/>
      <c r="H3960" s="115"/>
      <c r="I3960" s="115"/>
      <c r="J3960" s="115"/>
      <c r="K3960" s="115"/>
      <c r="L3960" s="115"/>
      <c r="M3960" s="115"/>
      <c r="N3960" s="115"/>
      <c r="O3960" s="115"/>
    </row>
    <row r="3961">
      <c r="E3961" s="115"/>
      <c r="F3961" s="115"/>
      <c r="G3961" s="115"/>
      <c r="H3961" s="115"/>
      <c r="I3961" s="115"/>
      <c r="J3961" s="115"/>
      <c r="K3961" s="115"/>
      <c r="L3961" s="115"/>
      <c r="M3961" s="115"/>
      <c r="N3961" s="115"/>
      <c r="O3961" s="115"/>
    </row>
    <row r="3962">
      <c r="E3962" s="115"/>
      <c r="F3962" s="115"/>
      <c r="G3962" s="115"/>
      <c r="H3962" s="115"/>
      <c r="I3962" s="115"/>
      <c r="J3962" s="115"/>
      <c r="K3962" s="115"/>
      <c r="L3962" s="115"/>
      <c r="M3962" s="115"/>
      <c r="N3962" s="115"/>
      <c r="O3962" s="115"/>
    </row>
    <row r="3963">
      <c r="E3963" s="115"/>
      <c r="F3963" s="115"/>
      <c r="G3963" s="115"/>
      <c r="H3963" s="115"/>
      <c r="I3963" s="115"/>
      <c r="J3963" s="115"/>
      <c r="K3963" s="115"/>
      <c r="L3963" s="115"/>
      <c r="M3963" s="115"/>
      <c r="N3963" s="115"/>
      <c r="O3963" s="115"/>
    </row>
    <row r="3964">
      <c r="E3964" s="115"/>
      <c r="F3964" s="115"/>
      <c r="G3964" s="115"/>
      <c r="H3964" s="115"/>
      <c r="I3964" s="115"/>
      <c r="J3964" s="115"/>
      <c r="K3964" s="115"/>
      <c r="L3964" s="115"/>
      <c r="M3964" s="115"/>
      <c r="N3964" s="115"/>
      <c r="O3964" s="115"/>
    </row>
    <row r="3965">
      <c r="E3965" s="115"/>
      <c r="F3965" s="115"/>
      <c r="G3965" s="115"/>
      <c r="H3965" s="115"/>
      <c r="I3965" s="115"/>
      <c r="J3965" s="115"/>
      <c r="K3965" s="115"/>
      <c r="L3965" s="115"/>
      <c r="M3965" s="115"/>
      <c r="N3965" s="115"/>
      <c r="O3965" s="115"/>
    </row>
    <row r="3966">
      <c r="E3966" s="115"/>
      <c r="F3966" s="115"/>
      <c r="G3966" s="115"/>
      <c r="H3966" s="115"/>
      <c r="I3966" s="115"/>
      <c r="J3966" s="115"/>
      <c r="K3966" s="115"/>
      <c r="L3966" s="115"/>
      <c r="M3966" s="115"/>
      <c r="N3966" s="115"/>
      <c r="O3966" s="115"/>
    </row>
    <row r="3967">
      <c r="E3967" s="115"/>
      <c r="F3967" s="115"/>
      <c r="G3967" s="115"/>
      <c r="H3967" s="115"/>
      <c r="I3967" s="115"/>
      <c r="J3967" s="115"/>
      <c r="K3967" s="115"/>
      <c r="L3967" s="115"/>
      <c r="M3967" s="115"/>
      <c r="N3967" s="115"/>
      <c r="O3967" s="115"/>
    </row>
    <row r="3968">
      <c r="E3968" s="115"/>
      <c r="F3968" s="115"/>
      <c r="G3968" s="115"/>
      <c r="H3968" s="115"/>
      <c r="I3968" s="115"/>
      <c r="J3968" s="115"/>
      <c r="K3968" s="115"/>
      <c r="L3968" s="115"/>
      <c r="M3968" s="115"/>
      <c r="N3968" s="115"/>
      <c r="O3968" s="115"/>
    </row>
    <row r="3969">
      <c r="E3969" s="115"/>
      <c r="F3969" s="115"/>
      <c r="G3969" s="115"/>
      <c r="H3969" s="115"/>
      <c r="I3969" s="115"/>
      <c r="J3969" s="115"/>
      <c r="K3969" s="115"/>
      <c r="L3969" s="115"/>
      <c r="M3969" s="115"/>
      <c r="N3969" s="115"/>
      <c r="O3969" s="115"/>
    </row>
    <row r="3970">
      <c r="E3970" s="115"/>
      <c r="F3970" s="115"/>
      <c r="G3970" s="115"/>
      <c r="H3970" s="115"/>
      <c r="I3970" s="115"/>
      <c r="J3970" s="115"/>
      <c r="K3970" s="115"/>
      <c r="L3970" s="115"/>
      <c r="M3970" s="115"/>
      <c r="N3970" s="115"/>
      <c r="O3970" s="115"/>
    </row>
    <row r="3971">
      <c r="E3971" s="115"/>
      <c r="F3971" s="115"/>
      <c r="G3971" s="115"/>
      <c r="H3971" s="115"/>
      <c r="I3971" s="115"/>
      <c r="J3971" s="115"/>
      <c r="K3971" s="115"/>
      <c r="L3971" s="115"/>
      <c r="M3971" s="115"/>
      <c r="N3971" s="115"/>
      <c r="O3971" s="115"/>
    </row>
    <row r="3972">
      <c r="E3972" s="115"/>
      <c r="F3972" s="115"/>
      <c r="G3972" s="115"/>
      <c r="H3972" s="115"/>
      <c r="I3972" s="115"/>
      <c r="J3972" s="115"/>
      <c r="K3972" s="115"/>
      <c r="L3972" s="115"/>
      <c r="M3972" s="115"/>
      <c r="N3972" s="115"/>
      <c r="O3972" s="115"/>
    </row>
    <row r="3973">
      <c r="E3973" s="115"/>
      <c r="F3973" s="115"/>
      <c r="G3973" s="115"/>
      <c r="H3973" s="115"/>
      <c r="I3973" s="115"/>
      <c r="J3973" s="115"/>
      <c r="K3973" s="115"/>
      <c r="L3973" s="115"/>
      <c r="M3973" s="115"/>
      <c r="N3973" s="115"/>
      <c r="O3973" s="115"/>
    </row>
    <row r="3974">
      <c r="E3974" s="115"/>
      <c r="F3974" s="115"/>
      <c r="G3974" s="115"/>
      <c r="H3974" s="115"/>
      <c r="I3974" s="115"/>
      <c r="J3974" s="115"/>
      <c r="K3974" s="115"/>
      <c r="L3974" s="115"/>
      <c r="M3974" s="115"/>
      <c r="N3974" s="115"/>
      <c r="O3974" s="115"/>
    </row>
    <row r="3975">
      <c r="E3975" s="115"/>
      <c r="F3975" s="115"/>
      <c r="G3975" s="115"/>
      <c r="H3975" s="115"/>
      <c r="I3975" s="115"/>
      <c r="J3975" s="115"/>
      <c r="K3975" s="115"/>
      <c r="L3975" s="115"/>
      <c r="M3975" s="115"/>
      <c r="N3975" s="115"/>
      <c r="O3975" s="115"/>
    </row>
    <row r="3976">
      <c r="E3976" s="115"/>
      <c r="F3976" s="115"/>
      <c r="G3976" s="115"/>
      <c r="H3976" s="115"/>
      <c r="I3976" s="115"/>
      <c r="J3976" s="115"/>
      <c r="K3976" s="115"/>
      <c r="L3976" s="115"/>
      <c r="M3976" s="115"/>
      <c r="N3976" s="115"/>
      <c r="O3976" s="115"/>
    </row>
    <row r="3977">
      <c r="E3977" s="115"/>
      <c r="F3977" s="115"/>
      <c r="G3977" s="115"/>
      <c r="H3977" s="115"/>
      <c r="I3977" s="115"/>
      <c r="J3977" s="115"/>
      <c r="K3977" s="115"/>
      <c r="L3977" s="115"/>
      <c r="M3977" s="115"/>
      <c r="N3977" s="115"/>
      <c r="O3977" s="115"/>
    </row>
    <row r="3978">
      <c r="E3978" s="115"/>
      <c r="F3978" s="115"/>
      <c r="G3978" s="115"/>
      <c r="H3978" s="115"/>
      <c r="I3978" s="115"/>
      <c r="J3978" s="115"/>
      <c r="K3978" s="115"/>
      <c r="L3978" s="115"/>
      <c r="M3978" s="115"/>
      <c r="N3978" s="115"/>
      <c r="O3978" s="115"/>
    </row>
    <row r="3979">
      <c r="E3979" s="115"/>
      <c r="F3979" s="115"/>
      <c r="G3979" s="115"/>
      <c r="H3979" s="115"/>
      <c r="I3979" s="115"/>
      <c r="J3979" s="115"/>
      <c r="K3979" s="115"/>
      <c r="L3979" s="115"/>
      <c r="M3979" s="115"/>
      <c r="N3979" s="115"/>
      <c r="O3979" s="115"/>
    </row>
    <row r="3980">
      <c r="E3980" s="115"/>
      <c r="F3980" s="115"/>
      <c r="G3980" s="115"/>
      <c r="H3980" s="115"/>
      <c r="I3980" s="115"/>
      <c r="J3980" s="115"/>
      <c r="K3980" s="115"/>
      <c r="L3980" s="115"/>
      <c r="M3980" s="115"/>
      <c r="N3980" s="115"/>
      <c r="O3980" s="115"/>
    </row>
    <row r="3981">
      <c r="E3981" s="115"/>
      <c r="F3981" s="115"/>
      <c r="G3981" s="115"/>
      <c r="H3981" s="115"/>
      <c r="I3981" s="115"/>
      <c r="J3981" s="115"/>
      <c r="K3981" s="115"/>
      <c r="L3981" s="115"/>
      <c r="M3981" s="115"/>
      <c r="N3981" s="115"/>
      <c r="O3981" s="115"/>
    </row>
    <row r="3982">
      <c r="E3982" s="115"/>
      <c r="F3982" s="115"/>
      <c r="G3982" s="115"/>
      <c r="H3982" s="115"/>
      <c r="I3982" s="115"/>
      <c r="J3982" s="115"/>
      <c r="K3982" s="115"/>
      <c r="L3982" s="115"/>
      <c r="M3982" s="115"/>
      <c r="N3982" s="115"/>
      <c r="O3982" s="115"/>
    </row>
    <row r="3983">
      <c r="E3983" s="115"/>
      <c r="F3983" s="115"/>
      <c r="G3983" s="115"/>
      <c r="H3983" s="115"/>
      <c r="I3983" s="115"/>
      <c r="J3983" s="115"/>
      <c r="K3983" s="115"/>
      <c r="L3983" s="115"/>
      <c r="M3983" s="115"/>
      <c r="N3983" s="115"/>
      <c r="O3983" s="115"/>
    </row>
    <row r="3984">
      <c r="E3984" s="115"/>
      <c r="F3984" s="115"/>
      <c r="G3984" s="115"/>
      <c r="H3984" s="115"/>
      <c r="I3984" s="115"/>
      <c r="J3984" s="115"/>
      <c r="K3984" s="115"/>
      <c r="L3984" s="115"/>
      <c r="M3984" s="115"/>
      <c r="N3984" s="115"/>
      <c r="O3984" s="115"/>
    </row>
    <row r="3985">
      <c r="E3985" s="115"/>
      <c r="F3985" s="115"/>
      <c r="G3985" s="115"/>
      <c r="H3985" s="115"/>
      <c r="I3985" s="115"/>
      <c r="J3985" s="115"/>
      <c r="K3985" s="115"/>
      <c r="L3985" s="115"/>
      <c r="M3985" s="115"/>
      <c r="N3985" s="115"/>
      <c r="O3985" s="115"/>
    </row>
    <row r="3986">
      <c r="E3986" s="115"/>
      <c r="F3986" s="115"/>
      <c r="G3986" s="115"/>
      <c r="H3986" s="115"/>
      <c r="I3986" s="115"/>
      <c r="J3986" s="115"/>
      <c r="K3986" s="115"/>
      <c r="L3986" s="115"/>
      <c r="M3986" s="115"/>
      <c r="N3986" s="115"/>
      <c r="O3986" s="115"/>
    </row>
    <row r="3987">
      <c r="E3987" s="115"/>
      <c r="F3987" s="115"/>
      <c r="G3987" s="115"/>
      <c r="H3987" s="115"/>
      <c r="I3987" s="115"/>
      <c r="J3987" s="115"/>
      <c r="K3987" s="115"/>
      <c r="L3987" s="115"/>
      <c r="M3987" s="115"/>
      <c r="N3987" s="115"/>
      <c r="O3987" s="115"/>
    </row>
    <row r="3988">
      <c r="E3988" s="115"/>
      <c r="F3988" s="115"/>
      <c r="G3988" s="115"/>
      <c r="H3988" s="115"/>
      <c r="I3988" s="115"/>
      <c r="J3988" s="115"/>
      <c r="K3988" s="115"/>
      <c r="L3988" s="115"/>
      <c r="M3988" s="115"/>
      <c r="N3988" s="115"/>
      <c r="O3988" s="115"/>
    </row>
    <row r="3989">
      <c r="E3989" s="115"/>
      <c r="F3989" s="115"/>
      <c r="G3989" s="115"/>
      <c r="H3989" s="115"/>
      <c r="I3989" s="115"/>
      <c r="J3989" s="115"/>
      <c r="K3989" s="115"/>
      <c r="L3989" s="115"/>
      <c r="M3989" s="115"/>
      <c r="N3989" s="115"/>
      <c r="O3989" s="115"/>
    </row>
    <row r="3990">
      <c r="E3990" s="115"/>
      <c r="F3990" s="115"/>
      <c r="G3990" s="115"/>
      <c r="H3990" s="115"/>
      <c r="I3990" s="115"/>
      <c r="J3990" s="115"/>
      <c r="K3990" s="115"/>
      <c r="L3990" s="115"/>
      <c r="M3990" s="115"/>
      <c r="N3990" s="115"/>
      <c r="O3990" s="115"/>
    </row>
    <row r="3991">
      <c r="E3991" s="115"/>
      <c r="F3991" s="115"/>
      <c r="G3991" s="115"/>
      <c r="H3991" s="115"/>
      <c r="I3991" s="115"/>
      <c r="J3991" s="115"/>
      <c r="K3991" s="115"/>
      <c r="L3991" s="115"/>
      <c r="M3991" s="115"/>
      <c r="N3991" s="115"/>
      <c r="O3991" s="115"/>
    </row>
    <row r="3992">
      <c r="E3992" s="115"/>
      <c r="F3992" s="115"/>
      <c r="G3992" s="115"/>
      <c r="H3992" s="115"/>
      <c r="I3992" s="115"/>
      <c r="J3992" s="115"/>
      <c r="K3992" s="115"/>
      <c r="L3992" s="115"/>
      <c r="M3992" s="115"/>
      <c r="N3992" s="115"/>
      <c r="O3992" s="115"/>
    </row>
    <row r="3993">
      <c r="E3993" s="115"/>
      <c r="F3993" s="115"/>
      <c r="G3993" s="115"/>
      <c r="H3993" s="115"/>
      <c r="I3993" s="115"/>
      <c r="J3993" s="115"/>
      <c r="K3993" s="115"/>
      <c r="L3993" s="115"/>
      <c r="M3993" s="115"/>
      <c r="N3993" s="115"/>
      <c r="O3993" s="115"/>
    </row>
    <row r="3994">
      <c r="E3994" s="115"/>
      <c r="F3994" s="115"/>
      <c r="G3994" s="115"/>
      <c r="H3994" s="115"/>
      <c r="I3994" s="115"/>
      <c r="J3994" s="115"/>
      <c r="K3994" s="115"/>
      <c r="L3994" s="115"/>
      <c r="M3994" s="115"/>
      <c r="N3994" s="115"/>
      <c r="O3994" s="115"/>
    </row>
    <row r="3995">
      <c r="E3995" s="115"/>
      <c r="F3995" s="115"/>
      <c r="G3995" s="115"/>
      <c r="H3995" s="115"/>
      <c r="I3995" s="115"/>
      <c r="J3995" s="115"/>
      <c r="K3995" s="115"/>
      <c r="L3995" s="115"/>
      <c r="M3995" s="115"/>
      <c r="N3995" s="115"/>
      <c r="O3995" s="115"/>
    </row>
    <row r="3996">
      <c r="E3996" s="115"/>
      <c r="F3996" s="115"/>
      <c r="G3996" s="115"/>
      <c r="H3996" s="115"/>
      <c r="I3996" s="115"/>
      <c r="J3996" s="115"/>
      <c r="K3996" s="115"/>
      <c r="L3996" s="115"/>
      <c r="M3996" s="115"/>
      <c r="N3996" s="115"/>
      <c r="O3996" s="115"/>
    </row>
    <row r="3997">
      <c r="E3997" s="115"/>
      <c r="F3997" s="115"/>
      <c r="G3997" s="115"/>
      <c r="H3997" s="115"/>
      <c r="I3997" s="115"/>
      <c r="J3997" s="115"/>
      <c r="K3997" s="115"/>
      <c r="L3997" s="115"/>
      <c r="M3997" s="115"/>
      <c r="N3997" s="115"/>
      <c r="O3997" s="115"/>
    </row>
    <row r="3998">
      <c r="E3998" s="115"/>
      <c r="F3998" s="115"/>
      <c r="G3998" s="115"/>
      <c r="H3998" s="115"/>
      <c r="I3998" s="115"/>
      <c r="J3998" s="115"/>
      <c r="K3998" s="115"/>
      <c r="L3998" s="115"/>
      <c r="M3998" s="115"/>
      <c r="N3998" s="115"/>
      <c r="O3998" s="115"/>
    </row>
    <row r="3999">
      <c r="E3999" s="115"/>
      <c r="F3999" s="115"/>
      <c r="G3999" s="115"/>
      <c r="H3999" s="115"/>
      <c r="I3999" s="115"/>
      <c r="J3999" s="115"/>
      <c r="K3999" s="115"/>
      <c r="L3999" s="115"/>
      <c r="M3999" s="115"/>
      <c r="N3999" s="115"/>
      <c r="O3999" s="115"/>
    </row>
    <row r="4000">
      <c r="E4000" s="115"/>
      <c r="F4000" s="115"/>
      <c r="G4000" s="115"/>
      <c r="H4000" s="115"/>
      <c r="I4000" s="115"/>
      <c r="J4000" s="115"/>
      <c r="K4000" s="115"/>
      <c r="L4000" s="115"/>
      <c r="M4000" s="115"/>
      <c r="N4000" s="115"/>
      <c r="O4000" s="115"/>
    </row>
    <row r="4001">
      <c r="E4001" s="115"/>
      <c r="F4001" s="115"/>
      <c r="G4001" s="115"/>
      <c r="H4001" s="115"/>
      <c r="I4001" s="115"/>
      <c r="J4001" s="115"/>
      <c r="K4001" s="115"/>
      <c r="L4001" s="115"/>
      <c r="M4001" s="115"/>
      <c r="N4001" s="115"/>
      <c r="O4001" s="115"/>
    </row>
    <row r="4002">
      <c r="E4002" s="115"/>
      <c r="F4002" s="115"/>
      <c r="G4002" s="115"/>
      <c r="H4002" s="115"/>
      <c r="I4002" s="115"/>
      <c r="J4002" s="115"/>
      <c r="K4002" s="115"/>
      <c r="L4002" s="115"/>
      <c r="M4002" s="115"/>
      <c r="N4002" s="115"/>
      <c r="O4002" s="115"/>
    </row>
    <row r="4003">
      <c r="E4003" s="115"/>
      <c r="F4003" s="115"/>
      <c r="G4003" s="115"/>
      <c r="H4003" s="115"/>
      <c r="I4003" s="115"/>
      <c r="J4003" s="115"/>
      <c r="K4003" s="115"/>
      <c r="L4003" s="115"/>
      <c r="M4003" s="115"/>
      <c r="N4003" s="115"/>
      <c r="O4003" s="115"/>
    </row>
    <row r="4004">
      <c r="E4004" s="115"/>
      <c r="F4004" s="115"/>
      <c r="G4004" s="115"/>
      <c r="H4004" s="115"/>
      <c r="I4004" s="115"/>
      <c r="J4004" s="115"/>
      <c r="K4004" s="115"/>
      <c r="L4004" s="115"/>
      <c r="M4004" s="115"/>
      <c r="N4004" s="115"/>
      <c r="O4004" s="115"/>
    </row>
    <row r="4005">
      <c r="E4005" s="115"/>
      <c r="F4005" s="115"/>
      <c r="G4005" s="115"/>
      <c r="H4005" s="115"/>
      <c r="I4005" s="115"/>
      <c r="J4005" s="115"/>
      <c r="K4005" s="115"/>
      <c r="L4005" s="115"/>
      <c r="M4005" s="115"/>
      <c r="N4005" s="115"/>
      <c r="O4005" s="115"/>
    </row>
    <row r="4006">
      <c r="E4006" s="115"/>
      <c r="F4006" s="115"/>
      <c r="G4006" s="115"/>
      <c r="H4006" s="115"/>
      <c r="I4006" s="115"/>
      <c r="J4006" s="115"/>
      <c r="K4006" s="115"/>
      <c r="L4006" s="115"/>
      <c r="M4006" s="115"/>
      <c r="N4006" s="115"/>
      <c r="O4006" s="115"/>
    </row>
    <row r="4007">
      <c r="E4007" s="115"/>
      <c r="F4007" s="115"/>
      <c r="G4007" s="115"/>
      <c r="H4007" s="115"/>
      <c r="I4007" s="115"/>
      <c r="J4007" s="115"/>
      <c r="K4007" s="115"/>
      <c r="L4007" s="115"/>
      <c r="M4007" s="115"/>
      <c r="N4007" s="115"/>
      <c r="O4007" s="115"/>
    </row>
    <row r="4008">
      <c r="E4008" s="115"/>
      <c r="F4008" s="115"/>
      <c r="G4008" s="115"/>
      <c r="H4008" s="115"/>
      <c r="I4008" s="115"/>
      <c r="J4008" s="115"/>
      <c r="K4008" s="115"/>
      <c r="L4008" s="115"/>
      <c r="M4008" s="115"/>
      <c r="N4008" s="115"/>
      <c r="O4008" s="115"/>
    </row>
    <row r="4009">
      <c r="E4009" s="115"/>
      <c r="F4009" s="115"/>
      <c r="G4009" s="115"/>
      <c r="H4009" s="115"/>
      <c r="I4009" s="115"/>
      <c r="J4009" s="115"/>
      <c r="K4009" s="115"/>
      <c r="L4009" s="115"/>
      <c r="M4009" s="115"/>
      <c r="N4009" s="115"/>
      <c r="O4009" s="115"/>
    </row>
    <row r="4010">
      <c r="E4010" s="115"/>
      <c r="F4010" s="115"/>
      <c r="G4010" s="115"/>
      <c r="H4010" s="115"/>
      <c r="I4010" s="115"/>
      <c r="J4010" s="115"/>
      <c r="K4010" s="115"/>
      <c r="L4010" s="115"/>
      <c r="M4010" s="115"/>
      <c r="N4010" s="115"/>
      <c r="O4010" s="115"/>
    </row>
    <row r="4011">
      <c r="E4011" s="115"/>
      <c r="F4011" s="115"/>
      <c r="G4011" s="115"/>
      <c r="H4011" s="115"/>
      <c r="I4011" s="115"/>
      <c r="J4011" s="115"/>
      <c r="K4011" s="115"/>
      <c r="L4011" s="115"/>
      <c r="M4011" s="115"/>
      <c r="N4011" s="115"/>
      <c r="O4011" s="115"/>
    </row>
    <row r="4012">
      <c r="E4012" s="115"/>
      <c r="F4012" s="115"/>
      <c r="G4012" s="115"/>
      <c r="H4012" s="115"/>
      <c r="I4012" s="115"/>
      <c r="J4012" s="115"/>
      <c r="K4012" s="115"/>
      <c r="L4012" s="115"/>
      <c r="M4012" s="115"/>
      <c r="N4012" s="115"/>
      <c r="O4012" s="115"/>
    </row>
    <row r="4013">
      <c r="E4013" s="115"/>
      <c r="F4013" s="115"/>
      <c r="G4013" s="115"/>
      <c r="H4013" s="115"/>
      <c r="I4013" s="115"/>
      <c r="J4013" s="115"/>
      <c r="K4013" s="115"/>
      <c r="L4013" s="115"/>
      <c r="M4013" s="115"/>
      <c r="N4013" s="115"/>
      <c r="O4013" s="115"/>
    </row>
    <row r="4014">
      <c r="E4014" s="115"/>
      <c r="F4014" s="115"/>
      <c r="G4014" s="115"/>
      <c r="H4014" s="115"/>
      <c r="I4014" s="115"/>
      <c r="J4014" s="115"/>
      <c r="K4014" s="115"/>
      <c r="L4014" s="115"/>
      <c r="M4014" s="115"/>
      <c r="N4014" s="115"/>
      <c r="O4014" s="115"/>
    </row>
    <row r="4015">
      <c r="E4015" s="115"/>
      <c r="F4015" s="115"/>
      <c r="G4015" s="115"/>
      <c r="H4015" s="115"/>
      <c r="I4015" s="115"/>
      <c r="J4015" s="115"/>
      <c r="K4015" s="115"/>
      <c r="L4015" s="115"/>
      <c r="M4015" s="115"/>
      <c r="N4015" s="115"/>
      <c r="O4015" s="115"/>
    </row>
    <row r="4016">
      <c r="E4016" s="115"/>
      <c r="F4016" s="115"/>
      <c r="G4016" s="115"/>
      <c r="H4016" s="115"/>
      <c r="I4016" s="115"/>
      <c r="J4016" s="115"/>
      <c r="K4016" s="115"/>
      <c r="L4016" s="115"/>
      <c r="M4016" s="115"/>
      <c r="N4016" s="115"/>
      <c r="O4016" s="115"/>
    </row>
    <row r="4017">
      <c r="E4017" s="115"/>
      <c r="F4017" s="115"/>
      <c r="G4017" s="115"/>
      <c r="H4017" s="115"/>
      <c r="I4017" s="115"/>
      <c r="J4017" s="115"/>
      <c r="K4017" s="115"/>
      <c r="L4017" s="115"/>
      <c r="M4017" s="115"/>
      <c r="N4017" s="115"/>
      <c r="O4017" s="115"/>
    </row>
    <row r="4018">
      <c r="E4018" s="115"/>
      <c r="F4018" s="115"/>
      <c r="G4018" s="115"/>
      <c r="H4018" s="115"/>
      <c r="I4018" s="115"/>
      <c r="J4018" s="115"/>
      <c r="K4018" s="115"/>
      <c r="L4018" s="115"/>
      <c r="M4018" s="115"/>
      <c r="N4018" s="115"/>
      <c r="O4018" s="115"/>
    </row>
    <row r="4019">
      <c r="E4019" s="115"/>
      <c r="F4019" s="115"/>
      <c r="G4019" s="115"/>
      <c r="H4019" s="115"/>
      <c r="I4019" s="115"/>
      <c r="J4019" s="115"/>
      <c r="K4019" s="115"/>
      <c r="L4019" s="115"/>
      <c r="M4019" s="115"/>
      <c r="N4019" s="115"/>
      <c r="O4019" s="115"/>
    </row>
    <row r="4020">
      <c r="E4020" s="115"/>
      <c r="F4020" s="115"/>
      <c r="G4020" s="115"/>
      <c r="H4020" s="115"/>
      <c r="I4020" s="115"/>
      <c r="J4020" s="115"/>
      <c r="K4020" s="115"/>
      <c r="L4020" s="115"/>
      <c r="M4020" s="115"/>
      <c r="N4020" s="115"/>
      <c r="O4020" s="115"/>
    </row>
    <row r="4021">
      <c r="E4021" s="115"/>
      <c r="F4021" s="115"/>
      <c r="G4021" s="115"/>
      <c r="H4021" s="115"/>
      <c r="I4021" s="115"/>
      <c r="J4021" s="115"/>
      <c r="K4021" s="115"/>
      <c r="L4021" s="115"/>
      <c r="M4021" s="115"/>
      <c r="N4021" s="115"/>
      <c r="O4021" s="115"/>
    </row>
    <row r="4022">
      <c r="E4022" s="115"/>
      <c r="F4022" s="115"/>
      <c r="G4022" s="115"/>
      <c r="H4022" s="115"/>
      <c r="I4022" s="115"/>
      <c r="J4022" s="115"/>
      <c r="K4022" s="115"/>
      <c r="L4022" s="115"/>
      <c r="M4022" s="115"/>
      <c r="N4022" s="115"/>
      <c r="O4022" s="115"/>
    </row>
    <row r="4023">
      <c r="E4023" s="115"/>
      <c r="F4023" s="115"/>
      <c r="G4023" s="115"/>
      <c r="H4023" s="115"/>
      <c r="I4023" s="115"/>
      <c r="J4023" s="115"/>
      <c r="K4023" s="115"/>
      <c r="L4023" s="115"/>
      <c r="M4023" s="115"/>
      <c r="N4023" s="115"/>
      <c r="O4023" s="115"/>
    </row>
    <row r="4024">
      <c r="E4024" s="115"/>
      <c r="F4024" s="115"/>
      <c r="G4024" s="115"/>
      <c r="H4024" s="115"/>
      <c r="I4024" s="115"/>
      <c r="J4024" s="115"/>
      <c r="K4024" s="115"/>
      <c r="L4024" s="115"/>
      <c r="M4024" s="115"/>
      <c r="N4024" s="115"/>
      <c r="O4024" s="115"/>
    </row>
    <row r="4025">
      <c r="E4025" s="115"/>
      <c r="F4025" s="115"/>
      <c r="G4025" s="115"/>
      <c r="H4025" s="115"/>
      <c r="I4025" s="115"/>
      <c r="J4025" s="115"/>
      <c r="K4025" s="115"/>
      <c r="L4025" s="115"/>
      <c r="M4025" s="115"/>
      <c r="N4025" s="115"/>
      <c r="O4025" s="115"/>
    </row>
    <row r="4026">
      <c r="E4026" s="115"/>
      <c r="F4026" s="115"/>
      <c r="G4026" s="115"/>
      <c r="H4026" s="115"/>
      <c r="I4026" s="115"/>
      <c r="J4026" s="115"/>
      <c r="K4026" s="115"/>
      <c r="L4026" s="115"/>
      <c r="M4026" s="115"/>
      <c r="N4026" s="115"/>
      <c r="O4026" s="115"/>
    </row>
    <row r="4027">
      <c r="E4027" s="115"/>
      <c r="F4027" s="115"/>
      <c r="G4027" s="115"/>
      <c r="H4027" s="115"/>
      <c r="I4027" s="115"/>
      <c r="J4027" s="115"/>
      <c r="K4027" s="115"/>
      <c r="L4027" s="115"/>
      <c r="M4027" s="115"/>
      <c r="N4027" s="115"/>
      <c r="O4027" s="115"/>
    </row>
    <row r="4028">
      <c r="E4028" s="115"/>
      <c r="F4028" s="115"/>
      <c r="G4028" s="115"/>
      <c r="H4028" s="115"/>
      <c r="I4028" s="115"/>
      <c r="J4028" s="115"/>
      <c r="K4028" s="115"/>
      <c r="L4028" s="115"/>
      <c r="M4028" s="115"/>
      <c r="N4028" s="115"/>
      <c r="O4028" s="115"/>
    </row>
    <row r="4029">
      <c r="E4029" s="115"/>
      <c r="F4029" s="115"/>
      <c r="G4029" s="115"/>
      <c r="H4029" s="115"/>
      <c r="I4029" s="115"/>
      <c r="J4029" s="115"/>
      <c r="K4029" s="115"/>
      <c r="L4029" s="115"/>
      <c r="M4029" s="115"/>
      <c r="N4029" s="115"/>
      <c r="O4029" s="115"/>
    </row>
    <row r="4030">
      <c r="E4030" s="115"/>
      <c r="F4030" s="115"/>
      <c r="G4030" s="115"/>
      <c r="H4030" s="115"/>
      <c r="I4030" s="115"/>
      <c r="J4030" s="115"/>
      <c r="K4030" s="115"/>
      <c r="L4030" s="115"/>
      <c r="M4030" s="115"/>
      <c r="N4030" s="115"/>
      <c r="O4030" s="115"/>
    </row>
    <row r="4031">
      <c r="E4031" s="115"/>
      <c r="F4031" s="115"/>
      <c r="G4031" s="115"/>
      <c r="H4031" s="115"/>
      <c r="I4031" s="115"/>
      <c r="J4031" s="115"/>
      <c r="K4031" s="115"/>
      <c r="L4031" s="115"/>
      <c r="M4031" s="115"/>
      <c r="N4031" s="115"/>
      <c r="O4031" s="115"/>
    </row>
    <row r="4032">
      <c r="E4032" s="115"/>
      <c r="F4032" s="115"/>
      <c r="G4032" s="115"/>
      <c r="H4032" s="115"/>
      <c r="I4032" s="115"/>
      <c r="J4032" s="115"/>
      <c r="K4032" s="115"/>
      <c r="L4032" s="115"/>
      <c r="M4032" s="115"/>
      <c r="N4032" s="115"/>
      <c r="O4032" s="115"/>
    </row>
    <row r="4033">
      <c r="E4033" s="115"/>
      <c r="F4033" s="115"/>
      <c r="G4033" s="115"/>
      <c r="H4033" s="115"/>
      <c r="I4033" s="115"/>
      <c r="J4033" s="115"/>
      <c r="K4033" s="115"/>
      <c r="L4033" s="115"/>
      <c r="M4033" s="115"/>
      <c r="N4033" s="115"/>
      <c r="O4033" s="115"/>
    </row>
    <row r="4034">
      <c r="E4034" s="115"/>
      <c r="F4034" s="115"/>
      <c r="G4034" s="115"/>
      <c r="H4034" s="115"/>
      <c r="I4034" s="115"/>
      <c r="J4034" s="115"/>
      <c r="K4034" s="115"/>
      <c r="L4034" s="115"/>
      <c r="M4034" s="115"/>
      <c r="N4034" s="115"/>
      <c r="O4034" s="115"/>
    </row>
    <row r="4035">
      <c r="E4035" s="115"/>
      <c r="F4035" s="115"/>
      <c r="G4035" s="115"/>
      <c r="H4035" s="115"/>
      <c r="I4035" s="115"/>
      <c r="J4035" s="115"/>
      <c r="K4035" s="115"/>
      <c r="L4035" s="115"/>
      <c r="M4035" s="115"/>
      <c r="N4035" s="115"/>
      <c r="O4035" s="115"/>
    </row>
    <row r="4036">
      <c r="E4036" s="115"/>
      <c r="F4036" s="115"/>
      <c r="G4036" s="115"/>
      <c r="H4036" s="115"/>
      <c r="I4036" s="115"/>
      <c r="J4036" s="115"/>
      <c r="K4036" s="115"/>
      <c r="L4036" s="115"/>
      <c r="M4036" s="115"/>
      <c r="N4036" s="115"/>
      <c r="O4036" s="115"/>
    </row>
    <row r="4037">
      <c r="E4037" s="115"/>
      <c r="F4037" s="115"/>
      <c r="G4037" s="115"/>
      <c r="H4037" s="115"/>
      <c r="I4037" s="115"/>
      <c r="J4037" s="115"/>
      <c r="K4037" s="115"/>
      <c r="L4037" s="115"/>
      <c r="M4037" s="115"/>
      <c r="N4037" s="115"/>
      <c r="O4037" s="115"/>
    </row>
    <row r="4038">
      <c r="E4038" s="115"/>
      <c r="F4038" s="115"/>
      <c r="G4038" s="115"/>
      <c r="H4038" s="115"/>
      <c r="I4038" s="115"/>
      <c r="J4038" s="115"/>
      <c r="K4038" s="115"/>
      <c r="L4038" s="115"/>
      <c r="M4038" s="115"/>
      <c r="N4038" s="115"/>
      <c r="O4038" s="115"/>
    </row>
    <row r="4039">
      <c r="E4039" s="115"/>
      <c r="F4039" s="115"/>
      <c r="G4039" s="115"/>
      <c r="H4039" s="115"/>
      <c r="I4039" s="115"/>
      <c r="J4039" s="115"/>
      <c r="K4039" s="115"/>
      <c r="L4039" s="115"/>
      <c r="M4039" s="115"/>
      <c r="N4039" s="115"/>
      <c r="O4039" s="115"/>
    </row>
    <row r="4040">
      <c r="E4040" s="115"/>
      <c r="F4040" s="115"/>
      <c r="G4040" s="115"/>
      <c r="H4040" s="115"/>
      <c r="I4040" s="115"/>
      <c r="J4040" s="115"/>
      <c r="K4040" s="115"/>
      <c r="L4040" s="115"/>
      <c r="M4040" s="115"/>
      <c r="N4040" s="115"/>
      <c r="O4040" s="115"/>
    </row>
    <row r="4041">
      <c r="E4041" s="115"/>
      <c r="F4041" s="115"/>
      <c r="G4041" s="115"/>
      <c r="H4041" s="115"/>
      <c r="I4041" s="115"/>
      <c r="J4041" s="115"/>
      <c r="K4041" s="115"/>
      <c r="L4041" s="115"/>
      <c r="M4041" s="115"/>
      <c r="N4041" s="115"/>
      <c r="O4041" s="115"/>
    </row>
    <row r="4042">
      <c r="E4042" s="115"/>
      <c r="F4042" s="115"/>
      <c r="G4042" s="115"/>
      <c r="H4042" s="115"/>
      <c r="I4042" s="115"/>
      <c r="J4042" s="115"/>
      <c r="K4042" s="115"/>
      <c r="L4042" s="115"/>
      <c r="M4042" s="115"/>
      <c r="N4042" s="115"/>
      <c r="O4042" s="115"/>
    </row>
    <row r="4043">
      <c r="E4043" s="115"/>
      <c r="F4043" s="115"/>
      <c r="G4043" s="115"/>
      <c r="H4043" s="115"/>
      <c r="I4043" s="115"/>
      <c r="J4043" s="115"/>
      <c r="K4043" s="115"/>
      <c r="L4043" s="115"/>
      <c r="M4043" s="115"/>
      <c r="N4043" s="115"/>
      <c r="O4043" s="115"/>
    </row>
    <row r="4044">
      <c r="E4044" s="115"/>
      <c r="F4044" s="115"/>
      <c r="G4044" s="115"/>
      <c r="H4044" s="115"/>
      <c r="I4044" s="115"/>
      <c r="J4044" s="115"/>
      <c r="K4044" s="115"/>
      <c r="L4044" s="115"/>
      <c r="M4044" s="115"/>
      <c r="N4044" s="115"/>
      <c r="O4044" s="115"/>
    </row>
    <row r="4045">
      <c r="E4045" s="115"/>
      <c r="F4045" s="115"/>
      <c r="G4045" s="115"/>
      <c r="H4045" s="115"/>
      <c r="I4045" s="115"/>
      <c r="J4045" s="115"/>
      <c r="K4045" s="115"/>
      <c r="L4045" s="115"/>
      <c r="M4045" s="115"/>
      <c r="N4045" s="115"/>
      <c r="O4045" s="115"/>
    </row>
    <row r="4046">
      <c r="E4046" s="115"/>
      <c r="F4046" s="115"/>
      <c r="G4046" s="115"/>
      <c r="H4046" s="115"/>
      <c r="I4046" s="115"/>
      <c r="J4046" s="115"/>
      <c r="K4046" s="115"/>
      <c r="L4046" s="115"/>
      <c r="M4046" s="115"/>
      <c r="N4046" s="115"/>
      <c r="O4046" s="115"/>
    </row>
    <row r="4047">
      <c r="E4047" s="115"/>
      <c r="F4047" s="115"/>
      <c r="G4047" s="115"/>
      <c r="H4047" s="115"/>
      <c r="I4047" s="115"/>
      <c r="J4047" s="115"/>
      <c r="K4047" s="115"/>
      <c r="L4047" s="115"/>
      <c r="M4047" s="115"/>
      <c r="N4047" s="115"/>
      <c r="O4047" s="115"/>
    </row>
    <row r="4048">
      <c r="E4048" s="115"/>
      <c r="F4048" s="115"/>
      <c r="G4048" s="115"/>
      <c r="H4048" s="115"/>
      <c r="I4048" s="115"/>
      <c r="J4048" s="115"/>
      <c r="K4048" s="115"/>
      <c r="L4048" s="115"/>
      <c r="M4048" s="115"/>
      <c r="N4048" s="115"/>
      <c r="O4048" s="115"/>
    </row>
    <row r="4049">
      <c r="E4049" s="115"/>
      <c r="F4049" s="115"/>
      <c r="G4049" s="115"/>
      <c r="H4049" s="115"/>
      <c r="I4049" s="115"/>
      <c r="J4049" s="115"/>
      <c r="K4049" s="115"/>
      <c r="L4049" s="115"/>
      <c r="M4049" s="115"/>
      <c r="N4049" s="115"/>
      <c r="O4049" s="115"/>
    </row>
    <row r="4050">
      <c r="E4050" s="115"/>
      <c r="F4050" s="115"/>
      <c r="G4050" s="115"/>
      <c r="H4050" s="115"/>
      <c r="I4050" s="115"/>
      <c r="J4050" s="115"/>
      <c r="K4050" s="115"/>
      <c r="L4050" s="115"/>
      <c r="M4050" s="115"/>
      <c r="N4050" s="115"/>
      <c r="O4050" s="115"/>
    </row>
    <row r="4051">
      <c r="E4051" s="115"/>
      <c r="F4051" s="115"/>
      <c r="G4051" s="115"/>
      <c r="H4051" s="115"/>
      <c r="I4051" s="115"/>
      <c r="J4051" s="115"/>
      <c r="K4051" s="115"/>
      <c r="L4051" s="115"/>
      <c r="M4051" s="115"/>
      <c r="N4051" s="115"/>
      <c r="O4051" s="115"/>
    </row>
    <row r="4052">
      <c r="E4052" s="115"/>
      <c r="F4052" s="115"/>
      <c r="G4052" s="115"/>
      <c r="H4052" s="115"/>
      <c r="I4052" s="115"/>
      <c r="J4052" s="115"/>
      <c r="K4052" s="115"/>
      <c r="L4052" s="115"/>
      <c r="M4052" s="115"/>
      <c r="N4052" s="115"/>
      <c r="O4052" s="115"/>
    </row>
    <row r="4053">
      <c r="E4053" s="115"/>
      <c r="F4053" s="115"/>
      <c r="G4053" s="115"/>
      <c r="H4053" s="115"/>
      <c r="I4053" s="115"/>
      <c r="J4053" s="115"/>
      <c r="K4053" s="115"/>
      <c r="L4053" s="115"/>
      <c r="M4053" s="115"/>
      <c r="N4053" s="115"/>
      <c r="O4053" s="115"/>
    </row>
    <row r="4054">
      <c r="E4054" s="115"/>
      <c r="F4054" s="115"/>
      <c r="G4054" s="115"/>
      <c r="H4054" s="115"/>
      <c r="I4054" s="115"/>
      <c r="J4054" s="115"/>
      <c r="K4054" s="115"/>
      <c r="L4054" s="115"/>
      <c r="M4054" s="115"/>
      <c r="N4054" s="115"/>
      <c r="O4054" s="115"/>
    </row>
    <row r="4055">
      <c r="E4055" s="115"/>
      <c r="F4055" s="115"/>
      <c r="G4055" s="115"/>
      <c r="H4055" s="115"/>
      <c r="I4055" s="115"/>
      <c r="J4055" s="115"/>
      <c r="K4055" s="115"/>
      <c r="L4055" s="115"/>
      <c r="M4055" s="115"/>
      <c r="N4055" s="115"/>
      <c r="O4055" s="115"/>
    </row>
    <row r="4056">
      <c r="E4056" s="115"/>
      <c r="F4056" s="115"/>
      <c r="G4056" s="115"/>
      <c r="H4056" s="115"/>
      <c r="I4056" s="115"/>
      <c r="J4056" s="115"/>
      <c r="K4056" s="115"/>
      <c r="L4056" s="115"/>
      <c r="M4056" s="115"/>
      <c r="N4056" s="115"/>
      <c r="O4056" s="115"/>
    </row>
    <row r="4057">
      <c r="E4057" s="115"/>
      <c r="F4057" s="115"/>
      <c r="G4057" s="115"/>
      <c r="H4057" s="115"/>
      <c r="I4057" s="115"/>
      <c r="J4057" s="115"/>
      <c r="K4057" s="115"/>
      <c r="L4057" s="115"/>
      <c r="M4057" s="115"/>
      <c r="N4057" s="115"/>
      <c r="O4057" s="115"/>
    </row>
    <row r="4058">
      <c r="E4058" s="115"/>
      <c r="F4058" s="115"/>
      <c r="G4058" s="115"/>
      <c r="H4058" s="115"/>
      <c r="I4058" s="115"/>
      <c r="J4058" s="115"/>
      <c r="K4058" s="115"/>
      <c r="L4058" s="115"/>
      <c r="M4058" s="115"/>
      <c r="N4058" s="115"/>
      <c r="O4058" s="115"/>
    </row>
    <row r="4059">
      <c r="E4059" s="115"/>
      <c r="F4059" s="115"/>
      <c r="G4059" s="115"/>
      <c r="H4059" s="115"/>
      <c r="I4059" s="115"/>
      <c r="J4059" s="115"/>
      <c r="K4059" s="115"/>
      <c r="L4059" s="115"/>
      <c r="M4059" s="115"/>
      <c r="N4059" s="115"/>
      <c r="O4059" s="115"/>
    </row>
    <row r="4060">
      <c r="E4060" s="115"/>
      <c r="F4060" s="115"/>
      <c r="G4060" s="115"/>
      <c r="H4060" s="115"/>
      <c r="I4060" s="115"/>
      <c r="J4060" s="115"/>
      <c r="K4060" s="115"/>
      <c r="L4060" s="115"/>
      <c r="M4060" s="115"/>
      <c r="N4060" s="115"/>
      <c r="O4060" s="115"/>
    </row>
    <row r="4061">
      <c r="E4061" s="115"/>
      <c r="F4061" s="115"/>
      <c r="G4061" s="115"/>
      <c r="H4061" s="115"/>
      <c r="I4061" s="115"/>
      <c r="J4061" s="115"/>
      <c r="K4061" s="115"/>
      <c r="L4061" s="115"/>
      <c r="M4061" s="115"/>
      <c r="N4061" s="115"/>
      <c r="O4061" s="115"/>
    </row>
    <row r="4062">
      <c r="E4062" s="115"/>
      <c r="F4062" s="115"/>
      <c r="G4062" s="115"/>
      <c r="H4062" s="115"/>
      <c r="I4062" s="115"/>
      <c r="J4062" s="115"/>
      <c r="K4062" s="115"/>
      <c r="L4062" s="115"/>
      <c r="M4062" s="115"/>
      <c r="N4062" s="115"/>
      <c r="O4062" s="115"/>
    </row>
    <row r="4063">
      <c r="E4063" s="115"/>
      <c r="F4063" s="115"/>
      <c r="G4063" s="115"/>
      <c r="H4063" s="115"/>
      <c r="I4063" s="115"/>
      <c r="J4063" s="115"/>
      <c r="K4063" s="115"/>
      <c r="L4063" s="115"/>
      <c r="M4063" s="115"/>
      <c r="N4063" s="115"/>
      <c r="O4063" s="115"/>
    </row>
    <row r="4064">
      <c r="E4064" s="115"/>
      <c r="F4064" s="115"/>
      <c r="G4064" s="115"/>
      <c r="H4064" s="115"/>
      <c r="I4064" s="115"/>
      <c r="J4064" s="115"/>
      <c r="K4064" s="115"/>
      <c r="L4064" s="115"/>
      <c r="M4064" s="115"/>
      <c r="N4064" s="115"/>
      <c r="O4064" s="115"/>
    </row>
    <row r="4065">
      <c r="E4065" s="115"/>
      <c r="F4065" s="115"/>
      <c r="G4065" s="115"/>
      <c r="H4065" s="115"/>
      <c r="I4065" s="115"/>
      <c r="J4065" s="115"/>
      <c r="K4065" s="115"/>
      <c r="L4065" s="115"/>
      <c r="M4065" s="115"/>
      <c r="N4065" s="115"/>
      <c r="O4065" s="115"/>
    </row>
    <row r="4066">
      <c r="E4066" s="115"/>
      <c r="F4066" s="115"/>
      <c r="G4066" s="115"/>
      <c r="H4066" s="115"/>
      <c r="I4066" s="115"/>
      <c r="J4066" s="115"/>
      <c r="K4066" s="115"/>
      <c r="L4066" s="115"/>
      <c r="M4066" s="115"/>
      <c r="N4066" s="115"/>
      <c r="O4066" s="115"/>
    </row>
    <row r="4067">
      <c r="E4067" s="115"/>
      <c r="F4067" s="115"/>
      <c r="G4067" s="115"/>
      <c r="H4067" s="115"/>
      <c r="I4067" s="115"/>
      <c r="J4067" s="115"/>
      <c r="K4067" s="115"/>
      <c r="L4067" s="115"/>
      <c r="M4067" s="115"/>
      <c r="N4067" s="115"/>
      <c r="O4067" s="115"/>
    </row>
    <row r="4068">
      <c r="E4068" s="115"/>
      <c r="F4068" s="115"/>
      <c r="G4068" s="115"/>
      <c r="H4068" s="115"/>
      <c r="I4068" s="115"/>
      <c r="J4068" s="115"/>
      <c r="K4068" s="115"/>
      <c r="L4068" s="115"/>
      <c r="M4068" s="115"/>
      <c r="N4068" s="115"/>
      <c r="O4068" s="115"/>
    </row>
    <row r="4069">
      <c r="E4069" s="115"/>
      <c r="F4069" s="115"/>
      <c r="G4069" s="115"/>
      <c r="H4069" s="115"/>
      <c r="I4069" s="115"/>
      <c r="J4069" s="115"/>
      <c r="K4069" s="115"/>
      <c r="L4069" s="115"/>
      <c r="M4069" s="115"/>
      <c r="N4069" s="115"/>
      <c r="O4069" s="115"/>
    </row>
    <row r="4070">
      <c r="E4070" s="115"/>
      <c r="F4070" s="115"/>
      <c r="G4070" s="115"/>
      <c r="H4070" s="115"/>
      <c r="I4070" s="115"/>
      <c r="J4070" s="115"/>
      <c r="K4070" s="115"/>
      <c r="L4070" s="115"/>
      <c r="M4070" s="115"/>
      <c r="N4070" s="115"/>
      <c r="O4070" s="115"/>
    </row>
    <row r="4071">
      <c r="E4071" s="115"/>
      <c r="F4071" s="115"/>
      <c r="G4071" s="115"/>
      <c r="H4071" s="115"/>
      <c r="I4071" s="115"/>
      <c r="J4071" s="115"/>
      <c r="K4071" s="115"/>
      <c r="L4071" s="115"/>
      <c r="M4071" s="115"/>
      <c r="N4071" s="115"/>
      <c r="O4071" s="115"/>
    </row>
    <row r="4072">
      <c r="E4072" s="115"/>
      <c r="F4072" s="115"/>
      <c r="G4072" s="115"/>
      <c r="H4072" s="115"/>
      <c r="I4072" s="115"/>
      <c r="J4072" s="115"/>
      <c r="K4072" s="115"/>
      <c r="L4072" s="115"/>
      <c r="M4072" s="115"/>
      <c r="N4072" s="115"/>
      <c r="O4072" s="115"/>
    </row>
    <row r="4073">
      <c r="E4073" s="115"/>
      <c r="F4073" s="115"/>
      <c r="G4073" s="115"/>
      <c r="H4073" s="115"/>
      <c r="I4073" s="115"/>
      <c r="J4073" s="115"/>
      <c r="K4073" s="115"/>
      <c r="L4073" s="115"/>
      <c r="M4073" s="115"/>
      <c r="N4073" s="115"/>
      <c r="O4073" s="115"/>
    </row>
    <row r="4074">
      <c r="E4074" s="115"/>
      <c r="F4074" s="115"/>
      <c r="G4074" s="115"/>
      <c r="H4074" s="115"/>
      <c r="I4074" s="115"/>
      <c r="J4074" s="115"/>
      <c r="K4074" s="115"/>
      <c r="L4074" s="115"/>
      <c r="M4074" s="115"/>
      <c r="N4074" s="115"/>
      <c r="O4074" s="115"/>
    </row>
    <row r="4075">
      <c r="E4075" s="115"/>
      <c r="F4075" s="115"/>
      <c r="G4075" s="115"/>
      <c r="H4075" s="115"/>
      <c r="I4075" s="115"/>
      <c r="J4075" s="115"/>
      <c r="K4075" s="115"/>
      <c r="L4075" s="115"/>
      <c r="M4075" s="115"/>
      <c r="N4075" s="115"/>
      <c r="O4075" s="115"/>
    </row>
    <row r="4076">
      <c r="E4076" s="115"/>
      <c r="F4076" s="115"/>
      <c r="G4076" s="115"/>
      <c r="H4076" s="115"/>
      <c r="I4076" s="115"/>
      <c r="J4076" s="115"/>
      <c r="K4076" s="115"/>
      <c r="L4076" s="115"/>
      <c r="M4076" s="115"/>
      <c r="N4076" s="115"/>
      <c r="O4076" s="115"/>
    </row>
    <row r="4077">
      <c r="E4077" s="115"/>
      <c r="F4077" s="115"/>
      <c r="G4077" s="115"/>
      <c r="H4077" s="115"/>
      <c r="I4077" s="115"/>
      <c r="J4077" s="115"/>
      <c r="K4077" s="115"/>
      <c r="L4077" s="115"/>
      <c r="M4077" s="115"/>
      <c r="N4077" s="115"/>
      <c r="O4077" s="115"/>
    </row>
    <row r="4078">
      <c r="E4078" s="115"/>
      <c r="F4078" s="115"/>
      <c r="G4078" s="115"/>
      <c r="H4078" s="115"/>
      <c r="I4078" s="115"/>
      <c r="J4078" s="115"/>
      <c r="K4078" s="115"/>
      <c r="L4078" s="115"/>
      <c r="M4078" s="115"/>
      <c r="N4078" s="115"/>
      <c r="O4078" s="115"/>
    </row>
    <row r="4079">
      <c r="E4079" s="115"/>
      <c r="F4079" s="115"/>
      <c r="G4079" s="115"/>
      <c r="H4079" s="115"/>
      <c r="I4079" s="115"/>
      <c r="J4079" s="115"/>
      <c r="K4079" s="115"/>
      <c r="L4079" s="115"/>
      <c r="M4079" s="115"/>
      <c r="N4079" s="115"/>
      <c r="O4079" s="115"/>
    </row>
    <row r="4080">
      <c r="E4080" s="115"/>
      <c r="F4080" s="115"/>
      <c r="G4080" s="115"/>
      <c r="H4080" s="115"/>
      <c r="I4080" s="115"/>
      <c r="J4080" s="115"/>
      <c r="K4080" s="115"/>
      <c r="L4080" s="115"/>
      <c r="M4080" s="115"/>
      <c r="N4080" s="115"/>
      <c r="O4080" s="115"/>
    </row>
    <row r="4081">
      <c r="E4081" s="115"/>
      <c r="F4081" s="115"/>
      <c r="G4081" s="115"/>
      <c r="H4081" s="115"/>
      <c r="I4081" s="115"/>
      <c r="J4081" s="115"/>
      <c r="K4081" s="115"/>
      <c r="L4081" s="115"/>
      <c r="M4081" s="115"/>
      <c r="N4081" s="115"/>
      <c r="O4081" s="115"/>
    </row>
    <row r="4082">
      <c r="E4082" s="115"/>
      <c r="F4082" s="115"/>
      <c r="G4082" s="115"/>
      <c r="H4082" s="115"/>
      <c r="I4082" s="115"/>
      <c r="J4082" s="115"/>
      <c r="K4082" s="115"/>
      <c r="L4082" s="115"/>
      <c r="M4082" s="115"/>
      <c r="N4082" s="115"/>
      <c r="O4082" s="115"/>
    </row>
    <row r="4083">
      <c r="E4083" s="115"/>
      <c r="F4083" s="115"/>
      <c r="G4083" s="115"/>
      <c r="H4083" s="115"/>
      <c r="I4083" s="115"/>
      <c r="J4083" s="115"/>
      <c r="K4083" s="115"/>
      <c r="L4083" s="115"/>
      <c r="M4083" s="115"/>
      <c r="N4083" s="115"/>
      <c r="O4083" s="115"/>
    </row>
    <row r="4084">
      <c r="E4084" s="115"/>
      <c r="F4084" s="115"/>
      <c r="G4084" s="115"/>
      <c r="H4084" s="115"/>
      <c r="I4084" s="115"/>
      <c r="J4084" s="115"/>
      <c r="K4084" s="115"/>
      <c r="L4084" s="115"/>
      <c r="M4084" s="115"/>
      <c r="N4084" s="115"/>
      <c r="O4084" s="115"/>
    </row>
    <row r="4085">
      <c r="E4085" s="115"/>
      <c r="F4085" s="115"/>
      <c r="G4085" s="115"/>
      <c r="H4085" s="115"/>
      <c r="I4085" s="115"/>
      <c r="J4085" s="115"/>
      <c r="K4085" s="115"/>
      <c r="L4085" s="115"/>
      <c r="M4085" s="115"/>
      <c r="N4085" s="115"/>
      <c r="O4085" s="115"/>
    </row>
    <row r="4086">
      <c r="E4086" s="115"/>
      <c r="F4086" s="115"/>
      <c r="G4086" s="115"/>
      <c r="H4086" s="115"/>
      <c r="I4086" s="115"/>
      <c r="J4086" s="115"/>
      <c r="K4086" s="115"/>
      <c r="L4086" s="115"/>
      <c r="M4086" s="115"/>
      <c r="N4086" s="115"/>
      <c r="O4086" s="115"/>
    </row>
    <row r="4087">
      <c r="E4087" s="115"/>
      <c r="F4087" s="115"/>
      <c r="G4087" s="115"/>
      <c r="H4087" s="115"/>
      <c r="I4087" s="115"/>
      <c r="J4087" s="115"/>
      <c r="K4087" s="115"/>
      <c r="L4087" s="115"/>
      <c r="M4087" s="115"/>
      <c r="N4087" s="115"/>
      <c r="O4087" s="115"/>
    </row>
    <row r="4088">
      <c r="E4088" s="115"/>
      <c r="F4088" s="115"/>
      <c r="G4088" s="115"/>
      <c r="H4088" s="115"/>
      <c r="I4088" s="115"/>
      <c r="J4088" s="115"/>
      <c r="K4088" s="115"/>
      <c r="L4088" s="115"/>
      <c r="M4088" s="115"/>
      <c r="N4088" s="115"/>
      <c r="O4088" s="115"/>
    </row>
    <row r="4089">
      <c r="E4089" s="115"/>
      <c r="F4089" s="115"/>
      <c r="G4089" s="115"/>
      <c r="H4089" s="115"/>
      <c r="I4089" s="115"/>
      <c r="J4089" s="115"/>
      <c r="K4089" s="115"/>
      <c r="L4089" s="115"/>
      <c r="M4089" s="115"/>
      <c r="N4089" s="115"/>
      <c r="O4089" s="115"/>
    </row>
    <row r="4090">
      <c r="E4090" s="115"/>
      <c r="F4090" s="115"/>
      <c r="G4090" s="115"/>
      <c r="H4090" s="115"/>
      <c r="I4090" s="115"/>
      <c r="J4090" s="115"/>
      <c r="K4090" s="115"/>
      <c r="L4090" s="115"/>
      <c r="M4090" s="115"/>
      <c r="N4090" s="115"/>
      <c r="O4090" s="115"/>
    </row>
    <row r="4091">
      <c r="E4091" s="115"/>
      <c r="F4091" s="115"/>
      <c r="G4091" s="115"/>
      <c r="H4091" s="115"/>
      <c r="I4091" s="115"/>
      <c r="J4091" s="115"/>
      <c r="K4091" s="115"/>
      <c r="L4091" s="115"/>
      <c r="M4091" s="115"/>
      <c r="N4091" s="115"/>
      <c r="O4091" s="115"/>
    </row>
    <row r="4092">
      <c r="E4092" s="115"/>
      <c r="F4092" s="115"/>
      <c r="G4092" s="115"/>
      <c r="H4092" s="115"/>
      <c r="I4092" s="115"/>
      <c r="J4092" s="115"/>
      <c r="K4092" s="115"/>
      <c r="L4092" s="115"/>
      <c r="M4092" s="115"/>
      <c r="N4092" s="115"/>
      <c r="O4092" s="115"/>
    </row>
    <row r="4093">
      <c r="E4093" s="115"/>
      <c r="F4093" s="115"/>
      <c r="G4093" s="115"/>
      <c r="H4093" s="115"/>
      <c r="I4093" s="115"/>
      <c r="J4093" s="115"/>
      <c r="K4093" s="115"/>
      <c r="L4093" s="115"/>
      <c r="M4093" s="115"/>
      <c r="N4093" s="115"/>
      <c r="O4093" s="115"/>
    </row>
    <row r="4094">
      <c r="E4094" s="115"/>
      <c r="F4094" s="115"/>
      <c r="G4094" s="115"/>
      <c r="H4094" s="115"/>
      <c r="I4094" s="115"/>
      <c r="J4094" s="115"/>
      <c r="K4094" s="115"/>
      <c r="L4094" s="115"/>
      <c r="M4094" s="115"/>
      <c r="N4094" s="115"/>
      <c r="O4094" s="115"/>
    </row>
    <row r="4095">
      <c r="E4095" s="115"/>
      <c r="F4095" s="115"/>
      <c r="G4095" s="115"/>
      <c r="H4095" s="115"/>
      <c r="I4095" s="115"/>
      <c r="J4095" s="115"/>
      <c r="K4095" s="115"/>
      <c r="L4095" s="115"/>
      <c r="M4095" s="115"/>
      <c r="N4095" s="115"/>
      <c r="O4095" s="115"/>
    </row>
    <row r="4096">
      <c r="E4096" s="115"/>
      <c r="F4096" s="115"/>
      <c r="G4096" s="115"/>
      <c r="H4096" s="115"/>
      <c r="I4096" s="115"/>
      <c r="J4096" s="115"/>
      <c r="K4096" s="115"/>
      <c r="L4096" s="115"/>
      <c r="M4096" s="115"/>
      <c r="N4096" s="115"/>
      <c r="O4096" s="115"/>
    </row>
    <row r="4097">
      <c r="E4097" s="115"/>
      <c r="F4097" s="115"/>
      <c r="G4097" s="115"/>
      <c r="H4097" s="115"/>
      <c r="I4097" s="115"/>
      <c r="J4097" s="115"/>
      <c r="K4097" s="115"/>
      <c r="L4097" s="115"/>
      <c r="M4097" s="115"/>
      <c r="N4097" s="115"/>
      <c r="O4097" s="115"/>
    </row>
    <row r="4098">
      <c r="E4098" s="115"/>
      <c r="F4098" s="115"/>
      <c r="G4098" s="115"/>
      <c r="H4098" s="115"/>
      <c r="I4098" s="115"/>
      <c r="J4098" s="115"/>
      <c r="K4098" s="115"/>
      <c r="L4098" s="115"/>
      <c r="M4098" s="115"/>
      <c r="N4098" s="115"/>
      <c r="O4098" s="115"/>
    </row>
    <row r="4099">
      <c r="E4099" s="115"/>
      <c r="F4099" s="115"/>
      <c r="G4099" s="115"/>
      <c r="H4099" s="115"/>
      <c r="I4099" s="115"/>
      <c r="J4099" s="115"/>
      <c r="K4099" s="115"/>
      <c r="L4099" s="115"/>
      <c r="M4099" s="115"/>
      <c r="N4099" s="115"/>
      <c r="O4099" s="115"/>
    </row>
    <row r="4100">
      <c r="E4100" s="115"/>
      <c r="F4100" s="115"/>
      <c r="G4100" s="115"/>
      <c r="H4100" s="115"/>
      <c r="I4100" s="115"/>
      <c r="J4100" s="115"/>
      <c r="K4100" s="115"/>
      <c r="L4100" s="115"/>
      <c r="M4100" s="115"/>
      <c r="N4100" s="115"/>
      <c r="O4100" s="115"/>
    </row>
    <row r="4101">
      <c r="E4101" s="115"/>
      <c r="F4101" s="115"/>
      <c r="G4101" s="115"/>
      <c r="H4101" s="115"/>
      <c r="I4101" s="115"/>
      <c r="J4101" s="115"/>
      <c r="K4101" s="115"/>
      <c r="L4101" s="115"/>
      <c r="M4101" s="115"/>
      <c r="N4101" s="115"/>
      <c r="O4101" s="115"/>
    </row>
    <row r="4102">
      <c r="E4102" s="115"/>
      <c r="F4102" s="115"/>
      <c r="G4102" s="115"/>
      <c r="H4102" s="115"/>
      <c r="I4102" s="115"/>
      <c r="J4102" s="115"/>
      <c r="K4102" s="115"/>
      <c r="L4102" s="115"/>
      <c r="M4102" s="115"/>
      <c r="N4102" s="115"/>
      <c r="O4102" s="115"/>
    </row>
    <row r="4103">
      <c r="E4103" s="115"/>
      <c r="F4103" s="115"/>
      <c r="G4103" s="115"/>
      <c r="H4103" s="115"/>
      <c r="I4103" s="115"/>
      <c r="J4103" s="115"/>
      <c r="K4103" s="115"/>
      <c r="L4103" s="115"/>
      <c r="M4103" s="115"/>
      <c r="N4103" s="115"/>
      <c r="O4103" s="115"/>
    </row>
    <row r="4104">
      <c r="E4104" s="115"/>
      <c r="F4104" s="115"/>
      <c r="G4104" s="115"/>
      <c r="H4104" s="115"/>
      <c r="I4104" s="115"/>
      <c r="J4104" s="115"/>
      <c r="K4104" s="115"/>
      <c r="L4104" s="115"/>
      <c r="M4104" s="115"/>
      <c r="N4104" s="115"/>
      <c r="O4104" s="115"/>
    </row>
    <row r="4105">
      <c r="E4105" s="115"/>
      <c r="F4105" s="115"/>
      <c r="G4105" s="115"/>
      <c r="H4105" s="115"/>
      <c r="I4105" s="115"/>
      <c r="J4105" s="115"/>
      <c r="K4105" s="115"/>
      <c r="L4105" s="115"/>
      <c r="M4105" s="115"/>
      <c r="N4105" s="115"/>
      <c r="O4105" s="115"/>
    </row>
    <row r="4106">
      <c r="E4106" s="115"/>
      <c r="F4106" s="115"/>
      <c r="G4106" s="115"/>
      <c r="H4106" s="115"/>
      <c r="I4106" s="115"/>
      <c r="J4106" s="115"/>
      <c r="K4106" s="115"/>
      <c r="L4106" s="115"/>
      <c r="M4106" s="115"/>
      <c r="N4106" s="115"/>
      <c r="O4106" s="115"/>
    </row>
    <row r="4107">
      <c r="E4107" s="115"/>
      <c r="F4107" s="115"/>
      <c r="G4107" s="115"/>
      <c r="H4107" s="115"/>
      <c r="I4107" s="115"/>
      <c r="J4107" s="115"/>
      <c r="K4107" s="115"/>
      <c r="L4107" s="115"/>
      <c r="M4107" s="115"/>
      <c r="N4107" s="115"/>
      <c r="O4107" s="115"/>
    </row>
    <row r="4108">
      <c r="E4108" s="115"/>
      <c r="F4108" s="115"/>
      <c r="G4108" s="115"/>
      <c r="H4108" s="115"/>
      <c r="I4108" s="115"/>
      <c r="J4108" s="115"/>
      <c r="K4108" s="115"/>
      <c r="L4108" s="115"/>
      <c r="M4108" s="115"/>
      <c r="N4108" s="115"/>
      <c r="O4108" s="115"/>
    </row>
    <row r="4109">
      <c r="E4109" s="115"/>
      <c r="F4109" s="115"/>
      <c r="G4109" s="115"/>
      <c r="H4109" s="115"/>
      <c r="I4109" s="115"/>
      <c r="J4109" s="115"/>
      <c r="K4109" s="115"/>
      <c r="L4109" s="115"/>
      <c r="M4109" s="115"/>
      <c r="N4109" s="115"/>
      <c r="O4109" s="115"/>
    </row>
    <row r="4110">
      <c r="E4110" s="115"/>
      <c r="F4110" s="115"/>
      <c r="G4110" s="115"/>
      <c r="H4110" s="115"/>
      <c r="I4110" s="115"/>
      <c r="J4110" s="115"/>
      <c r="K4110" s="115"/>
      <c r="L4110" s="115"/>
      <c r="M4110" s="115"/>
      <c r="N4110" s="115"/>
      <c r="O4110" s="115"/>
    </row>
    <row r="4111">
      <c r="E4111" s="115"/>
      <c r="F4111" s="115"/>
      <c r="G4111" s="115"/>
      <c r="H4111" s="115"/>
      <c r="I4111" s="115"/>
      <c r="J4111" s="115"/>
      <c r="K4111" s="115"/>
      <c r="L4111" s="115"/>
      <c r="M4111" s="115"/>
      <c r="N4111" s="115"/>
      <c r="O4111" s="115"/>
    </row>
    <row r="4112">
      <c r="E4112" s="115"/>
      <c r="F4112" s="115"/>
      <c r="G4112" s="115"/>
      <c r="H4112" s="115"/>
      <c r="I4112" s="115"/>
      <c r="J4112" s="115"/>
      <c r="K4112" s="115"/>
      <c r="L4112" s="115"/>
      <c r="M4112" s="115"/>
      <c r="N4112" s="115"/>
      <c r="O4112" s="115"/>
    </row>
    <row r="4113">
      <c r="E4113" s="115"/>
      <c r="F4113" s="115"/>
      <c r="G4113" s="115"/>
      <c r="H4113" s="115"/>
      <c r="I4113" s="115"/>
      <c r="J4113" s="115"/>
      <c r="K4113" s="115"/>
      <c r="L4113" s="115"/>
      <c r="M4113" s="115"/>
      <c r="N4113" s="115"/>
      <c r="O4113" s="115"/>
    </row>
    <row r="4114">
      <c r="E4114" s="115"/>
      <c r="F4114" s="115"/>
      <c r="G4114" s="115"/>
      <c r="H4114" s="115"/>
      <c r="I4114" s="115"/>
      <c r="J4114" s="115"/>
      <c r="K4114" s="115"/>
      <c r="L4114" s="115"/>
      <c r="M4114" s="115"/>
      <c r="N4114" s="115"/>
      <c r="O4114" s="115"/>
    </row>
    <row r="4115">
      <c r="E4115" s="115"/>
      <c r="F4115" s="115"/>
      <c r="G4115" s="115"/>
      <c r="H4115" s="115"/>
      <c r="I4115" s="115"/>
      <c r="J4115" s="115"/>
      <c r="K4115" s="115"/>
      <c r="L4115" s="115"/>
      <c r="M4115" s="115"/>
      <c r="N4115" s="115"/>
      <c r="O4115" s="115"/>
    </row>
    <row r="4116">
      <c r="E4116" s="115"/>
      <c r="F4116" s="115"/>
      <c r="G4116" s="115"/>
      <c r="H4116" s="115"/>
      <c r="I4116" s="115"/>
      <c r="J4116" s="115"/>
      <c r="K4116" s="115"/>
      <c r="L4116" s="115"/>
      <c r="M4116" s="115"/>
      <c r="N4116" s="115"/>
      <c r="O4116" s="115"/>
    </row>
    <row r="4117">
      <c r="E4117" s="115"/>
      <c r="F4117" s="115"/>
      <c r="G4117" s="115"/>
      <c r="H4117" s="115"/>
      <c r="I4117" s="115"/>
      <c r="J4117" s="115"/>
      <c r="K4117" s="115"/>
      <c r="L4117" s="115"/>
      <c r="M4117" s="115"/>
      <c r="N4117" s="115"/>
      <c r="O4117" s="115"/>
    </row>
    <row r="4118">
      <c r="E4118" s="115"/>
      <c r="F4118" s="115"/>
      <c r="G4118" s="115"/>
      <c r="H4118" s="115"/>
      <c r="I4118" s="115"/>
      <c r="J4118" s="115"/>
      <c r="K4118" s="115"/>
      <c r="L4118" s="115"/>
      <c r="M4118" s="115"/>
      <c r="N4118" s="115"/>
      <c r="O4118" s="115"/>
    </row>
    <row r="4119">
      <c r="E4119" s="115"/>
      <c r="F4119" s="115"/>
      <c r="G4119" s="115"/>
      <c r="H4119" s="115"/>
      <c r="I4119" s="115"/>
      <c r="J4119" s="115"/>
      <c r="K4119" s="115"/>
      <c r="L4119" s="115"/>
      <c r="M4119" s="115"/>
      <c r="N4119" s="115"/>
      <c r="O4119" s="115"/>
    </row>
    <row r="4120">
      <c r="E4120" s="115"/>
      <c r="F4120" s="115"/>
      <c r="G4120" s="115"/>
      <c r="H4120" s="115"/>
      <c r="I4120" s="115"/>
      <c r="J4120" s="115"/>
      <c r="K4120" s="115"/>
      <c r="L4120" s="115"/>
      <c r="M4120" s="115"/>
      <c r="N4120" s="115"/>
      <c r="O4120" s="115"/>
    </row>
    <row r="4121">
      <c r="E4121" s="115"/>
      <c r="F4121" s="115"/>
      <c r="G4121" s="115"/>
      <c r="H4121" s="115"/>
      <c r="I4121" s="115"/>
      <c r="J4121" s="115"/>
      <c r="K4121" s="115"/>
      <c r="L4121" s="115"/>
      <c r="M4121" s="115"/>
      <c r="N4121" s="115"/>
      <c r="O4121" s="115"/>
    </row>
    <row r="4122">
      <c r="E4122" s="115"/>
      <c r="F4122" s="115"/>
      <c r="G4122" s="115"/>
      <c r="H4122" s="115"/>
      <c r="I4122" s="115"/>
      <c r="J4122" s="115"/>
      <c r="K4122" s="115"/>
      <c r="L4122" s="115"/>
      <c r="M4122" s="115"/>
      <c r="N4122" s="115"/>
      <c r="O4122" s="115"/>
    </row>
    <row r="4123">
      <c r="E4123" s="115"/>
      <c r="F4123" s="115"/>
      <c r="G4123" s="115"/>
      <c r="H4123" s="115"/>
      <c r="I4123" s="115"/>
      <c r="J4123" s="115"/>
      <c r="K4123" s="115"/>
      <c r="L4123" s="115"/>
      <c r="M4123" s="115"/>
      <c r="N4123" s="115"/>
      <c r="O4123" s="115"/>
    </row>
    <row r="4124">
      <c r="E4124" s="115"/>
      <c r="F4124" s="115"/>
      <c r="G4124" s="115"/>
      <c r="H4124" s="115"/>
      <c r="I4124" s="115"/>
      <c r="J4124" s="115"/>
      <c r="K4124" s="115"/>
      <c r="L4124" s="115"/>
      <c r="M4124" s="115"/>
      <c r="N4124" s="115"/>
      <c r="O4124" s="115"/>
    </row>
    <row r="4125">
      <c r="E4125" s="115"/>
      <c r="F4125" s="115"/>
      <c r="G4125" s="115"/>
      <c r="H4125" s="115"/>
      <c r="I4125" s="115"/>
      <c r="J4125" s="115"/>
      <c r="K4125" s="115"/>
      <c r="L4125" s="115"/>
      <c r="M4125" s="115"/>
      <c r="N4125" s="115"/>
      <c r="O4125" s="115"/>
    </row>
    <row r="4126">
      <c r="E4126" s="115"/>
      <c r="F4126" s="115"/>
      <c r="G4126" s="115"/>
      <c r="H4126" s="115"/>
      <c r="I4126" s="115"/>
      <c r="J4126" s="115"/>
      <c r="K4126" s="115"/>
      <c r="L4126" s="115"/>
      <c r="M4126" s="115"/>
      <c r="N4126" s="115"/>
      <c r="O4126" s="115"/>
    </row>
    <row r="4127">
      <c r="E4127" s="115"/>
      <c r="F4127" s="115"/>
      <c r="G4127" s="115"/>
      <c r="H4127" s="115"/>
      <c r="I4127" s="115"/>
      <c r="J4127" s="115"/>
      <c r="K4127" s="115"/>
      <c r="L4127" s="115"/>
      <c r="M4127" s="115"/>
      <c r="N4127" s="115"/>
      <c r="O4127" s="115"/>
    </row>
    <row r="4128">
      <c r="E4128" s="115"/>
      <c r="F4128" s="115"/>
      <c r="G4128" s="115"/>
      <c r="H4128" s="115"/>
      <c r="I4128" s="115"/>
      <c r="J4128" s="115"/>
      <c r="K4128" s="115"/>
      <c r="L4128" s="115"/>
      <c r="M4128" s="115"/>
      <c r="N4128" s="115"/>
      <c r="O4128" s="115"/>
    </row>
    <row r="4129">
      <c r="E4129" s="115"/>
      <c r="F4129" s="115"/>
      <c r="G4129" s="115"/>
      <c r="H4129" s="115"/>
      <c r="I4129" s="115"/>
      <c r="J4129" s="115"/>
      <c r="K4129" s="115"/>
      <c r="L4129" s="115"/>
      <c r="M4129" s="115"/>
      <c r="N4129" s="115"/>
      <c r="O4129" s="115"/>
    </row>
    <row r="4130">
      <c r="E4130" s="115"/>
      <c r="F4130" s="115"/>
      <c r="G4130" s="115"/>
      <c r="H4130" s="115"/>
      <c r="I4130" s="115"/>
      <c r="J4130" s="115"/>
      <c r="K4130" s="115"/>
      <c r="L4130" s="115"/>
      <c r="M4130" s="115"/>
      <c r="N4130" s="115"/>
      <c r="O4130" s="115"/>
    </row>
    <row r="4131">
      <c r="E4131" s="115"/>
      <c r="F4131" s="115"/>
      <c r="G4131" s="115"/>
      <c r="H4131" s="115"/>
      <c r="I4131" s="115"/>
      <c r="J4131" s="115"/>
      <c r="K4131" s="115"/>
      <c r="L4131" s="115"/>
      <c r="M4131" s="115"/>
      <c r="N4131" s="115"/>
      <c r="O4131" s="115"/>
    </row>
    <row r="4132">
      <c r="E4132" s="115"/>
      <c r="F4132" s="115"/>
      <c r="G4132" s="115"/>
      <c r="H4132" s="115"/>
      <c r="I4132" s="115"/>
      <c r="J4132" s="115"/>
      <c r="K4132" s="115"/>
      <c r="L4132" s="115"/>
      <c r="M4132" s="115"/>
      <c r="N4132" s="115"/>
      <c r="O4132" s="115"/>
    </row>
    <row r="4133">
      <c r="E4133" s="115"/>
      <c r="F4133" s="115"/>
      <c r="G4133" s="115"/>
      <c r="H4133" s="115"/>
      <c r="I4133" s="115"/>
      <c r="J4133" s="115"/>
      <c r="K4133" s="115"/>
      <c r="L4133" s="115"/>
      <c r="M4133" s="115"/>
      <c r="N4133" s="115"/>
      <c r="O4133" s="115"/>
    </row>
    <row r="4134">
      <c r="E4134" s="115"/>
      <c r="F4134" s="115"/>
      <c r="G4134" s="115"/>
      <c r="H4134" s="115"/>
      <c r="I4134" s="115"/>
      <c r="J4134" s="115"/>
      <c r="K4134" s="115"/>
      <c r="L4134" s="115"/>
      <c r="M4134" s="115"/>
      <c r="N4134" s="115"/>
      <c r="O4134" s="115"/>
    </row>
    <row r="4135">
      <c r="E4135" s="115"/>
      <c r="F4135" s="115"/>
      <c r="G4135" s="115"/>
      <c r="H4135" s="115"/>
      <c r="I4135" s="115"/>
      <c r="J4135" s="115"/>
      <c r="K4135" s="115"/>
      <c r="L4135" s="115"/>
      <c r="M4135" s="115"/>
      <c r="N4135" s="115"/>
      <c r="O4135" s="115"/>
    </row>
    <row r="4136">
      <c r="E4136" s="115"/>
      <c r="F4136" s="115"/>
      <c r="G4136" s="115"/>
      <c r="H4136" s="115"/>
      <c r="I4136" s="115"/>
      <c r="J4136" s="115"/>
      <c r="K4136" s="115"/>
      <c r="L4136" s="115"/>
      <c r="M4136" s="115"/>
      <c r="N4136" s="115"/>
      <c r="O4136" s="115"/>
    </row>
    <row r="4137">
      <c r="E4137" s="115"/>
      <c r="F4137" s="115"/>
      <c r="G4137" s="115"/>
      <c r="H4137" s="115"/>
      <c r="I4137" s="115"/>
      <c r="J4137" s="115"/>
      <c r="K4137" s="115"/>
      <c r="L4137" s="115"/>
      <c r="M4137" s="115"/>
      <c r="N4137" s="115"/>
      <c r="O4137" s="115"/>
    </row>
    <row r="4138">
      <c r="E4138" s="115"/>
      <c r="F4138" s="115"/>
      <c r="G4138" s="115"/>
      <c r="H4138" s="115"/>
      <c r="I4138" s="115"/>
      <c r="J4138" s="115"/>
      <c r="K4138" s="115"/>
      <c r="L4138" s="115"/>
      <c r="M4138" s="115"/>
      <c r="N4138" s="115"/>
      <c r="O4138" s="115"/>
    </row>
    <row r="4139">
      <c r="E4139" s="115"/>
      <c r="F4139" s="115"/>
      <c r="G4139" s="115"/>
      <c r="H4139" s="115"/>
      <c r="I4139" s="115"/>
      <c r="J4139" s="115"/>
      <c r="K4139" s="115"/>
      <c r="L4139" s="115"/>
      <c r="M4139" s="115"/>
      <c r="N4139" s="115"/>
      <c r="O4139" s="115"/>
    </row>
    <row r="4140">
      <c r="E4140" s="115"/>
      <c r="F4140" s="115"/>
      <c r="G4140" s="115"/>
      <c r="H4140" s="115"/>
      <c r="I4140" s="115"/>
      <c r="J4140" s="115"/>
      <c r="K4140" s="115"/>
      <c r="L4140" s="115"/>
      <c r="M4140" s="115"/>
      <c r="N4140" s="115"/>
      <c r="O4140" s="115"/>
    </row>
    <row r="4141">
      <c r="E4141" s="115"/>
      <c r="F4141" s="115"/>
      <c r="G4141" s="115"/>
      <c r="H4141" s="115"/>
      <c r="I4141" s="115"/>
      <c r="J4141" s="115"/>
      <c r="K4141" s="115"/>
      <c r="L4141" s="115"/>
      <c r="M4141" s="115"/>
      <c r="N4141" s="115"/>
      <c r="O4141" s="115"/>
    </row>
    <row r="4142">
      <c r="E4142" s="115"/>
      <c r="F4142" s="115"/>
      <c r="G4142" s="115"/>
      <c r="H4142" s="115"/>
      <c r="I4142" s="115"/>
      <c r="J4142" s="115"/>
      <c r="K4142" s="115"/>
      <c r="L4142" s="115"/>
      <c r="M4142" s="115"/>
      <c r="N4142" s="115"/>
      <c r="O4142" s="115"/>
    </row>
    <row r="4143">
      <c r="E4143" s="115"/>
      <c r="F4143" s="115"/>
      <c r="G4143" s="115"/>
      <c r="H4143" s="115"/>
      <c r="I4143" s="115"/>
      <c r="J4143" s="115"/>
      <c r="K4143" s="115"/>
      <c r="L4143" s="115"/>
      <c r="M4143" s="115"/>
      <c r="N4143" s="115"/>
      <c r="O4143" s="115"/>
    </row>
    <row r="4144">
      <c r="E4144" s="115"/>
      <c r="F4144" s="115"/>
      <c r="G4144" s="115"/>
      <c r="H4144" s="115"/>
      <c r="I4144" s="115"/>
      <c r="J4144" s="115"/>
      <c r="K4144" s="115"/>
      <c r="L4144" s="115"/>
      <c r="M4144" s="115"/>
      <c r="N4144" s="115"/>
      <c r="O4144" s="115"/>
    </row>
    <row r="4145">
      <c r="E4145" s="115"/>
      <c r="F4145" s="115"/>
      <c r="G4145" s="115"/>
      <c r="H4145" s="115"/>
      <c r="I4145" s="115"/>
      <c r="J4145" s="115"/>
      <c r="K4145" s="115"/>
      <c r="L4145" s="115"/>
      <c r="M4145" s="115"/>
      <c r="N4145" s="115"/>
      <c r="O4145" s="115"/>
    </row>
    <row r="4146">
      <c r="E4146" s="115"/>
      <c r="F4146" s="115"/>
      <c r="G4146" s="115"/>
      <c r="H4146" s="115"/>
      <c r="I4146" s="115"/>
      <c r="J4146" s="115"/>
      <c r="K4146" s="115"/>
      <c r="L4146" s="115"/>
      <c r="M4146" s="115"/>
      <c r="N4146" s="115"/>
      <c r="O4146" s="115"/>
    </row>
    <row r="4147">
      <c r="E4147" s="115"/>
      <c r="F4147" s="115"/>
      <c r="G4147" s="115"/>
      <c r="H4147" s="115"/>
      <c r="I4147" s="115"/>
      <c r="J4147" s="115"/>
      <c r="K4147" s="115"/>
      <c r="L4147" s="115"/>
      <c r="M4147" s="115"/>
      <c r="N4147" s="115"/>
      <c r="O4147" s="115"/>
    </row>
    <row r="4148">
      <c r="E4148" s="115"/>
      <c r="F4148" s="115"/>
      <c r="G4148" s="115"/>
      <c r="H4148" s="115"/>
      <c r="I4148" s="115"/>
      <c r="J4148" s="115"/>
      <c r="K4148" s="115"/>
      <c r="L4148" s="115"/>
      <c r="M4148" s="115"/>
      <c r="N4148" s="115"/>
      <c r="O4148" s="115"/>
    </row>
    <row r="4149">
      <c r="E4149" s="115"/>
      <c r="F4149" s="115"/>
      <c r="G4149" s="115"/>
      <c r="H4149" s="115"/>
      <c r="I4149" s="115"/>
      <c r="J4149" s="115"/>
      <c r="K4149" s="115"/>
      <c r="L4149" s="115"/>
      <c r="M4149" s="115"/>
      <c r="N4149" s="115"/>
      <c r="O4149" s="115"/>
    </row>
    <row r="4150">
      <c r="E4150" s="115"/>
      <c r="F4150" s="115"/>
      <c r="G4150" s="115"/>
      <c r="H4150" s="115"/>
      <c r="I4150" s="115"/>
      <c r="J4150" s="115"/>
      <c r="K4150" s="115"/>
      <c r="L4150" s="115"/>
      <c r="M4150" s="115"/>
      <c r="N4150" s="115"/>
      <c r="O4150" s="115"/>
    </row>
    <row r="4151">
      <c r="E4151" s="115"/>
      <c r="F4151" s="115"/>
      <c r="G4151" s="115"/>
      <c r="H4151" s="115"/>
      <c r="I4151" s="115"/>
      <c r="J4151" s="115"/>
      <c r="K4151" s="115"/>
      <c r="L4151" s="115"/>
      <c r="M4151" s="115"/>
      <c r="N4151" s="115"/>
      <c r="O4151" s="115"/>
    </row>
    <row r="4152">
      <c r="E4152" s="115"/>
      <c r="F4152" s="115"/>
      <c r="G4152" s="115"/>
      <c r="H4152" s="115"/>
      <c r="I4152" s="115"/>
      <c r="J4152" s="115"/>
      <c r="K4152" s="115"/>
      <c r="L4152" s="115"/>
      <c r="M4152" s="115"/>
      <c r="N4152" s="115"/>
      <c r="O4152" s="115"/>
    </row>
    <row r="4153">
      <c r="E4153" s="115"/>
      <c r="F4153" s="115"/>
      <c r="G4153" s="115"/>
      <c r="H4153" s="115"/>
      <c r="I4153" s="115"/>
      <c r="J4153" s="115"/>
      <c r="K4153" s="115"/>
      <c r="L4153" s="115"/>
      <c r="M4153" s="115"/>
      <c r="N4153" s="115"/>
      <c r="O4153" s="115"/>
    </row>
    <row r="4154">
      <c r="E4154" s="115"/>
      <c r="F4154" s="115"/>
      <c r="G4154" s="115"/>
      <c r="H4154" s="115"/>
      <c r="I4154" s="115"/>
      <c r="J4154" s="115"/>
      <c r="K4154" s="115"/>
      <c r="L4154" s="115"/>
      <c r="M4154" s="115"/>
      <c r="N4154" s="115"/>
      <c r="O4154" s="115"/>
    </row>
    <row r="4155">
      <c r="E4155" s="115"/>
      <c r="F4155" s="115"/>
      <c r="G4155" s="115"/>
      <c r="H4155" s="115"/>
      <c r="I4155" s="115"/>
      <c r="J4155" s="115"/>
      <c r="K4155" s="115"/>
      <c r="L4155" s="115"/>
      <c r="M4155" s="115"/>
      <c r="N4155" s="115"/>
      <c r="O4155" s="115"/>
    </row>
    <row r="4156">
      <c r="E4156" s="115"/>
      <c r="F4156" s="115"/>
      <c r="G4156" s="115"/>
      <c r="H4156" s="115"/>
      <c r="I4156" s="115"/>
      <c r="J4156" s="115"/>
      <c r="K4156" s="115"/>
      <c r="L4156" s="115"/>
      <c r="M4156" s="115"/>
      <c r="N4156" s="115"/>
      <c r="O4156" s="115"/>
    </row>
    <row r="4157">
      <c r="E4157" s="115"/>
      <c r="F4157" s="115"/>
      <c r="G4157" s="115"/>
      <c r="H4157" s="115"/>
      <c r="I4157" s="115"/>
      <c r="J4157" s="115"/>
      <c r="K4157" s="115"/>
      <c r="L4157" s="115"/>
      <c r="M4157" s="115"/>
      <c r="N4157" s="115"/>
      <c r="O4157" s="115"/>
    </row>
    <row r="4158">
      <c r="E4158" s="115"/>
      <c r="F4158" s="115"/>
      <c r="G4158" s="115"/>
      <c r="H4158" s="115"/>
      <c r="I4158" s="115"/>
      <c r="J4158" s="115"/>
      <c r="K4158" s="115"/>
      <c r="L4158" s="115"/>
      <c r="M4158" s="115"/>
      <c r="N4158" s="115"/>
      <c r="O4158" s="115"/>
    </row>
    <row r="4159">
      <c r="E4159" s="115"/>
      <c r="F4159" s="115"/>
      <c r="G4159" s="115"/>
      <c r="H4159" s="115"/>
      <c r="I4159" s="115"/>
      <c r="J4159" s="115"/>
      <c r="K4159" s="115"/>
      <c r="L4159" s="115"/>
      <c r="M4159" s="115"/>
      <c r="N4159" s="115"/>
      <c r="O4159" s="115"/>
    </row>
    <row r="4160">
      <c r="E4160" s="115"/>
      <c r="F4160" s="115"/>
      <c r="G4160" s="115"/>
      <c r="H4160" s="115"/>
      <c r="I4160" s="115"/>
      <c r="J4160" s="115"/>
      <c r="K4160" s="115"/>
      <c r="L4160" s="115"/>
      <c r="M4160" s="115"/>
      <c r="N4160" s="115"/>
      <c r="O4160" s="115"/>
    </row>
    <row r="4161">
      <c r="E4161" s="115"/>
      <c r="F4161" s="115"/>
      <c r="G4161" s="115"/>
      <c r="H4161" s="115"/>
      <c r="I4161" s="115"/>
      <c r="J4161" s="115"/>
      <c r="K4161" s="115"/>
      <c r="L4161" s="115"/>
      <c r="M4161" s="115"/>
      <c r="N4161" s="115"/>
      <c r="O4161" s="115"/>
    </row>
    <row r="4162">
      <c r="E4162" s="115"/>
      <c r="F4162" s="115"/>
      <c r="G4162" s="115"/>
      <c r="H4162" s="115"/>
      <c r="I4162" s="115"/>
      <c r="J4162" s="115"/>
      <c r="K4162" s="115"/>
      <c r="L4162" s="115"/>
      <c r="M4162" s="115"/>
      <c r="N4162" s="115"/>
      <c r="O4162" s="115"/>
    </row>
    <row r="4163">
      <c r="E4163" s="115"/>
      <c r="F4163" s="115"/>
      <c r="G4163" s="115"/>
      <c r="H4163" s="115"/>
      <c r="I4163" s="115"/>
      <c r="J4163" s="115"/>
      <c r="K4163" s="115"/>
      <c r="L4163" s="115"/>
      <c r="M4163" s="115"/>
      <c r="N4163" s="115"/>
      <c r="O4163" s="115"/>
    </row>
    <row r="4164">
      <c r="E4164" s="115"/>
      <c r="F4164" s="115"/>
      <c r="G4164" s="115"/>
      <c r="H4164" s="115"/>
      <c r="I4164" s="115"/>
      <c r="J4164" s="115"/>
      <c r="K4164" s="115"/>
      <c r="L4164" s="115"/>
      <c r="M4164" s="115"/>
      <c r="N4164" s="115"/>
      <c r="O4164" s="115"/>
    </row>
    <row r="4165">
      <c r="E4165" s="115"/>
      <c r="F4165" s="115"/>
      <c r="G4165" s="115"/>
      <c r="H4165" s="115"/>
      <c r="I4165" s="115"/>
      <c r="J4165" s="115"/>
      <c r="K4165" s="115"/>
      <c r="L4165" s="115"/>
      <c r="M4165" s="115"/>
      <c r="N4165" s="115"/>
      <c r="O4165" s="115"/>
    </row>
    <row r="4166">
      <c r="E4166" s="115"/>
      <c r="F4166" s="115"/>
      <c r="G4166" s="115"/>
      <c r="H4166" s="115"/>
      <c r="I4166" s="115"/>
      <c r="J4166" s="115"/>
      <c r="K4166" s="115"/>
      <c r="L4166" s="115"/>
      <c r="M4166" s="115"/>
      <c r="N4166" s="115"/>
      <c r="O4166" s="115"/>
    </row>
    <row r="4167">
      <c r="E4167" s="115"/>
      <c r="F4167" s="115"/>
      <c r="G4167" s="115"/>
      <c r="H4167" s="115"/>
      <c r="I4167" s="115"/>
      <c r="J4167" s="115"/>
      <c r="K4167" s="115"/>
      <c r="L4167" s="115"/>
      <c r="M4167" s="115"/>
      <c r="N4167" s="115"/>
      <c r="O4167" s="115"/>
    </row>
    <row r="4168">
      <c r="E4168" s="115"/>
      <c r="F4168" s="115"/>
      <c r="G4168" s="115"/>
      <c r="H4168" s="115"/>
      <c r="I4168" s="115"/>
      <c r="J4168" s="115"/>
      <c r="K4168" s="115"/>
      <c r="L4168" s="115"/>
      <c r="M4168" s="115"/>
      <c r="N4168" s="115"/>
      <c r="O4168" s="115"/>
    </row>
    <row r="4169">
      <c r="E4169" s="115"/>
      <c r="F4169" s="115"/>
      <c r="G4169" s="115"/>
      <c r="H4169" s="115"/>
      <c r="I4169" s="115"/>
      <c r="J4169" s="115"/>
      <c r="K4169" s="115"/>
      <c r="L4169" s="115"/>
      <c r="M4169" s="115"/>
      <c r="N4169" s="115"/>
      <c r="O4169" s="115"/>
    </row>
    <row r="4170">
      <c r="E4170" s="115"/>
      <c r="F4170" s="115"/>
      <c r="G4170" s="115"/>
      <c r="H4170" s="115"/>
      <c r="I4170" s="115"/>
      <c r="J4170" s="115"/>
      <c r="K4170" s="115"/>
      <c r="L4170" s="115"/>
      <c r="M4170" s="115"/>
      <c r="N4170" s="115"/>
      <c r="O4170" s="115"/>
    </row>
    <row r="4171">
      <c r="E4171" s="115"/>
      <c r="F4171" s="115"/>
      <c r="G4171" s="115"/>
      <c r="H4171" s="115"/>
      <c r="I4171" s="115"/>
      <c r="J4171" s="115"/>
      <c r="K4171" s="115"/>
      <c r="L4171" s="115"/>
      <c r="M4171" s="115"/>
      <c r="N4171" s="115"/>
      <c r="O4171" s="115"/>
    </row>
    <row r="4172">
      <c r="E4172" s="115"/>
      <c r="F4172" s="115"/>
      <c r="G4172" s="115"/>
      <c r="H4172" s="115"/>
      <c r="I4172" s="115"/>
      <c r="J4172" s="115"/>
      <c r="K4172" s="115"/>
      <c r="L4172" s="115"/>
      <c r="M4172" s="115"/>
      <c r="N4172" s="115"/>
      <c r="O4172" s="115"/>
    </row>
    <row r="4173">
      <c r="E4173" s="115"/>
      <c r="F4173" s="115"/>
      <c r="G4173" s="115"/>
      <c r="H4173" s="115"/>
      <c r="I4173" s="115"/>
      <c r="J4173" s="115"/>
      <c r="K4173" s="115"/>
      <c r="L4173" s="115"/>
      <c r="M4173" s="115"/>
      <c r="N4173" s="115"/>
      <c r="O4173" s="115"/>
    </row>
    <row r="4174">
      <c r="E4174" s="115"/>
      <c r="F4174" s="115"/>
      <c r="G4174" s="115"/>
      <c r="H4174" s="115"/>
      <c r="I4174" s="115"/>
      <c r="J4174" s="115"/>
      <c r="K4174" s="115"/>
      <c r="L4174" s="115"/>
      <c r="M4174" s="115"/>
      <c r="N4174" s="115"/>
      <c r="O4174" s="115"/>
    </row>
    <row r="4175">
      <c r="E4175" s="115"/>
      <c r="F4175" s="115"/>
      <c r="G4175" s="115"/>
      <c r="H4175" s="115"/>
      <c r="I4175" s="115"/>
      <c r="J4175" s="115"/>
      <c r="K4175" s="115"/>
      <c r="L4175" s="115"/>
      <c r="M4175" s="115"/>
      <c r="N4175" s="115"/>
      <c r="O4175" s="115"/>
    </row>
    <row r="4176">
      <c r="E4176" s="115"/>
      <c r="F4176" s="115"/>
      <c r="G4176" s="115"/>
      <c r="H4176" s="115"/>
      <c r="I4176" s="115"/>
      <c r="J4176" s="115"/>
      <c r="K4176" s="115"/>
      <c r="L4176" s="115"/>
      <c r="M4176" s="115"/>
      <c r="N4176" s="115"/>
      <c r="O4176" s="115"/>
    </row>
    <row r="4177">
      <c r="E4177" s="115"/>
      <c r="F4177" s="115"/>
      <c r="G4177" s="115"/>
      <c r="H4177" s="115"/>
      <c r="I4177" s="115"/>
      <c r="J4177" s="115"/>
      <c r="K4177" s="115"/>
      <c r="L4177" s="115"/>
      <c r="M4177" s="115"/>
      <c r="N4177" s="115"/>
      <c r="O4177" s="115"/>
    </row>
    <row r="4178">
      <c r="E4178" s="115"/>
      <c r="F4178" s="115"/>
      <c r="G4178" s="115"/>
      <c r="H4178" s="115"/>
      <c r="I4178" s="115"/>
      <c r="J4178" s="115"/>
      <c r="K4178" s="115"/>
      <c r="L4178" s="115"/>
      <c r="M4178" s="115"/>
      <c r="N4178" s="115"/>
      <c r="O4178" s="115"/>
    </row>
    <row r="4179">
      <c r="E4179" s="115"/>
      <c r="F4179" s="115"/>
      <c r="G4179" s="115"/>
      <c r="H4179" s="115"/>
      <c r="I4179" s="115"/>
      <c r="J4179" s="115"/>
      <c r="K4179" s="115"/>
      <c r="L4179" s="115"/>
      <c r="M4179" s="115"/>
      <c r="N4179" s="115"/>
      <c r="O4179" s="115"/>
    </row>
    <row r="4180">
      <c r="E4180" s="115"/>
      <c r="F4180" s="115"/>
      <c r="G4180" s="115"/>
      <c r="H4180" s="115"/>
      <c r="I4180" s="115"/>
      <c r="J4180" s="115"/>
      <c r="K4180" s="115"/>
      <c r="L4180" s="115"/>
      <c r="M4180" s="115"/>
      <c r="N4180" s="115"/>
      <c r="O4180" s="115"/>
    </row>
    <row r="4181">
      <c r="E4181" s="115"/>
      <c r="F4181" s="115"/>
      <c r="G4181" s="115"/>
      <c r="H4181" s="115"/>
      <c r="I4181" s="115"/>
      <c r="J4181" s="115"/>
      <c r="K4181" s="115"/>
      <c r="L4181" s="115"/>
      <c r="M4181" s="115"/>
      <c r="N4181" s="115"/>
      <c r="O4181" s="115"/>
    </row>
    <row r="4182">
      <c r="E4182" s="115"/>
      <c r="F4182" s="115"/>
      <c r="G4182" s="115"/>
      <c r="H4182" s="115"/>
      <c r="I4182" s="115"/>
      <c r="J4182" s="115"/>
      <c r="K4182" s="115"/>
      <c r="L4182" s="115"/>
      <c r="M4182" s="115"/>
      <c r="N4182" s="115"/>
      <c r="O4182" s="115"/>
    </row>
    <row r="4183">
      <c r="E4183" s="115"/>
      <c r="F4183" s="115"/>
      <c r="G4183" s="115"/>
      <c r="H4183" s="115"/>
      <c r="I4183" s="115"/>
      <c r="J4183" s="115"/>
      <c r="K4183" s="115"/>
      <c r="L4183" s="115"/>
      <c r="M4183" s="115"/>
      <c r="N4183" s="115"/>
      <c r="O4183" s="115"/>
    </row>
    <row r="4184">
      <c r="E4184" s="115"/>
      <c r="F4184" s="115"/>
      <c r="G4184" s="115"/>
      <c r="H4184" s="115"/>
      <c r="I4184" s="115"/>
      <c r="J4184" s="115"/>
      <c r="K4184" s="115"/>
      <c r="L4184" s="115"/>
      <c r="M4184" s="115"/>
      <c r="N4184" s="115"/>
      <c r="O4184" s="115"/>
    </row>
    <row r="4185">
      <c r="E4185" s="115"/>
      <c r="F4185" s="115"/>
      <c r="G4185" s="115"/>
      <c r="H4185" s="115"/>
      <c r="I4185" s="115"/>
      <c r="J4185" s="115"/>
      <c r="K4185" s="115"/>
      <c r="L4185" s="115"/>
      <c r="M4185" s="115"/>
      <c r="N4185" s="115"/>
      <c r="O4185" s="115"/>
    </row>
    <row r="4186">
      <c r="E4186" s="115"/>
      <c r="F4186" s="115"/>
      <c r="G4186" s="115"/>
      <c r="H4186" s="115"/>
      <c r="I4186" s="115"/>
      <c r="J4186" s="115"/>
      <c r="K4186" s="115"/>
      <c r="L4186" s="115"/>
      <c r="M4186" s="115"/>
      <c r="N4186" s="115"/>
      <c r="O4186" s="115"/>
    </row>
    <row r="4187">
      <c r="E4187" s="115"/>
      <c r="F4187" s="115"/>
      <c r="G4187" s="115"/>
      <c r="H4187" s="115"/>
      <c r="I4187" s="115"/>
      <c r="J4187" s="115"/>
      <c r="K4187" s="115"/>
      <c r="L4187" s="115"/>
      <c r="M4187" s="115"/>
      <c r="N4187" s="115"/>
      <c r="O4187" s="115"/>
    </row>
    <row r="4188">
      <c r="E4188" s="115"/>
      <c r="F4188" s="115"/>
      <c r="G4188" s="115"/>
      <c r="H4188" s="115"/>
      <c r="I4188" s="115"/>
      <c r="J4188" s="115"/>
      <c r="K4188" s="115"/>
      <c r="L4188" s="115"/>
      <c r="M4188" s="115"/>
      <c r="N4188" s="115"/>
      <c r="O4188" s="115"/>
    </row>
    <row r="4189">
      <c r="E4189" s="115"/>
      <c r="F4189" s="115"/>
      <c r="G4189" s="115"/>
      <c r="H4189" s="115"/>
      <c r="I4189" s="115"/>
      <c r="J4189" s="115"/>
      <c r="K4189" s="115"/>
      <c r="L4189" s="115"/>
      <c r="M4189" s="115"/>
      <c r="N4189" s="115"/>
      <c r="O4189" s="115"/>
    </row>
    <row r="4190">
      <c r="E4190" s="115"/>
      <c r="F4190" s="115"/>
      <c r="G4190" s="115"/>
      <c r="H4190" s="115"/>
      <c r="I4190" s="115"/>
      <c r="J4190" s="115"/>
      <c r="K4190" s="115"/>
      <c r="L4190" s="115"/>
      <c r="M4190" s="115"/>
      <c r="N4190" s="115"/>
      <c r="O4190" s="115"/>
    </row>
    <row r="4191">
      <c r="E4191" s="115"/>
      <c r="F4191" s="115"/>
      <c r="G4191" s="115"/>
      <c r="H4191" s="115"/>
      <c r="I4191" s="115"/>
      <c r="J4191" s="115"/>
      <c r="K4191" s="115"/>
      <c r="L4191" s="115"/>
      <c r="M4191" s="115"/>
      <c r="N4191" s="115"/>
      <c r="O4191" s="115"/>
    </row>
    <row r="4192">
      <c r="E4192" s="115"/>
      <c r="F4192" s="115"/>
      <c r="G4192" s="115"/>
      <c r="H4192" s="115"/>
      <c r="I4192" s="115"/>
      <c r="J4192" s="115"/>
      <c r="K4192" s="115"/>
      <c r="L4192" s="115"/>
      <c r="M4192" s="115"/>
      <c r="N4192" s="115"/>
      <c r="O4192" s="115"/>
    </row>
    <row r="4193">
      <c r="E4193" s="115"/>
      <c r="F4193" s="115"/>
      <c r="G4193" s="115"/>
      <c r="H4193" s="115"/>
      <c r="I4193" s="115"/>
      <c r="J4193" s="115"/>
      <c r="K4193" s="115"/>
      <c r="L4193" s="115"/>
      <c r="M4193" s="115"/>
      <c r="N4193" s="115"/>
      <c r="O4193" s="115"/>
    </row>
    <row r="4194">
      <c r="E4194" s="115"/>
      <c r="F4194" s="115"/>
      <c r="G4194" s="115"/>
      <c r="H4194" s="115"/>
      <c r="I4194" s="115"/>
      <c r="J4194" s="115"/>
      <c r="K4194" s="115"/>
      <c r="L4194" s="115"/>
      <c r="M4194" s="115"/>
      <c r="N4194" s="115"/>
      <c r="O4194" s="115"/>
    </row>
    <row r="4195">
      <c r="E4195" s="115"/>
      <c r="F4195" s="115"/>
      <c r="G4195" s="115"/>
      <c r="H4195" s="115"/>
      <c r="I4195" s="115"/>
      <c r="J4195" s="115"/>
      <c r="K4195" s="115"/>
      <c r="L4195" s="115"/>
      <c r="M4195" s="115"/>
      <c r="N4195" s="115"/>
      <c r="O4195" s="115"/>
    </row>
    <row r="4196">
      <c r="E4196" s="115"/>
      <c r="F4196" s="115"/>
      <c r="G4196" s="115"/>
      <c r="H4196" s="115"/>
      <c r="I4196" s="115"/>
      <c r="J4196" s="115"/>
      <c r="K4196" s="115"/>
      <c r="L4196" s="115"/>
      <c r="M4196" s="115"/>
      <c r="N4196" s="115"/>
      <c r="O4196" s="115"/>
    </row>
    <row r="4197">
      <c r="E4197" s="115"/>
      <c r="F4197" s="115"/>
      <c r="G4197" s="115"/>
      <c r="H4197" s="115"/>
      <c r="I4197" s="115"/>
      <c r="J4197" s="115"/>
      <c r="K4197" s="115"/>
      <c r="L4197" s="115"/>
      <c r="M4197" s="115"/>
      <c r="N4197" s="115"/>
      <c r="O4197" s="115"/>
    </row>
    <row r="4198">
      <c r="E4198" s="115"/>
      <c r="F4198" s="115"/>
      <c r="G4198" s="115"/>
      <c r="H4198" s="115"/>
      <c r="I4198" s="115"/>
      <c r="J4198" s="115"/>
      <c r="K4198" s="115"/>
      <c r="L4198" s="115"/>
      <c r="M4198" s="115"/>
      <c r="N4198" s="115"/>
      <c r="O4198" s="115"/>
    </row>
    <row r="4199">
      <c r="E4199" s="115"/>
      <c r="F4199" s="115"/>
      <c r="G4199" s="115"/>
      <c r="H4199" s="115"/>
      <c r="I4199" s="115"/>
      <c r="J4199" s="115"/>
      <c r="K4199" s="115"/>
      <c r="L4199" s="115"/>
      <c r="M4199" s="115"/>
      <c r="N4199" s="115"/>
      <c r="O4199" s="115"/>
    </row>
    <row r="4200">
      <c r="E4200" s="115"/>
      <c r="F4200" s="115"/>
      <c r="G4200" s="115"/>
      <c r="H4200" s="115"/>
      <c r="I4200" s="115"/>
      <c r="J4200" s="115"/>
      <c r="K4200" s="115"/>
      <c r="L4200" s="115"/>
      <c r="M4200" s="115"/>
      <c r="N4200" s="115"/>
      <c r="O4200" s="115"/>
    </row>
    <row r="4201">
      <c r="E4201" s="115"/>
      <c r="F4201" s="115"/>
      <c r="G4201" s="115"/>
      <c r="H4201" s="115"/>
      <c r="I4201" s="115"/>
      <c r="J4201" s="115"/>
      <c r="K4201" s="115"/>
      <c r="L4201" s="115"/>
      <c r="M4201" s="115"/>
      <c r="N4201" s="115"/>
      <c r="O4201" s="115"/>
    </row>
    <row r="4202">
      <c r="E4202" s="115"/>
      <c r="F4202" s="115"/>
      <c r="G4202" s="115"/>
      <c r="H4202" s="115"/>
      <c r="I4202" s="115"/>
      <c r="J4202" s="115"/>
      <c r="K4202" s="115"/>
      <c r="L4202" s="115"/>
      <c r="M4202" s="115"/>
      <c r="N4202" s="115"/>
      <c r="O4202" s="115"/>
    </row>
    <row r="4203">
      <c r="E4203" s="115"/>
      <c r="F4203" s="115"/>
      <c r="G4203" s="115"/>
      <c r="H4203" s="115"/>
      <c r="I4203" s="115"/>
      <c r="J4203" s="115"/>
      <c r="K4203" s="115"/>
      <c r="L4203" s="115"/>
      <c r="M4203" s="115"/>
      <c r="N4203" s="115"/>
      <c r="O4203" s="115"/>
    </row>
    <row r="4204">
      <c r="E4204" s="115"/>
      <c r="F4204" s="115"/>
      <c r="G4204" s="115"/>
      <c r="H4204" s="115"/>
      <c r="I4204" s="115"/>
      <c r="J4204" s="115"/>
      <c r="K4204" s="115"/>
      <c r="L4204" s="115"/>
      <c r="M4204" s="115"/>
      <c r="N4204" s="115"/>
      <c r="O4204" s="115"/>
    </row>
    <row r="4205">
      <c r="E4205" s="115"/>
      <c r="F4205" s="115"/>
      <c r="G4205" s="115"/>
      <c r="H4205" s="115"/>
      <c r="I4205" s="115"/>
      <c r="J4205" s="115"/>
      <c r="K4205" s="115"/>
      <c r="L4205" s="115"/>
      <c r="M4205" s="115"/>
      <c r="N4205" s="115"/>
      <c r="O4205" s="115"/>
    </row>
    <row r="4206">
      <c r="E4206" s="115"/>
      <c r="F4206" s="115"/>
      <c r="G4206" s="115"/>
      <c r="H4206" s="115"/>
      <c r="I4206" s="115"/>
      <c r="J4206" s="115"/>
      <c r="K4206" s="115"/>
      <c r="L4206" s="115"/>
      <c r="M4206" s="115"/>
      <c r="N4206" s="115"/>
      <c r="O4206" s="115"/>
    </row>
    <row r="4207">
      <c r="E4207" s="115"/>
      <c r="F4207" s="115"/>
      <c r="G4207" s="115"/>
      <c r="H4207" s="115"/>
      <c r="I4207" s="115"/>
      <c r="J4207" s="115"/>
      <c r="K4207" s="115"/>
      <c r="L4207" s="115"/>
      <c r="M4207" s="115"/>
      <c r="N4207" s="115"/>
      <c r="O4207" s="115"/>
    </row>
    <row r="4208">
      <c r="E4208" s="115"/>
      <c r="F4208" s="115"/>
      <c r="G4208" s="115"/>
      <c r="H4208" s="115"/>
      <c r="I4208" s="115"/>
      <c r="J4208" s="115"/>
      <c r="K4208" s="115"/>
      <c r="L4208" s="115"/>
      <c r="M4208" s="115"/>
      <c r="N4208" s="115"/>
      <c r="O4208" s="115"/>
    </row>
    <row r="4209">
      <c r="E4209" s="115"/>
      <c r="F4209" s="115"/>
      <c r="G4209" s="115"/>
      <c r="H4209" s="115"/>
      <c r="I4209" s="115"/>
      <c r="J4209" s="115"/>
      <c r="K4209" s="115"/>
      <c r="L4209" s="115"/>
      <c r="M4209" s="115"/>
      <c r="N4209" s="115"/>
      <c r="O4209" s="115"/>
    </row>
    <row r="4210">
      <c r="E4210" s="115"/>
      <c r="F4210" s="115"/>
      <c r="G4210" s="115"/>
      <c r="H4210" s="115"/>
      <c r="I4210" s="115"/>
      <c r="J4210" s="115"/>
      <c r="K4210" s="115"/>
      <c r="L4210" s="115"/>
      <c r="M4210" s="115"/>
      <c r="N4210" s="115"/>
      <c r="O4210" s="115"/>
    </row>
    <row r="4211">
      <c r="E4211" s="115"/>
      <c r="F4211" s="115"/>
      <c r="G4211" s="115"/>
      <c r="H4211" s="115"/>
      <c r="I4211" s="115"/>
      <c r="J4211" s="115"/>
      <c r="K4211" s="115"/>
      <c r="L4211" s="115"/>
      <c r="M4211" s="115"/>
      <c r="N4211" s="115"/>
      <c r="O4211" s="115"/>
    </row>
    <row r="4212">
      <c r="E4212" s="115"/>
      <c r="F4212" s="115"/>
      <c r="G4212" s="115"/>
      <c r="H4212" s="115"/>
      <c r="I4212" s="115"/>
      <c r="J4212" s="115"/>
      <c r="K4212" s="115"/>
      <c r="L4212" s="115"/>
      <c r="M4212" s="115"/>
      <c r="N4212" s="115"/>
      <c r="O4212" s="115"/>
    </row>
    <row r="4213">
      <c r="E4213" s="115"/>
      <c r="F4213" s="115"/>
      <c r="G4213" s="115"/>
      <c r="H4213" s="115"/>
      <c r="I4213" s="115"/>
      <c r="J4213" s="115"/>
      <c r="K4213" s="115"/>
      <c r="L4213" s="115"/>
      <c r="M4213" s="115"/>
      <c r="N4213" s="115"/>
      <c r="O4213" s="115"/>
    </row>
    <row r="4214">
      <c r="E4214" s="115"/>
      <c r="F4214" s="115"/>
      <c r="G4214" s="115"/>
      <c r="H4214" s="115"/>
      <c r="I4214" s="115"/>
      <c r="J4214" s="115"/>
      <c r="K4214" s="115"/>
      <c r="L4214" s="115"/>
      <c r="M4214" s="115"/>
      <c r="N4214" s="115"/>
      <c r="O4214" s="115"/>
    </row>
    <row r="4215">
      <c r="E4215" s="115"/>
      <c r="F4215" s="115"/>
      <c r="G4215" s="115"/>
      <c r="H4215" s="115"/>
      <c r="I4215" s="115"/>
      <c r="J4215" s="115"/>
      <c r="K4215" s="115"/>
      <c r="L4215" s="115"/>
      <c r="M4215" s="115"/>
      <c r="N4215" s="115"/>
      <c r="O4215" s="115"/>
    </row>
    <row r="4216">
      <c r="E4216" s="115"/>
      <c r="F4216" s="115"/>
      <c r="G4216" s="115"/>
      <c r="H4216" s="115"/>
      <c r="I4216" s="115"/>
      <c r="J4216" s="115"/>
      <c r="K4216" s="115"/>
      <c r="L4216" s="115"/>
      <c r="M4216" s="115"/>
      <c r="N4216" s="115"/>
      <c r="O4216" s="115"/>
    </row>
    <row r="4217">
      <c r="E4217" s="115"/>
      <c r="F4217" s="115"/>
      <c r="G4217" s="115"/>
      <c r="H4217" s="115"/>
      <c r="I4217" s="115"/>
      <c r="J4217" s="115"/>
      <c r="K4217" s="115"/>
      <c r="L4217" s="115"/>
      <c r="M4217" s="115"/>
      <c r="N4217" s="115"/>
      <c r="O4217" s="115"/>
    </row>
    <row r="4218">
      <c r="E4218" s="115"/>
      <c r="F4218" s="115"/>
      <c r="G4218" s="115"/>
      <c r="H4218" s="115"/>
      <c r="I4218" s="115"/>
      <c r="J4218" s="115"/>
      <c r="K4218" s="115"/>
      <c r="L4218" s="115"/>
      <c r="M4218" s="115"/>
      <c r="N4218" s="115"/>
      <c r="O4218" s="115"/>
    </row>
    <row r="4219">
      <c r="E4219" s="115"/>
      <c r="F4219" s="115"/>
      <c r="G4219" s="115"/>
      <c r="H4219" s="115"/>
      <c r="I4219" s="115"/>
      <c r="J4219" s="115"/>
      <c r="K4219" s="115"/>
      <c r="L4219" s="115"/>
      <c r="M4219" s="115"/>
      <c r="N4219" s="115"/>
      <c r="O4219" s="115"/>
    </row>
    <row r="4220">
      <c r="E4220" s="115"/>
      <c r="F4220" s="115"/>
      <c r="G4220" s="115"/>
      <c r="H4220" s="115"/>
      <c r="I4220" s="115"/>
      <c r="J4220" s="115"/>
      <c r="K4220" s="115"/>
      <c r="L4220" s="115"/>
      <c r="M4220" s="115"/>
      <c r="N4220" s="115"/>
      <c r="O4220" s="115"/>
    </row>
    <row r="4221">
      <c r="E4221" s="115"/>
      <c r="F4221" s="115"/>
      <c r="G4221" s="115"/>
      <c r="H4221" s="115"/>
      <c r="I4221" s="115"/>
      <c r="J4221" s="115"/>
      <c r="K4221" s="115"/>
      <c r="L4221" s="115"/>
      <c r="M4221" s="115"/>
      <c r="N4221" s="115"/>
      <c r="O4221" s="115"/>
    </row>
    <row r="4222">
      <c r="E4222" s="115"/>
      <c r="F4222" s="115"/>
      <c r="G4222" s="115"/>
      <c r="H4222" s="115"/>
      <c r="I4222" s="115"/>
      <c r="J4222" s="115"/>
      <c r="K4222" s="115"/>
      <c r="L4222" s="115"/>
      <c r="M4222" s="115"/>
      <c r="N4222" s="115"/>
      <c r="O4222" s="115"/>
    </row>
    <row r="4223">
      <c r="E4223" s="115"/>
      <c r="F4223" s="115"/>
      <c r="G4223" s="115"/>
      <c r="H4223" s="115"/>
      <c r="I4223" s="115"/>
      <c r="J4223" s="115"/>
      <c r="K4223" s="115"/>
      <c r="L4223" s="115"/>
      <c r="M4223" s="115"/>
      <c r="N4223" s="115"/>
      <c r="O4223" s="115"/>
    </row>
    <row r="4224">
      <c r="E4224" s="115"/>
      <c r="F4224" s="115"/>
      <c r="G4224" s="115"/>
      <c r="H4224" s="115"/>
      <c r="I4224" s="115"/>
      <c r="J4224" s="115"/>
      <c r="K4224" s="115"/>
      <c r="L4224" s="115"/>
      <c r="M4224" s="115"/>
      <c r="N4224" s="115"/>
      <c r="O4224" s="115"/>
    </row>
    <row r="4225">
      <c r="E4225" s="115"/>
      <c r="F4225" s="115"/>
      <c r="G4225" s="115"/>
      <c r="H4225" s="115"/>
      <c r="I4225" s="115"/>
      <c r="J4225" s="115"/>
      <c r="K4225" s="115"/>
      <c r="L4225" s="115"/>
      <c r="M4225" s="115"/>
      <c r="N4225" s="115"/>
      <c r="O4225" s="115"/>
    </row>
    <row r="4226">
      <c r="E4226" s="115"/>
      <c r="F4226" s="115"/>
      <c r="G4226" s="115"/>
      <c r="H4226" s="115"/>
      <c r="I4226" s="115"/>
      <c r="J4226" s="115"/>
      <c r="K4226" s="115"/>
      <c r="L4226" s="115"/>
      <c r="M4226" s="115"/>
      <c r="N4226" s="115"/>
      <c r="O4226" s="115"/>
    </row>
    <row r="4227">
      <c r="E4227" s="115"/>
      <c r="F4227" s="115"/>
      <c r="G4227" s="115"/>
      <c r="H4227" s="115"/>
      <c r="I4227" s="115"/>
      <c r="J4227" s="115"/>
      <c r="K4227" s="115"/>
      <c r="L4227" s="115"/>
      <c r="M4227" s="115"/>
      <c r="N4227" s="115"/>
      <c r="O4227" s="115"/>
    </row>
    <row r="4228">
      <c r="E4228" s="115"/>
      <c r="F4228" s="115"/>
      <c r="G4228" s="115"/>
      <c r="H4228" s="115"/>
      <c r="I4228" s="115"/>
      <c r="J4228" s="115"/>
      <c r="K4228" s="115"/>
      <c r="L4228" s="115"/>
      <c r="M4228" s="115"/>
      <c r="N4228" s="115"/>
      <c r="O4228" s="115"/>
    </row>
    <row r="4229">
      <c r="E4229" s="115"/>
      <c r="F4229" s="115"/>
      <c r="G4229" s="115"/>
      <c r="H4229" s="115"/>
      <c r="I4229" s="115"/>
      <c r="J4229" s="115"/>
      <c r="K4229" s="115"/>
      <c r="L4229" s="115"/>
      <c r="M4229" s="115"/>
      <c r="N4229" s="115"/>
      <c r="O4229" s="115"/>
    </row>
    <row r="4230">
      <c r="E4230" s="115"/>
      <c r="F4230" s="115"/>
      <c r="G4230" s="115"/>
      <c r="H4230" s="115"/>
      <c r="I4230" s="115"/>
      <c r="J4230" s="115"/>
      <c r="K4230" s="115"/>
      <c r="L4230" s="115"/>
      <c r="M4230" s="115"/>
      <c r="N4230" s="115"/>
      <c r="O4230" s="115"/>
    </row>
    <row r="4231">
      <c r="E4231" s="115"/>
      <c r="F4231" s="115"/>
      <c r="G4231" s="115"/>
      <c r="H4231" s="115"/>
      <c r="I4231" s="115"/>
      <c r="J4231" s="115"/>
      <c r="K4231" s="115"/>
      <c r="L4231" s="115"/>
      <c r="M4231" s="115"/>
      <c r="N4231" s="115"/>
      <c r="O4231" s="115"/>
    </row>
    <row r="4232">
      <c r="E4232" s="115"/>
      <c r="F4232" s="115"/>
      <c r="G4232" s="115"/>
      <c r="H4232" s="115"/>
      <c r="I4232" s="115"/>
      <c r="J4232" s="115"/>
      <c r="K4232" s="115"/>
      <c r="L4232" s="115"/>
      <c r="M4232" s="115"/>
      <c r="N4232" s="115"/>
      <c r="O4232" s="115"/>
    </row>
    <row r="4233">
      <c r="E4233" s="115"/>
      <c r="F4233" s="115"/>
      <c r="G4233" s="115"/>
      <c r="H4233" s="115"/>
      <c r="I4233" s="115"/>
      <c r="J4233" s="115"/>
      <c r="K4233" s="115"/>
      <c r="L4233" s="115"/>
      <c r="M4233" s="115"/>
      <c r="N4233" s="115"/>
      <c r="O4233" s="115"/>
    </row>
    <row r="4234">
      <c r="E4234" s="115"/>
      <c r="F4234" s="115"/>
      <c r="G4234" s="115"/>
      <c r="H4234" s="115"/>
      <c r="I4234" s="115"/>
      <c r="J4234" s="115"/>
      <c r="K4234" s="115"/>
      <c r="L4234" s="115"/>
      <c r="M4234" s="115"/>
      <c r="N4234" s="115"/>
      <c r="O4234" s="115"/>
    </row>
    <row r="4235">
      <c r="E4235" s="115"/>
      <c r="F4235" s="115"/>
      <c r="G4235" s="115"/>
      <c r="H4235" s="115"/>
      <c r="I4235" s="115"/>
      <c r="J4235" s="115"/>
      <c r="K4235" s="115"/>
      <c r="L4235" s="115"/>
      <c r="M4235" s="115"/>
      <c r="N4235" s="115"/>
      <c r="O4235" s="115"/>
    </row>
    <row r="4236">
      <c r="E4236" s="115"/>
      <c r="F4236" s="115"/>
      <c r="G4236" s="115"/>
      <c r="H4236" s="115"/>
      <c r="I4236" s="115"/>
      <c r="J4236" s="115"/>
      <c r="K4236" s="115"/>
      <c r="L4236" s="115"/>
      <c r="M4236" s="115"/>
      <c r="N4236" s="115"/>
      <c r="O4236" s="115"/>
    </row>
    <row r="4237">
      <c r="E4237" s="115"/>
      <c r="F4237" s="115"/>
      <c r="G4237" s="115"/>
      <c r="H4237" s="115"/>
      <c r="I4237" s="115"/>
      <c r="J4237" s="115"/>
      <c r="K4237" s="115"/>
      <c r="L4237" s="115"/>
      <c r="M4237" s="115"/>
      <c r="N4237" s="115"/>
      <c r="O4237" s="115"/>
    </row>
    <row r="4238">
      <c r="E4238" s="115"/>
      <c r="F4238" s="115"/>
      <c r="G4238" s="115"/>
      <c r="H4238" s="115"/>
      <c r="I4238" s="115"/>
      <c r="J4238" s="115"/>
      <c r="K4238" s="115"/>
      <c r="L4238" s="115"/>
      <c r="M4238" s="115"/>
      <c r="N4238" s="115"/>
      <c r="O4238" s="115"/>
    </row>
    <row r="4239">
      <c r="E4239" s="115"/>
      <c r="F4239" s="115"/>
      <c r="G4239" s="115"/>
      <c r="H4239" s="115"/>
      <c r="I4239" s="115"/>
      <c r="J4239" s="115"/>
      <c r="K4239" s="115"/>
      <c r="L4239" s="115"/>
      <c r="M4239" s="115"/>
      <c r="N4239" s="115"/>
      <c r="O4239" s="115"/>
    </row>
    <row r="4240">
      <c r="E4240" s="115"/>
      <c r="F4240" s="115"/>
      <c r="G4240" s="115"/>
      <c r="H4240" s="115"/>
      <c r="I4240" s="115"/>
      <c r="J4240" s="115"/>
      <c r="K4240" s="115"/>
      <c r="L4240" s="115"/>
      <c r="M4240" s="115"/>
      <c r="N4240" s="115"/>
      <c r="O4240" s="115"/>
    </row>
    <row r="4241">
      <c r="E4241" s="115"/>
      <c r="F4241" s="115"/>
      <c r="G4241" s="115"/>
      <c r="H4241" s="115"/>
      <c r="I4241" s="115"/>
      <c r="J4241" s="115"/>
      <c r="K4241" s="115"/>
      <c r="L4241" s="115"/>
      <c r="M4241" s="115"/>
      <c r="N4241" s="115"/>
      <c r="O4241" s="115"/>
    </row>
    <row r="4242">
      <c r="E4242" s="115"/>
      <c r="F4242" s="115"/>
      <c r="G4242" s="115"/>
      <c r="H4242" s="115"/>
      <c r="I4242" s="115"/>
      <c r="J4242" s="115"/>
      <c r="K4242" s="115"/>
      <c r="L4242" s="115"/>
      <c r="M4242" s="115"/>
      <c r="N4242" s="115"/>
      <c r="O4242" s="115"/>
    </row>
    <row r="4243">
      <c r="E4243" s="115"/>
      <c r="F4243" s="115"/>
      <c r="G4243" s="115"/>
      <c r="H4243" s="115"/>
      <c r="I4243" s="115"/>
      <c r="J4243" s="115"/>
      <c r="K4243" s="115"/>
      <c r="L4243" s="115"/>
      <c r="M4243" s="115"/>
      <c r="N4243" s="115"/>
      <c r="O4243" s="115"/>
    </row>
    <row r="4244">
      <c r="E4244" s="115"/>
      <c r="F4244" s="115"/>
      <c r="G4244" s="115"/>
      <c r="H4244" s="115"/>
      <c r="I4244" s="115"/>
      <c r="J4244" s="115"/>
      <c r="K4244" s="115"/>
      <c r="L4244" s="115"/>
      <c r="M4244" s="115"/>
      <c r="N4244" s="115"/>
      <c r="O4244" s="115"/>
    </row>
    <row r="4245">
      <c r="E4245" s="115"/>
      <c r="F4245" s="115"/>
      <c r="G4245" s="115"/>
      <c r="H4245" s="115"/>
      <c r="I4245" s="115"/>
      <c r="J4245" s="115"/>
      <c r="K4245" s="115"/>
      <c r="L4245" s="115"/>
      <c r="M4245" s="115"/>
      <c r="N4245" s="115"/>
      <c r="O4245" s="115"/>
    </row>
    <row r="4246">
      <c r="E4246" s="115"/>
      <c r="F4246" s="115"/>
      <c r="G4246" s="115"/>
      <c r="H4246" s="115"/>
      <c r="I4246" s="115"/>
      <c r="J4246" s="115"/>
      <c r="K4246" s="115"/>
      <c r="L4246" s="115"/>
      <c r="M4246" s="115"/>
      <c r="N4246" s="115"/>
      <c r="O4246" s="115"/>
    </row>
    <row r="4247">
      <c r="E4247" s="115"/>
      <c r="F4247" s="115"/>
      <c r="G4247" s="115"/>
      <c r="H4247" s="115"/>
      <c r="I4247" s="115"/>
      <c r="J4247" s="115"/>
      <c r="K4247" s="115"/>
      <c r="L4247" s="115"/>
      <c r="M4247" s="115"/>
      <c r="N4247" s="115"/>
      <c r="O4247" s="115"/>
    </row>
    <row r="4248">
      <c r="E4248" s="115"/>
      <c r="F4248" s="115"/>
      <c r="G4248" s="115"/>
      <c r="H4248" s="115"/>
      <c r="I4248" s="115"/>
      <c r="J4248" s="115"/>
      <c r="K4248" s="115"/>
      <c r="L4248" s="115"/>
      <c r="M4248" s="115"/>
      <c r="N4248" s="115"/>
      <c r="O4248" s="115"/>
    </row>
    <row r="4249">
      <c r="E4249" s="115"/>
      <c r="F4249" s="115"/>
      <c r="G4249" s="115"/>
      <c r="H4249" s="115"/>
      <c r="I4249" s="115"/>
      <c r="J4249" s="115"/>
      <c r="K4249" s="115"/>
      <c r="L4249" s="115"/>
      <c r="M4249" s="115"/>
      <c r="N4249" s="115"/>
      <c r="O4249" s="115"/>
    </row>
    <row r="4250">
      <c r="E4250" s="115"/>
      <c r="F4250" s="115"/>
      <c r="G4250" s="115"/>
      <c r="H4250" s="115"/>
      <c r="I4250" s="115"/>
      <c r="J4250" s="115"/>
      <c r="K4250" s="115"/>
      <c r="L4250" s="115"/>
      <c r="M4250" s="115"/>
      <c r="N4250" s="115"/>
      <c r="O4250" s="115"/>
    </row>
    <row r="4251">
      <c r="E4251" s="115"/>
      <c r="F4251" s="115"/>
      <c r="G4251" s="115"/>
      <c r="H4251" s="115"/>
      <c r="I4251" s="115"/>
      <c r="J4251" s="115"/>
      <c r="K4251" s="115"/>
      <c r="L4251" s="115"/>
      <c r="M4251" s="115"/>
      <c r="N4251" s="115"/>
      <c r="O4251" s="115"/>
    </row>
    <row r="4252">
      <c r="E4252" s="115"/>
      <c r="F4252" s="115"/>
      <c r="G4252" s="115"/>
      <c r="H4252" s="115"/>
      <c r="I4252" s="115"/>
      <c r="J4252" s="115"/>
      <c r="K4252" s="115"/>
      <c r="L4252" s="115"/>
      <c r="M4252" s="115"/>
      <c r="N4252" s="115"/>
      <c r="O4252" s="115"/>
    </row>
    <row r="4253">
      <c r="E4253" s="115"/>
      <c r="F4253" s="115"/>
      <c r="G4253" s="115"/>
      <c r="H4253" s="115"/>
      <c r="I4253" s="115"/>
      <c r="J4253" s="115"/>
      <c r="K4253" s="115"/>
      <c r="L4253" s="115"/>
      <c r="M4253" s="115"/>
      <c r="N4253" s="115"/>
      <c r="O4253" s="115"/>
    </row>
    <row r="4254">
      <c r="E4254" s="115"/>
      <c r="F4254" s="115"/>
      <c r="G4254" s="115"/>
      <c r="H4254" s="115"/>
      <c r="I4254" s="115"/>
      <c r="J4254" s="115"/>
      <c r="K4254" s="115"/>
      <c r="L4254" s="115"/>
      <c r="M4254" s="115"/>
      <c r="N4254" s="115"/>
      <c r="O4254" s="115"/>
    </row>
    <row r="4255">
      <c r="E4255" s="115"/>
      <c r="F4255" s="115"/>
      <c r="G4255" s="115"/>
      <c r="H4255" s="115"/>
      <c r="I4255" s="115"/>
      <c r="J4255" s="115"/>
      <c r="K4255" s="115"/>
      <c r="L4255" s="115"/>
      <c r="M4255" s="115"/>
      <c r="N4255" s="115"/>
      <c r="O4255" s="115"/>
    </row>
    <row r="4256">
      <c r="E4256" s="115"/>
      <c r="F4256" s="115"/>
      <c r="G4256" s="115"/>
      <c r="H4256" s="115"/>
      <c r="I4256" s="115"/>
      <c r="J4256" s="115"/>
      <c r="K4256" s="115"/>
      <c r="L4256" s="115"/>
      <c r="M4256" s="115"/>
      <c r="N4256" s="115"/>
      <c r="O4256" s="115"/>
    </row>
    <row r="4257">
      <c r="E4257" s="115"/>
      <c r="F4257" s="115"/>
      <c r="G4257" s="115"/>
      <c r="H4257" s="115"/>
      <c r="I4257" s="115"/>
      <c r="J4257" s="115"/>
      <c r="K4257" s="115"/>
      <c r="L4257" s="115"/>
      <c r="M4257" s="115"/>
      <c r="N4257" s="115"/>
      <c r="O4257" s="115"/>
    </row>
    <row r="4258">
      <c r="E4258" s="115"/>
      <c r="F4258" s="115"/>
      <c r="G4258" s="115"/>
      <c r="H4258" s="115"/>
      <c r="I4258" s="115"/>
      <c r="J4258" s="115"/>
      <c r="K4258" s="115"/>
      <c r="L4258" s="115"/>
      <c r="M4258" s="115"/>
      <c r="N4258" s="115"/>
      <c r="O4258" s="115"/>
    </row>
    <row r="4259">
      <c r="E4259" s="115"/>
      <c r="F4259" s="115"/>
      <c r="G4259" s="115"/>
      <c r="H4259" s="115"/>
      <c r="I4259" s="115"/>
      <c r="J4259" s="115"/>
      <c r="K4259" s="115"/>
      <c r="L4259" s="115"/>
      <c r="M4259" s="115"/>
      <c r="N4259" s="115"/>
      <c r="O4259" s="115"/>
    </row>
    <row r="4260">
      <c r="E4260" s="115"/>
      <c r="F4260" s="115"/>
      <c r="G4260" s="115"/>
      <c r="H4260" s="115"/>
      <c r="I4260" s="115"/>
      <c r="J4260" s="115"/>
      <c r="K4260" s="115"/>
      <c r="L4260" s="115"/>
      <c r="M4260" s="115"/>
      <c r="N4260" s="115"/>
      <c r="O4260" s="115"/>
    </row>
    <row r="4261">
      <c r="E4261" s="115"/>
      <c r="F4261" s="115"/>
      <c r="G4261" s="115"/>
      <c r="H4261" s="115"/>
      <c r="I4261" s="115"/>
      <c r="J4261" s="115"/>
      <c r="K4261" s="115"/>
      <c r="L4261" s="115"/>
      <c r="M4261" s="115"/>
      <c r="N4261" s="115"/>
      <c r="O4261" s="115"/>
    </row>
    <row r="4262">
      <c r="E4262" s="115"/>
      <c r="F4262" s="115"/>
      <c r="G4262" s="115"/>
      <c r="H4262" s="115"/>
      <c r="I4262" s="115"/>
      <c r="J4262" s="115"/>
      <c r="K4262" s="115"/>
      <c r="L4262" s="115"/>
      <c r="M4262" s="115"/>
      <c r="N4262" s="115"/>
      <c r="O4262" s="115"/>
    </row>
    <row r="4263">
      <c r="E4263" s="115"/>
      <c r="F4263" s="115"/>
      <c r="G4263" s="115"/>
      <c r="H4263" s="115"/>
      <c r="I4263" s="115"/>
      <c r="J4263" s="115"/>
      <c r="K4263" s="115"/>
      <c r="L4263" s="115"/>
      <c r="M4263" s="115"/>
      <c r="N4263" s="115"/>
      <c r="O4263" s="115"/>
    </row>
    <row r="4264">
      <c r="E4264" s="115"/>
      <c r="F4264" s="115"/>
      <c r="G4264" s="115"/>
      <c r="H4264" s="115"/>
      <c r="I4264" s="115"/>
      <c r="J4264" s="115"/>
      <c r="K4264" s="115"/>
      <c r="L4264" s="115"/>
      <c r="M4264" s="115"/>
      <c r="N4264" s="115"/>
      <c r="O4264" s="115"/>
    </row>
    <row r="4265">
      <c r="E4265" s="115"/>
      <c r="F4265" s="115"/>
      <c r="G4265" s="115"/>
      <c r="H4265" s="115"/>
      <c r="I4265" s="115"/>
      <c r="J4265" s="115"/>
      <c r="K4265" s="115"/>
      <c r="L4265" s="115"/>
      <c r="M4265" s="115"/>
      <c r="N4265" s="115"/>
      <c r="O4265" s="115"/>
    </row>
    <row r="4266">
      <c r="E4266" s="115"/>
      <c r="F4266" s="115"/>
      <c r="G4266" s="115"/>
      <c r="H4266" s="115"/>
      <c r="I4266" s="115"/>
      <c r="J4266" s="115"/>
      <c r="K4266" s="115"/>
      <c r="L4266" s="115"/>
      <c r="M4266" s="115"/>
      <c r="N4266" s="115"/>
      <c r="O4266" s="115"/>
    </row>
    <row r="4267">
      <c r="E4267" s="115"/>
      <c r="F4267" s="115"/>
      <c r="G4267" s="115"/>
      <c r="H4267" s="115"/>
      <c r="I4267" s="115"/>
      <c r="J4267" s="115"/>
      <c r="K4267" s="115"/>
      <c r="L4267" s="115"/>
      <c r="M4267" s="115"/>
      <c r="N4267" s="115"/>
      <c r="O4267" s="115"/>
    </row>
    <row r="4268">
      <c r="E4268" s="115"/>
      <c r="F4268" s="115"/>
      <c r="G4268" s="115"/>
      <c r="H4268" s="115"/>
      <c r="I4268" s="115"/>
      <c r="J4268" s="115"/>
      <c r="K4268" s="115"/>
      <c r="L4268" s="115"/>
      <c r="M4268" s="115"/>
      <c r="N4268" s="115"/>
      <c r="O4268" s="115"/>
    </row>
    <row r="4269">
      <c r="E4269" s="115"/>
      <c r="F4269" s="115"/>
      <c r="G4269" s="115"/>
      <c r="H4269" s="115"/>
      <c r="I4269" s="115"/>
      <c r="J4269" s="115"/>
      <c r="K4269" s="115"/>
      <c r="L4269" s="115"/>
      <c r="M4269" s="115"/>
      <c r="N4269" s="115"/>
      <c r="O4269" s="115"/>
    </row>
    <row r="4270">
      <c r="E4270" s="115"/>
      <c r="F4270" s="115"/>
      <c r="G4270" s="115"/>
      <c r="H4270" s="115"/>
      <c r="I4270" s="115"/>
      <c r="J4270" s="115"/>
      <c r="K4270" s="115"/>
      <c r="L4270" s="115"/>
      <c r="M4270" s="115"/>
      <c r="N4270" s="115"/>
      <c r="O4270" s="115"/>
    </row>
    <row r="4271">
      <c r="E4271" s="115"/>
      <c r="F4271" s="115"/>
      <c r="G4271" s="115"/>
      <c r="H4271" s="115"/>
      <c r="I4271" s="115"/>
      <c r="J4271" s="115"/>
      <c r="K4271" s="115"/>
      <c r="L4271" s="115"/>
      <c r="M4271" s="115"/>
      <c r="N4271" s="115"/>
      <c r="O4271" s="115"/>
    </row>
    <row r="4272">
      <c r="E4272" s="115"/>
      <c r="F4272" s="115"/>
      <c r="G4272" s="115"/>
      <c r="H4272" s="115"/>
      <c r="I4272" s="115"/>
      <c r="J4272" s="115"/>
      <c r="K4272" s="115"/>
      <c r="L4272" s="115"/>
      <c r="M4272" s="115"/>
      <c r="N4272" s="115"/>
      <c r="O4272" s="115"/>
    </row>
    <row r="4273">
      <c r="E4273" s="115"/>
      <c r="F4273" s="115"/>
      <c r="G4273" s="115"/>
      <c r="H4273" s="115"/>
      <c r="I4273" s="115"/>
      <c r="J4273" s="115"/>
      <c r="K4273" s="115"/>
      <c r="L4273" s="115"/>
      <c r="M4273" s="115"/>
      <c r="N4273" s="115"/>
      <c r="O4273" s="115"/>
    </row>
    <row r="4274">
      <c r="E4274" s="115"/>
      <c r="F4274" s="115"/>
      <c r="G4274" s="115"/>
      <c r="H4274" s="115"/>
      <c r="I4274" s="115"/>
      <c r="J4274" s="115"/>
      <c r="K4274" s="115"/>
      <c r="L4274" s="115"/>
      <c r="M4274" s="115"/>
      <c r="N4274" s="115"/>
      <c r="O4274" s="115"/>
    </row>
    <row r="4275">
      <c r="E4275" s="115"/>
      <c r="F4275" s="115"/>
      <c r="G4275" s="115"/>
      <c r="H4275" s="115"/>
      <c r="I4275" s="115"/>
      <c r="J4275" s="115"/>
      <c r="K4275" s="115"/>
      <c r="L4275" s="115"/>
      <c r="M4275" s="115"/>
      <c r="N4275" s="115"/>
      <c r="O4275" s="115"/>
    </row>
    <row r="4276">
      <c r="E4276" s="115"/>
      <c r="F4276" s="115"/>
      <c r="G4276" s="115"/>
      <c r="H4276" s="115"/>
      <c r="I4276" s="115"/>
      <c r="J4276" s="115"/>
      <c r="K4276" s="115"/>
      <c r="L4276" s="115"/>
      <c r="M4276" s="115"/>
      <c r="N4276" s="115"/>
      <c r="O4276" s="115"/>
    </row>
    <row r="4277">
      <c r="E4277" s="115"/>
      <c r="F4277" s="115"/>
      <c r="G4277" s="115"/>
      <c r="H4277" s="115"/>
      <c r="I4277" s="115"/>
      <c r="J4277" s="115"/>
      <c r="K4277" s="115"/>
      <c r="L4277" s="115"/>
      <c r="M4277" s="115"/>
      <c r="N4277" s="115"/>
      <c r="O4277" s="115"/>
    </row>
    <row r="4278">
      <c r="E4278" s="115"/>
      <c r="F4278" s="115"/>
      <c r="G4278" s="115"/>
      <c r="H4278" s="115"/>
      <c r="I4278" s="115"/>
      <c r="J4278" s="115"/>
      <c r="K4278" s="115"/>
      <c r="L4278" s="115"/>
      <c r="M4278" s="115"/>
      <c r="N4278" s="115"/>
      <c r="O4278" s="115"/>
    </row>
    <row r="4279">
      <c r="E4279" s="115"/>
      <c r="F4279" s="115"/>
      <c r="G4279" s="115"/>
      <c r="H4279" s="115"/>
      <c r="I4279" s="115"/>
      <c r="J4279" s="115"/>
      <c r="K4279" s="115"/>
      <c r="L4279" s="115"/>
      <c r="M4279" s="115"/>
      <c r="N4279" s="115"/>
      <c r="O4279" s="115"/>
    </row>
    <row r="4280">
      <c r="E4280" s="115"/>
      <c r="F4280" s="115"/>
      <c r="G4280" s="115"/>
      <c r="H4280" s="115"/>
      <c r="I4280" s="115"/>
      <c r="J4280" s="115"/>
      <c r="K4280" s="115"/>
      <c r="L4280" s="115"/>
      <c r="M4280" s="115"/>
      <c r="N4280" s="115"/>
      <c r="O4280" s="115"/>
    </row>
    <row r="4281">
      <c r="E4281" s="115"/>
      <c r="F4281" s="115"/>
      <c r="G4281" s="115"/>
      <c r="H4281" s="115"/>
      <c r="I4281" s="115"/>
      <c r="J4281" s="115"/>
      <c r="K4281" s="115"/>
      <c r="L4281" s="115"/>
      <c r="M4281" s="115"/>
      <c r="N4281" s="115"/>
      <c r="O4281" s="115"/>
    </row>
    <row r="4282">
      <c r="E4282" s="115"/>
      <c r="F4282" s="115"/>
      <c r="G4282" s="115"/>
      <c r="H4282" s="115"/>
      <c r="I4282" s="115"/>
      <c r="J4282" s="115"/>
      <c r="K4282" s="115"/>
      <c r="L4282" s="115"/>
      <c r="M4282" s="115"/>
      <c r="N4282" s="115"/>
      <c r="O4282" s="115"/>
    </row>
    <row r="4283">
      <c r="E4283" s="115"/>
      <c r="F4283" s="115"/>
      <c r="G4283" s="115"/>
      <c r="H4283" s="115"/>
      <c r="I4283" s="115"/>
      <c r="J4283" s="115"/>
      <c r="K4283" s="115"/>
      <c r="L4283" s="115"/>
      <c r="M4283" s="115"/>
      <c r="N4283" s="115"/>
      <c r="O4283" s="115"/>
    </row>
    <row r="4284">
      <c r="E4284" s="115"/>
      <c r="F4284" s="115"/>
      <c r="G4284" s="115"/>
      <c r="H4284" s="115"/>
      <c r="I4284" s="115"/>
      <c r="J4284" s="115"/>
      <c r="K4284" s="115"/>
      <c r="L4284" s="115"/>
      <c r="M4284" s="115"/>
      <c r="N4284" s="115"/>
      <c r="O4284" s="115"/>
    </row>
    <row r="4285">
      <c r="E4285" s="115"/>
      <c r="F4285" s="115"/>
      <c r="G4285" s="115"/>
      <c r="H4285" s="115"/>
      <c r="I4285" s="115"/>
      <c r="J4285" s="115"/>
      <c r="K4285" s="115"/>
      <c r="L4285" s="115"/>
      <c r="M4285" s="115"/>
      <c r="N4285" s="115"/>
      <c r="O4285" s="115"/>
    </row>
    <row r="4286">
      <c r="E4286" s="115"/>
      <c r="F4286" s="115"/>
      <c r="G4286" s="115"/>
      <c r="H4286" s="115"/>
      <c r="I4286" s="115"/>
      <c r="J4286" s="115"/>
      <c r="K4286" s="115"/>
      <c r="L4286" s="115"/>
      <c r="M4286" s="115"/>
      <c r="N4286" s="115"/>
      <c r="O4286" s="115"/>
    </row>
    <row r="4287">
      <c r="E4287" s="115"/>
      <c r="F4287" s="115"/>
      <c r="G4287" s="115"/>
      <c r="H4287" s="115"/>
      <c r="I4287" s="115"/>
      <c r="J4287" s="115"/>
      <c r="K4287" s="115"/>
      <c r="L4287" s="115"/>
      <c r="M4287" s="115"/>
      <c r="N4287" s="115"/>
      <c r="O4287" s="115"/>
    </row>
    <row r="4288">
      <c r="E4288" s="115"/>
      <c r="F4288" s="115"/>
      <c r="G4288" s="115"/>
      <c r="H4288" s="115"/>
      <c r="I4288" s="115"/>
      <c r="J4288" s="115"/>
      <c r="K4288" s="115"/>
      <c r="L4288" s="115"/>
      <c r="M4288" s="115"/>
      <c r="N4288" s="115"/>
      <c r="O4288" s="115"/>
    </row>
    <row r="4289">
      <c r="E4289" s="115"/>
      <c r="F4289" s="115"/>
      <c r="G4289" s="115"/>
      <c r="H4289" s="115"/>
      <c r="I4289" s="115"/>
      <c r="J4289" s="115"/>
      <c r="K4289" s="115"/>
      <c r="L4289" s="115"/>
      <c r="M4289" s="115"/>
      <c r="N4289" s="115"/>
      <c r="O4289" s="115"/>
    </row>
    <row r="4290">
      <c r="E4290" s="115"/>
      <c r="F4290" s="115"/>
      <c r="G4290" s="115"/>
      <c r="H4290" s="115"/>
      <c r="I4290" s="115"/>
      <c r="J4290" s="115"/>
      <c r="K4290" s="115"/>
      <c r="L4290" s="115"/>
      <c r="M4290" s="115"/>
      <c r="N4290" s="115"/>
      <c r="O4290" s="115"/>
    </row>
    <row r="4291">
      <c r="E4291" s="115"/>
      <c r="F4291" s="115"/>
      <c r="G4291" s="115"/>
      <c r="H4291" s="115"/>
      <c r="I4291" s="115"/>
      <c r="J4291" s="115"/>
      <c r="K4291" s="115"/>
      <c r="L4291" s="115"/>
      <c r="M4291" s="115"/>
      <c r="N4291" s="115"/>
      <c r="O4291" s="115"/>
    </row>
    <row r="4292">
      <c r="E4292" s="115"/>
      <c r="F4292" s="115"/>
      <c r="G4292" s="115"/>
      <c r="H4292" s="115"/>
      <c r="I4292" s="115"/>
      <c r="J4292" s="115"/>
      <c r="K4292" s="115"/>
      <c r="L4292" s="115"/>
      <c r="M4292" s="115"/>
      <c r="N4292" s="115"/>
      <c r="O4292" s="115"/>
    </row>
    <row r="4293">
      <c r="E4293" s="115"/>
      <c r="F4293" s="115"/>
      <c r="G4293" s="115"/>
      <c r="H4293" s="115"/>
      <c r="I4293" s="115"/>
      <c r="J4293" s="115"/>
      <c r="K4293" s="115"/>
      <c r="L4293" s="115"/>
      <c r="M4293" s="115"/>
      <c r="N4293" s="115"/>
      <c r="O4293" s="115"/>
    </row>
    <row r="4294">
      <c r="E4294" s="115"/>
      <c r="F4294" s="115"/>
      <c r="G4294" s="115"/>
      <c r="H4294" s="115"/>
      <c r="I4294" s="115"/>
      <c r="J4294" s="115"/>
      <c r="K4294" s="115"/>
      <c r="L4294" s="115"/>
      <c r="M4294" s="115"/>
      <c r="N4294" s="115"/>
      <c r="O4294" s="115"/>
    </row>
    <row r="4295">
      <c r="E4295" s="115"/>
      <c r="F4295" s="115"/>
      <c r="G4295" s="115"/>
      <c r="H4295" s="115"/>
      <c r="I4295" s="115"/>
      <c r="J4295" s="115"/>
      <c r="K4295" s="115"/>
      <c r="L4295" s="115"/>
      <c r="M4295" s="115"/>
      <c r="N4295" s="115"/>
      <c r="O4295" s="115"/>
    </row>
    <row r="4296">
      <c r="E4296" s="115"/>
      <c r="F4296" s="115"/>
      <c r="G4296" s="115"/>
      <c r="H4296" s="115"/>
      <c r="I4296" s="115"/>
      <c r="J4296" s="115"/>
      <c r="K4296" s="115"/>
      <c r="L4296" s="115"/>
      <c r="M4296" s="115"/>
      <c r="N4296" s="115"/>
      <c r="O4296" s="115"/>
    </row>
    <row r="4297">
      <c r="E4297" s="115"/>
      <c r="F4297" s="115"/>
      <c r="G4297" s="115"/>
      <c r="H4297" s="115"/>
      <c r="I4297" s="115"/>
      <c r="J4297" s="115"/>
      <c r="K4297" s="115"/>
      <c r="L4297" s="115"/>
      <c r="M4297" s="115"/>
      <c r="N4297" s="115"/>
      <c r="O4297" s="115"/>
    </row>
    <row r="4298">
      <c r="E4298" s="115"/>
      <c r="F4298" s="115"/>
      <c r="G4298" s="115"/>
      <c r="H4298" s="115"/>
      <c r="I4298" s="115"/>
      <c r="J4298" s="115"/>
      <c r="K4298" s="115"/>
      <c r="L4298" s="115"/>
      <c r="M4298" s="115"/>
      <c r="N4298" s="115"/>
      <c r="O4298" s="115"/>
    </row>
    <row r="4299">
      <c r="E4299" s="115"/>
      <c r="F4299" s="115"/>
      <c r="G4299" s="115"/>
      <c r="H4299" s="115"/>
      <c r="I4299" s="115"/>
      <c r="J4299" s="115"/>
      <c r="K4299" s="115"/>
      <c r="L4299" s="115"/>
      <c r="M4299" s="115"/>
      <c r="N4299" s="115"/>
      <c r="O4299" s="115"/>
    </row>
    <row r="4300">
      <c r="E4300" s="115"/>
      <c r="F4300" s="115"/>
      <c r="G4300" s="115"/>
      <c r="H4300" s="115"/>
      <c r="I4300" s="115"/>
      <c r="J4300" s="115"/>
      <c r="K4300" s="115"/>
      <c r="L4300" s="115"/>
      <c r="M4300" s="115"/>
      <c r="N4300" s="115"/>
      <c r="O4300" s="115"/>
    </row>
    <row r="4301">
      <c r="E4301" s="115"/>
      <c r="F4301" s="115"/>
      <c r="G4301" s="115"/>
      <c r="H4301" s="115"/>
      <c r="I4301" s="115"/>
      <c r="J4301" s="115"/>
      <c r="K4301" s="115"/>
      <c r="L4301" s="115"/>
      <c r="M4301" s="115"/>
      <c r="N4301" s="115"/>
      <c r="O4301" s="115"/>
    </row>
    <row r="4302">
      <c r="E4302" s="115"/>
      <c r="F4302" s="115"/>
      <c r="G4302" s="115"/>
      <c r="H4302" s="115"/>
      <c r="I4302" s="115"/>
      <c r="J4302" s="115"/>
      <c r="K4302" s="115"/>
      <c r="L4302" s="115"/>
      <c r="M4302" s="115"/>
      <c r="N4302" s="115"/>
      <c r="O4302" s="115"/>
    </row>
    <row r="4303">
      <c r="E4303" s="115"/>
      <c r="F4303" s="115"/>
      <c r="G4303" s="115"/>
      <c r="H4303" s="115"/>
      <c r="I4303" s="115"/>
      <c r="J4303" s="115"/>
      <c r="K4303" s="115"/>
      <c r="L4303" s="115"/>
      <c r="M4303" s="115"/>
      <c r="N4303" s="115"/>
      <c r="O4303" s="115"/>
    </row>
    <row r="4304">
      <c r="E4304" s="115"/>
      <c r="F4304" s="115"/>
      <c r="G4304" s="115"/>
      <c r="H4304" s="115"/>
      <c r="I4304" s="115"/>
      <c r="J4304" s="115"/>
      <c r="K4304" s="115"/>
      <c r="L4304" s="115"/>
      <c r="M4304" s="115"/>
      <c r="N4304" s="115"/>
      <c r="O4304" s="115"/>
    </row>
    <row r="4305">
      <c r="E4305" s="115"/>
      <c r="F4305" s="115"/>
      <c r="G4305" s="115"/>
      <c r="H4305" s="115"/>
      <c r="I4305" s="115"/>
      <c r="J4305" s="115"/>
      <c r="K4305" s="115"/>
      <c r="L4305" s="115"/>
      <c r="M4305" s="115"/>
      <c r="N4305" s="115"/>
      <c r="O4305" s="115"/>
    </row>
    <row r="4306">
      <c r="E4306" s="115"/>
      <c r="F4306" s="115"/>
      <c r="G4306" s="115"/>
      <c r="H4306" s="115"/>
      <c r="I4306" s="115"/>
      <c r="J4306" s="115"/>
      <c r="K4306" s="115"/>
      <c r="L4306" s="115"/>
      <c r="M4306" s="115"/>
      <c r="N4306" s="115"/>
      <c r="O4306" s="115"/>
    </row>
    <row r="4307">
      <c r="E4307" s="115"/>
      <c r="F4307" s="115"/>
      <c r="G4307" s="115"/>
      <c r="H4307" s="115"/>
      <c r="I4307" s="115"/>
      <c r="J4307" s="115"/>
      <c r="K4307" s="115"/>
      <c r="L4307" s="115"/>
      <c r="M4307" s="115"/>
      <c r="N4307" s="115"/>
      <c r="O4307" s="115"/>
    </row>
    <row r="4308">
      <c r="E4308" s="115"/>
      <c r="F4308" s="115"/>
      <c r="G4308" s="115"/>
      <c r="H4308" s="115"/>
      <c r="I4308" s="115"/>
      <c r="J4308" s="115"/>
      <c r="K4308" s="115"/>
      <c r="L4308" s="115"/>
      <c r="M4308" s="115"/>
      <c r="N4308" s="115"/>
      <c r="O4308" s="115"/>
    </row>
    <row r="4309">
      <c r="E4309" s="115"/>
      <c r="F4309" s="115"/>
      <c r="G4309" s="115"/>
      <c r="H4309" s="115"/>
      <c r="I4309" s="115"/>
      <c r="J4309" s="115"/>
      <c r="K4309" s="115"/>
      <c r="L4309" s="115"/>
      <c r="M4309" s="115"/>
      <c r="N4309" s="115"/>
      <c r="O4309" s="115"/>
    </row>
    <row r="4310">
      <c r="E4310" s="115"/>
      <c r="F4310" s="115"/>
      <c r="G4310" s="115"/>
      <c r="H4310" s="115"/>
      <c r="I4310" s="115"/>
      <c r="J4310" s="115"/>
      <c r="K4310" s="115"/>
      <c r="L4310" s="115"/>
      <c r="M4310" s="115"/>
      <c r="N4310" s="115"/>
      <c r="O4310" s="115"/>
    </row>
    <row r="4311">
      <c r="E4311" s="115"/>
      <c r="F4311" s="115"/>
      <c r="G4311" s="115"/>
      <c r="H4311" s="115"/>
      <c r="I4311" s="115"/>
      <c r="J4311" s="115"/>
      <c r="K4311" s="115"/>
      <c r="L4311" s="115"/>
      <c r="M4311" s="115"/>
      <c r="N4311" s="115"/>
      <c r="O4311" s="115"/>
    </row>
    <row r="4312">
      <c r="E4312" s="115"/>
      <c r="F4312" s="115"/>
      <c r="G4312" s="115"/>
      <c r="H4312" s="115"/>
      <c r="I4312" s="115"/>
      <c r="J4312" s="115"/>
      <c r="K4312" s="115"/>
      <c r="L4312" s="115"/>
      <c r="M4312" s="115"/>
      <c r="N4312" s="115"/>
      <c r="O4312" s="115"/>
    </row>
    <row r="4313">
      <c r="E4313" s="115"/>
      <c r="F4313" s="115"/>
      <c r="G4313" s="115"/>
      <c r="H4313" s="115"/>
      <c r="I4313" s="115"/>
      <c r="J4313" s="115"/>
      <c r="K4313" s="115"/>
      <c r="L4313" s="115"/>
      <c r="M4313" s="115"/>
      <c r="N4313" s="115"/>
      <c r="O4313" s="115"/>
    </row>
    <row r="4314">
      <c r="E4314" s="115"/>
      <c r="F4314" s="115"/>
      <c r="G4314" s="115"/>
      <c r="H4314" s="115"/>
      <c r="I4314" s="115"/>
      <c r="J4314" s="115"/>
      <c r="K4314" s="115"/>
      <c r="L4314" s="115"/>
      <c r="M4314" s="115"/>
      <c r="N4314" s="115"/>
      <c r="O4314" s="115"/>
    </row>
    <row r="4315">
      <c r="E4315" s="115"/>
      <c r="F4315" s="115"/>
      <c r="G4315" s="115"/>
      <c r="H4315" s="115"/>
      <c r="I4315" s="115"/>
      <c r="J4315" s="115"/>
      <c r="K4315" s="115"/>
      <c r="L4315" s="115"/>
      <c r="M4315" s="115"/>
      <c r="N4315" s="115"/>
      <c r="O4315" s="115"/>
    </row>
    <row r="4316">
      <c r="E4316" s="115"/>
      <c r="F4316" s="115"/>
      <c r="G4316" s="115"/>
      <c r="H4316" s="115"/>
      <c r="I4316" s="115"/>
      <c r="J4316" s="115"/>
      <c r="K4316" s="115"/>
      <c r="L4316" s="115"/>
      <c r="M4316" s="115"/>
      <c r="N4316" s="115"/>
      <c r="O4316" s="115"/>
    </row>
    <row r="4317">
      <c r="E4317" s="115"/>
      <c r="F4317" s="115"/>
      <c r="G4317" s="115"/>
      <c r="H4317" s="115"/>
      <c r="I4317" s="115"/>
      <c r="J4317" s="115"/>
      <c r="K4317" s="115"/>
      <c r="L4317" s="115"/>
      <c r="M4317" s="115"/>
      <c r="N4317" s="115"/>
      <c r="O4317" s="115"/>
    </row>
    <row r="4318">
      <c r="E4318" s="115"/>
      <c r="F4318" s="115"/>
      <c r="G4318" s="115"/>
      <c r="H4318" s="115"/>
      <c r="I4318" s="115"/>
      <c r="J4318" s="115"/>
      <c r="K4318" s="115"/>
      <c r="L4318" s="115"/>
      <c r="M4318" s="115"/>
      <c r="N4318" s="115"/>
      <c r="O4318" s="115"/>
    </row>
    <row r="4319">
      <c r="E4319" s="115"/>
      <c r="F4319" s="115"/>
      <c r="G4319" s="115"/>
      <c r="H4319" s="115"/>
      <c r="I4319" s="115"/>
      <c r="J4319" s="115"/>
      <c r="K4319" s="115"/>
      <c r="L4319" s="115"/>
      <c r="M4319" s="115"/>
      <c r="N4319" s="115"/>
      <c r="O4319" s="115"/>
    </row>
    <row r="4320">
      <c r="E4320" s="115"/>
      <c r="F4320" s="115"/>
      <c r="G4320" s="115"/>
      <c r="H4320" s="115"/>
      <c r="I4320" s="115"/>
      <c r="J4320" s="115"/>
      <c r="K4320" s="115"/>
      <c r="L4320" s="115"/>
      <c r="M4320" s="115"/>
      <c r="N4320" s="115"/>
      <c r="O4320" s="115"/>
    </row>
    <row r="4321">
      <c r="E4321" s="115"/>
      <c r="F4321" s="115"/>
      <c r="G4321" s="115"/>
      <c r="H4321" s="115"/>
      <c r="I4321" s="115"/>
      <c r="J4321" s="115"/>
      <c r="K4321" s="115"/>
      <c r="L4321" s="115"/>
      <c r="M4321" s="115"/>
      <c r="N4321" s="115"/>
      <c r="O4321" s="115"/>
    </row>
    <row r="4322">
      <c r="E4322" s="115"/>
      <c r="F4322" s="115"/>
      <c r="G4322" s="115"/>
      <c r="H4322" s="115"/>
      <c r="I4322" s="115"/>
      <c r="J4322" s="115"/>
      <c r="K4322" s="115"/>
      <c r="L4322" s="115"/>
      <c r="M4322" s="115"/>
      <c r="N4322" s="115"/>
      <c r="O4322" s="115"/>
    </row>
    <row r="4323">
      <c r="E4323" s="115"/>
      <c r="F4323" s="115"/>
      <c r="G4323" s="115"/>
      <c r="H4323" s="115"/>
      <c r="I4323" s="115"/>
      <c r="J4323" s="115"/>
      <c r="K4323" s="115"/>
      <c r="L4323" s="115"/>
      <c r="M4323" s="115"/>
      <c r="N4323" s="115"/>
      <c r="O4323" s="115"/>
    </row>
    <row r="4324">
      <c r="E4324" s="115"/>
      <c r="F4324" s="115"/>
      <c r="G4324" s="115"/>
      <c r="H4324" s="115"/>
      <c r="I4324" s="115"/>
      <c r="J4324" s="115"/>
      <c r="K4324" s="115"/>
      <c r="L4324" s="115"/>
      <c r="M4324" s="115"/>
      <c r="N4324" s="115"/>
      <c r="O4324" s="115"/>
    </row>
    <row r="4325">
      <c r="E4325" s="115"/>
      <c r="F4325" s="115"/>
      <c r="G4325" s="115"/>
      <c r="H4325" s="115"/>
      <c r="I4325" s="115"/>
      <c r="J4325" s="115"/>
      <c r="K4325" s="115"/>
      <c r="L4325" s="115"/>
      <c r="M4325" s="115"/>
      <c r="N4325" s="115"/>
      <c r="O4325" s="115"/>
    </row>
    <row r="4326">
      <c r="E4326" s="115"/>
      <c r="F4326" s="115"/>
      <c r="G4326" s="115"/>
      <c r="H4326" s="115"/>
      <c r="I4326" s="115"/>
      <c r="J4326" s="115"/>
      <c r="K4326" s="115"/>
      <c r="L4326" s="115"/>
      <c r="M4326" s="115"/>
      <c r="N4326" s="115"/>
      <c r="O4326" s="115"/>
    </row>
    <row r="4327">
      <c r="E4327" s="115"/>
      <c r="F4327" s="115"/>
      <c r="G4327" s="115"/>
      <c r="H4327" s="115"/>
      <c r="I4327" s="115"/>
      <c r="J4327" s="115"/>
      <c r="K4327" s="115"/>
      <c r="L4327" s="115"/>
      <c r="M4327" s="115"/>
      <c r="N4327" s="115"/>
      <c r="O4327" s="115"/>
    </row>
    <row r="4328">
      <c r="E4328" s="115"/>
      <c r="F4328" s="115"/>
      <c r="G4328" s="115"/>
      <c r="H4328" s="115"/>
      <c r="I4328" s="115"/>
      <c r="J4328" s="115"/>
      <c r="K4328" s="115"/>
      <c r="L4328" s="115"/>
      <c r="M4328" s="115"/>
      <c r="N4328" s="115"/>
      <c r="O4328" s="115"/>
    </row>
    <row r="4329">
      <c r="E4329" s="115"/>
      <c r="F4329" s="115"/>
      <c r="G4329" s="115"/>
      <c r="H4329" s="115"/>
      <c r="I4329" s="115"/>
      <c r="J4329" s="115"/>
      <c r="K4329" s="115"/>
      <c r="L4329" s="115"/>
      <c r="M4329" s="115"/>
      <c r="N4329" s="115"/>
      <c r="O4329" s="115"/>
    </row>
    <row r="4330">
      <c r="E4330" s="115"/>
      <c r="F4330" s="115"/>
      <c r="G4330" s="115"/>
      <c r="H4330" s="115"/>
      <c r="I4330" s="115"/>
      <c r="J4330" s="115"/>
      <c r="K4330" s="115"/>
      <c r="L4330" s="115"/>
      <c r="M4330" s="115"/>
      <c r="N4330" s="115"/>
      <c r="O4330" s="115"/>
    </row>
    <row r="4331">
      <c r="E4331" s="115"/>
      <c r="F4331" s="115"/>
      <c r="G4331" s="115"/>
      <c r="H4331" s="115"/>
      <c r="I4331" s="115"/>
      <c r="J4331" s="115"/>
      <c r="K4331" s="115"/>
      <c r="L4331" s="115"/>
      <c r="M4331" s="115"/>
      <c r="N4331" s="115"/>
      <c r="O4331" s="115"/>
    </row>
    <row r="4332">
      <c r="E4332" s="115"/>
      <c r="F4332" s="115"/>
      <c r="G4332" s="115"/>
      <c r="H4332" s="115"/>
      <c r="I4332" s="115"/>
      <c r="J4332" s="115"/>
      <c r="K4332" s="115"/>
      <c r="L4332" s="115"/>
      <c r="M4332" s="115"/>
      <c r="N4332" s="115"/>
      <c r="O4332" s="115"/>
    </row>
    <row r="4333">
      <c r="E4333" s="115"/>
      <c r="F4333" s="115"/>
      <c r="G4333" s="115"/>
      <c r="H4333" s="115"/>
      <c r="I4333" s="115"/>
      <c r="J4333" s="115"/>
      <c r="K4333" s="115"/>
      <c r="L4333" s="115"/>
      <c r="M4333" s="115"/>
      <c r="N4333" s="115"/>
      <c r="O4333" s="115"/>
    </row>
    <row r="4334">
      <c r="E4334" s="115"/>
      <c r="F4334" s="115"/>
      <c r="G4334" s="115"/>
      <c r="H4334" s="115"/>
      <c r="I4334" s="115"/>
      <c r="J4334" s="115"/>
      <c r="K4334" s="115"/>
      <c r="L4334" s="115"/>
      <c r="M4334" s="115"/>
      <c r="N4334" s="115"/>
      <c r="O4334" s="115"/>
    </row>
    <row r="4335">
      <c r="E4335" s="115"/>
      <c r="F4335" s="115"/>
      <c r="G4335" s="115"/>
      <c r="H4335" s="115"/>
      <c r="I4335" s="115"/>
      <c r="J4335" s="115"/>
      <c r="K4335" s="115"/>
      <c r="L4335" s="115"/>
      <c r="M4335" s="115"/>
      <c r="N4335" s="115"/>
      <c r="O4335" s="115"/>
    </row>
    <row r="4336">
      <c r="E4336" s="115"/>
      <c r="F4336" s="115"/>
      <c r="G4336" s="115"/>
      <c r="H4336" s="115"/>
      <c r="I4336" s="115"/>
      <c r="J4336" s="115"/>
      <c r="K4336" s="115"/>
      <c r="L4336" s="115"/>
      <c r="M4336" s="115"/>
      <c r="N4336" s="115"/>
      <c r="O4336" s="115"/>
    </row>
    <row r="4337">
      <c r="E4337" s="115"/>
      <c r="F4337" s="115"/>
      <c r="G4337" s="115"/>
      <c r="H4337" s="115"/>
      <c r="I4337" s="115"/>
      <c r="J4337" s="115"/>
      <c r="K4337" s="115"/>
      <c r="L4337" s="115"/>
      <c r="M4337" s="115"/>
      <c r="N4337" s="115"/>
      <c r="O4337" s="115"/>
    </row>
    <row r="4338">
      <c r="E4338" s="115"/>
      <c r="F4338" s="115"/>
      <c r="G4338" s="115"/>
      <c r="H4338" s="115"/>
      <c r="I4338" s="115"/>
      <c r="J4338" s="115"/>
      <c r="K4338" s="115"/>
      <c r="L4338" s="115"/>
      <c r="M4338" s="115"/>
      <c r="N4338" s="115"/>
      <c r="O4338" s="115"/>
    </row>
    <row r="4339">
      <c r="E4339" s="115"/>
      <c r="F4339" s="115"/>
      <c r="G4339" s="115"/>
      <c r="H4339" s="115"/>
      <c r="I4339" s="115"/>
      <c r="J4339" s="115"/>
      <c r="K4339" s="115"/>
      <c r="L4339" s="115"/>
      <c r="M4339" s="115"/>
      <c r="N4339" s="115"/>
      <c r="O4339" s="115"/>
    </row>
    <row r="4340">
      <c r="E4340" s="115"/>
      <c r="F4340" s="115"/>
      <c r="G4340" s="115"/>
      <c r="H4340" s="115"/>
      <c r="I4340" s="115"/>
      <c r="J4340" s="115"/>
      <c r="K4340" s="115"/>
      <c r="L4340" s="115"/>
      <c r="M4340" s="115"/>
      <c r="N4340" s="115"/>
      <c r="O4340" s="115"/>
    </row>
    <row r="4341">
      <c r="E4341" s="115"/>
      <c r="F4341" s="115"/>
      <c r="G4341" s="115"/>
      <c r="H4341" s="115"/>
      <c r="I4341" s="115"/>
      <c r="J4341" s="115"/>
      <c r="K4341" s="115"/>
      <c r="L4341" s="115"/>
      <c r="M4341" s="115"/>
      <c r="N4341" s="115"/>
      <c r="O4341" s="115"/>
    </row>
    <row r="4342">
      <c r="E4342" s="115"/>
      <c r="F4342" s="115"/>
      <c r="G4342" s="115"/>
      <c r="H4342" s="115"/>
      <c r="I4342" s="115"/>
      <c r="J4342" s="115"/>
      <c r="K4342" s="115"/>
      <c r="L4342" s="115"/>
      <c r="M4342" s="115"/>
      <c r="N4342" s="115"/>
      <c r="O4342" s="115"/>
    </row>
    <row r="4343">
      <c r="E4343" s="115"/>
      <c r="F4343" s="115"/>
      <c r="G4343" s="115"/>
      <c r="H4343" s="115"/>
      <c r="I4343" s="115"/>
      <c r="J4343" s="115"/>
      <c r="K4343" s="115"/>
      <c r="L4343" s="115"/>
      <c r="M4343" s="115"/>
      <c r="N4343" s="115"/>
      <c r="O4343" s="115"/>
    </row>
    <row r="4344">
      <c r="E4344" s="115"/>
      <c r="F4344" s="115"/>
      <c r="G4344" s="115"/>
      <c r="H4344" s="115"/>
      <c r="I4344" s="115"/>
      <c r="J4344" s="115"/>
      <c r="K4344" s="115"/>
      <c r="L4344" s="115"/>
      <c r="M4344" s="115"/>
      <c r="N4344" s="115"/>
      <c r="O4344" s="115"/>
    </row>
    <row r="4345">
      <c r="E4345" s="115"/>
      <c r="F4345" s="115"/>
      <c r="G4345" s="115"/>
      <c r="H4345" s="115"/>
      <c r="I4345" s="115"/>
      <c r="J4345" s="115"/>
      <c r="K4345" s="115"/>
      <c r="L4345" s="115"/>
      <c r="M4345" s="115"/>
      <c r="N4345" s="115"/>
      <c r="O4345" s="115"/>
    </row>
    <row r="4346">
      <c r="E4346" s="115"/>
      <c r="F4346" s="115"/>
      <c r="G4346" s="115"/>
      <c r="H4346" s="115"/>
      <c r="I4346" s="115"/>
      <c r="J4346" s="115"/>
      <c r="K4346" s="115"/>
      <c r="L4346" s="115"/>
      <c r="M4346" s="115"/>
      <c r="N4346" s="115"/>
      <c r="O4346" s="115"/>
    </row>
    <row r="4347">
      <c r="E4347" s="115"/>
      <c r="F4347" s="115"/>
      <c r="G4347" s="115"/>
      <c r="H4347" s="115"/>
      <c r="I4347" s="115"/>
      <c r="J4347" s="115"/>
      <c r="K4347" s="115"/>
      <c r="L4347" s="115"/>
      <c r="M4347" s="115"/>
      <c r="N4347" s="115"/>
      <c r="O4347" s="115"/>
    </row>
    <row r="4348">
      <c r="E4348" s="115"/>
      <c r="F4348" s="115"/>
      <c r="G4348" s="115"/>
      <c r="H4348" s="115"/>
      <c r="I4348" s="115"/>
      <c r="J4348" s="115"/>
      <c r="K4348" s="115"/>
      <c r="L4348" s="115"/>
      <c r="M4348" s="115"/>
      <c r="N4348" s="115"/>
      <c r="O4348" s="115"/>
    </row>
    <row r="4349">
      <c r="E4349" s="115"/>
      <c r="F4349" s="115"/>
      <c r="G4349" s="115"/>
      <c r="H4349" s="115"/>
      <c r="I4349" s="115"/>
      <c r="J4349" s="115"/>
      <c r="K4349" s="115"/>
      <c r="L4349" s="115"/>
      <c r="M4349" s="115"/>
      <c r="N4349" s="115"/>
      <c r="O4349" s="115"/>
    </row>
    <row r="4350">
      <c r="E4350" s="115"/>
      <c r="F4350" s="115"/>
      <c r="G4350" s="115"/>
      <c r="H4350" s="115"/>
      <c r="I4350" s="115"/>
      <c r="J4350" s="115"/>
      <c r="K4350" s="115"/>
      <c r="L4350" s="115"/>
      <c r="M4350" s="115"/>
      <c r="N4350" s="115"/>
      <c r="O4350" s="115"/>
    </row>
    <row r="4351">
      <c r="E4351" s="115"/>
      <c r="F4351" s="115"/>
      <c r="G4351" s="115"/>
      <c r="H4351" s="115"/>
      <c r="I4351" s="115"/>
      <c r="J4351" s="115"/>
      <c r="K4351" s="115"/>
      <c r="L4351" s="115"/>
      <c r="M4351" s="115"/>
      <c r="N4351" s="115"/>
      <c r="O4351" s="115"/>
    </row>
    <row r="4352">
      <c r="E4352" s="115"/>
      <c r="F4352" s="115"/>
      <c r="G4352" s="115"/>
      <c r="H4352" s="115"/>
      <c r="I4352" s="115"/>
      <c r="J4352" s="115"/>
      <c r="K4352" s="115"/>
      <c r="L4352" s="115"/>
      <c r="M4352" s="115"/>
      <c r="N4352" s="115"/>
      <c r="O4352" s="115"/>
    </row>
    <row r="4353">
      <c r="E4353" s="115"/>
      <c r="F4353" s="115"/>
      <c r="G4353" s="115"/>
      <c r="H4353" s="115"/>
      <c r="I4353" s="115"/>
      <c r="J4353" s="115"/>
      <c r="K4353" s="115"/>
      <c r="L4353" s="115"/>
      <c r="M4353" s="115"/>
      <c r="N4353" s="115"/>
      <c r="O4353" s="115"/>
    </row>
    <row r="4354">
      <c r="E4354" s="115"/>
      <c r="F4354" s="115"/>
      <c r="G4354" s="115"/>
      <c r="H4354" s="115"/>
      <c r="I4354" s="115"/>
      <c r="J4354" s="115"/>
      <c r="K4354" s="115"/>
      <c r="L4354" s="115"/>
      <c r="M4354" s="115"/>
      <c r="N4354" s="115"/>
      <c r="O4354" s="115"/>
    </row>
    <row r="4355">
      <c r="E4355" s="115"/>
      <c r="F4355" s="115"/>
      <c r="G4355" s="115"/>
      <c r="H4355" s="115"/>
      <c r="I4355" s="115"/>
      <c r="J4355" s="115"/>
      <c r="K4355" s="115"/>
      <c r="L4355" s="115"/>
      <c r="M4355" s="115"/>
      <c r="N4355" s="115"/>
      <c r="O4355" s="115"/>
    </row>
    <row r="4356">
      <c r="E4356" s="115"/>
      <c r="F4356" s="115"/>
      <c r="G4356" s="115"/>
      <c r="H4356" s="115"/>
      <c r="I4356" s="115"/>
      <c r="J4356" s="115"/>
      <c r="K4356" s="115"/>
      <c r="L4356" s="115"/>
      <c r="M4356" s="115"/>
      <c r="N4356" s="115"/>
      <c r="O4356" s="115"/>
    </row>
    <row r="4357">
      <c r="E4357" s="115"/>
      <c r="F4357" s="115"/>
      <c r="G4357" s="115"/>
      <c r="H4357" s="115"/>
      <c r="I4357" s="115"/>
      <c r="J4357" s="115"/>
      <c r="K4357" s="115"/>
      <c r="L4357" s="115"/>
      <c r="M4357" s="115"/>
      <c r="N4357" s="115"/>
      <c r="O4357" s="115"/>
    </row>
    <row r="4358">
      <c r="E4358" s="115"/>
      <c r="F4358" s="115"/>
      <c r="G4358" s="115"/>
      <c r="H4358" s="115"/>
      <c r="I4358" s="115"/>
      <c r="J4358" s="115"/>
      <c r="K4358" s="115"/>
      <c r="L4358" s="115"/>
      <c r="M4358" s="115"/>
      <c r="N4358" s="115"/>
      <c r="O4358" s="115"/>
    </row>
    <row r="4359">
      <c r="E4359" s="115"/>
      <c r="F4359" s="115"/>
      <c r="G4359" s="115"/>
      <c r="H4359" s="115"/>
      <c r="I4359" s="115"/>
      <c r="J4359" s="115"/>
      <c r="K4359" s="115"/>
      <c r="L4359" s="115"/>
      <c r="M4359" s="115"/>
      <c r="N4359" s="115"/>
      <c r="O4359" s="115"/>
    </row>
    <row r="4360">
      <c r="E4360" s="115"/>
      <c r="F4360" s="115"/>
      <c r="G4360" s="115"/>
      <c r="H4360" s="115"/>
      <c r="I4360" s="115"/>
      <c r="J4360" s="115"/>
      <c r="K4360" s="115"/>
      <c r="L4360" s="115"/>
      <c r="M4360" s="115"/>
      <c r="N4360" s="115"/>
      <c r="O4360" s="115"/>
    </row>
    <row r="4361">
      <c r="E4361" s="115"/>
      <c r="F4361" s="115"/>
      <c r="G4361" s="115"/>
      <c r="H4361" s="115"/>
      <c r="I4361" s="115"/>
      <c r="J4361" s="115"/>
      <c r="K4361" s="115"/>
      <c r="L4361" s="115"/>
      <c r="M4361" s="115"/>
      <c r="N4361" s="115"/>
      <c r="O4361" s="115"/>
    </row>
    <row r="4362">
      <c r="E4362" s="115"/>
      <c r="F4362" s="115"/>
      <c r="G4362" s="115"/>
      <c r="H4362" s="115"/>
      <c r="I4362" s="115"/>
      <c r="J4362" s="115"/>
      <c r="K4362" s="115"/>
      <c r="L4362" s="115"/>
      <c r="M4362" s="115"/>
      <c r="N4362" s="115"/>
      <c r="O4362" s="115"/>
    </row>
    <row r="4363">
      <c r="E4363" s="115"/>
      <c r="F4363" s="115"/>
      <c r="G4363" s="115"/>
      <c r="H4363" s="115"/>
      <c r="I4363" s="115"/>
      <c r="J4363" s="115"/>
      <c r="K4363" s="115"/>
      <c r="L4363" s="115"/>
      <c r="M4363" s="115"/>
      <c r="N4363" s="115"/>
      <c r="O4363" s="115"/>
    </row>
    <row r="4364">
      <c r="E4364" s="115"/>
      <c r="F4364" s="115"/>
      <c r="G4364" s="115"/>
      <c r="H4364" s="115"/>
      <c r="I4364" s="115"/>
      <c r="J4364" s="115"/>
      <c r="K4364" s="115"/>
      <c r="L4364" s="115"/>
      <c r="M4364" s="115"/>
      <c r="N4364" s="115"/>
      <c r="O4364" s="115"/>
    </row>
    <row r="4365">
      <c r="E4365" s="115"/>
      <c r="F4365" s="115"/>
      <c r="G4365" s="115"/>
      <c r="H4365" s="115"/>
      <c r="I4365" s="115"/>
      <c r="J4365" s="115"/>
      <c r="K4365" s="115"/>
      <c r="L4365" s="115"/>
      <c r="M4365" s="115"/>
      <c r="N4365" s="115"/>
      <c r="O4365" s="115"/>
    </row>
    <row r="4366">
      <c r="E4366" s="115"/>
      <c r="F4366" s="115"/>
      <c r="G4366" s="115"/>
      <c r="H4366" s="115"/>
      <c r="I4366" s="115"/>
      <c r="J4366" s="115"/>
      <c r="K4366" s="115"/>
      <c r="L4366" s="115"/>
      <c r="M4366" s="115"/>
      <c r="N4366" s="115"/>
      <c r="O4366" s="115"/>
    </row>
    <row r="4367">
      <c r="E4367" s="115"/>
      <c r="F4367" s="115"/>
      <c r="G4367" s="115"/>
      <c r="H4367" s="115"/>
      <c r="I4367" s="115"/>
      <c r="J4367" s="115"/>
      <c r="K4367" s="115"/>
      <c r="L4367" s="115"/>
      <c r="M4367" s="115"/>
      <c r="N4367" s="115"/>
      <c r="O4367" s="115"/>
    </row>
    <row r="4368">
      <c r="E4368" s="115"/>
      <c r="F4368" s="115"/>
      <c r="G4368" s="115"/>
      <c r="H4368" s="115"/>
      <c r="I4368" s="115"/>
      <c r="J4368" s="115"/>
      <c r="K4368" s="115"/>
      <c r="L4368" s="115"/>
      <c r="M4368" s="115"/>
      <c r="N4368" s="115"/>
      <c r="O4368" s="115"/>
    </row>
    <row r="4369">
      <c r="E4369" s="115"/>
      <c r="F4369" s="115"/>
      <c r="G4369" s="115"/>
      <c r="H4369" s="115"/>
      <c r="I4369" s="115"/>
      <c r="J4369" s="115"/>
      <c r="K4369" s="115"/>
      <c r="L4369" s="115"/>
      <c r="M4369" s="115"/>
      <c r="N4369" s="115"/>
      <c r="O4369" s="115"/>
    </row>
    <row r="4370">
      <c r="E4370" s="115"/>
      <c r="F4370" s="115"/>
      <c r="G4370" s="115"/>
      <c r="H4370" s="115"/>
      <c r="I4370" s="115"/>
      <c r="J4370" s="115"/>
      <c r="K4370" s="115"/>
      <c r="L4370" s="115"/>
      <c r="M4370" s="115"/>
      <c r="N4370" s="115"/>
      <c r="O4370" s="115"/>
    </row>
    <row r="4371">
      <c r="E4371" s="115"/>
      <c r="F4371" s="115"/>
      <c r="G4371" s="115"/>
      <c r="H4371" s="115"/>
      <c r="I4371" s="115"/>
      <c r="J4371" s="115"/>
      <c r="K4371" s="115"/>
      <c r="L4371" s="115"/>
      <c r="M4371" s="115"/>
      <c r="N4371" s="115"/>
      <c r="O4371" s="115"/>
    </row>
    <row r="4372">
      <c r="E4372" s="115"/>
      <c r="F4372" s="115"/>
      <c r="G4372" s="115"/>
      <c r="H4372" s="115"/>
      <c r="I4372" s="115"/>
      <c r="J4372" s="115"/>
      <c r="K4372" s="115"/>
      <c r="L4372" s="115"/>
      <c r="M4372" s="115"/>
      <c r="N4372" s="115"/>
      <c r="O4372" s="115"/>
    </row>
    <row r="4373">
      <c r="E4373" s="115"/>
      <c r="F4373" s="115"/>
      <c r="G4373" s="115"/>
      <c r="H4373" s="115"/>
      <c r="I4373" s="115"/>
      <c r="J4373" s="115"/>
      <c r="K4373" s="115"/>
      <c r="L4373" s="115"/>
      <c r="M4373" s="115"/>
      <c r="N4373" s="115"/>
      <c r="O4373" s="115"/>
    </row>
    <row r="4374">
      <c r="E4374" s="115"/>
      <c r="F4374" s="115"/>
      <c r="G4374" s="115"/>
      <c r="H4374" s="115"/>
      <c r="I4374" s="115"/>
      <c r="J4374" s="115"/>
      <c r="K4374" s="115"/>
      <c r="L4374" s="115"/>
      <c r="M4374" s="115"/>
      <c r="N4374" s="115"/>
      <c r="O4374" s="115"/>
    </row>
    <row r="4375">
      <c r="E4375" s="115"/>
      <c r="F4375" s="115"/>
      <c r="G4375" s="115"/>
      <c r="H4375" s="115"/>
      <c r="I4375" s="115"/>
      <c r="J4375" s="115"/>
      <c r="K4375" s="115"/>
      <c r="L4375" s="115"/>
      <c r="M4375" s="115"/>
      <c r="N4375" s="115"/>
      <c r="O4375" s="115"/>
    </row>
    <row r="4376">
      <c r="E4376" s="115"/>
      <c r="F4376" s="115"/>
      <c r="G4376" s="115"/>
      <c r="H4376" s="115"/>
      <c r="I4376" s="115"/>
      <c r="J4376" s="115"/>
      <c r="K4376" s="115"/>
      <c r="L4376" s="115"/>
      <c r="M4376" s="115"/>
      <c r="N4376" s="115"/>
      <c r="O4376" s="115"/>
    </row>
    <row r="4377">
      <c r="E4377" s="115"/>
      <c r="F4377" s="115"/>
      <c r="G4377" s="115"/>
      <c r="H4377" s="115"/>
      <c r="I4377" s="115"/>
      <c r="J4377" s="115"/>
      <c r="K4377" s="115"/>
      <c r="L4377" s="115"/>
      <c r="M4377" s="115"/>
      <c r="N4377" s="115"/>
      <c r="O4377" s="115"/>
    </row>
    <row r="4378">
      <c r="E4378" s="115"/>
      <c r="F4378" s="115"/>
      <c r="G4378" s="115"/>
      <c r="H4378" s="115"/>
      <c r="I4378" s="115"/>
      <c r="J4378" s="115"/>
      <c r="K4378" s="115"/>
      <c r="L4378" s="115"/>
      <c r="M4378" s="115"/>
      <c r="N4378" s="115"/>
      <c r="O4378" s="115"/>
    </row>
    <row r="4379">
      <c r="E4379" s="115"/>
      <c r="F4379" s="115"/>
      <c r="G4379" s="115"/>
      <c r="H4379" s="115"/>
      <c r="I4379" s="115"/>
      <c r="J4379" s="115"/>
      <c r="K4379" s="115"/>
      <c r="L4379" s="115"/>
      <c r="M4379" s="115"/>
      <c r="N4379" s="115"/>
      <c r="O4379" s="115"/>
    </row>
    <row r="4380">
      <c r="E4380" s="115"/>
      <c r="F4380" s="115"/>
      <c r="G4380" s="115"/>
      <c r="H4380" s="115"/>
      <c r="I4380" s="115"/>
      <c r="J4380" s="115"/>
      <c r="K4380" s="115"/>
      <c r="L4380" s="115"/>
      <c r="M4380" s="115"/>
      <c r="N4380" s="115"/>
      <c r="O4380" s="115"/>
    </row>
    <row r="4381">
      <c r="E4381" s="115"/>
      <c r="F4381" s="115"/>
      <c r="G4381" s="115"/>
      <c r="H4381" s="115"/>
      <c r="I4381" s="115"/>
      <c r="J4381" s="115"/>
      <c r="K4381" s="115"/>
      <c r="L4381" s="115"/>
      <c r="M4381" s="115"/>
      <c r="N4381" s="115"/>
      <c r="O4381" s="115"/>
    </row>
    <row r="4382">
      <c r="E4382" s="115"/>
      <c r="F4382" s="115"/>
      <c r="G4382" s="115"/>
      <c r="H4382" s="115"/>
      <c r="I4382" s="115"/>
      <c r="J4382" s="115"/>
      <c r="K4382" s="115"/>
      <c r="L4382" s="115"/>
      <c r="M4382" s="115"/>
      <c r="N4382" s="115"/>
      <c r="O4382" s="115"/>
    </row>
    <row r="4383">
      <c r="E4383" s="115"/>
      <c r="F4383" s="115"/>
      <c r="G4383" s="115"/>
      <c r="H4383" s="115"/>
      <c r="I4383" s="115"/>
      <c r="J4383" s="115"/>
      <c r="K4383" s="115"/>
      <c r="L4383" s="115"/>
      <c r="M4383" s="115"/>
      <c r="N4383" s="115"/>
      <c r="O4383" s="115"/>
    </row>
    <row r="4384">
      <c r="E4384" s="115"/>
      <c r="F4384" s="115"/>
      <c r="G4384" s="115"/>
      <c r="H4384" s="115"/>
      <c r="I4384" s="115"/>
      <c r="J4384" s="115"/>
      <c r="K4384" s="115"/>
      <c r="L4384" s="115"/>
      <c r="M4384" s="115"/>
      <c r="N4384" s="115"/>
      <c r="O4384" s="115"/>
    </row>
    <row r="4385">
      <c r="E4385" s="115"/>
      <c r="F4385" s="115"/>
      <c r="G4385" s="115"/>
      <c r="H4385" s="115"/>
      <c r="I4385" s="115"/>
      <c r="J4385" s="115"/>
      <c r="K4385" s="115"/>
      <c r="L4385" s="115"/>
      <c r="M4385" s="115"/>
      <c r="N4385" s="115"/>
      <c r="O4385" s="115"/>
    </row>
    <row r="4386">
      <c r="E4386" s="115"/>
      <c r="F4386" s="115"/>
      <c r="G4386" s="115"/>
      <c r="H4386" s="115"/>
      <c r="I4386" s="115"/>
      <c r="J4386" s="115"/>
      <c r="K4386" s="115"/>
      <c r="L4386" s="115"/>
      <c r="M4386" s="115"/>
      <c r="N4386" s="115"/>
      <c r="O4386" s="115"/>
    </row>
    <row r="4387">
      <c r="E4387" s="115"/>
      <c r="F4387" s="115"/>
      <c r="G4387" s="115"/>
      <c r="H4387" s="115"/>
      <c r="I4387" s="115"/>
      <c r="J4387" s="115"/>
      <c r="K4387" s="115"/>
      <c r="L4387" s="115"/>
      <c r="M4387" s="115"/>
      <c r="N4387" s="115"/>
      <c r="O4387" s="115"/>
    </row>
    <row r="4388">
      <c r="E4388" s="115"/>
      <c r="F4388" s="115"/>
      <c r="G4388" s="115"/>
      <c r="H4388" s="115"/>
      <c r="I4388" s="115"/>
      <c r="J4388" s="115"/>
      <c r="K4388" s="115"/>
      <c r="L4388" s="115"/>
      <c r="M4388" s="115"/>
      <c r="N4388" s="115"/>
      <c r="O4388" s="115"/>
    </row>
    <row r="4389">
      <c r="E4389" s="115"/>
      <c r="F4389" s="115"/>
      <c r="G4389" s="115"/>
      <c r="H4389" s="115"/>
      <c r="I4389" s="115"/>
      <c r="J4389" s="115"/>
      <c r="K4389" s="115"/>
      <c r="L4389" s="115"/>
      <c r="M4389" s="115"/>
      <c r="N4389" s="115"/>
      <c r="O4389" s="115"/>
    </row>
    <row r="4390">
      <c r="E4390" s="115"/>
      <c r="F4390" s="115"/>
      <c r="G4390" s="115"/>
      <c r="H4390" s="115"/>
      <c r="I4390" s="115"/>
      <c r="J4390" s="115"/>
      <c r="K4390" s="115"/>
      <c r="L4390" s="115"/>
      <c r="M4390" s="115"/>
      <c r="N4390" s="115"/>
      <c r="O4390" s="115"/>
    </row>
    <row r="4391">
      <c r="E4391" s="115"/>
      <c r="F4391" s="115"/>
      <c r="G4391" s="115"/>
      <c r="H4391" s="115"/>
      <c r="I4391" s="115"/>
      <c r="J4391" s="115"/>
      <c r="K4391" s="115"/>
      <c r="L4391" s="115"/>
      <c r="M4391" s="115"/>
      <c r="N4391" s="115"/>
      <c r="O4391" s="115"/>
    </row>
    <row r="4392">
      <c r="E4392" s="115"/>
      <c r="F4392" s="115"/>
      <c r="G4392" s="115"/>
      <c r="H4392" s="115"/>
      <c r="I4392" s="115"/>
      <c r="J4392" s="115"/>
      <c r="K4392" s="115"/>
      <c r="L4392" s="115"/>
      <c r="M4392" s="115"/>
      <c r="N4392" s="115"/>
      <c r="O4392" s="115"/>
    </row>
    <row r="4393">
      <c r="E4393" s="115"/>
      <c r="F4393" s="115"/>
      <c r="G4393" s="115"/>
      <c r="H4393" s="115"/>
      <c r="I4393" s="115"/>
      <c r="J4393" s="115"/>
      <c r="K4393" s="115"/>
      <c r="L4393" s="115"/>
      <c r="M4393" s="115"/>
      <c r="N4393" s="115"/>
      <c r="O4393" s="115"/>
    </row>
    <row r="4394">
      <c r="E4394" s="115"/>
      <c r="F4394" s="115"/>
      <c r="G4394" s="115"/>
      <c r="H4394" s="115"/>
      <c r="I4394" s="115"/>
      <c r="J4394" s="115"/>
      <c r="K4394" s="115"/>
      <c r="L4394" s="115"/>
      <c r="M4394" s="115"/>
      <c r="N4394" s="115"/>
      <c r="O4394" s="115"/>
    </row>
    <row r="4395">
      <c r="E4395" s="115"/>
      <c r="F4395" s="115"/>
      <c r="G4395" s="115"/>
      <c r="H4395" s="115"/>
      <c r="I4395" s="115"/>
      <c r="J4395" s="115"/>
      <c r="K4395" s="115"/>
      <c r="L4395" s="115"/>
      <c r="M4395" s="115"/>
      <c r="N4395" s="115"/>
      <c r="O4395" s="115"/>
    </row>
    <row r="4396">
      <c r="E4396" s="115"/>
      <c r="F4396" s="115"/>
      <c r="G4396" s="115"/>
      <c r="H4396" s="115"/>
      <c r="I4396" s="115"/>
      <c r="J4396" s="115"/>
      <c r="K4396" s="115"/>
      <c r="L4396" s="115"/>
      <c r="M4396" s="115"/>
      <c r="N4396" s="115"/>
      <c r="O4396" s="115"/>
    </row>
    <row r="4397">
      <c r="E4397" s="115"/>
      <c r="F4397" s="115"/>
      <c r="G4397" s="115"/>
      <c r="H4397" s="115"/>
      <c r="I4397" s="115"/>
      <c r="J4397" s="115"/>
      <c r="K4397" s="115"/>
      <c r="L4397" s="115"/>
      <c r="M4397" s="115"/>
      <c r="N4397" s="115"/>
      <c r="O4397" s="115"/>
    </row>
    <row r="4398">
      <c r="E4398" s="115"/>
      <c r="F4398" s="115"/>
      <c r="G4398" s="115"/>
      <c r="H4398" s="115"/>
      <c r="I4398" s="115"/>
      <c r="J4398" s="115"/>
      <c r="K4398" s="115"/>
      <c r="L4398" s="115"/>
      <c r="M4398" s="115"/>
      <c r="N4398" s="115"/>
      <c r="O4398" s="115"/>
    </row>
    <row r="4399">
      <c r="E4399" s="115"/>
      <c r="F4399" s="115"/>
      <c r="G4399" s="115"/>
      <c r="H4399" s="115"/>
      <c r="I4399" s="115"/>
      <c r="J4399" s="115"/>
      <c r="K4399" s="115"/>
      <c r="L4399" s="115"/>
      <c r="M4399" s="115"/>
      <c r="N4399" s="115"/>
      <c r="O4399" s="115"/>
    </row>
    <row r="4400">
      <c r="E4400" s="115"/>
      <c r="F4400" s="115"/>
      <c r="G4400" s="115"/>
      <c r="H4400" s="115"/>
      <c r="I4400" s="115"/>
      <c r="J4400" s="115"/>
      <c r="K4400" s="115"/>
      <c r="L4400" s="115"/>
      <c r="M4400" s="115"/>
      <c r="N4400" s="115"/>
      <c r="O4400" s="115"/>
    </row>
    <row r="4401">
      <c r="E4401" s="115"/>
      <c r="F4401" s="115"/>
      <c r="G4401" s="115"/>
      <c r="H4401" s="115"/>
      <c r="I4401" s="115"/>
      <c r="J4401" s="115"/>
      <c r="K4401" s="115"/>
      <c r="L4401" s="115"/>
      <c r="M4401" s="115"/>
      <c r="N4401" s="115"/>
      <c r="O4401" s="115"/>
    </row>
    <row r="4402">
      <c r="E4402" s="115"/>
      <c r="F4402" s="115"/>
      <c r="G4402" s="115"/>
      <c r="H4402" s="115"/>
      <c r="I4402" s="115"/>
      <c r="J4402" s="115"/>
      <c r="K4402" s="115"/>
      <c r="L4402" s="115"/>
      <c r="M4402" s="115"/>
      <c r="N4402" s="115"/>
      <c r="O4402" s="115"/>
    </row>
    <row r="4403">
      <c r="E4403" s="115"/>
      <c r="F4403" s="115"/>
      <c r="G4403" s="115"/>
      <c r="H4403" s="115"/>
      <c r="I4403" s="115"/>
      <c r="J4403" s="115"/>
      <c r="K4403" s="115"/>
      <c r="L4403" s="115"/>
      <c r="M4403" s="115"/>
      <c r="N4403" s="115"/>
      <c r="O4403" s="115"/>
    </row>
    <row r="4404">
      <c r="E4404" s="115"/>
      <c r="F4404" s="115"/>
      <c r="G4404" s="115"/>
      <c r="H4404" s="115"/>
      <c r="I4404" s="115"/>
      <c r="J4404" s="115"/>
      <c r="K4404" s="115"/>
      <c r="L4404" s="115"/>
      <c r="M4404" s="115"/>
      <c r="N4404" s="115"/>
      <c r="O4404" s="115"/>
    </row>
    <row r="4405">
      <c r="E4405" s="115"/>
      <c r="F4405" s="115"/>
      <c r="G4405" s="115"/>
      <c r="H4405" s="115"/>
      <c r="I4405" s="115"/>
      <c r="J4405" s="115"/>
      <c r="K4405" s="115"/>
      <c r="L4405" s="115"/>
      <c r="M4405" s="115"/>
      <c r="N4405" s="115"/>
      <c r="O4405" s="115"/>
    </row>
    <row r="4406">
      <c r="E4406" s="115"/>
      <c r="F4406" s="115"/>
      <c r="G4406" s="115"/>
      <c r="H4406" s="115"/>
      <c r="I4406" s="115"/>
      <c r="J4406" s="115"/>
      <c r="K4406" s="115"/>
      <c r="L4406" s="115"/>
      <c r="M4406" s="115"/>
      <c r="N4406" s="115"/>
      <c r="O4406" s="115"/>
    </row>
    <row r="4407">
      <c r="E4407" s="115"/>
      <c r="F4407" s="115"/>
      <c r="G4407" s="115"/>
      <c r="H4407" s="115"/>
      <c r="I4407" s="115"/>
      <c r="J4407" s="115"/>
      <c r="K4407" s="115"/>
      <c r="L4407" s="115"/>
      <c r="M4407" s="115"/>
      <c r="N4407" s="115"/>
      <c r="O4407" s="115"/>
    </row>
    <row r="4408">
      <c r="E4408" s="115"/>
      <c r="F4408" s="115"/>
      <c r="G4408" s="115"/>
      <c r="H4408" s="115"/>
      <c r="I4408" s="115"/>
      <c r="J4408" s="115"/>
      <c r="K4408" s="115"/>
      <c r="L4408" s="115"/>
      <c r="M4408" s="115"/>
      <c r="N4408" s="115"/>
      <c r="O4408" s="115"/>
    </row>
    <row r="4409">
      <c r="E4409" s="115"/>
      <c r="F4409" s="115"/>
      <c r="G4409" s="115"/>
      <c r="H4409" s="115"/>
      <c r="I4409" s="115"/>
      <c r="J4409" s="115"/>
      <c r="K4409" s="115"/>
      <c r="L4409" s="115"/>
      <c r="M4409" s="115"/>
      <c r="N4409" s="115"/>
      <c r="O4409" s="115"/>
    </row>
    <row r="4410">
      <c r="E4410" s="115"/>
      <c r="F4410" s="115"/>
      <c r="G4410" s="115"/>
      <c r="H4410" s="115"/>
      <c r="I4410" s="115"/>
      <c r="J4410" s="115"/>
      <c r="K4410" s="115"/>
      <c r="L4410" s="115"/>
      <c r="M4410" s="115"/>
      <c r="N4410" s="115"/>
      <c r="O4410" s="115"/>
    </row>
    <row r="4411">
      <c r="E4411" s="115"/>
      <c r="F4411" s="115"/>
      <c r="G4411" s="115"/>
      <c r="H4411" s="115"/>
      <c r="I4411" s="115"/>
      <c r="J4411" s="115"/>
      <c r="K4411" s="115"/>
      <c r="L4411" s="115"/>
      <c r="M4411" s="115"/>
      <c r="N4411" s="115"/>
      <c r="O4411" s="115"/>
    </row>
    <row r="4412">
      <c r="E4412" s="115"/>
      <c r="F4412" s="115"/>
      <c r="G4412" s="115"/>
      <c r="H4412" s="115"/>
      <c r="I4412" s="115"/>
      <c r="J4412" s="115"/>
      <c r="K4412" s="115"/>
      <c r="L4412" s="115"/>
      <c r="M4412" s="115"/>
      <c r="N4412" s="115"/>
      <c r="O4412" s="115"/>
    </row>
    <row r="4413">
      <c r="E4413" s="115"/>
      <c r="F4413" s="115"/>
      <c r="G4413" s="115"/>
      <c r="H4413" s="115"/>
      <c r="I4413" s="115"/>
      <c r="J4413" s="115"/>
      <c r="K4413" s="115"/>
      <c r="L4413" s="115"/>
      <c r="M4413" s="115"/>
      <c r="N4413" s="115"/>
      <c r="O4413" s="115"/>
    </row>
    <row r="4414">
      <c r="E4414" s="115"/>
      <c r="F4414" s="115"/>
      <c r="G4414" s="115"/>
      <c r="H4414" s="115"/>
      <c r="I4414" s="115"/>
      <c r="J4414" s="115"/>
      <c r="K4414" s="115"/>
      <c r="L4414" s="115"/>
      <c r="M4414" s="115"/>
      <c r="N4414" s="115"/>
      <c r="O4414" s="115"/>
    </row>
    <row r="4415">
      <c r="E4415" s="115"/>
      <c r="F4415" s="115"/>
      <c r="G4415" s="115"/>
      <c r="H4415" s="115"/>
      <c r="I4415" s="115"/>
      <c r="J4415" s="115"/>
      <c r="K4415" s="115"/>
      <c r="L4415" s="115"/>
      <c r="M4415" s="115"/>
      <c r="N4415" s="115"/>
      <c r="O4415" s="115"/>
    </row>
    <row r="4416">
      <c r="E4416" s="115"/>
      <c r="F4416" s="115"/>
      <c r="G4416" s="115"/>
      <c r="H4416" s="115"/>
      <c r="I4416" s="115"/>
      <c r="J4416" s="115"/>
      <c r="K4416" s="115"/>
      <c r="L4416" s="115"/>
      <c r="M4416" s="115"/>
      <c r="N4416" s="115"/>
      <c r="O4416" s="115"/>
    </row>
    <row r="4417">
      <c r="E4417" s="115"/>
      <c r="F4417" s="115"/>
      <c r="G4417" s="115"/>
      <c r="H4417" s="115"/>
      <c r="I4417" s="115"/>
      <c r="J4417" s="115"/>
      <c r="K4417" s="115"/>
      <c r="L4417" s="115"/>
      <c r="M4417" s="115"/>
      <c r="N4417" s="115"/>
      <c r="O4417" s="115"/>
    </row>
    <row r="4418">
      <c r="E4418" s="115"/>
      <c r="F4418" s="115"/>
      <c r="G4418" s="115"/>
      <c r="H4418" s="115"/>
      <c r="I4418" s="115"/>
      <c r="J4418" s="115"/>
      <c r="K4418" s="115"/>
      <c r="L4418" s="115"/>
      <c r="M4418" s="115"/>
      <c r="N4418" s="115"/>
      <c r="O4418" s="115"/>
    </row>
    <row r="4419">
      <c r="E4419" s="115"/>
      <c r="F4419" s="115"/>
      <c r="G4419" s="115"/>
      <c r="H4419" s="115"/>
      <c r="I4419" s="115"/>
      <c r="J4419" s="115"/>
      <c r="K4419" s="115"/>
      <c r="L4419" s="115"/>
      <c r="M4419" s="115"/>
      <c r="N4419" s="115"/>
      <c r="O4419" s="115"/>
    </row>
    <row r="4420">
      <c r="E4420" s="115"/>
      <c r="F4420" s="115"/>
      <c r="G4420" s="115"/>
      <c r="H4420" s="115"/>
      <c r="I4420" s="115"/>
      <c r="J4420" s="115"/>
      <c r="K4420" s="115"/>
      <c r="L4420" s="115"/>
      <c r="M4420" s="115"/>
      <c r="N4420" s="115"/>
      <c r="O4420" s="115"/>
    </row>
    <row r="4421">
      <c r="E4421" s="115"/>
      <c r="F4421" s="115"/>
      <c r="G4421" s="115"/>
      <c r="H4421" s="115"/>
      <c r="I4421" s="115"/>
      <c r="J4421" s="115"/>
      <c r="K4421" s="115"/>
      <c r="L4421" s="115"/>
      <c r="M4421" s="115"/>
      <c r="N4421" s="115"/>
      <c r="O4421" s="115"/>
    </row>
    <row r="4422">
      <c r="E4422" s="115"/>
      <c r="F4422" s="115"/>
      <c r="G4422" s="115"/>
      <c r="H4422" s="115"/>
      <c r="I4422" s="115"/>
      <c r="J4422" s="115"/>
      <c r="K4422" s="115"/>
      <c r="L4422" s="115"/>
      <c r="M4422" s="115"/>
      <c r="N4422" s="115"/>
      <c r="O4422" s="115"/>
    </row>
    <row r="4423">
      <c r="E4423" s="115"/>
      <c r="F4423" s="115"/>
      <c r="G4423" s="115"/>
      <c r="H4423" s="115"/>
      <c r="I4423" s="115"/>
      <c r="J4423" s="115"/>
      <c r="K4423" s="115"/>
      <c r="L4423" s="115"/>
      <c r="M4423" s="115"/>
      <c r="N4423" s="115"/>
      <c r="O4423" s="115"/>
    </row>
    <row r="4424">
      <c r="E4424" s="115"/>
      <c r="F4424" s="115"/>
      <c r="G4424" s="115"/>
      <c r="H4424" s="115"/>
      <c r="I4424" s="115"/>
      <c r="J4424" s="115"/>
      <c r="K4424" s="115"/>
      <c r="L4424" s="115"/>
      <c r="M4424" s="115"/>
      <c r="N4424" s="115"/>
      <c r="O4424" s="115"/>
    </row>
    <row r="4425">
      <c r="E4425" s="115"/>
      <c r="F4425" s="115"/>
      <c r="G4425" s="115"/>
      <c r="H4425" s="115"/>
      <c r="I4425" s="115"/>
      <c r="J4425" s="115"/>
      <c r="K4425" s="115"/>
      <c r="L4425" s="115"/>
      <c r="M4425" s="115"/>
      <c r="N4425" s="115"/>
      <c r="O4425" s="115"/>
    </row>
    <row r="4426">
      <c r="E4426" s="115"/>
      <c r="F4426" s="115"/>
      <c r="G4426" s="115"/>
      <c r="H4426" s="115"/>
      <c r="I4426" s="115"/>
      <c r="J4426" s="115"/>
      <c r="K4426" s="115"/>
      <c r="L4426" s="115"/>
      <c r="M4426" s="115"/>
      <c r="N4426" s="115"/>
      <c r="O4426" s="115"/>
    </row>
    <row r="4427">
      <c r="E4427" s="115"/>
      <c r="F4427" s="115"/>
      <c r="G4427" s="115"/>
      <c r="H4427" s="115"/>
      <c r="I4427" s="115"/>
      <c r="J4427" s="115"/>
      <c r="K4427" s="115"/>
      <c r="L4427" s="115"/>
      <c r="M4427" s="115"/>
      <c r="N4427" s="115"/>
      <c r="O4427" s="115"/>
    </row>
    <row r="4428">
      <c r="E4428" s="115"/>
      <c r="F4428" s="115"/>
      <c r="G4428" s="115"/>
      <c r="H4428" s="115"/>
      <c r="I4428" s="115"/>
      <c r="J4428" s="115"/>
      <c r="K4428" s="115"/>
      <c r="L4428" s="115"/>
      <c r="M4428" s="115"/>
      <c r="N4428" s="115"/>
      <c r="O4428" s="115"/>
    </row>
    <row r="4429">
      <c r="E4429" s="115"/>
      <c r="F4429" s="115"/>
      <c r="G4429" s="115"/>
      <c r="H4429" s="115"/>
      <c r="I4429" s="115"/>
      <c r="J4429" s="115"/>
      <c r="K4429" s="115"/>
      <c r="L4429" s="115"/>
      <c r="M4429" s="115"/>
      <c r="N4429" s="115"/>
      <c r="O4429" s="115"/>
    </row>
    <row r="4430">
      <c r="E4430" s="115"/>
      <c r="F4430" s="115"/>
      <c r="G4430" s="115"/>
      <c r="H4430" s="115"/>
      <c r="I4430" s="115"/>
      <c r="J4430" s="115"/>
      <c r="K4430" s="115"/>
      <c r="L4430" s="115"/>
      <c r="M4430" s="115"/>
      <c r="N4430" s="115"/>
      <c r="O4430" s="115"/>
    </row>
    <row r="4431">
      <c r="E4431" s="115"/>
      <c r="F4431" s="115"/>
      <c r="G4431" s="115"/>
      <c r="H4431" s="115"/>
      <c r="I4431" s="115"/>
      <c r="J4431" s="115"/>
      <c r="K4431" s="115"/>
      <c r="L4431" s="115"/>
      <c r="M4431" s="115"/>
      <c r="N4431" s="115"/>
      <c r="O4431" s="115"/>
    </row>
    <row r="4432">
      <c r="E4432" s="115"/>
      <c r="F4432" s="115"/>
      <c r="G4432" s="115"/>
      <c r="H4432" s="115"/>
      <c r="I4432" s="115"/>
      <c r="J4432" s="115"/>
      <c r="K4432" s="115"/>
      <c r="L4432" s="115"/>
      <c r="M4432" s="115"/>
      <c r="N4432" s="115"/>
      <c r="O4432" s="115"/>
    </row>
    <row r="4433">
      <c r="E4433" s="115"/>
      <c r="F4433" s="115"/>
      <c r="G4433" s="115"/>
      <c r="H4433" s="115"/>
      <c r="I4433" s="115"/>
      <c r="J4433" s="115"/>
      <c r="K4433" s="115"/>
      <c r="L4433" s="115"/>
      <c r="M4433" s="115"/>
      <c r="N4433" s="115"/>
      <c r="O4433" s="115"/>
    </row>
    <row r="4434">
      <c r="E4434" s="115"/>
      <c r="F4434" s="115"/>
      <c r="G4434" s="115"/>
      <c r="H4434" s="115"/>
      <c r="I4434" s="115"/>
      <c r="J4434" s="115"/>
      <c r="K4434" s="115"/>
      <c r="L4434" s="115"/>
      <c r="M4434" s="115"/>
      <c r="N4434" s="115"/>
      <c r="O4434" s="115"/>
    </row>
    <row r="4435">
      <c r="E4435" s="115"/>
      <c r="F4435" s="115"/>
      <c r="G4435" s="115"/>
      <c r="H4435" s="115"/>
      <c r="I4435" s="115"/>
      <c r="J4435" s="115"/>
      <c r="K4435" s="115"/>
      <c r="L4435" s="115"/>
      <c r="M4435" s="115"/>
      <c r="N4435" s="115"/>
      <c r="O4435" s="115"/>
    </row>
    <row r="4436">
      <c r="E4436" s="115"/>
      <c r="F4436" s="115"/>
      <c r="G4436" s="115"/>
      <c r="H4436" s="115"/>
      <c r="I4436" s="115"/>
      <c r="J4436" s="115"/>
      <c r="K4436" s="115"/>
      <c r="L4436" s="115"/>
      <c r="M4436" s="115"/>
      <c r="N4436" s="115"/>
      <c r="O4436" s="115"/>
    </row>
    <row r="4437">
      <c r="E4437" s="115"/>
      <c r="F4437" s="115"/>
      <c r="G4437" s="115"/>
      <c r="H4437" s="115"/>
      <c r="I4437" s="115"/>
      <c r="J4437" s="115"/>
      <c r="K4437" s="115"/>
      <c r="L4437" s="115"/>
      <c r="M4437" s="115"/>
      <c r="N4437" s="115"/>
      <c r="O4437" s="115"/>
    </row>
    <row r="4438">
      <c r="E4438" s="115"/>
      <c r="F4438" s="115"/>
      <c r="G4438" s="115"/>
      <c r="H4438" s="115"/>
      <c r="I4438" s="115"/>
      <c r="J4438" s="115"/>
      <c r="K4438" s="115"/>
      <c r="L4438" s="115"/>
      <c r="M4438" s="115"/>
      <c r="N4438" s="115"/>
      <c r="O4438" s="115"/>
    </row>
    <row r="4439">
      <c r="E4439" s="115"/>
      <c r="F4439" s="115"/>
      <c r="G4439" s="115"/>
      <c r="H4439" s="115"/>
      <c r="I4439" s="115"/>
      <c r="J4439" s="115"/>
      <c r="K4439" s="115"/>
      <c r="L4439" s="115"/>
      <c r="M4439" s="115"/>
      <c r="N4439" s="115"/>
      <c r="O4439" s="115"/>
    </row>
    <row r="4440">
      <c r="E4440" s="115"/>
      <c r="F4440" s="115"/>
      <c r="G4440" s="115"/>
      <c r="H4440" s="115"/>
      <c r="I4440" s="115"/>
      <c r="J4440" s="115"/>
      <c r="K4440" s="115"/>
      <c r="L4440" s="115"/>
      <c r="M4440" s="115"/>
      <c r="N4440" s="115"/>
      <c r="O4440" s="115"/>
    </row>
    <row r="4441">
      <c r="E4441" s="115"/>
      <c r="F4441" s="115"/>
      <c r="G4441" s="115"/>
      <c r="H4441" s="115"/>
      <c r="I4441" s="115"/>
      <c r="J4441" s="115"/>
      <c r="K4441" s="115"/>
      <c r="L4441" s="115"/>
      <c r="M4441" s="115"/>
      <c r="N4441" s="115"/>
      <c r="O4441" s="115"/>
    </row>
    <row r="4442">
      <c r="E4442" s="115"/>
      <c r="F4442" s="115"/>
      <c r="G4442" s="115"/>
      <c r="H4442" s="115"/>
      <c r="I4442" s="115"/>
      <c r="J4442" s="115"/>
      <c r="K4442" s="115"/>
      <c r="L4442" s="115"/>
      <c r="M4442" s="115"/>
      <c r="N4442" s="115"/>
      <c r="O4442" s="115"/>
    </row>
    <row r="4443">
      <c r="E4443" s="115"/>
      <c r="F4443" s="115"/>
      <c r="G4443" s="115"/>
      <c r="H4443" s="115"/>
      <c r="I4443" s="115"/>
      <c r="J4443" s="115"/>
      <c r="K4443" s="115"/>
      <c r="L4443" s="115"/>
      <c r="M4443" s="115"/>
      <c r="N4443" s="115"/>
      <c r="O4443" s="115"/>
    </row>
    <row r="4444">
      <c r="E4444" s="115"/>
      <c r="F4444" s="115"/>
      <c r="G4444" s="115"/>
      <c r="H4444" s="115"/>
      <c r="I4444" s="115"/>
      <c r="J4444" s="115"/>
      <c r="K4444" s="115"/>
      <c r="L4444" s="115"/>
      <c r="M4444" s="115"/>
      <c r="N4444" s="115"/>
      <c r="O4444" s="115"/>
    </row>
    <row r="4445">
      <c r="E4445" s="115"/>
      <c r="F4445" s="115"/>
      <c r="G4445" s="115"/>
      <c r="H4445" s="115"/>
      <c r="I4445" s="115"/>
      <c r="J4445" s="115"/>
      <c r="K4445" s="115"/>
      <c r="L4445" s="115"/>
      <c r="M4445" s="115"/>
      <c r="N4445" s="115"/>
      <c r="O4445" s="115"/>
    </row>
    <row r="4446">
      <c r="E4446" s="115"/>
      <c r="F4446" s="115"/>
      <c r="G4446" s="115"/>
      <c r="H4446" s="115"/>
      <c r="I4446" s="115"/>
      <c r="J4446" s="115"/>
      <c r="K4446" s="115"/>
      <c r="L4446" s="115"/>
      <c r="M4446" s="115"/>
      <c r="N4446" s="115"/>
      <c r="O4446" s="115"/>
    </row>
    <row r="4447">
      <c r="E4447" s="115"/>
      <c r="F4447" s="115"/>
      <c r="G4447" s="115"/>
      <c r="H4447" s="115"/>
      <c r="I4447" s="115"/>
      <c r="J4447" s="115"/>
      <c r="K4447" s="115"/>
      <c r="L4447" s="115"/>
      <c r="M4447" s="115"/>
      <c r="N4447" s="115"/>
      <c r="O4447" s="115"/>
    </row>
    <row r="4448">
      <c r="E4448" s="115"/>
      <c r="F4448" s="115"/>
      <c r="G4448" s="115"/>
      <c r="H4448" s="115"/>
      <c r="I4448" s="115"/>
      <c r="J4448" s="115"/>
      <c r="K4448" s="115"/>
      <c r="L4448" s="115"/>
      <c r="M4448" s="115"/>
      <c r="N4448" s="115"/>
      <c r="O4448" s="115"/>
    </row>
    <row r="4449">
      <c r="E4449" s="115"/>
      <c r="F4449" s="115"/>
      <c r="G4449" s="115"/>
      <c r="H4449" s="115"/>
      <c r="I4449" s="115"/>
      <c r="J4449" s="115"/>
      <c r="K4449" s="115"/>
      <c r="L4449" s="115"/>
      <c r="M4449" s="115"/>
      <c r="N4449" s="115"/>
      <c r="O4449" s="115"/>
    </row>
    <row r="4450">
      <c r="E4450" s="115"/>
      <c r="F4450" s="115"/>
      <c r="G4450" s="115"/>
      <c r="H4450" s="115"/>
      <c r="I4450" s="115"/>
      <c r="J4450" s="115"/>
      <c r="K4450" s="115"/>
      <c r="L4450" s="115"/>
      <c r="M4450" s="115"/>
      <c r="N4450" s="115"/>
      <c r="O4450" s="115"/>
    </row>
    <row r="4451">
      <c r="E4451" s="115"/>
      <c r="F4451" s="115"/>
      <c r="G4451" s="115"/>
      <c r="H4451" s="115"/>
      <c r="I4451" s="115"/>
      <c r="J4451" s="115"/>
      <c r="K4451" s="115"/>
      <c r="L4451" s="115"/>
      <c r="M4451" s="115"/>
      <c r="N4451" s="115"/>
      <c r="O4451" s="115"/>
    </row>
    <row r="4452">
      <c r="E4452" s="115"/>
      <c r="F4452" s="115"/>
      <c r="G4452" s="115"/>
      <c r="H4452" s="115"/>
      <c r="I4452" s="115"/>
      <c r="J4452" s="115"/>
      <c r="K4452" s="115"/>
      <c r="L4452" s="115"/>
      <c r="M4452" s="115"/>
      <c r="N4452" s="115"/>
      <c r="O4452" s="115"/>
    </row>
    <row r="4453">
      <c r="E4453" s="115"/>
      <c r="F4453" s="115"/>
      <c r="G4453" s="115"/>
      <c r="H4453" s="115"/>
      <c r="I4453" s="115"/>
      <c r="J4453" s="115"/>
      <c r="K4453" s="115"/>
      <c r="L4453" s="115"/>
      <c r="M4453" s="115"/>
      <c r="N4453" s="115"/>
      <c r="O4453" s="115"/>
    </row>
    <row r="4454">
      <c r="E4454" s="115"/>
      <c r="F4454" s="115"/>
      <c r="G4454" s="115"/>
      <c r="H4454" s="115"/>
      <c r="I4454" s="115"/>
      <c r="J4454" s="115"/>
      <c r="K4454" s="115"/>
      <c r="L4454" s="115"/>
      <c r="M4454" s="115"/>
      <c r="N4454" s="115"/>
      <c r="O4454" s="115"/>
    </row>
    <row r="4455">
      <c r="E4455" s="115"/>
      <c r="F4455" s="115"/>
      <c r="G4455" s="115"/>
      <c r="H4455" s="115"/>
      <c r="I4455" s="115"/>
      <c r="J4455" s="115"/>
      <c r="K4455" s="115"/>
      <c r="L4455" s="115"/>
      <c r="M4455" s="115"/>
      <c r="N4455" s="115"/>
      <c r="O4455" s="115"/>
    </row>
    <row r="4456">
      <c r="E4456" s="115"/>
      <c r="F4456" s="115"/>
      <c r="G4456" s="115"/>
      <c r="H4456" s="115"/>
      <c r="I4456" s="115"/>
      <c r="J4456" s="115"/>
      <c r="K4456" s="115"/>
      <c r="L4456" s="115"/>
      <c r="M4456" s="115"/>
      <c r="N4456" s="115"/>
      <c r="O4456" s="115"/>
    </row>
    <row r="4457">
      <c r="E4457" s="115"/>
      <c r="F4457" s="115"/>
      <c r="G4457" s="115"/>
      <c r="H4457" s="115"/>
      <c r="I4457" s="115"/>
      <c r="J4457" s="115"/>
      <c r="K4457" s="115"/>
      <c r="L4457" s="115"/>
      <c r="M4457" s="115"/>
      <c r="N4457" s="115"/>
      <c r="O4457" s="115"/>
    </row>
    <row r="4458">
      <c r="E4458" s="115"/>
      <c r="F4458" s="115"/>
      <c r="G4458" s="115"/>
      <c r="H4458" s="115"/>
      <c r="I4458" s="115"/>
      <c r="J4458" s="115"/>
      <c r="K4458" s="115"/>
      <c r="L4458" s="115"/>
      <c r="M4458" s="115"/>
      <c r="N4458" s="115"/>
      <c r="O4458" s="115"/>
    </row>
    <row r="4459">
      <c r="E4459" s="115"/>
      <c r="F4459" s="115"/>
      <c r="G4459" s="115"/>
      <c r="H4459" s="115"/>
      <c r="I4459" s="115"/>
      <c r="J4459" s="115"/>
      <c r="K4459" s="115"/>
      <c r="L4459" s="115"/>
      <c r="M4459" s="115"/>
      <c r="N4459" s="115"/>
      <c r="O4459" s="115"/>
    </row>
    <row r="4460">
      <c r="E4460" s="115"/>
      <c r="F4460" s="115"/>
      <c r="G4460" s="115"/>
      <c r="H4460" s="115"/>
      <c r="I4460" s="115"/>
      <c r="J4460" s="115"/>
      <c r="K4460" s="115"/>
      <c r="L4460" s="115"/>
      <c r="M4460" s="115"/>
      <c r="N4460" s="115"/>
      <c r="O4460" s="115"/>
    </row>
    <row r="4461">
      <c r="E4461" s="115"/>
      <c r="F4461" s="115"/>
      <c r="G4461" s="115"/>
      <c r="H4461" s="115"/>
      <c r="I4461" s="115"/>
      <c r="J4461" s="115"/>
      <c r="K4461" s="115"/>
      <c r="L4461" s="115"/>
      <c r="M4461" s="115"/>
      <c r="N4461" s="115"/>
      <c r="O4461" s="115"/>
    </row>
    <row r="4462">
      <c r="E4462" s="115"/>
      <c r="F4462" s="115"/>
      <c r="G4462" s="115"/>
      <c r="H4462" s="115"/>
      <c r="I4462" s="115"/>
      <c r="J4462" s="115"/>
      <c r="K4462" s="115"/>
      <c r="L4462" s="115"/>
      <c r="M4462" s="115"/>
      <c r="N4462" s="115"/>
      <c r="O4462" s="115"/>
    </row>
    <row r="4463">
      <c r="E4463" s="115"/>
      <c r="F4463" s="115"/>
      <c r="G4463" s="115"/>
      <c r="H4463" s="115"/>
      <c r="I4463" s="115"/>
      <c r="J4463" s="115"/>
      <c r="K4463" s="115"/>
      <c r="L4463" s="115"/>
      <c r="M4463" s="115"/>
      <c r="N4463" s="115"/>
      <c r="O4463" s="115"/>
    </row>
    <row r="4464">
      <c r="E4464" s="115"/>
      <c r="F4464" s="115"/>
      <c r="G4464" s="115"/>
      <c r="H4464" s="115"/>
      <c r="I4464" s="115"/>
      <c r="J4464" s="115"/>
      <c r="K4464" s="115"/>
      <c r="L4464" s="115"/>
      <c r="M4464" s="115"/>
      <c r="N4464" s="115"/>
      <c r="O4464" s="115"/>
    </row>
    <row r="4465">
      <c r="E4465" s="115"/>
      <c r="F4465" s="115"/>
      <c r="G4465" s="115"/>
      <c r="H4465" s="115"/>
      <c r="I4465" s="115"/>
      <c r="J4465" s="115"/>
      <c r="K4465" s="115"/>
      <c r="L4465" s="115"/>
      <c r="M4465" s="115"/>
      <c r="N4465" s="115"/>
      <c r="O4465" s="115"/>
    </row>
    <row r="4466">
      <c r="E4466" s="115"/>
      <c r="F4466" s="115"/>
      <c r="G4466" s="115"/>
      <c r="H4466" s="115"/>
      <c r="I4466" s="115"/>
      <c r="J4466" s="115"/>
      <c r="K4466" s="115"/>
      <c r="L4466" s="115"/>
      <c r="M4466" s="115"/>
      <c r="N4466" s="115"/>
      <c r="O4466" s="115"/>
    </row>
    <row r="4467">
      <c r="E4467" s="115"/>
      <c r="F4467" s="115"/>
      <c r="G4467" s="115"/>
      <c r="H4467" s="115"/>
      <c r="I4467" s="115"/>
      <c r="J4467" s="115"/>
      <c r="K4467" s="115"/>
      <c r="L4467" s="115"/>
      <c r="M4467" s="115"/>
      <c r="N4467" s="115"/>
      <c r="O4467" s="115"/>
    </row>
    <row r="4468">
      <c r="E4468" s="115"/>
      <c r="F4468" s="115"/>
      <c r="G4468" s="115"/>
      <c r="H4468" s="115"/>
      <c r="I4468" s="115"/>
      <c r="J4468" s="115"/>
      <c r="K4468" s="115"/>
      <c r="L4468" s="115"/>
      <c r="M4468" s="115"/>
      <c r="N4468" s="115"/>
      <c r="O4468" s="115"/>
    </row>
    <row r="4469">
      <c r="E4469" s="115"/>
      <c r="F4469" s="115"/>
      <c r="G4469" s="115"/>
      <c r="H4469" s="115"/>
      <c r="I4469" s="115"/>
      <c r="J4469" s="115"/>
      <c r="K4469" s="115"/>
      <c r="L4469" s="115"/>
      <c r="M4469" s="115"/>
      <c r="N4469" s="115"/>
      <c r="O4469" s="115"/>
    </row>
    <row r="4470">
      <c r="E4470" s="115"/>
      <c r="F4470" s="115"/>
      <c r="G4470" s="115"/>
      <c r="H4470" s="115"/>
      <c r="I4470" s="115"/>
      <c r="J4470" s="115"/>
      <c r="K4470" s="115"/>
      <c r="L4470" s="115"/>
      <c r="M4470" s="115"/>
      <c r="N4470" s="115"/>
      <c r="O4470" s="115"/>
    </row>
    <row r="4471">
      <c r="E4471" s="115"/>
      <c r="F4471" s="115"/>
      <c r="G4471" s="115"/>
      <c r="H4471" s="115"/>
      <c r="I4471" s="115"/>
      <c r="J4471" s="115"/>
      <c r="K4471" s="115"/>
      <c r="L4471" s="115"/>
      <c r="M4471" s="115"/>
      <c r="N4471" s="115"/>
      <c r="O4471" s="115"/>
    </row>
    <row r="4472">
      <c r="E4472" s="115"/>
      <c r="F4472" s="115"/>
      <c r="G4472" s="115"/>
      <c r="H4472" s="115"/>
      <c r="I4472" s="115"/>
      <c r="J4472" s="115"/>
      <c r="K4472" s="115"/>
      <c r="L4472" s="115"/>
      <c r="M4472" s="115"/>
      <c r="N4472" s="115"/>
      <c r="O4472" s="115"/>
    </row>
    <row r="4473">
      <c r="E4473" s="115"/>
      <c r="F4473" s="115"/>
      <c r="G4473" s="115"/>
      <c r="H4473" s="115"/>
      <c r="I4473" s="115"/>
      <c r="J4473" s="115"/>
      <c r="K4473" s="115"/>
      <c r="L4473" s="115"/>
      <c r="M4473" s="115"/>
      <c r="N4473" s="115"/>
      <c r="O4473" s="115"/>
    </row>
    <row r="4474">
      <c r="E4474" s="115"/>
      <c r="F4474" s="115"/>
      <c r="G4474" s="115"/>
      <c r="H4474" s="115"/>
      <c r="I4474" s="115"/>
      <c r="J4474" s="115"/>
      <c r="K4474" s="115"/>
      <c r="L4474" s="115"/>
      <c r="M4474" s="115"/>
      <c r="N4474" s="115"/>
      <c r="O4474" s="115"/>
    </row>
    <row r="4475">
      <c r="E4475" s="115"/>
      <c r="F4475" s="115"/>
      <c r="G4475" s="115"/>
      <c r="H4475" s="115"/>
      <c r="I4475" s="115"/>
      <c r="J4475" s="115"/>
      <c r="K4475" s="115"/>
      <c r="L4475" s="115"/>
      <c r="M4475" s="115"/>
      <c r="N4475" s="115"/>
      <c r="O4475" s="115"/>
    </row>
    <row r="4476">
      <c r="E4476" s="115"/>
      <c r="F4476" s="115"/>
      <c r="G4476" s="115"/>
      <c r="H4476" s="115"/>
      <c r="I4476" s="115"/>
      <c r="J4476" s="115"/>
      <c r="K4476" s="115"/>
      <c r="L4476" s="115"/>
      <c r="M4476" s="115"/>
      <c r="N4476" s="115"/>
      <c r="O4476" s="115"/>
    </row>
    <row r="4477">
      <c r="E4477" s="115"/>
      <c r="F4477" s="115"/>
      <c r="G4477" s="115"/>
      <c r="H4477" s="115"/>
      <c r="I4477" s="115"/>
      <c r="J4477" s="115"/>
      <c r="K4477" s="115"/>
      <c r="L4477" s="115"/>
      <c r="M4477" s="115"/>
      <c r="N4477" s="115"/>
      <c r="O4477" s="115"/>
    </row>
    <row r="4478">
      <c r="E4478" s="115"/>
      <c r="F4478" s="115"/>
      <c r="G4478" s="115"/>
      <c r="H4478" s="115"/>
      <c r="I4478" s="115"/>
      <c r="J4478" s="115"/>
      <c r="K4478" s="115"/>
      <c r="L4478" s="115"/>
      <c r="M4478" s="115"/>
      <c r="N4478" s="115"/>
      <c r="O4478" s="115"/>
    </row>
    <row r="4479">
      <c r="E4479" s="115"/>
      <c r="F4479" s="115"/>
      <c r="G4479" s="115"/>
      <c r="H4479" s="115"/>
      <c r="I4479" s="115"/>
      <c r="J4479" s="115"/>
      <c r="K4479" s="115"/>
      <c r="L4479" s="115"/>
      <c r="M4479" s="115"/>
      <c r="N4479" s="115"/>
      <c r="O4479" s="115"/>
    </row>
    <row r="4480">
      <c r="E4480" s="115"/>
      <c r="F4480" s="115"/>
      <c r="G4480" s="115"/>
      <c r="H4480" s="115"/>
      <c r="I4480" s="115"/>
      <c r="J4480" s="115"/>
      <c r="K4480" s="115"/>
      <c r="L4480" s="115"/>
      <c r="M4480" s="115"/>
      <c r="N4480" s="115"/>
      <c r="O4480" s="115"/>
    </row>
    <row r="4481">
      <c r="E4481" s="115"/>
      <c r="F4481" s="115"/>
      <c r="G4481" s="115"/>
      <c r="H4481" s="115"/>
      <c r="I4481" s="115"/>
      <c r="J4481" s="115"/>
      <c r="K4481" s="115"/>
      <c r="L4481" s="115"/>
      <c r="M4481" s="115"/>
      <c r="N4481" s="115"/>
      <c r="O4481" s="115"/>
    </row>
    <row r="4482">
      <c r="E4482" s="115"/>
      <c r="F4482" s="115"/>
      <c r="G4482" s="115"/>
      <c r="H4482" s="115"/>
      <c r="I4482" s="115"/>
      <c r="J4482" s="115"/>
      <c r="K4482" s="115"/>
      <c r="L4482" s="115"/>
      <c r="M4482" s="115"/>
      <c r="N4482" s="115"/>
      <c r="O4482" s="115"/>
    </row>
    <row r="4483">
      <c r="E4483" s="115"/>
      <c r="F4483" s="115"/>
      <c r="G4483" s="115"/>
      <c r="H4483" s="115"/>
      <c r="I4483" s="115"/>
      <c r="J4483" s="115"/>
      <c r="K4483" s="115"/>
      <c r="L4483" s="115"/>
      <c r="M4483" s="115"/>
      <c r="N4483" s="115"/>
      <c r="O4483" s="115"/>
    </row>
    <row r="4484">
      <c r="E4484" s="115"/>
      <c r="F4484" s="115"/>
      <c r="G4484" s="115"/>
      <c r="H4484" s="115"/>
      <c r="I4484" s="115"/>
      <c r="J4484" s="115"/>
      <c r="K4484" s="115"/>
      <c r="L4484" s="115"/>
      <c r="M4484" s="115"/>
      <c r="N4484" s="115"/>
      <c r="O4484" s="115"/>
    </row>
    <row r="4485">
      <c r="E4485" s="115"/>
      <c r="F4485" s="115"/>
      <c r="G4485" s="115"/>
      <c r="H4485" s="115"/>
      <c r="I4485" s="115"/>
      <c r="J4485" s="115"/>
      <c r="K4485" s="115"/>
      <c r="L4485" s="115"/>
      <c r="M4485" s="115"/>
      <c r="N4485" s="115"/>
      <c r="O4485" s="115"/>
    </row>
    <row r="4486">
      <c r="E4486" s="115"/>
      <c r="F4486" s="115"/>
      <c r="G4486" s="115"/>
      <c r="H4486" s="115"/>
      <c r="I4486" s="115"/>
      <c r="J4486" s="115"/>
      <c r="K4486" s="115"/>
      <c r="L4486" s="115"/>
      <c r="M4486" s="115"/>
      <c r="N4486" s="115"/>
      <c r="O4486" s="115"/>
    </row>
    <row r="4487">
      <c r="E4487" s="115"/>
      <c r="F4487" s="115"/>
      <c r="G4487" s="115"/>
      <c r="H4487" s="115"/>
      <c r="I4487" s="115"/>
      <c r="J4487" s="115"/>
      <c r="K4487" s="115"/>
      <c r="L4487" s="115"/>
      <c r="M4487" s="115"/>
      <c r="N4487" s="115"/>
      <c r="O4487" s="115"/>
    </row>
    <row r="4488">
      <c r="E4488" s="115"/>
      <c r="F4488" s="115"/>
      <c r="G4488" s="115"/>
      <c r="H4488" s="115"/>
      <c r="I4488" s="115"/>
      <c r="J4488" s="115"/>
      <c r="K4488" s="115"/>
      <c r="L4488" s="115"/>
      <c r="M4488" s="115"/>
      <c r="N4488" s="115"/>
      <c r="O4488" s="115"/>
    </row>
    <row r="4489">
      <c r="E4489" s="115"/>
      <c r="F4489" s="115"/>
      <c r="G4489" s="115"/>
      <c r="H4489" s="115"/>
      <c r="I4489" s="115"/>
      <c r="J4489" s="115"/>
      <c r="K4489" s="115"/>
      <c r="L4489" s="115"/>
      <c r="M4489" s="115"/>
      <c r="N4489" s="115"/>
      <c r="O4489" s="115"/>
    </row>
    <row r="4490">
      <c r="E4490" s="115"/>
      <c r="F4490" s="115"/>
      <c r="G4490" s="115"/>
      <c r="H4490" s="115"/>
      <c r="I4490" s="115"/>
      <c r="J4490" s="115"/>
      <c r="K4490" s="115"/>
      <c r="L4490" s="115"/>
      <c r="M4490" s="115"/>
      <c r="N4490" s="115"/>
      <c r="O4490" s="115"/>
    </row>
    <row r="4491">
      <c r="E4491" s="115"/>
      <c r="F4491" s="115"/>
      <c r="G4491" s="115"/>
      <c r="H4491" s="115"/>
      <c r="I4491" s="115"/>
      <c r="J4491" s="115"/>
      <c r="K4491" s="115"/>
      <c r="L4491" s="115"/>
      <c r="M4491" s="115"/>
      <c r="N4491" s="115"/>
      <c r="O4491" s="115"/>
    </row>
    <row r="4492">
      <c r="E4492" s="115"/>
      <c r="F4492" s="115"/>
      <c r="G4492" s="115"/>
      <c r="H4492" s="115"/>
      <c r="I4492" s="115"/>
      <c r="J4492" s="115"/>
      <c r="K4492" s="115"/>
      <c r="L4492" s="115"/>
      <c r="M4492" s="115"/>
      <c r="N4492" s="115"/>
      <c r="O4492" s="115"/>
    </row>
    <row r="4493">
      <c r="E4493" s="115"/>
      <c r="F4493" s="115"/>
      <c r="G4493" s="115"/>
      <c r="H4493" s="115"/>
      <c r="I4493" s="115"/>
      <c r="J4493" s="115"/>
      <c r="K4493" s="115"/>
      <c r="L4493" s="115"/>
      <c r="M4493" s="115"/>
      <c r="N4493" s="115"/>
      <c r="O4493" s="115"/>
    </row>
    <row r="4494">
      <c r="E4494" s="115"/>
      <c r="F4494" s="115"/>
      <c r="G4494" s="115"/>
      <c r="H4494" s="115"/>
      <c r="I4494" s="115"/>
      <c r="J4494" s="115"/>
      <c r="K4494" s="115"/>
      <c r="L4494" s="115"/>
      <c r="M4494" s="115"/>
      <c r="N4494" s="115"/>
      <c r="O4494" s="115"/>
    </row>
    <row r="4495">
      <c r="E4495" s="115"/>
      <c r="F4495" s="115"/>
      <c r="G4495" s="115"/>
      <c r="H4495" s="115"/>
      <c r="I4495" s="115"/>
      <c r="J4495" s="115"/>
      <c r="K4495" s="115"/>
      <c r="L4495" s="115"/>
      <c r="M4495" s="115"/>
      <c r="N4495" s="115"/>
      <c r="O4495" s="115"/>
    </row>
    <row r="4496">
      <c r="E4496" s="115"/>
      <c r="F4496" s="115"/>
      <c r="G4496" s="115"/>
      <c r="H4496" s="115"/>
      <c r="I4496" s="115"/>
      <c r="J4496" s="115"/>
      <c r="K4496" s="115"/>
      <c r="L4496" s="115"/>
      <c r="M4496" s="115"/>
      <c r="N4496" s="115"/>
      <c r="O4496" s="115"/>
    </row>
    <row r="4497">
      <c r="E4497" s="115"/>
      <c r="F4497" s="115"/>
      <c r="G4497" s="115"/>
      <c r="H4497" s="115"/>
      <c r="I4497" s="115"/>
      <c r="J4497" s="115"/>
      <c r="K4497" s="115"/>
      <c r="L4497" s="115"/>
      <c r="M4497" s="115"/>
      <c r="N4497" s="115"/>
      <c r="O4497" s="115"/>
    </row>
    <row r="4498">
      <c r="E4498" s="115"/>
      <c r="F4498" s="115"/>
      <c r="G4498" s="115"/>
      <c r="H4498" s="115"/>
      <c r="I4498" s="115"/>
      <c r="J4498" s="115"/>
      <c r="K4498" s="115"/>
      <c r="L4498" s="115"/>
      <c r="M4498" s="115"/>
      <c r="N4498" s="115"/>
      <c r="O4498" s="115"/>
    </row>
    <row r="4499">
      <c r="E4499" s="115"/>
      <c r="F4499" s="115"/>
      <c r="G4499" s="115"/>
      <c r="H4499" s="115"/>
      <c r="I4499" s="115"/>
      <c r="J4499" s="115"/>
      <c r="K4499" s="115"/>
      <c r="L4499" s="115"/>
      <c r="M4499" s="115"/>
      <c r="N4499" s="115"/>
      <c r="O4499" s="115"/>
    </row>
    <row r="4500">
      <c r="E4500" s="115"/>
      <c r="F4500" s="115"/>
      <c r="G4500" s="115"/>
      <c r="H4500" s="115"/>
      <c r="I4500" s="115"/>
      <c r="J4500" s="115"/>
      <c r="K4500" s="115"/>
      <c r="L4500" s="115"/>
      <c r="M4500" s="115"/>
      <c r="N4500" s="115"/>
      <c r="O4500" s="115"/>
    </row>
    <row r="4501">
      <c r="E4501" s="115"/>
      <c r="F4501" s="115"/>
      <c r="G4501" s="115"/>
      <c r="H4501" s="115"/>
      <c r="I4501" s="115"/>
      <c r="J4501" s="115"/>
      <c r="K4501" s="115"/>
      <c r="L4501" s="115"/>
      <c r="M4501" s="115"/>
      <c r="N4501" s="115"/>
      <c r="O4501" s="115"/>
    </row>
    <row r="4502">
      <c r="E4502" s="115"/>
      <c r="F4502" s="115"/>
      <c r="G4502" s="115"/>
      <c r="H4502" s="115"/>
      <c r="I4502" s="115"/>
      <c r="J4502" s="115"/>
      <c r="K4502" s="115"/>
      <c r="L4502" s="115"/>
      <c r="M4502" s="115"/>
      <c r="N4502" s="115"/>
      <c r="O4502" s="115"/>
    </row>
    <row r="4503">
      <c r="E4503" s="115"/>
      <c r="F4503" s="115"/>
      <c r="G4503" s="115"/>
      <c r="H4503" s="115"/>
      <c r="I4503" s="115"/>
      <c r="J4503" s="115"/>
      <c r="K4503" s="115"/>
      <c r="L4503" s="115"/>
      <c r="M4503" s="115"/>
      <c r="N4503" s="115"/>
      <c r="O4503" s="115"/>
    </row>
    <row r="4504">
      <c r="E4504" s="115"/>
      <c r="F4504" s="115"/>
      <c r="G4504" s="115"/>
      <c r="H4504" s="115"/>
      <c r="I4504" s="115"/>
      <c r="J4504" s="115"/>
      <c r="K4504" s="115"/>
      <c r="L4504" s="115"/>
      <c r="M4504" s="115"/>
      <c r="N4504" s="115"/>
      <c r="O4504" s="115"/>
    </row>
    <row r="4505">
      <c r="E4505" s="115"/>
      <c r="F4505" s="115"/>
      <c r="G4505" s="115"/>
      <c r="H4505" s="115"/>
      <c r="I4505" s="115"/>
      <c r="J4505" s="115"/>
      <c r="K4505" s="115"/>
      <c r="L4505" s="115"/>
      <c r="M4505" s="115"/>
      <c r="N4505" s="115"/>
      <c r="O4505" s="115"/>
    </row>
    <row r="4506">
      <c r="E4506" s="115"/>
      <c r="F4506" s="115"/>
      <c r="G4506" s="115"/>
      <c r="H4506" s="115"/>
      <c r="I4506" s="115"/>
      <c r="J4506" s="115"/>
      <c r="K4506" s="115"/>
      <c r="L4506" s="115"/>
      <c r="M4506" s="115"/>
      <c r="N4506" s="115"/>
      <c r="O4506" s="115"/>
    </row>
    <row r="4507">
      <c r="E4507" s="115"/>
      <c r="F4507" s="115"/>
      <c r="G4507" s="115"/>
      <c r="H4507" s="115"/>
      <c r="I4507" s="115"/>
      <c r="J4507" s="115"/>
      <c r="K4507" s="115"/>
      <c r="L4507" s="115"/>
      <c r="M4507" s="115"/>
      <c r="N4507" s="115"/>
      <c r="O4507" s="115"/>
    </row>
    <row r="4508">
      <c r="E4508" s="115"/>
      <c r="F4508" s="115"/>
      <c r="G4508" s="115"/>
      <c r="H4508" s="115"/>
      <c r="I4508" s="115"/>
      <c r="J4508" s="115"/>
      <c r="K4508" s="115"/>
      <c r="L4508" s="115"/>
      <c r="M4508" s="115"/>
      <c r="N4508" s="115"/>
      <c r="O4508" s="115"/>
    </row>
    <row r="4509">
      <c r="E4509" s="115"/>
      <c r="F4509" s="115"/>
      <c r="G4509" s="115"/>
      <c r="H4509" s="115"/>
      <c r="I4509" s="115"/>
      <c r="J4509" s="115"/>
      <c r="K4509" s="115"/>
      <c r="L4509" s="115"/>
      <c r="M4509" s="115"/>
      <c r="N4509" s="115"/>
      <c r="O4509" s="115"/>
    </row>
    <row r="4510">
      <c r="E4510" s="115"/>
      <c r="F4510" s="115"/>
      <c r="G4510" s="115"/>
      <c r="H4510" s="115"/>
      <c r="I4510" s="115"/>
      <c r="J4510" s="115"/>
      <c r="K4510" s="115"/>
      <c r="L4510" s="115"/>
      <c r="M4510" s="115"/>
      <c r="N4510" s="115"/>
      <c r="O4510" s="115"/>
    </row>
    <row r="4511">
      <c r="E4511" s="115"/>
      <c r="F4511" s="115"/>
      <c r="G4511" s="115"/>
      <c r="H4511" s="115"/>
      <c r="I4511" s="115"/>
      <c r="J4511" s="115"/>
      <c r="K4511" s="115"/>
      <c r="L4511" s="115"/>
      <c r="M4511" s="115"/>
      <c r="N4511" s="115"/>
      <c r="O4511" s="115"/>
    </row>
    <row r="4512">
      <c r="E4512" s="115"/>
      <c r="F4512" s="115"/>
      <c r="G4512" s="115"/>
      <c r="H4512" s="115"/>
      <c r="I4512" s="115"/>
      <c r="J4512" s="115"/>
      <c r="K4512" s="115"/>
      <c r="L4512" s="115"/>
      <c r="M4512" s="115"/>
      <c r="N4512" s="115"/>
      <c r="O4512" s="115"/>
    </row>
    <row r="4513">
      <c r="E4513" s="115"/>
      <c r="F4513" s="115"/>
      <c r="G4513" s="115"/>
      <c r="H4513" s="115"/>
      <c r="I4513" s="115"/>
      <c r="J4513" s="115"/>
      <c r="K4513" s="115"/>
      <c r="L4513" s="115"/>
      <c r="M4513" s="115"/>
      <c r="N4513" s="115"/>
      <c r="O4513" s="115"/>
    </row>
    <row r="4514">
      <c r="E4514" s="115"/>
      <c r="F4514" s="115"/>
      <c r="G4514" s="115"/>
      <c r="H4514" s="115"/>
      <c r="I4514" s="115"/>
      <c r="J4514" s="115"/>
      <c r="K4514" s="115"/>
      <c r="L4514" s="115"/>
      <c r="M4514" s="115"/>
      <c r="N4514" s="115"/>
      <c r="O4514" s="115"/>
    </row>
    <row r="4515">
      <c r="E4515" s="115"/>
      <c r="F4515" s="115"/>
      <c r="G4515" s="115"/>
      <c r="H4515" s="115"/>
      <c r="I4515" s="115"/>
      <c r="J4515" s="115"/>
      <c r="K4515" s="115"/>
      <c r="L4515" s="115"/>
      <c r="M4515" s="115"/>
      <c r="N4515" s="115"/>
      <c r="O4515" s="115"/>
    </row>
    <row r="4516">
      <c r="E4516" s="115"/>
      <c r="F4516" s="115"/>
      <c r="G4516" s="115"/>
      <c r="H4516" s="115"/>
      <c r="I4516" s="115"/>
      <c r="J4516" s="115"/>
      <c r="K4516" s="115"/>
      <c r="L4516" s="115"/>
      <c r="M4516" s="115"/>
      <c r="N4516" s="115"/>
      <c r="O4516" s="115"/>
    </row>
    <row r="4517">
      <c r="E4517" s="115"/>
      <c r="F4517" s="115"/>
      <c r="G4517" s="115"/>
      <c r="H4517" s="115"/>
      <c r="I4517" s="115"/>
      <c r="J4517" s="115"/>
      <c r="K4517" s="115"/>
      <c r="L4517" s="115"/>
      <c r="M4517" s="115"/>
      <c r="N4517" s="115"/>
      <c r="O4517" s="115"/>
    </row>
    <row r="4518">
      <c r="E4518" s="115"/>
      <c r="F4518" s="115"/>
      <c r="G4518" s="115"/>
      <c r="H4518" s="115"/>
      <c r="I4518" s="115"/>
      <c r="J4518" s="115"/>
      <c r="K4518" s="115"/>
      <c r="L4518" s="115"/>
      <c r="M4518" s="115"/>
      <c r="N4518" s="115"/>
      <c r="O4518" s="115"/>
    </row>
    <row r="4519">
      <c r="E4519" s="115"/>
      <c r="F4519" s="115"/>
      <c r="G4519" s="115"/>
      <c r="H4519" s="115"/>
      <c r="I4519" s="115"/>
      <c r="J4519" s="115"/>
      <c r="K4519" s="115"/>
      <c r="L4519" s="115"/>
      <c r="M4519" s="115"/>
      <c r="N4519" s="115"/>
      <c r="O4519" s="115"/>
    </row>
    <row r="4520">
      <c r="E4520" s="115"/>
      <c r="F4520" s="115"/>
      <c r="G4520" s="115"/>
      <c r="H4520" s="115"/>
      <c r="I4520" s="115"/>
      <c r="J4520" s="115"/>
      <c r="K4520" s="115"/>
      <c r="L4520" s="115"/>
      <c r="M4520" s="115"/>
      <c r="N4520" s="115"/>
      <c r="O4520" s="115"/>
    </row>
    <row r="4521">
      <c r="E4521" s="115"/>
      <c r="F4521" s="115"/>
      <c r="G4521" s="115"/>
      <c r="H4521" s="115"/>
      <c r="I4521" s="115"/>
      <c r="J4521" s="115"/>
      <c r="K4521" s="115"/>
      <c r="L4521" s="115"/>
      <c r="M4521" s="115"/>
      <c r="N4521" s="115"/>
      <c r="O4521" s="115"/>
    </row>
    <row r="4522">
      <c r="E4522" s="115"/>
      <c r="F4522" s="115"/>
      <c r="G4522" s="115"/>
      <c r="H4522" s="115"/>
      <c r="I4522" s="115"/>
      <c r="J4522" s="115"/>
      <c r="K4522" s="115"/>
      <c r="L4522" s="115"/>
      <c r="M4522" s="115"/>
      <c r="N4522" s="115"/>
      <c r="O4522" s="115"/>
    </row>
    <row r="4523">
      <c r="E4523" s="115"/>
      <c r="F4523" s="115"/>
      <c r="G4523" s="115"/>
      <c r="H4523" s="115"/>
      <c r="I4523" s="115"/>
      <c r="J4523" s="115"/>
      <c r="K4523" s="115"/>
      <c r="L4523" s="115"/>
      <c r="M4523" s="115"/>
      <c r="N4523" s="115"/>
      <c r="O4523" s="115"/>
    </row>
    <row r="4524">
      <c r="E4524" s="115"/>
      <c r="F4524" s="115"/>
      <c r="G4524" s="115"/>
      <c r="H4524" s="115"/>
      <c r="I4524" s="115"/>
      <c r="J4524" s="115"/>
      <c r="K4524" s="115"/>
      <c r="L4524" s="115"/>
      <c r="M4524" s="115"/>
      <c r="N4524" s="115"/>
      <c r="O4524" s="115"/>
    </row>
    <row r="4525">
      <c r="E4525" s="115"/>
      <c r="F4525" s="115"/>
      <c r="G4525" s="115"/>
      <c r="H4525" s="115"/>
      <c r="I4525" s="115"/>
      <c r="J4525" s="115"/>
      <c r="K4525" s="115"/>
      <c r="L4525" s="115"/>
      <c r="M4525" s="115"/>
      <c r="N4525" s="115"/>
      <c r="O4525" s="115"/>
    </row>
    <row r="4526">
      <c r="E4526" s="115"/>
      <c r="F4526" s="115"/>
      <c r="G4526" s="115"/>
      <c r="H4526" s="115"/>
      <c r="I4526" s="115"/>
      <c r="J4526" s="115"/>
      <c r="K4526" s="115"/>
      <c r="L4526" s="115"/>
      <c r="M4526" s="115"/>
      <c r="N4526" s="115"/>
      <c r="O4526" s="115"/>
    </row>
    <row r="4527">
      <c r="E4527" s="115"/>
      <c r="F4527" s="115"/>
      <c r="G4527" s="115"/>
      <c r="H4527" s="115"/>
      <c r="I4527" s="115"/>
      <c r="J4527" s="115"/>
      <c r="K4527" s="115"/>
      <c r="L4527" s="115"/>
      <c r="M4527" s="115"/>
      <c r="N4527" s="115"/>
      <c r="O4527" s="115"/>
    </row>
    <row r="4528">
      <c r="E4528" s="115"/>
      <c r="F4528" s="115"/>
      <c r="G4528" s="115"/>
      <c r="H4528" s="115"/>
      <c r="I4528" s="115"/>
      <c r="J4528" s="115"/>
      <c r="K4528" s="115"/>
      <c r="L4528" s="115"/>
      <c r="M4528" s="115"/>
      <c r="N4528" s="115"/>
      <c r="O4528" s="115"/>
    </row>
    <row r="4529">
      <c r="E4529" s="115"/>
      <c r="F4529" s="115"/>
      <c r="G4529" s="115"/>
      <c r="H4529" s="115"/>
      <c r="I4529" s="115"/>
      <c r="J4529" s="115"/>
      <c r="K4529" s="115"/>
      <c r="L4529" s="115"/>
      <c r="M4529" s="115"/>
      <c r="N4529" s="115"/>
      <c r="O4529" s="115"/>
    </row>
    <row r="4530">
      <c r="E4530" s="115"/>
      <c r="F4530" s="115"/>
      <c r="G4530" s="115"/>
      <c r="H4530" s="115"/>
      <c r="I4530" s="115"/>
      <c r="J4530" s="115"/>
      <c r="K4530" s="115"/>
      <c r="L4530" s="115"/>
      <c r="M4530" s="115"/>
      <c r="N4530" s="115"/>
      <c r="O4530" s="115"/>
    </row>
    <row r="4531">
      <c r="E4531" s="115"/>
      <c r="F4531" s="115"/>
      <c r="G4531" s="115"/>
      <c r="H4531" s="115"/>
      <c r="I4531" s="115"/>
      <c r="J4531" s="115"/>
      <c r="K4531" s="115"/>
      <c r="L4531" s="115"/>
      <c r="M4531" s="115"/>
      <c r="N4531" s="115"/>
      <c r="O4531" s="115"/>
    </row>
    <row r="4532">
      <c r="E4532" s="115"/>
      <c r="F4532" s="115"/>
      <c r="G4532" s="115"/>
      <c r="H4532" s="115"/>
      <c r="I4532" s="115"/>
      <c r="J4532" s="115"/>
      <c r="K4532" s="115"/>
      <c r="L4532" s="115"/>
      <c r="M4532" s="115"/>
      <c r="N4532" s="115"/>
      <c r="O4532" s="115"/>
    </row>
    <row r="4533">
      <c r="E4533" s="115"/>
      <c r="F4533" s="115"/>
      <c r="G4533" s="115"/>
      <c r="H4533" s="115"/>
      <c r="I4533" s="115"/>
      <c r="J4533" s="115"/>
      <c r="K4533" s="115"/>
      <c r="L4533" s="115"/>
      <c r="M4533" s="115"/>
      <c r="N4533" s="115"/>
      <c r="O4533" s="115"/>
    </row>
    <row r="4534">
      <c r="E4534" s="115"/>
      <c r="F4534" s="115"/>
      <c r="G4534" s="115"/>
      <c r="H4534" s="115"/>
      <c r="I4534" s="115"/>
      <c r="J4534" s="115"/>
      <c r="K4534" s="115"/>
      <c r="L4534" s="115"/>
      <c r="M4534" s="115"/>
      <c r="N4534" s="115"/>
      <c r="O4534" s="115"/>
    </row>
    <row r="4535">
      <c r="E4535" s="115"/>
      <c r="F4535" s="115"/>
      <c r="G4535" s="115"/>
      <c r="H4535" s="115"/>
      <c r="I4535" s="115"/>
      <c r="J4535" s="115"/>
      <c r="K4535" s="115"/>
      <c r="L4535" s="115"/>
      <c r="M4535" s="115"/>
      <c r="N4535" s="115"/>
      <c r="O4535" s="115"/>
    </row>
    <row r="4536">
      <c r="E4536" s="115"/>
      <c r="F4536" s="115"/>
      <c r="G4536" s="115"/>
      <c r="H4536" s="115"/>
      <c r="I4536" s="115"/>
      <c r="J4536" s="115"/>
      <c r="K4536" s="115"/>
      <c r="L4536" s="115"/>
      <c r="M4536" s="115"/>
      <c r="N4536" s="115"/>
      <c r="O4536" s="115"/>
    </row>
    <row r="4537">
      <c r="E4537" s="115"/>
      <c r="F4537" s="115"/>
      <c r="G4537" s="115"/>
      <c r="H4537" s="115"/>
      <c r="I4537" s="115"/>
      <c r="J4537" s="115"/>
      <c r="K4537" s="115"/>
      <c r="L4537" s="115"/>
      <c r="M4537" s="115"/>
      <c r="N4537" s="115"/>
      <c r="O4537" s="115"/>
    </row>
    <row r="4538">
      <c r="E4538" s="115"/>
      <c r="F4538" s="115"/>
      <c r="G4538" s="115"/>
      <c r="H4538" s="115"/>
      <c r="I4538" s="115"/>
      <c r="J4538" s="115"/>
      <c r="K4538" s="115"/>
      <c r="L4538" s="115"/>
      <c r="M4538" s="115"/>
      <c r="N4538" s="115"/>
      <c r="O4538" s="115"/>
    </row>
    <row r="4539">
      <c r="E4539" s="115"/>
      <c r="F4539" s="115"/>
      <c r="G4539" s="115"/>
      <c r="H4539" s="115"/>
      <c r="I4539" s="115"/>
      <c r="J4539" s="115"/>
      <c r="K4539" s="115"/>
      <c r="L4539" s="115"/>
      <c r="M4539" s="115"/>
      <c r="N4539" s="115"/>
      <c r="O4539" s="115"/>
    </row>
    <row r="4540">
      <c r="E4540" s="115"/>
      <c r="F4540" s="115"/>
      <c r="G4540" s="115"/>
      <c r="H4540" s="115"/>
      <c r="I4540" s="115"/>
      <c r="J4540" s="115"/>
      <c r="K4540" s="115"/>
      <c r="L4540" s="115"/>
      <c r="M4540" s="115"/>
      <c r="N4540" s="115"/>
      <c r="O4540" s="115"/>
    </row>
    <row r="4541">
      <c r="E4541" s="115"/>
      <c r="F4541" s="115"/>
      <c r="G4541" s="115"/>
      <c r="H4541" s="115"/>
      <c r="I4541" s="115"/>
      <c r="J4541" s="115"/>
      <c r="K4541" s="115"/>
      <c r="L4541" s="115"/>
      <c r="M4541" s="115"/>
      <c r="N4541" s="115"/>
      <c r="O4541" s="115"/>
    </row>
    <row r="4542">
      <c r="E4542" s="115"/>
      <c r="F4542" s="115"/>
      <c r="G4542" s="115"/>
      <c r="H4542" s="115"/>
      <c r="I4542" s="115"/>
      <c r="J4542" s="115"/>
      <c r="K4542" s="115"/>
      <c r="L4542" s="115"/>
      <c r="M4542" s="115"/>
      <c r="N4542" s="115"/>
      <c r="O4542" s="115"/>
    </row>
    <row r="4543">
      <c r="E4543" s="115"/>
      <c r="F4543" s="115"/>
      <c r="G4543" s="115"/>
      <c r="H4543" s="115"/>
      <c r="I4543" s="115"/>
      <c r="J4543" s="115"/>
      <c r="K4543" s="115"/>
      <c r="L4543" s="115"/>
      <c r="M4543" s="115"/>
      <c r="N4543" s="115"/>
      <c r="O4543" s="115"/>
    </row>
    <row r="4544">
      <c r="E4544" s="115"/>
      <c r="F4544" s="115"/>
      <c r="G4544" s="115"/>
      <c r="H4544" s="115"/>
      <c r="I4544" s="115"/>
      <c r="J4544" s="115"/>
      <c r="K4544" s="115"/>
      <c r="L4544" s="115"/>
      <c r="M4544" s="115"/>
      <c r="N4544" s="115"/>
      <c r="O4544" s="115"/>
    </row>
    <row r="4545">
      <c r="E4545" s="115"/>
      <c r="F4545" s="115"/>
      <c r="G4545" s="115"/>
      <c r="H4545" s="115"/>
      <c r="I4545" s="115"/>
      <c r="J4545" s="115"/>
      <c r="K4545" s="115"/>
      <c r="L4545" s="115"/>
      <c r="M4545" s="115"/>
      <c r="N4545" s="115"/>
      <c r="O4545" s="115"/>
    </row>
    <row r="4546">
      <c r="E4546" s="115"/>
      <c r="F4546" s="115"/>
      <c r="G4546" s="115"/>
      <c r="H4546" s="115"/>
      <c r="I4546" s="115"/>
      <c r="J4546" s="115"/>
      <c r="K4546" s="115"/>
      <c r="L4546" s="115"/>
      <c r="M4546" s="115"/>
      <c r="N4546" s="115"/>
      <c r="O4546" s="115"/>
    </row>
    <row r="4547">
      <c r="E4547" s="115"/>
      <c r="F4547" s="115"/>
      <c r="G4547" s="115"/>
      <c r="H4547" s="115"/>
      <c r="I4547" s="115"/>
      <c r="J4547" s="115"/>
      <c r="K4547" s="115"/>
      <c r="L4547" s="115"/>
      <c r="M4547" s="115"/>
      <c r="N4547" s="115"/>
      <c r="O4547" s="115"/>
    </row>
    <row r="4548">
      <c r="E4548" s="115"/>
      <c r="F4548" s="115"/>
      <c r="G4548" s="115"/>
      <c r="H4548" s="115"/>
      <c r="I4548" s="115"/>
      <c r="J4548" s="115"/>
      <c r="K4548" s="115"/>
      <c r="L4548" s="115"/>
      <c r="M4548" s="115"/>
      <c r="N4548" s="115"/>
      <c r="O4548" s="115"/>
    </row>
    <row r="4549">
      <c r="E4549" s="115"/>
      <c r="F4549" s="115"/>
      <c r="G4549" s="115"/>
      <c r="H4549" s="115"/>
      <c r="I4549" s="115"/>
      <c r="J4549" s="115"/>
      <c r="K4549" s="115"/>
      <c r="L4549" s="115"/>
      <c r="M4549" s="115"/>
      <c r="N4549" s="115"/>
      <c r="O4549" s="115"/>
    </row>
    <row r="4550">
      <c r="E4550" s="115"/>
      <c r="F4550" s="115"/>
      <c r="G4550" s="115"/>
      <c r="H4550" s="115"/>
      <c r="I4550" s="115"/>
      <c r="J4550" s="115"/>
      <c r="K4550" s="115"/>
      <c r="L4550" s="115"/>
      <c r="M4550" s="115"/>
      <c r="N4550" s="115"/>
      <c r="O4550" s="115"/>
    </row>
    <row r="4551">
      <c r="E4551" s="115"/>
      <c r="F4551" s="115"/>
      <c r="G4551" s="115"/>
      <c r="H4551" s="115"/>
      <c r="I4551" s="115"/>
      <c r="J4551" s="115"/>
      <c r="K4551" s="115"/>
      <c r="L4551" s="115"/>
      <c r="M4551" s="115"/>
      <c r="N4551" s="115"/>
      <c r="O4551" s="115"/>
    </row>
    <row r="4552">
      <c r="E4552" s="115"/>
      <c r="F4552" s="115"/>
      <c r="G4552" s="115"/>
      <c r="H4552" s="115"/>
      <c r="I4552" s="115"/>
      <c r="J4552" s="115"/>
      <c r="K4552" s="115"/>
      <c r="L4552" s="115"/>
      <c r="M4552" s="115"/>
      <c r="N4552" s="115"/>
      <c r="O4552" s="115"/>
    </row>
    <row r="4553">
      <c r="E4553" s="115"/>
      <c r="F4553" s="115"/>
      <c r="G4553" s="115"/>
      <c r="H4553" s="115"/>
      <c r="I4553" s="115"/>
      <c r="J4553" s="115"/>
      <c r="K4553" s="115"/>
      <c r="L4553" s="115"/>
      <c r="M4553" s="115"/>
      <c r="N4553" s="115"/>
      <c r="O4553" s="115"/>
    </row>
    <row r="4554">
      <c r="E4554" s="115"/>
      <c r="F4554" s="115"/>
      <c r="G4554" s="115"/>
      <c r="H4554" s="115"/>
      <c r="I4554" s="115"/>
      <c r="J4554" s="115"/>
      <c r="K4554" s="115"/>
      <c r="L4554" s="115"/>
      <c r="M4554" s="115"/>
      <c r="N4554" s="115"/>
      <c r="O4554" s="115"/>
    </row>
    <row r="4555">
      <c r="E4555" s="115"/>
      <c r="F4555" s="115"/>
      <c r="G4555" s="115"/>
      <c r="H4555" s="115"/>
      <c r="I4555" s="115"/>
      <c r="J4555" s="115"/>
      <c r="K4555" s="115"/>
      <c r="L4555" s="115"/>
      <c r="M4555" s="115"/>
      <c r="N4555" s="115"/>
      <c r="O4555" s="115"/>
    </row>
    <row r="4556">
      <c r="E4556" s="115"/>
      <c r="F4556" s="115"/>
      <c r="G4556" s="115"/>
      <c r="H4556" s="115"/>
      <c r="I4556" s="115"/>
      <c r="J4556" s="115"/>
      <c r="K4556" s="115"/>
      <c r="L4556" s="115"/>
      <c r="M4556" s="115"/>
      <c r="N4556" s="115"/>
      <c r="O4556" s="115"/>
    </row>
    <row r="4557">
      <c r="E4557" s="115"/>
      <c r="F4557" s="115"/>
      <c r="G4557" s="115"/>
      <c r="H4557" s="115"/>
      <c r="I4557" s="115"/>
      <c r="J4557" s="115"/>
      <c r="K4557" s="115"/>
      <c r="L4557" s="115"/>
      <c r="M4557" s="115"/>
      <c r="N4557" s="115"/>
      <c r="O4557" s="115"/>
    </row>
    <row r="4558">
      <c r="E4558" s="115"/>
      <c r="F4558" s="115"/>
      <c r="G4558" s="115"/>
      <c r="H4558" s="115"/>
      <c r="I4558" s="115"/>
      <c r="J4558" s="115"/>
      <c r="K4558" s="115"/>
      <c r="L4558" s="115"/>
      <c r="M4558" s="115"/>
      <c r="N4558" s="115"/>
      <c r="O4558" s="115"/>
    </row>
    <row r="4559">
      <c r="E4559" s="115"/>
      <c r="F4559" s="115"/>
      <c r="G4559" s="115"/>
      <c r="H4559" s="115"/>
      <c r="I4559" s="115"/>
      <c r="J4559" s="115"/>
      <c r="K4559" s="115"/>
      <c r="L4559" s="115"/>
      <c r="M4559" s="115"/>
      <c r="N4559" s="115"/>
      <c r="O4559" s="115"/>
    </row>
    <row r="4560">
      <c r="E4560" s="115"/>
      <c r="F4560" s="115"/>
      <c r="G4560" s="115"/>
      <c r="H4560" s="115"/>
      <c r="I4560" s="115"/>
      <c r="J4560" s="115"/>
      <c r="K4560" s="115"/>
      <c r="L4560" s="115"/>
      <c r="M4560" s="115"/>
      <c r="N4560" s="115"/>
      <c r="O4560" s="115"/>
    </row>
    <row r="4561">
      <c r="E4561" s="115"/>
      <c r="F4561" s="115"/>
      <c r="G4561" s="115"/>
      <c r="H4561" s="115"/>
      <c r="I4561" s="115"/>
      <c r="J4561" s="115"/>
      <c r="K4561" s="115"/>
      <c r="L4561" s="115"/>
      <c r="M4561" s="115"/>
      <c r="N4561" s="115"/>
      <c r="O4561" s="115"/>
    </row>
    <row r="4562">
      <c r="E4562" s="115"/>
      <c r="F4562" s="115"/>
      <c r="G4562" s="115"/>
      <c r="H4562" s="115"/>
      <c r="I4562" s="115"/>
      <c r="J4562" s="115"/>
      <c r="K4562" s="115"/>
      <c r="L4562" s="115"/>
      <c r="M4562" s="115"/>
      <c r="N4562" s="115"/>
      <c r="O4562" s="115"/>
    </row>
    <row r="4563">
      <c r="E4563" s="115"/>
      <c r="F4563" s="115"/>
      <c r="G4563" s="115"/>
      <c r="H4563" s="115"/>
      <c r="I4563" s="115"/>
      <c r="J4563" s="115"/>
      <c r="K4563" s="115"/>
      <c r="L4563" s="115"/>
      <c r="M4563" s="115"/>
      <c r="N4563" s="115"/>
      <c r="O4563" s="115"/>
    </row>
    <row r="4564">
      <c r="E4564" s="115"/>
      <c r="F4564" s="115"/>
      <c r="G4564" s="115"/>
      <c r="H4564" s="115"/>
      <c r="I4564" s="115"/>
      <c r="J4564" s="115"/>
      <c r="K4564" s="115"/>
      <c r="L4564" s="115"/>
      <c r="M4564" s="115"/>
      <c r="N4564" s="115"/>
      <c r="O4564" s="115"/>
    </row>
    <row r="4565">
      <c r="E4565" s="115"/>
      <c r="F4565" s="115"/>
      <c r="G4565" s="115"/>
      <c r="H4565" s="115"/>
      <c r="I4565" s="115"/>
      <c r="J4565" s="115"/>
      <c r="K4565" s="115"/>
      <c r="L4565" s="115"/>
      <c r="M4565" s="115"/>
      <c r="N4565" s="115"/>
      <c r="O4565" s="115"/>
    </row>
    <row r="4566">
      <c r="E4566" s="115"/>
      <c r="F4566" s="115"/>
      <c r="G4566" s="115"/>
      <c r="H4566" s="115"/>
      <c r="I4566" s="115"/>
      <c r="J4566" s="115"/>
      <c r="K4566" s="115"/>
      <c r="L4566" s="115"/>
      <c r="M4566" s="115"/>
      <c r="N4566" s="115"/>
      <c r="O4566" s="115"/>
    </row>
    <row r="4567">
      <c r="E4567" s="115"/>
      <c r="F4567" s="115"/>
      <c r="G4567" s="115"/>
      <c r="H4567" s="115"/>
      <c r="I4567" s="115"/>
      <c r="J4567" s="115"/>
      <c r="K4567" s="115"/>
      <c r="L4567" s="115"/>
      <c r="M4567" s="115"/>
      <c r="N4567" s="115"/>
      <c r="O4567" s="115"/>
    </row>
    <row r="4568">
      <c r="E4568" s="115"/>
      <c r="F4568" s="115"/>
      <c r="G4568" s="115"/>
      <c r="H4568" s="115"/>
      <c r="I4568" s="115"/>
      <c r="J4568" s="115"/>
      <c r="K4568" s="115"/>
      <c r="L4568" s="115"/>
      <c r="M4568" s="115"/>
      <c r="N4568" s="115"/>
      <c r="O4568" s="115"/>
    </row>
    <row r="4569">
      <c r="E4569" s="115"/>
      <c r="F4569" s="115"/>
      <c r="G4569" s="115"/>
      <c r="H4569" s="115"/>
      <c r="I4569" s="115"/>
      <c r="J4569" s="115"/>
      <c r="K4569" s="115"/>
      <c r="L4569" s="115"/>
      <c r="M4569" s="115"/>
      <c r="N4569" s="115"/>
      <c r="O4569" s="115"/>
    </row>
    <row r="4570">
      <c r="E4570" s="115"/>
      <c r="F4570" s="115"/>
      <c r="G4570" s="115"/>
      <c r="H4570" s="115"/>
      <c r="I4570" s="115"/>
      <c r="J4570" s="115"/>
      <c r="K4570" s="115"/>
      <c r="L4570" s="115"/>
      <c r="M4570" s="115"/>
      <c r="N4570" s="115"/>
      <c r="O4570" s="115"/>
    </row>
    <row r="4571">
      <c r="E4571" s="115"/>
      <c r="F4571" s="115"/>
      <c r="G4571" s="115"/>
      <c r="H4571" s="115"/>
      <c r="I4571" s="115"/>
      <c r="J4571" s="115"/>
      <c r="K4571" s="115"/>
      <c r="L4571" s="115"/>
      <c r="M4571" s="115"/>
      <c r="N4571" s="115"/>
      <c r="O4571" s="115"/>
    </row>
    <row r="4572">
      <c r="E4572" s="115"/>
      <c r="F4572" s="115"/>
      <c r="G4572" s="115"/>
      <c r="H4572" s="115"/>
      <c r="I4572" s="115"/>
      <c r="J4572" s="115"/>
      <c r="K4572" s="115"/>
      <c r="L4572" s="115"/>
      <c r="M4572" s="115"/>
      <c r="N4572" s="115"/>
      <c r="O4572" s="115"/>
    </row>
    <row r="4573">
      <c r="E4573" s="115"/>
      <c r="F4573" s="115"/>
      <c r="G4573" s="115"/>
      <c r="H4573" s="115"/>
      <c r="I4573" s="115"/>
      <c r="J4573" s="115"/>
      <c r="K4573" s="115"/>
      <c r="L4573" s="115"/>
      <c r="M4573" s="115"/>
      <c r="N4573" s="115"/>
      <c r="O4573" s="115"/>
    </row>
    <row r="4574">
      <c r="E4574" s="115"/>
      <c r="F4574" s="115"/>
      <c r="G4574" s="115"/>
      <c r="H4574" s="115"/>
      <c r="I4574" s="115"/>
      <c r="J4574" s="115"/>
      <c r="K4574" s="115"/>
      <c r="L4574" s="115"/>
      <c r="M4574" s="115"/>
      <c r="N4574" s="115"/>
      <c r="O4574" s="115"/>
    </row>
    <row r="4575">
      <c r="E4575" s="115"/>
      <c r="F4575" s="115"/>
      <c r="G4575" s="115"/>
      <c r="H4575" s="115"/>
      <c r="I4575" s="115"/>
      <c r="J4575" s="115"/>
      <c r="K4575" s="115"/>
      <c r="L4575" s="115"/>
      <c r="M4575" s="115"/>
      <c r="N4575" s="115"/>
      <c r="O4575" s="115"/>
    </row>
    <row r="4576">
      <c r="E4576" s="115"/>
      <c r="F4576" s="115"/>
      <c r="G4576" s="115"/>
      <c r="H4576" s="115"/>
      <c r="I4576" s="115"/>
      <c r="J4576" s="115"/>
      <c r="K4576" s="115"/>
      <c r="L4576" s="115"/>
      <c r="M4576" s="115"/>
      <c r="N4576" s="115"/>
      <c r="O4576" s="115"/>
    </row>
    <row r="4577">
      <c r="E4577" s="115"/>
      <c r="F4577" s="115"/>
      <c r="G4577" s="115"/>
      <c r="H4577" s="115"/>
      <c r="I4577" s="115"/>
      <c r="J4577" s="115"/>
      <c r="K4577" s="115"/>
      <c r="L4577" s="115"/>
      <c r="M4577" s="115"/>
      <c r="N4577" s="115"/>
      <c r="O4577" s="115"/>
    </row>
    <row r="4578">
      <c r="E4578" s="115"/>
      <c r="F4578" s="115"/>
      <c r="G4578" s="115"/>
      <c r="H4578" s="115"/>
      <c r="I4578" s="115"/>
      <c r="J4578" s="115"/>
      <c r="K4578" s="115"/>
      <c r="L4578" s="115"/>
      <c r="M4578" s="115"/>
      <c r="N4578" s="115"/>
      <c r="O4578" s="115"/>
    </row>
    <row r="4579">
      <c r="E4579" s="115"/>
      <c r="F4579" s="115"/>
      <c r="G4579" s="115"/>
      <c r="H4579" s="115"/>
      <c r="I4579" s="115"/>
      <c r="J4579" s="115"/>
      <c r="K4579" s="115"/>
      <c r="L4579" s="115"/>
      <c r="M4579" s="115"/>
      <c r="N4579" s="115"/>
      <c r="O4579" s="115"/>
    </row>
    <row r="4580">
      <c r="E4580" s="115"/>
      <c r="F4580" s="115"/>
      <c r="G4580" s="115"/>
      <c r="H4580" s="115"/>
      <c r="I4580" s="115"/>
      <c r="J4580" s="115"/>
      <c r="K4580" s="115"/>
      <c r="L4580" s="115"/>
      <c r="M4580" s="115"/>
      <c r="N4580" s="115"/>
      <c r="O4580" s="115"/>
    </row>
    <row r="4581">
      <c r="E4581" s="115"/>
      <c r="F4581" s="115"/>
      <c r="G4581" s="115"/>
      <c r="H4581" s="115"/>
      <c r="I4581" s="115"/>
      <c r="J4581" s="115"/>
      <c r="K4581" s="115"/>
      <c r="L4581" s="115"/>
      <c r="M4581" s="115"/>
      <c r="N4581" s="115"/>
      <c r="O4581" s="115"/>
    </row>
    <row r="4582">
      <c r="E4582" s="115"/>
      <c r="F4582" s="115"/>
      <c r="G4582" s="115"/>
      <c r="H4582" s="115"/>
      <c r="I4582" s="115"/>
      <c r="J4582" s="115"/>
      <c r="K4582" s="115"/>
      <c r="L4582" s="115"/>
      <c r="M4582" s="115"/>
      <c r="N4582" s="115"/>
      <c r="O4582" s="115"/>
    </row>
    <row r="4583">
      <c r="E4583" s="115"/>
      <c r="F4583" s="115"/>
      <c r="G4583" s="115"/>
      <c r="H4583" s="115"/>
      <c r="I4583" s="115"/>
      <c r="J4583" s="115"/>
      <c r="K4583" s="115"/>
      <c r="L4583" s="115"/>
      <c r="M4583" s="115"/>
      <c r="N4583" s="115"/>
      <c r="O4583" s="115"/>
    </row>
    <row r="4584">
      <c r="E4584" s="115"/>
      <c r="F4584" s="115"/>
      <c r="G4584" s="115"/>
      <c r="H4584" s="115"/>
      <c r="I4584" s="115"/>
      <c r="J4584" s="115"/>
      <c r="K4584" s="115"/>
      <c r="L4584" s="115"/>
      <c r="M4584" s="115"/>
      <c r="N4584" s="115"/>
      <c r="O4584" s="115"/>
    </row>
    <row r="4585">
      <c r="E4585" s="115"/>
      <c r="F4585" s="115"/>
      <c r="G4585" s="115"/>
      <c r="H4585" s="115"/>
      <c r="I4585" s="115"/>
      <c r="J4585" s="115"/>
      <c r="K4585" s="115"/>
      <c r="L4585" s="115"/>
      <c r="M4585" s="115"/>
      <c r="N4585" s="115"/>
      <c r="O4585" s="115"/>
    </row>
    <row r="4586">
      <c r="E4586" s="115"/>
      <c r="F4586" s="115"/>
      <c r="G4586" s="115"/>
      <c r="H4586" s="115"/>
      <c r="I4586" s="115"/>
      <c r="J4586" s="115"/>
      <c r="K4586" s="115"/>
      <c r="L4586" s="115"/>
      <c r="M4586" s="115"/>
      <c r="N4586" s="115"/>
      <c r="O4586" s="115"/>
    </row>
    <row r="4587">
      <c r="E4587" s="115"/>
      <c r="F4587" s="115"/>
      <c r="G4587" s="115"/>
      <c r="H4587" s="115"/>
      <c r="I4587" s="115"/>
      <c r="J4587" s="115"/>
      <c r="K4587" s="115"/>
      <c r="L4587" s="115"/>
      <c r="M4587" s="115"/>
      <c r="N4587" s="115"/>
      <c r="O4587" s="115"/>
    </row>
    <row r="4588">
      <c r="E4588" s="115"/>
      <c r="F4588" s="115"/>
      <c r="G4588" s="115"/>
      <c r="H4588" s="115"/>
      <c r="I4588" s="115"/>
      <c r="J4588" s="115"/>
      <c r="K4588" s="115"/>
      <c r="L4588" s="115"/>
      <c r="M4588" s="115"/>
      <c r="N4588" s="115"/>
      <c r="O4588" s="115"/>
    </row>
    <row r="4589">
      <c r="E4589" s="115"/>
      <c r="F4589" s="115"/>
      <c r="G4589" s="115"/>
      <c r="H4589" s="115"/>
      <c r="I4589" s="115"/>
      <c r="J4589" s="115"/>
      <c r="K4589" s="115"/>
      <c r="L4589" s="115"/>
      <c r="M4589" s="115"/>
      <c r="N4589" s="115"/>
      <c r="O4589" s="115"/>
    </row>
    <row r="4590">
      <c r="E4590" s="115"/>
      <c r="F4590" s="115"/>
      <c r="G4590" s="115"/>
      <c r="H4590" s="115"/>
      <c r="I4590" s="115"/>
      <c r="J4590" s="115"/>
      <c r="K4590" s="115"/>
      <c r="L4590" s="115"/>
      <c r="M4590" s="115"/>
      <c r="N4590" s="115"/>
      <c r="O4590" s="115"/>
    </row>
    <row r="4591">
      <c r="E4591" s="115"/>
      <c r="F4591" s="115"/>
      <c r="G4591" s="115"/>
      <c r="H4591" s="115"/>
      <c r="I4591" s="115"/>
      <c r="J4591" s="115"/>
      <c r="K4591" s="115"/>
      <c r="L4591" s="115"/>
      <c r="M4591" s="115"/>
      <c r="N4591" s="115"/>
      <c r="O4591" s="115"/>
    </row>
    <row r="4592">
      <c r="E4592" s="115"/>
      <c r="F4592" s="115"/>
      <c r="G4592" s="115"/>
      <c r="H4592" s="115"/>
      <c r="I4592" s="115"/>
      <c r="J4592" s="115"/>
      <c r="K4592" s="115"/>
      <c r="L4592" s="115"/>
      <c r="M4592" s="115"/>
      <c r="N4592" s="115"/>
      <c r="O4592" s="115"/>
    </row>
    <row r="4593">
      <c r="E4593" s="115"/>
      <c r="F4593" s="115"/>
      <c r="G4593" s="115"/>
      <c r="H4593" s="115"/>
      <c r="I4593" s="115"/>
      <c r="J4593" s="115"/>
      <c r="K4593" s="115"/>
      <c r="L4593" s="115"/>
      <c r="M4593" s="115"/>
      <c r="N4593" s="115"/>
      <c r="O4593" s="115"/>
    </row>
    <row r="4594">
      <c r="E4594" s="115"/>
      <c r="F4594" s="115"/>
      <c r="G4594" s="115"/>
      <c r="H4594" s="115"/>
      <c r="I4594" s="115"/>
      <c r="J4594" s="115"/>
      <c r="K4594" s="115"/>
      <c r="L4594" s="115"/>
      <c r="M4594" s="115"/>
      <c r="N4594" s="115"/>
      <c r="O4594" s="115"/>
    </row>
    <row r="4595">
      <c r="E4595" s="115"/>
      <c r="F4595" s="115"/>
      <c r="G4595" s="115"/>
      <c r="H4595" s="115"/>
      <c r="I4595" s="115"/>
      <c r="J4595" s="115"/>
      <c r="K4595" s="115"/>
      <c r="L4595" s="115"/>
      <c r="M4595" s="115"/>
      <c r="N4595" s="115"/>
      <c r="O4595" s="115"/>
    </row>
    <row r="4596">
      <c r="E4596" s="115"/>
      <c r="F4596" s="115"/>
      <c r="G4596" s="115"/>
      <c r="H4596" s="115"/>
      <c r="I4596" s="115"/>
      <c r="J4596" s="115"/>
      <c r="K4596" s="115"/>
      <c r="L4596" s="115"/>
      <c r="M4596" s="115"/>
      <c r="N4596" s="115"/>
      <c r="O4596" s="115"/>
    </row>
    <row r="4597">
      <c r="E4597" s="115"/>
      <c r="F4597" s="115"/>
      <c r="G4597" s="115"/>
      <c r="H4597" s="115"/>
      <c r="I4597" s="115"/>
      <c r="J4597" s="115"/>
      <c r="K4597" s="115"/>
      <c r="L4597" s="115"/>
      <c r="M4597" s="115"/>
      <c r="N4597" s="115"/>
      <c r="O4597" s="115"/>
    </row>
    <row r="4598">
      <c r="E4598" s="115"/>
      <c r="F4598" s="115"/>
      <c r="G4598" s="115"/>
      <c r="H4598" s="115"/>
      <c r="I4598" s="115"/>
      <c r="J4598" s="115"/>
      <c r="K4598" s="115"/>
      <c r="L4598" s="115"/>
      <c r="M4598" s="115"/>
      <c r="N4598" s="115"/>
      <c r="O4598" s="115"/>
    </row>
    <row r="4599">
      <c r="E4599" s="115"/>
      <c r="F4599" s="115"/>
      <c r="G4599" s="115"/>
      <c r="H4599" s="115"/>
      <c r="I4599" s="115"/>
      <c r="J4599" s="115"/>
      <c r="K4599" s="115"/>
      <c r="L4599" s="115"/>
      <c r="M4599" s="115"/>
      <c r="N4599" s="115"/>
      <c r="O4599" s="115"/>
    </row>
    <row r="4600">
      <c r="E4600" s="115"/>
      <c r="F4600" s="115"/>
      <c r="G4600" s="115"/>
      <c r="H4600" s="115"/>
      <c r="I4600" s="115"/>
      <c r="J4600" s="115"/>
      <c r="K4600" s="115"/>
      <c r="L4600" s="115"/>
      <c r="M4600" s="115"/>
      <c r="N4600" s="115"/>
      <c r="O4600" s="115"/>
    </row>
    <row r="4601">
      <c r="E4601" s="115"/>
      <c r="F4601" s="115"/>
      <c r="G4601" s="115"/>
      <c r="H4601" s="115"/>
      <c r="I4601" s="115"/>
      <c r="J4601" s="115"/>
      <c r="K4601" s="115"/>
      <c r="L4601" s="115"/>
      <c r="M4601" s="115"/>
      <c r="N4601" s="115"/>
      <c r="O4601" s="115"/>
    </row>
    <row r="4602">
      <c r="E4602" s="115"/>
      <c r="F4602" s="115"/>
      <c r="G4602" s="115"/>
      <c r="H4602" s="115"/>
      <c r="I4602" s="115"/>
      <c r="J4602" s="115"/>
      <c r="K4602" s="115"/>
      <c r="L4602" s="115"/>
      <c r="M4602" s="115"/>
      <c r="N4602" s="115"/>
      <c r="O4602" s="115"/>
    </row>
    <row r="4603">
      <c r="E4603" s="115"/>
      <c r="F4603" s="115"/>
      <c r="G4603" s="115"/>
      <c r="H4603" s="115"/>
      <c r="I4603" s="115"/>
      <c r="J4603" s="115"/>
      <c r="K4603" s="115"/>
      <c r="L4603" s="115"/>
      <c r="M4603" s="115"/>
      <c r="N4603" s="115"/>
      <c r="O4603" s="115"/>
    </row>
    <row r="4604">
      <c r="E4604" s="115"/>
      <c r="F4604" s="115"/>
      <c r="G4604" s="115"/>
      <c r="H4604" s="115"/>
      <c r="I4604" s="115"/>
      <c r="J4604" s="115"/>
      <c r="K4604" s="115"/>
      <c r="L4604" s="115"/>
      <c r="M4604" s="115"/>
      <c r="N4604" s="115"/>
      <c r="O4604" s="115"/>
    </row>
    <row r="4605">
      <c r="E4605" s="115"/>
      <c r="F4605" s="115"/>
      <c r="G4605" s="115"/>
      <c r="H4605" s="115"/>
      <c r="I4605" s="115"/>
      <c r="J4605" s="115"/>
      <c r="K4605" s="115"/>
      <c r="L4605" s="115"/>
      <c r="M4605" s="115"/>
      <c r="N4605" s="115"/>
      <c r="O4605" s="115"/>
    </row>
    <row r="4606">
      <c r="E4606" s="115"/>
      <c r="F4606" s="115"/>
      <c r="G4606" s="115"/>
      <c r="H4606" s="115"/>
      <c r="I4606" s="115"/>
      <c r="J4606" s="115"/>
      <c r="K4606" s="115"/>
      <c r="L4606" s="115"/>
      <c r="M4606" s="115"/>
      <c r="N4606" s="115"/>
      <c r="O4606" s="115"/>
    </row>
    <row r="4607">
      <c r="E4607" s="115"/>
      <c r="F4607" s="115"/>
      <c r="G4607" s="115"/>
      <c r="H4607" s="115"/>
      <c r="I4607" s="115"/>
      <c r="J4607" s="115"/>
      <c r="K4607" s="115"/>
      <c r="L4607" s="115"/>
      <c r="M4607" s="115"/>
      <c r="N4607" s="115"/>
      <c r="O4607" s="115"/>
    </row>
    <row r="4608">
      <c r="E4608" s="115"/>
      <c r="F4608" s="115"/>
      <c r="G4608" s="115"/>
      <c r="H4608" s="115"/>
      <c r="I4608" s="115"/>
      <c r="J4608" s="115"/>
      <c r="K4608" s="115"/>
      <c r="L4608" s="115"/>
      <c r="M4608" s="115"/>
      <c r="N4608" s="115"/>
      <c r="O4608" s="115"/>
    </row>
    <row r="4609">
      <c r="E4609" s="115"/>
      <c r="F4609" s="115"/>
      <c r="G4609" s="115"/>
      <c r="H4609" s="115"/>
      <c r="I4609" s="115"/>
      <c r="J4609" s="115"/>
      <c r="K4609" s="115"/>
      <c r="L4609" s="115"/>
      <c r="M4609" s="115"/>
      <c r="N4609" s="115"/>
      <c r="O4609" s="115"/>
    </row>
    <row r="4610">
      <c r="E4610" s="115"/>
      <c r="F4610" s="115"/>
      <c r="G4610" s="115"/>
      <c r="H4610" s="115"/>
      <c r="I4610" s="115"/>
      <c r="J4610" s="115"/>
      <c r="K4610" s="115"/>
      <c r="L4610" s="115"/>
      <c r="M4610" s="115"/>
      <c r="N4610" s="115"/>
      <c r="O4610" s="115"/>
    </row>
    <row r="4611">
      <c r="E4611" s="115"/>
      <c r="F4611" s="115"/>
      <c r="G4611" s="115"/>
      <c r="H4611" s="115"/>
      <c r="I4611" s="115"/>
      <c r="J4611" s="115"/>
      <c r="K4611" s="115"/>
      <c r="L4611" s="115"/>
      <c r="M4611" s="115"/>
      <c r="N4611" s="115"/>
      <c r="O4611" s="115"/>
    </row>
    <row r="4612">
      <c r="E4612" s="115"/>
      <c r="F4612" s="115"/>
      <c r="G4612" s="115"/>
      <c r="H4612" s="115"/>
      <c r="I4612" s="115"/>
      <c r="J4612" s="115"/>
      <c r="K4612" s="115"/>
      <c r="L4612" s="115"/>
      <c r="M4612" s="115"/>
      <c r="N4612" s="115"/>
      <c r="O4612" s="115"/>
    </row>
    <row r="4613">
      <c r="E4613" s="115"/>
      <c r="F4613" s="115"/>
      <c r="G4613" s="115"/>
      <c r="H4613" s="115"/>
      <c r="I4613" s="115"/>
      <c r="J4613" s="115"/>
      <c r="K4613" s="115"/>
      <c r="L4613" s="115"/>
      <c r="M4613" s="115"/>
      <c r="N4613" s="115"/>
      <c r="O4613" s="115"/>
    </row>
    <row r="4614">
      <c r="E4614" s="115"/>
      <c r="F4614" s="115"/>
      <c r="G4614" s="115"/>
      <c r="H4614" s="115"/>
      <c r="I4614" s="115"/>
      <c r="J4614" s="115"/>
      <c r="K4614" s="115"/>
      <c r="L4614" s="115"/>
      <c r="M4614" s="115"/>
      <c r="N4614" s="115"/>
      <c r="O4614" s="115"/>
    </row>
    <row r="4615">
      <c r="E4615" s="115"/>
      <c r="F4615" s="115"/>
      <c r="G4615" s="115"/>
      <c r="H4615" s="115"/>
      <c r="I4615" s="115"/>
      <c r="J4615" s="115"/>
      <c r="K4615" s="115"/>
      <c r="L4615" s="115"/>
      <c r="M4615" s="115"/>
      <c r="N4615" s="115"/>
      <c r="O4615" s="115"/>
    </row>
    <row r="4616">
      <c r="E4616" s="115"/>
      <c r="F4616" s="115"/>
      <c r="G4616" s="115"/>
      <c r="H4616" s="115"/>
      <c r="I4616" s="115"/>
      <c r="J4616" s="115"/>
      <c r="K4616" s="115"/>
      <c r="L4616" s="115"/>
      <c r="M4616" s="115"/>
      <c r="N4616" s="115"/>
      <c r="O4616" s="115"/>
    </row>
    <row r="4617">
      <c r="E4617" s="115"/>
      <c r="F4617" s="115"/>
      <c r="G4617" s="115"/>
      <c r="H4617" s="115"/>
      <c r="I4617" s="115"/>
      <c r="J4617" s="115"/>
      <c r="K4617" s="115"/>
      <c r="L4617" s="115"/>
      <c r="M4617" s="115"/>
      <c r="N4617" s="115"/>
      <c r="O4617" s="115"/>
    </row>
    <row r="4618">
      <c r="E4618" s="115"/>
      <c r="F4618" s="115"/>
      <c r="G4618" s="115"/>
      <c r="H4618" s="115"/>
      <c r="I4618" s="115"/>
      <c r="J4618" s="115"/>
      <c r="K4618" s="115"/>
      <c r="L4618" s="115"/>
      <c r="M4618" s="115"/>
      <c r="N4618" s="115"/>
      <c r="O4618" s="115"/>
    </row>
    <row r="4619">
      <c r="E4619" s="115"/>
      <c r="F4619" s="115"/>
      <c r="G4619" s="115"/>
      <c r="H4619" s="115"/>
      <c r="I4619" s="115"/>
      <c r="J4619" s="115"/>
      <c r="K4619" s="115"/>
      <c r="L4619" s="115"/>
      <c r="M4619" s="115"/>
      <c r="N4619" s="115"/>
      <c r="O4619" s="115"/>
    </row>
    <row r="4620">
      <c r="E4620" s="115"/>
      <c r="F4620" s="115"/>
      <c r="G4620" s="115"/>
      <c r="H4620" s="115"/>
      <c r="I4620" s="115"/>
      <c r="J4620" s="115"/>
      <c r="K4620" s="115"/>
      <c r="L4620" s="115"/>
      <c r="M4620" s="115"/>
      <c r="N4620" s="115"/>
      <c r="O4620" s="115"/>
    </row>
    <row r="4621">
      <c r="E4621" s="115"/>
      <c r="F4621" s="115"/>
      <c r="G4621" s="115"/>
      <c r="H4621" s="115"/>
      <c r="I4621" s="115"/>
      <c r="J4621" s="115"/>
      <c r="K4621" s="115"/>
      <c r="L4621" s="115"/>
      <c r="M4621" s="115"/>
      <c r="N4621" s="115"/>
      <c r="O4621" s="115"/>
    </row>
    <row r="4622">
      <c r="E4622" s="115"/>
      <c r="F4622" s="115"/>
      <c r="G4622" s="115"/>
      <c r="H4622" s="115"/>
      <c r="I4622" s="115"/>
      <c r="J4622" s="115"/>
      <c r="K4622" s="115"/>
      <c r="L4622" s="115"/>
      <c r="M4622" s="115"/>
      <c r="N4622" s="115"/>
      <c r="O4622" s="115"/>
    </row>
    <row r="4623">
      <c r="E4623" s="115"/>
      <c r="F4623" s="115"/>
      <c r="G4623" s="115"/>
      <c r="H4623" s="115"/>
      <c r="I4623" s="115"/>
      <c r="J4623" s="115"/>
      <c r="K4623" s="115"/>
      <c r="L4623" s="115"/>
      <c r="M4623" s="115"/>
      <c r="N4623" s="115"/>
      <c r="O4623" s="115"/>
    </row>
    <row r="4624">
      <c r="E4624" s="115"/>
      <c r="F4624" s="115"/>
      <c r="G4624" s="115"/>
      <c r="H4624" s="115"/>
      <c r="I4624" s="115"/>
      <c r="J4624" s="115"/>
      <c r="K4624" s="115"/>
      <c r="L4624" s="115"/>
      <c r="M4624" s="115"/>
      <c r="N4624" s="115"/>
      <c r="O4624" s="115"/>
    </row>
    <row r="4625">
      <c r="E4625" s="115"/>
      <c r="F4625" s="115"/>
      <c r="G4625" s="115"/>
      <c r="H4625" s="115"/>
      <c r="I4625" s="115"/>
      <c r="J4625" s="115"/>
      <c r="K4625" s="115"/>
      <c r="L4625" s="115"/>
      <c r="M4625" s="115"/>
      <c r="N4625" s="115"/>
      <c r="O4625" s="115"/>
    </row>
    <row r="4626">
      <c r="E4626" s="115"/>
      <c r="F4626" s="115"/>
      <c r="G4626" s="115"/>
      <c r="H4626" s="115"/>
      <c r="I4626" s="115"/>
      <c r="J4626" s="115"/>
      <c r="K4626" s="115"/>
      <c r="L4626" s="115"/>
      <c r="M4626" s="115"/>
      <c r="N4626" s="115"/>
      <c r="O4626" s="115"/>
    </row>
    <row r="4627">
      <c r="E4627" s="115"/>
      <c r="F4627" s="115"/>
      <c r="G4627" s="115"/>
      <c r="H4627" s="115"/>
      <c r="I4627" s="115"/>
      <c r="J4627" s="115"/>
      <c r="K4627" s="115"/>
      <c r="L4627" s="115"/>
      <c r="M4627" s="115"/>
      <c r="N4627" s="115"/>
      <c r="O4627" s="115"/>
    </row>
    <row r="4628">
      <c r="E4628" s="115"/>
      <c r="F4628" s="115"/>
      <c r="G4628" s="115"/>
      <c r="H4628" s="115"/>
      <c r="I4628" s="115"/>
      <c r="J4628" s="115"/>
      <c r="K4628" s="115"/>
      <c r="L4628" s="115"/>
      <c r="M4628" s="115"/>
      <c r="N4628" s="115"/>
      <c r="O4628" s="115"/>
    </row>
    <row r="4629">
      <c r="E4629" s="115"/>
      <c r="F4629" s="115"/>
      <c r="G4629" s="115"/>
      <c r="H4629" s="115"/>
      <c r="I4629" s="115"/>
      <c r="J4629" s="115"/>
      <c r="K4629" s="115"/>
      <c r="L4629" s="115"/>
      <c r="M4629" s="115"/>
      <c r="N4629" s="115"/>
      <c r="O4629" s="115"/>
    </row>
    <row r="4630">
      <c r="E4630" s="115"/>
      <c r="F4630" s="115"/>
      <c r="G4630" s="115"/>
      <c r="H4630" s="115"/>
      <c r="I4630" s="115"/>
      <c r="J4630" s="115"/>
      <c r="K4630" s="115"/>
      <c r="L4630" s="115"/>
      <c r="M4630" s="115"/>
      <c r="N4630" s="115"/>
      <c r="O4630" s="115"/>
    </row>
    <row r="4631">
      <c r="E4631" s="115"/>
      <c r="F4631" s="115"/>
      <c r="G4631" s="115"/>
      <c r="H4631" s="115"/>
      <c r="I4631" s="115"/>
      <c r="J4631" s="115"/>
      <c r="K4631" s="115"/>
      <c r="L4631" s="115"/>
      <c r="M4631" s="115"/>
      <c r="N4631" s="115"/>
      <c r="O4631" s="115"/>
    </row>
    <row r="4632">
      <c r="E4632" s="115"/>
      <c r="F4632" s="115"/>
      <c r="G4632" s="115"/>
      <c r="H4632" s="115"/>
      <c r="I4632" s="115"/>
      <c r="J4632" s="115"/>
      <c r="K4632" s="115"/>
      <c r="L4632" s="115"/>
      <c r="M4632" s="115"/>
      <c r="N4632" s="115"/>
      <c r="O4632" s="115"/>
    </row>
    <row r="4633">
      <c r="E4633" s="115"/>
      <c r="F4633" s="115"/>
      <c r="G4633" s="115"/>
      <c r="H4633" s="115"/>
      <c r="I4633" s="115"/>
      <c r="J4633" s="115"/>
      <c r="K4633" s="115"/>
      <c r="L4633" s="115"/>
      <c r="M4633" s="115"/>
      <c r="N4633" s="115"/>
      <c r="O4633" s="115"/>
    </row>
    <row r="4634">
      <c r="E4634" s="115"/>
      <c r="F4634" s="115"/>
      <c r="G4634" s="115"/>
      <c r="H4634" s="115"/>
      <c r="I4634" s="115"/>
      <c r="J4634" s="115"/>
      <c r="K4634" s="115"/>
      <c r="L4634" s="115"/>
      <c r="M4634" s="115"/>
      <c r="N4634" s="115"/>
      <c r="O4634" s="115"/>
    </row>
    <row r="4635">
      <c r="E4635" s="115"/>
      <c r="F4635" s="115"/>
      <c r="G4635" s="115"/>
      <c r="H4635" s="115"/>
      <c r="I4635" s="115"/>
      <c r="J4635" s="115"/>
      <c r="K4635" s="115"/>
      <c r="L4635" s="115"/>
      <c r="M4635" s="115"/>
      <c r="N4635" s="115"/>
      <c r="O4635" s="115"/>
    </row>
    <row r="4636">
      <c r="E4636" s="115"/>
      <c r="F4636" s="115"/>
      <c r="G4636" s="115"/>
      <c r="H4636" s="115"/>
      <c r="I4636" s="115"/>
      <c r="J4636" s="115"/>
      <c r="K4636" s="115"/>
      <c r="L4636" s="115"/>
      <c r="M4636" s="115"/>
      <c r="N4636" s="115"/>
      <c r="O4636" s="115"/>
    </row>
    <row r="4637">
      <c r="E4637" s="115"/>
      <c r="F4637" s="115"/>
      <c r="G4637" s="115"/>
      <c r="H4637" s="115"/>
      <c r="I4637" s="115"/>
      <c r="J4637" s="115"/>
      <c r="K4637" s="115"/>
      <c r="L4637" s="115"/>
      <c r="M4637" s="115"/>
      <c r="N4637" s="115"/>
      <c r="O4637" s="115"/>
    </row>
    <row r="4638">
      <c r="E4638" s="115"/>
      <c r="F4638" s="115"/>
      <c r="G4638" s="115"/>
      <c r="H4638" s="115"/>
      <c r="I4638" s="115"/>
      <c r="J4638" s="115"/>
      <c r="K4638" s="115"/>
      <c r="L4638" s="115"/>
      <c r="M4638" s="115"/>
      <c r="N4638" s="115"/>
      <c r="O4638" s="115"/>
    </row>
    <row r="4639">
      <c r="E4639" s="115"/>
      <c r="F4639" s="115"/>
      <c r="G4639" s="115"/>
      <c r="H4639" s="115"/>
      <c r="I4639" s="115"/>
      <c r="J4639" s="115"/>
      <c r="K4639" s="115"/>
      <c r="L4639" s="115"/>
      <c r="M4639" s="115"/>
      <c r="N4639" s="115"/>
      <c r="O4639" s="115"/>
    </row>
    <row r="4640">
      <c r="E4640" s="115"/>
      <c r="F4640" s="115"/>
      <c r="G4640" s="115"/>
      <c r="H4640" s="115"/>
      <c r="I4640" s="115"/>
      <c r="J4640" s="115"/>
      <c r="K4640" s="115"/>
      <c r="L4640" s="115"/>
      <c r="M4640" s="115"/>
      <c r="N4640" s="115"/>
      <c r="O4640" s="115"/>
    </row>
    <row r="4641">
      <c r="E4641" s="115"/>
      <c r="F4641" s="115"/>
      <c r="G4641" s="115"/>
      <c r="H4641" s="115"/>
      <c r="I4641" s="115"/>
      <c r="J4641" s="115"/>
      <c r="K4641" s="115"/>
      <c r="L4641" s="115"/>
      <c r="M4641" s="115"/>
      <c r="N4641" s="115"/>
      <c r="O4641" s="115"/>
    </row>
    <row r="4642">
      <c r="E4642" s="115"/>
      <c r="F4642" s="115"/>
      <c r="G4642" s="115"/>
      <c r="H4642" s="115"/>
      <c r="I4642" s="115"/>
      <c r="J4642" s="115"/>
      <c r="K4642" s="115"/>
      <c r="L4642" s="115"/>
      <c r="M4642" s="115"/>
      <c r="N4642" s="115"/>
      <c r="O4642" s="115"/>
    </row>
    <row r="4643">
      <c r="E4643" s="115"/>
      <c r="F4643" s="115"/>
      <c r="G4643" s="115"/>
      <c r="H4643" s="115"/>
      <c r="I4643" s="115"/>
      <c r="J4643" s="115"/>
      <c r="K4643" s="115"/>
      <c r="L4643" s="115"/>
      <c r="M4643" s="115"/>
      <c r="N4643" s="115"/>
      <c r="O4643" s="115"/>
    </row>
    <row r="4644">
      <c r="E4644" s="115"/>
      <c r="F4644" s="115"/>
      <c r="G4644" s="115"/>
      <c r="H4644" s="115"/>
      <c r="I4644" s="115"/>
      <c r="J4644" s="115"/>
      <c r="K4644" s="115"/>
      <c r="L4644" s="115"/>
      <c r="M4644" s="115"/>
      <c r="N4644" s="115"/>
      <c r="O4644" s="115"/>
    </row>
    <row r="4645">
      <c r="E4645" s="115"/>
      <c r="F4645" s="115"/>
      <c r="G4645" s="115"/>
      <c r="H4645" s="115"/>
      <c r="I4645" s="115"/>
      <c r="J4645" s="115"/>
      <c r="K4645" s="115"/>
      <c r="L4645" s="115"/>
      <c r="M4645" s="115"/>
      <c r="N4645" s="115"/>
      <c r="O4645" s="115"/>
    </row>
    <row r="4646">
      <c r="E4646" s="115"/>
      <c r="F4646" s="115"/>
      <c r="G4646" s="115"/>
      <c r="H4646" s="115"/>
      <c r="I4646" s="115"/>
      <c r="J4646" s="115"/>
      <c r="K4646" s="115"/>
      <c r="L4646" s="115"/>
      <c r="M4646" s="115"/>
      <c r="N4646" s="115"/>
      <c r="O4646" s="115"/>
    </row>
    <row r="4647">
      <c r="E4647" s="115"/>
      <c r="F4647" s="115"/>
      <c r="G4647" s="115"/>
      <c r="H4647" s="115"/>
      <c r="I4647" s="115"/>
      <c r="J4647" s="115"/>
      <c r="K4647" s="115"/>
      <c r="L4647" s="115"/>
      <c r="M4647" s="115"/>
      <c r="N4647" s="115"/>
      <c r="O4647" s="115"/>
    </row>
    <row r="4648">
      <c r="E4648" s="115"/>
      <c r="F4648" s="115"/>
      <c r="G4648" s="115"/>
      <c r="H4648" s="115"/>
      <c r="I4648" s="115"/>
      <c r="J4648" s="115"/>
      <c r="K4648" s="115"/>
      <c r="L4648" s="115"/>
      <c r="M4648" s="115"/>
      <c r="N4648" s="115"/>
      <c r="O4648" s="115"/>
    </row>
    <row r="4649">
      <c r="E4649" s="115"/>
      <c r="F4649" s="115"/>
      <c r="G4649" s="115"/>
      <c r="H4649" s="115"/>
      <c r="I4649" s="115"/>
      <c r="J4649" s="115"/>
      <c r="K4649" s="115"/>
      <c r="L4649" s="115"/>
      <c r="M4649" s="115"/>
      <c r="N4649" s="115"/>
      <c r="O4649" s="115"/>
    </row>
    <row r="4650">
      <c r="E4650" s="115"/>
      <c r="F4650" s="115"/>
      <c r="G4650" s="115"/>
      <c r="H4650" s="115"/>
      <c r="I4650" s="115"/>
      <c r="J4650" s="115"/>
      <c r="K4650" s="115"/>
      <c r="L4650" s="115"/>
      <c r="M4650" s="115"/>
      <c r="N4650" s="115"/>
      <c r="O4650" s="115"/>
    </row>
    <row r="4651">
      <c r="E4651" s="115"/>
      <c r="F4651" s="115"/>
      <c r="G4651" s="115"/>
      <c r="H4651" s="115"/>
      <c r="I4651" s="115"/>
      <c r="J4651" s="115"/>
      <c r="K4651" s="115"/>
      <c r="L4651" s="115"/>
      <c r="M4651" s="115"/>
      <c r="N4651" s="115"/>
      <c r="O4651" s="115"/>
    </row>
    <row r="4652">
      <c r="E4652" s="115"/>
      <c r="F4652" s="115"/>
      <c r="G4652" s="115"/>
      <c r="H4652" s="115"/>
      <c r="I4652" s="115"/>
      <c r="J4652" s="115"/>
      <c r="K4652" s="115"/>
      <c r="L4652" s="115"/>
      <c r="M4652" s="115"/>
      <c r="N4652" s="115"/>
      <c r="O4652" s="115"/>
    </row>
    <row r="4653">
      <c r="E4653" s="115"/>
      <c r="F4653" s="115"/>
      <c r="G4653" s="115"/>
      <c r="H4653" s="115"/>
      <c r="I4653" s="115"/>
      <c r="J4653" s="115"/>
      <c r="K4653" s="115"/>
      <c r="L4653" s="115"/>
      <c r="M4653" s="115"/>
      <c r="N4653" s="115"/>
      <c r="O4653" s="115"/>
    </row>
    <row r="4654">
      <c r="E4654" s="115"/>
      <c r="F4654" s="115"/>
      <c r="G4654" s="115"/>
      <c r="H4654" s="115"/>
      <c r="I4654" s="115"/>
      <c r="J4654" s="115"/>
      <c r="K4654" s="115"/>
      <c r="L4654" s="115"/>
      <c r="M4654" s="115"/>
      <c r="N4654" s="115"/>
      <c r="O4654" s="115"/>
    </row>
    <row r="4655">
      <c r="E4655" s="115"/>
      <c r="F4655" s="115"/>
      <c r="G4655" s="115"/>
      <c r="H4655" s="115"/>
      <c r="I4655" s="115"/>
      <c r="J4655" s="115"/>
      <c r="K4655" s="115"/>
      <c r="L4655" s="115"/>
      <c r="M4655" s="115"/>
      <c r="N4655" s="115"/>
      <c r="O4655" s="115"/>
    </row>
    <row r="4656">
      <c r="E4656" s="115"/>
      <c r="F4656" s="115"/>
      <c r="G4656" s="115"/>
      <c r="H4656" s="115"/>
      <c r="I4656" s="115"/>
      <c r="J4656" s="115"/>
      <c r="K4656" s="115"/>
      <c r="L4656" s="115"/>
      <c r="M4656" s="115"/>
      <c r="N4656" s="115"/>
      <c r="O4656" s="115"/>
    </row>
    <row r="4657">
      <c r="E4657" s="115"/>
      <c r="F4657" s="115"/>
      <c r="G4657" s="115"/>
      <c r="H4657" s="115"/>
      <c r="I4657" s="115"/>
      <c r="J4657" s="115"/>
      <c r="K4657" s="115"/>
      <c r="L4657" s="115"/>
      <c r="M4657" s="115"/>
      <c r="N4657" s="115"/>
      <c r="O4657" s="115"/>
    </row>
    <row r="4658">
      <c r="E4658" s="115"/>
      <c r="F4658" s="115"/>
      <c r="G4658" s="115"/>
      <c r="H4658" s="115"/>
      <c r="I4658" s="115"/>
      <c r="J4658" s="115"/>
      <c r="K4658" s="115"/>
      <c r="L4658" s="115"/>
      <c r="M4658" s="115"/>
      <c r="N4658" s="115"/>
      <c r="O4658" s="115"/>
    </row>
    <row r="4659">
      <c r="E4659" s="115"/>
      <c r="F4659" s="115"/>
      <c r="G4659" s="115"/>
      <c r="H4659" s="115"/>
      <c r="I4659" s="115"/>
      <c r="J4659" s="115"/>
      <c r="K4659" s="115"/>
      <c r="L4659" s="115"/>
      <c r="M4659" s="115"/>
      <c r="N4659" s="115"/>
      <c r="O4659" s="115"/>
    </row>
    <row r="4660">
      <c r="E4660" s="115"/>
      <c r="F4660" s="115"/>
      <c r="G4660" s="115"/>
      <c r="H4660" s="115"/>
      <c r="I4660" s="115"/>
      <c r="J4660" s="115"/>
      <c r="K4660" s="115"/>
      <c r="L4660" s="115"/>
      <c r="M4660" s="115"/>
      <c r="N4660" s="115"/>
      <c r="O4660" s="115"/>
    </row>
    <row r="4661">
      <c r="E4661" s="115"/>
      <c r="F4661" s="115"/>
      <c r="G4661" s="115"/>
      <c r="H4661" s="115"/>
      <c r="I4661" s="115"/>
      <c r="J4661" s="115"/>
      <c r="K4661" s="115"/>
      <c r="L4661" s="115"/>
      <c r="M4661" s="115"/>
      <c r="N4661" s="115"/>
      <c r="O4661" s="115"/>
    </row>
    <row r="4662">
      <c r="E4662" s="115"/>
      <c r="F4662" s="115"/>
      <c r="G4662" s="115"/>
      <c r="H4662" s="115"/>
      <c r="I4662" s="115"/>
      <c r="J4662" s="115"/>
      <c r="K4662" s="115"/>
      <c r="L4662" s="115"/>
      <c r="M4662" s="115"/>
      <c r="N4662" s="115"/>
      <c r="O4662" s="115"/>
    </row>
    <row r="4663">
      <c r="E4663" s="115"/>
      <c r="F4663" s="115"/>
      <c r="G4663" s="115"/>
      <c r="H4663" s="115"/>
      <c r="I4663" s="115"/>
      <c r="J4663" s="115"/>
      <c r="K4663" s="115"/>
      <c r="L4663" s="115"/>
      <c r="M4663" s="115"/>
      <c r="N4663" s="115"/>
      <c r="O4663" s="115"/>
    </row>
    <row r="4664">
      <c r="E4664" s="115"/>
      <c r="F4664" s="115"/>
      <c r="G4664" s="115"/>
      <c r="H4664" s="115"/>
      <c r="I4664" s="115"/>
      <c r="J4664" s="115"/>
      <c r="K4664" s="115"/>
      <c r="L4664" s="115"/>
      <c r="M4664" s="115"/>
      <c r="N4664" s="115"/>
      <c r="O4664" s="115"/>
    </row>
    <row r="4665">
      <c r="E4665" s="115"/>
      <c r="F4665" s="115"/>
      <c r="G4665" s="115"/>
      <c r="H4665" s="115"/>
      <c r="I4665" s="115"/>
      <c r="J4665" s="115"/>
      <c r="K4665" s="115"/>
      <c r="L4665" s="115"/>
      <c r="M4665" s="115"/>
      <c r="N4665" s="115"/>
      <c r="O4665" s="115"/>
    </row>
    <row r="4666">
      <c r="E4666" s="115"/>
      <c r="F4666" s="115"/>
      <c r="G4666" s="115"/>
      <c r="H4666" s="115"/>
      <c r="I4666" s="115"/>
      <c r="J4666" s="115"/>
      <c r="K4666" s="115"/>
      <c r="L4666" s="115"/>
      <c r="M4666" s="115"/>
      <c r="N4666" s="115"/>
      <c r="O4666" s="115"/>
    </row>
    <row r="4667">
      <c r="E4667" s="115"/>
      <c r="F4667" s="115"/>
      <c r="G4667" s="115"/>
      <c r="H4667" s="115"/>
      <c r="I4667" s="115"/>
      <c r="J4667" s="115"/>
      <c r="K4667" s="115"/>
      <c r="L4667" s="115"/>
      <c r="M4667" s="115"/>
      <c r="N4667" s="115"/>
      <c r="O4667" s="115"/>
    </row>
    <row r="4668">
      <c r="E4668" s="115"/>
      <c r="F4668" s="115"/>
      <c r="G4668" s="115"/>
      <c r="H4668" s="115"/>
      <c r="I4668" s="115"/>
      <c r="J4668" s="115"/>
      <c r="K4668" s="115"/>
      <c r="L4668" s="115"/>
      <c r="M4668" s="115"/>
      <c r="N4668" s="115"/>
      <c r="O4668" s="115"/>
    </row>
    <row r="4669">
      <c r="E4669" s="115"/>
      <c r="F4669" s="115"/>
      <c r="G4669" s="115"/>
      <c r="H4669" s="115"/>
      <c r="I4669" s="115"/>
      <c r="J4669" s="115"/>
      <c r="K4669" s="115"/>
      <c r="L4669" s="115"/>
      <c r="M4669" s="115"/>
      <c r="N4669" s="115"/>
      <c r="O4669" s="115"/>
    </row>
    <row r="4670">
      <c r="E4670" s="115"/>
      <c r="F4670" s="115"/>
      <c r="G4670" s="115"/>
      <c r="H4670" s="115"/>
      <c r="I4670" s="115"/>
      <c r="J4670" s="115"/>
      <c r="K4670" s="115"/>
      <c r="L4670" s="115"/>
      <c r="M4670" s="115"/>
      <c r="N4670" s="115"/>
      <c r="O4670" s="115"/>
    </row>
    <row r="4671">
      <c r="E4671" s="115"/>
      <c r="F4671" s="115"/>
      <c r="G4671" s="115"/>
      <c r="H4671" s="115"/>
      <c r="I4671" s="115"/>
      <c r="J4671" s="115"/>
      <c r="K4671" s="115"/>
      <c r="L4671" s="115"/>
      <c r="M4671" s="115"/>
      <c r="N4671" s="115"/>
      <c r="O4671" s="115"/>
    </row>
    <row r="4672">
      <c r="E4672" s="115"/>
      <c r="F4672" s="115"/>
      <c r="G4672" s="115"/>
      <c r="H4672" s="115"/>
      <c r="I4672" s="115"/>
      <c r="J4672" s="115"/>
      <c r="K4672" s="115"/>
      <c r="L4672" s="115"/>
      <c r="M4672" s="115"/>
      <c r="N4672" s="115"/>
      <c r="O4672" s="115"/>
    </row>
    <row r="4673">
      <c r="E4673" s="115"/>
      <c r="F4673" s="115"/>
      <c r="G4673" s="115"/>
      <c r="H4673" s="115"/>
      <c r="I4673" s="115"/>
      <c r="J4673" s="115"/>
      <c r="K4673" s="115"/>
      <c r="L4673" s="115"/>
      <c r="M4673" s="115"/>
      <c r="N4673" s="115"/>
      <c r="O4673" s="115"/>
    </row>
    <row r="4674">
      <c r="E4674" s="115"/>
      <c r="F4674" s="115"/>
      <c r="G4674" s="115"/>
      <c r="H4674" s="115"/>
      <c r="I4674" s="115"/>
      <c r="J4674" s="115"/>
      <c r="K4674" s="115"/>
      <c r="L4674" s="115"/>
      <c r="M4674" s="115"/>
      <c r="N4674" s="115"/>
      <c r="O4674" s="115"/>
    </row>
    <row r="4675">
      <c r="E4675" s="115"/>
      <c r="F4675" s="115"/>
      <c r="G4675" s="115"/>
      <c r="H4675" s="115"/>
      <c r="I4675" s="115"/>
      <c r="J4675" s="115"/>
      <c r="K4675" s="115"/>
      <c r="L4675" s="115"/>
      <c r="M4675" s="115"/>
      <c r="N4675" s="115"/>
      <c r="O4675" s="115"/>
    </row>
    <row r="4676">
      <c r="E4676" s="115"/>
      <c r="F4676" s="115"/>
      <c r="G4676" s="115"/>
      <c r="H4676" s="115"/>
      <c r="I4676" s="115"/>
      <c r="J4676" s="115"/>
      <c r="K4676" s="115"/>
      <c r="L4676" s="115"/>
      <c r="M4676" s="115"/>
      <c r="N4676" s="115"/>
      <c r="O4676" s="115"/>
    </row>
    <row r="4677">
      <c r="E4677" s="115"/>
      <c r="F4677" s="115"/>
      <c r="G4677" s="115"/>
      <c r="H4677" s="115"/>
      <c r="I4677" s="115"/>
      <c r="J4677" s="115"/>
      <c r="K4677" s="115"/>
      <c r="L4677" s="115"/>
      <c r="M4677" s="115"/>
      <c r="N4677" s="115"/>
      <c r="O4677" s="115"/>
    </row>
    <row r="4678">
      <c r="E4678" s="115"/>
      <c r="F4678" s="115"/>
      <c r="G4678" s="115"/>
      <c r="H4678" s="115"/>
      <c r="I4678" s="115"/>
      <c r="J4678" s="115"/>
      <c r="K4678" s="115"/>
      <c r="L4678" s="115"/>
      <c r="M4678" s="115"/>
      <c r="N4678" s="115"/>
      <c r="O4678" s="115"/>
    </row>
    <row r="4679">
      <c r="E4679" s="115"/>
      <c r="F4679" s="115"/>
      <c r="G4679" s="115"/>
      <c r="H4679" s="115"/>
      <c r="I4679" s="115"/>
      <c r="J4679" s="115"/>
      <c r="K4679" s="115"/>
      <c r="L4679" s="115"/>
      <c r="M4679" s="115"/>
      <c r="N4679" s="115"/>
      <c r="O4679" s="115"/>
    </row>
    <row r="4680">
      <c r="E4680" s="115"/>
      <c r="F4680" s="115"/>
      <c r="G4680" s="115"/>
      <c r="H4680" s="115"/>
      <c r="I4680" s="115"/>
      <c r="J4680" s="115"/>
      <c r="K4680" s="115"/>
      <c r="L4680" s="115"/>
      <c r="M4680" s="115"/>
      <c r="N4680" s="115"/>
      <c r="O4680" s="115"/>
    </row>
    <row r="4681">
      <c r="E4681" s="115"/>
      <c r="F4681" s="115"/>
      <c r="G4681" s="115"/>
      <c r="H4681" s="115"/>
      <c r="I4681" s="115"/>
      <c r="J4681" s="115"/>
      <c r="K4681" s="115"/>
      <c r="L4681" s="115"/>
      <c r="M4681" s="115"/>
      <c r="N4681" s="115"/>
      <c r="O4681" s="115"/>
    </row>
    <row r="4682">
      <c r="E4682" s="115"/>
      <c r="F4682" s="115"/>
      <c r="G4682" s="115"/>
      <c r="H4682" s="115"/>
      <c r="I4682" s="115"/>
      <c r="J4682" s="115"/>
      <c r="K4682" s="115"/>
      <c r="L4682" s="115"/>
      <c r="M4682" s="115"/>
      <c r="N4682" s="115"/>
      <c r="O4682" s="115"/>
    </row>
    <row r="4683">
      <c r="E4683" s="115"/>
      <c r="F4683" s="115"/>
      <c r="G4683" s="115"/>
      <c r="H4683" s="115"/>
      <c r="I4683" s="115"/>
      <c r="J4683" s="115"/>
      <c r="K4683" s="115"/>
      <c r="L4683" s="115"/>
      <c r="M4683" s="115"/>
      <c r="N4683" s="115"/>
      <c r="O4683" s="115"/>
    </row>
    <row r="4684">
      <c r="E4684" s="115"/>
      <c r="F4684" s="115"/>
      <c r="G4684" s="115"/>
      <c r="H4684" s="115"/>
      <c r="I4684" s="115"/>
      <c r="J4684" s="115"/>
      <c r="K4684" s="115"/>
      <c r="L4684" s="115"/>
      <c r="M4684" s="115"/>
      <c r="N4684" s="115"/>
      <c r="O4684" s="115"/>
    </row>
    <row r="4685">
      <c r="E4685" s="115"/>
      <c r="F4685" s="115"/>
      <c r="G4685" s="115"/>
      <c r="H4685" s="115"/>
      <c r="I4685" s="115"/>
      <c r="J4685" s="115"/>
      <c r="K4685" s="115"/>
      <c r="L4685" s="115"/>
      <c r="M4685" s="115"/>
      <c r="N4685" s="115"/>
      <c r="O4685" s="115"/>
    </row>
    <row r="4686">
      <c r="E4686" s="115"/>
      <c r="F4686" s="115"/>
      <c r="G4686" s="115"/>
      <c r="H4686" s="115"/>
      <c r="I4686" s="115"/>
      <c r="J4686" s="115"/>
      <c r="K4686" s="115"/>
      <c r="L4686" s="115"/>
      <c r="M4686" s="115"/>
      <c r="N4686" s="115"/>
      <c r="O4686" s="115"/>
    </row>
    <row r="4687">
      <c r="E4687" s="115"/>
      <c r="F4687" s="115"/>
      <c r="G4687" s="115"/>
      <c r="H4687" s="115"/>
      <c r="I4687" s="115"/>
      <c r="J4687" s="115"/>
      <c r="K4687" s="115"/>
      <c r="L4687" s="115"/>
      <c r="M4687" s="115"/>
      <c r="N4687" s="115"/>
      <c r="O4687" s="115"/>
    </row>
    <row r="4688">
      <c r="E4688" s="115"/>
      <c r="F4688" s="115"/>
      <c r="G4688" s="115"/>
      <c r="H4688" s="115"/>
      <c r="I4688" s="115"/>
      <c r="J4688" s="115"/>
      <c r="K4688" s="115"/>
      <c r="L4688" s="115"/>
      <c r="M4688" s="115"/>
      <c r="N4688" s="115"/>
      <c r="O4688" s="115"/>
    </row>
    <row r="4689">
      <c r="E4689" s="115"/>
      <c r="F4689" s="115"/>
      <c r="G4689" s="115"/>
      <c r="H4689" s="115"/>
      <c r="I4689" s="115"/>
      <c r="J4689" s="115"/>
      <c r="K4689" s="115"/>
      <c r="L4689" s="115"/>
      <c r="M4689" s="115"/>
      <c r="N4689" s="115"/>
      <c r="O4689" s="115"/>
    </row>
    <row r="4690">
      <c r="E4690" s="115"/>
      <c r="F4690" s="115"/>
      <c r="G4690" s="115"/>
      <c r="H4690" s="115"/>
      <c r="I4690" s="115"/>
      <c r="J4690" s="115"/>
      <c r="K4690" s="115"/>
      <c r="L4690" s="115"/>
      <c r="M4690" s="115"/>
      <c r="N4690" s="115"/>
      <c r="O4690" s="115"/>
    </row>
    <row r="4691">
      <c r="E4691" s="115"/>
      <c r="F4691" s="115"/>
      <c r="G4691" s="115"/>
      <c r="H4691" s="115"/>
      <c r="I4691" s="115"/>
      <c r="J4691" s="115"/>
      <c r="K4691" s="115"/>
      <c r="L4691" s="115"/>
      <c r="M4691" s="115"/>
      <c r="N4691" s="115"/>
      <c r="O4691" s="115"/>
    </row>
    <row r="4692">
      <c r="E4692" s="115"/>
      <c r="F4692" s="115"/>
      <c r="G4692" s="115"/>
      <c r="H4692" s="115"/>
      <c r="I4692" s="115"/>
      <c r="J4692" s="115"/>
      <c r="K4692" s="115"/>
      <c r="L4692" s="115"/>
      <c r="M4692" s="115"/>
      <c r="N4692" s="115"/>
      <c r="O4692" s="115"/>
    </row>
    <row r="4693">
      <c r="E4693" s="115"/>
      <c r="F4693" s="115"/>
      <c r="G4693" s="115"/>
      <c r="H4693" s="115"/>
      <c r="I4693" s="115"/>
      <c r="J4693" s="115"/>
      <c r="K4693" s="115"/>
      <c r="L4693" s="115"/>
      <c r="M4693" s="115"/>
      <c r="N4693" s="115"/>
      <c r="O4693" s="115"/>
    </row>
    <row r="4694">
      <c r="E4694" s="115"/>
      <c r="F4694" s="115"/>
      <c r="G4694" s="115"/>
      <c r="H4694" s="115"/>
      <c r="I4694" s="115"/>
      <c r="J4694" s="115"/>
      <c r="K4694" s="115"/>
      <c r="L4694" s="115"/>
      <c r="M4694" s="115"/>
      <c r="N4694" s="115"/>
      <c r="O4694" s="115"/>
    </row>
    <row r="4695">
      <c r="E4695" s="115"/>
      <c r="F4695" s="115"/>
      <c r="G4695" s="115"/>
      <c r="H4695" s="115"/>
      <c r="I4695" s="115"/>
      <c r="J4695" s="115"/>
      <c r="K4695" s="115"/>
      <c r="L4695" s="115"/>
      <c r="M4695" s="115"/>
      <c r="N4695" s="115"/>
      <c r="O4695" s="115"/>
    </row>
    <row r="4696">
      <c r="E4696" s="115"/>
      <c r="F4696" s="115"/>
      <c r="G4696" s="115"/>
      <c r="H4696" s="115"/>
      <c r="I4696" s="115"/>
      <c r="J4696" s="115"/>
      <c r="K4696" s="115"/>
      <c r="L4696" s="115"/>
      <c r="M4696" s="115"/>
      <c r="N4696" s="115"/>
      <c r="O4696" s="115"/>
    </row>
    <row r="4697">
      <c r="E4697" s="115"/>
      <c r="F4697" s="115"/>
      <c r="G4697" s="115"/>
      <c r="H4697" s="115"/>
      <c r="I4697" s="115"/>
      <c r="J4697" s="115"/>
      <c r="K4697" s="115"/>
      <c r="L4697" s="115"/>
      <c r="M4697" s="115"/>
      <c r="N4697" s="115"/>
      <c r="O4697" s="115"/>
    </row>
    <row r="4698">
      <c r="E4698" s="115"/>
      <c r="F4698" s="115"/>
      <c r="G4698" s="115"/>
      <c r="H4698" s="115"/>
      <c r="I4698" s="115"/>
      <c r="J4698" s="115"/>
      <c r="K4698" s="115"/>
      <c r="L4698" s="115"/>
      <c r="M4698" s="115"/>
      <c r="N4698" s="115"/>
      <c r="O4698" s="115"/>
    </row>
    <row r="4699">
      <c r="E4699" s="115"/>
      <c r="F4699" s="115"/>
      <c r="G4699" s="115"/>
      <c r="H4699" s="115"/>
      <c r="I4699" s="115"/>
      <c r="J4699" s="115"/>
      <c r="K4699" s="115"/>
      <c r="L4699" s="115"/>
      <c r="M4699" s="115"/>
      <c r="N4699" s="115"/>
      <c r="O4699" s="115"/>
    </row>
    <row r="4700">
      <c r="E4700" s="115"/>
      <c r="F4700" s="115"/>
      <c r="G4700" s="115"/>
      <c r="H4700" s="115"/>
      <c r="I4700" s="115"/>
      <c r="J4700" s="115"/>
      <c r="K4700" s="115"/>
      <c r="L4700" s="115"/>
      <c r="M4700" s="115"/>
      <c r="N4700" s="115"/>
      <c r="O4700" s="115"/>
    </row>
    <row r="4701">
      <c r="E4701" s="115"/>
      <c r="F4701" s="115"/>
      <c r="G4701" s="115"/>
      <c r="H4701" s="115"/>
      <c r="I4701" s="115"/>
      <c r="J4701" s="115"/>
      <c r="K4701" s="115"/>
      <c r="L4701" s="115"/>
      <c r="M4701" s="115"/>
      <c r="N4701" s="115"/>
      <c r="O4701" s="115"/>
    </row>
    <row r="4702">
      <c r="E4702" s="115"/>
      <c r="F4702" s="115"/>
      <c r="G4702" s="115"/>
      <c r="H4702" s="115"/>
      <c r="I4702" s="115"/>
      <c r="J4702" s="115"/>
      <c r="K4702" s="115"/>
      <c r="L4702" s="115"/>
      <c r="M4702" s="115"/>
      <c r="N4702" s="115"/>
      <c r="O4702" s="115"/>
    </row>
    <row r="4703">
      <c r="E4703" s="115"/>
      <c r="F4703" s="115"/>
      <c r="G4703" s="115"/>
      <c r="H4703" s="115"/>
      <c r="I4703" s="115"/>
      <c r="J4703" s="115"/>
      <c r="K4703" s="115"/>
      <c r="L4703" s="115"/>
      <c r="M4703" s="115"/>
      <c r="N4703" s="115"/>
      <c r="O4703" s="115"/>
    </row>
    <row r="4704">
      <c r="E4704" s="115"/>
      <c r="F4704" s="115"/>
      <c r="G4704" s="115"/>
      <c r="H4704" s="115"/>
      <c r="I4704" s="115"/>
      <c r="J4704" s="115"/>
      <c r="K4704" s="115"/>
      <c r="L4704" s="115"/>
      <c r="M4704" s="115"/>
      <c r="N4704" s="115"/>
      <c r="O4704" s="115"/>
    </row>
    <row r="4705">
      <c r="E4705" s="115"/>
      <c r="F4705" s="115"/>
      <c r="G4705" s="115"/>
      <c r="H4705" s="115"/>
      <c r="I4705" s="115"/>
      <c r="J4705" s="115"/>
      <c r="K4705" s="115"/>
      <c r="L4705" s="115"/>
      <c r="M4705" s="115"/>
      <c r="N4705" s="115"/>
      <c r="O4705" s="115"/>
    </row>
    <row r="4706">
      <c r="E4706" s="115"/>
      <c r="F4706" s="115"/>
      <c r="G4706" s="115"/>
      <c r="H4706" s="115"/>
      <c r="I4706" s="115"/>
      <c r="J4706" s="115"/>
      <c r="K4706" s="115"/>
      <c r="L4706" s="115"/>
      <c r="M4706" s="115"/>
      <c r="N4706" s="115"/>
      <c r="O4706" s="115"/>
    </row>
    <row r="4707">
      <c r="E4707" s="115"/>
      <c r="F4707" s="115"/>
      <c r="G4707" s="115"/>
      <c r="H4707" s="115"/>
      <c r="I4707" s="115"/>
      <c r="J4707" s="115"/>
      <c r="K4707" s="115"/>
      <c r="L4707" s="115"/>
      <c r="M4707" s="115"/>
      <c r="N4707" s="115"/>
      <c r="O4707" s="115"/>
    </row>
    <row r="4708">
      <c r="E4708" s="115"/>
      <c r="F4708" s="115"/>
      <c r="G4708" s="115"/>
      <c r="H4708" s="115"/>
      <c r="I4708" s="115"/>
      <c r="J4708" s="115"/>
      <c r="K4708" s="115"/>
      <c r="L4708" s="115"/>
      <c r="M4708" s="115"/>
      <c r="N4708" s="115"/>
      <c r="O4708" s="115"/>
    </row>
    <row r="4709">
      <c r="E4709" s="115"/>
      <c r="F4709" s="115"/>
      <c r="G4709" s="115"/>
      <c r="H4709" s="115"/>
      <c r="I4709" s="115"/>
      <c r="J4709" s="115"/>
      <c r="K4709" s="115"/>
      <c r="L4709" s="115"/>
      <c r="M4709" s="115"/>
      <c r="N4709" s="115"/>
      <c r="O4709" s="115"/>
    </row>
    <row r="4710">
      <c r="E4710" s="115"/>
      <c r="F4710" s="115"/>
      <c r="G4710" s="115"/>
      <c r="H4710" s="115"/>
      <c r="I4710" s="115"/>
      <c r="J4710" s="115"/>
      <c r="K4710" s="115"/>
      <c r="L4710" s="115"/>
      <c r="M4710" s="115"/>
      <c r="N4710" s="115"/>
      <c r="O4710" s="115"/>
    </row>
    <row r="4711">
      <c r="E4711" s="115"/>
      <c r="F4711" s="115"/>
      <c r="G4711" s="115"/>
      <c r="H4711" s="115"/>
      <c r="I4711" s="115"/>
      <c r="J4711" s="115"/>
      <c r="K4711" s="115"/>
      <c r="L4711" s="115"/>
      <c r="M4711" s="115"/>
      <c r="N4711" s="115"/>
      <c r="O4711" s="115"/>
    </row>
    <row r="4712">
      <c r="E4712" s="115"/>
      <c r="F4712" s="115"/>
      <c r="G4712" s="115"/>
      <c r="H4712" s="115"/>
      <c r="I4712" s="115"/>
      <c r="J4712" s="115"/>
      <c r="K4712" s="115"/>
      <c r="L4712" s="115"/>
      <c r="M4712" s="115"/>
      <c r="N4712" s="115"/>
      <c r="O4712" s="115"/>
    </row>
    <row r="4713">
      <c r="E4713" s="115"/>
      <c r="F4713" s="115"/>
      <c r="G4713" s="115"/>
      <c r="H4713" s="115"/>
      <c r="I4713" s="115"/>
      <c r="J4713" s="115"/>
      <c r="K4713" s="115"/>
      <c r="L4713" s="115"/>
      <c r="M4713" s="115"/>
      <c r="N4713" s="115"/>
      <c r="O4713" s="115"/>
    </row>
    <row r="4714">
      <c r="E4714" s="115"/>
      <c r="F4714" s="115"/>
      <c r="G4714" s="115"/>
      <c r="H4714" s="115"/>
      <c r="I4714" s="115"/>
      <c r="J4714" s="115"/>
      <c r="K4714" s="115"/>
      <c r="L4714" s="115"/>
      <c r="M4714" s="115"/>
      <c r="N4714" s="115"/>
      <c r="O4714" s="115"/>
    </row>
    <row r="4715">
      <c r="E4715" s="115"/>
      <c r="F4715" s="115"/>
      <c r="G4715" s="115"/>
      <c r="H4715" s="115"/>
      <c r="I4715" s="115"/>
      <c r="J4715" s="115"/>
      <c r="K4715" s="115"/>
      <c r="L4715" s="115"/>
      <c r="M4715" s="115"/>
      <c r="N4715" s="115"/>
      <c r="O4715" s="115"/>
    </row>
    <row r="4716">
      <c r="E4716" s="115"/>
      <c r="F4716" s="115"/>
      <c r="G4716" s="115"/>
      <c r="H4716" s="115"/>
      <c r="I4716" s="115"/>
      <c r="J4716" s="115"/>
      <c r="K4716" s="115"/>
      <c r="L4716" s="115"/>
      <c r="M4716" s="115"/>
      <c r="N4716" s="115"/>
      <c r="O4716" s="115"/>
    </row>
    <row r="4717">
      <c r="E4717" s="115"/>
      <c r="F4717" s="115"/>
      <c r="G4717" s="115"/>
      <c r="H4717" s="115"/>
      <c r="I4717" s="115"/>
      <c r="J4717" s="115"/>
      <c r="K4717" s="115"/>
      <c r="L4717" s="115"/>
      <c r="M4717" s="115"/>
      <c r="N4717" s="115"/>
      <c r="O4717" s="115"/>
    </row>
    <row r="4718">
      <c r="E4718" s="115"/>
      <c r="F4718" s="115"/>
      <c r="G4718" s="115"/>
      <c r="H4718" s="115"/>
      <c r="I4718" s="115"/>
      <c r="J4718" s="115"/>
      <c r="K4718" s="115"/>
      <c r="L4718" s="115"/>
      <c r="M4718" s="115"/>
      <c r="N4718" s="115"/>
      <c r="O4718" s="115"/>
    </row>
    <row r="4719">
      <c r="E4719" s="115"/>
      <c r="F4719" s="115"/>
      <c r="G4719" s="115"/>
      <c r="H4719" s="115"/>
      <c r="I4719" s="115"/>
      <c r="J4719" s="115"/>
      <c r="K4719" s="115"/>
      <c r="L4719" s="115"/>
      <c r="M4719" s="115"/>
      <c r="N4719" s="115"/>
      <c r="O4719" s="115"/>
    </row>
    <row r="4720">
      <c r="E4720" s="115"/>
      <c r="F4720" s="115"/>
      <c r="G4720" s="115"/>
      <c r="H4720" s="115"/>
      <c r="I4720" s="115"/>
      <c r="J4720" s="115"/>
      <c r="K4720" s="115"/>
      <c r="L4720" s="115"/>
      <c r="M4720" s="115"/>
      <c r="N4720" s="115"/>
      <c r="O4720" s="115"/>
    </row>
    <row r="4721">
      <c r="E4721" s="115"/>
      <c r="F4721" s="115"/>
      <c r="G4721" s="115"/>
      <c r="H4721" s="115"/>
      <c r="I4721" s="115"/>
      <c r="J4721" s="115"/>
      <c r="K4721" s="115"/>
      <c r="L4721" s="115"/>
      <c r="M4721" s="115"/>
      <c r="N4721" s="115"/>
      <c r="O4721" s="115"/>
    </row>
    <row r="4722">
      <c r="E4722" s="115"/>
      <c r="F4722" s="115"/>
      <c r="G4722" s="115"/>
      <c r="H4722" s="115"/>
      <c r="I4722" s="115"/>
      <c r="J4722" s="115"/>
      <c r="K4722" s="115"/>
      <c r="L4722" s="115"/>
      <c r="M4722" s="115"/>
      <c r="N4722" s="115"/>
      <c r="O4722" s="115"/>
    </row>
    <row r="4723">
      <c r="E4723" s="115"/>
      <c r="F4723" s="115"/>
      <c r="G4723" s="115"/>
      <c r="H4723" s="115"/>
      <c r="I4723" s="115"/>
      <c r="J4723" s="115"/>
      <c r="K4723" s="115"/>
      <c r="L4723" s="115"/>
      <c r="M4723" s="115"/>
      <c r="N4723" s="115"/>
      <c r="O4723" s="115"/>
    </row>
    <row r="4724">
      <c r="E4724" s="115"/>
      <c r="F4724" s="115"/>
      <c r="G4724" s="115"/>
      <c r="H4724" s="115"/>
      <c r="I4724" s="115"/>
      <c r="J4724" s="115"/>
      <c r="K4724" s="115"/>
      <c r="L4724" s="115"/>
      <c r="M4724" s="115"/>
      <c r="N4724" s="115"/>
      <c r="O4724" s="115"/>
    </row>
    <row r="4725">
      <c r="E4725" s="115"/>
      <c r="F4725" s="115"/>
      <c r="G4725" s="115"/>
      <c r="H4725" s="115"/>
      <c r="I4725" s="115"/>
      <c r="J4725" s="115"/>
      <c r="K4725" s="115"/>
      <c r="L4725" s="115"/>
      <c r="M4725" s="115"/>
      <c r="N4725" s="115"/>
      <c r="O4725" s="115"/>
    </row>
    <row r="4726">
      <c r="E4726" s="115"/>
      <c r="F4726" s="115"/>
      <c r="G4726" s="115"/>
      <c r="H4726" s="115"/>
      <c r="I4726" s="115"/>
      <c r="J4726" s="115"/>
      <c r="K4726" s="115"/>
      <c r="L4726" s="115"/>
      <c r="M4726" s="115"/>
      <c r="N4726" s="115"/>
      <c r="O4726" s="115"/>
    </row>
    <row r="4727">
      <c r="E4727" s="115"/>
      <c r="F4727" s="115"/>
      <c r="G4727" s="115"/>
      <c r="H4727" s="115"/>
      <c r="I4727" s="115"/>
      <c r="J4727" s="115"/>
      <c r="K4727" s="115"/>
      <c r="L4727" s="115"/>
      <c r="M4727" s="115"/>
      <c r="N4727" s="115"/>
      <c r="O4727" s="115"/>
    </row>
    <row r="4728">
      <c r="E4728" s="115"/>
      <c r="F4728" s="115"/>
      <c r="G4728" s="115"/>
      <c r="H4728" s="115"/>
      <c r="I4728" s="115"/>
      <c r="J4728" s="115"/>
      <c r="K4728" s="115"/>
      <c r="L4728" s="115"/>
      <c r="M4728" s="115"/>
      <c r="N4728" s="115"/>
      <c r="O4728" s="115"/>
    </row>
    <row r="4729">
      <c r="E4729" s="115"/>
      <c r="F4729" s="115"/>
      <c r="G4729" s="115"/>
      <c r="H4729" s="115"/>
      <c r="I4729" s="115"/>
      <c r="J4729" s="115"/>
      <c r="K4729" s="115"/>
      <c r="L4729" s="115"/>
      <c r="M4729" s="115"/>
      <c r="N4729" s="115"/>
      <c r="O4729" s="115"/>
    </row>
    <row r="4730">
      <c r="E4730" s="115"/>
      <c r="F4730" s="115"/>
      <c r="G4730" s="115"/>
      <c r="H4730" s="115"/>
      <c r="I4730" s="115"/>
      <c r="J4730" s="115"/>
      <c r="K4730" s="115"/>
      <c r="L4730" s="115"/>
      <c r="M4730" s="115"/>
      <c r="N4730" s="115"/>
      <c r="O4730" s="115"/>
    </row>
    <row r="4731">
      <c r="E4731" s="115"/>
      <c r="F4731" s="115"/>
      <c r="G4731" s="115"/>
      <c r="H4731" s="115"/>
      <c r="I4731" s="115"/>
      <c r="J4731" s="115"/>
      <c r="K4731" s="115"/>
      <c r="L4731" s="115"/>
      <c r="M4731" s="115"/>
      <c r="N4731" s="115"/>
      <c r="O4731" s="115"/>
    </row>
    <row r="4732">
      <c r="E4732" s="115"/>
      <c r="F4732" s="115"/>
      <c r="G4732" s="115"/>
      <c r="H4732" s="115"/>
      <c r="I4732" s="115"/>
      <c r="J4732" s="115"/>
      <c r="K4732" s="115"/>
      <c r="L4732" s="115"/>
      <c r="M4732" s="115"/>
      <c r="N4732" s="115"/>
      <c r="O4732" s="115"/>
    </row>
    <row r="4733">
      <c r="E4733" s="115"/>
      <c r="F4733" s="115"/>
      <c r="G4733" s="115"/>
      <c r="H4733" s="115"/>
      <c r="I4733" s="115"/>
      <c r="J4733" s="115"/>
      <c r="K4733" s="115"/>
      <c r="L4733" s="115"/>
      <c r="M4733" s="115"/>
      <c r="N4733" s="115"/>
      <c r="O4733" s="115"/>
    </row>
    <row r="4734">
      <c r="E4734" s="115"/>
      <c r="F4734" s="115"/>
      <c r="G4734" s="115"/>
      <c r="H4734" s="115"/>
      <c r="I4734" s="115"/>
      <c r="J4734" s="115"/>
      <c r="K4734" s="115"/>
      <c r="L4734" s="115"/>
      <c r="M4734" s="115"/>
      <c r="N4734" s="115"/>
      <c r="O4734" s="115"/>
    </row>
    <row r="4735">
      <c r="E4735" s="115"/>
      <c r="F4735" s="115"/>
      <c r="G4735" s="115"/>
      <c r="H4735" s="115"/>
      <c r="I4735" s="115"/>
      <c r="J4735" s="115"/>
      <c r="K4735" s="115"/>
      <c r="L4735" s="115"/>
      <c r="M4735" s="115"/>
      <c r="N4735" s="115"/>
      <c r="O4735" s="115"/>
    </row>
    <row r="4736">
      <c r="E4736" s="115"/>
      <c r="F4736" s="115"/>
      <c r="G4736" s="115"/>
      <c r="H4736" s="115"/>
      <c r="I4736" s="115"/>
      <c r="J4736" s="115"/>
      <c r="K4736" s="115"/>
      <c r="L4736" s="115"/>
      <c r="M4736" s="115"/>
      <c r="N4736" s="115"/>
      <c r="O4736" s="115"/>
    </row>
    <row r="4737">
      <c r="E4737" s="115"/>
      <c r="F4737" s="115"/>
      <c r="G4737" s="115"/>
      <c r="H4737" s="115"/>
      <c r="I4737" s="115"/>
      <c r="J4737" s="115"/>
      <c r="K4737" s="115"/>
      <c r="L4737" s="115"/>
      <c r="M4737" s="115"/>
      <c r="N4737" s="115"/>
      <c r="O4737" s="115"/>
    </row>
    <row r="4738">
      <c r="E4738" s="115"/>
      <c r="F4738" s="115"/>
      <c r="G4738" s="115"/>
      <c r="H4738" s="115"/>
      <c r="I4738" s="115"/>
      <c r="J4738" s="115"/>
      <c r="K4738" s="115"/>
      <c r="L4738" s="115"/>
      <c r="M4738" s="115"/>
      <c r="N4738" s="115"/>
      <c r="O4738" s="115"/>
    </row>
    <row r="4739">
      <c r="E4739" s="115"/>
      <c r="F4739" s="115"/>
      <c r="G4739" s="115"/>
      <c r="H4739" s="115"/>
      <c r="I4739" s="115"/>
      <c r="J4739" s="115"/>
      <c r="K4739" s="115"/>
      <c r="L4739" s="115"/>
      <c r="M4739" s="115"/>
      <c r="N4739" s="115"/>
      <c r="O4739" s="115"/>
    </row>
    <row r="4740">
      <c r="E4740" s="115"/>
      <c r="F4740" s="115"/>
      <c r="G4740" s="115"/>
      <c r="H4740" s="115"/>
      <c r="I4740" s="115"/>
      <c r="J4740" s="115"/>
      <c r="K4740" s="115"/>
      <c r="L4740" s="115"/>
      <c r="M4740" s="115"/>
      <c r="N4740" s="115"/>
      <c r="O4740" s="115"/>
    </row>
    <row r="4741">
      <c r="E4741" s="115"/>
      <c r="F4741" s="115"/>
      <c r="G4741" s="115"/>
      <c r="H4741" s="115"/>
      <c r="I4741" s="115"/>
      <c r="J4741" s="115"/>
      <c r="K4741" s="115"/>
      <c r="L4741" s="115"/>
      <c r="M4741" s="115"/>
      <c r="N4741" s="115"/>
      <c r="O4741" s="115"/>
    </row>
    <row r="4742">
      <c r="E4742" s="115"/>
      <c r="F4742" s="115"/>
      <c r="G4742" s="115"/>
      <c r="H4742" s="115"/>
      <c r="I4742" s="115"/>
      <c r="J4742" s="115"/>
      <c r="K4742" s="115"/>
      <c r="L4742" s="115"/>
      <c r="M4742" s="115"/>
      <c r="N4742" s="115"/>
      <c r="O4742" s="115"/>
    </row>
    <row r="4743">
      <c r="E4743" s="115"/>
      <c r="F4743" s="115"/>
      <c r="G4743" s="115"/>
      <c r="H4743" s="115"/>
      <c r="I4743" s="115"/>
      <c r="J4743" s="115"/>
      <c r="K4743" s="115"/>
      <c r="L4743" s="115"/>
      <c r="M4743" s="115"/>
      <c r="N4743" s="115"/>
      <c r="O4743" s="115"/>
    </row>
    <row r="4744">
      <c r="E4744" s="115"/>
      <c r="F4744" s="115"/>
      <c r="G4744" s="115"/>
      <c r="H4744" s="115"/>
      <c r="I4744" s="115"/>
      <c r="J4744" s="115"/>
      <c r="K4744" s="115"/>
      <c r="L4744" s="115"/>
      <c r="M4744" s="115"/>
      <c r="N4744" s="115"/>
      <c r="O4744" s="115"/>
    </row>
    <row r="4745">
      <c r="E4745" s="115"/>
      <c r="F4745" s="115"/>
      <c r="G4745" s="115"/>
      <c r="H4745" s="115"/>
      <c r="I4745" s="115"/>
      <c r="J4745" s="115"/>
      <c r="K4745" s="115"/>
      <c r="L4745" s="115"/>
      <c r="M4745" s="115"/>
      <c r="N4745" s="115"/>
      <c r="O4745" s="115"/>
    </row>
    <row r="4746">
      <c r="E4746" s="115"/>
      <c r="F4746" s="115"/>
      <c r="G4746" s="115"/>
      <c r="H4746" s="115"/>
      <c r="I4746" s="115"/>
      <c r="J4746" s="115"/>
      <c r="K4746" s="115"/>
      <c r="L4746" s="115"/>
      <c r="M4746" s="115"/>
      <c r="N4746" s="115"/>
      <c r="O4746" s="115"/>
    </row>
    <row r="4747">
      <c r="E4747" s="115"/>
      <c r="F4747" s="115"/>
      <c r="G4747" s="115"/>
      <c r="H4747" s="115"/>
      <c r="I4747" s="115"/>
      <c r="J4747" s="115"/>
      <c r="K4747" s="115"/>
      <c r="L4747" s="115"/>
      <c r="M4747" s="115"/>
      <c r="N4747" s="115"/>
      <c r="O4747" s="115"/>
    </row>
    <row r="4748">
      <c r="E4748" s="115"/>
      <c r="F4748" s="115"/>
      <c r="G4748" s="115"/>
      <c r="H4748" s="115"/>
      <c r="I4748" s="115"/>
      <c r="J4748" s="115"/>
      <c r="K4748" s="115"/>
      <c r="L4748" s="115"/>
      <c r="M4748" s="115"/>
      <c r="N4748" s="115"/>
      <c r="O4748" s="115"/>
    </row>
    <row r="4749">
      <c r="E4749" s="115"/>
      <c r="F4749" s="115"/>
      <c r="G4749" s="115"/>
      <c r="H4749" s="115"/>
      <c r="I4749" s="115"/>
      <c r="J4749" s="115"/>
      <c r="K4749" s="115"/>
      <c r="L4749" s="115"/>
      <c r="M4749" s="115"/>
      <c r="N4749" s="115"/>
      <c r="O4749" s="115"/>
    </row>
    <row r="4750">
      <c r="E4750" s="115"/>
      <c r="F4750" s="115"/>
      <c r="G4750" s="115"/>
      <c r="H4750" s="115"/>
      <c r="I4750" s="115"/>
      <c r="J4750" s="115"/>
      <c r="K4750" s="115"/>
      <c r="L4750" s="115"/>
      <c r="M4750" s="115"/>
      <c r="N4750" s="115"/>
      <c r="O4750" s="115"/>
    </row>
    <row r="4751">
      <c r="E4751" s="115"/>
      <c r="F4751" s="115"/>
      <c r="G4751" s="115"/>
      <c r="H4751" s="115"/>
      <c r="I4751" s="115"/>
      <c r="J4751" s="115"/>
      <c r="K4751" s="115"/>
      <c r="L4751" s="115"/>
      <c r="M4751" s="115"/>
      <c r="N4751" s="115"/>
      <c r="O4751" s="115"/>
    </row>
    <row r="4752">
      <c r="E4752" s="115"/>
      <c r="F4752" s="115"/>
      <c r="G4752" s="115"/>
      <c r="H4752" s="115"/>
      <c r="I4752" s="115"/>
      <c r="J4752" s="115"/>
      <c r="K4752" s="115"/>
      <c r="L4752" s="115"/>
      <c r="M4752" s="115"/>
      <c r="N4752" s="115"/>
      <c r="O4752" s="115"/>
    </row>
    <row r="4753">
      <c r="E4753" s="115"/>
      <c r="F4753" s="115"/>
      <c r="G4753" s="115"/>
      <c r="H4753" s="115"/>
      <c r="I4753" s="115"/>
      <c r="J4753" s="115"/>
      <c r="K4753" s="115"/>
      <c r="L4753" s="115"/>
      <c r="M4753" s="115"/>
      <c r="N4753" s="115"/>
      <c r="O4753" s="115"/>
    </row>
    <row r="4754">
      <c r="E4754" s="115"/>
      <c r="F4754" s="115"/>
      <c r="G4754" s="115"/>
      <c r="H4754" s="115"/>
      <c r="I4754" s="115"/>
      <c r="J4754" s="115"/>
      <c r="K4754" s="115"/>
      <c r="L4754" s="115"/>
      <c r="M4754" s="115"/>
      <c r="N4754" s="115"/>
      <c r="O4754" s="115"/>
    </row>
    <row r="4755">
      <c r="E4755" s="115"/>
      <c r="F4755" s="115"/>
      <c r="G4755" s="115"/>
      <c r="H4755" s="115"/>
      <c r="I4755" s="115"/>
      <c r="J4755" s="115"/>
      <c r="K4755" s="115"/>
      <c r="L4755" s="115"/>
      <c r="M4755" s="115"/>
      <c r="N4755" s="115"/>
      <c r="O4755" s="115"/>
    </row>
    <row r="4756">
      <c r="E4756" s="115"/>
      <c r="F4756" s="115"/>
      <c r="G4756" s="115"/>
      <c r="H4756" s="115"/>
      <c r="I4756" s="115"/>
      <c r="J4756" s="115"/>
      <c r="K4756" s="115"/>
      <c r="L4756" s="115"/>
      <c r="M4756" s="115"/>
      <c r="N4756" s="115"/>
      <c r="O4756" s="115"/>
    </row>
    <row r="4757">
      <c r="E4757" s="115"/>
      <c r="F4757" s="115"/>
      <c r="G4757" s="115"/>
      <c r="H4757" s="115"/>
      <c r="I4757" s="115"/>
      <c r="J4757" s="115"/>
      <c r="K4757" s="115"/>
      <c r="L4757" s="115"/>
      <c r="M4757" s="115"/>
      <c r="N4757" s="115"/>
      <c r="O4757" s="115"/>
    </row>
    <row r="4758">
      <c r="E4758" s="115"/>
      <c r="F4758" s="115"/>
      <c r="G4758" s="115"/>
      <c r="H4758" s="115"/>
      <c r="I4758" s="115"/>
      <c r="J4758" s="115"/>
      <c r="K4758" s="115"/>
      <c r="L4758" s="115"/>
      <c r="M4758" s="115"/>
      <c r="N4758" s="115"/>
      <c r="O4758" s="115"/>
    </row>
    <row r="4759">
      <c r="E4759" s="115"/>
      <c r="F4759" s="115"/>
      <c r="G4759" s="115"/>
      <c r="H4759" s="115"/>
      <c r="I4759" s="115"/>
      <c r="J4759" s="115"/>
      <c r="K4759" s="115"/>
      <c r="L4759" s="115"/>
      <c r="M4759" s="115"/>
      <c r="N4759" s="115"/>
      <c r="O4759" s="115"/>
    </row>
    <row r="4760">
      <c r="E4760" s="115"/>
      <c r="F4760" s="115"/>
      <c r="G4760" s="115"/>
      <c r="H4760" s="115"/>
      <c r="I4760" s="115"/>
      <c r="J4760" s="115"/>
      <c r="K4760" s="115"/>
      <c r="L4760" s="115"/>
      <c r="M4760" s="115"/>
      <c r="N4760" s="115"/>
      <c r="O4760" s="115"/>
    </row>
    <row r="4761">
      <c r="E4761" s="115"/>
      <c r="F4761" s="115"/>
      <c r="G4761" s="115"/>
      <c r="H4761" s="115"/>
      <c r="I4761" s="115"/>
      <c r="J4761" s="115"/>
      <c r="K4761" s="115"/>
      <c r="L4761" s="115"/>
      <c r="M4761" s="115"/>
      <c r="N4761" s="115"/>
      <c r="O4761" s="115"/>
    </row>
    <row r="4762">
      <c r="E4762" s="115"/>
      <c r="F4762" s="115"/>
      <c r="G4762" s="115"/>
      <c r="H4762" s="115"/>
      <c r="I4762" s="115"/>
      <c r="J4762" s="115"/>
      <c r="K4762" s="115"/>
      <c r="L4762" s="115"/>
      <c r="M4762" s="115"/>
      <c r="N4762" s="115"/>
      <c r="O4762" s="115"/>
    </row>
    <row r="4763">
      <c r="E4763" s="115"/>
      <c r="F4763" s="115"/>
      <c r="G4763" s="115"/>
      <c r="H4763" s="115"/>
      <c r="I4763" s="115"/>
      <c r="J4763" s="115"/>
      <c r="K4763" s="115"/>
      <c r="L4763" s="115"/>
      <c r="M4763" s="115"/>
      <c r="N4763" s="115"/>
      <c r="O4763" s="115"/>
    </row>
    <row r="4764">
      <c r="E4764" s="115"/>
      <c r="F4764" s="115"/>
      <c r="G4764" s="115"/>
      <c r="H4764" s="115"/>
      <c r="I4764" s="115"/>
      <c r="J4764" s="115"/>
      <c r="K4764" s="115"/>
      <c r="L4764" s="115"/>
      <c r="M4764" s="115"/>
      <c r="N4764" s="115"/>
      <c r="O4764" s="115"/>
    </row>
    <row r="4765">
      <c r="E4765" s="115"/>
      <c r="F4765" s="115"/>
      <c r="G4765" s="115"/>
      <c r="H4765" s="115"/>
      <c r="I4765" s="115"/>
      <c r="J4765" s="115"/>
      <c r="K4765" s="115"/>
      <c r="L4765" s="115"/>
      <c r="M4765" s="115"/>
      <c r="N4765" s="115"/>
      <c r="O4765" s="115"/>
    </row>
    <row r="4766">
      <c r="E4766" s="115"/>
      <c r="F4766" s="115"/>
      <c r="G4766" s="115"/>
      <c r="H4766" s="115"/>
      <c r="I4766" s="115"/>
      <c r="J4766" s="115"/>
      <c r="K4766" s="115"/>
      <c r="L4766" s="115"/>
      <c r="M4766" s="115"/>
      <c r="N4766" s="115"/>
      <c r="O4766" s="115"/>
    </row>
    <row r="4767">
      <c r="E4767" s="115"/>
      <c r="F4767" s="115"/>
      <c r="G4767" s="115"/>
      <c r="H4767" s="115"/>
      <c r="I4767" s="115"/>
      <c r="J4767" s="115"/>
      <c r="K4767" s="115"/>
      <c r="L4767" s="115"/>
      <c r="M4767" s="115"/>
      <c r="N4767" s="115"/>
      <c r="O4767" s="115"/>
    </row>
    <row r="4768">
      <c r="E4768" s="115"/>
      <c r="F4768" s="115"/>
      <c r="G4768" s="115"/>
      <c r="H4768" s="115"/>
      <c r="I4768" s="115"/>
      <c r="J4768" s="115"/>
      <c r="K4768" s="115"/>
      <c r="L4768" s="115"/>
      <c r="M4768" s="115"/>
      <c r="N4768" s="115"/>
      <c r="O4768" s="115"/>
    </row>
    <row r="4769">
      <c r="E4769" s="115"/>
      <c r="F4769" s="115"/>
      <c r="G4769" s="115"/>
      <c r="H4769" s="115"/>
      <c r="I4769" s="115"/>
      <c r="J4769" s="115"/>
      <c r="K4769" s="115"/>
      <c r="L4769" s="115"/>
      <c r="M4769" s="115"/>
      <c r="N4769" s="115"/>
      <c r="O4769" s="115"/>
    </row>
    <row r="4770">
      <c r="E4770" s="115"/>
      <c r="F4770" s="115"/>
      <c r="G4770" s="115"/>
      <c r="H4770" s="115"/>
      <c r="I4770" s="115"/>
      <c r="J4770" s="115"/>
      <c r="K4770" s="115"/>
      <c r="L4770" s="115"/>
      <c r="M4770" s="115"/>
      <c r="N4770" s="115"/>
      <c r="O4770" s="115"/>
    </row>
    <row r="4771">
      <c r="E4771" s="115"/>
      <c r="F4771" s="115"/>
      <c r="G4771" s="115"/>
      <c r="H4771" s="115"/>
      <c r="I4771" s="115"/>
      <c r="J4771" s="115"/>
      <c r="K4771" s="115"/>
      <c r="L4771" s="115"/>
      <c r="M4771" s="115"/>
      <c r="N4771" s="115"/>
      <c r="O4771" s="115"/>
    </row>
    <row r="4772">
      <c r="E4772" s="115"/>
      <c r="F4772" s="115"/>
      <c r="G4772" s="115"/>
      <c r="H4772" s="115"/>
      <c r="I4772" s="115"/>
      <c r="J4772" s="115"/>
      <c r="K4772" s="115"/>
      <c r="L4772" s="115"/>
      <c r="M4772" s="115"/>
      <c r="N4772" s="115"/>
      <c r="O4772" s="115"/>
    </row>
    <row r="4773">
      <c r="E4773" s="115"/>
      <c r="F4773" s="115"/>
      <c r="G4773" s="115"/>
      <c r="H4773" s="115"/>
      <c r="I4773" s="115"/>
      <c r="J4773" s="115"/>
      <c r="K4773" s="115"/>
      <c r="L4773" s="115"/>
      <c r="M4773" s="115"/>
      <c r="N4773" s="115"/>
      <c r="O4773" s="115"/>
    </row>
    <row r="4774">
      <c r="E4774" s="115"/>
      <c r="F4774" s="115"/>
      <c r="G4774" s="115"/>
      <c r="H4774" s="115"/>
      <c r="I4774" s="115"/>
      <c r="J4774" s="115"/>
      <c r="K4774" s="115"/>
      <c r="L4774" s="115"/>
      <c r="M4774" s="115"/>
      <c r="N4774" s="115"/>
      <c r="O4774" s="115"/>
    </row>
    <row r="4775">
      <c r="E4775" s="115"/>
      <c r="F4775" s="115"/>
      <c r="G4775" s="115"/>
      <c r="H4775" s="115"/>
      <c r="I4775" s="115"/>
      <c r="J4775" s="115"/>
      <c r="K4775" s="115"/>
      <c r="L4775" s="115"/>
      <c r="M4775" s="115"/>
      <c r="N4775" s="115"/>
      <c r="O4775" s="115"/>
    </row>
    <row r="4776">
      <c r="E4776" s="115"/>
      <c r="F4776" s="115"/>
      <c r="G4776" s="115"/>
      <c r="H4776" s="115"/>
      <c r="I4776" s="115"/>
      <c r="J4776" s="115"/>
      <c r="K4776" s="115"/>
      <c r="L4776" s="115"/>
      <c r="M4776" s="115"/>
      <c r="N4776" s="115"/>
      <c r="O4776" s="115"/>
    </row>
    <row r="4777">
      <c r="E4777" s="115"/>
      <c r="F4777" s="115"/>
      <c r="G4777" s="115"/>
      <c r="H4777" s="115"/>
      <c r="I4777" s="115"/>
      <c r="J4777" s="115"/>
      <c r="K4777" s="115"/>
      <c r="L4777" s="115"/>
      <c r="M4777" s="115"/>
      <c r="N4777" s="115"/>
      <c r="O4777" s="115"/>
    </row>
    <row r="4778">
      <c r="E4778" s="115"/>
      <c r="F4778" s="115"/>
      <c r="G4778" s="115"/>
      <c r="H4778" s="115"/>
      <c r="I4778" s="115"/>
      <c r="J4778" s="115"/>
      <c r="K4778" s="115"/>
      <c r="L4778" s="115"/>
      <c r="M4778" s="115"/>
      <c r="N4778" s="115"/>
      <c r="O4778" s="115"/>
    </row>
    <row r="4779">
      <c r="E4779" s="115"/>
      <c r="F4779" s="115"/>
      <c r="G4779" s="115"/>
      <c r="H4779" s="115"/>
      <c r="I4779" s="115"/>
      <c r="J4779" s="115"/>
      <c r="K4779" s="115"/>
      <c r="L4779" s="115"/>
      <c r="M4779" s="115"/>
      <c r="N4779" s="115"/>
      <c r="O4779" s="115"/>
    </row>
    <row r="4780">
      <c r="E4780" s="115"/>
      <c r="F4780" s="115"/>
      <c r="G4780" s="115"/>
      <c r="H4780" s="115"/>
      <c r="I4780" s="115"/>
      <c r="J4780" s="115"/>
      <c r="K4780" s="115"/>
      <c r="L4780" s="115"/>
      <c r="M4780" s="115"/>
      <c r="N4780" s="115"/>
      <c r="O4780" s="115"/>
    </row>
    <row r="4781">
      <c r="E4781" s="115"/>
      <c r="F4781" s="115"/>
      <c r="G4781" s="115"/>
      <c r="H4781" s="115"/>
      <c r="I4781" s="115"/>
      <c r="J4781" s="115"/>
      <c r="K4781" s="115"/>
      <c r="L4781" s="115"/>
      <c r="M4781" s="115"/>
      <c r="N4781" s="115"/>
      <c r="O4781" s="115"/>
    </row>
    <row r="4782">
      <c r="E4782" s="115"/>
      <c r="F4782" s="115"/>
      <c r="G4782" s="115"/>
      <c r="H4782" s="115"/>
      <c r="I4782" s="115"/>
      <c r="J4782" s="115"/>
      <c r="K4782" s="115"/>
      <c r="L4782" s="115"/>
      <c r="M4782" s="115"/>
      <c r="N4782" s="115"/>
      <c r="O4782" s="115"/>
    </row>
    <row r="4783">
      <c r="E4783" s="115"/>
      <c r="F4783" s="115"/>
      <c r="G4783" s="115"/>
      <c r="H4783" s="115"/>
      <c r="I4783" s="115"/>
      <c r="J4783" s="115"/>
      <c r="K4783" s="115"/>
      <c r="L4783" s="115"/>
      <c r="M4783" s="115"/>
      <c r="N4783" s="115"/>
      <c r="O4783" s="115"/>
    </row>
    <row r="4784">
      <c r="E4784" s="115"/>
      <c r="F4784" s="115"/>
      <c r="G4784" s="115"/>
      <c r="H4784" s="115"/>
      <c r="I4784" s="115"/>
      <c r="J4784" s="115"/>
      <c r="K4784" s="115"/>
      <c r="L4784" s="115"/>
      <c r="M4784" s="115"/>
      <c r="N4784" s="115"/>
      <c r="O4784" s="115"/>
    </row>
    <row r="4785">
      <c r="E4785" s="115"/>
      <c r="F4785" s="115"/>
      <c r="G4785" s="115"/>
      <c r="H4785" s="115"/>
      <c r="I4785" s="115"/>
      <c r="J4785" s="115"/>
      <c r="K4785" s="115"/>
      <c r="L4785" s="115"/>
      <c r="M4785" s="115"/>
      <c r="N4785" s="115"/>
      <c r="O4785" s="115"/>
    </row>
    <row r="4786">
      <c r="E4786" s="115"/>
      <c r="F4786" s="115"/>
      <c r="G4786" s="115"/>
      <c r="H4786" s="115"/>
      <c r="I4786" s="115"/>
      <c r="J4786" s="115"/>
      <c r="K4786" s="115"/>
      <c r="L4786" s="115"/>
      <c r="M4786" s="115"/>
      <c r="N4786" s="115"/>
      <c r="O4786" s="115"/>
    </row>
    <row r="4787">
      <c r="E4787" s="115"/>
      <c r="F4787" s="115"/>
      <c r="G4787" s="115"/>
      <c r="H4787" s="115"/>
      <c r="I4787" s="115"/>
      <c r="J4787" s="115"/>
      <c r="K4787" s="115"/>
      <c r="L4787" s="115"/>
      <c r="M4787" s="115"/>
      <c r="N4787" s="115"/>
      <c r="O4787" s="115"/>
    </row>
    <row r="4788">
      <c r="E4788" s="115"/>
      <c r="F4788" s="115"/>
      <c r="G4788" s="115"/>
      <c r="H4788" s="115"/>
      <c r="I4788" s="115"/>
      <c r="J4788" s="115"/>
      <c r="K4788" s="115"/>
      <c r="L4788" s="115"/>
      <c r="M4788" s="115"/>
      <c r="N4788" s="115"/>
      <c r="O4788" s="115"/>
    </row>
    <row r="4789">
      <c r="E4789" s="115"/>
      <c r="F4789" s="115"/>
      <c r="G4789" s="115"/>
      <c r="H4789" s="115"/>
      <c r="I4789" s="115"/>
      <c r="J4789" s="115"/>
      <c r="K4789" s="115"/>
      <c r="L4789" s="115"/>
      <c r="M4789" s="115"/>
      <c r="N4789" s="115"/>
      <c r="O4789" s="115"/>
    </row>
    <row r="4790">
      <c r="E4790" s="115"/>
      <c r="F4790" s="115"/>
      <c r="G4790" s="115"/>
      <c r="H4790" s="115"/>
      <c r="I4790" s="115"/>
      <c r="J4790" s="115"/>
      <c r="K4790" s="115"/>
      <c r="L4790" s="115"/>
      <c r="M4790" s="115"/>
      <c r="N4790" s="115"/>
      <c r="O4790" s="115"/>
    </row>
    <row r="4791">
      <c r="E4791" s="115"/>
      <c r="F4791" s="115"/>
      <c r="G4791" s="115"/>
      <c r="H4791" s="115"/>
      <c r="I4791" s="115"/>
      <c r="J4791" s="115"/>
      <c r="K4791" s="115"/>
      <c r="L4791" s="115"/>
      <c r="M4791" s="115"/>
      <c r="N4791" s="115"/>
      <c r="O4791" s="115"/>
    </row>
    <row r="4792">
      <c r="E4792" s="115"/>
      <c r="F4792" s="115"/>
      <c r="G4792" s="115"/>
      <c r="H4792" s="115"/>
      <c r="I4792" s="115"/>
      <c r="J4792" s="115"/>
      <c r="K4792" s="115"/>
      <c r="L4792" s="115"/>
      <c r="M4792" s="115"/>
      <c r="N4792" s="115"/>
      <c r="O4792" s="115"/>
    </row>
    <row r="4793">
      <c r="E4793" s="115"/>
      <c r="F4793" s="115"/>
      <c r="G4793" s="115"/>
      <c r="H4793" s="115"/>
      <c r="I4793" s="115"/>
      <c r="J4793" s="115"/>
      <c r="K4793" s="115"/>
      <c r="L4793" s="115"/>
      <c r="M4793" s="115"/>
      <c r="N4793" s="115"/>
      <c r="O4793" s="115"/>
    </row>
    <row r="4794">
      <c r="E4794" s="115"/>
      <c r="F4794" s="115"/>
      <c r="G4794" s="115"/>
      <c r="H4794" s="115"/>
      <c r="I4794" s="115"/>
      <c r="J4794" s="115"/>
      <c r="K4794" s="115"/>
      <c r="L4794" s="115"/>
      <c r="M4794" s="115"/>
      <c r="N4794" s="115"/>
      <c r="O4794" s="115"/>
    </row>
    <row r="4795">
      <c r="E4795" s="115"/>
      <c r="F4795" s="115"/>
      <c r="G4795" s="115"/>
      <c r="H4795" s="115"/>
      <c r="I4795" s="115"/>
      <c r="J4795" s="115"/>
      <c r="K4795" s="115"/>
      <c r="L4795" s="115"/>
      <c r="M4795" s="115"/>
      <c r="N4795" s="115"/>
      <c r="O4795" s="115"/>
    </row>
    <row r="4796">
      <c r="E4796" s="115"/>
      <c r="F4796" s="115"/>
      <c r="G4796" s="115"/>
      <c r="H4796" s="115"/>
      <c r="I4796" s="115"/>
      <c r="J4796" s="115"/>
      <c r="K4796" s="115"/>
      <c r="L4796" s="115"/>
      <c r="M4796" s="115"/>
      <c r="N4796" s="115"/>
      <c r="O4796" s="115"/>
    </row>
    <row r="4797">
      <c r="E4797" s="115"/>
      <c r="F4797" s="115"/>
      <c r="G4797" s="115"/>
      <c r="H4797" s="115"/>
      <c r="I4797" s="115"/>
      <c r="J4797" s="115"/>
      <c r="K4797" s="115"/>
      <c r="L4797" s="115"/>
      <c r="M4797" s="115"/>
      <c r="N4797" s="115"/>
      <c r="O4797" s="115"/>
    </row>
    <row r="4798">
      <c r="E4798" s="115"/>
      <c r="F4798" s="115"/>
      <c r="G4798" s="115"/>
      <c r="H4798" s="115"/>
      <c r="I4798" s="115"/>
      <c r="J4798" s="115"/>
      <c r="K4798" s="115"/>
      <c r="L4798" s="115"/>
      <c r="M4798" s="115"/>
      <c r="N4798" s="115"/>
      <c r="O4798" s="115"/>
    </row>
    <row r="4799">
      <c r="E4799" s="115"/>
      <c r="F4799" s="115"/>
      <c r="G4799" s="115"/>
      <c r="H4799" s="115"/>
      <c r="I4799" s="115"/>
      <c r="J4799" s="115"/>
      <c r="K4799" s="115"/>
      <c r="L4799" s="115"/>
      <c r="M4799" s="115"/>
      <c r="N4799" s="115"/>
      <c r="O4799" s="115"/>
    </row>
    <row r="4800">
      <c r="E4800" s="115"/>
      <c r="F4800" s="115"/>
      <c r="G4800" s="115"/>
      <c r="H4800" s="115"/>
      <c r="I4800" s="115"/>
      <c r="J4800" s="115"/>
      <c r="K4800" s="115"/>
      <c r="L4800" s="115"/>
      <c r="M4800" s="115"/>
      <c r="N4800" s="115"/>
      <c r="O4800" s="115"/>
    </row>
    <row r="4801">
      <c r="E4801" s="115"/>
      <c r="F4801" s="115"/>
      <c r="G4801" s="115"/>
      <c r="H4801" s="115"/>
      <c r="I4801" s="115"/>
      <c r="J4801" s="115"/>
      <c r="K4801" s="115"/>
      <c r="L4801" s="115"/>
      <c r="M4801" s="115"/>
      <c r="N4801" s="115"/>
      <c r="O4801" s="115"/>
    </row>
    <row r="4802">
      <c r="E4802" s="115"/>
      <c r="F4802" s="115"/>
      <c r="G4802" s="115"/>
      <c r="H4802" s="115"/>
      <c r="I4802" s="115"/>
      <c r="J4802" s="115"/>
      <c r="K4802" s="115"/>
      <c r="L4802" s="115"/>
      <c r="M4802" s="115"/>
      <c r="N4802" s="115"/>
      <c r="O4802" s="115"/>
    </row>
    <row r="4803">
      <c r="E4803" s="115"/>
      <c r="F4803" s="115"/>
      <c r="G4803" s="115"/>
      <c r="H4803" s="115"/>
      <c r="I4803" s="115"/>
      <c r="J4803" s="115"/>
      <c r="K4803" s="115"/>
      <c r="L4803" s="115"/>
      <c r="M4803" s="115"/>
      <c r="N4803" s="115"/>
      <c r="O4803" s="115"/>
    </row>
    <row r="4804">
      <c r="E4804" s="115"/>
      <c r="F4804" s="115"/>
      <c r="G4804" s="115"/>
      <c r="H4804" s="115"/>
      <c r="I4804" s="115"/>
      <c r="J4804" s="115"/>
      <c r="K4804" s="115"/>
      <c r="L4804" s="115"/>
      <c r="M4804" s="115"/>
      <c r="N4804" s="115"/>
      <c r="O4804" s="115"/>
    </row>
    <row r="4805">
      <c r="E4805" s="115"/>
      <c r="F4805" s="115"/>
      <c r="G4805" s="115"/>
      <c r="H4805" s="115"/>
      <c r="I4805" s="115"/>
      <c r="J4805" s="115"/>
      <c r="K4805" s="115"/>
      <c r="L4805" s="115"/>
      <c r="M4805" s="115"/>
      <c r="N4805" s="115"/>
      <c r="O4805" s="115"/>
    </row>
    <row r="4806">
      <c r="E4806" s="115"/>
      <c r="F4806" s="115"/>
      <c r="G4806" s="115"/>
      <c r="H4806" s="115"/>
      <c r="I4806" s="115"/>
      <c r="J4806" s="115"/>
      <c r="K4806" s="115"/>
      <c r="L4806" s="115"/>
      <c r="M4806" s="115"/>
      <c r="N4806" s="115"/>
      <c r="O4806" s="115"/>
    </row>
    <row r="4807">
      <c r="E4807" s="115"/>
      <c r="F4807" s="115"/>
      <c r="G4807" s="115"/>
      <c r="H4807" s="115"/>
      <c r="I4807" s="115"/>
      <c r="J4807" s="115"/>
      <c r="K4807" s="115"/>
      <c r="L4807" s="115"/>
      <c r="M4807" s="115"/>
      <c r="N4807" s="115"/>
      <c r="O4807" s="115"/>
    </row>
    <row r="4808">
      <c r="E4808" s="115"/>
      <c r="F4808" s="115"/>
      <c r="G4808" s="115"/>
      <c r="H4808" s="115"/>
      <c r="I4808" s="115"/>
      <c r="J4808" s="115"/>
      <c r="K4808" s="115"/>
      <c r="L4808" s="115"/>
      <c r="M4808" s="115"/>
      <c r="N4808" s="115"/>
      <c r="O4808" s="115"/>
    </row>
    <row r="4809">
      <c r="E4809" s="115"/>
      <c r="F4809" s="115"/>
      <c r="G4809" s="115"/>
      <c r="H4809" s="115"/>
      <c r="I4809" s="115"/>
      <c r="J4809" s="115"/>
      <c r="K4809" s="115"/>
      <c r="L4809" s="115"/>
      <c r="M4809" s="115"/>
      <c r="N4809" s="115"/>
      <c r="O4809" s="115"/>
    </row>
    <row r="4810">
      <c r="E4810" s="115"/>
      <c r="F4810" s="115"/>
      <c r="G4810" s="115"/>
      <c r="H4810" s="115"/>
      <c r="I4810" s="115"/>
      <c r="J4810" s="115"/>
      <c r="K4810" s="115"/>
      <c r="L4810" s="115"/>
      <c r="M4810" s="115"/>
      <c r="N4810" s="115"/>
      <c r="O4810" s="115"/>
    </row>
    <row r="4811">
      <c r="E4811" s="115"/>
      <c r="F4811" s="115"/>
      <c r="G4811" s="115"/>
      <c r="H4811" s="115"/>
      <c r="I4811" s="115"/>
      <c r="J4811" s="115"/>
      <c r="K4811" s="115"/>
      <c r="L4811" s="115"/>
      <c r="M4811" s="115"/>
      <c r="N4811" s="115"/>
      <c r="O4811" s="115"/>
    </row>
    <row r="4812">
      <c r="E4812" s="115"/>
      <c r="F4812" s="115"/>
      <c r="G4812" s="115"/>
      <c r="H4812" s="115"/>
      <c r="I4812" s="115"/>
      <c r="J4812" s="115"/>
      <c r="K4812" s="115"/>
      <c r="L4812" s="115"/>
      <c r="M4812" s="115"/>
      <c r="N4812" s="115"/>
      <c r="O4812" s="115"/>
    </row>
    <row r="4813">
      <c r="E4813" s="115"/>
      <c r="F4813" s="115"/>
      <c r="G4813" s="115"/>
      <c r="H4813" s="115"/>
      <c r="I4813" s="115"/>
      <c r="J4813" s="115"/>
      <c r="K4813" s="115"/>
      <c r="L4813" s="115"/>
      <c r="M4813" s="115"/>
      <c r="N4813" s="115"/>
      <c r="O4813" s="115"/>
    </row>
    <row r="4814">
      <c r="E4814" s="115"/>
      <c r="F4814" s="115"/>
      <c r="G4814" s="115"/>
      <c r="H4814" s="115"/>
      <c r="I4814" s="115"/>
      <c r="J4814" s="115"/>
      <c r="K4814" s="115"/>
      <c r="L4814" s="115"/>
      <c r="M4814" s="115"/>
      <c r="N4814" s="115"/>
      <c r="O4814" s="115"/>
    </row>
    <row r="4815">
      <c r="E4815" s="115"/>
      <c r="F4815" s="115"/>
      <c r="G4815" s="115"/>
      <c r="H4815" s="115"/>
      <c r="I4815" s="115"/>
      <c r="J4815" s="115"/>
      <c r="K4815" s="115"/>
      <c r="L4815" s="115"/>
      <c r="M4815" s="115"/>
      <c r="N4815" s="115"/>
      <c r="O4815" s="115"/>
    </row>
    <row r="4816">
      <c r="E4816" s="115"/>
      <c r="F4816" s="115"/>
      <c r="G4816" s="115"/>
      <c r="H4816" s="115"/>
      <c r="I4816" s="115"/>
      <c r="J4816" s="115"/>
      <c r="K4816" s="115"/>
      <c r="L4816" s="115"/>
      <c r="M4816" s="115"/>
      <c r="N4816" s="115"/>
      <c r="O4816" s="115"/>
    </row>
    <row r="4817">
      <c r="E4817" s="115"/>
      <c r="F4817" s="115"/>
      <c r="G4817" s="115"/>
      <c r="H4817" s="115"/>
      <c r="I4817" s="115"/>
      <c r="J4817" s="115"/>
      <c r="K4817" s="115"/>
      <c r="L4817" s="115"/>
      <c r="M4817" s="115"/>
      <c r="N4817" s="115"/>
      <c r="O4817" s="115"/>
    </row>
    <row r="4818">
      <c r="E4818" s="115"/>
      <c r="F4818" s="115"/>
      <c r="G4818" s="115"/>
      <c r="H4818" s="115"/>
      <c r="I4818" s="115"/>
      <c r="J4818" s="115"/>
      <c r="K4818" s="115"/>
      <c r="L4818" s="115"/>
      <c r="M4818" s="115"/>
      <c r="N4818" s="115"/>
      <c r="O4818" s="115"/>
    </row>
    <row r="4819">
      <c r="E4819" s="115"/>
      <c r="F4819" s="115"/>
      <c r="G4819" s="115"/>
      <c r="H4819" s="115"/>
      <c r="I4819" s="115"/>
      <c r="J4819" s="115"/>
      <c r="K4819" s="115"/>
      <c r="L4819" s="115"/>
      <c r="M4819" s="115"/>
      <c r="N4819" s="115"/>
      <c r="O4819" s="115"/>
    </row>
    <row r="4820">
      <c r="E4820" s="115"/>
      <c r="F4820" s="115"/>
      <c r="G4820" s="115"/>
      <c r="H4820" s="115"/>
      <c r="I4820" s="115"/>
      <c r="J4820" s="115"/>
      <c r="K4820" s="115"/>
      <c r="L4820" s="115"/>
      <c r="M4820" s="115"/>
      <c r="N4820" s="115"/>
      <c r="O4820" s="115"/>
    </row>
    <row r="4821">
      <c r="E4821" s="115"/>
      <c r="F4821" s="115"/>
      <c r="G4821" s="115"/>
      <c r="H4821" s="115"/>
      <c r="I4821" s="115"/>
      <c r="J4821" s="115"/>
      <c r="K4821" s="115"/>
      <c r="L4821" s="115"/>
      <c r="M4821" s="115"/>
      <c r="N4821" s="115"/>
      <c r="O4821" s="115"/>
    </row>
    <row r="4822">
      <c r="E4822" s="115"/>
      <c r="F4822" s="115"/>
      <c r="G4822" s="115"/>
      <c r="H4822" s="115"/>
      <c r="I4822" s="115"/>
      <c r="J4822" s="115"/>
      <c r="K4822" s="115"/>
      <c r="L4822" s="115"/>
      <c r="M4822" s="115"/>
      <c r="N4822" s="115"/>
      <c r="O4822" s="115"/>
    </row>
    <row r="4823">
      <c r="E4823" s="115"/>
      <c r="F4823" s="115"/>
      <c r="G4823" s="115"/>
      <c r="H4823" s="115"/>
      <c r="I4823" s="115"/>
      <c r="J4823" s="115"/>
      <c r="K4823" s="115"/>
      <c r="L4823" s="115"/>
      <c r="M4823" s="115"/>
      <c r="N4823" s="115"/>
      <c r="O4823" s="115"/>
    </row>
    <row r="4824">
      <c r="E4824" s="115"/>
      <c r="F4824" s="115"/>
      <c r="G4824" s="115"/>
      <c r="H4824" s="115"/>
      <c r="I4824" s="115"/>
      <c r="J4824" s="115"/>
      <c r="K4824" s="115"/>
      <c r="L4824" s="115"/>
      <c r="M4824" s="115"/>
      <c r="N4824" s="115"/>
      <c r="O4824" s="115"/>
    </row>
    <row r="4825">
      <c r="E4825" s="115"/>
      <c r="F4825" s="115"/>
      <c r="G4825" s="115"/>
      <c r="H4825" s="115"/>
      <c r="I4825" s="115"/>
      <c r="J4825" s="115"/>
      <c r="K4825" s="115"/>
      <c r="L4825" s="115"/>
      <c r="M4825" s="115"/>
      <c r="N4825" s="115"/>
      <c r="O4825" s="115"/>
    </row>
    <row r="4826">
      <c r="E4826" s="115"/>
      <c r="F4826" s="115"/>
      <c r="G4826" s="115"/>
      <c r="H4826" s="115"/>
      <c r="I4826" s="115"/>
      <c r="J4826" s="115"/>
      <c r="K4826" s="115"/>
      <c r="L4826" s="115"/>
      <c r="M4826" s="115"/>
      <c r="N4826" s="115"/>
      <c r="O4826" s="115"/>
    </row>
    <row r="4827">
      <c r="E4827" s="115"/>
      <c r="F4827" s="115"/>
      <c r="G4827" s="115"/>
      <c r="H4827" s="115"/>
      <c r="I4827" s="115"/>
      <c r="J4827" s="115"/>
      <c r="K4827" s="115"/>
      <c r="L4827" s="115"/>
      <c r="M4827" s="115"/>
      <c r="N4827" s="115"/>
      <c r="O4827" s="115"/>
    </row>
    <row r="4828">
      <c r="E4828" s="115"/>
      <c r="F4828" s="115"/>
      <c r="G4828" s="115"/>
      <c r="H4828" s="115"/>
      <c r="I4828" s="115"/>
      <c r="J4828" s="115"/>
      <c r="K4828" s="115"/>
      <c r="L4828" s="115"/>
      <c r="M4828" s="115"/>
      <c r="N4828" s="115"/>
      <c r="O4828" s="115"/>
    </row>
    <row r="4829">
      <c r="E4829" s="115"/>
      <c r="F4829" s="115"/>
      <c r="G4829" s="115"/>
      <c r="H4829" s="115"/>
      <c r="I4829" s="115"/>
      <c r="J4829" s="115"/>
      <c r="K4829" s="115"/>
      <c r="L4829" s="115"/>
      <c r="M4829" s="115"/>
      <c r="N4829" s="115"/>
      <c r="O4829" s="115"/>
    </row>
    <row r="4830">
      <c r="E4830" s="115"/>
      <c r="F4830" s="115"/>
      <c r="G4830" s="115"/>
      <c r="H4830" s="115"/>
      <c r="I4830" s="115"/>
      <c r="J4830" s="115"/>
      <c r="K4830" s="115"/>
      <c r="L4830" s="115"/>
      <c r="M4830" s="115"/>
      <c r="N4830" s="115"/>
      <c r="O4830" s="115"/>
    </row>
    <row r="4831">
      <c r="E4831" s="115"/>
      <c r="F4831" s="115"/>
      <c r="G4831" s="115"/>
      <c r="H4831" s="115"/>
      <c r="I4831" s="115"/>
      <c r="J4831" s="115"/>
      <c r="K4831" s="115"/>
      <c r="L4831" s="115"/>
      <c r="M4831" s="115"/>
      <c r="N4831" s="115"/>
      <c r="O4831" s="115"/>
    </row>
    <row r="4832">
      <c r="E4832" s="115"/>
      <c r="F4832" s="115"/>
      <c r="G4832" s="115"/>
      <c r="H4832" s="115"/>
      <c r="I4832" s="115"/>
      <c r="J4832" s="115"/>
      <c r="K4832" s="115"/>
      <c r="L4832" s="115"/>
      <c r="M4832" s="115"/>
      <c r="N4832" s="115"/>
      <c r="O4832" s="115"/>
    </row>
    <row r="4833">
      <c r="E4833" s="115"/>
      <c r="F4833" s="115"/>
      <c r="G4833" s="115"/>
      <c r="H4833" s="115"/>
      <c r="I4833" s="115"/>
      <c r="J4833" s="115"/>
      <c r="K4833" s="115"/>
      <c r="L4833" s="115"/>
      <c r="M4833" s="115"/>
      <c r="N4833" s="115"/>
      <c r="O4833" s="115"/>
    </row>
    <row r="4834">
      <c r="E4834" s="115"/>
      <c r="F4834" s="115"/>
      <c r="G4834" s="115"/>
      <c r="H4834" s="115"/>
      <c r="I4834" s="115"/>
      <c r="J4834" s="115"/>
      <c r="K4834" s="115"/>
      <c r="L4834" s="115"/>
      <c r="M4834" s="115"/>
      <c r="N4834" s="115"/>
      <c r="O4834" s="115"/>
    </row>
    <row r="4835">
      <c r="E4835" s="115"/>
      <c r="F4835" s="115"/>
      <c r="G4835" s="115"/>
      <c r="H4835" s="115"/>
      <c r="I4835" s="115"/>
      <c r="J4835" s="115"/>
      <c r="K4835" s="115"/>
      <c r="L4835" s="115"/>
      <c r="M4835" s="115"/>
      <c r="N4835" s="115"/>
      <c r="O4835" s="115"/>
    </row>
    <row r="4836">
      <c r="E4836" s="115"/>
      <c r="F4836" s="115"/>
      <c r="G4836" s="115"/>
      <c r="H4836" s="115"/>
      <c r="I4836" s="115"/>
      <c r="J4836" s="115"/>
      <c r="K4836" s="115"/>
      <c r="L4836" s="115"/>
      <c r="M4836" s="115"/>
      <c r="N4836" s="115"/>
      <c r="O4836" s="115"/>
    </row>
    <row r="4837">
      <c r="E4837" s="115"/>
      <c r="F4837" s="115"/>
      <c r="G4837" s="115"/>
      <c r="H4837" s="115"/>
      <c r="I4837" s="115"/>
      <c r="J4837" s="115"/>
      <c r="K4837" s="115"/>
      <c r="L4837" s="115"/>
      <c r="M4837" s="115"/>
      <c r="N4837" s="115"/>
      <c r="O4837" s="115"/>
    </row>
    <row r="4838">
      <c r="E4838" s="115"/>
      <c r="F4838" s="115"/>
      <c r="G4838" s="115"/>
      <c r="H4838" s="115"/>
      <c r="I4838" s="115"/>
      <c r="J4838" s="115"/>
      <c r="K4838" s="115"/>
      <c r="L4838" s="115"/>
      <c r="M4838" s="115"/>
      <c r="N4838" s="115"/>
      <c r="O4838" s="115"/>
    </row>
    <row r="4839">
      <c r="E4839" s="115"/>
      <c r="F4839" s="115"/>
      <c r="G4839" s="115"/>
      <c r="H4839" s="115"/>
      <c r="I4839" s="115"/>
      <c r="J4839" s="115"/>
      <c r="K4839" s="115"/>
      <c r="L4839" s="115"/>
      <c r="M4839" s="115"/>
      <c r="N4839" s="115"/>
      <c r="O4839" s="115"/>
    </row>
    <row r="4840">
      <c r="E4840" s="115"/>
      <c r="F4840" s="115"/>
      <c r="G4840" s="115"/>
      <c r="H4840" s="115"/>
      <c r="I4840" s="115"/>
      <c r="J4840" s="115"/>
      <c r="K4840" s="115"/>
      <c r="L4840" s="115"/>
      <c r="M4840" s="115"/>
      <c r="N4840" s="115"/>
      <c r="O4840" s="115"/>
    </row>
    <row r="4841">
      <c r="E4841" s="115"/>
      <c r="F4841" s="115"/>
      <c r="G4841" s="115"/>
      <c r="H4841" s="115"/>
      <c r="I4841" s="115"/>
      <c r="J4841" s="115"/>
      <c r="K4841" s="115"/>
      <c r="L4841" s="115"/>
      <c r="M4841" s="115"/>
      <c r="N4841" s="115"/>
      <c r="O4841" s="115"/>
    </row>
    <row r="4842">
      <c r="E4842" s="115"/>
      <c r="F4842" s="115"/>
      <c r="G4842" s="115"/>
      <c r="H4842" s="115"/>
      <c r="I4842" s="115"/>
      <c r="J4842" s="115"/>
      <c r="K4842" s="115"/>
      <c r="L4842" s="115"/>
      <c r="M4842" s="115"/>
      <c r="N4842" s="115"/>
      <c r="O4842" s="115"/>
    </row>
    <row r="4843">
      <c r="E4843" s="115"/>
      <c r="F4843" s="115"/>
      <c r="G4843" s="115"/>
      <c r="H4843" s="115"/>
      <c r="I4843" s="115"/>
      <c r="J4843" s="115"/>
      <c r="K4843" s="115"/>
      <c r="L4843" s="115"/>
      <c r="M4843" s="115"/>
      <c r="N4843" s="115"/>
      <c r="O4843" s="115"/>
    </row>
    <row r="4844">
      <c r="E4844" s="115"/>
      <c r="F4844" s="115"/>
      <c r="G4844" s="115"/>
      <c r="H4844" s="115"/>
      <c r="I4844" s="115"/>
      <c r="J4844" s="115"/>
      <c r="K4844" s="115"/>
      <c r="L4844" s="115"/>
      <c r="M4844" s="115"/>
      <c r="N4844" s="115"/>
      <c r="O4844" s="115"/>
    </row>
    <row r="4845">
      <c r="E4845" s="115"/>
      <c r="F4845" s="115"/>
      <c r="G4845" s="115"/>
      <c r="H4845" s="115"/>
      <c r="I4845" s="115"/>
      <c r="J4845" s="115"/>
      <c r="K4845" s="115"/>
      <c r="L4845" s="115"/>
      <c r="M4845" s="115"/>
      <c r="N4845" s="115"/>
      <c r="O4845" s="115"/>
    </row>
    <row r="4846">
      <c r="E4846" s="115"/>
      <c r="F4846" s="115"/>
      <c r="G4846" s="115"/>
      <c r="H4846" s="115"/>
      <c r="I4846" s="115"/>
      <c r="J4846" s="115"/>
      <c r="K4846" s="115"/>
      <c r="L4846" s="115"/>
      <c r="M4846" s="115"/>
      <c r="N4846" s="115"/>
      <c r="O4846" s="115"/>
    </row>
    <row r="4847">
      <c r="E4847" s="115"/>
      <c r="F4847" s="115"/>
      <c r="G4847" s="115"/>
      <c r="H4847" s="115"/>
      <c r="I4847" s="115"/>
      <c r="J4847" s="115"/>
      <c r="K4847" s="115"/>
      <c r="L4847" s="115"/>
      <c r="M4847" s="115"/>
      <c r="N4847" s="115"/>
      <c r="O4847" s="115"/>
    </row>
    <row r="4848">
      <c r="E4848" s="115"/>
      <c r="F4848" s="115"/>
      <c r="G4848" s="115"/>
      <c r="H4848" s="115"/>
      <c r="I4848" s="115"/>
      <c r="J4848" s="115"/>
      <c r="K4848" s="115"/>
      <c r="L4848" s="115"/>
      <c r="M4848" s="115"/>
      <c r="N4848" s="115"/>
      <c r="O4848" s="115"/>
    </row>
    <row r="4849">
      <c r="E4849" s="115"/>
      <c r="F4849" s="115"/>
      <c r="G4849" s="115"/>
      <c r="H4849" s="115"/>
      <c r="I4849" s="115"/>
      <c r="J4849" s="115"/>
      <c r="K4849" s="115"/>
      <c r="L4849" s="115"/>
      <c r="M4849" s="115"/>
      <c r="N4849" s="115"/>
      <c r="O4849" s="115"/>
    </row>
    <row r="4850">
      <c r="E4850" s="115"/>
      <c r="F4850" s="115"/>
      <c r="G4850" s="115"/>
      <c r="H4850" s="115"/>
      <c r="I4850" s="115"/>
      <c r="J4850" s="115"/>
      <c r="K4850" s="115"/>
      <c r="L4850" s="115"/>
      <c r="M4850" s="115"/>
      <c r="N4850" s="115"/>
      <c r="O4850" s="115"/>
    </row>
    <row r="4851">
      <c r="E4851" s="115"/>
      <c r="F4851" s="115"/>
      <c r="G4851" s="115"/>
      <c r="H4851" s="115"/>
      <c r="I4851" s="115"/>
      <c r="J4851" s="115"/>
      <c r="K4851" s="115"/>
      <c r="L4851" s="115"/>
      <c r="M4851" s="115"/>
      <c r="N4851" s="115"/>
      <c r="O4851" s="115"/>
    </row>
    <row r="4852">
      <c r="E4852" s="115"/>
      <c r="F4852" s="115"/>
      <c r="G4852" s="115"/>
      <c r="H4852" s="115"/>
      <c r="I4852" s="115"/>
      <c r="J4852" s="115"/>
      <c r="K4852" s="115"/>
      <c r="L4852" s="115"/>
      <c r="M4852" s="115"/>
      <c r="N4852" s="115"/>
      <c r="O4852" s="115"/>
    </row>
    <row r="4853">
      <c r="E4853" s="115"/>
      <c r="F4853" s="115"/>
      <c r="G4853" s="115"/>
      <c r="H4853" s="115"/>
      <c r="I4853" s="115"/>
      <c r="J4853" s="115"/>
      <c r="K4853" s="115"/>
      <c r="L4853" s="115"/>
      <c r="M4853" s="115"/>
      <c r="N4853" s="115"/>
      <c r="O4853" s="115"/>
    </row>
    <row r="4854">
      <c r="E4854" s="115"/>
      <c r="F4854" s="115"/>
      <c r="G4854" s="115"/>
      <c r="H4854" s="115"/>
      <c r="I4854" s="115"/>
      <c r="J4854" s="115"/>
      <c r="K4854" s="115"/>
      <c r="L4854" s="115"/>
      <c r="M4854" s="115"/>
      <c r="N4854" s="115"/>
      <c r="O4854" s="115"/>
    </row>
    <row r="4855">
      <c r="E4855" s="115"/>
      <c r="F4855" s="115"/>
      <c r="G4855" s="115"/>
      <c r="H4855" s="115"/>
      <c r="I4855" s="115"/>
      <c r="J4855" s="115"/>
      <c r="K4855" s="115"/>
      <c r="L4855" s="115"/>
      <c r="M4855" s="115"/>
      <c r="N4855" s="115"/>
      <c r="O4855" s="115"/>
    </row>
    <row r="4856">
      <c r="E4856" s="115"/>
      <c r="F4856" s="115"/>
      <c r="G4856" s="115"/>
      <c r="H4856" s="115"/>
      <c r="I4856" s="115"/>
      <c r="J4856" s="115"/>
      <c r="K4856" s="115"/>
      <c r="L4856" s="115"/>
      <c r="M4856" s="115"/>
      <c r="N4856" s="115"/>
      <c r="O4856" s="115"/>
    </row>
    <row r="4857">
      <c r="E4857" s="115"/>
      <c r="F4857" s="115"/>
      <c r="G4857" s="115"/>
      <c r="H4857" s="115"/>
      <c r="I4857" s="115"/>
      <c r="J4857" s="115"/>
      <c r="K4857" s="115"/>
      <c r="L4857" s="115"/>
      <c r="M4857" s="115"/>
      <c r="N4857" s="115"/>
      <c r="O4857" s="115"/>
    </row>
    <row r="4858">
      <c r="E4858" s="115"/>
      <c r="F4858" s="115"/>
      <c r="G4858" s="115"/>
      <c r="H4858" s="115"/>
      <c r="I4858" s="115"/>
      <c r="J4858" s="115"/>
      <c r="K4858" s="115"/>
      <c r="L4858" s="115"/>
      <c r="M4858" s="115"/>
      <c r="N4858" s="115"/>
      <c r="O4858" s="115"/>
    </row>
    <row r="4859">
      <c r="E4859" s="115"/>
      <c r="F4859" s="115"/>
      <c r="G4859" s="115"/>
      <c r="H4859" s="115"/>
      <c r="I4859" s="115"/>
      <c r="J4859" s="115"/>
      <c r="K4859" s="115"/>
      <c r="L4859" s="115"/>
      <c r="M4859" s="115"/>
      <c r="N4859" s="115"/>
      <c r="O4859" s="115"/>
    </row>
    <row r="4860">
      <c r="E4860" s="115"/>
      <c r="F4860" s="115"/>
      <c r="G4860" s="115"/>
      <c r="H4860" s="115"/>
      <c r="I4860" s="115"/>
      <c r="J4860" s="115"/>
      <c r="K4860" s="115"/>
      <c r="L4860" s="115"/>
      <c r="M4860" s="115"/>
      <c r="N4860" s="115"/>
      <c r="O4860" s="115"/>
    </row>
    <row r="4861">
      <c r="E4861" s="115"/>
      <c r="F4861" s="115"/>
      <c r="G4861" s="115"/>
      <c r="H4861" s="115"/>
      <c r="I4861" s="115"/>
      <c r="J4861" s="115"/>
      <c r="K4861" s="115"/>
      <c r="L4861" s="115"/>
      <c r="M4861" s="115"/>
      <c r="N4861" s="115"/>
      <c r="O4861" s="115"/>
    </row>
    <row r="4862">
      <c r="E4862" s="115"/>
      <c r="F4862" s="115"/>
      <c r="G4862" s="115"/>
      <c r="H4862" s="115"/>
      <c r="I4862" s="115"/>
      <c r="J4862" s="115"/>
      <c r="K4862" s="115"/>
      <c r="L4862" s="115"/>
      <c r="M4862" s="115"/>
      <c r="N4862" s="115"/>
      <c r="O4862" s="115"/>
    </row>
    <row r="4863">
      <c r="E4863" s="115"/>
      <c r="F4863" s="115"/>
      <c r="G4863" s="115"/>
      <c r="H4863" s="115"/>
      <c r="I4863" s="115"/>
      <c r="J4863" s="115"/>
      <c r="K4863" s="115"/>
      <c r="L4863" s="115"/>
      <c r="M4863" s="115"/>
      <c r="N4863" s="115"/>
      <c r="O4863" s="115"/>
    </row>
    <row r="4864">
      <c r="E4864" s="115"/>
      <c r="F4864" s="115"/>
      <c r="G4864" s="115"/>
      <c r="H4864" s="115"/>
      <c r="I4864" s="115"/>
      <c r="J4864" s="115"/>
      <c r="K4864" s="115"/>
      <c r="L4864" s="115"/>
      <c r="M4864" s="115"/>
      <c r="N4864" s="115"/>
      <c r="O4864" s="115"/>
    </row>
    <row r="4865">
      <c r="E4865" s="115"/>
      <c r="F4865" s="115"/>
      <c r="G4865" s="115"/>
      <c r="H4865" s="115"/>
      <c r="I4865" s="115"/>
      <c r="J4865" s="115"/>
      <c r="K4865" s="115"/>
      <c r="L4865" s="115"/>
      <c r="M4865" s="115"/>
      <c r="N4865" s="115"/>
      <c r="O4865" s="115"/>
    </row>
    <row r="4866">
      <c r="E4866" s="115"/>
      <c r="F4866" s="115"/>
      <c r="G4866" s="115"/>
      <c r="H4866" s="115"/>
      <c r="I4866" s="115"/>
      <c r="J4866" s="115"/>
      <c r="K4866" s="115"/>
      <c r="L4866" s="115"/>
      <c r="M4866" s="115"/>
      <c r="N4866" s="115"/>
      <c r="O4866" s="115"/>
    </row>
    <row r="4867">
      <c r="E4867" s="115"/>
      <c r="F4867" s="115"/>
      <c r="G4867" s="115"/>
      <c r="H4867" s="115"/>
      <c r="I4867" s="115"/>
      <c r="J4867" s="115"/>
      <c r="K4867" s="115"/>
      <c r="L4867" s="115"/>
      <c r="M4867" s="115"/>
      <c r="N4867" s="115"/>
      <c r="O4867" s="115"/>
    </row>
    <row r="4868">
      <c r="E4868" s="115"/>
      <c r="F4868" s="115"/>
      <c r="G4868" s="115"/>
      <c r="H4868" s="115"/>
      <c r="I4868" s="115"/>
      <c r="J4868" s="115"/>
      <c r="K4868" s="115"/>
      <c r="L4868" s="115"/>
      <c r="M4868" s="115"/>
      <c r="N4868" s="115"/>
      <c r="O4868" s="115"/>
    </row>
    <row r="4869">
      <c r="E4869" s="115"/>
      <c r="F4869" s="115"/>
      <c r="G4869" s="115"/>
      <c r="H4869" s="115"/>
      <c r="I4869" s="115"/>
      <c r="J4869" s="115"/>
      <c r="K4869" s="115"/>
      <c r="L4869" s="115"/>
      <c r="M4869" s="115"/>
      <c r="N4869" s="115"/>
      <c r="O4869" s="115"/>
    </row>
    <row r="4870">
      <c r="E4870" s="115"/>
      <c r="F4870" s="115"/>
      <c r="G4870" s="115"/>
      <c r="H4870" s="115"/>
      <c r="I4870" s="115"/>
      <c r="J4870" s="115"/>
      <c r="K4870" s="115"/>
      <c r="L4870" s="115"/>
      <c r="M4870" s="115"/>
      <c r="N4870" s="115"/>
      <c r="O4870" s="115"/>
    </row>
    <row r="4871">
      <c r="E4871" s="115"/>
      <c r="F4871" s="115"/>
      <c r="G4871" s="115"/>
      <c r="H4871" s="115"/>
      <c r="I4871" s="115"/>
      <c r="J4871" s="115"/>
      <c r="K4871" s="115"/>
      <c r="L4871" s="115"/>
      <c r="M4871" s="115"/>
      <c r="N4871" s="115"/>
      <c r="O4871" s="115"/>
    </row>
    <row r="4872">
      <c r="E4872" s="115"/>
      <c r="F4872" s="115"/>
      <c r="G4872" s="115"/>
      <c r="H4872" s="115"/>
      <c r="I4872" s="115"/>
      <c r="J4872" s="115"/>
      <c r="K4872" s="115"/>
      <c r="L4872" s="115"/>
      <c r="M4872" s="115"/>
      <c r="N4872" s="115"/>
      <c r="O4872" s="115"/>
    </row>
    <row r="4873">
      <c r="E4873" s="115"/>
      <c r="F4873" s="115"/>
      <c r="G4873" s="115"/>
      <c r="H4873" s="115"/>
      <c r="I4873" s="115"/>
      <c r="J4873" s="115"/>
      <c r="K4873" s="115"/>
      <c r="L4873" s="115"/>
      <c r="M4873" s="115"/>
      <c r="N4873" s="115"/>
      <c r="O4873" s="115"/>
    </row>
    <row r="4874">
      <c r="E4874" s="115"/>
      <c r="F4874" s="115"/>
      <c r="G4874" s="115"/>
      <c r="H4874" s="115"/>
      <c r="I4874" s="115"/>
      <c r="J4874" s="115"/>
      <c r="K4874" s="115"/>
      <c r="L4874" s="115"/>
      <c r="M4874" s="115"/>
      <c r="N4874" s="115"/>
      <c r="O4874" s="115"/>
    </row>
    <row r="4875">
      <c r="E4875" s="115"/>
      <c r="F4875" s="115"/>
      <c r="G4875" s="115"/>
      <c r="H4875" s="115"/>
      <c r="I4875" s="115"/>
      <c r="J4875" s="115"/>
      <c r="K4875" s="115"/>
      <c r="L4875" s="115"/>
      <c r="M4875" s="115"/>
      <c r="N4875" s="115"/>
      <c r="O4875" s="115"/>
    </row>
    <row r="4876">
      <c r="E4876" s="115"/>
      <c r="F4876" s="115"/>
      <c r="G4876" s="115"/>
      <c r="H4876" s="115"/>
      <c r="I4876" s="115"/>
      <c r="J4876" s="115"/>
      <c r="K4876" s="115"/>
      <c r="L4876" s="115"/>
      <c r="M4876" s="115"/>
      <c r="N4876" s="115"/>
      <c r="O4876" s="115"/>
    </row>
    <row r="4877">
      <c r="E4877" s="115"/>
      <c r="F4877" s="115"/>
      <c r="G4877" s="115"/>
      <c r="H4877" s="115"/>
      <c r="I4877" s="115"/>
      <c r="J4877" s="115"/>
      <c r="K4877" s="115"/>
      <c r="L4877" s="115"/>
      <c r="M4877" s="115"/>
      <c r="N4877" s="115"/>
      <c r="O4877" s="115"/>
    </row>
    <row r="4878">
      <c r="E4878" s="115"/>
      <c r="F4878" s="115"/>
      <c r="G4878" s="115"/>
      <c r="H4878" s="115"/>
      <c r="I4878" s="115"/>
      <c r="J4878" s="115"/>
      <c r="K4878" s="115"/>
      <c r="L4878" s="115"/>
      <c r="M4878" s="115"/>
      <c r="N4878" s="115"/>
      <c r="O4878" s="115"/>
    </row>
    <row r="4879">
      <c r="E4879" s="115"/>
      <c r="F4879" s="115"/>
      <c r="G4879" s="115"/>
      <c r="H4879" s="115"/>
      <c r="I4879" s="115"/>
      <c r="J4879" s="115"/>
      <c r="K4879" s="115"/>
      <c r="L4879" s="115"/>
      <c r="M4879" s="115"/>
      <c r="N4879" s="115"/>
      <c r="O4879" s="115"/>
    </row>
    <row r="4880">
      <c r="E4880" s="115"/>
      <c r="F4880" s="115"/>
      <c r="G4880" s="115"/>
      <c r="H4880" s="115"/>
      <c r="I4880" s="115"/>
      <c r="J4880" s="115"/>
      <c r="K4880" s="115"/>
      <c r="L4880" s="115"/>
      <c r="M4880" s="115"/>
      <c r="N4880" s="115"/>
      <c r="O4880" s="115"/>
    </row>
    <row r="4881">
      <c r="E4881" s="115"/>
      <c r="F4881" s="115"/>
      <c r="G4881" s="115"/>
      <c r="H4881" s="115"/>
      <c r="I4881" s="115"/>
      <c r="J4881" s="115"/>
      <c r="K4881" s="115"/>
      <c r="L4881" s="115"/>
      <c r="M4881" s="115"/>
      <c r="N4881" s="115"/>
      <c r="O4881" s="115"/>
    </row>
    <row r="4882">
      <c r="E4882" s="115"/>
      <c r="F4882" s="115"/>
      <c r="G4882" s="115"/>
      <c r="H4882" s="115"/>
      <c r="I4882" s="115"/>
      <c r="J4882" s="115"/>
      <c r="K4882" s="115"/>
      <c r="L4882" s="115"/>
      <c r="M4882" s="115"/>
      <c r="N4882" s="115"/>
      <c r="O4882" s="115"/>
    </row>
    <row r="4883">
      <c r="E4883" s="115"/>
      <c r="F4883" s="115"/>
      <c r="G4883" s="115"/>
      <c r="H4883" s="115"/>
      <c r="I4883" s="115"/>
      <c r="J4883" s="115"/>
      <c r="K4883" s="115"/>
      <c r="L4883" s="115"/>
      <c r="M4883" s="115"/>
      <c r="N4883" s="115"/>
      <c r="O4883" s="115"/>
    </row>
    <row r="4884">
      <c r="E4884" s="115"/>
      <c r="F4884" s="115"/>
      <c r="G4884" s="115"/>
      <c r="H4884" s="115"/>
      <c r="I4884" s="115"/>
      <c r="J4884" s="115"/>
      <c r="K4884" s="115"/>
      <c r="L4884" s="115"/>
      <c r="M4884" s="115"/>
      <c r="N4884" s="115"/>
      <c r="O4884" s="115"/>
    </row>
    <row r="4885">
      <c r="E4885" s="115"/>
      <c r="F4885" s="115"/>
      <c r="G4885" s="115"/>
      <c r="H4885" s="115"/>
      <c r="I4885" s="115"/>
      <c r="J4885" s="115"/>
      <c r="K4885" s="115"/>
      <c r="L4885" s="115"/>
      <c r="M4885" s="115"/>
      <c r="N4885" s="115"/>
      <c r="O4885" s="115"/>
    </row>
    <row r="4886">
      <c r="E4886" s="115"/>
      <c r="F4886" s="115"/>
      <c r="G4886" s="115"/>
      <c r="H4886" s="115"/>
      <c r="I4886" s="115"/>
      <c r="J4886" s="115"/>
      <c r="K4886" s="115"/>
      <c r="L4886" s="115"/>
      <c r="M4886" s="115"/>
      <c r="N4886" s="115"/>
      <c r="O4886" s="115"/>
    </row>
    <row r="4887">
      <c r="E4887" s="115"/>
      <c r="F4887" s="115"/>
      <c r="G4887" s="115"/>
      <c r="H4887" s="115"/>
      <c r="I4887" s="115"/>
      <c r="J4887" s="115"/>
      <c r="K4887" s="115"/>
      <c r="L4887" s="115"/>
      <c r="M4887" s="115"/>
      <c r="N4887" s="115"/>
      <c r="O4887" s="115"/>
    </row>
    <row r="4888">
      <c r="E4888" s="115"/>
      <c r="F4888" s="115"/>
      <c r="G4888" s="115"/>
      <c r="H4888" s="115"/>
      <c r="I4888" s="115"/>
      <c r="J4888" s="115"/>
      <c r="K4888" s="115"/>
      <c r="L4888" s="115"/>
      <c r="M4888" s="115"/>
      <c r="N4888" s="115"/>
      <c r="O4888" s="115"/>
    </row>
    <row r="4889">
      <c r="E4889" s="115"/>
      <c r="F4889" s="115"/>
      <c r="G4889" s="115"/>
      <c r="H4889" s="115"/>
      <c r="I4889" s="115"/>
      <c r="J4889" s="115"/>
      <c r="K4889" s="115"/>
      <c r="L4889" s="115"/>
      <c r="M4889" s="115"/>
      <c r="N4889" s="115"/>
      <c r="O4889" s="115"/>
    </row>
    <row r="4890">
      <c r="E4890" s="115"/>
      <c r="F4890" s="115"/>
      <c r="G4890" s="115"/>
      <c r="H4890" s="115"/>
      <c r="I4890" s="115"/>
      <c r="J4890" s="115"/>
      <c r="K4890" s="115"/>
      <c r="L4890" s="115"/>
      <c r="M4890" s="115"/>
      <c r="N4890" s="115"/>
      <c r="O4890" s="115"/>
    </row>
    <row r="4891">
      <c r="E4891" s="115"/>
      <c r="F4891" s="115"/>
      <c r="G4891" s="115"/>
      <c r="H4891" s="115"/>
      <c r="I4891" s="115"/>
      <c r="J4891" s="115"/>
      <c r="K4891" s="115"/>
      <c r="L4891" s="115"/>
      <c r="M4891" s="115"/>
      <c r="N4891" s="115"/>
      <c r="O4891" s="115"/>
    </row>
    <row r="4892">
      <c r="E4892" s="115"/>
      <c r="F4892" s="115"/>
      <c r="G4892" s="115"/>
      <c r="H4892" s="115"/>
      <c r="I4892" s="115"/>
      <c r="J4892" s="115"/>
      <c r="K4892" s="115"/>
      <c r="L4892" s="115"/>
      <c r="M4892" s="115"/>
      <c r="N4892" s="115"/>
      <c r="O4892" s="115"/>
    </row>
    <row r="4893">
      <c r="E4893" s="115"/>
      <c r="F4893" s="115"/>
      <c r="G4893" s="115"/>
      <c r="H4893" s="115"/>
      <c r="I4893" s="115"/>
      <c r="J4893" s="115"/>
      <c r="K4893" s="115"/>
      <c r="L4893" s="115"/>
      <c r="M4893" s="115"/>
      <c r="N4893" s="115"/>
      <c r="O4893" s="115"/>
    </row>
    <row r="4894">
      <c r="E4894" s="115"/>
      <c r="F4894" s="115"/>
      <c r="G4894" s="115"/>
      <c r="H4894" s="115"/>
      <c r="I4894" s="115"/>
      <c r="J4894" s="115"/>
      <c r="K4894" s="115"/>
      <c r="L4894" s="115"/>
      <c r="M4894" s="115"/>
      <c r="N4894" s="115"/>
      <c r="O4894" s="115"/>
    </row>
    <row r="4895">
      <c r="E4895" s="115"/>
      <c r="F4895" s="115"/>
      <c r="G4895" s="115"/>
      <c r="H4895" s="115"/>
      <c r="I4895" s="115"/>
      <c r="J4895" s="115"/>
      <c r="K4895" s="115"/>
      <c r="L4895" s="115"/>
      <c r="M4895" s="115"/>
      <c r="N4895" s="115"/>
      <c r="O4895" s="115"/>
    </row>
    <row r="4896">
      <c r="E4896" s="115"/>
      <c r="F4896" s="115"/>
      <c r="G4896" s="115"/>
      <c r="H4896" s="115"/>
      <c r="I4896" s="115"/>
      <c r="J4896" s="115"/>
      <c r="K4896" s="115"/>
      <c r="L4896" s="115"/>
      <c r="M4896" s="115"/>
      <c r="N4896" s="115"/>
      <c r="O4896" s="115"/>
    </row>
    <row r="4897">
      <c r="E4897" s="115"/>
      <c r="F4897" s="115"/>
      <c r="G4897" s="115"/>
      <c r="H4897" s="115"/>
      <c r="I4897" s="115"/>
      <c r="J4897" s="115"/>
      <c r="K4897" s="115"/>
      <c r="L4897" s="115"/>
      <c r="M4897" s="115"/>
      <c r="N4897" s="115"/>
      <c r="O4897" s="115"/>
    </row>
    <row r="4898">
      <c r="E4898" s="115"/>
      <c r="F4898" s="115"/>
      <c r="G4898" s="115"/>
      <c r="H4898" s="115"/>
      <c r="I4898" s="115"/>
      <c r="J4898" s="115"/>
      <c r="K4898" s="115"/>
      <c r="L4898" s="115"/>
      <c r="M4898" s="115"/>
      <c r="N4898" s="115"/>
      <c r="O4898" s="115"/>
    </row>
    <row r="4899">
      <c r="E4899" s="115"/>
      <c r="F4899" s="115"/>
      <c r="G4899" s="115"/>
      <c r="H4899" s="115"/>
      <c r="I4899" s="115"/>
      <c r="J4899" s="115"/>
      <c r="K4899" s="115"/>
      <c r="L4899" s="115"/>
      <c r="M4899" s="115"/>
      <c r="N4899" s="115"/>
      <c r="O4899" s="115"/>
    </row>
    <row r="4900">
      <c r="E4900" s="115"/>
      <c r="F4900" s="115"/>
      <c r="G4900" s="115"/>
      <c r="H4900" s="115"/>
      <c r="I4900" s="115"/>
      <c r="J4900" s="115"/>
      <c r="K4900" s="115"/>
      <c r="L4900" s="115"/>
      <c r="M4900" s="115"/>
      <c r="N4900" s="115"/>
      <c r="O4900" s="115"/>
    </row>
    <row r="4901">
      <c r="E4901" s="115"/>
      <c r="F4901" s="115"/>
      <c r="G4901" s="115"/>
      <c r="H4901" s="115"/>
      <c r="I4901" s="115"/>
      <c r="J4901" s="115"/>
      <c r="K4901" s="115"/>
      <c r="L4901" s="115"/>
      <c r="M4901" s="115"/>
      <c r="N4901" s="115"/>
      <c r="O4901" s="115"/>
    </row>
    <row r="4902">
      <c r="E4902" s="115"/>
      <c r="F4902" s="115"/>
      <c r="G4902" s="115"/>
      <c r="H4902" s="115"/>
      <c r="I4902" s="115"/>
      <c r="J4902" s="115"/>
      <c r="K4902" s="115"/>
      <c r="L4902" s="115"/>
      <c r="M4902" s="115"/>
      <c r="N4902" s="115"/>
      <c r="O4902" s="115"/>
    </row>
    <row r="4903">
      <c r="E4903" s="115"/>
      <c r="F4903" s="115"/>
      <c r="G4903" s="115"/>
      <c r="H4903" s="115"/>
      <c r="I4903" s="115"/>
      <c r="J4903" s="115"/>
      <c r="K4903" s="115"/>
      <c r="L4903" s="115"/>
      <c r="M4903" s="115"/>
      <c r="N4903" s="115"/>
      <c r="O4903" s="115"/>
    </row>
    <row r="4904">
      <c r="E4904" s="115"/>
      <c r="F4904" s="115"/>
      <c r="G4904" s="115"/>
      <c r="H4904" s="115"/>
      <c r="I4904" s="115"/>
      <c r="J4904" s="115"/>
      <c r="K4904" s="115"/>
      <c r="L4904" s="115"/>
      <c r="M4904" s="115"/>
      <c r="N4904" s="115"/>
      <c r="O4904" s="115"/>
    </row>
    <row r="4905">
      <c r="E4905" s="115"/>
      <c r="F4905" s="115"/>
      <c r="G4905" s="115"/>
      <c r="H4905" s="115"/>
      <c r="I4905" s="115"/>
      <c r="J4905" s="115"/>
      <c r="K4905" s="115"/>
      <c r="L4905" s="115"/>
      <c r="M4905" s="115"/>
      <c r="N4905" s="115"/>
      <c r="O4905" s="115"/>
    </row>
    <row r="4906">
      <c r="E4906" s="115"/>
      <c r="F4906" s="115"/>
      <c r="G4906" s="115"/>
      <c r="H4906" s="115"/>
      <c r="I4906" s="115"/>
      <c r="J4906" s="115"/>
      <c r="K4906" s="115"/>
      <c r="L4906" s="115"/>
      <c r="M4906" s="115"/>
      <c r="N4906" s="115"/>
      <c r="O4906" s="115"/>
    </row>
    <row r="4907">
      <c r="E4907" s="115"/>
      <c r="F4907" s="115"/>
      <c r="G4907" s="115"/>
      <c r="H4907" s="115"/>
      <c r="I4907" s="115"/>
      <c r="J4907" s="115"/>
      <c r="K4907" s="115"/>
      <c r="L4907" s="115"/>
      <c r="M4907" s="115"/>
      <c r="N4907" s="115"/>
      <c r="O4907" s="115"/>
    </row>
    <row r="4908">
      <c r="E4908" s="115"/>
      <c r="F4908" s="115"/>
      <c r="G4908" s="115"/>
      <c r="H4908" s="115"/>
      <c r="I4908" s="115"/>
      <c r="J4908" s="115"/>
      <c r="K4908" s="115"/>
      <c r="L4908" s="115"/>
      <c r="M4908" s="115"/>
      <c r="N4908" s="115"/>
      <c r="O4908" s="115"/>
    </row>
    <row r="4909">
      <c r="E4909" s="115"/>
      <c r="F4909" s="115"/>
      <c r="G4909" s="115"/>
      <c r="H4909" s="115"/>
      <c r="I4909" s="115"/>
      <c r="J4909" s="115"/>
      <c r="K4909" s="115"/>
      <c r="L4909" s="115"/>
      <c r="M4909" s="115"/>
      <c r="N4909" s="115"/>
      <c r="O4909" s="115"/>
    </row>
    <row r="4910">
      <c r="E4910" s="115"/>
      <c r="F4910" s="115"/>
      <c r="G4910" s="115"/>
      <c r="H4910" s="115"/>
      <c r="I4910" s="115"/>
      <c r="J4910" s="115"/>
      <c r="K4910" s="115"/>
      <c r="L4910" s="115"/>
      <c r="M4910" s="115"/>
      <c r="N4910" s="115"/>
      <c r="O4910" s="115"/>
    </row>
    <row r="4911">
      <c r="E4911" s="115"/>
      <c r="F4911" s="115"/>
      <c r="G4911" s="115"/>
      <c r="H4911" s="115"/>
      <c r="I4911" s="115"/>
      <c r="J4911" s="115"/>
      <c r="K4911" s="115"/>
      <c r="L4911" s="115"/>
      <c r="M4911" s="115"/>
      <c r="N4911" s="115"/>
      <c r="O4911" s="115"/>
    </row>
    <row r="4912">
      <c r="E4912" s="115"/>
      <c r="F4912" s="115"/>
      <c r="G4912" s="115"/>
      <c r="H4912" s="115"/>
      <c r="I4912" s="115"/>
      <c r="J4912" s="115"/>
      <c r="K4912" s="115"/>
      <c r="L4912" s="115"/>
      <c r="M4912" s="115"/>
      <c r="N4912" s="115"/>
      <c r="O4912" s="115"/>
    </row>
    <row r="4913">
      <c r="E4913" s="115"/>
      <c r="F4913" s="115"/>
      <c r="G4913" s="115"/>
      <c r="H4913" s="115"/>
      <c r="I4913" s="115"/>
      <c r="J4913" s="115"/>
      <c r="K4913" s="115"/>
      <c r="L4913" s="115"/>
      <c r="M4913" s="115"/>
      <c r="N4913" s="115"/>
      <c r="O4913" s="115"/>
    </row>
    <row r="4914">
      <c r="E4914" s="115"/>
      <c r="F4914" s="115"/>
      <c r="G4914" s="115"/>
      <c r="H4914" s="115"/>
      <c r="I4914" s="115"/>
      <c r="J4914" s="115"/>
      <c r="K4914" s="115"/>
      <c r="L4914" s="115"/>
      <c r="M4914" s="115"/>
      <c r="N4914" s="115"/>
      <c r="O4914" s="115"/>
    </row>
    <row r="4915">
      <c r="E4915" s="115"/>
      <c r="F4915" s="115"/>
      <c r="G4915" s="115"/>
      <c r="H4915" s="115"/>
      <c r="I4915" s="115"/>
      <c r="J4915" s="115"/>
      <c r="K4915" s="115"/>
      <c r="L4915" s="115"/>
      <c r="M4915" s="115"/>
      <c r="N4915" s="115"/>
      <c r="O4915" s="115"/>
    </row>
    <row r="4916">
      <c r="E4916" s="115"/>
      <c r="F4916" s="115"/>
      <c r="G4916" s="115"/>
      <c r="H4916" s="115"/>
      <c r="I4916" s="115"/>
      <c r="J4916" s="115"/>
      <c r="K4916" s="115"/>
      <c r="L4916" s="115"/>
      <c r="M4916" s="115"/>
      <c r="N4916" s="115"/>
      <c r="O4916" s="115"/>
    </row>
    <row r="4917">
      <c r="E4917" s="115"/>
      <c r="F4917" s="115"/>
      <c r="G4917" s="115"/>
      <c r="H4917" s="115"/>
      <c r="I4917" s="115"/>
      <c r="J4917" s="115"/>
      <c r="K4917" s="115"/>
      <c r="L4917" s="115"/>
      <c r="M4917" s="115"/>
      <c r="N4917" s="115"/>
      <c r="O4917" s="115"/>
    </row>
    <row r="4918">
      <c r="E4918" s="115"/>
      <c r="F4918" s="115"/>
      <c r="G4918" s="115"/>
      <c r="H4918" s="115"/>
      <c r="I4918" s="115"/>
      <c r="J4918" s="115"/>
      <c r="K4918" s="115"/>
      <c r="L4918" s="115"/>
      <c r="M4918" s="115"/>
      <c r="N4918" s="115"/>
      <c r="O4918" s="115"/>
    </row>
    <row r="4919">
      <c r="E4919" s="115"/>
      <c r="F4919" s="115"/>
      <c r="G4919" s="115"/>
      <c r="H4919" s="115"/>
      <c r="I4919" s="115"/>
      <c r="J4919" s="115"/>
      <c r="K4919" s="115"/>
      <c r="L4919" s="115"/>
      <c r="M4919" s="115"/>
      <c r="N4919" s="115"/>
      <c r="O4919" s="115"/>
    </row>
    <row r="4920">
      <c r="E4920" s="115"/>
      <c r="F4920" s="115"/>
      <c r="G4920" s="115"/>
      <c r="H4920" s="115"/>
      <c r="I4920" s="115"/>
      <c r="J4920" s="115"/>
      <c r="K4920" s="115"/>
      <c r="L4920" s="115"/>
      <c r="M4920" s="115"/>
      <c r="N4920" s="115"/>
      <c r="O4920" s="115"/>
    </row>
    <row r="4921">
      <c r="E4921" s="115"/>
      <c r="F4921" s="115"/>
      <c r="G4921" s="115"/>
      <c r="H4921" s="115"/>
      <c r="I4921" s="115"/>
      <c r="J4921" s="115"/>
      <c r="K4921" s="115"/>
      <c r="L4921" s="115"/>
      <c r="M4921" s="115"/>
      <c r="N4921" s="115"/>
      <c r="O4921" s="115"/>
    </row>
    <row r="4922">
      <c r="E4922" s="115"/>
      <c r="F4922" s="115"/>
      <c r="G4922" s="115"/>
      <c r="H4922" s="115"/>
      <c r="I4922" s="115"/>
      <c r="J4922" s="115"/>
      <c r="K4922" s="115"/>
      <c r="L4922" s="115"/>
      <c r="M4922" s="115"/>
      <c r="N4922" s="115"/>
      <c r="O4922" s="115"/>
    </row>
    <row r="4923">
      <c r="E4923" s="115"/>
      <c r="F4923" s="115"/>
      <c r="G4923" s="115"/>
      <c r="H4923" s="115"/>
      <c r="I4923" s="115"/>
      <c r="J4923" s="115"/>
      <c r="K4923" s="115"/>
      <c r="L4923" s="115"/>
      <c r="M4923" s="115"/>
      <c r="N4923" s="115"/>
      <c r="O4923" s="115"/>
    </row>
    <row r="4924">
      <c r="E4924" s="115"/>
      <c r="F4924" s="115"/>
      <c r="G4924" s="115"/>
      <c r="H4924" s="115"/>
      <c r="I4924" s="115"/>
      <c r="J4924" s="115"/>
      <c r="K4924" s="115"/>
      <c r="L4924" s="115"/>
      <c r="M4924" s="115"/>
      <c r="N4924" s="115"/>
      <c r="O4924" s="115"/>
    </row>
    <row r="4925">
      <c r="E4925" s="115"/>
      <c r="F4925" s="115"/>
      <c r="G4925" s="115"/>
      <c r="H4925" s="115"/>
      <c r="I4925" s="115"/>
      <c r="J4925" s="115"/>
      <c r="K4925" s="115"/>
      <c r="L4925" s="115"/>
      <c r="M4925" s="115"/>
      <c r="N4925" s="115"/>
      <c r="O4925" s="115"/>
    </row>
    <row r="4926">
      <c r="E4926" s="115"/>
      <c r="F4926" s="115"/>
      <c r="G4926" s="115"/>
      <c r="H4926" s="115"/>
      <c r="I4926" s="115"/>
      <c r="J4926" s="115"/>
      <c r="K4926" s="115"/>
      <c r="L4926" s="115"/>
      <c r="M4926" s="115"/>
      <c r="N4926" s="115"/>
      <c r="O4926" s="115"/>
    </row>
    <row r="4927">
      <c r="E4927" s="115"/>
      <c r="F4927" s="115"/>
      <c r="G4927" s="115"/>
      <c r="H4927" s="115"/>
      <c r="I4927" s="115"/>
      <c r="J4927" s="115"/>
      <c r="K4927" s="115"/>
      <c r="L4927" s="115"/>
      <c r="M4927" s="115"/>
      <c r="N4927" s="115"/>
      <c r="O4927" s="115"/>
    </row>
    <row r="4928">
      <c r="E4928" s="115"/>
      <c r="F4928" s="115"/>
      <c r="G4928" s="115"/>
      <c r="H4928" s="115"/>
      <c r="I4928" s="115"/>
      <c r="J4928" s="115"/>
      <c r="K4928" s="115"/>
      <c r="L4928" s="115"/>
      <c r="M4928" s="115"/>
      <c r="N4928" s="115"/>
      <c r="O4928" s="115"/>
    </row>
    <row r="4929">
      <c r="E4929" s="115"/>
      <c r="F4929" s="115"/>
      <c r="G4929" s="115"/>
      <c r="H4929" s="115"/>
      <c r="I4929" s="115"/>
      <c r="J4929" s="115"/>
      <c r="K4929" s="115"/>
      <c r="L4929" s="115"/>
      <c r="M4929" s="115"/>
      <c r="N4929" s="115"/>
      <c r="O4929" s="115"/>
    </row>
    <row r="4930">
      <c r="E4930" s="115"/>
      <c r="F4930" s="115"/>
      <c r="G4930" s="115"/>
      <c r="H4930" s="115"/>
      <c r="I4930" s="115"/>
      <c r="J4930" s="115"/>
      <c r="K4930" s="115"/>
      <c r="L4930" s="115"/>
      <c r="M4930" s="115"/>
      <c r="N4930" s="115"/>
      <c r="O4930" s="115"/>
    </row>
    <row r="4931">
      <c r="E4931" s="115"/>
      <c r="F4931" s="115"/>
      <c r="G4931" s="115"/>
      <c r="H4931" s="115"/>
      <c r="I4931" s="115"/>
      <c r="J4931" s="115"/>
      <c r="K4931" s="115"/>
      <c r="L4931" s="115"/>
      <c r="M4931" s="115"/>
      <c r="N4931" s="115"/>
      <c r="O4931" s="115"/>
    </row>
    <row r="4932">
      <c r="E4932" s="115"/>
      <c r="F4932" s="115"/>
      <c r="G4932" s="115"/>
      <c r="H4932" s="115"/>
      <c r="I4932" s="115"/>
      <c r="J4932" s="115"/>
      <c r="K4932" s="115"/>
      <c r="L4932" s="115"/>
      <c r="M4932" s="115"/>
      <c r="N4932" s="115"/>
      <c r="O4932" s="115"/>
    </row>
    <row r="4933">
      <c r="E4933" s="115"/>
      <c r="F4933" s="115"/>
      <c r="G4933" s="115"/>
      <c r="H4933" s="115"/>
      <c r="I4933" s="115"/>
      <c r="J4933" s="115"/>
      <c r="K4933" s="115"/>
      <c r="L4933" s="115"/>
      <c r="M4933" s="115"/>
      <c r="N4933" s="115"/>
      <c r="O4933" s="115"/>
    </row>
    <row r="4934">
      <c r="E4934" s="115"/>
      <c r="F4934" s="115"/>
      <c r="G4934" s="115"/>
      <c r="H4934" s="115"/>
      <c r="I4934" s="115"/>
      <c r="J4934" s="115"/>
      <c r="K4934" s="115"/>
      <c r="L4934" s="115"/>
      <c r="M4934" s="115"/>
      <c r="N4934" s="115"/>
      <c r="O4934" s="115"/>
    </row>
    <row r="4935">
      <c r="E4935" s="115"/>
      <c r="F4935" s="115"/>
      <c r="G4935" s="115"/>
      <c r="H4935" s="115"/>
      <c r="I4935" s="115"/>
      <c r="J4935" s="115"/>
      <c r="K4935" s="115"/>
      <c r="L4935" s="115"/>
      <c r="M4935" s="115"/>
      <c r="N4935" s="115"/>
      <c r="O4935" s="115"/>
    </row>
    <row r="4936">
      <c r="E4936" s="115"/>
      <c r="F4936" s="115"/>
      <c r="G4936" s="115"/>
      <c r="H4936" s="115"/>
      <c r="I4936" s="115"/>
      <c r="J4936" s="115"/>
      <c r="K4936" s="115"/>
      <c r="L4936" s="115"/>
      <c r="M4936" s="115"/>
      <c r="N4936" s="115"/>
      <c r="O4936" s="115"/>
    </row>
    <row r="4937">
      <c r="E4937" s="115"/>
      <c r="F4937" s="115"/>
      <c r="G4937" s="115"/>
      <c r="H4937" s="115"/>
      <c r="I4937" s="115"/>
      <c r="J4937" s="115"/>
      <c r="K4937" s="115"/>
      <c r="L4937" s="115"/>
      <c r="M4937" s="115"/>
      <c r="N4937" s="115"/>
      <c r="O4937" s="115"/>
    </row>
    <row r="4938">
      <c r="E4938" s="115"/>
      <c r="F4938" s="115"/>
      <c r="G4938" s="115"/>
      <c r="H4938" s="115"/>
      <c r="I4938" s="115"/>
      <c r="J4938" s="115"/>
      <c r="K4938" s="115"/>
      <c r="L4938" s="115"/>
      <c r="M4938" s="115"/>
      <c r="N4938" s="115"/>
      <c r="O4938" s="115"/>
    </row>
    <row r="4939">
      <c r="E4939" s="115"/>
      <c r="F4939" s="115"/>
      <c r="G4939" s="115"/>
      <c r="H4939" s="115"/>
      <c r="I4939" s="115"/>
      <c r="J4939" s="115"/>
      <c r="K4939" s="115"/>
      <c r="L4939" s="115"/>
      <c r="M4939" s="115"/>
      <c r="N4939" s="115"/>
      <c r="O4939" s="115"/>
    </row>
    <row r="4940">
      <c r="E4940" s="115"/>
      <c r="F4940" s="115"/>
      <c r="G4940" s="115"/>
      <c r="H4940" s="115"/>
      <c r="I4940" s="115"/>
      <c r="J4940" s="115"/>
      <c r="K4940" s="115"/>
      <c r="L4940" s="115"/>
      <c r="M4940" s="115"/>
      <c r="N4940" s="115"/>
      <c r="O4940" s="115"/>
    </row>
    <row r="4941">
      <c r="E4941" s="115"/>
      <c r="F4941" s="115"/>
      <c r="G4941" s="115"/>
      <c r="H4941" s="115"/>
      <c r="I4941" s="115"/>
      <c r="J4941" s="115"/>
      <c r="K4941" s="115"/>
      <c r="L4941" s="115"/>
      <c r="M4941" s="115"/>
      <c r="N4941" s="115"/>
      <c r="O4941" s="115"/>
    </row>
    <row r="4942">
      <c r="E4942" s="115"/>
      <c r="F4942" s="115"/>
      <c r="G4942" s="115"/>
      <c r="H4942" s="115"/>
      <c r="I4942" s="115"/>
      <c r="J4942" s="115"/>
      <c r="K4942" s="115"/>
      <c r="L4942" s="115"/>
      <c r="M4942" s="115"/>
      <c r="N4942" s="115"/>
      <c r="O4942" s="115"/>
    </row>
    <row r="4943">
      <c r="E4943" s="115"/>
      <c r="F4943" s="115"/>
      <c r="G4943" s="115"/>
      <c r="H4943" s="115"/>
      <c r="I4943" s="115"/>
      <c r="J4943" s="115"/>
      <c r="K4943" s="115"/>
      <c r="L4943" s="115"/>
      <c r="M4943" s="115"/>
      <c r="N4943" s="115"/>
      <c r="O4943" s="115"/>
    </row>
    <row r="4944">
      <c r="E4944" s="115"/>
      <c r="F4944" s="115"/>
      <c r="G4944" s="115"/>
      <c r="H4944" s="115"/>
      <c r="I4944" s="115"/>
      <c r="J4944" s="115"/>
      <c r="K4944" s="115"/>
      <c r="L4944" s="115"/>
      <c r="M4944" s="115"/>
      <c r="N4944" s="115"/>
      <c r="O4944" s="115"/>
    </row>
    <row r="4945">
      <c r="E4945" s="115"/>
      <c r="F4945" s="115"/>
      <c r="G4945" s="115"/>
      <c r="H4945" s="115"/>
      <c r="I4945" s="115"/>
      <c r="J4945" s="115"/>
      <c r="K4945" s="115"/>
      <c r="L4945" s="115"/>
      <c r="M4945" s="115"/>
      <c r="N4945" s="115"/>
      <c r="O4945" s="115"/>
    </row>
    <row r="4946">
      <c r="E4946" s="115"/>
      <c r="F4946" s="115"/>
      <c r="G4946" s="115"/>
      <c r="H4946" s="115"/>
      <c r="I4946" s="115"/>
      <c r="J4946" s="115"/>
      <c r="K4946" s="115"/>
      <c r="L4946" s="115"/>
      <c r="M4946" s="115"/>
      <c r="N4946" s="115"/>
      <c r="O4946" s="115"/>
    </row>
    <row r="4947">
      <c r="E4947" s="115"/>
      <c r="F4947" s="115"/>
      <c r="G4947" s="115"/>
      <c r="H4947" s="115"/>
      <c r="I4947" s="115"/>
      <c r="J4947" s="115"/>
      <c r="K4947" s="115"/>
      <c r="L4947" s="115"/>
      <c r="M4947" s="115"/>
      <c r="N4947" s="115"/>
      <c r="O4947" s="115"/>
    </row>
    <row r="4948">
      <c r="E4948" s="115"/>
      <c r="F4948" s="115"/>
      <c r="G4948" s="115"/>
      <c r="H4948" s="115"/>
      <c r="I4948" s="115"/>
      <c r="J4948" s="115"/>
      <c r="K4948" s="115"/>
      <c r="L4948" s="115"/>
      <c r="M4948" s="115"/>
      <c r="N4948" s="115"/>
      <c r="O4948" s="115"/>
    </row>
    <row r="4949">
      <c r="E4949" s="115"/>
      <c r="F4949" s="115"/>
      <c r="G4949" s="115"/>
      <c r="H4949" s="115"/>
      <c r="I4949" s="115"/>
      <c r="J4949" s="115"/>
      <c r="K4949" s="115"/>
      <c r="L4949" s="115"/>
      <c r="M4949" s="115"/>
      <c r="N4949" s="115"/>
      <c r="O4949" s="115"/>
    </row>
    <row r="4950">
      <c r="E4950" s="115"/>
      <c r="F4950" s="115"/>
      <c r="G4950" s="115"/>
      <c r="H4950" s="115"/>
      <c r="I4950" s="115"/>
      <c r="J4950" s="115"/>
      <c r="K4950" s="115"/>
      <c r="L4950" s="115"/>
      <c r="M4950" s="115"/>
      <c r="N4950" s="115"/>
      <c r="O4950" s="115"/>
    </row>
    <row r="4951">
      <c r="E4951" s="115"/>
      <c r="F4951" s="115"/>
      <c r="G4951" s="115"/>
      <c r="H4951" s="115"/>
      <c r="I4951" s="115"/>
      <c r="J4951" s="115"/>
      <c r="K4951" s="115"/>
      <c r="L4951" s="115"/>
      <c r="M4951" s="115"/>
      <c r="N4951" s="115"/>
      <c r="O4951" s="115"/>
    </row>
    <row r="4952">
      <c r="E4952" s="115"/>
      <c r="F4952" s="115"/>
      <c r="G4952" s="115"/>
      <c r="H4952" s="115"/>
      <c r="I4952" s="115"/>
      <c r="J4952" s="115"/>
      <c r="K4952" s="115"/>
      <c r="L4952" s="115"/>
      <c r="M4952" s="115"/>
      <c r="N4952" s="115"/>
      <c r="O4952" s="115"/>
    </row>
    <row r="4953">
      <c r="E4953" s="115"/>
      <c r="F4953" s="115"/>
      <c r="G4953" s="115"/>
      <c r="H4953" s="115"/>
      <c r="I4953" s="115"/>
      <c r="J4953" s="115"/>
      <c r="K4953" s="115"/>
      <c r="L4953" s="115"/>
      <c r="M4953" s="115"/>
      <c r="N4953" s="115"/>
      <c r="O4953" s="115"/>
    </row>
    <row r="4954">
      <c r="E4954" s="115"/>
      <c r="F4954" s="115"/>
      <c r="G4954" s="115"/>
      <c r="H4954" s="115"/>
      <c r="I4954" s="115"/>
      <c r="J4954" s="115"/>
      <c r="K4954" s="115"/>
      <c r="L4954" s="115"/>
      <c r="M4954" s="115"/>
      <c r="N4954" s="115"/>
      <c r="O4954" s="115"/>
    </row>
    <row r="4955">
      <c r="E4955" s="115"/>
      <c r="F4955" s="115"/>
      <c r="G4955" s="115"/>
      <c r="H4955" s="115"/>
      <c r="I4955" s="115"/>
      <c r="J4955" s="115"/>
      <c r="K4955" s="115"/>
      <c r="L4955" s="115"/>
      <c r="M4955" s="115"/>
      <c r="N4955" s="115"/>
      <c r="O4955" s="115"/>
    </row>
    <row r="4956">
      <c r="E4956" s="115"/>
      <c r="F4956" s="115"/>
      <c r="G4956" s="115"/>
      <c r="H4956" s="115"/>
      <c r="I4956" s="115"/>
      <c r="J4956" s="115"/>
      <c r="K4956" s="115"/>
      <c r="L4956" s="115"/>
      <c r="M4956" s="115"/>
      <c r="N4956" s="115"/>
      <c r="O4956" s="115"/>
    </row>
    <row r="4957">
      <c r="E4957" s="115"/>
      <c r="F4957" s="115"/>
      <c r="G4957" s="115"/>
      <c r="H4957" s="115"/>
      <c r="I4957" s="115"/>
      <c r="J4957" s="115"/>
      <c r="K4957" s="115"/>
      <c r="L4957" s="115"/>
      <c r="M4957" s="115"/>
      <c r="N4957" s="115"/>
      <c r="O4957" s="115"/>
    </row>
    <row r="4958">
      <c r="E4958" s="115"/>
      <c r="F4958" s="115"/>
      <c r="G4958" s="115"/>
      <c r="H4958" s="115"/>
      <c r="I4958" s="115"/>
      <c r="J4958" s="115"/>
      <c r="K4958" s="115"/>
      <c r="L4958" s="115"/>
      <c r="M4958" s="115"/>
      <c r="N4958" s="115"/>
      <c r="O4958" s="115"/>
    </row>
    <row r="4959">
      <c r="E4959" s="115"/>
      <c r="F4959" s="115"/>
      <c r="G4959" s="115"/>
      <c r="H4959" s="115"/>
      <c r="I4959" s="115"/>
      <c r="J4959" s="115"/>
      <c r="K4959" s="115"/>
      <c r="L4959" s="115"/>
      <c r="M4959" s="115"/>
      <c r="N4959" s="115"/>
      <c r="O4959" s="115"/>
    </row>
    <row r="4960">
      <c r="E4960" s="115"/>
      <c r="F4960" s="115"/>
      <c r="G4960" s="115"/>
      <c r="H4960" s="115"/>
      <c r="I4960" s="115"/>
      <c r="J4960" s="115"/>
      <c r="K4960" s="115"/>
      <c r="L4960" s="115"/>
      <c r="M4960" s="115"/>
      <c r="N4960" s="115"/>
      <c r="O4960" s="115"/>
    </row>
    <row r="4961">
      <c r="E4961" s="115"/>
      <c r="F4961" s="115"/>
      <c r="G4961" s="115"/>
      <c r="H4961" s="115"/>
      <c r="I4961" s="115"/>
      <c r="J4961" s="115"/>
      <c r="K4961" s="115"/>
      <c r="L4961" s="115"/>
      <c r="M4961" s="115"/>
      <c r="N4961" s="115"/>
      <c r="O4961" s="115"/>
    </row>
    <row r="4962">
      <c r="E4962" s="115"/>
      <c r="F4962" s="115"/>
      <c r="G4962" s="115"/>
      <c r="H4962" s="115"/>
      <c r="I4962" s="115"/>
      <c r="J4962" s="115"/>
      <c r="K4962" s="115"/>
      <c r="L4962" s="115"/>
      <c r="M4962" s="115"/>
      <c r="N4962" s="115"/>
      <c r="O4962" s="115"/>
    </row>
    <row r="4963">
      <c r="E4963" s="115"/>
      <c r="F4963" s="115"/>
      <c r="G4963" s="115"/>
      <c r="H4963" s="115"/>
      <c r="I4963" s="115"/>
      <c r="J4963" s="115"/>
      <c r="K4963" s="115"/>
      <c r="L4963" s="115"/>
      <c r="M4963" s="115"/>
      <c r="N4963" s="115"/>
      <c r="O4963" s="115"/>
    </row>
    <row r="4964">
      <c r="E4964" s="115"/>
      <c r="F4964" s="115"/>
      <c r="G4964" s="115"/>
      <c r="H4964" s="115"/>
      <c r="I4964" s="115"/>
      <c r="J4964" s="115"/>
      <c r="K4964" s="115"/>
      <c r="L4964" s="115"/>
      <c r="M4964" s="115"/>
      <c r="N4964" s="115"/>
      <c r="O4964" s="115"/>
    </row>
    <row r="4965">
      <c r="E4965" s="115"/>
      <c r="F4965" s="115"/>
      <c r="G4965" s="115"/>
      <c r="H4965" s="115"/>
      <c r="I4965" s="115"/>
      <c r="J4965" s="115"/>
      <c r="K4965" s="115"/>
      <c r="L4965" s="115"/>
      <c r="M4965" s="115"/>
      <c r="N4965" s="115"/>
      <c r="O4965" s="115"/>
    </row>
    <row r="4966">
      <c r="E4966" s="115"/>
      <c r="F4966" s="115"/>
      <c r="G4966" s="115"/>
      <c r="H4966" s="115"/>
      <c r="I4966" s="115"/>
      <c r="J4966" s="115"/>
      <c r="K4966" s="115"/>
      <c r="L4966" s="115"/>
      <c r="M4966" s="115"/>
      <c r="N4966" s="115"/>
      <c r="O4966" s="115"/>
    </row>
    <row r="4967">
      <c r="E4967" s="115"/>
      <c r="F4967" s="115"/>
      <c r="G4967" s="115"/>
      <c r="H4967" s="115"/>
      <c r="I4967" s="115"/>
      <c r="J4967" s="115"/>
      <c r="K4967" s="115"/>
      <c r="L4967" s="115"/>
      <c r="M4967" s="115"/>
      <c r="N4967" s="115"/>
      <c r="O4967" s="115"/>
    </row>
    <row r="4968">
      <c r="E4968" s="115"/>
      <c r="F4968" s="115"/>
      <c r="G4968" s="115"/>
      <c r="H4968" s="115"/>
      <c r="I4968" s="115"/>
      <c r="J4968" s="115"/>
      <c r="K4968" s="115"/>
      <c r="L4968" s="115"/>
      <c r="M4968" s="115"/>
      <c r="N4968" s="115"/>
      <c r="O4968" s="115"/>
    </row>
    <row r="4969">
      <c r="E4969" s="115"/>
      <c r="F4969" s="115"/>
      <c r="G4969" s="115"/>
      <c r="H4969" s="115"/>
      <c r="I4969" s="115"/>
      <c r="J4969" s="115"/>
      <c r="K4969" s="115"/>
      <c r="L4969" s="115"/>
      <c r="M4969" s="115"/>
      <c r="N4969" s="115"/>
      <c r="O4969" s="115"/>
    </row>
    <row r="4970">
      <c r="E4970" s="115"/>
      <c r="F4970" s="115"/>
      <c r="G4970" s="115"/>
      <c r="H4970" s="115"/>
      <c r="I4970" s="115"/>
      <c r="J4970" s="115"/>
      <c r="K4970" s="115"/>
      <c r="L4970" s="115"/>
      <c r="M4970" s="115"/>
      <c r="N4970" s="115"/>
      <c r="O4970" s="115"/>
    </row>
    <row r="4971">
      <c r="E4971" s="115"/>
      <c r="F4971" s="115"/>
      <c r="G4971" s="115"/>
      <c r="H4971" s="115"/>
      <c r="I4971" s="115"/>
      <c r="J4971" s="115"/>
      <c r="K4971" s="115"/>
      <c r="L4971" s="115"/>
      <c r="M4971" s="115"/>
      <c r="N4971" s="115"/>
      <c r="O4971" s="115"/>
    </row>
    <row r="4972">
      <c r="E4972" s="115"/>
      <c r="F4972" s="115"/>
      <c r="G4972" s="115"/>
      <c r="H4972" s="115"/>
      <c r="I4972" s="115"/>
      <c r="J4972" s="115"/>
      <c r="K4972" s="115"/>
      <c r="L4972" s="115"/>
      <c r="M4972" s="115"/>
      <c r="N4972" s="115"/>
      <c r="O4972" s="115"/>
    </row>
    <row r="4973">
      <c r="E4973" s="115"/>
      <c r="F4973" s="115"/>
      <c r="G4973" s="115"/>
      <c r="H4973" s="115"/>
      <c r="I4973" s="115"/>
      <c r="J4973" s="115"/>
      <c r="K4973" s="115"/>
      <c r="L4973" s="115"/>
      <c r="M4973" s="115"/>
      <c r="N4973" s="115"/>
      <c r="O4973" s="115"/>
    </row>
    <row r="4974">
      <c r="E4974" s="115"/>
      <c r="F4974" s="115"/>
      <c r="G4974" s="115"/>
      <c r="H4974" s="115"/>
      <c r="I4974" s="115"/>
      <c r="J4974" s="115"/>
      <c r="K4974" s="115"/>
      <c r="L4974" s="115"/>
      <c r="M4974" s="115"/>
      <c r="N4974" s="115"/>
      <c r="O4974" s="115"/>
    </row>
    <row r="4975">
      <c r="E4975" s="115"/>
      <c r="F4975" s="115"/>
      <c r="G4975" s="115"/>
      <c r="H4975" s="115"/>
      <c r="I4975" s="115"/>
      <c r="J4975" s="115"/>
      <c r="K4975" s="115"/>
      <c r="L4975" s="115"/>
      <c r="M4975" s="115"/>
      <c r="N4975" s="115"/>
      <c r="O4975" s="115"/>
    </row>
    <row r="4976">
      <c r="E4976" s="115"/>
      <c r="F4976" s="115"/>
      <c r="G4976" s="115"/>
      <c r="H4976" s="115"/>
      <c r="I4976" s="115"/>
      <c r="J4976" s="115"/>
      <c r="K4976" s="115"/>
      <c r="L4976" s="115"/>
      <c r="M4976" s="115"/>
      <c r="N4976" s="115"/>
      <c r="O4976" s="115"/>
    </row>
    <row r="4977">
      <c r="E4977" s="115"/>
      <c r="F4977" s="115"/>
      <c r="G4977" s="115"/>
      <c r="H4977" s="115"/>
      <c r="I4977" s="115"/>
      <c r="J4977" s="115"/>
      <c r="K4977" s="115"/>
      <c r="L4977" s="115"/>
      <c r="M4977" s="115"/>
      <c r="N4977" s="115"/>
      <c r="O4977" s="115"/>
    </row>
    <row r="4978">
      <c r="E4978" s="115"/>
      <c r="F4978" s="115"/>
      <c r="G4978" s="115"/>
      <c r="H4978" s="115"/>
      <c r="I4978" s="115"/>
      <c r="J4978" s="115"/>
      <c r="K4978" s="115"/>
      <c r="L4978" s="115"/>
      <c r="M4978" s="115"/>
      <c r="N4978" s="115"/>
      <c r="O4978" s="115"/>
    </row>
    <row r="4979">
      <c r="E4979" s="115"/>
      <c r="F4979" s="115"/>
      <c r="G4979" s="115"/>
      <c r="H4979" s="115"/>
      <c r="I4979" s="115"/>
      <c r="J4979" s="115"/>
      <c r="K4979" s="115"/>
      <c r="L4979" s="115"/>
      <c r="M4979" s="115"/>
      <c r="N4979" s="115"/>
      <c r="O4979" s="115"/>
    </row>
    <row r="4980">
      <c r="E4980" s="115"/>
      <c r="F4980" s="115"/>
      <c r="G4980" s="115"/>
      <c r="H4980" s="115"/>
      <c r="I4980" s="115"/>
      <c r="J4980" s="115"/>
      <c r="K4980" s="115"/>
      <c r="L4980" s="115"/>
      <c r="M4980" s="115"/>
      <c r="N4980" s="115"/>
      <c r="O4980" s="115"/>
    </row>
    <row r="4981">
      <c r="E4981" s="115"/>
      <c r="F4981" s="115"/>
      <c r="G4981" s="115"/>
      <c r="H4981" s="115"/>
      <c r="I4981" s="115"/>
      <c r="J4981" s="115"/>
      <c r="K4981" s="115"/>
      <c r="L4981" s="115"/>
      <c r="M4981" s="115"/>
      <c r="N4981" s="115"/>
      <c r="O4981" s="115"/>
    </row>
    <row r="4982">
      <c r="E4982" s="115"/>
      <c r="F4982" s="115"/>
      <c r="G4982" s="115"/>
      <c r="H4982" s="115"/>
      <c r="I4982" s="115"/>
      <c r="J4982" s="115"/>
      <c r="K4982" s="115"/>
      <c r="L4982" s="115"/>
      <c r="M4982" s="115"/>
      <c r="N4982" s="115"/>
      <c r="O4982" s="115"/>
    </row>
    <row r="4983">
      <c r="E4983" s="115"/>
      <c r="F4983" s="115"/>
      <c r="G4983" s="115"/>
      <c r="H4983" s="115"/>
      <c r="I4983" s="115"/>
      <c r="J4983" s="115"/>
      <c r="K4983" s="115"/>
      <c r="L4983" s="115"/>
      <c r="M4983" s="115"/>
      <c r="N4983" s="115"/>
      <c r="O4983" s="115"/>
    </row>
    <row r="4984">
      <c r="E4984" s="115"/>
      <c r="F4984" s="115"/>
      <c r="G4984" s="115"/>
      <c r="H4984" s="115"/>
      <c r="I4984" s="115"/>
      <c r="J4984" s="115"/>
      <c r="K4984" s="115"/>
      <c r="L4984" s="115"/>
      <c r="M4984" s="115"/>
      <c r="N4984" s="115"/>
      <c r="O4984" s="115"/>
    </row>
    <row r="4985">
      <c r="E4985" s="115"/>
      <c r="F4985" s="115"/>
      <c r="G4985" s="115"/>
      <c r="H4985" s="115"/>
      <c r="I4985" s="115"/>
      <c r="J4985" s="115"/>
      <c r="K4985" s="115"/>
      <c r="L4985" s="115"/>
      <c r="M4985" s="115"/>
      <c r="N4985" s="115"/>
      <c r="O4985" s="115"/>
    </row>
    <row r="4986">
      <c r="E4986" s="115"/>
      <c r="F4986" s="115"/>
      <c r="G4986" s="115"/>
      <c r="H4986" s="115"/>
      <c r="I4986" s="115"/>
      <c r="J4986" s="115"/>
      <c r="K4986" s="115"/>
      <c r="L4986" s="115"/>
      <c r="M4986" s="115"/>
      <c r="N4986" s="115"/>
      <c r="O4986" s="115"/>
    </row>
    <row r="4987">
      <c r="E4987" s="115"/>
      <c r="F4987" s="115"/>
      <c r="G4987" s="115"/>
      <c r="H4987" s="115"/>
      <c r="I4987" s="115"/>
      <c r="J4987" s="115"/>
      <c r="K4987" s="115"/>
      <c r="L4987" s="115"/>
      <c r="M4987" s="115"/>
      <c r="N4987" s="115"/>
      <c r="O4987" s="115"/>
    </row>
    <row r="4988">
      <c r="E4988" s="115"/>
      <c r="F4988" s="115"/>
      <c r="G4988" s="115"/>
      <c r="H4988" s="115"/>
      <c r="I4988" s="115"/>
      <c r="J4988" s="115"/>
      <c r="K4988" s="115"/>
      <c r="L4988" s="115"/>
      <c r="M4988" s="115"/>
      <c r="N4988" s="115"/>
      <c r="O4988" s="115"/>
    </row>
    <row r="4989">
      <c r="E4989" s="115"/>
      <c r="F4989" s="115"/>
      <c r="G4989" s="115"/>
      <c r="H4989" s="115"/>
      <c r="I4989" s="115"/>
      <c r="J4989" s="115"/>
      <c r="K4989" s="115"/>
      <c r="L4989" s="115"/>
      <c r="M4989" s="115"/>
      <c r="N4989" s="115"/>
      <c r="O4989" s="115"/>
    </row>
    <row r="4990">
      <c r="E4990" s="115"/>
      <c r="F4990" s="115"/>
      <c r="G4990" s="115"/>
      <c r="H4990" s="115"/>
      <c r="I4990" s="115"/>
      <c r="J4990" s="115"/>
      <c r="K4990" s="115"/>
      <c r="L4990" s="115"/>
      <c r="M4990" s="115"/>
      <c r="N4990" s="115"/>
      <c r="O4990" s="115"/>
    </row>
    <row r="4991">
      <c r="E4991" s="115"/>
      <c r="F4991" s="115"/>
      <c r="G4991" s="115"/>
      <c r="H4991" s="115"/>
      <c r="I4991" s="115"/>
      <c r="J4991" s="115"/>
      <c r="K4991" s="115"/>
      <c r="L4991" s="115"/>
      <c r="M4991" s="115"/>
      <c r="N4991" s="115"/>
      <c r="O4991" s="115"/>
    </row>
    <row r="4992">
      <c r="E4992" s="115"/>
      <c r="F4992" s="115"/>
      <c r="G4992" s="115"/>
      <c r="H4992" s="115"/>
      <c r="I4992" s="115"/>
      <c r="J4992" s="115"/>
      <c r="K4992" s="115"/>
      <c r="L4992" s="115"/>
      <c r="M4992" s="115"/>
      <c r="N4992" s="115"/>
      <c r="O4992" s="115"/>
    </row>
    <row r="4993">
      <c r="E4993" s="115"/>
      <c r="F4993" s="115"/>
      <c r="G4993" s="115"/>
      <c r="H4993" s="115"/>
      <c r="I4993" s="115"/>
      <c r="J4993" s="115"/>
      <c r="K4993" s="115"/>
      <c r="L4993" s="115"/>
      <c r="M4993" s="115"/>
      <c r="N4993" s="115"/>
      <c r="O4993" s="115"/>
    </row>
    <row r="4994">
      <c r="E4994" s="115"/>
      <c r="F4994" s="115"/>
      <c r="G4994" s="115"/>
      <c r="H4994" s="115"/>
      <c r="I4994" s="115"/>
      <c r="J4994" s="115"/>
      <c r="K4994" s="115"/>
      <c r="L4994" s="115"/>
      <c r="M4994" s="115"/>
      <c r="N4994" s="115"/>
      <c r="O4994" s="115"/>
    </row>
    <row r="4995">
      <c r="E4995" s="115"/>
      <c r="F4995" s="115"/>
      <c r="G4995" s="115"/>
      <c r="H4995" s="115"/>
      <c r="I4995" s="115"/>
      <c r="J4995" s="115"/>
      <c r="K4995" s="115"/>
      <c r="L4995" s="115"/>
      <c r="M4995" s="115"/>
      <c r="N4995" s="115"/>
      <c r="O4995" s="115"/>
    </row>
    <row r="4996">
      <c r="E4996" s="115"/>
      <c r="F4996" s="115"/>
      <c r="G4996" s="115"/>
      <c r="H4996" s="115"/>
      <c r="I4996" s="115"/>
      <c r="J4996" s="115"/>
      <c r="K4996" s="115"/>
      <c r="L4996" s="115"/>
      <c r="M4996" s="115"/>
      <c r="N4996" s="115"/>
      <c r="O4996" s="115"/>
    </row>
    <row r="4997">
      <c r="E4997" s="115"/>
      <c r="F4997" s="115"/>
      <c r="G4997" s="115"/>
      <c r="H4997" s="115"/>
      <c r="I4997" s="115"/>
      <c r="J4997" s="115"/>
      <c r="K4997" s="115"/>
      <c r="L4997" s="115"/>
      <c r="M4997" s="115"/>
      <c r="N4997" s="115"/>
      <c r="O4997" s="115"/>
    </row>
    <row r="4998">
      <c r="E4998" s="115"/>
      <c r="F4998" s="115"/>
      <c r="G4998" s="115"/>
      <c r="H4998" s="115"/>
      <c r="I4998" s="115"/>
      <c r="J4998" s="115"/>
      <c r="K4998" s="115"/>
      <c r="L4998" s="115"/>
      <c r="M4998" s="115"/>
      <c r="N4998" s="115"/>
      <c r="O4998" s="115"/>
    </row>
    <row r="4999">
      <c r="E4999" s="115"/>
      <c r="F4999" s="115"/>
      <c r="G4999" s="115"/>
      <c r="H4999" s="115"/>
      <c r="I4999" s="115"/>
      <c r="J4999" s="115"/>
      <c r="K4999" s="115"/>
      <c r="L4999" s="115"/>
      <c r="M4999" s="115"/>
      <c r="N4999" s="115"/>
      <c r="O4999" s="115"/>
    </row>
    <row r="5000">
      <c r="E5000" s="115"/>
      <c r="F5000" s="115"/>
      <c r="G5000" s="115"/>
      <c r="H5000" s="115"/>
      <c r="I5000" s="115"/>
      <c r="J5000" s="115"/>
      <c r="K5000" s="115"/>
      <c r="L5000" s="115"/>
      <c r="M5000" s="115"/>
      <c r="N5000" s="115"/>
      <c r="O5000" s="115"/>
    </row>
    <row r="5001">
      <c r="E5001" s="115"/>
      <c r="F5001" s="115"/>
      <c r="G5001" s="115"/>
      <c r="H5001" s="115"/>
      <c r="I5001" s="115"/>
      <c r="J5001" s="115"/>
      <c r="K5001" s="115"/>
      <c r="L5001" s="115"/>
      <c r="M5001" s="115"/>
      <c r="N5001" s="115"/>
      <c r="O5001" s="115"/>
    </row>
    <row r="5002">
      <c r="E5002" s="115"/>
      <c r="F5002" s="115"/>
      <c r="G5002" s="115"/>
      <c r="H5002" s="115"/>
      <c r="I5002" s="115"/>
      <c r="J5002" s="115"/>
      <c r="K5002" s="115"/>
      <c r="L5002" s="115"/>
      <c r="M5002" s="115"/>
      <c r="N5002" s="115"/>
      <c r="O5002" s="115"/>
    </row>
    <row r="5003">
      <c r="E5003" s="115"/>
      <c r="F5003" s="115"/>
      <c r="G5003" s="115"/>
      <c r="H5003" s="115"/>
      <c r="I5003" s="115"/>
      <c r="J5003" s="115"/>
      <c r="K5003" s="115"/>
      <c r="L5003" s="115"/>
      <c r="M5003" s="115"/>
      <c r="N5003" s="115"/>
      <c r="O5003" s="115"/>
    </row>
    <row r="5004">
      <c r="E5004" s="115"/>
      <c r="F5004" s="115"/>
      <c r="G5004" s="115"/>
      <c r="H5004" s="115"/>
      <c r="I5004" s="115"/>
      <c r="J5004" s="115"/>
      <c r="K5004" s="115"/>
      <c r="L5004" s="115"/>
      <c r="M5004" s="115"/>
      <c r="N5004" s="115"/>
      <c r="O5004" s="115"/>
    </row>
    <row r="5005">
      <c r="E5005" s="115"/>
      <c r="F5005" s="115"/>
      <c r="G5005" s="115"/>
      <c r="H5005" s="115"/>
      <c r="I5005" s="115"/>
      <c r="J5005" s="115"/>
      <c r="K5005" s="115"/>
      <c r="L5005" s="115"/>
      <c r="M5005" s="115"/>
      <c r="N5005" s="115"/>
      <c r="O5005" s="115"/>
    </row>
    <row r="5006">
      <c r="E5006" s="115"/>
      <c r="F5006" s="115"/>
      <c r="G5006" s="115"/>
      <c r="H5006" s="115"/>
      <c r="I5006" s="115"/>
      <c r="J5006" s="115"/>
      <c r="K5006" s="115"/>
      <c r="L5006" s="115"/>
      <c r="M5006" s="115"/>
      <c r="N5006" s="115"/>
      <c r="O5006" s="115"/>
    </row>
    <row r="5007">
      <c r="E5007" s="115"/>
      <c r="F5007" s="115"/>
      <c r="G5007" s="115"/>
      <c r="H5007" s="115"/>
      <c r="I5007" s="115"/>
      <c r="J5007" s="115"/>
      <c r="K5007" s="115"/>
      <c r="L5007" s="115"/>
      <c r="M5007" s="115"/>
      <c r="N5007" s="115"/>
      <c r="O5007" s="115"/>
    </row>
    <row r="5008">
      <c r="E5008" s="115"/>
      <c r="F5008" s="115"/>
      <c r="G5008" s="115"/>
      <c r="H5008" s="115"/>
      <c r="I5008" s="115"/>
      <c r="J5008" s="115"/>
      <c r="K5008" s="115"/>
      <c r="L5008" s="115"/>
      <c r="M5008" s="115"/>
      <c r="N5008" s="115"/>
      <c r="O5008" s="115"/>
    </row>
    <row r="5009">
      <c r="E5009" s="115"/>
      <c r="F5009" s="115"/>
      <c r="G5009" s="115"/>
      <c r="H5009" s="115"/>
      <c r="I5009" s="115"/>
      <c r="J5009" s="115"/>
      <c r="K5009" s="115"/>
      <c r="L5009" s="115"/>
      <c r="M5009" s="115"/>
      <c r="N5009" s="115"/>
      <c r="O5009" s="115"/>
    </row>
    <row r="5010">
      <c r="E5010" s="115"/>
      <c r="F5010" s="115"/>
      <c r="G5010" s="115"/>
      <c r="H5010" s="115"/>
      <c r="I5010" s="115"/>
      <c r="J5010" s="115"/>
      <c r="K5010" s="115"/>
      <c r="L5010" s="115"/>
      <c r="M5010" s="115"/>
      <c r="N5010" s="115"/>
      <c r="O5010" s="115"/>
    </row>
    <row r="5011">
      <c r="E5011" s="115"/>
      <c r="F5011" s="115"/>
      <c r="G5011" s="115"/>
      <c r="H5011" s="115"/>
      <c r="I5011" s="115"/>
      <c r="J5011" s="115"/>
      <c r="K5011" s="115"/>
      <c r="L5011" s="115"/>
      <c r="M5011" s="115"/>
      <c r="N5011" s="115"/>
      <c r="O5011" s="115"/>
    </row>
    <row r="5012">
      <c r="E5012" s="115"/>
      <c r="F5012" s="115"/>
      <c r="G5012" s="115"/>
      <c r="H5012" s="115"/>
      <c r="I5012" s="115"/>
      <c r="J5012" s="115"/>
      <c r="K5012" s="115"/>
      <c r="L5012" s="115"/>
      <c r="M5012" s="115"/>
      <c r="N5012" s="115"/>
      <c r="O5012" s="115"/>
    </row>
    <row r="5013">
      <c r="E5013" s="115"/>
      <c r="F5013" s="115"/>
      <c r="G5013" s="115"/>
      <c r="H5013" s="115"/>
      <c r="I5013" s="115"/>
      <c r="J5013" s="115"/>
      <c r="K5013" s="115"/>
      <c r="L5013" s="115"/>
      <c r="M5013" s="115"/>
      <c r="N5013" s="115"/>
      <c r="O5013" s="115"/>
    </row>
    <row r="5014">
      <c r="E5014" s="115"/>
      <c r="F5014" s="115"/>
      <c r="G5014" s="115"/>
      <c r="H5014" s="115"/>
      <c r="I5014" s="115"/>
      <c r="J5014" s="115"/>
      <c r="K5014" s="115"/>
      <c r="L5014" s="115"/>
      <c r="M5014" s="115"/>
      <c r="N5014" s="115"/>
      <c r="O5014" s="115"/>
    </row>
    <row r="5015">
      <c r="E5015" s="115"/>
      <c r="F5015" s="115"/>
      <c r="G5015" s="115"/>
      <c r="H5015" s="115"/>
      <c r="I5015" s="115"/>
      <c r="J5015" s="115"/>
      <c r="K5015" s="115"/>
      <c r="L5015" s="115"/>
      <c r="M5015" s="115"/>
      <c r="N5015" s="115"/>
      <c r="O5015" s="115"/>
    </row>
    <row r="5016">
      <c r="E5016" s="115"/>
      <c r="F5016" s="115"/>
      <c r="G5016" s="115"/>
      <c r="H5016" s="115"/>
      <c r="I5016" s="115"/>
      <c r="J5016" s="115"/>
      <c r="K5016" s="115"/>
      <c r="L5016" s="115"/>
      <c r="M5016" s="115"/>
      <c r="N5016" s="115"/>
      <c r="O5016" s="115"/>
    </row>
    <row r="5017">
      <c r="E5017" s="115"/>
      <c r="F5017" s="115"/>
      <c r="G5017" s="115"/>
      <c r="H5017" s="115"/>
      <c r="I5017" s="115"/>
      <c r="J5017" s="115"/>
      <c r="K5017" s="115"/>
      <c r="L5017" s="115"/>
      <c r="M5017" s="115"/>
      <c r="N5017" s="115"/>
      <c r="O5017" s="115"/>
    </row>
    <row r="5018">
      <c r="E5018" s="115"/>
      <c r="F5018" s="115"/>
      <c r="G5018" s="115"/>
      <c r="H5018" s="115"/>
      <c r="I5018" s="115"/>
      <c r="J5018" s="115"/>
      <c r="K5018" s="115"/>
      <c r="L5018" s="115"/>
      <c r="M5018" s="115"/>
      <c r="N5018" s="115"/>
      <c r="O5018" s="115"/>
    </row>
    <row r="5019">
      <c r="E5019" s="115"/>
      <c r="F5019" s="115"/>
      <c r="G5019" s="115"/>
      <c r="H5019" s="115"/>
      <c r="I5019" s="115"/>
      <c r="J5019" s="115"/>
      <c r="K5019" s="115"/>
      <c r="L5019" s="115"/>
      <c r="M5019" s="115"/>
      <c r="N5019" s="115"/>
      <c r="O5019" s="115"/>
    </row>
    <row r="5020">
      <c r="E5020" s="115"/>
      <c r="F5020" s="115"/>
      <c r="G5020" s="115"/>
      <c r="H5020" s="115"/>
      <c r="I5020" s="115"/>
      <c r="J5020" s="115"/>
      <c r="K5020" s="115"/>
      <c r="L5020" s="115"/>
      <c r="M5020" s="115"/>
      <c r="N5020" s="115"/>
      <c r="O5020" s="115"/>
    </row>
    <row r="5021">
      <c r="E5021" s="115"/>
      <c r="F5021" s="115"/>
      <c r="G5021" s="115"/>
      <c r="H5021" s="115"/>
      <c r="I5021" s="115"/>
      <c r="J5021" s="115"/>
      <c r="K5021" s="115"/>
      <c r="L5021" s="115"/>
      <c r="M5021" s="115"/>
      <c r="N5021" s="115"/>
      <c r="O5021" s="115"/>
    </row>
    <row r="5022">
      <c r="E5022" s="115"/>
      <c r="F5022" s="115"/>
      <c r="G5022" s="115"/>
      <c r="H5022" s="115"/>
      <c r="I5022" s="115"/>
      <c r="J5022" s="115"/>
      <c r="K5022" s="115"/>
      <c r="L5022" s="115"/>
      <c r="M5022" s="115"/>
      <c r="N5022" s="115"/>
      <c r="O5022" s="115"/>
    </row>
    <row r="5023">
      <c r="E5023" s="115"/>
      <c r="F5023" s="115"/>
      <c r="G5023" s="115"/>
      <c r="H5023" s="115"/>
      <c r="I5023" s="115"/>
      <c r="J5023" s="115"/>
      <c r="K5023" s="115"/>
      <c r="L5023" s="115"/>
      <c r="M5023" s="115"/>
      <c r="N5023" s="115"/>
      <c r="O5023" s="115"/>
    </row>
    <row r="5024">
      <c r="E5024" s="115"/>
      <c r="F5024" s="115"/>
      <c r="G5024" s="115"/>
      <c r="H5024" s="115"/>
      <c r="I5024" s="115"/>
      <c r="J5024" s="115"/>
      <c r="K5024" s="115"/>
      <c r="L5024" s="115"/>
      <c r="M5024" s="115"/>
      <c r="N5024" s="115"/>
      <c r="O5024" s="115"/>
    </row>
    <row r="5025">
      <c r="E5025" s="115"/>
      <c r="F5025" s="115"/>
      <c r="G5025" s="115"/>
      <c r="H5025" s="115"/>
      <c r="I5025" s="115"/>
      <c r="J5025" s="115"/>
      <c r="K5025" s="115"/>
      <c r="L5025" s="115"/>
      <c r="M5025" s="115"/>
      <c r="N5025" s="115"/>
      <c r="O5025" s="115"/>
    </row>
    <row r="5026">
      <c r="E5026" s="115"/>
      <c r="F5026" s="115"/>
      <c r="G5026" s="115"/>
      <c r="H5026" s="115"/>
      <c r="I5026" s="115"/>
      <c r="J5026" s="115"/>
      <c r="K5026" s="115"/>
      <c r="L5026" s="115"/>
      <c r="M5026" s="115"/>
      <c r="N5026" s="115"/>
      <c r="O5026" s="115"/>
    </row>
    <row r="5027">
      <c r="E5027" s="115"/>
      <c r="F5027" s="115"/>
      <c r="G5027" s="115"/>
      <c r="H5027" s="115"/>
      <c r="I5027" s="115"/>
      <c r="J5027" s="115"/>
      <c r="K5027" s="115"/>
      <c r="L5027" s="115"/>
      <c r="M5027" s="115"/>
      <c r="N5027" s="115"/>
      <c r="O5027" s="115"/>
    </row>
    <row r="5028">
      <c r="E5028" s="115"/>
      <c r="F5028" s="115"/>
      <c r="G5028" s="115"/>
      <c r="H5028" s="115"/>
      <c r="I5028" s="115"/>
      <c r="J5028" s="115"/>
      <c r="K5028" s="115"/>
      <c r="L5028" s="115"/>
      <c r="M5028" s="115"/>
      <c r="N5028" s="115"/>
      <c r="O5028" s="115"/>
    </row>
    <row r="5029">
      <c r="E5029" s="115"/>
      <c r="F5029" s="115"/>
      <c r="G5029" s="115"/>
      <c r="H5029" s="115"/>
      <c r="I5029" s="115"/>
      <c r="J5029" s="115"/>
      <c r="K5029" s="115"/>
      <c r="L5029" s="115"/>
      <c r="M5029" s="115"/>
      <c r="N5029" s="115"/>
      <c r="O5029" s="115"/>
    </row>
    <row r="5030">
      <c r="E5030" s="115"/>
      <c r="F5030" s="115"/>
      <c r="G5030" s="115"/>
      <c r="H5030" s="115"/>
      <c r="I5030" s="115"/>
      <c r="J5030" s="115"/>
      <c r="K5030" s="115"/>
      <c r="L5030" s="115"/>
      <c r="M5030" s="115"/>
      <c r="N5030" s="115"/>
      <c r="O5030" s="115"/>
    </row>
    <row r="5031">
      <c r="E5031" s="115"/>
      <c r="F5031" s="115"/>
      <c r="G5031" s="115"/>
      <c r="H5031" s="115"/>
      <c r="I5031" s="115"/>
      <c r="J5031" s="115"/>
      <c r="K5031" s="115"/>
      <c r="L5031" s="115"/>
      <c r="M5031" s="115"/>
      <c r="N5031" s="115"/>
      <c r="O5031" s="115"/>
    </row>
    <row r="5032">
      <c r="E5032" s="115"/>
      <c r="F5032" s="115"/>
      <c r="G5032" s="115"/>
      <c r="H5032" s="115"/>
      <c r="I5032" s="115"/>
      <c r="J5032" s="115"/>
      <c r="K5032" s="115"/>
      <c r="L5032" s="115"/>
      <c r="M5032" s="115"/>
      <c r="N5032" s="115"/>
      <c r="O5032" s="115"/>
    </row>
    <row r="5033">
      <c r="E5033" s="115"/>
      <c r="F5033" s="115"/>
      <c r="G5033" s="115"/>
      <c r="H5033" s="115"/>
      <c r="I5033" s="115"/>
      <c r="J5033" s="115"/>
      <c r="K5033" s="115"/>
      <c r="L5033" s="115"/>
      <c r="M5033" s="115"/>
      <c r="N5033" s="115"/>
      <c r="O5033" s="115"/>
    </row>
    <row r="5034">
      <c r="E5034" s="115"/>
      <c r="F5034" s="115"/>
      <c r="G5034" s="115"/>
      <c r="H5034" s="115"/>
      <c r="I5034" s="115"/>
      <c r="J5034" s="115"/>
      <c r="K5034" s="115"/>
      <c r="L5034" s="115"/>
      <c r="M5034" s="115"/>
      <c r="N5034" s="115"/>
      <c r="O5034" s="115"/>
    </row>
    <row r="5035">
      <c r="E5035" s="115"/>
      <c r="F5035" s="115"/>
      <c r="G5035" s="115"/>
      <c r="H5035" s="115"/>
      <c r="I5035" s="115"/>
      <c r="J5035" s="115"/>
      <c r="K5035" s="115"/>
      <c r="L5035" s="115"/>
      <c r="M5035" s="115"/>
      <c r="N5035" s="115"/>
      <c r="O5035" s="115"/>
    </row>
    <row r="5036">
      <c r="E5036" s="115"/>
      <c r="F5036" s="115"/>
      <c r="G5036" s="115"/>
      <c r="H5036" s="115"/>
      <c r="I5036" s="115"/>
      <c r="J5036" s="115"/>
      <c r="K5036" s="115"/>
      <c r="L5036" s="115"/>
      <c r="M5036" s="115"/>
      <c r="N5036" s="115"/>
      <c r="O5036" s="115"/>
    </row>
    <row r="5037">
      <c r="E5037" s="115"/>
      <c r="F5037" s="115"/>
      <c r="G5037" s="115"/>
      <c r="H5037" s="115"/>
      <c r="I5037" s="115"/>
      <c r="J5037" s="115"/>
      <c r="K5037" s="115"/>
      <c r="L5037" s="115"/>
      <c r="M5037" s="115"/>
      <c r="N5037" s="115"/>
      <c r="O5037" s="115"/>
    </row>
    <row r="5038">
      <c r="E5038" s="115"/>
      <c r="F5038" s="115"/>
      <c r="G5038" s="115"/>
      <c r="H5038" s="115"/>
      <c r="I5038" s="115"/>
      <c r="J5038" s="115"/>
      <c r="K5038" s="115"/>
      <c r="L5038" s="115"/>
      <c r="M5038" s="115"/>
      <c r="N5038" s="115"/>
      <c r="O5038" s="115"/>
    </row>
    <row r="5039">
      <c r="E5039" s="115"/>
      <c r="F5039" s="115"/>
      <c r="G5039" s="115"/>
      <c r="H5039" s="115"/>
      <c r="I5039" s="115"/>
      <c r="J5039" s="115"/>
      <c r="K5039" s="115"/>
      <c r="L5039" s="115"/>
      <c r="M5039" s="115"/>
      <c r="N5039" s="115"/>
      <c r="O5039" s="115"/>
    </row>
    <row r="5040">
      <c r="E5040" s="115"/>
      <c r="F5040" s="115"/>
      <c r="G5040" s="115"/>
      <c r="H5040" s="115"/>
      <c r="I5040" s="115"/>
      <c r="J5040" s="115"/>
      <c r="K5040" s="115"/>
      <c r="L5040" s="115"/>
      <c r="M5040" s="115"/>
      <c r="N5040" s="115"/>
      <c r="O5040" s="115"/>
    </row>
    <row r="5041">
      <c r="E5041" s="115"/>
      <c r="F5041" s="115"/>
      <c r="G5041" s="115"/>
      <c r="H5041" s="115"/>
      <c r="I5041" s="115"/>
      <c r="J5041" s="115"/>
      <c r="K5041" s="115"/>
      <c r="L5041" s="115"/>
      <c r="M5041" s="115"/>
      <c r="N5041" s="115"/>
      <c r="O5041" s="115"/>
    </row>
    <row r="5042">
      <c r="E5042" s="115"/>
      <c r="F5042" s="115"/>
      <c r="G5042" s="115"/>
      <c r="H5042" s="115"/>
      <c r="I5042" s="115"/>
      <c r="J5042" s="115"/>
      <c r="K5042" s="115"/>
      <c r="L5042" s="115"/>
      <c r="M5042" s="115"/>
      <c r="N5042" s="115"/>
      <c r="O5042" s="115"/>
    </row>
    <row r="5043">
      <c r="E5043" s="115"/>
      <c r="F5043" s="115"/>
      <c r="G5043" s="115"/>
      <c r="H5043" s="115"/>
      <c r="I5043" s="115"/>
      <c r="J5043" s="115"/>
      <c r="K5043" s="115"/>
      <c r="L5043" s="115"/>
      <c r="M5043" s="115"/>
      <c r="N5043" s="115"/>
      <c r="O5043" s="115"/>
    </row>
    <row r="5044">
      <c r="E5044" s="115"/>
      <c r="F5044" s="115"/>
      <c r="G5044" s="115"/>
      <c r="H5044" s="115"/>
      <c r="I5044" s="115"/>
      <c r="J5044" s="115"/>
      <c r="K5044" s="115"/>
      <c r="L5044" s="115"/>
      <c r="M5044" s="115"/>
      <c r="N5044" s="115"/>
      <c r="O5044" s="115"/>
    </row>
    <row r="5045">
      <c r="E5045" s="115"/>
      <c r="F5045" s="115"/>
      <c r="G5045" s="115"/>
      <c r="H5045" s="115"/>
      <c r="I5045" s="115"/>
      <c r="J5045" s="115"/>
      <c r="K5045" s="115"/>
      <c r="L5045" s="115"/>
      <c r="M5045" s="115"/>
      <c r="N5045" s="115"/>
      <c r="O5045" s="115"/>
    </row>
    <row r="5046">
      <c r="E5046" s="115"/>
      <c r="F5046" s="115"/>
      <c r="G5046" s="115"/>
      <c r="H5046" s="115"/>
      <c r="I5046" s="115"/>
      <c r="J5046" s="115"/>
      <c r="K5046" s="115"/>
      <c r="L5046" s="115"/>
      <c r="M5046" s="115"/>
      <c r="N5046" s="115"/>
      <c r="O5046" s="115"/>
    </row>
    <row r="5047">
      <c r="E5047" s="115"/>
      <c r="F5047" s="115"/>
      <c r="G5047" s="115"/>
      <c r="H5047" s="115"/>
      <c r="I5047" s="115"/>
      <c r="J5047" s="115"/>
      <c r="K5047" s="115"/>
      <c r="L5047" s="115"/>
      <c r="M5047" s="115"/>
      <c r="N5047" s="115"/>
      <c r="O5047" s="115"/>
    </row>
    <row r="5048">
      <c r="E5048" s="115"/>
      <c r="F5048" s="115"/>
      <c r="G5048" s="115"/>
      <c r="H5048" s="115"/>
      <c r="I5048" s="115"/>
      <c r="J5048" s="115"/>
      <c r="K5048" s="115"/>
      <c r="L5048" s="115"/>
      <c r="M5048" s="115"/>
      <c r="N5048" s="115"/>
      <c r="O5048" s="115"/>
    </row>
    <row r="5049">
      <c r="E5049" s="115"/>
      <c r="F5049" s="115"/>
      <c r="G5049" s="115"/>
      <c r="H5049" s="115"/>
      <c r="I5049" s="115"/>
      <c r="J5049" s="115"/>
      <c r="K5049" s="115"/>
      <c r="L5049" s="115"/>
      <c r="M5049" s="115"/>
      <c r="N5049" s="115"/>
      <c r="O5049" s="115"/>
    </row>
    <row r="5050">
      <c r="E5050" s="115"/>
      <c r="F5050" s="115"/>
      <c r="G5050" s="115"/>
      <c r="H5050" s="115"/>
      <c r="I5050" s="115"/>
      <c r="J5050" s="115"/>
      <c r="K5050" s="115"/>
      <c r="L5050" s="115"/>
      <c r="M5050" s="115"/>
      <c r="N5050" s="115"/>
      <c r="O5050" s="115"/>
    </row>
    <row r="5051">
      <c r="E5051" s="115"/>
      <c r="F5051" s="115"/>
      <c r="G5051" s="115"/>
      <c r="H5051" s="115"/>
      <c r="I5051" s="115"/>
      <c r="J5051" s="115"/>
      <c r="K5051" s="115"/>
      <c r="L5051" s="115"/>
      <c r="M5051" s="115"/>
      <c r="N5051" s="115"/>
      <c r="O5051" s="115"/>
    </row>
    <row r="5052">
      <c r="E5052" s="115"/>
      <c r="F5052" s="115"/>
      <c r="G5052" s="115"/>
      <c r="H5052" s="115"/>
      <c r="I5052" s="115"/>
      <c r="J5052" s="115"/>
      <c r="K5052" s="115"/>
      <c r="L5052" s="115"/>
      <c r="M5052" s="115"/>
      <c r="N5052" s="115"/>
      <c r="O5052" s="115"/>
    </row>
    <row r="5053">
      <c r="E5053" s="115"/>
      <c r="F5053" s="115"/>
      <c r="G5053" s="115"/>
      <c r="H5053" s="115"/>
      <c r="I5053" s="115"/>
      <c r="J5053" s="115"/>
      <c r="K5053" s="115"/>
      <c r="L5053" s="115"/>
      <c r="M5053" s="115"/>
      <c r="N5053" s="115"/>
      <c r="O5053" s="115"/>
    </row>
    <row r="5054">
      <c r="E5054" s="115"/>
      <c r="F5054" s="115"/>
      <c r="G5054" s="115"/>
      <c r="H5054" s="115"/>
      <c r="I5054" s="115"/>
      <c r="J5054" s="115"/>
      <c r="K5054" s="115"/>
      <c r="L5054" s="115"/>
      <c r="M5054" s="115"/>
      <c r="N5054" s="115"/>
      <c r="O5054" s="115"/>
    </row>
    <row r="5055">
      <c r="E5055" s="115"/>
      <c r="F5055" s="115"/>
      <c r="G5055" s="115"/>
      <c r="H5055" s="115"/>
      <c r="I5055" s="115"/>
      <c r="J5055" s="115"/>
      <c r="K5055" s="115"/>
      <c r="L5055" s="115"/>
      <c r="M5055" s="115"/>
      <c r="N5055" s="115"/>
      <c r="O5055" s="115"/>
    </row>
    <row r="5056">
      <c r="E5056" s="115"/>
      <c r="F5056" s="115"/>
      <c r="G5056" s="115"/>
      <c r="H5056" s="115"/>
      <c r="I5056" s="115"/>
      <c r="J5056" s="115"/>
      <c r="K5056" s="115"/>
      <c r="L5056" s="115"/>
      <c r="M5056" s="115"/>
      <c r="N5056" s="115"/>
      <c r="O5056" s="115"/>
    </row>
    <row r="5057">
      <c r="E5057" s="115"/>
      <c r="F5057" s="115"/>
      <c r="G5057" s="115"/>
      <c r="H5057" s="115"/>
      <c r="I5057" s="115"/>
      <c r="J5057" s="115"/>
      <c r="K5057" s="115"/>
      <c r="L5057" s="115"/>
      <c r="M5057" s="115"/>
      <c r="N5057" s="115"/>
      <c r="O5057" s="115"/>
    </row>
    <row r="5058">
      <c r="E5058" s="115"/>
      <c r="F5058" s="115"/>
      <c r="G5058" s="115"/>
      <c r="H5058" s="115"/>
      <c r="I5058" s="115"/>
      <c r="J5058" s="115"/>
      <c r="K5058" s="115"/>
      <c r="L5058" s="115"/>
      <c r="M5058" s="115"/>
      <c r="N5058" s="115"/>
      <c r="O5058" s="115"/>
    </row>
    <row r="5059">
      <c r="E5059" s="115"/>
      <c r="F5059" s="115"/>
      <c r="G5059" s="115"/>
      <c r="H5059" s="115"/>
      <c r="I5059" s="115"/>
      <c r="J5059" s="115"/>
      <c r="K5059" s="115"/>
      <c r="L5059" s="115"/>
      <c r="M5059" s="115"/>
      <c r="N5059" s="115"/>
      <c r="O5059" s="115"/>
    </row>
    <row r="5060">
      <c r="E5060" s="115"/>
      <c r="F5060" s="115"/>
      <c r="G5060" s="115"/>
      <c r="H5060" s="115"/>
      <c r="I5060" s="115"/>
      <c r="J5060" s="115"/>
      <c r="K5060" s="115"/>
      <c r="L5060" s="115"/>
      <c r="M5060" s="115"/>
      <c r="N5060" s="115"/>
      <c r="O5060" s="115"/>
    </row>
    <row r="5061">
      <c r="E5061" s="115"/>
      <c r="F5061" s="115"/>
      <c r="G5061" s="115"/>
      <c r="H5061" s="115"/>
      <c r="I5061" s="115"/>
      <c r="J5061" s="115"/>
      <c r="K5061" s="115"/>
      <c r="L5061" s="115"/>
      <c r="M5061" s="115"/>
      <c r="N5061" s="115"/>
      <c r="O5061" s="115"/>
    </row>
    <row r="5062">
      <c r="E5062" s="115"/>
      <c r="F5062" s="115"/>
      <c r="G5062" s="115"/>
      <c r="H5062" s="115"/>
      <c r="I5062" s="115"/>
      <c r="J5062" s="115"/>
      <c r="K5062" s="115"/>
      <c r="L5062" s="115"/>
      <c r="M5062" s="115"/>
      <c r="N5062" s="115"/>
      <c r="O5062" s="115"/>
    </row>
    <row r="5063">
      <c r="E5063" s="115"/>
      <c r="F5063" s="115"/>
      <c r="G5063" s="115"/>
      <c r="H5063" s="115"/>
      <c r="I5063" s="115"/>
      <c r="J5063" s="115"/>
      <c r="K5063" s="115"/>
      <c r="L5063" s="115"/>
      <c r="M5063" s="115"/>
      <c r="N5063" s="115"/>
      <c r="O5063" s="115"/>
    </row>
    <row r="5064">
      <c r="E5064" s="115"/>
      <c r="F5064" s="115"/>
      <c r="G5064" s="115"/>
      <c r="H5064" s="115"/>
      <c r="I5064" s="115"/>
      <c r="J5064" s="115"/>
      <c r="K5064" s="115"/>
      <c r="L5064" s="115"/>
      <c r="M5064" s="115"/>
      <c r="N5064" s="115"/>
      <c r="O5064" s="115"/>
    </row>
    <row r="5065">
      <c r="E5065" s="115"/>
      <c r="F5065" s="115"/>
      <c r="G5065" s="115"/>
      <c r="H5065" s="115"/>
      <c r="I5065" s="115"/>
      <c r="J5065" s="115"/>
      <c r="K5065" s="115"/>
      <c r="L5065" s="115"/>
      <c r="M5065" s="115"/>
      <c r="N5065" s="115"/>
      <c r="O5065" s="115"/>
    </row>
    <row r="5066">
      <c r="E5066" s="115"/>
      <c r="F5066" s="115"/>
      <c r="G5066" s="115"/>
      <c r="H5066" s="115"/>
      <c r="I5066" s="115"/>
      <c r="J5066" s="115"/>
      <c r="K5066" s="115"/>
      <c r="L5066" s="115"/>
      <c r="M5066" s="115"/>
      <c r="N5066" s="115"/>
      <c r="O5066" s="115"/>
    </row>
    <row r="5067">
      <c r="E5067" s="115"/>
      <c r="F5067" s="115"/>
      <c r="G5067" s="115"/>
      <c r="H5067" s="115"/>
      <c r="I5067" s="115"/>
      <c r="J5067" s="115"/>
      <c r="K5067" s="115"/>
      <c r="L5067" s="115"/>
      <c r="M5067" s="115"/>
      <c r="N5067" s="115"/>
      <c r="O5067" s="115"/>
    </row>
    <row r="5068">
      <c r="E5068" s="115"/>
      <c r="F5068" s="115"/>
      <c r="G5068" s="115"/>
      <c r="H5068" s="115"/>
      <c r="I5068" s="115"/>
      <c r="J5068" s="115"/>
      <c r="K5068" s="115"/>
      <c r="L5068" s="115"/>
      <c r="M5068" s="115"/>
      <c r="N5068" s="115"/>
      <c r="O5068" s="115"/>
    </row>
    <row r="5069">
      <c r="E5069" s="115"/>
      <c r="F5069" s="115"/>
      <c r="G5069" s="115"/>
      <c r="H5069" s="115"/>
      <c r="I5069" s="115"/>
      <c r="J5069" s="115"/>
      <c r="K5069" s="115"/>
      <c r="L5069" s="115"/>
      <c r="M5069" s="115"/>
      <c r="N5069" s="115"/>
      <c r="O5069" s="115"/>
    </row>
    <row r="5070">
      <c r="E5070" s="115"/>
      <c r="F5070" s="115"/>
      <c r="G5070" s="115"/>
      <c r="H5070" s="115"/>
      <c r="I5070" s="115"/>
      <c r="J5070" s="115"/>
      <c r="K5070" s="115"/>
      <c r="L5070" s="115"/>
      <c r="M5070" s="115"/>
      <c r="N5070" s="115"/>
      <c r="O5070" s="115"/>
    </row>
    <row r="5071">
      <c r="E5071" s="115"/>
      <c r="F5071" s="115"/>
      <c r="G5071" s="115"/>
      <c r="H5071" s="115"/>
      <c r="I5071" s="115"/>
      <c r="J5071" s="115"/>
      <c r="K5071" s="115"/>
      <c r="L5071" s="115"/>
      <c r="M5071" s="115"/>
      <c r="N5071" s="115"/>
      <c r="O5071" s="115"/>
    </row>
    <row r="5072">
      <c r="E5072" s="115"/>
      <c r="F5072" s="115"/>
      <c r="G5072" s="115"/>
      <c r="H5072" s="115"/>
      <c r="I5072" s="115"/>
      <c r="J5072" s="115"/>
      <c r="K5072" s="115"/>
      <c r="L5072" s="115"/>
      <c r="M5072" s="115"/>
      <c r="N5072" s="115"/>
      <c r="O5072" s="115"/>
    </row>
    <row r="5073">
      <c r="E5073" s="115"/>
      <c r="F5073" s="115"/>
      <c r="G5073" s="115"/>
      <c r="H5073" s="115"/>
      <c r="I5073" s="115"/>
      <c r="J5073" s="115"/>
      <c r="K5073" s="115"/>
      <c r="L5073" s="115"/>
      <c r="M5073" s="115"/>
      <c r="N5073" s="115"/>
      <c r="O5073" s="115"/>
    </row>
    <row r="5074">
      <c r="E5074" s="115"/>
      <c r="F5074" s="115"/>
      <c r="G5074" s="115"/>
      <c r="H5074" s="115"/>
      <c r="I5074" s="115"/>
      <c r="J5074" s="115"/>
      <c r="K5074" s="115"/>
      <c r="L5074" s="115"/>
      <c r="M5074" s="115"/>
      <c r="N5074" s="115"/>
      <c r="O5074" s="115"/>
    </row>
    <row r="5075">
      <c r="E5075" s="115"/>
      <c r="F5075" s="115"/>
      <c r="G5075" s="115"/>
      <c r="H5075" s="115"/>
      <c r="I5075" s="115"/>
      <c r="J5075" s="115"/>
      <c r="K5075" s="115"/>
      <c r="L5075" s="115"/>
      <c r="M5075" s="115"/>
      <c r="N5075" s="115"/>
      <c r="O5075" s="115"/>
    </row>
    <row r="5076">
      <c r="E5076" s="115"/>
      <c r="F5076" s="115"/>
      <c r="G5076" s="115"/>
      <c r="H5076" s="115"/>
      <c r="I5076" s="115"/>
      <c r="J5076" s="115"/>
      <c r="K5076" s="115"/>
      <c r="L5076" s="115"/>
      <c r="M5076" s="115"/>
      <c r="N5076" s="115"/>
      <c r="O5076" s="115"/>
    </row>
    <row r="5077">
      <c r="E5077" s="115"/>
      <c r="F5077" s="115"/>
      <c r="G5077" s="115"/>
      <c r="H5077" s="115"/>
      <c r="I5077" s="115"/>
      <c r="J5077" s="115"/>
      <c r="K5077" s="115"/>
      <c r="L5077" s="115"/>
      <c r="M5077" s="115"/>
      <c r="N5077" s="115"/>
      <c r="O5077" s="115"/>
    </row>
    <row r="5078">
      <c r="E5078" s="115"/>
      <c r="F5078" s="115"/>
      <c r="G5078" s="115"/>
      <c r="H5078" s="115"/>
      <c r="I5078" s="115"/>
      <c r="J5078" s="115"/>
      <c r="K5078" s="115"/>
      <c r="L5078" s="115"/>
      <c r="M5078" s="115"/>
      <c r="N5078" s="115"/>
      <c r="O5078" s="115"/>
    </row>
    <row r="5079">
      <c r="E5079" s="115"/>
      <c r="F5079" s="115"/>
      <c r="G5079" s="115"/>
      <c r="H5079" s="115"/>
      <c r="I5079" s="115"/>
      <c r="J5079" s="115"/>
      <c r="K5079" s="115"/>
      <c r="L5079" s="115"/>
      <c r="M5079" s="115"/>
      <c r="N5079" s="115"/>
      <c r="O5079" s="115"/>
    </row>
    <row r="5080">
      <c r="E5080" s="115"/>
      <c r="F5080" s="115"/>
      <c r="G5080" s="115"/>
      <c r="H5080" s="115"/>
      <c r="I5080" s="115"/>
      <c r="J5080" s="115"/>
      <c r="K5080" s="115"/>
      <c r="L5080" s="115"/>
      <c r="M5080" s="115"/>
      <c r="N5080" s="115"/>
      <c r="O5080" s="115"/>
    </row>
    <row r="5081">
      <c r="E5081" s="115"/>
      <c r="F5081" s="115"/>
      <c r="G5081" s="115"/>
      <c r="H5081" s="115"/>
      <c r="I5081" s="115"/>
      <c r="J5081" s="115"/>
      <c r="K5081" s="115"/>
      <c r="L5081" s="115"/>
      <c r="M5081" s="115"/>
      <c r="N5081" s="115"/>
      <c r="O5081" s="115"/>
    </row>
    <row r="5082">
      <c r="E5082" s="115"/>
      <c r="F5082" s="115"/>
      <c r="G5082" s="115"/>
      <c r="H5082" s="115"/>
      <c r="I5082" s="115"/>
      <c r="J5082" s="115"/>
      <c r="K5082" s="115"/>
      <c r="L5082" s="115"/>
      <c r="M5082" s="115"/>
      <c r="N5082" s="115"/>
      <c r="O5082" s="115"/>
    </row>
    <row r="5083">
      <c r="E5083" s="115"/>
      <c r="F5083" s="115"/>
      <c r="G5083" s="115"/>
      <c r="H5083" s="115"/>
      <c r="I5083" s="115"/>
      <c r="J5083" s="115"/>
      <c r="K5083" s="115"/>
      <c r="L5083" s="115"/>
      <c r="M5083" s="115"/>
      <c r="N5083" s="115"/>
      <c r="O5083" s="115"/>
    </row>
    <row r="5084">
      <c r="E5084" s="115"/>
      <c r="F5084" s="115"/>
      <c r="G5084" s="115"/>
      <c r="H5084" s="115"/>
      <c r="I5084" s="115"/>
      <c r="J5084" s="115"/>
      <c r="K5084" s="115"/>
      <c r="L5084" s="115"/>
      <c r="M5084" s="115"/>
      <c r="N5084" s="115"/>
      <c r="O5084" s="115"/>
    </row>
    <row r="5085">
      <c r="E5085" s="115"/>
      <c r="F5085" s="115"/>
      <c r="G5085" s="115"/>
      <c r="H5085" s="115"/>
      <c r="I5085" s="115"/>
      <c r="J5085" s="115"/>
      <c r="K5085" s="115"/>
      <c r="L5085" s="115"/>
      <c r="M5085" s="115"/>
      <c r="N5085" s="115"/>
      <c r="O5085" s="115"/>
    </row>
    <row r="5086">
      <c r="E5086" s="115"/>
      <c r="F5086" s="115"/>
      <c r="G5086" s="115"/>
      <c r="H5086" s="115"/>
      <c r="I5086" s="115"/>
      <c r="J5086" s="115"/>
      <c r="K5086" s="115"/>
      <c r="L5086" s="115"/>
      <c r="M5086" s="115"/>
      <c r="N5086" s="115"/>
      <c r="O5086" s="115"/>
    </row>
    <row r="5087">
      <c r="E5087" s="115"/>
      <c r="F5087" s="115"/>
      <c r="G5087" s="115"/>
      <c r="H5087" s="115"/>
      <c r="I5087" s="115"/>
      <c r="J5087" s="115"/>
      <c r="K5087" s="115"/>
      <c r="L5087" s="115"/>
      <c r="M5087" s="115"/>
      <c r="N5087" s="115"/>
      <c r="O5087" s="115"/>
    </row>
    <row r="5088">
      <c r="E5088" s="115"/>
      <c r="F5088" s="115"/>
      <c r="G5088" s="115"/>
      <c r="H5088" s="115"/>
      <c r="I5088" s="115"/>
      <c r="J5088" s="115"/>
      <c r="K5088" s="115"/>
      <c r="L5088" s="115"/>
      <c r="M5088" s="115"/>
      <c r="N5088" s="115"/>
      <c r="O5088" s="115"/>
    </row>
    <row r="5089">
      <c r="E5089" s="115"/>
      <c r="F5089" s="115"/>
      <c r="G5089" s="115"/>
      <c r="H5089" s="115"/>
      <c r="I5089" s="115"/>
      <c r="J5089" s="115"/>
      <c r="K5089" s="115"/>
      <c r="L5089" s="115"/>
      <c r="M5089" s="115"/>
      <c r="N5089" s="115"/>
      <c r="O5089" s="115"/>
    </row>
    <row r="5090">
      <c r="E5090" s="115"/>
      <c r="F5090" s="115"/>
      <c r="G5090" s="115"/>
      <c r="H5090" s="115"/>
      <c r="I5090" s="115"/>
      <c r="J5090" s="115"/>
      <c r="K5090" s="115"/>
      <c r="L5090" s="115"/>
      <c r="M5090" s="115"/>
      <c r="N5090" s="115"/>
      <c r="O5090" s="115"/>
    </row>
    <row r="5091">
      <c r="E5091" s="115"/>
      <c r="F5091" s="115"/>
      <c r="G5091" s="115"/>
      <c r="H5091" s="115"/>
      <c r="I5091" s="115"/>
      <c r="J5091" s="115"/>
      <c r="K5091" s="115"/>
      <c r="L5091" s="115"/>
      <c r="M5091" s="115"/>
      <c r="N5091" s="115"/>
      <c r="O5091" s="115"/>
    </row>
    <row r="5092">
      <c r="E5092" s="115"/>
      <c r="F5092" s="115"/>
      <c r="G5092" s="115"/>
      <c r="H5092" s="115"/>
      <c r="I5092" s="115"/>
      <c r="J5092" s="115"/>
      <c r="K5092" s="115"/>
      <c r="L5092" s="115"/>
      <c r="M5092" s="115"/>
      <c r="N5092" s="115"/>
      <c r="O5092" s="115"/>
    </row>
    <row r="5093">
      <c r="E5093" s="115"/>
      <c r="F5093" s="115"/>
      <c r="G5093" s="115"/>
      <c r="H5093" s="115"/>
      <c r="I5093" s="115"/>
      <c r="J5093" s="115"/>
      <c r="K5093" s="115"/>
      <c r="L5093" s="115"/>
      <c r="M5093" s="115"/>
      <c r="N5093" s="115"/>
      <c r="O5093" s="115"/>
    </row>
    <row r="5094">
      <c r="E5094" s="115"/>
      <c r="F5094" s="115"/>
      <c r="G5094" s="115"/>
      <c r="H5094" s="115"/>
      <c r="I5094" s="115"/>
      <c r="J5094" s="115"/>
      <c r="K5094" s="115"/>
      <c r="L5094" s="115"/>
      <c r="M5094" s="115"/>
      <c r="N5094" s="115"/>
      <c r="O5094" s="115"/>
    </row>
    <row r="5095">
      <c r="E5095" s="115"/>
      <c r="F5095" s="115"/>
      <c r="G5095" s="115"/>
      <c r="H5095" s="115"/>
      <c r="I5095" s="115"/>
      <c r="J5095" s="115"/>
      <c r="K5095" s="115"/>
      <c r="L5095" s="115"/>
      <c r="M5095" s="115"/>
      <c r="N5095" s="115"/>
      <c r="O5095" s="115"/>
    </row>
    <row r="5096">
      <c r="E5096" s="115"/>
      <c r="F5096" s="115"/>
      <c r="G5096" s="115"/>
      <c r="H5096" s="115"/>
      <c r="I5096" s="115"/>
      <c r="J5096" s="115"/>
      <c r="K5096" s="115"/>
      <c r="L5096" s="115"/>
      <c r="M5096" s="115"/>
      <c r="N5096" s="115"/>
      <c r="O5096" s="115"/>
    </row>
    <row r="5097">
      <c r="E5097" s="115"/>
      <c r="F5097" s="115"/>
      <c r="G5097" s="115"/>
      <c r="H5097" s="115"/>
      <c r="I5097" s="115"/>
      <c r="J5097" s="115"/>
      <c r="K5097" s="115"/>
      <c r="L5097" s="115"/>
      <c r="M5097" s="115"/>
      <c r="N5097" s="115"/>
      <c r="O5097" s="115"/>
    </row>
    <row r="5098">
      <c r="E5098" s="115"/>
      <c r="F5098" s="115"/>
      <c r="G5098" s="115"/>
      <c r="H5098" s="115"/>
      <c r="I5098" s="115"/>
      <c r="J5098" s="115"/>
      <c r="K5098" s="115"/>
      <c r="L5098" s="115"/>
      <c r="M5098" s="115"/>
      <c r="N5098" s="115"/>
      <c r="O5098" s="115"/>
    </row>
    <row r="5099">
      <c r="E5099" s="115"/>
      <c r="F5099" s="115"/>
      <c r="G5099" s="115"/>
      <c r="H5099" s="115"/>
      <c r="I5099" s="115"/>
      <c r="J5099" s="115"/>
      <c r="K5099" s="115"/>
      <c r="L5099" s="115"/>
      <c r="M5099" s="115"/>
      <c r="N5099" s="115"/>
      <c r="O5099" s="115"/>
    </row>
    <row r="5100">
      <c r="E5100" s="115"/>
      <c r="F5100" s="115"/>
      <c r="G5100" s="115"/>
      <c r="H5100" s="115"/>
      <c r="I5100" s="115"/>
      <c r="J5100" s="115"/>
      <c r="K5100" s="115"/>
      <c r="L5100" s="115"/>
      <c r="M5100" s="115"/>
      <c r="N5100" s="115"/>
      <c r="O5100" s="115"/>
    </row>
    <row r="5101">
      <c r="E5101" s="115"/>
      <c r="F5101" s="115"/>
      <c r="G5101" s="115"/>
      <c r="H5101" s="115"/>
      <c r="I5101" s="115"/>
      <c r="J5101" s="115"/>
      <c r="K5101" s="115"/>
      <c r="L5101" s="115"/>
      <c r="M5101" s="115"/>
      <c r="N5101" s="115"/>
      <c r="O5101" s="115"/>
    </row>
    <row r="5102">
      <c r="E5102" s="115"/>
      <c r="F5102" s="115"/>
      <c r="G5102" s="115"/>
      <c r="H5102" s="115"/>
      <c r="I5102" s="115"/>
      <c r="J5102" s="115"/>
      <c r="K5102" s="115"/>
      <c r="L5102" s="115"/>
      <c r="M5102" s="115"/>
      <c r="N5102" s="115"/>
      <c r="O5102" s="115"/>
    </row>
    <row r="5103">
      <c r="E5103" s="115"/>
      <c r="F5103" s="115"/>
      <c r="G5103" s="115"/>
      <c r="H5103" s="115"/>
      <c r="I5103" s="115"/>
      <c r="J5103" s="115"/>
      <c r="K5103" s="115"/>
      <c r="L5103" s="115"/>
      <c r="M5103" s="115"/>
      <c r="N5103" s="115"/>
      <c r="O5103" s="115"/>
    </row>
    <row r="5104">
      <c r="E5104" s="115"/>
      <c r="F5104" s="115"/>
      <c r="G5104" s="115"/>
      <c r="H5104" s="115"/>
      <c r="I5104" s="115"/>
      <c r="J5104" s="115"/>
      <c r="K5104" s="115"/>
      <c r="L5104" s="115"/>
      <c r="M5104" s="115"/>
      <c r="N5104" s="115"/>
      <c r="O5104" s="115"/>
    </row>
    <row r="5105">
      <c r="E5105" s="115"/>
      <c r="F5105" s="115"/>
      <c r="G5105" s="115"/>
      <c r="H5105" s="115"/>
      <c r="I5105" s="115"/>
      <c r="J5105" s="115"/>
      <c r="K5105" s="115"/>
      <c r="L5105" s="115"/>
      <c r="M5105" s="115"/>
      <c r="N5105" s="115"/>
      <c r="O5105" s="115"/>
    </row>
    <row r="5106">
      <c r="E5106" s="115"/>
      <c r="F5106" s="115"/>
      <c r="G5106" s="115"/>
      <c r="H5106" s="115"/>
      <c r="I5106" s="115"/>
      <c r="J5106" s="115"/>
      <c r="K5106" s="115"/>
      <c r="L5106" s="115"/>
      <c r="M5106" s="115"/>
      <c r="N5106" s="115"/>
      <c r="O5106" s="115"/>
    </row>
    <row r="5107">
      <c r="E5107" s="115"/>
      <c r="F5107" s="115"/>
      <c r="G5107" s="115"/>
      <c r="H5107" s="115"/>
      <c r="I5107" s="115"/>
      <c r="J5107" s="115"/>
      <c r="K5107" s="115"/>
      <c r="L5107" s="115"/>
      <c r="M5107" s="115"/>
      <c r="N5107" s="115"/>
      <c r="O5107" s="115"/>
    </row>
    <row r="5108">
      <c r="E5108" s="115"/>
      <c r="F5108" s="115"/>
      <c r="G5108" s="115"/>
      <c r="H5108" s="115"/>
      <c r="I5108" s="115"/>
      <c r="J5108" s="115"/>
      <c r="K5108" s="115"/>
      <c r="L5108" s="115"/>
      <c r="M5108" s="115"/>
      <c r="N5108" s="115"/>
      <c r="O5108" s="115"/>
    </row>
    <row r="5109">
      <c r="E5109" s="115"/>
      <c r="F5109" s="115"/>
      <c r="G5109" s="115"/>
      <c r="H5109" s="115"/>
      <c r="I5109" s="115"/>
      <c r="J5109" s="115"/>
      <c r="K5109" s="115"/>
      <c r="L5109" s="115"/>
      <c r="M5109" s="115"/>
      <c r="N5109" s="115"/>
      <c r="O5109" s="115"/>
    </row>
    <row r="5110">
      <c r="E5110" s="115"/>
      <c r="F5110" s="115"/>
      <c r="G5110" s="115"/>
      <c r="H5110" s="115"/>
      <c r="I5110" s="115"/>
      <c r="J5110" s="115"/>
      <c r="K5110" s="115"/>
      <c r="L5110" s="115"/>
      <c r="M5110" s="115"/>
      <c r="N5110" s="115"/>
      <c r="O5110" s="115"/>
    </row>
    <row r="5111">
      <c r="E5111" s="115"/>
      <c r="F5111" s="115"/>
      <c r="G5111" s="115"/>
      <c r="H5111" s="115"/>
      <c r="I5111" s="115"/>
      <c r="J5111" s="115"/>
      <c r="K5111" s="115"/>
      <c r="L5111" s="115"/>
      <c r="M5111" s="115"/>
      <c r="N5111" s="115"/>
      <c r="O5111" s="115"/>
    </row>
    <row r="5112">
      <c r="E5112" s="115"/>
      <c r="F5112" s="115"/>
      <c r="G5112" s="115"/>
      <c r="H5112" s="115"/>
      <c r="I5112" s="115"/>
      <c r="J5112" s="115"/>
      <c r="K5112" s="115"/>
      <c r="L5112" s="115"/>
      <c r="M5112" s="115"/>
      <c r="N5112" s="115"/>
      <c r="O5112" s="115"/>
    </row>
    <row r="5113">
      <c r="E5113" s="115"/>
      <c r="F5113" s="115"/>
      <c r="G5113" s="115"/>
      <c r="H5113" s="115"/>
      <c r="I5113" s="115"/>
      <c r="J5113" s="115"/>
      <c r="K5113" s="115"/>
      <c r="L5113" s="115"/>
      <c r="M5113" s="115"/>
      <c r="N5113" s="115"/>
      <c r="O5113" s="115"/>
    </row>
    <row r="5114">
      <c r="E5114" s="115"/>
      <c r="F5114" s="115"/>
      <c r="G5114" s="115"/>
      <c r="H5114" s="115"/>
      <c r="I5114" s="115"/>
      <c r="J5114" s="115"/>
      <c r="K5114" s="115"/>
      <c r="L5114" s="115"/>
      <c r="M5114" s="115"/>
      <c r="N5114" s="115"/>
      <c r="O5114" s="115"/>
    </row>
    <row r="5115">
      <c r="E5115" s="115"/>
      <c r="F5115" s="115"/>
      <c r="G5115" s="115"/>
      <c r="H5115" s="115"/>
      <c r="I5115" s="115"/>
      <c r="J5115" s="115"/>
      <c r="K5115" s="115"/>
      <c r="L5115" s="115"/>
      <c r="M5115" s="115"/>
      <c r="N5115" s="115"/>
      <c r="O5115" s="115"/>
    </row>
    <row r="5116">
      <c r="E5116" s="115"/>
      <c r="F5116" s="115"/>
      <c r="G5116" s="115"/>
      <c r="H5116" s="115"/>
      <c r="I5116" s="115"/>
      <c r="J5116" s="115"/>
      <c r="K5116" s="115"/>
      <c r="L5116" s="115"/>
      <c r="M5116" s="115"/>
      <c r="N5116" s="115"/>
      <c r="O5116" s="115"/>
    </row>
    <row r="5117">
      <c r="E5117" s="115"/>
      <c r="F5117" s="115"/>
      <c r="G5117" s="115"/>
      <c r="H5117" s="115"/>
      <c r="I5117" s="115"/>
      <c r="J5117" s="115"/>
      <c r="K5117" s="115"/>
      <c r="L5117" s="115"/>
      <c r="M5117" s="115"/>
      <c r="N5117" s="115"/>
      <c r="O5117" s="115"/>
    </row>
    <row r="5118">
      <c r="E5118" s="115"/>
      <c r="F5118" s="115"/>
      <c r="G5118" s="115"/>
      <c r="H5118" s="115"/>
      <c r="I5118" s="115"/>
      <c r="J5118" s="115"/>
      <c r="K5118" s="115"/>
      <c r="L5118" s="115"/>
      <c r="M5118" s="115"/>
      <c r="N5118" s="115"/>
      <c r="O5118" s="115"/>
    </row>
    <row r="5119">
      <c r="E5119" s="115"/>
      <c r="F5119" s="115"/>
      <c r="G5119" s="115"/>
      <c r="H5119" s="115"/>
      <c r="I5119" s="115"/>
      <c r="J5119" s="115"/>
      <c r="K5119" s="115"/>
      <c r="L5119" s="115"/>
      <c r="M5119" s="115"/>
      <c r="N5119" s="115"/>
      <c r="O5119" s="115"/>
    </row>
    <row r="5120">
      <c r="E5120" s="115"/>
      <c r="F5120" s="115"/>
      <c r="G5120" s="115"/>
      <c r="H5120" s="115"/>
      <c r="I5120" s="115"/>
      <c r="J5120" s="115"/>
      <c r="K5120" s="115"/>
      <c r="L5120" s="115"/>
      <c r="M5120" s="115"/>
      <c r="N5120" s="115"/>
      <c r="O5120" s="115"/>
    </row>
    <row r="5121">
      <c r="E5121" s="115"/>
      <c r="F5121" s="115"/>
      <c r="G5121" s="115"/>
      <c r="H5121" s="115"/>
      <c r="I5121" s="115"/>
      <c r="J5121" s="115"/>
      <c r="K5121" s="115"/>
      <c r="L5121" s="115"/>
      <c r="M5121" s="115"/>
      <c r="N5121" s="115"/>
      <c r="O5121" s="115"/>
    </row>
    <row r="5122">
      <c r="E5122" s="115"/>
      <c r="F5122" s="115"/>
      <c r="G5122" s="115"/>
      <c r="H5122" s="115"/>
      <c r="I5122" s="115"/>
      <c r="J5122" s="115"/>
      <c r="K5122" s="115"/>
      <c r="L5122" s="115"/>
      <c r="M5122" s="115"/>
      <c r="N5122" s="115"/>
      <c r="O5122" s="115"/>
    </row>
    <row r="5123">
      <c r="E5123" s="115"/>
      <c r="F5123" s="115"/>
      <c r="G5123" s="115"/>
      <c r="H5123" s="115"/>
      <c r="I5123" s="115"/>
      <c r="J5123" s="115"/>
      <c r="K5123" s="115"/>
      <c r="L5123" s="115"/>
      <c r="M5123" s="115"/>
      <c r="N5123" s="115"/>
      <c r="O5123" s="115"/>
    </row>
    <row r="5124">
      <c r="E5124" s="115"/>
      <c r="F5124" s="115"/>
      <c r="G5124" s="115"/>
      <c r="H5124" s="115"/>
      <c r="I5124" s="115"/>
      <c r="J5124" s="115"/>
      <c r="K5124" s="115"/>
      <c r="L5124" s="115"/>
      <c r="M5124" s="115"/>
      <c r="N5124" s="115"/>
      <c r="O5124" s="115"/>
    </row>
    <row r="5125">
      <c r="E5125" s="115"/>
      <c r="F5125" s="115"/>
      <c r="G5125" s="115"/>
      <c r="H5125" s="115"/>
      <c r="I5125" s="115"/>
      <c r="J5125" s="115"/>
      <c r="K5125" s="115"/>
      <c r="L5125" s="115"/>
      <c r="M5125" s="115"/>
      <c r="N5125" s="115"/>
      <c r="O5125" s="115"/>
    </row>
    <row r="5126">
      <c r="E5126" s="115"/>
      <c r="F5126" s="115"/>
      <c r="G5126" s="115"/>
      <c r="H5126" s="115"/>
      <c r="I5126" s="115"/>
      <c r="J5126" s="115"/>
      <c r="K5126" s="115"/>
      <c r="L5126" s="115"/>
      <c r="M5126" s="115"/>
      <c r="N5126" s="115"/>
      <c r="O5126" s="115"/>
    </row>
    <row r="5127">
      <c r="E5127" s="115"/>
      <c r="F5127" s="115"/>
      <c r="G5127" s="115"/>
      <c r="H5127" s="115"/>
      <c r="I5127" s="115"/>
      <c r="J5127" s="115"/>
      <c r="K5127" s="115"/>
      <c r="L5127" s="115"/>
      <c r="M5127" s="115"/>
      <c r="N5127" s="115"/>
      <c r="O5127" s="115"/>
    </row>
    <row r="5128">
      <c r="E5128" s="115"/>
      <c r="F5128" s="115"/>
      <c r="G5128" s="115"/>
      <c r="H5128" s="115"/>
      <c r="I5128" s="115"/>
      <c r="J5128" s="115"/>
      <c r="K5128" s="115"/>
      <c r="L5128" s="115"/>
      <c r="M5128" s="115"/>
      <c r="N5128" s="115"/>
      <c r="O5128" s="115"/>
    </row>
    <row r="5129">
      <c r="E5129" s="115"/>
      <c r="F5129" s="115"/>
      <c r="G5129" s="115"/>
      <c r="H5129" s="115"/>
      <c r="I5129" s="115"/>
      <c r="J5129" s="115"/>
      <c r="K5129" s="115"/>
      <c r="L5129" s="115"/>
      <c r="M5129" s="115"/>
      <c r="N5129" s="115"/>
      <c r="O5129" s="115"/>
    </row>
    <row r="5130">
      <c r="E5130" s="115"/>
      <c r="F5130" s="115"/>
      <c r="G5130" s="115"/>
      <c r="H5130" s="115"/>
      <c r="I5130" s="115"/>
      <c r="J5130" s="115"/>
      <c r="K5130" s="115"/>
      <c r="L5130" s="115"/>
      <c r="M5130" s="115"/>
      <c r="N5130" s="115"/>
      <c r="O5130" s="115"/>
    </row>
    <row r="5131">
      <c r="E5131" s="115"/>
      <c r="F5131" s="115"/>
      <c r="G5131" s="115"/>
      <c r="H5131" s="115"/>
      <c r="I5131" s="115"/>
      <c r="J5131" s="115"/>
      <c r="K5131" s="115"/>
      <c r="L5131" s="115"/>
      <c r="M5131" s="115"/>
      <c r="N5131" s="115"/>
      <c r="O5131" s="115"/>
    </row>
    <row r="5132">
      <c r="E5132" s="115"/>
      <c r="F5132" s="115"/>
      <c r="G5132" s="115"/>
      <c r="H5132" s="115"/>
      <c r="I5132" s="115"/>
      <c r="J5132" s="115"/>
      <c r="K5132" s="115"/>
      <c r="L5132" s="115"/>
      <c r="M5132" s="115"/>
      <c r="N5132" s="115"/>
      <c r="O5132" s="115"/>
    </row>
    <row r="5133">
      <c r="E5133" s="115"/>
      <c r="F5133" s="115"/>
      <c r="G5133" s="115"/>
      <c r="H5133" s="115"/>
      <c r="I5133" s="115"/>
      <c r="J5133" s="115"/>
      <c r="K5133" s="115"/>
      <c r="L5133" s="115"/>
      <c r="M5133" s="115"/>
      <c r="N5133" s="115"/>
      <c r="O5133" s="115"/>
    </row>
    <row r="5134">
      <c r="E5134" s="115"/>
      <c r="F5134" s="115"/>
      <c r="G5134" s="115"/>
      <c r="H5134" s="115"/>
      <c r="I5134" s="115"/>
      <c r="J5134" s="115"/>
      <c r="K5134" s="115"/>
      <c r="L5134" s="115"/>
      <c r="M5134" s="115"/>
      <c r="N5134" s="115"/>
      <c r="O5134" s="115"/>
    </row>
    <row r="5135">
      <c r="E5135" s="115"/>
      <c r="F5135" s="115"/>
      <c r="G5135" s="115"/>
      <c r="H5135" s="115"/>
      <c r="I5135" s="115"/>
      <c r="J5135" s="115"/>
      <c r="K5135" s="115"/>
      <c r="L5135" s="115"/>
      <c r="M5135" s="115"/>
      <c r="N5135" s="115"/>
      <c r="O5135" s="115"/>
    </row>
    <row r="5136">
      <c r="E5136" s="115"/>
      <c r="F5136" s="115"/>
      <c r="G5136" s="115"/>
      <c r="H5136" s="115"/>
      <c r="I5136" s="115"/>
      <c r="J5136" s="115"/>
      <c r="K5136" s="115"/>
      <c r="L5136" s="115"/>
      <c r="M5136" s="115"/>
      <c r="N5136" s="115"/>
      <c r="O5136" s="115"/>
    </row>
    <row r="5137">
      <c r="E5137" s="115"/>
      <c r="F5137" s="115"/>
      <c r="G5137" s="115"/>
      <c r="H5137" s="115"/>
      <c r="I5137" s="115"/>
      <c r="J5137" s="115"/>
      <c r="K5137" s="115"/>
      <c r="L5137" s="115"/>
      <c r="M5137" s="115"/>
      <c r="N5137" s="115"/>
      <c r="O5137" s="115"/>
    </row>
    <row r="5138">
      <c r="E5138" s="115"/>
      <c r="F5138" s="115"/>
      <c r="G5138" s="115"/>
      <c r="H5138" s="115"/>
      <c r="I5138" s="115"/>
      <c r="J5138" s="115"/>
      <c r="K5138" s="115"/>
      <c r="L5138" s="115"/>
      <c r="M5138" s="115"/>
      <c r="N5138" s="115"/>
      <c r="O5138" s="115"/>
    </row>
    <row r="5139">
      <c r="E5139" s="115"/>
      <c r="F5139" s="115"/>
      <c r="G5139" s="115"/>
      <c r="H5139" s="115"/>
      <c r="I5139" s="115"/>
      <c r="J5139" s="115"/>
      <c r="K5139" s="115"/>
      <c r="L5139" s="115"/>
      <c r="M5139" s="115"/>
      <c r="N5139" s="115"/>
      <c r="O5139" s="115"/>
    </row>
    <row r="5140">
      <c r="E5140" s="115"/>
      <c r="F5140" s="115"/>
      <c r="G5140" s="115"/>
      <c r="H5140" s="115"/>
      <c r="I5140" s="115"/>
      <c r="J5140" s="115"/>
      <c r="K5140" s="115"/>
      <c r="L5140" s="115"/>
      <c r="M5140" s="115"/>
      <c r="N5140" s="115"/>
      <c r="O5140" s="115"/>
    </row>
    <row r="5141">
      <c r="E5141" s="115"/>
      <c r="F5141" s="115"/>
      <c r="G5141" s="115"/>
      <c r="H5141" s="115"/>
      <c r="I5141" s="115"/>
      <c r="J5141" s="115"/>
      <c r="K5141" s="115"/>
      <c r="L5141" s="115"/>
      <c r="M5141" s="115"/>
      <c r="N5141" s="115"/>
      <c r="O5141" s="115"/>
    </row>
    <row r="5142">
      <c r="E5142" s="115"/>
      <c r="F5142" s="115"/>
      <c r="G5142" s="115"/>
      <c r="H5142" s="115"/>
      <c r="I5142" s="115"/>
      <c r="J5142" s="115"/>
      <c r="K5142" s="115"/>
      <c r="L5142" s="115"/>
      <c r="M5142" s="115"/>
      <c r="N5142" s="115"/>
      <c r="O5142" s="115"/>
    </row>
    <row r="5143">
      <c r="E5143" s="115"/>
      <c r="F5143" s="115"/>
      <c r="G5143" s="115"/>
      <c r="H5143" s="115"/>
      <c r="I5143" s="115"/>
      <c r="J5143" s="115"/>
      <c r="K5143" s="115"/>
      <c r="L5143" s="115"/>
      <c r="M5143" s="115"/>
      <c r="N5143" s="115"/>
      <c r="O5143" s="115"/>
    </row>
    <row r="5144">
      <c r="E5144" s="115"/>
      <c r="F5144" s="115"/>
      <c r="G5144" s="115"/>
      <c r="H5144" s="115"/>
      <c r="I5144" s="115"/>
      <c r="J5144" s="115"/>
      <c r="K5144" s="115"/>
      <c r="L5144" s="115"/>
      <c r="M5144" s="115"/>
      <c r="N5144" s="115"/>
      <c r="O5144" s="115"/>
    </row>
    <row r="5145">
      <c r="E5145" s="115"/>
      <c r="F5145" s="115"/>
      <c r="G5145" s="115"/>
      <c r="H5145" s="115"/>
      <c r="I5145" s="115"/>
      <c r="J5145" s="115"/>
      <c r="K5145" s="115"/>
      <c r="L5145" s="115"/>
      <c r="M5145" s="115"/>
      <c r="N5145" s="115"/>
      <c r="O5145" s="115"/>
    </row>
    <row r="5146">
      <c r="E5146" s="115"/>
      <c r="F5146" s="115"/>
      <c r="G5146" s="115"/>
      <c r="H5146" s="115"/>
      <c r="I5146" s="115"/>
      <c r="J5146" s="115"/>
      <c r="K5146" s="115"/>
      <c r="L5146" s="115"/>
      <c r="M5146" s="115"/>
      <c r="N5146" s="115"/>
      <c r="O5146" s="115"/>
    </row>
    <row r="5147">
      <c r="E5147" s="115"/>
      <c r="F5147" s="115"/>
      <c r="G5147" s="115"/>
      <c r="H5147" s="115"/>
      <c r="I5147" s="115"/>
      <c r="J5147" s="115"/>
      <c r="K5147" s="115"/>
      <c r="L5147" s="115"/>
      <c r="M5147" s="115"/>
      <c r="N5147" s="115"/>
      <c r="O5147" s="115"/>
    </row>
    <row r="5148">
      <c r="E5148" s="115"/>
      <c r="F5148" s="115"/>
      <c r="G5148" s="115"/>
      <c r="H5148" s="115"/>
      <c r="I5148" s="115"/>
      <c r="J5148" s="115"/>
      <c r="K5148" s="115"/>
      <c r="L5148" s="115"/>
      <c r="M5148" s="115"/>
      <c r="N5148" s="115"/>
      <c r="O5148" s="115"/>
    </row>
    <row r="5149">
      <c r="E5149" s="115"/>
      <c r="F5149" s="115"/>
      <c r="G5149" s="115"/>
      <c r="H5149" s="115"/>
      <c r="I5149" s="115"/>
      <c r="J5149" s="115"/>
      <c r="K5149" s="115"/>
      <c r="L5149" s="115"/>
      <c r="M5149" s="115"/>
      <c r="N5149" s="115"/>
      <c r="O5149" s="115"/>
    </row>
    <row r="5150">
      <c r="E5150" s="115"/>
      <c r="F5150" s="115"/>
      <c r="G5150" s="115"/>
      <c r="H5150" s="115"/>
      <c r="I5150" s="115"/>
      <c r="J5150" s="115"/>
      <c r="K5150" s="115"/>
      <c r="L5150" s="115"/>
      <c r="M5150" s="115"/>
      <c r="N5150" s="115"/>
      <c r="O5150" s="115"/>
    </row>
    <row r="5151">
      <c r="E5151" s="115"/>
      <c r="F5151" s="115"/>
      <c r="G5151" s="115"/>
      <c r="H5151" s="115"/>
      <c r="I5151" s="115"/>
      <c r="J5151" s="115"/>
      <c r="K5151" s="115"/>
      <c r="L5151" s="115"/>
      <c r="M5151" s="115"/>
      <c r="N5151" s="115"/>
      <c r="O5151" s="115"/>
    </row>
    <row r="5152">
      <c r="E5152" s="115"/>
      <c r="F5152" s="115"/>
      <c r="G5152" s="115"/>
      <c r="H5152" s="115"/>
      <c r="I5152" s="115"/>
      <c r="J5152" s="115"/>
      <c r="K5152" s="115"/>
      <c r="L5152" s="115"/>
      <c r="M5152" s="115"/>
      <c r="N5152" s="115"/>
      <c r="O5152" s="115"/>
    </row>
    <row r="5153">
      <c r="E5153" s="115"/>
      <c r="F5153" s="115"/>
      <c r="G5153" s="115"/>
      <c r="H5153" s="115"/>
      <c r="I5153" s="115"/>
      <c r="J5153" s="115"/>
      <c r="K5153" s="115"/>
      <c r="L5153" s="115"/>
      <c r="M5153" s="115"/>
      <c r="N5153" s="115"/>
      <c r="O5153" s="115"/>
    </row>
    <row r="5154">
      <c r="E5154" s="115"/>
      <c r="F5154" s="115"/>
      <c r="G5154" s="115"/>
      <c r="H5154" s="115"/>
      <c r="I5154" s="115"/>
      <c r="J5154" s="115"/>
      <c r="K5154" s="115"/>
      <c r="L5154" s="115"/>
      <c r="M5154" s="115"/>
      <c r="N5154" s="115"/>
      <c r="O5154" s="115"/>
    </row>
    <row r="5155">
      <c r="E5155" s="115"/>
      <c r="F5155" s="115"/>
      <c r="G5155" s="115"/>
      <c r="H5155" s="115"/>
      <c r="I5155" s="115"/>
      <c r="J5155" s="115"/>
      <c r="K5155" s="115"/>
      <c r="L5155" s="115"/>
      <c r="M5155" s="115"/>
      <c r="N5155" s="115"/>
      <c r="O5155" s="115"/>
    </row>
    <row r="5156">
      <c r="E5156" s="115"/>
      <c r="F5156" s="115"/>
      <c r="G5156" s="115"/>
      <c r="H5156" s="115"/>
      <c r="I5156" s="115"/>
      <c r="J5156" s="115"/>
      <c r="K5156" s="115"/>
      <c r="L5156" s="115"/>
      <c r="M5156" s="115"/>
      <c r="N5156" s="115"/>
      <c r="O5156" s="115"/>
    </row>
    <row r="5157">
      <c r="E5157" s="115"/>
      <c r="F5157" s="115"/>
      <c r="G5157" s="115"/>
      <c r="H5157" s="115"/>
      <c r="I5157" s="115"/>
      <c r="J5157" s="115"/>
      <c r="K5157" s="115"/>
      <c r="L5157" s="115"/>
      <c r="M5157" s="115"/>
      <c r="N5157" s="115"/>
      <c r="O5157" s="115"/>
    </row>
    <row r="5158">
      <c r="E5158" s="115"/>
      <c r="F5158" s="115"/>
      <c r="G5158" s="115"/>
      <c r="H5158" s="115"/>
      <c r="I5158" s="115"/>
      <c r="J5158" s="115"/>
      <c r="K5158" s="115"/>
      <c r="L5158" s="115"/>
      <c r="M5158" s="115"/>
      <c r="N5158" s="115"/>
      <c r="O5158" s="115"/>
    </row>
    <row r="5159">
      <c r="E5159" s="115"/>
      <c r="F5159" s="115"/>
      <c r="G5159" s="115"/>
      <c r="H5159" s="115"/>
      <c r="I5159" s="115"/>
      <c r="J5159" s="115"/>
      <c r="K5159" s="115"/>
      <c r="L5159" s="115"/>
      <c r="M5159" s="115"/>
      <c r="N5159" s="115"/>
      <c r="O5159" s="115"/>
    </row>
    <row r="5160">
      <c r="E5160" s="115"/>
      <c r="F5160" s="115"/>
      <c r="G5160" s="115"/>
      <c r="H5160" s="115"/>
      <c r="I5160" s="115"/>
      <c r="J5160" s="115"/>
      <c r="K5160" s="115"/>
      <c r="L5160" s="115"/>
      <c r="M5160" s="115"/>
      <c r="N5160" s="115"/>
      <c r="O5160" s="115"/>
    </row>
    <row r="5161">
      <c r="E5161" s="115"/>
      <c r="F5161" s="115"/>
      <c r="G5161" s="115"/>
      <c r="H5161" s="115"/>
      <c r="I5161" s="115"/>
      <c r="J5161" s="115"/>
      <c r="K5161" s="115"/>
      <c r="L5161" s="115"/>
      <c r="M5161" s="115"/>
      <c r="N5161" s="115"/>
      <c r="O5161" s="115"/>
    </row>
    <row r="5162">
      <c r="E5162" s="115"/>
      <c r="F5162" s="115"/>
      <c r="G5162" s="115"/>
      <c r="H5162" s="115"/>
      <c r="I5162" s="115"/>
      <c r="J5162" s="115"/>
      <c r="K5162" s="115"/>
      <c r="L5162" s="115"/>
      <c r="M5162" s="115"/>
      <c r="N5162" s="115"/>
      <c r="O5162" s="115"/>
    </row>
    <row r="5163">
      <c r="E5163" s="115"/>
      <c r="F5163" s="115"/>
      <c r="G5163" s="115"/>
      <c r="H5163" s="115"/>
      <c r="I5163" s="115"/>
      <c r="J5163" s="115"/>
      <c r="K5163" s="115"/>
      <c r="L5163" s="115"/>
      <c r="M5163" s="115"/>
      <c r="N5163" s="115"/>
      <c r="O5163" s="115"/>
    </row>
    <row r="5164">
      <c r="E5164" s="115"/>
      <c r="F5164" s="115"/>
      <c r="G5164" s="115"/>
      <c r="H5164" s="115"/>
      <c r="I5164" s="115"/>
      <c r="J5164" s="115"/>
      <c r="K5164" s="115"/>
      <c r="L5164" s="115"/>
      <c r="M5164" s="115"/>
      <c r="N5164" s="115"/>
      <c r="O5164" s="115"/>
    </row>
    <row r="5165">
      <c r="E5165" s="115"/>
      <c r="F5165" s="115"/>
      <c r="G5165" s="115"/>
      <c r="H5165" s="115"/>
      <c r="I5165" s="115"/>
      <c r="J5165" s="115"/>
      <c r="K5165" s="115"/>
      <c r="L5165" s="115"/>
      <c r="M5165" s="115"/>
      <c r="N5165" s="115"/>
      <c r="O5165" s="115"/>
    </row>
    <row r="5166">
      <c r="E5166" s="115"/>
      <c r="F5166" s="115"/>
      <c r="G5166" s="115"/>
      <c r="H5166" s="115"/>
      <c r="I5166" s="115"/>
      <c r="J5166" s="115"/>
      <c r="K5166" s="115"/>
      <c r="L5166" s="115"/>
      <c r="M5166" s="115"/>
      <c r="N5166" s="115"/>
      <c r="O5166" s="115"/>
    </row>
    <row r="5167">
      <c r="E5167" s="115"/>
      <c r="F5167" s="115"/>
      <c r="G5167" s="115"/>
      <c r="H5167" s="115"/>
      <c r="I5167" s="115"/>
      <c r="J5167" s="115"/>
      <c r="K5167" s="115"/>
      <c r="L5167" s="115"/>
      <c r="M5167" s="115"/>
      <c r="N5167" s="115"/>
      <c r="O5167" s="115"/>
    </row>
    <row r="5168">
      <c r="E5168" s="115"/>
      <c r="F5168" s="115"/>
      <c r="G5168" s="115"/>
      <c r="H5168" s="115"/>
      <c r="I5168" s="115"/>
      <c r="J5168" s="115"/>
      <c r="K5168" s="115"/>
      <c r="L5168" s="115"/>
      <c r="M5168" s="115"/>
      <c r="N5168" s="115"/>
      <c r="O5168" s="115"/>
    </row>
    <row r="5169">
      <c r="E5169" s="115"/>
      <c r="F5169" s="115"/>
      <c r="G5169" s="115"/>
      <c r="H5169" s="115"/>
      <c r="I5169" s="115"/>
      <c r="J5169" s="115"/>
      <c r="K5169" s="115"/>
      <c r="L5169" s="115"/>
      <c r="M5169" s="115"/>
      <c r="N5169" s="115"/>
      <c r="O5169" s="115"/>
    </row>
    <row r="5170">
      <c r="E5170" s="115"/>
      <c r="F5170" s="115"/>
      <c r="G5170" s="115"/>
      <c r="H5170" s="115"/>
      <c r="I5170" s="115"/>
      <c r="J5170" s="115"/>
      <c r="K5170" s="115"/>
      <c r="L5170" s="115"/>
      <c r="M5170" s="115"/>
      <c r="N5170" s="115"/>
      <c r="O5170" s="115"/>
    </row>
    <row r="5171">
      <c r="E5171" s="115"/>
      <c r="F5171" s="115"/>
      <c r="G5171" s="115"/>
      <c r="H5171" s="115"/>
      <c r="I5171" s="115"/>
      <c r="J5171" s="115"/>
      <c r="K5171" s="115"/>
      <c r="L5171" s="115"/>
      <c r="M5171" s="115"/>
      <c r="N5171" s="115"/>
      <c r="O5171" s="115"/>
    </row>
    <row r="5172">
      <c r="E5172" s="115"/>
      <c r="F5172" s="115"/>
      <c r="G5172" s="115"/>
      <c r="H5172" s="115"/>
      <c r="I5172" s="115"/>
      <c r="J5172" s="115"/>
      <c r="K5172" s="115"/>
      <c r="L5172" s="115"/>
      <c r="M5172" s="115"/>
      <c r="N5172" s="115"/>
      <c r="O5172" s="115"/>
    </row>
    <row r="5173">
      <c r="E5173" s="115"/>
      <c r="F5173" s="115"/>
      <c r="G5173" s="115"/>
      <c r="H5173" s="115"/>
      <c r="I5173" s="115"/>
      <c r="J5173" s="115"/>
      <c r="K5173" s="115"/>
      <c r="L5173" s="115"/>
      <c r="M5173" s="115"/>
      <c r="N5173" s="115"/>
      <c r="O5173" s="115"/>
    </row>
    <row r="5174">
      <c r="E5174" s="115"/>
      <c r="F5174" s="115"/>
      <c r="G5174" s="115"/>
      <c r="H5174" s="115"/>
      <c r="I5174" s="115"/>
      <c r="J5174" s="115"/>
      <c r="K5174" s="115"/>
      <c r="L5174" s="115"/>
      <c r="M5174" s="115"/>
      <c r="N5174" s="115"/>
      <c r="O5174" s="115"/>
    </row>
    <row r="5175">
      <c r="E5175" s="115"/>
      <c r="F5175" s="115"/>
      <c r="G5175" s="115"/>
      <c r="H5175" s="115"/>
      <c r="I5175" s="115"/>
      <c r="J5175" s="115"/>
      <c r="K5175" s="115"/>
      <c r="L5175" s="115"/>
      <c r="M5175" s="115"/>
      <c r="N5175" s="115"/>
      <c r="O5175" s="115"/>
    </row>
    <row r="5176">
      <c r="E5176" s="115"/>
      <c r="F5176" s="115"/>
      <c r="G5176" s="115"/>
      <c r="H5176" s="115"/>
      <c r="I5176" s="115"/>
      <c r="J5176" s="115"/>
      <c r="K5176" s="115"/>
      <c r="L5176" s="115"/>
      <c r="M5176" s="115"/>
      <c r="N5176" s="115"/>
      <c r="O5176" s="115"/>
    </row>
    <row r="5177">
      <c r="E5177" s="115"/>
      <c r="F5177" s="115"/>
      <c r="G5177" s="115"/>
      <c r="H5177" s="115"/>
      <c r="I5177" s="115"/>
      <c r="J5177" s="115"/>
      <c r="K5177" s="115"/>
      <c r="L5177" s="115"/>
      <c r="M5177" s="115"/>
      <c r="N5177" s="115"/>
      <c r="O5177" s="115"/>
    </row>
    <row r="5178">
      <c r="E5178" s="115"/>
      <c r="F5178" s="115"/>
      <c r="G5178" s="115"/>
      <c r="H5178" s="115"/>
      <c r="I5178" s="115"/>
      <c r="J5178" s="115"/>
      <c r="K5178" s="115"/>
      <c r="L5178" s="115"/>
      <c r="M5178" s="115"/>
      <c r="N5178" s="115"/>
      <c r="O5178" s="115"/>
    </row>
    <row r="5179">
      <c r="E5179" s="115"/>
      <c r="F5179" s="115"/>
      <c r="G5179" s="115"/>
      <c r="H5179" s="115"/>
      <c r="I5179" s="115"/>
      <c r="J5179" s="115"/>
      <c r="K5179" s="115"/>
      <c r="L5179" s="115"/>
      <c r="M5179" s="115"/>
      <c r="N5179" s="115"/>
      <c r="O5179" s="115"/>
    </row>
    <row r="5180">
      <c r="E5180" s="115"/>
      <c r="F5180" s="115"/>
      <c r="G5180" s="115"/>
      <c r="H5180" s="115"/>
      <c r="I5180" s="115"/>
      <c r="J5180" s="115"/>
      <c r="K5180" s="115"/>
      <c r="L5180" s="115"/>
      <c r="M5180" s="115"/>
      <c r="N5180" s="115"/>
      <c r="O5180" s="115"/>
    </row>
    <row r="5181">
      <c r="E5181" s="115"/>
      <c r="F5181" s="115"/>
      <c r="G5181" s="115"/>
      <c r="H5181" s="115"/>
      <c r="I5181" s="115"/>
      <c r="J5181" s="115"/>
      <c r="K5181" s="115"/>
      <c r="L5181" s="115"/>
      <c r="M5181" s="115"/>
      <c r="N5181" s="115"/>
      <c r="O5181" s="115"/>
    </row>
    <row r="5182">
      <c r="E5182" s="115"/>
      <c r="F5182" s="115"/>
      <c r="G5182" s="115"/>
      <c r="H5182" s="115"/>
      <c r="I5182" s="115"/>
      <c r="J5182" s="115"/>
      <c r="K5182" s="115"/>
      <c r="L5182" s="115"/>
      <c r="M5182" s="115"/>
      <c r="N5182" s="115"/>
      <c r="O5182" s="115"/>
    </row>
    <row r="5183">
      <c r="E5183" s="115"/>
      <c r="F5183" s="115"/>
      <c r="G5183" s="115"/>
      <c r="H5183" s="115"/>
      <c r="I5183" s="115"/>
      <c r="J5183" s="115"/>
      <c r="K5183" s="115"/>
      <c r="L5183" s="115"/>
      <c r="M5183" s="115"/>
      <c r="N5183" s="115"/>
      <c r="O5183" s="115"/>
    </row>
    <row r="5184">
      <c r="E5184" s="115"/>
      <c r="F5184" s="115"/>
      <c r="G5184" s="115"/>
      <c r="H5184" s="115"/>
      <c r="I5184" s="115"/>
      <c r="J5184" s="115"/>
      <c r="K5184" s="115"/>
      <c r="L5184" s="115"/>
      <c r="M5184" s="115"/>
      <c r="N5184" s="115"/>
      <c r="O5184" s="115"/>
    </row>
    <row r="5185">
      <c r="E5185" s="115"/>
      <c r="F5185" s="115"/>
      <c r="G5185" s="115"/>
      <c r="H5185" s="115"/>
      <c r="I5185" s="115"/>
      <c r="J5185" s="115"/>
      <c r="K5185" s="115"/>
      <c r="L5185" s="115"/>
      <c r="M5185" s="115"/>
      <c r="N5185" s="115"/>
      <c r="O5185" s="115"/>
    </row>
    <row r="5186">
      <c r="E5186" s="115"/>
      <c r="F5186" s="115"/>
      <c r="G5186" s="115"/>
      <c r="H5186" s="115"/>
      <c r="I5186" s="115"/>
      <c r="J5186" s="115"/>
      <c r="K5186" s="115"/>
      <c r="L5186" s="115"/>
      <c r="M5186" s="115"/>
      <c r="N5186" s="115"/>
      <c r="O5186" s="115"/>
    </row>
    <row r="5187">
      <c r="E5187" s="115"/>
      <c r="F5187" s="115"/>
      <c r="G5187" s="115"/>
      <c r="H5187" s="115"/>
      <c r="I5187" s="115"/>
      <c r="J5187" s="115"/>
      <c r="K5187" s="115"/>
      <c r="L5187" s="115"/>
      <c r="M5187" s="115"/>
      <c r="N5187" s="115"/>
      <c r="O5187" s="115"/>
    </row>
    <row r="5188">
      <c r="E5188" s="115"/>
      <c r="F5188" s="115"/>
      <c r="G5188" s="115"/>
      <c r="H5188" s="115"/>
      <c r="I5188" s="115"/>
      <c r="J5188" s="115"/>
      <c r="K5188" s="115"/>
      <c r="L5188" s="115"/>
      <c r="M5188" s="115"/>
      <c r="N5188" s="115"/>
      <c r="O5188" s="115"/>
    </row>
    <row r="5189">
      <c r="E5189" s="115"/>
      <c r="F5189" s="115"/>
      <c r="G5189" s="115"/>
      <c r="H5189" s="115"/>
      <c r="I5189" s="115"/>
      <c r="J5189" s="115"/>
      <c r="K5189" s="115"/>
      <c r="L5189" s="115"/>
      <c r="M5189" s="115"/>
      <c r="N5189" s="115"/>
      <c r="O5189" s="115"/>
    </row>
    <row r="5190">
      <c r="E5190" s="115"/>
      <c r="F5190" s="115"/>
      <c r="G5190" s="115"/>
      <c r="H5190" s="115"/>
      <c r="I5190" s="115"/>
      <c r="J5190" s="115"/>
      <c r="K5190" s="115"/>
      <c r="L5190" s="115"/>
      <c r="M5190" s="115"/>
      <c r="N5190" s="115"/>
      <c r="O5190" s="115"/>
    </row>
    <row r="5191">
      <c r="E5191" s="115"/>
      <c r="F5191" s="115"/>
      <c r="G5191" s="115"/>
      <c r="H5191" s="115"/>
      <c r="I5191" s="115"/>
      <c r="J5191" s="115"/>
      <c r="K5191" s="115"/>
      <c r="L5191" s="115"/>
      <c r="M5191" s="115"/>
      <c r="N5191" s="115"/>
      <c r="O5191" s="115"/>
    </row>
    <row r="5192">
      <c r="E5192" s="115"/>
      <c r="F5192" s="115"/>
      <c r="G5192" s="115"/>
      <c r="H5192" s="115"/>
      <c r="I5192" s="115"/>
      <c r="J5192" s="115"/>
      <c r="K5192" s="115"/>
      <c r="L5192" s="115"/>
      <c r="M5192" s="115"/>
      <c r="N5192" s="115"/>
      <c r="O5192" s="115"/>
    </row>
    <row r="5193">
      <c r="E5193" s="115"/>
      <c r="F5193" s="115"/>
      <c r="G5193" s="115"/>
      <c r="H5193" s="115"/>
      <c r="I5193" s="115"/>
      <c r="J5193" s="115"/>
      <c r="K5193" s="115"/>
      <c r="L5193" s="115"/>
      <c r="M5193" s="115"/>
      <c r="N5193" s="115"/>
      <c r="O5193" s="115"/>
    </row>
    <row r="5194">
      <c r="E5194" s="115"/>
      <c r="F5194" s="115"/>
      <c r="G5194" s="115"/>
      <c r="H5194" s="115"/>
      <c r="I5194" s="115"/>
      <c r="J5194" s="115"/>
      <c r="K5194" s="115"/>
      <c r="L5194" s="115"/>
      <c r="M5194" s="115"/>
      <c r="N5194" s="115"/>
      <c r="O5194" s="115"/>
    </row>
    <row r="5195">
      <c r="E5195" s="115"/>
      <c r="F5195" s="115"/>
      <c r="G5195" s="115"/>
      <c r="H5195" s="115"/>
      <c r="I5195" s="115"/>
      <c r="J5195" s="115"/>
      <c r="K5195" s="115"/>
      <c r="L5195" s="115"/>
      <c r="M5195" s="115"/>
      <c r="N5195" s="115"/>
      <c r="O5195" s="115"/>
    </row>
    <row r="5196">
      <c r="E5196" s="115"/>
      <c r="F5196" s="115"/>
      <c r="G5196" s="115"/>
      <c r="H5196" s="115"/>
      <c r="I5196" s="115"/>
      <c r="J5196" s="115"/>
      <c r="K5196" s="115"/>
      <c r="L5196" s="115"/>
      <c r="M5196" s="115"/>
      <c r="N5196" s="115"/>
      <c r="O5196" s="115"/>
    </row>
    <row r="5197">
      <c r="E5197" s="115"/>
      <c r="F5197" s="115"/>
      <c r="G5197" s="115"/>
      <c r="H5197" s="115"/>
      <c r="I5197" s="115"/>
      <c r="J5197" s="115"/>
      <c r="K5197" s="115"/>
      <c r="L5197" s="115"/>
      <c r="M5197" s="115"/>
      <c r="N5197" s="115"/>
      <c r="O5197" s="115"/>
    </row>
    <row r="5198">
      <c r="E5198" s="115"/>
      <c r="F5198" s="115"/>
      <c r="G5198" s="115"/>
      <c r="H5198" s="115"/>
      <c r="I5198" s="115"/>
      <c r="J5198" s="115"/>
      <c r="K5198" s="115"/>
      <c r="L5198" s="115"/>
      <c r="M5198" s="115"/>
      <c r="N5198" s="115"/>
      <c r="O5198" s="115"/>
    </row>
    <row r="5199">
      <c r="E5199" s="115"/>
      <c r="F5199" s="115"/>
      <c r="G5199" s="115"/>
      <c r="H5199" s="115"/>
      <c r="I5199" s="115"/>
      <c r="J5199" s="115"/>
      <c r="K5199" s="115"/>
      <c r="L5199" s="115"/>
      <c r="M5199" s="115"/>
      <c r="N5199" s="115"/>
      <c r="O5199" s="115"/>
    </row>
    <row r="5200">
      <c r="E5200" s="115"/>
      <c r="F5200" s="115"/>
      <c r="G5200" s="115"/>
      <c r="H5200" s="115"/>
      <c r="I5200" s="115"/>
      <c r="J5200" s="115"/>
      <c r="K5200" s="115"/>
      <c r="L5200" s="115"/>
      <c r="M5200" s="115"/>
      <c r="N5200" s="115"/>
      <c r="O5200" s="115"/>
    </row>
    <row r="5201">
      <c r="E5201" s="115"/>
      <c r="F5201" s="115"/>
      <c r="G5201" s="115"/>
      <c r="H5201" s="115"/>
      <c r="I5201" s="115"/>
      <c r="J5201" s="115"/>
      <c r="K5201" s="115"/>
      <c r="L5201" s="115"/>
      <c r="M5201" s="115"/>
      <c r="N5201" s="115"/>
      <c r="O5201" s="115"/>
    </row>
    <row r="5202">
      <c r="E5202" s="115"/>
      <c r="F5202" s="115"/>
      <c r="G5202" s="115"/>
      <c r="H5202" s="115"/>
      <c r="I5202" s="115"/>
      <c r="J5202" s="115"/>
      <c r="K5202" s="115"/>
      <c r="L5202" s="115"/>
      <c r="M5202" s="115"/>
      <c r="N5202" s="115"/>
      <c r="O5202" s="115"/>
    </row>
    <row r="5203">
      <c r="E5203" s="115"/>
      <c r="F5203" s="115"/>
      <c r="G5203" s="115"/>
      <c r="H5203" s="115"/>
      <c r="I5203" s="115"/>
      <c r="J5203" s="115"/>
      <c r="K5203" s="115"/>
      <c r="L5203" s="115"/>
      <c r="M5203" s="115"/>
      <c r="N5203" s="115"/>
      <c r="O5203" s="115"/>
    </row>
    <row r="5204">
      <c r="E5204" s="115"/>
      <c r="F5204" s="115"/>
      <c r="G5204" s="115"/>
      <c r="H5204" s="115"/>
      <c r="I5204" s="115"/>
      <c r="J5204" s="115"/>
      <c r="K5204" s="115"/>
      <c r="L5204" s="115"/>
      <c r="M5204" s="115"/>
      <c r="N5204" s="115"/>
      <c r="O5204" s="115"/>
    </row>
    <row r="5205">
      <c r="E5205" s="115"/>
      <c r="F5205" s="115"/>
      <c r="G5205" s="115"/>
      <c r="H5205" s="115"/>
      <c r="I5205" s="115"/>
      <c r="J5205" s="115"/>
      <c r="K5205" s="115"/>
      <c r="L5205" s="115"/>
      <c r="M5205" s="115"/>
      <c r="N5205" s="115"/>
      <c r="O5205" s="115"/>
    </row>
    <row r="5206">
      <c r="E5206" s="115"/>
      <c r="F5206" s="115"/>
      <c r="G5206" s="115"/>
      <c r="H5206" s="115"/>
      <c r="I5206" s="115"/>
      <c r="J5206" s="115"/>
      <c r="K5206" s="115"/>
      <c r="L5206" s="115"/>
      <c r="M5206" s="115"/>
      <c r="N5206" s="115"/>
      <c r="O5206" s="115"/>
    </row>
    <row r="5207">
      <c r="E5207" s="115"/>
      <c r="F5207" s="115"/>
      <c r="G5207" s="115"/>
      <c r="H5207" s="115"/>
      <c r="I5207" s="115"/>
      <c r="J5207" s="115"/>
      <c r="K5207" s="115"/>
      <c r="L5207" s="115"/>
      <c r="M5207" s="115"/>
      <c r="N5207" s="115"/>
      <c r="O5207" s="115"/>
    </row>
    <row r="5208">
      <c r="E5208" s="115"/>
      <c r="F5208" s="115"/>
      <c r="G5208" s="115"/>
      <c r="H5208" s="115"/>
      <c r="I5208" s="115"/>
      <c r="J5208" s="115"/>
      <c r="K5208" s="115"/>
      <c r="L5208" s="115"/>
      <c r="M5208" s="115"/>
      <c r="N5208" s="115"/>
      <c r="O5208" s="115"/>
    </row>
    <row r="5209">
      <c r="E5209" s="115"/>
      <c r="F5209" s="115"/>
      <c r="G5209" s="115"/>
      <c r="H5209" s="115"/>
      <c r="I5209" s="115"/>
      <c r="J5209" s="115"/>
      <c r="K5209" s="115"/>
      <c r="L5209" s="115"/>
      <c r="M5209" s="115"/>
      <c r="N5209" s="115"/>
      <c r="O5209" s="115"/>
    </row>
    <row r="5210">
      <c r="E5210" s="115"/>
      <c r="F5210" s="115"/>
      <c r="G5210" s="115"/>
      <c r="H5210" s="115"/>
      <c r="I5210" s="115"/>
      <c r="J5210" s="115"/>
      <c r="K5210" s="115"/>
      <c r="L5210" s="115"/>
      <c r="M5210" s="115"/>
      <c r="N5210" s="115"/>
      <c r="O5210" s="115"/>
    </row>
    <row r="5211">
      <c r="E5211" s="115"/>
      <c r="F5211" s="115"/>
      <c r="G5211" s="115"/>
      <c r="H5211" s="115"/>
      <c r="I5211" s="115"/>
      <c r="J5211" s="115"/>
      <c r="K5211" s="115"/>
      <c r="L5211" s="115"/>
      <c r="M5211" s="115"/>
      <c r="N5211" s="115"/>
      <c r="O5211" s="115"/>
    </row>
    <row r="5212">
      <c r="E5212" s="115"/>
      <c r="F5212" s="115"/>
      <c r="G5212" s="115"/>
      <c r="H5212" s="115"/>
      <c r="I5212" s="115"/>
      <c r="J5212" s="115"/>
      <c r="K5212" s="115"/>
      <c r="L5212" s="115"/>
      <c r="M5212" s="115"/>
      <c r="N5212" s="115"/>
      <c r="O5212" s="115"/>
    </row>
    <row r="5213">
      <c r="E5213" s="115"/>
      <c r="F5213" s="115"/>
      <c r="G5213" s="115"/>
      <c r="H5213" s="115"/>
      <c r="I5213" s="115"/>
      <c r="J5213" s="115"/>
      <c r="K5213" s="115"/>
      <c r="L5213" s="115"/>
      <c r="M5213" s="115"/>
      <c r="N5213" s="115"/>
      <c r="O5213" s="115"/>
    </row>
    <row r="5214">
      <c r="E5214" s="115"/>
      <c r="F5214" s="115"/>
      <c r="G5214" s="115"/>
      <c r="H5214" s="115"/>
      <c r="I5214" s="115"/>
      <c r="J5214" s="115"/>
      <c r="K5214" s="115"/>
      <c r="L5214" s="115"/>
      <c r="M5214" s="115"/>
      <c r="N5214" s="115"/>
      <c r="O5214" s="115"/>
    </row>
    <row r="5215">
      <c r="E5215" s="115"/>
      <c r="F5215" s="115"/>
      <c r="G5215" s="115"/>
      <c r="H5215" s="115"/>
      <c r="I5215" s="115"/>
      <c r="J5215" s="115"/>
      <c r="K5215" s="115"/>
      <c r="L5215" s="115"/>
      <c r="M5215" s="115"/>
      <c r="N5215" s="115"/>
      <c r="O5215" s="115"/>
    </row>
    <row r="5216">
      <c r="E5216" s="115"/>
      <c r="F5216" s="115"/>
      <c r="G5216" s="115"/>
      <c r="H5216" s="115"/>
      <c r="I5216" s="115"/>
      <c r="J5216" s="115"/>
      <c r="K5216" s="115"/>
      <c r="L5216" s="115"/>
      <c r="M5216" s="115"/>
      <c r="N5216" s="115"/>
      <c r="O5216" s="115"/>
    </row>
    <row r="5217">
      <c r="E5217" s="115"/>
      <c r="F5217" s="115"/>
      <c r="G5217" s="115"/>
      <c r="H5217" s="115"/>
      <c r="I5217" s="115"/>
      <c r="J5217" s="115"/>
      <c r="K5217" s="115"/>
      <c r="L5217" s="115"/>
      <c r="M5217" s="115"/>
      <c r="N5217" s="115"/>
      <c r="O5217" s="115"/>
    </row>
    <row r="5218">
      <c r="E5218" s="115"/>
      <c r="F5218" s="115"/>
      <c r="G5218" s="115"/>
      <c r="H5218" s="115"/>
      <c r="I5218" s="115"/>
      <c r="J5218" s="115"/>
      <c r="K5218" s="115"/>
      <c r="L5218" s="115"/>
      <c r="M5218" s="115"/>
      <c r="N5218" s="115"/>
      <c r="O5218" s="115"/>
    </row>
    <row r="5219">
      <c r="E5219" s="115"/>
      <c r="F5219" s="115"/>
      <c r="G5219" s="115"/>
      <c r="H5219" s="115"/>
      <c r="I5219" s="115"/>
      <c r="J5219" s="115"/>
      <c r="K5219" s="115"/>
      <c r="L5219" s="115"/>
      <c r="M5219" s="115"/>
      <c r="N5219" s="115"/>
      <c r="O5219" s="115"/>
    </row>
    <row r="5220">
      <c r="E5220" s="115"/>
      <c r="F5220" s="115"/>
      <c r="G5220" s="115"/>
      <c r="H5220" s="115"/>
      <c r="I5220" s="115"/>
      <c r="J5220" s="115"/>
      <c r="K5220" s="115"/>
      <c r="L5220" s="115"/>
      <c r="M5220" s="115"/>
      <c r="N5220" s="115"/>
      <c r="O5220" s="115"/>
    </row>
    <row r="5221">
      <c r="E5221" s="115"/>
      <c r="F5221" s="115"/>
      <c r="G5221" s="115"/>
      <c r="H5221" s="115"/>
      <c r="I5221" s="115"/>
      <c r="J5221" s="115"/>
      <c r="K5221" s="115"/>
      <c r="L5221" s="115"/>
      <c r="M5221" s="115"/>
      <c r="N5221" s="115"/>
      <c r="O5221" s="115"/>
    </row>
    <row r="5222">
      <c r="E5222" s="115"/>
      <c r="F5222" s="115"/>
      <c r="G5222" s="115"/>
      <c r="H5222" s="115"/>
      <c r="I5222" s="115"/>
      <c r="J5222" s="115"/>
      <c r="K5222" s="115"/>
      <c r="L5222" s="115"/>
      <c r="M5222" s="115"/>
      <c r="N5222" s="115"/>
      <c r="O5222" s="115"/>
    </row>
    <row r="5223">
      <c r="E5223" s="115"/>
      <c r="F5223" s="115"/>
      <c r="G5223" s="115"/>
      <c r="H5223" s="115"/>
      <c r="I5223" s="115"/>
      <c r="J5223" s="115"/>
      <c r="K5223" s="115"/>
      <c r="L5223" s="115"/>
      <c r="M5223" s="115"/>
      <c r="N5223" s="115"/>
      <c r="O5223" s="115"/>
    </row>
    <row r="5224">
      <c r="E5224" s="115"/>
      <c r="F5224" s="115"/>
      <c r="G5224" s="115"/>
      <c r="H5224" s="115"/>
      <c r="I5224" s="115"/>
      <c r="J5224" s="115"/>
      <c r="K5224" s="115"/>
      <c r="L5224" s="115"/>
      <c r="M5224" s="115"/>
      <c r="N5224" s="115"/>
      <c r="O5224" s="115"/>
    </row>
    <row r="5225">
      <c r="E5225" s="115"/>
      <c r="F5225" s="115"/>
      <c r="G5225" s="115"/>
      <c r="H5225" s="115"/>
      <c r="I5225" s="115"/>
      <c r="J5225" s="115"/>
      <c r="K5225" s="115"/>
      <c r="L5225" s="115"/>
      <c r="M5225" s="115"/>
      <c r="N5225" s="115"/>
      <c r="O5225" s="115"/>
    </row>
    <row r="5226">
      <c r="E5226" s="115"/>
      <c r="F5226" s="115"/>
      <c r="G5226" s="115"/>
      <c r="H5226" s="115"/>
      <c r="I5226" s="115"/>
      <c r="J5226" s="115"/>
      <c r="K5226" s="115"/>
      <c r="L5226" s="115"/>
      <c r="M5226" s="115"/>
      <c r="N5226" s="115"/>
      <c r="O5226" s="115"/>
    </row>
    <row r="5227">
      <c r="E5227" s="115"/>
      <c r="F5227" s="115"/>
      <c r="G5227" s="115"/>
      <c r="H5227" s="115"/>
      <c r="I5227" s="115"/>
      <c r="J5227" s="115"/>
      <c r="K5227" s="115"/>
      <c r="L5227" s="115"/>
      <c r="M5227" s="115"/>
      <c r="N5227" s="115"/>
      <c r="O5227" s="115"/>
    </row>
    <row r="5228">
      <c r="E5228" s="115"/>
      <c r="F5228" s="115"/>
      <c r="G5228" s="115"/>
      <c r="H5228" s="115"/>
      <c r="I5228" s="115"/>
      <c r="J5228" s="115"/>
      <c r="K5228" s="115"/>
      <c r="L5228" s="115"/>
      <c r="M5228" s="115"/>
      <c r="N5228" s="115"/>
      <c r="O5228" s="115"/>
    </row>
    <row r="5229">
      <c r="E5229" s="115"/>
      <c r="F5229" s="115"/>
      <c r="G5229" s="115"/>
      <c r="H5229" s="115"/>
      <c r="I5229" s="115"/>
      <c r="J5229" s="115"/>
      <c r="K5229" s="115"/>
      <c r="L5229" s="115"/>
      <c r="M5229" s="115"/>
      <c r="N5229" s="115"/>
      <c r="O5229" s="115"/>
    </row>
    <row r="5230">
      <c r="E5230" s="115"/>
      <c r="F5230" s="115"/>
      <c r="G5230" s="115"/>
      <c r="H5230" s="115"/>
      <c r="I5230" s="115"/>
      <c r="J5230" s="115"/>
      <c r="K5230" s="115"/>
      <c r="L5230" s="115"/>
      <c r="M5230" s="115"/>
      <c r="N5230" s="115"/>
      <c r="O5230" s="115"/>
    </row>
    <row r="5231">
      <c r="E5231" s="115"/>
      <c r="F5231" s="115"/>
      <c r="G5231" s="115"/>
      <c r="H5231" s="115"/>
      <c r="I5231" s="115"/>
      <c r="J5231" s="115"/>
      <c r="K5231" s="115"/>
      <c r="L5231" s="115"/>
      <c r="M5231" s="115"/>
      <c r="N5231" s="115"/>
      <c r="O5231" s="115"/>
    </row>
    <row r="5232">
      <c r="E5232" s="115"/>
      <c r="F5232" s="115"/>
      <c r="G5232" s="115"/>
      <c r="H5232" s="115"/>
      <c r="I5232" s="115"/>
      <c r="J5232" s="115"/>
      <c r="K5232" s="115"/>
      <c r="L5232" s="115"/>
      <c r="M5232" s="115"/>
      <c r="N5232" s="115"/>
      <c r="O5232" s="115"/>
    </row>
    <row r="5233">
      <c r="E5233" s="115"/>
      <c r="F5233" s="115"/>
      <c r="G5233" s="115"/>
      <c r="H5233" s="115"/>
      <c r="I5233" s="115"/>
      <c r="J5233" s="115"/>
      <c r="K5233" s="115"/>
      <c r="L5233" s="115"/>
      <c r="M5233" s="115"/>
      <c r="N5233" s="115"/>
      <c r="O5233" s="115"/>
    </row>
    <row r="5234">
      <c r="E5234" s="115"/>
      <c r="F5234" s="115"/>
      <c r="G5234" s="115"/>
      <c r="H5234" s="115"/>
      <c r="I5234" s="115"/>
      <c r="J5234" s="115"/>
      <c r="K5234" s="115"/>
      <c r="L5234" s="115"/>
      <c r="M5234" s="115"/>
      <c r="N5234" s="115"/>
      <c r="O5234" s="115"/>
    </row>
    <row r="5235">
      <c r="E5235" s="115"/>
      <c r="F5235" s="115"/>
      <c r="G5235" s="115"/>
      <c r="H5235" s="115"/>
      <c r="I5235" s="115"/>
      <c r="J5235" s="115"/>
      <c r="K5235" s="115"/>
      <c r="L5235" s="115"/>
      <c r="M5235" s="115"/>
      <c r="N5235" s="115"/>
      <c r="O5235" s="115"/>
    </row>
    <row r="5236">
      <c r="E5236" s="115"/>
      <c r="F5236" s="115"/>
      <c r="G5236" s="115"/>
      <c r="H5236" s="115"/>
      <c r="I5236" s="115"/>
      <c r="J5236" s="115"/>
      <c r="K5236" s="115"/>
      <c r="L5236" s="115"/>
      <c r="M5236" s="115"/>
      <c r="N5236" s="115"/>
      <c r="O5236" s="115"/>
    </row>
    <row r="5237">
      <c r="E5237" s="115"/>
      <c r="F5237" s="115"/>
      <c r="G5237" s="115"/>
      <c r="H5237" s="115"/>
      <c r="I5237" s="115"/>
      <c r="J5237" s="115"/>
      <c r="K5237" s="115"/>
      <c r="L5237" s="115"/>
      <c r="M5237" s="115"/>
      <c r="N5237" s="115"/>
      <c r="O5237" s="115"/>
    </row>
    <row r="5238">
      <c r="E5238" s="115"/>
      <c r="F5238" s="115"/>
      <c r="G5238" s="115"/>
      <c r="H5238" s="115"/>
      <c r="I5238" s="115"/>
      <c r="J5238" s="115"/>
      <c r="K5238" s="115"/>
      <c r="L5238" s="115"/>
      <c r="M5238" s="115"/>
      <c r="N5238" s="115"/>
      <c r="O5238" s="115"/>
    </row>
    <row r="5239">
      <c r="E5239" s="115"/>
      <c r="F5239" s="115"/>
      <c r="G5239" s="115"/>
      <c r="H5239" s="115"/>
      <c r="I5239" s="115"/>
      <c r="J5239" s="115"/>
      <c r="K5239" s="115"/>
      <c r="L5239" s="115"/>
      <c r="M5239" s="115"/>
      <c r="N5239" s="115"/>
      <c r="O5239" s="115"/>
    </row>
    <row r="5240">
      <c r="E5240" s="115"/>
      <c r="F5240" s="115"/>
      <c r="G5240" s="115"/>
      <c r="H5240" s="115"/>
      <c r="I5240" s="115"/>
      <c r="J5240" s="115"/>
      <c r="K5240" s="115"/>
      <c r="L5240" s="115"/>
      <c r="M5240" s="115"/>
      <c r="N5240" s="115"/>
      <c r="O5240" s="115"/>
    </row>
    <row r="5241">
      <c r="E5241" s="115"/>
      <c r="F5241" s="115"/>
      <c r="G5241" s="115"/>
      <c r="H5241" s="115"/>
      <c r="I5241" s="115"/>
      <c r="J5241" s="115"/>
      <c r="K5241" s="115"/>
      <c r="L5241" s="115"/>
      <c r="M5241" s="115"/>
      <c r="N5241" s="115"/>
      <c r="O5241" s="115"/>
    </row>
    <row r="5242">
      <c r="E5242" s="115"/>
      <c r="F5242" s="115"/>
      <c r="G5242" s="115"/>
      <c r="H5242" s="115"/>
      <c r="I5242" s="115"/>
      <c r="J5242" s="115"/>
      <c r="K5242" s="115"/>
      <c r="L5242" s="115"/>
      <c r="M5242" s="115"/>
      <c r="N5242" s="115"/>
      <c r="O5242" s="115"/>
    </row>
    <row r="5243">
      <c r="E5243" s="115"/>
      <c r="F5243" s="115"/>
      <c r="G5243" s="115"/>
      <c r="H5243" s="115"/>
      <c r="I5243" s="115"/>
      <c r="J5243" s="115"/>
      <c r="K5243" s="115"/>
      <c r="L5243" s="115"/>
      <c r="M5243" s="115"/>
      <c r="N5243" s="115"/>
      <c r="O5243" s="115"/>
    </row>
    <row r="5244">
      <c r="E5244" s="115"/>
      <c r="F5244" s="115"/>
      <c r="G5244" s="115"/>
      <c r="H5244" s="115"/>
      <c r="I5244" s="115"/>
      <c r="J5244" s="115"/>
      <c r="K5244" s="115"/>
      <c r="L5244" s="115"/>
      <c r="M5244" s="115"/>
      <c r="N5244" s="115"/>
      <c r="O5244" s="115"/>
    </row>
    <row r="5245">
      <c r="E5245" s="115"/>
      <c r="F5245" s="115"/>
      <c r="G5245" s="115"/>
      <c r="H5245" s="115"/>
      <c r="I5245" s="115"/>
      <c r="J5245" s="115"/>
      <c r="K5245" s="115"/>
      <c r="L5245" s="115"/>
      <c r="M5245" s="115"/>
      <c r="N5245" s="115"/>
      <c r="O5245" s="115"/>
    </row>
    <row r="5246">
      <c r="E5246" s="115"/>
      <c r="F5246" s="115"/>
      <c r="G5246" s="115"/>
      <c r="H5246" s="115"/>
      <c r="I5246" s="115"/>
      <c r="J5246" s="115"/>
      <c r="K5246" s="115"/>
      <c r="L5246" s="115"/>
      <c r="M5246" s="115"/>
      <c r="N5246" s="115"/>
      <c r="O5246" s="115"/>
    </row>
    <row r="5247">
      <c r="E5247" s="115"/>
      <c r="F5247" s="115"/>
      <c r="G5247" s="115"/>
      <c r="H5247" s="115"/>
      <c r="I5247" s="115"/>
      <c r="J5247" s="115"/>
      <c r="K5247" s="115"/>
      <c r="L5247" s="115"/>
      <c r="M5247" s="115"/>
      <c r="N5247" s="115"/>
      <c r="O5247" s="115"/>
    </row>
    <row r="5248">
      <c r="E5248" s="115"/>
      <c r="F5248" s="115"/>
      <c r="G5248" s="115"/>
      <c r="H5248" s="115"/>
      <c r="I5248" s="115"/>
      <c r="J5248" s="115"/>
      <c r="K5248" s="115"/>
      <c r="L5248" s="115"/>
      <c r="M5248" s="115"/>
      <c r="N5248" s="115"/>
      <c r="O5248" s="115"/>
    </row>
    <row r="5249">
      <c r="E5249" s="115"/>
      <c r="F5249" s="115"/>
      <c r="G5249" s="115"/>
      <c r="H5249" s="115"/>
      <c r="I5249" s="115"/>
      <c r="J5249" s="115"/>
      <c r="K5249" s="115"/>
      <c r="L5249" s="115"/>
      <c r="M5249" s="115"/>
      <c r="N5249" s="115"/>
      <c r="O5249" s="115"/>
    </row>
    <row r="5250">
      <c r="E5250" s="115"/>
      <c r="F5250" s="115"/>
      <c r="G5250" s="115"/>
      <c r="H5250" s="115"/>
      <c r="I5250" s="115"/>
      <c r="J5250" s="115"/>
      <c r="K5250" s="115"/>
      <c r="L5250" s="115"/>
      <c r="M5250" s="115"/>
      <c r="N5250" s="115"/>
      <c r="O5250" s="115"/>
    </row>
    <row r="5251">
      <c r="E5251" s="115"/>
      <c r="F5251" s="115"/>
      <c r="G5251" s="115"/>
      <c r="H5251" s="115"/>
      <c r="I5251" s="115"/>
      <c r="J5251" s="115"/>
      <c r="K5251" s="115"/>
      <c r="L5251" s="115"/>
      <c r="M5251" s="115"/>
      <c r="N5251" s="115"/>
      <c r="O5251" s="115"/>
    </row>
    <row r="5252">
      <c r="E5252" s="115"/>
      <c r="F5252" s="115"/>
      <c r="G5252" s="115"/>
      <c r="H5252" s="115"/>
      <c r="I5252" s="115"/>
      <c r="J5252" s="115"/>
      <c r="K5252" s="115"/>
      <c r="L5252" s="115"/>
      <c r="M5252" s="115"/>
      <c r="N5252" s="115"/>
      <c r="O5252" s="115"/>
    </row>
    <row r="5253">
      <c r="E5253" s="115"/>
      <c r="F5253" s="115"/>
      <c r="G5253" s="115"/>
      <c r="H5253" s="115"/>
      <c r="I5253" s="115"/>
      <c r="J5253" s="115"/>
      <c r="K5253" s="115"/>
      <c r="L5253" s="115"/>
      <c r="M5253" s="115"/>
      <c r="N5253" s="115"/>
      <c r="O5253" s="115"/>
    </row>
    <row r="5254">
      <c r="E5254" s="115"/>
      <c r="F5254" s="115"/>
      <c r="G5254" s="115"/>
      <c r="H5254" s="115"/>
      <c r="I5254" s="115"/>
      <c r="J5254" s="115"/>
      <c r="K5254" s="115"/>
      <c r="L5254" s="115"/>
      <c r="M5254" s="115"/>
      <c r="N5254" s="115"/>
      <c r="O5254" s="115"/>
    </row>
    <row r="5255">
      <c r="E5255" s="115"/>
      <c r="F5255" s="115"/>
      <c r="G5255" s="115"/>
      <c r="H5255" s="115"/>
      <c r="I5255" s="115"/>
      <c r="J5255" s="115"/>
      <c r="K5255" s="115"/>
      <c r="L5255" s="115"/>
      <c r="M5255" s="115"/>
      <c r="N5255" s="115"/>
      <c r="O5255" s="115"/>
    </row>
    <row r="5256">
      <c r="E5256" s="115"/>
      <c r="F5256" s="115"/>
      <c r="G5256" s="115"/>
      <c r="H5256" s="115"/>
      <c r="I5256" s="115"/>
      <c r="J5256" s="115"/>
      <c r="K5256" s="115"/>
      <c r="L5256" s="115"/>
      <c r="M5256" s="115"/>
      <c r="N5256" s="115"/>
      <c r="O5256" s="115"/>
    </row>
    <row r="5257">
      <c r="E5257" s="115"/>
      <c r="F5257" s="115"/>
      <c r="G5257" s="115"/>
      <c r="H5257" s="115"/>
      <c r="I5257" s="115"/>
      <c r="J5257" s="115"/>
      <c r="K5257" s="115"/>
      <c r="L5257" s="115"/>
      <c r="M5257" s="115"/>
      <c r="N5257" s="115"/>
      <c r="O5257" s="115"/>
    </row>
    <row r="5258">
      <c r="E5258" s="115"/>
      <c r="F5258" s="115"/>
      <c r="G5258" s="115"/>
      <c r="H5258" s="115"/>
      <c r="I5258" s="115"/>
      <c r="J5258" s="115"/>
      <c r="K5258" s="115"/>
      <c r="L5258" s="115"/>
      <c r="M5258" s="115"/>
      <c r="N5258" s="115"/>
      <c r="O5258" s="115"/>
    </row>
    <row r="5259">
      <c r="E5259" s="115"/>
      <c r="F5259" s="115"/>
      <c r="G5259" s="115"/>
      <c r="H5259" s="115"/>
      <c r="I5259" s="115"/>
      <c r="J5259" s="115"/>
      <c r="K5259" s="115"/>
      <c r="L5259" s="115"/>
      <c r="M5259" s="115"/>
      <c r="N5259" s="115"/>
      <c r="O5259" s="115"/>
    </row>
    <row r="5260">
      <c r="E5260" s="115"/>
      <c r="F5260" s="115"/>
      <c r="G5260" s="115"/>
      <c r="H5260" s="115"/>
      <c r="I5260" s="115"/>
      <c r="J5260" s="115"/>
      <c r="K5260" s="115"/>
      <c r="L5260" s="115"/>
      <c r="M5260" s="115"/>
      <c r="N5260" s="115"/>
      <c r="O5260" s="115"/>
    </row>
    <row r="5261">
      <c r="E5261" s="115"/>
      <c r="F5261" s="115"/>
      <c r="G5261" s="115"/>
      <c r="H5261" s="115"/>
      <c r="I5261" s="115"/>
      <c r="J5261" s="115"/>
      <c r="K5261" s="115"/>
      <c r="L5261" s="115"/>
      <c r="M5261" s="115"/>
      <c r="N5261" s="115"/>
      <c r="O5261" s="115"/>
    </row>
    <row r="5262">
      <c r="E5262" s="115"/>
      <c r="F5262" s="115"/>
      <c r="G5262" s="115"/>
      <c r="H5262" s="115"/>
      <c r="I5262" s="115"/>
      <c r="J5262" s="115"/>
      <c r="K5262" s="115"/>
      <c r="L5262" s="115"/>
      <c r="M5262" s="115"/>
      <c r="N5262" s="115"/>
      <c r="O5262" s="115"/>
    </row>
    <row r="5263">
      <c r="E5263" s="115"/>
      <c r="F5263" s="115"/>
      <c r="G5263" s="115"/>
      <c r="H5263" s="115"/>
      <c r="I5263" s="115"/>
      <c r="J5263" s="115"/>
      <c r="K5263" s="115"/>
      <c r="L5263" s="115"/>
      <c r="M5263" s="115"/>
      <c r="N5263" s="115"/>
      <c r="O5263" s="115"/>
    </row>
    <row r="5264">
      <c r="E5264" s="115"/>
      <c r="F5264" s="115"/>
      <c r="G5264" s="115"/>
      <c r="H5264" s="115"/>
      <c r="I5264" s="115"/>
      <c r="J5264" s="115"/>
      <c r="K5264" s="115"/>
      <c r="L5264" s="115"/>
      <c r="M5264" s="115"/>
      <c r="N5264" s="115"/>
      <c r="O5264" s="115"/>
    </row>
    <row r="5265">
      <c r="E5265" s="115"/>
      <c r="F5265" s="115"/>
      <c r="G5265" s="115"/>
      <c r="H5265" s="115"/>
      <c r="I5265" s="115"/>
      <c r="J5265" s="115"/>
      <c r="K5265" s="115"/>
      <c r="L5265" s="115"/>
      <c r="M5265" s="115"/>
      <c r="N5265" s="115"/>
      <c r="O5265" s="115"/>
    </row>
    <row r="5266">
      <c r="E5266" s="115"/>
      <c r="F5266" s="115"/>
      <c r="G5266" s="115"/>
      <c r="H5266" s="115"/>
      <c r="I5266" s="115"/>
      <c r="J5266" s="115"/>
      <c r="K5266" s="115"/>
      <c r="L5266" s="115"/>
      <c r="M5266" s="115"/>
      <c r="N5266" s="115"/>
      <c r="O5266" s="115"/>
    </row>
    <row r="5267">
      <c r="E5267" s="115"/>
      <c r="F5267" s="115"/>
      <c r="G5267" s="115"/>
      <c r="H5267" s="115"/>
      <c r="I5267" s="115"/>
      <c r="J5267" s="115"/>
      <c r="K5267" s="115"/>
      <c r="L5267" s="115"/>
      <c r="M5267" s="115"/>
      <c r="N5267" s="115"/>
      <c r="O5267" s="115"/>
    </row>
    <row r="5268">
      <c r="E5268" s="115"/>
      <c r="F5268" s="115"/>
      <c r="G5268" s="115"/>
      <c r="H5268" s="115"/>
      <c r="I5268" s="115"/>
      <c r="J5268" s="115"/>
      <c r="K5268" s="115"/>
      <c r="L5268" s="115"/>
      <c r="M5268" s="115"/>
      <c r="N5268" s="115"/>
      <c r="O5268" s="115"/>
    </row>
    <row r="5269">
      <c r="E5269" s="115"/>
      <c r="F5269" s="115"/>
      <c r="G5269" s="115"/>
      <c r="H5269" s="115"/>
      <c r="I5269" s="115"/>
      <c r="J5269" s="115"/>
      <c r="K5269" s="115"/>
      <c r="L5269" s="115"/>
      <c r="M5269" s="115"/>
      <c r="N5269" s="115"/>
      <c r="O5269" s="115"/>
    </row>
    <row r="5270">
      <c r="E5270" s="115"/>
      <c r="F5270" s="115"/>
      <c r="G5270" s="115"/>
      <c r="H5270" s="115"/>
      <c r="I5270" s="115"/>
      <c r="J5270" s="115"/>
      <c r="K5270" s="115"/>
      <c r="L5270" s="115"/>
      <c r="M5270" s="115"/>
      <c r="N5270" s="115"/>
      <c r="O5270" s="115"/>
    </row>
    <row r="5271">
      <c r="E5271" s="115"/>
      <c r="F5271" s="115"/>
      <c r="G5271" s="115"/>
      <c r="H5271" s="115"/>
      <c r="I5271" s="115"/>
      <c r="J5271" s="115"/>
      <c r="K5271" s="115"/>
      <c r="L5271" s="115"/>
      <c r="M5271" s="115"/>
      <c r="N5271" s="115"/>
      <c r="O5271" s="115"/>
    </row>
    <row r="5272">
      <c r="E5272" s="115"/>
      <c r="F5272" s="115"/>
      <c r="G5272" s="115"/>
      <c r="H5272" s="115"/>
      <c r="I5272" s="115"/>
      <c r="J5272" s="115"/>
      <c r="K5272" s="115"/>
      <c r="L5272" s="115"/>
      <c r="M5272" s="115"/>
      <c r="N5272" s="115"/>
      <c r="O5272" s="115"/>
    </row>
    <row r="5273">
      <c r="E5273" s="115"/>
      <c r="F5273" s="115"/>
      <c r="G5273" s="115"/>
      <c r="H5273" s="115"/>
      <c r="I5273" s="115"/>
      <c r="J5273" s="115"/>
      <c r="K5273" s="115"/>
      <c r="L5273" s="115"/>
      <c r="M5273" s="115"/>
      <c r="N5273" s="115"/>
      <c r="O5273" s="115"/>
    </row>
    <row r="5274">
      <c r="E5274" s="115"/>
      <c r="F5274" s="115"/>
      <c r="G5274" s="115"/>
      <c r="H5274" s="115"/>
      <c r="I5274" s="115"/>
      <c r="J5274" s="115"/>
      <c r="K5274" s="115"/>
      <c r="L5274" s="115"/>
      <c r="M5274" s="115"/>
      <c r="N5274" s="115"/>
      <c r="O5274" s="115"/>
    </row>
    <row r="5275">
      <c r="E5275" s="115"/>
      <c r="F5275" s="115"/>
      <c r="G5275" s="115"/>
      <c r="H5275" s="115"/>
      <c r="I5275" s="115"/>
      <c r="J5275" s="115"/>
      <c r="K5275" s="115"/>
      <c r="L5275" s="115"/>
      <c r="M5275" s="115"/>
      <c r="N5275" s="115"/>
      <c r="O5275" s="115"/>
    </row>
    <row r="5276">
      <c r="E5276" s="115"/>
      <c r="F5276" s="115"/>
      <c r="G5276" s="115"/>
      <c r="H5276" s="115"/>
      <c r="I5276" s="115"/>
      <c r="J5276" s="115"/>
      <c r="K5276" s="115"/>
      <c r="L5276" s="115"/>
      <c r="M5276" s="115"/>
      <c r="N5276" s="115"/>
      <c r="O5276" s="115"/>
    </row>
    <row r="5277">
      <c r="E5277" s="115"/>
      <c r="F5277" s="115"/>
      <c r="G5277" s="115"/>
      <c r="H5277" s="115"/>
      <c r="I5277" s="115"/>
      <c r="J5277" s="115"/>
      <c r="K5277" s="115"/>
      <c r="L5277" s="115"/>
      <c r="M5277" s="115"/>
      <c r="N5277" s="115"/>
      <c r="O5277" s="115"/>
    </row>
    <row r="5278">
      <c r="E5278" s="115"/>
      <c r="F5278" s="115"/>
      <c r="G5278" s="115"/>
      <c r="H5278" s="115"/>
      <c r="I5278" s="115"/>
      <c r="J5278" s="115"/>
      <c r="K5278" s="115"/>
      <c r="L5278" s="115"/>
      <c r="M5278" s="115"/>
      <c r="N5278" s="115"/>
      <c r="O5278" s="115"/>
    </row>
    <row r="5279">
      <c r="E5279" s="115"/>
      <c r="F5279" s="115"/>
      <c r="G5279" s="115"/>
      <c r="H5279" s="115"/>
      <c r="I5279" s="115"/>
      <c r="J5279" s="115"/>
      <c r="K5279" s="115"/>
      <c r="L5279" s="115"/>
      <c r="M5279" s="115"/>
      <c r="N5279" s="115"/>
      <c r="O5279" s="115"/>
    </row>
    <row r="5280">
      <c r="E5280" s="115"/>
      <c r="F5280" s="115"/>
      <c r="G5280" s="115"/>
      <c r="H5280" s="115"/>
      <c r="I5280" s="115"/>
      <c r="J5280" s="115"/>
      <c r="K5280" s="115"/>
      <c r="L5280" s="115"/>
      <c r="M5280" s="115"/>
      <c r="N5280" s="115"/>
      <c r="O5280" s="115"/>
    </row>
    <row r="5281">
      <c r="E5281" s="115"/>
      <c r="F5281" s="115"/>
      <c r="G5281" s="115"/>
      <c r="H5281" s="115"/>
      <c r="I5281" s="115"/>
      <c r="J5281" s="115"/>
      <c r="K5281" s="115"/>
      <c r="L5281" s="115"/>
      <c r="M5281" s="115"/>
      <c r="N5281" s="115"/>
      <c r="O5281" s="115"/>
    </row>
    <row r="5282">
      <c r="E5282" s="115"/>
      <c r="F5282" s="115"/>
      <c r="G5282" s="115"/>
      <c r="H5282" s="115"/>
      <c r="I5282" s="115"/>
      <c r="J5282" s="115"/>
      <c r="K5282" s="115"/>
      <c r="L5282" s="115"/>
      <c r="M5282" s="115"/>
      <c r="N5282" s="115"/>
      <c r="O5282" s="115"/>
    </row>
    <row r="5283">
      <c r="E5283" s="115"/>
      <c r="F5283" s="115"/>
      <c r="G5283" s="115"/>
      <c r="H5283" s="115"/>
      <c r="I5283" s="115"/>
      <c r="J5283" s="115"/>
      <c r="K5283" s="115"/>
      <c r="L5283" s="115"/>
      <c r="M5283" s="115"/>
      <c r="N5283" s="115"/>
      <c r="O5283" s="115"/>
    </row>
    <row r="5284">
      <c r="E5284" s="115"/>
      <c r="F5284" s="115"/>
      <c r="G5284" s="115"/>
      <c r="H5284" s="115"/>
      <c r="I5284" s="115"/>
      <c r="J5284" s="115"/>
      <c r="K5284" s="115"/>
      <c r="L5284" s="115"/>
      <c r="M5284" s="115"/>
      <c r="N5284" s="115"/>
      <c r="O5284" s="115"/>
    </row>
    <row r="5285">
      <c r="E5285" s="115"/>
      <c r="F5285" s="115"/>
      <c r="G5285" s="115"/>
      <c r="H5285" s="115"/>
      <c r="I5285" s="115"/>
      <c r="J5285" s="115"/>
      <c r="K5285" s="115"/>
      <c r="L5285" s="115"/>
      <c r="M5285" s="115"/>
      <c r="N5285" s="115"/>
      <c r="O5285" s="115"/>
    </row>
    <row r="5286">
      <c r="E5286" s="115"/>
      <c r="F5286" s="115"/>
      <c r="G5286" s="115"/>
      <c r="H5286" s="115"/>
      <c r="I5286" s="115"/>
      <c r="J5286" s="115"/>
      <c r="K5286" s="115"/>
      <c r="L5286" s="115"/>
      <c r="M5286" s="115"/>
      <c r="N5286" s="115"/>
      <c r="O5286" s="115"/>
    </row>
    <row r="5287">
      <c r="E5287" s="115"/>
      <c r="F5287" s="115"/>
      <c r="G5287" s="115"/>
      <c r="H5287" s="115"/>
      <c r="I5287" s="115"/>
      <c r="J5287" s="115"/>
      <c r="K5287" s="115"/>
      <c r="L5287" s="115"/>
      <c r="M5287" s="115"/>
      <c r="N5287" s="115"/>
      <c r="O5287" s="115"/>
    </row>
    <row r="5288">
      <c r="E5288" s="115"/>
      <c r="F5288" s="115"/>
      <c r="G5288" s="115"/>
      <c r="H5288" s="115"/>
      <c r="I5288" s="115"/>
      <c r="J5288" s="115"/>
      <c r="K5288" s="115"/>
      <c r="L5288" s="115"/>
      <c r="M5288" s="115"/>
      <c r="N5288" s="115"/>
      <c r="O5288" s="115"/>
    </row>
    <row r="5289">
      <c r="E5289" s="115"/>
      <c r="F5289" s="115"/>
      <c r="G5289" s="115"/>
      <c r="H5289" s="115"/>
      <c r="I5289" s="115"/>
      <c r="J5289" s="115"/>
      <c r="K5289" s="115"/>
      <c r="L5289" s="115"/>
      <c r="M5289" s="115"/>
      <c r="N5289" s="115"/>
      <c r="O5289" s="115"/>
    </row>
    <row r="5290">
      <c r="E5290" s="115"/>
      <c r="F5290" s="115"/>
      <c r="G5290" s="115"/>
      <c r="H5290" s="115"/>
      <c r="I5290" s="115"/>
      <c r="J5290" s="115"/>
      <c r="K5290" s="115"/>
      <c r="L5290" s="115"/>
      <c r="M5290" s="115"/>
      <c r="N5290" s="115"/>
      <c r="O5290" s="115"/>
    </row>
    <row r="5291">
      <c r="E5291" s="115"/>
      <c r="F5291" s="115"/>
      <c r="G5291" s="115"/>
      <c r="H5291" s="115"/>
      <c r="I5291" s="115"/>
      <c r="J5291" s="115"/>
      <c r="K5291" s="115"/>
      <c r="L5291" s="115"/>
      <c r="M5291" s="115"/>
      <c r="N5291" s="115"/>
      <c r="O5291" s="115"/>
    </row>
    <row r="5292">
      <c r="E5292" s="115"/>
      <c r="F5292" s="115"/>
      <c r="G5292" s="115"/>
      <c r="H5292" s="115"/>
      <c r="I5292" s="115"/>
      <c r="J5292" s="115"/>
      <c r="K5292" s="115"/>
      <c r="L5292" s="115"/>
      <c r="M5292" s="115"/>
      <c r="N5292" s="115"/>
      <c r="O5292" s="115"/>
    </row>
    <row r="5293">
      <c r="E5293" s="115"/>
      <c r="F5293" s="115"/>
      <c r="G5293" s="115"/>
      <c r="H5293" s="115"/>
      <c r="I5293" s="115"/>
      <c r="J5293" s="115"/>
      <c r="K5293" s="115"/>
      <c r="L5293" s="115"/>
      <c r="M5293" s="115"/>
      <c r="N5293" s="115"/>
      <c r="O5293" s="115"/>
    </row>
    <row r="5294">
      <c r="E5294" s="115"/>
      <c r="F5294" s="115"/>
      <c r="G5294" s="115"/>
      <c r="H5294" s="115"/>
      <c r="I5294" s="115"/>
      <c r="J5294" s="115"/>
      <c r="K5294" s="115"/>
      <c r="L5294" s="115"/>
      <c r="M5294" s="115"/>
      <c r="N5294" s="115"/>
      <c r="O5294" s="115"/>
    </row>
    <row r="5295">
      <c r="E5295" s="115"/>
      <c r="F5295" s="115"/>
      <c r="G5295" s="115"/>
      <c r="H5295" s="115"/>
      <c r="I5295" s="115"/>
      <c r="J5295" s="115"/>
      <c r="K5295" s="115"/>
      <c r="L5295" s="115"/>
      <c r="M5295" s="115"/>
      <c r="N5295" s="115"/>
      <c r="O5295" s="115"/>
    </row>
    <row r="5296">
      <c r="E5296" s="115"/>
      <c r="F5296" s="115"/>
      <c r="G5296" s="115"/>
      <c r="H5296" s="115"/>
      <c r="I5296" s="115"/>
      <c r="J5296" s="115"/>
      <c r="K5296" s="115"/>
      <c r="L5296" s="115"/>
      <c r="M5296" s="115"/>
      <c r="N5296" s="115"/>
      <c r="O5296" s="115"/>
    </row>
    <row r="5297">
      <c r="E5297" s="115"/>
      <c r="F5297" s="115"/>
      <c r="G5297" s="115"/>
      <c r="H5297" s="115"/>
      <c r="I5297" s="115"/>
      <c r="J5297" s="115"/>
      <c r="K5297" s="115"/>
      <c r="L5297" s="115"/>
      <c r="M5297" s="115"/>
      <c r="N5297" s="115"/>
      <c r="O5297" s="115"/>
    </row>
    <row r="5298">
      <c r="E5298" s="115"/>
      <c r="F5298" s="115"/>
      <c r="G5298" s="115"/>
      <c r="H5298" s="115"/>
      <c r="I5298" s="115"/>
      <c r="J5298" s="115"/>
      <c r="K5298" s="115"/>
      <c r="L5298" s="115"/>
      <c r="M5298" s="115"/>
      <c r="N5298" s="115"/>
      <c r="O5298" s="115"/>
    </row>
    <row r="5299">
      <c r="E5299" s="115"/>
      <c r="F5299" s="115"/>
      <c r="G5299" s="115"/>
      <c r="H5299" s="115"/>
      <c r="I5299" s="115"/>
      <c r="J5299" s="115"/>
      <c r="K5299" s="115"/>
      <c r="L5299" s="115"/>
      <c r="M5299" s="115"/>
      <c r="N5299" s="115"/>
      <c r="O5299" s="115"/>
    </row>
    <row r="5300">
      <c r="E5300" s="115"/>
      <c r="F5300" s="115"/>
      <c r="G5300" s="115"/>
      <c r="H5300" s="115"/>
      <c r="I5300" s="115"/>
      <c r="J5300" s="115"/>
      <c r="K5300" s="115"/>
      <c r="L5300" s="115"/>
      <c r="M5300" s="115"/>
      <c r="N5300" s="115"/>
      <c r="O5300" s="115"/>
    </row>
    <row r="5301">
      <c r="E5301" s="115"/>
      <c r="F5301" s="115"/>
      <c r="G5301" s="115"/>
      <c r="H5301" s="115"/>
      <c r="I5301" s="115"/>
      <c r="J5301" s="115"/>
      <c r="K5301" s="115"/>
      <c r="L5301" s="115"/>
      <c r="M5301" s="115"/>
      <c r="N5301" s="115"/>
      <c r="O5301" s="115"/>
    </row>
    <row r="5302">
      <c r="E5302" s="115"/>
      <c r="F5302" s="115"/>
      <c r="G5302" s="115"/>
      <c r="H5302" s="115"/>
      <c r="I5302" s="115"/>
      <c r="J5302" s="115"/>
      <c r="K5302" s="115"/>
      <c r="L5302" s="115"/>
      <c r="M5302" s="115"/>
      <c r="N5302" s="115"/>
      <c r="O5302" s="115"/>
    </row>
    <row r="5303">
      <c r="E5303" s="115"/>
      <c r="F5303" s="115"/>
      <c r="G5303" s="115"/>
      <c r="H5303" s="115"/>
      <c r="I5303" s="115"/>
      <c r="J5303" s="115"/>
      <c r="K5303" s="115"/>
      <c r="L5303" s="115"/>
      <c r="M5303" s="115"/>
      <c r="N5303" s="115"/>
      <c r="O5303" s="115"/>
    </row>
    <row r="5304">
      <c r="E5304" s="115"/>
      <c r="F5304" s="115"/>
      <c r="G5304" s="115"/>
      <c r="H5304" s="115"/>
      <c r="I5304" s="115"/>
      <c r="J5304" s="115"/>
      <c r="K5304" s="115"/>
      <c r="L5304" s="115"/>
      <c r="M5304" s="115"/>
      <c r="N5304" s="115"/>
      <c r="O5304" s="115"/>
    </row>
    <row r="5305">
      <c r="E5305" s="115"/>
      <c r="F5305" s="115"/>
      <c r="G5305" s="115"/>
      <c r="H5305" s="115"/>
      <c r="I5305" s="115"/>
      <c r="J5305" s="115"/>
      <c r="K5305" s="115"/>
      <c r="L5305" s="115"/>
      <c r="M5305" s="115"/>
      <c r="N5305" s="115"/>
      <c r="O5305" s="115"/>
    </row>
    <row r="5306">
      <c r="E5306" s="115"/>
      <c r="F5306" s="115"/>
      <c r="G5306" s="115"/>
      <c r="H5306" s="115"/>
      <c r="I5306" s="115"/>
      <c r="J5306" s="115"/>
      <c r="K5306" s="115"/>
      <c r="L5306" s="115"/>
      <c r="M5306" s="115"/>
      <c r="N5306" s="115"/>
      <c r="O5306" s="115"/>
    </row>
    <row r="5307">
      <c r="E5307" s="115"/>
      <c r="F5307" s="115"/>
      <c r="G5307" s="115"/>
      <c r="H5307" s="115"/>
      <c r="I5307" s="115"/>
      <c r="J5307" s="115"/>
      <c r="K5307" s="115"/>
      <c r="L5307" s="115"/>
      <c r="M5307" s="115"/>
      <c r="N5307" s="115"/>
      <c r="O5307" s="115"/>
    </row>
    <row r="5308">
      <c r="E5308" s="115"/>
      <c r="F5308" s="115"/>
      <c r="G5308" s="115"/>
      <c r="H5308" s="115"/>
      <c r="I5308" s="115"/>
      <c r="J5308" s="115"/>
      <c r="K5308" s="115"/>
      <c r="L5308" s="115"/>
      <c r="M5308" s="115"/>
      <c r="N5308" s="115"/>
      <c r="O5308" s="115"/>
    </row>
    <row r="5309">
      <c r="E5309" s="115"/>
      <c r="F5309" s="115"/>
      <c r="G5309" s="115"/>
      <c r="H5309" s="115"/>
      <c r="I5309" s="115"/>
      <c r="J5309" s="115"/>
      <c r="K5309" s="115"/>
      <c r="L5309" s="115"/>
      <c r="M5309" s="115"/>
      <c r="N5309" s="115"/>
      <c r="O5309" s="115"/>
    </row>
    <row r="5310">
      <c r="E5310" s="115"/>
      <c r="F5310" s="115"/>
      <c r="G5310" s="115"/>
      <c r="H5310" s="115"/>
      <c r="I5310" s="115"/>
      <c r="J5310" s="115"/>
      <c r="K5310" s="115"/>
      <c r="L5310" s="115"/>
      <c r="M5310" s="115"/>
      <c r="N5310" s="115"/>
      <c r="O5310" s="115"/>
    </row>
    <row r="5311">
      <c r="E5311" s="115"/>
      <c r="F5311" s="115"/>
      <c r="G5311" s="115"/>
      <c r="H5311" s="115"/>
      <c r="I5311" s="115"/>
      <c r="J5311" s="115"/>
      <c r="K5311" s="115"/>
      <c r="L5311" s="115"/>
      <c r="M5311" s="115"/>
      <c r="N5311" s="115"/>
      <c r="O5311" s="115"/>
    </row>
    <row r="5312">
      <c r="E5312" s="115"/>
      <c r="F5312" s="115"/>
      <c r="G5312" s="115"/>
      <c r="H5312" s="115"/>
      <c r="I5312" s="115"/>
      <c r="J5312" s="115"/>
      <c r="K5312" s="115"/>
      <c r="L5312" s="115"/>
      <c r="M5312" s="115"/>
      <c r="N5312" s="115"/>
      <c r="O5312" s="115"/>
    </row>
    <row r="5313">
      <c r="E5313" s="115"/>
      <c r="F5313" s="115"/>
      <c r="G5313" s="115"/>
      <c r="H5313" s="115"/>
      <c r="I5313" s="115"/>
      <c r="J5313" s="115"/>
      <c r="K5313" s="115"/>
      <c r="L5313" s="115"/>
      <c r="M5313" s="115"/>
      <c r="N5313" s="115"/>
      <c r="O5313" s="115"/>
    </row>
    <row r="5314">
      <c r="E5314" s="115"/>
      <c r="F5314" s="115"/>
      <c r="G5314" s="115"/>
      <c r="H5314" s="115"/>
      <c r="I5314" s="115"/>
      <c r="J5314" s="115"/>
      <c r="K5314" s="115"/>
      <c r="L5314" s="115"/>
      <c r="M5314" s="115"/>
      <c r="N5314" s="115"/>
      <c r="O5314" s="115"/>
    </row>
    <row r="5315">
      <c r="E5315" s="115"/>
      <c r="F5315" s="115"/>
      <c r="G5315" s="115"/>
      <c r="H5315" s="115"/>
      <c r="I5315" s="115"/>
      <c r="J5315" s="115"/>
      <c r="K5315" s="115"/>
      <c r="L5315" s="115"/>
      <c r="M5315" s="115"/>
      <c r="N5315" s="115"/>
      <c r="O5315" s="115"/>
    </row>
    <row r="5316">
      <c r="E5316" s="115"/>
      <c r="F5316" s="115"/>
      <c r="G5316" s="115"/>
      <c r="H5316" s="115"/>
      <c r="I5316" s="115"/>
      <c r="J5316" s="115"/>
      <c r="K5316" s="115"/>
      <c r="L5316" s="115"/>
      <c r="M5316" s="115"/>
      <c r="N5316" s="115"/>
      <c r="O5316" s="115"/>
    </row>
    <row r="5317">
      <c r="E5317" s="115"/>
      <c r="F5317" s="115"/>
      <c r="G5317" s="115"/>
      <c r="H5317" s="115"/>
      <c r="I5317" s="115"/>
      <c r="J5317" s="115"/>
      <c r="K5317" s="115"/>
      <c r="L5317" s="115"/>
      <c r="M5317" s="115"/>
      <c r="N5317" s="115"/>
      <c r="O5317" s="115"/>
    </row>
    <row r="5318">
      <c r="E5318" s="115"/>
      <c r="F5318" s="115"/>
      <c r="G5318" s="115"/>
      <c r="H5318" s="115"/>
      <c r="I5318" s="115"/>
      <c r="J5318" s="115"/>
      <c r="K5318" s="115"/>
      <c r="L5318" s="115"/>
      <c r="M5318" s="115"/>
      <c r="N5318" s="115"/>
      <c r="O5318" s="115"/>
    </row>
    <row r="5319">
      <c r="E5319" s="115"/>
      <c r="F5319" s="115"/>
      <c r="G5319" s="115"/>
      <c r="H5319" s="115"/>
      <c r="I5319" s="115"/>
      <c r="J5319" s="115"/>
      <c r="K5319" s="115"/>
      <c r="L5319" s="115"/>
      <c r="M5319" s="115"/>
      <c r="N5319" s="115"/>
      <c r="O5319" s="115"/>
    </row>
    <row r="5320">
      <c r="E5320" s="115"/>
      <c r="F5320" s="115"/>
      <c r="G5320" s="115"/>
      <c r="H5320" s="115"/>
      <c r="I5320" s="115"/>
      <c r="J5320" s="115"/>
      <c r="K5320" s="115"/>
      <c r="L5320" s="115"/>
      <c r="M5320" s="115"/>
      <c r="N5320" s="115"/>
      <c r="O5320" s="115"/>
    </row>
    <row r="5321">
      <c r="E5321" s="115"/>
      <c r="F5321" s="115"/>
      <c r="G5321" s="115"/>
      <c r="H5321" s="115"/>
      <c r="I5321" s="115"/>
      <c r="J5321" s="115"/>
      <c r="K5321" s="115"/>
      <c r="L5321" s="115"/>
      <c r="M5321" s="115"/>
      <c r="N5321" s="115"/>
      <c r="O5321" s="115"/>
    </row>
    <row r="5322">
      <c r="E5322" s="115"/>
      <c r="F5322" s="115"/>
      <c r="G5322" s="115"/>
      <c r="H5322" s="115"/>
      <c r="I5322" s="115"/>
      <c r="J5322" s="115"/>
      <c r="K5322" s="115"/>
      <c r="L5322" s="115"/>
      <c r="M5322" s="115"/>
      <c r="N5322" s="115"/>
      <c r="O5322" s="115"/>
    </row>
    <row r="5323">
      <c r="E5323" s="115"/>
      <c r="F5323" s="115"/>
      <c r="G5323" s="115"/>
      <c r="H5323" s="115"/>
      <c r="I5323" s="115"/>
      <c r="J5323" s="115"/>
      <c r="K5323" s="115"/>
      <c r="L5323" s="115"/>
      <c r="M5323" s="115"/>
      <c r="N5323" s="115"/>
      <c r="O5323" s="115"/>
    </row>
    <row r="5324">
      <c r="E5324" s="115"/>
      <c r="F5324" s="115"/>
      <c r="G5324" s="115"/>
      <c r="H5324" s="115"/>
      <c r="I5324" s="115"/>
      <c r="J5324" s="115"/>
      <c r="K5324" s="115"/>
      <c r="L5324" s="115"/>
      <c r="M5324" s="115"/>
      <c r="N5324" s="115"/>
      <c r="O5324" s="115"/>
    </row>
    <row r="5325">
      <c r="E5325" s="115"/>
      <c r="F5325" s="115"/>
      <c r="G5325" s="115"/>
      <c r="H5325" s="115"/>
      <c r="I5325" s="115"/>
      <c r="J5325" s="115"/>
      <c r="K5325" s="115"/>
      <c r="L5325" s="115"/>
      <c r="M5325" s="115"/>
      <c r="N5325" s="115"/>
      <c r="O5325" s="115"/>
    </row>
    <row r="5326">
      <c r="E5326" s="115"/>
      <c r="F5326" s="115"/>
      <c r="G5326" s="115"/>
      <c r="H5326" s="115"/>
      <c r="I5326" s="115"/>
      <c r="J5326" s="115"/>
      <c r="K5326" s="115"/>
      <c r="L5326" s="115"/>
      <c r="M5326" s="115"/>
      <c r="N5326" s="115"/>
      <c r="O5326" s="115"/>
    </row>
    <row r="5327">
      <c r="E5327" s="115"/>
      <c r="F5327" s="115"/>
      <c r="G5327" s="115"/>
      <c r="H5327" s="115"/>
      <c r="I5327" s="115"/>
      <c r="J5327" s="115"/>
      <c r="K5327" s="115"/>
      <c r="L5327" s="115"/>
      <c r="M5327" s="115"/>
      <c r="N5327" s="115"/>
      <c r="O5327" s="115"/>
    </row>
    <row r="5328">
      <c r="E5328" s="115"/>
      <c r="F5328" s="115"/>
      <c r="G5328" s="115"/>
      <c r="H5328" s="115"/>
      <c r="I5328" s="115"/>
      <c r="J5328" s="115"/>
      <c r="K5328" s="115"/>
      <c r="L5328" s="115"/>
      <c r="M5328" s="115"/>
      <c r="N5328" s="115"/>
      <c r="O5328" s="115"/>
    </row>
    <row r="5329">
      <c r="E5329" s="115"/>
      <c r="F5329" s="115"/>
      <c r="G5329" s="115"/>
      <c r="H5329" s="115"/>
      <c r="I5329" s="115"/>
      <c r="J5329" s="115"/>
      <c r="K5329" s="115"/>
      <c r="L5329" s="115"/>
      <c r="M5329" s="115"/>
      <c r="N5329" s="115"/>
      <c r="O5329" s="115"/>
    </row>
    <row r="5330">
      <c r="E5330" s="115"/>
      <c r="F5330" s="115"/>
      <c r="G5330" s="115"/>
      <c r="H5330" s="115"/>
      <c r="I5330" s="115"/>
      <c r="J5330" s="115"/>
      <c r="K5330" s="115"/>
      <c r="L5330" s="115"/>
      <c r="M5330" s="115"/>
      <c r="N5330" s="115"/>
      <c r="O5330" s="115"/>
    </row>
    <row r="5331">
      <c r="E5331" s="115"/>
      <c r="F5331" s="115"/>
      <c r="G5331" s="115"/>
      <c r="H5331" s="115"/>
      <c r="I5331" s="115"/>
      <c r="J5331" s="115"/>
      <c r="K5331" s="115"/>
      <c r="L5331" s="115"/>
      <c r="M5331" s="115"/>
      <c r="N5331" s="115"/>
      <c r="O5331" s="115"/>
    </row>
    <row r="5332">
      <c r="E5332" s="115"/>
      <c r="F5332" s="115"/>
      <c r="G5332" s="115"/>
      <c r="H5332" s="115"/>
      <c r="I5332" s="115"/>
      <c r="J5332" s="115"/>
      <c r="K5332" s="115"/>
      <c r="L5332" s="115"/>
      <c r="M5332" s="115"/>
      <c r="N5332" s="115"/>
      <c r="O5332" s="115"/>
    </row>
    <row r="5333">
      <c r="E5333" s="115"/>
      <c r="F5333" s="115"/>
      <c r="G5333" s="115"/>
      <c r="H5333" s="115"/>
      <c r="I5333" s="115"/>
      <c r="J5333" s="115"/>
      <c r="K5333" s="115"/>
      <c r="L5333" s="115"/>
      <c r="M5333" s="115"/>
      <c r="N5333" s="115"/>
      <c r="O5333" s="115"/>
    </row>
    <row r="5334">
      <c r="E5334" s="115"/>
      <c r="F5334" s="115"/>
      <c r="G5334" s="115"/>
      <c r="H5334" s="115"/>
      <c r="I5334" s="115"/>
      <c r="J5334" s="115"/>
      <c r="K5334" s="115"/>
      <c r="L5334" s="115"/>
      <c r="M5334" s="115"/>
      <c r="N5334" s="115"/>
      <c r="O5334" s="115"/>
    </row>
    <row r="5335">
      <c r="E5335" s="115"/>
      <c r="F5335" s="115"/>
      <c r="G5335" s="115"/>
      <c r="H5335" s="115"/>
      <c r="I5335" s="115"/>
      <c r="J5335" s="115"/>
      <c r="K5335" s="115"/>
      <c r="L5335" s="115"/>
      <c r="M5335" s="115"/>
      <c r="N5335" s="115"/>
      <c r="O5335" s="115"/>
    </row>
    <row r="5336">
      <c r="E5336" s="115"/>
      <c r="F5336" s="115"/>
      <c r="G5336" s="115"/>
      <c r="H5336" s="115"/>
      <c r="I5336" s="115"/>
      <c r="J5336" s="115"/>
      <c r="K5336" s="115"/>
      <c r="L5336" s="115"/>
      <c r="M5336" s="115"/>
      <c r="N5336" s="115"/>
      <c r="O5336" s="115"/>
    </row>
    <row r="5337">
      <c r="E5337" s="115"/>
      <c r="F5337" s="115"/>
      <c r="G5337" s="115"/>
      <c r="H5337" s="115"/>
      <c r="I5337" s="115"/>
      <c r="J5337" s="115"/>
      <c r="K5337" s="115"/>
      <c r="L5337" s="115"/>
      <c r="M5337" s="115"/>
      <c r="N5337" s="115"/>
      <c r="O5337" s="115"/>
    </row>
    <row r="5338">
      <c r="E5338" s="115"/>
      <c r="F5338" s="115"/>
      <c r="G5338" s="115"/>
      <c r="H5338" s="115"/>
      <c r="I5338" s="115"/>
      <c r="J5338" s="115"/>
      <c r="K5338" s="115"/>
      <c r="L5338" s="115"/>
      <c r="M5338" s="115"/>
      <c r="N5338" s="115"/>
      <c r="O5338" s="115"/>
    </row>
    <row r="5339">
      <c r="E5339" s="115"/>
      <c r="F5339" s="115"/>
      <c r="G5339" s="115"/>
      <c r="H5339" s="115"/>
      <c r="I5339" s="115"/>
      <c r="J5339" s="115"/>
      <c r="K5339" s="115"/>
      <c r="L5339" s="115"/>
      <c r="M5339" s="115"/>
      <c r="N5339" s="115"/>
      <c r="O5339" s="115"/>
    </row>
    <row r="5340">
      <c r="E5340" s="115"/>
      <c r="F5340" s="115"/>
      <c r="G5340" s="115"/>
      <c r="H5340" s="115"/>
      <c r="I5340" s="115"/>
      <c r="J5340" s="115"/>
      <c r="K5340" s="115"/>
      <c r="L5340" s="115"/>
      <c r="M5340" s="115"/>
      <c r="N5340" s="115"/>
      <c r="O5340" s="115"/>
    </row>
    <row r="5341">
      <c r="E5341" s="115"/>
      <c r="F5341" s="115"/>
      <c r="G5341" s="115"/>
      <c r="H5341" s="115"/>
      <c r="I5341" s="115"/>
      <c r="J5341" s="115"/>
      <c r="K5341" s="115"/>
      <c r="L5341" s="115"/>
      <c r="M5341" s="115"/>
      <c r="N5341" s="115"/>
      <c r="O5341" s="115"/>
    </row>
    <row r="5342">
      <c r="E5342" s="115"/>
      <c r="F5342" s="115"/>
      <c r="G5342" s="115"/>
      <c r="H5342" s="115"/>
      <c r="I5342" s="115"/>
      <c r="J5342" s="115"/>
      <c r="K5342" s="115"/>
      <c r="L5342" s="115"/>
      <c r="M5342" s="115"/>
      <c r="N5342" s="115"/>
      <c r="O5342" s="115"/>
    </row>
    <row r="5343">
      <c r="E5343" s="115"/>
      <c r="F5343" s="115"/>
      <c r="G5343" s="115"/>
      <c r="H5343" s="115"/>
      <c r="I5343" s="115"/>
      <c r="J5343" s="115"/>
      <c r="K5343" s="115"/>
      <c r="L5343" s="115"/>
      <c r="M5343" s="115"/>
      <c r="N5343" s="115"/>
      <c r="O5343" s="115"/>
    </row>
    <row r="5344">
      <c r="E5344" s="115"/>
      <c r="F5344" s="115"/>
      <c r="G5344" s="115"/>
      <c r="H5344" s="115"/>
      <c r="I5344" s="115"/>
      <c r="J5344" s="115"/>
      <c r="K5344" s="115"/>
      <c r="L5344" s="115"/>
      <c r="M5344" s="115"/>
      <c r="N5344" s="115"/>
      <c r="O5344" s="115"/>
    </row>
    <row r="5345">
      <c r="E5345" s="115"/>
      <c r="F5345" s="115"/>
      <c r="G5345" s="115"/>
      <c r="H5345" s="115"/>
      <c r="I5345" s="115"/>
      <c r="J5345" s="115"/>
      <c r="K5345" s="115"/>
      <c r="L5345" s="115"/>
      <c r="M5345" s="115"/>
      <c r="N5345" s="115"/>
      <c r="O5345" s="115"/>
    </row>
    <row r="5346">
      <c r="E5346" s="115"/>
      <c r="F5346" s="115"/>
      <c r="G5346" s="115"/>
      <c r="H5346" s="115"/>
      <c r="I5346" s="115"/>
      <c r="J5346" s="115"/>
      <c r="K5346" s="115"/>
      <c r="L5346" s="115"/>
      <c r="M5346" s="115"/>
      <c r="N5346" s="115"/>
      <c r="O5346" s="115"/>
    </row>
    <row r="5347">
      <c r="E5347" s="115"/>
      <c r="F5347" s="115"/>
      <c r="G5347" s="115"/>
      <c r="H5347" s="115"/>
      <c r="I5347" s="115"/>
      <c r="J5347" s="115"/>
      <c r="K5347" s="115"/>
      <c r="L5347" s="115"/>
      <c r="M5347" s="115"/>
      <c r="N5347" s="115"/>
      <c r="O5347" s="115"/>
    </row>
    <row r="5348">
      <c r="E5348" s="115"/>
      <c r="F5348" s="115"/>
      <c r="G5348" s="115"/>
      <c r="H5348" s="115"/>
      <c r="I5348" s="115"/>
      <c r="J5348" s="115"/>
      <c r="K5348" s="115"/>
      <c r="L5348" s="115"/>
      <c r="M5348" s="115"/>
      <c r="N5348" s="115"/>
      <c r="O5348" s="115"/>
    </row>
    <row r="5349">
      <c r="E5349" s="115"/>
      <c r="F5349" s="115"/>
      <c r="G5349" s="115"/>
      <c r="H5349" s="115"/>
      <c r="I5349" s="115"/>
      <c r="J5349" s="115"/>
      <c r="K5349" s="115"/>
      <c r="L5349" s="115"/>
      <c r="M5349" s="115"/>
      <c r="N5349" s="115"/>
      <c r="O5349" s="115"/>
    </row>
    <row r="5350">
      <c r="E5350" s="115"/>
      <c r="F5350" s="115"/>
      <c r="G5350" s="115"/>
      <c r="H5350" s="115"/>
      <c r="I5350" s="115"/>
      <c r="J5350" s="115"/>
      <c r="K5350" s="115"/>
      <c r="L5350" s="115"/>
      <c r="M5350" s="115"/>
      <c r="N5350" s="115"/>
      <c r="O5350" s="115"/>
    </row>
    <row r="5351">
      <c r="E5351" s="115"/>
      <c r="F5351" s="115"/>
      <c r="G5351" s="115"/>
      <c r="H5351" s="115"/>
      <c r="I5351" s="115"/>
      <c r="J5351" s="115"/>
      <c r="K5351" s="115"/>
      <c r="L5351" s="115"/>
      <c r="M5351" s="115"/>
      <c r="N5351" s="115"/>
      <c r="O5351" s="115"/>
    </row>
    <row r="5352">
      <c r="E5352" s="115"/>
      <c r="F5352" s="115"/>
      <c r="G5352" s="115"/>
      <c r="H5352" s="115"/>
      <c r="I5352" s="115"/>
      <c r="J5352" s="115"/>
      <c r="K5352" s="115"/>
      <c r="L5352" s="115"/>
      <c r="M5352" s="115"/>
      <c r="N5352" s="115"/>
      <c r="O5352" s="115"/>
    </row>
    <row r="5353">
      <c r="E5353" s="115"/>
      <c r="F5353" s="115"/>
      <c r="G5353" s="115"/>
      <c r="H5353" s="115"/>
      <c r="I5353" s="115"/>
      <c r="J5353" s="115"/>
      <c r="K5353" s="115"/>
      <c r="L5353" s="115"/>
      <c r="M5353" s="115"/>
      <c r="N5353" s="115"/>
      <c r="O5353" s="115"/>
    </row>
    <row r="5354">
      <c r="E5354" s="115"/>
      <c r="F5354" s="115"/>
      <c r="G5354" s="115"/>
      <c r="H5354" s="115"/>
      <c r="I5354" s="115"/>
      <c r="J5354" s="115"/>
      <c r="K5354" s="115"/>
      <c r="L5354" s="115"/>
      <c r="M5354" s="115"/>
      <c r="N5354" s="115"/>
      <c r="O5354" s="115"/>
    </row>
    <row r="5355">
      <c r="E5355" s="115"/>
      <c r="F5355" s="115"/>
      <c r="G5355" s="115"/>
      <c r="H5355" s="115"/>
      <c r="I5355" s="115"/>
      <c r="J5355" s="115"/>
      <c r="K5355" s="115"/>
      <c r="L5355" s="115"/>
      <c r="M5355" s="115"/>
      <c r="N5355" s="115"/>
      <c r="O5355" s="115"/>
    </row>
    <row r="5356">
      <c r="E5356" s="115"/>
      <c r="F5356" s="115"/>
      <c r="G5356" s="115"/>
      <c r="H5356" s="115"/>
      <c r="I5356" s="115"/>
      <c r="J5356" s="115"/>
      <c r="K5356" s="115"/>
      <c r="L5356" s="115"/>
      <c r="M5356" s="115"/>
      <c r="N5356" s="115"/>
      <c r="O5356" s="115"/>
    </row>
    <row r="5357">
      <c r="E5357" s="115"/>
      <c r="F5357" s="115"/>
      <c r="G5357" s="115"/>
      <c r="H5357" s="115"/>
      <c r="I5357" s="115"/>
      <c r="J5357" s="115"/>
      <c r="K5357" s="115"/>
      <c r="L5357" s="115"/>
      <c r="M5357" s="115"/>
      <c r="N5357" s="115"/>
      <c r="O5357" s="115"/>
    </row>
    <row r="5358">
      <c r="E5358" s="115"/>
      <c r="F5358" s="115"/>
      <c r="G5358" s="115"/>
      <c r="H5358" s="115"/>
      <c r="I5358" s="115"/>
      <c r="J5358" s="115"/>
      <c r="K5358" s="115"/>
      <c r="L5358" s="115"/>
      <c r="M5358" s="115"/>
      <c r="N5358" s="115"/>
      <c r="O5358" s="115"/>
    </row>
    <row r="5359">
      <c r="E5359" s="115"/>
      <c r="F5359" s="115"/>
      <c r="G5359" s="115"/>
      <c r="H5359" s="115"/>
      <c r="I5359" s="115"/>
      <c r="J5359" s="115"/>
      <c r="K5359" s="115"/>
      <c r="L5359" s="115"/>
      <c r="M5359" s="115"/>
      <c r="N5359" s="115"/>
      <c r="O5359" s="115"/>
    </row>
    <row r="5360">
      <c r="E5360" s="115"/>
      <c r="F5360" s="115"/>
      <c r="G5360" s="115"/>
      <c r="H5360" s="115"/>
      <c r="I5360" s="115"/>
      <c r="J5360" s="115"/>
      <c r="K5360" s="115"/>
      <c r="L5360" s="115"/>
      <c r="M5360" s="115"/>
      <c r="N5360" s="115"/>
      <c r="O5360" s="115"/>
    </row>
    <row r="5361">
      <c r="E5361" s="115"/>
      <c r="F5361" s="115"/>
      <c r="G5361" s="115"/>
      <c r="H5361" s="115"/>
      <c r="I5361" s="115"/>
      <c r="J5361" s="115"/>
      <c r="K5361" s="115"/>
      <c r="L5361" s="115"/>
      <c r="M5361" s="115"/>
      <c r="N5361" s="115"/>
      <c r="O5361" s="115"/>
    </row>
    <row r="5362">
      <c r="E5362" s="115"/>
      <c r="F5362" s="115"/>
      <c r="G5362" s="115"/>
      <c r="H5362" s="115"/>
      <c r="I5362" s="115"/>
      <c r="J5362" s="115"/>
      <c r="K5362" s="115"/>
      <c r="L5362" s="115"/>
      <c r="M5362" s="115"/>
      <c r="N5362" s="115"/>
      <c r="O5362" s="115"/>
    </row>
    <row r="5363">
      <c r="E5363" s="115"/>
      <c r="F5363" s="115"/>
      <c r="G5363" s="115"/>
      <c r="H5363" s="115"/>
      <c r="I5363" s="115"/>
      <c r="J5363" s="115"/>
      <c r="K5363" s="115"/>
      <c r="L5363" s="115"/>
      <c r="M5363" s="115"/>
      <c r="N5363" s="115"/>
      <c r="O5363" s="115"/>
    </row>
    <row r="5364">
      <c r="E5364" s="115"/>
      <c r="F5364" s="115"/>
      <c r="G5364" s="115"/>
      <c r="H5364" s="115"/>
      <c r="I5364" s="115"/>
      <c r="J5364" s="115"/>
      <c r="K5364" s="115"/>
      <c r="L5364" s="115"/>
      <c r="M5364" s="115"/>
      <c r="N5364" s="115"/>
      <c r="O5364" s="115"/>
    </row>
    <row r="5365">
      <c r="E5365" s="115"/>
      <c r="F5365" s="115"/>
      <c r="G5365" s="115"/>
      <c r="H5365" s="115"/>
      <c r="I5365" s="115"/>
      <c r="J5365" s="115"/>
      <c r="K5365" s="115"/>
      <c r="L5365" s="115"/>
      <c r="M5365" s="115"/>
      <c r="N5365" s="115"/>
      <c r="O5365" s="115"/>
    </row>
    <row r="5366">
      <c r="E5366" s="115"/>
      <c r="F5366" s="115"/>
      <c r="G5366" s="115"/>
      <c r="H5366" s="115"/>
      <c r="I5366" s="115"/>
      <c r="J5366" s="115"/>
      <c r="K5366" s="115"/>
      <c r="L5366" s="115"/>
      <c r="M5366" s="115"/>
      <c r="N5366" s="115"/>
      <c r="O5366" s="115"/>
    </row>
    <row r="5367">
      <c r="E5367" s="115"/>
      <c r="F5367" s="115"/>
      <c r="G5367" s="115"/>
      <c r="H5367" s="115"/>
      <c r="I5367" s="115"/>
      <c r="J5367" s="115"/>
      <c r="K5367" s="115"/>
      <c r="L5367" s="115"/>
      <c r="M5367" s="115"/>
      <c r="N5367" s="115"/>
      <c r="O5367" s="115"/>
    </row>
    <row r="5368">
      <c r="E5368" s="115"/>
      <c r="F5368" s="115"/>
      <c r="G5368" s="115"/>
      <c r="H5368" s="115"/>
      <c r="I5368" s="115"/>
      <c r="J5368" s="115"/>
      <c r="K5368" s="115"/>
      <c r="L5368" s="115"/>
      <c r="M5368" s="115"/>
      <c r="N5368" s="115"/>
      <c r="O5368" s="115"/>
    </row>
    <row r="5369">
      <c r="E5369" s="115"/>
      <c r="F5369" s="115"/>
      <c r="G5369" s="115"/>
      <c r="H5369" s="115"/>
      <c r="I5369" s="115"/>
      <c r="J5369" s="115"/>
      <c r="K5369" s="115"/>
      <c r="L5369" s="115"/>
      <c r="M5369" s="115"/>
      <c r="N5369" s="115"/>
      <c r="O5369" s="115"/>
    </row>
    <row r="5370">
      <c r="E5370" s="115"/>
      <c r="F5370" s="115"/>
      <c r="G5370" s="115"/>
      <c r="H5370" s="115"/>
      <c r="I5370" s="115"/>
      <c r="J5370" s="115"/>
      <c r="K5370" s="115"/>
      <c r="L5370" s="115"/>
      <c r="M5370" s="115"/>
      <c r="N5370" s="115"/>
      <c r="O5370" s="115"/>
    </row>
    <row r="5371">
      <c r="E5371" s="115"/>
      <c r="F5371" s="115"/>
      <c r="G5371" s="115"/>
      <c r="H5371" s="115"/>
      <c r="I5371" s="115"/>
      <c r="J5371" s="115"/>
      <c r="K5371" s="115"/>
      <c r="L5371" s="115"/>
      <c r="M5371" s="115"/>
      <c r="N5371" s="115"/>
      <c r="O5371" s="115"/>
    </row>
    <row r="5372">
      <c r="E5372" s="115"/>
      <c r="F5372" s="115"/>
      <c r="G5372" s="115"/>
      <c r="H5372" s="115"/>
      <c r="I5372" s="115"/>
      <c r="J5372" s="115"/>
      <c r="K5372" s="115"/>
      <c r="L5372" s="115"/>
      <c r="M5372" s="115"/>
      <c r="N5372" s="115"/>
      <c r="O5372" s="115"/>
    </row>
    <row r="5373">
      <c r="E5373" s="115"/>
      <c r="F5373" s="115"/>
      <c r="G5373" s="115"/>
      <c r="H5373" s="115"/>
      <c r="I5373" s="115"/>
      <c r="J5373" s="115"/>
      <c r="K5373" s="115"/>
      <c r="L5373" s="115"/>
      <c r="M5373" s="115"/>
      <c r="N5373" s="115"/>
      <c r="O5373" s="115"/>
    </row>
    <row r="5374">
      <c r="E5374" s="115"/>
      <c r="F5374" s="115"/>
      <c r="G5374" s="115"/>
      <c r="H5374" s="115"/>
      <c r="I5374" s="115"/>
      <c r="J5374" s="115"/>
      <c r="K5374" s="115"/>
      <c r="L5374" s="115"/>
      <c r="M5374" s="115"/>
      <c r="N5374" s="115"/>
      <c r="O5374" s="115"/>
    </row>
    <row r="5375">
      <c r="E5375" s="115"/>
      <c r="F5375" s="115"/>
      <c r="G5375" s="115"/>
      <c r="H5375" s="115"/>
      <c r="I5375" s="115"/>
      <c r="J5375" s="115"/>
      <c r="K5375" s="115"/>
      <c r="L5375" s="115"/>
      <c r="M5375" s="115"/>
      <c r="N5375" s="115"/>
      <c r="O5375" s="115"/>
    </row>
    <row r="5376">
      <c r="E5376" s="115"/>
      <c r="F5376" s="115"/>
      <c r="G5376" s="115"/>
      <c r="H5376" s="115"/>
      <c r="I5376" s="115"/>
      <c r="J5376" s="115"/>
      <c r="K5376" s="115"/>
      <c r="L5376" s="115"/>
      <c r="M5376" s="115"/>
      <c r="N5376" s="115"/>
      <c r="O5376" s="115"/>
    </row>
    <row r="5377">
      <c r="E5377" s="115"/>
      <c r="F5377" s="115"/>
      <c r="G5377" s="115"/>
      <c r="H5377" s="115"/>
      <c r="I5377" s="115"/>
      <c r="J5377" s="115"/>
      <c r="K5377" s="115"/>
      <c r="L5377" s="115"/>
      <c r="M5377" s="115"/>
      <c r="N5377" s="115"/>
      <c r="O5377" s="115"/>
    </row>
    <row r="5378">
      <c r="E5378" s="115"/>
      <c r="F5378" s="115"/>
      <c r="G5378" s="115"/>
      <c r="H5378" s="115"/>
      <c r="I5378" s="115"/>
      <c r="J5378" s="115"/>
      <c r="K5378" s="115"/>
      <c r="L5378" s="115"/>
      <c r="M5378" s="115"/>
      <c r="N5378" s="115"/>
      <c r="O5378" s="115"/>
    </row>
    <row r="5379">
      <c r="E5379" s="115"/>
      <c r="F5379" s="115"/>
      <c r="G5379" s="115"/>
      <c r="H5379" s="115"/>
      <c r="I5379" s="115"/>
      <c r="J5379" s="115"/>
      <c r="K5379" s="115"/>
      <c r="L5379" s="115"/>
      <c r="M5379" s="115"/>
      <c r="N5379" s="115"/>
      <c r="O5379" s="115"/>
    </row>
    <row r="5380">
      <c r="E5380" s="115"/>
      <c r="F5380" s="115"/>
      <c r="G5380" s="115"/>
      <c r="H5380" s="115"/>
      <c r="I5380" s="115"/>
      <c r="J5380" s="115"/>
      <c r="K5380" s="115"/>
      <c r="L5380" s="115"/>
      <c r="M5380" s="115"/>
      <c r="N5380" s="115"/>
      <c r="O5380" s="115"/>
    </row>
    <row r="5381">
      <c r="E5381" s="115"/>
      <c r="F5381" s="115"/>
      <c r="G5381" s="115"/>
      <c r="H5381" s="115"/>
      <c r="I5381" s="115"/>
      <c r="J5381" s="115"/>
      <c r="K5381" s="115"/>
      <c r="L5381" s="115"/>
      <c r="M5381" s="115"/>
      <c r="N5381" s="115"/>
      <c r="O5381" s="115"/>
    </row>
    <row r="5382">
      <c r="E5382" s="115"/>
      <c r="F5382" s="115"/>
      <c r="G5382" s="115"/>
      <c r="H5382" s="115"/>
      <c r="I5382" s="115"/>
      <c r="J5382" s="115"/>
      <c r="K5382" s="115"/>
      <c r="L5382" s="115"/>
      <c r="M5382" s="115"/>
      <c r="N5382" s="115"/>
      <c r="O5382" s="115"/>
    </row>
    <row r="5383">
      <c r="E5383" s="115"/>
      <c r="F5383" s="115"/>
      <c r="G5383" s="115"/>
      <c r="H5383" s="115"/>
      <c r="I5383" s="115"/>
      <c r="J5383" s="115"/>
      <c r="K5383" s="115"/>
      <c r="L5383" s="115"/>
      <c r="M5383" s="115"/>
      <c r="N5383" s="115"/>
      <c r="O5383" s="115"/>
    </row>
    <row r="5384">
      <c r="E5384" s="115"/>
      <c r="F5384" s="115"/>
      <c r="G5384" s="115"/>
      <c r="H5384" s="115"/>
      <c r="I5384" s="115"/>
      <c r="J5384" s="115"/>
      <c r="K5384" s="115"/>
      <c r="L5384" s="115"/>
      <c r="M5384" s="115"/>
      <c r="N5384" s="115"/>
      <c r="O5384" s="115"/>
    </row>
    <row r="5385">
      <c r="E5385" s="115"/>
      <c r="F5385" s="115"/>
      <c r="G5385" s="115"/>
      <c r="H5385" s="115"/>
      <c r="I5385" s="115"/>
      <c r="J5385" s="115"/>
      <c r="K5385" s="115"/>
      <c r="L5385" s="115"/>
      <c r="M5385" s="115"/>
      <c r="N5385" s="115"/>
      <c r="O5385" s="115"/>
    </row>
    <row r="5386">
      <c r="E5386" s="115"/>
      <c r="F5386" s="115"/>
      <c r="G5386" s="115"/>
      <c r="H5386" s="115"/>
      <c r="I5386" s="115"/>
      <c r="J5386" s="115"/>
      <c r="K5386" s="115"/>
      <c r="L5386" s="115"/>
      <c r="M5386" s="115"/>
      <c r="N5386" s="115"/>
      <c r="O5386" s="115"/>
    </row>
    <row r="5387">
      <c r="E5387" s="115"/>
      <c r="F5387" s="115"/>
      <c r="G5387" s="115"/>
      <c r="H5387" s="115"/>
      <c r="I5387" s="115"/>
      <c r="J5387" s="115"/>
      <c r="K5387" s="115"/>
      <c r="L5387" s="115"/>
      <c r="M5387" s="115"/>
      <c r="N5387" s="115"/>
      <c r="O5387" s="115"/>
    </row>
    <row r="5388">
      <c r="E5388" s="115"/>
      <c r="F5388" s="115"/>
      <c r="G5388" s="115"/>
      <c r="H5388" s="115"/>
      <c r="I5388" s="115"/>
      <c r="J5388" s="115"/>
      <c r="K5388" s="115"/>
      <c r="L5388" s="115"/>
      <c r="M5388" s="115"/>
      <c r="N5388" s="115"/>
      <c r="O5388" s="115"/>
    </row>
    <row r="5389">
      <c r="E5389" s="115"/>
      <c r="F5389" s="115"/>
      <c r="G5389" s="115"/>
      <c r="H5389" s="115"/>
      <c r="I5389" s="115"/>
      <c r="J5389" s="115"/>
      <c r="K5389" s="115"/>
      <c r="L5389" s="115"/>
      <c r="M5389" s="115"/>
      <c r="N5389" s="115"/>
      <c r="O5389" s="115"/>
    </row>
    <row r="5390">
      <c r="E5390" s="115"/>
      <c r="F5390" s="115"/>
      <c r="G5390" s="115"/>
      <c r="H5390" s="115"/>
      <c r="I5390" s="115"/>
      <c r="J5390" s="115"/>
      <c r="K5390" s="115"/>
      <c r="L5390" s="115"/>
      <c r="M5390" s="115"/>
      <c r="N5390" s="115"/>
      <c r="O5390" s="115"/>
    </row>
    <row r="5391">
      <c r="E5391" s="115"/>
      <c r="F5391" s="115"/>
      <c r="G5391" s="115"/>
      <c r="H5391" s="115"/>
      <c r="I5391" s="115"/>
      <c r="J5391" s="115"/>
      <c r="K5391" s="115"/>
      <c r="L5391" s="115"/>
      <c r="M5391" s="115"/>
      <c r="N5391" s="115"/>
      <c r="O5391" s="115"/>
    </row>
    <row r="5392">
      <c r="E5392" s="115"/>
      <c r="F5392" s="115"/>
      <c r="G5392" s="115"/>
      <c r="H5392" s="115"/>
      <c r="I5392" s="115"/>
      <c r="J5392" s="115"/>
      <c r="K5392" s="115"/>
      <c r="L5392" s="115"/>
      <c r="M5392" s="115"/>
      <c r="N5392" s="115"/>
      <c r="O5392" s="115"/>
    </row>
    <row r="5393">
      <c r="E5393" s="115"/>
      <c r="F5393" s="115"/>
      <c r="G5393" s="115"/>
      <c r="H5393" s="115"/>
      <c r="I5393" s="115"/>
      <c r="J5393" s="115"/>
      <c r="K5393" s="115"/>
      <c r="L5393" s="115"/>
      <c r="M5393" s="115"/>
      <c r="N5393" s="115"/>
      <c r="O5393" s="115"/>
    </row>
    <row r="5394">
      <c r="E5394" s="115"/>
      <c r="F5394" s="115"/>
      <c r="G5394" s="115"/>
      <c r="H5394" s="115"/>
      <c r="I5394" s="115"/>
      <c r="J5394" s="115"/>
      <c r="K5394" s="115"/>
      <c r="L5394" s="115"/>
      <c r="M5394" s="115"/>
      <c r="N5394" s="115"/>
      <c r="O5394" s="115"/>
    </row>
    <row r="5395">
      <c r="E5395" s="115"/>
      <c r="F5395" s="115"/>
      <c r="G5395" s="115"/>
      <c r="H5395" s="115"/>
      <c r="I5395" s="115"/>
      <c r="J5395" s="115"/>
      <c r="K5395" s="115"/>
      <c r="L5395" s="115"/>
      <c r="M5395" s="115"/>
      <c r="N5395" s="115"/>
      <c r="O5395" s="115"/>
    </row>
    <row r="5396">
      <c r="E5396" s="115"/>
      <c r="F5396" s="115"/>
      <c r="G5396" s="115"/>
      <c r="H5396" s="115"/>
      <c r="I5396" s="115"/>
      <c r="J5396" s="115"/>
      <c r="K5396" s="115"/>
      <c r="L5396" s="115"/>
      <c r="M5396" s="115"/>
      <c r="N5396" s="115"/>
      <c r="O5396" s="115"/>
    </row>
    <row r="5397">
      <c r="E5397" s="115"/>
      <c r="F5397" s="115"/>
      <c r="G5397" s="115"/>
      <c r="H5397" s="115"/>
      <c r="I5397" s="115"/>
      <c r="J5397" s="115"/>
      <c r="K5397" s="115"/>
      <c r="L5397" s="115"/>
      <c r="M5397" s="115"/>
      <c r="N5397" s="115"/>
      <c r="O5397" s="115"/>
    </row>
    <row r="5398">
      <c r="E5398" s="115"/>
      <c r="F5398" s="115"/>
      <c r="G5398" s="115"/>
      <c r="H5398" s="115"/>
      <c r="I5398" s="115"/>
      <c r="J5398" s="115"/>
      <c r="K5398" s="115"/>
      <c r="L5398" s="115"/>
      <c r="M5398" s="115"/>
      <c r="N5398" s="115"/>
      <c r="O5398" s="115"/>
    </row>
    <row r="5399">
      <c r="E5399" s="115"/>
      <c r="F5399" s="115"/>
      <c r="G5399" s="115"/>
      <c r="H5399" s="115"/>
      <c r="I5399" s="115"/>
      <c r="J5399" s="115"/>
      <c r="K5399" s="115"/>
      <c r="L5399" s="115"/>
      <c r="M5399" s="115"/>
      <c r="N5399" s="115"/>
      <c r="O5399" s="115"/>
    </row>
    <row r="5400">
      <c r="E5400" s="115"/>
      <c r="F5400" s="115"/>
      <c r="G5400" s="115"/>
      <c r="H5400" s="115"/>
      <c r="I5400" s="115"/>
      <c r="J5400" s="115"/>
      <c r="K5400" s="115"/>
      <c r="L5400" s="115"/>
      <c r="M5400" s="115"/>
      <c r="N5400" s="115"/>
      <c r="O5400" s="115"/>
    </row>
    <row r="5401">
      <c r="E5401" s="115"/>
      <c r="F5401" s="115"/>
      <c r="G5401" s="115"/>
      <c r="H5401" s="115"/>
      <c r="I5401" s="115"/>
      <c r="J5401" s="115"/>
      <c r="K5401" s="115"/>
      <c r="L5401" s="115"/>
      <c r="M5401" s="115"/>
      <c r="N5401" s="115"/>
      <c r="O5401" s="115"/>
    </row>
    <row r="5402">
      <c r="E5402" s="115"/>
      <c r="F5402" s="115"/>
      <c r="G5402" s="115"/>
      <c r="H5402" s="115"/>
      <c r="I5402" s="115"/>
      <c r="J5402" s="115"/>
      <c r="K5402" s="115"/>
      <c r="L5402" s="115"/>
      <c r="M5402" s="115"/>
      <c r="N5402" s="115"/>
      <c r="O5402" s="115"/>
    </row>
    <row r="5403">
      <c r="E5403" s="115"/>
      <c r="F5403" s="115"/>
      <c r="G5403" s="115"/>
      <c r="H5403" s="115"/>
      <c r="I5403" s="115"/>
      <c r="J5403" s="115"/>
      <c r="K5403" s="115"/>
      <c r="L5403" s="115"/>
      <c r="M5403" s="115"/>
      <c r="N5403" s="115"/>
      <c r="O5403" s="115"/>
    </row>
    <row r="5404">
      <c r="E5404" s="115"/>
      <c r="F5404" s="115"/>
      <c r="G5404" s="115"/>
      <c r="H5404" s="115"/>
      <c r="I5404" s="115"/>
      <c r="J5404" s="115"/>
      <c r="K5404" s="115"/>
      <c r="L5404" s="115"/>
      <c r="M5404" s="115"/>
      <c r="N5404" s="115"/>
      <c r="O5404" s="115"/>
    </row>
    <row r="5405">
      <c r="E5405" s="115"/>
      <c r="F5405" s="115"/>
      <c r="G5405" s="115"/>
      <c r="H5405" s="115"/>
      <c r="I5405" s="115"/>
      <c r="J5405" s="115"/>
      <c r="K5405" s="115"/>
      <c r="L5405" s="115"/>
      <c r="M5405" s="115"/>
      <c r="N5405" s="115"/>
      <c r="O5405" s="115"/>
    </row>
    <row r="5406">
      <c r="E5406" s="115"/>
      <c r="F5406" s="115"/>
      <c r="G5406" s="115"/>
      <c r="H5406" s="115"/>
      <c r="I5406" s="115"/>
      <c r="J5406" s="115"/>
      <c r="K5406" s="115"/>
      <c r="L5406" s="115"/>
      <c r="M5406" s="115"/>
      <c r="N5406" s="115"/>
      <c r="O5406" s="115"/>
    </row>
    <row r="5407">
      <c r="E5407" s="115"/>
      <c r="F5407" s="115"/>
      <c r="G5407" s="115"/>
      <c r="H5407" s="115"/>
      <c r="I5407" s="115"/>
      <c r="J5407" s="115"/>
      <c r="K5407" s="115"/>
      <c r="L5407" s="115"/>
      <c r="M5407" s="115"/>
      <c r="N5407" s="115"/>
      <c r="O5407" s="115"/>
    </row>
    <row r="5408">
      <c r="E5408" s="115"/>
      <c r="F5408" s="115"/>
      <c r="G5408" s="115"/>
      <c r="H5408" s="115"/>
      <c r="I5408" s="115"/>
      <c r="J5408" s="115"/>
      <c r="K5408" s="115"/>
      <c r="L5408" s="115"/>
      <c r="M5408" s="115"/>
      <c r="N5408" s="115"/>
      <c r="O5408" s="115"/>
    </row>
    <row r="5409">
      <c r="E5409" s="115"/>
      <c r="F5409" s="115"/>
      <c r="G5409" s="115"/>
      <c r="H5409" s="115"/>
      <c r="I5409" s="115"/>
      <c r="J5409" s="115"/>
      <c r="K5409" s="115"/>
      <c r="L5409" s="115"/>
      <c r="M5409" s="115"/>
      <c r="N5409" s="115"/>
      <c r="O5409" s="115"/>
    </row>
    <row r="5410">
      <c r="E5410" s="115"/>
      <c r="F5410" s="115"/>
      <c r="G5410" s="115"/>
      <c r="H5410" s="115"/>
      <c r="I5410" s="115"/>
      <c r="J5410" s="115"/>
      <c r="K5410" s="115"/>
      <c r="L5410" s="115"/>
      <c r="M5410" s="115"/>
      <c r="N5410" s="115"/>
      <c r="O5410" s="115"/>
    </row>
    <row r="5411">
      <c r="E5411" s="115"/>
      <c r="F5411" s="115"/>
      <c r="G5411" s="115"/>
      <c r="H5411" s="115"/>
      <c r="I5411" s="115"/>
      <c r="J5411" s="115"/>
      <c r="K5411" s="115"/>
      <c r="L5411" s="115"/>
      <c r="M5411" s="115"/>
      <c r="N5411" s="115"/>
      <c r="O5411" s="115"/>
    </row>
    <row r="5412">
      <c r="E5412" s="115"/>
      <c r="F5412" s="115"/>
      <c r="G5412" s="115"/>
      <c r="H5412" s="115"/>
      <c r="I5412" s="115"/>
      <c r="J5412" s="115"/>
      <c r="K5412" s="115"/>
      <c r="L5412" s="115"/>
      <c r="M5412" s="115"/>
      <c r="N5412" s="115"/>
      <c r="O5412" s="115"/>
    </row>
    <row r="5413">
      <c r="E5413" s="115"/>
      <c r="F5413" s="115"/>
      <c r="G5413" s="115"/>
      <c r="H5413" s="115"/>
      <c r="I5413" s="115"/>
      <c r="J5413" s="115"/>
      <c r="K5413" s="115"/>
      <c r="L5413" s="115"/>
      <c r="M5413" s="115"/>
      <c r="N5413" s="115"/>
      <c r="O5413" s="115"/>
    </row>
    <row r="5414">
      <c r="E5414" s="115"/>
      <c r="F5414" s="115"/>
      <c r="G5414" s="115"/>
      <c r="H5414" s="115"/>
      <c r="I5414" s="115"/>
      <c r="J5414" s="115"/>
      <c r="K5414" s="115"/>
      <c r="L5414" s="115"/>
      <c r="M5414" s="115"/>
      <c r="N5414" s="115"/>
      <c r="O5414" s="115"/>
    </row>
    <row r="5415">
      <c r="E5415" s="115"/>
      <c r="F5415" s="115"/>
      <c r="G5415" s="115"/>
      <c r="H5415" s="115"/>
      <c r="I5415" s="115"/>
      <c r="J5415" s="115"/>
      <c r="K5415" s="115"/>
      <c r="L5415" s="115"/>
      <c r="M5415" s="115"/>
      <c r="N5415" s="115"/>
      <c r="O5415" s="115"/>
    </row>
    <row r="5416">
      <c r="E5416" s="115"/>
      <c r="F5416" s="115"/>
      <c r="G5416" s="115"/>
      <c r="H5416" s="115"/>
      <c r="I5416" s="115"/>
      <c r="J5416" s="115"/>
      <c r="K5416" s="115"/>
      <c r="L5416" s="115"/>
      <c r="M5416" s="115"/>
      <c r="N5416" s="115"/>
      <c r="O5416" s="115"/>
    </row>
    <row r="5417">
      <c r="E5417" s="115"/>
      <c r="F5417" s="115"/>
      <c r="G5417" s="115"/>
      <c r="H5417" s="115"/>
      <c r="I5417" s="115"/>
      <c r="J5417" s="115"/>
      <c r="K5417" s="115"/>
      <c r="L5417" s="115"/>
      <c r="M5417" s="115"/>
      <c r="N5417" s="115"/>
      <c r="O5417" s="115"/>
    </row>
    <row r="5418">
      <c r="E5418" s="115"/>
      <c r="F5418" s="115"/>
      <c r="G5418" s="115"/>
      <c r="H5418" s="115"/>
      <c r="I5418" s="115"/>
      <c r="J5418" s="115"/>
      <c r="K5418" s="115"/>
      <c r="L5418" s="115"/>
      <c r="M5418" s="115"/>
      <c r="N5418" s="115"/>
      <c r="O5418" s="115"/>
    </row>
    <row r="5419">
      <c r="E5419" s="115"/>
      <c r="F5419" s="115"/>
      <c r="G5419" s="115"/>
      <c r="H5419" s="115"/>
      <c r="I5419" s="115"/>
      <c r="J5419" s="115"/>
      <c r="K5419" s="115"/>
      <c r="L5419" s="115"/>
      <c r="M5419" s="115"/>
      <c r="N5419" s="115"/>
      <c r="O5419" s="115"/>
    </row>
    <row r="5420">
      <c r="E5420" s="115"/>
      <c r="F5420" s="115"/>
      <c r="G5420" s="115"/>
      <c r="H5420" s="115"/>
      <c r="I5420" s="115"/>
      <c r="J5420" s="115"/>
      <c r="K5420" s="115"/>
      <c r="L5420" s="115"/>
      <c r="M5420" s="115"/>
      <c r="N5420" s="115"/>
      <c r="O5420" s="115"/>
    </row>
    <row r="5421">
      <c r="E5421" s="115"/>
      <c r="F5421" s="115"/>
      <c r="G5421" s="115"/>
      <c r="H5421" s="115"/>
      <c r="I5421" s="115"/>
      <c r="J5421" s="115"/>
      <c r="K5421" s="115"/>
      <c r="L5421" s="115"/>
      <c r="M5421" s="115"/>
      <c r="N5421" s="115"/>
      <c r="O5421" s="115"/>
    </row>
    <row r="5422">
      <c r="E5422" s="115"/>
      <c r="F5422" s="115"/>
      <c r="G5422" s="115"/>
      <c r="H5422" s="115"/>
      <c r="I5422" s="115"/>
      <c r="J5422" s="115"/>
      <c r="K5422" s="115"/>
      <c r="L5422" s="115"/>
      <c r="M5422" s="115"/>
      <c r="N5422" s="115"/>
      <c r="O5422" s="115"/>
    </row>
    <row r="5423">
      <c r="E5423" s="115"/>
      <c r="F5423" s="115"/>
      <c r="G5423" s="115"/>
      <c r="H5423" s="115"/>
      <c r="I5423" s="115"/>
      <c r="J5423" s="115"/>
      <c r="K5423" s="115"/>
      <c r="L5423" s="115"/>
      <c r="M5423" s="115"/>
      <c r="N5423" s="115"/>
      <c r="O5423" s="115"/>
    </row>
    <row r="5424">
      <c r="E5424" s="115"/>
      <c r="F5424" s="115"/>
      <c r="G5424" s="115"/>
      <c r="H5424" s="115"/>
      <c r="I5424" s="115"/>
      <c r="J5424" s="115"/>
      <c r="K5424" s="115"/>
      <c r="L5424" s="115"/>
      <c r="M5424" s="115"/>
      <c r="N5424" s="115"/>
      <c r="O5424" s="115"/>
    </row>
    <row r="5425">
      <c r="E5425" s="115"/>
      <c r="F5425" s="115"/>
      <c r="G5425" s="115"/>
      <c r="H5425" s="115"/>
      <c r="I5425" s="115"/>
      <c r="J5425" s="115"/>
      <c r="K5425" s="115"/>
      <c r="L5425" s="115"/>
      <c r="M5425" s="115"/>
      <c r="N5425" s="115"/>
      <c r="O5425" s="115"/>
    </row>
    <row r="5426">
      <c r="E5426" s="115"/>
      <c r="F5426" s="115"/>
      <c r="G5426" s="115"/>
      <c r="H5426" s="115"/>
      <c r="I5426" s="115"/>
      <c r="J5426" s="115"/>
      <c r="K5426" s="115"/>
      <c r="L5426" s="115"/>
      <c r="M5426" s="115"/>
      <c r="N5426" s="115"/>
      <c r="O5426" s="115"/>
    </row>
    <row r="5427">
      <c r="E5427" s="115"/>
      <c r="F5427" s="115"/>
      <c r="G5427" s="115"/>
      <c r="H5427" s="115"/>
      <c r="I5427" s="115"/>
      <c r="J5427" s="115"/>
      <c r="K5427" s="115"/>
      <c r="L5427" s="115"/>
      <c r="M5427" s="115"/>
      <c r="N5427" s="115"/>
      <c r="O5427" s="115"/>
    </row>
    <row r="5428">
      <c r="E5428" s="115"/>
      <c r="F5428" s="115"/>
      <c r="G5428" s="115"/>
      <c r="H5428" s="115"/>
      <c r="I5428" s="115"/>
      <c r="J5428" s="115"/>
      <c r="K5428" s="115"/>
      <c r="L5428" s="115"/>
      <c r="M5428" s="115"/>
      <c r="N5428" s="115"/>
      <c r="O5428" s="115"/>
    </row>
    <row r="5429">
      <c r="E5429" s="115"/>
      <c r="F5429" s="115"/>
      <c r="G5429" s="115"/>
      <c r="H5429" s="115"/>
      <c r="I5429" s="115"/>
      <c r="J5429" s="115"/>
      <c r="K5429" s="115"/>
      <c r="L5429" s="115"/>
      <c r="M5429" s="115"/>
      <c r="N5429" s="115"/>
      <c r="O5429" s="115"/>
    </row>
    <row r="5430">
      <c r="E5430" s="115"/>
      <c r="F5430" s="115"/>
      <c r="G5430" s="115"/>
      <c r="H5430" s="115"/>
      <c r="I5430" s="115"/>
      <c r="J5430" s="115"/>
      <c r="K5430" s="115"/>
      <c r="L5430" s="115"/>
      <c r="M5430" s="115"/>
      <c r="N5430" s="115"/>
      <c r="O5430" s="115"/>
    </row>
    <row r="5431">
      <c r="E5431" s="115"/>
      <c r="F5431" s="115"/>
      <c r="G5431" s="115"/>
      <c r="H5431" s="115"/>
      <c r="I5431" s="115"/>
      <c r="J5431" s="115"/>
      <c r="K5431" s="115"/>
      <c r="L5431" s="115"/>
      <c r="M5431" s="115"/>
      <c r="N5431" s="115"/>
      <c r="O5431" s="115"/>
    </row>
    <row r="5432">
      <c r="E5432" s="115"/>
      <c r="F5432" s="115"/>
      <c r="G5432" s="115"/>
      <c r="H5432" s="115"/>
      <c r="I5432" s="115"/>
      <c r="J5432" s="115"/>
      <c r="K5432" s="115"/>
      <c r="L5432" s="115"/>
      <c r="M5432" s="115"/>
      <c r="N5432" s="115"/>
      <c r="O5432" s="115"/>
    </row>
    <row r="5433">
      <c r="E5433" s="115"/>
      <c r="F5433" s="115"/>
      <c r="G5433" s="115"/>
      <c r="H5433" s="115"/>
      <c r="I5433" s="115"/>
      <c r="J5433" s="115"/>
      <c r="K5433" s="115"/>
      <c r="L5433" s="115"/>
      <c r="M5433" s="115"/>
      <c r="N5433" s="115"/>
      <c r="O5433" s="115"/>
    </row>
    <row r="5434">
      <c r="E5434" s="115"/>
      <c r="F5434" s="115"/>
      <c r="G5434" s="115"/>
      <c r="H5434" s="115"/>
      <c r="I5434" s="115"/>
      <c r="J5434" s="115"/>
      <c r="K5434" s="115"/>
      <c r="L5434" s="115"/>
      <c r="M5434" s="115"/>
      <c r="N5434" s="115"/>
      <c r="O5434" s="115"/>
    </row>
    <row r="5435">
      <c r="E5435" s="115"/>
      <c r="F5435" s="115"/>
      <c r="G5435" s="115"/>
      <c r="H5435" s="115"/>
      <c r="I5435" s="115"/>
      <c r="J5435" s="115"/>
      <c r="K5435" s="115"/>
      <c r="L5435" s="115"/>
      <c r="M5435" s="115"/>
      <c r="N5435" s="115"/>
      <c r="O5435" s="115"/>
    </row>
    <row r="5436">
      <c r="E5436" s="115"/>
      <c r="F5436" s="115"/>
      <c r="G5436" s="115"/>
      <c r="H5436" s="115"/>
      <c r="I5436" s="115"/>
      <c r="J5436" s="115"/>
      <c r="K5436" s="115"/>
      <c r="L5436" s="115"/>
      <c r="M5436" s="115"/>
      <c r="N5436" s="115"/>
      <c r="O5436" s="115"/>
    </row>
    <row r="5437">
      <c r="E5437" s="115"/>
      <c r="F5437" s="115"/>
      <c r="G5437" s="115"/>
      <c r="H5437" s="115"/>
      <c r="I5437" s="115"/>
      <c r="J5437" s="115"/>
      <c r="K5437" s="115"/>
      <c r="L5437" s="115"/>
      <c r="M5437" s="115"/>
      <c r="N5437" s="115"/>
      <c r="O5437" s="115"/>
    </row>
    <row r="5438">
      <c r="E5438" s="115"/>
      <c r="F5438" s="115"/>
      <c r="G5438" s="115"/>
      <c r="H5438" s="115"/>
      <c r="I5438" s="115"/>
      <c r="J5438" s="115"/>
      <c r="K5438" s="115"/>
      <c r="L5438" s="115"/>
      <c r="M5438" s="115"/>
      <c r="N5438" s="115"/>
      <c r="O5438" s="115"/>
    </row>
    <row r="5439">
      <c r="E5439" s="115"/>
      <c r="F5439" s="115"/>
      <c r="G5439" s="115"/>
      <c r="H5439" s="115"/>
      <c r="I5439" s="115"/>
      <c r="J5439" s="115"/>
      <c r="K5439" s="115"/>
      <c r="L5439" s="115"/>
      <c r="M5439" s="115"/>
      <c r="N5439" s="115"/>
      <c r="O5439" s="115"/>
    </row>
    <row r="5440">
      <c r="E5440" s="115"/>
      <c r="F5440" s="115"/>
      <c r="G5440" s="115"/>
      <c r="H5440" s="115"/>
      <c r="I5440" s="115"/>
      <c r="J5440" s="115"/>
      <c r="K5440" s="115"/>
      <c r="L5440" s="115"/>
      <c r="M5440" s="115"/>
      <c r="N5440" s="115"/>
      <c r="O5440" s="115"/>
    </row>
    <row r="5441">
      <c r="E5441" s="115"/>
      <c r="F5441" s="115"/>
      <c r="G5441" s="115"/>
      <c r="H5441" s="115"/>
      <c r="I5441" s="115"/>
      <c r="J5441" s="115"/>
      <c r="K5441" s="115"/>
      <c r="L5441" s="115"/>
      <c r="M5441" s="115"/>
      <c r="N5441" s="115"/>
      <c r="O5441" s="115"/>
    </row>
    <row r="5442">
      <c r="E5442" s="115"/>
      <c r="F5442" s="115"/>
      <c r="G5442" s="115"/>
      <c r="H5442" s="115"/>
      <c r="I5442" s="115"/>
      <c r="J5442" s="115"/>
      <c r="K5442" s="115"/>
      <c r="L5442" s="115"/>
      <c r="M5442" s="115"/>
      <c r="N5442" s="115"/>
      <c r="O5442" s="115"/>
    </row>
    <row r="5443">
      <c r="E5443" s="115"/>
      <c r="F5443" s="115"/>
      <c r="G5443" s="115"/>
      <c r="H5443" s="115"/>
      <c r="I5443" s="115"/>
      <c r="J5443" s="115"/>
      <c r="K5443" s="115"/>
      <c r="L5443" s="115"/>
      <c r="M5443" s="115"/>
      <c r="N5443" s="115"/>
      <c r="O5443" s="115"/>
    </row>
    <row r="5444">
      <c r="E5444" s="115"/>
      <c r="F5444" s="115"/>
      <c r="G5444" s="115"/>
      <c r="H5444" s="115"/>
      <c r="I5444" s="115"/>
      <c r="J5444" s="115"/>
      <c r="K5444" s="115"/>
      <c r="L5444" s="115"/>
      <c r="M5444" s="115"/>
      <c r="N5444" s="115"/>
      <c r="O5444" s="115"/>
    </row>
    <row r="5445">
      <c r="E5445" s="115"/>
      <c r="F5445" s="115"/>
      <c r="G5445" s="115"/>
      <c r="H5445" s="115"/>
      <c r="I5445" s="115"/>
      <c r="J5445" s="115"/>
      <c r="K5445" s="115"/>
      <c r="L5445" s="115"/>
      <c r="M5445" s="115"/>
      <c r="N5445" s="115"/>
      <c r="O5445" s="115"/>
    </row>
    <row r="5446">
      <c r="E5446" s="115"/>
      <c r="F5446" s="115"/>
      <c r="G5446" s="115"/>
      <c r="H5446" s="115"/>
      <c r="I5446" s="115"/>
      <c r="J5446" s="115"/>
      <c r="K5446" s="115"/>
      <c r="L5446" s="115"/>
      <c r="M5446" s="115"/>
      <c r="N5446" s="115"/>
      <c r="O5446" s="115"/>
    </row>
    <row r="5447">
      <c r="E5447" s="115"/>
      <c r="F5447" s="115"/>
      <c r="G5447" s="115"/>
      <c r="H5447" s="115"/>
      <c r="I5447" s="115"/>
      <c r="J5447" s="115"/>
      <c r="K5447" s="115"/>
      <c r="L5447" s="115"/>
      <c r="M5447" s="115"/>
      <c r="N5447" s="115"/>
      <c r="O5447" s="115"/>
    </row>
    <row r="5448">
      <c r="E5448" s="115"/>
      <c r="F5448" s="115"/>
      <c r="G5448" s="115"/>
      <c r="H5448" s="115"/>
      <c r="I5448" s="115"/>
      <c r="J5448" s="115"/>
      <c r="K5448" s="115"/>
      <c r="L5448" s="115"/>
      <c r="M5448" s="115"/>
      <c r="N5448" s="115"/>
      <c r="O5448" s="115"/>
    </row>
    <row r="5449">
      <c r="E5449" s="115"/>
      <c r="F5449" s="115"/>
      <c r="G5449" s="115"/>
      <c r="H5449" s="115"/>
      <c r="I5449" s="115"/>
      <c r="J5449" s="115"/>
      <c r="K5449" s="115"/>
      <c r="L5449" s="115"/>
      <c r="M5449" s="115"/>
      <c r="N5449" s="115"/>
      <c r="O5449" s="115"/>
    </row>
    <row r="5450">
      <c r="E5450" s="115"/>
      <c r="F5450" s="115"/>
      <c r="G5450" s="115"/>
      <c r="H5450" s="115"/>
      <c r="I5450" s="115"/>
      <c r="J5450" s="115"/>
      <c r="K5450" s="115"/>
      <c r="L5450" s="115"/>
      <c r="M5450" s="115"/>
      <c r="N5450" s="115"/>
      <c r="O5450" s="115"/>
    </row>
    <row r="5451">
      <c r="E5451" s="115"/>
      <c r="F5451" s="115"/>
      <c r="G5451" s="115"/>
      <c r="H5451" s="115"/>
      <c r="I5451" s="115"/>
      <c r="J5451" s="115"/>
      <c r="K5451" s="115"/>
      <c r="L5451" s="115"/>
      <c r="M5451" s="115"/>
      <c r="N5451" s="115"/>
      <c r="O5451" s="115"/>
    </row>
    <row r="5452">
      <c r="E5452" s="115"/>
      <c r="F5452" s="115"/>
      <c r="G5452" s="115"/>
      <c r="H5452" s="115"/>
      <c r="I5452" s="115"/>
      <c r="J5452" s="115"/>
      <c r="K5452" s="115"/>
      <c r="L5452" s="115"/>
      <c r="M5452" s="115"/>
      <c r="N5452" s="115"/>
      <c r="O5452" s="115"/>
    </row>
    <row r="5453">
      <c r="E5453" s="115"/>
      <c r="F5453" s="115"/>
      <c r="G5453" s="115"/>
      <c r="H5453" s="115"/>
      <c r="I5453" s="115"/>
      <c r="J5453" s="115"/>
      <c r="K5453" s="115"/>
      <c r="L5453" s="115"/>
      <c r="M5453" s="115"/>
      <c r="N5453" s="115"/>
      <c r="O5453" s="115"/>
    </row>
    <row r="5454">
      <c r="E5454" s="115"/>
      <c r="F5454" s="115"/>
      <c r="G5454" s="115"/>
      <c r="H5454" s="115"/>
      <c r="I5454" s="115"/>
      <c r="J5454" s="115"/>
      <c r="K5454" s="115"/>
      <c r="L5454" s="115"/>
      <c r="M5454" s="115"/>
      <c r="N5454" s="115"/>
      <c r="O5454" s="115"/>
    </row>
    <row r="5455">
      <c r="E5455" s="115"/>
      <c r="F5455" s="115"/>
      <c r="G5455" s="115"/>
      <c r="H5455" s="115"/>
      <c r="I5455" s="115"/>
      <c r="J5455" s="115"/>
      <c r="K5455" s="115"/>
      <c r="L5455" s="115"/>
      <c r="M5455" s="115"/>
      <c r="N5455" s="115"/>
      <c r="O5455" s="115"/>
    </row>
    <row r="5456">
      <c r="E5456" s="115"/>
      <c r="F5456" s="115"/>
      <c r="G5456" s="115"/>
      <c r="H5456" s="115"/>
      <c r="I5456" s="115"/>
      <c r="J5456" s="115"/>
      <c r="K5456" s="115"/>
      <c r="L5456" s="115"/>
      <c r="M5456" s="115"/>
      <c r="N5456" s="115"/>
      <c r="O5456" s="115"/>
    </row>
    <row r="5457">
      <c r="E5457" s="115"/>
      <c r="F5457" s="115"/>
      <c r="G5457" s="115"/>
      <c r="H5457" s="115"/>
      <c r="I5457" s="115"/>
      <c r="J5457" s="115"/>
      <c r="K5457" s="115"/>
      <c r="L5457" s="115"/>
      <c r="M5457" s="115"/>
      <c r="N5457" s="115"/>
      <c r="O5457" s="115"/>
    </row>
    <row r="5458">
      <c r="E5458" s="115"/>
      <c r="F5458" s="115"/>
      <c r="G5458" s="115"/>
      <c r="H5458" s="115"/>
      <c r="I5458" s="115"/>
      <c r="J5458" s="115"/>
      <c r="K5458" s="115"/>
      <c r="L5458" s="115"/>
      <c r="M5458" s="115"/>
      <c r="N5458" s="115"/>
      <c r="O5458" s="115"/>
    </row>
    <row r="5459">
      <c r="E5459" s="115"/>
      <c r="F5459" s="115"/>
      <c r="G5459" s="115"/>
      <c r="H5459" s="115"/>
      <c r="I5459" s="115"/>
      <c r="J5459" s="115"/>
      <c r="K5459" s="115"/>
      <c r="L5459" s="115"/>
      <c r="M5459" s="115"/>
      <c r="N5459" s="115"/>
      <c r="O5459" s="115"/>
    </row>
    <row r="5460">
      <c r="E5460" s="115"/>
      <c r="F5460" s="115"/>
      <c r="G5460" s="115"/>
      <c r="H5460" s="115"/>
      <c r="I5460" s="115"/>
      <c r="J5460" s="115"/>
      <c r="K5460" s="115"/>
      <c r="L5460" s="115"/>
      <c r="M5460" s="115"/>
      <c r="N5460" s="115"/>
      <c r="O5460" s="115"/>
    </row>
    <row r="5461">
      <c r="E5461" s="115"/>
      <c r="F5461" s="115"/>
      <c r="G5461" s="115"/>
      <c r="H5461" s="115"/>
      <c r="I5461" s="115"/>
      <c r="J5461" s="115"/>
      <c r="K5461" s="115"/>
      <c r="L5461" s="115"/>
      <c r="M5461" s="115"/>
      <c r="N5461" s="115"/>
      <c r="O5461" s="115"/>
    </row>
    <row r="5462">
      <c r="E5462" s="115"/>
      <c r="F5462" s="115"/>
      <c r="G5462" s="115"/>
      <c r="H5462" s="115"/>
      <c r="I5462" s="115"/>
      <c r="J5462" s="115"/>
      <c r="K5462" s="115"/>
      <c r="L5462" s="115"/>
      <c r="M5462" s="115"/>
      <c r="N5462" s="115"/>
      <c r="O5462" s="115"/>
    </row>
    <row r="5463">
      <c r="E5463" s="115"/>
      <c r="F5463" s="115"/>
      <c r="G5463" s="115"/>
      <c r="H5463" s="115"/>
      <c r="I5463" s="115"/>
      <c r="J5463" s="115"/>
      <c r="K5463" s="115"/>
      <c r="L5463" s="115"/>
      <c r="M5463" s="115"/>
      <c r="N5463" s="115"/>
      <c r="O5463" s="115"/>
    </row>
    <row r="5464">
      <c r="E5464" s="115"/>
      <c r="F5464" s="115"/>
      <c r="G5464" s="115"/>
      <c r="H5464" s="115"/>
      <c r="I5464" s="115"/>
      <c r="J5464" s="115"/>
      <c r="K5464" s="115"/>
      <c r="L5464" s="115"/>
      <c r="M5464" s="115"/>
      <c r="N5464" s="115"/>
      <c r="O5464" s="115"/>
    </row>
    <row r="5465">
      <c r="E5465" s="115"/>
      <c r="F5465" s="115"/>
      <c r="G5465" s="115"/>
      <c r="H5465" s="115"/>
      <c r="I5465" s="115"/>
      <c r="J5465" s="115"/>
      <c r="K5465" s="115"/>
      <c r="L5465" s="115"/>
      <c r="M5465" s="115"/>
      <c r="N5465" s="115"/>
      <c r="O5465" s="115"/>
    </row>
    <row r="5466">
      <c r="E5466" s="115"/>
      <c r="F5466" s="115"/>
      <c r="G5466" s="115"/>
      <c r="H5466" s="115"/>
      <c r="I5466" s="115"/>
      <c r="J5466" s="115"/>
      <c r="K5466" s="115"/>
      <c r="L5466" s="115"/>
      <c r="M5466" s="115"/>
      <c r="N5466" s="115"/>
      <c r="O5466" s="115"/>
    </row>
    <row r="5467">
      <c r="E5467" s="115"/>
      <c r="F5467" s="115"/>
      <c r="G5467" s="115"/>
      <c r="H5467" s="115"/>
      <c r="I5467" s="115"/>
      <c r="J5467" s="115"/>
      <c r="K5467" s="115"/>
      <c r="L5467" s="115"/>
      <c r="M5467" s="115"/>
      <c r="N5467" s="115"/>
      <c r="O5467" s="115"/>
    </row>
    <row r="5468">
      <c r="E5468" s="115"/>
      <c r="F5468" s="115"/>
      <c r="G5468" s="115"/>
      <c r="H5468" s="115"/>
      <c r="I5468" s="115"/>
      <c r="J5468" s="115"/>
      <c r="K5468" s="115"/>
      <c r="L5468" s="115"/>
      <c r="M5468" s="115"/>
      <c r="N5468" s="115"/>
      <c r="O5468" s="115"/>
    </row>
    <row r="5469">
      <c r="E5469" s="115"/>
      <c r="F5469" s="115"/>
      <c r="G5469" s="115"/>
      <c r="H5469" s="115"/>
      <c r="I5469" s="115"/>
      <c r="J5469" s="115"/>
      <c r="K5469" s="115"/>
      <c r="L5469" s="115"/>
      <c r="M5469" s="115"/>
      <c r="N5469" s="115"/>
      <c r="O5469" s="115"/>
    </row>
    <row r="5470">
      <c r="E5470" s="115"/>
      <c r="F5470" s="115"/>
      <c r="G5470" s="115"/>
      <c r="H5470" s="115"/>
      <c r="I5470" s="115"/>
      <c r="J5470" s="115"/>
      <c r="K5470" s="115"/>
      <c r="L5470" s="115"/>
      <c r="M5470" s="115"/>
      <c r="N5470" s="115"/>
      <c r="O5470" s="115"/>
    </row>
    <row r="5471">
      <c r="E5471" s="115"/>
      <c r="F5471" s="115"/>
      <c r="G5471" s="115"/>
      <c r="H5471" s="115"/>
      <c r="I5471" s="115"/>
      <c r="J5471" s="115"/>
      <c r="K5471" s="115"/>
      <c r="L5471" s="115"/>
      <c r="M5471" s="115"/>
      <c r="N5471" s="115"/>
      <c r="O5471" s="115"/>
    </row>
    <row r="5472">
      <c r="E5472" s="115"/>
      <c r="F5472" s="115"/>
      <c r="G5472" s="115"/>
      <c r="H5472" s="115"/>
      <c r="I5472" s="115"/>
      <c r="J5472" s="115"/>
      <c r="K5472" s="115"/>
      <c r="L5472" s="115"/>
      <c r="M5472" s="115"/>
      <c r="N5472" s="115"/>
      <c r="O5472" s="115"/>
    </row>
    <row r="5473">
      <c r="E5473" s="115"/>
      <c r="F5473" s="115"/>
      <c r="G5473" s="115"/>
      <c r="H5473" s="115"/>
      <c r="I5473" s="115"/>
      <c r="J5473" s="115"/>
      <c r="K5473" s="115"/>
      <c r="L5473" s="115"/>
      <c r="M5473" s="115"/>
      <c r="N5473" s="115"/>
      <c r="O5473" s="115"/>
    </row>
    <row r="5474">
      <c r="E5474" s="115"/>
      <c r="F5474" s="115"/>
      <c r="G5474" s="115"/>
      <c r="H5474" s="115"/>
      <c r="I5474" s="115"/>
      <c r="J5474" s="115"/>
      <c r="K5474" s="115"/>
      <c r="L5474" s="115"/>
      <c r="M5474" s="115"/>
      <c r="N5474" s="115"/>
      <c r="O5474" s="115"/>
    </row>
    <row r="5475">
      <c r="E5475" s="115"/>
      <c r="F5475" s="115"/>
      <c r="G5475" s="115"/>
      <c r="H5475" s="115"/>
      <c r="I5475" s="115"/>
      <c r="J5475" s="115"/>
      <c r="K5475" s="115"/>
      <c r="L5475" s="115"/>
      <c r="M5475" s="115"/>
      <c r="N5475" s="115"/>
      <c r="O5475" s="115"/>
    </row>
    <row r="5476">
      <c r="E5476" s="115"/>
      <c r="F5476" s="115"/>
      <c r="G5476" s="115"/>
      <c r="H5476" s="115"/>
      <c r="I5476" s="115"/>
      <c r="J5476" s="115"/>
      <c r="K5476" s="115"/>
      <c r="L5476" s="115"/>
      <c r="M5476" s="115"/>
      <c r="N5476" s="115"/>
      <c r="O5476" s="115"/>
    </row>
    <row r="5477">
      <c r="E5477" s="115"/>
      <c r="F5477" s="115"/>
      <c r="G5477" s="115"/>
      <c r="H5477" s="115"/>
      <c r="I5477" s="115"/>
      <c r="J5477" s="115"/>
      <c r="K5477" s="115"/>
      <c r="L5477" s="115"/>
      <c r="M5477" s="115"/>
      <c r="N5477" s="115"/>
      <c r="O5477" s="115"/>
    </row>
    <row r="5478">
      <c r="E5478" s="115"/>
      <c r="F5478" s="115"/>
      <c r="G5478" s="115"/>
      <c r="H5478" s="115"/>
      <c r="I5478" s="115"/>
      <c r="J5478" s="115"/>
      <c r="K5478" s="115"/>
      <c r="L5478" s="115"/>
      <c r="M5478" s="115"/>
      <c r="N5478" s="115"/>
      <c r="O5478" s="115"/>
    </row>
    <row r="5479">
      <c r="E5479" s="115"/>
      <c r="F5479" s="115"/>
      <c r="G5479" s="115"/>
      <c r="H5479" s="115"/>
      <c r="I5479" s="115"/>
      <c r="J5479" s="115"/>
      <c r="K5479" s="115"/>
      <c r="L5479" s="115"/>
      <c r="M5479" s="115"/>
      <c r="N5479" s="115"/>
      <c r="O5479" s="115"/>
    </row>
    <row r="5480">
      <c r="E5480" s="115"/>
      <c r="F5480" s="115"/>
      <c r="G5480" s="115"/>
      <c r="H5480" s="115"/>
      <c r="I5480" s="115"/>
      <c r="J5480" s="115"/>
      <c r="K5480" s="115"/>
      <c r="L5480" s="115"/>
      <c r="M5480" s="115"/>
      <c r="N5480" s="115"/>
      <c r="O5480" s="115"/>
    </row>
    <row r="5481">
      <c r="E5481" s="115"/>
      <c r="F5481" s="115"/>
      <c r="G5481" s="115"/>
      <c r="H5481" s="115"/>
      <c r="I5481" s="115"/>
      <c r="J5481" s="115"/>
      <c r="K5481" s="115"/>
      <c r="L5481" s="115"/>
      <c r="M5481" s="115"/>
      <c r="N5481" s="115"/>
      <c r="O5481" s="115"/>
    </row>
    <row r="5482">
      <c r="E5482" s="115"/>
      <c r="F5482" s="115"/>
      <c r="G5482" s="115"/>
      <c r="H5482" s="115"/>
      <c r="I5482" s="115"/>
      <c r="J5482" s="115"/>
      <c r="K5482" s="115"/>
      <c r="L5482" s="115"/>
      <c r="M5482" s="115"/>
      <c r="N5482" s="115"/>
      <c r="O5482" s="115"/>
    </row>
    <row r="5483">
      <c r="E5483" s="115"/>
      <c r="F5483" s="115"/>
      <c r="G5483" s="115"/>
      <c r="H5483" s="115"/>
      <c r="I5483" s="115"/>
      <c r="J5483" s="115"/>
      <c r="K5483" s="115"/>
      <c r="L5483" s="115"/>
      <c r="M5483" s="115"/>
      <c r="N5483" s="115"/>
      <c r="O5483" s="115"/>
    </row>
    <row r="5484">
      <c r="E5484" s="115"/>
      <c r="F5484" s="115"/>
      <c r="G5484" s="115"/>
      <c r="H5484" s="115"/>
      <c r="I5484" s="115"/>
      <c r="J5484" s="115"/>
      <c r="K5484" s="115"/>
      <c r="L5484" s="115"/>
      <c r="M5484" s="115"/>
      <c r="N5484" s="115"/>
      <c r="O5484" s="115"/>
    </row>
    <row r="5485">
      <c r="E5485" s="115"/>
      <c r="F5485" s="115"/>
      <c r="G5485" s="115"/>
      <c r="H5485" s="115"/>
      <c r="I5485" s="115"/>
      <c r="J5485" s="115"/>
      <c r="K5485" s="115"/>
      <c r="L5485" s="115"/>
      <c r="M5485" s="115"/>
      <c r="N5485" s="115"/>
      <c r="O5485" s="115"/>
    </row>
    <row r="5486">
      <c r="E5486" s="115"/>
      <c r="F5486" s="115"/>
      <c r="G5486" s="115"/>
      <c r="H5486" s="115"/>
      <c r="I5486" s="115"/>
      <c r="J5486" s="115"/>
      <c r="K5486" s="115"/>
      <c r="L5486" s="115"/>
      <c r="M5486" s="115"/>
      <c r="N5486" s="115"/>
      <c r="O5486" s="115"/>
    </row>
    <row r="5487">
      <c r="E5487" s="115"/>
      <c r="F5487" s="115"/>
      <c r="G5487" s="115"/>
      <c r="H5487" s="115"/>
      <c r="I5487" s="115"/>
      <c r="J5487" s="115"/>
      <c r="K5487" s="115"/>
      <c r="L5487" s="115"/>
      <c r="M5487" s="115"/>
      <c r="N5487" s="115"/>
      <c r="O5487" s="115"/>
    </row>
    <row r="5488">
      <c r="E5488" s="115"/>
      <c r="F5488" s="115"/>
      <c r="G5488" s="115"/>
      <c r="H5488" s="115"/>
      <c r="I5488" s="115"/>
      <c r="J5488" s="115"/>
      <c r="K5488" s="115"/>
      <c r="L5488" s="115"/>
      <c r="M5488" s="115"/>
      <c r="N5488" s="115"/>
      <c r="O5488" s="115"/>
    </row>
    <row r="5489">
      <c r="E5489" s="115"/>
      <c r="F5489" s="115"/>
      <c r="G5489" s="115"/>
      <c r="H5489" s="115"/>
      <c r="I5489" s="115"/>
      <c r="J5489" s="115"/>
      <c r="K5489" s="115"/>
      <c r="L5489" s="115"/>
      <c r="M5489" s="115"/>
      <c r="N5489" s="115"/>
      <c r="O5489" s="115"/>
    </row>
    <row r="5490">
      <c r="E5490" s="115"/>
      <c r="F5490" s="115"/>
      <c r="G5490" s="115"/>
      <c r="H5490" s="115"/>
      <c r="I5490" s="115"/>
      <c r="J5490" s="115"/>
      <c r="K5490" s="115"/>
      <c r="L5490" s="115"/>
      <c r="M5490" s="115"/>
      <c r="N5490" s="115"/>
      <c r="O5490" s="115"/>
    </row>
    <row r="5491">
      <c r="E5491" s="115"/>
      <c r="F5491" s="115"/>
      <c r="G5491" s="115"/>
      <c r="H5491" s="115"/>
      <c r="I5491" s="115"/>
      <c r="J5491" s="115"/>
      <c r="K5491" s="115"/>
      <c r="L5491" s="115"/>
      <c r="M5491" s="115"/>
      <c r="N5491" s="115"/>
      <c r="O5491" s="115"/>
    </row>
    <row r="5492">
      <c r="E5492" s="115"/>
      <c r="F5492" s="115"/>
      <c r="G5492" s="115"/>
      <c r="H5492" s="115"/>
      <c r="I5492" s="115"/>
      <c r="J5492" s="115"/>
      <c r="K5492" s="115"/>
      <c r="L5492" s="115"/>
      <c r="M5492" s="115"/>
      <c r="N5492" s="115"/>
      <c r="O5492" s="115"/>
    </row>
    <row r="5493">
      <c r="E5493" s="115"/>
      <c r="F5493" s="115"/>
      <c r="G5493" s="115"/>
      <c r="H5493" s="115"/>
      <c r="I5493" s="115"/>
      <c r="J5493" s="115"/>
      <c r="K5493" s="115"/>
      <c r="L5493" s="115"/>
      <c r="M5493" s="115"/>
      <c r="N5493" s="115"/>
      <c r="O5493" s="115"/>
    </row>
    <row r="5494">
      <c r="E5494" s="115"/>
      <c r="F5494" s="115"/>
      <c r="G5494" s="115"/>
      <c r="H5494" s="115"/>
      <c r="I5494" s="115"/>
      <c r="J5494" s="115"/>
      <c r="K5494" s="115"/>
      <c r="L5494" s="115"/>
      <c r="M5494" s="115"/>
      <c r="N5494" s="115"/>
      <c r="O5494" s="115"/>
    </row>
    <row r="5495">
      <c r="E5495" s="115"/>
      <c r="F5495" s="115"/>
      <c r="G5495" s="115"/>
      <c r="H5495" s="115"/>
      <c r="I5495" s="115"/>
      <c r="J5495" s="115"/>
      <c r="K5495" s="115"/>
      <c r="L5495" s="115"/>
      <c r="M5495" s="115"/>
      <c r="N5495" s="115"/>
      <c r="O5495" s="115"/>
    </row>
    <row r="5496">
      <c r="E5496" s="115"/>
      <c r="F5496" s="115"/>
      <c r="G5496" s="115"/>
      <c r="H5496" s="115"/>
      <c r="I5496" s="115"/>
      <c r="J5496" s="115"/>
      <c r="K5496" s="115"/>
      <c r="L5496" s="115"/>
      <c r="M5496" s="115"/>
      <c r="N5496" s="115"/>
      <c r="O5496" s="115"/>
    </row>
    <row r="5497">
      <c r="E5497" s="115"/>
      <c r="F5497" s="115"/>
      <c r="G5497" s="115"/>
      <c r="H5497" s="115"/>
      <c r="I5497" s="115"/>
      <c r="J5497" s="115"/>
      <c r="K5497" s="115"/>
      <c r="L5497" s="115"/>
      <c r="M5497" s="115"/>
      <c r="N5497" s="115"/>
      <c r="O5497" s="115"/>
    </row>
    <row r="5498">
      <c r="E5498" s="115"/>
      <c r="F5498" s="115"/>
      <c r="G5498" s="115"/>
      <c r="H5498" s="115"/>
      <c r="I5498" s="115"/>
      <c r="J5498" s="115"/>
      <c r="K5498" s="115"/>
      <c r="L5498" s="115"/>
      <c r="M5498" s="115"/>
      <c r="N5498" s="115"/>
      <c r="O5498" s="115"/>
    </row>
    <row r="5499">
      <c r="E5499" s="115"/>
      <c r="F5499" s="115"/>
      <c r="G5499" s="115"/>
      <c r="H5499" s="115"/>
      <c r="I5499" s="115"/>
      <c r="J5499" s="115"/>
      <c r="K5499" s="115"/>
      <c r="L5499" s="115"/>
      <c r="M5499" s="115"/>
      <c r="N5499" s="115"/>
      <c r="O5499" s="115"/>
    </row>
    <row r="5500">
      <c r="E5500" s="115"/>
      <c r="F5500" s="115"/>
      <c r="G5500" s="115"/>
      <c r="H5500" s="115"/>
      <c r="I5500" s="115"/>
      <c r="J5500" s="115"/>
      <c r="K5500" s="115"/>
      <c r="L5500" s="115"/>
      <c r="M5500" s="115"/>
      <c r="N5500" s="115"/>
      <c r="O5500" s="115"/>
    </row>
    <row r="5501">
      <c r="E5501" s="115"/>
      <c r="F5501" s="115"/>
      <c r="G5501" s="115"/>
      <c r="H5501" s="115"/>
      <c r="I5501" s="115"/>
      <c r="J5501" s="115"/>
      <c r="K5501" s="115"/>
      <c r="L5501" s="115"/>
      <c r="M5501" s="115"/>
      <c r="N5501" s="115"/>
      <c r="O5501" s="115"/>
    </row>
    <row r="5502">
      <c r="E5502" s="115"/>
      <c r="F5502" s="115"/>
      <c r="G5502" s="115"/>
      <c r="H5502" s="115"/>
      <c r="I5502" s="115"/>
      <c r="J5502" s="115"/>
      <c r="K5502" s="115"/>
      <c r="L5502" s="115"/>
      <c r="M5502" s="115"/>
      <c r="N5502" s="115"/>
      <c r="O5502" s="115"/>
    </row>
    <row r="5503">
      <c r="E5503" s="115"/>
      <c r="F5503" s="115"/>
      <c r="G5503" s="115"/>
      <c r="H5503" s="115"/>
      <c r="I5503" s="115"/>
      <c r="J5503" s="115"/>
      <c r="K5503" s="115"/>
      <c r="L5503" s="115"/>
      <c r="M5503" s="115"/>
      <c r="N5503" s="115"/>
      <c r="O5503" s="115"/>
    </row>
    <row r="5504">
      <c r="E5504" s="115"/>
      <c r="F5504" s="115"/>
      <c r="G5504" s="115"/>
      <c r="H5504" s="115"/>
      <c r="I5504" s="115"/>
      <c r="J5504" s="115"/>
      <c r="K5504" s="115"/>
      <c r="L5504" s="115"/>
      <c r="M5504" s="115"/>
      <c r="N5504" s="115"/>
      <c r="O5504" s="115"/>
    </row>
    <row r="5505">
      <c r="E5505" s="115"/>
      <c r="F5505" s="115"/>
      <c r="G5505" s="115"/>
      <c r="H5505" s="115"/>
      <c r="I5505" s="115"/>
      <c r="J5505" s="115"/>
      <c r="K5505" s="115"/>
      <c r="L5505" s="115"/>
      <c r="M5505" s="115"/>
      <c r="N5505" s="115"/>
      <c r="O5505" s="115"/>
    </row>
    <row r="5506">
      <c r="E5506" s="115"/>
      <c r="F5506" s="115"/>
      <c r="G5506" s="115"/>
      <c r="H5506" s="115"/>
      <c r="I5506" s="115"/>
      <c r="J5506" s="115"/>
      <c r="K5506" s="115"/>
      <c r="L5506" s="115"/>
      <c r="M5506" s="115"/>
      <c r="N5506" s="115"/>
      <c r="O5506" s="115"/>
    </row>
    <row r="5507">
      <c r="E5507" s="115"/>
      <c r="F5507" s="115"/>
      <c r="G5507" s="115"/>
      <c r="H5507" s="115"/>
      <c r="I5507" s="115"/>
      <c r="J5507" s="115"/>
      <c r="K5507" s="115"/>
      <c r="L5507" s="115"/>
      <c r="M5507" s="115"/>
      <c r="N5507" s="115"/>
      <c r="O5507" s="115"/>
    </row>
    <row r="5508">
      <c r="E5508" s="115"/>
      <c r="F5508" s="115"/>
      <c r="G5508" s="115"/>
      <c r="H5508" s="115"/>
      <c r="I5508" s="115"/>
      <c r="J5508" s="115"/>
      <c r="K5508" s="115"/>
      <c r="L5508" s="115"/>
      <c r="M5508" s="115"/>
      <c r="N5508" s="115"/>
      <c r="O5508" s="115"/>
    </row>
    <row r="5509">
      <c r="E5509" s="115"/>
      <c r="F5509" s="115"/>
      <c r="G5509" s="115"/>
      <c r="H5509" s="115"/>
      <c r="I5509" s="115"/>
      <c r="J5509" s="115"/>
      <c r="K5509" s="115"/>
      <c r="L5509" s="115"/>
      <c r="M5509" s="115"/>
      <c r="N5509" s="115"/>
      <c r="O5509" s="115"/>
    </row>
    <row r="5510">
      <c r="E5510" s="115"/>
      <c r="F5510" s="115"/>
      <c r="G5510" s="115"/>
      <c r="H5510" s="115"/>
      <c r="I5510" s="115"/>
      <c r="J5510" s="115"/>
      <c r="K5510" s="115"/>
      <c r="L5510" s="115"/>
      <c r="M5510" s="115"/>
      <c r="N5510" s="115"/>
      <c r="O5510" s="115"/>
    </row>
    <row r="5511">
      <c r="E5511" s="115"/>
      <c r="F5511" s="115"/>
      <c r="G5511" s="115"/>
      <c r="H5511" s="115"/>
      <c r="I5511" s="115"/>
      <c r="J5511" s="115"/>
      <c r="K5511" s="115"/>
      <c r="L5511" s="115"/>
      <c r="M5511" s="115"/>
      <c r="N5511" s="115"/>
      <c r="O5511" s="115"/>
    </row>
    <row r="5512">
      <c r="E5512" s="115"/>
      <c r="F5512" s="115"/>
      <c r="G5512" s="115"/>
      <c r="H5512" s="115"/>
      <c r="I5512" s="115"/>
      <c r="J5512" s="115"/>
      <c r="K5512" s="115"/>
      <c r="L5512" s="115"/>
      <c r="M5512" s="115"/>
      <c r="N5512" s="115"/>
      <c r="O5512" s="115"/>
    </row>
    <row r="5513">
      <c r="E5513" s="115"/>
      <c r="F5513" s="115"/>
      <c r="G5513" s="115"/>
      <c r="H5513" s="115"/>
      <c r="I5513" s="115"/>
      <c r="J5513" s="115"/>
      <c r="K5513" s="115"/>
      <c r="L5513" s="115"/>
      <c r="M5513" s="115"/>
      <c r="N5513" s="115"/>
      <c r="O5513" s="115"/>
    </row>
    <row r="5514">
      <c r="E5514" s="115"/>
      <c r="F5514" s="115"/>
      <c r="G5514" s="115"/>
      <c r="H5514" s="115"/>
      <c r="I5514" s="115"/>
      <c r="J5514" s="115"/>
      <c r="K5514" s="115"/>
      <c r="L5514" s="115"/>
      <c r="M5514" s="115"/>
      <c r="N5514" s="115"/>
      <c r="O5514" s="115"/>
    </row>
    <row r="5515">
      <c r="E5515" s="115"/>
      <c r="F5515" s="115"/>
      <c r="G5515" s="115"/>
      <c r="H5515" s="115"/>
      <c r="I5515" s="115"/>
      <c r="J5515" s="115"/>
      <c r="K5515" s="115"/>
      <c r="L5515" s="115"/>
      <c r="M5515" s="115"/>
      <c r="N5515" s="115"/>
      <c r="O5515" s="115"/>
    </row>
    <row r="5516">
      <c r="E5516" s="115"/>
      <c r="F5516" s="115"/>
      <c r="G5516" s="115"/>
      <c r="H5516" s="115"/>
      <c r="I5516" s="115"/>
      <c r="J5516" s="115"/>
      <c r="K5516" s="115"/>
      <c r="L5516" s="115"/>
      <c r="M5516" s="115"/>
      <c r="N5516" s="115"/>
      <c r="O5516" s="115"/>
    </row>
    <row r="5517">
      <c r="E5517" s="115"/>
      <c r="F5517" s="115"/>
      <c r="G5517" s="115"/>
      <c r="H5517" s="115"/>
      <c r="I5517" s="115"/>
      <c r="J5517" s="115"/>
      <c r="K5517" s="115"/>
      <c r="L5517" s="115"/>
      <c r="M5517" s="115"/>
      <c r="N5517" s="115"/>
      <c r="O5517" s="115"/>
    </row>
    <row r="5518">
      <c r="E5518" s="115"/>
      <c r="F5518" s="115"/>
      <c r="G5518" s="115"/>
      <c r="H5518" s="115"/>
      <c r="I5518" s="115"/>
      <c r="J5518" s="115"/>
      <c r="K5518" s="115"/>
      <c r="L5518" s="115"/>
      <c r="M5518" s="115"/>
      <c r="N5518" s="115"/>
      <c r="O5518" s="115"/>
    </row>
    <row r="5519">
      <c r="E5519" s="115"/>
      <c r="F5519" s="115"/>
      <c r="G5519" s="115"/>
      <c r="H5519" s="115"/>
      <c r="I5519" s="115"/>
      <c r="J5519" s="115"/>
      <c r="K5519" s="115"/>
      <c r="L5519" s="115"/>
      <c r="M5519" s="115"/>
      <c r="N5519" s="115"/>
      <c r="O5519" s="115"/>
    </row>
    <row r="5520">
      <c r="E5520" s="115"/>
      <c r="F5520" s="115"/>
      <c r="G5520" s="115"/>
      <c r="H5520" s="115"/>
      <c r="I5520" s="115"/>
      <c r="J5520" s="115"/>
      <c r="K5520" s="115"/>
      <c r="L5520" s="115"/>
      <c r="M5520" s="115"/>
      <c r="N5520" s="115"/>
      <c r="O5520" s="115"/>
    </row>
    <row r="5521">
      <c r="E5521" s="115"/>
      <c r="F5521" s="115"/>
      <c r="G5521" s="115"/>
      <c r="H5521" s="115"/>
      <c r="I5521" s="115"/>
      <c r="J5521" s="115"/>
      <c r="K5521" s="115"/>
      <c r="L5521" s="115"/>
      <c r="M5521" s="115"/>
      <c r="N5521" s="115"/>
      <c r="O5521" s="115"/>
    </row>
    <row r="5522">
      <c r="E5522" s="115"/>
      <c r="F5522" s="115"/>
      <c r="G5522" s="115"/>
      <c r="H5522" s="115"/>
      <c r="I5522" s="115"/>
      <c r="J5522" s="115"/>
      <c r="K5522" s="115"/>
      <c r="L5522" s="115"/>
      <c r="M5522" s="115"/>
      <c r="N5522" s="115"/>
      <c r="O5522" s="115"/>
    </row>
    <row r="5523">
      <c r="E5523" s="115"/>
      <c r="F5523" s="115"/>
      <c r="G5523" s="115"/>
      <c r="H5523" s="115"/>
      <c r="I5523" s="115"/>
      <c r="J5523" s="115"/>
      <c r="K5523" s="115"/>
      <c r="L5523" s="115"/>
      <c r="M5523" s="115"/>
      <c r="N5523" s="115"/>
      <c r="O5523" s="115"/>
    </row>
    <row r="5524">
      <c r="E5524" s="115"/>
      <c r="F5524" s="115"/>
      <c r="G5524" s="115"/>
      <c r="H5524" s="115"/>
      <c r="I5524" s="115"/>
      <c r="J5524" s="115"/>
      <c r="K5524" s="115"/>
      <c r="L5524" s="115"/>
      <c r="M5524" s="115"/>
      <c r="N5524" s="115"/>
      <c r="O5524" s="115"/>
    </row>
    <row r="5525">
      <c r="E5525" s="115"/>
      <c r="F5525" s="115"/>
      <c r="G5525" s="115"/>
      <c r="H5525" s="115"/>
      <c r="I5525" s="115"/>
      <c r="J5525" s="115"/>
      <c r="K5525" s="115"/>
      <c r="L5525" s="115"/>
      <c r="M5525" s="115"/>
      <c r="N5525" s="115"/>
      <c r="O5525" s="115"/>
    </row>
    <row r="5526">
      <c r="E5526" s="115"/>
      <c r="F5526" s="115"/>
      <c r="G5526" s="115"/>
      <c r="H5526" s="115"/>
      <c r="I5526" s="115"/>
      <c r="J5526" s="115"/>
      <c r="K5526" s="115"/>
      <c r="L5526" s="115"/>
      <c r="M5526" s="115"/>
      <c r="N5526" s="115"/>
      <c r="O5526" s="115"/>
    </row>
    <row r="5527">
      <c r="E5527" s="115"/>
      <c r="F5527" s="115"/>
      <c r="G5527" s="115"/>
      <c r="H5527" s="115"/>
      <c r="I5527" s="115"/>
      <c r="J5527" s="115"/>
      <c r="K5527" s="115"/>
      <c r="L5527" s="115"/>
      <c r="M5527" s="115"/>
      <c r="N5527" s="115"/>
      <c r="O5527" s="115"/>
    </row>
    <row r="5528">
      <c r="E5528" s="115"/>
      <c r="F5528" s="115"/>
      <c r="G5528" s="115"/>
      <c r="H5528" s="115"/>
      <c r="I5528" s="115"/>
      <c r="J5528" s="115"/>
      <c r="K5528" s="115"/>
      <c r="L5528" s="115"/>
      <c r="M5528" s="115"/>
      <c r="N5528" s="115"/>
      <c r="O5528" s="115"/>
    </row>
    <row r="5529">
      <c r="E5529" s="115"/>
      <c r="F5529" s="115"/>
      <c r="G5529" s="115"/>
      <c r="H5529" s="115"/>
      <c r="I5529" s="115"/>
      <c r="J5529" s="115"/>
      <c r="K5529" s="115"/>
      <c r="L5529" s="115"/>
      <c r="M5529" s="115"/>
      <c r="N5529" s="115"/>
      <c r="O5529" s="115"/>
    </row>
    <row r="5530">
      <c r="E5530" s="115"/>
      <c r="F5530" s="115"/>
      <c r="G5530" s="115"/>
      <c r="H5530" s="115"/>
      <c r="I5530" s="115"/>
      <c r="J5530" s="115"/>
      <c r="K5530" s="115"/>
      <c r="L5530" s="115"/>
      <c r="M5530" s="115"/>
      <c r="N5530" s="115"/>
      <c r="O5530" s="115"/>
    </row>
    <row r="5531">
      <c r="E5531" s="115"/>
      <c r="F5531" s="115"/>
      <c r="G5531" s="115"/>
      <c r="H5531" s="115"/>
      <c r="I5531" s="115"/>
      <c r="J5531" s="115"/>
      <c r="K5531" s="115"/>
      <c r="L5531" s="115"/>
      <c r="M5531" s="115"/>
      <c r="N5531" s="115"/>
      <c r="O5531" s="115"/>
    </row>
    <row r="5532">
      <c r="E5532" s="115"/>
      <c r="F5532" s="115"/>
      <c r="G5532" s="115"/>
      <c r="H5532" s="115"/>
      <c r="I5532" s="115"/>
      <c r="J5532" s="115"/>
      <c r="K5532" s="115"/>
      <c r="L5532" s="115"/>
      <c r="M5532" s="115"/>
      <c r="N5532" s="115"/>
      <c r="O5532" s="115"/>
    </row>
    <row r="5533">
      <c r="E5533" s="115"/>
      <c r="F5533" s="115"/>
      <c r="G5533" s="115"/>
      <c r="H5533" s="115"/>
      <c r="I5533" s="115"/>
      <c r="J5533" s="115"/>
      <c r="K5533" s="115"/>
      <c r="L5533" s="115"/>
      <c r="M5533" s="115"/>
      <c r="N5533" s="115"/>
      <c r="O5533" s="115"/>
    </row>
    <row r="5534">
      <c r="E5534" s="115"/>
      <c r="F5534" s="115"/>
      <c r="G5534" s="115"/>
      <c r="H5534" s="115"/>
      <c r="I5534" s="115"/>
      <c r="J5534" s="115"/>
      <c r="K5534" s="115"/>
      <c r="L5534" s="115"/>
      <c r="M5534" s="115"/>
      <c r="N5534" s="115"/>
      <c r="O5534" s="115"/>
    </row>
    <row r="5535">
      <c r="E5535" s="115"/>
      <c r="F5535" s="115"/>
      <c r="G5535" s="115"/>
      <c r="H5535" s="115"/>
      <c r="I5535" s="115"/>
      <c r="J5535" s="115"/>
      <c r="K5535" s="115"/>
      <c r="L5535" s="115"/>
      <c r="M5535" s="115"/>
      <c r="N5535" s="115"/>
      <c r="O5535" s="115"/>
    </row>
    <row r="5536">
      <c r="E5536" s="115"/>
      <c r="F5536" s="115"/>
      <c r="G5536" s="115"/>
      <c r="H5536" s="115"/>
      <c r="I5536" s="115"/>
      <c r="J5536" s="115"/>
      <c r="K5536" s="115"/>
      <c r="L5536" s="115"/>
      <c r="M5536" s="115"/>
      <c r="N5536" s="115"/>
      <c r="O5536" s="115"/>
    </row>
    <row r="5537">
      <c r="E5537" s="115"/>
      <c r="F5537" s="115"/>
      <c r="G5537" s="115"/>
      <c r="H5537" s="115"/>
      <c r="I5537" s="115"/>
      <c r="J5537" s="115"/>
      <c r="K5537" s="115"/>
      <c r="L5537" s="115"/>
      <c r="M5537" s="115"/>
      <c r="N5537" s="115"/>
      <c r="O5537" s="115"/>
    </row>
    <row r="5538">
      <c r="E5538" s="115"/>
      <c r="F5538" s="115"/>
      <c r="G5538" s="115"/>
      <c r="H5538" s="115"/>
      <c r="I5538" s="115"/>
      <c r="J5538" s="115"/>
      <c r="K5538" s="115"/>
      <c r="L5538" s="115"/>
      <c r="M5538" s="115"/>
      <c r="N5538" s="115"/>
      <c r="O5538" s="115"/>
    </row>
    <row r="5539">
      <c r="E5539" s="115"/>
      <c r="F5539" s="115"/>
      <c r="G5539" s="115"/>
      <c r="H5539" s="115"/>
      <c r="I5539" s="115"/>
      <c r="J5539" s="115"/>
      <c r="K5539" s="115"/>
      <c r="L5539" s="115"/>
      <c r="M5539" s="115"/>
      <c r="N5539" s="115"/>
      <c r="O5539" s="115"/>
    </row>
    <row r="5540">
      <c r="E5540" s="115"/>
      <c r="F5540" s="115"/>
      <c r="G5540" s="115"/>
      <c r="H5540" s="115"/>
      <c r="I5540" s="115"/>
      <c r="J5540" s="115"/>
      <c r="K5540" s="115"/>
      <c r="L5540" s="115"/>
      <c r="M5540" s="115"/>
      <c r="N5540" s="115"/>
      <c r="O5540" s="115"/>
    </row>
    <row r="5541">
      <c r="E5541" s="115"/>
      <c r="F5541" s="115"/>
      <c r="G5541" s="115"/>
      <c r="H5541" s="115"/>
      <c r="I5541" s="115"/>
      <c r="J5541" s="115"/>
      <c r="K5541" s="115"/>
      <c r="L5541" s="115"/>
      <c r="M5541" s="115"/>
      <c r="N5541" s="115"/>
      <c r="O5541" s="115"/>
    </row>
    <row r="5542">
      <c r="E5542" s="115"/>
      <c r="F5542" s="115"/>
      <c r="G5542" s="115"/>
      <c r="H5542" s="115"/>
      <c r="I5542" s="115"/>
      <c r="J5542" s="115"/>
      <c r="K5542" s="115"/>
      <c r="L5542" s="115"/>
      <c r="M5542" s="115"/>
      <c r="N5542" s="115"/>
      <c r="O5542" s="115"/>
    </row>
    <row r="5543">
      <c r="E5543" s="115"/>
      <c r="F5543" s="115"/>
      <c r="G5543" s="115"/>
      <c r="H5543" s="115"/>
      <c r="I5543" s="115"/>
      <c r="J5543" s="115"/>
      <c r="K5543" s="115"/>
      <c r="L5543" s="115"/>
      <c r="M5543" s="115"/>
      <c r="N5543" s="115"/>
      <c r="O5543" s="115"/>
    </row>
    <row r="5544">
      <c r="E5544" s="115"/>
      <c r="F5544" s="115"/>
      <c r="G5544" s="115"/>
      <c r="H5544" s="115"/>
      <c r="I5544" s="115"/>
      <c r="J5544" s="115"/>
      <c r="K5544" s="115"/>
      <c r="L5544" s="115"/>
      <c r="M5544" s="115"/>
      <c r="N5544" s="115"/>
      <c r="O5544" s="115"/>
    </row>
    <row r="5545">
      <c r="E5545" s="115"/>
      <c r="F5545" s="115"/>
      <c r="G5545" s="115"/>
      <c r="H5545" s="115"/>
      <c r="I5545" s="115"/>
      <c r="J5545" s="115"/>
      <c r="K5545" s="115"/>
      <c r="L5545" s="115"/>
      <c r="M5545" s="115"/>
      <c r="N5545" s="115"/>
      <c r="O5545" s="115"/>
    </row>
    <row r="5546">
      <c r="E5546" s="115"/>
      <c r="F5546" s="115"/>
      <c r="G5546" s="115"/>
      <c r="H5546" s="115"/>
      <c r="I5546" s="115"/>
      <c r="J5546" s="115"/>
      <c r="K5546" s="115"/>
      <c r="L5546" s="115"/>
      <c r="M5546" s="115"/>
      <c r="N5546" s="115"/>
      <c r="O5546" s="115"/>
    </row>
    <row r="5547">
      <c r="E5547" s="115"/>
      <c r="F5547" s="115"/>
      <c r="G5547" s="115"/>
      <c r="H5547" s="115"/>
      <c r="I5547" s="115"/>
      <c r="J5547" s="115"/>
      <c r="K5547" s="115"/>
      <c r="L5547" s="115"/>
      <c r="M5547" s="115"/>
      <c r="N5547" s="115"/>
      <c r="O5547" s="115"/>
    </row>
    <row r="5548">
      <c r="E5548" s="115"/>
      <c r="F5548" s="115"/>
      <c r="G5548" s="115"/>
      <c r="H5548" s="115"/>
      <c r="I5548" s="115"/>
      <c r="J5548" s="115"/>
      <c r="K5548" s="115"/>
      <c r="L5548" s="115"/>
      <c r="M5548" s="115"/>
      <c r="N5548" s="115"/>
      <c r="O5548" s="115"/>
    </row>
    <row r="5549">
      <c r="E5549" s="115"/>
      <c r="F5549" s="115"/>
      <c r="G5549" s="115"/>
      <c r="H5549" s="115"/>
      <c r="I5549" s="115"/>
      <c r="J5549" s="115"/>
      <c r="K5549" s="115"/>
      <c r="L5549" s="115"/>
      <c r="M5549" s="115"/>
      <c r="N5549" s="115"/>
      <c r="O5549" s="115"/>
    </row>
    <row r="5550">
      <c r="E5550" s="115"/>
      <c r="F5550" s="115"/>
      <c r="G5550" s="115"/>
      <c r="H5550" s="115"/>
      <c r="I5550" s="115"/>
      <c r="J5550" s="115"/>
      <c r="K5550" s="115"/>
      <c r="L5550" s="115"/>
      <c r="M5550" s="115"/>
      <c r="N5550" s="115"/>
      <c r="O5550" s="115"/>
    </row>
    <row r="5551">
      <c r="E5551" s="115"/>
      <c r="F5551" s="115"/>
      <c r="G5551" s="115"/>
      <c r="H5551" s="115"/>
      <c r="I5551" s="115"/>
      <c r="J5551" s="115"/>
      <c r="K5551" s="115"/>
      <c r="L5551" s="115"/>
      <c r="M5551" s="115"/>
      <c r="N5551" s="115"/>
      <c r="O5551" s="115"/>
    </row>
    <row r="5552">
      <c r="E5552" s="115"/>
      <c r="F5552" s="115"/>
      <c r="G5552" s="115"/>
      <c r="H5552" s="115"/>
      <c r="I5552" s="115"/>
      <c r="J5552" s="115"/>
      <c r="K5552" s="115"/>
      <c r="L5552" s="115"/>
      <c r="M5552" s="115"/>
      <c r="N5552" s="115"/>
      <c r="O5552" s="115"/>
    </row>
    <row r="5553">
      <c r="E5553" s="115"/>
      <c r="F5553" s="115"/>
      <c r="G5553" s="115"/>
      <c r="H5553" s="115"/>
      <c r="I5553" s="115"/>
      <c r="J5553" s="115"/>
      <c r="K5553" s="115"/>
      <c r="L5553" s="115"/>
      <c r="M5553" s="115"/>
      <c r="N5553" s="115"/>
      <c r="O5553" s="115"/>
    </row>
    <row r="5554">
      <c r="E5554" s="115"/>
      <c r="F5554" s="115"/>
      <c r="G5554" s="115"/>
      <c r="H5554" s="115"/>
      <c r="I5554" s="115"/>
      <c r="J5554" s="115"/>
      <c r="K5554" s="115"/>
      <c r="L5554" s="115"/>
      <c r="M5554" s="115"/>
      <c r="N5554" s="115"/>
      <c r="O5554" s="115"/>
    </row>
    <row r="5555">
      <c r="E5555" s="115"/>
      <c r="F5555" s="115"/>
      <c r="G5555" s="115"/>
      <c r="H5555" s="115"/>
      <c r="I5555" s="115"/>
      <c r="J5555" s="115"/>
      <c r="K5555" s="115"/>
      <c r="L5555" s="115"/>
      <c r="M5555" s="115"/>
      <c r="N5555" s="115"/>
      <c r="O5555" s="115"/>
    </row>
    <row r="5556">
      <c r="E5556" s="115"/>
      <c r="F5556" s="115"/>
      <c r="G5556" s="115"/>
      <c r="H5556" s="115"/>
      <c r="I5556" s="115"/>
      <c r="J5556" s="115"/>
      <c r="K5556" s="115"/>
      <c r="L5556" s="115"/>
      <c r="M5556" s="115"/>
      <c r="N5556" s="115"/>
      <c r="O5556" s="115"/>
    </row>
    <row r="5557">
      <c r="E5557" s="115"/>
      <c r="F5557" s="115"/>
      <c r="G5557" s="115"/>
      <c r="H5557" s="115"/>
      <c r="I5557" s="115"/>
      <c r="J5557" s="115"/>
      <c r="K5557" s="115"/>
      <c r="L5557" s="115"/>
      <c r="M5557" s="115"/>
      <c r="N5557" s="115"/>
      <c r="O5557" s="115"/>
    </row>
    <row r="5558">
      <c r="E5558" s="115"/>
      <c r="F5558" s="115"/>
      <c r="G5558" s="115"/>
      <c r="H5558" s="115"/>
      <c r="I5558" s="115"/>
      <c r="J5558" s="115"/>
      <c r="K5558" s="115"/>
      <c r="L5558" s="115"/>
      <c r="M5558" s="115"/>
      <c r="N5558" s="115"/>
      <c r="O5558" s="115"/>
    </row>
    <row r="5559">
      <c r="E5559" s="115"/>
      <c r="F5559" s="115"/>
      <c r="G5559" s="115"/>
      <c r="H5559" s="115"/>
      <c r="I5559" s="115"/>
      <c r="J5559" s="115"/>
      <c r="K5559" s="115"/>
      <c r="L5559" s="115"/>
      <c r="M5559" s="115"/>
      <c r="N5559" s="115"/>
      <c r="O5559" s="115"/>
    </row>
    <row r="5560">
      <c r="E5560" s="115"/>
      <c r="F5560" s="115"/>
      <c r="G5560" s="115"/>
      <c r="H5560" s="115"/>
      <c r="I5560" s="115"/>
      <c r="J5560" s="115"/>
      <c r="K5560" s="115"/>
      <c r="L5560" s="115"/>
      <c r="M5560" s="115"/>
      <c r="N5560" s="115"/>
      <c r="O5560" s="115"/>
    </row>
    <row r="5561">
      <c r="E5561" s="115"/>
      <c r="F5561" s="115"/>
      <c r="G5561" s="115"/>
      <c r="H5561" s="115"/>
      <c r="I5561" s="115"/>
      <c r="J5561" s="115"/>
      <c r="K5561" s="115"/>
      <c r="L5561" s="115"/>
      <c r="M5561" s="115"/>
      <c r="N5561" s="115"/>
      <c r="O5561" s="115"/>
    </row>
    <row r="5562">
      <c r="E5562" s="115"/>
      <c r="F5562" s="115"/>
      <c r="G5562" s="115"/>
      <c r="H5562" s="115"/>
      <c r="I5562" s="115"/>
      <c r="J5562" s="115"/>
      <c r="K5562" s="115"/>
      <c r="L5562" s="115"/>
      <c r="M5562" s="115"/>
      <c r="N5562" s="115"/>
      <c r="O5562" s="115"/>
    </row>
    <row r="5563">
      <c r="E5563" s="115"/>
      <c r="F5563" s="115"/>
      <c r="G5563" s="115"/>
      <c r="H5563" s="115"/>
      <c r="I5563" s="115"/>
      <c r="J5563" s="115"/>
      <c r="K5563" s="115"/>
      <c r="L5563" s="115"/>
      <c r="M5563" s="115"/>
      <c r="N5563" s="115"/>
      <c r="O5563" s="115"/>
    </row>
    <row r="5564">
      <c r="E5564" s="115"/>
      <c r="F5564" s="115"/>
      <c r="G5564" s="115"/>
      <c r="H5564" s="115"/>
      <c r="I5564" s="115"/>
      <c r="J5564" s="115"/>
      <c r="K5564" s="115"/>
      <c r="L5564" s="115"/>
      <c r="M5564" s="115"/>
      <c r="N5564" s="115"/>
      <c r="O5564" s="115"/>
    </row>
    <row r="5565">
      <c r="E5565" s="115"/>
      <c r="F5565" s="115"/>
      <c r="G5565" s="115"/>
      <c r="H5565" s="115"/>
      <c r="I5565" s="115"/>
      <c r="J5565" s="115"/>
      <c r="K5565" s="115"/>
      <c r="L5565" s="115"/>
      <c r="M5565" s="115"/>
      <c r="N5565" s="115"/>
      <c r="O5565" s="115"/>
    </row>
    <row r="5566">
      <c r="E5566" s="115"/>
      <c r="F5566" s="115"/>
      <c r="G5566" s="115"/>
      <c r="H5566" s="115"/>
      <c r="I5566" s="115"/>
      <c r="J5566" s="115"/>
      <c r="K5566" s="115"/>
      <c r="L5566" s="115"/>
      <c r="M5566" s="115"/>
      <c r="N5566" s="115"/>
      <c r="O5566" s="115"/>
    </row>
    <row r="5567">
      <c r="E5567" s="115"/>
      <c r="F5567" s="115"/>
      <c r="G5567" s="115"/>
      <c r="H5567" s="115"/>
      <c r="I5567" s="115"/>
      <c r="J5567" s="115"/>
      <c r="K5567" s="115"/>
      <c r="L5567" s="115"/>
      <c r="M5567" s="115"/>
      <c r="N5567" s="115"/>
      <c r="O5567" s="115"/>
    </row>
    <row r="5568">
      <c r="E5568" s="115"/>
      <c r="F5568" s="115"/>
      <c r="G5568" s="115"/>
      <c r="H5568" s="115"/>
      <c r="I5568" s="115"/>
      <c r="J5568" s="115"/>
      <c r="K5568" s="115"/>
      <c r="L5568" s="115"/>
      <c r="M5568" s="115"/>
      <c r="N5568" s="115"/>
      <c r="O5568" s="115"/>
    </row>
    <row r="5569">
      <c r="E5569" s="115"/>
      <c r="F5569" s="115"/>
      <c r="G5569" s="115"/>
      <c r="H5569" s="115"/>
      <c r="I5569" s="115"/>
      <c r="J5569" s="115"/>
      <c r="K5569" s="115"/>
      <c r="L5569" s="115"/>
      <c r="M5569" s="115"/>
      <c r="N5569" s="115"/>
      <c r="O5569" s="115"/>
    </row>
    <row r="5570">
      <c r="E5570" s="115"/>
      <c r="F5570" s="115"/>
      <c r="G5570" s="115"/>
      <c r="H5570" s="115"/>
      <c r="I5570" s="115"/>
      <c r="J5570" s="115"/>
      <c r="K5570" s="115"/>
      <c r="L5570" s="115"/>
      <c r="M5570" s="115"/>
      <c r="N5570" s="115"/>
      <c r="O5570" s="115"/>
    </row>
    <row r="5571">
      <c r="E5571" s="115"/>
      <c r="F5571" s="115"/>
      <c r="G5571" s="115"/>
      <c r="H5571" s="115"/>
      <c r="I5571" s="115"/>
      <c r="J5571" s="115"/>
      <c r="K5571" s="115"/>
      <c r="L5571" s="115"/>
      <c r="M5571" s="115"/>
      <c r="N5571" s="115"/>
      <c r="O5571" s="115"/>
    </row>
    <row r="5572">
      <c r="E5572" s="115"/>
      <c r="F5572" s="115"/>
      <c r="G5572" s="115"/>
      <c r="H5572" s="115"/>
      <c r="I5572" s="115"/>
      <c r="J5572" s="115"/>
      <c r="K5572" s="115"/>
      <c r="L5572" s="115"/>
      <c r="M5572" s="115"/>
      <c r="N5572" s="115"/>
      <c r="O5572" s="115"/>
    </row>
    <row r="5573">
      <c r="E5573" s="115"/>
      <c r="F5573" s="115"/>
      <c r="G5573" s="115"/>
      <c r="H5573" s="115"/>
      <c r="I5573" s="115"/>
      <c r="J5573" s="115"/>
      <c r="K5573" s="115"/>
      <c r="L5573" s="115"/>
      <c r="M5573" s="115"/>
      <c r="N5573" s="115"/>
      <c r="O5573" s="115"/>
    </row>
    <row r="5574">
      <c r="E5574" s="115"/>
      <c r="F5574" s="115"/>
      <c r="G5574" s="115"/>
      <c r="H5574" s="115"/>
      <c r="I5574" s="115"/>
      <c r="J5574" s="115"/>
      <c r="K5574" s="115"/>
      <c r="L5574" s="115"/>
      <c r="M5574" s="115"/>
      <c r="N5574" s="115"/>
      <c r="O5574" s="115"/>
    </row>
    <row r="5575">
      <c r="E5575" s="115"/>
      <c r="F5575" s="115"/>
      <c r="G5575" s="115"/>
      <c r="H5575" s="115"/>
      <c r="I5575" s="115"/>
      <c r="J5575" s="115"/>
      <c r="K5575" s="115"/>
      <c r="L5575" s="115"/>
      <c r="M5575" s="115"/>
      <c r="N5575" s="115"/>
      <c r="O5575" s="115"/>
    </row>
    <row r="5576">
      <c r="E5576" s="115"/>
      <c r="F5576" s="115"/>
      <c r="G5576" s="115"/>
      <c r="H5576" s="115"/>
      <c r="I5576" s="115"/>
      <c r="J5576" s="115"/>
      <c r="K5576" s="115"/>
      <c r="L5576" s="115"/>
      <c r="M5576" s="115"/>
      <c r="N5576" s="115"/>
      <c r="O5576" s="115"/>
    </row>
    <row r="5577">
      <c r="E5577" s="115"/>
      <c r="F5577" s="115"/>
      <c r="G5577" s="115"/>
      <c r="H5577" s="115"/>
      <c r="I5577" s="115"/>
      <c r="J5577" s="115"/>
      <c r="K5577" s="115"/>
      <c r="L5577" s="115"/>
      <c r="M5577" s="115"/>
      <c r="N5577" s="115"/>
      <c r="O5577" s="115"/>
    </row>
    <row r="5578">
      <c r="E5578" s="115"/>
      <c r="F5578" s="115"/>
      <c r="G5578" s="115"/>
      <c r="H5578" s="115"/>
      <c r="I5578" s="115"/>
      <c r="J5578" s="115"/>
      <c r="K5578" s="115"/>
      <c r="L5578" s="115"/>
      <c r="M5578" s="115"/>
      <c r="N5578" s="115"/>
      <c r="O5578" s="115"/>
    </row>
    <row r="5579">
      <c r="E5579" s="115"/>
      <c r="F5579" s="115"/>
      <c r="G5579" s="115"/>
      <c r="H5579" s="115"/>
      <c r="I5579" s="115"/>
      <c r="J5579" s="115"/>
      <c r="K5579" s="115"/>
      <c r="L5579" s="115"/>
      <c r="M5579" s="115"/>
      <c r="N5579" s="115"/>
      <c r="O5579" s="115"/>
    </row>
    <row r="5580">
      <c r="E5580" s="115"/>
      <c r="F5580" s="115"/>
      <c r="G5580" s="115"/>
      <c r="H5580" s="115"/>
      <c r="I5580" s="115"/>
      <c r="J5580" s="115"/>
      <c r="K5580" s="115"/>
      <c r="L5580" s="115"/>
      <c r="M5580" s="115"/>
      <c r="N5580" s="115"/>
      <c r="O5580" s="115"/>
    </row>
    <row r="5581">
      <c r="E5581" s="115"/>
      <c r="F5581" s="115"/>
      <c r="G5581" s="115"/>
      <c r="H5581" s="115"/>
      <c r="I5581" s="115"/>
      <c r="J5581" s="115"/>
      <c r="K5581" s="115"/>
      <c r="L5581" s="115"/>
      <c r="M5581" s="115"/>
      <c r="N5581" s="115"/>
      <c r="O5581" s="115"/>
    </row>
    <row r="5582">
      <c r="E5582" s="115"/>
      <c r="F5582" s="115"/>
      <c r="G5582" s="115"/>
      <c r="H5582" s="115"/>
      <c r="I5582" s="115"/>
      <c r="J5582" s="115"/>
      <c r="K5582" s="115"/>
      <c r="L5582" s="115"/>
      <c r="M5582" s="115"/>
      <c r="N5582" s="115"/>
      <c r="O5582" s="115"/>
    </row>
    <row r="5583">
      <c r="E5583" s="115"/>
      <c r="F5583" s="115"/>
      <c r="G5583" s="115"/>
      <c r="H5583" s="115"/>
      <c r="I5583" s="115"/>
      <c r="J5583" s="115"/>
      <c r="K5583" s="115"/>
      <c r="L5583" s="115"/>
      <c r="M5583" s="115"/>
      <c r="N5583" s="115"/>
      <c r="O5583" s="115"/>
    </row>
    <row r="5584">
      <c r="E5584" s="115"/>
      <c r="F5584" s="115"/>
      <c r="G5584" s="115"/>
      <c r="H5584" s="115"/>
      <c r="I5584" s="115"/>
      <c r="J5584" s="115"/>
      <c r="K5584" s="115"/>
      <c r="L5584" s="115"/>
      <c r="M5584" s="115"/>
      <c r="N5584" s="115"/>
      <c r="O5584" s="115"/>
    </row>
    <row r="5585">
      <c r="E5585" s="115"/>
      <c r="F5585" s="115"/>
      <c r="G5585" s="115"/>
      <c r="H5585" s="115"/>
      <c r="I5585" s="115"/>
      <c r="J5585" s="115"/>
      <c r="K5585" s="115"/>
      <c r="L5585" s="115"/>
      <c r="M5585" s="115"/>
      <c r="N5585" s="115"/>
      <c r="O5585" s="115"/>
    </row>
    <row r="5586">
      <c r="E5586" s="115"/>
      <c r="F5586" s="115"/>
      <c r="G5586" s="115"/>
      <c r="H5586" s="115"/>
      <c r="I5586" s="115"/>
      <c r="J5586" s="115"/>
      <c r="K5586" s="115"/>
      <c r="L5586" s="115"/>
      <c r="M5586" s="115"/>
      <c r="N5586" s="115"/>
      <c r="O5586" s="115"/>
    </row>
    <row r="5587">
      <c r="E5587" s="115"/>
      <c r="F5587" s="115"/>
      <c r="G5587" s="115"/>
      <c r="H5587" s="115"/>
      <c r="I5587" s="115"/>
      <c r="J5587" s="115"/>
      <c r="K5587" s="115"/>
      <c r="L5587" s="115"/>
      <c r="M5587" s="115"/>
      <c r="N5587" s="115"/>
      <c r="O5587" s="115"/>
    </row>
    <row r="5588">
      <c r="E5588" s="115"/>
      <c r="F5588" s="115"/>
      <c r="G5588" s="115"/>
      <c r="H5588" s="115"/>
      <c r="I5588" s="115"/>
      <c r="J5588" s="115"/>
      <c r="K5588" s="115"/>
      <c r="L5588" s="115"/>
      <c r="M5588" s="115"/>
      <c r="N5588" s="115"/>
      <c r="O5588" s="115"/>
    </row>
    <row r="5589">
      <c r="E5589" s="115"/>
      <c r="F5589" s="115"/>
      <c r="G5589" s="115"/>
      <c r="H5589" s="115"/>
      <c r="I5589" s="115"/>
      <c r="J5589" s="115"/>
      <c r="K5589" s="115"/>
      <c r="L5589" s="115"/>
      <c r="M5589" s="115"/>
      <c r="N5589" s="115"/>
      <c r="O5589" s="115"/>
    </row>
    <row r="5590">
      <c r="E5590" s="115"/>
      <c r="F5590" s="115"/>
      <c r="G5590" s="115"/>
      <c r="H5590" s="115"/>
      <c r="I5590" s="115"/>
      <c r="J5590" s="115"/>
      <c r="K5590" s="115"/>
      <c r="L5590" s="115"/>
      <c r="M5590" s="115"/>
      <c r="N5590" s="115"/>
      <c r="O5590" s="115"/>
    </row>
    <row r="5591">
      <c r="E5591" s="115"/>
      <c r="F5591" s="115"/>
      <c r="G5591" s="115"/>
      <c r="H5591" s="115"/>
      <c r="I5591" s="115"/>
      <c r="J5591" s="115"/>
      <c r="K5591" s="115"/>
      <c r="L5591" s="115"/>
      <c r="M5591" s="115"/>
      <c r="N5591" s="115"/>
      <c r="O5591" s="115"/>
    </row>
    <row r="5592">
      <c r="E5592" s="115"/>
      <c r="F5592" s="115"/>
      <c r="G5592" s="115"/>
      <c r="H5592" s="115"/>
      <c r="I5592" s="115"/>
      <c r="J5592" s="115"/>
      <c r="K5592" s="115"/>
      <c r="L5592" s="115"/>
      <c r="M5592" s="115"/>
      <c r="N5592" s="115"/>
      <c r="O5592" s="115"/>
    </row>
    <row r="5593">
      <c r="E5593" s="115"/>
      <c r="F5593" s="115"/>
      <c r="G5593" s="115"/>
      <c r="H5593" s="115"/>
      <c r="I5593" s="115"/>
      <c r="J5593" s="115"/>
      <c r="K5593" s="115"/>
      <c r="L5593" s="115"/>
      <c r="M5593" s="115"/>
      <c r="N5593" s="115"/>
      <c r="O5593" s="115"/>
    </row>
    <row r="5594">
      <c r="E5594" s="115"/>
      <c r="F5594" s="115"/>
      <c r="G5594" s="115"/>
      <c r="H5594" s="115"/>
      <c r="I5594" s="115"/>
      <c r="J5594" s="115"/>
      <c r="K5594" s="115"/>
      <c r="L5594" s="115"/>
      <c r="M5594" s="115"/>
      <c r="N5594" s="115"/>
      <c r="O5594" s="115"/>
    </row>
    <row r="5595">
      <c r="E5595" s="115"/>
      <c r="F5595" s="115"/>
      <c r="G5595" s="115"/>
      <c r="H5595" s="115"/>
      <c r="I5595" s="115"/>
      <c r="J5595" s="115"/>
      <c r="K5595" s="115"/>
      <c r="L5595" s="115"/>
      <c r="M5595" s="115"/>
      <c r="N5595" s="115"/>
      <c r="O5595" s="115"/>
    </row>
    <row r="5596">
      <c r="E5596" s="115"/>
      <c r="F5596" s="115"/>
      <c r="G5596" s="115"/>
      <c r="H5596" s="115"/>
      <c r="I5596" s="115"/>
      <c r="J5596" s="115"/>
      <c r="K5596" s="115"/>
      <c r="L5596" s="115"/>
      <c r="M5596" s="115"/>
      <c r="N5596" s="115"/>
      <c r="O5596" s="115"/>
    </row>
    <row r="5597">
      <c r="E5597" s="115"/>
      <c r="F5597" s="115"/>
      <c r="G5597" s="115"/>
      <c r="H5597" s="115"/>
      <c r="I5597" s="115"/>
      <c r="J5597" s="115"/>
      <c r="K5597" s="115"/>
      <c r="L5597" s="115"/>
      <c r="M5597" s="115"/>
      <c r="N5597" s="115"/>
      <c r="O5597" s="115"/>
    </row>
    <row r="5598">
      <c r="E5598" s="115"/>
      <c r="F5598" s="115"/>
      <c r="G5598" s="115"/>
      <c r="H5598" s="115"/>
      <c r="I5598" s="115"/>
      <c r="J5598" s="115"/>
      <c r="K5598" s="115"/>
      <c r="L5598" s="115"/>
      <c r="M5598" s="115"/>
      <c r="N5598" s="115"/>
      <c r="O5598" s="115"/>
    </row>
    <row r="5599">
      <c r="E5599" s="115"/>
      <c r="F5599" s="115"/>
      <c r="G5599" s="115"/>
      <c r="H5599" s="115"/>
      <c r="I5599" s="115"/>
      <c r="J5599" s="115"/>
      <c r="K5599" s="115"/>
      <c r="L5599" s="115"/>
      <c r="M5599" s="115"/>
      <c r="N5599" s="115"/>
      <c r="O5599" s="115"/>
    </row>
    <row r="5600">
      <c r="E5600" s="115"/>
      <c r="F5600" s="115"/>
      <c r="G5600" s="115"/>
      <c r="H5600" s="115"/>
      <c r="I5600" s="115"/>
      <c r="J5600" s="115"/>
      <c r="K5600" s="115"/>
      <c r="L5600" s="115"/>
      <c r="M5600" s="115"/>
      <c r="N5600" s="115"/>
      <c r="O5600" s="115"/>
    </row>
    <row r="5601">
      <c r="E5601" s="115"/>
      <c r="F5601" s="115"/>
      <c r="G5601" s="115"/>
      <c r="H5601" s="115"/>
      <c r="I5601" s="115"/>
      <c r="J5601" s="115"/>
      <c r="K5601" s="115"/>
      <c r="L5601" s="115"/>
      <c r="M5601" s="115"/>
      <c r="N5601" s="115"/>
      <c r="O5601" s="115"/>
    </row>
    <row r="5602">
      <c r="E5602" s="115"/>
      <c r="F5602" s="115"/>
      <c r="G5602" s="115"/>
      <c r="H5602" s="115"/>
      <c r="I5602" s="115"/>
      <c r="J5602" s="115"/>
      <c r="K5602" s="115"/>
      <c r="L5602" s="115"/>
      <c r="M5602" s="115"/>
      <c r="N5602" s="115"/>
      <c r="O5602" s="115"/>
    </row>
    <row r="5603">
      <c r="E5603" s="115"/>
      <c r="F5603" s="115"/>
      <c r="G5603" s="115"/>
      <c r="H5603" s="115"/>
      <c r="I5603" s="115"/>
      <c r="J5603" s="115"/>
      <c r="K5603" s="115"/>
      <c r="L5603" s="115"/>
      <c r="M5603" s="115"/>
      <c r="N5603" s="115"/>
      <c r="O5603" s="115"/>
    </row>
    <row r="5604">
      <c r="E5604" s="115"/>
      <c r="F5604" s="115"/>
      <c r="G5604" s="115"/>
      <c r="H5604" s="115"/>
      <c r="I5604" s="115"/>
      <c r="J5604" s="115"/>
      <c r="K5604" s="115"/>
      <c r="L5604" s="115"/>
      <c r="M5604" s="115"/>
      <c r="N5604" s="115"/>
      <c r="O5604" s="115"/>
    </row>
    <row r="5605">
      <c r="E5605" s="115"/>
      <c r="F5605" s="115"/>
      <c r="G5605" s="115"/>
      <c r="H5605" s="115"/>
      <c r="I5605" s="115"/>
      <c r="J5605" s="115"/>
      <c r="K5605" s="115"/>
      <c r="L5605" s="115"/>
      <c r="M5605" s="115"/>
      <c r="N5605" s="115"/>
      <c r="O5605" s="115"/>
    </row>
    <row r="5606">
      <c r="E5606" s="115"/>
      <c r="F5606" s="115"/>
      <c r="G5606" s="115"/>
      <c r="H5606" s="115"/>
      <c r="I5606" s="115"/>
      <c r="J5606" s="115"/>
      <c r="K5606" s="115"/>
      <c r="L5606" s="115"/>
      <c r="M5606" s="115"/>
      <c r="N5606" s="115"/>
      <c r="O5606" s="115"/>
    </row>
    <row r="5607">
      <c r="E5607" s="115"/>
      <c r="F5607" s="115"/>
      <c r="G5607" s="115"/>
      <c r="H5607" s="115"/>
      <c r="I5607" s="115"/>
      <c r="J5607" s="115"/>
      <c r="K5607" s="115"/>
      <c r="L5607" s="115"/>
      <c r="M5607" s="115"/>
      <c r="N5607" s="115"/>
      <c r="O5607" s="115"/>
    </row>
    <row r="5608">
      <c r="E5608" s="115"/>
      <c r="F5608" s="115"/>
      <c r="G5608" s="115"/>
      <c r="H5608" s="115"/>
      <c r="I5608" s="115"/>
      <c r="J5608" s="115"/>
      <c r="K5608" s="115"/>
      <c r="L5608" s="115"/>
      <c r="M5608" s="115"/>
      <c r="N5608" s="115"/>
      <c r="O5608" s="115"/>
    </row>
    <row r="5609">
      <c r="E5609" s="115"/>
      <c r="F5609" s="115"/>
      <c r="G5609" s="115"/>
      <c r="H5609" s="115"/>
      <c r="I5609" s="115"/>
      <c r="J5609" s="115"/>
      <c r="K5609" s="115"/>
      <c r="L5609" s="115"/>
      <c r="M5609" s="115"/>
      <c r="N5609" s="115"/>
      <c r="O5609" s="115"/>
    </row>
    <row r="5610">
      <c r="E5610" s="115"/>
      <c r="F5610" s="115"/>
      <c r="G5610" s="115"/>
      <c r="H5610" s="115"/>
      <c r="I5610" s="115"/>
      <c r="J5610" s="115"/>
      <c r="K5610" s="115"/>
      <c r="L5610" s="115"/>
      <c r="M5610" s="115"/>
      <c r="N5610" s="115"/>
      <c r="O5610" s="115"/>
    </row>
    <row r="5611">
      <c r="E5611" s="115"/>
      <c r="F5611" s="115"/>
      <c r="G5611" s="115"/>
      <c r="H5611" s="115"/>
      <c r="I5611" s="115"/>
      <c r="J5611" s="115"/>
      <c r="K5611" s="115"/>
      <c r="L5611" s="115"/>
      <c r="M5611" s="115"/>
      <c r="N5611" s="115"/>
      <c r="O5611" s="115"/>
    </row>
    <row r="5612">
      <c r="E5612" s="115"/>
      <c r="F5612" s="115"/>
      <c r="G5612" s="115"/>
      <c r="H5612" s="115"/>
      <c r="I5612" s="115"/>
      <c r="J5612" s="115"/>
      <c r="K5612" s="115"/>
      <c r="L5612" s="115"/>
      <c r="M5612" s="115"/>
      <c r="N5612" s="115"/>
      <c r="O5612" s="115"/>
    </row>
    <row r="5613">
      <c r="E5613" s="115"/>
      <c r="F5613" s="115"/>
      <c r="G5613" s="115"/>
      <c r="H5613" s="115"/>
      <c r="I5613" s="115"/>
      <c r="J5613" s="115"/>
      <c r="K5613" s="115"/>
      <c r="L5613" s="115"/>
      <c r="M5613" s="115"/>
      <c r="N5613" s="115"/>
      <c r="O5613" s="115"/>
    </row>
    <row r="5614">
      <c r="E5614" s="115"/>
      <c r="F5614" s="115"/>
      <c r="G5614" s="115"/>
      <c r="H5614" s="115"/>
      <c r="I5614" s="115"/>
      <c r="J5614" s="115"/>
      <c r="K5614" s="115"/>
      <c r="L5614" s="115"/>
      <c r="M5614" s="115"/>
      <c r="N5614" s="115"/>
      <c r="O5614" s="115"/>
    </row>
    <row r="5615">
      <c r="E5615" s="115"/>
      <c r="F5615" s="115"/>
      <c r="G5615" s="115"/>
      <c r="H5615" s="115"/>
      <c r="I5615" s="115"/>
      <c r="J5615" s="115"/>
      <c r="K5615" s="115"/>
      <c r="L5615" s="115"/>
      <c r="M5615" s="115"/>
      <c r="N5615" s="115"/>
      <c r="O5615" s="115"/>
    </row>
    <row r="5616">
      <c r="E5616" s="115"/>
      <c r="F5616" s="115"/>
      <c r="G5616" s="115"/>
      <c r="H5616" s="115"/>
      <c r="I5616" s="115"/>
      <c r="J5616" s="115"/>
      <c r="K5616" s="115"/>
      <c r="L5616" s="115"/>
      <c r="M5616" s="115"/>
      <c r="N5616" s="115"/>
      <c r="O5616" s="115"/>
    </row>
    <row r="5617">
      <c r="E5617" s="115"/>
      <c r="F5617" s="115"/>
      <c r="G5617" s="115"/>
      <c r="H5617" s="115"/>
      <c r="I5617" s="115"/>
      <c r="J5617" s="115"/>
      <c r="K5617" s="115"/>
      <c r="L5617" s="115"/>
      <c r="M5617" s="115"/>
      <c r="N5617" s="115"/>
      <c r="O5617" s="115"/>
    </row>
    <row r="5618">
      <c r="E5618" s="115"/>
      <c r="F5618" s="115"/>
      <c r="G5618" s="115"/>
      <c r="H5618" s="115"/>
      <c r="I5618" s="115"/>
      <c r="J5618" s="115"/>
      <c r="K5618" s="115"/>
      <c r="L5618" s="115"/>
      <c r="M5618" s="115"/>
      <c r="N5618" s="115"/>
      <c r="O5618" s="115"/>
    </row>
    <row r="5619">
      <c r="E5619" s="115"/>
      <c r="F5619" s="115"/>
      <c r="G5619" s="115"/>
      <c r="H5619" s="115"/>
      <c r="I5619" s="115"/>
      <c r="J5619" s="115"/>
      <c r="K5619" s="115"/>
      <c r="L5619" s="115"/>
      <c r="M5619" s="115"/>
      <c r="N5619" s="115"/>
      <c r="O5619" s="115"/>
    </row>
    <row r="5620">
      <c r="E5620" s="115"/>
      <c r="F5620" s="115"/>
      <c r="G5620" s="115"/>
      <c r="H5620" s="115"/>
      <c r="I5620" s="115"/>
      <c r="J5620" s="115"/>
      <c r="K5620" s="115"/>
      <c r="L5620" s="115"/>
      <c r="M5620" s="115"/>
      <c r="N5620" s="115"/>
      <c r="O5620" s="115"/>
    </row>
    <row r="5621">
      <c r="E5621" s="115"/>
      <c r="F5621" s="115"/>
      <c r="G5621" s="115"/>
      <c r="H5621" s="115"/>
      <c r="I5621" s="115"/>
      <c r="J5621" s="115"/>
      <c r="K5621" s="115"/>
      <c r="L5621" s="115"/>
      <c r="M5621" s="115"/>
      <c r="N5621" s="115"/>
      <c r="O5621" s="115"/>
    </row>
    <row r="5622">
      <c r="E5622" s="115"/>
      <c r="F5622" s="115"/>
      <c r="G5622" s="115"/>
      <c r="H5622" s="115"/>
      <c r="I5622" s="115"/>
      <c r="J5622" s="115"/>
      <c r="K5622" s="115"/>
      <c r="L5622" s="115"/>
      <c r="M5622" s="115"/>
      <c r="N5622" s="115"/>
      <c r="O5622" s="115"/>
    </row>
    <row r="5623">
      <c r="E5623" s="115"/>
      <c r="F5623" s="115"/>
      <c r="G5623" s="115"/>
      <c r="H5623" s="115"/>
      <c r="I5623" s="115"/>
      <c r="J5623" s="115"/>
      <c r="K5623" s="115"/>
      <c r="L5623" s="115"/>
      <c r="M5623" s="115"/>
      <c r="N5623" s="115"/>
      <c r="O5623" s="115"/>
    </row>
    <row r="5624">
      <c r="E5624" s="115"/>
      <c r="F5624" s="115"/>
      <c r="G5624" s="115"/>
      <c r="H5624" s="115"/>
      <c r="I5624" s="115"/>
      <c r="J5624" s="115"/>
      <c r="K5624" s="115"/>
      <c r="L5624" s="115"/>
      <c r="M5624" s="115"/>
      <c r="N5624" s="115"/>
      <c r="O5624" s="115"/>
    </row>
    <row r="5625">
      <c r="E5625" s="115"/>
      <c r="F5625" s="115"/>
      <c r="G5625" s="115"/>
      <c r="H5625" s="115"/>
      <c r="I5625" s="115"/>
      <c r="J5625" s="115"/>
      <c r="K5625" s="115"/>
      <c r="L5625" s="115"/>
      <c r="M5625" s="115"/>
      <c r="N5625" s="115"/>
      <c r="O5625" s="115"/>
    </row>
    <row r="5626">
      <c r="E5626" s="115"/>
      <c r="F5626" s="115"/>
      <c r="G5626" s="115"/>
      <c r="H5626" s="115"/>
      <c r="I5626" s="115"/>
      <c r="J5626" s="115"/>
      <c r="K5626" s="115"/>
      <c r="L5626" s="115"/>
      <c r="M5626" s="115"/>
      <c r="N5626" s="115"/>
      <c r="O5626" s="115"/>
    </row>
    <row r="5627">
      <c r="E5627" s="115"/>
      <c r="F5627" s="115"/>
      <c r="G5627" s="115"/>
      <c r="H5627" s="115"/>
      <c r="I5627" s="115"/>
      <c r="J5627" s="115"/>
      <c r="K5627" s="115"/>
      <c r="L5627" s="115"/>
      <c r="M5627" s="115"/>
      <c r="N5627" s="115"/>
      <c r="O5627" s="115"/>
    </row>
    <row r="5628">
      <c r="E5628" s="115"/>
      <c r="F5628" s="115"/>
      <c r="G5628" s="115"/>
      <c r="H5628" s="115"/>
      <c r="I5628" s="115"/>
      <c r="J5628" s="115"/>
      <c r="K5628" s="115"/>
      <c r="L5628" s="115"/>
      <c r="M5628" s="115"/>
      <c r="N5628" s="115"/>
      <c r="O5628" s="115"/>
    </row>
    <row r="5629">
      <c r="E5629" s="115"/>
      <c r="F5629" s="115"/>
      <c r="G5629" s="115"/>
      <c r="H5629" s="115"/>
      <c r="I5629" s="115"/>
      <c r="J5629" s="115"/>
      <c r="K5629" s="115"/>
      <c r="L5629" s="115"/>
      <c r="M5629" s="115"/>
      <c r="N5629" s="115"/>
      <c r="O5629" s="115"/>
    </row>
    <row r="5630">
      <c r="E5630" s="115"/>
      <c r="F5630" s="115"/>
      <c r="G5630" s="115"/>
      <c r="H5630" s="115"/>
      <c r="I5630" s="115"/>
      <c r="J5630" s="115"/>
      <c r="K5630" s="115"/>
      <c r="L5630" s="115"/>
      <c r="M5630" s="115"/>
      <c r="N5630" s="115"/>
      <c r="O5630" s="115"/>
    </row>
    <row r="5631">
      <c r="E5631" s="115"/>
      <c r="F5631" s="115"/>
      <c r="G5631" s="115"/>
      <c r="H5631" s="115"/>
      <c r="I5631" s="115"/>
      <c r="J5631" s="115"/>
      <c r="K5631" s="115"/>
      <c r="L5631" s="115"/>
      <c r="M5631" s="115"/>
      <c r="N5631" s="115"/>
      <c r="O5631" s="115"/>
    </row>
    <row r="5632">
      <c r="E5632" s="115"/>
      <c r="F5632" s="115"/>
      <c r="G5632" s="115"/>
      <c r="H5632" s="115"/>
      <c r="I5632" s="115"/>
      <c r="J5632" s="115"/>
      <c r="K5632" s="115"/>
      <c r="L5632" s="115"/>
      <c r="M5632" s="115"/>
      <c r="N5632" s="115"/>
      <c r="O5632" s="115"/>
    </row>
    <row r="5633">
      <c r="E5633" s="115"/>
      <c r="F5633" s="115"/>
      <c r="G5633" s="115"/>
      <c r="H5633" s="115"/>
      <c r="I5633" s="115"/>
      <c r="J5633" s="115"/>
      <c r="K5633" s="115"/>
      <c r="L5633" s="115"/>
      <c r="M5633" s="115"/>
      <c r="N5633" s="115"/>
      <c r="O5633" s="115"/>
    </row>
    <row r="5634">
      <c r="E5634" s="115"/>
      <c r="F5634" s="115"/>
      <c r="G5634" s="115"/>
      <c r="H5634" s="115"/>
      <c r="I5634" s="115"/>
      <c r="J5634" s="115"/>
      <c r="K5634" s="115"/>
      <c r="L5634" s="115"/>
      <c r="M5634" s="115"/>
      <c r="N5634" s="115"/>
      <c r="O5634" s="115"/>
    </row>
    <row r="5635">
      <c r="E5635" s="115"/>
      <c r="F5635" s="115"/>
      <c r="G5635" s="115"/>
      <c r="H5635" s="115"/>
      <c r="I5635" s="115"/>
      <c r="J5635" s="115"/>
      <c r="K5635" s="115"/>
      <c r="L5635" s="115"/>
      <c r="M5635" s="115"/>
      <c r="N5635" s="115"/>
      <c r="O5635" s="115"/>
    </row>
    <row r="5636">
      <c r="E5636" s="115"/>
      <c r="F5636" s="115"/>
      <c r="G5636" s="115"/>
      <c r="H5636" s="115"/>
      <c r="I5636" s="115"/>
      <c r="J5636" s="115"/>
      <c r="K5636" s="115"/>
      <c r="L5636" s="115"/>
      <c r="M5636" s="115"/>
      <c r="N5636" s="115"/>
      <c r="O5636" s="115"/>
    </row>
    <row r="5637">
      <c r="E5637" s="115"/>
      <c r="F5637" s="115"/>
      <c r="G5637" s="115"/>
      <c r="H5637" s="115"/>
      <c r="I5637" s="115"/>
      <c r="J5637" s="115"/>
      <c r="K5637" s="115"/>
      <c r="L5637" s="115"/>
      <c r="M5637" s="115"/>
      <c r="N5637" s="115"/>
      <c r="O5637" s="115"/>
    </row>
    <row r="5638">
      <c r="E5638" s="115"/>
      <c r="F5638" s="115"/>
      <c r="G5638" s="115"/>
      <c r="H5638" s="115"/>
      <c r="I5638" s="115"/>
      <c r="J5638" s="115"/>
      <c r="K5638" s="115"/>
      <c r="L5638" s="115"/>
      <c r="M5638" s="115"/>
      <c r="N5638" s="115"/>
      <c r="O5638" s="115"/>
    </row>
    <row r="5639">
      <c r="E5639" s="115"/>
      <c r="F5639" s="115"/>
      <c r="G5639" s="115"/>
      <c r="H5639" s="115"/>
      <c r="I5639" s="115"/>
      <c r="J5639" s="115"/>
      <c r="K5639" s="115"/>
      <c r="L5639" s="115"/>
      <c r="M5639" s="115"/>
      <c r="N5639" s="115"/>
      <c r="O5639" s="115"/>
    </row>
    <row r="5640">
      <c r="E5640" s="115"/>
      <c r="F5640" s="115"/>
      <c r="G5640" s="115"/>
      <c r="H5640" s="115"/>
      <c r="I5640" s="115"/>
      <c r="J5640" s="115"/>
      <c r="K5640" s="115"/>
      <c r="L5640" s="115"/>
      <c r="M5640" s="115"/>
      <c r="N5640" s="115"/>
      <c r="O5640" s="115"/>
    </row>
    <row r="5641">
      <c r="E5641" s="115"/>
      <c r="F5641" s="115"/>
      <c r="G5641" s="115"/>
      <c r="H5641" s="115"/>
      <c r="I5641" s="115"/>
      <c r="J5641" s="115"/>
      <c r="K5641" s="115"/>
      <c r="L5641" s="115"/>
      <c r="M5641" s="115"/>
      <c r="N5641" s="115"/>
      <c r="O5641" s="115"/>
    </row>
    <row r="5642">
      <c r="E5642" s="115"/>
      <c r="F5642" s="115"/>
      <c r="G5642" s="115"/>
      <c r="H5642" s="115"/>
      <c r="I5642" s="115"/>
      <c r="J5642" s="115"/>
      <c r="K5642" s="115"/>
      <c r="L5642" s="115"/>
      <c r="M5642" s="115"/>
      <c r="N5642" s="115"/>
      <c r="O5642" s="115"/>
    </row>
    <row r="5643">
      <c r="E5643" s="115"/>
      <c r="F5643" s="115"/>
      <c r="G5643" s="115"/>
      <c r="H5643" s="115"/>
      <c r="I5643" s="115"/>
      <c r="J5643" s="115"/>
      <c r="K5643" s="115"/>
      <c r="L5643" s="115"/>
      <c r="M5643" s="115"/>
      <c r="N5643" s="115"/>
      <c r="O5643" s="115"/>
    </row>
    <row r="5644">
      <c r="E5644" s="115"/>
      <c r="F5644" s="115"/>
      <c r="G5644" s="115"/>
      <c r="H5644" s="115"/>
      <c r="I5644" s="115"/>
      <c r="J5644" s="115"/>
      <c r="K5644" s="115"/>
      <c r="L5644" s="115"/>
      <c r="M5644" s="115"/>
      <c r="N5644" s="115"/>
      <c r="O5644" s="115"/>
    </row>
    <row r="5645">
      <c r="E5645" s="115"/>
      <c r="F5645" s="115"/>
      <c r="G5645" s="115"/>
      <c r="H5645" s="115"/>
      <c r="I5645" s="115"/>
      <c r="J5645" s="115"/>
      <c r="K5645" s="115"/>
      <c r="L5645" s="115"/>
      <c r="M5645" s="115"/>
      <c r="N5645" s="115"/>
      <c r="O5645" s="115"/>
    </row>
    <row r="5646">
      <c r="E5646" s="115"/>
      <c r="F5646" s="115"/>
      <c r="G5646" s="115"/>
      <c r="H5646" s="115"/>
      <c r="I5646" s="115"/>
      <c r="J5646" s="115"/>
      <c r="K5646" s="115"/>
      <c r="L5646" s="115"/>
      <c r="M5646" s="115"/>
      <c r="N5646" s="115"/>
      <c r="O5646" s="115"/>
    </row>
    <row r="5647">
      <c r="E5647" s="115"/>
      <c r="F5647" s="115"/>
      <c r="G5647" s="115"/>
      <c r="H5647" s="115"/>
      <c r="I5647" s="115"/>
      <c r="J5647" s="115"/>
      <c r="K5647" s="115"/>
      <c r="L5647" s="115"/>
      <c r="M5647" s="115"/>
      <c r="N5647" s="115"/>
      <c r="O5647" s="115"/>
    </row>
    <row r="5648">
      <c r="E5648" s="115"/>
      <c r="F5648" s="115"/>
      <c r="G5648" s="115"/>
      <c r="H5648" s="115"/>
      <c r="I5648" s="115"/>
      <c r="J5648" s="115"/>
      <c r="K5648" s="115"/>
      <c r="L5648" s="115"/>
      <c r="M5648" s="115"/>
      <c r="N5648" s="115"/>
      <c r="O5648" s="115"/>
    </row>
    <row r="5649">
      <c r="E5649" s="115"/>
      <c r="F5649" s="115"/>
      <c r="G5649" s="115"/>
      <c r="H5649" s="115"/>
      <c r="I5649" s="115"/>
      <c r="J5649" s="115"/>
      <c r="K5649" s="115"/>
      <c r="L5649" s="115"/>
      <c r="M5649" s="115"/>
      <c r="N5649" s="115"/>
      <c r="O5649" s="115"/>
    </row>
    <row r="5650">
      <c r="E5650" s="115"/>
      <c r="F5650" s="115"/>
      <c r="G5650" s="115"/>
      <c r="H5650" s="115"/>
      <c r="I5650" s="115"/>
      <c r="J5650" s="115"/>
      <c r="K5650" s="115"/>
      <c r="L5650" s="115"/>
      <c r="M5650" s="115"/>
      <c r="N5650" s="115"/>
      <c r="O5650" s="115"/>
    </row>
    <row r="5651">
      <c r="E5651" s="115"/>
      <c r="F5651" s="115"/>
      <c r="G5651" s="115"/>
      <c r="H5651" s="115"/>
      <c r="I5651" s="115"/>
      <c r="J5651" s="115"/>
      <c r="K5651" s="115"/>
      <c r="L5651" s="115"/>
      <c r="M5651" s="115"/>
      <c r="N5651" s="115"/>
      <c r="O5651" s="115"/>
    </row>
    <row r="5652">
      <c r="E5652" s="115"/>
      <c r="F5652" s="115"/>
      <c r="G5652" s="115"/>
      <c r="H5652" s="115"/>
      <c r="I5652" s="115"/>
      <c r="J5652" s="115"/>
      <c r="K5652" s="115"/>
      <c r="L5652" s="115"/>
      <c r="M5652" s="115"/>
      <c r="N5652" s="115"/>
      <c r="O5652" s="115"/>
    </row>
    <row r="5653">
      <c r="E5653" s="115"/>
      <c r="F5653" s="115"/>
      <c r="G5653" s="115"/>
      <c r="H5653" s="115"/>
      <c r="I5653" s="115"/>
      <c r="J5653" s="115"/>
      <c r="K5653" s="115"/>
      <c r="L5653" s="115"/>
      <c r="M5653" s="115"/>
      <c r="N5653" s="115"/>
      <c r="O5653" s="115"/>
    </row>
    <row r="5654">
      <c r="E5654" s="115"/>
      <c r="F5654" s="115"/>
      <c r="G5654" s="115"/>
      <c r="H5654" s="115"/>
      <c r="I5654" s="115"/>
      <c r="J5654" s="115"/>
      <c r="K5654" s="115"/>
      <c r="L5654" s="115"/>
      <c r="M5654" s="115"/>
      <c r="N5654" s="115"/>
      <c r="O5654" s="115"/>
    </row>
    <row r="5655">
      <c r="E5655" s="115"/>
      <c r="F5655" s="115"/>
      <c r="G5655" s="115"/>
      <c r="H5655" s="115"/>
      <c r="I5655" s="115"/>
      <c r="J5655" s="115"/>
      <c r="K5655" s="115"/>
      <c r="L5655" s="115"/>
      <c r="M5655" s="115"/>
      <c r="N5655" s="115"/>
      <c r="O5655" s="115"/>
    </row>
    <row r="5656">
      <c r="E5656" s="115"/>
      <c r="F5656" s="115"/>
      <c r="G5656" s="115"/>
      <c r="H5656" s="115"/>
      <c r="I5656" s="115"/>
      <c r="J5656" s="115"/>
      <c r="K5656" s="115"/>
      <c r="L5656" s="115"/>
      <c r="M5656" s="115"/>
      <c r="N5656" s="115"/>
      <c r="O5656" s="115"/>
    </row>
    <row r="5657">
      <c r="E5657" s="115"/>
      <c r="F5657" s="115"/>
      <c r="G5657" s="115"/>
      <c r="H5657" s="115"/>
      <c r="I5657" s="115"/>
      <c r="J5657" s="115"/>
      <c r="K5657" s="115"/>
      <c r="L5657" s="115"/>
      <c r="M5657" s="115"/>
      <c r="N5657" s="115"/>
      <c r="O5657" s="115"/>
    </row>
    <row r="5658">
      <c r="E5658" s="115"/>
      <c r="F5658" s="115"/>
      <c r="G5658" s="115"/>
      <c r="H5658" s="115"/>
      <c r="I5658" s="115"/>
      <c r="J5658" s="115"/>
      <c r="K5658" s="115"/>
      <c r="L5658" s="115"/>
      <c r="M5658" s="115"/>
      <c r="N5658" s="115"/>
      <c r="O5658" s="115"/>
    </row>
    <row r="5659">
      <c r="E5659" s="115"/>
      <c r="F5659" s="115"/>
      <c r="G5659" s="115"/>
      <c r="H5659" s="115"/>
      <c r="I5659" s="115"/>
      <c r="J5659" s="115"/>
      <c r="K5659" s="115"/>
      <c r="L5659" s="115"/>
      <c r="M5659" s="115"/>
      <c r="N5659" s="115"/>
      <c r="O5659" s="115"/>
    </row>
    <row r="5660">
      <c r="E5660" s="115"/>
      <c r="F5660" s="115"/>
      <c r="G5660" s="115"/>
      <c r="H5660" s="115"/>
      <c r="I5660" s="115"/>
      <c r="J5660" s="115"/>
      <c r="K5660" s="115"/>
      <c r="L5660" s="115"/>
      <c r="M5660" s="115"/>
      <c r="N5660" s="115"/>
      <c r="O5660" s="115"/>
    </row>
    <row r="5661">
      <c r="E5661" s="115"/>
      <c r="F5661" s="115"/>
      <c r="G5661" s="115"/>
      <c r="H5661" s="115"/>
      <c r="I5661" s="115"/>
      <c r="J5661" s="115"/>
      <c r="K5661" s="115"/>
      <c r="L5661" s="115"/>
      <c r="M5661" s="115"/>
      <c r="N5661" s="115"/>
      <c r="O5661" s="115"/>
    </row>
    <row r="5662">
      <c r="E5662" s="115"/>
      <c r="F5662" s="115"/>
      <c r="G5662" s="115"/>
      <c r="H5662" s="115"/>
      <c r="I5662" s="115"/>
      <c r="J5662" s="115"/>
      <c r="K5662" s="115"/>
      <c r="L5662" s="115"/>
      <c r="M5662" s="115"/>
      <c r="N5662" s="115"/>
      <c r="O5662" s="115"/>
    </row>
    <row r="5663">
      <c r="E5663" s="115"/>
      <c r="F5663" s="115"/>
      <c r="G5663" s="115"/>
      <c r="H5663" s="115"/>
      <c r="I5663" s="115"/>
      <c r="J5663" s="115"/>
      <c r="K5663" s="115"/>
      <c r="L5663" s="115"/>
      <c r="M5663" s="115"/>
      <c r="N5663" s="115"/>
      <c r="O5663" s="115"/>
    </row>
    <row r="5664">
      <c r="E5664" s="115"/>
      <c r="F5664" s="115"/>
      <c r="G5664" s="115"/>
      <c r="H5664" s="115"/>
      <c r="I5664" s="115"/>
      <c r="J5664" s="115"/>
      <c r="K5664" s="115"/>
      <c r="L5664" s="115"/>
      <c r="M5664" s="115"/>
      <c r="N5664" s="115"/>
      <c r="O5664" s="115"/>
    </row>
    <row r="5665">
      <c r="E5665" s="115"/>
      <c r="F5665" s="115"/>
      <c r="G5665" s="115"/>
      <c r="H5665" s="115"/>
      <c r="I5665" s="115"/>
      <c r="J5665" s="115"/>
      <c r="K5665" s="115"/>
      <c r="L5665" s="115"/>
      <c r="M5665" s="115"/>
      <c r="N5665" s="115"/>
      <c r="O5665" s="115"/>
    </row>
    <row r="5666">
      <c r="E5666" s="115"/>
      <c r="F5666" s="115"/>
      <c r="G5666" s="115"/>
      <c r="H5666" s="115"/>
      <c r="I5666" s="115"/>
      <c r="J5666" s="115"/>
      <c r="K5666" s="115"/>
      <c r="L5666" s="115"/>
      <c r="M5666" s="115"/>
      <c r="N5666" s="115"/>
      <c r="O5666" s="115"/>
    </row>
    <row r="5667">
      <c r="E5667" s="115"/>
      <c r="F5667" s="115"/>
      <c r="G5667" s="115"/>
      <c r="H5667" s="115"/>
      <c r="I5667" s="115"/>
      <c r="J5667" s="115"/>
      <c r="K5667" s="115"/>
      <c r="L5667" s="115"/>
      <c r="M5667" s="115"/>
      <c r="N5667" s="115"/>
      <c r="O5667" s="115"/>
    </row>
    <row r="5668">
      <c r="E5668" s="115"/>
      <c r="F5668" s="115"/>
      <c r="G5668" s="115"/>
      <c r="H5668" s="115"/>
      <c r="I5668" s="115"/>
      <c r="J5668" s="115"/>
      <c r="K5668" s="115"/>
      <c r="L5668" s="115"/>
      <c r="M5668" s="115"/>
      <c r="N5668" s="115"/>
      <c r="O5668" s="115"/>
    </row>
    <row r="5669">
      <c r="E5669" s="115"/>
      <c r="F5669" s="115"/>
      <c r="G5669" s="115"/>
      <c r="H5669" s="115"/>
      <c r="I5669" s="115"/>
      <c r="J5669" s="115"/>
      <c r="K5669" s="115"/>
      <c r="L5669" s="115"/>
      <c r="M5669" s="115"/>
      <c r="N5669" s="115"/>
      <c r="O5669" s="115"/>
    </row>
    <row r="5670">
      <c r="E5670" s="115"/>
      <c r="F5670" s="115"/>
      <c r="G5670" s="115"/>
      <c r="H5670" s="115"/>
      <c r="I5670" s="115"/>
      <c r="J5670" s="115"/>
      <c r="K5670" s="115"/>
      <c r="L5670" s="115"/>
      <c r="M5670" s="115"/>
      <c r="N5670" s="115"/>
      <c r="O5670" s="115"/>
    </row>
    <row r="5671">
      <c r="E5671" s="115"/>
      <c r="F5671" s="115"/>
      <c r="G5671" s="115"/>
      <c r="H5671" s="115"/>
      <c r="I5671" s="115"/>
      <c r="J5671" s="115"/>
      <c r="K5671" s="115"/>
      <c r="L5671" s="115"/>
      <c r="M5671" s="115"/>
      <c r="N5671" s="115"/>
      <c r="O5671" s="115"/>
    </row>
    <row r="5672">
      <c r="E5672" s="115"/>
      <c r="F5672" s="115"/>
      <c r="G5672" s="115"/>
      <c r="H5672" s="115"/>
      <c r="I5672" s="115"/>
      <c r="J5672" s="115"/>
      <c r="K5672" s="115"/>
      <c r="L5672" s="115"/>
      <c r="M5672" s="115"/>
      <c r="N5672" s="115"/>
      <c r="O5672" s="115"/>
    </row>
    <row r="5673">
      <c r="E5673" s="115"/>
      <c r="F5673" s="115"/>
      <c r="G5673" s="115"/>
      <c r="H5673" s="115"/>
      <c r="I5673" s="115"/>
      <c r="J5673" s="115"/>
      <c r="K5673" s="115"/>
      <c r="L5673" s="115"/>
      <c r="M5673" s="115"/>
      <c r="N5673" s="115"/>
      <c r="O5673" s="115"/>
    </row>
    <row r="5674">
      <c r="E5674" s="115"/>
      <c r="F5674" s="115"/>
      <c r="G5674" s="115"/>
      <c r="H5674" s="115"/>
      <c r="I5674" s="115"/>
      <c r="J5674" s="115"/>
      <c r="K5674" s="115"/>
      <c r="L5674" s="115"/>
      <c r="M5674" s="115"/>
      <c r="N5674" s="115"/>
      <c r="O5674" s="115"/>
    </row>
    <row r="5675">
      <c r="E5675" s="115"/>
      <c r="F5675" s="115"/>
      <c r="G5675" s="115"/>
      <c r="H5675" s="115"/>
      <c r="I5675" s="115"/>
      <c r="J5675" s="115"/>
      <c r="K5675" s="115"/>
      <c r="L5675" s="115"/>
      <c r="M5675" s="115"/>
      <c r="N5675" s="115"/>
      <c r="O5675" s="115"/>
    </row>
    <row r="5676">
      <c r="E5676" s="115"/>
      <c r="F5676" s="115"/>
      <c r="G5676" s="115"/>
      <c r="H5676" s="115"/>
      <c r="I5676" s="115"/>
      <c r="J5676" s="115"/>
      <c r="K5676" s="115"/>
      <c r="L5676" s="115"/>
      <c r="M5676" s="115"/>
      <c r="N5676" s="115"/>
      <c r="O5676" s="115"/>
    </row>
    <row r="5677">
      <c r="E5677" s="115"/>
      <c r="F5677" s="115"/>
      <c r="G5677" s="115"/>
      <c r="H5677" s="115"/>
      <c r="I5677" s="115"/>
      <c r="J5677" s="115"/>
      <c r="K5677" s="115"/>
      <c r="L5677" s="115"/>
      <c r="M5677" s="115"/>
      <c r="N5677" s="115"/>
      <c r="O5677" s="115"/>
    </row>
    <row r="5678">
      <c r="E5678" s="115"/>
      <c r="F5678" s="115"/>
      <c r="G5678" s="115"/>
      <c r="H5678" s="115"/>
      <c r="I5678" s="115"/>
      <c r="J5678" s="115"/>
      <c r="K5678" s="115"/>
      <c r="L5678" s="115"/>
      <c r="M5678" s="115"/>
      <c r="N5678" s="115"/>
      <c r="O5678" s="115"/>
    </row>
    <row r="5679">
      <c r="E5679" s="115"/>
      <c r="F5679" s="115"/>
      <c r="G5679" s="115"/>
      <c r="H5679" s="115"/>
      <c r="I5679" s="115"/>
      <c r="J5679" s="115"/>
      <c r="K5679" s="115"/>
      <c r="L5679" s="115"/>
      <c r="M5679" s="115"/>
      <c r="N5679" s="115"/>
      <c r="O5679" s="115"/>
    </row>
    <row r="5680">
      <c r="E5680" s="115"/>
      <c r="F5680" s="115"/>
      <c r="G5680" s="115"/>
      <c r="H5680" s="115"/>
      <c r="I5680" s="115"/>
      <c r="J5680" s="115"/>
      <c r="K5680" s="115"/>
      <c r="L5680" s="115"/>
      <c r="M5680" s="115"/>
      <c r="N5680" s="115"/>
      <c r="O5680" s="115"/>
    </row>
    <row r="5681">
      <c r="E5681" s="115"/>
      <c r="F5681" s="115"/>
      <c r="G5681" s="115"/>
      <c r="H5681" s="115"/>
      <c r="I5681" s="115"/>
      <c r="J5681" s="115"/>
      <c r="K5681" s="115"/>
      <c r="L5681" s="115"/>
      <c r="M5681" s="115"/>
      <c r="N5681" s="115"/>
      <c r="O5681" s="115"/>
    </row>
    <row r="5682">
      <c r="E5682" s="115"/>
      <c r="F5682" s="115"/>
      <c r="G5682" s="115"/>
      <c r="H5682" s="115"/>
      <c r="I5682" s="115"/>
      <c r="J5682" s="115"/>
      <c r="K5682" s="115"/>
      <c r="L5682" s="115"/>
      <c r="M5682" s="115"/>
      <c r="N5682" s="115"/>
      <c r="O5682" s="115"/>
    </row>
    <row r="5683">
      <c r="E5683" s="115"/>
      <c r="F5683" s="115"/>
      <c r="G5683" s="115"/>
      <c r="H5683" s="115"/>
      <c r="I5683" s="115"/>
      <c r="J5683" s="115"/>
      <c r="K5683" s="115"/>
      <c r="L5683" s="115"/>
      <c r="M5683" s="115"/>
      <c r="N5683" s="115"/>
      <c r="O5683" s="115"/>
    </row>
    <row r="5684">
      <c r="E5684" s="115"/>
      <c r="F5684" s="115"/>
      <c r="G5684" s="115"/>
      <c r="H5684" s="115"/>
      <c r="I5684" s="115"/>
      <c r="J5684" s="115"/>
      <c r="K5684" s="115"/>
      <c r="L5684" s="115"/>
      <c r="M5684" s="115"/>
      <c r="N5684" s="115"/>
      <c r="O5684" s="115"/>
    </row>
    <row r="5685">
      <c r="E5685" s="115"/>
      <c r="F5685" s="115"/>
      <c r="G5685" s="115"/>
      <c r="H5685" s="115"/>
      <c r="I5685" s="115"/>
      <c r="J5685" s="115"/>
      <c r="K5685" s="115"/>
      <c r="L5685" s="115"/>
      <c r="M5685" s="115"/>
      <c r="N5685" s="115"/>
      <c r="O5685" s="115"/>
    </row>
    <row r="5686">
      <c r="E5686" s="115"/>
      <c r="F5686" s="115"/>
      <c r="G5686" s="115"/>
      <c r="H5686" s="115"/>
      <c r="I5686" s="115"/>
      <c r="J5686" s="115"/>
      <c r="K5686" s="115"/>
      <c r="L5686" s="115"/>
      <c r="M5686" s="115"/>
      <c r="N5686" s="115"/>
      <c r="O5686" s="115"/>
    </row>
    <row r="5687">
      <c r="E5687" s="115"/>
      <c r="F5687" s="115"/>
      <c r="G5687" s="115"/>
      <c r="H5687" s="115"/>
      <c r="I5687" s="115"/>
      <c r="J5687" s="115"/>
      <c r="K5687" s="115"/>
      <c r="L5687" s="115"/>
      <c r="M5687" s="115"/>
      <c r="N5687" s="115"/>
      <c r="O5687" s="115"/>
    </row>
    <row r="5688">
      <c r="E5688" s="115"/>
      <c r="F5688" s="115"/>
      <c r="G5688" s="115"/>
      <c r="H5688" s="115"/>
      <c r="I5688" s="115"/>
      <c r="J5688" s="115"/>
      <c r="K5688" s="115"/>
      <c r="L5688" s="115"/>
      <c r="M5688" s="115"/>
      <c r="N5688" s="115"/>
      <c r="O5688" s="115"/>
    </row>
    <row r="5689">
      <c r="E5689" s="115"/>
      <c r="F5689" s="115"/>
      <c r="G5689" s="115"/>
      <c r="H5689" s="115"/>
      <c r="I5689" s="115"/>
      <c r="J5689" s="115"/>
      <c r="K5689" s="115"/>
      <c r="L5689" s="115"/>
      <c r="M5689" s="115"/>
      <c r="N5689" s="115"/>
      <c r="O5689" s="115"/>
    </row>
    <row r="5690">
      <c r="E5690" s="115"/>
      <c r="F5690" s="115"/>
      <c r="G5690" s="115"/>
      <c r="H5690" s="115"/>
      <c r="I5690" s="115"/>
      <c r="J5690" s="115"/>
      <c r="K5690" s="115"/>
      <c r="L5690" s="115"/>
      <c r="M5690" s="115"/>
      <c r="N5690" s="115"/>
      <c r="O5690" s="115"/>
    </row>
    <row r="5691">
      <c r="E5691" s="115"/>
      <c r="F5691" s="115"/>
      <c r="G5691" s="115"/>
      <c r="H5691" s="115"/>
      <c r="I5691" s="115"/>
      <c r="J5691" s="115"/>
      <c r="K5691" s="115"/>
      <c r="L5691" s="115"/>
      <c r="M5691" s="115"/>
      <c r="N5691" s="115"/>
      <c r="O5691" s="115"/>
    </row>
    <row r="5692">
      <c r="E5692" s="115"/>
      <c r="F5692" s="115"/>
      <c r="G5692" s="115"/>
      <c r="H5692" s="115"/>
      <c r="I5692" s="115"/>
      <c r="J5692" s="115"/>
      <c r="K5692" s="115"/>
      <c r="L5692" s="115"/>
      <c r="M5692" s="115"/>
      <c r="N5692" s="115"/>
      <c r="O5692" s="115"/>
    </row>
    <row r="5693">
      <c r="E5693" s="115"/>
      <c r="F5693" s="115"/>
      <c r="G5693" s="115"/>
      <c r="H5693" s="115"/>
      <c r="I5693" s="115"/>
      <c r="J5693" s="115"/>
      <c r="K5693" s="115"/>
      <c r="L5693" s="115"/>
      <c r="M5693" s="115"/>
      <c r="N5693" s="115"/>
      <c r="O5693" s="115"/>
    </row>
    <row r="5694">
      <c r="E5694" s="115"/>
      <c r="F5694" s="115"/>
      <c r="G5694" s="115"/>
      <c r="H5694" s="115"/>
      <c r="I5694" s="115"/>
      <c r="J5694" s="115"/>
      <c r="K5694" s="115"/>
      <c r="L5694" s="115"/>
      <c r="M5694" s="115"/>
      <c r="N5694" s="115"/>
      <c r="O5694" s="115"/>
    </row>
    <row r="5695">
      <c r="E5695" s="115"/>
      <c r="F5695" s="115"/>
      <c r="G5695" s="115"/>
      <c r="H5695" s="115"/>
      <c r="I5695" s="115"/>
      <c r="J5695" s="115"/>
      <c r="K5695" s="115"/>
      <c r="L5695" s="115"/>
      <c r="M5695" s="115"/>
      <c r="N5695" s="115"/>
      <c r="O5695" s="115"/>
    </row>
    <row r="5696">
      <c r="E5696" s="115"/>
      <c r="F5696" s="115"/>
      <c r="G5696" s="115"/>
      <c r="H5696" s="115"/>
      <c r="I5696" s="115"/>
      <c r="J5696" s="115"/>
      <c r="K5696" s="115"/>
      <c r="L5696" s="115"/>
      <c r="M5696" s="115"/>
      <c r="N5696" s="115"/>
      <c r="O5696" s="115"/>
    </row>
    <row r="5697">
      <c r="E5697" s="115"/>
      <c r="F5697" s="115"/>
      <c r="G5697" s="115"/>
      <c r="H5697" s="115"/>
      <c r="I5697" s="115"/>
      <c r="J5697" s="115"/>
      <c r="K5697" s="115"/>
      <c r="L5697" s="115"/>
      <c r="M5697" s="115"/>
      <c r="N5697" s="115"/>
      <c r="O5697" s="115"/>
    </row>
    <row r="5698">
      <c r="E5698" s="115"/>
      <c r="F5698" s="115"/>
      <c r="G5698" s="115"/>
      <c r="H5698" s="115"/>
      <c r="I5698" s="115"/>
      <c r="J5698" s="115"/>
      <c r="K5698" s="115"/>
      <c r="L5698" s="115"/>
      <c r="M5698" s="115"/>
      <c r="N5698" s="115"/>
      <c r="O5698" s="115"/>
    </row>
    <row r="5699">
      <c r="E5699" s="115"/>
      <c r="F5699" s="115"/>
      <c r="G5699" s="115"/>
      <c r="H5699" s="115"/>
      <c r="I5699" s="115"/>
      <c r="J5699" s="115"/>
      <c r="K5699" s="115"/>
      <c r="L5699" s="115"/>
      <c r="M5699" s="115"/>
      <c r="N5699" s="115"/>
      <c r="O5699" s="115"/>
    </row>
    <row r="5700">
      <c r="E5700" s="115"/>
      <c r="F5700" s="115"/>
      <c r="G5700" s="115"/>
      <c r="H5700" s="115"/>
      <c r="I5700" s="115"/>
      <c r="J5700" s="115"/>
      <c r="K5700" s="115"/>
      <c r="L5700" s="115"/>
      <c r="M5700" s="115"/>
      <c r="N5700" s="115"/>
      <c r="O5700" s="115"/>
    </row>
    <row r="5701">
      <c r="E5701" s="115"/>
      <c r="F5701" s="115"/>
      <c r="G5701" s="115"/>
      <c r="H5701" s="115"/>
      <c r="I5701" s="115"/>
      <c r="J5701" s="115"/>
      <c r="K5701" s="115"/>
      <c r="L5701" s="115"/>
      <c r="M5701" s="115"/>
      <c r="N5701" s="115"/>
      <c r="O5701" s="115"/>
    </row>
    <row r="5702">
      <c r="E5702" s="115"/>
      <c r="F5702" s="115"/>
      <c r="G5702" s="115"/>
      <c r="H5702" s="115"/>
      <c r="I5702" s="115"/>
      <c r="J5702" s="115"/>
      <c r="K5702" s="115"/>
      <c r="L5702" s="115"/>
      <c r="M5702" s="115"/>
      <c r="N5702" s="115"/>
      <c r="O5702" s="115"/>
    </row>
    <row r="5703">
      <c r="E5703" s="115"/>
      <c r="F5703" s="115"/>
      <c r="G5703" s="115"/>
      <c r="H5703" s="115"/>
      <c r="I5703" s="115"/>
      <c r="J5703" s="115"/>
      <c r="K5703" s="115"/>
      <c r="L5703" s="115"/>
      <c r="M5703" s="115"/>
      <c r="N5703" s="115"/>
      <c r="O5703" s="115"/>
    </row>
    <row r="5704">
      <c r="E5704" s="115"/>
      <c r="F5704" s="115"/>
      <c r="G5704" s="115"/>
      <c r="H5704" s="115"/>
      <c r="I5704" s="115"/>
      <c r="J5704" s="115"/>
      <c r="K5704" s="115"/>
      <c r="L5704" s="115"/>
      <c r="M5704" s="115"/>
      <c r="N5704" s="115"/>
      <c r="O5704" s="115"/>
    </row>
    <row r="5705">
      <c r="E5705" s="115"/>
      <c r="F5705" s="115"/>
      <c r="G5705" s="115"/>
      <c r="H5705" s="115"/>
      <c r="I5705" s="115"/>
      <c r="J5705" s="115"/>
      <c r="K5705" s="115"/>
      <c r="L5705" s="115"/>
      <c r="M5705" s="115"/>
      <c r="N5705" s="115"/>
      <c r="O5705" s="115"/>
    </row>
    <row r="5706">
      <c r="E5706" s="115"/>
      <c r="F5706" s="115"/>
      <c r="G5706" s="115"/>
      <c r="H5706" s="115"/>
      <c r="I5706" s="115"/>
      <c r="J5706" s="115"/>
      <c r="K5706" s="115"/>
      <c r="L5706" s="115"/>
      <c r="M5706" s="115"/>
      <c r="N5706" s="115"/>
      <c r="O5706" s="115"/>
    </row>
    <row r="5707">
      <c r="E5707" s="115"/>
      <c r="F5707" s="115"/>
      <c r="G5707" s="115"/>
      <c r="H5707" s="115"/>
      <c r="I5707" s="115"/>
      <c r="J5707" s="115"/>
      <c r="K5707" s="115"/>
      <c r="L5707" s="115"/>
      <c r="M5707" s="115"/>
      <c r="N5707" s="115"/>
      <c r="O5707" s="115"/>
    </row>
    <row r="5708">
      <c r="E5708" s="115"/>
      <c r="F5708" s="115"/>
      <c r="G5708" s="115"/>
      <c r="H5708" s="115"/>
      <c r="I5708" s="115"/>
      <c r="J5708" s="115"/>
      <c r="K5708" s="115"/>
      <c r="L5708" s="115"/>
      <c r="M5708" s="115"/>
      <c r="N5708" s="115"/>
      <c r="O5708" s="115"/>
    </row>
    <row r="5709">
      <c r="E5709" s="115"/>
      <c r="F5709" s="115"/>
      <c r="G5709" s="115"/>
      <c r="H5709" s="115"/>
      <c r="I5709" s="115"/>
      <c r="J5709" s="115"/>
      <c r="K5709" s="115"/>
      <c r="L5709" s="115"/>
      <c r="M5709" s="115"/>
      <c r="N5709" s="115"/>
      <c r="O5709" s="115"/>
    </row>
    <row r="5710">
      <c r="E5710" s="115"/>
      <c r="F5710" s="115"/>
      <c r="G5710" s="115"/>
      <c r="H5710" s="115"/>
      <c r="I5710" s="115"/>
      <c r="J5710" s="115"/>
      <c r="K5710" s="115"/>
      <c r="L5710" s="115"/>
      <c r="M5710" s="115"/>
      <c r="N5710" s="115"/>
      <c r="O5710" s="115"/>
    </row>
    <row r="5711">
      <c r="E5711" s="115"/>
      <c r="F5711" s="115"/>
      <c r="G5711" s="115"/>
      <c r="H5711" s="115"/>
      <c r="I5711" s="115"/>
      <c r="J5711" s="115"/>
      <c r="K5711" s="115"/>
      <c r="L5711" s="115"/>
      <c r="M5711" s="115"/>
      <c r="N5711" s="115"/>
      <c r="O5711" s="115"/>
    </row>
    <row r="5712">
      <c r="E5712" s="115"/>
      <c r="F5712" s="115"/>
      <c r="G5712" s="115"/>
      <c r="H5712" s="115"/>
      <c r="I5712" s="115"/>
      <c r="J5712" s="115"/>
      <c r="K5712" s="115"/>
      <c r="L5712" s="115"/>
      <c r="M5712" s="115"/>
      <c r="N5712" s="115"/>
      <c r="O5712" s="115"/>
    </row>
    <row r="5713">
      <c r="E5713" s="115"/>
      <c r="F5713" s="115"/>
      <c r="G5713" s="115"/>
      <c r="H5713" s="115"/>
      <c r="I5713" s="115"/>
      <c r="J5713" s="115"/>
      <c r="K5713" s="115"/>
      <c r="L5713" s="115"/>
      <c r="M5713" s="115"/>
      <c r="N5713" s="115"/>
      <c r="O5713" s="115"/>
    </row>
    <row r="5714">
      <c r="E5714" s="115"/>
      <c r="F5714" s="115"/>
      <c r="G5714" s="115"/>
      <c r="H5714" s="115"/>
      <c r="I5714" s="115"/>
      <c r="J5714" s="115"/>
      <c r="K5714" s="115"/>
      <c r="L5714" s="115"/>
      <c r="M5714" s="115"/>
      <c r="N5714" s="115"/>
      <c r="O5714" s="115"/>
    </row>
    <row r="5715">
      <c r="E5715" s="115"/>
      <c r="F5715" s="115"/>
      <c r="G5715" s="115"/>
      <c r="H5715" s="115"/>
      <c r="I5715" s="115"/>
      <c r="J5715" s="115"/>
      <c r="K5715" s="115"/>
      <c r="L5715" s="115"/>
      <c r="M5715" s="115"/>
      <c r="N5715" s="115"/>
      <c r="O5715" s="115"/>
    </row>
    <row r="5716">
      <c r="E5716" s="115"/>
      <c r="F5716" s="115"/>
      <c r="G5716" s="115"/>
      <c r="H5716" s="115"/>
      <c r="I5716" s="115"/>
      <c r="J5716" s="115"/>
      <c r="K5716" s="115"/>
      <c r="L5716" s="115"/>
      <c r="M5716" s="115"/>
      <c r="N5716" s="115"/>
      <c r="O5716" s="115"/>
    </row>
    <row r="5717">
      <c r="E5717" s="115"/>
      <c r="F5717" s="115"/>
      <c r="G5717" s="115"/>
      <c r="H5717" s="115"/>
      <c r="I5717" s="115"/>
      <c r="J5717" s="115"/>
      <c r="K5717" s="115"/>
      <c r="L5717" s="115"/>
      <c r="M5717" s="115"/>
      <c r="N5717" s="115"/>
      <c r="O5717" s="115"/>
    </row>
    <row r="5718">
      <c r="E5718" s="115"/>
      <c r="F5718" s="115"/>
      <c r="G5718" s="115"/>
      <c r="H5718" s="115"/>
      <c r="I5718" s="115"/>
      <c r="J5718" s="115"/>
      <c r="K5718" s="115"/>
      <c r="L5718" s="115"/>
      <c r="M5718" s="115"/>
      <c r="N5718" s="115"/>
      <c r="O5718" s="115"/>
    </row>
    <row r="5719">
      <c r="E5719" s="115"/>
      <c r="F5719" s="115"/>
      <c r="G5719" s="115"/>
      <c r="H5719" s="115"/>
      <c r="I5719" s="115"/>
      <c r="J5719" s="115"/>
      <c r="K5719" s="115"/>
      <c r="L5719" s="115"/>
      <c r="M5719" s="115"/>
      <c r="N5719" s="115"/>
      <c r="O5719" s="115"/>
    </row>
    <row r="5720">
      <c r="E5720" s="115"/>
      <c r="F5720" s="115"/>
      <c r="G5720" s="115"/>
      <c r="H5720" s="115"/>
      <c r="I5720" s="115"/>
      <c r="J5720" s="115"/>
      <c r="K5720" s="115"/>
      <c r="L5720" s="115"/>
      <c r="M5720" s="115"/>
      <c r="N5720" s="115"/>
      <c r="O5720" s="115"/>
    </row>
    <row r="5721">
      <c r="E5721" s="115"/>
      <c r="F5721" s="115"/>
      <c r="G5721" s="115"/>
      <c r="H5721" s="115"/>
      <c r="I5721" s="115"/>
      <c r="J5721" s="115"/>
      <c r="K5721" s="115"/>
      <c r="L5721" s="115"/>
      <c r="M5721" s="115"/>
      <c r="N5721" s="115"/>
      <c r="O5721" s="115"/>
    </row>
    <row r="5722">
      <c r="E5722" s="115"/>
      <c r="F5722" s="115"/>
      <c r="G5722" s="115"/>
      <c r="H5722" s="115"/>
      <c r="I5722" s="115"/>
      <c r="J5722" s="115"/>
      <c r="K5722" s="115"/>
      <c r="L5722" s="115"/>
      <c r="M5722" s="115"/>
      <c r="N5722" s="115"/>
      <c r="O5722" s="115"/>
    </row>
    <row r="5723">
      <c r="E5723" s="115"/>
      <c r="F5723" s="115"/>
      <c r="G5723" s="115"/>
      <c r="H5723" s="115"/>
      <c r="I5723" s="115"/>
      <c r="J5723" s="115"/>
      <c r="K5723" s="115"/>
      <c r="L5723" s="115"/>
      <c r="M5723" s="115"/>
      <c r="N5723" s="115"/>
      <c r="O5723" s="115"/>
    </row>
    <row r="5724">
      <c r="E5724" s="115"/>
      <c r="F5724" s="115"/>
      <c r="G5724" s="115"/>
      <c r="H5724" s="115"/>
      <c r="I5724" s="115"/>
      <c r="J5724" s="115"/>
      <c r="K5724" s="115"/>
      <c r="L5724" s="115"/>
      <c r="M5724" s="115"/>
      <c r="N5724" s="115"/>
      <c r="O5724" s="115"/>
    </row>
    <row r="5725">
      <c r="E5725" s="115"/>
      <c r="F5725" s="115"/>
      <c r="G5725" s="115"/>
      <c r="H5725" s="115"/>
      <c r="I5725" s="115"/>
      <c r="J5725" s="115"/>
      <c r="K5725" s="115"/>
      <c r="L5725" s="115"/>
      <c r="M5725" s="115"/>
      <c r="N5725" s="115"/>
      <c r="O5725" s="115"/>
    </row>
    <row r="5726">
      <c r="E5726" s="115"/>
      <c r="F5726" s="115"/>
      <c r="G5726" s="115"/>
      <c r="H5726" s="115"/>
      <c r="I5726" s="115"/>
      <c r="J5726" s="115"/>
      <c r="K5726" s="115"/>
      <c r="L5726" s="115"/>
      <c r="M5726" s="115"/>
      <c r="N5726" s="115"/>
      <c r="O5726" s="115"/>
    </row>
    <row r="5727">
      <c r="E5727" s="115"/>
      <c r="F5727" s="115"/>
      <c r="G5727" s="115"/>
      <c r="H5727" s="115"/>
      <c r="I5727" s="115"/>
      <c r="J5727" s="115"/>
      <c r="K5727" s="115"/>
      <c r="L5727" s="115"/>
      <c r="M5727" s="115"/>
      <c r="N5727" s="115"/>
      <c r="O5727" s="115"/>
    </row>
    <row r="5728">
      <c r="E5728" s="115"/>
      <c r="F5728" s="115"/>
      <c r="G5728" s="115"/>
      <c r="H5728" s="115"/>
      <c r="I5728" s="115"/>
      <c r="J5728" s="115"/>
      <c r="K5728" s="115"/>
      <c r="L5728" s="115"/>
      <c r="M5728" s="115"/>
      <c r="N5728" s="115"/>
      <c r="O5728" s="115"/>
    </row>
    <row r="5729">
      <c r="E5729" s="115"/>
      <c r="F5729" s="115"/>
      <c r="G5729" s="115"/>
      <c r="H5729" s="115"/>
      <c r="I5729" s="115"/>
      <c r="J5729" s="115"/>
      <c r="K5729" s="115"/>
      <c r="L5729" s="115"/>
      <c r="M5729" s="115"/>
      <c r="N5729" s="115"/>
      <c r="O5729" s="115"/>
    </row>
    <row r="5730">
      <c r="E5730" s="115"/>
      <c r="F5730" s="115"/>
      <c r="G5730" s="115"/>
      <c r="H5730" s="115"/>
      <c r="I5730" s="115"/>
      <c r="J5730" s="115"/>
      <c r="K5730" s="115"/>
      <c r="L5730" s="115"/>
      <c r="M5730" s="115"/>
      <c r="N5730" s="115"/>
      <c r="O5730" s="115"/>
    </row>
    <row r="5731">
      <c r="E5731" s="115"/>
      <c r="F5731" s="115"/>
      <c r="G5731" s="115"/>
      <c r="H5731" s="115"/>
      <c r="I5731" s="115"/>
      <c r="J5731" s="115"/>
      <c r="K5731" s="115"/>
      <c r="L5731" s="115"/>
      <c r="M5731" s="115"/>
      <c r="N5731" s="115"/>
      <c r="O5731" s="115"/>
    </row>
    <row r="5732">
      <c r="E5732" s="115"/>
      <c r="F5732" s="115"/>
      <c r="G5732" s="115"/>
      <c r="H5732" s="115"/>
      <c r="I5732" s="115"/>
      <c r="J5732" s="115"/>
      <c r="K5732" s="115"/>
      <c r="L5732" s="115"/>
      <c r="M5732" s="115"/>
      <c r="N5732" s="115"/>
      <c r="O5732" s="115"/>
    </row>
    <row r="5733">
      <c r="E5733" s="115"/>
      <c r="F5733" s="115"/>
      <c r="G5733" s="115"/>
      <c r="H5733" s="115"/>
      <c r="I5733" s="115"/>
      <c r="J5733" s="115"/>
      <c r="K5733" s="115"/>
      <c r="L5733" s="115"/>
      <c r="M5733" s="115"/>
      <c r="N5733" s="115"/>
      <c r="O5733" s="115"/>
    </row>
    <row r="5734">
      <c r="E5734" s="115"/>
      <c r="F5734" s="115"/>
      <c r="G5734" s="115"/>
      <c r="H5734" s="115"/>
      <c r="I5734" s="115"/>
      <c r="J5734" s="115"/>
      <c r="K5734" s="115"/>
      <c r="L5734" s="115"/>
      <c r="M5734" s="115"/>
      <c r="N5734" s="115"/>
      <c r="O5734" s="115"/>
    </row>
    <row r="5735">
      <c r="E5735" s="115"/>
      <c r="F5735" s="115"/>
      <c r="G5735" s="115"/>
      <c r="H5735" s="115"/>
      <c r="I5735" s="115"/>
      <c r="J5735" s="115"/>
      <c r="K5735" s="115"/>
      <c r="L5735" s="115"/>
      <c r="M5735" s="115"/>
      <c r="N5735" s="115"/>
      <c r="O5735" s="115"/>
    </row>
    <row r="5736">
      <c r="E5736" s="115"/>
      <c r="F5736" s="115"/>
      <c r="G5736" s="115"/>
      <c r="H5736" s="115"/>
      <c r="I5736" s="115"/>
      <c r="J5736" s="115"/>
      <c r="K5736" s="115"/>
      <c r="L5736" s="115"/>
      <c r="M5736" s="115"/>
      <c r="N5736" s="115"/>
      <c r="O5736" s="115"/>
    </row>
    <row r="5737">
      <c r="E5737" s="115"/>
      <c r="F5737" s="115"/>
      <c r="G5737" s="115"/>
      <c r="H5737" s="115"/>
      <c r="I5737" s="115"/>
      <c r="J5737" s="115"/>
      <c r="K5737" s="115"/>
      <c r="L5737" s="115"/>
      <c r="M5737" s="115"/>
      <c r="N5737" s="115"/>
      <c r="O5737" s="115"/>
    </row>
    <row r="5738">
      <c r="E5738" s="115"/>
      <c r="F5738" s="115"/>
      <c r="G5738" s="115"/>
      <c r="H5738" s="115"/>
      <c r="I5738" s="115"/>
      <c r="J5738" s="115"/>
      <c r="K5738" s="115"/>
      <c r="L5738" s="115"/>
      <c r="M5738" s="115"/>
      <c r="N5738" s="115"/>
      <c r="O5738" s="115"/>
    </row>
    <row r="5739">
      <c r="E5739" s="115"/>
      <c r="F5739" s="115"/>
      <c r="G5739" s="115"/>
      <c r="H5739" s="115"/>
      <c r="I5739" s="115"/>
      <c r="J5739" s="115"/>
      <c r="K5739" s="115"/>
      <c r="L5739" s="115"/>
      <c r="M5739" s="115"/>
      <c r="N5739" s="115"/>
      <c r="O5739" s="115"/>
    </row>
    <row r="5740">
      <c r="E5740" s="115"/>
      <c r="F5740" s="115"/>
      <c r="G5740" s="115"/>
      <c r="H5740" s="115"/>
      <c r="I5740" s="115"/>
      <c r="J5740" s="115"/>
      <c r="K5740" s="115"/>
      <c r="L5740" s="115"/>
      <c r="M5740" s="115"/>
      <c r="N5740" s="115"/>
      <c r="O5740" s="115"/>
    </row>
    <row r="5741">
      <c r="E5741" s="115"/>
      <c r="F5741" s="115"/>
      <c r="G5741" s="115"/>
      <c r="H5741" s="115"/>
      <c r="I5741" s="115"/>
      <c r="J5741" s="115"/>
      <c r="K5741" s="115"/>
      <c r="L5741" s="115"/>
      <c r="M5741" s="115"/>
      <c r="N5741" s="115"/>
      <c r="O5741" s="115"/>
    </row>
    <row r="5742">
      <c r="E5742" s="115"/>
      <c r="F5742" s="115"/>
      <c r="G5742" s="115"/>
      <c r="H5742" s="115"/>
      <c r="I5742" s="115"/>
      <c r="J5742" s="115"/>
      <c r="K5742" s="115"/>
      <c r="L5742" s="115"/>
      <c r="M5742" s="115"/>
      <c r="N5742" s="115"/>
      <c r="O5742" s="115"/>
    </row>
    <row r="5743">
      <c r="E5743" s="115"/>
      <c r="F5743" s="115"/>
      <c r="G5743" s="115"/>
      <c r="H5743" s="115"/>
      <c r="I5743" s="115"/>
      <c r="J5743" s="115"/>
      <c r="K5743" s="115"/>
      <c r="L5743" s="115"/>
      <c r="M5743" s="115"/>
      <c r="N5743" s="115"/>
      <c r="O5743" s="115"/>
    </row>
    <row r="5744">
      <c r="E5744" s="115"/>
      <c r="F5744" s="115"/>
      <c r="G5744" s="115"/>
      <c r="H5744" s="115"/>
      <c r="I5744" s="115"/>
      <c r="J5744" s="115"/>
      <c r="K5744" s="115"/>
      <c r="L5744" s="115"/>
      <c r="M5744" s="115"/>
      <c r="N5744" s="115"/>
      <c r="O5744" s="115"/>
    </row>
    <row r="5745">
      <c r="E5745" s="115"/>
      <c r="F5745" s="115"/>
      <c r="G5745" s="115"/>
      <c r="H5745" s="115"/>
      <c r="I5745" s="115"/>
      <c r="J5745" s="115"/>
      <c r="K5745" s="115"/>
      <c r="L5745" s="115"/>
      <c r="M5745" s="115"/>
      <c r="N5745" s="115"/>
      <c r="O5745" s="115"/>
    </row>
    <row r="5746">
      <c r="E5746" s="115"/>
      <c r="F5746" s="115"/>
      <c r="G5746" s="115"/>
      <c r="H5746" s="115"/>
      <c r="I5746" s="115"/>
      <c r="J5746" s="115"/>
      <c r="K5746" s="115"/>
      <c r="L5746" s="115"/>
      <c r="M5746" s="115"/>
      <c r="N5746" s="115"/>
      <c r="O5746" s="115"/>
    </row>
    <row r="5747">
      <c r="E5747" s="115"/>
      <c r="F5747" s="115"/>
      <c r="G5747" s="115"/>
      <c r="H5747" s="115"/>
      <c r="I5747" s="115"/>
      <c r="J5747" s="115"/>
      <c r="K5747" s="115"/>
      <c r="L5747" s="115"/>
      <c r="M5747" s="115"/>
      <c r="N5747" s="115"/>
      <c r="O5747" s="115"/>
    </row>
    <row r="5748">
      <c r="E5748" s="115"/>
      <c r="F5748" s="115"/>
      <c r="G5748" s="115"/>
      <c r="H5748" s="115"/>
      <c r="I5748" s="115"/>
      <c r="J5748" s="115"/>
      <c r="K5748" s="115"/>
      <c r="L5748" s="115"/>
      <c r="M5748" s="115"/>
      <c r="N5748" s="115"/>
      <c r="O5748" s="115"/>
    </row>
    <row r="5749">
      <c r="E5749" s="115"/>
      <c r="F5749" s="115"/>
      <c r="G5749" s="115"/>
      <c r="H5749" s="115"/>
      <c r="I5749" s="115"/>
      <c r="J5749" s="115"/>
      <c r="K5749" s="115"/>
      <c r="L5749" s="115"/>
      <c r="M5749" s="115"/>
      <c r="N5749" s="115"/>
      <c r="O5749" s="115"/>
    </row>
    <row r="5750">
      <c r="E5750" s="115"/>
      <c r="F5750" s="115"/>
      <c r="G5750" s="115"/>
      <c r="H5750" s="115"/>
      <c r="I5750" s="115"/>
      <c r="J5750" s="115"/>
      <c r="K5750" s="115"/>
      <c r="L5750" s="115"/>
      <c r="M5750" s="115"/>
      <c r="N5750" s="115"/>
      <c r="O5750" s="115"/>
    </row>
    <row r="5751">
      <c r="E5751" s="115"/>
      <c r="F5751" s="115"/>
      <c r="G5751" s="115"/>
      <c r="H5751" s="115"/>
      <c r="I5751" s="115"/>
      <c r="J5751" s="115"/>
      <c r="K5751" s="115"/>
      <c r="L5751" s="115"/>
      <c r="M5751" s="115"/>
      <c r="N5751" s="115"/>
      <c r="O5751" s="115"/>
    </row>
    <row r="5752">
      <c r="E5752" s="115"/>
      <c r="F5752" s="115"/>
      <c r="G5752" s="115"/>
      <c r="H5752" s="115"/>
      <c r="I5752" s="115"/>
      <c r="J5752" s="115"/>
      <c r="K5752" s="115"/>
      <c r="L5752" s="115"/>
      <c r="M5752" s="115"/>
      <c r="N5752" s="115"/>
      <c r="O5752" s="115"/>
    </row>
    <row r="5753">
      <c r="E5753" s="115"/>
      <c r="F5753" s="115"/>
      <c r="G5753" s="115"/>
      <c r="H5753" s="115"/>
      <c r="I5753" s="115"/>
      <c r="J5753" s="115"/>
      <c r="K5753" s="115"/>
      <c r="L5753" s="115"/>
      <c r="M5753" s="115"/>
      <c r="N5753" s="115"/>
      <c r="O5753" s="115"/>
    </row>
    <row r="5754">
      <c r="E5754" s="115"/>
      <c r="F5754" s="115"/>
      <c r="G5754" s="115"/>
      <c r="H5754" s="115"/>
      <c r="I5754" s="115"/>
      <c r="J5754" s="115"/>
      <c r="K5754" s="115"/>
      <c r="L5754" s="115"/>
      <c r="M5754" s="115"/>
      <c r="N5754" s="115"/>
      <c r="O5754" s="115"/>
    </row>
    <row r="5755">
      <c r="E5755" s="115"/>
      <c r="F5755" s="115"/>
      <c r="G5755" s="115"/>
      <c r="H5755" s="115"/>
      <c r="I5755" s="115"/>
      <c r="J5755" s="115"/>
      <c r="K5755" s="115"/>
      <c r="L5755" s="115"/>
      <c r="M5755" s="115"/>
      <c r="N5755" s="115"/>
      <c r="O5755" s="115"/>
    </row>
    <row r="5756">
      <c r="E5756" s="115"/>
      <c r="F5756" s="115"/>
      <c r="G5756" s="115"/>
      <c r="H5756" s="115"/>
      <c r="I5756" s="115"/>
      <c r="J5756" s="115"/>
      <c r="K5756" s="115"/>
      <c r="L5756" s="115"/>
      <c r="M5756" s="115"/>
      <c r="N5756" s="115"/>
      <c r="O5756" s="115"/>
    </row>
    <row r="5757">
      <c r="E5757" s="115"/>
      <c r="F5757" s="115"/>
      <c r="G5757" s="115"/>
      <c r="H5757" s="115"/>
      <c r="I5757" s="115"/>
      <c r="J5757" s="115"/>
      <c r="K5757" s="115"/>
      <c r="L5757" s="115"/>
      <c r="M5757" s="115"/>
      <c r="N5757" s="115"/>
      <c r="O5757" s="115"/>
    </row>
    <row r="5758">
      <c r="E5758" s="115"/>
      <c r="F5758" s="115"/>
      <c r="G5758" s="115"/>
      <c r="H5758" s="115"/>
      <c r="I5758" s="115"/>
      <c r="J5758" s="115"/>
      <c r="K5758" s="115"/>
      <c r="L5758" s="115"/>
      <c r="M5758" s="115"/>
      <c r="N5758" s="115"/>
      <c r="O5758" s="115"/>
    </row>
    <row r="5759">
      <c r="E5759" s="115"/>
      <c r="F5759" s="115"/>
      <c r="G5759" s="115"/>
      <c r="H5759" s="115"/>
      <c r="I5759" s="115"/>
      <c r="J5759" s="115"/>
      <c r="K5759" s="115"/>
      <c r="L5759" s="115"/>
      <c r="M5759" s="115"/>
      <c r="N5759" s="115"/>
      <c r="O5759" s="115"/>
    </row>
    <row r="5760">
      <c r="E5760" s="115"/>
      <c r="F5760" s="115"/>
      <c r="G5760" s="115"/>
      <c r="H5760" s="115"/>
      <c r="I5760" s="115"/>
      <c r="J5760" s="115"/>
      <c r="K5760" s="115"/>
      <c r="L5760" s="115"/>
      <c r="M5760" s="115"/>
      <c r="N5760" s="115"/>
      <c r="O5760" s="115"/>
    </row>
    <row r="5761">
      <c r="E5761" s="115"/>
      <c r="F5761" s="115"/>
      <c r="G5761" s="115"/>
      <c r="H5761" s="115"/>
      <c r="I5761" s="115"/>
      <c r="J5761" s="115"/>
      <c r="K5761" s="115"/>
      <c r="L5761" s="115"/>
      <c r="M5761" s="115"/>
      <c r="N5761" s="115"/>
      <c r="O5761" s="115"/>
    </row>
    <row r="5762">
      <c r="E5762" s="115"/>
      <c r="F5762" s="115"/>
      <c r="G5762" s="115"/>
      <c r="H5762" s="115"/>
      <c r="I5762" s="115"/>
      <c r="J5762" s="115"/>
      <c r="K5762" s="115"/>
      <c r="L5762" s="115"/>
      <c r="M5762" s="115"/>
      <c r="N5762" s="115"/>
      <c r="O5762" s="115"/>
    </row>
    <row r="5763">
      <c r="E5763" s="115"/>
      <c r="F5763" s="115"/>
      <c r="G5763" s="115"/>
      <c r="H5763" s="115"/>
      <c r="I5763" s="115"/>
      <c r="J5763" s="115"/>
      <c r="K5763" s="115"/>
      <c r="L5763" s="115"/>
      <c r="M5763" s="115"/>
      <c r="N5763" s="115"/>
      <c r="O5763" s="115"/>
    </row>
    <row r="5764">
      <c r="E5764" s="115"/>
      <c r="F5764" s="115"/>
      <c r="G5764" s="115"/>
      <c r="H5764" s="115"/>
      <c r="I5764" s="115"/>
      <c r="J5764" s="115"/>
      <c r="K5764" s="115"/>
      <c r="L5764" s="115"/>
      <c r="M5764" s="115"/>
      <c r="N5764" s="115"/>
      <c r="O5764" s="115"/>
    </row>
    <row r="5765">
      <c r="E5765" s="115"/>
      <c r="F5765" s="115"/>
      <c r="G5765" s="115"/>
      <c r="H5765" s="115"/>
      <c r="I5765" s="115"/>
      <c r="J5765" s="115"/>
      <c r="K5765" s="115"/>
      <c r="L5765" s="115"/>
      <c r="M5765" s="115"/>
      <c r="N5765" s="115"/>
      <c r="O5765" s="115"/>
    </row>
    <row r="5766">
      <c r="E5766" s="115"/>
      <c r="F5766" s="115"/>
      <c r="G5766" s="115"/>
      <c r="H5766" s="115"/>
      <c r="I5766" s="115"/>
      <c r="J5766" s="115"/>
      <c r="K5766" s="115"/>
      <c r="L5766" s="115"/>
      <c r="M5766" s="115"/>
      <c r="N5766" s="115"/>
      <c r="O5766" s="115"/>
    </row>
    <row r="5767">
      <c r="E5767" s="115"/>
      <c r="F5767" s="115"/>
      <c r="G5767" s="115"/>
      <c r="H5767" s="115"/>
      <c r="I5767" s="115"/>
      <c r="J5767" s="115"/>
      <c r="K5767" s="115"/>
      <c r="L5767" s="115"/>
      <c r="M5767" s="115"/>
      <c r="N5767" s="115"/>
      <c r="O5767" s="115"/>
    </row>
    <row r="5768">
      <c r="E5768" s="115"/>
      <c r="F5768" s="115"/>
      <c r="G5768" s="115"/>
      <c r="H5768" s="115"/>
      <c r="I5768" s="115"/>
      <c r="J5768" s="115"/>
      <c r="K5768" s="115"/>
      <c r="L5768" s="115"/>
      <c r="M5768" s="115"/>
      <c r="N5768" s="115"/>
      <c r="O5768" s="115"/>
    </row>
    <row r="5769">
      <c r="E5769" s="115"/>
      <c r="F5769" s="115"/>
      <c r="G5769" s="115"/>
      <c r="H5769" s="115"/>
      <c r="I5769" s="115"/>
      <c r="J5769" s="115"/>
      <c r="K5769" s="115"/>
      <c r="L5769" s="115"/>
      <c r="M5769" s="115"/>
      <c r="N5769" s="115"/>
      <c r="O5769" s="115"/>
    </row>
    <row r="5770">
      <c r="E5770" s="115"/>
      <c r="F5770" s="115"/>
      <c r="G5770" s="115"/>
      <c r="H5770" s="115"/>
      <c r="I5770" s="115"/>
      <c r="J5770" s="115"/>
      <c r="K5770" s="115"/>
      <c r="L5770" s="115"/>
      <c r="M5770" s="115"/>
      <c r="N5770" s="115"/>
      <c r="O5770" s="115"/>
    </row>
    <row r="5771">
      <c r="E5771" s="115"/>
      <c r="F5771" s="115"/>
      <c r="G5771" s="115"/>
      <c r="H5771" s="115"/>
      <c r="I5771" s="115"/>
      <c r="J5771" s="115"/>
      <c r="K5771" s="115"/>
      <c r="L5771" s="115"/>
      <c r="M5771" s="115"/>
      <c r="N5771" s="115"/>
      <c r="O5771" s="115"/>
    </row>
    <row r="5772">
      <c r="E5772" s="115"/>
      <c r="F5772" s="115"/>
      <c r="G5772" s="115"/>
      <c r="H5772" s="115"/>
      <c r="I5772" s="115"/>
      <c r="J5772" s="115"/>
      <c r="K5772" s="115"/>
      <c r="L5772" s="115"/>
      <c r="M5772" s="115"/>
      <c r="N5772" s="115"/>
      <c r="O5772" s="115"/>
    </row>
    <row r="5773">
      <c r="E5773" s="115"/>
      <c r="F5773" s="115"/>
      <c r="G5773" s="115"/>
      <c r="H5773" s="115"/>
      <c r="I5773" s="115"/>
      <c r="J5773" s="115"/>
      <c r="K5773" s="115"/>
      <c r="L5773" s="115"/>
      <c r="M5773" s="115"/>
      <c r="N5773" s="115"/>
      <c r="O5773" s="115"/>
    </row>
    <row r="5774">
      <c r="E5774" s="115"/>
      <c r="F5774" s="115"/>
      <c r="G5774" s="115"/>
      <c r="H5774" s="115"/>
      <c r="I5774" s="115"/>
      <c r="J5774" s="115"/>
      <c r="K5774" s="115"/>
      <c r="L5774" s="115"/>
      <c r="M5774" s="115"/>
      <c r="N5774" s="115"/>
      <c r="O5774" s="115"/>
    </row>
    <row r="5775">
      <c r="E5775" s="115"/>
      <c r="F5775" s="115"/>
      <c r="G5775" s="115"/>
      <c r="H5775" s="115"/>
      <c r="I5775" s="115"/>
      <c r="J5775" s="115"/>
      <c r="K5775" s="115"/>
      <c r="L5775" s="115"/>
      <c r="M5775" s="115"/>
      <c r="N5775" s="115"/>
      <c r="O5775" s="115"/>
    </row>
    <row r="5776">
      <c r="E5776" s="115"/>
      <c r="F5776" s="115"/>
      <c r="G5776" s="115"/>
      <c r="H5776" s="115"/>
      <c r="I5776" s="115"/>
      <c r="J5776" s="115"/>
      <c r="K5776" s="115"/>
      <c r="L5776" s="115"/>
      <c r="M5776" s="115"/>
      <c r="N5776" s="115"/>
      <c r="O5776" s="115"/>
    </row>
    <row r="5777">
      <c r="E5777" s="115"/>
      <c r="F5777" s="115"/>
      <c r="G5777" s="115"/>
      <c r="H5777" s="115"/>
      <c r="I5777" s="115"/>
      <c r="J5777" s="115"/>
      <c r="K5777" s="115"/>
      <c r="L5777" s="115"/>
      <c r="M5777" s="115"/>
      <c r="N5777" s="115"/>
      <c r="O5777" s="115"/>
    </row>
    <row r="5778">
      <c r="E5778" s="115"/>
      <c r="F5778" s="115"/>
      <c r="G5778" s="115"/>
      <c r="H5778" s="115"/>
      <c r="I5778" s="115"/>
      <c r="J5778" s="115"/>
      <c r="K5778" s="115"/>
      <c r="L5778" s="115"/>
      <c r="M5778" s="115"/>
      <c r="N5778" s="115"/>
      <c r="O5778" s="115"/>
    </row>
    <row r="5779">
      <c r="E5779" s="115"/>
      <c r="F5779" s="115"/>
      <c r="G5779" s="115"/>
      <c r="H5779" s="115"/>
      <c r="I5779" s="115"/>
      <c r="J5779" s="115"/>
      <c r="K5779" s="115"/>
      <c r="L5779" s="115"/>
      <c r="M5779" s="115"/>
      <c r="N5779" s="115"/>
      <c r="O5779" s="115"/>
    </row>
    <row r="5780">
      <c r="E5780" s="115"/>
      <c r="F5780" s="115"/>
      <c r="G5780" s="115"/>
      <c r="H5780" s="115"/>
      <c r="I5780" s="115"/>
      <c r="J5780" s="115"/>
      <c r="K5780" s="115"/>
      <c r="L5780" s="115"/>
      <c r="M5780" s="115"/>
      <c r="N5780" s="115"/>
      <c r="O5780" s="115"/>
    </row>
    <row r="5781">
      <c r="E5781" s="115"/>
      <c r="F5781" s="115"/>
      <c r="G5781" s="115"/>
      <c r="H5781" s="115"/>
      <c r="I5781" s="115"/>
      <c r="J5781" s="115"/>
      <c r="K5781" s="115"/>
      <c r="L5781" s="115"/>
      <c r="M5781" s="115"/>
      <c r="N5781" s="115"/>
      <c r="O5781" s="115"/>
    </row>
    <row r="5782">
      <c r="E5782" s="115"/>
      <c r="F5782" s="115"/>
      <c r="G5782" s="115"/>
      <c r="H5782" s="115"/>
      <c r="I5782" s="115"/>
      <c r="J5782" s="115"/>
      <c r="K5782" s="115"/>
      <c r="L5782" s="115"/>
      <c r="M5782" s="115"/>
      <c r="N5782" s="115"/>
      <c r="O5782" s="115"/>
    </row>
    <row r="5783">
      <c r="E5783" s="115"/>
      <c r="F5783" s="115"/>
      <c r="G5783" s="115"/>
      <c r="H5783" s="115"/>
      <c r="I5783" s="115"/>
      <c r="J5783" s="115"/>
      <c r="K5783" s="115"/>
      <c r="L5783" s="115"/>
      <c r="M5783" s="115"/>
      <c r="N5783" s="115"/>
      <c r="O5783" s="115"/>
    </row>
    <row r="5784">
      <c r="E5784" s="115"/>
      <c r="F5784" s="115"/>
      <c r="G5784" s="115"/>
      <c r="H5784" s="115"/>
      <c r="I5784" s="115"/>
      <c r="J5784" s="115"/>
      <c r="K5784" s="115"/>
      <c r="L5784" s="115"/>
      <c r="M5784" s="115"/>
      <c r="N5784" s="115"/>
      <c r="O5784" s="115"/>
    </row>
    <row r="5785">
      <c r="E5785" s="115"/>
      <c r="F5785" s="115"/>
      <c r="G5785" s="115"/>
      <c r="H5785" s="115"/>
      <c r="I5785" s="115"/>
      <c r="J5785" s="115"/>
      <c r="K5785" s="115"/>
      <c r="L5785" s="115"/>
      <c r="M5785" s="115"/>
      <c r="N5785" s="115"/>
      <c r="O5785" s="115"/>
    </row>
    <row r="5786">
      <c r="E5786" s="115"/>
      <c r="F5786" s="115"/>
      <c r="G5786" s="115"/>
      <c r="H5786" s="115"/>
      <c r="I5786" s="115"/>
      <c r="J5786" s="115"/>
      <c r="K5786" s="115"/>
      <c r="L5786" s="115"/>
      <c r="M5786" s="115"/>
      <c r="N5786" s="115"/>
      <c r="O5786" s="115"/>
    </row>
    <row r="5787">
      <c r="E5787" s="115"/>
      <c r="F5787" s="115"/>
      <c r="G5787" s="115"/>
      <c r="H5787" s="115"/>
      <c r="I5787" s="115"/>
      <c r="J5787" s="115"/>
      <c r="K5787" s="115"/>
      <c r="L5787" s="115"/>
      <c r="M5787" s="115"/>
      <c r="N5787" s="115"/>
      <c r="O5787" s="115"/>
    </row>
    <row r="5788">
      <c r="E5788" s="115"/>
      <c r="F5788" s="115"/>
      <c r="G5788" s="115"/>
      <c r="H5788" s="115"/>
      <c r="I5788" s="115"/>
      <c r="J5788" s="115"/>
      <c r="K5788" s="115"/>
      <c r="L5788" s="115"/>
      <c r="M5788" s="115"/>
      <c r="N5788" s="115"/>
      <c r="O5788" s="115"/>
    </row>
    <row r="5789">
      <c r="E5789" s="115"/>
      <c r="F5789" s="115"/>
      <c r="G5789" s="115"/>
      <c r="H5789" s="115"/>
      <c r="I5789" s="115"/>
      <c r="J5789" s="115"/>
      <c r="K5789" s="115"/>
      <c r="L5789" s="115"/>
      <c r="M5789" s="115"/>
      <c r="N5789" s="115"/>
      <c r="O5789" s="115"/>
    </row>
    <row r="5790">
      <c r="E5790" s="115"/>
      <c r="F5790" s="115"/>
      <c r="G5790" s="115"/>
      <c r="H5790" s="115"/>
      <c r="I5790" s="115"/>
      <c r="J5790" s="115"/>
      <c r="K5790" s="115"/>
      <c r="L5790" s="115"/>
      <c r="M5790" s="115"/>
      <c r="N5790" s="115"/>
      <c r="O5790" s="115"/>
    </row>
    <row r="5791">
      <c r="E5791" s="115"/>
      <c r="F5791" s="115"/>
      <c r="G5791" s="115"/>
      <c r="H5791" s="115"/>
      <c r="I5791" s="115"/>
      <c r="J5791" s="115"/>
      <c r="K5791" s="115"/>
      <c r="L5791" s="115"/>
      <c r="M5791" s="115"/>
      <c r="N5791" s="115"/>
      <c r="O5791" s="115"/>
    </row>
    <row r="5792">
      <c r="E5792" s="115"/>
      <c r="F5792" s="115"/>
      <c r="G5792" s="115"/>
      <c r="H5792" s="115"/>
      <c r="I5792" s="115"/>
      <c r="J5792" s="115"/>
      <c r="K5792" s="115"/>
      <c r="L5792" s="115"/>
      <c r="M5792" s="115"/>
      <c r="N5792" s="115"/>
      <c r="O5792" s="115"/>
    </row>
    <row r="5793">
      <c r="E5793" s="115"/>
      <c r="F5793" s="115"/>
      <c r="G5793" s="115"/>
      <c r="H5793" s="115"/>
      <c r="I5793" s="115"/>
      <c r="J5793" s="115"/>
      <c r="K5793" s="115"/>
      <c r="L5793" s="115"/>
      <c r="M5793" s="115"/>
      <c r="N5793" s="115"/>
      <c r="O5793" s="115"/>
    </row>
    <row r="5794">
      <c r="E5794" s="115"/>
      <c r="F5794" s="115"/>
      <c r="G5794" s="115"/>
      <c r="H5794" s="115"/>
      <c r="I5794" s="115"/>
      <c r="J5794" s="115"/>
      <c r="K5794" s="115"/>
      <c r="L5794" s="115"/>
      <c r="M5794" s="115"/>
      <c r="N5794" s="115"/>
      <c r="O5794" s="115"/>
    </row>
    <row r="5795">
      <c r="E5795" s="115"/>
      <c r="F5795" s="115"/>
      <c r="G5795" s="115"/>
      <c r="H5795" s="115"/>
      <c r="I5795" s="115"/>
      <c r="J5795" s="115"/>
      <c r="K5795" s="115"/>
      <c r="L5795" s="115"/>
      <c r="M5795" s="115"/>
      <c r="N5795" s="115"/>
      <c r="O5795" s="115"/>
    </row>
    <row r="5796">
      <c r="E5796" s="115"/>
      <c r="F5796" s="115"/>
      <c r="G5796" s="115"/>
      <c r="H5796" s="115"/>
      <c r="I5796" s="115"/>
      <c r="J5796" s="115"/>
      <c r="K5796" s="115"/>
      <c r="L5796" s="115"/>
      <c r="M5796" s="115"/>
      <c r="N5796" s="115"/>
      <c r="O5796" s="115"/>
    </row>
    <row r="5797">
      <c r="E5797" s="115"/>
      <c r="F5797" s="115"/>
      <c r="G5797" s="115"/>
      <c r="H5797" s="115"/>
      <c r="I5797" s="115"/>
      <c r="J5797" s="115"/>
      <c r="K5797" s="115"/>
      <c r="L5797" s="115"/>
      <c r="M5797" s="115"/>
      <c r="N5797" s="115"/>
      <c r="O5797" s="115"/>
    </row>
    <row r="5798">
      <c r="E5798" s="115"/>
      <c r="F5798" s="115"/>
      <c r="G5798" s="115"/>
      <c r="H5798" s="115"/>
      <c r="I5798" s="115"/>
      <c r="J5798" s="115"/>
      <c r="K5798" s="115"/>
      <c r="L5798" s="115"/>
      <c r="M5798" s="115"/>
      <c r="N5798" s="115"/>
      <c r="O5798" s="115"/>
    </row>
    <row r="5799">
      <c r="E5799" s="115"/>
      <c r="F5799" s="115"/>
      <c r="G5799" s="115"/>
      <c r="H5799" s="115"/>
      <c r="I5799" s="115"/>
      <c r="J5799" s="115"/>
      <c r="K5799" s="115"/>
      <c r="L5799" s="115"/>
      <c r="M5799" s="115"/>
      <c r="N5799" s="115"/>
      <c r="O5799" s="115"/>
    </row>
    <row r="5800">
      <c r="E5800" s="115"/>
      <c r="F5800" s="115"/>
      <c r="G5800" s="115"/>
      <c r="H5800" s="115"/>
      <c r="I5800" s="115"/>
      <c r="J5800" s="115"/>
      <c r="K5800" s="115"/>
      <c r="L5800" s="115"/>
      <c r="M5800" s="115"/>
      <c r="N5800" s="115"/>
      <c r="O5800" s="115"/>
    </row>
    <row r="5801">
      <c r="E5801" s="115"/>
      <c r="F5801" s="115"/>
      <c r="G5801" s="115"/>
      <c r="H5801" s="115"/>
      <c r="I5801" s="115"/>
      <c r="J5801" s="115"/>
      <c r="K5801" s="115"/>
      <c r="L5801" s="115"/>
      <c r="M5801" s="115"/>
      <c r="N5801" s="115"/>
      <c r="O5801" s="115"/>
    </row>
    <row r="5802">
      <c r="E5802" s="115"/>
      <c r="F5802" s="115"/>
      <c r="G5802" s="115"/>
      <c r="H5802" s="115"/>
      <c r="I5802" s="115"/>
      <c r="J5802" s="115"/>
      <c r="K5802" s="115"/>
      <c r="L5802" s="115"/>
      <c r="M5802" s="115"/>
      <c r="N5802" s="115"/>
      <c r="O5802" s="115"/>
    </row>
    <row r="5803">
      <c r="E5803" s="115"/>
      <c r="F5803" s="115"/>
      <c r="G5803" s="115"/>
      <c r="H5803" s="115"/>
      <c r="I5803" s="115"/>
      <c r="J5803" s="115"/>
      <c r="K5803" s="115"/>
      <c r="L5803" s="115"/>
      <c r="M5803" s="115"/>
      <c r="N5803" s="115"/>
      <c r="O5803" s="115"/>
    </row>
    <row r="5804">
      <c r="E5804" s="115"/>
      <c r="F5804" s="115"/>
      <c r="G5804" s="115"/>
      <c r="H5804" s="115"/>
      <c r="I5804" s="115"/>
      <c r="J5804" s="115"/>
      <c r="K5804" s="115"/>
      <c r="L5804" s="115"/>
      <c r="M5804" s="115"/>
      <c r="N5804" s="115"/>
      <c r="O5804" s="115"/>
    </row>
    <row r="5805">
      <c r="E5805" s="115"/>
      <c r="F5805" s="115"/>
      <c r="G5805" s="115"/>
      <c r="H5805" s="115"/>
      <c r="I5805" s="115"/>
      <c r="J5805" s="115"/>
      <c r="K5805" s="115"/>
      <c r="L5805" s="115"/>
      <c r="M5805" s="115"/>
      <c r="N5805" s="115"/>
      <c r="O5805" s="115"/>
    </row>
    <row r="5806">
      <c r="E5806" s="115"/>
      <c r="F5806" s="115"/>
      <c r="G5806" s="115"/>
      <c r="H5806" s="115"/>
      <c r="I5806" s="115"/>
      <c r="J5806" s="115"/>
      <c r="K5806" s="115"/>
      <c r="L5806" s="115"/>
      <c r="M5806" s="115"/>
      <c r="N5806" s="115"/>
      <c r="O5806" s="115"/>
    </row>
    <row r="5807">
      <c r="E5807" s="115"/>
      <c r="F5807" s="115"/>
      <c r="G5807" s="115"/>
      <c r="H5807" s="115"/>
      <c r="I5807" s="115"/>
      <c r="J5807" s="115"/>
      <c r="K5807" s="115"/>
      <c r="L5807" s="115"/>
      <c r="M5807" s="115"/>
      <c r="N5807" s="115"/>
      <c r="O5807" s="115"/>
    </row>
    <row r="5808">
      <c r="E5808" s="115"/>
      <c r="F5808" s="115"/>
      <c r="G5808" s="115"/>
      <c r="H5808" s="115"/>
      <c r="I5808" s="115"/>
      <c r="J5808" s="115"/>
      <c r="K5808" s="115"/>
      <c r="L5808" s="115"/>
      <c r="M5808" s="115"/>
      <c r="N5808" s="115"/>
      <c r="O5808" s="115"/>
    </row>
    <row r="5809">
      <c r="E5809" s="115"/>
      <c r="F5809" s="115"/>
      <c r="G5809" s="115"/>
      <c r="H5809" s="115"/>
      <c r="I5809" s="115"/>
      <c r="J5809" s="115"/>
      <c r="K5809" s="115"/>
      <c r="L5809" s="115"/>
      <c r="M5809" s="115"/>
      <c r="N5809" s="115"/>
      <c r="O5809" s="115"/>
    </row>
    <row r="5810">
      <c r="E5810" s="115"/>
      <c r="F5810" s="115"/>
      <c r="G5810" s="115"/>
      <c r="H5810" s="115"/>
      <c r="I5810" s="115"/>
      <c r="J5810" s="115"/>
      <c r="K5810" s="115"/>
      <c r="L5810" s="115"/>
      <c r="M5810" s="115"/>
      <c r="N5810" s="115"/>
      <c r="O5810" s="115"/>
    </row>
    <row r="5811">
      <c r="E5811" s="115"/>
      <c r="F5811" s="115"/>
      <c r="G5811" s="115"/>
      <c r="H5811" s="115"/>
      <c r="I5811" s="115"/>
      <c r="J5811" s="115"/>
      <c r="K5811" s="115"/>
      <c r="L5811" s="115"/>
      <c r="M5811" s="115"/>
      <c r="N5811" s="115"/>
      <c r="O5811" s="115"/>
    </row>
    <row r="5812">
      <c r="E5812" s="115"/>
      <c r="F5812" s="115"/>
      <c r="G5812" s="115"/>
      <c r="H5812" s="115"/>
      <c r="I5812" s="115"/>
      <c r="J5812" s="115"/>
      <c r="K5812" s="115"/>
      <c r="L5812" s="115"/>
      <c r="M5812" s="115"/>
      <c r="N5812" s="115"/>
      <c r="O5812" s="115"/>
    </row>
    <row r="5813">
      <c r="E5813" s="115"/>
      <c r="F5813" s="115"/>
      <c r="G5813" s="115"/>
      <c r="H5813" s="115"/>
      <c r="I5813" s="115"/>
      <c r="J5813" s="115"/>
      <c r="K5813" s="115"/>
      <c r="L5813" s="115"/>
      <c r="M5813" s="115"/>
      <c r="N5813" s="115"/>
      <c r="O5813" s="115"/>
    </row>
    <row r="5814">
      <c r="E5814" s="115"/>
      <c r="F5814" s="115"/>
      <c r="G5814" s="115"/>
      <c r="H5814" s="115"/>
      <c r="I5814" s="115"/>
      <c r="J5814" s="115"/>
      <c r="K5814" s="115"/>
      <c r="L5814" s="115"/>
      <c r="M5814" s="115"/>
      <c r="N5814" s="115"/>
      <c r="O5814" s="115"/>
    </row>
    <row r="5815">
      <c r="E5815" s="115"/>
      <c r="F5815" s="115"/>
      <c r="G5815" s="115"/>
      <c r="H5815" s="115"/>
      <c r="I5815" s="115"/>
      <c r="J5815" s="115"/>
      <c r="K5815" s="115"/>
      <c r="L5815" s="115"/>
      <c r="M5815" s="115"/>
      <c r="N5815" s="115"/>
      <c r="O5815" s="115"/>
    </row>
    <row r="5816">
      <c r="E5816" s="115"/>
      <c r="F5816" s="115"/>
      <c r="G5816" s="115"/>
      <c r="H5816" s="115"/>
      <c r="I5816" s="115"/>
      <c r="J5816" s="115"/>
      <c r="K5816" s="115"/>
      <c r="L5816" s="115"/>
      <c r="M5816" s="115"/>
      <c r="N5816" s="115"/>
      <c r="O5816" s="115"/>
    </row>
    <row r="5817">
      <c r="E5817" s="115"/>
      <c r="F5817" s="115"/>
      <c r="G5817" s="115"/>
      <c r="H5817" s="115"/>
      <c r="I5817" s="115"/>
      <c r="J5817" s="115"/>
      <c r="K5817" s="115"/>
      <c r="L5817" s="115"/>
      <c r="M5817" s="115"/>
      <c r="N5817" s="115"/>
      <c r="O5817" s="115"/>
    </row>
    <row r="5818">
      <c r="E5818" s="115"/>
      <c r="F5818" s="115"/>
      <c r="G5818" s="115"/>
      <c r="H5818" s="115"/>
      <c r="I5818" s="115"/>
      <c r="J5818" s="115"/>
      <c r="K5818" s="115"/>
      <c r="L5818" s="115"/>
      <c r="M5818" s="115"/>
      <c r="N5818" s="115"/>
      <c r="O5818" s="115"/>
    </row>
    <row r="5819">
      <c r="E5819" s="115"/>
      <c r="F5819" s="115"/>
      <c r="G5819" s="115"/>
      <c r="H5819" s="115"/>
      <c r="I5819" s="115"/>
      <c r="J5819" s="115"/>
      <c r="K5819" s="115"/>
      <c r="L5819" s="115"/>
      <c r="M5819" s="115"/>
      <c r="N5819" s="115"/>
      <c r="O5819" s="115"/>
    </row>
    <row r="5820">
      <c r="E5820" s="115"/>
      <c r="F5820" s="115"/>
      <c r="G5820" s="115"/>
      <c r="H5820" s="115"/>
      <c r="I5820" s="115"/>
      <c r="J5820" s="115"/>
      <c r="K5820" s="115"/>
      <c r="L5820" s="115"/>
      <c r="M5820" s="115"/>
      <c r="N5820" s="115"/>
      <c r="O5820" s="1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1.63"/>
  </cols>
  <sheetData>
    <row r="3">
      <c r="C3" s="55" t="s">
        <v>2</v>
      </c>
      <c r="D3" s="55" t="s">
        <v>107</v>
      </c>
      <c r="E3" s="55" t="s">
        <v>108</v>
      </c>
    </row>
    <row r="4">
      <c r="C4" s="55" t="s">
        <v>409</v>
      </c>
      <c r="D4" s="128">
        <f>SUMPRODUCT((MOD(ROW(Transcription!D3:D1000)-ROW(Transcription!D3),6)=0)*Transcription!D3:D1000)</f>
        <v>47617.41942</v>
      </c>
      <c r="E4" s="128">
        <f t="shared" ref="E4:E9" si="1">D4/60</f>
        <v>793.6236569</v>
      </c>
      <c r="G4" s="128"/>
      <c r="H4" s="128"/>
    </row>
    <row r="5">
      <c r="C5" s="55" t="s">
        <v>410</v>
      </c>
      <c r="D5" s="128">
        <f>SUMPRODUCT((MOD(ROW(Transcription!D4:D1000)-ROW(Transcription!D4),6)=0)*Transcription!D4:D1000)</f>
        <v>44418.65147</v>
      </c>
      <c r="E5" s="128">
        <f t="shared" si="1"/>
        <v>740.3108578</v>
      </c>
      <c r="G5" s="128"/>
      <c r="H5" s="128"/>
    </row>
    <row r="6">
      <c r="C6" s="55" t="s">
        <v>411</v>
      </c>
      <c r="D6" s="128">
        <f>SUMPRODUCT((MOD(ROW(Transcription!D5:D1000)-ROW(Transcription!D5),6)=0)*Transcription!D5:D1000)</f>
        <v>0</v>
      </c>
      <c r="E6" s="128">
        <f t="shared" si="1"/>
        <v>0</v>
      </c>
      <c r="G6" s="128"/>
      <c r="H6" s="128"/>
    </row>
    <row r="7">
      <c r="C7" s="55" t="s">
        <v>412</v>
      </c>
      <c r="D7" s="128">
        <f>SUMPRODUCT((MOD(ROW(Transcription!D6:D1000)-ROW(Transcription!D6),6)=0)*Transcription!D6:D1000)</f>
        <v>37719.45153</v>
      </c>
      <c r="E7" s="128">
        <f t="shared" si="1"/>
        <v>628.6575256</v>
      </c>
      <c r="G7" s="128"/>
      <c r="H7" s="128"/>
    </row>
    <row r="8">
      <c r="C8" s="55" t="s">
        <v>413</v>
      </c>
      <c r="D8" s="128">
        <f>SUMPRODUCT((MOD(ROW(Transcription!D7:D1000)-ROW(Transcription!D7),6)=0)*Transcription!D7:D1000)</f>
        <v>24968.99237</v>
      </c>
      <c r="E8" s="128">
        <f t="shared" si="1"/>
        <v>416.1498728</v>
      </c>
      <c r="G8" s="128"/>
      <c r="H8" s="128"/>
    </row>
    <row r="9">
      <c r="C9" s="55" t="s">
        <v>414</v>
      </c>
      <c r="D9" s="128">
        <f>SUMPRODUCT((MOD(ROW(Transcription!D8:D1000)-ROW(Transcription!D8),6)=0)*Transcription!D8:D1000)</f>
        <v>1139.490967</v>
      </c>
      <c r="E9" s="128">
        <f t="shared" si="1"/>
        <v>18.99151611</v>
      </c>
      <c r="G9" s="128"/>
      <c r="H9" s="12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13"/>
  </cols>
  <sheetData>
    <row r="1">
      <c r="E1" s="65">
        <v>128.3692275</v>
      </c>
      <c r="F1" s="65">
        <v>0.0</v>
      </c>
      <c r="G1" s="65">
        <v>0.0</v>
      </c>
      <c r="H1" s="65">
        <v>0.0</v>
      </c>
      <c r="I1" s="65">
        <v>0.0</v>
      </c>
      <c r="J1" s="65">
        <v>0.0</v>
      </c>
      <c r="K1" s="65">
        <v>0.0</v>
      </c>
      <c r="L1" s="65">
        <v>1.8782555555555553</v>
      </c>
      <c r="M1" s="65">
        <v>21.25316055555555</v>
      </c>
      <c r="N1" s="65">
        <v>0.0</v>
      </c>
      <c r="O1" s="65">
        <v>0.1538327777777778</v>
      </c>
      <c r="P1" s="65">
        <v>132.35690833333334</v>
      </c>
      <c r="Q1" s="65">
        <v>0.0</v>
      </c>
      <c r="R1" s="65">
        <v>0.0</v>
      </c>
      <c r="S1" s="65">
        <v>0.0</v>
      </c>
      <c r="T1" s="65">
        <v>0.0</v>
      </c>
      <c r="U1" s="65">
        <v>0.0</v>
      </c>
      <c r="V1" s="65">
        <v>1.7874561111111114</v>
      </c>
      <c r="W1" s="65">
        <v>117.21955972222214</v>
      </c>
      <c r="X1" s="65">
        <v>0.0</v>
      </c>
      <c r="Y1" s="65">
        <v>0.0</v>
      </c>
      <c r="Z1" s="65">
        <v>0.0</v>
      </c>
      <c r="AA1" s="65">
        <v>0.0</v>
      </c>
      <c r="AB1" s="65">
        <v>0.0</v>
      </c>
      <c r="AC1" s="65">
        <v>2.446312222222222</v>
      </c>
      <c r="AD1" s="65">
        <v>137.91724916666672</v>
      </c>
      <c r="AE1" s="65">
        <v>0.0</v>
      </c>
      <c r="AF1" s="65">
        <v>0.0</v>
      </c>
      <c r="AG1" s="65">
        <v>0.0</v>
      </c>
      <c r="AH1" s="65">
        <v>0.0</v>
      </c>
      <c r="AI1" s="65">
        <v>0.0</v>
      </c>
      <c r="AJ1" s="65">
        <v>3.0912958333333327</v>
      </c>
      <c r="AK1" s="65">
        <v>82.52951888888887</v>
      </c>
      <c r="AL1" s="65">
        <v>0.0</v>
      </c>
      <c r="AM1" s="65">
        <v>0.0</v>
      </c>
      <c r="AN1" s="65">
        <v>0.0</v>
      </c>
      <c r="AO1" s="65">
        <v>6.715654444444443</v>
      </c>
      <c r="AP1" s="65">
        <v>44.65634694444445</v>
      </c>
      <c r="AQ1" s="65">
        <v>0.0</v>
      </c>
      <c r="AR1" s="65">
        <v>0.0</v>
      </c>
      <c r="AS1" s="65">
        <v>3.34689</v>
      </c>
      <c r="AT1" s="65">
        <v>103.33881611111109</v>
      </c>
      <c r="AU1" s="65">
        <v>0.0</v>
      </c>
      <c r="AV1" s="65">
        <v>5.415738333333334</v>
      </c>
      <c r="AW1" s="65">
        <v>1.1474344444444435</v>
      </c>
    </row>
    <row r="2">
      <c r="A2" s="88" t="s">
        <v>0</v>
      </c>
      <c r="B2" s="88" t="s">
        <v>362</v>
      </c>
      <c r="C2" s="88"/>
      <c r="D2" s="88"/>
      <c r="E2" s="66" t="s">
        <v>363</v>
      </c>
      <c r="F2" s="65" t="s">
        <v>364</v>
      </c>
      <c r="G2" s="65" t="s">
        <v>365</v>
      </c>
      <c r="H2" s="65" t="s">
        <v>366</v>
      </c>
      <c r="I2" s="65" t="s">
        <v>367</v>
      </c>
      <c r="J2" s="65" t="s">
        <v>368</v>
      </c>
      <c r="K2" s="65" t="s">
        <v>369</v>
      </c>
      <c r="L2" s="65" t="s">
        <v>370</v>
      </c>
      <c r="M2" s="66" t="s">
        <v>373</v>
      </c>
      <c r="N2" s="65" t="s">
        <v>374</v>
      </c>
      <c r="O2" s="65" t="s">
        <v>375</v>
      </c>
      <c r="P2" s="66" t="s">
        <v>376</v>
      </c>
      <c r="Q2" s="65" t="s">
        <v>377</v>
      </c>
      <c r="R2" s="65" t="s">
        <v>378</v>
      </c>
      <c r="S2" s="65" t="s">
        <v>379</v>
      </c>
      <c r="T2" s="65" t="s">
        <v>380</v>
      </c>
      <c r="U2" s="65" t="s">
        <v>381</v>
      </c>
      <c r="V2" s="65" t="s">
        <v>382</v>
      </c>
      <c r="W2" s="66" t="s">
        <v>383</v>
      </c>
      <c r="X2" s="65" t="s">
        <v>384</v>
      </c>
      <c r="Y2" s="65" t="s">
        <v>385</v>
      </c>
      <c r="Z2" s="65" t="s">
        <v>386</v>
      </c>
      <c r="AA2" s="65" t="s">
        <v>387</v>
      </c>
      <c r="AB2" s="65" t="s">
        <v>388</v>
      </c>
      <c r="AC2" s="65" t="s">
        <v>4</v>
      </c>
      <c r="AD2" s="66" t="s">
        <v>391</v>
      </c>
      <c r="AE2" s="65" t="s">
        <v>392</v>
      </c>
      <c r="AF2" s="65" t="s">
        <v>393</v>
      </c>
      <c r="AG2" s="65" t="s">
        <v>394</v>
      </c>
      <c r="AH2" s="65" t="s">
        <v>395</v>
      </c>
      <c r="AI2" s="65" t="s">
        <v>396</v>
      </c>
      <c r="AJ2" s="65" t="s">
        <v>397</v>
      </c>
      <c r="AK2" s="66" t="s">
        <v>398</v>
      </c>
      <c r="AL2" s="65" t="s">
        <v>399</v>
      </c>
      <c r="AM2" s="65" t="s">
        <v>400</v>
      </c>
      <c r="AN2" s="65" t="s">
        <v>401</v>
      </c>
      <c r="AO2" s="65" t="s">
        <v>402</v>
      </c>
      <c r="AP2" s="66" t="s">
        <v>403</v>
      </c>
      <c r="AQ2" s="65" t="s">
        <v>404</v>
      </c>
      <c r="AR2" s="65" t="s">
        <v>405</v>
      </c>
      <c r="AS2" s="65" t="s">
        <v>406</v>
      </c>
      <c r="AT2" s="66" t="s">
        <v>407</v>
      </c>
      <c r="AU2" s="65" t="s">
        <v>408</v>
      </c>
      <c r="AV2" s="65" t="s">
        <v>5</v>
      </c>
      <c r="AW2" s="65" t="s">
        <v>6</v>
      </c>
    </row>
    <row r="3">
      <c r="A3" s="112" t="s">
        <v>47</v>
      </c>
      <c r="B3" s="112" t="s">
        <v>48</v>
      </c>
      <c r="C3" s="112"/>
      <c r="D3" s="113">
        <f t="shared" ref="D3:D484" si="1">SUM(E3:AIZ3)</f>
        <v>800.2777667</v>
      </c>
      <c r="E3" s="112">
        <v>206.889633333333</v>
      </c>
      <c r="F3" s="113"/>
      <c r="G3" s="113"/>
      <c r="H3" s="113"/>
      <c r="I3" s="113"/>
      <c r="J3" s="113"/>
      <c r="K3" s="112"/>
      <c r="L3" s="112">
        <v>1.39285</v>
      </c>
      <c r="M3" s="112">
        <v>22.6998333333333</v>
      </c>
      <c r="N3" s="113"/>
      <c r="O3" s="112">
        <v>0.153883333333333</v>
      </c>
      <c r="P3" s="112">
        <v>156.961733333333</v>
      </c>
      <c r="Q3" s="112"/>
      <c r="R3" s="113"/>
      <c r="S3" s="113"/>
      <c r="T3" s="113"/>
      <c r="U3" s="113"/>
      <c r="V3" s="112">
        <v>1.88898333333333</v>
      </c>
      <c r="W3" s="112">
        <v>229.20655</v>
      </c>
      <c r="X3" s="113"/>
      <c r="Y3" s="113"/>
      <c r="Z3" s="113"/>
      <c r="AA3" s="113"/>
      <c r="AB3" s="113"/>
      <c r="AC3" s="112">
        <v>3.33206666666667</v>
      </c>
      <c r="AD3" s="112">
        <v>13.7419333333333</v>
      </c>
      <c r="AE3" s="113"/>
      <c r="AF3" s="113"/>
      <c r="AG3" s="113"/>
      <c r="AH3" s="113"/>
      <c r="AI3" s="112"/>
      <c r="AJ3" s="112">
        <v>1.38731666666667</v>
      </c>
      <c r="AK3" s="112">
        <v>99.5933833333335</v>
      </c>
      <c r="AL3" s="113"/>
      <c r="AM3" s="113"/>
      <c r="AN3" s="113"/>
      <c r="AO3" s="112">
        <v>3.28666666666667</v>
      </c>
      <c r="AP3" s="112">
        <v>32.9728333333333</v>
      </c>
      <c r="AQ3" s="113"/>
      <c r="AR3" s="113"/>
      <c r="AS3" s="112">
        <v>2.1157</v>
      </c>
      <c r="AT3" s="112">
        <v>22.7054833333333</v>
      </c>
      <c r="AU3" s="112"/>
      <c r="AV3" s="112">
        <v>1.05391666666667</v>
      </c>
      <c r="AW3" s="112">
        <v>0.895</v>
      </c>
      <c r="AX3" s="113"/>
      <c r="AY3" s="113"/>
      <c r="AZ3" s="113"/>
      <c r="BA3" s="112"/>
      <c r="BB3" s="113"/>
      <c r="BC3" s="113"/>
      <c r="BD3" s="113"/>
      <c r="BE3" s="113"/>
      <c r="BF3" s="113"/>
      <c r="BG3" s="112"/>
      <c r="BH3" s="113"/>
      <c r="BI3" s="113"/>
      <c r="BJ3" s="113"/>
      <c r="BK3" s="113"/>
      <c r="BL3" s="113"/>
      <c r="BM3" s="112"/>
      <c r="BN3" s="113"/>
      <c r="BO3" s="113"/>
      <c r="BP3" s="113"/>
      <c r="BQ3" s="113"/>
      <c r="BR3" s="113"/>
      <c r="BS3" s="112"/>
      <c r="BT3" s="113"/>
      <c r="BU3" s="113"/>
      <c r="BV3" s="113"/>
      <c r="BW3" s="113"/>
      <c r="BX3" s="113"/>
      <c r="BY3" s="112"/>
      <c r="BZ3" s="113"/>
      <c r="CA3" s="113"/>
      <c r="CB3" s="113"/>
      <c r="CC3" s="113"/>
      <c r="CD3" s="113"/>
      <c r="CE3" s="112"/>
      <c r="CF3" s="113"/>
      <c r="CG3" s="113"/>
      <c r="CH3" s="113"/>
      <c r="CI3" s="113"/>
      <c r="CJ3" s="113"/>
      <c r="CK3" s="112"/>
      <c r="CL3" s="113"/>
      <c r="CM3" s="113"/>
      <c r="CN3" s="113"/>
      <c r="CO3" s="113"/>
      <c r="CP3" s="113"/>
      <c r="CQ3" s="112"/>
      <c r="CR3" s="113"/>
      <c r="CS3" s="113"/>
      <c r="CT3" s="113"/>
      <c r="CU3" s="113"/>
      <c r="CV3" s="113"/>
      <c r="CW3" s="112"/>
      <c r="CX3" s="113"/>
      <c r="CY3" s="113"/>
      <c r="CZ3" s="113"/>
      <c r="DA3" s="113"/>
      <c r="DB3" s="113"/>
      <c r="DC3" s="112"/>
      <c r="DD3" s="113"/>
      <c r="DE3" s="113"/>
      <c r="DF3" s="113"/>
      <c r="DG3" s="113"/>
      <c r="DH3" s="113"/>
      <c r="DI3" s="112"/>
      <c r="DJ3" s="113"/>
      <c r="DK3" s="113"/>
      <c r="DL3" s="113"/>
      <c r="DM3" s="113"/>
      <c r="DN3" s="113"/>
      <c r="DO3" s="112"/>
      <c r="DP3" s="113"/>
      <c r="DQ3" s="113"/>
      <c r="DR3" s="113"/>
      <c r="DS3" s="113"/>
      <c r="DT3" s="113"/>
      <c r="DU3" s="112"/>
      <c r="DV3" s="113"/>
      <c r="DW3" s="113"/>
      <c r="DX3" s="113"/>
      <c r="DY3" s="113"/>
      <c r="DZ3" s="113"/>
      <c r="EA3" s="112"/>
      <c r="EB3" s="113"/>
      <c r="EC3" s="113"/>
      <c r="ED3" s="113"/>
      <c r="EE3" s="113"/>
      <c r="EF3" s="113"/>
      <c r="EG3" s="112"/>
      <c r="EH3" s="113"/>
      <c r="EI3" s="113"/>
      <c r="EJ3" s="113"/>
      <c r="EK3" s="113"/>
      <c r="EL3" s="113"/>
      <c r="EM3" s="112"/>
      <c r="EN3" s="113"/>
      <c r="EO3" s="113"/>
      <c r="EP3" s="113"/>
      <c r="EQ3" s="113"/>
      <c r="ER3" s="113"/>
      <c r="ES3" s="112"/>
      <c r="ET3" s="113"/>
      <c r="EU3" s="113"/>
      <c r="EV3" s="113"/>
      <c r="EW3" s="113"/>
      <c r="EX3" s="113"/>
      <c r="EY3" s="112"/>
      <c r="EZ3" s="113"/>
      <c r="FA3" s="113"/>
      <c r="FB3" s="113"/>
      <c r="FC3" s="113"/>
      <c r="FD3" s="113"/>
      <c r="FE3" s="112"/>
      <c r="FF3" s="113"/>
      <c r="FG3" s="113"/>
      <c r="FH3" s="113"/>
      <c r="FI3" s="113"/>
      <c r="FJ3" s="113"/>
      <c r="FK3" s="112"/>
      <c r="FL3" s="113"/>
      <c r="FM3" s="113"/>
      <c r="FN3" s="113"/>
      <c r="FO3" s="113"/>
      <c r="FP3" s="113"/>
      <c r="FQ3" s="112"/>
      <c r="FR3" s="113"/>
      <c r="FS3" s="113"/>
      <c r="FT3" s="113"/>
      <c r="FU3" s="113"/>
      <c r="FV3" s="113"/>
      <c r="FW3" s="112"/>
      <c r="FX3" s="113"/>
      <c r="FY3" s="113"/>
      <c r="FZ3" s="113"/>
      <c r="GA3" s="113"/>
      <c r="GB3" s="113"/>
      <c r="GC3" s="112"/>
      <c r="GD3" s="113"/>
      <c r="GE3" s="113"/>
      <c r="GF3" s="113"/>
      <c r="GG3" s="113"/>
      <c r="GH3" s="113"/>
      <c r="GI3" s="112"/>
      <c r="GJ3" s="113"/>
      <c r="GK3" s="113"/>
      <c r="GL3" s="113"/>
      <c r="GM3" s="113"/>
      <c r="GN3" s="113"/>
      <c r="GO3" s="112"/>
      <c r="GP3" s="113"/>
      <c r="GQ3" s="113"/>
      <c r="GR3" s="113"/>
      <c r="GS3" s="113"/>
      <c r="GT3" s="113"/>
      <c r="GU3" s="112"/>
      <c r="GV3" s="113"/>
      <c r="GW3" s="113"/>
      <c r="GX3" s="113"/>
      <c r="GY3" s="113"/>
      <c r="GZ3" s="113"/>
      <c r="HA3" s="112"/>
      <c r="HB3" s="113"/>
      <c r="HC3" s="113"/>
      <c r="HD3" s="113"/>
      <c r="HE3" s="113"/>
      <c r="HF3" s="113"/>
      <c r="HG3" s="112"/>
      <c r="HH3" s="113"/>
      <c r="HI3" s="113"/>
      <c r="HJ3" s="113"/>
      <c r="HK3" s="113"/>
      <c r="HL3" s="113"/>
      <c r="HM3" s="112"/>
      <c r="HN3" s="113"/>
      <c r="HO3" s="113"/>
      <c r="HP3" s="113"/>
      <c r="HQ3" s="113"/>
      <c r="HR3" s="113"/>
      <c r="HS3" s="112"/>
      <c r="HT3" s="113"/>
      <c r="HU3" s="113"/>
      <c r="HV3" s="113"/>
      <c r="HW3" s="113"/>
      <c r="HX3" s="113"/>
      <c r="HY3" s="112"/>
      <c r="HZ3" s="113"/>
      <c r="IA3" s="113"/>
      <c r="IB3" s="113"/>
      <c r="IC3" s="113"/>
      <c r="ID3" s="113"/>
      <c r="IE3" s="112"/>
      <c r="IF3" s="113"/>
      <c r="IG3" s="113"/>
      <c r="IH3" s="113"/>
      <c r="II3" s="113"/>
      <c r="IJ3" s="113"/>
      <c r="IK3" s="112"/>
      <c r="IL3" s="113"/>
      <c r="IM3" s="113"/>
      <c r="IN3" s="113"/>
      <c r="IO3" s="113"/>
      <c r="IP3" s="113"/>
      <c r="IQ3" s="112"/>
      <c r="IR3" s="113"/>
      <c r="IS3" s="113"/>
      <c r="IT3" s="113"/>
      <c r="IU3" s="113"/>
      <c r="IV3" s="113"/>
      <c r="IW3" s="112"/>
      <c r="IX3" s="113"/>
      <c r="IY3" s="113"/>
      <c r="IZ3" s="113"/>
      <c r="JA3" s="113"/>
      <c r="JB3" s="113"/>
      <c r="JC3" s="112"/>
      <c r="JD3" s="113"/>
      <c r="JE3" s="113"/>
      <c r="JF3" s="113"/>
      <c r="JG3" s="113"/>
      <c r="JH3" s="113"/>
      <c r="JI3" s="112"/>
      <c r="JJ3" s="113"/>
      <c r="JK3" s="113"/>
      <c r="JL3" s="113"/>
      <c r="JM3" s="113"/>
      <c r="JN3" s="113"/>
      <c r="JO3" s="112"/>
      <c r="JP3" s="113"/>
      <c r="JQ3" s="113"/>
      <c r="JR3" s="113"/>
      <c r="JS3" s="113"/>
      <c r="JT3" s="113"/>
      <c r="JU3" s="112"/>
      <c r="JV3" s="113"/>
      <c r="JW3" s="113"/>
      <c r="JX3" s="113"/>
      <c r="JY3" s="113"/>
      <c r="JZ3" s="113"/>
      <c r="KA3" s="112"/>
      <c r="KB3" s="113"/>
      <c r="KC3" s="113"/>
      <c r="KD3" s="113"/>
      <c r="KE3" s="113"/>
      <c r="KF3" s="113"/>
      <c r="KG3" s="112"/>
      <c r="KH3" s="113"/>
      <c r="KI3" s="113"/>
      <c r="KJ3" s="113"/>
      <c r="KK3" s="113"/>
      <c r="KL3" s="113"/>
      <c r="KM3" s="112"/>
      <c r="KN3" s="113"/>
      <c r="KO3" s="113"/>
      <c r="KP3" s="113"/>
      <c r="KQ3" s="113"/>
      <c r="KR3" s="113"/>
      <c r="KS3" s="112"/>
      <c r="KT3" s="113"/>
      <c r="KU3" s="113"/>
      <c r="KV3" s="113"/>
      <c r="KW3" s="113"/>
      <c r="KX3" s="113"/>
      <c r="KY3" s="112"/>
      <c r="KZ3" s="113"/>
      <c r="LA3" s="113"/>
      <c r="LB3" s="113"/>
      <c r="LC3" s="113"/>
      <c r="LD3" s="113"/>
      <c r="LE3" s="112"/>
      <c r="LF3" s="113"/>
      <c r="LG3" s="113"/>
      <c r="LH3" s="113"/>
      <c r="LI3" s="113"/>
      <c r="LJ3" s="113"/>
      <c r="LK3" s="112"/>
      <c r="LL3" s="113"/>
      <c r="LM3" s="113"/>
      <c r="LN3" s="113"/>
      <c r="LO3" s="113"/>
      <c r="LP3" s="113"/>
      <c r="LQ3" s="112"/>
      <c r="LR3" s="113"/>
      <c r="LS3" s="113"/>
      <c r="LT3" s="113"/>
      <c r="LU3" s="113"/>
      <c r="LV3" s="113"/>
      <c r="LW3" s="112"/>
      <c r="LX3" s="113"/>
      <c r="LY3" s="113"/>
      <c r="LZ3" s="113"/>
      <c r="MA3" s="113"/>
      <c r="MB3" s="113"/>
      <c r="MC3" s="112"/>
      <c r="MD3" s="113"/>
      <c r="ME3" s="113"/>
      <c r="MF3" s="113"/>
      <c r="MG3" s="113"/>
      <c r="MH3" s="113"/>
      <c r="MI3" s="112"/>
      <c r="MJ3" s="113"/>
      <c r="MK3" s="113"/>
      <c r="ML3" s="113"/>
      <c r="MM3" s="113"/>
      <c r="MN3" s="113"/>
      <c r="MO3" s="112"/>
      <c r="MP3" s="113"/>
      <c r="MQ3" s="113"/>
      <c r="MR3" s="113"/>
      <c r="MS3" s="113"/>
      <c r="MT3" s="113"/>
      <c r="MU3" s="112"/>
      <c r="MV3" s="113"/>
      <c r="MW3" s="113"/>
      <c r="MX3" s="113"/>
      <c r="MY3" s="113"/>
      <c r="MZ3" s="113"/>
      <c r="NA3" s="112"/>
      <c r="NB3" s="113"/>
      <c r="NC3" s="113"/>
      <c r="ND3" s="113"/>
      <c r="NE3" s="113"/>
      <c r="NF3" s="113"/>
      <c r="NG3" s="112"/>
      <c r="NH3" s="113"/>
      <c r="NI3" s="113"/>
      <c r="NJ3" s="113"/>
      <c r="NK3" s="113"/>
      <c r="NL3" s="113"/>
      <c r="NM3" s="112"/>
      <c r="NN3" s="113"/>
      <c r="NO3" s="113"/>
      <c r="NP3" s="113"/>
      <c r="NQ3" s="113"/>
      <c r="NR3" s="113"/>
      <c r="NS3" s="112"/>
      <c r="NT3" s="113"/>
      <c r="NU3" s="113"/>
      <c r="NV3" s="113"/>
      <c r="NW3" s="113"/>
      <c r="NX3" s="113"/>
      <c r="NY3" s="112"/>
      <c r="NZ3" s="113"/>
      <c r="OA3" s="113"/>
      <c r="OB3" s="113"/>
      <c r="OC3" s="113"/>
      <c r="OD3" s="113"/>
      <c r="OE3" s="112"/>
      <c r="OF3" s="113"/>
      <c r="OG3" s="113"/>
      <c r="OH3" s="113"/>
      <c r="OI3" s="113"/>
      <c r="OJ3" s="113"/>
      <c r="OK3" s="112"/>
      <c r="OL3" s="113"/>
      <c r="OM3" s="113"/>
      <c r="ON3" s="113"/>
      <c r="OO3" s="113"/>
      <c r="OP3" s="113"/>
      <c r="OQ3" s="112"/>
      <c r="OR3" s="113"/>
      <c r="OS3" s="113"/>
      <c r="OT3" s="113"/>
      <c r="OU3" s="113"/>
      <c r="OV3" s="113"/>
      <c r="OW3" s="112"/>
      <c r="OX3" s="113"/>
      <c r="OY3" s="113"/>
      <c r="OZ3" s="113"/>
      <c r="PA3" s="113"/>
      <c r="PB3" s="113"/>
      <c r="PC3" s="112"/>
      <c r="PD3" s="113"/>
      <c r="PE3" s="113"/>
      <c r="PF3" s="113"/>
      <c r="PG3" s="113"/>
      <c r="PH3" s="113"/>
      <c r="PI3" s="112"/>
      <c r="PJ3" s="113"/>
      <c r="PK3" s="113"/>
      <c r="PL3" s="113"/>
      <c r="PM3" s="113"/>
      <c r="PN3" s="113"/>
      <c r="PO3" s="112"/>
      <c r="PP3" s="113"/>
      <c r="PQ3" s="113"/>
      <c r="PR3" s="113"/>
      <c r="PS3" s="113"/>
      <c r="PT3" s="113"/>
      <c r="PU3" s="112"/>
      <c r="PV3" s="113"/>
      <c r="PW3" s="113"/>
      <c r="PX3" s="113"/>
      <c r="PY3" s="113"/>
      <c r="PZ3" s="113"/>
      <c r="QA3" s="112"/>
      <c r="QB3" s="113"/>
      <c r="QC3" s="113"/>
      <c r="QD3" s="113"/>
      <c r="QE3" s="113"/>
      <c r="QF3" s="113"/>
      <c r="QG3" s="112"/>
      <c r="QH3" s="113"/>
      <c r="QI3" s="113"/>
      <c r="QJ3" s="113"/>
      <c r="QK3" s="113"/>
      <c r="QL3" s="113"/>
      <c r="QM3" s="112"/>
      <c r="QN3" s="113"/>
      <c r="QO3" s="113"/>
      <c r="QP3" s="113"/>
      <c r="QQ3" s="113"/>
      <c r="QR3" s="113"/>
      <c r="QS3" s="112"/>
      <c r="QT3" s="113"/>
      <c r="QU3" s="113"/>
      <c r="QV3" s="113"/>
      <c r="QW3" s="113"/>
      <c r="QX3" s="113"/>
      <c r="QY3" s="112"/>
      <c r="QZ3" s="113"/>
      <c r="RA3" s="113"/>
      <c r="RB3" s="113"/>
      <c r="RC3" s="113"/>
      <c r="RD3" s="113"/>
      <c r="RE3" s="112"/>
      <c r="RF3" s="113"/>
      <c r="RG3" s="113"/>
      <c r="RH3" s="113"/>
      <c r="RI3" s="113"/>
      <c r="RJ3" s="113"/>
      <c r="RK3" s="112"/>
      <c r="RL3" s="113"/>
      <c r="RM3" s="113"/>
      <c r="RN3" s="113"/>
      <c r="RO3" s="113"/>
      <c r="RP3" s="113"/>
      <c r="RQ3" s="113"/>
      <c r="RR3" s="113"/>
      <c r="RS3" s="113"/>
      <c r="RT3" s="113"/>
      <c r="RU3" s="113"/>
      <c r="RV3" s="113"/>
      <c r="RW3" s="113"/>
      <c r="RX3" s="113"/>
      <c r="RY3" s="113"/>
      <c r="RZ3" s="113"/>
      <c r="SA3" s="113"/>
      <c r="SB3" s="113"/>
      <c r="SC3" s="113"/>
      <c r="SD3" s="113"/>
      <c r="SE3" s="113"/>
      <c r="SF3" s="113"/>
      <c r="SG3" s="113"/>
      <c r="SH3" s="113"/>
      <c r="SI3" s="113"/>
      <c r="SJ3" s="113"/>
      <c r="SK3" s="113"/>
      <c r="SL3" s="113"/>
      <c r="SM3" s="113"/>
      <c r="SN3" s="113"/>
      <c r="SO3" s="113"/>
      <c r="SP3" s="113"/>
      <c r="SQ3" s="113"/>
      <c r="SR3" s="113"/>
      <c r="SS3" s="113"/>
      <c r="ST3" s="113"/>
      <c r="SU3" s="113"/>
      <c r="SV3" s="113"/>
      <c r="SW3" s="113"/>
      <c r="SX3" s="113"/>
      <c r="SY3" s="113"/>
      <c r="SZ3" s="113"/>
      <c r="TA3" s="113"/>
      <c r="TB3" s="113"/>
      <c r="TC3" s="113"/>
      <c r="TD3" s="113"/>
      <c r="TE3" s="113"/>
      <c r="TF3" s="113"/>
      <c r="TG3" s="113"/>
      <c r="TH3" s="113"/>
      <c r="TI3" s="113"/>
      <c r="TJ3" s="113"/>
      <c r="TK3" s="113"/>
      <c r="TL3" s="113"/>
      <c r="TM3" s="113"/>
      <c r="TN3" s="113"/>
      <c r="TO3" s="113"/>
      <c r="TP3" s="113"/>
      <c r="TQ3" s="113"/>
      <c r="TR3" s="113"/>
      <c r="TS3" s="113"/>
      <c r="TT3" s="113"/>
      <c r="TU3" s="113"/>
      <c r="TV3" s="113"/>
      <c r="TW3" s="113"/>
      <c r="TX3" s="113"/>
      <c r="TY3" s="113"/>
      <c r="TZ3" s="113"/>
      <c r="UA3" s="113"/>
      <c r="UB3" s="113"/>
      <c r="UC3" s="113"/>
      <c r="UD3" s="113"/>
      <c r="UE3" s="113"/>
      <c r="UF3" s="113"/>
      <c r="UG3" s="113"/>
      <c r="UH3" s="113"/>
      <c r="UI3" s="113"/>
      <c r="UJ3" s="113"/>
      <c r="UK3" s="113"/>
      <c r="UL3" s="113"/>
      <c r="UM3" s="113"/>
      <c r="UN3" s="113"/>
      <c r="UO3" s="113"/>
      <c r="UP3" s="113"/>
      <c r="UQ3" s="113"/>
      <c r="UR3" s="113"/>
      <c r="US3" s="113"/>
      <c r="UT3" s="113"/>
      <c r="UU3" s="113"/>
      <c r="UV3" s="113"/>
      <c r="UW3" s="113"/>
      <c r="UX3" s="113"/>
      <c r="UY3" s="113"/>
      <c r="UZ3" s="113"/>
      <c r="VA3" s="113"/>
      <c r="VB3" s="113"/>
      <c r="VC3" s="113"/>
      <c r="VD3" s="113"/>
      <c r="VE3" s="113"/>
      <c r="VF3" s="113"/>
      <c r="VG3" s="113"/>
      <c r="VH3" s="113"/>
      <c r="VI3" s="113"/>
      <c r="VJ3" s="113"/>
      <c r="VK3" s="113"/>
      <c r="VL3" s="113"/>
      <c r="VM3" s="113"/>
      <c r="VN3" s="113"/>
      <c r="VO3" s="113"/>
      <c r="VP3" s="113"/>
      <c r="VQ3" s="113"/>
      <c r="VR3" s="113"/>
      <c r="VS3" s="113"/>
      <c r="VT3" s="113"/>
      <c r="VU3" s="113"/>
      <c r="VV3" s="113"/>
      <c r="VW3" s="113"/>
      <c r="VX3" s="113"/>
      <c r="VY3" s="113"/>
      <c r="VZ3" s="113"/>
      <c r="WA3" s="113"/>
      <c r="WB3" s="113"/>
      <c r="WC3" s="113"/>
      <c r="WD3" s="113"/>
      <c r="WE3" s="113"/>
      <c r="WF3" s="113"/>
      <c r="WG3" s="113"/>
      <c r="WH3" s="113"/>
      <c r="WI3" s="113"/>
      <c r="WJ3" s="113"/>
      <c r="WK3" s="113"/>
      <c r="WL3" s="113"/>
      <c r="WM3" s="113"/>
      <c r="WN3" s="113"/>
      <c r="WO3" s="113"/>
      <c r="WP3" s="113"/>
      <c r="WQ3" s="113"/>
      <c r="WR3" s="113"/>
      <c r="WS3" s="113"/>
      <c r="WT3" s="113"/>
      <c r="WU3" s="113"/>
      <c r="WV3" s="113"/>
      <c r="WW3" s="113"/>
      <c r="WX3" s="113"/>
      <c r="WY3" s="113"/>
      <c r="WZ3" s="113"/>
      <c r="XA3" s="113"/>
      <c r="XB3" s="113"/>
      <c r="XC3" s="113"/>
      <c r="XD3" s="113"/>
      <c r="XE3" s="113"/>
      <c r="XF3" s="113"/>
      <c r="XG3" s="113"/>
      <c r="XH3" s="113"/>
      <c r="XI3" s="113"/>
      <c r="XJ3" s="113"/>
      <c r="XK3" s="113"/>
      <c r="XL3" s="113"/>
      <c r="XM3" s="113"/>
      <c r="XN3" s="113"/>
      <c r="XO3" s="113"/>
      <c r="XP3" s="113"/>
      <c r="XQ3" s="113"/>
      <c r="XR3" s="113"/>
      <c r="XS3" s="113"/>
      <c r="XT3" s="113"/>
      <c r="XU3" s="113"/>
      <c r="XV3" s="113"/>
      <c r="XW3" s="113"/>
      <c r="XX3" s="113"/>
      <c r="XY3" s="113"/>
      <c r="XZ3" s="113"/>
      <c r="YA3" s="113"/>
      <c r="YB3" s="113"/>
      <c r="YC3" s="113"/>
      <c r="YD3" s="113"/>
      <c r="YE3" s="113"/>
      <c r="YF3" s="113"/>
      <c r="YG3" s="113"/>
      <c r="YH3" s="113"/>
      <c r="YI3" s="113"/>
      <c r="YJ3" s="113"/>
      <c r="YK3" s="113"/>
      <c r="YL3" s="113"/>
      <c r="YM3" s="113"/>
      <c r="YN3" s="113"/>
      <c r="YO3" s="113"/>
      <c r="YP3" s="113"/>
      <c r="YQ3" s="113"/>
      <c r="YR3" s="113"/>
      <c r="YS3" s="113"/>
      <c r="YT3" s="113"/>
      <c r="YU3" s="113"/>
      <c r="YV3" s="113"/>
      <c r="YW3" s="113"/>
      <c r="YX3" s="113"/>
      <c r="YY3" s="113"/>
      <c r="YZ3" s="113"/>
      <c r="ZA3" s="113"/>
      <c r="ZB3" s="113"/>
      <c r="ZC3" s="113"/>
      <c r="ZD3" s="113"/>
      <c r="ZE3" s="113"/>
      <c r="ZF3" s="113"/>
      <c r="ZG3" s="113"/>
      <c r="ZH3" s="113"/>
      <c r="ZI3" s="113"/>
      <c r="ZJ3" s="113"/>
      <c r="ZK3" s="113"/>
      <c r="ZL3" s="113"/>
      <c r="ZM3" s="113"/>
      <c r="ZN3" s="113"/>
      <c r="ZO3" s="113"/>
      <c r="ZP3" s="113"/>
      <c r="ZQ3" s="113"/>
      <c r="ZR3" s="113"/>
      <c r="ZS3" s="113"/>
      <c r="ZT3" s="113"/>
      <c r="ZU3" s="113"/>
      <c r="ZV3" s="113"/>
      <c r="ZW3" s="113"/>
      <c r="ZX3" s="113"/>
      <c r="ZY3" s="113"/>
      <c r="ZZ3" s="113"/>
      <c r="AAA3" s="113"/>
      <c r="AAB3" s="113"/>
      <c r="AAC3" s="113"/>
      <c r="AAD3" s="113"/>
      <c r="AAE3" s="113"/>
      <c r="AAF3" s="113"/>
      <c r="AAG3" s="113"/>
      <c r="AAH3" s="113"/>
      <c r="AAI3" s="113"/>
      <c r="AAJ3" s="113"/>
      <c r="AAK3" s="113"/>
      <c r="AAL3" s="113"/>
      <c r="AAM3" s="113"/>
      <c r="AAN3" s="113"/>
      <c r="AAO3" s="113"/>
      <c r="AAP3" s="113"/>
      <c r="AAQ3" s="113"/>
      <c r="AAR3" s="113"/>
      <c r="AAS3" s="113"/>
      <c r="AAT3" s="113"/>
      <c r="AAU3" s="113"/>
      <c r="AAV3" s="113"/>
      <c r="AAW3" s="113"/>
      <c r="AAX3" s="113"/>
      <c r="AAY3" s="113"/>
      <c r="AAZ3" s="113"/>
      <c r="ABA3" s="113"/>
      <c r="ABB3" s="113"/>
      <c r="ABC3" s="113"/>
      <c r="ABD3" s="113"/>
      <c r="ABE3" s="113"/>
      <c r="ABF3" s="113"/>
      <c r="ABG3" s="113"/>
      <c r="ABH3" s="113"/>
      <c r="ABI3" s="113"/>
      <c r="ABJ3" s="113"/>
      <c r="ABK3" s="113"/>
      <c r="ABL3" s="113"/>
      <c r="ABM3" s="113"/>
      <c r="ABN3" s="113"/>
      <c r="ABO3" s="113"/>
      <c r="ABP3" s="113"/>
      <c r="ABQ3" s="113"/>
      <c r="ABR3" s="113"/>
      <c r="ABS3" s="113"/>
      <c r="ABT3" s="113"/>
      <c r="ABU3" s="113"/>
      <c r="ABV3" s="113"/>
      <c r="ABW3" s="113"/>
      <c r="ABX3" s="113"/>
      <c r="ABY3" s="113"/>
      <c r="ABZ3" s="113"/>
      <c r="ACA3" s="113"/>
      <c r="ACB3" s="113"/>
      <c r="ACC3" s="113"/>
      <c r="ACD3" s="113"/>
      <c r="ACE3" s="113"/>
      <c r="ACF3" s="113"/>
      <c r="ACG3" s="113"/>
      <c r="ACH3" s="113"/>
      <c r="ACI3" s="113"/>
      <c r="ACJ3" s="113"/>
      <c r="ACK3" s="113"/>
      <c r="ACL3" s="113"/>
      <c r="ACM3" s="113"/>
      <c r="ACN3" s="113"/>
      <c r="ACO3" s="113"/>
      <c r="ACP3" s="113"/>
      <c r="ACQ3" s="113"/>
      <c r="ACR3" s="113"/>
      <c r="ACS3" s="113"/>
      <c r="ACT3" s="113"/>
      <c r="ACU3" s="113"/>
      <c r="ACV3" s="113"/>
      <c r="ACW3" s="113"/>
      <c r="ACX3" s="113"/>
      <c r="ACY3" s="113"/>
      <c r="ACZ3" s="113"/>
      <c r="ADA3" s="113"/>
      <c r="ADB3" s="113"/>
      <c r="ADC3" s="113"/>
      <c r="ADD3" s="113"/>
      <c r="ADE3" s="113"/>
      <c r="ADF3" s="113"/>
      <c r="ADG3" s="113"/>
      <c r="ADH3" s="113"/>
      <c r="ADI3" s="113"/>
      <c r="ADJ3" s="113"/>
      <c r="ADK3" s="113"/>
      <c r="ADL3" s="113"/>
      <c r="ADM3" s="113"/>
      <c r="ADN3" s="113"/>
      <c r="ADO3" s="113"/>
      <c r="ADP3" s="113"/>
      <c r="ADQ3" s="113"/>
      <c r="ADR3" s="113"/>
      <c r="ADS3" s="113"/>
      <c r="ADT3" s="113"/>
      <c r="ADU3" s="113"/>
      <c r="ADV3" s="113"/>
      <c r="ADW3" s="113"/>
      <c r="ADX3" s="113"/>
      <c r="ADY3" s="113"/>
      <c r="ADZ3" s="113"/>
      <c r="AEA3" s="113"/>
      <c r="AEB3" s="113"/>
      <c r="AEC3" s="113"/>
      <c r="AED3" s="113"/>
      <c r="AEE3" s="113"/>
      <c r="AEF3" s="113"/>
      <c r="AEG3" s="113"/>
      <c r="AEH3" s="113"/>
      <c r="AEI3" s="113"/>
      <c r="AEJ3" s="113"/>
      <c r="AEK3" s="113"/>
      <c r="AEL3" s="113"/>
      <c r="AEM3" s="113"/>
      <c r="AEN3" s="113"/>
      <c r="AEO3" s="113"/>
      <c r="AEP3" s="113"/>
      <c r="AEQ3" s="113"/>
      <c r="AER3" s="113"/>
      <c r="AES3" s="113"/>
      <c r="AET3" s="113"/>
      <c r="AEU3" s="113"/>
      <c r="AEV3" s="113"/>
      <c r="AEW3" s="113"/>
      <c r="AEX3" s="113"/>
      <c r="AEY3" s="113"/>
      <c r="AEZ3" s="113"/>
      <c r="AFA3" s="113"/>
      <c r="AFB3" s="113"/>
      <c r="AFC3" s="113"/>
      <c r="AFD3" s="113"/>
      <c r="AFE3" s="113"/>
      <c r="AFF3" s="113"/>
      <c r="AFG3" s="113"/>
      <c r="AFH3" s="113"/>
      <c r="AFI3" s="113"/>
      <c r="AFJ3" s="113"/>
      <c r="AFK3" s="113"/>
      <c r="AFL3" s="113"/>
      <c r="AFM3" s="113"/>
      <c r="AFN3" s="113"/>
      <c r="AFO3" s="113"/>
      <c r="AFP3" s="113"/>
      <c r="AFQ3" s="113"/>
      <c r="AFR3" s="113"/>
      <c r="AFS3" s="113"/>
      <c r="AFT3" s="113"/>
      <c r="AFU3" s="113"/>
      <c r="AFV3" s="113"/>
      <c r="AFW3" s="113"/>
      <c r="AFX3" s="113"/>
      <c r="AFY3" s="113"/>
      <c r="AFZ3" s="113"/>
      <c r="AGA3" s="113"/>
      <c r="AGB3" s="113"/>
      <c r="AGC3" s="113"/>
      <c r="AGD3" s="113"/>
      <c r="AGE3" s="113"/>
      <c r="AGF3" s="113"/>
      <c r="AGG3" s="113"/>
      <c r="AGH3" s="113"/>
      <c r="AGI3" s="113"/>
      <c r="AGJ3" s="113"/>
      <c r="AGK3" s="113"/>
      <c r="AGL3" s="113"/>
      <c r="AGM3" s="113"/>
      <c r="AGN3" s="113"/>
      <c r="AGO3" s="113"/>
      <c r="AGP3" s="113"/>
      <c r="AGQ3" s="113"/>
      <c r="AGR3" s="113"/>
      <c r="AGS3" s="113"/>
      <c r="AGT3" s="113"/>
      <c r="AGU3" s="113"/>
      <c r="AGV3" s="113"/>
      <c r="AGW3" s="113"/>
      <c r="AGX3" s="113"/>
      <c r="AGY3" s="113"/>
      <c r="AGZ3" s="113"/>
      <c r="AHA3" s="113"/>
      <c r="AHB3" s="113"/>
      <c r="AHC3" s="113"/>
      <c r="AHD3" s="113"/>
      <c r="AHE3" s="113"/>
      <c r="AHF3" s="113"/>
      <c r="AHG3" s="113"/>
      <c r="AHH3" s="113"/>
      <c r="AHI3" s="113"/>
      <c r="AHJ3" s="113"/>
      <c r="AHK3" s="113"/>
      <c r="AHL3" s="113"/>
      <c r="AHM3" s="113"/>
      <c r="AHN3" s="113"/>
      <c r="AHO3" s="113"/>
      <c r="AHP3" s="113"/>
      <c r="AHQ3" s="113"/>
      <c r="AHR3" s="113"/>
      <c r="AHS3" s="113"/>
      <c r="AHT3" s="113"/>
      <c r="AHU3" s="113"/>
      <c r="AHV3" s="113"/>
      <c r="AHW3" s="113"/>
      <c r="AHX3" s="113"/>
      <c r="AHY3" s="113"/>
      <c r="AHZ3" s="113"/>
      <c r="AIA3" s="113"/>
      <c r="AIB3" s="113"/>
      <c r="AIC3" s="113"/>
      <c r="AID3" s="113"/>
      <c r="AIE3" s="113"/>
      <c r="AIF3" s="113"/>
      <c r="AIG3" s="113"/>
      <c r="AIH3" s="113"/>
      <c r="AII3" s="113"/>
      <c r="AIJ3" s="113"/>
      <c r="AIK3" s="113"/>
      <c r="AIL3" s="113"/>
      <c r="AIM3" s="113"/>
      <c r="AIN3" s="113"/>
      <c r="AIO3" s="113"/>
      <c r="AIP3" s="113"/>
      <c r="AIQ3" s="113"/>
      <c r="AIR3" s="113"/>
      <c r="AIS3" s="113"/>
      <c r="AIT3" s="113"/>
      <c r="AIU3" s="113"/>
      <c r="AIV3" s="113"/>
      <c r="AIW3" s="113"/>
      <c r="AIX3" s="113"/>
      <c r="AIY3" s="113"/>
      <c r="AIZ3" s="113"/>
    </row>
    <row r="4">
      <c r="A4" s="65" t="s">
        <v>47</v>
      </c>
      <c r="B4" s="65" t="s">
        <v>48</v>
      </c>
      <c r="C4" s="65"/>
      <c r="D4" s="64">
        <f t="shared" si="1"/>
        <v>506.6870167</v>
      </c>
      <c r="G4" s="65">
        <v>10.64105</v>
      </c>
      <c r="H4" s="65">
        <v>10.3229333333333</v>
      </c>
      <c r="I4" s="65">
        <v>37.3779333333333</v>
      </c>
      <c r="J4" s="65">
        <v>17.9477333333333</v>
      </c>
      <c r="K4" s="65">
        <v>30.15065</v>
      </c>
      <c r="N4" s="65">
        <v>0.305616666666667</v>
      </c>
      <c r="Q4" s="65">
        <v>0.621666666666667</v>
      </c>
      <c r="R4" s="65">
        <v>0.76795</v>
      </c>
      <c r="S4" s="65">
        <v>1.4804</v>
      </c>
      <c r="T4" s="65">
        <v>50.7944166666666</v>
      </c>
      <c r="U4" s="65">
        <v>59.07725</v>
      </c>
      <c r="Y4" s="65">
        <v>5.7552</v>
      </c>
      <c r="Z4" s="65">
        <v>4.5673</v>
      </c>
      <c r="AA4" s="65">
        <v>76.9793166666666</v>
      </c>
      <c r="AB4" s="65">
        <v>93.7031166666667</v>
      </c>
      <c r="AF4" s="65">
        <v>0.454366666666667</v>
      </c>
      <c r="AG4" s="65">
        <v>0.754</v>
      </c>
      <c r="AH4" s="65">
        <v>1.9587</v>
      </c>
      <c r="AI4" s="65">
        <v>7.27981666666667</v>
      </c>
      <c r="AL4" s="65">
        <v>4.67131666666667</v>
      </c>
      <c r="AM4" s="65">
        <v>8.43745</v>
      </c>
      <c r="AN4" s="65">
        <v>42.4969</v>
      </c>
      <c r="AQ4" s="65">
        <v>1.75075</v>
      </c>
      <c r="AR4" s="65">
        <v>17.5355833333333</v>
      </c>
      <c r="AU4" s="65">
        <v>20.8556</v>
      </c>
    </row>
    <row r="5">
      <c r="A5" s="65" t="s">
        <v>47</v>
      </c>
      <c r="B5" s="65" t="s">
        <v>48</v>
      </c>
      <c r="C5" s="65"/>
      <c r="D5" s="64">
        <f t="shared" si="1"/>
        <v>0</v>
      </c>
    </row>
    <row r="6">
      <c r="A6" s="65" t="s">
        <v>47</v>
      </c>
      <c r="B6" s="65" t="s">
        <v>48</v>
      </c>
      <c r="C6" s="65"/>
      <c r="D6" s="64">
        <f t="shared" si="1"/>
        <v>501.2853333</v>
      </c>
      <c r="G6" s="118">
        <f>HYPERLINK("https://docs.google.com/spreadsheets/d/1QVQZmGFEEOldGB9lgC7PZmyRRRG76PH4", 8.5048)</f>
        <v>8.5048</v>
      </c>
      <c r="H6" s="118">
        <f>HYPERLINK("https://docs.google.com/spreadsheets/d/1Q2IzvIVphZQBA48B_-EUQ6lbXkhg7Syo", 10.3229333333333)</f>
        <v>10.32293333</v>
      </c>
      <c r="I6" s="118">
        <f>HYPERLINK("https://docs.google.com/spreadsheets/d/1S_IeXXO1n2H5ohLSbVl4GCim0vSHAvYK", 37.3779)</f>
        <v>37.3779</v>
      </c>
      <c r="J6" s="118">
        <f>HYPERLINK("https://docs.google.com/spreadsheets/d/1NTBlgN0uCGyKTZGzeqbOH4iWiPHOEnxv", 17.9477333333333)</f>
        <v>17.94773333</v>
      </c>
      <c r="K6" s="118">
        <f>HYPERLINK("https://docs.google.com/spreadsheets/d/1DHGtdUbWuscGOzO4HojgtdDlUwRbUBMS", 30.15065)</f>
        <v>30.15065</v>
      </c>
      <c r="N6" s="118">
        <f>HYPERLINK("https://docs.google.com/spreadsheets/d/1ICJj78cyNwkUnEbR_1mfSUaz3oUaQuG2", 0.305616666666667)</f>
        <v>0.3056166667</v>
      </c>
      <c r="Q6" s="118">
        <f>HYPERLINK("https://docs.google.com/spreadsheets/d/1zeo0fbIB0BDFjZZIkKK3piaFWowkPWMp", 0.621666666666667)</f>
        <v>0.6216666667</v>
      </c>
      <c r="R6" s="118">
        <f>HYPERLINK("https://docs.google.com/spreadsheets/d/1dOT4UfyzEKVASwKcNgPLzet6bGr-WBLS", 0.76795)</f>
        <v>0.76795</v>
      </c>
      <c r="S6" s="118">
        <f>HYPERLINK("https://docs.google.com/spreadsheets/d/1z97r7_8Gs9tSYkZDwQd9O2WR0oLMPYQa", 1.4804)</f>
        <v>1.4804</v>
      </c>
      <c r="T6" s="118">
        <f>HYPERLINK("https://docs.google.com/spreadsheets/d/1LAhVHyZPecDhk1qANGWM3vLiEuPDCdKe", 50.7944)</f>
        <v>50.7944</v>
      </c>
      <c r="U6" s="118">
        <f>HYPERLINK("https://docs.google.com/spreadsheets/d/10PnycMHrsFhquJUog01pn1PF4IhNoZXP", 58.9118666666666)</f>
        <v>58.91186667</v>
      </c>
      <c r="Y6" s="118">
        <f>HYPERLINK("https://docs.google.com/spreadsheets/d/1s7hwMs7xuZF5q7fVUqcraJjC2Mdejhdc", 3.30923333333333)</f>
        <v>3.309233333</v>
      </c>
      <c r="Z6" s="118">
        <f>HYPERLINK("https://docs.google.com/spreadsheets/d/1TDU-T4i2v37wku_-l0BxYjUUxbfnl6je", 4.5673)</f>
        <v>4.5673</v>
      </c>
      <c r="AA6" s="118">
        <f>HYPERLINK("https://docs.google.com/spreadsheets/d/1pZIMkXuXw1_e6togeu4akV7TpHIA01Vm", 76.8102166666667)</f>
        <v>76.81021667</v>
      </c>
      <c r="AB6" s="118">
        <f>HYPERLINK("https://docs.google.com/spreadsheets/d/17pkZKWa9U0D8wMw3oy9gij1j4xX-CyYy", 93.703)</f>
        <v>93.703</v>
      </c>
      <c r="AF6" s="118">
        <f>HYPERLINK("https://docs.google.com/spreadsheets/d/191LKTIAb24FRbWs9u1ZrlsBRycbwB95t", 0.257316666666667)</f>
        <v>0.2573166667</v>
      </c>
      <c r="AG6" s="118">
        <f>HYPERLINK("https://docs.google.com/spreadsheets/d/1pM9fY6APLA30VISLNnpBRZijlQS_0SgD", 0.754)</f>
        <v>0.754</v>
      </c>
      <c r="AH6" s="118">
        <f>HYPERLINK("https://docs.google.com/spreadsheets/d/1PiODBfBonB7LQMKIE5siv-QEqrtDrkaO", 1.9587)</f>
        <v>1.9587</v>
      </c>
      <c r="AI6" s="118">
        <f>HYPERLINK("https://docs.google.com/spreadsheets/d/1hJjlauE1ntZohJgVurWRwhdrmZ-Y6FJp", 7.27983333333333)</f>
        <v>7.279833333</v>
      </c>
      <c r="AL6" s="118">
        <f>HYPERLINK("https://docs.google.com/spreadsheets/d/1K2hcrJca0iUFIYWJdQw0aUWG2Ogg85yX", 4.67131666666667)</f>
        <v>4.671316667</v>
      </c>
      <c r="AM6" s="118">
        <f>HYPERLINK("https://docs.google.com/spreadsheets/d/1BpbR1Tq5uSXAKgSID93_PsJlzDWyuXPu", 8.43746666666667)</f>
        <v>8.437466667</v>
      </c>
      <c r="AN6" s="118">
        <f>HYPERLINK("https://docs.google.com/spreadsheets/d/1kIWDzE1MGUXIZWN8aAfhGRiZ5aXUpmpi", 42.4969166666666)</f>
        <v>42.49691667</v>
      </c>
      <c r="AQ6" s="118">
        <f>HYPERLINK("https://docs.google.com/spreadsheets/d/1N8tvO_vcuC-Q5qrFCIP3lu1jctZMFngg", 1.75075)</f>
        <v>1.75075</v>
      </c>
      <c r="AR6" s="118">
        <f>HYPERLINK("https://docs.google.com/spreadsheets/d/1bsW0hK9j7F7RRhOMFKuUyR_sn9AEzYdE", 17.5355666666667)</f>
        <v>17.53556667</v>
      </c>
      <c r="AU6" s="118">
        <f>HYPERLINK("https://docs.google.com/spreadsheets/d/1svd1vTLMDIPAMasZjTvITkL1qPuGoJRz", 20.5678)</f>
        <v>20.5678</v>
      </c>
    </row>
    <row r="7">
      <c r="A7" s="65" t="s">
        <v>47</v>
      </c>
      <c r="B7" s="65" t="s">
        <v>48</v>
      </c>
      <c r="C7" s="65"/>
      <c r="D7" s="64">
        <f t="shared" si="1"/>
        <v>305.83315</v>
      </c>
      <c r="G7" s="65">
        <v>8.28466666666667</v>
      </c>
      <c r="H7" s="65">
        <v>10.3229333333333</v>
      </c>
      <c r="I7" s="65">
        <v>34.7545</v>
      </c>
      <c r="J7" s="65">
        <v>16.4358666666667</v>
      </c>
      <c r="K7" s="65">
        <v>12.5596666666667</v>
      </c>
      <c r="N7" s="65">
        <v>0.305616666666667</v>
      </c>
      <c r="Q7" s="65">
        <v>0.4155</v>
      </c>
      <c r="R7" s="65">
        <v>0.76795</v>
      </c>
      <c r="S7" s="65">
        <v>1.4804</v>
      </c>
      <c r="T7" s="65">
        <v>45.6818666666667</v>
      </c>
      <c r="U7" s="65">
        <v>13.3135666666667</v>
      </c>
      <c r="Y7" s="65">
        <v>2.68543333333333</v>
      </c>
      <c r="Z7" s="65">
        <v>3.03903333333333</v>
      </c>
      <c r="AA7" s="65">
        <v>64.6631</v>
      </c>
      <c r="AB7" s="65">
        <v>25.2112333333333</v>
      </c>
      <c r="AF7" s="65">
        <v>0.122766666666667</v>
      </c>
      <c r="AG7" s="65">
        <v>0.476016666666667</v>
      </c>
      <c r="AH7" s="65">
        <v>0.8661</v>
      </c>
      <c r="AI7" s="65">
        <v>5.55118333333333</v>
      </c>
      <c r="AL7" s="65">
        <v>4.16655</v>
      </c>
      <c r="AM7" s="65">
        <v>7.53763333333333</v>
      </c>
      <c r="AN7" s="65">
        <v>20.8742833333333</v>
      </c>
      <c r="AQ7" s="65">
        <v>1.75075</v>
      </c>
      <c r="AR7" s="65">
        <v>9.68156666666667</v>
      </c>
      <c r="AU7" s="65">
        <v>14.8849666666667</v>
      </c>
    </row>
    <row r="8">
      <c r="A8" s="119" t="s">
        <v>47</v>
      </c>
      <c r="B8" s="119" t="s">
        <v>48</v>
      </c>
      <c r="C8" s="119"/>
      <c r="D8" s="120">
        <f t="shared" si="1"/>
        <v>0</v>
      </c>
      <c r="E8" s="120"/>
      <c r="F8" s="120"/>
      <c r="G8" s="120"/>
      <c r="H8" s="120"/>
      <c r="I8" s="120"/>
      <c r="J8" s="120"/>
      <c r="K8" s="120"/>
      <c r="L8" s="120"/>
      <c r="M8" s="120"/>
      <c r="N8" s="120"/>
      <c r="O8" s="120"/>
      <c r="P8" s="120"/>
      <c r="Q8" s="120"/>
      <c r="R8" s="120"/>
      <c r="S8" s="120"/>
      <c r="T8" s="120"/>
      <c r="U8" s="120"/>
      <c r="V8" s="120"/>
      <c r="W8" s="120"/>
      <c r="X8" s="120"/>
      <c r="Y8" s="120"/>
      <c r="Z8" s="120"/>
      <c r="AA8" s="120"/>
      <c r="AB8" s="120"/>
      <c r="AC8" s="120"/>
      <c r="AD8" s="120"/>
      <c r="AE8" s="120"/>
      <c r="AF8" s="120"/>
      <c r="AG8" s="120"/>
      <c r="AH8" s="120"/>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c r="FV8" s="120"/>
      <c r="FW8" s="120"/>
      <c r="FX8" s="120"/>
      <c r="FY8" s="120"/>
      <c r="FZ8" s="120"/>
      <c r="GA8" s="120"/>
      <c r="GB8" s="120"/>
      <c r="GC8" s="120"/>
      <c r="GD8" s="120"/>
      <c r="GE8" s="120"/>
      <c r="GF8" s="120"/>
      <c r="GG8" s="120"/>
      <c r="GH8" s="120"/>
      <c r="GI8" s="120"/>
      <c r="GJ8" s="120"/>
      <c r="GK8" s="120"/>
      <c r="GL8" s="120"/>
      <c r="GM8" s="120"/>
      <c r="GN8" s="120"/>
      <c r="GO8" s="120"/>
      <c r="GP8" s="120"/>
      <c r="GQ8" s="120"/>
      <c r="GR8" s="120"/>
      <c r="GS8" s="120"/>
      <c r="GT8" s="120"/>
      <c r="GU8" s="120"/>
      <c r="GV8" s="120"/>
      <c r="GW8" s="120"/>
      <c r="GX8" s="120"/>
      <c r="GY8" s="120"/>
      <c r="GZ8" s="120"/>
      <c r="HA8" s="120"/>
      <c r="HB8" s="120"/>
      <c r="HC8" s="120"/>
      <c r="HD8" s="120"/>
      <c r="HE8" s="120"/>
      <c r="HF8" s="120"/>
      <c r="HG8" s="120"/>
      <c r="HH8" s="120"/>
      <c r="HI8" s="120"/>
      <c r="HJ8" s="120"/>
      <c r="HK8" s="120"/>
      <c r="HL8" s="120"/>
      <c r="HM8" s="120"/>
      <c r="HN8" s="120"/>
      <c r="HO8" s="120"/>
      <c r="HP8" s="120"/>
      <c r="HQ8" s="120"/>
      <c r="HR8" s="120"/>
      <c r="HS8" s="120"/>
      <c r="HT8" s="120"/>
      <c r="HU8" s="120"/>
      <c r="HV8" s="120"/>
      <c r="HW8" s="120"/>
      <c r="HX8" s="120"/>
      <c r="HY8" s="120"/>
      <c r="HZ8" s="120"/>
      <c r="IA8" s="120"/>
      <c r="IB8" s="120"/>
      <c r="IC8" s="120"/>
      <c r="ID8" s="120"/>
      <c r="IE8" s="120"/>
      <c r="IF8" s="120"/>
      <c r="IG8" s="120"/>
      <c r="IH8" s="120"/>
      <c r="II8" s="120"/>
      <c r="IJ8" s="120"/>
      <c r="IK8" s="120"/>
      <c r="IL8" s="120"/>
      <c r="IM8" s="120"/>
      <c r="IN8" s="120"/>
      <c r="IO8" s="120"/>
      <c r="IP8" s="120"/>
      <c r="IQ8" s="120"/>
      <c r="IR8" s="120"/>
      <c r="IS8" s="120"/>
      <c r="IT8" s="120"/>
      <c r="IU8" s="120"/>
      <c r="IV8" s="120"/>
      <c r="IW8" s="120"/>
      <c r="IX8" s="120"/>
      <c r="IY8" s="120"/>
      <c r="IZ8" s="120"/>
      <c r="JA8" s="120"/>
      <c r="JB8" s="120"/>
      <c r="JC8" s="120"/>
      <c r="JD8" s="120"/>
      <c r="JE8" s="120"/>
      <c r="JF8" s="120"/>
      <c r="JG8" s="120"/>
      <c r="JH8" s="120"/>
      <c r="JI8" s="120"/>
      <c r="JJ8" s="120"/>
      <c r="JK8" s="120"/>
      <c r="JL8" s="120"/>
      <c r="JM8" s="120"/>
      <c r="JN8" s="120"/>
      <c r="JO8" s="120"/>
      <c r="JP8" s="120"/>
      <c r="JQ8" s="120"/>
      <c r="JR8" s="120"/>
      <c r="JS8" s="120"/>
      <c r="JT8" s="120"/>
      <c r="JU8" s="120"/>
      <c r="JV8" s="120"/>
      <c r="JW8" s="120"/>
      <c r="JX8" s="120"/>
      <c r="JY8" s="120"/>
      <c r="JZ8" s="120"/>
      <c r="KA8" s="120"/>
      <c r="KB8" s="120"/>
      <c r="KC8" s="120"/>
      <c r="KD8" s="120"/>
      <c r="KE8" s="120"/>
      <c r="KF8" s="120"/>
      <c r="KG8" s="120"/>
      <c r="KH8" s="120"/>
      <c r="KI8" s="120"/>
      <c r="KJ8" s="120"/>
      <c r="KK8" s="120"/>
      <c r="KL8" s="120"/>
      <c r="KM8" s="120"/>
      <c r="KN8" s="120"/>
      <c r="KO8" s="120"/>
      <c r="KP8" s="120"/>
      <c r="KQ8" s="120"/>
      <c r="KR8" s="120"/>
      <c r="KS8" s="120"/>
      <c r="KT8" s="120"/>
      <c r="KU8" s="120"/>
      <c r="KV8" s="120"/>
      <c r="KW8" s="120"/>
      <c r="KX8" s="120"/>
      <c r="KY8" s="120"/>
      <c r="KZ8" s="120"/>
      <c r="LA8" s="120"/>
      <c r="LB8" s="120"/>
      <c r="LC8" s="120"/>
      <c r="LD8" s="120"/>
      <c r="LE8" s="120"/>
      <c r="LF8" s="120"/>
      <c r="LG8" s="120"/>
      <c r="LH8" s="120"/>
      <c r="LI8" s="120"/>
      <c r="LJ8" s="120"/>
      <c r="LK8" s="120"/>
      <c r="LL8" s="120"/>
      <c r="LM8" s="120"/>
      <c r="LN8" s="120"/>
      <c r="LO8" s="120"/>
      <c r="LP8" s="120"/>
      <c r="LQ8" s="120"/>
      <c r="LR8" s="120"/>
      <c r="LS8" s="120"/>
      <c r="LT8" s="120"/>
      <c r="LU8" s="120"/>
      <c r="LV8" s="120"/>
      <c r="LW8" s="120"/>
      <c r="LX8" s="120"/>
      <c r="LY8" s="120"/>
      <c r="LZ8" s="120"/>
      <c r="MA8" s="120"/>
      <c r="MB8" s="120"/>
      <c r="MC8" s="120"/>
      <c r="MD8" s="120"/>
      <c r="ME8" s="120"/>
      <c r="MF8" s="120"/>
      <c r="MG8" s="120"/>
      <c r="MH8" s="120"/>
      <c r="MI8" s="120"/>
      <c r="MJ8" s="120"/>
      <c r="MK8" s="120"/>
      <c r="ML8" s="120"/>
      <c r="MM8" s="120"/>
      <c r="MN8" s="120"/>
      <c r="MO8" s="120"/>
      <c r="MP8" s="120"/>
      <c r="MQ8" s="120"/>
      <c r="MR8" s="120"/>
      <c r="MS8" s="120"/>
      <c r="MT8" s="120"/>
      <c r="MU8" s="120"/>
      <c r="MV8" s="120"/>
      <c r="MW8" s="120"/>
      <c r="MX8" s="120"/>
      <c r="MY8" s="120"/>
      <c r="MZ8" s="120"/>
      <c r="NA8" s="120"/>
      <c r="NB8" s="120"/>
      <c r="NC8" s="120"/>
      <c r="ND8" s="120"/>
      <c r="NE8" s="120"/>
      <c r="NF8" s="120"/>
      <c r="NG8" s="120"/>
      <c r="NH8" s="120"/>
      <c r="NI8" s="120"/>
      <c r="NJ8" s="120"/>
      <c r="NK8" s="120"/>
      <c r="NL8" s="120"/>
      <c r="NM8" s="120"/>
      <c r="NN8" s="120"/>
      <c r="NO8" s="120"/>
      <c r="NP8" s="120"/>
      <c r="NQ8" s="120"/>
      <c r="NR8" s="120"/>
      <c r="NS8" s="120"/>
      <c r="NT8" s="120"/>
      <c r="NU8" s="120"/>
      <c r="NV8" s="120"/>
      <c r="NW8" s="120"/>
      <c r="NX8" s="120"/>
      <c r="NY8" s="120"/>
      <c r="NZ8" s="120"/>
      <c r="OA8" s="120"/>
      <c r="OB8" s="120"/>
      <c r="OC8" s="120"/>
      <c r="OD8" s="120"/>
      <c r="OE8" s="120"/>
      <c r="OF8" s="120"/>
      <c r="OG8" s="120"/>
      <c r="OH8" s="120"/>
      <c r="OI8" s="120"/>
      <c r="OJ8" s="120"/>
      <c r="OK8" s="120"/>
      <c r="OL8" s="120"/>
      <c r="OM8" s="120"/>
      <c r="ON8" s="120"/>
      <c r="OO8" s="120"/>
      <c r="OP8" s="120"/>
      <c r="OQ8" s="120"/>
      <c r="OR8" s="120"/>
      <c r="OS8" s="120"/>
      <c r="OT8" s="120"/>
      <c r="OU8" s="120"/>
      <c r="OV8" s="120"/>
      <c r="OW8" s="120"/>
      <c r="OX8" s="120"/>
      <c r="OY8" s="120"/>
      <c r="OZ8" s="120"/>
      <c r="PA8" s="120"/>
      <c r="PB8" s="120"/>
      <c r="PC8" s="120"/>
      <c r="PD8" s="120"/>
      <c r="PE8" s="120"/>
      <c r="PF8" s="120"/>
      <c r="PG8" s="120"/>
      <c r="PH8" s="120"/>
      <c r="PI8" s="120"/>
      <c r="PJ8" s="120"/>
      <c r="PK8" s="120"/>
      <c r="PL8" s="120"/>
      <c r="PM8" s="120"/>
      <c r="PN8" s="120"/>
      <c r="PO8" s="120"/>
      <c r="PP8" s="120"/>
      <c r="PQ8" s="120"/>
      <c r="PR8" s="120"/>
      <c r="PS8" s="120"/>
      <c r="PT8" s="120"/>
      <c r="PU8" s="120"/>
      <c r="PV8" s="120"/>
      <c r="PW8" s="120"/>
      <c r="PX8" s="120"/>
      <c r="PY8" s="120"/>
      <c r="PZ8" s="120"/>
      <c r="QA8" s="120"/>
      <c r="QB8" s="120"/>
      <c r="QC8" s="120"/>
      <c r="QD8" s="120"/>
      <c r="QE8" s="120"/>
      <c r="QF8" s="120"/>
      <c r="QG8" s="120"/>
      <c r="QH8" s="120"/>
      <c r="QI8" s="120"/>
      <c r="QJ8" s="120"/>
      <c r="QK8" s="120"/>
      <c r="QL8" s="120"/>
      <c r="QM8" s="120"/>
      <c r="QN8" s="120"/>
      <c r="QO8" s="120"/>
      <c r="QP8" s="120"/>
      <c r="QQ8" s="120"/>
      <c r="QR8" s="120"/>
      <c r="QS8" s="120"/>
      <c r="QT8" s="120"/>
      <c r="QU8" s="120"/>
      <c r="QV8" s="120"/>
      <c r="QW8" s="120"/>
      <c r="QX8" s="120"/>
      <c r="QY8" s="120"/>
      <c r="QZ8" s="120"/>
      <c r="RA8" s="120"/>
      <c r="RB8" s="120"/>
      <c r="RC8" s="120"/>
      <c r="RD8" s="120"/>
      <c r="RE8" s="120"/>
      <c r="RF8" s="120"/>
      <c r="RG8" s="120"/>
      <c r="RH8" s="120"/>
      <c r="RI8" s="120"/>
      <c r="RJ8" s="120"/>
      <c r="RK8" s="120"/>
      <c r="RL8" s="120"/>
      <c r="RM8" s="120"/>
      <c r="RN8" s="120"/>
      <c r="RO8" s="120"/>
      <c r="RP8" s="120"/>
      <c r="RQ8" s="120"/>
      <c r="RR8" s="120"/>
      <c r="RS8" s="120"/>
      <c r="RT8" s="120"/>
      <c r="RU8" s="120"/>
      <c r="RV8" s="120"/>
      <c r="RW8" s="120"/>
      <c r="RX8" s="120"/>
      <c r="RY8" s="120"/>
      <c r="RZ8" s="120"/>
      <c r="SA8" s="120"/>
      <c r="SB8" s="120"/>
      <c r="SC8" s="120"/>
      <c r="SD8" s="120"/>
      <c r="SE8" s="120"/>
      <c r="SF8" s="120"/>
      <c r="SG8" s="120"/>
      <c r="SH8" s="120"/>
      <c r="SI8" s="120"/>
      <c r="SJ8" s="120"/>
      <c r="SK8" s="120"/>
      <c r="SL8" s="120"/>
      <c r="SM8" s="120"/>
      <c r="SN8" s="120"/>
      <c r="SO8" s="120"/>
      <c r="SP8" s="120"/>
      <c r="SQ8" s="120"/>
      <c r="SR8" s="120"/>
      <c r="SS8" s="120"/>
      <c r="ST8" s="120"/>
      <c r="SU8" s="120"/>
      <c r="SV8" s="120"/>
      <c r="SW8" s="120"/>
      <c r="SX8" s="120"/>
      <c r="SY8" s="120"/>
      <c r="SZ8" s="120"/>
      <c r="TA8" s="120"/>
      <c r="TB8" s="120"/>
      <c r="TC8" s="120"/>
      <c r="TD8" s="120"/>
      <c r="TE8" s="120"/>
      <c r="TF8" s="120"/>
      <c r="TG8" s="120"/>
      <c r="TH8" s="120"/>
      <c r="TI8" s="120"/>
      <c r="TJ8" s="120"/>
      <c r="TK8" s="120"/>
      <c r="TL8" s="120"/>
      <c r="TM8" s="120"/>
      <c r="TN8" s="120"/>
      <c r="TO8" s="120"/>
      <c r="TP8" s="120"/>
      <c r="TQ8" s="120"/>
      <c r="TR8" s="120"/>
      <c r="TS8" s="120"/>
      <c r="TT8" s="120"/>
      <c r="TU8" s="120"/>
      <c r="TV8" s="120"/>
      <c r="TW8" s="120"/>
      <c r="TX8" s="120"/>
      <c r="TY8" s="120"/>
      <c r="TZ8" s="120"/>
      <c r="UA8" s="120"/>
      <c r="UB8" s="120"/>
      <c r="UC8" s="120"/>
      <c r="UD8" s="120"/>
      <c r="UE8" s="120"/>
      <c r="UF8" s="120"/>
      <c r="UG8" s="120"/>
      <c r="UH8" s="120"/>
      <c r="UI8" s="120"/>
      <c r="UJ8" s="120"/>
      <c r="UK8" s="120"/>
      <c r="UL8" s="120"/>
      <c r="UM8" s="120"/>
      <c r="UN8" s="120"/>
      <c r="UO8" s="120"/>
      <c r="UP8" s="120"/>
      <c r="UQ8" s="120"/>
      <c r="UR8" s="120"/>
      <c r="US8" s="120"/>
      <c r="UT8" s="120"/>
      <c r="UU8" s="120"/>
      <c r="UV8" s="120"/>
      <c r="UW8" s="120"/>
      <c r="UX8" s="120"/>
      <c r="UY8" s="120"/>
      <c r="UZ8" s="120"/>
      <c r="VA8" s="120"/>
      <c r="VB8" s="120"/>
      <c r="VC8" s="120"/>
      <c r="VD8" s="120"/>
      <c r="VE8" s="120"/>
      <c r="VF8" s="120"/>
      <c r="VG8" s="120"/>
      <c r="VH8" s="120"/>
      <c r="VI8" s="120"/>
      <c r="VJ8" s="120"/>
      <c r="VK8" s="120"/>
      <c r="VL8" s="120"/>
      <c r="VM8" s="120"/>
      <c r="VN8" s="120"/>
      <c r="VO8" s="120"/>
      <c r="VP8" s="120"/>
      <c r="VQ8" s="120"/>
      <c r="VR8" s="120"/>
      <c r="VS8" s="120"/>
      <c r="VT8" s="120"/>
      <c r="VU8" s="120"/>
      <c r="VV8" s="120"/>
      <c r="VW8" s="120"/>
      <c r="VX8" s="120"/>
      <c r="VY8" s="120"/>
      <c r="VZ8" s="120"/>
      <c r="WA8" s="120"/>
      <c r="WB8" s="120"/>
      <c r="WC8" s="120"/>
      <c r="WD8" s="120"/>
      <c r="WE8" s="120"/>
      <c r="WF8" s="120"/>
      <c r="WG8" s="120"/>
      <c r="WH8" s="120"/>
      <c r="WI8" s="120"/>
      <c r="WJ8" s="120"/>
      <c r="WK8" s="120"/>
      <c r="WL8" s="120"/>
      <c r="WM8" s="120"/>
      <c r="WN8" s="120"/>
      <c r="WO8" s="120"/>
      <c r="WP8" s="120"/>
      <c r="WQ8" s="120"/>
      <c r="WR8" s="120"/>
      <c r="WS8" s="120"/>
      <c r="WT8" s="120"/>
      <c r="WU8" s="120"/>
      <c r="WV8" s="120"/>
      <c r="WW8" s="120"/>
      <c r="WX8" s="120"/>
      <c r="WY8" s="120"/>
      <c r="WZ8" s="120"/>
      <c r="XA8" s="120"/>
      <c r="XB8" s="120"/>
      <c r="XC8" s="120"/>
      <c r="XD8" s="120"/>
      <c r="XE8" s="120"/>
      <c r="XF8" s="120"/>
      <c r="XG8" s="120"/>
      <c r="XH8" s="120"/>
      <c r="XI8" s="120"/>
      <c r="XJ8" s="120"/>
      <c r="XK8" s="120"/>
      <c r="XL8" s="120"/>
      <c r="XM8" s="120"/>
      <c r="XN8" s="120"/>
      <c r="XO8" s="120"/>
      <c r="XP8" s="120"/>
      <c r="XQ8" s="120"/>
      <c r="XR8" s="120"/>
      <c r="XS8" s="120"/>
      <c r="XT8" s="120"/>
      <c r="XU8" s="120"/>
      <c r="XV8" s="120"/>
      <c r="XW8" s="120"/>
      <c r="XX8" s="120"/>
      <c r="XY8" s="120"/>
      <c r="XZ8" s="120"/>
      <c r="YA8" s="120"/>
      <c r="YB8" s="120"/>
      <c r="YC8" s="120"/>
      <c r="YD8" s="120"/>
      <c r="YE8" s="120"/>
      <c r="YF8" s="120"/>
      <c r="YG8" s="120"/>
      <c r="YH8" s="120"/>
      <c r="YI8" s="120"/>
      <c r="YJ8" s="120"/>
      <c r="YK8" s="120"/>
      <c r="YL8" s="120"/>
      <c r="YM8" s="120"/>
      <c r="YN8" s="120"/>
      <c r="YO8" s="120"/>
      <c r="YP8" s="120"/>
      <c r="YQ8" s="120"/>
      <c r="YR8" s="120"/>
      <c r="YS8" s="120"/>
      <c r="YT8" s="120"/>
      <c r="YU8" s="120"/>
      <c r="YV8" s="120"/>
      <c r="YW8" s="120"/>
      <c r="YX8" s="120"/>
      <c r="YY8" s="120"/>
      <c r="YZ8" s="120"/>
      <c r="ZA8" s="120"/>
      <c r="ZB8" s="120"/>
      <c r="ZC8" s="120"/>
      <c r="ZD8" s="120"/>
      <c r="ZE8" s="120"/>
      <c r="ZF8" s="120"/>
      <c r="ZG8" s="120"/>
      <c r="ZH8" s="120"/>
      <c r="ZI8" s="120"/>
      <c r="ZJ8" s="120"/>
      <c r="ZK8" s="120"/>
      <c r="ZL8" s="120"/>
      <c r="ZM8" s="120"/>
      <c r="ZN8" s="120"/>
      <c r="ZO8" s="120"/>
      <c r="ZP8" s="120"/>
      <c r="ZQ8" s="120"/>
      <c r="ZR8" s="120"/>
      <c r="ZS8" s="120"/>
      <c r="ZT8" s="120"/>
      <c r="ZU8" s="120"/>
      <c r="ZV8" s="120"/>
      <c r="ZW8" s="120"/>
      <c r="ZX8" s="120"/>
      <c r="ZY8" s="120"/>
      <c r="ZZ8" s="120"/>
      <c r="AAA8" s="120"/>
      <c r="AAB8" s="120"/>
      <c r="AAC8" s="120"/>
      <c r="AAD8" s="120"/>
      <c r="AAE8" s="120"/>
      <c r="AAF8" s="120"/>
      <c r="AAG8" s="120"/>
      <c r="AAH8" s="120"/>
      <c r="AAI8" s="120"/>
      <c r="AAJ8" s="120"/>
      <c r="AAK8" s="120"/>
      <c r="AAL8" s="120"/>
      <c r="AAM8" s="120"/>
      <c r="AAN8" s="120"/>
      <c r="AAO8" s="120"/>
      <c r="AAP8" s="120"/>
      <c r="AAQ8" s="120"/>
      <c r="AAR8" s="120"/>
      <c r="AAS8" s="120"/>
      <c r="AAT8" s="120"/>
      <c r="AAU8" s="120"/>
      <c r="AAV8" s="120"/>
      <c r="AAW8" s="120"/>
      <c r="AAX8" s="120"/>
      <c r="AAY8" s="120"/>
      <c r="AAZ8" s="120"/>
      <c r="ABA8" s="120"/>
      <c r="ABB8" s="120"/>
      <c r="ABC8" s="120"/>
      <c r="ABD8" s="120"/>
      <c r="ABE8" s="120"/>
      <c r="ABF8" s="120"/>
      <c r="ABG8" s="120"/>
      <c r="ABH8" s="120"/>
      <c r="ABI8" s="120"/>
      <c r="ABJ8" s="120"/>
      <c r="ABK8" s="120"/>
      <c r="ABL8" s="120"/>
      <c r="ABM8" s="120"/>
      <c r="ABN8" s="120"/>
      <c r="ABO8" s="120"/>
      <c r="ABP8" s="120"/>
      <c r="ABQ8" s="120"/>
      <c r="ABR8" s="120"/>
      <c r="ABS8" s="120"/>
      <c r="ABT8" s="120"/>
      <c r="ABU8" s="120"/>
      <c r="ABV8" s="120"/>
      <c r="ABW8" s="120"/>
      <c r="ABX8" s="120"/>
      <c r="ABY8" s="120"/>
      <c r="ABZ8" s="120"/>
      <c r="ACA8" s="120"/>
      <c r="ACB8" s="120"/>
      <c r="ACC8" s="120"/>
      <c r="ACD8" s="120"/>
      <c r="ACE8" s="120"/>
      <c r="ACF8" s="120"/>
      <c r="ACG8" s="120"/>
      <c r="ACH8" s="120"/>
      <c r="ACI8" s="120"/>
      <c r="ACJ8" s="120"/>
      <c r="ACK8" s="120"/>
      <c r="ACL8" s="120"/>
      <c r="ACM8" s="120"/>
      <c r="ACN8" s="120"/>
      <c r="ACO8" s="120"/>
      <c r="ACP8" s="120"/>
      <c r="ACQ8" s="120"/>
      <c r="ACR8" s="120"/>
      <c r="ACS8" s="120"/>
      <c r="ACT8" s="120"/>
      <c r="ACU8" s="120"/>
      <c r="ACV8" s="120"/>
      <c r="ACW8" s="120"/>
      <c r="ACX8" s="120"/>
      <c r="ACY8" s="120"/>
      <c r="ACZ8" s="120"/>
      <c r="ADA8" s="120"/>
      <c r="ADB8" s="120"/>
      <c r="ADC8" s="120"/>
      <c r="ADD8" s="120"/>
      <c r="ADE8" s="120"/>
      <c r="ADF8" s="120"/>
      <c r="ADG8" s="120"/>
      <c r="ADH8" s="120"/>
      <c r="ADI8" s="120"/>
      <c r="ADJ8" s="120"/>
      <c r="ADK8" s="120"/>
      <c r="ADL8" s="120"/>
      <c r="ADM8" s="120"/>
      <c r="ADN8" s="120"/>
      <c r="ADO8" s="120"/>
      <c r="ADP8" s="120"/>
      <c r="ADQ8" s="120"/>
      <c r="ADR8" s="120"/>
      <c r="ADS8" s="120"/>
      <c r="ADT8" s="120"/>
      <c r="ADU8" s="120"/>
      <c r="ADV8" s="120"/>
      <c r="ADW8" s="120"/>
      <c r="ADX8" s="120"/>
      <c r="ADY8" s="120"/>
      <c r="ADZ8" s="120"/>
      <c r="AEA8" s="120"/>
      <c r="AEB8" s="120"/>
      <c r="AEC8" s="120"/>
      <c r="AED8" s="120"/>
      <c r="AEE8" s="120"/>
      <c r="AEF8" s="120"/>
      <c r="AEG8" s="120"/>
      <c r="AEH8" s="120"/>
      <c r="AEI8" s="120"/>
      <c r="AEJ8" s="120"/>
      <c r="AEK8" s="120"/>
      <c r="AEL8" s="120"/>
      <c r="AEM8" s="120"/>
      <c r="AEN8" s="120"/>
      <c r="AEO8" s="120"/>
      <c r="AEP8" s="120"/>
      <c r="AEQ8" s="120"/>
      <c r="AER8" s="120"/>
      <c r="AES8" s="120"/>
      <c r="AET8" s="120"/>
      <c r="AEU8" s="120"/>
      <c r="AEV8" s="120"/>
      <c r="AEW8" s="120"/>
      <c r="AEX8" s="120"/>
      <c r="AEY8" s="120"/>
      <c r="AEZ8" s="120"/>
      <c r="AFA8" s="120"/>
      <c r="AFB8" s="120"/>
      <c r="AFC8" s="120"/>
      <c r="AFD8" s="120"/>
      <c r="AFE8" s="120"/>
      <c r="AFF8" s="120"/>
      <c r="AFG8" s="120"/>
      <c r="AFH8" s="120"/>
      <c r="AFI8" s="120"/>
      <c r="AFJ8" s="120"/>
      <c r="AFK8" s="120"/>
      <c r="AFL8" s="120"/>
      <c r="AFM8" s="120"/>
      <c r="AFN8" s="120"/>
      <c r="AFO8" s="120"/>
      <c r="AFP8" s="120"/>
      <c r="AFQ8" s="120"/>
      <c r="AFR8" s="120"/>
      <c r="AFS8" s="120"/>
      <c r="AFT8" s="120"/>
      <c r="AFU8" s="120"/>
      <c r="AFV8" s="120"/>
      <c r="AFW8" s="120"/>
      <c r="AFX8" s="120"/>
      <c r="AFY8" s="120"/>
      <c r="AFZ8" s="120"/>
      <c r="AGA8" s="120"/>
      <c r="AGB8" s="120"/>
      <c r="AGC8" s="120"/>
      <c r="AGD8" s="120"/>
      <c r="AGE8" s="120"/>
      <c r="AGF8" s="120"/>
      <c r="AGG8" s="120"/>
      <c r="AGH8" s="120"/>
      <c r="AGI8" s="120"/>
      <c r="AGJ8" s="120"/>
      <c r="AGK8" s="120"/>
      <c r="AGL8" s="120"/>
      <c r="AGM8" s="120"/>
      <c r="AGN8" s="120"/>
      <c r="AGO8" s="120"/>
      <c r="AGP8" s="120"/>
      <c r="AGQ8" s="120"/>
      <c r="AGR8" s="120"/>
      <c r="AGS8" s="120"/>
      <c r="AGT8" s="120"/>
      <c r="AGU8" s="120"/>
      <c r="AGV8" s="120"/>
      <c r="AGW8" s="120"/>
      <c r="AGX8" s="120"/>
      <c r="AGY8" s="120"/>
      <c r="AGZ8" s="120"/>
      <c r="AHA8" s="120"/>
      <c r="AHB8" s="120"/>
      <c r="AHC8" s="120"/>
      <c r="AHD8" s="120"/>
      <c r="AHE8" s="120"/>
      <c r="AHF8" s="120"/>
      <c r="AHG8" s="120"/>
      <c r="AHH8" s="120"/>
      <c r="AHI8" s="120"/>
      <c r="AHJ8" s="120"/>
      <c r="AHK8" s="120"/>
      <c r="AHL8" s="120"/>
      <c r="AHM8" s="120"/>
      <c r="AHN8" s="120"/>
      <c r="AHO8" s="120"/>
      <c r="AHP8" s="120"/>
      <c r="AHQ8" s="120"/>
      <c r="AHR8" s="120"/>
      <c r="AHS8" s="120"/>
      <c r="AHT8" s="120"/>
      <c r="AHU8" s="120"/>
      <c r="AHV8" s="120"/>
      <c r="AHW8" s="120"/>
      <c r="AHX8" s="120"/>
      <c r="AHY8" s="120"/>
      <c r="AHZ8" s="120"/>
      <c r="AIA8" s="120"/>
      <c r="AIB8" s="120"/>
      <c r="AIC8" s="120"/>
      <c r="AID8" s="120"/>
      <c r="AIE8" s="120"/>
      <c r="AIF8" s="120"/>
      <c r="AIG8" s="120"/>
      <c r="AIH8" s="120"/>
      <c r="AII8" s="120"/>
      <c r="AIJ8" s="120"/>
      <c r="AIK8" s="120"/>
      <c r="AIL8" s="120"/>
      <c r="AIM8" s="120"/>
      <c r="AIN8" s="120"/>
      <c r="AIO8" s="120"/>
      <c r="AIP8" s="120"/>
      <c r="AIQ8" s="120"/>
      <c r="AIR8" s="120"/>
      <c r="AIS8" s="120"/>
      <c r="AIT8" s="120"/>
      <c r="AIU8" s="120"/>
      <c r="AIV8" s="120"/>
      <c r="AIW8" s="120"/>
      <c r="AIX8" s="120"/>
      <c r="AIY8" s="120"/>
      <c r="AIZ8" s="120"/>
    </row>
    <row r="9">
      <c r="A9" s="112" t="s">
        <v>47</v>
      </c>
      <c r="B9" s="112" t="s">
        <v>49</v>
      </c>
      <c r="C9" s="112"/>
      <c r="D9" s="113">
        <f t="shared" si="1"/>
        <v>564.0797</v>
      </c>
      <c r="E9" s="112">
        <v>83.8745333333334</v>
      </c>
      <c r="F9" s="113"/>
      <c r="G9" s="113"/>
      <c r="H9" s="113"/>
      <c r="I9" s="113"/>
      <c r="J9" s="113"/>
      <c r="K9" s="113"/>
      <c r="L9" s="112">
        <v>0.440983333333333</v>
      </c>
      <c r="M9" s="112">
        <v>19.18135</v>
      </c>
      <c r="N9" s="113"/>
      <c r="O9" s="112">
        <v>0.290016666666667</v>
      </c>
      <c r="P9" s="112">
        <v>134.011133333333</v>
      </c>
      <c r="Q9" s="113"/>
      <c r="R9" s="113"/>
      <c r="S9" s="113"/>
      <c r="T9" s="113"/>
      <c r="U9" s="113"/>
      <c r="V9" s="112">
        <v>2.1803</v>
      </c>
      <c r="W9" s="112">
        <v>189.7896</v>
      </c>
      <c r="X9" s="113"/>
      <c r="Y9" s="113"/>
      <c r="Z9" s="113"/>
      <c r="AA9" s="113"/>
      <c r="AB9" s="113"/>
      <c r="AC9" s="112">
        <v>3.40606666666667</v>
      </c>
      <c r="AD9" s="112">
        <v>9.58061666666667</v>
      </c>
      <c r="AE9" s="113"/>
      <c r="AF9" s="113"/>
      <c r="AG9" s="113"/>
      <c r="AH9" s="113"/>
      <c r="AI9" s="113"/>
      <c r="AJ9" s="112">
        <v>0.794783333333333</v>
      </c>
      <c r="AK9" s="112">
        <v>69.7117666666667</v>
      </c>
      <c r="AL9" s="113"/>
      <c r="AM9" s="113"/>
      <c r="AN9" s="113"/>
      <c r="AO9" s="112">
        <v>3.07886666666667</v>
      </c>
      <c r="AP9" s="112">
        <v>23.6513666666667</v>
      </c>
      <c r="AQ9" s="113"/>
      <c r="AR9" s="113"/>
      <c r="AS9" s="112">
        <v>1.74563333333333</v>
      </c>
      <c r="AT9" s="112">
        <v>19.9610166666667</v>
      </c>
      <c r="AU9" s="113"/>
      <c r="AV9" s="112">
        <v>1.67926666666667</v>
      </c>
      <c r="AW9" s="112">
        <v>0.7024</v>
      </c>
      <c r="AX9" s="113"/>
      <c r="AY9" s="113"/>
      <c r="AZ9" s="113"/>
      <c r="BA9" s="113"/>
      <c r="BB9" s="113"/>
      <c r="BC9" s="113"/>
      <c r="BD9" s="113"/>
      <c r="BE9" s="113"/>
      <c r="BF9" s="113"/>
      <c r="BG9" s="113"/>
      <c r="BH9" s="113"/>
      <c r="BI9" s="113"/>
      <c r="BJ9" s="113"/>
      <c r="BK9" s="113"/>
      <c r="BL9" s="113"/>
      <c r="BM9" s="113"/>
      <c r="BN9" s="113"/>
      <c r="BO9" s="113"/>
      <c r="BP9" s="113"/>
      <c r="BQ9" s="113"/>
      <c r="BR9" s="113"/>
      <c r="BS9" s="113"/>
      <c r="BT9" s="113"/>
      <c r="BU9" s="113"/>
      <c r="BV9" s="113"/>
      <c r="BW9" s="113"/>
      <c r="BX9" s="113"/>
      <c r="BY9" s="113"/>
      <c r="BZ9" s="113"/>
      <c r="CA9" s="113"/>
      <c r="CB9" s="113"/>
      <c r="CC9" s="113"/>
      <c r="CD9" s="113"/>
      <c r="CE9" s="113"/>
      <c r="CF9" s="113"/>
      <c r="CG9" s="113"/>
      <c r="CH9" s="113"/>
      <c r="CI9" s="113"/>
      <c r="CJ9" s="113"/>
      <c r="CK9" s="113"/>
      <c r="CL9" s="113"/>
      <c r="CM9" s="113"/>
      <c r="CN9" s="113"/>
      <c r="CO9" s="113"/>
      <c r="CP9" s="113"/>
      <c r="CQ9" s="113"/>
      <c r="CR9" s="113"/>
      <c r="CS9" s="113"/>
      <c r="CT9" s="113"/>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13"/>
      <c r="EA9" s="113"/>
      <c r="EB9" s="113"/>
      <c r="EC9" s="113"/>
      <c r="ED9" s="113"/>
      <c r="EE9" s="113"/>
      <c r="EF9" s="113"/>
      <c r="EG9" s="113"/>
      <c r="EH9" s="113"/>
      <c r="EI9" s="113"/>
      <c r="EJ9" s="113"/>
      <c r="EK9" s="113"/>
      <c r="EL9" s="113"/>
      <c r="EM9" s="113"/>
      <c r="EN9" s="113"/>
      <c r="EO9" s="113"/>
      <c r="EP9" s="113"/>
      <c r="EQ9" s="113"/>
      <c r="ER9" s="113"/>
      <c r="ES9" s="113"/>
      <c r="ET9" s="113"/>
      <c r="EU9" s="113"/>
      <c r="EV9" s="113"/>
      <c r="EW9" s="113"/>
      <c r="EX9" s="113"/>
      <c r="EY9" s="113"/>
      <c r="EZ9" s="113"/>
      <c r="FA9" s="113"/>
      <c r="FB9" s="113"/>
      <c r="FC9" s="113"/>
      <c r="FD9" s="113"/>
      <c r="FE9" s="113"/>
      <c r="FF9" s="113"/>
      <c r="FG9" s="113"/>
      <c r="FH9" s="113"/>
      <c r="FI9" s="113"/>
      <c r="FJ9" s="113"/>
      <c r="FK9" s="113"/>
      <c r="FL9" s="113"/>
      <c r="FM9" s="113"/>
      <c r="FN9" s="113"/>
      <c r="FO9" s="113"/>
      <c r="FP9" s="113"/>
      <c r="FQ9" s="113"/>
      <c r="FR9" s="113"/>
      <c r="FS9" s="113"/>
      <c r="FT9" s="113"/>
      <c r="FU9" s="113"/>
      <c r="FV9" s="113"/>
      <c r="FW9" s="113"/>
      <c r="FX9" s="113"/>
      <c r="FY9" s="113"/>
      <c r="FZ9" s="113"/>
      <c r="GA9" s="113"/>
      <c r="GB9" s="113"/>
      <c r="GC9" s="113"/>
      <c r="GD9" s="113"/>
      <c r="GE9" s="113"/>
      <c r="GF9" s="113"/>
      <c r="GG9" s="113"/>
      <c r="GH9" s="113"/>
      <c r="GI9" s="113"/>
      <c r="GJ9" s="113"/>
      <c r="GK9" s="113"/>
      <c r="GL9" s="113"/>
      <c r="GM9" s="113"/>
      <c r="GN9" s="113"/>
      <c r="GO9" s="113"/>
      <c r="GP9" s="113"/>
      <c r="GQ9" s="113"/>
      <c r="GR9" s="113"/>
      <c r="GS9" s="113"/>
      <c r="GT9" s="113"/>
      <c r="GU9" s="113"/>
      <c r="GV9" s="113"/>
      <c r="GW9" s="113"/>
      <c r="GX9" s="113"/>
      <c r="GY9" s="113"/>
      <c r="GZ9" s="113"/>
      <c r="HA9" s="113"/>
      <c r="HB9" s="113"/>
      <c r="HC9" s="113"/>
      <c r="HD9" s="113"/>
      <c r="HE9" s="113"/>
      <c r="HF9" s="113"/>
      <c r="HG9" s="113"/>
      <c r="HH9" s="113"/>
      <c r="HI9" s="113"/>
      <c r="HJ9" s="113"/>
      <c r="HK9" s="113"/>
      <c r="HL9" s="113"/>
      <c r="HM9" s="113"/>
      <c r="HN9" s="113"/>
      <c r="HO9" s="113"/>
      <c r="HP9" s="113"/>
      <c r="HQ9" s="113"/>
      <c r="HR9" s="113"/>
      <c r="HS9" s="113"/>
      <c r="HT9" s="113"/>
      <c r="HU9" s="113"/>
      <c r="HV9" s="113"/>
      <c r="HW9" s="113"/>
      <c r="HX9" s="113"/>
      <c r="HY9" s="113"/>
      <c r="HZ9" s="113"/>
      <c r="IA9" s="113"/>
      <c r="IB9" s="113"/>
      <c r="IC9" s="113"/>
      <c r="ID9" s="113"/>
      <c r="IE9" s="113"/>
      <c r="IF9" s="113"/>
      <c r="IG9" s="113"/>
      <c r="IH9" s="113"/>
      <c r="II9" s="113"/>
      <c r="IJ9" s="113"/>
      <c r="IK9" s="113"/>
      <c r="IL9" s="113"/>
      <c r="IM9" s="113"/>
      <c r="IN9" s="113"/>
      <c r="IO9" s="113"/>
      <c r="IP9" s="113"/>
      <c r="IQ9" s="113"/>
      <c r="IR9" s="113"/>
      <c r="IS9" s="113"/>
      <c r="IT9" s="113"/>
      <c r="IU9" s="113"/>
      <c r="IV9" s="113"/>
      <c r="IW9" s="113"/>
      <c r="IX9" s="113"/>
      <c r="IY9" s="113"/>
      <c r="IZ9" s="113"/>
      <c r="JA9" s="113"/>
      <c r="JB9" s="113"/>
      <c r="JC9" s="113"/>
      <c r="JD9" s="113"/>
      <c r="JE9" s="113"/>
      <c r="JF9" s="113"/>
      <c r="JG9" s="113"/>
      <c r="JH9" s="113"/>
      <c r="JI9" s="113"/>
      <c r="JJ9" s="113"/>
      <c r="JK9" s="113"/>
      <c r="JL9" s="113"/>
      <c r="JM9" s="113"/>
      <c r="JN9" s="113"/>
      <c r="JO9" s="113"/>
      <c r="JP9" s="113"/>
      <c r="JQ9" s="113"/>
      <c r="JR9" s="113"/>
      <c r="JS9" s="113"/>
      <c r="JT9" s="113"/>
      <c r="JU9" s="113"/>
      <c r="JV9" s="113"/>
      <c r="JW9" s="113"/>
      <c r="JX9" s="113"/>
      <c r="JY9" s="113"/>
      <c r="JZ9" s="113"/>
      <c r="KA9" s="113"/>
      <c r="KB9" s="113"/>
      <c r="KC9" s="113"/>
      <c r="KD9" s="113"/>
      <c r="KE9" s="113"/>
      <c r="KF9" s="113"/>
      <c r="KG9" s="113"/>
      <c r="KH9" s="113"/>
      <c r="KI9" s="113"/>
      <c r="KJ9" s="113"/>
      <c r="KK9" s="113"/>
      <c r="KL9" s="113"/>
      <c r="KM9" s="113"/>
      <c r="KN9" s="113"/>
      <c r="KO9" s="113"/>
      <c r="KP9" s="113"/>
      <c r="KQ9" s="113"/>
      <c r="KR9" s="113"/>
      <c r="KS9" s="113"/>
      <c r="KT9" s="113"/>
      <c r="KU9" s="113"/>
      <c r="KV9" s="113"/>
      <c r="KW9" s="113"/>
      <c r="KX9" s="113"/>
      <c r="KY9" s="113"/>
      <c r="KZ9" s="113"/>
      <c r="LA9" s="113"/>
      <c r="LB9" s="113"/>
      <c r="LC9" s="113"/>
      <c r="LD9" s="113"/>
      <c r="LE9" s="113"/>
      <c r="LF9" s="113"/>
      <c r="LG9" s="113"/>
      <c r="LH9" s="113"/>
      <c r="LI9" s="113"/>
      <c r="LJ9" s="113"/>
      <c r="LK9" s="113"/>
      <c r="LL9" s="113"/>
      <c r="LM9" s="113"/>
      <c r="LN9" s="113"/>
      <c r="LO9" s="113"/>
      <c r="LP9" s="113"/>
      <c r="LQ9" s="113"/>
      <c r="LR9" s="113"/>
      <c r="LS9" s="113"/>
      <c r="LT9" s="113"/>
      <c r="LU9" s="113"/>
      <c r="LV9" s="113"/>
      <c r="LW9" s="113"/>
      <c r="LX9" s="113"/>
      <c r="LY9" s="113"/>
      <c r="LZ9" s="113"/>
      <c r="MA9" s="113"/>
      <c r="MB9" s="113"/>
      <c r="MC9" s="113"/>
      <c r="MD9" s="113"/>
      <c r="ME9" s="113"/>
      <c r="MF9" s="113"/>
      <c r="MG9" s="113"/>
      <c r="MH9" s="113"/>
      <c r="MI9" s="113"/>
      <c r="MJ9" s="113"/>
      <c r="MK9" s="113"/>
      <c r="ML9" s="113"/>
      <c r="MM9" s="113"/>
      <c r="MN9" s="113"/>
      <c r="MO9" s="113"/>
      <c r="MP9" s="113"/>
      <c r="MQ9" s="113"/>
      <c r="MR9" s="113"/>
      <c r="MS9" s="113"/>
      <c r="MT9" s="113"/>
      <c r="MU9" s="113"/>
      <c r="MV9" s="113"/>
      <c r="MW9" s="113"/>
      <c r="MX9" s="113"/>
      <c r="MY9" s="113"/>
      <c r="MZ9" s="113"/>
      <c r="NA9" s="113"/>
      <c r="NB9" s="113"/>
      <c r="NC9" s="113"/>
      <c r="ND9" s="113"/>
      <c r="NE9" s="113"/>
      <c r="NF9" s="113"/>
      <c r="NG9" s="113"/>
      <c r="NH9" s="113"/>
      <c r="NI9" s="113"/>
      <c r="NJ9" s="113"/>
      <c r="NK9" s="113"/>
      <c r="NL9" s="113"/>
      <c r="NM9" s="113"/>
      <c r="NN9" s="113"/>
      <c r="NO9" s="113"/>
      <c r="NP9" s="113"/>
      <c r="NQ9" s="113"/>
      <c r="NR9" s="113"/>
      <c r="NS9" s="113"/>
      <c r="NT9" s="113"/>
      <c r="NU9" s="113"/>
      <c r="NV9" s="113"/>
      <c r="NW9" s="113"/>
      <c r="NX9" s="113"/>
      <c r="NY9" s="113"/>
      <c r="NZ9" s="113"/>
      <c r="OA9" s="113"/>
      <c r="OB9" s="113"/>
      <c r="OC9" s="113"/>
      <c r="OD9" s="113"/>
      <c r="OE9" s="113"/>
      <c r="OF9" s="113"/>
      <c r="OG9" s="113"/>
      <c r="OH9" s="113"/>
      <c r="OI9" s="113"/>
      <c r="OJ9" s="113"/>
      <c r="OK9" s="113"/>
      <c r="OL9" s="113"/>
      <c r="OM9" s="113"/>
      <c r="ON9" s="113"/>
      <c r="OO9" s="113"/>
      <c r="OP9" s="113"/>
      <c r="OQ9" s="113"/>
      <c r="OR9" s="113"/>
      <c r="OS9" s="113"/>
      <c r="OT9" s="113"/>
      <c r="OU9" s="113"/>
      <c r="OV9" s="113"/>
      <c r="OW9" s="113"/>
      <c r="OX9" s="113"/>
      <c r="OY9" s="113"/>
      <c r="OZ9" s="113"/>
      <c r="PA9" s="113"/>
      <c r="PB9" s="113"/>
      <c r="PC9" s="113"/>
      <c r="PD9" s="113"/>
      <c r="PE9" s="113"/>
      <c r="PF9" s="113"/>
      <c r="PG9" s="113"/>
      <c r="PH9" s="113"/>
      <c r="PI9" s="113"/>
      <c r="PJ9" s="113"/>
      <c r="PK9" s="113"/>
      <c r="PL9" s="113"/>
      <c r="PM9" s="113"/>
      <c r="PN9" s="113"/>
      <c r="PO9" s="113"/>
      <c r="PP9" s="113"/>
      <c r="PQ9" s="113"/>
      <c r="PR9" s="113"/>
      <c r="PS9" s="113"/>
      <c r="PT9" s="113"/>
      <c r="PU9" s="113"/>
      <c r="PV9" s="113"/>
      <c r="PW9" s="113"/>
      <c r="PX9" s="113"/>
      <c r="PY9" s="113"/>
      <c r="PZ9" s="113"/>
      <c r="QA9" s="113"/>
      <c r="QB9" s="113"/>
      <c r="QC9" s="113"/>
      <c r="QD9" s="113"/>
      <c r="QE9" s="113"/>
      <c r="QF9" s="113"/>
      <c r="QG9" s="113"/>
      <c r="QH9" s="113"/>
      <c r="QI9" s="113"/>
      <c r="QJ9" s="113"/>
      <c r="QK9" s="113"/>
      <c r="QL9" s="113"/>
      <c r="QM9" s="113"/>
      <c r="QN9" s="113"/>
      <c r="QO9" s="113"/>
      <c r="QP9" s="113"/>
      <c r="QQ9" s="113"/>
      <c r="QR9" s="113"/>
      <c r="QS9" s="113"/>
      <c r="QT9" s="113"/>
      <c r="QU9" s="113"/>
      <c r="QV9" s="113"/>
      <c r="QW9" s="113"/>
      <c r="QX9" s="113"/>
      <c r="QY9" s="113"/>
      <c r="QZ9" s="113"/>
      <c r="RA9" s="113"/>
      <c r="RB9" s="113"/>
      <c r="RC9" s="113"/>
      <c r="RD9" s="113"/>
      <c r="RE9" s="113"/>
      <c r="RF9" s="113"/>
      <c r="RG9" s="113"/>
      <c r="RH9" s="113"/>
      <c r="RI9" s="113"/>
      <c r="RJ9" s="113"/>
      <c r="RK9" s="113"/>
      <c r="RL9" s="113"/>
      <c r="RM9" s="113"/>
      <c r="RN9" s="113"/>
      <c r="RO9" s="113"/>
      <c r="RP9" s="113"/>
      <c r="RQ9" s="113"/>
      <c r="RR9" s="113"/>
      <c r="RS9" s="113"/>
      <c r="RT9" s="113"/>
      <c r="RU9" s="113"/>
      <c r="RV9" s="113"/>
      <c r="RW9" s="113"/>
      <c r="RX9" s="113"/>
      <c r="RY9" s="113"/>
      <c r="RZ9" s="113"/>
      <c r="SA9" s="113"/>
      <c r="SB9" s="113"/>
      <c r="SC9" s="113"/>
      <c r="SD9" s="113"/>
      <c r="SE9" s="113"/>
      <c r="SF9" s="113"/>
      <c r="SG9" s="113"/>
      <c r="SH9" s="113"/>
      <c r="SI9" s="113"/>
      <c r="SJ9" s="113"/>
      <c r="SK9" s="113"/>
      <c r="SL9" s="113"/>
      <c r="SM9" s="113"/>
      <c r="SN9" s="113"/>
      <c r="SO9" s="113"/>
      <c r="SP9" s="113"/>
      <c r="SQ9" s="113"/>
      <c r="SR9" s="113"/>
      <c r="SS9" s="113"/>
      <c r="ST9" s="113"/>
      <c r="SU9" s="113"/>
      <c r="SV9" s="113"/>
      <c r="SW9" s="113"/>
      <c r="SX9" s="113"/>
      <c r="SY9" s="113"/>
      <c r="SZ9" s="113"/>
      <c r="TA9" s="113"/>
      <c r="TB9" s="113"/>
      <c r="TC9" s="113"/>
      <c r="TD9" s="113"/>
      <c r="TE9" s="113"/>
      <c r="TF9" s="113"/>
      <c r="TG9" s="113"/>
      <c r="TH9" s="113"/>
      <c r="TI9" s="113"/>
      <c r="TJ9" s="113"/>
      <c r="TK9" s="113"/>
      <c r="TL9" s="113"/>
      <c r="TM9" s="113"/>
      <c r="TN9" s="113"/>
      <c r="TO9" s="113"/>
      <c r="TP9" s="113"/>
      <c r="TQ9" s="113"/>
      <c r="TR9" s="113"/>
      <c r="TS9" s="113"/>
      <c r="TT9" s="113"/>
      <c r="TU9" s="113"/>
      <c r="TV9" s="113"/>
      <c r="TW9" s="113"/>
      <c r="TX9" s="113"/>
      <c r="TY9" s="113"/>
      <c r="TZ9" s="113"/>
      <c r="UA9" s="113"/>
      <c r="UB9" s="113"/>
      <c r="UC9" s="113"/>
      <c r="UD9" s="113"/>
      <c r="UE9" s="113"/>
      <c r="UF9" s="113"/>
      <c r="UG9" s="113"/>
      <c r="UH9" s="113"/>
      <c r="UI9" s="113"/>
      <c r="UJ9" s="113"/>
      <c r="UK9" s="113"/>
      <c r="UL9" s="113"/>
      <c r="UM9" s="113"/>
      <c r="UN9" s="113"/>
      <c r="UO9" s="113"/>
      <c r="UP9" s="113"/>
      <c r="UQ9" s="113"/>
      <c r="UR9" s="113"/>
      <c r="US9" s="113"/>
      <c r="UT9" s="113"/>
      <c r="UU9" s="113"/>
      <c r="UV9" s="113"/>
      <c r="UW9" s="113"/>
      <c r="UX9" s="113"/>
      <c r="UY9" s="113"/>
      <c r="UZ9" s="113"/>
      <c r="VA9" s="113"/>
      <c r="VB9" s="113"/>
      <c r="VC9" s="113"/>
      <c r="VD9" s="113"/>
      <c r="VE9" s="113"/>
      <c r="VF9" s="113"/>
      <c r="VG9" s="113"/>
      <c r="VH9" s="113"/>
      <c r="VI9" s="113"/>
      <c r="VJ9" s="113"/>
      <c r="VK9" s="113"/>
      <c r="VL9" s="113"/>
      <c r="VM9" s="113"/>
      <c r="VN9" s="113"/>
      <c r="VO9" s="113"/>
      <c r="VP9" s="113"/>
      <c r="VQ9" s="113"/>
      <c r="VR9" s="113"/>
      <c r="VS9" s="113"/>
      <c r="VT9" s="113"/>
      <c r="VU9" s="113"/>
      <c r="VV9" s="113"/>
      <c r="VW9" s="113"/>
      <c r="VX9" s="113"/>
      <c r="VY9" s="113"/>
      <c r="VZ9" s="113"/>
      <c r="WA9" s="113"/>
      <c r="WB9" s="113"/>
      <c r="WC9" s="113"/>
      <c r="WD9" s="113"/>
      <c r="WE9" s="113"/>
      <c r="WF9" s="113"/>
      <c r="WG9" s="113"/>
      <c r="WH9" s="113"/>
      <c r="WI9" s="113"/>
      <c r="WJ9" s="113"/>
      <c r="WK9" s="113"/>
      <c r="WL9" s="113"/>
      <c r="WM9" s="113"/>
      <c r="WN9" s="113"/>
      <c r="WO9" s="113"/>
      <c r="WP9" s="113"/>
      <c r="WQ9" s="113"/>
      <c r="WR9" s="113"/>
      <c r="WS9" s="113"/>
      <c r="WT9" s="113"/>
      <c r="WU9" s="113"/>
      <c r="WV9" s="113"/>
      <c r="WW9" s="113"/>
      <c r="WX9" s="113"/>
      <c r="WY9" s="113"/>
      <c r="WZ9" s="113"/>
      <c r="XA9" s="113"/>
      <c r="XB9" s="113"/>
      <c r="XC9" s="113"/>
      <c r="XD9" s="113"/>
      <c r="XE9" s="113"/>
      <c r="XF9" s="113"/>
      <c r="XG9" s="113"/>
      <c r="XH9" s="113"/>
      <c r="XI9" s="113"/>
      <c r="XJ9" s="113"/>
      <c r="XK9" s="113"/>
      <c r="XL9" s="113"/>
      <c r="XM9" s="113"/>
      <c r="XN9" s="113"/>
      <c r="XO9" s="113"/>
      <c r="XP9" s="113"/>
      <c r="XQ9" s="113"/>
      <c r="XR9" s="113"/>
      <c r="XS9" s="113"/>
      <c r="XT9" s="113"/>
      <c r="XU9" s="113"/>
      <c r="XV9" s="113"/>
      <c r="XW9" s="113"/>
      <c r="XX9" s="113"/>
      <c r="XY9" s="113"/>
      <c r="XZ9" s="113"/>
      <c r="YA9" s="113"/>
      <c r="YB9" s="113"/>
      <c r="YC9" s="113"/>
      <c r="YD9" s="113"/>
      <c r="YE9" s="113"/>
      <c r="YF9" s="113"/>
      <c r="YG9" s="113"/>
      <c r="YH9" s="113"/>
      <c r="YI9" s="113"/>
      <c r="YJ9" s="113"/>
      <c r="YK9" s="113"/>
      <c r="YL9" s="113"/>
      <c r="YM9" s="113"/>
      <c r="YN9" s="113"/>
      <c r="YO9" s="113"/>
      <c r="YP9" s="113"/>
      <c r="YQ9" s="113"/>
      <c r="YR9" s="113"/>
      <c r="YS9" s="113"/>
      <c r="YT9" s="113"/>
      <c r="YU9" s="113"/>
      <c r="YV9" s="113"/>
      <c r="YW9" s="113"/>
      <c r="YX9" s="113"/>
      <c r="YY9" s="113"/>
      <c r="YZ9" s="113"/>
      <c r="ZA9" s="113"/>
      <c r="ZB9" s="113"/>
      <c r="ZC9" s="113"/>
      <c r="ZD9" s="113"/>
      <c r="ZE9" s="113"/>
      <c r="ZF9" s="113"/>
      <c r="ZG9" s="113"/>
      <c r="ZH9" s="113"/>
      <c r="ZI9" s="113"/>
      <c r="ZJ9" s="113"/>
      <c r="ZK9" s="113"/>
      <c r="ZL9" s="113"/>
      <c r="ZM9" s="113"/>
      <c r="ZN9" s="113"/>
      <c r="ZO9" s="113"/>
      <c r="ZP9" s="113"/>
      <c r="ZQ9" s="113"/>
      <c r="ZR9" s="113"/>
      <c r="ZS9" s="113"/>
      <c r="ZT9" s="113"/>
      <c r="ZU9" s="113"/>
      <c r="ZV9" s="113"/>
      <c r="ZW9" s="113"/>
      <c r="ZX9" s="113"/>
      <c r="ZY9" s="113"/>
      <c r="ZZ9" s="113"/>
      <c r="AAA9" s="113"/>
      <c r="AAB9" s="113"/>
      <c r="AAC9" s="113"/>
      <c r="AAD9" s="113"/>
      <c r="AAE9" s="113"/>
      <c r="AAF9" s="113"/>
      <c r="AAG9" s="113"/>
      <c r="AAH9" s="113"/>
      <c r="AAI9" s="113"/>
      <c r="AAJ9" s="113"/>
      <c r="AAK9" s="113"/>
      <c r="AAL9" s="113"/>
      <c r="AAM9" s="113"/>
      <c r="AAN9" s="113"/>
      <c r="AAO9" s="113"/>
      <c r="AAP9" s="113"/>
      <c r="AAQ9" s="113"/>
      <c r="AAR9" s="113"/>
      <c r="AAS9" s="113"/>
      <c r="AAT9" s="113"/>
      <c r="AAU9" s="113"/>
      <c r="AAV9" s="113"/>
      <c r="AAW9" s="113"/>
      <c r="AAX9" s="113"/>
      <c r="AAY9" s="113"/>
      <c r="AAZ9" s="113"/>
      <c r="ABA9" s="113"/>
      <c r="ABB9" s="113"/>
      <c r="ABC9" s="113"/>
      <c r="ABD9" s="113"/>
      <c r="ABE9" s="113"/>
      <c r="ABF9" s="113"/>
      <c r="ABG9" s="113"/>
      <c r="ABH9" s="113"/>
      <c r="ABI9" s="113"/>
      <c r="ABJ9" s="113"/>
      <c r="ABK9" s="113"/>
      <c r="ABL9" s="113"/>
      <c r="ABM9" s="113"/>
      <c r="ABN9" s="113"/>
      <c r="ABO9" s="113"/>
      <c r="ABP9" s="113"/>
      <c r="ABQ9" s="113"/>
      <c r="ABR9" s="113"/>
      <c r="ABS9" s="113"/>
      <c r="ABT9" s="113"/>
      <c r="ABU9" s="113"/>
      <c r="ABV9" s="113"/>
      <c r="ABW9" s="113"/>
      <c r="ABX9" s="113"/>
      <c r="ABY9" s="113"/>
      <c r="ABZ9" s="113"/>
      <c r="ACA9" s="113"/>
      <c r="ACB9" s="113"/>
      <c r="ACC9" s="113"/>
      <c r="ACD9" s="113"/>
      <c r="ACE9" s="113"/>
      <c r="ACF9" s="113"/>
      <c r="ACG9" s="113"/>
      <c r="ACH9" s="113"/>
      <c r="ACI9" s="113"/>
      <c r="ACJ9" s="113"/>
      <c r="ACK9" s="113"/>
      <c r="ACL9" s="113"/>
      <c r="ACM9" s="113"/>
      <c r="ACN9" s="113"/>
      <c r="ACO9" s="113"/>
      <c r="ACP9" s="113"/>
      <c r="ACQ9" s="113"/>
      <c r="ACR9" s="113"/>
      <c r="ACS9" s="113"/>
      <c r="ACT9" s="113"/>
      <c r="ACU9" s="113"/>
      <c r="ACV9" s="113"/>
      <c r="ACW9" s="113"/>
      <c r="ACX9" s="113"/>
      <c r="ACY9" s="113"/>
      <c r="ACZ9" s="113"/>
      <c r="ADA9" s="113"/>
      <c r="ADB9" s="113"/>
      <c r="ADC9" s="113"/>
      <c r="ADD9" s="113"/>
      <c r="ADE9" s="113"/>
      <c r="ADF9" s="113"/>
      <c r="ADG9" s="113"/>
      <c r="ADH9" s="113"/>
      <c r="ADI9" s="113"/>
      <c r="ADJ9" s="113"/>
      <c r="ADK9" s="113"/>
      <c r="ADL9" s="113"/>
      <c r="ADM9" s="113"/>
      <c r="ADN9" s="113"/>
      <c r="ADO9" s="113"/>
      <c r="ADP9" s="113"/>
      <c r="ADQ9" s="113"/>
      <c r="ADR9" s="113"/>
      <c r="ADS9" s="113"/>
      <c r="ADT9" s="113"/>
      <c r="ADU9" s="113"/>
      <c r="ADV9" s="113"/>
      <c r="ADW9" s="113"/>
      <c r="ADX9" s="113"/>
      <c r="ADY9" s="113"/>
      <c r="ADZ9" s="113"/>
      <c r="AEA9" s="113"/>
      <c r="AEB9" s="113"/>
      <c r="AEC9" s="113"/>
      <c r="AED9" s="113"/>
      <c r="AEE9" s="113"/>
      <c r="AEF9" s="113"/>
      <c r="AEG9" s="113"/>
      <c r="AEH9" s="113"/>
      <c r="AEI9" s="113"/>
      <c r="AEJ9" s="113"/>
      <c r="AEK9" s="113"/>
      <c r="AEL9" s="113"/>
      <c r="AEM9" s="113"/>
      <c r="AEN9" s="113"/>
      <c r="AEO9" s="113"/>
      <c r="AEP9" s="113"/>
      <c r="AEQ9" s="113"/>
      <c r="AER9" s="113"/>
      <c r="AES9" s="113"/>
      <c r="AET9" s="113"/>
      <c r="AEU9" s="113"/>
      <c r="AEV9" s="113"/>
      <c r="AEW9" s="113"/>
      <c r="AEX9" s="113"/>
      <c r="AEY9" s="113"/>
      <c r="AEZ9" s="113"/>
      <c r="AFA9" s="113"/>
      <c r="AFB9" s="113"/>
      <c r="AFC9" s="113"/>
      <c r="AFD9" s="113"/>
      <c r="AFE9" s="113"/>
      <c r="AFF9" s="113"/>
      <c r="AFG9" s="113"/>
      <c r="AFH9" s="113"/>
      <c r="AFI9" s="113"/>
      <c r="AFJ9" s="113"/>
      <c r="AFK9" s="113"/>
      <c r="AFL9" s="113"/>
      <c r="AFM9" s="113"/>
      <c r="AFN9" s="113"/>
      <c r="AFO9" s="113"/>
      <c r="AFP9" s="113"/>
      <c r="AFQ9" s="113"/>
      <c r="AFR9" s="113"/>
      <c r="AFS9" s="113"/>
      <c r="AFT9" s="113"/>
      <c r="AFU9" s="113"/>
      <c r="AFV9" s="113"/>
      <c r="AFW9" s="113"/>
      <c r="AFX9" s="113"/>
      <c r="AFY9" s="113"/>
      <c r="AFZ9" s="113"/>
      <c r="AGA9" s="113"/>
      <c r="AGB9" s="113"/>
      <c r="AGC9" s="113"/>
      <c r="AGD9" s="113"/>
      <c r="AGE9" s="113"/>
      <c r="AGF9" s="113"/>
      <c r="AGG9" s="113"/>
      <c r="AGH9" s="113"/>
      <c r="AGI9" s="113"/>
      <c r="AGJ9" s="113"/>
      <c r="AGK9" s="113"/>
      <c r="AGL9" s="113"/>
      <c r="AGM9" s="113"/>
      <c r="AGN9" s="113"/>
      <c r="AGO9" s="113"/>
      <c r="AGP9" s="113"/>
      <c r="AGQ9" s="113"/>
      <c r="AGR9" s="113"/>
      <c r="AGS9" s="113"/>
      <c r="AGT9" s="113"/>
      <c r="AGU9" s="113"/>
      <c r="AGV9" s="113"/>
      <c r="AGW9" s="113"/>
      <c r="AGX9" s="113"/>
      <c r="AGY9" s="113"/>
      <c r="AGZ9" s="113"/>
      <c r="AHA9" s="113"/>
      <c r="AHB9" s="113"/>
      <c r="AHC9" s="113"/>
      <c r="AHD9" s="113"/>
      <c r="AHE9" s="113"/>
      <c r="AHF9" s="113"/>
      <c r="AHG9" s="113"/>
      <c r="AHH9" s="113"/>
      <c r="AHI9" s="113"/>
      <c r="AHJ9" s="113"/>
      <c r="AHK9" s="113"/>
      <c r="AHL9" s="113"/>
      <c r="AHM9" s="113"/>
      <c r="AHN9" s="113"/>
      <c r="AHO9" s="113"/>
      <c r="AHP9" s="113"/>
      <c r="AHQ9" s="113"/>
      <c r="AHR9" s="113"/>
      <c r="AHS9" s="113"/>
      <c r="AHT9" s="113"/>
      <c r="AHU9" s="113"/>
      <c r="AHV9" s="113"/>
      <c r="AHW9" s="113"/>
      <c r="AHX9" s="113"/>
      <c r="AHY9" s="113"/>
      <c r="AHZ9" s="113"/>
      <c r="AIA9" s="113"/>
      <c r="AIB9" s="113"/>
      <c r="AIC9" s="113"/>
      <c r="AID9" s="113"/>
      <c r="AIE9" s="113"/>
      <c r="AIF9" s="113"/>
      <c r="AIG9" s="113"/>
      <c r="AIH9" s="113"/>
      <c r="AII9" s="113"/>
      <c r="AIJ9" s="113"/>
      <c r="AIK9" s="113"/>
      <c r="AIL9" s="113"/>
      <c r="AIM9" s="113"/>
      <c r="AIN9" s="113"/>
      <c r="AIO9" s="113"/>
      <c r="AIP9" s="113"/>
      <c r="AIQ9" s="113"/>
      <c r="AIR9" s="113"/>
      <c r="AIS9" s="113"/>
      <c r="AIT9" s="113"/>
      <c r="AIU9" s="113"/>
      <c r="AIV9" s="113"/>
      <c r="AIW9" s="113"/>
      <c r="AIX9" s="113"/>
      <c r="AIY9" s="113"/>
      <c r="AIZ9" s="113"/>
    </row>
    <row r="10">
      <c r="A10" s="65" t="s">
        <v>47</v>
      </c>
      <c r="B10" s="65" t="s">
        <v>49</v>
      </c>
      <c r="C10" s="65"/>
      <c r="D10" s="64">
        <f t="shared" si="1"/>
        <v>410.3474167</v>
      </c>
      <c r="G10" s="65">
        <v>1.02925</v>
      </c>
      <c r="I10" s="65">
        <v>23.7685833333334</v>
      </c>
      <c r="J10" s="65">
        <v>18.4651</v>
      </c>
      <c r="K10" s="65">
        <v>12.7182166666667</v>
      </c>
      <c r="R10" s="65">
        <v>0.127966666666667</v>
      </c>
      <c r="S10" s="65">
        <v>4.3114</v>
      </c>
      <c r="T10" s="65">
        <v>77.9861666666667</v>
      </c>
      <c r="U10" s="65">
        <v>31.2259166666667</v>
      </c>
      <c r="Y10" s="65">
        <v>4.55598333333333</v>
      </c>
      <c r="Z10" s="65">
        <v>3.49156666666667</v>
      </c>
      <c r="AA10" s="65">
        <v>102.518916666667</v>
      </c>
      <c r="AB10" s="65">
        <v>59.32895</v>
      </c>
      <c r="AH10" s="65">
        <v>0.7394</v>
      </c>
      <c r="AI10" s="65">
        <v>7.07246666666667</v>
      </c>
      <c r="AL10" s="65">
        <v>1.07505</v>
      </c>
      <c r="AM10" s="65">
        <v>16.8616166666667</v>
      </c>
      <c r="AN10" s="65">
        <v>19.50315</v>
      </c>
      <c r="AQ10" s="65">
        <v>1.63498333333333</v>
      </c>
      <c r="AR10" s="65">
        <v>9.42758333333334</v>
      </c>
      <c r="AU10" s="65">
        <v>14.50515</v>
      </c>
    </row>
    <row r="11">
      <c r="A11" s="65" t="s">
        <v>47</v>
      </c>
      <c r="B11" s="65" t="s">
        <v>49</v>
      </c>
      <c r="C11" s="65"/>
      <c r="D11" s="64">
        <f t="shared" si="1"/>
        <v>0</v>
      </c>
    </row>
    <row r="12">
      <c r="A12" s="65" t="s">
        <v>47</v>
      </c>
      <c r="B12" s="65" t="s">
        <v>49</v>
      </c>
      <c r="C12" s="65"/>
      <c r="D12" s="64">
        <f t="shared" si="1"/>
        <v>405.6051667</v>
      </c>
      <c r="G12" s="118">
        <f>HYPERLINK("https://docs.google.com/spreadsheets/d/1MvVDVw2SxuUAX_tStVdxLGY9JEW_tQ2h", 1.02925)</f>
        <v>1.02925</v>
      </c>
      <c r="I12" s="118">
        <f>HYPERLINK("https://docs.google.com/spreadsheets/d/1RWiNLnD3OBPY7Ua4IzvjvN8wgFr4zDqX", 23.7685666666667)</f>
        <v>23.76856667</v>
      </c>
      <c r="J12" s="118">
        <f>HYPERLINK("https://docs.google.com/spreadsheets/d/14TKAq8iAPGwvzN_eOwUZAay19Gluo8m1", 18.4651)</f>
        <v>18.4651</v>
      </c>
      <c r="K12" s="118">
        <f>HYPERLINK("https://docs.google.com/spreadsheets/d/1UXljayuBOy1YRpZH_D6XkFQ32fMZs_-3", 12.7182)</f>
        <v>12.7182</v>
      </c>
      <c r="R12" s="118">
        <f>HYPERLINK("https://docs.google.com/spreadsheets/d/1tKmH9_qQhCB1zehbF2yEr3j7bmDYOvw_", 0.127966666666667)</f>
        <v>0.1279666667</v>
      </c>
      <c r="S12" s="118">
        <f>HYPERLINK("https://docs.google.com/spreadsheets/d/1hLhILSpg2xeXmt1-Kbq1E-qhcFo1tcf6", 4.3114)</f>
        <v>4.3114</v>
      </c>
      <c r="T12" s="118">
        <f>HYPERLINK("https://docs.google.com/spreadsheets/d/1Uvw6cEHK2oen3lzv8b6RqebO_iMlfrAF", 77.8248)</f>
        <v>77.8248</v>
      </c>
      <c r="U12" s="118">
        <f>HYPERLINK("https://docs.google.com/spreadsheets/d/1APYFuYZ5vSkn_0F-GlNKW0PFTpYVJylf", 31.2258833333333)</f>
        <v>31.22588333</v>
      </c>
      <c r="Y12" s="118">
        <f>HYPERLINK("https://docs.google.com/spreadsheets/d/1aYiUSWfizFZ6X6Wq0cZRkzmqLh4jjM58", 0.730933333333333)</f>
        <v>0.7309333333</v>
      </c>
      <c r="Z12" s="118">
        <f>HYPERLINK("https://docs.google.com/spreadsheets/d/1Zh9CGi83q4B2EWSaD02yKgGIPQJmEOB7", 3.49156666666667)</f>
        <v>3.491566667</v>
      </c>
      <c r="AA12" s="118">
        <f>HYPERLINK("https://docs.google.com/spreadsheets/d/1J_SVgkTk4jqibEebntn2JG-qgquVUdLm", 102.198516666667)</f>
        <v>102.1985167</v>
      </c>
      <c r="AB12" s="118">
        <f>HYPERLINK("https://docs.google.com/spreadsheets/d/1PpHoGVMLrVzpIGKNS5wGg31Ex6y3eMrc", 59.1166)</f>
        <v>59.1166</v>
      </c>
      <c r="AH12" s="118">
        <f>HYPERLINK("https://docs.google.com/spreadsheets/d/1B3-MuuT-GC0nNg4fb740jgraLkhPz1vw", 0.739383333333333)</f>
        <v>0.7393833333</v>
      </c>
      <c r="AI12" s="118">
        <f>HYPERLINK("https://docs.google.com/spreadsheets/d/1E2THJxhAuBFkQKR_HD-WDKs60LcDtO_C", 7.07245)</f>
        <v>7.07245</v>
      </c>
      <c r="AL12" s="118">
        <f>HYPERLINK("https://docs.google.com/spreadsheets/d/1-uCW_k7-hWbx63WoDxRfMBnvOqyv9qgd", 1.07503333333333)</f>
        <v>1.075033333</v>
      </c>
      <c r="AM12" s="118">
        <f>HYPERLINK("https://docs.google.com/spreadsheets/d/15q2sNPyhcGc6XYbD2h54zA5D70xYtwno", 16.6386833333333)</f>
        <v>16.63868333</v>
      </c>
      <c r="AN12" s="118">
        <f>HYPERLINK("https://docs.google.com/spreadsheets/d/1TuYEubaa-9Wc7d9mx9JxuvJlBOt0XpNl", 19.50315)</f>
        <v>19.50315</v>
      </c>
      <c r="AQ12" s="118">
        <f>HYPERLINK("https://docs.google.com/spreadsheets/d/1M2eESP3GSzCtbxJ5SfUtXN37Y-t2bosJ", 1.63498333333333)</f>
        <v>1.634983333</v>
      </c>
      <c r="AR12" s="118">
        <f>HYPERLINK("https://docs.google.com/spreadsheets/d/12VdmlnTSrydA8xzufOHWA5cdXP4z6vkY", 9.42756666666667)</f>
        <v>9.427566667</v>
      </c>
      <c r="AU12" s="118">
        <f>HYPERLINK("https://docs.google.com/spreadsheets/d/10wNLe7G7Trzq41T6nh3NXeeU6kdDV7GG", 14.5051333333333)</f>
        <v>14.50513333</v>
      </c>
    </row>
    <row r="13">
      <c r="A13" s="65" t="s">
        <v>47</v>
      </c>
      <c r="B13" s="65" t="s">
        <v>49</v>
      </c>
      <c r="C13" s="65"/>
      <c r="D13" s="64">
        <f t="shared" si="1"/>
        <v>279.0123667</v>
      </c>
      <c r="G13" s="65">
        <v>1.02925</v>
      </c>
      <c r="I13" s="65">
        <v>21.0982833333333</v>
      </c>
      <c r="J13" s="65">
        <v>17.6803666666667</v>
      </c>
      <c r="K13" s="65">
        <v>1.61626666666667</v>
      </c>
      <c r="R13" s="65">
        <v>0.127966666666667</v>
      </c>
      <c r="S13" s="65">
        <v>3.90295</v>
      </c>
      <c r="T13" s="65">
        <v>67.47465</v>
      </c>
      <c r="U13" s="65">
        <v>11.2402333333333</v>
      </c>
      <c r="Y13" s="65">
        <v>0.730933333333333</v>
      </c>
      <c r="Z13" s="65">
        <v>3.33181666666667</v>
      </c>
      <c r="AA13" s="65">
        <v>83.8555999999999</v>
      </c>
      <c r="AB13" s="65">
        <v>22.9015833333333</v>
      </c>
      <c r="AH13" s="65">
        <v>0.603533333333333</v>
      </c>
      <c r="AI13" s="65">
        <v>3.31123333333333</v>
      </c>
      <c r="AL13" s="65">
        <v>1.07503333333333</v>
      </c>
      <c r="AM13" s="65">
        <v>14.2678666666667</v>
      </c>
      <c r="AN13" s="65">
        <v>8.1077</v>
      </c>
      <c r="AQ13" s="65">
        <v>1.63498333333333</v>
      </c>
      <c r="AR13" s="65">
        <v>5.75698333333333</v>
      </c>
      <c r="AU13" s="65">
        <v>9.26513333333333</v>
      </c>
    </row>
    <row r="14">
      <c r="A14" s="119" t="s">
        <v>47</v>
      </c>
      <c r="B14" s="119" t="s">
        <v>49</v>
      </c>
      <c r="C14" s="119"/>
      <c r="D14" s="120">
        <f t="shared" si="1"/>
        <v>0</v>
      </c>
      <c r="E14" s="120"/>
      <c r="F14" s="120"/>
      <c r="G14" s="120"/>
      <c r="H14" s="120"/>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c r="FV14" s="120"/>
      <c r="FW14" s="120"/>
      <c r="FX14" s="120"/>
      <c r="FY14" s="120"/>
      <c r="FZ14" s="120"/>
      <c r="GA14" s="120"/>
      <c r="GB14" s="120"/>
      <c r="GC14" s="120"/>
      <c r="GD14" s="120"/>
      <c r="GE14" s="120"/>
      <c r="GF14" s="120"/>
      <c r="GG14" s="120"/>
      <c r="GH14" s="120"/>
      <c r="GI14" s="120"/>
      <c r="GJ14" s="120"/>
      <c r="GK14" s="120"/>
      <c r="GL14" s="120"/>
      <c r="GM14" s="120"/>
      <c r="GN14" s="120"/>
      <c r="GO14" s="120"/>
      <c r="GP14" s="120"/>
      <c r="GQ14" s="120"/>
      <c r="GR14" s="120"/>
      <c r="GS14" s="120"/>
      <c r="GT14" s="120"/>
      <c r="GU14" s="120"/>
      <c r="GV14" s="120"/>
      <c r="GW14" s="120"/>
      <c r="GX14" s="120"/>
      <c r="GY14" s="120"/>
      <c r="GZ14" s="120"/>
      <c r="HA14" s="120"/>
      <c r="HB14" s="120"/>
      <c r="HC14" s="120"/>
      <c r="HD14" s="120"/>
      <c r="HE14" s="120"/>
      <c r="HF14" s="120"/>
      <c r="HG14" s="120"/>
      <c r="HH14" s="120"/>
      <c r="HI14" s="120"/>
      <c r="HJ14" s="120"/>
      <c r="HK14" s="120"/>
      <c r="HL14" s="120"/>
      <c r="HM14" s="120"/>
      <c r="HN14" s="120"/>
      <c r="HO14" s="120"/>
      <c r="HP14" s="120"/>
      <c r="HQ14" s="120"/>
      <c r="HR14" s="120"/>
      <c r="HS14" s="120"/>
      <c r="HT14" s="120"/>
      <c r="HU14" s="120"/>
      <c r="HV14" s="120"/>
      <c r="HW14" s="120"/>
      <c r="HX14" s="120"/>
      <c r="HY14" s="120"/>
      <c r="HZ14" s="120"/>
      <c r="IA14" s="120"/>
      <c r="IB14" s="120"/>
      <c r="IC14" s="120"/>
      <c r="ID14" s="120"/>
      <c r="IE14" s="120"/>
      <c r="IF14" s="120"/>
      <c r="IG14" s="120"/>
      <c r="IH14" s="120"/>
      <c r="II14" s="120"/>
      <c r="IJ14" s="120"/>
      <c r="IK14" s="120"/>
      <c r="IL14" s="120"/>
      <c r="IM14" s="120"/>
      <c r="IN14" s="120"/>
      <c r="IO14" s="120"/>
      <c r="IP14" s="120"/>
      <c r="IQ14" s="120"/>
      <c r="IR14" s="120"/>
      <c r="IS14" s="120"/>
      <c r="IT14" s="120"/>
      <c r="IU14" s="120"/>
      <c r="IV14" s="120"/>
      <c r="IW14" s="120"/>
      <c r="IX14" s="120"/>
      <c r="IY14" s="120"/>
      <c r="IZ14" s="120"/>
      <c r="JA14" s="120"/>
      <c r="JB14" s="120"/>
      <c r="JC14" s="120"/>
      <c r="JD14" s="120"/>
      <c r="JE14" s="120"/>
      <c r="JF14" s="120"/>
      <c r="JG14" s="120"/>
      <c r="JH14" s="120"/>
      <c r="JI14" s="120"/>
      <c r="JJ14" s="120"/>
      <c r="JK14" s="120"/>
      <c r="JL14" s="120"/>
      <c r="JM14" s="120"/>
      <c r="JN14" s="120"/>
      <c r="JO14" s="120"/>
      <c r="JP14" s="120"/>
      <c r="JQ14" s="120"/>
      <c r="JR14" s="120"/>
      <c r="JS14" s="120"/>
      <c r="JT14" s="120"/>
      <c r="JU14" s="120"/>
      <c r="JV14" s="120"/>
      <c r="JW14" s="120"/>
      <c r="JX14" s="120"/>
      <c r="JY14" s="120"/>
      <c r="JZ14" s="120"/>
      <c r="KA14" s="120"/>
      <c r="KB14" s="120"/>
      <c r="KC14" s="120"/>
      <c r="KD14" s="120"/>
      <c r="KE14" s="120"/>
      <c r="KF14" s="120"/>
      <c r="KG14" s="120"/>
      <c r="KH14" s="120"/>
      <c r="KI14" s="120"/>
      <c r="KJ14" s="120"/>
      <c r="KK14" s="120"/>
      <c r="KL14" s="120"/>
      <c r="KM14" s="120"/>
      <c r="KN14" s="120"/>
      <c r="KO14" s="120"/>
      <c r="KP14" s="120"/>
      <c r="KQ14" s="120"/>
      <c r="KR14" s="120"/>
      <c r="KS14" s="120"/>
      <c r="KT14" s="120"/>
      <c r="KU14" s="120"/>
      <c r="KV14" s="120"/>
      <c r="KW14" s="120"/>
      <c r="KX14" s="120"/>
      <c r="KY14" s="120"/>
      <c r="KZ14" s="120"/>
      <c r="LA14" s="120"/>
      <c r="LB14" s="120"/>
      <c r="LC14" s="120"/>
      <c r="LD14" s="120"/>
      <c r="LE14" s="120"/>
      <c r="LF14" s="120"/>
      <c r="LG14" s="120"/>
      <c r="LH14" s="120"/>
      <c r="LI14" s="120"/>
      <c r="LJ14" s="120"/>
      <c r="LK14" s="120"/>
      <c r="LL14" s="120"/>
      <c r="LM14" s="120"/>
      <c r="LN14" s="120"/>
      <c r="LO14" s="120"/>
      <c r="LP14" s="120"/>
      <c r="LQ14" s="120"/>
      <c r="LR14" s="120"/>
      <c r="LS14" s="120"/>
      <c r="LT14" s="120"/>
      <c r="LU14" s="120"/>
      <c r="LV14" s="120"/>
      <c r="LW14" s="120"/>
      <c r="LX14" s="120"/>
      <c r="LY14" s="120"/>
      <c r="LZ14" s="120"/>
      <c r="MA14" s="120"/>
      <c r="MB14" s="120"/>
      <c r="MC14" s="120"/>
      <c r="MD14" s="120"/>
      <c r="ME14" s="120"/>
      <c r="MF14" s="120"/>
      <c r="MG14" s="120"/>
      <c r="MH14" s="120"/>
      <c r="MI14" s="120"/>
      <c r="MJ14" s="120"/>
      <c r="MK14" s="120"/>
      <c r="ML14" s="120"/>
      <c r="MM14" s="120"/>
      <c r="MN14" s="120"/>
      <c r="MO14" s="120"/>
      <c r="MP14" s="120"/>
      <c r="MQ14" s="120"/>
      <c r="MR14" s="120"/>
      <c r="MS14" s="120"/>
      <c r="MT14" s="120"/>
      <c r="MU14" s="120"/>
      <c r="MV14" s="120"/>
      <c r="MW14" s="120"/>
      <c r="MX14" s="120"/>
      <c r="MY14" s="120"/>
      <c r="MZ14" s="120"/>
      <c r="NA14" s="120"/>
      <c r="NB14" s="120"/>
      <c r="NC14" s="120"/>
      <c r="ND14" s="120"/>
      <c r="NE14" s="120"/>
      <c r="NF14" s="120"/>
      <c r="NG14" s="120"/>
      <c r="NH14" s="120"/>
      <c r="NI14" s="120"/>
      <c r="NJ14" s="120"/>
      <c r="NK14" s="120"/>
      <c r="NL14" s="120"/>
      <c r="NM14" s="120"/>
      <c r="NN14" s="120"/>
      <c r="NO14" s="120"/>
      <c r="NP14" s="120"/>
      <c r="NQ14" s="120"/>
      <c r="NR14" s="120"/>
      <c r="NS14" s="120"/>
      <c r="NT14" s="120"/>
      <c r="NU14" s="120"/>
      <c r="NV14" s="120"/>
      <c r="NW14" s="120"/>
      <c r="NX14" s="120"/>
      <c r="NY14" s="120"/>
      <c r="NZ14" s="120"/>
      <c r="OA14" s="120"/>
      <c r="OB14" s="120"/>
      <c r="OC14" s="120"/>
      <c r="OD14" s="120"/>
      <c r="OE14" s="120"/>
      <c r="OF14" s="120"/>
      <c r="OG14" s="120"/>
      <c r="OH14" s="120"/>
      <c r="OI14" s="120"/>
      <c r="OJ14" s="120"/>
      <c r="OK14" s="120"/>
      <c r="OL14" s="120"/>
      <c r="OM14" s="120"/>
      <c r="ON14" s="120"/>
      <c r="OO14" s="120"/>
      <c r="OP14" s="120"/>
      <c r="OQ14" s="120"/>
      <c r="OR14" s="120"/>
      <c r="OS14" s="120"/>
      <c r="OT14" s="120"/>
      <c r="OU14" s="120"/>
      <c r="OV14" s="120"/>
      <c r="OW14" s="120"/>
      <c r="OX14" s="120"/>
      <c r="OY14" s="120"/>
      <c r="OZ14" s="120"/>
      <c r="PA14" s="120"/>
      <c r="PB14" s="120"/>
      <c r="PC14" s="120"/>
      <c r="PD14" s="120"/>
      <c r="PE14" s="120"/>
      <c r="PF14" s="120"/>
      <c r="PG14" s="120"/>
      <c r="PH14" s="120"/>
      <c r="PI14" s="120"/>
      <c r="PJ14" s="120"/>
      <c r="PK14" s="120"/>
      <c r="PL14" s="120"/>
      <c r="PM14" s="120"/>
      <c r="PN14" s="120"/>
      <c r="PO14" s="120"/>
      <c r="PP14" s="120"/>
      <c r="PQ14" s="120"/>
      <c r="PR14" s="120"/>
      <c r="PS14" s="120"/>
      <c r="PT14" s="120"/>
      <c r="PU14" s="120"/>
      <c r="PV14" s="120"/>
      <c r="PW14" s="120"/>
      <c r="PX14" s="120"/>
      <c r="PY14" s="120"/>
      <c r="PZ14" s="120"/>
      <c r="QA14" s="120"/>
      <c r="QB14" s="120"/>
      <c r="QC14" s="120"/>
      <c r="QD14" s="120"/>
      <c r="QE14" s="120"/>
      <c r="QF14" s="120"/>
      <c r="QG14" s="120"/>
      <c r="QH14" s="120"/>
      <c r="QI14" s="120"/>
      <c r="QJ14" s="120"/>
      <c r="QK14" s="120"/>
      <c r="QL14" s="120"/>
      <c r="QM14" s="120"/>
      <c r="QN14" s="120"/>
      <c r="QO14" s="120"/>
      <c r="QP14" s="120"/>
      <c r="QQ14" s="120"/>
      <c r="QR14" s="120"/>
      <c r="QS14" s="120"/>
      <c r="QT14" s="120"/>
      <c r="QU14" s="120"/>
      <c r="QV14" s="120"/>
      <c r="QW14" s="120"/>
      <c r="QX14" s="120"/>
      <c r="QY14" s="120"/>
      <c r="QZ14" s="120"/>
      <c r="RA14" s="120"/>
      <c r="RB14" s="120"/>
      <c r="RC14" s="120"/>
      <c r="RD14" s="120"/>
      <c r="RE14" s="120"/>
      <c r="RF14" s="120"/>
      <c r="RG14" s="120"/>
      <c r="RH14" s="120"/>
      <c r="RI14" s="120"/>
      <c r="RJ14" s="120"/>
      <c r="RK14" s="120"/>
      <c r="RL14" s="120"/>
      <c r="RM14" s="120"/>
      <c r="RN14" s="120"/>
      <c r="RO14" s="120"/>
      <c r="RP14" s="120"/>
      <c r="RQ14" s="120"/>
      <c r="RR14" s="120"/>
      <c r="RS14" s="120"/>
      <c r="RT14" s="120"/>
      <c r="RU14" s="120"/>
      <c r="RV14" s="120"/>
      <c r="RW14" s="120"/>
      <c r="RX14" s="120"/>
      <c r="RY14" s="120"/>
      <c r="RZ14" s="120"/>
      <c r="SA14" s="120"/>
      <c r="SB14" s="120"/>
      <c r="SC14" s="120"/>
      <c r="SD14" s="120"/>
      <c r="SE14" s="120"/>
      <c r="SF14" s="120"/>
      <c r="SG14" s="120"/>
      <c r="SH14" s="120"/>
      <c r="SI14" s="120"/>
      <c r="SJ14" s="120"/>
      <c r="SK14" s="120"/>
      <c r="SL14" s="120"/>
      <c r="SM14" s="120"/>
      <c r="SN14" s="120"/>
      <c r="SO14" s="120"/>
      <c r="SP14" s="120"/>
      <c r="SQ14" s="120"/>
      <c r="SR14" s="120"/>
      <c r="SS14" s="120"/>
      <c r="ST14" s="120"/>
      <c r="SU14" s="120"/>
      <c r="SV14" s="120"/>
      <c r="SW14" s="120"/>
      <c r="SX14" s="120"/>
      <c r="SY14" s="120"/>
      <c r="SZ14" s="120"/>
      <c r="TA14" s="120"/>
      <c r="TB14" s="120"/>
      <c r="TC14" s="120"/>
      <c r="TD14" s="120"/>
      <c r="TE14" s="120"/>
      <c r="TF14" s="120"/>
      <c r="TG14" s="120"/>
      <c r="TH14" s="120"/>
      <c r="TI14" s="120"/>
      <c r="TJ14" s="120"/>
      <c r="TK14" s="120"/>
      <c r="TL14" s="120"/>
      <c r="TM14" s="120"/>
      <c r="TN14" s="120"/>
      <c r="TO14" s="120"/>
      <c r="TP14" s="120"/>
      <c r="TQ14" s="120"/>
      <c r="TR14" s="120"/>
      <c r="TS14" s="120"/>
      <c r="TT14" s="120"/>
      <c r="TU14" s="120"/>
      <c r="TV14" s="120"/>
      <c r="TW14" s="120"/>
      <c r="TX14" s="120"/>
      <c r="TY14" s="120"/>
      <c r="TZ14" s="120"/>
      <c r="UA14" s="120"/>
      <c r="UB14" s="120"/>
      <c r="UC14" s="120"/>
      <c r="UD14" s="120"/>
      <c r="UE14" s="120"/>
      <c r="UF14" s="120"/>
      <c r="UG14" s="120"/>
      <c r="UH14" s="120"/>
      <c r="UI14" s="120"/>
      <c r="UJ14" s="120"/>
      <c r="UK14" s="120"/>
      <c r="UL14" s="120"/>
      <c r="UM14" s="120"/>
      <c r="UN14" s="120"/>
      <c r="UO14" s="120"/>
      <c r="UP14" s="120"/>
      <c r="UQ14" s="120"/>
      <c r="UR14" s="120"/>
      <c r="US14" s="120"/>
      <c r="UT14" s="120"/>
      <c r="UU14" s="120"/>
      <c r="UV14" s="120"/>
      <c r="UW14" s="120"/>
      <c r="UX14" s="120"/>
      <c r="UY14" s="120"/>
      <c r="UZ14" s="120"/>
      <c r="VA14" s="120"/>
      <c r="VB14" s="120"/>
      <c r="VC14" s="120"/>
      <c r="VD14" s="120"/>
      <c r="VE14" s="120"/>
      <c r="VF14" s="120"/>
      <c r="VG14" s="120"/>
      <c r="VH14" s="120"/>
      <c r="VI14" s="120"/>
      <c r="VJ14" s="120"/>
      <c r="VK14" s="120"/>
      <c r="VL14" s="120"/>
      <c r="VM14" s="120"/>
      <c r="VN14" s="120"/>
      <c r="VO14" s="120"/>
      <c r="VP14" s="120"/>
      <c r="VQ14" s="120"/>
      <c r="VR14" s="120"/>
      <c r="VS14" s="120"/>
      <c r="VT14" s="120"/>
      <c r="VU14" s="120"/>
      <c r="VV14" s="120"/>
      <c r="VW14" s="120"/>
      <c r="VX14" s="120"/>
      <c r="VY14" s="120"/>
      <c r="VZ14" s="120"/>
      <c r="WA14" s="120"/>
      <c r="WB14" s="120"/>
      <c r="WC14" s="120"/>
      <c r="WD14" s="120"/>
      <c r="WE14" s="120"/>
      <c r="WF14" s="120"/>
      <c r="WG14" s="120"/>
      <c r="WH14" s="120"/>
      <c r="WI14" s="120"/>
      <c r="WJ14" s="120"/>
      <c r="WK14" s="120"/>
      <c r="WL14" s="120"/>
      <c r="WM14" s="120"/>
      <c r="WN14" s="120"/>
      <c r="WO14" s="120"/>
      <c r="WP14" s="120"/>
      <c r="WQ14" s="120"/>
      <c r="WR14" s="120"/>
      <c r="WS14" s="120"/>
      <c r="WT14" s="120"/>
      <c r="WU14" s="120"/>
      <c r="WV14" s="120"/>
      <c r="WW14" s="120"/>
      <c r="WX14" s="120"/>
      <c r="WY14" s="120"/>
      <c r="WZ14" s="120"/>
      <c r="XA14" s="120"/>
      <c r="XB14" s="120"/>
      <c r="XC14" s="120"/>
      <c r="XD14" s="120"/>
      <c r="XE14" s="120"/>
      <c r="XF14" s="120"/>
      <c r="XG14" s="120"/>
      <c r="XH14" s="120"/>
      <c r="XI14" s="120"/>
      <c r="XJ14" s="120"/>
      <c r="XK14" s="120"/>
      <c r="XL14" s="120"/>
      <c r="XM14" s="120"/>
      <c r="XN14" s="120"/>
      <c r="XO14" s="120"/>
      <c r="XP14" s="120"/>
      <c r="XQ14" s="120"/>
      <c r="XR14" s="120"/>
      <c r="XS14" s="120"/>
      <c r="XT14" s="120"/>
      <c r="XU14" s="120"/>
      <c r="XV14" s="120"/>
      <c r="XW14" s="120"/>
      <c r="XX14" s="120"/>
      <c r="XY14" s="120"/>
      <c r="XZ14" s="120"/>
      <c r="YA14" s="120"/>
      <c r="YB14" s="120"/>
      <c r="YC14" s="120"/>
      <c r="YD14" s="120"/>
      <c r="YE14" s="120"/>
      <c r="YF14" s="120"/>
      <c r="YG14" s="120"/>
      <c r="YH14" s="120"/>
      <c r="YI14" s="120"/>
      <c r="YJ14" s="120"/>
      <c r="YK14" s="120"/>
      <c r="YL14" s="120"/>
      <c r="YM14" s="120"/>
      <c r="YN14" s="120"/>
      <c r="YO14" s="120"/>
      <c r="YP14" s="120"/>
      <c r="YQ14" s="120"/>
      <c r="YR14" s="120"/>
      <c r="YS14" s="120"/>
      <c r="YT14" s="120"/>
      <c r="YU14" s="120"/>
      <c r="YV14" s="120"/>
      <c r="YW14" s="120"/>
      <c r="YX14" s="120"/>
      <c r="YY14" s="120"/>
      <c r="YZ14" s="120"/>
      <c r="ZA14" s="120"/>
      <c r="ZB14" s="120"/>
      <c r="ZC14" s="120"/>
      <c r="ZD14" s="120"/>
      <c r="ZE14" s="120"/>
      <c r="ZF14" s="120"/>
      <c r="ZG14" s="120"/>
      <c r="ZH14" s="120"/>
      <c r="ZI14" s="120"/>
      <c r="ZJ14" s="120"/>
      <c r="ZK14" s="120"/>
      <c r="ZL14" s="120"/>
      <c r="ZM14" s="120"/>
      <c r="ZN14" s="120"/>
      <c r="ZO14" s="120"/>
      <c r="ZP14" s="120"/>
      <c r="ZQ14" s="120"/>
      <c r="ZR14" s="120"/>
      <c r="ZS14" s="120"/>
      <c r="ZT14" s="120"/>
      <c r="ZU14" s="120"/>
      <c r="ZV14" s="120"/>
      <c r="ZW14" s="120"/>
      <c r="ZX14" s="120"/>
      <c r="ZY14" s="120"/>
      <c r="ZZ14" s="120"/>
      <c r="AAA14" s="120"/>
      <c r="AAB14" s="120"/>
      <c r="AAC14" s="120"/>
      <c r="AAD14" s="120"/>
      <c r="AAE14" s="120"/>
      <c r="AAF14" s="120"/>
      <c r="AAG14" s="120"/>
      <c r="AAH14" s="120"/>
      <c r="AAI14" s="120"/>
      <c r="AAJ14" s="120"/>
      <c r="AAK14" s="120"/>
      <c r="AAL14" s="120"/>
      <c r="AAM14" s="120"/>
      <c r="AAN14" s="120"/>
      <c r="AAO14" s="120"/>
      <c r="AAP14" s="120"/>
      <c r="AAQ14" s="120"/>
      <c r="AAR14" s="120"/>
      <c r="AAS14" s="120"/>
      <c r="AAT14" s="120"/>
      <c r="AAU14" s="120"/>
      <c r="AAV14" s="120"/>
      <c r="AAW14" s="120"/>
      <c r="AAX14" s="120"/>
      <c r="AAY14" s="120"/>
      <c r="AAZ14" s="120"/>
      <c r="ABA14" s="120"/>
      <c r="ABB14" s="120"/>
      <c r="ABC14" s="120"/>
      <c r="ABD14" s="120"/>
      <c r="ABE14" s="120"/>
      <c r="ABF14" s="120"/>
      <c r="ABG14" s="120"/>
      <c r="ABH14" s="120"/>
      <c r="ABI14" s="120"/>
      <c r="ABJ14" s="120"/>
      <c r="ABK14" s="120"/>
      <c r="ABL14" s="120"/>
      <c r="ABM14" s="120"/>
      <c r="ABN14" s="120"/>
      <c r="ABO14" s="120"/>
      <c r="ABP14" s="120"/>
      <c r="ABQ14" s="120"/>
      <c r="ABR14" s="120"/>
      <c r="ABS14" s="120"/>
      <c r="ABT14" s="120"/>
      <c r="ABU14" s="120"/>
      <c r="ABV14" s="120"/>
      <c r="ABW14" s="120"/>
      <c r="ABX14" s="120"/>
      <c r="ABY14" s="120"/>
      <c r="ABZ14" s="120"/>
      <c r="ACA14" s="120"/>
      <c r="ACB14" s="120"/>
      <c r="ACC14" s="120"/>
      <c r="ACD14" s="120"/>
      <c r="ACE14" s="120"/>
      <c r="ACF14" s="120"/>
      <c r="ACG14" s="120"/>
      <c r="ACH14" s="120"/>
      <c r="ACI14" s="120"/>
      <c r="ACJ14" s="120"/>
      <c r="ACK14" s="120"/>
      <c r="ACL14" s="120"/>
      <c r="ACM14" s="120"/>
      <c r="ACN14" s="120"/>
      <c r="ACO14" s="120"/>
      <c r="ACP14" s="120"/>
      <c r="ACQ14" s="120"/>
      <c r="ACR14" s="120"/>
      <c r="ACS14" s="120"/>
      <c r="ACT14" s="120"/>
      <c r="ACU14" s="120"/>
      <c r="ACV14" s="120"/>
      <c r="ACW14" s="120"/>
      <c r="ACX14" s="120"/>
      <c r="ACY14" s="120"/>
      <c r="ACZ14" s="120"/>
      <c r="ADA14" s="120"/>
      <c r="ADB14" s="120"/>
      <c r="ADC14" s="120"/>
      <c r="ADD14" s="120"/>
      <c r="ADE14" s="120"/>
      <c r="ADF14" s="120"/>
      <c r="ADG14" s="120"/>
      <c r="ADH14" s="120"/>
      <c r="ADI14" s="120"/>
      <c r="ADJ14" s="120"/>
      <c r="ADK14" s="120"/>
      <c r="ADL14" s="120"/>
      <c r="ADM14" s="120"/>
      <c r="ADN14" s="120"/>
      <c r="ADO14" s="120"/>
      <c r="ADP14" s="120"/>
      <c r="ADQ14" s="120"/>
      <c r="ADR14" s="120"/>
      <c r="ADS14" s="120"/>
      <c r="ADT14" s="120"/>
      <c r="ADU14" s="120"/>
      <c r="ADV14" s="120"/>
      <c r="ADW14" s="120"/>
      <c r="ADX14" s="120"/>
      <c r="ADY14" s="120"/>
      <c r="ADZ14" s="120"/>
      <c r="AEA14" s="120"/>
      <c r="AEB14" s="120"/>
      <c r="AEC14" s="120"/>
      <c r="AED14" s="120"/>
      <c r="AEE14" s="120"/>
      <c r="AEF14" s="120"/>
      <c r="AEG14" s="120"/>
      <c r="AEH14" s="120"/>
      <c r="AEI14" s="120"/>
      <c r="AEJ14" s="120"/>
      <c r="AEK14" s="120"/>
      <c r="AEL14" s="120"/>
      <c r="AEM14" s="120"/>
      <c r="AEN14" s="120"/>
      <c r="AEO14" s="120"/>
      <c r="AEP14" s="120"/>
      <c r="AEQ14" s="120"/>
      <c r="AER14" s="120"/>
      <c r="AES14" s="120"/>
      <c r="AET14" s="120"/>
      <c r="AEU14" s="120"/>
      <c r="AEV14" s="120"/>
      <c r="AEW14" s="120"/>
      <c r="AEX14" s="120"/>
      <c r="AEY14" s="120"/>
      <c r="AEZ14" s="120"/>
      <c r="AFA14" s="120"/>
      <c r="AFB14" s="120"/>
      <c r="AFC14" s="120"/>
      <c r="AFD14" s="120"/>
      <c r="AFE14" s="120"/>
      <c r="AFF14" s="120"/>
      <c r="AFG14" s="120"/>
      <c r="AFH14" s="120"/>
      <c r="AFI14" s="120"/>
      <c r="AFJ14" s="120"/>
      <c r="AFK14" s="120"/>
      <c r="AFL14" s="120"/>
      <c r="AFM14" s="120"/>
      <c r="AFN14" s="120"/>
      <c r="AFO14" s="120"/>
      <c r="AFP14" s="120"/>
      <c r="AFQ14" s="120"/>
      <c r="AFR14" s="120"/>
      <c r="AFS14" s="120"/>
      <c r="AFT14" s="120"/>
      <c r="AFU14" s="120"/>
      <c r="AFV14" s="120"/>
      <c r="AFW14" s="120"/>
      <c r="AFX14" s="120"/>
      <c r="AFY14" s="120"/>
      <c r="AFZ14" s="120"/>
      <c r="AGA14" s="120"/>
      <c r="AGB14" s="120"/>
      <c r="AGC14" s="120"/>
      <c r="AGD14" s="120"/>
      <c r="AGE14" s="120"/>
      <c r="AGF14" s="120"/>
      <c r="AGG14" s="120"/>
      <c r="AGH14" s="120"/>
      <c r="AGI14" s="120"/>
      <c r="AGJ14" s="120"/>
      <c r="AGK14" s="120"/>
      <c r="AGL14" s="120"/>
      <c r="AGM14" s="120"/>
      <c r="AGN14" s="120"/>
      <c r="AGO14" s="120"/>
      <c r="AGP14" s="120"/>
      <c r="AGQ14" s="120"/>
      <c r="AGR14" s="120"/>
      <c r="AGS14" s="120"/>
      <c r="AGT14" s="120"/>
      <c r="AGU14" s="120"/>
      <c r="AGV14" s="120"/>
      <c r="AGW14" s="120"/>
      <c r="AGX14" s="120"/>
      <c r="AGY14" s="120"/>
      <c r="AGZ14" s="120"/>
      <c r="AHA14" s="120"/>
      <c r="AHB14" s="120"/>
      <c r="AHC14" s="120"/>
      <c r="AHD14" s="120"/>
      <c r="AHE14" s="120"/>
      <c r="AHF14" s="120"/>
      <c r="AHG14" s="120"/>
      <c r="AHH14" s="120"/>
      <c r="AHI14" s="120"/>
      <c r="AHJ14" s="120"/>
      <c r="AHK14" s="120"/>
      <c r="AHL14" s="120"/>
      <c r="AHM14" s="120"/>
      <c r="AHN14" s="120"/>
      <c r="AHO14" s="120"/>
      <c r="AHP14" s="120"/>
      <c r="AHQ14" s="120"/>
      <c r="AHR14" s="120"/>
      <c r="AHS14" s="120"/>
      <c r="AHT14" s="120"/>
      <c r="AHU14" s="120"/>
      <c r="AHV14" s="120"/>
      <c r="AHW14" s="120"/>
      <c r="AHX14" s="120"/>
      <c r="AHY14" s="120"/>
      <c r="AHZ14" s="120"/>
      <c r="AIA14" s="120"/>
      <c r="AIB14" s="120"/>
      <c r="AIC14" s="120"/>
      <c r="AID14" s="120"/>
      <c r="AIE14" s="120"/>
      <c r="AIF14" s="120"/>
      <c r="AIG14" s="120"/>
      <c r="AIH14" s="120"/>
      <c r="AII14" s="120"/>
      <c r="AIJ14" s="120"/>
      <c r="AIK14" s="120"/>
      <c r="AIL14" s="120"/>
      <c r="AIM14" s="120"/>
      <c r="AIN14" s="120"/>
      <c r="AIO14" s="120"/>
      <c r="AIP14" s="120"/>
      <c r="AIQ14" s="120"/>
      <c r="AIR14" s="120"/>
      <c r="AIS14" s="120"/>
      <c r="AIT14" s="120"/>
      <c r="AIU14" s="120"/>
      <c r="AIV14" s="120"/>
      <c r="AIW14" s="120"/>
      <c r="AIX14" s="120"/>
      <c r="AIY14" s="120"/>
      <c r="AIZ14" s="120"/>
    </row>
    <row r="15">
      <c r="A15" s="112" t="s">
        <v>47</v>
      </c>
      <c r="B15" s="112" t="s">
        <v>50</v>
      </c>
      <c r="C15" s="112"/>
      <c r="D15" s="113">
        <f t="shared" si="1"/>
        <v>721.8867</v>
      </c>
      <c r="E15" s="112">
        <v>150.239266666667</v>
      </c>
      <c r="F15" s="113"/>
      <c r="G15" s="113"/>
      <c r="H15" s="113"/>
      <c r="I15" s="113"/>
      <c r="J15" s="113"/>
      <c r="K15" s="113"/>
      <c r="L15" s="112">
        <v>1.84118333333333</v>
      </c>
      <c r="M15" s="112">
        <v>26.1122333333333</v>
      </c>
      <c r="N15" s="113"/>
      <c r="O15" s="112">
        <v>0.196583333333333</v>
      </c>
      <c r="P15" s="112">
        <v>119.008033333333</v>
      </c>
      <c r="Q15" s="113"/>
      <c r="R15" s="113"/>
      <c r="S15" s="113"/>
      <c r="T15" s="113"/>
      <c r="U15" s="113"/>
      <c r="V15" s="112">
        <v>0.733183333333333</v>
      </c>
      <c r="W15" s="112">
        <v>219.184283333333</v>
      </c>
      <c r="X15" s="113"/>
      <c r="Y15" s="113"/>
      <c r="Z15" s="113"/>
      <c r="AA15" s="113"/>
      <c r="AB15" s="113"/>
      <c r="AC15" s="112">
        <v>3.0245</v>
      </c>
      <c r="AD15" s="112">
        <v>13.7395333333333</v>
      </c>
      <c r="AE15" s="113"/>
      <c r="AF15" s="113"/>
      <c r="AG15" s="113"/>
      <c r="AH15" s="113"/>
      <c r="AI15" s="113"/>
      <c r="AJ15" s="112">
        <v>1.28043333333333</v>
      </c>
      <c r="AK15" s="112">
        <v>112.82835</v>
      </c>
      <c r="AL15" s="113"/>
      <c r="AM15" s="113"/>
      <c r="AN15" s="113"/>
      <c r="AO15" s="112">
        <v>5.83403333333333</v>
      </c>
      <c r="AP15" s="112">
        <v>29.0101333333333</v>
      </c>
      <c r="AQ15" s="113"/>
      <c r="AR15" s="113"/>
      <c r="AS15" s="112">
        <v>2.22825</v>
      </c>
      <c r="AT15" s="112">
        <v>33.9270666666667</v>
      </c>
      <c r="AU15" s="113"/>
      <c r="AV15" s="112">
        <v>1.79216666666667</v>
      </c>
      <c r="AW15" s="112">
        <v>0.907466666666667</v>
      </c>
      <c r="AX15" s="113"/>
      <c r="AY15" s="113"/>
      <c r="AZ15" s="113"/>
      <c r="BA15" s="113"/>
      <c r="BB15" s="113"/>
      <c r="BC15" s="113"/>
      <c r="BD15" s="113"/>
      <c r="BE15" s="113"/>
      <c r="BF15" s="113"/>
      <c r="BG15" s="113"/>
      <c r="BH15" s="113"/>
      <c r="BI15" s="113"/>
      <c r="BJ15" s="113"/>
      <c r="BK15" s="113"/>
      <c r="BL15" s="113"/>
      <c r="BM15" s="113"/>
      <c r="BN15" s="113"/>
      <c r="BO15" s="113"/>
      <c r="BP15" s="113"/>
      <c r="BQ15" s="113"/>
      <c r="BR15" s="113"/>
      <c r="BS15" s="113"/>
      <c r="BT15" s="113"/>
      <c r="BU15" s="113"/>
      <c r="BV15" s="113"/>
      <c r="BW15" s="113"/>
      <c r="BX15" s="113"/>
      <c r="BY15" s="113"/>
      <c r="BZ15" s="113"/>
      <c r="CA15" s="113"/>
      <c r="CB15" s="113"/>
      <c r="CC15" s="113"/>
      <c r="CD15" s="113"/>
      <c r="CE15" s="113"/>
      <c r="CF15" s="113"/>
      <c r="CG15" s="113"/>
      <c r="CH15" s="113"/>
      <c r="CI15" s="113"/>
      <c r="CJ15" s="113"/>
      <c r="CK15" s="113"/>
      <c r="CL15" s="113"/>
      <c r="CM15" s="113"/>
      <c r="CN15" s="113"/>
      <c r="CO15" s="113"/>
      <c r="CP15" s="113"/>
      <c r="CQ15" s="113"/>
      <c r="CR15" s="113"/>
      <c r="CS15" s="113"/>
      <c r="CT15" s="113"/>
      <c r="CU15" s="113"/>
      <c r="CV15" s="113"/>
      <c r="CW15" s="113"/>
      <c r="CX15" s="113"/>
      <c r="CY15" s="113"/>
      <c r="CZ15" s="113"/>
      <c r="DA15" s="113"/>
      <c r="DB15" s="113"/>
      <c r="DC15" s="113"/>
      <c r="DD15" s="113"/>
      <c r="DE15" s="113"/>
      <c r="DF15" s="113"/>
      <c r="DG15" s="113"/>
      <c r="DH15" s="113"/>
      <c r="DI15" s="113"/>
      <c r="DJ15" s="113"/>
      <c r="DK15" s="113"/>
      <c r="DL15" s="113"/>
      <c r="DM15" s="113"/>
      <c r="DN15" s="113"/>
      <c r="DO15" s="113"/>
      <c r="DP15" s="113"/>
      <c r="DQ15" s="113"/>
      <c r="DR15" s="113"/>
      <c r="DS15" s="113"/>
      <c r="DT15" s="113"/>
      <c r="DU15" s="113"/>
      <c r="DV15" s="113"/>
      <c r="DW15" s="113"/>
      <c r="DX15" s="113"/>
      <c r="DY15" s="113"/>
      <c r="DZ15" s="113"/>
      <c r="EA15" s="113"/>
      <c r="EB15" s="113"/>
      <c r="EC15" s="113"/>
      <c r="ED15" s="113"/>
      <c r="EE15" s="113"/>
      <c r="EF15" s="113"/>
      <c r="EG15" s="113"/>
      <c r="EH15" s="113"/>
      <c r="EI15" s="113"/>
      <c r="EJ15" s="113"/>
      <c r="EK15" s="113"/>
      <c r="EL15" s="113"/>
      <c r="EM15" s="113"/>
      <c r="EN15" s="113"/>
      <c r="EO15" s="113"/>
      <c r="EP15" s="113"/>
      <c r="EQ15" s="113"/>
      <c r="ER15" s="113"/>
      <c r="ES15" s="113"/>
      <c r="ET15" s="113"/>
      <c r="EU15" s="113"/>
      <c r="EV15" s="113"/>
      <c r="EW15" s="113"/>
      <c r="EX15" s="113"/>
      <c r="EY15" s="113"/>
      <c r="EZ15" s="113"/>
      <c r="FA15" s="113"/>
      <c r="FB15" s="113"/>
      <c r="FC15" s="113"/>
      <c r="FD15" s="113"/>
      <c r="FE15" s="113"/>
      <c r="FF15" s="113"/>
      <c r="FG15" s="113"/>
      <c r="FH15" s="113"/>
      <c r="FI15" s="113"/>
      <c r="FJ15" s="113"/>
      <c r="FK15" s="113"/>
      <c r="FL15" s="113"/>
      <c r="FM15" s="113"/>
      <c r="FN15" s="113"/>
      <c r="FO15" s="113"/>
      <c r="FP15" s="113"/>
      <c r="FQ15" s="113"/>
      <c r="FR15" s="113"/>
      <c r="FS15" s="113"/>
      <c r="FT15" s="113"/>
      <c r="FU15" s="113"/>
      <c r="FV15" s="113"/>
      <c r="FW15" s="113"/>
      <c r="FX15" s="113"/>
      <c r="FY15" s="113"/>
      <c r="FZ15" s="113"/>
      <c r="GA15" s="113"/>
      <c r="GB15" s="113"/>
      <c r="GC15" s="113"/>
      <c r="GD15" s="113"/>
      <c r="GE15" s="113"/>
      <c r="GF15" s="113"/>
      <c r="GG15" s="113"/>
      <c r="GH15" s="113"/>
      <c r="GI15" s="113"/>
      <c r="GJ15" s="113"/>
      <c r="GK15" s="113"/>
      <c r="GL15" s="113"/>
      <c r="GM15" s="113"/>
      <c r="GN15" s="113"/>
      <c r="GO15" s="113"/>
      <c r="GP15" s="113"/>
      <c r="GQ15" s="113"/>
      <c r="GR15" s="113"/>
      <c r="GS15" s="113"/>
      <c r="GT15" s="113"/>
      <c r="GU15" s="113"/>
      <c r="GV15" s="113"/>
      <c r="GW15" s="113"/>
      <c r="GX15" s="113"/>
      <c r="GY15" s="113"/>
      <c r="GZ15" s="113"/>
      <c r="HA15" s="113"/>
      <c r="HB15" s="113"/>
      <c r="HC15" s="113"/>
      <c r="HD15" s="113"/>
      <c r="HE15" s="113"/>
      <c r="HF15" s="113"/>
      <c r="HG15" s="113"/>
      <c r="HH15" s="113"/>
      <c r="HI15" s="113"/>
      <c r="HJ15" s="113"/>
      <c r="HK15" s="113"/>
      <c r="HL15" s="113"/>
      <c r="HM15" s="113"/>
      <c r="HN15" s="113"/>
      <c r="HO15" s="113"/>
      <c r="HP15" s="113"/>
      <c r="HQ15" s="113"/>
      <c r="HR15" s="113"/>
      <c r="HS15" s="113"/>
      <c r="HT15" s="113"/>
      <c r="HU15" s="113"/>
      <c r="HV15" s="113"/>
      <c r="HW15" s="113"/>
      <c r="HX15" s="113"/>
      <c r="HY15" s="113"/>
      <c r="HZ15" s="113"/>
      <c r="IA15" s="113"/>
      <c r="IB15" s="113"/>
      <c r="IC15" s="113"/>
      <c r="ID15" s="113"/>
      <c r="IE15" s="113"/>
      <c r="IF15" s="113"/>
      <c r="IG15" s="113"/>
      <c r="IH15" s="113"/>
      <c r="II15" s="113"/>
      <c r="IJ15" s="113"/>
      <c r="IK15" s="113"/>
      <c r="IL15" s="113"/>
      <c r="IM15" s="113"/>
      <c r="IN15" s="113"/>
      <c r="IO15" s="113"/>
      <c r="IP15" s="113"/>
      <c r="IQ15" s="113"/>
      <c r="IR15" s="113"/>
      <c r="IS15" s="113"/>
      <c r="IT15" s="113"/>
      <c r="IU15" s="113"/>
      <c r="IV15" s="113"/>
      <c r="IW15" s="113"/>
      <c r="IX15" s="113"/>
      <c r="IY15" s="113"/>
      <c r="IZ15" s="113"/>
      <c r="JA15" s="113"/>
      <c r="JB15" s="113"/>
      <c r="JC15" s="113"/>
      <c r="JD15" s="113"/>
      <c r="JE15" s="113"/>
      <c r="JF15" s="113"/>
      <c r="JG15" s="113"/>
      <c r="JH15" s="113"/>
      <c r="JI15" s="113"/>
      <c r="JJ15" s="113"/>
      <c r="JK15" s="113"/>
      <c r="JL15" s="113"/>
      <c r="JM15" s="113"/>
      <c r="JN15" s="113"/>
      <c r="JO15" s="113"/>
      <c r="JP15" s="113"/>
      <c r="JQ15" s="113"/>
      <c r="JR15" s="113"/>
      <c r="JS15" s="113"/>
      <c r="JT15" s="113"/>
      <c r="JU15" s="113"/>
      <c r="JV15" s="113"/>
      <c r="JW15" s="113"/>
      <c r="JX15" s="113"/>
      <c r="JY15" s="113"/>
      <c r="JZ15" s="113"/>
      <c r="KA15" s="113"/>
      <c r="KB15" s="113"/>
      <c r="KC15" s="113"/>
      <c r="KD15" s="113"/>
      <c r="KE15" s="113"/>
      <c r="KF15" s="113"/>
      <c r="KG15" s="113"/>
      <c r="KH15" s="113"/>
      <c r="KI15" s="113"/>
      <c r="KJ15" s="113"/>
      <c r="KK15" s="113"/>
      <c r="KL15" s="113"/>
      <c r="KM15" s="113"/>
      <c r="KN15" s="113"/>
      <c r="KO15" s="113"/>
      <c r="KP15" s="113"/>
      <c r="KQ15" s="113"/>
      <c r="KR15" s="113"/>
      <c r="KS15" s="113"/>
      <c r="KT15" s="113"/>
      <c r="KU15" s="113"/>
      <c r="KV15" s="113"/>
      <c r="KW15" s="113"/>
      <c r="KX15" s="113"/>
      <c r="KY15" s="113"/>
      <c r="KZ15" s="113"/>
      <c r="LA15" s="113"/>
      <c r="LB15" s="113"/>
      <c r="LC15" s="113"/>
      <c r="LD15" s="113"/>
      <c r="LE15" s="113"/>
      <c r="LF15" s="113"/>
      <c r="LG15" s="113"/>
      <c r="LH15" s="113"/>
      <c r="LI15" s="113"/>
      <c r="LJ15" s="113"/>
      <c r="LK15" s="113"/>
      <c r="LL15" s="113"/>
      <c r="LM15" s="113"/>
      <c r="LN15" s="113"/>
      <c r="LO15" s="113"/>
      <c r="LP15" s="113"/>
      <c r="LQ15" s="113"/>
      <c r="LR15" s="113"/>
      <c r="LS15" s="113"/>
      <c r="LT15" s="113"/>
      <c r="LU15" s="113"/>
      <c r="LV15" s="113"/>
      <c r="LW15" s="113"/>
      <c r="LX15" s="113"/>
      <c r="LY15" s="113"/>
      <c r="LZ15" s="113"/>
      <c r="MA15" s="113"/>
      <c r="MB15" s="113"/>
      <c r="MC15" s="113"/>
      <c r="MD15" s="113"/>
      <c r="ME15" s="113"/>
      <c r="MF15" s="113"/>
      <c r="MG15" s="113"/>
      <c r="MH15" s="113"/>
      <c r="MI15" s="113"/>
      <c r="MJ15" s="113"/>
      <c r="MK15" s="113"/>
      <c r="ML15" s="113"/>
      <c r="MM15" s="113"/>
      <c r="MN15" s="113"/>
      <c r="MO15" s="113"/>
      <c r="MP15" s="113"/>
      <c r="MQ15" s="113"/>
      <c r="MR15" s="113"/>
      <c r="MS15" s="113"/>
      <c r="MT15" s="113"/>
      <c r="MU15" s="113"/>
      <c r="MV15" s="113"/>
      <c r="MW15" s="113"/>
      <c r="MX15" s="113"/>
      <c r="MY15" s="113"/>
      <c r="MZ15" s="113"/>
      <c r="NA15" s="113"/>
      <c r="NB15" s="113"/>
      <c r="NC15" s="113"/>
      <c r="ND15" s="113"/>
      <c r="NE15" s="113"/>
      <c r="NF15" s="113"/>
      <c r="NG15" s="113"/>
      <c r="NH15" s="113"/>
      <c r="NI15" s="113"/>
      <c r="NJ15" s="113"/>
      <c r="NK15" s="113"/>
      <c r="NL15" s="113"/>
      <c r="NM15" s="113"/>
      <c r="NN15" s="113"/>
      <c r="NO15" s="113"/>
      <c r="NP15" s="113"/>
      <c r="NQ15" s="113"/>
      <c r="NR15" s="113"/>
      <c r="NS15" s="113"/>
      <c r="NT15" s="113"/>
      <c r="NU15" s="113"/>
      <c r="NV15" s="113"/>
      <c r="NW15" s="113"/>
      <c r="NX15" s="113"/>
      <c r="NY15" s="113"/>
      <c r="NZ15" s="113"/>
      <c r="OA15" s="113"/>
      <c r="OB15" s="113"/>
      <c r="OC15" s="113"/>
      <c r="OD15" s="113"/>
      <c r="OE15" s="113"/>
      <c r="OF15" s="113"/>
      <c r="OG15" s="113"/>
      <c r="OH15" s="113"/>
      <c r="OI15" s="113"/>
      <c r="OJ15" s="113"/>
      <c r="OK15" s="113"/>
      <c r="OL15" s="113"/>
      <c r="OM15" s="113"/>
      <c r="ON15" s="113"/>
      <c r="OO15" s="113"/>
      <c r="OP15" s="113"/>
      <c r="OQ15" s="113"/>
      <c r="OR15" s="113"/>
      <c r="OS15" s="113"/>
      <c r="OT15" s="113"/>
      <c r="OU15" s="113"/>
      <c r="OV15" s="113"/>
      <c r="OW15" s="113"/>
      <c r="OX15" s="113"/>
      <c r="OY15" s="113"/>
      <c r="OZ15" s="113"/>
      <c r="PA15" s="113"/>
      <c r="PB15" s="113"/>
      <c r="PC15" s="113"/>
      <c r="PD15" s="113"/>
      <c r="PE15" s="113"/>
      <c r="PF15" s="113"/>
      <c r="PG15" s="113"/>
      <c r="PH15" s="113"/>
      <c r="PI15" s="113"/>
      <c r="PJ15" s="113"/>
      <c r="PK15" s="113"/>
      <c r="PL15" s="113"/>
      <c r="PM15" s="113"/>
      <c r="PN15" s="113"/>
      <c r="PO15" s="113"/>
      <c r="PP15" s="113"/>
      <c r="PQ15" s="113"/>
      <c r="PR15" s="113"/>
      <c r="PS15" s="113"/>
      <c r="PT15" s="113"/>
      <c r="PU15" s="113"/>
      <c r="PV15" s="113"/>
      <c r="PW15" s="113"/>
      <c r="PX15" s="113"/>
      <c r="PY15" s="113"/>
      <c r="PZ15" s="113"/>
      <c r="QA15" s="113"/>
      <c r="QB15" s="113"/>
      <c r="QC15" s="113"/>
      <c r="QD15" s="113"/>
      <c r="QE15" s="113"/>
      <c r="QF15" s="113"/>
      <c r="QG15" s="113"/>
      <c r="QH15" s="113"/>
      <c r="QI15" s="113"/>
      <c r="QJ15" s="113"/>
      <c r="QK15" s="113"/>
      <c r="QL15" s="113"/>
      <c r="QM15" s="113"/>
      <c r="QN15" s="113"/>
      <c r="QO15" s="113"/>
      <c r="QP15" s="113"/>
      <c r="QQ15" s="113"/>
      <c r="QR15" s="113"/>
      <c r="QS15" s="113"/>
      <c r="QT15" s="113"/>
      <c r="QU15" s="113"/>
      <c r="QV15" s="113"/>
      <c r="QW15" s="113"/>
      <c r="QX15" s="113"/>
      <c r="QY15" s="113"/>
      <c r="QZ15" s="113"/>
      <c r="RA15" s="113"/>
      <c r="RB15" s="113"/>
      <c r="RC15" s="113"/>
      <c r="RD15" s="113"/>
      <c r="RE15" s="113"/>
      <c r="RF15" s="113"/>
      <c r="RG15" s="113"/>
      <c r="RH15" s="113"/>
      <c r="RI15" s="113"/>
      <c r="RJ15" s="113"/>
      <c r="RK15" s="113"/>
      <c r="RL15" s="113"/>
      <c r="RM15" s="113"/>
      <c r="RN15" s="113"/>
      <c r="RO15" s="113"/>
      <c r="RP15" s="113"/>
      <c r="RQ15" s="113"/>
      <c r="RR15" s="113"/>
      <c r="RS15" s="113"/>
      <c r="RT15" s="113"/>
      <c r="RU15" s="113"/>
      <c r="RV15" s="113"/>
      <c r="RW15" s="113"/>
      <c r="RX15" s="113"/>
      <c r="RY15" s="113"/>
      <c r="RZ15" s="113"/>
      <c r="SA15" s="113"/>
      <c r="SB15" s="113"/>
      <c r="SC15" s="113"/>
      <c r="SD15" s="113"/>
      <c r="SE15" s="113"/>
      <c r="SF15" s="113"/>
      <c r="SG15" s="113"/>
      <c r="SH15" s="113"/>
      <c r="SI15" s="113"/>
      <c r="SJ15" s="113"/>
      <c r="SK15" s="113"/>
      <c r="SL15" s="113"/>
      <c r="SM15" s="113"/>
      <c r="SN15" s="113"/>
      <c r="SO15" s="113"/>
      <c r="SP15" s="113"/>
      <c r="SQ15" s="113"/>
      <c r="SR15" s="113"/>
      <c r="SS15" s="113"/>
      <c r="ST15" s="113"/>
      <c r="SU15" s="113"/>
      <c r="SV15" s="113"/>
      <c r="SW15" s="113"/>
      <c r="SX15" s="113"/>
      <c r="SY15" s="113"/>
      <c r="SZ15" s="113"/>
      <c r="TA15" s="113"/>
      <c r="TB15" s="113"/>
      <c r="TC15" s="113"/>
      <c r="TD15" s="113"/>
      <c r="TE15" s="113"/>
      <c r="TF15" s="113"/>
      <c r="TG15" s="113"/>
      <c r="TH15" s="113"/>
      <c r="TI15" s="113"/>
      <c r="TJ15" s="113"/>
      <c r="TK15" s="113"/>
      <c r="TL15" s="113"/>
      <c r="TM15" s="113"/>
      <c r="TN15" s="113"/>
      <c r="TO15" s="113"/>
      <c r="TP15" s="113"/>
      <c r="TQ15" s="113"/>
      <c r="TR15" s="113"/>
      <c r="TS15" s="113"/>
      <c r="TT15" s="113"/>
      <c r="TU15" s="113"/>
      <c r="TV15" s="113"/>
      <c r="TW15" s="113"/>
      <c r="TX15" s="113"/>
      <c r="TY15" s="113"/>
      <c r="TZ15" s="113"/>
      <c r="UA15" s="113"/>
      <c r="UB15" s="113"/>
      <c r="UC15" s="113"/>
      <c r="UD15" s="113"/>
      <c r="UE15" s="113"/>
      <c r="UF15" s="113"/>
      <c r="UG15" s="113"/>
      <c r="UH15" s="113"/>
      <c r="UI15" s="113"/>
      <c r="UJ15" s="113"/>
      <c r="UK15" s="113"/>
      <c r="UL15" s="113"/>
      <c r="UM15" s="113"/>
      <c r="UN15" s="113"/>
      <c r="UO15" s="113"/>
      <c r="UP15" s="113"/>
      <c r="UQ15" s="113"/>
      <c r="UR15" s="113"/>
      <c r="US15" s="113"/>
      <c r="UT15" s="113"/>
      <c r="UU15" s="113"/>
      <c r="UV15" s="113"/>
      <c r="UW15" s="113"/>
      <c r="UX15" s="113"/>
      <c r="UY15" s="113"/>
      <c r="UZ15" s="113"/>
      <c r="VA15" s="113"/>
      <c r="VB15" s="113"/>
      <c r="VC15" s="113"/>
      <c r="VD15" s="113"/>
      <c r="VE15" s="113"/>
      <c r="VF15" s="113"/>
      <c r="VG15" s="113"/>
      <c r="VH15" s="113"/>
      <c r="VI15" s="113"/>
      <c r="VJ15" s="113"/>
      <c r="VK15" s="113"/>
      <c r="VL15" s="113"/>
      <c r="VM15" s="113"/>
      <c r="VN15" s="113"/>
      <c r="VO15" s="113"/>
      <c r="VP15" s="113"/>
      <c r="VQ15" s="113"/>
      <c r="VR15" s="113"/>
      <c r="VS15" s="113"/>
      <c r="VT15" s="113"/>
      <c r="VU15" s="113"/>
      <c r="VV15" s="113"/>
      <c r="VW15" s="113"/>
      <c r="VX15" s="113"/>
      <c r="VY15" s="113"/>
      <c r="VZ15" s="113"/>
      <c r="WA15" s="113"/>
      <c r="WB15" s="113"/>
      <c r="WC15" s="113"/>
      <c r="WD15" s="113"/>
      <c r="WE15" s="113"/>
      <c r="WF15" s="113"/>
      <c r="WG15" s="113"/>
      <c r="WH15" s="113"/>
      <c r="WI15" s="113"/>
      <c r="WJ15" s="113"/>
      <c r="WK15" s="113"/>
      <c r="WL15" s="113"/>
      <c r="WM15" s="113"/>
      <c r="WN15" s="113"/>
      <c r="WO15" s="113"/>
      <c r="WP15" s="113"/>
      <c r="WQ15" s="113"/>
      <c r="WR15" s="113"/>
      <c r="WS15" s="113"/>
      <c r="WT15" s="113"/>
      <c r="WU15" s="113"/>
      <c r="WV15" s="113"/>
      <c r="WW15" s="113"/>
      <c r="WX15" s="113"/>
      <c r="WY15" s="113"/>
      <c r="WZ15" s="113"/>
      <c r="XA15" s="113"/>
      <c r="XB15" s="113"/>
      <c r="XC15" s="113"/>
      <c r="XD15" s="113"/>
      <c r="XE15" s="113"/>
      <c r="XF15" s="113"/>
      <c r="XG15" s="113"/>
      <c r="XH15" s="113"/>
      <c r="XI15" s="113"/>
      <c r="XJ15" s="113"/>
      <c r="XK15" s="113"/>
      <c r="XL15" s="113"/>
      <c r="XM15" s="113"/>
      <c r="XN15" s="113"/>
      <c r="XO15" s="113"/>
      <c r="XP15" s="113"/>
      <c r="XQ15" s="113"/>
      <c r="XR15" s="113"/>
      <c r="XS15" s="113"/>
      <c r="XT15" s="113"/>
      <c r="XU15" s="113"/>
      <c r="XV15" s="113"/>
      <c r="XW15" s="113"/>
      <c r="XX15" s="113"/>
      <c r="XY15" s="113"/>
      <c r="XZ15" s="113"/>
      <c r="YA15" s="113"/>
      <c r="YB15" s="113"/>
      <c r="YC15" s="113"/>
      <c r="YD15" s="113"/>
      <c r="YE15" s="113"/>
      <c r="YF15" s="113"/>
      <c r="YG15" s="113"/>
      <c r="YH15" s="113"/>
      <c r="YI15" s="113"/>
      <c r="YJ15" s="113"/>
      <c r="YK15" s="113"/>
      <c r="YL15" s="113"/>
      <c r="YM15" s="113"/>
      <c r="YN15" s="113"/>
      <c r="YO15" s="113"/>
      <c r="YP15" s="113"/>
      <c r="YQ15" s="113"/>
      <c r="YR15" s="113"/>
      <c r="YS15" s="113"/>
      <c r="YT15" s="113"/>
      <c r="YU15" s="113"/>
      <c r="YV15" s="113"/>
      <c r="YW15" s="113"/>
      <c r="YX15" s="113"/>
      <c r="YY15" s="113"/>
      <c r="YZ15" s="113"/>
      <c r="ZA15" s="113"/>
      <c r="ZB15" s="113"/>
      <c r="ZC15" s="113"/>
      <c r="ZD15" s="113"/>
      <c r="ZE15" s="113"/>
      <c r="ZF15" s="113"/>
      <c r="ZG15" s="113"/>
      <c r="ZH15" s="113"/>
      <c r="ZI15" s="113"/>
      <c r="ZJ15" s="113"/>
      <c r="ZK15" s="113"/>
      <c r="ZL15" s="113"/>
      <c r="ZM15" s="113"/>
      <c r="ZN15" s="113"/>
      <c r="ZO15" s="113"/>
      <c r="ZP15" s="113"/>
      <c r="ZQ15" s="113"/>
      <c r="ZR15" s="113"/>
      <c r="ZS15" s="113"/>
      <c r="ZT15" s="113"/>
      <c r="ZU15" s="113"/>
      <c r="ZV15" s="113"/>
      <c r="ZW15" s="113"/>
      <c r="ZX15" s="113"/>
      <c r="ZY15" s="113"/>
      <c r="ZZ15" s="113"/>
      <c r="AAA15" s="113"/>
      <c r="AAB15" s="113"/>
      <c r="AAC15" s="113"/>
      <c r="AAD15" s="113"/>
      <c r="AAE15" s="113"/>
      <c r="AAF15" s="113"/>
      <c r="AAG15" s="113"/>
      <c r="AAH15" s="113"/>
      <c r="AAI15" s="113"/>
      <c r="AAJ15" s="113"/>
      <c r="AAK15" s="113"/>
      <c r="AAL15" s="113"/>
      <c r="AAM15" s="113"/>
      <c r="AAN15" s="113"/>
      <c r="AAO15" s="113"/>
      <c r="AAP15" s="113"/>
      <c r="AAQ15" s="113"/>
      <c r="AAR15" s="113"/>
      <c r="AAS15" s="113"/>
      <c r="AAT15" s="113"/>
      <c r="AAU15" s="113"/>
      <c r="AAV15" s="113"/>
      <c r="AAW15" s="113"/>
      <c r="AAX15" s="113"/>
      <c r="AAY15" s="113"/>
      <c r="AAZ15" s="113"/>
      <c r="ABA15" s="113"/>
      <c r="ABB15" s="113"/>
      <c r="ABC15" s="113"/>
      <c r="ABD15" s="113"/>
      <c r="ABE15" s="113"/>
      <c r="ABF15" s="113"/>
      <c r="ABG15" s="113"/>
      <c r="ABH15" s="113"/>
      <c r="ABI15" s="113"/>
      <c r="ABJ15" s="113"/>
      <c r="ABK15" s="113"/>
      <c r="ABL15" s="113"/>
      <c r="ABM15" s="113"/>
      <c r="ABN15" s="113"/>
      <c r="ABO15" s="113"/>
      <c r="ABP15" s="113"/>
      <c r="ABQ15" s="113"/>
      <c r="ABR15" s="113"/>
      <c r="ABS15" s="113"/>
      <c r="ABT15" s="113"/>
      <c r="ABU15" s="113"/>
      <c r="ABV15" s="113"/>
      <c r="ABW15" s="113"/>
      <c r="ABX15" s="113"/>
      <c r="ABY15" s="113"/>
      <c r="ABZ15" s="113"/>
      <c r="ACA15" s="113"/>
      <c r="ACB15" s="113"/>
      <c r="ACC15" s="113"/>
      <c r="ACD15" s="113"/>
      <c r="ACE15" s="113"/>
      <c r="ACF15" s="113"/>
      <c r="ACG15" s="113"/>
      <c r="ACH15" s="113"/>
      <c r="ACI15" s="113"/>
      <c r="ACJ15" s="113"/>
      <c r="ACK15" s="113"/>
      <c r="ACL15" s="113"/>
      <c r="ACM15" s="113"/>
      <c r="ACN15" s="113"/>
      <c r="ACO15" s="113"/>
      <c r="ACP15" s="113"/>
      <c r="ACQ15" s="113"/>
      <c r="ACR15" s="113"/>
      <c r="ACS15" s="113"/>
      <c r="ACT15" s="113"/>
      <c r="ACU15" s="113"/>
      <c r="ACV15" s="113"/>
      <c r="ACW15" s="113"/>
      <c r="ACX15" s="113"/>
      <c r="ACY15" s="113"/>
      <c r="ACZ15" s="113"/>
      <c r="ADA15" s="113"/>
      <c r="ADB15" s="113"/>
      <c r="ADC15" s="113"/>
      <c r="ADD15" s="113"/>
      <c r="ADE15" s="113"/>
      <c r="ADF15" s="113"/>
      <c r="ADG15" s="113"/>
      <c r="ADH15" s="113"/>
      <c r="ADI15" s="113"/>
      <c r="ADJ15" s="113"/>
      <c r="ADK15" s="113"/>
      <c r="ADL15" s="113"/>
      <c r="ADM15" s="113"/>
      <c r="ADN15" s="113"/>
      <c r="ADO15" s="113"/>
      <c r="ADP15" s="113"/>
      <c r="ADQ15" s="113"/>
      <c r="ADR15" s="113"/>
      <c r="ADS15" s="113"/>
      <c r="ADT15" s="113"/>
      <c r="ADU15" s="113"/>
      <c r="ADV15" s="113"/>
      <c r="ADW15" s="113"/>
      <c r="ADX15" s="113"/>
      <c r="ADY15" s="113"/>
      <c r="ADZ15" s="113"/>
      <c r="AEA15" s="113"/>
      <c r="AEB15" s="113"/>
      <c r="AEC15" s="113"/>
      <c r="AED15" s="113"/>
      <c r="AEE15" s="113"/>
      <c r="AEF15" s="113"/>
      <c r="AEG15" s="113"/>
      <c r="AEH15" s="113"/>
      <c r="AEI15" s="113"/>
      <c r="AEJ15" s="113"/>
      <c r="AEK15" s="113"/>
      <c r="AEL15" s="113"/>
      <c r="AEM15" s="113"/>
      <c r="AEN15" s="113"/>
      <c r="AEO15" s="113"/>
      <c r="AEP15" s="113"/>
      <c r="AEQ15" s="113"/>
      <c r="AER15" s="113"/>
      <c r="AES15" s="113"/>
      <c r="AET15" s="113"/>
      <c r="AEU15" s="113"/>
      <c r="AEV15" s="113"/>
      <c r="AEW15" s="113"/>
      <c r="AEX15" s="113"/>
      <c r="AEY15" s="113"/>
      <c r="AEZ15" s="113"/>
      <c r="AFA15" s="113"/>
      <c r="AFB15" s="113"/>
      <c r="AFC15" s="113"/>
      <c r="AFD15" s="113"/>
      <c r="AFE15" s="113"/>
      <c r="AFF15" s="113"/>
      <c r="AFG15" s="113"/>
      <c r="AFH15" s="113"/>
      <c r="AFI15" s="113"/>
      <c r="AFJ15" s="113"/>
      <c r="AFK15" s="113"/>
      <c r="AFL15" s="113"/>
      <c r="AFM15" s="113"/>
      <c r="AFN15" s="113"/>
      <c r="AFO15" s="113"/>
      <c r="AFP15" s="113"/>
      <c r="AFQ15" s="113"/>
      <c r="AFR15" s="113"/>
      <c r="AFS15" s="113"/>
      <c r="AFT15" s="113"/>
      <c r="AFU15" s="113"/>
      <c r="AFV15" s="113"/>
      <c r="AFW15" s="113"/>
      <c r="AFX15" s="113"/>
      <c r="AFY15" s="113"/>
      <c r="AFZ15" s="113"/>
      <c r="AGA15" s="113"/>
      <c r="AGB15" s="113"/>
      <c r="AGC15" s="113"/>
      <c r="AGD15" s="113"/>
      <c r="AGE15" s="113"/>
      <c r="AGF15" s="113"/>
      <c r="AGG15" s="113"/>
      <c r="AGH15" s="113"/>
      <c r="AGI15" s="113"/>
      <c r="AGJ15" s="113"/>
      <c r="AGK15" s="113"/>
      <c r="AGL15" s="113"/>
      <c r="AGM15" s="113"/>
      <c r="AGN15" s="113"/>
      <c r="AGO15" s="113"/>
      <c r="AGP15" s="113"/>
      <c r="AGQ15" s="113"/>
      <c r="AGR15" s="113"/>
      <c r="AGS15" s="113"/>
      <c r="AGT15" s="113"/>
      <c r="AGU15" s="113"/>
      <c r="AGV15" s="113"/>
      <c r="AGW15" s="113"/>
      <c r="AGX15" s="113"/>
      <c r="AGY15" s="113"/>
      <c r="AGZ15" s="113"/>
      <c r="AHA15" s="113"/>
      <c r="AHB15" s="113"/>
      <c r="AHC15" s="113"/>
      <c r="AHD15" s="113"/>
      <c r="AHE15" s="113"/>
      <c r="AHF15" s="113"/>
      <c r="AHG15" s="113"/>
      <c r="AHH15" s="113"/>
      <c r="AHI15" s="113"/>
      <c r="AHJ15" s="113"/>
      <c r="AHK15" s="113"/>
      <c r="AHL15" s="113"/>
      <c r="AHM15" s="113"/>
      <c r="AHN15" s="113"/>
      <c r="AHO15" s="113"/>
      <c r="AHP15" s="113"/>
      <c r="AHQ15" s="113"/>
      <c r="AHR15" s="113"/>
      <c r="AHS15" s="113"/>
      <c r="AHT15" s="113"/>
      <c r="AHU15" s="113"/>
      <c r="AHV15" s="113"/>
      <c r="AHW15" s="113"/>
      <c r="AHX15" s="113"/>
      <c r="AHY15" s="113"/>
      <c r="AHZ15" s="113"/>
      <c r="AIA15" s="113"/>
      <c r="AIB15" s="113"/>
      <c r="AIC15" s="113"/>
      <c r="AID15" s="113"/>
      <c r="AIE15" s="113"/>
      <c r="AIF15" s="113"/>
      <c r="AIG15" s="113"/>
      <c r="AIH15" s="113"/>
      <c r="AII15" s="113"/>
      <c r="AIJ15" s="113"/>
      <c r="AIK15" s="113"/>
      <c r="AIL15" s="113"/>
      <c r="AIM15" s="113"/>
      <c r="AIN15" s="113"/>
      <c r="AIO15" s="113"/>
      <c r="AIP15" s="113"/>
      <c r="AIQ15" s="113"/>
      <c r="AIR15" s="113"/>
      <c r="AIS15" s="113"/>
      <c r="AIT15" s="113"/>
      <c r="AIU15" s="113"/>
      <c r="AIV15" s="113"/>
      <c r="AIW15" s="113"/>
      <c r="AIX15" s="113"/>
      <c r="AIY15" s="113"/>
      <c r="AIZ15" s="113"/>
    </row>
    <row r="16">
      <c r="A16" s="65" t="s">
        <v>47</v>
      </c>
      <c r="B16" s="65" t="s">
        <v>50</v>
      </c>
      <c r="C16" s="65"/>
      <c r="D16" s="64">
        <f t="shared" si="1"/>
        <v>560.0603</v>
      </c>
      <c r="G16" s="65">
        <v>4.998</v>
      </c>
      <c r="H16" s="65">
        <v>15.1739833333333</v>
      </c>
      <c r="I16" s="65">
        <v>26.2380666666667</v>
      </c>
      <c r="J16" s="65">
        <v>37.8512166666667</v>
      </c>
      <c r="K16" s="65">
        <v>49.8770666666667</v>
      </c>
      <c r="N16" s="65">
        <v>4.76046666666667</v>
      </c>
      <c r="Q16" s="65">
        <v>1.74426666666667</v>
      </c>
      <c r="R16" s="65">
        <v>0.649983333333333</v>
      </c>
      <c r="S16" s="65">
        <v>2.78483333333333</v>
      </c>
      <c r="T16" s="65">
        <v>78.112</v>
      </c>
      <c r="U16" s="65">
        <v>21.4826333333333</v>
      </c>
      <c r="X16" s="65">
        <v>0.3333</v>
      </c>
      <c r="Y16" s="65">
        <v>4.95738333333333</v>
      </c>
      <c r="Z16" s="65">
        <v>7.66878333333334</v>
      </c>
      <c r="AA16" s="65">
        <v>129.673266666667</v>
      </c>
      <c r="AB16" s="65">
        <v>45.0041333333333</v>
      </c>
      <c r="AG16" s="65">
        <v>0.799716666666667</v>
      </c>
      <c r="AH16" s="65">
        <v>2.76763333333333</v>
      </c>
      <c r="AI16" s="65">
        <v>9.38158333333333</v>
      </c>
      <c r="AL16" s="65">
        <v>18.4538166666667</v>
      </c>
      <c r="AM16" s="65">
        <v>31.41855</v>
      </c>
      <c r="AN16" s="65">
        <v>17.4178833333333</v>
      </c>
      <c r="AQ16" s="65">
        <v>5.44886666666667</v>
      </c>
      <c r="AR16" s="65">
        <v>11.33655</v>
      </c>
      <c r="AU16" s="65">
        <v>31.7263166666667</v>
      </c>
    </row>
    <row r="17">
      <c r="A17" s="65" t="s">
        <v>47</v>
      </c>
      <c r="B17" s="65" t="s">
        <v>50</v>
      </c>
      <c r="C17" s="65"/>
      <c r="D17" s="64">
        <f t="shared" si="1"/>
        <v>0</v>
      </c>
    </row>
    <row r="18">
      <c r="A18" s="65" t="s">
        <v>47</v>
      </c>
      <c r="B18" s="65" t="s">
        <v>50</v>
      </c>
      <c r="C18" s="65"/>
      <c r="D18" s="64">
        <f t="shared" si="1"/>
        <v>556.8848833</v>
      </c>
      <c r="G18" s="118">
        <f>HYPERLINK("https://docs.google.com/spreadsheets/d/1uMOy7i-C_V_w32Qn5d-6jaw226NkXc6a", 4.998)</f>
        <v>4.998</v>
      </c>
      <c r="H18" s="118">
        <f>HYPERLINK("https://docs.google.com/spreadsheets/d/1VhkS8bGIVATheHADR4rKMwMFbTN7Kw3Q", 15.1739833333333)</f>
        <v>15.17398333</v>
      </c>
      <c r="I18" s="118">
        <f>HYPERLINK("https://docs.google.com/spreadsheets/d/12Ydsef5ogXuGiUEYvGaJIikhe6ilwGyc", 25.6749833333333)</f>
        <v>25.67498333</v>
      </c>
      <c r="J18" s="118">
        <f>HYPERLINK("https://docs.google.com/spreadsheets/d/1P5SSxwQyBfMRRmDEznk7KFZpHzTOjmlN", 37.25525)</f>
        <v>37.25525</v>
      </c>
      <c r="K18" s="118">
        <f>HYPERLINK("https://docs.google.com/spreadsheets/d/1DNQfIocoe8yik1h1dEHdhzSRNtrEXm8q", 49.87705)</f>
        <v>49.87705</v>
      </c>
      <c r="N18" s="118">
        <f>HYPERLINK("https://docs.google.com/spreadsheets/d/1uX_0gzMtdxAZQUWxhaoLlUMnpSpxhZ7N", 4.76046666666667)</f>
        <v>4.760466667</v>
      </c>
      <c r="Q18" s="118">
        <f>HYPERLINK("https://docs.google.com/spreadsheets/d/1A9Yu_1dt2AgDD5OzJPllbG6d6o0dCGM4", 1.74426666666667)</f>
        <v>1.744266667</v>
      </c>
      <c r="R18" s="118">
        <f>HYPERLINK("https://docs.google.com/spreadsheets/d/15-F-QlIpLwG3Fu4uMCS5pO_0P-PGIOM8", 0.649983333333333)</f>
        <v>0.6499833333</v>
      </c>
      <c r="S18" s="118">
        <f>HYPERLINK("https://docs.google.com/spreadsheets/d/174EQkmMpZmdoYF_J_zLPZEfxL_Uwv6Fr", 2.78483333333333)</f>
        <v>2.784833333</v>
      </c>
      <c r="T18" s="118">
        <f>HYPERLINK("https://docs.google.com/spreadsheets/d/1WvvveUZYQGVFU6HoonPHUW9RL6g1Uax9", 78.0486333333333)</f>
        <v>78.04863333</v>
      </c>
      <c r="U18" s="118">
        <f>HYPERLINK("https://docs.google.com/spreadsheets/d/1hEelZfvsdXKN0wcQxFdyD9vi_N3l-Y0p", 21.1671833333333)</f>
        <v>21.16718333</v>
      </c>
      <c r="X18" s="118">
        <f>HYPERLINK("https://docs.google.com/spreadsheets/d/1KHr2m2qsUyfvLMBg4xnzQ4Rsiiz9OYLa", 0.3333)</f>
        <v>0.3333</v>
      </c>
      <c r="Y18" s="118">
        <f>HYPERLINK("https://docs.google.com/spreadsheets/d/1b6iCB6MgP3lQf_2eS4w0XYs8fkPbiUp1", 4.27561666666667)</f>
        <v>4.275616667</v>
      </c>
      <c r="Z18" s="118">
        <f>HYPERLINK("https://docs.google.com/spreadsheets/d/17sQZPIuxIENjGPKbpyrDJEPCXt7QR800", 7.66878333333334)</f>
        <v>7.668783333</v>
      </c>
      <c r="AA18" s="118">
        <f>HYPERLINK("https://docs.google.com/spreadsheets/d/1fePGCc0AZZEqMUa3qPlx1YF8ET7G8r7Y", 129.461333333333)</f>
        <v>129.4613333</v>
      </c>
      <c r="AB18" s="118">
        <f>HYPERLINK("https://docs.google.com/spreadsheets/d/1pbJgRowabwg6ZP1N3y6VcHc-9HPi1VTN", 44.5421)</f>
        <v>44.5421</v>
      </c>
      <c r="AG18" s="118">
        <f>HYPERLINK("https://docs.google.com/spreadsheets/d/1Ulj8YHic_voMYtJtzye9zPwYo2vl-Lwd", 0.799716666666667)</f>
        <v>0.7997166667</v>
      </c>
      <c r="AH18" s="118">
        <f>HYPERLINK("https://docs.google.com/spreadsheets/d/1_o2rc5Peyu-6hypdIc04emMz9tiCIa-o", 2.76763333333333)</f>
        <v>2.767633333</v>
      </c>
      <c r="AI18" s="118">
        <f>HYPERLINK("https://docs.google.com/spreadsheets/d/1WCUKj97a4EOV8kXtB4AHAKupUaZXXKsO", 9.38156666666667)</f>
        <v>9.381566667</v>
      </c>
      <c r="AL18" s="118">
        <f>HYPERLINK("https://docs.google.com/spreadsheets/d/1Gojr0F4OMkQHznrlAz3CyUrS4ZBUARi3", 18.4538166666667)</f>
        <v>18.45381667</v>
      </c>
      <c r="AM18" s="118">
        <f>HYPERLINK("https://docs.google.com/spreadsheets/d/1ZJbsN22qvUY2RlYvf9sSYAldgjJwbXDk", 31.41855)</f>
        <v>31.41855</v>
      </c>
      <c r="AN18" s="118">
        <f>HYPERLINK("https://docs.google.com/spreadsheets/d/1CdJnixgEl3eMFC8O-S3HTTpQXwqZ3Lwt", 17.4178833333333)</f>
        <v>17.41788333</v>
      </c>
      <c r="AQ18" s="118">
        <f>HYPERLINK("https://docs.google.com/spreadsheets/d/1D_Judrw_kG3yeNclDWq-EyJGvNuhREoA", 5.44886666666667)</f>
        <v>5.448866667</v>
      </c>
      <c r="AR18" s="118">
        <f>HYPERLINK("https://docs.google.com/spreadsheets/d/1kpWCNYWJFJ-BLUVThbuM_CRXy7BijPyi", 11.0547333333333)</f>
        <v>11.05473333</v>
      </c>
      <c r="AU18" s="118">
        <f>HYPERLINK("https://docs.google.com/spreadsheets/d/1zcEldP-ldPF15Tm3ztVnPjnYGHjPrRjq", 31.72635)</f>
        <v>31.72635</v>
      </c>
    </row>
    <row r="19">
      <c r="A19" s="65" t="s">
        <v>47</v>
      </c>
      <c r="B19" s="65" t="s">
        <v>50</v>
      </c>
      <c r="C19" s="65"/>
      <c r="D19" s="64">
        <f t="shared" si="1"/>
        <v>430.0357333</v>
      </c>
      <c r="G19" s="65">
        <v>3.39986666666667</v>
      </c>
      <c r="H19" s="65">
        <v>4.3193</v>
      </c>
      <c r="I19" s="65">
        <v>16.7951</v>
      </c>
      <c r="J19" s="65">
        <v>30.0347333333333</v>
      </c>
      <c r="K19" s="65">
        <v>34.9709333333333</v>
      </c>
      <c r="N19" s="65">
        <v>1.40298333333333</v>
      </c>
      <c r="Q19" s="65">
        <v>1.04433333333333</v>
      </c>
      <c r="R19" s="65">
        <v>0.392433333333333</v>
      </c>
      <c r="S19" s="65">
        <v>0.510616666666667</v>
      </c>
      <c r="T19" s="65">
        <v>61.70915</v>
      </c>
      <c r="U19" s="65">
        <v>15.83805</v>
      </c>
      <c r="X19" s="65">
        <v>0.1963</v>
      </c>
      <c r="Y19" s="65">
        <v>3.62161666666667</v>
      </c>
      <c r="Z19" s="65">
        <v>2.30261666666667</v>
      </c>
      <c r="AA19" s="65">
        <v>107.071966666667</v>
      </c>
      <c r="AB19" s="65">
        <v>32.6991166666667</v>
      </c>
      <c r="AG19" s="65">
        <v>0.33275</v>
      </c>
      <c r="AH19" s="65">
        <v>2.65361666666667</v>
      </c>
      <c r="AI19" s="65">
        <v>8.17708333333334</v>
      </c>
      <c r="AL19" s="65">
        <v>17.1551166666667</v>
      </c>
      <c r="AM19" s="65">
        <v>29.6770166666667</v>
      </c>
      <c r="AN19" s="65">
        <v>13.0748333333333</v>
      </c>
      <c r="AQ19" s="65">
        <v>4.6032</v>
      </c>
      <c r="AR19" s="65">
        <v>8.94168333333333</v>
      </c>
      <c r="AU19" s="65">
        <v>29.1113166666667</v>
      </c>
    </row>
    <row r="20">
      <c r="A20" s="119" t="s">
        <v>47</v>
      </c>
      <c r="B20" s="119" t="s">
        <v>50</v>
      </c>
      <c r="C20" s="119"/>
      <c r="D20" s="120">
        <f t="shared" si="1"/>
        <v>0</v>
      </c>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c r="FX20" s="120"/>
      <c r="FY20" s="120"/>
      <c r="FZ20" s="120"/>
      <c r="GA20" s="120"/>
      <c r="GB20" s="120"/>
      <c r="GC20" s="120"/>
      <c r="GD20" s="120"/>
      <c r="GE20" s="120"/>
      <c r="GF20" s="120"/>
      <c r="GG20" s="120"/>
      <c r="GH20" s="120"/>
      <c r="GI20" s="120"/>
      <c r="GJ20" s="120"/>
      <c r="GK20" s="120"/>
      <c r="GL20" s="120"/>
      <c r="GM20" s="120"/>
      <c r="GN20" s="120"/>
      <c r="GO20" s="120"/>
      <c r="GP20" s="120"/>
      <c r="GQ20" s="120"/>
      <c r="GR20" s="120"/>
      <c r="GS20" s="120"/>
      <c r="GT20" s="120"/>
      <c r="GU20" s="120"/>
      <c r="GV20" s="120"/>
      <c r="GW20" s="120"/>
      <c r="GX20" s="120"/>
      <c r="GY20" s="120"/>
      <c r="GZ20" s="120"/>
      <c r="HA20" s="120"/>
      <c r="HB20" s="120"/>
      <c r="HC20" s="120"/>
      <c r="HD20" s="120"/>
      <c r="HE20" s="120"/>
      <c r="HF20" s="120"/>
      <c r="HG20" s="120"/>
      <c r="HH20" s="120"/>
      <c r="HI20" s="120"/>
      <c r="HJ20" s="120"/>
      <c r="HK20" s="120"/>
      <c r="HL20" s="120"/>
      <c r="HM20" s="120"/>
      <c r="HN20" s="120"/>
      <c r="HO20" s="120"/>
      <c r="HP20" s="120"/>
      <c r="HQ20" s="120"/>
      <c r="HR20" s="120"/>
      <c r="HS20" s="120"/>
      <c r="HT20" s="120"/>
      <c r="HU20" s="120"/>
      <c r="HV20" s="120"/>
      <c r="HW20" s="120"/>
      <c r="HX20" s="120"/>
      <c r="HY20" s="120"/>
      <c r="HZ20" s="120"/>
      <c r="IA20" s="120"/>
      <c r="IB20" s="120"/>
      <c r="IC20" s="120"/>
      <c r="ID20" s="120"/>
      <c r="IE20" s="120"/>
      <c r="IF20" s="120"/>
      <c r="IG20" s="120"/>
      <c r="IH20" s="120"/>
      <c r="II20" s="120"/>
      <c r="IJ20" s="120"/>
      <c r="IK20" s="120"/>
      <c r="IL20" s="120"/>
      <c r="IM20" s="120"/>
      <c r="IN20" s="120"/>
      <c r="IO20" s="120"/>
      <c r="IP20" s="120"/>
      <c r="IQ20" s="120"/>
      <c r="IR20" s="120"/>
      <c r="IS20" s="120"/>
      <c r="IT20" s="120"/>
      <c r="IU20" s="120"/>
      <c r="IV20" s="120"/>
      <c r="IW20" s="120"/>
      <c r="IX20" s="120"/>
      <c r="IY20" s="120"/>
      <c r="IZ20" s="120"/>
      <c r="JA20" s="120"/>
      <c r="JB20" s="120"/>
      <c r="JC20" s="120"/>
      <c r="JD20" s="120"/>
      <c r="JE20" s="120"/>
      <c r="JF20" s="120"/>
      <c r="JG20" s="120"/>
      <c r="JH20" s="120"/>
      <c r="JI20" s="120"/>
      <c r="JJ20" s="120"/>
      <c r="JK20" s="120"/>
      <c r="JL20" s="120"/>
      <c r="JM20" s="120"/>
      <c r="JN20" s="120"/>
      <c r="JO20" s="120"/>
      <c r="JP20" s="120"/>
      <c r="JQ20" s="120"/>
      <c r="JR20" s="120"/>
      <c r="JS20" s="120"/>
      <c r="JT20" s="120"/>
      <c r="JU20" s="120"/>
      <c r="JV20" s="120"/>
      <c r="JW20" s="120"/>
      <c r="JX20" s="120"/>
      <c r="JY20" s="120"/>
      <c r="JZ20" s="120"/>
      <c r="KA20" s="120"/>
      <c r="KB20" s="120"/>
      <c r="KC20" s="120"/>
      <c r="KD20" s="120"/>
      <c r="KE20" s="120"/>
      <c r="KF20" s="120"/>
      <c r="KG20" s="120"/>
      <c r="KH20" s="120"/>
      <c r="KI20" s="120"/>
      <c r="KJ20" s="120"/>
      <c r="KK20" s="120"/>
      <c r="KL20" s="120"/>
      <c r="KM20" s="120"/>
      <c r="KN20" s="120"/>
      <c r="KO20" s="120"/>
      <c r="KP20" s="120"/>
      <c r="KQ20" s="120"/>
      <c r="KR20" s="120"/>
      <c r="KS20" s="120"/>
      <c r="KT20" s="120"/>
      <c r="KU20" s="120"/>
      <c r="KV20" s="120"/>
      <c r="KW20" s="120"/>
      <c r="KX20" s="120"/>
      <c r="KY20" s="120"/>
      <c r="KZ20" s="120"/>
      <c r="LA20" s="120"/>
      <c r="LB20" s="120"/>
      <c r="LC20" s="120"/>
      <c r="LD20" s="120"/>
      <c r="LE20" s="120"/>
      <c r="LF20" s="120"/>
      <c r="LG20" s="120"/>
      <c r="LH20" s="120"/>
      <c r="LI20" s="120"/>
      <c r="LJ20" s="120"/>
      <c r="LK20" s="120"/>
      <c r="LL20" s="120"/>
      <c r="LM20" s="120"/>
      <c r="LN20" s="120"/>
      <c r="LO20" s="120"/>
      <c r="LP20" s="120"/>
      <c r="LQ20" s="120"/>
      <c r="LR20" s="120"/>
      <c r="LS20" s="120"/>
      <c r="LT20" s="120"/>
      <c r="LU20" s="120"/>
      <c r="LV20" s="120"/>
      <c r="LW20" s="120"/>
      <c r="LX20" s="120"/>
      <c r="LY20" s="120"/>
      <c r="LZ20" s="120"/>
      <c r="MA20" s="120"/>
      <c r="MB20" s="120"/>
      <c r="MC20" s="120"/>
      <c r="MD20" s="120"/>
      <c r="ME20" s="120"/>
      <c r="MF20" s="120"/>
      <c r="MG20" s="120"/>
      <c r="MH20" s="120"/>
      <c r="MI20" s="120"/>
      <c r="MJ20" s="120"/>
      <c r="MK20" s="120"/>
      <c r="ML20" s="120"/>
      <c r="MM20" s="120"/>
      <c r="MN20" s="120"/>
      <c r="MO20" s="120"/>
      <c r="MP20" s="120"/>
      <c r="MQ20" s="120"/>
      <c r="MR20" s="120"/>
      <c r="MS20" s="120"/>
      <c r="MT20" s="120"/>
      <c r="MU20" s="120"/>
      <c r="MV20" s="120"/>
      <c r="MW20" s="120"/>
      <c r="MX20" s="120"/>
      <c r="MY20" s="120"/>
      <c r="MZ20" s="120"/>
      <c r="NA20" s="120"/>
      <c r="NB20" s="120"/>
      <c r="NC20" s="120"/>
      <c r="ND20" s="120"/>
      <c r="NE20" s="120"/>
      <c r="NF20" s="120"/>
      <c r="NG20" s="120"/>
      <c r="NH20" s="120"/>
      <c r="NI20" s="120"/>
      <c r="NJ20" s="120"/>
      <c r="NK20" s="120"/>
      <c r="NL20" s="120"/>
      <c r="NM20" s="120"/>
      <c r="NN20" s="120"/>
      <c r="NO20" s="120"/>
      <c r="NP20" s="120"/>
      <c r="NQ20" s="120"/>
      <c r="NR20" s="120"/>
      <c r="NS20" s="120"/>
      <c r="NT20" s="120"/>
      <c r="NU20" s="120"/>
      <c r="NV20" s="120"/>
      <c r="NW20" s="120"/>
      <c r="NX20" s="120"/>
      <c r="NY20" s="120"/>
      <c r="NZ20" s="120"/>
      <c r="OA20" s="120"/>
      <c r="OB20" s="120"/>
      <c r="OC20" s="120"/>
      <c r="OD20" s="120"/>
      <c r="OE20" s="120"/>
      <c r="OF20" s="120"/>
      <c r="OG20" s="120"/>
      <c r="OH20" s="120"/>
      <c r="OI20" s="120"/>
      <c r="OJ20" s="120"/>
      <c r="OK20" s="120"/>
      <c r="OL20" s="120"/>
      <c r="OM20" s="120"/>
      <c r="ON20" s="120"/>
      <c r="OO20" s="120"/>
      <c r="OP20" s="120"/>
      <c r="OQ20" s="120"/>
      <c r="OR20" s="120"/>
      <c r="OS20" s="120"/>
      <c r="OT20" s="120"/>
      <c r="OU20" s="120"/>
      <c r="OV20" s="120"/>
      <c r="OW20" s="120"/>
      <c r="OX20" s="120"/>
      <c r="OY20" s="120"/>
      <c r="OZ20" s="120"/>
      <c r="PA20" s="120"/>
      <c r="PB20" s="120"/>
      <c r="PC20" s="120"/>
      <c r="PD20" s="120"/>
      <c r="PE20" s="120"/>
      <c r="PF20" s="120"/>
      <c r="PG20" s="120"/>
      <c r="PH20" s="120"/>
      <c r="PI20" s="120"/>
      <c r="PJ20" s="120"/>
      <c r="PK20" s="120"/>
      <c r="PL20" s="120"/>
      <c r="PM20" s="120"/>
      <c r="PN20" s="120"/>
      <c r="PO20" s="120"/>
      <c r="PP20" s="120"/>
      <c r="PQ20" s="120"/>
      <c r="PR20" s="120"/>
      <c r="PS20" s="120"/>
      <c r="PT20" s="120"/>
      <c r="PU20" s="120"/>
      <c r="PV20" s="120"/>
      <c r="PW20" s="120"/>
      <c r="PX20" s="120"/>
      <c r="PY20" s="120"/>
      <c r="PZ20" s="120"/>
      <c r="QA20" s="120"/>
      <c r="QB20" s="120"/>
      <c r="QC20" s="120"/>
      <c r="QD20" s="120"/>
      <c r="QE20" s="120"/>
      <c r="QF20" s="120"/>
      <c r="QG20" s="120"/>
      <c r="QH20" s="120"/>
      <c r="QI20" s="120"/>
      <c r="QJ20" s="120"/>
      <c r="QK20" s="120"/>
      <c r="QL20" s="120"/>
      <c r="QM20" s="120"/>
      <c r="QN20" s="120"/>
      <c r="QO20" s="120"/>
      <c r="QP20" s="120"/>
      <c r="QQ20" s="120"/>
      <c r="QR20" s="120"/>
      <c r="QS20" s="120"/>
      <c r="QT20" s="120"/>
      <c r="QU20" s="120"/>
      <c r="QV20" s="120"/>
      <c r="QW20" s="120"/>
      <c r="QX20" s="120"/>
      <c r="QY20" s="120"/>
      <c r="QZ20" s="120"/>
      <c r="RA20" s="120"/>
      <c r="RB20" s="120"/>
      <c r="RC20" s="120"/>
      <c r="RD20" s="120"/>
      <c r="RE20" s="120"/>
      <c r="RF20" s="120"/>
      <c r="RG20" s="120"/>
      <c r="RH20" s="120"/>
      <c r="RI20" s="120"/>
      <c r="RJ20" s="120"/>
      <c r="RK20" s="120"/>
      <c r="RL20" s="120"/>
      <c r="RM20" s="120"/>
      <c r="RN20" s="120"/>
      <c r="RO20" s="120"/>
      <c r="RP20" s="120"/>
      <c r="RQ20" s="120"/>
      <c r="RR20" s="120"/>
      <c r="RS20" s="120"/>
      <c r="RT20" s="120"/>
      <c r="RU20" s="120"/>
      <c r="RV20" s="120"/>
      <c r="RW20" s="120"/>
      <c r="RX20" s="120"/>
      <c r="RY20" s="120"/>
      <c r="RZ20" s="120"/>
      <c r="SA20" s="120"/>
      <c r="SB20" s="120"/>
      <c r="SC20" s="120"/>
      <c r="SD20" s="120"/>
      <c r="SE20" s="120"/>
      <c r="SF20" s="120"/>
      <c r="SG20" s="120"/>
      <c r="SH20" s="120"/>
      <c r="SI20" s="120"/>
      <c r="SJ20" s="120"/>
      <c r="SK20" s="120"/>
      <c r="SL20" s="120"/>
      <c r="SM20" s="120"/>
      <c r="SN20" s="120"/>
      <c r="SO20" s="120"/>
      <c r="SP20" s="120"/>
      <c r="SQ20" s="120"/>
      <c r="SR20" s="120"/>
      <c r="SS20" s="120"/>
      <c r="ST20" s="120"/>
      <c r="SU20" s="120"/>
      <c r="SV20" s="120"/>
      <c r="SW20" s="120"/>
      <c r="SX20" s="120"/>
      <c r="SY20" s="120"/>
      <c r="SZ20" s="120"/>
      <c r="TA20" s="120"/>
      <c r="TB20" s="120"/>
      <c r="TC20" s="120"/>
      <c r="TD20" s="120"/>
      <c r="TE20" s="120"/>
      <c r="TF20" s="120"/>
      <c r="TG20" s="120"/>
      <c r="TH20" s="120"/>
      <c r="TI20" s="120"/>
      <c r="TJ20" s="120"/>
      <c r="TK20" s="120"/>
      <c r="TL20" s="120"/>
      <c r="TM20" s="120"/>
      <c r="TN20" s="120"/>
      <c r="TO20" s="120"/>
      <c r="TP20" s="120"/>
      <c r="TQ20" s="120"/>
      <c r="TR20" s="120"/>
      <c r="TS20" s="120"/>
      <c r="TT20" s="120"/>
      <c r="TU20" s="120"/>
      <c r="TV20" s="120"/>
      <c r="TW20" s="120"/>
      <c r="TX20" s="120"/>
      <c r="TY20" s="120"/>
      <c r="TZ20" s="120"/>
      <c r="UA20" s="120"/>
      <c r="UB20" s="120"/>
      <c r="UC20" s="120"/>
      <c r="UD20" s="120"/>
      <c r="UE20" s="120"/>
      <c r="UF20" s="120"/>
      <c r="UG20" s="120"/>
      <c r="UH20" s="120"/>
      <c r="UI20" s="120"/>
      <c r="UJ20" s="120"/>
      <c r="UK20" s="120"/>
      <c r="UL20" s="120"/>
      <c r="UM20" s="120"/>
      <c r="UN20" s="120"/>
      <c r="UO20" s="120"/>
      <c r="UP20" s="120"/>
      <c r="UQ20" s="120"/>
      <c r="UR20" s="120"/>
      <c r="US20" s="120"/>
      <c r="UT20" s="120"/>
      <c r="UU20" s="120"/>
      <c r="UV20" s="120"/>
      <c r="UW20" s="120"/>
      <c r="UX20" s="120"/>
      <c r="UY20" s="120"/>
      <c r="UZ20" s="120"/>
      <c r="VA20" s="120"/>
      <c r="VB20" s="120"/>
      <c r="VC20" s="120"/>
      <c r="VD20" s="120"/>
      <c r="VE20" s="120"/>
      <c r="VF20" s="120"/>
      <c r="VG20" s="120"/>
      <c r="VH20" s="120"/>
      <c r="VI20" s="120"/>
      <c r="VJ20" s="120"/>
      <c r="VK20" s="120"/>
      <c r="VL20" s="120"/>
      <c r="VM20" s="120"/>
      <c r="VN20" s="120"/>
      <c r="VO20" s="120"/>
      <c r="VP20" s="120"/>
      <c r="VQ20" s="120"/>
      <c r="VR20" s="120"/>
      <c r="VS20" s="120"/>
      <c r="VT20" s="120"/>
      <c r="VU20" s="120"/>
      <c r="VV20" s="120"/>
      <c r="VW20" s="120"/>
      <c r="VX20" s="120"/>
      <c r="VY20" s="120"/>
      <c r="VZ20" s="120"/>
      <c r="WA20" s="120"/>
      <c r="WB20" s="120"/>
      <c r="WC20" s="120"/>
      <c r="WD20" s="120"/>
      <c r="WE20" s="120"/>
      <c r="WF20" s="120"/>
      <c r="WG20" s="120"/>
      <c r="WH20" s="120"/>
      <c r="WI20" s="120"/>
      <c r="WJ20" s="120"/>
      <c r="WK20" s="120"/>
      <c r="WL20" s="120"/>
      <c r="WM20" s="120"/>
      <c r="WN20" s="120"/>
      <c r="WO20" s="120"/>
      <c r="WP20" s="120"/>
      <c r="WQ20" s="120"/>
      <c r="WR20" s="120"/>
      <c r="WS20" s="120"/>
      <c r="WT20" s="120"/>
      <c r="WU20" s="120"/>
      <c r="WV20" s="120"/>
      <c r="WW20" s="120"/>
      <c r="WX20" s="120"/>
      <c r="WY20" s="120"/>
      <c r="WZ20" s="120"/>
      <c r="XA20" s="120"/>
      <c r="XB20" s="120"/>
      <c r="XC20" s="120"/>
      <c r="XD20" s="120"/>
      <c r="XE20" s="120"/>
      <c r="XF20" s="120"/>
      <c r="XG20" s="120"/>
      <c r="XH20" s="120"/>
      <c r="XI20" s="120"/>
      <c r="XJ20" s="120"/>
      <c r="XK20" s="120"/>
      <c r="XL20" s="120"/>
      <c r="XM20" s="120"/>
      <c r="XN20" s="120"/>
      <c r="XO20" s="120"/>
      <c r="XP20" s="120"/>
      <c r="XQ20" s="120"/>
      <c r="XR20" s="120"/>
      <c r="XS20" s="120"/>
      <c r="XT20" s="120"/>
      <c r="XU20" s="120"/>
      <c r="XV20" s="120"/>
      <c r="XW20" s="120"/>
      <c r="XX20" s="120"/>
      <c r="XY20" s="120"/>
      <c r="XZ20" s="120"/>
      <c r="YA20" s="120"/>
      <c r="YB20" s="120"/>
      <c r="YC20" s="120"/>
      <c r="YD20" s="120"/>
      <c r="YE20" s="120"/>
      <c r="YF20" s="120"/>
      <c r="YG20" s="120"/>
      <c r="YH20" s="120"/>
      <c r="YI20" s="120"/>
      <c r="YJ20" s="120"/>
      <c r="YK20" s="120"/>
      <c r="YL20" s="120"/>
      <c r="YM20" s="120"/>
      <c r="YN20" s="120"/>
      <c r="YO20" s="120"/>
      <c r="YP20" s="120"/>
      <c r="YQ20" s="120"/>
      <c r="YR20" s="120"/>
      <c r="YS20" s="120"/>
      <c r="YT20" s="120"/>
      <c r="YU20" s="120"/>
      <c r="YV20" s="120"/>
      <c r="YW20" s="120"/>
      <c r="YX20" s="120"/>
      <c r="YY20" s="120"/>
      <c r="YZ20" s="120"/>
      <c r="ZA20" s="120"/>
      <c r="ZB20" s="120"/>
      <c r="ZC20" s="120"/>
      <c r="ZD20" s="120"/>
      <c r="ZE20" s="120"/>
      <c r="ZF20" s="120"/>
      <c r="ZG20" s="120"/>
      <c r="ZH20" s="120"/>
      <c r="ZI20" s="120"/>
      <c r="ZJ20" s="120"/>
      <c r="ZK20" s="120"/>
      <c r="ZL20" s="120"/>
      <c r="ZM20" s="120"/>
      <c r="ZN20" s="120"/>
      <c r="ZO20" s="120"/>
      <c r="ZP20" s="120"/>
      <c r="ZQ20" s="120"/>
      <c r="ZR20" s="120"/>
      <c r="ZS20" s="120"/>
      <c r="ZT20" s="120"/>
      <c r="ZU20" s="120"/>
      <c r="ZV20" s="120"/>
      <c r="ZW20" s="120"/>
      <c r="ZX20" s="120"/>
      <c r="ZY20" s="120"/>
      <c r="ZZ20" s="120"/>
      <c r="AAA20" s="120"/>
      <c r="AAB20" s="120"/>
      <c r="AAC20" s="120"/>
      <c r="AAD20" s="120"/>
      <c r="AAE20" s="120"/>
      <c r="AAF20" s="120"/>
      <c r="AAG20" s="120"/>
      <c r="AAH20" s="120"/>
      <c r="AAI20" s="120"/>
      <c r="AAJ20" s="120"/>
      <c r="AAK20" s="120"/>
      <c r="AAL20" s="120"/>
      <c r="AAM20" s="120"/>
      <c r="AAN20" s="120"/>
      <c r="AAO20" s="120"/>
      <c r="AAP20" s="120"/>
      <c r="AAQ20" s="120"/>
      <c r="AAR20" s="120"/>
      <c r="AAS20" s="120"/>
      <c r="AAT20" s="120"/>
      <c r="AAU20" s="120"/>
      <c r="AAV20" s="120"/>
      <c r="AAW20" s="120"/>
      <c r="AAX20" s="120"/>
      <c r="AAY20" s="120"/>
      <c r="AAZ20" s="120"/>
      <c r="ABA20" s="120"/>
      <c r="ABB20" s="120"/>
      <c r="ABC20" s="120"/>
      <c r="ABD20" s="120"/>
      <c r="ABE20" s="120"/>
      <c r="ABF20" s="120"/>
      <c r="ABG20" s="120"/>
      <c r="ABH20" s="120"/>
      <c r="ABI20" s="120"/>
      <c r="ABJ20" s="120"/>
      <c r="ABK20" s="120"/>
      <c r="ABL20" s="120"/>
      <c r="ABM20" s="120"/>
      <c r="ABN20" s="120"/>
      <c r="ABO20" s="120"/>
      <c r="ABP20" s="120"/>
      <c r="ABQ20" s="120"/>
      <c r="ABR20" s="120"/>
      <c r="ABS20" s="120"/>
      <c r="ABT20" s="120"/>
      <c r="ABU20" s="120"/>
      <c r="ABV20" s="120"/>
      <c r="ABW20" s="120"/>
      <c r="ABX20" s="120"/>
      <c r="ABY20" s="120"/>
      <c r="ABZ20" s="120"/>
      <c r="ACA20" s="120"/>
      <c r="ACB20" s="120"/>
      <c r="ACC20" s="120"/>
      <c r="ACD20" s="120"/>
      <c r="ACE20" s="120"/>
      <c r="ACF20" s="120"/>
      <c r="ACG20" s="120"/>
      <c r="ACH20" s="120"/>
      <c r="ACI20" s="120"/>
      <c r="ACJ20" s="120"/>
      <c r="ACK20" s="120"/>
      <c r="ACL20" s="120"/>
      <c r="ACM20" s="120"/>
      <c r="ACN20" s="120"/>
      <c r="ACO20" s="120"/>
      <c r="ACP20" s="120"/>
      <c r="ACQ20" s="120"/>
      <c r="ACR20" s="120"/>
      <c r="ACS20" s="120"/>
      <c r="ACT20" s="120"/>
      <c r="ACU20" s="120"/>
      <c r="ACV20" s="120"/>
      <c r="ACW20" s="120"/>
      <c r="ACX20" s="120"/>
      <c r="ACY20" s="120"/>
      <c r="ACZ20" s="120"/>
      <c r="ADA20" s="120"/>
      <c r="ADB20" s="120"/>
      <c r="ADC20" s="120"/>
      <c r="ADD20" s="120"/>
      <c r="ADE20" s="120"/>
      <c r="ADF20" s="120"/>
      <c r="ADG20" s="120"/>
      <c r="ADH20" s="120"/>
      <c r="ADI20" s="120"/>
      <c r="ADJ20" s="120"/>
      <c r="ADK20" s="120"/>
      <c r="ADL20" s="120"/>
      <c r="ADM20" s="120"/>
      <c r="ADN20" s="120"/>
      <c r="ADO20" s="120"/>
      <c r="ADP20" s="120"/>
      <c r="ADQ20" s="120"/>
      <c r="ADR20" s="120"/>
      <c r="ADS20" s="120"/>
      <c r="ADT20" s="120"/>
      <c r="ADU20" s="120"/>
      <c r="ADV20" s="120"/>
      <c r="ADW20" s="120"/>
      <c r="ADX20" s="120"/>
      <c r="ADY20" s="120"/>
      <c r="ADZ20" s="120"/>
      <c r="AEA20" s="120"/>
      <c r="AEB20" s="120"/>
      <c r="AEC20" s="120"/>
      <c r="AED20" s="120"/>
      <c r="AEE20" s="120"/>
      <c r="AEF20" s="120"/>
      <c r="AEG20" s="120"/>
      <c r="AEH20" s="120"/>
      <c r="AEI20" s="120"/>
      <c r="AEJ20" s="120"/>
      <c r="AEK20" s="120"/>
      <c r="AEL20" s="120"/>
      <c r="AEM20" s="120"/>
      <c r="AEN20" s="120"/>
      <c r="AEO20" s="120"/>
      <c r="AEP20" s="120"/>
      <c r="AEQ20" s="120"/>
      <c r="AER20" s="120"/>
      <c r="AES20" s="120"/>
      <c r="AET20" s="120"/>
      <c r="AEU20" s="120"/>
      <c r="AEV20" s="120"/>
      <c r="AEW20" s="120"/>
      <c r="AEX20" s="120"/>
      <c r="AEY20" s="120"/>
      <c r="AEZ20" s="120"/>
      <c r="AFA20" s="120"/>
      <c r="AFB20" s="120"/>
      <c r="AFC20" s="120"/>
      <c r="AFD20" s="120"/>
      <c r="AFE20" s="120"/>
      <c r="AFF20" s="120"/>
      <c r="AFG20" s="120"/>
      <c r="AFH20" s="120"/>
      <c r="AFI20" s="120"/>
      <c r="AFJ20" s="120"/>
      <c r="AFK20" s="120"/>
      <c r="AFL20" s="120"/>
      <c r="AFM20" s="120"/>
      <c r="AFN20" s="120"/>
      <c r="AFO20" s="120"/>
      <c r="AFP20" s="120"/>
      <c r="AFQ20" s="120"/>
      <c r="AFR20" s="120"/>
      <c r="AFS20" s="120"/>
      <c r="AFT20" s="120"/>
      <c r="AFU20" s="120"/>
      <c r="AFV20" s="120"/>
      <c r="AFW20" s="120"/>
      <c r="AFX20" s="120"/>
      <c r="AFY20" s="120"/>
      <c r="AFZ20" s="120"/>
      <c r="AGA20" s="120"/>
      <c r="AGB20" s="120"/>
      <c r="AGC20" s="120"/>
      <c r="AGD20" s="120"/>
      <c r="AGE20" s="120"/>
      <c r="AGF20" s="120"/>
      <c r="AGG20" s="120"/>
      <c r="AGH20" s="120"/>
      <c r="AGI20" s="120"/>
      <c r="AGJ20" s="120"/>
      <c r="AGK20" s="120"/>
      <c r="AGL20" s="120"/>
      <c r="AGM20" s="120"/>
      <c r="AGN20" s="120"/>
      <c r="AGO20" s="120"/>
      <c r="AGP20" s="120"/>
      <c r="AGQ20" s="120"/>
      <c r="AGR20" s="120"/>
      <c r="AGS20" s="120"/>
      <c r="AGT20" s="120"/>
      <c r="AGU20" s="120"/>
      <c r="AGV20" s="120"/>
      <c r="AGW20" s="120"/>
      <c r="AGX20" s="120"/>
      <c r="AGY20" s="120"/>
      <c r="AGZ20" s="120"/>
      <c r="AHA20" s="120"/>
      <c r="AHB20" s="120"/>
      <c r="AHC20" s="120"/>
      <c r="AHD20" s="120"/>
      <c r="AHE20" s="120"/>
      <c r="AHF20" s="120"/>
      <c r="AHG20" s="120"/>
      <c r="AHH20" s="120"/>
      <c r="AHI20" s="120"/>
      <c r="AHJ20" s="120"/>
      <c r="AHK20" s="120"/>
      <c r="AHL20" s="120"/>
      <c r="AHM20" s="120"/>
      <c r="AHN20" s="120"/>
      <c r="AHO20" s="120"/>
      <c r="AHP20" s="120"/>
      <c r="AHQ20" s="120"/>
      <c r="AHR20" s="120"/>
      <c r="AHS20" s="120"/>
      <c r="AHT20" s="120"/>
      <c r="AHU20" s="120"/>
      <c r="AHV20" s="120"/>
      <c r="AHW20" s="120"/>
      <c r="AHX20" s="120"/>
      <c r="AHY20" s="120"/>
      <c r="AHZ20" s="120"/>
      <c r="AIA20" s="120"/>
      <c r="AIB20" s="120"/>
      <c r="AIC20" s="120"/>
      <c r="AID20" s="120"/>
      <c r="AIE20" s="120"/>
      <c r="AIF20" s="120"/>
      <c r="AIG20" s="120"/>
      <c r="AIH20" s="120"/>
      <c r="AII20" s="120"/>
      <c r="AIJ20" s="120"/>
      <c r="AIK20" s="120"/>
      <c r="AIL20" s="120"/>
      <c r="AIM20" s="120"/>
      <c r="AIN20" s="120"/>
      <c r="AIO20" s="120"/>
      <c r="AIP20" s="120"/>
      <c r="AIQ20" s="120"/>
      <c r="AIR20" s="120"/>
      <c r="AIS20" s="120"/>
      <c r="AIT20" s="120"/>
      <c r="AIU20" s="120"/>
      <c r="AIV20" s="120"/>
      <c r="AIW20" s="120"/>
      <c r="AIX20" s="120"/>
      <c r="AIY20" s="120"/>
      <c r="AIZ20" s="120"/>
    </row>
    <row r="21">
      <c r="A21" s="112" t="s">
        <v>47</v>
      </c>
      <c r="B21" s="112" t="s">
        <v>51</v>
      </c>
      <c r="C21" s="112"/>
      <c r="D21" s="113">
        <f t="shared" si="1"/>
        <v>436.27945</v>
      </c>
      <c r="E21" s="112">
        <v>91.4267333333334</v>
      </c>
      <c r="F21" s="113"/>
      <c r="G21" s="113"/>
      <c r="H21" s="113"/>
      <c r="I21" s="113"/>
      <c r="J21" s="113"/>
      <c r="K21" s="113"/>
      <c r="L21" s="112">
        <v>1.22365</v>
      </c>
      <c r="M21" s="112">
        <v>16.9388333333333</v>
      </c>
      <c r="N21" s="113"/>
      <c r="O21" s="112">
        <v>0.343533333333333</v>
      </c>
      <c r="P21" s="112">
        <v>89.3363333333333</v>
      </c>
      <c r="Q21" s="113"/>
      <c r="R21" s="113"/>
      <c r="S21" s="113"/>
      <c r="T21" s="113"/>
      <c r="U21" s="113"/>
      <c r="V21" s="112">
        <v>1.39305</v>
      </c>
      <c r="W21" s="112">
        <v>131.107783333333</v>
      </c>
      <c r="X21" s="113"/>
      <c r="Y21" s="113"/>
      <c r="Z21" s="113"/>
      <c r="AA21" s="113"/>
      <c r="AB21" s="113"/>
      <c r="AC21" s="112">
        <v>2.27858333333333</v>
      </c>
      <c r="AD21" s="112">
        <v>10.2726166666667</v>
      </c>
      <c r="AE21" s="113"/>
      <c r="AF21" s="113"/>
      <c r="AG21" s="113"/>
      <c r="AH21" s="113"/>
      <c r="AI21" s="113"/>
      <c r="AJ21" s="112">
        <v>1.07113333333333</v>
      </c>
      <c r="AK21" s="112">
        <v>46.1758333333334</v>
      </c>
      <c r="AL21" s="113"/>
      <c r="AM21" s="113"/>
      <c r="AN21" s="113"/>
      <c r="AO21" s="112">
        <v>2.91108333333333</v>
      </c>
      <c r="AP21" s="112">
        <v>20.04775</v>
      </c>
      <c r="AQ21" s="113"/>
      <c r="AR21" s="113"/>
      <c r="AS21" s="112">
        <v>2.21503333333333</v>
      </c>
      <c r="AT21" s="112">
        <v>17.99375</v>
      </c>
      <c r="AU21" s="113"/>
      <c r="AV21" s="112">
        <v>0.904166666666667</v>
      </c>
      <c r="AW21" s="112">
        <v>0.639583333333333</v>
      </c>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113"/>
      <c r="CB21" s="113"/>
      <c r="CC21" s="113"/>
      <c r="CD21" s="113"/>
      <c r="CE21" s="113"/>
      <c r="CF21" s="113"/>
      <c r="CG21" s="113"/>
      <c r="CH21" s="113"/>
      <c r="CI21" s="113"/>
      <c r="CJ21" s="113"/>
      <c r="CK21" s="113"/>
      <c r="CL21" s="113"/>
      <c r="CM21" s="113"/>
      <c r="CN21" s="113"/>
      <c r="CO21" s="113"/>
      <c r="CP21" s="113"/>
      <c r="CQ21" s="113"/>
      <c r="CR21" s="113"/>
      <c r="CS21" s="113"/>
      <c r="CT21" s="113"/>
      <c r="CU21" s="113"/>
      <c r="CV21" s="113"/>
      <c r="CW21" s="113"/>
      <c r="CX21" s="113"/>
      <c r="CY21" s="113"/>
      <c r="CZ21" s="113"/>
      <c r="DA21" s="113"/>
      <c r="DB21" s="113"/>
      <c r="DC21" s="113"/>
      <c r="DD21" s="113"/>
      <c r="DE21" s="113"/>
      <c r="DF21" s="113"/>
      <c r="DG21" s="113"/>
      <c r="DH21" s="113"/>
      <c r="DI21" s="113"/>
      <c r="DJ21" s="113"/>
      <c r="DK21" s="113"/>
      <c r="DL21" s="113"/>
      <c r="DM21" s="113"/>
      <c r="DN21" s="113"/>
      <c r="DO21" s="113"/>
      <c r="DP21" s="113"/>
      <c r="DQ21" s="113"/>
      <c r="DR21" s="113"/>
      <c r="DS21" s="113"/>
      <c r="DT21" s="113"/>
      <c r="DU21" s="113"/>
      <c r="DV21" s="113"/>
      <c r="DW21" s="113"/>
      <c r="DX21" s="113"/>
      <c r="DY21" s="113"/>
      <c r="DZ21" s="113"/>
      <c r="EA21" s="113"/>
      <c r="EB21" s="113"/>
      <c r="EC21" s="113"/>
      <c r="ED21" s="113"/>
      <c r="EE21" s="113"/>
      <c r="EF21" s="113"/>
      <c r="EG21" s="113"/>
      <c r="EH21" s="113"/>
      <c r="EI21" s="113"/>
      <c r="EJ21" s="113"/>
      <c r="EK21" s="113"/>
      <c r="EL21" s="113"/>
      <c r="EM21" s="113"/>
      <c r="EN21" s="113"/>
      <c r="EO21" s="113"/>
      <c r="EP21" s="113"/>
      <c r="EQ21" s="113"/>
      <c r="ER21" s="113"/>
      <c r="ES21" s="113"/>
      <c r="ET21" s="113"/>
      <c r="EU21" s="113"/>
      <c r="EV21" s="113"/>
      <c r="EW21" s="113"/>
      <c r="EX21" s="113"/>
      <c r="EY21" s="113"/>
      <c r="EZ21" s="113"/>
      <c r="FA21" s="113"/>
      <c r="FB21" s="113"/>
      <c r="FC21" s="113"/>
      <c r="FD21" s="113"/>
      <c r="FE21" s="113"/>
      <c r="FF21" s="113"/>
      <c r="FG21" s="113"/>
      <c r="FH21" s="113"/>
      <c r="FI21" s="113"/>
      <c r="FJ21" s="113"/>
      <c r="FK21" s="113"/>
      <c r="FL21" s="113"/>
      <c r="FM21" s="113"/>
      <c r="FN21" s="113"/>
      <c r="FO21" s="113"/>
      <c r="FP21" s="113"/>
      <c r="FQ21" s="113"/>
      <c r="FR21" s="113"/>
      <c r="FS21" s="113"/>
      <c r="FT21" s="113"/>
      <c r="FU21" s="113"/>
      <c r="FV21" s="113"/>
      <c r="FW21" s="113"/>
      <c r="FX21" s="113"/>
      <c r="FY21" s="113"/>
      <c r="FZ21" s="113"/>
      <c r="GA21" s="113"/>
      <c r="GB21" s="113"/>
      <c r="GC21" s="113"/>
      <c r="GD21" s="113"/>
      <c r="GE21" s="113"/>
      <c r="GF21" s="113"/>
      <c r="GG21" s="113"/>
      <c r="GH21" s="113"/>
      <c r="GI21" s="113"/>
      <c r="GJ21" s="113"/>
      <c r="GK21" s="113"/>
      <c r="GL21" s="113"/>
      <c r="GM21" s="113"/>
      <c r="GN21" s="113"/>
      <c r="GO21" s="113"/>
      <c r="GP21" s="113"/>
      <c r="GQ21" s="113"/>
      <c r="GR21" s="113"/>
      <c r="GS21" s="113"/>
      <c r="GT21" s="113"/>
      <c r="GU21" s="113"/>
      <c r="GV21" s="113"/>
      <c r="GW21" s="113"/>
      <c r="GX21" s="113"/>
      <c r="GY21" s="113"/>
      <c r="GZ21" s="113"/>
      <c r="HA21" s="113"/>
      <c r="HB21" s="113"/>
      <c r="HC21" s="113"/>
      <c r="HD21" s="113"/>
      <c r="HE21" s="113"/>
      <c r="HF21" s="113"/>
      <c r="HG21" s="113"/>
      <c r="HH21" s="113"/>
      <c r="HI21" s="113"/>
      <c r="HJ21" s="113"/>
      <c r="HK21" s="113"/>
      <c r="HL21" s="113"/>
      <c r="HM21" s="113"/>
      <c r="HN21" s="113"/>
      <c r="HO21" s="113"/>
      <c r="HP21" s="113"/>
      <c r="HQ21" s="113"/>
      <c r="HR21" s="113"/>
      <c r="HS21" s="113"/>
      <c r="HT21" s="113"/>
      <c r="HU21" s="113"/>
      <c r="HV21" s="113"/>
      <c r="HW21" s="113"/>
      <c r="HX21" s="113"/>
      <c r="HY21" s="113"/>
      <c r="HZ21" s="113"/>
      <c r="IA21" s="113"/>
      <c r="IB21" s="113"/>
      <c r="IC21" s="113"/>
      <c r="ID21" s="113"/>
      <c r="IE21" s="113"/>
      <c r="IF21" s="113"/>
      <c r="IG21" s="113"/>
      <c r="IH21" s="113"/>
      <c r="II21" s="113"/>
      <c r="IJ21" s="113"/>
      <c r="IK21" s="113"/>
      <c r="IL21" s="113"/>
      <c r="IM21" s="113"/>
      <c r="IN21" s="113"/>
      <c r="IO21" s="113"/>
      <c r="IP21" s="113"/>
      <c r="IQ21" s="113"/>
      <c r="IR21" s="113"/>
      <c r="IS21" s="113"/>
      <c r="IT21" s="113"/>
      <c r="IU21" s="113"/>
      <c r="IV21" s="113"/>
      <c r="IW21" s="113"/>
      <c r="IX21" s="113"/>
      <c r="IY21" s="113"/>
      <c r="IZ21" s="113"/>
      <c r="JA21" s="113"/>
      <c r="JB21" s="113"/>
      <c r="JC21" s="113"/>
      <c r="JD21" s="113"/>
      <c r="JE21" s="113"/>
      <c r="JF21" s="113"/>
      <c r="JG21" s="113"/>
      <c r="JH21" s="113"/>
      <c r="JI21" s="113"/>
      <c r="JJ21" s="113"/>
      <c r="JK21" s="113"/>
      <c r="JL21" s="113"/>
      <c r="JM21" s="113"/>
      <c r="JN21" s="113"/>
      <c r="JO21" s="113"/>
      <c r="JP21" s="113"/>
      <c r="JQ21" s="113"/>
      <c r="JR21" s="113"/>
      <c r="JS21" s="113"/>
      <c r="JT21" s="113"/>
      <c r="JU21" s="113"/>
      <c r="JV21" s="113"/>
      <c r="JW21" s="113"/>
      <c r="JX21" s="113"/>
      <c r="JY21" s="113"/>
      <c r="JZ21" s="113"/>
      <c r="KA21" s="113"/>
      <c r="KB21" s="113"/>
      <c r="KC21" s="113"/>
      <c r="KD21" s="113"/>
      <c r="KE21" s="113"/>
      <c r="KF21" s="113"/>
      <c r="KG21" s="113"/>
      <c r="KH21" s="113"/>
      <c r="KI21" s="113"/>
      <c r="KJ21" s="113"/>
      <c r="KK21" s="113"/>
      <c r="KL21" s="113"/>
      <c r="KM21" s="113"/>
      <c r="KN21" s="113"/>
      <c r="KO21" s="113"/>
      <c r="KP21" s="113"/>
      <c r="KQ21" s="113"/>
      <c r="KR21" s="113"/>
      <c r="KS21" s="113"/>
      <c r="KT21" s="113"/>
      <c r="KU21" s="113"/>
      <c r="KV21" s="113"/>
      <c r="KW21" s="113"/>
      <c r="KX21" s="113"/>
      <c r="KY21" s="113"/>
      <c r="KZ21" s="113"/>
      <c r="LA21" s="113"/>
      <c r="LB21" s="113"/>
      <c r="LC21" s="113"/>
      <c r="LD21" s="113"/>
      <c r="LE21" s="113"/>
      <c r="LF21" s="113"/>
      <c r="LG21" s="113"/>
      <c r="LH21" s="113"/>
      <c r="LI21" s="113"/>
      <c r="LJ21" s="113"/>
      <c r="LK21" s="113"/>
      <c r="LL21" s="113"/>
      <c r="LM21" s="113"/>
      <c r="LN21" s="113"/>
      <c r="LO21" s="113"/>
      <c r="LP21" s="113"/>
      <c r="LQ21" s="113"/>
      <c r="LR21" s="113"/>
      <c r="LS21" s="113"/>
      <c r="LT21" s="113"/>
      <c r="LU21" s="113"/>
      <c r="LV21" s="113"/>
      <c r="LW21" s="113"/>
      <c r="LX21" s="113"/>
      <c r="LY21" s="113"/>
      <c r="LZ21" s="113"/>
      <c r="MA21" s="113"/>
      <c r="MB21" s="113"/>
      <c r="MC21" s="113"/>
      <c r="MD21" s="113"/>
      <c r="ME21" s="113"/>
      <c r="MF21" s="113"/>
      <c r="MG21" s="113"/>
      <c r="MH21" s="113"/>
      <c r="MI21" s="113"/>
      <c r="MJ21" s="113"/>
      <c r="MK21" s="113"/>
      <c r="ML21" s="113"/>
      <c r="MM21" s="113"/>
      <c r="MN21" s="113"/>
      <c r="MO21" s="113"/>
      <c r="MP21" s="113"/>
      <c r="MQ21" s="113"/>
      <c r="MR21" s="113"/>
      <c r="MS21" s="113"/>
      <c r="MT21" s="113"/>
      <c r="MU21" s="113"/>
      <c r="MV21" s="113"/>
      <c r="MW21" s="113"/>
      <c r="MX21" s="113"/>
      <c r="MY21" s="113"/>
      <c r="MZ21" s="113"/>
      <c r="NA21" s="113"/>
      <c r="NB21" s="113"/>
      <c r="NC21" s="113"/>
      <c r="ND21" s="113"/>
      <c r="NE21" s="113"/>
      <c r="NF21" s="113"/>
      <c r="NG21" s="113"/>
      <c r="NH21" s="113"/>
      <c r="NI21" s="113"/>
      <c r="NJ21" s="113"/>
      <c r="NK21" s="113"/>
      <c r="NL21" s="113"/>
      <c r="NM21" s="113"/>
      <c r="NN21" s="113"/>
      <c r="NO21" s="113"/>
      <c r="NP21" s="113"/>
      <c r="NQ21" s="113"/>
      <c r="NR21" s="113"/>
      <c r="NS21" s="113"/>
      <c r="NT21" s="113"/>
      <c r="NU21" s="113"/>
      <c r="NV21" s="113"/>
      <c r="NW21" s="113"/>
      <c r="NX21" s="113"/>
      <c r="NY21" s="113"/>
      <c r="NZ21" s="113"/>
      <c r="OA21" s="113"/>
      <c r="OB21" s="113"/>
      <c r="OC21" s="113"/>
      <c r="OD21" s="113"/>
      <c r="OE21" s="113"/>
      <c r="OF21" s="113"/>
      <c r="OG21" s="113"/>
      <c r="OH21" s="113"/>
      <c r="OI21" s="113"/>
      <c r="OJ21" s="113"/>
      <c r="OK21" s="113"/>
      <c r="OL21" s="113"/>
      <c r="OM21" s="113"/>
      <c r="ON21" s="113"/>
      <c r="OO21" s="113"/>
      <c r="OP21" s="113"/>
      <c r="OQ21" s="113"/>
      <c r="OR21" s="113"/>
      <c r="OS21" s="113"/>
      <c r="OT21" s="113"/>
      <c r="OU21" s="113"/>
      <c r="OV21" s="113"/>
      <c r="OW21" s="113"/>
      <c r="OX21" s="113"/>
      <c r="OY21" s="113"/>
      <c r="OZ21" s="113"/>
      <c r="PA21" s="113"/>
      <c r="PB21" s="113"/>
      <c r="PC21" s="113"/>
      <c r="PD21" s="113"/>
      <c r="PE21" s="113"/>
      <c r="PF21" s="113"/>
      <c r="PG21" s="113"/>
      <c r="PH21" s="113"/>
      <c r="PI21" s="113"/>
      <c r="PJ21" s="113"/>
      <c r="PK21" s="113"/>
      <c r="PL21" s="113"/>
      <c r="PM21" s="113"/>
      <c r="PN21" s="113"/>
      <c r="PO21" s="113"/>
      <c r="PP21" s="113"/>
      <c r="PQ21" s="113"/>
      <c r="PR21" s="113"/>
      <c r="PS21" s="113"/>
      <c r="PT21" s="113"/>
      <c r="PU21" s="113"/>
      <c r="PV21" s="113"/>
      <c r="PW21" s="113"/>
      <c r="PX21" s="113"/>
      <c r="PY21" s="113"/>
      <c r="PZ21" s="113"/>
      <c r="QA21" s="113"/>
      <c r="QB21" s="113"/>
      <c r="QC21" s="113"/>
      <c r="QD21" s="113"/>
      <c r="QE21" s="113"/>
      <c r="QF21" s="113"/>
      <c r="QG21" s="113"/>
      <c r="QH21" s="113"/>
      <c r="QI21" s="113"/>
      <c r="QJ21" s="113"/>
      <c r="QK21" s="113"/>
      <c r="QL21" s="113"/>
      <c r="QM21" s="113"/>
      <c r="QN21" s="113"/>
      <c r="QO21" s="113"/>
      <c r="QP21" s="113"/>
      <c r="QQ21" s="113"/>
      <c r="QR21" s="113"/>
      <c r="QS21" s="113"/>
      <c r="QT21" s="113"/>
      <c r="QU21" s="113"/>
      <c r="QV21" s="113"/>
      <c r="QW21" s="113"/>
      <c r="QX21" s="113"/>
      <c r="QY21" s="113"/>
      <c r="QZ21" s="113"/>
      <c r="RA21" s="113"/>
      <c r="RB21" s="113"/>
      <c r="RC21" s="113"/>
      <c r="RD21" s="113"/>
      <c r="RE21" s="113"/>
      <c r="RF21" s="113"/>
      <c r="RG21" s="113"/>
      <c r="RH21" s="113"/>
      <c r="RI21" s="113"/>
      <c r="RJ21" s="113"/>
      <c r="RK21" s="113"/>
      <c r="RL21" s="113"/>
      <c r="RM21" s="113"/>
      <c r="RN21" s="113"/>
      <c r="RO21" s="113"/>
      <c r="RP21" s="113"/>
      <c r="RQ21" s="113"/>
      <c r="RR21" s="113"/>
      <c r="RS21" s="113"/>
      <c r="RT21" s="113"/>
      <c r="RU21" s="113"/>
      <c r="RV21" s="113"/>
      <c r="RW21" s="113"/>
      <c r="RX21" s="113"/>
      <c r="RY21" s="113"/>
      <c r="RZ21" s="113"/>
      <c r="SA21" s="113"/>
      <c r="SB21" s="113"/>
      <c r="SC21" s="113"/>
      <c r="SD21" s="113"/>
      <c r="SE21" s="113"/>
      <c r="SF21" s="113"/>
      <c r="SG21" s="113"/>
      <c r="SH21" s="113"/>
      <c r="SI21" s="113"/>
      <c r="SJ21" s="113"/>
      <c r="SK21" s="113"/>
      <c r="SL21" s="113"/>
      <c r="SM21" s="113"/>
      <c r="SN21" s="113"/>
      <c r="SO21" s="113"/>
      <c r="SP21" s="113"/>
      <c r="SQ21" s="113"/>
      <c r="SR21" s="113"/>
      <c r="SS21" s="113"/>
      <c r="ST21" s="113"/>
      <c r="SU21" s="113"/>
      <c r="SV21" s="113"/>
      <c r="SW21" s="113"/>
      <c r="SX21" s="113"/>
      <c r="SY21" s="113"/>
      <c r="SZ21" s="113"/>
      <c r="TA21" s="113"/>
      <c r="TB21" s="113"/>
      <c r="TC21" s="113"/>
      <c r="TD21" s="113"/>
      <c r="TE21" s="113"/>
      <c r="TF21" s="113"/>
      <c r="TG21" s="113"/>
      <c r="TH21" s="113"/>
      <c r="TI21" s="113"/>
      <c r="TJ21" s="113"/>
      <c r="TK21" s="113"/>
      <c r="TL21" s="113"/>
      <c r="TM21" s="113"/>
      <c r="TN21" s="113"/>
      <c r="TO21" s="113"/>
      <c r="TP21" s="113"/>
      <c r="TQ21" s="113"/>
      <c r="TR21" s="113"/>
      <c r="TS21" s="113"/>
      <c r="TT21" s="113"/>
      <c r="TU21" s="113"/>
      <c r="TV21" s="113"/>
      <c r="TW21" s="113"/>
      <c r="TX21" s="113"/>
      <c r="TY21" s="113"/>
      <c r="TZ21" s="113"/>
      <c r="UA21" s="113"/>
      <c r="UB21" s="113"/>
      <c r="UC21" s="113"/>
      <c r="UD21" s="113"/>
      <c r="UE21" s="113"/>
      <c r="UF21" s="113"/>
      <c r="UG21" s="113"/>
      <c r="UH21" s="113"/>
      <c r="UI21" s="113"/>
      <c r="UJ21" s="113"/>
      <c r="UK21" s="113"/>
      <c r="UL21" s="113"/>
      <c r="UM21" s="113"/>
      <c r="UN21" s="113"/>
      <c r="UO21" s="113"/>
      <c r="UP21" s="113"/>
      <c r="UQ21" s="113"/>
      <c r="UR21" s="113"/>
      <c r="US21" s="113"/>
      <c r="UT21" s="113"/>
      <c r="UU21" s="113"/>
      <c r="UV21" s="113"/>
      <c r="UW21" s="113"/>
      <c r="UX21" s="113"/>
      <c r="UY21" s="113"/>
      <c r="UZ21" s="113"/>
      <c r="VA21" s="113"/>
      <c r="VB21" s="113"/>
      <c r="VC21" s="113"/>
      <c r="VD21" s="113"/>
      <c r="VE21" s="113"/>
      <c r="VF21" s="113"/>
      <c r="VG21" s="113"/>
      <c r="VH21" s="113"/>
      <c r="VI21" s="113"/>
      <c r="VJ21" s="113"/>
      <c r="VK21" s="113"/>
      <c r="VL21" s="113"/>
      <c r="VM21" s="113"/>
      <c r="VN21" s="113"/>
      <c r="VO21" s="113"/>
      <c r="VP21" s="113"/>
      <c r="VQ21" s="113"/>
      <c r="VR21" s="113"/>
      <c r="VS21" s="113"/>
      <c r="VT21" s="113"/>
      <c r="VU21" s="113"/>
      <c r="VV21" s="113"/>
      <c r="VW21" s="113"/>
      <c r="VX21" s="113"/>
      <c r="VY21" s="113"/>
      <c r="VZ21" s="113"/>
      <c r="WA21" s="113"/>
      <c r="WB21" s="113"/>
      <c r="WC21" s="113"/>
      <c r="WD21" s="113"/>
      <c r="WE21" s="113"/>
      <c r="WF21" s="113"/>
      <c r="WG21" s="113"/>
      <c r="WH21" s="113"/>
      <c r="WI21" s="113"/>
      <c r="WJ21" s="113"/>
      <c r="WK21" s="113"/>
      <c r="WL21" s="113"/>
      <c r="WM21" s="113"/>
      <c r="WN21" s="113"/>
      <c r="WO21" s="113"/>
      <c r="WP21" s="113"/>
      <c r="WQ21" s="113"/>
      <c r="WR21" s="113"/>
      <c r="WS21" s="113"/>
      <c r="WT21" s="113"/>
      <c r="WU21" s="113"/>
      <c r="WV21" s="113"/>
      <c r="WW21" s="113"/>
      <c r="WX21" s="113"/>
      <c r="WY21" s="113"/>
      <c r="WZ21" s="113"/>
      <c r="XA21" s="113"/>
      <c r="XB21" s="113"/>
      <c r="XC21" s="113"/>
      <c r="XD21" s="113"/>
      <c r="XE21" s="113"/>
      <c r="XF21" s="113"/>
      <c r="XG21" s="113"/>
      <c r="XH21" s="113"/>
      <c r="XI21" s="113"/>
      <c r="XJ21" s="113"/>
      <c r="XK21" s="113"/>
      <c r="XL21" s="113"/>
      <c r="XM21" s="113"/>
      <c r="XN21" s="113"/>
      <c r="XO21" s="113"/>
      <c r="XP21" s="113"/>
      <c r="XQ21" s="113"/>
      <c r="XR21" s="113"/>
      <c r="XS21" s="113"/>
      <c r="XT21" s="113"/>
      <c r="XU21" s="113"/>
      <c r="XV21" s="113"/>
      <c r="XW21" s="113"/>
      <c r="XX21" s="113"/>
      <c r="XY21" s="113"/>
      <c r="XZ21" s="113"/>
      <c r="YA21" s="113"/>
      <c r="YB21" s="113"/>
      <c r="YC21" s="113"/>
      <c r="YD21" s="113"/>
      <c r="YE21" s="113"/>
      <c r="YF21" s="113"/>
      <c r="YG21" s="113"/>
      <c r="YH21" s="113"/>
      <c r="YI21" s="113"/>
      <c r="YJ21" s="113"/>
      <c r="YK21" s="113"/>
      <c r="YL21" s="113"/>
      <c r="YM21" s="113"/>
      <c r="YN21" s="113"/>
      <c r="YO21" s="113"/>
      <c r="YP21" s="113"/>
      <c r="YQ21" s="113"/>
      <c r="YR21" s="113"/>
      <c r="YS21" s="113"/>
      <c r="YT21" s="113"/>
      <c r="YU21" s="113"/>
      <c r="YV21" s="113"/>
      <c r="YW21" s="113"/>
      <c r="YX21" s="113"/>
      <c r="YY21" s="113"/>
      <c r="YZ21" s="113"/>
      <c r="ZA21" s="113"/>
      <c r="ZB21" s="113"/>
      <c r="ZC21" s="113"/>
      <c r="ZD21" s="113"/>
      <c r="ZE21" s="113"/>
      <c r="ZF21" s="113"/>
      <c r="ZG21" s="113"/>
      <c r="ZH21" s="113"/>
      <c r="ZI21" s="113"/>
      <c r="ZJ21" s="113"/>
      <c r="ZK21" s="113"/>
      <c r="ZL21" s="113"/>
      <c r="ZM21" s="113"/>
      <c r="ZN21" s="113"/>
      <c r="ZO21" s="113"/>
      <c r="ZP21" s="113"/>
      <c r="ZQ21" s="113"/>
      <c r="ZR21" s="113"/>
      <c r="ZS21" s="113"/>
      <c r="ZT21" s="113"/>
      <c r="ZU21" s="113"/>
      <c r="ZV21" s="113"/>
      <c r="ZW21" s="113"/>
      <c r="ZX21" s="113"/>
      <c r="ZY21" s="113"/>
      <c r="ZZ21" s="113"/>
      <c r="AAA21" s="113"/>
      <c r="AAB21" s="113"/>
      <c r="AAC21" s="113"/>
      <c r="AAD21" s="113"/>
      <c r="AAE21" s="113"/>
      <c r="AAF21" s="113"/>
      <c r="AAG21" s="113"/>
      <c r="AAH21" s="113"/>
      <c r="AAI21" s="113"/>
      <c r="AAJ21" s="113"/>
      <c r="AAK21" s="113"/>
      <c r="AAL21" s="113"/>
      <c r="AAM21" s="113"/>
      <c r="AAN21" s="113"/>
      <c r="AAO21" s="113"/>
      <c r="AAP21" s="113"/>
      <c r="AAQ21" s="113"/>
      <c r="AAR21" s="113"/>
      <c r="AAS21" s="113"/>
      <c r="AAT21" s="113"/>
      <c r="AAU21" s="113"/>
      <c r="AAV21" s="113"/>
      <c r="AAW21" s="113"/>
      <c r="AAX21" s="113"/>
      <c r="AAY21" s="113"/>
      <c r="AAZ21" s="113"/>
      <c r="ABA21" s="113"/>
      <c r="ABB21" s="113"/>
      <c r="ABC21" s="113"/>
      <c r="ABD21" s="113"/>
      <c r="ABE21" s="113"/>
      <c r="ABF21" s="113"/>
      <c r="ABG21" s="113"/>
      <c r="ABH21" s="113"/>
      <c r="ABI21" s="113"/>
      <c r="ABJ21" s="113"/>
      <c r="ABK21" s="113"/>
      <c r="ABL21" s="113"/>
      <c r="ABM21" s="113"/>
      <c r="ABN21" s="113"/>
      <c r="ABO21" s="113"/>
      <c r="ABP21" s="113"/>
      <c r="ABQ21" s="113"/>
      <c r="ABR21" s="113"/>
      <c r="ABS21" s="113"/>
      <c r="ABT21" s="113"/>
      <c r="ABU21" s="113"/>
      <c r="ABV21" s="113"/>
      <c r="ABW21" s="113"/>
      <c r="ABX21" s="113"/>
      <c r="ABY21" s="113"/>
      <c r="ABZ21" s="113"/>
      <c r="ACA21" s="113"/>
      <c r="ACB21" s="113"/>
      <c r="ACC21" s="113"/>
      <c r="ACD21" s="113"/>
      <c r="ACE21" s="113"/>
      <c r="ACF21" s="113"/>
      <c r="ACG21" s="113"/>
      <c r="ACH21" s="113"/>
      <c r="ACI21" s="113"/>
      <c r="ACJ21" s="113"/>
      <c r="ACK21" s="113"/>
      <c r="ACL21" s="113"/>
      <c r="ACM21" s="113"/>
      <c r="ACN21" s="113"/>
      <c r="ACO21" s="113"/>
      <c r="ACP21" s="113"/>
      <c r="ACQ21" s="113"/>
      <c r="ACR21" s="113"/>
      <c r="ACS21" s="113"/>
      <c r="ACT21" s="113"/>
      <c r="ACU21" s="113"/>
      <c r="ACV21" s="113"/>
      <c r="ACW21" s="113"/>
      <c r="ACX21" s="113"/>
      <c r="ACY21" s="113"/>
      <c r="ACZ21" s="113"/>
      <c r="ADA21" s="113"/>
      <c r="ADB21" s="113"/>
      <c r="ADC21" s="113"/>
      <c r="ADD21" s="113"/>
      <c r="ADE21" s="113"/>
      <c r="ADF21" s="113"/>
      <c r="ADG21" s="113"/>
      <c r="ADH21" s="113"/>
      <c r="ADI21" s="113"/>
      <c r="ADJ21" s="113"/>
      <c r="ADK21" s="113"/>
      <c r="ADL21" s="113"/>
      <c r="ADM21" s="113"/>
      <c r="ADN21" s="113"/>
      <c r="ADO21" s="113"/>
      <c r="ADP21" s="113"/>
      <c r="ADQ21" s="113"/>
      <c r="ADR21" s="113"/>
      <c r="ADS21" s="113"/>
      <c r="ADT21" s="113"/>
      <c r="ADU21" s="113"/>
      <c r="ADV21" s="113"/>
      <c r="ADW21" s="113"/>
      <c r="ADX21" s="113"/>
      <c r="ADY21" s="113"/>
      <c r="ADZ21" s="113"/>
      <c r="AEA21" s="113"/>
      <c r="AEB21" s="113"/>
      <c r="AEC21" s="113"/>
      <c r="AED21" s="113"/>
      <c r="AEE21" s="113"/>
      <c r="AEF21" s="113"/>
      <c r="AEG21" s="113"/>
      <c r="AEH21" s="113"/>
      <c r="AEI21" s="113"/>
      <c r="AEJ21" s="113"/>
      <c r="AEK21" s="113"/>
      <c r="AEL21" s="113"/>
      <c r="AEM21" s="113"/>
      <c r="AEN21" s="113"/>
      <c r="AEO21" s="113"/>
      <c r="AEP21" s="113"/>
      <c r="AEQ21" s="113"/>
      <c r="AER21" s="113"/>
      <c r="AES21" s="113"/>
      <c r="AET21" s="113"/>
      <c r="AEU21" s="113"/>
      <c r="AEV21" s="113"/>
      <c r="AEW21" s="113"/>
      <c r="AEX21" s="113"/>
      <c r="AEY21" s="113"/>
      <c r="AEZ21" s="113"/>
      <c r="AFA21" s="113"/>
      <c r="AFB21" s="113"/>
      <c r="AFC21" s="113"/>
      <c r="AFD21" s="113"/>
      <c r="AFE21" s="113"/>
      <c r="AFF21" s="113"/>
      <c r="AFG21" s="113"/>
      <c r="AFH21" s="113"/>
      <c r="AFI21" s="113"/>
      <c r="AFJ21" s="113"/>
      <c r="AFK21" s="113"/>
      <c r="AFL21" s="113"/>
      <c r="AFM21" s="113"/>
      <c r="AFN21" s="113"/>
      <c r="AFO21" s="113"/>
      <c r="AFP21" s="113"/>
      <c r="AFQ21" s="113"/>
      <c r="AFR21" s="113"/>
      <c r="AFS21" s="113"/>
      <c r="AFT21" s="113"/>
      <c r="AFU21" s="113"/>
      <c r="AFV21" s="113"/>
      <c r="AFW21" s="113"/>
      <c r="AFX21" s="113"/>
      <c r="AFY21" s="113"/>
      <c r="AFZ21" s="113"/>
      <c r="AGA21" s="113"/>
      <c r="AGB21" s="113"/>
      <c r="AGC21" s="113"/>
      <c r="AGD21" s="113"/>
      <c r="AGE21" s="113"/>
      <c r="AGF21" s="113"/>
      <c r="AGG21" s="113"/>
      <c r="AGH21" s="113"/>
      <c r="AGI21" s="113"/>
      <c r="AGJ21" s="113"/>
      <c r="AGK21" s="113"/>
      <c r="AGL21" s="113"/>
      <c r="AGM21" s="113"/>
      <c r="AGN21" s="113"/>
      <c r="AGO21" s="113"/>
      <c r="AGP21" s="113"/>
      <c r="AGQ21" s="113"/>
      <c r="AGR21" s="113"/>
      <c r="AGS21" s="113"/>
      <c r="AGT21" s="113"/>
      <c r="AGU21" s="113"/>
      <c r="AGV21" s="113"/>
      <c r="AGW21" s="113"/>
      <c r="AGX21" s="113"/>
      <c r="AGY21" s="113"/>
      <c r="AGZ21" s="113"/>
      <c r="AHA21" s="113"/>
      <c r="AHB21" s="113"/>
      <c r="AHC21" s="113"/>
      <c r="AHD21" s="113"/>
      <c r="AHE21" s="113"/>
      <c r="AHF21" s="113"/>
      <c r="AHG21" s="113"/>
      <c r="AHH21" s="113"/>
      <c r="AHI21" s="113"/>
      <c r="AHJ21" s="113"/>
      <c r="AHK21" s="113"/>
      <c r="AHL21" s="113"/>
      <c r="AHM21" s="113"/>
      <c r="AHN21" s="113"/>
      <c r="AHO21" s="113"/>
      <c r="AHP21" s="113"/>
      <c r="AHQ21" s="113"/>
      <c r="AHR21" s="113"/>
      <c r="AHS21" s="113"/>
      <c r="AHT21" s="113"/>
      <c r="AHU21" s="113"/>
      <c r="AHV21" s="113"/>
      <c r="AHW21" s="113"/>
      <c r="AHX21" s="113"/>
      <c r="AHY21" s="113"/>
      <c r="AHZ21" s="113"/>
      <c r="AIA21" s="113"/>
      <c r="AIB21" s="113"/>
      <c r="AIC21" s="113"/>
      <c r="AID21" s="113"/>
      <c r="AIE21" s="113"/>
      <c r="AIF21" s="113"/>
      <c r="AIG21" s="113"/>
      <c r="AIH21" s="113"/>
      <c r="AII21" s="113"/>
      <c r="AIJ21" s="113"/>
      <c r="AIK21" s="113"/>
      <c r="AIL21" s="113"/>
      <c r="AIM21" s="113"/>
      <c r="AIN21" s="113"/>
      <c r="AIO21" s="113"/>
      <c r="AIP21" s="113"/>
      <c r="AIQ21" s="113"/>
      <c r="AIR21" s="113"/>
      <c r="AIS21" s="113"/>
      <c r="AIT21" s="113"/>
      <c r="AIU21" s="113"/>
      <c r="AIV21" s="113"/>
      <c r="AIW21" s="113"/>
      <c r="AIX21" s="113"/>
      <c r="AIY21" s="113"/>
      <c r="AIZ21" s="113"/>
    </row>
    <row r="22">
      <c r="A22" s="65" t="s">
        <v>47</v>
      </c>
      <c r="B22" s="65" t="s">
        <v>51</v>
      </c>
      <c r="C22" s="65"/>
      <c r="D22" s="64">
        <f t="shared" si="1"/>
        <v>344.9858167</v>
      </c>
      <c r="G22" s="65">
        <v>1.92433333333333</v>
      </c>
      <c r="H22" s="65">
        <v>11.0581666666667</v>
      </c>
      <c r="I22" s="65">
        <v>9.4831</v>
      </c>
      <c r="J22" s="65">
        <v>38.9168666666667</v>
      </c>
      <c r="K22" s="65">
        <v>18.3454166666667</v>
      </c>
      <c r="N22" s="65">
        <v>2.50546666666667</v>
      </c>
      <c r="Q22" s="65">
        <v>1.24845</v>
      </c>
      <c r="R22" s="65">
        <v>0.550116666666667</v>
      </c>
      <c r="S22" s="65">
        <v>7.87285</v>
      </c>
      <c r="T22" s="65">
        <v>53.9045333333333</v>
      </c>
      <c r="U22" s="65">
        <v>18.1887666666667</v>
      </c>
      <c r="X22" s="65">
        <v>1.00441666666667</v>
      </c>
      <c r="Y22" s="65">
        <v>0.682716666666667</v>
      </c>
      <c r="Z22" s="65">
        <v>7.27903333333334</v>
      </c>
      <c r="AA22" s="65">
        <v>73.7089833333333</v>
      </c>
      <c r="AB22" s="65">
        <v>29.8024333333334</v>
      </c>
      <c r="AE22" s="65">
        <v>0.190683333333333</v>
      </c>
      <c r="AG22" s="65">
        <v>1.14355</v>
      </c>
      <c r="AH22" s="65">
        <v>2.15121666666667</v>
      </c>
      <c r="AI22" s="65">
        <v>6.38198333333334</v>
      </c>
      <c r="AL22" s="65">
        <v>1.53091666666667</v>
      </c>
      <c r="AM22" s="65">
        <v>19.11735</v>
      </c>
      <c r="AN22" s="65">
        <v>8.49456666666667</v>
      </c>
      <c r="AQ22" s="65">
        <v>0.330866666666667</v>
      </c>
      <c r="AR22" s="65">
        <v>11.1752833333333</v>
      </c>
      <c r="AU22" s="65">
        <v>17.99375</v>
      </c>
    </row>
    <row r="23">
      <c r="A23" s="65" t="s">
        <v>47</v>
      </c>
      <c r="B23" s="65" t="s">
        <v>51</v>
      </c>
      <c r="C23" s="65"/>
      <c r="D23" s="64">
        <f t="shared" si="1"/>
        <v>0</v>
      </c>
    </row>
    <row r="24">
      <c r="A24" s="65" t="s">
        <v>47</v>
      </c>
      <c r="B24" s="65" t="s">
        <v>51</v>
      </c>
      <c r="C24" s="65"/>
      <c r="D24" s="64">
        <f t="shared" si="1"/>
        <v>337.89615</v>
      </c>
      <c r="G24" s="118">
        <f>HYPERLINK("https://docs.google.com/spreadsheets/d/1yvj7kNKzDiBHP9A5ht-bPfBTO62VApYg", 1.92433333333333)</f>
        <v>1.924333333</v>
      </c>
      <c r="H24" s="118">
        <f>HYPERLINK("https://docs.google.com/spreadsheets/d/1K_05pQYLPO1Ihwur_yZ5XNsx_uokqUDh", 10.8564666666667)</f>
        <v>10.85646667</v>
      </c>
      <c r="I24" s="118">
        <f>HYPERLINK("https://docs.google.com/spreadsheets/d/16YchoQM45hWhWojRNvy2JDjqSRRDrvHO", 9.4831)</f>
        <v>9.4831</v>
      </c>
      <c r="J24" s="118">
        <f>HYPERLINK("https://docs.google.com/spreadsheets/d/12NPLzTDyTt1hnKCMa9xixuk5k2PcXvyg", 35.6082333333333)</f>
        <v>35.60823333</v>
      </c>
      <c r="K24" s="118">
        <f>HYPERLINK("https://docs.google.com/spreadsheets/d/1naaSgy6IdC5Hsn0AzGfKRv7hXc_s5rgi", 18.3454166666667)</f>
        <v>18.34541667</v>
      </c>
      <c r="N24" s="118">
        <f>HYPERLINK("https://docs.google.com/spreadsheets/d/19VcE84FcEkcMlMh-U5ornwedLQ6kiHjE", 2.50546666666667)</f>
        <v>2.505466667</v>
      </c>
      <c r="Q24" s="118">
        <f>HYPERLINK("https://docs.google.com/spreadsheets/d/1de26o1IbrkJWuG_r3eLvTtOu6v205Whr", 1.24845)</f>
        <v>1.24845</v>
      </c>
      <c r="R24" s="118">
        <f>HYPERLINK("https://docs.google.com/spreadsheets/d/1FCoYudlp2b3GpJAkrWUNvr1QAp6hmEC2", 0.550116666666667)</f>
        <v>0.5501166667</v>
      </c>
      <c r="S24" s="118">
        <f>HYPERLINK("https://docs.google.com/spreadsheets/d/1AGNk07ADT0knIvcSra2Dk6AaDn3GC4Hs", 7.87285)</f>
        <v>7.87285</v>
      </c>
      <c r="T24" s="118">
        <f>HYPERLINK("https://docs.google.com/spreadsheets/d/1z3VPh5wr-E920hDSrKz43QkIVI6O1f_R", 53.9045166666667)</f>
        <v>53.90451667</v>
      </c>
      <c r="U24" s="118">
        <f>HYPERLINK("https://docs.google.com/spreadsheets/d/1sDm8ggoRHaTtaOKw5JtaGtTpYAfJn_sO", 18.0327833333333)</f>
        <v>18.03278333</v>
      </c>
      <c r="X24" s="118">
        <f>HYPERLINK("https://docs.google.com/spreadsheets/d/1SJW5JcevevxrBK-64lPgUlvu2iQ8-rEs", 1.00441666666667)</f>
        <v>1.004416667</v>
      </c>
      <c r="Y24" s="118">
        <f>HYPERLINK("https://docs.google.com/spreadsheets/d/1B8S1xjDVqufLqlFMG_bJoIq9PWFfY4lU", 0.682716666666667)</f>
        <v>0.6827166667</v>
      </c>
      <c r="Z24" s="118">
        <f>HYPERLINK("https://docs.google.com/spreadsheets/d/1K3vtl463KjhbykVTthcHt15atEAbk0nr", 7.27905)</f>
        <v>7.27905</v>
      </c>
      <c r="AA24" s="118">
        <f>HYPERLINK("https://docs.google.com/spreadsheets/d/1GMdtP4brG6fDmvgngfgtQ1O2IpYlVE7J", 73.5152166666666)</f>
        <v>73.51521667</v>
      </c>
      <c r="AB24" s="118">
        <f>HYPERLINK("https://docs.google.com/spreadsheets/d/1a0qyhf4MaG604tIBHcQoqEl_aD3BkNq_", 29.8024666666667)</f>
        <v>29.80246667</v>
      </c>
      <c r="AE24" s="118">
        <f>HYPERLINK("https://docs.google.com/spreadsheets/d/17-fqKfTDbtxV47N1UrQ6IX02YEGWBJu_", 0)</f>
        <v>0</v>
      </c>
      <c r="AG24" s="118">
        <f>HYPERLINK("https://docs.google.com/spreadsheets/d/1Ir8ikf7a6mdBY8I-1hqaSY_Yw14UQZdV", 1.14355)</f>
        <v>1.14355</v>
      </c>
      <c r="AH24" s="118">
        <f>HYPERLINK("https://docs.google.com/spreadsheets/d/1bn4zABSxrwzQQZMpchO0-aVbwU2w7bj7", 2.15121666666667)</f>
        <v>2.151216667</v>
      </c>
      <c r="AI24" s="118">
        <f>HYPERLINK("https://docs.google.com/spreadsheets/d/1PNuuVQMdf3CUMQYEWcssVXLbYVmV_dJj", 6.38198333333334)</f>
        <v>6.381983333</v>
      </c>
      <c r="AL24" s="118">
        <f>HYPERLINK("https://docs.google.com/spreadsheets/d/1KA9HWpPO6En2Hlqn7rNMMkpOJsb-biJe", 1.53091666666667)</f>
        <v>1.530916667</v>
      </c>
      <c r="AM24" s="118">
        <f>HYPERLINK("https://docs.google.com/spreadsheets/d/1S66yJdBSq9XONvexLs7yhA09YVbzof49", 16.0784333333333)</f>
        <v>16.07843333</v>
      </c>
      <c r="AN24" s="118">
        <f>HYPERLINK("https://docs.google.com/spreadsheets/d/1zi5WRB1NUnPBuc6wp_Er-6AknOci4oyM", 8.49453333333333)</f>
        <v>8.494533333</v>
      </c>
      <c r="AQ24" s="118">
        <f>HYPERLINK("https://docs.google.com/spreadsheets/d/1cQNbPM-NFleAhWMlQp9Fto7EhIHsc4KL", 0.330866666666667)</f>
        <v>0.3308666667</v>
      </c>
      <c r="AR24" s="118">
        <f>HYPERLINK("https://docs.google.com/spreadsheets/d/1LlXoXxql6l8c6C6i02GLSylkibnfLeLE", 11.1753)</f>
        <v>11.1753</v>
      </c>
      <c r="AU24" s="118">
        <f>HYPERLINK("https://docs.google.com/spreadsheets/d/1G2etL-8LKiQzHmMYQ17CFsPkhDtsEPgc", 17.99375)</f>
        <v>17.99375</v>
      </c>
    </row>
    <row r="25">
      <c r="A25" s="65" t="s">
        <v>47</v>
      </c>
      <c r="B25" s="65" t="s">
        <v>51</v>
      </c>
      <c r="C25" s="65"/>
      <c r="D25" s="64">
        <f t="shared" si="1"/>
        <v>237.4950833</v>
      </c>
      <c r="G25" s="65">
        <v>1.401</v>
      </c>
      <c r="H25" s="65">
        <v>4.054</v>
      </c>
      <c r="I25" s="65">
        <v>6.40931666666667</v>
      </c>
      <c r="J25" s="65">
        <v>26.71685</v>
      </c>
      <c r="K25" s="65">
        <v>15.5735166666667</v>
      </c>
      <c r="N25" s="65">
        <v>1.20028333333333</v>
      </c>
      <c r="Q25" s="65">
        <v>0.795583333333333</v>
      </c>
      <c r="R25" s="65">
        <v>0.501833333333333</v>
      </c>
      <c r="S25" s="65">
        <v>5.51395</v>
      </c>
      <c r="T25" s="65">
        <v>43.1469333333334</v>
      </c>
      <c r="U25" s="65">
        <v>6.58206666666667</v>
      </c>
      <c r="X25" s="65">
        <v>0.2205</v>
      </c>
      <c r="Y25" s="65">
        <v>0.682716666666667</v>
      </c>
      <c r="Z25" s="65">
        <v>4.5298</v>
      </c>
      <c r="AA25" s="65">
        <v>56.4380666666667</v>
      </c>
      <c r="AB25" s="65">
        <v>18.0450666666667</v>
      </c>
      <c r="AG25" s="65">
        <v>0.999283333333333</v>
      </c>
      <c r="AH25" s="65">
        <v>1.23553333333333</v>
      </c>
      <c r="AI25" s="65">
        <v>4.05321666666667</v>
      </c>
      <c r="AL25" s="65">
        <v>0.7767</v>
      </c>
      <c r="AM25" s="65">
        <v>11.8904166666667</v>
      </c>
      <c r="AN25" s="65">
        <v>2.37856666666667</v>
      </c>
      <c r="AQ25" s="65">
        <v>0.122916666666667</v>
      </c>
      <c r="AR25" s="65">
        <v>8.33926666666667</v>
      </c>
      <c r="AU25" s="65">
        <v>15.8877</v>
      </c>
    </row>
    <row r="26">
      <c r="A26" s="119" t="s">
        <v>47</v>
      </c>
      <c r="B26" s="119" t="s">
        <v>51</v>
      </c>
      <c r="C26" s="119"/>
      <c r="D26" s="120">
        <f t="shared" si="1"/>
        <v>0</v>
      </c>
      <c r="E26" s="120"/>
      <c r="F26" s="120"/>
      <c r="G26" s="120"/>
      <c r="H26" s="120"/>
      <c r="I26" s="120"/>
      <c r="J26" s="120"/>
      <c r="K26" s="120"/>
      <c r="L26" s="120"/>
      <c r="M26" s="120"/>
      <c r="N26" s="120"/>
      <c r="O26" s="120"/>
      <c r="P26" s="120"/>
      <c r="Q26" s="120"/>
      <c r="R26" s="120"/>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0"/>
      <c r="CE26" s="120"/>
      <c r="CF26" s="120"/>
      <c r="CG26" s="120"/>
      <c r="CH26" s="120"/>
      <c r="CI26" s="120"/>
      <c r="CJ26" s="120"/>
      <c r="CK26" s="120"/>
      <c r="CL26" s="120"/>
      <c r="CM26" s="120"/>
      <c r="CN26" s="120"/>
      <c r="CO26" s="120"/>
      <c r="CP26" s="120"/>
      <c r="CQ26" s="120"/>
      <c r="CR26" s="120"/>
      <c r="CS26" s="120"/>
      <c r="CT26" s="120"/>
      <c r="CU26" s="120"/>
      <c r="CV26" s="120"/>
      <c r="CW26" s="120"/>
      <c r="CX26" s="120"/>
      <c r="CY26" s="120"/>
      <c r="CZ26" s="120"/>
      <c r="DA26" s="120"/>
      <c r="DB26" s="120"/>
      <c r="DC26" s="120"/>
      <c r="DD26" s="120"/>
      <c r="DE26" s="120"/>
      <c r="DF26" s="120"/>
      <c r="DG26" s="120"/>
      <c r="DH26" s="120"/>
      <c r="DI26" s="120"/>
      <c r="DJ26" s="120"/>
      <c r="DK26" s="120"/>
      <c r="DL26" s="120"/>
      <c r="DM26" s="120"/>
      <c r="DN26" s="120"/>
      <c r="DO26" s="120"/>
      <c r="DP26" s="120"/>
      <c r="DQ26" s="120"/>
      <c r="DR26" s="120"/>
      <c r="DS26" s="120"/>
      <c r="DT26" s="120"/>
      <c r="DU26" s="120"/>
      <c r="DV26" s="120"/>
      <c r="DW26" s="120"/>
      <c r="DX26" s="120"/>
      <c r="DY26" s="120"/>
      <c r="DZ26" s="120"/>
      <c r="EA26" s="120"/>
      <c r="EB26" s="120"/>
      <c r="EC26" s="120"/>
      <c r="ED26" s="120"/>
      <c r="EE26" s="120"/>
      <c r="EF26" s="120"/>
      <c r="EG26" s="120"/>
      <c r="EH26" s="120"/>
      <c r="EI26" s="120"/>
      <c r="EJ26" s="120"/>
      <c r="EK26" s="120"/>
      <c r="EL26" s="120"/>
      <c r="EM26" s="120"/>
      <c r="EN26" s="120"/>
      <c r="EO26" s="120"/>
      <c r="EP26" s="120"/>
      <c r="EQ26" s="120"/>
      <c r="ER26" s="120"/>
      <c r="ES26" s="120"/>
      <c r="ET26" s="120"/>
      <c r="EU26" s="120"/>
      <c r="EV26" s="120"/>
      <c r="EW26" s="120"/>
      <c r="EX26" s="120"/>
      <c r="EY26" s="120"/>
      <c r="EZ26" s="120"/>
      <c r="FA26" s="120"/>
      <c r="FB26" s="120"/>
      <c r="FC26" s="120"/>
      <c r="FD26" s="120"/>
      <c r="FE26" s="120"/>
      <c r="FF26" s="120"/>
      <c r="FG26" s="120"/>
      <c r="FH26" s="120"/>
      <c r="FI26" s="120"/>
      <c r="FJ26" s="120"/>
      <c r="FK26" s="120"/>
      <c r="FL26" s="120"/>
      <c r="FM26" s="120"/>
      <c r="FN26" s="120"/>
      <c r="FO26" s="120"/>
      <c r="FP26" s="120"/>
      <c r="FQ26" s="120"/>
      <c r="FR26" s="120"/>
      <c r="FS26" s="120"/>
      <c r="FT26" s="120"/>
      <c r="FU26" s="120"/>
      <c r="FV26" s="120"/>
      <c r="FW26" s="120"/>
      <c r="FX26" s="120"/>
      <c r="FY26" s="120"/>
      <c r="FZ26" s="120"/>
      <c r="GA26" s="120"/>
      <c r="GB26" s="120"/>
      <c r="GC26" s="120"/>
      <c r="GD26" s="120"/>
      <c r="GE26" s="120"/>
      <c r="GF26" s="120"/>
      <c r="GG26" s="120"/>
      <c r="GH26" s="120"/>
      <c r="GI26" s="120"/>
      <c r="GJ26" s="120"/>
      <c r="GK26" s="120"/>
      <c r="GL26" s="120"/>
      <c r="GM26" s="120"/>
      <c r="GN26" s="120"/>
      <c r="GO26" s="120"/>
      <c r="GP26" s="120"/>
      <c r="GQ26" s="120"/>
      <c r="GR26" s="120"/>
      <c r="GS26" s="120"/>
      <c r="GT26" s="120"/>
      <c r="GU26" s="120"/>
      <c r="GV26" s="120"/>
      <c r="GW26" s="120"/>
      <c r="GX26" s="120"/>
      <c r="GY26" s="120"/>
      <c r="GZ26" s="120"/>
      <c r="HA26" s="120"/>
      <c r="HB26" s="120"/>
      <c r="HC26" s="120"/>
      <c r="HD26" s="120"/>
      <c r="HE26" s="120"/>
      <c r="HF26" s="120"/>
      <c r="HG26" s="120"/>
      <c r="HH26" s="120"/>
      <c r="HI26" s="120"/>
      <c r="HJ26" s="120"/>
      <c r="HK26" s="120"/>
      <c r="HL26" s="120"/>
      <c r="HM26" s="120"/>
      <c r="HN26" s="120"/>
      <c r="HO26" s="120"/>
      <c r="HP26" s="120"/>
      <c r="HQ26" s="120"/>
      <c r="HR26" s="120"/>
      <c r="HS26" s="120"/>
      <c r="HT26" s="120"/>
      <c r="HU26" s="120"/>
      <c r="HV26" s="120"/>
      <c r="HW26" s="120"/>
      <c r="HX26" s="120"/>
      <c r="HY26" s="120"/>
      <c r="HZ26" s="120"/>
      <c r="IA26" s="120"/>
      <c r="IB26" s="120"/>
      <c r="IC26" s="120"/>
      <c r="ID26" s="120"/>
      <c r="IE26" s="120"/>
      <c r="IF26" s="120"/>
      <c r="IG26" s="120"/>
      <c r="IH26" s="120"/>
      <c r="II26" s="120"/>
      <c r="IJ26" s="120"/>
      <c r="IK26" s="120"/>
      <c r="IL26" s="120"/>
      <c r="IM26" s="120"/>
      <c r="IN26" s="120"/>
      <c r="IO26" s="120"/>
      <c r="IP26" s="120"/>
      <c r="IQ26" s="120"/>
      <c r="IR26" s="120"/>
      <c r="IS26" s="120"/>
      <c r="IT26" s="120"/>
      <c r="IU26" s="120"/>
      <c r="IV26" s="120"/>
      <c r="IW26" s="120"/>
      <c r="IX26" s="120"/>
      <c r="IY26" s="120"/>
      <c r="IZ26" s="120"/>
      <c r="JA26" s="120"/>
      <c r="JB26" s="120"/>
      <c r="JC26" s="120"/>
      <c r="JD26" s="120"/>
      <c r="JE26" s="120"/>
      <c r="JF26" s="120"/>
      <c r="JG26" s="120"/>
      <c r="JH26" s="120"/>
      <c r="JI26" s="120"/>
      <c r="JJ26" s="120"/>
      <c r="JK26" s="120"/>
      <c r="JL26" s="120"/>
      <c r="JM26" s="120"/>
      <c r="JN26" s="120"/>
      <c r="JO26" s="120"/>
      <c r="JP26" s="120"/>
      <c r="JQ26" s="120"/>
      <c r="JR26" s="120"/>
      <c r="JS26" s="120"/>
      <c r="JT26" s="120"/>
      <c r="JU26" s="120"/>
      <c r="JV26" s="120"/>
      <c r="JW26" s="120"/>
      <c r="JX26" s="120"/>
      <c r="JY26" s="120"/>
      <c r="JZ26" s="120"/>
      <c r="KA26" s="120"/>
      <c r="KB26" s="120"/>
      <c r="KC26" s="120"/>
      <c r="KD26" s="120"/>
      <c r="KE26" s="120"/>
      <c r="KF26" s="120"/>
      <c r="KG26" s="120"/>
      <c r="KH26" s="120"/>
      <c r="KI26" s="120"/>
      <c r="KJ26" s="120"/>
      <c r="KK26" s="120"/>
      <c r="KL26" s="120"/>
      <c r="KM26" s="120"/>
      <c r="KN26" s="120"/>
      <c r="KO26" s="120"/>
      <c r="KP26" s="120"/>
      <c r="KQ26" s="120"/>
      <c r="KR26" s="120"/>
      <c r="KS26" s="120"/>
      <c r="KT26" s="120"/>
      <c r="KU26" s="120"/>
      <c r="KV26" s="120"/>
      <c r="KW26" s="120"/>
      <c r="KX26" s="120"/>
      <c r="KY26" s="120"/>
      <c r="KZ26" s="120"/>
      <c r="LA26" s="120"/>
      <c r="LB26" s="120"/>
      <c r="LC26" s="120"/>
      <c r="LD26" s="120"/>
      <c r="LE26" s="120"/>
      <c r="LF26" s="120"/>
      <c r="LG26" s="120"/>
      <c r="LH26" s="120"/>
      <c r="LI26" s="120"/>
      <c r="LJ26" s="120"/>
      <c r="LK26" s="120"/>
      <c r="LL26" s="120"/>
      <c r="LM26" s="120"/>
      <c r="LN26" s="120"/>
      <c r="LO26" s="120"/>
      <c r="LP26" s="120"/>
      <c r="LQ26" s="120"/>
      <c r="LR26" s="120"/>
      <c r="LS26" s="120"/>
      <c r="LT26" s="120"/>
      <c r="LU26" s="120"/>
      <c r="LV26" s="120"/>
      <c r="LW26" s="120"/>
      <c r="LX26" s="120"/>
      <c r="LY26" s="120"/>
      <c r="LZ26" s="120"/>
      <c r="MA26" s="120"/>
      <c r="MB26" s="120"/>
      <c r="MC26" s="120"/>
      <c r="MD26" s="120"/>
      <c r="ME26" s="120"/>
      <c r="MF26" s="120"/>
      <c r="MG26" s="120"/>
      <c r="MH26" s="120"/>
      <c r="MI26" s="120"/>
      <c r="MJ26" s="120"/>
      <c r="MK26" s="120"/>
      <c r="ML26" s="120"/>
      <c r="MM26" s="120"/>
      <c r="MN26" s="120"/>
      <c r="MO26" s="120"/>
      <c r="MP26" s="120"/>
      <c r="MQ26" s="120"/>
      <c r="MR26" s="120"/>
      <c r="MS26" s="120"/>
      <c r="MT26" s="120"/>
      <c r="MU26" s="120"/>
      <c r="MV26" s="120"/>
      <c r="MW26" s="120"/>
      <c r="MX26" s="120"/>
      <c r="MY26" s="120"/>
      <c r="MZ26" s="120"/>
      <c r="NA26" s="120"/>
      <c r="NB26" s="120"/>
      <c r="NC26" s="120"/>
      <c r="ND26" s="120"/>
      <c r="NE26" s="120"/>
      <c r="NF26" s="120"/>
      <c r="NG26" s="120"/>
      <c r="NH26" s="120"/>
      <c r="NI26" s="120"/>
      <c r="NJ26" s="120"/>
      <c r="NK26" s="120"/>
      <c r="NL26" s="120"/>
      <c r="NM26" s="120"/>
      <c r="NN26" s="120"/>
      <c r="NO26" s="120"/>
      <c r="NP26" s="120"/>
      <c r="NQ26" s="120"/>
      <c r="NR26" s="120"/>
      <c r="NS26" s="120"/>
      <c r="NT26" s="120"/>
      <c r="NU26" s="120"/>
      <c r="NV26" s="120"/>
      <c r="NW26" s="120"/>
      <c r="NX26" s="120"/>
      <c r="NY26" s="120"/>
      <c r="NZ26" s="120"/>
      <c r="OA26" s="120"/>
      <c r="OB26" s="120"/>
      <c r="OC26" s="120"/>
      <c r="OD26" s="120"/>
      <c r="OE26" s="120"/>
      <c r="OF26" s="120"/>
      <c r="OG26" s="120"/>
      <c r="OH26" s="120"/>
      <c r="OI26" s="120"/>
      <c r="OJ26" s="120"/>
      <c r="OK26" s="120"/>
      <c r="OL26" s="120"/>
      <c r="OM26" s="120"/>
      <c r="ON26" s="120"/>
      <c r="OO26" s="120"/>
      <c r="OP26" s="120"/>
      <c r="OQ26" s="120"/>
      <c r="OR26" s="120"/>
      <c r="OS26" s="120"/>
      <c r="OT26" s="120"/>
      <c r="OU26" s="120"/>
      <c r="OV26" s="120"/>
      <c r="OW26" s="120"/>
      <c r="OX26" s="120"/>
      <c r="OY26" s="120"/>
      <c r="OZ26" s="120"/>
      <c r="PA26" s="120"/>
      <c r="PB26" s="120"/>
      <c r="PC26" s="120"/>
      <c r="PD26" s="120"/>
      <c r="PE26" s="120"/>
      <c r="PF26" s="120"/>
      <c r="PG26" s="120"/>
      <c r="PH26" s="120"/>
      <c r="PI26" s="120"/>
      <c r="PJ26" s="120"/>
      <c r="PK26" s="120"/>
      <c r="PL26" s="120"/>
      <c r="PM26" s="120"/>
      <c r="PN26" s="120"/>
      <c r="PO26" s="120"/>
      <c r="PP26" s="120"/>
      <c r="PQ26" s="120"/>
      <c r="PR26" s="120"/>
      <c r="PS26" s="120"/>
      <c r="PT26" s="120"/>
      <c r="PU26" s="120"/>
      <c r="PV26" s="120"/>
      <c r="PW26" s="120"/>
      <c r="PX26" s="120"/>
      <c r="PY26" s="120"/>
      <c r="PZ26" s="120"/>
      <c r="QA26" s="120"/>
      <c r="QB26" s="120"/>
      <c r="QC26" s="120"/>
      <c r="QD26" s="120"/>
      <c r="QE26" s="120"/>
      <c r="QF26" s="120"/>
      <c r="QG26" s="120"/>
      <c r="QH26" s="120"/>
      <c r="QI26" s="120"/>
      <c r="QJ26" s="120"/>
      <c r="QK26" s="120"/>
      <c r="QL26" s="120"/>
      <c r="QM26" s="120"/>
      <c r="QN26" s="120"/>
      <c r="QO26" s="120"/>
      <c r="QP26" s="120"/>
      <c r="QQ26" s="120"/>
      <c r="QR26" s="120"/>
      <c r="QS26" s="120"/>
      <c r="QT26" s="120"/>
      <c r="QU26" s="120"/>
      <c r="QV26" s="120"/>
      <c r="QW26" s="120"/>
      <c r="QX26" s="120"/>
      <c r="QY26" s="120"/>
      <c r="QZ26" s="120"/>
      <c r="RA26" s="120"/>
      <c r="RB26" s="120"/>
      <c r="RC26" s="120"/>
      <c r="RD26" s="120"/>
      <c r="RE26" s="120"/>
      <c r="RF26" s="120"/>
      <c r="RG26" s="120"/>
      <c r="RH26" s="120"/>
      <c r="RI26" s="120"/>
      <c r="RJ26" s="120"/>
      <c r="RK26" s="120"/>
      <c r="RL26" s="120"/>
      <c r="RM26" s="120"/>
      <c r="RN26" s="120"/>
      <c r="RO26" s="120"/>
      <c r="RP26" s="120"/>
      <c r="RQ26" s="120"/>
      <c r="RR26" s="120"/>
      <c r="RS26" s="120"/>
      <c r="RT26" s="120"/>
      <c r="RU26" s="120"/>
      <c r="RV26" s="120"/>
      <c r="RW26" s="120"/>
      <c r="RX26" s="120"/>
      <c r="RY26" s="120"/>
      <c r="RZ26" s="120"/>
      <c r="SA26" s="120"/>
      <c r="SB26" s="120"/>
      <c r="SC26" s="120"/>
      <c r="SD26" s="120"/>
      <c r="SE26" s="120"/>
      <c r="SF26" s="120"/>
      <c r="SG26" s="120"/>
      <c r="SH26" s="120"/>
      <c r="SI26" s="120"/>
      <c r="SJ26" s="120"/>
      <c r="SK26" s="120"/>
      <c r="SL26" s="120"/>
      <c r="SM26" s="120"/>
      <c r="SN26" s="120"/>
      <c r="SO26" s="120"/>
      <c r="SP26" s="120"/>
      <c r="SQ26" s="120"/>
      <c r="SR26" s="120"/>
      <c r="SS26" s="120"/>
      <c r="ST26" s="120"/>
      <c r="SU26" s="120"/>
      <c r="SV26" s="120"/>
      <c r="SW26" s="120"/>
      <c r="SX26" s="120"/>
      <c r="SY26" s="120"/>
      <c r="SZ26" s="120"/>
      <c r="TA26" s="120"/>
      <c r="TB26" s="120"/>
      <c r="TC26" s="120"/>
      <c r="TD26" s="120"/>
      <c r="TE26" s="120"/>
      <c r="TF26" s="120"/>
      <c r="TG26" s="120"/>
      <c r="TH26" s="120"/>
      <c r="TI26" s="120"/>
      <c r="TJ26" s="120"/>
      <c r="TK26" s="120"/>
      <c r="TL26" s="120"/>
      <c r="TM26" s="120"/>
      <c r="TN26" s="120"/>
      <c r="TO26" s="120"/>
      <c r="TP26" s="120"/>
      <c r="TQ26" s="120"/>
      <c r="TR26" s="120"/>
      <c r="TS26" s="120"/>
      <c r="TT26" s="120"/>
      <c r="TU26" s="120"/>
      <c r="TV26" s="120"/>
      <c r="TW26" s="120"/>
      <c r="TX26" s="120"/>
      <c r="TY26" s="120"/>
      <c r="TZ26" s="120"/>
      <c r="UA26" s="120"/>
      <c r="UB26" s="120"/>
      <c r="UC26" s="120"/>
      <c r="UD26" s="120"/>
      <c r="UE26" s="120"/>
      <c r="UF26" s="120"/>
      <c r="UG26" s="120"/>
      <c r="UH26" s="120"/>
      <c r="UI26" s="120"/>
      <c r="UJ26" s="120"/>
      <c r="UK26" s="120"/>
      <c r="UL26" s="120"/>
      <c r="UM26" s="120"/>
      <c r="UN26" s="120"/>
      <c r="UO26" s="120"/>
      <c r="UP26" s="120"/>
      <c r="UQ26" s="120"/>
      <c r="UR26" s="120"/>
      <c r="US26" s="120"/>
      <c r="UT26" s="120"/>
      <c r="UU26" s="120"/>
      <c r="UV26" s="120"/>
      <c r="UW26" s="120"/>
      <c r="UX26" s="120"/>
      <c r="UY26" s="120"/>
      <c r="UZ26" s="120"/>
      <c r="VA26" s="120"/>
      <c r="VB26" s="120"/>
      <c r="VC26" s="120"/>
      <c r="VD26" s="120"/>
      <c r="VE26" s="120"/>
      <c r="VF26" s="120"/>
      <c r="VG26" s="120"/>
      <c r="VH26" s="120"/>
      <c r="VI26" s="120"/>
      <c r="VJ26" s="120"/>
      <c r="VK26" s="120"/>
      <c r="VL26" s="120"/>
      <c r="VM26" s="120"/>
      <c r="VN26" s="120"/>
      <c r="VO26" s="120"/>
      <c r="VP26" s="120"/>
      <c r="VQ26" s="120"/>
      <c r="VR26" s="120"/>
      <c r="VS26" s="120"/>
      <c r="VT26" s="120"/>
      <c r="VU26" s="120"/>
      <c r="VV26" s="120"/>
      <c r="VW26" s="120"/>
      <c r="VX26" s="120"/>
      <c r="VY26" s="120"/>
      <c r="VZ26" s="120"/>
      <c r="WA26" s="120"/>
      <c r="WB26" s="120"/>
      <c r="WC26" s="120"/>
      <c r="WD26" s="120"/>
      <c r="WE26" s="120"/>
      <c r="WF26" s="120"/>
      <c r="WG26" s="120"/>
      <c r="WH26" s="120"/>
      <c r="WI26" s="120"/>
      <c r="WJ26" s="120"/>
      <c r="WK26" s="120"/>
      <c r="WL26" s="120"/>
      <c r="WM26" s="120"/>
      <c r="WN26" s="120"/>
      <c r="WO26" s="120"/>
      <c r="WP26" s="120"/>
      <c r="WQ26" s="120"/>
      <c r="WR26" s="120"/>
      <c r="WS26" s="120"/>
      <c r="WT26" s="120"/>
      <c r="WU26" s="120"/>
      <c r="WV26" s="120"/>
      <c r="WW26" s="120"/>
      <c r="WX26" s="120"/>
      <c r="WY26" s="120"/>
      <c r="WZ26" s="120"/>
      <c r="XA26" s="120"/>
      <c r="XB26" s="120"/>
      <c r="XC26" s="120"/>
      <c r="XD26" s="120"/>
      <c r="XE26" s="120"/>
      <c r="XF26" s="120"/>
      <c r="XG26" s="120"/>
      <c r="XH26" s="120"/>
      <c r="XI26" s="120"/>
      <c r="XJ26" s="120"/>
      <c r="XK26" s="120"/>
      <c r="XL26" s="120"/>
      <c r="XM26" s="120"/>
      <c r="XN26" s="120"/>
      <c r="XO26" s="120"/>
      <c r="XP26" s="120"/>
      <c r="XQ26" s="120"/>
      <c r="XR26" s="120"/>
      <c r="XS26" s="120"/>
      <c r="XT26" s="120"/>
      <c r="XU26" s="120"/>
      <c r="XV26" s="120"/>
      <c r="XW26" s="120"/>
      <c r="XX26" s="120"/>
      <c r="XY26" s="120"/>
      <c r="XZ26" s="120"/>
      <c r="YA26" s="120"/>
      <c r="YB26" s="120"/>
      <c r="YC26" s="120"/>
      <c r="YD26" s="120"/>
      <c r="YE26" s="120"/>
      <c r="YF26" s="120"/>
      <c r="YG26" s="120"/>
      <c r="YH26" s="120"/>
      <c r="YI26" s="120"/>
      <c r="YJ26" s="120"/>
      <c r="YK26" s="120"/>
      <c r="YL26" s="120"/>
      <c r="YM26" s="120"/>
      <c r="YN26" s="120"/>
      <c r="YO26" s="120"/>
      <c r="YP26" s="120"/>
      <c r="YQ26" s="120"/>
      <c r="YR26" s="120"/>
      <c r="YS26" s="120"/>
      <c r="YT26" s="120"/>
      <c r="YU26" s="120"/>
      <c r="YV26" s="120"/>
      <c r="YW26" s="120"/>
      <c r="YX26" s="120"/>
      <c r="YY26" s="120"/>
      <c r="YZ26" s="120"/>
      <c r="ZA26" s="120"/>
      <c r="ZB26" s="120"/>
      <c r="ZC26" s="120"/>
      <c r="ZD26" s="120"/>
      <c r="ZE26" s="120"/>
      <c r="ZF26" s="120"/>
      <c r="ZG26" s="120"/>
      <c r="ZH26" s="120"/>
      <c r="ZI26" s="120"/>
      <c r="ZJ26" s="120"/>
      <c r="ZK26" s="120"/>
      <c r="ZL26" s="120"/>
      <c r="ZM26" s="120"/>
      <c r="ZN26" s="120"/>
      <c r="ZO26" s="120"/>
      <c r="ZP26" s="120"/>
      <c r="ZQ26" s="120"/>
      <c r="ZR26" s="120"/>
      <c r="ZS26" s="120"/>
      <c r="ZT26" s="120"/>
      <c r="ZU26" s="120"/>
      <c r="ZV26" s="120"/>
      <c r="ZW26" s="120"/>
      <c r="ZX26" s="120"/>
      <c r="ZY26" s="120"/>
      <c r="ZZ26" s="120"/>
      <c r="AAA26" s="120"/>
      <c r="AAB26" s="120"/>
      <c r="AAC26" s="120"/>
      <c r="AAD26" s="120"/>
      <c r="AAE26" s="120"/>
      <c r="AAF26" s="120"/>
      <c r="AAG26" s="120"/>
      <c r="AAH26" s="120"/>
      <c r="AAI26" s="120"/>
      <c r="AAJ26" s="120"/>
      <c r="AAK26" s="120"/>
      <c r="AAL26" s="120"/>
      <c r="AAM26" s="120"/>
      <c r="AAN26" s="120"/>
      <c r="AAO26" s="120"/>
      <c r="AAP26" s="120"/>
      <c r="AAQ26" s="120"/>
      <c r="AAR26" s="120"/>
      <c r="AAS26" s="120"/>
      <c r="AAT26" s="120"/>
      <c r="AAU26" s="120"/>
      <c r="AAV26" s="120"/>
      <c r="AAW26" s="120"/>
      <c r="AAX26" s="120"/>
      <c r="AAY26" s="120"/>
      <c r="AAZ26" s="120"/>
      <c r="ABA26" s="120"/>
      <c r="ABB26" s="120"/>
      <c r="ABC26" s="120"/>
      <c r="ABD26" s="120"/>
      <c r="ABE26" s="120"/>
      <c r="ABF26" s="120"/>
      <c r="ABG26" s="120"/>
      <c r="ABH26" s="120"/>
      <c r="ABI26" s="120"/>
      <c r="ABJ26" s="120"/>
      <c r="ABK26" s="120"/>
      <c r="ABL26" s="120"/>
      <c r="ABM26" s="120"/>
      <c r="ABN26" s="120"/>
      <c r="ABO26" s="120"/>
      <c r="ABP26" s="120"/>
      <c r="ABQ26" s="120"/>
      <c r="ABR26" s="120"/>
      <c r="ABS26" s="120"/>
      <c r="ABT26" s="120"/>
      <c r="ABU26" s="120"/>
      <c r="ABV26" s="120"/>
      <c r="ABW26" s="120"/>
      <c r="ABX26" s="120"/>
      <c r="ABY26" s="120"/>
      <c r="ABZ26" s="120"/>
      <c r="ACA26" s="120"/>
      <c r="ACB26" s="120"/>
      <c r="ACC26" s="120"/>
      <c r="ACD26" s="120"/>
      <c r="ACE26" s="120"/>
      <c r="ACF26" s="120"/>
      <c r="ACG26" s="120"/>
      <c r="ACH26" s="120"/>
      <c r="ACI26" s="120"/>
      <c r="ACJ26" s="120"/>
      <c r="ACK26" s="120"/>
      <c r="ACL26" s="120"/>
      <c r="ACM26" s="120"/>
      <c r="ACN26" s="120"/>
      <c r="ACO26" s="120"/>
      <c r="ACP26" s="120"/>
      <c r="ACQ26" s="120"/>
      <c r="ACR26" s="120"/>
      <c r="ACS26" s="120"/>
      <c r="ACT26" s="120"/>
      <c r="ACU26" s="120"/>
      <c r="ACV26" s="120"/>
      <c r="ACW26" s="120"/>
      <c r="ACX26" s="120"/>
      <c r="ACY26" s="120"/>
      <c r="ACZ26" s="120"/>
      <c r="ADA26" s="120"/>
      <c r="ADB26" s="120"/>
      <c r="ADC26" s="120"/>
      <c r="ADD26" s="120"/>
      <c r="ADE26" s="120"/>
      <c r="ADF26" s="120"/>
      <c r="ADG26" s="120"/>
      <c r="ADH26" s="120"/>
      <c r="ADI26" s="120"/>
      <c r="ADJ26" s="120"/>
      <c r="ADK26" s="120"/>
      <c r="ADL26" s="120"/>
      <c r="ADM26" s="120"/>
      <c r="ADN26" s="120"/>
      <c r="ADO26" s="120"/>
      <c r="ADP26" s="120"/>
      <c r="ADQ26" s="120"/>
      <c r="ADR26" s="120"/>
      <c r="ADS26" s="120"/>
      <c r="ADT26" s="120"/>
      <c r="ADU26" s="120"/>
      <c r="ADV26" s="120"/>
      <c r="ADW26" s="120"/>
      <c r="ADX26" s="120"/>
      <c r="ADY26" s="120"/>
      <c r="ADZ26" s="120"/>
      <c r="AEA26" s="120"/>
      <c r="AEB26" s="120"/>
      <c r="AEC26" s="120"/>
      <c r="AED26" s="120"/>
      <c r="AEE26" s="120"/>
      <c r="AEF26" s="120"/>
      <c r="AEG26" s="120"/>
      <c r="AEH26" s="120"/>
      <c r="AEI26" s="120"/>
      <c r="AEJ26" s="120"/>
      <c r="AEK26" s="120"/>
      <c r="AEL26" s="120"/>
      <c r="AEM26" s="120"/>
      <c r="AEN26" s="120"/>
      <c r="AEO26" s="120"/>
      <c r="AEP26" s="120"/>
      <c r="AEQ26" s="120"/>
      <c r="AER26" s="120"/>
      <c r="AES26" s="120"/>
      <c r="AET26" s="120"/>
      <c r="AEU26" s="120"/>
      <c r="AEV26" s="120"/>
      <c r="AEW26" s="120"/>
      <c r="AEX26" s="120"/>
      <c r="AEY26" s="120"/>
      <c r="AEZ26" s="120"/>
      <c r="AFA26" s="120"/>
      <c r="AFB26" s="120"/>
      <c r="AFC26" s="120"/>
      <c r="AFD26" s="120"/>
      <c r="AFE26" s="120"/>
      <c r="AFF26" s="120"/>
      <c r="AFG26" s="120"/>
      <c r="AFH26" s="120"/>
      <c r="AFI26" s="120"/>
      <c r="AFJ26" s="120"/>
      <c r="AFK26" s="120"/>
      <c r="AFL26" s="120"/>
      <c r="AFM26" s="120"/>
      <c r="AFN26" s="120"/>
      <c r="AFO26" s="120"/>
      <c r="AFP26" s="120"/>
      <c r="AFQ26" s="120"/>
      <c r="AFR26" s="120"/>
      <c r="AFS26" s="120"/>
      <c r="AFT26" s="120"/>
      <c r="AFU26" s="120"/>
      <c r="AFV26" s="120"/>
      <c r="AFW26" s="120"/>
      <c r="AFX26" s="120"/>
      <c r="AFY26" s="120"/>
      <c r="AFZ26" s="120"/>
      <c r="AGA26" s="120"/>
      <c r="AGB26" s="120"/>
      <c r="AGC26" s="120"/>
      <c r="AGD26" s="120"/>
      <c r="AGE26" s="120"/>
      <c r="AGF26" s="120"/>
      <c r="AGG26" s="120"/>
      <c r="AGH26" s="120"/>
      <c r="AGI26" s="120"/>
      <c r="AGJ26" s="120"/>
      <c r="AGK26" s="120"/>
      <c r="AGL26" s="120"/>
      <c r="AGM26" s="120"/>
      <c r="AGN26" s="120"/>
      <c r="AGO26" s="120"/>
      <c r="AGP26" s="120"/>
      <c r="AGQ26" s="120"/>
      <c r="AGR26" s="120"/>
      <c r="AGS26" s="120"/>
      <c r="AGT26" s="120"/>
      <c r="AGU26" s="120"/>
      <c r="AGV26" s="120"/>
      <c r="AGW26" s="120"/>
      <c r="AGX26" s="120"/>
      <c r="AGY26" s="120"/>
      <c r="AGZ26" s="120"/>
      <c r="AHA26" s="120"/>
      <c r="AHB26" s="120"/>
      <c r="AHC26" s="120"/>
      <c r="AHD26" s="120"/>
      <c r="AHE26" s="120"/>
      <c r="AHF26" s="120"/>
      <c r="AHG26" s="120"/>
      <c r="AHH26" s="120"/>
      <c r="AHI26" s="120"/>
      <c r="AHJ26" s="120"/>
      <c r="AHK26" s="120"/>
      <c r="AHL26" s="120"/>
      <c r="AHM26" s="120"/>
      <c r="AHN26" s="120"/>
      <c r="AHO26" s="120"/>
      <c r="AHP26" s="120"/>
      <c r="AHQ26" s="120"/>
      <c r="AHR26" s="120"/>
      <c r="AHS26" s="120"/>
      <c r="AHT26" s="120"/>
      <c r="AHU26" s="120"/>
      <c r="AHV26" s="120"/>
      <c r="AHW26" s="120"/>
      <c r="AHX26" s="120"/>
      <c r="AHY26" s="120"/>
      <c r="AHZ26" s="120"/>
      <c r="AIA26" s="120"/>
      <c r="AIB26" s="120"/>
      <c r="AIC26" s="120"/>
      <c r="AID26" s="120"/>
      <c r="AIE26" s="120"/>
      <c r="AIF26" s="120"/>
      <c r="AIG26" s="120"/>
      <c r="AIH26" s="120"/>
      <c r="AII26" s="120"/>
      <c r="AIJ26" s="120"/>
      <c r="AIK26" s="120"/>
      <c r="AIL26" s="120"/>
      <c r="AIM26" s="120"/>
      <c r="AIN26" s="120"/>
      <c r="AIO26" s="120"/>
      <c r="AIP26" s="120"/>
      <c r="AIQ26" s="120"/>
      <c r="AIR26" s="120"/>
      <c r="AIS26" s="120"/>
      <c r="AIT26" s="120"/>
      <c r="AIU26" s="120"/>
      <c r="AIV26" s="120"/>
      <c r="AIW26" s="120"/>
      <c r="AIX26" s="120"/>
      <c r="AIY26" s="120"/>
      <c r="AIZ26" s="120"/>
    </row>
    <row r="27">
      <c r="A27" s="112" t="s">
        <v>47</v>
      </c>
      <c r="B27" s="112" t="s">
        <v>52</v>
      </c>
      <c r="C27" s="112"/>
      <c r="D27" s="113">
        <f t="shared" si="1"/>
        <v>846.99635</v>
      </c>
      <c r="E27" s="112">
        <v>188.169383333333</v>
      </c>
      <c r="F27" s="113"/>
      <c r="G27" s="113"/>
      <c r="H27" s="113"/>
      <c r="I27" s="113"/>
      <c r="J27" s="113"/>
      <c r="K27" s="113"/>
      <c r="L27" s="112">
        <v>1.37633333333333</v>
      </c>
      <c r="M27" s="112">
        <v>31.2078</v>
      </c>
      <c r="N27" s="113"/>
      <c r="O27" s="112">
        <v>0.0696</v>
      </c>
      <c r="P27" s="112">
        <v>73.268</v>
      </c>
      <c r="Q27" s="113"/>
      <c r="R27" s="113"/>
      <c r="S27" s="113"/>
      <c r="T27" s="113"/>
      <c r="U27" s="113"/>
      <c r="V27" s="112">
        <v>0.720116666666667</v>
      </c>
      <c r="W27" s="112">
        <v>270.727616666666</v>
      </c>
      <c r="X27" s="113"/>
      <c r="Y27" s="113"/>
      <c r="Z27" s="113"/>
      <c r="AA27" s="113"/>
      <c r="AB27" s="113"/>
      <c r="AC27" s="112">
        <v>3.78125</v>
      </c>
      <c r="AD27" s="112">
        <v>18.5765166666667</v>
      </c>
      <c r="AE27" s="113"/>
      <c r="AF27" s="113"/>
      <c r="AG27" s="113"/>
      <c r="AH27" s="113"/>
      <c r="AI27" s="113"/>
      <c r="AJ27" s="112">
        <v>0.966116666666667</v>
      </c>
      <c r="AK27" s="112">
        <v>130.003683333333</v>
      </c>
      <c r="AL27" s="113"/>
      <c r="AM27" s="113"/>
      <c r="AN27" s="113"/>
      <c r="AO27" s="112">
        <v>5.9276</v>
      </c>
      <c r="AP27" s="112">
        <v>60.9969833333334</v>
      </c>
      <c r="AQ27" s="113"/>
      <c r="AR27" s="113"/>
      <c r="AS27" s="112">
        <v>4.54811666666667</v>
      </c>
      <c r="AT27" s="112">
        <v>52.6256</v>
      </c>
      <c r="AU27" s="113"/>
      <c r="AV27" s="112">
        <v>3.59721666666667</v>
      </c>
      <c r="AW27" s="112">
        <v>0.434416666666667</v>
      </c>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113"/>
      <c r="CB27" s="113"/>
      <c r="CC27" s="113"/>
      <c r="CD27" s="113"/>
      <c r="CE27" s="113"/>
      <c r="CF27" s="113"/>
      <c r="CG27" s="113"/>
      <c r="CH27" s="113"/>
      <c r="CI27" s="113"/>
      <c r="CJ27" s="113"/>
      <c r="CK27" s="113"/>
      <c r="CL27" s="113"/>
      <c r="CM27" s="113"/>
      <c r="CN27" s="113"/>
      <c r="CO27" s="113"/>
      <c r="CP27" s="113"/>
      <c r="CQ27" s="113"/>
      <c r="CR27" s="113"/>
      <c r="CS27" s="113"/>
      <c r="CT27" s="113"/>
      <c r="CU27" s="113"/>
      <c r="CV27" s="113"/>
      <c r="CW27" s="113"/>
      <c r="CX27" s="113"/>
      <c r="CY27" s="113"/>
      <c r="CZ27" s="113"/>
      <c r="DA27" s="113"/>
      <c r="DB27" s="113"/>
      <c r="DC27" s="113"/>
      <c r="DD27" s="113"/>
      <c r="DE27" s="113"/>
      <c r="DF27" s="113"/>
      <c r="DG27" s="113"/>
      <c r="DH27" s="113"/>
      <c r="DI27" s="113"/>
      <c r="DJ27" s="113"/>
      <c r="DK27" s="113"/>
      <c r="DL27" s="113"/>
      <c r="DM27" s="113"/>
      <c r="DN27" s="113"/>
      <c r="DO27" s="113"/>
      <c r="DP27" s="113"/>
      <c r="DQ27" s="113"/>
      <c r="DR27" s="113"/>
      <c r="DS27" s="113"/>
      <c r="DT27" s="113"/>
      <c r="DU27" s="113"/>
      <c r="DV27" s="113"/>
      <c r="DW27" s="113"/>
      <c r="DX27" s="113"/>
      <c r="DY27" s="113"/>
      <c r="DZ27" s="113"/>
      <c r="EA27" s="113"/>
      <c r="EB27" s="113"/>
      <c r="EC27" s="113"/>
      <c r="ED27" s="113"/>
      <c r="EE27" s="113"/>
      <c r="EF27" s="113"/>
      <c r="EG27" s="113"/>
      <c r="EH27" s="113"/>
      <c r="EI27" s="113"/>
      <c r="EJ27" s="113"/>
      <c r="EK27" s="113"/>
      <c r="EL27" s="113"/>
      <c r="EM27" s="113"/>
      <c r="EN27" s="113"/>
      <c r="EO27" s="113"/>
      <c r="EP27" s="113"/>
      <c r="EQ27" s="113"/>
      <c r="ER27" s="113"/>
      <c r="ES27" s="113"/>
      <c r="ET27" s="113"/>
      <c r="EU27" s="113"/>
      <c r="EV27" s="113"/>
      <c r="EW27" s="113"/>
      <c r="EX27" s="113"/>
      <c r="EY27" s="113"/>
      <c r="EZ27" s="113"/>
      <c r="FA27" s="113"/>
      <c r="FB27" s="113"/>
      <c r="FC27" s="113"/>
      <c r="FD27" s="113"/>
      <c r="FE27" s="113"/>
      <c r="FF27" s="113"/>
      <c r="FG27" s="113"/>
      <c r="FH27" s="113"/>
      <c r="FI27" s="113"/>
      <c r="FJ27" s="113"/>
      <c r="FK27" s="113"/>
      <c r="FL27" s="113"/>
      <c r="FM27" s="113"/>
      <c r="FN27" s="113"/>
      <c r="FO27" s="113"/>
      <c r="FP27" s="113"/>
      <c r="FQ27" s="113"/>
      <c r="FR27" s="113"/>
      <c r="FS27" s="113"/>
      <c r="FT27" s="113"/>
      <c r="FU27" s="113"/>
      <c r="FV27" s="113"/>
      <c r="FW27" s="113"/>
      <c r="FX27" s="113"/>
      <c r="FY27" s="113"/>
      <c r="FZ27" s="113"/>
      <c r="GA27" s="113"/>
      <c r="GB27" s="113"/>
      <c r="GC27" s="113"/>
      <c r="GD27" s="113"/>
      <c r="GE27" s="113"/>
      <c r="GF27" s="113"/>
      <c r="GG27" s="113"/>
      <c r="GH27" s="113"/>
      <c r="GI27" s="113"/>
      <c r="GJ27" s="113"/>
      <c r="GK27" s="113"/>
      <c r="GL27" s="113"/>
      <c r="GM27" s="113"/>
      <c r="GN27" s="113"/>
      <c r="GO27" s="113"/>
      <c r="GP27" s="113"/>
      <c r="GQ27" s="113"/>
      <c r="GR27" s="113"/>
      <c r="GS27" s="113"/>
      <c r="GT27" s="113"/>
      <c r="GU27" s="113"/>
      <c r="GV27" s="113"/>
      <c r="GW27" s="113"/>
      <c r="GX27" s="113"/>
      <c r="GY27" s="113"/>
      <c r="GZ27" s="113"/>
      <c r="HA27" s="113"/>
      <c r="HB27" s="113"/>
      <c r="HC27" s="113"/>
      <c r="HD27" s="113"/>
      <c r="HE27" s="113"/>
      <c r="HF27" s="113"/>
      <c r="HG27" s="113"/>
      <c r="HH27" s="113"/>
      <c r="HI27" s="113"/>
      <c r="HJ27" s="113"/>
      <c r="HK27" s="113"/>
      <c r="HL27" s="113"/>
      <c r="HM27" s="113"/>
      <c r="HN27" s="113"/>
      <c r="HO27" s="113"/>
      <c r="HP27" s="113"/>
      <c r="HQ27" s="113"/>
      <c r="HR27" s="113"/>
      <c r="HS27" s="113"/>
      <c r="HT27" s="113"/>
      <c r="HU27" s="113"/>
      <c r="HV27" s="113"/>
      <c r="HW27" s="113"/>
      <c r="HX27" s="113"/>
      <c r="HY27" s="113"/>
      <c r="HZ27" s="113"/>
      <c r="IA27" s="113"/>
      <c r="IB27" s="113"/>
      <c r="IC27" s="113"/>
      <c r="ID27" s="113"/>
      <c r="IE27" s="113"/>
      <c r="IF27" s="113"/>
      <c r="IG27" s="113"/>
      <c r="IH27" s="113"/>
      <c r="II27" s="113"/>
      <c r="IJ27" s="113"/>
      <c r="IK27" s="113"/>
      <c r="IL27" s="113"/>
      <c r="IM27" s="113"/>
      <c r="IN27" s="113"/>
      <c r="IO27" s="113"/>
      <c r="IP27" s="113"/>
      <c r="IQ27" s="113"/>
      <c r="IR27" s="113"/>
      <c r="IS27" s="113"/>
      <c r="IT27" s="113"/>
      <c r="IU27" s="113"/>
      <c r="IV27" s="113"/>
      <c r="IW27" s="113"/>
      <c r="IX27" s="113"/>
      <c r="IY27" s="113"/>
      <c r="IZ27" s="113"/>
      <c r="JA27" s="113"/>
      <c r="JB27" s="113"/>
      <c r="JC27" s="113"/>
      <c r="JD27" s="113"/>
      <c r="JE27" s="113"/>
      <c r="JF27" s="113"/>
      <c r="JG27" s="113"/>
      <c r="JH27" s="113"/>
      <c r="JI27" s="113"/>
      <c r="JJ27" s="113"/>
      <c r="JK27" s="113"/>
      <c r="JL27" s="113"/>
      <c r="JM27" s="113"/>
      <c r="JN27" s="113"/>
      <c r="JO27" s="113"/>
      <c r="JP27" s="113"/>
      <c r="JQ27" s="113"/>
      <c r="JR27" s="113"/>
      <c r="JS27" s="113"/>
      <c r="JT27" s="113"/>
      <c r="JU27" s="113"/>
      <c r="JV27" s="113"/>
      <c r="JW27" s="113"/>
      <c r="JX27" s="113"/>
      <c r="JY27" s="113"/>
      <c r="JZ27" s="113"/>
      <c r="KA27" s="113"/>
      <c r="KB27" s="113"/>
      <c r="KC27" s="113"/>
      <c r="KD27" s="113"/>
      <c r="KE27" s="113"/>
      <c r="KF27" s="113"/>
      <c r="KG27" s="113"/>
      <c r="KH27" s="113"/>
      <c r="KI27" s="113"/>
      <c r="KJ27" s="113"/>
      <c r="KK27" s="113"/>
      <c r="KL27" s="113"/>
      <c r="KM27" s="113"/>
      <c r="KN27" s="113"/>
      <c r="KO27" s="113"/>
      <c r="KP27" s="113"/>
      <c r="KQ27" s="113"/>
      <c r="KR27" s="113"/>
      <c r="KS27" s="113"/>
      <c r="KT27" s="113"/>
      <c r="KU27" s="113"/>
      <c r="KV27" s="113"/>
      <c r="KW27" s="113"/>
      <c r="KX27" s="113"/>
      <c r="KY27" s="113"/>
      <c r="KZ27" s="113"/>
      <c r="LA27" s="113"/>
      <c r="LB27" s="113"/>
      <c r="LC27" s="113"/>
      <c r="LD27" s="113"/>
      <c r="LE27" s="113"/>
      <c r="LF27" s="113"/>
      <c r="LG27" s="113"/>
      <c r="LH27" s="113"/>
      <c r="LI27" s="113"/>
      <c r="LJ27" s="113"/>
      <c r="LK27" s="113"/>
      <c r="LL27" s="113"/>
      <c r="LM27" s="113"/>
      <c r="LN27" s="113"/>
      <c r="LO27" s="113"/>
      <c r="LP27" s="113"/>
      <c r="LQ27" s="113"/>
      <c r="LR27" s="113"/>
      <c r="LS27" s="113"/>
      <c r="LT27" s="113"/>
      <c r="LU27" s="113"/>
      <c r="LV27" s="113"/>
      <c r="LW27" s="113"/>
      <c r="LX27" s="113"/>
      <c r="LY27" s="113"/>
      <c r="LZ27" s="113"/>
      <c r="MA27" s="113"/>
      <c r="MB27" s="113"/>
      <c r="MC27" s="113"/>
      <c r="MD27" s="113"/>
      <c r="ME27" s="113"/>
      <c r="MF27" s="113"/>
      <c r="MG27" s="113"/>
      <c r="MH27" s="113"/>
      <c r="MI27" s="113"/>
      <c r="MJ27" s="113"/>
      <c r="MK27" s="113"/>
      <c r="ML27" s="113"/>
      <c r="MM27" s="113"/>
      <c r="MN27" s="113"/>
      <c r="MO27" s="113"/>
      <c r="MP27" s="113"/>
      <c r="MQ27" s="113"/>
      <c r="MR27" s="113"/>
      <c r="MS27" s="113"/>
      <c r="MT27" s="113"/>
      <c r="MU27" s="113"/>
      <c r="MV27" s="113"/>
      <c r="MW27" s="113"/>
      <c r="MX27" s="113"/>
      <c r="MY27" s="113"/>
      <c r="MZ27" s="113"/>
      <c r="NA27" s="113"/>
      <c r="NB27" s="113"/>
      <c r="NC27" s="113"/>
      <c r="ND27" s="113"/>
      <c r="NE27" s="113"/>
      <c r="NF27" s="113"/>
      <c r="NG27" s="113"/>
      <c r="NH27" s="113"/>
      <c r="NI27" s="113"/>
      <c r="NJ27" s="113"/>
      <c r="NK27" s="113"/>
      <c r="NL27" s="113"/>
      <c r="NM27" s="113"/>
      <c r="NN27" s="113"/>
      <c r="NO27" s="113"/>
      <c r="NP27" s="113"/>
      <c r="NQ27" s="113"/>
      <c r="NR27" s="113"/>
      <c r="NS27" s="113"/>
      <c r="NT27" s="113"/>
      <c r="NU27" s="113"/>
      <c r="NV27" s="113"/>
      <c r="NW27" s="113"/>
      <c r="NX27" s="113"/>
      <c r="NY27" s="113"/>
      <c r="NZ27" s="113"/>
      <c r="OA27" s="113"/>
      <c r="OB27" s="113"/>
      <c r="OC27" s="113"/>
      <c r="OD27" s="113"/>
      <c r="OE27" s="113"/>
      <c r="OF27" s="113"/>
      <c r="OG27" s="113"/>
      <c r="OH27" s="113"/>
      <c r="OI27" s="113"/>
      <c r="OJ27" s="113"/>
      <c r="OK27" s="113"/>
      <c r="OL27" s="113"/>
      <c r="OM27" s="113"/>
      <c r="ON27" s="113"/>
      <c r="OO27" s="113"/>
      <c r="OP27" s="113"/>
      <c r="OQ27" s="113"/>
      <c r="OR27" s="113"/>
      <c r="OS27" s="113"/>
      <c r="OT27" s="113"/>
      <c r="OU27" s="113"/>
      <c r="OV27" s="113"/>
      <c r="OW27" s="113"/>
      <c r="OX27" s="113"/>
      <c r="OY27" s="113"/>
      <c r="OZ27" s="113"/>
      <c r="PA27" s="113"/>
      <c r="PB27" s="113"/>
      <c r="PC27" s="113"/>
      <c r="PD27" s="113"/>
      <c r="PE27" s="113"/>
      <c r="PF27" s="113"/>
      <c r="PG27" s="113"/>
      <c r="PH27" s="113"/>
      <c r="PI27" s="113"/>
      <c r="PJ27" s="113"/>
      <c r="PK27" s="113"/>
      <c r="PL27" s="113"/>
      <c r="PM27" s="113"/>
      <c r="PN27" s="113"/>
      <c r="PO27" s="113"/>
      <c r="PP27" s="113"/>
      <c r="PQ27" s="113"/>
      <c r="PR27" s="113"/>
      <c r="PS27" s="113"/>
      <c r="PT27" s="113"/>
      <c r="PU27" s="113"/>
      <c r="PV27" s="113"/>
      <c r="PW27" s="113"/>
      <c r="PX27" s="113"/>
      <c r="PY27" s="113"/>
      <c r="PZ27" s="113"/>
      <c r="QA27" s="113"/>
      <c r="QB27" s="113"/>
      <c r="QC27" s="113"/>
      <c r="QD27" s="113"/>
      <c r="QE27" s="113"/>
      <c r="QF27" s="113"/>
      <c r="QG27" s="113"/>
      <c r="QH27" s="113"/>
      <c r="QI27" s="113"/>
      <c r="QJ27" s="113"/>
      <c r="QK27" s="113"/>
      <c r="QL27" s="113"/>
      <c r="QM27" s="113"/>
      <c r="QN27" s="113"/>
      <c r="QO27" s="113"/>
      <c r="QP27" s="113"/>
      <c r="QQ27" s="113"/>
      <c r="QR27" s="113"/>
      <c r="QS27" s="113"/>
      <c r="QT27" s="113"/>
      <c r="QU27" s="113"/>
      <c r="QV27" s="113"/>
      <c r="QW27" s="113"/>
      <c r="QX27" s="113"/>
      <c r="QY27" s="113"/>
      <c r="QZ27" s="113"/>
      <c r="RA27" s="113"/>
      <c r="RB27" s="113"/>
      <c r="RC27" s="113"/>
      <c r="RD27" s="113"/>
      <c r="RE27" s="113"/>
      <c r="RF27" s="113"/>
      <c r="RG27" s="113"/>
      <c r="RH27" s="113"/>
      <c r="RI27" s="113"/>
      <c r="RJ27" s="113"/>
      <c r="RK27" s="113"/>
      <c r="RL27" s="113"/>
      <c r="RM27" s="113"/>
      <c r="RN27" s="113"/>
      <c r="RO27" s="113"/>
      <c r="RP27" s="113"/>
      <c r="RQ27" s="113"/>
      <c r="RR27" s="113"/>
      <c r="RS27" s="113"/>
      <c r="RT27" s="113"/>
      <c r="RU27" s="113"/>
      <c r="RV27" s="113"/>
      <c r="RW27" s="113"/>
      <c r="RX27" s="113"/>
      <c r="RY27" s="113"/>
      <c r="RZ27" s="113"/>
      <c r="SA27" s="113"/>
      <c r="SB27" s="113"/>
      <c r="SC27" s="113"/>
      <c r="SD27" s="113"/>
      <c r="SE27" s="113"/>
      <c r="SF27" s="113"/>
      <c r="SG27" s="113"/>
      <c r="SH27" s="113"/>
      <c r="SI27" s="113"/>
      <c r="SJ27" s="113"/>
      <c r="SK27" s="113"/>
      <c r="SL27" s="113"/>
      <c r="SM27" s="113"/>
      <c r="SN27" s="113"/>
      <c r="SO27" s="113"/>
      <c r="SP27" s="113"/>
      <c r="SQ27" s="113"/>
      <c r="SR27" s="113"/>
      <c r="SS27" s="113"/>
      <c r="ST27" s="113"/>
      <c r="SU27" s="113"/>
      <c r="SV27" s="113"/>
      <c r="SW27" s="113"/>
      <c r="SX27" s="113"/>
      <c r="SY27" s="113"/>
      <c r="SZ27" s="113"/>
      <c r="TA27" s="113"/>
      <c r="TB27" s="113"/>
      <c r="TC27" s="113"/>
      <c r="TD27" s="113"/>
      <c r="TE27" s="113"/>
      <c r="TF27" s="113"/>
      <c r="TG27" s="113"/>
      <c r="TH27" s="113"/>
      <c r="TI27" s="113"/>
      <c r="TJ27" s="113"/>
      <c r="TK27" s="113"/>
      <c r="TL27" s="113"/>
      <c r="TM27" s="113"/>
      <c r="TN27" s="113"/>
      <c r="TO27" s="113"/>
      <c r="TP27" s="113"/>
      <c r="TQ27" s="113"/>
      <c r="TR27" s="113"/>
      <c r="TS27" s="113"/>
      <c r="TT27" s="113"/>
      <c r="TU27" s="113"/>
      <c r="TV27" s="113"/>
      <c r="TW27" s="113"/>
      <c r="TX27" s="113"/>
      <c r="TY27" s="113"/>
      <c r="TZ27" s="113"/>
      <c r="UA27" s="113"/>
      <c r="UB27" s="113"/>
      <c r="UC27" s="113"/>
      <c r="UD27" s="113"/>
      <c r="UE27" s="113"/>
      <c r="UF27" s="113"/>
      <c r="UG27" s="113"/>
      <c r="UH27" s="113"/>
      <c r="UI27" s="113"/>
      <c r="UJ27" s="113"/>
      <c r="UK27" s="113"/>
      <c r="UL27" s="113"/>
      <c r="UM27" s="113"/>
      <c r="UN27" s="113"/>
      <c r="UO27" s="113"/>
      <c r="UP27" s="113"/>
      <c r="UQ27" s="113"/>
      <c r="UR27" s="113"/>
      <c r="US27" s="113"/>
      <c r="UT27" s="113"/>
      <c r="UU27" s="113"/>
      <c r="UV27" s="113"/>
      <c r="UW27" s="113"/>
      <c r="UX27" s="113"/>
      <c r="UY27" s="113"/>
      <c r="UZ27" s="113"/>
      <c r="VA27" s="113"/>
      <c r="VB27" s="113"/>
      <c r="VC27" s="113"/>
      <c r="VD27" s="113"/>
      <c r="VE27" s="113"/>
      <c r="VF27" s="113"/>
      <c r="VG27" s="113"/>
      <c r="VH27" s="113"/>
      <c r="VI27" s="113"/>
      <c r="VJ27" s="113"/>
      <c r="VK27" s="113"/>
      <c r="VL27" s="113"/>
      <c r="VM27" s="113"/>
      <c r="VN27" s="113"/>
      <c r="VO27" s="113"/>
      <c r="VP27" s="113"/>
      <c r="VQ27" s="113"/>
      <c r="VR27" s="113"/>
      <c r="VS27" s="113"/>
      <c r="VT27" s="113"/>
      <c r="VU27" s="113"/>
      <c r="VV27" s="113"/>
      <c r="VW27" s="113"/>
      <c r="VX27" s="113"/>
      <c r="VY27" s="113"/>
      <c r="VZ27" s="113"/>
      <c r="WA27" s="113"/>
      <c r="WB27" s="113"/>
      <c r="WC27" s="113"/>
      <c r="WD27" s="113"/>
      <c r="WE27" s="113"/>
      <c r="WF27" s="113"/>
      <c r="WG27" s="113"/>
      <c r="WH27" s="113"/>
      <c r="WI27" s="113"/>
      <c r="WJ27" s="113"/>
      <c r="WK27" s="113"/>
      <c r="WL27" s="113"/>
      <c r="WM27" s="113"/>
      <c r="WN27" s="113"/>
      <c r="WO27" s="113"/>
      <c r="WP27" s="113"/>
      <c r="WQ27" s="113"/>
      <c r="WR27" s="113"/>
      <c r="WS27" s="113"/>
      <c r="WT27" s="113"/>
      <c r="WU27" s="113"/>
      <c r="WV27" s="113"/>
      <c r="WW27" s="113"/>
      <c r="WX27" s="113"/>
      <c r="WY27" s="113"/>
      <c r="WZ27" s="113"/>
      <c r="XA27" s="113"/>
      <c r="XB27" s="113"/>
      <c r="XC27" s="113"/>
      <c r="XD27" s="113"/>
      <c r="XE27" s="113"/>
      <c r="XF27" s="113"/>
      <c r="XG27" s="113"/>
      <c r="XH27" s="113"/>
      <c r="XI27" s="113"/>
      <c r="XJ27" s="113"/>
      <c r="XK27" s="113"/>
      <c r="XL27" s="113"/>
      <c r="XM27" s="113"/>
      <c r="XN27" s="113"/>
      <c r="XO27" s="113"/>
      <c r="XP27" s="113"/>
      <c r="XQ27" s="113"/>
      <c r="XR27" s="113"/>
      <c r="XS27" s="113"/>
      <c r="XT27" s="113"/>
      <c r="XU27" s="113"/>
      <c r="XV27" s="113"/>
      <c r="XW27" s="113"/>
      <c r="XX27" s="113"/>
      <c r="XY27" s="113"/>
      <c r="XZ27" s="113"/>
      <c r="YA27" s="113"/>
      <c r="YB27" s="113"/>
      <c r="YC27" s="113"/>
      <c r="YD27" s="113"/>
      <c r="YE27" s="113"/>
      <c r="YF27" s="113"/>
      <c r="YG27" s="113"/>
      <c r="YH27" s="113"/>
      <c r="YI27" s="113"/>
      <c r="YJ27" s="113"/>
      <c r="YK27" s="113"/>
      <c r="YL27" s="113"/>
      <c r="YM27" s="113"/>
      <c r="YN27" s="113"/>
      <c r="YO27" s="113"/>
      <c r="YP27" s="113"/>
      <c r="YQ27" s="113"/>
      <c r="YR27" s="113"/>
      <c r="YS27" s="113"/>
      <c r="YT27" s="113"/>
      <c r="YU27" s="113"/>
      <c r="YV27" s="113"/>
      <c r="YW27" s="113"/>
      <c r="YX27" s="113"/>
      <c r="YY27" s="113"/>
      <c r="YZ27" s="113"/>
      <c r="ZA27" s="113"/>
      <c r="ZB27" s="113"/>
      <c r="ZC27" s="113"/>
      <c r="ZD27" s="113"/>
      <c r="ZE27" s="113"/>
      <c r="ZF27" s="113"/>
      <c r="ZG27" s="113"/>
      <c r="ZH27" s="113"/>
      <c r="ZI27" s="113"/>
      <c r="ZJ27" s="113"/>
      <c r="ZK27" s="113"/>
      <c r="ZL27" s="113"/>
      <c r="ZM27" s="113"/>
      <c r="ZN27" s="113"/>
      <c r="ZO27" s="113"/>
      <c r="ZP27" s="113"/>
      <c r="ZQ27" s="113"/>
      <c r="ZR27" s="113"/>
      <c r="ZS27" s="113"/>
      <c r="ZT27" s="113"/>
      <c r="ZU27" s="113"/>
      <c r="ZV27" s="113"/>
      <c r="ZW27" s="113"/>
      <c r="ZX27" s="113"/>
      <c r="ZY27" s="113"/>
      <c r="ZZ27" s="113"/>
      <c r="AAA27" s="113"/>
      <c r="AAB27" s="113"/>
      <c r="AAC27" s="113"/>
      <c r="AAD27" s="113"/>
      <c r="AAE27" s="113"/>
      <c r="AAF27" s="113"/>
      <c r="AAG27" s="113"/>
      <c r="AAH27" s="113"/>
      <c r="AAI27" s="113"/>
      <c r="AAJ27" s="113"/>
      <c r="AAK27" s="113"/>
      <c r="AAL27" s="113"/>
      <c r="AAM27" s="113"/>
      <c r="AAN27" s="113"/>
      <c r="AAO27" s="113"/>
      <c r="AAP27" s="113"/>
      <c r="AAQ27" s="113"/>
      <c r="AAR27" s="113"/>
      <c r="AAS27" s="113"/>
      <c r="AAT27" s="113"/>
      <c r="AAU27" s="113"/>
      <c r="AAV27" s="113"/>
      <c r="AAW27" s="113"/>
      <c r="AAX27" s="113"/>
      <c r="AAY27" s="113"/>
      <c r="AAZ27" s="113"/>
      <c r="ABA27" s="113"/>
      <c r="ABB27" s="113"/>
      <c r="ABC27" s="113"/>
      <c r="ABD27" s="113"/>
      <c r="ABE27" s="113"/>
      <c r="ABF27" s="113"/>
      <c r="ABG27" s="113"/>
      <c r="ABH27" s="113"/>
      <c r="ABI27" s="113"/>
      <c r="ABJ27" s="113"/>
      <c r="ABK27" s="113"/>
      <c r="ABL27" s="113"/>
      <c r="ABM27" s="113"/>
      <c r="ABN27" s="113"/>
      <c r="ABO27" s="113"/>
      <c r="ABP27" s="113"/>
      <c r="ABQ27" s="113"/>
      <c r="ABR27" s="113"/>
      <c r="ABS27" s="113"/>
      <c r="ABT27" s="113"/>
      <c r="ABU27" s="113"/>
      <c r="ABV27" s="113"/>
      <c r="ABW27" s="113"/>
      <c r="ABX27" s="113"/>
      <c r="ABY27" s="113"/>
      <c r="ABZ27" s="113"/>
      <c r="ACA27" s="113"/>
      <c r="ACB27" s="113"/>
      <c r="ACC27" s="113"/>
      <c r="ACD27" s="113"/>
      <c r="ACE27" s="113"/>
      <c r="ACF27" s="113"/>
      <c r="ACG27" s="113"/>
      <c r="ACH27" s="113"/>
      <c r="ACI27" s="113"/>
      <c r="ACJ27" s="113"/>
      <c r="ACK27" s="113"/>
      <c r="ACL27" s="113"/>
      <c r="ACM27" s="113"/>
      <c r="ACN27" s="113"/>
      <c r="ACO27" s="113"/>
      <c r="ACP27" s="113"/>
      <c r="ACQ27" s="113"/>
      <c r="ACR27" s="113"/>
      <c r="ACS27" s="113"/>
      <c r="ACT27" s="113"/>
      <c r="ACU27" s="113"/>
      <c r="ACV27" s="113"/>
      <c r="ACW27" s="113"/>
      <c r="ACX27" s="113"/>
      <c r="ACY27" s="113"/>
      <c r="ACZ27" s="113"/>
      <c r="ADA27" s="113"/>
      <c r="ADB27" s="113"/>
      <c r="ADC27" s="113"/>
      <c r="ADD27" s="113"/>
      <c r="ADE27" s="113"/>
      <c r="ADF27" s="113"/>
      <c r="ADG27" s="113"/>
      <c r="ADH27" s="113"/>
      <c r="ADI27" s="113"/>
      <c r="ADJ27" s="113"/>
      <c r="ADK27" s="113"/>
      <c r="ADL27" s="113"/>
      <c r="ADM27" s="113"/>
      <c r="ADN27" s="113"/>
      <c r="ADO27" s="113"/>
      <c r="ADP27" s="113"/>
      <c r="ADQ27" s="113"/>
      <c r="ADR27" s="113"/>
      <c r="ADS27" s="113"/>
      <c r="ADT27" s="113"/>
      <c r="ADU27" s="113"/>
      <c r="ADV27" s="113"/>
      <c r="ADW27" s="113"/>
      <c r="ADX27" s="113"/>
      <c r="ADY27" s="113"/>
      <c r="ADZ27" s="113"/>
      <c r="AEA27" s="113"/>
      <c r="AEB27" s="113"/>
      <c r="AEC27" s="113"/>
      <c r="AED27" s="113"/>
      <c r="AEE27" s="113"/>
      <c r="AEF27" s="113"/>
      <c r="AEG27" s="113"/>
      <c r="AEH27" s="113"/>
      <c r="AEI27" s="113"/>
      <c r="AEJ27" s="113"/>
      <c r="AEK27" s="113"/>
      <c r="AEL27" s="113"/>
      <c r="AEM27" s="113"/>
      <c r="AEN27" s="113"/>
      <c r="AEO27" s="113"/>
      <c r="AEP27" s="113"/>
      <c r="AEQ27" s="113"/>
      <c r="AER27" s="113"/>
      <c r="AES27" s="113"/>
      <c r="AET27" s="113"/>
      <c r="AEU27" s="113"/>
      <c r="AEV27" s="113"/>
      <c r="AEW27" s="113"/>
      <c r="AEX27" s="113"/>
      <c r="AEY27" s="113"/>
      <c r="AEZ27" s="113"/>
      <c r="AFA27" s="113"/>
      <c r="AFB27" s="113"/>
      <c r="AFC27" s="113"/>
      <c r="AFD27" s="113"/>
      <c r="AFE27" s="113"/>
      <c r="AFF27" s="113"/>
      <c r="AFG27" s="113"/>
      <c r="AFH27" s="113"/>
      <c r="AFI27" s="113"/>
      <c r="AFJ27" s="113"/>
      <c r="AFK27" s="113"/>
      <c r="AFL27" s="113"/>
      <c r="AFM27" s="113"/>
      <c r="AFN27" s="113"/>
      <c r="AFO27" s="113"/>
      <c r="AFP27" s="113"/>
      <c r="AFQ27" s="113"/>
      <c r="AFR27" s="113"/>
      <c r="AFS27" s="113"/>
      <c r="AFT27" s="113"/>
      <c r="AFU27" s="113"/>
      <c r="AFV27" s="113"/>
      <c r="AFW27" s="113"/>
      <c r="AFX27" s="113"/>
      <c r="AFY27" s="113"/>
      <c r="AFZ27" s="113"/>
      <c r="AGA27" s="113"/>
      <c r="AGB27" s="113"/>
      <c r="AGC27" s="113"/>
      <c r="AGD27" s="113"/>
      <c r="AGE27" s="113"/>
      <c r="AGF27" s="113"/>
      <c r="AGG27" s="113"/>
      <c r="AGH27" s="113"/>
      <c r="AGI27" s="113"/>
      <c r="AGJ27" s="113"/>
      <c r="AGK27" s="113"/>
      <c r="AGL27" s="113"/>
      <c r="AGM27" s="113"/>
      <c r="AGN27" s="113"/>
      <c r="AGO27" s="113"/>
      <c r="AGP27" s="113"/>
      <c r="AGQ27" s="113"/>
      <c r="AGR27" s="113"/>
      <c r="AGS27" s="113"/>
      <c r="AGT27" s="113"/>
      <c r="AGU27" s="113"/>
      <c r="AGV27" s="113"/>
      <c r="AGW27" s="113"/>
      <c r="AGX27" s="113"/>
      <c r="AGY27" s="113"/>
      <c r="AGZ27" s="113"/>
      <c r="AHA27" s="113"/>
      <c r="AHB27" s="113"/>
      <c r="AHC27" s="113"/>
      <c r="AHD27" s="113"/>
      <c r="AHE27" s="113"/>
      <c r="AHF27" s="113"/>
      <c r="AHG27" s="113"/>
      <c r="AHH27" s="113"/>
      <c r="AHI27" s="113"/>
      <c r="AHJ27" s="113"/>
      <c r="AHK27" s="113"/>
      <c r="AHL27" s="113"/>
      <c r="AHM27" s="113"/>
      <c r="AHN27" s="113"/>
      <c r="AHO27" s="113"/>
      <c r="AHP27" s="113"/>
      <c r="AHQ27" s="113"/>
      <c r="AHR27" s="113"/>
      <c r="AHS27" s="113"/>
      <c r="AHT27" s="113"/>
      <c r="AHU27" s="113"/>
      <c r="AHV27" s="113"/>
      <c r="AHW27" s="113"/>
      <c r="AHX27" s="113"/>
      <c r="AHY27" s="113"/>
      <c r="AHZ27" s="113"/>
      <c r="AIA27" s="113"/>
      <c r="AIB27" s="113"/>
      <c r="AIC27" s="113"/>
      <c r="AID27" s="113"/>
      <c r="AIE27" s="113"/>
      <c r="AIF27" s="113"/>
      <c r="AIG27" s="113"/>
      <c r="AIH27" s="113"/>
      <c r="AII27" s="113"/>
      <c r="AIJ27" s="113"/>
      <c r="AIK27" s="113"/>
      <c r="AIL27" s="113"/>
      <c r="AIM27" s="113"/>
      <c r="AIN27" s="113"/>
      <c r="AIO27" s="113"/>
      <c r="AIP27" s="113"/>
      <c r="AIQ27" s="113"/>
      <c r="AIR27" s="113"/>
      <c r="AIS27" s="113"/>
      <c r="AIT27" s="113"/>
      <c r="AIU27" s="113"/>
      <c r="AIV27" s="113"/>
      <c r="AIW27" s="113"/>
      <c r="AIX27" s="113"/>
      <c r="AIY27" s="113"/>
      <c r="AIZ27" s="113"/>
    </row>
    <row r="28">
      <c r="A28" s="65" t="s">
        <v>47</v>
      </c>
      <c r="B28" s="65" t="s">
        <v>52</v>
      </c>
      <c r="C28" s="65"/>
      <c r="D28" s="64">
        <f t="shared" si="1"/>
        <v>602.54655</v>
      </c>
      <c r="H28" s="65">
        <v>0.797083333333333</v>
      </c>
      <c r="I28" s="65">
        <v>44.63305</v>
      </c>
      <c r="J28" s="65">
        <v>99.2494833333333</v>
      </c>
      <c r="K28" s="65">
        <v>17.1507166666667</v>
      </c>
      <c r="N28" s="65">
        <v>0.331883333333333</v>
      </c>
      <c r="Q28" s="65">
        <v>0.324116666666667</v>
      </c>
      <c r="R28" s="65">
        <v>0.203066666666667</v>
      </c>
      <c r="T28" s="65">
        <v>46.8109833333334</v>
      </c>
      <c r="U28" s="65">
        <v>11.5359666666667</v>
      </c>
      <c r="Y28" s="65">
        <v>49.85365</v>
      </c>
      <c r="Z28" s="65">
        <v>60.2139</v>
      </c>
      <c r="AA28" s="65">
        <v>88.8319500000001</v>
      </c>
      <c r="AB28" s="65">
        <v>34.1231833333333</v>
      </c>
      <c r="AF28" s="65">
        <v>7.04946666666667</v>
      </c>
      <c r="AG28" s="65">
        <v>3.15363333333333</v>
      </c>
      <c r="AH28" s="65">
        <v>0.7106</v>
      </c>
      <c r="AI28" s="65">
        <v>6.42171666666667</v>
      </c>
      <c r="AL28" s="65">
        <v>25.5138666666667</v>
      </c>
      <c r="AM28" s="65">
        <v>25.5343166666667</v>
      </c>
      <c r="AN28" s="65">
        <v>6.25211666666666</v>
      </c>
      <c r="AQ28" s="65">
        <v>13.7602666666667</v>
      </c>
      <c r="AR28" s="65">
        <v>10.7086166666667</v>
      </c>
      <c r="AU28" s="65">
        <v>49.3829166666667</v>
      </c>
    </row>
    <row r="29">
      <c r="A29" s="65" t="s">
        <v>47</v>
      </c>
      <c r="B29" s="65" t="s">
        <v>52</v>
      </c>
      <c r="C29" s="65"/>
      <c r="D29" s="64">
        <f t="shared" si="1"/>
        <v>0</v>
      </c>
    </row>
    <row r="30">
      <c r="A30" s="65" t="s">
        <v>47</v>
      </c>
      <c r="B30" s="65" t="s">
        <v>52</v>
      </c>
      <c r="C30" s="65"/>
      <c r="D30" s="64">
        <f t="shared" si="1"/>
        <v>598.44365</v>
      </c>
      <c r="H30" s="118">
        <f>HYPERLINK("https://docs.google.com/spreadsheets/d/1ATz9OdscLROalrApW9byPQ_GQpwolcqA", 0.797083333333333)</f>
        <v>0.7970833333</v>
      </c>
      <c r="I30" s="118">
        <f>HYPERLINK("https://docs.google.com/spreadsheets/d/1hnZwEcIP-IUO7pmjOod73juxzxzxSbDo", 44.63305)</f>
        <v>44.63305</v>
      </c>
      <c r="J30" s="118">
        <f>HYPERLINK("https://docs.google.com/spreadsheets/d/16zIr6zgUcL0DYSgLbBKTtbYtU8x9h1ho", 99.2494166666666)</f>
        <v>99.24941667</v>
      </c>
      <c r="K30" s="118">
        <f>HYPERLINK("https://docs.google.com/spreadsheets/d/1sG6_XAE_6cHlmDoIKAWD5YP_FJOShhDi", 17.0267)</f>
        <v>17.0267</v>
      </c>
      <c r="N30" s="118">
        <f>HYPERLINK("https://docs.google.com/spreadsheets/d/11ONwpns-MST7slDyBtwP_n7SihW2PM4k", 0.331883333333333)</f>
        <v>0.3318833333</v>
      </c>
      <c r="Q30" s="118">
        <f>HYPERLINK("https://docs.google.com/spreadsheets/d/1UClh3LhXbHUG0AB1xTUJ0kAh2ysHJaQz", 0.162983333333333)</f>
        <v>0.1629833333</v>
      </c>
      <c r="R30" s="118">
        <f>HYPERLINK("https://docs.google.com/spreadsheets/d/1-OPE-MyfPapUtOQTkKnmxZx6HcbYYuYF", 0.203066666666667)</f>
        <v>0.2030666667</v>
      </c>
      <c r="T30" s="118">
        <f>HYPERLINK("https://docs.google.com/spreadsheets/d/1gBN6ySzsJiQky9UYBxEV5WyPeo0d9gvg", 46.4609000000001)</f>
        <v>46.4609</v>
      </c>
      <c r="U30" s="118">
        <f>HYPERLINK("https://docs.google.com/spreadsheets/d/1SELCXGJMy35Qx7kAB3TksDkZPIvaVin_", 11.4200666666667)</f>
        <v>11.42006667</v>
      </c>
      <c r="Y30" s="118">
        <f>HYPERLINK("https://docs.google.com/spreadsheets/d/1YDqXU_8FZOxJdEZHOq-xwLdT9v29E2_q", 47.7353)</f>
        <v>47.7353</v>
      </c>
      <c r="Z30" s="118">
        <f>HYPERLINK("https://docs.google.com/spreadsheets/d/1jO-QF8qCgksXt6XlgjHdbBNkll7rAWCg", 59.6531166666666)</f>
        <v>59.65311667</v>
      </c>
      <c r="AA30" s="118">
        <f>HYPERLINK("https://docs.google.com/spreadsheets/d/19qFokkPVcSlbT2VFzrY6I6LIB8l-JyWK", 88.8319166666667)</f>
        <v>88.83191667</v>
      </c>
      <c r="AB30" s="118">
        <f>HYPERLINK("https://docs.google.com/spreadsheets/d/1wmh-XFrki7L5YWCjeaOBIwk77TIDoq9F", 34.0671833333333)</f>
        <v>34.06718333</v>
      </c>
      <c r="AF30" s="118">
        <f>HYPERLINK("https://docs.google.com/spreadsheets/d/1gEuEwZHKomIqAFnMTFixN0aXJkg9iIVy", 6.52746666666667)</f>
        <v>6.527466667</v>
      </c>
      <c r="AG30" s="118">
        <f>HYPERLINK("https://docs.google.com/spreadsheets/d/1_y-u1Exd5DOVm4ksNK5hUrw3bKX1CUr_", 3.15363333333333)</f>
        <v>3.153633333</v>
      </c>
      <c r="AH30" s="118">
        <f>HYPERLINK("https://docs.google.com/spreadsheets/d/1hQftFDouI2mp95Hqh7Lx92YUGyucNNGj", 0.7106)</f>
        <v>0.7106</v>
      </c>
      <c r="AI30" s="118">
        <f>HYPERLINK("https://docs.google.com/spreadsheets/d/1S1CAgzXex_0MBJIt2x0-8Bxtp7n94jXv", 6.42171666666667)</f>
        <v>6.421716667</v>
      </c>
      <c r="AL30" s="118">
        <f>HYPERLINK("https://docs.google.com/spreadsheets/d/1z8riOtT-S-VJzwVF5yraY3fQHFUxPGB5", 25.5138166666666)</f>
        <v>25.51381667</v>
      </c>
      <c r="AM30" s="118">
        <f>HYPERLINK("https://docs.google.com/spreadsheets/d/1OhL-P6MjuqzAT9cbwUZmCXLLed1vj82j", 25.5342833333333)</f>
        <v>25.53428333</v>
      </c>
      <c r="AN30" s="118">
        <f>HYPERLINK("https://docs.google.com/spreadsheets/d/1ZBlCR5HFAYbY_t9scFCayoE74gE9Xujb", 6.25211666666666)</f>
        <v>6.252116667</v>
      </c>
      <c r="AQ30" s="118">
        <f>HYPERLINK("https://docs.google.com/spreadsheets/d/1IaRFYShXpyVh9JCRVqZT5x-C8jv2fsZa", 13.6659333333333)</f>
        <v>13.66593333</v>
      </c>
      <c r="AR30" s="118">
        <f>HYPERLINK("https://docs.google.com/spreadsheets/d/1xAmiO0xqG_UhInx2sSkhi4_7sO8GNOm-", 10.7085666666667)</f>
        <v>10.70856667</v>
      </c>
      <c r="AU30" s="118">
        <f>HYPERLINK("https://docs.google.com/spreadsheets/d/1J929fUBt3Xur4P7UmLzsv02rTUoE8Kxm", 49.38285)</f>
        <v>49.38285</v>
      </c>
    </row>
    <row r="31">
      <c r="A31" s="65" t="s">
        <v>47</v>
      </c>
      <c r="B31" s="65" t="s">
        <v>52</v>
      </c>
      <c r="C31" s="65"/>
      <c r="D31" s="64">
        <f t="shared" si="1"/>
        <v>439.9285</v>
      </c>
      <c r="H31" s="65">
        <v>0.66855</v>
      </c>
      <c r="I31" s="65">
        <v>31.3897666666667</v>
      </c>
      <c r="J31" s="65">
        <v>78.5317666666667</v>
      </c>
      <c r="K31" s="65">
        <v>10.6222666666667</v>
      </c>
      <c r="N31" s="65">
        <v>0.331883333333333</v>
      </c>
      <c r="Q31" s="65">
        <v>0.162983333333333</v>
      </c>
      <c r="R31" s="65">
        <v>0.203066666666667</v>
      </c>
      <c r="T31" s="65">
        <v>40.30175</v>
      </c>
      <c r="U31" s="65">
        <v>4.30291666666667</v>
      </c>
      <c r="Y31" s="65">
        <v>37.9778333333333</v>
      </c>
      <c r="Z31" s="65">
        <v>48.1284333333333</v>
      </c>
      <c r="AA31" s="65">
        <v>68.1946833333333</v>
      </c>
      <c r="AB31" s="65">
        <v>15.8225833333333</v>
      </c>
      <c r="AF31" s="65">
        <v>4.67775</v>
      </c>
      <c r="AG31" s="65">
        <v>2.34095</v>
      </c>
      <c r="AH31" s="65">
        <v>0.5413</v>
      </c>
      <c r="AI31" s="65">
        <v>4.25661666666667</v>
      </c>
      <c r="AL31" s="65">
        <v>18.4727833333333</v>
      </c>
      <c r="AM31" s="65">
        <v>19.7873166666667</v>
      </c>
      <c r="AN31" s="65">
        <v>3.04086666666667</v>
      </c>
      <c r="AQ31" s="65">
        <v>9.4687</v>
      </c>
      <c r="AR31" s="65">
        <v>8.34441666666667</v>
      </c>
      <c r="AU31" s="65">
        <v>32.3593166666667</v>
      </c>
    </row>
    <row r="32">
      <c r="A32" s="119" t="s">
        <v>47</v>
      </c>
      <c r="B32" s="119" t="s">
        <v>52</v>
      </c>
      <c r="C32" s="119"/>
      <c r="D32" s="120">
        <f t="shared" si="1"/>
        <v>0</v>
      </c>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0"/>
      <c r="CE32" s="120"/>
      <c r="CF32" s="120"/>
      <c r="CG32" s="120"/>
      <c r="CH32" s="120"/>
      <c r="CI32" s="120"/>
      <c r="CJ32" s="120"/>
      <c r="CK32" s="120"/>
      <c r="CL32" s="120"/>
      <c r="CM32" s="120"/>
      <c r="CN32" s="120"/>
      <c r="CO32" s="120"/>
      <c r="CP32" s="120"/>
      <c r="CQ32" s="120"/>
      <c r="CR32" s="120"/>
      <c r="CS32" s="120"/>
      <c r="CT32" s="120"/>
      <c r="CU32" s="120"/>
      <c r="CV32" s="120"/>
      <c r="CW32" s="120"/>
      <c r="CX32" s="120"/>
      <c r="CY32" s="120"/>
      <c r="CZ32" s="120"/>
      <c r="DA32" s="120"/>
      <c r="DB32" s="120"/>
      <c r="DC32" s="120"/>
      <c r="DD32" s="120"/>
      <c r="DE32" s="120"/>
      <c r="DF32" s="120"/>
      <c r="DG32" s="120"/>
      <c r="DH32" s="120"/>
      <c r="DI32" s="120"/>
      <c r="DJ32" s="120"/>
      <c r="DK32" s="120"/>
      <c r="DL32" s="120"/>
      <c r="DM32" s="120"/>
      <c r="DN32" s="120"/>
      <c r="DO32" s="120"/>
      <c r="DP32" s="120"/>
      <c r="DQ32" s="120"/>
      <c r="DR32" s="120"/>
      <c r="DS32" s="120"/>
      <c r="DT32" s="120"/>
      <c r="DU32" s="120"/>
      <c r="DV32" s="120"/>
      <c r="DW32" s="120"/>
      <c r="DX32" s="120"/>
      <c r="DY32" s="120"/>
      <c r="DZ32" s="120"/>
      <c r="EA32" s="120"/>
      <c r="EB32" s="120"/>
      <c r="EC32" s="120"/>
      <c r="ED32" s="120"/>
      <c r="EE32" s="120"/>
      <c r="EF32" s="120"/>
      <c r="EG32" s="120"/>
      <c r="EH32" s="120"/>
      <c r="EI32" s="120"/>
      <c r="EJ32" s="120"/>
      <c r="EK32" s="120"/>
      <c r="EL32" s="120"/>
      <c r="EM32" s="120"/>
      <c r="EN32" s="120"/>
      <c r="EO32" s="120"/>
      <c r="EP32" s="120"/>
      <c r="EQ32" s="120"/>
      <c r="ER32" s="120"/>
      <c r="ES32" s="120"/>
      <c r="ET32" s="120"/>
      <c r="EU32" s="120"/>
      <c r="EV32" s="120"/>
      <c r="EW32" s="120"/>
      <c r="EX32" s="120"/>
      <c r="EY32" s="120"/>
      <c r="EZ32" s="120"/>
      <c r="FA32" s="120"/>
      <c r="FB32" s="120"/>
      <c r="FC32" s="120"/>
      <c r="FD32" s="120"/>
      <c r="FE32" s="120"/>
      <c r="FF32" s="120"/>
      <c r="FG32" s="120"/>
      <c r="FH32" s="120"/>
      <c r="FI32" s="120"/>
      <c r="FJ32" s="120"/>
      <c r="FK32" s="120"/>
      <c r="FL32" s="120"/>
      <c r="FM32" s="120"/>
      <c r="FN32" s="120"/>
      <c r="FO32" s="120"/>
      <c r="FP32" s="120"/>
      <c r="FQ32" s="120"/>
      <c r="FR32" s="120"/>
      <c r="FS32" s="120"/>
      <c r="FT32" s="120"/>
      <c r="FU32" s="120"/>
      <c r="FV32" s="120"/>
      <c r="FW32" s="120"/>
      <c r="FX32" s="120"/>
      <c r="FY32" s="120"/>
      <c r="FZ32" s="120"/>
      <c r="GA32" s="120"/>
      <c r="GB32" s="120"/>
      <c r="GC32" s="120"/>
      <c r="GD32" s="120"/>
      <c r="GE32" s="120"/>
      <c r="GF32" s="120"/>
      <c r="GG32" s="120"/>
      <c r="GH32" s="120"/>
      <c r="GI32" s="120"/>
      <c r="GJ32" s="120"/>
      <c r="GK32" s="120"/>
      <c r="GL32" s="120"/>
      <c r="GM32" s="120"/>
      <c r="GN32" s="120"/>
      <c r="GO32" s="120"/>
      <c r="GP32" s="120"/>
      <c r="GQ32" s="120"/>
      <c r="GR32" s="120"/>
      <c r="GS32" s="120"/>
      <c r="GT32" s="120"/>
      <c r="GU32" s="120"/>
      <c r="GV32" s="120"/>
      <c r="GW32" s="120"/>
      <c r="GX32" s="120"/>
      <c r="GY32" s="120"/>
      <c r="GZ32" s="120"/>
      <c r="HA32" s="120"/>
      <c r="HB32" s="120"/>
      <c r="HC32" s="120"/>
      <c r="HD32" s="120"/>
      <c r="HE32" s="120"/>
      <c r="HF32" s="120"/>
      <c r="HG32" s="120"/>
      <c r="HH32" s="120"/>
      <c r="HI32" s="120"/>
      <c r="HJ32" s="120"/>
      <c r="HK32" s="120"/>
      <c r="HL32" s="120"/>
      <c r="HM32" s="120"/>
      <c r="HN32" s="120"/>
      <c r="HO32" s="120"/>
      <c r="HP32" s="120"/>
      <c r="HQ32" s="120"/>
      <c r="HR32" s="120"/>
      <c r="HS32" s="120"/>
      <c r="HT32" s="120"/>
      <c r="HU32" s="120"/>
      <c r="HV32" s="120"/>
      <c r="HW32" s="120"/>
      <c r="HX32" s="120"/>
      <c r="HY32" s="120"/>
      <c r="HZ32" s="120"/>
      <c r="IA32" s="120"/>
      <c r="IB32" s="120"/>
      <c r="IC32" s="120"/>
      <c r="ID32" s="120"/>
      <c r="IE32" s="120"/>
      <c r="IF32" s="120"/>
      <c r="IG32" s="120"/>
      <c r="IH32" s="120"/>
      <c r="II32" s="120"/>
      <c r="IJ32" s="120"/>
      <c r="IK32" s="120"/>
      <c r="IL32" s="120"/>
      <c r="IM32" s="120"/>
      <c r="IN32" s="120"/>
      <c r="IO32" s="120"/>
      <c r="IP32" s="120"/>
      <c r="IQ32" s="120"/>
      <c r="IR32" s="120"/>
      <c r="IS32" s="120"/>
      <c r="IT32" s="120"/>
      <c r="IU32" s="120"/>
      <c r="IV32" s="120"/>
      <c r="IW32" s="120"/>
      <c r="IX32" s="120"/>
      <c r="IY32" s="120"/>
      <c r="IZ32" s="120"/>
      <c r="JA32" s="120"/>
      <c r="JB32" s="120"/>
      <c r="JC32" s="120"/>
      <c r="JD32" s="120"/>
      <c r="JE32" s="120"/>
      <c r="JF32" s="120"/>
      <c r="JG32" s="120"/>
      <c r="JH32" s="120"/>
      <c r="JI32" s="120"/>
      <c r="JJ32" s="120"/>
      <c r="JK32" s="120"/>
      <c r="JL32" s="120"/>
      <c r="JM32" s="120"/>
      <c r="JN32" s="120"/>
      <c r="JO32" s="120"/>
      <c r="JP32" s="120"/>
      <c r="JQ32" s="120"/>
      <c r="JR32" s="120"/>
      <c r="JS32" s="120"/>
      <c r="JT32" s="120"/>
      <c r="JU32" s="120"/>
      <c r="JV32" s="120"/>
      <c r="JW32" s="120"/>
      <c r="JX32" s="120"/>
      <c r="JY32" s="120"/>
      <c r="JZ32" s="120"/>
      <c r="KA32" s="120"/>
      <c r="KB32" s="120"/>
      <c r="KC32" s="120"/>
      <c r="KD32" s="120"/>
      <c r="KE32" s="120"/>
      <c r="KF32" s="120"/>
      <c r="KG32" s="120"/>
      <c r="KH32" s="120"/>
      <c r="KI32" s="120"/>
      <c r="KJ32" s="120"/>
      <c r="KK32" s="120"/>
      <c r="KL32" s="120"/>
      <c r="KM32" s="120"/>
      <c r="KN32" s="120"/>
      <c r="KO32" s="120"/>
      <c r="KP32" s="120"/>
      <c r="KQ32" s="120"/>
      <c r="KR32" s="120"/>
      <c r="KS32" s="120"/>
      <c r="KT32" s="120"/>
      <c r="KU32" s="120"/>
      <c r="KV32" s="120"/>
      <c r="KW32" s="120"/>
      <c r="KX32" s="120"/>
      <c r="KY32" s="120"/>
      <c r="KZ32" s="120"/>
      <c r="LA32" s="120"/>
      <c r="LB32" s="120"/>
      <c r="LC32" s="120"/>
      <c r="LD32" s="120"/>
      <c r="LE32" s="120"/>
      <c r="LF32" s="120"/>
      <c r="LG32" s="120"/>
      <c r="LH32" s="120"/>
      <c r="LI32" s="120"/>
      <c r="LJ32" s="120"/>
      <c r="LK32" s="120"/>
      <c r="LL32" s="120"/>
      <c r="LM32" s="120"/>
      <c r="LN32" s="120"/>
      <c r="LO32" s="120"/>
      <c r="LP32" s="120"/>
      <c r="LQ32" s="120"/>
      <c r="LR32" s="120"/>
      <c r="LS32" s="120"/>
      <c r="LT32" s="120"/>
      <c r="LU32" s="120"/>
      <c r="LV32" s="120"/>
      <c r="LW32" s="120"/>
      <c r="LX32" s="120"/>
      <c r="LY32" s="120"/>
      <c r="LZ32" s="120"/>
      <c r="MA32" s="120"/>
      <c r="MB32" s="120"/>
      <c r="MC32" s="120"/>
      <c r="MD32" s="120"/>
      <c r="ME32" s="120"/>
      <c r="MF32" s="120"/>
      <c r="MG32" s="120"/>
      <c r="MH32" s="120"/>
      <c r="MI32" s="120"/>
      <c r="MJ32" s="120"/>
      <c r="MK32" s="120"/>
      <c r="ML32" s="120"/>
      <c r="MM32" s="120"/>
      <c r="MN32" s="120"/>
      <c r="MO32" s="120"/>
      <c r="MP32" s="120"/>
      <c r="MQ32" s="120"/>
      <c r="MR32" s="120"/>
      <c r="MS32" s="120"/>
      <c r="MT32" s="120"/>
      <c r="MU32" s="120"/>
      <c r="MV32" s="120"/>
      <c r="MW32" s="120"/>
      <c r="MX32" s="120"/>
      <c r="MY32" s="120"/>
      <c r="MZ32" s="120"/>
      <c r="NA32" s="120"/>
      <c r="NB32" s="120"/>
      <c r="NC32" s="120"/>
      <c r="ND32" s="120"/>
      <c r="NE32" s="120"/>
      <c r="NF32" s="120"/>
      <c r="NG32" s="120"/>
      <c r="NH32" s="120"/>
      <c r="NI32" s="120"/>
      <c r="NJ32" s="120"/>
      <c r="NK32" s="120"/>
      <c r="NL32" s="120"/>
      <c r="NM32" s="120"/>
      <c r="NN32" s="120"/>
      <c r="NO32" s="120"/>
      <c r="NP32" s="120"/>
      <c r="NQ32" s="120"/>
      <c r="NR32" s="120"/>
      <c r="NS32" s="120"/>
      <c r="NT32" s="120"/>
      <c r="NU32" s="120"/>
      <c r="NV32" s="120"/>
      <c r="NW32" s="120"/>
      <c r="NX32" s="120"/>
      <c r="NY32" s="120"/>
      <c r="NZ32" s="120"/>
      <c r="OA32" s="120"/>
      <c r="OB32" s="120"/>
      <c r="OC32" s="120"/>
      <c r="OD32" s="120"/>
      <c r="OE32" s="120"/>
      <c r="OF32" s="120"/>
      <c r="OG32" s="120"/>
      <c r="OH32" s="120"/>
      <c r="OI32" s="120"/>
      <c r="OJ32" s="120"/>
      <c r="OK32" s="120"/>
      <c r="OL32" s="120"/>
      <c r="OM32" s="120"/>
      <c r="ON32" s="120"/>
      <c r="OO32" s="120"/>
      <c r="OP32" s="120"/>
      <c r="OQ32" s="120"/>
      <c r="OR32" s="120"/>
      <c r="OS32" s="120"/>
      <c r="OT32" s="120"/>
      <c r="OU32" s="120"/>
      <c r="OV32" s="120"/>
      <c r="OW32" s="120"/>
      <c r="OX32" s="120"/>
      <c r="OY32" s="120"/>
      <c r="OZ32" s="120"/>
      <c r="PA32" s="120"/>
      <c r="PB32" s="120"/>
      <c r="PC32" s="120"/>
      <c r="PD32" s="120"/>
      <c r="PE32" s="120"/>
      <c r="PF32" s="120"/>
      <c r="PG32" s="120"/>
      <c r="PH32" s="120"/>
      <c r="PI32" s="120"/>
      <c r="PJ32" s="120"/>
      <c r="PK32" s="120"/>
      <c r="PL32" s="120"/>
      <c r="PM32" s="120"/>
      <c r="PN32" s="120"/>
      <c r="PO32" s="120"/>
      <c r="PP32" s="120"/>
      <c r="PQ32" s="120"/>
      <c r="PR32" s="120"/>
      <c r="PS32" s="120"/>
      <c r="PT32" s="120"/>
      <c r="PU32" s="120"/>
      <c r="PV32" s="120"/>
      <c r="PW32" s="120"/>
      <c r="PX32" s="120"/>
      <c r="PY32" s="120"/>
      <c r="PZ32" s="120"/>
      <c r="QA32" s="120"/>
      <c r="QB32" s="120"/>
      <c r="QC32" s="120"/>
      <c r="QD32" s="120"/>
      <c r="QE32" s="120"/>
      <c r="QF32" s="120"/>
      <c r="QG32" s="120"/>
      <c r="QH32" s="120"/>
      <c r="QI32" s="120"/>
      <c r="QJ32" s="120"/>
      <c r="QK32" s="120"/>
      <c r="QL32" s="120"/>
      <c r="QM32" s="120"/>
      <c r="QN32" s="120"/>
      <c r="QO32" s="120"/>
      <c r="QP32" s="120"/>
      <c r="QQ32" s="120"/>
      <c r="QR32" s="120"/>
      <c r="QS32" s="120"/>
      <c r="QT32" s="120"/>
      <c r="QU32" s="120"/>
      <c r="QV32" s="120"/>
      <c r="QW32" s="120"/>
      <c r="QX32" s="120"/>
      <c r="QY32" s="120"/>
      <c r="QZ32" s="120"/>
      <c r="RA32" s="120"/>
      <c r="RB32" s="120"/>
      <c r="RC32" s="120"/>
      <c r="RD32" s="120"/>
      <c r="RE32" s="120"/>
      <c r="RF32" s="120"/>
      <c r="RG32" s="120"/>
      <c r="RH32" s="120"/>
      <c r="RI32" s="120"/>
      <c r="RJ32" s="120"/>
      <c r="RK32" s="120"/>
      <c r="RL32" s="120"/>
      <c r="RM32" s="120"/>
      <c r="RN32" s="120"/>
      <c r="RO32" s="120"/>
      <c r="RP32" s="120"/>
      <c r="RQ32" s="120"/>
      <c r="RR32" s="120"/>
      <c r="RS32" s="120"/>
      <c r="RT32" s="120"/>
      <c r="RU32" s="120"/>
      <c r="RV32" s="120"/>
      <c r="RW32" s="120"/>
      <c r="RX32" s="120"/>
      <c r="RY32" s="120"/>
      <c r="RZ32" s="120"/>
      <c r="SA32" s="120"/>
      <c r="SB32" s="120"/>
      <c r="SC32" s="120"/>
      <c r="SD32" s="120"/>
      <c r="SE32" s="120"/>
      <c r="SF32" s="120"/>
      <c r="SG32" s="120"/>
      <c r="SH32" s="120"/>
      <c r="SI32" s="120"/>
      <c r="SJ32" s="120"/>
      <c r="SK32" s="120"/>
      <c r="SL32" s="120"/>
      <c r="SM32" s="120"/>
      <c r="SN32" s="120"/>
      <c r="SO32" s="120"/>
      <c r="SP32" s="120"/>
      <c r="SQ32" s="120"/>
      <c r="SR32" s="120"/>
      <c r="SS32" s="120"/>
      <c r="ST32" s="120"/>
      <c r="SU32" s="120"/>
      <c r="SV32" s="120"/>
      <c r="SW32" s="120"/>
      <c r="SX32" s="120"/>
      <c r="SY32" s="120"/>
      <c r="SZ32" s="120"/>
      <c r="TA32" s="120"/>
      <c r="TB32" s="120"/>
      <c r="TC32" s="120"/>
      <c r="TD32" s="120"/>
      <c r="TE32" s="120"/>
      <c r="TF32" s="120"/>
      <c r="TG32" s="120"/>
      <c r="TH32" s="120"/>
      <c r="TI32" s="120"/>
      <c r="TJ32" s="120"/>
      <c r="TK32" s="120"/>
      <c r="TL32" s="120"/>
      <c r="TM32" s="120"/>
      <c r="TN32" s="120"/>
      <c r="TO32" s="120"/>
      <c r="TP32" s="120"/>
      <c r="TQ32" s="120"/>
      <c r="TR32" s="120"/>
      <c r="TS32" s="120"/>
      <c r="TT32" s="120"/>
      <c r="TU32" s="120"/>
      <c r="TV32" s="120"/>
      <c r="TW32" s="120"/>
      <c r="TX32" s="120"/>
      <c r="TY32" s="120"/>
      <c r="TZ32" s="120"/>
      <c r="UA32" s="120"/>
      <c r="UB32" s="120"/>
      <c r="UC32" s="120"/>
      <c r="UD32" s="120"/>
      <c r="UE32" s="120"/>
      <c r="UF32" s="120"/>
      <c r="UG32" s="120"/>
      <c r="UH32" s="120"/>
      <c r="UI32" s="120"/>
      <c r="UJ32" s="120"/>
      <c r="UK32" s="120"/>
      <c r="UL32" s="120"/>
      <c r="UM32" s="120"/>
      <c r="UN32" s="120"/>
      <c r="UO32" s="120"/>
      <c r="UP32" s="120"/>
      <c r="UQ32" s="120"/>
      <c r="UR32" s="120"/>
      <c r="US32" s="120"/>
      <c r="UT32" s="120"/>
      <c r="UU32" s="120"/>
      <c r="UV32" s="120"/>
      <c r="UW32" s="120"/>
      <c r="UX32" s="120"/>
      <c r="UY32" s="120"/>
      <c r="UZ32" s="120"/>
      <c r="VA32" s="120"/>
      <c r="VB32" s="120"/>
      <c r="VC32" s="120"/>
      <c r="VD32" s="120"/>
      <c r="VE32" s="120"/>
      <c r="VF32" s="120"/>
      <c r="VG32" s="120"/>
      <c r="VH32" s="120"/>
      <c r="VI32" s="120"/>
      <c r="VJ32" s="120"/>
      <c r="VK32" s="120"/>
      <c r="VL32" s="120"/>
      <c r="VM32" s="120"/>
      <c r="VN32" s="120"/>
      <c r="VO32" s="120"/>
      <c r="VP32" s="120"/>
      <c r="VQ32" s="120"/>
      <c r="VR32" s="120"/>
      <c r="VS32" s="120"/>
      <c r="VT32" s="120"/>
      <c r="VU32" s="120"/>
      <c r="VV32" s="120"/>
      <c r="VW32" s="120"/>
      <c r="VX32" s="120"/>
      <c r="VY32" s="120"/>
      <c r="VZ32" s="120"/>
      <c r="WA32" s="120"/>
      <c r="WB32" s="120"/>
      <c r="WC32" s="120"/>
      <c r="WD32" s="120"/>
      <c r="WE32" s="120"/>
      <c r="WF32" s="120"/>
      <c r="WG32" s="120"/>
      <c r="WH32" s="120"/>
      <c r="WI32" s="120"/>
      <c r="WJ32" s="120"/>
      <c r="WK32" s="120"/>
      <c r="WL32" s="120"/>
      <c r="WM32" s="120"/>
      <c r="WN32" s="120"/>
      <c r="WO32" s="120"/>
      <c r="WP32" s="120"/>
      <c r="WQ32" s="120"/>
      <c r="WR32" s="120"/>
      <c r="WS32" s="120"/>
      <c r="WT32" s="120"/>
      <c r="WU32" s="120"/>
      <c r="WV32" s="120"/>
      <c r="WW32" s="120"/>
      <c r="WX32" s="120"/>
      <c r="WY32" s="120"/>
      <c r="WZ32" s="120"/>
      <c r="XA32" s="120"/>
      <c r="XB32" s="120"/>
      <c r="XC32" s="120"/>
      <c r="XD32" s="120"/>
      <c r="XE32" s="120"/>
      <c r="XF32" s="120"/>
      <c r="XG32" s="120"/>
      <c r="XH32" s="120"/>
      <c r="XI32" s="120"/>
      <c r="XJ32" s="120"/>
      <c r="XK32" s="120"/>
      <c r="XL32" s="120"/>
      <c r="XM32" s="120"/>
      <c r="XN32" s="120"/>
      <c r="XO32" s="120"/>
      <c r="XP32" s="120"/>
      <c r="XQ32" s="120"/>
      <c r="XR32" s="120"/>
      <c r="XS32" s="120"/>
      <c r="XT32" s="120"/>
      <c r="XU32" s="120"/>
      <c r="XV32" s="120"/>
      <c r="XW32" s="120"/>
      <c r="XX32" s="120"/>
      <c r="XY32" s="120"/>
      <c r="XZ32" s="120"/>
      <c r="YA32" s="120"/>
      <c r="YB32" s="120"/>
      <c r="YC32" s="120"/>
      <c r="YD32" s="120"/>
      <c r="YE32" s="120"/>
      <c r="YF32" s="120"/>
      <c r="YG32" s="120"/>
      <c r="YH32" s="120"/>
      <c r="YI32" s="120"/>
      <c r="YJ32" s="120"/>
      <c r="YK32" s="120"/>
      <c r="YL32" s="120"/>
      <c r="YM32" s="120"/>
      <c r="YN32" s="120"/>
      <c r="YO32" s="120"/>
      <c r="YP32" s="120"/>
      <c r="YQ32" s="120"/>
      <c r="YR32" s="120"/>
      <c r="YS32" s="120"/>
      <c r="YT32" s="120"/>
      <c r="YU32" s="120"/>
      <c r="YV32" s="120"/>
      <c r="YW32" s="120"/>
      <c r="YX32" s="120"/>
      <c r="YY32" s="120"/>
      <c r="YZ32" s="120"/>
      <c r="ZA32" s="120"/>
      <c r="ZB32" s="120"/>
      <c r="ZC32" s="120"/>
      <c r="ZD32" s="120"/>
      <c r="ZE32" s="120"/>
      <c r="ZF32" s="120"/>
      <c r="ZG32" s="120"/>
      <c r="ZH32" s="120"/>
      <c r="ZI32" s="120"/>
      <c r="ZJ32" s="120"/>
      <c r="ZK32" s="120"/>
      <c r="ZL32" s="120"/>
      <c r="ZM32" s="120"/>
      <c r="ZN32" s="120"/>
      <c r="ZO32" s="120"/>
      <c r="ZP32" s="120"/>
      <c r="ZQ32" s="120"/>
      <c r="ZR32" s="120"/>
      <c r="ZS32" s="120"/>
      <c r="ZT32" s="120"/>
      <c r="ZU32" s="120"/>
      <c r="ZV32" s="120"/>
      <c r="ZW32" s="120"/>
      <c r="ZX32" s="120"/>
      <c r="ZY32" s="120"/>
      <c r="ZZ32" s="120"/>
      <c r="AAA32" s="120"/>
      <c r="AAB32" s="120"/>
      <c r="AAC32" s="120"/>
      <c r="AAD32" s="120"/>
      <c r="AAE32" s="120"/>
      <c r="AAF32" s="120"/>
      <c r="AAG32" s="120"/>
      <c r="AAH32" s="120"/>
      <c r="AAI32" s="120"/>
      <c r="AAJ32" s="120"/>
      <c r="AAK32" s="120"/>
      <c r="AAL32" s="120"/>
      <c r="AAM32" s="120"/>
      <c r="AAN32" s="120"/>
      <c r="AAO32" s="120"/>
      <c r="AAP32" s="120"/>
      <c r="AAQ32" s="120"/>
      <c r="AAR32" s="120"/>
      <c r="AAS32" s="120"/>
      <c r="AAT32" s="120"/>
      <c r="AAU32" s="120"/>
      <c r="AAV32" s="120"/>
      <c r="AAW32" s="120"/>
      <c r="AAX32" s="120"/>
      <c r="AAY32" s="120"/>
      <c r="AAZ32" s="120"/>
      <c r="ABA32" s="120"/>
      <c r="ABB32" s="120"/>
      <c r="ABC32" s="120"/>
      <c r="ABD32" s="120"/>
      <c r="ABE32" s="120"/>
      <c r="ABF32" s="120"/>
      <c r="ABG32" s="120"/>
      <c r="ABH32" s="120"/>
      <c r="ABI32" s="120"/>
      <c r="ABJ32" s="120"/>
      <c r="ABK32" s="120"/>
      <c r="ABL32" s="120"/>
      <c r="ABM32" s="120"/>
      <c r="ABN32" s="120"/>
      <c r="ABO32" s="120"/>
      <c r="ABP32" s="120"/>
      <c r="ABQ32" s="120"/>
      <c r="ABR32" s="120"/>
      <c r="ABS32" s="120"/>
      <c r="ABT32" s="120"/>
      <c r="ABU32" s="120"/>
      <c r="ABV32" s="120"/>
      <c r="ABW32" s="120"/>
      <c r="ABX32" s="120"/>
      <c r="ABY32" s="120"/>
      <c r="ABZ32" s="120"/>
      <c r="ACA32" s="120"/>
      <c r="ACB32" s="120"/>
      <c r="ACC32" s="120"/>
      <c r="ACD32" s="120"/>
      <c r="ACE32" s="120"/>
      <c r="ACF32" s="120"/>
      <c r="ACG32" s="120"/>
      <c r="ACH32" s="120"/>
      <c r="ACI32" s="120"/>
      <c r="ACJ32" s="120"/>
      <c r="ACK32" s="120"/>
      <c r="ACL32" s="120"/>
      <c r="ACM32" s="120"/>
      <c r="ACN32" s="120"/>
      <c r="ACO32" s="120"/>
      <c r="ACP32" s="120"/>
      <c r="ACQ32" s="120"/>
      <c r="ACR32" s="120"/>
      <c r="ACS32" s="120"/>
      <c r="ACT32" s="120"/>
      <c r="ACU32" s="120"/>
      <c r="ACV32" s="120"/>
      <c r="ACW32" s="120"/>
      <c r="ACX32" s="120"/>
      <c r="ACY32" s="120"/>
      <c r="ACZ32" s="120"/>
      <c r="ADA32" s="120"/>
      <c r="ADB32" s="120"/>
      <c r="ADC32" s="120"/>
      <c r="ADD32" s="120"/>
      <c r="ADE32" s="120"/>
      <c r="ADF32" s="120"/>
      <c r="ADG32" s="120"/>
      <c r="ADH32" s="120"/>
      <c r="ADI32" s="120"/>
      <c r="ADJ32" s="120"/>
      <c r="ADK32" s="120"/>
      <c r="ADL32" s="120"/>
      <c r="ADM32" s="120"/>
      <c r="ADN32" s="120"/>
      <c r="ADO32" s="120"/>
      <c r="ADP32" s="120"/>
      <c r="ADQ32" s="120"/>
      <c r="ADR32" s="120"/>
      <c r="ADS32" s="120"/>
      <c r="ADT32" s="120"/>
      <c r="ADU32" s="120"/>
      <c r="ADV32" s="120"/>
      <c r="ADW32" s="120"/>
      <c r="ADX32" s="120"/>
      <c r="ADY32" s="120"/>
      <c r="ADZ32" s="120"/>
      <c r="AEA32" s="120"/>
      <c r="AEB32" s="120"/>
      <c r="AEC32" s="120"/>
      <c r="AED32" s="120"/>
      <c r="AEE32" s="120"/>
      <c r="AEF32" s="120"/>
      <c r="AEG32" s="120"/>
      <c r="AEH32" s="120"/>
      <c r="AEI32" s="120"/>
      <c r="AEJ32" s="120"/>
      <c r="AEK32" s="120"/>
      <c r="AEL32" s="120"/>
      <c r="AEM32" s="120"/>
      <c r="AEN32" s="120"/>
      <c r="AEO32" s="120"/>
      <c r="AEP32" s="120"/>
      <c r="AEQ32" s="120"/>
      <c r="AER32" s="120"/>
      <c r="AES32" s="120"/>
      <c r="AET32" s="120"/>
      <c r="AEU32" s="120"/>
      <c r="AEV32" s="120"/>
      <c r="AEW32" s="120"/>
      <c r="AEX32" s="120"/>
      <c r="AEY32" s="120"/>
      <c r="AEZ32" s="120"/>
      <c r="AFA32" s="120"/>
      <c r="AFB32" s="120"/>
      <c r="AFC32" s="120"/>
      <c r="AFD32" s="120"/>
      <c r="AFE32" s="120"/>
      <c r="AFF32" s="120"/>
      <c r="AFG32" s="120"/>
      <c r="AFH32" s="120"/>
      <c r="AFI32" s="120"/>
      <c r="AFJ32" s="120"/>
      <c r="AFK32" s="120"/>
      <c r="AFL32" s="120"/>
      <c r="AFM32" s="120"/>
      <c r="AFN32" s="120"/>
      <c r="AFO32" s="120"/>
      <c r="AFP32" s="120"/>
      <c r="AFQ32" s="120"/>
      <c r="AFR32" s="120"/>
      <c r="AFS32" s="120"/>
      <c r="AFT32" s="120"/>
      <c r="AFU32" s="120"/>
      <c r="AFV32" s="120"/>
      <c r="AFW32" s="120"/>
      <c r="AFX32" s="120"/>
      <c r="AFY32" s="120"/>
      <c r="AFZ32" s="120"/>
      <c r="AGA32" s="120"/>
      <c r="AGB32" s="120"/>
      <c r="AGC32" s="120"/>
      <c r="AGD32" s="120"/>
      <c r="AGE32" s="120"/>
      <c r="AGF32" s="120"/>
      <c r="AGG32" s="120"/>
      <c r="AGH32" s="120"/>
      <c r="AGI32" s="120"/>
      <c r="AGJ32" s="120"/>
      <c r="AGK32" s="120"/>
      <c r="AGL32" s="120"/>
      <c r="AGM32" s="120"/>
      <c r="AGN32" s="120"/>
      <c r="AGO32" s="120"/>
      <c r="AGP32" s="120"/>
      <c r="AGQ32" s="120"/>
      <c r="AGR32" s="120"/>
      <c r="AGS32" s="120"/>
      <c r="AGT32" s="120"/>
      <c r="AGU32" s="120"/>
      <c r="AGV32" s="120"/>
      <c r="AGW32" s="120"/>
      <c r="AGX32" s="120"/>
      <c r="AGY32" s="120"/>
      <c r="AGZ32" s="120"/>
      <c r="AHA32" s="120"/>
      <c r="AHB32" s="120"/>
      <c r="AHC32" s="120"/>
      <c r="AHD32" s="120"/>
      <c r="AHE32" s="120"/>
      <c r="AHF32" s="120"/>
      <c r="AHG32" s="120"/>
      <c r="AHH32" s="120"/>
      <c r="AHI32" s="120"/>
      <c r="AHJ32" s="120"/>
      <c r="AHK32" s="120"/>
      <c r="AHL32" s="120"/>
      <c r="AHM32" s="120"/>
      <c r="AHN32" s="120"/>
      <c r="AHO32" s="120"/>
      <c r="AHP32" s="120"/>
      <c r="AHQ32" s="120"/>
      <c r="AHR32" s="120"/>
      <c r="AHS32" s="120"/>
      <c r="AHT32" s="120"/>
      <c r="AHU32" s="120"/>
      <c r="AHV32" s="120"/>
      <c r="AHW32" s="120"/>
      <c r="AHX32" s="120"/>
      <c r="AHY32" s="120"/>
      <c r="AHZ32" s="120"/>
      <c r="AIA32" s="120"/>
      <c r="AIB32" s="120"/>
      <c r="AIC32" s="120"/>
      <c r="AID32" s="120"/>
      <c r="AIE32" s="120"/>
      <c r="AIF32" s="120"/>
      <c r="AIG32" s="120"/>
      <c r="AIH32" s="120"/>
      <c r="AII32" s="120"/>
      <c r="AIJ32" s="120"/>
      <c r="AIK32" s="120"/>
      <c r="AIL32" s="120"/>
      <c r="AIM32" s="120"/>
      <c r="AIN32" s="120"/>
      <c r="AIO32" s="120"/>
      <c r="AIP32" s="120"/>
      <c r="AIQ32" s="120"/>
      <c r="AIR32" s="120"/>
      <c r="AIS32" s="120"/>
      <c r="AIT32" s="120"/>
      <c r="AIU32" s="120"/>
      <c r="AIV32" s="120"/>
      <c r="AIW32" s="120"/>
      <c r="AIX32" s="120"/>
      <c r="AIY32" s="120"/>
      <c r="AIZ32" s="120"/>
    </row>
    <row r="33">
      <c r="A33" s="112" t="s">
        <v>47</v>
      </c>
      <c r="B33" s="112" t="s">
        <v>53</v>
      </c>
      <c r="C33" s="112"/>
      <c r="D33" s="113">
        <f t="shared" si="1"/>
        <v>470.8999833</v>
      </c>
      <c r="E33" s="112">
        <v>129.623933333333</v>
      </c>
      <c r="F33" s="113"/>
      <c r="G33" s="113"/>
      <c r="H33" s="113"/>
      <c r="I33" s="113"/>
      <c r="J33" s="113"/>
      <c r="K33" s="113"/>
      <c r="L33" s="112">
        <v>1.25495</v>
      </c>
      <c r="M33" s="112">
        <v>34.87525</v>
      </c>
      <c r="N33" s="113"/>
      <c r="O33" s="112">
        <v>0.260416666666667</v>
      </c>
      <c r="P33" s="112">
        <v>84.4588666666666</v>
      </c>
      <c r="Q33" s="113"/>
      <c r="R33" s="113"/>
      <c r="S33" s="113"/>
      <c r="T33" s="113"/>
      <c r="U33" s="113"/>
      <c r="V33" s="112">
        <v>0.406533333333333</v>
      </c>
      <c r="W33" s="112">
        <v>95.4904000000001</v>
      </c>
      <c r="X33" s="113"/>
      <c r="Y33" s="113"/>
      <c r="Z33" s="113"/>
      <c r="AA33" s="113"/>
      <c r="AB33" s="113"/>
      <c r="AC33" s="112">
        <v>2.35528333333333</v>
      </c>
      <c r="AD33" s="112">
        <v>8.10251666666666</v>
      </c>
      <c r="AE33" s="113"/>
      <c r="AF33" s="113"/>
      <c r="AG33" s="113"/>
      <c r="AH33" s="113"/>
      <c r="AI33" s="113"/>
      <c r="AJ33" s="112">
        <v>0.758566666666667</v>
      </c>
      <c r="AK33" s="112">
        <v>42.64165</v>
      </c>
      <c r="AL33" s="113"/>
      <c r="AM33" s="113"/>
      <c r="AN33" s="113"/>
      <c r="AO33" s="112">
        <v>1.71461666666667</v>
      </c>
      <c r="AP33" s="112">
        <v>17.1340166666667</v>
      </c>
      <c r="AQ33" s="113"/>
      <c r="AR33" s="113"/>
      <c r="AS33" s="112">
        <v>1.48835</v>
      </c>
      <c r="AT33" s="112">
        <v>48.4634166666666</v>
      </c>
      <c r="AU33" s="113"/>
      <c r="AV33" s="112">
        <v>1.33305</v>
      </c>
      <c r="AW33" s="112">
        <v>0.538166666666667</v>
      </c>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113"/>
      <c r="CB33" s="113"/>
      <c r="CC33" s="113"/>
      <c r="CD33" s="113"/>
      <c r="CE33" s="113"/>
      <c r="CF33" s="113"/>
      <c r="CG33" s="113"/>
      <c r="CH33" s="113"/>
      <c r="CI33" s="113"/>
      <c r="CJ33" s="113"/>
      <c r="CK33" s="113"/>
      <c r="CL33" s="113"/>
      <c r="CM33" s="113"/>
      <c r="CN33" s="113"/>
      <c r="CO33" s="113"/>
      <c r="CP33" s="113"/>
      <c r="CQ33" s="113"/>
      <c r="CR33" s="113"/>
      <c r="CS33" s="113"/>
      <c r="CT33" s="113"/>
      <c r="CU33" s="113"/>
      <c r="CV33" s="113"/>
      <c r="CW33" s="113"/>
      <c r="CX33" s="113"/>
      <c r="CY33" s="113"/>
      <c r="CZ33" s="113"/>
      <c r="DA33" s="113"/>
      <c r="DB33" s="113"/>
      <c r="DC33" s="113"/>
      <c r="DD33" s="113"/>
      <c r="DE33" s="113"/>
      <c r="DF33" s="113"/>
      <c r="DG33" s="113"/>
      <c r="DH33" s="113"/>
      <c r="DI33" s="113"/>
      <c r="DJ33" s="113"/>
      <c r="DK33" s="113"/>
      <c r="DL33" s="113"/>
      <c r="DM33" s="113"/>
      <c r="DN33" s="113"/>
      <c r="DO33" s="113"/>
      <c r="DP33" s="113"/>
      <c r="DQ33" s="113"/>
      <c r="DR33" s="113"/>
      <c r="DS33" s="113"/>
      <c r="DT33" s="113"/>
      <c r="DU33" s="113"/>
      <c r="DV33" s="113"/>
      <c r="DW33" s="113"/>
      <c r="DX33" s="113"/>
      <c r="DY33" s="113"/>
      <c r="DZ33" s="113"/>
      <c r="EA33" s="113"/>
      <c r="EB33" s="113"/>
      <c r="EC33" s="113"/>
      <c r="ED33" s="113"/>
      <c r="EE33" s="113"/>
      <c r="EF33" s="113"/>
      <c r="EG33" s="113"/>
      <c r="EH33" s="113"/>
      <c r="EI33" s="113"/>
      <c r="EJ33" s="113"/>
      <c r="EK33" s="113"/>
      <c r="EL33" s="113"/>
      <c r="EM33" s="113"/>
      <c r="EN33" s="113"/>
      <c r="EO33" s="113"/>
      <c r="EP33" s="113"/>
      <c r="EQ33" s="113"/>
      <c r="ER33" s="113"/>
      <c r="ES33" s="113"/>
      <c r="ET33" s="113"/>
      <c r="EU33" s="113"/>
      <c r="EV33" s="113"/>
      <c r="EW33" s="113"/>
      <c r="EX33" s="113"/>
      <c r="EY33" s="113"/>
      <c r="EZ33" s="113"/>
      <c r="FA33" s="113"/>
      <c r="FB33" s="113"/>
      <c r="FC33" s="113"/>
      <c r="FD33" s="113"/>
      <c r="FE33" s="113"/>
      <c r="FF33" s="113"/>
      <c r="FG33" s="113"/>
      <c r="FH33" s="113"/>
      <c r="FI33" s="113"/>
      <c r="FJ33" s="113"/>
      <c r="FK33" s="113"/>
      <c r="FL33" s="113"/>
      <c r="FM33" s="113"/>
      <c r="FN33" s="113"/>
      <c r="FO33" s="113"/>
      <c r="FP33" s="113"/>
      <c r="FQ33" s="113"/>
      <c r="FR33" s="113"/>
      <c r="FS33" s="113"/>
      <c r="FT33" s="113"/>
      <c r="FU33" s="113"/>
      <c r="FV33" s="113"/>
      <c r="FW33" s="113"/>
      <c r="FX33" s="113"/>
      <c r="FY33" s="113"/>
      <c r="FZ33" s="113"/>
      <c r="GA33" s="113"/>
      <c r="GB33" s="113"/>
      <c r="GC33" s="113"/>
      <c r="GD33" s="113"/>
      <c r="GE33" s="113"/>
      <c r="GF33" s="113"/>
      <c r="GG33" s="113"/>
      <c r="GH33" s="113"/>
      <c r="GI33" s="113"/>
      <c r="GJ33" s="113"/>
      <c r="GK33" s="113"/>
      <c r="GL33" s="113"/>
      <c r="GM33" s="113"/>
      <c r="GN33" s="113"/>
      <c r="GO33" s="113"/>
      <c r="GP33" s="113"/>
      <c r="GQ33" s="113"/>
      <c r="GR33" s="113"/>
      <c r="GS33" s="113"/>
      <c r="GT33" s="113"/>
      <c r="GU33" s="113"/>
      <c r="GV33" s="113"/>
      <c r="GW33" s="113"/>
      <c r="GX33" s="113"/>
      <c r="GY33" s="113"/>
      <c r="GZ33" s="113"/>
      <c r="HA33" s="113"/>
      <c r="HB33" s="113"/>
      <c r="HC33" s="113"/>
      <c r="HD33" s="113"/>
      <c r="HE33" s="113"/>
      <c r="HF33" s="113"/>
      <c r="HG33" s="113"/>
      <c r="HH33" s="113"/>
      <c r="HI33" s="113"/>
      <c r="HJ33" s="113"/>
      <c r="HK33" s="113"/>
      <c r="HL33" s="113"/>
      <c r="HM33" s="113"/>
      <c r="HN33" s="113"/>
      <c r="HO33" s="113"/>
      <c r="HP33" s="113"/>
      <c r="HQ33" s="113"/>
      <c r="HR33" s="113"/>
      <c r="HS33" s="113"/>
      <c r="HT33" s="113"/>
      <c r="HU33" s="113"/>
      <c r="HV33" s="113"/>
      <c r="HW33" s="113"/>
      <c r="HX33" s="113"/>
      <c r="HY33" s="113"/>
      <c r="HZ33" s="113"/>
      <c r="IA33" s="113"/>
      <c r="IB33" s="113"/>
      <c r="IC33" s="113"/>
      <c r="ID33" s="113"/>
      <c r="IE33" s="113"/>
      <c r="IF33" s="113"/>
      <c r="IG33" s="113"/>
      <c r="IH33" s="113"/>
      <c r="II33" s="113"/>
      <c r="IJ33" s="113"/>
      <c r="IK33" s="113"/>
      <c r="IL33" s="113"/>
      <c r="IM33" s="113"/>
      <c r="IN33" s="113"/>
      <c r="IO33" s="113"/>
      <c r="IP33" s="113"/>
      <c r="IQ33" s="113"/>
      <c r="IR33" s="113"/>
      <c r="IS33" s="113"/>
      <c r="IT33" s="113"/>
      <c r="IU33" s="113"/>
      <c r="IV33" s="113"/>
      <c r="IW33" s="113"/>
      <c r="IX33" s="113"/>
      <c r="IY33" s="113"/>
      <c r="IZ33" s="113"/>
      <c r="JA33" s="113"/>
      <c r="JB33" s="113"/>
      <c r="JC33" s="113"/>
      <c r="JD33" s="113"/>
      <c r="JE33" s="113"/>
      <c r="JF33" s="113"/>
      <c r="JG33" s="113"/>
      <c r="JH33" s="113"/>
      <c r="JI33" s="113"/>
      <c r="JJ33" s="113"/>
      <c r="JK33" s="113"/>
      <c r="JL33" s="113"/>
      <c r="JM33" s="113"/>
      <c r="JN33" s="113"/>
      <c r="JO33" s="113"/>
      <c r="JP33" s="113"/>
      <c r="JQ33" s="113"/>
      <c r="JR33" s="113"/>
      <c r="JS33" s="113"/>
      <c r="JT33" s="113"/>
      <c r="JU33" s="113"/>
      <c r="JV33" s="113"/>
      <c r="JW33" s="113"/>
      <c r="JX33" s="113"/>
      <c r="JY33" s="113"/>
      <c r="JZ33" s="113"/>
      <c r="KA33" s="113"/>
      <c r="KB33" s="113"/>
      <c r="KC33" s="113"/>
      <c r="KD33" s="113"/>
      <c r="KE33" s="113"/>
      <c r="KF33" s="113"/>
      <c r="KG33" s="113"/>
      <c r="KH33" s="113"/>
      <c r="KI33" s="113"/>
      <c r="KJ33" s="113"/>
      <c r="KK33" s="113"/>
      <c r="KL33" s="113"/>
      <c r="KM33" s="113"/>
      <c r="KN33" s="113"/>
      <c r="KO33" s="113"/>
      <c r="KP33" s="113"/>
      <c r="KQ33" s="113"/>
      <c r="KR33" s="113"/>
      <c r="KS33" s="113"/>
      <c r="KT33" s="113"/>
      <c r="KU33" s="113"/>
      <c r="KV33" s="113"/>
      <c r="KW33" s="113"/>
      <c r="KX33" s="113"/>
      <c r="KY33" s="113"/>
      <c r="KZ33" s="113"/>
      <c r="LA33" s="113"/>
      <c r="LB33" s="113"/>
      <c r="LC33" s="113"/>
      <c r="LD33" s="113"/>
      <c r="LE33" s="113"/>
      <c r="LF33" s="113"/>
      <c r="LG33" s="113"/>
      <c r="LH33" s="113"/>
      <c r="LI33" s="113"/>
      <c r="LJ33" s="113"/>
      <c r="LK33" s="113"/>
      <c r="LL33" s="113"/>
      <c r="LM33" s="113"/>
      <c r="LN33" s="113"/>
      <c r="LO33" s="113"/>
      <c r="LP33" s="113"/>
      <c r="LQ33" s="113"/>
      <c r="LR33" s="113"/>
      <c r="LS33" s="113"/>
      <c r="LT33" s="113"/>
      <c r="LU33" s="113"/>
      <c r="LV33" s="113"/>
      <c r="LW33" s="113"/>
      <c r="LX33" s="113"/>
      <c r="LY33" s="113"/>
      <c r="LZ33" s="113"/>
      <c r="MA33" s="113"/>
      <c r="MB33" s="113"/>
      <c r="MC33" s="113"/>
      <c r="MD33" s="113"/>
      <c r="ME33" s="113"/>
      <c r="MF33" s="113"/>
      <c r="MG33" s="113"/>
      <c r="MH33" s="113"/>
      <c r="MI33" s="113"/>
      <c r="MJ33" s="113"/>
      <c r="MK33" s="113"/>
      <c r="ML33" s="113"/>
      <c r="MM33" s="113"/>
      <c r="MN33" s="113"/>
      <c r="MO33" s="113"/>
      <c r="MP33" s="113"/>
      <c r="MQ33" s="113"/>
      <c r="MR33" s="113"/>
      <c r="MS33" s="113"/>
      <c r="MT33" s="113"/>
      <c r="MU33" s="113"/>
      <c r="MV33" s="113"/>
      <c r="MW33" s="113"/>
      <c r="MX33" s="113"/>
      <c r="MY33" s="113"/>
      <c r="MZ33" s="113"/>
      <c r="NA33" s="113"/>
      <c r="NB33" s="113"/>
      <c r="NC33" s="113"/>
      <c r="ND33" s="113"/>
      <c r="NE33" s="113"/>
      <c r="NF33" s="113"/>
      <c r="NG33" s="113"/>
      <c r="NH33" s="113"/>
      <c r="NI33" s="113"/>
      <c r="NJ33" s="113"/>
      <c r="NK33" s="113"/>
      <c r="NL33" s="113"/>
      <c r="NM33" s="113"/>
      <c r="NN33" s="113"/>
      <c r="NO33" s="113"/>
      <c r="NP33" s="113"/>
      <c r="NQ33" s="113"/>
      <c r="NR33" s="113"/>
      <c r="NS33" s="113"/>
      <c r="NT33" s="113"/>
      <c r="NU33" s="113"/>
      <c r="NV33" s="113"/>
      <c r="NW33" s="113"/>
      <c r="NX33" s="113"/>
      <c r="NY33" s="113"/>
      <c r="NZ33" s="113"/>
      <c r="OA33" s="113"/>
      <c r="OB33" s="113"/>
      <c r="OC33" s="113"/>
      <c r="OD33" s="113"/>
      <c r="OE33" s="113"/>
      <c r="OF33" s="113"/>
      <c r="OG33" s="113"/>
      <c r="OH33" s="113"/>
      <c r="OI33" s="113"/>
      <c r="OJ33" s="113"/>
      <c r="OK33" s="113"/>
      <c r="OL33" s="113"/>
      <c r="OM33" s="113"/>
      <c r="ON33" s="113"/>
      <c r="OO33" s="113"/>
      <c r="OP33" s="113"/>
      <c r="OQ33" s="113"/>
      <c r="OR33" s="113"/>
      <c r="OS33" s="113"/>
      <c r="OT33" s="113"/>
      <c r="OU33" s="113"/>
      <c r="OV33" s="113"/>
      <c r="OW33" s="113"/>
      <c r="OX33" s="113"/>
      <c r="OY33" s="113"/>
      <c r="OZ33" s="113"/>
      <c r="PA33" s="113"/>
      <c r="PB33" s="113"/>
      <c r="PC33" s="113"/>
      <c r="PD33" s="113"/>
      <c r="PE33" s="113"/>
      <c r="PF33" s="113"/>
      <c r="PG33" s="113"/>
      <c r="PH33" s="113"/>
      <c r="PI33" s="113"/>
      <c r="PJ33" s="113"/>
      <c r="PK33" s="113"/>
      <c r="PL33" s="113"/>
      <c r="PM33" s="113"/>
      <c r="PN33" s="113"/>
      <c r="PO33" s="113"/>
      <c r="PP33" s="113"/>
      <c r="PQ33" s="113"/>
      <c r="PR33" s="113"/>
      <c r="PS33" s="113"/>
      <c r="PT33" s="113"/>
      <c r="PU33" s="113"/>
      <c r="PV33" s="113"/>
      <c r="PW33" s="113"/>
      <c r="PX33" s="113"/>
      <c r="PY33" s="113"/>
      <c r="PZ33" s="113"/>
      <c r="QA33" s="113"/>
      <c r="QB33" s="113"/>
      <c r="QC33" s="113"/>
      <c r="QD33" s="113"/>
      <c r="QE33" s="113"/>
      <c r="QF33" s="113"/>
      <c r="QG33" s="113"/>
      <c r="QH33" s="113"/>
      <c r="QI33" s="113"/>
      <c r="QJ33" s="113"/>
      <c r="QK33" s="113"/>
      <c r="QL33" s="113"/>
      <c r="QM33" s="113"/>
      <c r="QN33" s="113"/>
      <c r="QO33" s="113"/>
      <c r="QP33" s="113"/>
      <c r="QQ33" s="113"/>
      <c r="QR33" s="113"/>
      <c r="QS33" s="113"/>
      <c r="QT33" s="113"/>
      <c r="QU33" s="113"/>
      <c r="QV33" s="113"/>
      <c r="QW33" s="113"/>
      <c r="QX33" s="113"/>
      <c r="QY33" s="113"/>
      <c r="QZ33" s="113"/>
      <c r="RA33" s="113"/>
      <c r="RB33" s="113"/>
      <c r="RC33" s="113"/>
      <c r="RD33" s="113"/>
      <c r="RE33" s="113"/>
      <c r="RF33" s="113"/>
      <c r="RG33" s="113"/>
      <c r="RH33" s="113"/>
      <c r="RI33" s="113"/>
      <c r="RJ33" s="113"/>
      <c r="RK33" s="113"/>
      <c r="RL33" s="113"/>
      <c r="RM33" s="113"/>
      <c r="RN33" s="113"/>
      <c r="RO33" s="113"/>
      <c r="RP33" s="113"/>
      <c r="RQ33" s="113"/>
      <c r="RR33" s="113"/>
      <c r="RS33" s="113"/>
      <c r="RT33" s="113"/>
      <c r="RU33" s="113"/>
      <c r="RV33" s="113"/>
      <c r="RW33" s="113"/>
      <c r="RX33" s="113"/>
      <c r="RY33" s="113"/>
      <c r="RZ33" s="113"/>
      <c r="SA33" s="113"/>
      <c r="SB33" s="113"/>
      <c r="SC33" s="113"/>
      <c r="SD33" s="113"/>
      <c r="SE33" s="113"/>
      <c r="SF33" s="113"/>
      <c r="SG33" s="113"/>
      <c r="SH33" s="113"/>
      <c r="SI33" s="113"/>
      <c r="SJ33" s="113"/>
      <c r="SK33" s="113"/>
      <c r="SL33" s="113"/>
      <c r="SM33" s="113"/>
      <c r="SN33" s="113"/>
      <c r="SO33" s="113"/>
      <c r="SP33" s="113"/>
      <c r="SQ33" s="113"/>
      <c r="SR33" s="113"/>
      <c r="SS33" s="113"/>
      <c r="ST33" s="113"/>
      <c r="SU33" s="113"/>
      <c r="SV33" s="113"/>
      <c r="SW33" s="113"/>
      <c r="SX33" s="113"/>
      <c r="SY33" s="113"/>
      <c r="SZ33" s="113"/>
      <c r="TA33" s="113"/>
      <c r="TB33" s="113"/>
      <c r="TC33" s="113"/>
      <c r="TD33" s="113"/>
      <c r="TE33" s="113"/>
      <c r="TF33" s="113"/>
      <c r="TG33" s="113"/>
      <c r="TH33" s="113"/>
      <c r="TI33" s="113"/>
      <c r="TJ33" s="113"/>
      <c r="TK33" s="113"/>
      <c r="TL33" s="113"/>
      <c r="TM33" s="113"/>
      <c r="TN33" s="113"/>
      <c r="TO33" s="113"/>
      <c r="TP33" s="113"/>
      <c r="TQ33" s="113"/>
      <c r="TR33" s="113"/>
      <c r="TS33" s="113"/>
      <c r="TT33" s="113"/>
      <c r="TU33" s="113"/>
      <c r="TV33" s="113"/>
      <c r="TW33" s="113"/>
      <c r="TX33" s="113"/>
      <c r="TY33" s="113"/>
      <c r="TZ33" s="113"/>
      <c r="UA33" s="113"/>
      <c r="UB33" s="113"/>
      <c r="UC33" s="113"/>
      <c r="UD33" s="113"/>
      <c r="UE33" s="113"/>
      <c r="UF33" s="113"/>
      <c r="UG33" s="113"/>
      <c r="UH33" s="113"/>
      <c r="UI33" s="113"/>
      <c r="UJ33" s="113"/>
      <c r="UK33" s="113"/>
      <c r="UL33" s="113"/>
      <c r="UM33" s="113"/>
      <c r="UN33" s="113"/>
      <c r="UO33" s="113"/>
      <c r="UP33" s="113"/>
      <c r="UQ33" s="113"/>
      <c r="UR33" s="113"/>
      <c r="US33" s="113"/>
      <c r="UT33" s="113"/>
      <c r="UU33" s="113"/>
      <c r="UV33" s="113"/>
      <c r="UW33" s="113"/>
      <c r="UX33" s="113"/>
      <c r="UY33" s="113"/>
      <c r="UZ33" s="113"/>
      <c r="VA33" s="113"/>
      <c r="VB33" s="113"/>
      <c r="VC33" s="113"/>
      <c r="VD33" s="113"/>
      <c r="VE33" s="113"/>
      <c r="VF33" s="113"/>
      <c r="VG33" s="113"/>
      <c r="VH33" s="113"/>
      <c r="VI33" s="113"/>
      <c r="VJ33" s="113"/>
      <c r="VK33" s="113"/>
      <c r="VL33" s="113"/>
      <c r="VM33" s="113"/>
      <c r="VN33" s="113"/>
      <c r="VO33" s="113"/>
      <c r="VP33" s="113"/>
      <c r="VQ33" s="113"/>
      <c r="VR33" s="113"/>
      <c r="VS33" s="113"/>
      <c r="VT33" s="113"/>
      <c r="VU33" s="113"/>
      <c r="VV33" s="113"/>
      <c r="VW33" s="113"/>
      <c r="VX33" s="113"/>
      <c r="VY33" s="113"/>
      <c r="VZ33" s="113"/>
      <c r="WA33" s="113"/>
      <c r="WB33" s="113"/>
      <c r="WC33" s="113"/>
      <c r="WD33" s="113"/>
      <c r="WE33" s="113"/>
      <c r="WF33" s="113"/>
      <c r="WG33" s="113"/>
      <c r="WH33" s="113"/>
      <c r="WI33" s="113"/>
      <c r="WJ33" s="113"/>
      <c r="WK33" s="113"/>
      <c r="WL33" s="113"/>
      <c r="WM33" s="113"/>
      <c r="WN33" s="113"/>
      <c r="WO33" s="113"/>
      <c r="WP33" s="113"/>
      <c r="WQ33" s="113"/>
      <c r="WR33" s="113"/>
      <c r="WS33" s="113"/>
      <c r="WT33" s="113"/>
      <c r="WU33" s="113"/>
      <c r="WV33" s="113"/>
      <c r="WW33" s="113"/>
      <c r="WX33" s="113"/>
      <c r="WY33" s="113"/>
      <c r="WZ33" s="113"/>
      <c r="XA33" s="113"/>
      <c r="XB33" s="113"/>
      <c r="XC33" s="113"/>
      <c r="XD33" s="113"/>
      <c r="XE33" s="113"/>
      <c r="XF33" s="113"/>
      <c r="XG33" s="113"/>
      <c r="XH33" s="113"/>
      <c r="XI33" s="113"/>
      <c r="XJ33" s="113"/>
      <c r="XK33" s="113"/>
      <c r="XL33" s="113"/>
      <c r="XM33" s="113"/>
      <c r="XN33" s="113"/>
      <c r="XO33" s="113"/>
      <c r="XP33" s="113"/>
      <c r="XQ33" s="113"/>
      <c r="XR33" s="113"/>
      <c r="XS33" s="113"/>
      <c r="XT33" s="113"/>
      <c r="XU33" s="113"/>
      <c r="XV33" s="113"/>
      <c r="XW33" s="113"/>
      <c r="XX33" s="113"/>
      <c r="XY33" s="113"/>
      <c r="XZ33" s="113"/>
      <c r="YA33" s="113"/>
      <c r="YB33" s="113"/>
      <c r="YC33" s="113"/>
      <c r="YD33" s="113"/>
      <c r="YE33" s="113"/>
      <c r="YF33" s="113"/>
      <c r="YG33" s="113"/>
      <c r="YH33" s="113"/>
      <c r="YI33" s="113"/>
      <c r="YJ33" s="113"/>
      <c r="YK33" s="113"/>
      <c r="YL33" s="113"/>
      <c r="YM33" s="113"/>
      <c r="YN33" s="113"/>
      <c r="YO33" s="113"/>
      <c r="YP33" s="113"/>
      <c r="YQ33" s="113"/>
      <c r="YR33" s="113"/>
      <c r="YS33" s="113"/>
      <c r="YT33" s="113"/>
      <c r="YU33" s="113"/>
      <c r="YV33" s="113"/>
      <c r="YW33" s="113"/>
      <c r="YX33" s="113"/>
      <c r="YY33" s="113"/>
      <c r="YZ33" s="113"/>
      <c r="ZA33" s="113"/>
      <c r="ZB33" s="113"/>
      <c r="ZC33" s="113"/>
      <c r="ZD33" s="113"/>
      <c r="ZE33" s="113"/>
      <c r="ZF33" s="113"/>
      <c r="ZG33" s="113"/>
      <c r="ZH33" s="113"/>
      <c r="ZI33" s="113"/>
      <c r="ZJ33" s="113"/>
      <c r="ZK33" s="113"/>
      <c r="ZL33" s="113"/>
      <c r="ZM33" s="113"/>
      <c r="ZN33" s="113"/>
      <c r="ZO33" s="113"/>
      <c r="ZP33" s="113"/>
      <c r="ZQ33" s="113"/>
      <c r="ZR33" s="113"/>
      <c r="ZS33" s="113"/>
      <c r="ZT33" s="113"/>
      <c r="ZU33" s="113"/>
      <c r="ZV33" s="113"/>
      <c r="ZW33" s="113"/>
      <c r="ZX33" s="113"/>
      <c r="ZY33" s="113"/>
      <c r="ZZ33" s="113"/>
      <c r="AAA33" s="113"/>
      <c r="AAB33" s="113"/>
      <c r="AAC33" s="113"/>
      <c r="AAD33" s="113"/>
      <c r="AAE33" s="113"/>
      <c r="AAF33" s="113"/>
      <c r="AAG33" s="113"/>
      <c r="AAH33" s="113"/>
      <c r="AAI33" s="113"/>
      <c r="AAJ33" s="113"/>
      <c r="AAK33" s="113"/>
      <c r="AAL33" s="113"/>
      <c r="AAM33" s="113"/>
      <c r="AAN33" s="113"/>
      <c r="AAO33" s="113"/>
      <c r="AAP33" s="113"/>
      <c r="AAQ33" s="113"/>
      <c r="AAR33" s="113"/>
      <c r="AAS33" s="113"/>
      <c r="AAT33" s="113"/>
      <c r="AAU33" s="113"/>
      <c r="AAV33" s="113"/>
      <c r="AAW33" s="113"/>
      <c r="AAX33" s="113"/>
      <c r="AAY33" s="113"/>
      <c r="AAZ33" s="113"/>
      <c r="ABA33" s="113"/>
      <c r="ABB33" s="113"/>
      <c r="ABC33" s="113"/>
      <c r="ABD33" s="113"/>
      <c r="ABE33" s="113"/>
      <c r="ABF33" s="113"/>
      <c r="ABG33" s="113"/>
      <c r="ABH33" s="113"/>
      <c r="ABI33" s="113"/>
      <c r="ABJ33" s="113"/>
      <c r="ABK33" s="113"/>
      <c r="ABL33" s="113"/>
      <c r="ABM33" s="113"/>
      <c r="ABN33" s="113"/>
      <c r="ABO33" s="113"/>
      <c r="ABP33" s="113"/>
      <c r="ABQ33" s="113"/>
      <c r="ABR33" s="113"/>
      <c r="ABS33" s="113"/>
      <c r="ABT33" s="113"/>
      <c r="ABU33" s="113"/>
      <c r="ABV33" s="113"/>
      <c r="ABW33" s="113"/>
      <c r="ABX33" s="113"/>
      <c r="ABY33" s="113"/>
      <c r="ABZ33" s="113"/>
      <c r="ACA33" s="113"/>
      <c r="ACB33" s="113"/>
      <c r="ACC33" s="113"/>
      <c r="ACD33" s="113"/>
      <c r="ACE33" s="113"/>
      <c r="ACF33" s="113"/>
      <c r="ACG33" s="113"/>
      <c r="ACH33" s="113"/>
      <c r="ACI33" s="113"/>
      <c r="ACJ33" s="113"/>
      <c r="ACK33" s="113"/>
      <c r="ACL33" s="113"/>
      <c r="ACM33" s="113"/>
      <c r="ACN33" s="113"/>
      <c r="ACO33" s="113"/>
      <c r="ACP33" s="113"/>
      <c r="ACQ33" s="113"/>
      <c r="ACR33" s="113"/>
      <c r="ACS33" s="113"/>
      <c r="ACT33" s="113"/>
      <c r="ACU33" s="113"/>
      <c r="ACV33" s="113"/>
      <c r="ACW33" s="113"/>
      <c r="ACX33" s="113"/>
      <c r="ACY33" s="113"/>
      <c r="ACZ33" s="113"/>
      <c r="ADA33" s="113"/>
      <c r="ADB33" s="113"/>
      <c r="ADC33" s="113"/>
      <c r="ADD33" s="113"/>
      <c r="ADE33" s="113"/>
      <c r="ADF33" s="113"/>
      <c r="ADG33" s="113"/>
      <c r="ADH33" s="113"/>
      <c r="ADI33" s="113"/>
      <c r="ADJ33" s="113"/>
      <c r="ADK33" s="113"/>
      <c r="ADL33" s="113"/>
      <c r="ADM33" s="113"/>
      <c r="ADN33" s="113"/>
      <c r="ADO33" s="113"/>
      <c r="ADP33" s="113"/>
      <c r="ADQ33" s="113"/>
      <c r="ADR33" s="113"/>
      <c r="ADS33" s="113"/>
      <c r="ADT33" s="113"/>
      <c r="ADU33" s="113"/>
      <c r="ADV33" s="113"/>
      <c r="ADW33" s="113"/>
      <c r="ADX33" s="113"/>
      <c r="ADY33" s="113"/>
      <c r="ADZ33" s="113"/>
      <c r="AEA33" s="113"/>
      <c r="AEB33" s="113"/>
      <c r="AEC33" s="113"/>
      <c r="AED33" s="113"/>
      <c r="AEE33" s="113"/>
      <c r="AEF33" s="113"/>
      <c r="AEG33" s="113"/>
      <c r="AEH33" s="113"/>
      <c r="AEI33" s="113"/>
      <c r="AEJ33" s="113"/>
      <c r="AEK33" s="113"/>
      <c r="AEL33" s="113"/>
      <c r="AEM33" s="113"/>
      <c r="AEN33" s="113"/>
      <c r="AEO33" s="113"/>
      <c r="AEP33" s="113"/>
      <c r="AEQ33" s="113"/>
      <c r="AER33" s="113"/>
      <c r="AES33" s="113"/>
      <c r="AET33" s="113"/>
      <c r="AEU33" s="113"/>
      <c r="AEV33" s="113"/>
      <c r="AEW33" s="113"/>
      <c r="AEX33" s="113"/>
      <c r="AEY33" s="113"/>
      <c r="AEZ33" s="113"/>
      <c r="AFA33" s="113"/>
      <c r="AFB33" s="113"/>
      <c r="AFC33" s="113"/>
      <c r="AFD33" s="113"/>
      <c r="AFE33" s="113"/>
      <c r="AFF33" s="113"/>
      <c r="AFG33" s="113"/>
      <c r="AFH33" s="113"/>
      <c r="AFI33" s="113"/>
      <c r="AFJ33" s="113"/>
      <c r="AFK33" s="113"/>
      <c r="AFL33" s="113"/>
      <c r="AFM33" s="113"/>
      <c r="AFN33" s="113"/>
      <c r="AFO33" s="113"/>
      <c r="AFP33" s="113"/>
      <c r="AFQ33" s="113"/>
      <c r="AFR33" s="113"/>
      <c r="AFS33" s="113"/>
      <c r="AFT33" s="113"/>
      <c r="AFU33" s="113"/>
      <c r="AFV33" s="113"/>
      <c r="AFW33" s="113"/>
      <c r="AFX33" s="113"/>
      <c r="AFY33" s="113"/>
      <c r="AFZ33" s="113"/>
      <c r="AGA33" s="113"/>
      <c r="AGB33" s="113"/>
      <c r="AGC33" s="113"/>
      <c r="AGD33" s="113"/>
      <c r="AGE33" s="113"/>
      <c r="AGF33" s="113"/>
      <c r="AGG33" s="113"/>
      <c r="AGH33" s="113"/>
      <c r="AGI33" s="113"/>
      <c r="AGJ33" s="113"/>
      <c r="AGK33" s="113"/>
      <c r="AGL33" s="113"/>
      <c r="AGM33" s="113"/>
      <c r="AGN33" s="113"/>
      <c r="AGO33" s="113"/>
      <c r="AGP33" s="113"/>
      <c r="AGQ33" s="113"/>
      <c r="AGR33" s="113"/>
      <c r="AGS33" s="113"/>
      <c r="AGT33" s="113"/>
      <c r="AGU33" s="113"/>
      <c r="AGV33" s="113"/>
      <c r="AGW33" s="113"/>
      <c r="AGX33" s="113"/>
      <c r="AGY33" s="113"/>
      <c r="AGZ33" s="113"/>
      <c r="AHA33" s="113"/>
      <c r="AHB33" s="113"/>
      <c r="AHC33" s="113"/>
      <c r="AHD33" s="113"/>
      <c r="AHE33" s="113"/>
      <c r="AHF33" s="113"/>
      <c r="AHG33" s="113"/>
      <c r="AHH33" s="113"/>
      <c r="AHI33" s="113"/>
      <c r="AHJ33" s="113"/>
      <c r="AHK33" s="113"/>
      <c r="AHL33" s="113"/>
      <c r="AHM33" s="113"/>
      <c r="AHN33" s="113"/>
      <c r="AHO33" s="113"/>
      <c r="AHP33" s="113"/>
      <c r="AHQ33" s="113"/>
      <c r="AHR33" s="113"/>
      <c r="AHS33" s="113"/>
      <c r="AHT33" s="113"/>
      <c r="AHU33" s="113"/>
      <c r="AHV33" s="113"/>
      <c r="AHW33" s="113"/>
      <c r="AHX33" s="113"/>
      <c r="AHY33" s="113"/>
      <c r="AHZ33" s="113"/>
      <c r="AIA33" s="113"/>
      <c r="AIB33" s="113"/>
      <c r="AIC33" s="113"/>
      <c r="AID33" s="113"/>
      <c r="AIE33" s="113"/>
      <c r="AIF33" s="113"/>
      <c r="AIG33" s="113"/>
      <c r="AIH33" s="113"/>
      <c r="AII33" s="113"/>
      <c r="AIJ33" s="113"/>
      <c r="AIK33" s="113"/>
      <c r="AIL33" s="113"/>
      <c r="AIM33" s="113"/>
      <c r="AIN33" s="113"/>
      <c r="AIO33" s="113"/>
      <c r="AIP33" s="113"/>
      <c r="AIQ33" s="113"/>
      <c r="AIR33" s="113"/>
      <c r="AIS33" s="113"/>
      <c r="AIT33" s="113"/>
      <c r="AIU33" s="113"/>
      <c r="AIV33" s="113"/>
      <c r="AIW33" s="113"/>
      <c r="AIX33" s="113"/>
      <c r="AIY33" s="113"/>
      <c r="AIZ33" s="113"/>
    </row>
    <row r="34">
      <c r="A34" s="65" t="s">
        <v>47</v>
      </c>
      <c r="B34" s="65" t="s">
        <v>53</v>
      </c>
      <c r="C34" s="65"/>
      <c r="D34" s="64">
        <f t="shared" si="1"/>
        <v>381.3446833</v>
      </c>
      <c r="F34" s="65">
        <v>0.545483333333333</v>
      </c>
      <c r="G34" s="65">
        <v>28.8620166666667</v>
      </c>
      <c r="H34" s="65">
        <v>6.58468333333333</v>
      </c>
      <c r="I34" s="65">
        <v>36.65985</v>
      </c>
      <c r="J34" s="65">
        <v>37.1586</v>
      </c>
      <c r="K34" s="65">
        <v>8.36205</v>
      </c>
      <c r="N34" s="65">
        <v>13.24625</v>
      </c>
      <c r="Q34" s="65">
        <v>1.75058333333333</v>
      </c>
      <c r="R34" s="65">
        <v>8.92485</v>
      </c>
      <c r="S34" s="65">
        <v>2.28718333333333</v>
      </c>
      <c r="T34" s="65">
        <v>56.0319</v>
      </c>
      <c r="U34" s="65">
        <v>8.0689</v>
      </c>
      <c r="X34" s="65">
        <v>2.41408333333333</v>
      </c>
      <c r="Y34" s="65">
        <v>2.75885</v>
      </c>
      <c r="Z34" s="65">
        <v>6.03493333333333</v>
      </c>
      <c r="AA34" s="65">
        <v>54.92155</v>
      </c>
      <c r="AB34" s="65">
        <v>15.0610333333333</v>
      </c>
      <c r="AG34" s="65">
        <v>0.31495</v>
      </c>
      <c r="AH34" s="65">
        <v>2.46895</v>
      </c>
      <c r="AI34" s="65">
        <v>4.88735</v>
      </c>
      <c r="AL34" s="65">
        <v>14.91785</v>
      </c>
      <c r="AM34" s="65">
        <v>3.7672</v>
      </c>
      <c r="AN34" s="65">
        <v>6.6754</v>
      </c>
      <c r="AQ34" s="65">
        <v>6.4388</v>
      </c>
      <c r="AR34" s="65">
        <v>4.14776666666667</v>
      </c>
      <c r="AU34" s="65">
        <v>48.0536166666667</v>
      </c>
    </row>
    <row r="35">
      <c r="A35" s="65" t="s">
        <v>47</v>
      </c>
      <c r="B35" s="65" t="s">
        <v>53</v>
      </c>
      <c r="C35" s="65"/>
      <c r="D35" s="64">
        <f t="shared" si="1"/>
        <v>0</v>
      </c>
    </row>
    <row r="36">
      <c r="A36" s="65" t="s">
        <v>47</v>
      </c>
      <c r="B36" s="65" t="s">
        <v>53</v>
      </c>
      <c r="C36" s="65"/>
      <c r="D36" s="64">
        <f t="shared" si="1"/>
        <v>377.8841167</v>
      </c>
      <c r="F36" s="118">
        <f>HYPERLINK("https://docs.google.com/spreadsheets/d/1JHBzOrpEIolI9sz1cN0zcFsCQPcAMlWc", 0.195333333333333)</f>
        <v>0.1953333333</v>
      </c>
      <c r="G36" s="118">
        <f>HYPERLINK("https://docs.google.com/spreadsheets/d/1GyqmjlQ9fG8mm-72tb0FFkuxCYnD0S-E", 28.8619833333333)</f>
        <v>28.86198333</v>
      </c>
      <c r="H36" s="118">
        <f>HYPERLINK("https://docs.google.com/spreadsheets/d/1WN1w9h-uWNzKBg0FDT_35Y-NECmePzhP", 6.58466666666667)</f>
        <v>6.584666667</v>
      </c>
      <c r="I36" s="118">
        <f>HYPERLINK("https://docs.google.com/spreadsheets/d/1pSNNB0otOXVhwRZQH1lCPPdmYOAgaibC", 36.5743)</f>
        <v>36.5743</v>
      </c>
      <c r="J36" s="118">
        <f>HYPERLINK("https://docs.google.com/spreadsheets/d/1-ax_SUcfSMlH9x3FbkiRC3pONvKVRnvo", 37.1585833333334)</f>
        <v>37.15858333</v>
      </c>
      <c r="K36" s="118">
        <f>HYPERLINK("https://docs.google.com/spreadsheets/d/1ZXTKozfxSYvaTCw0bXWGfoULHgWH7uGY", 8.28958333333333)</f>
        <v>8.289583333</v>
      </c>
      <c r="N36" s="118">
        <f>HYPERLINK("https://docs.google.com/spreadsheets/d/1tzdUWZiMx31YVoaa2cIfGtzDXf4WjrQn", 11.8460833333333)</f>
        <v>11.84608333</v>
      </c>
      <c r="Q36" s="118">
        <f>HYPERLINK("https://docs.google.com/spreadsheets/d/1cmZFlsLdz33ZnP5Ec8zg-k3BtE7pg2k9", 1.5117)</f>
        <v>1.5117</v>
      </c>
      <c r="R36" s="118">
        <f>HYPERLINK("https://docs.google.com/spreadsheets/d/1Bjb2JDRABlLNpedmrY6jJURXMbVUazPc", 8.79291666666667)</f>
        <v>8.792916667</v>
      </c>
      <c r="S36" s="118">
        <f>HYPERLINK("https://docs.google.com/spreadsheets/d/1oq5C-LkNQ04f3spR6XS-U4H5jv3hslgg", 2.28718333333333)</f>
        <v>2.287183333</v>
      </c>
      <c r="T36" s="118">
        <f>HYPERLINK("https://docs.google.com/spreadsheets/d/1Tcy6HrfHq3FNccVxgHnO_udS6zSin7sj", 55.8723166666666)</f>
        <v>55.87231667</v>
      </c>
      <c r="U36" s="118">
        <f>HYPERLINK("https://docs.google.com/spreadsheets/d/1UnTFDkwRayXUBCxJW_aVGKHRZiENRWjB", 8.0689)</f>
        <v>8.0689</v>
      </c>
      <c r="X36" s="118">
        <f>HYPERLINK("https://docs.google.com/spreadsheets/d/1Ydj4_guMB7x1uqF0no3pdXaMeNT8_uav", 2.41408333333333)</f>
        <v>2.414083333</v>
      </c>
      <c r="Y36" s="118">
        <f>HYPERLINK("https://docs.google.com/spreadsheets/d/1nLA3lNrmaiaS8JRenSLBU-lfV10aXcCY", 2.75885)</f>
        <v>2.75885</v>
      </c>
      <c r="Z36" s="118">
        <f>HYPERLINK("https://docs.google.com/spreadsheets/d/1_KEVFRKFzEbFIHd1MqxLHUnIwfd6iq_v", 6.03493333333333)</f>
        <v>6.034933333</v>
      </c>
      <c r="AA36" s="118">
        <f>HYPERLINK("https://docs.google.com/spreadsheets/d/1wgNkYSbwGEWzSrdYBXrrCpGYadGKcO6n", 54.9214833333333)</f>
        <v>54.92148333</v>
      </c>
      <c r="AB36" s="118">
        <f>HYPERLINK("https://docs.google.com/spreadsheets/d/1pk45mJBZcTmQ8H4krnD40hvqm0NsvAXA", 14.6935166666667)</f>
        <v>14.69351667</v>
      </c>
      <c r="AG36" s="118">
        <f>HYPERLINK("https://docs.google.com/spreadsheets/d/1r_9MwA0yHZG2en6xfnEb2xl-QoGX9iJY", 0.31495)</f>
        <v>0.31495</v>
      </c>
      <c r="AH36" s="118">
        <f>HYPERLINK("https://docs.google.com/spreadsheets/d/1T3Vy-M1fdXUVgRkNcZ0a0C_313e4Qxtr", 2.46895)</f>
        <v>2.46895</v>
      </c>
      <c r="AI36" s="118">
        <f>HYPERLINK("https://docs.google.com/spreadsheets/d/176dtzU3OytNgu4Jkc78CvcBZPl6PvTRh", 4.88735)</f>
        <v>4.88735</v>
      </c>
      <c r="AL36" s="118">
        <f>HYPERLINK("https://docs.google.com/spreadsheets/d/1tcx8LcDLDexWylEurPwUprVnSeSq1MMf", 14.9178333333333)</f>
        <v>14.91783333</v>
      </c>
      <c r="AM36" s="118">
        <f>HYPERLINK("https://docs.google.com/spreadsheets/d/1xxq1WL0Os0xTPU6ooShae7KaoYx3d8hJ", 3.7672)</f>
        <v>3.7672</v>
      </c>
      <c r="AN36" s="118">
        <f>HYPERLINK("https://docs.google.com/spreadsheets/d/11yHLviKwZUSy51-ftQmwAu6osod99bII", 6.6754)</f>
        <v>6.6754</v>
      </c>
      <c r="AQ36" s="118">
        <f>HYPERLINK("https://docs.google.com/spreadsheets/d/1qksETj620pCM8GCf604G1CDj7f4RCzAY", 6.4388)</f>
        <v>6.4388</v>
      </c>
      <c r="AR36" s="118">
        <f>HYPERLINK("https://docs.google.com/spreadsheets/d/1R8R_ldi6y-6p_Ctho5JB81IkQTW2P7nr", 4.14776666666667)</f>
        <v>4.147766667</v>
      </c>
      <c r="AU36" s="118">
        <f>HYPERLINK("https://docs.google.com/spreadsheets/d/1pMZSc4gkOqTeRu7Ef26IV-9oDUYYgZ3B", 47.39945)</f>
        <v>47.39945</v>
      </c>
    </row>
    <row r="37">
      <c r="A37" s="65" t="s">
        <v>47</v>
      </c>
      <c r="B37" s="65" t="s">
        <v>53</v>
      </c>
      <c r="C37" s="65"/>
      <c r="D37" s="64">
        <f t="shared" si="1"/>
        <v>236.6986333</v>
      </c>
      <c r="F37" s="65">
        <v>0.0</v>
      </c>
      <c r="G37" s="65">
        <v>24.0417666666667</v>
      </c>
      <c r="H37" s="65">
        <v>5.6348</v>
      </c>
      <c r="I37" s="65">
        <v>24.0846166666667</v>
      </c>
      <c r="J37" s="65">
        <v>27.1281833333333</v>
      </c>
      <c r="K37" s="65">
        <v>6.11976666666667</v>
      </c>
      <c r="N37" s="65">
        <v>9.23043333333333</v>
      </c>
      <c r="Q37" s="65">
        <v>0.365266666666667</v>
      </c>
      <c r="R37" s="65">
        <v>7.54743333333333</v>
      </c>
      <c r="S37" s="65">
        <v>1.69088333333333</v>
      </c>
      <c r="T37" s="65">
        <v>29.5756333333334</v>
      </c>
      <c r="U37" s="65">
        <v>5.2716</v>
      </c>
      <c r="X37" s="65">
        <v>0.403583333333333</v>
      </c>
      <c r="Y37" s="65">
        <v>2.26045</v>
      </c>
      <c r="Z37" s="65">
        <v>0.5836</v>
      </c>
      <c r="AA37" s="65">
        <v>24.3124333333333</v>
      </c>
      <c r="AB37" s="65">
        <v>9.83984999999999</v>
      </c>
      <c r="AG37" s="65">
        <v>0.0</v>
      </c>
      <c r="AH37" s="65">
        <v>1.68525</v>
      </c>
      <c r="AI37" s="65">
        <v>3.194</v>
      </c>
      <c r="AL37" s="65">
        <v>12.2927166666667</v>
      </c>
      <c r="AM37" s="65">
        <v>3.15013333333333</v>
      </c>
      <c r="AN37" s="65">
        <v>2.51911666666667</v>
      </c>
      <c r="AQ37" s="65">
        <v>6.1004</v>
      </c>
      <c r="AR37" s="65">
        <v>1.938</v>
      </c>
      <c r="AU37" s="65">
        <v>27.7287166666667</v>
      </c>
    </row>
    <row r="38">
      <c r="A38" s="119" t="s">
        <v>47</v>
      </c>
      <c r="B38" s="119" t="s">
        <v>53</v>
      </c>
      <c r="C38" s="119"/>
      <c r="D38" s="120">
        <f t="shared" si="1"/>
        <v>0</v>
      </c>
      <c r="E38" s="120"/>
      <c r="F38" s="120"/>
      <c r="G38" s="120"/>
      <c r="H38" s="120"/>
      <c r="I38" s="120"/>
      <c r="J38" s="120"/>
      <c r="K38" s="120"/>
      <c r="L38" s="120"/>
      <c r="M38" s="120"/>
      <c r="N38" s="120"/>
      <c r="O38" s="120"/>
      <c r="P38" s="120"/>
      <c r="Q38" s="120"/>
      <c r="R38" s="120"/>
      <c r="S38" s="120"/>
      <c r="T38" s="120"/>
      <c r="U38" s="120"/>
      <c r="V38" s="120"/>
      <c r="W38" s="120"/>
      <c r="X38" s="120"/>
      <c r="Y38" s="120"/>
      <c r="Z38" s="120"/>
      <c r="AA38" s="120"/>
      <c r="AB38" s="120"/>
      <c r="AC38" s="120"/>
      <c r="AD38" s="120"/>
      <c r="AE38" s="120"/>
      <c r="AF38" s="120"/>
      <c r="AG38" s="120"/>
      <c r="AH38" s="120"/>
      <c r="AI38" s="120"/>
      <c r="AJ38" s="120"/>
      <c r="AK38" s="120"/>
      <c r="AL38" s="120"/>
      <c r="AM38" s="120"/>
      <c r="AN38" s="120"/>
      <c r="AO38" s="120"/>
      <c r="AP38" s="120"/>
      <c r="AQ38" s="120"/>
      <c r="AR38" s="120"/>
      <c r="AS38" s="120"/>
      <c r="AT38" s="120"/>
      <c r="AU38" s="120"/>
      <c r="AV38" s="120"/>
      <c r="AW38" s="120"/>
      <c r="AX38" s="120"/>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0"/>
      <c r="CD38" s="120"/>
      <c r="CE38" s="120"/>
      <c r="CF38" s="120"/>
      <c r="CG38" s="120"/>
      <c r="CH38" s="120"/>
      <c r="CI38" s="120"/>
      <c r="CJ38" s="120"/>
      <c r="CK38" s="120"/>
      <c r="CL38" s="120"/>
      <c r="CM38" s="120"/>
      <c r="CN38" s="120"/>
      <c r="CO38" s="120"/>
      <c r="CP38" s="120"/>
      <c r="CQ38" s="120"/>
      <c r="CR38" s="120"/>
      <c r="CS38" s="120"/>
      <c r="CT38" s="120"/>
      <c r="CU38" s="120"/>
      <c r="CV38" s="120"/>
      <c r="CW38" s="120"/>
      <c r="CX38" s="120"/>
      <c r="CY38" s="120"/>
      <c r="CZ38" s="120"/>
      <c r="DA38" s="120"/>
      <c r="DB38" s="120"/>
      <c r="DC38" s="120"/>
      <c r="DD38" s="120"/>
      <c r="DE38" s="120"/>
      <c r="DF38" s="120"/>
      <c r="DG38" s="120"/>
      <c r="DH38" s="120"/>
      <c r="DI38" s="120"/>
      <c r="DJ38" s="120"/>
      <c r="DK38" s="120"/>
      <c r="DL38" s="120"/>
      <c r="DM38" s="120"/>
      <c r="DN38" s="120"/>
      <c r="DO38" s="120"/>
      <c r="DP38" s="120"/>
      <c r="DQ38" s="120"/>
      <c r="DR38" s="120"/>
      <c r="DS38" s="120"/>
      <c r="DT38" s="120"/>
      <c r="DU38" s="120"/>
      <c r="DV38" s="120"/>
      <c r="DW38" s="120"/>
      <c r="DX38" s="120"/>
      <c r="DY38" s="120"/>
      <c r="DZ38" s="120"/>
      <c r="EA38" s="120"/>
      <c r="EB38" s="120"/>
      <c r="EC38" s="120"/>
      <c r="ED38" s="120"/>
      <c r="EE38" s="120"/>
      <c r="EF38" s="120"/>
      <c r="EG38" s="120"/>
      <c r="EH38" s="120"/>
      <c r="EI38" s="120"/>
      <c r="EJ38" s="120"/>
      <c r="EK38" s="120"/>
      <c r="EL38" s="120"/>
      <c r="EM38" s="120"/>
      <c r="EN38" s="120"/>
      <c r="EO38" s="120"/>
      <c r="EP38" s="120"/>
      <c r="EQ38" s="120"/>
      <c r="ER38" s="120"/>
      <c r="ES38" s="120"/>
      <c r="ET38" s="120"/>
      <c r="EU38" s="120"/>
      <c r="EV38" s="120"/>
      <c r="EW38" s="120"/>
      <c r="EX38" s="120"/>
      <c r="EY38" s="120"/>
      <c r="EZ38" s="120"/>
      <c r="FA38" s="120"/>
      <c r="FB38" s="120"/>
      <c r="FC38" s="120"/>
      <c r="FD38" s="120"/>
      <c r="FE38" s="120"/>
      <c r="FF38" s="120"/>
      <c r="FG38" s="120"/>
      <c r="FH38" s="120"/>
      <c r="FI38" s="120"/>
      <c r="FJ38" s="120"/>
      <c r="FK38" s="120"/>
      <c r="FL38" s="120"/>
      <c r="FM38" s="120"/>
      <c r="FN38" s="120"/>
      <c r="FO38" s="120"/>
      <c r="FP38" s="120"/>
      <c r="FQ38" s="120"/>
      <c r="FR38" s="120"/>
      <c r="FS38" s="120"/>
      <c r="FT38" s="120"/>
      <c r="FU38" s="120"/>
      <c r="FV38" s="120"/>
      <c r="FW38" s="120"/>
      <c r="FX38" s="120"/>
      <c r="FY38" s="120"/>
      <c r="FZ38" s="120"/>
      <c r="GA38" s="120"/>
      <c r="GB38" s="120"/>
      <c r="GC38" s="120"/>
      <c r="GD38" s="120"/>
      <c r="GE38" s="120"/>
      <c r="GF38" s="120"/>
      <c r="GG38" s="120"/>
      <c r="GH38" s="120"/>
      <c r="GI38" s="120"/>
      <c r="GJ38" s="120"/>
      <c r="GK38" s="120"/>
      <c r="GL38" s="120"/>
      <c r="GM38" s="120"/>
      <c r="GN38" s="120"/>
      <c r="GO38" s="120"/>
      <c r="GP38" s="120"/>
      <c r="GQ38" s="120"/>
      <c r="GR38" s="120"/>
      <c r="GS38" s="120"/>
      <c r="GT38" s="120"/>
      <c r="GU38" s="120"/>
      <c r="GV38" s="120"/>
      <c r="GW38" s="120"/>
      <c r="GX38" s="120"/>
      <c r="GY38" s="120"/>
      <c r="GZ38" s="120"/>
      <c r="HA38" s="120"/>
      <c r="HB38" s="120"/>
      <c r="HC38" s="120"/>
      <c r="HD38" s="120"/>
      <c r="HE38" s="120"/>
      <c r="HF38" s="120"/>
      <c r="HG38" s="120"/>
      <c r="HH38" s="120"/>
      <c r="HI38" s="120"/>
      <c r="HJ38" s="120"/>
      <c r="HK38" s="120"/>
      <c r="HL38" s="120"/>
      <c r="HM38" s="120"/>
      <c r="HN38" s="120"/>
      <c r="HO38" s="120"/>
      <c r="HP38" s="120"/>
      <c r="HQ38" s="120"/>
      <c r="HR38" s="120"/>
      <c r="HS38" s="120"/>
      <c r="HT38" s="120"/>
      <c r="HU38" s="120"/>
      <c r="HV38" s="120"/>
      <c r="HW38" s="120"/>
      <c r="HX38" s="120"/>
      <c r="HY38" s="120"/>
      <c r="HZ38" s="120"/>
      <c r="IA38" s="120"/>
      <c r="IB38" s="120"/>
      <c r="IC38" s="120"/>
      <c r="ID38" s="120"/>
      <c r="IE38" s="120"/>
      <c r="IF38" s="120"/>
      <c r="IG38" s="120"/>
      <c r="IH38" s="120"/>
      <c r="II38" s="120"/>
      <c r="IJ38" s="120"/>
      <c r="IK38" s="120"/>
      <c r="IL38" s="120"/>
      <c r="IM38" s="120"/>
      <c r="IN38" s="120"/>
      <c r="IO38" s="120"/>
      <c r="IP38" s="120"/>
      <c r="IQ38" s="120"/>
      <c r="IR38" s="120"/>
      <c r="IS38" s="120"/>
      <c r="IT38" s="120"/>
      <c r="IU38" s="120"/>
      <c r="IV38" s="120"/>
      <c r="IW38" s="120"/>
      <c r="IX38" s="120"/>
      <c r="IY38" s="120"/>
      <c r="IZ38" s="120"/>
      <c r="JA38" s="120"/>
      <c r="JB38" s="120"/>
      <c r="JC38" s="120"/>
      <c r="JD38" s="120"/>
      <c r="JE38" s="120"/>
      <c r="JF38" s="120"/>
      <c r="JG38" s="120"/>
      <c r="JH38" s="120"/>
      <c r="JI38" s="120"/>
      <c r="JJ38" s="120"/>
      <c r="JK38" s="120"/>
      <c r="JL38" s="120"/>
      <c r="JM38" s="120"/>
      <c r="JN38" s="120"/>
      <c r="JO38" s="120"/>
      <c r="JP38" s="120"/>
      <c r="JQ38" s="120"/>
      <c r="JR38" s="120"/>
      <c r="JS38" s="120"/>
      <c r="JT38" s="120"/>
      <c r="JU38" s="120"/>
      <c r="JV38" s="120"/>
      <c r="JW38" s="120"/>
      <c r="JX38" s="120"/>
      <c r="JY38" s="120"/>
      <c r="JZ38" s="120"/>
      <c r="KA38" s="120"/>
      <c r="KB38" s="120"/>
      <c r="KC38" s="120"/>
      <c r="KD38" s="120"/>
      <c r="KE38" s="120"/>
      <c r="KF38" s="120"/>
      <c r="KG38" s="120"/>
      <c r="KH38" s="120"/>
      <c r="KI38" s="120"/>
      <c r="KJ38" s="120"/>
      <c r="KK38" s="120"/>
      <c r="KL38" s="120"/>
      <c r="KM38" s="120"/>
      <c r="KN38" s="120"/>
      <c r="KO38" s="120"/>
      <c r="KP38" s="120"/>
      <c r="KQ38" s="120"/>
      <c r="KR38" s="120"/>
      <c r="KS38" s="120"/>
      <c r="KT38" s="120"/>
      <c r="KU38" s="120"/>
      <c r="KV38" s="120"/>
      <c r="KW38" s="120"/>
      <c r="KX38" s="120"/>
      <c r="KY38" s="120"/>
      <c r="KZ38" s="120"/>
      <c r="LA38" s="120"/>
      <c r="LB38" s="120"/>
      <c r="LC38" s="120"/>
      <c r="LD38" s="120"/>
      <c r="LE38" s="120"/>
      <c r="LF38" s="120"/>
      <c r="LG38" s="120"/>
      <c r="LH38" s="120"/>
      <c r="LI38" s="120"/>
      <c r="LJ38" s="120"/>
      <c r="LK38" s="120"/>
      <c r="LL38" s="120"/>
      <c r="LM38" s="120"/>
      <c r="LN38" s="120"/>
      <c r="LO38" s="120"/>
      <c r="LP38" s="120"/>
      <c r="LQ38" s="120"/>
      <c r="LR38" s="120"/>
      <c r="LS38" s="120"/>
      <c r="LT38" s="120"/>
      <c r="LU38" s="120"/>
      <c r="LV38" s="120"/>
      <c r="LW38" s="120"/>
      <c r="LX38" s="120"/>
      <c r="LY38" s="120"/>
      <c r="LZ38" s="120"/>
      <c r="MA38" s="120"/>
      <c r="MB38" s="120"/>
      <c r="MC38" s="120"/>
      <c r="MD38" s="120"/>
      <c r="ME38" s="120"/>
      <c r="MF38" s="120"/>
      <c r="MG38" s="120"/>
      <c r="MH38" s="120"/>
      <c r="MI38" s="120"/>
      <c r="MJ38" s="120"/>
      <c r="MK38" s="120"/>
      <c r="ML38" s="120"/>
      <c r="MM38" s="120"/>
      <c r="MN38" s="120"/>
      <c r="MO38" s="120"/>
      <c r="MP38" s="120"/>
      <c r="MQ38" s="120"/>
      <c r="MR38" s="120"/>
      <c r="MS38" s="120"/>
      <c r="MT38" s="120"/>
      <c r="MU38" s="120"/>
      <c r="MV38" s="120"/>
      <c r="MW38" s="120"/>
      <c r="MX38" s="120"/>
      <c r="MY38" s="120"/>
      <c r="MZ38" s="120"/>
      <c r="NA38" s="120"/>
      <c r="NB38" s="120"/>
      <c r="NC38" s="120"/>
      <c r="ND38" s="120"/>
      <c r="NE38" s="120"/>
      <c r="NF38" s="120"/>
      <c r="NG38" s="120"/>
      <c r="NH38" s="120"/>
      <c r="NI38" s="120"/>
      <c r="NJ38" s="120"/>
      <c r="NK38" s="120"/>
      <c r="NL38" s="120"/>
      <c r="NM38" s="120"/>
      <c r="NN38" s="120"/>
      <c r="NO38" s="120"/>
      <c r="NP38" s="120"/>
      <c r="NQ38" s="120"/>
      <c r="NR38" s="120"/>
      <c r="NS38" s="120"/>
      <c r="NT38" s="120"/>
      <c r="NU38" s="120"/>
      <c r="NV38" s="120"/>
      <c r="NW38" s="120"/>
      <c r="NX38" s="120"/>
      <c r="NY38" s="120"/>
      <c r="NZ38" s="120"/>
      <c r="OA38" s="120"/>
      <c r="OB38" s="120"/>
      <c r="OC38" s="120"/>
      <c r="OD38" s="120"/>
      <c r="OE38" s="120"/>
      <c r="OF38" s="120"/>
      <c r="OG38" s="120"/>
      <c r="OH38" s="120"/>
      <c r="OI38" s="120"/>
      <c r="OJ38" s="120"/>
      <c r="OK38" s="120"/>
      <c r="OL38" s="120"/>
      <c r="OM38" s="120"/>
      <c r="ON38" s="120"/>
      <c r="OO38" s="120"/>
      <c r="OP38" s="120"/>
      <c r="OQ38" s="120"/>
      <c r="OR38" s="120"/>
      <c r="OS38" s="120"/>
      <c r="OT38" s="120"/>
      <c r="OU38" s="120"/>
      <c r="OV38" s="120"/>
      <c r="OW38" s="120"/>
      <c r="OX38" s="120"/>
      <c r="OY38" s="120"/>
      <c r="OZ38" s="120"/>
      <c r="PA38" s="120"/>
      <c r="PB38" s="120"/>
      <c r="PC38" s="120"/>
      <c r="PD38" s="120"/>
      <c r="PE38" s="120"/>
      <c r="PF38" s="120"/>
      <c r="PG38" s="120"/>
      <c r="PH38" s="120"/>
      <c r="PI38" s="120"/>
      <c r="PJ38" s="120"/>
      <c r="PK38" s="120"/>
      <c r="PL38" s="120"/>
      <c r="PM38" s="120"/>
      <c r="PN38" s="120"/>
      <c r="PO38" s="120"/>
      <c r="PP38" s="120"/>
      <c r="PQ38" s="120"/>
      <c r="PR38" s="120"/>
      <c r="PS38" s="120"/>
      <c r="PT38" s="120"/>
      <c r="PU38" s="120"/>
      <c r="PV38" s="120"/>
      <c r="PW38" s="120"/>
      <c r="PX38" s="120"/>
      <c r="PY38" s="120"/>
      <c r="PZ38" s="120"/>
      <c r="QA38" s="120"/>
      <c r="QB38" s="120"/>
      <c r="QC38" s="120"/>
      <c r="QD38" s="120"/>
      <c r="QE38" s="120"/>
      <c r="QF38" s="120"/>
      <c r="QG38" s="120"/>
      <c r="QH38" s="120"/>
      <c r="QI38" s="120"/>
      <c r="QJ38" s="120"/>
      <c r="QK38" s="120"/>
      <c r="QL38" s="120"/>
      <c r="QM38" s="120"/>
      <c r="QN38" s="120"/>
      <c r="QO38" s="120"/>
      <c r="QP38" s="120"/>
      <c r="QQ38" s="120"/>
      <c r="QR38" s="120"/>
      <c r="QS38" s="120"/>
      <c r="QT38" s="120"/>
      <c r="QU38" s="120"/>
      <c r="QV38" s="120"/>
      <c r="QW38" s="120"/>
      <c r="QX38" s="120"/>
      <c r="QY38" s="120"/>
      <c r="QZ38" s="120"/>
      <c r="RA38" s="120"/>
      <c r="RB38" s="120"/>
      <c r="RC38" s="120"/>
      <c r="RD38" s="120"/>
      <c r="RE38" s="120"/>
      <c r="RF38" s="120"/>
      <c r="RG38" s="120"/>
      <c r="RH38" s="120"/>
      <c r="RI38" s="120"/>
      <c r="RJ38" s="120"/>
      <c r="RK38" s="120"/>
      <c r="RL38" s="120"/>
      <c r="RM38" s="120"/>
      <c r="RN38" s="120"/>
      <c r="RO38" s="120"/>
      <c r="RP38" s="120"/>
      <c r="RQ38" s="120"/>
      <c r="RR38" s="120"/>
      <c r="RS38" s="120"/>
      <c r="RT38" s="120"/>
      <c r="RU38" s="120"/>
      <c r="RV38" s="120"/>
      <c r="RW38" s="120"/>
      <c r="RX38" s="120"/>
      <c r="RY38" s="120"/>
      <c r="RZ38" s="120"/>
      <c r="SA38" s="120"/>
      <c r="SB38" s="120"/>
      <c r="SC38" s="120"/>
      <c r="SD38" s="120"/>
      <c r="SE38" s="120"/>
      <c r="SF38" s="120"/>
      <c r="SG38" s="120"/>
      <c r="SH38" s="120"/>
      <c r="SI38" s="120"/>
      <c r="SJ38" s="120"/>
      <c r="SK38" s="120"/>
      <c r="SL38" s="120"/>
      <c r="SM38" s="120"/>
      <c r="SN38" s="120"/>
      <c r="SO38" s="120"/>
      <c r="SP38" s="120"/>
      <c r="SQ38" s="120"/>
      <c r="SR38" s="120"/>
      <c r="SS38" s="120"/>
      <c r="ST38" s="120"/>
      <c r="SU38" s="120"/>
      <c r="SV38" s="120"/>
      <c r="SW38" s="120"/>
      <c r="SX38" s="120"/>
      <c r="SY38" s="120"/>
      <c r="SZ38" s="120"/>
      <c r="TA38" s="120"/>
      <c r="TB38" s="120"/>
      <c r="TC38" s="120"/>
      <c r="TD38" s="120"/>
      <c r="TE38" s="120"/>
      <c r="TF38" s="120"/>
      <c r="TG38" s="120"/>
      <c r="TH38" s="120"/>
      <c r="TI38" s="120"/>
      <c r="TJ38" s="120"/>
      <c r="TK38" s="120"/>
      <c r="TL38" s="120"/>
      <c r="TM38" s="120"/>
      <c r="TN38" s="120"/>
      <c r="TO38" s="120"/>
      <c r="TP38" s="120"/>
      <c r="TQ38" s="120"/>
      <c r="TR38" s="120"/>
      <c r="TS38" s="120"/>
      <c r="TT38" s="120"/>
      <c r="TU38" s="120"/>
      <c r="TV38" s="120"/>
      <c r="TW38" s="120"/>
      <c r="TX38" s="120"/>
      <c r="TY38" s="120"/>
      <c r="TZ38" s="120"/>
      <c r="UA38" s="120"/>
      <c r="UB38" s="120"/>
      <c r="UC38" s="120"/>
      <c r="UD38" s="120"/>
      <c r="UE38" s="120"/>
      <c r="UF38" s="120"/>
      <c r="UG38" s="120"/>
      <c r="UH38" s="120"/>
      <c r="UI38" s="120"/>
      <c r="UJ38" s="120"/>
      <c r="UK38" s="120"/>
      <c r="UL38" s="120"/>
      <c r="UM38" s="120"/>
      <c r="UN38" s="120"/>
      <c r="UO38" s="120"/>
      <c r="UP38" s="120"/>
      <c r="UQ38" s="120"/>
      <c r="UR38" s="120"/>
      <c r="US38" s="120"/>
      <c r="UT38" s="120"/>
      <c r="UU38" s="120"/>
      <c r="UV38" s="120"/>
      <c r="UW38" s="120"/>
      <c r="UX38" s="120"/>
      <c r="UY38" s="120"/>
      <c r="UZ38" s="120"/>
      <c r="VA38" s="120"/>
      <c r="VB38" s="120"/>
      <c r="VC38" s="120"/>
      <c r="VD38" s="120"/>
      <c r="VE38" s="120"/>
      <c r="VF38" s="120"/>
      <c r="VG38" s="120"/>
      <c r="VH38" s="120"/>
      <c r="VI38" s="120"/>
      <c r="VJ38" s="120"/>
      <c r="VK38" s="120"/>
      <c r="VL38" s="120"/>
      <c r="VM38" s="120"/>
      <c r="VN38" s="120"/>
      <c r="VO38" s="120"/>
      <c r="VP38" s="120"/>
      <c r="VQ38" s="120"/>
      <c r="VR38" s="120"/>
      <c r="VS38" s="120"/>
      <c r="VT38" s="120"/>
      <c r="VU38" s="120"/>
      <c r="VV38" s="120"/>
      <c r="VW38" s="120"/>
      <c r="VX38" s="120"/>
      <c r="VY38" s="120"/>
      <c r="VZ38" s="120"/>
      <c r="WA38" s="120"/>
      <c r="WB38" s="120"/>
      <c r="WC38" s="120"/>
      <c r="WD38" s="120"/>
      <c r="WE38" s="120"/>
      <c r="WF38" s="120"/>
      <c r="WG38" s="120"/>
      <c r="WH38" s="120"/>
      <c r="WI38" s="120"/>
      <c r="WJ38" s="120"/>
      <c r="WK38" s="120"/>
      <c r="WL38" s="120"/>
      <c r="WM38" s="120"/>
      <c r="WN38" s="120"/>
      <c r="WO38" s="120"/>
      <c r="WP38" s="120"/>
      <c r="WQ38" s="120"/>
      <c r="WR38" s="120"/>
      <c r="WS38" s="120"/>
      <c r="WT38" s="120"/>
      <c r="WU38" s="120"/>
      <c r="WV38" s="120"/>
      <c r="WW38" s="120"/>
      <c r="WX38" s="120"/>
      <c r="WY38" s="120"/>
      <c r="WZ38" s="120"/>
      <c r="XA38" s="120"/>
      <c r="XB38" s="120"/>
      <c r="XC38" s="120"/>
      <c r="XD38" s="120"/>
      <c r="XE38" s="120"/>
      <c r="XF38" s="120"/>
      <c r="XG38" s="120"/>
      <c r="XH38" s="120"/>
      <c r="XI38" s="120"/>
      <c r="XJ38" s="120"/>
      <c r="XK38" s="120"/>
      <c r="XL38" s="120"/>
      <c r="XM38" s="120"/>
      <c r="XN38" s="120"/>
      <c r="XO38" s="120"/>
      <c r="XP38" s="120"/>
      <c r="XQ38" s="120"/>
      <c r="XR38" s="120"/>
      <c r="XS38" s="120"/>
      <c r="XT38" s="120"/>
      <c r="XU38" s="120"/>
      <c r="XV38" s="120"/>
      <c r="XW38" s="120"/>
      <c r="XX38" s="120"/>
      <c r="XY38" s="120"/>
      <c r="XZ38" s="120"/>
      <c r="YA38" s="120"/>
      <c r="YB38" s="120"/>
      <c r="YC38" s="120"/>
      <c r="YD38" s="120"/>
      <c r="YE38" s="120"/>
      <c r="YF38" s="120"/>
      <c r="YG38" s="120"/>
      <c r="YH38" s="120"/>
      <c r="YI38" s="120"/>
      <c r="YJ38" s="120"/>
      <c r="YK38" s="120"/>
      <c r="YL38" s="120"/>
      <c r="YM38" s="120"/>
      <c r="YN38" s="120"/>
      <c r="YO38" s="120"/>
      <c r="YP38" s="120"/>
      <c r="YQ38" s="120"/>
      <c r="YR38" s="120"/>
      <c r="YS38" s="120"/>
      <c r="YT38" s="120"/>
      <c r="YU38" s="120"/>
      <c r="YV38" s="120"/>
      <c r="YW38" s="120"/>
      <c r="YX38" s="120"/>
      <c r="YY38" s="120"/>
      <c r="YZ38" s="120"/>
      <c r="ZA38" s="120"/>
      <c r="ZB38" s="120"/>
      <c r="ZC38" s="120"/>
      <c r="ZD38" s="120"/>
      <c r="ZE38" s="120"/>
      <c r="ZF38" s="120"/>
      <c r="ZG38" s="120"/>
      <c r="ZH38" s="120"/>
      <c r="ZI38" s="120"/>
      <c r="ZJ38" s="120"/>
      <c r="ZK38" s="120"/>
      <c r="ZL38" s="120"/>
      <c r="ZM38" s="120"/>
      <c r="ZN38" s="120"/>
      <c r="ZO38" s="120"/>
      <c r="ZP38" s="120"/>
      <c r="ZQ38" s="120"/>
      <c r="ZR38" s="120"/>
      <c r="ZS38" s="120"/>
      <c r="ZT38" s="120"/>
      <c r="ZU38" s="120"/>
      <c r="ZV38" s="120"/>
      <c r="ZW38" s="120"/>
      <c r="ZX38" s="120"/>
      <c r="ZY38" s="120"/>
      <c r="ZZ38" s="120"/>
      <c r="AAA38" s="120"/>
      <c r="AAB38" s="120"/>
      <c r="AAC38" s="120"/>
      <c r="AAD38" s="120"/>
      <c r="AAE38" s="120"/>
      <c r="AAF38" s="120"/>
      <c r="AAG38" s="120"/>
      <c r="AAH38" s="120"/>
      <c r="AAI38" s="120"/>
      <c r="AAJ38" s="120"/>
      <c r="AAK38" s="120"/>
      <c r="AAL38" s="120"/>
      <c r="AAM38" s="120"/>
      <c r="AAN38" s="120"/>
      <c r="AAO38" s="120"/>
      <c r="AAP38" s="120"/>
      <c r="AAQ38" s="120"/>
      <c r="AAR38" s="120"/>
      <c r="AAS38" s="120"/>
      <c r="AAT38" s="120"/>
      <c r="AAU38" s="120"/>
      <c r="AAV38" s="120"/>
      <c r="AAW38" s="120"/>
      <c r="AAX38" s="120"/>
      <c r="AAY38" s="120"/>
      <c r="AAZ38" s="120"/>
      <c r="ABA38" s="120"/>
      <c r="ABB38" s="120"/>
      <c r="ABC38" s="120"/>
      <c r="ABD38" s="120"/>
      <c r="ABE38" s="120"/>
      <c r="ABF38" s="120"/>
      <c r="ABG38" s="120"/>
      <c r="ABH38" s="120"/>
      <c r="ABI38" s="120"/>
      <c r="ABJ38" s="120"/>
      <c r="ABK38" s="120"/>
      <c r="ABL38" s="120"/>
      <c r="ABM38" s="120"/>
      <c r="ABN38" s="120"/>
      <c r="ABO38" s="120"/>
      <c r="ABP38" s="120"/>
      <c r="ABQ38" s="120"/>
      <c r="ABR38" s="120"/>
      <c r="ABS38" s="120"/>
      <c r="ABT38" s="120"/>
      <c r="ABU38" s="120"/>
      <c r="ABV38" s="120"/>
      <c r="ABW38" s="120"/>
      <c r="ABX38" s="120"/>
      <c r="ABY38" s="120"/>
      <c r="ABZ38" s="120"/>
      <c r="ACA38" s="120"/>
      <c r="ACB38" s="120"/>
      <c r="ACC38" s="120"/>
      <c r="ACD38" s="120"/>
      <c r="ACE38" s="120"/>
      <c r="ACF38" s="120"/>
      <c r="ACG38" s="120"/>
      <c r="ACH38" s="120"/>
      <c r="ACI38" s="120"/>
      <c r="ACJ38" s="120"/>
      <c r="ACK38" s="120"/>
      <c r="ACL38" s="120"/>
      <c r="ACM38" s="120"/>
      <c r="ACN38" s="120"/>
      <c r="ACO38" s="120"/>
      <c r="ACP38" s="120"/>
      <c r="ACQ38" s="120"/>
      <c r="ACR38" s="120"/>
      <c r="ACS38" s="120"/>
      <c r="ACT38" s="120"/>
      <c r="ACU38" s="120"/>
      <c r="ACV38" s="120"/>
      <c r="ACW38" s="120"/>
      <c r="ACX38" s="120"/>
      <c r="ACY38" s="120"/>
      <c r="ACZ38" s="120"/>
      <c r="ADA38" s="120"/>
      <c r="ADB38" s="120"/>
      <c r="ADC38" s="120"/>
      <c r="ADD38" s="120"/>
      <c r="ADE38" s="120"/>
      <c r="ADF38" s="120"/>
      <c r="ADG38" s="120"/>
      <c r="ADH38" s="120"/>
      <c r="ADI38" s="120"/>
      <c r="ADJ38" s="120"/>
      <c r="ADK38" s="120"/>
      <c r="ADL38" s="120"/>
      <c r="ADM38" s="120"/>
      <c r="ADN38" s="120"/>
      <c r="ADO38" s="120"/>
      <c r="ADP38" s="120"/>
      <c r="ADQ38" s="120"/>
      <c r="ADR38" s="120"/>
      <c r="ADS38" s="120"/>
      <c r="ADT38" s="120"/>
      <c r="ADU38" s="120"/>
      <c r="ADV38" s="120"/>
      <c r="ADW38" s="120"/>
      <c r="ADX38" s="120"/>
      <c r="ADY38" s="120"/>
      <c r="ADZ38" s="120"/>
      <c r="AEA38" s="120"/>
      <c r="AEB38" s="120"/>
      <c r="AEC38" s="120"/>
      <c r="AED38" s="120"/>
      <c r="AEE38" s="120"/>
      <c r="AEF38" s="120"/>
      <c r="AEG38" s="120"/>
      <c r="AEH38" s="120"/>
      <c r="AEI38" s="120"/>
      <c r="AEJ38" s="120"/>
      <c r="AEK38" s="120"/>
      <c r="AEL38" s="120"/>
      <c r="AEM38" s="120"/>
      <c r="AEN38" s="120"/>
      <c r="AEO38" s="120"/>
      <c r="AEP38" s="120"/>
      <c r="AEQ38" s="120"/>
      <c r="AER38" s="120"/>
      <c r="AES38" s="120"/>
      <c r="AET38" s="120"/>
      <c r="AEU38" s="120"/>
      <c r="AEV38" s="120"/>
      <c r="AEW38" s="120"/>
      <c r="AEX38" s="120"/>
      <c r="AEY38" s="120"/>
      <c r="AEZ38" s="120"/>
      <c r="AFA38" s="120"/>
      <c r="AFB38" s="120"/>
      <c r="AFC38" s="120"/>
      <c r="AFD38" s="120"/>
      <c r="AFE38" s="120"/>
      <c r="AFF38" s="120"/>
      <c r="AFG38" s="120"/>
      <c r="AFH38" s="120"/>
      <c r="AFI38" s="120"/>
      <c r="AFJ38" s="120"/>
      <c r="AFK38" s="120"/>
      <c r="AFL38" s="120"/>
      <c r="AFM38" s="120"/>
      <c r="AFN38" s="120"/>
      <c r="AFO38" s="120"/>
      <c r="AFP38" s="120"/>
      <c r="AFQ38" s="120"/>
      <c r="AFR38" s="120"/>
      <c r="AFS38" s="120"/>
      <c r="AFT38" s="120"/>
      <c r="AFU38" s="120"/>
      <c r="AFV38" s="120"/>
      <c r="AFW38" s="120"/>
      <c r="AFX38" s="120"/>
      <c r="AFY38" s="120"/>
      <c r="AFZ38" s="120"/>
      <c r="AGA38" s="120"/>
      <c r="AGB38" s="120"/>
      <c r="AGC38" s="120"/>
      <c r="AGD38" s="120"/>
      <c r="AGE38" s="120"/>
      <c r="AGF38" s="120"/>
      <c r="AGG38" s="120"/>
      <c r="AGH38" s="120"/>
      <c r="AGI38" s="120"/>
      <c r="AGJ38" s="120"/>
      <c r="AGK38" s="120"/>
      <c r="AGL38" s="120"/>
      <c r="AGM38" s="120"/>
      <c r="AGN38" s="120"/>
      <c r="AGO38" s="120"/>
      <c r="AGP38" s="120"/>
      <c r="AGQ38" s="120"/>
      <c r="AGR38" s="120"/>
      <c r="AGS38" s="120"/>
      <c r="AGT38" s="120"/>
      <c r="AGU38" s="120"/>
      <c r="AGV38" s="120"/>
      <c r="AGW38" s="120"/>
      <c r="AGX38" s="120"/>
      <c r="AGY38" s="120"/>
      <c r="AGZ38" s="120"/>
      <c r="AHA38" s="120"/>
      <c r="AHB38" s="120"/>
      <c r="AHC38" s="120"/>
      <c r="AHD38" s="120"/>
      <c r="AHE38" s="120"/>
      <c r="AHF38" s="120"/>
      <c r="AHG38" s="120"/>
      <c r="AHH38" s="120"/>
      <c r="AHI38" s="120"/>
      <c r="AHJ38" s="120"/>
      <c r="AHK38" s="120"/>
      <c r="AHL38" s="120"/>
      <c r="AHM38" s="120"/>
      <c r="AHN38" s="120"/>
      <c r="AHO38" s="120"/>
      <c r="AHP38" s="120"/>
      <c r="AHQ38" s="120"/>
      <c r="AHR38" s="120"/>
      <c r="AHS38" s="120"/>
      <c r="AHT38" s="120"/>
      <c r="AHU38" s="120"/>
      <c r="AHV38" s="120"/>
      <c r="AHW38" s="120"/>
      <c r="AHX38" s="120"/>
      <c r="AHY38" s="120"/>
      <c r="AHZ38" s="120"/>
      <c r="AIA38" s="120"/>
      <c r="AIB38" s="120"/>
      <c r="AIC38" s="120"/>
      <c r="AID38" s="120"/>
      <c r="AIE38" s="120"/>
      <c r="AIF38" s="120"/>
      <c r="AIG38" s="120"/>
      <c r="AIH38" s="120"/>
      <c r="AII38" s="120"/>
      <c r="AIJ38" s="120"/>
      <c r="AIK38" s="120"/>
      <c r="AIL38" s="120"/>
      <c r="AIM38" s="120"/>
      <c r="AIN38" s="120"/>
      <c r="AIO38" s="120"/>
      <c r="AIP38" s="120"/>
      <c r="AIQ38" s="120"/>
      <c r="AIR38" s="120"/>
      <c r="AIS38" s="120"/>
      <c r="AIT38" s="120"/>
      <c r="AIU38" s="120"/>
      <c r="AIV38" s="120"/>
      <c r="AIW38" s="120"/>
      <c r="AIX38" s="120"/>
      <c r="AIY38" s="120"/>
      <c r="AIZ38" s="120"/>
    </row>
    <row r="39">
      <c r="A39" s="112" t="s">
        <v>7</v>
      </c>
      <c r="B39" s="112" t="s">
        <v>34</v>
      </c>
      <c r="C39" s="112"/>
      <c r="D39" s="113">
        <f t="shared" si="1"/>
        <v>566.44595</v>
      </c>
      <c r="E39" s="112">
        <v>90.9001333333334</v>
      </c>
      <c r="F39" s="113"/>
      <c r="G39" s="113"/>
      <c r="H39" s="113"/>
      <c r="I39" s="113"/>
      <c r="J39" s="113"/>
      <c r="K39" s="113"/>
      <c r="L39" s="112">
        <v>1.00543333333333</v>
      </c>
      <c r="M39" s="112">
        <v>38.3396</v>
      </c>
      <c r="N39" s="113"/>
      <c r="O39" s="112">
        <v>0.327616666666667</v>
      </c>
      <c r="P39" s="112">
        <v>155.8089</v>
      </c>
      <c r="Q39" s="113"/>
      <c r="R39" s="113"/>
      <c r="S39" s="113"/>
      <c r="T39" s="113"/>
      <c r="U39" s="113"/>
      <c r="V39" s="112">
        <v>2.10278333333333</v>
      </c>
      <c r="W39" s="112">
        <v>60.68415</v>
      </c>
      <c r="X39" s="113"/>
      <c r="Y39" s="113"/>
      <c r="Z39" s="113"/>
      <c r="AA39" s="113"/>
      <c r="AB39" s="113"/>
      <c r="AC39" s="112">
        <v>3.43426666666667</v>
      </c>
      <c r="AD39" s="112">
        <v>32.6604833333333</v>
      </c>
      <c r="AE39" s="113"/>
      <c r="AF39" s="113"/>
      <c r="AG39" s="113"/>
      <c r="AH39" s="113"/>
      <c r="AI39" s="113"/>
      <c r="AJ39" s="112">
        <v>1.36421666666667</v>
      </c>
      <c r="AK39" s="112">
        <v>103.951616666666</v>
      </c>
      <c r="AL39" s="113"/>
      <c r="AM39" s="113"/>
      <c r="AN39" s="113"/>
      <c r="AO39" s="112">
        <v>6.07595</v>
      </c>
      <c r="AP39" s="112">
        <v>14.0501833333333</v>
      </c>
      <c r="AQ39" s="113"/>
      <c r="AR39" s="113"/>
      <c r="AS39" s="112">
        <v>1.77403333333333</v>
      </c>
      <c r="AT39" s="112">
        <v>47.6355833333333</v>
      </c>
      <c r="AU39" s="113"/>
      <c r="AV39" s="112">
        <v>5.10088333333333</v>
      </c>
      <c r="AW39" s="112">
        <v>1.23011666666667</v>
      </c>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113"/>
      <c r="CB39" s="113"/>
      <c r="CC39" s="113"/>
      <c r="CD39" s="113"/>
      <c r="CE39" s="113"/>
      <c r="CF39" s="113"/>
      <c r="CG39" s="113"/>
      <c r="CH39" s="113"/>
      <c r="CI39" s="113"/>
      <c r="CJ39" s="113"/>
      <c r="CK39" s="113"/>
      <c r="CL39" s="113"/>
      <c r="CM39" s="113"/>
      <c r="CN39" s="113"/>
      <c r="CO39" s="113"/>
      <c r="CP39" s="113"/>
      <c r="CQ39" s="113"/>
      <c r="CR39" s="113"/>
      <c r="CS39" s="113"/>
      <c r="CT39" s="113"/>
      <c r="CU39" s="113"/>
      <c r="CV39" s="113"/>
      <c r="CW39" s="113"/>
      <c r="CX39" s="113"/>
      <c r="CY39" s="113"/>
      <c r="CZ39" s="113"/>
      <c r="DA39" s="113"/>
      <c r="DB39" s="113"/>
      <c r="DC39" s="113"/>
      <c r="DD39" s="113"/>
      <c r="DE39" s="113"/>
      <c r="DF39" s="113"/>
      <c r="DG39" s="113"/>
      <c r="DH39" s="113"/>
      <c r="DI39" s="113"/>
      <c r="DJ39" s="113"/>
      <c r="DK39" s="113"/>
      <c r="DL39" s="113"/>
      <c r="DM39" s="113"/>
      <c r="DN39" s="113"/>
      <c r="DO39" s="113"/>
      <c r="DP39" s="113"/>
      <c r="DQ39" s="113"/>
      <c r="DR39" s="113"/>
      <c r="DS39" s="113"/>
      <c r="DT39" s="113"/>
      <c r="DU39" s="113"/>
      <c r="DV39" s="113"/>
      <c r="DW39" s="113"/>
      <c r="DX39" s="113"/>
      <c r="DY39" s="113"/>
      <c r="DZ39" s="113"/>
      <c r="EA39" s="113"/>
      <c r="EB39" s="113"/>
      <c r="EC39" s="113"/>
      <c r="ED39" s="113"/>
      <c r="EE39" s="113"/>
      <c r="EF39" s="113"/>
      <c r="EG39" s="113"/>
      <c r="EH39" s="113"/>
      <c r="EI39" s="113"/>
      <c r="EJ39" s="113"/>
      <c r="EK39" s="113"/>
      <c r="EL39" s="113"/>
      <c r="EM39" s="113"/>
      <c r="EN39" s="113"/>
      <c r="EO39" s="113"/>
      <c r="EP39" s="113"/>
      <c r="EQ39" s="113"/>
      <c r="ER39" s="113"/>
      <c r="ES39" s="113"/>
      <c r="ET39" s="113"/>
      <c r="EU39" s="113"/>
      <c r="EV39" s="113"/>
      <c r="EW39" s="113"/>
      <c r="EX39" s="113"/>
      <c r="EY39" s="113"/>
      <c r="EZ39" s="113"/>
      <c r="FA39" s="113"/>
      <c r="FB39" s="113"/>
      <c r="FC39" s="113"/>
      <c r="FD39" s="113"/>
      <c r="FE39" s="113"/>
      <c r="FF39" s="113"/>
      <c r="FG39" s="113"/>
      <c r="FH39" s="113"/>
      <c r="FI39" s="113"/>
      <c r="FJ39" s="113"/>
      <c r="FK39" s="113"/>
      <c r="FL39" s="113"/>
      <c r="FM39" s="113"/>
      <c r="FN39" s="113"/>
      <c r="FO39" s="113"/>
      <c r="FP39" s="113"/>
      <c r="FQ39" s="113"/>
      <c r="FR39" s="113"/>
      <c r="FS39" s="113"/>
      <c r="FT39" s="113"/>
      <c r="FU39" s="113"/>
      <c r="FV39" s="113"/>
      <c r="FW39" s="113"/>
      <c r="FX39" s="113"/>
      <c r="FY39" s="113"/>
      <c r="FZ39" s="113"/>
      <c r="GA39" s="113"/>
      <c r="GB39" s="113"/>
      <c r="GC39" s="113"/>
      <c r="GD39" s="113"/>
      <c r="GE39" s="113"/>
      <c r="GF39" s="113"/>
      <c r="GG39" s="113"/>
      <c r="GH39" s="113"/>
      <c r="GI39" s="113"/>
      <c r="GJ39" s="113"/>
      <c r="GK39" s="113"/>
      <c r="GL39" s="113"/>
      <c r="GM39" s="113"/>
      <c r="GN39" s="113"/>
      <c r="GO39" s="113"/>
      <c r="GP39" s="113"/>
      <c r="GQ39" s="113"/>
      <c r="GR39" s="113"/>
      <c r="GS39" s="113"/>
      <c r="GT39" s="113"/>
      <c r="GU39" s="113"/>
      <c r="GV39" s="113"/>
      <c r="GW39" s="113"/>
      <c r="GX39" s="113"/>
      <c r="GY39" s="113"/>
      <c r="GZ39" s="113"/>
      <c r="HA39" s="113"/>
      <c r="HB39" s="113"/>
      <c r="HC39" s="113"/>
      <c r="HD39" s="113"/>
      <c r="HE39" s="113"/>
      <c r="HF39" s="113"/>
      <c r="HG39" s="113"/>
      <c r="HH39" s="113"/>
      <c r="HI39" s="113"/>
      <c r="HJ39" s="113"/>
      <c r="HK39" s="113"/>
      <c r="HL39" s="113"/>
      <c r="HM39" s="113"/>
      <c r="HN39" s="113"/>
      <c r="HO39" s="113"/>
      <c r="HP39" s="113"/>
      <c r="HQ39" s="113"/>
      <c r="HR39" s="113"/>
      <c r="HS39" s="113"/>
      <c r="HT39" s="113"/>
      <c r="HU39" s="113"/>
      <c r="HV39" s="113"/>
      <c r="HW39" s="113"/>
      <c r="HX39" s="113"/>
      <c r="HY39" s="113"/>
      <c r="HZ39" s="113"/>
      <c r="IA39" s="113"/>
      <c r="IB39" s="113"/>
      <c r="IC39" s="113"/>
      <c r="ID39" s="113"/>
      <c r="IE39" s="113"/>
      <c r="IF39" s="113"/>
      <c r="IG39" s="113"/>
      <c r="IH39" s="113"/>
      <c r="II39" s="113"/>
      <c r="IJ39" s="113"/>
      <c r="IK39" s="113"/>
      <c r="IL39" s="113"/>
      <c r="IM39" s="113"/>
      <c r="IN39" s="113"/>
      <c r="IO39" s="113"/>
      <c r="IP39" s="113"/>
      <c r="IQ39" s="113"/>
      <c r="IR39" s="113"/>
      <c r="IS39" s="113"/>
      <c r="IT39" s="113"/>
      <c r="IU39" s="113"/>
      <c r="IV39" s="113"/>
      <c r="IW39" s="113"/>
      <c r="IX39" s="113"/>
      <c r="IY39" s="113"/>
      <c r="IZ39" s="113"/>
      <c r="JA39" s="113"/>
      <c r="JB39" s="113"/>
      <c r="JC39" s="113"/>
      <c r="JD39" s="113"/>
      <c r="JE39" s="113"/>
      <c r="JF39" s="113"/>
      <c r="JG39" s="113"/>
      <c r="JH39" s="113"/>
      <c r="JI39" s="113"/>
      <c r="JJ39" s="113"/>
      <c r="JK39" s="113"/>
      <c r="JL39" s="113"/>
      <c r="JM39" s="113"/>
      <c r="JN39" s="113"/>
      <c r="JO39" s="113"/>
      <c r="JP39" s="113"/>
      <c r="JQ39" s="113"/>
      <c r="JR39" s="113"/>
      <c r="JS39" s="113"/>
      <c r="JT39" s="113"/>
      <c r="JU39" s="113"/>
      <c r="JV39" s="113"/>
      <c r="JW39" s="113"/>
      <c r="JX39" s="113"/>
      <c r="JY39" s="113"/>
      <c r="JZ39" s="113"/>
      <c r="KA39" s="113"/>
      <c r="KB39" s="113"/>
      <c r="KC39" s="113"/>
      <c r="KD39" s="113"/>
      <c r="KE39" s="113"/>
      <c r="KF39" s="113"/>
      <c r="KG39" s="113"/>
      <c r="KH39" s="113"/>
      <c r="KI39" s="113"/>
      <c r="KJ39" s="113"/>
      <c r="KK39" s="113"/>
      <c r="KL39" s="113"/>
      <c r="KM39" s="113"/>
      <c r="KN39" s="113"/>
      <c r="KO39" s="113"/>
      <c r="KP39" s="113"/>
      <c r="KQ39" s="113"/>
      <c r="KR39" s="113"/>
      <c r="KS39" s="113"/>
      <c r="KT39" s="113"/>
      <c r="KU39" s="113"/>
      <c r="KV39" s="113"/>
      <c r="KW39" s="113"/>
      <c r="KX39" s="113"/>
      <c r="KY39" s="113"/>
      <c r="KZ39" s="113"/>
      <c r="LA39" s="113"/>
      <c r="LB39" s="113"/>
      <c r="LC39" s="113"/>
      <c r="LD39" s="113"/>
      <c r="LE39" s="113"/>
      <c r="LF39" s="113"/>
      <c r="LG39" s="113"/>
      <c r="LH39" s="113"/>
      <c r="LI39" s="113"/>
      <c r="LJ39" s="113"/>
      <c r="LK39" s="113"/>
      <c r="LL39" s="113"/>
      <c r="LM39" s="113"/>
      <c r="LN39" s="113"/>
      <c r="LO39" s="113"/>
      <c r="LP39" s="113"/>
      <c r="LQ39" s="113"/>
      <c r="LR39" s="113"/>
      <c r="LS39" s="113"/>
      <c r="LT39" s="113"/>
      <c r="LU39" s="113"/>
      <c r="LV39" s="113"/>
      <c r="LW39" s="113"/>
      <c r="LX39" s="113"/>
      <c r="LY39" s="113"/>
      <c r="LZ39" s="113"/>
      <c r="MA39" s="113"/>
      <c r="MB39" s="113"/>
      <c r="MC39" s="113"/>
      <c r="MD39" s="113"/>
      <c r="ME39" s="113"/>
      <c r="MF39" s="113"/>
      <c r="MG39" s="113"/>
      <c r="MH39" s="113"/>
      <c r="MI39" s="113"/>
      <c r="MJ39" s="113"/>
      <c r="MK39" s="113"/>
      <c r="ML39" s="113"/>
      <c r="MM39" s="113"/>
      <c r="MN39" s="113"/>
      <c r="MO39" s="113"/>
      <c r="MP39" s="113"/>
      <c r="MQ39" s="113"/>
      <c r="MR39" s="113"/>
      <c r="MS39" s="113"/>
      <c r="MT39" s="113"/>
      <c r="MU39" s="113"/>
      <c r="MV39" s="113"/>
      <c r="MW39" s="113"/>
      <c r="MX39" s="113"/>
      <c r="MY39" s="113"/>
      <c r="MZ39" s="113"/>
      <c r="NA39" s="113"/>
      <c r="NB39" s="113"/>
      <c r="NC39" s="113"/>
      <c r="ND39" s="113"/>
      <c r="NE39" s="113"/>
      <c r="NF39" s="113"/>
      <c r="NG39" s="113"/>
      <c r="NH39" s="113"/>
      <c r="NI39" s="113"/>
      <c r="NJ39" s="113"/>
      <c r="NK39" s="113"/>
      <c r="NL39" s="113"/>
      <c r="NM39" s="113"/>
      <c r="NN39" s="113"/>
      <c r="NO39" s="113"/>
      <c r="NP39" s="113"/>
      <c r="NQ39" s="113"/>
      <c r="NR39" s="113"/>
      <c r="NS39" s="113"/>
      <c r="NT39" s="113"/>
      <c r="NU39" s="113"/>
      <c r="NV39" s="113"/>
      <c r="NW39" s="113"/>
      <c r="NX39" s="113"/>
      <c r="NY39" s="113"/>
      <c r="NZ39" s="113"/>
      <c r="OA39" s="113"/>
      <c r="OB39" s="113"/>
      <c r="OC39" s="113"/>
      <c r="OD39" s="113"/>
      <c r="OE39" s="113"/>
      <c r="OF39" s="113"/>
      <c r="OG39" s="113"/>
      <c r="OH39" s="113"/>
      <c r="OI39" s="113"/>
      <c r="OJ39" s="113"/>
      <c r="OK39" s="113"/>
      <c r="OL39" s="113"/>
      <c r="OM39" s="113"/>
      <c r="ON39" s="113"/>
      <c r="OO39" s="113"/>
      <c r="OP39" s="113"/>
      <c r="OQ39" s="113"/>
      <c r="OR39" s="113"/>
      <c r="OS39" s="113"/>
      <c r="OT39" s="113"/>
      <c r="OU39" s="113"/>
      <c r="OV39" s="113"/>
      <c r="OW39" s="113"/>
      <c r="OX39" s="113"/>
      <c r="OY39" s="113"/>
      <c r="OZ39" s="113"/>
      <c r="PA39" s="113"/>
      <c r="PB39" s="113"/>
      <c r="PC39" s="113"/>
      <c r="PD39" s="113"/>
      <c r="PE39" s="113"/>
      <c r="PF39" s="113"/>
      <c r="PG39" s="113"/>
      <c r="PH39" s="113"/>
      <c r="PI39" s="113"/>
      <c r="PJ39" s="113"/>
      <c r="PK39" s="113"/>
      <c r="PL39" s="113"/>
      <c r="PM39" s="113"/>
      <c r="PN39" s="113"/>
      <c r="PO39" s="113"/>
      <c r="PP39" s="113"/>
      <c r="PQ39" s="113"/>
      <c r="PR39" s="113"/>
      <c r="PS39" s="113"/>
      <c r="PT39" s="113"/>
      <c r="PU39" s="113"/>
      <c r="PV39" s="113"/>
      <c r="PW39" s="113"/>
      <c r="PX39" s="113"/>
      <c r="PY39" s="113"/>
      <c r="PZ39" s="113"/>
      <c r="QA39" s="113"/>
      <c r="QB39" s="113"/>
      <c r="QC39" s="113"/>
      <c r="QD39" s="113"/>
      <c r="QE39" s="113"/>
      <c r="QF39" s="113"/>
      <c r="QG39" s="113"/>
      <c r="QH39" s="113"/>
      <c r="QI39" s="113"/>
      <c r="QJ39" s="113"/>
      <c r="QK39" s="113"/>
      <c r="QL39" s="113"/>
      <c r="QM39" s="113"/>
      <c r="QN39" s="113"/>
      <c r="QO39" s="113"/>
      <c r="QP39" s="113"/>
      <c r="QQ39" s="113"/>
      <c r="QR39" s="113"/>
      <c r="QS39" s="113"/>
      <c r="QT39" s="113"/>
      <c r="QU39" s="113"/>
      <c r="QV39" s="113"/>
      <c r="QW39" s="113"/>
      <c r="QX39" s="113"/>
      <c r="QY39" s="113"/>
      <c r="QZ39" s="113"/>
      <c r="RA39" s="113"/>
      <c r="RB39" s="113"/>
      <c r="RC39" s="113"/>
      <c r="RD39" s="113"/>
      <c r="RE39" s="113"/>
      <c r="RF39" s="113"/>
      <c r="RG39" s="113"/>
      <c r="RH39" s="113"/>
      <c r="RI39" s="113"/>
      <c r="RJ39" s="113"/>
      <c r="RK39" s="113"/>
      <c r="RL39" s="113"/>
      <c r="RM39" s="113"/>
      <c r="RN39" s="113"/>
      <c r="RO39" s="113"/>
      <c r="RP39" s="113"/>
      <c r="RQ39" s="113"/>
      <c r="RR39" s="113"/>
      <c r="RS39" s="113"/>
      <c r="RT39" s="113"/>
      <c r="RU39" s="113"/>
      <c r="RV39" s="113"/>
      <c r="RW39" s="113"/>
      <c r="RX39" s="113"/>
      <c r="RY39" s="113"/>
      <c r="RZ39" s="113"/>
      <c r="SA39" s="113"/>
      <c r="SB39" s="113"/>
      <c r="SC39" s="113"/>
      <c r="SD39" s="113"/>
      <c r="SE39" s="113"/>
      <c r="SF39" s="113"/>
      <c r="SG39" s="113"/>
      <c r="SH39" s="113"/>
      <c r="SI39" s="113"/>
      <c r="SJ39" s="113"/>
      <c r="SK39" s="113"/>
      <c r="SL39" s="113"/>
      <c r="SM39" s="113"/>
      <c r="SN39" s="113"/>
      <c r="SO39" s="113"/>
      <c r="SP39" s="113"/>
      <c r="SQ39" s="113"/>
      <c r="SR39" s="113"/>
      <c r="SS39" s="113"/>
      <c r="ST39" s="113"/>
      <c r="SU39" s="113"/>
      <c r="SV39" s="113"/>
      <c r="SW39" s="113"/>
      <c r="SX39" s="113"/>
      <c r="SY39" s="113"/>
      <c r="SZ39" s="113"/>
      <c r="TA39" s="113"/>
      <c r="TB39" s="113"/>
      <c r="TC39" s="113"/>
      <c r="TD39" s="113"/>
      <c r="TE39" s="113"/>
      <c r="TF39" s="113"/>
      <c r="TG39" s="113"/>
      <c r="TH39" s="113"/>
      <c r="TI39" s="113"/>
      <c r="TJ39" s="113"/>
      <c r="TK39" s="113"/>
      <c r="TL39" s="113"/>
      <c r="TM39" s="113"/>
      <c r="TN39" s="113"/>
      <c r="TO39" s="113"/>
      <c r="TP39" s="113"/>
      <c r="TQ39" s="113"/>
      <c r="TR39" s="113"/>
      <c r="TS39" s="113"/>
      <c r="TT39" s="113"/>
      <c r="TU39" s="113"/>
      <c r="TV39" s="113"/>
      <c r="TW39" s="113"/>
      <c r="TX39" s="113"/>
      <c r="TY39" s="113"/>
      <c r="TZ39" s="113"/>
      <c r="UA39" s="113"/>
      <c r="UB39" s="113"/>
      <c r="UC39" s="113"/>
      <c r="UD39" s="113"/>
      <c r="UE39" s="113"/>
      <c r="UF39" s="113"/>
      <c r="UG39" s="113"/>
      <c r="UH39" s="113"/>
      <c r="UI39" s="113"/>
      <c r="UJ39" s="113"/>
      <c r="UK39" s="113"/>
      <c r="UL39" s="113"/>
      <c r="UM39" s="113"/>
      <c r="UN39" s="113"/>
      <c r="UO39" s="113"/>
      <c r="UP39" s="113"/>
      <c r="UQ39" s="113"/>
      <c r="UR39" s="113"/>
      <c r="US39" s="113"/>
      <c r="UT39" s="113"/>
      <c r="UU39" s="113"/>
      <c r="UV39" s="113"/>
      <c r="UW39" s="113"/>
      <c r="UX39" s="113"/>
      <c r="UY39" s="113"/>
      <c r="UZ39" s="113"/>
      <c r="VA39" s="113"/>
      <c r="VB39" s="113"/>
      <c r="VC39" s="113"/>
      <c r="VD39" s="113"/>
      <c r="VE39" s="113"/>
      <c r="VF39" s="113"/>
      <c r="VG39" s="113"/>
      <c r="VH39" s="113"/>
      <c r="VI39" s="113"/>
      <c r="VJ39" s="113"/>
      <c r="VK39" s="113"/>
      <c r="VL39" s="113"/>
      <c r="VM39" s="113"/>
      <c r="VN39" s="113"/>
      <c r="VO39" s="113"/>
      <c r="VP39" s="113"/>
      <c r="VQ39" s="113"/>
      <c r="VR39" s="113"/>
      <c r="VS39" s="113"/>
      <c r="VT39" s="113"/>
      <c r="VU39" s="113"/>
      <c r="VV39" s="113"/>
      <c r="VW39" s="113"/>
      <c r="VX39" s="113"/>
      <c r="VY39" s="113"/>
      <c r="VZ39" s="113"/>
      <c r="WA39" s="113"/>
      <c r="WB39" s="113"/>
      <c r="WC39" s="113"/>
      <c r="WD39" s="113"/>
      <c r="WE39" s="113"/>
      <c r="WF39" s="113"/>
      <c r="WG39" s="113"/>
      <c r="WH39" s="113"/>
      <c r="WI39" s="113"/>
      <c r="WJ39" s="113"/>
      <c r="WK39" s="113"/>
      <c r="WL39" s="113"/>
      <c r="WM39" s="113"/>
      <c r="WN39" s="113"/>
      <c r="WO39" s="113"/>
      <c r="WP39" s="113"/>
      <c r="WQ39" s="113"/>
      <c r="WR39" s="113"/>
      <c r="WS39" s="113"/>
      <c r="WT39" s="113"/>
      <c r="WU39" s="113"/>
      <c r="WV39" s="113"/>
      <c r="WW39" s="113"/>
      <c r="WX39" s="113"/>
      <c r="WY39" s="113"/>
      <c r="WZ39" s="113"/>
      <c r="XA39" s="113"/>
      <c r="XB39" s="113"/>
      <c r="XC39" s="113"/>
      <c r="XD39" s="113"/>
      <c r="XE39" s="113"/>
      <c r="XF39" s="113"/>
      <c r="XG39" s="113"/>
      <c r="XH39" s="113"/>
      <c r="XI39" s="113"/>
      <c r="XJ39" s="113"/>
      <c r="XK39" s="113"/>
      <c r="XL39" s="113"/>
      <c r="XM39" s="113"/>
      <c r="XN39" s="113"/>
      <c r="XO39" s="113"/>
      <c r="XP39" s="113"/>
      <c r="XQ39" s="113"/>
      <c r="XR39" s="113"/>
      <c r="XS39" s="113"/>
      <c r="XT39" s="113"/>
      <c r="XU39" s="113"/>
      <c r="XV39" s="113"/>
      <c r="XW39" s="113"/>
      <c r="XX39" s="113"/>
      <c r="XY39" s="113"/>
      <c r="XZ39" s="113"/>
      <c r="YA39" s="113"/>
      <c r="YB39" s="113"/>
      <c r="YC39" s="113"/>
      <c r="YD39" s="113"/>
      <c r="YE39" s="113"/>
      <c r="YF39" s="113"/>
      <c r="YG39" s="113"/>
      <c r="YH39" s="113"/>
      <c r="YI39" s="113"/>
      <c r="YJ39" s="113"/>
      <c r="YK39" s="113"/>
      <c r="YL39" s="113"/>
      <c r="YM39" s="113"/>
      <c r="YN39" s="113"/>
      <c r="YO39" s="113"/>
      <c r="YP39" s="113"/>
      <c r="YQ39" s="113"/>
      <c r="YR39" s="113"/>
      <c r="YS39" s="113"/>
      <c r="YT39" s="113"/>
      <c r="YU39" s="113"/>
      <c r="YV39" s="113"/>
      <c r="YW39" s="113"/>
      <c r="YX39" s="113"/>
      <c r="YY39" s="113"/>
      <c r="YZ39" s="113"/>
      <c r="ZA39" s="113"/>
      <c r="ZB39" s="113"/>
      <c r="ZC39" s="113"/>
      <c r="ZD39" s="113"/>
      <c r="ZE39" s="113"/>
      <c r="ZF39" s="113"/>
      <c r="ZG39" s="113"/>
      <c r="ZH39" s="113"/>
      <c r="ZI39" s="113"/>
      <c r="ZJ39" s="113"/>
      <c r="ZK39" s="113"/>
      <c r="ZL39" s="113"/>
      <c r="ZM39" s="113"/>
      <c r="ZN39" s="113"/>
      <c r="ZO39" s="113"/>
      <c r="ZP39" s="113"/>
      <c r="ZQ39" s="113"/>
      <c r="ZR39" s="113"/>
      <c r="ZS39" s="113"/>
      <c r="ZT39" s="113"/>
      <c r="ZU39" s="113"/>
      <c r="ZV39" s="113"/>
      <c r="ZW39" s="113"/>
      <c r="ZX39" s="113"/>
      <c r="ZY39" s="113"/>
      <c r="ZZ39" s="113"/>
      <c r="AAA39" s="113"/>
      <c r="AAB39" s="113"/>
      <c r="AAC39" s="113"/>
      <c r="AAD39" s="113"/>
      <c r="AAE39" s="113"/>
      <c r="AAF39" s="113"/>
      <c r="AAG39" s="113"/>
      <c r="AAH39" s="113"/>
      <c r="AAI39" s="113"/>
      <c r="AAJ39" s="113"/>
      <c r="AAK39" s="113"/>
      <c r="AAL39" s="113"/>
      <c r="AAM39" s="113"/>
      <c r="AAN39" s="113"/>
      <c r="AAO39" s="113"/>
      <c r="AAP39" s="113"/>
      <c r="AAQ39" s="113"/>
      <c r="AAR39" s="113"/>
      <c r="AAS39" s="113"/>
      <c r="AAT39" s="113"/>
      <c r="AAU39" s="113"/>
      <c r="AAV39" s="113"/>
      <c r="AAW39" s="113"/>
      <c r="AAX39" s="113"/>
      <c r="AAY39" s="113"/>
      <c r="AAZ39" s="113"/>
      <c r="ABA39" s="113"/>
      <c r="ABB39" s="113"/>
      <c r="ABC39" s="113"/>
      <c r="ABD39" s="113"/>
      <c r="ABE39" s="113"/>
      <c r="ABF39" s="113"/>
      <c r="ABG39" s="113"/>
      <c r="ABH39" s="113"/>
      <c r="ABI39" s="113"/>
      <c r="ABJ39" s="113"/>
      <c r="ABK39" s="113"/>
      <c r="ABL39" s="113"/>
      <c r="ABM39" s="113"/>
      <c r="ABN39" s="113"/>
      <c r="ABO39" s="113"/>
      <c r="ABP39" s="113"/>
      <c r="ABQ39" s="113"/>
      <c r="ABR39" s="113"/>
      <c r="ABS39" s="113"/>
      <c r="ABT39" s="113"/>
      <c r="ABU39" s="113"/>
      <c r="ABV39" s="113"/>
      <c r="ABW39" s="113"/>
      <c r="ABX39" s="113"/>
      <c r="ABY39" s="113"/>
      <c r="ABZ39" s="113"/>
      <c r="ACA39" s="113"/>
      <c r="ACB39" s="113"/>
      <c r="ACC39" s="113"/>
      <c r="ACD39" s="113"/>
      <c r="ACE39" s="113"/>
      <c r="ACF39" s="113"/>
      <c r="ACG39" s="113"/>
      <c r="ACH39" s="113"/>
      <c r="ACI39" s="113"/>
      <c r="ACJ39" s="113"/>
      <c r="ACK39" s="113"/>
      <c r="ACL39" s="113"/>
      <c r="ACM39" s="113"/>
      <c r="ACN39" s="113"/>
      <c r="ACO39" s="113"/>
      <c r="ACP39" s="113"/>
      <c r="ACQ39" s="113"/>
      <c r="ACR39" s="113"/>
      <c r="ACS39" s="113"/>
      <c r="ACT39" s="113"/>
      <c r="ACU39" s="113"/>
      <c r="ACV39" s="113"/>
      <c r="ACW39" s="113"/>
      <c r="ACX39" s="113"/>
      <c r="ACY39" s="113"/>
      <c r="ACZ39" s="113"/>
      <c r="ADA39" s="113"/>
      <c r="ADB39" s="113"/>
      <c r="ADC39" s="113"/>
      <c r="ADD39" s="113"/>
      <c r="ADE39" s="113"/>
      <c r="ADF39" s="113"/>
      <c r="ADG39" s="113"/>
      <c r="ADH39" s="113"/>
      <c r="ADI39" s="113"/>
      <c r="ADJ39" s="113"/>
      <c r="ADK39" s="113"/>
      <c r="ADL39" s="113"/>
      <c r="ADM39" s="113"/>
      <c r="ADN39" s="113"/>
      <c r="ADO39" s="113"/>
      <c r="ADP39" s="113"/>
      <c r="ADQ39" s="113"/>
      <c r="ADR39" s="113"/>
      <c r="ADS39" s="113"/>
      <c r="ADT39" s="113"/>
      <c r="ADU39" s="113"/>
      <c r="ADV39" s="113"/>
      <c r="ADW39" s="113"/>
      <c r="ADX39" s="113"/>
      <c r="ADY39" s="113"/>
      <c r="ADZ39" s="113"/>
      <c r="AEA39" s="113"/>
      <c r="AEB39" s="113"/>
      <c r="AEC39" s="113"/>
      <c r="AED39" s="113"/>
      <c r="AEE39" s="113"/>
      <c r="AEF39" s="113"/>
      <c r="AEG39" s="113"/>
      <c r="AEH39" s="113"/>
      <c r="AEI39" s="113"/>
      <c r="AEJ39" s="113"/>
      <c r="AEK39" s="113"/>
      <c r="AEL39" s="113"/>
      <c r="AEM39" s="113"/>
      <c r="AEN39" s="113"/>
      <c r="AEO39" s="113"/>
      <c r="AEP39" s="113"/>
      <c r="AEQ39" s="113"/>
      <c r="AER39" s="113"/>
      <c r="AES39" s="113"/>
      <c r="AET39" s="113"/>
      <c r="AEU39" s="113"/>
      <c r="AEV39" s="113"/>
      <c r="AEW39" s="113"/>
      <c r="AEX39" s="113"/>
      <c r="AEY39" s="113"/>
      <c r="AEZ39" s="113"/>
      <c r="AFA39" s="113"/>
      <c r="AFB39" s="113"/>
      <c r="AFC39" s="113"/>
      <c r="AFD39" s="113"/>
      <c r="AFE39" s="113"/>
      <c r="AFF39" s="113"/>
      <c r="AFG39" s="113"/>
      <c r="AFH39" s="113"/>
      <c r="AFI39" s="113"/>
      <c r="AFJ39" s="113"/>
      <c r="AFK39" s="113"/>
      <c r="AFL39" s="113"/>
      <c r="AFM39" s="113"/>
      <c r="AFN39" s="113"/>
      <c r="AFO39" s="113"/>
      <c r="AFP39" s="113"/>
      <c r="AFQ39" s="113"/>
      <c r="AFR39" s="113"/>
      <c r="AFS39" s="113"/>
      <c r="AFT39" s="113"/>
      <c r="AFU39" s="113"/>
      <c r="AFV39" s="113"/>
      <c r="AFW39" s="113"/>
      <c r="AFX39" s="113"/>
      <c r="AFY39" s="113"/>
      <c r="AFZ39" s="113"/>
      <c r="AGA39" s="113"/>
      <c r="AGB39" s="113"/>
      <c r="AGC39" s="113"/>
      <c r="AGD39" s="113"/>
      <c r="AGE39" s="113"/>
      <c r="AGF39" s="113"/>
      <c r="AGG39" s="113"/>
      <c r="AGH39" s="113"/>
      <c r="AGI39" s="113"/>
      <c r="AGJ39" s="113"/>
      <c r="AGK39" s="113"/>
      <c r="AGL39" s="113"/>
      <c r="AGM39" s="113"/>
      <c r="AGN39" s="113"/>
      <c r="AGO39" s="113"/>
      <c r="AGP39" s="113"/>
      <c r="AGQ39" s="113"/>
      <c r="AGR39" s="113"/>
      <c r="AGS39" s="113"/>
      <c r="AGT39" s="113"/>
      <c r="AGU39" s="113"/>
      <c r="AGV39" s="113"/>
      <c r="AGW39" s="113"/>
      <c r="AGX39" s="113"/>
      <c r="AGY39" s="113"/>
      <c r="AGZ39" s="113"/>
      <c r="AHA39" s="113"/>
      <c r="AHB39" s="113"/>
      <c r="AHC39" s="113"/>
      <c r="AHD39" s="113"/>
      <c r="AHE39" s="113"/>
      <c r="AHF39" s="113"/>
      <c r="AHG39" s="113"/>
      <c r="AHH39" s="113"/>
      <c r="AHI39" s="113"/>
      <c r="AHJ39" s="113"/>
      <c r="AHK39" s="113"/>
      <c r="AHL39" s="113"/>
      <c r="AHM39" s="113"/>
      <c r="AHN39" s="113"/>
      <c r="AHO39" s="113"/>
      <c r="AHP39" s="113"/>
      <c r="AHQ39" s="113"/>
      <c r="AHR39" s="113"/>
      <c r="AHS39" s="113"/>
      <c r="AHT39" s="113"/>
      <c r="AHU39" s="113"/>
      <c r="AHV39" s="113"/>
      <c r="AHW39" s="113"/>
      <c r="AHX39" s="113"/>
      <c r="AHY39" s="113"/>
      <c r="AHZ39" s="113"/>
      <c r="AIA39" s="113"/>
      <c r="AIB39" s="113"/>
      <c r="AIC39" s="113"/>
      <c r="AID39" s="113"/>
      <c r="AIE39" s="113"/>
      <c r="AIF39" s="113"/>
      <c r="AIG39" s="113"/>
      <c r="AIH39" s="113"/>
      <c r="AII39" s="113"/>
      <c r="AIJ39" s="113"/>
      <c r="AIK39" s="113"/>
      <c r="AIL39" s="113"/>
      <c r="AIM39" s="113"/>
      <c r="AIN39" s="113"/>
      <c r="AIO39" s="113"/>
      <c r="AIP39" s="113"/>
      <c r="AIQ39" s="113"/>
      <c r="AIR39" s="113"/>
      <c r="AIS39" s="113"/>
      <c r="AIT39" s="113"/>
      <c r="AIU39" s="113"/>
      <c r="AIV39" s="113"/>
      <c r="AIW39" s="113"/>
      <c r="AIX39" s="113"/>
      <c r="AIY39" s="113"/>
      <c r="AIZ39" s="113"/>
    </row>
    <row r="40">
      <c r="A40" s="65" t="s">
        <v>7</v>
      </c>
      <c r="B40" s="65" t="s">
        <v>34</v>
      </c>
      <c r="C40" s="65"/>
      <c r="D40" s="64">
        <f t="shared" si="1"/>
        <v>488.0887</v>
      </c>
      <c r="F40" s="65">
        <v>66.2247</v>
      </c>
      <c r="G40" s="65">
        <v>3.76746666666667</v>
      </c>
      <c r="H40" s="65">
        <v>2.16456666666667</v>
      </c>
      <c r="I40" s="65">
        <v>0.192216666666667</v>
      </c>
      <c r="J40" s="65">
        <v>1.83618333333333</v>
      </c>
      <c r="K40" s="65">
        <v>15.4047333333333</v>
      </c>
      <c r="N40" s="65">
        <v>31.97975</v>
      </c>
      <c r="Q40" s="65">
        <v>112.673</v>
      </c>
      <c r="R40" s="65">
        <v>12.5671</v>
      </c>
      <c r="S40" s="65">
        <v>4.2316</v>
      </c>
      <c r="T40" s="65">
        <v>2.9069</v>
      </c>
      <c r="X40" s="65">
        <v>43.14265</v>
      </c>
      <c r="Y40" s="65">
        <v>7.77656666666667</v>
      </c>
      <c r="Z40" s="65">
        <v>1.85051666666667</v>
      </c>
      <c r="AA40" s="65">
        <v>0.995183333333333</v>
      </c>
      <c r="AB40" s="65">
        <v>5.92633333333333</v>
      </c>
      <c r="AE40" s="65">
        <v>22.6682833333333</v>
      </c>
      <c r="AF40" s="65">
        <v>3.72476666666667</v>
      </c>
      <c r="AG40" s="65">
        <v>1.34646666666667</v>
      </c>
      <c r="AH40" s="65">
        <v>0.384016666666667</v>
      </c>
      <c r="AI40" s="65">
        <v>3.70101666666667</v>
      </c>
      <c r="AL40" s="65">
        <v>10.0196</v>
      </c>
      <c r="AM40" s="65">
        <v>27.9828166666667</v>
      </c>
      <c r="AN40" s="65">
        <v>47.31315</v>
      </c>
      <c r="AQ40" s="65">
        <v>1.94195</v>
      </c>
      <c r="AR40" s="65">
        <v>8.96971666666667</v>
      </c>
      <c r="AU40" s="65">
        <v>46.39745</v>
      </c>
    </row>
    <row r="41">
      <c r="A41" s="65" t="s">
        <v>7</v>
      </c>
      <c r="B41" s="65" t="s">
        <v>34</v>
      </c>
      <c r="C41" s="65"/>
      <c r="D41" s="64">
        <f t="shared" si="1"/>
        <v>0</v>
      </c>
    </row>
    <row r="42">
      <c r="A42" s="65" t="s">
        <v>7</v>
      </c>
      <c r="B42" s="65" t="s">
        <v>34</v>
      </c>
      <c r="C42" s="65"/>
      <c r="D42" s="64">
        <f t="shared" si="1"/>
        <v>452.4055</v>
      </c>
      <c r="F42" s="118">
        <f>HYPERLINK("https://docs.google.com/spreadsheets/d/1C5L8_YEcoEgYdbrCc1F3JZVVHojOua1r", 57.8226666666667)</f>
        <v>57.82266667</v>
      </c>
      <c r="G42" s="118">
        <f>HYPERLINK("https://docs.google.com/spreadsheets/d/1CPexmJ06U3tnkT61UCuPAFy9Nj1_w13W", 3.76746666666667)</f>
        <v>3.767466667</v>
      </c>
      <c r="H42" s="118">
        <f>HYPERLINK("https://docs.google.com/spreadsheets/d/1wKNgQQdjkZVjiKmq5YDBXzTcx3ZZM-ZS", 2.16456666666667)</f>
        <v>2.164566667</v>
      </c>
      <c r="I42" s="118">
        <f>HYPERLINK("https://docs.google.com/spreadsheets/d/1KQj4sSuAo0UsJ_SOMmwMTzHEvDdE1b3m", 0.192216666666667)</f>
        <v>0.1922166667</v>
      </c>
      <c r="J42" s="118">
        <f>HYPERLINK("https://docs.google.com/spreadsheets/d/1CB6DY7i3eSzh2AXZ6YhrqNODmHxEORhI", 0.172716666666667)</f>
        <v>0.1727166667</v>
      </c>
      <c r="K42" s="118">
        <f>HYPERLINK("https://docs.google.com/spreadsheets/d/1qWPKxWaayGHD9Z3woifRX-eRkryRpv9C", 15.4047333333333)</f>
        <v>15.40473333</v>
      </c>
      <c r="N42" s="118">
        <f>HYPERLINK("https://docs.google.com/spreadsheets/d/1hymeDC1Yzeccb1t14u-TK0vjyIWoJIQR", 31.7564666666667)</f>
        <v>31.75646667</v>
      </c>
      <c r="Q42" s="118">
        <f>HYPERLINK("https://docs.google.com/spreadsheets/d/1ih8grJlgxWmxPWRX_mdUz9ZBkz8MgFfB", 97.3440666666666)</f>
        <v>97.34406667</v>
      </c>
      <c r="R42" s="118">
        <f>HYPERLINK("https://docs.google.com/spreadsheets/d/16KHxL4QnxSlnvY73zxvKcBvyXd05Hf5z", 12.3111)</f>
        <v>12.3111</v>
      </c>
      <c r="S42" s="118">
        <f>HYPERLINK("https://docs.google.com/spreadsheets/d/1JdXag8SXwH-KxeDJofHOYMTVmvmXLRis", 3.93031666666667)</f>
        <v>3.930316667</v>
      </c>
      <c r="T42" s="118">
        <f>HYPERLINK("https://docs.google.com/spreadsheets/d/1usk3CDw9iBYwtYQ6mg-6H6eLhZKNZ3W-", 1.66188333333333)</f>
        <v>1.661883333</v>
      </c>
      <c r="X42" s="118">
        <f>HYPERLINK("https://docs.google.com/spreadsheets/d/1Pb2ZJgcUo0kCXo4WomjVq8Q_E_d60F_a", 40.8663666666666)</f>
        <v>40.86636667</v>
      </c>
      <c r="Y42" s="118">
        <f>HYPERLINK("https://docs.google.com/spreadsheets/d/1IvZKvB5Rz1kPxExQ3cEqFJIs3rXYQzJl", 7.77658333333333)</f>
        <v>7.776583333</v>
      </c>
      <c r="Z42" s="118">
        <f>HYPERLINK("https://docs.google.com/spreadsheets/d/1HYk12PcL73vUKDbSDGAvmFr0tUZr2tRM", 1.74628333333333)</f>
        <v>1.746283333</v>
      </c>
      <c r="AA42" s="118">
        <f>HYPERLINK("https://docs.google.com/spreadsheets/d/1AmXT6vy4AtNI1_TGweC3lIikdpxCAlDY", 0.682283333333333)</f>
        <v>0.6822833333</v>
      </c>
      <c r="AB42" s="118">
        <f>HYPERLINK("https://docs.google.com/spreadsheets/d/1CISSPFCOhw10Z7G-RhJees8FXzfIyGW9", 5.73016666666667)</f>
        <v>5.730166667</v>
      </c>
      <c r="AE42" s="118">
        <f>HYPERLINK("https://docs.google.com/spreadsheets/d/1xC8DrFtjMDASliqSN7dl_0_-a0NpZtqw", 22.57185)</f>
        <v>22.57185</v>
      </c>
      <c r="AF42" s="118">
        <f>HYPERLINK("https://docs.google.com/spreadsheets/d/1SlFwXEaj1pcEPONz0NMW7T9cF0hAcjxB", 3.72476666666667)</f>
        <v>3.724766667</v>
      </c>
      <c r="AG42" s="118">
        <f>HYPERLINK("https://docs.google.com/spreadsheets/d/1xm8vuX35-nV95ggPB7sfAqrdOS5HHV_6", 1.34646666666667)</f>
        <v>1.346466667</v>
      </c>
      <c r="AH42" s="118">
        <f>HYPERLINK("https://docs.google.com/spreadsheets/d/13RgR-32dHpNUFxjMXOf6g9aKYQp_3NOD", 0.384016666666667)</f>
        <v>0.3840166667</v>
      </c>
      <c r="AI42" s="118">
        <f>HYPERLINK("https://docs.google.com/spreadsheets/d/11W9IgKZR9kxnpA0OnArtjX1uOtfoHnfO", 3.70101666666667)</f>
        <v>3.701016667</v>
      </c>
      <c r="AL42" s="118">
        <f>HYPERLINK("https://docs.google.com/spreadsheets/d/1DKiLnPEYeyxmSr4-SDi8IiHYFJ3bAjf7", 9.20688333333333)</f>
        <v>9.206883333</v>
      </c>
      <c r="AM42" s="118">
        <f>HYPERLINK("https://docs.google.com/spreadsheets/d/18vbrGqHvgBAsPq3qiebF-vazrQgTyTIF", 23.5998833333333)</f>
        <v>23.59988333</v>
      </c>
      <c r="AN42" s="118">
        <f>HYPERLINK("https://docs.google.com/spreadsheets/d/108grZRMr6MG6Hnc4qr0xtOwL3ljlkMVc", 47.2316166666667)</f>
        <v>47.23161667</v>
      </c>
      <c r="AQ42" s="118">
        <f>HYPERLINK("https://docs.google.com/spreadsheets/d/1eTbAg6UMhJiuwhikUDwp8o8IZ6CPFZ13", 1.94195)</f>
        <v>1.94195</v>
      </c>
      <c r="AR42" s="118">
        <f>HYPERLINK("https://docs.google.com/spreadsheets/d/17x4ENtW9XL5HWQoRVbKZvoyPmOSLop1R", 8.96971666666667)</f>
        <v>8.969716667</v>
      </c>
      <c r="AU42" s="118">
        <f>HYPERLINK("https://docs.google.com/spreadsheets/d/1hyxKqcKC9iu1PHgNWhNNAoEhlLkBSN2z", 46.39745)</f>
        <v>46.39745</v>
      </c>
    </row>
    <row r="43">
      <c r="A43" s="65" t="s">
        <v>7</v>
      </c>
      <c r="B43" s="65" t="s">
        <v>34</v>
      </c>
      <c r="C43" s="65"/>
      <c r="D43" s="64">
        <f t="shared" si="1"/>
        <v>7.66025</v>
      </c>
      <c r="F43" s="65">
        <v>1.41785</v>
      </c>
      <c r="G43" s="65">
        <v>0.138466666666667</v>
      </c>
      <c r="H43" s="65">
        <v>0.0</v>
      </c>
      <c r="I43" s="65">
        <v>0.0</v>
      </c>
      <c r="J43" s="65">
        <v>0.0</v>
      </c>
      <c r="K43" s="65">
        <v>0.0</v>
      </c>
      <c r="N43" s="65">
        <v>0.887516666666667</v>
      </c>
      <c r="Q43" s="65">
        <v>1.19648333333333</v>
      </c>
      <c r="R43" s="65">
        <v>0.311583333333333</v>
      </c>
      <c r="S43" s="65">
        <v>0.0</v>
      </c>
      <c r="T43" s="65">
        <v>0.0</v>
      </c>
      <c r="X43" s="65">
        <v>1.70948333333333</v>
      </c>
      <c r="Y43" s="65">
        <v>0.3253</v>
      </c>
      <c r="Z43" s="65">
        <v>0.0</v>
      </c>
      <c r="AA43" s="65">
        <v>0.0</v>
      </c>
      <c r="AB43" s="65">
        <v>0.0</v>
      </c>
      <c r="AE43" s="65">
        <v>0.922766666666667</v>
      </c>
      <c r="AF43" s="65">
        <v>0.0</v>
      </c>
      <c r="AG43" s="65">
        <v>0.476716666666667</v>
      </c>
      <c r="AH43" s="65">
        <v>0.0</v>
      </c>
      <c r="AI43" s="65">
        <v>0.0</v>
      </c>
      <c r="AL43" s="65">
        <v>0.0</v>
      </c>
      <c r="AM43" s="65">
        <v>0.0</v>
      </c>
      <c r="AN43" s="65">
        <v>0.0746666666666667</v>
      </c>
      <c r="AQ43" s="65">
        <v>0.199416666666667</v>
      </c>
      <c r="AR43" s="65">
        <v>0.0</v>
      </c>
      <c r="AU43" s="65">
        <v>0.0</v>
      </c>
    </row>
    <row r="44">
      <c r="A44" s="119" t="s">
        <v>7</v>
      </c>
      <c r="B44" s="119" t="s">
        <v>34</v>
      </c>
      <c r="C44" s="119"/>
      <c r="D44" s="120">
        <f t="shared" si="1"/>
        <v>0</v>
      </c>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0"/>
      <c r="CD44" s="120"/>
      <c r="CE44" s="120"/>
      <c r="CF44" s="120"/>
      <c r="CG44" s="120"/>
      <c r="CH44" s="120"/>
      <c r="CI44" s="120"/>
      <c r="CJ44" s="120"/>
      <c r="CK44" s="120"/>
      <c r="CL44" s="120"/>
      <c r="CM44" s="120"/>
      <c r="CN44" s="120"/>
      <c r="CO44" s="120"/>
      <c r="CP44" s="120"/>
      <c r="CQ44" s="120"/>
      <c r="CR44" s="120"/>
      <c r="CS44" s="120"/>
      <c r="CT44" s="120"/>
      <c r="CU44" s="120"/>
      <c r="CV44" s="120"/>
      <c r="CW44" s="120"/>
      <c r="CX44" s="120"/>
      <c r="CY44" s="120"/>
      <c r="CZ44" s="120"/>
      <c r="DA44" s="120"/>
      <c r="DB44" s="120"/>
      <c r="DC44" s="120"/>
      <c r="DD44" s="120"/>
      <c r="DE44" s="120"/>
      <c r="DF44" s="120"/>
      <c r="DG44" s="120"/>
      <c r="DH44" s="120"/>
      <c r="DI44" s="120"/>
      <c r="DJ44" s="120"/>
      <c r="DK44" s="120"/>
      <c r="DL44" s="120"/>
      <c r="DM44" s="120"/>
      <c r="DN44" s="120"/>
      <c r="DO44" s="120"/>
      <c r="DP44" s="120"/>
      <c r="DQ44" s="120"/>
      <c r="DR44" s="120"/>
      <c r="DS44" s="120"/>
      <c r="DT44" s="120"/>
      <c r="DU44" s="120"/>
      <c r="DV44" s="120"/>
      <c r="DW44" s="120"/>
      <c r="DX44" s="120"/>
      <c r="DY44" s="120"/>
      <c r="DZ44" s="120"/>
      <c r="EA44" s="120"/>
      <c r="EB44" s="120"/>
      <c r="EC44" s="120"/>
      <c r="ED44" s="120"/>
      <c r="EE44" s="120"/>
      <c r="EF44" s="120"/>
      <c r="EG44" s="120"/>
      <c r="EH44" s="120"/>
      <c r="EI44" s="120"/>
      <c r="EJ44" s="120"/>
      <c r="EK44" s="120"/>
      <c r="EL44" s="120"/>
      <c r="EM44" s="120"/>
      <c r="EN44" s="120"/>
      <c r="EO44" s="120"/>
      <c r="EP44" s="120"/>
      <c r="EQ44" s="120"/>
      <c r="ER44" s="120"/>
      <c r="ES44" s="120"/>
      <c r="ET44" s="120"/>
      <c r="EU44" s="120"/>
      <c r="EV44" s="120"/>
      <c r="EW44" s="120"/>
      <c r="EX44" s="120"/>
      <c r="EY44" s="120"/>
      <c r="EZ44" s="120"/>
      <c r="FA44" s="120"/>
      <c r="FB44" s="120"/>
      <c r="FC44" s="120"/>
      <c r="FD44" s="120"/>
      <c r="FE44" s="120"/>
      <c r="FF44" s="120"/>
      <c r="FG44" s="120"/>
      <c r="FH44" s="120"/>
      <c r="FI44" s="120"/>
      <c r="FJ44" s="120"/>
      <c r="FK44" s="120"/>
      <c r="FL44" s="120"/>
      <c r="FM44" s="120"/>
      <c r="FN44" s="120"/>
      <c r="FO44" s="120"/>
      <c r="FP44" s="120"/>
      <c r="FQ44" s="120"/>
      <c r="FR44" s="120"/>
      <c r="FS44" s="120"/>
      <c r="FT44" s="120"/>
      <c r="FU44" s="120"/>
      <c r="FV44" s="120"/>
      <c r="FW44" s="120"/>
      <c r="FX44" s="120"/>
      <c r="FY44" s="120"/>
      <c r="FZ44" s="120"/>
      <c r="GA44" s="120"/>
      <c r="GB44" s="120"/>
      <c r="GC44" s="120"/>
      <c r="GD44" s="120"/>
      <c r="GE44" s="120"/>
      <c r="GF44" s="120"/>
      <c r="GG44" s="120"/>
      <c r="GH44" s="120"/>
      <c r="GI44" s="120"/>
      <c r="GJ44" s="120"/>
      <c r="GK44" s="120"/>
      <c r="GL44" s="120"/>
      <c r="GM44" s="120"/>
      <c r="GN44" s="120"/>
      <c r="GO44" s="120"/>
      <c r="GP44" s="120"/>
      <c r="GQ44" s="120"/>
      <c r="GR44" s="120"/>
      <c r="GS44" s="120"/>
      <c r="GT44" s="120"/>
      <c r="GU44" s="120"/>
      <c r="GV44" s="120"/>
      <c r="GW44" s="120"/>
      <c r="GX44" s="120"/>
      <c r="GY44" s="120"/>
      <c r="GZ44" s="120"/>
      <c r="HA44" s="120"/>
      <c r="HB44" s="120"/>
      <c r="HC44" s="120"/>
      <c r="HD44" s="120"/>
      <c r="HE44" s="120"/>
      <c r="HF44" s="120"/>
      <c r="HG44" s="120"/>
      <c r="HH44" s="120"/>
      <c r="HI44" s="120"/>
      <c r="HJ44" s="120"/>
      <c r="HK44" s="120"/>
      <c r="HL44" s="120"/>
      <c r="HM44" s="120"/>
      <c r="HN44" s="120"/>
      <c r="HO44" s="120"/>
      <c r="HP44" s="120"/>
      <c r="HQ44" s="120"/>
      <c r="HR44" s="120"/>
      <c r="HS44" s="120"/>
      <c r="HT44" s="120"/>
      <c r="HU44" s="120"/>
      <c r="HV44" s="120"/>
      <c r="HW44" s="120"/>
      <c r="HX44" s="120"/>
      <c r="HY44" s="120"/>
      <c r="HZ44" s="120"/>
      <c r="IA44" s="120"/>
      <c r="IB44" s="120"/>
      <c r="IC44" s="120"/>
      <c r="ID44" s="120"/>
      <c r="IE44" s="120"/>
      <c r="IF44" s="120"/>
      <c r="IG44" s="120"/>
      <c r="IH44" s="120"/>
      <c r="II44" s="120"/>
      <c r="IJ44" s="120"/>
      <c r="IK44" s="120"/>
      <c r="IL44" s="120"/>
      <c r="IM44" s="120"/>
      <c r="IN44" s="120"/>
      <c r="IO44" s="120"/>
      <c r="IP44" s="120"/>
      <c r="IQ44" s="120"/>
      <c r="IR44" s="120"/>
      <c r="IS44" s="120"/>
      <c r="IT44" s="120"/>
      <c r="IU44" s="120"/>
      <c r="IV44" s="120"/>
      <c r="IW44" s="120"/>
      <c r="IX44" s="120"/>
      <c r="IY44" s="120"/>
      <c r="IZ44" s="120"/>
      <c r="JA44" s="120"/>
      <c r="JB44" s="120"/>
      <c r="JC44" s="120"/>
      <c r="JD44" s="120"/>
      <c r="JE44" s="120"/>
      <c r="JF44" s="120"/>
      <c r="JG44" s="120"/>
      <c r="JH44" s="120"/>
      <c r="JI44" s="120"/>
      <c r="JJ44" s="120"/>
      <c r="JK44" s="120"/>
      <c r="JL44" s="120"/>
      <c r="JM44" s="120"/>
      <c r="JN44" s="120"/>
      <c r="JO44" s="120"/>
      <c r="JP44" s="120"/>
      <c r="JQ44" s="120"/>
      <c r="JR44" s="120"/>
      <c r="JS44" s="120"/>
      <c r="JT44" s="120"/>
      <c r="JU44" s="120"/>
      <c r="JV44" s="120"/>
      <c r="JW44" s="120"/>
      <c r="JX44" s="120"/>
      <c r="JY44" s="120"/>
      <c r="JZ44" s="120"/>
      <c r="KA44" s="120"/>
      <c r="KB44" s="120"/>
      <c r="KC44" s="120"/>
      <c r="KD44" s="120"/>
      <c r="KE44" s="120"/>
      <c r="KF44" s="120"/>
      <c r="KG44" s="120"/>
      <c r="KH44" s="120"/>
      <c r="KI44" s="120"/>
      <c r="KJ44" s="120"/>
      <c r="KK44" s="120"/>
      <c r="KL44" s="120"/>
      <c r="KM44" s="120"/>
      <c r="KN44" s="120"/>
      <c r="KO44" s="120"/>
      <c r="KP44" s="120"/>
      <c r="KQ44" s="120"/>
      <c r="KR44" s="120"/>
      <c r="KS44" s="120"/>
      <c r="KT44" s="120"/>
      <c r="KU44" s="120"/>
      <c r="KV44" s="120"/>
      <c r="KW44" s="120"/>
      <c r="KX44" s="120"/>
      <c r="KY44" s="120"/>
      <c r="KZ44" s="120"/>
      <c r="LA44" s="120"/>
      <c r="LB44" s="120"/>
      <c r="LC44" s="120"/>
      <c r="LD44" s="120"/>
      <c r="LE44" s="120"/>
      <c r="LF44" s="120"/>
      <c r="LG44" s="120"/>
      <c r="LH44" s="120"/>
      <c r="LI44" s="120"/>
      <c r="LJ44" s="120"/>
      <c r="LK44" s="120"/>
      <c r="LL44" s="120"/>
      <c r="LM44" s="120"/>
      <c r="LN44" s="120"/>
      <c r="LO44" s="120"/>
      <c r="LP44" s="120"/>
      <c r="LQ44" s="120"/>
      <c r="LR44" s="120"/>
      <c r="LS44" s="120"/>
      <c r="LT44" s="120"/>
      <c r="LU44" s="120"/>
      <c r="LV44" s="120"/>
      <c r="LW44" s="120"/>
      <c r="LX44" s="120"/>
      <c r="LY44" s="120"/>
      <c r="LZ44" s="120"/>
      <c r="MA44" s="120"/>
      <c r="MB44" s="120"/>
      <c r="MC44" s="120"/>
      <c r="MD44" s="120"/>
      <c r="ME44" s="120"/>
      <c r="MF44" s="120"/>
      <c r="MG44" s="120"/>
      <c r="MH44" s="120"/>
      <c r="MI44" s="120"/>
      <c r="MJ44" s="120"/>
      <c r="MK44" s="120"/>
      <c r="ML44" s="120"/>
      <c r="MM44" s="120"/>
      <c r="MN44" s="120"/>
      <c r="MO44" s="120"/>
      <c r="MP44" s="120"/>
      <c r="MQ44" s="120"/>
      <c r="MR44" s="120"/>
      <c r="MS44" s="120"/>
      <c r="MT44" s="120"/>
      <c r="MU44" s="120"/>
      <c r="MV44" s="120"/>
      <c r="MW44" s="120"/>
      <c r="MX44" s="120"/>
      <c r="MY44" s="120"/>
      <c r="MZ44" s="120"/>
      <c r="NA44" s="120"/>
      <c r="NB44" s="120"/>
      <c r="NC44" s="120"/>
      <c r="ND44" s="120"/>
      <c r="NE44" s="120"/>
      <c r="NF44" s="120"/>
      <c r="NG44" s="120"/>
      <c r="NH44" s="120"/>
      <c r="NI44" s="120"/>
      <c r="NJ44" s="120"/>
      <c r="NK44" s="120"/>
      <c r="NL44" s="120"/>
      <c r="NM44" s="120"/>
      <c r="NN44" s="120"/>
      <c r="NO44" s="120"/>
      <c r="NP44" s="120"/>
      <c r="NQ44" s="120"/>
      <c r="NR44" s="120"/>
      <c r="NS44" s="120"/>
      <c r="NT44" s="120"/>
      <c r="NU44" s="120"/>
      <c r="NV44" s="120"/>
      <c r="NW44" s="120"/>
      <c r="NX44" s="120"/>
      <c r="NY44" s="120"/>
      <c r="NZ44" s="120"/>
      <c r="OA44" s="120"/>
      <c r="OB44" s="120"/>
      <c r="OC44" s="120"/>
      <c r="OD44" s="120"/>
      <c r="OE44" s="120"/>
      <c r="OF44" s="120"/>
      <c r="OG44" s="120"/>
      <c r="OH44" s="120"/>
      <c r="OI44" s="120"/>
      <c r="OJ44" s="120"/>
      <c r="OK44" s="120"/>
      <c r="OL44" s="120"/>
      <c r="OM44" s="120"/>
      <c r="ON44" s="120"/>
      <c r="OO44" s="120"/>
      <c r="OP44" s="120"/>
      <c r="OQ44" s="120"/>
      <c r="OR44" s="120"/>
      <c r="OS44" s="120"/>
      <c r="OT44" s="120"/>
      <c r="OU44" s="120"/>
      <c r="OV44" s="120"/>
      <c r="OW44" s="120"/>
      <c r="OX44" s="120"/>
      <c r="OY44" s="120"/>
      <c r="OZ44" s="120"/>
      <c r="PA44" s="120"/>
      <c r="PB44" s="120"/>
      <c r="PC44" s="120"/>
      <c r="PD44" s="120"/>
      <c r="PE44" s="120"/>
      <c r="PF44" s="120"/>
      <c r="PG44" s="120"/>
      <c r="PH44" s="120"/>
      <c r="PI44" s="120"/>
      <c r="PJ44" s="120"/>
      <c r="PK44" s="120"/>
      <c r="PL44" s="120"/>
      <c r="PM44" s="120"/>
      <c r="PN44" s="120"/>
      <c r="PO44" s="120"/>
      <c r="PP44" s="120"/>
      <c r="PQ44" s="120"/>
      <c r="PR44" s="120"/>
      <c r="PS44" s="120"/>
      <c r="PT44" s="120"/>
      <c r="PU44" s="120"/>
      <c r="PV44" s="120"/>
      <c r="PW44" s="120"/>
      <c r="PX44" s="120"/>
      <c r="PY44" s="120"/>
      <c r="PZ44" s="120"/>
      <c r="QA44" s="120"/>
      <c r="QB44" s="120"/>
      <c r="QC44" s="120"/>
      <c r="QD44" s="120"/>
      <c r="QE44" s="120"/>
      <c r="QF44" s="120"/>
      <c r="QG44" s="120"/>
      <c r="QH44" s="120"/>
      <c r="QI44" s="120"/>
      <c r="QJ44" s="120"/>
      <c r="QK44" s="120"/>
      <c r="QL44" s="120"/>
      <c r="QM44" s="120"/>
      <c r="QN44" s="120"/>
      <c r="QO44" s="120"/>
      <c r="QP44" s="120"/>
      <c r="QQ44" s="120"/>
      <c r="QR44" s="120"/>
      <c r="QS44" s="120"/>
      <c r="QT44" s="120"/>
      <c r="QU44" s="120"/>
      <c r="QV44" s="120"/>
      <c r="QW44" s="120"/>
      <c r="QX44" s="120"/>
      <c r="QY44" s="120"/>
      <c r="QZ44" s="120"/>
      <c r="RA44" s="120"/>
      <c r="RB44" s="120"/>
      <c r="RC44" s="120"/>
      <c r="RD44" s="120"/>
      <c r="RE44" s="120"/>
      <c r="RF44" s="120"/>
      <c r="RG44" s="120"/>
      <c r="RH44" s="120"/>
      <c r="RI44" s="120"/>
      <c r="RJ44" s="120"/>
      <c r="RK44" s="120"/>
      <c r="RL44" s="120"/>
      <c r="RM44" s="120"/>
      <c r="RN44" s="120"/>
      <c r="RO44" s="120"/>
      <c r="RP44" s="120"/>
      <c r="RQ44" s="120"/>
      <c r="RR44" s="120"/>
      <c r="RS44" s="120"/>
      <c r="RT44" s="120"/>
      <c r="RU44" s="120"/>
      <c r="RV44" s="120"/>
      <c r="RW44" s="120"/>
      <c r="RX44" s="120"/>
      <c r="RY44" s="120"/>
      <c r="RZ44" s="120"/>
      <c r="SA44" s="120"/>
      <c r="SB44" s="120"/>
      <c r="SC44" s="120"/>
      <c r="SD44" s="120"/>
      <c r="SE44" s="120"/>
      <c r="SF44" s="120"/>
      <c r="SG44" s="120"/>
      <c r="SH44" s="120"/>
      <c r="SI44" s="120"/>
      <c r="SJ44" s="120"/>
      <c r="SK44" s="120"/>
      <c r="SL44" s="120"/>
      <c r="SM44" s="120"/>
      <c r="SN44" s="120"/>
      <c r="SO44" s="120"/>
      <c r="SP44" s="120"/>
      <c r="SQ44" s="120"/>
      <c r="SR44" s="120"/>
      <c r="SS44" s="120"/>
      <c r="ST44" s="120"/>
      <c r="SU44" s="120"/>
      <c r="SV44" s="120"/>
      <c r="SW44" s="120"/>
      <c r="SX44" s="120"/>
      <c r="SY44" s="120"/>
      <c r="SZ44" s="120"/>
      <c r="TA44" s="120"/>
      <c r="TB44" s="120"/>
      <c r="TC44" s="120"/>
      <c r="TD44" s="120"/>
      <c r="TE44" s="120"/>
      <c r="TF44" s="120"/>
      <c r="TG44" s="120"/>
      <c r="TH44" s="120"/>
      <c r="TI44" s="120"/>
      <c r="TJ44" s="120"/>
      <c r="TK44" s="120"/>
      <c r="TL44" s="120"/>
      <c r="TM44" s="120"/>
      <c r="TN44" s="120"/>
      <c r="TO44" s="120"/>
      <c r="TP44" s="120"/>
      <c r="TQ44" s="120"/>
      <c r="TR44" s="120"/>
      <c r="TS44" s="120"/>
      <c r="TT44" s="120"/>
      <c r="TU44" s="120"/>
      <c r="TV44" s="120"/>
      <c r="TW44" s="120"/>
      <c r="TX44" s="120"/>
      <c r="TY44" s="120"/>
      <c r="TZ44" s="120"/>
      <c r="UA44" s="120"/>
      <c r="UB44" s="120"/>
      <c r="UC44" s="120"/>
      <c r="UD44" s="120"/>
      <c r="UE44" s="120"/>
      <c r="UF44" s="120"/>
      <c r="UG44" s="120"/>
      <c r="UH44" s="120"/>
      <c r="UI44" s="120"/>
      <c r="UJ44" s="120"/>
      <c r="UK44" s="120"/>
      <c r="UL44" s="120"/>
      <c r="UM44" s="120"/>
      <c r="UN44" s="120"/>
      <c r="UO44" s="120"/>
      <c r="UP44" s="120"/>
      <c r="UQ44" s="120"/>
      <c r="UR44" s="120"/>
      <c r="US44" s="120"/>
      <c r="UT44" s="120"/>
      <c r="UU44" s="120"/>
      <c r="UV44" s="120"/>
      <c r="UW44" s="120"/>
      <c r="UX44" s="120"/>
      <c r="UY44" s="120"/>
      <c r="UZ44" s="120"/>
      <c r="VA44" s="120"/>
      <c r="VB44" s="120"/>
      <c r="VC44" s="120"/>
      <c r="VD44" s="120"/>
      <c r="VE44" s="120"/>
      <c r="VF44" s="120"/>
      <c r="VG44" s="120"/>
      <c r="VH44" s="120"/>
      <c r="VI44" s="120"/>
      <c r="VJ44" s="120"/>
      <c r="VK44" s="120"/>
      <c r="VL44" s="120"/>
      <c r="VM44" s="120"/>
      <c r="VN44" s="120"/>
      <c r="VO44" s="120"/>
      <c r="VP44" s="120"/>
      <c r="VQ44" s="120"/>
      <c r="VR44" s="120"/>
      <c r="VS44" s="120"/>
      <c r="VT44" s="120"/>
      <c r="VU44" s="120"/>
      <c r="VV44" s="120"/>
      <c r="VW44" s="120"/>
      <c r="VX44" s="120"/>
      <c r="VY44" s="120"/>
      <c r="VZ44" s="120"/>
      <c r="WA44" s="120"/>
      <c r="WB44" s="120"/>
      <c r="WC44" s="120"/>
      <c r="WD44" s="120"/>
      <c r="WE44" s="120"/>
      <c r="WF44" s="120"/>
      <c r="WG44" s="120"/>
      <c r="WH44" s="120"/>
      <c r="WI44" s="120"/>
      <c r="WJ44" s="120"/>
      <c r="WK44" s="120"/>
      <c r="WL44" s="120"/>
      <c r="WM44" s="120"/>
      <c r="WN44" s="120"/>
      <c r="WO44" s="120"/>
      <c r="WP44" s="120"/>
      <c r="WQ44" s="120"/>
      <c r="WR44" s="120"/>
      <c r="WS44" s="120"/>
      <c r="WT44" s="120"/>
      <c r="WU44" s="120"/>
      <c r="WV44" s="120"/>
      <c r="WW44" s="120"/>
      <c r="WX44" s="120"/>
      <c r="WY44" s="120"/>
      <c r="WZ44" s="120"/>
      <c r="XA44" s="120"/>
      <c r="XB44" s="120"/>
      <c r="XC44" s="120"/>
      <c r="XD44" s="120"/>
      <c r="XE44" s="120"/>
      <c r="XF44" s="120"/>
      <c r="XG44" s="120"/>
      <c r="XH44" s="120"/>
      <c r="XI44" s="120"/>
      <c r="XJ44" s="120"/>
      <c r="XK44" s="120"/>
      <c r="XL44" s="120"/>
      <c r="XM44" s="120"/>
      <c r="XN44" s="120"/>
      <c r="XO44" s="120"/>
      <c r="XP44" s="120"/>
      <c r="XQ44" s="120"/>
      <c r="XR44" s="120"/>
      <c r="XS44" s="120"/>
      <c r="XT44" s="120"/>
      <c r="XU44" s="120"/>
      <c r="XV44" s="120"/>
      <c r="XW44" s="120"/>
      <c r="XX44" s="120"/>
      <c r="XY44" s="120"/>
      <c r="XZ44" s="120"/>
      <c r="YA44" s="120"/>
      <c r="YB44" s="120"/>
      <c r="YC44" s="120"/>
      <c r="YD44" s="120"/>
      <c r="YE44" s="120"/>
      <c r="YF44" s="120"/>
      <c r="YG44" s="120"/>
      <c r="YH44" s="120"/>
      <c r="YI44" s="120"/>
      <c r="YJ44" s="120"/>
      <c r="YK44" s="120"/>
      <c r="YL44" s="120"/>
      <c r="YM44" s="120"/>
      <c r="YN44" s="120"/>
      <c r="YO44" s="120"/>
      <c r="YP44" s="120"/>
      <c r="YQ44" s="120"/>
      <c r="YR44" s="120"/>
      <c r="YS44" s="120"/>
      <c r="YT44" s="120"/>
      <c r="YU44" s="120"/>
      <c r="YV44" s="120"/>
      <c r="YW44" s="120"/>
      <c r="YX44" s="120"/>
      <c r="YY44" s="120"/>
      <c r="YZ44" s="120"/>
      <c r="ZA44" s="120"/>
      <c r="ZB44" s="120"/>
      <c r="ZC44" s="120"/>
      <c r="ZD44" s="120"/>
      <c r="ZE44" s="120"/>
      <c r="ZF44" s="120"/>
      <c r="ZG44" s="120"/>
      <c r="ZH44" s="120"/>
      <c r="ZI44" s="120"/>
      <c r="ZJ44" s="120"/>
      <c r="ZK44" s="120"/>
      <c r="ZL44" s="120"/>
      <c r="ZM44" s="120"/>
      <c r="ZN44" s="120"/>
      <c r="ZO44" s="120"/>
      <c r="ZP44" s="120"/>
      <c r="ZQ44" s="120"/>
      <c r="ZR44" s="120"/>
      <c r="ZS44" s="120"/>
      <c r="ZT44" s="120"/>
      <c r="ZU44" s="120"/>
      <c r="ZV44" s="120"/>
      <c r="ZW44" s="120"/>
      <c r="ZX44" s="120"/>
      <c r="ZY44" s="120"/>
      <c r="ZZ44" s="120"/>
      <c r="AAA44" s="120"/>
      <c r="AAB44" s="120"/>
      <c r="AAC44" s="120"/>
      <c r="AAD44" s="120"/>
      <c r="AAE44" s="120"/>
      <c r="AAF44" s="120"/>
      <c r="AAG44" s="120"/>
      <c r="AAH44" s="120"/>
      <c r="AAI44" s="120"/>
      <c r="AAJ44" s="120"/>
      <c r="AAK44" s="120"/>
      <c r="AAL44" s="120"/>
      <c r="AAM44" s="120"/>
      <c r="AAN44" s="120"/>
      <c r="AAO44" s="120"/>
      <c r="AAP44" s="120"/>
      <c r="AAQ44" s="120"/>
      <c r="AAR44" s="120"/>
      <c r="AAS44" s="120"/>
      <c r="AAT44" s="120"/>
      <c r="AAU44" s="120"/>
      <c r="AAV44" s="120"/>
      <c r="AAW44" s="120"/>
      <c r="AAX44" s="120"/>
      <c r="AAY44" s="120"/>
      <c r="AAZ44" s="120"/>
      <c r="ABA44" s="120"/>
      <c r="ABB44" s="120"/>
      <c r="ABC44" s="120"/>
      <c r="ABD44" s="120"/>
      <c r="ABE44" s="120"/>
      <c r="ABF44" s="120"/>
      <c r="ABG44" s="120"/>
      <c r="ABH44" s="120"/>
      <c r="ABI44" s="120"/>
      <c r="ABJ44" s="120"/>
      <c r="ABK44" s="120"/>
      <c r="ABL44" s="120"/>
      <c r="ABM44" s="120"/>
      <c r="ABN44" s="120"/>
      <c r="ABO44" s="120"/>
      <c r="ABP44" s="120"/>
      <c r="ABQ44" s="120"/>
      <c r="ABR44" s="120"/>
      <c r="ABS44" s="120"/>
      <c r="ABT44" s="120"/>
      <c r="ABU44" s="120"/>
      <c r="ABV44" s="120"/>
      <c r="ABW44" s="120"/>
      <c r="ABX44" s="120"/>
      <c r="ABY44" s="120"/>
      <c r="ABZ44" s="120"/>
      <c r="ACA44" s="120"/>
      <c r="ACB44" s="120"/>
      <c r="ACC44" s="120"/>
      <c r="ACD44" s="120"/>
      <c r="ACE44" s="120"/>
      <c r="ACF44" s="120"/>
      <c r="ACG44" s="120"/>
      <c r="ACH44" s="120"/>
      <c r="ACI44" s="120"/>
      <c r="ACJ44" s="120"/>
      <c r="ACK44" s="120"/>
      <c r="ACL44" s="120"/>
      <c r="ACM44" s="120"/>
      <c r="ACN44" s="120"/>
      <c r="ACO44" s="120"/>
      <c r="ACP44" s="120"/>
      <c r="ACQ44" s="120"/>
      <c r="ACR44" s="120"/>
      <c r="ACS44" s="120"/>
      <c r="ACT44" s="120"/>
      <c r="ACU44" s="120"/>
      <c r="ACV44" s="120"/>
      <c r="ACW44" s="120"/>
      <c r="ACX44" s="120"/>
      <c r="ACY44" s="120"/>
      <c r="ACZ44" s="120"/>
      <c r="ADA44" s="120"/>
      <c r="ADB44" s="120"/>
      <c r="ADC44" s="120"/>
      <c r="ADD44" s="120"/>
      <c r="ADE44" s="120"/>
      <c r="ADF44" s="120"/>
      <c r="ADG44" s="120"/>
      <c r="ADH44" s="120"/>
      <c r="ADI44" s="120"/>
      <c r="ADJ44" s="120"/>
      <c r="ADK44" s="120"/>
      <c r="ADL44" s="120"/>
      <c r="ADM44" s="120"/>
      <c r="ADN44" s="120"/>
      <c r="ADO44" s="120"/>
      <c r="ADP44" s="120"/>
      <c r="ADQ44" s="120"/>
      <c r="ADR44" s="120"/>
      <c r="ADS44" s="120"/>
      <c r="ADT44" s="120"/>
      <c r="ADU44" s="120"/>
      <c r="ADV44" s="120"/>
      <c r="ADW44" s="120"/>
      <c r="ADX44" s="120"/>
      <c r="ADY44" s="120"/>
      <c r="ADZ44" s="120"/>
      <c r="AEA44" s="120"/>
      <c r="AEB44" s="120"/>
      <c r="AEC44" s="120"/>
      <c r="AED44" s="120"/>
      <c r="AEE44" s="120"/>
      <c r="AEF44" s="120"/>
      <c r="AEG44" s="120"/>
      <c r="AEH44" s="120"/>
      <c r="AEI44" s="120"/>
      <c r="AEJ44" s="120"/>
      <c r="AEK44" s="120"/>
      <c r="AEL44" s="120"/>
      <c r="AEM44" s="120"/>
      <c r="AEN44" s="120"/>
      <c r="AEO44" s="120"/>
      <c r="AEP44" s="120"/>
      <c r="AEQ44" s="120"/>
      <c r="AER44" s="120"/>
      <c r="AES44" s="120"/>
      <c r="AET44" s="120"/>
      <c r="AEU44" s="120"/>
      <c r="AEV44" s="120"/>
      <c r="AEW44" s="120"/>
      <c r="AEX44" s="120"/>
      <c r="AEY44" s="120"/>
      <c r="AEZ44" s="120"/>
      <c r="AFA44" s="120"/>
      <c r="AFB44" s="120"/>
      <c r="AFC44" s="120"/>
      <c r="AFD44" s="120"/>
      <c r="AFE44" s="120"/>
      <c r="AFF44" s="120"/>
      <c r="AFG44" s="120"/>
      <c r="AFH44" s="120"/>
      <c r="AFI44" s="120"/>
      <c r="AFJ44" s="120"/>
      <c r="AFK44" s="120"/>
      <c r="AFL44" s="120"/>
      <c r="AFM44" s="120"/>
      <c r="AFN44" s="120"/>
      <c r="AFO44" s="120"/>
      <c r="AFP44" s="120"/>
      <c r="AFQ44" s="120"/>
      <c r="AFR44" s="120"/>
      <c r="AFS44" s="120"/>
      <c r="AFT44" s="120"/>
      <c r="AFU44" s="120"/>
      <c r="AFV44" s="120"/>
      <c r="AFW44" s="120"/>
      <c r="AFX44" s="120"/>
      <c r="AFY44" s="120"/>
      <c r="AFZ44" s="120"/>
      <c r="AGA44" s="120"/>
      <c r="AGB44" s="120"/>
      <c r="AGC44" s="120"/>
      <c r="AGD44" s="120"/>
      <c r="AGE44" s="120"/>
      <c r="AGF44" s="120"/>
      <c r="AGG44" s="120"/>
      <c r="AGH44" s="120"/>
      <c r="AGI44" s="120"/>
      <c r="AGJ44" s="120"/>
      <c r="AGK44" s="120"/>
      <c r="AGL44" s="120"/>
      <c r="AGM44" s="120"/>
      <c r="AGN44" s="120"/>
      <c r="AGO44" s="120"/>
      <c r="AGP44" s="120"/>
      <c r="AGQ44" s="120"/>
      <c r="AGR44" s="120"/>
      <c r="AGS44" s="120"/>
      <c r="AGT44" s="120"/>
      <c r="AGU44" s="120"/>
      <c r="AGV44" s="120"/>
      <c r="AGW44" s="120"/>
      <c r="AGX44" s="120"/>
      <c r="AGY44" s="120"/>
      <c r="AGZ44" s="120"/>
      <c r="AHA44" s="120"/>
      <c r="AHB44" s="120"/>
      <c r="AHC44" s="120"/>
      <c r="AHD44" s="120"/>
      <c r="AHE44" s="120"/>
      <c r="AHF44" s="120"/>
      <c r="AHG44" s="120"/>
      <c r="AHH44" s="120"/>
      <c r="AHI44" s="120"/>
      <c r="AHJ44" s="120"/>
      <c r="AHK44" s="120"/>
      <c r="AHL44" s="120"/>
      <c r="AHM44" s="120"/>
      <c r="AHN44" s="120"/>
      <c r="AHO44" s="120"/>
      <c r="AHP44" s="120"/>
      <c r="AHQ44" s="120"/>
      <c r="AHR44" s="120"/>
      <c r="AHS44" s="120"/>
      <c r="AHT44" s="120"/>
      <c r="AHU44" s="120"/>
      <c r="AHV44" s="120"/>
      <c r="AHW44" s="120"/>
      <c r="AHX44" s="120"/>
      <c r="AHY44" s="120"/>
      <c r="AHZ44" s="120"/>
      <c r="AIA44" s="120"/>
      <c r="AIB44" s="120"/>
      <c r="AIC44" s="120"/>
      <c r="AID44" s="120"/>
      <c r="AIE44" s="120"/>
      <c r="AIF44" s="120"/>
      <c r="AIG44" s="120"/>
      <c r="AIH44" s="120"/>
      <c r="AII44" s="120"/>
      <c r="AIJ44" s="120"/>
      <c r="AIK44" s="120"/>
      <c r="AIL44" s="120"/>
      <c r="AIM44" s="120"/>
      <c r="AIN44" s="120"/>
      <c r="AIO44" s="120"/>
      <c r="AIP44" s="120"/>
      <c r="AIQ44" s="120"/>
      <c r="AIR44" s="120"/>
      <c r="AIS44" s="120"/>
      <c r="AIT44" s="120"/>
      <c r="AIU44" s="120"/>
      <c r="AIV44" s="120"/>
      <c r="AIW44" s="120"/>
      <c r="AIX44" s="120"/>
      <c r="AIY44" s="120"/>
      <c r="AIZ44" s="120"/>
    </row>
    <row r="45">
      <c r="A45" s="112" t="s">
        <v>7</v>
      </c>
      <c r="B45" s="112" t="s">
        <v>37</v>
      </c>
      <c r="C45" s="112"/>
      <c r="D45" s="113">
        <f t="shared" si="1"/>
        <v>573.3740167</v>
      </c>
      <c r="E45" s="112">
        <v>48.5328166666666</v>
      </c>
      <c r="F45" s="113"/>
      <c r="G45" s="113"/>
      <c r="H45" s="113"/>
      <c r="I45" s="113"/>
      <c r="J45" s="113"/>
      <c r="K45" s="113"/>
      <c r="L45" s="112">
        <v>0.63015</v>
      </c>
      <c r="M45" s="112">
        <v>9.6604</v>
      </c>
      <c r="N45" s="113"/>
      <c r="O45" s="112">
        <v>0.22415</v>
      </c>
      <c r="P45" s="112">
        <v>123.93115</v>
      </c>
      <c r="Q45" s="113"/>
      <c r="R45" s="113"/>
      <c r="S45" s="113"/>
      <c r="T45" s="113"/>
      <c r="U45" s="113"/>
      <c r="V45" s="112">
        <v>1.678</v>
      </c>
      <c r="W45" s="112">
        <v>102.721833333333</v>
      </c>
      <c r="X45" s="113"/>
      <c r="Y45" s="113"/>
      <c r="Z45" s="113"/>
      <c r="AA45" s="113"/>
      <c r="AB45" s="113"/>
      <c r="AC45" s="112">
        <v>2.28935</v>
      </c>
      <c r="AD45" s="112">
        <v>44.6822499999999</v>
      </c>
      <c r="AE45" s="113"/>
      <c r="AF45" s="113"/>
      <c r="AG45" s="113"/>
      <c r="AH45" s="113"/>
      <c r="AI45" s="113"/>
      <c r="AJ45" s="112">
        <v>0.684083333333333</v>
      </c>
      <c r="AK45" s="112">
        <v>106.7774</v>
      </c>
      <c r="AL45" s="113"/>
      <c r="AM45" s="113"/>
      <c r="AN45" s="113"/>
      <c r="AO45" s="112">
        <v>6.47583333333333</v>
      </c>
      <c r="AP45" s="112">
        <v>30.2258</v>
      </c>
      <c r="AQ45" s="113"/>
      <c r="AR45" s="113"/>
      <c r="AS45" s="112">
        <v>2.23656666666667</v>
      </c>
      <c r="AT45" s="112">
        <v>86.4588666666668</v>
      </c>
      <c r="AU45" s="113"/>
      <c r="AV45" s="112">
        <v>5.85968333333333</v>
      </c>
      <c r="AW45" s="112">
        <v>0.305683333333333</v>
      </c>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113"/>
      <c r="CB45" s="113"/>
      <c r="CC45" s="113"/>
      <c r="CD45" s="113"/>
      <c r="CE45" s="113"/>
      <c r="CF45" s="113"/>
      <c r="CG45" s="113"/>
      <c r="CH45" s="113"/>
      <c r="CI45" s="113"/>
      <c r="CJ45" s="113"/>
      <c r="CK45" s="113"/>
      <c r="CL45" s="113"/>
      <c r="CM45" s="113"/>
      <c r="CN45" s="113"/>
      <c r="CO45" s="113"/>
      <c r="CP45" s="113"/>
      <c r="CQ45" s="113"/>
      <c r="CR45" s="113"/>
      <c r="CS45" s="113"/>
      <c r="CT45" s="113"/>
      <c r="CU45" s="113"/>
      <c r="CV45" s="113"/>
      <c r="CW45" s="113"/>
      <c r="CX45" s="113"/>
      <c r="CY45" s="113"/>
      <c r="CZ45" s="113"/>
      <c r="DA45" s="113"/>
      <c r="DB45" s="113"/>
      <c r="DC45" s="113"/>
      <c r="DD45" s="113"/>
      <c r="DE45" s="113"/>
      <c r="DF45" s="113"/>
      <c r="DG45" s="113"/>
      <c r="DH45" s="113"/>
      <c r="DI45" s="113"/>
      <c r="DJ45" s="113"/>
      <c r="DK45" s="113"/>
      <c r="DL45" s="113"/>
      <c r="DM45" s="113"/>
      <c r="DN45" s="113"/>
      <c r="DO45" s="113"/>
      <c r="DP45" s="113"/>
      <c r="DQ45" s="113"/>
      <c r="DR45" s="113"/>
      <c r="DS45" s="113"/>
      <c r="DT45" s="113"/>
      <c r="DU45" s="113"/>
      <c r="DV45" s="113"/>
      <c r="DW45" s="113"/>
      <c r="DX45" s="113"/>
      <c r="DY45" s="113"/>
      <c r="DZ45" s="113"/>
      <c r="EA45" s="113"/>
      <c r="EB45" s="113"/>
      <c r="EC45" s="113"/>
      <c r="ED45" s="113"/>
      <c r="EE45" s="113"/>
      <c r="EF45" s="113"/>
      <c r="EG45" s="113"/>
      <c r="EH45" s="113"/>
      <c r="EI45" s="113"/>
      <c r="EJ45" s="113"/>
      <c r="EK45" s="113"/>
      <c r="EL45" s="113"/>
      <c r="EM45" s="113"/>
      <c r="EN45" s="113"/>
      <c r="EO45" s="113"/>
      <c r="EP45" s="113"/>
      <c r="EQ45" s="113"/>
      <c r="ER45" s="113"/>
      <c r="ES45" s="113"/>
      <c r="ET45" s="113"/>
      <c r="EU45" s="113"/>
      <c r="EV45" s="113"/>
      <c r="EW45" s="113"/>
      <c r="EX45" s="113"/>
      <c r="EY45" s="113"/>
      <c r="EZ45" s="113"/>
      <c r="FA45" s="113"/>
      <c r="FB45" s="113"/>
      <c r="FC45" s="113"/>
      <c r="FD45" s="113"/>
      <c r="FE45" s="113"/>
      <c r="FF45" s="113"/>
      <c r="FG45" s="113"/>
      <c r="FH45" s="113"/>
      <c r="FI45" s="113"/>
      <c r="FJ45" s="113"/>
      <c r="FK45" s="113"/>
      <c r="FL45" s="113"/>
      <c r="FM45" s="113"/>
      <c r="FN45" s="113"/>
      <c r="FO45" s="113"/>
      <c r="FP45" s="113"/>
      <c r="FQ45" s="113"/>
      <c r="FR45" s="113"/>
      <c r="FS45" s="113"/>
      <c r="FT45" s="113"/>
      <c r="FU45" s="113"/>
      <c r="FV45" s="113"/>
      <c r="FW45" s="113"/>
      <c r="FX45" s="113"/>
      <c r="FY45" s="113"/>
      <c r="FZ45" s="113"/>
      <c r="GA45" s="113"/>
      <c r="GB45" s="113"/>
      <c r="GC45" s="113"/>
      <c r="GD45" s="113"/>
      <c r="GE45" s="113"/>
      <c r="GF45" s="113"/>
      <c r="GG45" s="113"/>
      <c r="GH45" s="113"/>
      <c r="GI45" s="113"/>
      <c r="GJ45" s="113"/>
      <c r="GK45" s="113"/>
      <c r="GL45" s="113"/>
      <c r="GM45" s="113"/>
      <c r="GN45" s="113"/>
      <c r="GO45" s="113"/>
      <c r="GP45" s="113"/>
      <c r="GQ45" s="113"/>
      <c r="GR45" s="113"/>
      <c r="GS45" s="113"/>
      <c r="GT45" s="113"/>
      <c r="GU45" s="113"/>
      <c r="GV45" s="113"/>
      <c r="GW45" s="113"/>
      <c r="GX45" s="113"/>
      <c r="GY45" s="113"/>
      <c r="GZ45" s="113"/>
      <c r="HA45" s="113"/>
      <c r="HB45" s="113"/>
      <c r="HC45" s="113"/>
      <c r="HD45" s="113"/>
      <c r="HE45" s="113"/>
      <c r="HF45" s="113"/>
      <c r="HG45" s="113"/>
      <c r="HH45" s="113"/>
      <c r="HI45" s="113"/>
      <c r="HJ45" s="113"/>
      <c r="HK45" s="113"/>
      <c r="HL45" s="113"/>
      <c r="HM45" s="113"/>
      <c r="HN45" s="113"/>
      <c r="HO45" s="113"/>
      <c r="HP45" s="113"/>
      <c r="HQ45" s="113"/>
      <c r="HR45" s="113"/>
      <c r="HS45" s="113"/>
      <c r="HT45" s="113"/>
      <c r="HU45" s="113"/>
      <c r="HV45" s="113"/>
      <c r="HW45" s="113"/>
      <c r="HX45" s="113"/>
      <c r="HY45" s="113"/>
      <c r="HZ45" s="113"/>
      <c r="IA45" s="113"/>
      <c r="IB45" s="113"/>
      <c r="IC45" s="113"/>
      <c r="ID45" s="113"/>
      <c r="IE45" s="113"/>
      <c r="IF45" s="113"/>
      <c r="IG45" s="113"/>
      <c r="IH45" s="113"/>
      <c r="II45" s="113"/>
      <c r="IJ45" s="113"/>
      <c r="IK45" s="113"/>
      <c r="IL45" s="113"/>
      <c r="IM45" s="113"/>
      <c r="IN45" s="113"/>
      <c r="IO45" s="113"/>
      <c r="IP45" s="113"/>
      <c r="IQ45" s="113"/>
      <c r="IR45" s="113"/>
      <c r="IS45" s="113"/>
      <c r="IT45" s="113"/>
      <c r="IU45" s="113"/>
      <c r="IV45" s="113"/>
      <c r="IW45" s="113"/>
      <c r="IX45" s="113"/>
      <c r="IY45" s="113"/>
      <c r="IZ45" s="113"/>
      <c r="JA45" s="113"/>
      <c r="JB45" s="113"/>
      <c r="JC45" s="113"/>
      <c r="JD45" s="113"/>
      <c r="JE45" s="113"/>
      <c r="JF45" s="113"/>
      <c r="JG45" s="113"/>
      <c r="JH45" s="113"/>
      <c r="JI45" s="113"/>
      <c r="JJ45" s="113"/>
      <c r="JK45" s="113"/>
      <c r="JL45" s="113"/>
      <c r="JM45" s="113"/>
      <c r="JN45" s="113"/>
      <c r="JO45" s="113"/>
      <c r="JP45" s="113"/>
      <c r="JQ45" s="113"/>
      <c r="JR45" s="113"/>
      <c r="JS45" s="113"/>
      <c r="JT45" s="113"/>
      <c r="JU45" s="113"/>
      <c r="JV45" s="113"/>
      <c r="JW45" s="113"/>
      <c r="JX45" s="113"/>
      <c r="JY45" s="113"/>
      <c r="JZ45" s="113"/>
      <c r="KA45" s="113"/>
      <c r="KB45" s="113"/>
      <c r="KC45" s="113"/>
      <c r="KD45" s="113"/>
      <c r="KE45" s="113"/>
      <c r="KF45" s="113"/>
      <c r="KG45" s="113"/>
      <c r="KH45" s="113"/>
      <c r="KI45" s="113"/>
      <c r="KJ45" s="113"/>
      <c r="KK45" s="113"/>
      <c r="KL45" s="113"/>
      <c r="KM45" s="113"/>
      <c r="KN45" s="113"/>
      <c r="KO45" s="113"/>
      <c r="KP45" s="113"/>
      <c r="KQ45" s="113"/>
      <c r="KR45" s="113"/>
      <c r="KS45" s="113"/>
      <c r="KT45" s="113"/>
      <c r="KU45" s="113"/>
      <c r="KV45" s="113"/>
      <c r="KW45" s="113"/>
      <c r="KX45" s="113"/>
      <c r="KY45" s="113"/>
      <c r="KZ45" s="113"/>
      <c r="LA45" s="113"/>
      <c r="LB45" s="113"/>
      <c r="LC45" s="113"/>
      <c r="LD45" s="113"/>
      <c r="LE45" s="113"/>
      <c r="LF45" s="113"/>
      <c r="LG45" s="113"/>
      <c r="LH45" s="113"/>
      <c r="LI45" s="113"/>
      <c r="LJ45" s="113"/>
      <c r="LK45" s="113"/>
      <c r="LL45" s="113"/>
      <c r="LM45" s="113"/>
      <c r="LN45" s="113"/>
      <c r="LO45" s="113"/>
      <c r="LP45" s="113"/>
      <c r="LQ45" s="113"/>
      <c r="LR45" s="113"/>
      <c r="LS45" s="113"/>
      <c r="LT45" s="113"/>
      <c r="LU45" s="113"/>
      <c r="LV45" s="113"/>
      <c r="LW45" s="113"/>
      <c r="LX45" s="113"/>
      <c r="LY45" s="113"/>
      <c r="LZ45" s="113"/>
      <c r="MA45" s="113"/>
      <c r="MB45" s="113"/>
      <c r="MC45" s="113"/>
      <c r="MD45" s="113"/>
      <c r="ME45" s="113"/>
      <c r="MF45" s="113"/>
      <c r="MG45" s="113"/>
      <c r="MH45" s="113"/>
      <c r="MI45" s="113"/>
      <c r="MJ45" s="113"/>
      <c r="MK45" s="113"/>
      <c r="ML45" s="113"/>
      <c r="MM45" s="113"/>
      <c r="MN45" s="113"/>
      <c r="MO45" s="113"/>
      <c r="MP45" s="113"/>
      <c r="MQ45" s="113"/>
      <c r="MR45" s="113"/>
      <c r="MS45" s="113"/>
      <c r="MT45" s="113"/>
      <c r="MU45" s="113"/>
      <c r="MV45" s="113"/>
      <c r="MW45" s="113"/>
      <c r="MX45" s="113"/>
      <c r="MY45" s="113"/>
      <c r="MZ45" s="113"/>
      <c r="NA45" s="113"/>
      <c r="NB45" s="113"/>
      <c r="NC45" s="113"/>
      <c r="ND45" s="113"/>
      <c r="NE45" s="113"/>
      <c r="NF45" s="113"/>
      <c r="NG45" s="113"/>
      <c r="NH45" s="113"/>
      <c r="NI45" s="113"/>
      <c r="NJ45" s="113"/>
      <c r="NK45" s="113"/>
      <c r="NL45" s="113"/>
      <c r="NM45" s="113"/>
      <c r="NN45" s="113"/>
      <c r="NO45" s="113"/>
      <c r="NP45" s="113"/>
      <c r="NQ45" s="113"/>
      <c r="NR45" s="113"/>
      <c r="NS45" s="113"/>
      <c r="NT45" s="113"/>
      <c r="NU45" s="113"/>
      <c r="NV45" s="113"/>
      <c r="NW45" s="113"/>
      <c r="NX45" s="113"/>
      <c r="NY45" s="113"/>
      <c r="NZ45" s="113"/>
      <c r="OA45" s="113"/>
      <c r="OB45" s="113"/>
      <c r="OC45" s="113"/>
      <c r="OD45" s="113"/>
      <c r="OE45" s="113"/>
      <c r="OF45" s="113"/>
      <c r="OG45" s="113"/>
      <c r="OH45" s="113"/>
      <c r="OI45" s="113"/>
      <c r="OJ45" s="113"/>
      <c r="OK45" s="113"/>
      <c r="OL45" s="113"/>
      <c r="OM45" s="113"/>
      <c r="ON45" s="113"/>
      <c r="OO45" s="113"/>
      <c r="OP45" s="113"/>
      <c r="OQ45" s="113"/>
      <c r="OR45" s="113"/>
      <c r="OS45" s="113"/>
      <c r="OT45" s="113"/>
      <c r="OU45" s="113"/>
      <c r="OV45" s="113"/>
      <c r="OW45" s="113"/>
      <c r="OX45" s="113"/>
      <c r="OY45" s="113"/>
      <c r="OZ45" s="113"/>
      <c r="PA45" s="113"/>
      <c r="PB45" s="113"/>
      <c r="PC45" s="113"/>
      <c r="PD45" s="113"/>
      <c r="PE45" s="113"/>
      <c r="PF45" s="113"/>
      <c r="PG45" s="113"/>
      <c r="PH45" s="113"/>
      <c r="PI45" s="113"/>
      <c r="PJ45" s="113"/>
      <c r="PK45" s="113"/>
      <c r="PL45" s="113"/>
      <c r="PM45" s="113"/>
      <c r="PN45" s="113"/>
      <c r="PO45" s="113"/>
      <c r="PP45" s="113"/>
      <c r="PQ45" s="113"/>
      <c r="PR45" s="113"/>
      <c r="PS45" s="113"/>
      <c r="PT45" s="113"/>
      <c r="PU45" s="113"/>
      <c r="PV45" s="113"/>
      <c r="PW45" s="113"/>
      <c r="PX45" s="113"/>
      <c r="PY45" s="113"/>
      <c r="PZ45" s="113"/>
      <c r="QA45" s="113"/>
      <c r="QB45" s="113"/>
      <c r="QC45" s="113"/>
      <c r="QD45" s="113"/>
      <c r="QE45" s="113"/>
      <c r="QF45" s="113"/>
      <c r="QG45" s="113"/>
      <c r="QH45" s="113"/>
      <c r="QI45" s="113"/>
      <c r="QJ45" s="113"/>
      <c r="QK45" s="113"/>
      <c r="QL45" s="113"/>
      <c r="QM45" s="113"/>
      <c r="QN45" s="113"/>
      <c r="QO45" s="113"/>
      <c r="QP45" s="113"/>
      <c r="QQ45" s="113"/>
      <c r="QR45" s="113"/>
      <c r="QS45" s="113"/>
      <c r="QT45" s="113"/>
      <c r="QU45" s="113"/>
      <c r="QV45" s="113"/>
      <c r="QW45" s="113"/>
      <c r="QX45" s="113"/>
      <c r="QY45" s="113"/>
      <c r="QZ45" s="113"/>
      <c r="RA45" s="113"/>
      <c r="RB45" s="113"/>
      <c r="RC45" s="113"/>
      <c r="RD45" s="113"/>
      <c r="RE45" s="113"/>
      <c r="RF45" s="113"/>
      <c r="RG45" s="113"/>
      <c r="RH45" s="113"/>
      <c r="RI45" s="113"/>
      <c r="RJ45" s="113"/>
      <c r="RK45" s="113"/>
      <c r="RL45" s="113"/>
      <c r="RM45" s="113"/>
      <c r="RN45" s="113"/>
      <c r="RO45" s="113"/>
      <c r="RP45" s="113"/>
      <c r="RQ45" s="113"/>
      <c r="RR45" s="113"/>
      <c r="RS45" s="113"/>
      <c r="RT45" s="113"/>
      <c r="RU45" s="113"/>
      <c r="RV45" s="113"/>
      <c r="RW45" s="113"/>
      <c r="RX45" s="113"/>
      <c r="RY45" s="113"/>
      <c r="RZ45" s="113"/>
      <c r="SA45" s="113"/>
      <c r="SB45" s="113"/>
      <c r="SC45" s="113"/>
      <c r="SD45" s="113"/>
      <c r="SE45" s="113"/>
      <c r="SF45" s="113"/>
      <c r="SG45" s="113"/>
      <c r="SH45" s="113"/>
      <c r="SI45" s="113"/>
      <c r="SJ45" s="113"/>
      <c r="SK45" s="113"/>
      <c r="SL45" s="113"/>
      <c r="SM45" s="113"/>
      <c r="SN45" s="113"/>
      <c r="SO45" s="113"/>
      <c r="SP45" s="113"/>
      <c r="SQ45" s="113"/>
      <c r="SR45" s="113"/>
      <c r="SS45" s="113"/>
      <c r="ST45" s="113"/>
      <c r="SU45" s="113"/>
      <c r="SV45" s="113"/>
      <c r="SW45" s="113"/>
      <c r="SX45" s="113"/>
      <c r="SY45" s="113"/>
      <c r="SZ45" s="113"/>
      <c r="TA45" s="113"/>
      <c r="TB45" s="113"/>
      <c r="TC45" s="113"/>
      <c r="TD45" s="113"/>
      <c r="TE45" s="113"/>
      <c r="TF45" s="113"/>
      <c r="TG45" s="113"/>
      <c r="TH45" s="113"/>
      <c r="TI45" s="113"/>
      <c r="TJ45" s="113"/>
      <c r="TK45" s="113"/>
      <c r="TL45" s="113"/>
      <c r="TM45" s="113"/>
      <c r="TN45" s="113"/>
      <c r="TO45" s="113"/>
      <c r="TP45" s="113"/>
      <c r="TQ45" s="113"/>
      <c r="TR45" s="113"/>
      <c r="TS45" s="113"/>
      <c r="TT45" s="113"/>
      <c r="TU45" s="113"/>
      <c r="TV45" s="113"/>
      <c r="TW45" s="113"/>
      <c r="TX45" s="113"/>
      <c r="TY45" s="113"/>
      <c r="TZ45" s="113"/>
      <c r="UA45" s="113"/>
      <c r="UB45" s="113"/>
      <c r="UC45" s="113"/>
      <c r="UD45" s="113"/>
      <c r="UE45" s="113"/>
      <c r="UF45" s="113"/>
      <c r="UG45" s="113"/>
      <c r="UH45" s="113"/>
      <c r="UI45" s="113"/>
      <c r="UJ45" s="113"/>
      <c r="UK45" s="113"/>
      <c r="UL45" s="113"/>
      <c r="UM45" s="113"/>
      <c r="UN45" s="113"/>
      <c r="UO45" s="113"/>
      <c r="UP45" s="113"/>
      <c r="UQ45" s="113"/>
      <c r="UR45" s="113"/>
      <c r="US45" s="113"/>
      <c r="UT45" s="113"/>
      <c r="UU45" s="113"/>
      <c r="UV45" s="113"/>
      <c r="UW45" s="113"/>
      <c r="UX45" s="113"/>
      <c r="UY45" s="113"/>
      <c r="UZ45" s="113"/>
      <c r="VA45" s="113"/>
      <c r="VB45" s="113"/>
      <c r="VC45" s="113"/>
      <c r="VD45" s="113"/>
      <c r="VE45" s="113"/>
      <c r="VF45" s="113"/>
      <c r="VG45" s="113"/>
      <c r="VH45" s="113"/>
      <c r="VI45" s="113"/>
      <c r="VJ45" s="113"/>
      <c r="VK45" s="113"/>
      <c r="VL45" s="113"/>
      <c r="VM45" s="113"/>
      <c r="VN45" s="113"/>
      <c r="VO45" s="113"/>
      <c r="VP45" s="113"/>
      <c r="VQ45" s="113"/>
      <c r="VR45" s="113"/>
      <c r="VS45" s="113"/>
      <c r="VT45" s="113"/>
      <c r="VU45" s="113"/>
      <c r="VV45" s="113"/>
      <c r="VW45" s="113"/>
      <c r="VX45" s="113"/>
      <c r="VY45" s="113"/>
      <c r="VZ45" s="113"/>
      <c r="WA45" s="113"/>
      <c r="WB45" s="113"/>
      <c r="WC45" s="113"/>
      <c r="WD45" s="113"/>
      <c r="WE45" s="113"/>
      <c r="WF45" s="113"/>
      <c r="WG45" s="113"/>
      <c r="WH45" s="113"/>
      <c r="WI45" s="113"/>
      <c r="WJ45" s="113"/>
      <c r="WK45" s="113"/>
      <c r="WL45" s="113"/>
      <c r="WM45" s="113"/>
      <c r="WN45" s="113"/>
      <c r="WO45" s="113"/>
      <c r="WP45" s="113"/>
      <c r="WQ45" s="113"/>
      <c r="WR45" s="113"/>
      <c r="WS45" s="113"/>
      <c r="WT45" s="113"/>
      <c r="WU45" s="113"/>
      <c r="WV45" s="113"/>
      <c r="WW45" s="113"/>
      <c r="WX45" s="113"/>
      <c r="WY45" s="113"/>
      <c r="WZ45" s="113"/>
      <c r="XA45" s="113"/>
      <c r="XB45" s="113"/>
      <c r="XC45" s="113"/>
      <c r="XD45" s="113"/>
      <c r="XE45" s="113"/>
      <c r="XF45" s="113"/>
      <c r="XG45" s="113"/>
      <c r="XH45" s="113"/>
      <c r="XI45" s="113"/>
      <c r="XJ45" s="113"/>
      <c r="XK45" s="113"/>
      <c r="XL45" s="113"/>
      <c r="XM45" s="113"/>
      <c r="XN45" s="113"/>
      <c r="XO45" s="113"/>
      <c r="XP45" s="113"/>
      <c r="XQ45" s="113"/>
      <c r="XR45" s="113"/>
      <c r="XS45" s="113"/>
      <c r="XT45" s="113"/>
      <c r="XU45" s="113"/>
      <c r="XV45" s="113"/>
      <c r="XW45" s="113"/>
      <c r="XX45" s="113"/>
      <c r="XY45" s="113"/>
      <c r="XZ45" s="113"/>
      <c r="YA45" s="113"/>
      <c r="YB45" s="113"/>
      <c r="YC45" s="113"/>
      <c r="YD45" s="113"/>
      <c r="YE45" s="113"/>
      <c r="YF45" s="113"/>
      <c r="YG45" s="113"/>
      <c r="YH45" s="113"/>
      <c r="YI45" s="113"/>
      <c r="YJ45" s="113"/>
      <c r="YK45" s="113"/>
      <c r="YL45" s="113"/>
      <c r="YM45" s="113"/>
      <c r="YN45" s="113"/>
      <c r="YO45" s="113"/>
      <c r="YP45" s="113"/>
      <c r="YQ45" s="113"/>
      <c r="YR45" s="113"/>
      <c r="YS45" s="113"/>
      <c r="YT45" s="113"/>
      <c r="YU45" s="113"/>
      <c r="YV45" s="113"/>
      <c r="YW45" s="113"/>
      <c r="YX45" s="113"/>
      <c r="YY45" s="113"/>
      <c r="YZ45" s="113"/>
      <c r="ZA45" s="113"/>
      <c r="ZB45" s="113"/>
      <c r="ZC45" s="113"/>
      <c r="ZD45" s="113"/>
      <c r="ZE45" s="113"/>
      <c r="ZF45" s="113"/>
      <c r="ZG45" s="113"/>
      <c r="ZH45" s="113"/>
      <c r="ZI45" s="113"/>
      <c r="ZJ45" s="113"/>
      <c r="ZK45" s="113"/>
      <c r="ZL45" s="113"/>
      <c r="ZM45" s="113"/>
      <c r="ZN45" s="113"/>
      <c r="ZO45" s="113"/>
      <c r="ZP45" s="113"/>
      <c r="ZQ45" s="113"/>
      <c r="ZR45" s="113"/>
      <c r="ZS45" s="113"/>
      <c r="ZT45" s="113"/>
      <c r="ZU45" s="113"/>
      <c r="ZV45" s="113"/>
      <c r="ZW45" s="113"/>
      <c r="ZX45" s="113"/>
      <c r="ZY45" s="113"/>
      <c r="ZZ45" s="113"/>
      <c r="AAA45" s="113"/>
      <c r="AAB45" s="113"/>
      <c r="AAC45" s="113"/>
      <c r="AAD45" s="113"/>
      <c r="AAE45" s="113"/>
      <c r="AAF45" s="113"/>
      <c r="AAG45" s="113"/>
      <c r="AAH45" s="113"/>
      <c r="AAI45" s="113"/>
      <c r="AAJ45" s="113"/>
      <c r="AAK45" s="113"/>
      <c r="AAL45" s="113"/>
      <c r="AAM45" s="113"/>
      <c r="AAN45" s="113"/>
      <c r="AAO45" s="113"/>
      <c r="AAP45" s="113"/>
      <c r="AAQ45" s="113"/>
      <c r="AAR45" s="113"/>
      <c r="AAS45" s="113"/>
      <c r="AAT45" s="113"/>
      <c r="AAU45" s="113"/>
      <c r="AAV45" s="113"/>
      <c r="AAW45" s="113"/>
      <c r="AAX45" s="113"/>
      <c r="AAY45" s="113"/>
      <c r="AAZ45" s="113"/>
      <c r="ABA45" s="113"/>
      <c r="ABB45" s="113"/>
      <c r="ABC45" s="113"/>
      <c r="ABD45" s="113"/>
      <c r="ABE45" s="113"/>
      <c r="ABF45" s="113"/>
      <c r="ABG45" s="113"/>
      <c r="ABH45" s="113"/>
      <c r="ABI45" s="113"/>
      <c r="ABJ45" s="113"/>
      <c r="ABK45" s="113"/>
      <c r="ABL45" s="113"/>
      <c r="ABM45" s="113"/>
      <c r="ABN45" s="113"/>
      <c r="ABO45" s="113"/>
      <c r="ABP45" s="113"/>
      <c r="ABQ45" s="113"/>
      <c r="ABR45" s="113"/>
      <c r="ABS45" s="113"/>
      <c r="ABT45" s="113"/>
      <c r="ABU45" s="113"/>
      <c r="ABV45" s="113"/>
      <c r="ABW45" s="113"/>
      <c r="ABX45" s="113"/>
      <c r="ABY45" s="113"/>
      <c r="ABZ45" s="113"/>
      <c r="ACA45" s="113"/>
      <c r="ACB45" s="113"/>
      <c r="ACC45" s="113"/>
      <c r="ACD45" s="113"/>
      <c r="ACE45" s="113"/>
      <c r="ACF45" s="113"/>
      <c r="ACG45" s="113"/>
      <c r="ACH45" s="113"/>
      <c r="ACI45" s="113"/>
      <c r="ACJ45" s="113"/>
      <c r="ACK45" s="113"/>
      <c r="ACL45" s="113"/>
      <c r="ACM45" s="113"/>
      <c r="ACN45" s="113"/>
      <c r="ACO45" s="113"/>
      <c r="ACP45" s="113"/>
      <c r="ACQ45" s="113"/>
      <c r="ACR45" s="113"/>
      <c r="ACS45" s="113"/>
      <c r="ACT45" s="113"/>
      <c r="ACU45" s="113"/>
      <c r="ACV45" s="113"/>
      <c r="ACW45" s="113"/>
      <c r="ACX45" s="113"/>
      <c r="ACY45" s="113"/>
      <c r="ACZ45" s="113"/>
      <c r="ADA45" s="113"/>
      <c r="ADB45" s="113"/>
      <c r="ADC45" s="113"/>
      <c r="ADD45" s="113"/>
      <c r="ADE45" s="113"/>
      <c r="ADF45" s="113"/>
      <c r="ADG45" s="113"/>
      <c r="ADH45" s="113"/>
      <c r="ADI45" s="113"/>
      <c r="ADJ45" s="113"/>
      <c r="ADK45" s="113"/>
      <c r="ADL45" s="113"/>
      <c r="ADM45" s="113"/>
      <c r="ADN45" s="113"/>
      <c r="ADO45" s="113"/>
      <c r="ADP45" s="113"/>
      <c r="ADQ45" s="113"/>
      <c r="ADR45" s="113"/>
      <c r="ADS45" s="113"/>
      <c r="ADT45" s="113"/>
      <c r="ADU45" s="113"/>
      <c r="ADV45" s="113"/>
      <c r="ADW45" s="113"/>
      <c r="ADX45" s="113"/>
      <c r="ADY45" s="113"/>
      <c r="ADZ45" s="113"/>
      <c r="AEA45" s="113"/>
      <c r="AEB45" s="113"/>
      <c r="AEC45" s="113"/>
      <c r="AED45" s="113"/>
      <c r="AEE45" s="113"/>
      <c r="AEF45" s="113"/>
      <c r="AEG45" s="113"/>
      <c r="AEH45" s="113"/>
      <c r="AEI45" s="113"/>
      <c r="AEJ45" s="113"/>
      <c r="AEK45" s="113"/>
      <c r="AEL45" s="113"/>
      <c r="AEM45" s="113"/>
      <c r="AEN45" s="113"/>
      <c r="AEO45" s="113"/>
      <c r="AEP45" s="113"/>
      <c r="AEQ45" s="113"/>
      <c r="AER45" s="113"/>
      <c r="AES45" s="113"/>
      <c r="AET45" s="113"/>
      <c r="AEU45" s="113"/>
      <c r="AEV45" s="113"/>
      <c r="AEW45" s="113"/>
      <c r="AEX45" s="113"/>
      <c r="AEY45" s="113"/>
      <c r="AEZ45" s="113"/>
      <c r="AFA45" s="113"/>
      <c r="AFB45" s="113"/>
      <c r="AFC45" s="113"/>
      <c r="AFD45" s="113"/>
      <c r="AFE45" s="113"/>
      <c r="AFF45" s="113"/>
      <c r="AFG45" s="113"/>
      <c r="AFH45" s="113"/>
      <c r="AFI45" s="113"/>
      <c r="AFJ45" s="113"/>
      <c r="AFK45" s="113"/>
      <c r="AFL45" s="113"/>
      <c r="AFM45" s="113"/>
      <c r="AFN45" s="113"/>
      <c r="AFO45" s="113"/>
      <c r="AFP45" s="113"/>
      <c r="AFQ45" s="113"/>
      <c r="AFR45" s="113"/>
      <c r="AFS45" s="113"/>
      <c r="AFT45" s="113"/>
      <c r="AFU45" s="113"/>
      <c r="AFV45" s="113"/>
      <c r="AFW45" s="113"/>
      <c r="AFX45" s="113"/>
      <c r="AFY45" s="113"/>
      <c r="AFZ45" s="113"/>
      <c r="AGA45" s="113"/>
      <c r="AGB45" s="113"/>
      <c r="AGC45" s="113"/>
      <c r="AGD45" s="113"/>
      <c r="AGE45" s="113"/>
      <c r="AGF45" s="113"/>
      <c r="AGG45" s="113"/>
      <c r="AGH45" s="113"/>
      <c r="AGI45" s="113"/>
      <c r="AGJ45" s="113"/>
      <c r="AGK45" s="113"/>
      <c r="AGL45" s="113"/>
      <c r="AGM45" s="113"/>
      <c r="AGN45" s="113"/>
      <c r="AGO45" s="113"/>
      <c r="AGP45" s="113"/>
      <c r="AGQ45" s="113"/>
      <c r="AGR45" s="113"/>
      <c r="AGS45" s="113"/>
      <c r="AGT45" s="113"/>
      <c r="AGU45" s="113"/>
      <c r="AGV45" s="113"/>
      <c r="AGW45" s="113"/>
      <c r="AGX45" s="113"/>
      <c r="AGY45" s="113"/>
      <c r="AGZ45" s="113"/>
      <c r="AHA45" s="113"/>
      <c r="AHB45" s="113"/>
      <c r="AHC45" s="113"/>
      <c r="AHD45" s="113"/>
      <c r="AHE45" s="113"/>
      <c r="AHF45" s="113"/>
      <c r="AHG45" s="113"/>
      <c r="AHH45" s="113"/>
      <c r="AHI45" s="113"/>
      <c r="AHJ45" s="113"/>
      <c r="AHK45" s="113"/>
      <c r="AHL45" s="113"/>
      <c r="AHM45" s="113"/>
      <c r="AHN45" s="113"/>
      <c r="AHO45" s="113"/>
      <c r="AHP45" s="113"/>
      <c r="AHQ45" s="113"/>
      <c r="AHR45" s="113"/>
      <c r="AHS45" s="113"/>
      <c r="AHT45" s="113"/>
      <c r="AHU45" s="113"/>
      <c r="AHV45" s="113"/>
      <c r="AHW45" s="113"/>
      <c r="AHX45" s="113"/>
      <c r="AHY45" s="113"/>
      <c r="AHZ45" s="113"/>
      <c r="AIA45" s="113"/>
      <c r="AIB45" s="113"/>
      <c r="AIC45" s="113"/>
      <c r="AID45" s="113"/>
      <c r="AIE45" s="113"/>
      <c r="AIF45" s="113"/>
      <c r="AIG45" s="113"/>
      <c r="AIH45" s="113"/>
      <c r="AII45" s="113"/>
      <c r="AIJ45" s="113"/>
      <c r="AIK45" s="113"/>
      <c r="AIL45" s="113"/>
      <c r="AIM45" s="113"/>
      <c r="AIN45" s="113"/>
      <c r="AIO45" s="113"/>
      <c r="AIP45" s="113"/>
      <c r="AIQ45" s="113"/>
      <c r="AIR45" s="113"/>
      <c r="AIS45" s="113"/>
      <c r="AIT45" s="113"/>
      <c r="AIU45" s="113"/>
      <c r="AIV45" s="113"/>
      <c r="AIW45" s="113"/>
      <c r="AIX45" s="113"/>
      <c r="AIY45" s="113"/>
      <c r="AIZ45" s="113"/>
    </row>
    <row r="46">
      <c r="A46" s="65" t="s">
        <v>7</v>
      </c>
      <c r="B46" s="65" t="s">
        <v>37</v>
      </c>
      <c r="C46" s="65"/>
      <c r="D46" s="64">
        <f t="shared" si="1"/>
        <v>481.6612833</v>
      </c>
      <c r="F46" s="65">
        <v>29.3716</v>
      </c>
      <c r="G46" s="65">
        <v>1.3453</v>
      </c>
      <c r="H46" s="65">
        <v>0.7474</v>
      </c>
      <c r="I46" s="65">
        <v>0.141966666666667</v>
      </c>
      <c r="J46" s="65">
        <v>0.150183333333333</v>
      </c>
      <c r="K46" s="65">
        <v>10.8768166666667</v>
      </c>
      <c r="N46" s="65">
        <v>4.45915</v>
      </c>
      <c r="Q46" s="65">
        <v>79.0114500000001</v>
      </c>
      <c r="R46" s="65">
        <v>15.5854833333333</v>
      </c>
      <c r="S46" s="65">
        <v>5.79136666666667</v>
      </c>
      <c r="T46" s="65">
        <v>2.38321666666667</v>
      </c>
      <c r="U46" s="65">
        <v>13.0051666666667</v>
      </c>
      <c r="X46" s="65">
        <v>69.65995</v>
      </c>
      <c r="Y46" s="65">
        <v>14.0320833333333</v>
      </c>
      <c r="Z46" s="65">
        <v>3.54995</v>
      </c>
      <c r="AA46" s="65">
        <v>3.47881666666667</v>
      </c>
      <c r="AB46" s="65">
        <v>9.34015</v>
      </c>
      <c r="AE46" s="65">
        <v>27.4424833333333</v>
      </c>
      <c r="AF46" s="65">
        <v>6.67461666666667</v>
      </c>
      <c r="AG46" s="65">
        <v>2.23558333333333</v>
      </c>
      <c r="AH46" s="65">
        <v>0.366916666666667</v>
      </c>
      <c r="AI46" s="65">
        <v>5.65386666666666</v>
      </c>
      <c r="AL46" s="65">
        <v>32.3482666666667</v>
      </c>
      <c r="AM46" s="65">
        <v>12.7820333333333</v>
      </c>
      <c r="AN46" s="65">
        <v>34.6958833333334</v>
      </c>
      <c r="AQ46" s="65">
        <v>6.3912</v>
      </c>
      <c r="AR46" s="65">
        <v>16.3035666666667</v>
      </c>
      <c r="AU46" s="65">
        <v>73.8368166666667</v>
      </c>
    </row>
    <row r="47">
      <c r="A47" s="65" t="s">
        <v>7</v>
      </c>
      <c r="B47" s="65" t="s">
        <v>37</v>
      </c>
      <c r="C47" s="65"/>
      <c r="D47" s="64">
        <f t="shared" si="1"/>
        <v>0</v>
      </c>
    </row>
    <row r="48">
      <c r="A48" s="65" t="s">
        <v>7</v>
      </c>
      <c r="B48" s="65" t="s">
        <v>37</v>
      </c>
      <c r="C48" s="65"/>
      <c r="D48" s="64">
        <f t="shared" si="1"/>
        <v>456.1763</v>
      </c>
      <c r="F48" s="118">
        <f>HYPERLINK("https://docs.google.com/spreadsheets/d/1JY7SEu5WSFo2UMMUPQoxieXQFSor07la", 27.8662333333333)</f>
        <v>27.86623333</v>
      </c>
      <c r="G48" s="118">
        <f>HYPERLINK("https://docs.google.com/spreadsheets/d/18q9SO3DMO9cjYEGXYmcOT_rjW3HzYDPQ", 1.3453)</f>
        <v>1.3453</v>
      </c>
      <c r="H48" s="118">
        <f>HYPERLINK("https://docs.google.com/spreadsheets/d/1sVh3Gv7GM5pVnCATsAWrVCYHOXUFKs6q", 0.7474)</f>
        <v>0.7474</v>
      </c>
      <c r="I48" s="118">
        <f>HYPERLINK("https://docs.google.com/spreadsheets/d/18p8Gsdc5rVwspdtfKGDAtF-HaBBO7f3K", 0.141966666666667)</f>
        <v>0.1419666667</v>
      </c>
      <c r="J48" s="118">
        <f>HYPERLINK("https://docs.google.com/spreadsheets/d/1wMzq-cT42doWDlN1LDEIHy4oct4xFSzJ", 0)</f>
        <v>0</v>
      </c>
      <c r="K48" s="118">
        <f>HYPERLINK("https://docs.google.com/spreadsheets/d/15P9yxZnP-M6KCSNNroPHgGlwDtmreHg_", 10.6748833333333)</f>
        <v>10.67488333</v>
      </c>
      <c r="N48" s="118">
        <f>HYPERLINK("https://docs.google.com/spreadsheets/d/1SvwdA6gESh47EvtgoJ3DXU3NvW0q5ylo", 4.45915)</f>
        <v>4.45915</v>
      </c>
      <c r="Q48" s="118">
        <f>HYPERLINK("https://docs.google.com/spreadsheets/d/1oF09MG-B5UQEo3dQP9aquJm1ZSRxx2OO", 70.4184333333333)</f>
        <v>70.41843333</v>
      </c>
      <c r="R48" s="118">
        <f>HYPERLINK("https://docs.google.com/spreadsheets/d/1s6V8gE44yrCwzAqi9mBoSc-1bQIKmamu", 15.30905)</f>
        <v>15.30905</v>
      </c>
      <c r="S48" s="118">
        <f>HYPERLINK("https://docs.google.com/spreadsheets/d/1IykewSCyyLnNccN_GhD427nxLlcp7scV", 5.25901666666667)</f>
        <v>5.259016667</v>
      </c>
      <c r="T48" s="118">
        <f>HYPERLINK("https://docs.google.com/spreadsheets/d/1LSmGS3NiqktWpNpmcS7J-Mj7UzHnQ1M2", 1.78456666666667)</f>
        <v>1.784566667</v>
      </c>
      <c r="U48" s="118">
        <f>HYPERLINK("https://docs.google.com/spreadsheets/d/1FAct96QW5-x5J7uwmS00QtfapmryHjXY", 12.65145)</f>
        <v>12.65145</v>
      </c>
      <c r="X48" s="118">
        <f>HYPERLINK("https://docs.google.com/spreadsheets/d/19jf8ze0ifkrc2vMHC_fqYcDJ2gDSO7Vv", 68.5213666666666)</f>
        <v>68.52136667</v>
      </c>
      <c r="Y48" s="118">
        <f>HYPERLINK("https://docs.google.com/spreadsheets/d/1F4-iYOf5Y0EblK1SW0KryoU8Q1Fdd2Zc", 13.9361666666667)</f>
        <v>13.93616667</v>
      </c>
      <c r="Z48" s="118">
        <f>HYPERLINK("https://docs.google.com/spreadsheets/d/1AkSF4L7WQBrtqFFtH0ahddzA_XLO7Z7i", 3.54995)</f>
        <v>3.54995</v>
      </c>
      <c r="AA48" s="118">
        <f>HYPERLINK("https://docs.google.com/spreadsheets/d/1LXIRgh0LjXfVyoDdvznoS6gf0CWgPtK9", 3.20646666666667)</f>
        <v>3.206466667</v>
      </c>
      <c r="AB48" s="118">
        <f>HYPERLINK("https://docs.google.com/spreadsheets/d/1ksOxfT3eVg9yrrMvygAAM0sGMGKGGtq-", 9.34016666666667)</f>
        <v>9.340166667</v>
      </c>
      <c r="AE48" s="118">
        <f>HYPERLINK("https://docs.google.com/spreadsheets/d/1N-GYrZ230GbGLOKJcXOc7KKMiSE3Nn7h", 26.6568833333333)</f>
        <v>26.65688333</v>
      </c>
      <c r="AF48" s="118">
        <f>HYPERLINK("https://docs.google.com/spreadsheets/d/1HQLyzSrdgD4rhQA6hZ0JhO9KqcKvWcTq", 6.67461666666667)</f>
        <v>6.674616667</v>
      </c>
      <c r="AG48" s="118">
        <f>HYPERLINK("https://docs.google.com/spreadsheets/d/1ysv2o1yIzU6BXJm-UzBED-3WX6LKE0kK", 2.23558333333333)</f>
        <v>2.235583333</v>
      </c>
      <c r="AH48" s="118">
        <f>HYPERLINK("https://docs.google.com/spreadsheets/d/1U8Ly5dDp6M1BOpOPziMYoXzuOLxhG4L8", 0.366916666666667)</f>
        <v>0.3669166667</v>
      </c>
      <c r="AI48" s="118">
        <f>HYPERLINK("https://docs.google.com/spreadsheets/d/1FyBjbKSsi-6jasOMCX4Q9yYp0esizPIe", 5.65386666666666)</f>
        <v>5.653866667</v>
      </c>
      <c r="AL48" s="118">
        <f>HYPERLINK("https://docs.google.com/spreadsheets/d/17T0UKwbUuCXoUaYWqvWkCnHbWC-3yx8G", 24.2175833333333)</f>
        <v>24.21758333</v>
      </c>
      <c r="AM48" s="118">
        <f>HYPERLINK("https://docs.google.com/spreadsheets/d/1wlx-TNt3oRid3ovH-35jXfKbrHitNUmE", 11.77045)</f>
        <v>11.77045</v>
      </c>
      <c r="AN48" s="118">
        <f>HYPERLINK("https://docs.google.com/spreadsheets/d/1uBKlJYmfxCasOboIor23hccPCnV9FCWi", 34.6038666666667)</f>
        <v>34.60386667</v>
      </c>
      <c r="AQ48" s="118">
        <f>HYPERLINK("https://docs.google.com/spreadsheets/d/1ioP8kSm5axVUKyVHdH9rkEbiYFXrTzvO", 4.997)</f>
        <v>4.997</v>
      </c>
      <c r="AR48" s="118">
        <f>HYPERLINK("https://docs.google.com/spreadsheets/d/1DGzfUEAF_d1tt3Dq40u8cPWthJjmHJ1c", 16.3035333333333)</f>
        <v>16.30353333</v>
      </c>
      <c r="AU48" s="118">
        <f>HYPERLINK("https://docs.google.com/spreadsheets/d/1I-oSR-UH8DEpYMnMiZ1jmQRaL-Cq96ug", 73.4844333333334)</f>
        <v>73.48443333</v>
      </c>
    </row>
    <row r="49">
      <c r="A49" s="65" t="s">
        <v>7</v>
      </c>
      <c r="B49" s="65" t="s">
        <v>37</v>
      </c>
      <c r="C49" s="65"/>
      <c r="D49" s="64">
        <f t="shared" si="1"/>
        <v>7.649666667</v>
      </c>
      <c r="F49" s="65">
        <v>0.62115</v>
      </c>
      <c r="G49" s="65">
        <v>0.0</v>
      </c>
      <c r="H49" s="65">
        <v>0.0</v>
      </c>
      <c r="I49" s="65">
        <v>0.0</v>
      </c>
      <c r="K49" s="65">
        <v>0.0</v>
      </c>
      <c r="N49" s="65">
        <v>0.0</v>
      </c>
      <c r="Q49" s="65">
        <v>1.81631666666667</v>
      </c>
      <c r="R49" s="65">
        <v>0.362616666666667</v>
      </c>
      <c r="S49" s="65">
        <v>0.0</v>
      </c>
      <c r="T49" s="65">
        <v>0.0</v>
      </c>
      <c r="U49" s="65">
        <v>0.0</v>
      </c>
      <c r="X49" s="65">
        <v>1.25521666666667</v>
      </c>
      <c r="Y49" s="65">
        <v>0.739183333333333</v>
      </c>
      <c r="Z49" s="65">
        <v>0.0</v>
      </c>
      <c r="AA49" s="65">
        <v>0.4492</v>
      </c>
      <c r="AB49" s="65">
        <v>0.126766666666667</v>
      </c>
      <c r="AE49" s="65">
        <v>0.154033333333333</v>
      </c>
      <c r="AF49" s="65">
        <v>0.26325</v>
      </c>
      <c r="AG49" s="65">
        <v>0.0</v>
      </c>
      <c r="AH49" s="65">
        <v>0.0</v>
      </c>
      <c r="AI49" s="65">
        <v>0.539666666666667</v>
      </c>
      <c r="AL49" s="65">
        <v>0.0</v>
      </c>
      <c r="AM49" s="65">
        <v>0.0</v>
      </c>
      <c r="AN49" s="65">
        <v>0.682283333333333</v>
      </c>
      <c r="AQ49" s="65">
        <v>0.0</v>
      </c>
      <c r="AR49" s="65">
        <v>0.0</v>
      </c>
      <c r="AU49" s="65">
        <v>0.639983333333333</v>
      </c>
    </row>
    <row r="50">
      <c r="A50" s="119" t="s">
        <v>7</v>
      </c>
      <c r="B50" s="119" t="s">
        <v>37</v>
      </c>
      <c r="C50" s="119"/>
      <c r="D50" s="120">
        <f t="shared" si="1"/>
        <v>0</v>
      </c>
      <c r="E50" s="120"/>
      <c r="F50" s="120"/>
      <c r="G50" s="120"/>
      <c r="H50" s="120"/>
      <c r="I50" s="120"/>
      <c r="J50" s="120"/>
      <c r="K50" s="120"/>
      <c r="L50" s="120"/>
      <c r="M50" s="120"/>
      <c r="N50" s="120"/>
      <c r="O50" s="120"/>
      <c r="P50" s="120"/>
      <c r="Q50" s="120"/>
      <c r="R50" s="120"/>
      <c r="S50" s="120"/>
      <c r="T50" s="120"/>
      <c r="U50" s="120"/>
      <c r="V50" s="120"/>
      <c r="W50" s="120"/>
      <c r="X50" s="120"/>
      <c r="Y50" s="120"/>
      <c r="Z50" s="120"/>
      <c r="AA50" s="120"/>
      <c r="AB50" s="120"/>
      <c r="AC50" s="120"/>
      <c r="AD50" s="120"/>
      <c r="AE50" s="120"/>
      <c r="AF50" s="120"/>
      <c r="AG50" s="120"/>
      <c r="AH50" s="120"/>
      <c r="AI50" s="120"/>
      <c r="AJ50" s="120"/>
      <c r="AK50" s="120"/>
      <c r="AL50" s="120"/>
      <c r="AM50" s="120"/>
      <c r="AN50" s="120"/>
      <c r="AO50" s="120"/>
      <c r="AP50" s="120"/>
      <c r="AQ50" s="120"/>
      <c r="AR50" s="120"/>
      <c r="AS50" s="120"/>
      <c r="AT50" s="120"/>
      <c r="AU50" s="120"/>
      <c r="AV50" s="120"/>
      <c r="AW50" s="120"/>
      <c r="AX50" s="120"/>
      <c r="AY50" s="120"/>
      <c r="AZ50" s="120"/>
      <c r="BA50" s="120"/>
      <c r="BB50" s="120"/>
      <c r="BC50" s="120"/>
      <c r="BD50" s="120"/>
      <c r="BE50" s="120"/>
      <c r="BF50" s="120"/>
      <c r="BG50" s="120"/>
      <c r="BH50" s="120"/>
      <c r="BI50" s="120"/>
      <c r="BJ50" s="120"/>
      <c r="BK50" s="120"/>
      <c r="BL50" s="120"/>
      <c r="BM50" s="120"/>
      <c r="BN50" s="120"/>
      <c r="BO50" s="120"/>
      <c r="BP50" s="120"/>
      <c r="BQ50" s="120"/>
      <c r="BR50" s="120"/>
      <c r="BS50" s="120"/>
      <c r="BT50" s="120"/>
      <c r="BU50" s="120"/>
      <c r="BV50" s="120"/>
      <c r="BW50" s="120"/>
      <c r="BX50" s="120"/>
      <c r="BY50" s="120"/>
      <c r="BZ50" s="120"/>
      <c r="CA50" s="120"/>
      <c r="CB50" s="120"/>
      <c r="CC50" s="120"/>
      <c r="CD50" s="120"/>
      <c r="CE50" s="120"/>
      <c r="CF50" s="120"/>
      <c r="CG50" s="120"/>
      <c r="CH50" s="120"/>
      <c r="CI50" s="120"/>
      <c r="CJ50" s="120"/>
      <c r="CK50" s="120"/>
      <c r="CL50" s="120"/>
      <c r="CM50" s="120"/>
      <c r="CN50" s="120"/>
      <c r="CO50" s="120"/>
      <c r="CP50" s="120"/>
      <c r="CQ50" s="120"/>
      <c r="CR50" s="120"/>
      <c r="CS50" s="120"/>
      <c r="CT50" s="120"/>
      <c r="CU50" s="120"/>
      <c r="CV50" s="120"/>
      <c r="CW50" s="120"/>
      <c r="CX50" s="120"/>
      <c r="CY50" s="120"/>
      <c r="CZ50" s="120"/>
      <c r="DA50" s="120"/>
      <c r="DB50" s="120"/>
      <c r="DC50" s="120"/>
      <c r="DD50" s="120"/>
      <c r="DE50" s="120"/>
      <c r="DF50" s="120"/>
      <c r="DG50" s="120"/>
      <c r="DH50" s="120"/>
      <c r="DI50" s="120"/>
      <c r="DJ50" s="120"/>
      <c r="DK50" s="120"/>
      <c r="DL50" s="120"/>
      <c r="DM50" s="120"/>
      <c r="DN50" s="120"/>
      <c r="DO50" s="120"/>
      <c r="DP50" s="120"/>
      <c r="DQ50" s="120"/>
      <c r="DR50" s="120"/>
      <c r="DS50" s="120"/>
      <c r="DT50" s="120"/>
      <c r="DU50" s="120"/>
      <c r="DV50" s="120"/>
      <c r="DW50" s="120"/>
      <c r="DX50" s="120"/>
      <c r="DY50" s="120"/>
      <c r="DZ50" s="120"/>
      <c r="EA50" s="120"/>
      <c r="EB50" s="120"/>
      <c r="EC50" s="120"/>
      <c r="ED50" s="120"/>
      <c r="EE50" s="120"/>
      <c r="EF50" s="120"/>
      <c r="EG50" s="120"/>
      <c r="EH50" s="120"/>
      <c r="EI50" s="120"/>
      <c r="EJ50" s="120"/>
      <c r="EK50" s="120"/>
      <c r="EL50" s="120"/>
      <c r="EM50" s="120"/>
      <c r="EN50" s="120"/>
      <c r="EO50" s="120"/>
      <c r="EP50" s="120"/>
      <c r="EQ50" s="120"/>
      <c r="ER50" s="120"/>
      <c r="ES50" s="120"/>
      <c r="ET50" s="120"/>
      <c r="EU50" s="120"/>
      <c r="EV50" s="120"/>
      <c r="EW50" s="120"/>
      <c r="EX50" s="120"/>
      <c r="EY50" s="120"/>
      <c r="EZ50" s="120"/>
      <c r="FA50" s="120"/>
      <c r="FB50" s="120"/>
      <c r="FC50" s="120"/>
      <c r="FD50" s="120"/>
      <c r="FE50" s="120"/>
      <c r="FF50" s="120"/>
      <c r="FG50" s="120"/>
      <c r="FH50" s="120"/>
      <c r="FI50" s="120"/>
      <c r="FJ50" s="120"/>
      <c r="FK50" s="120"/>
      <c r="FL50" s="120"/>
      <c r="FM50" s="120"/>
      <c r="FN50" s="120"/>
      <c r="FO50" s="120"/>
      <c r="FP50" s="120"/>
      <c r="FQ50" s="120"/>
      <c r="FR50" s="120"/>
      <c r="FS50" s="120"/>
      <c r="FT50" s="120"/>
      <c r="FU50" s="120"/>
      <c r="FV50" s="120"/>
      <c r="FW50" s="120"/>
      <c r="FX50" s="120"/>
      <c r="FY50" s="120"/>
      <c r="FZ50" s="120"/>
      <c r="GA50" s="120"/>
      <c r="GB50" s="120"/>
      <c r="GC50" s="120"/>
      <c r="GD50" s="120"/>
      <c r="GE50" s="120"/>
      <c r="GF50" s="120"/>
      <c r="GG50" s="120"/>
      <c r="GH50" s="120"/>
      <c r="GI50" s="120"/>
      <c r="GJ50" s="120"/>
      <c r="GK50" s="120"/>
      <c r="GL50" s="120"/>
      <c r="GM50" s="120"/>
      <c r="GN50" s="120"/>
      <c r="GO50" s="120"/>
      <c r="GP50" s="120"/>
      <c r="GQ50" s="120"/>
      <c r="GR50" s="120"/>
      <c r="GS50" s="120"/>
      <c r="GT50" s="120"/>
      <c r="GU50" s="120"/>
      <c r="GV50" s="120"/>
      <c r="GW50" s="120"/>
      <c r="GX50" s="120"/>
      <c r="GY50" s="120"/>
      <c r="GZ50" s="120"/>
      <c r="HA50" s="120"/>
      <c r="HB50" s="120"/>
      <c r="HC50" s="120"/>
      <c r="HD50" s="120"/>
      <c r="HE50" s="120"/>
      <c r="HF50" s="120"/>
      <c r="HG50" s="120"/>
      <c r="HH50" s="120"/>
      <c r="HI50" s="120"/>
      <c r="HJ50" s="120"/>
      <c r="HK50" s="120"/>
      <c r="HL50" s="120"/>
      <c r="HM50" s="120"/>
      <c r="HN50" s="120"/>
      <c r="HO50" s="120"/>
      <c r="HP50" s="120"/>
      <c r="HQ50" s="120"/>
      <c r="HR50" s="120"/>
      <c r="HS50" s="120"/>
      <c r="HT50" s="120"/>
      <c r="HU50" s="120"/>
      <c r="HV50" s="120"/>
      <c r="HW50" s="120"/>
      <c r="HX50" s="120"/>
      <c r="HY50" s="120"/>
      <c r="HZ50" s="120"/>
      <c r="IA50" s="120"/>
      <c r="IB50" s="120"/>
      <c r="IC50" s="120"/>
      <c r="ID50" s="120"/>
      <c r="IE50" s="120"/>
      <c r="IF50" s="120"/>
      <c r="IG50" s="120"/>
      <c r="IH50" s="120"/>
      <c r="II50" s="120"/>
      <c r="IJ50" s="120"/>
      <c r="IK50" s="120"/>
      <c r="IL50" s="120"/>
      <c r="IM50" s="120"/>
      <c r="IN50" s="120"/>
      <c r="IO50" s="120"/>
      <c r="IP50" s="120"/>
      <c r="IQ50" s="120"/>
      <c r="IR50" s="120"/>
      <c r="IS50" s="120"/>
      <c r="IT50" s="120"/>
      <c r="IU50" s="120"/>
      <c r="IV50" s="120"/>
      <c r="IW50" s="120"/>
      <c r="IX50" s="120"/>
      <c r="IY50" s="120"/>
      <c r="IZ50" s="120"/>
      <c r="JA50" s="120"/>
      <c r="JB50" s="120"/>
      <c r="JC50" s="120"/>
      <c r="JD50" s="120"/>
      <c r="JE50" s="120"/>
      <c r="JF50" s="120"/>
      <c r="JG50" s="120"/>
      <c r="JH50" s="120"/>
      <c r="JI50" s="120"/>
      <c r="JJ50" s="120"/>
      <c r="JK50" s="120"/>
      <c r="JL50" s="120"/>
      <c r="JM50" s="120"/>
      <c r="JN50" s="120"/>
      <c r="JO50" s="120"/>
      <c r="JP50" s="120"/>
      <c r="JQ50" s="120"/>
      <c r="JR50" s="120"/>
      <c r="JS50" s="120"/>
      <c r="JT50" s="120"/>
      <c r="JU50" s="120"/>
      <c r="JV50" s="120"/>
      <c r="JW50" s="120"/>
      <c r="JX50" s="120"/>
      <c r="JY50" s="120"/>
      <c r="JZ50" s="120"/>
      <c r="KA50" s="120"/>
      <c r="KB50" s="120"/>
      <c r="KC50" s="120"/>
      <c r="KD50" s="120"/>
      <c r="KE50" s="120"/>
      <c r="KF50" s="120"/>
      <c r="KG50" s="120"/>
      <c r="KH50" s="120"/>
      <c r="KI50" s="120"/>
      <c r="KJ50" s="120"/>
      <c r="KK50" s="120"/>
      <c r="KL50" s="120"/>
      <c r="KM50" s="120"/>
      <c r="KN50" s="120"/>
      <c r="KO50" s="120"/>
      <c r="KP50" s="120"/>
      <c r="KQ50" s="120"/>
      <c r="KR50" s="120"/>
      <c r="KS50" s="120"/>
      <c r="KT50" s="120"/>
      <c r="KU50" s="120"/>
      <c r="KV50" s="120"/>
      <c r="KW50" s="120"/>
      <c r="KX50" s="120"/>
      <c r="KY50" s="120"/>
      <c r="KZ50" s="120"/>
      <c r="LA50" s="120"/>
      <c r="LB50" s="120"/>
      <c r="LC50" s="120"/>
      <c r="LD50" s="120"/>
      <c r="LE50" s="120"/>
      <c r="LF50" s="120"/>
      <c r="LG50" s="120"/>
      <c r="LH50" s="120"/>
      <c r="LI50" s="120"/>
      <c r="LJ50" s="120"/>
      <c r="LK50" s="120"/>
      <c r="LL50" s="120"/>
      <c r="LM50" s="120"/>
      <c r="LN50" s="120"/>
      <c r="LO50" s="120"/>
      <c r="LP50" s="120"/>
      <c r="LQ50" s="120"/>
      <c r="LR50" s="120"/>
      <c r="LS50" s="120"/>
      <c r="LT50" s="120"/>
      <c r="LU50" s="120"/>
      <c r="LV50" s="120"/>
      <c r="LW50" s="120"/>
      <c r="LX50" s="120"/>
      <c r="LY50" s="120"/>
      <c r="LZ50" s="120"/>
      <c r="MA50" s="120"/>
      <c r="MB50" s="120"/>
      <c r="MC50" s="120"/>
      <c r="MD50" s="120"/>
      <c r="ME50" s="120"/>
      <c r="MF50" s="120"/>
      <c r="MG50" s="120"/>
      <c r="MH50" s="120"/>
      <c r="MI50" s="120"/>
      <c r="MJ50" s="120"/>
      <c r="MK50" s="120"/>
      <c r="ML50" s="120"/>
      <c r="MM50" s="120"/>
      <c r="MN50" s="120"/>
      <c r="MO50" s="120"/>
      <c r="MP50" s="120"/>
      <c r="MQ50" s="120"/>
      <c r="MR50" s="120"/>
      <c r="MS50" s="120"/>
      <c r="MT50" s="120"/>
      <c r="MU50" s="120"/>
      <c r="MV50" s="120"/>
      <c r="MW50" s="120"/>
      <c r="MX50" s="120"/>
      <c r="MY50" s="120"/>
      <c r="MZ50" s="120"/>
      <c r="NA50" s="120"/>
      <c r="NB50" s="120"/>
      <c r="NC50" s="120"/>
      <c r="ND50" s="120"/>
      <c r="NE50" s="120"/>
      <c r="NF50" s="120"/>
      <c r="NG50" s="120"/>
      <c r="NH50" s="120"/>
      <c r="NI50" s="120"/>
      <c r="NJ50" s="120"/>
      <c r="NK50" s="120"/>
      <c r="NL50" s="120"/>
      <c r="NM50" s="120"/>
      <c r="NN50" s="120"/>
      <c r="NO50" s="120"/>
      <c r="NP50" s="120"/>
      <c r="NQ50" s="120"/>
      <c r="NR50" s="120"/>
      <c r="NS50" s="120"/>
      <c r="NT50" s="120"/>
      <c r="NU50" s="120"/>
      <c r="NV50" s="120"/>
      <c r="NW50" s="120"/>
      <c r="NX50" s="120"/>
      <c r="NY50" s="120"/>
      <c r="NZ50" s="120"/>
      <c r="OA50" s="120"/>
      <c r="OB50" s="120"/>
      <c r="OC50" s="120"/>
      <c r="OD50" s="120"/>
      <c r="OE50" s="120"/>
      <c r="OF50" s="120"/>
      <c r="OG50" s="120"/>
      <c r="OH50" s="120"/>
      <c r="OI50" s="120"/>
      <c r="OJ50" s="120"/>
      <c r="OK50" s="120"/>
      <c r="OL50" s="120"/>
      <c r="OM50" s="120"/>
      <c r="ON50" s="120"/>
      <c r="OO50" s="120"/>
      <c r="OP50" s="120"/>
      <c r="OQ50" s="120"/>
      <c r="OR50" s="120"/>
      <c r="OS50" s="120"/>
      <c r="OT50" s="120"/>
      <c r="OU50" s="120"/>
      <c r="OV50" s="120"/>
      <c r="OW50" s="120"/>
      <c r="OX50" s="120"/>
      <c r="OY50" s="120"/>
      <c r="OZ50" s="120"/>
      <c r="PA50" s="120"/>
      <c r="PB50" s="120"/>
      <c r="PC50" s="120"/>
      <c r="PD50" s="120"/>
      <c r="PE50" s="120"/>
      <c r="PF50" s="120"/>
      <c r="PG50" s="120"/>
      <c r="PH50" s="120"/>
      <c r="PI50" s="120"/>
      <c r="PJ50" s="120"/>
      <c r="PK50" s="120"/>
      <c r="PL50" s="120"/>
      <c r="PM50" s="120"/>
      <c r="PN50" s="120"/>
      <c r="PO50" s="120"/>
      <c r="PP50" s="120"/>
      <c r="PQ50" s="120"/>
      <c r="PR50" s="120"/>
      <c r="PS50" s="120"/>
      <c r="PT50" s="120"/>
      <c r="PU50" s="120"/>
      <c r="PV50" s="120"/>
      <c r="PW50" s="120"/>
      <c r="PX50" s="120"/>
      <c r="PY50" s="120"/>
      <c r="PZ50" s="120"/>
      <c r="QA50" s="120"/>
      <c r="QB50" s="120"/>
      <c r="QC50" s="120"/>
      <c r="QD50" s="120"/>
      <c r="QE50" s="120"/>
      <c r="QF50" s="120"/>
      <c r="QG50" s="120"/>
      <c r="QH50" s="120"/>
      <c r="QI50" s="120"/>
      <c r="QJ50" s="120"/>
      <c r="QK50" s="120"/>
      <c r="QL50" s="120"/>
      <c r="QM50" s="120"/>
      <c r="QN50" s="120"/>
      <c r="QO50" s="120"/>
      <c r="QP50" s="120"/>
      <c r="QQ50" s="120"/>
      <c r="QR50" s="120"/>
      <c r="QS50" s="120"/>
      <c r="QT50" s="120"/>
      <c r="QU50" s="120"/>
      <c r="QV50" s="120"/>
      <c r="QW50" s="120"/>
      <c r="QX50" s="120"/>
      <c r="QY50" s="120"/>
      <c r="QZ50" s="120"/>
      <c r="RA50" s="120"/>
      <c r="RB50" s="120"/>
      <c r="RC50" s="120"/>
      <c r="RD50" s="120"/>
      <c r="RE50" s="120"/>
      <c r="RF50" s="120"/>
      <c r="RG50" s="120"/>
      <c r="RH50" s="120"/>
      <c r="RI50" s="120"/>
      <c r="RJ50" s="120"/>
      <c r="RK50" s="120"/>
      <c r="RL50" s="120"/>
      <c r="RM50" s="120"/>
      <c r="RN50" s="120"/>
      <c r="RO50" s="120"/>
      <c r="RP50" s="120"/>
      <c r="RQ50" s="120"/>
      <c r="RR50" s="120"/>
      <c r="RS50" s="120"/>
      <c r="RT50" s="120"/>
      <c r="RU50" s="120"/>
      <c r="RV50" s="120"/>
      <c r="RW50" s="120"/>
      <c r="RX50" s="120"/>
      <c r="RY50" s="120"/>
      <c r="RZ50" s="120"/>
      <c r="SA50" s="120"/>
      <c r="SB50" s="120"/>
      <c r="SC50" s="120"/>
      <c r="SD50" s="120"/>
      <c r="SE50" s="120"/>
      <c r="SF50" s="120"/>
      <c r="SG50" s="120"/>
      <c r="SH50" s="120"/>
      <c r="SI50" s="120"/>
      <c r="SJ50" s="120"/>
      <c r="SK50" s="120"/>
      <c r="SL50" s="120"/>
      <c r="SM50" s="120"/>
      <c r="SN50" s="120"/>
      <c r="SO50" s="120"/>
      <c r="SP50" s="120"/>
      <c r="SQ50" s="120"/>
      <c r="SR50" s="120"/>
      <c r="SS50" s="120"/>
      <c r="ST50" s="120"/>
      <c r="SU50" s="120"/>
      <c r="SV50" s="120"/>
      <c r="SW50" s="120"/>
      <c r="SX50" s="120"/>
      <c r="SY50" s="120"/>
      <c r="SZ50" s="120"/>
      <c r="TA50" s="120"/>
      <c r="TB50" s="120"/>
      <c r="TC50" s="120"/>
      <c r="TD50" s="120"/>
      <c r="TE50" s="120"/>
      <c r="TF50" s="120"/>
      <c r="TG50" s="120"/>
      <c r="TH50" s="120"/>
      <c r="TI50" s="120"/>
      <c r="TJ50" s="120"/>
      <c r="TK50" s="120"/>
      <c r="TL50" s="120"/>
      <c r="TM50" s="120"/>
      <c r="TN50" s="120"/>
      <c r="TO50" s="120"/>
      <c r="TP50" s="120"/>
      <c r="TQ50" s="120"/>
      <c r="TR50" s="120"/>
      <c r="TS50" s="120"/>
      <c r="TT50" s="120"/>
      <c r="TU50" s="120"/>
      <c r="TV50" s="120"/>
      <c r="TW50" s="120"/>
      <c r="TX50" s="120"/>
      <c r="TY50" s="120"/>
      <c r="TZ50" s="120"/>
      <c r="UA50" s="120"/>
      <c r="UB50" s="120"/>
      <c r="UC50" s="120"/>
      <c r="UD50" s="120"/>
      <c r="UE50" s="120"/>
      <c r="UF50" s="120"/>
      <c r="UG50" s="120"/>
      <c r="UH50" s="120"/>
      <c r="UI50" s="120"/>
      <c r="UJ50" s="120"/>
      <c r="UK50" s="120"/>
      <c r="UL50" s="120"/>
      <c r="UM50" s="120"/>
      <c r="UN50" s="120"/>
      <c r="UO50" s="120"/>
      <c r="UP50" s="120"/>
      <c r="UQ50" s="120"/>
      <c r="UR50" s="120"/>
      <c r="US50" s="120"/>
      <c r="UT50" s="120"/>
      <c r="UU50" s="120"/>
      <c r="UV50" s="120"/>
      <c r="UW50" s="120"/>
      <c r="UX50" s="120"/>
      <c r="UY50" s="120"/>
      <c r="UZ50" s="120"/>
      <c r="VA50" s="120"/>
      <c r="VB50" s="120"/>
      <c r="VC50" s="120"/>
      <c r="VD50" s="120"/>
      <c r="VE50" s="120"/>
      <c r="VF50" s="120"/>
      <c r="VG50" s="120"/>
      <c r="VH50" s="120"/>
      <c r="VI50" s="120"/>
      <c r="VJ50" s="120"/>
      <c r="VK50" s="120"/>
      <c r="VL50" s="120"/>
      <c r="VM50" s="120"/>
      <c r="VN50" s="120"/>
      <c r="VO50" s="120"/>
      <c r="VP50" s="120"/>
      <c r="VQ50" s="120"/>
      <c r="VR50" s="120"/>
      <c r="VS50" s="120"/>
      <c r="VT50" s="120"/>
      <c r="VU50" s="120"/>
      <c r="VV50" s="120"/>
      <c r="VW50" s="120"/>
      <c r="VX50" s="120"/>
      <c r="VY50" s="120"/>
      <c r="VZ50" s="120"/>
      <c r="WA50" s="120"/>
      <c r="WB50" s="120"/>
      <c r="WC50" s="120"/>
      <c r="WD50" s="120"/>
      <c r="WE50" s="120"/>
      <c r="WF50" s="120"/>
      <c r="WG50" s="120"/>
      <c r="WH50" s="120"/>
      <c r="WI50" s="120"/>
      <c r="WJ50" s="120"/>
      <c r="WK50" s="120"/>
      <c r="WL50" s="120"/>
      <c r="WM50" s="120"/>
      <c r="WN50" s="120"/>
      <c r="WO50" s="120"/>
      <c r="WP50" s="120"/>
      <c r="WQ50" s="120"/>
      <c r="WR50" s="120"/>
      <c r="WS50" s="120"/>
      <c r="WT50" s="120"/>
      <c r="WU50" s="120"/>
      <c r="WV50" s="120"/>
      <c r="WW50" s="120"/>
      <c r="WX50" s="120"/>
      <c r="WY50" s="120"/>
      <c r="WZ50" s="120"/>
      <c r="XA50" s="120"/>
      <c r="XB50" s="120"/>
      <c r="XC50" s="120"/>
      <c r="XD50" s="120"/>
      <c r="XE50" s="120"/>
      <c r="XF50" s="120"/>
      <c r="XG50" s="120"/>
      <c r="XH50" s="120"/>
      <c r="XI50" s="120"/>
      <c r="XJ50" s="120"/>
      <c r="XK50" s="120"/>
      <c r="XL50" s="120"/>
      <c r="XM50" s="120"/>
      <c r="XN50" s="120"/>
      <c r="XO50" s="120"/>
      <c r="XP50" s="120"/>
      <c r="XQ50" s="120"/>
      <c r="XR50" s="120"/>
      <c r="XS50" s="120"/>
      <c r="XT50" s="120"/>
      <c r="XU50" s="120"/>
      <c r="XV50" s="120"/>
      <c r="XW50" s="120"/>
      <c r="XX50" s="120"/>
      <c r="XY50" s="120"/>
      <c r="XZ50" s="120"/>
      <c r="YA50" s="120"/>
      <c r="YB50" s="120"/>
      <c r="YC50" s="120"/>
      <c r="YD50" s="120"/>
      <c r="YE50" s="120"/>
      <c r="YF50" s="120"/>
      <c r="YG50" s="120"/>
      <c r="YH50" s="120"/>
      <c r="YI50" s="120"/>
      <c r="YJ50" s="120"/>
      <c r="YK50" s="120"/>
      <c r="YL50" s="120"/>
      <c r="YM50" s="120"/>
      <c r="YN50" s="120"/>
      <c r="YO50" s="120"/>
      <c r="YP50" s="120"/>
      <c r="YQ50" s="120"/>
      <c r="YR50" s="120"/>
      <c r="YS50" s="120"/>
      <c r="YT50" s="120"/>
      <c r="YU50" s="120"/>
      <c r="YV50" s="120"/>
      <c r="YW50" s="120"/>
      <c r="YX50" s="120"/>
      <c r="YY50" s="120"/>
      <c r="YZ50" s="120"/>
      <c r="ZA50" s="120"/>
      <c r="ZB50" s="120"/>
      <c r="ZC50" s="120"/>
      <c r="ZD50" s="120"/>
      <c r="ZE50" s="120"/>
      <c r="ZF50" s="120"/>
      <c r="ZG50" s="120"/>
      <c r="ZH50" s="120"/>
      <c r="ZI50" s="120"/>
      <c r="ZJ50" s="120"/>
      <c r="ZK50" s="120"/>
      <c r="ZL50" s="120"/>
      <c r="ZM50" s="120"/>
      <c r="ZN50" s="120"/>
      <c r="ZO50" s="120"/>
      <c r="ZP50" s="120"/>
      <c r="ZQ50" s="120"/>
      <c r="ZR50" s="120"/>
      <c r="ZS50" s="120"/>
      <c r="ZT50" s="120"/>
      <c r="ZU50" s="120"/>
      <c r="ZV50" s="120"/>
      <c r="ZW50" s="120"/>
      <c r="ZX50" s="120"/>
      <c r="ZY50" s="120"/>
      <c r="ZZ50" s="120"/>
      <c r="AAA50" s="120"/>
      <c r="AAB50" s="120"/>
      <c r="AAC50" s="120"/>
      <c r="AAD50" s="120"/>
      <c r="AAE50" s="120"/>
      <c r="AAF50" s="120"/>
      <c r="AAG50" s="120"/>
      <c r="AAH50" s="120"/>
      <c r="AAI50" s="120"/>
      <c r="AAJ50" s="120"/>
      <c r="AAK50" s="120"/>
      <c r="AAL50" s="120"/>
      <c r="AAM50" s="120"/>
      <c r="AAN50" s="120"/>
      <c r="AAO50" s="120"/>
      <c r="AAP50" s="120"/>
      <c r="AAQ50" s="120"/>
      <c r="AAR50" s="120"/>
      <c r="AAS50" s="120"/>
      <c r="AAT50" s="120"/>
      <c r="AAU50" s="120"/>
      <c r="AAV50" s="120"/>
      <c r="AAW50" s="120"/>
      <c r="AAX50" s="120"/>
      <c r="AAY50" s="120"/>
      <c r="AAZ50" s="120"/>
      <c r="ABA50" s="120"/>
      <c r="ABB50" s="120"/>
      <c r="ABC50" s="120"/>
      <c r="ABD50" s="120"/>
      <c r="ABE50" s="120"/>
      <c r="ABF50" s="120"/>
      <c r="ABG50" s="120"/>
      <c r="ABH50" s="120"/>
      <c r="ABI50" s="120"/>
      <c r="ABJ50" s="120"/>
      <c r="ABK50" s="120"/>
      <c r="ABL50" s="120"/>
      <c r="ABM50" s="120"/>
      <c r="ABN50" s="120"/>
      <c r="ABO50" s="120"/>
      <c r="ABP50" s="120"/>
      <c r="ABQ50" s="120"/>
      <c r="ABR50" s="120"/>
      <c r="ABS50" s="120"/>
      <c r="ABT50" s="120"/>
      <c r="ABU50" s="120"/>
      <c r="ABV50" s="120"/>
      <c r="ABW50" s="120"/>
      <c r="ABX50" s="120"/>
      <c r="ABY50" s="120"/>
      <c r="ABZ50" s="120"/>
      <c r="ACA50" s="120"/>
      <c r="ACB50" s="120"/>
      <c r="ACC50" s="120"/>
      <c r="ACD50" s="120"/>
      <c r="ACE50" s="120"/>
      <c r="ACF50" s="120"/>
      <c r="ACG50" s="120"/>
      <c r="ACH50" s="120"/>
      <c r="ACI50" s="120"/>
      <c r="ACJ50" s="120"/>
      <c r="ACK50" s="120"/>
      <c r="ACL50" s="120"/>
      <c r="ACM50" s="120"/>
      <c r="ACN50" s="120"/>
      <c r="ACO50" s="120"/>
      <c r="ACP50" s="120"/>
      <c r="ACQ50" s="120"/>
      <c r="ACR50" s="120"/>
      <c r="ACS50" s="120"/>
      <c r="ACT50" s="120"/>
      <c r="ACU50" s="120"/>
      <c r="ACV50" s="120"/>
      <c r="ACW50" s="120"/>
      <c r="ACX50" s="120"/>
      <c r="ACY50" s="120"/>
      <c r="ACZ50" s="120"/>
      <c r="ADA50" s="120"/>
      <c r="ADB50" s="120"/>
      <c r="ADC50" s="120"/>
      <c r="ADD50" s="120"/>
      <c r="ADE50" s="120"/>
      <c r="ADF50" s="120"/>
      <c r="ADG50" s="120"/>
      <c r="ADH50" s="120"/>
      <c r="ADI50" s="120"/>
      <c r="ADJ50" s="120"/>
      <c r="ADK50" s="120"/>
      <c r="ADL50" s="120"/>
      <c r="ADM50" s="120"/>
      <c r="ADN50" s="120"/>
      <c r="ADO50" s="120"/>
      <c r="ADP50" s="120"/>
      <c r="ADQ50" s="120"/>
      <c r="ADR50" s="120"/>
      <c r="ADS50" s="120"/>
      <c r="ADT50" s="120"/>
      <c r="ADU50" s="120"/>
      <c r="ADV50" s="120"/>
      <c r="ADW50" s="120"/>
      <c r="ADX50" s="120"/>
      <c r="ADY50" s="120"/>
      <c r="ADZ50" s="120"/>
      <c r="AEA50" s="120"/>
      <c r="AEB50" s="120"/>
      <c r="AEC50" s="120"/>
      <c r="AED50" s="120"/>
      <c r="AEE50" s="120"/>
      <c r="AEF50" s="120"/>
      <c r="AEG50" s="120"/>
      <c r="AEH50" s="120"/>
      <c r="AEI50" s="120"/>
      <c r="AEJ50" s="120"/>
      <c r="AEK50" s="120"/>
      <c r="AEL50" s="120"/>
      <c r="AEM50" s="120"/>
      <c r="AEN50" s="120"/>
      <c r="AEO50" s="120"/>
      <c r="AEP50" s="120"/>
      <c r="AEQ50" s="120"/>
      <c r="AER50" s="120"/>
      <c r="AES50" s="120"/>
      <c r="AET50" s="120"/>
      <c r="AEU50" s="120"/>
      <c r="AEV50" s="120"/>
      <c r="AEW50" s="120"/>
      <c r="AEX50" s="120"/>
      <c r="AEY50" s="120"/>
      <c r="AEZ50" s="120"/>
      <c r="AFA50" s="120"/>
      <c r="AFB50" s="120"/>
      <c r="AFC50" s="120"/>
      <c r="AFD50" s="120"/>
      <c r="AFE50" s="120"/>
      <c r="AFF50" s="120"/>
      <c r="AFG50" s="120"/>
      <c r="AFH50" s="120"/>
      <c r="AFI50" s="120"/>
      <c r="AFJ50" s="120"/>
      <c r="AFK50" s="120"/>
      <c r="AFL50" s="120"/>
      <c r="AFM50" s="120"/>
      <c r="AFN50" s="120"/>
      <c r="AFO50" s="120"/>
      <c r="AFP50" s="120"/>
      <c r="AFQ50" s="120"/>
      <c r="AFR50" s="120"/>
      <c r="AFS50" s="120"/>
      <c r="AFT50" s="120"/>
      <c r="AFU50" s="120"/>
      <c r="AFV50" s="120"/>
      <c r="AFW50" s="120"/>
      <c r="AFX50" s="120"/>
      <c r="AFY50" s="120"/>
      <c r="AFZ50" s="120"/>
      <c r="AGA50" s="120"/>
      <c r="AGB50" s="120"/>
      <c r="AGC50" s="120"/>
      <c r="AGD50" s="120"/>
      <c r="AGE50" s="120"/>
      <c r="AGF50" s="120"/>
      <c r="AGG50" s="120"/>
      <c r="AGH50" s="120"/>
      <c r="AGI50" s="120"/>
      <c r="AGJ50" s="120"/>
      <c r="AGK50" s="120"/>
      <c r="AGL50" s="120"/>
      <c r="AGM50" s="120"/>
      <c r="AGN50" s="120"/>
      <c r="AGO50" s="120"/>
      <c r="AGP50" s="120"/>
      <c r="AGQ50" s="120"/>
      <c r="AGR50" s="120"/>
      <c r="AGS50" s="120"/>
      <c r="AGT50" s="120"/>
      <c r="AGU50" s="120"/>
      <c r="AGV50" s="120"/>
      <c r="AGW50" s="120"/>
      <c r="AGX50" s="120"/>
      <c r="AGY50" s="120"/>
      <c r="AGZ50" s="120"/>
      <c r="AHA50" s="120"/>
      <c r="AHB50" s="120"/>
      <c r="AHC50" s="120"/>
      <c r="AHD50" s="120"/>
      <c r="AHE50" s="120"/>
      <c r="AHF50" s="120"/>
      <c r="AHG50" s="120"/>
      <c r="AHH50" s="120"/>
      <c r="AHI50" s="120"/>
      <c r="AHJ50" s="120"/>
      <c r="AHK50" s="120"/>
      <c r="AHL50" s="120"/>
      <c r="AHM50" s="120"/>
      <c r="AHN50" s="120"/>
      <c r="AHO50" s="120"/>
      <c r="AHP50" s="120"/>
      <c r="AHQ50" s="120"/>
      <c r="AHR50" s="120"/>
      <c r="AHS50" s="120"/>
      <c r="AHT50" s="120"/>
      <c r="AHU50" s="120"/>
      <c r="AHV50" s="120"/>
      <c r="AHW50" s="120"/>
      <c r="AHX50" s="120"/>
      <c r="AHY50" s="120"/>
      <c r="AHZ50" s="120"/>
      <c r="AIA50" s="120"/>
      <c r="AIB50" s="120"/>
      <c r="AIC50" s="120"/>
      <c r="AID50" s="120"/>
      <c r="AIE50" s="120"/>
      <c r="AIF50" s="120"/>
      <c r="AIG50" s="120"/>
      <c r="AIH50" s="120"/>
      <c r="AII50" s="120"/>
      <c r="AIJ50" s="120"/>
      <c r="AIK50" s="120"/>
      <c r="AIL50" s="120"/>
      <c r="AIM50" s="120"/>
      <c r="AIN50" s="120"/>
      <c r="AIO50" s="120"/>
      <c r="AIP50" s="120"/>
      <c r="AIQ50" s="120"/>
      <c r="AIR50" s="120"/>
      <c r="AIS50" s="120"/>
      <c r="AIT50" s="120"/>
      <c r="AIU50" s="120"/>
      <c r="AIV50" s="120"/>
      <c r="AIW50" s="120"/>
      <c r="AIX50" s="120"/>
      <c r="AIY50" s="120"/>
      <c r="AIZ50" s="120"/>
    </row>
    <row r="51">
      <c r="A51" s="112" t="s">
        <v>7</v>
      </c>
      <c r="B51" s="112" t="s">
        <v>26</v>
      </c>
      <c r="C51" s="112"/>
      <c r="D51" s="113">
        <f t="shared" si="1"/>
        <v>600.5768667</v>
      </c>
      <c r="E51" s="112">
        <v>113.896733333333</v>
      </c>
      <c r="F51" s="113"/>
      <c r="G51" s="113"/>
      <c r="H51" s="113"/>
      <c r="I51" s="113"/>
      <c r="J51" s="113"/>
      <c r="K51" s="113"/>
      <c r="L51" s="112">
        <v>1.7507</v>
      </c>
      <c r="M51" s="112">
        <v>9.66921666666667</v>
      </c>
      <c r="N51" s="113"/>
      <c r="O51" s="113"/>
      <c r="P51" s="112">
        <v>151.384266666667</v>
      </c>
      <c r="Q51" s="113"/>
      <c r="R51" s="113"/>
      <c r="S51" s="113"/>
      <c r="T51" s="113"/>
      <c r="U51" s="113"/>
      <c r="V51" s="112">
        <v>2.47583333333333</v>
      </c>
      <c r="W51" s="112">
        <v>88.4099666666666</v>
      </c>
      <c r="X51" s="113"/>
      <c r="Y51" s="113"/>
      <c r="Z51" s="113"/>
      <c r="AA51" s="113"/>
      <c r="AB51" s="113"/>
      <c r="AC51" s="112">
        <v>4.73296666666667</v>
      </c>
      <c r="AD51" s="112">
        <v>49.6494499999999</v>
      </c>
      <c r="AE51" s="113"/>
      <c r="AF51" s="113"/>
      <c r="AG51" s="113"/>
      <c r="AH51" s="113"/>
      <c r="AI51" s="113"/>
      <c r="AJ51" s="112">
        <v>1.12805</v>
      </c>
      <c r="AK51" s="112">
        <v>53.2953166666667</v>
      </c>
      <c r="AL51" s="113"/>
      <c r="AM51" s="113"/>
      <c r="AN51" s="113"/>
      <c r="AO51" s="112">
        <v>4.32646666666667</v>
      </c>
      <c r="AP51" s="112">
        <v>18.9351666666667</v>
      </c>
      <c r="AQ51" s="113"/>
      <c r="AR51" s="113"/>
      <c r="AS51" s="112">
        <v>3.71083333333333</v>
      </c>
      <c r="AT51" s="112">
        <v>90.3562333333332</v>
      </c>
      <c r="AU51" s="113"/>
      <c r="AV51" s="112">
        <v>5.70046666666667</v>
      </c>
      <c r="AW51" s="112">
        <v>1.1552</v>
      </c>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113"/>
      <c r="CB51" s="113"/>
      <c r="CC51" s="113"/>
      <c r="CD51" s="113"/>
      <c r="CE51" s="113"/>
      <c r="CF51" s="113"/>
      <c r="CG51" s="113"/>
      <c r="CH51" s="113"/>
      <c r="CI51" s="113"/>
      <c r="CJ51" s="113"/>
      <c r="CK51" s="113"/>
      <c r="CL51" s="113"/>
      <c r="CM51" s="113"/>
      <c r="CN51" s="113"/>
      <c r="CO51" s="113"/>
      <c r="CP51" s="113"/>
      <c r="CQ51" s="113"/>
      <c r="CR51" s="113"/>
      <c r="CS51" s="113"/>
      <c r="CT51" s="113"/>
      <c r="CU51" s="113"/>
      <c r="CV51" s="113"/>
      <c r="CW51" s="113"/>
      <c r="CX51" s="113"/>
      <c r="CY51" s="113"/>
      <c r="CZ51" s="113"/>
      <c r="DA51" s="113"/>
      <c r="DB51" s="113"/>
      <c r="DC51" s="113"/>
      <c r="DD51" s="113"/>
      <c r="DE51" s="113"/>
      <c r="DF51" s="113"/>
      <c r="DG51" s="113"/>
      <c r="DH51" s="113"/>
      <c r="DI51" s="113"/>
      <c r="DJ51" s="113"/>
      <c r="DK51" s="113"/>
      <c r="DL51" s="113"/>
      <c r="DM51" s="113"/>
      <c r="DN51" s="113"/>
      <c r="DO51" s="113"/>
      <c r="DP51" s="113"/>
      <c r="DQ51" s="113"/>
      <c r="DR51" s="113"/>
      <c r="DS51" s="113"/>
      <c r="DT51" s="113"/>
      <c r="DU51" s="113"/>
      <c r="DV51" s="113"/>
      <c r="DW51" s="113"/>
      <c r="DX51" s="113"/>
      <c r="DY51" s="113"/>
      <c r="DZ51" s="113"/>
      <c r="EA51" s="113"/>
      <c r="EB51" s="113"/>
      <c r="EC51" s="113"/>
      <c r="ED51" s="113"/>
      <c r="EE51" s="113"/>
      <c r="EF51" s="113"/>
      <c r="EG51" s="113"/>
      <c r="EH51" s="113"/>
      <c r="EI51" s="113"/>
      <c r="EJ51" s="113"/>
      <c r="EK51" s="113"/>
      <c r="EL51" s="113"/>
      <c r="EM51" s="113"/>
      <c r="EN51" s="113"/>
      <c r="EO51" s="113"/>
      <c r="EP51" s="113"/>
      <c r="EQ51" s="113"/>
      <c r="ER51" s="113"/>
      <c r="ES51" s="113"/>
      <c r="ET51" s="113"/>
      <c r="EU51" s="113"/>
      <c r="EV51" s="113"/>
      <c r="EW51" s="113"/>
      <c r="EX51" s="113"/>
      <c r="EY51" s="113"/>
      <c r="EZ51" s="113"/>
      <c r="FA51" s="113"/>
      <c r="FB51" s="113"/>
      <c r="FC51" s="113"/>
      <c r="FD51" s="113"/>
      <c r="FE51" s="113"/>
      <c r="FF51" s="113"/>
      <c r="FG51" s="113"/>
      <c r="FH51" s="113"/>
      <c r="FI51" s="113"/>
      <c r="FJ51" s="113"/>
      <c r="FK51" s="113"/>
      <c r="FL51" s="113"/>
      <c r="FM51" s="113"/>
      <c r="FN51" s="113"/>
      <c r="FO51" s="113"/>
      <c r="FP51" s="113"/>
      <c r="FQ51" s="113"/>
      <c r="FR51" s="113"/>
      <c r="FS51" s="113"/>
      <c r="FT51" s="113"/>
      <c r="FU51" s="113"/>
      <c r="FV51" s="113"/>
      <c r="FW51" s="113"/>
      <c r="FX51" s="113"/>
      <c r="FY51" s="113"/>
      <c r="FZ51" s="113"/>
      <c r="GA51" s="113"/>
      <c r="GB51" s="113"/>
      <c r="GC51" s="113"/>
      <c r="GD51" s="113"/>
      <c r="GE51" s="113"/>
      <c r="GF51" s="113"/>
      <c r="GG51" s="113"/>
      <c r="GH51" s="113"/>
      <c r="GI51" s="113"/>
      <c r="GJ51" s="113"/>
      <c r="GK51" s="113"/>
      <c r="GL51" s="113"/>
      <c r="GM51" s="113"/>
      <c r="GN51" s="113"/>
      <c r="GO51" s="113"/>
      <c r="GP51" s="113"/>
      <c r="GQ51" s="113"/>
      <c r="GR51" s="113"/>
      <c r="GS51" s="113"/>
      <c r="GT51" s="113"/>
      <c r="GU51" s="113"/>
      <c r="GV51" s="113"/>
      <c r="GW51" s="113"/>
      <c r="GX51" s="113"/>
      <c r="GY51" s="113"/>
      <c r="GZ51" s="113"/>
      <c r="HA51" s="113"/>
      <c r="HB51" s="113"/>
      <c r="HC51" s="113"/>
      <c r="HD51" s="113"/>
      <c r="HE51" s="113"/>
      <c r="HF51" s="113"/>
      <c r="HG51" s="113"/>
      <c r="HH51" s="113"/>
      <c r="HI51" s="113"/>
      <c r="HJ51" s="113"/>
      <c r="HK51" s="113"/>
      <c r="HL51" s="113"/>
      <c r="HM51" s="113"/>
      <c r="HN51" s="113"/>
      <c r="HO51" s="113"/>
      <c r="HP51" s="113"/>
      <c r="HQ51" s="113"/>
      <c r="HR51" s="113"/>
      <c r="HS51" s="113"/>
      <c r="HT51" s="113"/>
      <c r="HU51" s="113"/>
      <c r="HV51" s="113"/>
      <c r="HW51" s="113"/>
      <c r="HX51" s="113"/>
      <c r="HY51" s="113"/>
      <c r="HZ51" s="113"/>
      <c r="IA51" s="113"/>
      <c r="IB51" s="113"/>
      <c r="IC51" s="113"/>
      <c r="ID51" s="113"/>
      <c r="IE51" s="113"/>
      <c r="IF51" s="113"/>
      <c r="IG51" s="113"/>
      <c r="IH51" s="113"/>
      <c r="II51" s="113"/>
      <c r="IJ51" s="113"/>
      <c r="IK51" s="113"/>
      <c r="IL51" s="113"/>
      <c r="IM51" s="113"/>
      <c r="IN51" s="113"/>
      <c r="IO51" s="113"/>
      <c r="IP51" s="113"/>
      <c r="IQ51" s="113"/>
      <c r="IR51" s="113"/>
      <c r="IS51" s="113"/>
      <c r="IT51" s="113"/>
      <c r="IU51" s="113"/>
      <c r="IV51" s="113"/>
      <c r="IW51" s="113"/>
      <c r="IX51" s="113"/>
      <c r="IY51" s="113"/>
      <c r="IZ51" s="113"/>
      <c r="JA51" s="113"/>
      <c r="JB51" s="113"/>
      <c r="JC51" s="113"/>
      <c r="JD51" s="113"/>
      <c r="JE51" s="113"/>
      <c r="JF51" s="113"/>
      <c r="JG51" s="113"/>
      <c r="JH51" s="113"/>
      <c r="JI51" s="113"/>
      <c r="JJ51" s="113"/>
      <c r="JK51" s="113"/>
      <c r="JL51" s="113"/>
      <c r="JM51" s="113"/>
      <c r="JN51" s="113"/>
      <c r="JO51" s="113"/>
      <c r="JP51" s="113"/>
      <c r="JQ51" s="113"/>
      <c r="JR51" s="113"/>
      <c r="JS51" s="113"/>
      <c r="JT51" s="113"/>
      <c r="JU51" s="113"/>
      <c r="JV51" s="113"/>
      <c r="JW51" s="113"/>
      <c r="JX51" s="113"/>
      <c r="JY51" s="113"/>
      <c r="JZ51" s="113"/>
      <c r="KA51" s="113"/>
      <c r="KB51" s="113"/>
      <c r="KC51" s="113"/>
      <c r="KD51" s="113"/>
      <c r="KE51" s="113"/>
      <c r="KF51" s="113"/>
      <c r="KG51" s="113"/>
      <c r="KH51" s="113"/>
      <c r="KI51" s="113"/>
      <c r="KJ51" s="113"/>
      <c r="KK51" s="113"/>
      <c r="KL51" s="113"/>
      <c r="KM51" s="113"/>
      <c r="KN51" s="113"/>
      <c r="KO51" s="113"/>
      <c r="KP51" s="113"/>
      <c r="KQ51" s="113"/>
      <c r="KR51" s="113"/>
      <c r="KS51" s="113"/>
      <c r="KT51" s="113"/>
      <c r="KU51" s="113"/>
      <c r="KV51" s="113"/>
      <c r="KW51" s="113"/>
      <c r="KX51" s="113"/>
      <c r="KY51" s="113"/>
      <c r="KZ51" s="113"/>
      <c r="LA51" s="113"/>
      <c r="LB51" s="113"/>
      <c r="LC51" s="113"/>
      <c r="LD51" s="113"/>
      <c r="LE51" s="113"/>
      <c r="LF51" s="113"/>
      <c r="LG51" s="113"/>
      <c r="LH51" s="113"/>
      <c r="LI51" s="113"/>
      <c r="LJ51" s="113"/>
      <c r="LK51" s="113"/>
      <c r="LL51" s="113"/>
      <c r="LM51" s="113"/>
      <c r="LN51" s="113"/>
      <c r="LO51" s="113"/>
      <c r="LP51" s="113"/>
      <c r="LQ51" s="113"/>
      <c r="LR51" s="113"/>
      <c r="LS51" s="113"/>
      <c r="LT51" s="113"/>
      <c r="LU51" s="113"/>
      <c r="LV51" s="113"/>
      <c r="LW51" s="113"/>
      <c r="LX51" s="113"/>
      <c r="LY51" s="113"/>
      <c r="LZ51" s="113"/>
      <c r="MA51" s="113"/>
      <c r="MB51" s="113"/>
      <c r="MC51" s="113"/>
      <c r="MD51" s="113"/>
      <c r="ME51" s="113"/>
      <c r="MF51" s="113"/>
      <c r="MG51" s="113"/>
      <c r="MH51" s="113"/>
      <c r="MI51" s="113"/>
      <c r="MJ51" s="113"/>
      <c r="MK51" s="113"/>
      <c r="ML51" s="113"/>
      <c r="MM51" s="113"/>
      <c r="MN51" s="113"/>
      <c r="MO51" s="113"/>
      <c r="MP51" s="113"/>
      <c r="MQ51" s="113"/>
      <c r="MR51" s="113"/>
      <c r="MS51" s="113"/>
      <c r="MT51" s="113"/>
      <c r="MU51" s="113"/>
      <c r="MV51" s="113"/>
      <c r="MW51" s="113"/>
      <c r="MX51" s="113"/>
      <c r="MY51" s="113"/>
      <c r="MZ51" s="113"/>
      <c r="NA51" s="113"/>
      <c r="NB51" s="113"/>
      <c r="NC51" s="113"/>
      <c r="ND51" s="113"/>
      <c r="NE51" s="113"/>
      <c r="NF51" s="113"/>
      <c r="NG51" s="113"/>
      <c r="NH51" s="113"/>
      <c r="NI51" s="113"/>
      <c r="NJ51" s="113"/>
      <c r="NK51" s="113"/>
      <c r="NL51" s="113"/>
      <c r="NM51" s="113"/>
      <c r="NN51" s="113"/>
      <c r="NO51" s="113"/>
      <c r="NP51" s="113"/>
      <c r="NQ51" s="113"/>
      <c r="NR51" s="113"/>
      <c r="NS51" s="113"/>
      <c r="NT51" s="113"/>
      <c r="NU51" s="113"/>
      <c r="NV51" s="113"/>
      <c r="NW51" s="113"/>
      <c r="NX51" s="113"/>
      <c r="NY51" s="113"/>
      <c r="NZ51" s="113"/>
      <c r="OA51" s="113"/>
      <c r="OB51" s="113"/>
      <c r="OC51" s="113"/>
      <c r="OD51" s="113"/>
      <c r="OE51" s="113"/>
      <c r="OF51" s="113"/>
      <c r="OG51" s="113"/>
      <c r="OH51" s="113"/>
      <c r="OI51" s="113"/>
      <c r="OJ51" s="113"/>
      <c r="OK51" s="113"/>
      <c r="OL51" s="113"/>
      <c r="OM51" s="113"/>
      <c r="ON51" s="113"/>
      <c r="OO51" s="113"/>
      <c r="OP51" s="113"/>
      <c r="OQ51" s="113"/>
      <c r="OR51" s="113"/>
      <c r="OS51" s="113"/>
      <c r="OT51" s="113"/>
      <c r="OU51" s="113"/>
      <c r="OV51" s="113"/>
      <c r="OW51" s="113"/>
      <c r="OX51" s="113"/>
      <c r="OY51" s="113"/>
      <c r="OZ51" s="113"/>
      <c r="PA51" s="113"/>
      <c r="PB51" s="113"/>
      <c r="PC51" s="113"/>
      <c r="PD51" s="113"/>
      <c r="PE51" s="113"/>
      <c r="PF51" s="113"/>
      <c r="PG51" s="113"/>
      <c r="PH51" s="113"/>
      <c r="PI51" s="113"/>
      <c r="PJ51" s="113"/>
      <c r="PK51" s="113"/>
      <c r="PL51" s="113"/>
      <c r="PM51" s="113"/>
      <c r="PN51" s="113"/>
      <c r="PO51" s="113"/>
      <c r="PP51" s="113"/>
      <c r="PQ51" s="113"/>
      <c r="PR51" s="113"/>
      <c r="PS51" s="113"/>
      <c r="PT51" s="113"/>
      <c r="PU51" s="113"/>
      <c r="PV51" s="113"/>
      <c r="PW51" s="113"/>
      <c r="PX51" s="113"/>
      <c r="PY51" s="113"/>
      <c r="PZ51" s="113"/>
      <c r="QA51" s="113"/>
      <c r="QB51" s="113"/>
      <c r="QC51" s="113"/>
      <c r="QD51" s="113"/>
      <c r="QE51" s="113"/>
      <c r="QF51" s="113"/>
      <c r="QG51" s="113"/>
      <c r="QH51" s="113"/>
      <c r="QI51" s="113"/>
      <c r="QJ51" s="113"/>
      <c r="QK51" s="113"/>
      <c r="QL51" s="113"/>
      <c r="QM51" s="113"/>
      <c r="QN51" s="113"/>
      <c r="QO51" s="113"/>
      <c r="QP51" s="113"/>
      <c r="QQ51" s="113"/>
      <c r="QR51" s="113"/>
      <c r="QS51" s="113"/>
      <c r="QT51" s="113"/>
      <c r="QU51" s="113"/>
      <c r="QV51" s="113"/>
      <c r="QW51" s="113"/>
      <c r="QX51" s="113"/>
      <c r="QY51" s="113"/>
      <c r="QZ51" s="113"/>
      <c r="RA51" s="113"/>
      <c r="RB51" s="113"/>
      <c r="RC51" s="113"/>
      <c r="RD51" s="113"/>
      <c r="RE51" s="113"/>
      <c r="RF51" s="113"/>
      <c r="RG51" s="113"/>
      <c r="RH51" s="113"/>
      <c r="RI51" s="113"/>
      <c r="RJ51" s="113"/>
      <c r="RK51" s="113"/>
      <c r="RL51" s="113"/>
      <c r="RM51" s="113"/>
      <c r="RN51" s="113"/>
      <c r="RO51" s="113"/>
      <c r="RP51" s="113"/>
      <c r="RQ51" s="113"/>
      <c r="RR51" s="113"/>
      <c r="RS51" s="113"/>
      <c r="RT51" s="113"/>
      <c r="RU51" s="113"/>
      <c r="RV51" s="113"/>
      <c r="RW51" s="113"/>
      <c r="RX51" s="113"/>
      <c r="RY51" s="113"/>
      <c r="RZ51" s="113"/>
      <c r="SA51" s="113"/>
      <c r="SB51" s="113"/>
      <c r="SC51" s="113"/>
      <c r="SD51" s="113"/>
      <c r="SE51" s="113"/>
      <c r="SF51" s="113"/>
      <c r="SG51" s="113"/>
      <c r="SH51" s="113"/>
      <c r="SI51" s="113"/>
      <c r="SJ51" s="113"/>
      <c r="SK51" s="113"/>
      <c r="SL51" s="113"/>
      <c r="SM51" s="113"/>
      <c r="SN51" s="113"/>
      <c r="SO51" s="113"/>
      <c r="SP51" s="113"/>
      <c r="SQ51" s="113"/>
      <c r="SR51" s="113"/>
      <c r="SS51" s="113"/>
      <c r="ST51" s="113"/>
      <c r="SU51" s="113"/>
      <c r="SV51" s="113"/>
      <c r="SW51" s="113"/>
      <c r="SX51" s="113"/>
      <c r="SY51" s="113"/>
      <c r="SZ51" s="113"/>
      <c r="TA51" s="113"/>
      <c r="TB51" s="113"/>
      <c r="TC51" s="113"/>
      <c r="TD51" s="113"/>
      <c r="TE51" s="113"/>
      <c r="TF51" s="113"/>
      <c r="TG51" s="113"/>
      <c r="TH51" s="113"/>
      <c r="TI51" s="113"/>
      <c r="TJ51" s="113"/>
      <c r="TK51" s="113"/>
      <c r="TL51" s="113"/>
      <c r="TM51" s="113"/>
      <c r="TN51" s="113"/>
      <c r="TO51" s="113"/>
      <c r="TP51" s="113"/>
      <c r="TQ51" s="113"/>
      <c r="TR51" s="113"/>
      <c r="TS51" s="113"/>
      <c r="TT51" s="113"/>
      <c r="TU51" s="113"/>
      <c r="TV51" s="113"/>
      <c r="TW51" s="113"/>
      <c r="TX51" s="113"/>
      <c r="TY51" s="113"/>
      <c r="TZ51" s="113"/>
      <c r="UA51" s="113"/>
      <c r="UB51" s="113"/>
      <c r="UC51" s="113"/>
      <c r="UD51" s="113"/>
      <c r="UE51" s="113"/>
      <c r="UF51" s="113"/>
      <c r="UG51" s="113"/>
      <c r="UH51" s="113"/>
      <c r="UI51" s="113"/>
      <c r="UJ51" s="113"/>
      <c r="UK51" s="113"/>
      <c r="UL51" s="113"/>
      <c r="UM51" s="113"/>
      <c r="UN51" s="113"/>
      <c r="UO51" s="113"/>
      <c r="UP51" s="113"/>
      <c r="UQ51" s="113"/>
      <c r="UR51" s="113"/>
      <c r="US51" s="113"/>
      <c r="UT51" s="113"/>
      <c r="UU51" s="113"/>
      <c r="UV51" s="113"/>
      <c r="UW51" s="113"/>
      <c r="UX51" s="113"/>
      <c r="UY51" s="113"/>
      <c r="UZ51" s="113"/>
      <c r="VA51" s="113"/>
      <c r="VB51" s="113"/>
      <c r="VC51" s="113"/>
      <c r="VD51" s="113"/>
      <c r="VE51" s="113"/>
      <c r="VF51" s="113"/>
      <c r="VG51" s="113"/>
      <c r="VH51" s="113"/>
      <c r="VI51" s="113"/>
      <c r="VJ51" s="113"/>
      <c r="VK51" s="113"/>
      <c r="VL51" s="113"/>
      <c r="VM51" s="113"/>
      <c r="VN51" s="113"/>
      <c r="VO51" s="113"/>
      <c r="VP51" s="113"/>
      <c r="VQ51" s="113"/>
      <c r="VR51" s="113"/>
      <c r="VS51" s="113"/>
      <c r="VT51" s="113"/>
      <c r="VU51" s="113"/>
      <c r="VV51" s="113"/>
      <c r="VW51" s="113"/>
      <c r="VX51" s="113"/>
      <c r="VY51" s="113"/>
      <c r="VZ51" s="113"/>
      <c r="WA51" s="113"/>
      <c r="WB51" s="113"/>
      <c r="WC51" s="113"/>
      <c r="WD51" s="113"/>
      <c r="WE51" s="113"/>
      <c r="WF51" s="113"/>
      <c r="WG51" s="113"/>
      <c r="WH51" s="113"/>
      <c r="WI51" s="113"/>
      <c r="WJ51" s="113"/>
      <c r="WK51" s="113"/>
      <c r="WL51" s="113"/>
      <c r="WM51" s="113"/>
      <c r="WN51" s="113"/>
      <c r="WO51" s="113"/>
      <c r="WP51" s="113"/>
      <c r="WQ51" s="113"/>
      <c r="WR51" s="113"/>
      <c r="WS51" s="113"/>
      <c r="WT51" s="113"/>
      <c r="WU51" s="113"/>
      <c r="WV51" s="113"/>
      <c r="WW51" s="113"/>
      <c r="WX51" s="113"/>
      <c r="WY51" s="113"/>
      <c r="WZ51" s="113"/>
      <c r="XA51" s="113"/>
      <c r="XB51" s="113"/>
      <c r="XC51" s="113"/>
      <c r="XD51" s="113"/>
      <c r="XE51" s="113"/>
      <c r="XF51" s="113"/>
      <c r="XG51" s="113"/>
      <c r="XH51" s="113"/>
      <c r="XI51" s="113"/>
      <c r="XJ51" s="113"/>
      <c r="XK51" s="113"/>
      <c r="XL51" s="113"/>
      <c r="XM51" s="113"/>
      <c r="XN51" s="113"/>
      <c r="XO51" s="113"/>
      <c r="XP51" s="113"/>
      <c r="XQ51" s="113"/>
      <c r="XR51" s="113"/>
      <c r="XS51" s="113"/>
      <c r="XT51" s="113"/>
      <c r="XU51" s="113"/>
      <c r="XV51" s="113"/>
      <c r="XW51" s="113"/>
      <c r="XX51" s="113"/>
      <c r="XY51" s="113"/>
      <c r="XZ51" s="113"/>
      <c r="YA51" s="113"/>
      <c r="YB51" s="113"/>
      <c r="YC51" s="113"/>
      <c r="YD51" s="113"/>
      <c r="YE51" s="113"/>
      <c r="YF51" s="113"/>
      <c r="YG51" s="113"/>
      <c r="YH51" s="113"/>
      <c r="YI51" s="113"/>
      <c r="YJ51" s="113"/>
      <c r="YK51" s="113"/>
      <c r="YL51" s="113"/>
      <c r="YM51" s="113"/>
      <c r="YN51" s="113"/>
      <c r="YO51" s="113"/>
      <c r="YP51" s="113"/>
      <c r="YQ51" s="113"/>
      <c r="YR51" s="113"/>
      <c r="YS51" s="113"/>
      <c r="YT51" s="113"/>
      <c r="YU51" s="113"/>
      <c r="YV51" s="113"/>
      <c r="YW51" s="113"/>
      <c r="YX51" s="113"/>
      <c r="YY51" s="113"/>
      <c r="YZ51" s="113"/>
      <c r="ZA51" s="113"/>
      <c r="ZB51" s="113"/>
      <c r="ZC51" s="113"/>
      <c r="ZD51" s="113"/>
      <c r="ZE51" s="113"/>
      <c r="ZF51" s="113"/>
      <c r="ZG51" s="113"/>
      <c r="ZH51" s="113"/>
      <c r="ZI51" s="113"/>
      <c r="ZJ51" s="113"/>
      <c r="ZK51" s="113"/>
      <c r="ZL51" s="113"/>
      <c r="ZM51" s="113"/>
      <c r="ZN51" s="113"/>
      <c r="ZO51" s="113"/>
      <c r="ZP51" s="113"/>
      <c r="ZQ51" s="113"/>
      <c r="ZR51" s="113"/>
      <c r="ZS51" s="113"/>
      <c r="ZT51" s="113"/>
      <c r="ZU51" s="113"/>
      <c r="ZV51" s="113"/>
      <c r="ZW51" s="113"/>
      <c r="ZX51" s="113"/>
      <c r="ZY51" s="113"/>
      <c r="ZZ51" s="113"/>
      <c r="AAA51" s="113"/>
      <c r="AAB51" s="113"/>
      <c r="AAC51" s="113"/>
      <c r="AAD51" s="113"/>
      <c r="AAE51" s="113"/>
      <c r="AAF51" s="113"/>
      <c r="AAG51" s="113"/>
      <c r="AAH51" s="113"/>
      <c r="AAI51" s="113"/>
      <c r="AAJ51" s="113"/>
      <c r="AAK51" s="113"/>
      <c r="AAL51" s="113"/>
      <c r="AAM51" s="113"/>
      <c r="AAN51" s="113"/>
      <c r="AAO51" s="113"/>
      <c r="AAP51" s="113"/>
      <c r="AAQ51" s="113"/>
      <c r="AAR51" s="113"/>
      <c r="AAS51" s="113"/>
      <c r="AAT51" s="113"/>
      <c r="AAU51" s="113"/>
      <c r="AAV51" s="113"/>
      <c r="AAW51" s="113"/>
      <c r="AAX51" s="113"/>
      <c r="AAY51" s="113"/>
      <c r="AAZ51" s="113"/>
      <c r="ABA51" s="113"/>
      <c r="ABB51" s="113"/>
      <c r="ABC51" s="113"/>
      <c r="ABD51" s="113"/>
      <c r="ABE51" s="113"/>
      <c r="ABF51" s="113"/>
      <c r="ABG51" s="113"/>
      <c r="ABH51" s="113"/>
      <c r="ABI51" s="113"/>
      <c r="ABJ51" s="113"/>
      <c r="ABK51" s="113"/>
      <c r="ABL51" s="113"/>
      <c r="ABM51" s="113"/>
      <c r="ABN51" s="113"/>
      <c r="ABO51" s="113"/>
      <c r="ABP51" s="113"/>
      <c r="ABQ51" s="113"/>
      <c r="ABR51" s="113"/>
      <c r="ABS51" s="113"/>
      <c r="ABT51" s="113"/>
      <c r="ABU51" s="113"/>
      <c r="ABV51" s="113"/>
      <c r="ABW51" s="113"/>
      <c r="ABX51" s="113"/>
      <c r="ABY51" s="113"/>
      <c r="ABZ51" s="113"/>
      <c r="ACA51" s="113"/>
      <c r="ACB51" s="113"/>
      <c r="ACC51" s="113"/>
      <c r="ACD51" s="113"/>
      <c r="ACE51" s="113"/>
      <c r="ACF51" s="113"/>
      <c r="ACG51" s="113"/>
      <c r="ACH51" s="113"/>
      <c r="ACI51" s="113"/>
      <c r="ACJ51" s="113"/>
      <c r="ACK51" s="113"/>
      <c r="ACL51" s="113"/>
      <c r="ACM51" s="113"/>
      <c r="ACN51" s="113"/>
      <c r="ACO51" s="113"/>
      <c r="ACP51" s="113"/>
      <c r="ACQ51" s="113"/>
      <c r="ACR51" s="113"/>
      <c r="ACS51" s="113"/>
      <c r="ACT51" s="113"/>
      <c r="ACU51" s="113"/>
      <c r="ACV51" s="113"/>
      <c r="ACW51" s="113"/>
      <c r="ACX51" s="113"/>
      <c r="ACY51" s="113"/>
      <c r="ACZ51" s="113"/>
      <c r="ADA51" s="113"/>
      <c r="ADB51" s="113"/>
      <c r="ADC51" s="113"/>
      <c r="ADD51" s="113"/>
      <c r="ADE51" s="113"/>
      <c r="ADF51" s="113"/>
      <c r="ADG51" s="113"/>
      <c r="ADH51" s="113"/>
      <c r="ADI51" s="113"/>
      <c r="ADJ51" s="113"/>
      <c r="ADK51" s="113"/>
      <c r="ADL51" s="113"/>
      <c r="ADM51" s="113"/>
      <c r="ADN51" s="113"/>
      <c r="ADO51" s="113"/>
      <c r="ADP51" s="113"/>
      <c r="ADQ51" s="113"/>
      <c r="ADR51" s="113"/>
      <c r="ADS51" s="113"/>
      <c r="ADT51" s="113"/>
      <c r="ADU51" s="113"/>
      <c r="ADV51" s="113"/>
      <c r="ADW51" s="113"/>
      <c r="ADX51" s="113"/>
      <c r="ADY51" s="113"/>
      <c r="ADZ51" s="113"/>
      <c r="AEA51" s="113"/>
      <c r="AEB51" s="113"/>
      <c r="AEC51" s="113"/>
      <c r="AED51" s="113"/>
      <c r="AEE51" s="113"/>
      <c r="AEF51" s="113"/>
      <c r="AEG51" s="113"/>
      <c r="AEH51" s="113"/>
      <c r="AEI51" s="113"/>
      <c r="AEJ51" s="113"/>
      <c r="AEK51" s="113"/>
      <c r="AEL51" s="113"/>
      <c r="AEM51" s="113"/>
      <c r="AEN51" s="113"/>
      <c r="AEO51" s="113"/>
      <c r="AEP51" s="113"/>
      <c r="AEQ51" s="113"/>
      <c r="AER51" s="113"/>
      <c r="AES51" s="113"/>
      <c r="AET51" s="113"/>
      <c r="AEU51" s="113"/>
      <c r="AEV51" s="113"/>
      <c r="AEW51" s="113"/>
      <c r="AEX51" s="113"/>
      <c r="AEY51" s="113"/>
      <c r="AEZ51" s="113"/>
      <c r="AFA51" s="113"/>
      <c r="AFB51" s="113"/>
      <c r="AFC51" s="113"/>
      <c r="AFD51" s="113"/>
      <c r="AFE51" s="113"/>
      <c r="AFF51" s="113"/>
      <c r="AFG51" s="113"/>
      <c r="AFH51" s="113"/>
      <c r="AFI51" s="113"/>
      <c r="AFJ51" s="113"/>
      <c r="AFK51" s="113"/>
      <c r="AFL51" s="113"/>
      <c r="AFM51" s="113"/>
      <c r="AFN51" s="113"/>
      <c r="AFO51" s="113"/>
      <c r="AFP51" s="113"/>
      <c r="AFQ51" s="113"/>
      <c r="AFR51" s="113"/>
      <c r="AFS51" s="113"/>
      <c r="AFT51" s="113"/>
      <c r="AFU51" s="113"/>
      <c r="AFV51" s="113"/>
      <c r="AFW51" s="113"/>
      <c r="AFX51" s="113"/>
      <c r="AFY51" s="113"/>
      <c r="AFZ51" s="113"/>
      <c r="AGA51" s="113"/>
      <c r="AGB51" s="113"/>
      <c r="AGC51" s="113"/>
      <c r="AGD51" s="113"/>
      <c r="AGE51" s="113"/>
      <c r="AGF51" s="113"/>
      <c r="AGG51" s="113"/>
      <c r="AGH51" s="113"/>
      <c r="AGI51" s="113"/>
      <c r="AGJ51" s="113"/>
      <c r="AGK51" s="113"/>
      <c r="AGL51" s="113"/>
      <c r="AGM51" s="113"/>
      <c r="AGN51" s="113"/>
      <c r="AGO51" s="113"/>
      <c r="AGP51" s="113"/>
      <c r="AGQ51" s="113"/>
      <c r="AGR51" s="113"/>
      <c r="AGS51" s="113"/>
      <c r="AGT51" s="113"/>
      <c r="AGU51" s="113"/>
      <c r="AGV51" s="113"/>
      <c r="AGW51" s="113"/>
      <c r="AGX51" s="113"/>
      <c r="AGY51" s="113"/>
      <c r="AGZ51" s="113"/>
      <c r="AHA51" s="113"/>
      <c r="AHB51" s="113"/>
      <c r="AHC51" s="113"/>
      <c r="AHD51" s="113"/>
      <c r="AHE51" s="113"/>
      <c r="AHF51" s="113"/>
      <c r="AHG51" s="113"/>
      <c r="AHH51" s="113"/>
      <c r="AHI51" s="113"/>
      <c r="AHJ51" s="113"/>
      <c r="AHK51" s="113"/>
      <c r="AHL51" s="113"/>
      <c r="AHM51" s="113"/>
      <c r="AHN51" s="113"/>
      <c r="AHO51" s="113"/>
      <c r="AHP51" s="113"/>
      <c r="AHQ51" s="113"/>
      <c r="AHR51" s="113"/>
      <c r="AHS51" s="113"/>
      <c r="AHT51" s="113"/>
      <c r="AHU51" s="113"/>
      <c r="AHV51" s="113"/>
      <c r="AHW51" s="113"/>
      <c r="AHX51" s="113"/>
      <c r="AHY51" s="113"/>
      <c r="AHZ51" s="113"/>
      <c r="AIA51" s="113"/>
      <c r="AIB51" s="113"/>
      <c r="AIC51" s="113"/>
      <c r="AID51" s="113"/>
      <c r="AIE51" s="113"/>
      <c r="AIF51" s="113"/>
      <c r="AIG51" s="113"/>
      <c r="AIH51" s="113"/>
      <c r="AII51" s="113"/>
      <c r="AIJ51" s="113"/>
      <c r="AIK51" s="113"/>
      <c r="AIL51" s="113"/>
      <c r="AIM51" s="113"/>
      <c r="AIN51" s="113"/>
      <c r="AIO51" s="113"/>
      <c r="AIP51" s="113"/>
      <c r="AIQ51" s="113"/>
      <c r="AIR51" s="113"/>
      <c r="AIS51" s="113"/>
      <c r="AIT51" s="113"/>
      <c r="AIU51" s="113"/>
      <c r="AIV51" s="113"/>
      <c r="AIW51" s="113"/>
      <c r="AIX51" s="113"/>
      <c r="AIY51" s="113"/>
      <c r="AIZ51" s="113"/>
    </row>
    <row r="52">
      <c r="A52" s="65" t="s">
        <v>7</v>
      </c>
      <c r="B52" s="65" t="s">
        <v>26</v>
      </c>
      <c r="C52" s="65"/>
      <c r="D52" s="64">
        <f t="shared" si="1"/>
        <v>511.0681667</v>
      </c>
      <c r="F52" s="65">
        <v>40.7840166666667</v>
      </c>
      <c r="G52" s="65">
        <v>4.37888333333333</v>
      </c>
      <c r="H52" s="65">
        <v>4.53296666666667</v>
      </c>
      <c r="I52" s="65">
        <v>2.84145</v>
      </c>
      <c r="J52" s="65">
        <v>2.04353333333333</v>
      </c>
      <c r="K52" s="65">
        <v>37.6731833333333</v>
      </c>
      <c r="N52" s="65">
        <v>5.49871666666667</v>
      </c>
      <c r="Q52" s="65">
        <v>72.3718833333332</v>
      </c>
      <c r="R52" s="65">
        <v>28.8539166666667</v>
      </c>
      <c r="S52" s="65">
        <v>8.94821666666667</v>
      </c>
      <c r="T52" s="65">
        <v>5.03345</v>
      </c>
      <c r="U52" s="65">
        <v>28.53915</v>
      </c>
      <c r="X52" s="65">
        <v>43.5323666666667</v>
      </c>
      <c r="Y52" s="65">
        <v>13.8978333333333</v>
      </c>
      <c r="Z52" s="65">
        <v>6.22851666666667</v>
      </c>
      <c r="AA52" s="65">
        <v>2.96095</v>
      </c>
      <c r="AB52" s="65">
        <v>18.1621333333333</v>
      </c>
      <c r="AE52" s="65">
        <v>26.2913166666667</v>
      </c>
      <c r="AF52" s="65">
        <v>9.03598333333334</v>
      </c>
      <c r="AG52" s="65">
        <v>3.37726666666667</v>
      </c>
      <c r="AH52" s="65">
        <v>0.5468</v>
      </c>
      <c r="AI52" s="65">
        <v>8.38416666666667</v>
      </c>
      <c r="AL52" s="65">
        <v>11.0347</v>
      </c>
      <c r="AM52" s="65">
        <v>4.96833333333333</v>
      </c>
      <c r="AN52" s="65">
        <v>23.2057666666667</v>
      </c>
      <c r="AQ52" s="65">
        <v>3.28578333333333</v>
      </c>
      <c r="AR52" s="65">
        <v>11.9533</v>
      </c>
      <c r="AU52" s="65">
        <v>82.7035833333334</v>
      </c>
    </row>
    <row r="53">
      <c r="A53" s="65" t="s">
        <v>7</v>
      </c>
      <c r="B53" s="65" t="s">
        <v>26</v>
      </c>
      <c r="C53" s="65"/>
      <c r="D53" s="64">
        <f t="shared" si="1"/>
        <v>0</v>
      </c>
    </row>
    <row r="54">
      <c r="A54" s="65" t="s">
        <v>7</v>
      </c>
      <c r="B54" s="65" t="s">
        <v>26</v>
      </c>
      <c r="C54" s="65"/>
      <c r="D54" s="64">
        <f t="shared" si="1"/>
        <v>482.8557667</v>
      </c>
      <c r="F54" s="118">
        <f>HYPERLINK("https://docs.google.com/spreadsheets/d/1-sEwfQqfT0M2BTlB9Uc-JDVcMHRKIvWC", 34.7369333333333)</f>
        <v>34.73693333</v>
      </c>
      <c r="G54" s="118">
        <f>HYPERLINK("https://docs.google.com/spreadsheets/d/1pT9mxu8OxJtUizZMDuunjS-gVMuGU8XA", 4.37888333333333)</f>
        <v>4.378883333</v>
      </c>
      <c r="H54" s="118">
        <f>HYPERLINK("https://docs.google.com/spreadsheets/d/1WLqRk-ppZD-rQqMXhM8M-E8yA9zwlawv", 4.53296666666667)</f>
        <v>4.532966667</v>
      </c>
      <c r="I54" s="118">
        <f>HYPERLINK("https://docs.google.com/spreadsheets/d/1H1wGXEsrbaONN3ZsUgNpX9P0BazHMUNR", 2.02145)</f>
        <v>2.02145</v>
      </c>
      <c r="J54" s="118">
        <f>HYPERLINK("https://docs.google.com/spreadsheets/d/1uCWReS3Pw-3-pZFZXFrdFE062iQUIlv4", 1.73688333333333)</f>
        <v>1.736883333</v>
      </c>
      <c r="K54" s="118">
        <f>HYPERLINK("https://docs.google.com/spreadsheets/d/1Ae4BQ4Qy2PXFmCxswEI1VHA514BH-wyi", 37.1873)</f>
        <v>37.1873</v>
      </c>
      <c r="N54" s="118">
        <f>HYPERLINK("https://docs.google.com/spreadsheets/d/1XEkdQnKyOVIOimQOOe-k_K3KI_kloqgP", 5.49871666666667)</f>
        <v>5.498716667</v>
      </c>
      <c r="Q54" s="118">
        <f>HYPERLINK("https://docs.google.com/spreadsheets/d/1cKlxeEdKLcj-WrPnFNBflQhlmsr0xd-m", 61.1388666666666)</f>
        <v>61.13886667</v>
      </c>
      <c r="R54" s="118">
        <f>HYPERLINK("https://docs.google.com/spreadsheets/d/1KSSZUyBqJG8kmWxGH0NIgWVJPIQ_ub-h", 28.7286833333333)</f>
        <v>28.72868333</v>
      </c>
      <c r="S54" s="118">
        <f>HYPERLINK("https://docs.google.com/spreadsheets/d/1EIY65M15eyOfcDqpEU0HlQHnKcGcTSpk", 8.19731666666666)</f>
        <v>8.197316667</v>
      </c>
      <c r="T54" s="118">
        <f>HYPERLINK("https://docs.google.com/spreadsheets/d/1JN7YpciL2kMdtX5OsYkB9EftQK7nLzVV", 3.62066666666667)</f>
        <v>3.620666667</v>
      </c>
      <c r="U54" s="118">
        <f>HYPERLINK("https://docs.google.com/spreadsheets/d/1rBHO6BfD6O-GEROk3qGHAvMAUwNkZbAB", 28.3488833333333)</f>
        <v>28.34888333</v>
      </c>
      <c r="X54" s="118">
        <f>HYPERLINK("https://docs.google.com/spreadsheets/d/1_mlYe3hFw2qiv9jFemuXcong7jY53Pki", 39.2252666666667)</f>
        <v>39.22526667</v>
      </c>
      <c r="Y54" s="118">
        <f>HYPERLINK("https://docs.google.com/spreadsheets/d/1ynIBhtn9XEECERWnVwBWYOpEcYb8di4Z", 13.89785)</f>
        <v>13.89785</v>
      </c>
      <c r="Z54" s="118">
        <f>HYPERLINK("https://docs.google.com/spreadsheets/d/19pYmdz0ceRWJqdSLlssVAz_zkq-5P8bK", 6.22851666666667)</f>
        <v>6.228516667</v>
      </c>
      <c r="AA54" s="118">
        <f>HYPERLINK("https://docs.google.com/spreadsheets/d/1OGMGxG4oqv_fjOAKfAGJnCsH5kzNwXpD", 2.87488333333333)</f>
        <v>2.874883333</v>
      </c>
      <c r="AB54" s="118">
        <f>HYPERLINK("https://docs.google.com/spreadsheets/d/10s_4Nu9obycxR9NrvC6Bd9wKNxLrojeb", 18.16215)</f>
        <v>18.16215</v>
      </c>
      <c r="AE54" s="118">
        <f>HYPERLINK("https://docs.google.com/spreadsheets/d/12FQrpKapKDZvihhL8btpG4McR392pyz5", 25.0325833333334)</f>
        <v>25.03258333</v>
      </c>
      <c r="AF54" s="118">
        <f>HYPERLINK("https://docs.google.com/spreadsheets/d/1ZGhGOr0ytKemQFsxKpXqR7KYDsxccvIu", 8.8712)</f>
        <v>8.8712</v>
      </c>
      <c r="AG54" s="118">
        <f>HYPERLINK("https://docs.google.com/spreadsheets/d/1r0AqYcjBasOeGpeUTNfblAwm7tBeb2G8", 3.37726666666667)</f>
        <v>3.377266667</v>
      </c>
      <c r="AH54" s="118">
        <f>HYPERLINK("https://docs.google.com/spreadsheets/d/1L3STHpbA3NhB2TUJM95VzNSriMjnRss6", 0.5468)</f>
        <v>0.5468</v>
      </c>
      <c r="AI54" s="118">
        <f>HYPERLINK("https://docs.google.com/spreadsheets/d/1GQft6wtK3tVk4s_6cKMMTUYv8658G8rK", 8.38416666666667)</f>
        <v>8.384166667</v>
      </c>
      <c r="AL54" s="118">
        <f>HYPERLINK("https://docs.google.com/spreadsheets/d/1RnPE3nshAKtEW-eoQhL9BWAkkSMNspUY", 10.8551)</f>
        <v>10.8551</v>
      </c>
      <c r="AM54" s="118">
        <f>HYPERLINK("https://docs.google.com/spreadsheets/d/1MeKc7hP6U9skhMD9uMe8DWcPsFGH2Hfi", 4.7073)</f>
        <v>4.7073</v>
      </c>
      <c r="AN54" s="118">
        <f>HYPERLINK("https://docs.google.com/spreadsheets/d/1btz2vytnyNr9zyW2XscPEXrdcnivWjKq", 23.1358666666667)</f>
        <v>23.13586667</v>
      </c>
      <c r="AQ54" s="118">
        <f>HYPERLINK("https://docs.google.com/spreadsheets/d/190zH-iPGEPB8NcBdyvOcBlAVFZ4il_jx", 2.86425)</f>
        <v>2.86425</v>
      </c>
      <c r="AR54" s="118">
        <f>HYPERLINK("https://docs.google.com/spreadsheets/d/1mOvbyarmUEcSKKa4e59igsaPqEfDqLwp", 11.9532666666667)</f>
        <v>11.95326667</v>
      </c>
      <c r="AU54" s="118">
        <f>HYPERLINK("https://docs.google.com/spreadsheets/d/1_UkqfY8c0gma-iKEBytC5QKeA3mniR7r", 82.6117500000001)</f>
        <v>82.61175</v>
      </c>
    </row>
    <row r="55">
      <c r="A55" s="65" t="s">
        <v>7</v>
      </c>
      <c r="B55" s="65" t="s">
        <v>26</v>
      </c>
      <c r="C55" s="65"/>
      <c r="D55" s="64">
        <f t="shared" si="1"/>
        <v>35.98061667</v>
      </c>
      <c r="F55" s="65">
        <v>7.9322</v>
      </c>
      <c r="G55" s="65">
        <v>0.361083333333333</v>
      </c>
      <c r="H55" s="65">
        <v>1.64996666666667</v>
      </c>
      <c r="I55" s="65">
        <v>0.144933333333333</v>
      </c>
      <c r="J55" s="65">
        <v>0.0</v>
      </c>
      <c r="K55" s="65">
        <v>15.23685</v>
      </c>
      <c r="N55" s="65">
        <v>0.584966666666667</v>
      </c>
      <c r="Q55" s="65">
        <v>3.73255</v>
      </c>
      <c r="R55" s="65">
        <v>0.343416666666667</v>
      </c>
      <c r="S55" s="65">
        <v>0.157766666666667</v>
      </c>
      <c r="T55" s="65">
        <v>0.0</v>
      </c>
      <c r="U55" s="65">
        <v>0.379616666666667</v>
      </c>
      <c r="X55" s="65">
        <v>1.09498333333333</v>
      </c>
      <c r="Y55" s="65">
        <v>0.370816666666667</v>
      </c>
      <c r="Z55" s="65">
        <v>0.173366666666667</v>
      </c>
      <c r="AA55" s="65">
        <v>0.0</v>
      </c>
      <c r="AB55" s="65">
        <v>1.04545</v>
      </c>
      <c r="AE55" s="65">
        <v>1.43861666666667</v>
      </c>
      <c r="AF55" s="65">
        <v>0.1194</v>
      </c>
      <c r="AG55" s="65">
        <v>0.0421166666666667</v>
      </c>
      <c r="AH55" s="65">
        <v>0.0</v>
      </c>
      <c r="AI55" s="65">
        <v>0.55915</v>
      </c>
      <c r="AL55" s="65">
        <v>0.0</v>
      </c>
      <c r="AM55" s="65">
        <v>0.0</v>
      </c>
      <c r="AN55" s="65">
        <v>0.3083</v>
      </c>
      <c r="AQ55" s="65">
        <v>0.0</v>
      </c>
      <c r="AR55" s="65">
        <v>0.0</v>
      </c>
      <c r="AU55" s="65">
        <v>0.305066666666667</v>
      </c>
    </row>
    <row r="56">
      <c r="A56" s="119" t="s">
        <v>7</v>
      </c>
      <c r="B56" s="119" t="s">
        <v>26</v>
      </c>
      <c r="C56" s="119"/>
      <c r="D56" s="120">
        <f t="shared" si="1"/>
        <v>0</v>
      </c>
      <c r="E56" s="120"/>
      <c r="F56" s="120"/>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20"/>
      <c r="AK56" s="120"/>
      <c r="AL56" s="120"/>
      <c r="AM56" s="120"/>
      <c r="AN56" s="120"/>
      <c r="AO56" s="120"/>
      <c r="AP56" s="120"/>
      <c r="AQ56" s="120"/>
      <c r="AR56" s="120"/>
      <c r="AS56" s="120"/>
      <c r="AT56" s="120"/>
      <c r="AU56" s="120"/>
      <c r="AV56" s="120"/>
      <c r="AW56" s="120"/>
      <c r="AX56" s="120"/>
      <c r="AY56" s="120"/>
      <c r="AZ56" s="120"/>
      <c r="BA56" s="120"/>
      <c r="BB56" s="120"/>
      <c r="BC56" s="120"/>
      <c r="BD56" s="120"/>
      <c r="BE56" s="120"/>
      <c r="BF56" s="120"/>
      <c r="BG56" s="120"/>
      <c r="BH56" s="120"/>
      <c r="BI56" s="120"/>
      <c r="BJ56" s="120"/>
      <c r="BK56" s="120"/>
      <c r="BL56" s="120"/>
      <c r="BM56" s="120"/>
      <c r="BN56" s="120"/>
      <c r="BO56" s="120"/>
      <c r="BP56" s="120"/>
      <c r="BQ56" s="120"/>
      <c r="BR56" s="120"/>
      <c r="BS56" s="120"/>
      <c r="BT56" s="120"/>
      <c r="BU56" s="120"/>
      <c r="BV56" s="120"/>
      <c r="BW56" s="120"/>
      <c r="BX56" s="120"/>
      <c r="BY56" s="120"/>
      <c r="BZ56" s="120"/>
      <c r="CA56" s="120"/>
      <c r="CB56" s="120"/>
      <c r="CC56" s="120"/>
      <c r="CD56" s="120"/>
      <c r="CE56" s="120"/>
      <c r="CF56" s="120"/>
      <c r="CG56" s="120"/>
      <c r="CH56" s="120"/>
      <c r="CI56" s="120"/>
      <c r="CJ56" s="120"/>
      <c r="CK56" s="120"/>
      <c r="CL56" s="120"/>
      <c r="CM56" s="120"/>
      <c r="CN56" s="120"/>
      <c r="CO56" s="120"/>
      <c r="CP56" s="120"/>
      <c r="CQ56" s="120"/>
      <c r="CR56" s="120"/>
      <c r="CS56" s="120"/>
      <c r="CT56" s="120"/>
      <c r="CU56" s="120"/>
      <c r="CV56" s="120"/>
      <c r="CW56" s="120"/>
      <c r="CX56" s="120"/>
      <c r="CY56" s="120"/>
      <c r="CZ56" s="120"/>
      <c r="DA56" s="120"/>
      <c r="DB56" s="120"/>
      <c r="DC56" s="120"/>
      <c r="DD56" s="120"/>
      <c r="DE56" s="120"/>
      <c r="DF56" s="120"/>
      <c r="DG56" s="120"/>
      <c r="DH56" s="120"/>
      <c r="DI56" s="120"/>
      <c r="DJ56" s="120"/>
      <c r="DK56" s="120"/>
      <c r="DL56" s="120"/>
      <c r="DM56" s="120"/>
      <c r="DN56" s="120"/>
      <c r="DO56" s="120"/>
      <c r="DP56" s="120"/>
      <c r="DQ56" s="120"/>
      <c r="DR56" s="120"/>
      <c r="DS56" s="120"/>
      <c r="DT56" s="120"/>
      <c r="DU56" s="120"/>
      <c r="DV56" s="120"/>
      <c r="DW56" s="120"/>
      <c r="DX56" s="120"/>
      <c r="DY56" s="120"/>
      <c r="DZ56" s="120"/>
      <c r="EA56" s="120"/>
      <c r="EB56" s="120"/>
      <c r="EC56" s="120"/>
      <c r="ED56" s="120"/>
      <c r="EE56" s="120"/>
      <c r="EF56" s="120"/>
      <c r="EG56" s="120"/>
      <c r="EH56" s="120"/>
      <c r="EI56" s="120"/>
      <c r="EJ56" s="120"/>
      <c r="EK56" s="120"/>
      <c r="EL56" s="120"/>
      <c r="EM56" s="120"/>
      <c r="EN56" s="120"/>
      <c r="EO56" s="120"/>
      <c r="EP56" s="120"/>
      <c r="EQ56" s="120"/>
      <c r="ER56" s="120"/>
      <c r="ES56" s="120"/>
      <c r="ET56" s="120"/>
      <c r="EU56" s="120"/>
      <c r="EV56" s="120"/>
      <c r="EW56" s="120"/>
      <c r="EX56" s="120"/>
      <c r="EY56" s="120"/>
      <c r="EZ56" s="120"/>
      <c r="FA56" s="120"/>
      <c r="FB56" s="120"/>
      <c r="FC56" s="120"/>
      <c r="FD56" s="120"/>
      <c r="FE56" s="120"/>
      <c r="FF56" s="120"/>
      <c r="FG56" s="120"/>
      <c r="FH56" s="120"/>
      <c r="FI56" s="120"/>
      <c r="FJ56" s="120"/>
      <c r="FK56" s="120"/>
      <c r="FL56" s="120"/>
      <c r="FM56" s="120"/>
      <c r="FN56" s="120"/>
      <c r="FO56" s="120"/>
      <c r="FP56" s="120"/>
      <c r="FQ56" s="120"/>
      <c r="FR56" s="120"/>
      <c r="FS56" s="120"/>
      <c r="FT56" s="120"/>
      <c r="FU56" s="120"/>
      <c r="FV56" s="120"/>
      <c r="FW56" s="120"/>
      <c r="FX56" s="120"/>
      <c r="FY56" s="120"/>
      <c r="FZ56" s="120"/>
      <c r="GA56" s="120"/>
      <c r="GB56" s="120"/>
      <c r="GC56" s="120"/>
      <c r="GD56" s="120"/>
      <c r="GE56" s="120"/>
      <c r="GF56" s="120"/>
      <c r="GG56" s="120"/>
      <c r="GH56" s="120"/>
      <c r="GI56" s="120"/>
      <c r="GJ56" s="120"/>
      <c r="GK56" s="120"/>
      <c r="GL56" s="120"/>
      <c r="GM56" s="120"/>
      <c r="GN56" s="120"/>
      <c r="GO56" s="120"/>
      <c r="GP56" s="120"/>
      <c r="GQ56" s="120"/>
      <c r="GR56" s="120"/>
      <c r="GS56" s="120"/>
      <c r="GT56" s="120"/>
      <c r="GU56" s="120"/>
      <c r="GV56" s="120"/>
      <c r="GW56" s="120"/>
      <c r="GX56" s="120"/>
      <c r="GY56" s="120"/>
      <c r="GZ56" s="120"/>
      <c r="HA56" s="120"/>
      <c r="HB56" s="120"/>
      <c r="HC56" s="120"/>
      <c r="HD56" s="120"/>
      <c r="HE56" s="120"/>
      <c r="HF56" s="120"/>
      <c r="HG56" s="120"/>
      <c r="HH56" s="120"/>
      <c r="HI56" s="120"/>
      <c r="HJ56" s="120"/>
      <c r="HK56" s="120"/>
      <c r="HL56" s="120"/>
      <c r="HM56" s="120"/>
      <c r="HN56" s="120"/>
      <c r="HO56" s="120"/>
      <c r="HP56" s="120"/>
      <c r="HQ56" s="120"/>
      <c r="HR56" s="120"/>
      <c r="HS56" s="120"/>
      <c r="HT56" s="120"/>
      <c r="HU56" s="120"/>
      <c r="HV56" s="120"/>
      <c r="HW56" s="120"/>
      <c r="HX56" s="120"/>
      <c r="HY56" s="120"/>
      <c r="HZ56" s="120"/>
      <c r="IA56" s="120"/>
      <c r="IB56" s="120"/>
      <c r="IC56" s="120"/>
      <c r="ID56" s="120"/>
      <c r="IE56" s="120"/>
      <c r="IF56" s="120"/>
      <c r="IG56" s="120"/>
      <c r="IH56" s="120"/>
      <c r="II56" s="120"/>
      <c r="IJ56" s="120"/>
      <c r="IK56" s="120"/>
      <c r="IL56" s="120"/>
      <c r="IM56" s="120"/>
      <c r="IN56" s="120"/>
      <c r="IO56" s="120"/>
      <c r="IP56" s="120"/>
      <c r="IQ56" s="120"/>
      <c r="IR56" s="120"/>
      <c r="IS56" s="120"/>
      <c r="IT56" s="120"/>
      <c r="IU56" s="120"/>
      <c r="IV56" s="120"/>
      <c r="IW56" s="120"/>
      <c r="IX56" s="120"/>
      <c r="IY56" s="120"/>
      <c r="IZ56" s="120"/>
      <c r="JA56" s="120"/>
      <c r="JB56" s="120"/>
      <c r="JC56" s="120"/>
      <c r="JD56" s="120"/>
      <c r="JE56" s="120"/>
      <c r="JF56" s="120"/>
      <c r="JG56" s="120"/>
      <c r="JH56" s="120"/>
      <c r="JI56" s="120"/>
      <c r="JJ56" s="120"/>
      <c r="JK56" s="120"/>
      <c r="JL56" s="120"/>
      <c r="JM56" s="120"/>
      <c r="JN56" s="120"/>
      <c r="JO56" s="120"/>
      <c r="JP56" s="120"/>
      <c r="JQ56" s="120"/>
      <c r="JR56" s="120"/>
      <c r="JS56" s="120"/>
      <c r="JT56" s="120"/>
      <c r="JU56" s="120"/>
      <c r="JV56" s="120"/>
      <c r="JW56" s="120"/>
      <c r="JX56" s="120"/>
      <c r="JY56" s="120"/>
      <c r="JZ56" s="120"/>
      <c r="KA56" s="120"/>
      <c r="KB56" s="120"/>
      <c r="KC56" s="120"/>
      <c r="KD56" s="120"/>
      <c r="KE56" s="120"/>
      <c r="KF56" s="120"/>
      <c r="KG56" s="120"/>
      <c r="KH56" s="120"/>
      <c r="KI56" s="120"/>
      <c r="KJ56" s="120"/>
      <c r="KK56" s="120"/>
      <c r="KL56" s="120"/>
      <c r="KM56" s="120"/>
      <c r="KN56" s="120"/>
      <c r="KO56" s="120"/>
      <c r="KP56" s="120"/>
      <c r="KQ56" s="120"/>
      <c r="KR56" s="120"/>
      <c r="KS56" s="120"/>
      <c r="KT56" s="120"/>
      <c r="KU56" s="120"/>
      <c r="KV56" s="120"/>
      <c r="KW56" s="120"/>
      <c r="KX56" s="120"/>
      <c r="KY56" s="120"/>
      <c r="KZ56" s="120"/>
      <c r="LA56" s="120"/>
      <c r="LB56" s="120"/>
      <c r="LC56" s="120"/>
      <c r="LD56" s="120"/>
      <c r="LE56" s="120"/>
      <c r="LF56" s="120"/>
      <c r="LG56" s="120"/>
      <c r="LH56" s="120"/>
      <c r="LI56" s="120"/>
      <c r="LJ56" s="120"/>
      <c r="LK56" s="120"/>
      <c r="LL56" s="120"/>
      <c r="LM56" s="120"/>
      <c r="LN56" s="120"/>
      <c r="LO56" s="120"/>
      <c r="LP56" s="120"/>
      <c r="LQ56" s="120"/>
      <c r="LR56" s="120"/>
      <c r="LS56" s="120"/>
      <c r="LT56" s="120"/>
      <c r="LU56" s="120"/>
      <c r="LV56" s="120"/>
      <c r="LW56" s="120"/>
      <c r="LX56" s="120"/>
      <c r="LY56" s="120"/>
      <c r="LZ56" s="120"/>
      <c r="MA56" s="120"/>
      <c r="MB56" s="120"/>
      <c r="MC56" s="120"/>
      <c r="MD56" s="120"/>
      <c r="ME56" s="120"/>
      <c r="MF56" s="120"/>
      <c r="MG56" s="120"/>
      <c r="MH56" s="120"/>
      <c r="MI56" s="120"/>
      <c r="MJ56" s="120"/>
      <c r="MK56" s="120"/>
      <c r="ML56" s="120"/>
      <c r="MM56" s="120"/>
      <c r="MN56" s="120"/>
      <c r="MO56" s="120"/>
      <c r="MP56" s="120"/>
      <c r="MQ56" s="120"/>
      <c r="MR56" s="120"/>
      <c r="MS56" s="120"/>
      <c r="MT56" s="120"/>
      <c r="MU56" s="120"/>
      <c r="MV56" s="120"/>
      <c r="MW56" s="120"/>
      <c r="MX56" s="120"/>
      <c r="MY56" s="120"/>
      <c r="MZ56" s="120"/>
      <c r="NA56" s="120"/>
      <c r="NB56" s="120"/>
      <c r="NC56" s="120"/>
      <c r="ND56" s="120"/>
      <c r="NE56" s="120"/>
      <c r="NF56" s="120"/>
      <c r="NG56" s="120"/>
      <c r="NH56" s="120"/>
      <c r="NI56" s="120"/>
      <c r="NJ56" s="120"/>
      <c r="NK56" s="120"/>
      <c r="NL56" s="120"/>
      <c r="NM56" s="120"/>
      <c r="NN56" s="120"/>
      <c r="NO56" s="120"/>
      <c r="NP56" s="120"/>
      <c r="NQ56" s="120"/>
      <c r="NR56" s="120"/>
      <c r="NS56" s="120"/>
      <c r="NT56" s="120"/>
      <c r="NU56" s="120"/>
      <c r="NV56" s="120"/>
      <c r="NW56" s="120"/>
      <c r="NX56" s="120"/>
      <c r="NY56" s="120"/>
      <c r="NZ56" s="120"/>
      <c r="OA56" s="120"/>
      <c r="OB56" s="120"/>
      <c r="OC56" s="120"/>
      <c r="OD56" s="120"/>
      <c r="OE56" s="120"/>
      <c r="OF56" s="120"/>
      <c r="OG56" s="120"/>
      <c r="OH56" s="120"/>
      <c r="OI56" s="120"/>
      <c r="OJ56" s="120"/>
      <c r="OK56" s="120"/>
      <c r="OL56" s="120"/>
      <c r="OM56" s="120"/>
      <c r="ON56" s="120"/>
      <c r="OO56" s="120"/>
      <c r="OP56" s="120"/>
      <c r="OQ56" s="120"/>
      <c r="OR56" s="120"/>
      <c r="OS56" s="120"/>
      <c r="OT56" s="120"/>
      <c r="OU56" s="120"/>
      <c r="OV56" s="120"/>
      <c r="OW56" s="120"/>
      <c r="OX56" s="120"/>
      <c r="OY56" s="120"/>
      <c r="OZ56" s="120"/>
      <c r="PA56" s="120"/>
      <c r="PB56" s="120"/>
      <c r="PC56" s="120"/>
      <c r="PD56" s="120"/>
      <c r="PE56" s="120"/>
      <c r="PF56" s="120"/>
      <c r="PG56" s="120"/>
      <c r="PH56" s="120"/>
      <c r="PI56" s="120"/>
      <c r="PJ56" s="120"/>
      <c r="PK56" s="120"/>
      <c r="PL56" s="120"/>
      <c r="PM56" s="120"/>
      <c r="PN56" s="120"/>
      <c r="PO56" s="120"/>
      <c r="PP56" s="120"/>
      <c r="PQ56" s="120"/>
      <c r="PR56" s="120"/>
      <c r="PS56" s="120"/>
      <c r="PT56" s="120"/>
      <c r="PU56" s="120"/>
      <c r="PV56" s="120"/>
      <c r="PW56" s="120"/>
      <c r="PX56" s="120"/>
      <c r="PY56" s="120"/>
      <c r="PZ56" s="120"/>
      <c r="QA56" s="120"/>
      <c r="QB56" s="120"/>
      <c r="QC56" s="120"/>
      <c r="QD56" s="120"/>
      <c r="QE56" s="120"/>
      <c r="QF56" s="120"/>
      <c r="QG56" s="120"/>
      <c r="QH56" s="120"/>
      <c r="QI56" s="120"/>
      <c r="QJ56" s="120"/>
      <c r="QK56" s="120"/>
      <c r="QL56" s="120"/>
      <c r="QM56" s="120"/>
      <c r="QN56" s="120"/>
      <c r="QO56" s="120"/>
      <c r="QP56" s="120"/>
      <c r="QQ56" s="120"/>
      <c r="QR56" s="120"/>
      <c r="QS56" s="120"/>
      <c r="QT56" s="120"/>
      <c r="QU56" s="120"/>
      <c r="QV56" s="120"/>
      <c r="QW56" s="120"/>
      <c r="QX56" s="120"/>
      <c r="QY56" s="120"/>
      <c r="QZ56" s="120"/>
      <c r="RA56" s="120"/>
      <c r="RB56" s="120"/>
      <c r="RC56" s="120"/>
      <c r="RD56" s="120"/>
      <c r="RE56" s="120"/>
      <c r="RF56" s="120"/>
      <c r="RG56" s="120"/>
      <c r="RH56" s="120"/>
      <c r="RI56" s="120"/>
      <c r="RJ56" s="120"/>
      <c r="RK56" s="120"/>
      <c r="RL56" s="120"/>
      <c r="RM56" s="120"/>
      <c r="RN56" s="120"/>
      <c r="RO56" s="120"/>
      <c r="RP56" s="120"/>
      <c r="RQ56" s="120"/>
      <c r="RR56" s="120"/>
      <c r="RS56" s="120"/>
      <c r="RT56" s="120"/>
      <c r="RU56" s="120"/>
      <c r="RV56" s="120"/>
      <c r="RW56" s="120"/>
      <c r="RX56" s="120"/>
      <c r="RY56" s="120"/>
      <c r="RZ56" s="120"/>
      <c r="SA56" s="120"/>
      <c r="SB56" s="120"/>
      <c r="SC56" s="120"/>
      <c r="SD56" s="120"/>
      <c r="SE56" s="120"/>
      <c r="SF56" s="120"/>
      <c r="SG56" s="120"/>
      <c r="SH56" s="120"/>
      <c r="SI56" s="120"/>
      <c r="SJ56" s="120"/>
      <c r="SK56" s="120"/>
      <c r="SL56" s="120"/>
      <c r="SM56" s="120"/>
      <c r="SN56" s="120"/>
      <c r="SO56" s="120"/>
      <c r="SP56" s="120"/>
      <c r="SQ56" s="120"/>
      <c r="SR56" s="120"/>
      <c r="SS56" s="120"/>
      <c r="ST56" s="120"/>
      <c r="SU56" s="120"/>
      <c r="SV56" s="120"/>
      <c r="SW56" s="120"/>
      <c r="SX56" s="120"/>
      <c r="SY56" s="120"/>
      <c r="SZ56" s="120"/>
      <c r="TA56" s="120"/>
      <c r="TB56" s="120"/>
      <c r="TC56" s="120"/>
      <c r="TD56" s="120"/>
      <c r="TE56" s="120"/>
      <c r="TF56" s="120"/>
      <c r="TG56" s="120"/>
      <c r="TH56" s="120"/>
      <c r="TI56" s="120"/>
      <c r="TJ56" s="120"/>
      <c r="TK56" s="120"/>
      <c r="TL56" s="120"/>
      <c r="TM56" s="120"/>
      <c r="TN56" s="120"/>
      <c r="TO56" s="120"/>
      <c r="TP56" s="120"/>
      <c r="TQ56" s="120"/>
      <c r="TR56" s="120"/>
      <c r="TS56" s="120"/>
      <c r="TT56" s="120"/>
      <c r="TU56" s="120"/>
      <c r="TV56" s="120"/>
      <c r="TW56" s="120"/>
      <c r="TX56" s="120"/>
      <c r="TY56" s="120"/>
      <c r="TZ56" s="120"/>
      <c r="UA56" s="120"/>
      <c r="UB56" s="120"/>
      <c r="UC56" s="120"/>
      <c r="UD56" s="120"/>
      <c r="UE56" s="120"/>
      <c r="UF56" s="120"/>
      <c r="UG56" s="120"/>
      <c r="UH56" s="120"/>
      <c r="UI56" s="120"/>
      <c r="UJ56" s="120"/>
      <c r="UK56" s="120"/>
      <c r="UL56" s="120"/>
      <c r="UM56" s="120"/>
      <c r="UN56" s="120"/>
      <c r="UO56" s="120"/>
      <c r="UP56" s="120"/>
      <c r="UQ56" s="120"/>
      <c r="UR56" s="120"/>
      <c r="US56" s="120"/>
      <c r="UT56" s="120"/>
      <c r="UU56" s="120"/>
      <c r="UV56" s="120"/>
      <c r="UW56" s="120"/>
      <c r="UX56" s="120"/>
      <c r="UY56" s="120"/>
      <c r="UZ56" s="120"/>
      <c r="VA56" s="120"/>
      <c r="VB56" s="120"/>
      <c r="VC56" s="120"/>
      <c r="VD56" s="120"/>
      <c r="VE56" s="120"/>
      <c r="VF56" s="120"/>
      <c r="VG56" s="120"/>
      <c r="VH56" s="120"/>
      <c r="VI56" s="120"/>
      <c r="VJ56" s="120"/>
      <c r="VK56" s="120"/>
      <c r="VL56" s="120"/>
      <c r="VM56" s="120"/>
      <c r="VN56" s="120"/>
      <c r="VO56" s="120"/>
      <c r="VP56" s="120"/>
      <c r="VQ56" s="120"/>
      <c r="VR56" s="120"/>
      <c r="VS56" s="120"/>
      <c r="VT56" s="120"/>
      <c r="VU56" s="120"/>
      <c r="VV56" s="120"/>
      <c r="VW56" s="120"/>
      <c r="VX56" s="120"/>
      <c r="VY56" s="120"/>
      <c r="VZ56" s="120"/>
      <c r="WA56" s="120"/>
      <c r="WB56" s="120"/>
      <c r="WC56" s="120"/>
      <c r="WD56" s="120"/>
      <c r="WE56" s="120"/>
      <c r="WF56" s="120"/>
      <c r="WG56" s="120"/>
      <c r="WH56" s="120"/>
      <c r="WI56" s="120"/>
      <c r="WJ56" s="120"/>
      <c r="WK56" s="120"/>
      <c r="WL56" s="120"/>
      <c r="WM56" s="120"/>
      <c r="WN56" s="120"/>
      <c r="WO56" s="120"/>
      <c r="WP56" s="120"/>
      <c r="WQ56" s="120"/>
      <c r="WR56" s="120"/>
      <c r="WS56" s="120"/>
      <c r="WT56" s="120"/>
      <c r="WU56" s="120"/>
      <c r="WV56" s="120"/>
      <c r="WW56" s="120"/>
      <c r="WX56" s="120"/>
      <c r="WY56" s="120"/>
      <c r="WZ56" s="120"/>
      <c r="XA56" s="120"/>
      <c r="XB56" s="120"/>
      <c r="XC56" s="120"/>
      <c r="XD56" s="120"/>
      <c r="XE56" s="120"/>
      <c r="XF56" s="120"/>
      <c r="XG56" s="120"/>
      <c r="XH56" s="120"/>
      <c r="XI56" s="120"/>
      <c r="XJ56" s="120"/>
      <c r="XK56" s="120"/>
      <c r="XL56" s="120"/>
      <c r="XM56" s="120"/>
      <c r="XN56" s="120"/>
      <c r="XO56" s="120"/>
      <c r="XP56" s="120"/>
      <c r="XQ56" s="120"/>
      <c r="XR56" s="120"/>
      <c r="XS56" s="120"/>
      <c r="XT56" s="120"/>
      <c r="XU56" s="120"/>
      <c r="XV56" s="120"/>
      <c r="XW56" s="120"/>
      <c r="XX56" s="120"/>
      <c r="XY56" s="120"/>
      <c r="XZ56" s="120"/>
      <c r="YA56" s="120"/>
      <c r="YB56" s="120"/>
      <c r="YC56" s="120"/>
      <c r="YD56" s="120"/>
      <c r="YE56" s="120"/>
      <c r="YF56" s="120"/>
      <c r="YG56" s="120"/>
      <c r="YH56" s="120"/>
      <c r="YI56" s="120"/>
      <c r="YJ56" s="120"/>
      <c r="YK56" s="120"/>
      <c r="YL56" s="120"/>
      <c r="YM56" s="120"/>
      <c r="YN56" s="120"/>
      <c r="YO56" s="120"/>
      <c r="YP56" s="120"/>
      <c r="YQ56" s="120"/>
      <c r="YR56" s="120"/>
      <c r="YS56" s="120"/>
      <c r="YT56" s="120"/>
      <c r="YU56" s="120"/>
      <c r="YV56" s="120"/>
      <c r="YW56" s="120"/>
      <c r="YX56" s="120"/>
      <c r="YY56" s="120"/>
      <c r="YZ56" s="120"/>
      <c r="ZA56" s="120"/>
      <c r="ZB56" s="120"/>
      <c r="ZC56" s="120"/>
      <c r="ZD56" s="120"/>
      <c r="ZE56" s="120"/>
      <c r="ZF56" s="120"/>
      <c r="ZG56" s="120"/>
      <c r="ZH56" s="120"/>
      <c r="ZI56" s="120"/>
      <c r="ZJ56" s="120"/>
      <c r="ZK56" s="120"/>
      <c r="ZL56" s="120"/>
      <c r="ZM56" s="120"/>
      <c r="ZN56" s="120"/>
      <c r="ZO56" s="120"/>
      <c r="ZP56" s="120"/>
      <c r="ZQ56" s="120"/>
      <c r="ZR56" s="120"/>
      <c r="ZS56" s="120"/>
      <c r="ZT56" s="120"/>
      <c r="ZU56" s="120"/>
      <c r="ZV56" s="120"/>
      <c r="ZW56" s="120"/>
      <c r="ZX56" s="120"/>
      <c r="ZY56" s="120"/>
      <c r="ZZ56" s="120"/>
      <c r="AAA56" s="120"/>
      <c r="AAB56" s="120"/>
      <c r="AAC56" s="120"/>
      <c r="AAD56" s="120"/>
      <c r="AAE56" s="120"/>
      <c r="AAF56" s="120"/>
      <c r="AAG56" s="120"/>
      <c r="AAH56" s="120"/>
      <c r="AAI56" s="120"/>
      <c r="AAJ56" s="120"/>
      <c r="AAK56" s="120"/>
      <c r="AAL56" s="120"/>
      <c r="AAM56" s="120"/>
      <c r="AAN56" s="120"/>
      <c r="AAO56" s="120"/>
      <c r="AAP56" s="120"/>
      <c r="AAQ56" s="120"/>
      <c r="AAR56" s="120"/>
      <c r="AAS56" s="120"/>
      <c r="AAT56" s="120"/>
      <c r="AAU56" s="120"/>
      <c r="AAV56" s="120"/>
      <c r="AAW56" s="120"/>
      <c r="AAX56" s="120"/>
      <c r="AAY56" s="120"/>
      <c r="AAZ56" s="120"/>
      <c r="ABA56" s="120"/>
      <c r="ABB56" s="120"/>
      <c r="ABC56" s="120"/>
      <c r="ABD56" s="120"/>
      <c r="ABE56" s="120"/>
      <c r="ABF56" s="120"/>
      <c r="ABG56" s="120"/>
      <c r="ABH56" s="120"/>
      <c r="ABI56" s="120"/>
      <c r="ABJ56" s="120"/>
      <c r="ABK56" s="120"/>
      <c r="ABL56" s="120"/>
      <c r="ABM56" s="120"/>
      <c r="ABN56" s="120"/>
      <c r="ABO56" s="120"/>
      <c r="ABP56" s="120"/>
      <c r="ABQ56" s="120"/>
      <c r="ABR56" s="120"/>
      <c r="ABS56" s="120"/>
      <c r="ABT56" s="120"/>
      <c r="ABU56" s="120"/>
      <c r="ABV56" s="120"/>
      <c r="ABW56" s="120"/>
      <c r="ABX56" s="120"/>
      <c r="ABY56" s="120"/>
      <c r="ABZ56" s="120"/>
      <c r="ACA56" s="120"/>
      <c r="ACB56" s="120"/>
      <c r="ACC56" s="120"/>
      <c r="ACD56" s="120"/>
      <c r="ACE56" s="120"/>
      <c r="ACF56" s="120"/>
      <c r="ACG56" s="120"/>
      <c r="ACH56" s="120"/>
      <c r="ACI56" s="120"/>
      <c r="ACJ56" s="120"/>
      <c r="ACK56" s="120"/>
      <c r="ACL56" s="120"/>
      <c r="ACM56" s="120"/>
      <c r="ACN56" s="120"/>
      <c r="ACO56" s="120"/>
      <c r="ACP56" s="120"/>
      <c r="ACQ56" s="120"/>
      <c r="ACR56" s="120"/>
      <c r="ACS56" s="120"/>
      <c r="ACT56" s="120"/>
      <c r="ACU56" s="120"/>
      <c r="ACV56" s="120"/>
      <c r="ACW56" s="120"/>
      <c r="ACX56" s="120"/>
      <c r="ACY56" s="120"/>
      <c r="ACZ56" s="120"/>
      <c r="ADA56" s="120"/>
      <c r="ADB56" s="120"/>
      <c r="ADC56" s="120"/>
      <c r="ADD56" s="120"/>
      <c r="ADE56" s="120"/>
      <c r="ADF56" s="120"/>
      <c r="ADG56" s="120"/>
      <c r="ADH56" s="120"/>
      <c r="ADI56" s="120"/>
      <c r="ADJ56" s="120"/>
      <c r="ADK56" s="120"/>
      <c r="ADL56" s="120"/>
      <c r="ADM56" s="120"/>
      <c r="ADN56" s="120"/>
      <c r="ADO56" s="120"/>
      <c r="ADP56" s="120"/>
      <c r="ADQ56" s="120"/>
      <c r="ADR56" s="120"/>
      <c r="ADS56" s="120"/>
      <c r="ADT56" s="120"/>
      <c r="ADU56" s="120"/>
      <c r="ADV56" s="120"/>
      <c r="ADW56" s="120"/>
      <c r="ADX56" s="120"/>
      <c r="ADY56" s="120"/>
      <c r="ADZ56" s="120"/>
      <c r="AEA56" s="120"/>
      <c r="AEB56" s="120"/>
      <c r="AEC56" s="120"/>
      <c r="AED56" s="120"/>
      <c r="AEE56" s="120"/>
      <c r="AEF56" s="120"/>
      <c r="AEG56" s="120"/>
      <c r="AEH56" s="120"/>
      <c r="AEI56" s="120"/>
      <c r="AEJ56" s="120"/>
      <c r="AEK56" s="120"/>
      <c r="AEL56" s="120"/>
      <c r="AEM56" s="120"/>
      <c r="AEN56" s="120"/>
      <c r="AEO56" s="120"/>
      <c r="AEP56" s="120"/>
      <c r="AEQ56" s="120"/>
      <c r="AER56" s="120"/>
      <c r="AES56" s="120"/>
      <c r="AET56" s="120"/>
      <c r="AEU56" s="120"/>
      <c r="AEV56" s="120"/>
      <c r="AEW56" s="120"/>
      <c r="AEX56" s="120"/>
      <c r="AEY56" s="120"/>
      <c r="AEZ56" s="120"/>
      <c r="AFA56" s="120"/>
      <c r="AFB56" s="120"/>
      <c r="AFC56" s="120"/>
      <c r="AFD56" s="120"/>
      <c r="AFE56" s="120"/>
      <c r="AFF56" s="120"/>
      <c r="AFG56" s="120"/>
      <c r="AFH56" s="120"/>
      <c r="AFI56" s="120"/>
      <c r="AFJ56" s="120"/>
      <c r="AFK56" s="120"/>
      <c r="AFL56" s="120"/>
      <c r="AFM56" s="120"/>
      <c r="AFN56" s="120"/>
      <c r="AFO56" s="120"/>
      <c r="AFP56" s="120"/>
      <c r="AFQ56" s="120"/>
      <c r="AFR56" s="120"/>
      <c r="AFS56" s="120"/>
      <c r="AFT56" s="120"/>
      <c r="AFU56" s="120"/>
      <c r="AFV56" s="120"/>
      <c r="AFW56" s="120"/>
      <c r="AFX56" s="120"/>
      <c r="AFY56" s="120"/>
      <c r="AFZ56" s="120"/>
      <c r="AGA56" s="120"/>
      <c r="AGB56" s="120"/>
      <c r="AGC56" s="120"/>
      <c r="AGD56" s="120"/>
      <c r="AGE56" s="120"/>
      <c r="AGF56" s="120"/>
      <c r="AGG56" s="120"/>
      <c r="AGH56" s="120"/>
      <c r="AGI56" s="120"/>
      <c r="AGJ56" s="120"/>
      <c r="AGK56" s="120"/>
      <c r="AGL56" s="120"/>
      <c r="AGM56" s="120"/>
      <c r="AGN56" s="120"/>
      <c r="AGO56" s="120"/>
      <c r="AGP56" s="120"/>
      <c r="AGQ56" s="120"/>
      <c r="AGR56" s="120"/>
      <c r="AGS56" s="120"/>
      <c r="AGT56" s="120"/>
      <c r="AGU56" s="120"/>
      <c r="AGV56" s="120"/>
      <c r="AGW56" s="120"/>
      <c r="AGX56" s="120"/>
      <c r="AGY56" s="120"/>
      <c r="AGZ56" s="120"/>
      <c r="AHA56" s="120"/>
      <c r="AHB56" s="120"/>
      <c r="AHC56" s="120"/>
      <c r="AHD56" s="120"/>
      <c r="AHE56" s="120"/>
      <c r="AHF56" s="120"/>
      <c r="AHG56" s="120"/>
      <c r="AHH56" s="120"/>
      <c r="AHI56" s="120"/>
      <c r="AHJ56" s="120"/>
      <c r="AHK56" s="120"/>
      <c r="AHL56" s="120"/>
      <c r="AHM56" s="120"/>
      <c r="AHN56" s="120"/>
      <c r="AHO56" s="120"/>
      <c r="AHP56" s="120"/>
      <c r="AHQ56" s="120"/>
      <c r="AHR56" s="120"/>
      <c r="AHS56" s="120"/>
      <c r="AHT56" s="120"/>
      <c r="AHU56" s="120"/>
      <c r="AHV56" s="120"/>
      <c r="AHW56" s="120"/>
      <c r="AHX56" s="120"/>
      <c r="AHY56" s="120"/>
      <c r="AHZ56" s="120"/>
      <c r="AIA56" s="120"/>
      <c r="AIB56" s="120"/>
      <c r="AIC56" s="120"/>
      <c r="AID56" s="120"/>
      <c r="AIE56" s="120"/>
      <c r="AIF56" s="120"/>
      <c r="AIG56" s="120"/>
      <c r="AIH56" s="120"/>
      <c r="AII56" s="120"/>
      <c r="AIJ56" s="120"/>
      <c r="AIK56" s="120"/>
      <c r="AIL56" s="120"/>
      <c r="AIM56" s="120"/>
      <c r="AIN56" s="120"/>
      <c r="AIO56" s="120"/>
      <c r="AIP56" s="120"/>
      <c r="AIQ56" s="120"/>
      <c r="AIR56" s="120"/>
      <c r="AIS56" s="120"/>
      <c r="AIT56" s="120"/>
      <c r="AIU56" s="120"/>
      <c r="AIV56" s="120"/>
      <c r="AIW56" s="120"/>
      <c r="AIX56" s="120"/>
      <c r="AIY56" s="120"/>
      <c r="AIZ56" s="120"/>
    </row>
    <row r="57">
      <c r="A57" s="112" t="s">
        <v>7</v>
      </c>
      <c r="B57" s="112" t="s">
        <v>24</v>
      </c>
      <c r="C57" s="112"/>
      <c r="D57" s="113">
        <f t="shared" si="1"/>
        <v>515.3292667</v>
      </c>
      <c r="E57" s="112">
        <v>48.78555</v>
      </c>
      <c r="F57" s="113"/>
      <c r="G57" s="113"/>
      <c r="H57" s="113"/>
      <c r="I57" s="113"/>
      <c r="J57" s="113"/>
      <c r="K57" s="113"/>
      <c r="L57" s="112">
        <v>1.08758333333333</v>
      </c>
      <c r="M57" s="112">
        <v>9.31953333333334</v>
      </c>
      <c r="N57" s="113"/>
      <c r="O57" s="113"/>
      <c r="P57" s="112">
        <v>163.049166666667</v>
      </c>
      <c r="Q57" s="113"/>
      <c r="R57" s="113"/>
      <c r="S57" s="113"/>
      <c r="T57" s="113"/>
      <c r="U57" s="113"/>
      <c r="V57" s="112">
        <v>2.34755</v>
      </c>
      <c r="W57" s="112">
        <v>88.2166666666668</v>
      </c>
      <c r="X57" s="113"/>
      <c r="Y57" s="113"/>
      <c r="Z57" s="113"/>
      <c r="AA57" s="113"/>
      <c r="AB57" s="113"/>
      <c r="AC57" s="112">
        <v>1.73146666666667</v>
      </c>
      <c r="AD57" s="112">
        <v>36.1983833333333</v>
      </c>
      <c r="AE57" s="113"/>
      <c r="AF57" s="113"/>
      <c r="AG57" s="113"/>
      <c r="AH57" s="113"/>
      <c r="AI57" s="113"/>
      <c r="AJ57" s="112">
        <v>0.7866</v>
      </c>
      <c r="AK57" s="112">
        <v>64.9302333333333</v>
      </c>
      <c r="AL57" s="113"/>
      <c r="AM57" s="113"/>
      <c r="AN57" s="113"/>
      <c r="AO57" s="112">
        <v>6.6917</v>
      </c>
      <c r="AP57" s="112">
        <v>33.6139333333333</v>
      </c>
      <c r="AQ57" s="113"/>
      <c r="AR57" s="113"/>
      <c r="AS57" s="112">
        <v>4.4406</v>
      </c>
      <c r="AT57" s="112">
        <v>49.1054833333333</v>
      </c>
      <c r="AU57" s="113"/>
      <c r="AV57" s="112">
        <v>4.41796666666667</v>
      </c>
      <c r="AW57" s="112">
        <v>0.60685</v>
      </c>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113"/>
      <c r="CB57" s="113"/>
      <c r="CC57" s="113"/>
      <c r="CD57" s="113"/>
      <c r="CE57" s="113"/>
      <c r="CF57" s="113"/>
      <c r="CG57" s="113"/>
      <c r="CH57" s="113"/>
      <c r="CI57" s="113"/>
      <c r="CJ57" s="113"/>
      <c r="CK57" s="113"/>
      <c r="CL57" s="113"/>
      <c r="CM57" s="113"/>
      <c r="CN57" s="113"/>
      <c r="CO57" s="113"/>
      <c r="CP57" s="113"/>
      <c r="CQ57" s="113"/>
      <c r="CR57" s="113"/>
      <c r="CS57" s="113"/>
      <c r="CT57" s="113"/>
      <c r="CU57" s="113"/>
      <c r="CV57" s="113"/>
      <c r="CW57" s="113"/>
      <c r="CX57" s="113"/>
      <c r="CY57" s="113"/>
      <c r="CZ57" s="113"/>
      <c r="DA57" s="113"/>
      <c r="DB57" s="113"/>
      <c r="DC57" s="113"/>
      <c r="DD57" s="113"/>
      <c r="DE57" s="113"/>
      <c r="DF57" s="113"/>
      <c r="DG57" s="113"/>
      <c r="DH57" s="113"/>
      <c r="DI57" s="113"/>
      <c r="DJ57" s="113"/>
      <c r="DK57" s="113"/>
      <c r="DL57" s="113"/>
      <c r="DM57" s="113"/>
      <c r="DN57" s="113"/>
      <c r="DO57" s="113"/>
      <c r="DP57" s="113"/>
      <c r="DQ57" s="113"/>
      <c r="DR57" s="113"/>
      <c r="DS57" s="113"/>
      <c r="DT57" s="113"/>
      <c r="DU57" s="113"/>
      <c r="DV57" s="113"/>
      <c r="DW57" s="113"/>
      <c r="DX57" s="113"/>
      <c r="DY57" s="113"/>
      <c r="DZ57" s="113"/>
      <c r="EA57" s="113"/>
      <c r="EB57" s="113"/>
      <c r="EC57" s="113"/>
      <c r="ED57" s="113"/>
      <c r="EE57" s="113"/>
      <c r="EF57" s="113"/>
      <c r="EG57" s="113"/>
      <c r="EH57" s="113"/>
      <c r="EI57" s="113"/>
      <c r="EJ57" s="113"/>
      <c r="EK57" s="113"/>
      <c r="EL57" s="113"/>
      <c r="EM57" s="113"/>
      <c r="EN57" s="113"/>
      <c r="EO57" s="113"/>
      <c r="EP57" s="113"/>
      <c r="EQ57" s="113"/>
      <c r="ER57" s="113"/>
      <c r="ES57" s="113"/>
      <c r="ET57" s="113"/>
      <c r="EU57" s="113"/>
      <c r="EV57" s="113"/>
      <c r="EW57" s="113"/>
      <c r="EX57" s="113"/>
      <c r="EY57" s="113"/>
      <c r="EZ57" s="113"/>
      <c r="FA57" s="113"/>
      <c r="FB57" s="113"/>
      <c r="FC57" s="113"/>
      <c r="FD57" s="113"/>
      <c r="FE57" s="113"/>
      <c r="FF57" s="113"/>
      <c r="FG57" s="113"/>
      <c r="FH57" s="113"/>
      <c r="FI57" s="113"/>
      <c r="FJ57" s="113"/>
      <c r="FK57" s="113"/>
      <c r="FL57" s="113"/>
      <c r="FM57" s="113"/>
      <c r="FN57" s="113"/>
      <c r="FO57" s="113"/>
      <c r="FP57" s="113"/>
      <c r="FQ57" s="113"/>
      <c r="FR57" s="113"/>
      <c r="FS57" s="113"/>
      <c r="FT57" s="113"/>
      <c r="FU57" s="113"/>
      <c r="FV57" s="113"/>
      <c r="FW57" s="113"/>
      <c r="FX57" s="113"/>
      <c r="FY57" s="113"/>
      <c r="FZ57" s="113"/>
      <c r="GA57" s="113"/>
      <c r="GB57" s="113"/>
      <c r="GC57" s="113"/>
      <c r="GD57" s="113"/>
      <c r="GE57" s="113"/>
      <c r="GF57" s="113"/>
      <c r="GG57" s="113"/>
      <c r="GH57" s="113"/>
      <c r="GI57" s="113"/>
      <c r="GJ57" s="113"/>
      <c r="GK57" s="113"/>
      <c r="GL57" s="113"/>
      <c r="GM57" s="113"/>
      <c r="GN57" s="113"/>
      <c r="GO57" s="113"/>
      <c r="GP57" s="113"/>
      <c r="GQ57" s="113"/>
      <c r="GR57" s="113"/>
      <c r="GS57" s="113"/>
      <c r="GT57" s="113"/>
      <c r="GU57" s="113"/>
      <c r="GV57" s="113"/>
      <c r="GW57" s="113"/>
      <c r="GX57" s="113"/>
      <c r="GY57" s="113"/>
      <c r="GZ57" s="113"/>
      <c r="HA57" s="113"/>
      <c r="HB57" s="113"/>
      <c r="HC57" s="113"/>
      <c r="HD57" s="113"/>
      <c r="HE57" s="113"/>
      <c r="HF57" s="113"/>
      <c r="HG57" s="113"/>
      <c r="HH57" s="113"/>
      <c r="HI57" s="113"/>
      <c r="HJ57" s="113"/>
      <c r="HK57" s="113"/>
      <c r="HL57" s="113"/>
      <c r="HM57" s="113"/>
      <c r="HN57" s="113"/>
      <c r="HO57" s="113"/>
      <c r="HP57" s="113"/>
      <c r="HQ57" s="113"/>
      <c r="HR57" s="113"/>
      <c r="HS57" s="113"/>
      <c r="HT57" s="113"/>
      <c r="HU57" s="113"/>
      <c r="HV57" s="113"/>
      <c r="HW57" s="113"/>
      <c r="HX57" s="113"/>
      <c r="HY57" s="113"/>
      <c r="HZ57" s="113"/>
      <c r="IA57" s="113"/>
      <c r="IB57" s="113"/>
      <c r="IC57" s="113"/>
      <c r="ID57" s="113"/>
      <c r="IE57" s="113"/>
      <c r="IF57" s="113"/>
      <c r="IG57" s="113"/>
      <c r="IH57" s="113"/>
      <c r="II57" s="113"/>
      <c r="IJ57" s="113"/>
      <c r="IK57" s="113"/>
      <c r="IL57" s="113"/>
      <c r="IM57" s="113"/>
      <c r="IN57" s="113"/>
      <c r="IO57" s="113"/>
      <c r="IP57" s="113"/>
      <c r="IQ57" s="113"/>
      <c r="IR57" s="113"/>
      <c r="IS57" s="113"/>
      <c r="IT57" s="113"/>
      <c r="IU57" s="113"/>
      <c r="IV57" s="113"/>
      <c r="IW57" s="113"/>
      <c r="IX57" s="113"/>
      <c r="IY57" s="113"/>
      <c r="IZ57" s="113"/>
      <c r="JA57" s="113"/>
      <c r="JB57" s="113"/>
      <c r="JC57" s="113"/>
      <c r="JD57" s="113"/>
      <c r="JE57" s="113"/>
      <c r="JF57" s="113"/>
      <c r="JG57" s="113"/>
      <c r="JH57" s="113"/>
      <c r="JI57" s="113"/>
      <c r="JJ57" s="113"/>
      <c r="JK57" s="113"/>
      <c r="JL57" s="113"/>
      <c r="JM57" s="113"/>
      <c r="JN57" s="113"/>
      <c r="JO57" s="113"/>
      <c r="JP57" s="113"/>
      <c r="JQ57" s="113"/>
      <c r="JR57" s="113"/>
      <c r="JS57" s="113"/>
      <c r="JT57" s="113"/>
      <c r="JU57" s="113"/>
      <c r="JV57" s="113"/>
      <c r="JW57" s="113"/>
      <c r="JX57" s="113"/>
      <c r="JY57" s="113"/>
      <c r="JZ57" s="113"/>
      <c r="KA57" s="113"/>
      <c r="KB57" s="113"/>
      <c r="KC57" s="113"/>
      <c r="KD57" s="113"/>
      <c r="KE57" s="113"/>
      <c r="KF57" s="113"/>
      <c r="KG57" s="113"/>
      <c r="KH57" s="113"/>
      <c r="KI57" s="113"/>
      <c r="KJ57" s="113"/>
      <c r="KK57" s="113"/>
      <c r="KL57" s="113"/>
      <c r="KM57" s="113"/>
      <c r="KN57" s="113"/>
      <c r="KO57" s="113"/>
      <c r="KP57" s="113"/>
      <c r="KQ57" s="113"/>
      <c r="KR57" s="113"/>
      <c r="KS57" s="113"/>
      <c r="KT57" s="113"/>
      <c r="KU57" s="113"/>
      <c r="KV57" s="113"/>
      <c r="KW57" s="113"/>
      <c r="KX57" s="113"/>
      <c r="KY57" s="113"/>
      <c r="KZ57" s="113"/>
      <c r="LA57" s="113"/>
      <c r="LB57" s="113"/>
      <c r="LC57" s="113"/>
      <c r="LD57" s="113"/>
      <c r="LE57" s="113"/>
      <c r="LF57" s="113"/>
      <c r="LG57" s="113"/>
      <c r="LH57" s="113"/>
      <c r="LI57" s="113"/>
      <c r="LJ57" s="113"/>
      <c r="LK57" s="113"/>
      <c r="LL57" s="113"/>
      <c r="LM57" s="113"/>
      <c r="LN57" s="113"/>
      <c r="LO57" s="113"/>
      <c r="LP57" s="113"/>
      <c r="LQ57" s="113"/>
      <c r="LR57" s="113"/>
      <c r="LS57" s="113"/>
      <c r="LT57" s="113"/>
      <c r="LU57" s="113"/>
      <c r="LV57" s="113"/>
      <c r="LW57" s="113"/>
      <c r="LX57" s="113"/>
      <c r="LY57" s="113"/>
      <c r="LZ57" s="113"/>
      <c r="MA57" s="113"/>
      <c r="MB57" s="113"/>
      <c r="MC57" s="113"/>
      <c r="MD57" s="113"/>
      <c r="ME57" s="113"/>
      <c r="MF57" s="113"/>
      <c r="MG57" s="113"/>
      <c r="MH57" s="113"/>
      <c r="MI57" s="113"/>
      <c r="MJ57" s="113"/>
      <c r="MK57" s="113"/>
      <c r="ML57" s="113"/>
      <c r="MM57" s="113"/>
      <c r="MN57" s="113"/>
      <c r="MO57" s="113"/>
      <c r="MP57" s="113"/>
      <c r="MQ57" s="113"/>
      <c r="MR57" s="113"/>
      <c r="MS57" s="113"/>
      <c r="MT57" s="113"/>
      <c r="MU57" s="113"/>
      <c r="MV57" s="113"/>
      <c r="MW57" s="113"/>
      <c r="MX57" s="113"/>
      <c r="MY57" s="113"/>
      <c r="MZ57" s="113"/>
      <c r="NA57" s="113"/>
      <c r="NB57" s="113"/>
      <c r="NC57" s="113"/>
      <c r="ND57" s="113"/>
      <c r="NE57" s="113"/>
      <c r="NF57" s="113"/>
      <c r="NG57" s="113"/>
      <c r="NH57" s="113"/>
      <c r="NI57" s="113"/>
      <c r="NJ57" s="113"/>
      <c r="NK57" s="113"/>
      <c r="NL57" s="113"/>
      <c r="NM57" s="113"/>
      <c r="NN57" s="113"/>
      <c r="NO57" s="113"/>
      <c r="NP57" s="113"/>
      <c r="NQ57" s="113"/>
      <c r="NR57" s="113"/>
      <c r="NS57" s="113"/>
      <c r="NT57" s="113"/>
      <c r="NU57" s="113"/>
      <c r="NV57" s="113"/>
      <c r="NW57" s="113"/>
      <c r="NX57" s="113"/>
      <c r="NY57" s="113"/>
      <c r="NZ57" s="113"/>
      <c r="OA57" s="113"/>
      <c r="OB57" s="113"/>
      <c r="OC57" s="113"/>
      <c r="OD57" s="113"/>
      <c r="OE57" s="113"/>
      <c r="OF57" s="113"/>
      <c r="OG57" s="113"/>
      <c r="OH57" s="113"/>
      <c r="OI57" s="113"/>
      <c r="OJ57" s="113"/>
      <c r="OK57" s="113"/>
      <c r="OL57" s="113"/>
      <c r="OM57" s="113"/>
      <c r="ON57" s="113"/>
      <c r="OO57" s="113"/>
      <c r="OP57" s="113"/>
      <c r="OQ57" s="113"/>
      <c r="OR57" s="113"/>
      <c r="OS57" s="113"/>
      <c r="OT57" s="113"/>
      <c r="OU57" s="113"/>
      <c r="OV57" s="113"/>
      <c r="OW57" s="113"/>
      <c r="OX57" s="113"/>
      <c r="OY57" s="113"/>
      <c r="OZ57" s="113"/>
      <c r="PA57" s="113"/>
      <c r="PB57" s="113"/>
      <c r="PC57" s="113"/>
      <c r="PD57" s="113"/>
      <c r="PE57" s="113"/>
      <c r="PF57" s="113"/>
      <c r="PG57" s="113"/>
      <c r="PH57" s="113"/>
      <c r="PI57" s="113"/>
      <c r="PJ57" s="113"/>
      <c r="PK57" s="113"/>
      <c r="PL57" s="113"/>
      <c r="PM57" s="113"/>
      <c r="PN57" s="113"/>
      <c r="PO57" s="113"/>
      <c r="PP57" s="113"/>
      <c r="PQ57" s="113"/>
      <c r="PR57" s="113"/>
      <c r="PS57" s="113"/>
      <c r="PT57" s="113"/>
      <c r="PU57" s="113"/>
      <c r="PV57" s="113"/>
      <c r="PW57" s="113"/>
      <c r="PX57" s="113"/>
      <c r="PY57" s="113"/>
      <c r="PZ57" s="113"/>
      <c r="QA57" s="113"/>
      <c r="QB57" s="113"/>
      <c r="QC57" s="113"/>
      <c r="QD57" s="113"/>
      <c r="QE57" s="113"/>
      <c r="QF57" s="113"/>
      <c r="QG57" s="113"/>
      <c r="QH57" s="113"/>
      <c r="QI57" s="113"/>
      <c r="QJ57" s="113"/>
      <c r="QK57" s="113"/>
      <c r="QL57" s="113"/>
      <c r="QM57" s="113"/>
      <c r="QN57" s="113"/>
      <c r="QO57" s="113"/>
      <c r="QP57" s="113"/>
      <c r="QQ57" s="113"/>
      <c r="QR57" s="113"/>
      <c r="QS57" s="113"/>
      <c r="QT57" s="113"/>
      <c r="QU57" s="113"/>
      <c r="QV57" s="113"/>
      <c r="QW57" s="113"/>
      <c r="QX57" s="113"/>
      <c r="QY57" s="113"/>
      <c r="QZ57" s="113"/>
      <c r="RA57" s="113"/>
      <c r="RB57" s="113"/>
      <c r="RC57" s="113"/>
      <c r="RD57" s="113"/>
      <c r="RE57" s="113"/>
      <c r="RF57" s="113"/>
      <c r="RG57" s="113"/>
      <c r="RH57" s="113"/>
      <c r="RI57" s="113"/>
      <c r="RJ57" s="113"/>
      <c r="RK57" s="113"/>
      <c r="RL57" s="113"/>
      <c r="RM57" s="113"/>
      <c r="RN57" s="113"/>
      <c r="RO57" s="113"/>
      <c r="RP57" s="113"/>
      <c r="RQ57" s="113"/>
      <c r="RR57" s="113"/>
      <c r="RS57" s="113"/>
      <c r="RT57" s="113"/>
      <c r="RU57" s="113"/>
      <c r="RV57" s="113"/>
      <c r="RW57" s="113"/>
      <c r="RX57" s="113"/>
      <c r="RY57" s="113"/>
      <c r="RZ57" s="113"/>
      <c r="SA57" s="113"/>
      <c r="SB57" s="113"/>
      <c r="SC57" s="113"/>
      <c r="SD57" s="113"/>
      <c r="SE57" s="113"/>
      <c r="SF57" s="113"/>
      <c r="SG57" s="113"/>
      <c r="SH57" s="113"/>
      <c r="SI57" s="113"/>
      <c r="SJ57" s="113"/>
      <c r="SK57" s="113"/>
      <c r="SL57" s="113"/>
      <c r="SM57" s="113"/>
      <c r="SN57" s="113"/>
      <c r="SO57" s="113"/>
      <c r="SP57" s="113"/>
      <c r="SQ57" s="113"/>
      <c r="SR57" s="113"/>
      <c r="SS57" s="113"/>
      <c r="ST57" s="113"/>
      <c r="SU57" s="113"/>
      <c r="SV57" s="113"/>
      <c r="SW57" s="113"/>
      <c r="SX57" s="113"/>
      <c r="SY57" s="113"/>
      <c r="SZ57" s="113"/>
      <c r="TA57" s="113"/>
      <c r="TB57" s="113"/>
      <c r="TC57" s="113"/>
      <c r="TD57" s="113"/>
      <c r="TE57" s="113"/>
      <c r="TF57" s="113"/>
      <c r="TG57" s="113"/>
      <c r="TH57" s="113"/>
      <c r="TI57" s="113"/>
      <c r="TJ57" s="113"/>
      <c r="TK57" s="113"/>
      <c r="TL57" s="113"/>
      <c r="TM57" s="113"/>
      <c r="TN57" s="113"/>
      <c r="TO57" s="113"/>
      <c r="TP57" s="113"/>
      <c r="TQ57" s="113"/>
      <c r="TR57" s="113"/>
      <c r="TS57" s="113"/>
      <c r="TT57" s="113"/>
      <c r="TU57" s="113"/>
      <c r="TV57" s="113"/>
      <c r="TW57" s="113"/>
      <c r="TX57" s="113"/>
      <c r="TY57" s="113"/>
      <c r="TZ57" s="113"/>
      <c r="UA57" s="113"/>
      <c r="UB57" s="113"/>
      <c r="UC57" s="113"/>
      <c r="UD57" s="113"/>
      <c r="UE57" s="113"/>
      <c r="UF57" s="113"/>
      <c r="UG57" s="113"/>
      <c r="UH57" s="113"/>
      <c r="UI57" s="113"/>
      <c r="UJ57" s="113"/>
      <c r="UK57" s="113"/>
      <c r="UL57" s="113"/>
      <c r="UM57" s="113"/>
      <c r="UN57" s="113"/>
      <c r="UO57" s="113"/>
      <c r="UP57" s="113"/>
      <c r="UQ57" s="113"/>
      <c r="UR57" s="113"/>
      <c r="US57" s="113"/>
      <c r="UT57" s="113"/>
      <c r="UU57" s="113"/>
      <c r="UV57" s="113"/>
      <c r="UW57" s="113"/>
      <c r="UX57" s="113"/>
      <c r="UY57" s="113"/>
      <c r="UZ57" s="113"/>
      <c r="VA57" s="113"/>
      <c r="VB57" s="113"/>
      <c r="VC57" s="113"/>
      <c r="VD57" s="113"/>
      <c r="VE57" s="113"/>
      <c r="VF57" s="113"/>
      <c r="VG57" s="113"/>
      <c r="VH57" s="113"/>
      <c r="VI57" s="113"/>
      <c r="VJ57" s="113"/>
      <c r="VK57" s="113"/>
      <c r="VL57" s="113"/>
      <c r="VM57" s="113"/>
      <c r="VN57" s="113"/>
      <c r="VO57" s="113"/>
      <c r="VP57" s="113"/>
      <c r="VQ57" s="113"/>
      <c r="VR57" s="113"/>
      <c r="VS57" s="113"/>
      <c r="VT57" s="113"/>
      <c r="VU57" s="113"/>
      <c r="VV57" s="113"/>
      <c r="VW57" s="113"/>
      <c r="VX57" s="113"/>
      <c r="VY57" s="113"/>
      <c r="VZ57" s="113"/>
      <c r="WA57" s="113"/>
      <c r="WB57" s="113"/>
      <c r="WC57" s="113"/>
      <c r="WD57" s="113"/>
      <c r="WE57" s="113"/>
      <c r="WF57" s="113"/>
      <c r="WG57" s="113"/>
      <c r="WH57" s="113"/>
      <c r="WI57" s="113"/>
      <c r="WJ57" s="113"/>
      <c r="WK57" s="113"/>
      <c r="WL57" s="113"/>
      <c r="WM57" s="113"/>
      <c r="WN57" s="113"/>
      <c r="WO57" s="113"/>
      <c r="WP57" s="113"/>
      <c r="WQ57" s="113"/>
      <c r="WR57" s="113"/>
      <c r="WS57" s="113"/>
      <c r="WT57" s="113"/>
      <c r="WU57" s="113"/>
      <c r="WV57" s="113"/>
      <c r="WW57" s="113"/>
      <c r="WX57" s="113"/>
      <c r="WY57" s="113"/>
      <c r="WZ57" s="113"/>
      <c r="XA57" s="113"/>
      <c r="XB57" s="113"/>
      <c r="XC57" s="113"/>
      <c r="XD57" s="113"/>
      <c r="XE57" s="113"/>
      <c r="XF57" s="113"/>
      <c r="XG57" s="113"/>
      <c r="XH57" s="113"/>
      <c r="XI57" s="113"/>
      <c r="XJ57" s="113"/>
      <c r="XK57" s="113"/>
      <c r="XL57" s="113"/>
      <c r="XM57" s="113"/>
      <c r="XN57" s="113"/>
      <c r="XO57" s="113"/>
      <c r="XP57" s="113"/>
      <c r="XQ57" s="113"/>
      <c r="XR57" s="113"/>
      <c r="XS57" s="113"/>
      <c r="XT57" s="113"/>
      <c r="XU57" s="113"/>
      <c r="XV57" s="113"/>
      <c r="XW57" s="113"/>
      <c r="XX57" s="113"/>
      <c r="XY57" s="113"/>
      <c r="XZ57" s="113"/>
      <c r="YA57" s="113"/>
      <c r="YB57" s="113"/>
      <c r="YC57" s="113"/>
      <c r="YD57" s="113"/>
      <c r="YE57" s="113"/>
      <c r="YF57" s="113"/>
      <c r="YG57" s="113"/>
      <c r="YH57" s="113"/>
      <c r="YI57" s="113"/>
      <c r="YJ57" s="113"/>
      <c r="YK57" s="113"/>
      <c r="YL57" s="113"/>
      <c r="YM57" s="113"/>
      <c r="YN57" s="113"/>
      <c r="YO57" s="113"/>
      <c r="YP57" s="113"/>
      <c r="YQ57" s="113"/>
      <c r="YR57" s="113"/>
      <c r="YS57" s="113"/>
      <c r="YT57" s="113"/>
      <c r="YU57" s="113"/>
      <c r="YV57" s="113"/>
      <c r="YW57" s="113"/>
      <c r="YX57" s="113"/>
      <c r="YY57" s="113"/>
      <c r="YZ57" s="113"/>
      <c r="ZA57" s="113"/>
      <c r="ZB57" s="113"/>
      <c r="ZC57" s="113"/>
      <c r="ZD57" s="113"/>
      <c r="ZE57" s="113"/>
      <c r="ZF57" s="113"/>
      <c r="ZG57" s="113"/>
      <c r="ZH57" s="113"/>
      <c r="ZI57" s="113"/>
      <c r="ZJ57" s="113"/>
      <c r="ZK57" s="113"/>
      <c r="ZL57" s="113"/>
      <c r="ZM57" s="113"/>
      <c r="ZN57" s="113"/>
      <c r="ZO57" s="113"/>
      <c r="ZP57" s="113"/>
      <c r="ZQ57" s="113"/>
      <c r="ZR57" s="113"/>
      <c r="ZS57" s="113"/>
      <c r="ZT57" s="113"/>
      <c r="ZU57" s="113"/>
      <c r="ZV57" s="113"/>
      <c r="ZW57" s="113"/>
      <c r="ZX57" s="113"/>
      <c r="ZY57" s="113"/>
      <c r="ZZ57" s="113"/>
      <c r="AAA57" s="113"/>
      <c r="AAB57" s="113"/>
      <c r="AAC57" s="113"/>
      <c r="AAD57" s="113"/>
      <c r="AAE57" s="113"/>
      <c r="AAF57" s="113"/>
      <c r="AAG57" s="113"/>
      <c r="AAH57" s="113"/>
      <c r="AAI57" s="113"/>
      <c r="AAJ57" s="113"/>
      <c r="AAK57" s="113"/>
      <c r="AAL57" s="113"/>
      <c r="AAM57" s="113"/>
      <c r="AAN57" s="113"/>
      <c r="AAO57" s="113"/>
      <c r="AAP57" s="113"/>
      <c r="AAQ57" s="113"/>
      <c r="AAR57" s="113"/>
      <c r="AAS57" s="113"/>
      <c r="AAT57" s="113"/>
      <c r="AAU57" s="113"/>
      <c r="AAV57" s="113"/>
      <c r="AAW57" s="113"/>
      <c r="AAX57" s="113"/>
      <c r="AAY57" s="113"/>
      <c r="AAZ57" s="113"/>
      <c r="ABA57" s="113"/>
      <c r="ABB57" s="113"/>
      <c r="ABC57" s="113"/>
      <c r="ABD57" s="113"/>
      <c r="ABE57" s="113"/>
      <c r="ABF57" s="113"/>
      <c r="ABG57" s="113"/>
      <c r="ABH57" s="113"/>
      <c r="ABI57" s="113"/>
      <c r="ABJ57" s="113"/>
      <c r="ABK57" s="113"/>
      <c r="ABL57" s="113"/>
      <c r="ABM57" s="113"/>
      <c r="ABN57" s="113"/>
      <c r="ABO57" s="113"/>
      <c r="ABP57" s="113"/>
      <c r="ABQ57" s="113"/>
      <c r="ABR57" s="113"/>
      <c r="ABS57" s="113"/>
      <c r="ABT57" s="113"/>
      <c r="ABU57" s="113"/>
      <c r="ABV57" s="113"/>
      <c r="ABW57" s="113"/>
      <c r="ABX57" s="113"/>
      <c r="ABY57" s="113"/>
      <c r="ABZ57" s="113"/>
      <c r="ACA57" s="113"/>
      <c r="ACB57" s="113"/>
      <c r="ACC57" s="113"/>
      <c r="ACD57" s="113"/>
      <c r="ACE57" s="113"/>
      <c r="ACF57" s="113"/>
      <c r="ACG57" s="113"/>
      <c r="ACH57" s="113"/>
      <c r="ACI57" s="113"/>
      <c r="ACJ57" s="113"/>
      <c r="ACK57" s="113"/>
      <c r="ACL57" s="113"/>
      <c r="ACM57" s="113"/>
      <c r="ACN57" s="113"/>
      <c r="ACO57" s="113"/>
      <c r="ACP57" s="113"/>
      <c r="ACQ57" s="113"/>
      <c r="ACR57" s="113"/>
      <c r="ACS57" s="113"/>
      <c r="ACT57" s="113"/>
      <c r="ACU57" s="113"/>
      <c r="ACV57" s="113"/>
      <c r="ACW57" s="113"/>
      <c r="ACX57" s="113"/>
      <c r="ACY57" s="113"/>
      <c r="ACZ57" s="113"/>
      <c r="ADA57" s="113"/>
      <c r="ADB57" s="113"/>
      <c r="ADC57" s="113"/>
      <c r="ADD57" s="113"/>
      <c r="ADE57" s="113"/>
      <c r="ADF57" s="113"/>
      <c r="ADG57" s="113"/>
      <c r="ADH57" s="113"/>
      <c r="ADI57" s="113"/>
      <c r="ADJ57" s="113"/>
      <c r="ADK57" s="113"/>
      <c r="ADL57" s="113"/>
      <c r="ADM57" s="113"/>
      <c r="ADN57" s="113"/>
      <c r="ADO57" s="113"/>
      <c r="ADP57" s="113"/>
      <c r="ADQ57" s="113"/>
      <c r="ADR57" s="113"/>
      <c r="ADS57" s="113"/>
      <c r="ADT57" s="113"/>
      <c r="ADU57" s="113"/>
      <c r="ADV57" s="113"/>
      <c r="ADW57" s="113"/>
      <c r="ADX57" s="113"/>
      <c r="ADY57" s="113"/>
      <c r="ADZ57" s="113"/>
      <c r="AEA57" s="113"/>
      <c r="AEB57" s="113"/>
      <c r="AEC57" s="113"/>
      <c r="AED57" s="113"/>
      <c r="AEE57" s="113"/>
      <c r="AEF57" s="113"/>
      <c r="AEG57" s="113"/>
      <c r="AEH57" s="113"/>
      <c r="AEI57" s="113"/>
      <c r="AEJ57" s="113"/>
      <c r="AEK57" s="113"/>
      <c r="AEL57" s="113"/>
      <c r="AEM57" s="113"/>
      <c r="AEN57" s="113"/>
      <c r="AEO57" s="113"/>
      <c r="AEP57" s="113"/>
      <c r="AEQ57" s="113"/>
      <c r="AER57" s="113"/>
      <c r="AES57" s="113"/>
      <c r="AET57" s="113"/>
      <c r="AEU57" s="113"/>
      <c r="AEV57" s="113"/>
      <c r="AEW57" s="113"/>
      <c r="AEX57" s="113"/>
      <c r="AEY57" s="113"/>
      <c r="AEZ57" s="113"/>
      <c r="AFA57" s="113"/>
      <c r="AFB57" s="113"/>
      <c r="AFC57" s="113"/>
      <c r="AFD57" s="113"/>
      <c r="AFE57" s="113"/>
      <c r="AFF57" s="113"/>
      <c r="AFG57" s="113"/>
      <c r="AFH57" s="113"/>
      <c r="AFI57" s="113"/>
      <c r="AFJ57" s="113"/>
      <c r="AFK57" s="113"/>
      <c r="AFL57" s="113"/>
      <c r="AFM57" s="113"/>
      <c r="AFN57" s="113"/>
      <c r="AFO57" s="113"/>
      <c r="AFP57" s="113"/>
      <c r="AFQ57" s="113"/>
      <c r="AFR57" s="113"/>
      <c r="AFS57" s="113"/>
      <c r="AFT57" s="113"/>
      <c r="AFU57" s="113"/>
      <c r="AFV57" s="113"/>
      <c r="AFW57" s="113"/>
      <c r="AFX57" s="113"/>
      <c r="AFY57" s="113"/>
      <c r="AFZ57" s="113"/>
      <c r="AGA57" s="113"/>
      <c r="AGB57" s="113"/>
      <c r="AGC57" s="113"/>
      <c r="AGD57" s="113"/>
      <c r="AGE57" s="113"/>
      <c r="AGF57" s="113"/>
      <c r="AGG57" s="113"/>
      <c r="AGH57" s="113"/>
      <c r="AGI57" s="113"/>
      <c r="AGJ57" s="113"/>
      <c r="AGK57" s="113"/>
      <c r="AGL57" s="113"/>
      <c r="AGM57" s="113"/>
      <c r="AGN57" s="113"/>
      <c r="AGO57" s="113"/>
      <c r="AGP57" s="113"/>
      <c r="AGQ57" s="113"/>
      <c r="AGR57" s="113"/>
      <c r="AGS57" s="113"/>
      <c r="AGT57" s="113"/>
      <c r="AGU57" s="113"/>
      <c r="AGV57" s="113"/>
      <c r="AGW57" s="113"/>
      <c r="AGX57" s="113"/>
      <c r="AGY57" s="113"/>
      <c r="AGZ57" s="113"/>
      <c r="AHA57" s="113"/>
      <c r="AHB57" s="113"/>
      <c r="AHC57" s="113"/>
      <c r="AHD57" s="113"/>
      <c r="AHE57" s="113"/>
      <c r="AHF57" s="113"/>
      <c r="AHG57" s="113"/>
      <c r="AHH57" s="113"/>
      <c r="AHI57" s="113"/>
      <c r="AHJ57" s="113"/>
      <c r="AHK57" s="113"/>
      <c r="AHL57" s="113"/>
      <c r="AHM57" s="113"/>
      <c r="AHN57" s="113"/>
      <c r="AHO57" s="113"/>
      <c r="AHP57" s="113"/>
      <c r="AHQ57" s="113"/>
      <c r="AHR57" s="113"/>
      <c r="AHS57" s="113"/>
      <c r="AHT57" s="113"/>
      <c r="AHU57" s="113"/>
      <c r="AHV57" s="113"/>
      <c r="AHW57" s="113"/>
      <c r="AHX57" s="113"/>
      <c r="AHY57" s="113"/>
      <c r="AHZ57" s="113"/>
      <c r="AIA57" s="113"/>
      <c r="AIB57" s="113"/>
      <c r="AIC57" s="113"/>
      <c r="AID57" s="113"/>
      <c r="AIE57" s="113"/>
      <c r="AIF57" s="113"/>
      <c r="AIG57" s="113"/>
      <c r="AIH57" s="113"/>
      <c r="AII57" s="113"/>
      <c r="AIJ57" s="113"/>
      <c r="AIK57" s="113"/>
      <c r="AIL57" s="113"/>
      <c r="AIM57" s="113"/>
      <c r="AIN57" s="113"/>
      <c r="AIO57" s="113"/>
      <c r="AIP57" s="113"/>
      <c r="AIQ57" s="113"/>
      <c r="AIR57" s="113"/>
      <c r="AIS57" s="113"/>
      <c r="AIT57" s="113"/>
      <c r="AIU57" s="113"/>
      <c r="AIV57" s="113"/>
      <c r="AIW57" s="113"/>
      <c r="AIX57" s="113"/>
      <c r="AIY57" s="113"/>
      <c r="AIZ57" s="113"/>
    </row>
    <row r="58">
      <c r="A58" s="65" t="s">
        <v>7</v>
      </c>
      <c r="B58" s="65" t="s">
        <v>24</v>
      </c>
      <c r="C58" s="65"/>
      <c r="D58" s="64">
        <f t="shared" si="1"/>
        <v>439.6389667</v>
      </c>
      <c r="F58" s="65">
        <v>29.7318</v>
      </c>
      <c r="G58" s="65">
        <v>4.17056666666667</v>
      </c>
      <c r="H58" s="65">
        <v>1.87683333333333</v>
      </c>
      <c r="I58" s="65">
        <v>0.2708</v>
      </c>
      <c r="K58" s="65">
        <v>7.77155</v>
      </c>
      <c r="N58" s="65">
        <v>6.64511666666667</v>
      </c>
      <c r="Q58" s="65">
        <v>110.313466666666</v>
      </c>
      <c r="R58" s="65">
        <v>23.6053833333333</v>
      </c>
      <c r="S58" s="65">
        <v>10.7053666666667</v>
      </c>
      <c r="T58" s="65">
        <v>3.28531666666667</v>
      </c>
      <c r="X58" s="65">
        <v>66.8147833333334</v>
      </c>
      <c r="Y58" s="65">
        <v>11.6083166666667</v>
      </c>
      <c r="Z58" s="65">
        <v>2.47965</v>
      </c>
      <c r="AA58" s="65">
        <v>1.55128333333333</v>
      </c>
      <c r="AB58" s="65">
        <v>3.1821</v>
      </c>
      <c r="AE58" s="65">
        <v>29.2705</v>
      </c>
      <c r="AF58" s="65">
        <v>3.35045</v>
      </c>
      <c r="AG58" s="65">
        <v>1.1513</v>
      </c>
      <c r="AH58" s="65">
        <v>0.146216666666667</v>
      </c>
      <c r="AI58" s="65">
        <v>1.70703333333333</v>
      </c>
      <c r="AL58" s="65">
        <v>17.0141666666667</v>
      </c>
      <c r="AM58" s="65">
        <v>6.76936666666667</v>
      </c>
      <c r="AN58" s="65">
        <v>25.3527833333333</v>
      </c>
      <c r="AQ58" s="65">
        <v>7.69393333333333</v>
      </c>
      <c r="AR58" s="65">
        <v>18.1990833333333</v>
      </c>
      <c r="AU58" s="65">
        <v>44.9718</v>
      </c>
    </row>
    <row r="59">
      <c r="A59" s="65" t="s">
        <v>7</v>
      </c>
      <c r="B59" s="65" t="s">
        <v>24</v>
      </c>
      <c r="C59" s="65"/>
      <c r="D59" s="64">
        <f t="shared" si="1"/>
        <v>0</v>
      </c>
    </row>
    <row r="60">
      <c r="A60" s="65" t="s">
        <v>7</v>
      </c>
      <c r="B60" s="65" t="s">
        <v>24</v>
      </c>
      <c r="C60" s="65"/>
      <c r="D60" s="64">
        <f t="shared" si="1"/>
        <v>377.0710833</v>
      </c>
      <c r="F60" s="118">
        <f>HYPERLINK("https://docs.google.com/spreadsheets/d/15__Ll934xQytkyMbyfDRtfhFW1yPnVp3", 25.05935)</f>
        <v>25.05935</v>
      </c>
      <c r="G60" s="118">
        <f>HYPERLINK("https://docs.google.com/spreadsheets/d/1Rxx2ecPRRnnKXGfJl0d0n0mYIWdd_k-7", 4.17056666666667)</f>
        <v>4.170566667</v>
      </c>
      <c r="H60" s="118">
        <f>HYPERLINK("https://docs.google.com/spreadsheets/d/1wEpsAvJnt3qLZqHSwXejgg0hswsdkP4R", 1.87685)</f>
        <v>1.87685</v>
      </c>
      <c r="I60" s="118">
        <f>HYPERLINK("https://docs.google.com/spreadsheets/d/1HFtVUbsdVa_0v5X0jTqU7T8dhRg_6_kv", 0.1553)</f>
        <v>0.1553</v>
      </c>
      <c r="K60" s="118">
        <f>HYPERLINK("https://docs.google.com/spreadsheets/d/1yuiGyO6tM8l4lQiCBAYplun_u2nVv6bx", 7.77155)</f>
        <v>7.77155</v>
      </c>
      <c r="N60" s="118">
        <f>HYPERLINK("https://docs.google.com/spreadsheets/d/1HSGYjFZoSMjbKY6RSTsDopvAsLpTYUrk", 6.64511666666667)</f>
        <v>6.645116667</v>
      </c>
      <c r="Q60" s="118">
        <f>HYPERLINK("https://docs.google.com/spreadsheets/d/1cRklM6ldBTcqdY-OgnLI1LofsqxI2_4E", 88.7508166666666)</f>
        <v>88.75081667</v>
      </c>
      <c r="R60" s="118">
        <f>HYPERLINK("https://docs.google.com/spreadsheets/d/12Th2Lg-smeyQzDJIKmS_NBQ0jsuaBbQC", 22.0113333333333)</f>
        <v>22.01133333</v>
      </c>
      <c r="S60" s="118">
        <f>HYPERLINK("https://docs.google.com/spreadsheets/d/1xElAi3YrPJEXKvDFtu6b7JF8o-xY-5tN", 7.41826666666667)</f>
        <v>7.418266667</v>
      </c>
      <c r="T60" s="118">
        <f>HYPERLINK("https://docs.google.com/spreadsheets/d/1DiLSiDbcoQr3VBfZdKta6kkhF8krq2b2", 2.18383333333333)</f>
        <v>2.183833333</v>
      </c>
      <c r="X60" s="118">
        <f>HYPERLINK("https://docs.google.com/spreadsheets/d/1VyOSvPZrgALQ1yZQs4ms3EC1c5GQM1dx", 56.4046166666667)</f>
        <v>56.40461667</v>
      </c>
      <c r="Y60" s="118">
        <f>HYPERLINK("https://docs.google.com/spreadsheets/d/1E1Wrb3PiZ29toYHe6dX0DXhc0eecU7ox", 11.6083166666667)</f>
        <v>11.60831667</v>
      </c>
      <c r="Z60" s="118">
        <f>HYPERLINK("https://docs.google.com/spreadsheets/d/1mvaB0S5ItQwh3V-UGXkrovA0wxlH638t", 2.47965)</f>
        <v>2.47965</v>
      </c>
      <c r="AA60" s="118">
        <f>HYPERLINK("https://docs.google.com/spreadsheets/d/1hcDKFCoDhs54bNt7UlfnNGCJeVg_GFhg", 1.55128333333333)</f>
        <v>1.551283333</v>
      </c>
      <c r="AB60" s="118">
        <f>HYPERLINK("https://docs.google.com/spreadsheets/d/1nMuWRAPBMIyikexreOmySblHmErnWV8e", 3.18211666666667)</f>
        <v>3.182116667</v>
      </c>
      <c r="AE60" s="118">
        <f>HYPERLINK("https://docs.google.com/spreadsheets/d/1r4cdwg0_SdW822G_QfgS6MZQtalkZ7JN", 15.2589666666667)</f>
        <v>15.25896667</v>
      </c>
      <c r="AF60" s="118">
        <f>HYPERLINK("https://docs.google.com/spreadsheets/d/1YLTSVe7YJuLHbDNd9gMS3vZ6tmCwIf8k", 3.35045)</f>
        <v>3.35045</v>
      </c>
      <c r="AG60" s="118">
        <f>HYPERLINK("https://docs.google.com/spreadsheets/d/1HHY2LEvSkJ29xPTipoMRxWeUzpDslMWy", 1.03128333333333)</f>
        <v>1.031283333</v>
      </c>
      <c r="AH60" s="118">
        <f>HYPERLINK("https://docs.google.com/spreadsheets/d/1N4nBO-hxhOYmImqQjGv2SKyNng_VJVSW", 0.146216666666667)</f>
        <v>0.1462166667</v>
      </c>
      <c r="AI60" s="118">
        <f>HYPERLINK("https://docs.google.com/spreadsheets/d/1L7dt8uJ6ZuxVynsRXMPPAdDu2TJDSYb6", 1.70701666666667)</f>
        <v>1.707016667</v>
      </c>
      <c r="AL60" s="118">
        <f>HYPERLINK("https://docs.google.com/spreadsheets/d/13fbKFy9C7_KPmOyl7tUX-zxoVmOpMTQd", 11.5372333333333)</f>
        <v>11.53723333</v>
      </c>
      <c r="AM60" s="118">
        <f>HYPERLINK("https://docs.google.com/spreadsheets/d/1WRtg7IInludW4tcOOTNGdrsLFL05aQb7", 6.55341666666667)</f>
        <v>6.553416667</v>
      </c>
      <c r="AN60" s="118">
        <f>HYPERLINK("https://docs.google.com/spreadsheets/d/1o8cHg6DMEo5GaJDgK__SIk7SdRhVPbxI", 25.35275)</f>
        <v>25.35275</v>
      </c>
      <c r="AQ60" s="118">
        <f>HYPERLINK("https://docs.google.com/spreadsheets/d/1Qhq8sxdbMMVtNOwgpYjOd_iuasMGstKA", 7.69393333333333)</f>
        <v>7.693933333</v>
      </c>
      <c r="AR60" s="118">
        <f>HYPERLINK("https://docs.google.com/spreadsheets/d/1WF04YHXsO0VtDZmeO1WrPCrARhWg7qNx", 18.1990666666667)</f>
        <v>18.19906667</v>
      </c>
      <c r="AU60" s="118">
        <f>HYPERLINK("https://docs.google.com/spreadsheets/d/1oXBgzqjFzR60QQNoMr5Z2JsccEWmGzg6", 44.9717833333333)</f>
        <v>44.97178333</v>
      </c>
    </row>
    <row r="61">
      <c r="A61" s="65" t="s">
        <v>7</v>
      </c>
      <c r="B61" s="65" t="s">
        <v>24</v>
      </c>
      <c r="C61" s="65"/>
      <c r="D61" s="64">
        <f t="shared" si="1"/>
        <v>6.95205</v>
      </c>
      <c r="F61" s="65">
        <v>2.07708333333333</v>
      </c>
      <c r="G61" s="65">
        <v>0.101733333333333</v>
      </c>
      <c r="H61" s="65">
        <v>0.0</v>
      </c>
      <c r="I61" s="65">
        <v>0.0</v>
      </c>
      <c r="K61" s="65">
        <v>0.0</v>
      </c>
      <c r="N61" s="65">
        <v>0.0</v>
      </c>
      <c r="Q61" s="65">
        <v>0.915933333333333</v>
      </c>
      <c r="R61" s="65">
        <v>0.0</v>
      </c>
      <c r="S61" s="65">
        <v>0.0</v>
      </c>
      <c r="T61" s="65">
        <v>0.0</v>
      </c>
      <c r="X61" s="65">
        <v>1.6044</v>
      </c>
      <c r="Y61" s="65">
        <v>0.0</v>
      </c>
      <c r="Z61" s="65">
        <v>0.0</v>
      </c>
      <c r="AA61" s="65">
        <v>0.0</v>
      </c>
      <c r="AB61" s="65">
        <v>0.0</v>
      </c>
      <c r="AE61" s="65">
        <v>0.0</v>
      </c>
      <c r="AF61" s="65">
        <v>0.0</v>
      </c>
      <c r="AG61" s="65">
        <v>0.0</v>
      </c>
      <c r="AH61" s="65">
        <v>0.0</v>
      </c>
      <c r="AI61" s="65">
        <v>0.0</v>
      </c>
      <c r="AL61" s="65">
        <v>0.0503666666666667</v>
      </c>
      <c r="AM61" s="65">
        <v>0.0</v>
      </c>
      <c r="AN61" s="65">
        <v>2.20253333333333</v>
      </c>
      <c r="AQ61" s="65">
        <v>0.0</v>
      </c>
      <c r="AR61" s="65">
        <v>0.0</v>
      </c>
      <c r="AU61" s="65">
        <v>0.0</v>
      </c>
    </row>
    <row r="62">
      <c r="A62" s="119" t="s">
        <v>7</v>
      </c>
      <c r="B62" s="119" t="s">
        <v>24</v>
      </c>
      <c r="C62" s="119"/>
      <c r="D62" s="120">
        <f t="shared" si="1"/>
        <v>0</v>
      </c>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0"/>
      <c r="CE62" s="120"/>
      <c r="CF62" s="120"/>
      <c r="CG62" s="120"/>
      <c r="CH62" s="120"/>
      <c r="CI62" s="120"/>
      <c r="CJ62" s="120"/>
      <c r="CK62" s="120"/>
      <c r="CL62" s="120"/>
      <c r="CM62" s="120"/>
      <c r="CN62" s="120"/>
      <c r="CO62" s="120"/>
      <c r="CP62" s="120"/>
      <c r="CQ62" s="120"/>
      <c r="CR62" s="120"/>
      <c r="CS62" s="120"/>
      <c r="CT62" s="120"/>
      <c r="CU62" s="120"/>
      <c r="CV62" s="120"/>
      <c r="CW62" s="120"/>
      <c r="CX62" s="120"/>
      <c r="CY62" s="120"/>
      <c r="CZ62" s="120"/>
      <c r="DA62" s="120"/>
      <c r="DB62" s="120"/>
      <c r="DC62" s="120"/>
      <c r="DD62" s="120"/>
      <c r="DE62" s="120"/>
      <c r="DF62" s="120"/>
      <c r="DG62" s="120"/>
      <c r="DH62" s="120"/>
      <c r="DI62" s="120"/>
      <c r="DJ62" s="120"/>
      <c r="DK62" s="120"/>
      <c r="DL62" s="120"/>
      <c r="DM62" s="120"/>
      <c r="DN62" s="120"/>
      <c r="DO62" s="120"/>
      <c r="DP62" s="120"/>
      <c r="DQ62" s="120"/>
      <c r="DR62" s="120"/>
      <c r="DS62" s="120"/>
      <c r="DT62" s="120"/>
      <c r="DU62" s="120"/>
      <c r="DV62" s="120"/>
      <c r="DW62" s="120"/>
      <c r="DX62" s="120"/>
      <c r="DY62" s="120"/>
      <c r="DZ62" s="120"/>
      <c r="EA62" s="120"/>
      <c r="EB62" s="120"/>
      <c r="EC62" s="120"/>
      <c r="ED62" s="120"/>
      <c r="EE62" s="120"/>
      <c r="EF62" s="120"/>
      <c r="EG62" s="120"/>
      <c r="EH62" s="120"/>
      <c r="EI62" s="120"/>
      <c r="EJ62" s="120"/>
      <c r="EK62" s="120"/>
      <c r="EL62" s="120"/>
      <c r="EM62" s="120"/>
      <c r="EN62" s="120"/>
      <c r="EO62" s="120"/>
      <c r="EP62" s="120"/>
      <c r="EQ62" s="120"/>
      <c r="ER62" s="120"/>
      <c r="ES62" s="120"/>
      <c r="ET62" s="120"/>
      <c r="EU62" s="120"/>
      <c r="EV62" s="120"/>
      <c r="EW62" s="120"/>
      <c r="EX62" s="120"/>
      <c r="EY62" s="120"/>
      <c r="EZ62" s="120"/>
      <c r="FA62" s="120"/>
      <c r="FB62" s="120"/>
      <c r="FC62" s="120"/>
      <c r="FD62" s="120"/>
      <c r="FE62" s="120"/>
      <c r="FF62" s="120"/>
      <c r="FG62" s="120"/>
      <c r="FH62" s="120"/>
      <c r="FI62" s="120"/>
      <c r="FJ62" s="120"/>
      <c r="FK62" s="120"/>
      <c r="FL62" s="120"/>
      <c r="FM62" s="120"/>
      <c r="FN62" s="120"/>
      <c r="FO62" s="120"/>
      <c r="FP62" s="120"/>
      <c r="FQ62" s="120"/>
      <c r="FR62" s="120"/>
      <c r="FS62" s="120"/>
      <c r="FT62" s="120"/>
      <c r="FU62" s="120"/>
      <c r="FV62" s="120"/>
      <c r="FW62" s="120"/>
      <c r="FX62" s="120"/>
      <c r="FY62" s="120"/>
      <c r="FZ62" s="120"/>
      <c r="GA62" s="120"/>
      <c r="GB62" s="120"/>
      <c r="GC62" s="120"/>
      <c r="GD62" s="120"/>
      <c r="GE62" s="120"/>
      <c r="GF62" s="120"/>
      <c r="GG62" s="120"/>
      <c r="GH62" s="120"/>
      <c r="GI62" s="120"/>
      <c r="GJ62" s="120"/>
      <c r="GK62" s="120"/>
      <c r="GL62" s="120"/>
      <c r="GM62" s="120"/>
      <c r="GN62" s="120"/>
      <c r="GO62" s="120"/>
      <c r="GP62" s="120"/>
      <c r="GQ62" s="120"/>
      <c r="GR62" s="120"/>
      <c r="GS62" s="120"/>
      <c r="GT62" s="120"/>
      <c r="GU62" s="120"/>
      <c r="GV62" s="120"/>
      <c r="GW62" s="120"/>
      <c r="GX62" s="120"/>
      <c r="GY62" s="120"/>
      <c r="GZ62" s="120"/>
      <c r="HA62" s="120"/>
      <c r="HB62" s="120"/>
      <c r="HC62" s="120"/>
      <c r="HD62" s="120"/>
      <c r="HE62" s="120"/>
      <c r="HF62" s="120"/>
      <c r="HG62" s="120"/>
      <c r="HH62" s="120"/>
      <c r="HI62" s="120"/>
      <c r="HJ62" s="120"/>
      <c r="HK62" s="120"/>
      <c r="HL62" s="120"/>
      <c r="HM62" s="120"/>
      <c r="HN62" s="120"/>
      <c r="HO62" s="120"/>
      <c r="HP62" s="120"/>
      <c r="HQ62" s="120"/>
      <c r="HR62" s="120"/>
      <c r="HS62" s="120"/>
      <c r="HT62" s="120"/>
      <c r="HU62" s="120"/>
      <c r="HV62" s="120"/>
      <c r="HW62" s="120"/>
      <c r="HX62" s="120"/>
      <c r="HY62" s="120"/>
      <c r="HZ62" s="120"/>
      <c r="IA62" s="120"/>
      <c r="IB62" s="120"/>
      <c r="IC62" s="120"/>
      <c r="ID62" s="120"/>
      <c r="IE62" s="120"/>
      <c r="IF62" s="120"/>
      <c r="IG62" s="120"/>
      <c r="IH62" s="120"/>
      <c r="II62" s="120"/>
      <c r="IJ62" s="120"/>
      <c r="IK62" s="120"/>
      <c r="IL62" s="120"/>
      <c r="IM62" s="120"/>
      <c r="IN62" s="120"/>
      <c r="IO62" s="120"/>
      <c r="IP62" s="120"/>
      <c r="IQ62" s="120"/>
      <c r="IR62" s="120"/>
      <c r="IS62" s="120"/>
      <c r="IT62" s="120"/>
      <c r="IU62" s="120"/>
      <c r="IV62" s="120"/>
      <c r="IW62" s="120"/>
      <c r="IX62" s="120"/>
      <c r="IY62" s="120"/>
      <c r="IZ62" s="120"/>
      <c r="JA62" s="120"/>
      <c r="JB62" s="120"/>
      <c r="JC62" s="120"/>
      <c r="JD62" s="120"/>
      <c r="JE62" s="120"/>
      <c r="JF62" s="120"/>
      <c r="JG62" s="120"/>
      <c r="JH62" s="120"/>
      <c r="JI62" s="120"/>
      <c r="JJ62" s="120"/>
      <c r="JK62" s="120"/>
      <c r="JL62" s="120"/>
      <c r="JM62" s="120"/>
      <c r="JN62" s="120"/>
      <c r="JO62" s="120"/>
      <c r="JP62" s="120"/>
      <c r="JQ62" s="120"/>
      <c r="JR62" s="120"/>
      <c r="JS62" s="120"/>
      <c r="JT62" s="120"/>
      <c r="JU62" s="120"/>
      <c r="JV62" s="120"/>
      <c r="JW62" s="120"/>
      <c r="JX62" s="120"/>
      <c r="JY62" s="120"/>
      <c r="JZ62" s="120"/>
      <c r="KA62" s="120"/>
      <c r="KB62" s="120"/>
      <c r="KC62" s="120"/>
      <c r="KD62" s="120"/>
      <c r="KE62" s="120"/>
      <c r="KF62" s="120"/>
      <c r="KG62" s="120"/>
      <c r="KH62" s="120"/>
      <c r="KI62" s="120"/>
      <c r="KJ62" s="120"/>
      <c r="KK62" s="120"/>
      <c r="KL62" s="120"/>
      <c r="KM62" s="120"/>
      <c r="KN62" s="120"/>
      <c r="KO62" s="120"/>
      <c r="KP62" s="120"/>
      <c r="KQ62" s="120"/>
      <c r="KR62" s="120"/>
      <c r="KS62" s="120"/>
      <c r="KT62" s="120"/>
      <c r="KU62" s="120"/>
      <c r="KV62" s="120"/>
      <c r="KW62" s="120"/>
      <c r="KX62" s="120"/>
      <c r="KY62" s="120"/>
      <c r="KZ62" s="120"/>
      <c r="LA62" s="120"/>
      <c r="LB62" s="120"/>
      <c r="LC62" s="120"/>
      <c r="LD62" s="120"/>
      <c r="LE62" s="120"/>
      <c r="LF62" s="120"/>
      <c r="LG62" s="120"/>
      <c r="LH62" s="120"/>
      <c r="LI62" s="120"/>
      <c r="LJ62" s="120"/>
      <c r="LK62" s="120"/>
      <c r="LL62" s="120"/>
      <c r="LM62" s="120"/>
      <c r="LN62" s="120"/>
      <c r="LO62" s="120"/>
      <c r="LP62" s="120"/>
      <c r="LQ62" s="120"/>
      <c r="LR62" s="120"/>
      <c r="LS62" s="120"/>
      <c r="LT62" s="120"/>
      <c r="LU62" s="120"/>
      <c r="LV62" s="120"/>
      <c r="LW62" s="120"/>
      <c r="LX62" s="120"/>
      <c r="LY62" s="120"/>
      <c r="LZ62" s="120"/>
      <c r="MA62" s="120"/>
      <c r="MB62" s="120"/>
      <c r="MC62" s="120"/>
      <c r="MD62" s="120"/>
      <c r="ME62" s="120"/>
      <c r="MF62" s="120"/>
      <c r="MG62" s="120"/>
      <c r="MH62" s="120"/>
      <c r="MI62" s="120"/>
      <c r="MJ62" s="120"/>
      <c r="MK62" s="120"/>
      <c r="ML62" s="120"/>
      <c r="MM62" s="120"/>
      <c r="MN62" s="120"/>
      <c r="MO62" s="120"/>
      <c r="MP62" s="120"/>
      <c r="MQ62" s="120"/>
      <c r="MR62" s="120"/>
      <c r="MS62" s="120"/>
      <c r="MT62" s="120"/>
      <c r="MU62" s="120"/>
      <c r="MV62" s="120"/>
      <c r="MW62" s="120"/>
      <c r="MX62" s="120"/>
      <c r="MY62" s="120"/>
      <c r="MZ62" s="120"/>
      <c r="NA62" s="120"/>
      <c r="NB62" s="120"/>
      <c r="NC62" s="120"/>
      <c r="ND62" s="120"/>
      <c r="NE62" s="120"/>
      <c r="NF62" s="120"/>
      <c r="NG62" s="120"/>
      <c r="NH62" s="120"/>
      <c r="NI62" s="120"/>
      <c r="NJ62" s="120"/>
      <c r="NK62" s="120"/>
      <c r="NL62" s="120"/>
      <c r="NM62" s="120"/>
      <c r="NN62" s="120"/>
      <c r="NO62" s="120"/>
      <c r="NP62" s="120"/>
      <c r="NQ62" s="120"/>
      <c r="NR62" s="120"/>
      <c r="NS62" s="120"/>
      <c r="NT62" s="120"/>
      <c r="NU62" s="120"/>
      <c r="NV62" s="120"/>
      <c r="NW62" s="120"/>
      <c r="NX62" s="120"/>
      <c r="NY62" s="120"/>
      <c r="NZ62" s="120"/>
      <c r="OA62" s="120"/>
      <c r="OB62" s="120"/>
      <c r="OC62" s="120"/>
      <c r="OD62" s="120"/>
      <c r="OE62" s="120"/>
      <c r="OF62" s="120"/>
      <c r="OG62" s="120"/>
      <c r="OH62" s="120"/>
      <c r="OI62" s="120"/>
      <c r="OJ62" s="120"/>
      <c r="OK62" s="120"/>
      <c r="OL62" s="120"/>
      <c r="OM62" s="120"/>
      <c r="ON62" s="120"/>
      <c r="OO62" s="120"/>
      <c r="OP62" s="120"/>
      <c r="OQ62" s="120"/>
      <c r="OR62" s="120"/>
      <c r="OS62" s="120"/>
      <c r="OT62" s="120"/>
      <c r="OU62" s="120"/>
      <c r="OV62" s="120"/>
      <c r="OW62" s="120"/>
      <c r="OX62" s="120"/>
      <c r="OY62" s="120"/>
      <c r="OZ62" s="120"/>
      <c r="PA62" s="120"/>
      <c r="PB62" s="120"/>
      <c r="PC62" s="120"/>
      <c r="PD62" s="120"/>
      <c r="PE62" s="120"/>
      <c r="PF62" s="120"/>
      <c r="PG62" s="120"/>
      <c r="PH62" s="120"/>
      <c r="PI62" s="120"/>
      <c r="PJ62" s="120"/>
      <c r="PK62" s="120"/>
      <c r="PL62" s="120"/>
      <c r="PM62" s="120"/>
      <c r="PN62" s="120"/>
      <c r="PO62" s="120"/>
      <c r="PP62" s="120"/>
      <c r="PQ62" s="120"/>
      <c r="PR62" s="120"/>
      <c r="PS62" s="120"/>
      <c r="PT62" s="120"/>
      <c r="PU62" s="120"/>
      <c r="PV62" s="120"/>
      <c r="PW62" s="120"/>
      <c r="PX62" s="120"/>
      <c r="PY62" s="120"/>
      <c r="PZ62" s="120"/>
      <c r="QA62" s="120"/>
      <c r="QB62" s="120"/>
      <c r="QC62" s="120"/>
      <c r="QD62" s="120"/>
      <c r="QE62" s="120"/>
      <c r="QF62" s="120"/>
      <c r="QG62" s="120"/>
      <c r="QH62" s="120"/>
      <c r="QI62" s="120"/>
      <c r="QJ62" s="120"/>
      <c r="QK62" s="120"/>
      <c r="QL62" s="120"/>
      <c r="QM62" s="120"/>
      <c r="QN62" s="120"/>
      <c r="QO62" s="120"/>
      <c r="QP62" s="120"/>
      <c r="QQ62" s="120"/>
      <c r="QR62" s="120"/>
      <c r="QS62" s="120"/>
      <c r="QT62" s="120"/>
      <c r="QU62" s="120"/>
      <c r="QV62" s="120"/>
      <c r="QW62" s="120"/>
      <c r="QX62" s="120"/>
      <c r="QY62" s="120"/>
      <c r="QZ62" s="120"/>
      <c r="RA62" s="120"/>
      <c r="RB62" s="120"/>
      <c r="RC62" s="120"/>
      <c r="RD62" s="120"/>
      <c r="RE62" s="120"/>
      <c r="RF62" s="120"/>
      <c r="RG62" s="120"/>
      <c r="RH62" s="120"/>
      <c r="RI62" s="120"/>
      <c r="RJ62" s="120"/>
      <c r="RK62" s="120"/>
      <c r="RL62" s="120"/>
      <c r="RM62" s="120"/>
      <c r="RN62" s="120"/>
      <c r="RO62" s="120"/>
      <c r="RP62" s="120"/>
      <c r="RQ62" s="120"/>
      <c r="RR62" s="120"/>
      <c r="RS62" s="120"/>
      <c r="RT62" s="120"/>
      <c r="RU62" s="120"/>
      <c r="RV62" s="120"/>
      <c r="RW62" s="120"/>
      <c r="RX62" s="120"/>
      <c r="RY62" s="120"/>
      <c r="RZ62" s="120"/>
      <c r="SA62" s="120"/>
      <c r="SB62" s="120"/>
      <c r="SC62" s="120"/>
      <c r="SD62" s="120"/>
      <c r="SE62" s="120"/>
      <c r="SF62" s="120"/>
      <c r="SG62" s="120"/>
      <c r="SH62" s="120"/>
      <c r="SI62" s="120"/>
      <c r="SJ62" s="120"/>
      <c r="SK62" s="120"/>
      <c r="SL62" s="120"/>
      <c r="SM62" s="120"/>
      <c r="SN62" s="120"/>
      <c r="SO62" s="120"/>
      <c r="SP62" s="120"/>
      <c r="SQ62" s="120"/>
      <c r="SR62" s="120"/>
      <c r="SS62" s="120"/>
      <c r="ST62" s="120"/>
      <c r="SU62" s="120"/>
      <c r="SV62" s="120"/>
      <c r="SW62" s="120"/>
      <c r="SX62" s="120"/>
      <c r="SY62" s="120"/>
      <c r="SZ62" s="120"/>
      <c r="TA62" s="120"/>
      <c r="TB62" s="120"/>
      <c r="TC62" s="120"/>
      <c r="TD62" s="120"/>
      <c r="TE62" s="120"/>
      <c r="TF62" s="120"/>
      <c r="TG62" s="120"/>
      <c r="TH62" s="120"/>
      <c r="TI62" s="120"/>
      <c r="TJ62" s="120"/>
      <c r="TK62" s="120"/>
      <c r="TL62" s="120"/>
      <c r="TM62" s="120"/>
      <c r="TN62" s="120"/>
      <c r="TO62" s="120"/>
      <c r="TP62" s="120"/>
      <c r="TQ62" s="120"/>
      <c r="TR62" s="120"/>
      <c r="TS62" s="120"/>
      <c r="TT62" s="120"/>
      <c r="TU62" s="120"/>
      <c r="TV62" s="120"/>
      <c r="TW62" s="120"/>
      <c r="TX62" s="120"/>
      <c r="TY62" s="120"/>
      <c r="TZ62" s="120"/>
      <c r="UA62" s="120"/>
      <c r="UB62" s="120"/>
      <c r="UC62" s="120"/>
      <c r="UD62" s="120"/>
      <c r="UE62" s="120"/>
      <c r="UF62" s="120"/>
      <c r="UG62" s="120"/>
      <c r="UH62" s="120"/>
      <c r="UI62" s="120"/>
      <c r="UJ62" s="120"/>
      <c r="UK62" s="120"/>
      <c r="UL62" s="120"/>
      <c r="UM62" s="120"/>
      <c r="UN62" s="120"/>
      <c r="UO62" s="120"/>
      <c r="UP62" s="120"/>
      <c r="UQ62" s="120"/>
      <c r="UR62" s="120"/>
      <c r="US62" s="120"/>
      <c r="UT62" s="120"/>
      <c r="UU62" s="120"/>
      <c r="UV62" s="120"/>
      <c r="UW62" s="120"/>
      <c r="UX62" s="120"/>
      <c r="UY62" s="120"/>
      <c r="UZ62" s="120"/>
      <c r="VA62" s="120"/>
      <c r="VB62" s="120"/>
      <c r="VC62" s="120"/>
      <c r="VD62" s="120"/>
      <c r="VE62" s="120"/>
      <c r="VF62" s="120"/>
      <c r="VG62" s="120"/>
      <c r="VH62" s="120"/>
      <c r="VI62" s="120"/>
      <c r="VJ62" s="120"/>
      <c r="VK62" s="120"/>
      <c r="VL62" s="120"/>
      <c r="VM62" s="120"/>
      <c r="VN62" s="120"/>
      <c r="VO62" s="120"/>
      <c r="VP62" s="120"/>
      <c r="VQ62" s="120"/>
      <c r="VR62" s="120"/>
      <c r="VS62" s="120"/>
      <c r="VT62" s="120"/>
      <c r="VU62" s="120"/>
      <c r="VV62" s="120"/>
      <c r="VW62" s="120"/>
      <c r="VX62" s="120"/>
      <c r="VY62" s="120"/>
      <c r="VZ62" s="120"/>
      <c r="WA62" s="120"/>
      <c r="WB62" s="120"/>
      <c r="WC62" s="120"/>
      <c r="WD62" s="120"/>
      <c r="WE62" s="120"/>
      <c r="WF62" s="120"/>
      <c r="WG62" s="120"/>
      <c r="WH62" s="120"/>
      <c r="WI62" s="120"/>
      <c r="WJ62" s="120"/>
      <c r="WK62" s="120"/>
      <c r="WL62" s="120"/>
      <c r="WM62" s="120"/>
      <c r="WN62" s="120"/>
      <c r="WO62" s="120"/>
      <c r="WP62" s="120"/>
      <c r="WQ62" s="120"/>
      <c r="WR62" s="120"/>
      <c r="WS62" s="120"/>
      <c r="WT62" s="120"/>
      <c r="WU62" s="120"/>
      <c r="WV62" s="120"/>
      <c r="WW62" s="120"/>
      <c r="WX62" s="120"/>
      <c r="WY62" s="120"/>
      <c r="WZ62" s="120"/>
      <c r="XA62" s="120"/>
      <c r="XB62" s="120"/>
      <c r="XC62" s="120"/>
      <c r="XD62" s="120"/>
      <c r="XE62" s="120"/>
      <c r="XF62" s="120"/>
      <c r="XG62" s="120"/>
      <c r="XH62" s="120"/>
      <c r="XI62" s="120"/>
      <c r="XJ62" s="120"/>
      <c r="XK62" s="120"/>
      <c r="XL62" s="120"/>
      <c r="XM62" s="120"/>
      <c r="XN62" s="120"/>
      <c r="XO62" s="120"/>
      <c r="XP62" s="120"/>
      <c r="XQ62" s="120"/>
      <c r="XR62" s="120"/>
      <c r="XS62" s="120"/>
      <c r="XT62" s="120"/>
      <c r="XU62" s="120"/>
      <c r="XV62" s="120"/>
      <c r="XW62" s="120"/>
      <c r="XX62" s="120"/>
      <c r="XY62" s="120"/>
      <c r="XZ62" s="120"/>
      <c r="YA62" s="120"/>
      <c r="YB62" s="120"/>
      <c r="YC62" s="120"/>
      <c r="YD62" s="120"/>
      <c r="YE62" s="120"/>
      <c r="YF62" s="120"/>
      <c r="YG62" s="120"/>
      <c r="YH62" s="120"/>
      <c r="YI62" s="120"/>
      <c r="YJ62" s="120"/>
      <c r="YK62" s="120"/>
      <c r="YL62" s="120"/>
      <c r="YM62" s="120"/>
      <c r="YN62" s="120"/>
      <c r="YO62" s="120"/>
      <c r="YP62" s="120"/>
      <c r="YQ62" s="120"/>
      <c r="YR62" s="120"/>
      <c r="YS62" s="120"/>
      <c r="YT62" s="120"/>
      <c r="YU62" s="120"/>
      <c r="YV62" s="120"/>
      <c r="YW62" s="120"/>
      <c r="YX62" s="120"/>
      <c r="YY62" s="120"/>
      <c r="YZ62" s="120"/>
      <c r="ZA62" s="120"/>
      <c r="ZB62" s="120"/>
      <c r="ZC62" s="120"/>
      <c r="ZD62" s="120"/>
      <c r="ZE62" s="120"/>
      <c r="ZF62" s="120"/>
      <c r="ZG62" s="120"/>
      <c r="ZH62" s="120"/>
      <c r="ZI62" s="120"/>
      <c r="ZJ62" s="120"/>
      <c r="ZK62" s="120"/>
      <c r="ZL62" s="120"/>
      <c r="ZM62" s="120"/>
      <c r="ZN62" s="120"/>
      <c r="ZO62" s="120"/>
      <c r="ZP62" s="120"/>
      <c r="ZQ62" s="120"/>
      <c r="ZR62" s="120"/>
      <c r="ZS62" s="120"/>
      <c r="ZT62" s="120"/>
      <c r="ZU62" s="120"/>
      <c r="ZV62" s="120"/>
      <c r="ZW62" s="120"/>
      <c r="ZX62" s="120"/>
      <c r="ZY62" s="120"/>
      <c r="ZZ62" s="120"/>
      <c r="AAA62" s="120"/>
      <c r="AAB62" s="120"/>
      <c r="AAC62" s="120"/>
      <c r="AAD62" s="120"/>
      <c r="AAE62" s="120"/>
      <c r="AAF62" s="120"/>
      <c r="AAG62" s="120"/>
      <c r="AAH62" s="120"/>
      <c r="AAI62" s="120"/>
      <c r="AAJ62" s="120"/>
      <c r="AAK62" s="120"/>
      <c r="AAL62" s="120"/>
      <c r="AAM62" s="120"/>
      <c r="AAN62" s="120"/>
      <c r="AAO62" s="120"/>
      <c r="AAP62" s="120"/>
      <c r="AAQ62" s="120"/>
      <c r="AAR62" s="120"/>
      <c r="AAS62" s="120"/>
      <c r="AAT62" s="120"/>
      <c r="AAU62" s="120"/>
      <c r="AAV62" s="120"/>
      <c r="AAW62" s="120"/>
      <c r="AAX62" s="120"/>
      <c r="AAY62" s="120"/>
      <c r="AAZ62" s="120"/>
      <c r="ABA62" s="120"/>
      <c r="ABB62" s="120"/>
      <c r="ABC62" s="120"/>
      <c r="ABD62" s="120"/>
      <c r="ABE62" s="120"/>
      <c r="ABF62" s="120"/>
      <c r="ABG62" s="120"/>
      <c r="ABH62" s="120"/>
      <c r="ABI62" s="120"/>
      <c r="ABJ62" s="120"/>
      <c r="ABK62" s="120"/>
      <c r="ABL62" s="120"/>
      <c r="ABM62" s="120"/>
      <c r="ABN62" s="120"/>
      <c r="ABO62" s="120"/>
      <c r="ABP62" s="120"/>
      <c r="ABQ62" s="120"/>
      <c r="ABR62" s="120"/>
      <c r="ABS62" s="120"/>
      <c r="ABT62" s="120"/>
      <c r="ABU62" s="120"/>
      <c r="ABV62" s="120"/>
      <c r="ABW62" s="120"/>
      <c r="ABX62" s="120"/>
      <c r="ABY62" s="120"/>
      <c r="ABZ62" s="120"/>
      <c r="ACA62" s="120"/>
      <c r="ACB62" s="120"/>
      <c r="ACC62" s="120"/>
      <c r="ACD62" s="120"/>
      <c r="ACE62" s="120"/>
      <c r="ACF62" s="120"/>
      <c r="ACG62" s="120"/>
      <c r="ACH62" s="120"/>
      <c r="ACI62" s="120"/>
      <c r="ACJ62" s="120"/>
      <c r="ACK62" s="120"/>
      <c r="ACL62" s="120"/>
      <c r="ACM62" s="120"/>
      <c r="ACN62" s="120"/>
      <c r="ACO62" s="120"/>
      <c r="ACP62" s="120"/>
      <c r="ACQ62" s="120"/>
      <c r="ACR62" s="120"/>
      <c r="ACS62" s="120"/>
      <c r="ACT62" s="120"/>
      <c r="ACU62" s="120"/>
      <c r="ACV62" s="120"/>
      <c r="ACW62" s="120"/>
      <c r="ACX62" s="120"/>
      <c r="ACY62" s="120"/>
      <c r="ACZ62" s="120"/>
      <c r="ADA62" s="120"/>
      <c r="ADB62" s="120"/>
      <c r="ADC62" s="120"/>
      <c r="ADD62" s="120"/>
      <c r="ADE62" s="120"/>
      <c r="ADF62" s="120"/>
      <c r="ADG62" s="120"/>
      <c r="ADH62" s="120"/>
      <c r="ADI62" s="120"/>
      <c r="ADJ62" s="120"/>
      <c r="ADK62" s="120"/>
      <c r="ADL62" s="120"/>
      <c r="ADM62" s="120"/>
      <c r="ADN62" s="120"/>
      <c r="ADO62" s="120"/>
      <c r="ADP62" s="120"/>
      <c r="ADQ62" s="120"/>
      <c r="ADR62" s="120"/>
      <c r="ADS62" s="120"/>
      <c r="ADT62" s="120"/>
      <c r="ADU62" s="120"/>
      <c r="ADV62" s="120"/>
      <c r="ADW62" s="120"/>
      <c r="ADX62" s="120"/>
      <c r="ADY62" s="120"/>
      <c r="ADZ62" s="120"/>
      <c r="AEA62" s="120"/>
      <c r="AEB62" s="120"/>
      <c r="AEC62" s="120"/>
      <c r="AED62" s="120"/>
      <c r="AEE62" s="120"/>
      <c r="AEF62" s="120"/>
      <c r="AEG62" s="120"/>
      <c r="AEH62" s="120"/>
      <c r="AEI62" s="120"/>
      <c r="AEJ62" s="120"/>
      <c r="AEK62" s="120"/>
      <c r="AEL62" s="120"/>
      <c r="AEM62" s="120"/>
      <c r="AEN62" s="120"/>
      <c r="AEO62" s="120"/>
      <c r="AEP62" s="120"/>
      <c r="AEQ62" s="120"/>
      <c r="AER62" s="120"/>
      <c r="AES62" s="120"/>
      <c r="AET62" s="120"/>
      <c r="AEU62" s="120"/>
      <c r="AEV62" s="120"/>
      <c r="AEW62" s="120"/>
      <c r="AEX62" s="120"/>
      <c r="AEY62" s="120"/>
      <c r="AEZ62" s="120"/>
      <c r="AFA62" s="120"/>
      <c r="AFB62" s="120"/>
      <c r="AFC62" s="120"/>
      <c r="AFD62" s="120"/>
      <c r="AFE62" s="120"/>
      <c r="AFF62" s="120"/>
      <c r="AFG62" s="120"/>
      <c r="AFH62" s="120"/>
      <c r="AFI62" s="120"/>
      <c r="AFJ62" s="120"/>
      <c r="AFK62" s="120"/>
      <c r="AFL62" s="120"/>
      <c r="AFM62" s="120"/>
      <c r="AFN62" s="120"/>
      <c r="AFO62" s="120"/>
      <c r="AFP62" s="120"/>
      <c r="AFQ62" s="120"/>
      <c r="AFR62" s="120"/>
      <c r="AFS62" s="120"/>
      <c r="AFT62" s="120"/>
      <c r="AFU62" s="120"/>
      <c r="AFV62" s="120"/>
      <c r="AFW62" s="120"/>
      <c r="AFX62" s="120"/>
      <c r="AFY62" s="120"/>
      <c r="AFZ62" s="120"/>
      <c r="AGA62" s="120"/>
      <c r="AGB62" s="120"/>
      <c r="AGC62" s="120"/>
      <c r="AGD62" s="120"/>
      <c r="AGE62" s="120"/>
      <c r="AGF62" s="120"/>
      <c r="AGG62" s="120"/>
      <c r="AGH62" s="120"/>
      <c r="AGI62" s="120"/>
      <c r="AGJ62" s="120"/>
      <c r="AGK62" s="120"/>
      <c r="AGL62" s="120"/>
      <c r="AGM62" s="120"/>
      <c r="AGN62" s="120"/>
      <c r="AGO62" s="120"/>
      <c r="AGP62" s="120"/>
      <c r="AGQ62" s="120"/>
      <c r="AGR62" s="120"/>
      <c r="AGS62" s="120"/>
      <c r="AGT62" s="120"/>
      <c r="AGU62" s="120"/>
      <c r="AGV62" s="120"/>
      <c r="AGW62" s="120"/>
      <c r="AGX62" s="120"/>
      <c r="AGY62" s="120"/>
      <c r="AGZ62" s="120"/>
      <c r="AHA62" s="120"/>
      <c r="AHB62" s="120"/>
      <c r="AHC62" s="120"/>
      <c r="AHD62" s="120"/>
      <c r="AHE62" s="120"/>
      <c r="AHF62" s="120"/>
      <c r="AHG62" s="120"/>
      <c r="AHH62" s="120"/>
      <c r="AHI62" s="120"/>
      <c r="AHJ62" s="120"/>
      <c r="AHK62" s="120"/>
      <c r="AHL62" s="120"/>
      <c r="AHM62" s="120"/>
      <c r="AHN62" s="120"/>
      <c r="AHO62" s="120"/>
      <c r="AHP62" s="120"/>
      <c r="AHQ62" s="120"/>
      <c r="AHR62" s="120"/>
      <c r="AHS62" s="120"/>
      <c r="AHT62" s="120"/>
      <c r="AHU62" s="120"/>
      <c r="AHV62" s="120"/>
      <c r="AHW62" s="120"/>
      <c r="AHX62" s="120"/>
      <c r="AHY62" s="120"/>
      <c r="AHZ62" s="120"/>
      <c r="AIA62" s="120"/>
      <c r="AIB62" s="120"/>
      <c r="AIC62" s="120"/>
      <c r="AID62" s="120"/>
      <c r="AIE62" s="120"/>
      <c r="AIF62" s="120"/>
      <c r="AIG62" s="120"/>
      <c r="AIH62" s="120"/>
      <c r="AII62" s="120"/>
      <c r="AIJ62" s="120"/>
      <c r="AIK62" s="120"/>
      <c r="AIL62" s="120"/>
      <c r="AIM62" s="120"/>
      <c r="AIN62" s="120"/>
      <c r="AIO62" s="120"/>
      <c r="AIP62" s="120"/>
      <c r="AIQ62" s="120"/>
      <c r="AIR62" s="120"/>
      <c r="AIS62" s="120"/>
      <c r="AIT62" s="120"/>
      <c r="AIU62" s="120"/>
      <c r="AIV62" s="120"/>
      <c r="AIW62" s="120"/>
      <c r="AIX62" s="120"/>
      <c r="AIY62" s="120"/>
      <c r="AIZ62" s="120"/>
    </row>
    <row r="63">
      <c r="A63" s="112" t="s">
        <v>7</v>
      </c>
      <c r="B63" s="112" t="s">
        <v>16</v>
      </c>
      <c r="C63" s="112"/>
      <c r="D63" s="113">
        <f t="shared" si="1"/>
        <v>691.5568333</v>
      </c>
      <c r="E63" s="112">
        <v>158.913733333333</v>
      </c>
      <c r="F63" s="113"/>
      <c r="G63" s="113"/>
      <c r="H63" s="113"/>
      <c r="I63" s="113"/>
      <c r="J63" s="113"/>
      <c r="K63" s="113"/>
      <c r="L63" s="112">
        <v>2.14905</v>
      </c>
      <c r="M63" s="112">
        <v>16.5992333333333</v>
      </c>
      <c r="N63" s="113"/>
      <c r="O63" s="112">
        <v>0.176333333333333</v>
      </c>
      <c r="P63" s="112">
        <v>152.50995</v>
      </c>
      <c r="Q63" s="113"/>
      <c r="R63" s="113"/>
      <c r="S63" s="113"/>
      <c r="T63" s="113"/>
      <c r="U63" s="113"/>
      <c r="V63" s="112">
        <v>2.37388333333333</v>
      </c>
      <c r="W63" s="112">
        <v>100.0382</v>
      </c>
      <c r="X63" s="113"/>
      <c r="Y63" s="113"/>
      <c r="Z63" s="113"/>
      <c r="AA63" s="113"/>
      <c r="AB63" s="113"/>
      <c r="AC63" s="112">
        <v>3.17168333333333</v>
      </c>
      <c r="AD63" s="112">
        <v>61.6813</v>
      </c>
      <c r="AE63" s="113"/>
      <c r="AF63" s="113"/>
      <c r="AG63" s="113"/>
      <c r="AH63" s="113"/>
      <c r="AI63" s="113"/>
      <c r="AJ63" s="112">
        <v>0.530466666666667</v>
      </c>
      <c r="AK63" s="112">
        <v>110.37105</v>
      </c>
      <c r="AL63" s="113"/>
      <c r="AM63" s="113"/>
      <c r="AN63" s="113"/>
      <c r="AO63" s="112">
        <v>5.61111666666667</v>
      </c>
      <c r="AP63" s="112">
        <v>29.9749833333333</v>
      </c>
      <c r="AQ63" s="113"/>
      <c r="AR63" s="113"/>
      <c r="AS63" s="112">
        <v>2.86415</v>
      </c>
      <c r="AT63" s="112">
        <v>41.0198833333333</v>
      </c>
      <c r="AU63" s="113"/>
      <c r="AV63" s="112">
        <v>3.08306666666667</v>
      </c>
      <c r="AW63" s="112">
        <v>0.48875</v>
      </c>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113"/>
      <c r="CB63" s="113"/>
      <c r="CC63" s="113"/>
      <c r="CD63" s="113"/>
      <c r="CE63" s="113"/>
      <c r="CF63" s="113"/>
      <c r="CG63" s="113"/>
      <c r="CH63" s="113"/>
      <c r="CI63" s="113"/>
      <c r="CJ63" s="113"/>
      <c r="CK63" s="113"/>
      <c r="CL63" s="113"/>
      <c r="CM63" s="113"/>
      <c r="CN63" s="113"/>
      <c r="CO63" s="113"/>
      <c r="CP63" s="113"/>
      <c r="CQ63" s="113"/>
      <c r="CR63" s="113"/>
      <c r="CS63" s="113"/>
      <c r="CT63" s="113"/>
      <c r="CU63" s="113"/>
      <c r="CV63" s="113"/>
      <c r="CW63" s="113"/>
      <c r="CX63" s="113"/>
      <c r="CY63" s="113"/>
      <c r="CZ63" s="113"/>
      <c r="DA63" s="113"/>
      <c r="DB63" s="113"/>
      <c r="DC63" s="113"/>
      <c r="DD63" s="113"/>
      <c r="DE63" s="113"/>
      <c r="DF63" s="113"/>
      <c r="DG63" s="113"/>
      <c r="DH63" s="113"/>
      <c r="DI63" s="113"/>
      <c r="DJ63" s="113"/>
      <c r="DK63" s="113"/>
      <c r="DL63" s="113"/>
      <c r="DM63" s="113"/>
      <c r="DN63" s="113"/>
      <c r="DO63" s="113"/>
      <c r="DP63" s="113"/>
      <c r="DQ63" s="113"/>
      <c r="DR63" s="113"/>
      <c r="DS63" s="113"/>
      <c r="DT63" s="113"/>
      <c r="DU63" s="113"/>
      <c r="DV63" s="113"/>
      <c r="DW63" s="113"/>
      <c r="DX63" s="113"/>
      <c r="DY63" s="113"/>
      <c r="DZ63" s="113"/>
      <c r="EA63" s="113"/>
      <c r="EB63" s="113"/>
      <c r="EC63" s="113"/>
      <c r="ED63" s="113"/>
      <c r="EE63" s="113"/>
      <c r="EF63" s="113"/>
      <c r="EG63" s="113"/>
      <c r="EH63" s="113"/>
      <c r="EI63" s="113"/>
      <c r="EJ63" s="113"/>
      <c r="EK63" s="113"/>
      <c r="EL63" s="113"/>
      <c r="EM63" s="113"/>
      <c r="EN63" s="113"/>
      <c r="EO63" s="113"/>
      <c r="EP63" s="113"/>
      <c r="EQ63" s="113"/>
      <c r="ER63" s="113"/>
      <c r="ES63" s="113"/>
      <c r="ET63" s="113"/>
      <c r="EU63" s="113"/>
      <c r="EV63" s="113"/>
      <c r="EW63" s="113"/>
      <c r="EX63" s="113"/>
      <c r="EY63" s="113"/>
      <c r="EZ63" s="113"/>
      <c r="FA63" s="113"/>
      <c r="FB63" s="113"/>
      <c r="FC63" s="113"/>
      <c r="FD63" s="113"/>
      <c r="FE63" s="113"/>
      <c r="FF63" s="113"/>
      <c r="FG63" s="113"/>
      <c r="FH63" s="113"/>
      <c r="FI63" s="113"/>
      <c r="FJ63" s="113"/>
      <c r="FK63" s="113"/>
      <c r="FL63" s="113"/>
      <c r="FM63" s="113"/>
      <c r="FN63" s="113"/>
      <c r="FO63" s="113"/>
      <c r="FP63" s="113"/>
      <c r="FQ63" s="113"/>
      <c r="FR63" s="113"/>
      <c r="FS63" s="113"/>
      <c r="FT63" s="113"/>
      <c r="FU63" s="113"/>
      <c r="FV63" s="113"/>
      <c r="FW63" s="113"/>
      <c r="FX63" s="113"/>
      <c r="FY63" s="113"/>
      <c r="FZ63" s="113"/>
      <c r="GA63" s="113"/>
      <c r="GB63" s="113"/>
      <c r="GC63" s="113"/>
      <c r="GD63" s="113"/>
      <c r="GE63" s="113"/>
      <c r="GF63" s="113"/>
      <c r="GG63" s="113"/>
      <c r="GH63" s="113"/>
      <c r="GI63" s="113"/>
      <c r="GJ63" s="113"/>
      <c r="GK63" s="113"/>
      <c r="GL63" s="113"/>
      <c r="GM63" s="113"/>
      <c r="GN63" s="113"/>
      <c r="GO63" s="113"/>
      <c r="GP63" s="113"/>
      <c r="GQ63" s="113"/>
      <c r="GR63" s="113"/>
      <c r="GS63" s="113"/>
      <c r="GT63" s="113"/>
      <c r="GU63" s="113"/>
      <c r="GV63" s="113"/>
      <c r="GW63" s="113"/>
      <c r="GX63" s="113"/>
      <c r="GY63" s="113"/>
      <c r="GZ63" s="113"/>
      <c r="HA63" s="113"/>
      <c r="HB63" s="113"/>
      <c r="HC63" s="113"/>
      <c r="HD63" s="113"/>
      <c r="HE63" s="113"/>
      <c r="HF63" s="113"/>
      <c r="HG63" s="113"/>
      <c r="HH63" s="113"/>
      <c r="HI63" s="113"/>
      <c r="HJ63" s="113"/>
      <c r="HK63" s="113"/>
      <c r="HL63" s="113"/>
      <c r="HM63" s="113"/>
      <c r="HN63" s="113"/>
      <c r="HO63" s="113"/>
      <c r="HP63" s="113"/>
      <c r="HQ63" s="113"/>
      <c r="HR63" s="113"/>
      <c r="HS63" s="113"/>
      <c r="HT63" s="113"/>
      <c r="HU63" s="113"/>
      <c r="HV63" s="113"/>
      <c r="HW63" s="113"/>
      <c r="HX63" s="113"/>
      <c r="HY63" s="113"/>
      <c r="HZ63" s="113"/>
      <c r="IA63" s="113"/>
      <c r="IB63" s="113"/>
      <c r="IC63" s="113"/>
      <c r="ID63" s="113"/>
      <c r="IE63" s="113"/>
      <c r="IF63" s="113"/>
      <c r="IG63" s="113"/>
      <c r="IH63" s="113"/>
      <c r="II63" s="113"/>
      <c r="IJ63" s="113"/>
      <c r="IK63" s="113"/>
      <c r="IL63" s="113"/>
      <c r="IM63" s="113"/>
      <c r="IN63" s="113"/>
      <c r="IO63" s="113"/>
      <c r="IP63" s="113"/>
      <c r="IQ63" s="113"/>
      <c r="IR63" s="113"/>
      <c r="IS63" s="113"/>
      <c r="IT63" s="113"/>
      <c r="IU63" s="113"/>
      <c r="IV63" s="113"/>
      <c r="IW63" s="113"/>
      <c r="IX63" s="113"/>
      <c r="IY63" s="113"/>
      <c r="IZ63" s="113"/>
      <c r="JA63" s="113"/>
      <c r="JB63" s="113"/>
      <c r="JC63" s="113"/>
      <c r="JD63" s="113"/>
      <c r="JE63" s="113"/>
      <c r="JF63" s="113"/>
      <c r="JG63" s="113"/>
      <c r="JH63" s="113"/>
      <c r="JI63" s="113"/>
      <c r="JJ63" s="113"/>
      <c r="JK63" s="113"/>
      <c r="JL63" s="113"/>
      <c r="JM63" s="113"/>
      <c r="JN63" s="113"/>
      <c r="JO63" s="113"/>
      <c r="JP63" s="113"/>
      <c r="JQ63" s="113"/>
      <c r="JR63" s="113"/>
      <c r="JS63" s="113"/>
      <c r="JT63" s="113"/>
      <c r="JU63" s="113"/>
      <c r="JV63" s="113"/>
      <c r="JW63" s="113"/>
      <c r="JX63" s="113"/>
      <c r="JY63" s="113"/>
      <c r="JZ63" s="113"/>
      <c r="KA63" s="113"/>
      <c r="KB63" s="113"/>
      <c r="KC63" s="113"/>
      <c r="KD63" s="113"/>
      <c r="KE63" s="113"/>
      <c r="KF63" s="113"/>
      <c r="KG63" s="113"/>
      <c r="KH63" s="113"/>
      <c r="KI63" s="113"/>
      <c r="KJ63" s="113"/>
      <c r="KK63" s="113"/>
      <c r="KL63" s="113"/>
      <c r="KM63" s="113"/>
      <c r="KN63" s="113"/>
      <c r="KO63" s="113"/>
      <c r="KP63" s="113"/>
      <c r="KQ63" s="113"/>
      <c r="KR63" s="113"/>
      <c r="KS63" s="113"/>
      <c r="KT63" s="113"/>
      <c r="KU63" s="113"/>
      <c r="KV63" s="113"/>
      <c r="KW63" s="113"/>
      <c r="KX63" s="113"/>
      <c r="KY63" s="113"/>
      <c r="KZ63" s="113"/>
      <c r="LA63" s="113"/>
      <c r="LB63" s="113"/>
      <c r="LC63" s="113"/>
      <c r="LD63" s="113"/>
      <c r="LE63" s="113"/>
      <c r="LF63" s="113"/>
      <c r="LG63" s="113"/>
      <c r="LH63" s="113"/>
      <c r="LI63" s="113"/>
      <c r="LJ63" s="113"/>
      <c r="LK63" s="113"/>
      <c r="LL63" s="113"/>
      <c r="LM63" s="113"/>
      <c r="LN63" s="113"/>
      <c r="LO63" s="113"/>
      <c r="LP63" s="113"/>
      <c r="LQ63" s="113"/>
      <c r="LR63" s="113"/>
      <c r="LS63" s="113"/>
      <c r="LT63" s="113"/>
      <c r="LU63" s="113"/>
      <c r="LV63" s="113"/>
      <c r="LW63" s="113"/>
      <c r="LX63" s="113"/>
      <c r="LY63" s="113"/>
      <c r="LZ63" s="113"/>
      <c r="MA63" s="113"/>
      <c r="MB63" s="113"/>
      <c r="MC63" s="113"/>
      <c r="MD63" s="113"/>
      <c r="ME63" s="113"/>
      <c r="MF63" s="113"/>
      <c r="MG63" s="113"/>
      <c r="MH63" s="113"/>
      <c r="MI63" s="113"/>
      <c r="MJ63" s="113"/>
      <c r="MK63" s="113"/>
      <c r="ML63" s="113"/>
      <c r="MM63" s="113"/>
      <c r="MN63" s="113"/>
      <c r="MO63" s="113"/>
      <c r="MP63" s="113"/>
      <c r="MQ63" s="113"/>
      <c r="MR63" s="113"/>
      <c r="MS63" s="113"/>
      <c r="MT63" s="113"/>
      <c r="MU63" s="113"/>
      <c r="MV63" s="113"/>
      <c r="MW63" s="113"/>
      <c r="MX63" s="113"/>
      <c r="MY63" s="113"/>
      <c r="MZ63" s="113"/>
      <c r="NA63" s="113"/>
      <c r="NB63" s="113"/>
      <c r="NC63" s="113"/>
      <c r="ND63" s="113"/>
      <c r="NE63" s="113"/>
      <c r="NF63" s="113"/>
      <c r="NG63" s="113"/>
      <c r="NH63" s="113"/>
      <c r="NI63" s="113"/>
      <c r="NJ63" s="113"/>
      <c r="NK63" s="113"/>
      <c r="NL63" s="113"/>
      <c r="NM63" s="113"/>
      <c r="NN63" s="113"/>
      <c r="NO63" s="113"/>
      <c r="NP63" s="113"/>
      <c r="NQ63" s="113"/>
      <c r="NR63" s="113"/>
      <c r="NS63" s="113"/>
      <c r="NT63" s="113"/>
      <c r="NU63" s="113"/>
      <c r="NV63" s="113"/>
      <c r="NW63" s="113"/>
      <c r="NX63" s="113"/>
      <c r="NY63" s="113"/>
      <c r="NZ63" s="113"/>
      <c r="OA63" s="113"/>
      <c r="OB63" s="113"/>
      <c r="OC63" s="113"/>
      <c r="OD63" s="113"/>
      <c r="OE63" s="113"/>
      <c r="OF63" s="113"/>
      <c r="OG63" s="113"/>
      <c r="OH63" s="113"/>
      <c r="OI63" s="113"/>
      <c r="OJ63" s="113"/>
      <c r="OK63" s="113"/>
      <c r="OL63" s="113"/>
      <c r="OM63" s="113"/>
      <c r="ON63" s="113"/>
      <c r="OO63" s="113"/>
      <c r="OP63" s="113"/>
      <c r="OQ63" s="113"/>
      <c r="OR63" s="113"/>
      <c r="OS63" s="113"/>
      <c r="OT63" s="113"/>
      <c r="OU63" s="113"/>
      <c r="OV63" s="113"/>
      <c r="OW63" s="113"/>
      <c r="OX63" s="113"/>
      <c r="OY63" s="113"/>
      <c r="OZ63" s="113"/>
      <c r="PA63" s="113"/>
      <c r="PB63" s="113"/>
      <c r="PC63" s="113"/>
      <c r="PD63" s="113"/>
      <c r="PE63" s="113"/>
      <c r="PF63" s="113"/>
      <c r="PG63" s="113"/>
      <c r="PH63" s="113"/>
      <c r="PI63" s="113"/>
      <c r="PJ63" s="113"/>
      <c r="PK63" s="113"/>
      <c r="PL63" s="113"/>
      <c r="PM63" s="113"/>
      <c r="PN63" s="113"/>
      <c r="PO63" s="113"/>
      <c r="PP63" s="113"/>
      <c r="PQ63" s="113"/>
      <c r="PR63" s="113"/>
      <c r="PS63" s="113"/>
      <c r="PT63" s="113"/>
      <c r="PU63" s="113"/>
      <c r="PV63" s="113"/>
      <c r="PW63" s="113"/>
      <c r="PX63" s="113"/>
      <c r="PY63" s="113"/>
      <c r="PZ63" s="113"/>
      <c r="QA63" s="113"/>
      <c r="QB63" s="113"/>
      <c r="QC63" s="113"/>
      <c r="QD63" s="113"/>
      <c r="QE63" s="113"/>
      <c r="QF63" s="113"/>
      <c r="QG63" s="113"/>
      <c r="QH63" s="113"/>
      <c r="QI63" s="113"/>
      <c r="QJ63" s="113"/>
      <c r="QK63" s="113"/>
      <c r="QL63" s="113"/>
      <c r="QM63" s="113"/>
      <c r="QN63" s="113"/>
      <c r="QO63" s="113"/>
      <c r="QP63" s="113"/>
      <c r="QQ63" s="113"/>
      <c r="QR63" s="113"/>
      <c r="QS63" s="113"/>
      <c r="QT63" s="113"/>
      <c r="QU63" s="113"/>
      <c r="QV63" s="113"/>
      <c r="QW63" s="113"/>
      <c r="QX63" s="113"/>
      <c r="QY63" s="113"/>
      <c r="QZ63" s="113"/>
      <c r="RA63" s="113"/>
      <c r="RB63" s="113"/>
      <c r="RC63" s="113"/>
      <c r="RD63" s="113"/>
      <c r="RE63" s="113"/>
      <c r="RF63" s="113"/>
      <c r="RG63" s="113"/>
      <c r="RH63" s="113"/>
      <c r="RI63" s="113"/>
      <c r="RJ63" s="113"/>
      <c r="RK63" s="113"/>
      <c r="RL63" s="113"/>
      <c r="RM63" s="113"/>
      <c r="RN63" s="113"/>
      <c r="RO63" s="113"/>
      <c r="RP63" s="113"/>
      <c r="RQ63" s="113"/>
      <c r="RR63" s="113"/>
      <c r="RS63" s="113"/>
      <c r="RT63" s="113"/>
      <c r="RU63" s="113"/>
      <c r="RV63" s="113"/>
      <c r="RW63" s="113"/>
      <c r="RX63" s="113"/>
      <c r="RY63" s="113"/>
      <c r="RZ63" s="113"/>
      <c r="SA63" s="113"/>
      <c r="SB63" s="113"/>
      <c r="SC63" s="113"/>
      <c r="SD63" s="113"/>
      <c r="SE63" s="113"/>
      <c r="SF63" s="113"/>
      <c r="SG63" s="113"/>
      <c r="SH63" s="113"/>
      <c r="SI63" s="113"/>
      <c r="SJ63" s="113"/>
      <c r="SK63" s="113"/>
      <c r="SL63" s="113"/>
      <c r="SM63" s="113"/>
      <c r="SN63" s="113"/>
      <c r="SO63" s="113"/>
      <c r="SP63" s="113"/>
      <c r="SQ63" s="113"/>
      <c r="SR63" s="113"/>
      <c r="SS63" s="113"/>
      <c r="ST63" s="113"/>
      <c r="SU63" s="113"/>
      <c r="SV63" s="113"/>
      <c r="SW63" s="113"/>
      <c r="SX63" s="113"/>
      <c r="SY63" s="113"/>
      <c r="SZ63" s="113"/>
      <c r="TA63" s="113"/>
      <c r="TB63" s="113"/>
      <c r="TC63" s="113"/>
      <c r="TD63" s="113"/>
      <c r="TE63" s="113"/>
      <c r="TF63" s="113"/>
      <c r="TG63" s="113"/>
      <c r="TH63" s="113"/>
      <c r="TI63" s="113"/>
      <c r="TJ63" s="113"/>
      <c r="TK63" s="113"/>
      <c r="TL63" s="113"/>
      <c r="TM63" s="113"/>
      <c r="TN63" s="113"/>
      <c r="TO63" s="113"/>
      <c r="TP63" s="113"/>
      <c r="TQ63" s="113"/>
      <c r="TR63" s="113"/>
      <c r="TS63" s="113"/>
      <c r="TT63" s="113"/>
      <c r="TU63" s="113"/>
      <c r="TV63" s="113"/>
      <c r="TW63" s="113"/>
      <c r="TX63" s="113"/>
      <c r="TY63" s="113"/>
      <c r="TZ63" s="113"/>
      <c r="UA63" s="113"/>
      <c r="UB63" s="113"/>
      <c r="UC63" s="113"/>
      <c r="UD63" s="113"/>
      <c r="UE63" s="113"/>
      <c r="UF63" s="113"/>
      <c r="UG63" s="113"/>
      <c r="UH63" s="113"/>
      <c r="UI63" s="113"/>
      <c r="UJ63" s="113"/>
      <c r="UK63" s="113"/>
      <c r="UL63" s="113"/>
      <c r="UM63" s="113"/>
      <c r="UN63" s="113"/>
      <c r="UO63" s="113"/>
      <c r="UP63" s="113"/>
      <c r="UQ63" s="113"/>
      <c r="UR63" s="113"/>
      <c r="US63" s="113"/>
      <c r="UT63" s="113"/>
      <c r="UU63" s="113"/>
      <c r="UV63" s="113"/>
      <c r="UW63" s="113"/>
      <c r="UX63" s="113"/>
      <c r="UY63" s="113"/>
      <c r="UZ63" s="113"/>
      <c r="VA63" s="113"/>
      <c r="VB63" s="113"/>
      <c r="VC63" s="113"/>
      <c r="VD63" s="113"/>
      <c r="VE63" s="113"/>
      <c r="VF63" s="113"/>
      <c r="VG63" s="113"/>
      <c r="VH63" s="113"/>
      <c r="VI63" s="113"/>
      <c r="VJ63" s="113"/>
      <c r="VK63" s="113"/>
      <c r="VL63" s="113"/>
      <c r="VM63" s="113"/>
      <c r="VN63" s="113"/>
      <c r="VO63" s="113"/>
      <c r="VP63" s="113"/>
      <c r="VQ63" s="113"/>
      <c r="VR63" s="113"/>
      <c r="VS63" s="113"/>
      <c r="VT63" s="113"/>
      <c r="VU63" s="113"/>
      <c r="VV63" s="113"/>
      <c r="VW63" s="113"/>
      <c r="VX63" s="113"/>
      <c r="VY63" s="113"/>
      <c r="VZ63" s="113"/>
      <c r="WA63" s="113"/>
      <c r="WB63" s="113"/>
      <c r="WC63" s="113"/>
      <c r="WD63" s="113"/>
      <c r="WE63" s="113"/>
      <c r="WF63" s="113"/>
      <c r="WG63" s="113"/>
      <c r="WH63" s="113"/>
      <c r="WI63" s="113"/>
      <c r="WJ63" s="113"/>
      <c r="WK63" s="113"/>
      <c r="WL63" s="113"/>
      <c r="WM63" s="113"/>
      <c r="WN63" s="113"/>
      <c r="WO63" s="113"/>
      <c r="WP63" s="113"/>
      <c r="WQ63" s="113"/>
      <c r="WR63" s="113"/>
      <c r="WS63" s="113"/>
      <c r="WT63" s="113"/>
      <c r="WU63" s="113"/>
      <c r="WV63" s="113"/>
      <c r="WW63" s="113"/>
      <c r="WX63" s="113"/>
      <c r="WY63" s="113"/>
      <c r="WZ63" s="113"/>
      <c r="XA63" s="113"/>
      <c r="XB63" s="113"/>
      <c r="XC63" s="113"/>
      <c r="XD63" s="113"/>
      <c r="XE63" s="113"/>
      <c r="XF63" s="113"/>
      <c r="XG63" s="113"/>
      <c r="XH63" s="113"/>
      <c r="XI63" s="113"/>
      <c r="XJ63" s="113"/>
      <c r="XK63" s="113"/>
      <c r="XL63" s="113"/>
      <c r="XM63" s="113"/>
      <c r="XN63" s="113"/>
      <c r="XO63" s="113"/>
      <c r="XP63" s="113"/>
      <c r="XQ63" s="113"/>
      <c r="XR63" s="113"/>
      <c r="XS63" s="113"/>
      <c r="XT63" s="113"/>
      <c r="XU63" s="113"/>
      <c r="XV63" s="113"/>
      <c r="XW63" s="113"/>
      <c r="XX63" s="113"/>
      <c r="XY63" s="113"/>
      <c r="XZ63" s="113"/>
      <c r="YA63" s="113"/>
      <c r="YB63" s="113"/>
      <c r="YC63" s="113"/>
      <c r="YD63" s="113"/>
      <c r="YE63" s="113"/>
      <c r="YF63" s="113"/>
      <c r="YG63" s="113"/>
      <c r="YH63" s="113"/>
      <c r="YI63" s="113"/>
      <c r="YJ63" s="113"/>
      <c r="YK63" s="113"/>
      <c r="YL63" s="113"/>
      <c r="YM63" s="113"/>
      <c r="YN63" s="113"/>
      <c r="YO63" s="113"/>
      <c r="YP63" s="113"/>
      <c r="YQ63" s="113"/>
      <c r="YR63" s="113"/>
      <c r="YS63" s="113"/>
      <c r="YT63" s="113"/>
      <c r="YU63" s="113"/>
      <c r="YV63" s="113"/>
      <c r="YW63" s="113"/>
      <c r="YX63" s="113"/>
      <c r="YY63" s="113"/>
      <c r="YZ63" s="113"/>
      <c r="ZA63" s="113"/>
      <c r="ZB63" s="113"/>
      <c r="ZC63" s="113"/>
      <c r="ZD63" s="113"/>
      <c r="ZE63" s="113"/>
      <c r="ZF63" s="113"/>
      <c r="ZG63" s="113"/>
      <c r="ZH63" s="113"/>
      <c r="ZI63" s="113"/>
      <c r="ZJ63" s="113"/>
      <c r="ZK63" s="113"/>
      <c r="ZL63" s="113"/>
      <c r="ZM63" s="113"/>
      <c r="ZN63" s="113"/>
      <c r="ZO63" s="113"/>
      <c r="ZP63" s="113"/>
      <c r="ZQ63" s="113"/>
      <c r="ZR63" s="113"/>
      <c r="ZS63" s="113"/>
      <c r="ZT63" s="113"/>
      <c r="ZU63" s="113"/>
      <c r="ZV63" s="113"/>
      <c r="ZW63" s="113"/>
      <c r="ZX63" s="113"/>
      <c r="ZY63" s="113"/>
      <c r="ZZ63" s="113"/>
      <c r="AAA63" s="113"/>
      <c r="AAB63" s="113"/>
      <c r="AAC63" s="113"/>
      <c r="AAD63" s="113"/>
      <c r="AAE63" s="113"/>
      <c r="AAF63" s="113"/>
      <c r="AAG63" s="113"/>
      <c r="AAH63" s="113"/>
      <c r="AAI63" s="113"/>
      <c r="AAJ63" s="113"/>
      <c r="AAK63" s="113"/>
      <c r="AAL63" s="113"/>
      <c r="AAM63" s="113"/>
      <c r="AAN63" s="113"/>
      <c r="AAO63" s="113"/>
      <c r="AAP63" s="113"/>
      <c r="AAQ63" s="113"/>
      <c r="AAR63" s="113"/>
      <c r="AAS63" s="113"/>
      <c r="AAT63" s="113"/>
      <c r="AAU63" s="113"/>
      <c r="AAV63" s="113"/>
      <c r="AAW63" s="113"/>
      <c r="AAX63" s="113"/>
      <c r="AAY63" s="113"/>
      <c r="AAZ63" s="113"/>
      <c r="ABA63" s="113"/>
      <c r="ABB63" s="113"/>
      <c r="ABC63" s="113"/>
      <c r="ABD63" s="113"/>
      <c r="ABE63" s="113"/>
      <c r="ABF63" s="113"/>
      <c r="ABG63" s="113"/>
      <c r="ABH63" s="113"/>
      <c r="ABI63" s="113"/>
      <c r="ABJ63" s="113"/>
      <c r="ABK63" s="113"/>
      <c r="ABL63" s="113"/>
      <c r="ABM63" s="113"/>
      <c r="ABN63" s="113"/>
      <c r="ABO63" s="113"/>
      <c r="ABP63" s="113"/>
      <c r="ABQ63" s="113"/>
      <c r="ABR63" s="113"/>
      <c r="ABS63" s="113"/>
      <c r="ABT63" s="113"/>
      <c r="ABU63" s="113"/>
      <c r="ABV63" s="113"/>
      <c r="ABW63" s="113"/>
      <c r="ABX63" s="113"/>
      <c r="ABY63" s="113"/>
      <c r="ABZ63" s="113"/>
      <c r="ACA63" s="113"/>
      <c r="ACB63" s="113"/>
      <c r="ACC63" s="113"/>
      <c r="ACD63" s="113"/>
      <c r="ACE63" s="113"/>
      <c r="ACF63" s="113"/>
      <c r="ACG63" s="113"/>
      <c r="ACH63" s="113"/>
      <c r="ACI63" s="113"/>
      <c r="ACJ63" s="113"/>
      <c r="ACK63" s="113"/>
      <c r="ACL63" s="113"/>
      <c r="ACM63" s="113"/>
      <c r="ACN63" s="113"/>
      <c r="ACO63" s="113"/>
      <c r="ACP63" s="113"/>
      <c r="ACQ63" s="113"/>
      <c r="ACR63" s="113"/>
      <c r="ACS63" s="113"/>
      <c r="ACT63" s="113"/>
      <c r="ACU63" s="113"/>
      <c r="ACV63" s="113"/>
      <c r="ACW63" s="113"/>
      <c r="ACX63" s="113"/>
      <c r="ACY63" s="113"/>
      <c r="ACZ63" s="113"/>
      <c r="ADA63" s="113"/>
      <c r="ADB63" s="113"/>
      <c r="ADC63" s="113"/>
      <c r="ADD63" s="113"/>
      <c r="ADE63" s="113"/>
      <c r="ADF63" s="113"/>
      <c r="ADG63" s="113"/>
      <c r="ADH63" s="113"/>
      <c r="ADI63" s="113"/>
      <c r="ADJ63" s="113"/>
      <c r="ADK63" s="113"/>
      <c r="ADL63" s="113"/>
      <c r="ADM63" s="113"/>
      <c r="ADN63" s="113"/>
      <c r="ADO63" s="113"/>
      <c r="ADP63" s="113"/>
      <c r="ADQ63" s="113"/>
      <c r="ADR63" s="113"/>
      <c r="ADS63" s="113"/>
      <c r="ADT63" s="113"/>
      <c r="ADU63" s="113"/>
      <c r="ADV63" s="113"/>
      <c r="ADW63" s="113"/>
      <c r="ADX63" s="113"/>
      <c r="ADY63" s="113"/>
      <c r="ADZ63" s="113"/>
      <c r="AEA63" s="113"/>
      <c r="AEB63" s="113"/>
      <c r="AEC63" s="113"/>
      <c r="AED63" s="113"/>
      <c r="AEE63" s="113"/>
      <c r="AEF63" s="113"/>
      <c r="AEG63" s="113"/>
      <c r="AEH63" s="113"/>
      <c r="AEI63" s="113"/>
      <c r="AEJ63" s="113"/>
      <c r="AEK63" s="113"/>
      <c r="AEL63" s="113"/>
      <c r="AEM63" s="113"/>
      <c r="AEN63" s="113"/>
      <c r="AEO63" s="113"/>
      <c r="AEP63" s="113"/>
      <c r="AEQ63" s="113"/>
      <c r="AER63" s="113"/>
      <c r="AES63" s="113"/>
      <c r="AET63" s="113"/>
      <c r="AEU63" s="113"/>
      <c r="AEV63" s="113"/>
      <c r="AEW63" s="113"/>
      <c r="AEX63" s="113"/>
      <c r="AEY63" s="113"/>
      <c r="AEZ63" s="113"/>
      <c r="AFA63" s="113"/>
      <c r="AFB63" s="113"/>
      <c r="AFC63" s="113"/>
      <c r="AFD63" s="113"/>
      <c r="AFE63" s="113"/>
      <c r="AFF63" s="113"/>
      <c r="AFG63" s="113"/>
      <c r="AFH63" s="113"/>
      <c r="AFI63" s="113"/>
      <c r="AFJ63" s="113"/>
      <c r="AFK63" s="113"/>
      <c r="AFL63" s="113"/>
      <c r="AFM63" s="113"/>
      <c r="AFN63" s="113"/>
      <c r="AFO63" s="113"/>
      <c r="AFP63" s="113"/>
      <c r="AFQ63" s="113"/>
      <c r="AFR63" s="113"/>
      <c r="AFS63" s="113"/>
      <c r="AFT63" s="113"/>
      <c r="AFU63" s="113"/>
      <c r="AFV63" s="113"/>
      <c r="AFW63" s="113"/>
      <c r="AFX63" s="113"/>
      <c r="AFY63" s="113"/>
      <c r="AFZ63" s="113"/>
      <c r="AGA63" s="113"/>
      <c r="AGB63" s="113"/>
      <c r="AGC63" s="113"/>
      <c r="AGD63" s="113"/>
      <c r="AGE63" s="113"/>
      <c r="AGF63" s="113"/>
      <c r="AGG63" s="113"/>
      <c r="AGH63" s="113"/>
      <c r="AGI63" s="113"/>
      <c r="AGJ63" s="113"/>
      <c r="AGK63" s="113"/>
      <c r="AGL63" s="113"/>
      <c r="AGM63" s="113"/>
      <c r="AGN63" s="113"/>
      <c r="AGO63" s="113"/>
      <c r="AGP63" s="113"/>
      <c r="AGQ63" s="113"/>
      <c r="AGR63" s="113"/>
      <c r="AGS63" s="113"/>
      <c r="AGT63" s="113"/>
      <c r="AGU63" s="113"/>
      <c r="AGV63" s="113"/>
      <c r="AGW63" s="113"/>
      <c r="AGX63" s="113"/>
      <c r="AGY63" s="113"/>
      <c r="AGZ63" s="113"/>
      <c r="AHA63" s="113"/>
      <c r="AHB63" s="113"/>
      <c r="AHC63" s="113"/>
      <c r="AHD63" s="113"/>
      <c r="AHE63" s="113"/>
      <c r="AHF63" s="113"/>
      <c r="AHG63" s="113"/>
      <c r="AHH63" s="113"/>
      <c r="AHI63" s="113"/>
      <c r="AHJ63" s="113"/>
      <c r="AHK63" s="113"/>
      <c r="AHL63" s="113"/>
      <c r="AHM63" s="113"/>
      <c r="AHN63" s="113"/>
      <c r="AHO63" s="113"/>
      <c r="AHP63" s="113"/>
      <c r="AHQ63" s="113"/>
      <c r="AHR63" s="113"/>
      <c r="AHS63" s="113"/>
      <c r="AHT63" s="113"/>
      <c r="AHU63" s="113"/>
      <c r="AHV63" s="113"/>
      <c r="AHW63" s="113"/>
      <c r="AHX63" s="113"/>
      <c r="AHY63" s="113"/>
      <c r="AHZ63" s="113"/>
      <c r="AIA63" s="113"/>
      <c r="AIB63" s="113"/>
      <c r="AIC63" s="113"/>
      <c r="AID63" s="113"/>
      <c r="AIE63" s="113"/>
      <c r="AIF63" s="113"/>
      <c r="AIG63" s="113"/>
      <c r="AIH63" s="113"/>
      <c r="AII63" s="113"/>
      <c r="AIJ63" s="113"/>
      <c r="AIK63" s="113"/>
      <c r="AIL63" s="113"/>
      <c r="AIM63" s="113"/>
      <c r="AIN63" s="113"/>
      <c r="AIO63" s="113"/>
      <c r="AIP63" s="113"/>
      <c r="AIQ63" s="113"/>
      <c r="AIR63" s="113"/>
      <c r="AIS63" s="113"/>
      <c r="AIT63" s="113"/>
      <c r="AIU63" s="113"/>
      <c r="AIV63" s="113"/>
      <c r="AIW63" s="113"/>
      <c r="AIX63" s="113"/>
      <c r="AIY63" s="113"/>
      <c r="AIZ63" s="113"/>
    </row>
    <row r="64">
      <c r="A64" s="65" t="s">
        <v>7</v>
      </c>
      <c r="B64" s="65" t="s">
        <v>16</v>
      </c>
      <c r="C64" s="65"/>
      <c r="D64" s="64">
        <f t="shared" si="1"/>
        <v>602.948</v>
      </c>
      <c r="F64" s="65">
        <v>84.6655499999999</v>
      </c>
      <c r="G64" s="65">
        <v>12.9207333333333</v>
      </c>
      <c r="H64" s="65">
        <v>8.12356666666667</v>
      </c>
      <c r="I64" s="65">
        <v>0.848866666666667</v>
      </c>
      <c r="J64" s="65">
        <v>1.29891666666667</v>
      </c>
      <c r="K64" s="65">
        <v>29.9003166666667</v>
      </c>
      <c r="N64" s="65">
        <v>15.4068666666667</v>
      </c>
      <c r="Q64" s="65">
        <v>102.6155</v>
      </c>
      <c r="R64" s="65">
        <v>31.2834333333333</v>
      </c>
      <c r="S64" s="65">
        <v>5.6022</v>
      </c>
      <c r="T64" s="65">
        <v>2.89998333333333</v>
      </c>
      <c r="U64" s="65">
        <v>7.31465</v>
      </c>
      <c r="X64" s="65">
        <v>56.8344833333333</v>
      </c>
      <c r="Y64" s="65">
        <v>24.6155833333333</v>
      </c>
      <c r="Z64" s="65">
        <v>2.73921666666667</v>
      </c>
      <c r="AA64" s="65">
        <v>1.00836666666667</v>
      </c>
      <c r="AB64" s="65">
        <v>12.6348333333333</v>
      </c>
      <c r="AE64" s="65">
        <v>22.0556833333333</v>
      </c>
      <c r="AF64" s="65">
        <v>26.9615166666667</v>
      </c>
      <c r="AG64" s="65">
        <v>3.23978333333333</v>
      </c>
      <c r="AH64" s="65">
        <v>0.938883333333333</v>
      </c>
      <c r="AI64" s="65">
        <v>7.2104</v>
      </c>
      <c r="AL64" s="65">
        <v>40.6037833333333</v>
      </c>
      <c r="AM64" s="65">
        <v>15.8900166666667</v>
      </c>
      <c r="AN64" s="65">
        <v>25.3130666666667</v>
      </c>
      <c r="AQ64" s="65">
        <v>7.38783333333333</v>
      </c>
      <c r="AR64" s="65">
        <v>15.4779833333333</v>
      </c>
      <c r="AU64" s="65">
        <v>37.1559833333334</v>
      </c>
    </row>
    <row r="65">
      <c r="A65" s="65" t="s">
        <v>7</v>
      </c>
      <c r="B65" s="65" t="s">
        <v>16</v>
      </c>
      <c r="C65" s="65"/>
      <c r="D65" s="64">
        <f t="shared" si="1"/>
        <v>0</v>
      </c>
    </row>
    <row r="66">
      <c r="A66" s="65" t="s">
        <v>7</v>
      </c>
      <c r="B66" s="65" t="s">
        <v>16</v>
      </c>
      <c r="C66" s="65"/>
      <c r="D66" s="64">
        <f t="shared" si="1"/>
        <v>557.5948333</v>
      </c>
      <c r="F66" s="118">
        <f>HYPERLINK("https://docs.google.com/spreadsheets/d/1Oooe9SmplPkfHJYZlfUTcmvq8_Cy07CI", 72.8361166666666)</f>
        <v>72.83611667</v>
      </c>
      <c r="G66" s="118">
        <f>HYPERLINK("https://docs.google.com/spreadsheets/d/1O0J0DZOFqKOAHLM3DbCB2YtzRw7ooALu", 12.9207)</f>
        <v>12.9207</v>
      </c>
      <c r="H66" s="118">
        <f>HYPERLINK("https://docs.google.com/spreadsheets/d/1Hu42Mv2d7kswpaqIwHsL8B5YQ4Pl7SQ7", 7.76141666666667)</f>
        <v>7.761416667</v>
      </c>
      <c r="I66" s="118">
        <f>HYPERLINK("https://docs.google.com/spreadsheets/d/13x-WtElpc8veFy9AcMw3yNYw-lHHe63q", 0.749416666666667)</f>
        <v>0.7494166667</v>
      </c>
      <c r="J66" s="118">
        <f>HYPERLINK("https://docs.google.com/spreadsheets/d/19hxd7oyjI28YrNB9YBVpw3KLu88X60bU", 0.991566666666667)</f>
        <v>0.9915666667</v>
      </c>
      <c r="K66" s="118">
        <f>HYPERLINK("https://docs.google.com/spreadsheets/d/1LlJEK4aTLi6oHJi4q3PAUmhj-PL-rReU", 29.6090166666667)</f>
        <v>29.60901667</v>
      </c>
      <c r="N66" s="118">
        <f>HYPERLINK("https://docs.google.com/spreadsheets/d/12cf4nB3omypaSSSM2QZN7EN9Sv2i2-Ny", 15.40685)</f>
        <v>15.40685</v>
      </c>
      <c r="Q66" s="118">
        <f>HYPERLINK("https://docs.google.com/spreadsheets/d/1NwAuFhBR1UXx2ZuF_e7ymR20n7CVFw-4", 87.9951833333334)</f>
        <v>87.99518333</v>
      </c>
      <c r="R66" s="118">
        <f>HYPERLINK("https://docs.google.com/spreadsheets/d/1FUCjMP_vyeMGiQOWZW7hep_pHdoUxLTW", 30.2495666666667)</f>
        <v>30.24956667</v>
      </c>
      <c r="S66" s="118">
        <f>HYPERLINK("https://docs.google.com/spreadsheets/d/1jNtbhYLs5DF9OpZLFxVJppoiMqy3u1vJ", 4.4302)</f>
        <v>4.4302</v>
      </c>
      <c r="T66" s="118">
        <f>HYPERLINK("https://docs.google.com/spreadsheets/d/13cdbICqEkV42B8w5gCvA1sGy_yNLrFkU", 1.77766666666667)</f>
        <v>1.777666667</v>
      </c>
      <c r="U66" s="118">
        <f>HYPERLINK("https://docs.google.com/spreadsheets/d/1DgKNMJNywb7Bils2EsNoerrTK7x5JcPf", 7.31466666666667)</f>
        <v>7.314666667</v>
      </c>
      <c r="X66" s="118">
        <f>HYPERLINK("https://docs.google.com/spreadsheets/d/1r7VGYaOQlGdQfbo9kJpkelg2Z6N8gc5v", 50.22645)</f>
        <v>50.22645</v>
      </c>
      <c r="Y66" s="118">
        <f>HYPERLINK("https://docs.google.com/spreadsheets/d/1XOttQYYY53MRDWK5nMQIyZtYOMKcp8fr", 24.61555)</f>
        <v>24.61555</v>
      </c>
      <c r="Z66" s="118">
        <f>HYPERLINK("https://docs.google.com/spreadsheets/d/176sh0smgcxrXh-aOv0fO75OnGxo70qY2", 2.73921666666667)</f>
        <v>2.739216667</v>
      </c>
      <c r="AA66" s="118">
        <f>HYPERLINK("https://docs.google.com/spreadsheets/d/1l6ZdQfIzsiprKHDpmKflaRbOSxI-nJFD", 0.831483333333333)</f>
        <v>0.8314833333</v>
      </c>
      <c r="AB66" s="118">
        <f>HYPERLINK("https://docs.google.com/spreadsheets/d/1auSLY_0qHz7YWEX9JKXglKifBEZVTACv", 12.6348333333333)</f>
        <v>12.63483333</v>
      </c>
      <c r="AE66" s="118">
        <f>HYPERLINK("https://docs.google.com/spreadsheets/d/1VhU5AUP6IUw9LArzXuLwEUw-cmUfXDbr", 21.5221666666667)</f>
        <v>21.52216667</v>
      </c>
      <c r="AF66" s="118">
        <f>HYPERLINK("https://docs.google.com/spreadsheets/d/103c07JAy7S2g8wSFoG53-0fT_2MFKptN", 26.9615)</f>
        <v>26.9615</v>
      </c>
      <c r="AG66" s="118">
        <f>HYPERLINK("https://docs.google.com/spreadsheets/d/1TChDjKA3ZqQ2zBzMbHnVLoPjnusC7Lwv", 3.23978333333333)</f>
        <v>3.239783333</v>
      </c>
      <c r="AH66" s="118">
        <f>HYPERLINK("https://docs.google.com/spreadsheets/d/16-Ofqb06y7SiqnkqyanFD5ccBKr7I4kV", 0.769333333333333)</f>
        <v>0.7693333333</v>
      </c>
      <c r="AI66" s="118">
        <f>HYPERLINK("https://docs.google.com/spreadsheets/d/1KUAktRJgSAoyEBA5Thmw4veXFCGzTD_B", 7.21041666666667)</f>
        <v>7.210416667</v>
      </c>
      <c r="AL66" s="118">
        <f>HYPERLINK("https://docs.google.com/spreadsheets/d/1wdb2iMI3AMPyzWC20RKfboZ2RDfQtsgz", 34.7509166666667)</f>
        <v>34.75091667</v>
      </c>
      <c r="AM66" s="118">
        <f>HYPERLINK("https://docs.google.com/spreadsheets/d/1Tj8tDhYBcwyTgWVHILJfs3kKhG0OGawQ", 15.5236333333333)</f>
        <v>15.52363333</v>
      </c>
      <c r="AN66" s="118">
        <f>HYPERLINK("https://docs.google.com/spreadsheets/d/1o1hn4swLQj7R08HkdvWxE7cajELX79sn", 25.3130333333333)</f>
        <v>25.31303333</v>
      </c>
      <c r="AQ66" s="118">
        <f>HYPERLINK("https://docs.google.com/spreadsheets/d/1yoVEChEwH4v7Lbtq56PBrajm_IT7znd2", 6.80213333333333)</f>
        <v>6.802133333</v>
      </c>
      <c r="AR66" s="118">
        <f>HYPERLINK("https://docs.google.com/spreadsheets/d/1iPms8tJeQaLcadfXAmTpFEuP4HZRgDDe", 15.4779833333333)</f>
        <v>15.47798333</v>
      </c>
      <c r="AU66" s="118">
        <f>HYPERLINK("https://docs.google.com/spreadsheets/d/1PXljJ4Bg72aSJSYpGzlzlx0JRThLTHhB", 36.9340333333334)</f>
        <v>36.93403333</v>
      </c>
    </row>
    <row r="67">
      <c r="A67" s="65" t="s">
        <v>7</v>
      </c>
      <c r="B67" s="65" t="s">
        <v>16</v>
      </c>
      <c r="C67" s="65"/>
      <c r="D67" s="64">
        <f t="shared" si="1"/>
        <v>392.7152667</v>
      </c>
      <c r="F67" s="65">
        <v>46.45925</v>
      </c>
      <c r="G67" s="65">
        <v>8.09565</v>
      </c>
      <c r="H67" s="65">
        <v>1.67495</v>
      </c>
      <c r="I67" s="65">
        <v>0.0</v>
      </c>
      <c r="J67" s="65">
        <v>0.302</v>
      </c>
      <c r="K67" s="65">
        <v>22.2173</v>
      </c>
      <c r="N67" s="65">
        <v>6.7005</v>
      </c>
      <c r="Q67" s="65">
        <v>72.9540333333333</v>
      </c>
      <c r="R67" s="65">
        <v>18.3938166666667</v>
      </c>
      <c r="S67" s="65">
        <v>1.27311666666667</v>
      </c>
      <c r="T67" s="65">
        <v>0.221416666666667</v>
      </c>
      <c r="U67" s="65">
        <v>6.49006666666667</v>
      </c>
      <c r="X67" s="65">
        <v>35.6125666666667</v>
      </c>
      <c r="Y67" s="65">
        <v>16.8997666666667</v>
      </c>
      <c r="Z67" s="65">
        <v>0.804883333333333</v>
      </c>
      <c r="AA67" s="65">
        <v>0.154916666666667</v>
      </c>
      <c r="AB67" s="65">
        <v>9.64666666666667</v>
      </c>
      <c r="AE67" s="65">
        <v>16.20485</v>
      </c>
      <c r="AF67" s="65">
        <v>19.7637666666667</v>
      </c>
      <c r="AG67" s="65">
        <v>1.17695</v>
      </c>
      <c r="AH67" s="65">
        <v>0.153366666666667</v>
      </c>
      <c r="AI67" s="65">
        <v>6.35298333333333</v>
      </c>
      <c r="AL67" s="65">
        <v>26.8036166666667</v>
      </c>
      <c r="AM67" s="65">
        <v>3.40898333333333</v>
      </c>
      <c r="AN67" s="65">
        <v>20.7344</v>
      </c>
      <c r="AQ67" s="65">
        <v>3.60525</v>
      </c>
      <c r="AR67" s="65">
        <v>14.1492333333333</v>
      </c>
      <c r="AU67" s="65">
        <v>32.4609666666667</v>
      </c>
    </row>
    <row r="68">
      <c r="A68" s="119" t="s">
        <v>7</v>
      </c>
      <c r="B68" s="119" t="s">
        <v>16</v>
      </c>
      <c r="C68" s="119"/>
      <c r="D68" s="120">
        <f t="shared" si="1"/>
        <v>0</v>
      </c>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c r="AE68" s="120"/>
      <c r="AF68" s="120"/>
      <c r="AG68" s="120"/>
      <c r="AH68" s="120"/>
      <c r="AI68" s="120"/>
      <c r="AJ68" s="120"/>
      <c r="AK68" s="120"/>
      <c r="AL68" s="120"/>
      <c r="AM68" s="120"/>
      <c r="AN68" s="120"/>
      <c r="AO68" s="120"/>
      <c r="AP68" s="120"/>
      <c r="AQ68" s="120"/>
      <c r="AR68" s="120"/>
      <c r="AS68" s="120"/>
      <c r="AT68" s="120"/>
      <c r="AU68" s="120"/>
      <c r="AV68" s="120"/>
      <c r="AW68" s="120"/>
      <c r="AX68" s="120"/>
      <c r="AY68" s="120"/>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0"/>
      <c r="CD68" s="120"/>
      <c r="CE68" s="120"/>
      <c r="CF68" s="120"/>
      <c r="CG68" s="120"/>
      <c r="CH68" s="120"/>
      <c r="CI68" s="120"/>
      <c r="CJ68" s="120"/>
      <c r="CK68" s="120"/>
      <c r="CL68" s="120"/>
      <c r="CM68" s="120"/>
      <c r="CN68" s="120"/>
      <c r="CO68" s="120"/>
      <c r="CP68" s="120"/>
      <c r="CQ68" s="120"/>
      <c r="CR68" s="120"/>
      <c r="CS68" s="120"/>
      <c r="CT68" s="120"/>
      <c r="CU68" s="120"/>
      <c r="CV68" s="120"/>
      <c r="CW68" s="120"/>
      <c r="CX68" s="120"/>
      <c r="CY68" s="120"/>
      <c r="CZ68" s="120"/>
      <c r="DA68" s="120"/>
      <c r="DB68" s="120"/>
      <c r="DC68" s="120"/>
      <c r="DD68" s="120"/>
      <c r="DE68" s="120"/>
      <c r="DF68" s="120"/>
      <c r="DG68" s="120"/>
      <c r="DH68" s="120"/>
      <c r="DI68" s="120"/>
      <c r="DJ68" s="120"/>
      <c r="DK68" s="120"/>
      <c r="DL68" s="120"/>
      <c r="DM68" s="120"/>
      <c r="DN68" s="120"/>
      <c r="DO68" s="120"/>
      <c r="DP68" s="120"/>
      <c r="DQ68" s="120"/>
      <c r="DR68" s="120"/>
      <c r="DS68" s="120"/>
      <c r="DT68" s="120"/>
      <c r="DU68" s="120"/>
      <c r="DV68" s="120"/>
      <c r="DW68" s="120"/>
      <c r="DX68" s="120"/>
      <c r="DY68" s="120"/>
      <c r="DZ68" s="120"/>
      <c r="EA68" s="120"/>
      <c r="EB68" s="120"/>
      <c r="EC68" s="120"/>
      <c r="ED68" s="120"/>
      <c r="EE68" s="120"/>
      <c r="EF68" s="120"/>
      <c r="EG68" s="120"/>
      <c r="EH68" s="120"/>
      <c r="EI68" s="120"/>
      <c r="EJ68" s="120"/>
      <c r="EK68" s="120"/>
      <c r="EL68" s="120"/>
      <c r="EM68" s="120"/>
      <c r="EN68" s="120"/>
      <c r="EO68" s="120"/>
      <c r="EP68" s="120"/>
      <c r="EQ68" s="120"/>
      <c r="ER68" s="120"/>
      <c r="ES68" s="120"/>
      <c r="ET68" s="120"/>
      <c r="EU68" s="120"/>
      <c r="EV68" s="120"/>
      <c r="EW68" s="120"/>
      <c r="EX68" s="120"/>
      <c r="EY68" s="120"/>
      <c r="EZ68" s="120"/>
      <c r="FA68" s="120"/>
      <c r="FB68" s="120"/>
      <c r="FC68" s="120"/>
      <c r="FD68" s="120"/>
      <c r="FE68" s="120"/>
      <c r="FF68" s="120"/>
      <c r="FG68" s="120"/>
      <c r="FH68" s="120"/>
      <c r="FI68" s="120"/>
      <c r="FJ68" s="120"/>
      <c r="FK68" s="120"/>
      <c r="FL68" s="120"/>
      <c r="FM68" s="120"/>
      <c r="FN68" s="120"/>
      <c r="FO68" s="120"/>
      <c r="FP68" s="120"/>
      <c r="FQ68" s="120"/>
      <c r="FR68" s="120"/>
      <c r="FS68" s="120"/>
      <c r="FT68" s="120"/>
      <c r="FU68" s="120"/>
      <c r="FV68" s="120"/>
      <c r="FW68" s="120"/>
      <c r="FX68" s="120"/>
      <c r="FY68" s="120"/>
      <c r="FZ68" s="120"/>
      <c r="GA68" s="120"/>
      <c r="GB68" s="120"/>
      <c r="GC68" s="120"/>
      <c r="GD68" s="120"/>
      <c r="GE68" s="120"/>
      <c r="GF68" s="120"/>
      <c r="GG68" s="120"/>
      <c r="GH68" s="120"/>
      <c r="GI68" s="120"/>
      <c r="GJ68" s="120"/>
      <c r="GK68" s="120"/>
      <c r="GL68" s="120"/>
      <c r="GM68" s="120"/>
      <c r="GN68" s="120"/>
      <c r="GO68" s="120"/>
      <c r="GP68" s="120"/>
      <c r="GQ68" s="120"/>
      <c r="GR68" s="120"/>
      <c r="GS68" s="120"/>
      <c r="GT68" s="120"/>
      <c r="GU68" s="120"/>
      <c r="GV68" s="120"/>
      <c r="GW68" s="120"/>
      <c r="GX68" s="120"/>
      <c r="GY68" s="120"/>
      <c r="GZ68" s="120"/>
      <c r="HA68" s="120"/>
      <c r="HB68" s="120"/>
      <c r="HC68" s="120"/>
      <c r="HD68" s="120"/>
      <c r="HE68" s="120"/>
      <c r="HF68" s="120"/>
      <c r="HG68" s="120"/>
      <c r="HH68" s="120"/>
      <c r="HI68" s="120"/>
      <c r="HJ68" s="120"/>
      <c r="HK68" s="120"/>
      <c r="HL68" s="120"/>
      <c r="HM68" s="120"/>
      <c r="HN68" s="120"/>
      <c r="HO68" s="120"/>
      <c r="HP68" s="120"/>
      <c r="HQ68" s="120"/>
      <c r="HR68" s="120"/>
      <c r="HS68" s="120"/>
      <c r="HT68" s="120"/>
      <c r="HU68" s="120"/>
      <c r="HV68" s="120"/>
      <c r="HW68" s="120"/>
      <c r="HX68" s="120"/>
      <c r="HY68" s="120"/>
      <c r="HZ68" s="120"/>
      <c r="IA68" s="120"/>
      <c r="IB68" s="120"/>
      <c r="IC68" s="120"/>
      <c r="ID68" s="120"/>
      <c r="IE68" s="120"/>
      <c r="IF68" s="120"/>
      <c r="IG68" s="120"/>
      <c r="IH68" s="120"/>
      <c r="II68" s="120"/>
      <c r="IJ68" s="120"/>
      <c r="IK68" s="120"/>
      <c r="IL68" s="120"/>
      <c r="IM68" s="120"/>
      <c r="IN68" s="120"/>
      <c r="IO68" s="120"/>
      <c r="IP68" s="120"/>
      <c r="IQ68" s="120"/>
      <c r="IR68" s="120"/>
      <c r="IS68" s="120"/>
      <c r="IT68" s="120"/>
      <c r="IU68" s="120"/>
      <c r="IV68" s="120"/>
      <c r="IW68" s="120"/>
      <c r="IX68" s="120"/>
      <c r="IY68" s="120"/>
      <c r="IZ68" s="120"/>
      <c r="JA68" s="120"/>
      <c r="JB68" s="120"/>
      <c r="JC68" s="120"/>
      <c r="JD68" s="120"/>
      <c r="JE68" s="120"/>
      <c r="JF68" s="120"/>
      <c r="JG68" s="120"/>
      <c r="JH68" s="120"/>
      <c r="JI68" s="120"/>
      <c r="JJ68" s="120"/>
      <c r="JK68" s="120"/>
      <c r="JL68" s="120"/>
      <c r="JM68" s="120"/>
      <c r="JN68" s="120"/>
      <c r="JO68" s="120"/>
      <c r="JP68" s="120"/>
      <c r="JQ68" s="120"/>
      <c r="JR68" s="120"/>
      <c r="JS68" s="120"/>
      <c r="JT68" s="120"/>
      <c r="JU68" s="120"/>
      <c r="JV68" s="120"/>
      <c r="JW68" s="120"/>
      <c r="JX68" s="120"/>
      <c r="JY68" s="120"/>
      <c r="JZ68" s="120"/>
      <c r="KA68" s="120"/>
      <c r="KB68" s="120"/>
      <c r="KC68" s="120"/>
      <c r="KD68" s="120"/>
      <c r="KE68" s="120"/>
      <c r="KF68" s="120"/>
      <c r="KG68" s="120"/>
      <c r="KH68" s="120"/>
      <c r="KI68" s="120"/>
      <c r="KJ68" s="120"/>
      <c r="KK68" s="120"/>
      <c r="KL68" s="120"/>
      <c r="KM68" s="120"/>
      <c r="KN68" s="120"/>
      <c r="KO68" s="120"/>
      <c r="KP68" s="120"/>
      <c r="KQ68" s="120"/>
      <c r="KR68" s="120"/>
      <c r="KS68" s="120"/>
      <c r="KT68" s="120"/>
      <c r="KU68" s="120"/>
      <c r="KV68" s="120"/>
      <c r="KW68" s="120"/>
      <c r="KX68" s="120"/>
      <c r="KY68" s="120"/>
      <c r="KZ68" s="120"/>
      <c r="LA68" s="120"/>
      <c r="LB68" s="120"/>
      <c r="LC68" s="120"/>
      <c r="LD68" s="120"/>
      <c r="LE68" s="120"/>
      <c r="LF68" s="120"/>
      <c r="LG68" s="120"/>
      <c r="LH68" s="120"/>
      <c r="LI68" s="120"/>
      <c r="LJ68" s="120"/>
      <c r="LK68" s="120"/>
      <c r="LL68" s="120"/>
      <c r="LM68" s="120"/>
      <c r="LN68" s="120"/>
      <c r="LO68" s="120"/>
      <c r="LP68" s="120"/>
      <c r="LQ68" s="120"/>
      <c r="LR68" s="120"/>
      <c r="LS68" s="120"/>
      <c r="LT68" s="120"/>
      <c r="LU68" s="120"/>
      <c r="LV68" s="120"/>
      <c r="LW68" s="120"/>
      <c r="LX68" s="120"/>
      <c r="LY68" s="120"/>
      <c r="LZ68" s="120"/>
      <c r="MA68" s="120"/>
      <c r="MB68" s="120"/>
      <c r="MC68" s="120"/>
      <c r="MD68" s="120"/>
      <c r="ME68" s="120"/>
      <c r="MF68" s="120"/>
      <c r="MG68" s="120"/>
      <c r="MH68" s="120"/>
      <c r="MI68" s="120"/>
      <c r="MJ68" s="120"/>
      <c r="MK68" s="120"/>
      <c r="ML68" s="120"/>
      <c r="MM68" s="120"/>
      <c r="MN68" s="120"/>
      <c r="MO68" s="120"/>
      <c r="MP68" s="120"/>
      <c r="MQ68" s="120"/>
      <c r="MR68" s="120"/>
      <c r="MS68" s="120"/>
      <c r="MT68" s="120"/>
      <c r="MU68" s="120"/>
      <c r="MV68" s="120"/>
      <c r="MW68" s="120"/>
      <c r="MX68" s="120"/>
      <c r="MY68" s="120"/>
      <c r="MZ68" s="120"/>
      <c r="NA68" s="120"/>
      <c r="NB68" s="120"/>
      <c r="NC68" s="120"/>
      <c r="ND68" s="120"/>
      <c r="NE68" s="120"/>
      <c r="NF68" s="120"/>
      <c r="NG68" s="120"/>
      <c r="NH68" s="120"/>
      <c r="NI68" s="120"/>
      <c r="NJ68" s="120"/>
      <c r="NK68" s="120"/>
      <c r="NL68" s="120"/>
      <c r="NM68" s="120"/>
      <c r="NN68" s="120"/>
      <c r="NO68" s="120"/>
      <c r="NP68" s="120"/>
      <c r="NQ68" s="120"/>
      <c r="NR68" s="120"/>
      <c r="NS68" s="120"/>
      <c r="NT68" s="120"/>
      <c r="NU68" s="120"/>
      <c r="NV68" s="120"/>
      <c r="NW68" s="120"/>
      <c r="NX68" s="120"/>
      <c r="NY68" s="120"/>
      <c r="NZ68" s="120"/>
      <c r="OA68" s="120"/>
      <c r="OB68" s="120"/>
      <c r="OC68" s="120"/>
      <c r="OD68" s="120"/>
      <c r="OE68" s="120"/>
      <c r="OF68" s="120"/>
      <c r="OG68" s="120"/>
      <c r="OH68" s="120"/>
      <c r="OI68" s="120"/>
      <c r="OJ68" s="120"/>
      <c r="OK68" s="120"/>
      <c r="OL68" s="120"/>
      <c r="OM68" s="120"/>
      <c r="ON68" s="120"/>
      <c r="OO68" s="120"/>
      <c r="OP68" s="120"/>
      <c r="OQ68" s="120"/>
      <c r="OR68" s="120"/>
      <c r="OS68" s="120"/>
      <c r="OT68" s="120"/>
      <c r="OU68" s="120"/>
      <c r="OV68" s="120"/>
      <c r="OW68" s="120"/>
      <c r="OX68" s="120"/>
      <c r="OY68" s="120"/>
      <c r="OZ68" s="120"/>
      <c r="PA68" s="120"/>
      <c r="PB68" s="120"/>
      <c r="PC68" s="120"/>
      <c r="PD68" s="120"/>
      <c r="PE68" s="120"/>
      <c r="PF68" s="120"/>
      <c r="PG68" s="120"/>
      <c r="PH68" s="120"/>
      <c r="PI68" s="120"/>
      <c r="PJ68" s="120"/>
      <c r="PK68" s="120"/>
      <c r="PL68" s="120"/>
      <c r="PM68" s="120"/>
      <c r="PN68" s="120"/>
      <c r="PO68" s="120"/>
      <c r="PP68" s="120"/>
      <c r="PQ68" s="120"/>
      <c r="PR68" s="120"/>
      <c r="PS68" s="120"/>
      <c r="PT68" s="120"/>
      <c r="PU68" s="120"/>
      <c r="PV68" s="120"/>
      <c r="PW68" s="120"/>
      <c r="PX68" s="120"/>
      <c r="PY68" s="120"/>
      <c r="PZ68" s="120"/>
      <c r="QA68" s="120"/>
      <c r="QB68" s="120"/>
      <c r="QC68" s="120"/>
      <c r="QD68" s="120"/>
      <c r="QE68" s="120"/>
      <c r="QF68" s="120"/>
      <c r="QG68" s="120"/>
      <c r="QH68" s="120"/>
      <c r="QI68" s="120"/>
      <c r="QJ68" s="120"/>
      <c r="QK68" s="120"/>
      <c r="QL68" s="120"/>
      <c r="QM68" s="120"/>
      <c r="QN68" s="120"/>
      <c r="QO68" s="120"/>
      <c r="QP68" s="120"/>
      <c r="QQ68" s="120"/>
      <c r="QR68" s="120"/>
      <c r="QS68" s="120"/>
      <c r="QT68" s="120"/>
      <c r="QU68" s="120"/>
      <c r="QV68" s="120"/>
      <c r="QW68" s="120"/>
      <c r="QX68" s="120"/>
      <c r="QY68" s="120"/>
      <c r="QZ68" s="120"/>
      <c r="RA68" s="120"/>
      <c r="RB68" s="120"/>
      <c r="RC68" s="120"/>
      <c r="RD68" s="120"/>
      <c r="RE68" s="120"/>
      <c r="RF68" s="120"/>
      <c r="RG68" s="120"/>
      <c r="RH68" s="120"/>
      <c r="RI68" s="120"/>
      <c r="RJ68" s="120"/>
      <c r="RK68" s="120"/>
      <c r="RL68" s="120"/>
      <c r="RM68" s="120"/>
      <c r="RN68" s="120"/>
      <c r="RO68" s="120"/>
      <c r="RP68" s="120"/>
      <c r="RQ68" s="120"/>
      <c r="RR68" s="120"/>
      <c r="RS68" s="120"/>
      <c r="RT68" s="120"/>
      <c r="RU68" s="120"/>
      <c r="RV68" s="120"/>
      <c r="RW68" s="120"/>
      <c r="RX68" s="120"/>
      <c r="RY68" s="120"/>
      <c r="RZ68" s="120"/>
      <c r="SA68" s="120"/>
      <c r="SB68" s="120"/>
      <c r="SC68" s="120"/>
      <c r="SD68" s="120"/>
      <c r="SE68" s="120"/>
      <c r="SF68" s="120"/>
      <c r="SG68" s="120"/>
      <c r="SH68" s="120"/>
      <c r="SI68" s="120"/>
      <c r="SJ68" s="120"/>
      <c r="SK68" s="120"/>
      <c r="SL68" s="120"/>
      <c r="SM68" s="120"/>
      <c r="SN68" s="120"/>
      <c r="SO68" s="120"/>
      <c r="SP68" s="120"/>
      <c r="SQ68" s="120"/>
      <c r="SR68" s="120"/>
      <c r="SS68" s="120"/>
      <c r="ST68" s="120"/>
      <c r="SU68" s="120"/>
      <c r="SV68" s="120"/>
      <c r="SW68" s="120"/>
      <c r="SX68" s="120"/>
      <c r="SY68" s="120"/>
      <c r="SZ68" s="120"/>
      <c r="TA68" s="120"/>
      <c r="TB68" s="120"/>
      <c r="TC68" s="120"/>
      <c r="TD68" s="120"/>
      <c r="TE68" s="120"/>
      <c r="TF68" s="120"/>
      <c r="TG68" s="120"/>
      <c r="TH68" s="120"/>
      <c r="TI68" s="120"/>
      <c r="TJ68" s="120"/>
      <c r="TK68" s="120"/>
      <c r="TL68" s="120"/>
      <c r="TM68" s="120"/>
      <c r="TN68" s="120"/>
      <c r="TO68" s="120"/>
      <c r="TP68" s="120"/>
      <c r="TQ68" s="120"/>
      <c r="TR68" s="120"/>
      <c r="TS68" s="120"/>
      <c r="TT68" s="120"/>
      <c r="TU68" s="120"/>
      <c r="TV68" s="120"/>
      <c r="TW68" s="120"/>
      <c r="TX68" s="120"/>
      <c r="TY68" s="120"/>
      <c r="TZ68" s="120"/>
      <c r="UA68" s="120"/>
      <c r="UB68" s="120"/>
      <c r="UC68" s="120"/>
      <c r="UD68" s="120"/>
      <c r="UE68" s="120"/>
      <c r="UF68" s="120"/>
      <c r="UG68" s="120"/>
      <c r="UH68" s="120"/>
      <c r="UI68" s="120"/>
      <c r="UJ68" s="120"/>
      <c r="UK68" s="120"/>
      <c r="UL68" s="120"/>
      <c r="UM68" s="120"/>
      <c r="UN68" s="120"/>
      <c r="UO68" s="120"/>
      <c r="UP68" s="120"/>
      <c r="UQ68" s="120"/>
      <c r="UR68" s="120"/>
      <c r="US68" s="120"/>
      <c r="UT68" s="120"/>
      <c r="UU68" s="120"/>
      <c r="UV68" s="120"/>
      <c r="UW68" s="120"/>
      <c r="UX68" s="120"/>
      <c r="UY68" s="120"/>
      <c r="UZ68" s="120"/>
      <c r="VA68" s="120"/>
      <c r="VB68" s="120"/>
      <c r="VC68" s="120"/>
      <c r="VD68" s="120"/>
      <c r="VE68" s="120"/>
      <c r="VF68" s="120"/>
      <c r="VG68" s="120"/>
      <c r="VH68" s="120"/>
      <c r="VI68" s="120"/>
      <c r="VJ68" s="120"/>
      <c r="VK68" s="120"/>
      <c r="VL68" s="120"/>
      <c r="VM68" s="120"/>
      <c r="VN68" s="120"/>
      <c r="VO68" s="120"/>
      <c r="VP68" s="120"/>
      <c r="VQ68" s="120"/>
      <c r="VR68" s="120"/>
      <c r="VS68" s="120"/>
      <c r="VT68" s="120"/>
      <c r="VU68" s="120"/>
      <c r="VV68" s="120"/>
      <c r="VW68" s="120"/>
      <c r="VX68" s="120"/>
      <c r="VY68" s="120"/>
      <c r="VZ68" s="120"/>
      <c r="WA68" s="120"/>
      <c r="WB68" s="120"/>
      <c r="WC68" s="120"/>
      <c r="WD68" s="120"/>
      <c r="WE68" s="120"/>
      <c r="WF68" s="120"/>
      <c r="WG68" s="120"/>
      <c r="WH68" s="120"/>
      <c r="WI68" s="120"/>
      <c r="WJ68" s="120"/>
      <c r="WK68" s="120"/>
      <c r="WL68" s="120"/>
      <c r="WM68" s="120"/>
      <c r="WN68" s="120"/>
      <c r="WO68" s="120"/>
      <c r="WP68" s="120"/>
      <c r="WQ68" s="120"/>
      <c r="WR68" s="120"/>
      <c r="WS68" s="120"/>
      <c r="WT68" s="120"/>
      <c r="WU68" s="120"/>
      <c r="WV68" s="120"/>
      <c r="WW68" s="120"/>
      <c r="WX68" s="120"/>
      <c r="WY68" s="120"/>
      <c r="WZ68" s="120"/>
      <c r="XA68" s="120"/>
      <c r="XB68" s="120"/>
      <c r="XC68" s="120"/>
      <c r="XD68" s="120"/>
      <c r="XE68" s="120"/>
      <c r="XF68" s="120"/>
      <c r="XG68" s="120"/>
      <c r="XH68" s="120"/>
      <c r="XI68" s="120"/>
      <c r="XJ68" s="120"/>
      <c r="XK68" s="120"/>
      <c r="XL68" s="120"/>
      <c r="XM68" s="120"/>
      <c r="XN68" s="120"/>
      <c r="XO68" s="120"/>
      <c r="XP68" s="120"/>
      <c r="XQ68" s="120"/>
      <c r="XR68" s="120"/>
      <c r="XS68" s="120"/>
      <c r="XT68" s="120"/>
      <c r="XU68" s="120"/>
      <c r="XV68" s="120"/>
      <c r="XW68" s="120"/>
      <c r="XX68" s="120"/>
      <c r="XY68" s="120"/>
      <c r="XZ68" s="120"/>
      <c r="YA68" s="120"/>
      <c r="YB68" s="120"/>
      <c r="YC68" s="120"/>
      <c r="YD68" s="120"/>
      <c r="YE68" s="120"/>
      <c r="YF68" s="120"/>
      <c r="YG68" s="120"/>
      <c r="YH68" s="120"/>
      <c r="YI68" s="120"/>
      <c r="YJ68" s="120"/>
      <c r="YK68" s="120"/>
      <c r="YL68" s="120"/>
      <c r="YM68" s="120"/>
      <c r="YN68" s="120"/>
      <c r="YO68" s="120"/>
      <c r="YP68" s="120"/>
      <c r="YQ68" s="120"/>
      <c r="YR68" s="120"/>
      <c r="YS68" s="120"/>
      <c r="YT68" s="120"/>
      <c r="YU68" s="120"/>
      <c r="YV68" s="120"/>
      <c r="YW68" s="120"/>
      <c r="YX68" s="120"/>
      <c r="YY68" s="120"/>
      <c r="YZ68" s="120"/>
      <c r="ZA68" s="120"/>
      <c r="ZB68" s="120"/>
      <c r="ZC68" s="120"/>
      <c r="ZD68" s="120"/>
      <c r="ZE68" s="120"/>
      <c r="ZF68" s="120"/>
      <c r="ZG68" s="120"/>
      <c r="ZH68" s="120"/>
      <c r="ZI68" s="120"/>
      <c r="ZJ68" s="120"/>
      <c r="ZK68" s="120"/>
      <c r="ZL68" s="120"/>
      <c r="ZM68" s="120"/>
      <c r="ZN68" s="120"/>
      <c r="ZO68" s="120"/>
      <c r="ZP68" s="120"/>
      <c r="ZQ68" s="120"/>
      <c r="ZR68" s="120"/>
      <c r="ZS68" s="120"/>
      <c r="ZT68" s="120"/>
      <c r="ZU68" s="120"/>
      <c r="ZV68" s="120"/>
      <c r="ZW68" s="120"/>
      <c r="ZX68" s="120"/>
      <c r="ZY68" s="120"/>
      <c r="ZZ68" s="120"/>
      <c r="AAA68" s="120"/>
      <c r="AAB68" s="120"/>
      <c r="AAC68" s="120"/>
      <c r="AAD68" s="120"/>
      <c r="AAE68" s="120"/>
      <c r="AAF68" s="120"/>
      <c r="AAG68" s="120"/>
      <c r="AAH68" s="120"/>
      <c r="AAI68" s="120"/>
      <c r="AAJ68" s="120"/>
      <c r="AAK68" s="120"/>
      <c r="AAL68" s="120"/>
      <c r="AAM68" s="120"/>
      <c r="AAN68" s="120"/>
      <c r="AAO68" s="120"/>
      <c r="AAP68" s="120"/>
      <c r="AAQ68" s="120"/>
      <c r="AAR68" s="120"/>
      <c r="AAS68" s="120"/>
      <c r="AAT68" s="120"/>
      <c r="AAU68" s="120"/>
      <c r="AAV68" s="120"/>
      <c r="AAW68" s="120"/>
      <c r="AAX68" s="120"/>
      <c r="AAY68" s="120"/>
      <c r="AAZ68" s="120"/>
      <c r="ABA68" s="120"/>
      <c r="ABB68" s="120"/>
      <c r="ABC68" s="120"/>
      <c r="ABD68" s="120"/>
      <c r="ABE68" s="120"/>
      <c r="ABF68" s="120"/>
      <c r="ABG68" s="120"/>
      <c r="ABH68" s="120"/>
      <c r="ABI68" s="120"/>
      <c r="ABJ68" s="120"/>
      <c r="ABK68" s="120"/>
      <c r="ABL68" s="120"/>
      <c r="ABM68" s="120"/>
      <c r="ABN68" s="120"/>
      <c r="ABO68" s="120"/>
      <c r="ABP68" s="120"/>
      <c r="ABQ68" s="120"/>
      <c r="ABR68" s="120"/>
      <c r="ABS68" s="120"/>
      <c r="ABT68" s="120"/>
      <c r="ABU68" s="120"/>
      <c r="ABV68" s="120"/>
      <c r="ABW68" s="120"/>
      <c r="ABX68" s="120"/>
      <c r="ABY68" s="120"/>
      <c r="ABZ68" s="120"/>
      <c r="ACA68" s="120"/>
      <c r="ACB68" s="120"/>
      <c r="ACC68" s="120"/>
      <c r="ACD68" s="120"/>
      <c r="ACE68" s="120"/>
      <c r="ACF68" s="120"/>
      <c r="ACG68" s="120"/>
      <c r="ACH68" s="120"/>
      <c r="ACI68" s="120"/>
      <c r="ACJ68" s="120"/>
      <c r="ACK68" s="120"/>
      <c r="ACL68" s="120"/>
      <c r="ACM68" s="120"/>
      <c r="ACN68" s="120"/>
      <c r="ACO68" s="120"/>
      <c r="ACP68" s="120"/>
      <c r="ACQ68" s="120"/>
      <c r="ACR68" s="120"/>
      <c r="ACS68" s="120"/>
      <c r="ACT68" s="120"/>
      <c r="ACU68" s="120"/>
      <c r="ACV68" s="120"/>
      <c r="ACW68" s="120"/>
      <c r="ACX68" s="120"/>
      <c r="ACY68" s="120"/>
      <c r="ACZ68" s="120"/>
      <c r="ADA68" s="120"/>
      <c r="ADB68" s="120"/>
      <c r="ADC68" s="120"/>
      <c r="ADD68" s="120"/>
      <c r="ADE68" s="120"/>
      <c r="ADF68" s="120"/>
      <c r="ADG68" s="120"/>
      <c r="ADH68" s="120"/>
      <c r="ADI68" s="120"/>
      <c r="ADJ68" s="120"/>
      <c r="ADK68" s="120"/>
      <c r="ADL68" s="120"/>
      <c r="ADM68" s="120"/>
      <c r="ADN68" s="120"/>
      <c r="ADO68" s="120"/>
      <c r="ADP68" s="120"/>
      <c r="ADQ68" s="120"/>
      <c r="ADR68" s="120"/>
      <c r="ADS68" s="120"/>
      <c r="ADT68" s="120"/>
      <c r="ADU68" s="120"/>
      <c r="ADV68" s="120"/>
      <c r="ADW68" s="120"/>
      <c r="ADX68" s="120"/>
      <c r="ADY68" s="120"/>
      <c r="ADZ68" s="120"/>
      <c r="AEA68" s="120"/>
      <c r="AEB68" s="120"/>
      <c r="AEC68" s="120"/>
      <c r="AED68" s="120"/>
      <c r="AEE68" s="120"/>
      <c r="AEF68" s="120"/>
      <c r="AEG68" s="120"/>
      <c r="AEH68" s="120"/>
      <c r="AEI68" s="120"/>
      <c r="AEJ68" s="120"/>
      <c r="AEK68" s="120"/>
      <c r="AEL68" s="120"/>
      <c r="AEM68" s="120"/>
      <c r="AEN68" s="120"/>
      <c r="AEO68" s="120"/>
      <c r="AEP68" s="120"/>
      <c r="AEQ68" s="120"/>
      <c r="AER68" s="120"/>
      <c r="AES68" s="120"/>
      <c r="AET68" s="120"/>
      <c r="AEU68" s="120"/>
      <c r="AEV68" s="120"/>
      <c r="AEW68" s="120"/>
      <c r="AEX68" s="120"/>
      <c r="AEY68" s="120"/>
      <c r="AEZ68" s="120"/>
      <c r="AFA68" s="120"/>
      <c r="AFB68" s="120"/>
      <c r="AFC68" s="120"/>
      <c r="AFD68" s="120"/>
      <c r="AFE68" s="120"/>
      <c r="AFF68" s="120"/>
      <c r="AFG68" s="120"/>
      <c r="AFH68" s="120"/>
      <c r="AFI68" s="120"/>
      <c r="AFJ68" s="120"/>
      <c r="AFK68" s="120"/>
      <c r="AFL68" s="120"/>
      <c r="AFM68" s="120"/>
      <c r="AFN68" s="120"/>
      <c r="AFO68" s="120"/>
      <c r="AFP68" s="120"/>
      <c r="AFQ68" s="120"/>
      <c r="AFR68" s="120"/>
      <c r="AFS68" s="120"/>
      <c r="AFT68" s="120"/>
      <c r="AFU68" s="120"/>
      <c r="AFV68" s="120"/>
      <c r="AFW68" s="120"/>
      <c r="AFX68" s="120"/>
      <c r="AFY68" s="120"/>
      <c r="AFZ68" s="120"/>
      <c r="AGA68" s="120"/>
      <c r="AGB68" s="120"/>
      <c r="AGC68" s="120"/>
      <c r="AGD68" s="120"/>
      <c r="AGE68" s="120"/>
      <c r="AGF68" s="120"/>
      <c r="AGG68" s="120"/>
      <c r="AGH68" s="120"/>
      <c r="AGI68" s="120"/>
      <c r="AGJ68" s="120"/>
      <c r="AGK68" s="120"/>
      <c r="AGL68" s="120"/>
      <c r="AGM68" s="120"/>
      <c r="AGN68" s="120"/>
      <c r="AGO68" s="120"/>
      <c r="AGP68" s="120"/>
      <c r="AGQ68" s="120"/>
      <c r="AGR68" s="120"/>
      <c r="AGS68" s="120"/>
      <c r="AGT68" s="120"/>
      <c r="AGU68" s="120"/>
      <c r="AGV68" s="120"/>
      <c r="AGW68" s="120"/>
      <c r="AGX68" s="120"/>
      <c r="AGY68" s="120"/>
      <c r="AGZ68" s="120"/>
      <c r="AHA68" s="120"/>
      <c r="AHB68" s="120"/>
      <c r="AHC68" s="120"/>
      <c r="AHD68" s="120"/>
      <c r="AHE68" s="120"/>
      <c r="AHF68" s="120"/>
      <c r="AHG68" s="120"/>
      <c r="AHH68" s="120"/>
      <c r="AHI68" s="120"/>
      <c r="AHJ68" s="120"/>
      <c r="AHK68" s="120"/>
      <c r="AHL68" s="120"/>
      <c r="AHM68" s="120"/>
      <c r="AHN68" s="120"/>
      <c r="AHO68" s="120"/>
      <c r="AHP68" s="120"/>
      <c r="AHQ68" s="120"/>
      <c r="AHR68" s="120"/>
      <c r="AHS68" s="120"/>
      <c r="AHT68" s="120"/>
      <c r="AHU68" s="120"/>
      <c r="AHV68" s="120"/>
      <c r="AHW68" s="120"/>
      <c r="AHX68" s="120"/>
      <c r="AHY68" s="120"/>
      <c r="AHZ68" s="120"/>
      <c r="AIA68" s="120"/>
      <c r="AIB68" s="120"/>
      <c r="AIC68" s="120"/>
      <c r="AID68" s="120"/>
      <c r="AIE68" s="120"/>
      <c r="AIF68" s="120"/>
      <c r="AIG68" s="120"/>
      <c r="AIH68" s="120"/>
      <c r="AII68" s="120"/>
      <c r="AIJ68" s="120"/>
      <c r="AIK68" s="120"/>
      <c r="AIL68" s="120"/>
      <c r="AIM68" s="120"/>
      <c r="AIN68" s="120"/>
      <c r="AIO68" s="120"/>
      <c r="AIP68" s="120"/>
      <c r="AIQ68" s="120"/>
      <c r="AIR68" s="120"/>
      <c r="AIS68" s="120"/>
      <c r="AIT68" s="120"/>
      <c r="AIU68" s="120"/>
      <c r="AIV68" s="120"/>
      <c r="AIW68" s="120"/>
      <c r="AIX68" s="120"/>
      <c r="AIY68" s="120"/>
      <c r="AIZ68" s="120"/>
    </row>
    <row r="69">
      <c r="A69" s="112" t="s">
        <v>7</v>
      </c>
      <c r="B69" s="112" t="s">
        <v>27</v>
      </c>
      <c r="C69" s="112"/>
      <c r="D69" s="113">
        <f t="shared" si="1"/>
        <v>768.9235</v>
      </c>
      <c r="E69" s="112">
        <v>70.8047</v>
      </c>
      <c r="F69" s="113"/>
      <c r="G69" s="113"/>
      <c r="H69" s="113"/>
      <c r="I69" s="113"/>
      <c r="J69" s="113"/>
      <c r="K69" s="113"/>
      <c r="L69" s="112">
        <v>1.40315</v>
      </c>
      <c r="M69" s="112">
        <v>10.18525</v>
      </c>
      <c r="N69" s="113"/>
      <c r="O69" s="113"/>
      <c r="P69" s="112">
        <v>209.883333333333</v>
      </c>
      <c r="Q69" s="113"/>
      <c r="R69" s="113"/>
      <c r="S69" s="113"/>
      <c r="T69" s="113"/>
      <c r="U69" s="113"/>
      <c r="V69" s="112">
        <v>2.62235</v>
      </c>
      <c r="W69" s="112">
        <v>76.5717666666667</v>
      </c>
      <c r="X69" s="113"/>
      <c r="Y69" s="113"/>
      <c r="Z69" s="113"/>
      <c r="AA69" s="113"/>
      <c r="AB69" s="113"/>
      <c r="AC69" s="112">
        <v>1.50048333333333</v>
      </c>
      <c r="AD69" s="112">
        <v>131.033066666667</v>
      </c>
      <c r="AE69" s="113"/>
      <c r="AF69" s="113"/>
      <c r="AG69" s="113"/>
      <c r="AH69" s="113"/>
      <c r="AI69" s="113"/>
      <c r="AJ69" s="112">
        <v>2.58436666666667</v>
      </c>
      <c r="AK69" s="112">
        <v>61.03015</v>
      </c>
      <c r="AL69" s="113"/>
      <c r="AM69" s="113"/>
      <c r="AN69" s="113"/>
      <c r="AO69" s="112">
        <v>6.52013333333333</v>
      </c>
      <c r="AP69" s="112">
        <v>34.8910166666667</v>
      </c>
      <c r="AQ69" s="113"/>
      <c r="AR69" s="113"/>
      <c r="AS69" s="112">
        <v>3.4819</v>
      </c>
      <c r="AT69" s="112">
        <v>143.472816666667</v>
      </c>
      <c r="AU69" s="113"/>
      <c r="AV69" s="112">
        <v>12.639</v>
      </c>
      <c r="AW69" s="112">
        <v>0.300016666666667</v>
      </c>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c r="EZ69" s="113"/>
      <c r="FA69" s="113"/>
      <c r="FB69" s="113"/>
      <c r="FC69" s="113"/>
      <c r="FD69" s="113"/>
      <c r="FE69" s="113"/>
      <c r="FF69" s="113"/>
      <c r="FG69" s="113"/>
      <c r="FH69" s="113"/>
      <c r="FI69" s="113"/>
      <c r="FJ69" s="113"/>
      <c r="FK69" s="113"/>
      <c r="FL69" s="113"/>
      <c r="FM69" s="113"/>
      <c r="FN69" s="113"/>
      <c r="FO69" s="113"/>
      <c r="FP69" s="113"/>
      <c r="FQ69" s="113"/>
      <c r="FR69" s="113"/>
      <c r="FS69" s="113"/>
      <c r="FT69" s="113"/>
      <c r="FU69" s="113"/>
      <c r="FV69" s="113"/>
      <c r="FW69" s="113"/>
      <c r="FX69" s="113"/>
      <c r="FY69" s="113"/>
      <c r="FZ69" s="113"/>
      <c r="GA69" s="113"/>
      <c r="GB69" s="113"/>
      <c r="GC69" s="113"/>
      <c r="GD69" s="113"/>
      <c r="GE69" s="113"/>
      <c r="GF69" s="113"/>
      <c r="GG69" s="113"/>
      <c r="GH69" s="113"/>
      <c r="GI69" s="113"/>
      <c r="GJ69" s="113"/>
      <c r="GK69" s="113"/>
      <c r="GL69" s="113"/>
      <c r="GM69" s="113"/>
      <c r="GN69" s="113"/>
      <c r="GO69" s="113"/>
      <c r="GP69" s="113"/>
      <c r="GQ69" s="113"/>
      <c r="GR69" s="113"/>
      <c r="GS69" s="113"/>
      <c r="GT69" s="113"/>
      <c r="GU69" s="113"/>
      <c r="GV69" s="113"/>
      <c r="GW69" s="113"/>
      <c r="GX69" s="113"/>
      <c r="GY69" s="113"/>
      <c r="GZ69" s="113"/>
      <c r="HA69" s="113"/>
      <c r="HB69" s="113"/>
      <c r="HC69" s="113"/>
      <c r="HD69" s="113"/>
      <c r="HE69" s="113"/>
      <c r="HF69" s="113"/>
      <c r="HG69" s="113"/>
      <c r="HH69" s="113"/>
      <c r="HI69" s="113"/>
      <c r="HJ69" s="113"/>
      <c r="HK69" s="113"/>
      <c r="HL69" s="113"/>
      <c r="HM69" s="113"/>
      <c r="HN69" s="113"/>
      <c r="HO69" s="113"/>
      <c r="HP69" s="113"/>
      <c r="HQ69" s="113"/>
      <c r="HR69" s="113"/>
      <c r="HS69" s="113"/>
      <c r="HT69" s="113"/>
      <c r="HU69" s="113"/>
      <c r="HV69" s="113"/>
      <c r="HW69" s="113"/>
      <c r="HX69" s="113"/>
      <c r="HY69" s="113"/>
      <c r="HZ69" s="113"/>
      <c r="IA69" s="113"/>
      <c r="IB69" s="113"/>
      <c r="IC69" s="113"/>
      <c r="ID69" s="113"/>
      <c r="IE69" s="113"/>
      <c r="IF69" s="113"/>
      <c r="IG69" s="113"/>
      <c r="IH69" s="113"/>
      <c r="II69" s="113"/>
      <c r="IJ69" s="113"/>
      <c r="IK69" s="113"/>
      <c r="IL69" s="113"/>
      <c r="IM69" s="113"/>
      <c r="IN69" s="113"/>
      <c r="IO69" s="113"/>
      <c r="IP69" s="113"/>
      <c r="IQ69" s="113"/>
      <c r="IR69" s="113"/>
      <c r="IS69" s="113"/>
      <c r="IT69" s="113"/>
      <c r="IU69" s="113"/>
      <c r="IV69" s="113"/>
      <c r="IW69" s="113"/>
      <c r="IX69" s="113"/>
      <c r="IY69" s="113"/>
      <c r="IZ69" s="113"/>
      <c r="JA69" s="113"/>
      <c r="JB69" s="113"/>
      <c r="JC69" s="113"/>
      <c r="JD69" s="113"/>
      <c r="JE69" s="113"/>
      <c r="JF69" s="113"/>
      <c r="JG69" s="113"/>
      <c r="JH69" s="113"/>
      <c r="JI69" s="113"/>
      <c r="JJ69" s="113"/>
      <c r="JK69" s="113"/>
      <c r="JL69" s="113"/>
      <c r="JM69" s="113"/>
      <c r="JN69" s="113"/>
      <c r="JO69" s="113"/>
      <c r="JP69" s="113"/>
      <c r="JQ69" s="113"/>
      <c r="JR69" s="113"/>
      <c r="JS69" s="113"/>
      <c r="JT69" s="113"/>
      <c r="JU69" s="113"/>
      <c r="JV69" s="113"/>
      <c r="JW69" s="113"/>
      <c r="JX69" s="113"/>
      <c r="JY69" s="113"/>
      <c r="JZ69" s="113"/>
      <c r="KA69" s="113"/>
      <c r="KB69" s="113"/>
      <c r="KC69" s="113"/>
      <c r="KD69" s="113"/>
      <c r="KE69" s="113"/>
      <c r="KF69" s="113"/>
      <c r="KG69" s="113"/>
      <c r="KH69" s="113"/>
      <c r="KI69" s="113"/>
      <c r="KJ69" s="113"/>
      <c r="KK69" s="113"/>
      <c r="KL69" s="113"/>
      <c r="KM69" s="113"/>
      <c r="KN69" s="113"/>
      <c r="KO69" s="113"/>
      <c r="KP69" s="113"/>
      <c r="KQ69" s="113"/>
      <c r="KR69" s="113"/>
      <c r="KS69" s="113"/>
      <c r="KT69" s="113"/>
      <c r="KU69" s="113"/>
      <c r="KV69" s="113"/>
      <c r="KW69" s="113"/>
      <c r="KX69" s="113"/>
      <c r="KY69" s="113"/>
      <c r="KZ69" s="113"/>
      <c r="LA69" s="113"/>
      <c r="LB69" s="113"/>
      <c r="LC69" s="113"/>
      <c r="LD69" s="113"/>
      <c r="LE69" s="113"/>
      <c r="LF69" s="113"/>
      <c r="LG69" s="113"/>
      <c r="LH69" s="113"/>
      <c r="LI69" s="113"/>
      <c r="LJ69" s="113"/>
      <c r="LK69" s="113"/>
      <c r="LL69" s="113"/>
      <c r="LM69" s="113"/>
      <c r="LN69" s="113"/>
      <c r="LO69" s="113"/>
      <c r="LP69" s="113"/>
      <c r="LQ69" s="113"/>
      <c r="LR69" s="113"/>
      <c r="LS69" s="113"/>
      <c r="LT69" s="113"/>
      <c r="LU69" s="113"/>
      <c r="LV69" s="113"/>
      <c r="LW69" s="113"/>
      <c r="LX69" s="113"/>
      <c r="LY69" s="113"/>
      <c r="LZ69" s="113"/>
      <c r="MA69" s="113"/>
      <c r="MB69" s="113"/>
      <c r="MC69" s="113"/>
      <c r="MD69" s="113"/>
      <c r="ME69" s="113"/>
      <c r="MF69" s="113"/>
      <c r="MG69" s="113"/>
      <c r="MH69" s="113"/>
      <c r="MI69" s="113"/>
      <c r="MJ69" s="113"/>
      <c r="MK69" s="113"/>
      <c r="ML69" s="113"/>
      <c r="MM69" s="113"/>
      <c r="MN69" s="113"/>
      <c r="MO69" s="113"/>
      <c r="MP69" s="113"/>
      <c r="MQ69" s="113"/>
      <c r="MR69" s="113"/>
      <c r="MS69" s="113"/>
      <c r="MT69" s="113"/>
      <c r="MU69" s="113"/>
      <c r="MV69" s="113"/>
      <c r="MW69" s="113"/>
      <c r="MX69" s="113"/>
      <c r="MY69" s="113"/>
      <c r="MZ69" s="113"/>
      <c r="NA69" s="113"/>
      <c r="NB69" s="113"/>
      <c r="NC69" s="113"/>
      <c r="ND69" s="113"/>
      <c r="NE69" s="113"/>
      <c r="NF69" s="113"/>
      <c r="NG69" s="113"/>
      <c r="NH69" s="113"/>
      <c r="NI69" s="113"/>
      <c r="NJ69" s="113"/>
      <c r="NK69" s="113"/>
      <c r="NL69" s="113"/>
      <c r="NM69" s="113"/>
      <c r="NN69" s="113"/>
      <c r="NO69" s="113"/>
      <c r="NP69" s="113"/>
      <c r="NQ69" s="113"/>
      <c r="NR69" s="113"/>
      <c r="NS69" s="113"/>
      <c r="NT69" s="113"/>
      <c r="NU69" s="113"/>
      <c r="NV69" s="113"/>
      <c r="NW69" s="113"/>
      <c r="NX69" s="113"/>
      <c r="NY69" s="113"/>
      <c r="NZ69" s="113"/>
      <c r="OA69" s="113"/>
      <c r="OB69" s="113"/>
      <c r="OC69" s="113"/>
      <c r="OD69" s="113"/>
      <c r="OE69" s="113"/>
      <c r="OF69" s="113"/>
      <c r="OG69" s="113"/>
      <c r="OH69" s="113"/>
      <c r="OI69" s="113"/>
      <c r="OJ69" s="113"/>
      <c r="OK69" s="113"/>
      <c r="OL69" s="113"/>
      <c r="OM69" s="113"/>
      <c r="ON69" s="113"/>
      <c r="OO69" s="113"/>
      <c r="OP69" s="113"/>
      <c r="OQ69" s="113"/>
      <c r="OR69" s="113"/>
      <c r="OS69" s="113"/>
      <c r="OT69" s="113"/>
      <c r="OU69" s="113"/>
      <c r="OV69" s="113"/>
      <c r="OW69" s="113"/>
      <c r="OX69" s="113"/>
      <c r="OY69" s="113"/>
      <c r="OZ69" s="113"/>
      <c r="PA69" s="113"/>
      <c r="PB69" s="113"/>
      <c r="PC69" s="113"/>
      <c r="PD69" s="113"/>
      <c r="PE69" s="113"/>
      <c r="PF69" s="113"/>
      <c r="PG69" s="113"/>
      <c r="PH69" s="113"/>
      <c r="PI69" s="113"/>
      <c r="PJ69" s="113"/>
      <c r="PK69" s="113"/>
      <c r="PL69" s="113"/>
      <c r="PM69" s="113"/>
      <c r="PN69" s="113"/>
      <c r="PO69" s="113"/>
      <c r="PP69" s="113"/>
      <c r="PQ69" s="113"/>
      <c r="PR69" s="113"/>
      <c r="PS69" s="113"/>
      <c r="PT69" s="113"/>
      <c r="PU69" s="113"/>
      <c r="PV69" s="113"/>
      <c r="PW69" s="113"/>
      <c r="PX69" s="113"/>
      <c r="PY69" s="113"/>
      <c r="PZ69" s="113"/>
      <c r="QA69" s="113"/>
      <c r="QB69" s="113"/>
      <c r="QC69" s="113"/>
      <c r="QD69" s="113"/>
      <c r="QE69" s="113"/>
      <c r="QF69" s="113"/>
      <c r="QG69" s="113"/>
      <c r="QH69" s="113"/>
      <c r="QI69" s="113"/>
      <c r="QJ69" s="113"/>
      <c r="QK69" s="113"/>
      <c r="QL69" s="113"/>
      <c r="QM69" s="113"/>
      <c r="QN69" s="113"/>
      <c r="QO69" s="113"/>
      <c r="QP69" s="113"/>
      <c r="QQ69" s="113"/>
      <c r="QR69" s="113"/>
      <c r="QS69" s="113"/>
      <c r="QT69" s="113"/>
      <c r="QU69" s="113"/>
      <c r="QV69" s="113"/>
      <c r="QW69" s="113"/>
      <c r="QX69" s="113"/>
      <c r="QY69" s="113"/>
      <c r="QZ69" s="113"/>
      <c r="RA69" s="113"/>
      <c r="RB69" s="113"/>
      <c r="RC69" s="113"/>
      <c r="RD69" s="113"/>
      <c r="RE69" s="113"/>
      <c r="RF69" s="113"/>
      <c r="RG69" s="113"/>
      <c r="RH69" s="113"/>
      <c r="RI69" s="113"/>
      <c r="RJ69" s="113"/>
      <c r="RK69" s="113"/>
      <c r="RL69" s="113"/>
      <c r="RM69" s="113"/>
      <c r="RN69" s="113"/>
      <c r="RO69" s="113"/>
      <c r="RP69" s="113"/>
      <c r="RQ69" s="113"/>
      <c r="RR69" s="113"/>
      <c r="RS69" s="113"/>
      <c r="RT69" s="113"/>
      <c r="RU69" s="113"/>
      <c r="RV69" s="113"/>
      <c r="RW69" s="113"/>
      <c r="RX69" s="113"/>
      <c r="RY69" s="113"/>
      <c r="RZ69" s="113"/>
      <c r="SA69" s="113"/>
      <c r="SB69" s="113"/>
      <c r="SC69" s="113"/>
      <c r="SD69" s="113"/>
      <c r="SE69" s="113"/>
      <c r="SF69" s="113"/>
      <c r="SG69" s="113"/>
      <c r="SH69" s="113"/>
      <c r="SI69" s="113"/>
      <c r="SJ69" s="113"/>
      <c r="SK69" s="113"/>
      <c r="SL69" s="113"/>
      <c r="SM69" s="113"/>
      <c r="SN69" s="113"/>
      <c r="SO69" s="113"/>
      <c r="SP69" s="113"/>
      <c r="SQ69" s="113"/>
      <c r="SR69" s="113"/>
      <c r="SS69" s="113"/>
      <c r="ST69" s="113"/>
      <c r="SU69" s="113"/>
      <c r="SV69" s="113"/>
      <c r="SW69" s="113"/>
      <c r="SX69" s="113"/>
      <c r="SY69" s="113"/>
      <c r="SZ69" s="113"/>
      <c r="TA69" s="113"/>
      <c r="TB69" s="113"/>
      <c r="TC69" s="113"/>
      <c r="TD69" s="113"/>
      <c r="TE69" s="113"/>
      <c r="TF69" s="113"/>
      <c r="TG69" s="113"/>
      <c r="TH69" s="113"/>
      <c r="TI69" s="113"/>
      <c r="TJ69" s="113"/>
      <c r="TK69" s="113"/>
      <c r="TL69" s="113"/>
      <c r="TM69" s="113"/>
      <c r="TN69" s="113"/>
      <c r="TO69" s="113"/>
      <c r="TP69" s="113"/>
      <c r="TQ69" s="113"/>
      <c r="TR69" s="113"/>
      <c r="TS69" s="113"/>
      <c r="TT69" s="113"/>
      <c r="TU69" s="113"/>
      <c r="TV69" s="113"/>
      <c r="TW69" s="113"/>
      <c r="TX69" s="113"/>
      <c r="TY69" s="113"/>
      <c r="TZ69" s="113"/>
      <c r="UA69" s="113"/>
      <c r="UB69" s="113"/>
      <c r="UC69" s="113"/>
      <c r="UD69" s="113"/>
      <c r="UE69" s="113"/>
      <c r="UF69" s="113"/>
      <c r="UG69" s="113"/>
      <c r="UH69" s="113"/>
      <c r="UI69" s="113"/>
      <c r="UJ69" s="113"/>
      <c r="UK69" s="113"/>
      <c r="UL69" s="113"/>
      <c r="UM69" s="113"/>
      <c r="UN69" s="113"/>
      <c r="UO69" s="113"/>
      <c r="UP69" s="113"/>
      <c r="UQ69" s="113"/>
      <c r="UR69" s="113"/>
      <c r="US69" s="113"/>
      <c r="UT69" s="113"/>
      <c r="UU69" s="113"/>
      <c r="UV69" s="113"/>
      <c r="UW69" s="113"/>
      <c r="UX69" s="113"/>
      <c r="UY69" s="113"/>
      <c r="UZ69" s="113"/>
      <c r="VA69" s="113"/>
      <c r="VB69" s="113"/>
      <c r="VC69" s="113"/>
      <c r="VD69" s="113"/>
      <c r="VE69" s="113"/>
      <c r="VF69" s="113"/>
      <c r="VG69" s="113"/>
      <c r="VH69" s="113"/>
      <c r="VI69" s="113"/>
      <c r="VJ69" s="113"/>
      <c r="VK69" s="113"/>
      <c r="VL69" s="113"/>
      <c r="VM69" s="113"/>
      <c r="VN69" s="113"/>
      <c r="VO69" s="113"/>
      <c r="VP69" s="113"/>
      <c r="VQ69" s="113"/>
      <c r="VR69" s="113"/>
      <c r="VS69" s="113"/>
      <c r="VT69" s="113"/>
      <c r="VU69" s="113"/>
      <c r="VV69" s="113"/>
      <c r="VW69" s="113"/>
      <c r="VX69" s="113"/>
      <c r="VY69" s="113"/>
      <c r="VZ69" s="113"/>
      <c r="WA69" s="113"/>
      <c r="WB69" s="113"/>
      <c r="WC69" s="113"/>
      <c r="WD69" s="113"/>
      <c r="WE69" s="113"/>
      <c r="WF69" s="113"/>
      <c r="WG69" s="113"/>
      <c r="WH69" s="113"/>
      <c r="WI69" s="113"/>
      <c r="WJ69" s="113"/>
      <c r="WK69" s="113"/>
      <c r="WL69" s="113"/>
      <c r="WM69" s="113"/>
      <c r="WN69" s="113"/>
      <c r="WO69" s="113"/>
      <c r="WP69" s="113"/>
      <c r="WQ69" s="113"/>
      <c r="WR69" s="113"/>
      <c r="WS69" s="113"/>
      <c r="WT69" s="113"/>
      <c r="WU69" s="113"/>
      <c r="WV69" s="113"/>
      <c r="WW69" s="113"/>
      <c r="WX69" s="113"/>
      <c r="WY69" s="113"/>
      <c r="WZ69" s="113"/>
      <c r="XA69" s="113"/>
      <c r="XB69" s="113"/>
      <c r="XC69" s="113"/>
      <c r="XD69" s="113"/>
      <c r="XE69" s="113"/>
      <c r="XF69" s="113"/>
      <c r="XG69" s="113"/>
      <c r="XH69" s="113"/>
      <c r="XI69" s="113"/>
      <c r="XJ69" s="113"/>
      <c r="XK69" s="113"/>
      <c r="XL69" s="113"/>
      <c r="XM69" s="113"/>
      <c r="XN69" s="113"/>
      <c r="XO69" s="113"/>
      <c r="XP69" s="113"/>
      <c r="XQ69" s="113"/>
      <c r="XR69" s="113"/>
      <c r="XS69" s="113"/>
      <c r="XT69" s="113"/>
      <c r="XU69" s="113"/>
      <c r="XV69" s="113"/>
      <c r="XW69" s="113"/>
      <c r="XX69" s="113"/>
      <c r="XY69" s="113"/>
      <c r="XZ69" s="113"/>
      <c r="YA69" s="113"/>
      <c r="YB69" s="113"/>
      <c r="YC69" s="113"/>
      <c r="YD69" s="113"/>
      <c r="YE69" s="113"/>
      <c r="YF69" s="113"/>
      <c r="YG69" s="113"/>
      <c r="YH69" s="113"/>
      <c r="YI69" s="113"/>
      <c r="YJ69" s="113"/>
      <c r="YK69" s="113"/>
      <c r="YL69" s="113"/>
      <c r="YM69" s="113"/>
      <c r="YN69" s="113"/>
      <c r="YO69" s="113"/>
      <c r="YP69" s="113"/>
      <c r="YQ69" s="113"/>
      <c r="YR69" s="113"/>
      <c r="YS69" s="113"/>
      <c r="YT69" s="113"/>
      <c r="YU69" s="113"/>
      <c r="YV69" s="113"/>
      <c r="YW69" s="113"/>
      <c r="YX69" s="113"/>
      <c r="YY69" s="113"/>
      <c r="YZ69" s="113"/>
      <c r="ZA69" s="113"/>
      <c r="ZB69" s="113"/>
      <c r="ZC69" s="113"/>
      <c r="ZD69" s="113"/>
      <c r="ZE69" s="113"/>
      <c r="ZF69" s="113"/>
      <c r="ZG69" s="113"/>
      <c r="ZH69" s="113"/>
      <c r="ZI69" s="113"/>
      <c r="ZJ69" s="113"/>
      <c r="ZK69" s="113"/>
      <c r="ZL69" s="113"/>
      <c r="ZM69" s="113"/>
      <c r="ZN69" s="113"/>
      <c r="ZO69" s="113"/>
      <c r="ZP69" s="113"/>
      <c r="ZQ69" s="113"/>
      <c r="ZR69" s="113"/>
      <c r="ZS69" s="113"/>
      <c r="ZT69" s="113"/>
      <c r="ZU69" s="113"/>
      <c r="ZV69" s="113"/>
      <c r="ZW69" s="113"/>
      <c r="ZX69" s="113"/>
      <c r="ZY69" s="113"/>
      <c r="ZZ69" s="113"/>
      <c r="AAA69" s="113"/>
      <c r="AAB69" s="113"/>
      <c r="AAC69" s="113"/>
      <c r="AAD69" s="113"/>
      <c r="AAE69" s="113"/>
      <c r="AAF69" s="113"/>
      <c r="AAG69" s="113"/>
      <c r="AAH69" s="113"/>
      <c r="AAI69" s="113"/>
      <c r="AAJ69" s="113"/>
      <c r="AAK69" s="113"/>
      <c r="AAL69" s="113"/>
      <c r="AAM69" s="113"/>
      <c r="AAN69" s="113"/>
      <c r="AAO69" s="113"/>
      <c r="AAP69" s="113"/>
      <c r="AAQ69" s="113"/>
      <c r="AAR69" s="113"/>
      <c r="AAS69" s="113"/>
      <c r="AAT69" s="113"/>
      <c r="AAU69" s="113"/>
      <c r="AAV69" s="113"/>
      <c r="AAW69" s="113"/>
      <c r="AAX69" s="113"/>
      <c r="AAY69" s="113"/>
      <c r="AAZ69" s="113"/>
      <c r="ABA69" s="113"/>
      <c r="ABB69" s="113"/>
      <c r="ABC69" s="113"/>
      <c r="ABD69" s="113"/>
      <c r="ABE69" s="113"/>
      <c r="ABF69" s="113"/>
      <c r="ABG69" s="113"/>
      <c r="ABH69" s="113"/>
      <c r="ABI69" s="113"/>
      <c r="ABJ69" s="113"/>
      <c r="ABK69" s="113"/>
      <c r="ABL69" s="113"/>
      <c r="ABM69" s="113"/>
      <c r="ABN69" s="113"/>
      <c r="ABO69" s="113"/>
      <c r="ABP69" s="113"/>
      <c r="ABQ69" s="113"/>
      <c r="ABR69" s="113"/>
      <c r="ABS69" s="113"/>
      <c r="ABT69" s="113"/>
      <c r="ABU69" s="113"/>
      <c r="ABV69" s="113"/>
      <c r="ABW69" s="113"/>
      <c r="ABX69" s="113"/>
      <c r="ABY69" s="113"/>
      <c r="ABZ69" s="113"/>
      <c r="ACA69" s="113"/>
      <c r="ACB69" s="113"/>
      <c r="ACC69" s="113"/>
      <c r="ACD69" s="113"/>
      <c r="ACE69" s="113"/>
      <c r="ACF69" s="113"/>
      <c r="ACG69" s="113"/>
      <c r="ACH69" s="113"/>
      <c r="ACI69" s="113"/>
      <c r="ACJ69" s="113"/>
      <c r="ACK69" s="113"/>
      <c r="ACL69" s="113"/>
      <c r="ACM69" s="113"/>
      <c r="ACN69" s="113"/>
      <c r="ACO69" s="113"/>
      <c r="ACP69" s="113"/>
      <c r="ACQ69" s="113"/>
      <c r="ACR69" s="113"/>
      <c r="ACS69" s="113"/>
      <c r="ACT69" s="113"/>
      <c r="ACU69" s="113"/>
      <c r="ACV69" s="113"/>
      <c r="ACW69" s="113"/>
      <c r="ACX69" s="113"/>
      <c r="ACY69" s="113"/>
      <c r="ACZ69" s="113"/>
      <c r="ADA69" s="113"/>
      <c r="ADB69" s="113"/>
      <c r="ADC69" s="113"/>
      <c r="ADD69" s="113"/>
      <c r="ADE69" s="113"/>
      <c r="ADF69" s="113"/>
      <c r="ADG69" s="113"/>
      <c r="ADH69" s="113"/>
      <c r="ADI69" s="113"/>
      <c r="ADJ69" s="113"/>
      <c r="ADK69" s="113"/>
      <c r="ADL69" s="113"/>
      <c r="ADM69" s="113"/>
      <c r="ADN69" s="113"/>
      <c r="ADO69" s="113"/>
      <c r="ADP69" s="113"/>
      <c r="ADQ69" s="113"/>
      <c r="ADR69" s="113"/>
      <c r="ADS69" s="113"/>
      <c r="ADT69" s="113"/>
      <c r="ADU69" s="113"/>
      <c r="ADV69" s="113"/>
      <c r="ADW69" s="113"/>
      <c r="ADX69" s="113"/>
      <c r="ADY69" s="113"/>
      <c r="ADZ69" s="113"/>
      <c r="AEA69" s="113"/>
      <c r="AEB69" s="113"/>
      <c r="AEC69" s="113"/>
      <c r="AED69" s="113"/>
      <c r="AEE69" s="113"/>
      <c r="AEF69" s="113"/>
      <c r="AEG69" s="113"/>
      <c r="AEH69" s="113"/>
      <c r="AEI69" s="113"/>
      <c r="AEJ69" s="113"/>
      <c r="AEK69" s="113"/>
      <c r="AEL69" s="113"/>
      <c r="AEM69" s="113"/>
      <c r="AEN69" s="113"/>
      <c r="AEO69" s="113"/>
      <c r="AEP69" s="113"/>
      <c r="AEQ69" s="113"/>
      <c r="AER69" s="113"/>
      <c r="AES69" s="113"/>
      <c r="AET69" s="113"/>
      <c r="AEU69" s="113"/>
      <c r="AEV69" s="113"/>
      <c r="AEW69" s="113"/>
      <c r="AEX69" s="113"/>
      <c r="AEY69" s="113"/>
      <c r="AEZ69" s="113"/>
      <c r="AFA69" s="113"/>
      <c r="AFB69" s="113"/>
      <c r="AFC69" s="113"/>
      <c r="AFD69" s="113"/>
      <c r="AFE69" s="113"/>
      <c r="AFF69" s="113"/>
      <c r="AFG69" s="113"/>
      <c r="AFH69" s="113"/>
      <c r="AFI69" s="113"/>
      <c r="AFJ69" s="113"/>
      <c r="AFK69" s="113"/>
      <c r="AFL69" s="113"/>
      <c r="AFM69" s="113"/>
      <c r="AFN69" s="113"/>
      <c r="AFO69" s="113"/>
      <c r="AFP69" s="113"/>
      <c r="AFQ69" s="113"/>
      <c r="AFR69" s="113"/>
      <c r="AFS69" s="113"/>
      <c r="AFT69" s="113"/>
      <c r="AFU69" s="113"/>
      <c r="AFV69" s="113"/>
      <c r="AFW69" s="113"/>
      <c r="AFX69" s="113"/>
      <c r="AFY69" s="113"/>
      <c r="AFZ69" s="113"/>
      <c r="AGA69" s="113"/>
      <c r="AGB69" s="113"/>
      <c r="AGC69" s="113"/>
      <c r="AGD69" s="113"/>
      <c r="AGE69" s="113"/>
      <c r="AGF69" s="113"/>
      <c r="AGG69" s="113"/>
      <c r="AGH69" s="113"/>
      <c r="AGI69" s="113"/>
      <c r="AGJ69" s="113"/>
      <c r="AGK69" s="113"/>
      <c r="AGL69" s="113"/>
      <c r="AGM69" s="113"/>
      <c r="AGN69" s="113"/>
      <c r="AGO69" s="113"/>
      <c r="AGP69" s="113"/>
      <c r="AGQ69" s="113"/>
      <c r="AGR69" s="113"/>
      <c r="AGS69" s="113"/>
      <c r="AGT69" s="113"/>
      <c r="AGU69" s="113"/>
      <c r="AGV69" s="113"/>
      <c r="AGW69" s="113"/>
      <c r="AGX69" s="113"/>
      <c r="AGY69" s="113"/>
      <c r="AGZ69" s="113"/>
      <c r="AHA69" s="113"/>
      <c r="AHB69" s="113"/>
      <c r="AHC69" s="113"/>
      <c r="AHD69" s="113"/>
      <c r="AHE69" s="113"/>
      <c r="AHF69" s="113"/>
      <c r="AHG69" s="113"/>
      <c r="AHH69" s="113"/>
      <c r="AHI69" s="113"/>
      <c r="AHJ69" s="113"/>
      <c r="AHK69" s="113"/>
      <c r="AHL69" s="113"/>
      <c r="AHM69" s="113"/>
      <c r="AHN69" s="113"/>
      <c r="AHO69" s="113"/>
      <c r="AHP69" s="113"/>
      <c r="AHQ69" s="113"/>
      <c r="AHR69" s="113"/>
      <c r="AHS69" s="113"/>
      <c r="AHT69" s="113"/>
      <c r="AHU69" s="113"/>
      <c r="AHV69" s="113"/>
      <c r="AHW69" s="113"/>
      <c r="AHX69" s="113"/>
      <c r="AHY69" s="113"/>
      <c r="AHZ69" s="113"/>
      <c r="AIA69" s="113"/>
      <c r="AIB69" s="113"/>
      <c r="AIC69" s="113"/>
      <c r="AID69" s="113"/>
      <c r="AIE69" s="113"/>
      <c r="AIF69" s="113"/>
      <c r="AIG69" s="113"/>
      <c r="AIH69" s="113"/>
      <c r="AII69" s="113"/>
      <c r="AIJ69" s="113"/>
      <c r="AIK69" s="113"/>
      <c r="AIL69" s="113"/>
      <c r="AIM69" s="113"/>
      <c r="AIN69" s="113"/>
      <c r="AIO69" s="113"/>
      <c r="AIP69" s="113"/>
      <c r="AIQ69" s="113"/>
      <c r="AIR69" s="113"/>
      <c r="AIS69" s="113"/>
      <c r="AIT69" s="113"/>
      <c r="AIU69" s="113"/>
      <c r="AIV69" s="113"/>
      <c r="AIW69" s="113"/>
      <c r="AIX69" s="113"/>
      <c r="AIY69" s="113"/>
      <c r="AIZ69" s="113"/>
    </row>
    <row r="70">
      <c r="A70" s="65" t="s">
        <v>7</v>
      </c>
      <c r="B70" s="65" t="s">
        <v>27</v>
      </c>
      <c r="C70" s="65"/>
      <c r="D70" s="64">
        <f t="shared" si="1"/>
        <v>684.1421833</v>
      </c>
      <c r="F70" s="65">
        <v>46.3651833333333</v>
      </c>
      <c r="G70" s="65">
        <v>13.4795166666667</v>
      </c>
      <c r="H70" s="65">
        <v>1.77343333333333</v>
      </c>
      <c r="I70" s="65">
        <v>0.146816666666667</v>
      </c>
      <c r="J70" s="65">
        <v>0.24525</v>
      </c>
      <c r="K70" s="65">
        <v>4.34575</v>
      </c>
      <c r="N70" s="65">
        <v>6.48991666666666</v>
      </c>
      <c r="Q70" s="65">
        <v>127.140416666667</v>
      </c>
      <c r="R70" s="65">
        <v>34.8951833333333</v>
      </c>
      <c r="S70" s="65">
        <v>8.50966666666667</v>
      </c>
      <c r="T70" s="65">
        <v>5.7584</v>
      </c>
      <c r="U70" s="65">
        <v>28.478</v>
      </c>
      <c r="X70" s="65">
        <v>25.157</v>
      </c>
      <c r="Y70" s="65">
        <v>19.2650666666667</v>
      </c>
      <c r="Z70" s="65">
        <v>4.38073333333333</v>
      </c>
      <c r="AA70" s="65">
        <v>3.1938</v>
      </c>
      <c r="AB70" s="65">
        <v>19.9784333333333</v>
      </c>
      <c r="AE70" s="65">
        <v>59.7185166666667</v>
      </c>
      <c r="AF70" s="65">
        <v>31.6525666666667</v>
      </c>
      <c r="AG70" s="65">
        <v>5.71748333333333</v>
      </c>
      <c r="AH70" s="65">
        <v>0.156266666666667</v>
      </c>
      <c r="AI70" s="65">
        <v>29.3191</v>
      </c>
      <c r="AL70" s="65">
        <v>7.67571666666667</v>
      </c>
      <c r="AM70" s="65">
        <v>5.63178333333333</v>
      </c>
      <c r="AN70" s="65">
        <v>32.8612666666666</v>
      </c>
      <c r="AQ70" s="65">
        <v>3.28723333333333</v>
      </c>
      <c r="AR70" s="65">
        <v>22.9089833333334</v>
      </c>
      <c r="AU70" s="65">
        <v>135.6107</v>
      </c>
    </row>
    <row r="71">
      <c r="A71" s="65" t="s">
        <v>7</v>
      </c>
      <c r="B71" s="65" t="s">
        <v>27</v>
      </c>
      <c r="C71" s="65"/>
      <c r="D71" s="64">
        <f t="shared" si="1"/>
        <v>0</v>
      </c>
    </row>
    <row r="72">
      <c r="A72" s="65" t="s">
        <v>7</v>
      </c>
      <c r="B72" s="65" t="s">
        <v>27</v>
      </c>
      <c r="C72" s="65"/>
      <c r="D72" s="64">
        <f t="shared" si="1"/>
        <v>631.9647333</v>
      </c>
      <c r="F72" s="118">
        <f>HYPERLINK("https://docs.google.com/spreadsheets/d/1U004k7HizX5QecFn6CySjQdVztHxYjus", 43.63495)</f>
        <v>43.63495</v>
      </c>
      <c r="G72" s="118">
        <f>HYPERLINK("https://docs.google.com/spreadsheets/d/1bAxFGrKZlrafuwOUHErT0U66k7zuhNyP", 13.4795166666667)</f>
        <v>13.47951667</v>
      </c>
      <c r="H72" s="118">
        <f>HYPERLINK("https://docs.google.com/spreadsheets/d/1pf7PAalrzLku159mDZOX2dypHVw2MCbg", 1.77343333333333)</f>
        <v>1.773433333</v>
      </c>
      <c r="I72" s="118">
        <f>HYPERLINK("https://docs.google.com/spreadsheets/d/1F2GCVOqn9y6IID3l8-iaGVGC-9W-f00K", 0.146816666666667)</f>
        <v>0.1468166667</v>
      </c>
      <c r="J72" s="118">
        <f>HYPERLINK("https://docs.google.com/spreadsheets/d/1BkKJ_6Y7bj0WyTdio6VocvbWpHw_A7U0", 0.107966666666667)</f>
        <v>0.1079666667</v>
      </c>
      <c r="K72" s="118">
        <f>HYPERLINK("https://docs.google.com/spreadsheets/d/12_u-9vbNJGVD-Gu3GZTT7UJfwZt6BQAV", 4.12891666666667)</f>
        <v>4.128916667</v>
      </c>
      <c r="N72" s="118">
        <f>HYPERLINK("https://docs.google.com/spreadsheets/d/1jDGKo3h_4DXADxdNDq102WcmRTW0TuLN", 6.48993333333333)</f>
        <v>6.489933333</v>
      </c>
      <c r="Q72" s="118">
        <f>HYPERLINK("https://docs.google.com/spreadsheets/d/1jPlVT9jIkUI82e2-WyOFWMahYnIqTDxP", 99.8029666666666)</f>
        <v>99.80296667</v>
      </c>
      <c r="R72" s="118">
        <f>HYPERLINK("https://docs.google.com/spreadsheets/d/1dJnGq-3c4cOXFJI4d5fFYiUI00rGj6Ze", 34.5389)</f>
        <v>34.5389</v>
      </c>
      <c r="S72" s="118">
        <f>HYPERLINK("https://docs.google.com/spreadsheets/d/1zyqduncqVnd3RI0URW_iMDvBDWm-tNRA", 6.70433333333333)</f>
        <v>6.704333333</v>
      </c>
      <c r="T72" s="118">
        <f>HYPERLINK("https://docs.google.com/spreadsheets/d/13lPx3yPoMuw5jSoV993AFQ2STPeViIFz", 4.85543333333333)</f>
        <v>4.855433333</v>
      </c>
      <c r="U72" s="118">
        <f>HYPERLINK("https://docs.google.com/spreadsheets/d/10dfmhrXWR48wibRzMdbvRzLrttuNzfnN", 28.478)</f>
        <v>28.478</v>
      </c>
      <c r="X72" s="118">
        <f>HYPERLINK("https://docs.google.com/spreadsheets/d/1lzj63a3ZLfUZz2kHbnJMgmIC3HnTqPly", 20.7553)</f>
        <v>20.7553</v>
      </c>
      <c r="Y72" s="118">
        <f>HYPERLINK("https://docs.google.com/spreadsheets/d/1qe6yqAkMsd7SuvS_bSBd7RMvBwTxo1JM", 19.2650666666667)</f>
        <v>19.26506667</v>
      </c>
      <c r="Z72" s="118">
        <f>HYPERLINK("https://docs.google.com/spreadsheets/d/130aAhDo6fsCnbkZ4d_kKxjay1asNzCSb", 4.38073333333333)</f>
        <v>4.380733333</v>
      </c>
      <c r="AA72" s="118">
        <f>HYPERLINK("https://docs.google.com/spreadsheets/d/1nmUE6U3puCg74D-SwWBMAOXXiJSdCR-o", 1.93745)</f>
        <v>1.93745</v>
      </c>
      <c r="AB72" s="118">
        <f>HYPERLINK("https://docs.google.com/spreadsheets/d/1EV3ZhJ9AiwGwOczozXJ-FAXNhS87hMAB", 19.9784333333333)</f>
        <v>19.97843333</v>
      </c>
      <c r="AE72" s="118">
        <f>HYPERLINK("https://docs.google.com/spreadsheets/d/1Rl8p7H0sEuSd1CyYY_DAExdxwCY6GM7M", 50.7101333333333)</f>
        <v>50.71013333</v>
      </c>
      <c r="AF72" s="118">
        <f>HYPERLINK("https://docs.google.com/spreadsheets/d/1FZ86KDcgjAT4fEcJSa10dbLg9LPd1V0U", 31.65255)</f>
        <v>31.65255</v>
      </c>
      <c r="AG72" s="118">
        <f>HYPERLINK("https://docs.google.com/spreadsheets/d/187DHx5s6_Uh8vPfCcUoOjUyAZRY2_BGR", 5.71746666666667)</f>
        <v>5.717466667</v>
      </c>
      <c r="AH72" s="118">
        <f>HYPERLINK("https://docs.google.com/spreadsheets/d/1a85AtI0AkR3kks0lRcvlK_WSmLptZLBm", 0.156266666666667)</f>
        <v>0.1562666667</v>
      </c>
      <c r="AI72" s="118">
        <f>HYPERLINK("https://docs.google.com/spreadsheets/d/1-rL9fZzk4xKHEuw6QijtTgwJvyDykLJb", 29.3190833333333)</f>
        <v>29.31908333</v>
      </c>
      <c r="AL72" s="118">
        <f>HYPERLINK("https://docs.google.com/spreadsheets/d/1Zc7PzNJfs8YVHxOmYp_SitcD1MO2l2-V", 6.9665)</f>
        <v>6.9665</v>
      </c>
      <c r="AM72" s="118">
        <f>HYPERLINK("https://docs.google.com/spreadsheets/d/1e1t5Nui63U56RsqH3-kiAr8arBKHV-tP", 3.09676666666667)</f>
        <v>3.096766667</v>
      </c>
      <c r="AN72" s="118">
        <f>HYPERLINK("https://docs.google.com/spreadsheets/d/1O5UU6jAJal0k0GBvv4Jk8ubp7zvCoV-V", 32.6060833333333)</f>
        <v>32.60608333</v>
      </c>
      <c r="AQ72" s="118">
        <f>HYPERLINK("https://docs.google.com/spreadsheets/d/1c3Jqh9sIaSuhF3ejBg8ph2zJt-UoUWRJ", 3.28725)</f>
        <v>3.28725</v>
      </c>
      <c r="AR72" s="118">
        <f>HYPERLINK("https://docs.google.com/spreadsheets/d/1K5jM2PMKfBNlz04pfepGjSWW9o8qJm86", 22.9089833333334)</f>
        <v>22.90898333</v>
      </c>
      <c r="AU72" s="118">
        <f>HYPERLINK("https://docs.google.com/spreadsheets/d/1Yc2EtJSfB5MHbS9k2ZKRbpTYxHI1pig7", 135.0855)</f>
        <v>135.0855</v>
      </c>
    </row>
    <row r="73">
      <c r="A73" s="65" t="s">
        <v>7</v>
      </c>
      <c r="B73" s="65" t="s">
        <v>27</v>
      </c>
      <c r="C73" s="65"/>
      <c r="D73" s="64">
        <f t="shared" si="1"/>
        <v>55.96335</v>
      </c>
      <c r="F73" s="65">
        <v>4.49285</v>
      </c>
      <c r="G73" s="65">
        <v>0.746816666666667</v>
      </c>
      <c r="H73" s="65">
        <v>0.2045</v>
      </c>
      <c r="I73" s="65">
        <v>0.0</v>
      </c>
      <c r="J73" s="65">
        <v>0.0</v>
      </c>
      <c r="K73" s="65">
        <v>0.608033333333333</v>
      </c>
      <c r="N73" s="65">
        <v>0.5753</v>
      </c>
      <c r="Q73" s="65">
        <v>13.5092833333333</v>
      </c>
      <c r="R73" s="65">
        <v>3.02511666666667</v>
      </c>
      <c r="S73" s="65">
        <v>0.343216666666667</v>
      </c>
      <c r="T73" s="65">
        <v>0.0</v>
      </c>
      <c r="U73" s="65">
        <v>1.02885</v>
      </c>
      <c r="X73" s="65">
        <v>3.17215</v>
      </c>
      <c r="Y73" s="65">
        <v>2.31516666666667</v>
      </c>
      <c r="Z73" s="65">
        <v>0.0</v>
      </c>
      <c r="AA73" s="65">
        <v>0.15485</v>
      </c>
      <c r="AB73" s="65">
        <v>0.488966666666667</v>
      </c>
      <c r="AE73" s="65">
        <v>6.71526666666667</v>
      </c>
      <c r="AF73" s="65">
        <v>3.36061666666667</v>
      </c>
      <c r="AG73" s="65">
        <v>0.1882</v>
      </c>
      <c r="AH73" s="65">
        <v>0.0</v>
      </c>
      <c r="AI73" s="65">
        <v>1.60806666666667</v>
      </c>
      <c r="AL73" s="65">
        <v>0.214516666666667</v>
      </c>
      <c r="AM73" s="65">
        <v>0.0</v>
      </c>
      <c r="AN73" s="65">
        <v>3.37695</v>
      </c>
      <c r="AQ73" s="65">
        <v>0.0</v>
      </c>
      <c r="AR73" s="65">
        <v>2.37508333333333</v>
      </c>
      <c r="AU73" s="65">
        <v>7.45955</v>
      </c>
    </row>
    <row r="74">
      <c r="A74" s="119" t="s">
        <v>7</v>
      </c>
      <c r="B74" s="119" t="s">
        <v>27</v>
      </c>
      <c r="C74" s="119"/>
      <c r="D74" s="120">
        <f t="shared" si="1"/>
        <v>0</v>
      </c>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c r="AJ74" s="120"/>
      <c r="AK74" s="120"/>
      <c r="AL74" s="120"/>
      <c r="AM74" s="120"/>
      <c r="AN74" s="120"/>
      <c r="AO74" s="120"/>
      <c r="AP74" s="120"/>
      <c r="AQ74" s="120"/>
      <c r="AR74" s="120"/>
      <c r="AS74" s="120"/>
      <c r="AT74" s="120"/>
      <c r="AU74" s="120"/>
      <c r="AV74" s="120"/>
      <c r="AW74" s="120"/>
      <c r="AX74" s="120"/>
      <c r="AY74" s="120"/>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0"/>
      <c r="CD74" s="120"/>
      <c r="CE74" s="120"/>
      <c r="CF74" s="120"/>
      <c r="CG74" s="120"/>
      <c r="CH74" s="120"/>
      <c r="CI74" s="120"/>
      <c r="CJ74" s="120"/>
      <c r="CK74" s="120"/>
      <c r="CL74" s="120"/>
      <c r="CM74" s="120"/>
      <c r="CN74" s="120"/>
      <c r="CO74" s="120"/>
      <c r="CP74" s="120"/>
      <c r="CQ74" s="120"/>
      <c r="CR74" s="120"/>
      <c r="CS74" s="120"/>
      <c r="CT74" s="120"/>
      <c r="CU74" s="120"/>
      <c r="CV74" s="120"/>
      <c r="CW74" s="120"/>
      <c r="CX74" s="120"/>
      <c r="CY74" s="120"/>
      <c r="CZ74" s="120"/>
      <c r="DA74" s="120"/>
      <c r="DB74" s="120"/>
      <c r="DC74" s="120"/>
      <c r="DD74" s="120"/>
      <c r="DE74" s="120"/>
      <c r="DF74" s="120"/>
      <c r="DG74" s="120"/>
      <c r="DH74" s="120"/>
      <c r="DI74" s="120"/>
      <c r="DJ74" s="120"/>
      <c r="DK74" s="120"/>
      <c r="DL74" s="120"/>
      <c r="DM74" s="120"/>
      <c r="DN74" s="120"/>
      <c r="DO74" s="120"/>
      <c r="DP74" s="120"/>
      <c r="DQ74" s="120"/>
      <c r="DR74" s="120"/>
      <c r="DS74" s="120"/>
      <c r="DT74" s="120"/>
      <c r="DU74" s="120"/>
      <c r="DV74" s="120"/>
      <c r="DW74" s="120"/>
      <c r="DX74" s="120"/>
      <c r="DY74" s="120"/>
      <c r="DZ74" s="120"/>
      <c r="EA74" s="120"/>
      <c r="EB74" s="120"/>
      <c r="EC74" s="120"/>
      <c r="ED74" s="120"/>
      <c r="EE74" s="120"/>
      <c r="EF74" s="120"/>
      <c r="EG74" s="120"/>
      <c r="EH74" s="120"/>
      <c r="EI74" s="120"/>
      <c r="EJ74" s="120"/>
      <c r="EK74" s="120"/>
      <c r="EL74" s="120"/>
      <c r="EM74" s="120"/>
      <c r="EN74" s="120"/>
      <c r="EO74" s="120"/>
      <c r="EP74" s="120"/>
      <c r="EQ74" s="120"/>
      <c r="ER74" s="120"/>
      <c r="ES74" s="120"/>
      <c r="ET74" s="120"/>
      <c r="EU74" s="120"/>
      <c r="EV74" s="120"/>
      <c r="EW74" s="120"/>
      <c r="EX74" s="120"/>
      <c r="EY74" s="120"/>
      <c r="EZ74" s="120"/>
      <c r="FA74" s="120"/>
      <c r="FB74" s="120"/>
      <c r="FC74" s="120"/>
      <c r="FD74" s="120"/>
      <c r="FE74" s="120"/>
      <c r="FF74" s="120"/>
      <c r="FG74" s="120"/>
      <c r="FH74" s="120"/>
      <c r="FI74" s="120"/>
      <c r="FJ74" s="120"/>
      <c r="FK74" s="120"/>
      <c r="FL74" s="120"/>
      <c r="FM74" s="120"/>
      <c r="FN74" s="120"/>
      <c r="FO74" s="120"/>
      <c r="FP74" s="120"/>
      <c r="FQ74" s="120"/>
      <c r="FR74" s="120"/>
      <c r="FS74" s="120"/>
      <c r="FT74" s="120"/>
      <c r="FU74" s="120"/>
      <c r="FV74" s="120"/>
      <c r="FW74" s="120"/>
      <c r="FX74" s="120"/>
      <c r="FY74" s="120"/>
      <c r="FZ74" s="120"/>
      <c r="GA74" s="120"/>
      <c r="GB74" s="120"/>
      <c r="GC74" s="120"/>
      <c r="GD74" s="120"/>
      <c r="GE74" s="120"/>
      <c r="GF74" s="120"/>
      <c r="GG74" s="120"/>
      <c r="GH74" s="120"/>
      <c r="GI74" s="120"/>
      <c r="GJ74" s="120"/>
      <c r="GK74" s="120"/>
      <c r="GL74" s="120"/>
      <c r="GM74" s="120"/>
      <c r="GN74" s="120"/>
      <c r="GO74" s="120"/>
      <c r="GP74" s="120"/>
      <c r="GQ74" s="120"/>
      <c r="GR74" s="120"/>
      <c r="GS74" s="120"/>
      <c r="GT74" s="120"/>
      <c r="GU74" s="120"/>
      <c r="GV74" s="120"/>
      <c r="GW74" s="120"/>
      <c r="GX74" s="120"/>
      <c r="GY74" s="120"/>
      <c r="GZ74" s="120"/>
      <c r="HA74" s="120"/>
      <c r="HB74" s="120"/>
      <c r="HC74" s="120"/>
      <c r="HD74" s="120"/>
      <c r="HE74" s="120"/>
      <c r="HF74" s="120"/>
      <c r="HG74" s="120"/>
      <c r="HH74" s="120"/>
      <c r="HI74" s="120"/>
      <c r="HJ74" s="120"/>
      <c r="HK74" s="120"/>
      <c r="HL74" s="120"/>
      <c r="HM74" s="120"/>
      <c r="HN74" s="120"/>
      <c r="HO74" s="120"/>
      <c r="HP74" s="120"/>
      <c r="HQ74" s="120"/>
      <c r="HR74" s="120"/>
      <c r="HS74" s="120"/>
      <c r="HT74" s="120"/>
      <c r="HU74" s="120"/>
      <c r="HV74" s="120"/>
      <c r="HW74" s="120"/>
      <c r="HX74" s="120"/>
      <c r="HY74" s="120"/>
      <c r="HZ74" s="120"/>
      <c r="IA74" s="120"/>
      <c r="IB74" s="120"/>
      <c r="IC74" s="120"/>
      <c r="ID74" s="120"/>
      <c r="IE74" s="120"/>
      <c r="IF74" s="120"/>
      <c r="IG74" s="120"/>
      <c r="IH74" s="120"/>
      <c r="II74" s="120"/>
      <c r="IJ74" s="120"/>
      <c r="IK74" s="120"/>
      <c r="IL74" s="120"/>
      <c r="IM74" s="120"/>
      <c r="IN74" s="120"/>
      <c r="IO74" s="120"/>
      <c r="IP74" s="120"/>
      <c r="IQ74" s="120"/>
      <c r="IR74" s="120"/>
      <c r="IS74" s="120"/>
      <c r="IT74" s="120"/>
      <c r="IU74" s="120"/>
      <c r="IV74" s="120"/>
      <c r="IW74" s="120"/>
      <c r="IX74" s="120"/>
      <c r="IY74" s="120"/>
      <c r="IZ74" s="120"/>
      <c r="JA74" s="120"/>
      <c r="JB74" s="120"/>
      <c r="JC74" s="120"/>
      <c r="JD74" s="120"/>
      <c r="JE74" s="120"/>
      <c r="JF74" s="120"/>
      <c r="JG74" s="120"/>
      <c r="JH74" s="120"/>
      <c r="JI74" s="120"/>
      <c r="JJ74" s="120"/>
      <c r="JK74" s="120"/>
      <c r="JL74" s="120"/>
      <c r="JM74" s="120"/>
      <c r="JN74" s="120"/>
      <c r="JO74" s="120"/>
      <c r="JP74" s="120"/>
      <c r="JQ74" s="120"/>
      <c r="JR74" s="120"/>
      <c r="JS74" s="120"/>
      <c r="JT74" s="120"/>
      <c r="JU74" s="120"/>
      <c r="JV74" s="120"/>
      <c r="JW74" s="120"/>
      <c r="JX74" s="120"/>
      <c r="JY74" s="120"/>
      <c r="JZ74" s="120"/>
      <c r="KA74" s="120"/>
      <c r="KB74" s="120"/>
      <c r="KC74" s="120"/>
      <c r="KD74" s="120"/>
      <c r="KE74" s="120"/>
      <c r="KF74" s="120"/>
      <c r="KG74" s="120"/>
      <c r="KH74" s="120"/>
      <c r="KI74" s="120"/>
      <c r="KJ74" s="120"/>
      <c r="KK74" s="120"/>
      <c r="KL74" s="120"/>
      <c r="KM74" s="120"/>
      <c r="KN74" s="120"/>
      <c r="KO74" s="120"/>
      <c r="KP74" s="120"/>
      <c r="KQ74" s="120"/>
      <c r="KR74" s="120"/>
      <c r="KS74" s="120"/>
      <c r="KT74" s="120"/>
      <c r="KU74" s="120"/>
      <c r="KV74" s="120"/>
      <c r="KW74" s="120"/>
      <c r="KX74" s="120"/>
      <c r="KY74" s="120"/>
      <c r="KZ74" s="120"/>
      <c r="LA74" s="120"/>
      <c r="LB74" s="120"/>
      <c r="LC74" s="120"/>
      <c r="LD74" s="120"/>
      <c r="LE74" s="120"/>
      <c r="LF74" s="120"/>
      <c r="LG74" s="120"/>
      <c r="LH74" s="120"/>
      <c r="LI74" s="120"/>
      <c r="LJ74" s="120"/>
      <c r="LK74" s="120"/>
      <c r="LL74" s="120"/>
      <c r="LM74" s="120"/>
      <c r="LN74" s="120"/>
      <c r="LO74" s="120"/>
      <c r="LP74" s="120"/>
      <c r="LQ74" s="120"/>
      <c r="LR74" s="120"/>
      <c r="LS74" s="120"/>
      <c r="LT74" s="120"/>
      <c r="LU74" s="120"/>
      <c r="LV74" s="120"/>
      <c r="LW74" s="120"/>
      <c r="LX74" s="120"/>
      <c r="LY74" s="120"/>
      <c r="LZ74" s="120"/>
      <c r="MA74" s="120"/>
      <c r="MB74" s="120"/>
      <c r="MC74" s="120"/>
      <c r="MD74" s="120"/>
      <c r="ME74" s="120"/>
      <c r="MF74" s="120"/>
      <c r="MG74" s="120"/>
      <c r="MH74" s="120"/>
      <c r="MI74" s="120"/>
      <c r="MJ74" s="120"/>
      <c r="MK74" s="120"/>
      <c r="ML74" s="120"/>
      <c r="MM74" s="120"/>
      <c r="MN74" s="120"/>
      <c r="MO74" s="120"/>
      <c r="MP74" s="120"/>
      <c r="MQ74" s="120"/>
      <c r="MR74" s="120"/>
      <c r="MS74" s="120"/>
      <c r="MT74" s="120"/>
      <c r="MU74" s="120"/>
      <c r="MV74" s="120"/>
      <c r="MW74" s="120"/>
      <c r="MX74" s="120"/>
      <c r="MY74" s="120"/>
      <c r="MZ74" s="120"/>
      <c r="NA74" s="120"/>
      <c r="NB74" s="120"/>
      <c r="NC74" s="120"/>
      <c r="ND74" s="120"/>
      <c r="NE74" s="120"/>
      <c r="NF74" s="120"/>
      <c r="NG74" s="120"/>
      <c r="NH74" s="120"/>
      <c r="NI74" s="120"/>
      <c r="NJ74" s="120"/>
      <c r="NK74" s="120"/>
      <c r="NL74" s="120"/>
      <c r="NM74" s="120"/>
      <c r="NN74" s="120"/>
      <c r="NO74" s="120"/>
      <c r="NP74" s="120"/>
      <c r="NQ74" s="120"/>
      <c r="NR74" s="120"/>
      <c r="NS74" s="120"/>
      <c r="NT74" s="120"/>
      <c r="NU74" s="120"/>
      <c r="NV74" s="120"/>
      <c r="NW74" s="120"/>
      <c r="NX74" s="120"/>
      <c r="NY74" s="120"/>
      <c r="NZ74" s="120"/>
      <c r="OA74" s="120"/>
      <c r="OB74" s="120"/>
      <c r="OC74" s="120"/>
      <c r="OD74" s="120"/>
      <c r="OE74" s="120"/>
      <c r="OF74" s="120"/>
      <c r="OG74" s="120"/>
      <c r="OH74" s="120"/>
      <c r="OI74" s="120"/>
      <c r="OJ74" s="120"/>
      <c r="OK74" s="120"/>
      <c r="OL74" s="120"/>
      <c r="OM74" s="120"/>
      <c r="ON74" s="120"/>
      <c r="OO74" s="120"/>
      <c r="OP74" s="120"/>
      <c r="OQ74" s="120"/>
      <c r="OR74" s="120"/>
      <c r="OS74" s="120"/>
      <c r="OT74" s="120"/>
      <c r="OU74" s="120"/>
      <c r="OV74" s="120"/>
      <c r="OW74" s="120"/>
      <c r="OX74" s="120"/>
      <c r="OY74" s="120"/>
      <c r="OZ74" s="120"/>
      <c r="PA74" s="120"/>
      <c r="PB74" s="120"/>
      <c r="PC74" s="120"/>
      <c r="PD74" s="120"/>
      <c r="PE74" s="120"/>
      <c r="PF74" s="120"/>
      <c r="PG74" s="120"/>
      <c r="PH74" s="120"/>
      <c r="PI74" s="120"/>
      <c r="PJ74" s="120"/>
      <c r="PK74" s="120"/>
      <c r="PL74" s="120"/>
      <c r="PM74" s="120"/>
      <c r="PN74" s="120"/>
      <c r="PO74" s="120"/>
      <c r="PP74" s="120"/>
      <c r="PQ74" s="120"/>
      <c r="PR74" s="120"/>
      <c r="PS74" s="120"/>
      <c r="PT74" s="120"/>
      <c r="PU74" s="120"/>
      <c r="PV74" s="120"/>
      <c r="PW74" s="120"/>
      <c r="PX74" s="120"/>
      <c r="PY74" s="120"/>
      <c r="PZ74" s="120"/>
      <c r="QA74" s="120"/>
      <c r="QB74" s="120"/>
      <c r="QC74" s="120"/>
      <c r="QD74" s="120"/>
      <c r="QE74" s="120"/>
      <c r="QF74" s="120"/>
      <c r="QG74" s="120"/>
      <c r="QH74" s="120"/>
      <c r="QI74" s="120"/>
      <c r="QJ74" s="120"/>
      <c r="QK74" s="120"/>
      <c r="QL74" s="120"/>
      <c r="QM74" s="120"/>
      <c r="QN74" s="120"/>
      <c r="QO74" s="120"/>
      <c r="QP74" s="120"/>
      <c r="QQ74" s="120"/>
      <c r="QR74" s="120"/>
      <c r="QS74" s="120"/>
      <c r="QT74" s="120"/>
      <c r="QU74" s="120"/>
      <c r="QV74" s="120"/>
      <c r="QW74" s="120"/>
      <c r="QX74" s="120"/>
      <c r="QY74" s="120"/>
      <c r="QZ74" s="120"/>
      <c r="RA74" s="120"/>
      <c r="RB74" s="120"/>
      <c r="RC74" s="120"/>
      <c r="RD74" s="120"/>
      <c r="RE74" s="120"/>
      <c r="RF74" s="120"/>
      <c r="RG74" s="120"/>
      <c r="RH74" s="120"/>
      <c r="RI74" s="120"/>
      <c r="RJ74" s="120"/>
      <c r="RK74" s="120"/>
      <c r="RL74" s="120"/>
      <c r="RM74" s="120"/>
      <c r="RN74" s="120"/>
      <c r="RO74" s="120"/>
      <c r="RP74" s="120"/>
      <c r="RQ74" s="120"/>
      <c r="RR74" s="120"/>
      <c r="RS74" s="120"/>
      <c r="RT74" s="120"/>
      <c r="RU74" s="120"/>
      <c r="RV74" s="120"/>
      <c r="RW74" s="120"/>
      <c r="RX74" s="120"/>
      <c r="RY74" s="120"/>
      <c r="RZ74" s="120"/>
      <c r="SA74" s="120"/>
      <c r="SB74" s="120"/>
      <c r="SC74" s="120"/>
      <c r="SD74" s="120"/>
      <c r="SE74" s="120"/>
      <c r="SF74" s="120"/>
      <c r="SG74" s="120"/>
      <c r="SH74" s="120"/>
      <c r="SI74" s="120"/>
      <c r="SJ74" s="120"/>
      <c r="SK74" s="120"/>
      <c r="SL74" s="120"/>
      <c r="SM74" s="120"/>
      <c r="SN74" s="120"/>
      <c r="SO74" s="120"/>
      <c r="SP74" s="120"/>
      <c r="SQ74" s="120"/>
      <c r="SR74" s="120"/>
      <c r="SS74" s="120"/>
      <c r="ST74" s="120"/>
      <c r="SU74" s="120"/>
      <c r="SV74" s="120"/>
      <c r="SW74" s="120"/>
      <c r="SX74" s="120"/>
      <c r="SY74" s="120"/>
      <c r="SZ74" s="120"/>
      <c r="TA74" s="120"/>
      <c r="TB74" s="120"/>
      <c r="TC74" s="120"/>
      <c r="TD74" s="120"/>
      <c r="TE74" s="120"/>
      <c r="TF74" s="120"/>
      <c r="TG74" s="120"/>
      <c r="TH74" s="120"/>
      <c r="TI74" s="120"/>
      <c r="TJ74" s="120"/>
      <c r="TK74" s="120"/>
      <c r="TL74" s="120"/>
      <c r="TM74" s="120"/>
      <c r="TN74" s="120"/>
      <c r="TO74" s="120"/>
      <c r="TP74" s="120"/>
      <c r="TQ74" s="120"/>
      <c r="TR74" s="120"/>
      <c r="TS74" s="120"/>
      <c r="TT74" s="120"/>
      <c r="TU74" s="120"/>
      <c r="TV74" s="120"/>
      <c r="TW74" s="120"/>
      <c r="TX74" s="120"/>
      <c r="TY74" s="120"/>
      <c r="TZ74" s="120"/>
      <c r="UA74" s="120"/>
      <c r="UB74" s="120"/>
      <c r="UC74" s="120"/>
      <c r="UD74" s="120"/>
      <c r="UE74" s="120"/>
      <c r="UF74" s="120"/>
      <c r="UG74" s="120"/>
      <c r="UH74" s="120"/>
      <c r="UI74" s="120"/>
      <c r="UJ74" s="120"/>
      <c r="UK74" s="120"/>
      <c r="UL74" s="120"/>
      <c r="UM74" s="120"/>
      <c r="UN74" s="120"/>
      <c r="UO74" s="120"/>
      <c r="UP74" s="120"/>
      <c r="UQ74" s="120"/>
      <c r="UR74" s="120"/>
      <c r="US74" s="120"/>
      <c r="UT74" s="120"/>
      <c r="UU74" s="120"/>
      <c r="UV74" s="120"/>
      <c r="UW74" s="120"/>
      <c r="UX74" s="120"/>
      <c r="UY74" s="120"/>
      <c r="UZ74" s="120"/>
      <c r="VA74" s="120"/>
      <c r="VB74" s="120"/>
      <c r="VC74" s="120"/>
      <c r="VD74" s="120"/>
      <c r="VE74" s="120"/>
      <c r="VF74" s="120"/>
      <c r="VG74" s="120"/>
      <c r="VH74" s="120"/>
      <c r="VI74" s="120"/>
      <c r="VJ74" s="120"/>
      <c r="VK74" s="120"/>
      <c r="VL74" s="120"/>
      <c r="VM74" s="120"/>
      <c r="VN74" s="120"/>
      <c r="VO74" s="120"/>
      <c r="VP74" s="120"/>
      <c r="VQ74" s="120"/>
      <c r="VR74" s="120"/>
      <c r="VS74" s="120"/>
      <c r="VT74" s="120"/>
      <c r="VU74" s="120"/>
      <c r="VV74" s="120"/>
      <c r="VW74" s="120"/>
      <c r="VX74" s="120"/>
      <c r="VY74" s="120"/>
      <c r="VZ74" s="120"/>
      <c r="WA74" s="120"/>
      <c r="WB74" s="120"/>
      <c r="WC74" s="120"/>
      <c r="WD74" s="120"/>
      <c r="WE74" s="120"/>
      <c r="WF74" s="120"/>
      <c r="WG74" s="120"/>
      <c r="WH74" s="120"/>
      <c r="WI74" s="120"/>
      <c r="WJ74" s="120"/>
      <c r="WK74" s="120"/>
      <c r="WL74" s="120"/>
      <c r="WM74" s="120"/>
      <c r="WN74" s="120"/>
      <c r="WO74" s="120"/>
      <c r="WP74" s="120"/>
      <c r="WQ74" s="120"/>
      <c r="WR74" s="120"/>
      <c r="WS74" s="120"/>
      <c r="WT74" s="120"/>
      <c r="WU74" s="120"/>
      <c r="WV74" s="120"/>
      <c r="WW74" s="120"/>
      <c r="WX74" s="120"/>
      <c r="WY74" s="120"/>
      <c r="WZ74" s="120"/>
      <c r="XA74" s="120"/>
      <c r="XB74" s="120"/>
      <c r="XC74" s="120"/>
      <c r="XD74" s="120"/>
      <c r="XE74" s="120"/>
      <c r="XF74" s="120"/>
      <c r="XG74" s="120"/>
      <c r="XH74" s="120"/>
      <c r="XI74" s="120"/>
      <c r="XJ74" s="120"/>
      <c r="XK74" s="120"/>
      <c r="XL74" s="120"/>
      <c r="XM74" s="120"/>
      <c r="XN74" s="120"/>
      <c r="XO74" s="120"/>
      <c r="XP74" s="120"/>
      <c r="XQ74" s="120"/>
      <c r="XR74" s="120"/>
      <c r="XS74" s="120"/>
      <c r="XT74" s="120"/>
      <c r="XU74" s="120"/>
      <c r="XV74" s="120"/>
      <c r="XW74" s="120"/>
      <c r="XX74" s="120"/>
      <c r="XY74" s="120"/>
      <c r="XZ74" s="120"/>
      <c r="YA74" s="120"/>
      <c r="YB74" s="120"/>
      <c r="YC74" s="120"/>
      <c r="YD74" s="120"/>
      <c r="YE74" s="120"/>
      <c r="YF74" s="120"/>
      <c r="YG74" s="120"/>
      <c r="YH74" s="120"/>
      <c r="YI74" s="120"/>
      <c r="YJ74" s="120"/>
      <c r="YK74" s="120"/>
      <c r="YL74" s="120"/>
      <c r="YM74" s="120"/>
      <c r="YN74" s="120"/>
      <c r="YO74" s="120"/>
      <c r="YP74" s="120"/>
      <c r="YQ74" s="120"/>
      <c r="YR74" s="120"/>
      <c r="YS74" s="120"/>
      <c r="YT74" s="120"/>
      <c r="YU74" s="120"/>
      <c r="YV74" s="120"/>
      <c r="YW74" s="120"/>
      <c r="YX74" s="120"/>
      <c r="YY74" s="120"/>
      <c r="YZ74" s="120"/>
      <c r="ZA74" s="120"/>
      <c r="ZB74" s="120"/>
      <c r="ZC74" s="120"/>
      <c r="ZD74" s="120"/>
      <c r="ZE74" s="120"/>
      <c r="ZF74" s="120"/>
      <c r="ZG74" s="120"/>
      <c r="ZH74" s="120"/>
      <c r="ZI74" s="120"/>
      <c r="ZJ74" s="120"/>
      <c r="ZK74" s="120"/>
      <c r="ZL74" s="120"/>
      <c r="ZM74" s="120"/>
      <c r="ZN74" s="120"/>
      <c r="ZO74" s="120"/>
      <c r="ZP74" s="120"/>
      <c r="ZQ74" s="120"/>
      <c r="ZR74" s="120"/>
      <c r="ZS74" s="120"/>
      <c r="ZT74" s="120"/>
      <c r="ZU74" s="120"/>
      <c r="ZV74" s="120"/>
      <c r="ZW74" s="120"/>
      <c r="ZX74" s="120"/>
      <c r="ZY74" s="120"/>
      <c r="ZZ74" s="120"/>
      <c r="AAA74" s="120"/>
      <c r="AAB74" s="120"/>
      <c r="AAC74" s="120"/>
      <c r="AAD74" s="120"/>
      <c r="AAE74" s="120"/>
      <c r="AAF74" s="120"/>
      <c r="AAG74" s="120"/>
      <c r="AAH74" s="120"/>
      <c r="AAI74" s="120"/>
      <c r="AAJ74" s="120"/>
      <c r="AAK74" s="120"/>
      <c r="AAL74" s="120"/>
      <c r="AAM74" s="120"/>
      <c r="AAN74" s="120"/>
      <c r="AAO74" s="120"/>
      <c r="AAP74" s="120"/>
      <c r="AAQ74" s="120"/>
      <c r="AAR74" s="120"/>
      <c r="AAS74" s="120"/>
      <c r="AAT74" s="120"/>
      <c r="AAU74" s="120"/>
      <c r="AAV74" s="120"/>
      <c r="AAW74" s="120"/>
      <c r="AAX74" s="120"/>
      <c r="AAY74" s="120"/>
      <c r="AAZ74" s="120"/>
      <c r="ABA74" s="120"/>
      <c r="ABB74" s="120"/>
      <c r="ABC74" s="120"/>
      <c r="ABD74" s="120"/>
      <c r="ABE74" s="120"/>
      <c r="ABF74" s="120"/>
      <c r="ABG74" s="120"/>
      <c r="ABH74" s="120"/>
      <c r="ABI74" s="120"/>
      <c r="ABJ74" s="120"/>
      <c r="ABK74" s="120"/>
      <c r="ABL74" s="120"/>
      <c r="ABM74" s="120"/>
      <c r="ABN74" s="120"/>
      <c r="ABO74" s="120"/>
      <c r="ABP74" s="120"/>
      <c r="ABQ74" s="120"/>
      <c r="ABR74" s="120"/>
      <c r="ABS74" s="120"/>
      <c r="ABT74" s="120"/>
      <c r="ABU74" s="120"/>
      <c r="ABV74" s="120"/>
      <c r="ABW74" s="120"/>
      <c r="ABX74" s="120"/>
      <c r="ABY74" s="120"/>
      <c r="ABZ74" s="120"/>
      <c r="ACA74" s="120"/>
      <c r="ACB74" s="120"/>
      <c r="ACC74" s="120"/>
      <c r="ACD74" s="120"/>
      <c r="ACE74" s="120"/>
      <c r="ACF74" s="120"/>
      <c r="ACG74" s="120"/>
      <c r="ACH74" s="120"/>
      <c r="ACI74" s="120"/>
      <c r="ACJ74" s="120"/>
      <c r="ACK74" s="120"/>
      <c r="ACL74" s="120"/>
      <c r="ACM74" s="120"/>
      <c r="ACN74" s="120"/>
      <c r="ACO74" s="120"/>
      <c r="ACP74" s="120"/>
      <c r="ACQ74" s="120"/>
      <c r="ACR74" s="120"/>
      <c r="ACS74" s="120"/>
      <c r="ACT74" s="120"/>
      <c r="ACU74" s="120"/>
      <c r="ACV74" s="120"/>
      <c r="ACW74" s="120"/>
      <c r="ACX74" s="120"/>
      <c r="ACY74" s="120"/>
      <c r="ACZ74" s="120"/>
      <c r="ADA74" s="120"/>
      <c r="ADB74" s="120"/>
      <c r="ADC74" s="120"/>
      <c r="ADD74" s="120"/>
      <c r="ADE74" s="120"/>
      <c r="ADF74" s="120"/>
      <c r="ADG74" s="120"/>
      <c r="ADH74" s="120"/>
      <c r="ADI74" s="120"/>
      <c r="ADJ74" s="120"/>
      <c r="ADK74" s="120"/>
      <c r="ADL74" s="120"/>
      <c r="ADM74" s="120"/>
      <c r="ADN74" s="120"/>
      <c r="ADO74" s="120"/>
      <c r="ADP74" s="120"/>
      <c r="ADQ74" s="120"/>
      <c r="ADR74" s="120"/>
      <c r="ADS74" s="120"/>
      <c r="ADT74" s="120"/>
      <c r="ADU74" s="120"/>
      <c r="ADV74" s="120"/>
      <c r="ADW74" s="120"/>
      <c r="ADX74" s="120"/>
      <c r="ADY74" s="120"/>
      <c r="ADZ74" s="120"/>
      <c r="AEA74" s="120"/>
      <c r="AEB74" s="120"/>
      <c r="AEC74" s="120"/>
      <c r="AED74" s="120"/>
      <c r="AEE74" s="120"/>
      <c r="AEF74" s="120"/>
      <c r="AEG74" s="120"/>
      <c r="AEH74" s="120"/>
      <c r="AEI74" s="120"/>
      <c r="AEJ74" s="120"/>
      <c r="AEK74" s="120"/>
      <c r="AEL74" s="120"/>
      <c r="AEM74" s="120"/>
      <c r="AEN74" s="120"/>
      <c r="AEO74" s="120"/>
      <c r="AEP74" s="120"/>
      <c r="AEQ74" s="120"/>
      <c r="AER74" s="120"/>
      <c r="AES74" s="120"/>
      <c r="AET74" s="120"/>
      <c r="AEU74" s="120"/>
      <c r="AEV74" s="120"/>
      <c r="AEW74" s="120"/>
      <c r="AEX74" s="120"/>
      <c r="AEY74" s="120"/>
      <c r="AEZ74" s="120"/>
      <c r="AFA74" s="120"/>
      <c r="AFB74" s="120"/>
      <c r="AFC74" s="120"/>
      <c r="AFD74" s="120"/>
      <c r="AFE74" s="120"/>
      <c r="AFF74" s="120"/>
      <c r="AFG74" s="120"/>
      <c r="AFH74" s="120"/>
      <c r="AFI74" s="120"/>
      <c r="AFJ74" s="120"/>
      <c r="AFK74" s="120"/>
      <c r="AFL74" s="120"/>
      <c r="AFM74" s="120"/>
      <c r="AFN74" s="120"/>
      <c r="AFO74" s="120"/>
      <c r="AFP74" s="120"/>
      <c r="AFQ74" s="120"/>
      <c r="AFR74" s="120"/>
      <c r="AFS74" s="120"/>
      <c r="AFT74" s="120"/>
      <c r="AFU74" s="120"/>
      <c r="AFV74" s="120"/>
      <c r="AFW74" s="120"/>
      <c r="AFX74" s="120"/>
      <c r="AFY74" s="120"/>
      <c r="AFZ74" s="120"/>
      <c r="AGA74" s="120"/>
      <c r="AGB74" s="120"/>
      <c r="AGC74" s="120"/>
      <c r="AGD74" s="120"/>
      <c r="AGE74" s="120"/>
      <c r="AGF74" s="120"/>
      <c r="AGG74" s="120"/>
      <c r="AGH74" s="120"/>
      <c r="AGI74" s="120"/>
      <c r="AGJ74" s="120"/>
      <c r="AGK74" s="120"/>
      <c r="AGL74" s="120"/>
      <c r="AGM74" s="120"/>
      <c r="AGN74" s="120"/>
      <c r="AGO74" s="120"/>
      <c r="AGP74" s="120"/>
      <c r="AGQ74" s="120"/>
      <c r="AGR74" s="120"/>
      <c r="AGS74" s="120"/>
      <c r="AGT74" s="120"/>
      <c r="AGU74" s="120"/>
      <c r="AGV74" s="120"/>
      <c r="AGW74" s="120"/>
      <c r="AGX74" s="120"/>
      <c r="AGY74" s="120"/>
      <c r="AGZ74" s="120"/>
      <c r="AHA74" s="120"/>
      <c r="AHB74" s="120"/>
      <c r="AHC74" s="120"/>
      <c r="AHD74" s="120"/>
      <c r="AHE74" s="120"/>
      <c r="AHF74" s="120"/>
      <c r="AHG74" s="120"/>
      <c r="AHH74" s="120"/>
      <c r="AHI74" s="120"/>
      <c r="AHJ74" s="120"/>
      <c r="AHK74" s="120"/>
      <c r="AHL74" s="120"/>
      <c r="AHM74" s="120"/>
      <c r="AHN74" s="120"/>
      <c r="AHO74" s="120"/>
      <c r="AHP74" s="120"/>
      <c r="AHQ74" s="120"/>
      <c r="AHR74" s="120"/>
      <c r="AHS74" s="120"/>
      <c r="AHT74" s="120"/>
      <c r="AHU74" s="120"/>
      <c r="AHV74" s="120"/>
      <c r="AHW74" s="120"/>
      <c r="AHX74" s="120"/>
      <c r="AHY74" s="120"/>
      <c r="AHZ74" s="120"/>
      <c r="AIA74" s="120"/>
      <c r="AIB74" s="120"/>
      <c r="AIC74" s="120"/>
      <c r="AID74" s="120"/>
      <c r="AIE74" s="120"/>
      <c r="AIF74" s="120"/>
      <c r="AIG74" s="120"/>
      <c r="AIH74" s="120"/>
      <c r="AII74" s="120"/>
      <c r="AIJ74" s="120"/>
      <c r="AIK74" s="120"/>
      <c r="AIL74" s="120"/>
      <c r="AIM74" s="120"/>
      <c r="AIN74" s="120"/>
      <c r="AIO74" s="120"/>
      <c r="AIP74" s="120"/>
      <c r="AIQ74" s="120"/>
      <c r="AIR74" s="120"/>
      <c r="AIS74" s="120"/>
      <c r="AIT74" s="120"/>
      <c r="AIU74" s="120"/>
      <c r="AIV74" s="120"/>
      <c r="AIW74" s="120"/>
      <c r="AIX74" s="120"/>
      <c r="AIY74" s="120"/>
      <c r="AIZ74" s="120"/>
    </row>
    <row r="75">
      <c r="A75" s="112" t="s">
        <v>7</v>
      </c>
      <c r="B75" s="112" t="s">
        <v>19</v>
      </c>
      <c r="C75" s="112"/>
      <c r="D75" s="113">
        <f t="shared" si="1"/>
        <v>824.7688167</v>
      </c>
      <c r="E75" s="112">
        <v>225.016883333334</v>
      </c>
      <c r="F75" s="113"/>
      <c r="G75" s="113"/>
      <c r="H75" s="113"/>
      <c r="I75" s="113"/>
      <c r="J75" s="113"/>
      <c r="K75" s="113"/>
      <c r="L75" s="112">
        <v>4.1684</v>
      </c>
      <c r="M75" s="112">
        <v>17.807</v>
      </c>
      <c r="N75" s="113"/>
      <c r="O75" s="113"/>
      <c r="P75" s="112">
        <v>221.518466666667</v>
      </c>
      <c r="Q75" s="113"/>
      <c r="R75" s="113"/>
      <c r="S75" s="113"/>
      <c r="T75" s="113"/>
      <c r="U75" s="113"/>
      <c r="V75" s="112">
        <v>3.16626666666667</v>
      </c>
      <c r="W75" s="112">
        <v>68.2089333333333</v>
      </c>
      <c r="X75" s="113"/>
      <c r="Y75" s="113"/>
      <c r="Z75" s="113"/>
      <c r="AA75" s="113"/>
      <c r="AB75" s="113"/>
      <c r="AC75" s="112">
        <v>1.14891666666667</v>
      </c>
      <c r="AD75" s="112">
        <v>111.492133333333</v>
      </c>
      <c r="AE75" s="113"/>
      <c r="AF75" s="113"/>
      <c r="AG75" s="113"/>
      <c r="AH75" s="113"/>
      <c r="AI75" s="113"/>
      <c r="AJ75" s="112">
        <v>2.3535</v>
      </c>
      <c r="AK75" s="112">
        <v>84.1852833333333</v>
      </c>
      <c r="AL75" s="113"/>
      <c r="AM75" s="113"/>
      <c r="AN75" s="113"/>
      <c r="AO75" s="112">
        <v>6.91598333333333</v>
      </c>
      <c r="AP75" s="112">
        <v>20.7746</v>
      </c>
      <c r="AQ75" s="113"/>
      <c r="AR75" s="113"/>
      <c r="AS75" s="112">
        <v>2.08421666666667</v>
      </c>
      <c r="AT75" s="112">
        <v>50.1578</v>
      </c>
      <c r="AU75" s="113"/>
      <c r="AV75" s="112">
        <v>4.9159</v>
      </c>
      <c r="AW75" s="112">
        <v>0.854533333333333</v>
      </c>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113"/>
      <c r="CB75" s="113"/>
      <c r="CC75" s="113"/>
      <c r="CD75" s="113"/>
      <c r="CE75" s="113"/>
      <c r="CF75" s="113"/>
      <c r="CG75" s="113"/>
      <c r="CH75" s="113"/>
      <c r="CI75" s="113"/>
      <c r="CJ75" s="113"/>
      <c r="CK75" s="113"/>
      <c r="CL75" s="113"/>
      <c r="CM75" s="113"/>
      <c r="CN75" s="113"/>
      <c r="CO75" s="113"/>
      <c r="CP75" s="113"/>
      <c r="CQ75" s="113"/>
      <c r="CR75" s="113"/>
      <c r="CS75" s="113"/>
      <c r="CT75" s="113"/>
      <c r="CU75" s="113"/>
      <c r="CV75" s="113"/>
      <c r="CW75" s="113"/>
      <c r="CX75" s="113"/>
      <c r="CY75" s="113"/>
      <c r="CZ75" s="113"/>
      <c r="DA75" s="113"/>
      <c r="DB75" s="113"/>
      <c r="DC75" s="113"/>
      <c r="DD75" s="113"/>
      <c r="DE75" s="113"/>
      <c r="DF75" s="113"/>
      <c r="DG75" s="113"/>
      <c r="DH75" s="113"/>
      <c r="DI75" s="113"/>
      <c r="DJ75" s="113"/>
      <c r="DK75" s="113"/>
      <c r="DL75" s="113"/>
      <c r="DM75" s="113"/>
      <c r="DN75" s="113"/>
      <c r="DO75" s="113"/>
      <c r="DP75" s="113"/>
      <c r="DQ75" s="113"/>
      <c r="DR75" s="113"/>
      <c r="DS75" s="113"/>
      <c r="DT75" s="113"/>
      <c r="DU75" s="113"/>
      <c r="DV75" s="113"/>
      <c r="DW75" s="113"/>
      <c r="DX75" s="113"/>
      <c r="DY75" s="113"/>
      <c r="DZ75" s="113"/>
      <c r="EA75" s="113"/>
      <c r="EB75" s="113"/>
      <c r="EC75" s="113"/>
      <c r="ED75" s="113"/>
      <c r="EE75" s="113"/>
      <c r="EF75" s="113"/>
      <c r="EG75" s="113"/>
      <c r="EH75" s="113"/>
      <c r="EI75" s="113"/>
      <c r="EJ75" s="113"/>
      <c r="EK75" s="113"/>
      <c r="EL75" s="113"/>
      <c r="EM75" s="113"/>
      <c r="EN75" s="113"/>
      <c r="EO75" s="113"/>
      <c r="EP75" s="113"/>
      <c r="EQ75" s="113"/>
      <c r="ER75" s="113"/>
      <c r="ES75" s="113"/>
      <c r="ET75" s="113"/>
      <c r="EU75" s="113"/>
      <c r="EV75" s="113"/>
      <c r="EW75" s="113"/>
      <c r="EX75" s="113"/>
      <c r="EY75" s="113"/>
      <c r="EZ75" s="113"/>
      <c r="FA75" s="113"/>
      <c r="FB75" s="113"/>
      <c r="FC75" s="113"/>
      <c r="FD75" s="113"/>
      <c r="FE75" s="113"/>
      <c r="FF75" s="113"/>
      <c r="FG75" s="113"/>
      <c r="FH75" s="113"/>
      <c r="FI75" s="113"/>
      <c r="FJ75" s="113"/>
      <c r="FK75" s="113"/>
      <c r="FL75" s="113"/>
      <c r="FM75" s="113"/>
      <c r="FN75" s="113"/>
      <c r="FO75" s="113"/>
      <c r="FP75" s="113"/>
      <c r="FQ75" s="113"/>
      <c r="FR75" s="113"/>
      <c r="FS75" s="113"/>
      <c r="FT75" s="113"/>
      <c r="FU75" s="113"/>
      <c r="FV75" s="113"/>
      <c r="FW75" s="113"/>
      <c r="FX75" s="113"/>
      <c r="FY75" s="113"/>
      <c r="FZ75" s="113"/>
      <c r="GA75" s="113"/>
      <c r="GB75" s="113"/>
      <c r="GC75" s="113"/>
      <c r="GD75" s="113"/>
      <c r="GE75" s="113"/>
      <c r="GF75" s="113"/>
      <c r="GG75" s="113"/>
      <c r="GH75" s="113"/>
      <c r="GI75" s="113"/>
      <c r="GJ75" s="113"/>
      <c r="GK75" s="113"/>
      <c r="GL75" s="113"/>
      <c r="GM75" s="113"/>
      <c r="GN75" s="113"/>
      <c r="GO75" s="113"/>
      <c r="GP75" s="113"/>
      <c r="GQ75" s="113"/>
      <c r="GR75" s="113"/>
      <c r="GS75" s="113"/>
      <c r="GT75" s="113"/>
      <c r="GU75" s="113"/>
      <c r="GV75" s="113"/>
      <c r="GW75" s="113"/>
      <c r="GX75" s="113"/>
      <c r="GY75" s="113"/>
      <c r="GZ75" s="113"/>
      <c r="HA75" s="113"/>
      <c r="HB75" s="113"/>
      <c r="HC75" s="113"/>
      <c r="HD75" s="113"/>
      <c r="HE75" s="113"/>
      <c r="HF75" s="113"/>
      <c r="HG75" s="113"/>
      <c r="HH75" s="113"/>
      <c r="HI75" s="113"/>
      <c r="HJ75" s="113"/>
      <c r="HK75" s="113"/>
      <c r="HL75" s="113"/>
      <c r="HM75" s="113"/>
      <c r="HN75" s="113"/>
      <c r="HO75" s="113"/>
      <c r="HP75" s="113"/>
      <c r="HQ75" s="113"/>
      <c r="HR75" s="113"/>
      <c r="HS75" s="113"/>
      <c r="HT75" s="113"/>
      <c r="HU75" s="113"/>
      <c r="HV75" s="113"/>
      <c r="HW75" s="113"/>
      <c r="HX75" s="113"/>
      <c r="HY75" s="113"/>
      <c r="HZ75" s="113"/>
      <c r="IA75" s="113"/>
      <c r="IB75" s="113"/>
      <c r="IC75" s="113"/>
      <c r="ID75" s="113"/>
      <c r="IE75" s="113"/>
      <c r="IF75" s="113"/>
      <c r="IG75" s="113"/>
      <c r="IH75" s="113"/>
      <c r="II75" s="113"/>
      <c r="IJ75" s="113"/>
      <c r="IK75" s="113"/>
      <c r="IL75" s="113"/>
      <c r="IM75" s="113"/>
      <c r="IN75" s="113"/>
      <c r="IO75" s="113"/>
      <c r="IP75" s="113"/>
      <c r="IQ75" s="113"/>
      <c r="IR75" s="113"/>
      <c r="IS75" s="113"/>
      <c r="IT75" s="113"/>
      <c r="IU75" s="113"/>
      <c r="IV75" s="113"/>
      <c r="IW75" s="113"/>
      <c r="IX75" s="113"/>
      <c r="IY75" s="113"/>
      <c r="IZ75" s="113"/>
      <c r="JA75" s="113"/>
      <c r="JB75" s="113"/>
      <c r="JC75" s="113"/>
      <c r="JD75" s="113"/>
      <c r="JE75" s="113"/>
      <c r="JF75" s="113"/>
      <c r="JG75" s="113"/>
      <c r="JH75" s="113"/>
      <c r="JI75" s="113"/>
      <c r="JJ75" s="113"/>
      <c r="JK75" s="113"/>
      <c r="JL75" s="113"/>
      <c r="JM75" s="113"/>
      <c r="JN75" s="113"/>
      <c r="JO75" s="113"/>
      <c r="JP75" s="113"/>
      <c r="JQ75" s="113"/>
      <c r="JR75" s="113"/>
      <c r="JS75" s="113"/>
      <c r="JT75" s="113"/>
      <c r="JU75" s="113"/>
      <c r="JV75" s="113"/>
      <c r="JW75" s="113"/>
      <c r="JX75" s="113"/>
      <c r="JY75" s="113"/>
      <c r="JZ75" s="113"/>
      <c r="KA75" s="113"/>
      <c r="KB75" s="113"/>
      <c r="KC75" s="113"/>
      <c r="KD75" s="113"/>
      <c r="KE75" s="113"/>
      <c r="KF75" s="113"/>
      <c r="KG75" s="113"/>
      <c r="KH75" s="113"/>
      <c r="KI75" s="113"/>
      <c r="KJ75" s="113"/>
      <c r="KK75" s="113"/>
      <c r="KL75" s="113"/>
      <c r="KM75" s="113"/>
      <c r="KN75" s="113"/>
      <c r="KO75" s="113"/>
      <c r="KP75" s="113"/>
      <c r="KQ75" s="113"/>
      <c r="KR75" s="113"/>
      <c r="KS75" s="113"/>
      <c r="KT75" s="113"/>
      <c r="KU75" s="113"/>
      <c r="KV75" s="113"/>
      <c r="KW75" s="113"/>
      <c r="KX75" s="113"/>
      <c r="KY75" s="113"/>
      <c r="KZ75" s="113"/>
      <c r="LA75" s="113"/>
      <c r="LB75" s="113"/>
      <c r="LC75" s="113"/>
      <c r="LD75" s="113"/>
      <c r="LE75" s="113"/>
      <c r="LF75" s="113"/>
      <c r="LG75" s="113"/>
      <c r="LH75" s="113"/>
      <c r="LI75" s="113"/>
      <c r="LJ75" s="113"/>
      <c r="LK75" s="113"/>
      <c r="LL75" s="113"/>
      <c r="LM75" s="113"/>
      <c r="LN75" s="113"/>
      <c r="LO75" s="113"/>
      <c r="LP75" s="113"/>
      <c r="LQ75" s="113"/>
      <c r="LR75" s="113"/>
      <c r="LS75" s="113"/>
      <c r="LT75" s="113"/>
      <c r="LU75" s="113"/>
      <c r="LV75" s="113"/>
      <c r="LW75" s="113"/>
      <c r="LX75" s="113"/>
      <c r="LY75" s="113"/>
      <c r="LZ75" s="113"/>
      <c r="MA75" s="113"/>
      <c r="MB75" s="113"/>
      <c r="MC75" s="113"/>
      <c r="MD75" s="113"/>
      <c r="ME75" s="113"/>
      <c r="MF75" s="113"/>
      <c r="MG75" s="113"/>
      <c r="MH75" s="113"/>
      <c r="MI75" s="113"/>
      <c r="MJ75" s="113"/>
      <c r="MK75" s="113"/>
      <c r="ML75" s="113"/>
      <c r="MM75" s="113"/>
      <c r="MN75" s="113"/>
      <c r="MO75" s="113"/>
      <c r="MP75" s="113"/>
      <c r="MQ75" s="113"/>
      <c r="MR75" s="113"/>
      <c r="MS75" s="113"/>
      <c r="MT75" s="113"/>
      <c r="MU75" s="113"/>
      <c r="MV75" s="113"/>
      <c r="MW75" s="113"/>
      <c r="MX75" s="113"/>
      <c r="MY75" s="113"/>
      <c r="MZ75" s="113"/>
      <c r="NA75" s="113"/>
      <c r="NB75" s="113"/>
      <c r="NC75" s="113"/>
      <c r="ND75" s="113"/>
      <c r="NE75" s="113"/>
      <c r="NF75" s="113"/>
      <c r="NG75" s="113"/>
      <c r="NH75" s="113"/>
      <c r="NI75" s="113"/>
      <c r="NJ75" s="113"/>
      <c r="NK75" s="113"/>
      <c r="NL75" s="113"/>
      <c r="NM75" s="113"/>
      <c r="NN75" s="113"/>
      <c r="NO75" s="113"/>
      <c r="NP75" s="113"/>
      <c r="NQ75" s="113"/>
      <c r="NR75" s="113"/>
      <c r="NS75" s="113"/>
      <c r="NT75" s="113"/>
      <c r="NU75" s="113"/>
      <c r="NV75" s="113"/>
      <c r="NW75" s="113"/>
      <c r="NX75" s="113"/>
      <c r="NY75" s="113"/>
      <c r="NZ75" s="113"/>
      <c r="OA75" s="113"/>
      <c r="OB75" s="113"/>
      <c r="OC75" s="113"/>
      <c r="OD75" s="113"/>
      <c r="OE75" s="113"/>
      <c r="OF75" s="113"/>
      <c r="OG75" s="113"/>
      <c r="OH75" s="113"/>
      <c r="OI75" s="113"/>
      <c r="OJ75" s="113"/>
      <c r="OK75" s="113"/>
      <c r="OL75" s="113"/>
      <c r="OM75" s="113"/>
      <c r="ON75" s="113"/>
      <c r="OO75" s="113"/>
      <c r="OP75" s="113"/>
      <c r="OQ75" s="113"/>
      <c r="OR75" s="113"/>
      <c r="OS75" s="113"/>
      <c r="OT75" s="113"/>
      <c r="OU75" s="113"/>
      <c r="OV75" s="113"/>
      <c r="OW75" s="113"/>
      <c r="OX75" s="113"/>
      <c r="OY75" s="113"/>
      <c r="OZ75" s="113"/>
      <c r="PA75" s="113"/>
      <c r="PB75" s="113"/>
      <c r="PC75" s="113"/>
      <c r="PD75" s="113"/>
      <c r="PE75" s="113"/>
      <c r="PF75" s="113"/>
      <c r="PG75" s="113"/>
      <c r="PH75" s="113"/>
      <c r="PI75" s="113"/>
      <c r="PJ75" s="113"/>
      <c r="PK75" s="113"/>
      <c r="PL75" s="113"/>
      <c r="PM75" s="113"/>
      <c r="PN75" s="113"/>
      <c r="PO75" s="113"/>
      <c r="PP75" s="113"/>
      <c r="PQ75" s="113"/>
      <c r="PR75" s="113"/>
      <c r="PS75" s="113"/>
      <c r="PT75" s="113"/>
      <c r="PU75" s="113"/>
      <c r="PV75" s="113"/>
      <c r="PW75" s="113"/>
      <c r="PX75" s="113"/>
      <c r="PY75" s="113"/>
      <c r="PZ75" s="113"/>
      <c r="QA75" s="113"/>
      <c r="QB75" s="113"/>
      <c r="QC75" s="113"/>
      <c r="QD75" s="113"/>
      <c r="QE75" s="113"/>
      <c r="QF75" s="113"/>
      <c r="QG75" s="113"/>
      <c r="QH75" s="113"/>
      <c r="QI75" s="113"/>
      <c r="QJ75" s="113"/>
      <c r="QK75" s="113"/>
      <c r="QL75" s="113"/>
      <c r="QM75" s="113"/>
      <c r="QN75" s="113"/>
      <c r="QO75" s="113"/>
      <c r="QP75" s="113"/>
      <c r="QQ75" s="113"/>
      <c r="QR75" s="113"/>
      <c r="QS75" s="113"/>
      <c r="QT75" s="113"/>
      <c r="QU75" s="113"/>
      <c r="QV75" s="113"/>
      <c r="QW75" s="113"/>
      <c r="QX75" s="113"/>
      <c r="QY75" s="113"/>
      <c r="QZ75" s="113"/>
      <c r="RA75" s="113"/>
      <c r="RB75" s="113"/>
      <c r="RC75" s="113"/>
      <c r="RD75" s="113"/>
      <c r="RE75" s="113"/>
      <c r="RF75" s="113"/>
      <c r="RG75" s="113"/>
      <c r="RH75" s="113"/>
      <c r="RI75" s="113"/>
      <c r="RJ75" s="113"/>
      <c r="RK75" s="113"/>
      <c r="RL75" s="113"/>
      <c r="RM75" s="113"/>
      <c r="RN75" s="113"/>
      <c r="RO75" s="113"/>
      <c r="RP75" s="113"/>
      <c r="RQ75" s="113"/>
      <c r="RR75" s="113"/>
      <c r="RS75" s="113"/>
      <c r="RT75" s="113"/>
      <c r="RU75" s="113"/>
      <c r="RV75" s="113"/>
      <c r="RW75" s="113"/>
      <c r="RX75" s="113"/>
      <c r="RY75" s="113"/>
      <c r="RZ75" s="113"/>
      <c r="SA75" s="113"/>
      <c r="SB75" s="113"/>
      <c r="SC75" s="113"/>
      <c r="SD75" s="113"/>
      <c r="SE75" s="113"/>
      <c r="SF75" s="113"/>
      <c r="SG75" s="113"/>
      <c r="SH75" s="113"/>
      <c r="SI75" s="113"/>
      <c r="SJ75" s="113"/>
      <c r="SK75" s="113"/>
      <c r="SL75" s="113"/>
      <c r="SM75" s="113"/>
      <c r="SN75" s="113"/>
      <c r="SO75" s="113"/>
      <c r="SP75" s="113"/>
      <c r="SQ75" s="113"/>
      <c r="SR75" s="113"/>
      <c r="SS75" s="113"/>
      <c r="ST75" s="113"/>
      <c r="SU75" s="113"/>
      <c r="SV75" s="113"/>
      <c r="SW75" s="113"/>
      <c r="SX75" s="113"/>
      <c r="SY75" s="113"/>
      <c r="SZ75" s="113"/>
      <c r="TA75" s="113"/>
      <c r="TB75" s="113"/>
      <c r="TC75" s="113"/>
      <c r="TD75" s="113"/>
      <c r="TE75" s="113"/>
      <c r="TF75" s="113"/>
      <c r="TG75" s="113"/>
      <c r="TH75" s="113"/>
      <c r="TI75" s="113"/>
      <c r="TJ75" s="113"/>
      <c r="TK75" s="113"/>
      <c r="TL75" s="113"/>
      <c r="TM75" s="113"/>
      <c r="TN75" s="113"/>
      <c r="TO75" s="113"/>
      <c r="TP75" s="113"/>
      <c r="TQ75" s="113"/>
      <c r="TR75" s="113"/>
      <c r="TS75" s="113"/>
      <c r="TT75" s="113"/>
      <c r="TU75" s="113"/>
      <c r="TV75" s="113"/>
      <c r="TW75" s="113"/>
      <c r="TX75" s="113"/>
      <c r="TY75" s="113"/>
      <c r="TZ75" s="113"/>
      <c r="UA75" s="113"/>
      <c r="UB75" s="113"/>
      <c r="UC75" s="113"/>
      <c r="UD75" s="113"/>
      <c r="UE75" s="113"/>
      <c r="UF75" s="113"/>
      <c r="UG75" s="113"/>
      <c r="UH75" s="113"/>
      <c r="UI75" s="113"/>
      <c r="UJ75" s="113"/>
      <c r="UK75" s="113"/>
      <c r="UL75" s="113"/>
      <c r="UM75" s="113"/>
      <c r="UN75" s="113"/>
      <c r="UO75" s="113"/>
      <c r="UP75" s="113"/>
      <c r="UQ75" s="113"/>
      <c r="UR75" s="113"/>
      <c r="US75" s="113"/>
      <c r="UT75" s="113"/>
      <c r="UU75" s="113"/>
      <c r="UV75" s="113"/>
      <c r="UW75" s="113"/>
      <c r="UX75" s="113"/>
      <c r="UY75" s="113"/>
      <c r="UZ75" s="113"/>
      <c r="VA75" s="113"/>
      <c r="VB75" s="113"/>
      <c r="VC75" s="113"/>
      <c r="VD75" s="113"/>
      <c r="VE75" s="113"/>
      <c r="VF75" s="113"/>
      <c r="VG75" s="113"/>
      <c r="VH75" s="113"/>
      <c r="VI75" s="113"/>
      <c r="VJ75" s="113"/>
      <c r="VK75" s="113"/>
      <c r="VL75" s="113"/>
      <c r="VM75" s="113"/>
      <c r="VN75" s="113"/>
      <c r="VO75" s="113"/>
      <c r="VP75" s="113"/>
      <c r="VQ75" s="113"/>
      <c r="VR75" s="113"/>
      <c r="VS75" s="113"/>
      <c r="VT75" s="113"/>
      <c r="VU75" s="113"/>
      <c r="VV75" s="113"/>
      <c r="VW75" s="113"/>
      <c r="VX75" s="113"/>
      <c r="VY75" s="113"/>
      <c r="VZ75" s="113"/>
      <c r="WA75" s="113"/>
      <c r="WB75" s="113"/>
      <c r="WC75" s="113"/>
      <c r="WD75" s="113"/>
      <c r="WE75" s="113"/>
      <c r="WF75" s="113"/>
      <c r="WG75" s="113"/>
      <c r="WH75" s="113"/>
      <c r="WI75" s="113"/>
      <c r="WJ75" s="113"/>
      <c r="WK75" s="113"/>
      <c r="WL75" s="113"/>
      <c r="WM75" s="113"/>
      <c r="WN75" s="113"/>
      <c r="WO75" s="113"/>
      <c r="WP75" s="113"/>
      <c r="WQ75" s="113"/>
      <c r="WR75" s="113"/>
      <c r="WS75" s="113"/>
      <c r="WT75" s="113"/>
      <c r="WU75" s="113"/>
      <c r="WV75" s="113"/>
      <c r="WW75" s="113"/>
      <c r="WX75" s="113"/>
      <c r="WY75" s="113"/>
      <c r="WZ75" s="113"/>
      <c r="XA75" s="113"/>
      <c r="XB75" s="113"/>
      <c r="XC75" s="113"/>
      <c r="XD75" s="113"/>
      <c r="XE75" s="113"/>
      <c r="XF75" s="113"/>
      <c r="XG75" s="113"/>
      <c r="XH75" s="113"/>
      <c r="XI75" s="113"/>
      <c r="XJ75" s="113"/>
      <c r="XK75" s="113"/>
      <c r="XL75" s="113"/>
      <c r="XM75" s="113"/>
      <c r="XN75" s="113"/>
      <c r="XO75" s="113"/>
      <c r="XP75" s="113"/>
      <c r="XQ75" s="113"/>
      <c r="XR75" s="113"/>
      <c r="XS75" s="113"/>
      <c r="XT75" s="113"/>
      <c r="XU75" s="113"/>
      <c r="XV75" s="113"/>
      <c r="XW75" s="113"/>
      <c r="XX75" s="113"/>
      <c r="XY75" s="113"/>
      <c r="XZ75" s="113"/>
      <c r="YA75" s="113"/>
      <c r="YB75" s="113"/>
      <c r="YC75" s="113"/>
      <c r="YD75" s="113"/>
      <c r="YE75" s="113"/>
      <c r="YF75" s="113"/>
      <c r="YG75" s="113"/>
      <c r="YH75" s="113"/>
      <c r="YI75" s="113"/>
      <c r="YJ75" s="113"/>
      <c r="YK75" s="113"/>
      <c r="YL75" s="113"/>
      <c r="YM75" s="113"/>
      <c r="YN75" s="113"/>
      <c r="YO75" s="113"/>
      <c r="YP75" s="113"/>
      <c r="YQ75" s="113"/>
      <c r="YR75" s="113"/>
      <c r="YS75" s="113"/>
      <c r="YT75" s="113"/>
      <c r="YU75" s="113"/>
      <c r="YV75" s="113"/>
      <c r="YW75" s="113"/>
      <c r="YX75" s="113"/>
      <c r="YY75" s="113"/>
      <c r="YZ75" s="113"/>
      <c r="ZA75" s="113"/>
      <c r="ZB75" s="113"/>
      <c r="ZC75" s="113"/>
      <c r="ZD75" s="113"/>
      <c r="ZE75" s="113"/>
      <c r="ZF75" s="113"/>
      <c r="ZG75" s="113"/>
      <c r="ZH75" s="113"/>
      <c r="ZI75" s="113"/>
      <c r="ZJ75" s="113"/>
      <c r="ZK75" s="113"/>
      <c r="ZL75" s="113"/>
      <c r="ZM75" s="113"/>
      <c r="ZN75" s="113"/>
      <c r="ZO75" s="113"/>
      <c r="ZP75" s="113"/>
      <c r="ZQ75" s="113"/>
      <c r="ZR75" s="113"/>
      <c r="ZS75" s="113"/>
      <c r="ZT75" s="113"/>
      <c r="ZU75" s="113"/>
      <c r="ZV75" s="113"/>
      <c r="ZW75" s="113"/>
      <c r="ZX75" s="113"/>
      <c r="ZY75" s="113"/>
      <c r="ZZ75" s="113"/>
      <c r="AAA75" s="113"/>
      <c r="AAB75" s="113"/>
      <c r="AAC75" s="113"/>
      <c r="AAD75" s="113"/>
      <c r="AAE75" s="113"/>
      <c r="AAF75" s="113"/>
      <c r="AAG75" s="113"/>
      <c r="AAH75" s="113"/>
      <c r="AAI75" s="113"/>
      <c r="AAJ75" s="113"/>
      <c r="AAK75" s="113"/>
      <c r="AAL75" s="113"/>
      <c r="AAM75" s="113"/>
      <c r="AAN75" s="113"/>
      <c r="AAO75" s="113"/>
      <c r="AAP75" s="113"/>
      <c r="AAQ75" s="113"/>
      <c r="AAR75" s="113"/>
      <c r="AAS75" s="113"/>
      <c r="AAT75" s="113"/>
      <c r="AAU75" s="113"/>
      <c r="AAV75" s="113"/>
      <c r="AAW75" s="113"/>
      <c r="AAX75" s="113"/>
      <c r="AAY75" s="113"/>
      <c r="AAZ75" s="113"/>
      <c r="ABA75" s="113"/>
      <c r="ABB75" s="113"/>
      <c r="ABC75" s="113"/>
      <c r="ABD75" s="113"/>
      <c r="ABE75" s="113"/>
      <c r="ABF75" s="113"/>
      <c r="ABG75" s="113"/>
      <c r="ABH75" s="113"/>
      <c r="ABI75" s="113"/>
      <c r="ABJ75" s="113"/>
      <c r="ABK75" s="113"/>
      <c r="ABL75" s="113"/>
      <c r="ABM75" s="113"/>
      <c r="ABN75" s="113"/>
      <c r="ABO75" s="113"/>
      <c r="ABP75" s="113"/>
      <c r="ABQ75" s="113"/>
      <c r="ABR75" s="113"/>
      <c r="ABS75" s="113"/>
      <c r="ABT75" s="113"/>
      <c r="ABU75" s="113"/>
      <c r="ABV75" s="113"/>
      <c r="ABW75" s="113"/>
      <c r="ABX75" s="113"/>
      <c r="ABY75" s="113"/>
      <c r="ABZ75" s="113"/>
      <c r="ACA75" s="113"/>
      <c r="ACB75" s="113"/>
      <c r="ACC75" s="113"/>
      <c r="ACD75" s="113"/>
      <c r="ACE75" s="113"/>
      <c r="ACF75" s="113"/>
      <c r="ACG75" s="113"/>
      <c r="ACH75" s="113"/>
      <c r="ACI75" s="113"/>
      <c r="ACJ75" s="113"/>
      <c r="ACK75" s="113"/>
      <c r="ACL75" s="113"/>
      <c r="ACM75" s="113"/>
      <c r="ACN75" s="113"/>
      <c r="ACO75" s="113"/>
      <c r="ACP75" s="113"/>
      <c r="ACQ75" s="113"/>
      <c r="ACR75" s="113"/>
      <c r="ACS75" s="113"/>
      <c r="ACT75" s="113"/>
      <c r="ACU75" s="113"/>
      <c r="ACV75" s="113"/>
      <c r="ACW75" s="113"/>
      <c r="ACX75" s="113"/>
      <c r="ACY75" s="113"/>
      <c r="ACZ75" s="113"/>
      <c r="ADA75" s="113"/>
      <c r="ADB75" s="113"/>
      <c r="ADC75" s="113"/>
      <c r="ADD75" s="113"/>
      <c r="ADE75" s="113"/>
      <c r="ADF75" s="113"/>
      <c r="ADG75" s="113"/>
      <c r="ADH75" s="113"/>
      <c r="ADI75" s="113"/>
      <c r="ADJ75" s="113"/>
      <c r="ADK75" s="113"/>
      <c r="ADL75" s="113"/>
      <c r="ADM75" s="113"/>
      <c r="ADN75" s="113"/>
      <c r="ADO75" s="113"/>
      <c r="ADP75" s="113"/>
      <c r="ADQ75" s="113"/>
      <c r="ADR75" s="113"/>
      <c r="ADS75" s="113"/>
      <c r="ADT75" s="113"/>
      <c r="ADU75" s="113"/>
      <c r="ADV75" s="113"/>
      <c r="ADW75" s="113"/>
      <c r="ADX75" s="113"/>
      <c r="ADY75" s="113"/>
      <c r="ADZ75" s="113"/>
      <c r="AEA75" s="113"/>
      <c r="AEB75" s="113"/>
      <c r="AEC75" s="113"/>
      <c r="AED75" s="113"/>
      <c r="AEE75" s="113"/>
      <c r="AEF75" s="113"/>
      <c r="AEG75" s="113"/>
      <c r="AEH75" s="113"/>
      <c r="AEI75" s="113"/>
      <c r="AEJ75" s="113"/>
      <c r="AEK75" s="113"/>
      <c r="AEL75" s="113"/>
      <c r="AEM75" s="113"/>
      <c r="AEN75" s="113"/>
      <c r="AEO75" s="113"/>
      <c r="AEP75" s="113"/>
      <c r="AEQ75" s="113"/>
      <c r="AER75" s="113"/>
      <c r="AES75" s="113"/>
      <c r="AET75" s="113"/>
      <c r="AEU75" s="113"/>
      <c r="AEV75" s="113"/>
      <c r="AEW75" s="113"/>
      <c r="AEX75" s="113"/>
      <c r="AEY75" s="113"/>
      <c r="AEZ75" s="113"/>
      <c r="AFA75" s="113"/>
      <c r="AFB75" s="113"/>
      <c r="AFC75" s="113"/>
      <c r="AFD75" s="113"/>
      <c r="AFE75" s="113"/>
      <c r="AFF75" s="113"/>
      <c r="AFG75" s="113"/>
      <c r="AFH75" s="113"/>
      <c r="AFI75" s="113"/>
      <c r="AFJ75" s="113"/>
      <c r="AFK75" s="113"/>
      <c r="AFL75" s="113"/>
      <c r="AFM75" s="113"/>
      <c r="AFN75" s="113"/>
      <c r="AFO75" s="113"/>
      <c r="AFP75" s="113"/>
      <c r="AFQ75" s="113"/>
      <c r="AFR75" s="113"/>
      <c r="AFS75" s="113"/>
      <c r="AFT75" s="113"/>
      <c r="AFU75" s="113"/>
      <c r="AFV75" s="113"/>
      <c r="AFW75" s="113"/>
      <c r="AFX75" s="113"/>
      <c r="AFY75" s="113"/>
      <c r="AFZ75" s="113"/>
      <c r="AGA75" s="113"/>
      <c r="AGB75" s="113"/>
      <c r="AGC75" s="113"/>
      <c r="AGD75" s="113"/>
      <c r="AGE75" s="113"/>
      <c r="AGF75" s="113"/>
      <c r="AGG75" s="113"/>
      <c r="AGH75" s="113"/>
      <c r="AGI75" s="113"/>
      <c r="AGJ75" s="113"/>
      <c r="AGK75" s="113"/>
      <c r="AGL75" s="113"/>
      <c r="AGM75" s="113"/>
      <c r="AGN75" s="113"/>
      <c r="AGO75" s="113"/>
      <c r="AGP75" s="113"/>
      <c r="AGQ75" s="113"/>
      <c r="AGR75" s="113"/>
      <c r="AGS75" s="113"/>
      <c r="AGT75" s="113"/>
      <c r="AGU75" s="113"/>
      <c r="AGV75" s="113"/>
      <c r="AGW75" s="113"/>
      <c r="AGX75" s="113"/>
      <c r="AGY75" s="113"/>
      <c r="AGZ75" s="113"/>
      <c r="AHA75" s="113"/>
      <c r="AHB75" s="113"/>
      <c r="AHC75" s="113"/>
      <c r="AHD75" s="113"/>
      <c r="AHE75" s="113"/>
      <c r="AHF75" s="113"/>
      <c r="AHG75" s="113"/>
      <c r="AHH75" s="113"/>
      <c r="AHI75" s="113"/>
      <c r="AHJ75" s="113"/>
      <c r="AHK75" s="113"/>
      <c r="AHL75" s="113"/>
      <c r="AHM75" s="113"/>
      <c r="AHN75" s="113"/>
      <c r="AHO75" s="113"/>
      <c r="AHP75" s="113"/>
      <c r="AHQ75" s="113"/>
      <c r="AHR75" s="113"/>
      <c r="AHS75" s="113"/>
      <c r="AHT75" s="113"/>
      <c r="AHU75" s="113"/>
      <c r="AHV75" s="113"/>
      <c r="AHW75" s="113"/>
      <c r="AHX75" s="113"/>
      <c r="AHY75" s="113"/>
      <c r="AHZ75" s="113"/>
      <c r="AIA75" s="113"/>
      <c r="AIB75" s="113"/>
      <c r="AIC75" s="113"/>
      <c r="AID75" s="113"/>
      <c r="AIE75" s="113"/>
      <c r="AIF75" s="113"/>
      <c r="AIG75" s="113"/>
      <c r="AIH75" s="113"/>
      <c r="AII75" s="113"/>
      <c r="AIJ75" s="113"/>
      <c r="AIK75" s="113"/>
      <c r="AIL75" s="113"/>
      <c r="AIM75" s="113"/>
      <c r="AIN75" s="113"/>
      <c r="AIO75" s="113"/>
      <c r="AIP75" s="113"/>
      <c r="AIQ75" s="113"/>
      <c r="AIR75" s="113"/>
      <c r="AIS75" s="113"/>
      <c r="AIT75" s="113"/>
      <c r="AIU75" s="113"/>
      <c r="AIV75" s="113"/>
      <c r="AIW75" s="113"/>
      <c r="AIX75" s="113"/>
      <c r="AIY75" s="113"/>
      <c r="AIZ75" s="113"/>
    </row>
    <row r="76">
      <c r="A76" s="65" t="s">
        <v>7</v>
      </c>
      <c r="B76" s="65" t="s">
        <v>19</v>
      </c>
      <c r="C76" s="65"/>
      <c r="D76" s="64">
        <f t="shared" si="1"/>
        <v>722.8289167</v>
      </c>
      <c r="G76" s="65">
        <v>136.4577</v>
      </c>
      <c r="H76" s="65">
        <v>14.9783166666667</v>
      </c>
      <c r="I76" s="65">
        <v>4.39586666666667</v>
      </c>
      <c r="J76" s="65">
        <v>1.06556666666667</v>
      </c>
      <c r="K76" s="65">
        <v>40.4285666666667</v>
      </c>
      <c r="N76" s="65">
        <v>15.7431333333333</v>
      </c>
      <c r="Q76" s="65">
        <v>129.551383333333</v>
      </c>
      <c r="R76" s="65">
        <v>55.2701833333333</v>
      </c>
      <c r="S76" s="65">
        <v>7.97223333333333</v>
      </c>
      <c r="T76" s="65">
        <v>4.4893</v>
      </c>
      <c r="U76" s="65">
        <v>12.0371666666667</v>
      </c>
      <c r="X76" s="65">
        <v>29.5876333333333</v>
      </c>
      <c r="Y76" s="65">
        <v>27.20365</v>
      </c>
      <c r="Z76" s="65">
        <v>2.72835</v>
      </c>
      <c r="AA76" s="65">
        <v>1.3335</v>
      </c>
      <c r="AB76" s="65">
        <v>3.91018333333333</v>
      </c>
      <c r="AE76" s="65">
        <v>16.29295</v>
      </c>
      <c r="AF76" s="65">
        <v>78.2706833333334</v>
      </c>
      <c r="AG76" s="65">
        <v>4.99856666666667</v>
      </c>
      <c r="AH76" s="65">
        <v>1.35448333333333</v>
      </c>
      <c r="AI76" s="65">
        <v>10.0009833333333</v>
      </c>
      <c r="AL76" s="65">
        <v>24.09965</v>
      </c>
      <c r="AM76" s="65">
        <v>8.13611666666667</v>
      </c>
      <c r="AN76" s="65">
        <v>28.7414833333333</v>
      </c>
      <c r="AQ76" s="65">
        <v>2.44748333333333</v>
      </c>
      <c r="AR76" s="65">
        <v>12.82005</v>
      </c>
      <c r="AU76" s="65">
        <v>48.5137333333333</v>
      </c>
    </row>
    <row r="77">
      <c r="A77" s="65" t="s">
        <v>7</v>
      </c>
      <c r="B77" s="65" t="s">
        <v>19</v>
      </c>
      <c r="C77" s="65"/>
      <c r="D77" s="64">
        <f t="shared" si="1"/>
        <v>0</v>
      </c>
    </row>
    <row r="78">
      <c r="A78" s="65" t="s">
        <v>7</v>
      </c>
      <c r="B78" s="65" t="s">
        <v>19</v>
      </c>
      <c r="C78" s="65"/>
      <c r="D78" s="64">
        <f t="shared" si="1"/>
        <v>680.9816333</v>
      </c>
      <c r="G78" s="118">
        <f>HYPERLINK("https://docs.google.com/spreadsheets/d/1uSdCuMZiqf1XOojh_JBCxXRqRgxgXp92", 135.9766)</f>
        <v>135.9766</v>
      </c>
      <c r="H78" s="118">
        <f>HYPERLINK("https://docs.google.com/spreadsheets/d/1yY2h-OOUGbT5OnDnmkDSFa2bxPtR0Kfn", 14.1332333333333)</f>
        <v>14.13323333</v>
      </c>
      <c r="I78" s="118">
        <f>HYPERLINK("https://docs.google.com/spreadsheets/d/1tb7dV7yGY4GbmeDB-mZEe_5FpkyNqoZB", 3.76828333333333)</f>
        <v>3.768283333</v>
      </c>
      <c r="J78" s="118">
        <f>HYPERLINK("https://docs.google.com/spreadsheets/d/1Ox_sYOD8AES_YthxTrKjv8ywkXenwejZ", 0.886066666666667)</f>
        <v>0.8860666667</v>
      </c>
      <c r="K78" s="118">
        <f>HYPERLINK("https://docs.google.com/spreadsheets/d/1J7bPCfEr9V9eiBcYlxC3TrI_mFMhVdJ1", 39.5935833333333)</f>
        <v>39.59358333</v>
      </c>
      <c r="N78" s="118">
        <f>HYPERLINK("https://docs.google.com/spreadsheets/d/13ndsnGbDLpN5E9Lu0VtbNjqTL0OHrPba", 15.7431333333333)</f>
        <v>15.74313333</v>
      </c>
      <c r="Q78" s="118">
        <f>HYPERLINK("https://docs.google.com/spreadsheets/d/11NbsFvsJhn--YnuH9wepSRSB7ZeTT-aQ", 104.192166666667)</f>
        <v>104.1921667</v>
      </c>
      <c r="R78" s="118">
        <f>HYPERLINK("https://docs.google.com/spreadsheets/d/1fSy41whIZCclkdJH5PIAr5nkjOgBMldt", 54.6513666666666)</f>
        <v>54.65136667</v>
      </c>
      <c r="S78" s="118">
        <f>HYPERLINK("https://docs.google.com/spreadsheets/d/1Eq_sbMh24jJ-23bkuxz4gMXRdwR-1sYa", 6.71728333333333)</f>
        <v>6.717283333</v>
      </c>
      <c r="T78" s="118">
        <f>HYPERLINK("https://docs.google.com/spreadsheets/d/1X9u0KIakw_eoRi6LqieEYqpo9FhYYM4Z", 4.36541666666667)</f>
        <v>4.365416667</v>
      </c>
      <c r="U78" s="118">
        <f>HYPERLINK("https://docs.google.com/spreadsheets/d/1BmFFuDo0q9tfV-rshkEDDTI4Ml8hDdLO", 12.03715)</f>
        <v>12.03715</v>
      </c>
      <c r="X78" s="118">
        <f>HYPERLINK("https://docs.google.com/spreadsheets/d/1uh82DBQR0Lkh50D84TPrDg690WS7AGWH", 25.5991833333333)</f>
        <v>25.59918333</v>
      </c>
      <c r="Y78" s="118">
        <f>HYPERLINK("https://docs.google.com/spreadsheets/d/19PVBP_JY1Bk8YAB6znGM6hmV5Y42wyG2", 27.04605)</f>
        <v>27.04605</v>
      </c>
      <c r="Z78" s="118">
        <f>HYPERLINK("https://docs.google.com/spreadsheets/d/1F4JF-TnwrgVBuZIU_4H3TxUFsDUGJ-1M", 2.72835)</f>
        <v>2.72835</v>
      </c>
      <c r="AA78" s="118">
        <f>HYPERLINK("https://docs.google.com/spreadsheets/d/10AjxLz3NvZLrs5-uhzJ2jdo-uAUaBvDp", 1.14721666666667)</f>
        <v>1.147216667</v>
      </c>
      <c r="AB78" s="118">
        <f>HYPERLINK("https://docs.google.com/spreadsheets/d/11_1cqcxcCsBy21a9RRnnn8nnggTy8n5s", 3.91018333333333)</f>
        <v>3.910183333</v>
      </c>
      <c r="AE78" s="118">
        <f>HYPERLINK("https://docs.google.com/spreadsheets/d/1WKSCcDrwOyWVleM9yp9mow3rHEPCufB9", 15.8021333333333)</f>
        <v>15.80213333</v>
      </c>
      <c r="AF78" s="118">
        <f>HYPERLINK("https://docs.google.com/spreadsheets/d/1lCeTkyT8jEDQoA9ZoYYyErUz2zNNkWQ2", 78.2706)</f>
        <v>78.2706</v>
      </c>
      <c r="AG78" s="118">
        <f>HYPERLINK("https://docs.google.com/spreadsheets/d/15z4fv7wE_d1AnubC4iqQfEdJ011JiNja", 4.8537)</f>
        <v>4.8537</v>
      </c>
      <c r="AH78" s="118">
        <f>HYPERLINK("https://docs.google.com/spreadsheets/d/1atR5zEZcDswBbB_z1nq139iWrupny1xU", 1.35448333333333)</f>
        <v>1.354483333</v>
      </c>
      <c r="AI78" s="118">
        <f>HYPERLINK("https://docs.google.com/spreadsheets/d/1G1tFu-CVWlFXCzj8M6TMDvEJJJ5XW4MI", 9.77426666666667)</f>
        <v>9.774266667</v>
      </c>
      <c r="AL78" s="118">
        <f>HYPERLINK("https://docs.google.com/spreadsheets/d/19K1mmKzojoZpnr_a6u4XgmPaQhZWvfpj", 18.3733666666667)</f>
        <v>18.37336667</v>
      </c>
      <c r="AM78" s="118">
        <f>HYPERLINK("https://docs.google.com/spreadsheets/d/1lcxbN2Yetf68U2U5FhxSCS5ufYGOSlmK", 8.13613333333334)</f>
        <v>8.136133333</v>
      </c>
      <c r="AN78" s="118">
        <f>HYPERLINK("https://docs.google.com/spreadsheets/d/1vI9heaZe2PDMNSK3GJRlCg_j8FIs1gjl", 28.6775833333333)</f>
        <v>28.67758333</v>
      </c>
      <c r="AQ78" s="118">
        <f>HYPERLINK("https://docs.google.com/spreadsheets/d/1kaMZaM560B02qziuYgr9qoIcO8mrpGRz", 2.35686666666667)</f>
        <v>2.356866667</v>
      </c>
      <c r="AR78" s="118">
        <f>HYPERLINK("https://docs.google.com/spreadsheets/d/1fjsEoeIjU2wlKhUJp1piBeUOd0nuH6kQ", 12.8200333333333)</f>
        <v>12.82003333</v>
      </c>
      <c r="AU78" s="118">
        <f>HYPERLINK("https://docs.google.com/spreadsheets/d/1lgnhJEF1eq9smpM25Q14sPQ29-ea8qva", 48.0672)</f>
        <v>48.0672</v>
      </c>
    </row>
    <row r="79">
      <c r="A79" s="65" t="s">
        <v>7</v>
      </c>
      <c r="B79" s="65" t="s">
        <v>19</v>
      </c>
      <c r="C79" s="65"/>
      <c r="D79" s="64">
        <f t="shared" si="1"/>
        <v>294.2345333</v>
      </c>
      <c r="G79" s="65">
        <v>72.7046833333334</v>
      </c>
      <c r="H79" s="65">
        <v>5.85305</v>
      </c>
      <c r="I79" s="65">
        <v>1.023</v>
      </c>
      <c r="J79" s="65">
        <v>0.416683333333333</v>
      </c>
      <c r="K79" s="65">
        <v>25.0616166666667</v>
      </c>
      <c r="N79" s="65">
        <v>5.30936666666666</v>
      </c>
      <c r="Q79" s="65">
        <v>50.3933333333334</v>
      </c>
      <c r="R79" s="65">
        <v>18.0151333333333</v>
      </c>
      <c r="S79" s="65">
        <v>1.2786</v>
      </c>
      <c r="T79" s="65">
        <v>1.02681666666667</v>
      </c>
      <c r="U79" s="65">
        <v>6.58826666666667</v>
      </c>
      <c r="X79" s="65">
        <v>9.04326666666667</v>
      </c>
      <c r="Y79" s="65">
        <v>8.54243333333333</v>
      </c>
      <c r="Z79" s="65">
        <v>0.755033333333333</v>
      </c>
      <c r="AA79" s="65">
        <v>0.0</v>
      </c>
      <c r="AB79" s="65">
        <v>2.00128333333333</v>
      </c>
      <c r="AE79" s="65">
        <v>5.64901666666667</v>
      </c>
      <c r="AF79" s="65">
        <v>24.1673333333333</v>
      </c>
      <c r="AG79" s="65">
        <v>1.32253333333333</v>
      </c>
      <c r="AH79" s="65">
        <v>0.0863666666666667</v>
      </c>
      <c r="AI79" s="65">
        <v>4.7704</v>
      </c>
      <c r="AL79" s="65">
        <v>5.50441666666667</v>
      </c>
      <c r="AM79" s="65">
        <v>1.21935</v>
      </c>
      <c r="AN79" s="65">
        <v>10.25115</v>
      </c>
      <c r="AQ79" s="65">
        <v>1.15646666666667</v>
      </c>
      <c r="AR79" s="65">
        <v>6.66718333333334</v>
      </c>
      <c r="AU79" s="65">
        <v>25.42775</v>
      </c>
    </row>
    <row r="80">
      <c r="A80" s="119" t="s">
        <v>7</v>
      </c>
      <c r="B80" s="119" t="s">
        <v>19</v>
      </c>
      <c r="C80" s="119"/>
      <c r="D80" s="120">
        <f t="shared" si="1"/>
        <v>0</v>
      </c>
      <c r="E80" s="120"/>
      <c r="F80" s="120"/>
      <c r="G80" s="120"/>
      <c r="H80" s="120"/>
      <c r="I80" s="120"/>
      <c r="J80" s="120"/>
      <c r="K80" s="120"/>
      <c r="L80" s="120"/>
      <c r="M80" s="120"/>
      <c r="N80" s="120"/>
      <c r="O80" s="120"/>
      <c r="P80" s="120"/>
      <c r="Q80" s="120"/>
      <c r="R80" s="120"/>
      <c r="S80" s="120"/>
      <c r="T80" s="120"/>
      <c r="U80" s="120"/>
      <c r="V80" s="120"/>
      <c r="W80" s="120"/>
      <c r="X80" s="120"/>
      <c r="Y80" s="120"/>
      <c r="Z80" s="120"/>
      <c r="AA80" s="120"/>
      <c r="AB80" s="120"/>
      <c r="AC80" s="120"/>
      <c r="AD80" s="120"/>
      <c r="AE80" s="120"/>
      <c r="AF80" s="120"/>
      <c r="AG80" s="120"/>
      <c r="AH80" s="120"/>
      <c r="AI80" s="120"/>
      <c r="AJ80" s="120"/>
      <c r="AK80" s="120"/>
      <c r="AL80" s="120"/>
      <c r="AM80" s="120"/>
      <c r="AN80" s="120"/>
      <c r="AO80" s="120"/>
      <c r="AP80" s="120"/>
      <c r="AQ80" s="120"/>
      <c r="AR80" s="120"/>
      <c r="AS80" s="120"/>
      <c r="AT80" s="120"/>
      <c r="AU80" s="120"/>
      <c r="AV80" s="120"/>
      <c r="AW80" s="120"/>
      <c r="AX80" s="120"/>
      <c r="AY80" s="120"/>
      <c r="AZ80" s="120"/>
      <c r="BA80" s="120"/>
      <c r="BB80" s="120"/>
      <c r="BC80" s="120"/>
      <c r="BD80" s="120"/>
      <c r="BE80" s="120"/>
      <c r="BF80" s="120"/>
      <c r="BG80" s="120"/>
      <c r="BH80" s="120"/>
      <c r="BI80" s="120"/>
      <c r="BJ80" s="120"/>
      <c r="BK80" s="120"/>
      <c r="BL80" s="120"/>
      <c r="BM80" s="120"/>
      <c r="BN80" s="120"/>
      <c r="BO80" s="120"/>
      <c r="BP80" s="120"/>
      <c r="BQ80" s="120"/>
      <c r="BR80" s="120"/>
      <c r="BS80" s="120"/>
      <c r="BT80" s="120"/>
      <c r="BU80" s="120"/>
      <c r="BV80" s="120"/>
      <c r="BW80" s="120"/>
      <c r="BX80" s="120"/>
      <c r="BY80" s="120"/>
      <c r="BZ80" s="120"/>
      <c r="CA80" s="120"/>
      <c r="CB80" s="120"/>
      <c r="CC80" s="120"/>
      <c r="CD80" s="120"/>
      <c r="CE80" s="120"/>
      <c r="CF80" s="120"/>
      <c r="CG80" s="120"/>
      <c r="CH80" s="120"/>
      <c r="CI80" s="120"/>
      <c r="CJ80" s="120"/>
      <c r="CK80" s="120"/>
      <c r="CL80" s="120"/>
      <c r="CM80" s="120"/>
      <c r="CN80" s="120"/>
      <c r="CO80" s="120"/>
      <c r="CP80" s="120"/>
      <c r="CQ80" s="120"/>
      <c r="CR80" s="120"/>
      <c r="CS80" s="120"/>
      <c r="CT80" s="120"/>
      <c r="CU80" s="120"/>
      <c r="CV80" s="120"/>
      <c r="CW80" s="120"/>
      <c r="CX80" s="120"/>
      <c r="CY80" s="120"/>
      <c r="CZ80" s="120"/>
      <c r="DA80" s="120"/>
      <c r="DB80" s="120"/>
      <c r="DC80" s="120"/>
      <c r="DD80" s="120"/>
      <c r="DE80" s="120"/>
      <c r="DF80" s="120"/>
      <c r="DG80" s="120"/>
      <c r="DH80" s="120"/>
      <c r="DI80" s="120"/>
      <c r="DJ80" s="120"/>
      <c r="DK80" s="120"/>
      <c r="DL80" s="120"/>
      <c r="DM80" s="120"/>
      <c r="DN80" s="120"/>
      <c r="DO80" s="120"/>
      <c r="DP80" s="120"/>
      <c r="DQ80" s="120"/>
      <c r="DR80" s="120"/>
      <c r="DS80" s="120"/>
      <c r="DT80" s="120"/>
      <c r="DU80" s="120"/>
      <c r="DV80" s="120"/>
      <c r="DW80" s="120"/>
      <c r="DX80" s="120"/>
      <c r="DY80" s="120"/>
      <c r="DZ80" s="120"/>
      <c r="EA80" s="120"/>
      <c r="EB80" s="120"/>
      <c r="EC80" s="120"/>
      <c r="ED80" s="120"/>
      <c r="EE80" s="120"/>
      <c r="EF80" s="120"/>
      <c r="EG80" s="120"/>
      <c r="EH80" s="120"/>
      <c r="EI80" s="120"/>
      <c r="EJ80" s="120"/>
      <c r="EK80" s="120"/>
      <c r="EL80" s="120"/>
      <c r="EM80" s="120"/>
      <c r="EN80" s="120"/>
      <c r="EO80" s="120"/>
      <c r="EP80" s="120"/>
      <c r="EQ80" s="120"/>
      <c r="ER80" s="120"/>
      <c r="ES80" s="120"/>
      <c r="ET80" s="120"/>
      <c r="EU80" s="120"/>
      <c r="EV80" s="120"/>
      <c r="EW80" s="120"/>
      <c r="EX80" s="120"/>
      <c r="EY80" s="120"/>
      <c r="EZ80" s="120"/>
      <c r="FA80" s="120"/>
      <c r="FB80" s="120"/>
      <c r="FC80" s="120"/>
      <c r="FD80" s="120"/>
      <c r="FE80" s="120"/>
      <c r="FF80" s="120"/>
      <c r="FG80" s="120"/>
      <c r="FH80" s="120"/>
      <c r="FI80" s="120"/>
      <c r="FJ80" s="120"/>
      <c r="FK80" s="120"/>
      <c r="FL80" s="120"/>
      <c r="FM80" s="120"/>
      <c r="FN80" s="120"/>
      <c r="FO80" s="120"/>
      <c r="FP80" s="120"/>
      <c r="FQ80" s="120"/>
      <c r="FR80" s="120"/>
      <c r="FS80" s="120"/>
      <c r="FT80" s="120"/>
      <c r="FU80" s="120"/>
      <c r="FV80" s="120"/>
      <c r="FW80" s="120"/>
      <c r="FX80" s="120"/>
      <c r="FY80" s="120"/>
      <c r="FZ80" s="120"/>
      <c r="GA80" s="120"/>
      <c r="GB80" s="120"/>
      <c r="GC80" s="120"/>
      <c r="GD80" s="120"/>
      <c r="GE80" s="120"/>
      <c r="GF80" s="120"/>
      <c r="GG80" s="120"/>
      <c r="GH80" s="120"/>
      <c r="GI80" s="120"/>
      <c r="GJ80" s="120"/>
      <c r="GK80" s="120"/>
      <c r="GL80" s="120"/>
      <c r="GM80" s="120"/>
      <c r="GN80" s="120"/>
      <c r="GO80" s="120"/>
      <c r="GP80" s="120"/>
      <c r="GQ80" s="120"/>
      <c r="GR80" s="120"/>
      <c r="GS80" s="120"/>
      <c r="GT80" s="120"/>
      <c r="GU80" s="120"/>
      <c r="GV80" s="120"/>
      <c r="GW80" s="120"/>
      <c r="GX80" s="120"/>
      <c r="GY80" s="120"/>
      <c r="GZ80" s="120"/>
      <c r="HA80" s="120"/>
      <c r="HB80" s="120"/>
      <c r="HC80" s="120"/>
      <c r="HD80" s="120"/>
      <c r="HE80" s="120"/>
      <c r="HF80" s="120"/>
      <c r="HG80" s="120"/>
      <c r="HH80" s="120"/>
      <c r="HI80" s="120"/>
      <c r="HJ80" s="120"/>
      <c r="HK80" s="120"/>
      <c r="HL80" s="120"/>
      <c r="HM80" s="120"/>
      <c r="HN80" s="120"/>
      <c r="HO80" s="120"/>
      <c r="HP80" s="120"/>
      <c r="HQ80" s="120"/>
      <c r="HR80" s="120"/>
      <c r="HS80" s="120"/>
      <c r="HT80" s="120"/>
      <c r="HU80" s="120"/>
      <c r="HV80" s="120"/>
      <c r="HW80" s="120"/>
      <c r="HX80" s="120"/>
      <c r="HY80" s="120"/>
      <c r="HZ80" s="120"/>
      <c r="IA80" s="120"/>
      <c r="IB80" s="120"/>
      <c r="IC80" s="120"/>
      <c r="ID80" s="120"/>
      <c r="IE80" s="120"/>
      <c r="IF80" s="120"/>
      <c r="IG80" s="120"/>
      <c r="IH80" s="120"/>
      <c r="II80" s="120"/>
      <c r="IJ80" s="120"/>
      <c r="IK80" s="120"/>
      <c r="IL80" s="120"/>
      <c r="IM80" s="120"/>
      <c r="IN80" s="120"/>
      <c r="IO80" s="120"/>
      <c r="IP80" s="120"/>
      <c r="IQ80" s="120"/>
      <c r="IR80" s="120"/>
      <c r="IS80" s="120"/>
      <c r="IT80" s="120"/>
      <c r="IU80" s="120"/>
      <c r="IV80" s="120"/>
      <c r="IW80" s="120"/>
      <c r="IX80" s="120"/>
      <c r="IY80" s="120"/>
      <c r="IZ80" s="120"/>
      <c r="JA80" s="120"/>
      <c r="JB80" s="120"/>
      <c r="JC80" s="120"/>
      <c r="JD80" s="120"/>
      <c r="JE80" s="120"/>
      <c r="JF80" s="120"/>
      <c r="JG80" s="120"/>
      <c r="JH80" s="120"/>
      <c r="JI80" s="120"/>
      <c r="JJ80" s="120"/>
      <c r="JK80" s="120"/>
      <c r="JL80" s="120"/>
      <c r="JM80" s="120"/>
      <c r="JN80" s="120"/>
      <c r="JO80" s="120"/>
      <c r="JP80" s="120"/>
      <c r="JQ80" s="120"/>
      <c r="JR80" s="120"/>
      <c r="JS80" s="120"/>
      <c r="JT80" s="120"/>
      <c r="JU80" s="120"/>
      <c r="JV80" s="120"/>
      <c r="JW80" s="120"/>
      <c r="JX80" s="120"/>
      <c r="JY80" s="120"/>
      <c r="JZ80" s="120"/>
      <c r="KA80" s="120"/>
      <c r="KB80" s="120"/>
      <c r="KC80" s="120"/>
      <c r="KD80" s="120"/>
      <c r="KE80" s="120"/>
      <c r="KF80" s="120"/>
      <c r="KG80" s="120"/>
      <c r="KH80" s="120"/>
      <c r="KI80" s="120"/>
      <c r="KJ80" s="120"/>
      <c r="KK80" s="120"/>
      <c r="KL80" s="120"/>
      <c r="KM80" s="120"/>
      <c r="KN80" s="120"/>
      <c r="KO80" s="120"/>
      <c r="KP80" s="120"/>
      <c r="KQ80" s="120"/>
      <c r="KR80" s="120"/>
      <c r="KS80" s="120"/>
      <c r="KT80" s="120"/>
      <c r="KU80" s="120"/>
      <c r="KV80" s="120"/>
      <c r="KW80" s="120"/>
      <c r="KX80" s="120"/>
      <c r="KY80" s="120"/>
      <c r="KZ80" s="120"/>
      <c r="LA80" s="120"/>
      <c r="LB80" s="120"/>
      <c r="LC80" s="120"/>
      <c r="LD80" s="120"/>
      <c r="LE80" s="120"/>
      <c r="LF80" s="120"/>
      <c r="LG80" s="120"/>
      <c r="LH80" s="120"/>
      <c r="LI80" s="120"/>
      <c r="LJ80" s="120"/>
      <c r="LK80" s="120"/>
      <c r="LL80" s="120"/>
      <c r="LM80" s="120"/>
      <c r="LN80" s="120"/>
      <c r="LO80" s="120"/>
      <c r="LP80" s="120"/>
      <c r="LQ80" s="120"/>
      <c r="LR80" s="120"/>
      <c r="LS80" s="120"/>
      <c r="LT80" s="120"/>
      <c r="LU80" s="120"/>
      <c r="LV80" s="120"/>
      <c r="LW80" s="120"/>
      <c r="LX80" s="120"/>
      <c r="LY80" s="120"/>
      <c r="LZ80" s="120"/>
      <c r="MA80" s="120"/>
      <c r="MB80" s="120"/>
      <c r="MC80" s="120"/>
      <c r="MD80" s="120"/>
      <c r="ME80" s="120"/>
      <c r="MF80" s="120"/>
      <c r="MG80" s="120"/>
      <c r="MH80" s="120"/>
      <c r="MI80" s="120"/>
      <c r="MJ80" s="120"/>
      <c r="MK80" s="120"/>
      <c r="ML80" s="120"/>
      <c r="MM80" s="120"/>
      <c r="MN80" s="120"/>
      <c r="MO80" s="120"/>
      <c r="MP80" s="120"/>
      <c r="MQ80" s="120"/>
      <c r="MR80" s="120"/>
      <c r="MS80" s="120"/>
      <c r="MT80" s="120"/>
      <c r="MU80" s="120"/>
      <c r="MV80" s="120"/>
      <c r="MW80" s="120"/>
      <c r="MX80" s="120"/>
      <c r="MY80" s="120"/>
      <c r="MZ80" s="120"/>
      <c r="NA80" s="120"/>
      <c r="NB80" s="120"/>
      <c r="NC80" s="120"/>
      <c r="ND80" s="120"/>
      <c r="NE80" s="120"/>
      <c r="NF80" s="120"/>
      <c r="NG80" s="120"/>
      <c r="NH80" s="120"/>
      <c r="NI80" s="120"/>
      <c r="NJ80" s="120"/>
      <c r="NK80" s="120"/>
      <c r="NL80" s="120"/>
      <c r="NM80" s="120"/>
      <c r="NN80" s="120"/>
      <c r="NO80" s="120"/>
      <c r="NP80" s="120"/>
      <c r="NQ80" s="120"/>
      <c r="NR80" s="120"/>
      <c r="NS80" s="120"/>
      <c r="NT80" s="120"/>
      <c r="NU80" s="120"/>
      <c r="NV80" s="120"/>
      <c r="NW80" s="120"/>
      <c r="NX80" s="120"/>
      <c r="NY80" s="120"/>
      <c r="NZ80" s="120"/>
      <c r="OA80" s="120"/>
      <c r="OB80" s="120"/>
      <c r="OC80" s="120"/>
      <c r="OD80" s="120"/>
      <c r="OE80" s="120"/>
      <c r="OF80" s="120"/>
      <c r="OG80" s="120"/>
      <c r="OH80" s="120"/>
      <c r="OI80" s="120"/>
      <c r="OJ80" s="120"/>
      <c r="OK80" s="120"/>
      <c r="OL80" s="120"/>
      <c r="OM80" s="120"/>
      <c r="ON80" s="120"/>
      <c r="OO80" s="120"/>
      <c r="OP80" s="120"/>
      <c r="OQ80" s="120"/>
      <c r="OR80" s="120"/>
      <c r="OS80" s="120"/>
      <c r="OT80" s="120"/>
      <c r="OU80" s="120"/>
      <c r="OV80" s="120"/>
      <c r="OW80" s="120"/>
      <c r="OX80" s="120"/>
      <c r="OY80" s="120"/>
      <c r="OZ80" s="120"/>
      <c r="PA80" s="120"/>
      <c r="PB80" s="120"/>
      <c r="PC80" s="120"/>
      <c r="PD80" s="120"/>
      <c r="PE80" s="120"/>
      <c r="PF80" s="120"/>
      <c r="PG80" s="120"/>
      <c r="PH80" s="120"/>
      <c r="PI80" s="120"/>
      <c r="PJ80" s="120"/>
      <c r="PK80" s="120"/>
      <c r="PL80" s="120"/>
      <c r="PM80" s="120"/>
      <c r="PN80" s="120"/>
      <c r="PO80" s="120"/>
      <c r="PP80" s="120"/>
      <c r="PQ80" s="120"/>
      <c r="PR80" s="120"/>
      <c r="PS80" s="120"/>
      <c r="PT80" s="120"/>
      <c r="PU80" s="120"/>
      <c r="PV80" s="120"/>
      <c r="PW80" s="120"/>
      <c r="PX80" s="120"/>
      <c r="PY80" s="120"/>
      <c r="PZ80" s="120"/>
      <c r="QA80" s="120"/>
      <c r="QB80" s="120"/>
      <c r="QC80" s="120"/>
      <c r="QD80" s="120"/>
      <c r="QE80" s="120"/>
      <c r="QF80" s="120"/>
      <c r="QG80" s="120"/>
      <c r="QH80" s="120"/>
      <c r="QI80" s="120"/>
      <c r="QJ80" s="120"/>
      <c r="QK80" s="120"/>
      <c r="QL80" s="120"/>
      <c r="QM80" s="120"/>
      <c r="QN80" s="120"/>
      <c r="QO80" s="120"/>
      <c r="QP80" s="120"/>
      <c r="QQ80" s="120"/>
      <c r="QR80" s="120"/>
      <c r="QS80" s="120"/>
      <c r="QT80" s="120"/>
      <c r="QU80" s="120"/>
      <c r="QV80" s="120"/>
      <c r="QW80" s="120"/>
      <c r="QX80" s="120"/>
      <c r="QY80" s="120"/>
      <c r="QZ80" s="120"/>
      <c r="RA80" s="120"/>
      <c r="RB80" s="120"/>
      <c r="RC80" s="120"/>
      <c r="RD80" s="120"/>
      <c r="RE80" s="120"/>
      <c r="RF80" s="120"/>
      <c r="RG80" s="120"/>
      <c r="RH80" s="120"/>
      <c r="RI80" s="120"/>
      <c r="RJ80" s="120"/>
      <c r="RK80" s="120"/>
      <c r="RL80" s="120"/>
      <c r="RM80" s="120"/>
      <c r="RN80" s="120"/>
      <c r="RO80" s="120"/>
      <c r="RP80" s="120"/>
      <c r="RQ80" s="120"/>
      <c r="RR80" s="120"/>
      <c r="RS80" s="120"/>
      <c r="RT80" s="120"/>
      <c r="RU80" s="120"/>
      <c r="RV80" s="120"/>
      <c r="RW80" s="120"/>
      <c r="RX80" s="120"/>
      <c r="RY80" s="120"/>
      <c r="RZ80" s="120"/>
      <c r="SA80" s="120"/>
      <c r="SB80" s="120"/>
      <c r="SC80" s="120"/>
      <c r="SD80" s="120"/>
      <c r="SE80" s="120"/>
      <c r="SF80" s="120"/>
      <c r="SG80" s="120"/>
      <c r="SH80" s="120"/>
      <c r="SI80" s="120"/>
      <c r="SJ80" s="120"/>
      <c r="SK80" s="120"/>
      <c r="SL80" s="120"/>
      <c r="SM80" s="120"/>
      <c r="SN80" s="120"/>
      <c r="SO80" s="120"/>
      <c r="SP80" s="120"/>
      <c r="SQ80" s="120"/>
      <c r="SR80" s="120"/>
      <c r="SS80" s="120"/>
      <c r="ST80" s="120"/>
      <c r="SU80" s="120"/>
      <c r="SV80" s="120"/>
      <c r="SW80" s="120"/>
      <c r="SX80" s="120"/>
      <c r="SY80" s="120"/>
      <c r="SZ80" s="120"/>
      <c r="TA80" s="120"/>
      <c r="TB80" s="120"/>
      <c r="TC80" s="120"/>
      <c r="TD80" s="120"/>
      <c r="TE80" s="120"/>
      <c r="TF80" s="120"/>
      <c r="TG80" s="120"/>
      <c r="TH80" s="120"/>
      <c r="TI80" s="120"/>
      <c r="TJ80" s="120"/>
      <c r="TK80" s="120"/>
      <c r="TL80" s="120"/>
      <c r="TM80" s="120"/>
      <c r="TN80" s="120"/>
      <c r="TO80" s="120"/>
      <c r="TP80" s="120"/>
      <c r="TQ80" s="120"/>
      <c r="TR80" s="120"/>
      <c r="TS80" s="120"/>
      <c r="TT80" s="120"/>
      <c r="TU80" s="120"/>
      <c r="TV80" s="120"/>
      <c r="TW80" s="120"/>
      <c r="TX80" s="120"/>
      <c r="TY80" s="120"/>
      <c r="TZ80" s="120"/>
      <c r="UA80" s="120"/>
      <c r="UB80" s="120"/>
      <c r="UC80" s="120"/>
      <c r="UD80" s="120"/>
      <c r="UE80" s="120"/>
      <c r="UF80" s="120"/>
      <c r="UG80" s="120"/>
      <c r="UH80" s="120"/>
      <c r="UI80" s="120"/>
      <c r="UJ80" s="120"/>
      <c r="UK80" s="120"/>
      <c r="UL80" s="120"/>
      <c r="UM80" s="120"/>
      <c r="UN80" s="120"/>
      <c r="UO80" s="120"/>
      <c r="UP80" s="120"/>
      <c r="UQ80" s="120"/>
      <c r="UR80" s="120"/>
      <c r="US80" s="120"/>
      <c r="UT80" s="120"/>
      <c r="UU80" s="120"/>
      <c r="UV80" s="120"/>
      <c r="UW80" s="120"/>
      <c r="UX80" s="120"/>
      <c r="UY80" s="120"/>
      <c r="UZ80" s="120"/>
      <c r="VA80" s="120"/>
      <c r="VB80" s="120"/>
      <c r="VC80" s="120"/>
      <c r="VD80" s="120"/>
      <c r="VE80" s="120"/>
      <c r="VF80" s="120"/>
      <c r="VG80" s="120"/>
      <c r="VH80" s="120"/>
      <c r="VI80" s="120"/>
      <c r="VJ80" s="120"/>
      <c r="VK80" s="120"/>
      <c r="VL80" s="120"/>
      <c r="VM80" s="120"/>
      <c r="VN80" s="120"/>
      <c r="VO80" s="120"/>
      <c r="VP80" s="120"/>
      <c r="VQ80" s="120"/>
      <c r="VR80" s="120"/>
      <c r="VS80" s="120"/>
      <c r="VT80" s="120"/>
      <c r="VU80" s="120"/>
      <c r="VV80" s="120"/>
      <c r="VW80" s="120"/>
      <c r="VX80" s="120"/>
      <c r="VY80" s="120"/>
      <c r="VZ80" s="120"/>
      <c r="WA80" s="120"/>
      <c r="WB80" s="120"/>
      <c r="WC80" s="120"/>
      <c r="WD80" s="120"/>
      <c r="WE80" s="120"/>
      <c r="WF80" s="120"/>
      <c r="WG80" s="120"/>
      <c r="WH80" s="120"/>
      <c r="WI80" s="120"/>
      <c r="WJ80" s="120"/>
      <c r="WK80" s="120"/>
      <c r="WL80" s="120"/>
      <c r="WM80" s="120"/>
      <c r="WN80" s="120"/>
      <c r="WO80" s="120"/>
      <c r="WP80" s="120"/>
      <c r="WQ80" s="120"/>
      <c r="WR80" s="120"/>
      <c r="WS80" s="120"/>
      <c r="WT80" s="120"/>
      <c r="WU80" s="120"/>
      <c r="WV80" s="120"/>
      <c r="WW80" s="120"/>
      <c r="WX80" s="120"/>
      <c r="WY80" s="120"/>
      <c r="WZ80" s="120"/>
      <c r="XA80" s="120"/>
      <c r="XB80" s="120"/>
      <c r="XC80" s="120"/>
      <c r="XD80" s="120"/>
      <c r="XE80" s="120"/>
      <c r="XF80" s="120"/>
      <c r="XG80" s="120"/>
      <c r="XH80" s="120"/>
      <c r="XI80" s="120"/>
      <c r="XJ80" s="120"/>
      <c r="XK80" s="120"/>
      <c r="XL80" s="120"/>
      <c r="XM80" s="120"/>
      <c r="XN80" s="120"/>
      <c r="XO80" s="120"/>
      <c r="XP80" s="120"/>
      <c r="XQ80" s="120"/>
      <c r="XR80" s="120"/>
      <c r="XS80" s="120"/>
      <c r="XT80" s="120"/>
      <c r="XU80" s="120"/>
      <c r="XV80" s="120"/>
      <c r="XW80" s="120"/>
      <c r="XX80" s="120"/>
      <c r="XY80" s="120"/>
      <c r="XZ80" s="120"/>
      <c r="YA80" s="120"/>
      <c r="YB80" s="120"/>
      <c r="YC80" s="120"/>
      <c r="YD80" s="120"/>
      <c r="YE80" s="120"/>
      <c r="YF80" s="120"/>
      <c r="YG80" s="120"/>
      <c r="YH80" s="120"/>
      <c r="YI80" s="120"/>
      <c r="YJ80" s="120"/>
      <c r="YK80" s="120"/>
      <c r="YL80" s="120"/>
      <c r="YM80" s="120"/>
      <c r="YN80" s="120"/>
      <c r="YO80" s="120"/>
      <c r="YP80" s="120"/>
      <c r="YQ80" s="120"/>
      <c r="YR80" s="120"/>
      <c r="YS80" s="120"/>
      <c r="YT80" s="120"/>
      <c r="YU80" s="120"/>
      <c r="YV80" s="120"/>
      <c r="YW80" s="120"/>
      <c r="YX80" s="120"/>
      <c r="YY80" s="120"/>
      <c r="YZ80" s="120"/>
      <c r="ZA80" s="120"/>
      <c r="ZB80" s="120"/>
      <c r="ZC80" s="120"/>
      <c r="ZD80" s="120"/>
      <c r="ZE80" s="120"/>
      <c r="ZF80" s="120"/>
      <c r="ZG80" s="120"/>
      <c r="ZH80" s="120"/>
      <c r="ZI80" s="120"/>
      <c r="ZJ80" s="120"/>
      <c r="ZK80" s="120"/>
      <c r="ZL80" s="120"/>
      <c r="ZM80" s="120"/>
      <c r="ZN80" s="120"/>
      <c r="ZO80" s="120"/>
      <c r="ZP80" s="120"/>
      <c r="ZQ80" s="120"/>
      <c r="ZR80" s="120"/>
      <c r="ZS80" s="120"/>
      <c r="ZT80" s="120"/>
      <c r="ZU80" s="120"/>
      <c r="ZV80" s="120"/>
      <c r="ZW80" s="120"/>
      <c r="ZX80" s="120"/>
      <c r="ZY80" s="120"/>
      <c r="ZZ80" s="120"/>
      <c r="AAA80" s="120"/>
      <c r="AAB80" s="120"/>
      <c r="AAC80" s="120"/>
      <c r="AAD80" s="120"/>
      <c r="AAE80" s="120"/>
      <c r="AAF80" s="120"/>
      <c r="AAG80" s="120"/>
      <c r="AAH80" s="120"/>
      <c r="AAI80" s="120"/>
      <c r="AAJ80" s="120"/>
      <c r="AAK80" s="120"/>
      <c r="AAL80" s="120"/>
      <c r="AAM80" s="120"/>
      <c r="AAN80" s="120"/>
      <c r="AAO80" s="120"/>
      <c r="AAP80" s="120"/>
      <c r="AAQ80" s="120"/>
      <c r="AAR80" s="120"/>
      <c r="AAS80" s="120"/>
      <c r="AAT80" s="120"/>
      <c r="AAU80" s="120"/>
      <c r="AAV80" s="120"/>
      <c r="AAW80" s="120"/>
      <c r="AAX80" s="120"/>
      <c r="AAY80" s="120"/>
      <c r="AAZ80" s="120"/>
      <c r="ABA80" s="120"/>
      <c r="ABB80" s="120"/>
      <c r="ABC80" s="120"/>
      <c r="ABD80" s="120"/>
      <c r="ABE80" s="120"/>
      <c r="ABF80" s="120"/>
      <c r="ABG80" s="120"/>
      <c r="ABH80" s="120"/>
      <c r="ABI80" s="120"/>
      <c r="ABJ80" s="120"/>
      <c r="ABK80" s="120"/>
      <c r="ABL80" s="120"/>
      <c r="ABM80" s="120"/>
      <c r="ABN80" s="120"/>
      <c r="ABO80" s="120"/>
      <c r="ABP80" s="120"/>
      <c r="ABQ80" s="120"/>
      <c r="ABR80" s="120"/>
      <c r="ABS80" s="120"/>
      <c r="ABT80" s="120"/>
      <c r="ABU80" s="120"/>
      <c r="ABV80" s="120"/>
      <c r="ABW80" s="120"/>
      <c r="ABX80" s="120"/>
      <c r="ABY80" s="120"/>
      <c r="ABZ80" s="120"/>
      <c r="ACA80" s="120"/>
      <c r="ACB80" s="120"/>
      <c r="ACC80" s="120"/>
      <c r="ACD80" s="120"/>
      <c r="ACE80" s="120"/>
      <c r="ACF80" s="120"/>
      <c r="ACG80" s="120"/>
      <c r="ACH80" s="120"/>
      <c r="ACI80" s="120"/>
      <c r="ACJ80" s="120"/>
      <c r="ACK80" s="120"/>
      <c r="ACL80" s="120"/>
      <c r="ACM80" s="120"/>
      <c r="ACN80" s="120"/>
      <c r="ACO80" s="120"/>
      <c r="ACP80" s="120"/>
      <c r="ACQ80" s="120"/>
      <c r="ACR80" s="120"/>
      <c r="ACS80" s="120"/>
      <c r="ACT80" s="120"/>
      <c r="ACU80" s="120"/>
      <c r="ACV80" s="120"/>
      <c r="ACW80" s="120"/>
      <c r="ACX80" s="120"/>
      <c r="ACY80" s="120"/>
      <c r="ACZ80" s="120"/>
      <c r="ADA80" s="120"/>
      <c r="ADB80" s="120"/>
      <c r="ADC80" s="120"/>
      <c r="ADD80" s="120"/>
      <c r="ADE80" s="120"/>
      <c r="ADF80" s="120"/>
      <c r="ADG80" s="120"/>
      <c r="ADH80" s="120"/>
      <c r="ADI80" s="120"/>
      <c r="ADJ80" s="120"/>
      <c r="ADK80" s="120"/>
      <c r="ADL80" s="120"/>
      <c r="ADM80" s="120"/>
      <c r="ADN80" s="120"/>
      <c r="ADO80" s="120"/>
      <c r="ADP80" s="120"/>
      <c r="ADQ80" s="120"/>
      <c r="ADR80" s="120"/>
      <c r="ADS80" s="120"/>
      <c r="ADT80" s="120"/>
      <c r="ADU80" s="120"/>
      <c r="ADV80" s="120"/>
      <c r="ADW80" s="120"/>
      <c r="ADX80" s="120"/>
      <c r="ADY80" s="120"/>
      <c r="ADZ80" s="120"/>
      <c r="AEA80" s="120"/>
      <c r="AEB80" s="120"/>
      <c r="AEC80" s="120"/>
      <c r="AED80" s="120"/>
      <c r="AEE80" s="120"/>
      <c r="AEF80" s="120"/>
      <c r="AEG80" s="120"/>
      <c r="AEH80" s="120"/>
      <c r="AEI80" s="120"/>
      <c r="AEJ80" s="120"/>
      <c r="AEK80" s="120"/>
      <c r="AEL80" s="120"/>
      <c r="AEM80" s="120"/>
      <c r="AEN80" s="120"/>
      <c r="AEO80" s="120"/>
      <c r="AEP80" s="120"/>
      <c r="AEQ80" s="120"/>
      <c r="AER80" s="120"/>
      <c r="AES80" s="120"/>
      <c r="AET80" s="120"/>
      <c r="AEU80" s="120"/>
      <c r="AEV80" s="120"/>
      <c r="AEW80" s="120"/>
      <c r="AEX80" s="120"/>
      <c r="AEY80" s="120"/>
      <c r="AEZ80" s="120"/>
      <c r="AFA80" s="120"/>
      <c r="AFB80" s="120"/>
      <c r="AFC80" s="120"/>
      <c r="AFD80" s="120"/>
      <c r="AFE80" s="120"/>
      <c r="AFF80" s="120"/>
      <c r="AFG80" s="120"/>
      <c r="AFH80" s="120"/>
      <c r="AFI80" s="120"/>
      <c r="AFJ80" s="120"/>
      <c r="AFK80" s="120"/>
      <c r="AFL80" s="120"/>
      <c r="AFM80" s="120"/>
      <c r="AFN80" s="120"/>
      <c r="AFO80" s="120"/>
      <c r="AFP80" s="120"/>
      <c r="AFQ80" s="120"/>
      <c r="AFR80" s="120"/>
      <c r="AFS80" s="120"/>
      <c r="AFT80" s="120"/>
      <c r="AFU80" s="120"/>
      <c r="AFV80" s="120"/>
      <c r="AFW80" s="120"/>
      <c r="AFX80" s="120"/>
      <c r="AFY80" s="120"/>
      <c r="AFZ80" s="120"/>
      <c r="AGA80" s="120"/>
      <c r="AGB80" s="120"/>
      <c r="AGC80" s="120"/>
      <c r="AGD80" s="120"/>
      <c r="AGE80" s="120"/>
      <c r="AGF80" s="120"/>
      <c r="AGG80" s="120"/>
      <c r="AGH80" s="120"/>
      <c r="AGI80" s="120"/>
      <c r="AGJ80" s="120"/>
      <c r="AGK80" s="120"/>
      <c r="AGL80" s="120"/>
      <c r="AGM80" s="120"/>
      <c r="AGN80" s="120"/>
      <c r="AGO80" s="120"/>
      <c r="AGP80" s="120"/>
      <c r="AGQ80" s="120"/>
      <c r="AGR80" s="120"/>
      <c r="AGS80" s="120"/>
      <c r="AGT80" s="120"/>
      <c r="AGU80" s="120"/>
      <c r="AGV80" s="120"/>
      <c r="AGW80" s="120"/>
      <c r="AGX80" s="120"/>
      <c r="AGY80" s="120"/>
      <c r="AGZ80" s="120"/>
      <c r="AHA80" s="120"/>
      <c r="AHB80" s="120"/>
      <c r="AHC80" s="120"/>
      <c r="AHD80" s="120"/>
      <c r="AHE80" s="120"/>
      <c r="AHF80" s="120"/>
      <c r="AHG80" s="120"/>
      <c r="AHH80" s="120"/>
      <c r="AHI80" s="120"/>
      <c r="AHJ80" s="120"/>
      <c r="AHK80" s="120"/>
      <c r="AHL80" s="120"/>
      <c r="AHM80" s="120"/>
      <c r="AHN80" s="120"/>
      <c r="AHO80" s="120"/>
      <c r="AHP80" s="120"/>
      <c r="AHQ80" s="120"/>
      <c r="AHR80" s="120"/>
      <c r="AHS80" s="120"/>
      <c r="AHT80" s="120"/>
      <c r="AHU80" s="120"/>
      <c r="AHV80" s="120"/>
      <c r="AHW80" s="120"/>
      <c r="AHX80" s="120"/>
      <c r="AHY80" s="120"/>
      <c r="AHZ80" s="120"/>
      <c r="AIA80" s="120"/>
      <c r="AIB80" s="120"/>
      <c r="AIC80" s="120"/>
      <c r="AID80" s="120"/>
      <c r="AIE80" s="120"/>
      <c r="AIF80" s="120"/>
      <c r="AIG80" s="120"/>
      <c r="AIH80" s="120"/>
      <c r="AII80" s="120"/>
      <c r="AIJ80" s="120"/>
      <c r="AIK80" s="120"/>
      <c r="AIL80" s="120"/>
      <c r="AIM80" s="120"/>
      <c r="AIN80" s="120"/>
      <c r="AIO80" s="120"/>
      <c r="AIP80" s="120"/>
      <c r="AIQ80" s="120"/>
      <c r="AIR80" s="120"/>
      <c r="AIS80" s="120"/>
      <c r="AIT80" s="120"/>
      <c r="AIU80" s="120"/>
      <c r="AIV80" s="120"/>
      <c r="AIW80" s="120"/>
      <c r="AIX80" s="120"/>
      <c r="AIY80" s="120"/>
      <c r="AIZ80" s="120"/>
    </row>
    <row r="81">
      <c r="A81" s="112" t="s">
        <v>7</v>
      </c>
      <c r="B81" s="112" t="s">
        <v>40</v>
      </c>
      <c r="C81" s="112"/>
      <c r="D81" s="113">
        <f t="shared" si="1"/>
        <v>582.1616667</v>
      </c>
      <c r="E81" s="112">
        <v>90.7032333333333</v>
      </c>
      <c r="F81" s="113"/>
      <c r="G81" s="113"/>
      <c r="H81" s="113"/>
      <c r="I81" s="113"/>
      <c r="J81" s="113"/>
      <c r="K81" s="113"/>
      <c r="L81" s="112">
        <v>1.06106666666667</v>
      </c>
      <c r="M81" s="112">
        <v>23.1841166666667</v>
      </c>
      <c r="N81" s="113"/>
      <c r="O81" s="112">
        <v>0.04215</v>
      </c>
      <c r="P81" s="112">
        <v>135.748016666667</v>
      </c>
      <c r="Q81" s="113"/>
      <c r="R81" s="113"/>
      <c r="S81" s="113"/>
      <c r="T81" s="113"/>
      <c r="U81" s="113"/>
      <c r="V81" s="112">
        <v>1.08166666666667</v>
      </c>
      <c r="W81" s="112">
        <v>43.7046166666667</v>
      </c>
      <c r="X81" s="113"/>
      <c r="Y81" s="113"/>
      <c r="Z81" s="113"/>
      <c r="AA81" s="113"/>
      <c r="AB81" s="113"/>
      <c r="AC81" s="112">
        <v>1.12345</v>
      </c>
      <c r="AD81" s="112">
        <v>123.3343</v>
      </c>
      <c r="AE81" s="113"/>
      <c r="AF81" s="113"/>
      <c r="AG81" s="113"/>
      <c r="AH81" s="113"/>
      <c r="AI81" s="113"/>
      <c r="AJ81" s="112">
        <v>3.5197</v>
      </c>
      <c r="AK81" s="112">
        <v>35.6650666666667</v>
      </c>
      <c r="AL81" s="113"/>
      <c r="AM81" s="113"/>
      <c r="AN81" s="113"/>
      <c r="AO81" s="112">
        <v>6.85785</v>
      </c>
      <c r="AP81" s="112">
        <v>5.77711666666667</v>
      </c>
      <c r="AQ81" s="113"/>
      <c r="AR81" s="113"/>
      <c r="AS81" s="112">
        <v>1.75861666666667</v>
      </c>
      <c r="AT81" s="112">
        <v>101.888833333333</v>
      </c>
      <c r="AU81" s="113"/>
      <c r="AV81" s="112">
        <v>6.32081666666666</v>
      </c>
      <c r="AW81" s="112">
        <v>0.39105</v>
      </c>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113"/>
      <c r="CB81" s="113"/>
      <c r="CC81" s="113"/>
      <c r="CD81" s="113"/>
      <c r="CE81" s="113"/>
      <c r="CF81" s="113"/>
      <c r="CG81" s="113"/>
      <c r="CH81" s="113"/>
      <c r="CI81" s="113"/>
      <c r="CJ81" s="113"/>
      <c r="CK81" s="113"/>
      <c r="CL81" s="113"/>
      <c r="CM81" s="113"/>
      <c r="CN81" s="113"/>
      <c r="CO81" s="113"/>
      <c r="CP81" s="113"/>
      <c r="CQ81" s="113"/>
      <c r="CR81" s="113"/>
      <c r="CS81" s="113"/>
      <c r="CT81" s="113"/>
      <c r="CU81" s="113"/>
      <c r="CV81" s="113"/>
      <c r="CW81" s="113"/>
      <c r="CX81" s="113"/>
      <c r="CY81" s="113"/>
      <c r="CZ81" s="113"/>
      <c r="DA81" s="113"/>
      <c r="DB81" s="113"/>
      <c r="DC81" s="113"/>
      <c r="DD81" s="113"/>
      <c r="DE81" s="113"/>
      <c r="DF81" s="113"/>
      <c r="DG81" s="113"/>
      <c r="DH81" s="113"/>
      <c r="DI81" s="113"/>
      <c r="DJ81" s="113"/>
      <c r="DK81" s="113"/>
      <c r="DL81" s="113"/>
      <c r="DM81" s="113"/>
      <c r="DN81" s="113"/>
      <c r="DO81" s="113"/>
      <c r="DP81" s="113"/>
      <c r="DQ81" s="113"/>
      <c r="DR81" s="113"/>
      <c r="DS81" s="113"/>
      <c r="DT81" s="113"/>
      <c r="DU81" s="113"/>
      <c r="DV81" s="113"/>
      <c r="DW81" s="113"/>
      <c r="DX81" s="113"/>
      <c r="DY81" s="113"/>
      <c r="DZ81" s="113"/>
      <c r="EA81" s="113"/>
      <c r="EB81" s="113"/>
      <c r="EC81" s="113"/>
      <c r="ED81" s="113"/>
      <c r="EE81" s="113"/>
      <c r="EF81" s="113"/>
      <c r="EG81" s="113"/>
      <c r="EH81" s="113"/>
      <c r="EI81" s="113"/>
      <c r="EJ81" s="113"/>
      <c r="EK81" s="113"/>
      <c r="EL81" s="113"/>
      <c r="EM81" s="113"/>
      <c r="EN81" s="113"/>
      <c r="EO81" s="113"/>
      <c r="EP81" s="113"/>
      <c r="EQ81" s="113"/>
      <c r="ER81" s="113"/>
      <c r="ES81" s="113"/>
      <c r="ET81" s="113"/>
      <c r="EU81" s="113"/>
      <c r="EV81" s="113"/>
      <c r="EW81" s="113"/>
      <c r="EX81" s="113"/>
      <c r="EY81" s="113"/>
      <c r="EZ81" s="113"/>
      <c r="FA81" s="113"/>
      <c r="FB81" s="113"/>
      <c r="FC81" s="113"/>
      <c r="FD81" s="113"/>
      <c r="FE81" s="113"/>
      <c r="FF81" s="113"/>
      <c r="FG81" s="113"/>
      <c r="FH81" s="113"/>
      <c r="FI81" s="113"/>
      <c r="FJ81" s="113"/>
      <c r="FK81" s="113"/>
      <c r="FL81" s="113"/>
      <c r="FM81" s="113"/>
      <c r="FN81" s="113"/>
      <c r="FO81" s="113"/>
      <c r="FP81" s="113"/>
      <c r="FQ81" s="113"/>
      <c r="FR81" s="113"/>
      <c r="FS81" s="113"/>
      <c r="FT81" s="113"/>
      <c r="FU81" s="113"/>
      <c r="FV81" s="113"/>
      <c r="FW81" s="113"/>
      <c r="FX81" s="113"/>
      <c r="FY81" s="113"/>
      <c r="FZ81" s="113"/>
      <c r="GA81" s="113"/>
      <c r="GB81" s="113"/>
      <c r="GC81" s="113"/>
      <c r="GD81" s="113"/>
      <c r="GE81" s="113"/>
      <c r="GF81" s="113"/>
      <c r="GG81" s="113"/>
      <c r="GH81" s="113"/>
      <c r="GI81" s="113"/>
      <c r="GJ81" s="113"/>
      <c r="GK81" s="113"/>
      <c r="GL81" s="113"/>
      <c r="GM81" s="113"/>
      <c r="GN81" s="113"/>
      <c r="GO81" s="113"/>
      <c r="GP81" s="113"/>
      <c r="GQ81" s="113"/>
      <c r="GR81" s="113"/>
      <c r="GS81" s="113"/>
      <c r="GT81" s="113"/>
      <c r="GU81" s="113"/>
      <c r="GV81" s="113"/>
      <c r="GW81" s="113"/>
      <c r="GX81" s="113"/>
      <c r="GY81" s="113"/>
      <c r="GZ81" s="113"/>
      <c r="HA81" s="113"/>
      <c r="HB81" s="113"/>
      <c r="HC81" s="113"/>
      <c r="HD81" s="113"/>
      <c r="HE81" s="113"/>
      <c r="HF81" s="113"/>
      <c r="HG81" s="113"/>
      <c r="HH81" s="113"/>
      <c r="HI81" s="113"/>
      <c r="HJ81" s="113"/>
      <c r="HK81" s="113"/>
      <c r="HL81" s="113"/>
      <c r="HM81" s="113"/>
      <c r="HN81" s="113"/>
      <c r="HO81" s="113"/>
      <c r="HP81" s="113"/>
      <c r="HQ81" s="113"/>
      <c r="HR81" s="113"/>
      <c r="HS81" s="113"/>
      <c r="HT81" s="113"/>
      <c r="HU81" s="113"/>
      <c r="HV81" s="113"/>
      <c r="HW81" s="113"/>
      <c r="HX81" s="113"/>
      <c r="HY81" s="113"/>
      <c r="HZ81" s="113"/>
      <c r="IA81" s="113"/>
      <c r="IB81" s="113"/>
      <c r="IC81" s="113"/>
      <c r="ID81" s="113"/>
      <c r="IE81" s="113"/>
      <c r="IF81" s="113"/>
      <c r="IG81" s="113"/>
      <c r="IH81" s="113"/>
      <c r="II81" s="113"/>
      <c r="IJ81" s="113"/>
      <c r="IK81" s="113"/>
      <c r="IL81" s="113"/>
      <c r="IM81" s="113"/>
      <c r="IN81" s="113"/>
      <c r="IO81" s="113"/>
      <c r="IP81" s="113"/>
      <c r="IQ81" s="113"/>
      <c r="IR81" s="113"/>
      <c r="IS81" s="113"/>
      <c r="IT81" s="113"/>
      <c r="IU81" s="113"/>
      <c r="IV81" s="113"/>
      <c r="IW81" s="113"/>
      <c r="IX81" s="113"/>
      <c r="IY81" s="113"/>
      <c r="IZ81" s="113"/>
      <c r="JA81" s="113"/>
      <c r="JB81" s="113"/>
      <c r="JC81" s="113"/>
      <c r="JD81" s="113"/>
      <c r="JE81" s="113"/>
      <c r="JF81" s="113"/>
      <c r="JG81" s="113"/>
      <c r="JH81" s="113"/>
      <c r="JI81" s="113"/>
      <c r="JJ81" s="113"/>
      <c r="JK81" s="113"/>
      <c r="JL81" s="113"/>
      <c r="JM81" s="113"/>
      <c r="JN81" s="113"/>
      <c r="JO81" s="113"/>
      <c r="JP81" s="113"/>
      <c r="JQ81" s="113"/>
      <c r="JR81" s="113"/>
      <c r="JS81" s="113"/>
      <c r="JT81" s="113"/>
      <c r="JU81" s="113"/>
      <c r="JV81" s="113"/>
      <c r="JW81" s="113"/>
      <c r="JX81" s="113"/>
      <c r="JY81" s="113"/>
      <c r="JZ81" s="113"/>
      <c r="KA81" s="113"/>
      <c r="KB81" s="113"/>
      <c r="KC81" s="113"/>
      <c r="KD81" s="113"/>
      <c r="KE81" s="113"/>
      <c r="KF81" s="113"/>
      <c r="KG81" s="113"/>
      <c r="KH81" s="113"/>
      <c r="KI81" s="113"/>
      <c r="KJ81" s="113"/>
      <c r="KK81" s="113"/>
      <c r="KL81" s="113"/>
      <c r="KM81" s="113"/>
      <c r="KN81" s="113"/>
      <c r="KO81" s="113"/>
      <c r="KP81" s="113"/>
      <c r="KQ81" s="113"/>
      <c r="KR81" s="113"/>
      <c r="KS81" s="113"/>
      <c r="KT81" s="113"/>
      <c r="KU81" s="113"/>
      <c r="KV81" s="113"/>
      <c r="KW81" s="113"/>
      <c r="KX81" s="113"/>
      <c r="KY81" s="113"/>
      <c r="KZ81" s="113"/>
      <c r="LA81" s="113"/>
      <c r="LB81" s="113"/>
      <c r="LC81" s="113"/>
      <c r="LD81" s="113"/>
      <c r="LE81" s="113"/>
      <c r="LF81" s="113"/>
      <c r="LG81" s="113"/>
      <c r="LH81" s="113"/>
      <c r="LI81" s="113"/>
      <c r="LJ81" s="113"/>
      <c r="LK81" s="113"/>
      <c r="LL81" s="113"/>
      <c r="LM81" s="113"/>
      <c r="LN81" s="113"/>
      <c r="LO81" s="113"/>
      <c r="LP81" s="113"/>
      <c r="LQ81" s="113"/>
      <c r="LR81" s="113"/>
      <c r="LS81" s="113"/>
      <c r="LT81" s="113"/>
      <c r="LU81" s="113"/>
      <c r="LV81" s="113"/>
      <c r="LW81" s="113"/>
      <c r="LX81" s="113"/>
      <c r="LY81" s="113"/>
      <c r="LZ81" s="113"/>
      <c r="MA81" s="113"/>
      <c r="MB81" s="113"/>
      <c r="MC81" s="113"/>
      <c r="MD81" s="113"/>
      <c r="ME81" s="113"/>
      <c r="MF81" s="113"/>
      <c r="MG81" s="113"/>
      <c r="MH81" s="113"/>
      <c r="MI81" s="113"/>
      <c r="MJ81" s="113"/>
      <c r="MK81" s="113"/>
      <c r="ML81" s="113"/>
      <c r="MM81" s="113"/>
      <c r="MN81" s="113"/>
      <c r="MO81" s="113"/>
      <c r="MP81" s="113"/>
      <c r="MQ81" s="113"/>
      <c r="MR81" s="113"/>
      <c r="MS81" s="113"/>
      <c r="MT81" s="113"/>
      <c r="MU81" s="113"/>
      <c r="MV81" s="113"/>
      <c r="MW81" s="113"/>
      <c r="MX81" s="113"/>
      <c r="MY81" s="113"/>
      <c r="MZ81" s="113"/>
      <c r="NA81" s="113"/>
      <c r="NB81" s="113"/>
      <c r="NC81" s="113"/>
      <c r="ND81" s="113"/>
      <c r="NE81" s="113"/>
      <c r="NF81" s="113"/>
      <c r="NG81" s="113"/>
      <c r="NH81" s="113"/>
      <c r="NI81" s="113"/>
      <c r="NJ81" s="113"/>
      <c r="NK81" s="113"/>
      <c r="NL81" s="113"/>
      <c r="NM81" s="113"/>
      <c r="NN81" s="113"/>
      <c r="NO81" s="113"/>
      <c r="NP81" s="113"/>
      <c r="NQ81" s="113"/>
      <c r="NR81" s="113"/>
      <c r="NS81" s="113"/>
      <c r="NT81" s="113"/>
      <c r="NU81" s="113"/>
      <c r="NV81" s="113"/>
      <c r="NW81" s="113"/>
      <c r="NX81" s="113"/>
      <c r="NY81" s="113"/>
      <c r="NZ81" s="113"/>
      <c r="OA81" s="113"/>
      <c r="OB81" s="113"/>
      <c r="OC81" s="113"/>
      <c r="OD81" s="113"/>
      <c r="OE81" s="113"/>
      <c r="OF81" s="113"/>
      <c r="OG81" s="113"/>
      <c r="OH81" s="113"/>
      <c r="OI81" s="113"/>
      <c r="OJ81" s="113"/>
      <c r="OK81" s="113"/>
      <c r="OL81" s="113"/>
      <c r="OM81" s="113"/>
      <c r="ON81" s="113"/>
      <c r="OO81" s="113"/>
      <c r="OP81" s="113"/>
      <c r="OQ81" s="113"/>
      <c r="OR81" s="113"/>
      <c r="OS81" s="113"/>
      <c r="OT81" s="113"/>
      <c r="OU81" s="113"/>
      <c r="OV81" s="113"/>
      <c r="OW81" s="113"/>
      <c r="OX81" s="113"/>
      <c r="OY81" s="113"/>
      <c r="OZ81" s="113"/>
      <c r="PA81" s="113"/>
      <c r="PB81" s="113"/>
      <c r="PC81" s="113"/>
      <c r="PD81" s="113"/>
      <c r="PE81" s="113"/>
      <c r="PF81" s="113"/>
      <c r="PG81" s="113"/>
      <c r="PH81" s="113"/>
      <c r="PI81" s="113"/>
      <c r="PJ81" s="113"/>
      <c r="PK81" s="113"/>
      <c r="PL81" s="113"/>
      <c r="PM81" s="113"/>
      <c r="PN81" s="113"/>
      <c r="PO81" s="113"/>
      <c r="PP81" s="113"/>
      <c r="PQ81" s="113"/>
      <c r="PR81" s="113"/>
      <c r="PS81" s="113"/>
      <c r="PT81" s="113"/>
      <c r="PU81" s="113"/>
      <c r="PV81" s="113"/>
      <c r="PW81" s="113"/>
      <c r="PX81" s="113"/>
      <c r="PY81" s="113"/>
      <c r="PZ81" s="113"/>
      <c r="QA81" s="113"/>
      <c r="QB81" s="113"/>
      <c r="QC81" s="113"/>
      <c r="QD81" s="113"/>
      <c r="QE81" s="113"/>
      <c r="QF81" s="113"/>
      <c r="QG81" s="113"/>
      <c r="QH81" s="113"/>
      <c r="QI81" s="113"/>
      <c r="QJ81" s="113"/>
      <c r="QK81" s="113"/>
      <c r="QL81" s="113"/>
      <c r="QM81" s="113"/>
      <c r="QN81" s="113"/>
      <c r="QO81" s="113"/>
      <c r="QP81" s="113"/>
      <c r="QQ81" s="113"/>
      <c r="QR81" s="113"/>
      <c r="QS81" s="113"/>
      <c r="QT81" s="113"/>
      <c r="QU81" s="113"/>
      <c r="QV81" s="113"/>
      <c r="QW81" s="113"/>
      <c r="QX81" s="113"/>
      <c r="QY81" s="113"/>
      <c r="QZ81" s="113"/>
      <c r="RA81" s="113"/>
      <c r="RB81" s="113"/>
      <c r="RC81" s="113"/>
      <c r="RD81" s="113"/>
      <c r="RE81" s="113"/>
      <c r="RF81" s="113"/>
      <c r="RG81" s="113"/>
      <c r="RH81" s="113"/>
      <c r="RI81" s="113"/>
      <c r="RJ81" s="113"/>
      <c r="RK81" s="113"/>
      <c r="RL81" s="113"/>
      <c r="RM81" s="113"/>
      <c r="RN81" s="113"/>
      <c r="RO81" s="113"/>
      <c r="RP81" s="113"/>
      <c r="RQ81" s="113"/>
      <c r="RR81" s="113"/>
      <c r="RS81" s="113"/>
      <c r="RT81" s="113"/>
      <c r="RU81" s="113"/>
      <c r="RV81" s="113"/>
      <c r="RW81" s="113"/>
      <c r="RX81" s="113"/>
      <c r="RY81" s="113"/>
      <c r="RZ81" s="113"/>
      <c r="SA81" s="113"/>
      <c r="SB81" s="113"/>
      <c r="SC81" s="113"/>
      <c r="SD81" s="113"/>
      <c r="SE81" s="113"/>
      <c r="SF81" s="113"/>
      <c r="SG81" s="113"/>
      <c r="SH81" s="113"/>
      <c r="SI81" s="113"/>
      <c r="SJ81" s="113"/>
      <c r="SK81" s="113"/>
      <c r="SL81" s="113"/>
      <c r="SM81" s="113"/>
      <c r="SN81" s="113"/>
      <c r="SO81" s="113"/>
      <c r="SP81" s="113"/>
      <c r="SQ81" s="113"/>
      <c r="SR81" s="113"/>
      <c r="SS81" s="113"/>
      <c r="ST81" s="113"/>
      <c r="SU81" s="113"/>
      <c r="SV81" s="113"/>
      <c r="SW81" s="113"/>
      <c r="SX81" s="113"/>
      <c r="SY81" s="113"/>
      <c r="SZ81" s="113"/>
      <c r="TA81" s="113"/>
      <c r="TB81" s="113"/>
      <c r="TC81" s="113"/>
      <c r="TD81" s="113"/>
      <c r="TE81" s="113"/>
      <c r="TF81" s="113"/>
      <c r="TG81" s="113"/>
      <c r="TH81" s="113"/>
      <c r="TI81" s="113"/>
      <c r="TJ81" s="113"/>
      <c r="TK81" s="113"/>
      <c r="TL81" s="113"/>
      <c r="TM81" s="113"/>
      <c r="TN81" s="113"/>
      <c r="TO81" s="113"/>
      <c r="TP81" s="113"/>
      <c r="TQ81" s="113"/>
      <c r="TR81" s="113"/>
      <c r="TS81" s="113"/>
      <c r="TT81" s="113"/>
      <c r="TU81" s="113"/>
      <c r="TV81" s="113"/>
      <c r="TW81" s="113"/>
      <c r="TX81" s="113"/>
      <c r="TY81" s="113"/>
      <c r="TZ81" s="113"/>
      <c r="UA81" s="113"/>
      <c r="UB81" s="113"/>
      <c r="UC81" s="113"/>
      <c r="UD81" s="113"/>
      <c r="UE81" s="113"/>
      <c r="UF81" s="113"/>
      <c r="UG81" s="113"/>
      <c r="UH81" s="113"/>
      <c r="UI81" s="113"/>
      <c r="UJ81" s="113"/>
      <c r="UK81" s="113"/>
      <c r="UL81" s="113"/>
      <c r="UM81" s="113"/>
      <c r="UN81" s="113"/>
      <c r="UO81" s="113"/>
      <c r="UP81" s="113"/>
      <c r="UQ81" s="113"/>
      <c r="UR81" s="113"/>
      <c r="US81" s="113"/>
      <c r="UT81" s="113"/>
      <c r="UU81" s="113"/>
      <c r="UV81" s="113"/>
      <c r="UW81" s="113"/>
      <c r="UX81" s="113"/>
      <c r="UY81" s="113"/>
      <c r="UZ81" s="113"/>
      <c r="VA81" s="113"/>
      <c r="VB81" s="113"/>
      <c r="VC81" s="113"/>
      <c r="VD81" s="113"/>
      <c r="VE81" s="113"/>
      <c r="VF81" s="113"/>
      <c r="VG81" s="113"/>
      <c r="VH81" s="113"/>
      <c r="VI81" s="113"/>
      <c r="VJ81" s="113"/>
      <c r="VK81" s="113"/>
      <c r="VL81" s="113"/>
      <c r="VM81" s="113"/>
      <c r="VN81" s="113"/>
      <c r="VO81" s="113"/>
      <c r="VP81" s="113"/>
      <c r="VQ81" s="113"/>
      <c r="VR81" s="113"/>
      <c r="VS81" s="113"/>
      <c r="VT81" s="113"/>
      <c r="VU81" s="113"/>
      <c r="VV81" s="113"/>
      <c r="VW81" s="113"/>
      <c r="VX81" s="113"/>
      <c r="VY81" s="113"/>
      <c r="VZ81" s="113"/>
      <c r="WA81" s="113"/>
      <c r="WB81" s="113"/>
      <c r="WC81" s="113"/>
      <c r="WD81" s="113"/>
      <c r="WE81" s="113"/>
      <c r="WF81" s="113"/>
      <c r="WG81" s="113"/>
      <c r="WH81" s="113"/>
      <c r="WI81" s="113"/>
      <c r="WJ81" s="113"/>
      <c r="WK81" s="113"/>
      <c r="WL81" s="113"/>
      <c r="WM81" s="113"/>
      <c r="WN81" s="113"/>
      <c r="WO81" s="113"/>
      <c r="WP81" s="113"/>
      <c r="WQ81" s="113"/>
      <c r="WR81" s="113"/>
      <c r="WS81" s="113"/>
      <c r="WT81" s="113"/>
      <c r="WU81" s="113"/>
      <c r="WV81" s="113"/>
      <c r="WW81" s="113"/>
      <c r="WX81" s="113"/>
      <c r="WY81" s="113"/>
      <c r="WZ81" s="113"/>
      <c r="XA81" s="113"/>
      <c r="XB81" s="113"/>
      <c r="XC81" s="113"/>
      <c r="XD81" s="113"/>
      <c r="XE81" s="113"/>
      <c r="XF81" s="113"/>
      <c r="XG81" s="113"/>
      <c r="XH81" s="113"/>
      <c r="XI81" s="113"/>
      <c r="XJ81" s="113"/>
      <c r="XK81" s="113"/>
      <c r="XL81" s="113"/>
      <c r="XM81" s="113"/>
      <c r="XN81" s="113"/>
      <c r="XO81" s="113"/>
      <c r="XP81" s="113"/>
      <c r="XQ81" s="113"/>
      <c r="XR81" s="113"/>
      <c r="XS81" s="113"/>
      <c r="XT81" s="113"/>
      <c r="XU81" s="113"/>
      <c r="XV81" s="113"/>
      <c r="XW81" s="113"/>
      <c r="XX81" s="113"/>
      <c r="XY81" s="113"/>
      <c r="XZ81" s="113"/>
      <c r="YA81" s="113"/>
      <c r="YB81" s="113"/>
      <c r="YC81" s="113"/>
      <c r="YD81" s="113"/>
      <c r="YE81" s="113"/>
      <c r="YF81" s="113"/>
      <c r="YG81" s="113"/>
      <c r="YH81" s="113"/>
      <c r="YI81" s="113"/>
      <c r="YJ81" s="113"/>
      <c r="YK81" s="113"/>
      <c r="YL81" s="113"/>
      <c r="YM81" s="113"/>
      <c r="YN81" s="113"/>
      <c r="YO81" s="113"/>
      <c r="YP81" s="113"/>
      <c r="YQ81" s="113"/>
      <c r="YR81" s="113"/>
      <c r="YS81" s="113"/>
      <c r="YT81" s="113"/>
      <c r="YU81" s="113"/>
      <c r="YV81" s="113"/>
      <c r="YW81" s="113"/>
      <c r="YX81" s="113"/>
      <c r="YY81" s="113"/>
      <c r="YZ81" s="113"/>
      <c r="ZA81" s="113"/>
      <c r="ZB81" s="113"/>
      <c r="ZC81" s="113"/>
      <c r="ZD81" s="113"/>
      <c r="ZE81" s="113"/>
      <c r="ZF81" s="113"/>
      <c r="ZG81" s="113"/>
      <c r="ZH81" s="113"/>
      <c r="ZI81" s="113"/>
      <c r="ZJ81" s="113"/>
      <c r="ZK81" s="113"/>
      <c r="ZL81" s="113"/>
      <c r="ZM81" s="113"/>
      <c r="ZN81" s="113"/>
      <c r="ZO81" s="113"/>
      <c r="ZP81" s="113"/>
      <c r="ZQ81" s="113"/>
      <c r="ZR81" s="113"/>
      <c r="ZS81" s="113"/>
      <c r="ZT81" s="113"/>
      <c r="ZU81" s="113"/>
      <c r="ZV81" s="113"/>
      <c r="ZW81" s="113"/>
      <c r="ZX81" s="113"/>
      <c r="ZY81" s="113"/>
      <c r="ZZ81" s="113"/>
      <c r="AAA81" s="113"/>
      <c r="AAB81" s="113"/>
      <c r="AAC81" s="113"/>
      <c r="AAD81" s="113"/>
      <c r="AAE81" s="113"/>
      <c r="AAF81" s="113"/>
      <c r="AAG81" s="113"/>
      <c r="AAH81" s="113"/>
      <c r="AAI81" s="113"/>
      <c r="AAJ81" s="113"/>
      <c r="AAK81" s="113"/>
      <c r="AAL81" s="113"/>
      <c r="AAM81" s="113"/>
      <c r="AAN81" s="113"/>
      <c r="AAO81" s="113"/>
      <c r="AAP81" s="113"/>
      <c r="AAQ81" s="113"/>
      <c r="AAR81" s="113"/>
      <c r="AAS81" s="113"/>
      <c r="AAT81" s="113"/>
      <c r="AAU81" s="113"/>
      <c r="AAV81" s="113"/>
      <c r="AAW81" s="113"/>
      <c r="AAX81" s="113"/>
      <c r="AAY81" s="113"/>
      <c r="AAZ81" s="113"/>
      <c r="ABA81" s="113"/>
      <c r="ABB81" s="113"/>
      <c r="ABC81" s="113"/>
      <c r="ABD81" s="113"/>
      <c r="ABE81" s="113"/>
      <c r="ABF81" s="113"/>
      <c r="ABG81" s="113"/>
      <c r="ABH81" s="113"/>
      <c r="ABI81" s="113"/>
      <c r="ABJ81" s="113"/>
      <c r="ABK81" s="113"/>
      <c r="ABL81" s="113"/>
      <c r="ABM81" s="113"/>
      <c r="ABN81" s="113"/>
      <c r="ABO81" s="113"/>
      <c r="ABP81" s="113"/>
      <c r="ABQ81" s="113"/>
      <c r="ABR81" s="113"/>
      <c r="ABS81" s="113"/>
      <c r="ABT81" s="113"/>
      <c r="ABU81" s="113"/>
      <c r="ABV81" s="113"/>
      <c r="ABW81" s="113"/>
      <c r="ABX81" s="113"/>
      <c r="ABY81" s="113"/>
      <c r="ABZ81" s="113"/>
      <c r="ACA81" s="113"/>
      <c r="ACB81" s="113"/>
      <c r="ACC81" s="113"/>
      <c r="ACD81" s="113"/>
      <c r="ACE81" s="113"/>
      <c r="ACF81" s="113"/>
      <c r="ACG81" s="113"/>
      <c r="ACH81" s="113"/>
      <c r="ACI81" s="113"/>
      <c r="ACJ81" s="113"/>
      <c r="ACK81" s="113"/>
      <c r="ACL81" s="113"/>
      <c r="ACM81" s="113"/>
      <c r="ACN81" s="113"/>
      <c r="ACO81" s="113"/>
      <c r="ACP81" s="113"/>
      <c r="ACQ81" s="113"/>
      <c r="ACR81" s="113"/>
      <c r="ACS81" s="113"/>
      <c r="ACT81" s="113"/>
      <c r="ACU81" s="113"/>
      <c r="ACV81" s="113"/>
      <c r="ACW81" s="113"/>
      <c r="ACX81" s="113"/>
      <c r="ACY81" s="113"/>
      <c r="ACZ81" s="113"/>
      <c r="ADA81" s="113"/>
      <c r="ADB81" s="113"/>
      <c r="ADC81" s="113"/>
      <c r="ADD81" s="113"/>
      <c r="ADE81" s="113"/>
      <c r="ADF81" s="113"/>
      <c r="ADG81" s="113"/>
      <c r="ADH81" s="113"/>
      <c r="ADI81" s="113"/>
      <c r="ADJ81" s="113"/>
      <c r="ADK81" s="113"/>
      <c r="ADL81" s="113"/>
      <c r="ADM81" s="113"/>
      <c r="ADN81" s="113"/>
      <c r="ADO81" s="113"/>
      <c r="ADP81" s="113"/>
      <c r="ADQ81" s="113"/>
      <c r="ADR81" s="113"/>
      <c r="ADS81" s="113"/>
      <c r="ADT81" s="113"/>
      <c r="ADU81" s="113"/>
      <c r="ADV81" s="113"/>
      <c r="ADW81" s="113"/>
      <c r="ADX81" s="113"/>
      <c r="ADY81" s="113"/>
      <c r="ADZ81" s="113"/>
      <c r="AEA81" s="113"/>
      <c r="AEB81" s="113"/>
      <c r="AEC81" s="113"/>
      <c r="AED81" s="113"/>
      <c r="AEE81" s="113"/>
      <c r="AEF81" s="113"/>
      <c r="AEG81" s="113"/>
      <c r="AEH81" s="113"/>
      <c r="AEI81" s="113"/>
      <c r="AEJ81" s="113"/>
      <c r="AEK81" s="113"/>
      <c r="AEL81" s="113"/>
      <c r="AEM81" s="113"/>
      <c r="AEN81" s="113"/>
      <c r="AEO81" s="113"/>
      <c r="AEP81" s="113"/>
      <c r="AEQ81" s="113"/>
      <c r="AER81" s="113"/>
      <c r="AES81" s="113"/>
      <c r="AET81" s="113"/>
      <c r="AEU81" s="113"/>
      <c r="AEV81" s="113"/>
      <c r="AEW81" s="113"/>
      <c r="AEX81" s="113"/>
      <c r="AEY81" s="113"/>
      <c r="AEZ81" s="113"/>
      <c r="AFA81" s="113"/>
      <c r="AFB81" s="113"/>
      <c r="AFC81" s="113"/>
      <c r="AFD81" s="113"/>
      <c r="AFE81" s="113"/>
      <c r="AFF81" s="113"/>
      <c r="AFG81" s="113"/>
      <c r="AFH81" s="113"/>
      <c r="AFI81" s="113"/>
      <c r="AFJ81" s="113"/>
      <c r="AFK81" s="113"/>
      <c r="AFL81" s="113"/>
      <c r="AFM81" s="113"/>
      <c r="AFN81" s="113"/>
      <c r="AFO81" s="113"/>
      <c r="AFP81" s="113"/>
      <c r="AFQ81" s="113"/>
      <c r="AFR81" s="113"/>
      <c r="AFS81" s="113"/>
      <c r="AFT81" s="113"/>
      <c r="AFU81" s="113"/>
      <c r="AFV81" s="113"/>
      <c r="AFW81" s="113"/>
      <c r="AFX81" s="113"/>
      <c r="AFY81" s="113"/>
      <c r="AFZ81" s="113"/>
      <c r="AGA81" s="113"/>
      <c r="AGB81" s="113"/>
      <c r="AGC81" s="113"/>
      <c r="AGD81" s="113"/>
      <c r="AGE81" s="113"/>
      <c r="AGF81" s="113"/>
      <c r="AGG81" s="113"/>
      <c r="AGH81" s="113"/>
      <c r="AGI81" s="113"/>
      <c r="AGJ81" s="113"/>
      <c r="AGK81" s="113"/>
      <c r="AGL81" s="113"/>
      <c r="AGM81" s="113"/>
      <c r="AGN81" s="113"/>
      <c r="AGO81" s="113"/>
      <c r="AGP81" s="113"/>
      <c r="AGQ81" s="113"/>
      <c r="AGR81" s="113"/>
      <c r="AGS81" s="113"/>
      <c r="AGT81" s="113"/>
      <c r="AGU81" s="113"/>
      <c r="AGV81" s="113"/>
      <c r="AGW81" s="113"/>
      <c r="AGX81" s="113"/>
      <c r="AGY81" s="113"/>
      <c r="AGZ81" s="113"/>
      <c r="AHA81" s="113"/>
      <c r="AHB81" s="113"/>
      <c r="AHC81" s="113"/>
      <c r="AHD81" s="113"/>
      <c r="AHE81" s="113"/>
      <c r="AHF81" s="113"/>
      <c r="AHG81" s="113"/>
      <c r="AHH81" s="113"/>
      <c r="AHI81" s="113"/>
      <c r="AHJ81" s="113"/>
      <c r="AHK81" s="113"/>
      <c r="AHL81" s="113"/>
      <c r="AHM81" s="113"/>
      <c r="AHN81" s="113"/>
      <c r="AHO81" s="113"/>
      <c r="AHP81" s="113"/>
      <c r="AHQ81" s="113"/>
      <c r="AHR81" s="113"/>
      <c r="AHS81" s="113"/>
      <c r="AHT81" s="113"/>
      <c r="AHU81" s="113"/>
      <c r="AHV81" s="113"/>
      <c r="AHW81" s="113"/>
      <c r="AHX81" s="113"/>
      <c r="AHY81" s="113"/>
      <c r="AHZ81" s="113"/>
      <c r="AIA81" s="113"/>
      <c r="AIB81" s="113"/>
      <c r="AIC81" s="113"/>
      <c r="AID81" s="113"/>
      <c r="AIE81" s="113"/>
      <c r="AIF81" s="113"/>
      <c r="AIG81" s="113"/>
      <c r="AIH81" s="113"/>
      <c r="AII81" s="113"/>
      <c r="AIJ81" s="113"/>
      <c r="AIK81" s="113"/>
      <c r="AIL81" s="113"/>
      <c r="AIM81" s="113"/>
      <c r="AIN81" s="113"/>
      <c r="AIO81" s="113"/>
      <c r="AIP81" s="113"/>
      <c r="AIQ81" s="113"/>
      <c r="AIR81" s="113"/>
      <c r="AIS81" s="113"/>
      <c r="AIT81" s="113"/>
      <c r="AIU81" s="113"/>
      <c r="AIV81" s="113"/>
      <c r="AIW81" s="113"/>
      <c r="AIX81" s="113"/>
      <c r="AIY81" s="113"/>
      <c r="AIZ81" s="113"/>
    </row>
    <row r="82">
      <c r="A82" s="65" t="s">
        <v>7</v>
      </c>
      <c r="B82" s="65" t="s">
        <v>40</v>
      </c>
      <c r="C82" s="65"/>
      <c r="D82" s="64">
        <f t="shared" si="1"/>
        <v>533.8885</v>
      </c>
      <c r="F82" s="65">
        <v>62.3034166666667</v>
      </c>
      <c r="G82" s="65">
        <v>11.2553</v>
      </c>
      <c r="H82" s="65">
        <v>3.34811666666667</v>
      </c>
      <c r="I82" s="65">
        <v>0.245716666666667</v>
      </c>
      <c r="J82" s="65">
        <v>0.131416666666667</v>
      </c>
      <c r="K82" s="65">
        <v>8.22466666666667</v>
      </c>
      <c r="N82" s="65">
        <v>18.7801833333333</v>
      </c>
      <c r="Q82" s="65">
        <v>86.2692</v>
      </c>
      <c r="R82" s="65">
        <v>33.1503333333333</v>
      </c>
      <c r="S82" s="65">
        <v>4.3273</v>
      </c>
      <c r="T82" s="65">
        <v>3.06181666666667</v>
      </c>
      <c r="U82" s="65">
        <v>6.43403333333333</v>
      </c>
      <c r="X82" s="65">
        <v>22.3878666666667</v>
      </c>
      <c r="Y82" s="65">
        <v>15.5743166666667</v>
      </c>
      <c r="Z82" s="65">
        <v>1.84315</v>
      </c>
      <c r="AA82" s="65">
        <v>0.5147</v>
      </c>
      <c r="AB82" s="65">
        <v>2.49086666666667</v>
      </c>
      <c r="AE82" s="65">
        <v>61.22715</v>
      </c>
      <c r="AF82" s="65">
        <v>52.5913833333333</v>
      </c>
      <c r="AG82" s="65">
        <v>5.06198333333333</v>
      </c>
      <c r="AH82" s="65">
        <v>0.575866666666667</v>
      </c>
      <c r="AI82" s="65">
        <v>2.84015</v>
      </c>
      <c r="AL82" s="65">
        <v>8.17598333333333</v>
      </c>
      <c r="AM82" s="65">
        <v>2.41736666666667</v>
      </c>
      <c r="AN82" s="65">
        <v>17.7521833333333</v>
      </c>
      <c r="AQ82" s="65">
        <v>1.86856666666667</v>
      </c>
      <c r="AR82" s="65">
        <v>2.42313333333333</v>
      </c>
      <c r="AU82" s="65">
        <v>98.6123333333334</v>
      </c>
    </row>
    <row r="83">
      <c r="A83" s="65" t="s">
        <v>7</v>
      </c>
      <c r="B83" s="65" t="s">
        <v>40</v>
      </c>
      <c r="C83" s="65"/>
      <c r="D83" s="64">
        <f t="shared" si="1"/>
        <v>0</v>
      </c>
    </row>
    <row r="84">
      <c r="A84" s="65" t="s">
        <v>7</v>
      </c>
      <c r="B84" s="65" t="s">
        <v>40</v>
      </c>
      <c r="C84" s="65"/>
      <c r="D84" s="64">
        <f t="shared" si="1"/>
        <v>506.21655</v>
      </c>
      <c r="F84" s="118">
        <f>HYPERLINK("https://docs.google.com/spreadsheets/d/1R68zemGAn2Ks3Hi4q62tGvuL_NU8ZA4R", 52.9319666666667)</f>
        <v>52.93196667</v>
      </c>
      <c r="G84" s="118">
        <f>HYPERLINK("https://docs.google.com/spreadsheets/d/1RvNW7vxyb6a0tnQdvPx8aPiPE0BYnpWN", 11.2553)</f>
        <v>11.2553</v>
      </c>
      <c r="H84" s="118">
        <f>HYPERLINK("https://docs.google.com/spreadsheets/d/1Uwf4xoZK9Jf6DgH3U0B_BlgJlrcot3zi", 3.34811666666667)</f>
        <v>3.348116667</v>
      </c>
      <c r="I84" s="118">
        <f>HYPERLINK("https://docs.google.com/spreadsheets/d/1WFaJDgnRB2KuqmZa2syKPJ0lJW60H2gi", 0.245716666666667)</f>
        <v>0.2457166667</v>
      </c>
      <c r="J84" s="118">
        <f>HYPERLINK("https://docs.google.com/spreadsheets/d/1t7SvaxNCLtfyn5RD3iLfhBcAN0GQa7-x", 0)</f>
        <v>0</v>
      </c>
      <c r="K84" s="118">
        <f>HYPERLINK("https://docs.google.com/spreadsheets/d/1bSi7y7N2ZivTUY74vdufoywbhY8KWWMg", 8.2247)</f>
        <v>8.2247</v>
      </c>
      <c r="N84" s="118">
        <f>HYPERLINK("https://docs.google.com/spreadsheets/d/1bCup-eeihJYouqraXu74VdI6vlz3IxgJ", 18.7801833333333)</f>
        <v>18.78018333</v>
      </c>
      <c r="Q84" s="118">
        <f>HYPERLINK("https://docs.google.com/spreadsheets/d/1B5-AhwFbK6sk6Gwci5fg_IH-6Mn17fao", 73.47255)</f>
        <v>73.47255</v>
      </c>
      <c r="R84" s="118">
        <f>HYPERLINK("https://docs.google.com/spreadsheets/d/1CKVwgeLrD6BwAJe85-NX0oF8zD49h0-l", 33.0164666666667)</f>
        <v>33.01646667</v>
      </c>
      <c r="S84" s="118">
        <f>HYPERLINK("https://docs.google.com/spreadsheets/d/1DgDBO2eLj6-4NIQ1OocmmN6my95b1D2Y", 4.138)</f>
        <v>4.138</v>
      </c>
      <c r="T84" s="118">
        <f>HYPERLINK("https://docs.google.com/spreadsheets/d/16-FTN-X1PaBMPAu2imJ_xidwH4ekFKr1", 1.88688333333333)</f>
        <v>1.886883333</v>
      </c>
      <c r="U84" s="118">
        <f>HYPERLINK("https://docs.google.com/spreadsheets/d/1xooU94R9w2A7IdW-h2QrsLnMKd0YipOM", 6.43403333333333)</f>
        <v>6.434033333</v>
      </c>
      <c r="X84" s="118">
        <f>HYPERLINK("https://docs.google.com/spreadsheets/d/1SZ2i2qijffCaGucnyeuwDFs925NFJ-vj", 21.8500833333333)</f>
        <v>21.85008333</v>
      </c>
      <c r="Y84" s="118">
        <f>HYPERLINK("https://docs.google.com/spreadsheets/d/1hP4LNxcTN3YIayvLwe3siuHz-vrKA2Yq", 15.5742833333333)</f>
        <v>15.57428333</v>
      </c>
      <c r="Z84" s="118">
        <f>HYPERLINK("https://docs.google.com/spreadsheets/d/1L3amTJI7U_6uh4dnDmzwbov1GHlEiUCK", 1.84315)</f>
        <v>1.84315</v>
      </c>
      <c r="AA84" s="118">
        <f>HYPERLINK("https://docs.google.com/spreadsheets/d/19DfMbuZiFDkJVG-v37ZNjPwVWASkWlGS", 0.14515)</f>
        <v>0.14515</v>
      </c>
      <c r="AB84" s="118">
        <f>HYPERLINK("https://docs.google.com/spreadsheets/d/111NqKbZ98ehRKnZ4G2gvToPf63u9M-4c", 2.49086666666667)</f>
        <v>2.490866667</v>
      </c>
      <c r="AE84" s="118">
        <f>HYPERLINK("https://docs.google.com/spreadsheets/d/1ipU2MHn0dcjME0EeG4myQBS-LVjBuKd4", 60.5660333333333)</f>
        <v>60.56603333</v>
      </c>
      <c r="AF84" s="118">
        <f>HYPERLINK("https://docs.google.com/spreadsheets/d/15EUrWZOibFRtfWIqKQUeLUdcxY04pv0N", 52.5913666666667)</f>
        <v>52.59136667</v>
      </c>
      <c r="AG84" s="118">
        <f>HYPERLINK("https://docs.google.com/spreadsheets/d/150SsEwhxwzjRsHO26EF56imoa4XgZgKV", 5.06198333333333)</f>
        <v>5.061983333</v>
      </c>
      <c r="AH84" s="118">
        <f>HYPERLINK("https://docs.google.com/spreadsheets/d/1NUVnNXo3NCmLocAsgiaHnzyagyDrYADg", 0.575866666666667)</f>
        <v>0.5758666667</v>
      </c>
      <c r="AI84" s="118">
        <f>HYPERLINK("https://docs.google.com/spreadsheets/d/1QXeyk-FZ8LJuMiqWDo5Dcg4kNfBdUqQ6", 2.84015)</f>
        <v>2.84015</v>
      </c>
      <c r="AL84" s="118">
        <f>HYPERLINK("https://docs.google.com/spreadsheets/d/1Q7XOEt22qmh9c7hqkzHIbL-ko_auv1Cp", 6.8438)</f>
        <v>6.8438</v>
      </c>
      <c r="AM84" s="118">
        <f>HYPERLINK("https://docs.google.com/spreadsheets/d/1utyMNeXIo5NHvjf2Jta8T8Vm_YAqwZQj", 2.36775)</f>
        <v>2.36775</v>
      </c>
      <c r="AN84" s="118">
        <f>HYPERLINK("https://docs.google.com/spreadsheets/d/1JfjjmhxkfsyG-Zc3Z1ZW2vVwF7t4AWvl", 17.58935)</f>
        <v>17.58935</v>
      </c>
      <c r="AQ84" s="118">
        <f>HYPERLINK("https://docs.google.com/spreadsheets/d/1R7dN9saWo-q3OijBMaBcPTJ7j5o1-zQv", 1.86856666666667)</f>
        <v>1.868566667</v>
      </c>
      <c r="AR84" s="118">
        <f>HYPERLINK("https://docs.google.com/spreadsheets/d/1FlntYb5OY0WlijDL438yvigIRShdTudb", 2.42313333333333)</f>
        <v>2.423133333</v>
      </c>
      <c r="AU84" s="118">
        <f>HYPERLINK("https://docs.google.com/spreadsheets/d/1XAfH-E-E0PbKmvcCW50QhTD7i9RBbBvf", 97.8511000000001)</f>
        <v>97.8511</v>
      </c>
    </row>
    <row r="85">
      <c r="A85" s="65" t="s">
        <v>7</v>
      </c>
      <c r="B85" s="65" t="s">
        <v>40</v>
      </c>
      <c r="C85" s="65"/>
      <c r="D85" s="64">
        <f t="shared" si="1"/>
        <v>186.0098833</v>
      </c>
      <c r="F85" s="65">
        <v>18.80475</v>
      </c>
      <c r="G85" s="65">
        <v>1.49335</v>
      </c>
      <c r="H85" s="65">
        <v>0.51455</v>
      </c>
      <c r="I85" s="65">
        <v>0.0</v>
      </c>
      <c r="K85" s="65">
        <v>3.6595</v>
      </c>
      <c r="N85" s="65">
        <v>5.98961666666667</v>
      </c>
      <c r="Q85" s="65">
        <v>28.3096833333333</v>
      </c>
      <c r="R85" s="65">
        <v>11.8538833333333</v>
      </c>
      <c r="S85" s="65">
        <v>1.54576666666667</v>
      </c>
      <c r="T85" s="65">
        <v>0.69975</v>
      </c>
      <c r="U85" s="65">
        <v>2.44908333333333</v>
      </c>
      <c r="X85" s="65">
        <v>9.07561666666667</v>
      </c>
      <c r="Y85" s="65">
        <v>3.19366666666667</v>
      </c>
      <c r="Z85" s="65">
        <v>0.217716666666667</v>
      </c>
      <c r="AA85" s="65">
        <v>0.0</v>
      </c>
      <c r="AB85" s="65">
        <v>0.994283333333333</v>
      </c>
      <c r="AE85" s="65">
        <v>18.5055666666667</v>
      </c>
      <c r="AF85" s="65">
        <v>16.4295166666667</v>
      </c>
      <c r="AG85" s="65">
        <v>2.07798333333333</v>
      </c>
      <c r="AH85" s="65">
        <v>0.0837833333333333</v>
      </c>
      <c r="AI85" s="65">
        <v>1.3425</v>
      </c>
      <c r="AL85" s="65">
        <v>2.57418333333333</v>
      </c>
      <c r="AM85" s="65">
        <v>0.40105</v>
      </c>
      <c r="AN85" s="65">
        <v>8.93051666666667</v>
      </c>
      <c r="AQ85" s="65">
        <v>0.687466666666667</v>
      </c>
      <c r="AR85" s="65">
        <v>1.07185</v>
      </c>
      <c r="AU85" s="65">
        <v>45.10425</v>
      </c>
    </row>
    <row r="86">
      <c r="A86" s="119" t="s">
        <v>7</v>
      </c>
      <c r="B86" s="119" t="s">
        <v>40</v>
      </c>
      <c r="C86" s="119"/>
      <c r="D86" s="120">
        <f t="shared" si="1"/>
        <v>0</v>
      </c>
      <c r="E86" s="120"/>
      <c r="F86" s="120"/>
      <c r="G86" s="120"/>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c r="AG86" s="120"/>
      <c r="AH86" s="120"/>
      <c r="AI86" s="120"/>
      <c r="AJ86" s="120"/>
      <c r="AK86" s="120"/>
      <c r="AL86" s="120"/>
      <c r="AM86" s="120"/>
      <c r="AN86" s="120"/>
      <c r="AO86" s="120"/>
      <c r="AP86" s="120"/>
      <c r="AQ86" s="120"/>
      <c r="AR86" s="120"/>
      <c r="AS86" s="120"/>
      <c r="AT86" s="120"/>
      <c r="AU86" s="120"/>
      <c r="AV86" s="120"/>
      <c r="AW86" s="120"/>
      <c r="AX86" s="120"/>
      <c r="AY86" s="120"/>
      <c r="AZ86" s="120"/>
      <c r="BA86" s="120"/>
      <c r="BB86" s="120"/>
      <c r="BC86" s="120"/>
      <c r="BD86" s="120"/>
      <c r="BE86" s="120"/>
      <c r="BF86" s="120"/>
      <c r="BG86" s="120"/>
      <c r="BH86" s="120"/>
      <c r="BI86" s="120"/>
      <c r="BJ86" s="120"/>
      <c r="BK86" s="120"/>
      <c r="BL86" s="120"/>
      <c r="BM86" s="120"/>
      <c r="BN86" s="120"/>
      <c r="BO86" s="120"/>
      <c r="BP86" s="120"/>
      <c r="BQ86" s="120"/>
      <c r="BR86" s="120"/>
      <c r="BS86" s="120"/>
      <c r="BT86" s="120"/>
      <c r="BU86" s="120"/>
      <c r="BV86" s="120"/>
      <c r="BW86" s="120"/>
      <c r="BX86" s="120"/>
      <c r="BY86" s="120"/>
      <c r="BZ86" s="120"/>
      <c r="CA86" s="120"/>
      <c r="CB86" s="120"/>
      <c r="CC86" s="120"/>
      <c r="CD86" s="120"/>
      <c r="CE86" s="120"/>
      <c r="CF86" s="120"/>
      <c r="CG86" s="120"/>
      <c r="CH86" s="120"/>
      <c r="CI86" s="120"/>
      <c r="CJ86" s="120"/>
      <c r="CK86" s="120"/>
      <c r="CL86" s="120"/>
      <c r="CM86" s="120"/>
      <c r="CN86" s="120"/>
      <c r="CO86" s="120"/>
      <c r="CP86" s="120"/>
      <c r="CQ86" s="120"/>
      <c r="CR86" s="120"/>
      <c r="CS86" s="120"/>
      <c r="CT86" s="120"/>
      <c r="CU86" s="120"/>
      <c r="CV86" s="120"/>
      <c r="CW86" s="120"/>
      <c r="CX86" s="120"/>
      <c r="CY86" s="120"/>
      <c r="CZ86" s="120"/>
      <c r="DA86" s="120"/>
      <c r="DB86" s="120"/>
      <c r="DC86" s="120"/>
      <c r="DD86" s="120"/>
      <c r="DE86" s="120"/>
      <c r="DF86" s="120"/>
      <c r="DG86" s="120"/>
      <c r="DH86" s="120"/>
      <c r="DI86" s="120"/>
      <c r="DJ86" s="120"/>
      <c r="DK86" s="120"/>
      <c r="DL86" s="120"/>
      <c r="DM86" s="120"/>
      <c r="DN86" s="120"/>
      <c r="DO86" s="120"/>
      <c r="DP86" s="120"/>
      <c r="DQ86" s="120"/>
      <c r="DR86" s="120"/>
      <c r="DS86" s="120"/>
      <c r="DT86" s="120"/>
      <c r="DU86" s="120"/>
      <c r="DV86" s="120"/>
      <c r="DW86" s="120"/>
      <c r="DX86" s="120"/>
      <c r="DY86" s="120"/>
      <c r="DZ86" s="120"/>
      <c r="EA86" s="120"/>
      <c r="EB86" s="120"/>
      <c r="EC86" s="120"/>
      <c r="ED86" s="120"/>
      <c r="EE86" s="120"/>
      <c r="EF86" s="120"/>
      <c r="EG86" s="120"/>
      <c r="EH86" s="120"/>
      <c r="EI86" s="120"/>
      <c r="EJ86" s="120"/>
      <c r="EK86" s="120"/>
      <c r="EL86" s="120"/>
      <c r="EM86" s="120"/>
      <c r="EN86" s="120"/>
      <c r="EO86" s="120"/>
      <c r="EP86" s="120"/>
      <c r="EQ86" s="120"/>
      <c r="ER86" s="120"/>
      <c r="ES86" s="120"/>
      <c r="ET86" s="120"/>
      <c r="EU86" s="120"/>
      <c r="EV86" s="120"/>
      <c r="EW86" s="120"/>
      <c r="EX86" s="120"/>
      <c r="EY86" s="120"/>
      <c r="EZ86" s="120"/>
      <c r="FA86" s="120"/>
      <c r="FB86" s="120"/>
      <c r="FC86" s="120"/>
      <c r="FD86" s="120"/>
      <c r="FE86" s="120"/>
      <c r="FF86" s="120"/>
      <c r="FG86" s="120"/>
      <c r="FH86" s="120"/>
      <c r="FI86" s="120"/>
      <c r="FJ86" s="120"/>
      <c r="FK86" s="120"/>
      <c r="FL86" s="120"/>
      <c r="FM86" s="120"/>
      <c r="FN86" s="120"/>
      <c r="FO86" s="120"/>
      <c r="FP86" s="120"/>
      <c r="FQ86" s="120"/>
      <c r="FR86" s="120"/>
      <c r="FS86" s="120"/>
      <c r="FT86" s="120"/>
      <c r="FU86" s="120"/>
      <c r="FV86" s="120"/>
      <c r="FW86" s="120"/>
      <c r="FX86" s="120"/>
      <c r="FY86" s="120"/>
      <c r="FZ86" s="120"/>
      <c r="GA86" s="120"/>
      <c r="GB86" s="120"/>
      <c r="GC86" s="120"/>
      <c r="GD86" s="120"/>
      <c r="GE86" s="120"/>
      <c r="GF86" s="120"/>
      <c r="GG86" s="120"/>
      <c r="GH86" s="120"/>
      <c r="GI86" s="120"/>
      <c r="GJ86" s="120"/>
      <c r="GK86" s="120"/>
      <c r="GL86" s="120"/>
      <c r="GM86" s="120"/>
      <c r="GN86" s="120"/>
      <c r="GO86" s="120"/>
      <c r="GP86" s="120"/>
      <c r="GQ86" s="120"/>
      <c r="GR86" s="120"/>
      <c r="GS86" s="120"/>
      <c r="GT86" s="120"/>
      <c r="GU86" s="120"/>
      <c r="GV86" s="120"/>
      <c r="GW86" s="120"/>
      <c r="GX86" s="120"/>
      <c r="GY86" s="120"/>
      <c r="GZ86" s="120"/>
      <c r="HA86" s="120"/>
      <c r="HB86" s="120"/>
      <c r="HC86" s="120"/>
      <c r="HD86" s="120"/>
      <c r="HE86" s="120"/>
      <c r="HF86" s="120"/>
      <c r="HG86" s="120"/>
      <c r="HH86" s="120"/>
      <c r="HI86" s="120"/>
      <c r="HJ86" s="120"/>
      <c r="HK86" s="120"/>
      <c r="HL86" s="120"/>
      <c r="HM86" s="120"/>
      <c r="HN86" s="120"/>
      <c r="HO86" s="120"/>
      <c r="HP86" s="120"/>
      <c r="HQ86" s="120"/>
      <c r="HR86" s="120"/>
      <c r="HS86" s="120"/>
      <c r="HT86" s="120"/>
      <c r="HU86" s="120"/>
      <c r="HV86" s="120"/>
      <c r="HW86" s="120"/>
      <c r="HX86" s="120"/>
      <c r="HY86" s="120"/>
      <c r="HZ86" s="120"/>
      <c r="IA86" s="120"/>
      <c r="IB86" s="120"/>
      <c r="IC86" s="120"/>
      <c r="ID86" s="120"/>
      <c r="IE86" s="120"/>
      <c r="IF86" s="120"/>
      <c r="IG86" s="120"/>
      <c r="IH86" s="120"/>
      <c r="II86" s="120"/>
      <c r="IJ86" s="120"/>
      <c r="IK86" s="120"/>
      <c r="IL86" s="120"/>
      <c r="IM86" s="120"/>
      <c r="IN86" s="120"/>
      <c r="IO86" s="120"/>
      <c r="IP86" s="120"/>
      <c r="IQ86" s="120"/>
      <c r="IR86" s="120"/>
      <c r="IS86" s="120"/>
      <c r="IT86" s="120"/>
      <c r="IU86" s="120"/>
      <c r="IV86" s="120"/>
      <c r="IW86" s="120"/>
      <c r="IX86" s="120"/>
      <c r="IY86" s="120"/>
      <c r="IZ86" s="120"/>
      <c r="JA86" s="120"/>
      <c r="JB86" s="120"/>
      <c r="JC86" s="120"/>
      <c r="JD86" s="120"/>
      <c r="JE86" s="120"/>
      <c r="JF86" s="120"/>
      <c r="JG86" s="120"/>
      <c r="JH86" s="120"/>
      <c r="JI86" s="120"/>
      <c r="JJ86" s="120"/>
      <c r="JK86" s="120"/>
      <c r="JL86" s="120"/>
      <c r="JM86" s="120"/>
      <c r="JN86" s="120"/>
      <c r="JO86" s="120"/>
      <c r="JP86" s="120"/>
      <c r="JQ86" s="120"/>
      <c r="JR86" s="120"/>
      <c r="JS86" s="120"/>
      <c r="JT86" s="120"/>
      <c r="JU86" s="120"/>
      <c r="JV86" s="120"/>
      <c r="JW86" s="120"/>
      <c r="JX86" s="120"/>
      <c r="JY86" s="120"/>
      <c r="JZ86" s="120"/>
      <c r="KA86" s="120"/>
      <c r="KB86" s="120"/>
      <c r="KC86" s="120"/>
      <c r="KD86" s="120"/>
      <c r="KE86" s="120"/>
      <c r="KF86" s="120"/>
      <c r="KG86" s="120"/>
      <c r="KH86" s="120"/>
      <c r="KI86" s="120"/>
      <c r="KJ86" s="120"/>
      <c r="KK86" s="120"/>
      <c r="KL86" s="120"/>
      <c r="KM86" s="120"/>
      <c r="KN86" s="120"/>
      <c r="KO86" s="120"/>
      <c r="KP86" s="120"/>
      <c r="KQ86" s="120"/>
      <c r="KR86" s="120"/>
      <c r="KS86" s="120"/>
      <c r="KT86" s="120"/>
      <c r="KU86" s="120"/>
      <c r="KV86" s="120"/>
      <c r="KW86" s="120"/>
      <c r="KX86" s="120"/>
      <c r="KY86" s="120"/>
      <c r="KZ86" s="120"/>
      <c r="LA86" s="120"/>
      <c r="LB86" s="120"/>
      <c r="LC86" s="120"/>
      <c r="LD86" s="120"/>
      <c r="LE86" s="120"/>
      <c r="LF86" s="120"/>
      <c r="LG86" s="120"/>
      <c r="LH86" s="120"/>
      <c r="LI86" s="120"/>
      <c r="LJ86" s="120"/>
      <c r="LK86" s="120"/>
      <c r="LL86" s="120"/>
      <c r="LM86" s="120"/>
      <c r="LN86" s="120"/>
      <c r="LO86" s="120"/>
      <c r="LP86" s="120"/>
      <c r="LQ86" s="120"/>
      <c r="LR86" s="120"/>
      <c r="LS86" s="120"/>
      <c r="LT86" s="120"/>
      <c r="LU86" s="120"/>
      <c r="LV86" s="120"/>
      <c r="LW86" s="120"/>
      <c r="LX86" s="120"/>
      <c r="LY86" s="120"/>
      <c r="LZ86" s="120"/>
      <c r="MA86" s="120"/>
      <c r="MB86" s="120"/>
      <c r="MC86" s="120"/>
      <c r="MD86" s="120"/>
      <c r="ME86" s="120"/>
      <c r="MF86" s="120"/>
      <c r="MG86" s="120"/>
      <c r="MH86" s="120"/>
      <c r="MI86" s="120"/>
      <c r="MJ86" s="120"/>
      <c r="MK86" s="120"/>
      <c r="ML86" s="120"/>
      <c r="MM86" s="120"/>
      <c r="MN86" s="120"/>
      <c r="MO86" s="120"/>
      <c r="MP86" s="120"/>
      <c r="MQ86" s="120"/>
      <c r="MR86" s="120"/>
      <c r="MS86" s="120"/>
      <c r="MT86" s="120"/>
      <c r="MU86" s="120"/>
      <c r="MV86" s="120"/>
      <c r="MW86" s="120"/>
      <c r="MX86" s="120"/>
      <c r="MY86" s="120"/>
      <c r="MZ86" s="120"/>
      <c r="NA86" s="120"/>
      <c r="NB86" s="120"/>
      <c r="NC86" s="120"/>
      <c r="ND86" s="120"/>
      <c r="NE86" s="120"/>
      <c r="NF86" s="120"/>
      <c r="NG86" s="120"/>
      <c r="NH86" s="120"/>
      <c r="NI86" s="120"/>
      <c r="NJ86" s="120"/>
      <c r="NK86" s="120"/>
      <c r="NL86" s="120"/>
      <c r="NM86" s="120"/>
      <c r="NN86" s="120"/>
      <c r="NO86" s="120"/>
      <c r="NP86" s="120"/>
      <c r="NQ86" s="120"/>
      <c r="NR86" s="120"/>
      <c r="NS86" s="120"/>
      <c r="NT86" s="120"/>
      <c r="NU86" s="120"/>
      <c r="NV86" s="120"/>
      <c r="NW86" s="120"/>
      <c r="NX86" s="120"/>
      <c r="NY86" s="120"/>
      <c r="NZ86" s="120"/>
      <c r="OA86" s="120"/>
      <c r="OB86" s="120"/>
      <c r="OC86" s="120"/>
      <c r="OD86" s="120"/>
      <c r="OE86" s="120"/>
      <c r="OF86" s="120"/>
      <c r="OG86" s="120"/>
      <c r="OH86" s="120"/>
      <c r="OI86" s="120"/>
      <c r="OJ86" s="120"/>
      <c r="OK86" s="120"/>
      <c r="OL86" s="120"/>
      <c r="OM86" s="120"/>
      <c r="ON86" s="120"/>
      <c r="OO86" s="120"/>
      <c r="OP86" s="120"/>
      <c r="OQ86" s="120"/>
      <c r="OR86" s="120"/>
      <c r="OS86" s="120"/>
      <c r="OT86" s="120"/>
      <c r="OU86" s="120"/>
      <c r="OV86" s="120"/>
      <c r="OW86" s="120"/>
      <c r="OX86" s="120"/>
      <c r="OY86" s="120"/>
      <c r="OZ86" s="120"/>
      <c r="PA86" s="120"/>
      <c r="PB86" s="120"/>
      <c r="PC86" s="120"/>
      <c r="PD86" s="120"/>
      <c r="PE86" s="120"/>
      <c r="PF86" s="120"/>
      <c r="PG86" s="120"/>
      <c r="PH86" s="120"/>
      <c r="PI86" s="120"/>
      <c r="PJ86" s="120"/>
      <c r="PK86" s="120"/>
      <c r="PL86" s="120"/>
      <c r="PM86" s="120"/>
      <c r="PN86" s="120"/>
      <c r="PO86" s="120"/>
      <c r="PP86" s="120"/>
      <c r="PQ86" s="120"/>
      <c r="PR86" s="120"/>
      <c r="PS86" s="120"/>
      <c r="PT86" s="120"/>
      <c r="PU86" s="120"/>
      <c r="PV86" s="120"/>
      <c r="PW86" s="120"/>
      <c r="PX86" s="120"/>
      <c r="PY86" s="120"/>
      <c r="PZ86" s="120"/>
      <c r="QA86" s="120"/>
      <c r="QB86" s="120"/>
      <c r="QC86" s="120"/>
      <c r="QD86" s="120"/>
      <c r="QE86" s="120"/>
      <c r="QF86" s="120"/>
      <c r="QG86" s="120"/>
      <c r="QH86" s="120"/>
      <c r="QI86" s="120"/>
      <c r="QJ86" s="120"/>
      <c r="QK86" s="120"/>
      <c r="QL86" s="120"/>
      <c r="QM86" s="120"/>
      <c r="QN86" s="120"/>
      <c r="QO86" s="120"/>
      <c r="QP86" s="120"/>
      <c r="QQ86" s="120"/>
      <c r="QR86" s="120"/>
      <c r="QS86" s="120"/>
      <c r="QT86" s="120"/>
      <c r="QU86" s="120"/>
      <c r="QV86" s="120"/>
      <c r="QW86" s="120"/>
      <c r="QX86" s="120"/>
      <c r="QY86" s="120"/>
      <c r="QZ86" s="120"/>
      <c r="RA86" s="120"/>
      <c r="RB86" s="120"/>
      <c r="RC86" s="120"/>
      <c r="RD86" s="120"/>
      <c r="RE86" s="120"/>
      <c r="RF86" s="120"/>
      <c r="RG86" s="120"/>
      <c r="RH86" s="120"/>
      <c r="RI86" s="120"/>
      <c r="RJ86" s="120"/>
      <c r="RK86" s="120"/>
      <c r="RL86" s="120"/>
      <c r="RM86" s="120"/>
      <c r="RN86" s="120"/>
      <c r="RO86" s="120"/>
      <c r="RP86" s="120"/>
      <c r="RQ86" s="120"/>
      <c r="RR86" s="120"/>
      <c r="RS86" s="120"/>
      <c r="RT86" s="120"/>
      <c r="RU86" s="120"/>
      <c r="RV86" s="120"/>
      <c r="RW86" s="120"/>
      <c r="RX86" s="120"/>
      <c r="RY86" s="120"/>
      <c r="RZ86" s="120"/>
      <c r="SA86" s="120"/>
      <c r="SB86" s="120"/>
      <c r="SC86" s="120"/>
      <c r="SD86" s="120"/>
      <c r="SE86" s="120"/>
      <c r="SF86" s="120"/>
      <c r="SG86" s="120"/>
      <c r="SH86" s="120"/>
      <c r="SI86" s="120"/>
      <c r="SJ86" s="120"/>
      <c r="SK86" s="120"/>
      <c r="SL86" s="120"/>
      <c r="SM86" s="120"/>
      <c r="SN86" s="120"/>
      <c r="SO86" s="120"/>
      <c r="SP86" s="120"/>
      <c r="SQ86" s="120"/>
      <c r="SR86" s="120"/>
      <c r="SS86" s="120"/>
      <c r="ST86" s="120"/>
      <c r="SU86" s="120"/>
      <c r="SV86" s="120"/>
      <c r="SW86" s="120"/>
      <c r="SX86" s="120"/>
      <c r="SY86" s="120"/>
      <c r="SZ86" s="120"/>
      <c r="TA86" s="120"/>
      <c r="TB86" s="120"/>
      <c r="TC86" s="120"/>
      <c r="TD86" s="120"/>
      <c r="TE86" s="120"/>
      <c r="TF86" s="120"/>
      <c r="TG86" s="120"/>
      <c r="TH86" s="120"/>
      <c r="TI86" s="120"/>
      <c r="TJ86" s="120"/>
      <c r="TK86" s="120"/>
      <c r="TL86" s="120"/>
      <c r="TM86" s="120"/>
      <c r="TN86" s="120"/>
      <c r="TO86" s="120"/>
      <c r="TP86" s="120"/>
      <c r="TQ86" s="120"/>
      <c r="TR86" s="120"/>
      <c r="TS86" s="120"/>
      <c r="TT86" s="120"/>
      <c r="TU86" s="120"/>
      <c r="TV86" s="120"/>
      <c r="TW86" s="120"/>
      <c r="TX86" s="120"/>
      <c r="TY86" s="120"/>
      <c r="TZ86" s="120"/>
      <c r="UA86" s="120"/>
      <c r="UB86" s="120"/>
      <c r="UC86" s="120"/>
      <c r="UD86" s="120"/>
      <c r="UE86" s="120"/>
      <c r="UF86" s="120"/>
      <c r="UG86" s="120"/>
      <c r="UH86" s="120"/>
      <c r="UI86" s="120"/>
      <c r="UJ86" s="120"/>
      <c r="UK86" s="120"/>
      <c r="UL86" s="120"/>
      <c r="UM86" s="120"/>
      <c r="UN86" s="120"/>
      <c r="UO86" s="120"/>
      <c r="UP86" s="120"/>
      <c r="UQ86" s="120"/>
      <c r="UR86" s="120"/>
      <c r="US86" s="120"/>
      <c r="UT86" s="120"/>
      <c r="UU86" s="120"/>
      <c r="UV86" s="120"/>
      <c r="UW86" s="120"/>
      <c r="UX86" s="120"/>
      <c r="UY86" s="120"/>
      <c r="UZ86" s="120"/>
      <c r="VA86" s="120"/>
      <c r="VB86" s="120"/>
      <c r="VC86" s="120"/>
      <c r="VD86" s="120"/>
      <c r="VE86" s="120"/>
      <c r="VF86" s="120"/>
      <c r="VG86" s="120"/>
      <c r="VH86" s="120"/>
      <c r="VI86" s="120"/>
      <c r="VJ86" s="120"/>
      <c r="VK86" s="120"/>
      <c r="VL86" s="120"/>
      <c r="VM86" s="120"/>
      <c r="VN86" s="120"/>
      <c r="VO86" s="120"/>
      <c r="VP86" s="120"/>
      <c r="VQ86" s="120"/>
      <c r="VR86" s="120"/>
      <c r="VS86" s="120"/>
      <c r="VT86" s="120"/>
      <c r="VU86" s="120"/>
      <c r="VV86" s="120"/>
      <c r="VW86" s="120"/>
      <c r="VX86" s="120"/>
      <c r="VY86" s="120"/>
      <c r="VZ86" s="120"/>
      <c r="WA86" s="120"/>
      <c r="WB86" s="120"/>
      <c r="WC86" s="120"/>
      <c r="WD86" s="120"/>
      <c r="WE86" s="120"/>
      <c r="WF86" s="120"/>
      <c r="WG86" s="120"/>
      <c r="WH86" s="120"/>
      <c r="WI86" s="120"/>
      <c r="WJ86" s="120"/>
      <c r="WK86" s="120"/>
      <c r="WL86" s="120"/>
      <c r="WM86" s="120"/>
      <c r="WN86" s="120"/>
      <c r="WO86" s="120"/>
      <c r="WP86" s="120"/>
      <c r="WQ86" s="120"/>
      <c r="WR86" s="120"/>
      <c r="WS86" s="120"/>
      <c r="WT86" s="120"/>
      <c r="WU86" s="120"/>
      <c r="WV86" s="120"/>
      <c r="WW86" s="120"/>
      <c r="WX86" s="120"/>
      <c r="WY86" s="120"/>
      <c r="WZ86" s="120"/>
      <c r="XA86" s="120"/>
      <c r="XB86" s="120"/>
      <c r="XC86" s="120"/>
      <c r="XD86" s="120"/>
      <c r="XE86" s="120"/>
      <c r="XF86" s="120"/>
      <c r="XG86" s="120"/>
      <c r="XH86" s="120"/>
      <c r="XI86" s="120"/>
      <c r="XJ86" s="120"/>
      <c r="XK86" s="120"/>
      <c r="XL86" s="120"/>
      <c r="XM86" s="120"/>
      <c r="XN86" s="120"/>
      <c r="XO86" s="120"/>
      <c r="XP86" s="120"/>
      <c r="XQ86" s="120"/>
      <c r="XR86" s="120"/>
      <c r="XS86" s="120"/>
      <c r="XT86" s="120"/>
      <c r="XU86" s="120"/>
      <c r="XV86" s="120"/>
      <c r="XW86" s="120"/>
      <c r="XX86" s="120"/>
      <c r="XY86" s="120"/>
      <c r="XZ86" s="120"/>
      <c r="YA86" s="120"/>
      <c r="YB86" s="120"/>
      <c r="YC86" s="120"/>
      <c r="YD86" s="120"/>
      <c r="YE86" s="120"/>
      <c r="YF86" s="120"/>
      <c r="YG86" s="120"/>
      <c r="YH86" s="120"/>
      <c r="YI86" s="120"/>
      <c r="YJ86" s="120"/>
      <c r="YK86" s="120"/>
      <c r="YL86" s="120"/>
      <c r="YM86" s="120"/>
      <c r="YN86" s="120"/>
      <c r="YO86" s="120"/>
      <c r="YP86" s="120"/>
      <c r="YQ86" s="120"/>
      <c r="YR86" s="120"/>
      <c r="YS86" s="120"/>
      <c r="YT86" s="120"/>
      <c r="YU86" s="120"/>
      <c r="YV86" s="120"/>
      <c r="YW86" s="120"/>
      <c r="YX86" s="120"/>
      <c r="YY86" s="120"/>
      <c r="YZ86" s="120"/>
      <c r="ZA86" s="120"/>
      <c r="ZB86" s="120"/>
      <c r="ZC86" s="120"/>
      <c r="ZD86" s="120"/>
      <c r="ZE86" s="120"/>
      <c r="ZF86" s="120"/>
      <c r="ZG86" s="120"/>
      <c r="ZH86" s="120"/>
      <c r="ZI86" s="120"/>
      <c r="ZJ86" s="120"/>
      <c r="ZK86" s="120"/>
      <c r="ZL86" s="120"/>
      <c r="ZM86" s="120"/>
      <c r="ZN86" s="120"/>
      <c r="ZO86" s="120"/>
      <c r="ZP86" s="120"/>
      <c r="ZQ86" s="120"/>
      <c r="ZR86" s="120"/>
      <c r="ZS86" s="120"/>
      <c r="ZT86" s="120"/>
      <c r="ZU86" s="120"/>
      <c r="ZV86" s="120"/>
      <c r="ZW86" s="120"/>
      <c r="ZX86" s="120"/>
      <c r="ZY86" s="120"/>
      <c r="ZZ86" s="120"/>
      <c r="AAA86" s="120"/>
      <c r="AAB86" s="120"/>
      <c r="AAC86" s="120"/>
      <c r="AAD86" s="120"/>
      <c r="AAE86" s="120"/>
      <c r="AAF86" s="120"/>
      <c r="AAG86" s="120"/>
      <c r="AAH86" s="120"/>
      <c r="AAI86" s="120"/>
      <c r="AAJ86" s="120"/>
      <c r="AAK86" s="120"/>
      <c r="AAL86" s="120"/>
      <c r="AAM86" s="120"/>
      <c r="AAN86" s="120"/>
      <c r="AAO86" s="120"/>
      <c r="AAP86" s="120"/>
      <c r="AAQ86" s="120"/>
      <c r="AAR86" s="120"/>
      <c r="AAS86" s="120"/>
      <c r="AAT86" s="120"/>
      <c r="AAU86" s="120"/>
      <c r="AAV86" s="120"/>
      <c r="AAW86" s="120"/>
      <c r="AAX86" s="120"/>
      <c r="AAY86" s="120"/>
      <c r="AAZ86" s="120"/>
      <c r="ABA86" s="120"/>
      <c r="ABB86" s="120"/>
      <c r="ABC86" s="120"/>
      <c r="ABD86" s="120"/>
      <c r="ABE86" s="120"/>
      <c r="ABF86" s="120"/>
      <c r="ABG86" s="120"/>
      <c r="ABH86" s="120"/>
      <c r="ABI86" s="120"/>
      <c r="ABJ86" s="120"/>
      <c r="ABK86" s="120"/>
      <c r="ABL86" s="120"/>
      <c r="ABM86" s="120"/>
      <c r="ABN86" s="120"/>
      <c r="ABO86" s="120"/>
      <c r="ABP86" s="120"/>
      <c r="ABQ86" s="120"/>
      <c r="ABR86" s="120"/>
      <c r="ABS86" s="120"/>
      <c r="ABT86" s="120"/>
      <c r="ABU86" s="120"/>
      <c r="ABV86" s="120"/>
      <c r="ABW86" s="120"/>
      <c r="ABX86" s="120"/>
      <c r="ABY86" s="120"/>
      <c r="ABZ86" s="120"/>
      <c r="ACA86" s="120"/>
      <c r="ACB86" s="120"/>
      <c r="ACC86" s="120"/>
      <c r="ACD86" s="120"/>
      <c r="ACE86" s="120"/>
      <c r="ACF86" s="120"/>
      <c r="ACG86" s="120"/>
      <c r="ACH86" s="120"/>
      <c r="ACI86" s="120"/>
      <c r="ACJ86" s="120"/>
      <c r="ACK86" s="120"/>
      <c r="ACL86" s="120"/>
      <c r="ACM86" s="120"/>
      <c r="ACN86" s="120"/>
      <c r="ACO86" s="120"/>
      <c r="ACP86" s="120"/>
      <c r="ACQ86" s="120"/>
      <c r="ACR86" s="120"/>
      <c r="ACS86" s="120"/>
      <c r="ACT86" s="120"/>
      <c r="ACU86" s="120"/>
      <c r="ACV86" s="120"/>
      <c r="ACW86" s="120"/>
      <c r="ACX86" s="120"/>
      <c r="ACY86" s="120"/>
      <c r="ACZ86" s="120"/>
      <c r="ADA86" s="120"/>
      <c r="ADB86" s="120"/>
      <c r="ADC86" s="120"/>
      <c r="ADD86" s="120"/>
      <c r="ADE86" s="120"/>
      <c r="ADF86" s="120"/>
      <c r="ADG86" s="120"/>
      <c r="ADH86" s="120"/>
      <c r="ADI86" s="120"/>
      <c r="ADJ86" s="120"/>
      <c r="ADK86" s="120"/>
      <c r="ADL86" s="120"/>
      <c r="ADM86" s="120"/>
      <c r="ADN86" s="120"/>
      <c r="ADO86" s="120"/>
      <c r="ADP86" s="120"/>
      <c r="ADQ86" s="120"/>
      <c r="ADR86" s="120"/>
      <c r="ADS86" s="120"/>
      <c r="ADT86" s="120"/>
      <c r="ADU86" s="120"/>
      <c r="ADV86" s="120"/>
      <c r="ADW86" s="120"/>
      <c r="ADX86" s="120"/>
      <c r="ADY86" s="120"/>
      <c r="ADZ86" s="120"/>
      <c r="AEA86" s="120"/>
      <c r="AEB86" s="120"/>
      <c r="AEC86" s="120"/>
      <c r="AED86" s="120"/>
      <c r="AEE86" s="120"/>
      <c r="AEF86" s="120"/>
      <c r="AEG86" s="120"/>
      <c r="AEH86" s="120"/>
      <c r="AEI86" s="120"/>
      <c r="AEJ86" s="120"/>
      <c r="AEK86" s="120"/>
      <c r="AEL86" s="120"/>
      <c r="AEM86" s="120"/>
      <c r="AEN86" s="120"/>
      <c r="AEO86" s="120"/>
      <c r="AEP86" s="120"/>
      <c r="AEQ86" s="120"/>
      <c r="AER86" s="120"/>
      <c r="AES86" s="120"/>
      <c r="AET86" s="120"/>
      <c r="AEU86" s="120"/>
      <c r="AEV86" s="120"/>
      <c r="AEW86" s="120"/>
      <c r="AEX86" s="120"/>
      <c r="AEY86" s="120"/>
      <c r="AEZ86" s="120"/>
      <c r="AFA86" s="120"/>
      <c r="AFB86" s="120"/>
      <c r="AFC86" s="120"/>
      <c r="AFD86" s="120"/>
      <c r="AFE86" s="120"/>
      <c r="AFF86" s="120"/>
      <c r="AFG86" s="120"/>
      <c r="AFH86" s="120"/>
      <c r="AFI86" s="120"/>
      <c r="AFJ86" s="120"/>
      <c r="AFK86" s="120"/>
      <c r="AFL86" s="120"/>
      <c r="AFM86" s="120"/>
      <c r="AFN86" s="120"/>
      <c r="AFO86" s="120"/>
      <c r="AFP86" s="120"/>
      <c r="AFQ86" s="120"/>
      <c r="AFR86" s="120"/>
      <c r="AFS86" s="120"/>
      <c r="AFT86" s="120"/>
      <c r="AFU86" s="120"/>
      <c r="AFV86" s="120"/>
      <c r="AFW86" s="120"/>
      <c r="AFX86" s="120"/>
      <c r="AFY86" s="120"/>
      <c r="AFZ86" s="120"/>
      <c r="AGA86" s="120"/>
      <c r="AGB86" s="120"/>
      <c r="AGC86" s="120"/>
      <c r="AGD86" s="120"/>
      <c r="AGE86" s="120"/>
      <c r="AGF86" s="120"/>
      <c r="AGG86" s="120"/>
      <c r="AGH86" s="120"/>
      <c r="AGI86" s="120"/>
      <c r="AGJ86" s="120"/>
      <c r="AGK86" s="120"/>
      <c r="AGL86" s="120"/>
      <c r="AGM86" s="120"/>
      <c r="AGN86" s="120"/>
      <c r="AGO86" s="120"/>
      <c r="AGP86" s="120"/>
      <c r="AGQ86" s="120"/>
      <c r="AGR86" s="120"/>
      <c r="AGS86" s="120"/>
      <c r="AGT86" s="120"/>
      <c r="AGU86" s="120"/>
      <c r="AGV86" s="120"/>
      <c r="AGW86" s="120"/>
      <c r="AGX86" s="120"/>
      <c r="AGY86" s="120"/>
      <c r="AGZ86" s="120"/>
      <c r="AHA86" s="120"/>
      <c r="AHB86" s="120"/>
      <c r="AHC86" s="120"/>
      <c r="AHD86" s="120"/>
      <c r="AHE86" s="120"/>
      <c r="AHF86" s="120"/>
      <c r="AHG86" s="120"/>
      <c r="AHH86" s="120"/>
      <c r="AHI86" s="120"/>
      <c r="AHJ86" s="120"/>
      <c r="AHK86" s="120"/>
      <c r="AHL86" s="120"/>
      <c r="AHM86" s="120"/>
      <c r="AHN86" s="120"/>
      <c r="AHO86" s="120"/>
      <c r="AHP86" s="120"/>
      <c r="AHQ86" s="120"/>
      <c r="AHR86" s="120"/>
      <c r="AHS86" s="120"/>
      <c r="AHT86" s="120"/>
      <c r="AHU86" s="120"/>
      <c r="AHV86" s="120"/>
      <c r="AHW86" s="120"/>
      <c r="AHX86" s="120"/>
      <c r="AHY86" s="120"/>
      <c r="AHZ86" s="120"/>
      <c r="AIA86" s="120"/>
      <c r="AIB86" s="120"/>
      <c r="AIC86" s="120"/>
      <c r="AID86" s="120"/>
      <c r="AIE86" s="120"/>
      <c r="AIF86" s="120"/>
      <c r="AIG86" s="120"/>
      <c r="AIH86" s="120"/>
      <c r="AII86" s="120"/>
      <c r="AIJ86" s="120"/>
      <c r="AIK86" s="120"/>
      <c r="AIL86" s="120"/>
      <c r="AIM86" s="120"/>
      <c r="AIN86" s="120"/>
      <c r="AIO86" s="120"/>
      <c r="AIP86" s="120"/>
      <c r="AIQ86" s="120"/>
      <c r="AIR86" s="120"/>
      <c r="AIS86" s="120"/>
      <c r="AIT86" s="120"/>
      <c r="AIU86" s="120"/>
      <c r="AIV86" s="120"/>
      <c r="AIW86" s="120"/>
      <c r="AIX86" s="120"/>
      <c r="AIY86" s="120"/>
      <c r="AIZ86" s="120"/>
    </row>
    <row r="87">
      <c r="A87" s="112" t="s">
        <v>7</v>
      </c>
      <c r="B87" s="112" t="s">
        <v>44</v>
      </c>
      <c r="C87" s="112"/>
      <c r="D87" s="113">
        <f t="shared" si="1"/>
        <v>654.79205</v>
      </c>
      <c r="E87" s="112">
        <v>64.82055</v>
      </c>
      <c r="F87" s="113"/>
      <c r="G87" s="113"/>
      <c r="H87" s="113"/>
      <c r="I87" s="113"/>
      <c r="J87" s="113"/>
      <c r="K87" s="113"/>
      <c r="L87" s="112">
        <v>1.44268333333333</v>
      </c>
      <c r="M87" s="112">
        <v>13.7743166666667</v>
      </c>
      <c r="N87" s="113"/>
      <c r="O87" s="113"/>
      <c r="P87" s="112">
        <v>189.423566666667</v>
      </c>
      <c r="Q87" s="113"/>
      <c r="R87" s="113"/>
      <c r="S87" s="113"/>
      <c r="T87" s="113"/>
      <c r="U87" s="113"/>
      <c r="V87" s="112">
        <v>2.27381666666667</v>
      </c>
      <c r="W87" s="112">
        <v>58.5913666666667</v>
      </c>
      <c r="X87" s="113"/>
      <c r="Y87" s="113"/>
      <c r="Z87" s="113"/>
      <c r="AA87" s="113"/>
      <c r="AB87" s="113"/>
      <c r="AC87" s="112">
        <v>1.76585</v>
      </c>
      <c r="AD87" s="112">
        <v>131.368233333333</v>
      </c>
      <c r="AE87" s="113"/>
      <c r="AF87" s="113"/>
      <c r="AG87" s="113"/>
      <c r="AH87" s="113"/>
      <c r="AI87" s="113"/>
      <c r="AJ87" s="112">
        <v>4.37198333333333</v>
      </c>
      <c r="AK87" s="112">
        <v>56.6596666666667</v>
      </c>
      <c r="AL87" s="113"/>
      <c r="AM87" s="113"/>
      <c r="AN87" s="113"/>
      <c r="AO87" s="112">
        <v>8.85221666666667</v>
      </c>
      <c r="AP87" s="112">
        <v>12.2223166666667</v>
      </c>
      <c r="AQ87" s="113"/>
      <c r="AR87" s="113"/>
      <c r="AS87" s="112">
        <v>1.80076666666667</v>
      </c>
      <c r="AT87" s="112">
        <v>99.1301499999999</v>
      </c>
      <c r="AU87" s="113"/>
      <c r="AV87" s="112">
        <v>6.99083333333334</v>
      </c>
      <c r="AW87" s="112">
        <v>1.30373333333333</v>
      </c>
      <c r="AX87" s="113"/>
      <c r="AY87" s="113"/>
      <c r="AZ87" s="113"/>
      <c r="BA87" s="113"/>
      <c r="BB87" s="113"/>
      <c r="BC87" s="113"/>
      <c r="BD87" s="113"/>
      <c r="BE87" s="113"/>
      <c r="BF87" s="113"/>
      <c r="BG87" s="113"/>
      <c r="BH87" s="113"/>
      <c r="BI87" s="113"/>
      <c r="BJ87" s="113"/>
      <c r="BK87" s="113"/>
      <c r="BL87" s="113"/>
      <c r="BM87" s="113"/>
      <c r="BN87" s="113"/>
      <c r="BO87" s="113"/>
      <c r="BP87" s="113"/>
      <c r="BQ87" s="113"/>
      <c r="BR87" s="113"/>
      <c r="BS87" s="113"/>
      <c r="BT87" s="113"/>
      <c r="BU87" s="113"/>
      <c r="BV87" s="113"/>
      <c r="BW87" s="113"/>
      <c r="BX87" s="113"/>
      <c r="BY87" s="113"/>
      <c r="BZ87" s="113"/>
      <c r="CA87" s="113"/>
      <c r="CB87" s="113"/>
      <c r="CC87" s="113"/>
      <c r="CD87" s="113"/>
      <c r="CE87" s="113"/>
      <c r="CF87" s="113"/>
      <c r="CG87" s="113"/>
      <c r="CH87" s="113"/>
      <c r="CI87" s="113"/>
      <c r="CJ87" s="113"/>
      <c r="CK87" s="113"/>
      <c r="CL87" s="113"/>
      <c r="CM87" s="113"/>
      <c r="CN87" s="113"/>
      <c r="CO87" s="113"/>
      <c r="CP87" s="113"/>
      <c r="CQ87" s="113"/>
      <c r="CR87" s="113"/>
      <c r="CS87" s="113"/>
      <c r="CT87" s="113"/>
      <c r="CU87" s="113"/>
      <c r="CV87" s="113"/>
      <c r="CW87" s="113"/>
      <c r="CX87" s="113"/>
      <c r="CY87" s="113"/>
      <c r="CZ87" s="113"/>
      <c r="DA87" s="113"/>
      <c r="DB87" s="113"/>
      <c r="DC87" s="113"/>
      <c r="DD87" s="113"/>
      <c r="DE87" s="113"/>
      <c r="DF87" s="113"/>
      <c r="DG87" s="113"/>
      <c r="DH87" s="113"/>
      <c r="DI87" s="113"/>
      <c r="DJ87" s="113"/>
      <c r="DK87" s="113"/>
      <c r="DL87" s="113"/>
      <c r="DM87" s="113"/>
      <c r="DN87" s="113"/>
      <c r="DO87" s="113"/>
      <c r="DP87" s="113"/>
      <c r="DQ87" s="113"/>
      <c r="DR87" s="113"/>
      <c r="DS87" s="113"/>
      <c r="DT87" s="113"/>
      <c r="DU87" s="113"/>
      <c r="DV87" s="113"/>
      <c r="DW87" s="113"/>
      <c r="DX87" s="113"/>
      <c r="DY87" s="113"/>
      <c r="DZ87" s="113"/>
      <c r="EA87" s="113"/>
      <c r="EB87" s="113"/>
      <c r="EC87" s="113"/>
      <c r="ED87" s="113"/>
      <c r="EE87" s="113"/>
      <c r="EF87" s="113"/>
      <c r="EG87" s="113"/>
      <c r="EH87" s="113"/>
      <c r="EI87" s="113"/>
      <c r="EJ87" s="113"/>
      <c r="EK87" s="113"/>
      <c r="EL87" s="113"/>
      <c r="EM87" s="113"/>
      <c r="EN87" s="113"/>
      <c r="EO87" s="113"/>
      <c r="EP87" s="113"/>
      <c r="EQ87" s="113"/>
      <c r="ER87" s="113"/>
      <c r="ES87" s="113"/>
      <c r="ET87" s="113"/>
      <c r="EU87" s="113"/>
      <c r="EV87" s="113"/>
      <c r="EW87" s="113"/>
      <c r="EX87" s="113"/>
      <c r="EY87" s="113"/>
      <c r="EZ87" s="113"/>
      <c r="FA87" s="113"/>
      <c r="FB87" s="113"/>
      <c r="FC87" s="113"/>
      <c r="FD87" s="113"/>
      <c r="FE87" s="113"/>
      <c r="FF87" s="113"/>
      <c r="FG87" s="113"/>
      <c r="FH87" s="113"/>
      <c r="FI87" s="113"/>
      <c r="FJ87" s="113"/>
      <c r="FK87" s="113"/>
      <c r="FL87" s="113"/>
      <c r="FM87" s="113"/>
      <c r="FN87" s="113"/>
      <c r="FO87" s="113"/>
      <c r="FP87" s="113"/>
      <c r="FQ87" s="113"/>
      <c r="FR87" s="113"/>
      <c r="FS87" s="113"/>
      <c r="FT87" s="113"/>
      <c r="FU87" s="113"/>
      <c r="FV87" s="113"/>
      <c r="FW87" s="113"/>
      <c r="FX87" s="113"/>
      <c r="FY87" s="113"/>
      <c r="FZ87" s="113"/>
      <c r="GA87" s="113"/>
      <c r="GB87" s="113"/>
      <c r="GC87" s="113"/>
      <c r="GD87" s="113"/>
      <c r="GE87" s="113"/>
      <c r="GF87" s="113"/>
      <c r="GG87" s="113"/>
      <c r="GH87" s="113"/>
      <c r="GI87" s="113"/>
      <c r="GJ87" s="113"/>
      <c r="GK87" s="113"/>
      <c r="GL87" s="113"/>
      <c r="GM87" s="113"/>
      <c r="GN87" s="113"/>
      <c r="GO87" s="113"/>
      <c r="GP87" s="113"/>
      <c r="GQ87" s="113"/>
      <c r="GR87" s="113"/>
      <c r="GS87" s="113"/>
      <c r="GT87" s="113"/>
      <c r="GU87" s="113"/>
      <c r="GV87" s="113"/>
      <c r="GW87" s="113"/>
      <c r="GX87" s="113"/>
      <c r="GY87" s="113"/>
      <c r="GZ87" s="113"/>
      <c r="HA87" s="113"/>
      <c r="HB87" s="113"/>
      <c r="HC87" s="113"/>
      <c r="HD87" s="113"/>
      <c r="HE87" s="113"/>
      <c r="HF87" s="113"/>
      <c r="HG87" s="113"/>
      <c r="HH87" s="113"/>
      <c r="HI87" s="113"/>
      <c r="HJ87" s="113"/>
      <c r="HK87" s="113"/>
      <c r="HL87" s="113"/>
      <c r="HM87" s="113"/>
      <c r="HN87" s="113"/>
      <c r="HO87" s="113"/>
      <c r="HP87" s="113"/>
      <c r="HQ87" s="113"/>
      <c r="HR87" s="113"/>
      <c r="HS87" s="113"/>
      <c r="HT87" s="113"/>
      <c r="HU87" s="113"/>
      <c r="HV87" s="113"/>
      <c r="HW87" s="113"/>
      <c r="HX87" s="113"/>
      <c r="HY87" s="113"/>
      <c r="HZ87" s="113"/>
      <c r="IA87" s="113"/>
      <c r="IB87" s="113"/>
      <c r="IC87" s="113"/>
      <c r="ID87" s="113"/>
      <c r="IE87" s="113"/>
      <c r="IF87" s="113"/>
      <c r="IG87" s="113"/>
      <c r="IH87" s="113"/>
      <c r="II87" s="113"/>
      <c r="IJ87" s="113"/>
      <c r="IK87" s="113"/>
      <c r="IL87" s="113"/>
      <c r="IM87" s="113"/>
      <c r="IN87" s="113"/>
      <c r="IO87" s="113"/>
      <c r="IP87" s="113"/>
      <c r="IQ87" s="113"/>
      <c r="IR87" s="113"/>
      <c r="IS87" s="113"/>
      <c r="IT87" s="113"/>
      <c r="IU87" s="113"/>
      <c r="IV87" s="113"/>
      <c r="IW87" s="113"/>
      <c r="IX87" s="113"/>
      <c r="IY87" s="113"/>
      <c r="IZ87" s="113"/>
      <c r="JA87" s="113"/>
      <c r="JB87" s="113"/>
      <c r="JC87" s="113"/>
      <c r="JD87" s="113"/>
      <c r="JE87" s="113"/>
      <c r="JF87" s="113"/>
      <c r="JG87" s="113"/>
      <c r="JH87" s="113"/>
      <c r="JI87" s="113"/>
      <c r="JJ87" s="113"/>
      <c r="JK87" s="113"/>
      <c r="JL87" s="113"/>
      <c r="JM87" s="113"/>
      <c r="JN87" s="113"/>
      <c r="JO87" s="113"/>
      <c r="JP87" s="113"/>
      <c r="JQ87" s="113"/>
      <c r="JR87" s="113"/>
      <c r="JS87" s="113"/>
      <c r="JT87" s="113"/>
      <c r="JU87" s="113"/>
      <c r="JV87" s="113"/>
      <c r="JW87" s="113"/>
      <c r="JX87" s="113"/>
      <c r="JY87" s="113"/>
      <c r="JZ87" s="113"/>
      <c r="KA87" s="113"/>
      <c r="KB87" s="113"/>
      <c r="KC87" s="113"/>
      <c r="KD87" s="113"/>
      <c r="KE87" s="113"/>
      <c r="KF87" s="113"/>
      <c r="KG87" s="113"/>
      <c r="KH87" s="113"/>
      <c r="KI87" s="113"/>
      <c r="KJ87" s="113"/>
      <c r="KK87" s="113"/>
      <c r="KL87" s="113"/>
      <c r="KM87" s="113"/>
      <c r="KN87" s="113"/>
      <c r="KO87" s="113"/>
      <c r="KP87" s="113"/>
      <c r="KQ87" s="113"/>
      <c r="KR87" s="113"/>
      <c r="KS87" s="113"/>
      <c r="KT87" s="113"/>
      <c r="KU87" s="113"/>
      <c r="KV87" s="113"/>
      <c r="KW87" s="113"/>
      <c r="KX87" s="113"/>
      <c r="KY87" s="113"/>
      <c r="KZ87" s="113"/>
      <c r="LA87" s="113"/>
      <c r="LB87" s="113"/>
      <c r="LC87" s="113"/>
      <c r="LD87" s="113"/>
      <c r="LE87" s="113"/>
      <c r="LF87" s="113"/>
      <c r="LG87" s="113"/>
      <c r="LH87" s="113"/>
      <c r="LI87" s="113"/>
      <c r="LJ87" s="113"/>
      <c r="LK87" s="113"/>
      <c r="LL87" s="113"/>
      <c r="LM87" s="113"/>
      <c r="LN87" s="113"/>
      <c r="LO87" s="113"/>
      <c r="LP87" s="113"/>
      <c r="LQ87" s="113"/>
      <c r="LR87" s="113"/>
      <c r="LS87" s="113"/>
      <c r="LT87" s="113"/>
      <c r="LU87" s="113"/>
      <c r="LV87" s="113"/>
      <c r="LW87" s="113"/>
      <c r="LX87" s="113"/>
      <c r="LY87" s="113"/>
      <c r="LZ87" s="113"/>
      <c r="MA87" s="113"/>
      <c r="MB87" s="113"/>
      <c r="MC87" s="113"/>
      <c r="MD87" s="113"/>
      <c r="ME87" s="113"/>
      <c r="MF87" s="113"/>
      <c r="MG87" s="113"/>
      <c r="MH87" s="113"/>
      <c r="MI87" s="113"/>
      <c r="MJ87" s="113"/>
      <c r="MK87" s="113"/>
      <c r="ML87" s="113"/>
      <c r="MM87" s="113"/>
      <c r="MN87" s="113"/>
      <c r="MO87" s="113"/>
      <c r="MP87" s="113"/>
      <c r="MQ87" s="113"/>
      <c r="MR87" s="113"/>
      <c r="MS87" s="113"/>
      <c r="MT87" s="113"/>
      <c r="MU87" s="113"/>
      <c r="MV87" s="113"/>
      <c r="MW87" s="113"/>
      <c r="MX87" s="113"/>
      <c r="MY87" s="113"/>
      <c r="MZ87" s="113"/>
      <c r="NA87" s="113"/>
      <c r="NB87" s="113"/>
      <c r="NC87" s="113"/>
      <c r="ND87" s="113"/>
      <c r="NE87" s="113"/>
      <c r="NF87" s="113"/>
      <c r="NG87" s="113"/>
      <c r="NH87" s="113"/>
      <c r="NI87" s="113"/>
      <c r="NJ87" s="113"/>
      <c r="NK87" s="113"/>
      <c r="NL87" s="113"/>
      <c r="NM87" s="113"/>
      <c r="NN87" s="113"/>
      <c r="NO87" s="113"/>
      <c r="NP87" s="113"/>
      <c r="NQ87" s="113"/>
      <c r="NR87" s="113"/>
      <c r="NS87" s="113"/>
      <c r="NT87" s="113"/>
      <c r="NU87" s="113"/>
      <c r="NV87" s="113"/>
      <c r="NW87" s="113"/>
      <c r="NX87" s="113"/>
      <c r="NY87" s="113"/>
      <c r="NZ87" s="113"/>
      <c r="OA87" s="113"/>
      <c r="OB87" s="113"/>
      <c r="OC87" s="113"/>
      <c r="OD87" s="113"/>
      <c r="OE87" s="113"/>
      <c r="OF87" s="113"/>
      <c r="OG87" s="113"/>
      <c r="OH87" s="113"/>
      <c r="OI87" s="113"/>
      <c r="OJ87" s="113"/>
      <c r="OK87" s="113"/>
      <c r="OL87" s="113"/>
      <c r="OM87" s="113"/>
      <c r="ON87" s="113"/>
      <c r="OO87" s="113"/>
      <c r="OP87" s="113"/>
      <c r="OQ87" s="113"/>
      <c r="OR87" s="113"/>
      <c r="OS87" s="113"/>
      <c r="OT87" s="113"/>
      <c r="OU87" s="113"/>
      <c r="OV87" s="113"/>
      <c r="OW87" s="113"/>
      <c r="OX87" s="113"/>
      <c r="OY87" s="113"/>
      <c r="OZ87" s="113"/>
      <c r="PA87" s="113"/>
      <c r="PB87" s="113"/>
      <c r="PC87" s="113"/>
      <c r="PD87" s="113"/>
      <c r="PE87" s="113"/>
      <c r="PF87" s="113"/>
      <c r="PG87" s="113"/>
      <c r="PH87" s="113"/>
      <c r="PI87" s="113"/>
      <c r="PJ87" s="113"/>
      <c r="PK87" s="113"/>
      <c r="PL87" s="113"/>
      <c r="PM87" s="113"/>
      <c r="PN87" s="113"/>
      <c r="PO87" s="113"/>
      <c r="PP87" s="113"/>
      <c r="PQ87" s="113"/>
      <c r="PR87" s="113"/>
      <c r="PS87" s="113"/>
      <c r="PT87" s="113"/>
      <c r="PU87" s="113"/>
      <c r="PV87" s="113"/>
      <c r="PW87" s="113"/>
      <c r="PX87" s="113"/>
      <c r="PY87" s="113"/>
      <c r="PZ87" s="113"/>
      <c r="QA87" s="113"/>
      <c r="QB87" s="113"/>
      <c r="QC87" s="113"/>
      <c r="QD87" s="113"/>
      <c r="QE87" s="113"/>
      <c r="QF87" s="113"/>
      <c r="QG87" s="113"/>
      <c r="QH87" s="113"/>
      <c r="QI87" s="113"/>
      <c r="QJ87" s="113"/>
      <c r="QK87" s="113"/>
      <c r="QL87" s="113"/>
      <c r="QM87" s="113"/>
      <c r="QN87" s="113"/>
      <c r="QO87" s="113"/>
      <c r="QP87" s="113"/>
      <c r="QQ87" s="113"/>
      <c r="QR87" s="113"/>
      <c r="QS87" s="113"/>
      <c r="QT87" s="113"/>
      <c r="QU87" s="113"/>
      <c r="QV87" s="113"/>
      <c r="QW87" s="113"/>
      <c r="QX87" s="113"/>
      <c r="QY87" s="113"/>
      <c r="QZ87" s="113"/>
      <c r="RA87" s="113"/>
      <c r="RB87" s="113"/>
      <c r="RC87" s="113"/>
      <c r="RD87" s="113"/>
      <c r="RE87" s="113"/>
      <c r="RF87" s="113"/>
      <c r="RG87" s="113"/>
      <c r="RH87" s="113"/>
      <c r="RI87" s="113"/>
      <c r="RJ87" s="113"/>
      <c r="RK87" s="113"/>
      <c r="RL87" s="113"/>
      <c r="RM87" s="113"/>
      <c r="RN87" s="113"/>
      <c r="RO87" s="113"/>
      <c r="RP87" s="113"/>
      <c r="RQ87" s="113"/>
      <c r="RR87" s="113"/>
      <c r="RS87" s="113"/>
      <c r="RT87" s="113"/>
      <c r="RU87" s="113"/>
      <c r="RV87" s="113"/>
      <c r="RW87" s="113"/>
      <c r="RX87" s="113"/>
      <c r="RY87" s="113"/>
      <c r="RZ87" s="113"/>
      <c r="SA87" s="113"/>
      <c r="SB87" s="113"/>
      <c r="SC87" s="113"/>
      <c r="SD87" s="113"/>
      <c r="SE87" s="113"/>
      <c r="SF87" s="113"/>
      <c r="SG87" s="113"/>
      <c r="SH87" s="113"/>
      <c r="SI87" s="113"/>
      <c r="SJ87" s="113"/>
      <c r="SK87" s="113"/>
      <c r="SL87" s="113"/>
      <c r="SM87" s="113"/>
      <c r="SN87" s="113"/>
      <c r="SO87" s="113"/>
      <c r="SP87" s="113"/>
      <c r="SQ87" s="113"/>
      <c r="SR87" s="113"/>
      <c r="SS87" s="113"/>
      <c r="ST87" s="113"/>
      <c r="SU87" s="113"/>
      <c r="SV87" s="113"/>
      <c r="SW87" s="113"/>
      <c r="SX87" s="113"/>
      <c r="SY87" s="113"/>
      <c r="SZ87" s="113"/>
      <c r="TA87" s="113"/>
      <c r="TB87" s="113"/>
      <c r="TC87" s="113"/>
      <c r="TD87" s="113"/>
      <c r="TE87" s="113"/>
      <c r="TF87" s="113"/>
      <c r="TG87" s="113"/>
      <c r="TH87" s="113"/>
      <c r="TI87" s="113"/>
      <c r="TJ87" s="113"/>
      <c r="TK87" s="113"/>
      <c r="TL87" s="113"/>
      <c r="TM87" s="113"/>
      <c r="TN87" s="113"/>
      <c r="TO87" s="113"/>
      <c r="TP87" s="113"/>
      <c r="TQ87" s="113"/>
      <c r="TR87" s="113"/>
      <c r="TS87" s="113"/>
      <c r="TT87" s="113"/>
      <c r="TU87" s="113"/>
      <c r="TV87" s="113"/>
      <c r="TW87" s="113"/>
      <c r="TX87" s="113"/>
      <c r="TY87" s="113"/>
      <c r="TZ87" s="113"/>
      <c r="UA87" s="113"/>
      <c r="UB87" s="113"/>
      <c r="UC87" s="113"/>
      <c r="UD87" s="113"/>
      <c r="UE87" s="113"/>
      <c r="UF87" s="113"/>
      <c r="UG87" s="113"/>
      <c r="UH87" s="113"/>
      <c r="UI87" s="113"/>
      <c r="UJ87" s="113"/>
      <c r="UK87" s="113"/>
      <c r="UL87" s="113"/>
      <c r="UM87" s="113"/>
      <c r="UN87" s="113"/>
      <c r="UO87" s="113"/>
      <c r="UP87" s="113"/>
      <c r="UQ87" s="113"/>
      <c r="UR87" s="113"/>
      <c r="US87" s="113"/>
      <c r="UT87" s="113"/>
      <c r="UU87" s="113"/>
      <c r="UV87" s="113"/>
      <c r="UW87" s="113"/>
      <c r="UX87" s="113"/>
      <c r="UY87" s="113"/>
      <c r="UZ87" s="113"/>
      <c r="VA87" s="113"/>
      <c r="VB87" s="113"/>
      <c r="VC87" s="113"/>
      <c r="VD87" s="113"/>
      <c r="VE87" s="113"/>
      <c r="VF87" s="113"/>
      <c r="VG87" s="113"/>
      <c r="VH87" s="113"/>
      <c r="VI87" s="113"/>
      <c r="VJ87" s="113"/>
      <c r="VK87" s="113"/>
      <c r="VL87" s="113"/>
      <c r="VM87" s="113"/>
      <c r="VN87" s="113"/>
      <c r="VO87" s="113"/>
      <c r="VP87" s="113"/>
      <c r="VQ87" s="113"/>
      <c r="VR87" s="113"/>
      <c r="VS87" s="113"/>
      <c r="VT87" s="113"/>
      <c r="VU87" s="113"/>
      <c r="VV87" s="113"/>
      <c r="VW87" s="113"/>
      <c r="VX87" s="113"/>
      <c r="VY87" s="113"/>
      <c r="VZ87" s="113"/>
      <c r="WA87" s="113"/>
      <c r="WB87" s="113"/>
      <c r="WC87" s="113"/>
      <c r="WD87" s="113"/>
      <c r="WE87" s="113"/>
      <c r="WF87" s="113"/>
      <c r="WG87" s="113"/>
      <c r="WH87" s="113"/>
      <c r="WI87" s="113"/>
      <c r="WJ87" s="113"/>
      <c r="WK87" s="113"/>
      <c r="WL87" s="113"/>
      <c r="WM87" s="113"/>
      <c r="WN87" s="113"/>
      <c r="WO87" s="113"/>
      <c r="WP87" s="113"/>
      <c r="WQ87" s="113"/>
      <c r="WR87" s="113"/>
      <c r="WS87" s="113"/>
      <c r="WT87" s="113"/>
      <c r="WU87" s="113"/>
      <c r="WV87" s="113"/>
      <c r="WW87" s="113"/>
      <c r="WX87" s="113"/>
      <c r="WY87" s="113"/>
      <c r="WZ87" s="113"/>
      <c r="XA87" s="113"/>
      <c r="XB87" s="113"/>
      <c r="XC87" s="113"/>
      <c r="XD87" s="113"/>
      <c r="XE87" s="113"/>
      <c r="XF87" s="113"/>
      <c r="XG87" s="113"/>
      <c r="XH87" s="113"/>
      <c r="XI87" s="113"/>
      <c r="XJ87" s="113"/>
      <c r="XK87" s="113"/>
      <c r="XL87" s="113"/>
      <c r="XM87" s="113"/>
      <c r="XN87" s="113"/>
      <c r="XO87" s="113"/>
      <c r="XP87" s="113"/>
      <c r="XQ87" s="113"/>
      <c r="XR87" s="113"/>
      <c r="XS87" s="113"/>
      <c r="XT87" s="113"/>
      <c r="XU87" s="113"/>
      <c r="XV87" s="113"/>
      <c r="XW87" s="113"/>
      <c r="XX87" s="113"/>
      <c r="XY87" s="113"/>
      <c r="XZ87" s="113"/>
      <c r="YA87" s="113"/>
      <c r="YB87" s="113"/>
      <c r="YC87" s="113"/>
      <c r="YD87" s="113"/>
      <c r="YE87" s="113"/>
      <c r="YF87" s="113"/>
      <c r="YG87" s="113"/>
      <c r="YH87" s="113"/>
      <c r="YI87" s="113"/>
      <c r="YJ87" s="113"/>
      <c r="YK87" s="113"/>
      <c r="YL87" s="113"/>
      <c r="YM87" s="113"/>
      <c r="YN87" s="113"/>
      <c r="YO87" s="113"/>
      <c r="YP87" s="113"/>
      <c r="YQ87" s="113"/>
      <c r="YR87" s="113"/>
      <c r="YS87" s="113"/>
      <c r="YT87" s="113"/>
      <c r="YU87" s="113"/>
      <c r="YV87" s="113"/>
      <c r="YW87" s="113"/>
      <c r="YX87" s="113"/>
      <c r="YY87" s="113"/>
      <c r="YZ87" s="113"/>
      <c r="ZA87" s="113"/>
      <c r="ZB87" s="113"/>
      <c r="ZC87" s="113"/>
      <c r="ZD87" s="113"/>
      <c r="ZE87" s="113"/>
      <c r="ZF87" s="113"/>
      <c r="ZG87" s="113"/>
      <c r="ZH87" s="113"/>
      <c r="ZI87" s="113"/>
      <c r="ZJ87" s="113"/>
      <c r="ZK87" s="113"/>
      <c r="ZL87" s="113"/>
      <c r="ZM87" s="113"/>
      <c r="ZN87" s="113"/>
      <c r="ZO87" s="113"/>
      <c r="ZP87" s="113"/>
      <c r="ZQ87" s="113"/>
      <c r="ZR87" s="113"/>
      <c r="ZS87" s="113"/>
      <c r="ZT87" s="113"/>
      <c r="ZU87" s="113"/>
      <c r="ZV87" s="113"/>
      <c r="ZW87" s="113"/>
      <c r="ZX87" s="113"/>
      <c r="ZY87" s="113"/>
      <c r="ZZ87" s="113"/>
      <c r="AAA87" s="113"/>
      <c r="AAB87" s="113"/>
      <c r="AAC87" s="113"/>
      <c r="AAD87" s="113"/>
      <c r="AAE87" s="113"/>
      <c r="AAF87" s="113"/>
      <c r="AAG87" s="113"/>
      <c r="AAH87" s="113"/>
      <c r="AAI87" s="113"/>
      <c r="AAJ87" s="113"/>
      <c r="AAK87" s="113"/>
      <c r="AAL87" s="113"/>
      <c r="AAM87" s="113"/>
      <c r="AAN87" s="113"/>
      <c r="AAO87" s="113"/>
      <c r="AAP87" s="113"/>
      <c r="AAQ87" s="113"/>
      <c r="AAR87" s="113"/>
      <c r="AAS87" s="113"/>
      <c r="AAT87" s="113"/>
      <c r="AAU87" s="113"/>
      <c r="AAV87" s="113"/>
      <c r="AAW87" s="113"/>
      <c r="AAX87" s="113"/>
      <c r="AAY87" s="113"/>
      <c r="AAZ87" s="113"/>
      <c r="ABA87" s="113"/>
      <c r="ABB87" s="113"/>
      <c r="ABC87" s="113"/>
      <c r="ABD87" s="113"/>
      <c r="ABE87" s="113"/>
      <c r="ABF87" s="113"/>
      <c r="ABG87" s="113"/>
      <c r="ABH87" s="113"/>
      <c r="ABI87" s="113"/>
      <c r="ABJ87" s="113"/>
      <c r="ABK87" s="113"/>
      <c r="ABL87" s="113"/>
      <c r="ABM87" s="113"/>
      <c r="ABN87" s="113"/>
      <c r="ABO87" s="113"/>
      <c r="ABP87" s="113"/>
      <c r="ABQ87" s="113"/>
      <c r="ABR87" s="113"/>
      <c r="ABS87" s="113"/>
      <c r="ABT87" s="113"/>
      <c r="ABU87" s="113"/>
      <c r="ABV87" s="113"/>
      <c r="ABW87" s="113"/>
      <c r="ABX87" s="113"/>
      <c r="ABY87" s="113"/>
      <c r="ABZ87" s="113"/>
      <c r="ACA87" s="113"/>
      <c r="ACB87" s="113"/>
      <c r="ACC87" s="113"/>
      <c r="ACD87" s="113"/>
      <c r="ACE87" s="113"/>
      <c r="ACF87" s="113"/>
      <c r="ACG87" s="113"/>
      <c r="ACH87" s="113"/>
      <c r="ACI87" s="113"/>
      <c r="ACJ87" s="113"/>
      <c r="ACK87" s="113"/>
      <c r="ACL87" s="113"/>
      <c r="ACM87" s="113"/>
      <c r="ACN87" s="113"/>
      <c r="ACO87" s="113"/>
      <c r="ACP87" s="113"/>
      <c r="ACQ87" s="113"/>
      <c r="ACR87" s="113"/>
      <c r="ACS87" s="113"/>
      <c r="ACT87" s="113"/>
      <c r="ACU87" s="113"/>
      <c r="ACV87" s="113"/>
      <c r="ACW87" s="113"/>
      <c r="ACX87" s="113"/>
      <c r="ACY87" s="113"/>
      <c r="ACZ87" s="113"/>
      <c r="ADA87" s="113"/>
      <c r="ADB87" s="113"/>
      <c r="ADC87" s="113"/>
      <c r="ADD87" s="113"/>
      <c r="ADE87" s="113"/>
      <c r="ADF87" s="113"/>
      <c r="ADG87" s="113"/>
      <c r="ADH87" s="113"/>
      <c r="ADI87" s="113"/>
      <c r="ADJ87" s="113"/>
      <c r="ADK87" s="113"/>
      <c r="ADL87" s="113"/>
      <c r="ADM87" s="113"/>
      <c r="ADN87" s="113"/>
      <c r="ADO87" s="113"/>
      <c r="ADP87" s="113"/>
      <c r="ADQ87" s="113"/>
      <c r="ADR87" s="113"/>
      <c r="ADS87" s="113"/>
      <c r="ADT87" s="113"/>
      <c r="ADU87" s="113"/>
      <c r="ADV87" s="113"/>
      <c r="ADW87" s="113"/>
      <c r="ADX87" s="113"/>
      <c r="ADY87" s="113"/>
      <c r="ADZ87" s="113"/>
      <c r="AEA87" s="113"/>
      <c r="AEB87" s="113"/>
      <c r="AEC87" s="113"/>
      <c r="AED87" s="113"/>
      <c r="AEE87" s="113"/>
      <c r="AEF87" s="113"/>
      <c r="AEG87" s="113"/>
      <c r="AEH87" s="113"/>
      <c r="AEI87" s="113"/>
      <c r="AEJ87" s="113"/>
      <c r="AEK87" s="113"/>
      <c r="AEL87" s="113"/>
      <c r="AEM87" s="113"/>
      <c r="AEN87" s="113"/>
      <c r="AEO87" s="113"/>
      <c r="AEP87" s="113"/>
      <c r="AEQ87" s="113"/>
      <c r="AER87" s="113"/>
      <c r="AES87" s="113"/>
      <c r="AET87" s="113"/>
      <c r="AEU87" s="113"/>
      <c r="AEV87" s="113"/>
      <c r="AEW87" s="113"/>
      <c r="AEX87" s="113"/>
      <c r="AEY87" s="113"/>
      <c r="AEZ87" s="113"/>
      <c r="AFA87" s="113"/>
      <c r="AFB87" s="113"/>
      <c r="AFC87" s="113"/>
      <c r="AFD87" s="113"/>
      <c r="AFE87" s="113"/>
      <c r="AFF87" s="113"/>
      <c r="AFG87" s="113"/>
      <c r="AFH87" s="113"/>
      <c r="AFI87" s="113"/>
      <c r="AFJ87" s="113"/>
      <c r="AFK87" s="113"/>
      <c r="AFL87" s="113"/>
      <c r="AFM87" s="113"/>
      <c r="AFN87" s="113"/>
      <c r="AFO87" s="113"/>
      <c r="AFP87" s="113"/>
      <c r="AFQ87" s="113"/>
      <c r="AFR87" s="113"/>
      <c r="AFS87" s="113"/>
      <c r="AFT87" s="113"/>
      <c r="AFU87" s="113"/>
      <c r="AFV87" s="113"/>
      <c r="AFW87" s="113"/>
      <c r="AFX87" s="113"/>
      <c r="AFY87" s="113"/>
      <c r="AFZ87" s="113"/>
      <c r="AGA87" s="113"/>
      <c r="AGB87" s="113"/>
      <c r="AGC87" s="113"/>
      <c r="AGD87" s="113"/>
      <c r="AGE87" s="113"/>
      <c r="AGF87" s="113"/>
      <c r="AGG87" s="113"/>
      <c r="AGH87" s="113"/>
      <c r="AGI87" s="113"/>
      <c r="AGJ87" s="113"/>
      <c r="AGK87" s="113"/>
      <c r="AGL87" s="113"/>
      <c r="AGM87" s="113"/>
      <c r="AGN87" s="113"/>
      <c r="AGO87" s="113"/>
      <c r="AGP87" s="113"/>
      <c r="AGQ87" s="113"/>
      <c r="AGR87" s="113"/>
      <c r="AGS87" s="113"/>
      <c r="AGT87" s="113"/>
      <c r="AGU87" s="113"/>
      <c r="AGV87" s="113"/>
      <c r="AGW87" s="113"/>
      <c r="AGX87" s="113"/>
      <c r="AGY87" s="113"/>
      <c r="AGZ87" s="113"/>
      <c r="AHA87" s="113"/>
      <c r="AHB87" s="113"/>
      <c r="AHC87" s="113"/>
      <c r="AHD87" s="113"/>
      <c r="AHE87" s="113"/>
      <c r="AHF87" s="113"/>
      <c r="AHG87" s="113"/>
      <c r="AHH87" s="113"/>
      <c r="AHI87" s="113"/>
      <c r="AHJ87" s="113"/>
      <c r="AHK87" s="113"/>
      <c r="AHL87" s="113"/>
      <c r="AHM87" s="113"/>
      <c r="AHN87" s="113"/>
      <c r="AHO87" s="113"/>
      <c r="AHP87" s="113"/>
      <c r="AHQ87" s="113"/>
      <c r="AHR87" s="113"/>
      <c r="AHS87" s="113"/>
      <c r="AHT87" s="113"/>
      <c r="AHU87" s="113"/>
      <c r="AHV87" s="113"/>
      <c r="AHW87" s="113"/>
      <c r="AHX87" s="113"/>
      <c r="AHY87" s="113"/>
      <c r="AHZ87" s="113"/>
      <c r="AIA87" s="113"/>
      <c r="AIB87" s="113"/>
      <c r="AIC87" s="113"/>
      <c r="AID87" s="113"/>
      <c r="AIE87" s="113"/>
      <c r="AIF87" s="113"/>
      <c r="AIG87" s="113"/>
      <c r="AIH87" s="113"/>
      <c r="AII87" s="113"/>
      <c r="AIJ87" s="113"/>
      <c r="AIK87" s="113"/>
      <c r="AIL87" s="113"/>
      <c r="AIM87" s="113"/>
      <c r="AIN87" s="113"/>
      <c r="AIO87" s="113"/>
      <c r="AIP87" s="113"/>
      <c r="AIQ87" s="113"/>
      <c r="AIR87" s="113"/>
      <c r="AIS87" s="113"/>
      <c r="AIT87" s="113"/>
      <c r="AIU87" s="113"/>
      <c r="AIV87" s="113"/>
      <c r="AIW87" s="113"/>
      <c r="AIX87" s="113"/>
      <c r="AIY87" s="113"/>
      <c r="AIZ87" s="113"/>
    </row>
    <row r="88">
      <c r="A88" s="65" t="s">
        <v>7</v>
      </c>
      <c r="B88" s="65" t="s">
        <v>44</v>
      </c>
      <c r="C88" s="65"/>
      <c r="D88" s="64">
        <f t="shared" si="1"/>
        <v>590.1614833</v>
      </c>
      <c r="F88" s="65">
        <v>35.6271166666667</v>
      </c>
      <c r="G88" s="65">
        <v>7.77956666666667</v>
      </c>
      <c r="H88" s="65">
        <v>3.46698333333333</v>
      </c>
      <c r="K88" s="65">
        <v>12.5810333333333</v>
      </c>
      <c r="N88" s="65">
        <v>11.7903833333333</v>
      </c>
      <c r="Q88" s="65">
        <v>111.320833333333</v>
      </c>
      <c r="R88" s="65">
        <v>44.56745</v>
      </c>
      <c r="S88" s="65">
        <v>6.15993333333333</v>
      </c>
      <c r="T88" s="65">
        <v>6.16066666666667</v>
      </c>
      <c r="U88" s="65">
        <v>16.3897833333333</v>
      </c>
      <c r="X88" s="65">
        <v>35.0286166666667</v>
      </c>
      <c r="Y88" s="65">
        <v>11.5996166666667</v>
      </c>
      <c r="Z88" s="65">
        <v>3.13385</v>
      </c>
      <c r="AA88" s="65">
        <v>1.27941666666667</v>
      </c>
      <c r="AB88" s="65">
        <v>5.13868333333333</v>
      </c>
      <c r="AE88" s="65">
        <v>95.9900833333333</v>
      </c>
      <c r="AF88" s="65">
        <v>20.9816166666667</v>
      </c>
      <c r="AG88" s="65">
        <v>4.78811666666667</v>
      </c>
      <c r="AH88" s="65">
        <v>0.46465</v>
      </c>
      <c r="AI88" s="65">
        <v>8.08836666666667</v>
      </c>
      <c r="AL88" s="65">
        <v>12.1023166666667</v>
      </c>
      <c r="AM88" s="65">
        <v>6.03706666666667</v>
      </c>
      <c r="AN88" s="65">
        <v>25.8675333333333</v>
      </c>
      <c r="AQ88" s="65">
        <v>1.79868333333333</v>
      </c>
      <c r="AR88" s="65">
        <v>7.88715</v>
      </c>
      <c r="AU88" s="65">
        <v>94.1319666666666</v>
      </c>
    </row>
    <row r="89">
      <c r="A89" s="65" t="s">
        <v>7</v>
      </c>
      <c r="B89" s="65" t="s">
        <v>44</v>
      </c>
      <c r="C89" s="65"/>
      <c r="D89" s="64">
        <f t="shared" si="1"/>
        <v>0</v>
      </c>
    </row>
    <row r="90">
      <c r="A90" s="65" t="s">
        <v>7</v>
      </c>
      <c r="B90" s="65" t="s">
        <v>44</v>
      </c>
      <c r="C90" s="65"/>
      <c r="D90" s="64">
        <f t="shared" si="1"/>
        <v>537.3962167</v>
      </c>
      <c r="F90" s="118">
        <f>HYPERLINK("https://docs.google.com/spreadsheets/d/1LJUrWTwKMMuTOUi1mUzvCkvqg9tA5-NW", 29.4699833333333)</f>
        <v>29.46998333</v>
      </c>
      <c r="G90" s="118">
        <f>HYPERLINK("https://docs.google.com/spreadsheets/d/1LwHRvqbvztjuHDkHH_8zuJvdlZYLBngU", 7.77956666666667)</f>
        <v>7.779566667</v>
      </c>
      <c r="H90" s="118">
        <f>HYPERLINK("https://docs.google.com/spreadsheets/d/1qfsmRR09vBkQfjL4WhmrargQ_u6CC7Bz", 3.46696666666667)</f>
        <v>3.466966667</v>
      </c>
      <c r="K90" s="118">
        <f>HYPERLINK("https://docs.google.com/spreadsheets/d/129aOuU6NU3RloKQVcy_4Md9gYXMau0Q5", 12.5810166666667)</f>
        <v>12.58101667</v>
      </c>
      <c r="N90" s="118">
        <f>HYPERLINK("https://docs.google.com/spreadsheets/d/1ZRbNyw_j-a_XzwUvv21xUIrKAE7mDF24", 11.7903666666667)</f>
        <v>11.79036667</v>
      </c>
      <c r="Q90" s="118">
        <f>HYPERLINK("https://docs.google.com/spreadsheets/d/1tkKbi9JqUn3kzd5PRBREwyR9RmTSMoD5", 98.6329166666665)</f>
        <v>98.63291667</v>
      </c>
      <c r="R90" s="118">
        <f>HYPERLINK("https://docs.google.com/spreadsheets/d/179cTJe-k6aNtirb0OfWyEiSArkCBP43-", 42.5549666666667)</f>
        <v>42.55496667</v>
      </c>
      <c r="S90" s="118">
        <f>HYPERLINK("https://docs.google.com/spreadsheets/d/1vG5xKMdo_aSSgjTFgsC0s9Z0fO64BPkG", 5.94928333333333)</f>
        <v>5.949283333</v>
      </c>
      <c r="T90" s="118">
        <f>HYPERLINK("https://docs.google.com/spreadsheets/d/16SpwBS4DgMWwAz8Fh-Wk1gZXhStfF5T9", 2.79418333333333)</f>
        <v>2.794183333</v>
      </c>
      <c r="U90" s="118">
        <f>HYPERLINK("https://docs.google.com/spreadsheets/d/1WHwUDX9__SY8IOlifVUV8CFSc7HjX2sK", 16.32585)</f>
        <v>16.32585</v>
      </c>
      <c r="X90" s="118">
        <f>HYPERLINK("https://docs.google.com/spreadsheets/d/1Gx7kQElDcz_IXi-LM5uCIrX5lI1n5Gq8", 29.8321666666667)</f>
        <v>29.83216667</v>
      </c>
      <c r="Y90" s="118">
        <f>HYPERLINK("https://docs.google.com/spreadsheets/d/1hpY_M4Vsf3KeWJD8h2HMdH7DFk8nUiZQ", 11.2731333333333)</f>
        <v>11.27313333</v>
      </c>
      <c r="Z90" s="118">
        <f>HYPERLINK("https://docs.google.com/spreadsheets/d/1BMojJf_iTSt2PMpMcj27SlC4PdSTu7Nl", 3.13385)</f>
        <v>3.13385</v>
      </c>
      <c r="AA90" s="118">
        <f>HYPERLINK("https://docs.google.com/spreadsheets/d/1DtuXK1LqSJUaI4MN9DJgVQZKFXzKKFR8", 1.17003333333333)</f>
        <v>1.170033333</v>
      </c>
      <c r="AB90" s="118">
        <f>HYPERLINK("https://docs.google.com/spreadsheets/d/1m4JP3-corZei0Vf48MFXDlLc2xw4x1Qp", 5.13868333333333)</f>
        <v>5.138683333</v>
      </c>
      <c r="AE90" s="118">
        <f>HYPERLINK("https://docs.google.com/spreadsheets/d/1vkxKnlTxyI291D8LHB-EKH9Tor237qlt", 74.6097333333333)</f>
        <v>74.60973333</v>
      </c>
      <c r="AF90" s="118">
        <f>HYPERLINK("https://docs.google.com/spreadsheets/d/1QgdMnfFRU-ZFBhPZcdjvZtQtbl99CiyG", 20.5996166666667)</f>
        <v>20.59961667</v>
      </c>
      <c r="AG90" s="118">
        <f>HYPERLINK("https://docs.google.com/spreadsheets/d/1cNVYTdMxjJBCSTM076JKUXLgNHc5xUez", 4.7881)</f>
        <v>4.7881</v>
      </c>
      <c r="AH90" s="118">
        <f>HYPERLINK("https://docs.google.com/spreadsheets/d/1yKMU9ikaZJhOTAhpWXOgrqX6nv6SfDBy", 0.46465)</f>
        <v>0.46465</v>
      </c>
      <c r="AI90" s="118">
        <f>HYPERLINK("https://docs.google.com/spreadsheets/d/1Yf8GeC7hHI0xzcWUHwomZqMCdxlmWa-d", 8.08835)</f>
        <v>8.08835</v>
      </c>
      <c r="AL90" s="118">
        <f>HYPERLINK("https://docs.google.com/spreadsheets/d/1DTgvNHfrjMwSDtVRP2hYsqoPdHbRZf5W", 11.7301833333333)</f>
        <v>11.73018333</v>
      </c>
      <c r="AM90" s="118">
        <f>HYPERLINK("https://docs.google.com/spreadsheets/d/1JGDdgYtFHYqHc_LZRLMtMdf5TLEGnSQ5", 5.9766)</f>
        <v>5.9766</v>
      </c>
      <c r="AN90" s="118">
        <f>HYPERLINK("https://docs.google.com/spreadsheets/d/1_ByP5l5cnVj2zgJfAV2rThjzppLMF7Rw", 25.6126166666667)</f>
        <v>25.61261667</v>
      </c>
      <c r="AQ90" s="118">
        <f>HYPERLINK("https://docs.google.com/spreadsheets/d/1oOXRDfH9IxOJaReSCs1UpmhXrBm-qyps", 1.79868333333333)</f>
        <v>1.798683333</v>
      </c>
      <c r="AR90" s="118">
        <f>HYPERLINK("https://docs.google.com/spreadsheets/d/11mMrYMk4tmLsuQW1nOTgB6EAbO7b2SN3", 7.88715)</f>
        <v>7.88715</v>
      </c>
      <c r="AU90" s="118">
        <f>HYPERLINK("https://docs.google.com/spreadsheets/d/1DiBsVg6HJJWWm3Rvwl73MRgdDUPcs4X4", 93.9475666666665)</f>
        <v>93.94756667</v>
      </c>
    </row>
    <row r="91">
      <c r="A91" s="65" t="s">
        <v>7</v>
      </c>
      <c r="B91" s="65" t="s">
        <v>44</v>
      </c>
      <c r="C91" s="65"/>
      <c r="D91" s="64">
        <f t="shared" si="1"/>
        <v>12.42598333</v>
      </c>
      <c r="F91" s="65">
        <v>0.987416666666667</v>
      </c>
      <c r="G91" s="65">
        <v>0.934416666666667</v>
      </c>
      <c r="H91" s="65">
        <v>0.574733333333333</v>
      </c>
      <c r="K91" s="65">
        <v>0.0</v>
      </c>
      <c r="N91" s="65">
        <v>0.23565</v>
      </c>
      <c r="Q91" s="65">
        <v>3.5383</v>
      </c>
      <c r="R91" s="65">
        <v>0.100583333333333</v>
      </c>
      <c r="S91" s="65">
        <v>0.476783333333333</v>
      </c>
      <c r="T91" s="65">
        <v>0.0</v>
      </c>
      <c r="U91" s="65">
        <v>0.0</v>
      </c>
      <c r="X91" s="65">
        <v>1.89321666666667</v>
      </c>
      <c r="Y91" s="65">
        <v>0.0</v>
      </c>
      <c r="Z91" s="65">
        <v>0.1506</v>
      </c>
      <c r="AA91" s="65">
        <v>0.0</v>
      </c>
      <c r="AB91" s="65">
        <v>0.0</v>
      </c>
      <c r="AE91" s="65">
        <v>2.9307</v>
      </c>
      <c r="AF91" s="65">
        <v>0.267333333333333</v>
      </c>
      <c r="AG91" s="65">
        <v>0.0</v>
      </c>
      <c r="AH91" s="65">
        <v>0.0</v>
      </c>
      <c r="AI91" s="65">
        <v>0.0</v>
      </c>
      <c r="AL91" s="65">
        <v>0.0706333333333333</v>
      </c>
      <c r="AM91" s="65">
        <v>0.265616666666667</v>
      </c>
      <c r="AN91" s="65">
        <v>0.0</v>
      </c>
      <c r="AQ91" s="65">
        <v>0.0</v>
      </c>
      <c r="AR91" s="65">
        <v>0.0</v>
      </c>
      <c r="AU91" s="65">
        <v>0.0</v>
      </c>
    </row>
    <row r="92">
      <c r="A92" s="119" t="s">
        <v>7</v>
      </c>
      <c r="B92" s="119" t="s">
        <v>44</v>
      </c>
      <c r="C92" s="119"/>
      <c r="D92" s="120">
        <f t="shared" si="1"/>
        <v>0</v>
      </c>
      <c r="E92" s="120"/>
      <c r="F92" s="120"/>
      <c r="G92" s="120"/>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20"/>
      <c r="AK92" s="120"/>
      <c r="AL92" s="120"/>
      <c r="AM92" s="120"/>
      <c r="AN92" s="120"/>
      <c r="AO92" s="120"/>
      <c r="AP92" s="120"/>
      <c r="AQ92" s="120"/>
      <c r="AR92" s="120"/>
      <c r="AS92" s="120"/>
      <c r="AT92" s="120"/>
      <c r="AU92" s="120"/>
      <c r="AV92" s="120"/>
      <c r="AW92" s="120"/>
      <c r="AX92" s="120"/>
      <c r="AY92" s="120"/>
      <c r="AZ92" s="120"/>
      <c r="BA92" s="120"/>
      <c r="BB92" s="120"/>
      <c r="BC92" s="120"/>
      <c r="BD92" s="120"/>
      <c r="BE92" s="120"/>
      <c r="BF92" s="120"/>
      <c r="BG92" s="120"/>
      <c r="BH92" s="120"/>
      <c r="BI92" s="120"/>
      <c r="BJ92" s="120"/>
      <c r="BK92" s="120"/>
      <c r="BL92" s="120"/>
      <c r="BM92" s="120"/>
      <c r="BN92" s="120"/>
      <c r="BO92" s="120"/>
      <c r="BP92" s="120"/>
      <c r="BQ92" s="120"/>
      <c r="BR92" s="120"/>
      <c r="BS92" s="120"/>
      <c r="BT92" s="120"/>
      <c r="BU92" s="120"/>
      <c r="BV92" s="120"/>
      <c r="BW92" s="120"/>
      <c r="BX92" s="120"/>
      <c r="BY92" s="120"/>
      <c r="BZ92" s="120"/>
      <c r="CA92" s="120"/>
      <c r="CB92" s="120"/>
      <c r="CC92" s="120"/>
      <c r="CD92" s="120"/>
      <c r="CE92" s="120"/>
      <c r="CF92" s="120"/>
      <c r="CG92" s="120"/>
      <c r="CH92" s="120"/>
      <c r="CI92" s="120"/>
      <c r="CJ92" s="120"/>
      <c r="CK92" s="120"/>
      <c r="CL92" s="120"/>
      <c r="CM92" s="120"/>
      <c r="CN92" s="120"/>
      <c r="CO92" s="120"/>
      <c r="CP92" s="120"/>
      <c r="CQ92" s="120"/>
      <c r="CR92" s="120"/>
      <c r="CS92" s="120"/>
      <c r="CT92" s="120"/>
      <c r="CU92" s="120"/>
      <c r="CV92" s="120"/>
      <c r="CW92" s="120"/>
      <c r="CX92" s="120"/>
      <c r="CY92" s="120"/>
      <c r="CZ92" s="120"/>
      <c r="DA92" s="120"/>
      <c r="DB92" s="120"/>
      <c r="DC92" s="120"/>
      <c r="DD92" s="120"/>
      <c r="DE92" s="120"/>
      <c r="DF92" s="120"/>
      <c r="DG92" s="120"/>
      <c r="DH92" s="120"/>
      <c r="DI92" s="120"/>
      <c r="DJ92" s="120"/>
      <c r="DK92" s="120"/>
      <c r="DL92" s="120"/>
      <c r="DM92" s="120"/>
      <c r="DN92" s="120"/>
      <c r="DO92" s="120"/>
      <c r="DP92" s="120"/>
      <c r="DQ92" s="120"/>
      <c r="DR92" s="120"/>
      <c r="DS92" s="120"/>
      <c r="DT92" s="120"/>
      <c r="DU92" s="120"/>
      <c r="DV92" s="120"/>
      <c r="DW92" s="120"/>
      <c r="DX92" s="120"/>
      <c r="DY92" s="120"/>
      <c r="DZ92" s="120"/>
      <c r="EA92" s="120"/>
      <c r="EB92" s="120"/>
      <c r="EC92" s="120"/>
      <c r="ED92" s="120"/>
      <c r="EE92" s="120"/>
      <c r="EF92" s="120"/>
      <c r="EG92" s="120"/>
      <c r="EH92" s="120"/>
      <c r="EI92" s="120"/>
      <c r="EJ92" s="120"/>
      <c r="EK92" s="120"/>
      <c r="EL92" s="120"/>
      <c r="EM92" s="120"/>
      <c r="EN92" s="120"/>
      <c r="EO92" s="120"/>
      <c r="EP92" s="120"/>
      <c r="EQ92" s="120"/>
      <c r="ER92" s="120"/>
      <c r="ES92" s="120"/>
      <c r="ET92" s="120"/>
      <c r="EU92" s="120"/>
      <c r="EV92" s="120"/>
      <c r="EW92" s="120"/>
      <c r="EX92" s="120"/>
      <c r="EY92" s="120"/>
      <c r="EZ92" s="120"/>
      <c r="FA92" s="120"/>
      <c r="FB92" s="120"/>
      <c r="FC92" s="120"/>
      <c r="FD92" s="120"/>
      <c r="FE92" s="120"/>
      <c r="FF92" s="120"/>
      <c r="FG92" s="120"/>
      <c r="FH92" s="120"/>
      <c r="FI92" s="120"/>
      <c r="FJ92" s="120"/>
      <c r="FK92" s="120"/>
      <c r="FL92" s="120"/>
      <c r="FM92" s="120"/>
      <c r="FN92" s="120"/>
      <c r="FO92" s="120"/>
      <c r="FP92" s="120"/>
      <c r="FQ92" s="120"/>
      <c r="FR92" s="120"/>
      <c r="FS92" s="120"/>
      <c r="FT92" s="120"/>
      <c r="FU92" s="120"/>
      <c r="FV92" s="120"/>
      <c r="FW92" s="120"/>
      <c r="FX92" s="120"/>
      <c r="FY92" s="120"/>
      <c r="FZ92" s="120"/>
      <c r="GA92" s="120"/>
      <c r="GB92" s="120"/>
      <c r="GC92" s="120"/>
      <c r="GD92" s="120"/>
      <c r="GE92" s="120"/>
      <c r="GF92" s="120"/>
      <c r="GG92" s="120"/>
      <c r="GH92" s="120"/>
      <c r="GI92" s="120"/>
      <c r="GJ92" s="120"/>
      <c r="GK92" s="120"/>
      <c r="GL92" s="120"/>
      <c r="GM92" s="120"/>
      <c r="GN92" s="120"/>
      <c r="GO92" s="120"/>
      <c r="GP92" s="120"/>
      <c r="GQ92" s="120"/>
      <c r="GR92" s="120"/>
      <c r="GS92" s="120"/>
      <c r="GT92" s="120"/>
      <c r="GU92" s="120"/>
      <c r="GV92" s="120"/>
      <c r="GW92" s="120"/>
      <c r="GX92" s="120"/>
      <c r="GY92" s="120"/>
      <c r="GZ92" s="120"/>
      <c r="HA92" s="120"/>
      <c r="HB92" s="120"/>
      <c r="HC92" s="120"/>
      <c r="HD92" s="120"/>
      <c r="HE92" s="120"/>
      <c r="HF92" s="120"/>
      <c r="HG92" s="120"/>
      <c r="HH92" s="120"/>
      <c r="HI92" s="120"/>
      <c r="HJ92" s="120"/>
      <c r="HK92" s="120"/>
      <c r="HL92" s="120"/>
      <c r="HM92" s="120"/>
      <c r="HN92" s="120"/>
      <c r="HO92" s="120"/>
      <c r="HP92" s="120"/>
      <c r="HQ92" s="120"/>
      <c r="HR92" s="120"/>
      <c r="HS92" s="120"/>
      <c r="HT92" s="120"/>
      <c r="HU92" s="120"/>
      <c r="HV92" s="120"/>
      <c r="HW92" s="120"/>
      <c r="HX92" s="120"/>
      <c r="HY92" s="120"/>
      <c r="HZ92" s="120"/>
      <c r="IA92" s="120"/>
      <c r="IB92" s="120"/>
      <c r="IC92" s="120"/>
      <c r="ID92" s="120"/>
      <c r="IE92" s="120"/>
      <c r="IF92" s="120"/>
      <c r="IG92" s="120"/>
      <c r="IH92" s="120"/>
      <c r="II92" s="120"/>
      <c r="IJ92" s="120"/>
      <c r="IK92" s="120"/>
      <c r="IL92" s="120"/>
      <c r="IM92" s="120"/>
      <c r="IN92" s="120"/>
      <c r="IO92" s="120"/>
      <c r="IP92" s="120"/>
      <c r="IQ92" s="120"/>
      <c r="IR92" s="120"/>
      <c r="IS92" s="120"/>
      <c r="IT92" s="120"/>
      <c r="IU92" s="120"/>
      <c r="IV92" s="120"/>
      <c r="IW92" s="120"/>
      <c r="IX92" s="120"/>
      <c r="IY92" s="120"/>
      <c r="IZ92" s="120"/>
      <c r="JA92" s="120"/>
      <c r="JB92" s="120"/>
      <c r="JC92" s="120"/>
      <c r="JD92" s="120"/>
      <c r="JE92" s="120"/>
      <c r="JF92" s="120"/>
      <c r="JG92" s="120"/>
      <c r="JH92" s="120"/>
      <c r="JI92" s="120"/>
      <c r="JJ92" s="120"/>
      <c r="JK92" s="120"/>
      <c r="JL92" s="120"/>
      <c r="JM92" s="120"/>
      <c r="JN92" s="120"/>
      <c r="JO92" s="120"/>
      <c r="JP92" s="120"/>
      <c r="JQ92" s="120"/>
      <c r="JR92" s="120"/>
      <c r="JS92" s="120"/>
      <c r="JT92" s="120"/>
      <c r="JU92" s="120"/>
      <c r="JV92" s="120"/>
      <c r="JW92" s="120"/>
      <c r="JX92" s="120"/>
      <c r="JY92" s="120"/>
      <c r="JZ92" s="120"/>
      <c r="KA92" s="120"/>
      <c r="KB92" s="120"/>
      <c r="KC92" s="120"/>
      <c r="KD92" s="120"/>
      <c r="KE92" s="120"/>
      <c r="KF92" s="120"/>
      <c r="KG92" s="120"/>
      <c r="KH92" s="120"/>
      <c r="KI92" s="120"/>
      <c r="KJ92" s="120"/>
      <c r="KK92" s="120"/>
      <c r="KL92" s="120"/>
      <c r="KM92" s="120"/>
      <c r="KN92" s="120"/>
      <c r="KO92" s="120"/>
      <c r="KP92" s="120"/>
      <c r="KQ92" s="120"/>
      <c r="KR92" s="120"/>
      <c r="KS92" s="120"/>
      <c r="KT92" s="120"/>
      <c r="KU92" s="120"/>
      <c r="KV92" s="120"/>
      <c r="KW92" s="120"/>
      <c r="KX92" s="120"/>
      <c r="KY92" s="120"/>
      <c r="KZ92" s="120"/>
      <c r="LA92" s="120"/>
      <c r="LB92" s="120"/>
      <c r="LC92" s="120"/>
      <c r="LD92" s="120"/>
      <c r="LE92" s="120"/>
      <c r="LF92" s="120"/>
      <c r="LG92" s="120"/>
      <c r="LH92" s="120"/>
      <c r="LI92" s="120"/>
      <c r="LJ92" s="120"/>
      <c r="LK92" s="120"/>
      <c r="LL92" s="120"/>
      <c r="LM92" s="120"/>
      <c r="LN92" s="120"/>
      <c r="LO92" s="120"/>
      <c r="LP92" s="120"/>
      <c r="LQ92" s="120"/>
      <c r="LR92" s="120"/>
      <c r="LS92" s="120"/>
      <c r="LT92" s="120"/>
      <c r="LU92" s="120"/>
      <c r="LV92" s="120"/>
      <c r="LW92" s="120"/>
      <c r="LX92" s="120"/>
      <c r="LY92" s="120"/>
      <c r="LZ92" s="120"/>
      <c r="MA92" s="120"/>
      <c r="MB92" s="120"/>
      <c r="MC92" s="120"/>
      <c r="MD92" s="120"/>
      <c r="ME92" s="120"/>
      <c r="MF92" s="120"/>
      <c r="MG92" s="120"/>
      <c r="MH92" s="120"/>
      <c r="MI92" s="120"/>
      <c r="MJ92" s="120"/>
      <c r="MK92" s="120"/>
      <c r="ML92" s="120"/>
      <c r="MM92" s="120"/>
      <c r="MN92" s="120"/>
      <c r="MO92" s="120"/>
      <c r="MP92" s="120"/>
      <c r="MQ92" s="120"/>
      <c r="MR92" s="120"/>
      <c r="MS92" s="120"/>
      <c r="MT92" s="120"/>
      <c r="MU92" s="120"/>
      <c r="MV92" s="120"/>
      <c r="MW92" s="120"/>
      <c r="MX92" s="120"/>
      <c r="MY92" s="120"/>
      <c r="MZ92" s="120"/>
      <c r="NA92" s="120"/>
      <c r="NB92" s="120"/>
      <c r="NC92" s="120"/>
      <c r="ND92" s="120"/>
      <c r="NE92" s="120"/>
      <c r="NF92" s="120"/>
      <c r="NG92" s="120"/>
      <c r="NH92" s="120"/>
      <c r="NI92" s="120"/>
      <c r="NJ92" s="120"/>
      <c r="NK92" s="120"/>
      <c r="NL92" s="120"/>
      <c r="NM92" s="120"/>
      <c r="NN92" s="120"/>
      <c r="NO92" s="120"/>
      <c r="NP92" s="120"/>
      <c r="NQ92" s="120"/>
      <c r="NR92" s="120"/>
      <c r="NS92" s="120"/>
      <c r="NT92" s="120"/>
      <c r="NU92" s="120"/>
      <c r="NV92" s="120"/>
      <c r="NW92" s="120"/>
      <c r="NX92" s="120"/>
      <c r="NY92" s="120"/>
      <c r="NZ92" s="120"/>
      <c r="OA92" s="120"/>
      <c r="OB92" s="120"/>
      <c r="OC92" s="120"/>
      <c r="OD92" s="120"/>
      <c r="OE92" s="120"/>
      <c r="OF92" s="120"/>
      <c r="OG92" s="120"/>
      <c r="OH92" s="120"/>
      <c r="OI92" s="120"/>
      <c r="OJ92" s="120"/>
      <c r="OK92" s="120"/>
      <c r="OL92" s="120"/>
      <c r="OM92" s="120"/>
      <c r="ON92" s="120"/>
      <c r="OO92" s="120"/>
      <c r="OP92" s="120"/>
      <c r="OQ92" s="120"/>
      <c r="OR92" s="120"/>
      <c r="OS92" s="120"/>
      <c r="OT92" s="120"/>
      <c r="OU92" s="120"/>
      <c r="OV92" s="120"/>
      <c r="OW92" s="120"/>
      <c r="OX92" s="120"/>
      <c r="OY92" s="120"/>
      <c r="OZ92" s="120"/>
      <c r="PA92" s="120"/>
      <c r="PB92" s="120"/>
      <c r="PC92" s="120"/>
      <c r="PD92" s="120"/>
      <c r="PE92" s="120"/>
      <c r="PF92" s="120"/>
      <c r="PG92" s="120"/>
      <c r="PH92" s="120"/>
      <c r="PI92" s="120"/>
      <c r="PJ92" s="120"/>
      <c r="PK92" s="120"/>
      <c r="PL92" s="120"/>
      <c r="PM92" s="120"/>
      <c r="PN92" s="120"/>
      <c r="PO92" s="120"/>
      <c r="PP92" s="120"/>
      <c r="PQ92" s="120"/>
      <c r="PR92" s="120"/>
      <c r="PS92" s="120"/>
      <c r="PT92" s="120"/>
      <c r="PU92" s="120"/>
      <c r="PV92" s="120"/>
      <c r="PW92" s="120"/>
      <c r="PX92" s="120"/>
      <c r="PY92" s="120"/>
      <c r="PZ92" s="120"/>
      <c r="QA92" s="120"/>
      <c r="QB92" s="120"/>
      <c r="QC92" s="120"/>
      <c r="QD92" s="120"/>
      <c r="QE92" s="120"/>
      <c r="QF92" s="120"/>
      <c r="QG92" s="120"/>
      <c r="QH92" s="120"/>
      <c r="QI92" s="120"/>
      <c r="QJ92" s="120"/>
      <c r="QK92" s="120"/>
      <c r="QL92" s="120"/>
      <c r="QM92" s="120"/>
      <c r="QN92" s="120"/>
      <c r="QO92" s="120"/>
      <c r="QP92" s="120"/>
      <c r="QQ92" s="120"/>
      <c r="QR92" s="120"/>
      <c r="QS92" s="120"/>
      <c r="QT92" s="120"/>
      <c r="QU92" s="120"/>
      <c r="QV92" s="120"/>
      <c r="QW92" s="120"/>
      <c r="QX92" s="120"/>
      <c r="QY92" s="120"/>
      <c r="QZ92" s="120"/>
      <c r="RA92" s="120"/>
      <c r="RB92" s="120"/>
      <c r="RC92" s="120"/>
      <c r="RD92" s="120"/>
      <c r="RE92" s="120"/>
      <c r="RF92" s="120"/>
      <c r="RG92" s="120"/>
      <c r="RH92" s="120"/>
      <c r="RI92" s="120"/>
      <c r="RJ92" s="120"/>
      <c r="RK92" s="120"/>
      <c r="RL92" s="120"/>
      <c r="RM92" s="120"/>
      <c r="RN92" s="120"/>
      <c r="RO92" s="120"/>
      <c r="RP92" s="120"/>
      <c r="RQ92" s="120"/>
      <c r="RR92" s="120"/>
      <c r="RS92" s="120"/>
      <c r="RT92" s="120"/>
      <c r="RU92" s="120"/>
      <c r="RV92" s="120"/>
      <c r="RW92" s="120"/>
      <c r="RX92" s="120"/>
      <c r="RY92" s="120"/>
      <c r="RZ92" s="120"/>
      <c r="SA92" s="120"/>
      <c r="SB92" s="120"/>
      <c r="SC92" s="120"/>
      <c r="SD92" s="120"/>
      <c r="SE92" s="120"/>
      <c r="SF92" s="120"/>
      <c r="SG92" s="120"/>
      <c r="SH92" s="120"/>
      <c r="SI92" s="120"/>
      <c r="SJ92" s="120"/>
      <c r="SK92" s="120"/>
      <c r="SL92" s="120"/>
      <c r="SM92" s="120"/>
      <c r="SN92" s="120"/>
      <c r="SO92" s="120"/>
      <c r="SP92" s="120"/>
      <c r="SQ92" s="120"/>
      <c r="SR92" s="120"/>
      <c r="SS92" s="120"/>
      <c r="ST92" s="120"/>
      <c r="SU92" s="120"/>
      <c r="SV92" s="120"/>
      <c r="SW92" s="120"/>
      <c r="SX92" s="120"/>
      <c r="SY92" s="120"/>
      <c r="SZ92" s="120"/>
      <c r="TA92" s="120"/>
      <c r="TB92" s="120"/>
      <c r="TC92" s="120"/>
      <c r="TD92" s="120"/>
      <c r="TE92" s="120"/>
      <c r="TF92" s="120"/>
      <c r="TG92" s="120"/>
      <c r="TH92" s="120"/>
      <c r="TI92" s="120"/>
      <c r="TJ92" s="120"/>
      <c r="TK92" s="120"/>
      <c r="TL92" s="120"/>
      <c r="TM92" s="120"/>
      <c r="TN92" s="120"/>
      <c r="TO92" s="120"/>
      <c r="TP92" s="120"/>
      <c r="TQ92" s="120"/>
      <c r="TR92" s="120"/>
      <c r="TS92" s="120"/>
      <c r="TT92" s="120"/>
      <c r="TU92" s="120"/>
      <c r="TV92" s="120"/>
      <c r="TW92" s="120"/>
      <c r="TX92" s="120"/>
      <c r="TY92" s="120"/>
      <c r="TZ92" s="120"/>
      <c r="UA92" s="120"/>
      <c r="UB92" s="120"/>
      <c r="UC92" s="120"/>
      <c r="UD92" s="120"/>
      <c r="UE92" s="120"/>
      <c r="UF92" s="120"/>
      <c r="UG92" s="120"/>
      <c r="UH92" s="120"/>
      <c r="UI92" s="120"/>
      <c r="UJ92" s="120"/>
      <c r="UK92" s="120"/>
      <c r="UL92" s="120"/>
      <c r="UM92" s="120"/>
      <c r="UN92" s="120"/>
      <c r="UO92" s="120"/>
      <c r="UP92" s="120"/>
      <c r="UQ92" s="120"/>
      <c r="UR92" s="120"/>
      <c r="US92" s="120"/>
      <c r="UT92" s="120"/>
      <c r="UU92" s="120"/>
      <c r="UV92" s="120"/>
      <c r="UW92" s="120"/>
      <c r="UX92" s="120"/>
      <c r="UY92" s="120"/>
      <c r="UZ92" s="120"/>
      <c r="VA92" s="120"/>
      <c r="VB92" s="120"/>
      <c r="VC92" s="120"/>
      <c r="VD92" s="120"/>
      <c r="VE92" s="120"/>
      <c r="VF92" s="120"/>
      <c r="VG92" s="120"/>
      <c r="VH92" s="120"/>
      <c r="VI92" s="120"/>
      <c r="VJ92" s="120"/>
      <c r="VK92" s="120"/>
      <c r="VL92" s="120"/>
      <c r="VM92" s="120"/>
      <c r="VN92" s="120"/>
      <c r="VO92" s="120"/>
      <c r="VP92" s="120"/>
      <c r="VQ92" s="120"/>
      <c r="VR92" s="120"/>
      <c r="VS92" s="120"/>
      <c r="VT92" s="120"/>
      <c r="VU92" s="120"/>
      <c r="VV92" s="120"/>
      <c r="VW92" s="120"/>
      <c r="VX92" s="120"/>
      <c r="VY92" s="120"/>
      <c r="VZ92" s="120"/>
      <c r="WA92" s="120"/>
      <c r="WB92" s="120"/>
      <c r="WC92" s="120"/>
      <c r="WD92" s="120"/>
      <c r="WE92" s="120"/>
      <c r="WF92" s="120"/>
      <c r="WG92" s="120"/>
      <c r="WH92" s="120"/>
      <c r="WI92" s="120"/>
      <c r="WJ92" s="120"/>
      <c r="WK92" s="120"/>
      <c r="WL92" s="120"/>
      <c r="WM92" s="120"/>
      <c r="WN92" s="120"/>
      <c r="WO92" s="120"/>
      <c r="WP92" s="120"/>
      <c r="WQ92" s="120"/>
      <c r="WR92" s="120"/>
      <c r="WS92" s="120"/>
      <c r="WT92" s="120"/>
      <c r="WU92" s="120"/>
      <c r="WV92" s="120"/>
      <c r="WW92" s="120"/>
      <c r="WX92" s="120"/>
      <c r="WY92" s="120"/>
      <c r="WZ92" s="120"/>
      <c r="XA92" s="120"/>
      <c r="XB92" s="120"/>
      <c r="XC92" s="120"/>
      <c r="XD92" s="120"/>
      <c r="XE92" s="120"/>
      <c r="XF92" s="120"/>
      <c r="XG92" s="120"/>
      <c r="XH92" s="120"/>
      <c r="XI92" s="120"/>
      <c r="XJ92" s="120"/>
      <c r="XK92" s="120"/>
      <c r="XL92" s="120"/>
      <c r="XM92" s="120"/>
      <c r="XN92" s="120"/>
      <c r="XO92" s="120"/>
      <c r="XP92" s="120"/>
      <c r="XQ92" s="120"/>
      <c r="XR92" s="120"/>
      <c r="XS92" s="120"/>
      <c r="XT92" s="120"/>
      <c r="XU92" s="120"/>
      <c r="XV92" s="120"/>
      <c r="XW92" s="120"/>
      <c r="XX92" s="120"/>
      <c r="XY92" s="120"/>
      <c r="XZ92" s="120"/>
      <c r="YA92" s="120"/>
      <c r="YB92" s="120"/>
      <c r="YC92" s="120"/>
      <c r="YD92" s="120"/>
      <c r="YE92" s="120"/>
      <c r="YF92" s="120"/>
      <c r="YG92" s="120"/>
      <c r="YH92" s="120"/>
      <c r="YI92" s="120"/>
      <c r="YJ92" s="120"/>
      <c r="YK92" s="120"/>
      <c r="YL92" s="120"/>
      <c r="YM92" s="120"/>
      <c r="YN92" s="120"/>
      <c r="YO92" s="120"/>
      <c r="YP92" s="120"/>
      <c r="YQ92" s="120"/>
      <c r="YR92" s="120"/>
      <c r="YS92" s="120"/>
      <c r="YT92" s="120"/>
      <c r="YU92" s="120"/>
      <c r="YV92" s="120"/>
      <c r="YW92" s="120"/>
      <c r="YX92" s="120"/>
      <c r="YY92" s="120"/>
      <c r="YZ92" s="120"/>
      <c r="ZA92" s="120"/>
      <c r="ZB92" s="120"/>
      <c r="ZC92" s="120"/>
      <c r="ZD92" s="120"/>
      <c r="ZE92" s="120"/>
      <c r="ZF92" s="120"/>
      <c r="ZG92" s="120"/>
      <c r="ZH92" s="120"/>
      <c r="ZI92" s="120"/>
      <c r="ZJ92" s="120"/>
      <c r="ZK92" s="120"/>
      <c r="ZL92" s="120"/>
      <c r="ZM92" s="120"/>
      <c r="ZN92" s="120"/>
      <c r="ZO92" s="120"/>
      <c r="ZP92" s="120"/>
      <c r="ZQ92" s="120"/>
      <c r="ZR92" s="120"/>
      <c r="ZS92" s="120"/>
      <c r="ZT92" s="120"/>
      <c r="ZU92" s="120"/>
      <c r="ZV92" s="120"/>
      <c r="ZW92" s="120"/>
      <c r="ZX92" s="120"/>
      <c r="ZY92" s="120"/>
      <c r="ZZ92" s="120"/>
      <c r="AAA92" s="120"/>
      <c r="AAB92" s="120"/>
      <c r="AAC92" s="120"/>
      <c r="AAD92" s="120"/>
      <c r="AAE92" s="120"/>
      <c r="AAF92" s="120"/>
      <c r="AAG92" s="120"/>
      <c r="AAH92" s="120"/>
      <c r="AAI92" s="120"/>
      <c r="AAJ92" s="120"/>
      <c r="AAK92" s="120"/>
      <c r="AAL92" s="120"/>
      <c r="AAM92" s="120"/>
      <c r="AAN92" s="120"/>
      <c r="AAO92" s="120"/>
      <c r="AAP92" s="120"/>
      <c r="AAQ92" s="120"/>
      <c r="AAR92" s="120"/>
      <c r="AAS92" s="120"/>
      <c r="AAT92" s="120"/>
      <c r="AAU92" s="120"/>
      <c r="AAV92" s="120"/>
      <c r="AAW92" s="120"/>
      <c r="AAX92" s="120"/>
      <c r="AAY92" s="120"/>
      <c r="AAZ92" s="120"/>
      <c r="ABA92" s="120"/>
      <c r="ABB92" s="120"/>
      <c r="ABC92" s="120"/>
      <c r="ABD92" s="120"/>
      <c r="ABE92" s="120"/>
      <c r="ABF92" s="120"/>
      <c r="ABG92" s="120"/>
      <c r="ABH92" s="120"/>
      <c r="ABI92" s="120"/>
      <c r="ABJ92" s="120"/>
      <c r="ABK92" s="120"/>
      <c r="ABL92" s="120"/>
      <c r="ABM92" s="120"/>
      <c r="ABN92" s="120"/>
      <c r="ABO92" s="120"/>
      <c r="ABP92" s="120"/>
      <c r="ABQ92" s="120"/>
      <c r="ABR92" s="120"/>
      <c r="ABS92" s="120"/>
      <c r="ABT92" s="120"/>
      <c r="ABU92" s="120"/>
      <c r="ABV92" s="120"/>
      <c r="ABW92" s="120"/>
      <c r="ABX92" s="120"/>
      <c r="ABY92" s="120"/>
      <c r="ABZ92" s="120"/>
      <c r="ACA92" s="120"/>
      <c r="ACB92" s="120"/>
      <c r="ACC92" s="120"/>
      <c r="ACD92" s="120"/>
      <c r="ACE92" s="120"/>
      <c r="ACF92" s="120"/>
      <c r="ACG92" s="120"/>
      <c r="ACH92" s="120"/>
      <c r="ACI92" s="120"/>
      <c r="ACJ92" s="120"/>
      <c r="ACK92" s="120"/>
      <c r="ACL92" s="120"/>
      <c r="ACM92" s="120"/>
      <c r="ACN92" s="120"/>
      <c r="ACO92" s="120"/>
      <c r="ACP92" s="120"/>
      <c r="ACQ92" s="120"/>
      <c r="ACR92" s="120"/>
      <c r="ACS92" s="120"/>
      <c r="ACT92" s="120"/>
      <c r="ACU92" s="120"/>
      <c r="ACV92" s="120"/>
      <c r="ACW92" s="120"/>
      <c r="ACX92" s="120"/>
      <c r="ACY92" s="120"/>
      <c r="ACZ92" s="120"/>
      <c r="ADA92" s="120"/>
      <c r="ADB92" s="120"/>
      <c r="ADC92" s="120"/>
      <c r="ADD92" s="120"/>
      <c r="ADE92" s="120"/>
      <c r="ADF92" s="120"/>
      <c r="ADG92" s="120"/>
      <c r="ADH92" s="120"/>
      <c r="ADI92" s="120"/>
      <c r="ADJ92" s="120"/>
      <c r="ADK92" s="120"/>
      <c r="ADL92" s="120"/>
      <c r="ADM92" s="120"/>
      <c r="ADN92" s="120"/>
      <c r="ADO92" s="120"/>
      <c r="ADP92" s="120"/>
      <c r="ADQ92" s="120"/>
      <c r="ADR92" s="120"/>
      <c r="ADS92" s="120"/>
      <c r="ADT92" s="120"/>
      <c r="ADU92" s="120"/>
      <c r="ADV92" s="120"/>
      <c r="ADW92" s="120"/>
      <c r="ADX92" s="120"/>
      <c r="ADY92" s="120"/>
      <c r="ADZ92" s="120"/>
      <c r="AEA92" s="120"/>
      <c r="AEB92" s="120"/>
      <c r="AEC92" s="120"/>
      <c r="AED92" s="120"/>
      <c r="AEE92" s="120"/>
      <c r="AEF92" s="120"/>
      <c r="AEG92" s="120"/>
      <c r="AEH92" s="120"/>
      <c r="AEI92" s="120"/>
      <c r="AEJ92" s="120"/>
      <c r="AEK92" s="120"/>
      <c r="AEL92" s="120"/>
      <c r="AEM92" s="120"/>
      <c r="AEN92" s="120"/>
      <c r="AEO92" s="120"/>
      <c r="AEP92" s="120"/>
      <c r="AEQ92" s="120"/>
      <c r="AER92" s="120"/>
      <c r="AES92" s="120"/>
      <c r="AET92" s="120"/>
      <c r="AEU92" s="120"/>
      <c r="AEV92" s="120"/>
      <c r="AEW92" s="120"/>
      <c r="AEX92" s="120"/>
      <c r="AEY92" s="120"/>
      <c r="AEZ92" s="120"/>
      <c r="AFA92" s="120"/>
      <c r="AFB92" s="120"/>
      <c r="AFC92" s="120"/>
      <c r="AFD92" s="120"/>
      <c r="AFE92" s="120"/>
      <c r="AFF92" s="120"/>
      <c r="AFG92" s="120"/>
      <c r="AFH92" s="120"/>
      <c r="AFI92" s="120"/>
      <c r="AFJ92" s="120"/>
      <c r="AFK92" s="120"/>
      <c r="AFL92" s="120"/>
      <c r="AFM92" s="120"/>
      <c r="AFN92" s="120"/>
      <c r="AFO92" s="120"/>
      <c r="AFP92" s="120"/>
      <c r="AFQ92" s="120"/>
      <c r="AFR92" s="120"/>
      <c r="AFS92" s="120"/>
      <c r="AFT92" s="120"/>
      <c r="AFU92" s="120"/>
      <c r="AFV92" s="120"/>
      <c r="AFW92" s="120"/>
      <c r="AFX92" s="120"/>
      <c r="AFY92" s="120"/>
      <c r="AFZ92" s="120"/>
      <c r="AGA92" s="120"/>
      <c r="AGB92" s="120"/>
      <c r="AGC92" s="120"/>
      <c r="AGD92" s="120"/>
      <c r="AGE92" s="120"/>
      <c r="AGF92" s="120"/>
      <c r="AGG92" s="120"/>
      <c r="AGH92" s="120"/>
      <c r="AGI92" s="120"/>
      <c r="AGJ92" s="120"/>
      <c r="AGK92" s="120"/>
      <c r="AGL92" s="120"/>
      <c r="AGM92" s="120"/>
      <c r="AGN92" s="120"/>
      <c r="AGO92" s="120"/>
      <c r="AGP92" s="120"/>
      <c r="AGQ92" s="120"/>
      <c r="AGR92" s="120"/>
      <c r="AGS92" s="120"/>
      <c r="AGT92" s="120"/>
      <c r="AGU92" s="120"/>
      <c r="AGV92" s="120"/>
      <c r="AGW92" s="120"/>
      <c r="AGX92" s="120"/>
      <c r="AGY92" s="120"/>
      <c r="AGZ92" s="120"/>
      <c r="AHA92" s="120"/>
      <c r="AHB92" s="120"/>
      <c r="AHC92" s="120"/>
      <c r="AHD92" s="120"/>
      <c r="AHE92" s="120"/>
      <c r="AHF92" s="120"/>
      <c r="AHG92" s="120"/>
      <c r="AHH92" s="120"/>
      <c r="AHI92" s="120"/>
      <c r="AHJ92" s="120"/>
      <c r="AHK92" s="120"/>
      <c r="AHL92" s="120"/>
      <c r="AHM92" s="120"/>
      <c r="AHN92" s="120"/>
      <c r="AHO92" s="120"/>
      <c r="AHP92" s="120"/>
      <c r="AHQ92" s="120"/>
      <c r="AHR92" s="120"/>
      <c r="AHS92" s="120"/>
      <c r="AHT92" s="120"/>
      <c r="AHU92" s="120"/>
      <c r="AHV92" s="120"/>
      <c r="AHW92" s="120"/>
      <c r="AHX92" s="120"/>
      <c r="AHY92" s="120"/>
      <c r="AHZ92" s="120"/>
      <c r="AIA92" s="120"/>
      <c r="AIB92" s="120"/>
      <c r="AIC92" s="120"/>
      <c r="AID92" s="120"/>
      <c r="AIE92" s="120"/>
      <c r="AIF92" s="120"/>
      <c r="AIG92" s="120"/>
      <c r="AIH92" s="120"/>
      <c r="AII92" s="120"/>
      <c r="AIJ92" s="120"/>
      <c r="AIK92" s="120"/>
      <c r="AIL92" s="120"/>
      <c r="AIM92" s="120"/>
      <c r="AIN92" s="120"/>
      <c r="AIO92" s="120"/>
      <c r="AIP92" s="120"/>
      <c r="AIQ92" s="120"/>
      <c r="AIR92" s="120"/>
      <c r="AIS92" s="120"/>
      <c r="AIT92" s="120"/>
      <c r="AIU92" s="120"/>
      <c r="AIV92" s="120"/>
      <c r="AIW92" s="120"/>
      <c r="AIX92" s="120"/>
      <c r="AIY92" s="120"/>
      <c r="AIZ92" s="120"/>
    </row>
    <row r="93">
      <c r="A93" s="112" t="s">
        <v>7</v>
      </c>
      <c r="B93" s="112" t="s">
        <v>21</v>
      </c>
      <c r="C93" s="112"/>
      <c r="D93" s="113">
        <f t="shared" si="1"/>
        <v>628.249</v>
      </c>
      <c r="E93" s="112">
        <v>111.964516666667</v>
      </c>
      <c r="F93" s="113"/>
      <c r="G93" s="113"/>
      <c r="H93" s="113"/>
      <c r="I93" s="113"/>
      <c r="J93" s="113"/>
      <c r="K93" s="113"/>
      <c r="L93" s="112">
        <v>2.10333333333333</v>
      </c>
      <c r="M93" s="112">
        <v>40.4363833333333</v>
      </c>
      <c r="N93" s="113"/>
      <c r="O93" s="113"/>
      <c r="P93" s="112">
        <v>178.635133333333</v>
      </c>
      <c r="Q93" s="113"/>
      <c r="R93" s="113"/>
      <c r="S93" s="113"/>
      <c r="T93" s="113"/>
      <c r="U93" s="113"/>
      <c r="V93" s="112">
        <v>1.0821</v>
      </c>
      <c r="W93" s="112">
        <v>44.9656</v>
      </c>
      <c r="X93" s="113"/>
      <c r="Y93" s="113"/>
      <c r="Z93" s="113"/>
      <c r="AA93" s="113"/>
      <c r="AB93" s="113"/>
      <c r="AC93" s="112">
        <v>2.23275</v>
      </c>
      <c r="AD93" s="112">
        <v>71.0151166666666</v>
      </c>
      <c r="AE93" s="113"/>
      <c r="AF93" s="113"/>
      <c r="AG93" s="113"/>
      <c r="AH93" s="113"/>
      <c r="AI93" s="113"/>
      <c r="AJ93" s="112">
        <v>1.56388333333333</v>
      </c>
      <c r="AK93" s="112">
        <v>48.2637166666667</v>
      </c>
      <c r="AL93" s="113"/>
      <c r="AM93" s="113"/>
      <c r="AN93" s="113"/>
      <c r="AO93" s="112">
        <v>6.38901666666667</v>
      </c>
      <c r="AP93" s="112">
        <v>21.14515</v>
      </c>
      <c r="AQ93" s="113"/>
      <c r="AR93" s="113"/>
      <c r="AS93" s="112">
        <v>3.0528</v>
      </c>
      <c r="AT93" s="112">
        <v>86.4502833333333</v>
      </c>
      <c r="AU93" s="113"/>
      <c r="AV93" s="112">
        <v>8.25551666666667</v>
      </c>
      <c r="AW93" s="112">
        <v>0.6937</v>
      </c>
      <c r="AX93" s="113"/>
      <c r="AY93" s="113"/>
      <c r="AZ93" s="113"/>
      <c r="BA93" s="113"/>
      <c r="BB93" s="113"/>
      <c r="BC93" s="113"/>
      <c r="BD93" s="113"/>
      <c r="BE93" s="113"/>
      <c r="BF93" s="113"/>
      <c r="BG93" s="113"/>
      <c r="BH93" s="113"/>
      <c r="BI93" s="113"/>
      <c r="BJ93" s="113"/>
      <c r="BK93" s="113"/>
      <c r="BL93" s="113"/>
      <c r="BM93" s="113"/>
      <c r="BN93" s="113"/>
      <c r="BO93" s="113"/>
      <c r="BP93" s="113"/>
      <c r="BQ93" s="113"/>
      <c r="BR93" s="113"/>
      <c r="BS93" s="113"/>
      <c r="BT93" s="113"/>
      <c r="BU93" s="113"/>
      <c r="BV93" s="113"/>
      <c r="BW93" s="113"/>
      <c r="BX93" s="113"/>
      <c r="BY93" s="113"/>
      <c r="BZ93" s="113"/>
      <c r="CA93" s="113"/>
      <c r="CB93" s="113"/>
      <c r="CC93" s="113"/>
      <c r="CD93" s="113"/>
      <c r="CE93" s="113"/>
      <c r="CF93" s="113"/>
      <c r="CG93" s="113"/>
      <c r="CH93" s="113"/>
      <c r="CI93" s="113"/>
      <c r="CJ93" s="113"/>
      <c r="CK93" s="113"/>
      <c r="CL93" s="113"/>
      <c r="CM93" s="113"/>
      <c r="CN93" s="113"/>
      <c r="CO93" s="113"/>
      <c r="CP93" s="113"/>
      <c r="CQ93" s="113"/>
      <c r="CR93" s="113"/>
      <c r="CS93" s="113"/>
      <c r="CT93" s="113"/>
      <c r="CU93" s="113"/>
      <c r="CV93" s="113"/>
      <c r="CW93" s="113"/>
      <c r="CX93" s="113"/>
      <c r="CY93" s="113"/>
      <c r="CZ93" s="113"/>
      <c r="DA93" s="113"/>
      <c r="DB93" s="113"/>
      <c r="DC93" s="113"/>
      <c r="DD93" s="113"/>
      <c r="DE93" s="113"/>
      <c r="DF93" s="113"/>
      <c r="DG93" s="113"/>
      <c r="DH93" s="113"/>
      <c r="DI93" s="113"/>
      <c r="DJ93" s="113"/>
      <c r="DK93" s="113"/>
      <c r="DL93" s="113"/>
      <c r="DM93" s="113"/>
      <c r="DN93" s="113"/>
      <c r="DO93" s="113"/>
      <c r="DP93" s="113"/>
      <c r="DQ93" s="113"/>
      <c r="DR93" s="113"/>
      <c r="DS93" s="113"/>
      <c r="DT93" s="113"/>
      <c r="DU93" s="113"/>
      <c r="DV93" s="113"/>
      <c r="DW93" s="113"/>
      <c r="DX93" s="113"/>
      <c r="DY93" s="113"/>
      <c r="DZ93" s="113"/>
      <c r="EA93" s="113"/>
      <c r="EB93" s="113"/>
      <c r="EC93" s="113"/>
      <c r="ED93" s="113"/>
      <c r="EE93" s="113"/>
      <c r="EF93" s="113"/>
      <c r="EG93" s="113"/>
      <c r="EH93" s="113"/>
      <c r="EI93" s="113"/>
      <c r="EJ93" s="113"/>
      <c r="EK93" s="113"/>
      <c r="EL93" s="113"/>
      <c r="EM93" s="113"/>
      <c r="EN93" s="113"/>
      <c r="EO93" s="113"/>
      <c r="EP93" s="113"/>
      <c r="EQ93" s="113"/>
      <c r="ER93" s="113"/>
      <c r="ES93" s="113"/>
      <c r="ET93" s="113"/>
      <c r="EU93" s="113"/>
      <c r="EV93" s="113"/>
      <c r="EW93" s="113"/>
      <c r="EX93" s="113"/>
      <c r="EY93" s="113"/>
      <c r="EZ93" s="113"/>
      <c r="FA93" s="113"/>
      <c r="FB93" s="113"/>
      <c r="FC93" s="113"/>
      <c r="FD93" s="113"/>
      <c r="FE93" s="113"/>
      <c r="FF93" s="113"/>
      <c r="FG93" s="113"/>
      <c r="FH93" s="113"/>
      <c r="FI93" s="113"/>
      <c r="FJ93" s="113"/>
      <c r="FK93" s="113"/>
      <c r="FL93" s="113"/>
      <c r="FM93" s="113"/>
      <c r="FN93" s="113"/>
      <c r="FO93" s="113"/>
      <c r="FP93" s="113"/>
      <c r="FQ93" s="113"/>
      <c r="FR93" s="113"/>
      <c r="FS93" s="113"/>
      <c r="FT93" s="113"/>
      <c r="FU93" s="113"/>
      <c r="FV93" s="113"/>
      <c r="FW93" s="113"/>
      <c r="FX93" s="113"/>
      <c r="FY93" s="113"/>
      <c r="FZ93" s="113"/>
      <c r="GA93" s="113"/>
      <c r="GB93" s="113"/>
      <c r="GC93" s="113"/>
      <c r="GD93" s="113"/>
      <c r="GE93" s="113"/>
      <c r="GF93" s="113"/>
      <c r="GG93" s="113"/>
      <c r="GH93" s="113"/>
      <c r="GI93" s="113"/>
      <c r="GJ93" s="113"/>
      <c r="GK93" s="113"/>
      <c r="GL93" s="113"/>
      <c r="GM93" s="113"/>
      <c r="GN93" s="113"/>
      <c r="GO93" s="113"/>
      <c r="GP93" s="113"/>
      <c r="GQ93" s="113"/>
      <c r="GR93" s="113"/>
      <c r="GS93" s="113"/>
      <c r="GT93" s="113"/>
      <c r="GU93" s="113"/>
      <c r="GV93" s="113"/>
      <c r="GW93" s="113"/>
      <c r="GX93" s="113"/>
      <c r="GY93" s="113"/>
      <c r="GZ93" s="113"/>
      <c r="HA93" s="113"/>
      <c r="HB93" s="113"/>
      <c r="HC93" s="113"/>
      <c r="HD93" s="113"/>
      <c r="HE93" s="113"/>
      <c r="HF93" s="113"/>
      <c r="HG93" s="113"/>
      <c r="HH93" s="113"/>
      <c r="HI93" s="113"/>
      <c r="HJ93" s="113"/>
      <c r="HK93" s="113"/>
      <c r="HL93" s="113"/>
      <c r="HM93" s="113"/>
      <c r="HN93" s="113"/>
      <c r="HO93" s="113"/>
      <c r="HP93" s="113"/>
      <c r="HQ93" s="113"/>
      <c r="HR93" s="113"/>
      <c r="HS93" s="113"/>
      <c r="HT93" s="113"/>
      <c r="HU93" s="113"/>
      <c r="HV93" s="113"/>
      <c r="HW93" s="113"/>
      <c r="HX93" s="113"/>
      <c r="HY93" s="113"/>
      <c r="HZ93" s="113"/>
      <c r="IA93" s="113"/>
      <c r="IB93" s="113"/>
      <c r="IC93" s="113"/>
      <c r="ID93" s="113"/>
      <c r="IE93" s="113"/>
      <c r="IF93" s="113"/>
      <c r="IG93" s="113"/>
      <c r="IH93" s="113"/>
      <c r="II93" s="113"/>
      <c r="IJ93" s="113"/>
      <c r="IK93" s="113"/>
      <c r="IL93" s="113"/>
      <c r="IM93" s="113"/>
      <c r="IN93" s="113"/>
      <c r="IO93" s="113"/>
      <c r="IP93" s="113"/>
      <c r="IQ93" s="113"/>
      <c r="IR93" s="113"/>
      <c r="IS93" s="113"/>
      <c r="IT93" s="113"/>
      <c r="IU93" s="113"/>
      <c r="IV93" s="113"/>
      <c r="IW93" s="113"/>
      <c r="IX93" s="113"/>
      <c r="IY93" s="113"/>
      <c r="IZ93" s="113"/>
      <c r="JA93" s="113"/>
      <c r="JB93" s="113"/>
      <c r="JC93" s="113"/>
      <c r="JD93" s="113"/>
      <c r="JE93" s="113"/>
      <c r="JF93" s="113"/>
      <c r="JG93" s="113"/>
      <c r="JH93" s="113"/>
      <c r="JI93" s="113"/>
      <c r="JJ93" s="113"/>
      <c r="JK93" s="113"/>
      <c r="JL93" s="113"/>
      <c r="JM93" s="113"/>
      <c r="JN93" s="113"/>
      <c r="JO93" s="113"/>
      <c r="JP93" s="113"/>
      <c r="JQ93" s="113"/>
      <c r="JR93" s="113"/>
      <c r="JS93" s="113"/>
      <c r="JT93" s="113"/>
      <c r="JU93" s="113"/>
      <c r="JV93" s="113"/>
      <c r="JW93" s="113"/>
      <c r="JX93" s="113"/>
      <c r="JY93" s="113"/>
      <c r="JZ93" s="113"/>
      <c r="KA93" s="113"/>
      <c r="KB93" s="113"/>
      <c r="KC93" s="113"/>
      <c r="KD93" s="113"/>
      <c r="KE93" s="113"/>
      <c r="KF93" s="113"/>
      <c r="KG93" s="113"/>
      <c r="KH93" s="113"/>
      <c r="KI93" s="113"/>
      <c r="KJ93" s="113"/>
      <c r="KK93" s="113"/>
      <c r="KL93" s="113"/>
      <c r="KM93" s="113"/>
      <c r="KN93" s="113"/>
      <c r="KO93" s="113"/>
      <c r="KP93" s="113"/>
      <c r="KQ93" s="113"/>
      <c r="KR93" s="113"/>
      <c r="KS93" s="113"/>
      <c r="KT93" s="113"/>
      <c r="KU93" s="113"/>
      <c r="KV93" s="113"/>
      <c r="KW93" s="113"/>
      <c r="KX93" s="113"/>
      <c r="KY93" s="113"/>
      <c r="KZ93" s="113"/>
      <c r="LA93" s="113"/>
      <c r="LB93" s="113"/>
      <c r="LC93" s="113"/>
      <c r="LD93" s="113"/>
      <c r="LE93" s="113"/>
      <c r="LF93" s="113"/>
      <c r="LG93" s="113"/>
      <c r="LH93" s="113"/>
      <c r="LI93" s="113"/>
      <c r="LJ93" s="113"/>
      <c r="LK93" s="113"/>
      <c r="LL93" s="113"/>
      <c r="LM93" s="113"/>
      <c r="LN93" s="113"/>
      <c r="LO93" s="113"/>
      <c r="LP93" s="113"/>
      <c r="LQ93" s="113"/>
      <c r="LR93" s="113"/>
      <c r="LS93" s="113"/>
      <c r="LT93" s="113"/>
      <c r="LU93" s="113"/>
      <c r="LV93" s="113"/>
      <c r="LW93" s="113"/>
      <c r="LX93" s="113"/>
      <c r="LY93" s="113"/>
      <c r="LZ93" s="113"/>
      <c r="MA93" s="113"/>
      <c r="MB93" s="113"/>
      <c r="MC93" s="113"/>
      <c r="MD93" s="113"/>
      <c r="ME93" s="113"/>
      <c r="MF93" s="113"/>
      <c r="MG93" s="113"/>
      <c r="MH93" s="113"/>
      <c r="MI93" s="113"/>
      <c r="MJ93" s="113"/>
      <c r="MK93" s="113"/>
      <c r="ML93" s="113"/>
      <c r="MM93" s="113"/>
      <c r="MN93" s="113"/>
      <c r="MO93" s="113"/>
      <c r="MP93" s="113"/>
      <c r="MQ93" s="113"/>
      <c r="MR93" s="113"/>
      <c r="MS93" s="113"/>
      <c r="MT93" s="113"/>
      <c r="MU93" s="113"/>
      <c r="MV93" s="113"/>
      <c r="MW93" s="113"/>
      <c r="MX93" s="113"/>
      <c r="MY93" s="113"/>
      <c r="MZ93" s="113"/>
      <c r="NA93" s="113"/>
      <c r="NB93" s="113"/>
      <c r="NC93" s="113"/>
      <c r="ND93" s="113"/>
      <c r="NE93" s="113"/>
      <c r="NF93" s="113"/>
      <c r="NG93" s="113"/>
      <c r="NH93" s="113"/>
      <c r="NI93" s="113"/>
      <c r="NJ93" s="113"/>
      <c r="NK93" s="113"/>
      <c r="NL93" s="113"/>
      <c r="NM93" s="113"/>
      <c r="NN93" s="113"/>
      <c r="NO93" s="113"/>
      <c r="NP93" s="113"/>
      <c r="NQ93" s="113"/>
      <c r="NR93" s="113"/>
      <c r="NS93" s="113"/>
      <c r="NT93" s="113"/>
      <c r="NU93" s="113"/>
      <c r="NV93" s="113"/>
      <c r="NW93" s="113"/>
      <c r="NX93" s="113"/>
      <c r="NY93" s="113"/>
      <c r="NZ93" s="113"/>
      <c r="OA93" s="113"/>
      <c r="OB93" s="113"/>
      <c r="OC93" s="113"/>
      <c r="OD93" s="113"/>
      <c r="OE93" s="113"/>
      <c r="OF93" s="113"/>
      <c r="OG93" s="113"/>
      <c r="OH93" s="113"/>
      <c r="OI93" s="113"/>
      <c r="OJ93" s="113"/>
      <c r="OK93" s="113"/>
      <c r="OL93" s="113"/>
      <c r="OM93" s="113"/>
      <c r="ON93" s="113"/>
      <c r="OO93" s="113"/>
      <c r="OP93" s="113"/>
      <c r="OQ93" s="113"/>
      <c r="OR93" s="113"/>
      <c r="OS93" s="113"/>
      <c r="OT93" s="113"/>
      <c r="OU93" s="113"/>
      <c r="OV93" s="113"/>
      <c r="OW93" s="113"/>
      <c r="OX93" s="113"/>
      <c r="OY93" s="113"/>
      <c r="OZ93" s="113"/>
      <c r="PA93" s="113"/>
      <c r="PB93" s="113"/>
      <c r="PC93" s="113"/>
      <c r="PD93" s="113"/>
      <c r="PE93" s="113"/>
      <c r="PF93" s="113"/>
      <c r="PG93" s="113"/>
      <c r="PH93" s="113"/>
      <c r="PI93" s="113"/>
      <c r="PJ93" s="113"/>
      <c r="PK93" s="113"/>
      <c r="PL93" s="113"/>
      <c r="PM93" s="113"/>
      <c r="PN93" s="113"/>
      <c r="PO93" s="113"/>
      <c r="PP93" s="113"/>
      <c r="PQ93" s="113"/>
      <c r="PR93" s="113"/>
      <c r="PS93" s="113"/>
      <c r="PT93" s="113"/>
      <c r="PU93" s="113"/>
      <c r="PV93" s="113"/>
      <c r="PW93" s="113"/>
      <c r="PX93" s="113"/>
      <c r="PY93" s="113"/>
      <c r="PZ93" s="113"/>
      <c r="QA93" s="113"/>
      <c r="QB93" s="113"/>
      <c r="QC93" s="113"/>
      <c r="QD93" s="113"/>
      <c r="QE93" s="113"/>
      <c r="QF93" s="113"/>
      <c r="QG93" s="113"/>
      <c r="QH93" s="113"/>
      <c r="QI93" s="113"/>
      <c r="QJ93" s="113"/>
      <c r="QK93" s="113"/>
      <c r="QL93" s="113"/>
      <c r="QM93" s="113"/>
      <c r="QN93" s="113"/>
      <c r="QO93" s="113"/>
      <c r="QP93" s="113"/>
      <c r="QQ93" s="113"/>
      <c r="QR93" s="113"/>
      <c r="QS93" s="113"/>
      <c r="QT93" s="113"/>
      <c r="QU93" s="113"/>
      <c r="QV93" s="113"/>
      <c r="QW93" s="113"/>
      <c r="QX93" s="113"/>
      <c r="QY93" s="113"/>
      <c r="QZ93" s="113"/>
      <c r="RA93" s="113"/>
      <c r="RB93" s="113"/>
      <c r="RC93" s="113"/>
      <c r="RD93" s="113"/>
      <c r="RE93" s="113"/>
      <c r="RF93" s="113"/>
      <c r="RG93" s="113"/>
      <c r="RH93" s="113"/>
      <c r="RI93" s="113"/>
      <c r="RJ93" s="113"/>
      <c r="RK93" s="113"/>
      <c r="RL93" s="113"/>
      <c r="RM93" s="113"/>
      <c r="RN93" s="113"/>
      <c r="RO93" s="113"/>
      <c r="RP93" s="113"/>
      <c r="RQ93" s="113"/>
      <c r="RR93" s="113"/>
      <c r="RS93" s="113"/>
      <c r="RT93" s="113"/>
      <c r="RU93" s="113"/>
      <c r="RV93" s="113"/>
      <c r="RW93" s="113"/>
      <c r="RX93" s="113"/>
      <c r="RY93" s="113"/>
      <c r="RZ93" s="113"/>
      <c r="SA93" s="113"/>
      <c r="SB93" s="113"/>
      <c r="SC93" s="113"/>
      <c r="SD93" s="113"/>
      <c r="SE93" s="113"/>
      <c r="SF93" s="113"/>
      <c r="SG93" s="113"/>
      <c r="SH93" s="113"/>
      <c r="SI93" s="113"/>
      <c r="SJ93" s="113"/>
      <c r="SK93" s="113"/>
      <c r="SL93" s="113"/>
      <c r="SM93" s="113"/>
      <c r="SN93" s="113"/>
      <c r="SO93" s="113"/>
      <c r="SP93" s="113"/>
      <c r="SQ93" s="113"/>
      <c r="SR93" s="113"/>
      <c r="SS93" s="113"/>
      <c r="ST93" s="113"/>
      <c r="SU93" s="113"/>
      <c r="SV93" s="113"/>
      <c r="SW93" s="113"/>
      <c r="SX93" s="113"/>
      <c r="SY93" s="113"/>
      <c r="SZ93" s="113"/>
      <c r="TA93" s="113"/>
      <c r="TB93" s="113"/>
      <c r="TC93" s="113"/>
      <c r="TD93" s="113"/>
      <c r="TE93" s="113"/>
      <c r="TF93" s="113"/>
      <c r="TG93" s="113"/>
      <c r="TH93" s="113"/>
      <c r="TI93" s="113"/>
      <c r="TJ93" s="113"/>
      <c r="TK93" s="113"/>
      <c r="TL93" s="113"/>
      <c r="TM93" s="113"/>
      <c r="TN93" s="113"/>
      <c r="TO93" s="113"/>
      <c r="TP93" s="113"/>
      <c r="TQ93" s="113"/>
      <c r="TR93" s="113"/>
      <c r="TS93" s="113"/>
      <c r="TT93" s="113"/>
      <c r="TU93" s="113"/>
      <c r="TV93" s="113"/>
      <c r="TW93" s="113"/>
      <c r="TX93" s="113"/>
      <c r="TY93" s="113"/>
      <c r="TZ93" s="113"/>
      <c r="UA93" s="113"/>
      <c r="UB93" s="113"/>
      <c r="UC93" s="113"/>
      <c r="UD93" s="113"/>
      <c r="UE93" s="113"/>
      <c r="UF93" s="113"/>
      <c r="UG93" s="113"/>
      <c r="UH93" s="113"/>
      <c r="UI93" s="113"/>
      <c r="UJ93" s="113"/>
      <c r="UK93" s="113"/>
      <c r="UL93" s="113"/>
      <c r="UM93" s="113"/>
      <c r="UN93" s="113"/>
      <c r="UO93" s="113"/>
      <c r="UP93" s="113"/>
      <c r="UQ93" s="113"/>
      <c r="UR93" s="113"/>
      <c r="US93" s="113"/>
      <c r="UT93" s="113"/>
      <c r="UU93" s="113"/>
      <c r="UV93" s="113"/>
      <c r="UW93" s="113"/>
      <c r="UX93" s="113"/>
      <c r="UY93" s="113"/>
      <c r="UZ93" s="113"/>
      <c r="VA93" s="113"/>
      <c r="VB93" s="113"/>
      <c r="VC93" s="113"/>
      <c r="VD93" s="113"/>
      <c r="VE93" s="113"/>
      <c r="VF93" s="113"/>
      <c r="VG93" s="113"/>
      <c r="VH93" s="113"/>
      <c r="VI93" s="113"/>
      <c r="VJ93" s="113"/>
      <c r="VK93" s="113"/>
      <c r="VL93" s="113"/>
      <c r="VM93" s="113"/>
      <c r="VN93" s="113"/>
      <c r="VO93" s="113"/>
      <c r="VP93" s="113"/>
      <c r="VQ93" s="113"/>
      <c r="VR93" s="113"/>
      <c r="VS93" s="113"/>
      <c r="VT93" s="113"/>
      <c r="VU93" s="113"/>
      <c r="VV93" s="113"/>
      <c r="VW93" s="113"/>
      <c r="VX93" s="113"/>
      <c r="VY93" s="113"/>
      <c r="VZ93" s="113"/>
      <c r="WA93" s="113"/>
      <c r="WB93" s="113"/>
      <c r="WC93" s="113"/>
      <c r="WD93" s="113"/>
      <c r="WE93" s="113"/>
      <c r="WF93" s="113"/>
      <c r="WG93" s="113"/>
      <c r="WH93" s="113"/>
      <c r="WI93" s="113"/>
      <c r="WJ93" s="113"/>
      <c r="WK93" s="113"/>
      <c r="WL93" s="113"/>
      <c r="WM93" s="113"/>
      <c r="WN93" s="113"/>
      <c r="WO93" s="113"/>
      <c r="WP93" s="113"/>
      <c r="WQ93" s="113"/>
      <c r="WR93" s="113"/>
      <c r="WS93" s="113"/>
      <c r="WT93" s="113"/>
      <c r="WU93" s="113"/>
      <c r="WV93" s="113"/>
      <c r="WW93" s="113"/>
      <c r="WX93" s="113"/>
      <c r="WY93" s="113"/>
      <c r="WZ93" s="113"/>
      <c r="XA93" s="113"/>
      <c r="XB93" s="113"/>
      <c r="XC93" s="113"/>
      <c r="XD93" s="113"/>
      <c r="XE93" s="113"/>
      <c r="XF93" s="113"/>
      <c r="XG93" s="113"/>
      <c r="XH93" s="113"/>
      <c r="XI93" s="113"/>
      <c r="XJ93" s="113"/>
      <c r="XK93" s="113"/>
      <c r="XL93" s="113"/>
      <c r="XM93" s="113"/>
      <c r="XN93" s="113"/>
      <c r="XO93" s="113"/>
      <c r="XP93" s="113"/>
      <c r="XQ93" s="113"/>
      <c r="XR93" s="113"/>
      <c r="XS93" s="113"/>
      <c r="XT93" s="113"/>
      <c r="XU93" s="113"/>
      <c r="XV93" s="113"/>
      <c r="XW93" s="113"/>
      <c r="XX93" s="113"/>
      <c r="XY93" s="113"/>
      <c r="XZ93" s="113"/>
      <c r="YA93" s="113"/>
      <c r="YB93" s="113"/>
      <c r="YC93" s="113"/>
      <c r="YD93" s="113"/>
      <c r="YE93" s="113"/>
      <c r="YF93" s="113"/>
      <c r="YG93" s="113"/>
      <c r="YH93" s="113"/>
      <c r="YI93" s="113"/>
      <c r="YJ93" s="113"/>
      <c r="YK93" s="113"/>
      <c r="YL93" s="113"/>
      <c r="YM93" s="113"/>
      <c r="YN93" s="113"/>
      <c r="YO93" s="113"/>
      <c r="YP93" s="113"/>
      <c r="YQ93" s="113"/>
      <c r="YR93" s="113"/>
      <c r="YS93" s="113"/>
      <c r="YT93" s="113"/>
      <c r="YU93" s="113"/>
      <c r="YV93" s="113"/>
      <c r="YW93" s="113"/>
      <c r="YX93" s="113"/>
      <c r="YY93" s="113"/>
      <c r="YZ93" s="113"/>
      <c r="ZA93" s="113"/>
      <c r="ZB93" s="113"/>
      <c r="ZC93" s="113"/>
      <c r="ZD93" s="113"/>
      <c r="ZE93" s="113"/>
      <c r="ZF93" s="113"/>
      <c r="ZG93" s="113"/>
      <c r="ZH93" s="113"/>
      <c r="ZI93" s="113"/>
      <c r="ZJ93" s="113"/>
      <c r="ZK93" s="113"/>
      <c r="ZL93" s="113"/>
      <c r="ZM93" s="113"/>
      <c r="ZN93" s="113"/>
      <c r="ZO93" s="113"/>
      <c r="ZP93" s="113"/>
      <c r="ZQ93" s="113"/>
      <c r="ZR93" s="113"/>
      <c r="ZS93" s="113"/>
      <c r="ZT93" s="113"/>
      <c r="ZU93" s="113"/>
      <c r="ZV93" s="113"/>
      <c r="ZW93" s="113"/>
      <c r="ZX93" s="113"/>
      <c r="ZY93" s="113"/>
      <c r="ZZ93" s="113"/>
      <c r="AAA93" s="113"/>
      <c r="AAB93" s="113"/>
      <c r="AAC93" s="113"/>
      <c r="AAD93" s="113"/>
      <c r="AAE93" s="113"/>
      <c r="AAF93" s="113"/>
      <c r="AAG93" s="113"/>
      <c r="AAH93" s="113"/>
      <c r="AAI93" s="113"/>
      <c r="AAJ93" s="113"/>
      <c r="AAK93" s="113"/>
      <c r="AAL93" s="113"/>
      <c r="AAM93" s="113"/>
      <c r="AAN93" s="113"/>
      <c r="AAO93" s="113"/>
      <c r="AAP93" s="113"/>
      <c r="AAQ93" s="113"/>
      <c r="AAR93" s="113"/>
      <c r="AAS93" s="113"/>
      <c r="AAT93" s="113"/>
      <c r="AAU93" s="113"/>
      <c r="AAV93" s="113"/>
      <c r="AAW93" s="113"/>
      <c r="AAX93" s="113"/>
      <c r="AAY93" s="113"/>
      <c r="AAZ93" s="113"/>
      <c r="ABA93" s="113"/>
      <c r="ABB93" s="113"/>
      <c r="ABC93" s="113"/>
      <c r="ABD93" s="113"/>
      <c r="ABE93" s="113"/>
      <c r="ABF93" s="113"/>
      <c r="ABG93" s="113"/>
      <c r="ABH93" s="113"/>
      <c r="ABI93" s="113"/>
      <c r="ABJ93" s="113"/>
      <c r="ABK93" s="113"/>
      <c r="ABL93" s="113"/>
      <c r="ABM93" s="113"/>
      <c r="ABN93" s="113"/>
      <c r="ABO93" s="113"/>
      <c r="ABP93" s="113"/>
      <c r="ABQ93" s="113"/>
      <c r="ABR93" s="113"/>
      <c r="ABS93" s="113"/>
      <c r="ABT93" s="113"/>
      <c r="ABU93" s="113"/>
      <c r="ABV93" s="113"/>
      <c r="ABW93" s="113"/>
      <c r="ABX93" s="113"/>
      <c r="ABY93" s="113"/>
      <c r="ABZ93" s="113"/>
      <c r="ACA93" s="113"/>
      <c r="ACB93" s="113"/>
      <c r="ACC93" s="113"/>
      <c r="ACD93" s="113"/>
      <c r="ACE93" s="113"/>
      <c r="ACF93" s="113"/>
      <c r="ACG93" s="113"/>
      <c r="ACH93" s="113"/>
      <c r="ACI93" s="113"/>
      <c r="ACJ93" s="113"/>
      <c r="ACK93" s="113"/>
      <c r="ACL93" s="113"/>
      <c r="ACM93" s="113"/>
      <c r="ACN93" s="113"/>
      <c r="ACO93" s="113"/>
      <c r="ACP93" s="113"/>
      <c r="ACQ93" s="113"/>
      <c r="ACR93" s="113"/>
      <c r="ACS93" s="113"/>
      <c r="ACT93" s="113"/>
      <c r="ACU93" s="113"/>
      <c r="ACV93" s="113"/>
      <c r="ACW93" s="113"/>
      <c r="ACX93" s="113"/>
      <c r="ACY93" s="113"/>
      <c r="ACZ93" s="113"/>
      <c r="ADA93" s="113"/>
      <c r="ADB93" s="113"/>
      <c r="ADC93" s="113"/>
      <c r="ADD93" s="113"/>
      <c r="ADE93" s="113"/>
      <c r="ADF93" s="113"/>
      <c r="ADG93" s="113"/>
      <c r="ADH93" s="113"/>
      <c r="ADI93" s="113"/>
      <c r="ADJ93" s="113"/>
      <c r="ADK93" s="113"/>
      <c r="ADL93" s="113"/>
      <c r="ADM93" s="113"/>
      <c r="ADN93" s="113"/>
      <c r="ADO93" s="113"/>
      <c r="ADP93" s="113"/>
      <c r="ADQ93" s="113"/>
      <c r="ADR93" s="113"/>
      <c r="ADS93" s="113"/>
      <c r="ADT93" s="113"/>
      <c r="ADU93" s="113"/>
      <c r="ADV93" s="113"/>
      <c r="ADW93" s="113"/>
      <c r="ADX93" s="113"/>
      <c r="ADY93" s="113"/>
      <c r="ADZ93" s="113"/>
      <c r="AEA93" s="113"/>
      <c r="AEB93" s="113"/>
      <c r="AEC93" s="113"/>
      <c r="AED93" s="113"/>
      <c r="AEE93" s="113"/>
      <c r="AEF93" s="113"/>
      <c r="AEG93" s="113"/>
      <c r="AEH93" s="113"/>
      <c r="AEI93" s="113"/>
      <c r="AEJ93" s="113"/>
      <c r="AEK93" s="113"/>
      <c r="AEL93" s="113"/>
      <c r="AEM93" s="113"/>
      <c r="AEN93" s="113"/>
      <c r="AEO93" s="113"/>
      <c r="AEP93" s="113"/>
      <c r="AEQ93" s="113"/>
      <c r="AER93" s="113"/>
      <c r="AES93" s="113"/>
      <c r="AET93" s="113"/>
      <c r="AEU93" s="113"/>
      <c r="AEV93" s="113"/>
      <c r="AEW93" s="113"/>
      <c r="AEX93" s="113"/>
      <c r="AEY93" s="113"/>
      <c r="AEZ93" s="113"/>
      <c r="AFA93" s="113"/>
      <c r="AFB93" s="113"/>
      <c r="AFC93" s="113"/>
      <c r="AFD93" s="113"/>
      <c r="AFE93" s="113"/>
      <c r="AFF93" s="113"/>
      <c r="AFG93" s="113"/>
      <c r="AFH93" s="113"/>
      <c r="AFI93" s="113"/>
      <c r="AFJ93" s="113"/>
      <c r="AFK93" s="113"/>
      <c r="AFL93" s="113"/>
      <c r="AFM93" s="113"/>
      <c r="AFN93" s="113"/>
      <c r="AFO93" s="113"/>
      <c r="AFP93" s="113"/>
      <c r="AFQ93" s="113"/>
      <c r="AFR93" s="113"/>
      <c r="AFS93" s="113"/>
      <c r="AFT93" s="113"/>
      <c r="AFU93" s="113"/>
      <c r="AFV93" s="113"/>
      <c r="AFW93" s="113"/>
      <c r="AFX93" s="113"/>
      <c r="AFY93" s="113"/>
      <c r="AFZ93" s="113"/>
      <c r="AGA93" s="113"/>
      <c r="AGB93" s="113"/>
      <c r="AGC93" s="113"/>
      <c r="AGD93" s="113"/>
      <c r="AGE93" s="113"/>
      <c r="AGF93" s="113"/>
      <c r="AGG93" s="113"/>
      <c r="AGH93" s="113"/>
      <c r="AGI93" s="113"/>
      <c r="AGJ93" s="113"/>
      <c r="AGK93" s="113"/>
      <c r="AGL93" s="113"/>
      <c r="AGM93" s="113"/>
      <c r="AGN93" s="113"/>
      <c r="AGO93" s="113"/>
      <c r="AGP93" s="113"/>
      <c r="AGQ93" s="113"/>
      <c r="AGR93" s="113"/>
      <c r="AGS93" s="113"/>
      <c r="AGT93" s="113"/>
      <c r="AGU93" s="113"/>
      <c r="AGV93" s="113"/>
      <c r="AGW93" s="113"/>
      <c r="AGX93" s="113"/>
      <c r="AGY93" s="113"/>
      <c r="AGZ93" s="113"/>
      <c r="AHA93" s="113"/>
      <c r="AHB93" s="113"/>
      <c r="AHC93" s="113"/>
      <c r="AHD93" s="113"/>
      <c r="AHE93" s="113"/>
      <c r="AHF93" s="113"/>
      <c r="AHG93" s="113"/>
      <c r="AHH93" s="113"/>
      <c r="AHI93" s="113"/>
      <c r="AHJ93" s="113"/>
      <c r="AHK93" s="113"/>
      <c r="AHL93" s="113"/>
      <c r="AHM93" s="113"/>
      <c r="AHN93" s="113"/>
      <c r="AHO93" s="113"/>
      <c r="AHP93" s="113"/>
      <c r="AHQ93" s="113"/>
      <c r="AHR93" s="113"/>
      <c r="AHS93" s="113"/>
      <c r="AHT93" s="113"/>
      <c r="AHU93" s="113"/>
      <c r="AHV93" s="113"/>
      <c r="AHW93" s="113"/>
      <c r="AHX93" s="113"/>
      <c r="AHY93" s="113"/>
      <c r="AHZ93" s="113"/>
      <c r="AIA93" s="113"/>
      <c r="AIB93" s="113"/>
      <c r="AIC93" s="113"/>
      <c r="AID93" s="113"/>
      <c r="AIE93" s="113"/>
      <c r="AIF93" s="113"/>
      <c r="AIG93" s="113"/>
      <c r="AIH93" s="113"/>
      <c r="AII93" s="113"/>
      <c r="AIJ93" s="113"/>
      <c r="AIK93" s="113"/>
      <c r="AIL93" s="113"/>
      <c r="AIM93" s="113"/>
      <c r="AIN93" s="113"/>
      <c r="AIO93" s="113"/>
      <c r="AIP93" s="113"/>
      <c r="AIQ93" s="113"/>
      <c r="AIR93" s="113"/>
      <c r="AIS93" s="113"/>
      <c r="AIT93" s="113"/>
      <c r="AIU93" s="113"/>
      <c r="AIV93" s="113"/>
      <c r="AIW93" s="113"/>
      <c r="AIX93" s="113"/>
      <c r="AIY93" s="113"/>
      <c r="AIZ93" s="113"/>
    </row>
    <row r="94">
      <c r="A94" s="65" t="s">
        <v>7</v>
      </c>
      <c r="B94" s="65" t="s">
        <v>21</v>
      </c>
      <c r="C94" s="65"/>
      <c r="D94" s="64">
        <f t="shared" si="1"/>
        <v>561.6019833</v>
      </c>
      <c r="F94" s="65">
        <v>69.0719500000001</v>
      </c>
      <c r="G94" s="65">
        <v>16.1873</v>
      </c>
      <c r="H94" s="65">
        <v>2.63785</v>
      </c>
      <c r="I94" s="65">
        <v>0.356966666666667</v>
      </c>
      <c r="J94" s="65">
        <v>7.6757</v>
      </c>
      <c r="K94" s="65">
        <v>14.318</v>
      </c>
      <c r="N94" s="65">
        <v>27.3122333333333</v>
      </c>
      <c r="Q94" s="65">
        <v>101.819866666667</v>
      </c>
      <c r="R94" s="65">
        <v>30.6918166666667</v>
      </c>
      <c r="S94" s="65">
        <v>2.9483</v>
      </c>
      <c r="T94" s="65">
        <v>5.32803333333333</v>
      </c>
      <c r="U94" s="65">
        <v>33.7017166666667</v>
      </c>
      <c r="X94" s="65">
        <v>11.7085666666667</v>
      </c>
      <c r="Y94" s="65">
        <v>19.1666833333333</v>
      </c>
      <c r="Z94" s="65">
        <v>1.62111666666667</v>
      </c>
      <c r="AA94" s="65">
        <v>0.244183333333333</v>
      </c>
      <c r="AB94" s="65">
        <v>10.4328333333333</v>
      </c>
      <c r="AE94" s="65">
        <v>15.0243</v>
      </c>
      <c r="AF94" s="65">
        <v>28.9406</v>
      </c>
      <c r="AG94" s="65">
        <v>2.67338333333333</v>
      </c>
      <c r="AH94" s="65">
        <v>2.06448333333333</v>
      </c>
      <c r="AI94" s="65">
        <v>20.0724833333333</v>
      </c>
      <c r="AL94" s="65">
        <v>6.12696666666667</v>
      </c>
      <c r="AM94" s="65">
        <v>2.32181666666667</v>
      </c>
      <c r="AN94" s="65">
        <v>32.3482</v>
      </c>
      <c r="AQ94" s="65">
        <v>3.87181666666667</v>
      </c>
      <c r="AR94" s="65">
        <v>12.4155666666667</v>
      </c>
      <c r="AU94" s="65">
        <v>80.5192500000001</v>
      </c>
    </row>
    <row r="95">
      <c r="A95" s="65" t="s">
        <v>7</v>
      </c>
      <c r="B95" s="65" t="s">
        <v>21</v>
      </c>
      <c r="C95" s="65"/>
      <c r="D95" s="64">
        <f t="shared" si="1"/>
        <v>0</v>
      </c>
    </row>
    <row r="96">
      <c r="A96" s="65" t="s">
        <v>7</v>
      </c>
      <c r="B96" s="65" t="s">
        <v>21</v>
      </c>
      <c r="C96" s="65"/>
      <c r="D96" s="64">
        <f t="shared" si="1"/>
        <v>502.8748667</v>
      </c>
      <c r="F96" s="118">
        <f>HYPERLINK("https://docs.google.com/spreadsheets/d/1gVXpXCEvYp3fRE5Nz2rNtGfbycuiCsG0", 52.85035)</f>
        <v>52.85035</v>
      </c>
      <c r="G96" s="118">
        <f>HYPERLINK("https://docs.google.com/spreadsheets/d/1ItchB4LZwGT8R6iFeEdaaCJ_gJEC7gNE", 16.1872833333333)</f>
        <v>16.18728333</v>
      </c>
      <c r="H96" s="118">
        <f>HYPERLINK("https://docs.google.com/spreadsheets/d/1TSPaam7tgA6eM9GwfD_QSBBBNE9SzvU1", 2.63785)</f>
        <v>2.63785</v>
      </c>
      <c r="I96" s="118">
        <f>HYPERLINK("https://docs.google.com/spreadsheets/d/1FCsH9yuEq2UpO20oQfHRDxi0qtw0Vjin", 0.356966666666667)</f>
        <v>0.3569666667</v>
      </c>
      <c r="J96" s="118">
        <f>HYPERLINK("https://docs.google.com/spreadsheets/d/1K70WcQsJMlilb4MuSwsocaLXaWmKwEc2", 3.73916666666667)</f>
        <v>3.739166667</v>
      </c>
      <c r="K96" s="118">
        <f>HYPERLINK("https://docs.google.com/spreadsheets/d/1NuCKnIITSY3kMJvkyfbAssfC4lrR0N8n", 14.1348333333333)</f>
        <v>14.13483333</v>
      </c>
      <c r="N96" s="118">
        <f>HYPERLINK("https://docs.google.com/spreadsheets/d/13PQQMu7lwwMX6ZRotfEf2Vr44zOxwW8J", 27.3121833333333)</f>
        <v>27.31218333</v>
      </c>
      <c r="Q96" s="118">
        <f>HYPERLINK("https://docs.google.com/spreadsheets/d/1RJTRDxZ0yM0WH4wAzxf51buG4iw7XGN0", 70.9557166666668)</f>
        <v>70.95571667</v>
      </c>
      <c r="R96" s="118">
        <f>HYPERLINK("https://docs.google.com/spreadsheets/d/1iE2qlmyt-SiAbxZYsN3lLn5LbNvyoWuG", 30.6917666666667)</f>
        <v>30.69176667</v>
      </c>
      <c r="S96" s="118">
        <f>HYPERLINK("https://docs.google.com/spreadsheets/d/1yTcRca9N6x6OQn7rzSZqA5Q1dcXm7vcF", 2.56578333333333)</f>
        <v>2.565783333</v>
      </c>
      <c r="T96" s="118">
        <f>HYPERLINK("https://docs.google.com/spreadsheets/d/1Njbbxe722VZgXViXPPuPnuWPlbDestuL", 1.62563333333333)</f>
        <v>1.625633333</v>
      </c>
      <c r="U96" s="118">
        <f>HYPERLINK("https://docs.google.com/spreadsheets/d/1VEX89-KL5KjLNb3MIHPNsGeNh5OmgRA_", 33.7017166666667)</f>
        <v>33.70171667</v>
      </c>
      <c r="X96" s="118">
        <f>HYPERLINK("https://docs.google.com/spreadsheets/d/1VmiPZBRzhvU1nThiR6uoDlucIxJZM9au", 10.7938666666667)</f>
        <v>10.79386667</v>
      </c>
      <c r="Y96" s="118">
        <f>HYPERLINK("https://docs.google.com/spreadsheets/d/1pzvGWQAR-FM9lIct658JyFVDy_TepYFt", 19.1666666666667)</f>
        <v>19.16666667</v>
      </c>
      <c r="Z96" s="118">
        <f>HYPERLINK("https://docs.google.com/spreadsheets/d/1zPMmbc1Q6EBeDI9KBcx-ECZYiNl-jEJi", 1.62111666666667)</f>
        <v>1.621116667</v>
      </c>
      <c r="AA96" s="118">
        <f>HYPERLINK("https://docs.google.com/spreadsheets/d/1Z0PX-u0F5MohvuTJHHZt-SpjlTpQjL_D", 0)</f>
        <v>0</v>
      </c>
      <c r="AB96" s="118">
        <f>HYPERLINK("https://docs.google.com/spreadsheets/d/1B-mp0D2QjrxQ0qnGq313YjF-cc9X4-IY", 10.4328333333333)</f>
        <v>10.43283333</v>
      </c>
      <c r="AE96" s="118">
        <f>HYPERLINK("https://docs.google.com/spreadsheets/d/1VONALQ8ScCeKKI6KZo8oZ53Ewg9CnopC", 14.1629166666667)</f>
        <v>14.16291667</v>
      </c>
      <c r="AF96" s="118">
        <f>HYPERLINK("https://docs.google.com/spreadsheets/d/1v7pm_frTwmZyZ9ZUe20uiEpVGtenKym7", 28.9405833333333)</f>
        <v>28.94058333</v>
      </c>
      <c r="AG96" s="118">
        <f>HYPERLINK("https://docs.google.com/spreadsheets/d/1G8GPLOJCXvkOHvOzb_8ZGtrIS-od8dI8", 2.67338333333333)</f>
        <v>2.673383333</v>
      </c>
      <c r="AH96" s="118">
        <f>HYPERLINK("https://docs.google.com/spreadsheets/d/1Z-4YSuZ7AJHuJVyockeMvKzsyKXCwPg3", 1.89191666666667)</f>
        <v>1.891916667</v>
      </c>
      <c r="AI96" s="118">
        <f>HYPERLINK("https://docs.google.com/spreadsheets/d/1kSF4ifw5E-rfs3rWZOb5zCv4dFghjYyw", 19.9186166666667)</f>
        <v>19.91861667</v>
      </c>
      <c r="AL96" s="118">
        <f>HYPERLINK("https://docs.google.com/spreadsheets/d/1vQbJ8hwT6MEXdAQu94CFZLMizlQe1-Zr", 5.89113333333333)</f>
        <v>5.891133333</v>
      </c>
      <c r="AM96" s="118">
        <f>HYPERLINK("https://docs.google.com/spreadsheets/d/1qZfm-gRrbM-0xutQRSvKPt059pfRUMqc", 2.24273333333333)</f>
        <v>2.242733333</v>
      </c>
      <c r="AN96" s="118">
        <f>HYPERLINK("https://docs.google.com/spreadsheets/d/1L1Fiqi3pt955bzNkyvDpYqFg4kv4R-7r", 32.0238833333334)</f>
        <v>32.02388333</v>
      </c>
      <c r="AQ96" s="118">
        <f>HYPERLINK("https://docs.google.com/spreadsheets/d/11DjKnmy8cXnwg2ikcB3OpaHJEeWUomvV", 3.8718)</f>
        <v>3.8718</v>
      </c>
      <c r="AR96" s="118">
        <f>HYPERLINK("https://docs.google.com/spreadsheets/d/1lmkfBx-1acpK2l8bYQ5UmoBp71G33-D0", 12.4155666666667)</f>
        <v>12.41556667</v>
      </c>
      <c r="AU96" s="118">
        <f>HYPERLINK("https://docs.google.com/spreadsheets/d/1JtwwQv191ySNunKa8xjyvD-6B8iRhAPq", 80.0686)</f>
        <v>80.0686</v>
      </c>
    </row>
    <row r="97">
      <c r="A97" s="65" t="s">
        <v>7</v>
      </c>
      <c r="B97" s="65" t="s">
        <v>21</v>
      </c>
      <c r="C97" s="65"/>
      <c r="D97" s="64">
        <f t="shared" si="1"/>
        <v>310.4674</v>
      </c>
      <c r="F97" s="65">
        <v>28.6134666666666</v>
      </c>
      <c r="G97" s="65">
        <v>7.79816666666667</v>
      </c>
      <c r="H97" s="65">
        <v>0.243283333333333</v>
      </c>
      <c r="I97" s="65">
        <v>0.0</v>
      </c>
      <c r="J97" s="65">
        <v>3.41698333333333</v>
      </c>
      <c r="K97" s="65">
        <v>12.9574833333333</v>
      </c>
      <c r="N97" s="65">
        <v>9.8066</v>
      </c>
      <c r="Q97" s="65">
        <v>52.7055166666667</v>
      </c>
      <c r="R97" s="65">
        <v>12.5318833333333</v>
      </c>
      <c r="S97" s="65">
        <v>0.0</v>
      </c>
      <c r="T97" s="65">
        <v>0.297916666666667</v>
      </c>
      <c r="U97" s="65">
        <v>29.14085</v>
      </c>
      <c r="X97" s="65">
        <v>6.24375</v>
      </c>
      <c r="Y97" s="65">
        <v>5.56973333333333</v>
      </c>
      <c r="Z97" s="65">
        <v>0.1673</v>
      </c>
      <c r="AB97" s="65">
        <v>8.08606666666667</v>
      </c>
      <c r="AE97" s="65">
        <v>7.22885</v>
      </c>
      <c r="AF97" s="65">
        <v>10.3481833333333</v>
      </c>
      <c r="AG97" s="65">
        <v>0.661733333333333</v>
      </c>
      <c r="AH97" s="65">
        <v>0.383283333333333</v>
      </c>
      <c r="AI97" s="65">
        <v>16.3531833333333</v>
      </c>
      <c r="AL97" s="65">
        <v>1.4872</v>
      </c>
      <c r="AM97" s="65">
        <v>0.3237</v>
      </c>
      <c r="AN97" s="65">
        <v>24.6369666666667</v>
      </c>
      <c r="AQ97" s="65">
        <v>0.648566666666667</v>
      </c>
      <c r="AR97" s="65">
        <v>8.05793333333333</v>
      </c>
      <c r="AU97" s="65">
        <v>62.7588</v>
      </c>
    </row>
    <row r="98">
      <c r="A98" s="119" t="s">
        <v>7</v>
      </c>
      <c r="B98" s="119" t="s">
        <v>21</v>
      </c>
      <c r="C98" s="119"/>
      <c r="D98" s="120">
        <f t="shared" si="1"/>
        <v>0</v>
      </c>
      <c r="E98" s="120"/>
      <c r="F98" s="120"/>
      <c r="G98" s="120"/>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c r="AJ98" s="120"/>
      <c r="AK98" s="120"/>
      <c r="AL98" s="120"/>
      <c r="AM98" s="120"/>
      <c r="AN98" s="120"/>
      <c r="AO98" s="120"/>
      <c r="AP98" s="120"/>
      <c r="AQ98" s="120"/>
      <c r="AR98" s="120"/>
      <c r="AS98" s="120"/>
      <c r="AT98" s="120"/>
      <c r="AU98" s="120"/>
      <c r="AV98" s="120"/>
      <c r="AW98" s="120"/>
      <c r="AX98" s="120"/>
      <c r="AY98" s="120"/>
      <c r="AZ98" s="120"/>
      <c r="BA98" s="120"/>
      <c r="BB98" s="120"/>
      <c r="BC98" s="120"/>
      <c r="BD98" s="120"/>
      <c r="BE98" s="120"/>
      <c r="BF98" s="120"/>
      <c r="BG98" s="120"/>
      <c r="BH98" s="120"/>
      <c r="BI98" s="120"/>
      <c r="BJ98" s="120"/>
      <c r="BK98" s="120"/>
      <c r="BL98" s="120"/>
      <c r="BM98" s="120"/>
      <c r="BN98" s="120"/>
      <c r="BO98" s="120"/>
      <c r="BP98" s="120"/>
      <c r="BQ98" s="120"/>
      <c r="BR98" s="120"/>
      <c r="BS98" s="120"/>
      <c r="BT98" s="120"/>
      <c r="BU98" s="120"/>
      <c r="BV98" s="120"/>
      <c r="BW98" s="120"/>
      <c r="BX98" s="120"/>
      <c r="BY98" s="120"/>
      <c r="BZ98" s="120"/>
      <c r="CA98" s="120"/>
      <c r="CB98" s="120"/>
      <c r="CC98" s="120"/>
      <c r="CD98" s="120"/>
      <c r="CE98" s="120"/>
      <c r="CF98" s="120"/>
      <c r="CG98" s="120"/>
      <c r="CH98" s="120"/>
      <c r="CI98" s="120"/>
      <c r="CJ98" s="120"/>
      <c r="CK98" s="120"/>
      <c r="CL98" s="120"/>
      <c r="CM98" s="120"/>
      <c r="CN98" s="120"/>
      <c r="CO98" s="120"/>
      <c r="CP98" s="120"/>
      <c r="CQ98" s="120"/>
      <c r="CR98" s="120"/>
      <c r="CS98" s="120"/>
      <c r="CT98" s="120"/>
      <c r="CU98" s="120"/>
      <c r="CV98" s="120"/>
      <c r="CW98" s="120"/>
      <c r="CX98" s="120"/>
      <c r="CY98" s="120"/>
      <c r="CZ98" s="120"/>
      <c r="DA98" s="120"/>
      <c r="DB98" s="120"/>
      <c r="DC98" s="120"/>
      <c r="DD98" s="120"/>
      <c r="DE98" s="120"/>
      <c r="DF98" s="120"/>
      <c r="DG98" s="120"/>
      <c r="DH98" s="120"/>
      <c r="DI98" s="120"/>
      <c r="DJ98" s="120"/>
      <c r="DK98" s="120"/>
      <c r="DL98" s="120"/>
      <c r="DM98" s="120"/>
      <c r="DN98" s="120"/>
      <c r="DO98" s="120"/>
      <c r="DP98" s="120"/>
      <c r="DQ98" s="120"/>
      <c r="DR98" s="120"/>
      <c r="DS98" s="120"/>
      <c r="DT98" s="120"/>
      <c r="DU98" s="120"/>
      <c r="DV98" s="120"/>
      <c r="DW98" s="120"/>
      <c r="DX98" s="120"/>
      <c r="DY98" s="120"/>
      <c r="DZ98" s="120"/>
      <c r="EA98" s="120"/>
      <c r="EB98" s="120"/>
      <c r="EC98" s="120"/>
      <c r="ED98" s="120"/>
      <c r="EE98" s="120"/>
      <c r="EF98" s="120"/>
      <c r="EG98" s="120"/>
      <c r="EH98" s="120"/>
      <c r="EI98" s="120"/>
      <c r="EJ98" s="120"/>
      <c r="EK98" s="120"/>
      <c r="EL98" s="120"/>
      <c r="EM98" s="120"/>
      <c r="EN98" s="120"/>
      <c r="EO98" s="120"/>
      <c r="EP98" s="120"/>
      <c r="EQ98" s="120"/>
      <c r="ER98" s="120"/>
      <c r="ES98" s="120"/>
      <c r="ET98" s="120"/>
      <c r="EU98" s="120"/>
      <c r="EV98" s="120"/>
      <c r="EW98" s="120"/>
      <c r="EX98" s="120"/>
      <c r="EY98" s="120"/>
      <c r="EZ98" s="120"/>
      <c r="FA98" s="120"/>
      <c r="FB98" s="120"/>
      <c r="FC98" s="120"/>
      <c r="FD98" s="120"/>
      <c r="FE98" s="120"/>
      <c r="FF98" s="120"/>
      <c r="FG98" s="120"/>
      <c r="FH98" s="120"/>
      <c r="FI98" s="120"/>
      <c r="FJ98" s="120"/>
      <c r="FK98" s="120"/>
      <c r="FL98" s="120"/>
      <c r="FM98" s="120"/>
      <c r="FN98" s="120"/>
      <c r="FO98" s="120"/>
      <c r="FP98" s="120"/>
      <c r="FQ98" s="120"/>
      <c r="FR98" s="120"/>
      <c r="FS98" s="120"/>
      <c r="FT98" s="120"/>
      <c r="FU98" s="120"/>
      <c r="FV98" s="120"/>
      <c r="FW98" s="120"/>
      <c r="FX98" s="120"/>
      <c r="FY98" s="120"/>
      <c r="FZ98" s="120"/>
      <c r="GA98" s="120"/>
      <c r="GB98" s="120"/>
      <c r="GC98" s="120"/>
      <c r="GD98" s="120"/>
      <c r="GE98" s="120"/>
      <c r="GF98" s="120"/>
      <c r="GG98" s="120"/>
      <c r="GH98" s="120"/>
      <c r="GI98" s="120"/>
      <c r="GJ98" s="120"/>
      <c r="GK98" s="120"/>
      <c r="GL98" s="120"/>
      <c r="GM98" s="120"/>
      <c r="GN98" s="120"/>
      <c r="GO98" s="120"/>
      <c r="GP98" s="120"/>
      <c r="GQ98" s="120"/>
      <c r="GR98" s="120"/>
      <c r="GS98" s="120"/>
      <c r="GT98" s="120"/>
      <c r="GU98" s="120"/>
      <c r="GV98" s="120"/>
      <c r="GW98" s="120"/>
      <c r="GX98" s="120"/>
      <c r="GY98" s="120"/>
      <c r="GZ98" s="120"/>
      <c r="HA98" s="120"/>
      <c r="HB98" s="120"/>
      <c r="HC98" s="120"/>
      <c r="HD98" s="120"/>
      <c r="HE98" s="120"/>
      <c r="HF98" s="120"/>
      <c r="HG98" s="120"/>
      <c r="HH98" s="120"/>
      <c r="HI98" s="120"/>
      <c r="HJ98" s="120"/>
      <c r="HK98" s="120"/>
      <c r="HL98" s="120"/>
      <c r="HM98" s="120"/>
      <c r="HN98" s="120"/>
      <c r="HO98" s="120"/>
      <c r="HP98" s="120"/>
      <c r="HQ98" s="120"/>
      <c r="HR98" s="120"/>
      <c r="HS98" s="120"/>
      <c r="HT98" s="120"/>
      <c r="HU98" s="120"/>
      <c r="HV98" s="120"/>
      <c r="HW98" s="120"/>
      <c r="HX98" s="120"/>
      <c r="HY98" s="120"/>
      <c r="HZ98" s="120"/>
      <c r="IA98" s="120"/>
      <c r="IB98" s="120"/>
      <c r="IC98" s="120"/>
      <c r="ID98" s="120"/>
      <c r="IE98" s="120"/>
      <c r="IF98" s="120"/>
      <c r="IG98" s="120"/>
      <c r="IH98" s="120"/>
      <c r="II98" s="120"/>
      <c r="IJ98" s="120"/>
      <c r="IK98" s="120"/>
      <c r="IL98" s="120"/>
      <c r="IM98" s="120"/>
      <c r="IN98" s="120"/>
      <c r="IO98" s="120"/>
      <c r="IP98" s="120"/>
      <c r="IQ98" s="120"/>
      <c r="IR98" s="120"/>
      <c r="IS98" s="120"/>
      <c r="IT98" s="120"/>
      <c r="IU98" s="120"/>
      <c r="IV98" s="120"/>
      <c r="IW98" s="120"/>
      <c r="IX98" s="120"/>
      <c r="IY98" s="120"/>
      <c r="IZ98" s="120"/>
      <c r="JA98" s="120"/>
      <c r="JB98" s="120"/>
      <c r="JC98" s="120"/>
      <c r="JD98" s="120"/>
      <c r="JE98" s="120"/>
      <c r="JF98" s="120"/>
      <c r="JG98" s="120"/>
      <c r="JH98" s="120"/>
      <c r="JI98" s="120"/>
      <c r="JJ98" s="120"/>
      <c r="JK98" s="120"/>
      <c r="JL98" s="120"/>
      <c r="JM98" s="120"/>
      <c r="JN98" s="120"/>
      <c r="JO98" s="120"/>
      <c r="JP98" s="120"/>
      <c r="JQ98" s="120"/>
      <c r="JR98" s="120"/>
      <c r="JS98" s="120"/>
      <c r="JT98" s="120"/>
      <c r="JU98" s="120"/>
      <c r="JV98" s="120"/>
      <c r="JW98" s="120"/>
      <c r="JX98" s="120"/>
      <c r="JY98" s="120"/>
      <c r="JZ98" s="120"/>
      <c r="KA98" s="120"/>
      <c r="KB98" s="120"/>
      <c r="KC98" s="120"/>
      <c r="KD98" s="120"/>
      <c r="KE98" s="120"/>
      <c r="KF98" s="120"/>
      <c r="KG98" s="120"/>
      <c r="KH98" s="120"/>
      <c r="KI98" s="120"/>
      <c r="KJ98" s="120"/>
      <c r="KK98" s="120"/>
      <c r="KL98" s="120"/>
      <c r="KM98" s="120"/>
      <c r="KN98" s="120"/>
      <c r="KO98" s="120"/>
      <c r="KP98" s="120"/>
      <c r="KQ98" s="120"/>
      <c r="KR98" s="120"/>
      <c r="KS98" s="120"/>
      <c r="KT98" s="120"/>
      <c r="KU98" s="120"/>
      <c r="KV98" s="120"/>
      <c r="KW98" s="120"/>
      <c r="KX98" s="120"/>
      <c r="KY98" s="120"/>
      <c r="KZ98" s="120"/>
      <c r="LA98" s="120"/>
      <c r="LB98" s="120"/>
      <c r="LC98" s="120"/>
      <c r="LD98" s="120"/>
      <c r="LE98" s="120"/>
      <c r="LF98" s="120"/>
      <c r="LG98" s="120"/>
      <c r="LH98" s="120"/>
      <c r="LI98" s="120"/>
      <c r="LJ98" s="120"/>
      <c r="LK98" s="120"/>
      <c r="LL98" s="120"/>
      <c r="LM98" s="120"/>
      <c r="LN98" s="120"/>
      <c r="LO98" s="120"/>
      <c r="LP98" s="120"/>
      <c r="LQ98" s="120"/>
      <c r="LR98" s="120"/>
      <c r="LS98" s="120"/>
      <c r="LT98" s="120"/>
      <c r="LU98" s="120"/>
      <c r="LV98" s="120"/>
      <c r="LW98" s="120"/>
      <c r="LX98" s="120"/>
      <c r="LY98" s="120"/>
      <c r="LZ98" s="120"/>
      <c r="MA98" s="120"/>
      <c r="MB98" s="120"/>
      <c r="MC98" s="120"/>
      <c r="MD98" s="120"/>
      <c r="ME98" s="120"/>
      <c r="MF98" s="120"/>
      <c r="MG98" s="120"/>
      <c r="MH98" s="120"/>
      <c r="MI98" s="120"/>
      <c r="MJ98" s="120"/>
      <c r="MK98" s="120"/>
      <c r="ML98" s="120"/>
      <c r="MM98" s="120"/>
      <c r="MN98" s="120"/>
      <c r="MO98" s="120"/>
      <c r="MP98" s="120"/>
      <c r="MQ98" s="120"/>
      <c r="MR98" s="120"/>
      <c r="MS98" s="120"/>
      <c r="MT98" s="120"/>
      <c r="MU98" s="120"/>
      <c r="MV98" s="120"/>
      <c r="MW98" s="120"/>
      <c r="MX98" s="120"/>
      <c r="MY98" s="120"/>
      <c r="MZ98" s="120"/>
      <c r="NA98" s="120"/>
      <c r="NB98" s="120"/>
      <c r="NC98" s="120"/>
      <c r="ND98" s="120"/>
      <c r="NE98" s="120"/>
      <c r="NF98" s="120"/>
      <c r="NG98" s="120"/>
      <c r="NH98" s="120"/>
      <c r="NI98" s="120"/>
      <c r="NJ98" s="120"/>
      <c r="NK98" s="120"/>
      <c r="NL98" s="120"/>
      <c r="NM98" s="120"/>
      <c r="NN98" s="120"/>
      <c r="NO98" s="120"/>
      <c r="NP98" s="120"/>
      <c r="NQ98" s="120"/>
      <c r="NR98" s="120"/>
      <c r="NS98" s="120"/>
      <c r="NT98" s="120"/>
      <c r="NU98" s="120"/>
      <c r="NV98" s="120"/>
      <c r="NW98" s="120"/>
      <c r="NX98" s="120"/>
      <c r="NY98" s="120"/>
      <c r="NZ98" s="120"/>
      <c r="OA98" s="120"/>
      <c r="OB98" s="120"/>
      <c r="OC98" s="120"/>
      <c r="OD98" s="120"/>
      <c r="OE98" s="120"/>
      <c r="OF98" s="120"/>
      <c r="OG98" s="120"/>
      <c r="OH98" s="120"/>
      <c r="OI98" s="120"/>
      <c r="OJ98" s="120"/>
      <c r="OK98" s="120"/>
      <c r="OL98" s="120"/>
      <c r="OM98" s="120"/>
      <c r="ON98" s="120"/>
      <c r="OO98" s="120"/>
      <c r="OP98" s="120"/>
      <c r="OQ98" s="120"/>
      <c r="OR98" s="120"/>
      <c r="OS98" s="120"/>
      <c r="OT98" s="120"/>
      <c r="OU98" s="120"/>
      <c r="OV98" s="120"/>
      <c r="OW98" s="120"/>
      <c r="OX98" s="120"/>
      <c r="OY98" s="120"/>
      <c r="OZ98" s="120"/>
      <c r="PA98" s="120"/>
      <c r="PB98" s="120"/>
      <c r="PC98" s="120"/>
      <c r="PD98" s="120"/>
      <c r="PE98" s="120"/>
      <c r="PF98" s="120"/>
      <c r="PG98" s="120"/>
      <c r="PH98" s="120"/>
      <c r="PI98" s="120"/>
      <c r="PJ98" s="120"/>
      <c r="PK98" s="120"/>
      <c r="PL98" s="120"/>
      <c r="PM98" s="120"/>
      <c r="PN98" s="120"/>
      <c r="PO98" s="120"/>
      <c r="PP98" s="120"/>
      <c r="PQ98" s="120"/>
      <c r="PR98" s="120"/>
      <c r="PS98" s="120"/>
      <c r="PT98" s="120"/>
      <c r="PU98" s="120"/>
      <c r="PV98" s="120"/>
      <c r="PW98" s="120"/>
      <c r="PX98" s="120"/>
      <c r="PY98" s="120"/>
      <c r="PZ98" s="120"/>
      <c r="QA98" s="120"/>
      <c r="QB98" s="120"/>
      <c r="QC98" s="120"/>
      <c r="QD98" s="120"/>
      <c r="QE98" s="120"/>
      <c r="QF98" s="120"/>
      <c r="QG98" s="120"/>
      <c r="QH98" s="120"/>
      <c r="QI98" s="120"/>
      <c r="QJ98" s="120"/>
      <c r="QK98" s="120"/>
      <c r="QL98" s="120"/>
      <c r="QM98" s="120"/>
      <c r="QN98" s="120"/>
      <c r="QO98" s="120"/>
      <c r="QP98" s="120"/>
      <c r="QQ98" s="120"/>
      <c r="QR98" s="120"/>
      <c r="QS98" s="120"/>
      <c r="QT98" s="120"/>
      <c r="QU98" s="120"/>
      <c r="QV98" s="120"/>
      <c r="QW98" s="120"/>
      <c r="QX98" s="120"/>
      <c r="QY98" s="120"/>
      <c r="QZ98" s="120"/>
      <c r="RA98" s="120"/>
      <c r="RB98" s="120"/>
      <c r="RC98" s="120"/>
      <c r="RD98" s="120"/>
      <c r="RE98" s="120"/>
      <c r="RF98" s="120"/>
      <c r="RG98" s="120"/>
      <c r="RH98" s="120"/>
      <c r="RI98" s="120"/>
      <c r="RJ98" s="120"/>
      <c r="RK98" s="120"/>
      <c r="RL98" s="120"/>
      <c r="RM98" s="120"/>
      <c r="RN98" s="120"/>
      <c r="RO98" s="120"/>
      <c r="RP98" s="120"/>
      <c r="RQ98" s="120"/>
      <c r="RR98" s="120"/>
      <c r="RS98" s="120"/>
      <c r="RT98" s="120"/>
      <c r="RU98" s="120"/>
      <c r="RV98" s="120"/>
      <c r="RW98" s="120"/>
      <c r="RX98" s="120"/>
      <c r="RY98" s="120"/>
      <c r="RZ98" s="120"/>
      <c r="SA98" s="120"/>
      <c r="SB98" s="120"/>
      <c r="SC98" s="120"/>
      <c r="SD98" s="120"/>
      <c r="SE98" s="120"/>
      <c r="SF98" s="120"/>
      <c r="SG98" s="120"/>
      <c r="SH98" s="120"/>
      <c r="SI98" s="120"/>
      <c r="SJ98" s="120"/>
      <c r="SK98" s="120"/>
      <c r="SL98" s="120"/>
      <c r="SM98" s="120"/>
      <c r="SN98" s="120"/>
      <c r="SO98" s="120"/>
      <c r="SP98" s="120"/>
      <c r="SQ98" s="120"/>
      <c r="SR98" s="120"/>
      <c r="SS98" s="120"/>
      <c r="ST98" s="120"/>
      <c r="SU98" s="120"/>
      <c r="SV98" s="120"/>
      <c r="SW98" s="120"/>
      <c r="SX98" s="120"/>
      <c r="SY98" s="120"/>
      <c r="SZ98" s="120"/>
      <c r="TA98" s="120"/>
      <c r="TB98" s="120"/>
      <c r="TC98" s="120"/>
      <c r="TD98" s="120"/>
      <c r="TE98" s="120"/>
      <c r="TF98" s="120"/>
      <c r="TG98" s="120"/>
      <c r="TH98" s="120"/>
      <c r="TI98" s="120"/>
      <c r="TJ98" s="120"/>
      <c r="TK98" s="120"/>
      <c r="TL98" s="120"/>
      <c r="TM98" s="120"/>
      <c r="TN98" s="120"/>
      <c r="TO98" s="120"/>
      <c r="TP98" s="120"/>
      <c r="TQ98" s="120"/>
      <c r="TR98" s="120"/>
      <c r="TS98" s="120"/>
      <c r="TT98" s="120"/>
      <c r="TU98" s="120"/>
      <c r="TV98" s="120"/>
      <c r="TW98" s="120"/>
      <c r="TX98" s="120"/>
      <c r="TY98" s="120"/>
      <c r="TZ98" s="120"/>
      <c r="UA98" s="120"/>
      <c r="UB98" s="120"/>
      <c r="UC98" s="120"/>
      <c r="UD98" s="120"/>
      <c r="UE98" s="120"/>
      <c r="UF98" s="120"/>
      <c r="UG98" s="120"/>
      <c r="UH98" s="120"/>
      <c r="UI98" s="120"/>
      <c r="UJ98" s="120"/>
      <c r="UK98" s="120"/>
      <c r="UL98" s="120"/>
      <c r="UM98" s="120"/>
      <c r="UN98" s="120"/>
      <c r="UO98" s="120"/>
      <c r="UP98" s="120"/>
      <c r="UQ98" s="120"/>
      <c r="UR98" s="120"/>
      <c r="US98" s="120"/>
      <c r="UT98" s="120"/>
      <c r="UU98" s="120"/>
      <c r="UV98" s="120"/>
      <c r="UW98" s="120"/>
      <c r="UX98" s="120"/>
      <c r="UY98" s="120"/>
      <c r="UZ98" s="120"/>
      <c r="VA98" s="120"/>
      <c r="VB98" s="120"/>
      <c r="VC98" s="120"/>
      <c r="VD98" s="120"/>
      <c r="VE98" s="120"/>
      <c r="VF98" s="120"/>
      <c r="VG98" s="120"/>
      <c r="VH98" s="120"/>
      <c r="VI98" s="120"/>
      <c r="VJ98" s="120"/>
      <c r="VK98" s="120"/>
      <c r="VL98" s="120"/>
      <c r="VM98" s="120"/>
      <c r="VN98" s="120"/>
      <c r="VO98" s="120"/>
      <c r="VP98" s="120"/>
      <c r="VQ98" s="120"/>
      <c r="VR98" s="120"/>
      <c r="VS98" s="120"/>
      <c r="VT98" s="120"/>
      <c r="VU98" s="120"/>
      <c r="VV98" s="120"/>
      <c r="VW98" s="120"/>
      <c r="VX98" s="120"/>
      <c r="VY98" s="120"/>
      <c r="VZ98" s="120"/>
      <c r="WA98" s="120"/>
      <c r="WB98" s="120"/>
      <c r="WC98" s="120"/>
      <c r="WD98" s="120"/>
      <c r="WE98" s="120"/>
      <c r="WF98" s="120"/>
      <c r="WG98" s="120"/>
      <c r="WH98" s="120"/>
      <c r="WI98" s="120"/>
      <c r="WJ98" s="120"/>
      <c r="WK98" s="120"/>
      <c r="WL98" s="120"/>
      <c r="WM98" s="120"/>
      <c r="WN98" s="120"/>
      <c r="WO98" s="120"/>
      <c r="WP98" s="120"/>
      <c r="WQ98" s="120"/>
      <c r="WR98" s="120"/>
      <c r="WS98" s="120"/>
      <c r="WT98" s="120"/>
      <c r="WU98" s="120"/>
      <c r="WV98" s="120"/>
      <c r="WW98" s="120"/>
      <c r="WX98" s="120"/>
      <c r="WY98" s="120"/>
      <c r="WZ98" s="120"/>
      <c r="XA98" s="120"/>
      <c r="XB98" s="120"/>
      <c r="XC98" s="120"/>
      <c r="XD98" s="120"/>
      <c r="XE98" s="120"/>
      <c r="XF98" s="120"/>
      <c r="XG98" s="120"/>
      <c r="XH98" s="120"/>
      <c r="XI98" s="120"/>
      <c r="XJ98" s="120"/>
      <c r="XK98" s="120"/>
      <c r="XL98" s="120"/>
      <c r="XM98" s="120"/>
      <c r="XN98" s="120"/>
      <c r="XO98" s="120"/>
      <c r="XP98" s="120"/>
      <c r="XQ98" s="120"/>
      <c r="XR98" s="120"/>
      <c r="XS98" s="120"/>
      <c r="XT98" s="120"/>
      <c r="XU98" s="120"/>
      <c r="XV98" s="120"/>
      <c r="XW98" s="120"/>
      <c r="XX98" s="120"/>
      <c r="XY98" s="120"/>
      <c r="XZ98" s="120"/>
      <c r="YA98" s="120"/>
      <c r="YB98" s="120"/>
      <c r="YC98" s="120"/>
      <c r="YD98" s="120"/>
      <c r="YE98" s="120"/>
      <c r="YF98" s="120"/>
      <c r="YG98" s="120"/>
      <c r="YH98" s="120"/>
      <c r="YI98" s="120"/>
      <c r="YJ98" s="120"/>
      <c r="YK98" s="120"/>
      <c r="YL98" s="120"/>
      <c r="YM98" s="120"/>
      <c r="YN98" s="120"/>
      <c r="YO98" s="120"/>
      <c r="YP98" s="120"/>
      <c r="YQ98" s="120"/>
      <c r="YR98" s="120"/>
      <c r="YS98" s="120"/>
      <c r="YT98" s="120"/>
      <c r="YU98" s="120"/>
      <c r="YV98" s="120"/>
      <c r="YW98" s="120"/>
      <c r="YX98" s="120"/>
      <c r="YY98" s="120"/>
      <c r="YZ98" s="120"/>
      <c r="ZA98" s="120"/>
      <c r="ZB98" s="120"/>
      <c r="ZC98" s="120"/>
      <c r="ZD98" s="120"/>
      <c r="ZE98" s="120"/>
      <c r="ZF98" s="120"/>
      <c r="ZG98" s="120"/>
      <c r="ZH98" s="120"/>
      <c r="ZI98" s="120"/>
      <c r="ZJ98" s="120"/>
      <c r="ZK98" s="120"/>
      <c r="ZL98" s="120"/>
      <c r="ZM98" s="120"/>
      <c r="ZN98" s="120"/>
      <c r="ZO98" s="120"/>
      <c r="ZP98" s="120"/>
      <c r="ZQ98" s="120"/>
      <c r="ZR98" s="120"/>
      <c r="ZS98" s="120"/>
      <c r="ZT98" s="120"/>
      <c r="ZU98" s="120"/>
      <c r="ZV98" s="120"/>
      <c r="ZW98" s="120"/>
      <c r="ZX98" s="120"/>
      <c r="ZY98" s="120"/>
      <c r="ZZ98" s="120"/>
      <c r="AAA98" s="120"/>
      <c r="AAB98" s="120"/>
      <c r="AAC98" s="120"/>
      <c r="AAD98" s="120"/>
      <c r="AAE98" s="120"/>
      <c r="AAF98" s="120"/>
      <c r="AAG98" s="120"/>
      <c r="AAH98" s="120"/>
      <c r="AAI98" s="120"/>
      <c r="AAJ98" s="120"/>
      <c r="AAK98" s="120"/>
      <c r="AAL98" s="120"/>
      <c r="AAM98" s="120"/>
      <c r="AAN98" s="120"/>
      <c r="AAO98" s="120"/>
      <c r="AAP98" s="120"/>
      <c r="AAQ98" s="120"/>
      <c r="AAR98" s="120"/>
      <c r="AAS98" s="120"/>
      <c r="AAT98" s="120"/>
      <c r="AAU98" s="120"/>
      <c r="AAV98" s="120"/>
      <c r="AAW98" s="120"/>
      <c r="AAX98" s="120"/>
      <c r="AAY98" s="120"/>
      <c r="AAZ98" s="120"/>
      <c r="ABA98" s="120"/>
      <c r="ABB98" s="120"/>
      <c r="ABC98" s="120"/>
      <c r="ABD98" s="120"/>
      <c r="ABE98" s="120"/>
      <c r="ABF98" s="120"/>
      <c r="ABG98" s="120"/>
      <c r="ABH98" s="120"/>
      <c r="ABI98" s="120"/>
      <c r="ABJ98" s="120"/>
      <c r="ABK98" s="120"/>
      <c r="ABL98" s="120"/>
      <c r="ABM98" s="120"/>
      <c r="ABN98" s="120"/>
      <c r="ABO98" s="120"/>
      <c r="ABP98" s="120"/>
      <c r="ABQ98" s="120"/>
      <c r="ABR98" s="120"/>
      <c r="ABS98" s="120"/>
      <c r="ABT98" s="120"/>
      <c r="ABU98" s="120"/>
      <c r="ABV98" s="120"/>
      <c r="ABW98" s="120"/>
      <c r="ABX98" s="120"/>
      <c r="ABY98" s="120"/>
      <c r="ABZ98" s="120"/>
      <c r="ACA98" s="120"/>
      <c r="ACB98" s="120"/>
      <c r="ACC98" s="120"/>
      <c r="ACD98" s="120"/>
      <c r="ACE98" s="120"/>
      <c r="ACF98" s="120"/>
      <c r="ACG98" s="120"/>
      <c r="ACH98" s="120"/>
      <c r="ACI98" s="120"/>
      <c r="ACJ98" s="120"/>
      <c r="ACK98" s="120"/>
      <c r="ACL98" s="120"/>
      <c r="ACM98" s="120"/>
      <c r="ACN98" s="120"/>
      <c r="ACO98" s="120"/>
      <c r="ACP98" s="120"/>
      <c r="ACQ98" s="120"/>
      <c r="ACR98" s="120"/>
      <c r="ACS98" s="120"/>
      <c r="ACT98" s="120"/>
      <c r="ACU98" s="120"/>
      <c r="ACV98" s="120"/>
      <c r="ACW98" s="120"/>
      <c r="ACX98" s="120"/>
      <c r="ACY98" s="120"/>
      <c r="ACZ98" s="120"/>
      <c r="ADA98" s="120"/>
      <c r="ADB98" s="120"/>
      <c r="ADC98" s="120"/>
      <c r="ADD98" s="120"/>
      <c r="ADE98" s="120"/>
      <c r="ADF98" s="120"/>
      <c r="ADG98" s="120"/>
      <c r="ADH98" s="120"/>
      <c r="ADI98" s="120"/>
      <c r="ADJ98" s="120"/>
      <c r="ADK98" s="120"/>
      <c r="ADL98" s="120"/>
      <c r="ADM98" s="120"/>
      <c r="ADN98" s="120"/>
      <c r="ADO98" s="120"/>
      <c r="ADP98" s="120"/>
      <c r="ADQ98" s="120"/>
      <c r="ADR98" s="120"/>
      <c r="ADS98" s="120"/>
      <c r="ADT98" s="120"/>
      <c r="ADU98" s="120"/>
      <c r="ADV98" s="120"/>
      <c r="ADW98" s="120"/>
      <c r="ADX98" s="120"/>
      <c r="ADY98" s="120"/>
      <c r="ADZ98" s="120"/>
      <c r="AEA98" s="120"/>
      <c r="AEB98" s="120"/>
      <c r="AEC98" s="120"/>
      <c r="AED98" s="120"/>
      <c r="AEE98" s="120"/>
      <c r="AEF98" s="120"/>
      <c r="AEG98" s="120"/>
      <c r="AEH98" s="120"/>
      <c r="AEI98" s="120"/>
      <c r="AEJ98" s="120"/>
      <c r="AEK98" s="120"/>
      <c r="AEL98" s="120"/>
      <c r="AEM98" s="120"/>
      <c r="AEN98" s="120"/>
      <c r="AEO98" s="120"/>
      <c r="AEP98" s="120"/>
      <c r="AEQ98" s="120"/>
      <c r="AER98" s="120"/>
      <c r="AES98" s="120"/>
      <c r="AET98" s="120"/>
      <c r="AEU98" s="120"/>
      <c r="AEV98" s="120"/>
      <c r="AEW98" s="120"/>
      <c r="AEX98" s="120"/>
      <c r="AEY98" s="120"/>
      <c r="AEZ98" s="120"/>
      <c r="AFA98" s="120"/>
      <c r="AFB98" s="120"/>
      <c r="AFC98" s="120"/>
      <c r="AFD98" s="120"/>
      <c r="AFE98" s="120"/>
      <c r="AFF98" s="120"/>
      <c r="AFG98" s="120"/>
      <c r="AFH98" s="120"/>
      <c r="AFI98" s="120"/>
      <c r="AFJ98" s="120"/>
      <c r="AFK98" s="120"/>
      <c r="AFL98" s="120"/>
      <c r="AFM98" s="120"/>
      <c r="AFN98" s="120"/>
      <c r="AFO98" s="120"/>
      <c r="AFP98" s="120"/>
      <c r="AFQ98" s="120"/>
      <c r="AFR98" s="120"/>
      <c r="AFS98" s="120"/>
      <c r="AFT98" s="120"/>
      <c r="AFU98" s="120"/>
      <c r="AFV98" s="120"/>
      <c r="AFW98" s="120"/>
      <c r="AFX98" s="120"/>
      <c r="AFY98" s="120"/>
      <c r="AFZ98" s="120"/>
      <c r="AGA98" s="120"/>
      <c r="AGB98" s="120"/>
      <c r="AGC98" s="120"/>
      <c r="AGD98" s="120"/>
      <c r="AGE98" s="120"/>
      <c r="AGF98" s="120"/>
      <c r="AGG98" s="120"/>
      <c r="AGH98" s="120"/>
      <c r="AGI98" s="120"/>
      <c r="AGJ98" s="120"/>
      <c r="AGK98" s="120"/>
      <c r="AGL98" s="120"/>
      <c r="AGM98" s="120"/>
      <c r="AGN98" s="120"/>
      <c r="AGO98" s="120"/>
      <c r="AGP98" s="120"/>
      <c r="AGQ98" s="120"/>
      <c r="AGR98" s="120"/>
      <c r="AGS98" s="120"/>
      <c r="AGT98" s="120"/>
      <c r="AGU98" s="120"/>
      <c r="AGV98" s="120"/>
      <c r="AGW98" s="120"/>
      <c r="AGX98" s="120"/>
      <c r="AGY98" s="120"/>
      <c r="AGZ98" s="120"/>
      <c r="AHA98" s="120"/>
      <c r="AHB98" s="120"/>
      <c r="AHC98" s="120"/>
      <c r="AHD98" s="120"/>
      <c r="AHE98" s="120"/>
      <c r="AHF98" s="120"/>
      <c r="AHG98" s="120"/>
      <c r="AHH98" s="120"/>
      <c r="AHI98" s="120"/>
      <c r="AHJ98" s="120"/>
      <c r="AHK98" s="120"/>
      <c r="AHL98" s="120"/>
      <c r="AHM98" s="120"/>
      <c r="AHN98" s="120"/>
      <c r="AHO98" s="120"/>
      <c r="AHP98" s="120"/>
      <c r="AHQ98" s="120"/>
      <c r="AHR98" s="120"/>
      <c r="AHS98" s="120"/>
      <c r="AHT98" s="120"/>
      <c r="AHU98" s="120"/>
      <c r="AHV98" s="120"/>
      <c r="AHW98" s="120"/>
      <c r="AHX98" s="120"/>
      <c r="AHY98" s="120"/>
      <c r="AHZ98" s="120"/>
      <c r="AIA98" s="120"/>
      <c r="AIB98" s="120"/>
      <c r="AIC98" s="120"/>
      <c r="AID98" s="120"/>
      <c r="AIE98" s="120"/>
      <c r="AIF98" s="120"/>
      <c r="AIG98" s="120"/>
      <c r="AIH98" s="120"/>
      <c r="AII98" s="120"/>
      <c r="AIJ98" s="120"/>
      <c r="AIK98" s="120"/>
      <c r="AIL98" s="120"/>
      <c r="AIM98" s="120"/>
      <c r="AIN98" s="120"/>
      <c r="AIO98" s="120"/>
      <c r="AIP98" s="120"/>
      <c r="AIQ98" s="120"/>
      <c r="AIR98" s="120"/>
      <c r="AIS98" s="120"/>
      <c r="AIT98" s="120"/>
      <c r="AIU98" s="120"/>
      <c r="AIV98" s="120"/>
      <c r="AIW98" s="120"/>
      <c r="AIX98" s="120"/>
      <c r="AIY98" s="120"/>
      <c r="AIZ98" s="120"/>
    </row>
    <row r="99">
      <c r="A99" s="112" t="s">
        <v>7</v>
      </c>
      <c r="B99" s="112" t="s">
        <v>31</v>
      </c>
      <c r="C99" s="112"/>
      <c r="D99" s="113">
        <f t="shared" si="1"/>
        <v>553.07445</v>
      </c>
      <c r="E99" s="112">
        <v>52.7495</v>
      </c>
      <c r="F99" s="113"/>
      <c r="G99" s="113"/>
      <c r="H99" s="113"/>
      <c r="I99" s="113"/>
      <c r="J99" s="113"/>
      <c r="K99" s="113"/>
      <c r="L99" s="112">
        <v>0.673733333333333</v>
      </c>
      <c r="M99" s="112">
        <v>10.08265</v>
      </c>
      <c r="N99" s="113"/>
      <c r="O99" s="112">
        <v>0.112266666666667</v>
      </c>
      <c r="P99" s="112">
        <v>169.192783333333</v>
      </c>
      <c r="Q99" s="113"/>
      <c r="R99" s="113"/>
      <c r="S99" s="113"/>
      <c r="T99" s="113"/>
      <c r="U99" s="113"/>
      <c r="V99" s="112">
        <v>1.4702</v>
      </c>
      <c r="W99" s="112">
        <v>55.94625</v>
      </c>
      <c r="X99" s="113"/>
      <c r="Y99" s="113"/>
      <c r="Z99" s="113"/>
      <c r="AA99" s="113"/>
      <c r="AB99" s="113"/>
      <c r="AC99" s="112">
        <v>1.64188333333333</v>
      </c>
      <c r="AD99" s="112">
        <v>92.64625</v>
      </c>
      <c r="AE99" s="113"/>
      <c r="AF99" s="113"/>
      <c r="AG99" s="113"/>
      <c r="AH99" s="113"/>
      <c r="AI99" s="113"/>
      <c r="AJ99" s="112">
        <v>3.3555</v>
      </c>
      <c r="AK99" s="112">
        <v>40.51</v>
      </c>
      <c r="AL99" s="113"/>
      <c r="AM99" s="113"/>
      <c r="AN99" s="113"/>
      <c r="AO99" s="112">
        <v>6.85601666666667</v>
      </c>
      <c r="AP99" s="112">
        <v>15.8505166666667</v>
      </c>
      <c r="AQ99" s="113"/>
      <c r="AR99" s="113"/>
      <c r="AS99" s="112">
        <v>3.02788333333333</v>
      </c>
      <c r="AT99" s="112">
        <v>91.3041333333333</v>
      </c>
      <c r="AU99" s="113"/>
      <c r="AV99" s="112">
        <v>7.23743333333333</v>
      </c>
      <c r="AW99" s="112">
        <v>0.41745</v>
      </c>
      <c r="AX99" s="113"/>
      <c r="AY99" s="113"/>
      <c r="AZ99" s="113"/>
      <c r="BA99" s="113"/>
      <c r="BB99" s="113"/>
      <c r="BC99" s="113"/>
      <c r="BD99" s="113"/>
      <c r="BE99" s="113"/>
      <c r="BF99" s="113"/>
      <c r="BG99" s="113"/>
      <c r="BH99" s="113"/>
      <c r="BI99" s="113"/>
      <c r="BJ99" s="113"/>
      <c r="BK99" s="113"/>
      <c r="BL99" s="113"/>
      <c r="BM99" s="113"/>
      <c r="BN99" s="113"/>
      <c r="BO99" s="113"/>
      <c r="BP99" s="113"/>
      <c r="BQ99" s="113"/>
      <c r="BR99" s="113"/>
      <c r="BS99" s="113"/>
      <c r="BT99" s="113"/>
      <c r="BU99" s="113"/>
      <c r="BV99" s="113"/>
      <c r="BW99" s="113"/>
      <c r="BX99" s="113"/>
      <c r="BY99" s="113"/>
      <c r="BZ99" s="113"/>
      <c r="CA99" s="113"/>
      <c r="CB99" s="113"/>
      <c r="CC99" s="113"/>
      <c r="CD99" s="113"/>
      <c r="CE99" s="113"/>
      <c r="CF99" s="113"/>
      <c r="CG99" s="113"/>
      <c r="CH99" s="113"/>
      <c r="CI99" s="113"/>
      <c r="CJ99" s="113"/>
      <c r="CK99" s="113"/>
      <c r="CL99" s="113"/>
      <c r="CM99" s="113"/>
      <c r="CN99" s="113"/>
      <c r="CO99" s="113"/>
      <c r="CP99" s="113"/>
      <c r="CQ99" s="113"/>
      <c r="CR99" s="113"/>
      <c r="CS99" s="113"/>
      <c r="CT99" s="113"/>
      <c r="CU99" s="113"/>
      <c r="CV99" s="113"/>
      <c r="CW99" s="113"/>
      <c r="CX99" s="113"/>
      <c r="CY99" s="113"/>
      <c r="CZ99" s="113"/>
      <c r="DA99" s="113"/>
      <c r="DB99" s="113"/>
      <c r="DC99" s="113"/>
      <c r="DD99" s="113"/>
      <c r="DE99" s="113"/>
      <c r="DF99" s="113"/>
      <c r="DG99" s="113"/>
      <c r="DH99" s="113"/>
      <c r="DI99" s="113"/>
      <c r="DJ99" s="113"/>
      <c r="DK99" s="113"/>
      <c r="DL99" s="113"/>
      <c r="DM99" s="113"/>
      <c r="DN99" s="113"/>
      <c r="DO99" s="113"/>
      <c r="DP99" s="113"/>
      <c r="DQ99" s="113"/>
      <c r="DR99" s="113"/>
      <c r="DS99" s="113"/>
      <c r="DT99" s="113"/>
      <c r="DU99" s="113"/>
      <c r="DV99" s="113"/>
      <c r="DW99" s="113"/>
      <c r="DX99" s="113"/>
      <c r="DY99" s="113"/>
      <c r="DZ99" s="113"/>
      <c r="EA99" s="113"/>
      <c r="EB99" s="113"/>
      <c r="EC99" s="113"/>
      <c r="ED99" s="113"/>
      <c r="EE99" s="113"/>
      <c r="EF99" s="113"/>
      <c r="EG99" s="113"/>
      <c r="EH99" s="113"/>
      <c r="EI99" s="113"/>
      <c r="EJ99" s="113"/>
      <c r="EK99" s="113"/>
      <c r="EL99" s="113"/>
      <c r="EM99" s="113"/>
      <c r="EN99" s="113"/>
      <c r="EO99" s="113"/>
      <c r="EP99" s="113"/>
      <c r="EQ99" s="113"/>
      <c r="ER99" s="113"/>
      <c r="ES99" s="113"/>
      <c r="ET99" s="113"/>
      <c r="EU99" s="113"/>
      <c r="EV99" s="113"/>
      <c r="EW99" s="113"/>
      <c r="EX99" s="113"/>
      <c r="EY99" s="113"/>
      <c r="EZ99" s="113"/>
      <c r="FA99" s="113"/>
      <c r="FB99" s="113"/>
      <c r="FC99" s="113"/>
      <c r="FD99" s="113"/>
      <c r="FE99" s="113"/>
      <c r="FF99" s="113"/>
      <c r="FG99" s="113"/>
      <c r="FH99" s="113"/>
      <c r="FI99" s="113"/>
      <c r="FJ99" s="113"/>
      <c r="FK99" s="113"/>
      <c r="FL99" s="113"/>
      <c r="FM99" s="113"/>
      <c r="FN99" s="113"/>
      <c r="FO99" s="113"/>
      <c r="FP99" s="113"/>
      <c r="FQ99" s="113"/>
      <c r="FR99" s="113"/>
      <c r="FS99" s="113"/>
      <c r="FT99" s="113"/>
      <c r="FU99" s="113"/>
      <c r="FV99" s="113"/>
      <c r="FW99" s="113"/>
      <c r="FX99" s="113"/>
      <c r="FY99" s="113"/>
      <c r="FZ99" s="113"/>
      <c r="GA99" s="113"/>
      <c r="GB99" s="113"/>
      <c r="GC99" s="113"/>
      <c r="GD99" s="113"/>
      <c r="GE99" s="113"/>
      <c r="GF99" s="113"/>
      <c r="GG99" s="113"/>
      <c r="GH99" s="113"/>
      <c r="GI99" s="113"/>
      <c r="GJ99" s="113"/>
      <c r="GK99" s="113"/>
      <c r="GL99" s="113"/>
      <c r="GM99" s="113"/>
      <c r="GN99" s="113"/>
      <c r="GO99" s="113"/>
      <c r="GP99" s="113"/>
      <c r="GQ99" s="113"/>
      <c r="GR99" s="113"/>
      <c r="GS99" s="113"/>
      <c r="GT99" s="113"/>
      <c r="GU99" s="113"/>
      <c r="GV99" s="113"/>
      <c r="GW99" s="113"/>
      <c r="GX99" s="113"/>
      <c r="GY99" s="113"/>
      <c r="GZ99" s="113"/>
      <c r="HA99" s="113"/>
      <c r="HB99" s="113"/>
      <c r="HC99" s="113"/>
      <c r="HD99" s="113"/>
      <c r="HE99" s="113"/>
      <c r="HF99" s="113"/>
      <c r="HG99" s="113"/>
      <c r="HH99" s="113"/>
      <c r="HI99" s="113"/>
      <c r="HJ99" s="113"/>
      <c r="HK99" s="113"/>
      <c r="HL99" s="113"/>
      <c r="HM99" s="113"/>
      <c r="HN99" s="113"/>
      <c r="HO99" s="113"/>
      <c r="HP99" s="113"/>
      <c r="HQ99" s="113"/>
      <c r="HR99" s="113"/>
      <c r="HS99" s="113"/>
      <c r="HT99" s="113"/>
      <c r="HU99" s="113"/>
      <c r="HV99" s="113"/>
      <c r="HW99" s="113"/>
      <c r="HX99" s="113"/>
      <c r="HY99" s="113"/>
      <c r="HZ99" s="113"/>
      <c r="IA99" s="113"/>
      <c r="IB99" s="113"/>
      <c r="IC99" s="113"/>
      <c r="ID99" s="113"/>
      <c r="IE99" s="113"/>
      <c r="IF99" s="113"/>
      <c r="IG99" s="113"/>
      <c r="IH99" s="113"/>
      <c r="II99" s="113"/>
      <c r="IJ99" s="113"/>
      <c r="IK99" s="113"/>
      <c r="IL99" s="113"/>
      <c r="IM99" s="113"/>
      <c r="IN99" s="113"/>
      <c r="IO99" s="113"/>
      <c r="IP99" s="113"/>
      <c r="IQ99" s="113"/>
      <c r="IR99" s="113"/>
      <c r="IS99" s="113"/>
      <c r="IT99" s="113"/>
      <c r="IU99" s="113"/>
      <c r="IV99" s="113"/>
      <c r="IW99" s="113"/>
      <c r="IX99" s="113"/>
      <c r="IY99" s="113"/>
      <c r="IZ99" s="113"/>
      <c r="JA99" s="113"/>
      <c r="JB99" s="113"/>
      <c r="JC99" s="113"/>
      <c r="JD99" s="113"/>
      <c r="JE99" s="113"/>
      <c r="JF99" s="113"/>
      <c r="JG99" s="113"/>
      <c r="JH99" s="113"/>
      <c r="JI99" s="113"/>
      <c r="JJ99" s="113"/>
      <c r="JK99" s="113"/>
      <c r="JL99" s="113"/>
      <c r="JM99" s="113"/>
      <c r="JN99" s="113"/>
      <c r="JO99" s="113"/>
      <c r="JP99" s="113"/>
      <c r="JQ99" s="113"/>
      <c r="JR99" s="113"/>
      <c r="JS99" s="113"/>
      <c r="JT99" s="113"/>
      <c r="JU99" s="113"/>
      <c r="JV99" s="113"/>
      <c r="JW99" s="113"/>
      <c r="JX99" s="113"/>
      <c r="JY99" s="113"/>
      <c r="JZ99" s="113"/>
      <c r="KA99" s="113"/>
      <c r="KB99" s="113"/>
      <c r="KC99" s="113"/>
      <c r="KD99" s="113"/>
      <c r="KE99" s="113"/>
      <c r="KF99" s="113"/>
      <c r="KG99" s="113"/>
      <c r="KH99" s="113"/>
      <c r="KI99" s="113"/>
      <c r="KJ99" s="113"/>
      <c r="KK99" s="113"/>
      <c r="KL99" s="113"/>
      <c r="KM99" s="113"/>
      <c r="KN99" s="113"/>
      <c r="KO99" s="113"/>
      <c r="KP99" s="113"/>
      <c r="KQ99" s="113"/>
      <c r="KR99" s="113"/>
      <c r="KS99" s="113"/>
      <c r="KT99" s="113"/>
      <c r="KU99" s="113"/>
      <c r="KV99" s="113"/>
      <c r="KW99" s="113"/>
      <c r="KX99" s="113"/>
      <c r="KY99" s="113"/>
      <c r="KZ99" s="113"/>
      <c r="LA99" s="113"/>
      <c r="LB99" s="113"/>
      <c r="LC99" s="113"/>
      <c r="LD99" s="113"/>
      <c r="LE99" s="113"/>
      <c r="LF99" s="113"/>
      <c r="LG99" s="113"/>
      <c r="LH99" s="113"/>
      <c r="LI99" s="113"/>
      <c r="LJ99" s="113"/>
      <c r="LK99" s="113"/>
      <c r="LL99" s="113"/>
      <c r="LM99" s="113"/>
      <c r="LN99" s="113"/>
      <c r="LO99" s="113"/>
      <c r="LP99" s="113"/>
      <c r="LQ99" s="113"/>
      <c r="LR99" s="113"/>
      <c r="LS99" s="113"/>
      <c r="LT99" s="113"/>
      <c r="LU99" s="113"/>
      <c r="LV99" s="113"/>
      <c r="LW99" s="113"/>
      <c r="LX99" s="113"/>
      <c r="LY99" s="113"/>
      <c r="LZ99" s="113"/>
      <c r="MA99" s="113"/>
      <c r="MB99" s="113"/>
      <c r="MC99" s="113"/>
      <c r="MD99" s="113"/>
      <c r="ME99" s="113"/>
      <c r="MF99" s="113"/>
      <c r="MG99" s="113"/>
      <c r="MH99" s="113"/>
      <c r="MI99" s="113"/>
      <c r="MJ99" s="113"/>
      <c r="MK99" s="113"/>
      <c r="ML99" s="113"/>
      <c r="MM99" s="113"/>
      <c r="MN99" s="113"/>
      <c r="MO99" s="113"/>
      <c r="MP99" s="113"/>
      <c r="MQ99" s="113"/>
      <c r="MR99" s="113"/>
      <c r="MS99" s="113"/>
      <c r="MT99" s="113"/>
      <c r="MU99" s="113"/>
      <c r="MV99" s="113"/>
      <c r="MW99" s="113"/>
      <c r="MX99" s="113"/>
      <c r="MY99" s="113"/>
      <c r="MZ99" s="113"/>
      <c r="NA99" s="113"/>
      <c r="NB99" s="113"/>
      <c r="NC99" s="113"/>
      <c r="ND99" s="113"/>
      <c r="NE99" s="113"/>
      <c r="NF99" s="113"/>
      <c r="NG99" s="113"/>
      <c r="NH99" s="113"/>
      <c r="NI99" s="113"/>
      <c r="NJ99" s="113"/>
      <c r="NK99" s="113"/>
      <c r="NL99" s="113"/>
      <c r="NM99" s="113"/>
      <c r="NN99" s="113"/>
      <c r="NO99" s="113"/>
      <c r="NP99" s="113"/>
      <c r="NQ99" s="113"/>
      <c r="NR99" s="113"/>
      <c r="NS99" s="113"/>
      <c r="NT99" s="113"/>
      <c r="NU99" s="113"/>
      <c r="NV99" s="113"/>
      <c r="NW99" s="113"/>
      <c r="NX99" s="113"/>
      <c r="NY99" s="113"/>
      <c r="NZ99" s="113"/>
      <c r="OA99" s="113"/>
      <c r="OB99" s="113"/>
      <c r="OC99" s="113"/>
      <c r="OD99" s="113"/>
      <c r="OE99" s="113"/>
      <c r="OF99" s="113"/>
      <c r="OG99" s="113"/>
      <c r="OH99" s="113"/>
      <c r="OI99" s="113"/>
      <c r="OJ99" s="113"/>
      <c r="OK99" s="113"/>
      <c r="OL99" s="113"/>
      <c r="OM99" s="113"/>
      <c r="ON99" s="113"/>
      <c r="OO99" s="113"/>
      <c r="OP99" s="113"/>
      <c r="OQ99" s="113"/>
      <c r="OR99" s="113"/>
      <c r="OS99" s="113"/>
      <c r="OT99" s="113"/>
      <c r="OU99" s="113"/>
      <c r="OV99" s="113"/>
      <c r="OW99" s="113"/>
      <c r="OX99" s="113"/>
      <c r="OY99" s="113"/>
      <c r="OZ99" s="113"/>
      <c r="PA99" s="113"/>
      <c r="PB99" s="113"/>
      <c r="PC99" s="113"/>
      <c r="PD99" s="113"/>
      <c r="PE99" s="113"/>
      <c r="PF99" s="113"/>
      <c r="PG99" s="113"/>
      <c r="PH99" s="113"/>
      <c r="PI99" s="113"/>
      <c r="PJ99" s="113"/>
      <c r="PK99" s="113"/>
      <c r="PL99" s="113"/>
      <c r="PM99" s="113"/>
      <c r="PN99" s="113"/>
      <c r="PO99" s="113"/>
      <c r="PP99" s="113"/>
      <c r="PQ99" s="113"/>
      <c r="PR99" s="113"/>
      <c r="PS99" s="113"/>
      <c r="PT99" s="113"/>
      <c r="PU99" s="113"/>
      <c r="PV99" s="113"/>
      <c r="PW99" s="113"/>
      <c r="PX99" s="113"/>
      <c r="PY99" s="113"/>
      <c r="PZ99" s="113"/>
      <c r="QA99" s="113"/>
      <c r="QB99" s="113"/>
      <c r="QC99" s="113"/>
      <c r="QD99" s="113"/>
      <c r="QE99" s="113"/>
      <c r="QF99" s="113"/>
      <c r="QG99" s="113"/>
      <c r="QH99" s="113"/>
      <c r="QI99" s="113"/>
      <c r="QJ99" s="113"/>
      <c r="QK99" s="113"/>
      <c r="QL99" s="113"/>
      <c r="QM99" s="113"/>
      <c r="QN99" s="113"/>
      <c r="QO99" s="113"/>
      <c r="QP99" s="113"/>
      <c r="QQ99" s="113"/>
      <c r="QR99" s="113"/>
      <c r="QS99" s="113"/>
      <c r="QT99" s="113"/>
      <c r="QU99" s="113"/>
      <c r="QV99" s="113"/>
      <c r="QW99" s="113"/>
      <c r="QX99" s="113"/>
      <c r="QY99" s="113"/>
      <c r="QZ99" s="113"/>
      <c r="RA99" s="113"/>
      <c r="RB99" s="113"/>
      <c r="RC99" s="113"/>
      <c r="RD99" s="113"/>
      <c r="RE99" s="113"/>
      <c r="RF99" s="113"/>
      <c r="RG99" s="113"/>
      <c r="RH99" s="113"/>
      <c r="RI99" s="113"/>
      <c r="RJ99" s="113"/>
      <c r="RK99" s="113"/>
      <c r="RL99" s="113"/>
      <c r="RM99" s="113"/>
      <c r="RN99" s="113"/>
      <c r="RO99" s="113"/>
      <c r="RP99" s="113"/>
      <c r="RQ99" s="113"/>
      <c r="RR99" s="113"/>
      <c r="RS99" s="113"/>
      <c r="RT99" s="113"/>
      <c r="RU99" s="113"/>
      <c r="RV99" s="113"/>
      <c r="RW99" s="113"/>
      <c r="RX99" s="113"/>
      <c r="RY99" s="113"/>
      <c r="RZ99" s="113"/>
      <c r="SA99" s="113"/>
      <c r="SB99" s="113"/>
      <c r="SC99" s="113"/>
      <c r="SD99" s="113"/>
      <c r="SE99" s="113"/>
      <c r="SF99" s="113"/>
      <c r="SG99" s="113"/>
      <c r="SH99" s="113"/>
      <c r="SI99" s="113"/>
      <c r="SJ99" s="113"/>
      <c r="SK99" s="113"/>
      <c r="SL99" s="113"/>
      <c r="SM99" s="113"/>
      <c r="SN99" s="113"/>
      <c r="SO99" s="113"/>
      <c r="SP99" s="113"/>
      <c r="SQ99" s="113"/>
      <c r="SR99" s="113"/>
      <c r="SS99" s="113"/>
      <c r="ST99" s="113"/>
      <c r="SU99" s="113"/>
      <c r="SV99" s="113"/>
      <c r="SW99" s="113"/>
      <c r="SX99" s="113"/>
      <c r="SY99" s="113"/>
      <c r="SZ99" s="113"/>
      <c r="TA99" s="113"/>
      <c r="TB99" s="113"/>
      <c r="TC99" s="113"/>
      <c r="TD99" s="113"/>
      <c r="TE99" s="113"/>
      <c r="TF99" s="113"/>
      <c r="TG99" s="113"/>
      <c r="TH99" s="113"/>
      <c r="TI99" s="113"/>
      <c r="TJ99" s="113"/>
      <c r="TK99" s="113"/>
      <c r="TL99" s="113"/>
      <c r="TM99" s="113"/>
      <c r="TN99" s="113"/>
      <c r="TO99" s="113"/>
      <c r="TP99" s="113"/>
      <c r="TQ99" s="113"/>
      <c r="TR99" s="113"/>
      <c r="TS99" s="113"/>
      <c r="TT99" s="113"/>
      <c r="TU99" s="113"/>
      <c r="TV99" s="113"/>
      <c r="TW99" s="113"/>
      <c r="TX99" s="113"/>
      <c r="TY99" s="113"/>
      <c r="TZ99" s="113"/>
      <c r="UA99" s="113"/>
      <c r="UB99" s="113"/>
      <c r="UC99" s="113"/>
      <c r="UD99" s="113"/>
      <c r="UE99" s="113"/>
      <c r="UF99" s="113"/>
      <c r="UG99" s="113"/>
      <c r="UH99" s="113"/>
      <c r="UI99" s="113"/>
      <c r="UJ99" s="113"/>
      <c r="UK99" s="113"/>
      <c r="UL99" s="113"/>
      <c r="UM99" s="113"/>
      <c r="UN99" s="113"/>
      <c r="UO99" s="113"/>
      <c r="UP99" s="113"/>
      <c r="UQ99" s="113"/>
      <c r="UR99" s="113"/>
      <c r="US99" s="113"/>
      <c r="UT99" s="113"/>
      <c r="UU99" s="113"/>
      <c r="UV99" s="113"/>
      <c r="UW99" s="113"/>
      <c r="UX99" s="113"/>
      <c r="UY99" s="113"/>
      <c r="UZ99" s="113"/>
      <c r="VA99" s="113"/>
      <c r="VB99" s="113"/>
      <c r="VC99" s="113"/>
      <c r="VD99" s="113"/>
      <c r="VE99" s="113"/>
      <c r="VF99" s="113"/>
      <c r="VG99" s="113"/>
      <c r="VH99" s="113"/>
      <c r="VI99" s="113"/>
      <c r="VJ99" s="113"/>
      <c r="VK99" s="113"/>
      <c r="VL99" s="113"/>
      <c r="VM99" s="113"/>
      <c r="VN99" s="113"/>
      <c r="VO99" s="113"/>
      <c r="VP99" s="113"/>
      <c r="VQ99" s="113"/>
      <c r="VR99" s="113"/>
      <c r="VS99" s="113"/>
      <c r="VT99" s="113"/>
      <c r="VU99" s="113"/>
      <c r="VV99" s="113"/>
      <c r="VW99" s="113"/>
      <c r="VX99" s="113"/>
      <c r="VY99" s="113"/>
      <c r="VZ99" s="113"/>
      <c r="WA99" s="113"/>
      <c r="WB99" s="113"/>
      <c r="WC99" s="113"/>
      <c r="WD99" s="113"/>
      <c r="WE99" s="113"/>
      <c r="WF99" s="113"/>
      <c r="WG99" s="113"/>
      <c r="WH99" s="113"/>
      <c r="WI99" s="113"/>
      <c r="WJ99" s="113"/>
      <c r="WK99" s="113"/>
      <c r="WL99" s="113"/>
      <c r="WM99" s="113"/>
      <c r="WN99" s="113"/>
      <c r="WO99" s="113"/>
      <c r="WP99" s="113"/>
      <c r="WQ99" s="113"/>
      <c r="WR99" s="113"/>
      <c r="WS99" s="113"/>
      <c r="WT99" s="113"/>
      <c r="WU99" s="113"/>
      <c r="WV99" s="113"/>
      <c r="WW99" s="113"/>
      <c r="WX99" s="113"/>
      <c r="WY99" s="113"/>
      <c r="WZ99" s="113"/>
      <c r="XA99" s="113"/>
      <c r="XB99" s="113"/>
      <c r="XC99" s="113"/>
      <c r="XD99" s="113"/>
      <c r="XE99" s="113"/>
      <c r="XF99" s="113"/>
      <c r="XG99" s="113"/>
      <c r="XH99" s="113"/>
      <c r="XI99" s="113"/>
      <c r="XJ99" s="113"/>
      <c r="XK99" s="113"/>
      <c r="XL99" s="113"/>
      <c r="XM99" s="113"/>
      <c r="XN99" s="113"/>
      <c r="XO99" s="113"/>
      <c r="XP99" s="113"/>
      <c r="XQ99" s="113"/>
      <c r="XR99" s="113"/>
      <c r="XS99" s="113"/>
      <c r="XT99" s="113"/>
      <c r="XU99" s="113"/>
      <c r="XV99" s="113"/>
      <c r="XW99" s="113"/>
      <c r="XX99" s="113"/>
      <c r="XY99" s="113"/>
      <c r="XZ99" s="113"/>
      <c r="YA99" s="113"/>
      <c r="YB99" s="113"/>
      <c r="YC99" s="113"/>
      <c r="YD99" s="113"/>
      <c r="YE99" s="113"/>
      <c r="YF99" s="113"/>
      <c r="YG99" s="113"/>
      <c r="YH99" s="113"/>
      <c r="YI99" s="113"/>
      <c r="YJ99" s="113"/>
      <c r="YK99" s="113"/>
      <c r="YL99" s="113"/>
      <c r="YM99" s="113"/>
      <c r="YN99" s="113"/>
      <c r="YO99" s="113"/>
      <c r="YP99" s="113"/>
      <c r="YQ99" s="113"/>
      <c r="YR99" s="113"/>
      <c r="YS99" s="113"/>
      <c r="YT99" s="113"/>
      <c r="YU99" s="113"/>
      <c r="YV99" s="113"/>
      <c r="YW99" s="113"/>
      <c r="YX99" s="113"/>
      <c r="YY99" s="113"/>
      <c r="YZ99" s="113"/>
      <c r="ZA99" s="113"/>
      <c r="ZB99" s="113"/>
      <c r="ZC99" s="113"/>
      <c r="ZD99" s="113"/>
      <c r="ZE99" s="113"/>
      <c r="ZF99" s="113"/>
      <c r="ZG99" s="113"/>
      <c r="ZH99" s="113"/>
      <c r="ZI99" s="113"/>
      <c r="ZJ99" s="113"/>
      <c r="ZK99" s="113"/>
      <c r="ZL99" s="113"/>
      <c r="ZM99" s="113"/>
      <c r="ZN99" s="113"/>
      <c r="ZO99" s="113"/>
      <c r="ZP99" s="113"/>
      <c r="ZQ99" s="113"/>
      <c r="ZR99" s="113"/>
      <c r="ZS99" s="113"/>
      <c r="ZT99" s="113"/>
      <c r="ZU99" s="113"/>
      <c r="ZV99" s="113"/>
      <c r="ZW99" s="113"/>
      <c r="ZX99" s="113"/>
      <c r="ZY99" s="113"/>
      <c r="ZZ99" s="113"/>
      <c r="AAA99" s="113"/>
      <c r="AAB99" s="113"/>
      <c r="AAC99" s="113"/>
      <c r="AAD99" s="113"/>
      <c r="AAE99" s="113"/>
      <c r="AAF99" s="113"/>
      <c r="AAG99" s="113"/>
      <c r="AAH99" s="113"/>
      <c r="AAI99" s="113"/>
      <c r="AAJ99" s="113"/>
      <c r="AAK99" s="113"/>
      <c r="AAL99" s="113"/>
      <c r="AAM99" s="113"/>
      <c r="AAN99" s="113"/>
      <c r="AAO99" s="113"/>
      <c r="AAP99" s="113"/>
      <c r="AAQ99" s="113"/>
      <c r="AAR99" s="113"/>
      <c r="AAS99" s="113"/>
      <c r="AAT99" s="113"/>
      <c r="AAU99" s="113"/>
      <c r="AAV99" s="113"/>
      <c r="AAW99" s="113"/>
      <c r="AAX99" s="113"/>
      <c r="AAY99" s="113"/>
      <c r="AAZ99" s="113"/>
      <c r="ABA99" s="113"/>
      <c r="ABB99" s="113"/>
      <c r="ABC99" s="113"/>
      <c r="ABD99" s="113"/>
      <c r="ABE99" s="113"/>
      <c r="ABF99" s="113"/>
      <c r="ABG99" s="113"/>
      <c r="ABH99" s="113"/>
      <c r="ABI99" s="113"/>
      <c r="ABJ99" s="113"/>
      <c r="ABK99" s="113"/>
      <c r="ABL99" s="113"/>
      <c r="ABM99" s="113"/>
      <c r="ABN99" s="113"/>
      <c r="ABO99" s="113"/>
      <c r="ABP99" s="113"/>
      <c r="ABQ99" s="113"/>
      <c r="ABR99" s="113"/>
      <c r="ABS99" s="113"/>
      <c r="ABT99" s="113"/>
      <c r="ABU99" s="113"/>
      <c r="ABV99" s="113"/>
      <c r="ABW99" s="113"/>
      <c r="ABX99" s="113"/>
      <c r="ABY99" s="113"/>
      <c r="ABZ99" s="113"/>
      <c r="ACA99" s="113"/>
      <c r="ACB99" s="113"/>
      <c r="ACC99" s="113"/>
      <c r="ACD99" s="113"/>
      <c r="ACE99" s="113"/>
      <c r="ACF99" s="113"/>
      <c r="ACG99" s="113"/>
      <c r="ACH99" s="113"/>
      <c r="ACI99" s="113"/>
      <c r="ACJ99" s="113"/>
      <c r="ACK99" s="113"/>
      <c r="ACL99" s="113"/>
      <c r="ACM99" s="113"/>
      <c r="ACN99" s="113"/>
      <c r="ACO99" s="113"/>
      <c r="ACP99" s="113"/>
      <c r="ACQ99" s="113"/>
      <c r="ACR99" s="113"/>
      <c r="ACS99" s="113"/>
      <c r="ACT99" s="113"/>
      <c r="ACU99" s="113"/>
      <c r="ACV99" s="113"/>
      <c r="ACW99" s="113"/>
      <c r="ACX99" s="113"/>
      <c r="ACY99" s="113"/>
      <c r="ACZ99" s="113"/>
      <c r="ADA99" s="113"/>
      <c r="ADB99" s="113"/>
      <c r="ADC99" s="113"/>
      <c r="ADD99" s="113"/>
      <c r="ADE99" s="113"/>
      <c r="ADF99" s="113"/>
      <c r="ADG99" s="113"/>
      <c r="ADH99" s="113"/>
      <c r="ADI99" s="113"/>
      <c r="ADJ99" s="113"/>
      <c r="ADK99" s="113"/>
      <c r="ADL99" s="113"/>
      <c r="ADM99" s="113"/>
      <c r="ADN99" s="113"/>
      <c r="ADO99" s="113"/>
      <c r="ADP99" s="113"/>
      <c r="ADQ99" s="113"/>
      <c r="ADR99" s="113"/>
      <c r="ADS99" s="113"/>
      <c r="ADT99" s="113"/>
      <c r="ADU99" s="113"/>
      <c r="ADV99" s="113"/>
      <c r="ADW99" s="113"/>
      <c r="ADX99" s="113"/>
      <c r="ADY99" s="113"/>
      <c r="ADZ99" s="113"/>
      <c r="AEA99" s="113"/>
      <c r="AEB99" s="113"/>
      <c r="AEC99" s="113"/>
      <c r="AED99" s="113"/>
      <c r="AEE99" s="113"/>
      <c r="AEF99" s="113"/>
      <c r="AEG99" s="113"/>
      <c r="AEH99" s="113"/>
      <c r="AEI99" s="113"/>
      <c r="AEJ99" s="113"/>
      <c r="AEK99" s="113"/>
      <c r="AEL99" s="113"/>
      <c r="AEM99" s="113"/>
      <c r="AEN99" s="113"/>
      <c r="AEO99" s="113"/>
      <c r="AEP99" s="113"/>
      <c r="AEQ99" s="113"/>
      <c r="AER99" s="113"/>
      <c r="AES99" s="113"/>
      <c r="AET99" s="113"/>
      <c r="AEU99" s="113"/>
      <c r="AEV99" s="113"/>
      <c r="AEW99" s="113"/>
      <c r="AEX99" s="113"/>
      <c r="AEY99" s="113"/>
      <c r="AEZ99" s="113"/>
      <c r="AFA99" s="113"/>
      <c r="AFB99" s="113"/>
      <c r="AFC99" s="113"/>
      <c r="AFD99" s="113"/>
      <c r="AFE99" s="113"/>
      <c r="AFF99" s="113"/>
      <c r="AFG99" s="113"/>
      <c r="AFH99" s="113"/>
      <c r="AFI99" s="113"/>
      <c r="AFJ99" s="113"/>
      <c r="AFK99" s="113"/>
      <c r="AFL99" s="113"/>
      <c r="AFM99" s="113"/>
      <c r="AFN99" s="113"/>
      <c r="AFO99" s="113"/>
      <c r="AFP99" s="113"/>
      <c r="AFQ99" s="113"/>
      <c r="AFR99" s="113"/>
      <c r="AFS99" s="113"/>
      <c r="AFT99" s="113"/>
      <c r="AFU99" s="113"/>
      <c r="AFV99" s="113"/>
      <c r="AFW99" s="113"/>
      <c r="AFX99" s="113"/>
      <c r="AFY99" s="113"/>
      <c r="AFZ99" s="113"/>
      <c r="AGA99" s="113"/>
      <c r="AGB99" s="113"/>
      <c r="AGC99" s="113"/>
      <c r="AGD99" s="113"/>
      <c r="AGE99" s="113"/>
      <c r="AGF99" s="113"/>
      <c r="AGG99" s="113"/>
      <c r="AGH99" s="113"/>
      <c r="AGI99" s="113"/>
      <c r="AGJ99" s="113"/>
      <c r="AGK99" s="113"/>
      <c r="AGL99" s="113"/>
      <c r="AGM99" s="113"/>
      <c r="AGN99" s="113"/>
      <c r="AGO99" s="113"/>
      <c r="AGP99" s="113"/>
      <c r="AGQ99" s="113"/>
      <c r="AGR99" s="113"/>
      <c r="AGS99" s="113"/>
      <c r="AGT99" s="113"/>
      <c r="AGU99" s="113"/>
      <c r="AGV99" s="113"/>
      <c r="AGW99" s="113"/>
      <c r="AGX99" s="113"/>
      <c r="AGY99" s="113"/>
      <c r="AGZ99" s="113"/>
      <c r="AHA99" s="113"/>
      <c r="AHB99" s="113"/>
      <c r="AHC99" s="113"/>
      <c r="AHD99" s="113"/>
      <c r="AHE99" s="113"/>
      <c r="AHF99" s="113"/>
      <c r="AHG99" s="113"/>
      <c r="AHH99" s="113"/>
      <c r="AHI99" s="113"/>
      <c r="AHJ99" s="113"/>
      <c r="AHK99" s="113"/>
      <c r="AHL99" s="113"/>
      <c r="AHM99" s="113"/>
      <c r="AHN99" s="113"/>
      <c r="AHO99" s="113"/>
      <c r="AHP99" s="113"/>
      <c r="AHQ99" s="113"/>
      <c r="AHR99" s="113"/>
      <c r="AHS99" s="113"/>
      <c r="AHT99" s="113"/>
      <c r="AHU99" s="113"/>
      <c r="AHV99" s="113"/>
      <c r="AHW99" s="113"/>
      <c r="AHX99" s="113"/>
      <c r="AHY99" s="113"/>
      <c r="AHZ99" s="113"/>
      <c r="AIA99" s="113"/>
      <c r="AIB99" s="113"/>
      <c r="AIC99" s="113"/>
      <c r="AID99" s="113"/>
      <c r="AIE99" s="113"/>
      <c r="AIF99" s="113"/>
      <c r="AIG99" s="113"/>
      <c r="AIH99" s="113"/>
      <c r="AII99" s="113"/>
      <c r="AIJ99" s="113"/>
      <c r="AIK99" s="113"/>
      <c r="AIL99" s="113"/>
      <c r="AIM99" s="113"/>
      <c r="AIN99" s="113"/>
      <c r="AIO99" s="113"/>
      <c r="AIP99" s="113"/>
      <c r="AIQ99" s="113"/>
      <c r="AIR99" s="113"/>
      <c r="AIS99" s="113"/>
      <c r="AIT99" s="113"/>
      <c r="AIU99" s="113"/>
      <c r="AIV99" s="113"/>
      <c r="AIW99" s="113"/>
      <c r="AIX99" s="113"/>
      <c r="AIY99" s="113"/>
      <c r="AIZ99" s="113"/>
    </row>
    <row r="100">
      <c r="A100" s="65" t="s">
        <v>7</v>
      </c>
      <c r="B100" s="65" t="s">
        <v>31</v>
      </c>
      <c r="C100" s="65"/>
      <c r="D100" s="64">
        <f t="shared" si="1"/>
        <v>492.4995833</v>
      </c>
      <c r="F100" s="65">
        <v>26.0950666666667</v>
      </c>
      <c r="G100" s="65">
        <v>9.5195</v>
      </c>
      <c r="H100" s="65">
        <v>2.30841666666667</v>
      </c>
      <c r="J100" s="65">
        <v>4.66743333333333</v>
      </c>
      <c r="K100" s="65">
        <v>7.22333333333333</v>
      </c>
      <c r="N100" s="65">
        <v>7.44413333333333</v>
      </c>
      <c r="Q100" s="65">
        <v>86.4661000000001</v>
      </c>
      <c r="R100" s="65">
        <v>56.3677333333333</v>
      </c>
      <c r="S100" s="65">
        <v>3.49276666666667</v>
      </c>
      <c r="T100" s="65">
        <v>4.26048333333333</v>
      </c>
      <c r="U100" s="65">
        <v>10.5904166666667</v>
      </c>
      <c r="X100" s="65">
        <v>27.0378</v>
      </c>
      <c r="Y100" s="65">
        <v>23.4204333333333</v>
      </c>
      <c r="Z100" s="65">
        <v>1.21193333333333</v>
      </c>
      <c r="AA100" s="65">
        <v>0.806566666666667</v>
      </c>
      <c r="AB100" s="65">
        <v>2.03375</v>
      </c>
      <c r="AE100" s="65">
        <v>36.2376333333333</v>
      </c>
      <c r="AF100" s="65">
        <v>49.4883</v>
      </c>
      <c r="AG100" s="65">
        <v>2.66663333333333</v>
      </c>
      <c r="AH100" s="65">
        <v>0.141466666666667</v>
      </c>
      <c r="AI100" s="65">
        <v>3.35503333333333</v>
      </c>
      <c r="AL100" s="65">
        <v>6.5563</v>
      </c>
      <c r="AM100" s="65">
        <v>3.66896666666667</v>
      </c>
      <c r="AN100" s="65">
        <v>18.8083833333333</v>
      </c>
      <c r="AQ100" s="65">
        <v>3.25355</v>
      </c>
      <c r="AR100" s="65">
        <v>8.46708333333333</v>
      </c>
      <c r="AU100" s="65">
        <v>86.9103666666666</v>
      </c>
    </row>
    <row r="101">
      <c r="A101" s="65" t="s">
        <v>7</v>
      </c>
      <c r="B101" s="65" t="s">
        <v>31</v>
      </c>
      <c r="C101" s="65"/>
      <c r="D101" s="64">
        <f t="shared" si="1"/>
        <v>0</v>
      </c>
    </row>
    <row r="102">
      <c r="A102" s="65" t="s">
        <v>7</v>
      </c>
      <c r="B102" s="65" t="s">
        <v>31</v>
      </c>
      <c r="C102" s="65"/>
      <c r="D102" s="64">
        <f t="shared" si="1"/>
        <v>463.09475</v>
      </c>
      <c r="F102" s="118">
        <f>HYPERLINK("https://docs.google.com/spreadsheets/d/1YC6VMpHSOYVjGEZO91ILUuqjarf4RAbD", 20.5007666666667)</f>
        <v>20.50076667</v>
      </c>
      <c r="G102" s="118">
        <f>HYPERLINK("https://docs.google.com/spreadsheets/d/1ImSaUk1HGDhNQgIksxSZFXRojgh6GiCA", 9.5195)</f>
        <v>9.5195</v>
      </c>
      <c r="H102" s="118">
        <f>HYPERLINK("https://docs.google.com/spreadsheets/d/1dxnlhXAkW0AYwQgDvTrYnXygiDx8eeti", 2.30841666666667)</f>
        <v>2.308416667</v>
      </c>
      <c r="J102" s="118">
        <f>HYPERLINK("https://docs.google.com/spreadsheets/d/10A7WwIkIg521gqVrOF3WjGP_z3nBxIF4", 3.02171666666667)</f>
        <v>3.021716667</v>
      </c>
      <c r="K102" s="118">
        <f>HYPERLINK("https://docs.google.com/spreadsheets/d/19ZVY6LikECNUlDHJt75Iit-Nyg7sxIpC", 7.22335)</f>
        <v>7.22335</v>
      </c>
      <c r="N102" s="118">
        <f>HYPERLINK("https://docs.google.com/spreadsheets/d/10HPW5BdLFbgo4njcycAr4GmPwHNVIoKo", 7.44413333333333)</f>
        <v>7.444133333</v>
      </c>
      <c r="Q102" s="118">
        <f>HYPERLINK("https://docs.google.com/spreadsheets/d/1GT_t1wUi-6o26d7JlMQg4I4ny9a6hgrT", 74.5140333333333)</f>
        <v>74.51403333</v>
      </c>
      <c r="R102" s="118">
        <f>HYPERLINK("https://docs.google.com/spreadsheets/d/1HCRWYsWDJZC0Km2xhQbMY1ZPM6FKo23u", 55.38425)</f>
        <v>55.38425</v>
      </c>
      <c r="S102" s="118">
        <f>HYPERLINK("https://docs.google.com/spreadsheets/d/1aAJyLfdE7b6ifsbXFV6qwJTbLRg-BYlk", 2.73403333333333)</f>
        <v>2.734033333</v>
      </c>
      <c r="T102" s="118">
        <f>HYPERLINK("https://docs.google.com/spreadsheets/d/1wLTMmLyuzYq2VmrKPPOb9E9UEKHr7hn-", 1.87543333333333)</f>
        <v>1.875433333</v>
      </c>
      <c r="U102" s="118">
        <f>HYPERLINK("https://docs.google.com/spreadsheets/d/1LAwkMxWkpYfMwOTTv6iqlA2LnX1Rj8eG", 10.5904)</f>
        <v>10.5904</v>
      </c>
      <c r="X102" s="118">
        <f>HYPERLINK("https://docs.google.com/spreadsheets/d/1aApELcg4vO9lXDxyH0SsDD9WndbvlfGG", 26.839)</f>
        <v>26.839</v>
      </c>
      <c r="Y102" s="118">
        <f>HYPERLINK("https://docs.google.com/spreadsheets/d/15UxutVkzDo9u9JgWvd6VRDKv7TI7zql2", 23.4204333333333)</f>
        <v>23.42043333</v>
      </c>
      <c r="Z102" s="118">
        <f>HYPERLINK("https://docs.google.com/spreadsheets/d/10dpR3jgT4dpGoesAIwh1AIrsEmlLTeEt", 1.21193333333333)</f>
        <v>1.211933333</v>
      </c>
      <c r="AA102" s="118">
        <f>HYPERLINK("https://docs.google.com/spreadsheets/d/1OiR4aimD54Ywfeth5FFFfUwjUQ03J3zO", 0.675633333333333)</f>
        <v>0.6756333333</v>
      </c>
      <c r="AB102" s="118">
        <f>HYPERLINK("https://docs.google.com/spreadsheets/d/1UIEvxUsKAxrLky9eKnT43v2-0Up3gmn3", 1.87238333333333)</f>
        <v>1.872383333</v>
      </c>
      <c r="AE102" s="118">
        <f>HYPERLINK("https://docs.google.com/spreadsheets/d/19aLzvtLif6Om8-JbN4gv9N2pW0pa9xCd", 35.8738166666667)</f>
        <v>35.87381667</v>
      </c>
      <c r="AF102" s="118">
        <f>HYPERLINK("https://docs.google.com/spreadsheets/d/1kmj0E3sSDKmdmIyyPl8_pN8SS-Swme5l", 46.9331166666666)</f>
        <v>46.93311667</v>
      </c>
      <c r="AG102" s="118">
        <f>HYPERLINK("https://docs.google.com/spreadsheets/d/1zzoo4RLOT5eoOB17_bdrwquyTjwOGdcH", 2.66663333333333)</f>
        <v>2.666633333</v>
      </c>
      <c r="AH102" s="118">
        <f>HYPERLINK("https://docs.google.com/spreadsheets/d/1aS_23VPwuM13uzZsCzBkYU7AWwK3Sq4z", 0)</f>
        <v>0</v>
      </c>
      <c r="AI102" s="118">
        <f>HYPERLINK("https://docs.google.com/spreadsheets/d/1UC2mzUb693zSxTZu3pDurrOSPG13IGgt", 3.35503333333333)</f>
        <v>3.355033333</v>
      </c>
      <c r="AL102" s="118">
        <f>HYPERLINK("https://docs.google.com/spreadsheets/d/1LCJFSkr6OG3XRG8RPjDBR9YbR6gJLvx-", 6.4239)</f>
        <v>6.4239</v>
      </c>
      <c r="AM102" s="118">
        <f>HYPERLINK("https://docs.google.com/spreadsheets/d/1WLwTLPb9RtSnIAbrnPon_8dQ_fpI4F7O", 3.16063333333333)</f>
        <v>3.160633333</v>
      </c>
      <c r="AN102" s="118">
        <f>HYPERLINK("https://docs.google.com/spreadsheets/d/1sJviXVivTDnLD1Gcj7LfK2mg5rDK2dPY", 18.5740333333333)</f>
        <v>18.57403333</v>
      </c>
      <c r="AQ102" s="118">
        <f>HYPERLINK("https://docs.google.com/spreadsheets/d/1KasK2wdBe7TOnoJfhRoge43qP2i2QHlW", 3.088)</f>
        <v>3.088</v>
      </c>
      <c r="AR102" s="118">
        <f>HYPERLINK("https://docs.google.com/spreadsheets/d/1ZS74mx2-4Q9zLMcYDw1FhJCBtqHasxIZ", 8.46705)</f>
        <v>8.46705</v>
      </c>
      <c r="AU102" s="118">
        <f>HYPERLINK("https://docs.google.com/spreadsheets/d/1_0h8IQMRy9DXzwagO-G6j4d5rarTjm90", 85.4171166666666)</f>
        <v>85.41711667</v>
      </c>
    </row>
    <row r="103">
      <c r="A103" s="65" t="s">
        <v>7</v>
      </c>
      <c r="B103" s="65" t="s">
        <v>31</v>
      </c>
      <c r="C103" s="65"/>
      <c r="D103" s="64">
        <f t="shared" si="1"/>
        <v>21.37415</v>
      </c>
      <c r="F103" s="65">
        <v>0.928583333333333</v>
      </c>
      <c r="G103" s="65">
        <v>0.74025</v>
      </c>
      <c r="H103" s="65">
        <v>0.0</v>
      </c>
      <c r="J103" s="65">
        <v>0.0</v>
      </c>
      <c r="K103" s="65">
        <v>0.6064</v>
      </c>
      <c r="N103" s="65">
        <v>0.731783333333333</v>
      </c>
      <c r="Q103" s="65">
        <v>6.59755</v>
      </c>
      <c r="R103" s="65">
        <v>2.38825</v>
      </c>
      <c r="S103" s="65">
        <v>0.3629</v>
      </c>
      <c r="T103" s="65">
        <v>0.0</v>
      </c>
      <c r="U103" s="65">
        <v>0.0</v>
      </c>
      <c r="X103" s="65">
        <v>1.584</v>
      </c>
      <c r="Y103" s="65">
        <v>0.8974</v>
      </c>
      <c r="Z103" s="65">
        <v>0.1569</v>
      </c>
      <c r="AA103" s="65">
        <v>0.1947</v>
      </c>
      <c r="AB103" s="65">
        <v>0.100433333333333</v>
      </c>
      <c r="AE103" s="65">
        <v>0.55315</v>
      </c>
      <c r="AF103" s="65">
        <v>4.03465</v>
      </c>
      <c r="AG103" s="65">
        <v>0.54485</v>
      </c>
      <c r="AI103" s="65">
        <v>0.0</v>
      </c>
      <c r="AL103" s="65">
        <v>0.148183333333333</v>
      </c>
      <c r="AM103" s="65">
        <v>0.128783333333333</v>
      </c>
      <c r="AN103" s="65">
        <v>0.0</v>
      </c>
      <c r="AQ103" s="65">
        <v>0.0722</v>
      </c>
      <c r="AR103" s="65">
        <v>0.0</v>
      </c>
      <c r="AU103" s="65">
        <v>0.603183333333333</v>
      </c>
    </row>
    <row r="104">
      <c r="A104" s="119" t="s">
        <v>7</v>
      </c>
      <c r="B104" s="119" t="s">
        <v>31</v>
      </c>
      <c r="C104" s="119"/>
      <c r="D104" s="120">
        <f t="shared" si="1"/>
        <v>0</v>
      </c>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c r="AA104" s="120"/>
      <c r="AB104" s="120"/>
      <c r="AC104" s="120"/>
      <c r="AD104" s="120"/>
      <c r="AE104" s="120"/>
      <c r="AF104" s="120"/>
      <c r="AG104" s="120"/>
      <c r="AH104" s="120"/>
      <c r="AI104" s="120"/>
      <c r="AJ104" s="120"/>
      <c r="AK104" s="120"/>
      <c r="AL104" s="120"/>
      <c r="AM104" s="120"/>
      <c r="AN104" s="120"/>
      <c r="AO104" s="120"/>
      <c r="AP104" s="120"/>
      <c r="AQ104" s="120"/>
      <c r="AR104" s="120"/>
      <c r="AS104" s="120"/>
      <c r="AT104" s="120"/>
      <c r="AU104" s="120"/>
      <c r="AV104" s="120"/>
      <c r="AW104" s="120"/>
      <c r="AX104" s="120"/>
      <c r="AY104" s="120"/>
      <c r="AZ104" s="120"/>
      <c r="BA104" s="120"/>
      <c r="BB104" s="120"/>
      <c r="BC104" s="120"/>
      <c r="BD104" s="120"/>
      <c r="BE104" s="120"/>
      <c r="BF104" s="120"/>
      <c r="BG104" s="120"/>
      <c r="BH104" s="120"/>
      <c r="BI104" s="120"/>
      <c r="BJ104" s="120"/>
      <c r="BK104" s="120"/>
      <c r="BL104" s="120"/>
      <c r="BM104" s="120"/>
      <c r="BN104" s="120"/>
      <c r="BO104" s="120"/>
      <c r="BP104" s="120"/>
      <c r="BQ104" s="120"/>
      <c r="BR104" s="120"/>
      <c r="BS104" s="120"/>
      <c r="BT104" s="120"/>
      <c r="BU104" s="120"/>
      <c r="BV104" s="120"/>
      <c r="BW104" s="120"/>
      <c r="BX104" s="120"/>
      <c r="BY104" s="120"/>
      <c r="BZ104" s="120"/>
      <c r="CA104" s="120"/>
      <c r="CB104" s="120"/>
      <c r="CC104" s="120"/>
      <c r="CD104" s="120"/>
      <c r="CE104" s="120"/>
      <c r="CF104" s="120"/>
      <c r="CG104" s="120"/>
      <c r="CH104" s="120"/>
      <c r="CI104" s="120"/>
      <c r="CJ104" s="120"/>
      <c r="CK104" s="120"/>
      <c r="CL104" s="120"/>
      <c r="CM104" s="120"/>
      <c r="CN104" s="120"/>
      <c r="CO104" s="120"/>
      <c r="CP104" s="120"/>
      <c r="CQ104" s="120"/>
      <c r="CR104" s="120"/>
      <c r="CS104" s="120"/>
      <c r="CT104" s="120"/>
      <c r="CU104" s="120"/>
      <c r="CV104" s="120"/>
      <c r="CW104" s="120"/>
      <c r="CX104" s="120"/>
      <c r="CY104" s="120"/>
      <c r="CZ104" s="120"/>
      <c r="DA104" s="120"/>
      <c r="DB104" s="120"/>
      <c r="DC104" s="120"/>
      <c r="DD104" s="120"/>
      <c r="DE104" s="120"/>
      <c r="DF104" s="120"/>
      <c r="DG104" s="120"/>
      <c r="DH104" s="120"/>
      <c r="DI104" s="120"/>
      <c r="DJ104" s="120"/>
      <c r="DK104" s="120"/>
      <c r="DL104" s="120"/>
      <c r="DM104" s="120"/>
      <c r="DN104" s="120"/>
      <c r="DO104" s="120"/>
      <c r="DP104" s="120"/>
      <c r="DQ104" s="120"/>
      <c r="DR104" s="120"/>
      <c r="DS104" s="120"/>
      <c r="DT104" s="120"/>
      <c r="DU104" s="120"/>
      <c r="DV104" s="120"/>
      <c r="DW104" s="120"/>
      <c r="DX104" s="120"/>
      <c r="DY104" s="120"/>
      <c r="DZ104" s="120"/>
      <c r="EA104" s="120"/>
      <c r="EB104" s="120"/>
      <c r="EC104" s="120"/>
      <c r="ED104" s="120"/>
      <c r="EE104" s="120"/>
      <c r="EF104" s="120"/>
      <c r="EG104" s="120"/>
      <c r="EH104" s="120"/>
      <c r="EI104" s="120"/>
      <c r="EJ104" s="120"/>
      <c r="EK104" s="120"/>
      <c r="EL104" s="120"/>
      <c r="EM104" s="120"/>
      <c r="EN104" s="120"/>
      <c r="EO104" s="120"/>
      <c r="EP104" s="120"/>
      <c r="EQ104" s="120"/>
      <c r="ER104" s="120"/>
      <c r="ES104" s="120"/>
      <c r="ET104" s="120"/>
      <c r="EU104" s="120"/>
      <c r="EV104" s="120"/>
      <c r="EW104" s="120"/>
      <c r="EX104" s="120"/>
      <c r="EY104" s="120"/>
      <c r="EZ104" s="120"/>
      <c r="FA104" s="120"/>
      <c r="FB104" s="120"/>
      <c r="FC104" s="120"/>
      <c r="FD104" s="120"/>
      <c r="FE104" s="120"/>
      <c r="FF104" s="120"/>
      <c r="FG104" s="120"/>
      <c r="FH104" s="120"/>
      <c r="FI104" s="120"/>
      <c r="FJ104" s="120"/>
      <c r="FK104" s="120"/>
      <c r="FL104" s="120"/>
      <c r="FM104" s="120"/>
      <c r="FN104" s="120"/>
      <c r="FO104" s="120"/>
      <c r="FP104" s="120"/>
      <c r="FQ104" s="120"/>
      <c r="FR104" s="120"/>
      <c r="FS104" s="120"/>
      <c r="FT104" s="120"/>
      <c r="FU104" s="120"/>
      <c r="FV104" s="120"/>
      <c r="FW104" s="120"/>
      <c r="FX104" s="120"/>
      <c r="FY104" s="120"/>
      <c r="FZ104" s="120"/>
      <c r="GA104" s="120"/>
      <c r="GB104" s="120"/>
      <c r="GC104" s="120"/>
      <c r="GD104" s="120"/>
      <c r="GE104" s="120"/>
      <c r="GF104" s="120"/>
      <c r="GG104" s="120"/>
      <c r="GH104" s="120"/>
      <c r="GI104" s="120"/>
      <c r="GJ104" s="120"/>
      <c r="GK104" s="120"/>
      <c r="GL104" s="120"/>
      <c r="GM104" s="120"/>
      <c r="GN104" s="120"/>
      <c r="GO104" s="120"/>
      <c r="GP104" s="120"/>
      <c r="GQ104" s="120"/>
      <c r="GR104" s="120"/>
      <c r="GS104" s="120"/>
      <c r="GT104" s="120"/>
      <c r="GU104" s="120"/>
      <c r="GV104" s="120"/>
      <c r="GW104" s="120"/>
      <c r="GX104" s="120"/>
      <c r="GY104" s="120"/>
      <c r="GZ104" s="120"/>
      <c r="HA104" s="120"/>
      <c r="HB104" s="120"/>
      <c r="HC104" s="120"/>
      <c r="HD104" s="120"/>
      <c r="HE104" s="120"/>
      <c r="HF104" s="120"/>
      <c r="HG104" s="120"/>
      <c r="HH104" s="120"/>
      <c r="HI104" s="120"/>
      <c r="HJ104" s="120"/>
      <c r="HK104" s="120"/>
      <c r="HL104" s="120"/>
      <c r="HM104" s="120"/>
      <c r="HN104" s="120"/>
      <c r="HO104" s="120"/>
      <c r="HP104" s="120"/>
      <c r="HQ104" s="120"/>
      <c r="HR104" s="120"/>
      <c r="HS104" s="120"/>
      <c r="HT104" s="120"/>
      <c r="HU104" s="120"/>
      <c r="HV104" s="120"/>
      <c r="HW104" s="120"/>
      <c r="HX104" s="120"/>
      <c r="HY104" s="120"/>
      <c r="HZ104" s="120"/>
      <c r="IA104" s="120"/>
      <c r="IB104" s="120"/>
      <c r="IC104" s="120"/>
      <c r="ID104" s="120"/>
      <c r="IE104" s="120"/>
      <c r="IF104" s="120"/>
      <c r="IG104" s="120"/>
      <c r="IH104" s="120"/>
      <c r="II104" s="120"/>
      <c r="IJ104" s="120"/>
      <c r="IK104" s="120"/>
      <c r="IL104" s="120"/>
      <c r="IM104" s="120"/>
      <c r="IN104" s="120"/>
      <c r="IO104" s="120"/>
      <c r="IP104" s="120"/>
      <c r="IQ104" s="120"/>
      <c r="IR104" s="120"/>
      <c r="IS104" s="120"/>
      <c r="IT104" s="120"/>
      <c r="IU104" s="120"/>
      <c r="IV104" s="120"/>
      <c r="IW104" s="120"/>
      <c r="IX104" s="120"/>
      <c r="IY104" s="120"/>
      <c r="IZ104" s="120"/>
      <c r="JA104" s="120"/>
      <c r="JB104" s="120"/>
      <c r="JC104" s="120"/>
      <c r="JD104" s="120"/>
      <c r="JE104" s="120"/>
      <c r="JF104" s="120"/>
      <c r="JG104" s="120"/>
      <c r="JH104" s="120"/>
      <c r="JI104" s="120"/>
      <c r="JJ104" s="120"/>
      <c r="JK104" s="120"/>
      <c r="JL104" s="120"/>
      <c r="JM104" s="120"/>
      <c r="JN104" s="120"/>
      <c r="JO104" s="120"/>
      <c r="JP104" s="120"/>
      <c r="JQ104" s="120"/>
      <c r="JR104" s="120"/>
      <c r="JS104" s="120"/>
      <c r="JT104" s="120"/>
      <c r="JU104" s="120"/>
      <c r="JV104" s="120"/>
      <c r="JW104" s="120"/>
      <c r="JX104" s="120"/>
      <c r="JY104" s="120"/>
      <c r="JZ104" s="120"/>
      <c r="KA104" s="120"/>
      <c r="KB104" s="120"/>
      <c r="KC104" s="120"/>
      <c r="KD104" s="120"/>
      <c r="KE104" s="120"/>
      <c r="KF104" s="120"/>
      <c r="KG104" s="120"/>
      <c r="KH104" s="120"/>
      <c r="KI104" s="120"/>
      <c r="KJ104" s="120"/>
      <c r="KK104" s="120"/>
      <c r="KL104" s="120"/>
      <c r="KM104" s="120"/>
      <c r="KN104" s="120"/>
      <c r="KO104" s="120"/>
      <c r="KP104" s="120"/>
      <c r="KQ104" s="120"/>
      <c r="KR104" s="120"/>
      <c r="KS104" s="120"/>
      <c r="KT104" s="120"/>
      <c r="KU104" s="120"/>
      <c r="KV104" s="120"/>
      <c r="KW104" s="120"/>
      <c r="KX104" s="120"/>
      <c r="KY104" s="120"/>
      <c r="KZ104" s="120"/>
      <c r="LA104" s="120"/>
      <c r="LB104" s="120"/>
      <c r="LC104" s="120"/>
      <c r="LD104" s="120"/>
      <c r="LE104" s="120"/>
      <c r="LF104" s="120"/>
      <c r="LG104" s="120"/>
      <c r="LH104" s="120"/>
      <c r="LI104" s="120"/>
      <c r="LJ104" s="120"/>
      <c r="LK104" s="120"/>
      <c r="LL104" s="120"/>
      <c r="LM104" s="120"/>
      <c r="LN104" s="120"/>
      <c r="LO104" s="120"/>
      <c r="LP104" s="120"/>
      <c r="LQ104" s="120"/>
      <c r="LR104" s="120"/>
      <c r="LS104" s="120"/>
      <c r="LT104" s="120"/>
      <c r="LU104" s="120"/>
      <c r="LV104" s="120"/>
      <c r="LW104" s="120"/>
      <c r="LX104" s="120"/>
      <c r="LY104" s="120"/>
      <c r="LZ104" s="120"/>
      <c r="MA104" s="120"/>
      <c r="MB104" s="120"/>
      <c r="MC104" s="120"/>
      <c r="MD104" s="120"/>
      <c r="ME104" s="120"/>
      <c r="MF104" s="120"/>
      <c r="MG104" s="120"/>
      <c r="MH104" s="120"/>
      <c r="MI104" s="120"/>
      <c r="MJ104" s="120"/>
      <c r="MK104" s="120"/>
      <c r="ML104" s="120"/>
      <c r="MM104" s="120"/>
      <c r="MN104" s="120"/>
      <c r="MO104" s="120"/>
      <c r="MP104" s="120"/>
      <c r="MQ104" s="120"/>
      <c r="MR104" s="120"/>
      <c r="MS104" s="120"/>
      <c r="MT104" s="120"/>
      <c r="MU104" s="120"/>
      <c r="MV104" s="120"/>
      <c r="MW104" s="120"/>
      <c r="MX104" s="120"/>
      <c r="MY104" s="120"/>
      <c r="MZ104" s="120"/>
      <c r="NA104" s="120"/>
      <c r="NB104" s="120"/>
      <c r="NC104" s="120"/>
      <c r="ND104" s="120"/>
      <c r="NE104" s="120"/>
      <c r="NF104" s="120"/>
      <c r="NG104" s="120"/>
      <c r="NH104" s="120"/>
      <c r="NI104" s="120"/>
      <c r="NJ104" s="120"/>
      <c r="NK104" s="120"/>
      <c r="NL104" s="120"/>
      <c r="NM104" s="120"/>
      <c r="NN104" s="120"/>
      <c r="NO104" s="120"/>
      <c r="NP104" s="120"/>
      <c r="NQ104" s="120"/>
      <c r="NR104" s="120"/>
      <c r="NS104" s="120"/>
      <c r="NT104" s="120"/>
      <c r="NU104" s="120"/>
      <c r="NV104" s="120"/>
      <c r="NW104" s="120"/>
      <c r="NX104" s="120"/>
      <c r="NY104" s="120"/>
      <c r="NZ104" s="120"/>
      <c r="OA104" s="120"/>
      <c r="OB104" s="120"/>
      <c r="OC104" s="120"/>
      <c r="OD104" s="120"/>
      <c r="OE104" s="120"/>
      <c r="OF104" s="120"/>
      <c r="OG104" s="120"/>
      <c r="OH104" s="120"/>
      <c r="OI104" s="120"/>
      <c r="OJ104" s="120"/>
      <c r="OK104" s="120"/>
      <c r="OL104" s="120"/>
      <c r="OM104" s="120"/>
      <c r="ON104" s="120"/>
      <c r="OO104" s="120"/>
      <c r="OP104" s="120"/>
      <c r="OQ104" s="120"/>
      <c r="OR104" s="120"/>
      <c r="OS104" s="120"/>
      <c r="OT104" s="120"/>
      <c r="OU104" s="120"/>
      <c r="OV104" s="120"/>
      <c r="OW104" s="120"/>
      <c r="OX104" s="120"/>
      <c r="OY104" s="120"/>
      <c r="OZ104" s="120"/>
      <c r="PA104" s="120"/>
      <c r="PB104" s="120"/>
      <c r="PC104" s="120"/>
      <c r="PD104" s="120"/>
      <c r="PE104" s="120"/>
      <c r="PF104" s="120"/>
      <c r="PG104" s="120"/>
      <c r="PH104" s="120"/>
      <c r="PI104" s="120"/>
      <c r="PJ104" s="120"/>
      <c r="PK104" s="120"/>
      <c r="PL104" s="120"/>
      <c r="PM104" s="120"/>
      <c r="PN104" s="120"/>
      <c r="PO104" s="120"/>
      <c r="PP104" s="120"/>
      <c r="PQ104" s="120"/>
      <c r="PR104" s="120"/>
      <c r="PS104" s="120"/>
      <c r="PT104" s="120"/>
      <c r="PU104" s="120"/>
      <c r="PV104" s="120"/>
      <c r="PW104" s="120"/>
      <c r="PX104" s="120"/>
      <c r="PY104" s="120"/>
      <c r="PZ104" s="120"/>
      <c r="QA104" s="120"/>
      <c r="QB104" s="120"/>
      <c r="QC104" s="120"/>
      <c r="QD104" s="120"/>
      <c r="QE104" s="120"/>
      <c r="QF104" s="120"/>
      <c r="QG104" s="120"/>
      <c r="QH104" s="120"/>
      <c r="QI104" s="120"/>
      <c r="QJ104" s="120"/>
      <c r="QK104" s="120"/>
      <c r="QL104" s="120"/>
      <c r="QM104" s="120"/>
      <c r="QN104" s="120"/>
      <c r="QO104" s="120"/>
      <c r="QP104" s="120"/>
      <c r="QQ104" s="120"/>
      <c r="QR104" s="120"/>
      <c r="QS104" s="120"/>
      <c r="QT104" s="120"/>
      <c r="QU104" s="120"/>
      <c r="QV104" s="120"/>
      <c r="QW104" s="120"/>
      <c r="QX104" s="120"/>
      <c r="QY104" s="120"/>
      <c r="QZ104" s="120"/>
      <c r="RA104" s="120"/>
      <c r="RB104" s="120"/>
      <c r="RC104" s="120"/>
      <c r="RD104" s="120"/>
      <c r="RE104" s="120"/>
      <c r="RF104" s="120"/>
      <c r="RG104" s="120"/>
      <c r="RH104" s="120"/>
      <c r="RI104" s="120"/>
      <c r="RJ104" s="120"/>
      <c r="RK104" s="120"/>
      <c r="RL104" s="120"/>
      <c r="RM104" s="120"/>
      <c r="RN104" s="120"/>
      <c r="RO104" s="120"/>
      <c r="RP104" s="120"/>
      <c r="RQ104" s="120"/>
      <c r="RR104" s="120"/>
      <c r="RS104" s="120"/>
      <c r="RT104" s="120"/>
      <c r="RU104" s="120"/>
      <c r="RV104" s="120"/>
      <c r="RW104" s="120"/>
      <c r="RX104" s="120"/>
      <c r="RY104" s="120"/>
      <c r="RZ104" s="120"/>
      <c r="SA104" s="120"/>
      <c r="SB104" s="120"/>
      <c r="SC104" s="120"/>
      <c r="SD104" s="120"/>
      <c r="SE104" s="120"/>
      <c r="SF104" s="120"/>
      <c r="SG104" s="120"/>
      <c r="SH104" s="120"/>
      <c r="SI104" s="120"/>
      <c r="SJ104" s="120"/>
      <c r="SK104" s="120"/>
      <c r="SL104" s="120"/>
      <c r="SM104" s="120"/>
      <c r="SN104" s="120"/>
      <c r="SO104" s="120"/>
      <c r="SP104" s="120"/>
      <c r="SQ104" s="120"/>
      <c r="SR104" s="120"/>
      <c r="SS104" s="120"/>
      <c r="ST104" s="120"/>
      <c r="SU104" s="120"/>
      <c r="SV104" s="120"/>
      <c r="SW104" s="120"/>
      <c r="SX104" s="120"/>
      <c r="SY104" s="120"/>
      <c r="SZ104" s="120"/>
      <c r="TA104" s="120"/>
      <c r="TB104" s="120"/>
      <c r="TC104" s="120"/>
      <c r="TD104" s="120"/>
      <c r="TE104" s="120"/>
      <c r="TF104" s="120"/>
      <c r="TG104" s="120"/>
      <c r="TH104" s="120"/>
      <c r="TI104" s="120"/>
      <c r="TJ104" s="120"/>
      <c r="TK104" s="120"/>
      <c r="TL104" s="120"/>
      <c r="TM104" s="120"/>
      <c r="TN104" s="120"/>
      <c r="TO104" s="120"/>
      <c r="TP104" s="120"/>
      <c r="TQ104" s="120"/>
      <c r="TR104" s="120"/>
      <c r="TS104" s="120"/>
      <c r="TT104" s="120"/>
      <c r="TU104" s="120"/>
      <c r="TV104" s="120"/>
      <c r="TW104" s="120"/>
      <c r="TX104" s="120"/>
      <c r="TY104" s="120"/>
      <c r="TZ104" s="120"/>
      <c r="UA104" s="120"/>
      <c r="UB104" s="120"/>
      <c r="UC104" s="120"/>
      <c r="UD104" s="120"/>
      <c r="UE104" s="120"/>
      <c r="UF104" s="120"/>
      <c r="UG104" s="120"/>
      <c r="UH104" s="120"/>
      <c r="UI104" s="120"/>
      <c r="UJ104" s="120"/>
      <c r="UK104" s="120"/>
      <c r="UL104" s="120"/>
      <c r="UM104" s="120"/>
      <c r="UN104" s="120"/>
      <c r="UO104" s="120"/>
      <c r="UP104" s="120"/>
      <c r="UQ104" s="120"/>
      <c r="UR104" s="120"/>
      <c r="US104" s="120"/>
      <c r="UT104" s="120"/>
      <c r="UU104" s="120"/>
      <c r="UV104" s="120"/>
      <c r="UW104" s="120"/>
      <c r="UX104" s="120"/>
      <c r="UY104" s="120"/>
      <c r="UZ104" s="120"/>
      <c r="VA104" s="120"/>
      <c r="VB104" s="120"/>
      <c r="VC104" s="120"/>
      <c r="VD104" s="120"/>
      <c r="VE104" s="120"/>
      <c r="VF104" s="120"/>
      <c r="VG104" s="120"/>
      <c r="VH104" s="120"/>
      <c r="VI104" s="120"/>
      <c r="VJ104" s="120"/>
      <c r="VK104" s="120"/>
      <c r="VL104" s="120"/>
      <c r="VM104" s="120"/>
      <c r="VN104" s="120"/>
      <c r="VO104" s="120"/>
      <c r="VP104" s="120"/>
      <c r="VQ104" s="120"/>
      <c r="VR104" s="120"/>
      <c r="VS104" s="120"/>
      <c r="VT104" s="120"/>
      <c r="VU104" s="120"/>
      <c r="VV104" s="120"/>
      <c r="VW104" s="120"/>
      <c r="VX104" s="120"/>
      <c r="VY104" s="120"/>
      <c r="VZ104" s="120"/>
      <c r="WA104" s="120"/>
      <c r="WB104" s="120"/>
      <c r="WC104" s="120"/>
      <c r="WD104" s="120"/>
      <c r="WE104" s="120"/>
      <c r="WF104" s="120"/>
      <c r="WG104" s="120"/>
      <c r="WH104" s="120"/>
      <c r="WI104" s="120"/>
      <c r="WJ104" s="120"/>
      <c r="WK104" s="120"/>
      <c r="WL104" s="120"/>
      <c r="WM104" s="120"/>
      <c r="WN104" s="120"/>
      <c r="WO104" s="120"/>
      <c r="WP104" s="120"/>
      <c r="WQ104" s="120"/>
      <c r="WR104" s="120"/>
      <c r="WS104" s="120"/>
      <c r="WT104" s="120"/>
      <c r="WU104" s="120"/>
      <c r="WV104" s="120"/>
      <c r="WW104" s="120"/>
      <c r="WX104" s="120"/>
      <c r="WY104" s="120"/>
      <c r="WZ104" s="120"/>
      <c r="XA104" s="120"/>
      <c r="XB104" s="120"/>
      <c r="XC104" s="120"/>
      <c r="XD104" s="120"/>
      <c r="XE104" s="120"/>
      <c r="XF104" s="120"/>
      <c r="XG104" s="120"/>
      <c r="XH104" s="120"/>
      <c r="XI104" s="120"/>
      <c r="XJ104" s="120"/>
      <c r="XK104" s="120"/>
      <c r="XL104" s="120"/>
      <c r="XM104" s="120"/>
      <c r="XN104" s="120"/>
      <c r="XO104" s="120"/>
      <c r="XP104" s="120"/>
      <c r="XQ104" s="120"/>
      <c r="XR104" s="120"/>
      <c r="XS104" s="120"/>
      <c r="XT104" s="120"/>
      <c r="XU104" s="120"/>
      <c r="XV104" s="120"/>
      <c r="XW104" s="120"/>
      <c r="XX104" s="120"/>
      <c r="XY104" s="120"/>
      <c r="XZ104" s="120"/>
      <c r="YA104" s="120"/>
      <c r="YB104" s="120"/>
      <c r="YC104" s="120"/>
      <c r="YD104" s="120"/>
      <c r="YE104" s="120"/>
      <c r="YF104" s="120"/>
      <c r="YG104" s="120"/>
      <c r="YH104" s="120"/>
      <c r="YI104" s="120"/>
      <c r="YJ104" s="120"/>
      <c r="YK104" s="120"/>
      <c r="YL104" s="120"/>
      <c r="YM104" s="120"/>
      <c r="YN104" s="120"/>
      <c r="YO104" s="120"/>
      <c r="YP104" s="120"/>
      <c r="YQ104" s="120"/>
      <c r="YR104" s="120"/>
      <c r="YS104" s="120"/>
      <c r="YT104" s="120"/>
      <c r="YU104" s="120"/>
      <c r="YV104" s="120"/>
      <c r="YW104" s="120"/>
      <c r="YX104" s="120"/>
      <c r="YY104" s="120"/>
      <c r="YZ104" s="120"/>
      <c r="ZA104" s="120"/>
      <c r="ZB104" s="120"/>
      <c r="ZC104" s="120"/>
      <c r="ZD104" s="120"/>
      <c r="ZE104" s="120"/>
      <c r="ZF104" s="120"/>
      <c r="ZG104" s="120"/>
      <c r="ZH104" s="120"/>
      <c r="ZI104" s="120"/>
      <c r="ZJ104" s="120"/>
      <c r="ZK104" s="120"/>
      <c r="ZL104" s="120"/>
      <c r="ZM104" s="120"/>
      <c r="ZN104" s="120"/>
      <c r="ZO104" s="120"/>
      <c r="ZP104" s="120"/>
      <c r="ZQ104" s="120"/>
      <c r="ZR104" s="120"/>
      <c r="ZS104" s="120"/>
      <c r="ZT104" s="120"/>
      <c r="ZU104" s="120"/>
      <c r="ZV104" s="120"/>
      <c r="ZW104" s="120"/>
      <c r="ZX104" s="120"/>
      <c r="ZY104" s="120"/>
      <c r="ZZ104" s="120"/>
      <c r="AAA104" s="120"/>
      <c r="AAB104" s="120"/>
      <c r="AAC104" s="120"/>
      <c r="AAD104" s="120"/>
      <c r="AAE104" s="120"/>
      <c r="AAF104" s="120"/>
      <c r="AAG104" s="120"/>
      <c r="AAH104" s="120"/>
      <c r="AAI104" s="120"/>
      <c r="AAJ104" s="120"/>
      <c r="AAK104" s="120"/>
      <c r="AAL104" s="120"/>
      <c r="AAM104" s="120"/>
      <c r="AAN104" s="120"/>
      <c r="AAO104" s="120"/>
      <c r="AAP104" s="120"/>
      <c r="AAQ104" s="120"/>
      <c r="AAR104" s="120"/>
      <c r="AAS104" s="120"/>
      <c r="AAT104" s="120"/>
      <c r="AAU104" s="120"/>
      <c r="AAV104" s="120"/>
      <c r="AAW104" s="120"/>
      <c r="AAX104" s="120"/>
      <c r="AAY104" s="120"/>
      <c r="AAZ104" s="120"/>
      <c r="ABA104" s="120"/>
      <c r="ABB104" s="120"/>
      <c r="ABC104" s="120"/>
      <c r="ABD104" s="120"/>
      <c r="ABE104" s="120"/>
      <c r="ABF104" s="120"/>
      <c r="ABG104" s="120"/>
      <c r="ABH104" s="120"/>
      <c r="ABI104" s="120"/>
      <c r="ABJ104" s="120"/>
      <c r="ABK104" s="120"/>
      <c r="ABL104" s="120"/>
      <c r="ABM104" s="120"/>
      <c r="ABN104" s="120"/>
      <c r="ABO104" s="120"/>
      <c r="ABP104" s="120"/>
      <c r="ABQ104" s="120"/>
      <c r="ABR104" s="120"/>
      <c r="ABS104" s="120"/>
      <c r="ABT104" s="120"/>
      <c r="ABU104" s="120"/>
      <c r="ABV104" s="120"/>
      <c r="ABW104" s="120"/>
      <c r="ABX104" s="120"/>
      <c r="ABY104" s="120"/>
      <c r="ABZ104" s="120"/>
      <c r="ACA104" s="120"/>
      <c r="ACB104" s="120"/>
      <c r="ACC104" s="120"/>
      <c r="ACD104" s="120"/>
      <c r="ACE104" s="120"/>
      <c r="ACF104" s="120"/>
      <c r="ACG104" s="120"/>
      <c r="ACH104" s="120"/>
      <c r="ACI104" s="120"/>
      <c r="ACJ104" s="120"/>
      <c r="ACK104" s="120"/>
      <c r="ACL104" s="120"/>
      <c r="ACM104" s="120"/>
      <c r="ACN104" s="120"/>
      <c r="ACO104" s="120"/>
      <c r="ACP104" s="120"/>
      <c r="ACQ104" s="120"/>
      <c r="ACR104" s="120"/>
      <c r="ACS104" s="120"/>
      <c r="ACT104" s="120"/>
      <c r="ACU104" s="120"/>
      <c r="ACV104" s="120"/>
      <c r="ACW104" s="120"/>
      <c r="ACX104" s="120"/>
      <c r="ACY104" s="120"/>
      <c r="ACZ104" s="120"/>
      <c r="ADA104" s="120"/>
      <c r="ADB104" s="120"/>
      <c r="ADC104" s="120"/>
      <c r="ADD104" s="120"/>
      <c r="ADE104" s="120"/>
      <c r="ADF104" s="120"/>
      <c r="ADG104" s="120"/>
      <c r="ADH104" s="120"/>
      <c r="ADI104" s="120"/>
      <c r="ADJ104" s="120"/>
      <c r="ADK104" s="120"/>
      <c r="ADL104" s="120"/>
      <c r="ADM104" s="120"/>
      <c r="ADN104" s="120"/>
      <c r="ADO104" s="120"/>
      <c r="ADP104" s="120"/>
      <c r="ADQ104" s="120"/>
      <c r="ADR104" s="120"/>
      <c r="ADS104" s="120"/>
      <c r="ADT104" s="120"/>
      <c r="ADU104" s="120"/>
      <c r="ADV104" s="120"/>
      <c r="ADW104" s="120"/>
      <c r="ADX104" s="120"/>
      <c r="ADY104" s="120"/>
      <c r="ADZ104" s="120"/>
      <c r="AEA104" s="120"/>
      <c r="AEB104" s="120"/>
      <c r="AEC104" s="120"/>
      <c r="AED104" s="120"/>
      <c r="AEE104" s="120"/>
      <c r="AEF104" s="120"/>
      <c r="AEG104" s="120"/>
      <c r="AEH104" s="120"/>
      <c r="AEI104" s="120"/>
      <c r="AEJ104" s="120"/>
      <c r="AEK104" s="120"/>
      <c r="AEL104" s="120"/>
      <c r="AEM104" s="120"/>
      <c r="AEN104" s="120"/>
      <c r="AEO104" s="120"/>
      <c r="AEP104" s="120"/>
      <c r="AEQ104" s="120"/>
      <c r="AER104" s="120"/>
      <c r="AES104" s="120"/>
      <c r="AET104" s="120"/>
      <c r="AEU104" s="120"/>
      <c r="AEV104" s="120"/>
      <c r="AEW104" s="120"/>
      <c r="AEX104" s="120"/>
      <c r="AEY104" s="120"/>
      <c r="AEZ104" s="120"/>
      <c r="AFA104" s="120"/>
      <c r="AFB104" s="120"/>
      <c r="AFC104" s="120"/>
      <c r="AFD104" s="120"/>
      <c r="AFE104" s="120"/>
      <c r="AFF104" s="120"/>
      <c r="AFG104" s="120"/>
      <c r="AFH104" s="120"/>
      <c r="AFI104" s="120"/>
      <c r="AFJ104" s="120"/>
      <c r="AFK104" s="120"/>
      <c r="AFL104" s="120"/>
      <c r="AFM104" s="120"/>
      <c r="AFN104" s="120"/>
      <c r="AFO104" s="120"/>
      <c r="AFP104" s="120"/>
      <c r="AFQ104" s="120"/>
      <c r="AFR104" s="120"/>
      <c r="AFS104" s="120"/>
      <c r="AFT104" s="120"/>
      <c r="AFU104" s="120"/>
      <c r="AFV104" s="120"/>
      <c r="AFW104" s="120"/>
      <c r="AFX104" s="120"/>
      <c r="AFY104" s="120"/>
      <c r="AFZ104" s="120"/>
      <c r="AGA104" s="120"/>
      <c r="AGB104" s="120"/>
      <c r="AGC104" s="120"/>
      <c r="AGD104" s="120"/>
      <c r="AGE104" s="120"/>
      <c r="AGF104" s="120"/>
      <c r="AGG104" s="120"/>
      <c r="AGH104" s="120"/>
      <c r="AGI104" s="120"/>
      <c r="AGJ104" s="120"/>
      <c r="AGK104" s="120"/>
      <c r="AGL104" s="120"/>
      <c r="AGM104" s="120"/>
      <c r="AGN104" s="120"/>
      <c r="AGO104" s="120"/>
      <c r="AGP104" s="120"/>
      <c r="AGQ104" s="120"/>
      <c r="AGR104" s="120"/>
      <c r="AGS104" s="120"/>
      <c r="AGT104" s="120"/>
      <c r="AGU104" s="120"/>
      <c r="AGV104" s="120"/>
      <c r="AGW104" s="120"/>
      <c r="AGX104" s="120"/>
      <c r="AGY104" s="120"/>
      <c r="AGZ104" s="120"/>
      <c r="AHA104" s="120"/>
      <c r="AHB104" s="120"/>
      <c r="AHC104" s="120"/>
      <c r="AHD104" s="120"/>
      <c r="AHE104" s="120"/>
      <c r="AHF104" s="120"/>
      <c r="AHG104" s="120"/>
      <c r="AHH104" s="120"/>
      <c r="AHI104" s="120"/>
      <c r="AHJ104" s="120"/>
      <c r="AHK104" s="120"/>
      <c r="AHL104" s="120"/>
      <c r="AHM104" s="120"/>
      <c r="AHN104" s="120"/>
      <c r="AHO104" s="120"/>
      <c r="AHP104" s="120"/>
      <c r="AHQ104" s="120"/>
      <c r="AHR104" s="120"/>
      <c r="AHS104" s="120"/>
      <c r="AHT104" s="120"/>
      <c r="AHU104" s="120"/>
      <c r="AHV104" s="120"/>
      <c r="AHW104" s="120"/>
      <c r="AHX104" s="120"/>
      <c r="AHY104" s="120"/>
      <c r="AHZ104" s="120"/>
      <c r="AIA104" s="120"/>
      <c r="AIB104" s="120"/>
      <c r="AIC104" s="120"/>
      <c r="AID104" s="120"/>
      <c r="AIE104" s="120"/>
      <c r="AIF104" s="120"/>
      <c r="AIG104" s="120"/>
      <c r="AIH104" s="120"/>
      <c r="AII104" s="120"/>
      <c r="AIJ104" s="120"/>
      <c r="AIK104" s="120"/>
      <c r="AIL104" s="120"/>
      <c r="AIM104" s="120"/>
      <c r="AIN104" s="120"/>
      <c r="AIO104" s="120"/>
      <c r="AIP104" s="120"/>
      <c r="AIQ104" s="120"/>
      <c r="AIR104" s="120"/>
      <c r="AIS104" s="120"/>
      <c r="AIT104" s="120"/>
      <c r="AIU104" s="120"/>
      <c r="AIV104" s="120"/>
      <c r="AIW104" s="120"/>
      <c r="AIX104" s="120"/>
      <c r="AIY104" s="120"/>
      <c r="AIZ104" s="120"/>
    </row>
    <row r="105">
      <c r="A105" s="112" t="s">
        <v>7</v>
      </c>
      <c r="B105" s="112" t="s">
        <v>25</v>
      </c>
      <c r="C105" s="112"/>
      <c r="D105" s="113">
        <f t="shared" si="1"/>
        <v>546.6785167</v>
      </c>
      <c r="E105" s="112">
        <v>63.5247333333334</v>
      </c>
      <c r="F105" s="113"/>
      <c r="G105" s="113"/>
      <c r="H105" s="113"/>
      <c r="I105" s="113"/>
      <c r="J105" s="113"/>
      <c r="K105" s="113"/>
      <c r="L105" s="112">
        <v>0.981483333333333</v>
      </c>
      <c r="M105" s="112">
        <v>10.4816333333333</v>
      </c>
      <c r="N105" s="113"/>
      <c r="O105" s="112">
        <v>0.1183</v>
      </c>
      <c r="P105" s="112">
        <v>127.5388</v>
      </c>
      <c r="Q105" s="113"/>
      <c r="R105" s="113"/>
      <c r="S105" s="113"/>
      <c r="T105" s="113"/>
      <c r="U105" s="113"/>
      <c r="V105" s="112">
        <v>1.42693333333333</v>
      </c>
      <c r="W105" s="112">
        <v>37.9814833333333</v>
      </c>
      <c r="X105" s="113"/>
      <c r="Y105" s="113"/>
      <c r="Z105" s="113"/>
      <c r="AA105" s="113"/>
      <c r="AB105" s="113"/>
      <c r="AC105" s="112">
        <v>2.26653333333333</v>
      </c>
      <c r="AD105" s="112">
        <v>140.7621</v>
      </c>
      <c r="AE105" s="113"/>
      <c r="AF105" s="113"/>
      <c r="AG105" s="113"/>
      <c r="AH105" s="113"/>
      <c r="AI105" s="113"/>
      <c r="AJ105" s="112">
        <v>2.86915</v>
      </c>
      <c r="AK105" s="112">
        <v>25.6679</v>
      </c>
      <c r="AL105" s="113"/>
      <c r="AM105" s="113"/>
      <c r="AN105" s="113"/>
      <c r="AO105" s="112">
        <v>3.29213333333333</v>
      </c>
      <c r="AP105" s="112">
        <v>13.9298333333333</v>
      </c>
      <c r="AQ105" s="113"/>
      <c r="AR105" s="113"/>
      <c r="AS105" s="112">
        <v>2.09611666666667</v>
      </c>
      <c r="AT105" s="112">
        <v>107.305383333333</v>
      </c>
      <c r="AU105" s="113"/>
      <c r="AV105" s="112">
        <v>5.38786666666667</v>
      </c>
      <c r="AW105" s="112">
        <v>1.04813333333333</v>
      </c>
      <c r="AX105" s="113"/>
      <c r="AY105" s="113"/>
      <c r="AZ105" s="113"/>
      <c r="BA105" s="113"/>
      <c r="BB105" s="113"/>
      <c r="BC105" s="113"/>
      <c r="BD105" s="113"/>
      <c r="BE105" s="113"/>
      <c r="BF105" s="113"/>
      <c r="BG105" s="113"/>
      <c r="BH105" s="113"/>
      <c r="BI105" s="113"/>
      <c r="BJ105" s="113"/>
      <c r="BK105" s="113"/>
      <c r="BL105" s="113"/>
      <c r="BM105" s="113"/>
      <c r="BN105" s="113"/>
      <c r="BO105" s="113"/>
      <c r="BP105" s="113"/>
      <c r="BQ105" s="113"/>
      <c r="BR105" s="113"/>
      <c r="BS105" s="113"/>
      <c r="BT105" s="113"/>
      <c r="BU105" s="113"/>
      <c r="BV105" s="113"/>
      <c r="BW105" s="113"/>
      <c r="BX105" s="113"/>
      <c r="BY105" s="113"/>
      <c r="BZ105" s="113"/>
      <c r="CA105" s="113"/>
      <c r="CB105" s="113"/>
      <c r="CC105" s="113"/>
      <c r="CD105" s="113"/>
      <c r="CE105" s="113"/>
      <c r="CF105" s="113"/>
      <c r="CG105" s="113"/>
      <c r="CH105" s="113"/>
      <c r="CI105" s="113"/>
      <c r="CJ105" s="113"/>
      <c r="CK105" s="113"/>
      <c r="CL105" s="113"/>
      <c r="CM105" s="113"/>
      <c r="CN105" s="113"/>
      <c r="CO105" s="113"/>
      <c r="CP105" s="113"/>
      <c r="CQ105" s="113"/>
      <c r="CR105" s="113"/>
      <c r="CS105" s="113"/>
      <c r="CT105" s="113"/>
      <c r="CU105" s="113"/>
      <c r="CV105" s="113"/>
      <c r="CW105" s="113"/>
      <c r="CX105" s="113"/>
      <c r="CY105" s="113"/>
      <c r="CZ105" s="113"/>
      <c r="DA105" s="113"/>
      <c r="DB105" s="113"/>
      <c r="DC105" s="113"/>
      <c r="DD105" s="113"/>
      <c r="DE105" s="113"/>
      <c r="DF105" s="113"/>
      <c r="DG105" s="113"/>
      <c r="DH105" s="113"/>
      <c r="DI105" s="113"/>
      <c r="DJ105" s="113"/>
      <c r="DK105" s="113"/>
      <c r="DL105" s="113"/>
      <c r="DM105" s="113"/>
      <c r="DN105" s="113"/>
      <c r="DO105" s="113"/>
      <c r="DP105" s="113"/>
      <c r="DQ105" s="113"/>
      <c r="DR105" s="113"/>
      <c r="DS105" s="113"/>
      <c r="DT105" s="113"/>
      <c r="DU105" s="113"/>
      <c r="DV105" s="113"/>
      <c r="DW105" s="113"/>
      <c r="DX105" s="113"/>
      <c r="DY105" s="113"/>
      <c r="DZ105" s="113"/>
      <c r="EA105" s="113"/>
      <c r="EB105" s="113"/>
      <c r="EC105" s="113"/>
      <c r="ED105" s="113"/>
      <c r="EE105" s="113"/>
      <c r="EF105" s="113"/>
      <c r="EG105" s="113"/>
      <c r="EH105" s="113"/>
      <c r="EI105" s="113"/>
      <c r="EJ105" s="113"/>
      <c r="EK105" s="113"/>
      <c r="EL105" s="113"/>
      <c r="EM105" s="113"/>
      <c r="EN105" s="113"/>
      <c r="EO105" s="113"/>
      <c r="EP105" s="113"/>
      <c r="EQ105" s="113"/>
      <c r="ER105" s="113"/>
      <c r="ES105" s="113"/>
      <c r="ET105" s="113"/>
      <c r="EU105" s="113"/>
      <c r="EV105" s="113"/>
      <c r="EW105" s="113"/>
      <c r="EX105" s="113"/>
      <c r="EY105" s="113"/>
      <c r="EZ105" s="113"/>
      <c r="FA105" s="113"/>
      <c r="FB105" s="113"/>
      <c r="FC105" s="113"/>
      <c r="FD105" s="113"/>
      <c r="FE105" s="113"/>
      <c r="FF105" s="113"/>
      <c r="FG105" s="113"/>
      <c r="FH105" s="113"/>
      <c r="FI105" s="113"/>
      <c r="FJ105" s="113"/>
      <c r="FK105" s="113"/>
      <c r="FL105" s="113"/>
      <c r="FM105" s="113"/>
      <c r="FN105" s="113"/>
      <c r="FO105" s="113"/>
      <c r="FP105" s="113"/>
      <c r="FQ105" s="113"/>
      <c r="FR105" s="113"/>
      <c r="FS105" s="113"/>
      <c r="FT105" s="113"/>
      <c r="FU105" s="113"/>
      <c r="FV105" s="113"/>
      <c r="FW105" s="113"/>
      <c r="FX105" s="113"/>
      <c r="FY105" s="113"/>
      <c r="FZ105" s="113"/>
      <c r="GA105" s="113"/>
      <c r="GB105" s="113"/>
      <c r="GC105" s="113"/>
      <c r="GD105" s="113"/>
      <c r="GE105" s="113"/>
      <c r="GF105" s="113"/>
      <c r="GG105" s="113"/>
      <c r="GH105" s="113"/>
      <c r="GI105" s="113"/>
      <c r="GJ105" s="113"/>
      <c r="GK105" s="113"/>
      <c r="GL105" s="113"/>
      <c r="GM105" s="113"/>
      <c r="GN105" s="113"/>
      <c r="GO105" s="113"/>
      <c r="GP105" s="113"/>
      <c r="GQ105" s="113"/>
      <c r="GR105" s="113"/>
      <c r="GS105" s="113"/>
      <c r="GT105" s="113"/>
      <c r="GU105" s="113"/>
      <c r="GV105" s="113"/>
      <c r="GW105" s="113"/>
      <c r="GX105" s="113"/>
      <c r="GY105" s="113"/>
      <c r="GZ105" s="113"/>
      <c r="HA105" s="113"/>
      <c r="HB105" s="113"/>
      <c r="HC105" s="113"/>
      <c r="HD105" s="113"/>
      <c r="HE105" s="113"/>
      <c r="HF105" s="113"/>
      <c r="HG105" s="113"/>
      <c r="HH105" s="113"/>
      <c r="HI105" s="113"/>
      <c r="HJ105" s="113"/>
      <c r="HK105" s="113"/>
      <c r="HL105" s="113"/>
      <c r="HM105" s="113"/>
      <c r="HN105" s="113"/>
      <c r="HO105" s="113"/>
      <c r="HP105" s="113"/>
      <c r="HQ105" s="113"/>
      <c r="HR105" s="113"/>
      <c r="HS105" s="113"/>
      <c r="HT105" s="113"/>
      <c r="HU105" s="113"/>
      <c r="HV105" s="113"/>
      <c r="HW105" s="113"/>
      <c r="HX105" s="113"/>
      <c r="HY105" s="113"/>
      <c r="HZ105" s="113"/>
      <c r="IA105" s="113"/>
      <c r="IB105" s="113"/>
      <c r="IC105" s="113"/>
      <c r="ID105" s="113"/>
      <c r="IE105" s="113"/>
      <c r="IF105" s="113"/>
      <c r="IG105" s="113"/>
      <c r="IH105" s="113"/>
      <c r="II105" s="113"/>
      <c r="IJ105" s="113"/>
      <c r="IK105" s="113"/>
      <c r="IL105" s="113"/>
      <c r="IM105" s="113"/>
      <c r="IN105" s="113"/>
      <c r="IO105" s="113"/>
      <c r="IP105" s="113"/>
      <c r="IQ105" s="113"/>
      <c r="IR105" s="113"/>
      <c r="IS105" s="113"/>
      <c r="IT105" s="113"/>
      <c r="IU105" s="113"/>
      <c r="IV105" s="113"/>
      <c r="IW105" s="113"/>
      <c r="IX105" s="113"/>
      <c r="IY105" s="113"/>
      <c r="IZ105" s="113"/>
      <c r="JA105" s="113"/>
      <c r="JB105" s="113"/>
      <c r="JC105" s="113"/>
      <c r="JD105" s="113"/>
      <c r="JE105" s="113"/>
      <c r="JF105" s="113"/>
      <c r="JG105" s="113"/>
      <c r="JH105" s="113"/>
      <c r="JI105" s="113"/>
      <c r="JJ105" s="113"/>
      <c r="JK105" s="113"/>
      <c r="JL105" s="113"/>
      <c r="JM105" s="113"/>
      <c r="JN105" s="113"/>
      <c r="JO105" s="113"/>
      <c r="JP105" s="113"/>
      <c r="JQ105" s="113"/>
      <c r="JR105" s="113"/>
      <c r="JS105" s="113"/>
      <c r="JT105" s="113"/>
      <c r="JU105" s="113"/>
      <c r="JV105" s="113"/>
      <c r="JW105" s="113"/>
      <c r="JX105" s="113"/>
      <c r="JY105" s="113"/>
      <c r="JZ105" s="113"/>
      <c r="KA105" s="113"/>
      <c r="KB105" s="113"/>
      <c r="KC105" s="113"/>
      <c r="KD105" s="113"/>
      <c r="KE105" s="113"/>
      <c r="KF105" s="113"/>
      <c r="KG105" s="113"/>
      <c r="KH105" s="113"/>
      <c r="KI105" s="113"/>
      <c r="KJ105" s="113"/>
      <c r="KK105" s="113"/>
      <c r="KL105" s="113"/>
      <c r="KM105" s="113"/>
      <c r="KN105" s="113"/>
      <c r="KO105" s="113"/>
      <c r="KP105" s="113"/>
      <c r="KQ105" s="113"/>
      <c r="KR105" s="113"/>
      <c r="KS105" s="113"/>
      <c r="KT105" s="113"/>
      <c r="KU105" s="113"/>
      <c r="KV105" s="113"/>
      <c r="KW105" s="113"/>
      <c r="KX105" s="113"/>
      <c r="KY105" s="113"/>
      <c r="KZ105" s="113"/>
      <c r="LA105" s="113"/>
      <c r="LB105" s="113"/>
      <c r="LC105" s="113"/>
      <c r="LD105" s="113"/>
      <c r="LE105" s="113"/>
      <c r="LF105" s="113"/>
      <c r="LG105" s="113"/>
      <c r="LH105" s="113"/>
      <c r="LI105" s="113"/>
      <c r="LJ105" s="113"/>
      <c r="LK105" s="113"/>
      <c r="LL105" s="113"/>
      <c r="LM105" s="113"/>
      <c r="LN105" s="113"/>
      <c r="LO105" s="113"/>
      <c r="LP105" s="113"/>
      <c r="LQ105" s="113"/>
      <c r="LR105" s="113"/>
      <c r="LS105" s="113"/>
      <c r="LT105" s="113"/>
      <c r="LU105" s="113"/>
      <c r="LV105" s="113"/>
      <c r="LW105" s="113"/>
      <c r="LX105" s="113"/>
      <c r="LY105" s="113"/>
      <c r="LZ105" s="113"/>
      <c r="MA105" s="113"/>
      <c r="MB105" s="113"/>
      <c r="MC105" s="113"/>
      <c r="MD105" s="113"/>
      <c r="ME105" s="113"/>
      <c r="MF105" s="113"/>
      <c r="MG105" s="113"/>
      <c r="MH105" s="113"/>
      <c r="MI105" s="113"/>
      <c r="MJ105" s="113"/>
      <c r="MK105" s="113"/>
      <c r="ML105" s="113"/>
      <c r="MM105" s="113"/>
      <c r="MN105" s="113"/>
      <c r="MO105" s="113"/>
      <c r="MP105" s="113"/>
      <c r="MQ105" s="113"/>
      <c r="MR105" s="113"/>
      <c r="MS105" s="113"/>
      <c r="MT105" s="113"/>
      <c r="MU105" s="113"/>
      <c r="MV105" s="113"/>
      <c r="MW105" s="113"/>
      <c r="MX105" s="113"/>
      <c r="MY105" s="113"/>
      <c r="MZ105" s="113"/>
      <c r="NA105" s="113"/>
      <c r="NB105" s="113"/>
      <c r="NC105" s="113"/>
      <c r="ND105" s="113"/>
      <c r="NE105" s="113"/>
      <c r="NF105" s="113"/>
      <c r="NG105" s="113"/>
      <c r="NH105" s="113"/>
      <c r="NI105" s="113"/>
      <c r="NJ105" s="113"/>
      <c r="NK105" s="113"/>
      <c r="NL105" s="113"/>
      <c r="NM105" s="113"/>
      <c r="NN105" s="113"/>
      <c r="NO105" s="113"/>
      <c r="NP105" s="113"/>
      <c r="NQ105" s="113"/>
      <c r="NR105" s="113"/>
      <c r="NS105" s="113"/>
      <c r="NT105" s="113"/>
      <c r="NU105" s="113"/>
      <c r="NV105" s="113"/>
      <c r="NW105" s="113"/>
      <c r="NX105" s="113"/>
      <c r="NY105" s="113"/>
      <c r="NZ105" s="113"/>
      <c r="OA105" s="113"/>
      <c r="OB105" s="113"/>
      <c r="OC105" s="113"/>
      <c r="OD105" s="113"/>
      <c r="OE105" s="113"/>
      <c r="OF105" s="113"/>
      <c r="OG105" s="113"/>
      <c r="OH105" s="113"/>
      <c r="OI105" s="113"/>
      <c r="OJ105" s="113"/>
      <c r="OK105" s="113"/>
      <c r="OL105" s="113"/>
      <c r="OM105" s="113"/>
      <c r="ON105" s="113"/>
      <c r="OO105" s="113"/>
      <c r="OP105" s="113"/>
      <c r="OQ105" s="113"/>
      <c r="OR105" s="113"/>
      <c r="OS105" s="113"/>
      <c r="OT105" s="113"/>
      <c r="OU105" s="113"/>
      <c r="OV105" s="113"/>
      <c r="OW105" s="113"/>
      <c r="OX105" s="113"/>
      <c r="OY105" s="113"/>
      <c r="OZ105" s="113"/>
      <c r="PA105" s="113"/>
      <c r="PB105" s="113"/>
      <c r="PC105" s="113"/>
      <c r="PD105" s="113"/>
      <c r="PE105" s="113"/>
      <c r="PF105" s="113"/>
      <c r="PG105" s="113"/>
      <c r="PH105" s="113"/>
      <c r="PI105" s="113"/>
      <c r="PJ105" s="113"/>
      <c r="PK105" s="113"/>
      <c r="PL105" s="113"/>
      <c r="PM105" s="113"/>
      <c r="PN105" s="113"/>
      <c r="PO105" s="113"/>
      <c r="PP105" s="113"/>
      <c r="PQ105" s="113"/>
      <c r="PR105" s="113"/>
      <c r="PS105" s="113"/>
      <c r="PT105" s="113"/>
      <c r="PU105" s="113"/>
      <c r="PV105" s="113"/>
      <c r="PW105" s="113"/>
      <c r="PX105" s="113"/>
      <c r="PY105" s="113"/>
      <c r="PZ105" s="113"/>
      <c r="QA105" s="113"/>
      <c r="QB105" s="113"/>
      <c r="QC105" s="113"/>
      <c r="QD105" s="113"/>
      <c r="QE105" s="113"/>
      <c r="QF105" s="113"/>
      <c r="QG105" s="113"/>
      <c r="QH105" s="113"/>
      <c r="QI105" s="113"/>
      <c r="QJ105" s="113"/>
      <c r="QK105" s="113"/>
      <c r="QL105" s="113"/>
      <c r="QM105" s="113"/>
      <c r="QN105" s="113"/>
      <c r="QO105" s="113"/>
      <c r="QP105" s="113"/>
      <c r="QQ105" s="113"/>
      <c r="QR105" s="113"/>
      <c r="QS105" s="113"/>
      <c r="QT105" s="113"/>
      <c r="QU105" s="113"/>
      <c r="QV105" s="113"/>
      <c r="QW105" s="113"/>
      <c r="QX105" s="113"/>
      <c r="QY105" s="113"/>
      <c r="QZ105" s="113"/>
      <c r="RA105" s="113"/>
      <c r="RB105" s="113"/>
      <c r="RC105" s="113"/>
      <c r="RD105" s="113"/>
      <c r="RE105" s="113"/>
      <c r="RF105" s="113"/>
      <c r="RG105" s="113"/>
      <c r="RH105" s="113"/>
      <c r="RI105" s="113"/>
      <c r="RJ105" s="113"/>
      <c r="RK105" s="113"/>
      <c r="RL105" s="113"/>
      <c r="RM105" s="113"/>
      <c r="RN105" s="113"/>
      <c r="RO105" s="113"/>
      <c r="RP105" s="113"/>
      <c r="RQ105" s="113"/>
      <c r="RR105" s="113"/>
      <c r="RS105" s="113"/>
      <c r="RT105" s="113"/>
      <c r="RU105" s="113"/>
      <c r="RV105" s="113"/>
      <c r="RW105" s="113"/>
      <c r="RX105" s="113"/>
      <c r="RY105" s="113"/>
      <c r="RZ105" s="113"/>
      <c r="SA105" s="113"/>
      <c r="SB105" s="113"/>
      <c r="SC105" s="113"/>
      <c r="SD105" s="113"/>
      <c r="SE105" s="113"/>
      <c r="SF105" s="113"/>
      <c r="SG105" s="113"/>
      <c r="SH105" s="113"/>
      <c r="SI105" s="113"/>
      <c r="SJ105" s="113"/>
      <c r="SK105" s="113"/>
      <c r="SL105" s="113"/>
      <c r="SM105" s="113"/>
      <c r="SN105" s="113"/>
      <c r="SO105" s="113"/>
      <c r="SP105" s="113"/>
      <c r="SQ105" s="113"/>
      <c r="SR105" s="113"/>
      <c r="SS105" s="113"/>
      <c r="ST105" s="113"/>
      <c r="SU105" s="113"/>
      <c r="SV105" s="113"/>
      <c r="SW105" s="113"/>
      <c r="SX105" s="113"/>
      <c r="SY105" s="113"/>
      <c r="SZ105" s="113"/>
      <c r="TA105" s="113"/>
      <c r="TB105" s="113"/>
      <c r="TC105" s="113"/>
      <c r="TD105" s="113"/>
      <c r="TE105" s="113"/>
      <c r="TF105" s="113"/>
      <c r="TG105" s="113"/>
      <c r="TH105" s="113"/>
      <c r="TI105" s="113"/>
      <c r="TJ105" s="113"/>
      <c r="TK105" s="113"/>
      <c r="TL105" s="113"/>
      <c r="TM105" s="113"/>
      <c r="TN105" s="113"/>
      <c r="TO105" s="113"/>
      <c r="TP105" s="113"/>
      <c r="TQ105" s="113"/>
      <c r="TR105" s="113"/>
      <c r="TS105" s="113"/>
      <c r="TT105" s="113"/>
      <c r="TU105" s="113"/>
      <c r="TV105" s="113"/>
      <c r="TW105" s="113"/>
      <c r="TX105" s="113"/>
      <c r="TY105" s="113"/>
      <c r="TZ105" s="113"/>
      <c r="UA105" s="113"/>
      <c r="UB105" s="113"/>
      <c r="UC105" s="113"/>
      <c r="UD105" s="113"/>
      <c r="UE105" s="113"/>
      <c r="UF105" s="113"/>
      <c r="UG105" s="113"/>
      <c r="UH105" s="113"/>
      <c r="UI105" s="113"/>
      <c r="UJ105" s="113"/>
      <c r="UK105" s="113"/>
      <c r="UL105" s="113"/>
      <c r="UM105" s="113"/>
      <c r="UN105" s="113"/>
      <c r="UO105" s="113"/>
      <c r="UP105" s="113"/>
      <c r="UQ105" s="113"/>
      <c r="UR105" s="113"/>
      <c r="US105" s="113"/>
      <c r="UT105" s="113"/>
      <c r="UU105" s="113"/>
      <c r="UV105" s="113"/>
      <c r="UW105" s="113"/>
      <c r="UX105" s="113"/>
      <c r="UY105" s="113"/>
      <c r="UZ105" s="113"/>
      <c r="VA105" s="113"/>
      <c r="VB105" s="113"/>
      <c r="VC105" s="113"/>
      <c r="VD105" s="113"/>
      <c r="VE105" s="113"/>
      <c r="VF105" s="113"/>
      <c r="VG105" s="113"/>
      <c r="VH105" s="113"/>
      <c r="VI105" s="113"/>
      <c r="VJ105" s="113"/>
      <c r="VK105" s="113"/>
      <c r="VL105" s="113"/>
      <c r="VM105" s="113"/>
      <c r="VN105" s="113"/>
      <c r="VO105" s="113"/>
      <c r="VP105" s="113"/>
      <c r="VQ105" s="113"/>
      <c r="VR105" s="113"/>
      <c r="VS105" s="113"/>
      <c r="VT105" s="113"/>
      <c r="VU105" s="113"/>
      <c r="VV105" s="113"/>
      <c r="VW105" s="113"/>
      <c r="VX105" s="113"/>
      <c r="VY105" s="113"/>
      <c r="VZ105" s="113"/>
      <c r="WA105" s="113"/>
      <c r="WB105" s="113"/>
      <c r="WC105" s="113"/>
      <c r="WD105" s="113"/>
      <c r="WE105" s="113"/>
      <c r="WF105" s="113"/>
      <c r="WG105" s="113"/>
      <c r="WH105" s="113"/>
      <c r="WI105" s="113"/>
      <c r="WJ105" s="113"/>
      <c r="WK105" s="113"/>
      <c r="WL105" s="113"/>
      <c r="WM105" s="113"/>
      <c r="WN105" s="113"/>
      <c r="WO105" s="113"/>
      <c r="WP105" s="113"/>
      <c r="WQ105" s="113"/>
      <c r="WR105" s="113"/>
      <c r="WS105" s="113"/>
      <c r="WT105" s="113"/>
      <c r="WU105" s="113"/>
      <c r="WV105" s="113"/>
      <c r="WW105" s="113"/>
      <c r="WX105" s="113"/>
      <c r="WY105" s="113"/>
      <c r="WZ105" s="113"/>
      <c r="XA105" s="113"/>
      <c r="XB105" s="113"/>
      <c r="XC105" s="113"/>
      <c r="XD105" s="113"/>
      <c r="XE105" s="113"/>
      <c r="XF105" s="113"/>
      <c r="XG105" s="113"/>
      <c r="XH105" s="113"/>
      <c r="XI105" s="113"/>
      <c r="XJ105" s="113"/>
      <c r="XK105" s="113"/>
      <c r="XL105" s="113"/>
      <c r="XM105" s="113"/>
      <c r="XN105" s="113"/>
      <c r="XO105" s="113"/>
      <c r="XP105" s="113"/>
      <c r="XQ105" s="113"/>
      <c r="XR105" s="113"/>
      <c r="XS105" s="113"/>
      <c r="XT105" s="113"/>
      <c r="XU105" s="113"/>
      <c r="XV105" s="113"/>
      <c r="XW105" s="113"/>
      <c r="XX105" s="113"/>
      <c r="XY105" s="113"/>
      <c r="XZ105" s="113"/>
      <c r="YA105" s="113"/>
      <c r="YB105" s="113"/>
      <c r="YC105" s="113"/>
      <c r="YD105" s="113"/>
      <c r="YE105" s="113"/>
      <c r="YF105" s="113"/>
      <c r="YG105" s="113"/>
      <c r="YH105" s="113"/>
      <c r="YI105" s="113"/>
      <c r="YJ105" s="113"/>
      <c r="YK105" s="113"/>
      <c r="YL105" s="113"/>
      <c r="YM105" s="113"/>
      <c r="YN105" s="113"/>
      <c r="YO105" s="113"/>
      <c r="YP105" s="113"/>
      <c r="YQ105" s="113"/>
      <c r="YR105" s="113"/>
      <c r="YS105" s="113"/>
      <c r="YT105" s="113"/>
      <c r="YU105" s="113"/>
      <c r="YV105" s="113"/>
      <c r="YW105" s="113"/>
      <c r="YX105" s="113"/>
      <c r="YY105" s="113"/>
      <c r="YZ105" s="113"/>
      <c r="ZA105" s="113"/>
      <c r="ZB105" s="113"/>
      <c r="ZC105" s="113"/>
      <c r="ZD105" s="113"/>
      <c r="ZE105" s="113"/>
      <c r="ZF105" s="113"/>
      <c r="ZG105" s="113"/>
      <c r="ZH105" s="113"/>
      <c r="ZI105" s="113"/>
      <c r="ZJ105" s="113"/>
      <c r="ZK105" s="113"/>
      <c r="ZL105" s="113"/>
      <c r="ZM105" s="113"/>
      <c r="ZN105" s="113"/>
      <c r="ZO105" s="113"/>
      <c r="ZP105" s="113"/>
      <c r="ZQ105" s="113"/>
      <c r="ZR105" s="113"/>
      <c r="ZS105" s="113"/>
      <c r="ZT105" s="113"/>
      <c r="ZU105" s="113"/>
      <c r="ZV105" s="113"/>
      <c r="ZW105" s="113"/>
      <c r="ZX105" s="113"/>
      <c r="ZY105" s="113"/>
      <c r="ZZ105" s="113"/>
      <c r="AAA105" s="113"/>
      <c r="AAB105" s="113"/>
      <c r="AAC105" s="113"/>
      <c r="AAD105" s="113"/>
      <c r="AAE105" s="113"/>
      <c r="AAF105" s="113"/>
      <c r="AAG105" s="113"/>
      <c r="AAH105" s="113"/>
      <c r="AAI105" s="113"/>
      <c r="AAJ105" s="113"/>
      <c r="AAK105" s="113"/>
      <c r="AAL105" s="113"/>
      <c r="AAM105" s="113"/>
      <c r="AAN105" s="113"/>
      <c r="AAO105" s="113"/>
      <c r="AAP105" s="113"/>
      <c r="AAQ105" s="113"/>
      <c r="AAR105" s="113"/>
      <c r="AAS105" s="113"/>
      <c r="AAT105" s="113"/>
      <c r="AAU105" s="113"/>
      <c r="AAV105" s="113"/>
      <c r="AAW105" s="113"/>
      <c r="AAX105" s="113"/>
      <c r="AAY105" s="113"/>
      <c r="AAZ105" s="113"/>
      <c r="ABA105" s="113"/>
      <c r="ABB105" s="113"/>
      <c r="ABC105" s="113"/>
      <c r="ABD105" s="113"/>
      <c r="ABE105" s="113"/>
      <c r="ABF105" s="113"/>
      <c r="ABG105" s="113"/>
      <c r="ABH105" s="113"/>
      <c r="ABI105" s="113"/>
      <c r="ABJ105" s="113"/>
      <c r="ABK105" s="113"/>
      <c r="ABL105" s="113"/>
      <c r="ABM105" s="113"/>
      <c r="ABN105" s="113"/>
      <c r="ABO105" s="113"/>
      <c r="ABP105" s="113"/>
      <c r="ABQ105" s="113"/>
      <c r="ABR105" s="113"/>
      <c r="ABS105" s="113"/>
      <c r="ABT105" s="113"/>
      <c r="ABU105" s="113"/>
      <c r="ABV105" s="113"/>
      <c r="ABW105" s="113"/>
      <c r="ABX105" s="113"/>
      <c r="ABY105" s="113"/>
      <c r="ABZ105" s="113"/>
      <c r="ACA105" s="113"/>
      <c r="ACB105" s="113"/>
      <c r="ACC105" s="113"/>
      <c r="ACD105" s="113"/>
      <c r="ACE105" s="113"/>
      <c r="ACF105" s="113"/>
      <c r="ACG105" s="113"/>
      <c r="ACH105" s="113"/>
      <c r="ACI105" s="113"/>
      <c r="ACJ105" s="113"/>
      <c r="ACK105" s="113"/>
      <c r="ACL105" s="113"/>
      <c r="ACM105" s="113"/>
      <c r="ACN105" s="113"/>
      <c r="ACO105" s="113"/>
      <c r="ACP105" s="113"/>
      <c r="ACQ105" s="113"/>
      <c r="ACR105" s="113"/>
      <c r="ACS105" s="113"/>
      <c r="ACT105" s="113"/>
      <c r="ACU105" s="113"/>
      <c r="ACV105" s="113"/>
      <c r="ACW105" s="113"/>
      <c r="ACX105" s="113"/>
      <c r="ACY105" s="113"/>
      <c r="ACZ105" s="113"/>
      <c r="ADA105" s="113"/>
      <c r="ADB105" s="113"/>
      <c r="ADC105" s="113"/>
      <c r="ADD105" s="113"/>
      <c r="ADE105" s="113"/>
      <c r="ADF105" s="113"/>
      <c r="ADG105" s="113"/>
      <c r="ADH105" s="113"/>
      <c r="ADI105" s="113"/>
      <c r="ADJ105" s="113"/>
      <c r="ADK105" s="113"/>
      <c r="ADL105" s="113"/>
      <c r="ADM105" s="113"/>
      <c r="ADN105" s="113"/>
      <c r="ADO105" s="113"/>
      <c r="ADP105" s="113"/>
      <c r="ADQ105" s="113"/>
      <c r="ADR105" s="113"/>
      <c r="ADS105" s="113"/>
      <c r="ADT105" s="113"/>
      <c r="ADU105" s="113"/>
      <c r="ADV105" s="113"/>
      <c r="ADW105" s="113"/>
      <c r="ADX105" s="113"/>
      <c r="ADY105" s="113"/>
      <c r="ADZ105" s="113"/>
      <c r="AEA105" s="113"/>
      <c r="AEB105" s="113"/>
      <c r="AEC105" s="113"/>
      <c r="AED105" s="113"/>
      <c r="AEE105" s="113"/>
      <c r="AEF105" s="113"/>
      <c r="AEG105" s="113"/>
      <c r="AEH105" s="113"/>
      <c r="AEI105" s="113"/>
      <c r="AEJ105" s="113"/>
      <c r="AEK105" s="113"/>
      <c r="AEL105" s="113"/>
      <c r="AEM105" s="113"/>
      <c r="AEN105" s="113"/>
      <c r="AEO105" s="113"/>
      <c r="AEP105" s="113"/>
      <c r="AEQ105" s="113"/>
      <c r="AER105" s="113"/>
      <c r="AES105" s="113"/>
      <c r="AET105" s="113"/>
      <c r="AEU105" s="113"/>
      <c r="AEV105" s="113"/>
      <c r="AEW105" s="113"/>
      <c r="AEX105" s="113"/>
      <c r="AEY105" s="113"/>
      <c r="AEZ105" s="113"/>
      <c r="AFA105" s="113"/>
      <c r="AFB105" s="113"/>
      <c r="AFC105" s="113"/>
      <c r="AFD105" s="113"/>
      <c r="AFE105" s="113"/>
      <c r="AFF105" s="113"/>
      <c r="AFG105" s="113"/>
      <c r="AFH105" s="113"/>
      <c r="AFI105" s="113"/>
      <c r="AFJ105" s="113"/>
      <c r="AFK105" s="113"/>
      <c r="AFL105" s="113"/>
      <c r="AFM105" s="113"/>
      <c r="AFN105" s="113"/>
      <c r="AFO105" s="113"/>
      <c r="AFP105" s="113"/>
      <c r="AFQ105" s="113"/>
      <c r="AFR105" s="113"/>
      <c r="AFS105" s="113"/>
      <c r="AFT105" s="113"/>
      <c r="AFU105" s="113"/>
      <c r="AFV105" s="113"/>
      <c r="AFW105" s="113"/>
      <c r="AFX105" s="113"/>
      <c r="AFY105" s="113"/>
      <c r="AFZ105" s="113"/>
      <c r="AGA105" s="113"/>
      <c r="AGB105" s="113"/>
      <c r="AGC105" s="113"/>
      <c r="AGD105" s="113"/>
      <c r="AGE105" s="113"/>
      <c r="AGF105" s="113"/>
      <c r="AGG105" s="113"/>
      <c r="AGH105" s="113"/>
      <c r="AGI105" s="113"/>
      <c r="AGJ105" s="113"/>
      <c r="AGK105" s="113"/>
      <c r="AGL105" s="113"/>
      <c r="AGM105" s="113"/>
      <c r="AGN105" s="113"/>
      <c r="AGO105" s="113"/>
      <c r="AGP105" s="113"/>
      <c r="AGQ105" s="113"/>
      <c r="AGR105" s="113"/>
      <c r="AGS105" s="113"/>
      <c r="AGT105" s="113"/>
      <c r="AGU105" s="113"/>
      <c r="AGV105" s="113"/>
      <c r="AGW105" s="113"/>
      <c r="AGX105" s="113"/>
      <c r="AGY105" s="113"/>
      <c r="AGZ105" s="113"/>
      <c r="AHA105" s="113"/>
      <c r="AHB105" s="113"/>
      <c r="AHC105" s="113"/>
      <c r="AHD105" s="113"/>
      <c r="AHE105" s="113"/>
      <c r="AHF105" s="113"/>
      <c r="AHG105" s="113"/>
      <c r="AHH105" s="113"/>
      <c r="AHI105" s="113"/>
      <c r="AHJ105" s="113"/>
      <c r="AHK105" s="113"/>
      <c r="AHL105" s="113"/>
      <c r="AHM105" s="113"/>
      <c r="AHN105" s="113"/>
      <c r="AHO105" s="113"/>
      <c r="AHP105" s="113"/>
      <c r="AHQ105" s="113"/>
      <c r="AHR105" s="113"/>
      <c r="AHS105" s="113"/>
      <c r="AHT105" s="113"/>
      <c r="AHU105" s="113"/>
      <c r="AHV105" s="113"/>
      <c r="AHW105" s="113"/>
      <c r="AHX105" s="113"/>
      <c r="AHY105" s="113"/>
      <c r="AHZ105" s="113"/>
      <c r="AIA105" s="113"/>
      <c r="AIB105" s="113"/>
      <c r="AIC105" s="113"/>
      <c r="AID105" s="113"/>
      <c r="AIE105" s="113"/>
      <c r="AIF105" s="113"/>
      <c r="AIG105" s="113"/>
      <c r="AIH105" s="113"/>
      <c r="AII105" s="113"/>
      <c r="AIJ105" s="113"/>
      <c r="AIK105" s="113"/>
      <c r="AIL105" s="113"/>
      <c r="AIM105" s="113"/>
      <c r="AIN105" s="113"/>
      <c r="AIO105" s="113"/>
      <c r="AIP105" s="113"/>
      <c r="AIQ105" s="113"/>
      <c r="AIR105" s="113"/>
      <c r="AIS105" s="113"/>
      <c r="AIT105" s="113"/>
      <c r="AIU105" s="113"/>
      <c r="AIV105" s="113"/>
      <c r="AIW105" s="113"/>
      <c r="AIX105" s="113"/>
      <c r="AIY105" s="113"/>
      <c r="AIZ105" s="113"/>
    </row>
    <row r="106">
      <c r="A106" s="65" t="s">
        <v>7</v>
      </c>
      <c r="B106" s="65" t="s">
        <v>25</v>
      </c>
      <c r="C106" s="65"/>
      <c r="D106" s="64">
        <f t="shared" si="1"/>
        <v>489.2014</v>
      </c>
      <c r="F106" s="65">
        <v>27.6053333333333</v>
      </c>
      <c r="G106" s="65">
        <v>20.6353666666667</v>
      </c>
      <c r="H106" s="65">
        <v>7.08871666666667</v>
      </c>
      <c r="I106" s="65">
        <v>1.47476666666667</v>
      </c>
      <c r="J106" s="65">
        <v>0.328066666666667</v>
      </c>
      <c r="K106" s="65">
        <v>5.15811666666667</v>
      </c>
      <c r="N106" s="65">
        <v>8.51996666666667</v>
      </c>
      <c r="Q106" s="65">
        <v>72.4582166666666</v>
      </c>
      <c r="R106" s="65">
        <v>25.5598666666667</v>
      </c>
      <c r="S106" s="65">
        <v>2.95436666666667</v>
      </c>
      <c r="T106" s="65">
        <v>2.57575</v>
      </c>
      <c r="U106" s="65">
        <v>16.4903333333333</v>
      </c>
      <c r="X106" s="65">
        <v>17.4455166666667</v>
      </c>
      <c r="Y106" s="65">
        <v>8.18991666666667</v>
      </c>
      <c r="Z106" s="65">
        <v>1.12065</v>
      </c>
      <c r="AA106" s="65">
        <v>1.21508333333333</v>
      </c>
      <c r="AB106" s="65">
        <v>8.24526666666667</v>
      </c>
      <c r="AE106" s="65">
        <v>70.4525166666667</v>
      </c>
      <c r="AF106" s="65">
        <v>35.68675</v>
      </c>
      <c r="AG106" s="65">
        <v>5.09638333333333</v>
      </c>
      <c r="AH106" s="65">
        <v>1.09943333333333</v>
      </c>
      <c r="AI106" s="65">
        <v>19.9845666666667</v>
      </c>
      <c r="AL106" s="65">
        <v>6.5192</v>
      </c>
      <c r="AM106" s="65">
        <v>1.49283333333333</v>
      </c>
      <c r="AN106" s="65">
        <v>8.6801</v>
      </c>
      <c r="AQ106" s="65">
        <v>2.48458333333333</v>
      </c>
      <c r="AR106" s="65">
        <v>8.06005</v>
      </c>
      <c r="AU106" s="65">
        <v>102.579683333333</v>
      </c>
    </row>
    <row r="107">
      <c r="A107" s="65" t="s">
        <v>7</v>
      </c>
      <c r="B107" s="65" t="s">
        <v>25</v>
      </c>
      <c r="C107" s="65"/>
      <c r="D107" s="64">
        <f t="shared" si="1"/>
        <v>0</v>
      </c>
    </row>
    <row r="108">
      <c r="A108" s="65" t="s">
        <v>7</v>
      </c>
      <c r="B108" s="65" t="s">
        <v>25</v>
      </c>
      <c r="C108" s="65"/>
      <c r="D108" s="64">
        <f t="shared" si="1"/>
        <v>466.2920333</v>
      </c>
      <c r="F108" s="118">
        <f>HYPERLINK("https://docs.google.com/spreadsheets/d/1Dmuczyv_pmzwPT51ere_VJ7oBCKqVymh", 26.1305666666667)</f>
        <v>26.13056667</v>
      </c>
      <c r="G108" s="118">
        <f>HYPERLINK("https://docs.google.com/spreadsheets/d/1OFpGVdpcNAhUGhCjsrIkoyaB-TT14W8I", 20.3975666666667)</f>
        <v>20.39756667</v>
      </c>
      <c r="H108" s="118">
        <f>HYPERLINK("https://docs.google.com/spreadsheets/d/1o_duBECjNYMewTKYtsEgXfvU_ML_I-ik", 7.0887)</f>
        <v>7.0887</v>
      </c>
      <c r="I108" s="118">
        <f>HYPERLINK("https://docs.google.com/spreadsheets/d/1KqojhlUyf43WS_zzJuYlbdg1bPMUaWtX", 1.47476666666667)</f>
        <v>1.474766667</v>
      </c>
      <c r="J108" s="118">
        <f>HYPERLINK("https://docs.google.com/spreadsheets/d/1TPfeizfyrPuTnC4-3JX7MIU2rmvstmhV", 0.328066666666667)</f>
        <v>0.3280666667</v>
      </c>
      <c r="K108" s="118">
        <f>HYPERLINK("https://docs.google.com/spreadsheets/d/1P1OMHBSyb6g_TMXqLkGqASPkqomxMYsl", 5.15811666666667)</f>
        <v>5.158116667</v>
      </c>
      <c r="N108" s="118">
        <f>HYPERLINK("https://docs.google.com/spreadsheets/d/1T5nq5q_xfAz1kUXGv7FerfPuMuI_1bwd", 8.51996666666667)</f>
        <v>8.519966667</v>
      </c>
      <c r="Q108" s="118">
        <f>HYPERLINK("https://docs.google.com/spreadsheets/d/1RMaSpwj7XWU7lzLe193FPFuj3syoGD7P", 63.8592499999999)</f>
        <v>63.85925</v>
      </c>
      <c r="R108" s="118">
        <f>HYPERLINK("https://docs.google.com/spreadsheets/d/104yTfA9zYp_VfEj3-CqiJV_FF4Zv_dqv", 25.3253166666667)</f>
        <v>25.32531667</v>
      </c>
      <c r="S108" s="118">
        <f>HYPERLINK("https://docs.google.com/spreadsheets/d/1LFMTudQPiVPA_LZYFmAEKLjnNFwHDGyH", 2.78218333333333)</f>
        <v>2.782183333</v>
      </c>
      <c r="T108" s="118">
        <f>HYPERLINK("https://docs.google.com/spreadsheets/d/1LlAuQS0yQgJ95TrtE4cGR2OfRmUGCBWs", 1.66378333333333)</f>
        <v>1.663783333</v>
      </c>
      <c r="U108" s="118">
        <f>HYPERLINK("https://docs.google.com/spreadsheets/d/1UytoSGAiHiZ4V6xIDAAmdqUPwR9_Eb70", 16.49035)</f>
        <v>16.49035</v>
      </c>
      <c r="X108" s="118">
        <f>HYPERLINK("https://docs.google.com/spreadsheets/d/17hKhUXiPBrJOnV4FoAdwTVl_C-feZm1v", 16.4498833333333)</f>
        <v>16.44988333</v>
      </c>
      <c r="Y108" s="118">
        <f>HYPERLINK("https://docs.google.com/spreadsheets/d/1OJP7MTD7MSzj6h505z9iIkUMMYbax3gf", 8.1899)</f>
        <v>8.1899</v>
      </c>
      <c r="Z108" s="118">
        <f>HYPERLINK("https://docs.google.com/spreadsheets/d/1uamRxJW7C6X16IuTzpDBFqeiBljbkSZ0", 1.12065)</f>
        <v>1.12065</v>
      </c>
      <c r="AA108" s="118">
        <f>HYPERLINK("https://docs.google.com/spreadsheets/d/1aok9taaNh-nL1MOUqAOPDNt8jAS8wrhV", 0.409266666666667)</f>
        <v>0.4092666667</v>
      </c>
      <c r="AB108" s="118">
        <f>HYPERLINK("https://docs.google.com/spreadsheets/d/1B3s3-lkKvRDcUETSSQlzDABgKpu27fS1", 8.24526666666667)</f>
        <v>8.245266667</v>
      </c>
      <c r="AE108" s="118">
        <f>HYPERLINK("https://docs.google.com/spreadsheets/d/1Ixnv4pOKDgpCCdyxPZW-kT2gpVgwhM3d", 68.0762666666667)</f>
        <v>68.07626667</v>
      </c>
      <c r="AF108" s="118">
        <f>HYPERLINK("https://docs.google.com/spreadsheets/d/18x9JNdoyMNtc8T5GNwZfs5fJztJH6tHR", 28.8803833333333)</f>
        <v>28.88038333</v>
      </c>
      <c r="AG108" s="118">
        <f>HYPERLINK("https://docs.google.com/spreadsheets/d/1O73dieKa572A-fj6OpFMZgYdOAqiAEdC", 5.09638333333333)</f>
        <v>5.096383333</v>
      </c>
      <c r="AH108" s="118">
        <f>HYPERLINK("https://docs.google.com/spreadsheets/d/1hr04ttnUAupHTJ9h4uYOQQpBal-SZKVf", 1.09943333333333)</f>
        <v>1.099433333</v>
      </c>
      <c r="AI108" s="118">
        <f>HYPERLINK("https://docs.google.com/spreadsheets/d/1CAopC93q0pXR6vc_XSzri12pGybqhX3F", 19.98455)</f>
        <v>19.98455</v>
      </c>
      <c r="AL108" s="118">
        <f>HYPERLINK("https://docs.google.com/spreadsheets/d/1hM2bMyXk2o_0Myt0p6VI7HoizKogumok", 6.51918333333333)</f>
        <v>6.519183333</v>
      </c>
      <c r="AM108" s="118">
        <f>HYPERLINK("https://docs.google.com/spreadsheets/d/16hG61Sko_TrsLEMQZi3TFInMbQvEyN5Q", 1.37595)</f>
        <v>1.37595</v>
      </c>
      <c r="AN108" s="118">
        <f>HYPERLINK("https://docs.google.com/spreadsheets/d/1BRBlMTLGyqGe4_uXESRl-5m0VnzyGwEc", 8.68008333333333)</f>
        <v>8.680083333</v>
      </c>
      <c r="AQ108" s="118">
        <f>HYPERLINK("https://docs.google.com/spreadsheets/d/1Zlwavix_bJJkN0u52YkRwFAKyQWTT0zd", 2.48458333333333)</f>
        <v>2.484583333</v>
      </c>
      <c r="AR108" s="118">
        <f>HYPERLINK("https://docs.google.com/spreadsheets/d/1OZT0AChe5qW29BCbe9nwJQk4yJdMkwui", 8.06003333333333)</f>
        <v>8.060033333</v>
      </c>
      <c r="AU108" s="118">
        <f>HYPERLINK("https://docs.google.com/spreadsheets/d/1J6DBLp3iRkJ1adKzVKDvpRVWuZLUgXWm", 102.401583333333)</f>
        <v>102.4015833</v>
      </c>
    </row>
    <row r="109">
      <c r="A109" s="65" t="s">
        <v>7</v>
      </c>
      <c r="B109" s="65" t="s">
        <v>25</v>
      </c>
      <c r="C109" s="65"/>
      <c r="D109" s="64">
        <f t="shared" si="1"/>
        <v>52.75916667</v>
      </c>
      <c r="F109" s="65">
        <v>1.38245</v>
      </c>
      <c r="G109" s="65">
        <v>4.34175</v>
      </c>
      <c r="H109" s="65">
        <v>0.382666666666667</v>
      </c>
      <c r="I109" s="65">
        <v>0.0</v>
      </c>
      <c r="J109" s="65">
        <v>0.0</v>
      </c>
      <c r="K109" s="65">
        <v>0.5955</v>
      </c>
      <c r="N109" s="65">
        <v>1.25648333333333</v>
      </c>
      <c r="Q109" s="65">
        <v>9.1284</v>
      </c>
      <c r="R109" s="65">
        <v>2.49306666666667</v>
      </c>
      <c r="S109" s="65">
        <v>0.0</v>
      </c>
      <c r="T109" s="65">
        <v>0.0</v>
      </c>
      <c r="U109" s="65">
        <v>1.29956666666667</v>
      </c>
      <c r="X109" s="65">
        <v>1.59621666666667</v>
      </c>
      <c r="Y109" s="65">
        <v>0.6099</v>
      </c>
      <c r="Z109" s="65">
        <v>0.0</v>
      </c>
      <c r="AA109" s="65">
        <v>0.0</v>
      </c>
      <c r="AB109" s="65">
        <v>0.48475</v>
      </c>
      <c r="AE109" s="65">
        <v>6.85248333333333</v>
      </c>
      <c r="AF109" s="65">
        <v>1.50361666666667</v>
      </c>
      <c r="AG109" s="65">
        <v>0.607933333333333</v>
      </c>
      <c r="AH109" s="65">
        <v>0.0</v>
      </c>
      <c r="AI109" s="65">
        <v>1.13606666666667</v>
      </c>
      <c r="AL109" s="65">
        <v>0.806566666666667</v>
      </c>
      <c r="AM109" s="65">
        <v>0.0</v>
      </c>
      <c r="AN109" s="65">
        <v>0.365666666666667</v>
      </c>
      <c r="AQ109" s="65">
        <v>0.0</v>
      </c>
      <c r="AR109" s="65">
        <v>0.802616666666667</v>
      </c>
      <c r="AU109" s="65">
        <v>17.1134666666667</v>
      </c>
    </row>
    <row r="110">
      <c r="A110" s="119" t="s">
        <v>7</v>
      </c>
      <c r="B110" s="119" t="s">
        <v>25</v>
      </c>
      <c r="C110" s="119"/>
      <c r="D110" s="120">
        <f t="shared" si="1"/>
        <v>0</v>
      </c>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120"/>
      <c r="AM110" s="120"/>
      <c r="AN110" s="120"/>
      <c r="AO110" s="120"/>
      <c r="AP110" s="120"/>
      <c r="AQ110" s="120"/>
      <c r="AR110" s="120"/>
      <c r="AS110" s="120"/>
      <c r="AT110" s="120"/>
      <c r="AU110" s="120"/>
      <c r="AV110" s="120"/>
      <c r="AW110" s="120"/>
      <c r="AX110" s="120"/>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0"/>
      <c r="CD110" s="120"/>
      <c r="CE110" s="120"/>
      <c r="CF110" s="120"/>
      <c r="CG110" s="120"/>
      <c r="CH110" s="120"/>
      <c r="CI110" s="120"/>
      <c r="CJ110" s="120"/>
      <c r="CK110" s="120"/>
      <c r="CL110" s="120"/>
      <c r="CM110" s="120"/>
      <c r="CN110" s="120"/>
      <c r="CO110" s="120"/>
      <c r="CP110" s="120"/>
      <c r="CQ110" s="120"/>
      <c r="CR110" s="120"/>
      <c r="CS110" s="120"/>
      <c r="CT110" s="120"/>
      <c r="CU110" s="120"/>
      <c r="CV110" s="120"/>
      <c r="CW110" s="120"/>
      <c r="CX110" s="120"/>
      <c r="CY110" s="120"/>
      <c r="CZ110" s="120"/>
      <c r="DA110" s="120"/>
      <c r="DB110" s="120"/>
      <c r="DC110" s="120"/>
      <c r="DD110" s="120"/>
      <c r="DE110" s="120"/>
      <c r="DF110" s="120"/>
      <c r="DG110" s="120"/>
      <c r="DH110" s="120"/>
      <c r="DI110" s="120"/>
      <c r="DJ110" s="120"/>
      <c r="DK110" s="120"/>
      <c r="DL110" s="120"/>
      <c r="DM110" s="120"/>
      <c r="DN110" s="120"/>
      <c r="DO110" s="120"/>
      <c r="DP110" s="120"/>
      <c r="DQ110" s="120"/>
      <c r="DR110" s="120"/>
      <c r="DS110" s="120"/>
      <c r="DT110" s="120"/>
      <c r="DU110" s="120"/>
      <c r="DV110" s="120"/>
      <c r="DW110" s="120"/>
      <c r="DX110" s="120"/>
      <c r="DY110" s="120"/>
      <c r="DZ110" s="120"/>
      <c r="EA110" s="120"/>
      <c r="EB110" s="120"/>
      <c r="EC110" s="120"/>
      <c r="ED110" s="120"/>
      <c r="EE110" s="120"/>
      <c r="EF110" s="120"/>
      <c r="EG110" s="120"/>
      <c r="EH110" s="120"/>
      <c r="EI110" s="120"/>
      <c r="EJ110" s="120"/>
      <c r="EK110" s="120"/>
      <c r="EL110" s="120"/>
      <c r="EM110" s="120"/>
      <c r="EN110" s="120"/>
      <c r="EO110" s="120"/>
      <c r="EP110" s="120"/>
      <c r="EQ110" s="120"/>
      <c r="ER110" s="120"/>
      <c r="ES110" s="120"/>
      <c r="ET110" s="120"/>
      <c r="EU110" s="120"/>
      <c r="EV110" s="120"/>
      <c r="EW110" s="120"/>
      <c r="EX110" s="120"/>
      <c r="EY110" s="120"/>
      <c r="EZ110" s="120"/>
      <c r="FA110" s="120"/>
      <c r="FB110" s="120"/>
      <c r="FC110" s="120"/>
      <c r="FD110" s="120"/>
      <c r="FE110" s="120"/>
      <c r="FF110" s="120"/>
      <c r="FG110" s="120"/>
      <c r="FH110" s="120"/>
      <c r="FI110" s="120"/>
      <c r="FJ110" s="120"/>
      <c r="FK110" s="120"/>
      <c r="FL110" s="120"/>
      <c r="FM110" s="120"/>
      <c r="FN110" s="120"/>
      <c r="FO110" s="120"/>
      <c r="FP110" s="120"/>
      <c r="FQ110" s="120"/>
      <c r="FR110" s="120"/>
      <c r="FS110" s="120"/>
      <c r="FT110" s="120"/>
      <c r="FU110" s="120"/>
      <c r="FV110" s="120"/>
      <c r="FW110" s="120"/>
      <c r="FX110" s="120"/>
      <c r="FY110" s="120"/>
      <c r="FZ110" s="120"/>
      <c r="GA110" s="120"/>
      <c r="GB110" s="120"/>
      <c r="GC110" s="120"/>
      <c r="GD110" s="120"/>
      <c r="GE110" s="120"/>
      <c r="GF110" s="120"/>
      <c r="GG110" s="120"/>
      <c r="GH110" s="120"/>
      <c r="GI110" s="120"/>
      <c r="GJ110" s="120"/>
      <c r="GK110" s="120"/>
      <c r="GL110" s="120"/>
      <c r="GM110" s="120"/>
      <c r="GN110" s="120"/>
      <c r="GO110" s="120"/>
      <c r="GP110" s="120"/>
      <c r="GQ110" s="120"/>
      <c r="GR110" s="120"/>
      <c r="GS110" s="120"/>
      <c r="GT110" s="120"/>
      <c r="GU110" s="120"/>
      <c r="GV110" s="120"/>
      <c r="GW110" s="120"/>
      <c r="GX110" s="120"/>
      <c r="GY110" s="120"/>
      <c r="GZ110" s="120"/>
      <c r="HA110" s="120"/>
      <c r="HB110" s="120"/>
      <c r="HC110" s="120"/>
      <c r="HD110" s="120"/>
      <c r="HE110" s="120"/>
      <c r="HF110" s="120"/>
      <c r="HG110" s="120"/>
      <c r="HH110" s="120"/>
      <c r="HI110" s="120"/>
      <c r="HJ110" s="120"/>
      <c r="HK110" s="120"/>
      <c r="HL110" s="120"/>
      <c r="HM110" s="120"/>
      <c r="HN110" s="120"/>
      <c r="HO110" s="120"/>
      <c r="HP110" s="120"/>
      <c r="HQ110" s="120"/>
      <c r="HR110" s="120"/>
      <c r="HS110" s="120"/>
      <c r="HT110" s="120"/>
      <c r="HU110" s="120"/>
      <c r="HV110" s="120"/>
      <c r="HW110" s="120"/>
      <c r="HX110" s="120"/>
      <c r="HY110" s="120"/>
      <c r="HZ110" s="120"/>
      <c r="IA110" s="120"/>
      <c r="IB110" s="120"/>
      <c r="IC110" s="120"/>
      <c r="ID110" s="120"/>
      <c r="IE110" s="120"/>
      <c r="IF110" s="120"/>
      <c r="IG110" s="120"/>
      <c r="IH110" s="120"/>
      <c r="II110" s="120"/>
      <c r="IJ110" s="120"/>
      <c r="IK110" s="120"/>
      <c r="IL110" s="120"/>
      <c r="IM110" s="120"/>
      <c r="IN110" s="120"/>
      <c r="IO110" s="120"/>
      <c r="IP110" s="120"/>
      <c r="IQ110" s="120"/>
      <c r="IR110" s="120"/>
      <c r="IS110" s="120"/>
      <c r="IT110" s="120"/>
      <c r="IU110" s="120"/>
      <c r="IV110" s="120"/>
      <c r="IW110" s="120"/>
      <c r="IX110" s="120"/>
      <c r="IY110" s="120"/>
      <c r="IZ110" s="120"/>
      <c r="JA110" s="120"/>
      <c r="JB110" s="120"/>
      <c r="JC110" s="120"/>
      <c r="JD110" s="120"/>
      <c r="JE110" s="120"/>
      <c r="JF110" s="120"/>
      <c r="JG110" s="120"/>
      <c r="JH110" s="120"/>
      <c r="JI110" s="120"/>
      <c r="JJ110" s="120"/>
      <c r="JK110" s="120"/>
      <c r="JL110" s="120"/>
      <c r="JM110" s="120"/>
      <c r="JN110" s="120"/>
      <c r="JO110" s="120"/>
      <c r="JP110" s="120"/>
      <c r="JQ110" s="120"/>
      <c r="JR110" s="120"/>
      <c r="JS110" s="120"/>
      <c r="JT110" s="120"/>
      <c r="JU110" s="120"/>
      <c r="JV110" s="120"/>
      <c r="JW110" s="120"/>
      <c r="JX110" s="120"/>
      <c r="JY110" s="120"/>
      <c r="JZ110" s="120"/>
      <c r="KA110" s="120"/>
      <c r="KB110" s="120"/>
      <c r="KC110" s="120"/>
      <c r="KD110" s="120"/>
      <c r="KE110" s="120"/>
      <c r="KF110" s="120"/>
      <c r="KG110" s="120"/>
      <c r="KH110" s="120"/>
      <c r="KI110" s="120"/>
      <c r="KJ110" s="120"/>
      <c r="KK110" s="120"/>
      <c r="KL110" s="120"/>
      <c r="KM110" s="120"/>
      <c r="KN110" s="120"/>
      <c r="KO110" s="120"/>
      <c r="KP110" s="120"/>
      <c r="KQ110" s="120"/>
      <c r="KR110" s="120"/>
      <c r="KS110" s="120"/>
      <c r="KT110" s="120"/>
      <c r="KU110" s="120"/>
      <c r="KV110" s="120"/>
      <c r="KW110" s="120"/>
      <c r="KX110" s="120"/>
      <c r="KY110" s="120"/>
      <c r="KZ110" s="120"/>
      <c r="LA110" s="120"/>
      <c r="LB110" s="120"/>
      <c r="LC110" s="120"/>
      <c r="LD110" s="120"/>
      <c r="LE110" s="120"/>
      <c r="LF110" s="120"/>
      <c r="LG110" s="120"/>
      <c r="LH110" s="120"/>
      <c r="LI110" s="120"/>
      <c r="LJ110" s="120"/>
      <c r="LK110" s="120"/>
      <c r="LL110" s="120"/>
      <c r="LM110" s="120"/>
      <c r="LN110" s="120"/>
      <c r="LO110" s="120"/>
      <c r="LP110" s="120"/>
      <c r="LQ110" s="120"/>
      <c r="LR110" s="120"/>
      <c r="LS110" s="120"/>
      <c r="LT110" s="120"/>
      <c r="LU110" s="120"/>
      <c r="LV110" s="120"/>
      <c r="LW110" s="120"/>
      <c r="LX110" s="120"/>
      <c r="LY110" s="120"/>
      <c r="LZ110" s="120"/>
      <c r="MA110" s="120"/>
      <c r="MB110" s="120"/>
      <c r="MC110" s="120"/>
      <c r="MD110" s="120"/>
      <c r="ME110" s="120"/>
      <c r="MF110" s="120"/>
      <c r="MG110" s="120"/>
      <c r="MH110" s="120"/>
      <c r="MI110" s="120"/>
      <c r="MJ110" s="120"/>
      <c r="MK110" s="120"/>
      <c r="ML110" s="120"/>
      <c r="MM110" s="120"/>
      <c r="MN110" s="120"/>
      <c r="MO110" s="120"/>
      <c r="MP110" s="120"/>
      <c r="MQ110" s="120"/>
      <c r="MR110" s="120"/>
      <c r="MS110" s="120"/>
      <c r="MT110" s="120"/>
      <c r="MU110" s="120"/>
      <c r="MV110" s="120"/>
      <c r="MW110" s="120"/>
      <c r="MX110" s="120"/>
      <c r="MY110" s="120"/>
      <c r="MZ110" s="120"/>
      <c r="NA110" s="120"/>
      <c r="NB110" s="120"/>
      <c r="NC110" s="120"/>
      <c r="ND110" s="120"/>
      <c r="NE110" s="120"/>
      <c r="NF110" s="120"/>
      <c r="NG110" s="120"/>
      <c r="NH110" s="120"/>
      <c r="NI110" s="120"/>
      <c r="NJ110" s="120"/>
      <c r="NK110" s="120"/>
      <c r="NL110" s="120"/>
      <c r="NM110" s="120"/>
      <c r="NN110" s="120"/>
      <c r="NO110" s="120"/>
      <c r="NP110" s="120"/>
      <c r="NQ110" s="120"/>
      <c r="NR110" s="120"/>
      <c r="NS110" s="120"/>
      <c r="NT110" s="120"/>
      <c r="NU110" s="120"/>
      <c r="NV110" s="120"/>
      <c r="NW110" s="120"/>
      <c r="NX110" s="120"/>
      <c r="NY110" s="120"/>
      <c r="NZ110" s="120"/>
      <c r="OA110" s="120"/>
      <c r="OB110" s="120"/>
      <c r="OC110" s="120"/>
      <c r="OD110" s="120"/>
      <c r="OE110" s="120"/>
      <c r="OF110" s="120"/>
      <c r="OG110" s="120"/>
      <c r="OH110" s="120"/>
      <c r="OI110" s="120"/>
      <c r="OJ110" s="120"/>
      <c r="OK110" s="120"/>
      <c r="OL110" s="120"/>
      <c r="OM110" s="120"/>
      <c r="ON110" s="120"/>
      <c r="OO110" s="120"/>
      <c r="OP110" s="120"/>
      <c r="OQ110" s="120"/>
      <c r="OR110" s="120"/>
      <c r="OS110" s="120"/>
      <c r="OT110" s="120"/>
      <c r="OU110" s="120"/>
      <c r="OV110" s="120"/>
      <c r="OW110" s="120"/>
      <c r="OX110" s="120"/>
      <c r="OY110" s="120"/>
      <c r="OZ110" s="120"/>
      <c r="PA110" s="120"/>
      <c r="PB110" s="120"/>
      <c r="PC110" s="120"/>
      <c r="PD110" s="120"/>
      <c r="PE110" s="120"/>
      <c r="PF110" s="120"/>
      <c r="PG110" s="120"/>
      <c r="PH110" s="120"/>
      <c r="PI110" s="120"/>
      <c r="PJ110" s="120"/>
      <c r="PK110" s="120"/>
      <c r="PL110" s="120"/>
      <c r="PM110" s="120"/>
      <c r="PN110" s="120"/>
      <c r="PO110" s="120"/>
      <c r="PP110" s="120"/>
      <c r="PQ110" s="120"/>
      <c r="PR110" s="120"/>
      <c r="PS110" s="120"/>
      <c r="PT110" s="120"/>
      <c r="PU110" s="120"/>
      <c r="PV110" s="120"/>
      <c r="PW110" s="120"/>
      <c r="PX110" s="120"/>
      <c r="PY110" s="120"/>
      <c r="PZ110" s="120"/>
      <c r="QA110" s="120"/>
      <c r="QB110" s="120"/>
      <c r="QC110" s="120"/>
      <c r="QD110" s="120"/>
      <c r="QE110" s="120"/>
      <c r="QF110" s="120"/>
      <c r="QG110" s="120"/>
      <c r="QH110" s="120"/>
      <c r="QI110" s="120"/>
      <c r="QJ110" s="120"/>
      <c r="QK110" s="120"/>
      <c r="QL110" s="120"/>
      <c r="QM110" s="120"/>
      <c r="QN110" s="120"/>
      <c r="QO110" s="120"/>
      <c r="QP110" s="120"/>
      <c r="QQ110" s="120"/>
      <c r="QR110" s="120"/>
      <c r="QS110" s="120"/>
      <c r="QT110" s="120"/>
      <c r="QU110" s="120"/>
      <c r="QV110" s="120"/>
      <c r="QW110" s="120"/>
      <c r="QX110" s="120"/>
      <c r="QY110" s="120"/>
      <c r="QZ110" s="120"/>
      <c r="RA110" s="120"/>
      <c r="RB110" s="120"/>
      <c r="RC110" s="120"/>
      <c r="RD110" s="120"/>
      <c r="RE110" s="120"/>
      <c r="RF110" s="120"/>
      <c r="RG110" s="120"/>
      <c r="RH110" s="120"/>
      <c r="RI110" s="120"/>
      <c r="RJ110" s="120"/>
      <c r="RK110" s="120"/>
      <c r="RL110" s="120"/>
      <c r="RM110" s="120"/>
      <c r="RN110" s="120"/>
      <c r="RO110" s="120"/>
      <c r="RP110" s="120"/>
      <c r="RQ110" s="120"/>
      <c r="RR110" s="120"/>
      <c r="RS110" s="120"/>
      <c r="RT110" s="120"/>
      <c r="RU110" s="120"/>
      <c r="RV110" s="120"/>
      <c r="RW110" s="120"/>
      <c r="RX110" s="120"/>
      <c r="RY110" s="120"/>
      <c r="RZ110" s="120"/>
      <c r="SA110" s="120"/>
      <c r="SB110" s="120"/>
      <c r="SC110" s="120"/>
      <c r="SD110" s="120"/>
      <c r="SE110" s="120"/>
      <c r="SF110" s="120"/>
      <c r="SG110" s="120"/>
      <c r="SH110" s="120"/>
      <c r="SI110" s="120"/>
      <c r="SJ110" s="120"/>
      <c r="SK110" s="120"/>
      <c r="SL110" s="120"/>
      <c r="SM110" s="120"/>
      <c r="SN110" s="120"/>
      <c r="SO110" s="120"/>
      <c r="SP110" s="120"/>
      <c r="SQ110" s="120"/>
      <c r="SR110" s="120"/>
      <c r="SS110" s="120"/>
      <c r="ST110" s="120"/>
      <c r="SU110" s="120"/>
      <c r="SV110" s="120"/>
      <c r="SW110" s="120"/>
      <c r="SX110" s="120"/>
      <c r="SY110" s="120"/>
      <c r="SZ110" s="120"/>
      <c r="TA110" s="120"/>
      <c r="TB110" s="120"/>
      <c r="TC110" s="120"/>
      <c r="TD110" s="120"/>
      <c r="TE110" s="120"/>
      <c r="TF110" s="120"/>
      <c r="TG110" s="120"/>
      <c r="TH110" s="120"/>
      <c r="TI110" s="120"/>
      <c r="TJ110" s="120"/>
      <c r="TK110" s="120"/>
      <c r="TL110" s="120"/>
      <c r="TM110" s="120"/>
      <c r="TN110" s="120"/>
      <c r="TO110" s="120"/>
      <c r="TP110" s="120"/>
      <c r="TQ110" s="120"/>
      <c r="TR110" s="120"/>
      <c r="TS110" s="120"/>
      <c r="TT110" s="120"/>
      <c r="TU110" s="120"/>
      <c r="TV110" s="120"/>
      <c r="TW110" s="120"/>
      <c r="TX110" s="120"/>
      <c r="TY110" s="120"/>
      <c r="TZ110" s="120"/>
      <c r="UA110" s="120"/>
      <c r="UB110" s="120"/>
      <c r="UC110" s="120"/>
      <c r="UD110" s="120"/>
      <c r="UE110" s="120"/>
      <c r="UF110" s="120"/>
      <c r="UG110" s="120"/>
      <c r="UH110" s="120"/>
      <c r="UI110" s="120"/>
      <c r="UJ110" s="120"/>
      <c r="UK110" s="120"/>
      <c r="UL110" s="120"/>
      <c r="UM110" s="120"/>
      <c r="UN110" s="120"/>
      <c r="UO110" s="120"/>
      <c r="UP110" s="120"/>
      <c r="UQ110" s="120"/>
      <c r="UR110" s="120"/>
      <c r="US110" s="120"/>
      <c r="UT110" s="120"/>
      <c r="UU110" s="120"/>
      <c r="UV110" s="120"/>
      <c r="UW110" s="120"/>
      <c r="UX110" s="120"/>
      <c r="UY110" s="120"/>
      <c r="UZ110" s="120"/>
      <c r="VA110" s="120"/>
      <c r="VB110" s="120"/>
      <c r="VC110" s="120"/>
      <c r="VD110" s="120"/>
      <c r="VE110" s="120"/>
      <c r="VF110" s="120"/>
      <c r="VG110" s="120"/>
      <c r="VH110" s="120"/>
      <c r="VI110" s="120"/>
      <c r="VJ110" s="120"/>
      <c r="VK110" s="120"/>
      <c r="VL110" s="120"/>
      <c r="VM110" s="120"/>
      <c r="VN110" s="120"/>
      <c r="VO110" s="120"/>
      <c r="VP110" s="120"/>
      <c r="VQ110" s="120"/>
      <c r="VR110" s="120"/>
      <c r="VS110" s="120"/>
      <c r="VT110" s="120"/>
      <c r="VU110" s="120"/>
      <c r="VV110" s="120"/>
      <c r="VW110" s="120"/>
      <c r="VX110" s="120"/>
      <c r="VY110" s="120"/>
      <c r="VZ110" s="120"/>
      <c r="WA110" s="120"/>
      <c r="WB110" s="120"/>
      <c r="WC110" s="120"/>
      <c r="WD110" s="120"/>
      <c r="WE110" s="120"/>
      <c r="WF110" s="120"/>
      <c r="WG110" s="120"/>
      <c r="WH110" s="120"/>
      <c r="WI110" s="120"/>
      <c r="WJ110" s="120"/>
      <c r="WK110" s="120"/>
      <c r="WL110" s="120"/>
      <c r="WM110" s="120"/>
      <c r="WN110" s="120"/>
      <c r="WO110" s="120"/>
      <c r="WP110" s="120"/>
      <c r="WQ110" s="120"/>
      <c r="WR110" s="120"/>
      <c r="WS110" s="120"/>
      <c r="WT110" s="120"/>
      <c r="WU110" s="120"/>
      <c r="WV110" s="120"/>
      <c r="WW110" s="120"/>
      <c r="WX110" s="120"/>
      <c r="WY110" s="120"/>
      <c r="WZ110" s="120"/>
      <c r="XA110" s="120"/>
      <c r="XB110" s="120"/>
      <c r="XC110" s="120"/>
      <c r="XD110" s="120"/>
      <c r="XE110" s="120"/>
      <c r="XF110" s="120"/>
      <c r="XG110" s="120"/>
      <c r="XH110" s="120"/>
      <c r="XI110" s="120"/>
      <c r="XJ110" s="120"/>
      <c r="XK110" s="120"/>
      <c r="XL110" s="120"/>
      <c r="XM110" s="120"/>
      <c r="XN110" s="120"/>
      <c r="XO110" s="120"/>
      <c r="XP110" s="120"/>
      <c r="XQ110" s="120"/>
      <c r="XR110" s="120"/>
      <c r="XS110" s="120"/>
      <c r="XT110" s="120"/>
      <c r="XU110" s="120"/>
      <c r="XV110" s="120"/>
      <c r="XW110" s="120"/>
      <c r="XX110" s="120"/>
      <c r="XY110" s="120"/>
      <c r="XZ110" s="120"/>
      <c r="YA110" s="120"/>
      <c r="YB110" s="120"/>
      <c r="YC110" s="120"/>
      <c r="YD110" s="120"/>
      <c r="YE110" s="120"/>
      <c r="YF110" s="120"/>
      <c r="YG110" s="120"/>
      <c r="YH110" s="120"/>
      <c r="YI110" s="120"/>
      <c r="YJ110" s="120"/>
      <c r="YK110" s="120"/>
      <c r="YL110" s="120"/>
      <c r="YM110" s="120"/>
      <c r="YN110" s="120"/>
      <c r="YO110" s="120"/>
      <c r="YP110" s="120"/>
      <c r="YQ110" s="120"/>
      <c r="YR110" s="120"/>
      <c r="YS110" s="120"/>
      <c r="YT110" s="120"/>
      <c r="YU110" s="120"/>
      <c r="YV110" s="120"/>
      <c r="YW110" s="120"/>
      <c r="YX110" s="120"/>
      <c r="YY110" s="120"/>
      <c r="YZ110" s="120"/>
      <c r="ZA110" s="120"/>
      <c r="ZB110" s="120"/>
      <c r="ZC110" s="120"/>
      <c r="ZD110" s="120"/>
      <c r="ZE110" s="120"/>
      <c r="ZF110" s="120"/>
      <c r="ZG110" s="120"/>
      <c r="ZH110" s="120"/>
      <c r="ZI110" s="120"/>
      <c r="ZJ110" s="120"/>
      <c r="ZK110" s="120"/>
      <c r="ZL110" s="120"/>
      <c r="ZM110" s="120"/>
      <c r="ZN110" s="120"/>
      <c r="ZO110" s="120"/>
      <c r="ZP110" s="120"/>
      <c r="ZQ110" s="120"/>
      <c r="ZR110" s="120"/>
      <c r="ZS110" s="120"/>
      <c r="ZT110" s="120"/>
      <c r="ZU110" s="120"/>
      <c r="ZV110" s="120"/>
      <c r="ZW110" s="120"/>
      <c r="ZX110" s="120"/>
      <c r="ZY110" s="120"/>
      <c r="ZZ110" s="120"/>
      <c r="AAA110" s="120"/>
      <c r="AAB110" s="120"/>
      <c r="AAC110" s="120"/>
      <c r="AAD110" s="120"/>
      <c r="AAE110" s="120"/>
      <c r="AAF110" s="120"/>
      <c r="AAG110" s="120"/>
      <c r="AAH110" s="120"/>
      <c r="AAI110" s="120"/>
      <c r="AAJ110" s="120"/>
      <c r="AAK110" s="120"/>
      <c r="AAL110" s="120"/>
      <c r="AAM110" s="120"/>
      <c r="AAN110" s="120"/>
      <c r="AAO110" s="120"/>
      <c r="AAP110" s="120"/>
      <c r="AAQ110" s="120"/>
      <c r="AAR110" s="120"/>
      <c r="AAS110" s="120"/>
      <c r="AAT110" s="120"/>
      <c r="AAU110" s="120"/>
      <c r="AAV110" s="120"/>
      <c r="AAW110" s="120"/>
      <c r="AAX110" s="120"/>
      <c r="AAY110" s="120"/>
      <c r="AAZ110" s="120"/>
      <c r="ABA110" s="120"/>
      <c r="ABB110" s="120"/>
      <c r="ABC110" s="120"/>
      <c r="ABD110" s="120"/>
      <c r="ABE110" s="120"/>
      <c r="ABF110" s="120"/>
      <c r="ABG110" s="120"/>
      <c r="ABH110" s="120"/>
      <c r="ABI110" s="120"/>
      <c r="ABJ110" s="120"/>
      <c r="ABK110" s="120"/>
      <c r="ABL110" s="120"/>
      <c r="ABM110" s="120"/>
      <c r="ABN110" s="120"/>
      <c r="ABO110" s="120"/>
      <c r="ABP110" s="120"/>
      <c r="ABQ110" s="120"/>
      <c r="ABR110" s="120"/>
      <c r="ABS110" s="120"/>
      <c r="ABT110" s="120"/>
      <c r="ABU110" s="120"/>
      <c r="ABV110" s="120"/>
      <c r="ABW110" s="120"/>
      <c r="ABX110" s="120"/>
      <c r="ABY110" s="120"/>
      <c r="ABZ110" s="120"/>
      <c r="ACA110" s="120"/>
      <c r="ACB110" s="120"/>
      <c r="ACC110" s="120"/>
      <c r="ACD110" s="120"/>
      <c r="ACE110" s="120"/>
      <c r="ACF110" s="120"/>
      <c r="ACG110" s="120"/>
      <c r="ACH110" s="120"/>
      <c r="ACI110" s="120"/>
      <c r="ACJ110" s="120"/>
      <c r="ACK110" s="120"/>
      <c r="ACL110" s="120"/>
      <c r="ACM110" s="120"/>
      <c r="ACN110" s="120"/>
      <c r="ACO110" s="120"/>
      <c r="ACP110" s="120"/>
      <c r="ACQ110" s="120"/>
      <c r="ACR110" s="120"/>
      <c r="ACS110" s="120"/>
      <c r="ACT110" s="120"/>
      <c r="ACU110" s="120"/>
      <c r="ACV110" s="120"/>
      <c r="ACW110" s="120"/>
      <c r="ACX110" s="120"/>
      <c r="ACY110" s="120"/>
      <c r="ACZ110" s="120"/>
      <c r="ADA110" s="120"/>
      <c r="ADB110" s="120"/>
      <c r="ADC110" s="120"/>
      <c r="ADD110" s="120"/>
      <c r="ADE110" s="120"/>
      <c r="ADF110" s="120"/>
      <c r="ADG110" s="120"/>
      <c r="ADH110" s="120"/>
      <c r="ADI110" s="120"/>
      <c r="ADJ110" s="120"/>
      <c r="ADK110" s="120"/>
      <c r="ADL110" s="120"/>
      <c r="ADM110" s="120"/>
      <c r="ADN110" s="120"/>
      <c r="ADO110" s="120"/>
      <c r="ADP110" s="120"/>
      <c r="ADQ110" s="120"/>
      <c r="ADR110" s="120"/>
      <c r="ADS110" s="120"/>
      <c r="ADT110" s="120"/>
      <c r="ADU110" s="120"/>
      <c r="ADV110" s="120"/>
      <c r="ADW110" s="120"/>
      <c r="ADX110" s="120"/>
      <c r="ADY110" s="120"/>
      <c r="ADZ110" s="120"/>
      <c r="AEA110" s="120"/>
      <c r="AEB110" s="120"/>
      <c r="AEC110" s="120"/>
      <c r="AED110" s="120"/>
      <c r="AEE110" s="120"/>
      <c r="AEF110" s="120"/>
      <c r="AEG110" s="120"/>
      <c r="AEH110" s="120"/>
      <c r="AEI110" s="120"/>
      <c r="AEJ110" s="120"/>
      <c r="AEK110" s="120"/>
      <c r="AEL110" s="120"/>
      <c r="AEM110" s="120"/>
      <c r="AEN110" s="120"/>
      <c r="AEO110" s="120"/>
      <c r="AEP110" s="120"/>
      <c r="AEQ110" s="120"/>
      <c r="AER110" s="120"/>
      <c r="AES110" s="120"/>
      <c r="AET110" s="120"/>
      <c r="AEU110" s="120"/>
      <c r="AEV110" s="120"/>
      <c r="AEW110" s="120"/>
      <c r="AEX110" s="120"/>
      <c r="AEY110" s="120"/>
      <c r="AEZ110" s="120"/>
      <c r="AFA110" s="120"/>
      <c r="AFB110" s="120"/>
      <c r="AFC110" s="120"/>
      <c r="AFD110" s="120"/>
      <c r="AFE110" s="120"/>
      <c r="AFF110" s="120"/>
      <c r="AFG110" s="120"/>
      <c r="AFH110" s="120"/>
      <c r="AFI110" s="120"/>
      <c r="AFJ110" s="120"/>
      <c r="AFK110" s="120"/>
      <c r="AFL110" s="120"/>
      <c r="AFM110" s="120"/>
      <c r="AFN110" s="120"/>
      <c r="AFO110" s="120"/>
      <c r="AFP110" s="120"/>
      <c r="AFQ110" s="120"/>
      <c r="AFR110" s="120"/>
      <c r="AFS110" s="120"/>
      <c r="AFT110" s="120"/>
      <c r="AFU110" s="120"/>
      <c r="AFV110" s="120"/>
      <c r="AFW110" s="120"/>
      <c r="AFX110" s="120"/>
      <c r="AFY110" s="120"/>
      <c r="AFZ110" s="120"/>
      <c r="AGA110" s="120"/>
      <c r="AGB110" s="120"/>
      <c r="AGC110" s="120"/>
      <c r="AGD110" s="120"/>
      <c r="AGE110" s="120"/>
      <c r="AGF110" s="120"/>
      <c r="AGG110" s="120"/>
      <c r="AGH110" s="120"/>
      <c r="AGI110" s="120"/>
      <c r="AGJ110" s="120"/>
      <c r="AGK110" s="120"/>
      <c r="AGL110" s="120"/>
      <c r="AGM110" s="120"/>
      <c r="AGN110" s="120"/>
      <c r="AGO110" s="120"/>
      <c r="AGP110" s="120"/>
      <c r="AGQ110" s="120"/>
      <c r="AGR110" s="120"/>
      <c r="AGS110" s="120"/>
      <c r="AGT110" s="120"/>
      <c r="AGU110" s="120"/>
      <c r="AGV110" s="120"/>
      <c r="AGW110" s="120"/>
      <c r="AGX110" s="120"/>
      <c r="AGY110" s="120"/>
      <c r="AGZ110" s="120"/>
      <c r="AHA110" s="120"/>
      <c r="AHB110" s="120"/>
      <c r="AHC110" s="120"/>
      <c r="AHD110" s="120"/>
      <c r="AHE110" s="120"/>
      <c r="AHF110" s="120"/>
      <c r="AHG110" s="120"/>
      <c r="AHH110" s="120"/>
      <c r="AHI110" s="120"/>
      <c r="AHJ110" s="120"/>
      <c r="AHK110" s="120"/>
      <c r="AHL110" s="120"/>
      <c r="AHM110" s="120"/>
      <c r="AHN110" s="120"/>
      <c r="AHO110" s="120"/>
      <c r="AHP110" s="120"/>
      <c r="AHQ110" s="120"/>
      <c r="AHR110" s="120"/>
      <c r="AHS110" s="120"/>
      <c r="AHT110" s="120"/>
      <c r="AHU110" s="120"/>
      <c r="AHV110" s="120"/>
      <c r="AHW110" s="120"/>
      <c r="AHX110" s="120"/>
      <c r="AHY110" s="120"/>
      <c r="AHZ110" s="120"/>
      <c r="AIA110" s="120"/>
      <c r="AIB110" s="120"/>
      <c r="AIC110" s="120"/>
      <c r="AID110" s="120"/>
      <c r="AIE110" s="120"/>
      <c r="AIF110" s="120"/>
      <c r="AIG110" s="120"/>
      <c r="AIH110" s="120"/>
      <c r="AII110" s="120"/>
      <c r="AIJ110" s="120"/>
      <c r="AIK110" s="120"/>
      <c r="AIL110" s="120"/>
      <c r="AIM110" s="120"/>
      <c r="AIN110" s="120"/>
      <c r="AIO110" s="120"/>
      <c r="AIP110" s="120"/>
      <c r="AIQ110" s="120"/>
      <c r="AIR110" s="120"/>
      <c r="AIS110" s="120"/>
      <c r="AIT110" s="120"/>
      <c r="AIU110" s="120"/>
      <c r="AIV110" s="120"/>
      <c r="AIW110" s="120"/>
      <c r="AIX110" s="120"/>
      <c r="AIY110" s="120"/>
      <c r="AIZ110" s="120"/>
    </row>
    <row r="111">
      <c r="A111" s="112" t="s">
        <v>7</v>
      </c>
      <c r="B111" s="112" t="s">
        <v>43</v>
      </c>
      <c r="C111" s="112"/>
      <c r="D111" s="113">
        <f t="shared" si="1"/>
        <v>595.5259</v>
      </c>
      <c r="E111" s="112">
        <v>90.0382333333333</v>
      </c>
      <c r="F111" s="113"/>
      <c r="G111" s="113"/>
      <c r="H111" s="113"/>
      <c r="I111" s="113"/>
      <c r="J111" s="113"/>
      <c r="K111" s="113"/>
      <c r="L111" s="112">
        <v>0.56435</v>
      </c>
      <c r="M111" s="112">
        <v>19.4443</v>
      </c>
      <c r="N111" s="113"/>
      <c r="O111" s="112">
        <v>0.1312</v>
      </c>
      <c r="P111" s="112">
        <v>124.3842</v>
      </c>
      <c r="Q111" s="113"/>
      <c r="R111" s="113"/>
      <c r="S111" s="113"/>
      <c r="T111" s="113"/>
      <c r="U111" s="113"/>
      <c r="V111" s="112">
        <v>2.04016666666667</v>
      </c>
      <c r="W111" s="112">
        <v>86.75355</v>
      </c>
      <c r="X111" s="113"/>
      <c r="Y111" s="113"/>
      <c r="Z111" s="113"/>
      <c r="AA111" s="113"/>
      <c r="AB111" s="113"/>
      <c r="AC111" s="112">
        <v>2.06246666666667</v>
      </c>
      <c r="AD111" s="112">
        <v>78.8533</v>
      </c>
      <c r="AE111" s="113"/>
      <c r="AF111" s="113"/>
      <c r="AG111" s="113"/>
      <c r="AH111" s="113"/>
      <c r="AI111" s="113"/>
      <c r="AJ111" s="112">
        <v>1.90635</v>
      </c>
      <c r="AK111" s="112">
        <v>75.6345166666667</v>
      </c>
      <c r="AL111" s="113"/>
      <c r="AM111" s="113"/>
      <c r="AN111" s="113"/>
      <c r="AO111" s="112">
        <v>5.67113333333333</v>
      </c>
      <c r="AP111" s="112">
        <v>18.5598666666667</v>
      </c>
      <c r="AQ111" s="113"/>
      <c r="AR111" s="113"/>
      <c r="AS111" s="112">
        <v>3.08765</v>
      </c>
      <c r="AT111" s="112">
        <v>78.9970833333334</v>
      </c>
      <c r="AU111" s="113"/>
      <c r="AV111" s="112">
        <v>6.70521666666666</v>
      </c>
      <c r="AW111" s="112">
        <v>0.692316666666667</v>
      </c>
      <c r="AX111" s="113"/>
      <c r="AY111" s="113"/>
      <c r="AZ111" s="113"/>
      <c r="BA111" s="113"/>
      <c r="BB111" s="113"/>
      <c r="BC111" s="113"/>
      <c r="BD111" s="113"/>
      <c r="BE111" s="113"/>
      <c r="BF111" s="113"/>
      <c r="BG111" s="113"/>
      <c r="BH111" s="113"/>
      <c r="BI111" s="113"/>
      <c r="BJ111" s="113"/>
      <c r="BK111" s="113"/>
      <c r="BL111" s="113"/>
      <c r="BM111" s="113"/>
      <c r="BN111" s="113"/>
      <c r="BO111" s="113"/>
      <c r="BP111" s="113"/>
      <c r="BQ111" s="113"/>
      <c r="BR111" s="113"/>
      <c r="BS111" s="113"/>
      <c r="BT111" s="113"/>
      <c r="BU111" s="113"/>
      <c r="BV111" s="113"/>
      <c r="BW111" s="113"/>
      <c r="BX111" s="113"/>
      <c r="BY111" s="113"/>
      <c r="BZ111" s="113"/>
      <c r="CA111" s="113"/>
      <c r="CB111" s="113"/>
      <c r="CC111" s="113"/>
      <c r="CD111" s="113"/>
      <c r="CE111" s="113"/>
      <c r="CF111" s="113"/>
      <c r="CG111" s="113"/>
      <c r="CH111" s="113"/>
      <c r="CI111" s="113"/>
      <c r="CJ111" s="113"/>
      <c r="CK111" s="113"/>
      <c r="CL111" s="113"/>
      <c r="CM111" s="113"/>
      <c r="CN111" s="113"/>
      <c r="CO111" s="113"/>
      <c r="CP111" s="113"/>
      <c r="CQ111" s="113"/>
      <c r="CR111" s="113"/>
      <c r="CS111" s="113"/>
      <c r="CT111" s="113"/>
      <c r="CU111" s="113"/>
      <c r="CV111" s="113"/>
      <c r="CW111" s="113"/>
      <c r="CX111" s="113"/>
      <c r="CY111" s="113"/>
      <c r="CZ111" s="113"/>
      <c r="DA111" s="113"/>
      <c r="DB111" s="113"/>
      <c r="DC111" s="113"/>
      <c r="DD111" s="113"/>
      <c r="DE111" s="113"/>
      <c r="DF111" s="113"/>
      <c r="DG111" s="113"/>
      <c r="DH111" s="113"/>
      <c r="DI111" s="113"/>
      <c r="DJ111" s="113"/>
      <c r="DK111" s="113"/>
      <c r="DL111" s="113"/>
      <c r="DM111" s="113"/>
      <c r="DN111" s="113"/>
      <c r="DO111" s="113"/>
      <c r="DP111" s="113"/>
      <c r="DQ111" s="113"/>
      <c r="DR111" s="113"/>
      <c r="DS111" s="113"/>
      <c r="DT111" s="113"/>
      <c r="DU111" s="113"/>
      <c r="DV111" s="113"/>
      <c r="DW111" s="113"/>
      <c r="DX111" s="113"/>
      <c r="DY111" s="113"/>
      <c r="DZ111" s="113"/>
      <c r="EA111" s="113"/>
      <c r="EB111" s="113"/>
      <c r="EC111" s="113"/>
      <c r="ED111" s="113"/>
      <c r="EE111" s="113"/>
      <c r="EF111" s="113"/>
      <c r="EG111" s="113"/>
      <c r="EH111" s="113"/>
      <c r="EI111" s="113"/>
      <c r="EJ111" s="113"/>
      <c r="EK111" s="113"/>
      <c r="EL111" s="113"/>
      <c r="EM111" s="113"/>
      <c r="EN111" s="113"/>
      <c r="EO111" s="113"/>
      <c r="EP111" s="113"/>
      <c r="EQ111" s="113"/>
      <c r="ER111" s="113"/>
      <c r="ES111" s="113"/>
      <c r="ET111" s="113"/>
      <c r="EU111" s="113"/>
      <c r="EV111" s="113"/>
      <c r="EW111" s="113"/>
      <c r="EX111" s="113"/>
      <c r="EY111" s="113"/>
      <c r="EZ111" s="113"/>
      <c r="FA111" s="113"/>
      <c r="FB111" s="113"/>
      <c r="FC111" s="113"/>
      <c r="FD111" s="113"/>
      <c r="FE111" s="113"/>
      <c r="FF111" s="113"/>
      <c r="FG111" s="113"/>
      <c r="FH111" s="113"/>
      <c r="FI111" s="113"/>
      <c r="FJ111" s="113"/>
      <c r="FK111" s="113"/>
      <c r="FL111" s="113"/>
      <c r="FM111" s="113"/>
      <c r="FN111" s="113"/>
      <c r="FO111" s="113"/>
      <c r="FP111" s="113"/>
      <c r="FQ111" s="113"/>
      <c r="FR111" s="113"/>
      <c r="FS111" s="113"/>
      <c r="FT111" s="113"/>
      <c r="FU111" s="113"/>
      <c r="FV111" s="113"/>
      <c r="FW111" s="113"/>
      <c r="FX111" s="113"/>
      <c r="FY111" s="113"/>
      <c r="FZ111" s="113"/>
      <c r="GA111" s="113"/>
      <c r="GB111" s="113"/>
      <c r="GC111" s="113"/>
      <c r="GD111" s="113"/>
      <c r="GE111" s="113"/>
      <c r="GF111" s="113"/>
      <c r="GG111" s="113"/>
      <c r="GH111" s="113"/>
      <c r="GI111" s="113"/>
      <c r="GJ111" s="113"/>
      <c r="GK111" s="113"/>
      <c r="GL111" s="113"/>
      <c r="GM111" s="113"/>
      <c r="GN111" s="113"/>
      <c r="GO111" s="113"/>
      <c r="GP111" s="113"/>
      <c r="GQ111" s="113"/>
      <c r="GR111" s="113"/>
      <c r="GS111" s="113"/>
      <c r="GT111" s="113"/>
      <c r="GU111" s="113"/>
      <c r="GV111" s="113"/>
      <c r="GW111" s="113"/>
      <c r="GX111" s="113"/>
      <c r="GY111" s="113"/>
      <c r="GZ111" s="113"/>
      <c r="HA111" s="113"/>
      <c r="HB111" s="113"/>
      <c r="HC111" s="113"/>
      <c r="HD111" s="113"/>
      <c r="HE111" s="113"/>
      <c r="HF111" s="113"/>
      <c r="HG111" s="113"/>
      <c r="HH111" s="113"/>
      <c r="HI111" s="113"/>
      <c r="HJ111" s="113"/>
      <c r="HK111" s="113"/>
      <c r="HL111" s="113"/>
      <c r="HM111" s="113"/>
      <c r="HN111" s="113"/>
      <c r="HO111" s="113"/>
      <c r="HP111" s="113"/>
      <c r="HQ111" s="113"/>
      <c r="HR111" s="113"/>
      <c r="HS111" s="113"/>
      <c r="HT111" s="113"/>
      <c r="HU111" s="113"/>
      <c r="HV111" s="113"/>
      <c r="HW111" s="113"/>
      <c r="HX111" s="113"/>
      <c r="HY111" s="113"/>
      <c r="HZ111" s="113"/>
      <c r="IA111" s="113"/>
      <c r="IB111" s="113"/>
      <c r="IC111" s="113"/>
      <c r="ID111" s="113"/>
      <c r="IE111" s="113"/>
      <c r="IF111" s="113"/>
      <c r="IG111" s="113"/>
      <c r="IH111" s="113"/>
      <c r="II111" s="113"/>
      <c r="IJ111" s="113"/>
      <c r="IK111" s="113"/>
      <c r="IL111" s="113"/>
      <c r="IM111" s="113"/>
      <c r="IN111" s="113"/>
      <c r="IO111" s="113"/>
      <c r="IP111" s="113"/>
      <c r="IQ111" s="113"/>
      <c r="IR111" s="113"/>
      <c r="IS111" s="113"/>
      <c r="IT111" s="113"/>
      <c r="IU111" s="113"/>
      <c r="IV111" s="113"/>
      <c r="IW111" s="113"/>
      <c r="IX111" s="113"/>
      <c r="IY111" s="113"/>
      <c r="IZ111" s="113"/>
      <c r="JA111" s="113"/>
      <c r="JB111" s="113"/>
      <c r="JC111" s="113"/>
      <c r="JD111" s="113"/>
      <c r="JE111" s="113"/>
      <c r="JF111" s="113"/>
      <c r="JG111" s="113"/>
      <c r="JH111" s="113"/>
      <c r="JI111" s="113"/>
      <c r="JJ111" s="113"/>
      <c r="JK111" s="113"/>
      <c r="JL111" s="113"/>
      <c r="JM111" s="113"/>
      <c r="JN111" s="113"/>
      <c r="JO111" s="113"/>
      <c r="JP111" s="113"/>
      <c r="JQ111" s="113"/>
      <c r="JR111" s="113"/>
      <c r="JS111" s="113"/>
      <c r="JT111" s="113"/>
      <c r="JU111" s="113"/>
      <c r="JV111" s="113"/>
      <c r="JW111" s="113"/>
      <c r="JX111" s="113"/>
      <c r="JY111" s="113"/>
      <c r="JZ111" s="113"/>
      <c r="KA111" s="113"/>
      <c r="KB111" s="113"/>
      <c r="KC111" s="113"/>
      <c r="KD111" s="113"/>
      <c r="KE111" s="113"/>
      <c r="KF111" s="113"/>
      <c r="KG111" s="113"/>
      <c r="KH111" s="113"/>
      <c r="KI111" s="113"/>
      <c r="KJ111" s="113"/>
      <c r="KK111" s="113"/>
      <c r="KL111" s="113"/>
      <c r="KM111" s="113"/>
      <c r="KN111" s="113"/>
      <c r="KO111" s="113"/>
      <c r="KP111" s="113"/>
      <c r="KQ111" s="113"/>
      <c r="KR111" s="113"/>
      <c r="KS111" s="113"/>
      <c r="KT111" s="113"/>
      <c r="KU111" s="113"/>
      <c r="KV111" s="113"/>
      <c r="KW111" s="113"/>
      <c r="KX111" s="113"/>
      <c r="KY111" s="113"/>
      <c r="KZ111" s="113"/>
      <c r="LA111" s="113"/>
      <c r="LB111" s="113"/>
      <c r="LC111" s="113"/>
      <c r="LD111" s="113"/>
      <c r="LE111" s="113"/>
      <c r="LF111" s="113"/>
      <c r="LG111" s="113"/>
      <c r="LH111" s="113"/>
      <c r="LI111" s="113"/>
      <c r="LJ111" s="113"/>
      <c r="LK111" s="113"/>
      <c r="LL111" s="113"/>
      <c r="LM111" s="113"/>
      <c r="LN111" s="113"/>
      <c r="LO111" s="113"/>
      <c r="LP111" s="113"/>
      <c r="LQ111" s="113"/>
      <c r="LR111" s="113"/>
      <c r="LS111" s="113"/>
      <c r="LT111" s="113"/>
      <c r="LU111" s="113"/>
      <c r="LV111" s="113"/>
      <c r="LW111" s="113"/>
      <c r="LX111" s="113"/>
      <c r="LY111" s="113"/>
      <c r="LZ111" s="113"/>
      <c r="MA111" s="113"/>
      <c r="MB111" s="113"/>
      <c r="MC111" s="113"/>
      <c r="MD111" s="113"/>
      <c r="ME111" s="113"/>
      <c r="MF111" s="113"/>
      <c r="MG111" s="113"/>
      <c r="MH111" s="113"/>
      <c r="MI111" s="113"/>
      <c r="MJ111" s="113"/>
      <c r="MK111" s="113"/>
      <c r="ML111" s="113"/>
      <c r="MM111" s="113"/>
      <c r="MN111" s="113"/>
      <c r="MO111" s="113"/>
      <c r="MP111" s="113"/>
      <c r="MQ111" s="113"/>
      <c r="MR111" s="113"/>
      <c r="MS111" s="113"/>
      <c r="MT111" s="113"/>
      <c r="MU111" s="113"/>
      <c r="MV111" s="113"/>
      <c r="MW111" s="113"/>
      <c r="MX111" s="113"/>
      <c r="MY111" s="113"/>
      <c r="MZ111" s="113"/>
      <c r="NA111" s="113"/>
      <c r="NB111" s="113"/>
      <c r="NC111" s="113"/>
      <c r="ND111" s="113"/>
      <c r="NE111" s="113"/>
      <c r="NF111" s="113"/>
      <c r="NG111" s="113"/>
      <c r="NH111" s="113"/>
      <c r="NI111" s="113"/>
      <c r="NJ111" s="113"/>
      <c r="NK111" s="113"/>
      <c r="NL111" s="113"/>
      <c r="NM111" s="113"/>
      <c r="NN111" s="113"/>
      <c r="NO111" s="113"/>
      <c r="NP111" s="113"/>
      <c r="NQ111" s="113"/>
      <c r="NR111" s="113"/>
      <c r="NS111" s="113"/>
      <c r="NT111" s="113"/>
      <c r="NU111" s="113"/>
      <c r="NV111" s="113"/>
      <c r="NW111" s="113"/>
      <c r="NX111" s="113"/>
      <c r="NY111" s="113"/>
      <c r="NZ111" s="113"/>
      <c r="OA111" s="113"/>
      <c r="OB111" s="113"/>
      <c r="OC111" s="113"/>
      <c r="OD111" s="113"/>
      <c r="OE111" s="113"/>
      <c r="OF111" s="113"/>
      <c r="OG111" s="113"/>
      <c r="OH111" s="113"/>
      <c r="OI111" s="113"/>
      <c r="OJ111" s="113"/>
      <c r="OK111" s="113"/>
      <c r="OL111" s="113"/>
      <c r="OM111" s="113"/>
      <c r="ON111" s="113"/>
      <c r="OO111" s="113"/>
      <c r="OP111" s="113"/>
      <c r="OQ111" s="113"/>
      <c r="OR111" s="113"/>
      <c r="OS111" s="113"/>
      <c r="OT111" s="113"/>
      <c r="OU111" s="113"/>
      <c r="OV111" s="113"/>
      <c r="OW111" s="113"/>
      <c r="OX111" s="113"/>
      <c r="OY111" s="113"/>
      <c r="OZ111" s="113"/>
      <c r="PA111" s="113"/>
      <c r="PB111" s="113"/>
      <c r="PC111" s="113"/>
      <c r="PD111" s="113"/>
      <c r="PE111" s="113"/>
      <c r="PF111" s="113"/>
      <c r="PG111" s="113"/>
      <c r="PH111" s="113"/>
      <c r="PI111" s="113"/>
      <c r="PJ111" s="113"/>
      <c r="PK111" s="113"/>
      <c r="PL111" s="113"/>
      <c r="PM111" s="113"/>
      <c r="PN111" s="113"/>
      <c r="PO111" s="113"/>
      <c r="PP111" s="113"/>
      <c r="PQ111" s="113"/>
      <c r="PR111" s="113"/>
      <c r="PS111" s="113"/>
      <c r="PT111" s="113"/>
      <c r="PU111" s="113"/>
      <c r="PV111" s="113"/>
      <c r="PW111" s="113"/>
      <c r="PX111" s="113"/>
      <c r="PY111" s="113"/>
      <c r="PZ111" s="113"/>
      <c r="QA111" s="113"/>
      <c r="QB111" s="113"/>
      <c r="QC111" s="113"/>
      <c r="QD111" s="113"/>
      <c r="QE111" s="113"/>
      <c r="QF111" s="113"/>
      <c r="QG111" s="113"/>
      <c r="QH111" s="113"/>
      <c r="QI111" s="113"/>
      <c r="QJ111" s="113"/>
      <c r="QK111" s="113"/>
      <c r="QL111" s="113"/>
      <c r="QM111" s="113"/>
      <c r="QN111" s="113"/>
      <c r="QO111" s="113"/>
      <c r="QP111" s="113"/>
      <c r="QQ111" s="113"/>
      <c r="QR111" s="113"/>
      <c r="QS111" s="113"/>
      <c r="QT111" s="113"/>
      <c r="QU111" s="113"/>
      <c r="QV111" s="113"/>
      <c r="QW111" s="113"/>
      <c r="QX111" s="113"/>
      <c r="QY111" s="113"/>
      <c r="QZ111" s="113"/>
      <c r="RA111" s="113"/>
      <c r="RB111" s="113"/>
      <c r="RC111" s="113"/>
      <c r="RD111" s="113"/>
      <c r="RE111" s="113"/>
      <c r="RF111" s="113"/>
      <c r="RG111" s="113"/>
      <c r="RH111" s="113"/>
      <c r="RI111" s="113"/>
      <c r="RJ111" s="113"/>
      <c r="RK111" s="113"/>
      <c r="RL111" s="113"/>
      <c r="RM111" s="113"/>
      <c r="RN111" s="113"/>
      <c r="RO111" s="113"/>
      <c r="RP111" s="113"/>
      <c r="RQ111" s="113"/>
      <c r="RR111" s="113"/>
      <c r="RS111" s="113"/>
      <c r="RT111" s="113"/>
      <c r="RU111" s="113"/>
      <c r="RV111" s="113"/>
      <c r="RW111" s="113"/>
      <c r="RX111" s="113"/>
      <c r="RY111" s="113"/>
      <c r="RZ111" s="113"/>
      <c r="SA111" s="113"/>
      <c r="SB111" s="113"/>
      <c r="SC111" s="113"/>
      <c r="SD111" s="113"/>
      <c r="SE111" s="113"/>
      <c r="SF111" s="113"/>
      <c r="SG111" s="113"/>
      <c r="SH111" s="113"/>
      <c r="SI111" s="113"/>
      <c r="SJ111" s="113"/>
      <c r="SK111" s="113"/>
      <c r="SL111" s="113"/>
      <c r="SM111" s="113"/>
      <c r="SN111" s="113"/>
      <c r="SO111" s="113"/>
      <c r="SP111" s="113"/>
      <c r="SQ111" s="113"/>
      <c r="SR111" s="113"/>
      <c r="SS111" s="113"/>
      <c r="ST111" s="113"/>
      <c r="SU111" s="113"/>
      <c r="SV111" s="113"/>
      <c r="SW111" s="113"/>
      <c r="SX111" s="113"/>
      <c r="SY111" s="113"/>
      <c r="SZ111" s="113"/>
      <c r="TA111" s="113"/>
      <c r="TB111" s="113"/>
      <c r="TC111" s="113"/>
      <c r="TD111" s="113"/>
      <c r="TE111" s="113"/>
      <c r="TF111" s="113"/>
      <c r="TG111" s="113"/>
      <c r="TH111" s="113"/>
      <c r="TI111" s="113"/>
      <c r="TJ111" s="113"/>
      <c r="TK111" s="113"/>
      <c r="TL111" s="113"/>
      <c r="TM111" s="113"/>
      <c r="TN111" s="113"/>
      <c r="TO111" s="113"/>
      <c r="TP111" s="113"/>
      <c r="TQ111" s="113"/>
      <c r="TR111" s="113"/>
      <c r="TS111" s="113"/>
      <c r="TT111" s="113"/>
      <c r="TU111" s="113"/>
      <c r="TV111" s="113"/>
      <c r="TW111" s="113"/>
      <c r="TX111" s="113"/>
      <c r="TY111" s="113"/>
      <c r="TZ111" s="113"/>
      <c r="UA111" s="113"/>
      <c r="UB111" s="113"/>
      <c r="UC111" s="113"/>
      <c r="UD111" s="113"/>
      <c r="UE111" s="113"/>
      <c r="UF111" s="113"/>
      <c r="UG111" s="113"/>
      <c r="UH111" s="113"/>
      <c r="UI111" s="113"/>
      <c r="UJ111" s="113"/>
      <c r="UK111" s="113"/>
      <c r="UL111" s="113"/>
      <c r="UM111" s="113"/>
      <c r="UN111" s="113"/>
      <c r="UO111" s="113"/>
      <c r="UP111" s="113"/>
      <c r="UQ111" s="113"/>
      <c r="UR111" s="113"/>
      <c r="US111" s="113"/>
      <c r="UT111" s="113"/>
      <c r="UU111" s="113"/>
      <c r="UV111" s="113"/>
      <c r="UW111" s="113"/>
      <c r="UX111" s="113"/>
      <c r="UY111" s="113"/>
      <c r="UZ111" s="113"/>
      <c r="VA111" s="113"/>
      <c r="VB111" s="113"/>
      <c r="VC111" s="113"/>
      <c r="VD111" s="113"/>
      <c r="VE111" s="113"/>
      <c r="VF111" s="113"/>
      <c r="VG111" s="113"/>
      <c r="VH111" s="113"/>
      <c r="VI111" s="113"/>
      <c r="VJ111" s="113"/>
      <c r="VK111" s="113"/>
      <c r="VL111" s="113"/>
      <c r="VM111" s="113"/>
      <c r="VN111" s="113"/>
      <c r="VO111" s="113"/>
      <c r="VP111" s="113"/>
      <c r="VQ111" s="113"/>
      <c r="VR111" s="113"/>
      <c r="VS111" s="113"/>
      <c r="VT111" s="113"/>
      <c r="VU111" s="113"/>
      <c r="VV111" s="113"/>
      <c r="VW111" s="113"/>
      <c r="VX111" s="113"/>
      <c r="VY111" s="113"/>
      <c r="VZ111" s="113"/>
      <c r="WA111" s="113"/>
      <c r="WB111" s="113"/>
      <c r="WC111" s="113"/>
      <c r="WD111" s="113"/>
      <c r="WE111" s="113"/>
      <c r="WF111" s="113"/>
      <c r="WG111" s="113"/>
      <c r="WH111" s="113"/>
      <c r="WI111" s="113"/>
      <c r="WJ111" s="113"/>
      <c r="WK111" s="113"/>
      <c r="WL111" s="113"/>
      <c r="WM111" s="113"/>
      <c r="WN111" s="113"/>
      <c r="WO111" s="113"/>
      <c r="WP111" s="113"/>
      <c r="WQ111" s="113"/>
      <c r="WR111" s="113"/>
      <c r="WS111" s="113"/>
      <c r="WT111" s="113"/>
      <c r="WU111" s="113"/>
      <c r="WV111" s="113"/>
      <c r="WW111" s="113"/>
      <c r="WX111" s="113"/>
      <c r="WY111" s="113"/>
      <c r="WZ111" s="113"/>
      <c r="XA111" s="113"/>
      <c r="XB111" s="113"/>
      <c r="XC111" s="113"/>
      <c r="XD111" s="113"/>
      <c r="XE111" s="113"/>
      <c r="XF111" s="113"/>
      <c r="XG111" s="113"/>
      <c r="XH111" s="113"/>
      <c r="XI111" s="113"/>
      <c r="XJ111" s="113"/>
      <c r="XK111" s="113"/>
      <c r="XL111" s="113"/>
      <c r="XM111" s="113"/>
      <c r="XN111" s="113"/>
      <c r="XO111" s="113"/>
      <c r="XP111" s="113"/>
      <c r="XQ111" s="113"/>
      <c r="XR111" s="113"/>
      <c r="XS111" s="113"/>
      <c r="XT111" s="113"/>
      <c r="XU111" s="113"/>
      <c r="XV111" s="113"/>
      <c r="XW111" s="113"/>
      <c r="XX111" s="113"/>
      <c r="XY111" s="113"/>
      <c r="XZ111" s="113"/>
      <c r="YA111" s="113"/>
      <c r="YB111" s="113"/>
      <c r="YC111" s="113"/>
      <c r="YD111" s="113"/>
      <c r="YE111" s="113"/>
      <c r="YF111" s="113"/>
      <c r="YG111" s="113"/>
      <c r="YH111" s="113"/>
      <c r="YI111" s="113"/>
      <c r="YJ111" s="113"/>
      <c r="YK111" s="113"/>
      <c r="YL111" s="113"/>
      <c r="YM111" s="113"/>
      <c r="YN111" s="113"/>
      <c r="YO111" s="113"/>
      <c r="YP111" s="113"/>
      <c r="YQ111" s="113"/>
      <c r="YR111" s="113"/>
      <c r="YS111" s="113"/>
      <c r="YT111" s="113"/>
      <c r="YU111" s="113"/>
      <c r="YV111" s="113"/>
      <c r="YW111" s="113"/>
      <c r="YX111" s="113"/>
      <c r="YY111" s="113"/>
      <c r="YZ111" s="113"/>
      <c r="ZA111" s="113"/>
      <c r="ZB111" s="113"/>
      <c r="ZC111" s="113"/>
      <c r="ZD111" s="113"/>
      <c r="ZE111" s="113"/>
      <c r="ZF111" s="113"/>
      <c r="ZG111" s="113"/>
      <c r="ZH111" s="113"/>
      <c r="ZI111" s="113"/>
      <c r="ZJ111" s="113"/>
      <c r="ZK111" s="113"/>
      <c r="ZL111" s="113"/>
      <c r="ZM111" s="113"/>
      <c r="ZN111" s="113"/>
      <c r="ZO111" s="113"/>
      <c r="ZP111" s="113"/>
      <c r="ZQ111" s="113"/>
      <c r="ZR111" s="113"/>
      <c r="ZS111" s="113"/>
      <c r="ZT111" s="113"/>
      <c r="ZU111" s="113"/>
      <c r="ZV111" s="113"/>
      <c r="ZW111" s="113"/>
      <c r="ZX111" s="113"/>
      <c r="ZY111" s="113"/>
      <c r="ZZ111" s="113"/>
      <c r="AAA111" s="113"/>
      <c r="AAB111" s="113"/>
      <c r="AAC111" s="113"/>
      <c r="AAD111" s="113"/>
      <c r="AAE111" s="113"/>
      <c r="AAF111" s="113"/>
      <c r="AAG111" s="113"/>
      <c r="AAH111" s="113"/>
      <c r="AAI111" s="113"/>
      <c r="AAJ111" s="113"/>
      <c r="AAK111" s="113"/>
      <c r="AAL111" s="113"/>
      <c r="AAM111" s="113"/>
      <c r="AAN111" s="113"/>
      <c r="AAO111" s="113"/>
      <c r="AAP111" s="113"/>
      <c r="AAQ111" s="113"/>
      <c r="AAR111" s="113"/>
      <c r="AAS111" s="113"/>
      <c r="AAT111" s="113"/>
      <c r="AAU111" s="113"/>
      <c r="AAV111" s="113"/>
      <c r="AAW111" s="113"/>
      <c r="AAX111" s="113"/>
      <c r="AAY111" s="113"/>
      <c r="AAZ111" s="113"/>
      <c r="ABA111" s="113"/>
      <c r="ABB111" s="113"/>
      <c r="ABC111" s="113"/>
      <c r="ABD111" s="113"/>
      <c r="ABE111" s="113"/>
      <c r="ABF111" s="113"/>
      <c r="ABG111" s="113"/>
      <c r="ABH111" s="113"/>
      <c r="ABI111" s="113"/>
      <c r="ABJ111" s="113"/>
      <c r="ABK111" s="113"/>
      <c r="ABL111" s="113"/>
      <c r="ABM111" s="113"/>
      <c r="ABN111" s="113"/>
      <c r="ABO111" s="113"/>
      <c r="ABP111" s="113"/>
      <c r="ABQ111" s="113"/>
      <c r="ABR111" s="113"/>
      <c r="ABS111" s="113"/>
      <c r="ABT111" s="113"/>
      <c r="ABU111" s="113"/>
      <c r="ABV111" s="113"/>
      <c r="ABW111" s="113"/>
      <c r="ABX111" s="113"/>
      <c r="ABY111" s="113"/>
      <c r="ABZ111" s="113"/>
      <c r="ACA111" s="113"/>
      <c r="ACB111" s="113"/>
      <c r="ACC111" s="113"/>
      <c r="ACD111" s="113"/>
      <c r="ACE111" s="113"/>
      <c r="ACF111" s="113"/>
      <c r="ACG111" s="113"/>
      <c r="ACH111" s="113"/>
      <c r="ACI111" s="113"/>
      <c r="ACJ111" s="113"/>
      <c r="ACK111" s="113"/>
      <c r="ACL111" s="113"/>
      <c r="ACM111" s="113"/>
      <c r="ACN111" s="113"/>
      <c r="ACO111" s="113"/>
      <c r="ACP111" s="113"/>
      <c r="ACQ111" s="113"/>
      <c r="ACR111" s="113"/>
      <c r="ACS111" s="113"/>
      <c r="ACT111" s="113"/>
      <c r="ACU111" s="113"/>
      <c r="ACV111" s="113"/>
      <c r="ACW111" s="113"/>
      <c r="ACX111" s="113"/>
      <c r="ACY111" s="113"/>
      <c r="ACZ111" s="113"/>
      <c r="ADA111" s="113"/>
      <c r="ADB111" s="113"/>
      <c r="ADC111" s="113"/>
      <c r="ADD111" s="113"/>
      <c r="ADE111" s="113"/>
      <c r="ADF111" s="113"/>
      <c r="ADG111" s="113"/>
      <c r="ADH111" s="113"/>
      <c r="ADI111" s="113"/>
      <c r="ADJ111" s="113"/>
      <c r="ADK111" s="113"/>
      <c r="ADL111" s="113"/>
      <c r="ADM111" s="113"/>
      <c r="ADN111" s="113"/>
      <c r="ADO111" s="113"/>
      <c r="ADP111" s="113"/>
      <c r="ADQ111" s="113"/>
      <c r="ADR111" s="113"/>
      <c r="ADS111" s="113"/>
      <c r="ADT111" s="113"/>
      <c r="ADU111" s="113"/>
      <c r="ADV111" s="113"/>
      <c r="ADW111" s="113"/>
      <c r="ADX111" s="113"/>
      <c r="ADY111" s="113"/>
      <c r="ADZ111" s="113"/>
      <c r="AEA111" s="113"/>
      <c r="AEB111" s="113"/>
      <c r="AEC111" s="113"/>
      <c r="AED111" s="113"/>
      <c r="AEE111" s="113"/>
      <c r="AEF111" s="113"/>
      <c r="AEG111" s="113"/>
      <c r="AEH111" s="113"/>
      <c r="AEI111" s="113"/>
      <c r="AEJ111" s="113"/>
      <c r="AEK111" s="113"/>
      <c r="AEL111" s="113"/>
      <c r="AEM111" s="113"/>
      <c r="AEN111" s="113"/>
      <c r="AEO111" s="113"/>
      <c r="AEP111" s="113"/>
      <c r="AEQ111" s="113"/>
      <c r="AER111" s="113"/>
      <c r="AES111" s="113"/>
      <c r="AET111" s="113"/>
      <c r="AEU111" s="113"/>
      <c r="AEV111" s="113"/>
      <c r="AEW111" s="113"/>
      <c r="AEX111" s="113"/>
      <c r="AEY111" s="113"/>
      <c r="AEZ111" s="113"/>
      <c r="AFA111" s="113"/>
      <c r="AFB111" s="113"/>
      <c r="AFC111" s="113"/>
      <c r="AFD111" s="113"/>
      <c r="AFE111" s="113"/>
      <c r="AFF111" s="113"/>
      <c r="AFG111" s="113"/>
      <c r="AFH111" s="113"/>
      <c r="AFI111" s="113"/>
      <c r="AFJ111" s="113"/>
      <c r="AFK111" s="113"/>
      <c r="AFL111" s="113"/>
      <c r="AFM111" s="113"/>
      <c r="AFN111" s="113"/>
      <c r="AFO111" s="113"/>
      <c r="AFP111" s="113"/>
      <c r="AFQ111" s="113"/>
      <c r="AFR111" s="113"/>
      <c r="AFS111" s="113"/>
      <c r="AFT111" s="113"/>
      <c r="AFU111" s="113"/>
      <c r="AFV111" s="113"/>
      <c r="AFW111" s="113"/>
      <c r="AFX111" s="113"/>
      <c r="AFY111" s="113"/>
      <c r="AFZ111" s="113"/>
      <c r="AGA111" s="113"/>
      <c r="AGB111" s="113"/>
      <c r="AGC111" s="113"/>
      <c r="AGD111" s="113"/>
      <c r="AGE111" s="113"/>
      <c r="AGF111" s="113"/>
      <c r="AGG111" s="113"/>
      <c r="AGH111" s="113"/>
      <c r="AGI111" s="113"/>
      <c r="AGJ111" s="113"/>
      <c r="AGK111" s="113"/>
      <c r="AGL111" s="113"/>
      <c r="AGM111" s="113"/>
      <c r="AGN111" s="113"/>
      <c r="AGO111" s="113"/>
      <c r="AGP111" s="113"/>
      <c r="AGQ111" s="113"/>
      <c r="AGR111" s="113"/>
      <c r="AGS111" s="113"/>
      <c r="AGT111" s="113"/>
      <c r="AGU111" s="113"/>
      <c r="AGV111" s="113"/>
      <c r="AGW111" s="113"/>
      <c r="AGX111" s="113"/>
      <c r="AGY111" s="113"/>
      <c r="AGZ111" s="113"/>
      <c r="AHA111" s="113"/>
      <c r="AHB111" s="113"/>
      <c r="AHC111" s="113"/>
      <c r="AHD111" s="113"/>
      <c r="AHE111" s="113"/>
      <c r="AHF111" s="113"/>
      <c r="AHG111" s="113"/>
      <c r="AHH111" s="113"/>
      <c r="AHI111" s="113"/>
      <c r="AHJ111" s="113"/>
      <c r="AHK111" s="113"/>
      <c r="AHL111" s="113"/>
      <c r="AHM111" s="113"/>
      <c r="AHN111" s="113"/>
      <c r="AHO111" s="113"/>
      <c r="AHP111" s="113"/>
      <c r="AHQ111" s="113"/>
      <c r="AHR111" s="113"/>
      <c r="AHS111" s="113"/>
      <c r="AHT111" s="113"/>
      <c r="AHU111" s="113"/>
      <c r="AHV111" s="113"/>
      <c r="AHW111" s="113"/>
      <c r="AHX111" s="113"/>
      <c r="AHY111" s="113"/>
      <c r="AHZ111" s="113"/>
      <c r="AIA111" s="113"/>
      <c r="AIB111" s="113"/>
      <c r="AIC111" s="113"/>
      <c r="AID111" s="113"/>
      <c r="AIE111" s="113"/>
      <c r="AIF111" s="113"/>
      <c r="AIG111" s="113"/>
      <c r="AIH111" s="113"/>
      <c r="AII111" s="113"/>
      <c r="AIJ111" s="113"/>
      <c r="AIK111" s="113"/>
      <c r="AIL111" s="113"/>
      <c r="AIM111" s="113"/>
      <c r="AIN111" s="113"/>
      <c r="AIO111" s="113"/>
      <c r="AIP111" s="113"/>
      <c r="AIQ111" s="113"/>
      <c r="AIR111" s="113"/>
      <c r="AIS111" s="113"/>
      <c r="AIT111" s="113"/>
      <c r="AIU111" s="113"/>
      <c r="AIV111" s="113"/>
      <c r="AIW111" s="113"/>
      <c r="AIX111" s="113"/>
      <c r="AIY111" s="113"/>
      <c r="AIZ111" s="113"/>
    </row>
    <row r="112">
      <c r="A112" s="65" t="s">
        <v>7</v>
      </c>
      <c r="B112" s="65" t="s">
        <v>43</v>
      </c>
      <c r="C112" s="65"/>
      <c r="D112" s="64">
        <f t="shared" si="1"/>
        <v>522.3117167</v>
      </c>
      <c r="G112" s="65">
        <v>65.4378333333333</v>
      </c>
      <c r="H112" s="65">
        <v>3.3432</v>
      </c>
      <c r="I112" s="65">
        <v>0.700733333333333</v>
      </c>
      <c r="J112" s="65">
        <v>1.8797</v>
      </c>
      <c r="K112" s="65">
        <v>13.2699</v>
      </c>
      <c r="N112" s="65">
        <v>16.7863666666667</v>
      </c>
      <c r="Q112" s="65">
        <v>52.4703333333333</v>
      </c>
      <c r="R112" s="65">
        <v>40.74135</v>
      </c>
      <c r="S112" s="65">
        <v>9.46055</v>
      </c>
      <c r="T112" s="65">
        <v>3.32443333333333</v>
      </c>
      <c r="U112" s="65">
        <v>14.8145333333333</v>
      </c>
      <c r="X112" s="65">
        <v>16.99365</v>
      </c>
      <c r="Y112" s="65">
        <v>50.2217166666667</v>
      </c>
      <c r="Z112" s="65">
        <v>12.3424</v>
      </c>
      <c r="AA112" s="65">
        <v>1.32495</v>
      </c>
      <c r="AB112" s="65">
        <v>4.37955</v>
      </c>
      <c r="AE112" s="65">
        <v>16.368</v>
      </c>
      <c r="AF112" s="65">
        <v>46.6725666666667</v>
      </c>
      <c r="AG112" s="65">
        <v>8.79678333333333</v>
      </c>
      <c r="AH112" s="65">
        <v>1.12198333333333</v>
      </c>
      <c r="AI112" s="65">
        <v>4.86651666666667</v>
      </c>
      <c r="AL112" s="65">
        <v>12.1461333333333</v>
      </c>
      <c r="AM112" s="65">
        <v>5.28226666666667</v>
      </c>
      <c r="AN112" s="65">
        <v>37.0860666666667</v>
      </c>
      <c r="AQ112" s="65">
        <v>1.6453</v>
      </c>
      <c r="AR112" s="65">
        <v>11.3099333333333</v>
      </c>
      <c r="AU112" s="65">
        <v>69.5249666666666</v>
      </c>
    </row>
    <row r="113">
      <c r="A113" s="65" t="s">
        <v>7</v>
      </c>
      <c r="B113" s="65" t="s">
        <v>43</v>
      </c>
      <c r="C113" s="65"/>
      <c r="D113" s="64">
        <f t="shared" si="1"/>
        <v>0</v>
      </c>
    </row>
    <row r="114">
      <c r="A114" s="65" t="s">
        <v>7</v>
      </c>
      <c r="B114" s="65" t="s">
        <v>43</v>
      </c>
      <c r="C114" s="65"/>
      <c r="D114" s="64">
        <f t="shared" si="1"/>
        <v>489.7504833</v>
      </c>
      <c r="G114" s="118">
        <f>HYPERLINK("https://docs.google.com/spreadsheets/d/1MDCT9ypifVwhLBYRHE7cc_kZ94qSJBn-", 65.4378166666666)</f>
        <v>65.43781667</v>
      </c>
      <c r="H114" s="118">
        <f>HYPERLINK("https://docs.google.com/spreadsheets/d/1PshYGz6rrO7vc4Ffi2tGnKzPFGmCJltk", 3.34318333333333)</f>
        <v>3.343183333</v>
      </c>
      <c r="I114" s="118">
        <f>HYPERLINK("https://docs.google.com/spreadsheets/d/1Y31fSVgcOn7h8b3GwJKlKmY264Gn2_9-", 0.700733333333333)</f>
        <v>0.7007333333</v>
      </c>
      <c r="J114" s="118">
        <f>HYPERLINK("https://docs.google.com/spreadsheets/d/1hEH_5dcF-NsFyOyb5gaOxg2wpgRQRxie", 1.56423333333333)</f>
        <v>1.564233333</v>
      </c>
      <c r="K114" s="118">
        <f>HYPERLINK("https://docs.google.com/spreadsheets/d/13fbUiQEPZw2GJcWgvmKmwJqCHsgS4IAT", 13.2698666666667)</f>
        <v>13.26986667</v>
      </c>
      <c r="N114" s="118">
        <f>HYPERLINK("https://docs.google.com/spreadsheets/d/1k7t7RLekMVP6Qs1tajJS_dau8ntyiV8w", 16.78635)</f>
        <v>16.78635</v>
      </c>
      <c r="Q114" s="118">
        <f>HYPERLINK("https://docs.google.com/spreadsheets/d/1GOIDa7U4pkwhTzbUiiKYK1bkti_IUTX6", 35.9277833333333)</f>
        <v>35.92778333</v>
      </c>
      <c r="R114" s="118">
        <f>HYPERLINK("https://docs.google.com/spreadsheets/d/1zS0JWoBhPEYz3MIQzKtGPq2UvXHnFPpR", 40.2321166666667)</f>
        <v>40.23211667</v>
      </c>
      <c r="S114" s="118">
        <f>HYPERLINK("https://docs.google.com/spreadsheets/d/18FrABEgF9r_IfH85oCpG4Ln1aDVdfCMz", 9.37383333333333)</f>
        <v>9.373833333</v>
      </c>
      <c r="T114" s="118">
        <f>HYPERLINK("https://docs.google.com/spreadsheets/d/1gKp8UA3OnKG3B8aReIsLxNmWRiZLovfl", 2.01021666666667)</f>
        <v>2.010216667</v>
      </c>
      <c r="U114" s="118">
        <f>HYPERLINK("https://docs.google.com/spreadsheets/d/1Dephwe0Xrx7X8lgcHoful-gy0SaunRib", 14.6770333333333)</f>
        <v>14.67703333</v>
      </c>
      <c r="X114" s="118">
        <f>HYPERLINK("https://docs.google.com/spreadsheets/d/1eD22Ls-5zZibMpUisODCiq2PcqdU03EX", 10.1673)</f>
        <v>10.1673</v>
      </c>
      <c r="Y114" s="118">
        <f>HYPERLINK("https://docs.google.com/spreadsheets/d/1Wl3FXjSsdsLL0NsZ3cRJgUiEUsBKpiGB", 50.0930666666666)</f>
        <v>50.09306667</v>
      </c>
      <c r="Z114" s="118">
        <f>HYPERLINK("https://docs.google.com/spreadsheets/d/1J8JxjoMKgqm_1k0j9Z3oiVo_Dbr9MRNq", 12.2136166666667)</f>
        <v>12.21361667</v>
      </c>
      <c r="AA114" s="118">
        <f>HYPERLINK("https://docs.google.com/spreadsheets/d/1SDbkYmOVqN2Cl3bwMpp3YLPcYLj3UIll", 1.15726666666667)</f>
        <v>1.157266667</v>
      </c>
      <c r="AB114" s="118">
        <f>HYPERLINK("https://docs.google.com/spreadsheets/d/1BUJyVpEUPTjPx-wIUbVj9oEEMHoyfi1_", 4.37955)</f>
        <v>4.37955</v>
      </c>
      <c r="AE114" s="118">
        <f>HYPERLINK("https://docs.google.com/spreadsheets/d/1gGTtn8kMbtyIFFeTXqV8A59Vy2jKlcuH", 12.3682333333333)</f>
        <v>12.36823333</v>
      </c>
      <c r="AF114" s="118">
        <f>HYPERLINK("https://docs.google.com/spreadsheets/d/1NZVU1kqQ4W0ac12lIoqRJLv3TBhCsyMN", 46.6726)</f>
        <v>46.6726</v>
      </c>
      <c r="AG114" s="118">
        <f>HYPERLINK("https://docs.google.com/spreadsheets/d/1eFRQjp8aVfo5K3G_JojvNX0e10wBAO-H", 8.79678333333333)</f>
        <v>8.796783333</v>
      </c>
      <c r="AH114" s="118">
        <f>HYPERLINK("https://docs.google.com/spreadsheets/d/1RP-868l4x-33ezmhPLOYjqfzyD-oApn5", 1.12198333333333)</f>
        <v>1.121983333</v>
      </c>
      <c r="AI114" s="118">
        <f>HYPERLINK("https://docs.google.com/spreadsheets/d/1iHDKVUuax3GvcDOk8Qoy0p-izDKmg9M0", 4.86651666666667)</f>
        <v>4.866516667</v>
      </c>
      <c r="AL114" s="118">
        <f>HYPERLINK("https://docs.google.com/spreadsheets/d/19TOIVVlI77pBBHgbmufDLps-9iAxJcBb", 10.8794)</f>
        <v>10.8794</v>
      </c>
      <c r="AM114" s="118">
        <f>HYPERLINK("https://docs.google.com/spreadsheets/d/1YDLKHh2iB3Gee_EjHB6w6P2v2RFBtmOP", 5.2048)</f>
        <v>5.2048</v>
      </c>
      <c r="AN114" s="118">
        <f>HYPERLINK("https://docs.google.com/spreadsheets/d/1sG_EnQKOWoXvj6r5lqctJD_ctYrGePkl", 37.0130833333333)</f>
        <v>37.01308333</v>
      </c>
      <c r="AQ114" s="118">
        <f>HYPERLINK("https://docs.google.com/spreadsheets/d/1zpEvIdDBafR1rx-YQLVTrAKCEW3MiX9v", 1.09978333333333)</f>
        <v>1.099783333</v>
      </c>
      <c r="AR114" s="118">
        <f>HYPERLINK("https://docs.google.com/spreadsheets/d/1PCLBktd6h15fDzt7swecKNUyAll3gvjF", 11.2227666666667)</f>
        <v>11.22276667</v>
      </c>
      <c r="AU114" s="118">
        <f>HYPERLINK("https://docs.google.com/spreadsheets/d/1OTM_ZssQHsAsso91SnfaaRQlQxt16LqT", 69.1705666666667)</f>
        <v>69.17056667</v>
      </c>
    </row>
    <row r="115">
      <c r="A115" s="65" t="s">
        <v>7</v>
      </c>
      <c r="B115" s="65" t="s">
        <v>43</v>
      </c>
      <c r="C115" s="65"/>
      <c r="D115" s="64">
        <f t="shared" si="1"/>
        <v>104.3906667</v>
      </c>
      <c r="G115" s="65">
        <v>11.1753333333333</v>
      </c>
      <c r="H115" s="65">
        <v>0.44985</v>
      </c>
      <c r="I115" s="65">
        <v>0.0</v>
      </c>
      <c r="J115" s="65">
        <v>0.0</v>
      </c>
      <c r="K115" s="65">
        <v>0.486533333333333</v>
      </c>
      <c r="N115" s="65">
        <v>2.02268333333333</v>
      </c>
      <c r="Q115" s="65">
        <v>6.90606666666667</v>
      </c>
      <c r="R115" s="65">
        <v>12.6977166666667</v>
      </c>
      <c r="S115" s="65">
        <v>2.0014</v>
      </c>
      <c r="T115" s="65">
        <v>0.168316666666667</v>
      </c>
      <c r="U115" s="65">
        <v>0.86815</v>
      </c>
      <c r="X115" s="65">
        <v>2.99255</v>
      </c>
      <c r="Y115" s="65">
        <v>14.7650666666667</v>
      </c>
      <c r="Z115" s="65">
        <v>1.11683333333333</v>
      </c>
      <c r="AA115" s="65">
        <v>0.182816666666667</v>
      </c>
      <c r="AB115" s="65">
        <v>0.49485</v>
      </c>
      <c r="AE115" s="65">
        <v>2.67998333333333</v>
      </c>
      <c r="AF115" s="65">
        <v>22.2678666666667</v>
      </c>
      <c r="AG115" s="65">
        <v>2.03726666666667</v>
      </c>
      <c r="AH115" s="65">
        <v>0.17975</v>
      </c>
      <c r="AI115" s="65">
        <v>1.0142</v>
      </c>
      <c r="AL115" s="65">
        <v>1.05533333333333</v>
      </c>
      <c r="AM115" s="65">
        <v>0.0</v>
      </c>
      <c r="AN115" s="65">
        <v>5.20495</v>
      </c>
      <c r="AQ115" s="65">
        <v>0.0</v>
      </c>
      <c r="AR115" s="65">
        <v>1.07085</v>
      </c>
      <c r="AU115" s="65">
        <v>12.5523</v>
      </c>
    </row>
    <row r="116">
      <c r="A116" s="119" t="s">
        <v>7</v>
      </c>
      <c r="B116" s="119" t="s">
        <v>43</v>
      </c>
      <c r="C116" s="119"/>
      <c r="D116" s="120">
        <f t="shared" si="1"/>
        <v>0</v>
      </c>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20"/>
      <c r="AK116" s="120"/>
      <c r="AL116" s="120"/>
      <c r="AM116" s="120"/>
      <c r="AN116" s="120"/>
      <c r="AO116" s="120"/>
      <c r="AP116" s="120"/>
      <c r="AQ116" s="120"/>
      <c r="AR116" s="120"/>
      <c r="AS116" s="120"/>
      <c r="AT116" s="120"/>
      <c r="AU116" s="120"/>
      <c r="AV116" s="120"/>
      <c r="AW116" s="120"/>
      <c r="AX116" s="120"/>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0"/>
      <c r="CE116" s="120"/>
      <c r="CF116" s="120"/>
      <c r="CG116" s="120"/>
      <c r="CH116" s="120"/>
      <c r="CI116" s="120"/>
      <c r="CJ116" s="120"/>
      <c r="CK116" s="120"/>
      <c r="CL116" s="120"/>
      <c r="CM116" s="120"/>
      <c r="CN116" s="120"/>
      <c r="CO116" s="120"/>
      <c r="CP116" s="120"/>
      <c r="CQ116" s="120"/>
      <c r="CR116" s="120"/>
      <c r="CS116" s="120"/>
      <c r="CT116" s="120"/>
      <c r="CU116" s="120"/>
      <c r="CV116" s="120"/>
      <c r="CW116" s="120"/>
      <c r="CX116" s="120"/>
      <c r="CY116" s="120"/>
      <c r="CZ116" s="120"/>
      <c r="DA116" s="120"/>
      <c r="DB116" s="120"/>
      <c r="DC116" s="120"/>
      <c r="DD116" s="120"/>
      <c r="DE116" s="120"/>
      <c r="DF116" s="120"/>
      <c r="DG116" s="120"/>
      <c r="DH116" s="120"/>
      <c r="DI116" s="120"/>
      <c r="DJ116" s="120"/>
      <c r="DK116" s="120"/>
      <c r="DL116" s="120"/>
      <c r="DM116" s="120"/>
      <c r="DN116" s="120"/>
      <c r="DO116" s="120"/>
      <c r="DP116" s="120"/>
      <c r="DQ116" s="120"/>
      <c r="DR116" s="120"/>
      <c r="DS116" s="120"/>
      <c r="DT116" s="120"/>
      <c r="DU116" s="120"/>
      <c r="DV116" s="120"/>
      <c r="DW116" s="120"/>
      <c r="DX116" s="120"/>
      <c r="DY116" s="120"/>
      <c r="DZ116" s="120"/>
      <c r="EA116" s="120"/>
      <c r="EB116" s="120"/>
      <c r="EC116" s="120"/>
      <c r="ED116" s="120"/>
      <c r="EE116" s="120"/>
      <c r="EF116" s="120"/>
      <c r="EG116" s="120"/>
      <c r="EH116" s="120"/>
      <c r="EI116" s="120"/>
      <c r="EJ116" s="120"/>
      <c r="EK116" s="120"/>
      <c r="EL116" s="120"/>
      <c r="EM116" s="120"/>
      <c r="EN116" s="120"/>
      <c r="EO116" s="120"/>
      <c r="EP116" s="120"/>
      <c r="EQ116" s="120"/>
      <c r="ER116" s="120"/>
      <c r="ES116" s="120"/>
      <c r="ET116" s="120"/>
      <c r="EU116" s="120"/>
      <c r="EV116" s="120"/>
      <c r="EW116" s="120"/>
      <c r="EX116" s="120"/>
      <c r="EY116" s="120"/>
      <c r="EZ116" s="120"/>
      <c r="FA116" s="120"/>
      <c r="FB116" s="120"/>
      <c r="FC116" s="120"/>
      <c r="FD116" s="120"/>
      <c r="FE116" s="120"/>
      <c r="FF116" s="120"/>
      <c r="FG116" s="120"/>
      <c r="FH116" s="120"/>
      <c r="FI116" s="120"/>
      <c r="FJ116" s="120"/>
      <c r="FK116" s="120"/>
      <c r="FL116" s="120"/>
      <c r="FM116" s="120"/>
      <c r="FN116" s="120"/>
      <c r="FO116" s="120"/>
      <c r="FP116" s="120"/>
      <c r="FQ116" s="120"/>
      <c r="FR116" s="120"/>
      <c r="FS116" s="120"/>
      <c r="FT116" s="120"/>
      <c r="FU116" s="120"/>
      <c r="FV116" s="120"/>
      <c r="FW116" s="120"/>
      <c r="FX116" s="120"/>
      <c r="FY116" s="120"/>
      <c r="FZ116" s="120"/>
      <c r="GA116" s="120"/>
      <c r="GB116" s="120"/>
      <c r="GC116" s="120"/>
      <c r="GD116" s="120"/>
      <c r="GE116" s="120"/>
      <c r="GF116" s="120"/>
      <c r="GG116" s="120"/>
      <c r="GH116" s="120"/>
      <c r="GI116" s="120"/>
      <c r="GJ116" s="120"/>
      <c r="GK116" s="120"/>
      <c r="GL116" s="120"/>
      <c r="GM116" s="120"/>
      <c r="GN116" s="120"/>
      <c r="GO116" s="120"/>
      <c r="GP116" s="120"/>
      <c r="GQ116" s="120"/>
      <c r="GR116" s="120"/>
      <c r="GS116" s="120"/>
      <c r="GT116" s="120"/>
      <c r="GU116" s="120"/>
      <c r="GV116" s="120"/>
      <c r="GW116" s="120"/>
      <c r="GX116" s="120"/>
      <c r="GY116" s="120"/>
      <c r="GZ116" s="120"/>
      <c r="HA116" s="120"/>
      <c r="HB116" s="120"/>
      <c r="HC116" s="120"/>
      <c r="HD116" s="120"/>
      <c r="HE116" s="120"/>
      <c r="HF116" s="120"/>
      <c r="HG116" s="120"/>
      <c r="HH116" s="120"/>
      <c r="HI116" s="120"/>
      <c r="HJ116" s="120"/>
      <c r="HK116" s="120"/>
      <c r="HL116" s="120"/>
      <c r="HM116" s="120"/>
      <c r="HN116" s="120"/>
      <c r="HO116" s="120"/>
      <c r="HP116" s="120"/>
      <c r="HQ116" s="120"/>
      <c r="HR116" s="120"/>
      <c r="HS116" s="120"/>
      <c r="HT116" s="120"/>
      <c r="HU116" s="120"/>
      <c r="HV116" s="120"/>
      <c r="HW116" s="120"/>
      <c r="HX116" s="120"/>
      <c r="HY116" s="120"/>
      <c r="HZ116" s="120"/>
      <c r="IA116" s="120"/>
      <c r="IB116" s="120"/>
      <c r="IC116" s="120"/>
      <c r="ID116" s="120"/>
      <c r="IE116" s="120"/>
      <c r="IF116" s="120"/>
      <c r="IG116" s="120"/>
      <c r="IH116" s="120"/>
      <c r="II116" s="120"/>
      <c r="IJ116" s="120"/>
      <c r="IK116" s="120"/>
      <c r="IL116" s="120"/>
      <c r="IM116" s="120"/>
      <c r="IN116" s="120"/>
      <c r="IO116" s="120"/>
      <c r="IP116" s="120"/>
      <c r="IQ116" s="120"/>
      <c r="IR116" s="120"/>
      <c r="IS116" s="120"/>
      <c r="IT116" s="120"/>
      <c r="IU116" s="120"/>
      <c r="IV116" s="120"/>
      <c r="IW116" s="120"/>
      <c r="IX116" s="120"/>
      <c r="IY116" s="120"/>
      <c r="IZ116" s="120"/>
      <c r="JA116" s="120"/>
      <c r="JB116" s="120"/>
      <c r="JC116" s="120"/>
      <c r="JD116" s="120"/>
      <c r="JE116" s="120"/>
      <c r="JF116" s="120"/>
      <c r="JG116" s="120"/>
      <c r="JH116" s="120"/>
      <c r="JI116" s="120"/>
      <c r="JJ116" s="120"/>
      <c r="JK116" s="120"/>
      <c r="JL116" s="120"/>
      <c r="JM116" s="120"/>
      <c r="JN116" s="120"/>
      <c r="JO116" s="120"/>
      <c r="JP116" s="120"/>
      <c r="JQ116" s="120"/>
      <c r="JR116" s="120"/>
      <c r="JS116" s="120"/>
      <c r="JT116" s="120"/>
      <c r="JU116" s="120"/>
      <c r="JV116" s="120"/>
      <c r="JW116" s="120"/>
      <c r="JX116" s="120"/>
      <c r="JY116" s="120"/>
      <c r="JZ116" s="120"/>
      <c r="KA116" s="120"/>
      <c r="KB116" s="120"/>
      <c r="KC116" s="120"/>
      <c r="KD116" s="120"/>
      <c r="KE116" s="120"/>
      <c r="KF116" s="120"/>
      <c r="KG116" s="120"/>
      <c r="KH116" s="120"/>
      <c r="KI116" s="120"/>
      <c r="KJ116" s="120"/>
      <c r="KK116" s="120"/>
      <c r="KL116" s="120"/>
      <c r="KM116" s="120"/>
      <c r="KN116" s="120"/>
      <c r="KO116" s="120"/>
      <c r="KP116" s="120"/>
      <c r="KQ116" s="120"/>
      <c r="KR116" s="120"/>
      <c r="KS116" s="120"/>
      <c r="KT116" s="120"/>
      <c r="KU116" s="120"/>
      <c r="KV116" s="120"/>
      <c r="KW116" s="120"/>
      <c r="KX116" s="120"/>
      <c r="KY116" s="120"/>
      <c r="KZ116" s="120"/>
      <c r="LA116" s="120"/>
      <c r="LB116" s="120"/>
      <c r="LC116" s="120"/>
      <c r="LD116" s="120"/>
      <c r="LE116" s="120"/>
      <c r="LF116" s="120"/>
      <c r="LG116" s="120"/>
      <c r="LH116" s="120"/>
      <c r="LI116" s="120"/>
      <c r="LJ116" s="120"/>
      <c r="LK116" s="120"/>
      <c r="LL116" s="120"/>
      <c r="LM116" s="120"/>
      <c r="LN116" s="120"/>
      <c r="LO116" s="120"/>
      <c r="LP116" s="120"/>
      <c r="LQ116" s="120"/>
      <c r="LR116" s="120"/>
      <c r="LS116" s="120"/>
      <c r="LT116" s="120"/>
      <c r="LU116" s="120"/>
      <c r="LV116" s="120"/>
      <c r="LW116" s="120"/>
      <c r="LX116" s="120"/>
      <c r="LY116" s="120"/>
      <c r="LZ116" s="120"/>
      <c r="MA116" s="120"/>
      <c r="MB116" s="120"/>
      <c r="MC116" s="120"/>
      <c r="MD116" s="120"/>
      <c r="ME116" s="120"/>
      <c r="MF116" s="120"/>
      <c r="MG116" s="120"/>
      <c r="MH116" s="120"/>
      <c r="MI116" s="120"/>
      <c r="MJ116" s="120"/>
      <c r="MK116" s="120"/>
      <c r="ML116" s="120"/>
      <c r="MM116" s="120"/>
      <c r="MN116" s="120"/>
      <c r="MO116" s="120"/>
      <c r="MP116" s="120"/>
      <c r="MQ116" s="120"/>
      <c r="MR116" s="120"/>
      <c r="MS116" s="120"/>
      <c r="MT116" s="120"/>
      <c r="MU116" s="120"/>
      <c r="MV116" s="120"/>
      <c r="MW116" s="120"/>
      <c r="MX116" s="120"/>
      <c r="MY116" s="120"/>
      <c r="MZ116" s="120"/>
      <c r="NA116" s="120"/>
      <c r="NB116" s="120"/>
      <c r="NC116" s="120"/>
      <c r="ND116" s="120"/>
      <c r="NE116" s="120"/>
      <c r="NF116" s="120"/>
      <c r="NG116" s="120"/>
      <c r="NH116" s="120"/>
      <c r="NI116" s="120"/>
      <c r="NJ116" s="120"/>
      <c r="NK116" s="120"/>
      <c r="NL116" s="120"/>
      <c r="NM116" s="120"/>
      <c r="NN116" s="120"/>
      <c r="NO116" s="120"/>
      <c r="NP116" s="120"/>
      <c r="NQ116" s="120"/>
      <c r="NR116" s="120"/>
      <c r="NS116" s="120"/>
      <c r="NT116" s="120"/>
      <c r="NU116" s="120"/>
      <c r="NV116" s="120"/>
      <c r="NW116" s="120"/>
      <c r="NX116" s="120"/>
      <c r="NY116" s="120"/>
      <c r="NZ116" s="120"/>
      <c r="OA116" s="120"/>
      <c r="OB116" s="120"/>
      <c r="OC116" s="120"/>
      <c r="OD116" s="120"/>
      <c r="OE116" s="120"/>
      <c r="OF116" s="120"/>
      <c r="OG116" s="120"/>
      <c r="OH116" s="120"/>
      <c r="OI116" s="120"/>
      <c r="OJ116" s="120"/>
      <c r="OK116" s="120"/>
      <c r="OL116" s="120"/>
      <c r="OM116" s="120"/>
      <c r="ON116" s="120"/>
      <c r="OO116" s="120"/>
      <c r="OP116" s="120"/>
      <c r="OQ116" s="120"/>
      <c r="OR116" s="120"/>
      <c r="OS116" s="120"/>
      <c r="OT116" s="120"/>
      <c r="OU116" s="120"/>
      <c r="OV116" s="120"/>
      <c r="OW116" s="120"/>
      <c r="OX116" s="120"/>
      <c r="OY116" s="120"/>
      <c r="OZ116" s="120"/>
      <c r="PA116" s="120"/>
      <c r="PB116" s="120"/>
      <c r="PC116" s="120"/>
      <c r="PD116" s="120"/>
      <c r="PE116" s="120"/>
      <c r="PF116" s="120"/>
      <c r="PG116" s="120"/>
      <c r="PH116" s="120"/>
      <c r="PI116" s="120"/>
      <c r="PJ116" s="120"/>
      <c r="PK116" s="120"/>
      <c r="PL116" s="120"/>
      <c r="PM116" s="120"/>
      <c r="PN116" s="120"/>
      <c r="PO116" s="120"/>
      <c r="PP116" s="120"/>
      <c r="PQ116" s="120"/>
      <c r="PR116" s="120"/>
      <c r="PS116" s="120"/>
      <c r="PT116" s="120"/>
      <c r="PU116" s="120"/>
      <c r="PV116" s="120"/>
      <c r="PW116" s="120"/>
      <c r="PX116" s="120"/>
      <c r="PY116" s="120"/>
      <c r="PZ116" s="120"/>
      <c r="QA116" s="120"/>
      <c r="QB116" s="120"/>
      <c r="QC116" s="120"/>
      <c r="QD116" s="120"/>
      <c r="QE116" s="120"/>
      <c r="QF116" s="120"/>
      <c r="QG116" s="120"/>
      <c r="QH116" s="120"/>
      <c r="QI116" s="120"/>
      <c r="QJ116" s="120"/>
      <c r="QK116" s="120"/>
      <c r="QL116" s="120"/>
      <c r="QM116" s="120"/>
      <c r="QN116" s="120"/>
      <c r="QO116" s="120"/>
      <c r="QP116" s="120"/>
      <c r="QQ116" s="120"/>
      <c r="QR116" s="120"/>
      <c r="QS116" s="120"/>
      <c r="QT116" s="120"/>
      <c r="QU116" s="120"/>
      <c r="QV116" s="120"/>
      <c r="QW116" s="120"/>
      <c r="QX116" s="120"/>
      <c r="QY116" s="120"/>
      <c r="QZ116" s="120"/>
      <c r="RA116" s="120"/>
      <c r="RB116" s="120"/>
      <c r="RC116" s="120"/>
      <c r="RD116" s="120"/>
      <c r="RE116" s="120"/>
      <c r="RF116" s="120"/>
      <c r="RG116" s="120"/>
      <c r="RH116" s="120"/>
      <c r="RI116" s="120"/>
      <c r="RJ116" s="120"/>
      <c r="RK116" s="120"/>
      <c r="RL116" s="120"/>
      <c r="RM116" s="120"/>
      <c r="RN116" s="120"/>
      <c r="RO116" s="120"/>
      <c r="RP116" s="120"/>
      <c r="RQ116" s="120"/>
      <c r="RR116" s="120"/>
      <c r="RS116" s="120"/>
      <c r="RT116" s="120"/>
      <c r="RU116" s="120"/>
      <c r="RV116" s="120"/>
      <c r="RW116" s="120"/>
      <c r="RX116" s="120"/>
      <c r="RY116" s="120"/>
      <c r="RZ116" s="120"/>
      <c r="SA116" s="120"/>
      <c r="SB116" s="120"/>
      <c r="SC116" s="120"/>
      <c r="SD116" s="120"/>
      <c r="SE116" s="120"/>
      <c r="SF116" s="120"/>
      <c r="SG116" s="120"/>
      <c r="SH116" s="120"/>
      <c r="SI116" s="120"/>
      <c r="SJ116" s="120"/>
      <c r="SK116" s="120"/>
      <c r="SL116" s="120"/>
      <c r="SM116" s="120"/>
      <c r="SN116" s="120"/>
      <c r="SO116" s="120"/>
      <c r="SP116" s="120"/>
      <c r="SQ116" s="120"/>
      <c r="SR116" s="120"/>
      <c r="SS116" s="120"/>
      <c r="ST116" s="120"/>
      <c r="SU116" s="120"/>
      <c r="SV116" s="120"/>
      <c r="SW116" s="120"/>
      <c r="SX116" s="120"/>
      <c r="SY116" s="120"/>
      <c r="SZ116" s="120"/>
      <c r="TA116" s="120"/>
      <c r="TB116" s="120"/>
      <c r="TC116" s="120"/>
      <c r="TD116" s="120"/>
      <c r="TE116" s="120"/>
      <c r="TF116" s="120"/>
      <c r="TG116" s="120"/>
      <c r="TH116" s="120"/>
      <c r="TI116" s="120"/>
      <c r="TJ116" s="120"/>
      <c r="TK116" s="120"/>
      <c r="TL116" s="120"/>
      <c r="TM116" s="120"/>
      <c r="TN116" s="120"/>
      <c r="TO116" s="120"/>
      <c r="TP116" s="120"/>
      <c r="TQ116" s="120"/>
      <c r="TR116" s="120"/>
      <c r="TS116" s="120"/>
      <c r="TT116" s="120"/>
      <c r="TU116" s="120"/>
      <c r="TV116" s="120"/>
      <c r="TW116" s="120"/>
      <c r="TX116" s="120"/>
      <c r="TY116" s="120"/>
      <c r="TZ116" s="120"/>
      <c r="UA116" s="120"/>
      <c r="UB116" s="120"/>
      <c r="UC116" s="120"/>
      <c r="UD116" s="120"/>
      <c r="UE116" s="120"/>
      <c r="UF116" s="120"/>
      <c r="UG116" s="120"/>
      <c r="UH116" s="120"/>
      <c r="UI116" s="120"/>
      <c r="UJ116" s="120"/>
      <c r="UK116" s="120"/>
      <c r="UL116" s="120"/>
      <c r="UM116" s="120"/>
      <c r="UN116" s="120"/>
      <c r="UO116" s="120"/>
      <c r="UP116" s="120"/>
      <c r="UQ116" s="120"/>
      <c r="UR116" s="120"/>
      <c r="US116" s="120"/>
      <c r="UT116" s="120"/>
      <c r="UU116" s="120"/>
      <c r="UV116" s="120"/>
      <c r="UW116" s="120"/>
      <c r="UX116" s="120"/>
      <c r="UY116" s="120"/>
      <c r="UZ116" s="120"/>
      <c r="VA116" s="120"/>
      <c r="VB116" s="120"/>
      <c r="VC116" s="120"/>
      <c r="VD116" s="120"/>
      <c r="VE116" s="120"/>
      <c r="VF116" s="120"/>
      <c r="VG116" s="120"/>
      <c r="VH116" s="120"/>
      <c r="VI116" s="120"/>
      <c r="VJ116" s="120"/>
      <c r="VK116" s="120"/>
      <c r="VL116" s="120"/>
      <c r="VM116" s="120"/>
      <c r="VN116" s="120"/>
      <c r="VO116" s="120"/>
      <c r="VP116" s="120"/>
      <c r="VQ116" s="120"/>
      <c r="VR116" s="120"/>
      <c r="VS116" s="120"/>
      <c r="VT116" s="120"/>
      <c r="VU116" s="120"/>
      <c r="VV116" s="120"/>
      <c r="VW116" s="120"/>
      <c r="VX116" s="120"/>
      <c r="VY116" s="120"/>
      <c r="VZ116" s="120"/>
      <c r="WA116" s="120"/>
      <c r="WB116" s="120"/>
      <c r="WC116" s="120"/>
      <c r="WD116" s="120"/>
      <c r="WE116" s="120"/>
      <c r="WF116" s="120"/>
      <c r="WG116" s="120"/>
      <c r="WH116" s="120"/>
      <c r="WI116" s="120"/>
      <c r="WJ116" s="120"/>
      <c r="WK116" s="120"/>
      <c r="WL116" s="120"/>
      <c r="WM116" s="120"/>
      <c r="WN116" s="120"/>
      <c r="WO116" s="120"/>
      <c r="WP116" s="120"/>
      <c r="WQ116" s="120"/>
      <c r="WR116" s="120"/>
      <c r="WS116" s="120"/>
      <c r="WT116" s="120"/>
      <c r="WU116" s="120"/>
      <c r="WV116" s="120"/>
      <c r="WW116" s="120"/>
      <c r="WX116" s="120"/>
      <c r="WY116" s="120"/>
      <c r="WZ116" s="120"/>
      <c r="XA116" s="120"/>
      <c r="XB116" s="120"/>
      <c r="XC116" s="120"/>
      <c r="XD116" s="120"/>
      <c r="XE116" s="120"/>
      <c r="XF116" s="120"/>
      <c r="XG116" s="120"/>
      <c r="XH116" s="120"/>
      <c r="XI116" s="120"/>
      <c r="XJ116" s="120"/>
      <c r="XK116" s="120"/>
      <c r="XL116" s="120"/>
      <c r="XM116" s="120"/>
      <c r="XN116" s="120"/>
      <c r="XO116" s="120"/>
      <c r="XP116" s="120"/>
      <c r="XQ116" s="120"/>
      <c r="XR116" s="120"/>
      <c r="XS116" s="120"/>
      <c r="XT116" s="120"/>
      <c r="XU116" s="120"/>
      <c r="XV116" s="120"/>
      <c r="XW116" s="120"/>
      <c r="XX116" s="120"/>
      <c r="XY116" s="120"/>
      <c r="XZ116" s="120"/>
      <c r="YA116" s="120"/>
      <c r="YB116" s="120"/>
      <c r="YC116" s="120"/>
      <c r="YD116" s="120"/>
      <c r="YE116" s="120"/>
      <c r="YF116" s="120"/>
      <c r="YG116" s="120"/>
      <c r="YH116" s="120"/>
      <c r="YI116" s="120"/>
      <c r="YJ116" s="120"/>
      <c r="YK116" s="120"/>
      <c r="YL116" s="120"/>
      <c r="YM116" s="120"/>
      <c r="YN116" s="120"/>
      <c r="YO116" s="120"/>
      <c r="YP116" s="120"/>
      <c r="YQ116" s="120"/>
      <c r="YR116" s="120"/>
      <c r="YS116" s="120"/>
      <c r="YT116" s="120"/>
      <c r="YU116" s="120"/>
      <c r="YV116" s="120"/>
      <c r="YW116" s="120"/>
      <c r="YX116" s="120"/>
      <c r="YY116" s="120"/>
      <c r="YZ116" s="120"/>
      <c r="ZA116" s="120"/>
      <c r="ZB116" s="120"/>
      <c r="ZC116" s="120"/>
      <c r="ZD116" s="120"/>
      <c r="ZE116" s="120"/>
      <c r="ZF116" s="120"/>
      <c r="ZG116" s="120"/>
      <c r="ZH116" s="120"/>
      <c r="ZI116" s="120"/>
      <c r="ZJ116" s="120"/>
      <c r="ZK116" s="120"/>
      <c r="ZL116" s="120"/>
      <c r="ZM116" s="120"/>
      <c r="ZN116" s="120"/>
      <c r="ZO116" s="120"/>
      <c r="ZP116" s="120"/>
      <c r="ZQ116" s="120"/>
      <c r="ZR116" s="120"/>
      <c r="ZS116" s="120"/>
      <c r="ZT116" s="120"/>
      <c r="ZU116" s="120"/>
      <c r="ZV116" s="120"/>
      <c r="ZW116" s="120"/>
      <c r="ZX116" s="120"/>
      <c r="ZY116" s="120"/>
      <c r="ZZ116" s="120"/>
      <c r="AAA116" s="120"/>
      <c r="AAB116" s="120"/>
      <c r="AAC116" s="120"/>
      <c r="AAD116" s="120"/>
      <c r="AAE116" s="120"/>
      <c r="AAF116" s="120"/>
      <c r="AAG116" s="120"/>
      <c r="AAH116" s="120"/>
      <c r="AAI116" s="120"/>
      <c r="AAJ116" s="120"/>
      <c r="AAK116" s="120"/>
      <c r="AAL116" s="120"/>
      <c r="AAM116" s="120"/>
      <c r="AAN116" s="120"/>
      <c r="AAO116" s="120"/>
      <c r="AAP116" s="120"/>
      <c r="AAQ116" s="120"/>
      <c r="AAR116" s="120"/>
      <c r="AAS116" s="120"/>
      <c r="AAT116" s="120"/>
      <c r="AAU116" s="120"/>
      <c r="AAV116" s="120"/>
      <c r="AAW116" s="120"/>
      <c r="AAX116" s="120"/>
      <c r="AAY116" s="120"/>
      <c r="AAZ116" s="120"/>
      <c r="ABA116" s="120"/>
      <c r="ABB116" s="120"/>
      <c r="ABC116" s="120"/>
      <c r="ABD116" s="120"/>
      <c r="ABE116" s="120"/>
      <c r="ABF116" s="120"/>
      <c r="ABG116" s="120"/>
      <c r="ABH116" s="120"/>
      <c r="ABI116" s="120"/>
      <c r="ABJ116" s="120"/>
      <c r="ABK116" s="120"/>
      <c r="ABL116" s="120"/>
      <c r="ABM116" s="120"/>
      <c r="ABN116" s="120"/>
      <c r="ABO116" s="120"/>
      <c r="ABP116" s="120"/>
      <c r="ABQ116" s="120"/>
      <c r="ABR116" s="120"/>
      <c r="ABS116" s="120"/>
      <c r="ABT116" s="120"/>
      <c r="ABU116" s="120"/>
      <c r="ABV116" s="120"/>
      <c r="ABW116" s="120"/>
      <c r="ABX116" s="120"/>
      <c r="ABY116" s="120"/>
      <c r="ABZ116" s="120"/>
      <c r="ACA116" s="120"/>
      <c r="ACB116" s="120"/>
      <c r="ACC116" s="120"/>
      <c r="ACD116" s="120"/>
      <c r="ACE116" s="120"/>
      <c r="ACF116" s="120"/>
      <c r="ACG116" s="120"/>
      <c r="ACH116" s="120"/>
      <c r="ACI116" s="120"/>
      <c r="ACJ116" s="120"/>
      <c r="ACK116" s="120"/>
      <c r="ACL116" s="120"/>
      <c r="ACM116" s="120"/>
      <c r="ACN116" s="120"/>
      <c r="ACO116" s="120"/>
      <c r="ACP116" s="120"/>
      <c r="ACQ116" s="120"/>
      <c r="ACR116" s="120"/>
      <c r="ACS116" s="120"/>
      <c r="ACT116" s="120"/>
      <c r="ACU116" s="120"/>
      <c r="ACV116" s="120"/>
      <c r="ACW116" s="120"/>
      <c r="ACX116" s="120"/>
      <c r="ACY116" s="120"/>
      <c r="ACZ116" s="120"/>
      <c r="ADA116" s="120"/>
      <c r="ADB116" s="120"/>
      <c r="ADC116" s="120"/>
      <c r="ADD116" s="120"/>
      <c r="ADE116" s="120"/>
      <c r="ADF116" s="120"/>
      <c r="ADG116" s="120"/>
      <c r="ADH116" s="120"/>
      <c r="ADI116" s="120"/>
      <c r="ADJ116" s="120"/>
      <c r="ADK116" s="120"/>
      <c r="ADL116" s="120"/>
      <c r="ADM116" s="120"/>
      <c r="ADN116" s="120"/>
      <c r="ADO116" s="120"/>
      <c r="ADP116" s="120"/>
      <c r="ADQ116" s="120"/>
      <c r="ADR116" s="120"/>
      <c r="ADS116" s="120"/>
      <c r="ADT116" s="120"/>
      <c r="ADU116" s="120"/>
      <c r="ADV116" s="120"/>
      <c r="ADW116" s="120"/>
      <c r="ADX116" s="120"/>
      <c r="ADY116" s="120"/>
      <c r="ADZ116" s="120"/>
      <c r="AEA116" s="120"/>
      <c r="AEB116" s="120"/>
      <c r="AEC116" s="120"/>
      <c r="AED116" s="120"/>
      <c r="AEE116" s="120"/>
      <c r="AEF116" s="120"/>
      <c r="AEG116" s="120"/>
      <c r="AEH116" s="120"/>
      <c r="AEI116" s="120"/>
      <c r="AEJ116" s="120"/>
      <c r="AEK116" s="120"/>
      <c r="AEL116" s="120"/>
      <c r="AEM116" s="120"/>
      <c r="AEN116" s="120"/>
      <c r="AEO116" s="120"/>
      <c r="AEP116" s="120"/>
      <c r="AEQ116" s="120"/>
      <c r="AER116" s="120"/>
      <c r="AES116" s="120"/>
      <c r="AET116" s="120"/>
      <c r="AEU116" s="120"/>
      <c r="AEV116" s="120"/>
      <c r="AEW116" s="120"/>
      <c r="AEX116" s="120"/>
      <c r="AEY116" s="120"/>
      <c r="AEZ116" s="120"/>
      <c r="AFA116" s="120"/>
      <c r="AFB116" s="120"/>
      <c r="AFC116" s="120"/>
      <c r="AFD116" s="120"/>
      <c r="AFE116" s="120"/>
      <c r="AFF116" s="120"/>
      <c r="AFG116" s="120"/>
      <c r="AFH116" s="120"/>
      <c r="AFI116" s="120"/>
      <c r="AFJ116" s="120"/>
      <c r="AFK116" s="120"/>
      <c r="AFL116" s="120"/>
      <c r="AFM116" s="120"/>
      <c r="AFN116" s="120"/>
      <c r="AFO116" s="120"/>
      <c r="AFP116" s="120"/>
      <c r="AFQ116" s="120"/>
      <c r="AFR116" s="120"/>
      <c r="AFS116" s="120"/>
      <c r="AFT116" s="120"/>
      <c r="AFU116" s="120"/>
      <c r="AFV116" s="120"/>
      <c r="AFW116" s="120"/>
      <c r="AFX116" s="120"/>
      <c r="AFY116" s="120"/>
      <c r="AFZ116" s="120"/>
      <c r="AGA116" s="120"/>
      <c r="AGB116" s="120"/>
      <c r="AGC116" s="120"/>
      <c r="AGD116" s="120"/>
      <c r="AGE116" s="120"/>
      <c r="AGF116" s="120"/>
      <c r="AGG116" s="120"/>
      <c r="AGH116" s="120"/>
      <c r="AGI116" s="120"/>
      <c r="AGJ116" s="120"/>
      <c r="AGK116" s="120"/>
      <c r="AGL116" s="120"/>
      <c r="AGM116" s="120"/>
      <c r="AGN116" s="120"/>
      <c r="AGO116" s="120"/>
      <c r="AGP116" s="120"/>
      <c r="AGQ116" s="120"/>
      <c r="AGR116" s="120"/>
      <c r="AGS116" s="120"/>
      <c r="AGT116" s="120"/>
      <c r="AGU116" s="120"/>
      <c r="AGV116" s="120"/>
      <c r="AGW116" s="120"/>
      <c r="AGX116" s="120"/>
      <c r="AGY116" s="120"/>
      <c r="AGZ116" s="120"/>
      <c r="AHA116" s="120"/>
      <c r="AHB116" s="120"/>
      <c r="AHC116" s="120"/>
      <c r="AHD116" s="120"/>
      <c r="AHE116" s="120"/>
      <c r="AHF116" s="120"/>
      <c r="AHG116" s="120"/>
      <c r="AHH116" s="120"/>
      <c r="AHI116" s="120"/>
      <c r="AHJ116" s="120"/>
      <c r="AHK116" s="120"/>
      <c r="AHL116" s="120"/>
      <c r="AHM116" s="120"/>
      <c r="AHN116" s="120"/>
      <c r="AHO116" s="120"/>
      <c r="AHP116" s="120"/>
      <c r="AHQ116" s="120"/>
      <c r="AHR116" s="120"/>
      <c r="AHS116" s="120"/>
      <c r="AHT116" s="120"/>
      <c r="AHU116" s="120"/>
      <c r="AHV116" s="120"/>
      <c r="AHW116" s="120"/>
      <c r="AHX116" s="120"/>
      <c r="AHY116" s="120"/>
      <c r="AHZ116" s="120"/>
      <c r="AIA116" s="120"/>
      <c r="AIB116" s="120"/>
      <c r="AIC116" s="120"/>
      <c r="AID116" s="120"/>
      <c r="AIE116" s="120"/>
      <c r="AIF116" s="120"/>
      <c r="AIG116" s="120"/>
      <c r="AIH116" s="120"/>
      <c r="AII116" s="120"/>
      <c r="AIJ116" s="120"/>
      <c r="AIK116" s="120"/>
      <c r="AIL116" s="120"/>
      <c r="AIM116" s="120"/>
      <c r="AIN116" s="120"/>
      <c r="AIO116" s="120"/>
      <c r="AIP116" s="120"/>
      <c r="AIQ116" s="120"/>
      <c r="AIR116" s="120"/>
      <c r="AIS116" s="120"/>
      <c r="AIT116" s="120"/>
      <c r="AIU116" s="120"/>
      <c r="AIV116" s="120"/>
      <c r="AIW116" s="120"/>
      <c r="AIX116" s="120"/>
      <c r="AIY116" s="120"/>
      <c r="AIZ116" s="120"/>
    </row>
    <row r="117">
      <c r="A117" s="112" t="s">
        <v>7</v>
      </c>
      <c r="B117" s="112" t="s">
        <v>41</v>
      </c>
      <c r="C117" s="112"/>
      <c r="D117" s="113">
        <f t="shared" si="1"/>
        <v>590.9939</v>
      </c>
      <c r="E117" s="112">
        <v>66.0115166666667</v>
      </c>
      <c r="F117" s="113"/>
      <c r="G117" s="113"/>
      <c r="H117" s="113"/>
      <c r="I117" s="113"/>
      <c r="J117" s="113"/>
      <c r="K117" s="113"/>
      <c r="L117" s="112">
        <v>1.38138333333333</v>
      </c>
      <c r="M117" s="112">
        <v>10.5049833333333</v>
      </c>
      <c r="N117" s="113"/>
      <c r="O117" s="113"/>
      <c r="P117" s="112">
        <v>135.1711</v>
      </c>
      <c r="Q117" s="113"/>
      <c r="R117" s="113"/>
      <c r="S117" s="113"/>
      <c r="T117" s="113"/>
      <c r="U117" s="113"/>
      <c r="V117" s="112">
        <v>1.05065</v>
      </c>
      <c r="W117" s="112">
        <v>48.8366833333332</v>
      </c>
      <c r="X117" s="113"/>
      <c r="Y117" s="113"/>
      <c r="Z117" s="113"/>
      <c r="AA117" s="113"/>
      <c r="AB117" s="113"/>
      <c r="AC117" s="112">
        <v>0.469083333333333</v>
      </c>
      <c r="AD117" s="112">
        <v>143.164716666667</v>
      </c>
      <c r="AE117" s="113"/>
      <c r="AF117" s="113"/>
      <c r="AG117" s="113"/>
      <c r="AH117" s="113"/>
      <c r="AI117" s="113"/>
      <c r="AJ117" s="112">
        <v>3.0134</v>
      </c>
      <c r="AK117" s="112">
        <v>34.1094833333333</v>
      </c>
      <c r="AL117" s="113"/>
      <c r="AM117" s="113"/>
      <c r="AN117" s="113"/>
      <c r="AO117" s="112">
        <v>3.9214</v>
      </c>
      <c r="AP117" s="112">
        <v>10.2883666666667</v>
      </c>
      <c r="AQ117" s="113"/>
      <c r="AR117" s="113"/>
      <c r="AS117" s="112">
        <v>2.64168333333333</v>
      </c>
      <c r="AT117" s="112">
        <v>121.966533333333</v>
      </c>
      <c r="AU117" s="113"/>
      <c r="AV117" s="112">
        <v>7.65363333333334</v>
      </c>
      <c r="AW117" s="112">
        <v>0.809283333333333</v>
      </c>
      <c r="AX117" s="113"/>
      <c r="AY117" s="113"/>
      <c r="AZ117" s="113"/>
      <c r="BA117" s="113"/>
      <c r="BB117" s="113"/>
      <c r="BC117" s="113"/>
      <c r="BD117" s="113"/>
      <c r="BE117" s="113"/>
      <c r="BF117" s="113"/>
      <c r="BG117" s="113"/>
      <c r="BH117" s="113"/>
      <c r="BI117" s="113"/>
      <c r="BJ117" s="113"/>
      <c r="BK117" s="113"/>
      <c r="BL117" s="113"/>
      <c r="BM117" s="113"/>
      <c r="BN117" s="113"/>
      <c r="BO117" s="113"/>
      <c r="BP117" s="113"/>
      <c r="BQ117" s="113"/>
      <c r="BR117" s="113"/>
      <c r="BS117" s="113"/>
      <c r="BT117" s="113"/>
      <c r="BU117" s="113"/>
      <c r="BV117" s="113"/>
      <c r="BW117" s="113"/>
      <c r="BX117" s="113"/>
      <c r="BY117" s="113"/>
      <c r="BZ117" s="113"/>
      <c r="CA117" s="113"/>
      <c r="CB117" s="113"/>
      <c r="CC117" s="113"/>
      <c r="CD117" s="113"/>
      <c r="CE117" s="113"/>
      <c r="CF117" s="113"/>
      <c r="CG117" s="113"/>
      <c r="CH117" s="113"/>
      <c r="CI117" s="113"/>
      <c r="CJ117" s="113"/>
      <c r="CK117" s="113"/>
      <c r="CL117" s="113"/>
      <c r="CM117" s="113"/>
      <c r="CN117" s="113"/>
      <c r="CO117" s="113"/>
      <c r="CP117" s="113"/>
      <c r="CQ117" s="113"/>
      <c r="CR117" s="113"/>
      <c r="CS117" s="113"/>
      <c r="CT117" s="113"/>
      <c r="CU117" s="113"/>
      <c r="CV117" s="113"/>
      <c r="CW117" s="113"/>
      <c r="CX117" s="113"/>
      <c r="CY117" s="113"/>
      <c r="CZ117" s="113"/>
      <c r="DA117" s="113"/>
      <c r="DB117" s="113"/>
      <c r="DC117" s="113"/>
      <c r="DD117" s="113"/>
      <c r="DE117" s="113"/>
      <c r="DF117" s="113"/>
      <c r="DG117" s="113"/>
      <c r="DH117" s="113"/>
      <c r="DI117" s="113"/>
      <c r="DJ117" s="113"/>
      <c r="DK117" s="113"/>
      <c r="DL117" s="113"/>
      <c r="DM117" s="113"/>
      <c r="DN117" s="113"/>
      <c r="DO117" s="113"/>
      <c r="DP117" s="113"/>
      <c r="DQ117" s="113"/>
      <c r="DR117" s="113"/>
      <c r="DS117" s="113"/>
      <c r="DT117" s="113"/>
      <c r="DU117" s="113"/>
      <c r="DV117" s="113"/>
      <c r="DW117" s="113"/>
      <c r="DX117" s="113"/>
      <c r="DY117" s="113"/>
      <c r="DZ117" s="113"/>
      <c r="EA117" s="113"/>
      <c r="EB117" s="113"/>
      <c r="EC117" s="113"/>
      <c r="ED117" s="113"/>
      <c r="EE117" s="113"/>
      <c r="EF117" s="113"/>
      <c r="EG117" s="113"/>
      <c r="EH117" s="113"/>
      <c r="EI117" s="113"/>
      <c r="EJ117" s="113"/>
      <c r="EK117" s="113"/>
      <c r="EL117" s="113"/>
      <c r="EM117" s="113"/>
      <c r="EN117" s="113"/>
      <c r="EO117" s="113"/>
      <c r="EP117" s="113"/>
      <c r="EQ117" s="113"/>
      <c r="ER117" s="113"/>
      <c r="ES117" s="113"/>
      <c r="ET117" s="113"/>
      <c r="EU117" s="113"/>
      <c r="EV117" s="113"/>
      <c r="EW117" s="113"/>
      <c r="EX117" s="113"/>
      <c r="EY117" s="113"/>
      <c r="EZ117" s="113"/>
      <c r="FA117" s="113"/>
      <c r="FB117" s="113"/>
      <c r="FC117" s="113"/>
      <c r="FD117" s="113"/>
      <c r="FE117" s="113"/>
      <c r="FF117" s="113"/>
      <c r="FG117" s="113"/>
      <c r="FH117" s="113"/>
      <c r="FI117" s="113"/>
      <c r="FJ117" s="113"/>
      <c r="FK117" s="113"/>
      <c r="FL117" s="113"/>
      <c r="FM117" s="113"/>
      <c r="FN117" s="113"/>
      <c r="FO117" s="113"/>
      <c r="FP117" s="113"/>
      <c r="FQ117" s="113"/>
      <c r="FR117" s="113"/>
      <c r="FS117" s="113"/>
      <c r="FT117" s="113"/>
      <c r="FU117" s="113"/>
      <c r="FV117" s="113"/>
      <c r="FW117" s="113"/>
      <c r="FX117" s="113"/>
      <c r="FY117" s="113"/>
      <c r="FZ117" s="113"/>
      <c r="GA117" s="113"/>
      <c r="GB117" s="113"/>
      <c r="GC117" s="113"/>
      <c r="GD117" s="113"/>
      <c r="GE117" s="113"/>
      <c r="GF117" s="113"/>
      <c r="GG117" s="113"/>
      <c r="GH117" s="113"/>
      <c r="GI117" s="113"/>
      <c r="GJ117" s="113"/>
      <c r="GK117" s="113"/>
      <c r="GL117" s="113"/>
      <c r="GM117" s="113"/>
      <c r="GN117" s="113"/>
      <c r="GO117" s="113"/>
      <c r="GP117" s="113"/>
      <c r="GQ117" s="113"/>
      <c r="GR117" s="113"/>
      <c r="GS117" s="113"/>
      <c r="GT117" s="113"/>
      <c r="GU117" s="113"/>
      <c r="GV117" s="113"/>
      <c r="GW117" s="113"/>
      <c r="GX117" s="113"/>
      <c r="GY117" s="113"/>
      <c r="GZ117" s="113"/>
      <c r="HA117" s="113"/>
      <c r="HB117" s="113"/>
      <c r="HC117" s="113"/>
      <c r="HD117" s="113"/>
      <c r="HE117" s="113"/>
      <c r="HF117" s="113"/>
      <c r="HG117" s="113"/>
      <c r="HH117" s="113"/>
      <c r="HI117" s="113"/>
      <c r="HJ117" s="113"/>
      <c r="HK117" s="113"/>
      <c r="HL117" s="113"/>
      <c r="HM117" s="113"/>
      <c r="HN117" s="113"/>
      <c r="HO117" s="113"/>
      <c r="HP117" s="113"/>
      <c r="HQ117" s="113"/>
      <c r="HR117" s="113"/>
      <c r="HS117" s="113"/>
      <c r="HT117" s="113"/>
      <c r="HU117" s="113"/>
      <c r="HV117" s="113"/>
      <c r="HW117" s="113"/>
      <c r="HX117" s="113"/>
      <c r="HY117" s="113"/>
      <c r="HZ117" s="113"/>
      <c r="IA117" s="113"/>
      <c r="IB117" s="113"/>
      <c r="IC117" s="113"/>
      <c r="ID117" s="113"/>
      <c r="IE117" s="113"/>
      <c r="IF117" s="113"/>
      <c r="IG117" s="113"/>
      <c r="IH117" s="113"/>
      <c r="II117" s="113"/>
      <c r="IJ117" s="113"/>
      <c r="IK117" s="113"/>
      <c r="IL117" s="113"/>
      <c r="IM117" s="113"/>
      <c r="IN117" s="113"/>
      <c r="IO117" s="113"/>
      <c r="IP117" s="113"/>
      <c r="IQ117" s="113"/>
      <c r="IR117" s="113"/>
      <c r="IS117" s="113"/>
      <c r="IT117" s="113"/>
      <c r="IU117" s="113"/>
      <c r="IV117" s="113"/>
      <c r="IW117" s="113"/>
      <c r="IX117" s="113"/>
      <c r="IY117" s="113"/>
      <c r="IZ117" s="113"/>
      <c r="JA117" s="113"/>
      <c r="JB117" s="113"/>
      <c r="JC117" s="113"/>
      <c r="JD117" s="113"/>
      <c r="JE117" s="113"/>
      <c r="JF117" s="113"/>
      <c r="JG117" s="113"/>
      <c r="JH117" s="113"/>
      <c r="JI117" s="113"/>
      <c r="JJ117" s="113"/>
      <c r="JK117" s="113"/>
      <c r="JL117" s="113"/>
      <c r="JM117" s="113"/>
      <c r="JN117" s="113"/>
      <c r="JO117" s="113"/>
      <c r="JP117" s="113"/>
      <c r="JQ117" s="113"/>
      <c r="JR117" s="113"/>
      <c r="JS117" s="113"/>
      <c r="JT117" s="113"/>
      <c r="JU117" s="113"/>
      <c r="JV117" s="113"/>
      <c r="JW117" s="113"/>
      <c r="JX117" s="113"/>
      <c r="JY117" s="113"/>
      <c r="JZ117" s="113"/>
      <c r="KA117" s="113"/>
      <c r="KB117" s="113"/>
      <c r="KC117" s="113"/>
      <c r="KD117" s="113"/>
      <c r="KE117" s="113"/>
      <c r="KF117" s="113"/>
      <c r="KG117" s="113"/>
      <c r="KH117" s="113"/>
      <c r="KI117" s="113"/>
      <c r="KJ117" s="113"/>
      <c r="KK117" s="113"/>
      <c r="KL117" s="113"/>
      <c r="KM117" s="113"/>
      <c r="KN117" s="113"/>
      <c r="KO117" s="113"/>
      <c r="KP117" s="113"/>
      <c r="KQ117" s="113"/>
      <c r="KR117" s="113"/>
      <c r="KS117" s="113"/>
      <c r="KT117" s="113"/>
      <c r="KU117" s="113"/>
      <c r="KV117" s="113"/>
      <c r="KW117" s="113"/>
      <c r="KX117" s="113"/>
      <c r="KY117" s="113"/>
      <c r="KZ117" s="113"/>
      <c r="LA117" s="113"/>
      <c r="LB117" s="113"/>
      <c r="LC117" s="113"/>
      <c r="LD117" s="113"/>
      <c r="LE117" s="113"/>
      <c r="LF117" s="113"/>
      <c r="LG117" s="113"/>
      <c r="LH117" s="113"/>
      <c r="LI117" s="113"/>
      <c r="LJ117" s="113"/>
      <c r="LK117" s="113"/>
      <c r="LL117" s="113"/>
      <c r="LM117" s="113"/>
      <c r="LN117" s="113"/>
      <c r="LO117" s="113"/>
      <c r="LP117" s="113"/>
      <c r="LQ117" s="113"/>
      <c r="LR117" s="113"/>
      <c r="LS117" s="113"/>
      <c r="LT117" s="113"/>
      <c r="LU117" s="113"/>
      <c r="LV117" s="113"/>
      <c r="LW117" s="113"/>
      <c r="LX117" s="113"/>
      <c r="LY117" s="113"/>
      <c r="LZ117" s="113"/>
      <c r="MA117" s="113"/>
      <c r="MB117" s="113"/>
      <c r="MC117" s="113"/>
      <c r="MD117" s="113"/>
      <c r="ME117" s="113"/>
      <c r="MF117" s="113"/>
      <c r="MG117" s="113"/>
      <c r="MH117" s="113"/>
      <c r="MI117" s="113"/>
      <c r="MJ117" s="113"/>
      <c r="MK117" s="113"/>
      <c r="ML117" s="113"/>
      <c r="MM117" s="113"/>
      <c r="MN117" s="113"/>
      <c r="MO117" s="113"/>
      <c r="MP117" s="113"/>
      <c r="MQ117" s="113"/>
      <c r="MR117" s="113"/>
      <c r="MS117" s="113"/>
      <c r="MT117" s="113"/>
      <c r="MU117" s="113"/>
      <c r="MV117" s="113"/>
      <c r="MW117" s="113"/>
      <c r="MX117" s="113"/>
      <c r="MY117" s="113"/>
      <c r="MZ117" s="113"/>
      <c r="NA117" s="113"/>
      <c r="NB117" s="113"/>
      <c r="NC117" s="113"/>
      <c r="ND117" s="113"/>
      <c r="NE117" s="113"/>
      <c r="NF117" s="113"/>
      <c r="NG117" s="113"/>
      <c r="NH117" s="113"/>
      <c r="NI117" s="113"/>
      <c r="NJ117" s="113"/>
      <c r="NK117" s="113"/>
      <c r="NL117" s="113"/>
      <c r="NM117" s="113"/>
      <c r="NN117" s="113"/>
      <c r="NO117" s="113"/>
      <c r="NP117" s="113"/>
      <c r="NQ117" s="113"/>
      <c r="NR117" s="113"/>
      <c r="NS117" s="113"/>
      <c r="NT117" s="113"/>
      <c r="NU117" s="113"/>
      <c r="NV117" s="113"/>
      <c r="NW117" s="113"/>
      <c r="NX117" s="113"/>
      <c r="NY117" s="113"/>
      <c r="NZ117" s="113"/>
      <c r="OA117" s="113"/>
      <c r="OB117" s="113"/>
      <c r="OC117" s="113"/>
      <c r="OD117" s="113"/>
      <c r="OE117" s="113"/>
      <c r="OF117" s="113"/>
      <c r="OG117" s="113"/>
      <c r="OH117" s="113"/>
      <c r="OI117" s="113"/>
      <c r="OJ117" s="113"/>
      <c r="OK117" s="113"/>
      <c r="OL117" s="113"/>
      <c r="OM117" s="113"/>
      <c r="ON117" s="113"/>
      <c r="OO117" s="113"/>
      <c r="OP117" s="113"/>
      <c r="OQ117" s="113"/>
      <c r="OR117" s="113"/>
      <c r="OS117" s="113"/>
      <c r="OT117" s="113"/>
      <c r="OU117" s="113"/>
      <c r="OV117" s="113"/>
      <c r="OW117" s="113"/>
      <c r="OX117" s="113"/>
      <c r="OY117" s="113"/>
      <c r="OZ117" s="113"/>
      <c r="PA117" s="113"/>
      <c r="PB117" s="113"/>
      <c r="PC117" s="113"/>
      <c r="PD117" s="113"/>
      <c r="PE117" s="113"/>
      <c r="PF117" s="113"/>
      <c r="PG117" s="113"/>
      <c r="PH117" s="113"/>
      <c r="PI117" s="113"/>
      <c r="PJ117" s="113"/>
      <c r="PK117" s="113"/>
      <c r="PL117" s="113"/>
      <c r="PM117" s="113"/>
      <c r="PN117" s="113"/>
      <c r="PO117" s="113"/>
      <c r="PP117" s="113"/>
      <c r="PQ117" s="113"/>
      <c r="PR117" s="113"/>
      <c r="PS117" s="113"/>
      <c r="PT117" s="113"/>
      <c r="PU117" s="113"/>
      <c r="PV117" s="113"/>
      <c r="PW117" s="113"/>
      <c r="PX117" s="113"/>
      <c r="PY117" s="113"/>
      <c r="PZ117" s="113"/>
      <c r="QA117" s="113"/>
      <c r="QB117" s="113"/>
      <c r="QC117" s="113"/>
      <c r="QD117" s="113"/>
      <c r="QE117" s="113"/>
      <c r="QF117" s="113"/>
      <c r="QG117" s="113"/>
      <c r="QH117" s="113"/>
      <c r="QI117" s="113"/>
      <c r="QJ117" s="113"/>
      <c r="QK117" s="113"/>
      <c r="QL117" s="113"/>
      <c r="QM117" s="113"/>
      <c r="QN117" s="113"/>
      <c r="QO117" s="113"/>
      <c r="QP117" s="113"/>
      <c r="QQ117" s="113"/>
      <c r="QR117" s="113"/>
      <c r="QS117" s="113"/>
      <c r="QT117" s="113"/>
      <c r="QU117" s="113"/>
      <c r="QV117" s="113"/>
      <c r="QW117" s="113"/>
      <c r="QX117" s="113"/>
      <c r="QY117" s="113"/>
      <c r="QZ117" s="113"/>
      <c r="RA117" s="113"/>
      <c r="RB117" s="113"/>
      <c r="RC117" s="113"/>
      <c r="RD117" s="113"/>
      <c r="RE117" s="113"/>
      <c r="RF117" s="113"/>
      <c r="RG117" s="113"/>
      <c r="RH117" s="113"/>
      <c r="RI117" s="113"/>
      <c r="RJ117" s="113"/>
      <c r="RK117" s="113"/>
      <c r="RL117" s="113"/>
      <c r="RM117" s="113"/>
      <c r="RN117" s="113"/>
      <c r="RO117" s="113"/>
      <c r="RP117" s="113"/>
      <c r="RQ117" s="113"/>
      <c r="RR117" s="113"/>
      <c r="RS117" s="113"/>
      <c r="RT117" s="113"/>
      <c r="RU117" s="113"/>
      <c r="RV117" s="113"/>
      <c r="RW117" s="113"/>
      <c r="RX117" s="113"/>
      <c r="RY117" s="113"/>
      <c r="RZ117" s="113"/>
      <c r="SA117" s="113"/>
      <c r="SB117" s="113"/>
      <c r="SC117" s="113"/>
      <c r="SD117" s="113"/>
      <c r="SE117" s="113"/>
      <c r="SF117" s="113"/>
      <c r="SG117" s="113"/>
      <c r="SH117" s="113"/>
      <c r="SI117" s="113"/>
      <c r="SJ117" s="113"/>
      <c r="SK117" s="113"/>
      <c r="SL117" s="113"/>
      <c r="SM117" s="113"/>
      <c r="SN117" s="113"/>
      <c r="SO117" s="113"/>
      <c r="SP117" s="113"/>
      <c r="SQ117" s="113"/>
      <c r="SR117" s="113"/>
      <c r="SS117" s="113"/>
      <c r="ST117" s="113"/>
      <c r="SU117" s="113"/>
      <c r="SV117" s="113"/>
      <c r="SW117" s="113"/>
      <c r="SX117" s="113"/>
      <c r="SY117" s="113"/>
      <c r="SZ117" s="113"/>
      <c r="TA117" s="113"/>
      <c r="TB117" s="113"/>
      <c r="TC117" s="113"/>
      <c r="TD117" s="113"/>
      <c r="TE117" s="113"/>
      <c r="TF117" s="113"/>
      <c r="TG117" s="113"/>
      <c r="TH117" s="113"/>
      <c r="TI117" s="113"/>
      <c r="TJ117" s="113"/>
      <c r="TK117" s="113"/>
      <c r="TL117" s="113"/>
      <c r="TM117" s="113"/>
      <c r="TN117" s="113"/>
      <c r="TO117" s="113"/>
      <c r="TP117" s="113"/>
      <c r="TQ117" s="113"/>
      <c r="TR117" s="113"/>
      <c r="TS117" s="113"/>
      <c r="TT117" s="113"/>
      <c r="TU117" s="113"/>
      <c r="TV117" s="113"/>
      <c r="TW117" s="113"/>
      <c r="TX117" s="113"/>
      <c r="TY117" s="113"/>
      <c r="TZ117" s="113"/>
      <c r="UA117" s="113"/>
      <c r="UB117" s="113"/>
      <c r="UC117" s="113"/>
      <c r="UD117" s="113"/>
      <c r="UE117" s="113"/>
      <c r="UF117" s="113"/>
      <c r="UG117" s="113"/>
      <c r="UH117" s="113"/>
      <c r="UI117" s="113"/>
      <c r="UJ117" s="113"/>
      <c r="UK117" s="113"/>
      <c r="UL117" s="113"/>
      <c r="UM117" s="113"/>
      <c r="UN117" s="113"/>
      <c r="UO117" s="113"/>
      <c r="UP117" s="113"/>
      <c r="UQ117" s="113"/>
      <c r="UR117" s="113"/>
      <c r="US117" s="113"/>
      <c r="UT117" s="113"/>
      <c r="UU117" s="113"/>
      <c r="UV117" s="113"/>
      <c r="UW117" s="113"/>
      <c r="UX117" s="113"/>
      <c r="UY117" s="113"/>
      <c r="UZ117" s="113"/>
      <c r="VA117" s="113"/>
      <c r="VB117" s="113"/>
      <c r="VC117" s="113"/>
      <c r="VD117" s="113"/>
      <c r="VE117" s="113"/>
      <c r="VF117" s="113"/>
      <c r="VG117" s="113"/>
      <c r="VH117" s="113"/>
      <c r="VI117" s="113"/>
      <c r="VJ117" s="113"/>
      <c r="VK117" s="113"/>
      <c r="VL117" s="113"/>
      <c r="VM117" s="113"/>
      <c r="VN117" s="113"/>
      <c r="VO117" s="113"/>
      <c r="VP117" s="113"/>
      <c r="VQ117" s="113"/>
      <c r="VR117" s="113"/>
      <c r="VS117" s="113"/>
      <c r="VT117" s="113"/>
      <c r="VU117" s="113"/>
      <c r="VV117" s="113"/>
      <c r="VW117" s="113"/>
      <c r="VX117" s="113"/>
      <c r="VY117" s="113"/>
      <c r="VZ117" s="113"/>
      <c r="WA117" s="113"/>
      <c r="WB117" s="113"/>
      <c r="WC117" s="113"/>
      <c r="WD117" s="113"/>
      <c r="WE117" s="113"/>
      <c r="WF117" s="113"/>
      <c r="WG117" s="113"/>
      <c r="WH117" s="113"/>
      <c r="WI117" s="113"/>
      <c r="WJ117" s="113"/>
      <c r="WK117" s="113"/>
      <c r="WL117" s="113"/>
      <c r="WM117" s="113"/>
      <c r="WN117" s="113"/>
      <c r="WO117" s="113"/>
      <c r="WP117" s="113"/>
      <c r="WQ117" s="113"/>
      <c r="WR117" s="113"/>
      <c r="WS117" s="113"/>
      <c r="WT117" s="113"/>
      <c r="WU117" s="113"/>
      <c r="WV117" s="113"/>
      <c r="WW117" s="113"/>
      <c r="WX117" s="113"/>
      <c r="WY117" s="113"/>
      <c r="WZ117" s="113"/>
      <c r="XA117" s="113"/>
      <c r="XB117" s="113"/>
      <c r="XC117" s="113"/>
      <c r="XD117" s="113"/>
      <c r="XE117" s="113"/>
      <c r="XF117" s="113"/>
      <c r="XG117" s="113"/>
      <c r="XH117" s="113"/>
      <c r="XI117" s="113"/>
      <c r="XJ117" s="113"/>
      <c r="XK117" s="113"/>
      <c r="XL117" s="113"/>
      <c r="XM117" s="113"/>
      <c r="XN117" s="113"/>
      <c r="XO117" s="113"/>
      <c r="XP117" s="113"/>
      <c r="XQ117" s="113"/>
      <c r="XR117" s="113"/>
      <c r="XS117" s="113"/>
      <c r="XT117" s="113"/>
      <c r="XU117" s="113"/>
      <c r="XV117" s="113"/>
      <c r="XW117" s="113"/>
      <c r="XX117" s="113"/>
      <c r="XY117" s="113"/>
      <c r="XZ117" s="113"/>
      <c r="YA117" s="113"/>
      <c r="YB117" s="113"/>
      <c r="YC117" s="113"/>
      <c r="YD117" s="113"/>
      <c r="YE117" s="113"/>
      <c r="YF117" s="113"/>
      <c r="YG117" s="113"/>
      <c r="YH117" s="113"/>
      <c r="YI117" s="113"/>
      <c r="YJ117" s="113"/>
      <c r="YK117" s="113"/>
      <c r="YL117" s="113"/>
      <c r="YM117" s="113"/>
      <c r="YN117" s="113"/>
      <c r="YO117" s="113"/>
      <c r="YP117" s="113"/>
      <c r="YQ117" s="113"/>
      <c r="YR117" s="113"/>
      <c r="YS117" s="113"/>
      <c r="YT117" s="113"/>
      <c r="YU117" s="113"/>
      <c r="YV117" s="113"/>
      <c r="YW117" s="113"/>
      <c r="YX117" s="113"/>
      <c r="YY117" s="113"/>
      <c r="YZ117" s="113"/>
      <c r="ZA117" s="113"/>
      <c r="ZB117" s="113"/>
      <c r="ZC117" s="113"/>
      <c r="ZD117" s="113"/>
      <c r="ZE117" s="113"/>
      <c r="ZF117" s="113"/>
      <c r="ZG117" s="113"/>
      <c r="ZH117" s="113"/>
      <c r="ZI117" s="113"/>
      <c r="ZJ117" s="113"/>
      <c r="ZK117" s="113"/>
      <c r="ZL117" s="113"/>
      <c r="ZM117" s="113"/>
      <c r="ZN117" s="113"/>
      <c r="ZO117" s="113"/>
      <c r="ZP117" s="113"/>
      <c r="ZQ117" s="113"/>
      <c r="ZR117" s="113"/>
      <c r="ZS117" s="113"/>
      <c r="ZT117" s="113"/>
      <c r="ZU117" s="113"/>
      <c r="ZV117" s="113"/>
      <c r="ZW117" s="113"/>
      <c r="ZX117" s="113"/>
      <c r="ZY117" s="113"/>
      <c r="ZZ117" s="113"/>
      <c r="AAA117" s="113"/>
      <c r="AAB117" s="113"/>
      <c r="AAC117" s="113"/>
      <c r="AAD117" s="113"/>
      <c r="AAE117" s="113"/>
      <c r="AAF117" s="113"/>
      <c r="AAG117" s="113"/>
      <c r="AAH117" s="113"/>
      <c r="AAI117" s="113"/>
      <c r="AAJ117" s="113"/>
      <c r="AAK117" s="113"/>
      <c r="AAL117" s="113"/>
      <c r="AAM117" s="113"/>
      <c r="AAN117" s="113"/>
      <c r="AAO117" s="113"/>
      <c r="AAP117" s="113"/>
      <c r="AAQ117" s="113"/>
      <c r="AAR117" s="113"/>
      <c r="AAS117" s="113"/>
      <c r="AAT117" s="113"/>
      <c r="AAU117" s="113"/>
      <c r="AAV117" s="113"/>
      <c r="AAW117" s="113"/>
      <c r="AAX117" s="113"/>
      <c r="AAY117" s="113"/>
      <c r="AAZ117" s="113"/>
      <c r="ABA117" s="113"/>
      <c r="ABB117" s="113"/>
      <c r="ABC117" s="113"/>
      <c r="ABD117" s="113"/>
      <c r="ABE117" s="113"/>
      <c r="ABF117" s="113"/>
      <c r="ABG117" s="113"/>
      <c r="ABH117" s="113"/>
      <c r="ABI117" s="113"/>
      <c r="ABJ117" s="113"/>
      <c r="ABK117" s="113"/>
      <c r="ABL117" s="113"/>
      <c r="ABM117" s="113"/>
      <c r="ABN117" s="113"/>
      <c r="ABO117" s="113"/>
      <c r="ABP117" s="113"/>
      <c r="ABQ117" s="113"/>
      <c r="ABR117" s="113"/>
      <c r="ABS117" s="113"/>
      <c r="ABT117" s="113"/>
      <c r="ABU117" s="113"/>
      <c r="ABV117" s="113"/>
      <c r="ABW117" s="113"/>
      <c r="ABX117" s="113"/>
      <c r="ABY117" s="113"/>
      <c r="ABZ117" s="113"/>
      <c r="ACA117" s="113"/>
      <c r="ACB117" s="113"/>
      <c r="ACC117" s="113"/>
      <c r="ACD117" s="113"/>
      <c r="ACE117" s="113"/>
      <c r="ACF117" s="113"/>
      <c r="ACG117" s="113"/>
      <c r="ACH117" s="113"/>
      <c r="ACI117" s="113"/>
      <c r="ACJ117" s="113"/>
      <c r="ACK117" s="113"/>
      <c r="ACL117" s="113"/>
      <c r="ACM117" s="113"/>
      <c r="ACN117" s="113"/>
      <c r="ACO117" s="113"/>
      <c r="ACP117" s="113"/>
      <c r="ACQ117" s="113"/>
      <c r="ACR117" s="113"/>
      <c r="ACS117" s="113"/>
      <c r="ACT117" s="113"/>
      <c r="ACU117" s="113"/>
      <c r="ACV117" s="113"/>
      <c r="ACW117" s="113"/>
      <c r="ACX117" s="113"/>
      <c r="ACY117" s="113"/>
      <c r="ACZ117" s="113"/>
      <c r="ADA117" s="113"/>
      <c r="ADB117" s="113"/>
      <c r="ADC117" s="113"/>
      <c r="ADD117" s="113"/>
      <c r="ADE117" s="113"/>
      <c r="ADF117" s="113"/>
      <c r="ADG117" s="113"/>
      <c r="ADH117" s="113"/>
      <c r="ADI117" s="113"/>
      <c r="ADJ117" s="113"/>
      <c r="ADK117" s="113"/>
      <c r="ADL117" s="113"/>
      <c r="ADM117" s="113"/>
      <c r="ADN117" s="113"/>
      <c r="ADO117" s="113"/>
      <c r="ADP117" s="113"/>
      <c r="ADQ117" s="113"/>
      <c r="ADR117" s="113"/>
      <c r="ADS117" s="113"/>
      <c r="ADT117" s="113"/>
      <c r="ADU117" s="113"/>
      <c r="ADV117" s="113"/>
      <c r="ADW117" s="113"/>
      <c r="ADX117" s="113"/>
      <c r="ADY117" s="113"/>
      <c r="ADZ117" s="113"/>
      <c r="AEA117" s="113"/>
      <c r="AEB117" s="113"/>
      <c r="AEC117" s="113"/>
      <c r="AED117" s="113"/>
      <c r="AEE117" s="113"/>
      <c r="AEF117" s="113"/>
      <c r="AEG117" s="113"/>
      <c r="AEH117" s="113"/>
      <c r="AEI117" s="113"/>
      <c r="AEJ117" s="113"/>
      <c r="AEK117" s="113"/>
      <c r="AEL117" s="113"/>
      <c r="AEM117" s="113"/>
      <c r="AEN117" s="113"/>
      <c r="AEO117" s="113"/>
      <c r="AEP117" s="113"/>
      <c r="AEQ117" s="113"/>
      <c r="AER117" s="113"/>
      <c r="AES117" s="113"/>
      <c r="AET117" s="113"/>
      <c r="AEU117" s="113"/>
      <c r="AEV117" s="113"/>
      <c r="AEW117" s="113"/>
      <c r="AEX117" s="113"/>
      <c r="AEY117" s="113"/>
      <c r="AEZ117" s="113"/>
      <c r="AFA117" s="113"/>
      <c r="AFB117" s="113"/>
      <c r="AFC117" s="113"/>
      <c r="AFD117" s="113"/>
      <c r="AFE117" s="113"/>
      <c r="AFF117" s="113"/>
      <c r="AFG117" s="113"/>
      <c r="AFH117" s="113"/>
      <c r="AFI117" s="113"/>
      <c r="AFJ117" s="113"/>
      <c r="AFK117" s="113"/>
      <c r="AFL117" s="113"/>
      <c r="AFM117" s="113"/>
      <c r="AFN117" s="113"/>
      <c r="AFO117" s="113"/>
      <c r="AFP117" s="113"/>
      <c r="AFQ117" s="113"/>
      <c r="AFR117" s="113"/>
      <c r="AFS117" s="113"/>
      <c r="AFT117" s="113"/>
      <c r="AFU117" s="113"/>
      <c r="AFV117" s="113"/>
      <c r="AFW117" s="113"/>
      <c r="AFX117" s="113"/>
      <c r="AFY117" s="113"/>
      <c r="AFZ117" s="113"/>
      <c r="AGA117" s="113"/>
      <c r="AGB117" s="113"/>
      <c r="AGC117" s="113"/>
      <c r="AGD117" s="113"/>
      <c r="AGE117" s="113"/>
      <c r="AGF117" s="113"/>
      <c r="AGG117" s="113"/>
      <c r="AGH117" s="113"/>
      <c r="AGI117" s="113"/>
      <c r="AGJ117" s="113"/>
      <c r="AGK117" s="113"/>
      <c r="AGL117" s="113"/>
      <c r="AGM117" s="113"/>
      <c r="AGN117" s="113"/>
      <c r="AGO117" s="113"/>
      <c r="AGP117" s="113"/>
      <c r="AGQ117" s="113"/>
      <c r="AGR117" s="113"/>
      <c r="AGS117" s="113"/>
      <c r="AGT117" s="113"/>
      <c r="AGU117" s="113"/>
      <c r="AGV117" s="113"/>
      <c r="AGW117" s="113"/>
      <c r="AGX117" s="113"/>
      <c r="AGY117" s="113"/>
      <c r="AGZ117" s="113"/>
      <c r="AHA117" s="113"/>
      <c r="AHB117" s="113"/>
      <c r="AHC117" s="113"/>
      <c r="AHD117" s="113"/>
      <c r="AHE117" s="113"/>
      <c r="AHF117" s="113"/>
      <c r="AHG117" s="113"/>
      <c r="AHH117" s="113"/>
      <c r="AHI117" s="113"/>
      <c r="AHJ117" s="113"/>
      <c r="AHK117" s="113"/>
      <c r="AHL117" s="113"/>
      <c r="AHM117" s="113"/>
      <c r="AHN117" s="113"/>
      <c r="AHO117" s="113"/>
      <c r="AHP117" s="113"/>
      <c r="AHQ117" s="113"/>
      <c r="AHR117" s="113"/>
      <c r="AHS117" s="113"/>
      <c r="AHT117" s="113"/>
      <c r="AHU117" s="113"/>
      <c r="AHV117" s="113"/>
      <c r="AHW117" s="113"/>
      <c r="AHX117" s="113"/>
      <c r="AHY117" s="113"/>
      <c r="AHZ117" s="113"/>
      <c r="AIA117" s="113"/>
      <c r="AIB117" s="113"/>
      <c r="AIC117" s="113"/>
      <c r="AID117" s="113"/>
      <c r="AIE117" s="113"/>
      <c r="AIF117" s="113"/>
      <c r="AIG117" s="113"/>
      <c r="AIH117" s="113"/>
      <c r="AII117" s="113"/>
      <c r="AIJ117" s="113"/>
      <c r="AIK117" s="113"/>
      <c r="AIL117" s="113"/>
      <c r="AIM117" s="113"/>
      <c r="AIN117" s="113"/>
      <c r="AIO117" s="113"/>
      <c r="AIP117" s="113"/>
      <c r="AIQ117" s="113"/>
      <c r="AIR117" s="113"/>
      <c r="AIS117" s="113"/>
      <c r="AIT117" s="113"/>
      <c r="AIU117" s="113"/>
      <c r="AIV117" s="113"/>
      <c r="AIW117" s="113"/>
      <c r="AIX117" s="113"/>
      <c r="AIY117" s="113"/>
      <c r="AIZ117" s="113"/>
    </row>
    <row r="118">
      <c r="A118" s="65" t="s">
        <v>7</v>
      </c>
      <c r="B118" s="65" t="s">
        <v>41</v>
      </c>
      <c r="C118" s="65"/>
      <c r="D118" s="64">
        <f t="shared" si="1"/>
        <v>540.3082333</v>
      </c>
      <c r="F118" s="65">
        <v>24.4507</v>
      </c>
      <c r="G118" s="65">
        <v>23.1297166666667</v>
      </c>
      <c r="H118" s="65">
        <v>5.149</v>
      </c>
      <c r="I118" s="65">
        <v>0.883033333333333</v>
      </c>
      <c r="J118" s="65">
        <v>0.498683333333333</v>
      </c>
      <c r="K118" s="65">
        <v>8.66461666666666</v>
      </c>
      <c r="N118" s="65">
        <v>9.67326666666667</v>
      </c>
      <c r="Q118" s="65">
        <v>60.65455</v>
      </c>
      <c r="R118" s="65">
        <v>18.2382666666667</v>
      </c>
      <c r="S118" s="65">
        <v>12.58225</v>
      </c>
      <c r="T118" s="65">
        <v>5.63643333333333</v>
      </c>
      <c r="U118" s="65">
        <v>31.957</v>
      </c>
      <c r="X118" s="65">
        <v>10.0019833333333</v>
      </c>
      <c r="Y118" s="65">
        <v>12.19335</v>
      </c>
      <c r="Z118" s="65">
        <v>3.6479</v>
      </c>
      <c r="AA118" s="65">
        <v>2.9345</v>
      </c>
      <c r="AB118" s="65">
        <v>17.0759333333333</v>
      </c>
      <c r="AE118" s="65">
        <v>29.4020333333333</v>
      </c>
      <c r="AF118" s="65">
        <v>39.2144333333334</v>
      </c>
      <c r="AG118" s="65">
        <v>35.4896166666667</v>
      </c>
      <c r="AH118" s="65">
        <v>1.43338333333333</v>
      </c>
      <c r="AI118" s="65">
        <v>34.414</v>
      </c>
      <c r="AL118" s="65">
        <v>6.45166666666667</v>
      </c>
      <c r="AM118" s="65">
        <v>1.97935</v>
      </c>
      <c r="AN118" s="65">
        <v>18.8960166666667</v>
      </c>
      <c r="AQ118" s="65">
        <v>3.4016</v>
      </c>
      <c r="AR118" s="65">
        <v>4.63708333333333</v>
      </c>
      <c r="AU118" s="65">
        <v>117.617866666667</v>
      </c>
    </row>
    <row r="119">
      <c r="A119" s="65" t="s">
        <v>7</v>
      </c>
      <c r="B119" s="65" t="s">
        <v>41</v>
      </c>
      <c r="C119" s="65"/>
      <c r="D119" s="64">
        <f t="shared" si="1"/>
        <v>0</v>
      </c>
    </row>
    <row r="120">
      <c r="A120" s="65" t="s">
        <v>7</v>
      </c>
      <c r="B120" s="65" t="s">
        <v>41</v>
      </c>
      <c r="C120" s="65"/>
      <c r="D120" s="64">
        <f t="shared" si="1"/>
        <v>521.2519833</v>
      </c>
      <c r="F120" s="118">
        <f>HYPERLINK("https://docs.google.com/spreadsheets/d/1bRuCugQ6tXyZOzztm09TE1Rj-Gobl4Dk", 22.50865)</f>
        <v>22.50865</v>
      </c>
      <c r="G120" s="118">
        <f>HYPERLINK("https://docs.google.com/spreadsheets/d/1sHubxgm78Hzgmb-693EPljlRczXD515B", 23.1297166666667)</f>
        <v>23.12971667</v>
      </c>
      <c r="H120" s="118">
        <f>HYPERLINK("https://docs.google.com/spreadsheets/d/1sr1U4vDfjfoEvqhmEzNIH76axR5YgdNO", 5.149)</f>
        <v>5.149</v>
      </c>
      <c r="I120" s="118">
        <f>HYPERLINK("https://docs.google.com/spreadsheets/d/1G_dmcQ4pr3y8NriI-WyK8v5gpffXZxDJ", 0.883033333333333)</f>
        <v>0.8830333333</v>
      </c>
      <c r="J120" s="118">
        <f>HYPERLINK("https://docs.google.com/spreadsheets/d/1wk3U-gMKRjqxvxpU6ibkZhpBFzkxydSY", 0.498683333333333)</f>
        <v>0.4986833333</v>
      </c>
      <c r="K120" s="118">
        <f>HYPERLINK("https://docs.google.com/spreadsheets/d/1aF9tUB8QBMgMyTwqKFhgdldruX5PAPQD", 8.66461666666666)</f>
        <v>8.664616667</v>
      </c>
      <c r="N120" s="118">
        <f>HYPERLINK("https://docs.google.com/spreadsheets/d/17omv5t2PLSqXdHsyg8Hk2h-USETHM5-E", 9.67326666666666)</f>
        <v>9.673266667</v>
      </c>
      <c r="Q120" s="118">
        <f>HYPERLINK("https://docs.google.com/spreadsheets/d/1z_p8XhUO1VCgAgBFmGSWTUJXNiCrHMT7", 50.9230333333333)</f>
        <v>50.92303333</v>
      </c>
      <c r="R120" s="118">
        <f>HYPERLINK("https://docs.google.com/spreadsheets/d/18uhu54VCWoFS-fIjdavO8NI36cOkpvmz", 18.0035333333333)</f>
        <v>18.00353333</v>
      </c>
      <c r="S120" s="118">
        <f>HYPERLINK("https://docs.google.com/spreadsheets/d/1I9LZ-2n11zzGKSxOyyp_1-sFLeTg68FT", 12.2438333333333)</f>
        <v>12.24383333</v>
      </c>
      <c r="T120" s="118">
        <f>HYPERLINK("https://docs.google.com/spreadsheets/d/1F2FIDe8YoEtbv-5eeFgd-Dtde_v-2G6H", 4.95768333333333)</f>
        <v>4.957683333</v>
      </c>
      <c r="U120" s="118">
        <f>HYPERLINK("https://docs.google.com/spreadsheets/d/1aBXrICN7OQkLr3YLJjRfS0Yu42BDhb3d", 31.9569833333334)</f>
        <v>31.95698333</v>
      </c>
      <c r="X120" s="118">
        <f>HYPERLINK("https://docs.google.com/spreadsheets/d/1lvPrI_oAbF8bflbJf2qe_Q7zjRrMlVnb", 8.1512)</f>
        <v>8.1512</v>
      </c>
      <c r="Y120" s="118">
        <f>HYPERLINK("https://docs.google.com/spreadsheets/d/1ZpMKblUaJW_g7uFiolTjWZAnr1ZFBvcf", 12.19335)</f>
        <v>12.19335</v>
      </c>
      <c r="Z120" s="118">
        <f>HYPERLINK("https://docs.google.com/spreadsheets/d/1vkeajHqkvpYozV7IwDWscAEVIcPO1Jmv", 3.6479)</f>
        <v>3.6479</v>
      </c>
      <c r="AA120" s="118">
        <f>HYPERLINK("https://docs.google.com/spreadsheets/d/1FPfkXyx_6_fOfTBNmqcAbK1rD48oTlZu", 2.58025)</f>
        <v>2.58025</v>
      </c>
      <c r="AB120" s="118">
        <f>HYPERLINK("https://docs.google.com/spreadsheets/d/1nlZnYkWGqKAbeQF1fQmq8u7J2z6EOGf4", 17.0759333333333)</f>
        <v>17.07593333</v>
      </c>
      <c r="AE120" s="118">
        <f>HYPERLINK("https://docs.google.com/spreadsheets/d/1o3hS9-hSBm7BvHIMIKkZkn5HANJCMveP", 26.8692666666667)</f>
        <v>26.86926667</v>
      </c>
      <c r="AF120" s="118">
        <f>HYPERLINK("https://docs.google.com/spreadsheets/d/1kNKHa0WrDtOnZc3hDxmd47v0W_UCtN_P", 39.2144166666667)</f>
        <v>39.21441667</v>
      </c>
      <c r="AG120" s="118">
        <f>HYPERLINK("https://docs.google.com/spreadsheets/d/1PbH1NkFqbwl47iTOu9jOJmvQQzPlr0Sy", 35.2761333333333)</f>
        <v>35.27613333</v>
      </c>
      <c r="AH120" s="118">
        <f>HYPERLINK("https://docs.google.com/spreadsheets/d/1nvhvEgQlIDdf9DSeifpB-QmAjktoc-Qg", 1.43338333333333)</f>
        <v>1.433383333</v>
      </c>
      <c r="AI120" s="118">
        <f>HYPERLINK("https://docs.google.com/spreadsheets/d/1z5_VmFX9LkS7ewk_c8SaTUorqzI3Z1Lh", 34.23195)</f>
        <v>34.23195</v>
      </c>
      <c r="AL120" s="118">
        <f>HYPERLINK("https://docs.google.com/spreadsheets/d/1ZvAX10R_s9cmXQe0OS4QSQRRg8a6NZR5", 6.37566666666666)</f>
        <v>6.375666667</v>
      </c>
      <c r="AM120" s="118">
        <f>HYPERLINK("https://docs.google.com/spreadsheets/d/1u-gYwo3BPiCbElJVc__sdHTmROprzw2C", 1.7204)</f>
        <v>1.7204</v>
      </c>
      <c r="AN120" s="118">
        <f>HYPERLINK("https://docs.google.com/spreadsheets/d/1u7nPc0iIjIe5v-1G94vK2KWVa5weH5GB", 18.8959833333333)</f>
        <v>18.89598333</v>
      </c>
      <c r="AQ120" s="118">
        <f>HYPERLINK("https://docs.google.com/spreadsheets/d/1NmjuUuuaE8aFzZibIFuLdWPZpcCq6fwX", 3.4016)</f>
        <v>3.4016</v>
      </c>
      <c r="AR120" s="118">
        <f>HYPERLINK("https://docs.google.com/spreadsheets/d/1fW7TT1ksWJX4KqIB7yYoKQvcSPk5vJ8g", 4.63708333333333)</f>
        <v>4.637083333</v>
      </c>
      <c r="AU120" s="118">
        <f>HYPERLINK("https://docs.google.com/spreadsheets/d/1QMVZx9qmou0GS7FhgeVR_GxTtq7KsZLF", 116.955433333333)</f>
        <v>116.9554333</v>
      </c>
    </row>
    <row r="121">
      <c r="A121" s="65" t="s">
        <v>7</v>
      </c>
      <c r="B121" s="65" t="s">
        <v>41</v>
      </c>
      <c r="C121" s="65"/>
      <c r="D121" s="64">
        <f t="shared" si="1"/>
        <v>10.2741</v>
      </c>
      <c r="F121" s="65">
        <v>0.268016666666667</v>
      </c>
      <c r="G121" s="65">
        <v>3.7303</v>
      </c>
      <c r="H121" s="65">
        <v>0.540333333333333</v>
      </c>
      <c r="I121" s="65">
        <v>0.0</v>
      </c>
      <c r="J121" s="65">
        <v>0.0</v>
      </c>
      <c r="K121" s="65">
        <v>0.0</v>
      </c>
      <c r="N121" s="65">
        <v>0.885933333333333</v>
      </c>
      <c r="Q121" s="65">
        <v>2.13743333333333</v>
      </c>
      <c r="R121" s="65">
        <v>0.62485</v>
      </c>
      <c r="S121" s="65">
        <v>0.190166666666667</v>
      </c>
      <c r="T121" s="65">
        <v>0.0</v>
      </c>
      <c r="U121" s="65">
        <v>0.0</v>
      </c>
      <c r="X121" s="65">
        <v>1.04015</v>
      </c>
      <c r="Y121" s="65">
        <v>0.0</v>
      </c>
      <c r="Z121" s="65">
        <v>0.0</v>
      </c>
      <c r="AA121" s="65">
        <v>0.0</v>
      </c>
      <c r="AB121" s="65">
        <v>0.0</v>
      </c>
      <c r="AE121" s="65">
        <v>0.56265</v>
      </c>
      <c r="AF121" s="65">
        <v>0.187316666666667</v>
      </c>
      <c r="AG121" s="65">
        <v>0.10695</v>
      </c>
      <c r="AH121" s="65">
        <v>0.0</v>
      </c>
      <c r="AI121" s="65">
        <v>0.0</v>
      </c>
      <c r="AL121" s="65">
        <v>0.0</v>
      </c>
      <c r="AM121" s="65">
        <v>0.0</v>
      </c>
      <c r="AN121" s="65">
        <v>0.0</v>
      </c>
      <c r="AQ121" s="65">
        <v>0.0</v>
      </c>
      <c r="AR121" s="65">
        <v>0.0</v>
      </c>
      <c r="AU121" s="65">
        <v>0.0</v>
      </c>
    </row>
    <row r="122">
      <c r="A122" s="119" t="s">
        <v>7</v>
      </c>
      <c r="B122" s="119" t="s">
        <v>41</v>
      </c>
      <c r="C122" s="119"/>
      <c r="D122" s="120">
        <f t="shared" si="1"/>
        <v>0</v>
      </c>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20"/>
      <c r="AG122" s="120"/>
      <c r="AH122" s="120"/>
      <c r="AI122" s="120"/>
      <c r="AJ122" s="120"/>
      <c r="AK122" s="120"/>
      <c r="AL122" s="120"/>
      <c r="AM122" s="120"/>
      <c r="AN122" s="120"/>
      <c r="AO122" s="120"/>
      <c r="AP122" s="120"/>
      <c r="AQ122" s="120"/>
      <c r="AR122" s="120"/>
      <c r="AS122" s="120"/>
      <c r="AT122" s="120"/>
      <c r="AU122" s="120"/>
      <c r="AV122" s="120"/>
      <c r="AW122" s="120"/>
      <c r="AX122" s="120"/>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0"/>
      <c r="CD122" s="120"/>
      <c r="CE122" s="120"/>
      <c r="CF122" s="120"/>
      <c r="CG122" s="120"/>
      <c r="CH122" s="120"/>
      <c r="CI122" s="120"/>
      <c r="CJ122" s="120"/>
      <c r="CK122" s="120"/>
      <c r="CL122" s="120"/>
      <c r="CM122" s="120"/>
      <c r="CN122" s="120"/>
      <c r="CO122" s="120"/>
      <c r="CP122" s="120"/>
      <c r="CQ122" s="120"/>
      <c r="CR122" s="120"/>
      <c r="CS122" s="120"/>
      <c r="CT122" s="120"/>
      <c r="CU122" s="120"/>
      <c r="CV122" s="120"/>
      <c r="CW122" s="120"/>
      <c r="CX122" s="120"/>
      <c r="CY122" s="120"/>
      <c r="CZ122" s="120"/>
      <c r="DA122" s="120"/>
      <c r="DB122" s="120"/>
      <c r="DC122" s="120"/>
      <c r="DD122" s="120"/>
      <c r="DE122" s="120"/>
      <c r="DF122" s="120"/>
      <c r="DG122" s="120"/>
      <c r="DH122" s="120"/>
      <c r="DI122" s="120"/>
      <c r="DJ122" s="120"/>
      <c r="DK122" s="120"/>
      <c r="DL122" s="120"/>
      <c r="DM122" s="120"/>
      <c r="DN122" s="120"/>
      <c r="DO122" s="120"/>
      <c r="DP122" s="120"/>
      <c r="DQ122" s="120"/>
      <c r="DR122" s="120"/>
      <c r="DS122" s="120"/>
      <c r="DT122" s="120"/>
      <c r="DU122" s="120"/>
      <c r="DV122" s="120"/>
      <c r="DW122" s="120"/>
      <c r="DX122" s="120"/>
      <c r="DY122" s="120"/>
      <c r="DZ122" s="120"/>
      <c r="EA122" s="120"/>
      <c r="EB122" s="120"/>
      <c r="EC122" s="120"/>
      <c r="ED122" s="120"/>
      <c r="EE122" s="120"/>
      <c r="EF122" s="120"/>
      <c r="EG122" s="120"/>
      <c r="EH122" s="120"/>
      <c r="EI122" s="120"/>
      <c r="EJ122" s="120"/>
      <c r="EK122" s="120"/>
      <c r="EL122" s="120"/>
      <c r="EM122" s="120"/>
      <c r="EN122" s="120"/>
      <c r="EO122" s="120"/>
      <c r="EP122" s="120"/>
      <c r="EQ122" s="120"/>
      <c r="ER122" s="120"/>
      <c r="ES122" s="120"/>
      <c r="ET122" s="120"/>
      <c r="EU122" s="120"/>
      <c r="EV122" s="120"/>
      <c r="EW122" s="120"/>
      <c r="EX122" s="120"/>
      <c r="EY122" s="120"/>
      <c r="EZ122" s="120"/>
      <c r="FA122" s="120"/>
      <c r="FB122" s="120"/>
      <c r="FC122" s="120"/>
      <c r="FD122" s="120"/>
      <c r="FE122" s="120"/>
      <c r="FF122" s="120"/>
      <c r="FG122" s="120"/>
      <c r="FH122" s="120"/>
      <c r="FI122" s="120"/>
      <c r="FJ122" s="120"/>
      <c r="FK122" s="120"/>
      <c r="FL122" s="120"/>
      <c r="FM122" s="120"/>
      <c r="FN122" s="120"/>
      <c r="FO122" s="120"/>
      <c r="FP122" s="120"/>
      <c r="FQ122" s="120"/>
      <c r="FR122" s="120"/>
      <c r="FS122" s="120"/>
      <c r="FT122" s="120"/>
      <c r="FU122" s="120"/>
      <c r="FV122" s="120"/>
      <c r="FW122" s="120"/>
      <c r="FX122" s="120"/>
      <c r="FY122" s="120"/>
      <c r="FZ122" s="120"/>
      <c r="GA122" s="120"/>
      <c r="GB122" s="120"/>
      <c r="GC122" s="120"/>
      <c r="GD122" s="120"/>
      <c r="GE122" s="120"/>
      <c r="GF122" s="120"/>
      <c r="GG122" s="120"/>
      <c r="GH122" s="120"/>
      <c r="GI122" s="120"/>
      <c r="GJ122" s="120"/>
      <c r="GK122" s="120"/>
      <c r="GL122" s="120"/>
      <c r="GM122" s="120"/>
      <c r="GN122" s="120"/>
      <c r="GO122" s="120"/>
      <c r="GP122" s="120"/>
      <c r="GQ122" s="120"/>
      <c r="GR122" s="120"/>
      <c r="GS122" s="120"/>
      <c r="GT122" s="120"/>
      <c r="GU122" s="120"/>
      <c r="GV122" s="120"/>
      <c r="GW122" s="120"/>
      <c r="GX122" s="120"/>
      <c r="GY122" s="120"/>
      <c r="GZ122" s="120"/>
      <c r="HA122" s="120"/>
      <c r="HB122" s="120"/>
      <c r="HC122" s="120"/>
      <c r="HD122" s="120"/>
      <c r="HE122" s="120"/>
      <c r="HF122" s="120"/>
      <c r="HG122" s="120"/>
      <c r="HH122" s="120"/>
      <c r="HI122" s="120"/>
      <c r="HJ122" s="120"/>
      <c r="HK122" s="120"/>
      <c r="HL122" s="120"/>
      <c r="HM122" s="120"/>
      <c r="HN122" s="120"/>
      <c r="HO122" s="120"/>
      <c r="HP122" s="120"/>
      <c r="HQ122" s="120"/>
      <c r="HR122" s="120"/>
      <c r="HS122" s="120"/>
      <c r="HT122" s="120"/>
      <c r="HU122" s="120"/>
      <c r="HV122" s="120"/>
      <c r="HW122" s="120"/>
      <c r="HX122" s="120"/>
      <c r="HY122" s="120"/>
      <c r="HZ122" s="120"/>
      <c r="IA122" s="120"/>
      <c r="IB122" s="120"/>
      <c r="IC122" s="120"/>
      <c r="ID122" s="120"/>
      <c r="IE122" s="120"/>
      <c r="IF122" s="120"/>
      <c r="IG122" s="120"/>
      <c r="IH122" s="120"/>
      <c r="II122" s="120"/>
      <c r="IJ122" s="120"/>
      <c r="IK122" s="120"/>
      <c r="IL122" s="120"/>
      <c r="IM122" s="120"/>
      <c r="IN122" s="120"/>
      <c r="IO122" s="120"/>
      <c r="IP122" s="120"/>
      <c r="IQ122" s="120"/>
      <c r="IR122" s="120"/>
      <c r="IS122" s="120"/>
      <c r="IT122" s="120"/>
      <c r="IU122" s="120"/>
      <c r="IV122" s="120"/>
      <c r="IW122" s="120"/>
      <c r="IX122" s="120"/>
      <c r="IY122" s="120"/>
      <c r="IZ122" s="120"/>
      <c r="JA122" s="120"/>
      <c r="JB122" s="120"/>
      <c r="JC122" s="120"/>
      <c r="JD122" s="120"/>
      <c r="JE122" s="120"/>
      <c r="JF122" s="120"/>
      <c r="JG122" s="120"/>
      <c r="JH122" s="120"/>
      <c r="JI122" s="120"/>
      <c r="JJ122" s="120"/>
      <c r="JK122" s="120"/>
      <c r="JL122" s="120"/>
      <c r="JM122" s="120"/>
      <c r="JN122" s="120"/>
      <c r="JO122" s="120"/>
      <c r="JP122" s="120"/>
      <c r="JQ122" s="120"/>
      <c r="JR122" s="120"/>
      <c r="JS122" s="120"/>
      <c r="JT122" s="120"/>
      <c r="JU122" s="120"/>
      <c r="JV122" s="120"/>
      <c r="JW122" s="120"/>
      <c r="JX122" s="120"/>
      <c r="JY122" s="120"/>
      <c r="JZ122" s="120"/>
      <c r="KA122" s="120"/>
      <c r="KB122" s="120"/>
      <c r="KC122" s="120"/>
      <c r="KD122" s="120"/>
      <c r="KE122" s="120"/>
      <c r="KF122" s="120"/>
      <c r="KG122" s="120"/>
      <c r="KH122" s="120"/>
      <c r="KI122" s="120"/>
      <c r="KJ122" s="120"/>
      <c r="KK122" s="120"/>
      <c r="KL122" s="120"/>
      <c r="KM122" s="120"/>
      <c r="KN122" s="120"/>
      <c r="KO122" s="120"/>
      <c r="KP122" s="120"/>
      <c r="KQ122" s="120"/>
      <c r="KR122" s="120"/>
      <c r="KS122" s="120"/>
      <c r="KT122" s="120"/>
      <c r="KU122" s="120"/>
      <c r="KV122" s="120"/>
      <c r="KW122" s="120"/>
      <c r="KX122" s="120"/>
      <c r="KY122" s="120"/>
      <c r="KZ122" s="120"/>
      <c r="LA122" s="120"/>
      <c r="LB122" s="120"/>
      <c r="LC122" s="120"/>
      <c r="LD122" s="120"/>
      <c r="LE122" s="120"/>
      <c r="LF122" s="120"/>
      <c r="LG122" s="120"/>
      <c r="LH122" s="120"/>
      <c r="LI122" s="120"/>
      <c r="LJ122" s="120"/>
      <c r="LK122" s="120"/>
      <c r="LL122" s="120"/>
      <c r="LM122" s="120"/>
      <c r="LN122" s="120"/>
      <c r="LO122" s="120"/>
      <c r="LP122" s="120"/>
      <c r="LQ122" s="120"/>
      <c r="LR122" s="120"/>
      <c r="LS122" s="120"/>
      <c r="LT122" s="120"/>
      <c r="LU122" s="120"/>
      <c r="LV122" s="120"/>
      <c r="LW122" s="120"/>
      <c r="LX122" s="120"/>
      <c r="LY122" s="120"/>
      <c r="LZ122" s="120"/>
      <c r="MA122" s="120"/>
      <c r="MB122" s="120"/>
      <c r="MC122" s="120"/>
      <c r="MD122" s="120"/>
      <c r="ME122" s="120"/>
      <c r="MF122" s="120"/>
      <c r="MG122" s="120"/>
      <c r="MH122" s="120"/>
      <c r="MI122" s="120"/>
      <c r="MJ122" s="120"/>
      <c r="MK122" s="120"/>
      <c r="ML122" s="120"/>
      <c r="MM122" s="120"/>
      <c r="MN122" s="120"/>
      <c r="MO122" s="120"/>
      <c r="MP122" s="120"/>
      <c r="MQ122" s="120"/>
      <c r="MR122" s="120"/>
      <c r="MS122" s="120"/>
      <c r="MT122" s="120"/>
      <c r="MU122" s="120"/>
      <c r="MV122" s="120"/>
      <c r="MW122" s="120"/>
      <c r="MX122" s="120"/>
      <c r="MY122" s="120"/>
      <c r="MZ122" s="120"/>
      <c r="NA122" s="120"/>
      <c r="NB122" s="120"/>
      <c r="NC122" s="120"/>
      <c r="ND122" s="120"/>
      <c r="NE122" s="120"/>
      <c r="NF122" s="120"/>
      <c r="NG122" s="120"/>
      <c r="NH122" s="120"/>
      <c r="NI122" s="120"/>
      <c r="NJ122" s="120"/>
      <c r="NK122" s="120"/>
      <c r="NL122" s="120"/>
      <c r="NM122" s="120"/>
      <c r="NN122" s="120"/>
      <c r="NO122" s="120"/>
      <c r="NP122" s="120"/>
      <c r="NQ122" s="120"/>
      <c r="NR122" s="120"/>
      <c r="NS122" s="120"/>
      <c r="NT122" s="120"/>
      <c r="NU122" s="120"/>
      <c r="NV122" s="120"/>
      <c r="NW122" s="120"/>
      <c r="NX122" s="120"/>
      <c r="NY122" s="120"/>
      <c r="NZ122" s="120"/>
      <c r="OA122" s="120"/>
      <c r="OB122" s="120"/>
      <c r="OC122" s="120"/>
      <c r="OD122" s="120"/>
      <c r="OE122" s="120"/>
      <c r="OF122" s="120"/>
      <c r="OG122" s="120"/>
      <c r="OH122" s="120"/>
      <c r="OI122" s="120"/>
      <c r="OJ122" s="120"/>
      <c r="OK122" s="120"/>
      <c r="OL122" s="120"/>
      <c r="OM122" s="120"/>
      <c r="ON122" s="120"/>
      <c r="OO122" s="120"/>
      <c r="OP122" s="120"/>
      <c r="OQ122" s="120"/>
      <c r="OR122" s="120"/>
      <c r="OS122" s="120"/>
      <c r="OT122" s="120"/>
      <c r="OU122" s="120"/>
      <c r="OV122" s="120"/>
      <c r="OW122" s="120"/>
      <c r="OX122" s="120"/>
      <c r="OY122" s="120"/>
      <c r="OZ122" s="120"/>
      <c r="PA122" s="120"/>
      <c r="PB122" s="120"/>
      <c r="PC122" s="120"/>
      <c r="PD122" s="120"/>
      <c r="PE122" s="120"/>
      <c r="PF122" s="120"/>
      <c r="PG122" s="120"/>
      <c r="PH122" s="120"/>
      <c r="PI122" s="120"/>
      <c r="PJ122" s="120"/>
      <c r="PK122" s="120"/>
      <c r="PL122" s="120"/>
      <c r="PM122" s="120"/>
      <c r="PN122" s="120"/>
      <c r="PO122" s="120"/>
      <c r="PP122" s="120"/>
      <c r="PQ122" s="120"/>
      <c r="PR122" s="120"/>
      <c r="PS122" s="120"/>
      <c r="PT122" s="120"/>
      <c r="PU122" s="120"/>
      <c r="PV122" s="120"/>
      <c r="PW122" s="120"/>
      <c r="PX122" s="120"/>
      <c r="PY122" s="120"/>
      <c r="PZ122" s="120"/>
      <c r="QA122" s="120"/>
      <c r="QB122" s="120"/>
      <c r="QC122" s="120"/>
      <c r="QD122" s="120"/>
      <c r="QE122" s="120"/>
      <c r="QF122" s="120"/>
      <c r="QG122" s="120"/>
      <c r="QH122" s="120"/>
      <c r="QI122" s="120"/>
      <c r="QJ122" s="120"/>
      <c r="QK122" s="120"/>
      <c r="QL122" s="120"/>
      <c r="QM122" s="120"/>
      <c r="QN122" s="120"/>
      <c r="QO122" s="120"/>
      <c r="QP122" s="120"/>
      <c r="QQ122" s="120"/>
      <c r="QR122" s="120"/>
      <c r="QS122" s="120"/>
      <c r="QT122" s="120"/>
      <c r="QU122" s="120"/>
      <c r="QV122" s="120"/>
      <c r="QW122" s="120"/>
      <c r="QX122" s="120"/>
      <c r="QY122" s="120"/>
      <c r="QZ122" s="120"/>
      <c r="RA122" s="120"/>
      <c r="RB122" s="120"/>
      <c r="RC122" s="120"/>
      <c r="RD122" s="120"/>
      <c r="RE122" s="120"/>
      <c r="RF122" s="120"/>
      <c r="RG122" s="120"/>
      <c r="RH122" s="120"/>
      <c r="RI122" s="120"/>
      <c r="RJ122" s="120"/>
      <c r="RK122" s="120"/>
      <c r="RL122" s="120"/>
      <c r="RM122" s="120"/>
      <c r="RN122" s="120"/>
      <c r="RO122" s="120"/>
      <c r="RP122" s="120"/>
      <c r="RQ122" s="120"/>
      <c r="RR122" s="120"/>
      <c r="RS122" s="120"/>
      <c r="RT122" s="120"/>
      <c r="RU122" s="120"/>
      <c r="RV122" s="120"/>
      <c r="RW122" s="120"/>
      <c r="RX122" s="120"/>
      <c r="RY122" s="120"/>
      <c r="RZ122" s="120"/>
      <c r="SA122" s="120"/>
      <c r="SB122" s="120"/>
      <c r="SC122" s="120"/>
      <c r="SD122" s="120"/>
      <c r="SE122" s="120"/>
      <c r="SF122" s="120"/>
      <c r="SG122" s="120"/>
      <c r="SH122" s="120"/>
      <c r="SI122" s="120"/>
      <c r="SJ122" s="120"/>
      <c r="SK122" s="120"/>
      <c r="SL122" s="120"/>
      <c r="SM122" s="120"/>
      <c r="SN122" s="120"/>
      <c r="SO122" s="120"/>
      <c r="SP122" s="120"/>
      <c r="SQ122" s="120"/>
      <c r="SR122" s="120"/>
      <c r="SS122" s="120"/>
      <c r="ST122" s="120"/>
      <c r="SU122" s="120"/>
      <c r="SV122" s="120"/>
      <c r="SW122" s="120"/>
      <c r="SX122" s="120"/>
      <c r="SY122" s="120"/>
      <c r="SZ122" s="120"/>
      <c r="TA122" s="120"/>
      <c r="TB122" s="120"/>
      <c r="TC122" s="120"/>
      <c r="TD122" s="120"/>
      <c r="TE122" s="120"/>
      <c r="TF122" s="120"/>
      <c r="TG122" s="120"/>
      <c r="TH122" s="120"/>
      <c r="TI122" s="120"/>
      <c r="TJ122" s="120"/>
      <c r="TK122" s="120"/>
      <c r="TL122" s="120"/>
      <c r="TM122" s="120"/>
      <c r="TN122" s="120"/>
      <c r="TO122" s="120"/>
      <c r="TP122" s="120"/>
      <c r="TQ122" s="120"/>
      <c r="TR122" s="120"/>
      <c r="TS122" s="120"/>
      <c r="TT122" s="120"/>
      <c r="TU122" s="120"/>
      <c r="TV122" s="120"/>
      <c r="TW122" s="120"/>
      <c r="TX122" s="120"/>
      <c r="TY122" s="120"/>
      <c r="TZ122" s="120"/>
      <c r="UA122" s="120"/>
      <c r="UB122" s="120"/>
      <c r="UC122" s="120"/>
      <c r="UD122" s="120"/>
      <c r="UE122" s="120"/>
      <c r="UF122" s="120"/>
      <c r="UG122" s="120"/>
      <c r="UH122" s="120"/>
      <c r="UI122" s="120"/>
      <c r="UJ122" s="120"/>
      <c r="UK122" s="120"/>
      <c r="UL122" s="120"/>
      <c r="UM122" s="120"/>
      <c r="UN122" s="120"/>
      <c r="UO122" s="120"/>
      <c r="UP122" s="120"/>
      <c r="UQ122" s="120"/>
      <c r="UR122" s="120"/>
      <c r="US122" s="120"/>
      <c r="UT122" s="120"/>
      <c r="UU122" s="120"/>
      <c r="UV122" s="120"/>
      <c r="UW122" s="120"/>
      <c r="UX122" s="120"/>
      <c r="UY122" s="120"/>
      <c r="UZ122" s="120"/>
      <c r="VA122" s="120"/>
      <c r="VB122" s="120"/>
      <c r="VC122" s="120"/>
      <c r="VD122" s="120"/>
      <c r="VE122" s="120"/>
      <c r="VF122" s="120"/>
      <c r="VG122" s="120"/>
      <c r="VH122" s="120"/>
      <c r="VI122" s="120"/>
      <c r="VJ122" s="120"/>
      <c r="VK122" s="120"/>
      <c r="VL122" s="120"/>
      <c r="VM122" s="120"/>
      <c r="VN122" s="120"/>
      <c r="VO122" s="120"/>
      <c r="VP122" s="120"/>
      <c r="VQ122" s="120"/>
      <c r="VR122" s="120"/>
      <c r="VS122" s="120"/>
      <c r="VT122" s="120"/>
      <c r="VU122" s="120"/>
      <c r="VV122" s="120"/>
      <c r="VW122" s="120"/>
      <c r="VX122" s="120"/>
      <c r="VY122" s="120"/>
      <c r="VZ122" s="120"/>
      <c r="WA122" s="120"/>
      <c r="WB122" s="120"/>
      <c r="WC122" s="120"/>
      <c r="WD122" s="120"/>
      <c r="WE122" s="120"/>
      <c r="WF122" s="120"/>
      <c r="WG122" s="120"/>
      <c r="WH122" s="120"/>
      <c r="WI122" s="120"/>
      <c r="WJ122" s="120"/>
      <c r="WK122" s="120"/>
      <c r="WL122" s="120"/>
      <c r="WM122" s="120"/>
      <c r="WN122" s="120"/>
      <c r="WO122" s="120"/>
      <c r="WP122" s="120"/>
      <c r="WQ122" s="120"/>
      <c r="WR122" s="120"/>
      <c r="WS122" s="120"/>
      <c r="WT122" s="120"/>
      <c r="WU122" s="120"/>
      <c r="WV122" s="120"/>
      <c r="WW122" s="120"/>
      <c r="WX122" s="120"/>
      <c r="WY122" s="120"/>
      <c r="WZ122" s="120"/>
      <c r="XA122" s="120"/>
      <c r="XB122" s="120"/>
      <c r="XC122" s="120"/>
      <c r="XD122" s="120"/>
      <c r="XE122" s="120"/>
      <c r="XF122" s="120"/>
      <c r="XG122" s="120"/>
      <c r="XH122" s="120"/>
      <c r="XI122" s="120"/>
      <c r="XJ122" s="120"/>
      <c r="XK122" s="120"/>
      <c r="XL122" s="120"/>
      <c r="XM122" s="120"/>
      <c r="XN122" s="120"/>
      <c r="XO122" s="120"/>
      <c r="XP122" s="120"/>
      <c r="XQ122" s="120"/>
      <c r="XR122" s="120"/>
      <c r="XS122" s="120"/>
      <c r="XT122" s="120"/>
      <c r="XU122" s="120"/>
      <c r="XV122" s="120"/>
      <c r="XW122" s="120"/>
      <c r="XX122" s="120"/>
      <c r="XY122" s="120"/>
      <c r="XZ122" s="120"/>
      <c r="YA122" s="120"/>
      <c r="YB122" s="120"/>
      <c r="YC122" s="120"/>
      <c r="YD122" s="120"/>
      <c r="YE122" s="120"/>
      <c r="YF122" s="120"/>
      <c r="YG122" s="120"/>
      <c r="YH122" s="120"/>
      <c r="YI122" s="120"/>
      <c r="YJ122" s="120"/>
      <c r="YK122" s="120"/>
      <c r="YL122" s="120"/>
      <c r="YM122" s="120"/>
      <c r="YN122" s="120"/>
      <c r="YO122" s="120"/>
      <c r="YP122" s="120"/>
      <c r="YQ122" s="120"/>
      <c r="YR122" s="120"/>
      <c r="YS122" s="120"/>
      <c r="YT122" s="120"/>
      <c r="YU122" s="120"/>
      <c r="YV122" s="120"/>
      <c r="YW122" s="120"/>
      <c r="YX122" s="120"/>
      <c r="YY122" s="120"/>
      <c r="YZ122" s="120"/>
      <c r="ZA122" s="120"/>
      <c r="ZB122" s="120"/>
      <c r="ZC122" s="120"/>
      <c r="ZD122" s="120"/>
      <c r="ZE122" s="120"/>
      <c r="ZF122" s="120"/>
      <c r="ZG122" s="120"/>
      <c r="ZH122" s="120"/>
      <c r="ZI122" s="120"/>
      <c r="ZJ122" s="120"/>
      <c r="ZK122" s="120"/>
      <c r="ZL122" s="120"/>
      <c r="ZM122" s="120"/>
      <c r="ZN122" s="120"/>
      <c r="ZO122" s="120"/>
      <c r="ZP122" s="120"/>
      <c r="ZQ122" s="120"/>
      <c r="ZR122" s="120"/>
      <c r="ZS122" s="120"/>
      <c r="ZT122" s="120"/>
      <c r="ZU122" s="120"/>
      <c r="ZV122" s="120"/>
      <c r="ZW122" s="120"/>
      <c r="ZX122" s="120"/>
      <c r="ZY122" s="120"/>
      <c r="ZZ122" s="120"/>
      <c r="AAA122" s="120"/>
      <c r="AAB122" s="120"/>
      <c r="AAC122" s="120"/>
      <c r="AAD122" s="120"/>
      <c r="AAE122" s="120"/>
      <c r="AAF122" s="120"/>
      <c r="AAG122" s="120"/>
      <c r="AAH122" s="120"/>
      <c r="AAI122" s="120"/>
      <c r="AAJ122" s="120"/>
      <c r="AAK122" s="120"/>
      <c r="AAL122" s="120"/>
      <c r="AAM122" s="120"/>
      <c r="AAN122" s="120"/>
      <c r="AAO122" s="120"/>
      <c r="AAP122" s="120"/>
      <c r="AAQ122" s="120"/>
      <c r="AAR122" s="120"/>
      <c r="AAS122" s="120"/>
      <c r="AAT122" s="120"/>
      <c r="AAU122" s="120"/>
      <c r="AAV122" s="120"/>
      <c r="AAW122" s="120"/>
      <c r="AAX122" s="120"/>
      <c r="AAY122" s="120"/>
      <c r="AAZ122" s="120"/>
      <c r="ABA122" s="120"/>
      <c r="ABB122" s="120"/>
      <c r="ABC122" s="120"/>
      <c r="ABD122" s="120"/>
      <c r="ABE122" s="120"/>
      <c r="ABF122" s="120"/>
      <c r="ABG122" s="120"/>
      <c r="ABH122" s="120"/>
      <c r="ABI122" s="120"/>
      <c r="ABJ122" s="120"/>
      <c r="ABK122" s="120"/>
      <c r="ABL122" s="120"/>
      <c r="ABM122" s="120"/>
      <c r="ABN122" s="120"/>
      <c r="ABO122" s="120"/>
      <c r="ABP122" s="120"/>
      <c r="ABQ122" s="120"/>
      <c r="ABR122" s="120"/>
      <c r="ABS122" s="120"/>
      <c r="ABT122" s="120"/>
      <c r="ABU122" s="120"/>
      <c r="ABV122" s="120"/>
      <c r="ABW122" s="120"/>
      <c r="ABX122" s="120"/>
      <c r="ABY122" s="120"/>
      <c r="ABZ122" s="120"/>
      <c r="ACA122" s="120"/>
      <c r="ACB122" s="120"/>
      <c r="ACC122" s="120"/>
      <c r="ACD122" s="120"/>
      <c r="ACE122" s="120"/>
      <c r="ACF122" s="120"/>
      <c r="ACG122" s="120"/>
      <c r="ACH122" s="120"/>
      <c r="ACI122" s="120"/>
      <c r="ACJ122" s="120"/>
      <c r="ACK122" s="120"/>
      <c r="ACL122" s="120"/>
      <c r="ACM122" s="120"/>
      <c r="ACN122" s="120"/>
      <c r="ACO122" s="120"/>
      <c r="ACP122" s="120"/>
      <c r="ACQ122" s="120"/>
      <c r="ACR122" s="120"/>
      <c r="ACS122" s="120"/>
      <c r="ACT122" s="120"/>
      <c r="ACU122" s="120"/>
      <c r="ACV122" s="120"/>
      <c r="ACW122" s="120"/>
      <c r="ACX122" s="120"/>
      <c r="ACY122" s="120"/>
      <c r="ACZ122" s="120"/>
      <c r="ADA122" s="120"/>
      <c r="ADB122" s="120"/>
      <c r="ADC122" s="120"/>
      <c r="ADD122" s="120"/>
      <c r="ADE122" s="120"/>
      <c r="ADF122" s="120"/>
      <c r="ADG122" s="120"/>
      <c r="ADH122" s="120"/>
      <c r="ADI122" s="120"/>
      <c r="ADJ122" s="120"/>
      <c r="ADK122" s="120"/>
      <c r="ADL122" s="120"/>
      <c r="ADM122" s="120"/>
      <c r="ADN122" s="120"/>
      <c r="ADO122" s="120"/>
      <c r="ADP122" s="120"/>
      <c r="ADQ122" s="120"/>
      <c r="ADR122" s="120"/>
      <c r="ADS122" s="120"/>
      <c r="ADT122" s="120"/>
      <c r="ADU122" s="120"/>
      <c r="ADV122" s="120"/>
      <c r="ADW122" s="120"/>
      <c r="ADX122" s="120"/>
      <c r="ADY122" s="120"/>
      <c r="ADZ122" s="120"/>
      <c r="AEA122" s="120"/>
      <c r="AEB122" s="120"/>
      <c r="AEC122" s="120"/>
      <c r="AED122" s="120"/>
      <c r="AEE122" s="120"/>
      <c r="AEF122" s="120"/>
      <c r="AEG122" s="120"/>
      <c r="AEH122" s="120"/>
      <c r="AEI122" s="120"/>
      <c r="AEJ122" s="120"/>
      <c r="AEK122" s="120"/>
      <c r="AEL122" s="120"/>
      <c r="AEM122" s="120"/>
      <c r="AEN122" s="120"/>
      <c r="AEO122" s="120"/>
      <c r="AEP122" s="120"/>
      <c r="AEQ122" s="120"/>
      <c r="AER122" s="120"/>
      <c r="AES122" s="120"/>
      <c r="AET122" s="120"/>
      <c r="AEU122" s="120"/>
      <c r="AEV122" s="120"/>
      <c r="AEW122" s="120"/>
      <c r="AEX122" s="120"/>
      <c r="AEY122" s="120"/>
      <c r="AEZ122" s="120"/>
      <c r="AFA122" s="120"/>
      <c r="AFB122" s="120"/>
      <c r="AFC122" s="120"/>
      <c r="AFD122" s="120"/>
      <c r="AFE122" s="120"/>
      <c r="AFF122" s="120"/>
      <c r="AFG122" s="120"/>
      <c r="AFH122" s="120"/>
      <c r="AFI122" s="120"/>
      <c r="AFJ122" s="120"/>
      <c r="AFK122" s="120"/>
      <c r="AFL122" s="120"/>
      <c r="AFM122" s="120"/>
      <c r="AFN122" s="120"/>
      <c r="AFO122" s="120"/>
      <c r="AFP122" s="120"/>
      <c r="AFQ122" s="120"/>
      <c r="AFR122" s="120"/>
      <c r="AFS122" s="120"/>
      <c r="AFT122" s="120"/>
      <c r="AFU122" s="120"/>
      <c r="AFV122" s="120"/>
      <c r="AFW122" s="120"/>
      <c r="AFX122" s="120"/>
      <c r="AFY122" s="120"/>
      <c r="AFZ122" s="120"/>
      <c r="AGA122" s="120"/>
      <c r="AGB122" s="120"/>
      <c r="AGC122" s="120"/>
      <c r="AGD122" s="120"/>
      <c r="AGE122" s="120"/>
      <c r="AGF122" s="120"/>
      <c r="AGG122" s="120"/>
      <c r="AGH122" s="120"/>
      <c r="AGI122" s="120"/>
      <c r="AGJ122" s="120"/>
      <c r="AGK122" s="120"/>
      <c r="AGL122" s="120"/>
      <c r="AGM122" s="120"/>
      <c r="AGN122" s="120"/>
      <c r="AGO122" s="120"/>
      <c r="AGP122" s="120"/>
      <c r="AGQ122" s="120"/>
      <c r="AGR122" s="120"/>
      <c r="AGS122" s="120"/>
      <c r="AGT122" s="120"/>
      <c r="AGU122" s="120"/>
      <c r="AGV122" s="120"/>
      <c r="AGW122" s="120"/>
      <c r="AGX122" s="120"/>
      <c r="AGY122" s="120"/>
      <c r="AGZ122" s="120"/>
      <c r="AHA122" s="120"/>
      <c r="AHB122" s="120"/>
      <c r="AHC122" s="120"/>
      <c r="AHD122" s="120"/>
      <c r="AHE122" s="120"/>
      <c r="AHF122" s="120"/>
      <c r="AHG122" s="120"/>
      <c r="AHH122" s="120"/>
      <c r="AHI122" s="120"/>
      <c r="AHJ122" s="120"/>
      <c r="AHK122" s="120"/>
      <c r="AHL122" s="120"/>
      <c r="AHM122" s="120"/>
      <c r="AHN122" s="120"/>
      <c r="AHO122" s="120"/>
      <c r="AHP122" s="120"/>
      <c r="AHQ122" s="120"/>
      <c r="AHR122" s="120"/>
      <c r="AHS122" s="120"/>
      <c r="AHT122" s="120"/>
      <c r="AHU122" s="120"/>
      <c r="AHV122" s="120"/>
      <c r="AHW122" s="120"/>
      <c r="AHX122" s="120"/>
      <c r="AHY122" s="120"/>
      <c r="AHZ122" s="120"/>
      <c r="AIA122" s="120"/>
      <c r="AIB122" s="120"/>
      <c r="AIC122" s="120"/>
      <c r="AID122" s="120"/>
      <c r="AIE122" s="120"/>
      <c r="AIF122" s="120"/>
      <c r="AIG122" s="120"/>
      <c r="AIH122" s="120"/>
      <c r="AII122" s="120"/>
      <c r="AIJ122" s="120"/>
      <c r="AIK122" s="120"/>
      <c r="AIL122" s="120"/>
      <c r="AIM122" s="120"/>
      <c r="AIN122" s="120"/>
      <c r="AIO122" s="120"/>
      <c r="AIP122" s="120"/>
      <c r="AIQ122" s="120"/>
      <c r="AIR122" s="120"/>
      <c r="AIS122" s="120"/>
      <c r="AIT122" s="120"/>
      <c r="AIU122" s="120"/>
      <c r="AIV122" s="120"/>
      <c r="AIW122" s="120"/>
      <c r="AIX122" s="120"/>
      <c r="AIY122" s="120"/>
      <c r="AIZ122" s="120"/>
    </row>
    <row r="123">
      <c r="A123" s="112" t="s">
        <v>7</v>
      </c>
      <c r="B123" s="112" t="s">
        <v>32</v>
      </c>
      <c r="C123" s="112"/>
      <c r="D123" s="113">
        <f t="shared" si="1"/>
        <v>523.55365</v>
      </c>
      <c r="E123" s="112">
        <v>90.7537833333333</v>
      </c>
      <c r="F123" s="113"/>
      <c r="G123" s="113"/>
      <c r="H123" s="113"/>
      <c r="I123" s="113"/>
      <c r="J123" s="113"/>
      <c r="K123" s="113"/>
      <c r="L123" s="112">
        <v>1.42723333333333</v>
      </c>
      <c r="M123" s="112">
        <v>9.96521666666667</v>
      </c>
      <c r="N123" s="113"/>
      <c r="O123" s="112">
        <v>0.16935</v>
      </c>
      <c r="P123" s="112">
        <v>130.936216666667</v>
      </c>
      <c r="Q123" s="113"/>
      <c r="R123" s="113"/>
      <c r="S123" s="113"/>
      <c r="T123" s="113"/>
      <c r="U123" s="113"/>
      <c r="V123" s="112">
        <v>1.67431666666667</v>
      </c>
      <c r="W123" s="112">
        <v>52.7281166666667</v>
      </c>
      <c r="X123" s="113"/>
      <c r="Y123" s="113"/>
      <c r="Z123" s="113"/>
      <c r="AA123" s="113"/>
      <c r="AB123" s="113"/>
      <c r="AC123" s="112">
        <v>1.46818333333333</v>
      </c>
      <c r="AD123" s="112">
        <v>90.3907</v>
      </c>
      <c r="AE123" s="113"/>
      <c r="AF123" s="113"/>
      <c r="AG123" s="113"/>
      <c r="AH123" s="113"/>
      <c r="AI123" s="113"/>
      <c r="AJ123" s="112">
        <v>2.10223333333333</v>
      </c>
      <c r="AK123" s="112">
        <v>35.7054333333334</v>
      </c>
      <c r="AL123" s="113"/>
      <c r="AM123" s="113"/>
      <c r="AN123" s="113"/>
      <c r="AO123" s="112">
        <v>4.86093333333333</v>
      </c>
      <c r="AP123" s="112">
        <v>14.1633833333333</v>
      </c>
      <c r="AQ123" s="113"/>
      <c r="AR123" s="113"/>
      <c r="AS123" s="112">
        <v>2.00936666666667</v>
      </c>
      <c r="AT123" s="112">
        <v>79.291</v>
      </c>
      <c r="AU123" s="113"/>
      <c r="AV123" s="112">
        <v>5.04195</v>
      </c>
      <c r="AW123" s="112">
        <v>0.866233333333333</v>
      </c>
      <c r="AX123" s="113"/>
      <c r="AY123" s="113"/>
      <c r="AZ123" s="113"/>
      <c r="BA123" s="113"/>
      <c r="BB123" s="113"/>
      <c r="BC123" s="113"/>
      <c r="BD123" s="113"/>
      <c r="BE123" s="113"/>
      <c r="BF123" s="113"/>
      <c r="BG123" s="113"/>
      <c r="BH123" s="113"/>
      <c r="BI123" s="113"/>
      <c r="BJ123" s="113"/>
      <c r="BK123" s="113"/>
      <c r="BL123" s="113"/>
      <c r="BM123" s="113"/>
      <c r="BN123" s="113"/>
      <c r="BO123" s="113"/>
      <c r="BP123" s="113"/>
      <c r="BQ123" s="113"/>
      <c r="BR123" s="113"/>
      <c r="BS123" s="113"/>
      <c r="BT123" s="113"/>
      <c r="BU123" s="113"/>
      <c r="BV123" s="113"/>
      <c r="BW123" s="113"/>
      <c r="BX123" s="113"/>
      <c r="BY123" s="113"/>
      <c r="BZ123" s="113"/>
      <c r="CA123" s="113"/>
      <c r="CB123" s="113"/>
      <c r="CC123" s="113"/>
      <c r="CD123" s="113"/>
      <c r="CE123" s="113"/>
      <c r="CF123" s="113"/>
      <c r="CG123" s="113"/>
      <c r="CH123" s="113"/>
      <c r="CI123" s="113"/>
      <c r="CJ123" s="113"/>
      <c r="CK123" s="113"/>
      <c r="CL123" s="113"/>
      <c r="CM123" s="113"/>
      <c r="CN123" s="113"/>
      <c r="CO123" s="113"/>
      <c r="CP123" s="113"/>
      <c r="CQ123" s="113"/>
      <c r="CR123" s="113"/>
      <c r="CS123" s="113"/>
      <c r="CT123" s="113"/>
      <c r="CU123" s="113"/>
      <c r="CV123" s="113"/>
      <c r="CW123" s="113"/>
      <c r="CX123" s="113"/>
      <c r="CY123" s="113"/>
      <c r="CZ123" s="113"/>
      <c r="DA123" s="113"/>
      <c r="DB123" s="113"/>
      <c r="DC123" s="113"/>
      <c r="DD123" s="113"/>
      <c r="DE123" s="113"/>
      <c r="DF123" s="113"/>
      <c r="DG123" s="113"/>
      <c r="DH123" s="113"/>
      <c r="DI123" s="113"/>
      <c r="DJ123" s="113"/>
      <c r="DK123" s="113"/>
      <c r="DL123" s="113"/>
      <c r="DM123" s="113"/>
      <c r="DN123" s="113"/>
      <c r="DO123" s="113"/>
      <c r="DP123" s="113"/>
      <c r="DQ123" s="113"/>
      <c r="DR123" s="113"/>
      <c r="DS123" s="113"/>
      <c r="DT123" s="113"/>
      <c r="DU123" s="113"/>
      <c r="DV123" s="113"/>
      <c r="DW123" s="113"/>
      <c r="DX123" s="113"/>
      <c r="DY123" s="113"/>
      <c r="DZ123" s="113"/>
      <c r="EA123" s="113"/>
      <c r="EB123" s="113"/>
      <c r="EC123" s="113"/>
      <c r="ED123" s="113"/>
      <c r="EE123" s="113"/>
      <c r="EF123" s="113"/>
      <c r="EG123" s="113"/>
      <c r="EH123" s="113"/>
      <c r="EI123" s="113"/>
      <c r="EJ123" s="113"/>
      <c r="EK123" s="113"/>
      <c r="EL123" s="113"/>
      <c r="EM123" s="113"/>
      <c r="EN123" s="113"/>
      <c r="EO123" s="113"/>
      <c r="EP123" s="113"/>
      <c r="EQ123" s="113"/>
      <c r="ER123" s="113"/>
      <c r="ES123" s="113"/>
      <c r="ET123" s="113"/>
      <c r="EU123" s="113"/>
      <c r="EV123" s="113"/>
      <c r="EW123" s="113"/>
      <c r="EX123" s="113"/>
      <c r="EY123" s="113"/>
      <c r="EZ123" s="113"/>
      <c r="FA123" s="113"/>
      <c r="FB123" s="113"/>
      <c r="FC123" s="113"/>
      <c r="FD123" s="113"/>
      <c r="FE123" s="113"/>
      <c r="FF123" s="113"/>
      <c r="FG123" s="113"/>
      <c r="FH123" s="113"/>
      <c r="FI123" s="113"/>
      <c r="FJ123" s="113"/>
      <c r="FK123" s="113"/>
      <c r="FL123" s="113"/>
      <c r="FM123" s="113"/>
      <c r="FN123" s="113"/>
      <c r="FO123" s="113"/>
      <c r="FP123" s="113"/>
      <c r="FQ123" s="113"/>
      <c r="FR123" s="113"/>
      <c r="FS123" s="113"/>
      <c r="FT123" s="113"/>
      <c r="FU123" s="113"/>
      <c r="FV123" s="113"/>
      <c r="FW123" s="113"/>
      <c r="FX123" s="113"/>
      <c r="FY123" s="113"/>
      <c r="FZ123" s="113"/>
      <c r="GA123" s="113"/>
      <c r="GB123" s="113"/>
      <c r="GC123" s="113"/>
      <c r="GD123" s="113"/>
      <c r="GE123" s="113"/>
      <c r="GF123" s="113"/>
      <c r="GG123" s="113"/>
      <c r="GH123" s="113"/>
      <c r="GI123" s="113"/>
      <c r="GJ123" s="113"/>
      <c r="GK123" s="113"/>
      <c r="GL123" s="113"/>
      <c r="GM123" s="113"/>
      <c r="GN123" s="113"/>
      <c r="GO123" s="113"/>
      <c r="GP123" s="113"/>
      <c r="GQ123" s="113"/>
      <c r="GR123" s="113"/>
      <c r="GS123" s="113"/>
      <c r="GT123" s="113"/>
      <c r="GU123" s="113"/>
      <c r="GV123" s="113"/>
      <c r="GW123" s="113"/>
      <c r="GX123" s="113"/>
      <c r="GY123" s="113"/>
      <c r="GZ123" s="113"/>
      <c r="HA123" s="113"/>
      <c r="HB123" s="113"/>
      <c r="HC123" s="113"/>
      <c r="HD123" s="113"/>
      <c r="HE123" s="113"/>
      <c r="HF123" s="113"/>
      <c r="HG123" s="113"/>
      <c r="HH123" s="113"/>
      <c r="HI123" s="113"/>
      <c r="HJ123" s="113"/>
      <c r="HK123" s="113"/>
      <c r="HL123" s="113"/>
      <c r="HM123" s="113"/>
      <c r="HN123" s="113"/>
      <c r="HO123" s="113"/>
      <c r="HP123" s="113"/>
      <c r="HQ123" s="113"/>
      <c r="HR123" s="113"/>
      <c r="HS123" s="113"/>
      <c r="HT123" s="113"/>
      <c r="HU123" s="113"/>
      <c r="HV123" s="113"/>
      <c r="HW123" s="113"/>
      <c r="HX123" s="113"/>
      <c r="HY123" s="113"/>
      <c r="HZ123" s="113"/>
      <c r="IA123" s="113"/>
      <c r="IB123" s="113"/>
      <c r="IC123" s="113"/>
      <c r="ID123" s="113"/>
      <c r="IE123" s="113"/>
      <c r="IF123" s="113"/>
      <c r="IG123" s="113"/>
      <c r="IH123" s="113"/>
      <c r="II123" s="113"/>
      <c r="IJ123" s="113"/>
      <c r="IK123" s="113"/>
      <c r="IL123" s="113"/>
      <c r="IM123" s="113"/>
      <c r="IN123" s="113"/>
      <c r="IO123" s="113"/>
      <c r="IP123" s="113"/>
      <c r="IQ123" s="113"/>
      <c r="IR123" s="113"/>
      <c r="IS123" s="113"/>
      <c r="IT123" s="113"/>
      <c r="IU123" s="113"/>
      <c r="IV123" s="113"/>
      <c r="IW123" s="113"/>
      <c r="IX123" s="113"/>
      <c r="IY123" s="113"/>
      <c r="IZ123" s="113"/>
      <c r="JA123" s="113"/>
      <c r="JB123" s="113"/>
      <c r="JC123" s="113"/>
      <c r="JD123" s="113"/>
      <c r="JE123" s="113"/>
      <c r="JF123" s="113"/>
      <c r="JG123" s="113"/>
      <c r="JH123" s="113"/>
      <c r="JI123" s="113"/>
      <c r="JJ123" s="113"/>
      <c r="JK123" s="113"/>
      <c r="JL123" s="113"/>
      <c r="JM123" s="113"/>
      <c r="JN123" s="113"/>
      <c r="JO123" s="113"/>
      <c r="JP123" s="113"/>
      <c r="JQ123" s="113"/>
      <c r="JR123" s="113"/>
      <c r="JS123" s="113"/>
      <c r="JT123" s="113"/>
      <c r="JU123" s="113"/>
      <c r="JV123" s="113"/>
      <c r="JW123" s="113"/>
      <c r="JX123" s="113"/>
      <c r="JY123" s="113"/>
      <c r="JZ123" s="113"/>
      <c r="KA123" s="113"/>
      <c r="KB123" s="113"/>
      <c r="KC123" s="113"/>
      <c r="KD123" s="113"/>
      <c r="KE123" s="113"/>
      <c r="KF123" s="113"/>
      <c r="KG123" s="113"/>
      <c r="KH123" s="113"/>
      <c r="KI123" s="113"/>
      <c r="KJ123" s="113"/>
      <c r="KK123" s="113"/>
      <c r="KL123" s="113"/>
      <c r="KM123" s="113"/>
      <c r="KN123" s="113"/>
      <c r="KO123" s="113"/>
      <c r="KP123" s="113"/>
      <c r="KQ123" s="113"/>
      <c r="KR123" s="113"/>
      <c r="KS123" s="113"/>
      <c r="KT123" s="113"/>
      <c r="KU123" s="113"/>
      <c r="KV123" s="113"/>
      <c r="KW123" s="113"/>
      <c r="KX123" s="113"/>
      <c r="KY123" s="113"/>
      <c r="KZ123" s="113"/>
      <c r="LA123" s="113"/>
      <c r="LB123" s="113"/>
      <c r="LC123" s="113"/>
      <c r="LD123" s="113"/>
      <c r="LE123" s="113"/>
      <c r="LF123" s="113"/>
      <c r="LG123" s="113"/>
      <c r="LH123" s="113"/>
      <c r="LI123" s="113"/>
      <c r="LJ123" s="113"/>
      <c r="LK123" s="113"/>
      <c r="LL123" s="113"/>
      <c r="LM123" s="113"/>
      <c r="LN123" s="113"/>
      <c r="LO123" s="113"/>
      <c r="LP123" s="113"/>
      <c r="LQ123" s="113"/>
      <c r="LR123" s="113"/>
      <c r="LS123" s="113"/>
      <c r="LT123" s="113"/>
      <c r="LU123" s="113"/>
      <c r="LV123" s="113"/>
      <c r="LW123" s="113"/>
      <c r="LX123" s="113"/>
      <c r="LY123" s="113"/>
      <c r="LZ123" s="113"/>
      <c r="MA123" s="113"/>
      <c r="MB123" s="113"/>
      <c r="MC123" s="113"/>
      <c r="MD123" s="113"/>
      <c r="ME123" s="113"/>
      <c r="MF123" s="113"/>
      <c r="MG123" s="113"/>
      <c r="MH123" s="113"/>
      <c r="MI123" s="113"/>
      <c r="MJ123" s="113"/>
      <c r="MK123" s="113"/>
      <c r="ML123" s="113"/>
      <c r="MM123" s="113"/>
      <c r="MN123" s="113"/>
      <c r="MO123" s="113"/>
      <c r="MP123" s="113"/>
      <c r="MQ123" s="113"/>
      <c r="MR123" s="113"/>
      <c r="MS123" s="113"/>
      <c r="MT123" s="113"/>
      <c r="MU123" s="113"/>
      <c r="MV123" s="113"/>
      <c r="MW123" s="113"/>
      <c r="MX123" s="113"/>
      <c r="MY123" s="113"/>
      <c r="MZ123" s="113"/>
      <c r="NA123" s="113"/>
      <c r="NB123" s="113"/>
      <c r="NC123" s="113"/>
      <c r="ND123" s="113"/>
      <c r="NE123" s="113"/>
      <c r="NF123" s="113"/>
      <c r="NG123" s="113"/>
      <c r="NH123" s="113"/>
      <c r="NI123" s="113"/>
      <c r="NJ123" s="113"/>
      <c r="NK123" s="113"/>
      <c r="NL123" s="113"/>
      <c r="NM123" s="113"/>
      <c r="NN123" s="113"/>
      <c r="NO123" s="113"/>
      <c r="NP123" s="113"/>
      <c r="NQ123" s="113"/>
      <c r="NR123" s="113"/>
      <c r="NS123" s="113"/>
      <c r="NT123" s="113"/>
      <c r="NU123" s="113"/>
      <c r="NV123" s="113"/>
      <c r="NW123" s="113"/>
      <c r="NX123" s="113"/>
      <c r="NY123" s="113"/>
      <c r="NZ123" s="113"/>
      <c r="OA123" s="113"/>
      <c r="OB123" s="113"/>
      <c r="OC123" s="113"/>
      <c r="OD123" s="113"/>
      <c r="OE123" s="113"/>
      <c r="OF123" s="113"/>
      <c r="OG123" s="113"/>
      <c r="OH123" s="113"/>
      <c r="OI123" s="113"/>
      <c r="OJ123" s="113"/>
      <c r="OK123" s="113"/>
      <c r="OL123" s="113"/>
      <c r="OM123" s="113"/>
      <c r="ON123" s="113"/>
      <c r="OO123" s="113"/>
      <c r="OP123" s="113"/>
      <c r="OQ123" s="113"/>
      <c r="OR123" s="113"/>
      <c r="OS123" s="113"/>
      <c r="OT123" s="113"/>
      <c r="OU123" s="113"/>
      <c r="OV123" s="113"/>
      <c r="OW123" s="113"/>
      <c r="OX123" s="113"/>
      <c r="OY123" s="113"/>
      <c r="OZ123" s="113"/>
      <c r="PA123" s="113"/>
      <c r="PB123" s="113"/>
      <c r="PC123" s="113"/>
      <c r="PD123" s="113"/>
      <c r="PE123" s="113"/>
      <c r="PF123" s="113"/>
      <c r="PG123" s="113"/>
      <c r="PH123" s="113"/>
      <c r="PI123" s="113"/>
      <c r="PJ123" s="113"/>
      <c r="PK123" s="113"/>
      <c r="PL123" s="113"/>
      <c r="PM123" s="113"/>
      <c r="PN123" s="113"/>
      <c r="PO123" s="113"/>
      <c r="PP123" s="113"/>
      <c r="PQ123" s="113"/>
      <c r="PR123" s="113"/>
      <c r="PS123" s="113"/>
      <c r="PT123" s="113"/>
      <c r="PU123" s="113"/>
      <c r="PV123" s="113"/>
      <c r="PW123" s="113"/>
      <c r="PX123" s="113"/>
      <c r="PY123" s="113"/>
      <c r="PZ123" s="113"/>
      <c r="QA123" s="113"/>
      <c r="QB123" s="113"/>
      <c r="QC123" s="113"/>
      <c r="QD123" s="113"/>
      <c r="QE123" s="113"/>
      <c r="QF123" s="113"/>
      <c r="QG123" s="113"/>
      <c r="QH123" s="113"/>
      <c r="QI123" s="113"/>
      <c r="QJ123" s="113"/>
      <c r="QK123" s="113"/>
      <c r="QL123" s="113"/>
      <c r="QM123" s="113"/>
      <c r="QN123" s="113"/>
      <c r="QO123" s="113"/>
      <c r="QP123" s="113"/>
      <c r="QQ123" s="113"/>
      <c r="QR123" s="113"/>
      <c r="QS123" s="113"/>
      <c r="QT123" s="113"/>
      <c r="QU123" s="113"/>
      <c r="QV123" s="113"/>
      <c r="QW123" s="113"/>
      <c r="QX123" s="113"/>
      <c r="QY123" s="113"/>
      <c r="QZ123" s="113"/>
      <c r="RA123" s="113"/>
      <c r="RB123" s="113"/>
      <c r="RC123" s="113"/>
      <c r="RD123" s="113"/>
      <c r="RE123" s="113"/>
      <c r="RF123" s="113"/>
      <c r="RG123" s="113"/>
      <c r="RH123" s="113"/>
      <c r="RI123" s="113"/>
      <c r="RJ123" s="113"/>
      <c r="RK123" s="113"/>
      <c r="RL123" s="113"/>
      <c r="RM123" s="113"/>
      <c r="RN123" s="113"/>
      <c r="RO123" s="113"/>
      <c r="RP123" s="113"/>
      <c r="RQ123" s="113"/>
      <c r="RR123" s="113"/>
      <c r="RS123" s="113"/>
      <c r="RT123" s="113"/>
      <c r="RU123" s="113"/>
      <c r="RV123" s="113"/>
      <c r="RW123" s="113"/>
      <c r="RX123" s="113"/>
      <c r="RY123" s="113"/>
      <c r="RZ123" s="113"/>
      <c r="SA123" s="113"/>
      <c r="SB123" s="113"/>
      <c r="SC123" s="113"/>
      <c r="SD123" s="113"/>
      <c r="SE123" s="113"/>
      <c r="SF123" s="113"/>
      <c r="SG123" s="113"/>
      <c r="SH123" s="113"/>
      <c r="SI123" s="113"/>
      <c r="SJ123" s="113"/>
      <c r="SK123" s="113"/>
      <c r="SL123" s="113"/>
      <c r="SM123" s="113"/>
      <c r="SN123" s="113"/>
      <c r="SO123" s="113"/>
      <c r="SP123" s="113"/>
      <c r="SQ123" s="113"/>
      <c r="SR123" s="113"/>
      <c r="SS123" s="113"/>
      <c r="ST123" s="113"/>
      <c r="SU123" s="113"/>
      <c r="SV123" s="113"/>
      <c r="SW123" s="113"/>
      <c r="SX123" s="113"/>
      <c r="SY123" s="113"/>
      <c r="SZ123" s="113"/>
      <c r="TA123" s="113"/>
      <c r="TB123" s="113"/>
      <c r="TC123" s="113"/>
      <c r="TD123" s="113"/>
      <c r="TE123" s="113"/>
      <c r="TF123" s="113"/>
      <c r="TG123" s="113"/>
      <c r="TH123" s="113"/>
      <c r="TI123" s="113"/>
      <c r="TJ123" s="113"/>
      <c r="TK123" s="113"/>
      <c r="TL123" s="113"/>
      <c r="TM123" s="113"/>
      <c r="TN123" s="113"/>
      <c r="TO123" s="113"/>
      <c r="TP123" s="113"/>
      <c r="TQ123" s="113"/>
      <c r="TR123" s="113"/>
      <c r="TS123" s="113"/>
      <c r="TT123" s="113"/>
      <c r="TU123" s="113"/>
      <c r="TV123" s="113"/>
      <c r="TW123" s="113"/>
      <c r="TX123" s="113"/>
      <c r="TY123" s="113"/>
      <c r="TZ123" s="113"/>
      <c r="UA123" s="113"/>
      <c r="UB123" s="113"/>
      <c r="UC123" s="113"/>
      <c r="UD123" s="113"/>
      <c r="UE123" s="113"/>
      <c r="UF123" s="113"/>
      <c r="UG123" s="113"/>
      <c r="UH123" s="113"/>
      <c r="UI123" s="113"/>
      <c r="UJ123" s="113"/>
      <c r="UK123" s="113"/>
      <c r="UL123" s="113"/>
      <c r="UM123" s="113"/>
      <c r="UN123" s="113"/>
      <c r="UO123" s="113"/>
      <c r="UP123" s="113"/>
      <c r="UQ123" s="113"/>
      <c r="UR123" s="113"/>
      <c r="US123" s="113"/>
      <c r="UT123" s="113"/>
      <c r="UU123" s="113"/>
      <c r="UV123" s="113"/>
      <c r="UW123" s="113"/>
      <c r="UX123" s="113"/>
      <c r="UY123" s="113"/>
      <c r="UZ123" s="113"/>
      <c r="VA123" s="113"/>
      <c r="VB123" s="113"/>
      <c r="VC123" s="113"/>
      <c r="VD123" s="113"/>
      <c r="VE123" s="113"/>
      <c r="VF123" s="113"/>
      <c r="VG123" s="113"/>
      <c r="VH123" s="113"/>
      <c r="VI123" s="113"/>
      <c r="VJ123" s="113"/>
      <c r="VK123" s="113"/>
      <c r="VL123" s="113"/>
      <c r="VM123" s="113"/>
      <c r="VN123" s="113"/>
      <c r="VO123" s="113"/>
      <c r="VP123" s="113"/>
      <c r="VQ123" s="113"/>
      <c r="VR123" s="113"/>
      <c r="VS123" s="113"/>
      <c r="VT123" s="113"/>
      <c r="VU123" s="113"/>
      <c r="VV123" s="113"/>
      <c r="VW123" s="113"/>
      <c r="VX123" s="113"/>
      <c r="VY123" s="113"/>
      <c r="VZ123" s="113"/>
      <c r="WA123" s="113"/>
      <c r="WB123" s="113"/>
      <c r="WC123" s="113"/>
      <c r="WD123" s="113"/>
      <c r="WE123" s="113"/>
      <c r="WF123" s="113"/>
      <c r="WG123" s="113"/>
      <c r="WH123" s="113"/>
      <c r="WI123" s="113"/>
      <c r="WJ123" s="113"/>
      <c r="WK123" s="113"/>
      <c r="WL123" s="113"/>
      <c r="WM123" s="113"/>
      <c r="WN123" s="113"/>
      <c r="WO123" s="113"/>
      <c r="WP123" s="113"/>
      <c r="WQ123" s="113"/>
      <c r="WR123" s="113"/>
      <c r="WS123" s="113"/>
      <c r="WT123" s="113"/>
      <c r="WU123" s="113"/>
      <c r="WV123" s="113"/>
      <c r="WW123" s="113"/>
      <c r="WX123" s="113"/>
      <c r="WY123" s="113"/>
      <c r="WZ123" s="113"/>
      <c r="XA123" s="113"/>
      <c r="XB123" s="113"/>
      <c r="XC123" s="113"/>
      <c r="XD123" s="113"/>
      <c r="XE123" s="113"/>
      <c r="XF123" s="113"/>
      <c r="XG123" s="113"/>
      <c r="XH123" s="113"/>
      <c r="XI123" s="113"/>
      <c r="XJ123" s="113"/>
      <c r="XK123" s="113"/>
      <c r="XL123" s="113"/>
      <c r="XM123" s="113"/>
      <c r="XN123" s="113"/>
      <c r="XO123" s="113"/>
      <c r="XP123" s="113"/>
      <c r="XQ123" s="113"/>
      <c r="XR123" s="113"/>
      <c r="XS123" s="113"/>
      <c r="XT123" s="113"/>
      <c r="XU123" s="113"/>
      <c r="XV123" s="113"/>
      <c r="XW123" s="113"/>
      <c r="XX123" s="113"/>
      <c r="XY123" s="113"/>
      <c r="XZ123" s="113"/>
      <c r="YA123" s="113"/>
      <c r="YB123" s="113"/>
      <c r="YC123" s="113"/>
      <c r="YD123" s="113"/>
      <c r="YE123" s="113"/>
      <c r="YF123" s="113"/>
      <c r="YG123" s="113"/>
      <c r="YH123" s="113"/>
      <c r="YI123" s="113"/>
      <c r="YJ123" s="113"/>
      <c r="YK123" s="113"/>
      <c r="YL123" s="113"/>
      <c r="YM123" s="113"/>
      <c r="YN123" s="113"/>
      <c r="YO123" s="113"/>
      <c r="YP123" s="113"/>
      <c r="YQ123" s="113"/>
      <c r="YR123" s="113"/>
      <c r="YS123" s="113"/>
      <c r="YT123" s="113"/>
      <c r="YU123" s="113"/>
      <c r="YV123" s="113"/>
      <c r="YW123" s="113"/>
      <c r="YX123" s="113"/>
      <c r="YY123" s="113"/>
      <c r="YZ123" s="113"/>
      <c r="ZA123" s="113"/>
      <c r="ZB123" s="113"/>
      <c r="ZC123" s="113"/>
      <c r="ZD123" s="113"/>
      <c r="ZE123" s="113"/>
      <c r="ZF123" s="113"/>
      <c r="ZG123" s="113"/>
      <c r="ZH123" s="113"/>
      <c r="ZI123" s="113"/>
      <c r="ZJ123" s="113"/>
      <c r="ZK123" s="113"/>
      <c r="ZL123" s="113"/>
      <c r="ZM123" s="113"/>
      <c r="ZN123" s="113"/>
      <c r="ZO123" s="113"/>
      <c r="ZP123" s="113"/>
      <c r="ZQ123" s="113"/>
      <c r="ZR123" s="113"/>
      <c r="ZS123" s="113"/>
      <c r="ZT123" s="113"/>
      <c r="ZU123" s="113"/>
      <c r="ZV123" s="113"/>
      <c r="ZW123" s="113"/>
      <c r="ZX123" s="113"/>
      <c r="ZY123" s="113"/>
      <c r="ZZ123" s="113"/>
      <c r="AAA123" s="113"/>
      <c r="AAB123" s="113"/>
      <c r="AAC123" s="113"/>
      <c r="AAD123" s="113"/>
      <c r="AAE123" s="113"/>
      <c r="AAF123" s="113"/>
      <c r="AAG123" s="113"/>
      <c r="AAH123" s="113"/>
      <c r="AAI123" s="113"/>
      <c r="AAJ123" s="113"/>
      <c r="AAK123" s="113"/>
      <c r="AAL123" s="113"/>
      <c r="AAM123" s="113"/>
      <c r="AAN123" s="113"/>
      <c r="AAO123" s="113"/>
      <c r="AAP123" s="113"/>
      <c r="AAQ123" s="113"/>
      <c r="AAR123" s="113"/>
      <c r="AAS123" s="113"/>
      <c r="AAT123" s="113"/>
      <c r="AAU123" s="113"/>
      <c r="AAV123" s="113"/>
      <c r="AAW123" s="113"/>
      <c r="AAX123" s="113"/>
      <c r="AAY123" s="113"/>
      <c r="AAZ123" s="113"/>
      <c r="ABA123" s="113"/>
      <c r="ABB123" s="113"/>
      <c r="ABC123" s="113"/>
      <c r="ABD123" s="113"/>
      <c r="ABE123" s="113"/>
      <c r="ABF123" s="113"/>
      <c r="ABG123" s="113"/>
      <c r="ABH123" s="113"/>
      <c r="ABI123" s="113"/>
      <c r="ABJ123" s="113"/>
      <c r="ABK123" s="113"/>
      <c r="ABL123" s="113"/>
      <c r="ABM123" s="113"/>
      <c r="ABN123" s="113"/>
      <c r="ABO123" s="113"/>
      <c r="ABP123" s="113"/>
      <c r="ABQ123" s="113"/>
      <c r="ABR123" s="113"/>
      <c r="ABS123" s="113"/>
      <c r="ABT123" s="113"/>
      <c r="ABU123" s="113"/>
      <c r="ABV123" s="113"/>
      <c r="ABW123" s="113"/>
      <c r="ABX123" s="113"/>
      <c r="ABY123" s="113"/>
      <c r="ABZ123" s="113"/>
      <c r="ACA123" s="113"/>
      <c r="ACB123" s="113"/>
      <c r="ACC123" s="113"/>
      <c r="ACD123" s="113"/>
      <c r="ACE123" s="113"/>
      <c r="ACF123" s="113"/>
      <c r="ACG123" s="113"/>
      <c r="ACH123" s="113"/>
      <c r="ACI123" s="113"/>
      <c r="ACJ123" s="113"/>
      <c r="ACK123" s="113"/>
      <c r="ACL123" s="113"/>
      <c r="ACM123" s="113"/>
      <c r="ACN123" s="113"/>
      <c r="ACO123" s="113"/>
      <c r="ACP123" s="113"/>
      <c r="ACQ123" s="113"/>
      <c r="ACR123" s="113"/>
      <c r="ACS123" s="113"/>
      <c r="ACT123" s="113"/>
      <c r="ACU123" s="113"/>
      <c r="ACV123" s="113"/>
      <c r="ACW123" s="113"/>
      <c r="ACX123" s="113"/>
      <c r="ACY123" s="113"/>
      <c r="ACZ123" s="113"/>
      <c r="ADA123" s="113"/>
      <c r="ADB123" s="113"/>
      <c r="ADC123" s="113"/>
      <c r="ADD123" s="113"/>
      <c r="ADE123" s="113"/>
      <c r="ADF123" s="113"/>
      <c r="ADG123" s="113"/>
      <c r="ADH123" s="113"/>
      <c r="ADI123" s="113"/>
      <c r="ADJ123" s="113"/>
      <c r="ADK123" s="113"/>
      <c r="ADL123" s="113"/>
      <c r="ADM123" s="113"/>
      <c r="ADN123" s="113"/>
      <c r="ADO123" s="113"/>
      <c r="ADP123" s="113"/>
      <c r="ADQ123" s="113"/>
      <c r="ADR123" s="113"/>
      <c r="ADS123" s="113"/>
      <c r="ADT123" s="113"/>
      <c r="ADU123" s="113"/>
      <c r="ADV123" s="113"/>
      <c r="ADW123" s="113"/>
      <c r="ADX123" s="113"/>
      <c r="ADY123" s="113"/>
      <c r="ADZ123" s="113"/>
      <c r="AEA123" s="113"/>
      <c r="AEB123" s="113"/>
      <c r="AEC123" s="113"/>
      <c r="AED123" s="113"/>
      <c r="AEE123" s="113"/>
      <c r="AEF123" s="113"/>
      <c r="AEG123" s="113"/>
      <c r="AEH123" s="113"/>
      <c r="AEI123" s="113"/>
      <c r="AEJ123" s="113"/>
      <c r="AEK123" s="113"/>
      <c r="AEL123" s="113"/>
      <c r="AEM123" s="113"/>
      <c r="AEN123" s="113"/>
      <c r="AEO123" s="113"/>
      <c r="AEP123" s="113"/>
      <c r="AEQ123" s="113"/>
      <c r="AER123" s="113"/>
      <c r="AES123" s="113"/>
      <c r="AET123" s="113"/>
      <c r="AEU123" s="113"/>
      <c r="AEV123" s="113"/>
      <c r="AEW123" s="113"/>
      <c r="AEX123" s="113"/>
      <c r="AEY123" s="113"/>
      <c r="AEZ123" s="113"/>
      <c r="AFA123" s="113"/>
      <c r="AFB123" s="113"/>
      <c r="AFC123" s="113"/>
      <c r="AFD123" s="113"/>
      <c r="AFE123" s="113"/>
      <c r="AFF123" s="113"/>
      <c r="AFG123" s="113"/>
      <c r="AFH123" s="113"/>
      <c r="AFI123" s="113"/>
      <c r="AFJ123" s="113"/>
      <c r="AFK123" s="113"/>
      <c r="AFL123" s="113"/>
      <c r="AFM123" s="113"/>
      <c r="AFN123" s="113"/>
      <c r="AFO123" s="113"/>
      <c r="AFP123" s="113"/>
      <c r="AFQ123" s="113"/>
      <c r="AFR123" s="113"/>
      <c r="AFS123" s="113"/>
      <c r="AFT123" s="113"/>
      <c r="AFU123" s="113"/>
      <c r="AFV123" s="113"/>
      <c r="AFW123" s="113"/>
      <c r="AFX123" s="113"/>
      <c r="AFY123" s="113"/>
      <c r="AFZ123" s="113"/>
      <c r="AGA123" s="113"/>
      <c r="AGB123" s="113"/>
      <c r="AGC123" s="113"/>
      <c r="AGD123" s="113"/>
      <c r="AGE123" s="113"/>
      <c r="AGF123" s="113"/>
      <c r="AGG123" s="113"/>
      <c r="AGH123" s="113"/>
      <c r="AGI123" s="113"/>
      <c r="AGJ123" s="113"/>
      <c r="AGK123" s="113"/>
      <c r="AGL123" s="113"/>
      <c r="AGM123" s="113"/>
      <c r="AGN123" s="113"/>
      <c r="AGO123" s="113"/>
      <c r="AGP123" s="113"/>
      <c r="AGQ123" s="113"/>
      <c r="AGR123" s="113"/>
      <c r="AGS123" s="113"/>
      <c r="AGT123" s="113"/>
      <c r="AGU123" s="113"/>
      <c r="AGV123" s="113"/>
      <c r="AGW123" s="113"/>
      <c r="AGX123" s="113"/>
      <c r="AGY123" s="113"/>
      <c r="AGZ123" s="113"/>
      <c r="AHA123" s="113"/>
      <c r="AHB123" s="113"/>
      <c r="AHC123" s="113"/>
      <c r="AHD123" s="113"/>
      <c r="AHE123" s="113"/>
      <c r="AHF123" s="113"/>
      <c r="AHG123" s="113"/>
      <c r="AHH123" s="113"/>
      <c r="AHI123" s="113"/>
      <c r="AHJ123" s="113"/>
      <c r="AHK123" s="113"/>
      <c r="AHL123" s="113"/>
      <c r="AHM123" s="113"/>
      <c r="AHN123" s="113"/>
      <c r="AHO123" s="113"/>
      <c r="AHP123" s="113"/>
      <c r="AHQ123" s="113"/>
      <c r="AHR123" s="113"/>
      <c r="AHS123" s="113"/>
      <c r="AHT123" s="113"/>
      <c r="AHU123" s="113"/>
      <c r="AHV123" s="113"/>
      <c r="AHW123" s="113"/>
      <c r="AHX123" s="113"/>
      <c r="AHY123" s="113"/>
      <c r="AHZ123" s="113"/>
      <c r="AIA123" s="113"/>
      <c r="AIB123" s="113"/>
      <c r="AIC123" s="113"/>
      <c r="AID123" s="113"/>
      <c r="AIE123" s="113"/>
      <c r="AIF123" s="113"/>
      <c r="AIG123" s="113"/>
      <c r="AIH123" s="113"/>
      <c r="AII123" s="113"/>
      <c r="AIJ123" s="113"/>
      <c r="AIK123" s="113"/>
      <c r="AIL123" s="113"/>
      <c r="AIM123" s="113"/>
      <c r="AIN123" s="113"/>
      <c r="AIO123" s="113"/>
      <c r="AIP123" s="113"/>
      <c r="AIQ123" s="113"/>
      <c r="AIR123" s="113"/>
      <c r="AIS123" s="113"/>
      <c r="AIT123" s="113"/>
      <c r="AIU123" s="113"/>
      <c r="AIV123" s="113"/>
      <c r="AIW123" s="113"/>
      <c r="AIX123" s="113"/>
      <c r="AIY123" s="113"/>
      <c r="AIZ123" s="113"/>
    </row>
    <row r="124">
      <c r="A124" s="65" t="s">
        <v>7</v>
      </c>
      <c r="B124" s="65" t="s">
        <v>32</v>
      </c>
      <c r="C124" s="65"/>
      <c r="D124" s="64">
        <f t="shared" si="1"/>
        <v>461.5250333</v>
      </c>
      <c r="F124" s="65">
        <v>49.42415</v>
      </c>
      <c r="G124" s="65">
        <v>10.5821166666667</v>
      </c>
      <c r="H124" s="65">
        <v>3.72148333333333</v>
      </c>
      <c r="I124" s="65">
        <v>0.494683333333333</v>
      </c>
      <c r="J124" s="65">
        <v>0.18055</v>
      </c>
      <c r="K124" s="65">
        <v>16.2410333333333</v>
      </c>
      <c r="N124" s="65">
        <v>8.48806666666666</v>
      </c>
      <c r="Q124" s="65">
        <v>72.1572</v>
      </c>
      <c r="R124" s="65">
        <v>16.4012</v>
      </c>
      <c r="S124" s="65">
        <v>7.18745</v>
      </c>
      <c r="T124" s="65">
        <v>3.42038333333333</v>
      </c>
      <c r="U124" s="65">
        <v>23.54425</v>
      </c>
      <c r="X124" s="65">
        <v>29.1522666666667</v>
      </c>
      <c r="Y124" s="65">
        <v>10.2550833333333</v>
      </c>
      <c r="Z124" s="65">
        <v>2.67198333333333</v>
      </c>
      <c r="AA124" s="65">
        <v>0.790466666666667</v>
      </c>
      <c r="AB124" s="65">
        <v>9.1349</v>
      </c>
      <c r="AE124" s="65">
        <v>50.9462166666666</v>
      </c>
      <c r="AF124" s="65">
        <v>13.5169666666667</v>
      </c>
      <c r="AG124" s="65">
        <v>4.72668333333333</v>
      </c>
      <c r="AH124" s="65">
        <v>0.7527</v>
      </c>
      <c r="AI124" s="65">
        <v>17.5345333333333</v>
      </c>
      <c r="AL124" s="65">
        <v>4.45036666666667</v>
      </c>
      <c r="AM124" s="65">
        <v>2.14578333333333</v>
      </c>
      <c r="AN124" s="65">
        <v>20.4181666666667</v>
      </c>
      <c r="AQ124" s="65">
        <v>1.00891666666667</v>
      </c>
      <c r="AR124" s="65">
        <v>9.87108333333333</v>
      </c>
      <c r="AU124" s="65">
        <v>72.30635</v>
      </c>
    </row>
    <row r="125">
      <c r="A125" s="65" t="s">
        <v>7</v>
      </c>
      <c r="B125" s="65" t="s">
        <v>32</v>
      </c>
      <c r="C125" s="65"/>
      <c r="D125" s="64">
        <f t="shared" si="1"/>
        <v>0</v>
      </c>
    </row>
    <row r="126">
      <c r="A126" s="65" t="s">
        <v>7</v>
      </c>
      <c r="B126" s="65" t="s">
        <v>32</v>
      </c>
      <c r="C126" s="65"/>
      <c r="D126" s="64">
        <f t="shared" si="1"/>
        <v>427.2636333</v>
      </c>
      <c r="F126" s="118">
        <f>HYPERLINK("https://docs.google.com/spreadsheets/d/1pgEk83c24ga_22L8VuPNMurp1VREbzHA", 44.0922333333333)</f>
        <v>44.09223333</v>
      </c>
      <c r="G126" s="118">
        <f>HYPERLINK("https://docs.google.com/spreadsheets/d/1ocEOtIF897em3U0V2_RmNRq1bFhFrQdy", 10.5821333333333)</f>
        <v>10.58213333</v>
      </c>
      <c r="H126" s="118">
        <f>HYPERLINK("https://docs.google.com/spreadsheets/d/1DOfHrYeyVNVqRbtRBdhy-jDHP4xWPy5l", 3.72148333333333)</f>
        <v>3.721483333</v>
      </c>
      <c r="I126" s="118">
        <f>HYPERLINK("https://docs.google.com/spreadsheets/d/1ssmxvyMBey6x72yFwvRoVfr-NAP6qi3p", 0.494683333333333)</f>
        <v>0.4946833333</v>
      </c>
      <c r="J126" s="118">
        <f>HYPERLINK("https://docs.google.com/spreadsheets/d/1AF8BtqdXzHkt6DeqJbBuk-Jh1k-NdFBJ", 0.18055)</f>
        <v>0.18055</v>
      </c>
      <c r="K126" s="118">
        <f>HYPERLINK("https://docs.google.com/spreadsheets/d/1uV6dfSM1OKK1CygONeQSjd3jy4DtcbLg", 16.2409833333333)</f>
        <v>16.24098333</v>
      </c>
      <c r="N126" s="118">
        <f>HYPERLINK("https://docs.google.com/spreadsheets/d/1FF2eRqRuLyhrWewzPPt4mUpfkTfurSwN", 8.48806666666667)</f>
        <v>8.488066667</v>
      </c>
      <c r="Q126" s="118">
        <f>HYPERLINK("https://docs.google.com/spreadsheets/d/1YEFVc64lZAkXLYvmDbiokE-Fje1s0kqX", 55.27525)</f>
        <v>55.27525</v>
      </c>
      <c r="R126" s="118">
        <f>HYPERLINK("https://docs.google.com/spreadsheets/d/1fwkdEFFu_crC0k_1iineOk3ViytSq7ra", 16.4011833333333)</f>
        <v>16.40118333</v>
      </c>
      <c r="S126" s="118">
        <f>HYPERLINK("https://docs.google.com/spreadsheets/d/14HitH8XRVMLKkjMhrZj4xlZd9z5Qvpaf", 6.96581666666667)</f>
        <v>6.965816667</v>
      </c>
      <c r="T126" s="118">
        <f>HYPERLINK("https://docs.google.com/spreadsheets/d/1BebmbD_hTrXFXFm1-91zFQDVoTgE8rQK", 3.28546666666667)</f>
        <v>3.285466667</v>
      </c>
      <c r="U126" s="118">
        <f>HYPERLINK("https://docs.google.com/spreadsheets/d/1Hcm78gs5rJxCiqe-YzM2AQwKFZX3khc2", 23.5442166666667)</f>
        <v>23.54421667</v>
      </c>
      <c r="X126" s="118">
        <f>HYPERLINK("https://docs.google.com/spreadsheets/d/1yC-MeTHIu_LeU5nUE3tVkoRdMsq-VdMk", 23.8394666666667)</f>
        <v>23.83946667</v>
      </c>
      <c r="Y126" s="118">
        <f>HYPERLINK("https://docs.google.com/spreadsheets/d/1gyC-QYNKcCACFxFzS-LDgx-lPa0Dt2vS", 10.2550666666667)</f>
        <v>10.25506667</v>
      </c>
      <c r="Z126" s="118">
        <f>HYPERLINK("https://docs.google.com/spreadsheets/d/1PyGDT68XM-lNTFFhKe5SbqGNwva67vE_", 2.52035)</f>
        <v>2.52035</v>
      </c>
      <c r="AA126" s="118">
        <f>HYPERLINK("https://docs.google.com/spreadsheets/d/1-P4GWmyKy2Q2Oz_dK6dKg4OnMWT-0kwV", 0.10595)</f>
        <v>0.10595</v>
      </c>
      <c r="AB126" s="118">
        <f>HYPERLINK("https://docs.google.com/spreadsheets/d/1V4BChg_2-f6R0eF-U3tyR_mp4UL2n9nx", 8.93738333333333)</f>
        <v>8.937383333</v>
      </c>
      <c r="AE126" s="118">
        <f>HYPERLINK("https://docs.google.com/spreadsheets/d/1o1DuhEaYYP_KkpfhMKhG4sBMiUwnMWr3", 46.5407833333333)</f>
        <v>46.54078333</v>
      </c>
      <c r="AF126" s="118">
        <f>HYPERLINK("https://docs.google.com/spreadsheets/d/1H0OvlM1sLIF4wsnXDWm5q-A8lYx1d2UL", 13.3372833333333)</f>
        <v>13.33728333</v>
      </c>
      <c r="AG126" s="118">
        <f>HYPERLINK("https://docs.google.com/spreadsheets/d/1NJwqMNN4njZLJTrXJUapS9balKPqbDTj", 4.72668333333333)</f>
        <v>4.726683333</v>
      </c>
      <c r="AH126" s="118">
        <f>HYPERLINK("https://docs.google.com/spreadsheets/d/1fiYpHfRNj4B5FJTsSIMPtERMD8qqyOmb", 0.7527)</f>
        <v>0.7527</v>
      </c>
      <c r="AI126" s="118">
        <f>HYPERLINK("https://docs.google.com/spreadsheets/d/1NThVuDP0ESyxnEjymJaFuNQ5FFMUuoHO", 17.53455)</f>
        <v>17.53455</v>
      </c>
      <c r="AL126" s="118">
        <f>HYPERLINK("https://docs.google.com/spreadsheets/d/1IuCosIQYzqiIRbwzvT7art_Yfrf2ECJg", 4.3681)</f>
        <v>4.3681</v>
      </c>
      <c r="AM126" s="118">
        <f>HYPERLINK("https://docs.google.com/spreadsheets/d/17vloF0MIPQ5440Ipmh1foyPDOwwGJ4g4", 1.935)</f>
        <v>1.935</v>
      </c>
      <c r="AN126" s="118">
        <f>HYPERLINK("https://docs.google.com/spreadsheets/d/1fY1JQsz7A_86JLjp4Yolovmax5xhHNVa", 20.3350333333333)</f>
        <v>20.33503333</v>
      </c>
      <c r="AQ126" s="118">
        <f>HYPERLINK("https://docs.google.com/spreadsheets/d/1Hsesqv1_94CtmSFw9JbqduC8JBkeBV0S", 1.00891666666667)</f>
        <v>1.008916667</v>
      </c>
      <c r="AR126" s="118">
        <f>HYPERLINK("https://docs.google.com/spreadsheets/d/1T4LWcQzUCNmVycIZCmjO6ezrQzceLHxv", 9.87108333333333)</f>
        <v>9.871083333</v>
      </c>
      <c r="AU126" s="118">
        <f>HYPERLINK("https://docs.google.com/spreadsheets/d/1pqgX_a_zPTYWumkhbvKc6H_jXN8dffSy", 71.9232166666667)</f>
        <v>71.92321667</v>
      </c>
    </row>
    <row r="127">
      <c r="A127" s="65" t="s">
        <v>7</v>
      </c>
      <c r="B127" s="65" t="s">
        <v>32</v>
      </c>
      <c r="C127" s="65"/>
      <c r="D127" s="64">
        <f t="shared" si="1"/>
        <v>258.2187167</v>
      </c>
      <c r="F127" s="65">
        <v>23.2658666666667</v>
      </c>
      <c r="G127" s="65">
        <v>4.49503333333333</v>
      </c>
      <c r="H127" s="65">
        <v>0.0</v>
      </c>
      <c r="I127" s="65">
        <v>0.0</v>
      </c>
      <c r="J127" s="65">
        <v>0.0</v>
      </c>
      <c r="K127" s="65">
        <v>6.40533333333333</v>
      </c>
      <c r="N127" s="65">
        <v>5.42965</v>
      </c>
      <c r="Q127" s="65">
        <v>33.4433166666666</v>
      </c>
      <c r="R127" s="65">
        <v>8.40606666666666</v>
      </c>
      <c r="S127" s="65">
        <v>1.45021666666667</v>
      </c>
      <c r="T127" s="65">
        <v>0.374166666666667</v>
      </c>
      <c r="U127" s="65">
        <v>15.96605</v>
      </c>
      <c r="X127" s="65">
        <v>15.1552</v>
      </c>
      <c r="Y127" s="65">
        <v>4.95941666666667</v>
      </c>
      <c r="Z127" s="65">
        <v>0.338866666666667</v>
      </c>
      <c r="AA127" s="65">
        <v>0.0</v>
      </c>
      <c r="AB127" s="65">
        <v>8.2593</v>
      </c>
      <c r="AE127" s="65">
        <v>31.1328333333333</v>
      </c>
      <c r="AF127" s="65">
        <v>7.00493333333333</v>
      </c>
      <c r="AG127" s="65">
        <v>1.38021666666667</v>
      </c>
      <c r="AH127" s="65">
        <v>0.0</v>
      </c>
      <c r="AI127" s="65">
        <v>11.2021166666667</v>
      </c>
      <c r="AL127" s="65">
        <v>1.53628333333333</v>
      </c>
      <c r="AM127" s="65">
        <v>0.0</v>
      </c>
      <c r="AN127" s="65">
        <v>12.0674</v>
      </c>
      <c r="AQ127" s="65">
        <v>0.308716666666667</v>
      </c>
      <c r="AR127" s="65">
        <v>6.57975</v>
      </c>
      <c r="AU127" s="65">
        <v>59.0579833333334</v>
      </c>
    </row>
    <row r="128">
      <c r="A128" s="119" t="s">
        <v>7</v>
      </c>
      <c r="B128" s="119" t="s">
        <v>32</v>
      </c>
      <c r="C128" s="119"/>
      <c r="D128" s="120">
        <f t="shared" si="1"/>
        <v>0</v>
      </c>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c r="AA128" s="120"/>
      <c r="AB128" s="120"/>
      <c r="AC128" s="120"/>
      <c r="AD128" s="120"/>
      <c r="AE128" s="120"/>
      <c r="AF128" s="120"/>
      <c r="AG128" s="120"/>
      <c r="AH128" s="120"/>
      <c r="AI128" s="120"/>
      <c r="AJ128" s="120"/>
      <c r="AK128" s="120"/>
      <c r="AL128" s="120"/>
      <c r="AM128" s="120"/>
      <c r="AN128" s="120"/>
      <c r="AO128" s="120"/>
      <c r="AP128" s="120"/>
      <c r="AQ128" s="120"/>
      <c r="AR128" s="120"/>
      <c r="AS128" s="120"/>
      <c r="AT128" s="120"/>
      <c r="AU128" s="120"/>
      <c r="AV128" s="120"/>
      <c r="AW128" s="120"/>
      <c r="AX128" s="120"/>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0"/>
      <c r="CD128" s="120"/>
      <c r="CE128" s="120"/>
      <c r="CF128" s="120"/>
      <c r="CG128" s="120"/>
      <c r="CH128" s="120"/>
      <c r="CI128" s="120"/>
      <c r="CJ128" s="120"/>
      <c r="CK128" s="120"/>
      <c r="CL128" s="120"/>
      <c r="CM128" s="120"/>
      <c r="CN128" s="120"/>
      <c r="CO128" s="120"/>
      <c r="CP128" s="120"/>
      <c r="CQ128" s="120"/>
      <c r="CR128" s="120"/>
      <c r="CS128" s="120"/>
      <c r="CT128" s="120"/>
      <c r="CU128" s="120"/>
      <c r="CV128" s="120"/>
      <c r="CW128" s="120"/>
      <c r="CX128" s="120"/>
      <c r="CY128" s="120"/>
      <c r="CZ128" s="120"/>
      <c r="DA128" s="120"/>
      <c r="DB128" s="120"/>
      <c r="DC128" s="120"/>
      <c r="DD128" s="120"/>
      <c r="DE128" s="120"/>
      <c r="DF128" s="120"/>
      <c r="DG128" s="120"/>
      <c r="DH128" s="120"/>
      <c r="DI128" s="120"/>
      <c r="DJ128" s="120"/>
      <c r="DK128" s="120"/>
      <c r="DL128" s="120"/>
      <c r="DM128" s="120"/>
      <c r="DN128" s="120"/>
      <c r="DO128" s="120"/>
      <c r="DP128" s="120"/>
      <c r="DQ128" s="120"/>
      <c r="DR128" s="120"/>
      <c r="DS128" s="120"/>
      <c r="DT128" s="120"/>
      <c r="DU128" s="120"/>
      <c r="DV128" s="120"/>
      <c r="DW128" s="120"/>
      <c r="DX128" s="120"/>
      <c r="DY128" s="120"/>
      <c r="DZ128" s="120"/>
      <c r="EA128" s="120"/>
      <c r="EB128" s="120"/>
      <c r="EC128" s="120"/>
      <c r="ED128" s="120"/>
      <c r="EE128" s="120"/>
      <c r="EF128" s="120"/>
      <c r="EG128" s="120"/>
      <c r="EH128" s="120"/>
      <c r="EI128" s="120"/>
      <c r="EJ128" s="120"/>
      <c r="EK128" s="120"/>
      <c r="EL128" s="120"/>
      <c r="EM128" s="120"/>
      <c r="EN128" s="120"/>
      <c r="EO128" s="120"/>
      <c r="EP128" s="120"/>
      <c r="EQ128" s="120"/>
      <c r="ER128" s="120"/>
      <c r="ES128" s="120"/>
      <c r="ET128" s="120"/>
      <c r="EU128" s="120"/>
      <c r="EV128" s="120"/>
      <c r="EW128" s="120"/>
      <c r="EX128" s="120"/>
      <c r="EY128" s="120"/>
      <c r="EZ128" s="120"/>
      <c r="FA128" s="120"/>
      <c r="FB128" s="120"/>
      <c r="FC128" s="120"/>
      <c r="FD128" s="120"/>
      <c r="FE128" s="120"/>
      <c r="FF128" s="120"/>
      <c r="FG128" s="120"/>
      <c r="FH128" s="120"/>
      <c r="FI128" s="120"/>
      <c r="FJ128" s="120"/>
      <c r="FK128" s="120"/>
      <c r="FL128" s="120"/>
      <c r="FM128" s="120"/>
      <c r="FN128" s="120"/>
      <c r="FO128" s="120"/>
      <c r="FP128" s="120"/>
      <c r="FQ128" s="120"/>
      <c r="FR128" s="120"/>
      <c r="FS128" s="120"/>
      <c r="FT128" s="120"/>
      <c r="FU128" s="120"/>
      <c r="FV128" s="120"/>
      <c r="FW128" s="120"/>
      <c r="FX128" s="120"/>
      <c r="FY128" s="120"/>
      <c r="FZ128" s="120"/>
      <c r="GA128" s="120"/>
      <c r="GB128" s="120"/>
      <c r="GC128" s="120"/>
      <c r="GD128" s="120"/>
      <c r="GE128" s="120"/>
      <c r="GF128" s="120"/>
      <c r="GG128" s="120"/>
      <c r="GH128" s="120"/>
      <c r="GI128" s="120"/>
      <c r="GJ128" s="120"/>
      <c r="GK128" s="120"/>
      <c r="GL128" s="120"/>
      <c r="GM128" s="120"/>
      <c r="GN128" s="120"/>
      <c r="GO128" s="120"/>
      <c r="GP128" s="120"/>
      <c r="GQ128" s="120"/>
      <c r="GR128" s="120"/>
      <c r="GS128" s="120"/>
      <c r="GT128" s="120"/>
      <c r="GU128" s="120"/>
      <c r="GV128" s="120"/>
      <c r="GW128" s="120"/>
      <c r="GX128" s="120"/>
      <c r="GY128" s="120"/>
      <c r="GZ128" s="120"/>
      <c r="HA128" s="120"/>
      <c r="HB128" s="120"/>
      <c r="HC128" s="120"/>
      <c r="HD128" s="120"/>
      <c r="HE128" s="120"/>
      <c r="HF128" s="120"/>
      <c r="HG128" s="120"/>
      <c r="HH128" s="120"/>
      <c r="HI128" s="120"/>
      <c r="HJ128" s="120"/>
      <c r="HK128" s="120"/>
      <c r="HL128" s="120"/>
      <c r="HM128" s="120"/>
      <c r="HN128" s="120"/>
      <c r="HO128" s="120"/>
      <c r="HP128" s="120"/>
      <c r="HQ128" s="120"/>
      <c r="HR128" s="120"/>
      <c r="HS128" s="120"/>
      <c r="HT128" s="120"/>
      <c r="HU128" s="120"/>
      <c r="HV128" s="120"/>
      <c r="HW128" s="120"/>
      <c r="HX128" s="120"/>
      <c r="HY128" s="120"/>
      <c r="HZ128" s="120"/>
      <c r="IA128" s="120"/>
      <c r="IB128" s="120"/>
      <c r="IC128" s="120"/>
      <c r="ID128" s="120"/>
      <c r="IE128" s="120"/>
      <c r="IF128" s="120"/>
      <c r="IG128" s="120"/>
      <c r="IH128" s="120"/>
      <c r="II128" s="120"/>
      <c r="IJ128" s="120"/>
      <c r="IK128" s="120"/>
      <c r="IL128" s="120"/>
      <c r="IM128" s="120"/>
      <c r="IN128" s="120"/>
      <c r="IO128" s="120"/>
      <c r="IP128" s="120"/>
      <c r="IQ128" s="120"/>
      <c r="IR128" s="120"/>
      <c r="IS128" s="120"/>
      <c r="IT128" s="120"/>
      <c r="IU128" s="120"/>
      <c r="IV128" s="120"/>
      <c r="IW128" s="120"/>
      <c r="IX128" s="120"/>
      <c r="IY128" s="120"/>
      <c r="IZ128" s="120"/>
      <c r="JA128" s="120"/>
      <c r="JB128" s="120"/>
      <c r="JC128" s="120"/>
      <c r="JD128" s="120"/>
      <c r="JE128" s="120"/>
      <c r="JF128" s="120"/>
      <c r="JG128" s="120"/>
      <c r="JH128" s="120"/>
      <c r="JI128" s="120"/>
      <c r="JJ128" s="120"/>
      <c r="JK128" s="120"/>
      <c r="JL128" s="120"/>
      <c r="JM128" s="120"/>
      <c r="JN128" s="120"/>
      <c r="JO128" s="120"/>
      <c r="JP128" s="120"/>
      <c r="JQ128" s="120"/>
      <c r="JR128" s="120"/>
      <c r="JS128" s="120"/>
      <c r="JT128" s="120"/>
      <c r="JU128" s="120"/>
      <c r="JV128" s="120"/>
      <c r="JW128" s="120"/>
      <c r="JX128" s="120"/>
      <c r="JY128" s="120"/>
      <c r="JZ128" s="120"/>
      <c r="KA128" s="120"/>
      <c r="KB128" s="120"/>
      <c r="KC128" s="120"/>
      <c r="KD128" s="120"/>
      <c r="KE128" s="120"/>
      <c r="KF128" s="120"/>
      <c r="KG128" s="120"/>
      <c r="KH128" s="120"/>
      <c r="KI128" s="120"/>
      <c r="KJ128" s="120"/>
      <c r="KK128" s="120"/>
      <c r="KL128" s="120"/>
      <c r="KM128" s="120"/>
      <c r="KN128" s="120"/>
      <c r="KO128" s="120"/>
      <c r="KP128" s="120"/>
      <c r="KQ128" s="120"/>
      <c r="KR128" s="120"/>
      <c r="KS128" s="120"/>
      <c r="KT128" s="120"/>
      <c r="KU128" s="120"/>
      <c r="KV128" s="120"/>
      <c r="KW128" s="120"/>
      <c r="KX128" s="120"/>
      <c r="KY128" s="120"/>
      <c r="KZ128" s="120"/>
      <c r="LA128" s="120"/>
      <c r="LB128" s="120"/>
      <c r="LC128" s="120"/>
      <c r="LD128" s="120"/>
      <c r="LE128" s="120"/>
      <c r="LF128" s="120"/>
      <c r="LG128" s="120"/>
      <c r="LH128" s="120"/>
      <c r="LI128" s="120"/>
      <c r="LJ128" s="120"/>
      <c r="LK128" s="120"/>
      <c r="LL128" s="120"/>
      <c r="LM128" s="120"/>
      <c r="LN128" s="120"/>
      <c r="LO128" s="120"/>
      <c r="LP128" s="120"/>
      <c r="LQ128" s="120"/>
      <c r="LR128" s="120"/>
      <c r="LS128" s="120"/>
      <c r="LT128" s="120"/>
      <c r="LU128" s="120"/>
      <c r="LV128" s="120"/>
      <c r="LW128" s="120"/>
      <c r="LX128" s="120"/>
      <c r="LY128" s="120"/>
      <c r="LZ128" s="120"/>
      <c r="MA128" s="120"/>
      <c r="MB128" s="120"/>
      <c r="MC128" s="120"/>
      <c r="MD128" s="120"/>
      <c r="ME128" s="120"/>
      <c r="MF128" s="120"/>
      <c r="MG128" s="120"/>
      <c r="MH128" s="120"/>
      <c r="MI128" s="120"/>
      <c r="MJ128" s="120"/>
      <c r="MK128" s="120"/>
      <c r="ML128" s="120"/>
      <c r="MM128" s="120"/>
      <c r="MN128" s="120"/>
      <c r="MO128" s="120"/>
      <c r="MP128" s="120"/>
      <c r="MQ128" s="120"/>
      <c r="MR128" s="120"/>
      <c r="MS128" s="120"/>
      <c r="MT128" s="120"/>
      <c r="MU128" s="120"/>
      <c r="MV128" s="120"/>
      <c r="MW128" s="120"/>
      <c r="MX128" s="120"/>
      <c r="MY128" s="120"/>
      <c r="MZ128" s="120"/>
      <c r="NA128" s="120"/>
      <c r="NB128" s="120"/>
      <c r="NC128" s="120"/>
      <c r="ND128" s="120"/>
      <c r="NE128" s="120"/>
      <c r="NF128" s="120"/>
      <c r="NG128" s="120"/>
      <c r="NH128" s="120"/>
      <c r="NI128" s="120"/>
      <c r="NJ128" s="120"/>
      <c r="NK128" s="120"/>
      <c r="NL128" s="120"/>
      <c r="NM128" s="120"/>
      <c r="NN128" s="120"/>
      <c r="NO128" s="120"/>
      <c r="NP128" s="120"/>
      <c r="NQ128" s="120"/>
      <c r="NR128" s="120"/>
      <c r="NS128" s="120"/>
      <c r="NT128" s="120"/>
      <c r="NU128" s="120"/>
      <c r="NV128" s="120"/>
      <c r="NW128" s="120"/>
      <c r="NX128" s="120"/>
      <c r="NY128" s="120"/>
      <c r="NZ128" s="120"/>
      <c r="OA128" s="120"/>
      <c r="OB128" s="120"/>
      <c r="OC128" s="120"/>
      <c r="OD128" s="120"/>
      <c r="OE128" s="120"/>
      <c r="OF128" s="120"/>
      <c r="OG128" s="120"/>
      <c r="OH128" s="120"/>
      <c r="OI128" s="120"/>
      <c r="OJ128" s="120"/>
      <c r="OK128" s="120"/>
      <c r="OL128" s="120"/>
      <c r="OM128" s="120"/>
      <c r="ON128" s="120"/>
      <c r="OO128" s="120"/>
      <c r="OP128" s="120"/>
      <c r="OQ128" s="120"/>
      <c r="OR128" s="120"/>
      <c r="OS128" s="120"/>
      <c r="OT128" s="120"/>
      <c r="OU128" s="120"/>
      <c r="OV128" s="120"/>
      <c r="OW128" s="120"/>
      <c r="OX128" s="120"/>
      <c r="OY128" s="120"/>
      <c r="OZ128" s="120"/>
      <c r="PA128" s="120"/>
      <c r="PB128" s="120"/>
      <c r="PC128" s="120"/>
      <c r="PD128" s="120"/>
      <c r="PE128" s="120"/>
      <c r="PF128" s="120"/>
      <c r="PG128" s="120"/>
      <c r="PH128" s="120"/>
      <c r="PI128" s="120"/>
      <c r="PJ128" s="120"/>
      <c r="PK128" s="120"/>
      <c r="PL128" s="120"/>
      <c r="PM128" s="120"/>
      <c r="PN128" s="120"/>
      <c r="PO128" s="120"/>
      <c r="PP128" s="120"/>
      <c r="PQ128" s="120"/>
      <c r="PR128" s="120"/>
      <c r="PS128" s="120"/>
      <c r="PT128" s="120"/>
      <c r="PU128" s="120"/>
      <c r="PV128" s="120"/>
      <c r="PW128" s="120"/>
      <c r="PX128" s="120"/>
      <c r="PY128" s="120"/>
      <c r="PZ128" s="120"/>
      <c r="QA128" s="120"/>
      <c r="QB128" s="120"/>
      <c r="QC128" s="120"/>
      <c r="QD128" s="120"/>
      <c r="QE128" s="120"/>
      <c r="QF128" s="120"/>
      <c r="QG128" s="120"/>
      <c r="QH128" s="120"/>
      <c r="QI128" s="120"/>
      <c r="QJ128" s="120"/>
      <c r="QK128" s="120"/>
      <c r="QL128" s="120"/>
      <c r="QM128" s="120"/>
      <c r="QN128" s="120"/>
      <c r="QO128" s="120"/>
      <c r="QP128" s="120"/>
      <c r="QQ128" s="120"/>
      <c r="QR128" s="120"/>
      <c r="QS128" s="120"/>
      <c r="QT128" s="120"/>
      <c r="QU128" s="120"/>
      <c r="QV128" s="120"/>
      <c r="QW128" s="120"/>
      <c r="QX128" s="120"/>
      <c r="QY128" s="120"/>
      <c r="QZ128" s="120"/>
      <c r="RA128" s="120"/>
      <c r="RB128" s="120"/>
      <c r="RC128" s="120"/>
      <c r="RD128" s="120"/>
      <c r="RE128" s="120"/>
      <c r="RF128" s="120"/>
      <c r="RG128" s="120"/>
      <c r="RH128" s="120"/>
      <c r="RI128" s="120"/>
      <c r="RJ128" s="120"/>
      <c r="RK128" s="120"/>
      <c r="RL128" s="120"/>
      <c r="RM128" s="120"/>
      <c r="RN128" s="120"/>
      <c r="RO128" s="120"/>
      <c r="RP128" s="120"/>
      <c r="RQ128" s="120"/>
      <c r="RR128" s="120"/>
      <c r="RS128" s="120"/>
      <c r="RT128" s="120"/>
      <c r="RU128" s="120"/>
      <c r="RV128" s="120"/>
      <c r="RW128" s="120"/>
      <c r="RX128" s="120"/>
      <c r="RY128" s="120"/>
      <c r="RZ128" s="120"/>
      <c r="SA128" s="120"/>
      <c r="SB128" s="120"/>
      <c r="SC128" s="120"/>
      <c r="SD128" s="120"/>
      <c r="SE128" s="120"/>
      <c r="SF128" s="120"/>
      <c r="SG128" s="120"/>
      <c r="SH128" s="120"/>
      <c r="SI128" s="120"/>
      <c r="SJ128" s="120"/>
      <c r="SK128" s="120"/>
      <c r="SL128" s="120"/>
      <c r="SM128" s="120"/>
      <c r="SN128" s="120"/>
      <c r="SO128" s="120"/>
      <c r="SP128" s="120"/>
      <c r="SQ128" s="120"/>
      <c r="SR128" s="120"/>
      <c r="SS128" s="120"/>
      <c r="ST128" s="120"/>
      <c r="SU128" s="120"/>
      <c r="SV128" s="120"/>
      <c r="SW128" s="120"/>
      <c r="SX128" s="120"/>
      <c r="SY128" s="120"/>
      <c r="SZ128" s="120"/>
      <c r="TA128" s="120"/>
      <c r="TB128" s="120"/>
      <c r="TC128" s="120"/>
      <c r="TD128" s="120"/>
      <c r="TE128" s="120"/>
      <c r="TF128" s="120"/>
      <c r="TG128" s="120"/>
      <c r="TH128" s="120"/>
      <c r="TI128" s="120"/>
      <c r="TJ128" s="120"/>
      <c r="TK128" s="120"/>
      <c r="TL128" s="120"/>
      <c r="TM128" s="120"/>
      <c r="TN128" s="120"/>
      <c r="TO128" s="120"/>
      <c r="TP128" s="120"/>
      <c r="TQ128" s="120"/>
      <c r="TR128" s="120"/>
      <c r="TS128" s="120"/>
      <c r="TT128" s="120"/>
      <c r="TU128" s="120"/>
      <c r="TV128" s="120"/>
      <c r="TW128" s="120"/>
      <c r="TX128" s="120"/>
      <c r="TY128" s="120"/>
      <c r="TZ128" s="120"/>
      <c r="UA128" s="120"/>
      <c r="UB128" s="120"/>
      <c r="UC128" s="120"/>
      <c r="UD128" s="120"/>
      <c r="UE128" s="120"/>
      <c r="UF128" s="120"/>
      <c r="UG128" s="120"/>
      <c r="UH128" s="120"/>
      <c r="UI128" s="120"/>
      <c r="UJ128" s="120"/>
      <c r="UK128" s="120"/>
      <c r="UL128" s="120"/>
      <c r="UM128" s="120"/>
      <c r="UN128" s="120"/>
      <c r="UO128" s="120"/>
      <c r="UP128" s="120"/>
      <c r="UQ128" s="120"/>
      <c r="UR128" s="120"/>
      <c r="US128" s="120"/>
      <c r="UT128" s="120"/>
      <c r="UU128" s="120"/>
      <c r="UV128" s="120"/>
      <c r="UW128" s="120"/>
      <c r="UX128" s="120"/>
      <c r="UY128" s="120"/>
      <c r="UZ128" s="120"/>
      <c r="VA128" s="120"/>
      <c r="VB128" s="120"/>
      <c r="VC128" s="120"/>
      <c r="VD128" s="120"/>
      <c r="VE128" s="120"/>
      <c r="VF128" s="120"/>
      <c r="VG128" s="120"/>
      <c r="VH128" s="120"/>
      <c r="VI128" s="120"/>
      <c r="VJ128" s="120"/>
      <c r="VK128" s="120"/>
      <c r="VL128" s="120"/>
      <c r="VM128" s="120"/>
      <c r="VN128" s="120"/>
      <c r="VO128" s="120"/>
      <c r="VP128" s="120"/>
      <c r="VQ128" s="120"/>
      <c r="VR128" s="120"/>
      <c r="VS128" s="120"/>
      <c r="VT128" s="120"/>
      <c r="VU128" s="120"/>
      <c r="VV128" s="120"/>
      <c r="VW128" s="120"/>
      <c r="VX128" s="120"/>
      <c r="VY128" s="120"/>
      <c r="VZ128" s="120"/>
      <c r="WA128" s="120"/>
      <c r="WB128" s="120"/>
      <c r="WC128" s="120"/>
      <c r="WD128" s="120"/>
      <c r="WE128" s="120"/>
      <c r="WF128" s="120"/>
      <c r="WG128" s="120"/>
      <c r="WH128" s="120"/>
      <c r="WI128" s="120"/>
      <c r="WJ128" s="120"/>
      <c r="WK128" s="120"/>
      <c r="WL128" s="120"/>
      <c r="WM128" s="120"/>
      <c r="WN128" s="120"/>
      <c r="WO128" s="120"/>
      <c r="WP128" s="120"/>
      <c r="WQ128" s="120"/>
      <c r="WR128" s="120"/>
      <c r="WS128" s="120"/>
      <c r="WT128" s="120"/>
      <c r="WU128" s="120"/>
      <c r="WV128" s="120"/>
      <c r="WW128" s="120"/>
      <c r="WX128" s="120"/>
      <c r="WY128" s="120"/>
      <c r="WZ128" s="120"/>
      <c r="XA128" s="120"/>
      <c r="XB128" s="120"/>
      <c r="XC128" s="120"/>
      <c r="XD128" s="120"/>
      <c r="XE128" s="120"/>
      <c r="XF128" s="120"/>
      <c r="XG128" s="120"/>
      <c r="XH128" s="120"/>
      <c r="XI128" s="120"/>
      <c r="XJ128" s="120"/>
      <c r="XK128" s="120"/>
      <c r="XL128" s="120"/>
      <c r="XM128" s="120"/>
      <c r="XN128" s="120"/>
      <c r="XO128" s="120"/>
      <c r="XP128" s="120"/>
      <c r="XQ128" s="120"/>
      <c r="XR128" s="120"/>
      <c r="XS128" s="120"/>
      <c r="XT128" s="120"/>
      <c r="XU128" s="120"/>
      <c r="XV128" s="120"/>
      <c r="XW128" s="120"/>
      <c r="XX128" s="120"/>
      <c r="XY128" s="120"/>
      <c r="XZ128" s="120"/>
      <c r="YA128" s="120"/>
      <c r="YB128" s="120"/>
      <c r="YC128" s="120"/>
      <c r="YD128" s="120"/>
      <c r="YE128" s="120"/>
      <c r="YF128" s="120"/>
      <c r="YG128" s="120"/>
      <c r="YH128" s="120"/>
      <c r="YI128" s="120"/>
      <c r="YJ128" s="120"/>
      <c r="YK128" s="120"/>
      <c r="YL128" s="120"/>
      <c r="YM128" s="120"/>
      <c r="YN128" s="120"/>
      <c r="YO128" s="120"/>
      <c r="YP128" s="120"/>
      <c r="YQ128" s="120"/>
      <c r="YR128" s="120"/>
      <c r="YS128" s="120"/>
      <c r="YT128" s="120"/>
      <c r="YU128" s="120"/>
      <c r="YV128" s="120"/>
      <c r="YW128" s="120"/>
      <c r="YX128" s="120"/>
      <c r="YY128" s="120"/>
      <c r="YZ128" s="120"/>
      <c r="ZA128" s="120"/>
      <c r="ZB128" s="120"/>
      <c r="ZC128" s="120"/>
      <c r="ZD128" s="120"/>
      <c r="ZE128" s="120"/>
      <c r="ZF128" s="120"/>
      <c r="ZG128" s="120"/>
      <c r="ZH128" s="120"/>
      <c r="ZI128" s="120"/>
      <c r="ZJ128" s="120"/>
      <c r="ZK128" s="120"/>
      <c r="ZL128" s="120"/>
      <c r="ZM128" s="120"/>
      <c r="ZN128" s="120"/>
      <c r="ZO128" s="120"/>
      <c r="ZP128" s="120"/>
      <c r="ZQ128" s="120"/>
      <c r="ZR128" s="120"/>
      <c r="ZS128" s="120"/>
      <c r="ZT128" s="120"/>
      <c r="ZU128" s="120"/>
      <c r="ZV128" s="120"/>
      <c r="ZW128" s="120"/>
      <c r="ZX128" s="120"/>
      <c r="ZY128" s="120"/>
      <c r="ZZ128" s="120"/>
      <c r="AAA128" s="120"/>
      <c r="AAB128" s="120"/>
      <c r="AAC128" s="120"/>
      <c r="AAD128" s="120"/>
      <c r="AAE128" s="120"/>
      <c r="AAF128" s="120"/>
      <c r="AAG128" s="120"/>
      <c r="AAH128" s="120"/>
      <c r="AAI128" s="120"/>
      <c r="AAJ128" s="120"/>
      <c r="AAK128" s="120"/>
      <c r="AAL128" s="120"/>
      <c r="AAM128" s="120"/>
      <c r="AAN128" s="120"/>
      <c r="AAO128" s="120"/>
      <c r="AAP128" s="120"/>
      <c r="AAQ128" s="120"/>
      <c r="AAR128" s="120"/>
      <c r="AAS128" s="120"/>
      <c r="AAT128" s="120"/>
      <c r="AAU128" s="120"/>
      <c r="AAV128" s="120"/>
      <c r="AAW128" s="120"/>
      <c r="AAX128" s="120"/>
      <c r="AAY128" s="120"/>
      <c r="AAZ128" s="120"/>
      <c r="ABA128" s="120"/>
      <c r="ABB128" s="120"/>
      <c r="ABC128" s="120"/>
      <c r="ABD128" s="120"/>
      <c r="ABE128" s="120"/>
      <c r="ABF128" s="120"/>
      <c r="ABG128" s="120"/>
      <c r="ABH128" s="120"/>
      <c r="ABI128" s="120"/>
      <c r="ABJ128" s="120"/>
      <c r="ABK128" s="120"/>
      <c r="ABL128" s="120"/>
      <c r="ABM128" s="120"/>
      <c r="ABN128" s="120"/>
      <c r="ABO128" s="120"/>
      <c r="ABP128" s="120"/>
      <c r="ABQ128" s="120"/>
      <c r="ABR128" s="120"/>
      <c r="ABS128" s="120"/>
      <c r="ABT128" s="120"/>
      <c r="ABU128" s="120"/>
      <c r="ABV128" s="120"/>
      <c r="ABW128" s="120"/>
      <c r="ABX128" s="120"/>
      <c r="ABY128" s="120"/>
      <c r="ABZ128" s="120"/>
      <c r="ACA128" s="120"/>
      <c r="ACB128" s="120"/>
      <c r="ACC128" s="120"/>
      <c r="ACD128" s="120"/>
      <c r="ACE128" s="120"/>
      <c r="ACF128" s="120"/>
      <c r="ACG128" s="120"/>
      <c r="ACH128" s="120"/>
      <c r="ACI128" s="120"/>
      <c r="ACJ128" s="120"/>
      <c r="ACK128" s="120"/>
      <c r="ACL128" s="120"/>
      <c r="ACM128" s="120"/>
      <c r="ACN128" s="120"/>
      <c r="ACO128" s="120"/>
      <c r="ACP128" s="120"/>
      <c r="ACQ128" s="120"/>
      <c r="ACR128" s="120"/>
      <c r="ACS128" s="120"/>
      <c r="ACT128" s="120"/>
      <c r="ACU128" s="120"/>
      <c r="ACV128" s="120"/>
      <c r="ACW128" s="120"/>
      <c r="ACX128" s="120"/>
      <c r="ACY128" s="120"/>
      <c r="ACZ128" s="120"/>
      <c r="ADA128" s="120"/>
      <c r="ADB128" s="120"/>
      <c r="ADC128" s="120"/>
      <c r="ADD128" s="120"/>
      <c r="ADE128" s="120"/>
      <c r="ADF128" s="120"/>
      <c r="ADG128" s="120"/>
      <c r="ADH128" s="120"/>
      <c r="ADI128" s="120"/>
      <c r="ADJ128" s="120"/>
      <c r="ADK128" s="120"/>
      <c r="ADL128" s="120"/>
      <c r="ADM128" s="120"/>
      <c r="ADN128" s="120"/>
      <c r="ADO128" s="120"/>
      <c r="ADP128" s="120"/>
      <c r="ADQ128" s="120"/>
      <c r="ADR128" s="120"/>
      <c r="ADS128" s="120"/>
      <c r="ADT128" s="120"/>
      <c r="ADU128" s="120"/>
      <c r="ADV128" s="120"/>
      <c r="ADW128" s="120"/>
      <c r="ADX128" s="120"/>
      <c r="ADY128" s="120"/>
      <c r="ADZ128" s="120"/>
      <c r="AEA128" s="120"/>
      <c r="AEB128" s="120"/>
      <c r="AEC128" s="120"/>
      <c r="AED128" s="120"/>
      <c r="AEE128" s="120"/>
      <c r="AEF128" s="120"/>
      <c r="AEG128" s="120"/>
      <c r="AEH128" s="120"/>
      <c r="AEI128" s="120"/>
      <c r="AEJ128" s="120"/>
      <c r="AEK128" s="120"/>
      <c r="AEL128" s="120"/>
      <c r="AEM128" s="120"/>
      <c r="AEN128" s="120"/>
      <c r="AEO128" s="120"/>
      <c r="AEP128" s="120"/>
      <c r="AEQ128" s="120"/>
      <c r="AER128" s="120"/>
      <c r="AES128" s="120"/>
      <c r="AET128" s="120"/>
      <c r="AEU128" s="120"/>
      <c r="AEV128" s="120"/>
      <c r="AEW128" s="120"/>
      <c r="AEX128" s="120"/>
      <c r="AEY128" s="120"/>
      <c r="AEZ128" s="120"/>
      <c r="AFA128" s="120"/>
      <c r="AFB128" s="120"/>
      <c r="AFC128" s="120"/>
      <c r="AFD128" s="120"/>
      <c r="AFE128" s="120"/>
      <c r="AFF128" s="120"/>
      <c r="AFG128" s="120"/>
      <c r="AFH128" s="120"/>
      <c r="AFI128" s="120"/>
      <c r="AFJ128" s="120"/>
      <c r="AFK128" s="120"/>
      <c r="AFL128" s="120"/>
      <c r="AFM128" s="120"/>
      <c r="AFN128" s="120"/>
      <c r="AFO128" s="120"/>
      <c r="AFP128" s="120"/>
      <c r="AFQ128" s="120"/>
      <c r="AFR128" s="120"/>
      <c r="AFS128" s="120"/>
      <c r="AFT128" s="120"/>
      <c r="AFU128" s="120"/>
      <c r="AFV128" s="120"/>
      <c r="AFW128" s="120"/>
      <c r="AFX128" s="120"/>
      <c r="AFY128" s="120"/>
      <c r="AFZ128" s="120"/>
      <c r="AGA128" s="120"/>
      <c r="AGB128" s="120"/>
      <c r="AGC128" s="120"/>
      <c r="AGD128" s="120"/>
      <c r="AGE128" s="120"/>
      <c r="AGF128" s="120"/>
      <c r="AGG128" s="120"/>
      <c r="AGH128" s="120"/>
      <c r="AGI128" s="120"/>
      <c r="AGJ128" s="120"/>
      <c r="AGK128" s="120"/>
      <c r="AGL128" s="120"/>
      <c r="AGM128" s="120"/>
      <c r="AGN128" s="120"/>
      <c r="AGO128" s="120"/>
      <c r="AGP128" s="120"/>
      <c r="AGQ128" s="120"/>
      <c r="AGR128" s="120"/>
      <c r="AGS128" s="120"/>
      <c r="AGT128" s="120"/>
      <c r="AGU128" s="120"/>
      <c r="AGV128" s="120"/>
      <c r="AGW128" s="120"/>
      <c r="AGX128" s="120"/>
      <c r="AGY128" s="120"/>
      <c r="AGZ128" s="120"/>
      <c r="AHA128" s="120"/>
      <c r="AHB128" s="120"/>
      <c r="AHC128" s="120"/>
      <c r="AHD128" s="120"/>
      <c r="AHE128" s="120"/>
      <c r="AHF128" s="120"/>
      <c r="AHG128" s="120"/>
      <c r="AHH128" s="120"/>
      <c r="AHI128" s="120"/>
      <c r="AHJ128" s="120"/>
      <c r="AHK128" s="120"/>
      <c r="AHL128" s="120"/>
      <c r="AHM128" s="120"/>
      <c r="AHN128" s="120"/>
      <c r="AHO128" s="120"/>
      <c r="AHP128" s="120"/>
      <c r="AHQ128" s="120"/>
      <c r="AHR128" s="120"/>
      <c r="AHS128" s="120"/>
      <c r="AHT128" s="120"/>
      <c r="AHU128" s="120"/>
      <c r="AHV128" s="120"/>
      <c r="AHW128" s="120"/>
      <c r="AHX128" s="120"/>
      <c r="AHY128" s="120"/>
      <c r="AHZ128" s="120"/>
      <c r="AIA128" s="120"/>
      <c r="AIB128" s="120"/>
      <c r="AIC128" s="120"/>
      <c r="AID128" s="120"/>
      <c r="AIE128" s="120"/>
      <c r="AIF128" s="120"/>
      <c r="AIG128" s="120"/>
      <c r="AIH128" s="120"/>
      <c r="AII128" s="120"/>
      <c r="AIJ128" s="120"/>
      <c r="AIK128" s="120"/>
      <c r="AIL128" s="120"/>
      <c r="AIM128" s="120"/>
      <c r="AIN128" s="120"/>
      <c r="AIO128" s="120"/>
      <c r="AIP128" s="120"/>
      <c r="AIQ128" s="120"/>
      <c r="AIR128" s="120"/>
      <c r="AIS128" s="120"/>
      <c r="AIT128" s="120"/>
      <c r="AIU128" s="120"/>
      <c r="AIV128" s="120"/>
      <c r="AIW128" s="120"/>
      <c r="AIX128" s="120"/>
      <c r="AIY128" s="120"/>
      <c r="AIZ128" s="120"/>
    </row>
    <row r="129">
      <c r="A129" s="112" t="s">
        <v>7</v>
      </c>
      <c r="B129" s="112" t="s">
        <v>22</v>
      </c>
      <c r="C129" s="112"/>
      <c r="D129" s="113">
        <f t="shared" si="1"/>
        <v>727.8164667</v>
      </c>
      <c r="E129" s="112">
        <v>179.556766666667</v>
      </c>
      <c r="F129" s="113"/>
      <c r="G129" s="113"/>
      <c r="H129" s="113"/>
      <c r="I129" s="113"/>
      <c r="J129" s="113"/>
      <c r="K129" s="113"/>
      <c r="L129" s="112">
        <v>1.59758333333333</v>
      </c>
      <c r="M129" s="112">
        <v>24.6897666666667</v>
      </c>
      <c r="N129" s="113"/>
      <c r="O129" s="112">
        <v>0.1679</v>
      </c>
      <c r="P129" s="112">
        <v>165.30145</v>
      </c>
      <c r="Q129" s="113"/>
      <c r="R129" s="113"/>
      <c r="S129" s="113"/>
      <c r="T129" s="113"/>
      <c r="U129" s="113"/>
      <c r="V129" s="112">
        <v>2.13098333333333</v>
      </c>
      <c r="W129" s="112">
        <v>62.4897</v>
      </c>
      <c r="X129" s="113"/>
      <c r="Y129" s="113"/>
      <c r="Z129" s="113"/>
      <c r="AA129" s="113"/>
      <c r="AB129" s="113"/>
      <c r="AC129" s="112">
        <v>1.16631666666667</v>
      </c>
      <c r="AD129" s="112">
        <v>84.7536833333334</v>
      </c>
      <c r="AE129" s="113"/>
      <c r="AF129" s="113"/>
      <c r="AG129" s="113"/>
      <c r="AH129" s="113"/>
      <c r="AI129" s="113"/>
      <c r="AJ129" s="112">
        <v>3.5294</v>
      </c>
      <c r="AK129" s="112">
        <v>98.1522499999999</v>
      </c>
      <c r="AL129" s="113"/>
      <c r="AM129" s="113"/>
      <c r="AN129" s="113"/>
      <c r="AO129" s="112">
        <v>8.75155</v>
      </c>
      <c r="AP129" s="112">
        <v>26.7694166666667</v>
      </c>
      <c r="AQ129" s="113"/>
      <c r="AR129" s="113"/>
      <c r="AS129" s="112">
        <v>3.58863333333333</v>
      </c>
      <c r="AT129" s="112">
        <v>60.4175833333333</v>
      </c>
      <c r="AU129" s="113"/>
      <c r="AV129" s="112">
        <v>3.7085</v>
      </c>
      <c r="AW129" s="112">
        <v>1.04498333333333</v>
      </c>
      <c r="AX129" s="113"/>
      <c r="AY129" s="113"/>
      <c r="AZ129" s="113"/>
      <c r="BA129" s="113"/>
      <c r="BB129" s="113"/>
      <c r="BC129" s="113"/>
      <c r="BD129" s="113"/>
      <c r="BE129" s="113"/>
      <c r="BF129" s="113"/>
      <c r="BG129" s="113"/>
      <c r="BH129" s="113"/>
      <c r="BI129" s="113"/>
      <c r="BJ129" s="113"/>
      <c r="BK129" s="113"/>
      <c r="BL129" s="113"/>
      <c r="BM129" s="113"/>
      <c r="BN129" s="113"/>
      <c r="BO129" s="113"/>
      <c r="BP129" s="113"/>
      <c r="BQ129" s="113"/>
      <c r="BR129" s="113"/>
      <c r="BS129" s="113"/>
      <c r="BT129" s="113"/>
      <c r="BU129" s="113"/>
      <c r="BV129" s="113"/>
      <c r="BW129" s="113"/>
      <c r="BX129" s="113"/>
      <c r="BY129" s="113"/>
      <c r="BZ129" s="113"/>
      <c r="CA129" s="113"/>
      <c r="CB129" s="113"/>
      <c r="CC129" s="113"/>
      <c r="CD129" s="113"/>
      <c r="CE129" s="113"/>
      <c r="CF129" s="113"/>
      <c r="CG129" s="113"/>
      <c r="CH129" s="113"/>
      <c r="CI129" s="113"/>
      <c r="CJ129" s="113"/>
      <c r="CK129" s="113"/>
      <c r="CL129" s="113"/>
      <c r="CM129" s="113"/>
      <c r="CN129" s="113"/>
      <c r="CO129" s="113"/>
      <c r="CP129" s="113"/>
      <c r="CQ129" s="113"/>
      <c r="CR129" s="113"/>
      <c r="CS129" s="113"/>
      <c r="CT129" s="113"/>
      <c r="CU129" s="113"/>
      <c r="CV129" s="113"/>
      <c r="CW129" s="113"/>
      <c r="CX129" s="113"/>
      <c r="CY129" s="113"/>
      <c r="CZ129" s="113"/>
      <c r="DA129" s="113"/>
      <c r="DB129" s="113"/>
      <c r="DC129" s="113"/>
      <c r="DD129" s="113"/>
      <c r="DE129" s="113"/>
      <c r="DF129" s="113"/>
      <c r="DG129" s="113"/>
      <c r="DH129" s="113"/>
      <c r="DI129" s="113"/>
      <c r="DJ129" s="113"/>
      <c r="DK129" s="113"/>
      <c r="DL129" s="113"/>
      <c r="DM129" s="113"/>
      <c r="DN129" s="113"/>
      <c r="DO129" s="113"/>
      <c r="DP129" s="113"/>
      <c r="DQ129" s="113"/>
      <c r="DR129" s="113"/>
      <c r="DS129" s="113"/>
      <c r="DT129" s="113"/>
      <c r="DU129" s="113"/>
      <c r="DV129" s="113"/>
      <c r="DW129" s="113"/>
      <c r="DX129" s="113"/>
      <c r="DY129" s="113"/>
      <c r="DZ129" s="113"/>
      <c r="EA129" s="113"/>
      <c r="EB129" s="113"/>
      <c r="EC129" s="113"/>
      <c r="ED129" s="113"/>
      <c r="EE129" s="113"/>
      <c r="EF129" s="113"/>
      <c r="EG129" s="113"/>
      <c r="EH129" s="113"/>
      <c r="EI129" s="113"/>
      <c r="EJ129" s="113"/>
      <c r="EK129" s="113"/>
      <c r="EL129" s="113"/>
      <c r="EM129" s="113"/>
      <c r="EN129" s="113"/>
      <c r="EO129" s="113"/>
      <c r="EP129" s="113"/>
      <c r="EQ129" s="113"/>
      <c r="ER129" s="113"/>
      <c r="ES129" s="113"/>
      <c r="ET129" s="113"/>
      <c r="EU129" s="113"/>
      <c r="EV129" s="113"/>
      <c r="EW129" s="113"/>
      <c r="EX129" s="113"/>
      <c r="EY129" s="113"/>
      <c r="EZ129" s="113"/>
      <c r="FA129" s="113"/>
      <c r="FB129" s="113"/>
      <c r="FC129" s="113"/>
      <c r="FD129" s="113"/>
      <c r="FE129" s="113"/>
      <c r="FF129" s="113"/>
      <c r="FG129" s="113"/>
      <c r="FH129" s="113"/>
      <c r="FI129" s="113"/>
      <c r="FJ129" s="113"/>
      <c r="FK129" s="113"/>
      <c r="FL129" s="113"/>
      <c r="FM129" s="113"/>
      <c r="FN129" s="113"/>
      <c r="FO129" s="113"/>
      <c r="FP129" s="113"/>
      <c r="FQ129" s="113"/>
      <c r="FR129" s="113"/>
      <c r="FS129" s="113"/>
      <c r="FT129" s="113"/>
      <c r="FU129" s="113"/>
      <c r="FV129" s="113"/>
      <c r="FW129" s="113"/>
      <c r="FX129" s="113"/>
      <c r="FY129" s="113"/>
      <c r="FZ129" s="113"/>
      <c r="GA129" s="113"/>
      <c r="GB129" s="113"/>
      <c r="GC129" s="113"/>
      <c r="GD129" s="113"/>
      <c r="GE129" s="113"/>
      <c r="GF129" s="113"/>
      <c r="GG129" s="113"/>
      <c r="GH129" s="113"/>
      <c r="GI129" s="113"/>
      <c r="GJ129" s="113"/>
      <c r="GK129" s="113"/>
      <c r="GL129" s="113"/>
      <c r="GM129" s="113"/>
      <c r="GN129" s="113"/>
      <c r="GO129" s="113"/>
      <c r="GP129" s="113"/>
      <c r="GQ129" s="113"/>
      <c r="GR129" s="113"/>
      <c r="GS129" s="113"/>
      <c r="GT129" s="113"/>
      <c r="GU129" s="113"/>
      <c r="GV129" s="113"/>
      <c r="GW129" s="113"/>
      <c r="GX129" s="113"/>
      <c r="GY129" s="113"/>
      <c r="GZ129" s="113"/>
      <c r="HA129" s="113"/>
      <c r="HB129" s="113"/>
      <c r="HC129" s="113"/>
      <c r="HD129" s="113"/>
      <c r="HE129" s="113"/>
      <c r="HF129" s="113"/>
      <c r="HG129" s="113"/>
      <c r="HH129" s="113"/>
      <c r="HI129" s="113"/>
      <c r="HJ129" s="113"/>
      <c r="HK129" s="113"/>
      <c r="HL129" s="113"/>
      <c r="HM129" s="113"/>
      <c r="HN129" s="113"/>
      <c r="HO129" s="113"/>
      <c r="HP129" s="113"/>
      <c r="HQ129" s="113"/>
      <c r="HR129" s="113"/>
      <c r="HS129" s="113"/>
      <c r="HT129" s="113"/>
      <c r="HU129" s="113"/>
      <c r="HV129" s="113"/>
      <c r="HW129" s="113"/>
      <c r="HX129" s="113"/>
      <c r="HY129" s="113"/>
      <c r="HZ129" s="113"/>
      <c r="IA129" s="113"/>
      <c r="IB129" s="113"/>
      <c r="IC129" s="113"/>
      <c r="ID129" s="113"/>
      <c r="IE129" s="113"/>
      <c r="IF129" s="113"/>
      <c r="IG129" s="113"/>
      <c r="IH129" s="113"/>
      <c r="II129" s="113"/>
      <c r="IJ129" s="113"/>
      <c r="IK129" s="113"/>
      <c r="IL129" s="113"/>
      <c r="IM129" s="113"/>
      <c r="IN129" s="113"/>
      <c r="IO129" s="113"/>
      <c r="IP129" s="113"/>
      <c r="IQ129" s="113"/>
      <c r="IR129" s="113"/>
      <c r="IS129" s="113"/>
      <c r="IT129" s="113"/>
      <c r="IU129" s="113"/>
      <c r="IV129" s="113"/>
      <c r="IW129" s="113"/>
      <c r="IX129" s="113"/>
      <c r="IY129" s="113"/>
      <c r="IZ129" s="113"/>
      <c r="JA129" s="113"/>
      <c r="JB129" s="113"/>
      <c r="JC129" s="113"/>
      <c r="JD129" s="113"/>
      <c r="JE129" s="113"/>
      <c r="JF129" s="113"/>
      <c r="JG129" s="113"/>
      <c r="JH129" s="113"/>
      <c r="JI129" s="113"/>
      <c r="JJ129" s="113"/>
      <c r="JK129" s="113"/>
      <c r="JL129" s="113"/>
      <c r="JM129" s="113"/>
      <c r="JN129" s="113"/>
      <c r="JO129" s="113"/>
      <c r="JP129" s="113"/>
      <c r="JQ129" s="113"/>
      <c r="JR129" s="113"/>
      <c r="JS129" s="113"/>
      <c r="JT129" s="113"/>
      <c r="JU129" s="113"/>
      <c r="JV129" s="113"/>
      <c r="JW129" s="113"/>
      <c r="JX129" s="113"/>
      <c r="JY129" s="113"/>
      <c r="JZ129" s="113"/>
      <c r="KA129" s="113"/>
      <c r="KB129" s="113"/>
      <c r="KC129" s="113"/>
      <c r="KD129" s="113"/>
      <c r="KE129" s="113"/>
      <c r="KF129" s="113"/>
      <c r="KG129" s="113"/>
      <c r="KH129" s="113"/>
      <c r="KI129" s="113"/>
      <c r="KJ129" s="113"/>
      <c r="KK129" s="113"/>
      <c r="KL129" s="113"/>
      <c r="KM129" s="113"/>
      <c r="KN129" s="113"/>
      <c r="KO129" s="113"/>
      <c r="KP129" s="113"/>
      <c r="KQ129" s="113"/>
      <c r="KR129" s="113"/>
      <c r="KS129" s="113"/>
      <c r="KT129" s="113"/>
      <c r="KU129" s="113"/>
      <c r="KV129" s="113"/>
      <c r="KW129" s="113"/>
      <c r="KX129" s="113"/>
      <c r="KY129" s="113"/>
      <c r="KZ129" s="113"/>
      <c r="LA129" s="113"/>
      <c r="LB129" s="113"/>
      <c r="LC129" s="113"/>
      <c r="LD129" s="113"/>
      <c r="LE129" s="113"/>
      <c r="LF129" s="113"/>
      <c r="LG129" s="113"/>
      <c r="LH129" s="113"/>
      <c r="LI129" s="113"/>
      <c r="LJ129" s="113"/>
      <c r="LK129" s="113"/>
      <c r="LL129" s="113"/>
      <c r="LM129" s="113"/>
      <c r="LN129" s="113"/>
      <c r="LO129" s="113"/>
      <c r="LP129" s="113"/>
      <c r="LQ129" s="113"/>
      <c r="LR129" s="113"/>
      <c r="LS129" s="113"/>
      <c r="LT129" s="113"/>
      <c r="LU129" s="113"/>
      <c r="LV129" s="113"/>
      <c r="LW129" s="113"/>
      <c r="LX129" s="113"/>
      <c r="LY129" s="113"/>
      <c r="LZ129" s="113"/>
      <c r="MA129" s="113"/>
      <c r="MB129" s="113"/>
      <c r="MC129" s="113"/>
      <c r="MD129" s="113"/>
      <c r="ME129" s="113"/>
      <c r="MF129" s="113"/>
      <c r="MG129" s="113"/>
      <c r="MH129" s="113"/>
      <c r="MI129" s="113"/>
      <c r="MJ129" s="113"/>
      <c r="MK129" s="113"/>
      <c r="ML129" s="113"/>
      <c r="MM129" s="113"/>
      <c r="MN129" s="113"/>
      <c r="MO129" s="113"/>
      <c r="MP129" s="113"/>
      <c r="MQ129" s="113"/>
      <c r="MR129" s="113"/>
      <c r="MS129" s="113"/>
      <c r="MT129" s="113"/>
      <c r="MU129" s="113"/>
      <c r="MV129" s="113"/>
      <c r="MW129" s="113"/>
      <c r="MX129" s="113"/>
      <c r="MY129" s="113"/>
      <c r="MZ129" s="113"/>
      <c r="NA129" s="113"/>
      <c r="NB129" s="113"/>
      <c r="NC129" s="113"/>
      <c r="ND129" s="113"/>
      <c r="NE129" s="113"/>
      <c r="NF129" s="113"/>
      <c r="NG129" s="113"/>
      <c r="NH129" s="113"/>
      <c r="NI129" s="113"/>
      <c r="NJ129" s="113"/>
      <c r="NK129" s="113"/>
      <c r="NL129" s="113"/>
      <c r="NM129" s="113"/>
      <c r="NN129" s="113"/>
      <c r="NO129" s="113"/>
      <c r="NP129" s="113"/>
      <c r="NQ129" s="113"/>
      <c r="NR129" s="113"/>
      <c r="NS129" s="113"/>
      <c r="NT129" s="113"/>
      <c r="NU129" s="113"/>
      <c r="NV129" s="113"/>
      <c r="NW129" s="113"/>
      <c r="NX129" s="113"/>
      <c r="NY129" s="113"/>
      <c r="NZ129" s="113"/>
      <c r="OA129" s="113"/>
      <c r="OB129" s="113"/>
      <c r="OC129" s="113"/>
      <c r="OD129" s="113"/>
      <c r="OE129" s="113"/>
      <c r="OF129" s="113"/>
      <c r="OG129" s="113"/>
      <c r="OH129" s="113"/>
      <c r="OI129" s="113"/>
      <c r="OJ129" s="113"/>
      <c r="OK129" s="113"/>
      <c r="OL129" s="113"/>
      <c r="OM129" s="113"/>
      <c r="ON129" s="113"/>
      <c r="OO129" s="113"/>
      <c r="OP129" s="113"/>
      <c r="OQ129" s="113"/>
      <c r="OR129" s="113"/>
      <c r="OS129" s="113"/>
      <c r="OT129" s="113"/>
      <c r="OU129" s="113"/>
      <c r="OV129" s="113"/>
      <c r="OW129" s="113"/>
      <c r="OX129" s="113"/>
      <c r="OY129" s="113"/>
      <c r="OZ129" s="113"/>
      <c r="PA129" s="113"/>
      <c r="PB129" s="113"/>
      <c r="PC129" s="113"/>
      <c r="PD129" s="113"/>
      <c r="PE129" s="113"/>
      <c r="PF129" s="113"/>
      <c r="PG129" s="113"/>
      <c r="PH129" s="113"/>
      <c r="PI129" s="113"/>
      <c r="PJ129" s="113"/>
      <c r="PK129" s="113"/>
      <c r="PL129" s="113"/>
      <c r="PM129" s="113"/>
      <c r="PN129" s="113"/>
      <c r="PO129" s="113"/>
      <c r="PP129" s="113"/>
      <c r="PQ129" s="113"/>
      <c r="PR129" s="113"/>
      <c r="PS129" s="113"/>
      <c r="PT129" s="113"/>
      <c r="PU129" s="113"/>
      <c r="PV129" s="113"/>
      <c r="PW129" s="113"/>
      <c r="PX129" s="113"/>
      <c r="PY129" s="113"/>
      <c r="PZ129" s="113"/>
      <c r="QA129" s="113"/>
      <c r="QB129" s="113"/>
      <c r="QC129" s="113"/>
      <c r="QD129" s="113"/>
      <c r="QE129" s="113"/>
      <c r="QF129" s="113"/>
      <c r="QG129" s="113"/>
      <c r="QH129" s="113"/>
      <c r="QI129" s="113"/>
      <c r="QJ129" s="113"/>
      <c r="QK129" s="113"/>
      <c r="QL129" s="113"/>
      <c r="QM129" s="113"/>
      <c r="QN129" s="113"/>
      <c r="QO129" s="113"/>
      <c r="QP129" s="113"/>
      <c r="QQ129" s="113"/>
      <c r="QR129" s="113"/>
      <c r="QS129" s="113"/>
      <c r="QT129" s="113"/>
      <c r="QU129" s="113"/>
      <c r="QV129" s="113"/>
      <c r="QW129" s="113"/>
      <c r="QX129" s="113"/>
      <c r="QY129" s="113"/>
      <c r="QZ129" s="113"/>
      <c r="RA129" s="113"/>
      <c r="RB129" s="113"/>
      <c r="RC129" s="113"/>
      <c r="RD129" s="113"/>
      <c r="RE129" s="113"/>
      <c r="RF129" s="113"/>
      <c r="RG129" s="113"/>
      <c r="RH129" s="113"/>
      <c r="RI129" s="113"/>
      <c r="RJ129" s="113"/>
      <c r="RK129" s="113"/>
      <c r="RL129" s="113"/>
      <c r="RM129" s="113"/>
      <c r="RN129" s="113"/>
      <c r="RO129" s="113"/>
      <c r="RP129" s="113"/>
      <c r="RQ129" s="113"/>
      <c r="RR129" s="113"/>
      <c r="RS129" s="113"/>
      <c r="RT129" s="113"/>
      <c r="RU129" s="113"/>
      <c r="RV129" s="113"/>
      <c r="RW129" s="113"/>
      <c r="RX129" s="113"/>
      <c r="RY129" s="113"/>
      <c r="RZ129" s="113"/>
      <c r="SA129" s="113"/>
      <c r="SB129" s="113"/>
      <c r="SC129" s="113"/>
      <c r="SD129" s="113"/>
      <c r="SE129" s="113"/>
      <c r="SF129" s="113"/>
      <c r="SG129" s="113"/>
      <c r="SH129" s="113"/>
      <c r="SI129" s="113"/>
      <c r="SJ129" s="113"/>
      <c r="SK129" s="113"/>
      <c r="SL129" s="113"/>
      <c r="SM129" s="113"/>
      <c r="SN129" s="113"/>
      <c r="SO129" s="113"/>
      <c r="SP129" s="113"/>
      <c r="SQ129" s="113"/>
      <c r="SR129" s="113"/>
      <c r="SS129" s="113"/>
      <c r="ST129" s="113"/>
      <c r="SU129" s="113"/>
      <c r="SV129" s="113"/>
      <c r="SW129" s="113"/>
      <c r="SX129" s="113"/>
      <c r="SY129" s="113"/>
      <c r="SZ129" s="113"/>
      <c r="TA129" s="113"/>
      <c r="TB129" s="113"/>
      <c r="TC129" s="113"/>
      <c r="TD129" s="113"/>
      <c r="TE129" s="113"/>
      <c r="TF129" s="113"/>
      <c r="TG129" s="113"/>
      <c r="TH129" s="113"/>
      <c r="TI129" s="113"/>
      <c r="TJ129" s="113"/>
      <c r="TK129" s="113"/>
      <c r="TL129" s="113"/>
      <c r="TM129" s="113"/>
      <c r="TN129" s="113"/>
      <c r="TO129" s="113"/>
      <c r="TP129" s="113"/>
      <c r="TQ129" s="113"/>
      <c r="TR129" s="113"/>
      <c r="TS129" s="113"/>
      <c r="TT129" s="113"/>
      <c r="TU129" s="113"/>
      <c r="TV129" s="113"/>
      <c r="TW129" s="113"/>
      <c r="TX129" s="113"/>
      <c r="TY129" s="113"/>
      <c r="TZ129" s="113"/>
      <c r="UA129" s="113"/>
      <c r="UB129" s="113"/>
      <c r="UC129" s="113"/>
      <c r="UD129" s="113"/>
      <c r="UE129" s="113"/>
      <c r="UF129" s="113"/>
      <c r="UG129" s="113"/>
      <c r="UH129" s="113"/>
      <c r="UI129" s="113"/>
      <c r="UJ129" s="113"/>
      <c r="UK129" s="113"/>
      <c r="UL129" s="113"/>
      <c r="UM129" s="113"/>
      <c r="UN129" s="113"/>
      <c r="UO129" s="113"/>
      <c r="UP129" s="113"/>
      <c r="UQ129" s="113"/>
      <c r="UR129" s="113"/>
      <c r="US129" s="113"/>
      <c r="UT129" s="113"/>
      <c r="UU129" s="113"/>
      <c r="UV129" s="113"/>
      <c r="UW129" s="113"/>
      <c r="UX129" s="113"/>
      <c r="UY129" s="113"/>
      <c r="UZ129" s="113"/>
      <c r="VA129" s="113"/>
      <c r="VB129" s="113"/>
      <c r="VC129" s="113"/>
      <c r="VD129" s="113"/>
      <c r="VE129" s="113"/>
      <c r="VF129" s="113"/>
      <c r="VG129" s="113"/>
      <c r="VH129" s="113"/>
      <c r="VI129" s="113"/>
      <c r="VJ129" s="113"/>
      <c r="VK129" s="113"/>
      <c r="VL129" s="113"/>
      <c r="VM129" s="113"/>
      <c r="VN129" s="113"/>
      <c r="VO129" s="113"/>
      <c r="VP129" s="113"/>
      <c r="VQ129" s="113"/>
      <c r="VR129" s="113"/>
      <c r="VS129" s="113"/>
      <c r="VT129" s="113"/>
      <c r="VU129" s="113"/>
      <c r="VV129" s="113"/>
      <c r="VW129" s="113"/>
      <c r="VX129" s="113"/>
      <c r="VY129" s="113"/>
      <c r="VZ129" s="113"/>
      <c r="WA129" s="113"/>
      <c r="WB129" s="113"/>
      <c r="WC129" s="113"/>
      <c r="WD129" s="113"/>
      <c r="WE129" s="113"/>
      <c r="WF129" s="113"/>
      <c r="WG129" s="113"/>
      <c r="WH129" s="113"/>
      <c r="WI129" s="113"/>
      <c r="WJ129" s="113"/>
      <c r="WK129" s="113"/>
      <c r="WL129" s="113"/>
      <c r="WM129" s="113"/>
      <c r="WN129" s="113"/>
      <c r="WO129" s="113"/>
      <c r="WP129" s="113"/>
      <c r="WQ129" s="113"/>
      <c r="WR129" s="113"/>
      <c r="WS129" s="113"/>
      <c r="WT129" s="113"/>
      <c r="WU129" s="113"/>
      <c r="WV129" s="113"/>
      <c r="WW129" s="113"/>
      <c r="WX129" s="113"/>
      <c r="WY129" s="113"/>
      <c r="WZ129" s="113"/>
      <c r="XA129" s="113"/>
      <c r="XB129" s="113"/>
      <c r="XC129" s="113"/>
      <c r="XD129" s="113"/>
      <c r="XE129" s="113"/>
      <c r="XF129" s="113"/>
      <c r="XG129" s="113"/>
      <c r="XH129" s="113"/>
      <c r="XI129" s="113"/>
      <c r="XJ129" s="113"/>
      <c r="XK129" s="113"/>
      <c r="XL129" s="113"/>
      <c r="XM129" s="113"/>
      <c r="XN129" s="113"/>
      <c r="XO129" s="113"/>
      <c r="XP129" s="113"/>
      <c r="XQ129" s="113"/>
      <c r="XR129" s="113"/>
      <c r="XS129" s="113"/>
      <c r="XT129" s="113"/>
      <c r="XU129" s="113"/>
      <c r="XV129" s="113"/>
      <c r="XW129" s="113"/>
      <c r="XX129" s="113"/>
      <c r="XY129" s="113"/>
      <c r="XZ129" s="113"/>
      <c r="YA129" s="113"/>
      <c r="YB129" s="113"/>
      <c r="YC129" s="113"/>
      <c r="YD129" s="113"/>
      <c r="YE129" s="113"/>
      <c r="YF129" s="113"/>
      <c r="YG129" s="113"/>
      <c r="YH129" s="113"/>
      <c r="YI129" s="113"/>
      <c r="YJ129" s="113"/>
      <c r="YK129" s="113"/>
      <c r="YL129" s="113"/>
      <c r="YM129" s="113"/>
      <c r="YN129" s="113"/>
      <c r="YO129" s="113"/>
      <c r="YP129" s="113"/>
      <c r="YQ129" s="113"/>
      <c r="YR129" s="113"/>
      <c r="YS129" s="113"/>
      <c r="YT129" s="113"/>
      <c r="YU129" s="113"/>
      <c r="YV129" s="113"/>
      <c r="YW129" s="113"/>
      <c r="YX129" s="113"/>
      <c r="YY129" s="113"/>
      <c r="YZ129" s="113"/>
      <c r="ZA129" s="113"/>
      <c r="ZB129" s="113"/>
      <c r="ZC129" s="113"/>
      <c r="ZD129" s="113"/>
      <c r="ZE129" s="113"/>
      <c r="ZF129" s="113"/>
      <c r="ZG129" s="113"/>
      <c r="ZH129" s="113"/>
      <c r="ZI129" s="113"/>
      <c r="ZJ129" s="113"/>
      <c r="ZK129" s="113"/>
      <c r="ZL129" s="113"/>
      <c r="ZM129" s="113"/>
      <c r="ZN129" s="113"/>
      <c r="ZO129" s="113"/>
      <c r="ZP129" s="113"/>
      <c r="ZQ129" s="113"/>
      <c r="ZR129" s="113"/>
      <c r="ZS129" s="113"/>
      <c r="ZT129" s="113"/>
      <c r="ZU129" s="113"/>
      <c r="ZV129" s="113"/>
      <c r="ZW129" s="113"/>
      <c r="ZX129" s="113"/>
      <c r="ZY129" s="113"/>
      <c r="ZZ129" s="113"/>
      <c r="AAA129" s="113"/>
      <c r="AAB129" s="113"/>
      <c r="AAC129" s="113"/>
      <c r="AAD129" s="113"/>
      <c r="AAE129" s="113"/>
      <c r="AAF129" s="113"/>
      <c r="AAG129" s="113"/>
      <c r="AAH129" s="113"/>
      <c r="AAI129" s="113"/>
      <c r="AAJ129" s="113"/>
      <c r="AAK129" s="113"/>
      <c r="AAL129" s="113"/>
      <c r="AAM129" s="113"/>
      <c r="AAN129" s="113"/>
      <c r="AAO129" s="113"/>
      <c r="AAP129" s="113"/>
      <c r="AAQ129" s="113"/>
      <c r="AAR129" s="113"/>
      <c r="AAS129" s="113"/>
      <c r="AAT129" s="113"/>
      <c r="AAU129" s="113"/>
      <c r="AAV129" s="113"/>
      <c r="AAW129" s="113"/>
      <c r="AAX129" s="113"/>
      <c r="AAY129" s="113"/>
      <c r="AAZ129" s="113"/>
      <c r="ABA129" s="113"/>
      <c r="ABB129" s="113"/>
      <c r="ABC129" s="113"/>
      <c r="ABD129" s="113"/>
      <c r="ABE129" s="113"/>
      <c r="ABF129" s="113"/>
      <c r="ABG129" s="113"/>
      <c r="ABH129" s="113"/>
      <c r="ABI129" s="113"/>
      <c r="ABJ129" s="113"/>
      <c r="ABK129" s="113"/>
      <c r="ABL129" s="113"/>
      <c r="ABM129" s="113"/>
      <c r="ABN129" s="113"/>
      <c r="ABO129" s="113"/>
      <c r="ABP129" s="113"/>
      <c r="ABQ129" s="113"/>
      <c r="ABR129" s="113"/>
      <c r="ABS129" s="113"/>
      <c r="ABT129" s="113"/>
      <c r="ABU129" s="113"/>
      <c r="ABV129" s="113"/>
      <c r="ABW129" s="113"/>
      <c r="ABX129" s="113"/>
      <c r="ABY129" s="113"/>
      <c r="ABZ129" s="113"/>
      <c r="ACA129" s="113"/>
      <c r="ACB129" s="113"/>
      <c r="ACC129" s="113"/>
      <c r="ACD129" s="113"/>
      <c r="ACE129" s="113"/>
      <c r="ACF129" s="113"/>
      <c r="ACG129" s="113"/>
      <c r="ACH129" s="113"/>
      <c r="ACI129" s="113"/>
      <c r="ACJ129" s="113"/>
      <c r="ACK129" s="113"/>
      <c r="ACL129" s="113"/>
      <c r="ACM129" s="113"/>
      <c r="ACN129" s="113"/>
      <c r="ACO129" s="113"/>
      <c r="ACP129" s="113"/>
      <c r="ACQ129" s="113"/>
      <c r="ACR129" s="113"/>
      <c r="ACS129" s="113"/>
      <c r="ACT129" s="113"/>
      <c r="ACU129" s="113"/>
      <c r="ACV129" s="113"/>
      <c r="ACW129" s="113"/>
      <c r="ACX129" s="113"/>
      <c r="ACY129" s="113"/>
      <c r="ACZ129" s="113"/>
      <c r="ADA129" s="113"/>
      <c r="ADB129" s="113"/>
      <c r="ADC129" s="113"/>
      <c r="ADD129" s="113"/>
      <c r="ADE129" s="113"/>
      <c r="ADF129" s="113"/>
      <c r="ADG129" s="113"/>
      <c r="ADH129" s="113"/>
      <c r="ADI129" s="113"/>
      <c r="ADJ129" s="113"/>
      <c r="ADK129" s="113"/>
      <c r="ADL129" s="113"/>
      <c r="ADM129" s="113"/>
      <c r="ADN129" s="113"/>
      <c r="ADO129" s="113"/>
      <c r="ADP129" s="113"/>
      <c r="ADQ129" s="113"/>
      <c r="ADR129" s="113"/>
      <c r="ADS129" s="113"/>
      <c r="ADT129" s="113"/>
      <c r="ADU129" s="113"/>
      <c r="ADV129" s="113"/>
      <c r="ADW129" s="113"/>
      <c r="ADX129" s="113"/>
      <c r="ADY129" s="113"/>
      <c r="ADZ129" s="113"/>
      <c r="AEA129" s="113"/>
      <c r="AEB129" s="113"/>
      <c r="AEC129" s="113"/>
      <c r="AED129" s="113"/>
      <c r="AEE129" s="113"/>
      <c r="AEF129" s="113"/>
      <c r="AEG129" s="113"/>
      <c r="AEH129" s="113"/>
      <c r="AEI129" s="113"/>
      <c r="AEJ129" s="113"/>
      <c r="AEK129" s="113"/>
      <c r="AEL129" s="113"/>
      <c r="AEM129" s="113"/>
      <c r="AEN129" s="113"/>
      <c r="AEO129" s="113"/>
      <c r="AEP129" s="113"/>
      <c r="AEQ129" s="113"/>
      <c r="AER129" s="113"/>
      <c r="AES129" s="113"/>
      <c r="AET129" s="113"/>
      <c r="AEU129" s="113"/>
      <c r="AEV129" s="113"/>
      <c r="AEW129" s="113"/>
      <c r="AEX129" s="113"/>
      <c r="AEY129" s="113"/>
      <c r="AEZ129" s="113"/>
      <c r="AFA129" s="113"/>
      <c r="AFB129" s="113"/>
      <c r="AFC129" s="113"/>
      <c r="AFD129" s="113"/>
      <c r="AFE129" s="113"/>
      <c r="AFF129" s="113"/>
      <c r="AFG129" s="113"/>
      <c r="AFH129" s="113"/>
      <c r="AFI129" s="113"/>
      <c r="AFJ129" s="113"/>
      <c r="AFK129" s="113"/>
      <c r="AFL129" s="113"/>
      <c r="AFM129" s="113"/>
      <c r="AFN129" s="113"/>
      <c r="AFO129" s="113"/>
      <c r="AFP129" s="113"/>
      <c r="AFQ129" s="113"/>
      <c r="AFR129" s="113"/>
      <c r="AFS129" s="113"/>
      <c r="AFT129" s="113"/>
      <c r="AFU129" s="113"/>
      <c r="AFV129" s="113"/>
      <c r="AFW129" s="113"/>
      <c r="AFX129" s="113"/>
      <c r="AFY129" s="113"/>
      <c r="AFZ129" s="113"/>
      <c r="AGA129" s="113"/>
      <c r="AGB129" s="113"/>
      <c r="AGC129" s="113"/>
      <c r="AGD129" s="113"/>
      <c r="AGE129" s="113"/>
      <c r="AGF129" s="113"/>
      <c r="AGG129" s="113"/>
      <c r="AGH129" s="113"/>
      <c r="AGI129" s="113"/>
      <c r="AGJ129" s="113"/>
      <c r="AGK129" s="113"/>
      <c r="AGL129" s="113"/>
      <c r="AGM129" s="113"/>
      <c r="AGN129" s="113"/>
      <c r="AGO129" s="113"/>
      <c r="AGP129" s="113"/>
      <c r="AGQ129" s="113"/>
      <c r="AGR129" s="113"/>
      <c r="AGS129" s="113"/>
      <c r="AGT129" s="113"/>
      <c r="AGU129" s="113"/>
      <c r="AGV129" s="113"/>
      <c r="AGW129" s="113"/>
      <c r="AGX129" s="113"/>
      <c r="AGY129" s="113"/>
      <c r="AGZ129" s="113"/>
      <c r="AHA129" s="113"/>
      <c r="AHB129" s="113"/>
      <c r="AHC129" s="113"/>
      <c r="AHD129" s="113"/>
      <c r="AHE129" s="113"/>
      <c r="AHF129" s="113"/>
      <c r="AHG129" s="113"/>
      <c r="AHH129" s="113"/>
      <c r="AHI129" s="113"/>
      <c r="AHJ129" s="113"/>
      <c r="AHK129" s="113"/>
      <c r="AHL129" s="113"/>
      <c r="AHM129" s="113"/>
      <c r="AHN129" s="113"/>
      <c r="AHO129" s="113"/>
      <c r="AHP129" s="113"/>
      <c r="AHQ129" s="113"/>
      <c r="AHR129" s="113"/>
      <c r="AHS129" s="113"/>
      <c r="AHT129" s="113"/>
      <c r="AHU129" s="113"/>
      <c r="AHV129" s="113"/>
      <c r="AHW129" s="113"/>
      <c r="AHX129" s="113"/>
      <c r="AHY129" s="113"/>
      <c r="AHZ129" s="113"/>
      <c r="AIA129" s="113"/>
      <c r="AIB129" s="113"/>
      <c r="AIC129" s="113"/>
      <c r="AID129" s="113"/>
      <c r="AIE129" s="113"/>
      <c r="AIF129" s="113"/>
      <c r="AIG129" s="113"/>
      <c r="AIH129" s="113"/>
      <c r="AII129" s="113"/>
      <c r="AIJ129" s="113"/>
      <c r="AIK129" s="113"/>
      <c r="AIL129" s="113"/>
      <c r="AIM129" s="113"/>
      <c r="AIN129" s="113"/>
      <c r="AIO129" s="113"/>
      <c r="AIP129" s="113"/>
      <c r="AIQ129" s="113"/>
      <c r="AIR129" s="113"/>
      <c r="AIS129" s="113"/>
      <c r="AIT129" s="113"/>
      <c r="AIU129" s="113"/>
      <c r="AIV129" s="113"/>
      <c r="AIW129" s="113"/>
      <c r="AIX129" s="113"/>
      <c r="AIY129" s="113"/>
      <c r="AIZ129" s="113"/>
    </row>
    <row r="130">
      <c r="A130" s="65" t="s">
        <v>7</v>
      </c>
      <c r="B130" s="65" t="s">
        <v>22</v>
      </c>
      <c r="C130" s="65"/>
      <c r="D130" s="64">
        <f t="shared" si="1"/>
        <v>600.0600833</v>
      </c>
      <c r="F130" s="65">
        <v>72.6130333333333</v>
      </c>
      <c r="G130" s="65">
        <v>35.4770333333333</v>
      </c>
      <c r="H130" s="65">
        <v>12.3677833333333</v>
      </c>
      <c r="I130" s="65">
        <v>1.40175</v>
      </c>
      <c r="J130" s="65">
        <v>1.09708333333333</v>
      </c>
      <c r="K130" s="65">
        <v>36.0040666666667</v>
      </c>
      <c r="N130" s="65">
        <v>13.61865</v>
      </c>
      <c r="Q130" s="65">
        <v>70.2659499999999</v>
      </c>
      <c r="R130" s="65">
        <v>26.1526666666667</v>
      </c>
      <c r="S130" s="65">
        <v>9.42966666666667</v>
      </c>
      <c r="T130" s="65">
        <v>2.41156666666667</v>
      </c>
      <c r="U130" s="65">
        <v>35.43905</v>
      </c>
      <c r="X130" s="65">
        <v>22.9796833333333</v>
      </c>
      <c r="Y130" s="65">
        <v>22.1813166666667</v>
      </c>
      <c r="Z130" s="65">
        <v>3.67866666666667</v>
      </c>
      <c r="AA130" s="65">
        <v>1.35621666666667</v>
      </c>
      <c r="AB130" s="65">
        <v>7.88611666666667</v>
      </c>
      <c r="AE130" s="65">
        <v>10.2447166666667</v>
      </c>
      <c r="AF130" s="65">
        <v>51.76225</v>
      </c>
      <c r="AG130" s="65">
        <v>4.10225</v>
      </c>
      <c r="AH130" s="65">
        <v>0.992366666666667</v>
      </c>
      <c r="AI130" s="65">
        <v>12.6516166666667</v>
      </c>
      <c r="AL130" s="65">
        <v>26.38145</v>
      </c>
      <c r="AM130" s="65">
        <v>5.60953333333333</v>
      </c>
      <c r="AN130" s="65">
        <v>41.6093166666667</v>
      </c>
      <c r="AQ130" s="65">
        <v>3.43248333333333</v>
      </c>
      <c r="AR130" s="65">
        <v>16.3194166666667</v>
      </c>
      <c r="AU130" s="65">
        <v>52.5943833333333</v>
      </c>
    </row>
    <row r="131">
      <c r="A131" s="65" t="s">
        <v>7</v>
      </c>
      <c r="B131" s="65" t="s">
        <v>22</v>
      </c>
      <c r="C131" s="65"/>
      <c r="D131" s="64">
        <f t="shared" si="1"/>
        <v>0</v>
      </c>
    </row>
    <row r="132">
      <c r="A132" s="65" t="s">
        <v>7</v>
      </c>
      <c r="B132" s="65" t="s">
        <v>22</v>
      </c>
      <c r="C132" s="65"/>
      <c r="D132" s="64">
        <f t="shared" si="1"/>
        <v>560.0463167</v>
      </c>
      <c r="F132" s="118">
        <f>HYPERLINK("https://docs.google.com/spreadsheets/d/19OJVuAnZRC-MpwdV8sh1VXKfivBIMiFg", 64.6306666666667)</f>
        <v>64.63066667</v>
      </c>
      <c r="G132" s="118">
        <f>HYPERLINK("https://docs.google.com/spreadsheets/d/16nsZJB2l3X8663KFPIJZXWaCpqAJVmbo", 35.47705)</f>
        <v>35.47705</v>
      </c>
      <c r="H132" s="118">
        <f>HYPERLINK("https://docs.google.com/spreadsheets/d/1WYOprnjZM6og0qDeXG1rajHK5R5FAe3_", 12.3072333333333)</f>
        <v>12.30723333</v>
      </c>
      <c r="I132" s="118">
        <f>HYPERLINK("https://docs.google.com/spreadsheets/d/1an8OTRs8WNWVgViZ_Fh3p897Ym18ud1W", 1.40175)</f>
        <v>1.40175</v>
      </c>
      <c r="J132" s="118">
        <f>HYPERLINK("https://docs.google.com/spreadsheets/d/107ybsSP_mUBRDAvJ3fH_y3XNpkDYRio5", 0.611)</f>
        <v>0.611</v>
      </c>
      <c r="K132" s="118">
        <f>HYPERLINK("https://docs.google.com/spreadsheets/d/1f4vDoqT0fQ-ZTkV9vr9JKWoP95iXcHMq", 35.7706666666667)</f>
        <v>35.77066667</v>
      </c>
      <c r="N132" s="118">
        <f>HYPERLINK("https://docs.google.com/spreadsheets/d/1AkK0O03yE0ss0NFRZC_4u8sQmBRAp1rC", 13.61865)</f>
        <v>13.61865</v>
      </c>
      <c r="Q132" s="118">
        <f>HYPERLINK("https://docs.google.com/spreadsheets/d/13AEDy857U8srQecdLZLxjxA-SbDLMVG6", 52.5746)</f>
        <v>52.5746</v>
      </c>
      <c r="R132" s="118">
        <f>HYPERLINK("https://docs.google.com/spreadsheets/d/1lKIG85wlUAW19kGE-6ahpogORVZgMyRS", 25.4219833333333)</f>
        <v>25.42198333</v>
      </c>
      <c r="S132" s="118">
        <f>HYPERLINK("https://docs.google.com/spreadsheets/d/1aS1DniDb9GaG9XdKBO1kQz3JbW9sxW_a", 9.31545)</f>
        <v>9.31545</v>
      </c>
      <c r="T132" s="118">
        <f>HYPERLINK("https://docs.google.com/spreadsheets/d/1_O58hdtbChqVkfubNuXgFeyo7EaFmoqq", 1.61811666666667)</f>
        <v>1.618116667</v>
      </c>
      <c r="U132" s="118">
        <f>HYPERLINK("https://docs.google.com/spreadsheets/d/17mxKDlzhgrRxp8EH6C9sGahHeoKYoC-I", 35.4390666666667)</f>
        <v>35.43906667</v>
      </c>
      <c r="X132" s="118">
        <f>HYPERLINK("https://docs.google.com/spreadsheets/d/1EdadU9nOplvFX7ExUhshLpNbcUmCVGXm", 19.6020166666667)</f>
        <v>19.60201667</v>
      </c>
      <c r="Y132" s="118">
        <f>HYPERLINK("https://docs.google.com/spreadsheets/d/1rBCqdP5-uwpRtJmmFS3JVBMwj4DQzNrs", 22.1813166666667)</f>
        <v>22.18131667</v>
      </c>
      <c r="Z132" s="118">
        <f>HYPERLINK("https://docs.google.com/spreadsheets/d/1jGrDZdKbJUS_8_T-A5DRN02qpZlbanal", 3.67866666666667)</f>
        <v>3.678666667</v>
      </c>
      <c r="AA132" s="118">
        <f>HYPERLINK("https://docs.google.com/spreadsheets/d/14LEy8oRjL1bFyh7lagjOQ5GvK1frw3I3", 1.06856666666667)</f>
        <v>1.068566667</v>
      </c>
      <c r="AB132" s="118">
        <f>HYPERLINK("https://docs.google.com/spreadsheets/d/1aoSkN585KQJnzsH1iE-5xjFM2sGkF8W8", 7.88608333333334)</f>
        <v>7.886083333</v>
      </c>
      <c r="AE132" s="118">
        <f>HYPERLINK("https://docs.google.com/spreadsheets/d/1QGv3LhMOOIt3iUF9tNzpEFDIxAGlAYVv", 8.8505)</f>
        <v>8.8505</v>
      </c>
      <c r="AF132" s="118">
        <f>HYPERLINK("https://docs.google.com/spreadsheets/d/1Vk-dbgaMZGHUlkHZTe5gECVfxd4n7Llu", 51.7621666666667)</f>
        <v>51.76216667</v>
      </c>
      <c r="AG132" s="118">
        <f>HYPERLINK("https://docs.google.com/spreadsheets/d/16ckwjcQ3RWyExT9kjJ27JkEqlMtTzxJb", 4.10225)</f>
        <v>4.10225</v>
      </c>
      <c r="AH132" s="118">
        <f>HYPERLINK("https://docs.google.com/spreadsheets/d/19ZcqeCvYhSpeDRYaBrUOfUVyDXvSrMGF", 0.992366666666667)</f>
        <v>0.9923666667</v>
      </c>
      <c r="AI132" s="118">
        <f>HYPERLINK("https://docs.google.com/spreadsheets/d/1yamegwP84mOcAsQ9ZBWxangpueYYOklg", 12.6516)</f>
        <v>12.6516</v>
      </c>
      <c r="AL132" s="118">
        <f>HYPERLINK("https://docs.google.com/spreadsheets/d/1xOm3kJ89lXEza0OFX5tLTcBihFxzCMKI", 22.1267333333333)</f>
        <v>22.12673333</v>
      </c>
      <c r="AM132" s="118">
        <f>HYPERLINK("https://docs.google.com/spreadsheets/d/1j4VlLrUTgFkH1zkBxWq3UJcNkjGgIwgM", 4.33093333333333)</f>
        <v>4.330933333</v>
      </c>
      <c r="AN132" s="118">
        <f>HYPERLINK("https://docs.google.com/spreadsheets/d/1PfiByawomFpXHpLNydoRKqLh_vFiSXFP", 41.4523166666667)</f>
        <v>41.45231667</v>
      </c>
      <c r="AQ132" s="118">
        <f>HYPERLINK("https://docs.google.com/spreadsheets/d/1VzxAnBImE32LXt-Rn5fBuxrG_5Bu-y_7", 2.7045)</f>
        <v>2.7045</v>
      </c>
      <c r="AR132" s="118">
        <f>HYPERLINK("https://docs.google.com/spreadsheets/d/169VdO-5UmoejxKM6r4zsFzzzWN9Lew04", 16.3194166666667)</f>
        <v>16.31941667</v>
      </c>
      <c r="AU132" s="118">
        <f>HYPERLINK("https://docs.google.com/spreadsheets/d/1xhPDBPdrTMqmh-kja9oYlpi0b2aM41u3", 52.15065)</f>
        <v>52.15065</v>
      </c>
    </row>
    <row r="133">
      <c r="A133" s="65" t="s">
        <v>7</v>
      </c>
      <c r="B133" s="65" t="s">
        <v>22</v>
      </c>
      <c r="C133" s="65"/>
      <c r="D133" s="64">
        <f t="shared" si="1"/>
        <v>3.152116667</v>
      </c>
      <c r="F133" s="65">
        <v>1.07505</v>
      </c>
      <c r="G133" s="65">
        <v>0.293</v>
      </c>
      <c r="H133" s="65">
        <v>0.387233333333333</v>
      </c>
      <c r="I133" s="65">
        <v>0.0</v>
      </c>
      <c r="J133" s="65">
        <v>0.0</v>
      </c>
      <c r="K133" s="65">
        <v>0.0</v>
      </c>
      <c r="N133" s="65">
        <v>0.0</v>
      </c>
      <c r="Q133" s="65">
        <v>0.151533333333333</v>
      </c>
      <c r="R133" s="65">
        <v>0.0</v>
      </c>
      <c r="S133" s="65">
        <v>0.0</v>
      </c>
      <c r="T133" s="65">
        <v>0.0</v>
      </c>
      <c r="U133" s="65">
        <v>0.0</v>
      </c>
      <c r="X133" s="65">
        <v>0.247033333333333</v>
      </c>
      <c r="Y133" s="65">
        <v>0.0</v>
      </c>
      <c r="Z133" s="65">
        <v>0.0</v>
      </c>
      <c r="AA133" s="65">
        <v>0.0</v>
      </c>
      <c r="AB133" s="65">
        <v>0.189483333333333</v>
      </c>
      <c r="AE133" s="65">
        <v>0.423683333333333</v>
      </c>
      <c r="AF133" s="65">
        <v>0.0</v>
      </c>
      <c r="AG133" s="65">
        <v>0.0</v>
      </c>
      <c r="AH133" s="65">
        <v>0.0</v>
      </c>
      <c r="AI133" s="65">
        <v>0.1703</v>
      </c>
      <c r="AL133" s="65">
        <v>0.2148</v>
      </c>
      <c r="AM133" s="65">
        <v>0.0</v>
      </c>
      <c r="AN133" s="65">
        <v>0.0</v>
      </c>
      <c r="AQ133" s="65">
        <v>0.0</v>
      </c>
      <c r="AR133" s="65">
        <v>0.0</v>
      </c>
      <c r="AU133" s="65">
        <v>0.0</v>
      </c>
    </row>
    <row r="134">
      <c r="A134" s="119" t="s">
        <v>7</v>
      </c>
      <c r="B134" s="119" t="s">
        <v>22</v>
      </c>
      <c r="C134" s="119"/>
      <c r="D134" s="120">
        <f t="shared" si="1"/>
        <v>0</v>
      </c>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c r="AA134" s="120"/>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0"/>
      <c r="AW134" s="120"/>
      <c r="AX134" s="120"/>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c r="DA134" s="120"/>
      <c r="DB134" s="120"/>
      <c r="DC134" s="120"/>
      <c r="DD134" s="120"/>
      <c r="DE134" s="120"/>
      <c r="DF134" s="120"/>
      <c r="DG134" s="120"/>
      <c r="DH134" s="120"/>
      <c r="DI134" s="120"/>
      <c r="DJ134" s="120"/>
      <c r="DK134" s="120"/>
      <c r="DL134" s="120"/>
      <c r="DM134" s="120"/>
      <c r="DN134" s="120"/>
      <c r="DO134" s="120"/>
      <c r="DP134" s="120"/>
      <c r="DQ134" s="120"/>
      <c r="DR134" s="120"/>
      <c r="DS134" s="120"/>
      <c r="DT134" s="120"/>
      <c r="DU134" s="120"/>
      <c r="DV134" s="120"/>
      <c r="DW134" s="120"/>
      <c r="DX134" s="120"/>
      <c r="DY134" s="120"/>
      <c r="DZ134" s="120"/>
      <c r="EA134" s="120"/>
      <c r="EB134" s="120"/>
      <c r="EC134" s="120"/>
      <c r="ED134" s="120"/>
      <c r="EE134" s="120"/>
      <c r="EF134" s="120"/>
      <c r="EG134" s="120"/>
      <c r="EH134" s="120"/>
      <c r="EI134" s="120"/>
      <c r="EJ134" s="120"/>
      <c r="EK134" s="120"/>
      <c r="EL134" s="120"/>
      <c r="EM134" s="120"/>
      <c r="EN134" s="120"/>
      <c r="EO134" s="120"/>
      <c r="EP134" s="120"/>
      <c r="EQ134" s="120"/>
      <c r="ER134" s="120"/>
      <c r="ES134" s="120"/>
      <c r="ET134" s="120"/>
      <c r="EU134" s="120"/>
      <c r="EV134" s="120"/>
      <c r="EW134" s="120"/>
      <c r="EX134" s="120"/>
      <c r="EY134" s="120"/>
      <c r="EZ134" s="120"/>
      <c r="FA134" s="120"/>
      <c r="FB134" s="120"/>
      <c r="FC134" s="120"/>
      <c r="FD134" s="120"/>
      <c r="FE134" s="120"/>
      <c r="FF134" s="120"/>
      <c r="FG134" s="120"/>
      <c r="FH134" s="120"/>
      <c r="FI134" s="120"/>
      <c r="FJ134" s="120"/>
      <c r="FK134" s="120"/>
      <c r="FL134" s="120"/>
      <c r="FM134" s="120"/>
      <c r="FN134" s="120"/>
      <c r="FO134" s="120"/>
      <c r="FP134" s="120"/>
      <c r="FQ134" s="120"/>
      <c r="FR134" s="120"/>
      <c r="FS134" s="120"/>
      <c r="FT134" s="120"/>
      <c r="FU134" s="120"/>
      <c r="FV134" s="120"/>
      <c r="FW134" s="120"/>
      <c r="FX134" s="120"/>
      <c r="FY134" s="120"/>
      <c r="FZ134" s="120"/>
      <c r="GA134" s="120"/>
      <c r="GB134" s="120"/>
      <c r="GC134" s="120"/>
      <c r="GD134" s="120"/>
      <c r="GE134" s="120"/>
      <c r="GF134" s="120"/>
      <c r="GG134" s="120"/>
      <c r="GH134" s="120"/>
      <c r="GI134" s="120"/>
      <c r="GJ134" s="120"/>
      <c r="GK134" s="120"/>
      <c r="GL134" s="120"/>
      <c r="GM134" s="120"/>
      <c r="GN134" s="120"/>
      <c r="GO134" s="120"/>
      <c r="GP134" s="120"/>
      <c r="GQ134" s="120"/>
      <c r="GR134" s="120"/>
      <c r="GS134" s="120"/>
      <c r="GT134" s="120"/>
      <c r="GU134" s="120"/>
      <c r="GV134" s="120"/>
      <c r="GW134" s="120"/>
      <c r="GX134" s="120"/>
      <c r="GY134" s="120"/>
      <c r="GZ134" s="120"/>
      <c r="HA134" s="120"/>
      <c r="HB134" s="120"/>
      <c r="HC134" s="120"/>
      <c r="HD134" s="120"/>
      <c r="HE134" s="120"/>
      <c r="HF134" s="120"/>
      <c r="HG134" s="120"/>
      <c r="HH134" s="120"/>
      <c r="HI134" s="120"/>
      <c r="HJ134" s="120"/>
      <c r="HK134" s="120"/>
      <c r="HL134" s="120"/>
      <c r="HM134" s="120"/>
      <c r="HN134" s="120"/>
      <c r="HO134" s="120"/>
      <c r="HP134" s="120"/>
      <c r="HQ134" s="120"/>
      <c r="HR134" s="120"/>
      <c r="HS134" s="120"/>
      <c r="HT134" s="120"/>
      <c r="HU134" s="120"/>
      <c r="HV134" s="120"/>
      <c r="HW134" s="120"/>
      <c r="HX134" s="120"/>
      <c r="HY134" s="120"/>
      <c r="HZ134" s="120"/>
      <c r="IA134" s="120"/>
      <c r="IB134" s="120"/>
      <c r="IC134" s="120"/>
      <c r="ID134" s="120"/>
      <c r="IE134" s="120"/>
      <c r="IF134" s="120"/>
      <c r="IG134" s="120"/>
      <c r="IH134" s="120"/>
      <c r="II134" s="120"/>
      <c r="IJ134" s="120"/>
      <c r="IK134" s="120"/>
      <c r="IL134" s="120"/>
      <c r="IM134" s="120"/>
      <c r="IN134" s="120"/>
      <c r="IO134" s="120"/>
      <c r="IP134" s="120"/>
      <c r="IQ134" s="120"/>
      <c r="IR134" s="120"/>
      <c r="IS134" s="120"/>
      <c r="IT134" s="120"/>
      <c r="IU134" s="120"/>
      <c r="IV134" s="120"/>
      <c r="IW134" s="120"/>
      <c r="IX134" s="120"/>
      <c r="IY134" s="120"/>
      <c r="IZ134" s="120"/>
      <c r="JA134" s="120"/>
      <c r="JB134" s="120"/>
      <c r="JC134" s="120"/>
      <c r="JD134" s="120"/>
      <c r="JE134" s="120"/>
      <c r="JF134" s="120"/>
      <c r="JG134" s="120"/>
      <c r="JH134" s="120"/>
      <c r="JI134" s="120"/>
      <c r="JJ134" s="120"/>
      <c r="JK134" s="120"/>
      <c r="JL134" s="120"/>
      <c r="JM134" s="120"/>
      <c r="JN134" s="120"/>
      <c r="JO134" s="120"/>
      <c r="JP134" s="120"/>
      <c r="JQ134" s="120"/>
      <c r="JR134" s="120"/>
      <c r="JS134" s="120"/>
      <c r="JT134" s="120"/>
      <c r="JU134" s="120"/>
      <c r="JV134" s="120"/>
      <c r="JW134" s="120"/>
      <c r="JX134" s="120"/>
      <c r="JY134" s="120"/>
      <c r="JZ134" s="120"/>
      <c r="KA134" s="120"/>
      <c r="KB134" s="120"/>
      <c r="KC134" s="120"/>
      <c r="KD134" s="120"/>
      <c r="KE134" s="120"/>
      <c r="KF134" s="120"/>
      <c r="KG134" s="120"/>
      <c r="KH134" s="120"/>
      <c r="KI134" s="120"/>
      <c r="KJ134" s="120"/>
      <c r="KK134" s="120"/>
      <c r="KL134" s="120"/>
      <c r="KM134" s="120"/>
      <c r="KN134" s="120"/>
      <c r="KO134" s="120"/>
      <c r="KP134" s="120"/>
      <c r="KQ134" s="120"/>
      <c r="KR134" s="120"/>
      <c r="KS134" s="120"/>
      <c r="KT134" s="120"/>
      <c r="KU134" s="120"/>
      <c r="KV134" s="120"/>
      <c r="KW134" s="120"/>
      <c r="KX134" s="120"/>
      <c r="KY134" s="120"/>
      <c r="KZ134" s="120"/>
      <c r="LA134" s="120"/>
      <c r="LB134" s="120"/>
      <c r="LC134" s="120"/>
      <c r="LD134" s="120"/>
      <c r="LE134" s="120"/>
      <c r="LF134" s="120"/>
      <c r="LG134" s="120"/>
      <c r="LH134" s="120"/>
      <c r="LI134" s="120"/>
      <c r="LJ134" s="120"/>
      <c r="LK134" s="120"/>
      <c r="LL134" s="120"/>
      <c r="LM134" s="120"/>
      <c r="LN134" s="120"/>
      <c r="LO134" s="120"/>
      <c r="LP134" s="120"/>
      <c r="LQ134" s="120"/>
      <c r="LR134" s="120"/>
      <c r="LS134" s="120"/>
      <c r="LT134" s="120"/>
      <c r="LU134" s="120"/>
      <c r="LV134" s="120"/>
      <c r="LW134" s="120"/>
      <c r="LX134" s="120"/>
      <c r="LY134" s="120"/>
      <c r="LZ134" s="120"/>
      <c r="MA134" s="120"/>
      <c r="MB134" s="120"/>
      <c r="MC134" s="120"/>
      <c r="MD134" s="120"/>
      <c r="ME134" s="120"/>
      <c r="MF134" s="120"/>
      <c r="MG134" s="120"/>
      <c r="MH134" s="120"/>
      <c r="MI134" s="120"/>
      <c r="MJ134" s="120"/>
      <c r="MK134" s="120"/>
      <c r="ML134" s="120"/>
      <c r="MM134" s="120"/>
      <c r="MN134" s="120"/>
      <c r="MO134" s="120"/>
      <c r="MP134" s="120"/>
      <c r="MQ134" s="120"/>
      <c r="MR134" s="120"/>
      <c r="MS134" s="120"/>
      <c r="MT134" s="120"/>
      <c r="MU134" s="120"/>
      <c r="MV134" s="120"/>
      <c r="MW134" s="120"/>
      <c r="MX134" s="120"/>
      <c r="MY134" s="120"/>
      <c r="MZ134" s="120"/>
      <c r="NA134" s="120"/>
      <c r="NB134" s="120"/>
      <c r="NC134" s="120"/>
      <c r="ND134" s="120"/>
      <c r="NE134" s="120"/>
      <c r="NF134" s="120"/>
      <c r="NG134" s="120"/>
      <c r="NH134" s="120"/>
      <c r="NI134" s="120"/>
      <c r="NJ134" s="120"/>
      <c r="NK134" s="120"/>
      <c r="NL134" s="120"/>
      <c r="NM134" s="120"/>
      <c r="NN134" s="120"/>
      <c r="NO134" s="120"/>
      <c r="NP134" s="120"/>
      <c r="NQ134" s="120"/>
      <c r="NR134" s="120"/>
      <c r="NS134" s="120"/>
      <c r="NT134" s="120"/>
      <c r="NU134" s="120"/>
      <c r="NV134" s="120"/>
      <c r="NW134" s="120"/>
      <c r="NX134" s="120"/>
      <c r="NY134" s="120"/>
      <c r="NZ134" s="120"/>
      <c r="OA134" s="120"/>
      <c r="OB134" s="120"/>
      <c r="OC134" s="120"/>
      <c r="OD134" s="120"/>
      <c r="OE134" s="120"/>
      <c r="OF134" s="120"/>
      <c r="OG134" s="120"/>
      <c r="OH134" s="120"/>
      <c r="OI134" s="120"/>
      <c r="OJ134" s="120"/>
      <c r="OK134" s="120"/>
      <c r="OL134" s="120"/>
      <c r="OM134" s="120"/>
      <c r="ON134" s="120"/>
      <c r="OO134" s="120"/>
      <c r="OP134" s="120"/>
      <c r="OQ134" s="120"/>
      <c r="OR134" s="120"/>
      <c r="OS134" s="120"/>
      <c r="OT134" s="120"/>
      <c r="OU134" s="120"/>
      <c r="OV134" s="120"/>
      <c r="OW134" s="120"/>
      <c r="OX134" s="120"/>
      <c r="OY134" s="120"/>
      <c r="OZ134" s="120"/>
      <c r="PA134" s="120"/>
      <c r="PB134" s="120"/>
      <c r="PC134" s="120"/>
      <c r="PD134" s="120"/>
      <c r="PE134" s="120"/>
      <c r="PF134" s="120"/>
      <c r="PG134" s="120"/>
      <c r="PH134" s="120"/>
      <c r="PI134" s="120"/>
      <c r="PJ134" s="120"/>
      <c r="PK134" s="120"/>
      <c r="PL134" s="120"/>
      <c r="PM134" s="120"/>
      <c r="PN134" s="120"/>
      <c r="PO134" s="120"/>
      <c r="PP134" s="120"/>
      <c r="PQ134" s="120"/>
      <c r="PR134" s="120"/>
      <c r="PS134" s="120"/>
      <c r="PT134" s="120"/>
      <c r="PU134" s="120"/>
      <c r="PV134" s="120"/>
      <c r="PW134" s="120"/>
      <c r="PX134" s="120"/>
      <c r="PY134" s="120"/>
      <c r="PZ134" s="120"/>
      <c r="QA134" s="120"/>
      <c r="QB134" s="120"/>
      <c r="QC134" s="120"/>
      <c r="QD134" s="120"/>
      <c r="QE134" s="120"/>
      <c r="QF134" s="120"/>
      <c r="QG134" s="120"/>
      <c r="QH134" s="120"/>
      <c r="QI134" s="120"/>
      <c r="QJ134" s="120"/>
      <c r="QK134" s="120"/>
      <c r="QL134" s="120"/>
      <c r="QM134" s="120"/>
      <c r="QN134" s="120"/>
      <c r="QO134" s="120"/>
      <c r="QP134" s="120"/>
      <c r="QQ134" s="120"/>
      <c r="QR134" s="120"/>
      <c r="QS134" s="120"/>
      <c r="QT134" s="120"/>
      <c r="QU134" s="120"/>
      <c r="QV134" s="120"/>
      <c r="QW134" s="120"/>
      <c r="QX134" s="120"/>
      <c r="QY134" s="120"/>
      <c r="QZ134" s="120"/>
      <c r="RA134" s="120"/>
      <c r="RB134" s="120"/>
      <c r="RC134" s="120"/>
      <c r="RD134" s="120"/>
      <c r="RE134" s="120"/>
      <c r="RF134" s="120"/>
      <c r="RG134" s="120"/>
      <c r="RH134" s="120"/>
      <c r="RI134" s="120"/>
      <c r="RJ134" s="120"/>
      <c r="RK134" s="120"/>
      <c r="RL134" s="120"/>
      <c r="RM134" s="120"/>
      <c r="RN134" s="120"/>
      <c r="RO134" s="120"/>
      <c r="RP134" s="120"/>
      <c r="RQ134" s="120"/>
      <c r="RR134" s="120"/>
      <c r="RS134" s="120"/>
      <c r="RT134" s="120"/>
      <c r="RU134" s="120"/>
      <c r="RV134" s="120"/>
      <c r="RW134" s="120"/>
      <c r="RX134" s="120"/>
      <c r="RY134" s="120"/>
      <c r="RZ134" s="120"/>
      <c r="SA134" s="120"/>
      <c r="SB134" s="120"/>
      <c r="SC134" s="120"/>
      <c r="SD134" s="120"/>
      <c r="SE134" s="120"/>
      <c r="SF134" s="120"/>
      <c r="SG134" s="120"/>
      <c r="SH134" s="120"/>
      <c r="SI134" s="120"/>
      <c r="SJ134" s="120"/>
      <c r="SK134" s="120"/>
      <c r="SL134" s="120"/>
      <c r="SM134" s="120"/>
      <c r="SN134" s="120"/>
      <c r="SO134" s="120"/>
      <c r="SP134" s="120"/>
      <c r="SQ134" s="120"/>
      <c r="SR134" s="120"/>
      <c r="SS134" s="120"/>
      <c r="ST134" s="120"/>
      <c r="SU134" s="120"/>
      <c r="SV134" s="120"/>
      <c r="SW134" s="120"/>
      <c r="SX134" s="120"/>
      <c r="SY134" s="120"/>
      <c r="SZ134" s="120"/>
      <c r="TA134" s="120"/>
      <c r="TB134" s="120"/>
      <c r="TC134" s="120"/>
      <c r="TD134" s="120"/>
      <c r="TE134" s="120"/>
      <c r="TF134" s="120"/>
      <c r="TG134" s="120"/>
      <c r="TH134" s="120"/>
      <c r="TI134" s="120"/>
      <c r="TJ134" s="120"/>
      <c r="TK134" s="120"/>
      <c r="TL134" s="120"/>
      <c r="TM134" s="120"/>
      <c r="TN134" s="120"/>
      <c r="TO134" s="120"/>
      <c r="TP134" s="120"/>
      <c r="TQ134" s="120"/>
      <c r="TR134" s="120"/>
      <c r="TS134" s="120"/>
      <c r="TT134" s="120"/>
      <c r="TU134" s="120"/>
      <c r="TV134" s="120"/>
      <c r="TW134" s="120"/>
      <c r="TX134" s="120"/>
      <c r="TY134" s="120"/>
      <c r="TZ134" s="120"/>
      <c r="UA134" s="120"/>
      <c r="UB134" s="120"/>
      <c r="UC134" s="120"/>
      <c r="UD134" s="120"/>
      <c r="UE134" s="120"/>
      <c r="UF134" s="120"/>
      <c r="UG134" s="120"/>
      <c r="UH134" s="120"/>
      <c r="UI134" s="120"/>
      <c r="UJ134" s="120"/>
      <c r="UK134" s="120"/>
      <c r="UL134" s="120"/>
      <c r="UM134" s="120"/>
      <c r="UN134" s="120"/>
      <c r="UO134" s="120"/>
      <c r="UP134" s="120"/>
      <c r="UQ134" s="120"/>
      <c r="UR134" s="120"/>
      <c r="US134" s="120"/>
      <c r="UT134" s="120"/>
      <c r="UU134" s="120"/>
      <c r="UV134" s="120"/>
      <c r="UW134" s="120"/>
      <c r="UX134" s="120"/>
      <c r="UY134" s="120"/>
      <c r="UZ134" s="120"/>
      <c r="VA134" s="120"/>
      <c r="VB134" s="120"/>
      <c r="VC134" s="120"/>
      <c r="VD134" s="120"/>
      <c r="VE134" s="120"/>
      <c r="VF134" s="120"/>
      <c r="VG134" s="120"/>
      <c r="VH134" s="120"/>
      <c r="VI134" s="120"/>
      <c r="VJ134" s="120"/>
      <c r="VK134" s="120"/>
      <c r="VL134" s="120"/>
      <c r="VM134" s="120"/>
      <c r="VN134" s="120"/>
      <c r="VO134" s="120"/>
      <c r="VP134" s="120"/>
      <c r="VQ134" s="120"/>
      <c r="VR134" s="120"/>
      <c r="VS134" s="120"/>
      <c r="VT134" s="120"/>
      <c r="VU134" s="120"/>
      <c r="VV134" s="120"/>
      <c r="VW134" s="120"/>
      <c r="VX134" s="120"/>
      <c r="VY134" s="120"/>
      <c r="VZ134" s="120"/>
      <c r="WA134" s="120"/>
      <c r="WB134" s="120"/>
      <c r="WC134" s="120"/>
      <c r="WD134" s="120"/>
      <c r="WE134" s="120"/>
      <c r="WF134" s="120"/>
      <c r="WG134" s="120"/>
      <c r="WH134" s="120"/>
      <c r="WI134" s="120"/>
      <c r="WJ134" s="120"/>
      <c r="WK134" s="120"/>
      <c r="WL134" s="120"/>
      <c r="WM134" s="120"/>
      <c r="WN134" s="120"/>
      <c r="WO134" s="120"/>
      <c r="WP134" s="120"/>
      <c r="WQ134" s="120"/>
      <c r="WR134" s="120"/>
      <c r="WS134" s="120"/>
      <c r="WT134" s="120"/>
      <c r="WU134" s="120"/>
      <c r="WV134" s="120"/>
      <c r="WW134" s="120"/>
      <c r="WX134" s="120"/>
      <c r="WY134" s="120"/>
      <c r="WZ134" s="120"/>
      <c r="XA134" s="120"/>
      <c r="XB134" s="120"/>
      <c r="XC134" s="120"/>
      <c r="XD134" s="120"/>
      <c r="XE134" s="120"/>
      <c r="XF134" s="120"/>
      <c r="XG134" s="120"/>
      <c r="XH134" s="120"/>
      <c r="XI134" s="120"/>
      <c r="XJ134" s="120"/>
      <c r="XK134" s="120"/>
      <c r="XL134" s="120"/>
      <c r="XM134" s="120"/>
      <c r="XN134" s="120"/>
      <c r="XO134" s="120"/>
      <c r="XP134" s="120"/>
      <c r="XQ134" s="120"/>
      <c r="XR134" s="120"/>
      <c r="XS134" s="120"/>
      <c r="XT134" s="120"/>
      <c r="XU134" s="120"/>
      <c r="XV134" s="120"/>
      <c r="XW134" s="120"/>
      <c r="XX134" s="120"/>
      <c r="XY134" s="120"/>
      <c r="XZ134" s="120"/>
      <c r="YA134" s="120"/>
      <c r="YB134" s="120"/>
      <c r="YC134" s="120"/>
      <c r="YD134" s="120"/>
      <c r="YE134" s="120"/>
      <c r="YF134" s="120"/>
      <c r="YG134" s="120"/>
      <c r="YH134" s="120"/>
      <c r="YI134" s="120"/>
      <c r="YJ134" s="120"/>
      <c r="YK134" s="120"/>
      <c r="YL134" s="120"/>
      <c r="YM134" s="120"/>
      <c r="YN134" s="120"/>
      <c r="YO134" s="120"/>
      <c r="YP134" s="120"/>
      <c r="YQ134" s="120"/>
      <c r="YR134" s="120"/>
      <c r="YS134" s="120"/>
      <c r="YT134" s="120"/>
      <c r="YU134" s="120"/>
      <c r="YV134" s="120"/>
      <c r="YW134" s="120"/>
      <c r="YX134" s="120"/>
      <c r="YY134" s="120"/>
      <c r="YZ134" s="120"/>
      <c r="ZA134" s="120"/>
      <c r="ZB134" s="120"/>
      <c r="ZC134" s="120"/>
      <c r="ZD134" s="120"/>
      <c r="ZE134" s="120"/>
      <c r="ZF134" s="120"/>
      <c r="ZG134" s="120"/>
      <c r="ZH134" s="120"/>
      <c r="ZI134" s="120"/>
      <c r="ZJ134" s="120"/>
      <c r="ZK134" s="120"/>
      <c r="ZL134" s="120"/>
      <c r="ZM134" s="120"/>
      <c r="ZN134" s="120"/>
      <c r="ZO134" s="120"/>
      <c r="ZP134" s="120"/>
      <c r="ZQ134" s="120"/>
      <c r="ZR134" s="120"/>
      <c r="ZS134" s="120"/>
      <c r="ZT134" s="120"/>
      <c r="ZU134" s="120"/>
      <c r="ZV134" s="120"/>
      <c r="ZW134" s="120"/>
      <c r="ZX134" s="120"/>
      <c r="ZY134" s="120"/>
      <c r="ZZ134" s="120"/>
      <c r="AAA134" s="120"/>
      <c r="AAB134" s="120"/>
      <c r="AAC134" s="120"/>
      <c r="AAD134" s="120"/>
      <c r="AAE134" s="120"/>
      <c r="AAF134" s="120"/>
      <c r="AAG134" s="120"/>
      <c r="AAH134" s="120"/>
      <c r="AAI134" s="120"/>
      <c r="AAJ134" s="120"/>
      <c r="AAK134" s="120"/>
      <c r="AAL134" s="120"/>
      <c r="AAM134" s="120"/>
      <c r="AAN134" s="120"/>
      <c r="AAO134" s="120"/>
      <c r="AAP134" s="120"/>
      <c r="AAQ134" s="120"/>
      <c r="AAR134" s="120"/>
      <c r="AAS134" s="120"/>
      <c r="AAT134" s="120"/>
      <c r="AAU134" s="120"/>
      <c r="AAV134" s="120"/>
      <c r="AAW134" s="120"/>
      <c r="AAX134" s="120"/>
      <c r="AAY134" s="120"/>
      <c r="AAZ134" s="120"/>
      <c r="ABA134" s="120"/>
      <c r="ABB134" s="120"/>
      <c r="ABC134" s="120"/>
      <c r="ABD134" s="120"/>
      <c r="ABE134" s="120"/>
      <c r="ABF134" s="120"/>
      <c r="ABG134" s="120"/>
      <c r="ABH134" s="120"/>
      <c r="ABI134" s="120"/>
      <c r="ABJ134" s="120"/>
      <c r="ABK134" s="120"/>
      <c r="ABL134" s="120"/>
      <c r="ABM134" s="120"/>
      <c r="ABN134" s="120"/>
      <c r="ABO134" s="120"/>
      <c r="ABP134" s="120"/>
      <c r="ABQ134" s="120"/>
      <c r="ABR134" s="120"/>
      <c r="ABS134" s="120"/>
      <c r="ABT134" s="120"/>
      <c r="ABU134" s="120"/>
      <c r="ABV134" s="120"/>
      <c r="ABW134" s="120"/>
      <c r="ABX134" s="120"/>
      <c r="ABY134" s="120"/>
      <c r="ABZ134" s="120"/>
      <c r="ACA134" s="120"/>
      <c r="ACB134" s="120"/>
      <c r="ACC134" s="120"/>
      <c r="ACD134" s="120"/>
      <c r="ACE134" s="120"/>
      <c r="ACF134" s="120"/>
      <c r="ACG134" s="120"/>
      <c r="ACH134" s="120"/>
      <c r="ACI134" s="120"/>
      <c r="ACJ134" s="120"/>
      <c r="ACK134" s="120"/>
      <c r="ACL134" s="120"/>
      <c r="ACM134" s="120"/>
      <c r="ACN134" s="120"/>
      <c r="ACO134" s="120"/>
      <c r="ACP134" s="120"/>
      <c r="ACQ134" s="120"/>
      <c r="ACR134" s="120"/>
      <c r="ACS134" s="120"/>
      <c r="ACT134" s="120"/>
      <c r="ACU134" s="120"/>
      <c r="ACV134" s="120"/>
      <c r="ACW134" s="120"/>
      <c r="ACX134" s="120"/>
      <c r="ACY134" s="120"/>
      <c r="ACZ134" s="120"/>
      <c r="ADA134" s="120"/>
      <c r="ADB134" s="120"/>
      <c r="ADC134" s="120"/>
      <c r="ADD134" s="120"/>
      <c r="ADE134" s="120"/>
      <c r="ADF134" s="120"/>
      <c r="ADG134" s="120"/>
      <c r="ADH134" s="120"/>
      <c r="ADI134" s="120"/>
      <c r="ADJ134" s="120"/>
      <c r="ADK134" s="120"/>
      <c r="ADL134" s="120"/>
      <c r="ADM134" s="120"/>
      <c r="ADN134" s="120"/>
      <c r="ADO134" s="120"/>
      <c r="ADP134" s="120"/>
      <c r="ADQ134" s="120"/>
      <c r="ADR134" s="120"/>
      <c r="ADS134" s="120"/>
      <c r="ADT134" s="120"/>
      <c r="ADU134" s="120"/>
      <c r="ADV134" s="120"/>
      <c r="ADW134" s="120"/>
      <c r="ADX134" s="120"/>
      <c r="ADY134" s="120"/>
      <c r="ADZ134" s="120"/>
      <c r="AEA134" s="120"/>
      <c r="AEB134" s="120"/>
      <c r="AEC134" s="120"/>
      <c r="AED134" s="120"/>
      <c r="AEE134" s="120"/>
      <c r="AEF134" s="120"/>
      <c r="AEG134" s="120"/>
      <c r="AEH134" s="120"/>
      <c r="AEI134" s="120"/>
      <c r="AEJ134" s="120"/>
      <c r="AEK134" s="120"/>
      <c r="AEL134" s="120"/>
      <c r="AEM134" s="120"/>
      <c r="AEN134" s="120"/>
      <c r="AEO134" s="120"/>
      <c r="AEP134" s="120"/>
      <c r="AEQ134" s="120"/>
      <c r="AER134" s="120"/>
      <c r="AES134" s="120"/>
      <c r="AET134" s="120"/>
      <c r="AEU134" s="120"/>
      <c r="AEV134" s="120"/>
      <c r="AEW134" s="120"/>
      <c r="AEX134" s="120"/>
      <c r="AEY134" s="120"/>
      <c r="AEZ134" s="120"/>
      <c r="AFA134" s="120"/>
      <c r="AFB134" s="120"/>
      <c r="AFC134" s="120"/>
      <c r="AFD134" s="120"/>
      <c r="AFE134" s="120"/>
      <c r="AFF134" s="120"/>
      <c r="AFG134" s="120"/>
      <c r="AFH134" s="120"/>
      <c r="AFI134" s="120"/>
      <c r="AFJ134" s="120"/>
      <c r="AFK134" s="120"/>
      <c r="AFL134" s="120"/>
      <c r="AFM134" s="120"/>
      <c r="AFN134" s="120"/>
      <c r="AFO134" s="120"/>
      <c r="AFP134" s="120"/>
      <c r="AFQ134" s="120"/>
      <c r="AFR134" s="120"/>
      <c r="AFS134" s="120"/>
      <c r="AFT134" s="120"/>
      <c r="AFU134" s="120"/>
      <c r="AFV134" s="120"/>
      <c r="AFW134" s="120"/>
      <c r="AFX134" s="120"/>
      <c r="AFY134" s="120"/>
      <c r="AFZ134" s="120"/>
      <c r="AGA134" s="120"/>
      <c r="AGB134" s="120"/>
      <c r="AGC134" s="120"/>
      <c r="AGD134" s="120"/>
      <c r="AGE134" s="120"/>
      <c r="AGF134" s="120"/>
      <c r="AGG134" s="120"/>
      <c r="AGH134" s="120"/>
      <c r="AGI134" s="120"/>
      <c r="AGJ134" s="120"/>
      <c r="AGK134" s="120"/>
      <c r="AGL134" s="120"/>
      <c r="AGM134" s="120"/>
      <c r="AGN134" s="120"/>
      <c r="AGO134" s="120"/>
      <c r="AGP134" s="120"/>
      <c r="AGQ134" s="120"/>
      <c r="AGR134" s="120"/>
      <c r="AGS134" s="120"/>
      <c r="AGT134" s="120"/>
      <c r="AGU134" s="120"/>
      <c r="AGV134" s="120"/>
      <c r="AGW134" s="120"/>
      <c r="AGX134" s="120"/>
      <c r="AGY134" s="120"/>
      <c r="AGZ134" s="120"/>
      <c r="AHA134" s="120"/>
      <c r="AHB134" s="120"/>
      <c r="AHC134" s="120"/>
      <c r="AHD134" s="120"/>
      <c r="AHE134" s="120"/>
      <c r="AHF134" s="120"/>
      <c r="AHG134" s="120"/>
      <c r="AHH134" s="120"/>
      <c r="AHI134" s="120"/>
      <c r="AHJ134" s="120"/>
      <c r="AHK134" s="120"/>
      <c r="AHL134" s="120"/>
      <c r="AHM134" s="120"/>
      <c r="AHN134" s="120"/>
      <c r="AHO134" s="120"/>
      <c r="AHP134" s="120"/>
      <c r="AHQ134" s="120"/>
      <c r="AHR134" s="120"/>
      <c r="AHS134" s="120"/>
      <c r="AHT134" s="120"/>
      <c r="AHU134" s="120"/>
      <c r="AHV134" s="120"/>
      <c r="AHW134" s="120"/>
      <c r="AHX134" s="120"/>
      <c r="AHY134" s="120"/>
      <c r="AHZ134" s="120"/>
      <c r="AIA134" s="120"/>
      <c r="AIB134" s="120"/>
      <c r="AIC134" s="120"/>
      <c r="AID134" s="120"/>
      <c r="AIE134" s="120"/>
      <c r="AIF134" s="120"/>
      <c r="AIG134" s="120"/>
      <c r="AIH134" s="120"/>
      <c r="AII134" s="120"/>
      <c r="AIJ134" s="120"/>
      <c r="AIK134" s="120"/>
      <c r="AIL134" s="120"/>
      <c r="AIM134" s="120"/>
      <c r="AIN134" s="120"/>
      <c r="AIO134" s="120"/>
      <c r="AIP134" s="120"/>
      <c r="AIQ134" s="120"/>
      <c r="AIR134" s="120"/>
      <c r="AIS134" s="120"/>
      <c r="AIT134" s="120"/>
      <c r="AIU134" s="120"/>
      <c r="AIV134" s="120"/>
      <c r="AIW134" s="120"/>
      <c r="AIX134" s="120"/>
      <c r="AIY134" s="120"/>
      <c r="AIZ134" s="120"/>
    </row>
    <row r="135">
      <c r="A135" s="112" t="s">
        <v>7</v>
      </c>
      <c r="B135" s="112" t="s">
        <v>8</v>
      </c>
      <c r="C135" s="112"/>
      <c r="D135" s="113">
        <f t="shared" si="1"/>
        <v>729.73435</v>
      </c>
      <c r="E135" s="112">
        <v>175.078116666666</v>
      </c>
      <c r="F135" s="113"/>
      <c r="G135" s="113"/>
      <c r="H135" s="113"/>
      <c r="I135" s="113"/>
      <c r="J135" s="113"/>
      <c r="K135" s="113"/>
      <c r="L135" s="112">
        <v>3.09516666666667</v>
      </c>
      <c r="M135" s="112">
        <v>17.8309166666667</v>
      </c>
      <c r="N135" s="113"/>
      <c r="O135" s="112">
        <v>0.191616666666667</v>
      </c>
      <c r="P135" s="112">
        <v>203.7592</v>
      </c>
      <c r="Q135" s="113"/>
      <c r="R135" s="113"/>
      <c r="S135" s="113"/>
      <c r="T135" s="113"/>
      <c r="U135" s="113"/>
      <c r="V135" s="112">
        <v>3.28065</v>
      </c>
      <c r="W135" s="112">
        <v>56.5240333333334</v>
      </c>
      <c r="X135" s="113"/>
      <c r="Y135" s="113"/>
      <c r="Z135" s="113"/>
      <c r="AA135" s="113"/>
      <c r="AB135" s="113"/>
      <c r="AC135" s="112">
        <v>1.16946666666667</v>
      </c>
      <c r="AD135" s="112">
        <v>100.81215</v>
      </c>
      <c r="AE135" s="113"/>
      <c r="AF135" s="113"/>
      <c r="AG135" s="113"/>
      <c r="AH135" s="113"/>
      <c r="AI135" s="113"/>
      <c r="AJ135" s="112">
        <v>2.96236666666667</v>
      </c>
      <c r="AK135" s="112">
        <v>58.9368666666667</v>
      </c>
      <c r="AL135" s="113"/>
      <c r="AM135" s="113"/>
      <c r="AN135" s="113"/>
      <c r="AO135" s="112">
        <v>11.5857333333333</v>
      </c>
      <c r="AP135" s="112">
        <v>26.0567666666667</v>
      </c>
      <c r="AQ135" s="113"/>
      <c r="AR135" s="113"/>
      <c r="AS135" s="112">
        <v>3.32333333333333</v>
      </c>
      <c r="AT135" s="112">
        <v>58.9855166666667</v>
      </c>
      <c r="AU135" s="113"/>
      <c r="AV135" s="112">
        <v>5.67153333333333</v>
      </c>
      <c r="AW135" s="112">
        <v>0.470916666666667</v>
      </c>
      <c r="AX135" s="113"/>
      <c r="AY135" s="113"/>
      <c r="AZ135" s="113"/>
      <c r="BA135" s="113"/>
      <c r="BB135" s="113"/>
      <c r="BC135" s="113"/>
      <c r="BD135" s="113"/>
      <c r="BE135" s="113"/>
      <c r="BF135" s="113"/>
      <c r="BG135" s="113"/>
      <c r="BH135" s="113"/>
      <c r="BI135" s="113"/>
      <c r="BJ135" s="113"/>
      <c r="BK135" s="113"/>
      <c r="BL135" s="113"/>
      <c r="BM135" s="113"/>
      <c r="BN135" s="113"/>
      <c r="BO135" s="113"/>
      <c r="BP135" s="113"/>
      <c r="BQ135" s="113"/>
      <c r="BR135" s="113"/>
      <c r="BS135" s="113"/>
      <c r="BT135" s="113"/>
      <c r="BU135" s="113"/>
      <c r="BV135" s="113"/>
      <c r="BW135" s="113"/>
      <c r="BX135" s="113"/>
      <c r="BY135" s="113"/>
      <c r="BZ135" s="113"/>
      <c r="CA135" s="113"/>
      <c r="CB135" s="113"/>
      <c r="CC135" s="113"/>
      <c r="CD135" s="113"/>
      <c r="CE135" s="113"/>
      <c r="CF135" s="113"/>
      <c r="CG135" s="113"/>
      <c r="CH135" s="113"/>
      <c r="CI135" s="113"/>
      <c r="CJ135" s="113"/>
      <c r="CK135" s="113"/>
      <c r="CL135" s="113"/>
      <c r="CM135" s="113"/>
      <c r="CN135" s="113"/>
      <c r="CO135" s="113"/>
      <c r="CP135" s="113"/>
      <c r="CQ135" s="113"/>
      <c r="CR135" s="113"/>
      <c r="CS135" s="113"/>
      <c r="CT135" s="113"/>
      <c r="CU135" s="113"/>
      <c r="CV135" s="113"/>
      <c r="CW135" s="113"/>
      <c r="CX135" s="113"/>
      <c r="CY135" s="113"/>
      <c r="CZ135" s="113"/>
      <c r="DA135" s="113"/>
      <c r="DB135" s="113"/>
      <c r="DC135" s="113"/>
      <c r="DD135" s="113"/>
      <c r="DE135" s="113"/>
      <c r="DF135" s="113"/>
      <c r="DG135" s="113"/>
      <c r="DH135" s="113"/>
      <c r="DI135" s="113"/>
      <c r="DJ135" s="113"/>
      <c r="DK135" s="113"/>
      <c r="DL135" s="113"/>
      <c r="DM135" s="113"/>
      <c r="DN135" s="113"/>
      <c r="DO135" s="113"/>
      <c r="DP135" s="113"/>
      <c r="DQ135" s="113"/>
      <c r="DR135" s="113"/>
      <c r="DS135" s="113"/>
      <c r="DT135" s="113"/>
      <c r="DU135" s="113"/>
      <c r="DV135" s="113"/>
      <c r="DW135" s="113"/>
      <c r="DX135" s="113"/>
      <c r="DY135" s="113"/>
      <c r="DZ135" s="113"/>
      <c r="EA135" s="113"/>
      <c r="EB135" s="113"/>
      <c r="EC135" s="113"/>
      <c r="ED135" s="113"/>
      <c r="EE135" s="113"/>
      <c r="EF135" s="113"/>
      <c r="EG135" s="113"/>
      <c r="EH135" s="113"/>
      <c r="EI135" s="113"/>
      <c r="EJ135" s="113"/>
      <c r="EK135" s="113"/>
      <c r="EL135" s="113"/>
      <c r="EM135" s="113"/>
      <c r="EN135" s="113"/>
      <c r="EO135" s="113"/>
      <c r="EP135" s="113"/>
      <c r="EQ135" s="113"/>
      <c r="ER135" s="113"/>
      <c r="ES135" s="113"/>
      <c r="ET135" s="113"/>
      <c r="EU135" s="113"/>
      <c r="EV135" s="113"/>
      <c r="EW135" s="113"/>
      <c r="EX135" s="113"/>
      <c r="EY135" s="113"/>
      <c r="EZ135" s="113"/>
      <c r="FA135" s="113"/>
      <c r="FB135" s="113"/>
      <c r="FC135" s="113"/>
      <c r="FD135" s="113"/>
      <c r="FE135" s="113"/>
      <c r="FF135" s="113"/>
      <c r="FG135" s="113"/>
      <c r="FH135" s="113"/>
      <c r="FI135" s="113"/>
      <c r="FJ135" s="113"/>
      <c r="FK135" s="113"/>
      <c r="FL135" s="113"/>
      <c r="FM135" s="113"/>
      <c r="FN135" s="113"/>
      <c r="FO135" s="113"/>
      <c r="FP135" s="113"/>
      <c r="FQ135" s="113"/>
      <c r="FR135" s="113"/>
      <c r="FS135" s="113"/>
      <c r="FT135" s="113"/>
      <c r="FU135" s="113"/>
      <c r="FV135" s="113"/>
      <c r="FW135" s="113"/>
      <c r="FX135" s="113"/>
      <c r="FY135" s="113"/>
      <c r="FZ135" s="113"/>
      <c r="GA135" s="113"/>
      <c r="GB135" s="113"/>
      <c r="GC135" s="113"/>
      <c r="GD135" s="113"/>
      <c r="GE135" s="113"/>
      <c r="GF135" s="113"/>
      <c r="GG135" s="113"/>
      <c r="GH135" s="113"/>
      <c r="GI135" s="113"/>
      <c r="GJ135" s="113"/>
      <c r="GK135" s="113"/>
      <c r="GL135" s="113"/>
      <c r="GM135" s="113"/>
      <c r="GN135" s="113"/>
      <c r="GO135" s="113"/>
      <c r="GP135" s="113"/>
      <c r="GQ135" s="113"/>
      <c r="GR135" s="113"/>
      <c r="GS135" s="113"/>
      <c r="GT135" s="113"/>
      <c r="GU135" s="113"/>
      <c r="GV135" s="113"/>
      <c r="GW135" s="113"/>
      <c r="GX135" s="113"/>
      <c r="GY135" s="113"/>
      <c r="GZ135" s="113"/>
      <c r="HA135" s="113"/>
      <c r="HB135" s="113"/>
      <c r="HC135" s="113"/>
      <c r="HD135" s="113"/>
      <c r="HE135" s="113"/>
      <c r="HF135" s="113"/>
      <c r="HG135" s="113"/>
      <c r="HH135" s="113"/>
      <c r="HI135" s="113"/>
      <c r="HJ135" s="113"/>
      <c r="HK135" s="113"/>
      <c r="HL135" s="113"/>
      <c r="HM135" s="113"/>
      <c r="HN135" s="113"/>
      <c r="HO135" s="113"/>
      <c r="HP135" s="113"/>
      <c r="HQ135" s="113"/>
      <c r="HR135" s="113"/>
      <c r="HS135" s="113"/>
      <c r="HT135" s="113"/>
      <c r="HU135" s="113"/>
      <c r="HV135" s="113"/>
      <c r="HW135" s="113"/>
      <c r="HX135" s="113"/>
      <c r="HY135" s="113"/>
      <c r="HZ135" s="113"/>
      <c r="IA135" s="113"/>
      <c r="IB135" s="113"/>
      <c r="IC135" s="113"/>
      <c r="ID135" s="113"/>
      <c r="IE135" s="113"/>
      <c r="IF135" s="113"/>
      <c r="IG135" s="113"/>
      <c r="IH135" s="113"/>
      <c r="II135" s="113"/>
      <c r="IJ135" s="113"/>
      <c r="IK135" s="113"/>
      <c r="IL135" s="113"/>
      <c r="IM135" s="113"/>
      <c r="IN135" s="113"/>
      <c r="IO135" s="113"/>
      <c r="IP135" s="113"/>
      <c r="IQ135" s="113"/>
      <c r="IR135" s="113"/>
      <c r="IS135" s="113"/>
      <c r="IT135" s="113"/>
      <c r="IU135" s="113"/>
      <c r="IV135" s="113"/>
      <c r="IW135" s="113"/>
      <c r="IX135" s="113"/>
      <c r="IY135" s="113"/>
      <c r="IZ135" s="113"/>
      <c r="JA135" s="113"/>
      <c r="JB135" s="113"/>
      <c r="JC135" s="113"/>
      <c r="JD135" s="113"/>
      <c r="JE135" s="113"/>
      <c r="JF135" s="113"/>
      <c r="JG135" s="113"/>
      <c r="JH135" s="113"/>
      <c r="JI135" s="113"/>
      <c r="JJ135" s="113"/>
      <c r="JK135" s="113"/>
      <c r="JL135" s="113"/>
      <c r="JM135" s="113"/>
      <c r="JN135" s="113"/>
      <c r="JO135" s="113"/>
      <c r="JP135" s="113"/>
      <c r="JQ135" s="113"/>
      <c r="JR135" s="113"/>
      <c r="JS135" s="113"/>
      <c r="JT135" s="113"/>
      <c r="JU135" s="113"/>
      <c r="JV135" s="113"/>
      <c r="JW135" s="113"/>
      <c r="JX135" s="113"/>
      <c r="JY135" s="113"/>
      <c r="JZ135" s="113"/>
      <c r="KA135" s="113"/>
      <c r="KB135" s="113"/>
      <c r="KC135" s="113"/>
      <c r="KD135" s="113"/>
      <c r="KE135" s="113"/>
      <c r="KF135" s="113"/>
      <c r="KG135" s="113"/>
      <c r="KH135" s="113"/>
      <c r="KI135" s="113"/>
      <c r="KJ135" s="113"/>
      <c r="KK135" s="113"/>
      <c r="KL135" s="113"/>
      <c r="KM135" s="113"/>
      <c r="KN135" s="113"/>
      <c r="KO135" s="113"/>
      <c r="KP135" s="113"/>
      <c r="KQ135" s="113"/>
      <c r="KR135" s="113"/>
      <c r="KS135" s="113"/>
      <c r="KT135" s="113"/>
      <c r="KU135" s="113"/>
      <c r="KV135" s="113"/>
      <c r="KW135" s="113"/>
      <c r="KX135" s="113"/>
      <c r="KY135" s="113"/>
      <c r="KZ135" s="113"/>
      <c r="LA135" s="113"/>
      <c r="LB135" s="113"/>
      <c r="LC135" s="113"/>
      <c r="LD135" s="113"/>
      <c r="LE135" s="113"/>
      <c r="LF135" s="113"/>
      <c r="LG135" s="113"/>
      <c r="LH135" s="113"/>
      <c r="LI135" s="113"/>
      <c r="LJ135" s="113"/>
      <c r="LK135" s="113"/>
      <c r="LL135" s="113"/>
      <c r="LM135" s="113"/>
      <c r="LN135" s="113"/>
      <c r="LO135" s="113"/>
      <c r="LP135" s="113"/>
      <c r="LQ135" s="113"/>
      <c r="LR135" s="113"/>
      <c r="LS135" s="113"/>
      <c r="LT135" s="113"/>
      <c r="LU135" s="113"/>
      <c r="LV135" s="113"/>
      <c r="LW135" s="113"/>
      <c r="LX135" s="113"/>
      <c r="LY135" s="113"/>
      <c r="LZ135" s="113"/>
      <c r="MA135" s="113"/>
      <c r="MB135" s="113"/>
      <c r="MC135" s="113"/>
      <c r="MD135" s="113"/>
      <c r="ME135" s="113"/>
      <c r="MF135" s="113"/>
      <c r="MG135" s="113"/>
      <c r="MH135" s="113"/>
      <c r="MI135" s="113"/>
      <c r="MJ135" s="113"/>
      <c r="MK135" s="113"/>
      <c r="ML135" s="113"/>
      <c r="MM135" s="113"/>
      <c r="MN135" s="113"/>
      <c r="MO135" s="113"/>
      <c r="MP135" s="113"/>
      <c r="MQ135" s="113"/>
      <c r="MR135" s="113"/>
      <c r="MS135" s="113"/>
      <c r="MT135" s="113"/>
      <c r="MU135" s="113"/>
      <c r="MV135" s="113"/>
      <c r="MW135" s="113"/>
      <c r="MX135" s="113"/>
      <c r="MY135" s="113"/>
      <c r="MZ135" s="113"/>
      <c r="NA135" s="113"/>
      <c r="NB135" s="113"/>
      <c r="NC135" s="113"/>
      <c r="ND135" s="113"/>
      <c r="NE135" s="113"/>
      <c r="NF135" s="113"/>
      <c r="NG135" s="113"/>
      <c r="NH135" s="113"/>
      <c r="NI135" s="113"/>
      <c r="NJ135" s="113"/>
      <c r="NK135" s="113"/>
      <c r="NL135" s="113"/>
      <c r="NM135" s="113"/>
      <c r="NN135" s="113"/>
      <c r="NO135" s="113"/>
      <c r="NP135" s="113"/>
      <c r="NQ135" s="113"/>
      <c r="NR135" s="113"/>
      <c r="NS135" s="113"/>
      <c r="NT135" s="113"/>
      <c r="NU135" s="113"/>
      <c r="NV135" s="113"/>
      <c r="NW135" s="113"/>
      <c r="NX135" s="113"/>
      <c r="NY135" s="113"/>
      <c r="NZ135" s="113"/>
      <c r="OA135" s="113"/>
      <c r="OB135" s="113"/>
      <c r="OC135" s="113"/>
      <c r="OD135" s="113"/>
      <c r="OE135" s="113"/>
      <c r="OF135" s="113"/>
      <c r="OG135" s="113"/>
      <c r="OH135" s="113"/>
      <c r="OI135" s="113"/>
      <c r="OJ135" s="113"/>
      <c r="OK135" s="113"/>
      <c r="OL135" s="113"/>
      <c r="OM135" s="113"/>
      <c r="ON135" s="113"/>
      <c r="OO135" s="113"/>
      <c r="OP135" s="113"/>
      <c r="OQ135" s="113"/>
      <c r="OR135" s="113"/>
      <c r="OS135" s="113"/>
      <c r="OT135" s="113"/>
      <c r="OU135" s="113"/>
      <c r="OV135" s="113"/>
      <c r="OW135" s="113"/>
      <c r="OX135" s="113"/>
      <c r="OY135" s="113"/>
      <c r="OZ135" s="113"/>
      <c r="PA135" s="113"/>
      <c r="PB135" s="113"/>
      <c r="PC135" s="113"/>
      <c r="PD135" s="113"/>
      <c r="PE135" s="113"/>
      <c r="PF135" s="113"/>
      <c r="PG135" s="113"/>
      <c r="PH135" s="113"/>
      <c r="PI135" s="113"/>
      <c r="PJ135" s="113"/>
      <c r="PK135" s="113"/>
      <c r="PL135" s="113"/>
      <c r="PM135" s="113"/>
      <c r="PN135" s="113"/>
      <c r="PO135" s="113"/>
      <c r="PP135" s="113"/>
      <c r="PQ135" s="113"/>
      <c r="PR135" s="113"/>
      <c r="PS135" s="113"/>
      <c r="PT135" s="113"/>
      <c r="PU135" s="113"/>
      <c r="PV135" s="113"/>
      <c r="PW135" s="113"/>
      <c r="PX135" s="113"/>
      <c r="PY135" s="113"/>
      <c r="PZ135" s="113"/>
      <c r="QA135" s="113"/>
      <c r="QB135" s="113"/>
      <c r="QC135" s="113"/>
      <c r="QD135" s="113"/>
      <c r="QE135" s="113"/>
      <c r="QF135" s="113"/>
      <c r="QG135" s="113"/>
      <c r="QH135" s="113"/>
      <c r="QI135" s="113"/>
      <c r="QJ135" s="113"/>
      <c r="QK135" s="113"/>
      <c r="QL135" s="113"/>
      <c r="QM135" s="113"/>
      <c r="QN135" s="113"/>
      <c r="QO135" s="113"/>
      <c r="QP135" s="113"/>
      <c r="QQ135" s="113"/>
      <c r="QR135" s="113"/>
      <c r="QS135" s="113"/>
      <c r="QT135" s="113"/>
      <c r="QU135" s="113"/>
      <c r="QV135" s="113"/>
      <c r="QW135" s="113"/>
      <c r="QX135" s="113"/>
      <c r="QY135" s="113"/>
      <c r="QZ135" s="113"/>
      <c r="RA135" s="113"/>
      <c r="RB135" s="113"/>
      <c r="RC135" s="113"/>
      <c r="RD135" s="113"/>
      <c r="RE135" s="113"/>
      <c r="RF135" s="113"/>
      <c r="RG135" s="113"/>
      <c r="RH135" s="113"/>
      <c r="RI135" s="113"/>
      <c r="RJ135" s="113"/>
      <c r="RK135" s="113"/>
      <c r="RL135" s="113"/>
      <c r="RM135" s="113"/>
      <c r="RN135" s="113"/>
      <c r="RO135" s="113"/>
      <c r="RP135" s="113"/>
      <c r="RQ135" s="113"/>
      <c r="RR135" s="113"/>
      <c r="RS135" s="113"/>
      <c r="RT135" s="113"/>
      <c r="RU135" s="113"/>
      <c r="RV135" s="113"/>
      <c r="RW135" s="113"/>
      <c r="RX135" s="113"/>
      <c r="RY135" s="113"/>
      <c r="RZ135" s="113"/>
      <c r="SA135" s="113"/>
      <c r="SB135" s="113"/>
      <c r="SC135" s="113"/>
      <c r="SD135" s="113"/>
      <c r="SE135" s="113"/>
      <c r="SF135" s="113"/>
      <c r="SG135" s="113"/>
      <c r="SH135" s="113"/>
      <c r="SI135" s="113"/>
      <c r="SJ135" s="113"/>
      <c r="SK135" s="113"/>
      <c r="SL135" s="113"/>
      <c r="SM135" s="113"/>
      <c r="SN135" s="113"/>
      <c r="SO135" s="113"/>
      <c r="SP135" s="113"/>
      <c r="SQ135" s="113"/>
      <c r="SR135" s="113"/>
      <c r="SS135" s="113"/>
      <c r="ST135" s="113"/>
      <c r="SU135" s="113"/>
      <c r="SV135" s="113"/>
      <c r="SW135" s="113"/>
      <c r="SX135" s="113"/>
      <c r="SY135" s="113"/>
      <c r="SZ135" s="113"/>
      <c r="TA135" s="113"/>
      <c r="TB135" s="113"/>
      <c r="TC135" s="113"/>
      <c r="TD135" s="113"/>
      <c r="TE135" s="113"/>
      <c r="TF135" s="113"/>
      <c r="TG135" s="113"/>
      <c r="TH135" s="113"/>
      <c r="TI135" s="113"/>
      <c r="TJ135" s="113"/>
      <c r="TK135" s="113"/>
      <c r="TL135" s="113"/>
      <c r="TM135" s="113"/>
      <c r="TN135" s="113"/>
      <c r="TO135" s="113"/>
      <c r="TP135" s="113"/>
      <c r="TQ135" s="113"/>
      <c r="TR135" s="113"/>
      <c r="TS135" s="113"/>
      <c r="TT135" s="113"/>
      <c r="TU135" s="113"/>
      <c r="TV135" s="113"/>
      <c r="TW135" s="113"/>
      <c r="TX135" s="113"/>
      <c r="TY135" s="113"/>
      <c r="TZ135" s="113"/>
      <c r="UA135" s="113"/>
      <c r="UB135" s="113"/>
      <c r="UC135" s="113"/>
      <c r="UD135" s="113"/>
      <c r="UE135" s="113"/>
      <c r="UF135" s="113"/>
      <c r="UG135" s="113"/>
      <c r="UH135" s="113"/>
      <c r="UI135" s="113"/>
      <c r="UJ135" s="113"/>
      <c r="UK135" s="113"/>
      <c r="UL135" s="113"/>
      <c r="UM135" s="113"/>
      <c r="UN135" s="113"/>
      <c r="UO135" s="113"/>
      <c r="UP135" s="113"/>
      <c r="UQ135" s="113"/>
      <c r="UR135" s="113"/>
      <c r="US135" s="113"/>
      <c r="UT135" s="113"/>
      <c r="UU135" s="113"/>
      <c r="UV135" s="113"/>
      <c r="UW135" s="113"/>
      <c r="UX135" s="113"/>
      <c r="UY135" s="113"/>
      <c r="UZ135" s="113"/>
      <c r="VA135" s="113"/>
      <c r="VB135" s="113"/>
      <c r="VC135" s="113"/>
      <c r="VD135" s="113"/>
      <c r="VE135" s="113"/>
      <c r="VF135" s="113"/>
      <c r="VG135" s="113"/>
      <c r="VH135" s="113"/>
      <c r="VI135" s="113"/>
      <c r="VJ135" s="113"/>
      <c r="VK135" s="113"/>
      <c r="VL135" s="113"/>
      <c r="VM135" s="113"/>
      <c r="VN135" s="113"/>
      <c r="VO135" s="113"/>
      <c r="VP135" s="113"/>
      <c r="VQ135" s="113"/>
      <c r="VR135" s="113"/>
      <c r="VS135" s="113"/>
      <c r="VT135" s="113"/>
      <c r="VU135" s="113"/>
      <c r="VV135" s="113"/>
      <c r="VW135" s="113"/>
      <c r="VX135" s="113"/>
      <c r="VY135" s="113"/>
      <c r="VZ135" s="113"/>
      <c r="WA135" s="113"/>
      <c r="WB135" s="113"/>
      <c r="WC135" s="113"/>
      <c r="WD135" s="113"/>
      <c r="WE135" s="113"/>
      <c r="WF135" s="113"/>
      <c r="WG135" s="113"/>
      <c r="WH135" s="113"/>
      <c r="WI135" s="113"/>
      <c r="WJ135" s="113"/>
      <c r="WK135" s="113"/>
      <c r="WL135" s="113"/>
      <c r="WM135" s="113"/>
      <c r="WN135" s="113"/>
      <c r="WO135" s="113"/>
      <c r="WP135" s="113"/>
      <c r="WQ135" s="113"/>
      <c r="WR135" s="113"/>
      <c r="WS135" s="113"/>
      <c r="WT135" s="113"/>
      <c r="WU135" s="113"/>
      <c r="WV135" s="113"/>
      <c r="WW135" s="113"/>
      <c r="WX135" s="113"/>
      <c r="WY135" s="113"/>
      <c r="WZ135" s="113"/>
      <c r="XA135" s="113"/>
      <c r="XB135" s="113"/>
      <c r="XC135" s="113"/>
      <c r="XD135" s="113"/>
      <c r="XE135" s="113"/>
      <c r="XF135" s="113"/>
      <c r="XG135" s="113"/>
      <c r="XH135" s="113"/>
      <c r="XI135" s="113"/>
      <c r="XJ135" s="113"/>
      <c r="XK135" s="113"/>
      <c r="XL135" s="113"/>
      <c r="XM135" s="113"/>
      <c r="XN135" s="113"/>
      <c r="XO135" s="113"/>
      <c r="XP135" s="113"/>
      <c r="XQ135" s="113"/>
      <c r="XR135" s="113"/>
      <c r="XS135" s="113"/>
      <c r="XT135" s="113"/>
      <c r="XU135" s="113"/>
      <c r="XV135" s="113"/>
      <c r="XW135" s="113"/>
      <c r="XX135" s="113"/>
      <c r="XY135" s="113"/>
      <c r="XZ135" s="113"/>
      <c r="YA135" s="113"/>
      <c r="YB135" s="113"/>
      <c r="YC135" s="113"/>
      <c r="YD135" s="113"/>
      <c r="YE135" s="113"/>
      <c r="YF135" s="113"/>
      <c r="YG135" s="113"/>
      <c r="YH135" s="113"/>
      <c r="YI135" s="113"/>
      <c r="YJ135" s="113"/>
      <c r="YK135" s="113"/>
      <c r="YL135" s="113"/>
      <c r="YM135" s="113"/>
      <c r="YN135" s="113"/>
      <c r="YO135" s="113"/>
      <c r="YP135" s="113"/>
      <c r="YQ135" s="113"/>
      <c r="YR135" s="113"/>
      <c r="YS135" s="113"/>
      <c r="YT135" s="113"/>
      <c r="YU135" s="113"/>
      <c r="YV135" s="113"/>
      <c r="YW135" s="113"/>
      <c r="YX135" s="113"/>
      <c r="YY135" s="113"/>
      <c r="YZ135" s="113"/>
      <c r="ZA135" s="113"/>
      <c r="ZB135" s="113"/>
      <c r="ZC135" s="113"/>
      <c r="ZD135" s="113"/>
      <c r="ZE135" s="113"/>
      <c r="ZF135" s="113"/>
      <c r="ZG135" s="113"/>
      <c r="ZH135" s="113"/>
      <c r="ZI135" s="113"/>
      <c r="ZJ135" s="113"/>
      <c r="ZK135" s="113"/>
      <c r="ZL135" s="113"/>
      <c r="ZM135" s="113"/>
      <c r="ZN135" s="113"/>
      <c r="ZO135" s="113"/>
      <c r="ZP135" s="113"/>
      <c r="ZQ135" s="113"/>
      <c r="ZR135" s="113"/>
      <c r="ZS135" s="113"/>
      <c r="ZT135" s="113"/>
      <c r="ZU135" s="113"/>
      <c r="ZV135" s="113"/>
      <c r="ZW135" s="113"/>
      <c r="ZX135" s="113"/>
      <c r="ZY135" s="113"/>
      <c r="ZZ135" s="113"/>
      <c r="AAA135" s="113"/>
      <c r="AAB135" s="113"/>
      <c r="AAC135" s="113"/>
      <c r="AAD135" s="113"/>
      <c r="AAE135" s="113"/>
      <c r="AAF135" s="113"/>
      <c r="AAG135" s="113"/>
      <c r="AAH135" s="113"/>
      <c r="AAI135" s="113"/>
      <c r="AAJ135" s="113"/>
      <c r="AAK135" s="113"/>
      <c r="AAL135" s="113"/>
      <c r="AAM135" s="113"/>
      <c r="AAN135" s="113"/>
      <c r="AAO135" s="113"/>
      <c r="AAP135" s="113"/>
      <c r="AAQ135" s="113"/>
      <c r="AAR135" s="113"/>
      <c r="AAS135" s="113"/>
      <c r="AAT135" s="113"/>
      <c r="AAU135" s="113"/>
      <c r="AAV135" s="113"/>
      <c r="AAW135" s="113"/>
      <c r="AAX135" s="113"/>
      <c r="AAY135" s="113"/>
      <c r="AAZ135" s="113"/>
      <c r="ABA135" s="113"/>
      <c r="ABB135" s="113"/>
      <c r="ABC135" s="113"/>
      <c r="ABD135" s="113"/>
      <c r="ABE135" s="113"/>
      <c r="ABF135" s="113"/>
      <c r="ABG135" s="113"/>
      <c r="ABH135" s="113"/>
      <c r="ABI135" s="113"/>
      <c r="ABJ135" s="113"/>
      <c r="ABK135" s="113"/>
      <c r="ABL135" s="113"/>
      <c r="ABM135" s="113"/>
      <c r="ABN135" s="113"/>
      <c r="ABO135" s="113"/>
      <c r="ABP135" s="113"/>
      <c r="ABQ135" s="113"/>
      <c r="ABR135" s="113"/>
      <c r="ABS135" s="113"/>
      <c r="ABT135" s="113"/>
      <c r="ABU135" s="113"/>
      <c r="ABV135" s="113"/>
      <c r="ABW135" s="113"/>
      <c r="ABX135" s="113"/>
      <c r="ABY135" s="113"/>
      <c r="ABZ135" s="113"/>
      <c r="ACA135" s="113"/>
      <c r="ACB135" s="113"/>
      <c r="ACC135" s="113"/>
      <c r="ACD135" s="113"/>
      <c r="ACE135" s="113"/>
      <c r="ACF135" s="113"/>
      <c r="ACG135" s="113"/>
      <c r="ACH135" s="113"/>
      <c r="ACI135" s="113"/>
      <c r="ACJ135" s="113"/>
      <c r="ACK135" s="113"/>
      <c r="ACL135" s="113"/>
      <c r="ACM135" s="113"/>
      <c r="ACN135" s="113"/>
      <c r="ACO135" s="113"/>
      <c r="ACP135" s="113"/>
      <c r="ACQ135" s="113"/>
      <c r="ACR135" s="113"/>
      <c r="ACS135" s="113"/>
      <c r="ACT135" s="113"/>
      <c r="ACU135" s="113"/>
      <c r="ACV135" s="113"/>
      <c r="ACW135" s="113"/>
      <c r="ACX135" s="113"/>
      <c r="ACY135" s="113"/>
      <c r="ACZ135" s="113"/>
      <c r="ADA135" s="113"/>
      <c r="ADB135" s="113"/>
      <c r="ADC135" s="113"/>
      <c r="ADD135" s="113"/>
      <c r="ADE135" s="113"/>
      <c r="ADF135" s="113"/>
      <c r="ADG135" s="113"/>
      <c r="ADH135" s="113"/>
      <c r="ADI135" s="113"/>
      <c r="ADJ135" s="113"/>
      <c r="ADK135" s="113"/>
      <c r="ADL135" s="113"/>
      <c r="ADM135" s="113"/>
      <c r="ADN135" s="113"/>
      <c r="ADO135" s="113"/>
      <c r="ADP135" s="113"/>
      <c r="ADQ135" s="113"/>
      <c r="ADR135" s="113"/>
      <c r="ADS135" s="113"/>
      <c r="ADT135" s="113"/>
      <c r="ADU135" s="113"/>
      <c r="ADV135" s="113"/>
      <c r="ADW135" s="113"/>
      <c r="ADX135" s="113"/>
      <c r="ADY135" s="113"/>
      <c r="ADZ135" s="113"/>
      <c r="AEA135" s="113"/>
      <c r="AEB135" s="113"/>
      <c r="AEC135" s="113"/>
      <c r="AED135" s="113"/>
      <c r="AEE135" s="113"/>
      <c r="AEF135" s="113"/>
      <c r="AEG135" s="113"/>
      <c r="AEH135" s="113"/>
      <c r="AEI135" s="113"/>
      <c r="AEJ135" s="113"/>
      <c r="AEK135" s="113"/>
      <c r="AEL135" s="113"/>
      <c r="AEM135" s="113"/>
      <c r="AEN135" s="113"/>
      <c r="AEO135" s="113"/>
      <c r="AEP135" s="113"/>
      <c r="AEQ135" s="113"/>
      <c r="AER135" s="113"/>
      <c r="AES135" s="113"/>
      <c r="AET135" s="113"/>
      <c r="AEU135" s="113"/>
      <c r="AEV135" s="113"/>
      <c r="AEW135" s="113"/>
      <c r="AEX135" s="113"/>
      <c r="AEY135" s="113"/>
      <c r="AEZ135" s="113"/>
      <c r="AFA135" s="113"/>
      <c r="AFB135" s="113"/>
      <c r="AFC135" s="113"/>
      <c r="AFD135" s="113"/>
      <c r="AFE135" s="113"/>
      <c r="AFF135" s="113"/>
      <c r="AFG135" s="113"/>
      <c r="AFH135" s="113"/>
      <c r="AFI135" s="113"/>
      <c r="AFJ135" s="113"/>
      <c r="AFK135" s="113"/>
      <c r="AFL135" s="113"/>
      <c r="AFM135" s="113"/>
      <c r="AFN135" s="113"/>
      <c r="AFO135" s="113"/>
      <c r="AFP135" s="113"/>
      <c r="AFQ135" s="113"/>
      <c r="AFR135" s="113"/>
      <c r="AFS135" s="113"/>
      <c r="AFT135" s="113"/>
      <c r="AFU135" s="113"/>
      <c r="AFV135" s="113"/>
      <c r="AFW135" s="113"/>
      <c r="AFX135" s="113"/>
      <c r="AFY135" s="113"/>
      <c r="AFZ135" s="113"/>
      <c r="AGA135" s="113"/>
      <c r="AGB135" s="113"/>
      <c r="AGC135" s="113"/>
      <c r="AGD135" s="113"/>
      <c r="AGE135" s="113"/>
      <c r="AGF135" s="113"/>
      <c r="AGG135" s="113"/>
      <c r="AGH135" s="113"/>
      <c r="AGI135" s="113"/>
      <c r="AGJ135" s="113"/>
      <c r="AGK135" s="113"/>
      <c r="AGL135" s="113"/>
      <c r="AGM135" s="113"/>
      <c r="AGN135" s="113"/>
      <c r="AGO135" s="113"/>
      <c r="AGP135" s="113"/>
      <c r="AGQ135" s="113"/>
      <c r="AGR135" s="113"/>
      <c r="AGS135" s="113"/>
      <c r="AGT135" s="113"/>
      <c r="AGU135" s="113"/>
      <c r="AGV135" s="113"/>
      <c r="AGW135" s="113"/>
      <c r="AGX135" s="113"/>
      <c r="AGY135" s="113"/>
      <c r="AGZ135" s="113"/>
      <c r="AHA135" s="113"/>
      <c r="AHB135" s="113"/>
      <c r="AHC135" s="113"/>
      <c r="AHD135" s="113"/>
      <c r="AHE135" s="113"/>
      <c r="AHF135" s="113"/>
      <c r="AHG135" s="113"/>
      <c r="AHH135" s="113"/>
      <c r="AHI135" s="113"/>
      <c r="AHJ135" s="113"/>
      <c r="AHK135" s="113"/>
      <c r="AHL135" s="113"/>
      <c r="AHM135" s="113"/>
      <c r="AHN135" s="113"/>
      <c r="AHO135" s="113"/>
      <c r="AHP135" s="113"/>
      <c r="AHQ135" s="113"/>
      <c r="AHR135" s="113"/>
      <c r="AHS135" s="113"/>
      <c r="AHT135" s="113"/>
      <c r="AHU135" s="113"/>
      <c r="AHV135" s="113"/>
      <c r="AHW135" s="113"/>
      <c r="AHX135" s="113"/>
      <c r="AHY135" s="113"/>
      <c r="AHZ135" s="113"/>
      <c r="AIA135" s="113"/>
      <c r="AIB135" s="113"/>
      <c r="AIC135" s="113"/>
      <c r="AID135" s="113"/>
      <c r="AIE135" s="113"/>
      <c r="AIF135" s="113"/>
      <c r="AIG135" s="113"/>
      <c r="AIH135" s="113"/>
      <c r="AII135" s="113"/>
      <c r="AIJ135" s="113"/>
      <c r="AIK135" s="113"/>
      <c r="AIL135" s="113"/>
      <c r="AIM135" s="113"/>
      <c r="AIN135" s="113"/>
      <c r="AIO135" s="113"/>
      <c r="AIP135" s="113"/>
      <c r="AIQ135" s="113"/>
      <c r="AIR135" s="113"/>
      <c r="AIS135" s="113"/>
      <c r="AIT135" s="113"/>
      <c r="AIU135" s="113"/>
      <c r="AIV135" s="113"/>
      <c r="AIW135" s="113"/>
      <c r="AIX135" s="113"/>
      <c r="AIY135" s="113"/>
      <c r="AIZ135" s="113"/>
    </row>
    <row r="136">
      <c r="A136" s="65" t="s">
        <v>7</v>
      </c>
      <c r="B136" s="65" t="s">
        <v>8</v>
      </c>
      <c r="C136" s="65"/>
      <c r="D136" s="64">
        <f t="shared" si="1"/>
        <v>628.7865333</v>
      </c>
      <c r="G136" s="65">
        <v>116.45885</v>
      </c>
      <c r="H136" s="65">
        <v>6.45845</v>
      </c>
      <c r="I136" s="65">
        <v>0.510733333333333</v>
      </c>
      <c r="J136" s="65">
        <v>3.07198333333333</v>
      </c>
      <c r="K136" s="65">
        <v>24.8476</v>
      </c>
      <c r="N136" s="65">
        <v>14.6375</v>
      </c>
      <c r="Q136" s="65">
        <v>122.96545</v>
      </c>
      <c r="R136" s="65">
        <v>21.2241166666667</v>
      </c>
      <c r="S136" s="65">
        <v>3.63228333333333</v>
      </c>
      <c r="T136" s="65">
        <v>7.4478</v>
      </c>
      <c r="U136" s="65">
        <v>36.5364833333333</v>
      </c>
      <c r="X136" s="65">
        <v>29.0688666666666</v>
      </c>
      <c r="Y136" s="65">
        <v>6.66971666666667</v>
      </c>
      <c r="Z136" s="65">
        <v>1.48298333333333</v>
      </c>
      <c r="AA136" s="65">
        <v>2.81158333333333</v>
      </c>
      <c r="AB136" s="65">
        <v>13.4626333333333</v>
      </c>
      <c r="AE136" s="65">
        <v>15.8750166666667</v>
      </c>
      <c r="AF136" s="65">
        <v>12.9014666666667</v>
      </c>
      <c r="AG136" s="65">
        <v>2.07636666666667</v>
      </c>
      <c r="AH136" s="65">
        <v>2.55588333333333</v>
      </c>
      <c r="AI136" s="65">
        <v>63.2808166666667</v>
      </c>
      <c r="AL136" s="65">
        <v>15.8045666666667</v>
      </c>
      <c r="AM136" s="65">
        <v>3.76753333333333</v>
      </c>
      <c r="AN136" s="65">
        <v>25.0126166666667</v>
      </c>
      <c r="AQ136" s="65">
        <v>7.05486666666666</v>
      </c>
      <c r="AR136" s="65">
        <v>14.1897666666667</v>
      </c>
      <c r="AU136" s="65">
        <v>54.9806</v>
      </c>
    </row>
    <row r="137">
      <c r="A137" s="65" t="s">
        <v>7</v>
      </c>
      <c r="B137" s="65" t="s">
        <v>8</v>
      </c>
      <c r="C137" s="65"/>
      <c r="D137" s="64">
        <f t="shared" si="1"/>
        <v>0</v>
      </c>
    </row>
    <row r="138">
      <c r="A138" s="65" t="s">
        <v>7</v>
      </c>
      <c r="B138" s="65" t="s">
        <v>8</v>
      </c>
      <c r="C138" s="65"/>
      <c r="D138" s="64">
        <f t="shared" si="1"/>
        <v>602.2500833</v>
      </c>
      <c r="G138" s="118">
        <f>HYPERLINK("https://docs.google.com/spreadsheets/d/1vCv6q8cuRRg27RUbXwb4DognRFU-zrio", 115.8261)</f>
        <v>115.8261</v>
      </c>
      <c r="H138" s="118">
        <f>HYPERLINK("https://docs.google.com/spreadsheets/d/1jT2WCKD6DY8Cxy_m-YbsgZNT6OfcRwyV", 6.37885)</f>
        <v>6.37885</v>
      </c>
      <c r="I138" s="118">
        <f>HYPERLINK("https://docs.google.com/spreadsheets/d/1wY7pSOl-ZrsI8wseysg4BQp_OiovESnu", 0.389716666666667)</f>
        <v>0.3897166667</v>
      </c>
      <c r="J138" s="118">
        <f>HYPERLINK("https://docs.google.com/spreadsheets/d/1ZV0CL6n_-QQ7kboWsnZZ91l5Lm_N8cES", 1.15375)</f>
        <v>1.15375</v>
      </c>
      <c r="K138" s="118">
        <f>HYPERLINK("https://docs.google.com/spreadsheets/d/1Pg18Ly_K0cWYygo1DOPrZJVz1vORbq5W", 24.8476)</f>
        <v>24.8476</v>
      </c>
      <c r="N138" s="118">
        <f>HYPERLINK("https://docs.google.com/spreadsheets/d/1BzZyHn_6In9zFnJtHUfONGdaTqq14Rls", 14.6374833333333)</f>
        <v>14.63748333</v>
      </c>
      <c r="Q138" s="118">
        <f>HYPERLINK("https://docs.google.com/spreadsheets/d/1WaG4-XtZDoZgzEa9AK_pwErA2izYmhoo", 108.013133333333)</f>
        <v>108.0131333</v>
      </c>
      <c r="R138" s="118">
        <f>HYPERLINK("https://docs.google.com/spreadsheets/d/19Z4BYSseSFR6bMwFOvp2-fnWcXhpaKSd", 21.2241)</f>
        <v>21.2241</v>
      </c>
      <c r="S138" s="118">
        <f>HYPERLINK("https://docs.google.com/spreadsheets/d/1AZt-Ztt97qDtTBKx_3yzO6ZXuaJIgmgX", 2.92508333333333)</f>
        <v>2.925083333</v>
      </c>
      <c r="T138" s="118">
        <f>HYPERLINK("https://docs.google.com/spreadsheets/d/1hmJKvTo-1BezBR6lOjzARZOOXaieiKST", 5.82218333333333)</f>
        <v>5.822183333</v>
      </c>
      <c r="U138" s="118">
        <f>HYPERLINK("https://docs.google.com/spreadsheets/d/14un81tAPk9809t9C68hCaSfb1S4khkCU", 36.5364666666667)</f>
        <v>36.53646667</v>
      </c>
      <c r="X138" s="118">
        <f>HYPERLINK("https://docs.google.com/spreadsheets/d/1RaCc4VogINwepjIGfWC_5ws9pKPIswIl", 27.3945666666667)</f>
        <v>27.39456667</v>
      </c>
      <c r="Y138" s="118">
        <f>HYPERLINK("https://docs.google.com/spreadsheets/d/1-HT3Nlehb0Fr8kXEh7JybWSfcQGxqH3D", 6.66971666666667)</f>
        <v>6.669716667</v>
      </c>
      <c r="Z138" s="118">
        <f>HYPERLINK("https://docs.google.com/spreadsheets/d/1sStLpTMMRO6DvaUmnuIndLJpYgK5Fso-", 1.33635)</f>
        <v>1.33635</v>
      </c>
      <c r="AA138" s="118">
        <f>HYPERLINK("https://docs.google.com/spreadsheets/d/1dbe1xlhOCGjp2qZcY5as_YfaKcGyH6X8", 2.33628333333333)</f>
        <v>2.336283333</v>
      </c>
      <c r="AB138" s="118">
        <f>HYPERLINK("https://docs.google.com/spreadsheets/d/1MHj3-PtHLA9RhbUvX2XjkDws2QtiLt3T", 13.3120333333333)</f>
        <v>13.31203333</v>
      </c>
      <c r="AE138" s="118">
        <f>HYPERLINK("https://docs.google.com/spreadsheets/d/17Z4nNF1UFMZZKk3i6Pnj7XRZsJaq_EQ1", 15.1390333333333)</f>
        <v>15.13903333</v>
      </c>
      <c r="AF138" s="118">
        <f>HYPERLINK("https://docs.google.com/spreadsheets/d/1Pj5fMGr_R0k6y4kcQw3Yt16bval3xW7G", 12.90145)</f>
        <v>12.90145</v>
      </c>
      <c r="AG138" s="118">
        <f>HYPERLINK("https://docs.google.com/spreadsheets/d/1I-cfdxVOeLxSbBr5691aNQuuv348lxd7", 1.86763333333333)</f>
        <v>1.867633333</v>
      </c>
      <c r="AH138" s="118">
        <f>HYPERLINK("https://docs.google.com/spreadsheets/d/1MV3FSwNiHajfKHcBu86Shwk4MiCuLbXI", 2.27036666666667)</f>
        <v>2.270366667</v>
      </c>
      <c r="AI138" s="118">
        <f>HYPERLINK("https://docs.google.com/spreadsheets/d/1Iof44Ablcl8_MprNNq8NV7wUHWCc-oO9", 62.7958333333333)</f>
        <v>62.79583333</v>
      </c>
      <c r="AL138" s="118">
        <f>HYPERLINK("https://docs.google.com/spreadsheets/d/1YXNpKVZq4TYPJvaVLO3-uqcsxrH1VUu8", 13.671)</f>
        <v>13.671</v>
      </c>
      <c r="AM138" s="118">
        <f>HYPERLINK("https://docs.google.com/spreadsheets/d/1X5OQbDbH82sD4ZRvInlUHv8lFnuU2822", 3.76753333333333)</f>
        <v>3.767533333</v>
      </c>
      <c r="AN138" s="118">
        <f>HYPERLINK("https://docs.google.com/spreadsheets/d/145ku2cNMBrX_iKzdJMs39Blhjt-y65Hn", 25.0126166666667)</f>
        <v>25.01261667</v>
      </c>
      <c r="AQ138" s="118">
        <f>HYPERLINK("https://docs.google.com/spreadsheets/d/1qNauG5f9lwMbT7EM5ndKMznPTCjmpoiJ", 7.00958333333333)</f>
        <v>7.009583333</v>
      </c>
      <c r="AR138" s="118">
        <f>HYPERLINK("https://docs.google.com/spreadsheets/d/1KA3uqet9UbBSEXLsK1igRoUIrkhg794o", 14.1897833333333)</f>
        <v>14.18978333</v>
      </c>
      <c r="AU138" s="118">
        <f>HYPERLINK("https://docs.google.com/spreadsheets/d/1k7DcG2sOk3Zoikgyk6Y4CFgMNF3xpUM-", 54.8218333333334)</f>
        <v>54.82183333</v>
      </c>
    </row>
    <row r="139">
      <c r="A139" s="65" t="s">
        <v>7</v>
      </c>
      <c r="B139" s="65" t="s">
        <v>8</v>
      </c>
      <c r="C139" s="65"/>
      <c r="D139" s="64">
        <f t="shared" si="1"/>
        <v>407.2745833</v>
      </c>
      <c r="G139" s="65">
        <v>74.94785</v>
      </c>
      <c r="H139" s="65">
        <v>2.61676666666667</v>
      </c>
      <c r="I139" s="65">
        <v>0.25835</v>
      </c>
      <c r="J139" s="65">
        <v>0.689916666666667</v>
      </c>
      <c r="K139" s="65">
        <v>17.4812</v>
      </c>
      <c r="N139" s="65">
        <v>6.78883333333333</v>
      </c>
      <c r="Q139" s="65">
        <v>86.6592</v>
      </c>
      <c r="R139" s="65">
        <v>12.7179166666667</v>
      </c>
      <c r="S139" s="65">
        <v>0.750966666666667</v>
      </c>
      <c r="T139" s="65">
        <v>1.85421666666667</v>
      </c>
      <c r="U139" s="65">
        <v>26.7202833333333</v>
      </c>
      <c r="X139" s="65">
        <v>18.417</v>
      </c>
      <c r="Y139" s="65">
        <v>2.86041666666667</v>
      </c>
      <c r="Z139" s="65">
        <v>0.10875</v>
      </c>
      <c r="AA139" s="65">
        <v>0.0</v>
      </c>
      <c r="AB139" s="65">
        <v>9.0074</v>
      </c>
      <c r="AE139" s="65">
        <v>9.0143</v>
      </c>
      <c r="AF139" s="65">
        <v>4.81448333333333</v>
      </c>
      <c r="AG139" s="65">
        <v>0.0</v>
      </c>
      <c r="AH139" s="65">
        <v>0.681283333333333</v>
      </c>
      <c r="AI139" s="65">
        <v>37.02445</v>
      </c>
      <c r="AL139" s="65">
        <v>7.7163</v>
      </c>
      <c r="AM139" s="65">
        <v>0.621716666666667</v>
      </c>
      <c r="AN139" s="65">
        <v>21.8676166666667</v>
      </c>
      <c r="AQ139" s="65">
        <v>3.66268333333333</v>
      </c>
      <c r="AR139" s="65">
        <v>12.0173666666667</v>
      </c>
      <c r="AU139" s="65">
        <v>47.9753166666667</v>
      </c>
    </row>
    <row r="140">
      <c r="A140" s="119" t="s">
        <v>7</v>
      </c>
      <c r="B140" s="119" t="s">
        <v>8</v>
      </c>
      <c r="C140" s="119"/>
      <c r="D140" s="120">
        <f t="shared" si="1"/>
        <v>0</v>
      </c>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c r="AA140" s="120"/>
      <c r="AB140" s="120"/>
      <c r="AC140" s="120"/>
      <c r="AD140" s="120"/>
      <c r="AE140" s="120"/>
      <c r="AF140" s="120"/>
      <c r="AG140" s="120"/>
      <c r="AH140" s="120"/>
      <c r="AI140" s="120"/>
      <c r="AJ140" s="120"/>
      <c r="AK140" s="120"/>
      <c r="AL140" s="120"/>
      <c r="AM140" s="120"/>
      <c r="AN140" s="120"/>
      <c r="AO140" s="120"/>
      <c r="AP140" s="120"/>
      <c r="AQ140" s="120"/>
      <c r="AR140" s="120"/>
      <c r="AS140" s="120"/>
      <c r="AT140" s="120"/>
      <c r="AU140" s="120"/>
      <c r="AV140" s="120"/>
      <c r="AW140" s="120"/>
      <c r="AX140" s="120"/>
      <c r="AY140" s="120"/>
      <c r="AZ140" s="120"/>
      <c r="BA140" s="120"/>
      <c r="BB140" s="120"/>
      <c r="BC140" s="120"/>
      <c r="BD140" s="120"/>
      <c r="BE140" s="120"/>
      <c r="BF140" s="120"/>
      <c r="BG140" s="120"/>
      <c r="BH140" s="120"/>
      <c r="BI140" s="120"/>
      <c r="BJ140" s="120"/>
      <c r="BK140" s="120"/>
      <c r="BL140" s="120"/>
      <c r="BM140" s="120"/>
      <c r="BN140" s="120"/>
      <c r="BO140" s="120"/>
      <c r="BP140" s="120"/>
      <c r="BQ140" s="120"/>
      <c r="BR140" s="120"/>
      <c r="BS140" s="120"/>
      <c r="BT140" s="120"/>
      <c r="BU140" s="120"/>
      <c r="BV140" s="120"/>
      <c r="BW140" s="120"/>
      <c r="BX140" s="120"/>
      <c r="BY140" s="120"/>
      <c r="BZ140" s="120"/>
      <c r="CA140" s="120"/>
      <c r="CB140" s="120"/>
      <c r="CC140" s="120"/>
      <c r="CD140" s="120"/>
      <c r="CE140" s="120"/>
      <c r="CF140" s="120"/>
      <c r="CG140" s="120"/>
      <c r="CH140" s="120"/>
      <c r="CI140" s="120"/>
      <c r="CJ140" s="120"/>
      <c r="CK140" s="120"/>
      <c r="CL140" s="120"/>
      <c r="CM140" s="120"/>
      <c r="CN140" s="120"/>
      <c r="CO140" s="120"/>
      <c r="CP140" s="120"/>
      <c r="CQ140" s="120"/>
      <c r="CR140" s="120"/>
      <c r="CS140" s="120"/>
      <c r="CT140" s="120"/>
      <c r="CU140" s="120"/>
      <c r="CV140" s="120"/>
      <c r="CW140" s="120"/>
      <c r="CX140" s="120"/>
      <c r="CY140" s="120"/>
      <c r="CZ140" s="120"/>
      <c r="DA140" s="120"/>
      <c r="DB140" s="120"/>
      <c r="DC140" s="120"/>
      <c r="DD140" s="120"/>
      <c r="DE140" s="120"/>
      <c r="DF140" s="120"/>
      <c r="DG140" s="120"/>
      <c r="DH140" s="120"/>
      <c r="DI140" s="120"/>
      <c r="DJ140" s="120"/>
      <c r="DK140" s="120"/>
      <c r="DL140" s="120"/>
      <c r="DM140" s="120"/>
      <c r="DN140" s="120"/>
      <c r="DO140" s="120"/>
      <c r="DP140" s="120"/>
      <c r="DQ140" s="120"/>
      <c r="DR140" s="120"/>
      <c r="DS140" s="120"/>
      <c r="DT140" s="120"/>
      <c r="DU140" s="120"/>
      <c r="DV140" s="120"/>
      <c r="DW140" s="120"/>
      <c r="DX140" s="120"/>
      <c r="DY140" s="120"/>
      <c r="DZ140" s="120"/>
      <c r="EA140" s="120"/>
      <c r="EB140" s="120"/>
      <c r="EC140" s="120"/>
      <c r="ED140" s="120"/>
      <c r="EE140" s="120"/>
      <c r="EF140" s="120"/>
      <c r="EG140" s="120"/>
      <c r="EH140" s="120"/>
      <c r="EI140" s="120"/>
      <c r="EJ140" s="120"/>
      <c r="EK140" s="120"/>
      <c r="EL140" s="120"/>
      <c r="EM140" s="120"/>
      <c r="EN140" s="120"/>
      <c r="EO140" s="120"/>
      <c r="EP140" s="120"/>
      <c r="EQ140" s="120"/>
      <c r="ER140" s="120"/>
      <c r="ES140" s="120"/>
      <c r="ET140" s="120"/>
      <c r="EU140" s="120"/>
      <c r="EV140" s="120"/>
      <c r="EW140" s="120"/>
      <c r="EX140" s="120"/>
      <c r="EY140" s="120"/>
      <c r="EZ140" s="120"/>
      <c r="FA140" s="120"/>
      <c r="FB140" s="120"/>
      <c r="FC140" s="120"/>
      <c r="FD140" s="120"/>
      <c r="FE140" s="120"/>
      <c r="FF140" s="120"/>
      <c r="FG140" s="120"/>
      <c r="FH140" s="120"/>
      <c r="FI140" s="120"/>
      <c r="FJ140" s="120"/>
      <c r="FK140" s="120"/>
      <c r="FL140" s="120"/>
      <c r="FM140" s="120"/>
      <c r="FN140" s="120"/>
      <c r="FO140" s="120"/>
      <c r="FP140" s="120"/>
      <c r="FQ140" s="120"/>
      <c r="FR140" s="120"/>
      <c r="FS140" s="120"/>
      <c r="FT140" s="120"/>
      <c r="FU140" s="120"/>
      <c r="FV140" s="120"/>
      <c r="FW140" s="120"/>
      <c r="FX140" s="120"/>
      <c r="FY140" s="120"/>
      <c r="FZ140" s="120"/>
      <c r="GA140" s="120"/>
      <c r="GB140" s="120"/>
      <c r="GC140" s="120"/>
      <c r="GD140" s="120"/>
      <c r="GE140" s="120"/>
      <c r="GF140" s="120"/>
      <c r="GG140" s="120"/>
      <c r="GH140" s="120"/>
      <c r="GI140" s="120"/>
      <c r="GJ140" s="120"/>
      <c r="GK140" s="120"/>
      <c r="GL140" s="120"/>
      <c r="GM140" s="120"/>
      <c r="GN140" s="120"/>
      <c r="GO140" s="120"/>
      <c r="GP140" s="120"/>
      <c r="GQ140" s="120"/>
      <c r="GR140" s="120"/>
      <c r="GS140" s="120"/>
      <c r="GT140" s="120"/>
      <c r="GU140" s="120"/>
      <c r="GV140" s="120"/>
      <c r="GW140" s="120"/>
      <c r="GX140" s="120"/>
      <c r="GY140" s="120"/>
      <c r="GZ140" s="120"/>
      <c r="HA140" s="120"/>
      <c r="HB140" s="120"/>
      <c r="HC140" s="120"/>
      <c r="HD140" s="120"/>
      <c r="HE140" s="120"/>
      <c r="HF140" s="120"/>
      <c r="HG140" s="120"/>
      <c r="HH140" s="120"/>
      <c r="HI140" s="120"/>
      <c r="HJ140" s="120"/>
      <c r="HK140" s="120"/>
      <c r="HL140" s="120"/>
      <c r="HM140" s="120"/>
      <c r="HN140" s="120"/>
      <c r="HO140" s="120"/>
      <c r="HP140" s="120"/>
      <c r="HQ140" s="120"/>
      <c r="HR140" s="120"/>
      <c r="HS140" s="120"/>
      <c r="HT140" s="120"/>
      <c r="HU140" s="120"/>
      <c r="HV140" s="120"/>
      <c r="HW140" s="120"/>
      <c r="HX140" s="120"/>
      <c r="HY140" s="120"/>
      <c r="HZ140" s="120"/>
      <c r="IA140" s="120"/>
      <c r="IB140" s="120"/>
      <c r="IC140" s="120"/>
      <c r="ID140" s="120"/>
      <c r="IE140" s="120"/>
      <c r="IF140" s="120"/>
      <c r="IG140" s="120"/>
      <c r="IH140" s="120"/>
      <c r="II140" s="120"/>
      <c r="IJ140" s="120"/>
      <c r="IK140" s="120"/>
      <c r="IL140" s="120"/>
      <c r="IM140" s="120"/>
      <c r="IN140" s="120"/>
      <c r="IO140" s="120"/>
      <c r="IP140" s="120"/>
      <c r="IQ140" s="120"/>
      <c r="IR140" s="120"/>
      <c r="IS140" s="120"/>
      <c r="IT140" s="120"/>
      <c r="IU140" s="120"/>
      <c r="IV140" s="120"/>
      <c r="IW140" s="120"/>
      <c r="IX140" s="120"/>
      <c r="IY140" s="120"/>
      <c r="IZ140" s="120"/>
      <c r="JA140" s="120"/>
      <c r="JB140" s="120"/>
      <c r="JC140" s="120"/>
      <c r="JD140" s="120"/>
      <c r="JE140" s="120"/>
      <c r="JF140" s="120"/>
      <c r="JG140" s="120"/>
      <c r="JH140" s="120"/>
      <c r="JI140" s="120"/>
      <c r="JJ140" s="120"/>
      <c r="JK140" s="120"/>
      <c r="JL140" s="120"/>
      <c r="JM140" s="120"/>
      <c r="JN140" s="120"/>
      <c r="JO140" s="120"/>
      <c r="JP140" s="120"/>
      <c r="JQ140" s="120"/>
      <c r="JR140" s="120"/>
      <c r="JS140" s="120"/>
      <c r="JT140" s="120"/>
      <c r="JU140" s="120"/>
      <c r="JV140" s="120"/>
      <c r="JW140" s="120"/>
      <c r="JX140" s="120"/>
      <c r="JY140" s="120"/>
      <c r="JZ140" s="120"/>
      <c r="KA140" s="120"/>
      <c r="KB140" s="120"/>
      <c r="KC140" s="120"/>
      <c r="KD140" s="120"/>
      <c r="KE140" s="120"/>
      <c r="KF140" s="120"/>
      <c r="KG140" s="120"/>
      <c r="KH140" s="120"/>
      <c r="KI140" s="120"/>
      <c r="KJ140" s="120"/>
      <c r="KK140" s="120"/>
      <c r="KL140" s="120"/>
      <c r="KM140" s="120"/>
      <c r="KN140" s="120"/>
      <c r="KO140" s="120"/>
      <c r="KP140" s="120"/>
      <c r="KQ140" s="120"/>
      <c r="KR140" s="120"/>
      <c r="KS140" s="120"/>
      <c r="KT140" s="120"/>
      <c r="KU140" s="120"/>
      <c r="KV140" s="120"/>
      <c r="KW140" s="120"/>
      <c r="KX140" s="120"/>
      <c r="KY140" s="120"/>
      <c r="KZ140" s="120"/>
      <c r="LA140" s="120"/>
      <c r="LB140" s="120"/>
      <c r="LC140" s="120"/>
      <c r="LD140" s="120"/>
      <c r="LE140" s="120"/>
      <c r="LF140" s="120"/>
      <c r="LG140" s="120"/>
      <c r="LH140" s="120"/>
      <c r="LI140" s="120"/>
      <c r="LJ140" s="120"/>
      <c r="LK140" s="120"/>
      <c r="LL140" s="120"/>
      <c r="LM140" s="120"/>
      <c r="LN140" s="120"/>
      <c r="LO140" s="120"/>
      <c r="LP140" s="120"/>
      <c r="LQ140" s="120"/>
      <c r="LR140" s="120"/>
      <c r="LS140" s="120"/>
      <c r="LT140" s="120"/>
      <c r="LU140" s="120"/>
      <c r="LV140" s="120"/>
      <c r="LW140" s="120"/>
      <c r="LX140" s="120"/>
      <c r="LY140" s="120"/>
      <c r="LZ140" s="120"/>
      <c r="MA140" s="120"/>
      <c r="MB140" s="120"/>
      <c r="MC140" s="120"/>
      <c r="MD140" s="120"/>
      <c r="ME140" s="120"/>
      <c r="MF140" s="120"/>
      <c r="MG140" s="120"/>
      <c r="MH140" s="120"/>
      <c r="MI140" s="120"/>
      <c r="MJ140" s="120"/>
      <c r="MK140" s="120"/>
      <c r="ML140" s="120"/>
      <c r="MM140" s="120"/>
      <c r="MN140" s="120"/>
      <c r="MO140" s="120"/>
      <c r="MP140" s="120"/>
      <c r="MQ140" s="120"/>
      <c r="MR140" s="120"/>
      <c r="MS140" s="120"/>
      <c r="MT140" s="120"/>
      <c r="MU140" s="120"/>
      <c r="MV140" s="120"/>
      <c r="MW140" s="120"/>
      <c r="MX140" s="120"/>
      <c r="MY140" s="120"/>
      <c r="MZ140" s="120"/>
      <c r="NA140" s="120"/>
      <c r="NB140" s="120"/>
      <c r="NC140" s="120"/>
      <c r="ND140" s="120"/>
      <c r="NE140" s="120"/>
      <c r="NF140" s="120"/>
      <c r="NG140" s="120"/>
      <c r="NH140" s="120"/>
      <c r="NI140" s="120"/>
      <c r="NJ140" s="120"/>
      <c r="NK140" s="120"/>
      <c r="NL140" s="120"/>
      <c r="NM140" s="120"/>
      <c r="NN140" s="120"/>
      <c r="NO140" s="120"/>
      <c r="NP140" s="120"/>
      <c r="NQ140" s="120"/>
      <c r="NR140" s="120"/>
      <c r="NS140" s="120"/>
      <c r="NT140" s="120"/>
      <c r="NU140" s="120"/>
      <c r="NV140" s="120"/>
      <c r="NW140" s="120"/>
      <c r="NX140" s="120"/>
      <c r="NY140" s="120"/>
      <c r="NZ140" s="120"/>
      <c r="OA140" s="120"/>
      <c r="OB140" s="120"/>
      <c r="OC140" s="120"/>
      <c r="OD140" s="120"/>
      <c r="OE140" s="120"/>
      <c r="OF140" s="120"/>
      <c r="OG140" s="120"/>
      <c r="OH140" s="120"/>
      <c r="OI140" s="120"/>
      <c r="OJ140" s="120"/>
      <c r="OK140" s="120"/>
      <c r="OL140" s="120"/>
      <c r="OM140" s="120"/>
      <c r="ON140" s="120"/>
      <c r="OO140" s="120"/>
      <c r="OP140" s="120"/>
      <c r="OQ140" s="120"/>
      <c r="OR140" s="120"/>
      <c r="OS140" s="120"/>
      <c r="OT140" s="120"/>
      <c r="OU140" s="120"/>
      <c r="OV140" s="120"/>
      <c r="OW140" s="120"/>
      <c r="OX140" s="120"/>
      <c r="OY140" s="120"/>
      <c r="OZ140" s="120"/>
      <c r="PA140" s="120"/>
      <c r="PB140" s="120"/>
      <c r="PC140" s="120"/>
      <c r="PD140" s="120"/>
      <c r="PE140" s="120"/>
      <c r="PF140" s="120"/>
      <c r="PG140" s="120"/>
      <c r="PH140" s="120"/>
      <c r="PI140" s="120"/>
      <c r="PJ140" s="120"/>
      <c r="PK140" s="120"/>
      <c r="PL140" s="120"/>
      <c r="PM140" s="120"/>
      <c r="PN140" s="120"/>
      <c r="PO140" s="120"/>
      <c r="PP140" s="120"/>
      <c r="PQ140" s="120"/>
      <c r="PR140" s="120"/>
      <c r="PS140" s="120"/>
      <c r="PT140" s="120"/>
      <c r="PU140" s="120"/>
      <c r="PV140" s="120"/>
      <c r="PW140" s="120"/>
      <c r="PX140" s="120"/>
      <c r="PY140" s="120"/>
      <c r="PZ140" s="120"/>
      <c r="QA140" s="120"/>
      <c r="QB140" s="120"/>
      <c r="QC140" s="120"/>
      <c r="QD140" s="120"/>
      <c r="QE140" s="120"/>
      <c r="QF140" s="120"/>
      <c r="QG140" s="120"/>
      <c r="QH140" s="120"/>
      <c r="QI140" s="120"/>
      <c r="QJ140" s="120"/>
      <c r="QK140" s="120"/>
      <c r="QL140" s="120"/>
      <c r="QM140" s="120"/>
      <c r="QN140" s="120"/>
      <c r="QO140" s="120"/>
      <c r="QP140" s="120"/>
      <c r="QQ140" s="120"/>
      <c r="QR140" s="120"/>
      <c r="QS140" s="120"/>
      <c r="QT140" s="120"/>
      <c r="QU140" s="120"/>
      <c r="QV140" s="120"/>
      <c r="QW140" s="120"/>
      <c r="QX140" s="120"/>
      <c r="QY140" s="120"/>
      <c r="QZ140" s="120"/>
      <c r="RA140" s="120"/>
      <c r="RB140" s="120"/>
      <c r="RC140" s="120"/>
      <c r="RD140" s="120"/>
      <c r="RE140" s="120"/>
      <c r="RF140" s="120"/>
      <c r="RG140" s="120"/>
      <c r="RH140" s="120"/>
      <c r="RI140" s="120"/>
      <c r="RJ140" s="120"/>
      <c r="RK140" s="120"/>
      <c r="RL140" s="120"/>
      <c r="RM140" s="120"/>
      <c r="RN140" s="120"/>
      <c r="RO140" s="120"/>
      <c r="RP140" s="120"/>
      <c r="RQ140" s="120"/>
      <c r="RR140" s="120"/>
      <c r="RS140" s="120"/>
      <c r="RT140" s="120"/>
      <c r="RU140" s="120"/>
      <c r="RV140" s="120"/>
      <c r="RW140" s="120"/>
      <c r="RX140" s="120"/>
      <c r="RY140" s="120"/>
      <c r="RZ140" s="120"/>
      <c r="SA140" s="120"/>
      <c r="SB140" s="120"/>
      <c r="SC140" s="120"/>
      <c r="SD140" s="120"/>
      <c r="SE140" s="120"/>
      <c r="SF140" s="120"/>
      <c r="SG140" s="120"/>
      <c r="SH140" s="120"/>
      <c r="SI140" s="120"/>
      <c r="SJ140" s="120"/>
      <c r="SK140" s="120"/>
      <c r="SL140" s="120"/>
      <c r="SM140" s="120"/>
      <c r="SN140" s="120"/>
      <c r="SO140" s="120"/>
      <c r="SP140" s="120"/>
      <c r="SQ140" s="120"/>
      <c r="SR140" s="120"/>
      <c r="SS140" s="120"/>
      <c r="ST140" s="120"/>
      <c r="SU140" s="120"/>
      <c r="SV140" s="120"/>
      <c r="SW140" s="120"/>
      <c r="SX140" s="120"/>
      <c r="SY140" s="120"/>
      <c r="SZ140" s="120"/>
      <c r="TA140" s="120"/>
      <c r="TB140" s="120"/>
      <c r="TC140" s="120"/>
      <c r="TD140" s="120"/>
      <c r="TE140" s="120"/>
      <c r="TF140" s="120"/>
      <c r="TG140" s="120"/>
      <c r="TH140" s="120"/>
      <c r="TI140" s="120"/>
      <c r="TJ140" s="120"/>
      <c r="TK140" s="120"/>
      <c r="TL140" s="120"/>
      <c r="TM140" s="120"/>
      <c r="TN140" s="120"/>
      <c r="TO140" s="120"/>
      <c r="TP140" s="120"/>
      <c r="TQ140" s="120"/>
      <c r="TR140" s="120"/>
      <c r="TS140" s="120"/>
      <c r="TT140" s="120"/>
      <c r="TU140" s="120"/>
      <c r="TV140" s="120"/>
      <c r="TW140" s="120"/>
      <c r="TX140" s="120"/>
      <c r="TY140" s="120"/>
      <c r="TZ140" s="120"/>
      <c r="UA140" s="120"/>
      <c r="UB140" s="120"/>
      <c r="UC140" s="120"/>
      <c r="UD140" s="120"/>
      <c r="UE140" s="120"/>
      <c r="UF140" s="120"/>
      <c r="UG140" s="120"/>
      <c r="UH140" s="120"/>
      <c r="UI140" s="120"/>
      <c r="UJ140" s="120"/>
      <c r="UK140" s="120"/>
      <c r="UL140" s="120"/>
      <c r="UM140" s="120"/>
      <c r="UN140" s="120"/>
      <c r="UO140" s="120"/>
      <c r="UP140" s="120"/>
      <c r="UQ140" s="120"/>
      <c r="UR140" s="120"/>
      <c r="US140" s="120"/>
      <c r="UT140" s="120"/>
      <c r="UU140" s="120"/>
      <c r="UV140" s="120"/>
      <c r="UW140" s="120"/>
      <c r="UX140" s="120"/>
      <c r="UY140" s="120"/>
      <c r="UZ140" s="120"/>
      <c r="VA140" s="120"/>
      <c r="VB140" s="120"/>
      <c r="VC140" s="120"/>
      <c r="VD140" s="120"/>
      <c r="VE140" s="120"/>
      <c r="VF140" s="120"/>
      <c r="VG140" s="120"/>
      <c r="VH140" s="120"/>
      <c r="VI140" s="120"/>
      <c r="VJ140" s="120"/>
      <c r="VK140" s="120"/>
      <c r="VL140" s="120"/>
      <c r="VM140" s="120"/>
      <c r="VN140" s="120"/>
      <c r="VO140" s="120"/>
      <c r="VP140" s="120"/>
      <c r="VQ140" s="120"/>
      <c r="VR140" s="120"/>
      <c r="VS140" s="120"/>
      <c r="VT140" s="120"/>
      <c r="VU140" s="120"/>
      <c r="VV140" s="120"/>
      <c r="VW140" s="120"/>
      <c r="VX140" s="120"/>
      <c r="VY140" s="120"/>
      <c r="VZ140" s="120"/>
      <c r="WA140" s="120"/>
      <c r="WB140" s="120"/>
      <c r="WC140" s="120"/>
      <c r="WD140" s="120"/>
      <c r="WE140" s="120"/>
      <c r="WF140" s="120"/>
      <c r="WG140" s="120"/>
      <c r="WH140" s="120"/>
      <c r="WI140" s="120"/>
      <c r="WJ140" s="120"/>
      <c r="WK140" s="120"/>
      <c r="WL140" s="120"/>
      <c r="WM140" s="120"/>
      <c r="WN140" s="120"/>
      <c r="WO140" s="120"/>
      <c r="WP140" s="120"/>
      <c r="WQ140" s="120"/>
      <c r="WR140" s="120"/>
      <c r="WS140" s="120"/>
      <c r="WT140" s="120"/>
      <c r="WU140" s="120"/>
      <c r="WV140" s="120"/>
      <c r="WW140" s="120"/>
      <c r="WX140" s="120"/>
      <c r="WY140" s="120"/>
      <c r="WZ140" s="120"/>
      <c r="XA140" s="120"/>
      <c r="XB140" s="120"/>
      <c r="XC140" s="120"/>
      <c r="XD140" s="120"/>
      <c r="XE140" s="120"/>
      <c r="XF140" s="120"/>
      <c r="XG140" s="120"/>
      <c r="XH140" s="120"/>
      <c r="XI140" s="120"/>
      <c r="XJ140" s="120"/>
      <c r="XK140" s="120"/>
      <c r="XL140" s="120"/>
      <c r="XM140" s="120"/>
      <c r="XN140" s="120"/>
      <c r="XO140" s="120"/>
      <c r="XP140" s="120"/>
      <c r="XQ140" s="120"/>
      <c r="XR140" s="120"/>
      <c r="XS140" s="120"/>
      <c r="XT140" s="120"/>
      <c r="XU140" s="120"/>
      <c r="XV140" s="120"/>
      <c r="XW140" s="120"/>
      <c r="XX140" s="120"/>
      <c r="XY140" s="120"/>
      <c r="XZ140" s="120"/>
      <c r="YA140" s="120"/>
      <c r="YB140" s="120"/>
      <c r="YC140" s="120"/>
      <c r="YD140" s="120"/>
      <c r="YE140" s="120"/>
      <c r="YF140" s="120"/>
      <c r="YG140" s="120"/>
      <c r="YH140" s="120"/>
      <c r="YI140" s="120"/>
      <c r="YJ140" s="120"/>
      <c r="YK140" s="120"/>
      <c r="YL140" s="120"/>
      <c r="YM140" s="120"/>
      <c r="YN140" s="120"/>
      <c r="YO140" s="120"/>
      <c r="YP140" s="120"/>
      <c r="YQ140" s="120"/>
      <c r="YR140" s="120"/>
      <c r="YS140" s="120"/>
      <c r="YT140" s="120"/>
      <c r="YU140" s="120"/>
      <c r="YV140" s="120"/>
      <c r="YW140" s="120"/>
      <c r="YX140" s="120"/>
      <c r="YY140" s="120"/>
      <c r="YZ140" s="120"/>
      <c r="ZA140" s="120"/>
      <c r="ZB140" s="120"/>
      <c r="ZC140" s="120"/>
      <c r="ZD140" s="120"/>
      <c r="ZE140" s="120"/>
      <c r="ZF140" s="120"/>
      <c r="ZG140" s="120"/>
      <c r="ZH140" s="120"/>
      <c r="ZI140" s="120"/>
      <c r="ZJ140" s="120"/>
      <c r="ZK140" s="120"/>
      <c r="ZL140" s="120"/>
      <c r="ZM140" s="120"/>
      <c r="ZN140" s="120"/>
      <c r="ZO140" s="120"/>
      <c r="ZP140" s="120"/>
      <c r="ZQ140" s="120"/>
      <c r="ZR140" s="120"/>
      <c r="ZS140" s="120"/>
      <c r="ZT140" s="120"/>
      <c r="ZU140" s="120"/>
      <c r="ZV140" s="120"/>
      <c r="ZW140" s="120"/>
      <c r="ZX140" s="120"/>
      <c r="ZY140" s="120"/>
      <c r="ZZ140" s="120"/>
      <c r="AAA140" s="120"/>
      <c r="AAB140" s="120"/>
      <c r="AAC140" s="120"/>
      <c r="AAD140" s="120"/>
      <c r="AAE140" s="120"/>
      <c r="AAF140" s="120"/>
      <c r="AAG140" s="120"/>
      <c r="AAH140" s="120"/>
      <c r="AAI140" s="120"/>
      <c r="AAJ140" s="120"/>
      <c r="AAK140" s="120"/>
      <c r="AAL140" s="120"/>
      <c r="AAM140" s="120"/>
      <c r="AAN140" s="120"/>
      <c r="AAO140" s="120"/>
      <c r="AAP140" s="120"/>
      <c r="AAQ140" s="120"/>
      <c r="AAR140" s="120"/>
      <c r="AAS140" s="120"/>
      <c r="AAT140" s="120"/>
      <c r="AAU140" s="120"/>
      <c r="AAV140" s="120"/>
      <c r="AAW140" s="120"/>
      <c r="AAX140" s="120"/>
      <c r="AAY140" s="120"/>
      <c r="AAZ140" s="120"/>
      <c r="ABA140" s="120"/>
      <c r="ABB140" s="120"/>
      <c r="ABC140" s="120"/>
      <c r="ABD140" s="120"/>
      <c r="ABE140" s="120"/>
      <c r="ABF140" s="120"/>
      <c r="ABG140" s="120"/>
      <c r="ABH140" s="120"/>
      <c r="ABI140" s="120"/>
      <c r="ABJ140" s="120"/>
      <c r="ABK140" s="120"/>
      <c r="ABL140" s="120"/>
      <c r="ABM140" s="120"/>
      <c r="ABN140" s="120"/>
      <c r="ABO140" s="120"/>
      <c r="ABP140" s="120"/>
      <c r="ABQ140" s="120"/>
      <c r="ABR140" s="120"/>
      <c r="ABS140" s="120"/>
      <c r="ABT140" s="120"/>
      <c r="ABU140" s="120"/>
      <c r="ABV140" s="120"/>
      <c r="ABW140" s="120"/>
      <c r="ABX140" s="120"/>
      <c r="ABY140" s="120"/>
      <c r="ABZ140" s="120"/>
      <c r="ACA140" s="120"/>
      <c r="ACB140" s="120"/>
      <c r="ACC140" s="120"/>
      <c r="ACD140" s="120"/>
      <c r="ACE140" s="120"/>
      <c r="ACF140" s="120"/>
      <c r="ACG140" s="120"/>
      <c r="ACH140" s="120"/>
      <c r="ACI140" s="120"/>
      <c r="ACJ140" s="120"/>
      <c r="ACK140" s="120"/>
      <c r="ACL140" s="120"/>
      <c r="ACM140" s="120"/>
      <c r="ACN140" s="120"/>
      <c r="ACO140" s="120"/>
      <c r="ACP140" s="120"/>
      <c r="ACQ140" s="120"/>
      <c r="ACR140" s="120"/>
      <c r="ACS140" s="120"/>
      <c r="ACT140" s="120"/>
      <c r="ACU140" s="120"/>
      <c r="ACV140" s="120"/>
      <c r="ACW140" s="120"/>
      <c r="ACX140" s="120"/>
      <c r="ACY140" s="120"/>
      <c r="ACZ140" s="120"/>
      <c r="ADA140" s="120"/>
      <c r="ADB140" s="120"/>
      <c r="ADC140" s="120"/>
      <c r="ADD140" s="120"/>
      <c r="ADE140" s="120"/>
      <c r="ADF140" s="120"/>
      <c r="ADG140" s="120"/>
      <c r="ADH140" s="120"/>
      <c r="ADI140" s="120"/>
      <c r="ADJ140" s="120"/>
      <c r="ADK140" s="120"/>
      <c r="ADL140" s="120"/>
      <c r="ADM140" s="120"/>
      <c r="ADN140" s="120"/>
      <c r="ADO140" s="120"/>
      <c r="ADP140" s="120"/>
      <c r="ADQ140" s="120"/>
      <c r="ADR140" s="120"/>
      <c r="ADS140" s="120"/>
      <c r="ADT140" s="120"/>
      <c r="ADU140" s="120"/>
      <c r="ADV140" s="120"/>
      <c r="ADW140" s="120"/>
      <c r="ADX140" s="120"/>
      <c r="ADY140" s="120"/>
      <c r="ADZ140" s="120"/>
      <c r="AEA140" s="120"/>
      <c r="AEB140" s="120"/>
      <c r="AEC140" s="120"/>
      <c r="AED140" s="120"/>
      <c r="AEE140" s="120"/>
      <c r="AEF140" s="120"/>
      <c r="AEG140" s="120"/>
      <c r="AEH140" s="120"/>
      <c r="AEI140" s="120"/>
      <c r="AEJ140" s="120"/>
      <c r="AEK140" s="120"/>
      <c r="AEL140" s="120"/>
      <c r="AEM140" s="120"/>
      <c r="AEN140" s="120"/>
      <c r="AEO140" s="120"/>
      <c r="AEP140" s="120"/>
      <c r="AEQ140" s="120"/>
      <c r="AER140" s="120"/>
      <c r="AES140" s="120"/>
      <c r="AET140" s="120"/>
      <c r="AEU140" s="120"/>
      <c r="AEV140" s="120"/>
      <c r="AEW140" s="120"/>
      <c r="AEX140" s="120"/>
      <c r="AEY140" s="120"/>
      <c r="AEZ140" s="120"/>
      <c r="AFA140" s="120"/>
      <c r="AFB140" s="120"/>
      <c r="AFC140" s="120"/>
      <c r="AFD140" s="120"/>
      <c r="AFE140" s="120"/>
      <c r="AFF140" s="120"/>
      <c r="AFG140" s="120"/>
      <c r="AFH140" s="120"/>
      <c r="AFI140" s="120"/>
      <c r="AFJ140" s="120"/>
      <c r="AFK140" s="120"/>
      <c r="AFL140" s="120"/>
      <c r="AFM140" s="120"/>
      <c r="AFN140" s="120"/>
      <c r="AFO140" s="120"/>
      <c r="AFP140" s="120"/>
      <c r="AFQ140" s="120"/>
      <c r="AFR140" s="120"/>
      <c r="AFS140" s="120"/>
      <c r="AFT140" s="120"/>
      <c r="AFU140" s="120"/>
      <c r="AFV140" s="120"/>
      <c r="AFW140" s="120"/>
      <c r="AFX140" s="120"/>
      <c r="AFY140" s="120"/>
      <c r="AFZ140" s="120"/>
      <c r="AGA140" s="120"/>
      <c r="AGB140" s="120"/>
      <c r="AGC140" s="120"/>
      <c r="AGD140" s="120"/>
      <c r="AGE140" s="120"/>
      <c r="AGF140" s="120"/>
      <c r="AGG140" s="120"/>
      <c r="AGH140" s="120"/>
      <c r="AGI140" s="120"/>
      <c r="AGJ140" s="120"/>
      <c r="AGK140" s="120"/>
      <c r="AGL140" s="120"/>
      <c r="AGM140" s="120"/>
      <c r="AGN140" s="120"/>
      <c r="AGO140" s="120"/>
      <c r="AGP140" s="120"/>
      <c r="AGQ140" s="120"/>
      <c r="AGR140" s="120"/>
      <c r="AGS140" s="120"/>
      <c r="AGT140" s="120"/>
      <c r="AGU140" s="120"/>
      <c r="AGV140" s="120"/>
      <c r="AGW140" s="120"/>
      <c r="AGX140" s="120"/>
      <c r="AGY140" s="120"/>
      <c r="AGZ140" s="120"/>
      <c r="AHA140" s="120"/>
      <c r="AHB140" s="120"/>
      <c r="AHC140" s="120"/>
      <c r="AHD140" s="120"/>
      <c r="AHE140" s="120"/>
      <c r="AHF140" s="120"/>
      <c r="AHG140" s="120"/>
      <c r="AHH140" s="120"/>
      <c r="AHI140" s="120"/>
      <c r="AHJ140" s="120"/>
      <c r="AHK140" s="120"/>
      <c r="AHL140" s="120"/>
      <c r="AHM140" s="120"/>
      <c r="AHN140" s="120"/>
      <c r="AHO140" s="120"/>
      <c r="AHP140" s="120"/>
      <c r="AHQ140" s="120"/>
      <c r="AHR140" s="120"/>
      <c r="AHS140" s="120"/>
      <c r="AHT140" s="120"/>
      <c r="AHU140" s="120"/>
      <c r="AHV140" s="120"/>
      <c r="AHW140" s="120"/>
      <c r="AHX140" s="120"/>
      <c r="AHY140" s="120"/>
      <c r="AHZ140" s="120"/>
      <c r="AIA140" s="120"/>
      <c r="AIB140" s="120"/>
      <c r="AIC140" s="120"/>
      <c r="AID140" s="120"/>
      <c r="AIE140" s="120"/>
      <c r="AIF140" s="120"/>
      <c r="AIG140" s="120"/>
      <c r="AIH140" s="120"/>
      <c r="AII140" s="120"/>
      <c r="AIJ140" s="120"/>
      <c r="AIK140" s="120"/>
      <c r="AIL140" s="120"/>
      <c r="AIM140" s="120"/>
      <c r="AIN140" s="120"/>
      <c r="AIO140" s="120"/>
      <c r="AIP140" s="120"/>
      <c r="AIQ140" s="120"/>
      <c r="AIR140" s="120"/>
      <c r="AIS140" s="120"/>
      <c r="AIT140" s="120"/>
      <c r="AIU140" s="120"/>
      <c r="AIV140" s="120"/>
      <c r="AIW140" s="120"/>
      <c r="AIX140" s="120"/>
      <c r="AIY140" s="120"/>
      <c r="AIZ140" s="120"/>
    </row>
    <row r="141">
      <c r="A141" s="112" t="s">
        <v>7</v>
      </c>
      <c r="B141" s="112" t="s">
        <v>20</v>
      </c>
      <c r="C141" s="112"/>
      <c r="D141" s="113">
        <f t="shared" si="1"/>
        <v>756.4541667</v>
      </c>
      <c r="E141" s="112">
        <v>135.763766666667</v>
      </c>
      <c r="F141" s="113"/>
      <c r="G141" s="113"/>
      <c r="H141" s="113"/>
      <c r="I141" s="113"/>
      <c r="J141" s="113"/>
      <c r="K141" s="113"/>
      <c r="L141" s="112">
        <v>2.13575</v>
      </c>
      <c r="M141" s="112">
        <v>39.0839166666666</v>
      </c>
      <c r="N141" s="113"/>
      <c r="O141" s="112">
        <v>0.327383333333333</v>
      </c>
      <c r="P141" s="112">
        <v>222.640466666666</v>
      </c>
      <c r="Q141" s="113"/>
      <c r="R141" s="113"/>
      <c r="S141" s="113"/>
      <c r="T141" s="113"/>
      <c r="U141" s="113"/>
      <c r="V141" s="112">
        <v>2.9421</v>
      </c>
      <c r="W141" s="112">
        <v>69.2186833333333</v>
      </c>
      <c r="X141" s="113"/>
      <c r="Y141" s="113"/>
      <c r="Z141" s="113"/>
      <c r="AA141" s="113"/>
      <c r="AB141" s="113"/>
      <c r="AC141" s="112">
        <v>2.0837</v>
      </c>
      <c r="AD141" s="112">
        <v>77.8226666666667</v>
      </c>
      <c r="AE141" s="113"/>
      <c r="AF141" s="113"/>
      <c r="AG141" s="113"/>
      <c r="AH141" s="113"/>
      <c r="AI141" s="113"/>
      <c r="AJ141" s="112">
        <v>1.27668333333333</v>
      </c>
      <c r="AK141" s="112">
        <v>68.50035</v>
      </c>
      <c r="AL141" s="113"/>
      <c r="AM141" s="113"/>
      <c r="AN141" s="113"/>
      <c r="AO141" s="112">
        <v>9.99991666666667</v>
      </c>
      <c r="AP141" s="112">
        <v>32.3003833333333</v>
      </c>
      <c r="AQ141" s="113"/>
      <c r="AR141" s="113"/>
      <c r="AS141" s="112">
        <v>4.20378333333333</v>
      </c>
      <c r="AT141" s="112">
        <v>82.4493333333335</v>
      </c>
      <c r="AU141" s="113"/>
      <c r="AV141" s="112">
        <v>4.56136666666667</v>
      </c>
      <c r="AW141" s="112">
        <v>1.14391666666667</v>
      </c>
      <c r="AX141" s="113"/>
      <c r="AY141" s="113"/>
      <c r="AZ141" s="113"/>
      <c r="BA141" s="113"/>
      <c r="BB141" s="113"/>
      <c r="BC141" s="113"/>
      <c r="BD141" s="113"/>
      <c r="BE141" s="113"/>
      <c r="BF141" s="113"/>
      <c r="BG141" s="113"/>
      <c r="BH141" s="113"/>
      <c r="BI141" s="113"/>
      <c r="BJ141" s="113"/>
      <c r="BK141" s="113"/>
      <c r="BL141" s="113"/>
      <c r="BM141" s="113"/>
      <c r="BN141" s="113"/>
      <c r="BO141" s="113"/>
      <c r="BP141" s="113"/>
      <c r="BQ141" s="113"/>
      <c r="BR141" s="113"/>
      <c r="BS141" s="113"/>
      <c r="BT141" s="113"/>
      <c r="BU141" s="113"/>
      <c r="BV141" s="113"/>
      <c r="BW141" s="113"/>
      <c r="BX141" s="113"/>
      <c r="BY141" s="113"/>
      <c r="BZ141" s="113"/>
      <c r="CA141" s="113"/>
      <c r="CB141" s="113"/>
      <c r="CC141" s="113"/>
      <c r="CD141" s="113"/>
      <c r="CE141" s="113"/>
      <c r="CF141" s="113"/>
      <c r="CG141" s="113"/>
      <c r="CH141" s="113"/>
      <c r="CI141" s="113"/>
      <c r="CJ141" s="113"/>
      <c r="CK141" s="113"/>
      <c r="CL141" s="113"/>
      <c r="CM141" s="113"/>
      <c r="CN141" s="113"/>
      <c r="CO141" s="113"/>
      <c r="CP141" s="113"/>
      <c r="CQ141" s="113"/>
      <c r="CR141" s="113"/>
      <c r="CS141" s="113"/>
      <c r="CT141" s="113"/>
      <c r="CU141" s="113"/>
      <c r="CV141" s="113"/>
      <c r="CW141" s="113"/>
      <c r="CX141" s="113"/>
      <c r="CY141" s="113"/>
      <c r="CZ141" s="113"/>
      <c r="DA141" s="113"/>
      <c r="DB141" s="113"/>
      <c r="DC141" s="113"/>
      <c r="DD141" s="113"/>
      <c r="DE141" s="113"/>
      <c r="DF141" s="113"/>
      <c r="DG141" s="113"/>
      <c r="DH141" s="113"/>
      <c r="DI141" s="113"/>
      <c r="DJ141" s="113"/>
      <c r="DK141" s="113"/>
      <c r="DL141" s="113"/>
      <c r="DM141" s="113"/>
      <c r="DN141" s="113"/>
      <c r="DO141" s="113"/>
      <c r="DP141" s="113"/>
      <c r="DQ141" s="113"/>
      <c r="DR141" s="113"/>
      <c r="DS141" s="113"/>
      <c r="DT141" s="113"/>
      <c r="DU141" s="113"/>
      <c r="DV141" s="113"/>
      <c r="DW141" s="113"/>
      <c r="DX141" s="113"/>
      <c r="DY141" s="113"/>
      <c r="DZ141" s="113"/>
      <c r="EA141" s="113"/>
      <c r="EB141" s="113"/>
      <c r="EC141" s="113"/>
      <c r="ED141" s="113"/>
      <c r="EE141" s="113"/>
      <c r="EF141" s="113"/>
      <c r="EG141" s="113"/>
      <c r="EH141" s="113"/>
      <c r="EI141" s="113"/>
      <c r="EJ141" s="113"/>
      <c r="EK141" s="113"/>
      <c r="EL141" s="113"/>
      <c r="EM141" s="113"/>
      <c r="EN141" s="113"/>
      <c r="EO141" s="113"/>
      <c r="EP141" s="113"/>
      <c r="EQ141" s="113"/>
      <c r="ER141" s="113"/>
      <c r="ES141" s="113"/>
      <c r="ET141" s="113"/>
      <c r="EU141" s="113"/>
      <c r="EV141" s="113"/>
      <c r="EW141" s="113"/>
      <c r="EX141" s="113"/>
      <c r="EY141" s="113"/>
      <c r="EZ141" s="113"/>
      <c r="FA141" s="113"/>
      <c r="FB141" s="113"/>
      <c r="FC141" s="113"/>
      <c r="FD141" s="113"/>
      <c r="FE141" s="113"/>
      <c r="FF141" s="113"/>
      <c r="FG141" s="113"/>
      <c r="FH141" s="113"/>
      <c r="FI141" s="113"/>
      <c r="FJ141" s="113"/>
      <c r="FK141" s="113"/>
      <c r="FL141" s="113"/>
      <c r="FM141" s="113"/>
      <c r="FN141" s="113"/>
      <c r="FO141" s="113"/>
      <c r="FP141" s="113"/>
      <c r="FQ141" s="113"/>
      <c r="FR141" s="113"/>
      <c r="FS141" s="113"/>
      <c r="FT141" s="113"/>
      <c r="FU141" s="113"/>
      <c r="FV141" s="113"/>
      <c r="FW141" s="113"/>
      <c r="FX141" s="113"/>
      <c r="FY141" s="113"/>
      <c r="FZ141" s="113"/>
      <c r="GA141" s="113"/>
      <c r="GB141" s="113"/>
      <c r="GC141" s="113"/>
      <c r="GD141" s="113"/>
      <c r="GE141" s="113"/>
      <c r="GF141" s="113"/>
      <c r="GG141" s="113"/>
      <c r="GH141" s="113"/>
      <c r="GI141" s="113"/>
      <c r="GJ141" s="113"/>
      <c r="GK141" s="113"/>
      <c r="GL141" s="113"/>
      <c r="GM141" s="113"/>
      <c r="GN141" s="113"/>
      <c r="GO141" s="113"/>
      <c r="GP141" s="113"/>
      <c r="GQ141" s="113"/>
      <c r="GR141" s="113"/>
      <c r="GS141" s="113"/>
      <c r="GT141" s="113"/>
      <c r="GU141" s="113"/>
      <c r="GV141" s="113"/>
      <c r="GW141" s="113"/>
      <c r="GX141" s="113"/>
      <c r="GY141" s="113"/>
      <c r="GZ141" s="113"/>
      <c r="HA141" s="113"/>
      <c r="HB141" s="113"/>
      <c r="HC141" s="113"/>
      <c r="HD141" s="113"/>
      <c r="HE141" s="113"/>
      <c r="HF141" s="113"/>
      <c r="HG141" s="113"/>
      <c r="HH141" s="113"/>
      <c r="HI141" s="113"/>
      <c r="HJ141" s="113"/>
      <c r="HK141" s="113"/>
      <c r="HL141" s="113"/>
      <c r="HM141" s="113"/>
      <c r="HN141" s="113"/>
      <c r="HO141" s="113"/>
      <c r="HP141" s="113"/>
      <c r="HQ141" s="113"/>
      <c r="HR141" s="113"/>
      <c r="HS141" s="113"/>
      <c r="HT141" s="113"/>
      <c r="HU141" s="113"/>
      <c r="HV141" s="113"/>
      <c r="HW141" s="113"/>
      <c r="HX141" s="113"/>
      <c r="HY141" s="113"/>
      <c r="HZ141" s="113"/>
      <c r="IA141" s="113"/>
      <c r="IB141" s="113"/>
      <c r="IC141" s="113"/>
      <c r="ID141" s="113"/>
      <c r="IE141" s="113"/>
      <c r="IF141" s="113"/>
      <c r="IG141" s="113"/>
      <c r="IH141" s="113"/>
      <c r="II141" s="113"/>
      <c r="IJ141" s="113"/>
      <c r="IK141" s="113"/>
      <c r="IL141" s="113"/>
      <c r="IM141" s="113"/>
      <c r="IN141" s="113"/>
      <c r="IO141" s="113"/>
      <c r="IP141" s="113"/>
      <c r="IQ141" s="113"/>
      <c r="IR141" s="113"/>
      <c r="IS141" s="113"/>
      <c r="IT141" s="113"/>
      <c r="IU141" s="113"/>
      <c r="IV141" s="113"/>
      <c r="IW141" s="113"/>
      <c r="IX141" s="113"/>
      <c r="IY141" s="113"/>
      <c r="IZ141" s="113"/>
      <c r="JA141" s="113"/>
      <c r="JB141" s="113"/>
      <c r="JC141" s="113"/>
      <c r="JD141" s="113"/>
      <c r="JE141" s="113"/>
      <c r="JF141" s="113"/>
      <c r="JG141" s="113"/>
      <c r="JH141" s="113"/>
      <c r="JI141" s="113"/>
      <c r="JJ141" s="113"/>
      <c r="JK141" s="113"/>
      <c r="JL141" s="113"/>
      <c r="JM141" s="113"/>
      <c r="JN141" s="113"/>
      <c r="JO141" s="113"/>
      <c r="JP141" s="113"/>
      <c r="JQ141" s="113"/>
      <c r="JR141" s="113"/>
      <c r="JS141" s="113"/>
      <c r="JT141" s="113"/>
      <c r="JU141" s="113"/>
      <c r="JV141" s="113"/>
      <c r="JW141" s="113"/>
      <c r="JX141" s="113"/>
      <c r="JY141" s="113"/>
      <c r="JZ141" s="113"/>
      <c r="KA141" s="113"/>
      <c r="KB141" s="113"/>
      <c r="KC141" s="113"/>
      <c r="KD141" s="113"/>
      <c r="KE141" s="113"/>
      <c r="KF141" s="113"/>
      <c r="KG141" s="113"/>
      <c r="KH141" s="113"/>
      <c r="KI141" s="113"/>
      <c r="KJ141" s="113"/>
      <c r="KK141" s="113"/>
      <c r="KL141" s="113"/>
      <c r="KM141" s="113"/>
      <c r="KN141" s="113"/>
      <c r="KO141" s="113"/>
      <c r="KP141" s="113"/>
      <c r="KQ141" s="113"/>
      <c r="KR141" s="113"/>
      <c r="KS141" s="113"/>
      <c r="KT141" s="113"/>
      <c r="KU141" s="113"/>
      <c r="KV141" s="113"/>
      <c r="KW141" s="113"/>
      <c r="KX141" s="113"/>
      <c r="KY141" s="113"/>
      <c r="KZ141" s="113"/>
      <c r="LA141" s="113"/>
      <c r="LB141" s="113"/>
      <c r="LC141" s="113"/>
      <c r="LD141" s="113"/>
      <c r="LE141" s="113"/>
      <c r="LF141" s="113"/>
      <c r="LG141" s="113"/>
      <c r="LH141" s="113"/>
      <c r="LI141" s="113"/>
      <c r="LJ141" s="113"/>
      <c r="LK141" s="113"/>
      <c r="LL141" s="113"/>
      <c r="LM141" s="113"/>
      <c r="LN141" s="113"/>
      <c r="LO141" s="113"/>
      <c r="LP141" s="113"/>
      <c r="LQ141" s="113"/>
      <c r="LR141" s="113"/>
      <c r="LS141" s="113"/>
      <c r="LT141" s="113"/>
      <c r="LU141" s="113"/>
      <c r="LV141" s="113"/>
      <c r="LW141" s="113"/>
      <c r="LX141" s="113"/>
      <c r="LY141" s="113"/>
      <c r="LZ141" s="113"/>
      <c r="MA141" s="113"/>
      <c r="MB141" s="113"/>
      <c r="MC141" s="113"/>
      <c r="MD141" s="113"/>
      <c r="ME141" s="113"/>
      <c r="MF141" s="113"/>
      <c r="MG141" s="113"/>
      <c r="MH141" s="113"/>
      <c r="MI141" s="113"/>
      <c r="MJ141" s="113"/>
      <c r="MK141" s="113"/>
      <c r="ML141" s="113"/>
      <c r="MM141" s="113"/>
      <c r="MN141" s="113"/>
      <c r="MO141" s="113"/>
      <c r="MP141" s="113"/>
      <c r="MQ141" s="113"/>
      <c r="MR141" s="113"/>
      <c r="MS141" s="113"/>
      <c r="MT141" s="113"/>
      <c r="MU141" s="113"/>
      <c r="MV141" s="113"/>
      <c r="MW141" s="113"/>
      <c r="MX141" s="113"/>
      <c r="MY141" s="113"/>
      <c r="MZ141" s="113"/>
      <c r="NA141" s="113"/>
      <c r="NB141" s="113"/>
      <c r="NC141" s="113"/>
      <c r="ND141" s="113"/>
      <c r="NE141" s="113"/>
      <c r="NF141" s="113"/>
      <c r="NG141" s="113"/>
      <c r="NH141" s="113"/>
      <c r="NI141" s="113"/>
      <c r="NJ141" s="113"/>
      <c r="NK141" s="113"/>
      <c r="NL141" s="113"/>
      <c r="NM141" s="113"/>
      <c r="NN141" s="113"/>
      <c r="NO141" s="113"/>
      <c r="NP141" s="113"/>
      <c r="NQ141" s="113"/>
      <c r="NR141" s="113"/>
      <c r="NS141" s="113"/>
      <c r="NT141" s="113"/>
      <c r="NU141" s="113"/>
      <c r="NV141" s="113"/>
      <c r="NW141" s="113"/>
      <c r="NX141" s="113"/>
      <c r="NY141" s="113"/>
      <c r="NZ141" s="113"/>
      <c r="OA141" s="113"/>
      <c r="OB141" s="113"/>
      <c r="OC141" s="113"/>
      <c r="OD141" s="113"/>
      <c r="OE141" s="113"/>
      <c r="OF141" s="113"/>
      <c r="OG141" s="113"/>
      <c r="OH141" s="113"/>
      <c r="OI141" s="113"/>
      <c r="OJ141" s="113"/>
      <c r="OK141" s="113"/>
      <c r="OL141" s="113"/>
      <c r="OM141" s="113"/>
      <c r="ON141" s="113"/>
      <c r="OO141" s="113"/>
      <c r="OP141" s="113"/>
      <c r="OQ141" s="113"/>
      <c r="OR141" s="113"/>
      <c r="OS141" s="113"/>
      <c r="OT141" s="113"/>
      <c r="OU141" s="113"/>
      <c r="OV141" s="113"/>
      <c r="OW141" s="113"/>
      <c r="OX141" s="113"/>
      <c r="OY141" s="113"/>
      <c r="OZ141" s="113"/>
      <c r="PA141" s="113"/>
      <c r="PB141" s="113"/>
      <c r="PC141" s="113"/>
      <c r="PD141" s="113"/>
      <c r="PE141" s="113"/>
      <c r="PF141" s="113"/>
      <c r="PG141" s="113"/>
      <c r="PH141" s="113"/>
      <c r="PI141" s="113"/>
      <c r="PJ141" s="113"/>
      <c r="PK141" s="113"/>
      <c r="PL141" s="113"/>
      <c r="PM141" s="113"/>
      <c r="PN141" s="113"/>
      <c r="PO141" s="113"/>
      <c r="PP141" s="113"/>
      <c r="PQ141" s="113"/>
      <c r="PR141" s="113"/>
      <c r="PS141" s="113"/>
      <c r="PT141" s="113"/>
      <c r="PU141" s="113"/>
      <c r="PV141" s="113"/>
      <c r="PW141" s="113"/>
      <c r="PX141" s="113"/>
      <c r="PY141" s="113"/>
      <c r="PZ141" s="113"/>
      <c r="QA141" s="113"/>
      <c r="QB141" s="113"/>
      <c r="QC141" s="113"/>
      <c r="QD141" s="113"/>
      <c r="QE141" s="113"/>
      <c r="QF141" s="113"/>
      <c r="QG141" s="113"/>
      <c r="QH141" s="113"/>
      <c r="QI141" s="113"/>
      <c r="QJ141" s="113"/>
      <c r="QK141" s="113"/>
      <c r="QL141" s="113"/>
      <c r="QM141" s="113"/>
      <c r="QN141" s="113"/>
      <c r="QO141" s="113"/>
      <c r="QP141" s="113"/>
      <c r="QQ141" s="113"/>
      <c r="QR141" s="113"/>
      <c r="QS141" s="113"/>
      <c r="QT141" s="113"/>
      <c r="QU141" s="113"/>
      <c r="QV141" s="113"/>
      <c r="QW141" s="113"/>
      <c r="QX141" s="113"/>
      <c r="QY141" s="113"/>
      <c r="QZ141" s="113"/>
      <c r="RA141" s="113"/>
      <c r="RB141" s="113"/>
      <c r="RC141" s="113"/>
      <c r="RD141" s="113"/>
      <c r="RE141" s="113"/>
      <c r="RF141" s="113"/>
      <c r="RG141" s="113"/>
      <c r="RH141" s="113"/>
      <c r="RI141" s="113"/>
      <c r="RJ141" s="113"/>
      <c r="RK141" s="113"/>
      <c r="RL141" s="113"/>
      <c r="RM141" s="113"/>
      <c r="RN141" s="113"/>
      <c r="RO141" s="113"/>
      <c r="RP141" s="113"/>
      <c r="RQ141" s="113"/>
      <c r="RR141" s="113"/>
      <c r="RS141" s="113"/>
      <c r="RT141" s="113"/>
      <c r="RU141" s="113"/>
      <c r="RV141" s="113"/>
      <c r="RW141" s="113"/>
      <c r="RX141" s="113"/>
      <c r="RY141" s="113"/>
      <c r="RZ141" s="113"/>
      <c r="SA141" s="113"/>
      <c r="SB141" s="113"/>
      <c r="SC141" s="113"/>
      <c r="SD141" s="113"/>
      <c r="SE141" s="113"/>
      <c r="SF141" s="113"/>
      <c r="SG141" s="113"/>
      <c r="SH141" s="113"/>
      <c r="SI141" s="113"/>
      <c r="SJ141" s="113"/>
      <c r="SK141" s="113"/>
      <c r="SL141" s="113"/>
      <c r="SM141" s="113"/>
      <c r="SN141" s="113"/>
      <c r="SO141" s="113"/>
      <c r="SP141" s="113"/>
      <c r="SQ141" s="113"/>
      <c r="SR141" s="113"/>
      <c r="SS141" s="113"/>
      <c r="ST141" s="113"/>
      <c r="SU141" s="113"/>
      <c r="SV141" s="113"/>
      <c r="SW141" s="113"/>
      <c r="SX141" s="113"/>
      <c r="SY141" s="113"/>
      <c r="SZ141" s="113"/>
      <c r="TA141" s="113"/>
      <c r="TB141" s="113"/>
      <c r="TC141" s="113"/>
      <c r="TD141" s="113"/>
      <c r="TE141" s="113"/>
      <c r="TF141" s="113"/>
      <c r="TG141" s="113"/>
      <c r="TH141" s="113"/>
      <c r="TI141" s="113"/>
      <c r="TJ141" s="113"/>
      <c r="TK141" s="113"/>
      <c r="TL141" s="113"/>
      <c r="TM141" s="113"/>
      <c r="TN141" s="113"/>
      <c r="TO141" s="113"/>
      <c r="TP141" s="113"/>
      <c r="TQ141" s="113"/>
      <c r="TR141" s="113"/>
      <c r="TS141" s="113"/>
      <c r="TT141" s="113"/>
      <c r="TU141" s="113"/>
      <c r="TV141" s="113"/>
      <c r="TW141" s="113"/>
      <c r="TX141" s="113"/>
      <c r="TY141" s="113"/>
      <c r="TZ141" s="113"/>
      <c r="UA141" s="113"/>
      <c r="UB141" s="113"/>
      <c r="UC141" s="113"/>
      <c r="UD141" s="113"/>
      <c r="UE141" s="113"/>
      <c r="UF141" s="113"/>
      <c r="UG141" s="113"/>
      <c r="UH141" s="113"/>
      <c r="UI141" s="113"/>
      <c r="UJ141" s="113"/>
      <c r="UK141" s="113"/>
      <c r="UL141" s="113"/>
      <c r="UM141" s="113"/>
      <c r="UN141" s="113"/>
      <c r="UO141" s="113"/>
      <c r="UP141" s="113"/>
      <c r="UQ141" s="113"/>
      <c r="UR141" s="113"/>
      <c r="US141" s="113"/>
      <c r="UT141" s="113"/>
      <c r="UU141" s="113"/>
      <c r="UV141" s="113"/>
      <c r="UW141" s="113"/>
      <c r="UX141" s="113"/>
      <c r="UY141" s="113"/>
      <c r="UZ141" s="113"/>
      <c r="VA141" s="113"/>
      <c r="VB141" s="113"/>
      <c r="VC141" s="113"/>
      <c r="VD141" s="113"/>
      <c r="VE141" s="113"/>
      <c r="VF141" s="113"/>
      <c r="VG141" s="113"/>
      <c r="VH141" s="113"/>
      <c r="VI141" s="113"/>
      <c r="VJ141" s="113"/>
      <c r="VK141" s="113"/>
      <c r="VL141" s="113"/>
      <c r="VM141" s="113"/>
      <c r="VN141" s="113"/>
      <c r="VO141" s="113"/>
      <c r="VP141" s="113"/>
      <c r="VQ141" s="113"/>
      <c r="VR141" s="113"/>
      <c r="VS141" s="113"/>
      <c r="VT141" s="113"/>
      <c r="VU141" s="113"/>
      <c r="VV141" s="113"/>
      <c r="VW141" s="113"/>
      <c r="VX141" s="113"/>
      <c r="VY141" s="113"/>
      <c r="VZ141" s="113"/>
      <c r="WA141" s="113"/>
      <c r="WB141" s="113"/>
      <c r="WC141" s="113"/>
      <c r="WD141" s="113"/>
      <c r="WE141" s="113"/>
      <c r="WF141" s="113"/>
      <c r="WG141" s="113"/>
      <c r="WH141" s="113"/>
      <c r="WI141" s="113"/>
      <c r="WJ141" s="113"/>
      <c r="WK141" s="113"/>
      <c r="WL141" s="113"/>
      <c r="WM141" s="113"/>
      <c r="WN141" s="113"/>
      <c r="WO141" s="113"/>
      <c r="WP141" s="113"/>
      <c r="WQ141" s="113"/>
      <c r="WR141" s="113"/>
      <c r="WS141" s="113"/>
      <c r="WT141" s="113"/>
      <c r="WU141" s="113"/>
      <c r="WV141" s="113"/>
      <c r="WW141" s="113"/>
      <c r="WX141" s="113"/>
      <c r="WY141" s="113"/>
      <c r="WZ141" s="113"/>
      <c r="XA141" s="113"/>
      <c r="XB141" s="113"/>
      <c r="XC141" s="113"/>
      <c r="XD141" s="113"/>
      <c r="XE141" s="113"/>
      <c r="XF141" s="113"/>
      <c r="XG141" s="113"/>
      <c r="XH141" s="113"/>
      <c r="XI141" s="113"/>
      <c r="XJ141" s="113"/>
      <c r="XK141" s="113"/>
      <c r="XL141" s="113"/>
      <c r="XM141" s="113"/>
      <c r="XN141" s="113"/>
      <c r="XO141" s="113"/>
      <c r="XP141" s="113"/>
      <c r="XQ141" s="113"/>
      <c r="XR141" s="113"/>
      <c r="XS141" s="113"/>
      <c r="XT141" s="113"/>
      <c r="XU141" s="113"/>
      <c r="XV141" s="113"/>
      <c r="XW141" s="113"/>
      <c r="XX141" s="113"/>
      <c r="XY141" s="113"/>
      <c r="XZ141" s="113"/>
      <c r="YA141" s="113"/>
      <c r="YB141" s="113"/>
      <c r="YC141" s="113"/>
      <c r="YD141" s="113"/>
      <c r="YE141" s="113"/>
      <c r="YF141" s="113"/>
      <c r="YG141" s="113"/>
      <c r="YH141" s="113"/>
      <c r="YI141" s="113"/>
      <c r="YJ141" s="113"/>
      <c r="YK141" s="113"/>
      <c r="YL141" s="113"/>
      <c r="YM141" s="113"/>
      <c r="YN141" s="113"/>
      <c r="YO141" s="113"/>
      <c r="YP141" s="113"/>
      <c r="YQ141" s="113"/>
      <c r="YR141" s="113"/>
      <c r="YS141" s="113"/>
      <c r="YT141" s="113"/>
      <c r="YU141" s="113"/>
      <c r="YV141" s="113"/>
      <c r="YW141" s="113"/>
      <c r="YX141" s="113"/>
      <c r="YY141" s="113"/>
      <c r="YZ141" s="113"/>
      <c r="ZA141" s="113"/>
      <c r="ZB141" s="113"/>
      <c r="ZC141" s="113"/>
      <c r="ZD141" s="113"/>
      <c r="ZE141" s="113"/>
      <c r="ZF141" s="113"/>
      <c r="ZG141" s="113"/>
      <c r="ZH141" s="113"/>
      <c r="ZI141" s="113"/>
      <c r="ZJ141" s="113"/>
      <c r="ZK141" s="113"/>
      <c r="ZL141" s="113"/>
      <c r="ZM141" s="113"/>
      <c r="ZN141" s="113"/>
      <c r="ZO141" s="113"/>
      <c r="ZP141" s="113"/>
      <c r="ZQ141" s="113"/>
      <c r="ZR141" s="113"/>
      <c r="ZS141" s="113"/>
      <c r="ZT141" s="113"/>
      <c r="ZU141" s="113"/>
      <c r="ZV141" s="113"/>
      <c r="ZW141" s="113"/>
      <c r="ZX141" s="113"/>
      <c r="ZY141" s="113"/>
      <c r="ZZ141" s="113"/>
      <c r="AAA141" s="113"/>
      <c r="AAB141" s="113"/>
      <c r="AAC141" s="113"/>
      <c r="AAD141" s="113"/>
      <c r="AAE141" s="113"/>
      <c r="AAF141" s="113"/>
      <c r="AAG141" s="113"/>
      <c r="AAH141" s="113"/>
      <c r="AAI141" s="113"/>
      <c r="AAJ141" s="113"/>
      <c r="AAK141" s="113"/>
      <c r="AAL141" s="113"/>
      <c r="AAM141" s="113"/>
      <c r="AAN141" s="113"/>
      <c r="AAO141" s="113"/>
      <c r="AAP141" s="113"/>
      <c r="AAQ141" s="113"/>
      <c r="AAR141" s="113"/>
      <c r="AAS141" s="113"/>
      <c r="AAT141" s="113"/>
      <c r="AAU141" s="113"/>
      <c r="AAV141" s="113"/>
      <c r="AAW141" s="113"/>
      <c r="AAX141" s="113"/>
      <c r="AAY141" s="113"/>
      <c r="AAZ141" s="113"/>
      <c r="ABA141" s="113"/>
      <c r="ABB141" s="113"/>
      <c r="ABC141" s="113"/>
      <c r="ABD141" s="113"/>
      <c r="ABE141" s="113"/>
      <c r="ABF141" s="113"/>
      <c r="ABG141" s="113"/>
      <c r="ABH141" s="113"/>
      <c r="ABI141" s="113"/>
      <c r="ABJ141" s="113"/>
      <c r="ABK141" s="113"/>
      <c r="ABL141" s="113"/>
      <c r="ABM141" s="113"/>
      <c r="ABN141" s="113"/>
      <c r="ABO141" s="113"/>
      <c r="ABP141" s="113"/>
      <c r="ABQ141" s="113"/>
      <c r="ABR141" s="113"/>
      <c r="ABS141" s="113"/>
      <c r="ABT141" s="113"/>
      <c r="ABU141" s="113"/>
      <c r="ABV141" s="113"/>
      <c r="ABW141" s="113"/>
      <c r="ABX141" s="113"/>
      <c r="ABY141" s="113"/>
      <c r="ABZ141" s="113"/>
      <c r="ACA141" s="113"/>
      <c r="ACB141" s="113"/>
      <c r="ACC141" s="113"/>
      <c r="ACD141" s="113"/>
      <c r="ACE141" s="113"/>
      <c r="ACF141" s="113"/>
      <c r="ACG141" s="113"/>
      <c r="ACH141" s="113"/>
      <c r="ACI141" s="113"/>
      <c r="ACJ141" s="113"/>
      <c r="ACK141" s="113"/>
      <c r="ACL141" s="113"/>
      <c r="ACM141" s="113"/>
      <c r="ACN141" s="113"/>
      <c r="ACO141" s="113"/>
      <c r="ACP141" s="113"/>
      <c r="ACQ141" s="113"/>
      <c r="ACR141" s="113"/>
      <c r="ACS141" s="113"/>
      <c r="ACT141" s="113"/>
      <c r="ACU141" s="113"/>
      <c r="ACV141" s="113"/>
      <c r="ACW141" s="113"/>
      <c r="ACX141" s="113"/>
      <c r="ACY141" s="113"/>
      <c r="ACZ141" s="113"/>
      <c r="ADA141" s="113"/>
      <c r="ADB141" s="113"/>
      <c r="ADC141" s="113"/>
      <c r="ADD141" s="113"/>
      <c r="ADE141" s="113"/>
      <c r="ADF141" s="113"/>
      <c r="ADG141" s="113"/>
      <c r="ADH141" s="113"/>
      <c r="ADI141" s="113"/>
      <c r="ADJ141" s="113"/>
      <c r="ADK141" s="113"/>
      <c r="ADL141" s="113"/>
      <c r="ADM141" s="113"/>
      <c r="ADN141" s="113"/>
      <c r="ADO141" s="113"/>
      <c r="ADP141" s="113"/>
      <c r="ADQ141" s="113"/>
      <c r="ADR141" s="113"/>
      <c r="ADS141" s="113"/>
      <c r="ADT141" s="113"/>
      <c r="ADU141" s="113"/>
      <c r="ADV141" s="113"/>
      <c r="ADW141" s="113"/>
      <c r="ADX141" s="113"/>
      <c r="ADY141" s="113"/>
      <c r="ADZ141" s="113"/>
      <c r="AEA141" s="113"/>
      <c r="AEB141" s="113"/>
      <c r="AEC141" s="113"/>
      <c r="AED141" s="113"/>
      <c r="AEE141" s="113"/>
      <c r="AEF141" s="113"/>
      <c r="AEG141" s="113"/>
      <c r="AEH141" s="113"/>
      <c r="AEI141" s="113"/>
      <c r="AEJ141" s="113"/>
      <c r="AEK141" s="113"/>
      <c r="AEL141" s="113"/>
      <c r="AEM141" s="113"/>
      <c r="AEN141" s="113"/>
      <c r="AEO141" s="113"/>
      <c r="AEP141" s="113"/>
      <c r="AEQ141" s="113"/>
      <c r="AER141" s="113"/>
      <c r="AES141" s="113"/>
      <c r="AET141" s="113"/>
      <c r="AEU141" s="113"/>
      <c r="AEV141" s="113"/>
      <c r="AEW141" s="113"/>
      <c r="AEX141" s="113"/>
      <c r="AEY141" s="113"/>
      <c r="AEZ141" s="113"/>
      <c r="AFA141" s="113"/>
      <c r="AFB141" s="113"/>
      <c r="AFC141" s="113"/>
      <c r="AFD141" s="113"/>
      <c r="AFE141" s="113"/>
      <c r="AFF141" s="113"/>
      <c r="AFG141" s="113"/>
      <c r="AFH141" s="113"/>
      <c r="AFI141" s="113"/>
      <c r="AFJ141" s="113"/>
      <c r="AFK141" s="113"/>
      <c r="AFL141" s="113"/>
      <c r="AFM141" s="113"/>
      <c r="AFN141" s="113"/>
      <c r="AFO141" s="113"/>
      <c r="AFP141" s="113"/>
      <c r="AFQ141" s="113"/>
      <c r="AFR141" s="113"/>
      <c r="AFS141" s="113"/>
      <c r="AFT141" s="113"/>
      <c r="AFU141" s="113"/>
      <c r="AFV141" s="113"/>
      <c r="AFW141" s="113"/>
      <c r="AFX141" s="113"/>
      <c r="AFY141" s="113"/>
      <c r="AFZ141" s="113"/>
      <c r="AGA141" s="113"/>
      <c r="AGB141" s="113"/>
      <c r="AGC141" s="113"/>
      <c r="AGD141" s="113"/>
      <c r="AGE141" s="113"/>
      <c r="AGF141" s="113"/>
      <c r="AGG141" s="113"/>
      <c r="AGH141" s="113"/>
      <c r="AGI141" s="113"/>
      <c r="AGJ141" s="113"/>
      <c r="AGK141" s="113"/>
      <c r="AGL141" s="113"/>
      <c r="AGM141" s="113"/>
      <c r="AGN141" s="113"/>
      <c r="AGO141" s="113"/>
      <c r="AGP141" s="113"/>
      <c r="AGQ141" s="113"/>
      <c r="AGR141" s="113"/>
      <c r="AGS141" s="113"/>
      <c r="AGT141" s="113"/>
      <c r="AGU141" s="113"/>
      <c r="AGV141" s="113"/>
      <c r="AGW141" s="113"/>
      <c r="AGX141" s="113"/>
      <c r="AGY141" s="113"/>
      <c r="AGZ141" s="113"/>
      <c r="AHA141" s="113"/>
      <c r="AHB141" s="113"/>
      <c r="AHC141" s="113"/>
      <c r="AHD141" s="113"/>
      <c r="AHE141" s="113"/>
      <c r="AHF141" s="113"/>
      <c r="AHG141" s="113"/>
      <c r="AHH141" s="113"/>
      <c r="AHI141" s="113"/>
      <c r="AHJ141" s="113"/>
      <c r="AHK141" s="113"/>
      <c r="AHL141" s="113"/>
      <c r="AHM141" s="113"/>
      <c r="AHN141" s="113"/>
      <c r="AHO141" s="113"/>
      <c r="AHP141" s="113"/>
      <c r="AHQ141" s="113"/>
      <c r="AHR141" s="113"/>
      <c r="AHS141" s="113"/>
      <c r="AHT141" s="113"/>
      <c r="AHU141" s="113"/>
      <c r="AHV141" s="113"/>
      <c r="AHW141" s="113"/>
      <c r="AHX141" s="113"/>
      <c r="AHY141" s="113"/>
      <c r="AHZ141" s="113"/>
      <c r="AIA141" s="113"/>
      <c r="AIB141" s="113"/>
      <c r="AIC141" s="113"/>
      <c r="AID141" s="113"/>
      <c r="AIE141" s="113"/>
      <c r="AIF141" s="113"/>
      <c r="AIG141" s="113"/>
      <c r="AIH141" s="113"/>
      <c r="AII141" s="113"/>
      <c r="AIJ141" s="113"/>
      <c r="AIK141" s="113"/>
      <c r="AIL141" s="113"/>
      <c r="AIM141" s="113"/>
      <c r="AIN141" s="113"/>
      <c r="AIO141" s="113"/>
      <c r="AIP141" s="113"/>
      <c r="AIQ141" s="113"/>
      <c r="AIR141" s="113"/>
      <c r="AIS141" s="113"/>
      <c r="AIT141" s="113"/>
      <c r="AIU141" s="113"/>
      <c r="AIV141" s="113"/>
      <c r="AIW141" s="113"/>
      <c r="AIX141" s="113"/>
      <c r="AIY141" s="113"/>
      <c r="AIZ141" s="113"/>
    </row>
    <row r="142">
      <c r="A142" s="65" t="s">
        <v>7</v>
      </c>
      <c r="B142" s="65" t="s">
        <v>20</v>
      </c>
      <c r="C142" s="65"/>
      <c r="D142" s="64">
        <f t="shared" si="1"/>
        <v>663.4550833</v>
      </c>
      <c r="G142" s="65">
        <v>111.006333333333</v>
      </c>
      <c r="H142" s="65">
        <v>2.71306666666667</v>
      </c>
      <c r="I142" s="65">
        <v>0.624066666666667</v>
      </c>
      <c r="J142" s="65">
        <v>1.80251666666667</v>
      </c>
      <c r="K142" s="65">
        <v>11.2424</v>
      </c>
      <c r="N142" s="65">
        <v>29.7720666666666</v>
      </c>
      <c r="Q142" s="65">
        <v>149.827233333333</v>
      </c>
      <c r="R142" s="65">
        <v>25.9897333333333</v>
      </c>
      <c r="S142" s="65">
        <v>5.1551</v>
      </c>
      <c r="T142" s="65">
        <v>4.46636666666667</v>
      </c>
      <c r="U142" s="65">
        <v>30.8322166666667</v>
      </c>
      <c r="X142" s="65">
        <v>49.44395</v>
      </c>
      <c r="Y142" s="65">
        <v>8.27461666666666</v>
      </c>
      <c r="Z142" s="65">
        <v>0.633233333333333</v>
      </c>
      <c r="AA142" s="65">
        <v>1.64205</v>
      </c>
      <c r="AB142" s="65">
        <v>7.0246</v>
      </c>
      <c r="AE142" s="65">
        <v>36.9247333333333</v>
      </c>
      <c r="AF142" s="65">
        <v>13.9386333333333</v>
      </c>
      <c r="AG142" s="65">
        <v>1.91163333333333</v>
      </c>
      <c r="AH142" s="65">
        <v>0.333</v>
      </c>
      <c r="AI142" s="65">
        <v>23.2939666666667</v>
      </c>
      <c r="AL142" s="65">
        <v>16.4529833333333</v>
      </c>
      <c r="AM142" s="65">
        <v>5.6024</v>
      </c>
      <c r="AN142" s="65">
        <v>29.3697833333334</v>
      </c>
      <c r="AQ142" s="65">
        <v>5.82551666666667</v>
      </c>
      <c r="AR142" s="65">
        <v>16.59625</v>
      </c>
      <c r="AU142" s="65">
        <v>72.7566333333334</v>
      </c>
    </row>
    <row r="143">
      <c r="A143" s="65" t="s">
        <v>7</v>
      </c>
      <c r="B143" s="65" t="s">
        <v>20</v>
      </c>
      <c r="C143" s="65"/>
      <c r="D143" s="64">
        <f t="shared" si="1"/>
        <v>0</v>
      </c>
    </row>
    <row r="144">
      <c r="A144" s="65" t="s">
        <v>7</v>
      </c>
      <c r="B144" s="65" t="s">
        <v>20</v>
      </c>
      <c r="C144" s="65"/>
      <c r="D144" s="64">
        <f t="shared" si="1"/>
        <v>634.6698167</v>
      </c>
      <c r="G144" s="118">
        <f>HYPERLINK("https://docs.google.com/spreadsheets/d/1TOJbX2tTbCNNrK10Cm5sxl877DEQnV3p", 110.77845)</f>
        <v>110.77845</v>
      </c>
      <c r="H144" s="118">
        <f>HYPERLINK("https://docs.google.com/spreadsheets/d/1qkTnzykghnQCG8EgODxPBgyiT58g4HLE", 2.71306666666667)</f>
        <v>2.713066667</v>
      </c>
      <c r="I144" s="118">
        <f>HYPERLINK("https://docs.google.com/spreadsheets/d/16fJe_kNUUL1ukNJfWEMUQGv3A1IVaoZX", 0.624066666666667)</f>
        <v>0.6240666667</v>
      </c>
      <c r="J144" s="118">
        <f>HYPERLINK("https://docs.google.com/spreadsheets/d/1LN0F72jSsx6hFIDe0eY3G5h5-tmXUIqr", 0.105466666666667)</f>
        <v>0.1054666667</v>
      </c>
      <c r="K144" s="118">
        <f>HYPERLINK("https://docs.google.com/spreadsheets/d/1PnD9rDrANbiTbbQHyNuP_6mKknCj9pfU", 11.2424)</f>
        <v>11.2424</v>
      </c>
      <c r="N144" s="118">
        <f>HYPERLINK("https://docs.google.com/spreadsheets/d/139doNeM1yMtwV_hV69CE5dbJp1_68_tm", 29.5999166666667)</f>
        <v>29.59991667</v>
      </c>
      <c r="Q144" s="118">
        <f>HYPERLINK("https://docs.google.com/spreadsheets/d/1upB8fse_GCpSDnIBH_LSOJbxh1rmkBTN", 132.5627)</f>
        <v>132.5627</v>
      </c>
      <c r="R144" s="118">
        <f>HYPERLINK("https://docs.google.com/spreadsheets/d/11dVKAtjalF2-lMBQ8_X39J_KmErTjG0b", 25.8354166666667)</f>
        <v>25.83541667</v>
      </c>
      <c r="S144" s="118">
        <f>HYPERLINK("https://docs.google.com/spreadsheets/d/1mL63bpMBuAkDtRDs0d3exjxvOKhlmZFq", 4.98791666666667)</f>
        <v>4.987916667</v>
      </c>
      <c r="T144" s="118">
        <f>HYPERLINK("https://docs.google.com/spreadsheets/d/1vBDop0FH_ac2Cxt-LAd002OA2DU5CzTc", 3.95111666666667)</f>
        <v>3.951116667</v>
      </c>
      <c r="U144" s="118">
        <f>HYPERLINK("https://docs.google.com/spreadsheets/d/1HRj8ZNbjqjT16M0f7YxTmCUjfW-jzRQN", 30.8322166666667)</f>
        <v>30.83221667</v>
      </c>
      <c r="X144" s="118">
        <f>HYPERLINK("https://docs.google.com/spreadsheets/d/1ne0WH9HJUhsaeqAxww5tVTFh6uTDNWd5", 46.0218333333333)</f>
        <v>46.02183333</v>
      </c>
      <c r="Y144" s="118">
        <f>HYPERLINK("https://docs.google.com/spreadsheets/d/1KyhF4FgaWemVCAFs3CFW_TzkQtv1ZfiW", 8.27461666666666)</f>
        <v>8.274616667</v>
      </c>
      <c r="Z144" s="118">
        <f>HYPERLINK("https://docs.google.com/spreadsheets/d/13Tuu5XmUVkFnEUefmDNjOjQVnFEJcBMr", 0.633233333333333)</f>
        <v>0.6332333333</v>
      </c>
      <c r="AA144" s="118">
        <f>HYPERLINK("https://docs.google.com/spreadsheets/d/16m6qrW5gwuTxft840vzCLrOIcQnX-gsz", 1.21408333333333)</f>
        <v>1.214083333</v>
      </c>
      <c r="AB144" s="118">
        <f>HYPERLINK("https://docs.google.com/spreadsheets/d/1_0rQhlKq-JJEtAeeqFOwx22LskltJXfe", 7.0246)</f>
        <v>7.0246</v>
      </c>
      <c r="AE144" s="118">
        <f>HYPERLINK("https://docs.google.com/spreadsheets/d/16NdK9kJ9KI4vs2YL8hSCywxTOD2Hyc-Q", 36.1284166666666)</f>
        <v>36.12841667</v>
      </c>
      <c r="AF144" s="118">
        <f>HYPERLINK("https://docs.google.com/spreadsheets/d/1d_TWk97f3hMHuYErlMB4gvwSIdPw4B2H", 13.8250666666667)</f>
        <v>13.82506667</v>
      </c>
      <c r="AG144" s="118">
        <f>HYPERLINK("https://docs.google.com/spreadsheets/d/1XJLR7JX1APZyNn0cbJCt4SAgqQFj1YpF", 1.81768333333333)</f>
        <v>1.817683333</v>
      </c>
      <c r="AH144" s="118">
        <f>HYPERLINK("https://docs.google.com/spreadsheets/d/1mH42bex_wxzXMF0b05J6K67Bnypoeyv5", 0.333)</f>
        <v>0.333</v>
      </c>
      <c r="AI144" s="118">
        <f>HYPERLINK("https://docs.google.com/spreadsheets/d/1kELK6aZShmq_bIuSZ7Xq2-3DCse1Oa5B", 23.2939)</f>
        <v>23.2939</v>
      </c>
      <c r="AL144" s="118">
        <f>HYPERLINK("https://docs.google.com/spreadsheets/d/1qWlaSTbvOqGmNFBABq05wSAJKfm_IxDT", 13.9189)</f>
        <v>13.9189</v>
      </c>
      <c r="AM144" s="118">
        <f>HYPERLINK("https://docs.google.com/spreadsheets/d/1DjjUpBSF3kN79OGsKtSmBl-d00EJvkIk", 5.6024)</f>
        <v>5.6024</v>
      </c>
      <c r="AN144" s="118">
        <f>HYPERLINK("https://docs.google.com/spreadsheets/d/1cvBzlOXxv-Cm_l3FpRUfzwmmhWShZHm1", 29.36975)</f>
        <v>29.36975</v>
      </c>
      <c r="AQ144" s="118">
        <f>HYPERLINK("https://docs.google.com/spreadsheets/d/18XLmT0aMc4XO4ARKGhioRyjm7fek-BAA", 5.37686666666667)</f>
        <v>5.376866667</v>
      </c>
      <c r="AR144" s="118">
        <f>HYPERLINK("https://docs.google.com/spreadsheets/d/1KL5a1WMFA4wpviWH08_-QtLumyLjhn9Y", 16.59625)</f>
        <v>16.59625</v>
      </c>
      <c r="AU144" s="118">
        <f>HYPERLINK("https://docs.google.com/spreadsheets/d/1MjhaBX13pSvTFtT9j4aqZFREkq-ZEOzQ", 72.0064833333334)</f>
        <v>72.00648333</v>
      </c>
    </row>
    <row r="145">
      <c r="A145" s="65" t="s">
        <v>7</v>
      </c>
      <c r="B145" s="65" t="s">
        <v>20</v>
      </c>
      <c r="C145" s="65"/>
      <c r="D145" s="64">
        <f t="shared" si="1"/>
        <v>28.03488333</v>
      </c>
      <c r="G145" s="65">
        <v>4.22773333333333</v>
      </c>
      <c r="H145" s="65">
        <v>0.2288</v>
      </c>
      <c r="I145" s="65">
        <v>0.0</v>
      </c>
      <c r="J145" s="65">
        <v>0.0</v>
      </c>
      <c r="K145" s="65">
        <v>0.386566666666667</v>
      </c>
      <c r="N145" s="65">
        <v>1.67305</v>
      </c>
      <c r="Q145" s="65">
        <v>5.7073</v>
      </c>
      <c r="R145" s="65">
        <v>2.4909</v>
      </c>
      <c r="S145" s="65">
        <v>0.300816666666667</v>
      </c>
      <c r="T145" s="65">
        <v>0.0</v>
      </c>
      <c r="U145" s="65">
        <v>0.2976</v>
      </c>
      <c r="X145" s="65">
        <v>3.35146666666667</v>
      </c>
      <c r="Y145" s="65">
        <v>0.380583333333333</v>
      </c>
      <c r="Z145" s="65">
        <v>0.0</v>
      </c>
      <c r="AA145" s="65">
        <v>0.0</v>
      </c>
      <c r="AB145" s="65">
        <v>0.0</v>
      </c>
      <c r="AE145" s="65">
        <v>0.111366666666667</v>
      </c>
      <c r="AF145" s="65">
        <v>0.79775</v>
      </c>
      <c r="AG145" s="65">
        <v>0.0</v>
      </c>
      <c r="AH145" s="65">
        <v>0.0</v>
      </c>
      <c r="AI145" s="65">
        <v>0.0</v>
      </c>
      <c r="AL145" s="65">
        <v>1.2729</v>
      </c>
      <c r="AM145" s="65">
        <v>1.21098333333333</v>
      </c>
      <c r="AN145" s="65">
        <v>1.14778333333333</v>
      </c>
      <c r="AQ145" s="65">
        <v>1.57438333333333</v>
      </c>
      <c r="AR145" s="65">
        <v>0.326</v>
      </c>
      <c r="AU145" s="65">
        <v>2.5489</v>
      </c>
    </row>
    <row r="146">
      <c r="A146" s="119" t="s">
        <v>7</v>
      </c>
      <c r="B146" s="119" t="s">
        <v>20</v>
      </c>
      <c r="C146" s="119"/>
      <c r="D146" s="120">
        <f t="shared" si="1"/>
        <v>0</v>
      </c>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c r="AA146" s="120"/>
      <c r="AB146" s="120"/>
      <c r="AC146" s="120"/>
      <c r="AD146" s="120"/>
      <c r="AE146" s="120"/>
      <c r="AF146" s="120"/>
      <c r="AG146" s="120"/>
      <c r="AH146" s="120"/>
      <c r="AI146" s="120"/>
      <c r="AJ146" s="120"/>
      <c r="AK146" s="120"/>
      <c r="AL146" s="120"/>
      <c r="AM146" s="120"/>
      <c r="AN146" s="120"/>
      <c r="AO146" s="120"/>
      <c r="AP146" s="120"/>
      <c r="AQ146" s="120"/>
      <c r="AR146" s="120"/>
      <c r="AS146" s="120"/>
      <c r="AT146" s="120"/>
      <c r="AU146" s="120"/>
      <c r="AV146" s="120"/>
      <c r="AW146" s="120"/>
      <c r="AX146" s="120"/>
      <c r="AY146" s="120"/>
      <c r="AZ146" s="120"/>
      <c r="BA146" s="120"/>
      <c r="BB146" s="120"/>
      <c r="BC146" s="120"/>
      <c r="BD146" s="120"/>
      <c r="BE146" s="120"/>
      <c r="BF146" s="120"/>
      <c r="BG146" s="120"/>
      <c r="BH146" s="120"/>
      <c r="BI146" s="120"/>
      <c r="BJ146" s="120"/>
      <c r="BK146" s="120"/>
      <c r="BL146" s="120"/>
      <c r="BM146" s="120"/>
      <c r="BN146" s="120"/>
      <c r="BO146" s="120"/>
      <c r="BP146" s="120"/>
      <c r="BQ146" s="120"/>
      <c r="BR146" s="120"/>
      <c r="BS146" s="120"/>
      <c r="BT146" s="120"/>
      <c r="BU146" s="120"/>
      <c r="BV146" s="120"/>
      <c r="BW146" s="120"/>
      <c r="BX146" s="120"/>
      <c r="BY146" s="120"/>
      <c r="BZ146" s="120"/>
      <c r="CA146" s="120"/>
      <c r="CB146" s="120"/>
      <c r="CC146" s="120"/>
      <c r="CD146" s="120"/>
      <c r="CE146" s="120"/>
      <c r="CF146" s="120"/>
      <c r="CG146" s="120"/>
      <c r="CH146" s="120"/>
      <c r="CI146" s="120"/>
      <c r="CJ146" s="120"/>
      <c r="CK146" s="120"/>
      <c r="CL146" s="120"/>
      <c r="CM146" s="120"/>
      <c r="CN146" s="120"/>
      <c r="CO146" s="120"/>
      <c r="CP146" s="120"/>
      <c r="CQ146" s="120"/>
      <c r="CR146" s="120"/>
      <c r="CS146" s="120"/>
      <c r="CT146" s="120"/>
      <c r="CU146" s="120"/>
      <c r="CV146" s="120"/>
      <c r="CW146" s="120"/>
      <c r="CX146" s="120"/>
      <c r="CY146" s="120"/>
      <c r="CZ146" s="120"/>
      <c r="DA146" s="120"/>
      <c r="DB146" s="120"/>
      <c r="DC146" s="120"/>
      <c r="DD146" s="120"/>
      <c r="DE146" s="120"/>
      <c r="DF146" s="120"/>
      <c r="DG146" s="120"/>
      <c r="DH146" s="120"/>
      <c r="DI146" s="120"/>
      <c r="DJ146" s="120"/>
      <c r="DK146" s="120"/>
      <c r="DL146" s="120"/>
      <c r="DM146" s="120"/>
      <c r="DN146" s="120"/>
      <c r="DO146" s="120"/>
      <c r="DP146" s="120"/>
      <c r="DQ146" s="120"/>
      <c r="DR146" s="120"/>
      <c r="DS146" s="120"/>
      <c r="DT146" s="120"/>
      <c r="DU146" s="120"/>
      <c r="DV146" s="120"/>
      <c r="DW146" s="120"/>
      <c r="DX146" s="120"/>
      <c r="DY146" s="120"/>
      <c r="DZ146" s="120"/>
      <c r="EA146" s="120"/>
      <c r="EB146" s="120"/>
      <c r="EC146" s="120"/>
      <c r="ED146" s="120"/>
      <c r="EE146" s="120"/>
      <c r="EF146" s="120"/>
      <c r="EG146" s="120"/>
      <c r="EH146" s="120"/>
      <c r="EI146" s="120"/>
      <c r="EJ146" s="120"/>
      <c r="EK146" s="120"/>
      <c r="EL146" s="120"/>
      <c r="EM146" s="120"/>
      <c r="EN146" s="120"/>
      <c r="EO146" s="120"/>
      <c r="EP146" s="120"/>
      <c r="EQ146" s="120"/>
      <c r="ER146" s="120"/>
      <c r="ES146" s="120"/>
      <c r="ET146" s="120"/>
      <c r="EU146" s="120"/>
      <c r="EV146" s="120"/>
      <c r="EW146" s="120"/>
      <c r="EX146" s="120"/>
      <c r="EY146" s="120"/>
      <c r="EZ146" s="120"/>
      <c r="FA146" s="120"/>
      <c r="FB146" s="120"/>
      <c r="FC146" s="120"/>
      <c r="FD146" s="120"/>
      <c r="FE146" s="120"/>
      <c r="FF146" s="120"/>
      <c r="FG146" s="120"/>
      <c r="FH146" s="120"/>
      <c r="FI146" s="120"/>
      <c r="FJ146" s="120"/>
      <c r="FK146" s="120"/>
      <c r="FL146" s="120"/>
      <c r="FM146" s="120"/>
      <c r="FN146" s="120"/>
      <c r="FO146" s="120"/>
      <c r="FP146" s="120"/>
      <c r="FQ146" s="120"/>
      <c r="FR146" s="120"/>
      <c r="FS146" s="120"/>
      <c r="FT146" s="120"/>
      <c r="FU146" s="120"/>
      <c r="FV146" s="120"/>
      <c r="FW146" s="120"/>
      <c r="FX146" s="120"/>
      <c r="FY146" s="120"/>
      <c r="FZ146" s="120"/>
      <c r="GA146" s="120"/>
      <c r="GB146" s="120"/>
      <c r="GC146" s="120"/>
      <c r="GD146" s="120"/>
      <c r="GE146" s="120"/>
      <c r="GF146" s="120"/>
      <c r="GG146" s="120"/>
      <c r="GH146" s="120"/>
      <c r="GI146" s="120"/>
      <c r="GJ146" s="120"/>
      <c r="GK146" s="120"/>
      <c r="GL146" s="120"/>
      <c r="GM146" s="120"/>
      <c r="GN146" s="120"/>
      <c r="GO146" s="120"/>
      <c r="GP146" s="120"/>
      <c r="GQ146" s="120"/>
      <c r="GR146" s="120"/>
      <c r="GS146" s="120"/>
      <c r="GT146" s="120"/>
      <c r="GU146" s="120"/>
      <c r="GV146" s="120"/>
      <c r="GW146" s="120"/>
      <c r="GX146" s="120"/>
      <c r="GY146" s="120"/>
      <c r="GZ146" s="120"/>
      <c r="HA146" s="120"/>
      <c r="HB146" s="120"/>
      <c r="HC146" s="120"/>
      <c r="HD146" s="120"/>
      <c r="HE146" s="120"/>
      <c r="HF146" s="120"/>
      <c r="HG146" s="120"/>
      <c r="HH146" s="120"/>
      <c r="HI146" s="120"/>
      <c r="HJ146" s="120"/>
      <c r="HK146" s="120"/>
      <c r="HL146" s="120"/>
      <c r="HM146" s="120"/>
      <c r="HN146" s="120"/>
      <c r="HO146" s="120"/>
      <c r="HP146" s="120"/>
      <c r="HQ146" s="120"/>
      <c r="HR146" s="120"/>
      <c r="HS146" s="120"/>
      <c r="HT146" s="120"/>
      <c r="HU146" s="120"/>
      <c r="HV146" s="120"/>
      <c r="HW146" s="120"/>
      <c r="HX146" s="120"/>
      <c r="HY146" s="120"/>
      <c r="HZ146" s="120"/>
      <c r="IA146" s="120"/>
      <c r="IB146" s="120"/>
      <c r="IC146" s="120"/>
      <c r="ID146" s="120"/>
      <c r="IE146" s="120"/>
      <c r="IF146" s="120"/>
      <c r="IG146" s="120"/>
      <c r="IH146" s="120"/>
      <c r="II146" s="120"/>
      <c r="IJ146" s="120"/>
      <c r="IK146" s="120"/>
      <c r="IL146" s="120"/>
      <c r="IM146" s="120"/>
      <c r="IN146" s="120"/>
      <c r="IO146" s="120"/>
      <c r="IP146" s="120"/>
      <c r="IQ146" s="120"/>
      <c r="IR146" s="120"/>
      <c r="IS146" s="120"/>
      <c r="IT146" s="120"/>
      <c r="IU146" s="120"/>
      <c r="IV146" s="120"/>
      <c r="IW146" s="120"/>
      <c r="IX146" s="120"/>
      <c r="IY146" s="120"/>
      <c r="IZ146" s="120"/>
      <c r="JA146" s="120"/>
      <c r="JB146" s="120"/>
      <c r="JC146" s="120"/>
      <c r="JD146" s="120"/>
      <c r="JE146" s="120"/>
      <c r="JF146" s="120"/>
      <c r="JG146" s="120"/>
      <c r="JH146" s="120"/>
      <c r="JI146" s="120"/>
      <c r="JJ146" s="120"/>
      <c r="JK146" s="120"/>
      <c r="JL146" s="120"/>
      <c r="JM146" s="120"/>
      <c r="JN146" s="120"/>
      <c r="JO146" s="120"/>
      <c r="JP146" s="120"/>
      <c r="JQ146" s="120"/>
      <c r="JR146" s="120"/>
      <c r="JS146" s="120"/>
      <c r="JT146" s="120"/>
      <c r="JU146" s="120"/>
      <c r="JV146" s="120"/>
      <c r="JW146" s="120"/>
      <c r="JX146" s="120"/>
      <c r="JY146" s="120"/>
      <c r="JZ146" s="120"/>
      <c r="KA146" s="120"/>
      <c r="KB146" s="120"/>
      <c r="KC146" s="120"/>
      <c r="KD146" s="120"/>
      <c r="KE146" s="120"/>
      <c r="KF146" s="120"/>
      <c r="KG146" s="120"/>
      <c r="KH146" s="120"/>
      <c r="KI146" s="120"/>
      <c r="KJ146" s="120"/>
      <c r="KK146" s="120"/>
      <c r="KL146" s="120"/>
      <c r="KM146" s="120"/>
      <c r="KN146" s="120"/>
      <c r="KO146" s="120"/>
      <c r="KP146" s="120"/>
      <c r="KQ146" s="120"/>
      <c r="KR146" s="120"/>
      <c r="KS146" s="120"/>
      <c r="KT146" s="120"/>
      <c r="KU146" s="120"/>
      <c r="KV146" s="120"/>
      <c r="KW146" s="120"/>
      <c r="KX146" s="120"/>
      <c r="KY146" s="120"/>
      <c r="KZ146" s="120"/>
      <c r="LA146" s="120"/>
      <c r="LB146" s="120"/>
      <c r="LC146" s="120"/>
      <c r="LD146" s="120"/>
      <c r="LE146" s="120"/>
      <c r="LF146" s="120"/>
      <c r="LG146" s="120"/>
      <c r="LH146" s="120"/>
      <c r="LI146" s="120"/>
      <c r="LJ146" s="120"/>
      <c r="LK146" s="120"/>
      <c r="LL146" s="120"/>
      <c r="LM146" s="120"/>
      <c r="LN146" s="120"/>
      <c r="LO146" s="120"/>
      <c r="LP146" s="120"/>
      <c r="LQ146" s="120"/>
      <c r="LR146" s="120"/>
      <c r="LS146" s="120"/>
      <c r="LT146" s="120"/>
      <c r="LU146" s="120"/>
      <c r="LV146" s="120"/>
      <c r="LW146" s="120"/>
      <c r="LX146" s="120"/>
      <c r="LY146" s="120"/>
      <c r="LZ146" s="120"/>
      <c r="MA146" s="120"/>
      <c r="MB146" s="120"/>
      <c r="MC146" s="120"/>
      <c r="MD146" s="120"/>
      <c r="ME146" s="120"/>
      <c r="MF146" s="120"/>
      <c r="MG146" s="120"/>
      <c r="MH146" s="120"/>
      <c r="MI146" s="120"/>
      <c r="MJ146" s="120"/>
      <c r="MK146" s="120"/>
      <c r="ML146" s="120"/>
      <c r="MM146" s="120"/>
      <c r="MN146" s="120"/>
      <c r="MO146" s="120"/>
      <c r="MP146" s="120"/>
      <c r="MQ146" s="120"/>
      <c r="MR146" s="120"/>
      <c r="MS146" s="120"/>
      <c r="MT146" s="120"/>
      <c r="MU146" s="120"/>
      <c r="MV146" s="120"/>
      <c r="MW146" s="120"/>
      <c r="MX146" s="120"/>
      <c r="MY146" s="120"/>
      <c r="MZ146" s="120"/>
      <c r="NA146" s="120"/>
      <c r="NB146" s="120"/>
      <c r="NC146" s="120"/>
      <c r="ND146" s="120"/>
      <c r="NE146" s="120"/>
      <c r="NF146" s="120"/>
      <c r="NG146" s="120"/>
      <c r="NH146" s="120"/>
      <c r="NI146" s="120"/>
      <c r="NJ146" s="120"/>
      <c r="NK146" s="120"/>
      <c r="NL146" s="120"/>
      <c r="NM146" s="120"/>
      <c r="NN146" s="120"/>
      <c r="NO146" s="120"/>
      <c r="NP146" s="120"/>
      <c r="NQ146" s="120"/>
      <c r="NR146" s="120"/>
      <c r="NS146" s="120"/>
      <c r="NT146" s="120"/>
      <c r="NU146" s="120"/>
      <c r="NV146" s="120"/>
      <c r="NW146" s="120"/>
      <c r="NX146" s="120"/>
      <c r="NY146" s="120"/>
      <c r="NZ146" s="120"/>
      <c r="OA146" s="120"/>
      <c r="OB146" s="120"/>
      <c r="OC146" s="120"/>
      <c r="OD146" s="120"/>
      <c r="OE146" s="120"/>
      <c r="OF146" s="120"/>
      <c r="OG146" s="120"/>
      <c r="OH146" s="120"/>
      <c r="OI146" s="120"/>
      <c r="OJ146" s="120"/>
      <c r="OK146" s="120"/>
      <c r="OL146" s="120"/>
      <c r="OM146" s="120"/>
      <c r="ON146" s="120"/>
      <c r="OO146" s="120"/>
      <c r="OP146" s="120"/>
      <c r="OQ146" s="120"/>
      <c r="OR146" s="120"/>
      <c r="OS146" s="120"/>
      <c r="OT146" s="120"/>
      <c r="OU146" s="120"/>
      <c r="OV146" s="120"/>
      <c r="OW146" s="120"/>
      <c r="OX146" s="120"/>
      <c r="OY146" s="120"/>
      <c r="OZ146" s="120"/>
      <c r="PA146" s="120"/>
      <c r="PB146" s="120"/>
      <c r="PC146" s="120"/>
      <c r="PD146" s="120"/>
      <c r="PE146" s="120"/>
      <c r="PF146" s="120"/>
      <c r="PG146" s="120"/>
      <c r="PH146" s="120"/>
      <c r="PI146" s="120"/>
      <c r="PJ146" s="120"/>
      <c r="PK146" s="120"/>
      <c r="PL146" s="120"/>
      <c r="PM146" s="120"/>
      <c r="PN146" s="120"/>
      <c r="PO146" s="120"/>
      <c r="PP146" s="120"/>
      <c r="PQ146" s="120"/>
      <c r="PR146" s="120"/>
      <c r="PS146" s="120"/>
      <c r="PT146" s="120"/>
      <c r="PU146" s="120"/>
      <c r="PV146" s="120"/>
      <c r="PW146" s="120"/>
      <c r="PX146" s="120"/>
      <c r="PY146" s="120"/>
      <c r="PZ146" s="120"/>
      <c r="QA146" s="120"/>
      <c r="QB146" s="120"/>
      <c r="QC146" s="120"/>
      <c r="QD146" s="120"/>
      <c r="QE146" s="120"/>
      <c r="QF146" s="120"/>
      <c r="QG146" s="120"/>
      <c r="QH146" s="120"/>
      <c r="QI146" s="120"/>
      <c r="QJ146" s="120"/>
      <c r="QK146" s="120"/>
      <c r="QL146" s="120"/>
      <c r="QM146" s="120"/>
      <c r="QN146" s="120"/>
      <c r="QO146" s="120"/>
      <c r="QP146" s="120"/>
      <c r="QQ146" s="120"/>
      <c r="QR146" s="120"/>
      <c r="QS146" s="120"/>
      <c r="QT146" s="120"/>
      <c r="QU146" s="120"/>
      <c r="QV146" s="120"/>
      <c r="QW146" s="120"/>
      <c r="QX146" s="120"/>
      <c r="QY146" s="120"/>
      <c r="QZ146" s="120"/>
      <c r="RA146" s="120"/>
      <c r="RB146" s="120"/>
      <c r="RC146" s="120"/>
      <c r="RD146" s="120"/>
      <c r="RE146" s="120"/>
      <c r="RF146" s="120"/>
      <c r="RG146" s="120"/>
      <c r="RH146" s="120"/>
      <c r="RI146" s="120"/>
      <c r="RJ146" s="120"/>
      <c r="RK146" s="120"/>
      <c r="RL146" s="120"/>
      <c r="RM146" s="120"/>
      <c r="RN146" s="120"/>
      <c r="RO146" s="120"/>
      <c r="RP146" s="120"/>
      <c r="RQ146" s="120"/>
      <c r="RR146" s="120"/>
      <c r="RS146" s="120"/>
      <c r="RT146" s="120"/>
      <c r="RU146" s="120"/>
      <c r="RV146" s="120"/>
      <c r="RW146" s="120"/>
      <c r="RX146" s="120"/>
      <c r="RY146" s="120"/>
      <c r="RZ146" s="120"/>
      <c r="SA146" s="120"/>
      <c r="SB146" s="120"/>
      <c r="SC146" s="120"/>
      <c r="SD146" s="120"/>
      <c r="SE146" s="120"/>
      <c r="SF146" s="120"/>
      <c r="SG146" s="120"/>
      <c r="SH146" s="120"/>
      <c r="SI146" s="120"/>
      <c r="SJ146" s="120"/>
      <c r="SK146" s="120"/>
      <c r="SL146" s="120"/>
      <c r="SM146" s="120"/>
      <c r="SN146" s="120"/>
      <c r="SO146" s="120"/>
      <c r="SP146" s="120"/>
      <c r="SQ146" s="120"/>
      <c r="SR146" s="120"/>
      <c r="SS146" s="120"/>
      <c r="ST146" s="120"/>
      <c r="SU146" s="120"/>
      <c r="SV146" s="120"/>
      <c r="SW146" s="120"/>
      <c r="SX146" s="120"/>
      <c r="SY146" s="120"/>
      <c r="SZ146" s="120"/>
      <c r="TA146" s="120"/>
      <c r="TB146" s="120"/>
      <c r="TC146" s="120"/>
      <c r="TD146" s="120"/>
      <c r="TE146" s="120"/>
      <c r="TF146" s="120"/>
      <c r="TG146" s="120"/>
      <c r="TH146" s="120"/>
      <c r="TI146" s="120"/>
      <c r="TJ146" s="120"/>
      <c r="TK146" s="120"/>
      <c r="TL146" s="120"/>
      <c r="TM146" s="120"/>
      <c r="TN146" s="120"/>
      <c r="TO146" s="120"/>
      <c r="TP146" s="120"/>
      <c r="TQ146" s="120"/>
      <c r="TR146" s="120"/>
      <c r="TS146" s="120"/>
      <c r="TT146" s="120"/>
      <c r="TU146" s="120"/>
      <c r="TV146" s="120"/>
      <c r="TW146" s="120"/>
      <c r="TX146" s="120"/>
      <c r="TY146" s="120"/>
      <c r="TZ146" s="120"/>
      <c r="UA146" s="120"/>
      <c r="UB146" s="120"/>
      <c r="UC146" s="120"/>
      <c r="UD146" s="120"/>
      <c r="UE146" s="120"/>
      <c r="UF146" s="120"/>
      <c r="UG146" s="120"/>
      <c r="UH146" s="120"/>
      <c r="UI146" s="120"/>
      <c r="UJ146" s="120"/>
      <c r="UK146" s="120"/>
      <c r="UL146" s="120"/>
      <c r="UM146" s="120"/>
      <c r="UN146" s="120"/>
      <c r="UO146" s="120"/>
      <c r="UP146" s="120"/>
      <c r="UQ146" s="120"/>
      <c r="UR146" s="120"/>
      <c r="US146" s="120"/>
      <c r="UT146" s="120"/>
      <c r="UU146" s="120"/>
      <c r="UV146" s="120"/>
      <c r="UW146" s="120"/>
      <c r="UX146" s="120"/>
      <c r="UY146" s="120"/>
      <c r="UZ146" s="120"/>
      <c r="VA146" s="120"/>
      <c r="VB146" s="120"/>
      <c r="VC146" s="120"/>
      <c r="VD146" s="120"/>
      <c r="VE146" s="120"/>
      <c r="VF146" s="120"/>
      <c r="VG146" s="120"/>
      <c r="VH146" s="120"/>
      <c r="VI146" s="120"/>
      <c r="VJ146" s="120"/>
      <c r="VK146" s="120"/>
      <c r="VL146" s="120"/>
      <c r="VM146" s="120"/>
      <c r="VN146" s="120"/>
      <c r="VO146" s="120"/>
      <c r="VP146" s="120"/>
      <c r="VQ146" s="120"/>
      <c r="VR146" s="120"/>
      <c r="VS146" s="120"/>
      <c r="VT146" s="120"/>
      <c r="VU146" s="120"/>
      <c r="VV146" s="120"/>
      <c r="VW146" s="120"/>
      <c r="VX146" s="120"/>
      <c r="VY146" s="120"/>
      <c r="VZ146" s="120"/>
      <c r="WA146" s="120"/>
      <c r="WB146" s="120"/>
      <c r="WC146" s="120"/>
      <c r="WD146" s="120"/>
      <c r="WE146" s="120"/>
      <c r="WF146" s="120"/>
      <c r="WG146" s="120"/>
      <c r="WH146" s="120"/>
      <c r="WI146" s="120"/>
      <c r="WJ146" s="120"/>
      <c r="WK146" s="120"/>
      <c r="WL146" s="120"/>
      <c r="WM146" s="120"/>
      <c r="WN146" s="120"/>
      <c r="WO146" s="120"/>
      <c r="WP146" s="120"/>
      <c r="WQ146" s="120"/>
      <c r="WR146" s="120"/>
      <c r="WS146" s="120"/>
      <c r="WT146" s="120"/>
      <c r="WU146" s="120"/>
      <c r="WV146" s="120"/>
      <c r="WW146" s="120"/>
      <c r="WX146" s="120"/>
      <c r="WY146" s="120"/>
      <c r="WZ146" s="120"/>
      <c r="XA146" s="120"/>
      <c r="XB146" s="120"/>
      <c r="XC146" s="120"/>
      <c r="XD146" s="120"/>
      <c r="XE146" s="120"/>
      <c r="XF146" s="120"/>
      <c r="XG146" s="120"/>
      <c r="XH146" s="120"/>
      <c r="XI146" s="120"/>
      <c r="XJ146" s="120"/>
      <c r="XK146" s="120"/>
      <c r="XL146" s="120"/>
      <c r="XM146" s="120"/>
      <c r="XN146" s="120"/>
      <c r="XO146" s="120"/>
      <c r="XP146" s="120"/>
      <c r="XQ146" s="120"/>
      <c r="XR146" s="120"/>
      <c r="XS146" s="120"/>
      <c r="XT146" s="120"/>
      <c r="XU146" s="120"/>
      <c r="XV146" s="120"/>
      <c r="XW146" s="120"/>
      <c r="XX146" s="120"/>
      <c r="XY146" s="120"/>
      <c r="XZ146" s="120"/>
      <c r="YA146" s="120"/>
      <c r="YB146" s="120"/>
      <c r="YC146" s="120"/>
      <c r="YD146" s="120"/>
      <c r="YE146" s="120"/>
      <c r="YF146" s="120"/>
      <c r="YG146" s="120"/>
      <c r="YH146" s="120"/>
      <c r="YI146" s="120"/>
      <c r="YJ146" s="120"/>
      <c r="YK146" s="120"/>
      <c r="YL146" s="120"/>
      <c r="YM146" s="120"/>
      <c r="YN146" s="120"/>
      <c r="YO146" s="120"/>
      <c r="YP146" s="120"/>
      <c r="YQ146" s="120"/>
      <c r="YR146" s="120"/>
      <c r="YS146" s="120"/>
      <c r="YT146" s="120"/>
      <c r="YU146" s="120"/>
      <c r="YV146" s="120"/>
      <c r="YW146" s="120"/>
      <c r="YX146" s="120"/>
      <c r="YY146" s="120"/>
      <c r="YZ146" s="120"/>
      <c r="ZA146" s="120"/>
      <c r="ZB146" s="120"/>
      <c r="ZC146" s="120"/>
      <c r="ZD146" s="120"/>
      <c r="ZE146" s="120"/>
      <c r="ZF146" s="120"/>
      <c r="ZG146" s="120"/>
      <c r="ZH146" s="120"/>
      <c r="ZI146" s="120"/>
      <c r="ZJ146" s="120"/>
      <c r="ZK146" s="120"/>
      <c r="ZL146" s="120"/>
      <c r="ZM146" s="120"/>
      <c r="ZN146" s="120"/>
      <c r="ZO146" s="120"/>
      <c r="ZP146" s="120"/>
      <c r="ZQ146" s="120"/>
      <c r="ZR146" s="120"/>
      <c r="ZS146" s="120"/>
      <c r="ZT146" s="120"/>
      <c r="ZU146" s="120"/>
      <c r="ZV146" s="120"/>
      <c r="ZW146" s="120"/>
      <c r="ZX146" s="120"/>
      <c r="ZY146" s="120"/>
      <c r="ZZ146" s="120"/>
      <c r="AAA146" s="120"/>
      <c r="AAB146" s="120"/>
      <c r="AAC146" s="120"/>
      <c r="AAD146" s="120"/>
      <c r="AAE146" s="120"/>
      <c r="AAF146" s="120"/>
      <c r="AAG146" s="120"/>
      <c r="AAH146" s="120"/>
      <c r="AAI146" s="120"/>
      <c r="AAJ146" s="120"/>
      <c r="AAK146" s="120"/>
      <c r="AAL146" s="120"/>
      <c r="AAM146" s="120"/>
      <c r="AAN146" s="120"/>
      <c r="AAO146" s="120"/>
      <c r="AAP146" s="120"/>
      <c r="AAQ146" s="120"/>
      <c r="AAR146" s="120"/>
      <c r="AAS146" s="120"/>
      <c r="AAT146" s="120"/>
      <c r="AAU146" s="120"/>
      <c r="AAV146" s="120"/>
      <c r="AAW146" s="120"/>
      <c r="AAX146" s="120"/>
      <c r="AAY146" s="120"/>
      <c r="AAZ146" s="120"/>
      <c r="ABA146" s="120"/>
      <c r="ABB146" s="120"/>
      <c r="ABC146" s="120"/>
      <c r="ABD146" s="120"/>
      <c r="ABE146" s="120"/>
      <c r="ABF146" s="120"/>
      <c r="ABG146" s="120"/>
      <c r="ABH146" s="120"/>
      <c r="ABI146" s="120"/>
      <c r="ABJ146" s="120"/>
      <c r="ABK146" s="120"/>
      <c r="ABL146" s="120"/>
      <c r="ABM146" s="120"/>
      <c r="ABN146" s="120"/>
      <c r="ABO146" s="120"/>
      <c r="ABP146" s="120"/>
      <c r="ABQ146" s="120"/>
      <c r="ABR146" s="120"/>
      <c r="ABS146" s="120"/>
      <c r="ABT146" s="120"/>
      <c r="ABU146" s="120"/>
      <c r="ABV146" s="120"/>
      <c r="ABW146" s="120"/>
      <c r="ABX146" s="120"/>
      <c r="ABY146" s="120"/>
      <c r="ABZ146" s="120"/>
      <c r="ACA146" s="120"/>
      <c r="ACB146" s="120"/>
      <c r="ACC146" s="120"/>
      <c r="ACD146" s="120"/>
      <c r="ACE146" s="120"/>
      <c r="ACF146" s="120"/>
      <c r="ACG146" s="120"/>
      <c r="ACH146" s="120"/>
      <c r="ACI146" s="120"/>
      <c r="ACJ146" s="120"/>
      <c r="ACK146" s="120"/>
      <c r="ACL146" s="120"/>
      <c r="ACM146" s="120"/>
      <c r="ACN146" s="120"/>
      <c r="ACO146" s="120"/>
      <c r="ACP146" s="120"/>
      <c r="ACQ146" s="120"/>
      <c r="ACR146" s="120"/>
      <c r="ACS146" s="120"/>
      <c r="ACT146" s="120"/>
      <c r="ACU146" s="120"/>
      <c r="ACV146" s="120"/>
      <c r="ACW146" s="120"/>
      <c r="ACX146" s="120"/>
      <c r="ACY146" s="120"/>
      <c r="ACZ146" s="120"/>
      <c r="ADA146" s="120"/>
      <c r="ADB146" s="120"/>
      <c r="ADC146" s="120"/>
      <c r="ADD146" s="120"/>
      <c r="ADE146" s="120"/>
      <c r="ADF146" s="120"/>
      <c r="ADG146" s="120"/>
      <c r="ADH146" s="120"/>
      <c r="ADI146" s="120"/>
      <c r="ADJ146" s="120"/>
      <c r="ADK146" s="120"/>
      <c r="ADL146" s="120"/>
      <c r="ADM146" s="120"/>
      <c r="ADN146" s="120"/>
      <c r="ADO146" s="120"/>
      <c r="ADP146" s="120"/>
      <c r="ADQ146" s="120"/>
      <c r="ADR146" s="120"/>
      <c r="ADS146" s="120"/>
      <c r="ADT146" s="120"/>
      <c r="ADU146" s="120"/>
      <c r="ADV146" s="120"/>
      <c r="ADW146" s="120"/>
      <c r="ADX146" s="120"/>
      <c r="ADY146" s="120"/>
      <c r="ADZ146" s="120"/>
      <c r="AEA146" s="120"/>
      <c r="AEB146" s="120"/>
      <c r="AEC146" s="120"/>
      <c r="AED146" s="120"/>
      <c r="AEE146" s="120"/>
      <c r="AEF146" s="120"/>
      <c r="AEG146" s="120"/>
      <c r="AEH146" s="120"/>
      <c r="AEI146" s="120"/>
      <c r="AEJ146" s="120"/>
      <c r="AEK146" s="120"/>
      <c r="AEL146" s="120"/>
      <c r="AEM146" s="120"/>
      <c r="AEN146" s="120"/>
      <c r="AEO146" s="120"/>
      <c r="AEP146" s="120"/>
      <c r="AEQ146" s="120"/>
      <c r="AER146" s="120"/>
      <c r="AES146" s="120"/>
      <c r="AET146" s="120"/>
      <c r="AEU146" s="120"/>
      <c r="AEV146" s="120"/>
      <c r="AEW146" s="120"/>
      <c r="AEX146" s="120"/>
      <c r="AEY146" s="120"/>
      <c r="AEZ146" s="120"/>
      <c r="AFA146" s="120"/>
      <c r="AFB146" s="120"/>
      <c r="AFC146" s="120"/>
      <c r="AFD146" s="120"/>
      <c r="AFE146" s="120"/>
      <c r="AFF146" s="120"/>
      <c r="AFG146" s="120"/>
      <c r="AFH146" s="120"/>
      <c r="AFI146" s="120"/>
      <c r="AFJ146" s="120"/>
      <c r="AFK146" s="120"/>
      <c r="AFL146" s="120"/>
      <c r="AFM146" s="120"/>
      <c r="AFN146" s="120"/>
      <c r="AFO146" s="120"/>
      <c r="AFP146" s="120"/>
      <c r="AFQ146" s="120"/>
      <c r="AFR146" s="120"/>
      <c r="AFS146" s="120"/>
      <c r="AFT146" s="120"/>
      <c r="AFU146" s="120"/>
      <c r="AFV146" s="120"/>
      <c r="AFW146" s="120"/>
      <c r="AFX146" s="120"/>
      <c r="AFY146" s="120"/>
      <c r="AFZ146" s="120"/>
      <c r="AGA146" s="120"/>
      <c r="AGB146" s="120"/>
      <c r="AGC146" s="120"/>
      <c r="AGD146" s="120"/>
      <c r="AGE146" s="120"/>
      <c r="AGF146" s="120"/>
      <c r="AGG146" s="120"/>
      <c r="AGH146" s="120"/>
      <c r="AGI146" s="120"/>
      <c r="AGJ146" s="120"/>
      <c r="AGK146" s="120"/>
      <c r="AGL146" s="120"/>
      <c r="AGM146" s="120"/>
      <c r="AGN146" s="120"/>
      <c r="AGO146" s="120"/>
      <c r="AGP146" s="120"/>
      <c r="AGQ146" s="120"/>
      <c r="AGR146" s="120"/>
      <c r="AGS146" s="120"/>
      <c r="AGT146" s="120"/>
      <c r="AGU146" s="120"/>
      <c r="AGV146" s="120"/>
      <c r="AGW146" s="120"/>
      <c r="AGX146" s="120"/>
      <c r="AGY146" s="120"/>
      <c r="AGZ146" s="120"/>
      <c r="AHA146" s="120"/>
      <c r="AHB146" s="120"/>
      <c r="AHC146" s="120"/>
      <c r="AHD146" s="120"/>
      <c r="AHE146" s="120"/>
      <c r="AHF146" s="120"/>
      <c r="AHG146" s="120"/>
      <c r="AHH146" s="120"/>
      <c r="AHI146" s="120"/>
      <c r="AHJ146" s="120"/>
      <c r="AHK146" s="120"/>
      <c r="AHL146" s="120"/>
      <c r="AHM146" s="120"/>
      <c r="AHN146" s="120"/>
      <c r="AHO146" s="120"/>
      <c r="AHP146" s="120"/>
      <c r="AHQ146" s="120"/>
      <c r="AHR146" s="120"/>
      <c r="AHS146" s="120"/>
      <c r="AHT146" s="120"/>
      <c r="AHU146" s="120"/>
      <c r="AHV146" s="120"/>
      <c r="AHW146" s="120"/>
      <c r="AHX146" s="120"/>
      <c r="AHY146" s="120"/>
      <c r="AHZ146" s="120"/>
      <c r="AIA146" s="120"/>
      <c r="AIB146" s="120"/>
      <c r="AIC146" s="120"/>
      <c r="AID146" s="120"/>
      <c r="AIE146" s="120"/>
      <c r="AIF146" s="120"/>
      <c r="AIG146" s="120"/>
      <c r="AIH146" s="120"/>
      <c r="AII146" s="120"/>
      <c r="AIJ146" s="120"/>
      <c r="AIK146" s="120"/>
      <c r="AIL146" s="120"/>
      <c r="AIM146" s="120"/>
      <c r="AIN146" s="120"/>
      <c r="AIO146" s="120"/>
      <c r="AIP146" s="120"/>
      <c r="AIQ146" s="120"/>
      <c r="AIR146" s="120"/>
      <c r="AIS146" s="120"/>
      <c r="AIT146" s="120"/>
      <c r="AIU146" s="120"/>
      <c r="AIV146" s="120"/>
      <c r="AIW146" s="120"/>
      <c r="AIX146" s="120"/>
      <c r="AIY146" s="120"/>
      <c r="AIZ146" s="120"/>
    </row>
    <row r="147">
      <c r="A147" s="112" t="s">
        <v>7</v>
      </c>
      <c r="B147" s="112" t="s">
        <v>33</v>
      </c>
      <c r="C147" s="112"/>
      <c r="D147" s="113">
        <f t="shared" si="1"/>
        <v>503.09205</v>
      </c>
      <c r="E147" s="112">
        <v>221.65915</v>
      </c>
      <c r="F147" s="113"/>
      <c r="G147" s="113"/>
      <c r="H147" s="113"/>
      <c r="I147" s="113"/>
      <c r="J147" s="113"/>
      <c r="K147" s="113"/>
      <c r="L147" s="112">
        <v>2.74333333333333</v>
      </c>
      <c r="M147" s="112">
        <v>34.5676</v>
      </c>
      <c r="N147" s="113"/>
      <c r="O147" s="112">
        <v>0.1861</v>
      </c>
      <c r="P147" s="112">
        <v>102.03645</v>
      </c>
      <c r="Q147" s="113"/>
      <c r="R147" s="113"/>
      <c r="S147" s="113"/>
      <c r="T147" s="113"/>
      <c r="U147" s="113"/>
      <c r="V147" s="112">
        <v>2.27506666666667</v>
      </c>
      <c r="W147" s="112">
        <v>21.8551333333333</v>
      </c>
      <c r="X147" s="113"/>
      <c r="Y147" s="113"/>
      <c r="Z147" s="113"/>
      <c r="AA147" s="113"/>
      <c r="AB147" s="113"/>
      <c r="AC147" s="112">
        <v>1.23813333333333</v>
      </c>
      <c r="AD147" s="112">
        <v>33.73115</v>
      </c>
      <c r="AE147" s="113"/>
      <c r="AF147" s="113"/>
      <c r="AG147" s="113"/>
      <c r="AH147" s="113"/>
      <c r="AI147" s="113"/>
      <c r="AJ147" s="112">
        <v>0.97655</v>
      </c>
      <c r="AK147" s="112">
        <v>35.2071833333333</v>
      </c>
      <c r="AL147" s="113"/>
      <c r="AM147" s="113"/>
      <c r="AN147" s="113"/>
      <c r="AO147" s="112">
        <v>4.5768</v>
      </c>
      <c r="AP147" s="112">
        <v>7.0749</v>
      </c>
      <c r="AQ147" s="113"/>
      <c r="AR147" s="113"/>
      <c r="AS147" s="112">
        <v>0.841516666666667</v>
      </c>
      <c r="AT147" s="112">
        <v>31.8454166666667</v>
      </c>
      <c r="AU147" s="113"/>
      <c r="AV147" s="112">
        <v>2.10091666666667</v>
      </c>
      <c r="AW147" s="112">
        <v>0.17665</v>
      </c>
      <c r="AX147" s="113"/>
      <c r="AY147" s="113"/>
      <c r="AZ147" s="113"/>
      <c r="BA147" s="113"/>
      <c r="BB147" s="113"/>
      <c r="BC147" s="113"/>
      <c r="BD147" s="113"/>
      <c r="BE147" s="113"/>
      <c r="BF147" s="113"/>
      <c r="BG147" s="113"/>
      <c r="BH147" s="113"/>
      <c r="BI147" s="113"/>
      <c r="BJ147" s="113"/>
      <c r="BK147" s="113"/>
      <c r="BL147" s="113"/>
      <c r="BM147" s="113"/>
      <c r="BN147" s="113"/>
      <c r="BO147" s="113"/>
      <c r="BP147" s="113"/>
      <c r="BQ147" s="113"/>
      <c r="BR147" s="113"/>
      <c r="BS147" s="113"/>
      <c r="BT147" s="113"/>
      <c r="BU147" s="113"/>
      <c r="BV147" s="113"/>
      <c r="BW147" s="113"/>
      <c r="BX147" s="113"/>
      <c r="BY147" s="113"/>
      <c r="BZ147" s="113"/>
      <c r="CA147" s="113"/>
      <c r="CB147" s="113"/>
      <c r="CC147" s="113"/>
      <c r="CD147" s="113"/>
      <c r="CE147" s="113"/>
      <c r="CF147" s="113"/>
      <c r="CG147" s="113"/>
      <c r="CH147" s="113"/>
      <c r="CI147" s="113"/>
      <c r="CJ147" s="113"/>
      <c r="CK147" s="113"/>
      <c r="CL147" s="113"/>
      <c r="CM147" s="113"/>
      <c r="CN147" s="113"/>
      <c r="CO147" s="113"/>
      <c r="CP147" s="113"/>
      <c r="CQ147" s="113"/>
      <c r="CR147" s="113"/>
      <c r="CS147" s="113"/>
      <c r="CT147" s="113"/>
      <c r="CU147" s="113"/>
      <c r="CV147" s="113"/>
      <c r="CW147" s="113"/>
      <c r="CX147" s="113"/>
      <c r="CY147" s="113"/>
      <c r="CZ147" s="113"/>
      <c r="DA147" s="113"/>
      <c r="DB147" s="113"/>
      <c r="DC147" s="113"/>
      <c r="DD147" s="113"/>
      <c r="DE147" s="113"/>
      <c r="DF147" s="113"/>
      <c r="DG147" s="113"/>
      <c r="DH147" s="113"/>
      <c r="DI147" s="113"/>
      <c r="DJ147" s="113"/>
      <c r="DK147" s="113"/>
      <c r="DL147" s="113"/>
      <c r="DM147" s="113"/>
      <c r="DN147" s="113"/>
      <c r="DO147" s="113"/>
      <c r="DP147" s="113"/>
      <c r="DQ147" s="113"/>
      <c r="DR147" s="113"/>
      <c r="DS147" s="113"/>
      <c r="DT147" s="113"/>
      <c r="DU147" s="113"/>
      <c r="DV147" s="113"/>
      <c r="DW147" s="113"/>
      <c r="DX147" s="113"/>
      <c r="DY147" s="113"/>
      <c r="DZ147" s="113"/>
      <c r="EA147" s="113"/>
      <c r="EB147" s="113"/>
      <c r="EC147" s="113"/>
      <c r="ED147" s="113"/>
      <c r="EE147" s="113"/>
      <c r="EF147" s="113"/>
      <c r="EG147" s="113"/>
      <c r="EH147" s="113"/>
      <c r="EI147" s="113"/>
      <c r="EJ147" s="113"/>
      <c r="EK147" s="113"/>
      <c r="EL147" s="113"/>
      <c r="EM147" s="113"/>
      <c r="EN147" s="113"/>
      <c r="EO147" s="113"/>
      <c r="EP147" s="113"/>
      <c r="EQ147" s="113"/>
      <c r="ER147" s="113"/>
      <c r="ES147" s="113"/>
      <c r="ET147" s="113"/>
      <c r="EU147" s="113"/>
      <c r="EV147" s="113"/>
      <c r="EW147" s="113"/>
      <c r="EX147" s="113"/>
      <c r="EY147" s="113"/>
      <c r="EZ147" s="113"/>
      <c r="FA147" s="113"/>
      <c r="FB147" s="113"/>
      <c r="FC147" s="113"/>
      <c r="FD147" s="113"/>
      <c r="FE147" s="113"/>
      <c r="FF147" s="113"/>
      <c r="FG147" s="113"/>
      <c r="FH147" s="113"/>
      <c r="FI147" s="113"/>
      <c r="FJ147" s="113"/>
      <c r="FK147" s="113"/>
      <c r="FL147" s="113"/>
      <c r="FM147" s="113"/>
      <c r="FN147" s="113"/>
      <c r="FO147" s="113"/>
      <c r="FP147" s="113"/>
      <c r="FQ147" s="113"/>
      <c r="FR147" s="113"/>
      <c r="FS147" s="113"/>
      <c r="FT147" s="113"/>
      <c r="FU147" s="113"/>
      <c r="FV147" s="113"/>
      <c r="FW147" s="113"/>
      <c r="FX147" s="113"/>
      <c r="FY147" s="113"/>
      <c r="FZ147" s="113"/>
      <c r="GA147" s="113"/>
      <c r="GB147" s="113"/>
      <c r="GC147" s="113"/>
      <c r="GD147" s="113"/>
      <c r="GE147" s="113"/>
      <c r="GF147" s="113"/>
      <c r="GG147" s="113"/>
      <c r="GH147" s="113"/>
      <c r="GI147" s="113"/>
      <c r="GJ147" s="113"/>
      <c r="GK147" s="113"/>
      <c r="GL147" s="113"/>
      <c r="GM147" s="113"/>
      <c r="GN147" s="113"/>
      <c r="GO147" s="113"/>
      <c r="GP147" s="113"/>
      <c r="GQ147" s="113"/>
      <c r="GR147" s="113"/>
      <c r="GS147" s="113"/>
      <c r="GT147" s="113"/>
      <c r="GU147" s="113"/>
      <c r="GV147" s="113"/>
      <c r="GW147" s="113"/>
      <c r="GX147" s="113"/>
      <c r="GY147" s="113"/>
      <c r="GZ147" s="113"/>
      <c r="HA147" s="113"/>
      <c r="HB147" s="113"/>
      <c r="HC147" s="113"/>
      <c r="HD147" s="113"/>
      <c r="HE147" s="113"/>
      <c r="HF147" s="113"/>
      <c r="HG147" s="113"/>
      <c r="HH147" s="113"/>
      <c r="HI147" s="113"/>
      <c r="HJ147" s="113"/>
      <c r="HK147" s="113"/>
      <c r="HL147" s="113"/>
      <c r="HM147" s="113"/>
      <c r="HN147" s="113"/>
      <c r="HO147" s="113"/>
      <c r="HP147" s="113"/>
      <c r="HQ147" s="113"/>
      <c r="HR147" s="113"/>
      <c r="HS147" s="113"/>
      <c r="HT147" s="113"/>
      <c r="HU147" s="113"/>
      <c r="HV147" s="113"/>
      <c r="HW147" s="113"/>
      <c r="HX147" s="113"/>
      <c r="HY147" s="113"/>
      <c r="HZ147" s="113"/>
      <c r="IA147" s="113"/>
      <c r="IB147" s="113"/>
      <c r="IC147" s="113"/>
      <c r="ID147" s="113"/>
      <c r="IE147" s="113"/>
      <c r="IF147" s="113"/>
      <c r="IG147" s="113"/>
      <c r="IH147" s="113"/>
      <c r="II147" s="113"/>
      <c r="IJ147" s="113"/>
      <c r="IK147" s="113"/>
      <c r="IL147" s="113"/>
      <c r="IM147" s="113"/>
      <c r="IN147" s="113"/>
      <c r="IO147" s="113"/>
      <c r="IP147" s="113"/>
      <c r="IQ147" s="113"/>
      <c r="IR147" s="113"/>
      <c r="IS147" s="113"/>
      <c r="IT147" s="113"/>
      <c r="IU147" s="113"/>
      <c r="IV147" s="113"/>
      <c r="IW147" s="113"/>
      <c r="IX147" s="113"/>
      <c r="IY147" s="113"/>
      <c r="IZ147" s="113"/>
      <c r="JA147" s="113"/>
      <c r="JB147" s="113"/>
      <c r="JC147" s="113"/>
      <c r="JD147" s="113"/>
      <c r="JE147" s="113"/>
      <c r="JF147" s="113"/>
      <c r="JG147" s="113"/>
      <c r="JH147" s="113"/>
      <c r="JI147" s="113"/>
      <c r="JJ147" s="113"/>
      <c r="JK147" s="113"/>
      <c r="JL147" s="113"/>
      <c r="JM147" s="113"/>
      <c r="JN147" s="113"/>
      <c r="JO147" s="113"/>
      <c r="JP147" s="113"/>
      <c r="JQ147" s="113"/>
      <c r="JR147" s="113"/>
      <c r="JS147" s="113"/>
      <c r="JT147" s="113"/>
      <c r="JU147" s="113"/>
      <c r="JV147" s="113"/>
      <c r="JW147" s="113"/>
      <c r="JX147" s="113"/>
      <c r="JY147" s="113"/>
      <c r="JZ147" s="113"/>
      <c r="KA147" s="113"/>
      <c r="KB147" s="113"/>
      <c r="KC147" s="113"/>
      <c r="KD147" s="113"/>
      <c r="KE147" s="113"/>
      <c r="KF147" s="113"/>
      <c r="KG147" s="113"/>
      <c r="KH147" s="113"/>
      <c r="KI147" s="113"/>
      <c r="KJ147" s="113"/>
      <c r="KK147" s="113"/>
      <c r="KL147" s="113"/>
      <c r="KM147" s="113"/>
      <c r="KN147" s="113"/>
      <c r="KO147" s="113"/>
      <c r="KP147" s="113"/>
      <c r="KQ147" s="113"/>
      <c r="KR147" s="113"/>
      <c r="KS147" s="113"/>
      <c r="KT147" s="113"/>
      <c r="KU147" s="113"/>
      <c r="KV147" s="113"/>
      <c r="KW147" s="113"/>
      <c r="KX147" s="113"/>
      <c r="KY147" s="113"/>
      <c r="KZ147" s="113"/>
      <c r="LA147" s="113"/>
      <c r="LB147" s="113"/>
      <c r="LC147" s="113"/>
      <c r="LD147" s="113"/>
      <c r="LE147" s="113"/>
      <c r="LF147" s="113"/>
      <c r="LG147" s="113"/>
      <c r="LH147" s="113"/>
      <c r="LI147" s="113"/>
      <c r="LJ147" s="113"/>
      <c r="LK147" s="113"/>
      <c r="LL147" s="113"/>
      <c r="LM147" s="113"/>
      <c r="LN147" s="113"/>
      <c r="LO147" s="113"/>
      <c r="LP147" s="113"/>
      <c r="LQ147" s="113"/>
      <c r="LR147" s="113"/>
      <c r="LS147" s="113"/>
      <c r="LT147" s="113"/>
      <c r="LU147" s="113"/>
      <c r="LV147" s="113"/>
      <c r="LW147" s="113"/>
      <c r="LX147" s="113"/>
      <c r="LY147" s="113"/>
      <c r="LZ147" s="113"/>
      <c r="MA147" s="113"/>
      <c r="MB147" s="113"/>
      <c r="MC147" s="113"/>
      <c r="MD147" s="113"/>
      <c r="ME147" s="113"/>
      <c r="MF147" s="113"/>
      <c r="MG147" s="113"/>
      <c r="MH147" s="113"/>
      <c r="MI147" s="113"/>
      <c r="MJ147" s="113"/>
      <c r="MK147" s="113"/>
      <c r="ML147" s="113"/>
      <c r="MM147" s="113"/>
      <c r="MN147" s="113"/>
      <c r="MO147" s="113"/>
      <c r="MP147" s="113"/>
      <c r="MQ147" s="113"/>
      <c r="MR147" s="113"/>
      <c r="MS147" s="113"/>
      <c r="MT147" s="113"/>
      <c r="MU147" s="113"/>
      <c r="MV147" s="113"/>
      <c r="MW147" s="113"/>
      <c r="MX147" s="113"/>
      <c r="MY147" s="113"/>
      <c r="MZ147" s="113"/>
      <c r="NA147" s="113"/>
      <c r="NB147" s="113"/>
      <c r="NC147" s="113"/>
      <c r="ND147" s="113"/>
      <c r="NE147" s="113"/>
      <c r="NF147" s="113"/>
      <c r="NG147" s="113"/>
      <c r="NH147" s="113"/>
      <c r="NI147" s="113"/>
      <c r="NJ147" s="113"/>
      <c r="NK147" s="113"/>
      <c r="NL147" s="113"/>
      <c r="NM147" s="113"/>
      <c r="NN147" s="113"/>
      <c r="NO147" s="113"/>
      <c r="NP147" s="113"/>
      <c r="NQ147" s="113"/>
      <c r="NR147" s="113"/>
      <c r="NS147" s="113"/>
      <c r="NT147" s="113"/>
      <c r="NU147" s="113"/>
      <c r="NV147" s="113"/>
      <c r="NW147" s="113"/>
      <c r="NX147" s="113"/>
      <c r="NY147" s="113"/>
      <c r="NZ147" s="113"/>
      <c r="OA147" s="113"/>
      <c r="OB147" s="113"/>
      <c r="OC147" s="113"/>
      <c r="OD147" s="113"/>
      <c r="OE147" s="113"/>
      <c r="OF147" s="113"/>
      <c r="OG147" s="113"/>
      <c r="OH147" s="113"/>
      <c r="OI147" s="113"/>
      <c r="OJ147" s="113"/>
      <c r="OK147" s="113"/>
      <c r="OL147" s="113"/>
      <c r="OM147" s="113"/>
      <c r="ON147" s="113"/>
      <c r="OO147" s="113"/>
      <c r="OP147" s="113"/>
      <c r="OQ147" s="113"/>
      <c r="OR147" s="113"/>
      <c r="OS147" s="113"/>
      <c r="OT147" s="113"/>
      <c r="OU147" s="113"/>
      <c r="OV147" s="113"/>
      <c r="OW147" s="113"/>
      <c r="OX147" s="113"/>
      <c r="OY147" s="113"/>
      <c r="OZ147" s="113"/>
      <c r="PA147" s="113"/>
      <c r="PB147" s="113"/>
      <c r="PC147" s="113"/>
      <c r="PD147" s="113"/>
      <c r="PE147" s="113"/>
      <c r="PF147" s="113"/>
      <c r="PG147" s="113"/>
      <c r="PH147" s="113"/>
      <c r="PI147" s="113"/>
      <c r="PJ147" s="113"/>
      <c r="PK147" s="113"/>
      <c r="PL147" s="113"/>
      <c r="PM147" s="113"/>
      <c r="PN147" s="113"/>
      <c r="PO147" s="113"/>
      <c r="PP147" s="113"/>
      <c r="PQ147" s="113"/>
      <c r="PR147" s="113"/>
      <c r="PS147" s="113"/>
      <c r="PT147" s="113"/>
      <c r="PU147" s="113"/>
      <c r="PV147" s="113"/>
      <c r="PW147" s="113"/>
      <c r="PX147" s="113"/>
      <c r="PY147" s="113"/>
      <c r="PZ147" s="113"/>
      <c r="QA147" s="113"/>
      <c r="QB147" s="113"/>
      <c r="QC147" s="113"/>
      <c r="QD147" s="113"/>
      <c r="QE147" s="113"/>
      <c r="QF147" s="113"/>
      <c r="QG147" s="113"/>
      <c r="QH147" s="113"/>
      <c r="QI147" s="113"/>
      <c r="QJ147" s="113"/>
      <c r="QK147" s="113"/>
      <c r="QL147" s="113"/>
      <c r="QM147" s="113"/>
      <c r="QN147" s="113"/>
      <c r="QO147" s="113"/>
      <c r="QP147" s="113"/>
      <c r="QQ147" s="113"/>
      <c r="QR147" s="113"/>
      <c r="QS147" s="113"/>
      <c r="QT147" s="113"/>
      <c r="QU147" s="113"/>
      <c r="QV147" s="113"/>
      <c r="QW147" s="113"/>
      <c r="QX147" s="113"/>
      <c r="QY147" s="113"/>
      <c r="QZ147" s="113"/>
      <c r="RA147" s="113"/>
      <c r="RB147" s="113"/>
      <c r="RC147" s="113"/>
      <c r="RD147" s="113"/>
      <c r="RE147" s="113"/>
      <c r="RF147" s="113"/>
      <c r="RG147" s="113"/>
      <c r="RH147" s="113"/>
      <c r="RI147" s="113"/>
      <c r="RJ147" s="113"/>
      <c r="RK147" s="113"/>
      <c r="RL147" s="113"/>
      <c r="RM147" s="113"/>
      <c r="RN147" s="113"/>
      <c r="RO147" s="113"/>
      <c r="RP147" s="113"/>
      <c r="RQ147" s="113"/>
      <c r="RR147" s="113"/>
      <c r="RS147" s="113"/>
      <c r="RT147" s="113"/>
      <c r="RU147" s="113"/>
      <c r="RV147" s="113"/>
      <c r="RW147" s="113"/>
      <c r="RX147" s="113"/>
      <c r="RY147" s="113"/>
      <c r="RZ147" s="113"/>
      <c r="SA147" s="113"/>
      <c r="SB147" s="113"/>
      <c r="SC147" s="113"/>
      <c r="SD147" s="113"/>
      <c r="SE147" s="113"/>
      <c r="SF147" s="113"/>
      <c r="SG147" s="113"/>
      <c r="SH147" s="113"/>
      <c r="SI147" s="113"/>
      <c r="SJ147" s="113"/>
      <c r="SK147" s="113"/>
      <c r="SL147" s="113"/>
      <c r="SM147" s="113"/>
      <c r="SN147" s="113"/>
      <c r="SO147" s="113"/>
      <c r="SP147" s="113"/>
      <c r="SQ147" s="113"/>
      <c r="SR147" s="113"/>
      <c r="SS147" s="113"/>
      <c r="ST147" s="113"/>
      <c r="SU147" s="113"/>
      <c r="SV147" s="113"/>
      <c r="SW147" s="113"/>
      <c r="SX147" s="113"/>
      <c r="SY147" s="113"/>
      <c r="SZ147" s="113"/>
      <c r="TA147" s="113"/>
      <c r="TB147" s="113"/>
      <c r="TC147" s="113"/>
      <c r="TD147" s="113"/>
      <c r="TE147" s="113"/>
      <c r="TF147" s="113"/>
      <c r="TG147" s="113"/>
      <c r="TH147" s="113"/>
      <c r="TI147" s="113"/>
      <c r="TJ147" s="113"/>
      <c r="TK147" s="113"/>
      <c r="TL147" s="113"/>
      <c r="TM147" s="113"/>
      <c r="TN147" s="113"/>
      <c r="TO147" s="113"/>
      <c r="TP147" s="113"/>
      <c r="TQ147" s="113"/>
      <c r="TR147" s="113"/>
      <c r="TS147" s="113"/>
      <c r="TT147" s="113"/>
      <c r="TU147" s="113"/>
      <c r="TV147" s="113"/>
      <c r="TW147" s="113"/>
      <c r="TX147" s="113"/>
      <c r="TY147" s="113"/>
      <c r="TZ147" s="113"/>
      <c r="UA147" s="113"/>
      <c r="UB147" s="113"/>
      <c r="UC147" s="113"/>
      <c r="UD147" s="113"/>
      <c r="UE147" s="113"/>
      <c r="UF147" s="113"/>
      <c r="UG147" s="113"/>
      <c r="UH147" s="113"/>
      <c r="UI147" s="113"/>
      <c r="UJ147" s="113"/>
      <c r="UK147" s="113"/>
      <c r="UL147" s="113"/>
      <c r="UM147" s="113"/>
      <c r="UN147" s="113"/>
      <c r="UO147" s="113"/>
      <c r="UP147" s="113"/>
      <c r="UQ147" s="113"/>
      <c r="UR147" s="113"/>
      <c r="US147" s="113"/>
      <c r="UT147" s="113"/>
      <c r="UU147" s="113"/>
      <c r="UV147" s="113"/>
      <c r="UW147" s="113"/>
      <c r="UX147" s="113"/>
      <c r="UY147" s="113"/>
      <c r="UZ147" s="113"/>
      <c r="VA147" s="113"/>
      <c r="VB147" s="113"/>
      <c r="VC147" s="113"/>
      <c r="VD147" s="113"/>
      <c r="VE147" s="113"/>
      <c r="VF147" s="113"/>
      <c r="VG147" s="113"/>
      <c r="VH147" s="113"/>
      <c r="VI147" s="113"/>
      <c r="VJ147" s="113"/>
      <c r="VK147" s="113"/>
      <c r="VL147" s="113"/>
      <c r="VM147" s="113"/>
      <c r="VN147" s="113"/>
      <c r="VO147" s="113"/>
      <c r="VP147" s="113"/>
      <c r="VQ147" s="113"/>
      <c r="VR147" s="113"/>
      <c r="VS147" s="113"/>
      <c r="VT147" s="113"/>
      <c r="VU147" s="113"/>
      <c r="VV147" s="113"/>
      <c r="VW147" s="113"/>
      <c r="VX147" s="113"/>
      <c r="VY147" s="113"/>
      <c r="VZ147" s="113"/>
      <c r="WA147" s="113"/>
      <c r="WB147" s="113"/>
      <c r="WC147" s="113"/>
      <c r="WD147" s="113"/>
      <c r="WE147" s="113"/>
      <c r="WF147" s="113"/>
      <c r="WG147" s="113"/>
      <c r="WH147" s="113"/>
      <c r="WI147" s="113"/>
      <c r="WJ147" s="113"/>
      <c r="WK147" s="113"/>
      <c r="WL147" s="113"/>
      <c r="WM147" s="113"/>
      <c r="WN147" s="113"/>
      <c r="WO147" s="113"/>
      <c r="WP147" s="113"/>
      <c r="WQ147" s="113"/>
      <c r="WR147" s="113"/>
      <c r="WS147" s="113"/>
      <c r="WT147" s="113"/>
      <c r="WU147" s="113"/>
      <c r="WV147" s="113"/>
      <c r="WW147" s="113"/>
      <c r="WX147" s="113"/>
      <c r="WY147" s="113"/>
      <c r="WZ147" s="113"/>
      <c r="XA147" s="113"/>
      <c r="XB147" s="113"/>
      <c r="XC147" s="113"/>
      <c r="XD147" s="113"/>
      <c r="XE147" s="113"/>
      <c r="XF147" s="113"/>
      <c r="XG147" s="113"/>
      <c r="XH147" s="113"/>
      <c r="XI147" s="113"/>
      <c r="XJ147" s="113"/>
      <c r="XK147" s="113"/>
      <c r="XL147" s="113"/>
      <c r="XM147" s="113"/>
      <c r="XN147" s="113"/>
      <c r="XO147" s="113"/>
      <c r="XP147" s="113"/>
      <c r="XQ147" s="113"/>
      <c r="XR147" s="113"/>
      <c r="XS147" s="113"/>
      <c r="XT147" s="113"/>
      <c r="XU147" s="113"/>
      <c r="XV147" s="113"/>
      <c r="XW147" s="113"/>
      <c r="XX147" s="113"/>
      <c r="XY147" s="113"/>
      <c r="XZ147" s="113"/>
      <c r="YA147" s="113"/>
      <c r="YB147" s="113"/>
      <c r="YC147" s="113"/>
      <c r="YD147" s="113"/>
      <c r="YE147" s="113"/>
      <c r="YF147" s="113"/>
      <c r="YG147" s="113"/>
      <c r="YH147" s="113"/>
      <c r="YI147" s="113"/>
      <c r="YJ147" s="113"/>
      <c r="YK147" s="113"/>
      <c r="YL147" s="113"/>
      <c r="YM147" s="113"/>
      <c r="YN147" s="113"/>
      <c r="YO147" s="113"/>
      <c r="YP147" s="113"/>
      <c r="YQ147" s="113"/>
      <c r="YR147" s="113"/>
      <c r="YS147" s="113"/>
      <c r="YT147" s="113"/>
      <c r="YU147" s="113"/>
      <c r="YV147" s="113"/>
      <c r="YW147" s="113"/>
      <c r="YX147" s="113"/>
      <c r="YY147" s="113"/>
      <c r="YZ147" s="113"/>
      <c r="ZA147" s="113"/>
      <c r="ZB147" s="113"/>
      <c r="ZC147" s="113"/>
      <c r="ZD147" s="113"/>
      <c r="ZE147" s="113"/>
      <c r="ZF147" s="113"/>
      <c r="ZG147" s="113"/>
      <c r="ZH147" s="113"/>
      <c r="ZI147" s="113"/>
      <c r="ZJ147" s="113"/>
      <c r="ZK147" s="113"/>
      <c r="ZL147" s="113"/>
      <c r="ZM147" s="113"/>
      <c r="ZN147" s="113"/>
      <c r="ZO147" s="113"/>
      <c r="ZP147" s="113"/>
      <c r="ZQ147" s="113"/>
      <c r="ZR147" s="113"/>
      <c r="ZS147" s="113"/>
      <c r="ZT147" s="113"/>
      <c r="ZU147" s="113"/>
      <c r="ZV147" s="113"/>
      <c r="ZW147" s="113"/>
      <c r="ZX147" s="113"/>
      <c r="ZY147" s="113"/>
      <c r="ZZ147" s="113"/>
      <c r="AAA147" s="113"/>
      <c r="AAB147" s="113"/>
      <c r="AAC147" s="113"/>
      <c r="AAD147" s="113"/>
      <c r="AAE147" s="113"/>
      <c r="AAF147" s="113"/>
      <c r="AAG147" s="113"/>
      <c r="AAH147" s="113"/>
      <c r="AAI147" s="113"/>
      <c r="AAJ147" s="113"/>
      <c r="AAK147" s="113"/>
      <c r="AAL147" s="113"/>
      <c r="AAM147" s="113"/>
      <c r="AAN147" s="113"/>
      <c r="AAO147" s="113"/>
      <c r="AAP147" s="113"/>
      <c r="AAQ147" s="113"/>
      <c r="AAR147" s="113"/>
      <c r="AAS147" s="113"/>
      <c r="AAT147" s="113"/>
      <c r="AAU147" s="113"/>
      <c r="AAV147" s="113"/>
      <c r="AAW147" s="113"/>
      <c r="AAX147" s="113"/>
      <c r="AAY147" s="113"/>
      <c r="AAZ147" s="113"/>
      <c r="ABA147" s="113"/>
      <c r="ABB147" s="113"/>
      <c r="ABC147" s="113"/>
      <c r="ABD147" s="113"/>
      <c r="ABE147" s="113"/>
      <c r="ABF147" s="113"/>
      <c r="ABG147" s="113"/>
      <c r="ABH147" s="113"/>
      <c r="ABI147" s="113"/>
      <c r="ABJ147" s="113"/>
      <c r="ABK147" s="113"/>
      <c r="ABL147" s="113"/>
      <c r="ABM147" s="113"/>
      <c r="ABN147" s="113"/>
      <c r="ABO147" s="113"/>
      <c r="ABP147" s="113"/>
      <c r="ABQ147" s="113"/>
      <c r="ABR147" s="113"/>
      <c r="ABS147" s="113"/>
      <c r="ABT147" s="113"/>
      <c r="ABU147" s="113"/>
      <c r="ABV147" s="113"/>
      <c r="ABW147" s="113"/>
      <c r="ABX147" s="113"/>
      <c r="ABY147" s="113"/>
      <c r="ABZ147" s="113"/>
      <c r="ACA147" s="113"/>
      <c r="ACB147" s="113"/>
      <c r="ACC147" s="113"/>
      <c r="ACD147" s="113"/>
      <c r="ACE147" s="113"/>
      <c r="ACF147" s="113"/>
      <c r="ACG147" s="113"/>
      <c r="ACH147" s="113"/>
      <c r="ACI147" s="113"/>
      <c r="ACJ147" s="113"/>
      <c r="ACK147" s="113"/>
      <c r="ACL147" s="113"/>
      <c r="ACM147" s="113"/>
      <c r="ACN147" s="113"/>
      <c r="ACO147" s="113"/>
      <c r="ACP147" s="113"/>
      <c r="ACQ147" s="113"/>
      <c r="ACR147" s="113"/>
      <c r="ACS147" s="113"/>
      <c r="ACT147" s="113"/>
      <c r="ACU147" s="113"/>
      <c r="ACV147" s="113"/>
      <c r="ACW147" s="113"/>
      <c r="ACX147" s="113"/>
      <c r="ACY147" s="113"/>
      <c r="ACZ147" s="113"/>
      <c r="ADA147" s="113"/>
      <c r="ADB147" s="113"/>
      <c r="ADC147" s="113"/>
      <c r="ADD147" s="113"/>
      <c r="ADE147" s="113"/>
      <c r="ADF147" s="113"/>
      <c r="ADG147" s="113"/>
      <c r="ADH147" s="113"/>
      <c r="ADI147" s="113"/>
      <c r="ADJ147" s="113"/>
      <c r="ADK147" s="113"/>
      <c r="ADL147" s="113"/>
      <c r="ADM147" s="113"/>
      <c r="ADN147" s="113"/>
      <c r="ADO147" s="113"/>
      <c r="ADP147" s="113"/>
      <c r="ADQ147" s="113"/>
      <c r="ADR147" s="113"/>
      <c r="ADS147" s="113"/>
      <c r="ADT147" s="113"/>
      <c r="ADU147" s="113"/>
      <c r="ADV147" s="113"/>
      <c r="ADW147" s="113"/>
      <c r="ADX147" s="113"/>
      <c r="ADY147" s="113"/>
      <c r="ADZ147" s="113"/>
      <c r="AEA147" s="113"/>
      <c r="AEB147" s="113"/>
      <c r="AEC147" s="113"/>
      <c r="AED147" s="113"/>
      <c r="AEE147" s="113"/>
      <c r="AEF147" s="113"/>
      <c r="AEG147" s="113"/>
      <c r="AEH147" s="113"/>
      <c r="AEI147" s="113"/>
      <c r="AEJ147" s="113"/>
      <c r="AEK147" s="113"/>
      <c r="AEL147" s="113"/>
      <c r="AEM147" s="113"/>
      <c r="AEN147" s="113"/>
      <c r="AEO147" s="113"/>
      <c r="AEP147" s="113"/>
      <c r="AEQ147" s="113"/>
      <c r="AER147" s="113"/>
      <c r="AES147" s="113"/>
      <c r="AET147" s="113"/>
      <c r="AEU147" s="113"/>
      <c r="AEV147" s="113"/>
      <c r="AEW147" s="113"/>
      <c r="AEX147" s="113"/>
      <c r="AEY147" s="113"/>
      <c r="AEZ147" s="113"/>
      <c r="AFA147" s="113"/>
      <c r="AFB147" s="113"/>
      <c r="AFC147" s="113"/>
      <c r="AFD147" s="113"/>
      <c r="AFE147" s="113"/>
      <c r="AFF147" s="113"/>
      <c r="AFG147" s="113"/>
      <c r="AFH147" s="113"/>
      <c r="AFI147" s="113"/>
      <c r="AFJ147" s="113"/>
      <c r="AFK147" s="113"/>
      <c r="AFL147" s="113"/>
      <c r="AFM147" s="113"/>
      <c r="AFN147" s="113"/>
      <c r="AFO147" s="113"/>
      <c r="AFP147" s="113"/>
      <c r="AFQ147" s="113"/>
      <c r="AFR147" s="113"/>
      <c r="AFS147" s="113"/>
      <c r="AFT147" s="113"/>
      <c r="AFU147" s="113"/>
      <c r="AFV147" s="113"/>
      <c r="AFW147" s="113"/>
      <c r="AFX147" s="113"/>
      <c r="AFY147" s="113"/>
      <c r="AFZ147" s="113"/>
      <c r="AGA147" s="113"/>
      <c r="AGB147" s="113"/>
      <c r="AGC147" s="113"/>
      <c r="AGD147" s="113"/>
      <c r="AGE147" s="113"/>
      <c r="AGF147" s="113"/>
      <c r="AGG147" s="113"/>
      <c r="AGH147" s="113"/>
      <c r="AGI147" s="113"/>
      <c r="AGJ147" s="113"/>
      <c r="AGK147" s="113"/>
      <c r="AGL147" s="113"/>
      <c r="AGM147" s="113"/>
      <c r="AGN147" s="113"/>
      <c r="AGO147" s="113"/>
      <c r="AGP147" s="113"/>
      <c r="AGQ147" s="113"/>
      <c r="AGR147" s="113"/>
      <c r="AGS147" s="113"/>
      <c r="AGT147" s="113"/>
      <c r="AGU147" s="113"/>
      <c r="AGV147" s="113"/>
      <c r="AGW147" s="113"/>
      <c r="AGX147" s="113"/>
      <c r="AGY147" s="113"/>
      <c r="AGZ147" s="113"/>
      <c r="AHA147" s="113"/>
      <c r="AHB147" s="113"/>
      <c r="AHC147" s="113"/>
      <c r="AHD147" s="113"/>
      <c r="AHE147" s="113"/>
      <c r="AHF147" s="113"/>
      <c r="AHG147" s="113"/>
      <c r="AHH147" s="113"/>
      <c r="AHI147" s="113"/>
      <c r="AHJ147" s="113"/>
      <c r="AHK147" s="113"/>
      <c r="AHL147" s="113"/>
      <c r="AHM147" s="113"/>
      <c r="AHN147" s="113"/>
      <c r="AHO147" s="113"/>
      <c r="AHP147" s="113"/>
      <c r="AHQ147" s="113"/>
      <c r="AHR147" s="113"/>
      <c r="AHS147" s="113"/>
      <c r="AHT147" s="113"/>
      <c r="AHU147" s="113"/>
      <c r="AHV147" s="113"/>
      <c r="AHW147" s="113"/>
      <c r="AHX147" s="113"/>
      <c r="AHY147" s="113"/>
      <c r="AHZ147" s="113"/>
      <c r="AIA147" s="113"/>
      <c r="AIB147" s="113"/>
      <c r="AIC147" s="113"/>
      <c r="AID147" s="113"/>
      <c r="AIE147" s="113"/>
      <c r="AIF147" s="113"/>
      <c r="AIG147" s="113"/>
      <c r="AIH147" s="113"/>
      <c r="AII147" s="113"/>
      <c r="AIJ147" s="113"/>
      <c r="AIK147" s="113"/>
      <c r="AIL147" s="113"/>
      <c r="AIM147" s="113"/>
      <c r="AIN147" s="113"/>
      <c r="AIO147" s="113"/>
      <c r="AIP147" s="113"/>
      <c r="AIQ147" s="113"/>
      <c r="AIR147" s="113"/>
      <c r="AIS147" s="113"/>
      <c r="AIT147" s="113"/>
      <c r="AIU147" s="113"/>
      <c r="AIV147" s="113"/>
      <c r="AIW147" s="113"/>
      <c r="AIX147" s="113"/>
      <c r="AIY147" s="113"/>
      <c r="AIZ147" s="113"/>
    </row>
    <row r="148">
      <c r="A148" s="65" t="s">
        <v>7</v>
      </c>
      <c r="B148" s="65" t="s">
        <v>33</v>
      </c>
      <c r="C148" s="65"/>
      <c r="D148" s="64">
        <f t="shared" si="1"/>
        <v>456.8612167</v>
      </c>
      <c r="G148" s="65">
        <v>160.582733333333</v>
      </c>
      <c r="H148" s="65">
        <v>17.9161333333333</v>
      </c>
      <c r="I148" s="65">
        <v>2.5845</v>
      </c>
      <c r="J148" s="65">
        <v>0.37795</v>
      </c>
      <c r="K148" s="65">
        <v>28.5923666666667</v>
      </c>
      <c r="N148" s="65">
        <v>29.7805</v>
      </c>
      <c r="Q148" s="65">
        <v>81.0496333333333</v>
      </c>
      <c r="R148" s="65">
        <v>7.41978333333334</v>
      </c>
      <c r="S148" s="65">
        <v>1.72386666666667</v>
      </c>
      <c r="T148" s="65">
        <v>1.28358333333333</v>
      </c>
      <c r="U148" s="65">
        <v>8.26653333333334</v>
      </c>
      <c r="X148" s="65">
        <v>16.25215</v>
      </c>
      <c r="Y148" s="65">
        <v>1.18216666666667</v>
      </c>
      <c r="Z148" s="65">
        <v>2.23183333333333</v>
      </c>
      <c r="AA148" s="65">
        <v>0.11755</v>
      </c>
      <c r="AB148" s="65">
        <v>2.07143333333333</v>
      </c>
      <c r="AE148" s="65">
        <v>20.4726</v>
      </c>
      <c r="AF148" s="65">
        <v>4.77526666666667</v>
      </c>
      <c r="AG148" s="65">
        <v>0.73165</v>
      </c>
      <c r="AH148" s="65">
        <v>0.163666666666667</v>
      </c>
      <c r="AI148" s="65">
        <v>6.91111666666667</v>
      </c>
      <c r="AL148" s="65">
        <v>13.4234333333333</v>
      </c>
      <c r="AM148" s="65">
        <v>2.68926666666667</v>
      </c>
      <c r="AN148" s="65">
        <v>10.5973333333333</v>
      </c>
      <c r="AQ148" s="65">
        <v>2.22161666666667</v>
      </c>
      <c r="AR148" s="65">
        <v>3.72443333333333</v>
      </c>
      <c r="AU148" s="65">
        <v>29.7181166666667</v>
      </c>
    </row>
    <row r="149">
      <c r="A149" s="65" t="s">
        <v>7</v>
      </c>
      <c r="B149" s="65" t="s">
        <v>33</v>
      </c>
      <c r="C149" s="65"/>
      <c r="D149" s="64">
        <f t="shared" si="1"/>
        <v>0</v>
      </c>
    </row>
    <row r="150">
      <c r="A150" s="65" t="s">
        <v>7</v>
      </c>
      <c r="B150" s="65" t="s">
        <v>33</v>
      </c>
      <c r="C150" s="65"/>
      <c r="D150" s="64">
        <f t="shared" si="1"/>
        <v>436.2986</v>
      </c>
      <c r="G150" s="118">
        <f>HYPERLINK("https://docs.google.com/spreadsheets/d/1_qfuNY-YBE6HG2nUqXHfRDq951qklHIJ", 160.4949)</f>
        <v>160.4949</v>
      </c>
      <c r="H150" s="118">
        <f>HYPERLINK("https://docs.google.com/spreadsheets/d/1ZIi6Z4iUH6zJXM4ciOC4246aL-AQKq_S", 17.8685)</f>
        <v>17.8685</v>
      </c>
      <c r="I150" s="118">
        <f>HYPERLINK("https://docs.google.com/spreadsheets/d/11PMTCYqGNM3R2uUaT5G0LcAGvh0bCttC", 2.5845)</f>
        <v>2.5845</v>
      </c>
      <c r="J150" s="118">
        <f>HYPERLINK("https://docs.google.com/spreadsheets/d/1VDKxwDvw5NjmfZ0c3-PaA_UdcolDVgUv", 0.28145)</f>
        <v>0.28145</v>
      </c>
      <c r="K150" s="118">
        <f>HYPERLINK("https://docs.google.com/spreadsheets/d/1eVTPz-BqB-j6rNCE6_0varq2sEUh_Eww", 28.20925)</f>
        <v>28.20925</v>
      </c>
      <c r="N150" s="118">
        <f>HYPERLINK("https://docs.google.com/spreadsheets/d/1euavvLQDqOCphfU_WcSgHykoE7utLC_c", 29.7805)</f>
        <v>29.7805</v>
      </c>
      <c r="Q150" s="118">
        <f>HYPERLINK("https://docs.google.com/spreadsheets/d/1YOQsvNfMJOHrgfFHaEJvzbtE3sL71BWO", 68.0981166666666)</f>
        <v>68.09811667</v>
      </c>
      <c r="R150" s="118">
        <f>HYPERLINK("https://docs.google.com/spreadsheets/d/1qf7sBYDLscd_iBm_3TPU8H3Tlsh0bFWZ", 7.41981666666667)</f>
        <v>7.419816667</v>
      </c>
      <c r="S150" s="118">
        <f>HYPERLINK("https://docs.google.com/spreadsheets/d/1AuH2xp5pYu01DVi8DbYJA_L8hdvrxGT8", 1.72386666666667)</f>
        <v>1.723866667</v>
      </c>
      <c r="T150" s="118">
        <f>HYPERLINK("https://docs.google.com/spreadsheets/d/1oV6KTWOdzG3ZdBUGSv-W5JVF7jbAP-OC", 1.28358333333333)</f>
        <v>1.283583333</v>
      </c>
      <c r="U150" s="118">
        <f>HYPERLINK("https://docs.google.com/spreadsheets/d/1VfxA8vTpiednssF8xMGpCqnQKz9jRqSZ", 8.2665)</f>
        <v>8.2665</v>
      </c>
      <c r="X150" s="118">
        <f>HYPERLINK("https://docs.google.com/spreadsheets/d/1hZEnjVUVe5j-qSa1IWgRH6hZdxqOO4Ih", 13.5332166666667)</f>
        <v>13.53321667</v>
      </c>
      <c r="Y150" s="118">
        <f>HYPERLINK("https://docs.google.com/spreadsheets/d/1pmW0SA6VCBauut40toJ6Twz6r0-VEh2E", 1.18216666666667)</f>
        <v>1.182166667</v>
      </c>
      <c r="Z150" s="118">
        <f>HYPERLINK("https://docs.google.com/spreadsheets/d/1o6OOS8gzAa74YES8ApKgdsqKEM0TI8ZJ", 2.23183333333333)</f>
        <v>2.231833333</v>
      </c>
      <c r="AA150" s="118">
        <f>HYPERLINK("https://docs.google.com/spreadsheets/d/19YtD1C1asKCzc80mmJAeMMNnuyDAjc1Q", 0.11755)</f>
        <v>0.11755</v>
      </c>
      <c r="AB150" s="118">
        <f>HYPERLINK("https://docs.google.com/spreadsheets/d/1gUrNHGY-4xCbQOvChv9DQYgK1VJyG83h", 2.07143333333333)</f>
        <v>2.071433333</v>
      </c>
      <c r="AE150" s="118">
        <f>HYPERLINK("https://docs.google.com/spreadsheets/d/1sRzdKZizUDBQfZVe54fMytWBA2BwXFko", 16.1955666666667)</f>
        <v>16.19556667</v>
      </c>
      <c r="AF150" s="118">
        <f>HYPERLINK("https://docs.google.com/spreadsheets/d/1tpN7KKiDwBwZEFqE6k0uRtjqvASM0RAm", 4.77525)</f>
        <v>4.77525</v>
      </c>
      <c r="AG150" s="118">
        <f>HYPERLINK("https://docs.google.com/spreadsheets/d/16ub2cnadKKbW4Q1uBi4NxHTeJ6yzqMei", 0.73165)</f>
        <v>0.73165</v>
      </c>
      <c r="AH150" s="118">
        <f>HYPERLINK("https://docs.google.com/spreadsheets/d/1WpJwJUD5zP1858cXjiED7fSo_ByuFDCn", 0.163666666666667)</f>
        <v>0.1636666667</v>
      </c>
      <c r="AI150" s="118">
        <f>HYPERLINK("https://docs.google.com/spreadsheets/d/1T6ByRYUGpIzSdgd40diPFi5mXJyhNwqL", 6.9111)</f>
        <v>6.9111</v>
      </c>
      <c r="AL150" s="118">
        <f>HYPERLINK("https://docs.google.com/spreadsheets/d/1-FH6LXNMlXV8inbAqMeSSVN54l6KzsnU", 13.4234333333333)</f>
        <v>13.42343333</v>
      </c>
      <c r="AM150" s="118">
        <f>HYPERLINK("https://docs.google.com/spreadsheets/d/15o5MdMvYO0WWI9nPy2OyTJ6jYqkoyHJF", 2.68926666666667)</f>
        <v>2.689266667</v>
      </c>
      <c r="AN150" s="118">
        <f>HYPERLINK("https://docs.google.com/spreadsheets/d/1aFrIjxzJxOCKLaVmQxN3Ari6H-493ujI", 10.5973333333333)</f>
        <v>10.59733333</v>
      </c>
      <c r="AQ150" s="118">
        <f>HYPERLINK("https://docs.google.com/spreadsheets/d/1MlFQIPystB7_sudh4xAsoaEjOj3O0NF0", 2.22161666666667)</f>
        <v>2.221616667</v>
      </c>
      <c r="AR150" s="118">
        <f>HYPERLINK("https://docs.google.com/spreadsheets/d/1TLY7FrFhOs7IycDb1z88De6ADBMDK35P", 3.72443333333333)</f>
        <v>3.724433333</v>
      </c>
      <c r="AU150" s="118">
        <f>HYPERLINK("https://docs.google.com/spreadsheets/d/1C1wq0CbgOFM0X3m1AtibtN5HjHNzpmSW", 29.7181)</f>
        <v>29.7181</v>
      </c>
    </row>
    <row r="151">
      <c r="A151" s="65" t="s">
        <v>7</v>
      </c>
      <c r="B151" s="65" t="s">
        <v>33</v>
      </c>
      <c r="C151" s="65"/>
      <c r="D151" s="64">
        <f t="shared" si="1"/>
        <v>10.11463333</v>
      </c>
      <c r="G151" s="65">
        <v>1.31598333333333</v>
      </c>
      <c r="H151" s="65">
        <v>0.670333333333333</v>
      </c>
      <c r="I151" s="65">
        <v>0.236066666666667</v>
      </c>
      <c r="J151" s="65">
        <v>0.0</v>
      </c>
      <c r="K151" s="65">
        <v>0.142966666666667</v>
      </c>
      <c r="N151" s="65">
        <v>0.0</v>
      </c>
      <c r="Q151" s="65">
        <v>0.49725</v>
      </c>
      <c r="R151" s="65">
        <v>0.0</v>
      </c>
      <c r="S151" s="65">
        <v>0.0</v>
      </c>
      <c r="T151" s="65">
        <v>0.0</v>
      </c>
      <c r="U151" s="65">
        <v>0.0</v>
      </c>
      <c r="X151" s="65">
        <v>0.0</v>
      </c>
      <c r="Y151" s="65">
        <v>0.0</v>
      </c>
      <c r="Z151" s="65">
        <v>0.309233333333333</v>
      </c>
      <c r="AA151" s="65">
        <v>0.0</v>
      </c>
      <c r="AB151" s="65">
        <v>0.0</v>
      </c>
      <c r="AE151" s="65">
        <v>0.0</v>
      </c>
      <c r="AF151" s="65">
        <v>0.0</v>
      </c>
      <c r="AG151" s="65">
        <v>0.0</v>
      </c>
      <c r="AH151" s="65">
        <v>0.0</v>
      </c>
      <c r="AI151" s="65">
        <v>0.0</v>
      </c>
      <c r="AL151" s="65">
        <v>6.32598333333333</v>
      </c>
      <c r="AM151" s="65">
        <v>0.14275</v>
      </c>
      <c r="AN151" s="65">
        <v>0.119116666666667</v>
      </c>
      <c r="AQ151" s="65">
        <v>0.1416</v>
      </c>
      <c r="AR151" s="65">
        <v>0.0</v>
      </c>
      <c r="AU151" s="65">
        <v>0.21335</v>
      </c>
    </row>
    <row r="152">
      <c r="A152" s="119" t="s">
        <v>7</v>
      </c>
      <c r="B152" s="119" t="s">
        <v>33</v>
      </c>
      <c r="C152" s="119"/>
      <c r="D152" s="120">
        <f t="shared" si="1"/>
        <v>0</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120"/>
      <c r="AF152" s="120"/>
      <c r="AG152" s="120"/>
      <c r="AH152" s="120"/>
      <c r="AI152" s="120"/>
      <c r="AJ152" s="120"/>
      <c r="AK152" s="120"/>
      <c r="AL152" s="120"/>
      <c r="AM152" s="120"/>
      <c r="AN152" s="120"/>
      <c r="AO152" s="120"/>
      <c r="AP152" s="120"/>
      <c r="AQ152" s="120"/>
      <c r="AR152" s="120"/>
      <c r="AS152" s="120"/>
      <c r="AT152" s="120"/>
      <c r="AU152" s="120"/>
      <c r="AV152" s="120"/>
      <c r="AW152" s="120"/>
      <c r="AX152" s="120"/>
      <c r="AY152" s="120"/>
      <c r="AZ152" s="120"/>
      <c r="BA152" s="120"/>
      <c r="BB152" s="120"/>
      <c r="BC152" s="120"/>
      <c r="BD152" s="120"/>
      <c r="BE152" s="120"/>
      <c r="BF152" s="120"/>
      <c r="BG152" s="120"/>
      <c r="BH152" s="120"/>
      <c r="BI152" s="120"/>
      <c r="BJ152" s="120"/>
      <c r="BK152" s="120"/>
      <c r="BL152" s="120"/>
      <c r="BM152" s="120"/>
      <c r="BN152" s="120"/>
      <c r="BO152" s="120"/>
      <c r="BP152" s="120"/>
      <c r="BQ152" s="120"/>
      <c r="BR152" s="120"/>
      <c r="BS152" s="120"/>
      <c r="BT152" s="120"/>
      <c r="BU152" s="120"/>
      <c r="BV152" s="120"/>
      <c r="BW152" s="120"/>
      <c r="BX152" s="120"/>
      <c r="BY152" s="120"/>
      <c r="BZ152" s="120"/>
      <c r="CA152" s="120"/>
      <c r="CB152" s="120"/>
      <c r="CC152" s="120"/>
      <c r="CD152" s="120"/>
      <c r="CE152" s="120"/>
      <c r="CF152" s="120"/>
      <c r="CG152" s="120"/>
      <c r="CH152" s="120"/>
      <c r="CI152" s="120"/>
      <c r="CJ152" s="120"/>
      <c r="CK152" s="120"/>
      <c r="CL152" s="120"/>
      <c r="CM152" s="120"/>
      <c r="CN152" s="120"/>
      <c r="CO152" s="120"/>
      <c r="CP152" s="120"/>
      <c r="CQ152" s="120"/>
      <c r="CR152" s="120"/>
      <c r="CS152" s="120"/>
      <c r="CT152" s="120"/>
      <c r="CU152" s="120"/>
      <c r="CV152" s="120"/>
      <c r="CW152" s="120"/>
      <c r="CX152" s="120"/>
      <c r="CY152" s="120"/>
      <c r="CZ152" s="120"/>
      <c r="DA152" s="120"/>
      <c r="DB152" s="120"/>
      <c r="DC152" s="120"/>
      <c r="DD152" s="120"/>
      <c r="DE152" s="120"/>
      <c r="DF152" s="120"/>
      <c r="DG152" s="120"/>
      <c r="DH152" s="120"/>
      <c r="DI152" s="120"/>
      <c r="DJ152" s="120"/>
      <c r="DK152" s="120"/>
      <c r="DL152" s="120"/>
      <c r="DM152" s="120"/>
      <c r="DN152" s="120"/>
      <c r="DO152" s="120"/>
      <c r="DP152" s="120"/>
      <c r="DQ152" s="120"/>
      <c r="DR152" s="120"/>
      <c r="DS152" s="120"/>
      <c r="DT152" s="120"/>
      <c r="DU152" s="120"/>
      <c r="DV152" s="120"/>
      <c r="DW152" s="120"/>
      <c r="DX152" s="120"/>
      <c r="DY152" s="120"/>
      <c r="DZ152" s="120"/>
      <c r="EA152" s="120"/>
      <c r="EB152" s="120"/>
      <c r="EC152" s="120"/>
      <c r="ED152" s="120"/>
      <c r="EE152" s="120"/>
      <c r="EF152" s="120"/>
      <c r="EG152" s="120"/>
      <c r="EH152" s="120"/>
      <c r="EI152" s="120"/>
      <c r="EJ152" s="120"/>
      <c r="EK152" s="120"/>
      <c r="EL152" s="120"/>
      <c r="EM152" s="120"/>
      <c r="EN152" s="120"/>
      <c r="EO152" s="120"/>
      <c r="EP152" s="120"/>
      <c r="EQ152" s="120"/>
      <c r="ER152" s="120"/>
      <c r="ES152" s="120"/>
      <c r="ET152" s="120"/>
      <c r="EU152" s="120"/>
      <c r="EV152" s="120"/>
      <c r="EW152" s="120"/>
      <c r="EX152" s="120"/>
      <c r="EY152" s="120"/>
      <c r="EZ152" s="120"/>
      <c r="FA152" s="120"/>
      <c r="FB152" s="120"/>
      <c r="FC152" s="120"/>
      <c r="FD152" s="120"/>
      <c r="FE152" s="120"/>
      <c r="FF152" s="120"/>
      <c r="FG152" s="120"/>
      <c r="FH152" s="120"/>
      <c r="FI152" s="120"/>
      <c r="FJ152" s="120"/>
      <c r="FK152" s="120"/>
      <c r="FL152" s="120"/>
      <c r="FM152" s="120"/>
      <c r="FN152" s="120"/>
      <c r="FO152" s="120"/>
      <c r="FP152" s="120"/>
      <c r="FQ152" s="120"/>
      <c r="FR152" s="120"/>
      <c r="FS152" s="120"/>
      <c r="FT152" s="120"/>
      <c r="FU152" s="120"/>
      <c r="FV152" s="120"/>
      <c r="FW152" s="120"/>
      <c r="FX152" s="120"/>
      <c r="FY152" s="120"/>
      <c r="FZ152" s="120"/>
      <c r="GA152" s="120"/>
      <c r="GB152" s="120"/>
      <c r="GC152" s="120"/>
      <c r="GD152" s="120"/>
      <c r="GE152" s="120"/>
      <c r="GF152" s="120"/>
      <c r="GG152" s="120"/>
      <c r="GH152" s="120"/>
      <c r="GI152" s="120"/>
      <c r="GJ152" s="120"/>
      <c r="GK152" s="120"/>
      <c r="GL152" s="120"/>
      <c r="GM152" s="120"/>
      <c r="GN152" s="120"/>
      <c r="GO152" s="120"/>
      <c r="GP152" s="120"/>
      <c r="GQ152" s="120"/>
      <c r="GR152" s="120"/>
      <c r="GS152" s="120"/>
      <c r="GT152" s="120"/>
      <c r="GU152" s="120"/>
      <c r="GV152" s="120"/>
      <c r="GW152" s="120"/>
      <c r="GX152" s="120"/>
      <c r="GY152" s="120"/>
      <c r="GZ152" s="120"/>
      <c r="HA152" s="120"/>
      <c r="HB152" s="120"/>
      <c r="HC152" s="120"/>
      <c r="HD152" s="120"/>
      <c r="HE152" s="120"/>
      <c r="HF152" s="120"/>
      <c r="HG152" s="120"/>
      <c r="HH152" s="120"/>
      <c r="HI152" s="120"/>
      <c r="HJ152" s="120"/>
      <c r="HK152" s="120"/>
      <c r="HL152" s="120"/>
      <c r="HM152" s="120"/>
      <c r="HN152" s="120"/>
      <c r="HO152" s="120"/>
      <c r="HP152" s="120"/>
      <c r="HQ152" s="120"/>
      <c r="HR152" s="120"/>
      <c r="HS152" s="120"/>
      <c r="HT152" s="120"/>
      <c r="HU152" s="120"/>
      <c r="HV152" s="120"/>
      <c r="HW152" s="120"/>
      <c r="HX152" s="120"/>
      <c r="HY152" s="120"/>
      <c r="HZ152" s="120"/>
      <c r="IA152" s="120"/>
      <c r="IB152" s="120"/>
      <c r="IC152" s="120"/>
      <c r="ID152" s="120"/>
      <c r="IE152" s="120"/>
      <c r="IF152" s="120"/>
      <c r="IG152" s="120"/>
      <c r="IH152" s="120"/>
      <c r="II152" s="120"/>
      <c r="IJ152" s="120"/>
      <c r="IK152" s="120"/>
      <c r="IL152" s="120"/>
      <c r="IM152" s="120"/>
      <c r="IN152" s="120"/>
      <c r="IO152" s="120"/>
      <c r="IP152" s="120"/>
      <c r="IQ152" s="120"/>
      <c r="IR152" s="120"/>
      <c r="IS152" s="120"/>
      <c r="IT152" s="120"/>
      <c r="IU152" s="120"/>
      <c r="IV152" s="120"/>
      <c r="IW152" s="120"/>
      <c r="IX152" s="120"/>
      <c r="IY152" s="120"/>
      <c r="IZ152" s="120"/>
      <c r="JA152" s="120"/>
      <c r="JB152" s="120"/>
      <c r="JC152" s="120"/>
      <c r="JD152" s="120"/>
      <c r="JE152" s="120"/>
      <c r="JF152" s="120"/>
      <c r="JG152" s="120"/>
      <c r="JH152" s="120"/>
      <c r="JI152" s="120"/>
      <c r="JJ152" s="120"/>
      <c r="JK152" s="120"/>
      <c r="JL152" s="120"/>
      <c r="JM152" s="120"/>
      <c r="JN152" s="120"/>
      <c r="JO152" s="120"/>
      <c r="JP152" s="120"/>
      <c r="JQ152" s="120"/>
      <c r="JR152" s="120"/>
      <c r="JS152" s="120"/>
      <c r="JT152" s="120"/>
      <c r="JU152" s="120"/>
      <c r="JV152" s="120"/>
      <c r="JW152" s="120"/>
      <c r="JX152" s="120"/>
      <c r="JY152" s="120"/>
      <c r="JZ152" s="120"/>
      <c r="KA152" s="120"/>
      <c r="KB152" s="120"/>
      <c r="KC152" s="120"/>
      <c r="KD152" s="120"/>
      <c r="KE152" s="120"/>
      <c r="KF152" s="120"/>
      <c r="KG152" s="120"/>
      <c r="KH152" s="120"/>
      <c r="KI152" s="120"/>
      <c r="KJ152" s="120"/>
      <c r="KK152" s="120"/>
      <c r="KL152" s="120"/>
      <c r="KM152" s="120"/>
      <c r="KN152" s="120"/>
      <c r="KO152" s="120"/>
      <c r="KP152" s="120"/>
      <c r="KQ152" s="120"/>
      <c r="KR152" s="120"/>
      <c r="KS152" s="120"/>
      <c r="KT152" s="120"/>
      <c r="KU152" s="120"/>
      <c r="KV152" s="120"/>
      <c r="KW152" s="120"/>
      <c r="KX152" s="120"/>
      <c r="KY152" s="120"/>
      <c r="KZ152" s="120"/>
      <c r="LA152" s="120"/>
      <c r="LB152" s="120"/>
      <c r="LC152" s="120"/>
      <c r="LD152" s="120"/>
      <c r="LE152" s="120"/>
      <c r="LF152" s="120"/>
      <c r="LG152" s="120"/>
      <c r="LH152" s="120"/>
      <c r="LI152" s="120"/>
      <c r="LJ152" s="120"/>
      <c r="LK152" s="120"/>
      <c r="LL152" s="120"/>
      <c r="LM152" s="120"/>
      <c r="LN152" s="120"/>
      <c r="LO152" s="120"/>
      <c r="LP152" s="120"/>
      <c r="LQ152" s="120"/>
      <c r="LR152" s="120"/>
      <c r="LS152" s="120"/>
      <c r="LT152" s="120"/>
      <c r="LU152" s="120"/>
      <c r="LV152" s="120"/>
      <c r="LW152" s="120"/>
      <c r="LX152" s="120"/>
      <c r="LY152" s="120"/>
      <c r="LZ152" s="120"/>
      <c r="MA152" s="120"/>
      <c r="MB152" s="120"/>
      <c r="MC152" s="120"/>
      <c r="MD152" s="120"/>
      <c r="ME152" s="120"/>
      <c r="MF152" s="120"/>
      <c r="MG152" s="120"/>
      <c r="MH152" s="120"/>
      <c r="MI152" s="120"/>
      <c r="MJ152" s="120"/>
      <c r="MK152" s="120"/>
      <c r="ML152" s="120"/>
      <c r="MM152" s="120"/>
      <c r="MN152" s="120"/>
      <c r="MO152" s="120"/>
      <c r="MP152" s="120"/>
      <c r="MQ152" s="120"/>
      <c r="MR152" s="120"/>
      <c r="MS152" s="120"/>
      <c r="MT152" s="120"/>
      <c r="MU152" s="120"/>
      <c r="MV152" s="120"/>
      <c r="MW152" s="120"/>
      <c r="MX152" s="120"/>
      <c r="MY152" s="120"/>
      <c r="MZ152" s="120"/>
      <c r="NA152" s="120"/>
      <c r="NB152" s="120"/>
      <c r="NC152" s="120"/>
      <c r="ND152" s="120"/>
      <c r="NE152" s="120"/>
      <c r="NF152" s="120"/>
      <c r="NG152" s="120"/>
      <c r="NH152" s="120"/>
      <c r="NI152" s="120"/>
      <c r="NJ152" s="120"/>
      <c r="NK152" s="120"/>
      <c r="NL152" s="120"/>
      <c r="NM152" s="120"/>
      <c r="NN152" s="120"/>
      <c r="NO152" s="120"/>
      <c r="NP152" s="120"/>
      <c r="NQ152" s="120"/>
      <c r="NR152" s="120"/>
      <c r="NS152" s="120"/>
      <c r="NT152" s="120"/>
      <c r="NU152" s="120"/>
      <c r="NV152" s="120"/>
      <c r="NW152" s="120"/>
      <c r="NX152" s="120"/>
      <c r="NY152" s="120"/>
      <c r="NZ152" s="120"/>
      <c r="OA152" s="120"/>
      <c r="OB152" s="120"/>
      <c r="OC152" s="120"/>
      <c r="OD152" s="120"/>
      <c r="OE152" s="120"/>
      <c r="OF152" s="120"/>
      <c r="OG152" s="120"/>
      <c r="OH152" s="120"/>
      <c r="OI152" s="120"/>
      <c r="OJ152" s="120"/>
      <c r="OK152" s="120"/>
      <c r="OL152" s="120"/>
      <c r="OM152" s="120"/>
      <c r="ON152" s="120"/>
      <c r="OO152" s="120"/>
      <c r="OP152" s="120"/>
      <c r="OQ152" s="120"/>
      <c r="OR152" s="120"/>
      <c r="OS152" s="120"/>
      <c r="OT152" s="120"/>
      <c r="OU152" s="120"/>
      <c r="OV152" s="120"/>
      <c r="OW152" s="120"/>
      <c r="OX152" s="120"/>
      <c r="OY152" s="120"/>
      <c r="OZ152" s="120"/>
      <c r="PA152" s="120"/>
      <c r="PB152" s="120"/>
      <c r="PC152" s="120"/>
      <c r="PD152" s="120"/>
      <c r="PE152" s="120"/>
      <c r="PF152" s="120"/>
      <c r="PG152" s="120"/>
      <c r="PH152" s="120"/>
      <c r="PI152" s="120"/>
      <c r="PJ152" s="120"/>
      <c r="PK152" s="120"/>
      <c r="PL152" s="120"/>
      <c r="PM152" s="120"/>
      <c r="PN152" s="120"/>
      <c r="PO152" s="120"/>
      <c r="PP152" s="120"/>
      <c r="PQ152" s="120"/>
      <c r="PR152" s="120"/>
      <c r="PS152" s="120"/>
      <c r="PT152" s="120"/>
      <c r="PU152" s="120"/>
      <c r="PV152" s="120"/>
      <c r="PW152" s="120"/>
      <c r="PX152" s="120"/>
      <c r="PY152" s="120"/>
      <c r="PZ152" s="120"/>
      <c r="QA152" s="120"/>
      <c r="QB152" s="120"/>
      <c r="QC152" s="120"/>
      <c r="QD152" s="120"/>
      <c r="QE152" s="120"/>
      <c r="QF152" s="120"/>
      <c r="QG152" s="120"/>
      <c r="QH152" s="120"/>
      <c r="QI152" s="120"/>
      <c r="QJ152" s="120"/>
      <c r="QK152" s="120"/>
      <c r="QL152" s="120"/>
      <c r="QM152" s="120"/>
      <c r="QN152" s="120"/>
      <c r="QO152" s="120"/>
      <c r="QP152" s="120"/>
      <c r="QQ152" s="120"/>
      <c r="QR152" s="120"/>
      <c r="QS152" s="120"/>
      <c r="QT152" s="120"/>
      <c r="QU152" s="120"/>
      <c r="QV152" s="120"/>
      <c r="QW152" s="120"/>
      <c r="QX152" s="120"/>
      <c r="QY152" s="120"/>
      <c r="QZ152" s="120"/>
      <c r="RA152" s="120"/>
      <c r="RB152" s="120"/>
      <c r="RC152" s="120"/>
      <c r="RD152" s="120"/>
      <c r="RE152" s="120"/>
      <c r="RF152" s="120"/>
      <c r="RG152" s="120"/>
      <c r="RH152" s="120"/>
      <c r="RI152" s="120"/>
      <c r="RJ152" s="120"/>
      <c r="RK152" s="120"/>
      <c r="RL152" s="120"/>
      <c r="RM152" s="120"/>
      <c r="RN152" s="120"/>
      <c r="RO152" s="120"/>
      <c r="RP152" s="120"/>
      <c r="RQ152" s="120"/>
      <c r="RR152" s="120"/>
      <c r="RS152" s="120"/>
      <c r="RT152" s="120"/>
      <c r="RU152" s="120"/>
      <c r="RV152" s="120"/>
      <c r="RW152" s="120"/>
      <c r="RX152" s="120"/>
      <c r="RY152" s="120"/>
      <c r="RZ152" s="120"/>
      <c r="SA152" s="120"/>
      <c r="SB152" s="120"/>
      <c r="SC152" s="120"/>
      <c r="SD152" s="120"/>
      <c r="SE152" s="120"/>
      <c r="SF152" s="120"/>
      <c r="SG152" s="120"/>
      <c r="SH152" s="120"/>
      <c r="SI152" s="120"/>
      <c r="SJ152" s="120"/>
      <c r="SK152" s="120"/>
      <c r="SL152" s="120"/>
      <c r="SM152" s="120"/>
      <c r="SN152" s="120"/>
      <c r="SO152" s="120"/>
      <c r="SP152" s="120"/>
      <c r="SQ152" s="120"/>
      <c r="SR152" s="120"/>
      <c r="SS152" s="120"/>
      <c r="ST152" s="120"/>
      <c r="SU152" s="120"/>
      <c r="SV152" s="120"/>
      <c r="SW152" s="120"/>
      <c r="SX152" s="120"/>
      <c r="SY152" s="120"/>
      <c r="SZ152" s="120"/>
      <c r="TA152" s="120"/>
      <c r="TB152" s="120"/>
      <c r="TC152" s="120"/>
      <c r="TD152" s="120"/>
      <c r="TE152" s="120"/>
      <c r="TF152" s="120"/>
      <c r="TG152" s="120"/>
      <c r="TH152" s="120"/>
      <c r="TI152" s="120"/>
      <c r="TJ152" s="120"/>
      <c r="TK152" s="120"/>
      <c r="TL152" s="120"/>
      <c r="TM152" s="120"/>
      <c r="TN152" s="120"/>
      <c r="TO152" s="120"/>
      <c r="TP152" s="120"/>
      <c r="TQ152" s="120"/>
      <c r="TR152" s="120"/>
      <c r="TS152" s="120"/>
      <c r="TT152" s="120"/>
      <c r="TU152" s="120"/>
      <c r="TV152" s="120"/>
      <c r="TW152" s="120"/>
      <c r="TX152" s="120"/>
      <c r="TY152" s="120"/>
      <c r="TZ152" s="120"/>
      <c r="UA152" s="120"/>
      <c r="UB152" s="120"/>
      <c r="UC152" s="120"/>
      <c r="UD152" s="120"/>
      <c r="UE152" s="120"/>
      <c r="UF152" s="120"/>
      <c r="UG152" s="120"/>
      <c r="UH152" s="120"/>
      <c r="UI152" s="120"/>
      <c r="UJ152" s="120"/>
      <c r="UK152" s="120"/>
      <c r="UL152" s="120"/>
      <c r="UM152" s="120"/>
      <c r="UN152" s="120"/>
      <c r="UO152" s="120"/>
      <c r="UP152" s="120"/>
      <c r="UQ152" s="120"/>
      <c r="UR152" s="120"/>
      <c r="US152" s="120"/>
      <c r="UT152" s="120"/>
      <c r="UU152" s="120"/>
      <c r="UV152" s="120"/>
      <c r="UW152" s="120"/>
      <c r="UX152" s="120"/>
      <c r="UY152" s="120"/>
      <c r="UZ152" s="120"/>
      <c r="VA152" s="120"/>
      <c r="VB152" s="120"/>
      <c r="VC152" s="120"/>
      <c r="VD152" s="120"/>
      <c r="VE152" s="120"/>
      <c r="VF152" s="120"/>
      <c r="VG152" s="120"/>
      <c r="VH152" s="120"/>
      <c r="VI152" s="120"/>
      <c r="VJ152" s="120"/>
      <c r="VK152" s="120"/>
      <c r="VL152" s="120"/>
      <c r="VM152" s="120"/>
      <c r="VN152" s="120"/>
      <c r="VO152" s="120"/>
      <c r="VP152" s="120"/>
      <c r="VQ152" s="120"/>
      <c r="VR152" s="120"/>
      <c r="VS152" s="120"/>
      <c r="VT152" s="120"/>
      <c r="VU152" s="120"/>
      <c r="VV152" s="120"/>
      <c r="VW152" s="120"/>
      <c r="VX152" s="120"/>
      <c r="VY152" s="120"/>
      <c r="VZ152" s="120"/>
      <c r="WA152" s="120"/>
      <c r="WB152" s="120"/>
      <c r="WC152" s="120"/>
      <c r="WD152" s="120"/>
      <c r="WE152" s="120"/>
      <c r="WF152" s="120"/>
      <c r="WG152" s="120"/>
      <c r="WH152" s="120"/>
      <c r="WI152" s="120"/>
      <c r="WJ152" s="120"/>
      <c r="WK152" s="120"/>
      <c r="WL152" s="120"/>
      <c r="WM152" s="120"/>
      <c r="WN152" s="120"/>
      <c r="WO152" s="120"/>
      <c r="WP152" s="120"/>
      <c r="WQ152" s="120"/>
      <c r="WR152" s="120"/>
      <c r="WS152" s="120"/>
      <c r="WT152" s="120"/>
      <c r="WU152" s="120"/>
      <c r="WV152" s="120"/>
      <c r="WW152" s="120"/>
      <c r="WX152" s="120"/>
      <c r="WY152" s="120"/>
      <c r="WZ152" s="120"/>
      <c r="XA152" s="120"/>
      <c r="XB152" s="120"/>
      <c r="XC152" s="120"/>
      <c r="XD152" s="120"/>
      <c r="XE152" s="120"/>
      <c r="XF152" s="120"/>
      <c r="XG152" s="120"/>
      <c r="XH152" s="120"/>
      <c r="XI152" s="120"/>
      <c r="XJ152" s="120"/>
      <c r="XK152" s="120"/>
      <c r="XL152" s="120"/>
      <c r="XM152" s="120"/>
      <c r="XN152" s="120"/>
      <c r="XO152" s="120"/>
      <c r="XP152" s="120"/>
      <c r="XQ152" s="120"/>
      <c r="XR152" s="120"/>
      <c r="XS152" s="120"/>
      <c r="XT152" s="120"/>
      <c r="XU152" s="120"/>
      <c r="XV152" s="120"/>
      <c r="XW152" s="120"/>
      <c r="XX152" s="120"/>
      <c r="XY152" s="120"/>
      <c r="XZ152" s="120"/>
      <c r="YA152" s="120"/>
      <c r="YB152" s="120"/>
      <c r="YC152" s="120"/>
      <c r="YD152" s="120"/>
      <c r="YE152" s="120"/>
      <c r="YF152" s="120"/>
      <c r="YG152" s="120"/>
      <c r="YH152" s="120"/>
      <c r="YI152" s="120"/>
      <c r="YJ152" s="120"/>
      <c r="YK152" s="120"/>
      <c r="YL152" s="120"/>
      <c r="YM152" s="120"/>
      <c r="YN152" s="120"/>
      <c r="YO152" s="120"/>
      <c r="YP152" s="120"/>
      <c r="YQ152" s="120"/>
      <c r="YR152" s="120"/>
      <c r="YS152" s="120"/>
      <c r="YT152" s="120"/>
      <c r="YU152" s="120"/>
      <c r="YV152" s="120"/>
      <c r="YW152" s="120"/>
      <c r="YX152" s="120"/>
      <c r="YY152" s="120"/>
      <c r="YZ152" s="120"/>
      <c r="ZA152" s="120"/>
      <c r="ZB152" s="120"/>
      <c r="ZC152" s="120"/>
      <c r="ZD152" s="120"/>
      <c r="ZE152" s="120"/>
      <c r="ZF152" s="120"/>
      <c r="ZG152" s="120"/>
      <c r="ZH152" s="120"/>
      <c r="ZI152" s="120"/>
      <c r="ZJ152" s="120"/>
      <c r="ZK152" s="120"/>
      <c r="ZL152" s="120"/>
      <c r="ZM152" s="120"/>
      <c r="ZN152" s="120"/>
      <c r="ZO152" s="120"/>
      <c r="ZP152" s="120"/>
      <c r="ZQ152" s="120"/>
      <c r="ZR152" s="120"/>
      <c r="ZS152" s="120"/>
      <c r="ZT152" s="120"/>
      <c r="ZU152" s="120"/>
      <c r="ZV152" s="120"/>
      <c r="ZW152" s="120"/>
      <c r="ZX152" s="120"/>
      <c r="ZY152" s="120"/>
      <c r="ZZ152" s="120"/>
      <c r="AAA152" s="120"/>
      <c r="AAB152" s="120"/>
      <c r="AAC152" s="120"/>
      <c r="AAD152" s="120"/>
      <c r="AAE152" s="120"/>
      <c r="AAF152" s="120"/>
      <c r="AAG152" s="120"/>
      <c r="AAH152" s="120"/>
      <c r="AAI152" s="120"/>
      <c r="AAJ152" s="120"/>
      <c r="AAK152" s="120"/>
      <c r="AAL152" s="120"/>
      <c r="AAM152" s="120"/>
      <c r="AAN152" s="120"/>
      <c r="AAO152" s="120"/>
      <c r="AAP152" s="120"/>
      <c r="AAQ152" s="120"/>
      <c r="AAR152" s="120"/>
      <c r="AAS152" s="120"/>
      <c r="AAT152" s="120"/>
      <c r="AAU152" s="120"/>
      <c r="AAV152" s="120"/>
      <c r="AAW152" s="120"/>
      <c r="AAX152" s="120"/>
      <c r="AAY152" s="120"/>
      <c r="AAZ152" s="120"/>
      <c r="ABA152" s="120"/>
      <c r="ABB152" s="120"/>
      <c r="ABC152" s="120"/>
      <c r="ABD152" s="120"/>
      <c r="ABE152" s="120"/>
      <c r="ABF152" s="120"/>
      <c r="ABG152" s="120"/>
      <c r="ABH152" s="120"/>
      <c r="ABI152" s="120"/>
      <c r="ABJ152" s="120"/>
      <c r="ABK152" s="120"/>
      <c r="ABL152" s="120"/>
      <c r="ABM152" s="120"/>
      <c r="ABN152" s="120"/>
      <c r="ABO152" s="120"/>
      <c r="ABP152" s="120"/>
      <c r="ABQ152" s="120"/>
      <c r="ABR152" s="120"/>
      <c r="ABS152" s="120"/>
      <c r="ABT152" s="120"/>
      <c r="ABU152" s="120"/>
      <c r="ABV152" s="120"/>
      <c r="ABW152" s="120"/>
      <c r="ABX152" s="120"/>
      <c r="ABY152" s="120"/>
      <c r="ABZ152" s="120"/>
      <c r="ACA152" s="120"/>
      <c r="ACB152" s="120"/>
      <c r="ACC152" s="120"/>
      <c r="ACD152" s="120"/>
      <c r="ACE152" s="120"/>
      <c r="ACF152" s="120"/>
      <c r="ACG152" s="120"/>
      <c r="ACH152" s="120"/>
      <c r="ACI152" s="120"/>
      <c r="ACJ152" s="120"/>
      <c r="ACK152" s="120"/>
      <c r="ACL152" s="120"/>
      <c r="ACM152" s="120"/>
      <c r="ACN152" s="120"/>
      <c r="ACO152" s="120"/>
      <c r="ACP152" s="120"/>
      <c r="ACQ152" s="120"/>
      <c r="ACR152" s="120"/>
      <c r="ACS152" s="120"/>
      <c r="ACT152" s="120"/>
      <c r="ACU152" s="120"/>
      <c r="ACV152" s="120"/>
      <c r="ACW152" s="120"/>
      <c r="ACX152" s="120"/>
      <c r="ACY152" s="120"/>
      <c r="ACZ152" s="120"/>
      <c r="ADA152" s="120"/>
      <c r="ADB152" s="120"/>
      <c r="ADC152" s="120"/>
      <c r="ADD152" s="120"/>
      <c r="ADE152" s="120"/>
      <c r="ADF152" s="120"/>
      <c r="ADG152" s="120"/>
      <c r="ADH152" s="120"/>
      <c r="ADI152" s="120"/>
      <c r="ADJ152" s="120"/>
      <c r="ADK152" s="120"/>
      <c r="ADL152" s="120"/>
      <c r="ADM152" s="120"/>
      <c r="ADN152" s="120"/>
      <c r="ADO152" s="120"/>
      <c r="ADP152" s="120"/>
      <c r="ADQ152" s="120"/>
      <c r="ADR152" s="120"/>
      <c r="ADS152" s="120"/>
      <c r="ADT152" s="120"/>
      <c r="ADU152" s="120"/>
      <c r="ADV152" s="120"/>
      <c r="ADW152" s="120"/>
      <c r="ADX152" s="120"/>
      <c r="ADY152" s="120"/>
      <c r="ADZ152" s="120"/>
      <c r="AEA152" s="120"/>
      <c r="AEB152" s="120"/>
      <c r="AEC152" s="120"/>
      <c r="AED152" s="120"/>
      <c r="AEE152" s="120"/>
      <c r="AEF152" s="120"/>
      <c r="AEG152" s="120"/>
      <c r="AEH152" s="120"/>
      <c r="AEI152" s="120"/>
      <c r="AEJ152" s="120"/>
      <c r="AEK152" s="120"/>
      <c r="AEL152" s="120"/>
      <c r="AEM152" s="120"/>
      <c r="AEN152" s="120"/>
      <c r="AEO152" s="120"/>
      <c r="AEP152" s="120"/>
      <c r="AEQ152" s="120"/>
      <c r="AER152" s="120"/>
      <c r="AES152" s="120"/>
      <c r="AET152" s="120"/>
      <c r="AEU152" s="120"/>
      <c r="AEV152" s="120"/>
      <c r="AEW152" s="120"/>
      <c r="AEX152" s="120"/>
      <c r="AEY152" s="120"/>
      <c r="AEZ152" s="120"/>
      <c r="AFA152" s="120"/>
      <c r="AFB152" s="120"/>
      <c r="AFC152" s="120"/>
      <c r="AFD152" s="120"/>
      <c r="AFE152" s="120"/>
      <c r="AFF152" s="120"/>
      <c r="AFG152" s="120"/>
      <c r="AFH152" s="120"/>
      <c r="AFI152" s="120"/>
      <c r="AFJ152" s="120"/>
      <c r="AFK152" s="120"/>
      <c r="AFL152" s="120"/>
      <c r="AFM152" s="120"/>
      <c r="AFN152" s="120"/>
      <c r="AFO152" s="120"/>
      <c r="AFP152" s="120"/>
      <c r="AFQ152" s="120"/>
      <c r="AFR152" s="120"/>
      <c r="AFS152" s="120"/>
      <c r="AFT152" s="120"/>
      <c r="AFU152" s="120"/>
      <c r="AFV152" s="120"/>
      <c r="AFW152" s="120"/>
      <c r="AFX152" s="120"/>
      <c r="AFY152" s="120"/>
      <c r="AFZ152" s="120"/>
      <c r="AGA152" s="120"/>
      <c r="AGB152" s="120"/>
      <c r="AGC152" s="120"/>
      <c r="AGD152" s="120"/>
      <c r="AGE152" s="120"/>
      <c r="AGF152" s="120"/>
      <c r="AGG152" s="120"/>
      <c r="AGH152" s="120"/>
      <c r="AGI152" s="120"/>
      <c r="AGJ152" s="120"/>
      <c r="AGK152" s="120"/>
      <c r="AGL152" s="120"/>
      <c r="AGM152" s="120"/>
      <c r="AGN152" s="120"/>
      <c r="AGO152" s="120"/>
      <c r="AGP152" s="120"/>
      <c r="AGQ152" s="120"/>
      <c r="AGR152" s="120"/>
      <c r="AGS152" s="120"/>
      <c r="AGT152" s="120"/>
      <c r="AGU152" s="120"/>
      <c r="AGV152" s="120"/>
      <c r="AGW152" s="120"/>
      <c r="AGX152" s="120"/>
      <c r="AGY152" s="120"/>
      <c r="AGZ152" s="120"/>
      <c r="AHA152" s="120"/>
      <c r="AHB152" s="120"/>
      <c r="AHC152" s="120"/>
      <c r="AHD152" s="120"/>
      <c r="AHE152" s="120"/>
      <c r="AHF152" s="120"/>
      <c r="AHG152" s="120"/>
      <c r="AHH152" s="120"/>
      <c r="AHI152" s="120"/>
      <c r="AHJ152" s="120"/>
      <c r="AHK152" s="120"/>
      <c r="AHL152" s="120"/>
      <c r="AHM152" s="120"/>
      <c r="AHN152" s="120"/>
      <c r="AHO152" s="120"/>
      <c r="AHP152" s="120"/>
      <c r="AHQ152" s="120"/>
      <c r="AHR152" s="120"/>
      <c r="AHS152" s="120"/>
      <c r="AHT152" s="120"/>
      <c r="AHU152" s="120"/>
      <c r="AHV152" s="120"/>
      <c r="AHW152" s="120"/>
      <c r="AHX152" s="120"/>
      <c r="AHY152" s="120"/>
      <c r="AHZ152" s="120"/>
      <c r="AIA152" s="120"/>
      <c r="AIB152" s="120"/>
      <c r="AIC152" s="120"/>
      <c r="AID152" s="120"/>
      <c r="AIE152" s="120"/>
      <c r="AIF152" s="120"/>
      <c r="AIG152" s="120"/>
      <c r="AIH152" s="120"/>
      <c r="AII152" s="120"/>
      <c r="AIJ152" s="120"/>
      <c r="AIK152" s="120"/>
      <c r="AIL152" s="120"/>
      <c r="AIM152" s="120"/>
      <c r="AIN152" s="120"/>
      <c r="AIO152" s="120"/>
      <c r="AIP152" s="120"/>
      <c r="AIQ152" s="120"/>
      <c r="AIR152" s="120"/>
      <c r="AIS152" s="120"/>
      <c r="AIT152" s="120"/>
      <c r="AIU152" s="120"/>
      <c r="AIV152" s="120"/>
      <c r="AIW152" s="120"/>
      <c r="AIX152" s="120"/>
      <c r="AIY152" s="120"/>
      <c r="AIZ152" s="120"/>
    </row>
    <row r="153">
      <c r="A153" s="112" t="s">
        <v>7</v>
      </c>
      <c r="B153" s="112" t="s">
        <v>30</v>
      </c>
      <c r="C153" s="112"/>
      <c r="D153" s="113">
        <f t="shared" si="1"/>
        <v>587.1169667</v>
      </c>
      <c r="E153" s="112">
        <v>266.695883333334</v>
      </c>
      <c r="F153" s="113"/>
      <c r="G153" s="113"/>
      <c r="H153" s="113"/>
      <c r="I153" s="113"/>
      <c r="J153" s="113"/>
      <c r="K153" s="113"/>
      <c r="L153" s="112">
        <v>4.52531666666667</v>
      </c>
      <c r="M153" s="112">
        <v>9.46305</v>
      </c>
      <c r="N153" s="113"/>
      <c r="O153" s="112">
        <v>0.133283333333333</v>
      </c>
      <c r="P153" s="112">
        <v>111.974783333333</v>
      </c>
      <c r="Q153" s="113"/>
      <c r="R153" s="113"/>
      <c r="S153" s="113"/>
      <c r="T153" s="113"/>
      <c r="U153" s="113"/>
      <c r="V153" s="112">
        <v>2.12453333333333</v>
      </c>
      <c r="W153" s="112">
        <v>31.68975</v>
      </c>
      <c r="X153" s="113"/>
      <c r="Y153" s="113"/>
      <c r="Z153" s="113"/>
      <c r="AA153" s="113"/>
      <c r="AB153" s="113"/>
      <c r="AC153" s="112">
        <v>2.57146666666667</v>
      </c>
      <c r="AD153" s="112">
        <v>55.7862</v>
      </c>
      <c r="AE153" s="113"/>
      <c r="AF153" s="113"/>
      <c r="AG153" s="113"/>
      <c r="AH153" s="113"/>
      <c r="AI153" s="113"/>
      <c r="AJ153" s="112">
        <v>3.53028333333333</v>
      </c>
      <c r="AK153" s="112">
        <v>36.5689666666667</v>
      </c>
      <c r="AL153" s="113"/>
      <c r="AM153" s="113"/>
      <c r="AN153" s="113"/>
      <c r="AO153" s="112">
        <v>6.4768</v>
      </c>
      <c r="AP153" s="112">
        <v>8.64075</v>
      </c>
      <c r="AQ153" s="113"/>
      <c r="AR153" s="113"/>
      <c r="AS153" s="112">
        <v>1.9354</v>
      </c>
      <c r="AT153" s="112">
        <v>41.222</v>
      </c>
      <c r="AU153" s="113"/>
      <c r="AV153" s="112">
        <v>2.59821666666667</v>
      </c>
      <c r="AW153" s="112">
        <v>1.18028333333333</v>
      </c>
      <c r="AX153" s="113"/>
      <c r="AY153" s="113"/>
      <c r="AZ153" s="113"/>
      <c r="BA153" s="113"/>
      <c r="BB153" s="113"/>
      <c r="BC153" s="113"/>
      <c r="BD153" s="113"/>
      <c r="BE153" s="113"/>
      <c r="BF153" s="113"/>
      <c r="BG153" s="113"/>
      <c r="BH153" s="113"/>
      <c r="BI153" s="113"/>
      <c r="BJ153" s="113"/>
      <c r="BK153" s="113"/>
      <c r="BL153" s="113"/>
      <c r="BM153" s="113"/>
      <c r="BN153" s="113"/>
      <c r="BO153" s="113"/>
      <c r="BP153" s="113"/>
      <c r="BQ153" s="113"/>
      <c r="BR153" s="113"/>
      <c r="BS153" s="113"/>
      <c r="BT153" s="113"/>
      <c r="BU153" s="113"/>
      <c r="BV153" s="113"/>
      <c r="BW153" s="113"/>
      <c r="BX153" s="113"/>
      <c r="BY153" s="113"/>
      <c r="BZ153" s="113"/>
      <c r="CA153" s="113"/>
      <c r="CB153" s="113"/>
      <c r="CC153" s="113"/>
      <c r="CD153" s="113"/>
      <c r="CE153" s="113"/>
      <c r="CF153" s="113"/>
      <c r="CG153" s="113"/>
      <c r="CH153" s="113"/>
      <c r="CI153" s="113"/>
      <c r="CJ153" s="113"/>
      <c r="CK153" s="113"/>
      <c r="CL153" s="113"/>
      <c r="CM153" s="113"/>
      <c r="CN153" s="113"/>
      <c r="CO153" s="113"/>
      <c r="CP153" s="113"/>
      <c r="CQ153" s="113"/>
      <c r="CR153" s="113"/>
      <c r="CS153" s="113"/>
      <c r="CT153" s="113"/>
      <c r="CU153" s="113"/>
      <c r="CV153" s="113"/>
      <c r="CW153" s="113"/>
      <c r="CX153" s="113"/>
      <c r="CY153" s="113"/>
      <c r="CZ153" s="113"/>
      <c r="DA153" s="113"/>
      <c r="DB153" s="113"/>
      <c r="DC153" s="113"/>
      <c r="DD153" s="113"/>
      <c r="DE153" s="113"/>
      <c r="DF153" s="113"/>
      <c r="DG153" s="113"/>
      <c r="DH153" s="113"/>
      <c r="DI153" s="113"/>
      <c r="DJ153" s="113"/>
      <c r="DK153" s="113"/>
      <c r="DL153" s="113"/>
      <c r="DM153" s="113"/>
      <c r="DN153" s="113"/>
      <c r="DO153" s="113"/>
      <c r="DP153" s="113"/>
      <c r="DQ153" s="113"/>
      <c r="DR153" s="113"/>
      <c r="DS153" s="113"/>
      <c r="DT153" s="113"/>
      <c r="DU153" s="113"/>
      <c r="DV153" s="113"/>
      <c r="DW153" s="113"/>
      <c r="DX153" s="113"/>
      <c r="DY153" s="113"/>
      <c r="DZ153" s="113"/>
      <c r="EA153" s="113"/>
      <c r="EB153" s="113"/>
      <c r="EC153" s="113"/>
      <c r="ED153" s="113"/>
      <c r="EE153" s="113"/>
      <c r="EF153" s="113"/>
      <c r="EG153" s="113"/>
      <c r="EH153" s="113"/>
      <c r="EI153" s="113"/>
      <c r="EJ153" s="113"/>
      <c r="EK153" s="113"/>
      <c r="EL153" s="113"/>
      <c r="EM153" s="113"/>
      <c r="EN153" s="113"/>
      <c r="EO153" s="113"/>
      <c r="EP153" s="113"/>
      <c r="EQ153" s="113"/>
      <c r="ER153" s="113"/>
      <c r="ES153" s="113"/>
      <c r="ET153" s="113"/>
      <c r="EU153" s="113"/>
      <c r="EV153" s="113"/>
      <c r="EW153" s="113"/>
      <c r="EX153" s="113"/>
      <c r="EY153" s="113"/>
      <c r="EZ153" s="113"/>
      <c r="FA153" s="113"/>
      <c r="FB153" s="113"/>
      <c r="FC153" s="113"/>
      <c r="FD153" s="113"/>
      <c r="FE153" s="113"/>
      <c r="FF153" s="113"/>
      <c r="FG153" s="113"/>
      <c r="FH153" s="113"/>
      <c r="FI153" s="113"/>
      <c r="FJ153" s="113"/>
      <c r="FK153" s="113"/>
      <c r="FL153" s="113"/>
      <c r="FM153" s="113"/>
      <c r="FN153" s="113"/>
      <c r="FO153" s="113"/>
      <c r="FP153" s="113"/>
      <c r="FQ153" s="113"/>
      <c r="FR153" s="113"/>
      <c r="FS153" s="113"/>
      <c r="FT153" s="113"/>
      <c r="FU153" s="113"/>
      <c r="FV153" s="113"/>
      <c r="FW153" s="113"/>
      <c r="FX153" s="113"/>
      <c r="FY153" s="113"/>
      <c r="FZ153" s="113"/>
      <c r="GA153" s="113"/>
      <c r="GB153" s="113"/>
      <c r="GC153" s="113"/>
      <c r="GD153" s="113"/>
      <c r="GE153" s="113"/>
      <c r="GF153" s="113"/>
      <c r="GG153" s="113"/>
      <c r="GH153" s="113"/>
      <c r="GI153" s="113"/>
      <c r="GJ153" s="113"/>
      <c r="GK153" s="113"/>
      <c r="GL153" s="113"/>
      <c r="GM153" s="113"/>
      <c r="GN153" s="113"/>
      <c r="GO153" s="113"/>
      <c r="GP153" s="113"/>
      <c r="GQ153" s="113"/>
      <c r="GR153" s="113"/>
      <c r="GS153" s="113"/>
      <c r="GT153" s="113"/>
      <c r="GU153" s="113"/>
      <c r="GV153" s="113"/>
      <c r="GW153" s="113"/>
      <c r="GX153" s="113"/>
      <c r="GY153" s="113"/>
      <c r="GZ153" s="113"/>
      <c r="HA153" s="113"/>
      <c r="HB153" s="113"/>
      <c r="HC153" s="113"/>
      <c r="HD153" s="113"/>
      <c r="HE153" s="113"/>
      <c r="HF153" s="113"/>
      <c r="HG153" s="113"/>
      <c r="HH153" s="113"/>
      <c r="HI153" s="113"/>
      <c r="HJ153" s="113"/>
      <c r="HK153" s="113"/>
      <c r="HL153" s="113"/>
      <c r="HM153" s="113"/>
      <c r="HN153" s="113"/>
      <c r="HO153" s="113"/>
      <c r="HP153" s="113"/>
      <c r="HQ153" s="113"/>
      <c r="HR153" s="113"/>
      <c r="HS153" s="113"/>
      <c r="HT153" s="113"/>
      <c r="HU153" s="113"/>
      <c r="HV153" s="113"/>
      <c r="HW153" s="113"/>
      <c r="HX153" s="113"/>
      <c r="HY153" s="113"/>
      <c r="HZ153" s="113"/>
      <c r="IA153" s="113"/>
      <c r="IB153" s="113"/>
      <c r="IC153" s="113"/>
      <c r="ID153" s="113"/>
      <c r="IE153" s="113"/>
      <c r="IF153" s="113"/>
      <c r="IG153" s="113"/>
      <c r="IH153" s="113"/>
      <c r="II153" s="113"/>
      <c r="IJ153" s="113"/>
      <c r="IK153" s="113"/>
      <c r="IL153" s="113"/>
      <c r="IM153" s="113"/>
      <c r="IN153" s="113"/>
      <c r="IO153" s="113"/>
      <c r="IP153" s="113"/>
      <c r="IQ153" s="113"/>
      <c r="IR153" s="113"/>
      <c r="IS153" s="113"/>
      <c r="IT153" s="113"/>
      <c r="IU153" s="113"/>
      <c r="IV153" s="113"/>
      <c r="IW153" s="113"/>
      <c r="IX153" s="113"/>
      <c r="IY153" s="113"/>
      <c r="IZ153" s="113"/>
      <c r="JA153" s="113"/>
      <c r="JB153" s="113"/>
      <c r="JC153" s="113"/>
      <c r="JD153" s="113"/>
      <c r="JE153" s="113"/>
      <c r="JF153" s="113"/>
      <c r="JG153" s="113"/>
      <c r="JH153" s="113"/>
      <c r="JI153" s="113"/>
      <c r="JJ153" s="113"/>
      <c r="JK153" s="113"/>
      <c r="JL153" s="113"/>
      <c r="JM153" s="113"/>
      <c r="JN153" s="113"/>
      <c r="JO153" s="113"/>
      <c r="JP153" s="113"/>
      <c r="JQ153" s="113"/>
      <c r="JR153" s="113"/>
      <c r="JS153" s="113"/>
      <c r="JT153" s="113"/>
      <c r="JU153" s="113"/>
      <c r="JV153" s="113"/>
      <c r="JW153" s="113"/>
      <c r="JX153" s="113"/>
      <c r="JY153" s="113"/>
      <c r="JZ153" s="113"/>
      <c r="KA153" s="113"/>
      <c r="KB153" s="113"/>
      <c r="KC153" s="113"/>
      <c r="KD153" s="113"/>
      <c r="KE153" s="113"/>
      <c r="KF153" s="113"/>
      <c r="KG153" s="113"/>
      <c r="KH153" s="113"/>
      <c r="KI153" s="113"/>
      <c r="KJ153" s="113"/>
      <c r="KK153" s="113"/>
      <c r="KL153" s="113"/>
      <c r="KM153" s="113"/>
      <c r="KN153" s="113"/>
      <c r="KO153" s="113"/>
      <c r="KP153" s="113"/>
      <c r="KQ153" s="113"/>
      <c r="KR153" s="113"/>
      <c r="KS153" s="113"/>
      <c r="KT153" s="113"/>
      <c r="KU153" s="113"/>
      <c r="KV153" s="113"/>
      <c r="KW153" s="113"/>
      <c r="KX153" s="113"/>
      <c r="KY153" s="113"/>
      <c r="KZ153" s="113"/>
      <c r="LA153" s="113"/>
      <c r="LB153" s="113"/>
      <c r="LC153" s="113"/>
      <c r="LD153" s="113"/>
      <c r="LE153" s="113"/>
      <c r="LF153" s="113"/>
      <c r="LG153" s="113"/>
      <c r="LH153" s="113"/>
      <c r="LI153" s="113"/>
      <c r="LJ153" s="113"/>
      <c r="LK153" s="113"/>
      <c r="LL153" s="113"/>
      <c r="LM153" s="113"/>
      <c r="LN153" s="113"/>
      <c r="LO153" s="113"/>
      <c r="LP153" s="113"/>
      <c r="LQ153" s="113"/>
      <c r="LR153" s="113"/>
      <c r="LS153" s="113"/>
      <c r="LT153" s="113"/>
      <c r="LU153" s="113"/>
      <c r="LV153" s="113"/>
      <c r="LW153" s="113"/>
      <c r="LX153" s="113"/>
      <c r="LY153" s="113"/>
      <c r="LZ153" s="113"/>
      <c r="MA153" s="113"/>
      <c r="MB153" s="113"/>
      <c r="MC153" s="113"/>
      <c r="MD153" s="113"/>
      <c r="ME153" s="113"/>
      <c r="MF153" s="113"/>
      <c r="MG153" s="113"/>
      <c r="MH153" s="113"/>
      <c r="MI153" s="113"/>
      <c r="MJ153" s="113"/>
      <c r="MK153" s="113"/>
      <c r="ML153" s="113"/>
      <c r="MM153" s="113"/>
      <c r="MN153" s="113"/>
      <c r="MO153" s="113"/>
      <c r="MP153" s="113"/>
      <c r="MQ153" s="113"/>
      <c r="MR153" s="113"/>
      <c r="MS153" s="113"/>
      <c r="MT153" s="113"/>
      <c r="MU153" s="113"/>
      <c r="MV153" s="113"/>
      <c r="MW153" s="113"/>
      <c r="MX153" s="113"/>
      <c r="MY153" s="113"/>
      <c r="MZ153" s="113"/>
      <c r="NA153" s="113"/>
      <c r="NB153" s="113"/>
      <c r="NC153" s="113"/>
      <c r="ND153" s="113"/>
      <c r="NE153" s="113"/>
      <c r="NF153" s="113"/>
      <c r="NG153" s="113"/>
      <c r="NH153" s="113"/>
      <c r="NI153" s="113"/>
      <c r="NJ153" s="113"/>
      <c r="NK153" s="113"/>
      <c r="NL153" s="113"/>
      <c r="NM153" s="113"/>
      <c r="NN153" s="113"/>
      <c r="NO153" s="113"/>
      <c r="NP153" s="113"/>
      <c r="NQ153" s="113"/>
      <c r="NR153" s="113"/>
      <c r="NS153" s="113"/>
      <c r="NT153" s="113"/>
      <c r="NU153" s="113"/>
      <c r="NV153" s="113"/>
      <c r="NW153" s="113"/>
      <c r="NX153" s="113"/>
      <c r="NY153" s="113"/>
      <c r="NZ153" s="113"/>
      <c r="OA153" s="113"/>
      <c r="OB153" s="113"/>
      <c r="OC153" s="113"/>
      <c r="OD153" s="113"/>
      <c r="OE153" s="113"/>
      <c r="OF153" s="113"/>
      <c r="OG153" s="113"/>
      <c r="OH153" s="113"/>
      <c r="OI153" s="113"/>
      <c r="OJ153" s="113"/>
      <c r="OK153" s="113"/>
      <c r="OL153" s="113"/>
      <c r="OM153" s="113"/>
      <c r="ON153" s="113"/>
      <c r="OO153" s="113"/>
      <c r="OP153" s="113"/>
      <c r="OQ153" s="113"/>
      <c r="OR153" s="113"/>
      <c r="OS153" s="113"/>
      <c r="OT153" s="113"/>
      <c r="OU153" s="113"/>
      <c r="OV153" s="113"/>
      <c r="OW153" s="113"/>
      <c r="OX153" s="113"/>
      <c r="OY153" s="113"/>
      <c r="OZ153" s="113"/>
      <c r="PA153" s="113"/>
      <c r="PB153" s="113"/>
      <c r="PC153" s="113"/>
      <c r="PD153" s="113"/>
      <c r="PE153" s="113"/>
      <c r="PF153" s="113"/>
      <c r="PG153" s="113"/>
      <c r="PH153" s="113"/>
      <c r="PI153" s="113"/>
      <c r="PJ153" s="113"/>
      <c r="PK153" s="113"/>
      <c r="PL153" s="113"/>
      <c r="PM153" s="113"/>
      <c r="PN153" s="113"/>
      <c r="PO153" s="113"/>
      <c r="PP153" s="113"/>
      <c r="PQ153" s="113"/>
      <c r="PR153" s="113"/>
      <c r="PS153" s="113"/>
      <c r="PT153" s="113"/>
      <c r="PU153" s="113"/>
      <c r="PV153" s="113"/>
      <c r="PW153" s="113"/>
      <c r="PX153" s="113"/>
      <c r="PY153" s="113"/>
      <c r="PZ153" s="113"/>
      <c r="QA153" s="113"/>
      <c r="QB153" s="113"/>
      <c r="QC153" s="113"/>
      <c r="QD153" s="113"/>
      <c r="QE153" s="113"/>
      <c r="QF153" s="113"/>
      <c r="QG153" s="113"/>
      <c r="QH153" s="113"/>
      <c r="QI153" s="113"/>
      <c r="QJ153" s="113"/>
      <c r="QK153" s="113"/>
      <c r="QL153" s="113"/>
      <c r="QM153" s="113"/>
      <c r="QN153" s="113"/>
      <c r="QO153" s="113"/>
      <c r="QP153" s="113"/>
      <c r="QQ153" s="113"/>
      <c r="QR153" s="113"/>
      <c r="QS153" s="113"/>
      <c r="QT153" s="113"/>
      <c r="QU153" s="113"/>
      <c r="QV153" s="113"/>
      <c r="QW153" s="113"/>
      <c r="QX153" s="113"/>
      <c r="QY153" s="113"/>
      <c r="QZ153" s="113"/>
      <c r="RA153" s="113"/>
      <c r="RB153" s="113"/>
      <c r="RC153" s="113"/>
      <c r="RD153" s="113"/>
      <c r="RE153" s="113"/>
      <c r="RF153" s="113"/>
      <c r="RG153" s="113"/>
      <c r="RH153" s="113"/>
      <c r="RI153" s="113"/>
      <c r="RJ153" s="113"/>
      <c r="RK153" s="113"/>
      <c r="RL153" s="113"/>
      <c r="RM153" s="113"/>
      <c r="RN153" s="113"/>
      <c r="RO153" s="113"/>
      <c r="RP153" s="113"/>
      <c r="RQ153" s="113"/>
      <c r="RR153" s="113"/>
      <c r="RS153" s="113"/>
      <c r="RT153" s="113"/>
      <c r="RU153" s="113"/>
      <c r="RV153" s="113"/>
      <c r="RW153" s="113"/>
      <c r="RX153" s="113"/>
      <c r="RY153" s="113"/>
      <c r="RZ153" s="113"/>
      <c r="SA153" s="113"/>
      <c r="SB153" s="113"/>
      <c r="SC153" s="113"/>
      <c r="SD153" s="113"/>
      <c r="SE153" s="113"/>
      <c r="SF153" s="113"/>
      <c r="SG153" s="113"/>
      <c r="SH153" s="113"/>
      <c r="SI153" s="113"/>
      <c r="SJ153" s="113"/>
      <c r="SK153" s="113"/>
      <c r="SL153" s="113"/>
      <c r="SM153" s="113"/>
      <c r="SN153" s="113"/>
      <c r="SO153" s="113"/>
      <c r="SP153" s="113"/>
      <c r="SQ153" s="113"/>
      <c r="SR153" s="113"/>
      <c r="SS153" s="113"/>
      <c r="ST153" s="113"/>
      <c r="SU153" s="113"/>
      <c r="SV153" s="113"/>
      <c r="SW153" s="113"/>
      <c r="SX153" s="113"/>
      <c r="SY153" s="113"/>
      <c r="SZ153" s="113"/>
      <c r="TA153" s="113"/>
      <c r="TB153" s="113"/>
      <c r="TC153" s="113"/>
      <c r="TD153" s="113"/>
      <c r="TE153" s="113"/>
      <c r="TF153" s="113"/>
      <c r="TG153" s="113"/>
      <c r="TH153" s="113"/>
      <c r="TI153" s="113"/>
      <c r="TJ153" s="113"/>
      <c r="TK153" s="113"/>
      <c r="TL153" s="113"/>
      <c r="TM153" s="113"/>
      <c r="TN153" s="113"/>
      <c r="TO153" s="113"/>
      <c r="TP153" s="113"/>
      <c r="TQ153" s="113"/>
      <c r="TR153" s="113"/>
      <c r="TS153" s="113"/>
      <c r="TT153" s="113"/>
      <c r="TU153" s="113"/>
      <c r="TV153" s="113"/>
      <c r="TW153" s="113"/>
      <c r="TX153" s="113"/>
      <c r="TY153" s="113"/>
      <c r="TZ153" s="113"/>
      <c r="UA153" s="113"/>
      <c r="UB153" s="113"/>
      <c r="UC153" s="113"/>
      <c r="UD153" s="113"/>
      <c r="UE153" s="113"/>
      <c r="UF153" s="113"/>
      <c r="UG153" s="113"/>
      <c r="UH153" s="113"/>
      <c r="UI153" s="113"/>
      <c r="UJ153" s="113"/>
      <c r="UK153" s="113"/>
      <c r="UL153" s="113"/>
      <c r="UM153" s="113"/>
      <c r="UN153" s="113"/>
      <c r="UO153" s="113"/>
      <c r="UP153" s="113"/>
      <c r="UQ153" s="113"/>
      <c r="UR153" s="113"/>
      <c r="US153" s="113"/>
      <c r="UT153" s="113"/>
      <c r="UU153" s="113"/>
      <c r="UV153" s="113"/>
      <c r="UW153" s="113"/>
      <c r="UX153" s="113"/>
      <c r="UY153" s="113"/>
      <c r="UZ153" s="113"/>
      <c r="VA153" s="113"/>
      <c r="VB153" s="113"/>
      <c r="VC153" s="113"/>
      <c r="VD153" s="113"/>
      <c r="VE153" s="113"/>
      <c r="VF153" s="113"/>
      <c r="VG153" s="113"/>
      <c r="VH153" s="113"/>
      <c r="VI153" s="113"/>
      <c r="VJ153" s="113"/>
      <c r="VK153" s="113"/>
      <c r="VL153" s="113"/>
      <c r="VM153" s="113"/>
      <c r="VN153" s="113"/>
      <c r="VO153" s="113"/>
      <c r="VP153" s="113"/>
      <c r="VQ153" s="113"/>
      <c r="VR153" s="113"/>
      <c r="VS153" s="113"/>
      <c r="VT153" s="113"/>
      <c r="VU153" s="113"/>
      <c r="VV153" s="113"/>
      <c r="VW153" s="113"/>
      <c r="VX153" s="113"/>
      <c r="VY153" s="113"/>
      <c r="VZ153" s="113"/>
      <c r="WA153" s="113"/>
      <c r="WB153" s="113"/>
      <c r="WC153" s="113"/>
      <c r="WD153" s="113"/>
      <c r="WE153" s="113"/>
      <c r="WF153" s="113"/>
      <c r="WG153" s="113"/>
      <c r="WH153" s="113"/>
      <c r="WI153" s="113"/>
      <c r="WJ153" s="113"/>
      <c r="WK153" s="113"/>
      <c r="WL153" s="113"/>
      <c r="WM153" s="113"/>
      <c r="WN153" s="113"/>
      <c r="WO153" s="113"/>
      <c r="WP153" s="113"/>
      <c r="WQ153" s="113"/>
      <c r="WR153" s="113"/>
      <c r="WS153" s="113"/>
      <c r="WT153" s="113"/>
      <c r="WU153" s="113"/>
      <c r="WV153" s="113"/>
      <c r="WW153" s="113"/>
      <c r="WX153" s="113"/>
      <c r="WY153" s="113"/>
      <c r="WZ153" s="113"/>
      <c r="XA153" s="113"/>
      <c r="XB153" s="113"/>
      <c r="XC153" s="113"/>
      <c r="XD153" s="113"/>
      <c r="XE153" s="113"/>
      <c r="XF153" s="113"/>
      <c r="XG153" s="113"/>
      <c r="XH153" s="113"/>
      <c r="XI153" s="113"/>
      <c r="XJ153" s="113"/>
      <c r="XK153" s="113"/>
      <c r="XL153" s="113"/>
      <c r="XM153" s="113"/>
      <c r="XN153" s="113"/>
      <c r="XO153" s="113"/>
      <c r="XP153" s="113"/>
      <c r="XQ153" s="113"/>
      <c r="XR153" s="113"/>
      <c r="XS153" s="113"/>
      <c r="XT153" s="113"/>
      <c r="XU153" s="113"/>
      <c r="XV153" s="113"/>
      <c r="XW153" s="113"/>
      <c r="XX153" s="113"/>
      <c r="XY153" s="113"/>
      <c r="XZ153" s="113"/>
      <c r="YA153" s="113"/>
      <c r="YB153" s="113"/>
      <c r="YC153" s="113"/>
      <c r="YD153" s="113"/>
      <c r="YE153" s="113"/>
      <c r="YF153" s="113"/>
      <c r="YG153" s="113"/>
      <c r="YH153" s="113"/>
      <c r="YI153" s="113"/>
      <c r="YJ153" s="113"/>
      <c r="YK153" s="113"/>
      <c r="YL153" s="113"/>
      <c r="YM153" s="113"/>
      <c r="YN153" s="113"/>
      <c r="YO153" s="113"/>
      <c r="YP153" s="113"/>
      <c r="YQ153" s="113"/>
      <c r="YR153" s="113"/>
      <c r="YS153" s="113"/>
      <c r="YT153" s="113"/>
      <c r="YU153" s="113"/>
      <c r="YV153" s="113"/>
      <c r="YW153" s="113"/>
      <c r="YX153" s="113"/>
      <c r="YY153" s="113"/>
      <c r="YZ153" s="113"/>
      <c r="ZA153" s="113"/>
      <c r="ZB153" s="113"/>
      <c r="ZC153" s="113"/>
      <c r="ZD153" s="113"/>
      <c r="ZE153" s="113"/>
      <c r="ZF153" s="113"/>
      <c r="ZG153" s="113"/>
      <c r="ZH153" s="113"/>
      <c r="ZI153" s="113"/>
      <c r="ZJ153" s="113"/>
      <c r="ZK153" s="113"/>
      <c r="ZL153" s="113"/>
      <c r="ZM153" s="113"/>
      <c r="ZN153" s="113"/>
      <c r="ZO153" s="113"/>
      <c r="ZP153" s="113"/>
      <c r="ZQ153" s="113"/>
      <c r="ZR153" s="113"/>
      <c r="ZS153" s="113"/>
      <c r="ZT153" s="113"/>
      <c r="ZU153" s="113"/>
      <c r="ZV153" s="113"/>
      <c r="ZW153" s="113"/>
      <c r="ZX153" s="113"/>
      <c r="ZY153" s="113"/>
      <c r="ZZ153" s="113"/>
      <c r="AAA153" s="113"/>
      <c r="AAB153" s="113"/>
      <c r="AAC153" s="113"/>
      <c r="AAD153" s="113"/>
      <c r="AAE153" s="113"/>
      <c r="AAF153" s="113"/>
      <c r="AAG153" s="113"/>
      <c r="AAH153" s="113"/>
      <c r="AAI153" s="113"/>
      <c r="AAJ153" s="113"/>
      <c r="AAK153" s="113"/>
      <c r="AAL153" s="113"/>
      <c r="AAM153" s="113"/>
      <c r="AAN153" s="113"/>
      <c r="AAO153" s="113"/>
      <c r="AAP153" s="113"/>
      <c r="AAQ153" s="113"/>
      <c r="AAR153" s="113"/>
      <c r="AAS153" s="113"/>
      <c r="AAT153" s="113"/>
      <c r="AAU153" s="113"/>
      <c r="AAV153" s="113"/>
      <c r="AAW153" s="113"/>
      <c r="AAX153" s="113"/>
      <c r="AAY153" s="113"/>
      <c r="AAZ153" s="113"/>
      <c r="ABA153" s="113"/>
      <c r="ABB153" s="113"/>
      <c r="ABC153" s="113"/>
      <c r="ABD153" s="113"/>
      <c r="ABE153" s="113"/>
      <c r="ABF153" s="113"/>
      <c r="ABG153" s="113"/>
      <c r="ABH153" s="113"/>
      <c r="ABI153" s="113"/>
      <c r="ABJ153" s="113"/>
      <c r="ABK153" s="113"/>
      <c r="ABL153" s="113"/>
      <c r="ABM153" s="113"/>
      <c r="ABN153" s="113"/>
      <c r="ABO153" s="113"/>
      <c r="ABP153" s="113"/>
      <c r="ABQ153" s="113"/>
      <c r="ABR153" s="113"/>
      <c r="ABS153" s="113"/>
      <c r="ABT153" s="113"/>
      <c r="ABU153" s="113"/>
      <c r="ABV153" s="113"/>
      <c r="ABW153" s="113"/>
      <c r="ABX153" s="113"/>
      <c r="ABY153" s="113"/>
      <c r="ABZ153" s="113"/>
      <c r="ACA153" s="113"/>
      <c r="ACB153" s="113"/>
      <c r="ACC153" s="113"/>
      <c r="ACD153" s="113"/>
      <c r="ACE153" s="113"/>
      <c r="ACF153" s="113"/>
      <c r="ACG153" s="113"/>
      <c r="ACH153" s="113"/>
      <c r="ACI153" s="113"/>
      <c r="ACJ153" s="113"/>
      <c r="ACK153" s="113"/>
      <c r="ACL153" s="113"/>
      <c r="ACM153" s="113"/>
      <c r="ACN153" s="113"/>
      <c r="ACO153" s="113"/>
      <c r="ACP153" s="113"/>
      <c r="ACQ153" s="113"/>
      <c r="ACR153" s="113"/>
      <c r="ACS153" s="113"/>
      <c r="ACT153" s="113"/>
      <c r="ACU153" s="113"/>
      <c r="ACV153" s="113"/>
      <c r="ACW153" s="113"/>
      <c r="ACX153" s="113"/>
      <c r="ACY153" s="113"/>
      <c r="ACZ153" s="113"/>
      <c r="ADA153" s="113"/>
      <c r="ADB153" s="113"/>
      <c r="ADC153" s="113"/>
      <c r="ADD153" s="113"/>
      <c r="ADE153" s="113"/>
      <c r="ADF153" s="113"/>
      <c r="ADG153" s="113"/>
      <c r="ADH153" s="113"/>
      <c r="ADI153" s="113"/>
      <c r="ADJ153" s="113"/>
      <c r="ADK153" s="113"/>
      <c r="ADL153" s="113"/>
      <c r="ADM153" s="113"/>
      <c r="ADN153" s="113"/>
      <c r="ADO153" s="113"/>
      <c r="ADP153" s="113"/>
      <c r="ADQ153" s="113"/>
      <c r="ADR153" s="113"/>
      <c r="ADS153" s="113"/>
      <c r="ADT153" s="113"/>
      <c r="ADU153" s="113"/>
      <c r="ADV153" s="113"/>
      <c r="ADW153" s="113"/>
      <c r="ADX153" s="113"/>
      <c r="ADY153" s="113"/>
      <c r="ADZ153" s="113"/>
      <c r="AEA153" s="113"/>
      <c r="AEB153" s="113"/>
      <c r="AEC153" s="113"/>
      <c r="AED153" s="113"/>
      <c r="AEE153" s="113"/>
      <c r="AEF153" s="113"/>
      <c r="AEG153" s="113"/>
      <c r="AEH153" s="113"/>
      <c r="AEI153" s="113"/>
      <c r="AEJ153" s="113"/>
      <c r="AEK153" s="113"/>
      <c r="AEL153" s="113"/>
      <c r="AEM153" s="113"/>
      <c r="AEN153" s="113"/>
      <c r="AEO153" s="113"/>
      <c r="AEP153" s="113"/>
      <c r="AEQ153" s="113"/>
      <c r="AER153" s="113"/>
      <c r="AES153" s="113"/>
      <c r="AET153" s="113"/>
      <c r="AEU153" s="113"/>
      <c r="AEV153" s="113"/>
      <c r="AEW153" s="113"/>
      <c r="AEX153" s="113"/>
      <c r="AEY153" s="113"/>
      <c r="AEZ153" s="113"/>
      <c r="AFA153" s="113"/>
      <c r="AFB153" s="113"/>
      <c r="AFC153" s="113"/>
      <c r="AFD153" s="113"/>
      <c r="AFE153" s="113"/>
      <c r="AFF153" s="113"/>
      <c r="AFG153" s="113"/>
      <c r="AFH153" s="113"/>
      <c r="AFI153" s="113"/>
      <c r="AFJ153" s="113"/>
      <c r="AFK153" s="113"/>
      <c r="AFL153" s="113"/>
      <c r="AFM153" s="113"/>
      <c r="AFN153" s="113"/>
      <c r="AFO153" s="113"/>
      <c r="AFP153" s="113"/>
      <c r="AFQ153" s="113"/>
      <c r="AFR153" s="113"/>
      <c r="AFS153" s="113"/>
      <c r="AFT153" s="113"/>
      <c r="AFU153" s="113"/>
      <c r="AFV153" s="113"/>
      <c r="AFW153" s="113"/>
      <c r="AFX153" s="113"/>
      <c r="AFY153" s="113"/>
      <c r="AFZ153" s="113"/>
      <c r="AGA153" s="113"/>
      <c r="AGB153" s="113"/>
      <c r="AGC153" s="113"/>
      <c r="AGD153" s="113"/>
      <c r="AGE153" s="113"/>
      <c r="AGF153" s="113"/>
      <c r="AGG153" s="113"/>
      <c r="AGH153" s="113"/>
      <c r="AGI153" s="113"/>
      <c r="AGJ153" s="113"/>
      <c r="AGK153" s="113"/>
      <c r="AGL153" s="113"/>
      <c r="AGM153" s="113"/>
      <c r="AGN153" s="113"/>
      <c r="AGO153" s="113"/>
      <c r="AGP153" s="113"/>
      <c r="AGQ153" s="113"/>
      <c r="AGR153" s="113"/>
      <c r="AGS153" s="113"/>
      <c r="AGT153" s="113"/>
      <c r="AGU153" s="113"/>
      <c r="AGV153" s="113"/>
      <c r="AGW153" s="113"/>
      <c r="AGX153" s="113"/>
      <c r="AGY153" s="113"/>
      <c r="AGZ153" s="113"/>
      <c r="AHA153" s="113"/>
      <c r="AHB153" s="113"/>
      <c r="AHC153" s="113"/>
      <c r="AHD153" s="113"/>
      <c r="AHE153" s="113"/>
      <c r="AHF153" s="113"/>
      <c r="AHG153" s="113"/>
      <c r="AHH153" s="113"/>
      <c r="AHI153" s="113"/>
      <c r="AHJ153" s="113"/>
      <c r="AHK153" s="113"/>
      <c r="AHL153" s="113"/>
      <c r="AHM153" s="113"/>
      <c r="AHN153" s="113"/>
      <c r="AHO153" s="113"/>
      <c r="AHP153" s="113"/>
      <c r="AHQ153" s="113"/>
      <c r="AHR153" s="113"/>
      <c r="AHS153" s="113"/>
      <c r="AHT153" s="113"/>
      <c r="AHU153" s="113"/>
      <c r="AHV153" s="113"/>
      <c r="AHW153" s="113"/>
      <c r="AHX153" s="113"/>
      <c r="AHY153" s="113"/>
      <c r="AHZ153" s="113"/>
      <c r="AIA153" s="113"/>
      <c r="AIB153" s="113"/>
      <c r="AIC153" s="113"/>
      <c r="AID153" s="113"/>
      <c r="AIE153" s="113"/>
      <c r="AIF153" s="113"/>
      <c r="AIG153" s="113"/>
      <c r="AIH153" s="113"/>
      <c r="AII153" s="113"/>
      <c r="AIJ153" s="113"/>
      <c r="AIK153" s="113"/>
      <c r="AIL153" s="113"/>
      <c r="AIM153" s="113"/>
      <c r="AIN153" s="113"/>
      <c r="AIO153" s="113"/>
      <c r="AIP153" s="113"/>
      <c r="AIQ153" s="113"/>
      <c r="AIR153" s="113"/>
      <c r="AIS153" s="113"/>
      <c r="AIT153" s="113"/>
      <c r="AIU153" s="113"/>
      <c r="AIV153" s="113"/>
      <c r="AIW153" s="113"/>
      <c r="AIX153" s="113"/>
      <c r="AIY153" s="113"/>
      <c r="AIZ153" s="113"/>
    </row>
    <row r="154">
      <c r="A154" s="65" t="s">
        <v>7</v>
      </c>
      <c r="B154" s="65" t="s">
        <v>30</v>
      </c>
      <c r="C154" s="65"/>
      <c r="D154" s="64">
        <f t="shared" si="1"/>
        <v>505.9964167</v>
      </c>
      <c r="F154" s="65">
        <v>113.923616666667</v>
      </c>
      <c r="G154" s="65">
        <v>47.35745</v>
      </c>
      <c r="H154" s="65">
        <v>29.0063333333333</v>
      </c>
      <c r="I154" s="65">
        <v>4.89558333333333</v>
      </c>
      <c r="J154" s="65">
        <v>0.8659</v>
      </c>
      <c r="K154" s="65">
        <v>48.4447666666666</v>
      </c>
      <c r="N154" s="65">
        <v>5.50875</v>
      </c>
      <c r="Q154" s="65">
        <v>60.9294166666667</v>
      </c>
      <c r="R154" s="65">
        <v>22.0780333333333</v>
      </c>
      <c r="S154" s="65">
        <v>9.50571666666667</v>
      </c>
      <c r="T154" s="65">
        <v>2.56168333333333</v>
      </c>
      <c r="U154" s="65">
        <v>11.69155</v>
      </c>
      <c r="X154" s="65">
        <v>14.8999166666667</v>
      </c>
      <c r="Y154" s="65">
        <v>8.11306666666666</v>
      </c>
      <c r="Z154" s="65">
        <v>3.98333333333333</v>
      </c>
      <c r="AA154" s="65">
        <v>0.401283333333333</v>
      </c>
      <c r="AB154" s="65">
        <v>2.5153</v>
      </c>
      <c r="AE154" s="65">
        <v>21.7890333333333</v>
      </c>
      <c r="AF154" s="65">
        <v>20.7583</v>
      </c>
      <c r="AG154" s="65">
        <v>6.09101666666667</v>
      </c>
      <c r="AH154" s="65">
        <v>0.797533333333333</v>
      </c>
      <c r="AI154" s="65">
        <v>4.93965</v>
      </c>
      <c r="AL154" s="65">
        <v>4.28988333333333</v>
      </c>
      <c r="AM154" s="65">
        <v>1.82456666666667</v>
      </c>
      <c r="AN154" s="65">
        <v>18.7265333333333</v>
      </c>
      <c r="AQ154" s="65">
        <v>1.72665</v>
      </c>
      <c r="AR154" s="65">
        <v>4.49905</v>
      </c>
      <c r="AU154" s="65">
        <v>33.8725</v>
      </c>
    </row>
    <row r="155">
      <c r="A155" s="65" t="s">
        <v>7</v>
      </c>
      <c r="B155" s="65" t="s">
        <v>30</v>
      </c>
      <c r="C155" s="65"/>
      <c r="D155" s="64">
        <f t="shared" si="1"/>
        <v>0</v>
      </c>
    </row>
    <row r="156">
      <c r="A156" s="65" t="s">
        <v>7</v>
      </c>
      <c r="B156" s="65" t="s">
        <v>30</v>
      </c>
      <c r="C156" s="65"/>
      <c r="D156" s="64">
        <f t="shared" si="1"/>
        <v>477.15995</v>
      </c>
      <c r="F156" s="118">
        <f>HYPERLINK("https://docs.google.com/spreadsheets/d/1rgD9RGxEF_crZpyNRpr5BOzJRQaM4tHc", 104.91155)</f>
        <v>104.91155</v>
      </c>
      <c r="G156" s="118">
        <f>HYPERLINK("https://docs.google.com/spreadsheets/d/1l2wbE_ZSIrTkdIXKX2FhudbX9YdGbAJ4", 42.9693666666667)</f>
        <v>42.96936667</v>
      </c>
      <c r="H156" s="118">
        <f>HYPERLINK("https://docs.google.com/spreadsheets/d/1a8jhpSz-1ZciRh3HAsCN6otIeOOj0KxB", 28.89385)</f>
        <v>28.89385</v>
      </c>
      <c r="I156" s="118">
        <f>HYPERLINK("https://docs.google.com/spreadsheets/d/1cMOlseuwUN9-ZhuBPtd41ridFZ7Tsq0b", 4.89558333333333)</f>
        <v>4.895583333</v>
      </c>
      <c r="J156" s="118">
        <f>HYPERLINK("https://docs.google.com/spreadsheets/d/1spAYvlgdROcLcFe7RakuYjTbMdV5_c06", 0.4445)</f>
        <v>0.4445</v>
      </c>
      <c r="K156" s="118">
        <f>HYPERLINK("https://docs.google.com/spreadsheets/d/1mGiQv7vKvYxZ7dvWH7_scwX-Ur73Fdew", 48.0186833333333)</f>
        <v>48.01868333</v>
      </c>
      <c r="N156" s="118">
        <f>HYPERLINK("https://docs.google.com/spreadsheets/d/1szC18JOG_mxYdcHMCdLCJPn5z0tSh1zq", 5.50875)</f>
        <v>5.50875</v>
      </c>
      <c r="Q156" s="118">
        <f>HYPERLINK("https://docs.google.com/spreadsheets/d/1W7nc1ZTeY38KxL-7eq210KQ4h8dgjtNa", 53.5547833333333)</f>
        <v>53.55478333</v>
      </c>
      <c r="R156" s="118">
        <f>HYPERLINK("https://docs.google.com/spreadsheets/d/1VBjcA-m9V103GClXX_b8CKTcxJx6TCKC", 21.1005333333333)</f>
        <v>21.10053333</v>
      </c>
      <c r="S156" s="118">
        <f>HYPERLINK("https://docs.google.com/spreadsheets/d/10tEhpxCgjQvzCrhA-pUT5Nh7Unkm96px", 9.33433333333334)</f>
        <v>9.334333333</v>
      </c>
      <c r="T156" s="118">
        <f>HYPERLINK("https://docs.google.com/spreadsheets/d/1iGGBeLnPlEiTFyFq6eTUt7pmFxhByKt2", 1.73801666666667)</f>
        <v>1.738016667</v>
      </c>
      <c r="U156" s="118">
        <f>HYPERLINK("https://docs.google.com/spreadsheets/d/19QlCoyqRmflBxrZjwCzfTpp5cQLguotu", 10.9845333333333)</f>
        <v>10.98453333</v>
      </c>
      <c r="X156" s="118">
        <f>HYPERLINK("https://docs.google.com/spreadsheets/d/1x0LN8iitgbPyCpAWU8L6pzvSzJJOPXyr", 14.1863166666667)</f>
        <v>14.18631667</v>
      </c>
      <c r="Y156" s="118">
        <f>HYPERLINK("https://docs.google.com/spreadsheets/d/1sC850mkBIcPgVRG39qod6Zf4ahdk6mVl", 8.11303333333333)</f>
        <v>8.113033333</v>
      </c>
      <c r="Z156" s="118">
        <f>HYPERLINK("https://docs.google.com/spreadsheets/d/1BDBlWMmDB2RgqVCa0cZaFqzzVkDlg96Z", 3.98333333333333)</f>
        <v>3.983333333</v>
      </c>
      <c r="AA156" s="118">
        <f>HYPERLINK("https://docs.google.com/spreadsheets/d/1jn0smSL-g_-wgn65US7TDw4rcqfNgusZ", 0)</f>
        <v>0</v>
      </c>
      <c r="AB156" s="118">
        <f>HYPERLINK("https://docs.google.com/spreadsheets/d/1m9eK_Wp3mFzE1SsFfL65KYm3HEadHcBT", 2.4009)</f>
        <v>2.4009</v>
      </c>
      <c r="AE156" s="118">
        <f>HYPERLINK("https://docs.google.com/spreadsheets/d/1n6rhZI9FIGTvan9x9ze4hBS_Zx2YesUp", 21.7890166666667)</f>
        <v>21.78901667</v>
      </c>
      <c r="AF156" s="118">
        <f>HYPERLINK("https://docs.google.com/spreadsheets/d/1mdwiUUpax6P_YGTAnzZ9JueZqhYfIQOG", 19.7600333333333)</f>
        <v>19.76003333</v>
      </c>
      <c r="AG156" s="118">
        <f>HYPERLINK("https://docs.google.com/spreadsheets/d/13ukqbdKogVuGPw-wp-Q-HZ3phqb1CSeU", 6.09098333333333)</f>
        <v>6.090983333</v>
      </c>
      <c r="AH156" s="118">
        <f>HYPERLINK("https://docs.google.com/spreadsheets/d/1Ow5bQX7rMbXuaAenlnDFONWUiZIa2iZW", 0.725283333333333)</f>
        <v>0.7252833333</v>
      </c>
      <c r="AI156" s="118">
        <f>HYPERLINK("https://docs.google.com/spreadsheets/d/1qkEnj14wIWaZPiaqUamdYnGXp-BhDO0I", 4.93961666666667)</f>
        <v>4.939616667</v>
      </c>
      <c r="AL156" s="118">
        <f>HYPERLINK("https://docs.google.com/spreadsheets/d/1K8upJntf8Z-qXwWuXpltDcSQvXy702E0", 3.41245)</f>
        <v>3.41245</v>
      </c>
      <c r="AM156" s="118">
        <f>HYPERLINK("https://docs.google.com/spreadsheets/d/16MuBLG_AwsXSLz_3oizTYCo7OwtzFrtY", 1.82456666666667)</f>
        <v>1.824566667</v>
      </c>
      <c r="AN156" s="118">
        <f>HYPERLINK("https://docs.google.com/spreadsheets/d/1QhlSeupTWRylmlDNxHzAGvyvE2n86zwG", 18.6002333333333)</f>
        <v>18.60023333</v>
      </c>
      <c r="AQ156" s="118">
        <f>HYPERLINK("https://docs.google.com/spreadsheets/d/1HDYmhKeF8LplOFWxhz7UV_1tORfe9T_Y", 1.72665)</f>
        <v>1.72665</v>
      </c>
      <c r="AR156" s="118">
        <f>HYPERLINK("https://docs.google.com/spreadsheets/d/10O2nKqQCNm8ZWIdt9LpRzDpUm9z3ycjp", 4.33281666666667)</f>
        <v>4.332816667</v>
      </c>
      <c r="AU156" s="118">
        <f>HYPERLINK("https://docs.google.com/spreadsheets/d/1NIuyIvc8Hdplkv8PLgaQNs12Ict-fZno", 32.9202333333333)</f>
        <v>32.92023333</v>
      </c>
    </row>
    <row r="157">
      <c r="A157" s="65" t="s">
        <v>7</v>
      </c>
      <c r="B157" s="65" t="s">
        <v>30</v>
      </c>
      <c r="C157" s="65"/>
      <c r="D157" s="64">
        <f t="shared" si="1"/>
        <v>145.8126</v>
      </c>
      <c r="F157" s="65">
        <v>43.9654833333333</v>
      </c>
      <c r="G157" s="65">
        <v>11.6128833333333</v>
      </c>
      <c r="H157" s="65">
        <v>4.54753333333333</v>
      </c>
      <c r="I157" s="65">
        <v>0.0</v>
      </c>
      <c r="J157" s="65">
        <v>0.0</v>
      </c>
      <c r="K157" s="65">
        <v>33.2375333333333</v>
      </c>
      <c r="N157" s="65">
        <v>0.173666666666667</v>
      </c>
      <c r="Q157" s="65">
        <v>13.8123333333333</v>
      </c>
      <c r="R157" s="65">
        <v>5.48215</v>
      </c>
      <c r="S157" s="65">
        <v>1.83275</v>
      </c>
      <c r="T157" s="65">
        <v>0.0</v>
      </c>
      <c r="U157" s="65">
        <v>3.99978333333333</v>
      </c>
      <c r="X157" s="65">
        <v>1.56035</v>
      </c>
      <c r="Y157" s="65">
        <v>2.03308333333333</v>
      </c>
      <c r="Z157" s="65">
        <v>0.0</v>
      </c>
      <c r="AB157" s="65">
        <v>0.453083333333333</v>
      </c>
      <c r="AE157" s="65">
        <v>2.16303333333333</v>
      </c>
      <c r="AF157" s="65">
        <v>5.40273333333333</v>
      </c>
      <c r="AG157" s="65">
        <v>0.0</v>
      </c>
      <c r="AH157" s="65">
        <v>0.191816666666667</v>
      </c>
      <c r="AI157" s="65">
        <v>0.0987833333333333</v>
      </c>
      <c r="AL157" s="65">
        <v>0.2623</v>
      </c>
      <c r="AM157" s="65">
        <v>0.412183333333333</v>
      </c>
      <c r="AN157" s="65">
        <v>3.53558333333333</v>
      </c>
      <c r="AQ157" s="65">
        <v>0.1367</v>
      </c>
      <c r="AR157" s="65">
        <v>0.602716666666667</v>
      </c>
      <c r="AU157" s="65">
        <v>10.2961166666667</v>
      </c>
    </row>
    <row r="158">
      <c r="A158" s="119" t="s">
        <v>7</v>
      </c>
      <c r="B158" s="119" t="s">
        <v>30</v>
      </c>
      <c r="C158" s="119"/>
      <c r="D158" s="120">
        <f t="shared" si="1"/>
        <v>0</v>
      </c>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c r="AA158" s="120"/>
      <c r="AB158" s="120"/>
      <c r="AC158" s="120"/>
      <c r="AD158" s="120"/>
      <c r="AE158" s="120"/>
      <c r="AF158" s="120"/>
      <c r="AG158" s="120"/>
      <c r="AH158" s="120"/>
      <c r="AI158" s="120"/>
      <c r="AJ158" s="120"/>
      <c r="AK158" s="120"/>
      <c r="AL158" s="120"/>
      <c r="AM158" s="120"/>
      <c r="AN158" s="120"/>
      <c r="AO158" s="120"/>
      <c r="AP158" s="120"/>
      <c r="AQ158" s="120"/>
      <c r="AR158" s="120"/>
      <c r="AS158" s="120"/>
      <c r="AT158" s="120"/>
      <c r="AU158" s="120"/>
      <c r="AV158" s="120"/>
      <c r="AW158" s="120"/>
      <c r="AX158" s="120"/>
      <c r="AY158" s="120"/>
      <c r="AZ158" s="120"/>
      <c r="BA158" s="120"/>
      <c r="BB158" s="120"/>
      <c r="BC158" s="120"/>
      <c r="BD158" s="120"/>
      <c r="BE158" s="120"/>
      <c r="BF158" s="120"/>
      <c r="BG158" s="120"/>
      <c r="BH158" s="120"/>
      <c r="BI158" s="120"/>
      <c r="BJ158" s="120"/>
      <c r="BK158" s="120"/>
      <c r="BL158" s="120"/>
      <c r="BM158" s="120"/>
      <c r="BN158" s="120"/>
      <c r="BO158" s="120"/>
      <c r="BP158" s="120"/>
      <c r="BQ158" s="120"/>
      <c r="BR158" s="120"/>
      <c r="BS158" s="120"/>
      <c r="BT158" s="120"/>
      <c r="BU158" s="120"/>
      <c r="BV158" s="120"/>
      <c r="BW158" s="120"/>
      <c r="BX158" s="120"/>
      <c r="BY158" s="120"/>
      <c r="BZ158" s="120"/>
      <c r="CA158" s="120"/>
      <c r="CB158" s="120"/>
      <c r="CC158" s="120"/>
      <c r="CD158" s="120"/>
      <c r="CE158" s="120"/>
      <c r="CF158" s="120"/>
      <c r="CG158" s="120"/>
      <c r="CH158" s="120"/>
      <c r="CI158" s="120"/>
      <c r="CJ158" s="120"/>
      <c r="CK158" s="120"/>
      <c r="CL158" s="120"/>
      <c r="CM158" s="120"/>
      <c r="CN158" s="120"/>
      <c r="CO158" s="120"/>
      <c r="CP158" s="120"/>
      <c r="CQ158" s="120"/>
      <c r="CR158" s="120"/>
      <c r="CS158" s="120"/>
      <c r="CT158" s="120"/>
      <c r="CU158" s="120"/>
      <c r="CV158" s="120"/>
      <c r="CW158" s="120"/>
      <c r="CX158" s="120"/>
      <c r="CY158" s="120"/>
      <c r="CZ158" s="120"/>
      <c r="DA158" s="120"/>
      <c r="DB158" s="120"/>
      <c r="DC158" s="120"/>
      <c r="DD158" s="120"/>
      <c r="DE158" s="120"/>
      <c r="DF158" s="120"/>
      <c r="DG158" s="120"/>
      <c r="DH158" s="120"/>
      <c r="DI158" s="120"/>
      <c r="DJ158" s="120"/>
      <c r="DK158" s="120"/>
      <c r="DL158" s="120"/>
      <c r="DM158" s="120"/>
      <c r="DN158" s="120"/>
      <c r="DO158" s="120"/>
      <c r="DP158" s="120"/>
      <c r="DQ158" s="120"/>
      <c r="DR158" s="120"/>
      <c r="DS158" s="120"/>
      <c r="DT158" s="120"/>
      <c r="DU158" s="120"/>
      <c r="DV158" s="120"/>
      <c r="DW158" s="120"/>
      <c r="DX158" s="120"/>
      <c r="DY158" s="120"/>
      <c r="DZ158" s="120"/>
      <c r="EA158" s="120"/>
      <c r="EB158" s="120"/>
      <c r="EC158" s="120"/>
      <c r="ED158" s="120"/>
      <c r="EE158" s="120"/>
      <c r="EF158" s="120"/>
      <c r="EG158" s="120"/>
      <c r="EH158" s="120"/>
      <c r="EI158" s="120"/>
      <c r="EJ158" s="120"/>
      <c r="EK158" s="120"/>
      <c r="EL158" s="120"/>
      <c r="EM158" s="120"/>
      <c r="EN158" s="120"/>
      <c r="EO158" s="120"/>
      <c r="EP158" s="120"/>
      <c r="EQ158" s="120"/>
      <c r="ER158" s="120"/>
      <c r="ES158" s="120"/>
      <c r="ET158" s="120"/>
      <c r="EU158" s="120"/>
      <c r="EV158" s="120"/>
      <c r="EW158" s="120"/>
      <c r="EX158" s="120"/>
      <c r="EY158" s="120"/>
      <c r="EZ158" s="120"/>
      <c r="FA158" s="120"/>
      <c r="FB158" s="120"/>
      <c r="FC158" s="120"/>
      <c r="FD158" s="120"/>
      <c r="FE158" s="120"/>
      <c r="FF158" s="120"/>
      <c r="FG158" s="120"/>
      <c r="FH158" s="120"/>
      <c r="FI158" s="120"/>
      <c r="FJ158" s="120"/>
      <c r="FK158" s="120"/>
      <c r="FL158" s="120"/>
      <c r="FM158" s="120"/>
      <c r="FN158" s="120"/>
      <c r="FO158" s="120"/>
      <c r="FP158" s="120"/>
      <c r="FQ158" s="120"/>
      <c r="FR158" s="120"/>
      <c r="FS158" s="120"/>
      <c r="FT158" s="120"/>
      <c r="FU158" s="120"/>
      <c r="FV158" s="120"/>
      <c r="FW158" s="120"/>
      <c r="FX158" s="120"/>
      <c r="FY158" s="120"/>
      <c r="FZ158" s="120"/>
      <c r="GA158" s="120"/>
      <c r="GB158" s="120"/>
      <c r="GC158" s="120"/>
      <c r="GD158" s="120"/>
      <c r="GE158" s="120"/>
      <c r="GF158" s="120"/>
      <c r="GG158" s="120"/>
      <c r="GH158" s="120"/>
      <c r="GI158" s="120"/>
      <c r="GJ158" s="120"/>
      <c r="GK158" s="120"/>
      <c r="GL158" s="120"/>
      <c r="GM158" s="120"/>
      <c r="GN158" s="120"/>
      <c r="GO158" s="120"/>
      <c r="GP158" s="120"/>
      <c r="GQ158" s="120"/>
      <c r="GR158" s="120"/>
      <c r="GS158" s="120"/>
      <c r="GT158" s="120"/>
      <c r="GU158" s="120"/>
      <c r="GV158" s="120"/>
      <c r="GW158" s="120"/>
      <c r="GX158" s="120"/>
      <c r="GY158" s="120"/>
      <c r="GZ158" s="120"/>
      <c r="HA158" s="120"/>
      <c r="HB158" s="120"/>
      <c r="HC158" s="120"/>
      <c r="HD158" s="120"/>
      <c r="HE158" s="120"/>
      <c r="HF158" s="120"/>
      <c r="HG158" s="120"/>
      <c r="HH158" s="120"/>
      <c r="HI158" s="120"/>
      <c r="HJ158" s="120"/>
      <c r="HK158" s="120"/>
      <c r="HL158" s="120"/>
      <c r="HM158" s="120"/>
      <c r="HN158" s="120"/>
      <c r="HO158" s="120"/>
      <c r="HP158" s="120"/>
      <c r="HQ158" s="120"/>
      <c r="HR158" s="120"/>
      <c r="HS158" s="120"/>
      <c r="HT158" s="120"/>
      <c r="HU158" s="120"/>
      <c r="HV158" s="120"/>
      <c r="HW158" s="120"/>
      <c r="HX158" s="120"/>
      <c r="HY158" s="120"/>
      <c r="HZ158" s="120"/>
      <c r="IA158" s="120"/>
      <c r="IB158" s="120"/>
      <c r="IC158" s="120"/>
      <c r="ID158" s="120"/>
      <c r="IE158" s="120"/>
      <c r="IF158" s="120"/>
      <c r="IG158" s="120"/>
      <c r="IH158" s="120"/>
      <c r="II158" s="120"/>
      <c r="IJ158" s="120"/>
      <c r="IK158" s="120"/>
      <c r="IL158" s="120"/>
      <c r="IM158" s="120"/>
      <c r="IN158" s="120"/>
      <c r="IO158" s="120"/>
      <c r="IP158" s="120"/>
      <c r="IQ158" s="120"/>
      <c r="IR158" s="120"/>
      <c r="IS158" s="120"/>
      <c r="IT158" s="120"/>
      <c r="IU158" s="120"/>
      <c r="IV158" s="120"/>
      <c r="IW158" s="120"/>
      <c r="IX158" s="120"/>
      <c r="IY158" s="120"/>
      <c r="IZ158" s="120"/>
      <c r="JA158" s="120"/>
      <c r="JB158" s="120"/>
      <c r="JC158" s="120"/>
      <c r="JD158" s="120"/>
      <c r="JE158" s="120"/>
      <c r="JF158" s="120"/>
      <c r="JG158" s="120"/>
      <c r="JH158" s="120"/>
      <c r="JI158" s="120"/>
      <c r="JJ158" s="120"/>
      <c r="JK158" s="120"/>
      <c r="JL158" s="120"/>
      <c r="JM158" s="120"/>
      <c r="JN158" s="120"/>
      <c r="JO158" s="120"/>
      <c r="JP158" s="120"/>
      <c r="JQ158" s="120"/>
      <c r="JR158" s="120"/>
      <c r="JS158" s="120"/>
      <c r="JT158" s="120"/>
      <c r="JU158" s="120"/>
      <c r="JV158" s="120"/>
      <c r="JW158" s="120"/>
      <c r="JX158" s="120"/>
      <c r="JY158" s="120"/>
      <c r="JZ158" s="120"/>
      <c r="KA158" s="120"/>
      <c r="KB158" s="120"/>
      <c r="KC158" s="120"/>
      <c r="KD158" s="120"/>
      <c r="KE158" s="120"/>
      <c r="KF158" s="120"/>
      <c r="KG158" s="120"/>
      <c r="KH158" s="120"/>
      <c r="KI158" s="120"/>
      <c r="KJ158" s="120"/>
      <c r="KK158" s="120"/>
      <c r="KL158" s="120"/>
      <c r="KM158" s="120"/>
      <c r="KN158" s="120"/>
      <c r="KO158" s="120"/>
      <c r="KP158" s="120"/>
      <c r="KQ158" s="120"/>
      <c r="KR158" s="120"/>
      <c r="KS158" s="120"/>
      <c r="KT158" s="120"/>
      <c r="KU158" s="120"/>
      <c r="KV158" s="120"/>
      <c r="KW158" s="120"/>
      <c r="KX158" s="120"/>
      <c r="KY158" s="120"/>
      <c r="KZ158" s="120"/>
      <c r="LA158" s="120"/>
      <c r="LB158" s="120"/>
      <c r="LC158" s="120"/>
      <c r="LD158" s="120"/>
      <c r="LE158" s="120"/>
      <c r="LF158" s="120"/>
      <c r="LG158" s="120"/>
      <c r="LH158" s="120"/>
      <c r="LI158" s="120"/>
      <c r="LJ158" s="120"/>
      <c r="LK158" s="120"/>
      <c r="LL158" s="120"/>
      <c r="LM158" s="120"/>
      <c r="LN158" s="120"/>
      <c r="LO158" s="120"/>
      <c r="LP158" s="120"/>
      <c r="LQ158" s="120"/>
      <c r="LR158" s="120"/>
      <c r="LS158" s="120"/>
      <c r="LT158" s="120"/>
      <c r="LU158" s="120"/>
      <c r="LV158" s="120"/>
      <c r="LW158" s="120"/>
      <c r="LX158" s="120"/>
      <c r="LY158" s="120"/>
      <c r="LZ158" s="120"/>
      <c r="MA158" s="120"/>
      <c r="MB158" s="120"/>
      <c r="MC158" s="120"/>
      <c r="MD158" s="120"/>
      <c r="ME158" s="120"/>
      <c r="MF158" s="120"/>
      <c r="MG158" s="120"/>
      <c r="MH158" s="120"/>
      <c r="MI158" s="120"/>
      <c r="MJ158" s="120"/>
      <c r="MK158" s="120"/>
      <c r="ML158" s="120"/>
      <c r="MM158" s="120"/>
      <c r="MN158" s="120"/>
      <c r="MO158" s="120"/>
      <c r="MP158" s="120"/>
      <c r="MQ158" s="120"/>
      <c r="MR158" s="120"/>
      <c r="MS158" s="120"/>
      <c r="MT158" s="120"/>
      <c r="MU158" s="120"/>
      <c r="MV158" s="120"/>
      <c r="MW158" s="120"/>
      <c r="MX158" s="120"/>
      <c r="MY158" s="120"/>
      <c r="MZ158" s="120"/>
      <c r="NA158" s="120"/>
      <c r="NB158" s="120"/>
      <c r="NC158" s="120"/>
      <c r="ND158" s="120"/>
      <c r="NE158" s="120"/>
      <c r="NF158" s="120"/>
      <c r="NG158" s="120"/>
      <c r="NH158" s="120"/>
      <c r="NI158" s="120"/>
      <c r="NJ158" s="120"/>
      <c r="NK158" s="120"/>
      <c r="NL158" s="120"/>
      <c r="NM158" s="120"/>
      <c r="NN158" s="120"/>
      <c r="NO158" s="120"/>
      <c r="NP158" s="120"/>
      <c r="NQ158" s="120"/>
      <c r="NR158" s="120"/>
      <c r="NS158" s="120"/>
      <c r="NT158" s="120"/>
      <c r="NU158" s="120"/>
      <c r="NV158" s="120"/>
      <c r="NW158" s="120"/>
      <c r="NX158" s="120"/>
      <c r="NY158" s="120"/>
      <c r="NZ158" s="120"/>
      <c r="OA158" s="120"/>
      <c r="OB158" s="120"/>
      <c r="OC158" s="120"/>
      <c r="OD158" s="120"/>
      <c r="OE158" s="120"/>
      <c r="OF158" s="120"/>
      <c r="OG158" s="120"/>
      <c r="OH158" s="120"/>
      <c r="OI158" s="120"/>
      <c r="OJ158" s="120"/>
      <c r="OK158" s="120"/>
      <c r="OL158" s="120"/>
      <c r="OM158" s="120"/>
      <c r="ON158" s="120"/>
      <c r="OO158" s="120"/>
      <c r="OP158" s="120"/>
      <c r="OQ158" s="120"/>
      <c r="OR158" s="120"/>
      <c r="OS158" s="120"/>
      <c r="OT158" s="120"/>
      <c r="OU158" s="120"/>
      <c r="OV158" s="120"/>
      <c r="OW158" s="120"/>
      <c r="OX158" s="120"/>
      <c r="OY158" s="120"/>
      <c r="OZ158" s="120"/>
      <c r="PA158" s="120"/>
      <c r="PB158" s="120"/>
      <c r="PC158" s="120"/>
      <c r="PD158" s="120"/>
      <c r="PE158" s="120"/>
      <c r="PF158" s="120"/>
      <c r="PG158" s="120"/>
      <c r="PH158" s="120"/>
      <c r="PI158" s="120"/>
      <c r="PJ158" s="120"/>
      <c r="PK158" s="120"/>
      <c r="PL158" s="120"/>
      <c r="PM158" s="120"/>
      <c r="PN158" s="120"/>
      <c r="PO158" s="120"/>
      <c r="PP158" s="120"/>
      <c r="PQ158" s="120"/>
      <c r="PR158" s="120"/>
      <c r="PS158" s="120"/>
      <c r="PT158" s="120"/>
      <c r="PU158" s="120"/>
      <c r="PV158" s="120"/>
      <c r="PW158" s="120"/>
      <c r="PX158" s="120"/>
      <c r="PY158" s="120"/>
      <c r="PZ158" s="120"/>
      <c r="QA158" s="120"/>
      <c r="QB158" s="120"/>
      <c r="QC158" s="120"/>
      <c r="QD158" s="120"/>
      <c r="QE158" s="120"/>
      <c r="QF158" s="120"/>
      <c r="QG158" s="120"/>
      <c r="QH158" s="120"/>
      <c r="QI158" s="120"/>
      <c r="QJ158" s="120"/>
      <c r="QK158" s="120"/>
      <c r="QL158" s="120"/>
      <c r="QM158" s="120"/>
      <c r="QN158" s="120"/>
      <c r="QO158" s="120"/>
      <c r="QP158" s="120"/>
      <c r="QQ158" s="120"/>
      <c r="QR158" s="120"/>
      <c r="QS158" s="120"/>
      <c r="QT158" s="120"/>
      <c r="QU158" s="120"/>
      <c r="QV158" s="120"/>
      <c r="QW158" s="120"/>
      <c r="QX158" s="120"/>
      <c r="QY158" s="120"/>
      <c r="QZ158" s="120"/>
      <c r="RA158" s="120"/>
      <c r="RB158" s="120"/>
      <c r="RC158" s="120"/>
      <c r="RD158" s="120"/>
      <c r="RE158" s="120"/>
      <c r="RF158" s="120"/>
      <c r="RG158" s="120"/>
      <c r="RH158" s="120"/>
      <c r="RI158" s="120"/>
      <c r="RJ158" s="120"/>
      <c r="RK158" s="120"/>
      <c r="RL158" s="120"/>
      <c r="RM158" s="120"/>
      <c r="RN158" s="120"/>
      <c r="RO158" s="120"/>
      <c r="RP158" s="120"/>
      <c r="RQ158" s="120"/>
      <c r="RR158" s="120"/>
      <c r="RS158" s="120"/>
      <c r="RT158" s="120"/>
      <c r="RU158" s="120"/>
      <c r="RV158" s="120"/>
      <c r="RW158" s="120"/>
      <c r="RX158" s="120"/>
      <c r="RY158" s="120"/>
      <c r="RZ158" s="120"/>
      <c r="SA158" s="120"/>
      <c r="SB158" s="120"/>
      <c r="SC158" s="120"/>
      <c r="SD158" s="120"/>
      <c r="SE158" s="120"/>
      <c r="SF158" s="120"/>
      <c r="SG158" s="120"/>
      <c r="SH158" s="120"/>
      <c r="SI158" s="120"/>
      <c r="SJ158" s="120"/>
      <c r="SK158" s="120"/>
      <c r="SL158" s="120"/>
      <c r="SM158" s="120"/>
      <c r="SN158" s="120"/>
      <c r="SO158" s="120"/>
      <c r="SP158" s="120"/>
      <c r="SQ158" s="120"/>
      <c r="SR158" s="120"/>
      <c r="SS158" s="120"/>
      <c r="ST158" s="120"/>
      <c r="SU158" s="120"/>
      <c r="SV158" s="120"/>
      <c r="SW158" s="120"/>
      <c r="SX158" s="120"/>
      <c r="SY158" s="120"/>
      <c r="SZ158" s="120"/>
      <c r="TA158" s="120"/>
      <c r="TB158" s="120"/>
      <c r="TC158" s="120"/>
      <c r="TD158" s="120"/>
      <c r="TE158" s="120"/>
      <c r="TF158" s="120"/>
      <c r="TG158" s="120"/>
      <c r="TH158" s="120"/>
      <c r="TI158" s="120"/>
      <c r="TJ158" s="120"/>
      <c r="TK158" s="120"/>
      <c r="TL158" s="120"/>
      <c r="TM158" s="120"/>
      <c r="TN158" s="120"/>
      <c r="TO158" s="120"/>
      <c r="TP158" s="120"/>
      <c r="TQ158" s="120"/>
      <c r="TR158" s="120"/>
      <c r="TS158" s="120"/>
      <c r="TT158" s="120"/>
      <c r="TU158" s="120"/>
      <c r="TV158" s="120"/>
      <c r="TW158" s="120"/>
      <c r="TX158" s="120"/>
      <c r="TY158" s="120"/>
      <c r="TZ158" s="120"/>
      <c r="UA158" s="120"/>
      <c r="UB158" s="120"/>
      <c r="UC158" s="120"/>
      <c r="UD158" s="120"/>
      <c r="UE158" s="120"/>
      <c r="UF158" s="120"/>
      <c r="UG158" s="120"/>
      <c r="UH158" s="120"/>
      <c r="UI158" s="120"/>
      <c r="UJ158" s="120"/>
      <c r="UK158" s="120"/>
      <c r="UL158" s="120"/>
      <c r="UM158" s="120"/>
      <c r="UN158" s="120"/>
      <c r="UO158" s="120"/>
      <c r="UP158" s="120"/>
      <c r="UQ158" s="120"/>
      <c r="UR158" s="120"/>
      <c r="US158" s="120"/>
      <c r="UT158" s="120"/>
      <c r="UU158" s="120"/>
      <c r="UV158" s="120"/>
      <c r="UW158" s="120"/>
      <c r="UX158" s="120"/>
      <c r="UY158" s="120"/>
      <c r="UZ158" s="120"/>
      <c r="VA158" s="120"/>
      <c r="VB158" s="120"/>
      <c r="VC158" s="120"/>
      <c r="VD158" s="120"/>
      <c r="VE158" s="120"/>
      <c r="VF158" s="120"/>
      <c r="VG158" s="120"/>
      <c r="VH158" s="120"/>
      <c r="VI158" s="120"/>
      <c r="VJ158" s="120"/>
      <c r="VK158" s="120"/>
      <c r="VL158" s="120"/>
      <c r="VM158" s="120"/>
      <c r="VN158" s="120"/>
      <c r="VO158" s="120"/>
      <c r="VP158" s="120"/>
      <c r="VQ158" s="120"/>
      <c r="VR158" s="120"/>
      <c r="VS158" s="120"/>
      <c r="VT158" s="120"/>
      <c r="VU158" s="120"/>
      <c r="VV158" s="120"/>
      <c r="VW158" s="120"/>
      <c r="VX158" s="120"/>
      <c r="VY158" s="120"/>
      <c r="VZ158" s="120"/>
      <c r="WA158" s="120"/>
      <c r="WB158" s="120"/>
      <c r="WC158" s="120"/>
      <c r="WD158" s="120"/>
      <c r="WE158" s="120"/>
      <c r="WF158" s="120"/>
      <c r="WG158" s="120"/>
      <c r="WH158" s="120"/>
      <c r="WI158" s="120"/>
      <c r="WJ158" s="120"/>
      <c r="WK158" s="120"/>
      <c r="WL158" s="120"/>
      <c r="WM158" s="120"/>
      <c r="WN158" s="120"/>
      <c r="WO158" s="120"/>
      <c r="WP158" s="120"/>
      <c r="WQ158" s="120"/>
      <c r="WR158" s="120"/>
      <c r="WS158" s="120"/>
      <c r="WT158" s="120"/>
      <c r="WU158" s="120"/>
      <c r="WV158" s="120"/>
      <c r="WW158" s="120"/>
      <c r="WX158" s="120"/>
      <c r="WY158" s="120"/>
      <c r="WZ158" s="120"/>
      <c r="XA158" s="120"/>
      <c r="XB158" s="120"/>
      <c r="XC158" s="120"/>
      <c r="XD158" s="120"/>
      <c r="XE158" s="120"/>
      <c r="XF158" s="120"/>
      <c r="XG158" s="120"/>
      <c r="XH158" s="120"/>
      <c r="XI158" s="120"/>
      <c r="XJ158" s="120"/>
      <c r="XK158" s="120"/>
      <c r="XL158" s="120"/>
      <c r="XM158" s="120"/>
      <c r="XN158" s="120"/>
      <c r="XO158" s="120"/>
      <c r="XP158" s="120"/>
      <c r="XQ158" s="120"/>
      <c r="XR158" s="120"/>
      <c r="XS158" s="120"/>
      <c r="XT158" s="120"/>
      <c r="XU158" s="120"/>
      <c r="XV158" s="120"/>
      <c r="XW158" s="120"/>
      <c r="XX158" s="120"/>
      <c r="XY158" s="120"/>
      <c r="XZ158" s="120"/>
      <c r="YA158" s="120"/>
      <c r="YB158" s="120"/>
      <c r="YC158" s="120"/>
      <c r="YD158" s="120"/>
      <c r="YE158" s="120"/>
      <c r="YF158" s="120"/>
      <c r="YG158" s="120"/>
      <c r="YH158" s="120"/>
      <c r="YI158" s="120"/>
      <c r="YJ158" s="120"/>
      <c r="YK158" s="120"/>
      <c r="YL158" s="120"/>
      <c r="YM158" s="120"/>
      <c r="YN158" s="120"/>
      <c r="YO158" s="120"/>
      <c r="YP158" s="120"/>
      <c r="YQ158" s="120"/>
      <c r="YR158" s="120"/>
      <c r="YS158" s="120"/>
      <c r="YT158" s="120"/>
      <c r="YU158" s="120"/>
      <c r="YV158" s="120"/>
      <c r="YW158" s="120"/>
      <c r="YX158" s="120"/>
      <c r="YY158" s="120"/>
      <c r="YZ158" s="120"/>
      <c r="ZA158" s="120"/>
      <c r="ZB158" s="120"/>
      <c r="ZC158" s="120"/>
      <c r="ZD158" s="120"/>
      <c r="ZE158" s="120"/>
      <c r="ZF158" s="120"/>
      <c r="ZG158" s="120"/>
      <c r="ZH158" s="120"/>
      <c r="ZI158" s="120"/>
      <c r="ZJ158" s="120"/>
      <c r="ZK158" s="120"/>
      <c r="ZL158" s="120"/>
      <c r="ZM158" s="120"/>
      <c r="ZN158" s="120"/>
      <c r="ZO158" s="120"/>
      <c r="ZP158" s="120"/>
      <c r="ZQ158" s="120"/>
      <c r="ZR158" s="120"/>
      <c r="ZS158" s="120"/>
      <c r="ZT158" s="120"/>
      <c r="ZU158" s="120"/>
      <c r="ZV158" s="120"/>
      <c r="ZW158" s="120"/>
      <c r="ZX158" s="120"/>
      <c r="ZY158" s="120"/>
      <c r="ZZ158" s="120"/>
      <c r="AAA158" s="120"/>
      <c r="AAB158" s="120"/>
      <c r="AAC158" s="120"/>
      <c r="AAD158" s="120"/>
      <c r="AAE158" s="120"/>
      <c r="AAF158" s="120"/>
      <c r="AAG158" s="120"/>
      <c r="AAH158" s="120"/>
      <c r="AAI158" s="120"/>
      <c r="AAJ158" s="120"/>
      <c r="AAK158" s="120"/>
      <c r="AAL158" s="120"/>
      <c r="AAM158" s="120"/>
      <c r="AAN158" s="120"/>
      <c r="AAO158" s="120"/>
      <c r="AAP158" s="120"/>
      <c r="AAQ158" s="120"/>
      <c r="AAR158" s="120"/>
      <c r="AAS158" s="120"/>
      <c r="AAT158" s="120"/>
      <c r="AAU158" s="120"/>
      <c r="AAV158" s="120"/>
      <c r="AAW158" s="120"/>
      <c r="AAX158" s="120"/>
      <c r="AAY158" s="120"/>
      <c r="AAZ158" s="120"/>
      <c r="ABA158" s="120"/>
      <c r="ABB158" s="120"/>
      <c r="ABC158" s="120"/>
      <c r="ABD158" s="120"/>
      <c r="ABE158" s="120"/>
      <c r="ABF158" s="120"/>
      <c r="ABG158" s="120"/>
      <c r="ABH158" s="120"/>
      <c r="ABI158" s="120"/>
      <c r="ABJ158" s="120"/>
      <c r="ABK158" s="120"/>
      <c r="ABL158" s="120"/>
      <c r="ABM158" s="120"/>
      <c r="ABN158" s="120"/>
      <c r="ABO158" s="120"/>
      <c r="ABP158" s="120"/>
      <c r="ABQ158" s="120"/>
      <c r="ABR158" s="120"/>
      <c r="ABS158" s="120"/>
      <c r="ABT158" s="120"/>
      <c r="ABU158" s="120"/>
      <c r="ABV158" s="120"/>
      <c r="ABW158" s="120"/>
      <c r="ABX158" s="120"/>
      <c r="ABY158" s="120"/>
      <c r="ABZ158" s="120"/>
      <c r="ACA158" s="120"/>
      <c r="ACB158" s="120"/>
      <c r="ACC158" s="120"/>
      <c r="ACD158" s="120"/>
      <c r="ACE158" s="120"/>
      <c r="ACF158" s="120"/>
      <c r="ACG158" s="120"/>
      <c r="ACH158" s="120"/>
      <c r="ACI158" s="120"/>
      <c r="ACJ158" s="120"/>
      <c r="ACK158" s="120"/>
      <c r="ACL158" s="120"/>
      <c r="ACM158" s="120"/>
      <c r="ACN158" s="120"/>
      <c r="ACO158" s="120"/>
      <c r="ACP158" s="120"/>
      <c r="ACQ158" s="120"/>
      <c r="ACR158" s="120"/>
      <c r="ACS158" s="120"/>
      <c r="ACT158" s="120"/>
      <c r="ACU158" s="120"/>
      <c r="ACV158" s="120"/>
      <c r="ACW158" s="120"/>
      <c r="ACX158" s="120"/>
      <c r="ACY158" s="120"/>
      <c r="ACZ158" s="120"/>
      <c r="ADA158" s="120"/>
      <c r="ADB158" s="120"/>
      <c r="ADC158" s="120"/>
      <c r="ADD158" s="120"/>
      <c r="ADE158" s="120"/>
      <c r="ADF158" s="120"/>
      <c r="ADG158" s="120"/>
      <c r="ADH158" s="120"/>
      <c r="ADI158" s="120"/>
      <c r="ADJ158" s="120"/>
      <c r="ADK158" s="120"/>
      <c r="ADL158" s="120"/>
      <c r="ADM158" s="120"/>
      <c r="ADN158" s="120"/>
      <c r="ADO158" s="120"/>
      <c r="ADP158" s="120"/>
      <c r="ADQ158" s="120"/>
      <c r="ADR158" s="120"/>
      <c r="ADS158" s="120"/>
      <c r="ADT158" s="120"/>
      <c r="ADU158" s="120"/>
      <c r="ADV158" s="120"/>
      <c r="ADW158" s="120"/>
      <c r="ADX158" s="120"/>
      <c r="ADY158" s="120"/>
      <c r="ADZ158" s="120"/>
      <c r="AEA158" s="120"/>
      <c r="AEB158" s="120"/>
      <c r="AEC158" s="120"/>
      <c r="AED158" s="120"/>
      <c r="AEE158" s="120"/>
      <c r="AEF158" s="120"/>
      <c r="AEG158" s="120"/>
      <c r="AEH158" s="120"/>
      <c r="AEI158" s="120"/>
      <c r="AEJ158" s="120"/>
      <c r="AEK158" s="120"/>
      <c r="AEL158" s="120"/>
      <c r="AEM158" s="120"/>
      <c r="AEN158" s="120"/>
      <c r="AEO158" s="120"/>
      <c r="AEP158" s="120"/>
      <c r="AEQ158" s="120"/>
      <c r="AER158" s="120"/>
      <c r="AES158" s="120"/>
      <c r="AET158" s="120"/>
      <c r="AEU158" s="120"/>
      <c r="AEV158" s="120"/>
      <c r="AEW158" s="120"/>
      <c r="AEX158" s="120"/>
      <c r="AEY158" s="120"/>
      <c r="AEZ158" s="120"/>
      <c r="AFA158" s="120"/>
      <c r="AFB158" s="120"/>
      <c r="AFC158" s="120"/>
      <c r="AFD158" s="120"/>
      <c r="AFE158" s="120"/>
      <c r="AFF158" s="120"/>
      <c r="AFG158" s="120"/>
      <c r="AFH158" s="120"/>
      <c r="AFI158" s="120"/>
      <c r="AFJ158" s="120"/>
      <c r="AFK158" s="120"/>
      <c r="AFL158" s="120"/>
      <c r="AFM158" s="120"/>
      <c r="AFN158" s="120"/>
      <c r="AFO158" s="120"/>
      <c r="AFP158" s="120"/>
      <c r="AFQ158" s="120"/>
      <c r="AFR158" s="120"/>
      <c r="AFS158" s="120"/>
      <c r="AFT158" s="120"/>
      <c r="AFU158" s="120"/>
      <c r="AFV158" s="120"/>
      <c r="AFW158" s="120"/>
      <c r="AFX158" s="120"/>
      <c r="AFY158" s="120"/>
      <c r="AFZ158" s="120"/>
      <c r="AGA158" s="120"/>
      <c r="AGB158" s="120"/>
      <c r="AGC158" s="120"/>
      <c r="AGD158" s="120"/>
      <c r="AGE158" s="120"/>
      <c r="AGF158" s="120"/>
      <c r="AGG158" s="120"/>
      <c r="AGH158" s="120"/>
      <c r="AGI158" s="120"/>
      <c r="AGJ158" s="120"/>
      <c r="AGK158" s="120"/>
      <c r="AGL158" s="120"/>
      <c r="AGM158" s="120"/>
      <c r="AGN158" s="120"/>
      <c r="AGO158" s="120"/>
      <c r="AGP158" s="120"/>
      <c r="AGQ158" s="120"/>
      <c r="AGR158" s="120"/>
      <c r="AGS158" s="120"/>
      <c r="AGT158" s="120"/>
      <c r="AGU158" s="120"/>
      <c r="AGV158" s="120"/>
      <c r="AGW158" s="120"/>
      <c r="AGX158" s="120"/>
      <c r="AGY158" s="120"/>
      <c r="AGZ158" s="120"/>
      <c r="AHA158" s="120"/>
      <c r="AHB158" s="120"/>
      <c r="AHC158" s="120"/>
      <c r="AHD158" s="120"/>
      <c r="AHE158" s="120"/>
      <c r="AHF158" s="120"/>
      <c r="AHG158" s="120"/>
      <c r="AHH158" s="120"/>
      <c r="AHI158" s="120"/>
      <c r="AHJ158" s="120"/>
      <c r="AHK158" s="120"/>
      <c r="AHL158" s="120"/>
      <c r="AHM158" s="120"/>
      <c r="AHN158" s="120"/>
      <c r="AHO158" s="120"/>
      <c r="AHP158" s="120"/>
      <c r="AHQ158" s="120"/>
      <c r="AHR158" s="120"/>
      <c r="AHS158" s="120"/>
      <c r="AHT158" s="120"/>
      <c r="AHU158" s="120"/>
      <c r="AHV158" s="120"/>
      <c r="AHW158" s="120"/>
      <c r="AHX158" s="120"/>
      <c r="AHY158" s="120"/>
      <c r="AHZ158" s="120"/>
      <c r="AIA158" s="120"/>
      <c r="AIB158" s="120"/>
      <c r="AIC158" s="120"/>
      <c r="AID158" s="120"/>
      <c r="AIE158" s="120"/>
      <c r="AIF158" s="120"/>
      <c r="AIG158" s="120"/>
      <c r="AIH158" s="120"/>
      <c r="AII158" s="120"/>
      <c r="AIJ158" s="120"/>
      <c r="AIK158" s="120"/>
      <c r="AIL158" s="120"/>
      <c r="AIM158" s="120"/>
      <c r="AIN158" s="120"/>
      <c r="AIO158" s="120"/>
      <c r="AIP158" s="120"/>
      <c r="AIQ158" s="120"/>
      <c r="AIR158" s="120"/>
      <c r="AIS158" s="120"/>
      <c r="AIT158" s="120"/>
      <c r="AIU158" s="120"/>
      <c r="AIV158" s="120"/>
      <c r="AIW158" s="120"/>
      <c r="AIX158" s="120"/>
      <c r="AIY158" s="120"/>
      <c r="AIZ158" s="120"/>
    </row>
    <row r="159">
      <c r="A159" s="112" t="s">
        <v>54</v>
      </c>
      <c r="B159" s="112" t="s">
        <v>55</v>
      </c>
      <c r="C159" s="112"/>
      <c r="D159" s="113">
        <f t="shared" si="1"/>
        <v>449.3856667</v>
      </c>
      <c r="E159" s="112">
        <v>92.1117833333333</v>
      </c>
      <c r="F159" s="113"/>
      <c r="G159" s="113"/>
      <c r="H159" s="113"/>
      <c r="I159" s="113"/>
      <c r="J159" s="113"/>
      <c r="K159" s="113"/>
      <c r="L159" s="112">
        <v>1.646</v>
      </c>
      <c r="M159" s="112">
        <v>10.68495</v>
      </c>
      <c r="N159" s="113"/>
      <c r="O159" s="112">
        <v>0.115866666666667</v>
      </c>
      <c r="P159" s="112">
        <v>69.4984666666667</v>
      </c>
      <c r="Q159" s="113"/>
      <c r="R159" s="113"/>
      <c r="S159" s="113"/>
      <c r="T159" s="113"/>
      <c r="U159" s="113"/>
      <c r="V159" s="112">
        <v>1.53621666666667</v>
      </c>
      <c r="W159" s="112">
        <v>92.9705666666666</v>
      </c>
      <c r="X159" s="113"/>
      <c r="Y159" s="113"/>
      <c r="Z159" s="113"/>
      <c r="AA159" s="113"/>
      <c r="AB159" s="113"/>
      <c r="AC159" s="112">
        <v>1.52868333333333</v>
      </c>
      <c r="AD159" s="112">
        <v>112.153483333333</v>
      </c>
      <c r="AE159" s="113"/>
      <c r="AF159" s="113"/>
      <c r="AG159" s="113"/>
      <c r="AH159" s="113"/>
      <c r="AI159" s="113"/>
      <c r="AJ159" s="112">
        <v>2.47295</v>
      </c>
      <c r="AK159" s="112">
        <v>27.0791</v>
      </c>
      <c r="AL159" s="113"/>
      <c r="AM159" s="113"/>
      <c r="AN159" s="113"/>
      <c r="AO159" s="112">
        <v>5.60093333333333</v>
      </c>
      <c r="AP159" s="112">
        <v>4.18318333333333</v>
      </c>
      <c r="AQ159" s="113"/>
      <c r="AR159" s="113"/>
      <c r="AS159" s="112">
        <v>1.13036666666667</v>
      </c>
      <c r="AT159" s="112">
        <v>24.4157166666667</v>
      </c>
      <c r="AU159" s="113"/>
      <c r="AV159" s="112">
        <v>1.42055</v>
      </c>
      <c r="AW159" s="112">
        <v>0.83685</v>
      </c>
      <c r="AX159" s="113"/>
      <c r="AY159" s="113"/>
      <c r="AZ159" s="113"/>
      <c r="BA159" s="113"/>
      <c r="BB159" s="113"/>
      <c r="BC159" s="113"/>
      <c r="BD159" s="113"/>
      <c r="BE159" s="113"/>
      <c r="BF159" s="113"/>
      <c r="BG159" s="113"/>
      <c r="BH159" s="113"/>
      <c r="BI159" s="113"/>
      <c r="BJ159" s="113"/>
      <c r="BK159" s="113"/>
      <c r="BL159" s="113"/>
      <c r="BM159" s="113"/>
      <c r="BN159" s="113"/>
      <c r="BO159" s="113"/>
      <c r="BP159" s="113"/>
      <c r="BQ159" s="113"/>
      <c r="BR159" s="113"/>
      <c r="BS159" s="113"/>
      <c r="BT159" s="113"/>
      <c r="BU159" s="113"/>
      <c r="BV159" s="113"/>
      <c r="BW159" s="113"/>
      <c r="BX159" s="113"/>
      <c r="BY159" s="113"/>
      <c r="BZ159" s="113"/>
      <c r="CA159" s="113"/>
      <c r="CB159" s="113"/>
      <c r="CC159" s="113"/>
      <c r="CD159" s="113"/>
      <c r="CE159" s="113"/>
      <c r="CF159" s="113"/>
      <c r="CG159" s="113"/>
      <c r="CH159" s="113"/>
      <c r="CI159" s="113"/>
      <c r="CJ159" s="113"/>
      <c r="CK159" s="113"/>
      <c r="CL159" s="113"/>
      <c r="CM159" s="113"/>
      <c r="CN159" s="113"/>
      <c r="CO159" s="113"/>
      <c r="CP159" s="113"/>
      <c r="CQ159" s="113"/>
      <c r="CR159" s="113"/>
      <c r="CS159" s="113"/>
      <c r="CT159" s="113"/>
      <c r="CU159" s="113"/>
      <c r="CV159" s="113"/>
      <c r="CW159" s="113"/>
      <c r="CX159" s="113"/>
      <c r="CY159" s="113"/>
      <c r="CZ159" s="113"/>
      <c r="DA159" s="113"/>
      <c r="DB159" s="113"/>
      <c r="DC159" s="113"/>
      <c r="DD159" s="113"/>
      <c r="DE159" s="113"/>
      <c r="DF159" s="113"/>
      <c r="DG159" s="113"/>
      <c r="DH159" s="113"/>
      <c r="DI159" s="113"/>
      <c r="DJ159" s="113"/>
      <c r="DK159" s="113"/>
      <c r="DL159" s="113"/>
      <c r="DM159" s="113"/>
      <c r="DN159" s="113"/>
      <c r="DO159" s="113"/>
      <c r="DP159" s="113"/>
      <c r="DQ159" s="113"/>
      <c r="DR159" s="113"/>
      <c r="DS159" s="113"/>
      <c r="DT159" s="113"/>
      <c r="DU159" s="113"/>
      <c r="DV159" s="113"/>
      <c r="DW159" s="113"/>
      <c r="DX159" s="113"/>
      <c r="DY159" s="113"/>
      <c r="DZ159" s="113"/>
      <c r="EA159" s="113"/>
      <c r="EB159" s="113"/>
      <c r="EC159" s="113"/>
      <c r="ED159" s="113"/>
      <c r="EE159" s="113"/>
      <c r="EF159" s="113"/>
      <c r="EG159" s="113"/>
      <c r="EH159" s="113"/>
      <c r="EI159" s="113"/>
      <c r="EJ159" s="113"/>
      <c r="EK159" s="113"/>
      <c r="EL159" s="113"/>
      <c r="EM159" s="113"/>
      <c r="EN159" s="113"/>
      <c r="EO159" s="113"/>
      <c r="EP159" s="113"/>
      <c r="EQ159" s="113"/>
      <c r="ER159" s="113"/>
      <c r="ES159" s="113"/>
      <c r="ET159" s="113"/>
      <c r="EU159" s="113"/>
      <c r="EV159" s="113"/>
      <c r="EW159" s="113"/>
      <c r="EX159" s="113"/>
      <c r="EY159" s="113"/>
      <c r="EZ159" s="113"/>
      <c r="FA159" s="113"/>
      <c r="FB159" s="113"/>
      <c r="FC159" s="113"/>
      <c r="FD159" s="113"/>
      <c r="FE159" s="113"/>
      <c r="FF159" s="113"/>
      <c r="FG159" s="113"/>
      <c r="FH159" s="113"/>
      <c r="FI159" s="113"/>
      <c r="FJ159" s="113"/>
      <c r="FK159" s="113"/>
      <c r="FL159" s="113"/>
      <c r="FM159" s="113"/>
      <c r="FN159" s="113"/>
      <c r="FO159" s="113"/>
      <c r="FP159" s="113"/>
      <c r="FQ159" s="113"/>
      <c r="FR159" s="113"/>
      <c r="FS159" s="113"/>
      <c r="FT159" s="113"/>
      <c r="FU159" s="113"/>
      <c r="FV159" s="113"/>
      <c r="FW159" s="113"/>
      <c r="FX159" s="113"/>
      <c r="FY159" s="113"/>
      <c r="FZ159" s="113"/>
      <c r="GA159" s="113"/>
      <c r="GB159" s="113"/>
      <c r="GC159" s="113"/>
      <c r="GD159" s="113"/>
      <c r="GE159" s="113"/>
      <c r="GF159" s="113"/>
      <c r="GG159" s="113"/>
      <c r="GH159" s="113"/>
      <c r="GI159" s="113"/>
      <c r="GJ159" s="113"/>
      <c r="GK159" s="113"/>
      <c r="GL159" s="113"/>
      <c r="GM159" s="113"/>
      <c r="GN159" s="113"/>
      <c r="GO159" s="113"/>
      <c r="GP159" s="113"/>
      <c r="GQ159" s="113"/>
      <c r="GR159" s="113"/>
      <c r="GS159" s="113"/>
      <c r="GT159" s="113"/>
      <c r="GU159" s="113"/>
      <c r="GV159" s="113"/>
      <c r="GW159" s="113"/>
      <c r="GX159" s="113"/>
      <c r="GY159" s="113"/>
      <c r="GZ159" s="113"/>
      <c r="HA159" s="113"/>
      <c r="HB159" s="113"/>
      <c r="HC159" s="113"/>
      <c r="HD159" s="113"/>
      <c r="HE159" s="113"/>
      <c r="HF159" s="113"/>
      <c r="HG159" s="113"/>
      <c r="HH159" s="113"/>
      <c r="HI159" s="113"/>
      <c r="HJ159" s="113"/>
      <c r="HK159" s="113"/>
      <c r="HL159" s="113"/>
      <c r="HM159" s="113"/>
      <c r="HN159" s="113"/>
      <c r="HO159" s="113"/>
      <c r="HP159" s="113"/>
      <c r="HQ159" s="113"/>
      <c r="HR159" s="113"/>
      <c r="HS159" s="113"/>
      <c r="HT159" s="113"/>
      <c r="HU159" s="113"/>
      <c r="HV159" s="113"/>
      <c r="HW159" s="113"/>
      <c r="HX159" s="113"/>
      <c r="HY159" s="113"/>
      <c r="HZ159" s="113"/>
      <c r="IA159" s="113"/>
      <c r="IB159" s="113"/>
      <c r="IC159" s="113"/>
      <c r="ID159" s="113"/>
      <c r="IE159" s="113"/>
      <c r="IF159" s="113"/>
      <c r="IG159" s="113"/>
      <c r="IH159" s="113"/>
      <c r="II159" s="113"/>
      <c r="IJ159" s="113"/>
      <c r="IK159" s="113"/>
      <c r="IL159" s="113"/>
      <c r="IM159" s="113"/>
      <c r="IN159" s="113"/>
      <c r="IO159" s="113"/>
      <c r="IP159" s="113"/>
      <c r="IQ159" s="113"/>
      <c r="IR159" s="113"/>
      <c r="IS159" s="113"/>
      <c r="IT159" s="113"/>
      <c r="IU159" s="113"/>
      <c r="IV159" s="113"/>
      <c r="IW159" s="113"/>
      <c r="IX159" s="113"/>
      <c r="IY159" s="113"/>
      <c r="IZ159" s="113"/>
      <c r="JA159" s="113"/>
      <c r="JB159" s="113"/>
      <c r="JC159" s="113"/>
      <c r="JD159" s="113"/>
      <c r="JE159" s="113"/>
      <c r="JF159" s="113"/>
      <c r="JG159" s="113"/>
      <c r="JH159" s="113"/>
      <c r="JI159" s="113"/>
      <c r="JJ159" s="113"/>
      <c r="JK159" s="113"/>
      <c r="JL159" s="113"/>
      <c r="JM159" s="113"/>
      <c r="JN159" s="113"/>
      <c r="JO159" s="113"/>
      <c r="JP159" s="113"/>
      <c r="JQ159" s="113"/>
      <c r="JR159" s="113"/>
      <c r="JS159" s="113"/>
      <c r="JT159" s="113"/>
      <c r="JU159" s="113"/>
      <c r="JV159" s="113"/>
      <c r="JW159" s="113"/>
      <c r="JX159" s="113"/>
      <c r="JY159" s="113"/>
      <c r="JZ159" s="113"/>
      <c r="KA159" s="113"/>
      <c r="KB159" s="113"/>
      <c r="KC159" s="113"/>
      <c r="KD159" s="113"/>
      <c r="KE159" s="113"/>
      <c r="KF159" s="113"/>
      <c r="KG159" s="113"/>
      <c r="KH159" s="113"/>
      <c r="KI159" s="113"/>
      <c r="KJ159" s="113"/>
      <c r="KK159" s="113"/>
      <c r="KL159" s="113"/>
      <c r="KM159" s="113"/>
      <c r="KN159" s="113"/>
      <c r="KO159" s="113"/>
      <c r="KP159" s="113"/>
      <c r="KQ159" s="113"/>
      <c r="KR159" s="113"/>
      <c r="KS159" s="113"/>
      <c r="KT159" s="113"/>
      <c r="KU159" s="113"/>
      <c r="KV159" s="113"/>
      <c r="KW159" s="113"/>
      <c r="KX159" s="113"/>
      <c r="KY159" s="113"/>
      <c r="KZ159" s="113"/>
      <c r="LA159" s="113"/>
      <c r="LB159" s="113"/>
      <c r="LC159" s="113"/>
      <c r="LD159" s="113"/>
      <c r="LE159" s="113"/>
      <c r="LF159" s="113"/>
      <c r="LG159" s="113"/>
      <c r="LH159" s="113"/>
      <c r="LI159" s="113"/>
      <c r="LJ159" s="113"/>
      <c r="LK159" s="113"/>
      <c r="LL159" s="113"/>
      <c r="LM159" s="113"/>
      <c r="LN159" s="113"/>
      <c r="LO159" s="113"/>
      <c r="LP159" s="113"/>
      <c r="LQ159" s="113"/>
      <c r="LR159" s="113"/>
      <c r="LS159" s="113"/>
      <c r="LT159" s="113"/>
      <c r="LU159" s="113"/>
      <c r="LV159" s="113"/>
      <c r="LW159" s="113"/>
      <c r="LX159" s="113"/>
      <c r="LY159" s="113"/>
      <c r="LZ159" s="113"/>
      <c r="MA159" s="113"/>
      <c r="MB159" s="113"/>
      <c r="MC159" s="113"/>
      <c r="MD159" s="113"/>
      <c r="ME159" s="113"/>
      <c r="MF159" s="113"/>
      <c r="MG159" s="113"/>
      <c r="MH159" s="113"/>
      <c r="MI159" s="113"/>
      <c r="MJ159" s="113"/>
      <c r="MK159" s="113"/>
      <c r="ML159" s="113"/>
      <c r="MM159" s="113"/>
      <c r="MN159" s="113"/>
      <c r="MO159" s="113"/>
      <c r="MP159" s="113"/>
      <c r="MQ159" s="113"/>
      <c r="MR159" s="113"/>
      <c r="MS159" s="113"/>
      <c r="MT159" s="113"/>
      <c r="MU159" s="113"/>
      <c r="MV159" s="113"/>
      <c r="MW159" s="113"/>
      <c r="MX159" s="113"/>
      <c r="MY159" s="113"/>
      <c r="MZ159" s="113"/>
      <c r="NA159" s="113"/>
      <c r="NB159" s="113"/>
      <c r="NC159" s="113"/>
      <c r="ND159" s="113"/>
      <c r="NE159" s="113"/>
      <c r="NF159" s="113"/>
      <c r="NG159" s="113"/>
      <c r="NH159" s="113"/>
      <c r="NI159" s="113"/>
      <c r="NJ159" s="113"/>
      <c r="NK159" s="113"/>
      <c r="NL159" s="113"/>
      <c r="NM159" s="113"/>
      <c r="NN159" s="113"/>
      <c r="NO159" s="113"/>
      <c r="NP159" s="113"/>
      <c r="NQ159" s="113"/>
      <c r="NR159" s="113"/>
      <c r="NS159" s="113"/>
      <c r="NT159" s="113"/>
      <c r="NU159" s="113"/>
      <c r="NV159" s="113"/>
      <c r="NW159" s="113"/>
      <c r="NX159" s="113"/>
      <c r="NY159" s="113"/>
      <c r="NZ159" s="113"/>
      <c r="OA159" s="113"/>
      <c r="OB159" s="113"/>
      <c r="OC159" s="113"/>
      <c r="OD159" s="113"/>
      <c r="OE159" s="113"/>
      <c r="OF159" s="113"/>
      <c r="OG159" s="113"/>
      <c r="OH159" s="113"/>
      <c r="OI159" s="113"/>
      <c r="OJ159" s="113"/>
      <c r="OK159" s="113"/>
      <c r="OL159" s="113"/>
      <c r="OM159" s="113"/>
      <c r="ON159" s="113"/>
      <c r="OO159" s="113"/>
      <c r="OP159" s="113"/>
      <c r="OQ159" s="113"/>
      <c r="OR159" s="113"/>
      <c r="OS159" s="113"/>
      <c r="OT159" s="113"/>
      <c r="OU159" s="113"/>
      <c r="OV159" s="113"/>
      <c r="OW159" s="113"/>
      <c r="OX159" s="113"/>
      <c r="OY159" s="113"/>
      <c r="OZ159" s="113"/>
      <c r="PA159" s="113"/>
      <c r="PB159" s="113"/>
      <c r="PC159" s="113"/>
      <c r="PD159" s="113"/>
      <c r="PE159" s="113"/>
      <c r="PF159" s="113"/>
      <c r="PG159" s="113"/>
      <c r="PH159" s="113"/>
      <c r="PI159" s="113"/>
      <c r="PJ159" s="113"/>
      <c r="PK159" s="113"/>
      <c r="PL159" s="113"/>
      <c r="PM159" s="113"/>
      <c r="PN159" s="113"/>
      <c r="PO159" s="113"/>
      <c r="PP159" s="113"/>
      <c r="PQ159" s="113"/>
      <c r="PR159" s="113"/>
      <c r="PS159" s="113"/>
      <c r="PT159" s="113"/>
      <c r="PU159" s="113"/>
      <c r="PV159" s="113"/>
      <c r="PW159" s="113"/>
      <c r="PX159" s="113"/>
      <c r="PY159" s="113"/>
      <c r="PZ159" s="113"/>
      <c r="QA159" s="113"/>
      <c r="QB159" s="113"/>
      <c r="QC159" s="113"/>
      <c r="QD159" s="113"/>
      <c r="QE159" s="113"/>
      <c r="QF159" s="113"/>
      <c r="QG159" s="113"/>
      <c r="QH159" s="113"/>
      <c r="QI159" s="113"/>
      <c r="QJ159" s="113"/>
      <c r="QK159" s="113"/>
      <c r="QL159" s="113"/>
      <c r="QM159" s="113"/>
      <c r="QN159" s="113"/>
      <c r="QO159" s="113"/>
      <c r="QP159" s="113"/>
      <c r="QQ159" s="113"/>
      <c r="QR159" s="113"/>
      <c r="QS159" s="113"/>
      <c r="QT159" s="113"/>
      <c r="QU159" s="113"/>
      <c r="QV159" s="113"/>
      <c r="QW159" s="113"/>
      <c r="QX159" s="113"/>
      <c r="QY159" s="113"/>
      <c r="QZ159" s="113"/>
      <c r="RA159" s="113"/>
      <c r="RB159" s="113"/>
      <c r="RC159" s="113"/>
      <c r="RD159" s="113"/>
      <c r="RE159" s="113"/>
      <c r="RF159" s="113"/>
      <c r="RG159" s="113"/>
      <c r="RH159" s="113"/>
      <c r="RI159" s="113"/>
      <c r="RJ159" s="113"/>
      <c r="RK159" s="113"/>
      <c r="RL159" s="113"/>
      <c r="RM159" s="113"/>
      <c r="RN159" s="113"/>
      <c r="RO159" s="113"/>
      <c r="RP159" s="113"/>
      <c r="RQ159" s="113"/>
      <c r="RR159" s="113"/>
      <c r="RS159" s="113"/>
      <c r="RT159" s="113"/>
      <c r="RU159" s="113"/>
      <c r="RV159" s="113"/>
      <c r="RW159" s="113"/>
      <c r="RX159" s="113"/>
      <c r="RY159" s="113"/>
      <c r="RZ159" s="113"/>
      <c r="SA159" s="113"/>
      <c r="SB159" s="113"/>
      <c r="SC159" s="113"/>
      <c r="SD159" s="113"/>
      <c r="SE159" s="113"/>
      <c r="SF159" s="113"/>
      <c r="SG159" s="113"/>
      <c r="SH159" s="113"/>
      <c r="SI159" s="113"/>
      <c r="SJ159" s="113"/>
      <c r="SK159" s="113"/>
      <c r="SL159" s="113"/>
      <c r="SM159" s="113"/>
      <c r="SN159" s="113"/>
      <c r="SO159" s="113"/>
      <c r="SP159" s="113"/>
      <c r="SQ159" s="113"/>
      <c r="SR159" s="113"/>
      <c r="SS159" s="113"/>
      <c r="ST159" s="113"/>
      <c r="SU159" s="113"/>
      <c r="SV159" s="113"/>
      <c r="SW159" s="113"/>
      <c r="SX159" s="113"/>
      <c r="SY159" s="113"/>
      <c r="SZ159" s="113"/>
      <c r="TA159" s="113"/>
      <c r="TB159" s="113"/>
      <c r="TC159" s="113"/>
      <c r="TD159" s="113"/>
      <c r="TE159" s="113"/>
      <c r="TF159" s="113"/>
      <c r="TG159" s="113"/>
      <c r="TH159" s="113"/>
      <c r="TI159" s="113"/>
      <c r="TJ159" s="113"/>
      <c r="TK159" s="113"/>
      <c r="TL159" s="113"/>
      <c r="TM159" s="113"/>
      <c r="TN159" s="113"/>
      <c r="TO159" s="113"/>
      <c r="TP159" s="113"/>
      <c r="TQ159" s="113"/>
      <c r="TR159" s="113"/>
      <c r="TS159" s="113"/>
      <c r="TT159" s="113"/>
      <c r="TU159" s="113"/>
      <c r="TV159" s="113"/>
      <c r="TW159" s="113"/>
      <c r="TX159" s="113"/>
      <c r="TY159" s="113"/>
      <c r="TZ159" s="113"/>
      <c r="UA159" s="113"/>
      <c r="UB159" s="113"/>
      <c r="UC159" s="113"/>
      <c r="UD159" s="113"/>
      <c r="UE159" s="113"/>
      <c r="UF159" s="113"/>
      <c r="UG159" s="113"/>
      <c r="UH159" s="113"/>
      <c r="UI159" s="113"/>
      <c r="UJ159" s="113"/>
      <c r="UK159" s="113"/>
      <c r="UL159" s="113"/>
      <c r="UM159" s="113"/>
      <c r="UN159" s="113"/>
      <c r="UO159" s="113"/>
      <c r="UP159" s="113"/>
      <c r="UQ159" s="113"/>
      <c r="UR159" s="113"/>
      <c r="US159" s="113"/>
      <c r="UT159" s="113"/>
      <c r="UU159" s="113"/>
      <c r="UV159" s="113"/>
      <c r="UW159" s="113"/>
      <c r="UX159" s="113"/>
      <c r="UY159" s="113"/>
      <c r="UZ159" s="113"/>
      <c r="VA159" s="113"/>
      <c r="VB159" s="113"/>
      <c r="VC159" s="113"/>
      <c r="VD159" s="113"/>
      <c r="VE159" s="113"/>
      <c r="VF159" s="113"/>
      <c r="VG159" s="113"/>
      <c r="VH159" s="113"/>
      <c r="VI159" s="113"/>
      <c r="VJ159" s="113"/>
      <c r="VK159" s="113"/>
      <c r="VL159" s="113"/>
      <c r="VM159" s="113"/>
      <c r="VN159" s="113"/>
      <c r="VO159" s="113"/>
      <c r="VP159" s="113"/>
      <c r="VQ159" s="113"/>
      <c r="VR159" s="113"/>
      <c r="VS159" s="113"/>
      <c r="VT159" s="113"/>
      <c r="VU159" s="113"/>
      <c r="VV159" s="113"/>
      <c r="VW159" s="113"/>
      <c r="VX159" s="113"/>
      <c r="VY159" s="113"/>
      <c r="VZ159" s="113"/>
      <c r="WA159" s="113"/>
      <c r="WB159" s="113"/>
      <c r="WC159" s="113"/>
      <c r="WD159" s="113"/>
      <c r="WE159" s="113"/>
      <c r="WF159" s="113"/>
      <c r="WG159" s="113"/>
      <c r="WH159" s="113"/>
      <c r="WI159" s="113"/>
      <c r="WJ159" s="113"/>
      <c r="WK159" s="113"/>
      <c r="WL159" s="113"/>
      <c r="WM159" s="113"/>
      <c r="WN159" s="113"/>
      <c r="WO159" s="113"/>
      <c r="WP159" s="113"/>
      <c r="WQ159" s="113"/>
      <c r="WR159" s="113"/>
      <c r="WS159" s="113"/>
      <c r="WT159" s="113"/>
      <c r="WU159" s="113"/>
      <c r="WV159" s="113"/>
      <c r="WW159" s="113"/>
      <c r="WX159" s="113"/>
      <c r="WY159" s="113"/>
      <c r="WZ159" s="113"/>
      <c r="XA159" s="113"/>
      <c r="XB159" s="113"/>
      <c r="XC159" s="113"/>
      <c r="XD159" s="113"/>
      <c r="XE159" s="113"/>
      <c r="XF159" s="113"/>
      <c r="XG159" s="113"/>
      <c r="XH159" s="113"/>
      <c r="XI159" s="113"/>
      <c r="XJ159" s="113"/>
      <c r="XK159" s="113"/>
      <c r="XL159" s="113"/>
      <c r="XM159" s="113"/>
      <c r="XN159" s="113"/>
      <c r="XO159" s="113"/>
      <c r="XP159" s="113"/>
      <c r="XQ159" s="113"/>
      <c r="XR159" s="113"/>
      <c r="XS159" s="113"/>
      <c r="XT159" s="113"/>
      <c r="XU159" s="113"/>
      <c r="XV159" s="113"/>
      <c r="XW159" s="113"/>
      <c r="XX159" s="113"/>
      <c r="XY159" s="113"/>
      <c r="XZ159" s="113"/>
      <c r="YA159" s="113"/>
      <c r="YB159" s="113"/>
      <c r="YC159" s="113"/>
      <c r="YD159" s="113"/>
      <c r="YE159" s="113"/>
      <c r="YF159" s="113"/>
      <c r="YG159" s="113"/>
      <c r="YH159" s="113"/>
      <c r="YI159" s="113"/>
      <c r="YJ159" s="113"/>
      <c r="YK159" s="113"/>
      <c r="YL159" s="113"/>
      <c r="YM159" s="113"/>
      <c r="YN159" s="113"/>
      <c r="YO159" s="113"/>
      <c r="YP159" s="113"/>
      <c r="YQ159" s="113"/>
      <c r="YR159" s="113"/>
      <c r="YS159" s="113"/>
      <c r="YT159" s="113"/>
      <c r="YU159" s="113"/>
      <c r="YV159" s="113"/>
      <c r="YW159" s="113"/>
      <c r="YX159" s="113"/>
      <c r="YY159" s="113"/>
      <c r="YZ159" s="113"/>
      <c r="ZA159" s="113"/>
      <c r="ZB159" s="113"/>
      <c r="ZC159" s="113"/>
      <c r="ZD159" s="113"/>
      <c r="ZE159" s="113"/>
      <c r="ZF159" s="113"/>
      <c r="ZG159" s="113"/>
      <c r="ZH159" s="113"/>
      <c r="ZI159" s="113"/>
      <c r="ZJ159" s="113"/>
      <c r="ZK159" s="113"/>
      <c r="ZL159" s="113"/>
      <c r="ZM159" s="113"/>
      <c r="ZN159" s="113"/>
      <c r="ZO159" s="113"/>
      <c r="ZP159" s="113"/>
      <c r="ZQ159" s="113"/>
      <c r="ZR159" s="113"/>
      <c r="ZS159" s="113"/>
      <c r="ZT159" s="113"/>
      <c r="ZU159" s="113"/>
      <c r="ZV159" s="113"/>
      <c r="ZW159" s="113"/>
      <c r="ZX159" s="113"/>
      <c r="ZY159" s="113"/>
      <c r="ZZ159" s="113"/>
      <c r="AAA159" s="113"/>
      <c r="AAB159" s="113"/>
      <c r="AAC159" s="113"/>
      <c r="AAD159" s="113"/>
      <c r="AAE159" s="113"/>
      <c r="AAF159" s="113"/>
      <c r="AAG159" s="113"/>
      <c r="AAH159" s="113"/>
      <c r="AAI159" s="113"/>
      <c r="AAJ159" s="113"/>
      <c r="AAK159" s="113"/>
      <c r="AAL159" s="113"/>
      <c r="AAM159" s="113"/>
      <c r="AAN159" s="113"/>
      <c r="AAO159" s="113"/>
      <c r="AAP159" s="113"/>
      <c r="AAQ159" s="113"/>
      <c r="AAR159" s="113"/>
      <c r="AAS159" s="113"/>
      <c r="AAT159" s="113"/>
      <c r="AAU159" s="113"/>
      <c r="AAV159" s="113"/>
      <c r="AAW159" s="113"/>
      <c r="AAX159" s="113"/>
      <c r="AAY159" s="113"/>
      <c r="AAZ159" s="113"/>
      <c r="ABA159" s="113"/>
      <c r="ABB159" s="113"/>
      <c r="ABC159" s="113"/>
      <c r="ABD159" s="113"/>
      <c r="ABE159" s="113"/>
      <c r="ABF159" s="113"/>
      <c r="ABG159" s="113"/>
      <c r="ABH159" s="113"/>
      <c r="ABI159" s="113"/>
      <c r="ABJ159" s="113"/>
      <c r="ABK159" s="113"/>
      <c r="ABL159" s="113"/>
      <c r="ABM159" s="113"/>
      <c r="ABN159" s="113"/>
      <c r="ABO159" s="113"/>
      <c r="ABP159" s="113"/>
      <c r="ABQ159" s="113"/>
      <c r="ABR159" s="113"/>
      <c r="ABS159" s="113"/>
      <c r="ABT159" s="113"/>
      <c r="ABU159" s="113"/>
      <c r="ABV159" s="113"/>
      <c r="ABW159" s="113"/>
      <c r="ABX159" s="113"/>
      <c r="ABY159" s="113"/>
      <c r="ABZ159" s="113"/>
      <c r="ACA159" s="113"/>
      <c r="ACB159" s="113"/>
      <c r="ACC159" s="113"/>
      <c r="ACD159" s="113"/>
      <c r="ACE159" s="113"/>
      <c r="ACF159" s="113"/>
      <c r="ACG159" s="113"/>
      <c r="ACH159" s="113"/>
      <c r="ACI159" s="113"/>
      <c r="ACJ159" s="113"/>
      <c r="ACK159" s="113"/>
      <c r="ACL159" s="113"/>
      <c r="ACM159" s="113"/>
      <c r="ACN159" s="113"/>
      <c r="ACO159" s="113"/>
      <c r="ACP159" s="113"/>
      <c r="ACQ159" s="113"/>
      <c r="ACR159" s="113"/>
      <c r="ACS159" s="113"/>
      <c r="ACT159" s="113"/>
      <c r="ACU159" s="113"/>
      <c r="ACV159" s="113"/>
      <c r="ACW159" s="113"/>
      <c r="ACX159" s="113"/>
      <c r="ACY159" s="113"/>
      <c r="ACZ159" s="113"/>
      <c r="ADA159" s="113"/>
      <c r="ADB159" s="113"/>
      <c r="ADC159" s="113"/>
      <c r="ADD159" s="113"/>
      <c r="ADE159" s="113"/>
      <c r="ADF159" s="113"/>
      <c r="ADG159" s="113"/>
      <c r="ADH159" s="113"/>
      <c r="ADI159" s="113"/>
      <c r="ADJ159" s="113"/>
      <c r="ADK159" s="113"/>
      <c r="ADL159" s="113"/>
      <c r="ADM159" s="113"/>
      <c r="ADN159" s="113"/>
      <c r="ADO159" s="113"/>
      <c r="ADP159" s="113"/>
      <c r="ADQ159" s="113"/>
      <c r="ADR159" s="113"/>
      <c r="ADS159" s="113"/>
      <c r="ADT159" s="113"/>
      <c r="ADU159" s="113"/>
      <c r="ADV159" s="113"/>
      <c r="ADW159" s="113"/>
      <c r="ADX159" s="113"/>
      <c r="ADY159" s="113"/>
      <c r="ADZ159" s="113"/>
      <c r="AEA159" s="113"/>
      <c r="AEB159" s="113"/>
      <c r="AEC159" s="113"/>
      <c r="AED159" s="113"/>
      <c r="AEE159" s="113"/>
      <c r="AEF159" s="113"/>
      <c r="AEG159" s="113"/>
      <c r="AEH159" s="113"/>
      <c r="AEI159" s="113"/>
      <c r="AEJ159" s="113"/>
      <c r="AEK159" s="113"/>
      <c r="AEL159" s="113"/>
      <c r="AEM159" s="113"/>
      <c r="AEN159" s="113"/>
      <c r="AEO159" s="113"/>
      <c r="AEP159" s="113"/>
      <c r="AEQ159" s="113"/>
      <c r="AER159" s="113"/>
      <c r="AES159" s="113"/>
      <c r="AET159" s="113"/>
      <c r="AEU159" s="113"/>
      <c r="AEV159" s="113"/>
      <c r="AEW159" s="113"/>
      <c r="AEX159" s="113"/>
      <c r="AEY159" s="113"/>
      <c r="AEZ159" s="113"/>
      <c r="AFA159" s="113"/>
      <c r="AFB159" s="113"/>
      <c r="AFC159" s="113"/>
      <c r="AFD159" s="113"/>
      <c r="AFE159" s="113"/>
      <c r="AFF159" s="113"/>
      <c r="AFG159" s="113"/>
      <c r="AFH159" s="113"/>
      <c r="AFI159" s="113"/>
      <c r="AFJ159" s="113"/>
      <c r="AFK159" s="113"/>
      <c r="AFL159" s="113"/>
      <c r="AFM159" s="113"/>
      <c r="AFN159" s="113"/>
      <c r="AFO159" s="113"/>
      <c r="AFP159" s="113"/>
      <c r="AFQ159" s="113"/>
      <c r="AFR159" s="113"/>
      <c r="AFS159" s="113"/>
      <c r="AFT159" s="113"/>
      <c r="AFU159" s="113"/>
      <c r="AFV159" s="113"/>
      <c r="AFW159" s="113"/>
      <c r="AFX159" s="113"/>
      <c r="AFY159" s="113"/>
      <c r="AFZ159" s="113"/>
      <c r="AGA159" s="113"/>
      <c r="AGB159" s="113"/>
      <c r="AGC159" s="113"/>
      <c r="AGD159" s="113"/>
      <c r="AGE159" s="113"/>
      <c r="AGF159" s="113"/>
      <c r="AGG159" s="113"/>
      <c r="AGH159" s="113"/>
      <c r="AGI159" s="113"/>
      <c r="AGJ159" s="113"/>
      <c r="AGK159" s="113"/>
      <c r="AGL159" s="113"/>
      <c r="AGM159" s="113"/>
      <c r="AGN159" s="113"/>
      <c r="AGO159" s="113"/>
      <c r="AGP159" s="113"/>
      <c r="AGQ159" s="113"/>
      <c r="AGR159" s="113"/>
      <c r="AGS159" s="113"/>
      <c r="AGT159" s="113"/>
      <c r="AGU159" s="113"/>
      <c r="AGV159" s="113"/>
      <c r="AGW159" s="113"/>
      <c r="AGX159" s="113"/>
      <c r="AGY159" s="113"/>
      <c r="AGZ159" s="113"/>
      <c r="AHA159" s="113"/>
      <c r="AHB159" s="113"/>
      <c r="AHC159" s="113"/>
      <c r="AHD159" s="113"/>
      <c r="AHE159" s="113"/>
      <c r="AHF159" s="113"/>
      <c r="AHG159" s="113"/>
      <c r="AHH159" s="113"/>
      <c r="AHI159" s="113"/>
      <c r="AHJ159" s="113"/>
      <c r="AHK159" s="113"/>
      <c r="AHL159" s="113"/>
      <c r="AHM159" s="113"/>
      <c r="AHN159" s="113"/>
      <c r="AHO159" s="113"/>
      <c r="AHP159" s="113"/>
      <c r="AHQ159" s="113"/>
      <c r="AHR159" s="113"/>
      <c r="AHS159" s="113"/>
      <c r="AHT159" s="113"/>
      <c r="AHU159" s="113"/>
      <c r="AHV159" s="113"/>
      <c r="AHW159" s="113"/>
      <c r="AHX159" s="113"/>
      <c r="AHY159" s="113"/>
      <c r="AHZ159" s="113"/>
      <c r="AIA159" s="113"/>
      <c r="AIB159" s="113"/>
      <c r="AIC159" s="113"/>
      <c r="AID159" s="113"/>
      <c r="AIE159" s="113"/>
      <c r="AIF159" s="113"/>
      <c r="AIG159" s="113"/>
      <c r="AIH159" s="113"/>
      <c r="AII159" s="113"/>
      <c r="AIJ159" s="113"/>
      <c r="AIK159" s="113"/>
      <c r="AIL159" s="113"/>
      <c r="AIM159" s="113"/>
      <c r="AIN159" s="113"/>
      <c r="AIO159" s="113"/>
      <c r="AIP159" s="113"/>
      <c r="AIQ159" s="113"/>
      <c r="AIR159" s="113"/>
      <c r="AIS159" s="113"/>
      <c r="AIT159" s="113"/>
      <c r="AIU159" s="113"/>
      <c r="AIV159" s="113"/>
      <c r="AIW159" s="113"/>
      <c r="AIX159" s="113"/>
      <c r="AIY159" s="113"/>
      <c r="AIZ159" s="113"/>
    </row>
    <row r="160">
      <c r="A160" s="65" t="s">
        <v>54</v>
      </c>
      <c r="B160" s="65" t="s">
        <v>55</v>
      </c>
      <c r="C160" s="65"/>
      <c r="D160" s="64">
        <f t="shared" si="1"/>
        <v>391.2148333</v>
      </c>
      <c r="F160" s="65">
        <v>1.20866666666667</v>
      </c>
      <c r="G160" s="65">
        <v>35.6976666666667</v>
      </c>
      <c r="H160" s="65">
        <v>24.6897666666666</v>
      </c>
      <c r="I160" s="65">
        <v>3.93813333333333</v>
      </c>
      <c r="J160" s="65">
        <v>0.325316666666667</v>
      </c>
      <c r="K160" s="65">
        <v>17.1035833333333</v>
      </c>
      <c r="N160" s="65">
        <v>8.416</v>
      </c>
      <c r="R160" s="65">
        <v>26.0643333333334</v>
      </c>
      <c r="S160" s="65">
        <v>18.0352</v>
      </c>
      <c r="T160" s="65">
        <v>2.5454</v>
      </c>
      <c r="U160" s="65">
        <v>16.9872833333333</v>
      </c>
      <c r="X160" s="65">
        <v>0.933733333333333</v>
      </c>
      <c r="Y160" s="65">
        <v>20.8048166666667</v>
      </c>
      <c r="Z160" s="65">
        <v>31.7402833333334</v>
      </c>
      <c r="AA160" s="65">
        <v>3.88161666666667</v>
      </c>
      <c r="AB160" s="65">
        <v>28.8935</v>
      </c>
      <c r="AE160" s="65">
        <v>0.63945</v>
      </c>
      <c r="AF160" s="65">
        <v>37.9911833333333</v>
      </c>
      <c r="AG160" s="65">
        <v>33.1888333333333</v>
      </c>
      <c r="AH160" s="65">
        <v>2.142</v>
      </c>
      <c r="AI160" s="65">
        <v>33.2753166666667</v>
      </c>
      <c r="AL160" s="65">
        <v>6.42251666666667</v>
      </c>
      <c r="AM160" s="65">
        <v>2.85003333333333</v>
      </c>
      <c r="AN160" s="65">
        <v>8.18508333333333</v>
      </c>
      <c r="AQ160" s="65">
        <v>1.41813333333333</v>
      </c>
      <c r="AR160" s="65">
        <v>1.05586666666667</v>
      </c>
      <c r="AU160" s="65">
        <v>22.7811166666667</v>
      </c>
    </row>
    <row r="161">
      <c r="A161" s="65" t="s">
        <v>54</v>
      </c>
      <c r="B161" s="65" t="s">
        <v>55</v>
      </c>
      <c r="C161" s="65"/>
      <c r="D161" s="64">
        <f t="shared" si="1"/>
        <v>0</v>
      </c>
    </row>
    <row r="162">
      <c r="A162" s="65" t="s">
        <v>54</v>
      </c>
      <c r="B162" s="65" t="s">
        <v>55</v>
      </c>
      <c r="C162" s="65"/>
      <c r="D162" s="64">
        <f t="shared" si="1"/>
        <v>387.4956</v>
      </c>
      <c r="F162" s="118">
        <f>HYPERLINK("https://docs.google.com/spreadsheets/d/1TJDMZ87w3lncJRMPj2H0dc6JEPOLV7fG", 1.20865)</f>
        <v>1.20865</v>
      </c>
      <c r="G162" s="118">
        <f>HYPERLINK("https://docs.google.com/spreadsheets/d/15-9sA0pjvCE3e6d2aSX4x0xEMJ0TDlgj", 35.69765)</f>
        <v>35.69765</v>
      </c>
      <c r="H162" s="118">
        <f>HYPERLINK("https://docs.google.com/spreadsheets/d/1av9Q74OiZHEGzOl9-z6LnWnHmAuYCgQL", 24.68975)</f>
        <v>24.68975</v>
      </c>
      <c r="I162" s="118">
        <f>HYPERLINK("https://docs.google.com/spreadsheets/d/1Xo53WHlggmTeqn9eHTbIA1DhwLtR9C_M", 3.93813333333333)</f>
        <v>3.938133333</v>
      </c>
      <c r="J162" s="118">
        <f>HYPERLINK("https://docs.google.com/spreadsheets/d/1os-PkWoX5fVngAQR7zHOOwuesCL-n8MS", 0.325316666666667)</f>
        <v>0.3253166667</v>
      </c>
      <c r="K162" s="118">
        <f>HYPERLINK("https://docs.google.com/spreadsheets/d/1vUfmYgfxE51JUQVqFz-FBmNX0vs1OeWy", 16.88305)</f>
        <v>16.88305</v>
      </c>
      <c r="N162" s="118">
        <f>HYPERLINK("https://docs.google.com/spreadsheets/d/1_35-MyU1L8Lc4g3Ui0RXbC1RHMdLJRSQ", 8.41598333333333)</f>
        <v>8.415983333</v>
      </c>
      <c r="R162" s="118">
        <f>HYPERLINK("https://docs.google.com/spreadsheets/d/1FBHyrDlQPYhgKX3AU3sLGPNYBwDTEwrQ", 24.8903)</f>
        <v>24.8903</v>
      </c>
      <c r="S162" s="118">
        <f>HYPERLINK("https://docs.google.com/spreadsheets/d/1frpug1ytSUFOMyNF1MVHnc-hQQiDMWgJ", 16.4835666666667)</f>
        <v>16.48356667</v>
      </c>
      <c r="T162" s="118">
        <f>HYPERLINK("https://docs.google.com/spreadsheets/d/1gFRes1j-5X4fy6Kd0mLOSuJCKMJkF1Ws", 2.5454)</f>
        <v>2.5454</v>
      </c>
      <c r="U162" s="118">
        <f>HYPERLINK("https://docs.google.com/spreadsheets/d/1S6fgqRsTQYzC9ka_-vx3af7CVG-tc0w5", 16.7549666666667)</f>
        <v>16.75496667</v>
      </c>
      <c r="X162" s="118">
        <f>HYPERLINK("https://docs.google.com/spreadsheets/d/1WelijSQ5aaMwKibqSKHaxRilTWZgZIRA", 0.7858)</f>
        <v>0.7858</v>
      </c>
      <c r="Y162" s="118">
        <f>HYPERLINK("https://docs.google.com/spreadsheets/d/1Xpf63qvPeJBwpaEU5_jIkeLYEjpPnUuM", 20.6358833333333)</f>
        <v>20.63588333</v>
      </c>
      <c r="Z162" s="118">
        <f>HYPERLINK("https://docs.google.com/spreadsheets/d/1AcNQErkWUkbuPkVs23eJPYspQpvIIHyC", 31.7402833333333)</f>
        <v>31.74028333</v>
      </c>
      <c r="AA162" s="118">
        <f>HYPERLINK("https://docs.google.com/spreadsheets/d/19Rb2c6Z1TcaKx-1kOTvrFdyR_7uzjsZz", 3.88161666666667)</f>
        <v>3.881616667</v>
      </c>
      <c r="AB162" s="118">
        <f>HYPERLINK("https://docs.google.com/spreadsheets/d/15STlC2rCVP1kb0fM5ZlhDT49nGDQEPmQ", 28.8935)</f>
        <v>28.8935</v>
      </c>
      <c r="AE162" s="118">
        <f>HYPERLINK("https://docs.google.com/spreadsheets/d/1p7vRRbnUPeRXph-h1kAtIrAbX3YDvwEV", 0.63945)</f>
        <v>0.63945</v>
      </c>
      <c r="AF162" s="118">
        <f>HYPERLINK("https://docs.google.com/spreadsheets/d/1h_bnxOYhaXa8QYe8jruc5a6qm3vNZJEI", 37.9912166666667)</f>
        <v>37.99121667</v>
      </c>
      <c r="AG162" s="118">
        <f>HYPERLINK("https://docs.google.com/spreadsheets/d/1n0jmPGog1evWzMiVSJzX5TFefzX-MlXD", 33.1888166666667)</f>
        <v>33.18881667</v>
      </c>
      <c r="AH162" s="118">
        <f>HYPERLINK("https://docs.google.com/spreadsheets/d/1UdmV536M56hrIuoUbvHvetnka2ugPKFL", 2.142)</f>
        <v>2.142</v>
      </c>
      <c r="AI162" s="118">
        <f>HYPERLINK("https://docs.google.com/spreadsheets/d/1QrnFMrUBf47eNsOuBomoB9L0vW7c0sy8", 33.2753166666667)</f>
        <v>33.27531667</v>
      </c>
      <c r="AL162" s="118">
        <f>HYPERLINK("https://docs.google.com/spreadsheets/d/15lUERMeD9ttOSe3Ot6ckPUEEOYeiYAuX", 6.42251666666667)</f>
        <v>6.422516667</v>
      </c>
      <c r="AM162" s="118">
        <f>HYPERLINK("https://docs.google.com/spreadsheets/d/1cfnwmqP42-7xexMEFfd8r91WYQnEKEg7", 2.85001666666667)</f>
        <v>2.850016667</v>
      </c>
      <c r="AN162" s="118">
        <f>HYPERLINK("https://docs.google.com/spreadsheets/d/12zLalbaW26Mklqnzo_3ohnp066Ds2vB8", 7.96131666666667)</f>
        <v>7.961316667</v>
      </c>
      <c r="AQ162" s="118">
        <f>HYPERLINK("https://docs.google.com/spreadsheets/d/12149BZaLEls8spKDt6QbIK9YtxrciNFB", 1.41813333333333)</f>
        <v>1.418133333</v>
      </c>
      <c r="AR162" s="118">
        <f>HYPERLINK("https://docs.google.com/spreadsheets/d/1Y4XHdrSzSET5ZpA7VPwev2G6QQC0EaKY", 1.05586666666667)</f>
        <v>1.055866667</v>
      </c>
      <c r="AU162" s="118">
        <f>HYPERLINK("https://docs.google.com/spreadsheets/d/1hYtKQAKnso1Cno2d0MwcMiJ0DLpPdGrC", 22.7811)</f>
        <v>22.7811</v>
      </c>
    </row>
    <row r="163">
      <c r="A163" s="65" t="s">
        <v>54</v>
      </c>
      <c r="B163" s="65" t="s">
        <v>55</v>
      </c>
      <c r="C163" s="65"/>
      <c r="D163" s="64">
        <f t="shared" si="1"/>
        <v>30.1959</v>
      </c>
      <c r="F163" s="65">
        <v>0.195333333333333</v>
      </c>
      <c r="G163" s="65">
        <v>1.27096666666667</v>
      </c>
      <c r="H163" s="65">
        <v>2.25381666666667</v>
      </c>
      <c r="I163" s="65">
        <v>0.0</v>
      </c>
      <c r="J163" s="65">
        <v>0.0</v>
      </c>
      <c r="K163" s="65">
        <v>0.0</v>
      </c>
      <c r="N163" s="65">
        <v>0.0</v>
      </c>
      <c r="R163" s="65">
        <v>1.71053333333333</v>
      </c>
      <c r="S163" s="65">
        <v>1.10238333333333</v>
      </c>
      <c r="T163" s="65">
        <v>0.703516666666667</v>
      </c>
      <c r="U163" s="65">
        <v>0.0</v>
      </c>
      <c r="X163" s="65">
        <v>0.109566666666667</v>
      </c>
      <c r="Y163" s="65">
        <v>4.95056666666667</v>
      </c>
      <c r="Z163" s="65">
        <v>5.72851666666667</v>
      </c>
      <c r="AA163" s="65">
        <v>0.753</v>
      </c>
      <c r="AB163" s="65">
        <v>0.0</v>
      </c>
      <c r="AE163" s="65">
        <v>0.0</v>
      </c>
      <c r="AF163" s="65">
        <v>2.49685</v>
      </c>
      <c r="AG163" s="65">
        <v>7.0335</v>
      </c>
      <c r="AH163" s="65">
        <v>0.1231</v>
      </c>
      <c r="AI163" s="65">
        <v>0.0</v>
      </c>
      <c r="AL163" s="65">
        <v>0.918433333333333</v>
      </c>
      <c r="AM163" s="65">
        <v>0.845816666666667</v>
      </c>
      <c r="AN163" s="65">
        <v>0.0</v>
      </c>
      <c r="AQ163" s="65">
        <v>0.0</v>
      </c>
      <c r="AR163" s="65">
        <v>0.0</v>
      </c>
      <c r="AU163" s="65">
        <v>0.0</v>
      </c>
    </row>
    <row r="164">
      <c r="A164" s="119" t="s">
        <v>54</v>
      </c>
      <c r="B164" s="119" t="s">
        <v>55</v>
      </c>
      <c r="C164" s="119"/>
      <c r="D164" s="120">
        <f t="shared" si="1"/>
        <v>0</v>
      </c>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c r="AA164" s="120"/>
      <c r="AB164" s="120"/>
      <c r="AC164" s="120"/>
      <c r="AD164" s="120"/>
      <c r="AE164" s="120"/>
      <c r="AF164" s="120"/>
      <c r="AG164" s="120"/>
      <c r="AH164" s="120"/>
      <c r="AI164" s="120"/>
      <c r="AJ164" s="120"/>
      <c r="AK164" s="120"/>
      <c r="AL164" s="120"/>
      <c r="AM164" s="120"/>
      <c r="AN164" s="120"/>
      <c r="AO164" s="120"/>
      <c r="AP164" s="120"/>
      <c r="AQ164" s="120"/>
      <c r="AR164" s="120"/>
      <c r="AS164" s="120"/>
      <c r="AT164" s="120"/>
      <c r="AU164" s="120"/>
      <c r="AV164" s="120"/>
      <c r="AW164" s="120"/>
      <c r="AX164" s="120"/>
      <c r="AY164" s="120"/>
      <c r="AZ164" s="120"/>
      <c r="BA164" s="120"/>
      <c r="BB164" s="120"/>
      <c r="BC164" s="120"/>
      <c r="BD164" s="120"/>
      <c r="BE164" s="120"/>
      <c r="BF164" s="120"/>
      <c r="BG164" s="120"/>
      <c r="BH164" s="120"/>
      <c r="BI164" s="120"/>
      <c r="BJ164" s="120"/>
      <c r="BK164" s="120"/>
      <c r="BL164" s="120"/>
      <c r="BM164" s="120"/>
      <c r="BN164" s="120"/>
      <c r="BO164" s="120"/>
      <c r="BP164" s="120"/>
      <c r="BQ164" s="120"/>
      <c r="BR164" s="120"/>
      <c r="BS164" s="120"/>
      <c r="BT164" s="120"/>
      <c r="BU164" s="120"/>
      <c r="BV164" s="120"/>
      <c r="BW164" s="120"/>
      <c r="BX164" s="120"/>
      <c r="BY164" s="120"/>
      <c r="BZ164" s="120"/>
      <c r="CA164" s="120"/>
      <c r="CB164" s="120"/>
      <c r="CC164" s="120"/>
      <c r="CD164" s="120"/>
      <c r="CE164" s="120"/>
      <c r="CF164" s="120"/>
      <c r="CG164" s="120"/>
      <c r="CH164" s="120"/>
      <c r="CI164" s="120"/>
      <c r="CJ164" s="120"/>
      <c r="CK164" s="120"/>
      <c r="CL164" s="120"/>
      <c r="CM164" s="120"/>
      <c r="CN164" s="120"/>
      <c r="CO164" s="120"/>
      <c r="CP164" s="120"/>
      <c r="CQ164" s="120"/>
      <c r="CR164" s="120"/>
      <c r="CS164" s="120"/>
      <c r="CT164" s="120"/>
      <c r="CU164" s="120"/>
      <c r="CV164" s="120"/>
      <c r="CW164" s="120"/>
      <c r="CX164" s="120"/>
      <c r="CY164" s="120"/>
      <c r="CZ164" s="120"/>
      <c r="DA164" s="120"/>
      <c r="DB164" s="120"/>
      <c r="DC164" s="120"/>
      <c r="DD164" s="120"/>
      <c r="DE164" s="120"/>
      <c r="DF164" s="120"/>
      <c r="DG164" s="120"/>
      <c r="DH164" s="120"/>
      <c r="DI164" s="120"/>
      <c r="DJ164" s="120"/>
      <c r="DK164" s="120"/>
      <c r="DL164" s="120"/>
      <c r="DM164" s="120"/>
      <c r="DN164" s="120"/>
      <c r="DO164" s="120"/>
      <c r="DP164" s="120"/>
      <c r="DQ164" s="120"/>
      <c r="DR164" s="120"/>
      <c r="DS164" s="120"/>
      <c r="DT164" s="120"/>
      <c r="DU164" s="120"/>
      <c r="DV164" s="120"/>
      <c r="DW164" s="120"/>
      <c r="DX164" s="120"/>
      <c r="DY164" s="120"/>
      <c r="DZ164" s="120"/>
      <c r="EA164" s="120"/>
      <c r="EB164" s="120"/>
      <c r="EC164" s="120"/>
      <c r="ED164" s="120"/>
      <c r="EE164" s="120"/>
      <c r="EF164" s="120"/>
      <c r="EG164" s="120"/>
      <c r="EH164" s="120"/>
      <c r="EI164" s="120"/>
      <c r="EJ164" s="120"/>
      <c r="EK164" s="120"/>
      <c r="EL164" s="120"/>
      <c r="EM164" s="120"/>
      <c r="EN164" s="120"/>
      <c r="EO164" s="120"/>
      <c r="EP164" s="120"/>
      <c r="EQ164" s="120"/>
      <c r="ER164" s="120"/>
      <c r="ES164" s="120"/>
      <c r="ET164" s="120"/>
      <c r="EU164" s="120"/>
      <c r="EV164" s="120"/>
      <c r="EW164" s="120"/>
      <c r="EX164" s="120"/>
      <c r="EY164" s="120"/>
      <c r="EZ164" s="120"/>
      <c r="FA164" s="120"/>
      <c r="FB164" s="120"/>
      <c r="FC164" s="120"/>
      <c r="FD164" s="120"/>
      <c r="FE164" s="120"/>
      <c r="FF164" s="120"/>
      <c r="FG164" s="120"/>
      <c r="FH164" s="120"/>
      <c r="FI164" s="120"/>
      <c r="FJ164" s="120"/>
      <c r="FK164" s="120"/>
      <c r="FL164" s="120"/>
      <c r="FM164" s="120"/>
      <c r="FN164" s="120"/>
      <c r="FO164" s="120"/>
      <c r="FP164" s="120"/>
      <c r="FQ164" s="120"/>
      <c r="FR164" s="120"/>
      <c r="FS164" s="120"/>
      <c r="FT164" s="120"/>
      <c r="FU164" s="120"/>
      <c r="FV164" s="120"/>
      <c r="FW164" s="120"/>
      <c r="FX164" s="120"/>
      <c r="FY164" s="120"/>
      <c r="FZ164" s="120"/>
      <c r="GA164" s="120"/>
      <c r="GB164" s="120"/>
      <c r="GC164" s="120"/>
      <c r="GD164" s="120"/>
      <c r="GE164" s="120"/>
      <c r="GF164" s="120"/>
      <c r="GG164" s="120"/>
      <c r="GH164" s="120"/>
      <c r="GI164" s="120"/>
      <c r="GJ164" s="120"/>
      <c r="GK164" s="120"/>
      <c r="GL164" s="120"/>
      <c r="GM164" s="120"/>
      <c r="GN164" s="120"/>
      <c r="GO164" s="120"/>
      <c r="GP164" s="120"/>
      <c r="GQ164" s="120"/>
      <c r="GR164" s="120"/>
      <c r="GS164" s="120"/>
      <c r="GT164" s="120"/>
      <c r="GU164" s="120"/>
      <c r="GV164" s="120"/>
      <c r="GW164" s="120"/>
      <c r="GX164" s="120"/>
      <c r="GY164" s="120"/>
      <c r="GZ164" s="120"/>
      <c r="HA164" s="120"/>
      <c r="HB164" s="120"/>
      <c r="HC164" s="120"/>
      <c r="HD164" s="120"/>
      <c r="HE164" s="120"/>
      <c r="HF164" s="120"/>
      <c r="HG164" s="120"/>
      <c r="HH164" s="120"/>
      <c r="HI164" s="120"/>
      <c r="HJ164" s="120"/>
      <c r="HK164" s="120"/>
      <c r="HL164" s="120"/>
      <c r="HM164" s="120"/>
      <c r="HN164" s="120"/>
      <c r="HO164" s="120"/>
      <c r="HP164" s="120"/>
      <c r="HQ164" s="120"/>
      <c r="HR164" s="120"/>
      <c r="HS164" s="120"/>
      <c r="HT164" s="120"/>
      <c r="HU164" s="120"/>
      <c r="HV164" s="120"/>
      <c r="HW164" s="120"/>
      <c r="HX164" s="120"/>
      <c r="HY164" s="120"/>
      <c r="HZ164" s="120"/>
      <c r="IA164" s="120"/>
      <c r="IB164" s="120"/>
      <c r="IC164" s="120"/>
      <c r="ID164" s="120"/>
      <c r="IE164" s="120"/>
      <c r="IF164" s="120"/>
      <c r="IG164" s="120"/>
      <c r="IH164" s="120"/>
      <c r="II164" s="120"/>
      <c r="IJ164" s="120"/>
      <c r="IK164" s="120"/>
      <c r="IL164" s="120"/>
      <c r="IM164" s="120"/>
      <c r="IN164" s="120"/>
      <c r="IO164" s="120"/>
      <c r="IP164" s="120"/>
      <c r="IQ164" s="120"/>
      <c r="IR164" s="120"/>
      <c r="IS164" s="120"/>
      <c r="IT164" s="120"/>
      <c r="IU164" s="120"/>
      <c r="IV164" s="120"/>
      <c r="IW164" s="120"/>
      <c r="IX164" s="120"/>
      <c r="IY164" s="120"/>
      <c r="IZ164" s="120"/>
      <c r="JA164" s="120"/>
      <c r="JB164" s="120"/>
      <c r="JC164" s="120"/>
      <c r="JD164" s="120"/>
      <c r="JE164" s="120"/>
      <c r="JF164" s="120"/>
      <c r="JG164" s="120"/>
      <c r="JH164" s="120"/>
      <c r="JI164" s="120"/>
      <c r="JJ164" s="120"/>
      <c r="JK164" s="120"/>
      <c r="JL164" s="120"/>
      <c r="JM164" s="120"/>
      <c r="JN164" s="120"/>
      <c r="JO164" s="120"/>
      <c r="JP164" s="120"/>
      <c r="JQ164" s="120"/>
      <c r="JR164" s="120"/>
      <c r="JS164" s="120"/>
      <c r="JT164" s="120"/>
      <c r="JU164" s="120"/>
      <c r="JV164" s="120"/>
      <c r="JW164" s="120"/>
      <c r="JX164" s="120"/>
      <c r="JY164" s="120"/>
      <c r="JZ164" s="120"/>
      <c r="KA164" s="120"/>
      <c r="KB164" s="120"/>
      <c r="KC164" s="120"/>
      <c r="KD164" s="120"/>
      <c r="KE164" s="120"/>
      <c r="KF164" s="120"/>
      <c r="KG164" s="120"/>
      <c r="KH164" s="120"/>
      <c r="KI164" s="120"/>
      <c r="KJ164" s="120"/>
      <c r="KK164" s="120"/>
      <c r="KL164" s="120"/>
      <c r="KM164" s="120"/>
      <c r="KN164" s="120"/>
      <c r="KO164" s="120"/>
      <c r="KP164" s="120"/>
      <c r="KQ164" s="120"/>
      <c r="KR164" s="120"/>
      <c r="KS164" s="120"/>
      <c r="KT164" s="120"/>
      <c r="KU164" s="120"/>
      <c r="KV164" s="120"/>
      <c r="KW164" s="120"/>
      <c r="KX164" s="120"/>
      <c r="KY164" s="120"/>
      <c r="KZ164" s="120"/>
      <c r="LA164" s="120"/>
      <c r="LB164" s="120"/>
      <c r="LC164" s="120"/>
      <c r="LD164" s="120"/>
      <c r="LE164" s="120"/>
      <c r="LF164" s="120"/>
      <c r="LG164" s="120"/>
      <c r="LH164" s="120"/>
      <c r="LI164" s="120"/>
      <c r="LJ164" s="120"/>
      <c r="LK164" s="120"/>
      <c r="LL164" s="120"/>
      <c r="LM164" s="120"/>
      <c r="LN164" s="120"/>
      <c r="LO164" s="120"/>
      <c r="LP164" s="120"/>
      <c r="LQ164" s="120"/>
      <c r="LR164" s="120"/>
      <c r="LS164" s="120"/>
      <c r="LT164" s="120"/>
      <c r="LU164" s="120"/>
      <c r="LV164" s="120"/>
      <c r="LW164" s="120"/>
      <c r="LX164" s="120"/>
      <c r="LY164" s="120"/>
      <c r="LZ164" s="120"/>
      <c r="MA164" s="120"/>
      <c r="MB164" s="120"/>
      <c r="MC164" s="120"/>
      <c r="MD164" s="120"/>
      <c r="ME164" s="120"/>
      <c r="MF164" s="120"/>
      <c r="MG164" s="120"/>
      <c r="MH164" s="120"/>
      <c r="MI164" s="120"/>
      <c r="MJ164" s="120"/>
      <c r="MK164" s="120"/>
      <c r="ML164" s="120"/>
      <c r="MM164" s="120"/>
      <c r="MN164" s="120"/>
      <c r="MO164" s="120"/>
      <c r="MP164" s="120"/>
      <c r="MQ164" s="120"/>
      <c r="MR164" s="120"/>
      <c r="MS164" s="120"/>
      <c r="MT164" s="120"/>
      <c r="MU164" s="120"/>
      <c r="MV164" s="120"/>
      <c r="MW164" s="120"/>
      <c r="MX164" s="120"/>
      <c r="MY164" s="120"/>
      <c r="MZ164" s="120"/>
      <c r="NA164" s="120"/>
      <c r="NB164" s="120"/>
      <c r="NC164" s="120"/>
      <c r="ND164" s="120"/>
      <c r="NE164" s="120"/>
      <c r="NF164" s="120"/>
      <c r="NG164" s="120"/>
      <c r="NH164" s="120"/>
      <c r="NI164" s="120"/>
      <c r="NJ164" s="120"/>
      <c r="NK164" s="120"/>
      <c r="NL164" s="120"/>
      <c r="NM164" s="120"/>
      <c r="NN164" s="120"/>
      <c r="NO164" s="120"/>
      <c r="NP164" s="120"/>
      <c r="NQ164" s="120"/>
      <c r="NR164" s="120"/>
      <c r="NS164" s="120"/>
      <c r="NT164" s="120"/>
      <c r="NU164" s="120"/>
      <c r="NV164" s="120"/>
      <c r="NW164" s="120"/>
      <c r="NX164" s="120"/>
      <c r="NY164" s="120"/>
      <c r="NZ164" s="120"/>
      <c r="OA164" s="120"/>
      <c r="OB164" s="120"/>
      <c r="OC164" s="120"/>
      <c r="OD164" s="120"/>
      <c r="OE164" s="120"/>
      <c r="OF164" s="120"/>
      <c r="OG164" s="120"/>
      <c r="OH164" s="120"/>
      <c r="OI164" s="120"/>
      <c r="OJ164" s="120"/>
      <c r="OK164" s="120"/>
      <c r="OL164" s="120"/>
      <c r="OM164" s="120"/>
      <c r="ON164" s="120"/>
      <c r="OO164" s="120"/>
      <c r="OP164" s="120"/>
      <c r="OQ164" s="120"/>
      <c r="OR164" s="120"/>
      <c r="OS164" s="120"/>
      <c r="OT164" s="120"/>
      <c r="OU164" s="120"/>
      <c r="OV164" s="120"/>
      <c r="OW164" s="120"/>
      <c r="OX164" s="120"/>
      <c r="OY164" s="120"/>
      <c r="OZ164" s="120"/>
      <c r="PA164" s="120"/>
      <c r="PB164" s="120"/>
      <c r="PC164" s="120"/>
      <c r="PD164" s="120"/>
      <c r="PE164" s="120"/>
      <c r="PF164" s="120"/>
      <c r="PG164" s="120"/>
      <c r="PH164" s="120"/>
      <c r="PI164" s="120"/>
      <c r="PJ164" s="120"/>
      <c r="PK164" s="120"/>
      <c r="PL164" s="120"/>
      <c r="PM164" s="120"/>
      <c r="PN164" s="120"/>
      <c r="PO164" s="120"/>
      <c r="PP164" s="120"/>
      <c r="PQ164" s="120"/>
      <c r="PR164" s="120"/>
      <c r="PS164" s="120"/>
      <c r="PT164" s="120"/>
      <c r="PU164" s="120"/>
      <c r="PV164" s="120"/>
      <c r="PW164" s="120"/>
      <c r="PX164" s="120"/>
      <c r="PY164" s="120"/>
      <c r="PZ164" s="120"/>
      <c r="QA164" s="120"/>
      <c r="QB164" s="120"/>
      <c r="QC164" s="120"/>
      <c r="QD164" s="120"/>
      <c r="QE164" s="120"/>
      <c r="QF164" s="120"/>
      <c r="QG164" s="120"/>
      <c r="QH164" s="120"/>
      <c r="QI164" s="120"/>
      <c r="QJ164" s="120"/>
      <c r="QK164" s="120"/>
      <c r="QL164" s="120"/>
      <c r="QM164" s="120"/>
      <c r="QN164" s="120"/>
      <c r="QO164" s="120"/>
      <c r="QP164" s="120"/>
      <c r="QQ164" s="120"/>
      <c r="QR164" s="120"/>
      <c r="QS164" s="120"/>
      <c r="QT164" s="120"/>
      <c r="QU164" s="120"/>
      <c r="QV164" s="120"/>
      <c r="QW164" s="120"/>
      <c r="QX164" s="120"/>
      <c r="QY164" s="120"/>
      <c r="QZ164" s="120"/>
      <c r="RA164" s="120"/>
      <c r="RB164" s="120"/>
      <c r="RC164" s="120"/>
      <c r="RD164" s="120"/>
      <c r="RE164" s="120"/>
      <c r="RF164" s="120"/>
      <c r="RG164" s="120"/>
      <c r="RH164" s="120"/>
      <c r="RI164" s="120"/>
      <c r="RJ164" s="120"/>
      <c r="RK164" s="120"/>
      <c r="RL164" s="120"/>
      <c r="RM164" s="120"/>
      <c r="RN164" s="120"/>
      <c r="RO164" s="120"/>
      <c r="RP164" s="120"/>
      <c r="RQ164" s="120"/>
      <c r="RR164" s="120"/>
      <c r="RS164" s="120"/>
      <c r="RT164" s="120"/>
      <c r="RU164" s="120"/>
      <c r="RV164" s="120"/>
      <c r="RW164" s="120"/>
      <c r="RX164" s="120"/>
      <c r="RY164" s="120"/>
      <c r="RZ164" s="120"/>
      <c r="SA164" s="120"/>
      <c r="SB164" s="120"/>
      <c r="SC164" s="120"/>
      <c r="SD164" s="120"/>
      <c r="SE164" s="120"/>
      <c r="SF164" s="120"/>
      <c r="SG164" s="120"/>
      <c r="SH164" s="120"/>
      <c r="SI164" s="120"/>
      <c r="SJ164" s="120"/>
      <c r="SK164" s="120"/>
      <c r="SL164" s="120"/>
      <c r="SM164" s="120"/>
      <c r="SN164" s="120"/>
      <c r="SO164" s="120"/>
      <c r="SP164" s="120"/>
      <c r="SQ164" s="120"/>
      <c r="SR164" s="120"/>
      <c r="SS164" s="120"/>
      <c r="ST164" s="120"/>
      <c r="SU164" s="120"/>
      <c r="SV164" s="120"/>
      <c r="SW164" s="120"/>
      <c r="SX164" s="120"/>
      <c r="SY164" s="120"/>
      <c r="SZ164" s="120"/>
      <c r="TA164" s="120"/>
      <c r="TB164" s="120"/>
      <c r="TC164" s="120"/>
      <c r="TD164" s="120"/>
      <c r="TE164" s="120"/>
      <c r="TF164" s="120"/>
      <c r="TG164" s="120"/>
      <c r="TH164" s="120"/>
      <c r="TI164" s="120"/>
      <c r="TJ164" s="120"/>
      <c r="TK164" s="120"/>
      <c r="TL164" s="120"/>
      <c r="TM164" s="120"/>
      <c r="TN164" s="120"/>
      <c r="TO164" s="120"/>
      <c r="TP164" s="120"/>
      <c r="TQ164" s="120"/>
      <c r="TR164" s="120"/>
      <c r="TS164" s="120"/>
      <c r="TT164" s="120"/>
      <c r="TU164" s="120"/>
      <c r="TV164" s="120"/>
      <c r="TW164" s="120"/>
      <c r="TX164" s="120"/>
      <c r="TY164" s="120"/>
      <c r="TZ164" s="120"/>
      <c r="UA164" s="120"/>
      <c r="UB164" s="120"/>
      <c r="UC164" s="120"/>
      <c r="UD164" s="120"/>
      <c r="UE164" s="120"/>
      <c r="UF164" s="120"/>
      <c r="UG164" s="120"/>
      <c r="UH164" s="120"/>
      <c r="UI164" s="120"/>
      <c r="UJ164" s="120"/>
      <c r="UK164" s="120"/>
      <c r="UL164" s="120"/>
      <c r="UM164" s="120"/>
      <c r="UN164" s="120"/>
      <c r="UO164" s="120"/>
      <c r="UP164" s="120"/>
      <c r="UQ164" s="120"/>
      <c r="UR164" s="120"/>
      <c r="US164" s="120"/>
      <c r="UT164" s="120"/>
      <c r="UU164" s="120"/>
      <c r="UV164" s="120"/>
      <c r="UW164" s="120"/>
      <c r="UX164" s="120"/>
      <c r="UY164" s="120"/>
      <c r="UZ164" s="120"/>
      <c r="VA164" s="120"/>
      <c r="VB164" s="120"/>
      <c r="VC164" s="120"/>
      <c r="VD164" s="120"/>
      <c r="VE164" s="120"/>
      <c r="VF164" s="120"/>
      <c r="VG164" s="120"/>
      <c r="VH164" s="120"/>
      <c r="VI164" s="120"/>
      <c r="VJ164" s="120"/>
      <c r="VK164" s="120"/>
      <c r="VL164" s="120"/>
      <c r="VM164" s="120"/>
      <c r="VN164" s="120"/>
      <c r="VO164" s="120"/>
      <c r="VP164" s="120"/>
      <c r="VQ164" s="120"/>
      <c r="VR164" s="120"/>
      <c r="VS164" s="120"/>
      <c r="VT164" s="120"/>
      <c r="VU164" s="120"/>
      <c r="VV164" s="120"/>
      <c r="VW164" s="120"/>
      <c r="VX164" s="120"/>
      <c r="VY164" s="120"/>
      <c r="VZ164" s="120"/>
      <c r="WA164" s="120"/>
      <c r="WB164" s="120"/>
      <c r="WC164" s="120"/>
      <c r="WD164" s="120"/>
      <c r="WE164" s="120"/>
      <c r="WF164" s="120"/>
      <c r="WG164" s="120"/>
      <c r="WH164" s="120"/>
      <c r="WI164" s="120"/>
      <c r="WJ164" s="120"/>
      <c r="WK164" s="120"/>
      <c r="WL164" s="120"/>
      <c r="WM164" s="120"/>
      <c r="WN164" s="120"/>
      <c r="WO164" s="120"/>
      <c r="WP164" s="120"/>
      <c r="WQ164" s="120"/>
      <c r="WR164" s="120"/>
      <c r="WS164" s="120"/>
      <c r="WT164" s="120"/>
      <c r="WU164" s="120"/>
      <c r="WV164" s="120"/>
      <c r="WW164" s="120"/>
      <c r="WX164" s="120"/>
      <c r="WY164" s="120"/>
      <c r="WZ164" s="120"/>
      <c r="XA164" s="120"/>
      <c r="XB164" s="120"/>
      <c r="XC164" s="120"/>
      <c r="XD164" s="120"/>
      <c r="XE164" s="120"/>
      <c r="XF164" s="120"/>
      <c r="XG164" s="120"/>
      <c r="XH164" s="120"/>
      <c r="XI164" s="120"/>
      <c r="XJ164" s="120"/>
      <c r="XK164" s="120"/>
      <c r="XL164" s="120"/>
      <c r="XM164" s="120"/>
      <c r="XN164" s="120"/>
      <c r="XO164" s="120"/>
      <c r="XP164" s="120"/>
      <c r="XQ164" s="120"/>
      <c r="XR164" s="120"/>
      <c r="XS164" s="120"/>
      <c r="XT164" s="120"/>
      <c r="XU164" s="120"/>
      <c r="XV164" s="120"/>
      <c r="XW164" s="120"/>
      <c r="XX164" s="120"/>
      <c r="XY164" s="120"/>
      <c r="XZ164" s="120"/>
      <c r="YA164" s="120"/>
      <c r="YB164" s="120"/>
      <c r="YC164" s="120"/>
      <c r="YD164" s="120"/>
      <c r="YE164" s="120"/>
      <c r="YF164" s="120"/>
      <c r="YG164" s="120"/>
      <c r="YH164" s="120"/>
      <c r="YI164" s="120"/>
      <c r="YJ164" s="120"/>
      <c r="YK164" s="120"/>
      <c r="YL164" s="120"/>
      <c r="YM164" s="120"/>
      <c r="YN164" s="120"/>
      <c r="YO164" s="120"/>
      <c r="YP164" s="120"/>
      <c r="YQ164" s="120"/>
      <c r="YR164" s="120"/>
      <c r="YS164" s="120"/>
      <c r="YT164" s="120"/>
      <c r="YU164" s="120"/>
      <c r="YV164" s="120"/>
      <c r="YW164" s="120"/>
      <c r="YX164" s="120"/>
      <c r="YY164" s="120"/>
      <c r="YZ164" s="120"/>
      <c r="ZA164" s="120"/>
      <c r="ZB164" s="120"/>
      <c r="ZC164" s="120"/>
      <c r="ZD164" s="120"/>
      <c r="ZE164" s="120"/>
      <c r="ZF164" s="120"/>
      <c r="ZG164" s="120"/>
      <c r="ZH164" s="120"/>
      <c r="ZI164" s="120"/>
      <c r="ZJ164" s="120"/>
      <c r="ZK164" s="120"/>
      <c r="ZL164" s="120"/>
      <c r="ZM164" s="120"/>
      <c r="ZN164" s="120"/>
      <c r="ZO164" s="120"/>
      <c r="ZP164" s="120"/>
      <c r="ZQ164" s="120"/>
      <c r="ZR164" s="120"/>
      <c r="ZS164" s="120"/>
      <c r="ZT164" s="120"/>
      <c r="ZU164" s="120"/>
      <c r="ZV164" s="120"/>
      <c r="ZW164" s="120"/>
      <c r="ZX164" s="120"/>
      <c r="ZY164" s="120"/>
      <c r="ZZ164" s="120"/>
      <c r="AAA164" s="120"/>
      <c r="AAB164" s="120"/>
      <c r="AAC164" s="120"/>
      <c r="AAD164" s="120"/>
      <c r="AAE164" s="120"/>
      <c r="AAF164" s="120"/>
      <c r="AAG164" s="120"/>
      <c r="AAH164" s="120"/>
      <c r="AAI164" s="120"/>
      <c r="AAJ164" s="120"/>
      <c r="AAK164" s="120"/>
      <c r="AAL164" s="120"/>
      <c r="AAM164" s="120"/>
      <c r="AAN164" s="120"/>
      <c r="AAO164" s="120"/>
      <c r="AAP164" s="120"/>
      <c r="AAQ164" s="120"/>
      <c r="AAR164" s="120"/>
      <c r="AAS164" s="120"/>
      <c r="AAT164" s="120"/>
      <c r="AAU164" s="120"/>
      <c r="AAV164" s="120"/>
      <c r="AAW164" s="120"/>
      <c r="AAX164" s="120"/>
      <c r="AAY164" s="120"/>
      <c r="AAZ164" s="120"/>
      <c r="ABA164" s="120"/>
      <c r="ABB164" s="120"/>
      <c r="ABC164" s="120"/>
      <c r="ABD164" s="120"/>
      <c r="ABE164" s="120"/>
      <c r="ABF164" s="120"/>
      <c r="ABG164" s="120"/>
      <c r="ABH164" s="120"/>
      <c r="ABI164" s="120"/>
      <c r="ABJ164" s="120"/>
      <c r="ABK164" s="120"/>
      <c r="ABL164" s="120"/>
      <c r="ABM164" s="120"/>
      <c r="ABN164" s="120"/>
      <c r="ABO164" s="120"/>
      <c r="ABP164" s="120"/>
      <c r="ABQ164" s="120"/>
      <c r="ABR164" s="120"/>
      <c r="ABS164" s="120"/>
      <c r="ABT164" s="120"/>
      <c r="ABU164" s="120"/>
      <c r="ABV164" s="120"/>
      <c r="ABW164" s="120"/>
      <c r="ABX164" s="120"/>
      <c r="ABY164" s="120"/>
      <c r="ABZ164" s="120"/>
      <c r="ACA164" s="120"/>
      <c r="ACB164" s="120"/>
      <c r="ACC164" s="120"/>
      <c r="ACD164" s="120"/>
      <c r="ACE164" s="120"/>
      <c r="ACF164" s="120"/>
      <c r="ACG164" s="120"/>
      <c r="ACH164" s="120"/>
      <c r="ACI164" s="120"/>
      <c r="ACJ164" s="120"/>
      <c r="ACK164" s="120"/>
      <c r="ACL164" s="120"/>
      <c r="ACM164" s="120"/>
      <c r="ACN164" s="120"/>
      <c r="ACO164" s="120"/>
      <c r="ACP164" s="120"/>
      <c r="ACQ164" s="120"/>
      <c r="ACR164" s="120"/>
      <c r="ACS164" s="120"/>
      <c r="ACT164" s="120"/>
      <c r="ACU164" s="120"/>
      <c r="ACV164" s="120"/>
      <c r="ACW164" s="120"/>
      <c r="ACX164" s="120"/>
      <c r="ACY164" s="120"/>
      <c r="ACZ164" s="120"/>
      <c r="ADA164" s="120"/>
      <c r="ADB164" s="120"/>
      <c r="ADC164" s="120"/>
      <c r="ADD164" s="120"/>
      <c r="ADE164" s="120"/>
      <c r="ADF164" s="120"/>
      <c r="ADG164" s="120"/>
      <c r="ADH164" s="120"/>
      <c r="ADI164" s="120"/>
      <c r="ADJ164" s="120"/>
      <c r="ADK164" s="120"/>
      <c r="ADL164" s="120"/>
      <c r="ADM164" s="120"/>
      <c r="ADN164" s="120"/>
      <c r="ADO164" s="120"/>
      <c r="ADP164" s="120"/>
      <c r="ADQ164" s="120"/>
      <c r="ADR164" s="120"/>
      <c r="ADS164" s="120"/>
      <c r="ADT164" s="120"/>
      <c r="ADU164" s="120"/>
      <c r="ADV164" s="120"/>
      <c r="ADW164" s="120"/>
      <c r="ADX164" s="120"/>
      <c r="ADY164" s="120"/>
      <c r="ADZ164" s="120"/>
      <c r="AEA164" s="120"/>
      <c r="AEB164" s="120"/>
      <c r="AEC164" s="120"/>
      <c r="AED164" s="120"/>
      <c r="AEE164" s="120"/>
      <c r="AEF164" s="120"/>
      <c r="AEG164" s="120"/>
      <c r="AEH164" s="120"/>
      <c r="AEI164" s="120"/>
      <c r="AEJ164" s="120"/>
      <c r="AEK164" s="120"/>
      <c r="AEL164" s="120"/>
      <c r="AEM164" s="120"/>
      <c r="AEN164" s="120"/>
      <c r="AEO164" s="120"/>
      <c r="AEP164" s="120"/>
      <c r="AEQ164" s="120"/>
      <c r="AER164" s="120"/>
      <c r="AES164" s="120"/>
      <c r="AET164" s="120"/>
      <c r="AEU164" s="120"/>
      <c r="AEV164" s="120"/>
      <c r="AEW164" s="120"/>
      <c r="AEX164" s="120"/>
      <c r="AEY164" s="120"/>
      <c r="AEZ164" s="120"/>
      <c r="AFA164" s="120"/>
      <c r="AFB164" s="120"/>
      <c r="AFC164" s="120"/>
      <c r="AFD164" s="120"/>
      <c r="AFE164" s="120"/>
      <c r="AFF164" s="120"/>
      <c r="AFG164" s="120"/>
      <c r="AFH164" s="120"/>
      <c r="AFI164" s="120"/>
      <c r="AFJ164" s="120"/>
      <c r="AFK164" s="120"/>
      <c r="AFL164" s="120"/>
      <c r="AFM164" s="120"/>
      <c r="AFN164" s="120"/>
      <c r="AFO164" s="120"/>
      <c r="AFP164" s="120"/>
      <c r="AFQ164" s="120"/>
      <c r="AFR164" s="120"/>
      <c r="AFS164" s="120"/>
      <c r="AFT164" s="120"/>
      <c r="AFU164" s="120"/>
      <c r="AFV164" s="120"/>
      <c r="AFW164" s="120"/>
      <c r="AFX164" s="120"/>
      <c r="AFY164" s="120"/>
      <c r="AFZ164" s="120"/>
      <c r="AGA164" s="120"/>
      <c r="AGB164" s="120"/>
      <c r="AGC164" s="120"/>
      <c r="AGD164" s="120"/>
      <c r="AGE164" s="120"/>
      <c r="AGF164" s="120"/>
      <c r="AGG164" s="120"/>
      <c r="AGH164" s="120"/>
      <c r="AGI164" s="120"/>
      <c r="AGJ164" s="120"/>
      <c r="AGK164" s="120"/>
      <c r="AGL164" s="120"/>
      <c r="AGM164" s="120"/>
      <c r="AGN164" s="120"/>
      <c r="AGO164" s="120"/>
      <c r="AGP164" s="120"/>
      <c r="AGQ164" s="120"/>
      <c r="AGR164" s="120"/>
      <c r="AGS164" s="120"/>
      <c r="AGT164" s="120"/>
      <c r="AGU164" s="120"/>
      <c r="AGV164" s="120"/>
      <c r="AGW164" s="120"/>
      <c r="AGX164" s="120"/>
      <c r="AGY164" s="120"/>
      <c r="AGZ164" s="120"/>
      <c r="AHA164" s="120"/>
      <c r="AHB164" s="120"/>
      <c r="AHC164" s="120"/>
      <c r="AHD164" s="120"/>
      <c r="AHE164" s="120"/>
      <c r="AHF164" s="120"/>
      <c r="AHG164" s="120"/>
      <c r="AHH164" s="120"/>
      <c r="AHI164" s="120"/>
      <c r="AHJ164" s="120"/>
      <c r="AHK164" s="120"/>
      <c r="AHL164" s="120"/>
      <c r="AHM164" s="120"/>
      <c r="AHN164" s="120"/>
      <c r="AHO164" s="120"/>
      <c r="AHP164" s="120"/>
      <c r="AHQ164" s="120"/>
      <c r="AHR164" s="120"/>
      <c r="AHS164" s="120"/>
      <c r="AHT164" s="120"/>
      <c r="AHU164" s="120"/>
      <c r="AHV164" s="120"/>
      <c r="AHW164" s="120"/>
      <c r="AHX164" s="120"/>
      <c r="AHY164" s="120"/>
      <c r="AHZ164" s="120"/>
      <c r="AIA164" s="120"/>
      <c r="AIB164" s="120"/>
      <c r="AIC164" s="120"/>
      <c r="AID164" s="120"/>
      <c r="AIE164" s="120"/>
      <c r="AIF164" s="120"/>
      <c r="AIG164" s="120"/>
      <c r="AIH164" s="120"/>
      <c r="AII164" s="120"/>
      <c r="AIJ164" s="120"/>
      <c r="AIK164" s="120"/>
      <c r="AIL164" s="120"/>
      <c r="AIM164" s="120"/>
      <c r="AIN164" s="120"/>
      <c r="AIO164" s="120"/>
      <c r="AIP164" s="120"/>
      <c r="AIQ164" s="120"/>
      <c r="AIR164" s="120"/>
      <c r="AIS164" s="120"/>
      <c r="AIT164" s="120"/>
      <c r="AIU164" s="120"/>
      <c r="AIV164" s="120"/>
      <c r="AIW164" s="120"/>
      <c r="AIX164" s="120"/>
      <c r="AIY164" s="120"/>
      <c r="AIZ164" s="120"/>
    </row>
    <row r="165">
      <c r="A165" s="112" t="s">
        <v>54</v>
      </c>
      <c r="B165" s="112" t="s">
        <v>56</v>
      </c>
      <c r="C165" s="112"/>
      <c r="D165" s="113">
        <f t="shared" si="1"/>
        <v>589.3192167</v>
      </c>
      <c r="E165" s="112">
        <v>240.618933333333</v>
      </c>
      <c r="F165" s="113"/>
      <c r="G165" s="113"/>
      <c r="H165" s="113"/>
      <c r="I165" s="113"/>
      <c r="J165" s="113"/>
      <c r="K165" s="113"/>
      <c r="L165" s="112">
        <v>3.68548333333333</v>
      </c>
      <c r="M165" s="112">
        <v>15.882</v>
      </c>
      <c r="N165" s="113"/>
      <c r="O165" s="113"/>
      <c r="P165" s="112">
        <v>20.9674666666667</v>
      </c>
      <c r="Q165" s="113"/>
      <c r="R165" s="113"/>
      <c r="S165" s="113"/>
      <c r="T165" s="113"/>
      <c r="U165" s="113"/>
      <c r="V165" s="112">
        <v>0.336866666666667</v>
      </c>
      <c r="W165" s="112">
        <v>108.601466666667</v>
      </c>
      <c r="X165" s="113"/>
      <c r="Y165" s="113"/>
      <c r="Z165" s="113"/>
      <c r="AA165" s="113"/>
      <c r="AB165" s="113"/>
      <c r="AC165" s="112">
        <v>1.98586666666667</v>
      </c>
      <c r="AD165" s="112">
        <v>123.117433333333</v>
      </c>
      <c r="AE165" s="113"/>
      <c r="AF165" s="113"/>
      <c r="AG165" s="113"/>
      <c r="AH165" s="113"/>
      <c r="AI165" s="113"/>
      <c r="AJ165" s="112">
        <v>3.9221</v>
      </c>
      <c r="AK165" s="112">
        <v>22.00335</v>
      </c>
      <c r="AL165" s="113"/>
      <c r="AM165" s="113"/>
      <c r="AN165" s="113"/>
      <c r="AO165" s="112">
        <v>5.1488</v>
      </c>
      <c r="AP165" s="112">
        <v>7.46681666666667</v>
      </c>
      <c r="AQ165" s="113"/>
      <c r="AR165" s="113"/>
      <c r="AS165" s="112">
        <v>0.402983333333333</v>
      </c>
      <c r="AT165" s="112">
        <v>34.0264833333333</v>
      </c>
      <c r="AU165" s="113"/>
      <c r="AV165" s="112">
        <v>0.88215</v>
      </c>
      <c r="AW165" s="112">
        <v>0.271016666666667</v>
      </c>
      <c r="AX165" s="113"/>
      <c r="AY165" s="113"/>
      <c r="AZ165" s="113"/>
      <c r="BA165" s="113"/>
      <c r="BB165" s="113"/>
      <c r="BC165" s="113"/>
      <c r="BD165" s="113"/>
      <c r="BE165" s="113"/>
      <c r="BF165" s="113"/>
      <c r="BG165" s="113"/>
      <c r="BH165" s="113"/>
      <c r="BI165" s="113"/>
      <c r="BJ165" s="113"/>
      <c r="BK165" s="113"/>
      <c r="BL165" s="113"/>
      <c r="BM165" s="113"/>
      <c r="BN165" s="113"/>
      <c r="BO165" s="113"/>
      <c r="BP165" s="113"/>
      <c r="BQ165" s="113"/>
      <c r="BR165" s="113"/>
      <c r="BS165" s="113"/>
      <c r="BT165" s="113"/>
      <c r="BU165" s="113"/>
      <c r="BV165" s="113"/>
      <c r="BW165" s="113"/>
      <c r="BX165" s="113"/>
      <c r="BY165" s="113"/>
      <c r="BZ165" s="113"/>
      <c r="CA165" s="113"/>
      <c r="CB165" s="113"/>
      <c r="CC165" s="113"/>
      <c r="CD165" s="113"/>
      <c r="CE165" s="113"/>
      <c r="CF165" s="113"/>
      <c r="CG165" s="113"/>
      <c r="CH165" s="113"/>
      <c r="CI165" s="113"/>
      <c r="CJ165" s="113"/>
      <c r="CK165" s="113"/>
      <c r="CL165" s="113"/>
      <c r="CM165" s="113"/>
      <c r="CN165" s="113"/>
      <c r="CO165" s="113"/>
      <c r="CP165" s="113"/>
      <c r="CQ165" s="113"/>
      <c r="CR165" s="113"/>
      <c r="CS165" s="113"/>
      <c r="CT165" s="113"/>
      <c r="CU165" s="113"/>
      <c r="CV165" s="113"/>
      <c r="CW165" s="113"/>
      <c r="CX165" s="113"/>
      <c r="CY165" s="113"/>
      <c r="CZ165" s="113"/>
      <c r="DA165" s="113"/>
      <c r="DB165" s="113"/>
      <c r="DC165" s="113"/>
      <c r="DD165" s="113"/>
      <c r="DE165" s="113"/>
      <c r="DF165" s="113"/>
      <c r="DG165" s="113"/>
      <c r="DH165" s="113"/>
      <c r="DI165" s="113"/>
      <c r="DJ165" s="113"/>
      <c r="DK165" s="113"/>
      <c r="DL165" s="113"/>
      <c r="DM165" s="113"/>
      <c r="DN165" s="113"/>
      <c r="DO165" s="113"/>
      <c r="DP165" s="113"/>
      <c r="DQ165" s="113"/>
      <c r="DR165" s="113"/>
      <c r="DS165" s="113"/>
      <c r="DT165" s="113"/>
      <c r="DU165" s="113"/>
      <c r="DV165" s="113"/>
      <c r="DW165" s="113"/>
      <c r="DX165" s="113"/>
      <c r="DY165" s="113"/>
      <c r="DZ165" s="113"/>
      <c r="EA165" s="113"/>
      <c r="EB165" s="113"/>
      <c r="EC165" s="113"/>
      <c r="ED165" s="113"/>
      <c r="EE165" s="113"/>
      <c r="EF165" s="113"/>
      <c r="EG165" s="113"/>
      <c r="EH165" s="113"/>
      <c r="EI165" s="113"/>
      <c r="EJ165" s="113"/>
      <c r="EK165" s="113"/>
      <c r="EL165" s="113"/>
      <c r="EM165" s="113"/>
      <c r="EN165" s="113"/>
      <c r="EO165" s="113"/>
      <c r="EP165" s="113"/>
      <c r="EQ165" s="113"/>
      <c r="ER165" s="113"/>
      <c r="ES165" s="113"/>
      <c r="ET165" s="113"/>
      <c r="EU165" s="113"/>
      <c r="EV165" s="113"/>
      <c r="EW165" s="113"/>
      <c r="EX165" s="113"/>
      <c r="EY165" s="113"/>
      <c r="EZ165" s="113"/>
      <c r="FA165" s="113"/>
      <c r="FB165" s="113"/>
      <c r="FC165" s="113"/>
      <c r="FD165" s="113"/>
      <c r="FE165" s="113"/>
      <c r="FF165" s="113"/>
      <c r="FG165" s="113"/>
      <c r="FH165" s="113"/>
      <c r="FI165" s="113"/>
      <c r="FJ165" s="113"/>
      <c r="FK165" s="113"/>
      <c r="FL165" s="113"/>
      <c r="FM165" s="113"/>
      <c r="FN165" s="113"/>
      <c r="FO165" s="113"/>
      <c r="FP165" s="113"/>
      <c r="FQ165" s="113"/>
      <c r="FR165" s="113"/>
      <c r="FS165" s="113"/>
      <c r="FT165" s="113"/>
      <c r="FU165" s="113"/>
      <c r="FV165" s="113"/>
      <c r="FW165" s="113"/>
      <c r="FX165" s="113"/>
      <c r="FY165" s="113"/>
      <c r="FZ165" s="113"/>
      <c r="GA165" s="113"/>
      <c r="GB165" s="113"/>
      <c r="GC165" s="113"/>
      <c r="GD165" s="113"/>
      <c r="GE165" s="113"/>
      <c r="GF165" s="113"/>
      <c r="GG165" s="113"/>
      <c r="GH165" s="113"/>
      <c r="GI165" s="113"/>
      <c r="GJ165" s="113"/>
      <c r="GK165" s="113"/>
      <c r="GL165" s="113"/>
      <c r="GM165" s="113"/>
      <c r="GN165" s="113"/>
      <c r="GO165" s="113"/>
      <c r="GP165" s="113"/>
      <c r="GQ165" s="113"/>
      <c r="GR165" s="113"/>
      <c r="GS165" s="113"/>
      <c r="GT165" s="113"/>
      <c r="GU165" s="113"/>
      <c r="GV165" s="113"/>
      <c r="GW165" s="113"/>
      <c r="GX165" s="113"/>
      <c r="GY165" s="113"/>
      <c r="GZ165" s="113"/>
      <c r="HA165" s="113"/>
      <c r="HB165" s="113"/>
      <c r="HC165" s="113"/>
      <c r="HD165" s="113"/>
      <c r="HE165" s="113"/>
      <c r="HF165" s="113"/>
      <c r="HG165" s="113"/>
      <c r="HH165" s="113"/>
      <c r="HI165" s="113"/>
      <c r="HJ165" s="113"/>
      <c r="HK165" s="113"/>
      <c r="HL165" s="113"/>
      <c r="HM165" s="113"/>
      <c r="HN165" s="113"/>
      <c r="HO165" s="113"/>
      <c r="HP165" s="113"/>
      <c r="HQ165" s="113"/>
      <c r="HR165" s="113"/>
      <c r="HS165" s="113"/>
      <c r="HT165" s="113"/>
      <c r="HU165" s="113"/>
      <c r="HV165" s="113"/>
      <c r="HW165" s="113"/>
      <c r="HX165" s="113"/>
      <c r="HY165" s="113"/>
      <c r="HZ165" s="113"/>
      <c r="IA165" s="113"/>
      <c r="IB165" s="113"/>
      <c r="IC165" s="113"/>
      <c r="ID165" s="113"/>
      <c r="IE165" s="113"/>
      <c r="IF165" s="113"/>
      <c r="IG165" s="113"/>
      <c r="IH165" s="113"/>
      <c r="II165" s="113"/>
      <c r="IJ165" s="113"/>
      <c r="IK165" s="113"/>
      <c r="IL165" s="113"/>
      <c r="IM165" s="113"/>
      <c r="IN165" s="113"/>
      <c r="IO165" s="113"/>
      <c r="IP165" s="113"/>
      <c r="IQ165" s="113"/>
      <c r="IR165" s="113"/>
      <c r="IS165" s="113"/>
      <c r="IT165" s="113"/>
      <c r="IU165" s="113"/>
      <c r="IV165" s="113"/>
      <c r="IW165" s="113"/>
      <c r="IX165" s="113"/>
      <c r="IY165" s="113"/>
      <c r="IZ165" s="113"/>
      <c r="JA165" s="113"/>
      <c r="JB165" s="113"/>
      <c r="JC165" s="113"/>
      <c r="JD165" s="113"/>
      <c r="JE165" s="113"/>
      <c r="JF165" s="113"/>
      <c r="JG165" s="113"/>
      <c r="JH165" s="113"/>
      <c r="JI165" s="113"/>
      <c r="JJ165" s="113"/>
      <c r="JK165" s="113"/>
      <c r="JL165" s="113"/>
      <c r="JM165" s="113"/>
      <c r="JN165" s="113"/>
      <c r="JO165" s="113"/>
      <c r="JP165" s="113"/>
      <c r="JQ165" s="113"/>
      <c r="JR165" s="113"/>
      <c r="JS165" s="113"/>
      <c r="JT165" s="113"/>
      <c r="JU165" s="113"/>
      <c r="JV165" s="113"/>
      <c r="JW165" s="113"/>
      <c r="JX165" s="113"/>
      <c r="JY165" s="113"/>
      <c r="JZ165" s="113"/>
      <c r="KA165" s="113"/>
      <c r="KB165" s="113"/>
      <c r="KC165" s="113"/>
      <c r="KD165" s="113"/>
      <c r="KE165" s="113"/>
      <c r="KF165" s="113"/>
      <c r="KG165" s="113"/>
      <c r="KH165" s="113"/>
      <c r="KI165" s="113"/>
      <c r="KJ165" s="113"/>
      <c r="KK165" s="113"/>
      <c r="KL165" s="113"/>
      <c r="KM165" s="113"/>
      <c r="KN165" s="113"/>
      <c r="KO165" s="113"/>
      <c r="KP165" s="113"/>
      <c r="KQ165" s="113"/>
      <c r="KR165" s="113"/>
      <c r="KS165" s="113"/>
      <c r="KT165" s="113"/>
      <c r="KU165" s="113"/>
      <c r="KV165" s="113"/>
      <c r="KW165" s="113"/>
      <c r="KX165" s="113"/>
      <c r="KY165" s="113"/>
      <c r="KZ165" s="113"/>
      <c r="LA165" s="113"/>
      <c r="LB165" s="113"/>
      <c r="LC165" s="113"/>
      <c r="LD165" s="113"/>
      <c r="LE165" s="113"/>
      <c r="LF165" s="113"/>
      <c r="LG165" s="113"/>
      <c r="LH165" s="113"/>
      <c r="LI165" s="113"/>
      <c r="LJ165" s="113"/>
      <c r="LK165" s="113"/>
      <c r="LL165" s="113"/>
      <c r="LM165" s="113"/>
      <c r="LN165" s="113"/>
      <c r="LO165" s="113"/>
      <c r="LP165" s="113"/>
      <c r="LQ165" s="113"/>
      <c r="LR165" s="113"/>
      <c r="LS165" s="113"/>
      <c r="LT165" s="113"/>
      <c r="LU165" s="113"/>
      <c r="LV165" s="113"/>
      <c r="LW165" s="113"/>
      <c r="LX165" s="113"/>
      <c r="LY165" s="113"/>
      <c r="LZ165" s="113"/>
      <c r="MA165" s="113"/>
      <c r="MB165" s="113"/>
      <c r="MC165" s="113"/>
      <c r="MD165" s="113"/>
      <c r="ME165" s="113"/>
      <c r="MF165" s="113"/>
      <c r="MG165" s="113"/>
      <c r="MH165" s="113"/>
      <c r="MI165" s="113"/>
      <c r="MJ165" s="113"/>
      <c r="MK165" s="113"/>
      <c r="ML165" s="113"/>
      <c r="MM165" s="113"/>
      <c r="MN165" s="113"/>
      <c r="MO165" s="113"/>
      <c r="MP165" s="113"/>
      <c r="MQ165" s="113"/>
      <c r="MR165" s="113"/>
      <c r="MS165" s="113"/>
      <c r="MT165" s="113"/>
      <c r="MU165" s="113"/>
      <c r="MV165" s="113"/>
      <c r="MW165" s="113"/>
      <c r="MX165" s="113"/>
      <c r="MY165" s="113"/>
      <c r="MZ165" s="113"/>
      <c r="NA165" s="113"/>
      <c r="NB165" s="113"/>
      <c r="NC165" s="113"/>
      <c r="ND165" s="113"/>
      <c r="NE165" s="113"/>
      <c r="NF165" s="113"/>
      <c r="NG165" s="113"/>
      <c r="NH165" s="113"/>
      <c r="NI165" s="113"/>
      <c r="NJ165" s="113"/>
      <c r="NK165" s="113"/>
      <c r="NL165" s="113"/>
      <c r="NM165" s="113"/>
      <c r="NN165" s="113"/>
      <c r="NO165" s="113"/>
      <c r="NP165" s="113"/>
      <c r="NQ165" s="113"/>
      <c r="NR165" s="113"/>
      <c r="NS165" s="113"/>
      <c r="NT165" s="113"/>
      <c r="NU165" s="113"/>
      <c r="NV165" s="113"/>
      <c r="NW165" s="113"/>
      <c r="NX165" s="113"/>
      <c r="NY165" s="113"/>
      <c r="NZ165" s="113"/>
      <c r="OA165" s="113"/>
      <c r="OB165" s="113"/>
      <c r="OC165" s="113"/>
      <c r="OD165" s="113"/>
      <c r="OE165" s="113"/>
      <c r="OF165" s="113"/>
      <c r="OG165" s="113"/>
      <c r="OH165" s="113"/>
      <c r="OI165" s="113"/>
      <c r="OJ165" s="113"/>
      <c r="OK165" s="113"/>
      <c r="OL165" s="113"/>
      <c r="OM165" s="113"/>
      <c r="ON165" s="113"/>
      <c r="OO165" s="113"/>
      <c r="OP165" s="113"/>
      <c r="OQ165" s="113"/>
      <c r="OR165" s="113"/>
      <c r="OS165" s="113"/>
      <c r="OT165" s="113"/>
      <c r="OU165" s="113"/>
      <c r="OV165" s="113"/>
      <c r="OW165" s="113"/>
      <c r="OX165" s="113"/>
      <c r="OY165" s="113"/>
      <c r="OZ165" s="113"/>
      <c r="PA165" s="113"/>
      <c r="PB165" s="113"/>
      <c r="PC165" s="113"/>
      <c r="PD165" s="113"/>
      <c r="PE165" s="113"/>
      <c r="PF165" s="113"/>
      <c r="PG165" s="113"/>
      <c r="PH165" s="113"/>
      <c r="PI165" s="113"/>
      <c r="PJ165" s="113"/>
      <c r="PK165" s="113"/>
      <c r="PL165" s="113"/>
      <c r="PM165" s="113"/>
      <c r="PN165" s="113"/>
      <c r="PO165" s="113"/>
      <c r="PP165" s="113"/>
      <c r="PQ165" s="113"/>
      <c r="PR165" s="113"/>
      <c r="PS165" s="113"/>
      <c r="PT165" s="113"/>
      <c r="PU165" s="113"/>
      <c r="PV165" s="113"/>
      <c r="PW165" s="113"/>
      <c r="PX165" s="113"/>
      <c r="PY165" s="113"/>
      <c r="PZ165" s="113"/>
      <c r="QA165" s="113"/>
      <c r="QB165" s="113"/>
      <c r="QC165" s="113"/>
      <c r="QD165" s="113"/>
      <c r="QE165" s="113"/>
      <c r="QF165" s="113"/>
      <c r="QG165" s="113"/>
      <c r="QH165" s="113"/>
      <c r="QI165" s="113"/>
      <c r="QJ165" s="113"/>
      <c r="QK165" s="113"/>
      <c r="QL165" s="113"/>
      <c r="QM165" s="113"/>
      <c r="QN165" s="113"/>
      <c r="QO165" s="113"/>
      <c r="QP165" s="113"/>
      <c r="QQ165" s="113"/>
      <c r="QR165" s="113"/>
      <c r="QS165" s="113"/>
      <c r="QT165" s="113"/>
      <c r="QU165" s="113"/>
      <c r="QV165" s="113"/>
      <c r="QW165" s="113"/>
      <c r="QX165" s="113"/>
      <c r="QY165" s="113"/>
      <c r="QZ165" s="113"/>
      <c r="RA165" s="113"/>
      <c r="RB165" s="113"/>
      <c r="RC165" s="113"/>
      <c r="RD165" s="113"/>
      <c r="RE165" s="113"/>
      <c r="RF165" s="113"/>
      <c r="RG165" s="113"/>
      <c r="RH165" s="113"/>
      <c r="RI165" s="113"/>
      <c r="RJ165" s="113"/>
      <c r="RK165" s="113"/>
      <c r="RL165" s="113"/>
      <c r="RM165" s="113"/>
      <c r="RN165" s="113"/>
      <c r="RO165" s="113"/>
      <c r="RP165" s="113"/>
      <c r="RQ165" s="113"/>
      <c r="RR165" s="113"/>
      <c r="RS165" s="113"/>
      <c r="RT165" s="113"/>
      <c r="RU165" s="113"/>
      <c r="RV165" s="113"/>
      <c r="RW165" s="113"/>
      <c r="RX165" s="113"/>
      <c r="RY165" s="113"/>
      <c r="RZ165" s="113"/>
      <c r="SA165" s="113"/>
      <c r="SB165" s="113"/>
      <c r="SC165" s="113"/>
      <c r="SD165" s="113"/>
      <c r="SE165" s="113"/>
      <c r="SF165" s="113"/>
      <c r="SG165" s="113"/>
      <c r="SH165" s="113"/>
      <c r="SI165" s="113"/>
      <c r="SJ165" s="113"/>
      <c r="SK165" s="113"/>
      <c r="SL165" s="113"/>
      <c r="SM165" s="113"/>
      <c r="SN165" s="113"/>
      <c r="SO165" s="113"/>
      <c r="SP165" s="113"/>
      <c r="SQ165" s="113"/>
      <c r="SR165" s="113"/>
      <c r="SS165" s="113"/>
      <c r="ST165" s="113"/>
      <c r="SU165" s="113"/>
      <c r="SV165" s="113"/>
      <c r="SW165" s="113"/>
      <c r="SX165" s="113"/>
      <c r="SY165" s="113"/>
      <c r="SZ165" s="113"/>
      <c r="TA165" s="113"/>
      <c r="TB165" s="113"/>
      <c r="TC165" s="113"/>
      <c r="TD165" s="113"/>
      <c r="TE165" s="113"/>
      <c r="TF165" s="113"/>
      <c r="TG165" s="113"/>
      <c r="TH165" s="113"/>
      <c r="TI165" s="113"/>
      <c r="TJ165" s="113"/>
      <c r="TK165" s="113"/>
      <c r="TL165" s="113"/>
      <c r="TM165" s="113"/>
      <c r="TN165" s="113"/>
      <c r="TO165" s="113"/>
      <c r="TP165" s="113"/>
      <c r="TQ165" s="113"/>
      <c r="TR165" s="113"/>
      <c r="TS165" s="113"/>
      <c r="TT165" s="113"/>
      <c r="TU165" s="113"/>
      <c r="TV165" s="113"/>
      <c r="TW165" s="113"/>
      <c r="TX165" s="113"/>
      <c r="TY165" s="113"/>
      <c r="TZ165" s="113"/>
      <c r="UA165" s="113"/>
      <c r="UB165" s="113"/>
      <c r="UC165" s="113"/>
      <c r="UD165" s="113"/>
      <c r="UE165" s="113"/>
      <c r="UF165" s="113"/>
      <c r="UG165" s="113"/>
      <c r="UH165" s="113"/>
      <c r="UI165" s="113"/>
      <c r="UJ165" s="113"/>
      <c r="UK165" s="113"/>
      <c r="UL165" s="113"/>
      <c r="UM165" s="113"/>
      <c r="UN165" s="113"/>
      <c r="UO165" s="113"/>
      <c r="UP165" s="113"/>
      <c r="UQ165" s="113"/>
      <c r="UR165" s="113"/>
      <c r="US165" s="113"/>
      <c r="UT165" s="113"/>
      <c r="UU165" s="113"/>
      <c r="UV165" s="113"/>
      <c r="UW165" s="113"/>
      <c r="UX165" s="113"/>
      <c r="UY165" s="113"/>
      <c r="UZ165" s="113"/>
      <c r="VA165" s="113"/>
      <c r="VB165" s="113"/>
      <c r="VC165" s="113"/>
      <c r="VD165" s="113"/>
      <c r="VE165" s="113"/>
      <c r="VF165" s="113"/>
      <c r="VG165" s="113"/>
      <c r="VH165" s="113"/>
      <c r="VI165" s="113"/>
      <c r="VJ165" s="113"/>
      <c r="VK165" s="113"/>
      <c r="VL165" s="113"/>
      <c r="VM165" s="113"/>
      <c r="VN165" s="113"/>
      <c r="VO165" s="113"/>
      <c r="VP165" s="113"/>
      <c r="VQ165" s="113"/>
      <c r="VR165" s="113"/>
      <c r="VS165" s="113"/>
      <c r="VT165" s="113"/>
      <c r="VU165" s="113"/>
      <c r="VV165" s="113"/>
      <c r="VW165" s="113"/>
      <c r="VX165" s="113"/>
      <c r="VY165" s="113"/>
      <c r="VZ165" s="113"/>
      <c r="WA165" s="113"/>
      <c r="WB165" s="113"/>
      <c r="WC165" s="113"/>
      <c r="WD165" s="113"/>
      <c r="WE165" s="113"/>
      <c r="WF165" s="113"/>
      <c r="WG165" s="113"/>
      <c r="WH165" s="113"/>
      <c r="WI165" s="113"/>
      <c r="WJ165" s="113"/>
      <c r="WK165" s="113"/>
      <c r="WL165" s="113"/>
      <c r="WM165" s="113"/>
      <c r="WN165" s="113"/>
      <c r="WO165" s="113"/>
      <c r="WP165" s="113"/>
      <c r="WQ165" s="113"/>
      <c r="WR165" s="113"/>
      <c r="WS165" s="113"/>
      <c r="WT165" s="113"/>
      <c r="WU165" s="113"/>
      <c r="WV165" s="113"/>
      <c r="WW165" s="113"/>
      <c r="WX165" s="113"/>
      <c r="WY165" s="113"/>
      <c r="WZ165" s="113"/>
      <c r="XA165" s="113"/>
      <c r="XB165" s="113"/>
      <c r="XC165" s="113"/>
      <c r="XD165" s="113"/>
      <c r="XE165" s="113"/>
      <c r="XF165" s="113"/>
      <c r="XG165" s="113"/>
      <c r="XH165" s="113"/>
      <c r="XI165" s="113"/>
      <c r="XJ165" s="113"/>
      <c r="XK165" s="113"/>
      <c r="XL165" s="113"/>
      <c r="XM165" s="113"/>
      <c r="XN165" s="113"/>
      <c r="XO165" s="113"/>
      <c r="XP165" s="113"/>
      <c r="XQ165" s="113"/>
      <c r="XR165" s="113"/>
      <c r="XS165" s="113"/>
      <c r="XT165" s="113"/>
      <c r="XU165" s="113"/>
      <c r="XV165" s="113"/>
      <c r="XW165" s="113"/>
      <c r="XX165" s="113"/>
      <c r="XY165" s="113"/>
      <c r="XZ165" s="113"/>
      <c r="YA165" s="113"/>
      <c r="YB165" s="113"/>
      <c r="YC165" s="113"/>
      <c r="YD165" s="113"/>
      <c r="YE165" s="113"/>
      <c r="YF165" s="113"/>
      <c r="YG165" s="113"/>
      <c r="YH165" s="113"/>
      <c r="YI165" s="113"/>
      <c r="YJ165" s="113"/>
      <c r="YK165" s="113"/>
      <c r="YL165" s="113"/>
      <c r="YM165" s="113"/>
      <c r="YN165" s="113"/>
      <c r="YO165" s="113"/>
      <c r="YP165" s="113"/>
      <c r="YQ165" s="113"/>
      <c r="YR165" s="113"/>
      <c r="YS165" s="113"/>
      <c r="YT165" s="113"/>
      <c r="YU165" s="113"/>
      <c r="YV165" s="113"/>
      <c r="YW165" s="113"/>
      <c r="YX165" s="113"/>
      <c r="YY165" s="113"/>
      <c r="YZ165" s="113"/>
      <c r="ZA165" s="113"/>
      <c r="ZB165" s="113"/>
      <c r="ZC165" s="113"/>
      <c r="ZD165" s="113"/>
      <c r="ZE165" s="113"/>
      <c r="ZF165" s="113"/>
      <c r="ZG165" s="113"/>
      <c r="ZH165" s="113"/>
      <c r="ZI165" s="113"/>
      <c r="ZJ165" s="113"/>
      <c r="ZK165" s="113"/>
      <c r="ZL165" s="113"/>
      <c r="ZM165" s="113"/>
      <c r="ZN165" s="113"/>
      <c r="ZO165" s="113"/>
      <c r="ZP165" s="113"/>
      <c r="ZQ165" s="113"/>
      <c r="ZR165" s="113"/>
      <c r="ZS165" s="113"/>
      <c r="ZT165" s="113"/>
      <c r="ZU165" s="113"/>
      <c r="ZV165" s="113"/>
      <c r="ZW165" s="113"/>
      <c r="ZX165" s="113"/>
      <c r="ZY165" s="113"/>
      <c r="ZZ165" s="113"/>
      <c r="AAA165" s="113"/>
      <c r="AAB165" s="113"/>
      <c r="AAC165" s="113"/>
      <c r="AAD165" s="113"/>
      <c r="AAE165" s="113"/>
      <c r="AAF165" s="113"/>
      <c r="AAG165" s="113"/>
      <c r="AAH165" s="113"/>
      <c r="AAI165" s="113"/>
      <c r="AAJ165" s="113"/>
      <c r="AAK165" s="113"/>
      <c r="AAL165" s="113"/>
      <c r="AAM165" s="113"/>
      <c r="AAN165" s="113"/>
      <c r="AAO165" s="113"/>
      <c r="AAP165" s="113"/>
      <c r="AAQ165" s="113"/>
      <c r="AAR165" s="113"/>
      <c r="AAS165" s="113"/>
      <c r="AAT165" s="113"/>
      <c r="AAU165" s="113"/>
      <c r="AAV165" s="113"/>
      <c r="AAW165" s="113"/>
      <c r="AAX165" s="113"/>
      <c r="AAY165" s="113"/>
      <c r="AAZ165" s="113"/>
      <c r="ABA165" s="113"/>
      <c r="ABB165" s="113"/>
      <c r="ABC165" s="113"/>
      <c r="ABD165" s="113"/>
      <c r="ABE165" s="113"/>
      <c r="ABF165" s="113"/>
      <c r="ABG165" s="113"/>
      <c r="ABH165" s="113"/>
      <c r="ABI165" s="113"/>
      <c r="ABJ165" s="113"/>
      <c r="ABK165" s="113"/>
      <c r="ABL165" s="113"/>
      <c r="ABM165" s="113"/>
      <c r="ABN165" s="113"/>
      <c r="ABO165" s="113"/>
      <c r="ABP165" s="113"/>
      <c r="ABQ165" s="113"/>
      <c r="ABR165" s="113"/>
      <c r="ABS165" s="113"/>
      <c r="ABT165" s="113"/>
      <c r="ABU165" s="113"/>
      <c r="ABV165" s="113"/>
      <c r="ABW165" s="113"/>
      <c r="ABX165" s="113"/>
      <c r="ABY165" s="113"/>
      <c r="ABZ165" s="113"/>
      <c r="ACA165" s="113"/>
      <c r="ACB165" s="113"/>
      <c r="ACC165" s="113"/>
      <c r="ACD165" s="113"/>
      <c r="ACE165" s="113"/>
      <c r="ACF165" s="113"/>
      <c r="ACG165" s="113"/>
      <c r="ACH165" s="113"/>
      <c r="ACI165" s="113"/>
      <c r="ACJ165" s="113"/>
      <c r="ACK165" s="113"/>
      <c r="ACL165" s="113"/>
      <c r="ACM165" s="113"/>
      <c r="ACN165" s="113"/>
      <c r="ACO165" s="113"/>
      <c r="ACP165" s="113"/>
      <c r="ACQ165" s="113"/>
      <c r="ACR165" s="113"/>
      <c r="ACS165" s="113"/>
      <c r="ACT165" s="113"/>
      <c r="ACU165" s="113"/>
      <c r="ACV165" s="113"/>
      <c r="ACW165" s="113"/>
      <c r="ACX165" s="113"/>
      <c r="ACY165" s="113"/>
      <c r="ACZ165" s="113"/>
      <c r="ADA165" s="113"/>
      <c r="ADB165" s="113"/>
      <c r="ADC165" s="113"/>
      <c r="ADD165" s="113"/>
      <c r="ADE165" s="113"/>
      <c r="ADF165" s="113"/>
      <c r="ADG165" s="113"/>
      <c r="ADH165" s="113"/>
      <c r="ADI165" s="113"/>
      <c r="ADJ165" s="113"/>
      <c r="ADK165" s="113"/>
      <c r="ADL165" s="113"/>
      <c r="ADM165" s="113"/>
      <c r="ADN165" s="113"/>
      <c r="ADO165" s="113"/>
      <c r="ADP165" s="113"/>
      <c r="ADQ165" s="113"/>
      <c r="ADR165" s="113"/>
      <c r="ADS165" s="113"/>
      <c r="ADT165" s="113"/>
      <c r="ADU165" s="113"/>
      <c r="ADV165" s="113"/>
      <c r="ADW165" s="113"/>
      <c r="ADX165" s="113"/>
      <c r="ADY165" s="113"/>
      <c r="ADZ165" s="113"/>
      <c r="AEA165" s="113"/>
      <c r="AEB165" s="113"/>
      <c r="AEC165" s="113"/>
      <c r="AED165" s="113"/>
      <c r="AEE165" s="113"/>
      <c r="AEF165" s="113"/>
      <c r="AEG165" s="113"/>
      <c r="AEH165" s="113"/>
      <c r="AEI165" s="113"/>
      <c r="AEJ165" s="113"/>
      <c r="AEK165" s="113"/>
      <c r="AEL165" s="113"/>
      <c r="AEM165" s="113"/>
      <c r="AEN165" s="113"/>
      <c r="AEO165" s="113"/>
      <c r="AEP165" s="113"/>
      <c r="AEQ165" s="113"/>
      <c r="AER165" s="113"/>
      <c r="AES165" s="113"/>
      <c r="AET165" s="113"/>
      <c r="AEU165" s="113"/>
      <c r="AEV165" s="113"/>
      <c r="AEW165" s="113"/>
      <c r="AEX165" s="113"/>
      <c r="AEY165" s="113"/>
      <c r="AEZ165" s="113"/>
      <c r="AFA165" s="113"/>
      <c r="AFB165" s="113"/>
      <c r="AFC165" s="113"/>
      <c r="AFD165" s="113"/>
      <c r="AFE165" s="113"/>
      <c r="AFF165" s="113"/>
      <c r="AFG165" s="113"/>
      <c r="AFH165" s="113"/>
      <c r="AFI165" s="113"/>
      <c r="AFJ165" s="113"/>
      <c r="AFK165" s="113"/>
      <c r="AFL165" s="113"/>
      <c r="AFM165" s="113"/>
      <c r="AFN165" s="113"/>
      <c r="AFO165" s="113"/>
      <c r="AFP165" s="113"/>
      <c r="AFQ165" s="113"/>
      <c r="AFR165" s="113"/>
      <c r="AFS165" s="113"/>
      <c r="AFT165" s="113"/>
      <c r="AFU165" s="113"/>
      <c r="AFV165" s="113"/>
      <c r="AFW165" s="113"/>
      <c r="AFX165" s="113"/>
      <c r="AFY165" s="113"/>
      <c r="AFZ165" s="113"/>
      <c r="AGA165" s="113"/>
      <c r="AGB165" s="113"/>
      <c r="AGC165" s="113"/>
      <c r="AGD165" s="113"/>
      <c r="AGE165" s="113"/>
      <c r="AGF165" s="113"/>
      <c r="AGG165" s="113"/>
      <c r="AGH165" s="113"/>
      <c r="AGI165" s="113"/>
      <c r="AGJ165" s="113"/>
      <c r="AGK165" s="113"/>
      <c r="AGL165" s="113"/>
      <c r="AGM165" s="113"/>
      <c r="AGN165" s="113"/>
      <c r="AGO165" s="113"/>
      <c r="AGP165" s="113"/>
      <c r="AGQ165" s="113"/>
      <c r="AGR165" s="113"/>
      <c r="AGS165" s="113"/>
      <c r="AGT165" s="113"/>
      <c r="AGU165" s="113"/>
      <c r="AGV165" s="113"/>
      <c r="AGW165" s="113"/>
      <c r="AGX165" s="113"/>
      <c r="AGY165" s="113"/>
      <c r="AGZ165" s="113"/>
      <c r="AHA165" s="113"/>
      <c r="AHB165" s="113"/>
      <c r="AHC165" s="113"/>
      <c r="AHD165" s="113"/>
      <c r="AHE165" s="113"/>
      <c r="AHF165" s="113"/>
      <c r="AHG165" s="113"/>
      <c r="AHH165" s="113"/>
      <c r="AHI165" s="113"/>
      <c r="AHJ165" s="113"/>
      <c r="AHK165" s="113"/>
      <c r="AHL165" s="113"/>
      <c r="AHM165" s="113"/>
      <c r="AHN165" s="113"/>
      <c r="AHO165" s="113"/>
      <c r="AHP165" s="113"/>
      <c r="AHQ165" s="113"/>
      <c r="AHR165" s="113"/>
      <c r="AHS165" s="113"/>
      <c r="AHT165" s="113"/>
      <c r="AHU165" s="113"/>
      <c r="AHV165" s="113"/>
      <c r="AHW165" s="113"/>
      <c r="AHX165" s="113"/>
      <c r="AHY165" s="113"/>
      <c r="AHZ165" s="113"/>
      <c r="AIA165" s="113"/>
      <c r="AIB165" s="113"/>
      <c r="AIC165" s="113"/>
      <c r="AID165" s="113"/>
      <c r="AIE165" s="113"/>
      <c r="AIF165" s="113"/>
      <c r="AIG165" s="113"/>
      <c r="AIH165" s="113"/>
      <c r="AII165" s="113"/>
      <c r="AIJ165" s="113"/>
      <c r="AIK165" s="113"/>
      <c r="AIL165" s="113"/>
      <c r="AIM165" s="113"/>
      <c r="AIN165" s="113"/>
      <c r="AIO165" s="113"/>
      <c r="AIP165" s="113"/>
      <c r="AIQ165" s="113"/>
      <c r="AIR165" s="113"/>
      <c r="AIS165" s="113"/>
      <c r="AIT165" s="113"/>
      <c r="AIU165" s="113"/>
      <c r="AIV165" s="113"/>
      <c r="AIW165" s="113"/>
      <c r="AIX165" s="113"/>
      <c r="AIY165" s="113"/>
      <c r="AIZ165" s="113"/>
    </row>
    <row r="166">
      <c r="A166" s="65" t="s">
        <v>54</v>
      </c>
      <c r="B166" s="65" t="s">
        <v>56</v>
      </c>
      <c r="C166" s="65"/>
      <c r="D166" s="64">
        <f t="shared" si="1"/>
        <v>425.1316833</v>
      </c>
      <c r="F166" s="65">
        <v>0.417</v>
      </c>
      <c r="G166" s="65">
        <v>19.9325166666667</v>
      </c>
      <c r="H166" s="65">
        <v>32.3381666666667</v>
      </c>
      <c r="I166" s="65">
        <v>3.94825</v>
      </c>
      <c r="J166" s="65">
        <v>0.382666666666667</v>
      </c>
      <c r="K166" s="65">
        <v>82.8791666666666</v>
      </c>
      <c r="N166" s="65">
        <v>6.78443333333333</v>
      </c>
      <c r="R166" s="65">
        <v>9.04841666666667</v>
      </c>
      <c r="S166" s="65">
        <v>4.03373333333333</v>
      </c>
      <c r="T166" s="65">
        <v>0.7149</v>
      </c>
      <c r="U166" s="65">
        <v>3.72626666666667</v>
      </c>
      <c r="X166" s="65">
        <v>0.61585</v>
      </c>
      <c r="Y166" s="65">
        <v>15.0485166666667</v>
      </c>
      <c r="Z166" s="65">
        <v>38.9349166666667</v>
      </c>
      <c r="AA166" s="65">
        <v>7.00296666666667</v>
      </c>
      <c r="AB166" s="65">
        <v>34.0954833333333</v>
      </c>
      <c r="AE166" s="65">
        <v>1.80975</v>
      </c>
      <c r="AF166" s="65">
        <v>31.1165333333333</v>
      </c>
      <c r="AG166" s="65">
        <v>41.2020166666667</v>
      </c>
      <c r="AH166" s="65">
        <v>2.95325</v>
      </c>
      <c r="AI166" s="65">
        <v>40.1631166666666</v>
      </c>
      <c r="AL166" s="65">
        <v>6.6154</v>
      </c>
      <c r="AM166" s="65">
        <v>2.08476666666667</v>
      </c>
      <c r="AN166" s="65">
        <v>3.44588333333333</v>
      </c>
      <c r="AQ166" s="65">
        <v>5.40586666666667</v>
      </c>
      <c r="AR166" s="65">
        <v>1.20761666666667</v>
      </c>
      <c r="AU166" s="65">
        <v>29.2242333333333</v>
      </c>
    </row>
    <row r="167">
      <c r="A167" s="65" t="s">
        <v>54</v>
      </c>
      <c r="B167" s="65" t="s">
        <v>56</v>
      </c>
      <c r="C167" s="65"/>
      <c r="D167" s="64">
        <f t="shared" si="1"/>
        <v>0</v>
      </c>
    </row>
    <row r="168">
      <c r="A168" s="65" t="s">
        <v>54</v>
      </c>
      <c r="B168" s="65" t="s">
        <v>56</v>
      </c>
      <c r="C168" s="65"/>
      <c r="D168" s="64">
        <f t="shared" si="1"/>
        <v>420.54535</v>
      </c>
      <c r="F168" s="118">
        <f>HYPERLINK("https://docs.google.com/spreadsheets/d/1dECxo2TLCplIr4DeCJ0E_Zpzjy7LFtTH", 0.417)</f>
        <v>0.417</v>
      </c>
      <c r="G168" s="118">
        <f>HYPERLINK("https://docs.google.com/spreadsheets/d/1hFTGzuUKHsKXwPRKn16_OxPZSzO5w9Mj", 19.9325166666667)</f>
        <v>19.93251667</v>
      </c>
      <c r="H168" s="118">
        <f>HYPERLINK("https://docs.google.com/spreadsheets/d/162GO8tgoNxf9rMIJHWffKhwv-ymnTEDc", 32.33815)</f>
        <v>32.33815</v>
      </c>
      <c r="I168" s="118">
        <f>HYPERLINK("https://docs.google.com/spreadsheets/d/1-8o36uHPm2xfn5MnjkmsE6-iO70hDt60", 3.94825)</f>
        <v>3.94825</v>
      </c>
      <c r="J168" s="118">
        <f>HYPERLINK("https://docs.google.com/spreadsheets/d/1P3ZUrtJv9rUDaKlg6drrCQeNE8AmzgMA", 0.382666666666667)</f>
        <v>0.3826666667</v>
      </c>
      <c r="K168" s="118">
        <f>HYPERLINK("https://docs.google.com/spreadsheets/d/15XxiXhSljbDMfwbss6qm0P0LdAYpjKbQ", 81.7293666666667)</f>
        <v>81.72936667</v>
      </c>
      <c r="N168" s="118">
        <f>HYPERLINK("https://docs.google.com/spreadsheets/d/1AuJ15CRcNgQZBOx_8cAVqSeNNV9rO2lR", 6.78443333333333)</f>
        <v>6.784433333</v>
      </c>
      <c r="R168" s="118">
        <f>HYPERLINK("https://docs.google.com/spreadsheets/d/10CtCZi6O4eDIzTsGkRU_nwLTp1jbjIxI", 8.04373333333334)</f>
        <v>8.043733333</v>
      </c>
      <c r="S168" s="118">
        <f>HYPERLINK("https://docs.google.com/spreadsheets/d/1QaUOzvYvMpuTMEz7DCVwfU9kAVjPDmit", 2.87593333333333)</f>
        <v>2.875933333</v>
      </c>
      <c r="T168" s="118">
        <f>HYPERLINK("https://docs.google.com/spreadsheets/d/1cemPzGLv_jaYRvTMzdboiTmU_IjMmjTm", 0.617316666666667)</f>
        <v>0.6173166667</v>
      </c>
      <c r="U168" s="118">
        <f>HYPERLINK("https://docs.google.com/spreadsheets/d/1i4yzyEmLOB7CwEbQxDUbMYHYK6anJMcc", 3.72626666666667)</f>
        <v>3.726266667</v>
      </c>
      <c r="X168" s="118">
        <f>HYPERLINK("https://docs.google.com/spreadsheets/d/1kBVWD4T-WftNE4Nqp_DdKj3DpTGZT_bQ", 0.61585)</f>
        <v>0.61585</v>
      </c>
      <c r="Y168" s="118">
        <f>HYPERLINK("https://docs.google.com/spreadsheets/d/1DiZ0e8mylaG1KsCctmV00fXX_zfzQ4zG", 15.0485)</f>
        <v>15.0485</v>
      </c>
      <c r="Z168" s="118">
        <f>HYPERLINK("https://docs.google.com/spreadsheets/d/1zbQWSuZjxpwvL-Yh8sVk60GSMnXgglC4", 38.9348833333333)</f>
        <v>38.93488333</v>
      </c>
      <c r="AA168" s="118">
        <f>HYPERLINK("https://docs.google.com/spreadsheets/d/1FXJIy4i0ZDvEeXo7vmtiq-sNHNKUB_FI", 6.6952)</f>
        <v>6.6952</v>
      </c>
      <c r="AB168" s="118">
        <f>HYPERLINK("https://docs.google.com/spreadsheets/d/1BA0TIDR8-320ZuzClJ3EmqV97-41MEX1", 34.0639666666667)</f>
        <v>34.06396667</v>
      </c>
      <c r="AE168" s="118">
        <f>HYPERLINK("https://docs.google.com/spreadsheets/d/1JFBOcwWoe7sWkVg3ajFKokwfS5cztH3v", 1.80976666666667)</f>
        <v>1.809766667</v>
      </c>
      <c r="AF168" s="118">
        <f>HYPERLINK("https://docs.google.com/spreadsheets/d/1wLpo1sLr7CPEPx8d1NQhFpeQtk9oTaX-", 31.11655)</f>
        <v>31.11655</v>
      </c>
      <c r="AG168" s="118">
        <f>HYPERLINK("https://docs.google.com/spreadsheets/d/1IJKGfmAXI0zJwROikQdCjD9An5xHJQ0G", 41.2019666666667)</f>
        <v>41.20196667</v>
      </c>
      <c r="AH168" s="118">
        <f>HYPERLINK("https://docs.google.com/spreadsheets/d/1CBcZXZfRTJUdQWmeZ5DpK1XPz_pnUbWH", 2.95325)</f>
        <v>2.95325</v>
      </c>
      <c r="AI168" s="118">
        <f>HYPERLINK("https://docs.google.com/spreadsheets/d/1nvGI5rJul1paLSV8ecMu-nVHD33d4mh-", 39.9627333333333)</f>
        <v>39.96273333</v>
      </c>
      <c r="AL168" s="118">
        <f>HYPERLINK("https://docs.google.com/spreadsheets/d/1t8o-hnt5sJzaGpoUhJOjBSDN8tQDkThC", 6.6154)</f>
        <v>6.6154</v>
      </c>
      <c r="AM168" s="118">
        <f>HYPERLINK("https://docs.google.com/spreadsheets/d/1PilUmKeF6BBeUuesFB8hNG3lZ8O8RANd", 2.08475)</f>
        <v>2.08475</v>
      </c>
      <c r="AN168" s="118">
        <f>HYPERLINK("https://docs.google.com/spreadsheets/d/1ej1UKufO4eDvboFqD39GQFk29UYe4-q-", 3.44588333333333)</f>
        <v>3.445883333</v>
      </c>
      <c r="AQ168" s="118">
        <f>HYPERLINK("https://docs.google.com/spreadsheets/d/1wXPbpPLo65sUc_O1XVb8yAVCvSUXGxf-", 5.40588333333333)</f>
        <v>5.405883333</v>
      </c>
      <c r="AR168" s="118">
        <f>HYPERLINK("https://docs.google.com/spreadsheets/d/1bbUa7_HdWan75fIzwbs9THT6Np7hl2f1", 1.20761666666667)</f>
        <v>1.207616667</v>
      </c>
      <c r="AU168" s="118">
        <f>HYPERLINK("https://docs.google.com/spreadsheets/d/1aKgM8cFHs_rqrd9-eb2sZU-gm7i0LKNM", 28.5875166666667)</f>
        <v>28.58751667</v>
      </c>
    </row>
    <row r="169">
      <c r="A169" s="65" t="s">
        <v>54</v>
      </c>
      <c r="B169" s="65" t="s">
        <v>56</v>
      </c>
      <c r="C169" s="65"/>
      <c r="D169" s="64">
        <f t="shared" si="1"/>
        <v>162.6300333</v>
      </c>
      <c r="F169" s="65">
        <v>0.0</v>
      </c>
      <c r="G169" s="65">
        <v>4.95845</v>
      </c>
      <c r="H169" s="65">
        <v>1.00455</v>
      </c>
      <c r="I169" s="65">
        <v>0.26825</v>
      </c>
      <c r="J169" s="65">
        <v>0.0</v>
      </c>
      <c r="K169" s="65">
        <v>3.64033333333333</v>
      </c>
      <c r="N169" s="65">
        <v>0.819633333333333</v>
      </c>
      <c r="R169" s="65">
        <v>5.43756666666667</v>
      </c>
      <c r="S169" s="65">
        <v>0.47165</v>
      </c>
      <c r="T169" s="65">
        <v>0.15015</v>
      </c>
      <c r="U169" s="65">
        <v>0.9233</v>
      </c>
      <c r="X169" s="65">
        <v>0.0334166666666667</v>
      </c>
      <c r="Y169" s="65">
        <v>6.41368333333333</v>
      </c>
      <c r="Z169" s="65">
        <v>15.1088</v>
      </c>
      <c r="AA169" s="65">
        <v>1.57298333333333</v>
      </c>
      <c r="AB169" s="65">
        <v>17.8314166666667</v>
      </c>
      <c r="AE169" s="65">
        <v>0.36945</v>
      </c>
      <c r="AF169" s="65">
        <v>17.1663333333333</v>
      </c>
      <c r="AG169" s="65">
        <v>19.6249166666667</v>
      </c>
      <c r="AH169" s="65">
        <v>0.691616666666667</v>
      </c>
      <c r="AI169" s="65">
        <v>33.72575</v>
      </c>
      <c r="AL169" s="65">
        <v>2.37245</v>
      </c>
      <c r="AM169" s="65">
        <v>1.09128333333333</v>
      </c>
      <c r="AN169" s="65">
        <v>1.76141666666667</v>
      </c>
      <c r="AQ169" s="65">
        <v>3.4299</v>
      </c>
      <c r="AR169" s="65">
        <v>1.20761666666667</v>
      </c>
      <c r="AU169" s="65">
        <v>22.5551166666667</v>
      </c>
    </row>
    <row r="170">
      <c r="A170" s="119" t="s">
        <v>54</v>
      </c>
      <c r="B170" s="119" t="s">
        <v>56</v>
      </c>
      <c r="C170" s="119"/>
      <c r="D170" s="120">
        <f t="shared" si="1"/>
        <v>0</v>
      </c>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c r="AA170" s="120"/>
      <c r="AB170" s="120"/>
      <c r="AC170" s="120"/>
      <c r="AD170" s="120"/>
      <c r="AE170" s="120"/>
      <c r="AF170" s="120"/>
      <c r="AG170" s="120"/>
      <c r="AH170" s="120"/>
      <c r="AI170" s="120"/>
      <c r="AJ170" s="120"/>
      <c r="AK170" s="120"/>
      <c r="AL170" s="120"/>
      <c r="AM170" s="120"/>
      <c r="AN170" s="120"/>
      <c r="AO170" s="120"/>
      <c r="AP170" s="120"/>
      <c r="AQ170" s="120"/>
      <c r="AR170" s="120"/>
      <c r="AS170" s="120"/>
      <c r="AT170" s="120"/>
      <c r="AU170" s="120"/>
      <c r="AV170" s="120"/>
      <c r="AW170" s="120"/>
      <c r="AX170" s="120"/>
      <c r="AY170" s="120"/>
      <c r="AZ170" s="120"/>
      <c r="BA170" s="120"/>
      <c r="BB170" s="120"/>
      <c r="BC170" s="120"/>
      <c r="BD170" s="120"/>
      <c r="BE170" s="120"/>
      <c r="BF170" s="120"/>
      <c r="BG170" s="120"/>
      <c r="BH170" s="120"/>
      <c r="BI170" s="120"/>
      <c r="BJ170" s="120"/>
      <c r="BK170" s="120"/>
      <c r="BL170" s="120"/>
      <c r="BM170" s="120"/>
      <c r="BN170" s="120"/>
      <c r="BO170" s="120"/>
      <c r="BP170" s="120"/>
      <c r="BQ170" s="120"/>
      <c r="BR170" s="120"/>
      <c r="BS170" s="120"/>
      <c r="BT170" s="120"/>
      <c r="BU170" s="120"/>
      <c r="BV170" s="120"/>
      <c r="BW170" s="120"/>
      <c r="BX170" s="120"/>
      <c r="BY170" s="120"/>
      <c r="BZ170" s="120"/>
      <c r="CA170" s="120"/>
      <c r="CB170" s="120"/>
      <c r="CC170" s="120"/>
      <c r="CD170" s="120"/>
      <c r="CE170" s="120"/>
      <c r="CF170" s="120"/>
      <c r="CG170" s="120"/>
      <c r="CH170" s="120"/>
      <c r="CI170" s="120"/>
      <c r="CJ170" s="120"/>
      <c r="CK170" s="120"/>
      <c r="CL170" s="120"/>
      <c r="CM170" s="120"/>
      <c r="CN170" s="120"/>
      <c r="CO170" s="120"/>
      <c r="CP170" s="120"/>
      <c r="CQ170" s="120"/>
      <c r="CR170" s="120"/>
      <c r="CS170" s="120"/>
      <c r="CT170" s="120"/>
      <c r="CU170" s="120"/>
      <c r="CV170" s="120"/>
      <c r="CW170" s="120"/>
      <c r="CX170" s="120"/>
      <c r="CY170" s="120"/>
      <c r="CZ170" s="120"/>
      <c r="DA170" s="120"/>
      <c r="DB170" s="120"/>
      <c r="DC170" s="120"/>
      <c r="DD170" s="120"/>
      <c r="DE170" s="120"/>
      <c r="DF170" s="120"/>
      <c r="DG170" s="120"/>
      <c r="DH170" s="120"/>
      <c r="DI170" s="120"/>
      <c r="DJ170" s="120"/>
      <c r="DK170" s="120"/>
      <c r="DL170" s="120"/>
      <c r="DM170" s="120"/>
      <c r="DN170" s="120"/>
      <c r="DO170" s="120"/>
      <c r="DP170" s="120"/>
      <c r="DQ170" s="120"/>
      <c r="DR170" s="120"/>
      <c r="DS170" s="120"/>
      <c r="DT170" s="120"/>
      <c r="DU170" s="120"/>
      <c r="DV170" s="120"/>
      <c r="DW170" s="120"/>
      <c r="DX170" s="120"/>
      <c r="DY170" s="120"/>
      <c r="DZ170" s="120"/>
      <c r="EA170" s="120"/>
      <c r="EB170" s="120"/>
      <c r="EC170" s="120"/>
      <c r="ED170" s="120"/>
      <c r="EE170" s="120"/>
      <c r="EF170" s="120"/>
      <c r="EG170" s="120"/>
      <c r="EH170" s="120"/>
      <c r="EI170" s="120"/>
      <c r="EJ170" s="120"/>
      <c r="EK170" s="120"/>
      <c r="EL170" s="120"/>
      <c r="EM170" s="120"/>
      <c r="EN170" s="120"/>
      <c r="EO170" s="120"/>
      <c r="EP170" s="120"/>
      <c r="EQ170" s="120"/>
      <c r="ER170" s="120"/>
      <c r="ES170" s="120"/>
      <c r="ET170" s="120"/>
      <c r="EU170" s="120"/>
      <c r="EV170" s="120"/>
      <c r="EW170" s="120"/>
      <c r="EX170" s="120"/>
      <c r="EY170" s="120"/>
      <c r="EZ170" s="120"/>
      <c r="FA170" s="120"/>
      <c r="FB170" s="120"/>
      <c r="FC170" s="120"/>
      <c r="FD170" s="120"/>
      <c r="FE170" s="120"/>
      <c r="FF170" s="120"/>
      <c r="FG170" s="120"/>
      <c r="FH170" s="120"/>
      <c r="FI170" s="120"/>
      <c r="FJ170" s="120"/>
      <c r="FK170" s="120"/>
      <c r="FL170" s="120"/>
      <c r="FM170" s="120"/>
      <c r="FN170" s="120"/>
      <c r="FO170" s="120"/>
      <c r="FP170" s="120"/>
      <c r="FQ170" s="120"/>
      <c r="FR170" s="120"/>
      <c r="FS170" s="120"/>
      <c r="FT170" s="120"/>
      <c r="FU170" s="120"/>
      <c r="FV170" s="120"/>
      <c r="FW170" s="120"/>
      <c r="FX170" s="120"/>
      <c r="FY170" s="120"/>
      <c r="FZ170" s="120"/>
      <c r="GA170" s="120"/>
      <c r="GB170" s="120"/>
      <c r="GC170" s="120"/>
      <c r="GD170" s="120"/>
      <c r="GE170" s="120"/>
      <c r="GF170" s="120"/>
      <c r="GG170" s="120"/>
      <c r="GH170" s="120"/>
      <c r="GI170" s="120"/>
      <c r="GJ170" s="120"/>
      <c r="GK170" s="120"/>
      <c r="GL170" s="120"/>
      <c r="GM170" s="120"/>
      <c r="GN170" s="120"/>
      <c r="GO170" s="120"/>
      <c r="GP170" s="120"/>
      <c r="GQ170" s="120"/>
      <c r="GR170" s="120"/>
      <c r="GS170" s="120"/>
      <c r="GT170" s="120"/>
      <c r="GU170" s="120"/>
      <c r="GV170" s="120"/>
      <c r="GW170" s="120"/>
      <c r="GX170" s="120"/>
      <c r="GY170" s="120"/>
      <c r="GZ170" s="120"/>
      <c r="HA170" s="120"/>
      <c r="HB170" s="120"/>
      <c r="HC170" s="120"/>
      <c r="HD170" s="120"/>
      <c r="HE170" s="120"/>
      <c r="HF170" s="120"/>
      <c r="HG170" s="120"/>
      <c r="HH170" s="120"/>
      <c r="HI170" s="120"/>
      <c r="HJ170" s="120"/>
      <c r="HK170" s="120"/>
      <c r="HL170" s="120"/>
      <c r="HM170" s="120"/>
      <c r="HN170" s="120"/>
      <c r="HO170" s="120"/>
      <c r="HP170" s="120"/>
      <c r="HQ170" s="120"/>
      <c r="HR170" s="120"/>
      <c r="HS170" s="120"/>
      <c r="HT170" s="120"/>
      <c r="HU170" s="120"/>
      <c r="HV170" s="120"/>
      <c r="HW170" s="120"/>
      <c r="HX170" s="120"/>
      <c r="HY170" s="120"/>
      <c r="HZ170" s="120"/>
      <c r="IA170" s="120"/>
      <c r="IB170" s="120"/>
      <c r="IC170" s="120"/>
      <c r="ID170" s="120"/>
      <c r="IE170" s="120"/>
      <c r="IF170" s="120"/>
      <c r="IG170" s="120"/>
      <c r="IH170" s="120"/>
      <c r="II170" s="120"/>
      <c r="IJ170" s="120"/>
      <c r="IK170" s="120"/>
      <c r="IL170" s="120"/>
      <c r="IM170" s="120"/>
      <c r="IN170" s="120"/>
      <c r="IO170" s="120"/>
      <c r="IP170" s="120"/>
      <c r="IQ170" s="120"/>
      <c r="IR170" s="120"/>
      <c r="IS170" s="120"/>
      <c r="IT170" s="120"/>
      <c r="IU170" s="120"/>
      <c r="IV170" s="120"/>
      <c r="IW170" s="120"/>
      <c r="IX170" s="120"/>
      <c r="IY170" s="120"/>
      <c r="IZ170" s="120"/>
      <c r="JA170" s="120"/>
      <c r="JB170" s="120"/>
      <c r="JC170" s="120"/>
      <c r="JD170" s="120"/>
      <c r="JE170" s="120"/>
      <c r="JF170" s="120"/>
      <c r="JG170" s="120"/>
      <c r="JH170" s="120"/>
      <c r="JI170" s="120"/>
      <c r="JJ170" s="120"/>
      <c r="JK170" s="120"/>
      <c r="JL170" s="120"/>
      <c r="JM170" s="120"/>
      <c r="JN170" s="120"/>
      <c r="JO170" s="120"/>
      <c r="JP170" s="120"/>
      <c r="JQ170" s="120"/>
      <c r="JR170" s="120"/>
      <c r="JS170" s="120"/>
      <c r="JT170" s="120"/>
      <c r="JU170" s="120"/>
      <c r="JV170" s="120"/>
      <c r="JW170" s="120"/>
      <c r="JX170" s="120"/>
      <c r="JY170" s="120"/>
      <c r="JZ170" s="120"/>
      <c r="KA170" s="120"/>
      <c r="KB170" s="120"/>
      <c r="KC170" s="120"/>
      <c r="KD170" s="120"/>
      <c r="KE170" s="120"/>
      <c r="KF170" s="120"/>
      <c r="KG170" s="120"/>
      <c r="KH170" s="120"/>
      <c r="KI170" s="120"/>
      <c r="KJ170" s="120"/>
      <c r="KK170" s="120"/>
      <c r="KL170" s="120"/>
      <c r="KM170" s="120"/>
      <c r="KN170" s="120"/>
      <c r="KO170" s="120"/>
      <c r="KP170" s="120"/>
      <c r="KQ170" s="120"/>
      <c r="KR170" s="120"/>
      <c r="KS170" s="120"/>
      <c r="KT170" s="120"/>
      <c r="KU170" s="120"/>
      <c r="KV170" s="120"/>
      <c r="KW170" s="120"/>
      <c r="KX170" s="120"/>
      <c r="KY170" s="120"/>
      <c r="KZ170" s="120"/>
      <c r="LA170" s="120"/>
      <c r="LB170" s="120"/>
      <c r="LC170" s="120"/>
      <c r="LD170" s="120"/>
      <c r="LE170" s="120"/>
      <c r="LF170" s="120"/>
      <c r="LG170" s="120"/>
      <c r="LH170" s="120"/>
      <c r="LI170" s="120"/>
      <c r="LJ170" s="120"/>
      <c r="LK170" s="120"/>
      <c r="LL170" s="120"/>
      <c r="LM170" s="120"/>
      <c r="LN170" s="120"/>
      <c r="LO170" s="120"/>
      <c r="LP170" s="120"/>
      <c r="LQ170" s="120"/>
      <c r="LR170" s="120"/>
      <c r="LS170" s="120"/>
      <c r="LT170" s="120"/>
      <c r="LU170" s="120"/>
      <c r="LV170" s="120"/>
      <c r="LW170" s="120"/>
      <c r="LX170" s="120"/>
      <c r="LY170" s="120"/>
      <c r="LZ170" s="120"/>
      <c r="MA170" s="120"/>
      <c r="MB170" s="120"/>
      <c r="MC170" s="120"/>
      <c r="MD170" s="120"/>
      <c r="ME170" s="120"/>
      <c r="MF170" s="120"/>
      <c r="MG170" s="120"/>
      <c r="MH170" s="120"/>
      <c r="MI170" s="120"/>
      <c r="MJ170" s="120"/>
      <c r="MK170" s="120"/>
      <c r="ML170" s="120"/>
      <c r="MM170" s="120"/>
      <c r="MN170" s="120"/>
      <c r="MO170" s="120"/>
      <c r="MP170" s="120"/>
      <c r="MQ170" s="120"/>
      <c r="MR170" s="120"/>
      <c r="MS170" s="120"/>
      <c r="MT170" s="120"/>
      <c r="MU170" s="120"/>
      <c r="MV170" s="120"/>
      <c r="MW170" s="120"/>
      <c r="MX170" s="120"/>
      <c r="MY170" s="120"/>
      <c r="MZ170" s="120"/>
      <c r="NA170" s="120"/>
      <c r="NB170" s="120"/>
      <c r="NC170" s="120"/>
      <c r="ND170" s="120"/>
      <c r="NE170" s="120"/>
      <c r="NF170" s="120"/>
      <c r="NG170" s="120"/>
      <c r="NH170" s="120"/>
      <c r="NI170" s="120"/>
      <c r="NJ170" s="120"/>
      <c r="NK170" s="120"/>
      <c r="NL170" s="120"/>
      <c r="NM170" s="120"/>
      <c r="NN170" s="120"/>
      <c r="NO170" s="120"/>
      <c r="NP170" s="120"/>
      <c r="NQ170" s="120"/>
      <c r="NR170" s="120"/>
      <c r="NS170" s="120"/>
      <c r="NT170" s="120"/>
      <c r="NU170" s="120"/>
      <c r="NV170" s="120"/>
      <c r="NW170" s="120"/>
      <c r="NX170" s="120"/>
      <c r="NY170" s="120"/>
      <c r="NZ170" s="120"/>
      <c r="OA170" s="120"/>
      <c r="OB170" s="120"/>
      <c r="OC170" s="120"/>
      <c r="OD170" s="120"/>
      <c r="OE170" s="120"/>
      <c r="OF170" s="120"/>
      <c r="OG170" s="120"/>
      <c r="OH170" s="120"/>
      <c r="OI170" s="120"/>
      <c r="OJ170" s="120"/>
      <c r="OK170" s="120"/>
      <c r="OL170" s="120"/>
      <c r="OM170" s="120"/>
      <c r="ON170" s="120"/>
      <c r="OO170" s="120"/>
      <c r="OP170" s="120"/>
      <c r="OQ170" s="120"/>
      <c r="OR170" s="120"/>
      <c r="OS170" s="120"/>
      <c r="OT170" s="120"/>
      <c r="OU170" s="120"/>
      <c r="OV170" s="120"/>
      <c r="OW170" s="120"/>
      <c r="OX170" s="120"/>
      <c r="OY170" s="120"/>
      <c r="OZ170" s="120"/>
      <c r="PA170" s="120"/>
      <c r="PB170" s="120"/>
      <c r="PC170" s="120"/>
      <c r="PD170" s="120"/>
      <c r="PE170" s="120"/>
      <c r="PF170" s="120"/>
      <c r="PG170" s="120"/>
      <c r="PH170" s="120"/>
      <c r="PI170" s="120"/>
      <c r="PJ170" s="120"/>
      <c r="PK170" s="120"/>
      <c r="PL170" s="120"/>
      <c r="PM170" s="120"/>
      <c r="PN170" s="120"/>
      <c r="PO170" s="120"/>
      <c r="PP170" s="120"/>
      <c r="PQ170" s="120"/>
      <c r="PR170" s="120"/>
      <c r="PS170" s="120"/>
      <c r="PT170" s="120"/>
      <c r="PU170" s="120"/>
      <c r="PV170" s="120"/>
      <c r="PW170" s="120"/>
      <c r="PX170" s="120"/>
      <c r="PY170" s="120"/>
      <c r="PZ170" s="120"/>
      <c r="QA170" s="120"/>
      <c r="QB170" s="120"/>
      <c r="QC170" s="120"/>
      <c r="QD170" s="120"/>
      <c r="QE170" s="120"/>
      <c r="QF170" s="120"/>
      <c r="QG170" s="120"/>
      <c r="QH170" s="120"/>
      <c r="QI170" s="120"/>
      <c r="QJ170" s="120"/>
      <c r="QK170" s="120"/>
      <c r="QL170" s="120"/>
      <c r="QM170" s="120"/>
      <c r="QN170" s="120"/>
      <c r="QO170" s="120"/>
      <c r="QP170" s="120"/>
      <c r="QQ170" s="120"/>
      <c r="QR170" s="120"/>
      <c r="QS170" s="120"/>
      <c r="QT170" s="120"/>
      <c r="QU170" s="120"/>
      <c r="QV170" s="120"/>
      <c r="QW170" s="120"/>
      <c r="QX170" s="120"/>
      <c r="QY170" s="120"/>
      <c r="QZ170" s="120"/>
      <c r="RA170" s="120"/>
      <c r="RB170" s="120"/>
      <c r="RC170" s="120"/>
      <c r="RD170" s="120"/>
      <c r="RE170" s="120"/>
      <c r="RF170" s="120"/>
      <c r="RG170" s="120"/>
      <c r="RH170" s="120"/>
      <c r="RI170" s="120"/>
      <c r="RJ170" s="120"/>
      <c r="RK170" s="120"/>
      <c r="RL170" s="120"/>
      <c r="RM170" s="120"/>
      <c r="RN170" s="120"/>
      <c r="RO170" s="120"/>
      <c r="RP170" s="120"/>
      <c r="RQ170" s="120"/>
      <c r="RR170" s="120"/>
      <c r="RS170" s="120"/>
      <c r="RT170" s="120"/>
      <c r="RU170" s="120"/>
      <c r="RV170" s="120"/>
      <c r="RW170" s="120"/>
      <c r="RX170" s="120"/>
      <c r="RY170" s="120"/>
      <c r="RZ170" s="120"/>
      <c r="SA170" s="120"/>
      <c r="SB170" s="120"/>
      <c r="SC170" s="120"/>
      <c r="SD170" s="120"/>
      <c r="SE170" s="120"/>
      <c r="SF170" s="120"/>
      <c r="SG170" s="120"/>
      <c r="SH170" s="120"/>
      <c r="SI170" s="120"/>
      <c r="SJ170" s="120"/>
      <c r="SK170" s="120"/>
      <c r="SL170" s="120"/>
      <c r="SM170" s="120"/>
      <c r="SN170" s="120"/>
      <c r="SO170" s="120"/>
      <c r="SP170" s="120"/>
      <c r="SQ170" s="120"/>
      <c r="SR170" s="120"/>
      <c r="SS170" s="120"/>
      <c r="ST170" s="120"/>
      <c r="SU170" s="120"/>
      <c r="SV170" s="120"/>
      <c r="SW170" s="120"/>
      <c r="SX170" s="120"/>
      <c r="SY170" s="120"/>
      <c r="SZ170" s="120"/>
      <c r="TA170" s="120"/>
      <c r="TB170" s="120"/>
      <c r="TC170" s="120"/>
      <c r="TD170" s="120"/>
      <c r="TE170" s="120"/>
      <c r="TF170" s="120"/>
      <c r="TG170" s="120"/>
      <c r="TH170" s="120"/>
      <c r="TI170" s="120"/>
      <c r="TJ170" s="120"/>
      <c r="TK170" s="120"/>
      <c r="TL170" s="120"/>
      <c r="TM170" s="120"/>
      <c r="TN170" s="120"/>
      <c r="TO170" s="120"/>
      <c r="TP170" s="120"/>
      <c r="TQ170" s="120"/>
      <c r="TR170" s="120"/>
      <c r="TS170" s="120"/>
      <c r="TT170" s="120"/>
      <c r="TU170" s="120"/>
      <c r="TV170" s="120"/>
      <c r="TW170" s="120"/>
      <c r="TX170" s="120"/>
      <c r="TY170" s="120"/>
      <c r="TZ170" s="120"/>
      <c r="UA170" s="120"/>
      <c r="UB170" s="120"/>
      <c r="UC170" s="120"/>
      <c r="UD170" s="120"/>
      <c r="UE170" s="120"/>
      <c r="UF170" s="120"/>
      <c r="UG170" s="120"/>
      <c r="UH170" s="120"/>
      <c r="UI170" s="120"/>
      <c r="UJ170" s="120"/>
      <c r="UK170" s="120"/>
      <c r="UL170" s="120"/>
      <c r="UM170" s="120"/>
      <c r="UN170" s="120"/>
      <c r="UO170" s="120"/>
      <c r="UP170" s="120"/>
      <c r="UQ170" s="120"/>
      <c r="UR170" s="120"/>
      <c r="US170" s="120"/>
      <c r="UT170" s="120"/>
      <c r="UU170" s="120"/>
      <c r="UV170" s="120"/>
      <c r="UW170" s="120"/>
      <c r="UX170" s="120"/>
      <c r="UY170" s="120"/>
      <c r="UZ170" s="120"/>
      <c r="VA170" s="120"/>
      <c r="VB170" s="120"/>
      <c r="VC170" s="120"/>
      <c r="VD170" s="120"/>
      <c r="VE170" s="120"/>
      <c r="VF170" s="120"/>
      <c r="VG170" s="120"/>
      <c r="VH170" s="120"/>
      <c r="VI170" s="120"/>
      <c r="VJ170" s="120"/>
      <c r="VK170" s="120"/>
      <c r="VL170" s="120"/>
      <c r="VM170" s="120"/>
      <c r="VN170" s="120"/>
      <c r="VO170" s="120"/>
      <c r="VP170" s="120"/>
      <c r="VQ170" s="120"/>
      <c r="VR170" s="120"/>
      <c r="VS170" s="120"/>
      <c r="VT170" s="120"/>
      <c r="VU170" s="120"/>
      <c r="VV170" s="120"/>
      <c r="VW170" s="120"/>
      <c r="VX170" s="120"/>
      <c r="VY170" s="120"/>
      <c r="VZ170" s="120"/>
      <c r="WA170" s="120"/>
      <c r="WB170" s="120"/>
      <c r="WC170" s="120"/>
      <c r="WD170" s="120"/>
      <c r="WE170" s="120"/>
      <c r="WF170" s="120"/>
      <c r="WG170" s="120"/>
      <c r="WH170" s="120"/>
      <c r="WI170" s="120"/>
      <c r="WJ170" s="120"/>
      <c r="WK170" s="120"/>
      <c r="WL170" s="120"/>
      <c r="WM170" s="120"/>
      <c r="WN170" s="120"/>
      <c r="WO170" s="120"/>
      <c r="WP170" s="120"/>
      <c r="WQ170" s="120"/>
      <c r="WR170" s="120"/>
      <c r="WS170" s="120"/>
      <c r="WT170" s="120"/>
      <c r="WU170" s="120"/>
      <c r="WV170" s="120"/>
      <c r="WW170" s="120"/>
      <c r="WX170" s="120"/>
      <c r="WY170" s="120"/>
      <c r="WZ170" s="120"/>
      <c r="XA170" s="120"/>
      <c r="XB170" s="120"/>
      <c r="XC170" s="120"/>
      <c r="XD170" s="120"/>
      <c r="XE170" s="120"/>
      <c r="XF170" s="120"/>
      <c r="XG170" s="120"/>
      <c r="XH170" s="120"/>
      <c r="XI170" s="120"/>
      <c r="XJ170" s="120"/>
      <c r="XK170" s="120"/>
      <c r="XL170" s="120"/>
      <c r="XM170" s="120"/>
      <c r="XN170" s="120"/>
      <c r="XO170" s="120"/>
      <c r="XP170" s="120"/>
      <c r="XQ170" s="120"/>
      <c r="XR170" s="120"/>
      <c r="XS170" s="120"/>
      <c r="XT170" s="120"/>
      <c r="XU170" s="120"/>
      <c r="XV170" s="120"/>
      <c r="XW170" s="120"/>
      <c r="XX170" s="120"/>
      <c r="XY170" s="120"/>
      <c r="XZ170" s="120"/>
      <c r="YA170" s="120"/>
      <c r="YB170" s="120"/>
      <c r="YC170" s="120"/>
      <c r="YD170" s="120"/>
      <c r="YE170" s="120"/>
      <c r="YF170" s="120"/>
      <c r="YG170" s="120"/>
      <c r="YH170" s="120"/>
      <c r="YI170" s="120"/>
      <c r="YJ170" s="120"/>
      <c r="YK170" s="120"/>
      <c r="YL170" s="120"/>
      <c r="YM170" s="120"/>
      <c r="YN170" s="120"/>
      <c r="YO170" s="120"/>
      <c r="YP170" s="120"/>
      <c r="YQ170" s="120"/>
      <c r="YR170" s="120"/>
      <c r="YS170" s="120"/>
      <c r="YT170" s="120"/>
      <c r="YU170" s="120"/>
      <c r="YV170" s="120"/>
      <c r="YW170" s="120"/>
      <c r="YX170" s="120"/>
      <c r="YY170" s="120"/>
      <c r="YZ170" s="120"/>
      <c r="ZA170" s="120"/>
      <c r="ZB170" s="120"/>
      <c r="ZC170" s="120"/>
      <c r="ZD170" s="120"/>
      <c r="ZE170" s="120"/>
      <c r="ZF170" s="120"/>
      <c r="ZG170" s="120"/>
      <c r="ZH170" s="120"/>
      <c r="ZI170" s="120"/>
      <c r="ZJ170" s="120"/>
      <c r="ZK170" s="120"/>
      <c r="ZL170" s="120"/>
      <c r="ZM170" s="120"/>
      <c r="ZN170" s="120"/>
      <c r="ZO170" s="120"/>
      <c r="ZP170" s="120"/>
      <c r="ZQ170" s="120"/>
      <c r="ZR170" s="120"/>
      <c r="ZS170" s="120"/>
      <c r="ZT170" s="120"/>
      <c r="ZU170" s="120"/>
      <c r="ZV170" s="120"/>
      <c r="ZW170" s="120"/>
      <c r="ZX170" s="120"/>
      <c r="ZY170" s="120"/>
      <c r="ZZ170" s="120"/>
      <c r="AAA170" s="120"/>
      <c r="AAB170" s="120"/>
      <c r="AAC170" s="120"/>
      <c r="AAD170" s="120"/>
      <c r="AAE170" s="120"/>
      <c r="AAF170" s="120"/>
      <c r="AAG170" s="120"/>
      <c r="AAH170" s="120"/>
      <c r="AAI170" s="120"/>
      <c r="AAJ170" s="120"/>
      <c r="AAK170" s="120"/>
      <c r="AAL170" s="120"/>
      <c r="AAM170" s="120"/>
      <c r="AAN170" s="120"/>
      <c r="AAO170" s="120"/>
      <c r="AAP170" s="120"/>
      <c r="AAQ170" s="120"/>
      <c r="AAR170" s="120"/>
      <c r="AAS170" s="120"/>
      <c r="AAT170" s="120"/>
      <c r="AAU170" s="120"/>
      <c r="AAV170" s="120"/>
      <c r="AAW170" s="120"/>
      <c r="AAX170" s="120"/>
      <c r="AAY170" s="120"/>
      <c r="AAZ170" s="120"/>
      <c r="ABA170" s="120"/>
      <c r="ABB170" s="120"/>
      <c r="ABC170" s="120"/>
      <c r="ABD170" s="120"/>
      <c r="ABE170" s="120"/>
      <c r="ABF170" s="120"/>
      <c r="ABG170" s="120"/>
      <c r="ABH170" s="120"/>
      <c r="ABI170" s="120"/>
      <c r="ABJ170" s="120"/>
      <c r="ABK170" s="120"/>
      <c r="ABL170" s="120"/>
      <c r="ABM170" s="120"/>
      <c r="ABN170" s="120"/>
      <c r="ABO170" s="120"/>
      <c r="ABP170" s="120"/>
      <c r="ABQ170" s="120"/>
      <c r="ABR170" s="120"/>
      <c r="ABS170" s="120"/>
      <c r="ABT170" s="120"/>
      <c r="ABU170" s="120"/>
      <c r="ABV170" s="120"/>
      <c r="ABW170" s="120"/>
      <c r="ABX170" s="120"/>
      <c r="ABY170" s="120"/>
      <c r="ABZ170" s="120"/>
      <c r="ACA170" s="120"/>
      <c r="ACB170" s="120"/>
      <c r="ACC170" s="120"/>
      <c r="ACD170" s="120"/>
      <c r="ACE170" s="120"/>
      <c r="ACF170" s="120"/>
      <c r="ACG170" s="120"/>
      <c r="ACH170" s="120"/>
      <c r="ACI170" s="120"/>
      <c r="ACJ170" s="120"/>
      <c r="ACK170" s="120"/>
      <c r="ACL170" s="120"/>
      <c r="ACM170" s="120"/>
      <c r="ACN170" s="120"/>
      <c r="ACO170" s="120"/>
      <c r="ACP170" s="120"/>
      <c r="ACQ170" s="120"/>
      <c r="ACR170" s="120"/>
      <c r="ACS170" s="120"/>
      <c r="ACT170" s="120"/>
      <c r="ACU170" s="120"/>
      <c r="ACV170" s="120"/>
      <c r="ACW170" s="120"/>
      <c r="ACX170" s="120"/>
      <c r="ACY170" s="120"/>
      <c r="ACZ170" s="120"/>
      <c r="ADA170" s="120"/>
      <c r="ADB170" s="120"/>
      <c r="ADC170" s="120"/>
      <c r="ADD170" s="120"/>
      <c r="ADE170" s="120"/>
      <c r="ADF170" s="120"/>
      <c r="ADG170" s="120"/>
      <c r="ADH170" s="120"/>
      <c r="ADI170" s="120"/>
      <c r="ADJ170" s="120"/>
      <c r="ADK170" s="120"/>
      <c r="ADL170" s="120"/>
      <c r="ADM170" s="120"/>
      <c r="ADN170" s="120"/>
      <c r="ADO170" s="120"/>
      <c r="ADP170" s="120"/>
      <c r="ADQ170" s="120"/>
      <c r="ADR170" s="120"/>
      <c r="ADS170" s="120"/>
      <c r="ADT170" s="120"/>
      <c r="ADU170" s="120"/>
      <c r="ADV170" s="120"/>
      <c r="ADW170" s="120"/>
      <c r="ADX170" s="120"/>
      <c r="ADY170" s="120"/>
      <c r="ADZ170" s="120"/>
      <c r="AEA170" s="120"/>
      <c r="AEB170" s="120"/>
      <c r="AEC170" s="120"/>
      <c r="AED170" s="120"/>
      <c r="AEE170" s="120"/>
      <c r="AEF170" s="120"/>
      <c r="AEG170" s="120"/>
      <c r="AEH170" s="120"/>
      <c r="AEI170" s="120"/>
      <c r="AEJ170" s="120"/>
      <c r="AEK170" s="120"/>
      <c r="AEL170" s="120"/>
      <c r="AEM170" s="120"/>
      <c r="AEN170" s="120"/>
      <c r="AEO170" s="120"/>
      <c r="AEP170" s="120"/>
      <c r="AEQ170" s="120"/>
      <c r="AER170" s="120"/>
      <c r="AES170" s="120"/>
      <c r="AET170" s="120"/>
      <c r="AEU170" s="120"/>
      <c r="AEV170" s="120"/>
      <c r="AEW170" s="120"/>
      <c r="AEX170" s="120"/>
      <c r="AEY170" s="120"/>
      <c r="AEZ170" s="120"/>
      <c r="AFA170" s="120"/>
      <c r="AFB170" s="120"/>
      <c r="AFC170" s="120"/>
      <c r="AFD170" s="120"/>
      <c r="AFE170" s="120"/>
      <c r="AFF170" s="120"/>
      <c r="AFG170" s="120"/>
      <c r="AFH170" s="120"/>
      <c r="AFI170" s="120"/>
      <c r="AFJ170" s="120"/>
      <c r="AFK170" s="120"/>
      <c r="AFL170" s="120"/>
      <c r="AFM170" s="120"/>
      <c r="AFN170" s="120"/>
      <c r="AFO170" s="120"/>
      <c r="AFP170" s="120"/>
      <c r="AFQ170" s="120"/>
      <c r="AFR170" s="120"/>
      <c r="AFS170" s="120"/>
      <c r="AFT170" s="120"/>
      <c r="AFU170" s="120"/>
      <c r="AFV170" s="120"/>
      <c r="AFW170" s="120"/>
      <c r="AFX170" s="120"/>
      <c r="AFY170" s="120"/>
      <c r="AFZ170" s="120"/>
      <c r="AGA170" s="120"/>
      <c r="AGB170" s="120"/>
      <c r="AGC170" s="120"/>
      <c r="AGD170" s="120"/>
      <c r="AGE170" s="120"/>
      <c r="AGF170" s="120"/>
      <c r="AGG170" s="120"/>
      <c r="AGH170" s="120"/>
      <c r="AGI170" s="120"/>
      <c r="AGJ170" s="120"/>
      <c r="AGK170" s="120"/>
      <c r="AGL170" s="120"/>
      <c r="AGM170" s="120"/>
      <c r="AGN170" s="120"/>
      <c r="AGO170" s="120"/>
      <c r="AGP170" s="120"/>
      <c r="AGQ170" s="120"/>
      <c r="AGR170" s="120"/>
      <c r="AGS170" s="120"/>
      <c r="AGT170" s="120"/>
      <c r="AGU170" s="120"/>
      <c r="AGV170" s="120"/>
      <c r="AGW170" s="120"/>
      <c r="AGX170" s="120"/>
      <c r="AGY170" s="120"/>
      <c r="AGZ170" s="120"/>
      <c r="AHA170" s="120"/>
      <c r="AHB170" s="120"/>
      <c r="AHC170" s="120"/>
      <c r="AHD170" s="120"/>
      <c r="AHE170" s="120"/>
      <c r="AHF170" s="120"/>
      <c r="AHG170" s="120"/>
      <c r="AHH170" s="120"/>
      <c r="AHI170" s="120"/>
      <c r="AHJ170" s="120"/>
      <c r="AHK170" s="120"/>
      <c r="AHL170" s="120"/>
      <c r="AHM170" s="120"/>
      <c r="AHN170" s="120"/>
      <c r="AHO170" s="120"/>
      <c r="AHP170" s="120"/>
      <c r="AHQ170" s="120"/>
      <c r="AHR170" s="120"/>
      <c r="AHS170" s="120"/>
      <c r="AHT170" s="120"/>
      <c r="AHU170" s="120"/>
      <c r="AHV170" s="120"/>
      <c r="AHW170" s="120"/>
      <c r="AHX170" s="120"/>
      <c r="AHY170" s="120"/>
      <c r="AHZ170" s="120"/>
      <c r="AIA170" s="120"/>
      <c r="AIB170" s="120"/>
      <c r="AIC170" s="120"/>
      <c r="AID170" s="120"/>
      <c r="AIE170" s="120"/>
      <c r="AIF170" s="120"/>
      <c r="AIG170" s="120"/>
      <c r="AIH170" s="120"/>
      <c r="AII170" s="120"/>
      <c r="AIJ170" s="120"/>
      <c r="AIK170" s="120"/>
      <c r="AIL170" s="120"/>
      <c r="AIM170" s="120"/>
      <c r="AIN170" s="120"/>
      <c r="AIO170" s="120"/>
      <c r="AIP170" s="120"/>
      <c r="AIQ170" s="120"/>
      <c r="AIR170" s="120"/>
      <c r="AIS170" s="120"/>
      <c r="AIT170" s="120"/>
      <c r="AIU170" s="120"/>
      <c r="AIV170" s="120"/>
      <c r="AIW170" s="120"/>
      <c r="AIX170" s="120"/>
      <c r="AIY170" s="120"/>
      <c r="AIZ170" s="120"/>
    </row>
    <row r="171">
      <c r="A171" s="112" t="s">
        <v>54</v>
      </c>
      <c r="B171" s="112" t="s">
        <v>58</v>
      </c>
      <c r="C171" s="112"/>
      <c r="D171" s="113">
        <f t="shared" si="1"/>
        <v>605.9294167</v>
      </c>
      <c r="E171" s="112">
        <v>102.460883333333</v>
      </c>
      <c r="F171" s="113"/>
      <c r="G171" s="113"/>
      <c r="H171" s="113"/>
      <c r="I171" s="113"/>
      <c r="J171" s="113"/>
      <c r="K171" s="113"/>
      <c r="L171" s="112">
        <v>0.653466666666667</v>
      </c>
      <c r="M171" s="112">
        <v>10.6020666666667</v>
      </c>
      <c r="N171" s="113"/>
      <c r="O171" s="113"/>
      <c r="P171" s="112">
        <v>132.666283333333</v>
      </c>
      <c r="Q171" s="113"/>
      <c r="R171" s="113"/>
      <c r="S171" s="113"/>
      <c r="T171" s="113"/>
      <c r="U171" s="113"/>
      <c r="V171" s="112">
        <v>1.40231666666667</v>
      </c>
      <c r="W171" s="112">
        <v>118.69475</v>
      </c>
      <c r="X171" s="113"/>
      <c r="Y171" s="113"/>
      <c r="Z171" s="113"/>
      <c r="AA171" s="113"/>
      <c r="AB171" s="113"/>
      <c r="AC171" s="112">
        <v>2.46791666666667</v>
      </c>
      <c r="AD171" s="112">
        <v>61.4817166666667</v>
      </c>
      <c r="AE171" s="113"/>
      <c r="AF171" s="113"/>
      <c r="AG171" s="113"/>
      <c r="AH171" s="113"/>
      <c r="AI171" s="113"/>
      <c r="AJ171" s="112">
        <v>2.67523333333333</v>
      </c>
      <c r="AK171" s="112">
        <v>109.336583333333</v>
      </c>
      <c r="AL171" s="113"/>
      <c r="AM171" s="113"/>
      <c r="AN171" s="113"/>
      <c r="AO171" s="112">
        <v>8.11783333333333</v>
      </c>
      <c r="AP171" s="112">
        <v>9.02325</v>
      </c>
      <c r="AQ171" s="113"/>
      <c r="AR171" s="113"/>
      <c r="AS171" s="112">
        <v>1.71106666666667</v>
      </c>
      <c r="AT171" s="112">
        <v>40.4845666666667</v>
      </c>
      <c r="AU171" s="113"/>
      <c r="AV171" s="112">
        <v>3.29618333333333</v>
      </c>
      <c r="AW171" s="112">
        <v>0.8553</v>
      </c>
      <c r="AX171" s="113"/>
      <c r="AY171" s="113"/>
      <c r="AZ171" s="113"/>
      <c r="BA171" s="113"/>
      <c r="BB171" s="113"/>
      <c r="BC171" s="113"/>
      <c r="BD171" s="113"/>
      <c r="BE171" s="113"/>
      <c r="BF171" s="113"/>
      <c r="BG171" s="113"/>
      <c r="BH171" s="113"/>
      <c r="BI171" s="113"/>
      <c r="BJ171" s="113"/>
      <c r="BK171" s="113"/>
      <c r="BL171" s="113"/>
      <c r="BM171" s="113"/>
      <c r="BN171" s="113"/>
      <c r="BO171" s="113"/>
      <c r="BP171" s="113"/>
      <c r="BQ171" s="113"/>
      <c r="BR171" s="113"/>
      <c r="BS171" s="113"/>
      <c r="BT171" s="113"/>
      <c r="BU171" s="113"/>
      <c r="BV171" s="113"/>
      <c r="BW171" s="113"/>
      <c r="BX171" s="113"/>
      <c r="BY171" s="113"/>
      <c r="BZ171" s="113"/>
      <c r="CA171" s="113"/>
      <c r="CB171" s="113"/>
      <c r="CC171" s="113"/>
      <c r="CD171" s="113"/>
      <c r="CE171" s="113"/>
      <c r="CF171" s="113"/>
      <c r="CG171" s="113"/>
      <c r="CH171" s="113"/>
      <c r="CI171" s="113"/>
      <c r="CJ171" s="113"/>
      <c r="CK171" s="113"/>
      <c r="CL171" s="113"/>
      <c r="CM171" s="113"/>
      <c r="CN171" s="113"/>
      <c r="CO171" s="113"/>
      <c r="CP171" s="113"/>
      <c r="CQ171" s="113"/>
      <c r="CR171" s="113"/>
      <c r="CS171" s="113"/>
      <c r="CT171" s="113"/>
      <c r="CU171" s="113"/>
      <c r="CV171" s="113"/>
      <c r="CW171" s="113"/>
      <c r="CX171" s="113"/>
      <c r="CY171" s="113"/>
      <c r="CZ171" s="113"/>
      <c r="DA171" s="113"/>
      <c r="DB171" s="113"/>
      <c r="DC171" s="113"/>
      <c r="DD171" s="113"/>
      <c r="DE171" s="113"/>
      <c r="DF171" s="113"/>
      <c r="DG171" s="113"/>
      <c r="DH171" s="113"/>
      <c r="DI171" s="113"/>
      <c r="DJ171" s="113"/>
      <c r="DK171" s="113"/>
      <c r="DL171" s="113"/>
      <c r="DM171" s="113"/>
      <c r="DN171" s="113"/>
      <c r="DO171" s="113"/>
      <c r="DP171" s="113"/>
      <c r="DQ171" s="113"/>
      <c r="DR171" s="113"/>
      <c r="DS171" s="113"/>
      <c r="DT171" s="113"/>
      <c r="DU171" s="113"/>
      <c r="DV171" s="113"/>
      <c r="DW171" s="113"/>
      <c r="DX171" s="113"/>
      <c r="DY171" s="113"/>
      <c r="DZ171" s="113"/>
      <c r="EA171" s="113"/>
      <c r="EB171" s="113"/>
      <c r="EC171" s="113"/>
      <c r="ED171" s="113"/>
      <c r="EE171" s="113"/>
      <c r="EF171" s="113"/>
      <c r="EG171" s="113"/>
      <c r="EH171" s="113"/>
      <c r="EI171" s="113"/>
      <c r="EJ171" s="113"/>
      <c r="EK171" s="113"/>
      <c r="EL171" s="113"/>
      <c r="EM171" s="113"/>
      <c r="EN171" s="113"/>
      <c r="EO171" s="113"/>
      <c r="EP171" s="113"/>
      <c r="EQ171" s="113"/>
      <c r="ER171" s="113"/>
      <c r="ES171" s="113"/>
      <c r="ET171" s="113"/>
      <c r="EU171" s="113"/>
      <c r="EV171" s="113"/>
      <c r="EW171" s="113"/>
      <c r="EX171" s="113"/>
      <c r="EY171" s="113"/>
      <c r="EZ171" s="113"/>
      <c r="FA171" s="113"/>
      <c r="FB171" s="113"/>
      <c r="FC171" s="113"/>
      <c r="FD171" s="113"/>
      <c r="FE171" s="113"/>
      <c r="FF171" s="113"/>
      <c r="FG171" s="113"/>
      <c r="FH171" s="113"/>
      <c r="FI171" s="113"/>
      <c r="FJ171" s="113"/>
      <c r="FK171" s="113"/>
      <c r="FL171" s="113"/>
      <c r="FM171" s="113"/>
      <c r="FN171" s="113"/>
      <c r="FO171" s="113"/>
      <c r="FP171" s="113"/>
      <c r="FQ171" s="113"/>
      <c r="FR171" s="113"/>
      <c r="FS171" s="113"/>
      <c r="FT171" s="113"/>
      <c r="FU171" s="113"/>
      <c r="FV171" s="113"/>
      <c r="FW171" s="113"/>
      <c r="FX171" s="113"/>
      <c r="FY171" s="113"/>
      <c r="FZ171" s="113"/>
      <c r="GA171" s="113"/>
      <c r="GB171" s="113"/>
      <c r="GC171" s="113"/>
      <c r="GD171" s="113"/>
      <c r="GE171" s="113"/>
      <c r="GF171" s="113"/>
      <c r="GG171" s="113"/>
      <c r="GH171" s="113"/>
      <c r="GI171" s="113"/>
      <c r="GJ171" s="113"/>
      <c r="GK171" s="113"/>
      <c r="GL171" s="113"/>
      <c r="GM171" s="113"/>
      <c r="GN171" s="113"/>
      <c r="GO171" s="113"/>
      <c r="GP171" s="113"/>
      <c r="GQ171" s="113"/>
      <c r="GR171" s="113"/>
      <c r="GS171" s="113"/>
      <c r="GT171" s="113"/>
      <c r="GU171" s="113"/>
      <c r="GV171" s="113"/>
      <c r="GW171" s="113"/>
      <c r="GX171" s="113"/>
      <c r="GY171" s="113"/>
      <c r="GZ171" s="113"/>
      <c r="HA171" s="113"/>
      <c r="HB171" s="113"/>
      <c r="HC171" s="113"/>
      <c r="HD171" s="113"/>
      <c r="HE171" s="113"/>
      <c r="HF171" s="113"/>
      <c r="HG171" s="113"/>
      <c r="HH171" s="113"/>
      <c r="HI171" s="113"/>
      <c r="HJ171" s="113"/>
      <c r="HK171" s="113"/>
      <c r="HL171" s="113"/>
      <c r="HM171" s="113"/>
      <c r="HN171" s="113"/>
      <c r="HO171" s="113"/>
      <c r="HP171" s="113"/>
      <c r="HQ171" s="113"/>
      <c r="HR171" s="113"/>
      <c r="HS171" s="113"/>
      <c r="HT171" s="113"/>
      <c r="HU171" s="113"/>
      <c r="HV171" s="113"/>
      <c r="HW171" s="113"/>
      <c r="HX171" s="113"/>
      <c r="HY171" s="113"/>
      <c r="HZ171" s="113"/>
      <c r="IA171" s="113"/>
      <c r="IB171" s="113"/>
      <c r="IC171" s="113"/>
      <c r="ID171" s="113"/>
      <c r="IE171" s="113"/>
      <c r="IF171" s="113"/>
      <c r="IG171" s="113"/>
      <c r="IH171" s="113"/>
      <c r="II171" s="113"/>
      <c r="IJ171" s="113"/>
      <c r="IK171" s="113"/>
      <c r="IL171" s="113"/>
      <c r="IM171" s="113"/>
      <c r="IN171" s="113"/>
      <c r="IO171" s="113"/>
      <c r="IP171" s="113"/>
      <c r="IQ171" s="113"/>
      <c r="IR171" s="113"/>
      <c r="IS171" s="113"/>
      <c r="IT171" s="113"/>
      <c r="IU171" s="113"/>
      <c r="IV171" s="113"/>
      <c r="IW171" s="113"/>
      <c r="IX171" s="113"/>
      <c r="IY171" s="113"/>
      <c r="IZ171" s="113"/>
      <c r="JA171" s="113"/>
      <c r="JB171" s="113"/>
      <c r="JC171" s="113"/>
      <c r="JD171" s="113"/>
      <c r="JE171" s="113"/>
      <c r="JF171" s="113"/>
      <c r="JG171" s="113"/>
      <c r="JH171" s="113"/>
      <c r="JI171" s="113"/>
      <c r="JJ171" s="113"/>
      <c r="JK171" s="113"/>
      <c r="JL171" s="113"/>
      <c r="JM171" s="113"/>
      <c r="JN171" s="113"/>
      <c r="JO171" s="113"/>
      <c r="JP171" s="113"/>
      <c r="JQ171" s="113"/>
      <c r="JR171" s="113"/>
      <c r="JS171" s="113"/>
      <c r="JT171" s="113"/>
      <c r="JU171" s="113"/>
      <c r="JV171" s="113"/>
      <c r="JW171" s="113"/>
      <c r="JX171" s="113"/>
      <c r="JY171" s="113"/>
      <c r="JZ171" s="113"/>
      <c r="KA171" s="113"/>
      <c r="KB171" s="113"/>
      <c r="KC171" s="113"/>
      <c r="KD171" s="113"/>
      <c r="KE171" s="113"/>
      <c r="KF171" s="113"/>
      <c r="KG171" s="113"/>
      <c r="KH171" s="113"/>
      <c r="KI171" s="113"/>
      <c r="KJ171" s="113"/>
      <c r="KK171" s="113"/>
      <c r="KL171" s="113"/>
      <c r="KM171" s="113"/>
      <c r="KN171" s="113"/>
      <c r="KO171" s="113"/>
      <c r="KP171" s="113"/>
      <c r="KQ171" s="113"/>
      <c r="KR171" s="113"/>
      <c r="KS171" s="113"/>
      <c r="KT171" s="113"/>
      <c r="KU171" s="113"/>
      <c r="KV171" s="113"/>
      <c r="KW171" s="113"/>
      <c r="KX171" s="113"/>
      <c r="KY171" s="113"/>
      <c r="KZ171" s="113"/>
      <c r="LA171" s="113"/>
      <c r="LB171" s="113"/>
      <c r="LC171" s="113"/>
      <c r="LD171" s="113"/>
      <c r="LE171" s="113"/>
      <c r="LF171" s="113"/>
      <c r="LG171" s="113"/>
      <c r="LH171" s="113"/>
      <c r="LI171" s="113"/>
      <c r="LJ171" s="113"/>
      <c r="LK171" s="113"/>
      <c r="LL171" s="113"/>
      <c r="LM171" s="113"/>
      <c r="LN171" s="113"/>
      <c r="LO171" s="113"/>
      <c r="LP171" s="113"/>
      <c r="LQ171" s="113"/>
      <c r="LR171" s="113"/>
      <c r="LS171" s="113"/>
      <c r="LT171" s="113"/>
      <c r="LU171" s="113"/>
      <c r="LV171" s="113"/>
      <c r="LW171" s="113"/>
      <c r="LX171" s="113"/>
      <c r="LY171" s="113"/>
      <c r="LZ171" s="113"/>
      <c r="MA171" s="113"/>
      <c r="MB171" s="113"/>
      <c r="MC171" s="113"/>
      <c r="MD171" s="113"/>
      <c r="ME171" s="113"/>
      <c r="MF171" s="113"/>
      <c r="MG171" s="113"/>
      <c r="MH171" s="113"/>
      <c r="MI171" s="113"/>
      <c r="MJ171" s="113"/>
      <c r="MK171" s="113"/>
      <c r="ML171" s="113"/>
      <c r="MM171" s="113"/>
      <c r="MN171" s="113"/>
      <c r="MO171" s="113"/>
      <c r="MP171" s="113"/>
      <c r="MQ171" s="113"/>
      <c r="MR171" s="113"/>
      <c r="MS171" s="113"/>
      <c r="MT171" s="113"/>
      <c r="MU171" s="113"/>
      <c r="MV171" s="113"/>
      <c r="MW171" s="113"/>
      <c r="MX171" s="113"/>
      <c r="MY171" s="113"/>
      <c r="MZ171" s="113"/>
      <c r="NA171" s="113"/>
      <c r="NB171" s="113"/>
      <c r="NC171" s="113"/>
      <c r="ND171" s="113"/>
      <c r="NE171" s="113"/>
      <c r="NF171" s="113"/>
      <c r="NG171" s="113"/>
      <c r="NH171" s="113"/>
      <c r="NI171" s="113"/>
      <c r="NJ171" s="113"/>
      <c r="NK171" s="113"/>
      <c r="NL171" s="113"/>
      <c r="NM171" s="113"/>
      <c r="NN171" s="113"/>
      <c r="NO171" s="113"/>
      <c r="NP171" s="113"/>
      <c r="NQ171" s="113"/>
      <c r="NR171" s="113"/>
      <c r="NS171" s="113"/>
      <c r="NT171" s="113"/>
      <c r="NU171" s="113"/>
      <c r="NV171" s="113"/>
      <c r="NW171" s="113"/>
      <c r="NX171" s="113"/>
      <c r="NY171" s="113"/>
      <c r="NZ171" s="113"/>
      <c r="OA171" s="113"/>
      <c r="OB171" s="113"/>
      <c r="OC171" s="113"/>
      <c r="OD171" s="113"/>
      <c r="OE171" s="113"/>
      <c r="OF171" s="113"/>
      <c r="OG171" s="113"/>
      <c r="OH171" s="113"/>
      <c r="OI171" s="113"/>
      <c r="OJ171" s="113"/>
      <c r="OK171" s="113"/>
      <c r="OL171" s="113"/>
      <c r="OM171" s="113"/>
      <c r="ON171" s="113"/>
      <c r="OO171" s="113"/>
      <c r="OP171" s="113"/>
      <c r="OQ171" s="113"/>
      <c r="OR171" s="113"/>
      <c r="OS171" s="113"/>
      <c r="OT171" s="113"/>
      <c r="OU171" s="113"/>
      <c r="OV171" s="113"/>
      <c r="OW171" s="113"/>
      <c r="OX171" s="113"/>
      <c r="OY171" s="113"/>
      <c r="OZ171" s="113"/>
      <c r="PA171" s="113"/>
      <c r="PB171" s="113"/>
      <c r="PC171" s="113"/>
      <c r="PD171" s="113"/>
      <c r="PE171" s="113"/>
      <c r="PF171" s="113"/>
      <c r="PG171" s="113"/>
      <c r="PH171" s="113"/>
      <c r="PI171" s="113"/>
      <c r="PJ171" s="113"/>
      <c r="PK171" s="113"/>
      <c r="PL171" s="113"/>
      <c r="PM171" s="113"/>
      <c r="PN171" s="113"/>
      <c r="PO171" s="113"/>
      <c r="PP171" s="113"/>
      <c r="PQ171" s="113"/>
      <c r="PR171" s="113"/>
      <c r="PS171" s="113"/>
      <c r="PT171" s="113"/>
      <c r="PU171" s="113"/>
      <c r="PV171" s="113"/>
      <c r="PW171" s="113"/>
      <c r="PX171" s="113"/>
      <c r="PY171" s="113"/>
      <c r="PZ171" s="113"/>
      <c r="QA171" s="113"/>
      <c r="QB171" s="113"/>
      <c r="QC171" s="113"/>
      <c r="QD171" s="113"/>
      <c r="QE171" s="113"/>
      <c r="QF171" s="113"/>
      <c r="QG171" s="113"/>
      <c r="QH171" s="113"/>
      <c r="QI171" s="113"/>
      <c r="QJ171" s="113"/>
      <c r="QK171" s="113"/>
      <c r="QL171" s="113"/>
      <c r="QM171" s="113"/>
      <c r="QN171" s="113"/>
      <c r="QO171" s="113"/>
      <c r="QP171" s="113"/>
      <c r="QQ171" s="113"/>
      <c r="QR171" s="113"/>
      <c r="QS171" s="113"/>
      <c r="QT171" s="113"/>
      <c r="QU171" s="113"/>
      <c r="QV171" s="113"/>
      <c r="QW171" s="113"/>
      <c r="QX171" s="113"/>
      <c r="QY171" s="113"/>
      <c r="QZ171" s="113"/>
      <c r="RA171" s="113"/>
      <c r="RB171" s="113"/>
      <c r="RC171" s="113"/>
      <c r="RD171" s="113"/>
      <c r="RE171" s="113"/>
      <c r="RF171" s="113"/>
      <c r="RG171" s="113"/>
      <c r="RH171" s="113"/>
      <c r="RI171" s="113"/>
      <c r="RJ171" s="113"/>
      <c r="RK171" s="113"/>
      <c r="RL171" s="113"/>
      <c r="RM171" s="113"/>
      <c r="RN171" s="113"/>
      <c r="RO171" s="113"/>
      <c r="RP171" s="113"/>
      <c r="RQ171" s="113"/>
      <c r="RR171" s="113"/>
      <c r="RS171" s="113"/>
      <c r="RT171" s="113"/>
      <c r="RU171" s="113"/>
      <c r="RV171" s="113"/>
      <c r="RW171" s="113"/>
      <c r="RX171" s="113"/>
      <c r="RY171" s="113"/>
      <c r="RZ171" s="113"/>
      <c r="SA171" s="113"/>
      <c r="SB171" s="113"/>
      <c r="SC171" s="113"/>
      <c r="SD171" s="113"/>
      <c r="SE171" s="113"/>
      <c r="SF171" s="113"/>
      <c r="SG171" s="113"/>
      <c r="SH171" s="113"/>
      <c r="SI171" s="113"/>
      <c r="SJ171" s="113"/>
      <c r="SK171" s="113"/>
      <c r="SL171" s="113"/>
      <c r="SM171" s="113"/>
      <c r="SN171" s="113"/>
      <c r="SO171" s="113"/>
      <c r="SP171" s="113"/>
      <c r="SQ171" s="113"/>
      <c r="SR171" s="113"/>
      <c r="SS171" s="113"/>
      <c r="ST171" s="113"/>
      <c r="SU171" s="113"/>
      <c r="SV171" s="113"/>
      <c r="SW171" s="113"/>
      <c r="SX171" s="113"/>
      <c r="SY171" s="113"/>
      <c r="SZ171" s="113"/>
      <c r="TA171" s="113"/>
      <c r="TB171" s="113"/>
      <c r="TC171" s="113"/>
      <c r="TD171" s="113"/>
      <c r="TE171" s="113"/>
      <c r="TF171" s="113"/>
      <c r="TG171" s="113"/>
      <c r="TH171" s="113"/>
      <c r="TI171" s="113"/>
      <c r="TJ171" s="113"/>
      <c r="TK171" s="113"/>
      <c r="TL171" s="113"/>
      <c r="TM171" s="113"/>
      <c r="TN171" s="113"/>
      <c r="TO171" s="113"/>
      <c r="TP171" s="113"/>
      <c r="TQ171" s="113"/>
      <c r="TR171" s="113"/>
      <c r="TS171" s="113"/>
      <c r="TT171" s="113"/>
      <c r="TU171" s="113"/>
      <c r="TV171" s="113"/>
      <c r="TW171" s="113"/>
      <c r="TX171" s="113"/>
      <c r="TY171" s="113"/>
      <c r="TZ171" s="113"/>
      <c r="UA171" s="113"/>
      <c r="UB171" s="113"/>
      <c r="UC171" s="113"/>
      <c r="UD171" s="113"/>
      <c r="UE171" s="113"/>
      <c r="UF171" s="113"/>
      <c r="UG171" s="113"/>
      <c r="UH171" s="113"/>
      <c r="UI171" s="113"/>
      <c r="UJ171" s="113"/>
      <c r="UK171" s="113"/>
      <c r="UL171" s="113"/>
      <c r="UM171" s="113"/>
      <c r="UN171" s="113"/>
      <c r="UO171" s="113"/>
      <c r="UP171" s="113"/>
      <c r="UQ171" s="113"/>
      <c r="UR171" s="113"/>
      <c r="US171" s="113"/>
      <c r="UT171" s="113"/>
      <c r="UU171" s="113"/>
      <c r="UV171" s="113"/>
      <c r="UW171" s="113"/>
      <c r="UX171" s="113"/>
      <c r="UY171" s="113"/>
      <c r="UZ171" s="113"/>
      <c r="VA171" s="113"/>
      <c r="VB171" s="113"/>
      <c r="VC171" s="113"/>
      <c r="VD171" s="113"/>
      <c r="VE171" s="113"/>
      <c r="VF171" s="113"/>
      <c r="VG171" s="113"/>
      <c r="VH171" s="113"/>
      <c r="VI171" s="113"/>
      <c r="VJ171" s="113"/>
      <c r="VK171" s="113"/>
      <c r="VL171" s="113"/>
      <c r="VM171" s="113"/>
      <c r="VN171" s="113"/>
      <c r="VO171" s="113"/>
      <c r="VP171" s="113"/>
      <c r="VQ171" s="113"/>
      <c r="VR171" s="113"/>
      <c r="VS171" s="113"/>
      <c r="VT171" s="113"/>
      <c r="VU171" s="113"/>
      <c r="VV171" s="113"/>
      <c r="VW171" s="113"/>
      <c r="VX171" s="113"/>
      <c r="VY171" s="113"/>
      <c r="VZ171" s="113"/>
      <c r="WA171" s="113"/>
      <c r="WB171" s="113"/>
      <c r="WC171" s="113"/>
      <c r="WD171" s="113"/>
      <c r="WE171" s="113"/>
      <c r="WF171" s="113"/>
      <c r="WG171" s="113"/>
      <c r="WH171" s="113"/>
      <c r="WI171" s="113"/>
      <c r="WJ171" s="113"/>
      <c r="WK171" s="113"/>
      <c r="WL171" s="113"/>
      <c r="WM171" s="113"/>
      <c r="WN171" s="113"/>
      <c r="WO171" s="113"/>
      <c r="WP171" s="113"/>
      <c r="WQ171" s="113"/>
      <c r="WR171" s="113"/>
      <c r="WS171" s="113"/>
      <c r="WT171" s="113"/>
      <c r="WU171" s="113"/>
      <c r="WV171" s="113"/>
      <c r="WW171" s="113"/>
      <c r="WX171" s="113"/>
      <c r="WY171" s="113"/>
      <c r="WZ171" s="113"/>
      <c r="XA171" s="113"/>
      <c r="XB171" s="113"/>
      <c r="XC171" s="113"/>
      <c r="XD171" s="113"/>
      <c r="XE171" s="113"/>
      <c r="XF171" s="113"/>
      <c r="XG171" s="113"/>
      <c r="XH171" s="113"/>
      <c r="XI171" s="113"/>
      <c r="XJ171" s="113"/>
      <c r="XK171" s="113"/>
      <c r="XL171" s="113"/>
      <c r="XM171" s="113"/>
      <c r="XN171" s="113"/>
      <c r="XO171" s="113"/>
      <c r="XP171" s="113"/>
      <c r="XQ171" s="113"/>
      <c r="XR171" s="113"/>
      <c r="XS171" s="113"/>
      <c r="XT171" s="113"/>
      <c r="XU171" s="113"/>
      <c r="XV171" s="113"/>
      <c r="XW171" s="113"/>
      <c r="XX171" s="113"/>
      <c r="XY171" s="113"/>
      <c r="XZ171" s="113"/>
      <c r="YA171" s="113"/>
      <c r="YB171" s="113"/>
      <c r="YC171" s="113"/>
      <c r="YD171" s="113"/>
      <c r="YE171" s="113"/>
      <c r="YF171" s="113"/>
      <c r="YG171" s="113"/>
      <c r="YH171" s="113"/>
      <c r="YI171" s="113"/>
      <c r="YJ171" s="113"/>
      <c r="YK171" s="113"/>
      <c r="YL171" s="113"/>
      <c r="YM171" s="113"/>
      <c r="YN171" s="113"/>
      <c r="YO171" s="113"/>
      <c r="YP171" s="113"/>
      <c r="YQ171" s="113"/>
      <c r="YR171" s="113"/>
      <c r="YS171" s="113"/>
      <c r="YT171" s="113"/>
      <c r="YU171" s="113"/>
      <c r="YV171" s="113"/>
      <c r="YW171" s="113"/>
      <c r="YX171" s="113"/>
      <c r="YY171" s="113"/>
      <c r="YZ171" s="113"/>
      <c r="ZA171" s="113"/>
      <c r="ZB171" s="113"/>
      <c r="ZC171" s="113"/>
      <c r="ZD171" s="113"/>
      <c r="ZE171" s="113"/>
      <c r="ZF171" s="113"/>
      <c r="ZG171" s="113"/>
      <c r="ZH171" s="113"/>
      <c r="ZI171" s="113"/>
      <c r="ZJ171" s="113"/>
      <c r="ZK171" s="113"/>
      <c r="ZL171" s="113"/>
      <c r="ZM171" s="113"/>
      <c r="ZN171" s="113"/>
      <c r="ZO171" s="113"/>
      <c r="ZP171" s="113"/>
      <c r="ZQ171" s="113"/>
      <c r="ZR171" s="113"/>
      <c r="ZS171" s="113"/>
      <c r="ZT171" s="113"/>
      <c r="ZU171" s="113"/>
      <c r="ZV171" s="113"/>
      <c r="ZW171" s="113"/>
      <c r="ZX171" s="113"/>
      <c r="ZY171" s="113"/>
      <c r="ZZ171" s="113"/>
      <c r="AAA171" s="113"/>
      <c r="AAB171" s="113"/>
      <c r="AAC171" s="113"/>
      <c r="AAD171" s="113"/>
      <c r="AAE171" s="113"/>
      <c r="AAF171" s="113"/>
      <c r="AAG171" s="113"/>
      <c r="AAH171" s="113"/>
      <c r="AAI171" s="113"/>
      <c r="AAJ171" s="113"/>
      <c r="AAK171" s="113"/>
      <c r="AAL171" s="113"/>
      <c r="AAM171" s="113"/>
      <c r="AAN171" s="113"/>
      <c r="AAO171" s="113"/>
      <c r="AAP171" s="113"/>
      <c r="AAQ171" s="113"/>
      <c r="AAR171" s="113"/>
      <c r="AAS171" s="113"/>
      <c r="AAT171" s="113"/>
      <c r="AAU171" s="113"/>
      <c r="AAV171" s="113"/>
      <c r="AAW171" s="113"/>
      <c r="AAX171" s="113"/>
      <c r="AAY171" s="113"/>
      <c r="AAZ171" s="113"/>
      <c r="ABA171" s="113"/>
      <c r="ABB171" s="113"/>
      <c r="ABC171" s="113"/>
      <c r="ABD171" s="113"/>
      <c r="ABE171" s="113"/>
      <c r="ABF171" s="113"/>
      <c r="ABG171" s="113"/>
      <c r="ABH171" s="113"/>
      <c r="ABI171" s="113"/>
      <c r="ABJ171" s="113"/>
      <c r="ABK171" s="113"/>
      <c r="ABL171" s="113"/>
      <c r="ABM171" s="113"/>
      <c r="ABN171" s="113"/>
      <c r="ABO171" s="113"/>
      <c r="ABP171" s="113"/>
      <c r="ABQ171" s="113"/>
      <c r="ABR171" s="113"/>
      <c r="ABS171" s="113"/>
      <c r="ABT171" s="113"/>
      <c r="ABU171" s="113"/>
      <c r="ABV171" s="113"/>
      <c r="ABW171" s="113"/>
      <c r="ABX171" s="113"/>
      <c r="ABY171" s="113"/>
      <c r="ABZ171" s="113"/>
      <c r="ACA171" s="113"/>
      <c r="ACB171" s="113"/>
      <c r="ACC171" s="113"/>
      <c r="ACD171" s="113"/>
      <c r="ACE171" s="113"/>
      <c r="ACF171" s="113"/>
      <c r="ACG171" s="113"/>
      <c r="ACH171" s="113"/>
      <c r="ACI171" s="113"/>
      <c r="ACJ171" s="113"/>
      <c r="ACK171" s="113"/>
      <c r="ACL171" s="113"/>
      <c r="ACM171" s="113"/>
      <c r="ACN171" s="113"/>
      <c r="ACO171" s="113"/>
      <c r="ACP171" s="113"/>
      <c r="ACQ171" s="113"/>
      <c r="ACR171" s="113"/>
      <c r="ACS171" s="113"/>
      <c r="ACT171" s="113"/>
      <c r="ACU171" s="113"/>
      <c r="ACV171" s="113"/>
      <c r="ACW171" s="113"/>
      <c r="ACX171" s="113"/>
      <c r="ACY171" s="113"/>
      <c r="ACZ171" s="113"/>
      <c r="ADA171" s="113"/>
      <c r="ADB171" s="113"/>
      <c r="ADC171" s="113"/>
      <c r="ADD171" s="113"/>
      <c r="ADE171" s="113"/>
      <c r="ADF171" s="113"/>
      <c r="ADG171" s="113"/>
      <c r="ADH171" s="113"/>
      <c r="ADI171" s="113"/>
      <c r="ADJ171" s="113"/>
      <c r="ADK171" s="113"/>
      <c r="ADL171" s="113"/>
      <c r="ADM171" s="113"/>
      <c r="ADN171" s="113"/>
      <c r="ADO171" s="113"/>
      <c r="ADP171" s="113"/>
      <c r="ADQ171" s="113"/>
      <c r="ADR171" s="113"/>
      <c r="ADS171" s="113"/>
      <c r="ADT171" s="113"/>
      <c r="ADU171" s="113"/>
      <c r="ADV171" s="113"/>
      <c r="ADW171" s="113"/>
      <c r="ADX171" s="113"/>
      <c r="ADY171" s="113"/>
      <c r="ADZ171" s="113"/>
      <c r="AEA171" s="113"/>
      <c r="AEB171" s="113"/>
      <c r="AEC171" s="113"/>
      <c r="AED171" s="113"/>
      <c r="AEE171" s="113"/>
      <c r="AEF171" s="113"/>
      <c r="AEG171" s="113"/>
      <c r="AEH171" s="113"/>
      <c r="AEI171" s="113"/>
      <c r="AEJ171" s="113"/>
      <c r="AEK171" s="113"/>
      <c r="AEL171" s="113"/>
      <c r="AEM171" s="113"/>
      <c r="AEN171" s="113"/>
      <c r="AEO171" s="113"/>
      <c r="AEP171" s="113"/>
      <c r="AEQ171" s="113"/>
      <c r="AER171" s="113"/>
      <c r="AES171" s="113"/>
      <c r="AET171" s="113"/>
      <c r="AEU171" s="113"/>
      <c r="AEV171" s="113"/>
      <c r="AEW171" s="113"/>
      <c r="AEX171" s="113"/>
      <c r="AEY171" s="113"/>
      <c r="AEZ171" s="113"/>
      <c r="AFA171" s="113"/>
      <c r="AFB171" s="113"/>
      <c r="AFC171" s="113"/>
      <c r="AFD171" s="113"/>
      <c r="AFE171" s="113"/>
      <c r="AFF171" s="113"/>
      <c r="AFG171" s="113"/>
      <c r="AFH171" s="113"/>
      <c r="AFI171" s="113"/>
      <c r="AFJ171" s="113"/>
      <c r="AFK171" s="113"/>
      <c r="AFL171" s="113"/>
      <c r="AFM171" s="113"/>
      <c r="AFN171" s="113"/>
      <c r="AFO171" s="113"/>
      <c r="AFP171" s="113"/>
      <c r="AFQ171" s="113"/>
      <c r="AFR171" s="113"/>
      <c r="AFS171" s="113"/>
      <c r="AFT171" s="113"/>
      <c r="AFU171" s="113"/>
      <c r="AFV171" s="113"/>
      <c r="AFW171" s="113"/>
      <c r="AFX171" s="113"/>
      <c r="AFY171" s="113"/>
      <c r="AFZ171" s="113"/>
      <c r="AGA171" s="113"/>
      <c r="AGB171" s="113"/>
      <c r="AGC171" s="113"/>
      <c r="AGD171" s="113"/>
      <c r="AGE171" s="113"/>
      <c r="AGF171" s="113"/>
      <c r="AGG171" s="113"/>
      <c r="AGH171" s="113"/>
      <c r="AGI171" s="113"/>
      <c r="AGJ171" s="113"/>
      <c r="AGK171" s="113"/>
      <c r="AGL171" s="113"/>
      <c r="AGM171" s="113"/>
      <c r="AGN171" s="113"/>
      <c r="AGO171" s="113"/>
      <c r="AGP171" s="113"/>
      <c r="AGQ171" s="113"/>
      <c r="AGR171" s="113"/>
      <c r="AGS171" s="113"/>
      <c r="AGT171" s="113"/>
      <c r="AGU171" s="113"/>
      <c r="AGV171" s="113"/>
      <c r="AGW171" s="113"/>
      <c r="AGX171" s="113"/>
      <c r="AGY171" s="113"/>
      <c r="AGZ171" s="113"/>
      <c r="AHA171" s="113"/>
      <c r="AHB171" s="113"/>
      <c r="AHC171" s="113"/>
      <c r="AHD171" s="113"/>
      <c r="AHE171" s="113"/>
      <c r="AHF171" s="113"/>
      <c r="AHG171" s="113"/>
      <c r="AHH171" s="113"/>
      <c r="AHI171" s="113"/>
      <c r="AHJ171" s="113"/>
      <c r="AHK171" s="113"/>
      <c r="AHL171" s="113"/>
      <c r="AHM171" s="113"/>
      <c r="AHN171" s="113"/>
      <c r="AHO171" s="113"/>
      <c r="AHP171" s="113"/>
      <c r="AHQ171" s="113"/>
      <c r="AHR171" s="113"/>
      <c r="AHS171" s="113"/>
      <c r="AHT171" s="113"/>
      <c r="AHU171" s="113"/>
      <c r="AHV171" s="113"/>
      <c r="AHW171" s="113"/>
      <c r="AHX171" s="113"/>
      <c r="AHY171" s="113"/>
      <c r="AHZ171" s="113"/>
      <c r="AIA171" s="113"/>
      <c r="AIB171" s="113"/>
      <c r="AIC171" s="113"/>
      <c r="AID171" s="113"/>
      <c r="AIE171" s="113"/>
      <c r="AIF171" s="113"/>
      <c r="AIG171" s="113"/>
      <c r="AIH171" s="113"/>
      <c r="AII171" s="113"/>
      <c r="AIJ171" s="113"/>
      <c r="AIK171" s="113"/>
      <c r="AIL171" s="113"/>
      <c r="AIM171" s="113"/>
      <c r="AIN171" s="113"/>
      <c r="AIO171" s="113"/>
      <c r="AIP171" s="113"/>
      <c r="AIQ171" s="113"/>
      <c r="AIR171" s="113"/>
      <c r="AIS171" s="113"/>
      <c r="AIT171" s="113"/>
      <c r="AIU171" s="113"/>
      <c r="AIV171" s="113"/>
      <c r="AIW171" s="113"/>
      <c r="AIX171" s="113"/>
      <c r="AIY171" s="113"/>
      <c r="AIZ171" s="113"/>
    </row>
    <row r="172">
      <c r="A172" s="65" t="s">
        <v>54</v>
      </c>
      <c r="B172" s="65" t="s">
        <v>58</v>
      </c>
      <c r="C172" s="65"/>
      <c r="D172" s="64">
        <f t="shared" si="1"/>
        <v>499.4244667</v>
      </c>
      <c r="F172" s="65">
        <v>0.186366666666667</v>
      </c>
      <c r="G172" s="65">
        <v>35.1732666666667</v>
      </c>
      <c r="H172" s="65">
        <v>39.81275</v>
      </c>
      <c r="I172" s="65">
        <v>5.36903333333334</v>
      </c>
      <c r="J172" s="65">
        <v>0.799183333333333</v>
      </c>
      <c r="K172" s="65">
        <v>17.3702666666667</v>
      </c>
      <c r="N172" s="65">
        <v>7.24076666666667</v>
      </c>
      <c r="Q172" s="65">
        <v>0.0789166666666667</v>
      </c>
      <c r="R172" s="65">
        <v>32.7691333333334</v>
      </c>
      <c r="S172" s="65">
        <v>24.89675</v>
      </c>
      <c r="T172" s="65">
        <v>8.65288333333334</v>
      </c>
      <c r="U172" s="65">
        <v>50.9562333333334</v>
      </c>
      <c r="X172" s="65">
        <v>0.508566666666667</v>
      </c>
      <c r="Y172" s="65">
        <v>16.25835</v>
      </c>
      <c r="Z172" s="65">
        <v>34.1143166666667</v>
      </c>
      <c r="AA172" s="65">
        <v>5.39415</v>
      </c>
      <c r="AB172" s="65">
        <v>35.9161666666667</v>
      </c>
      <c r="AE172" s="65">
        <v>0.199766666666667</v>
      </c>
      <c r="AF172" s="65">
        <v>10.3804666666667</v>
      </c>
      <c r="AG172" s="65">
        <v>18.8161333333333</v>
      </c>
      <c r="AH172" s="65">
        <v>1.07998333333333</v>
      </c>
      <c r="AI172" s="65">
        <v>26.5988333333333</v>
      </c>
      <c r="AL172" s="65">
        <v>27.6176166666667</v>
      </c>
      <c r="AM172" s="65">
        <v>10.7297333333333</v>
      </c>
      <c r="AN172" s="65">
        <v>44.9629666666667</v>
      </c>
      <c r="AQ172" s="65">
        <v>1.58318333333333</v>
      </c>
      <c r="AR172" s="65">
        <v>5.12118333333333</v>
      </c>
      <c r="AU172" s="65">
        <v>36.8375</v>
      </c>
    </row>
    <row r="173">
      <c r="A173" s="65" t="s">
        <v>54</v>
      </c>
      <c r="B173" s="65" t="s">
        <v>58</v>
      </c>
      <c r="C173" s="65"/>
      <c r="D173" s="64">
        <f t="shared" si="1"/>
        <v>0</v>
      </c>
    </row>
    <row r="174">
      <c r="A174" s="65" t="s">
        <v>54</v>
      </c>
      <c r="B174" s="65" t="s">
        <v>58</v>
      </c>
      <c r="C174" s="65"/>
      <c r="D174" s="64">
        <f t="shared" si="1"/>
        <v>470.68615</v>
      </c>
      <c r="F174" s="118">
        <f>HYPERLINK("https://docs.google.com/spreadsheets/d/1ekrf2TesBE_MxCf8xBDPQzHc5bx2Cf1x", 0.186366666666667)</f>
        <v>0.1863666667</v>
      </c>
      <c r="G174" s="118">
        <f>HYPERLINK("https://docs.google.com/spreadsheets/d/1W-Oe9_TVH_203i2BmG3UVqeTuqfLykpO", 35.1732666666667)</f>
        <v>35.17326667</v>
      </c>
      <c r="H174" s="118">
        <f>HYPERLINK("https://docs.google.com/spreadsheets/d/1H-SBUs38F_O6VsAWBLIhPv1j_8gl7oJ-", 39.8127166666667)</f>
        <v>39.81271667</v>
      </c>
      <c r="I174" s="118">
        <f>HYPERLINK("https://docs.google.com/spreadsheets/d/1x6U84_no_nE95mO4wiZXluFMojad8Cif", 5.36903333333334)</f>
        <v>5.369033333</v>
      </c>
      <c r="J174" s="118">
        <f>HYPERLINK("https://docs.google.com/spreadsheets/d/1DBMdkAoK_slB8Q8jx2I0JolMf2_pQW8q", 0.1087)</f>
        <v>0.1087</v>
      </c>
      <c r="K174" s="118">
        <f>HYPERLINK("https://docs.google.com/spreadsheets/d/10lPaWjpICJ3Bxy5a4hze2yUiTIvg6jzD", 17.3264)</f>
        <v>17.3264</v>
      </c>
      <c r="N174" s="118">
        <f>HYPERLINK("https://docs.google.com/spreadsheets/d/1KgRaufVEPDwZKiwd9J2TcE7McjKHmAYt", 7.24075)</f>
        <v>7.24075</v>
      </c>
      <c r="Q174" s="118">
        <f>HYPERLINK("https://docs.google.com/spreadsheets/d/1ziB_uwj73hQlGwWw_JxFn82a0_dxb4l2", 0.0789166666666667)</f>
        <v>0.07891666667</v>
      </c>
      <c r="R174" s="118">
        <f>HYPERLINK("https://docs.google.com/spreadsheets/d/1VLU636vQ35ns6v4baJUxRCHl-aEG-QfS", 32.37785)</f>
        <v>32.37785</v>
      </c>
      <c r="S174" s="118">
        <f>HYPERLINK("https://docs.google.com/spreadsheets/d/1i58s5ZMjzmr6BN8JKdoOBMsmE7y8Eipa", 18.9569833333333)</f>
        <v>18.95698333</v>
      </c>
      <c r="T174" s="118">
        <f>HYPERLINK("https://docs.google.com/spreadsheets/d/1Ws0nOdRqm7e4kYlCsxqE8zVUlqijF2pG", 8.04503333333334)</f>
        <v>8.045033333</v>
      </c>
      <c r="U174" s="118">
        <f>HYPERLINK("https://docs.google.com/spreadsheets/d/14zzCMZEC9TBSqjl0qcBScYygi9m0pv5Y", 49.9669666666667)</f>
        <v>49.96696667</v>
      </c>
      <c r="X174" s="118">
        <f>HYPERLINK("https://docs.google.com/spreadsheets/d/1cLd-KqLHuUV87PSWM4hDS7GVyxt6FxF_", 0.508566666666667)</f>
        <v>0.5085666667</v>
      </c>
      <c r="Y174" s="118">
        <f>HYPERLINK("https://docs.google.com/spreadsheets/d/1zwF0WehR7h4ICuhFXjZabzSYze6mF7za", 16.2583333333333)</f>
        <v>16.25833333</v>
      </c>
      <c r="Z174" s="118">
        <f>HYPERLINK("https://docs.google.com/spreadsheets/d/1HvC-OxnYWVrYVzfAQKUewRqhDLrgqvTS", 34.1143166666667)</f>
        <v>34.11431667</v>
      </c>
      <c r="AA174" s="118">
        <f>HYPERLINK("https://docs.google.com/spreadsheets/d/1RovmdJBBceoYmR_nJktDTUzlXRnVcstg", 5.39415)</f>
        <v>5.39415</v>
      </c>
      <c r="AB174" s="118">
        <f>HYPERLINK("https://docs.google.com/spreadsheets/d/10dbb6kHUntnNN1yxGR_DTpg05rzh5NW6", 35.3652)</f>
        <v>35.3652</v>
      </c>
      <c r="AE174" s="118">
        <f>HYPERLINK("https://docs.google.com/spreadsheets/d/1-xe-lIPs-ytxb21vTG8I_WxZndliyl2h", 0.199766666666667)</f>
        <v>0.1997666667</v>
      </c>
      <c r="AF174" s="118">
        <f>HYPERLINK("https://docs.google.com/spreadsheets/d/1PrxoKf9nW6UzwakY7CVopqNApP2AOT24", 10.3804666666667)</f>
        <v>10.38046667</v>
      </c>
      <c r="AG174" s="118">
        <f>HYPERLINK("https://docs.google.com/spreadsheets/d/1Uwq-ABxdquun6InGtyirY7j_lLE9v7uP", 18.8161666666667)</f>
        <v>18.81616667</v>
      </c>
      <c r="AH174" s="118">
        <f>HYPERLINK("https://docs.google.com/spreadsheets/d/1btoRTLpyPMDZ2dtYsI0yzxxWX1Bj2Eyy", 1.07998333333333)</f>
        <v>1.079983333</v>
      </c>
      <c r="AI174" s="118">
        <f>HYPERLINK("https://docs.google.com/spreadsheets/d/1xWKsFk0ikvM-WvTKctUvfQi4F7WeqOGR", 26.5988166666667)</f>
        <v>26.59881667</v>
      </c>
      <c r="AL174" s="118">
        <f>HYPERLINK("https://docs.google.com/spreadsheets/d/1vDBmmiC7HJjckTKAI0adt840tNCB5KGP", 9.91071666666667)</f>
        <v>9.910716667</v>
      </c>
      <c r="AM174" s="118">
        <f>HYPERLINK("https://docs.google.com/spreadsheets/d/110h7U4uF08lCXjS-ED3s_1YSHlXUwFzS", 10.3465)</f>
        <v>10.3465</v>
      </c>
      <c r="AN174" s="118">
        <f>HYPERLINK("https://docs.google.com/spreadsheets/d/1y2lgIHS7E75VGPldXLDJgGeKQS2UBEwK", 44.69745)</f>
        <v>44.69745</v>
      </c>
      <c r="AQ174" s="118">
        <f>HYPERLINK("https://docs.google.com/spreadsheets/d/1rbu4z_zZ6Z9SlYqFugEI0GYzhxcFa6Cu", 0.414066666666667)</f>
        <v>0.4140666667</v>
      </c>
      <c r="AR174" s="118">
        <f>HYPERLINK("https://docs.google.com/spreadsheets/d/1ZV269TCoFTKn6uPQL8QFjG2h78XYp-e1", 5.12118333333333)</f>
        <v>5.121183333</v>
      </c>
      <c r="AU174" s="118">
        <f>HYPERLINK("https://docs.google.com/spreadsheets/d/1LjUqA5V97okzMAGAz21G9fVIUxgZYdpc", 36.8374833333333)</f>
        <v>36.83748333</v>
      </c>
    </row>
    <row r="175">
      <c r="A175" s="65" t="s">
        <v>54</v>
      </c>
      <c r="B175" s="65" t="s">
        <v>58</v>
      </c>
      <c r="C175" s="65"/>
      <c r="D175" s="64">
        <f t="shared" si="1"/>
        <v>176.3077</v>
      </c>
      <c r="F175" s="65">
        <v>0.0</v>
      </c>
      <c r="G175" s="65">
        <v>18.2147666666667</v>
      </c>
      <c r="H175" s="65">
        <v>15.70855</v>
      </c>
      <c r="I175" s="65">
        <v>1.15598333333333</v>
      </c>
      <c r="J175" s="65">
        <v>0.0</v>
      </c>
      <c r="K175" s="65">
        <v>5.64683333333333</v>
      </c>
      <c r="N175" s="65">
        <v>1.86998333333333</v>
      </c>
      <c r="Q175" s="65">
        <v>0.0789166666666667</v>
      </c>
      <c r="R175" s="65">
        <v>13.7776666666667</v>
      </c>
      <c r="S175" s="65">
        <v>6.05161666666667</v>
      </c>
      <c r="T175" s="65">
        <v>3.57563333333333</v>
      </c>
      <c r="U175" s="65">
        <v>12.7129</v>
      </c>
      <c r="X175" s="65">
        <v>0.192866666666667</v>
      </c>
      <c r="Y175" s="65">
        <v>7.29105</v>
      </c>
      <c r="Z175" s="65">
        <v>8.82568333333333</v>
      </c>
      <c r="AA175" s="65">
        <v>1.5352</v>
      </c>
      <c r="AB175" s="65">
        <v>13.984</v>
      </c>
      <c r="AE175" s="65">
        <v>0.0</v>
      </c>
      <c r="AF175" s="65">
        <v>4.40188333333333</v>
      </c>
      <c r="AG175" s="65">
        <v>7.30806666666667</v>
      </c>
      <c r="AH175" s="65">
        <v>0.297166666666667</v>
      </c>
      <c r="AI175" s="65">
        <v>7.57461666666667</v>
      </c>
      <c r="AL175" s="65">
        <v>3.31288333333333</v>
      </c>
      <c r="AM175" s="65">
        <v>1.03981666666667</v>
      </c>
      <c r="AN175" s="65">
        <v>19.5599833333333</v>
      </c>
      <c r="AQ175" s="65">
        <v>0.414066666666667</v>
      </c>
      <c r="AR175" s="65">
        <v>3.83068333333333</v>
      </c>
      <c r="AU175" s="65">
        <v>17.9468833333333</v>
      </c>
    </row>
    <row r="176">
      <c r="A176" s="119" t="s">
        <v>54</v>
      </c>
      <c r="B176" s="119" t="s">
        <v>58</v>
      </c>
      <c r="C176" s="119"/>
      <c r="D176" s="120">
        <f t="shared" si="1"/>
        <v>0</v>
      </c>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c r="AA176" s="120"/>
      <c r="AB176" s="120"/>
      <c r="AC176" s="120"/>
      <c r="AD176" s="120"/>
      <c r="AE176" s="120"/>
      <c r="AF176" s="120"/>
      <c r="AG176" s="120"/>
      <c r="AH176" s="120"/>
      <c r="AI176" s="120"/>
      <c r="AJ176" s="120"/>
      <c r="AK176" s="120"/>
      <c r="AL176" s="120"/>
      <c r="AM176" s="120"/>
      <c r="AN176" s="120"/>
      <c r="AO176" s="120"/>
      <c r="AP176" s="120"/>
      <c r="AQ176" s="120"/>
      <c r="AR176" s="120"/>
      <c r="AS176" s="120"/>
      <c r="AT176" s="120"/>
      <c r="AU176" s="120"/>
      <c r="AV176" s="120"/>
      <c r="AW176" s="120"/>
      <c r="AX176" s="120"/>
      <c r="AY176" s="120"/>
      <c r="AZ176" s="120"/>
      <c r="BA176" s="120"/>
      <c r="BB176" s="120"/>
      <c r="BC176" s="120"/>
      <c r="BD176" s="120"/>
      <c r="BE176" s="120"/>
      <c r="BF176" s="120"/>
      <c r="BG176" s="120"/>
      <c r="BH176" s="120"/>
      <c r="BI176" s="120"/>
      <c r="BJ176" s="120"/>
      <c r="BK176" s="120"/>
      <c r="BL176" s="120"/>
      <c r="BM176" s="120"/>
      <c r="BN176" s="120"/>
      <c r="BO176" s="120"/>
      <c r="BP176" s="120"/>
      <c r="BQ176" s="120"/>
      <c r="BR176" s="120"/>
      <c r="BS176" s="120"/>
      <c r="BT176" s="120"/>
      <c r="BU176" s="120"/>
      <c r="BV176" s="120"/>
      <c r="BW176" s="120"/>
      <c r="BX176" s="120"/>
      <c r="BY176" s="120"/>
      <c r="BZ176" s="120"/>
      <c r="CA176" s="120"/>
      <c r="CB176" s="120"/>
      <c r="CC176" s="120"/>
      <c r="CD176" s="120"/>
      <c r="CE176" s="120"/>
      <c r="CF176" s="120"/>
      <c r="CG176" s="120"/>
      <c r="CH176" s="120"/>
      <c r="CI176" s="120"/>
      <c r="CJ176" s="120"/>
      <c r="CK176" s="120"/>
      <c r="CL176" s="120"/>
      <c r="CM176" s="120"/>
      <c r="CN176" s="120"/>
      <c r="CO176" s="120"/>
      <c r="CP176" s="120"/>
      <c r="CQ176" s="120"/>
      <c r="CR176" s="120"/>
      <c r="CS176" s="120"/>
      <c r="CT176" s="120"/>
      <c r="CU176" s="120"/>
      <c r="CV176" s="120"/>
      <c r="CW176" s="120"/>
      <c r="CX176" s="120"/>
      <c r="CY176" s="120"/>
      <c r="CZ176" s="120"/>
      <c r="DA176" s="120"/>
      <c r="DB176" s="120"/>
      <c r="DC176" s="120"/>
      <c r="DD176" s="120"/>
      <c r="DE176" s="120"/>
      <c r="DF176" s="120"/>
      <c r="DG176" s="120"/>
      <c r="DH176" s="120"/>
      <c r="DI176" s="120"/>
      <c r="DJ176" s="120"/>
      <c r="DK176" s="120"/>
      <c r="DL176" s="120"/>
      <c r="DM176" s="120"/>
      <c r="DN176" s="120"/>
      <c r="DO176" s="120"/>
      <c r="DP176" s="120"/>
      <c r="DQ176" s="120"/>
      <c r="DR176" s="120"/>
      <c r="DS176" s="120"/>
      <c r="DT176" s="120"/>
      <c r="DU176" s="120"/>
      <c r="DV176" s="120"/>
      <c r="DW176" s="120"/>
      <c r="DX176" s="120"/>
      <c r="DY176" s="120"/>
      <c r="DZ176" s="120"/>
      <c r="EA176" s="120"/>
      <c r="EB176" s="120"/>
      <c r="EC176" s="120"/>
      <c r="ED176" s="120"/>
      <c r="EE176" s="120"/>
      <c r="EF176" s="120"/>
      <c r="EG176" s="120"/>
      <c r="EH176" s="120"/>
      <c r="EI176" s="120"/>
      <c r="EJ176" s="120"/>
      <c r="EK176" s="120"/>
      <c r="EL176" s="120"/>
      <c r="EM176" s="120"/>
      <c r="EN176" s="120"/>
      <c r="EO176" s="120"/>
      <c r="EP176" s="120"/>
      <c r="EQ176" s="120"/>
      <c r="ER176" s="120"/>
      <c r="ES176" s="120"/>
      <c r="ET176" s="120"/>
      <c r="EU176" s="120"/>
      <c r="EV176" s="120"/>
      <c r="EW176" s="120"/>
      <c r="EX176" s="120"/>
      <c r="EY176" s="120"/>
      <c r="EZ176" s="120"/>
      <c r="FA176" s="120"/>
      <c r="FB176" s="120"/>
      <c r="FC176" s="120"/>
      <c r="FD176" s="120"/>
      <c r="FE176" s="120"/>
      <c r="FF176" s="120"/>
      <c r="FG176" s="120"/>
      <c r="FH176" s="120"/>
      <c r="FI176" s="120"/>
      <c r="FJ176" s="120"/>
      <c r="FK176" s="120"/>
      <c r="FL176" s="120"/>
      <c r="FM176" s="120"/>
      <c r="FN176" s="120"/>
      <c r="FO176" s="120"/>
      <c r="FP176" s="120"/>
      <c r="FQ176" s="120"/>
      <c r="FR176" s="120"/>
      <c r="FS176" s="120"/>
      <c r="FT176" s="120"/>
      <c r="FU176" s="120"/>
      <c r="FV176" s="120"/>
      <c r="FW176" s="120"/>
      <c r="FX176" s="120"/>
      <c r="FY176" s="120"/>
      <c r="FZ176" s="120"/>
      <c r="GA176" s="120"/>
      <c r="GB176" s="120"/>
      <c r="GC176" s="120"/>
      <c r="GD176" s="120"/>
      <c r="GE176" s="120"/>
      <c r="GF176" s="120"/>
      <c r="GG176" s="120"/>
      <c r="GH176" s="120"/>
      <c r="GI176" s="120"/>
      <c r="GJ176" s="120"/>
      <c r="GK176" s="120"/>
      <c r="GL176" s="120"/>
      <c r="GM176" s="120"/>
      <c r="GN176" s="120"/>
      <c r="GO176" s="120"/>
      <c r="GP176" s="120"/>
      <c r="GQ176" s="120"/>
      <c r="GR176" s="120"/>
      <c r="GS176" s="120"/>
      <c r="GT176" s="120"/>
      <c r="GU176" s="120"/>
      <c r="GV176" s="120"/>
      <c r="GW176" s="120"/>
      <c r="GX176" s="120"/>
      <c r="GY176" s="120"/>
      <c r="GZ176" s="120"/>
      <c r="HA176" s="120"/>
      <c r="HB176" s="120"/>
      <c r="HC176" s="120"/>
      <c r="HD176" s="120"/>
      <c r="HE176" s="120"/>
      <c r="HF176" s="120"/>
      <c r="HG176" s="120"/>
      <c r="HH176" s="120"/>
      <c r="HI176" s="120"/>
      <c r="HJ176" s="120"/>
      <c r="HK176" s="120"/>
      <c r="HL176" s="120"/>
      <c r="HM176" s="120"/>
      <c r="HN176" s="120"/>
      <c r="HO176" s="120"/>
      <c r="HP176" s="120"/>
      <c r="HQ176" s="120"/>
      <c r="HR176" s="120"/>
      <c r="HS176" s="120"/>
      <c r="HT176" s="120"/>
      <c r="HU176" s="120"/>
      <c r="HV176" s="120"/>
      <c r="HW176" s="120"/>
      <c r="HX176" s="120"/>
      <c r="HY176" s="120"/>
      <c r="HZ176" s="120"/>
      <c r="IA176" s="120"/>
      <c r="IB176" s="120"/>
      <c r="IC176" s="120"/>
      <c r="ID176" s="120"/>
      <c r="IE176" s="120"/>
      <c r="IF176" s="120"/>
      <c r="IG176" s="120"/>
      <c r="IH176" s="120"/>
      <c r="II176" s="120"/>
      <c r="IJ176" s="120"/>
      <c r="IK176" s="120"/>
      <c r="IL176" s="120"/>
      <c r="IM176" s="120"/>
      <c r="IN176" s="120"/>
      <c r="IO176" s="120"/>
      <c r="IP176" s="120"/>
      <c r="IQ176" s="120"/>
      <c r="IR176" s="120"/>
      <c r="IS176" s="120"/>
      <c r="IT176" s="120"/>
      <c r="IU176" s="120"/>
      <c r="IV176" s="120"/>
      <c r="IW176" s="120"/>
      <c r="IX176" s="120"/>
      <c r="IY176" s="120"/>
      <c r="IZ176" s="120"/>
      <c r="JA176" s="120"/>
      <c r="JB176" s="120"/>
      <c r="JC176" s="120"/>
      <c r="JD176" s="120"/>
      <c r="JE176" s="120"/>
      <c r="JF176" s="120"/>
      <c r="JG176" s="120"/>
      <c r="JH176" s="120"/>
      <c r="JI176" s="120"/>
      <c r="JJ176" s="120"/>
      <c r="JK176" s="120"/>
      <c r="JL176" s="120"/>
      <c r="JM176" s="120"/>
      <c r="JN176" s="120"/>
      <c r="JO176" s="120"/>
      <c r="JP176" s="120"/>
      <c r="JQ176" s="120"/>
      <c r="JR176" s="120"/>
      <c r="JS176" s="120"/>
      <c r="JT176" s="120"/>
      <c r="JU176" s="120"/>
      <c r="JV176" s="120"/>
      <c r="JW176" s="120"/>
      <c r="JX176" s="120"/>
      <c r="JY176" s="120"/>
      <c r="JZ176" s="120"/>
      <c r="KA176" s="120"/>
      <c r="KB176" s="120"/>
      <c r="KC176" s="120"/>
      <c r="KD176" s="120"/>
      <c r="KE176" s="120"/>
      <c r="KF176" s="120"/>
      <c r="KG176" s="120"/>
      <c r="KH176" s="120"/>
      <c r="KI176" s="120"/>
      <c r="KJ176" s="120"/>
      <c r="KK176" s="120"/>
      <c r="KL176" s="120"/>
      <c r="KM176" s="120"/>
      <c r="KN176" s="120"/>
      <c r="KO176" s="120"/>
      <c r="KP176" s="120"/>
      <c r="KQ176" s="120"/>
      <c r="KR176" s="120"/>
      <c r="KS176" s="120"/>
      <c r="KT176" s="120"/>
      <c r="KU176" s="120"/>
      <c r="KV176" s="120"/>
      <c r="KW176" s="120"/>
      <c r="KX176" s="120"/>
      <c r="KY176" s="120"/>
      <c r="KZ176" s="120"/>
      <c r="LA176" s="120"/>
      <c r="LB176" s="120"/>
      <c r="LC176" s="120"/>
      <c r="LD176" s="120"/>
      <c r="LE176" s="120"/>
      <c r="LF176" s="120"/>
      <c r="LG176" s="120"/>
      <c r="LH176" s="120"/>
      <c r="LI176" s="120"/>
      <c r="LJ176" s="120"/>
      <c r="LK176" s="120"/>
      <c r="LL176" s="120"/>
      <c r="LM176" s="120"/>
      <c r="LN176" s="120"/>
      <c r="LO176" s="120"/>
      <c r="LP176" s="120"/>
      <c r="LQ176" s="120"/>
      <c r="LR176" s="120"/>
      <c r="LS176" s="120"/>
      <c r="LT176" s="120"/>
      <c r="LU176" s="120"/>
      <c r="LV176" s="120"/>
      <c r="LW176" s="120"/>
      <c r="LX176" s="120"/>
      <c r="LY176" s="120"/>
      <c r="LZ176" s="120"/>
      <c r="MA176" s="120"/>
      <c r="MB176" s="120"/>
      <c r="MC176" s="120"/>
      <c r="MD176" s="120"/>
      <c r="ME176" s="120"/>
      <c r="MF176" s="120"/>
      <c r="MG176" s="120"/>
      <c r="MH176" s="120"/>
      <c r="MI176" s="120"/>
      <c r="MJ176" s="120"/>
      <c r="MK176" s="120"/>
      <c r="ML176" s="120"/>
      <c r="MM176" s="120"/>
      <c r="MN176" s="120"/>
      <c r="MO176" s="120"/>
      <c r="MP176" s="120"/>
      <c r="MQ176" s="120"/>
      <c r="MR176" s="120"/>
      <c r="MS176" s="120"/>
      <c r="MT176" s="120"/>
      <c r="MU176" s="120"/>
      <c r="MV176" s="120"/>
      <c r="MW176" s="120"/>
      <c r="MX176" s="120"/>
      <c r="MY176" s="120"/>
      <c r="MZ176" s="120"/>
      <c r="NA176" s="120"/>
      <c r="NB176" s="120"/>
      <c r="NC176" s="120"/>
      <c r="ND176" s="120"/>
      <c r="NE176" s="120"/>
      <c r="NF176" s="120"/>
      <c r="NG176" s="120"/>
      <c r="NH176" s="120"/>
      <c r="NI176" s="120"/>
      <c r="NJ176" s="120"/>
      <c r="NK176" s="120"/>
      <c r="NL176" s="120"/>
      <c r="NM176" s="120"/>
      <c r="NN176" s="120"/>
      <c r="NO176" s="120"/>
      <c r="NP176" s="120"/>
      <c r="NQ176" s="120"/>
      <c r="NR176" s="120"/>
      <c r="NS176" s="120"/>
      <c r="NT176" s="120"/>
      <c r="NU176" s="120"/>
      <c r="NV176" s="120"/>
      <c r="NW176" s="120"/>
      <c r="NX176" s="120"/>
      <c r="NY176" s="120"/>
      <c r="NZ176" s="120"/>
      <c r="OA176" s="120"/>
      <c r="OB176" s="120"/>
      <c r="OC176" s="120"/>
      <c r="OD176" s="120"/>
      <c r="OE176" s="120"/>
      <c r="OF176" s="120"/>
      <c r="OG176" s="120"/>
      <c r="OH176" s="120"/>
      <c r="OI176" s="120"/>
      <c r="OJ176" s="120"/>
      <c r="OK176" s="120"/>
      <c r="OL176" s="120"/>
      <c r="OM176" s="120"/>
      <c r="ON176" s="120"/>
      <c r="OO176" s="120"/>
      <c r="OP176" s="120"/>
      <c r="OQ176" s="120"/>
      <c r="OR176" s="120"/>
      <c r="OS176" s="120"/>
      <c r="OT176" s="120"/>
      <c r="OU176" s="120"/>
      <c r="OV176" s="120"/>
      <c r="OW176" s="120"/>
      <c r="OX176" s="120"/>
      <c r="OY176" s="120"/>
      <c r="OZ176" s="120"/>
      <c r="PA176" s="120"/>
      <c r="PB176" s="120"/>
      <c r="PC176" s="120"/>
      <c r="PD176" s="120"/>
      <c r="PE176" s="120"/>
      <c r="PF176" s="120"/>
      <c r="PG176" s="120"/>
      <c r="PH176" s="120"/>
      <c r="PI176" s="120"/>
      <c r="PJ176" s="120"/>
      <c r="PK176" s="120"/>
      <c r="PL176" s="120"/>
      <c r="PM176" s="120"/>
      <c r="PN176" s="120"/>
      <c r="PO176" s="120"/>
      <c r="PP176" s="120"/>
      <c r="PQ176" s="120"/>
      <c r="PR176" s="120"/>
      <c r="PS176" s="120"/>
      <c r="PT176" s="120"/>
      <c r="PU176" s="120"/>
      <c r="PV176" s="120"/>
      <c r="PW176" s="120"/>
      <c r="PX176" s="120"/>
      <c r="PY176" s="120"/>
      <c r="PZ176" s="120"/>
      <c r="QA176" s="120"/>
      <c r="QB176" s="120"/>
      <c r="QC176" s="120"/>
      <c r="QD176" s="120"/>
      <c r="QE176" s="120"/>
      <c r="QF176" s="120"/>
      <c r="QG176" s="120"/>
      <c r="QH176" s="120"/>
      <c r="QI176" s="120"/>
      <c r="QJ176" s="120"/>
      <c r="QK176" s="120"/>
      <c r="QL176" s="120"/>
      <c r="QM176" s="120"/>
      <c r="QN176" s="120"/>
      <c r="QO176" s="120"/>
      <c r="QP176" s="120"/>
      <c r="QQ176" s="120"/>
      <c r="QR176" s="120"/>
      <c r="QS176" s="120"/>
      <c r="QT176" s="120"/>
      <c r="QU176" s="120"/>
      <c r="QV176" s="120"/>
      <c r="QW176" s="120"/>
      <c r="QX176" s="120"/>
      <c r="QY176" s="120"/>
      <c r="QZ176" s="120"/>
      <c r="RA176" s="120"/>
      <c r="RB176" s="120"/>
      <c r="RC176" s="120"/>
      <c r="RD176" s="120"/>
      <c r="RE176" s="120"/>
      <c r="RF176" s="120"/>
      <c r="RG176" s="120"/>
      <c r="RH176" s="120"/>
      <c r="RI176" s="120"/>
      <c r="RJ176" s="120"/>
      <c r="RK176" s="120"/>
      <c r="RL176" s="120"/>
      <c r="RM176" s="120"/>
      <c r="RN176" s="120"/>
      <c r="RO176" s="120"/>
      <c r="RP176" s="120"/>
      <c r="RQ176" s="120"/>
      <c r="RR176" s="120"/>
      <c r="RS176" s="120"/>
      <c r="RT176" s="120"/>
      <c r="RU176" s="120"/>
      <c r="RV176" s="120"/>
      <c r="RW176" s="120"/>
      <c r="RX176" s="120"/>
      <c r="RY176" s="120"/>
      <c r="RZ176" s="120"/>
      <c r="SA176" s="120"/>
      <c r="SB176" s="120"/>
      <c r="SC176" s="120"/>
      <c r="SD176" s="120"/>
      <c r="SE176" s="120"/>
      <c r="SF176" s="120"/>
      <c r="SG176" s="120"/>
      <c r="SH176" s="120"/>
      <c r="SI176" s="120"/>
      <c r="SJ176" s="120"/>
      <c r="SK176" s="120"/>
      <c r="SL176" s="120"/>
      <c r="SM176" s="120"/>
      <c r="SN176" s="120"/>
      <c r="SO176" s="120"/>
      <c r="SP176" s="120"/>
      <c r="SQ176" s="120"/>
      <c r="SR176" s="120"/>
      <c r="SS176" s="120"/>
      <c r="ST176" s="120"/>
      <c r="SU176" s="120"/>
      <c r="SV176" s="120"/>
      <c r="SW176" s="120"/>
      <c r="SX176" s="120"/>
      <c r="SY176" s="120"/>
      <c r="SZ176" s="120"/>
      <c r="TA176" s="120"/>
      <c r="TB176" s="120"/>
      <c r="TC176" s="120"/>
      <c r="TD176" s="120"/>
      <c r="TE176" s="120"/>
      <c r="TF176" s="120"/>
      <c r="TG176" s="120"/>
      <c r="TH176" s="120"/>
      <c r="TI176" s="120"/>
      <c r="TJ176" s="120"/>
      <c r="TK176" s="120"/>
      <c r="TL176" s="120"/>
      <c r="TM176" s="120"/>
      <c r="TN176" s="120"/>
      <c r="TO176" s="120"/>
      <c r="TP176" s="120"/>
      <c r="TQ176" s="120"/>
      <c r="TR176" s="120"/>
      <c r="TS176" s="120"/>
      <c r="TT176" s="120"/>
      <c r="TU176" s="120"/>
      <c r="TV176" s="120"/>
      <c r="TW176" s="120"/>
      <c r="TX176" s="120"/>
      <c r="TY176" s="120"/>
      <c r="TZ176" s="120"/>
      <c r="UA176" s="120"/>
      <c r="UB176" s="120"/>
      <c r="UC176" s="120"/>
      <c r="UD176" s="120"/>
      <c r="UE176" s="120"/>
      <c r="UF176" s="120"/>
      <c r="UG176" s="120"/>
      <c r="UH176" s="120"/>
      <c r="UI176" s="120"/>
      <c r="UJ176" s="120"/>
      <c r="UK176" s="120"/>
      <c r="UL176" s="120"/>
      <c r="UM176" s="120"/>
      <c r="UN176" s="120"/>
      <c r="UO176" s="120"/>
      <c r="UP176" s="120"/>
      <c r="UQ176" s="120"/>
      <c r="UR176" s="120"/>
      <c r="US176" s="120"/>
      <c r="UT176" s="120"/>
      <c r="UU176" s="120"/>
      <c r="UV176" s="120"/>
      <c r="UW176" s="120"/>
      <c r="UX176" s="120"/>
      <c r="UY176" s="120"/>
      <c r="UZ176" s="120"/>
      <c r="VA176" s="120"/>
      <c r="VB176" s="120"/>
      <c r="VC176" s="120"/>
      <c r="VD176" s="120"/>
      <c r="VE176" s="120"/>
      <c r="VF176" s="120"/>
      <c r="VG176" s="120"/>
      <c r="VH176" s="120"/>
      <c r="VI176" s="120"/>
      <c r="VJ176" s="120"/>
      <c r="VK176" s="120"/>
      <c r="VL176" s="120"/>
      <c r="VM176" s="120"/>
      <c r="VN176" s="120"/>
      <c r="VO176" s="120"/>
      <c r="VP176" s="120"/>
      <c r="VQ176" s="120"/>
      <c r="VR176" s="120"/>
      <c r="VS176" s="120"/>
      <c r="VT176" s="120"/>
      <c r="VU176" s="120"/>
      <c r="VV176" s="120"/>
      <c r="VW176" s="120"/>
      <c r="VX176" s="120"/>
      <c r="VY176" s="120"/>
      <c r="VZ176" s="120"/>
      <c r="WA176" s="120"/>
      <c r="WB176" s="120"/>
      <c r="WC176" s="120"/>
      <c r="WD176" s="120"/>
      <c r="WE176" s="120"/>
      <c r="WF176" s="120"/>
      <c r="WG176" s="120"/>
      <c r="WH176" s="120"/>
      <c r="WI176" s="120"/>
      <c r="WJ176" s="120"/>
      <c r="WK176" s="120"/>
      <c r="WL176" s="120"/>
      <c r="WM176" s="120"/>
      <c r="WN176" s="120"/>
      <c r="WO176" s="120"/>
      <c r="WP176" s="120"/>
      <c r="WQ176" s="120"/>
      <c r="WR176" s="120"/>
      <c r="WS176" s="120"/>
      <c r="WT176" s="120"/>
      <c r="WU176" s="120"/>
      <c r="WV176" s="120"/>
      <c r="WW176" s="120"/>
      <c r="WX176" s="120"/>
      <c r="WY176" s="120"/>
      <c r="WZ176" s="120"/>
      <c r="XA176" s="120"/>
      <c r="XB176" s="120"/>
      <c r="XC176" s="120"/>
      <c r="XD176" s="120"/>
      <c r="XE176" s="120"/>
      <c r="XF176" s="120"/>
      <c r="XG176" s="120"/>
      <c r="XH176" s="120"/>
      <c r="XI176" s="120"/>
      <c r="XJ176" s="120"/>
      <c r="XK176" s="120"/>
      <c r="XL176" s="120"/>
      <c r="XM176" s="120"/>
      <c r="XN176" s="120"/>
      <c r="XO176" s="120"/>
      <c r="XP176" s="120"/>
      <c r="XQ176" s="120"/>
      <c r="XR176" s="120"/>
      <c r="XS176" s="120"/>
      <c r="XT176" s="120"/>
      <c r="XU176" s="120"/>
      <c r="XV176" s="120"/>
      <c r="XW176" s="120"/>
      <c r="XX176" s="120"/>
      <c r="XY176" s="120"/>
      <c r="XZ176" s="120"/>
      <c r="YA176" s="120"/>
      <c r="YB176" s="120"/>
      <c r="YC176" s="120"/>
      <c r="YD176" s="120"/>
      <c r="YE176" s="120"/>
      <c r="YF176" s="120"/>
      <c r="YG176" s="120"/>
      <c r="YH176" s="120"/>
      <c r="YI176" s="120"/>
      <c r="YJ176" s="120"/>
      <c r="YK176" s="120"/>
      <c r="YL176" s="120"/>
      <c r="YM176" s="120"/>
      <c r="YN176" s="120"/>
      <c r="YO176" s="120"/>
      <c r="YP176" s="120"/>
      <c r="YQ176" s="120"/>
      <c r="YR176" s="120"/>
      <c r="YS176" s="120"/>
      <c r="YT176" s="120"/>
      <c r="YU176" s="120"/>
      <c r="YV176" s="120"/>
      <c r="YW176" s="120"/>
      <c r="YX176" s="120"/>
      <c r="YY176" s="120"/>
      <c r="YZ176" s="120"/>
      <c r="ZA176" s="120"/>
      <c r="ZB176" s="120"/>
      <c r="ZC176" s="120"/>
      <c r="ZD176" s="120"/>
      <c r="ZE176" s="120"/>
      <c r="ZF176" s="120"/>
      <c r="ZG176" s="120"/>
      <c r="ZH176" s="120"/>
      <c r="ZI176" s="120"/>
      <c r="ZJ176" s="120"/>
      <c r="ZK176" s="120"/>
      <c r="ZL176" s="120"/>
      <c r="ZM176" s="120"/>
      <c r="ZN176" s="120"/>
      <c r="ZO176" s="120"/>
      <c r="ZP176" s="120"/>
      <c r="ZQ176" s="120"/>
      <c r="ZR176" s="120"/>
      <c r="ZS176" s="120"/>
      <c r="ZT176" s="120"/>
      <c r="ZU176" s="120"/>
      <c r="ZV176" s="120"/>
      <c r="ZW176" s="120"/>
      <c r="ZX176" s="120"/>
      <c r="ZY176" s="120"/>
      <c r="ZZ176" s="120"/>
      <c r="AAA176" s="120"/>
      <c r="AAB176" s="120"/>
      <c r="AAC176" s="120"/>
      <c r="AAD176" s="120"/>
      <c r="AAE176" s="120"/>
      <c r="AAF176" s="120"/>
      <c r="AAG176" s="120"/>
      <c r="AAH176" s="120"/>
      <c r="AAI176" s="120"/>
      <c r="AAJ176" s="120"/>
      <c r="AAK176" s="120"/>
      <c r="AAL176" s="120"/>
      <c r="AAM176" s="120"/>
      <c r="AAN176" s="120"/>
      <c r="AAO176" s="120"/>
      <c r="AAP176" s="120"/>
      <c r="AAQ176" s="120"/>
      <c r="AAR176" s="120"/>
      <c r="AAS176" s="120"/>
      <c r="AAT176" s="120"/>
      <c r="AAU176" s="120"/>
      <c r="AAV176" s="120"/>
      <c r="AAW176" s="120"/>
      <c r="AAX176" s="120"/>
      <c r="AAY176" s="120"/>
      <c r="AAZ176" s="120"/>
      <c r="ABA176" s="120"/>
      <c r="ABB176" s="120"/>
      <c r="ABC176" s="120"/>
      <c r="ABD176" s="120"/>
      <c r="ABE176" s="120"/>
      <c r="ABF176" s="120"/>
      <c r="ABG176" s="120"/>
      <c r="ABH176" s="120"/>
      <c r="ABI176" s="120"/>
      <c r="ABJ176" s="120"/>
      <c r="ABK176" s="120"/>
      <c r="ABL176" s="120"/>
      <c r="ABM176" s="120"/>
      <c r="ABN176" s="120"/>
      <c r="ABO176" s="120"/>
      <c r="ABP176" s="120"/>
      <c r="ABQ176" s="120"/>
      <c r="ABR176" s="120"/>
      <c r="ABS176" s="120"/>
      <c r="ABT176" s="120"/>
      <c r="ABU176" s="120"/>
      <c r="ABV176" s="120"/>
      <c r="ABW176" s="120"/>
      <c r="ABX176" s="120"/>
      <c r="ABY176" s="120"/>
      <c r="ABZ176" s="120"/>
      <c r="ACA176" s="120"/>
      <c r="ACB176" s="120"/>
      <c r="ACC176" s="120"/>
      <c r="ACD176" s="120"/>
      <c r="ACE176" s="120"/>
      <c r="ACF176" s="120"/>
      <c r="ACG176" s="120"/>
      <c r="ACH176" s="120"/>
      <c r="ACI176" s="120"/>
      <c r="ACJ176" s="120"/>
      <c r="ACK176" s="120"/>
      <c r="ACL176" s="120"/>
      <c r="ACM176" s="120"/>
      <c r="ACN176" s="120"/>
      <c r="ACO176" s="120"/>
      <c r="ACP176" s="120"/>
      <c r="ACQ176" s="120"/>
      <c r="ACR176" s="120"/>
      <c r="ACS176" s="120"/>
      <c r="ACT176" s="120"/>
      <c r="ACU176" s="120"/>
      <c r="ACV176" s="120"/>
      <c r="ACW176" s="120"/>
      <c r="ACX176" s="120"/>
      <c r="ACY176" s="120"/>
      <c r="ACZ176" s="120"/>
      <c r="ADA176" s="120"/>
      <c r="ADB176" s="120"/>
      <c r="ADC176" s="120"/>
      <c r="ADD176" s="120"/>
      <c r="ADE176" s="120"/>
      <c r="ADF176" s="120"/>
      <c r="ADG176" s="120"/>
      <c r="ADH176" s="120"/>
      <c r="ADI176" s="120"/>
      <c r="ADJ176" s="120"/>
      <c r="ADK176" s="120"/>
      <c r="ADL176" s="120"/>
      <c r="ADM176" s="120"/>
      <c r="ADN176" s="120"/>
      <c r="ADO176" s="120"/>
      <c r="ADP176" s="120"/>
      <c r="ADQ176" s="120"/>
      <c r="ADR176" s="120"/>
      <c r="ADS176" s="120"/>
      <c r="ADT176" s="120"/>
      <c r="ADU176" s="120"/>
      <c r="ADV176" s="120"/>
      <c r="ADW176" s="120"/>
      <c r="ADX176" s="120"/>
      <c r="ADY176" s="120"/>
      <c r="ADZ176" s="120"/>
      <c r="AEA176" s="120"/>
      <c r="AEB176" s="120"/>
      <c r="AEC176" s="120"/>
      <c r="AED176" s="120"/>
      <c r="AEE176" s="120"/>
      <c r="AEF176" s="120"/>
      <c r="AEG176" s="120"/>
      <c r="AEH176" s="120"/>
      <c r="AEI176" s="120"/>
      <c r="AEJ176" s="120"/>
      <c r="AEK176" s="120"/>
      <c r="AEL176" s="120"/>
      <c r="AEM176" s="120"/>
      <c r="AEN176" s="120"/>
      <c r="AEO176" s="120"/>
      <c r="AEP176" s="120"/>
      <c r="AEQ176" s="120"/>
      <c r="AER176" s="120"/>
      <c r="AES176" s="120"/>
      <c r="AET176" s="120"/>
      <c r="AEU176" s="120"/>
      <c r="AEV176" s="120"/>
      <c r="AEW176" s="120"/>
      <c r="AEX176" s="120"/>
      <c r="AEY176" s="120"/>
      <c r="AEZ176" s="120"/>
      <c r="AFA176" s="120"/>
      <c r="AFB176" s="120"/>
      <c r="AFC176" s="120"/>
      <c r="AFD176" s="120"/>
      <c r="AFE176" s="120"/>
      <c r="AFF176" s="120"/>
      <c r="AFG176" s="120"/>
      <c r="AFH176" s="120"/>
      <c r="AFI176" s="120"/>
      <c r="AFJ176" s="120"/>
      <c r="AFK176" s="120"/>
      <c r="AFL176" s="120"/>
      <c r="AFM176" s="120"/>
      <c r="AFN176" s="120"/>
      <c r="AFO176" s="120"/>
      <c r="AFP176" s="120"/>
      <c r="AFQ176" s="120"/>
      <c r="AFR176" s="120"/>
      <c r="AFS176" s="120"/>
      <c r="AFT176" s="120"/>
      <c r="AFU176" s="120"/>
      <c r="AFV176" s="120"/>
      <c r="AFW176" s="120"/>
      <c r="AFX176" s="120"/>
      <c r="AFY176" s="120"/>
      <c r="AFZ176" s="120"/>
      <c r="AGA176" s="120"/>
      <c r="AGB176" s="120"/>
      <c r="AGC176" s="120"/>
      <c r="AGD176" s="120"/>
      <c r="AGE176" s="120"/>
      <c r="AGF176" s="120"/>
      <c r="AGG176" s="120"/>
      <c r="AGH176" s="120"/>
      <c r="AGI176" s="120"/>
      <c r="AGJ176" s="120"/>
      <c r="AGK176" s="120"/>
      <c r="AGL176" s="120"/>
      <c r="AGM176" s="120"/>
      <c r="AGN176" s="120"/>
      <c r="AGO176" s="120"/>
      <c r="AGP176" s="120"/>
      <c r="AGQ176" s="120"/>
      <c r="AGR176" s="120"/>
      <c r="AGS176" s="120"/>
      <c r="AGT176" s="120"/>
      <c r="AGU176" s="120"/>
      <c r="AGV176" s="120"/>
      <c r="AGW176" s="120"/>
      <c r="AGX176" s="120"/>
      <c r="AGY176" s="120"/>
      <c r="AGZ176" s="120"/>
      <c r="AHA176" s="120"/>
      <c r="AHB176" s="120"/>
      <c r="AHC176" s="120"/>
      <c r="AHD176" s="120"/>
      <c r="AHE176" s="120"/>
      <c r="AHF176" s="120"/>
      <c r="AHG176" s="120"/>
      <c r="AHH176" s="120"/>
      <c r="AHI176" s="120"/>
      <c r="AHJ176" s="120"/>
      <c r="AHK176" s="120"/>
      <c r="AHL176" s="120"/>
      <c r="AHM176" s="120"/>
      <c r="AHN176" s="120"/>
      <c r="AHO176" s="120"/>
      <c r="AHP176" s="120"/>
      <c r="AHQ176" s="120"/>
      <c r="AHR176" s="120"/>
      <c r="AHS176" s="120"/>
      <c r="AHT176" s="120"/>
      <c r="AHU176" s="120"/>
      <c r="AHV176" s="120"/>
      <c r="AHW176" s="120"/>
      <c r="AHX176" s="120"/>
      <c r="AHY176" s="120"/>
      <c r="AHZ176" s="120"/>
      <c r="AIA176" s="120"/>
      <c r="AIB176" s="120"/>
      <c r="AIC176" s="120"/>
      <c r="AID176" s="120"/>
      <c r="AIE176" s="120"/>
      <c r="AIF176" s="120"/>
      <c r="AIG176" s="120"/>
      <c r="AIH176" s="120"/>
      <c r="AII176" s="120"/>
      <c r="AIJ176" s="120"/>
      <c r="AIK176" s="120"/>
      <c r="AIL176" s="120"/>
      <c r="AIM176" s="120"/>
      <c r="AIN176" s="120"/>
      <c r="AIO176" s="120"/>
      <c r="AIP176" s="120"/>
      <c r="AIQ176" s="120"/>
      <c r="AIR176" s="120"/>
      <c r="AIS176" s="120"/>
      <c r="AIT176" s="120"/>
      <c r="AIU176" s="120"/>
      <c r="AIV176" s="120"/>
      <c r="AIW176" s="120"/>
      <c r="AIX176" s="120"/>
      <c r="AIY176" s="120"/>
      <c r="AIZ176" s="120"/>
    </row>
    <row r="177">
      <c r="A177" s="112" t="s">
        <v>54</v>
      </c>
      <c r="B177" s="112" t="s">
        <v>59</v>
      </c>
      <c r="C177" s="112"/>
      <c r="D177" s="113">
        <f t="shared" si="1"/>
        <v>413.1947333</v>
      </c>
      <c r="E177" s="112">
        <v>91.8284666666668</v>
      </c>
      <c r="F177" s="113"/>
      <c r="G177" s="113"/>
      <c r="H177" s="113"/>
      <c r="I177" s="113"/>
      <c r="J177" s="113"/>
      <c r="K177" s="113"/>
      <c r="L177" s="112">
        <v>1.89018333333333</v>
      </c>
      <c r="M177" s="112">
        <v>7.22445</v>
      </c>
      <c r="N177" s="113"/>
      <c r="O177" s="112">
        <v>0.103</v>
      </c>
      <c r="P177" s="112">
        <v>25.3017833333333</v>
      </c>
      <c r="Q177" s="113"/>
      <c r="R177" s="113"/>
      <c r="S177" s="113"/>
      <c r="T177" s="113"/>
      <c r="U177" s="113"/>
      <c r="V177" s="112">
        <v>0.332716666666667</v>
      </c>
      <c r="W177" s="112">
        <v>95.7291</v>
      </c>
      <c r="X177" s="113"/>
      <c r="Y177" s="113"/>
      <c r="Z177" s="113"/>
      <c r="AA177" s="113"/>
      <c r="AB177" s="113"/>
      <c r="AC177" s="112">
        <v>1.2494</v>
      </c>
      <c r="AD177" s="112">
        <v>101.698883333333</v>
      </c>
      <c r="AE177" s="113"/>
      <c r="AF177" s="113"/>
      <c r="AG177" s="113"/>
      <c r="AH177" s="113"/>
      <c r="AI177" s="113"/>
      <c r="AJ177" s="112">
        <v>2.39983333333333</v>
      </c>
      <c r="AK177" s="112">
        <v>45.7315666666666</v>
      </c>
      <c r="AL177" s="113"/>
      <c r="AM177" s="113"/>
      <c r="AN177" s="113"/>
      <c r="AO177" s="112">
        <v>3.83538333333333</v>
      </c>
      <c r="AP177" s="112">
        <v>5.1831</v>
      </c>
      <c r="AQ177" s="113"/>
      <c r="AR177" s="113"/>
      <c r="AS177" s="112">
        <v>0.655283333333333</v>
      </c>
      <c r="AT177" s="112">
        <v>28.9581833333333</v>
      </c>
      <c r="AU177" s="113"/>
      <c r="AV177" s="112">
        <v>0.723566666666667</v>
      </c>
      <c r="AW177" s="112">
        <v>0.349833333333333</v>
      </c>
      <c r="AX177" s="113"/>
      <c r="AY177" s="113"/>
      <c r="AZ177" s="113"/>
      <c r="BA177" s="113"/>
      <c r="BB177" s="113"/>
      <c r="BC177" s="113"/>
      <c r="BD177" s="113"/>
      <c r="BE177" s="113"/>
      <c r="BF177" s="113"/>
      <c r="BG177" s="113"/>
      <c r="BH177" s="113"/>
      <c r="BI177" s="113"/>
      <c r="BJ177" s="113"/>
      <c r="BK177" s="113"/>
      <c r="BL177" s="113"/>
      <c r="BM177" s="113"/>
      <c r="BN177" s="113"/>
      <c r="BO177" s="113"/>
      <c r="BP177" s="113"/>
      <c r="BQ177" s="113"/>
      <c r="BR177" s="113"/>
      <c r="BS177" s="113"/>
      <c r="BT177" s="113"/>
      <c r="BU177" s="113"/>
      <c r="BV177" s="113"/>
      <c r="BW177" s="113"/>
      <c r="BX177" s="113"/>
      <c r="BY177" s="113"/>
      <c r="BZ177" s="113"/>
      <c r="CA177" s="113"/>
      <c r="CB177" s="113"/>
      <c r="CC177" s="113"/>
      <c r="CD177" s="113"/>
      <c r="CE177" s="113"/>
      <c r="CF177" s="113"/>
      <c r="CG177" s="113"/>
      <c r="CH177" s="113"/>
      <c r="CI177" s="113"/>
      <c r="CJ177" s="113"/>
      <c r="CK177" s="113"/>
      <c r="CL177" s="113"/>
      <c r="CM177" s="113"/>
      <c r="CN177" s="113"/>
      <c r="CO177" s="113"/>
      <c r="CP177" s="113"/>
      <c r="CQ177" s="113"/>
      <c r="CR177" s="113"/>
      <c r="CS177" s="113"/>
      <c r="CT177" s="113"/>
      <c r="CU177" s="113"/>
      <c r="CV177" s="113"/>
      <c r="CW177" s="113"/>
      <c r="CX177" s="113"/>
      <c r="CY177" s="113"/>
      <c r="CZ177" s="113"/>
      <c r="DA177" s="113"/>
      <c r="DB177" s="113"/>
      <c r="DC177" s="113"/>
      <c r="DD177" s="113"/>
      <c r="DE177" s="113"/>
      <c r="DF177" s="113"/>
      <c r="DG177" s="113"/>
      <c r="DH177" s="113"/>
      <c r="DI177" s="113"/>
      <c r="DJ177" s="113"/>
      <c r="DK177" s="113"/>
      <c r="DL177" s="113"/>
      <c r="DM177" s="113"/>
      <c r="DN177" s="113"/>
      <c r="DO177" s="113"/>
      <c r="DP177" s="113"/>
      <c r="DQ177" s="113"/>
      <c r="DR177" s="113"/>
      <c r="DS177" s="113"/>
      <c r="DT177" s="113"/>
      <c r="DU177" s="113"/>
      <c r="DV177" s="113"/>
      <c r="DW177" s="113"/>
      <c r="DX177" s="113"/>
      <c r="DY177" s="113"/>
      <c r="DZ177" s="113"/>
      <c r="EA177" s="113"/>
      <c r="EB177" s="113"/>
      <c r="EC177" s="113"/>
      <c r="ED177" s="113"/>
      <c r="EE177" s="113"/>
      <c r="EF177" s="113"/>
      <c r="EG177" s="113"/>
      <c r="EH177" s="113"/>
      <c r="EI177" s="113"/>
      <c r="EJ177" s="113"/>
      <c r="EK177" s="113"/>
      <c r="EL177" s="113"/>
      <c r="EM177" s="113"/>
      <c r="EN177" s="113"/>
      <c r="EO177" s="113"/>
      <c r="EP177" s="113"/>
      <c r="EQ177" s="113"/>
      <c r="ER177" s="113"/>
      <c r="ES177" s="113"/>
      <c r="ET177" s="113"/>
      <c r="EU177" s="113"/>
      <c r="EV177" s="113"/>
      <c r="EW177" s="113"/>
      <c r="EX177" s="113"/>
      <c r="EY177" s="113"/>
      <c r="EZ177" s="113"/>
      <c r="FA177" s="113"/>
      <c r="FB177" s="113"/>
      <c r="FC177" s="113"/>
      <c r="FD177" s="113"/>
      <c r="FE177" s="113"/>
      <c r="FF177" s="113"/>
      <c r="FG177" s="113"/>
      <c r="FH177" s="113"/>
      <c r="FI177" s="113"/>
      <c r="FJ177" s="113"/>
      <c r="FK177" s="113"/>
      <c r="FL177" s="113"/>
      <c r="FM177" s="113"/>
      <c r="FN177" s="113"/>
      <c r="FO177" s="113"/>
      <c r="FP177" s="113"/>
      <c r="FQ177" s="113"/>
      <c r="FR177" s="113"/>
      <c r="FS177" s="113"/>
      <c r="FT177" s="113"/>
      <c r="FU177" s="113"/>
      <c r="FV177" s="113"/>
      <c r="FW177" s="113"/>
      <c r="FX177" s="113"/>
      <c r="FY177" s="113"/>
      <c r="FZ177" s="113"/>
      <c r="GA177" s="113"/>
      <c r="GB177" s="113"/>
      <c r="GC177" s="113"/>
      <c r="GD177" s="113"/>
      <c r="GE177" s="113"/>
      <c r="GF177" s="113"/>
      <c r="GG177" s="113"/>
      <c r="GH177" s="113"/>
      <c r="GI177" s="113"/>
      <c r="GJ177" s="113"/>
      <c r="GK177" s="113"/>
      <c r="GL177" s="113"/>
      <c r="GM177" s="113"/>
      <c r="GN177" s="113"/>
      <c r="GO177" s="113"/>
      <c r="GP177" s="113"/>
      <c r="GQ177" s="113"/>
      <c r="GR177" s="113"/>
      <c r="GS177" s="113"/>
      <c r="GT177" s="113"/>
      <c r="GU177" s="113"/>
      <c r="GV177" s="113"/>
      <c r="GW177" s="113"/>
      <c r="GX177" s="113"/>
      <c r="GY177" s="113"/>
      <c r="GZ177" s="113"/>
      <c r="HA177" s="113"/>
      <c r="HB177" s="113"/>
      <c r="HC177" s="113"/>
      <c r="HD177" s="113"/>
      <c r="HE177" s="113"/>
      <c r="HF177" s="113"/>
      <c r="HG177" s="113"/>
      <c r="HH177" s="113"/>
      <c r="HI177" s="113"/>
      <c r="HJ177" s="113"/>
      <c r="HK177" s="113"/>
      <c r="HL177" s="113"/>
      <c r="HM177" s="113"/>
      <c r="HN177" s="113"/>
      <c r="HO177" s="113"/>
      <c r="HP177" s="113"/>
      <c r="HQ177" s="113"/>
      <c r="HR177" s="113"/>
      <c r="HS177" s="113"/>
      <c r="HT177" s="113"/>
      <c r="HU177" s="113"/>
      <c r="HV177" s="113"/>
      <c r="HW177" s="113"/>
      <c r="HX177" s="113"/>
      <c r="HY177" s="113"/>
      <c r="HZ177" s="113"/>
      <c r="IA177" s="113"/>
      <c r="IB177" s="113"/>
      <c r="IC177" s="113"/>
      <c r="ID177" s="113"/>
      <c r="IE177" s="113"/>
      <c r="IF177" s="113"/>
      <c r="IG177" s="113"/>
      <c r="IH177" s="113"/>
      <c r="II177" s="113"/>
      <c r="IJ177" s="113"/>
      <c r="IK177" s="113"/>
      <c r="IL177" s="113"/>
      <c r="IM177" s="113"/>
      <c r="IN177" s="113"/>
      <c r="IO177" s="113"/>
      <c r="IP177" s="113"/>
      <c r="IQ177" s="113"/>
      <c r="IR177" s="113"/>
      <c r="IS177" s="113"/>
      <c r="IT177" s="113"/>
      <c r="IU177" s="113"/>
      <c r="IV177" s="113"/>
      <c r="IW177" s="113"/>
      <c r="IX177" s="113"/>
      <c r="IY177" s="113"/>
      <c r="IZ177" s="113"/>
      <c r="JA177" s="113"/>
      <c r="JB177" s="113"/>
      <c r="JC177" s="113"/>
      <c r="JD177" s="113"/>
      <c r="JE177" s="113"/>
      <c r="JF177" s="113"/>
      <c r="JG177" s="113"/>
      <c r="JH177" s="113"/>
      <c r="JI177" s="113"/>
      <c r="JJ177" s="113"/>
      <c r="JK177" s="113"/>
      <c r="JL177" s="113"/>
      <c r="JM177" s="113"/>
      <c r="JN177" s="113"/>
      <c r="JO177" s="113"/>
      <c r="JP177" s="113"/>
      <c r="JQ177" s="113"/>
      <c r="JR177" s="113"/>
      <c r="JS177" s="113"/>
      <c r="JT177" s="113"/>
      <c r="JU177" s="113"/>
      <c r="JV177" s="113"/>
      <c r="JW177" s="113"/>
      <c r="JX177" s="113"/>
      <c r="JY177" s="113"/>
      <c r="JZ177" s="113"/>
      <c r="KA177" s="113"/>
      <c r="KB177" s="113"/>
      <c r="KC177" s="113"/>
      <c r="KD177" s="113"/>
      <c r="KE177" s="113"/>
      <c r="KF177" s="113"/>
      <c r="KG177" s="113"/>
      <c r="KH177" s="113"/>
      <c r="KI177" s="113"/>
      <c r="KJ177" s="113"/>
      <c r="KK177" s="113"/>
      <c r="KL177" s="113"/>
      <c r="KM177" s="113"/>
      <c r="KN177" s="113"/>
      <c r="KO177" s="113"/>
      <c r="KP177" s="113"/>
      <c r="KQ177" s="113"/>
      <c r="KR177" s="113"/>
      <c r="KS177" s="113"/>
      <c r="KT177" s="113"/>
      <c r="KU177" s="113"/>
      <c r="KV177" s="113"/>
      <c r="KW177" s="113"/>
      <c r="KX177" s="113"/>
      <c r="KY177" s="113"/>
      <c r="KZ177" s="113"/>
      <c r="LA177" s="113"/>
      <c r="LB177" s="113"/>
      <c r="LC177" s="113"/>
      <c r="LD177" s="113"/>
      <c r="LE177" s="113"/>
      <c r="LF177" s="113"/>
      <c r="LG177" s="113"/>
      <c r="LH177" s="113"/>
      <c r="LI177" s="113"/>
      <c r="LJ177" s="113"/>
      <c r="LK177" s="113"/>
      <c r="LL177" s="113"/>
      <c r="LM177" s="113"/>
      <c r="LN177" s="113"/>
      <c r="LO177" s="113"/>
      <c r="LP177" s="113"/>
      <c r="LQ177" s="113"/>
      <c r="LR177" s="113"/>
      <c r="LS177" s="113"/>
      <c r="LT177" s="113"/>
      <c r="LU177" s="113"/>
      <c r="LV177" s="113"/>
      <c r="LW177" s="113"/>
      <c r="LX177" s="113"/>
      <c r="LY177" s="113"/>
      <c r="LZ177" s="113"/>
      <c r="MA177" s="113"/>
      <c r="MB177" s="113"/>
      <c r="MC177" s="113"/>
      <c r="MD177" s="113"/>
      <c r="ME177" s="113"/>
      <c r="MF177" s="113"/>
      <c r="MG177" s="113"/>
      <c r="MH177" s="113"/>
      <c r="MI177" s="113"/>
      <c r="MJ177" s="113"/>
      <c r="MK177" s="113"/>
      <c r="ML177" s="113"/>
      <c r="MM177" s="113"/>
      <c r="MN177" s="113"/>
      <c r="MO177" s="113"/>
      <c r="MP177" s="113"/>
      <c r="MQ177" s="113"/>
      <c r="MR177" s="113"/>
      <c r="MS177" s="113"/>
      <c r="MT177" s="113"/>
      <c r="MU177" s="113"/>
      <c r="MV177" s="113"/>
      <c r="MW177" s="113"/>
      <c r="MX177" s="113"/>
      <c r="MY177" s="113"/>
      <c r="MZ177" s="113"/>
      <c r="NA177" s="113"/>
      <c r="NB177" s="113"/>
      <c r="NC177" s="113"/>
      <c r="ND177" s="113"/>
      <c r="NE177" s="113"/>
      <c r="NF177" s="113"/>
      <c r="NG177" s="113"/>
      <c r="NH177" s="113"/>
      <c r="NI177" s="113"/>
      <c r="NJ177" s="113"/>
      <c r="NK177" s="113"/>
      <c r="NL177" s="113"/>
      <c r="NM177" s="113"/>
      <c r="NN177" s="113"/>
      <c r="NO177" s="113"/>
      <c r="NP177" s="113"/>
      <c r="NQ177" s="113"/>
      <c r="NR177" s="113"/>
      <c r="NS177" s="113"/>
      <c r="NT177" s="113"/>
      <c r="NU177" s="113"/>
      <c r="NV177" s="113"/>
      <c r="NW177" s="113"/>
      <c r="NX177" s="113"/>
      <c r="NY177" s="113"/>
      <c r="NZ177" s="113"/>
      <c r="OA177" s="113"/>
      <c r="OB177" s="113"/>
      <c r="OC177" s="113"/>
      <c r="OD177" s="113"/>
      <c r="OE177" s="113"/>
      <c r="OF177" s="113"/>
      <c r="OG177" s="113"/>
      <c r="OH177" s="113"/>
      <c r="OI177" s="113"/>
      <c r="OJ177" s="113"/>
      <c r="OK177" s="113"/>
      <c r="OL177" s="113"/>
      <c r="OM177" s="113"/>
      <c r="ON177" s="113"/>
      <c r="OO177" s="113"/>
      <c r="OP177" s="113"/>
      <c r="OQ177" s="113"/>
      <c r="OR177" s="113"/>
      <c r="OS177" s="113"/>
      <c r="OT177" s="113"/>
      <c r="OU177" s="113"/>
      <c r="OV177" s="113"/>
      <c r="OW177" s="113"/>
      <c r="OX177" s="113"/>
      <c r="OY177" s="113"/>
      <c r="OZ177" s="113"/>
      <c r="PA177" s="113"/>
      <c r="PB177" s="113"/>
      <c r="PC177" s="113"/>
      <c r="PD177" s="113"/>
      <c r="PE177" s="113"/>
      <c r="PF177" s="113"/>
      <c r="PG177" s="113"/>
      <c r="PH177" s="113"/>
      <c r="PI177" s="113"/>
      <c r="PJ177" s="113"/>
      <c r="PK177" s="113"/>
      <c r="PL177" s="113"/>
      <c r="PM177" s="113"/>
      <c r="PN177" s="113"/>
      <c r="PO177" s="113"/>
      <c r="PP177" s="113"/>
      <c r="PQ177" s="113"/>
      <c r="PR177" s="113"/>
      <c r="PS177" s="113"/>
      <c r="PT177" s="113"/>
      <c r="PU177" s="113"/>
      <c r="PV177" s="113"/>
      <c r="PW177" s="113"/>
      <c r="PX177" s="113"/>
      <c r="PY177" s="113"/>
      <c r="PZ177" s="113"/>
      <c r="QA177" s="113"/>
      <c r="QB177" s="113"/>
      <c r="QC177" s="113"/>
      <c r="QD177" s="113"/>
      <c r="QE177" s="113"/>
      <c r="QF177" s="113"/>
      <c r="QG177" s="113"/>
      <c r="QH177" s="113"/>
      <c r="QI177" s="113"/>
      <c r="QJ177" s="113"/>
      <c r="QK177" s="113"/>
      <c r="QL177" s="113"/>
      <c r="QM177" s="113"/>
      <c r="QN177" s="113"/>
      <c r="QO177" s="113"/>
      <c r="QP177" s="113"/>
      <c r="QQ177" s="113"/>
      <c r="QR177" s="113"/>
      <c r="QS177" s="113"/>
      <c r="QT177" s="113"/>
      <c r="QU177" s="113"/>
      <c r="QV177" s="113"/>
      <c r="QW177" s="113"/>
      <c r="QX177" s="113"/>
      <c r="QY177" s="113"/>
      <c r="QZ177" s="113"/>
      <c r="RA177" s="113"/>
      <c r="RB177" s="113"/>
      <c r="RC177" s="113"/>
      <c r="RD177" s="113"/>
      <c r="RE177" s="113"/>
      <c r="RF177" s="113"/>
      <c r="RG177" s="113"/>
      <c r="RH177" s="113"/>
      <c r="RI177" s="113"/>
      <c r="RJ177" s="113"/>
      <c r="RK177" s="113"/>
      <c r="RL177" s="113"/>
      <c r="RM177" s="113"/>
      <c r="RN177" s="113"/>
      <c r="RO177" s="113"/>
      <c r="RP177" s="113"/>
      <c r="RQ177" s="113"/>
      <c r="RR177" s="113"/>
      <c r="RS177" s="113"/>
      <c r="RT177" s="113"/>
      <c r="RU177" s="113"/>
      <c r="RV177" s="113"/>
      <c r="RW177" s="113"/>
      <c r="RX177" s="113"/>
      <c r="RY177" s="113"/>
      <c r="RZ177" s="113"/>
      <c r="SA177" s="113"/>
      <c r="SB177" s="113"/>
      <c r="SC177" s="113"/>
      <c r="SD177" s="113"/>
      <c r="SE177" s="113"/>
      <c r="SF177" s="113"/>
      <c r="SG177" s="113"/>
      <c r="SH177" s="113"/>
      <c r="SI177" s="113"/>
      <c r="SJ177" s="113"/>
      <c r="SK177" s="113"/>
      <c r="SL177" s="113"/>
      <c r="SM177" s="113"/>
      <c r="SN177" s="113"/>
      <c r="SO177" s="113"/>
      <c r="SP177" s="113"/>
      <c r="SQ177" s="113"/>
      <c r="SR177" s="113"/>
      <c r="SS177" s="113"/>
      <c r="ST177" s="113"/>
      <c r="SU177" s="113"/>
      <c r="SV177" s="113"/>
      <c r="SW177" s="113"/>
      <c r="SX177" s="113"/>
      <c r="SY177" s="113"/>
      <c r="SZ177" s="113"/>
      <c r="TA177" s="113"/>
      <c r="TB177" s="113"/>
      <c r="TC177" s="113"/>
      <c r="TD177" s="113"/>
      <c r="TE177" s="113"/>
      <c r="TF177" s="113"/>
      <c r="TG177" s="113"/>
      <c r="TH177" s="113"/>
      <c r="TI177" s="113"/>
      <c r="TJ177" s="113"/>
      <c r="TK177" s="113"/>
      <c r="TL177" s="113"/>
      <c r="TM177" s="113"/>
      <c r="TN177" s="113"/>
      <c r="TO177" s="113"/>
      <c r="TP177" s="113"/>
      <c r="TQ177" s="113"/>
      <c r="TR177" s="113"/>
      <c r="TS177" s="113"/>
      <c r="TT177" s="113"/>
      <c r="TU177" s="113"/>
      <c r="TV177" s="113"/>
      <c r="TW177" s="113"/>
      <c r="TX177" s="113"/>
      <c r="TY177" s="113"/>
      <c r="TZ177" s="113"/>
      <c r="UA177" s="113"/>
      <c r="UB177" s="113"/>
      <c r="UC177" s="113"/>
      <c r="UD177" s="113"/>
      <c r="UE177" s="113"/>
      <c r="UF177" s="113"/>
      <c r="UG177" s="113"/>
      <c r="UH177" s="113"/>
      <c r="UI177" s="113"/>
      <c r="UJ177" s="113"/>
      <c r="UK177" s="113"/>
      <c r="UL177" s="113"/>
      <c r="UM177" s="113"/>
      <c r="UN177" s="113"/>
      <c r="UO177" s="113"/>
      <c r="UP177" s="113"/>
      <c r="UQ177" s="113"/>
      <c r="UR177" s="113"/>
      <c r="US177" s="113"/>
      <c r="UT177" s="113"/>
      <c r="UU177" s="113"/>
      <c r="UV177" s="113"/>
      <c r="UW177" s="113"/>
      <c r="UX177" s="113"/>
      <c r="UY177" s="113"/>
      <c r="UZ177" s="113"/>
      <c r="VA177" s="113"/>
      <c r="VB177" s="113"/>
      <c r="VC177" s="113"/>
      <c r="VD177" s="113"/>
      <c r="VE177" s="113"/>
      <c r="VF177" s="113"/>
      <c r="VG177" s="113"/>
      <c r="VH177" s="113"/>
      <c r="VI177" s="113"/>
      <c r="VJ177" s="113"/>
      <c r="VK177" s="113"/>
      <c r="VL177" s="113"/>
      <c r="VM177" s="113"/>
      <c r="VN177" s="113"/>
      <c r="VO177" s="113"/>
      <c r="VP177" s="113"/>
      <c r="VQ177" s="113"/>
      <c r="VR177" s="113"/>
      <c r="VS177" s="113"/>
      <c r="VT177" s="113"/>
      <c r="VU177" s="113"/>
      <c r="VV177" s="113"/>
      <c r="VW177" s="113"/>
      <c r="VX177" s="113"/>
      <c r="VY177" s="113"/>
      <c r="VZ177" s="113"/>
      <c r="WA177" s="113"/>
      <c r="WB177" s="113"/>
      <c r="WC177" s="113"/>
      <c r="WD177" s="113"/>
      <c r="WE177" s="113"/>
      <c r="WF177" s="113"/>
      <c r="WG177" s="113"/>
      <c r="WH177" s="113"/>
      <c r="WI177" s="113"/>
      <c r="WJ177" s="113"/>
      <c r="WK177" s="113"/>
      <c r="WL177" s="113"/>
      <c r="WM177" s="113"/>
      <c r="WN177" s="113"/>
      <c r="WO177" s="113"/>
      <c r="WP177" s="113"/>
      <c r="WQ177" s="113"/>
      <c r="WR177" s="113"/>
      <c r="WS177" s="113"/>
      <c r="WT177" s="113"/>
      <c r="WU177" s="113"/>
      <c r="WV177" s="113"/>
      <c r="WW177" s="113"/>
      <c r="WX177" s="113"/>
      <c r="WY177" s="113"/>
      <c r="WZ177" s="113"/>
      <c r="XA177" s="113"/>
      <c r="XB177" s="113"/>
      <c r="XC177" s="113"/>
      <c r="XD177" s="113"/>
      <c r="XE177" s="113"/>
      <c r="XF177" s="113"/>
      <c r="XG177" s="113"/>
      <c r="XH177" s="113"/>
      <c r="XI177" s="113"/>
      <c r="XJ177" s="113"/>
      <c r="XK177" s="113"/>
      <c r="XL177" s="113"/>
      <c r="XM177" s="113"/>
      <c r="XN177" s="113"/>
      <c r="XO177" s="113"/>
      <c r="XP177" s="113"/>
      <c r="XQ177" s="113"/>
      <c r="XR177" s="113"/>
      <c r="XS177" s="113"/>
      <c r="XT177" s="113"/>
      <c r="XU177" s="113"/>
      <c r="XV177" s="113"/>
      <c r="XW177" s="113"/>
      <c r="XX177" s="113"/>
      <c r="XY177" s="113"/>
      <c r="XZ177" s="113"/>
      <c r="YA177" s="113"/>
      <c r="YB177" s="113"/>
      <c r="YC177" s="113"/>
      <c r="YD177" s="113"/>
      <c r="YE177" s="113"/>
      <c r="YF177" s="113"/>
      <c r="YG177" s="113"/>
      <c r="YH177" s="113"/>
      <c r="YI177" s="113"/>
      <c r="YJ177" s="113"/>
      <c r="YK177" s="113"/>
      <c r="YL177" s="113"/>
      <c r="YM177" s="113"/>
      <c r="YN177" s="113"/>
      <c r="YO177" s="113"/>
      <c r="YP177" s="113"/>
      <c r="YQ177" s="113"/>
      <c r="YR177" s="113"/>
      <c r="YS177" s="113"/>
      <c r="YT177" s="113"/>
      <c r="YU177" s="113"/>
      <c r="YV177" s="113"/>
      <c r="YW177" s="113"/>
      <c r="YX177" s="113"/>
      <c r="YY177" s="113"/>
      <c r="YZ177" s="113"/>
      <c r="ZA177" s="113"/>
      <c r="ZB177" s="113"/>
      <c r="ZC177" s="113"/>
      <c r="ZD177" s="113"/>
      <c r="ZE177" s="113"/>
      <c r="ZF177" s="113"/>
      <c r="ZG177" s="113"/>
      <c r="ZH177" s="113"/>
      <c r="ZI177" s="113"/>
      <c r="ZJ177" s="113"/>
      <c r="ZK177" s="113"/>
      <c r="ZL177" s="113"/>
      <c r="ZM177" s="113"/>
      <c r="ZN177" s="113"/>
      <c r="ZO177" s="113"/>
      <c r="ZP177" s="113"/>
      <c r="ZQ177" s="113"/>
      <c r="ZR177" s="113"/>
      <c r="ZS177" s="113"/>
      <c r="ZT177" s="113"/>
      <c r="ZU177" s="113"/>
      <c r="ZV177" s="113"/>
      <c r="ZW177" s="113"/>
      <c r="ZX177" s="113"/>
      <c r="ZY177" s="113"/>
      <c r="ZZ177" s="113"/>
      <c r="AAA177" s="113"/>
      <c r="AAB177" s="113"/>
      <c r="AAC177" s="113"/>
      <c r="AAD177" s="113"/>
      <c r="AAE177" s="113"/>
      <c r="AAF177" s="113"/>
      <c r="AAG177" s="113"/>
      <c r="AAH177" s="113"/>
      <c r="AAI177" s="113"/>
      <c r="AAJ177" s="113"/>
      <c r="AAK177" s="113"/>
      <c r="AAL177" s="113"/>
      <c r="AAM177" s="113"/>
      <c r="AAN177" s="113"/>
      <c r="AAO177" s="113"/>
      <c r="AAP177" s="113"/>
      <c r="AAQ177" s="113"/>
      <c r="AAR177" s="113"/>
      <c r="AAS177" s="113"/>
      <c r="AAT177" s="113"/>
      <c r="AAU177" s="113"/>
      <c r="AAV177" s="113"/>
      <c r="AAW177" s="113"/>
      <c r="AAX177" s="113"/>
      <c r="AAY177" s="113"/>
      <c r="AAZ177" s="113"/>
      <c r="ABA177" s="113"/>
      <c r="ABB177" s="113"/>
      <c r="ABC177" s="113"/>
      <c r="ABD177" s="113"/>
      <c r="ABE177" s="113"/>
      <c r="ABF177" s="113"/>
      <c r="ABG177" s="113"/>
      <c r="ABH177" s="113"/>
      <c r="ABI177" s="113"/>
      <c r="ABJ177" s="113"/>
      <c r="ABK177" s="113"/>
      <c r="ABL177" s="113"/>
      <c r="ABM177" s="113"/>
      <c r="ABN177" s="113"/>
      <c r="ABO177" s="113"/>
      <c r="ABP177" s="113"/>
      <c r="ABQ177" s="113"/>
      <c r="ABR177" s="113"/>
      <c r="ABS177" s="113"/>
      <c r="ABT177" s="113"/>
      <c r="ABU177" s="113"/>
      <c r="ABV177" s="113"/>
      <c r="ABW177" s="113"/>
      <c r="ABX177" s="113"/>
      <c r="ABY177" s="113"/>
      <c r="ABZ177" s="113"/>
      <c r="ACA177" s="113"/>
      <c r="ACB177" s="113"/>
      <c r="ACC177" s="113"/>
      <c r="ACD177" s="113"/>
      <c r="ACE177" s="113"/>
      <c r="ACF177" s="113"/>
      <c r="ACG177" s="113"/>
      <c r="ACH177" s="113"/>
      <c r="ACI177" s="113"/>
      <c r="ACJ177" s="113"/>
      <c r="ACK177" s="113"/>
      <c r="ACL177" s="113"/>
      <c r="ACM177" s="113"/>
      <c r="ACN177" s="113"/>
      <c r="ACO177" s="113"/>
      <c r="ACP177" s="113"/>
      <c r="ACQ177" s="113"/>
      <c r="ACR177" s="113"/>
      <c r="ACS177" s="113"/>
      <c r="ACT177" s="113"/>
      <c r="ACU177" s="113"/>
      <c r="ACV177" s="113"/>
      <c r="ACW177" s="113"/>
      <c r="ACX177" s="113"/>
      <c r="ACY177" s="113"/>
      <c r="ACZ177" s="113"/>
      <c r="ADA177" s="113"/>
      <c r="ADB177" s="113"/>
      <c r="ADC177" s="113"/>
      <c r="ADD177" s="113"/>
      <c r="ADE177" s="113"/>
      <c r="ADF177" s="113"/>
      <c r="ADG177" s="113"/>
      <c r="ADH177" s="113"/>
      <c r="ADI177" s="113"/>
      <c r="ADJ177" s="113"/>
      <c r="ADK177" s="113"/>
      <c r="ADL177" s="113"/>
      <c r="ADM177" s="113"/>
      <c r="ADN177" s="113"/>
      <c r="ADO177" s="113"/>
      <c r="ADP177" s="113"/>
      <c r="ADQ177" s="113"/>
      <c r="ADR177" s="113"/>
      <c r="ADS177" s="113"/>
      <c r="ADT177" s="113"/>
      <c r="ADU177" s="113"/>
      <c r="ADV177" s="113"/>
      <c r="ADW177" s="113"/>
      <c r="ADX177" s="113"/>
      <c r="ADY177" s="113"/>
      <c r="ADZ177" s="113"/>
      <c r="AEA177" s="113"/>
      <c r="AEB177" s="113"/>
      <c r="AEC177" s="113"/>
      <c r="AED177" s="113"/>
      <c r="AEE177" s="113"/>
      <c r="AEF177" s="113"/>
      <c r="AEG177" s="113"/>
      <c r="AEH177" s="113"/>
      <c r="AEI177" s="113"/>
      <c r="AEJ177" s="113"/>
      <c r="AEK177" s="113"/>
      <c r="AEL177" s="113"/>
      <c r="AEM177" s="113"/>
      <c r="AEN177" s="113"/>
      <c r="AEO177" s="113"/>
      <c r="AEP177" s="113"/>
      <c r="AEQ177" s="113"/>
      <c r="AER177" s="113"/>
      <c r="AES177" s="113"/>
      <c r="AET177" s="113"/>
      <c r="AEU177" s="113"/>
      <c r="AEV177" s="113"/>
      <c r="AEW177" s="113"/>
      <c r="AEX177" s="113"/>
      <c r="AEY177" s="113"/>
      <c r="AEZ177" s="113"/>
      <c r="AFA177" s="113"/>
      <c r="AFB177" s="113"/>
      <c r="AFC177" s="113"/>
      <c r="AFD177" s="113"/>
      <c r="AFE177" s="113"/>
      <c r="AFF177" s="113"/>
      <c r="AFG177" s="113"/>
      <c r="AFH177" s="113"/>
      <c r="AFI177" s="113"/>
      <c r="AFJ177" s="113"/>
      <c r="AFK177" s="113"/>
      <c r="AFL177" s="113"/>
      <c r="AFM177" s="113"/>
      <c r="AFN177" s="113"/>
      <c r="AFO177" s="113"/>
      <c r="AFP177" s="113"/>
      <c r="AFQ177" s="113"/>
      <c r="AFR177" s="113"/>
      <c r="AFS177" s="113"/>
      <c r="AFT177" s="113"/>
      <c r="AFU177" s="113"/>
      <c r="AFV177" s="113"/>
      <c r="AFW177" s="113"/>
      <c r="AFX177" s="113"/>
      <c r="AFY177" s="113"/>
      <c r="AFZ177" s="113"/>
      <c r="AGA177" s="113"/>
      <c r="AGB177" s="113"/>
      <c r="AGC177" s="113"/>
      <c r="AGD177" s="113"/>
      <c r="AGE177" s="113"/>
      <c r="AGF177" s="113"/>
      <c r="AGG177" s="113"/>
      <c r="AGH177" s="113"/>
      <c r="AGI177" s="113"/>
      <c r="AGJ177" s="113"/>
      <c r="AGK177" s="113"/>
      <c r="AGL177" s="113"/>
      <c r="AGM177" s="113"/>
      <c r="AGN177" s="113"/>
      <c r="AGO177" s="113"/>
      <c r="AGP177" s="113"/>
      <c r="AGQ177" s="113"/>
      <c r="AGR177" s="113"/>
      <c r="AGS177" s="113"/>
      <c r="AGT177" s="113"/>
      <c r="AGU177" s="113"/>
      <c r="AGV177" s="113"/>
      <c r="AGW177" s="113"/>
      <c r="AGX177" s="113"/>
      <c r="AGY177" s="113"/>
      <c r="AGZ177" s="113"/>
      <c r="AHA177" s="113"/>
      <c r="AHB177" s="113"/>
      <c r="AHC177" s="113"/>
      <c r="AHD177" s="113"/>
      <c r="AHE177" s="113"/>
      <c r="AHF177" s="113"/>
      <c r="AHG177" s="113"/>
      <c r="AHH177" s="113"/>
      <c r="AHI177" s="113"/>
      <c r="AHJ177" s="113"/>
      <c r="AHK177" s="113"/>
      <c r="AHL177" s="113"/>
      <c r="AHM177" s="113"/>
      <c r="AHN177" s="113"/>
      <c r="AHO177" s="113"/>
      <c r="AHP177" s="113"/>
      <c r="AHQ177" s="113"/>
      <c r="AHR177" s="113"/>
      <c r="AHS177" s="113"/>
      <c r="AHT177" s="113"/>
      <c r="AHU177" s="113"/>
      <c r="AHV177" s="113"/>
      <c r="AHW177" s="113"/>
      <c r="AHX177" s="113"/>
      <c r="AHY177" s="113"/>
      <c r="AHZ177" s="113"/>
      <c r="AIA177" s="113"/>
      <c r="AIB177" s="113"/>
      <c r="AIC177" s="113"/>
      <c r="AID177" s="113"/>
      <c r="AIE177" s="113"/>
      <c r="AIF177" s="113"/>
      <c r="AIG177" s="113"/>
      <c r="AIH177" s="113"/>
      <c r="AII177" s="113"/>
      <c r="AIJ177" s="113"/>
      <c r="AIK177" s="113"/>
      <c r="AIL177" s="113"/>
      <c r="AIM177" s="113"/>
      <c r="AIN177" s="113"/>
      <c r="AIO177" s="113"/>
      <c r="AIP177" s="113"/>
      <c r="AIQ177" s="113"/>
      <c r="AIR177" s="113"/>
      <c r="AIS177" s="113"/>
      <c r="AIT177" s="113"/>
      <c r="AIU177" s="113"/>
      <c r="AIV177" s="113"/>
      <c r="AIW177" s="113"/>
      <c r="AIX177" s="113"/>
      <c r="AIY177" s="113"/>
      <c r="AIZ177" s="113"/>
    </row>
    <row r="178">
      <c r="A178" s="65" t="s">
        <v>54</v>
      </c>
      <c r="B178" s="65" t="s">
        <v>59</v>
      </c>
      <c r="C178" s="65"/>
      <c r="D178" s="64">
        <f t="shared" si="1"/>
        <v>315.40705</v>
      </c>
      <c r="G178" s="65">
        <v>18.4486833333333</v>
      </c>
      <c r="H178" s="65">
        <v>14.8288166666667</v>
      </c>
      <c r="I178" s="65">
        <v>4.24238333333333</v>
      </c>
      <c r="J178" s="65">
        <v>0.53835</v>
      </c>
      <c r="K178" s="65">
        <v>32.3437333333333</v>
      </c>
      <c r="N178" s="65">
        <v>5.35901666666667</v>
      </c>
      <c r="R178" s="65">
        <v>5.30051666666667</v>
      </c>
      <c r="S178" s="65">
        <v>4.25506666666667</v>
      </c>
      <c r="T178" s="65">
        <v>2.17778333333333</v>
      </c>
      <c r="U178" s="65">
        <v>7.38476666666667</v>
      </c>
      <c r="X178" s="65">
        <v>1.03656666666667</v>
      </c>
      <c r="Y178" s="65">
        <v>5.25318333333333</v>
      </c>
      <c r="Z178" s="65">
        <v>19.0481666666667</v>
      </c>
      <c r="AA178" s="65">
        <v>4.18176666666667</v>
      </c>
      <c r="AB178" s="65">
        <v>40.4292666666667</v>
      </c>
      <c r="AE178" s="65">
        <v>2.6997</v>
      </c>
      <c r="AF178" s="65">
        <v>7.444</v>
      </c>
      <c r="AG178" s="65">
        <v>34.2366833333333</v>
      </c>
      <c r="AH178" s="65">
        <v>3.77083333333333</v>
      </c>
      <c r="AI178" s="65">
        <v>42.5497833333333</v>
      </c>
      <c r="AL178" s="65">
        <v>8.26238333333334</v>
      </c>
      <c r="AM178" s="65">
        <v>7.02913333333333</v>
      </c>
      <c r="AN178" s="65">
        <v>16.2713833333333</v>
      </c>
      <c r="AQ178" s="65">
        <v>2.39806666666667</v>
      </c>
      <c r="AR178" s="65">
        <v>1.81793333333333</v>
      </c>
      <c r="AU178" s="65">
        <v>24.0990833333333</v>
      </c>
    </row>
    <row r="179">
      <c r="A179" s="65" t="s">
        <v>54</v>
      </c>
      <c r="B179" s="65" t="s">
        <v>59</v>
      </c>
      <c r="C179" s="65"/>
      <c r="D179" s="64">
        <f t="shared" si="1"/>
        <v>0</v>
      </c>
    </row>
    <row r="180">
      <c r="A180" s="65" t="s">
        <v>54</v>
      </c>
      <c r="B180" s="65" t="s">
        <v>59</v>
      </c>
      <c r="C180" s="65"/>
      <c r="D180" s="64">
        <f t="shared" si="1"/>
        <v>307.44265</v>
      </c>
      <c r="G180" s="118">
        <f>HYPERLINK("https://docs.google.com/spreadsheets/d/1xiQ3qKo4BVtdotQ_vs0nhvj8egk3k3_9", 18.2948333333333)</f>
        <v>18.29483333</v>
      </c>
      <c r="H180" s="118">
        <f>HYPERLINK("https://docs.google.com/spreadsheets/d/1sqljK8bk_hGE4v4Hmxtq_IHvQsgJqOcr", 14.8288)</f>
        <v>14.8288</v>
      </c>
      <c r="I180" s="118">
        <f>HYPERLINK("https://docs.google.com/spreadsheets/d/12U8l8gXGkSKIYFlFRsH6kvzz9AHBNb32", 4.24238333333333)</f>
        <v>4.242383333</v>
      </c>
      <c r="J180" s="118">
        <f>HYPERLINK("https://docs.google.com/spreadsheets/d/1IUHCKh85K4nwbQamDCT-USpGzJBYfmZX", 0.53835)</f>
        <v>0.53835</v>
      </c>
      <c r="K180" s="118">
        <f>HYPERLINK("https://docs.google.com/spreadsheets/d/1t1tTjC_TGQZEXLIvmYJU72KJjkBxZH4_", 31.5461333333333)</f>
        <v>31.54613333</v>
      </c>
      <c r="N180" s="118">
        <f>HYPERLINK("https://docs.google.com/spreadsheets/d/12fetLSgMD4kMIKw4Go1vopXeT6yjJPP-", 5.359)</f>
        <v>5.359</v>
      </c>
      <c r="R180" s="118">
        <f>HYPERLINK("https://docs.google.com/spreadsheets/d/11_AaTO8WX4jyg6fDuChvfZKvCochrv-v", 5.30046666666667)</f>
        <v>5.300466667</v>
      </c>
      <c r="S180" s="118">
        <f>HYPERLINK("https://docs.google.com/spreadsheets/d/1yf_x-iWOf3kj3KrG7Jzq14byQfSVxd04", 4.15788333333333)</f>
        <v>4.157883333</v>
      </c>
      <c r="T180" s="118">
        <f>HYPERLINK("https://docs.google.com/spreadsheets/d/1D_iPXrt2icY3zSdhMk-2PDARODmv-hl5", 2.11045)</f>
        <v>2.11045</v>
      </c>
      <c r="U180" s="118">
        <f>HYPERLINK("https://docs.google.com/spreadsheets/d/1j2Cgt8jhzvR9ejYGQGeLC8DpmJRT2kR7", 7.38476666666667)</f>
        <v>7.384766667</v>
      </c>
      <c r="X180" s="118">
        <f>HYPERLINK("https://docs.google.com/spreadsheets/d/1CeRi9qju3ZSfPeHsdE3mleaR61g5wurI", 1.03656666666667)</f>
        <v>1.036566667</v>
      </c>
      <c r="Y180" s="118">
        <f>HYPERLINK("https://docs.google.com/spreadsheets/d/10bKFEPYEvW1zQF3l6LwiSjiWTaLQ3RQ2", 5.25318333333333)</f>
        <v>5.253183333</v>
      </c>
      <c r="Z180" s="118">
        <f>HYPERLINK("https://docs.google.com/spreadsheets/d/1UiYTmqcaYyHFk_JfuUpTZDDq3JVth8Uc", 19.04815)</f>
        <v>19.04815</v>
      </c>
      <c r="AA180" s="118">
        <f>HYPERLINK("https://docs.google.com/spreadsheets/d/1_aOykQmFo67qhmcb0I1KLxr0o4LpI5HO", 4.18176666666667)</f>
        <v>4.181766667</v>
      </c>
      <c r="AB180" s="118">
        <f>HYPERLINK("https://docs.google.com/spreadsheets/d/1ASijnEH1DQHWGqJtAyFeDocc5HChUUsP", 40.2623166666667)</f>
        <v>40.26231667</v>
      </c>
      <c r="AE180" s="118">
        <f>HYPERLINK("https://docs.google.com/spreadsheets/d/1k3H8f-AAuFSnq8UUl0dg7nv9QbeaGPa_", 2.6997)</f>
        <v>2.6997</v>
      </c>
      <c r="AF180" s="118">
        <f>HYPERLINK("https://docs.google.com/spreadsheets/d/1AWYci5fX25iDudP6tc9vyeDl6K1MPgQX", 7.444)</f>
        <v>7.444</v>
      </c>
      <c r="AG180" s="118">
        <f>HYPERLINK("https://docs.google.com/spreadsheets/d/17bebdd1dlaFCiXlLpvOXId0IuAKgBEYX", 34.0937166666667)</f>
        <v>34.09371667</v>
      </c>
      <c r="AH180" s="118">
        <f>HYPERLINK("https://docs.google.com/spreadsheets/d/1NourkOnabErRNQRjjlAH3AUZSE7eU5UE", 3.77083333333333)</f>
        <v>3.770833333</v>
      </c>
      <c r="AI180" s="118">
        <f>HYPERLINK("https://docs.google.com/spreadsheets/d/1D53JCPmZzguxx8NjJVuIDT-TfMvb-qLG", 42.1641666666667)</f>
        <v>42.16416667</v>
      </c>
      <c r="AL180" s="118">
        <f>HYPERLINK("https://docs.google.com/spreadsheets/d/1i02nY0jqbyYfeRGNb3pxpRjH0QcISzx8", 2.67226666666667)</f>
        <v>2.672266667</v>
      </c>
      <c r="AM180" s="118">
        <f>HYPERLINK("https://docs.google.com/spreadsheets/d/1ar79ts4T7x5QLBa1EsQKH1Jt_4_13Y3X", 7.02911666666667)</f>
        <v>7.029116667</v>
      </c>
      <c r="AN180" s="118">
        <f>HYPERLINK("https://docs.google.com/spreadsheets/d/1xhULEnwMLt4o8xsIpy8YdyhAX6gn5gk9", 16.2713666666667)</f>
        <v>16.27136667</v>
      </c>
      <c r="AQ180" s="118">
        <f>HYPERLINK("https://docs.google.com/spreadsheets/d/169EQUAdPf5obLy8kLi0zK-bufi0aVWlE", 2.22363333333333)</f>
        <v>2.223633333</v>
      </c>
      <c r="AR180" s="118">
        <f>HYPERLINK("https://docs.google.com/spreadsheets/d/1g1ixFKmW0jJOGO-xFGGLhvS8jbaiU6zQ", 1.81793333333333)</f>
        <v>1.817933333</v>
      </c>
      <c r="AU180" s="118">
        <f>HYPERLINK("https://docs.google.com/spreadsheets/d/182GqxJuq38u6WzwL-9-sm7GdnpkO84Sf", 23.7108666666667)</f>
        <v>23.71086667</v>
      </c>
    </row>
    <row r="181">
      <c r="A181" s="65" t="s">
        <v>54</v>
      </c>
      <c r="B181" s="65" t="s">
        <v>59</v>
      </c>
      <c r="C181" s="65"/>
      <c r="D181" s="64">
        <f t="shared" si="1"/>
        <v>11.0605</v>
      </c>
      <c r="G181" s="65">
        <v>0.1505</v>
      </c>
      <c r="H181" s="65">
        <v>0.3284</v>
      </c>
      <c r="I181" s="65">
        <v>0.419083333333333</v>
      </c>
      <c r="J181" s="65">
        <v>0.0</v>
      </c>
      <c r="K181" s="65">
        <v>1.96435</v>
      </c>
      <c r="N181" s="65">
        <v>0.0</v>
      </c>
      <c r="R181" s="65">
        <v>0.517283333333333</v>
      </c>
      <c r="S181" s="65">
        <v>0.115016666666667</v>
      </c>
      <c r="T181" s="65">
        <v>0.28425</v>
      </c>
      <c r="U181" s="65">
        <v>0.135633333333333</v>
      </c>
      <c r="X181" s="65">
        <v>0.0</v>
      </c>
      <c r="Y181" s="65">
        <v>0.110066666666667</v>
      </c>
      <c r="Z181" s="65">
        <v>1.50723333333333</v>
      </c>
      <c r="AA181" s="65">
        <v>0.530433333333333</v>
      </c>
      <c r="AB181" s="65">
        <v>0.0</v>
      </c>
      <c r="AE181" s="65">
        <v>0.5192</v>
      </c>
      <c r="AF181" s="65">
        <v>0.14475</v>
      </c>
      <c r="AG181" s="65">
        <v>1.98706666666667</v>
      </c>
      <c r="AH181" s="65">
        <v>1.25358333333333</v>
      </c>
      <c r="AI181" s="65">
        <v>0.0</v>
      </c>
      <c r="AL181" s="65">
        <v>0.43415</v>
      </c>
      <c r="AM181" s="65">
        <v>0.532916666666667</v>
      </c>
      <c r="AN181" s="65">
        <v>0.126583333333333</v>
      </c>
      <c r="AQ181" s="65">
        <v>0.0</v>
      </c>
      <c r="AR181" s="65">
        <v>0.0</v>
      </c>
      <c r="AU181" s="65">
        <v>0.0</v>
      </c>
    </row>
    <row r="182">
      <c r="A182" s="119" t="s">
        <v>54</v>
      </c>
      <c r="B182" s="119" t="s">
        <v>59</v>
      </c>
      <c r="C182" s="119"/>
      <c r="D182" s="120">
        <f t="shared" si="1"/>
        <v>0</v>
      </c>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c r="AA182" s="120"/>
      <c r="AB182" s="120"/>
      <c r="AC182" s="120"/>
      <c r="AD182" s="120"/>
      <c r="AE182" s="120"/>
      <c r="AF182" s="120"/>
      <c r="AG182" s="120"/>
      <c r="AH182" s="120"/>
      <c r="AI182" s="120"/>
      <c r="AJ182" s="120"/>
      <c r="AK182" s="120"/>
      <c r="AL182" s="120"/>
      <c r="AM182" s="120"/>
      <c r="AN182" s="120"/>
      <c r="AO182" s="120"/>
      <c r="AP182" s="120"/>
      <c r="AQ182" s="120"/>
      <c r="AR182" s="120"/>
      <c r="AS182" s="120"/>
      <c r="AT182" s="120"/>
      <c r="AU182" s="120"/>
      <c r="AV182" s="120"/>
      <c r="AW182" s="120"/>
      <c r="AX182" s="120"/>
      <c r="AY182" s="120"/>
      <c r="AZ182" s="120"/>
      <c r="BA182" s="120"/>
      <c r="BB182" s="120"/>
      <c r="BC182" s="120"/>
      <c r="BD182" s="120"/>
      <c r="BE182" s="120"/>
      <c r="BF182" s="120"/>
      <c r="BG182" s="120"/>
      <c r="BH182" s="120"/>
      <c r="BI182" s="120"/>
      <c r="BJ182" s="120"/>
      <c r="BK182" s="120"/>
      <c r="BL182" s="120"/>
      <c r="BM182" s="120"/>
      <c r="BN182" s="120"/>
      <c r="BO182" s="120"/>
      <c r="BP182" s="120"/>
      <c r="BQ182" s="120"/>
      <c r="BR182" s="120"/>
      <c r="BS182" s="120"/>
      <c r="BT182" s="120"/>
      <c r="BU182" s="120"/>
      <c r="BV182" s="120"/>
      <c r="BW182" s="120"/>
      <c r="BX182" s="120"/>
      <c r="BY182" s="120"/>
      <c r="BZ182" s="120"/>
      <c r="CA182" s="120"/>
      <c r="CB182" s="120"/>
      <c r="CC182" s="120"/>
      <c r="CD182" s="120"/>
      <c r="CE182" s="120"/>
      <c r="CF182" s="120"/>
      <c r="CG182" s="120"/>
      <c r="CH182" s="120"/>
      <c r="CI182" s="120"/>
      <c r="CJ182" s="120"/>
      <c r="CK182" s="120"/>
      <c r="CL182" s="120"/>
      <c r="CM182" s="120"/>
      <c r="CN182" s="120"/>
      <c r="CO182" s="120"/>
      <c r="CP182" s="120"/>
      <c r="CQ182" s="120"/>
      <c r="CR182" s="120"/>
      <c r="CS182" s="120"/>
      <c r="CT182" s="120"/>
      <c r="CU182" s="120"/>
      <c r="CV182" s="120"/>
      <c r="CW182" s="120"/>
      <c r="CX182" s="120"/>
      <c r="CY182" s="120"/>
      <c r="CZ182" s="120"/>
      <c r="DA182" s="120"/>
      <c r="DB182" s="120"/>
      <c r="DC182" s="120"/>
      <c r="DD182" s="120"/>
      <c r="DE182" s="120"/>
      <c r="DF182" s="120"/>
      <c r="DG182" s="120"/>
      <c r="DH182" s="120"/>
      <c r="DI182" s="120"/>
      <c r="DJ182" s="120"/>
      <c r="DK182" s="120"/>
      <c r="DL182" s="120"/>
      <c r="DM182" s="120"/>
      <c r="DN182" s="120"/>
      <c r="DO182" s="120"/>
      <c r="DP182" s="120"/>
      <c r="DQ182" s="120"/>
      <c r="DR182" s="120"/>
      <c r="DS182" s="120"/>
      <c r="DT182" s="120"/>
      <c r="DU182" s="120"/>
      <c r="DV182" s="120"/>
      <c r="DW182" s="120"/>
      <c r="DX182" s="120"/>
      <c r="DY182" s="120"/>
      <c r="DZ182" s="120"/>
      <c r="EA182" s="120"/>
      <c r="EB182" s="120"/>
      <c r="EC182" s="120"/>
      <c r="ED182" s="120"/>
      <c r="EE182" s="120"/>
      <c r="EF182" s="120"/>
      <c r="EG182" s="120"/>
      <c r="EH182" s="120"/>
      <c r="EI182" s="120"/>
      <c r="EJ182" s="120"/>
      <c r="EK182" s="120"/>
      <c r="EL182" s="120"/>
      <c r="EM182" s="120"/>
      <c r="EN182" s="120"/>
      <c r="EO182" s="120"/>
      <c r="EP182" s="120"/>
      <c r="EQ182" s="120"/>
      <c r="ER182" s="120"/>
      <c r="ES182" s="120"/>
      <c r="ET182" s="120"/>
      <c r="EU182" s="120"/>
      <c r="EV182" s="120"/>
      <c r="EW182" s="120"/>
      <c r="EX182" s="120"/>
      <c r="EY182" s="120"/>
      <c r="EZ182" s="120"/>
      <c r="FA182" s="120"/>
      <c r="FB182" s="120"/>
      <c r="FC182" s="120"/>
      <c r="FD182" s="120"/>
      <c r="FE182" s="120"/>
      <c r="FF182" s="120"/>
      <c r="FG182" s="120"/>
      <c r="FH182" s="120"/>
      <c r="FI182" s="120"/>
      <c r="FJ182" s="120"/>
      <c r="FK182" s="120"/>
      <c r="FL182" s="120"/>
      <c r="FM182" s="120"/>
      <c r="FN182" s="120"/>
      <c r="FO182" s="120"/>
      <c r="FP182" s="120"/>
      <c r="FQ182" s="120"/>
      <c r="FR182" s="120"/>
      <c r="FS182" s="120"/>
      <c r="FT182" s="120"/>
      <c r="FU182" s="120"/>
      <c r="FV182" s="120"/>
      <c r="FW182" s="120"/>
      <c r="FX182" s="120"/>
      <c r="FY182" s="120"/>
      <c r="FZ182" s="120"/>
      <c r="GA182" s="120"/>
      <c r="GB182" s="120"/>
      <c r="GC182" s="120"/>
      <c r="GD182" s="120"/>
      <c r="GE182" s="120"/>
      <c r="GF182" s="120"/>
      <c r="GG182" s="120"/>
      <c r="GH182" s="120"/>
      <c r="GI182" s="120"/>
      <c r="GJ182" s="120"/>
      <c r="GK182" s="120"/>
      <c r="GL182" s="120"/>
      <c r="GM182" s="120"/>
      <c r="GN182" s="120"/>
      <c r="GO182" s="120"/>
      <c r="GP182" s="120"/>
      <c r="GQ182" s="120"/>
      <c r="GR182" s="120"/>
      <c r="GS182" s="120"/>
      <c r="GT182" s="120"/>
      <c r="GU182" s="120"/>
      <c r="GV182" s="120"/>
      <c r="GW182" s="120"/>
      <c r="GX182" s="120"/>
      <c r="GY182" s="120"/>
      <c r="GZ182" s="120"/>
      <c r="HA182" s="120"/>
      <c r="HB182" s="120"/>
      <c r="HC182" s="120"/>
      <c r="HD182" s="120"/>
      <c r="HE182" s="120"/>
      <c r="HF182" s="120"/>
      <c r="HG182" s="120"/>
      <c r="HH182" s="120"/>
      <c r="HI182" s="120"/>
      <c r="HJ182" s="120"/>
      <c r="HK182" s="120"/>
      <c r="HL182" s="120"/>
      <c r="HM182" s="120"/>
      <c r="HN182" s="120"/>
      <c r="HO182" s="120"/>
      <c r="HP182" s="120"/>
      <c r="HQ182" s="120"/>
      <c r="HR182" s="120"/>
      <c r="HS182" s="120"/>
      <c r="HT182" s="120"/>
      <c r="HU182" s="120"/>
      <c r="HV182" s="120"/>
      <c r="HW182" s="120"/>
      <c r="HX182" s="120"/>
      <c r="HY182" s="120"/>
      <c r="HZ182" s="120"/>
      <c r="IA182" s="120"/>
      <c r="IB182" s="120"/>
      <c r="IC182" s="120"/>
      <c r="ID182" s="120"/>
      <c r="IE182" s="120"/>
      <c r="IF182" s="120"/>
      <c r="IG182" s="120"/>
      <c r="IH182" s="120"/>
      <c r="II182" s="120"/>
      <c r="IJ182" s="120"/>
      <c r="IK182" s="120"/>
      <c r="IL182" s="120"/>
      <c r="IM182" s="120"/>
      <c r="IN182" s="120"/>
      <c r="IO182" s="120"/>
      <c r="IP182" s="120"/>
      <c r="IQ182" s="120"/>
      <c r="IR182" s="120"/>
      <c r="IS182" s="120"/>
      <c r="IT182" s="120"/>
      <c r="IU182" s="120"/>
      <c r="IV182" s="120"/>
      <c r="IW182" s="120"/>
      <c r="IX182" s="120"/>
      <c r="IY182" s="120"/>
      <c r="IZ182" s="120"/>
      <c r="JA182" s="120"/>
      <c r="JB182" s="120"/>
      <c r="JC182" s="120"/>
      <c r="JD182" s="120"/>
      <c r="JE182" s="120"/>
      <c r="JF182" s="120"/>
      <c r="JG182" s="120"/>
      <c r="JH182" s="120"/>
      <c r="JI182" s="120"/>
      <c r="JJ182" s="120"/>
      <c r="JK182" s="120"/>
      <c r="JL182" s="120"/>
      <c r="JM182" s="120"/>
      <c r="JN182" s="120"/>
      <c r="JO182" s="120"/>
      <c r="JP182" s="120"/>
      <c r="JQ182" s="120"/>
      <c r="JR182" s="120"/>
      <c r="JS182" s="120"/>
      <c r="JT182" s="120"/>
      <c r="JU182" s="120"/>
      <c r="JV182" s="120"/>
      <c r="JW182" s="120"/>
      <c r="JX182" s="120"/>
      <c r="JY182" s="120"/>
      <c r="JZ182" s="120"/>
      <c r="KA182" s="120"/>
      <c r="KB182" s="120"/>
      <c r="KC182" s="120"/>
      <c r="KD182" s="120"/>
      <c r="KE182" s="120"/>
      <c r="KF182" s="120"/>
      <c r="KG182" s="120"/>
      <c r="KH182" s="120"/>
      <c r="KI182" s="120"/>
      <c r="KJ182" s="120"/>
      <c r="KK182" s="120"/>
      <c r="KL182" s="120"/>
      <c r="KM182" s="120"/>
      <c r="KN182" s="120"/>
      <c r="KO182" s="120"/>
      <c r="KP182" s="120"/>
      <c r="KQ182" s="120"/>
      <c r="KR182" s="120"/>
      <c r="KS182" s="120"/>
      <c r="KT182" s="120"/>
      <c r="KU182" s="120"/>
      <c r="KV182" s="120"/>
      <c r="KW182" s="120"/>
      <c r="KX182" s="120"/>
      <c r="KY182" s="120"/>
      <c r="KZ182" s="120"/>
      <c r="LA182" s="120"/>
      <c r="LB182" s="120"/>
      <c r="LC182" s="120"/>
      <c r="LD182" s="120"/>
      <c r="LE182" s="120"/>
      <c r="LF182" s="120"/>
      <c r="LG182" s="120"/>
      <c r="LH182" s="120"/>
      <c r="LI182" s="120"/>
      <c r="LJ182" s="120"/>
      <c r="LK182" s="120"/>
      <c r="LL182" s="120"/>
      <c r="LM182" s="120"/>
      <c r="LN182" s="120"/>
      <c r="LO182" s="120"/>
      <c r="LP182" s="120"/>
      <c r="LQ182" s="120"/>
      <c r="LR182" s="120"/>
      <c r="LS182" s="120"/>
      <c r="LT182" s="120"/>
      <c r="LU182" s="120"/>
      <c r="LV182" s="120"/>
      <c r="LW182" s="120"/>
      <c r="LX182" s="120"/>
      <c r="LY182" s="120"/>
      <c r="LZ182" s="120"/>
      <c r="MA182" s="120"/>
      <c r="MB182" s="120"/>
      <c r="MC182" s="120"/>
      <c r="MD182" s="120"/>
      <c r="ME182" s="120"/>
      <c r="MF182" s="120"/>
      <c r="MG182" s="120"/>
      <c r="MH182" s="120"/>
      <c r="MI182" s="120"/>
      <c r="MJ182" s="120"/>
      <c r="MK182" s="120"/>
      <c r="ML182" s="120"/>
      <c r="MM182" s="120"/>
      <c r="MN182" s="120"/>
      <c r="MO182" s="120"/>
      <c r="MP182" s="120"/>
      <c r="MQ182" s="120"/>
      <c r="MR182" s="120"/>
      <c r="MS182" s="120"/>
      <c r="MT182" s="120"/>
      <c r="MU182" s="120"/>
      <c r="MV182" s="120"/>
      <c r="MW182" s="120"/>
      <c r="MX182" s="120"/>
      <c r="MY182" s="120"/>
      <c r="MZ182" s="120"/>
      <c r="NA182" s="120"/>
      <c r="NB182" s="120"/>
      <c r="NC182" s="120"/>
      <c r="ND182" s="120"/>
      <c r="NE182" s="120"/>
      <c r="NF182" s="120"/>
      <c r="NG182" s="120"/>
      <c r="NH182" s="120"/>
      <c r="NI182" s="120"/>
      <c r="NJ182" s="120"/>
      <c r="NK182" s="120"/>
      <c r="NL182" s="120"/>
      <c r="NM182" s="120"/>
      <c r="NN182" s="120"/>
      <c r="NO182" s="120"/>
      <c r="NP182" s="120"/>
      <c r="NQ182" s="120"/>
      <c r="NR182" s="120"/>
      <c r="NS182" s="120"/>
      <c r="NT182" s="120"/>
      <c r="NU182" s="120"/>
      <c r="NV182" s="120"/>
      <c r="NW182" s="120"/>
      <c r="NX182" s="120"/>
      <c r="NY182" s="120"/>
      <c r="NZ182" s="120"/>
      <c r="OA182" s="120"/>
      <c r="OB182" s="120"/>
      <c r="OC182" s="120"/>
      <c r="OD182" s="120"/>
      <c r="OE182" s="120"/>
      <c r="OF182" s="120"/>
      <c r="OG182" s="120"/>
      <c r="OH182" s="120"/>
      <c r="OI182" s="120"/>
      <c r="OJ182" s="120"/>
      <c r="OK182" s="120"/>
      <c r="OL182" s="120"/>
      <c r="OM182" s="120"/>
      <c r="ON182" s="120"/>
      <c r="OO182" s="120"/>
      <c r="OP182" s="120"/>
      <c r="OQ182" s="120"/>
      <c r="OR182" s="120"/>
      <c r="OS182" s="120"/>
      <c r="OT182" s="120"/>
      <c r="OU182" s="120"/>
      <c r="OV182" s="120"/>
      <c r="OW182" s="120"/>
      <c r="OX182" s="120"/>
      <c r="OY182" s="120"/>
      <c r="OZ182" s="120"/>
      <c r="PA182" s="120"/>
      <c r="PB182" s="120"/>
      <c r="PC182" s="120"/>
      <c r="PD182" s="120"/>
      <c r="PE182" s="120"/>
      <c r="PF182" s="120"/>
      <c r="PG182" s="120"/>
      <c r="PH182" s="120"/>
      <c r="PI182" s="120"/>
      <c r="PJ182" s="120"/>
      <c r="PK182" s="120"/>
      <c r="PL182" s="120"/>
      <c r="PM182" s="120"/>
      <c r="PN182" s="120"/>
      <c r="PO182" s="120"/>
      <c r="PP182" s="120"/>
      <c r="PQ182" s="120"/>
      <c r="PR182" s="120"/>
      <c r="PS182" s="120"/>
      <c r="PT182" s="120"/>
      <c r="PU182" s="120"/>
      <c r="PV182" s="120"/>
      <c r="PW182" s="120"/>
      <c r="PX182" s="120"/>
      <c r="PY182" s="120"/>
      <c r="PZ182" s="120"/>
      <c r="QA182" s="120"/>
      <c r="QB182" s="120"/>
      <c r="QC182" s="120"/>
      <c r="QD182" s="120"/>
      <c r="QE182" s="120"/>
      <c r="QF182" s="120"/>
      <c r="QG182" s="120"/>
      <c r="QH182" s="120"/>
      <c r="QI182" s="120"/>
      <c r="QJ182" s="120"/>
      <c r="QK182" s="120"/>
      <c r="QL182" s="120"/>
      <c r="QM182" s="120"/>
      <c r="QN182" s="120"/>
      <c r="QO182" s="120"/>
      <c r="QP182" s="120"/>
      <c r="QQ182" s="120"/>
      <c r="QR182" s="120"/>
      <c r="QS182" s="120"/>
      <c r="QT182" s="120"/>
      <c r="QU182" s="120"/>
      <c r="QV182" s="120"/>
      <c r="QW182" s="120"/>
      <c r="QX182" s="120"/>
      <c r="QY182" s="120"/>
      <c r="QZ182" s="120"/>
      <c r="RA182" s="120"/>
      <c r="RB182" s="120"/>
      <c r="RC182" s="120"/>
      <c r="RD182" s="120"/>
      <c r="RE182" s="120"/>
      <c r="RF182" s="120"/>
      <c r="RG182" s="120"/>
      <c r="RH182" s="120"/>
      <c r="RI182" s="120"/>
      <c r="RJ182" s="120"/>
      <c r="RK182" s="120"/>
      <c r="RL182" s="120"/>
      <c r="RM182" s="120"/>
      <c r="RN182" s="120"/>
      <c r="RO182" s="120"/>
      <c r="RP182" s="120"/>
      <c r="RQ182" s="120"/>
      <c r="RR182" s="120"/>
      <c r="RS182" s="120"/>
      <c r="RT182" s="120"/>
      <c r="RU182" s="120"/>
      <c r="RV182" s="120"/>
      <c r="RW182" s="120"/>
      <c r="RX182" s="120"/>
      <c r="RY182" s="120"/>
      <c r="RZ182" s="120"/>
      <c r="SA182" s="120"/>
      <c r="SB182" s="120"/>
      <c r="SC182" s="120"/>
      <c r="SD182" s="120"/>
      <c r="SE182" s="120"/>
      <c r="SF182" s="120"/>
      <c r="SG182" s="120"/>
      <c r="SH182" s="120"/>
      <c r="SI182" s="120"/>
      <c r="SJ182" s="120"/>
      <c r="SK182" s="120"/>
      <c r="SL182" s="120"/>
      <c r="SM182" s="120"/>
      <c r="SN182" s="120"/>
      <c r="SO182" s="120"/>
      <c r="SP182" s="120"/>
      <c r="SQ182" s="120"/>
      <c r="SR182" s="120"/>
      <c r="SS182" s="120"/>
      <c r="ST182" s="120"/>
      <c r="SU182" s="120"/>
      <c r="SV182" s="120"/>
      <c r="SW182" s="120"/>
      <c r="SX182" s="120"/>
      <c r="SY182" s="120"/>
      <c r="SZ182" s="120"/>
      <c r="TA182" s="120"/>
      <c r="TB182" s="120"/>
      <c r="TC182" s="120"/>
      <c r="TD182" s="120"/>
      <c r="TE182" s="120"/>
      <c r="TF182" s="120"/>
      <c r="TG182" s="120"/>
      <c r="TH182" s="120"/>
      <c r="TI182" s="120"/>
      <c r="TJ182" s="120"/>
      <c r="TK182" s="120"/>
      <c r="TL182" s="120"/>
      <c r="TM182" s="120"/>
      <c r="TN182" s="120"/>
      <c r="TO182" s="120"/>
      <c r="TP182" s="120"/>
      <c r="TQ182" s="120"/>
      <c r="TR182" s="120"/>
      <c r="TS182" s="120"/>
      <c r="TT182" s="120"/>
      <c r="TU182" s="120"/>
      <c r="TV182" s="120"/>
      <c r="TW182" s="120"/>
      <c r="TX182" s="120"/>
      <c r="TY182" s="120"/>
      <c r="TZ182" s="120"/>
      <c r="UA182" s="120"/>
      <c r="UB182" s="120"/>
      <c r="UC182" s="120"/>
      <c r="UD182" s="120"/>
      <c r="UE182" s="120"/>
      <c r="UF182" s="120"/>
      <c r="UG182" s="120"/>
      <c r="UH182" s="120"/>
      <c r="UI182" s="120"/>
      <c r="UJ182" s="120"/>
      <c r="UK182" s="120"/>
      <c r="UL182" s="120"/>
      <c r="UM182" s="120"/>
      <c r="UN182" s="120"/>
      <c r="UO182" s="120"/>
      <c r="UP182" s="120"/>
      <c r="UQ182" s="120"/>
      <c r="UR182" s="120"/>
      <c r="US182" s="120"/>
      <c r="UT182" s="120"/>
      <c r="UU182" s="120"/>
      <c r="UV182" s="120"/>
      <c r="UW182" s="120"/>
      <c r="UX182" s="120"/>
      <c r="UY182" s="120"/>
      <c r="UZ182" s="120"/>
      <c r="VA182" s="120"/>
      <c r="VB182" s="120"/>
      <c r="VC182" s="120"/>
      <c r="VD182" s="120"/>
      <c r="VE182" s="120"/>
      <c r="VF182" s="120"/>
      <c r="VG182" s="120"/>
      <c r="VH182" s="120"/>
      <c r="VI182" s="120"/>
      <c r="VJ182" s="120"/>
      <c r="VK182" s="120"/>
      <c r="VL182" s="120"/>
      <c r="VM182" s="120"/>
      <c r="VN182" s="120"/>
      <c r="VO182" s="120"/>
      <c r="VP182" s="120"/>
      <c r="VQ182" s="120"/>
      <c r="VR182" s="120"/>
      <c r="VS182" s="120"/>
      <c r="VT182" s="120"/>
      <c r="VU182" s="120"/>
      <c r="VV182" s="120"/>
      <c r="VW182" s="120"/>
      <c r="VX182" s="120"/>
      <c r="VY182" s="120"/>
      <c r="VZ182" s="120"/>
      <c r="WA182" s="120"/>
      <c r="WB182" s="120"/>
      <c r="WC182" s="120"/>
      <c r="WD182" s="120"/>
      <c r="WE182" s="120"/>
      <c r="WF182" s="120"/>
      <c r="WG182" s="120"/>
      <c r="WH182" s="120"/>
      <c r="WI182" s="120"/>
      <c r="WJ182" s="120"/>
      <c r="WK182" s="120"/>
      <c r="WL182" s="120"/>
      <c r="WM182" s="120"/>
      <c r="WN182" s="120"/>
      <c r="WO182" s="120"/>
      <c r="WP182" s="120"/>
      <c r="WQ182" s="120"/>
      <c r="WR182" s="120"/>
      <c r="WS182" s="120"/>
      <c r="WT182" s="120"/>
      <c r="WU182" s="120"/>
      <c r="WV182" s="120"/>
      <c r="WW182" s="120"/>
      <c r="WX182" s="120"/>
      <c r="WY182" s="120"/>
      <c r="WZ182" s="120"/>
      <c r="XA182" s="120"/>
      <c r="XB182" s="120"/>
      <c r="XC182" s="120"/>
      <c r="XD182" s="120"/>
      <c r="XE182" s="120"/>
      <c r="XF182" s="120"/>
      <c r="XG182" s="120"/>
      <c r="XH182" s="120"/>
      <c r="XI182" s="120"/>
      <c r="XJ182" s="120"/>
      <c r="XK182" s="120"/>
      <c r="XL182" s="120"/>
      <c r="XM182" s="120"/>
      <c r="XN182" s="120"/>
      <c r="XO182" s="120"/>
      <c r="XP182" s="120"/>
      <c r="XQ182" s="120"/>
      <c r="XR182" s="120"/>
      <c r="XS182" s="120"/>
      <c r="XT182" s="120"/>
      <c r="XU182" s="120"/>
      <c r="XV182" s="120"/>
      <c r="XW182" s="120"/>
      <c r="XX182" s="120"/>
      <c r="XY182" s="120"/>
      <c r="XZ182" s="120"/>
      <c r="YA182" s="120"/>
      <c r="YB182" s="120"/>
      <c r="YC182" s="120"/>
      <c r="YD182" s="120"/>
      <c r="YE182" s="120"/>
      <c r="YF182" s="120"/>
      <c r="YG182" s="120"/>
      <c r="YH182" s="120"/>
      <c r="YI182" s="120"/>
      <c r="YJ182" s="120"/>
      <c r="YK182" s="120"/>
      <c r="YL182" s="120"/>
      <c r="YM182" s="120"/>
      <c r="YN182" s="120"/>
      <c r="YO182" s="120"/>
      <c r="YP182" s="120"/>
      <c r="YQ182" s="120"/>
      <c r="YR182" s="120"/>
      <c r="YS182" s="120"/>
      <c r="YT182" s="120"/>
      <c r="YU182" s="120"/>
      <c r="YV182" s="120"/>
      <c r="YW182" s="120"/>
      <c r="YX182" s="120"/>
      <c r="YY182" s="120"/>
      <c r="YZ182" s="120"/>
      <c r="ZA182" s="120"/>
      <c r="ZB182" s="120"/>
      <c r="ZC182" s="120"/>
      <c r="ZD182" s="120"/>
      <c r="ZE182" s="120"/>
      <c r="ZF182" s="120"/>
      <c r="ZG182" s="120"/>
      <c r="ZH182" s="120"/>
      <c r="ZI182" s="120"/>
      <c r="ZJ182" s="120"/>
      <c r="ZK182" s="120"/>
      <c r="ZL182" s="120"/>
      <c r="ZM182" s="120"/>
      <c r="ZN182" s="120"/>
      <c r="ZO182" s="120"/>
      <c r="ZP182" s="120"/>
      <c r="ZQ182" s="120"/>
      <c r="ZR182" s="120"/>
      <c r="ZS182" s="120"/>
      <c r="ZT182" s="120"/>
      <c r="ZU182" s="120"/>
      <c r="ZV182" s="120"/>
      <c r="ZW182" s="120"/>
      <c r="ZX182" s="120"/>
      <c r="ZY182" s="120"/>
      <c r="ZZ182" s="120"/>
      <c r="AAA182" s="120"/>
      <c r="AAB182" s="120"/>
      <c r="AAC182" s="120"/>
      <c r="AAD182" s="120"/>
      <c r="AAE182" s="120"/>
      <c r="AAF182" s="120"/>
      <c r="AAG182" s="120"/>
      <c r="AAH182" s="120"/>
      <c r="AAI182" s="120"/>
      <c r="AAJ182" s="120"/>
      <c r="AAK182" s="120"/>
      <c r="AAL182" s="120"/>
      <c r="AAM182" s="120"/>
      <c r="AAN182" s="120"/>
      <c r="AAO182" s="120"/>
      <c r="AAP182" s="120"/>
      <c r="AAQ182" s="120"/>
      <c r="AAR182" s="120"/>
      <c r="AAS182" s="120"/>
      <c r="AAT182" s="120"/>
      <c r="AAU182" s="120"/>
      <c r="AAV182" s="120"/>
      <c r="AAW182" s="120"/>
      <c r="AAX182" s="120"/>
      <c r="AAY182" s="120"/>
      <c r="AAZ182" s="120"/>
      <c r="ABA182" s="120"/>
      <c r="ABB182" s="120"/>
      <c r="ABC182" s="120"/>
      <c r="ABD182" s="120"/>
      <c r="ABE182" s="120"/>
      <c r="ABF182" s="120"/>
      <c r="ABG182" s="120"/>
      <c r="ABH182" s="120"/>
      <c r="ABI182" s="120"/>
      <c r="ABJ182" s="120"/>
      <c r="ABK182" s="120"/>
      <c r="ABL182" s="120"/>
      <c r="ABM182" s="120"/>
      <c r="ABN182" s="120"/>
      <c r="ABO182" s="120"/>
      <c r="ABP182" s="120"/>
      <c r="ABQ182" s="120"/>
      <c r="ABR182" s="120"/>
      <c r="ABS182" s="120"/>
      <c r="ABT182" s="120"/>
      <c r="ABU182" s="120"/>
      <c r="ABV182" s="120"/>
      <c r="ABW182" s="120"/>
      <c r="ABX182" s="120"/>
      <c r="ABY182" s="120"/>
      <c r="ABZ182" s="120"/>
      <c r="ACA182" s="120"/>
      <c r="ACB182" s="120"/>
      <c r="ACC182" s="120"/>
      <c r="ACD182" s="120"/>
      <c r="ACE182" s="120"/>
      <c r="ACF182" s="120"/>
      <c r="ACG182" s="120"/>
      <c r="ACH182" s="120"/>
      <c r="ACI182" s="120"/>
      <c r="ACJ182" s="120"/>
      <c r="ACK182" s="120"/>
      <c r="ACL182" s="120"/>
      <c r="ACM182" s="120"/>
      <c r="ACN182" s="120"/>
      <c r="ACO182" s="120"/>
      <c r="ACP182" s="120"/>
      <c r="ACQ182" s="120"/>
      <c r="ACR182" s="120"/>
      <c r="ACS182" s="120"/>
      <c r="ACT182" s="120"/>
      <c r="ACU182" s="120"/>
      <c r="ACV182" s="120"/>
      <c r="ACW182" s="120"/>
      <c r="ACX182" s="120"/>
      <c r="ACY182" s="120"/>
      <c r="ACZ182" s="120"/>
      <c r="ADA182" s="120"/>
      <c r="ADB182" s="120"/>
      <c r="ADC182" s="120"/>
      <c r="ADD182" s="120"/>
      <c r="ADE182" s="120"/>
      <c r="ADF182" s="120"/>
      <c r="ADG182" s="120"/>
      <c r="ADH182" s="120"/>
      <c r="ADI182" s="120"/>
      <c r="ADJ182" s="120"/>
      <c r="ADK182" s="120"/>
      <c r="ADL182" s="120"/>
      <c r="ADM182" s="120"/>
      <c r="ADN182" s="120"/>
      <c r="ADO182" s="120"/>
      <c r="ADP182" s="120"/>
      <c r="ADQ182" s="120"/>
      <c r="ADR182" s="120"/>
      <c r="ADS182" s="120"/>
      <c r="ADT182" s="120"/>
      <c r="ADU182" s="120"/>
      <c r="ADV182" s="120"/>
      <c r="ADW182" s="120"/>
      <c r="ADX182" s="120"/>
      <c r="ADY182" s="120"/>
      <c r="ADZ182" s="120"/>
      <c r="AEA182" s="120"/>
      <c r="AEB182" s="120"/>
      <c r="AEC182" s="120"/>
      <c r="AED182" s="120"/>
      <c r="AEE182" s="120"/>
      <c r="AEF182" s="120"/>
      <c r="AEG182" s="120"/>
      <c r="AEH182" s="120"/>
      <c r="AEI182" s="120"/>
      <c r="AEJ182" s="120"/>
      <c r="AEK182" s="120"/>
      <c r="AEL182" s="120"/>
      <c r="AEM182" s="120"/>
      <c r="AEN182" s="120"/>
      <c r="AEO182" s="120"/>
      <c r="AEP182" s="120"/>
      <c r="AEQ182" s="120"/>
      <c r="AER182" s="120"/>
      <c r="AES182" s="120"/>
      <c r="AET182" s="120"/>
      <c r="AEU182" s="120"/>
      <c r="AEV182" s="120"/>
      <c r="AEW182" s="120"/>
      <c r="AEX182" s="120"/>
      <c r="AEY182" s="120"/>
      <c r="AEZ182" s="120"/>
      <c r="AFA182" s="120"/>
      <c r="AFB182" s="120"/>
      <c r="AFC182" s="120"/>
      <c r="AFD182" s="120"/>
      <c r="AFE182" s="120"/>
      <c r="AFF182" s="120"/>
      <c r="AFG182" s="120"/>
      <c r="AFH182" s="120"/>
      <c r="AFI182" s="120"/>
      <c r="AFJ182" s="120"/>
      <c r="AFK182" s="120"/>
      <c r="AFL182" s="120"/>
      <c r="AFM182" s="120"/>
      <c r="AFN182" s="120"/>
      <c r="AFO182" s="120"/>
      <c r="AFP182" s="120"/>
      <c r="AFQ182" s="120"/>
      <c r="AFR182" s="120"/>
      <c r="AFS182" s="120"/>
      <c r="AFT182" s="120"/>
      <c r="AFU182" s="120"/>
      <c r="AFV182" s="120"/>
      <c r="AFW182" s="120"/>
      <c r="AFX182" s="120"/>
      <c r="AFY182" s="120"/>
      <c r="AFZ182" s="120"/>
      <c r="AGA182" s="120"/>
      <c r="AGB182" s="120"/>
      <c r="AGC182" s="120"/>
      <c r="AGD182" s="120"/>
      <c r="AGE182" s="120"/>
      <c r="AGF182" s="120"/>
      <c r="AGG182" s="120"/>
      <c r="AGH182" s="120"/>
      <c r="AGI182" s="120"/>
      <c r="AGJ182" s="120"/>
      <c r="AGK182" s="120"/>
      <c r="AGL182" s="120"/>
      <c r="AGM182" s="120"/>
      <c r="AGN182" s="120"/>
      <c r="AGO182" s="120"/>
      <c r="AGP182" s="120"/>
      <c r="AGQ182" s="120"/>
      <c r="AGR182" s="120"/>
      <c r="AGS182" s="120"/>
      <c r="AGT182" s="120"/>
      <c r="AGU182" s="120"/>
      <c r="AGV182" s="120"/>
      <c r="AGW182" s="120"/>
      <c r="AGX182" s="120"/>
      <c r="AGY182" s="120"/>
      <c r="AGZ182" s="120"/>
      <c r="AHA182" s="120"/>
      <c r="AHB182" s="120"/>
      <c r="AHC182" s="120"/>
      <c r="AHD182" s="120"/>
      <c r="AHE182" s="120"/>
      <c r="AHF182" s="120"/>
      <c r="AHG182" s="120"/>
      <c r="AHH182" s="120"/>
      <c r="AHI182" s="120"/>
      <c r="AHJ182" s="120"/>
      <c r="AHK182" s="120"/>
      <c r="AHL182" s="120"/>
      <c r="AHM182" s="120"/>
      <c r="AHN182" s="120"/>
      <c r="AHO182" s="120"/>
      <c r="AHP182" s="120"/>
      <c r="AHQ182" s="120"/>
      <c r="AHR182" s="120"/>
      <c r="AHS182" s="120"/>
      <c r="AHT182" s="120"/>
      <c r="AHU182" s="120"/>
      <c r="AHV182" s="120"/>
      <c r="AHW182" s="120"/>
      <c r="AHX182" s="120"/>
      <c r="AHY182" s="120"/>
      <c r="AHZ182" s="120"/>
      <c r="AIA182" s="120"/>
      <c r="AIB182" s="120"/>
      <c r="AIC182" s="120"/>
      <c r="AID182" s="120"/>
      <c r="AIE182" s="120"/>
      <c r="AIF182" s="120"/>
      <c r="AIG182" s="120"/>
      <c r="AIH182" s="120"/>
      <c r="AII182" s="120"/>
      <c r="AIJ182" s="120"/>
      <c r="AIK182" s="120"/>
      <c r="AIL182" s="120"/>
      <c r="AIM182" s="120"/>
      <c r="AIN182" s="120"/>
      <c r="AIO182" s="120"/>
      <c r="AIP182" s="120"/>
      <c r="AIQ182" s="120"/>
      <c r="AIR182" s="120"/>
      <c r="AIS182" s="120"/>
      <c r="AIT182" s="120"/>
      <c r="AIU182" s="120"/>
      <c r="AIV182" s="120"/>
      <c r="AIW182" s="120"/>
      <c r="AIX182" s="120"/>
      <c r="AIY182" s="120"/>
      <c r="AIZ182" s="120"/>
    </row>
    <row r="183">
      <c r="A183" s="112" t="s">
        <v>54</v>
      </c>
      <c r="B183" s="112" t="s">
        <v>60</v>
      </c>
      <c r="C183" s="112"/>
      <c r="D183" s="113">
        <f t="shared" si="1"/>
        <v>518.1199167</v>
      </c>
      <c r="E183" s="112">
        <v>25.1092166666667</v>
      </c>
      <c r="F183" s="113"/>
      <c r="G183" s="113"/>
      <c r="H183" s="113"/>
      <c r="I183" s="113"/>
      <c r="J183" s="113"/>
      <c r="K183" s="113"/>
      <c r="L183" s="112">
        <v>0.0518833333333333</v>
      </c>
      <c r="M183" s="112">
        <v>3.5667</v>
      </c>
      <c r="N183" s="113"/>
      <c r="O183" s="113"/>
      <c r="P183" s="112">
        <v>39.8013833333334</v>
      </c>
      <c r="Q183" s="113"/>
      <c r="R183" s="113"/>
      <c r="S183" s="113"/>
      <c r="T183" s="113"/>
      <c r="U183" s="113"/>
      <c r="V183" s="112">
        <v>0.484283333333333</v>
      </c>
      <c r="W183" s="112">
        <v>172.318483333333</v>
      </c>
      <c r="X183" s="113"/>
      <c r="Y183" s="113"/>
      <c r="Z183" s="113"/>
      <c r="AA183" s="113"/>
      <c r="AB183" s="113"/>
      <c r="AC183" s="112">
        <v>2.54381666666667</v>
      </c>
      <c r="AD183" s="112">
        <v>163.7226</v>
      </c>
      <c r="AE183" s="113"/>
      <c r="AF183" s="113"/>
      <c r="AG183" s="113"/>
      <c r="AH183" s="113"/>
      <c r="AI183" s="113"/>
      <c r="AJ183" s="112">
        <v>3.06425</v>
      </c>
      <c r="AK183" s="112">
        <v>29.0475</v>
      </c>
      <c r="AL183" s="113"/>
      <c r="AM183" s="113"/>
      <c r="AN183" s="113"/>
      <c r="AO183" s="112">
        <v>8.24216666666666</v>
      </c>
      <c r="AP183" s="112">
        <v>12.4921333333333</v>
      </c>
      <c r="AQ183" s="113"/>
      <c r="AR183" s="113"/>
      <c r="AS183" s="112">
        <v>2.07173333333333</v>
      </c>
      <c r="AT183" s="112">
        <v>52.8412833333333</v>
      </c>
      <c r="AU183" s="113"/>
      <c r="AV183" s="112">
        <v>1.94801666666667</v>
      </c>
      <c r="AW183" s="112">
        <v>0.814466666666667</v>
      </c>
      <c r="AX183" s="113"/>
      <c r="AY183" s="113"/>
      <c r="AZ183" s="113"/>
      <c r="BA183" s="113"/>
      <c r="BB183" s="113"/>
      <c r="BC183" s="113"/>
      <c r="BD183" s="113"/>
      <c r="BE183" s="113"/>
      <c r="BF183" s="113"/>
      <c r="BG183" s="113"/>
      <c r="BH183" s="113"/>
      <c r="BI183" s="113"/>
      <c r="BJ183" s="113"/>
      <c r="BK183" s="113"/>
      <c r="BL183" s="113"/>
      <c r="BM183" s="113"/>
      <c r="BN183" s="113"/>
      <c r="BO183" s="113"/>
      <c r="BP183" s="113"/>
      <c r="BQ183" s="113"/>
      <c r="BR183" s="113"/>
      <c r="BS183" s="113"/>
      <c r="BT183" s="113"/>
      <c r="BU183" s="113"/>
      <c r="BV183" s="113"/>
      <c r="BW183" s="113"/>
      <c r="BX183" s="113"/>
      <c r="BY183" s="113"/>
      <c r="BZ183" s="113"/>
      <c r="CA183" s="113"/>
      <c r="CB183" s="113"/>
      <c r="CC183" s="113"/>
      <c r="CD183" s="113"/>
      <c r="CE183" s="113"/>
      <c r="CF183" s="113"/>
      <c r="CG183" s="113"/>
      <c r="CH183" s="113"/>
      <c r="CI183" s="113"/>
      <c r="CJ183" s="113"/>
      <c r="CK183" s="113"/>
      <c r="CL183" s="113"/>
      <c r="CM183" s="113"/>
      <c r="CN183" s="113"/>
      <c r="CO183" s="113"/>
      <c r="CP183" s="113"/>
      <c r="CQ183" s="113"/>
      <c r="CR183" s="113"/>
      <c r="CS183" s="113"/>
      <c r="CT183" s="113"/>
      <c r="CU183" s="113"/>
      <c r="CV183" s="113"/>
      <c r="CW183" s="113"/>
      <c r="CX183" s="113"/>
      <c r="CY183" s="113"/>
      <c r="CZ183" s="113"/>
      <c r="DA183" s="113"/>
      <c r="DB183" s="113"/>
      <c r="DC183" s="113"/>
      <c r="DD183" s="113"/>
      <c r="DE183" s="113"/>
      <c r="DF183" s="113"/>
      <c r="DG183" s="113"/>
      <c r="DH183" s="113"/>
      <c r="DI183" s="113"/>
      <c r="DJ183" s="113"/>
      <c r="DK183" s="113"/>
      <c r="DL183" s="113"/>
      <c r="DM183" s="113"/>
      <c r="DN183" s="113"/>
      <c r="DO183" s="113"/>
      <c r="DP183" s="113"/>
      <c r="DQ183" s="113"/>
      <c r="DR183" s="113"/>
      <c r="DS183" s="113"/>
      <c r="DT183" s="113"/>
      <c r="DU183" s="113"/>
      <c r="DV183" s="113"/>
      <c r="DW183" s="113"/>
      <c r="DX183" s="113"/>
      <c r="DY183" s="113"/>
      <c r="DZ183" s="113"/>
      <c r="EA183" s="113"/>
      <c r="EB183" s="113"/>
      <c r="EC183" s="113"/>
      <c r="ED183" s="113"/>
      <c r="EE183" s="113"/>
      <c r="EF183" s="113"/>
      <c r="EG183" s="113"/>
      <c r="EH183" s="113"/>
      <c r="EI183" s="113"/>
      <c r="EJ183" s="113"/>
      <c r="EK183" s="113"/>
      <c r="EL183" s="113"/>
      <c r="EM183" s="113"/>
      <c r="EN183" s="113"/>
      <c r="EO183" s="113"/>
      <c r="EP183" s="113"/>
      <c r="EQ183" s="113"/>
      <c r="ER183" s="113"/>
      <c r="ES183" s="113"/>
      <c r="ET183" s="113"/>
      <c r="EU183" s="113"/>
      <c r="EV183" s="113"/>
      <c r="EW183" s="113"/>
      <c r="EX183" s="113"/>
      <c r="EY183" s="113"/>
      <c r="EZ183" s="113"/>
      <c r="FA183" s="113"/>
      <c r="FB183" s="113"/>
      <c r="FC183" s="113"/>
      <c r="FD183" s="113"/>
      <c r="FE183" s="113"/>
      <c r="FF183" s="113"/>
      <c r="FG183" s="113"/>
      <c r="FH183" s="113"/>
      <c r="FI183" s="113"/>
      <c r="FJ183" s="113"/>
      <c r="FK183" s="113"/>
      <c r="FL183" s="113"/>
      <c r="FM183" s="113"/>
      <c r="FN183" s="113"/>
      <c r="FO183" s="113"/>
      <c r="FP183" s="113"/>
      <c r="FQ183" s="113"/>
      <c r="FR183" s="113"/>
      <c r="FS183" s="113"/>
      <c r="FT183" s="113"/>
      <c r="FU183" s="113"/>
      <c r="FV183" s="113"/>
      <c r="FW183" s="113"/>
      <c r="FX183" s="113"/>
      <c r="FY183" s="113"/>
      <c r="FZ183" s="113"/>
      <c r="GA183" s="113"/>
      <c r="GB183" s="113"/>
      <c r="GC183" s="113"/>
      <c r="GD183" s="113"/>
      <c r="GE183" s="113"/>
      <c r="GF183" s="113"/>
      <c r="GG183" s="113"/>
      <c r="GH183" s="113"/>
      <c r="GI183" s="113"/>
      <c r="GJ183" s="113"/>
      <c r="GK183" s="113"/>
      <c r="GL183" s="113"/>
      <c r="GM183" s="113"/>
      <c r="GN183" s="113"/>
      <c r="GO183" s="113"/>
      <c r="GP183" s="113"/>
      <c r="GQ183" s="113"/>
      <c r="GR183" s="113"/>
      <c r="GS183" s="113"/>
      <c r="GT183" s="113"/>
      <c r="GU183" s="113"/>
      <c r="GV183" s="113"/>
      <c r="GW183" s="113"/>
      <c r="GX183" s="113"/>
      <c r="GY183" s="113"/>
      <c r="GZ183" s="113"/>
      <c r="HA183" s="113"/>
      <c r="HB183" s="113"/>
      <c r="HC183" s="113"/>
      <c r="HD183" s="113"/>
      <c r="HE183" s="113"/>
      <c r="HF183" s="113"/>
      <c r="HG183" s="113"/>
      <c r="HH183" s="113"/>
      <c r="HI183" s="113"/>
      <c r="HJ183" s="113"/>
      <c r="HK183" s="113"/>
      <c r="HL183" s="113"/>
      <c r="HM183" s="113"/>
      <c r="HN183" s="113"/>
      <c r="HO183" s="113"/>
      <c r="HP183" s="113"/>
      <c r="HQ183" s="113"/>
      <c r="HR183" s="113"/>
      <c r="HS183" s="113"/>
      <c r="HT183" s="113"/>
      <c r="HU183" s="113"/>
      <c r="HV183" s="113"/>
      <c r="HW183" s="113"/>
      <c r="HX183" s="113"/>
      <c r="HY183" s="113"/>
      <c r="HZ183" s="113"/>
      <c r="IA183" s="113"/>
      <c r="IB183" s="113"/>
      <c r="IC183" s="113"/>
      <c r="ID183" s="113"/>
      <c r="IE183" s="113"/>
      <c r="IF183" s="113"/>
      <c r="IG183" s="113"/>
      <c r="IH183" s="113"/>
      <c r="II183" s="113"/>
      <c r="IJ183" s="113"/>
      <c r="IK183" s="113"/>
      <c r="IL183" s="113"/>
      <c r="IM183" s="113"/>
      <c r="IN183" s="113"/>
      <c r="IO183" s="113"/>
      <c r="IP183" s="113"/>
      <c r="IQ183" s="113"/>
      <c r="IR183" s="113"/>
      <c r="IS183" s="113"/>
      <c r="IT183" s="113"/>
      <c r="IU183" s="113"/>
      <c r="IV183" s="113"/>
      <c r="IW183" s="113"/>
      <c r="IX183" s="113"/>
      <c r="IY183" s="113"/>
      <c r="IZ183" s="113"/>
      <c r="JA183" s="113"/>
      <c r="JB183" s="113"/>
      <c r="JC183" s="113"/>
      <c r="JD183" s="113"/>
      <c r="JE183" s="113"/>
      <c r="JF183" s="113"/>
      <c r="JG183" s="113"/>
      <c r="JH183" s="113"/>
      <c r="JI183" s="113"/>
      <c r="JJ183" s="113"/>
      <c r="JK183" s="113"/>
      <c r="JL183" s="113"/>
      <c r="JM183" s="113"/>
      <c r="JN183" s="113"/>
      <c r="JO183" s="113"/>
      <c r="JP183" s="113"/>
      <c r="JQ183" s="113"/>
      <c r="JR183" s="113"/>
      <c r="JS183" s="113"/>
      <c r="JT183" s="113"/>
      <c r="JU183" s="113"/>
      <c r="JV183" s="113"/>
      <c r="JW183" s="113"/>
      <c r="JX183" s="113"/>
      <c r="JY183" s="113"/>
      <c r="JZ183" s="113"/>
      <c r="KA183" s="113"/>
      <c r="KB183" s="113"/>
      <c r="KC183" s="113"/>
      <c r="KD183" s="113"/>
      <c r="KE183" s="113"/>
      <c r="KF183" s="113"/>
      <c r="KG183" s="113"/>
      <c r="KH183" s="113"/>
      <c r="KI183" s="113"/>
      <c r="KJ183" s="113"/>
      <c r="KK183" s="113"/>
      <c r="KL183" s="113"/>
      <c r="KM183" s="113"/>
      <c r="KN183" s="113"/>
      <c r="KO183" s="113"/>
      <c r="KP183" s="113"/>
      <c r="KQ183" s="113"/>
      <c r="KR183" s="113"/>
      <c r="KS183" s="113"/>
      <c r="KT183" s="113"/>
      <c r="KU183" s="113"/>
      <c r="KV183" s="113"/>
      <c r="KW183" s="113"/>
      <c r="KX183" s="113"/>
      <c r="KY183" s="113"/>
      <c r="KZ183" s="113"/>
      <c r="LA183" s="113"/>
      <c r="LB183" s="113"/>
      <c r="LC183" s="113"/>
      <c r="LD183" s="113"/>
      <c r="LE183" s="113"/>
      <c r="LF183" s="113"/>
      <c r="LG183" s="113"/>
      <c r="LH183" s="113"/>
      <c r="LI183" s="113"/>
      <c r="LJ183" s="113"/>
      <c r="LK183" s="113"/>
      <c r="LL183" s="113"/>
      <c r="LM183" s="113"/>
      <c r="LN183" s="113"/>
      <c r="LO183" s="113"/>
      <c r="LP183" s="113"/>
      <c r="LQ183" s="113"/>
      <c r="LR183" s="113"/>
      <c r="LS183" s="113"/>
      <c r="LT183" s="113"/>
      <c r="LU183" s="113"/>
      <c r="LV183" s="113"/>
      <c r="LW183" s="113"/>
      <c r="LX183" s="113"/>
      <c r="LY183" s="113"/>
      <c r="LZ183" s="113"/>
      <c r="MA183" s="113"/>
      <c r="MB183" s="113"/>
      <c r="MC183" s="113"/>
      <c r="MD183" s="113"/>
      <c r="ME183" s="113"/>
      <c r="MF183" s="113"/>
      <c r="MG183" s="113"/>
      <c r="MH183" s="113"/>
      <c r="MI183" s="113"/>
      <c r="MJ183" s="113"/>
      <c r="MK183" s="113"/>
      <c r="ML183" s="113"/>
      <c r="MM183" s="113"/>
      <c r="MN183" s="113"/>
      <c r="MO183" s="113"/>
      <c r="MP183" s="113"/>
      <c r="MQ183" s="113"/>
      <c r="MR183" s="113"/>
      <c r="MS183" s="113"/>
      <c r="MT183" s="113"/>
      <c r="MU183" s="113"/>
      <c r="MV183" s="113"/>
      <c r="MW183" s="113"/>
      <c r="MX183" s="113"/>
      <c r="MY183" s="113"/>
      <c r="MZ183" s="113"/>
      <c r="NA183" s="113"/>
      <c r="NB183" s="113"/>
      <c r="NC183" s="113"/>
      <c r="ND183" s="113"/>
      <c r="NE183" s="113"/>
      <c r="NF183" s="113"/>
      <c r="NG183" s="113"/>
      <c r="NH183" s="113"/>
      <c r="NI183" s="113"/>
      <c r="NJ183" s="113"/>
      <c r="NK183" s="113"/>
      <c r="NL183" s="113"/>
      <c r="NM183" s="113"/>
      <c r="NN183" s="113"/>
      <c r="NO183" s="113"/>
      <c r="NP183" s="113"/>
      <c r="NQ183" s="113"/>
      <c r="NR183" s="113"/>
      <c r="NS183" s="113"/>
      <c r="NT183" s="113"/>
      <c r="NU183" s="113"/>
      <c r="NV183" s="113"/>
      <c r="NW183" s="113"/>
      <c r="NX183" s="113"/>
      <c r="NY183" s="113"/>
      <c r="NZ183" s="113"/>
      <c r="OA183" s="113"/>
      <c r="OB183" s="113"/>
      <c r="OC183" s="113"/>
      <c r="OD183" s="113"/>
      <c r="OE183" s="113"/>
      <c r="OF183" s="113"/>
      <c r="OG183" s="113"/>
      <c r="OH183" s="113"/>
      <c r="OI183" s="113"/>
      <c r="OJ183" s="113"/>
      <c r="OK183" s="113"/>
      <c r="OL183" s="113"/>
      <c r="OM183" s="113"/>
      <c r="ON183" s="113"/>
      <c r="OO183" s="113"/>
      <c r="OP183" s="113"/>
      <c r="OQ183" s="113"/>
      <c r="OR183" s="113"/>
      <c r="OS183" s="113"/>
      <c r="OT183" s="113"/>
      <c r="OU183" s="113"/>
      <c r="OV183" s="113"/>
      <c r="OW183" s="113"/>
      <c r="OX183" s="113"/>
      <c r="OY183" s="113"/>
      <c r="OZ183" s="113"/>
      <c r="PA183" s="113"/>
      <c r="PB183" s="113"/>
      <c r="PC183" s="113"/>
      <c r="PD183" s="113"/>
      <c r="PE183" s="113"/>
      <c r="PF183" s="113"/>
      <c r="PG183" s="113"/>
      <c r="PH183" s="113"/>
      <c r="PI183" s="113"/>
      <c r="PJ183" s="113"/>
      <c r="PK183" s="113"/>
      <c r="PL183" s="113"/>
      <c r="PM183" s="113"/>
      <c r="PN183" s="113"/>
      <c r="PO183" s="113"/>
      <c r="PP183" s="113"/>
      <c r="PQ183" s="113"/>
      <c r="PR183" s="113"/>
      <c r="PS183" s="113"/>
      <c r="PT183" s="113"/>
      <c r="PU183" s="113"/>
      <c r="PV183" s="113"/>
      <c r="PW183" s="113"/>
      <c r="PX183" s="113"/>
      <c r="PY183" s="113"/>
      <c r="PZ183" s="113"/>
      <c r="QA183" s="113"/>
      <c r="QB183" s="113"/>
      <c r="QC183" s="113"/>
      <c r="QD183" s="113"/>
      <c r="QE183" s="113"/>
      <c r="QF183" s="113"/>
      <c r="QG183" s="113"/>
      <c r="QH183" s="113"/>
      <c r="QI183" s="113"/>
      <c r="QJ183" s="113"/>
      <c r="QK183" s="113"/>
      <c r="QL183" s="113"/>
      <c r="QM183" s="113"/>
      <c r="QN183" s="113"/>
      <c r="QO183" s="113"/>
      <c r="QP183" s="113"/>
      <c r="QQ183" s="113"/>
      <c r="QR183" s="113"/>
      <c r="QS183" s="113"/>
      <c r="QT183" s="113"/>
      <c r="QU183" s="113"/>
      <c r="QV183" s="113"/>
      <c r="QW183" s="113"/>
      <c r="QX183" s="113"/>
      <c r="QY183" s="113"/>
      <c r="QZ183" s="113"/>
      <c r="RA183" s="113"/>
      <c r="RB183" s="113"/>
      <c r="RC183" s="113"/>
      <c r="RD183" s="113"/>
      <c r="RE183" s="113"/>
      <c r="RF183" s="113"/>
      <c r="RG183" s="113"/>
      <c r="RH183" s="113"/>
      <c r="RI183" s="113"/>
      <c r="RJ183" s="113"/>
      <c r="RK183" s="113"/>
      <c r="RL183" s="113"/>
      <c r="RM183" s="113"/>
      <c r="RN183" s="113"/>
      <c r="RO183" s="113"/>
      <c r="RP183" s="113"/>
      <c r="RQ183" s="113"/>
      <c r="RR183" s="113"/>
      <c r="RS183" s="113"/>
      <c r="RT183" s="113"/>
      <c r="RU183" s="113"/>
      <c r="RV183" s="113"/>
      <c r="RW183" s="113"/>
      <c r="RX183" s="113"/>
      <c r="RY183" s="113"/>
      <c r="RZ183" s="113"/>
      <c r="SA183" s="113"/>
      <c r="SB183" s="113"/>
      <c r="SC183" s="113"/>
      <c r="SD183" s="113"/>
      <c r="SE183" s="113"/>
      <c r="SF183" s="113"/>
      <c r="SG183" s="113"/>
      <c r="SH183" s="113"/>
      <c r="SI183" s="113"/>
      <c r="SJ183" s="113"/>
      <c r="SK183" s="113"/>
      <c r="SL183" s="113"/>
      <c r="SM183" s="113"/>
      <c r="SN183" s="113"/>
      <c r="SO183" s="113"/>
      <c r="SP183" s="113"/>
      <c r="SQ183" s="113"/>
      <c r="SR183" s="113"/>
      <c r="SS183" s="113"/>
      <c r="ST183" s="113"/>
      <c r="SU183" s="113"/>
      <c r="SV183" s="113"/>
      <c r="SW183" s="113"/>
      <c r="SX183" s="113"/>
      <c r="SY183" s="113"/>
      <c r="SZ183" s="113"/>
      <c r="TA183" s="113"/>
      <c r="TB183" s="113"/>
      <c r="TC183" s="113"/>
      <c r="TD183" s="113"/>
      <c r="TE183" s="113"/>
      <c r="TF183" s="113"/>
      <c r="TG183" s="113"/>
      <c r="TH183" s="113"/>
      <c r="TI183" s="113"/>
      <c r="TJ183" s="113"/>
      <c r="TK183" s="113"/>
      <c r="TL183" s="113"/>
      <c r="TM183" s="113"/>
      <c r="TN183" s="113"/>
      <c r="TO183" s="113"/>
      <c r="TP183" s="113"/>
      <c r="TQ183" s="113"/>
      <c r="TR183" s="113"/>
      <c r="TS183" s="113"/>
      <c r="TT183" s="113"/>
      <c r="TU183" s="113"/>
      <c r="TV183" s="113"/>
      <c r="TW183" s="113"/>
      <c r="TX183" s="113"/>
      <c r="TY183" s="113"/>
      <c r="TZ183" s="113"/>
      <c r="UA183" s="113"/>
      <c r="UB183" s="113"/>
      <c r="UC183" s="113"/>
      <c r="UD183" s="113"/>
      <c r="UE183" s="113"/>
      <c r="UF183" s="113"/>
      <c r="UG183" s="113"/>
      <c r="UH183" s="113"/>
      <c r="UI183" s="113"/>
      <c r="UJ183" s="113"/>
      <c r="UK183" s="113"/>
      <c r="UL183" s="113"/>
      <c r="UM183" s="113"/>
      <c r="UN183" s="113"/>
      <c r="UO183" s="113"/>
      <c r="UP183" s="113"/>
      <c r="UQ183" s="113"/>
      <c r="UR183" s="113"/>
      <c r="US183" s="113"/>
      <c r="UT183" s="113"/>
      <c r="UU183" s="113"/>
      <c r="UV183" s="113"/>
      <c r="UW183" s="113"/>
      <c r="UX183" s="113"/>
      <c r="UY183" s="113"/>
      <c r="UZ183" s="113"/>
      <c r="VA183" s="113"/>
      <c r="VB183" s="113"/>
      <c r="VC183" s="113"/>
      <c r="VD183" s="113"/>
      <c r="VE183" s="113"/>
      <c r="VF183" s="113"/>
      <c r="VG183" s="113"/>
      <c r="VH183" s="113"/>
      <c r="VI183" s="113"/>
      <c r="VJ183" s="113"/>
      <c r="VK183" s="113"/>
      <c r="VL183" s="113"/>
      <c r="VM183" s="113"/>
      <c r="VN183" s="113"/>
      <c r="VO183" s="113"/>
      <c r="VP183" s="113"/>
      <c r="VQ183" s="113"/>
      <c r="VR183" s="113"/>
      <c r="VS183" s="113"/>
      <c r="VT183" s="113"/>
      <c r="VU183" s="113"/>
      <c r="VV183" s="113"/>
      <c r="VW183" s="113"/>
      <c r="VX183" s="113"/>
      <c r="VY183" s="113"/>
      <c r="VZ183" s="113"/>
      <c r="WA183" s="113"/>
      <c r="WB183" s="113"/>
      <c r="WC183" s="113"/>
      <c r="WD183" s="113"/>
      <c r="WE183" s="113"/>
      <c r="WF183" s="113"/>
      <c r="WG183" s="113"/>
      <c r="WH183" s="113"/>
      <c r="WI183" s="113"/>
      <c r="WJ183" s="113"/>
      <c r="WK183" s="113"/>
      <c r="WL183" s="113"/>
      <c r="WM183" s="113"/>
      <c r="WN183" s="113"/>
      <c r="WO183" s="113"/>
      <c r="WP183" s="113"/>
      <c r="WQ183" s="113"/>
      <c r="WR183" s="113"/>
      <c r="WS183" s="113"/>
      <c r="WT183" s="113"/>
      <c r="WU183" s="113"/>
      <c r="WV183" s="113"/>
      <c r="WW183" s="113"/>
      <c r="WX183" s="113"/>
      <c r="WY183" s="113"/>
      <c r="WZ183" s="113"/>
      <c r="XA183" s="113"/>
      <c r="XB183" s="113"/>
      <c r="XC183" s="113"/>
      <c r="XD183" s="113"/>
      <c r="XE183" s="113"/>
      <c r="XF183" s="113"/>
      <c r="XG183" s="113"/>
      <c r="XH183" s="113"/>
      <c r="XI183" s="113"/>
      <c r="XJ183" s="113"/>
      <c r="XK183" s="113"/>
      <c r="XL183" s="113"/>
      <c r="XM183" s="113"/>
      <c r="XN183" s="113"/>
      <c r="XO183" s="113"/>
      <c r="XP183" s="113"/>
      <c r="XQ183" s="113"/>
      <c r="XR183" s="113"/>
      <c r="XS183" s="113"/>
      <c r="XT183" s="113"/>
      <c r="XU183" s="113"/>
      <c r="XV183" s="113"/>
      <c r="XW183" s="113"/>
      <c r="XX183" s="113"/>
      <c r="XY183" s="113"/>
      <c r="XZ183" s="113"/>
      <c r="YA183" s="113"/>
      <c r="YB183" s="113"/>
      <c r="YC183" s="113"/>
      <c r="YD183" s="113"/>
      <c r="YE183" s="113"/>
      <c r="YF183" s="113"/>
      <c r="YG183" s="113"/>
      <c r="YH183" s="113"/>
      <c r="YI183" s="113"/>
      <c r="YJ183" s="113"/>
      <c r="YK183" s="113"/>
      <c r="YL183" s="113"/>
      <c r="YM183" s="113"/>
      <c r="YN183" s="113"/>
      <c r="YO183" s="113"/>
      <c r="YP183" s="113"/>
      <c r="YQ183" s="113"/>
      <c r="YR183" s="113"/>
      <c r="YS183" s="113"/>
      <c r="YT183" s="113"/>
      <c r="YU183" s="113"/>
      <c r="YV183" s="113"/>
      <c r="YW183" s="113"/>
      <c r="YX183" s="113"/>
      <c r="YY183" s="113"/>
      <c r="YZ183" s="113"/>
      <c r="ZA183" s="113"/>
      <c r="ZB183" s="113"/>
      <c r="ZC183" s="113"/>
      <c r="ZD183" s="113"/>
      <c r="ZE183" s="113"/>
      <c r="ZF183" s="113"/>
      <c r="ZG183" s="113"/>
      <c r="ZH183" s="113"/>
      <c r="ZI183" s="113"/>
      <c r="ZJ183" s="113"/>
      <c r="ZK183" s="113"/>
      <c r="ZL183" s="113"/>
      <c r="ZM183" s="113"/>
      <c r="ZN183" s="113"/>
      <c r="ZO183" s="113"/>
      <c r="ZP183" s="113"/>
      <c r="ZQ183" s="113"/>
      <c r="ZR183" s="113"/>
      <c r="ZS183" s="113"/>
      <c r="ZT183" s="113"/>
      <c r="ZU183" s="113"/>
      <c r="ZV183" s="113"/>
      <c r="ZW183" s="113"/>
      <c r="ZX183" s="113"/>
      <c r="ZY183" s="113"/>
      <c r="ZZ183" s="113"/>
      <c r="AAA183" s="113"/>
      <c r="AAB183" s="113"/>
      <c r="AAC183" s="113"/>
      <c r="AAD183" s="113"/>
      <c r="AAE183" s="113"/>
      <c r="AAF183" s="113"/>
      <c r="AAG183" s="113"/>
      <c r="AAH183" s="113"/>
      <c r="AAI183" s="113"/>
      <c r="AAJ183" s="113"/>
      <c r="AAK183" s="113"/>
      <c r="AAL183" s="113"/>
      <c r="AAM183" s="113"/>
      <c r="AAN183" s="113"/>
      <c r="AAO183" s="113"/>
      <c r="AAP183" s="113"/>
      <c r="AAQ183" s="113"/>
      <c r="AAR183" s="113"/>
      <c r="AAS183" s="113"/>
      <c r="AAT183" s="113"/>
      <c r="AAU183" s="113"/>
      <c r="AAV183" s="113"/>
      <c r="AAW183" s="113"/>
      <c r="AAX183" s="113"/>
      <c r="AAY183" s="113"/>
      <c r="AAZ183" s="113"/>
      <c r="ABA183" s="113"/>
      <c r="ABB183" s="113"/>
      <c r="ABC183" s="113"/>
      <c r="ABD183" s="113"/>
      <c r="ABE183" s="113"/>
      <c r="ABF183" s="113"/>
      <c r="ABG183" s="113"/>
      <c r="ABH183" s="113"/>
      <c r="ABI183" s="113"/>
      <c r="ABJ183" s="113"/>
      <c r="ABK183" s="113"/>
      <c r="ABL183" s="113"/>
      <c r="ABM183" s="113"/>
      <c r="ABN183" s="113"/>
      <c r="ABO183" s="113"/>
      <c r="ABP183" s="113"/>
      <c r="ABQ183" s="113"/>
      <c r="ABR183" s="113"/>
      <c r="ABS183" s="113"/>
      <c r="ABT183" s="113"/>
      <c r="ABU183" s="113"/>
      <c r="ABV183" s="113"/>
      <c r="ABW183" s="113"/>
      <c r="ABX183" s="113"/>
      <c r="ABY183" s="113"/>
      <c r="ABZ183" s="113"/>
      <c r="ACA183" s="113"/>
      <c r="ACB183" s="113"/>
      <c r="ACC183" s="113"/>
      <c r="ACD183" s="113"/>
      <c r="ACE183" s="113"/>
      <c r="ACF183" s="113"/>
      <c r="ACG183" s="113"/>
      <c r="ACH183" s="113"/>
      <c r="ACI183" s="113"/>
      <c r="ACJ183" s="113"/>
      <c r="ACK183" s="113"/>
      <c r="ACL183" s="113"/>
      <c r="ACM183" s="113"/>
      <c r="ACN183" s="113"/>
      <c r="ACO183" s="113"/>
      <c r="ACP183" s="113"/>
      <c r="ACQ183" s="113"/>
      <c r="ACR183" s="113"/>
      <c r="ACS183" s="113"/>
      <c r="ACT183" s="113"/>
      <c r="ACU183" s="113"/>
      <c r="ACV183" s="113"/>
      <c r="ACW183" s="113"/>
      <c r="ACX183" s="113"/>
      <c r="ACY183" s="113"/>
      <c r="ACZ183" s="113"/>
      <c r="ADA183" s="113"/>
      <c r="ADB183" s="113"/>
      <c r="ADC183" s="113"/>
      <c r="ADD183" s="113"/>
      <c r="ADE183" s="113"/>
      <c r="ADF183" s="113"/>
      <c r="ADG183" s="113"/>
      <c r="ADH183" s="113"/>
      <c r="ADI183" s="113"/>
      <c r="ADJ183" s="113"/>
      <c r="ADK183" s="113"/>
      <c r="ADL183" s="113"/>
      <c r="ADM183" s="113"/>
      <c r="ADN183" s="113"/>
      <c r="ADO183" s="113"/>
      <c r="ADP183" s="113"/>
      <c r="ADQ183" s="113"/>
      <c r="ADR183" s="113"/>
      <c r="ADS183" s="113"/>
      <c r="ADT183" s="113"/>
      <c r="ADU183" s="113"/>
      <c r="ADV183" s="113"/>
      <c r="ADW183" s="113"/>
      <c r="ADX183" s="113"/>
      <c r="ADY183" s="113"/>
      <c r="ADZ183" s="113"/>
      <c r="AEA183" s="113"/>
      <c r="AEB183" s="113"/>
      <c r="AEC183" s="113"/>
      <c r="AED183" s="113"/>
      <c r="AEE183" s="113"/>
      <c r="AEF183" s="113"/>
      <c r="AEG183" s="113"/>
      <c r="AEH183" s="113"/>
      <c r="AEI183" s="113"/>
      <c r="AEJ183" s="113"/>
      <c r="AEK183" s="113"/>
      <c r="AEL183" s="113"/>
      <c r="AEM183" s="113"/>
      <c r="AEN183" s="113"/>
      <c r="AEO183" s="113"/>
      <c r="AEP183" s="113"/>
      <c r="AEQ183" s="113"/>
      <c r="AER183" s="113"/>
      <c r="AES183" s="113"/>
      <c r="AET183" s="113"/>
      <c r="AEU183" s="113"/>
      <c r="AEV183" s="113"/>
      <c r="AEW183" s="113"/>
      <c r="AEX183" s="113"/>
      <c r="AEY183" s="113"/>
      <c r="AEZ183" s="113"/>
      <c r="AFA183" s="113"/>
      <c r="AFB183" s="113"/>
      <c r="AFC183" s="113"/>
      <c r="AFD183" s="113"/>
      <c r="AFE183" s="113"/>
      <c r="AFF183" s="113"/>
      <c r="AFG183" s="113"/>
      <c r="AFH183" s="113"/>
      <c r="AFI183" s="113"/>
      <c r="AFJ183" s="113"/>
      <c r="AFK183" s="113"/>
      <c r="AFL183" s="113"/>
      <c r="AFM183" s="113"/>
      <c r="AFN183" s="113"/>
      <c r="AFO183" s="113"/>
      <c r="AFP183" s="113"/>
      <c r="AFQ183" s="113"/>
      <c r="AFR183" s="113"/>
      <c r="AFS183" s="113"/>
      <c r="AFT183" s="113"/>
      <c r="AFU183" s="113"/>
      <c r="AFV183" s="113"/>
      <c r="AFW183" s="113"/>
      <c r="AFX183" s="113"/>
      <c r="AFY183" s="113"/>
      <c r="AFZ183" s="113"/>
      <c r="AGA183" s="113"/>
      <c r="AGB183" s="113"/>
      <c r="AGC183" s="113"/>
      <c r="AGD183" s="113"/>
      <c r="AGE183" s="113"/>
      <c r="AGF183" s="113"/>
      <c r="AGG183" s="113"/>
      <c r="AGH183" s="113"/>
      <c r="AGI183" s="113"/>
      <c r="AGJ183" s="113"/>
      <c r="AGK183" s="113"/>
      <c r="AGL183" s="113"/>
      <c r="AGM183" s="113"/>
      <c r="AGN183" s="113"/>
      <c r="AGO183" s="113"/>
      <c r="AGP183" s="113"/>
      <c r="AGQ183" s="113"/>
      <c r="AGR183" s="113"/>
      <c r="AGS183" s="113"/>
      <c r="AGT183" s="113"/>
      <c r="AGU183" s="113"/>
      <c r="AGV183" s="113"/>
      <c r="AGW183" s="113"/>
      <c r="AGX183" s="113"/>
      <c r="AGY183" s="113"/>
      <c r="AGZ183" s="113"/>
      <c r="AHA183" s="113"/>
      <c r="AHB183" s="113"/>
      <c r="AHC183" s="113"/>
      <c r="AHD183" s="113"/>
      <c r="AHE183" s="113"/>
      <c r="AHF183" s="113"/>
      <c r="AHG183" s="113"/>
      <c r="AHH183" s="113"/>
      <c r="AHI183" s="113"/>
      <c r="AHJ183" s="113"/>
      <c r="AHK183" s="113"/>
      <c r="AHL183" s="113"/>
      <c r="AHM183" s="113"/>
      <c r="AHN183" s="113"/>
      <c r="AHO183" s="113"/>
      <c r="AHP183" s="113"/>
      <c r="AHQ183" s="113"/>
      <c r="AHR183" s="113"/>
      <c r="AHS183" s="113"/>
      <c r="AHT183" s="113"/>
      <c r="AHU183" s="113"/>
      <c r="AHV183" s="113"/>
      <c r="AHW183" s="113"/>
      <c r="AHX183" s="113"/>
      <c r="AHY183" s="113"/>
      <c r="AHZ183" s="113"/>
      <c r="AIA183" s="113"/>
      <c r="AIB183" s="113"/>
      <c r="AIC183" s="113"/>
      <c r="AID183" s="113"/>
      <c r="AIE183" s="113"/>
      <c r="AIF183" s="113"/>
      <c r="AIG183" s="113"/>
      <c r="AIH183" s="113"/>
      <c r="AII183" s="113"/>
      <c r="AIJ183" s="113"/>
      <c r="AIK183" s="113"/>
      <c r="AIL183" s="113"/>
      <c r="AIM183" s="113"/>
      <c r="AIN183" s="113"/>
      <c r="AIO183" s="113"/>
      <c r="AIP183" s="113"/>
      <c r="AIQ183" s="113"/>
      <c r="AIR183" s="113"/>
      <c r="AIS183" s="113"/>
      <c r="AIT183" s="113"/>
      <c r="AIU183" s="113"/>
      <c r="AIV183" s="113"/>
      <c r="AIW183" s="113"/>
      <c r="AIX183" s="113"/>
      <c r="AIY183" s="113"/>
      <c r="AIZ183" s="113"/>
    </row>
    <row r="184">
      <c r="A184" s="65" t="s">
        <v>54</v>
      </c>
      <c r="B184" s="65" t="s">
        <v>60</v>
      </c>
      <c r="C184" s="65"/>
      <c r="D184" s="64">
        <f t="shared" si="1"/>
        <v>412.74425</v>
      </c>
      <c r="F184" s="65">
        <v>0.4254</v>
      </c>
      <c r="G184" s="65">
        <v>1.03831666666667</v>
      </c>
      <c r="H184" s="65">
        <v>3.85768333333333</v>
      </c>
      <c r="I184" s="65">
        <v>0.95155</v>
      </c>
      <c r="J184" s="65">
        <v>0.295616666666667</v>
      </c>
      <c r="K184" s="65">
        <v>6.0568</v>
      </c>
      <c r="N184" s="65">
        <v>1.73193333333333</v>
      </c>
      <c r="R184" s="65">
        <v>13.3259166666667</v>
      </c>
      <c r="S184" s="65">
        <v>16.1160833333333</v>
      </c>
      <c r="T184" s="65">
        <v>2.45633333333333</v>
      </c>
      <c r="U184" s="65">
        <v>4.91103333333333</v>
      </c>
      <c r="X184" s="65">
        <v>1.15843333333333</v>
      </c>
      <c r="Y184" s="65">
        <v>11.9754</v>
      </c>
      <c r="Z184" s="65">
        <v>50.75065</v>
      </c>
      <c r="AA184" s="65">
        <v>11.28265</v>
      </c>
      <c r="AB184" s="65">
        <v>58.33415</v>
      </c>
      <c r="AE184" s="65">
        <v>0.30265</v>
      </c>
      <c r="AF184" s="65">
        <v>16.41285</v>
      </c>
      <c r="AG184" s="65">
        <v>65.1710666666666</v>
      </c>
      <c r="AH184" s="65">
        <v>5.99063333333334</v>
      </c>
      <c r="AI184" s="65">
        <v>60.4435833333334</v>
      </c>
      <c r="AL184" s="65">
        <v>9.77268333333334</v>
      </c>
      <c r="AM184" s="65">
        <v>2.8698</v>
      </c>
      <c r="AN184" s="65">
        <v>6.53668333333333</v>
      </c>
      <c r="AQ184" s="65">
        <v>6.98046666666667</v>
      </c>
      <c r="AR184" s="65">
        <v>2.57546666666667</v>
      </c>
      <c r="AU184" s="65">
        <v>51.0204166666667</v>
      </c>
    </row>
    <row r="185">
      <c r="A185" s="65" t="s">
        <v>54</v>
      </c>
      <c r="B185" s="65" t="s">
        <v>60</v>
      </c>
      <c r="C185" s="65"/>
      <c r="D185" s="64">
        <f t="shared" si="1"/>
        <v>0</v>
      </c>
    </row>
    <row r="186">
      <c r="A186" s="65" t="s">
        <v>54</v>
      </c>
      <c r="B186" s="65" t="s">
        <v>60</v>
      </c>
      <c r="C186" s="65"/>
      <c r="D186" s="64">
        <f t="shared" si="1"/>
        <v>411.9588833</v>
      </c>
      <c r="F186" s="118">
        <f>HYPERLINK("https://docs.google.com/spreadsheets/d/1h3x_uk0BqIC9wRnqraWwoPL395hu-0VD", 0.4254)</f>
        <v>0.4254</v>
      </c>
      <c r="G186" s="118">
        <f>HYPERLINK("https://docs.google.com/spreadsheets/d/1eMwhAsj6qStrDK2EheOv1B0tJgfyNL6z", 1.03831666666667)</f>
        <v>1.038316667</v>
      </c>
      <c r="H186" s="118">
        <f>HYPERLINK("https://docs.google.com/spreadsheets/d/1a86-RpA3r4oN8K8S9iBkBajtJma9ZKoO", 3.85768333333333)</f>
        <v>3.857683333</v>
      </c>
      <c r="I186" s="118">
        <f>HYPERLINK("https://docs.google.com/spreadsheets/d/1YL9Yd5IVkvYXr6G6FfAx5NnlHnrSn6vG", 0.95155)</f>
        <v>0.95155</v>
      </c>
      <c r="J186" s="118">
        <f>HYPERLINK("https://docs.google.com/spreadsheets/d/1TZUz1JLx-bZXWhGg9liV17ElkUqR0Wgy", 0.295616666666667)</f>
        <v>0.2956166667</v>
      </c>
      <c r="K186" s="118">
        <f>HYPERLINK("https://docs.google.com/spreadsheets/d/1p2KqgrHNd2FT7gXsOp3hQaWudL4sfDWf", 6.0568)</f>
        <v>6.0568</v>
      </c>
      <c r="N186" s="118">
        <f>HYPERLINK("https://docs.google.com/spreadsheets/d/1JWljjy6YzMB9fghslpu9PtwtpcZALKMk", 1.73193333333333)</f>
        <v>1.731933333</v>
      </c>
      <c r="R186" s="118">
        <f>HYPERLINK("https://docs.google.com/spreadsheets/d/1nGtyyK6dGunrf-eKO14GG-WbUBQiyb6g", 13.3258833333333)</f>
        <v>13.32588333</v>
      </c>
      <c r="S186" s="118">
        <f>HYPERLINK("https://docs.google.com/spreadsheets/d/14RLrFr3ekhnV1FBARh8gVCOpa1kQRDhg", 16.1161166666667)</f>
        <v>16.11611667</v>
      </c>
      <c r="T186" s="118">
        <f>HYPERLINK("https://docs.google.com/spreadsheets/d/1IFHHZ2h0rkR6DtKEdik1WV27TbFMnqXq", 2.45633333333333)</f>
        <v>2.456333333</v>
      </c>
      <c r="U186" s="118">
        <f>HYPERLINK("https://docs.google.com/spreadsheets/d/1xq_dP00YHqrGYm31v1JcO6Ez-qWcnyPN", 4.80528333333333)</f>
        <v>4.805283333</v>
      </c>
      <c r="X186" s="118">
        <f>HYPERLINK("https://docs.google.com/spreadsheets/d/1mqlOOVYCB8rlkcfrINdosfUsBGyK_MFA", 1.15843333333333)</f>
        <v>1.158433333</v>
      </c>
      <c r="Y186" s="118">
        <f>HYPERLINK("https://docs.google.com/spreadsheets/d/1Lzr3hh5gGx-OhoGBNmUmxnS7lEbGwFux", 11.9754166666667)</f>
        <v>11.97541667</v>
      </c>
      <c r="Z186" s="118">
        <f>HYPERLINK("https://docs.google.com/spreadsheets/d/1P9pti5S1Uf5FCEeWrZk6sQx-AThDNAkR", 50.7506666666666)</f>
        <v>50.75066667</v>
      </c>
      <c r="AA186" s="118">
        <f>HYPERLINK("https://docs.google.com/spreadsheets/d/1iIiy7Zh7Zb9FG0ACU79tJo9y6Z6RAapO", 11.1348833333333)</f>
        <v>11.13488333</v>
      </c>
      <c r="AB186" s="118">
        <f>HYPERLINK("https://docs.google.com/spreadsheets/d/1OZT1MjOltI1xg8Za5ISmB00XFVECPQcU", 58.2215333333333)</f>
        <v>58.22153333</v>
      </c>
      <c r="AE186" s="118">
        <f>HYPERLINK("https://docs.google.com/spreadsheets/d/1XbTAQqCmuI1paw7EpXfJPRYuJz73dFf8", 0.30265)</f>
        <v>0.30265</v>
      </c>
      <c r="AF186" s="118">
        <f>HYPERLINK("https://docs.google.com/spreadsheets/d/13TOZjvrn0vvNynI0M-k4GkyfbOjAn2-6", 16.4128333333333)</f>
        <v>16.41283333</v>
      </c>
      <c r="AG186" s="118">
        <f>HYPERLINK("https://docs.google.com/spreadsheets/d/1HuWFDLsXXBD6YD7RDuJAmdxACabsJlWv", 65.0783999999999)</f>
        <v>65.0784</v>
      </c>
      <c r="AH186" s="118">
        <f>HYPERLINK("https://docs.google.com/spreadsheets/d/10PJt1nyBI2hXi3ZBsn-aGAbjVtl1cdWS", 5.99063333333334)</f>
        <v>5.990633333</v>
      </c>
      <c r="AI186" s="118">
        <f>HYPERLINK("https://docs.google.com/spreadsheets/d/16pkXUXWOt-HhNDDaonJJv-KMUpTlZYd2", 60.2323)</f>
        <v>60.2323</v>
      </c>
      <c r="AL186" s="118">
        <f>HYPERLINK("https://docs.google.com/spreadsheets/d/1CpcBvTQMXZWfwLKZ-aN8gkOi60--XLbB", 9.77266666666667)</f>
        <v>9.772666667</v>
      </c>
      <c r="AM186" s="118">
        <f>HYPERLINK("https://docs.google.com/spreadsheets/d/1dG6AV3uRtsYEHgbrOeVhNgAPi4SlyagW", 2.8698)</f>
        <v>2.8698</v>
      </c>
      <c r="AN186" s="118">
        <f>HYPERLINK("https://docs.google.com/spreadsheets/d/1LJzo0hp65BjHdMsFYhcEl7O8fY12kLVX", 6.53666666666667)</f>
        <v>6.536666667</v>
      </c>
      <c r="AQ186" s="118">
        <f>HYPERLINK("https://docs.google.com/spreadsheets/d/1_eQfYnJr5euFPUhkcynRqAZjsO0QwbMZ", 6.86526666666667)</f>
        <v>6.865266667</v>
      </c>
      <c r="AR186" s="118">
        <f>HYPERLINK("https://docs.google.com/spreadsheets/d/1g2uSmWXuWSD7eF67xjeAGFgMQrDmDmXh", 2.57546666666667)</f>
        <v>2.575466667</v>
      </c>
      <c r="AU186" s="118">
        <f>HYPERLINK("https://docs.google.com/spreadsheets/d/1l_S1aOkj3BOxET_jMJB766m6cs78Oin2", 51.02035)</f>
        <v>51.02035</v>
      </c>
    </row>
    <row r="187">
      <c r="A187" s="65" t="s">
        <v>54</v>
      </c>
      <c r="B187" s="65" t="s">
        <v>60</v>
      </c>
      <c r="C187" s="65"/>
      <c r="D187" s="64">
        <f t="shared" si="1"/>
        <v>269.4277667</v>
      </c>
      <c r="F187" s="65">
        <v>0.1143</v>
      </c>
      <c r="G187" s="65">
        <v>0.591883333333333</v>
      </c>
      <c r="H187" s="65">
        <v>0.750183333333333</v>
      </c>
      <c r="I187" s="65">
        <v>0.0</v>
      </c>
      <c r="J187" s="65">
        <v>0.0</v>
      </c>
      <c r="K187" s="65">
        <v>4.08703333333333</v>
      </c>
      <c r="N187" s="65">
        <v>1.1121</v>
      </c>
      <c r="R187" s="65">
        <v>10.3379333333333</v>
      </c>
      <c r="S187" s="65">
        <v>12.90515</v>
      </c>
      <c r="T187" s="65">
        <v>1.97165</v>
      </c>
      <c r="U187" s="65">
        <v>2.76428333333333</v>
      </c>
      <c r="X187" s="65">
        <v>0.679516666666667</v>
      </c>
      <c r="Y187" s="65">
        <v>6.96426666666667</v>
      </c>
      <c r="Z187" s="65">
        <v>27.3189</v>
      </c>
      <c r="AA187" s="65">
        <v>2.38373333333333</v>
      </c>
      <c r="AB187" s="65">
        <v>36.89215</v>
      </c>
      <c r="AE187" s="65">
        <v>0.30265</v>
      </c>
      <c r="AF187" s="65">
        <v>12.7034</v>
      </c>
      <c r="AG187" s="65">
        <v>38.62675</v>
      </c>
      <c r="AH187" s="65">
        <v>3.25968333333333</v>
      </c>
      <c r="AI187" s="65">
        <v>44.2352666666667</v>
      </c>
      <c r="AL187" s="65">
        <v>5.21893333333333</v>
      </c>
      <c r="AM187" s="65">
        <v>0.971183333333333</v>
      </c>
      <c r="AN187" s="65">
        <v>5.42273333333333</v>
      </c>
      <c r="AQ187" s="65">
        <v>3.98946666666667</v>
      </c>
      <c r="AR187" s="65">
        <v>1.90801666666667</v>
      </c>
      <c r="AU187" s="65">
        <v>43.9166</v>
      </c>
    </row>
    <row r="188">
      <c r="A188" s="119" t="s">
        <v>54</v>
      </c>
      <c r="B188" s="119" t="s">
        <v>60</v>
      </c>
      <c r="C188" s="119"/>
      <c r="D188" s="120">
        <f t="shared" si="1"/>
        <v>0</v>
      </c>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c r="AA188" s="120"/>
      <c r="AB188" s="120"/>
      <c r="AC188" s="120"/>
      <c r="AD188" s="120"/>
      <c r="AE188" s="120"/>
      <c r="AF188" s="120"/>
      <c r="AG188" s="120"/>
      <c r="AH188" s="120"/>
      <c r="AI188" s="120"/>
      <c r="AJ188" s="120"/>
      <c r="AK188" s="120"/>
      <c r="AL188" s="120"/>
      <c r="AM188" s="120"/>
      <c r="AN188" s="120"/>
      <c r="AO188" s="120"/>
      <c r="AP188" s="120"/>
      <c r="AQ188" s="120"/>
      <c r="AR188" s="120"/>
      <c r="AS188" s="120"/>
      <c r="AT188" s="120"/>
      <c r="AU188" s="120"/>
      <c r="AV188" s="120"/>
      <c r="AW188" s="120"/>
      <c r="AX188" s="120"/>
      <c r="AY188" s="120"/>
      <c r="AZ188" s="120"/>
      <c r="BA188" s="120"/>
      <c r="BB188" s="120"/>
      <c r="BC188" s="120"/>
      <c r="BD188" s="120"/>
      <c r="BE188" s="120"/>
      <c r="BF188" s="120"/>
      <c r="BG188" s="120"/>
      <c r="BH188" s="120"/>
      <c r="BI188" s="120"/>
      <c r="BJ188" s="120"/>
      <c r="BK188" s="120"/>
      <c r="BL188" s="120"/>
      <c r="BM188" s="120"/>
      <c r="BN188" s="120"/>
      <c r="BO188" s="120"/>
      <c r="BP188" s="120"/>
      <c r="BQ188" s="120"/>
      <c r="BR188" s="120"/>
      <c r="BS188" s="120"/>
      <c r="BT188" s="120"/>
      <c r="BU188" s="120"/>
      <c r="BV188" s="120"/>
      <c r="BW188" s="120"/>
      <c r="BX188" s="120"/>
      <c r="BY188" s="120"/>
      <c r="BZ188" s="120"/>
      <c r="CA188" s="120"/>
      <c r="CB188" s="120"/>
      <c r="CC188" s="120"/>
      <c r="CD188" s="120"/>
      <c r="CE188" s="120"/>
      <c r="CF188" s="120"/>
      <c r="CG188" s="120"/>
      <c r="CH188" s="120"/>
      <c r="CI188" s="120"/>
      <c r="CJ188" s="120"/>
      <c r="CK188" s="120"/>
      <c r="CL188" s="120"/>
      <c r="CM188" s="120"/>
      <c r="CN188" s="120"/>
      <c r="CO188" s="120"/>
      <c r="CP188" s="120"/>
      <c r="CQ188" s="120"/>
      <c r="CR188" s="120"/>
      <c r="CS188" s="120"/>
      <c r="CT188" s="120"/>
      <c r="CU188" s="120"/>
      <c r="CV188" s="120"/>
      <c r="CW188" s="120"/>
      <c r="CX188" s="120"/>
      <c r="CY188" s="120"/>
      <c r="CZ188" s="120"/>
      <c r="DA188" s="120"/>
      <c r="DB188" s="120"/>
      <c r="DC188" s="120"/>
      <c r="DD188" s="120"/>
      <c r="DE188" s="120"/>
      <c r="DF188" s="120"/>
      <c r="DG188" s="120"/>
      <c r="DH188" s="120"/>
      <c r="DI188" s="120"/>
      <c r="DJ188" s="120"/>
      <c r="DK188" s="120"/>
      <c r="DL188" s="120"/>
      <c r="DM188" s="120"/>
      <c r="DN188" s="120"/>
      <c r="DO188" s="120"/>
      <c r="DP188" s="120"/>
      <c r="DQ188" s="120"/>
      <c r="DR188" s="120"/>
      <c r="DS188" s="120"/>
      <c r="DT188" s="120"/>
      <c r="DU188" s="120"/>
      <c r="DV188" s="120"/>
      <c r="DW188" s="120"/>
      <c r="DX188" s="120"/>
      <c r="DY188" s="120"/>
      <c r="DZ188" s="120"/>
      <c r="EA188" s="120"/>
      <c r="EB188" s="120"/>
      <c r="EC188" s="120"/>
      <c r="ED188" s="120"/>
      <c r="EE188" s="120"/>
      <c r="EF188" s="120"/>
      <c r="EG188" s="120"/>
      <c r="EH188" s="120"/>
      <c r="EI188" s="120"/>
      <c r="EJ188" s="120"/>
      <c r="EK188" s="120"/>
      <c r="EL188" s="120"/>
      <c r="EM188" s="120"/>
      <c r="EN188" s="120"/>
      <c r="EO188" s="120"/>
      <c r="EP188" s="120"/>
      <c r="EQ188" s="120"/>
      <c r="ER188" s="120"/>
      <c r="ES188" s="120"/>
      <c r="ET188" s="120"/>
      <c r="EU188" s="120"/>
      <c r="EV188" s="120"/>
      <c r="EW188" s="120"/>
      <c r="EX188" s="120"/>
      <c r="EY188" s="120"/>
      <c r="EZ188" s="120"/>
      <c r="FA188" s="120"/>
      <c r="FB188" s="120"/>
      <c r="FC188" s="120"/>
      <c r="FD188" s="120"/>
      <c r="FE188" s="120"/>
      <c r="FF188" s="120"/>
      <c r="FG188" s="120"/>
      <c r="FH188" s="120"/>
      <c r="FI188" s="120"/>
      <c r="FJ188" s="120"/>
      <c r="FK188" s="120"/>
      <c r="FL188" s="120"/>
      <c r="FM188" s="120"/>
      <c r="FN188" s="120"/>
      <c r="FO188" s="120"/>
      <c r="FP188" s="120"/>
      <c r="FQ188" s="120"/>
      <c r="FR188" s="120"/>
      <c r="FS188" s="120"/>
      <c r="FT188" s="120"/>
      <c r="FU188" s="120"/>
      <c r="FV188" s="120"/>
      <c r="FW188" s="120"/>
      <c r="FX188" s="120"/>
      <c r="FY188" s="120"/>
      <c r="FZ188" s="120"/>
      <c r="GA188" s="120"/>
      <c r="GB188" s="120"/>
      <c r="GC188" s="120"/>
      <c r="GD188" s="120"/>
      <c r="GE188" s="120"/>
      <c r="GF188" s="120"/>
      <c r="GG188" s="120"/>
      <c r="GH188" s="120"/>
      <c r="GI188" s="120"/>
      <c r="GJ188" s="120"/>
      <c r="GK188" s="120"/>
      <c r="GL188" s="120"/>
      <c r="GM188" s="120"/>
      <c r="GN188" s="120"/>
      <c r="GO188" s="120"/>
      <c r="GP188" s="120"/>
      <c r="GQ188" s="120"/>
      <c r="GR188" s="120"/>
      <c r="GS188" s="120"/>
      <c r="GT188" s="120"/>
      <c r="GU188" s="120"/>
      <c r="GV188" s="120"/>
      <c r="GW188" s="120"/>
      <c r="GX188" s="120"/>
      <c r="GY188" s="120"/>
      <c r="GZ188" s="120"/>
      <c r="HA188" s="120"/>
      <c r="HB188" s="120"/>
      <c r="HC188" s="120"/>
      <c r="HD188" s="120"/>
      <c r="HE188" s="120"/>
      <c r="HF188" s="120"/>
      <c r="HG188" s="120"/>
      <c r="HH188" s="120"/>
      <c r="HI188" s="120"/>
      <c r="HJ188" s="120"/>
      <c r="HK188" s="120"/>
      <c r="HL188" s="120"/>
      <c r="HM188" s="120"/>
      <c r="HN188" s="120"/>
      <c r="HO188" s="120"/>
      <c r="HP188" s="120"/>
      <c r="HQ188" s="120"/>
      <c r="HR188" s="120"/>
      <c r="HS188" s="120"/>
      <c r="HT188" s="120"/>
      <c r="HU188" s="120"/>
      <c r="HV188" s="120"/>
      <c r="HW188" s="120"/>
      <c r="HX188" s="120"/>
      <c r="HY188" s="120"/>
      <c r="HZ188" s="120"/>
      <c r="IA188" s="120"/>
      <c r="IB188" s="120"/>
      <c r="IC188" s="120"/>
      <c r="ID188" s="120"/>
      <c r="IE188" s="120"/>
      <c r="IF188" s="120"/>
      <c r="IG188" s="120"/>
      <c r="IH188" s="120"/>
      <c r="II188" s="120"/>
      <c r="IJ188" s="120"/>
      <c r="IK188" s="120"/>
      <c r="IL188" s="120"/>
      <c r="IM188" s="120"/>
      <c r="IN188" s="120"/>
      <c r="IO188" s="120"/>
      <c r="IP188" s="120"/>
      <c r="IQ188" s="120"/>
      <c r="IR188" s="120"/>
      <c r="IS188" s="120"/>
      <c r="IT188" s="120"/>
      <c r="IU188" s="120"/>
      <c r="IV188" s="120"/>
      <c r="IW188" s="120"/>
      <c r="IX188" s="120"/>
      <c r="IY188" s="120"/>
      <c r="IZ188" s="120"/>
      <c r="JA188" s="120"/>
      <c r="JB188" s="120"/>
      <c r="JC188" s="120"/>
      <c r="JD188" s="120"/>
      <c r="JE188" s="120"/>
      <c r="JF188" s="120"/>
      <c r="JG188" s="120"/>
      <c r="JH188" s="120"/>
      <c r="JI188" s="120"/>
      <c r="JJ188" s="120"/>
      <c r="JK188" s="120"/>
      <c r="JL188" s="120"/>
      <c r="JM188" s="120"/>
      <c r="JN188" s="120"/>
      <c r="JO188" s="120"/>
      <c r="JP188" s="120"/>
      <c r="JQ188" s="120"/>
      <c r="JR188" s="120"/>
      <c r="JS188" s="120"/>
      <c r="JT188" s="120"/>
      <c r="JU188" s="120"/>
      <c r="JV188" s="120"/>
      <c r="JW188" s="120"/>
      <c r="JX188" s="120"/>
      <c r="JY188" s="120"/>
      <c r="JZ188" s="120"/>
      <c r="KA188" s="120"/>
      <c r="KB188" s="120"/>
      <c r="KC188" s="120"/>
      <c r="KD188" s="120"/>
      <c r="KE188" s="120"/>
      <c r="KF188" s="120"/>
      <c r="KG188" s="120"/>
      <c r="KH188" s="120"/>
      <c r="KI188" s="120"/>
      <c r="KJ188" s="120"/>
      <c r="KK188" s="120"/>
      <c r="KL188" s="120"/>
      <c r="KM188" s="120"/>
      <c r="KN188" s="120"/>
      <c r="KO188" s="120"/>
      <c r="KP188" s="120"/>
      <c r="KQ188" s="120"/>
      <c r="KR188" s="120"/>
      <c r="KS188" s="120"/>
      <c r="KT188" s="120"/>
      <c r="KU188" s="120"/>
      <c r="KV188" s="120"/>
      <c r="KW188" s="120"/>
      <c r="KX188" s="120"/>
      <c r="KY188" s="120"/>
      <c r="KZ188" s="120"/>
      <c r="LA188" s="120"/>
      <c r="LB188" s="120"/>
      <c r="LC188" s="120"/>
      <c r="LD188" s="120"/>
      <c r="LE188" s="120"/>
      <c r="LF188" s="120"/>
      <c r="LG188" s="120"/>
      <c r="LH188" s="120"/>
      <c r="LI188" s="120"/>
      <c r="LJ188" s="120"/>
      <c r="LK188" s="120"/>
      <c r="LL188" s="120"/>
      <c r="LM188" s="120"/>
      <c r="LN188" s="120"/>
      <c r="LO188" s="120"/>
      <c r="LP188" s="120"/>
      <c r="LQ188" s="120"/>
      <c r="LR188" s="120"/>
      <c r="LS188" s="120"/>
      <c r="LT188" s="120"/>
      <c r="LU188" s="120"/>
      <c r="LV188" s="120"/>
      <c r="LW188" s="120"/>
      <c r="LX188" s="120"/>
      <c r="LY188" s="120"/>
      <c r="LZ188" s="120"/>
      <c r="MA188" s="120"/>
      <c r="MB188" s="120"/>
      <c r="MC188" s="120"/>
      <c r="MD188" s="120"/>
      <c r="ME188" s="120"/>
      <c r="MF188" s="120"/>
      <c r="MG188" s="120"/>
      <c r="MH188" s="120"/>
      <c r="MI188" s="120"/>
      <c r="MJ188" s="120"/>
      <c r="MK188" s="120"/>
      <c r="ML188" s="120"/>
      <c r="MM188" s="120"/>
      <c r="MN188" s="120"/>
      <c r="MO188" s="120"/>
      <c r="MP188" s="120"/>
      <c r="MQ188" s="120"/>
      <c r="MR188" s="120"/>
      <c r="MS188" s="120"/>
      <c r="MT188" s="120"/>
      <c r="MU188" s="120"/>
      <c r="MV188" s="120"/>
      <c r="MW188" s="120"/>
      <c r="MX188" s="120"/>
      <c r="MY188" s="120"/>
      <c r="MZ188" s="120"/>
      <c r="NA188" s="120"/>
      <c r="NB188" s="120"/>
      <c r="NC188" s="120"/>
      <c r="ND188" s="120"/>
      <c r="NE188" s="120"/>
      <c r="NF188" s="120"/>
      <c r="NG188" s="120"/>
      <c r="NH188" s="120"/>
      <c r="NI188" s="120"/>
      <c r="NJ188" s="120"/>
      <c r="NK188" s="120"/>
      <c r="NL188" s="120"/>
      <c r="NM188" s="120"/>
      <c r="NN188" s="120"/>
      <c r="NO188" s="120"/>
      <c r="NP188" s="120"/>
      <c r="NQ188" s="120"/>
      <c r="NR188" s="120"/>
      <c r="NS188" s="120"/>
      <c r="NT188" s="120"/>
      <c r="NU188" s="120"/>
      <c r="NV188" s="120"/>
      <c r="NW188" s="120"/>
      <c r="NX188" s="120"/>
      <c r="NY188" s="120"/>
      <c r="NZ188" s="120"/>
      <c r="OA188" s="120"/>
      <c r="OB188" s="120"/>
      <c r="OC188" s="120"/>
      <c r="OD188" s="120"/>
      <c r="OE188" s="120"/>
      <c r="OF188" s="120"/>
      <c r="OG188" s="120"/>
      <c r="OH188" s="120"/>
      <c r="OI188" s="120"/>
      <c r="OJ188" s="120"/>
      <c r="OK188" s="120"/>
      <c r="OL188" s="120"/>
      <c r="OM188" s="120"/>
      <c r="ON188" s="120"/>
      <c r="OO188" s="120"/>
      <c r="OP188" s="120"/>
      <c r="OQ188" s="120"/>
      <c r="OR188" s="120"/>
      <c r="OS188" s="120"/>
      <c r="OT188" s="120"/>
      <c r="OU188" s="120"/>
      <c r="OV188" s="120"/>
      <c r="OW188" s="120"/>
      <c r="OX188" s="120"/>
      <c r="OY188" s="120"/>
      <c r="OZ188" s="120"/>
      <c r="PA188" s="120"/>
      <c r="PB188" s="120"/>
      <c r="PC188" s="120"/>
      <c r="PD188" s="120"/>
      <c r="PE188" s="120"/>
      <c r="PF188" s="120"/>
      <c r="PG188" s="120"/>
      <c r="PH188" s="120"/>
      <c r="PI188" s="120"/>
      <c r="PJ188" s="120"/>
      <c r="PK188" s="120"/>
      <c r="PL188" s="120"/>
      <c r="PM188" s="120"/>
      <c r="PN188" s="120"/>
      <c r="PO188" s="120"/>
      <c r="PP188" s="120"/>
      <c r="PQ188" s="120"/>
      <c r="PR188" s="120"/>
      <c r="PS188" s="120"/>
      <c r="PT188" s="120"/>
      <c r="PU188" s="120"/>
      <c r="PV188" s="120"/>
      <c r="PW188" s="120"/>
      <c r="PX188" s="120"/>
      <c r="PY188" s="120"/>
      <c r="PZ188" s="120"/>
      <c r="QA188" s="120"/>
      <c r="QB188" s="120"/>
      <c r="QC188" s="120"/>
      <c r="QD188" s="120"/>
      <c r="QE188" s="120"/>
      <c r="QF188" s="120"/>
      <c r="QG188" s="120"/>
      <c r="QH188" s="120"/>
      <c r="QI188" s="120"/>
      <c r="QJ188" s="120"/>
      <c r="QK188" s="120"/>
      <c r="QL188" s="120"/>
      <c r="QM188" s="120"/>
      <c r="QN188" s="120"/>
      <c r="QO188" s="120"/>
      <c r="QP188" s="120"/>
      <c r="QQ188" s="120"/>
      <c r="QR188" s="120"/>
      <c r="QS188" s="120"/>
      <c r="QT188" s="120"/>
      <c r="QU188" s="120"/>
      <c r="QV188" s="120"/>
      <c r="QW188" s="120"/>
      <c r="QX188" s="120"/>
      <c r="QY188" s="120"/>
      <c r="QZ188" s="120"/>
      <c r="RA188" s="120"/>
      <c r="RB188" s="120"/>
      <c r="RC188" s="120"/>
      <c r="RD188" s="120"/>
      <c r="RE188" s="120"/>
      <c r="RF188" s="120"/>
      <c r="RG188" s="120"/>
      <c r="RH188" s="120"/>
      <c r="RI188" s="120"/>
      <c r="RJ188" s="120"/>
      <c r="RK188" s="120"/>
      <c r="RL188" s="120"/>
      <c r="RM188" s="120"/>
      <c r="RN188" s="120"/>
      <c r="RO188" s="120"/>
      <c r="RP188" s="120"/>
      <c r="RQ188" s="120"/>
      <c r="RR188" s="120"/>
      <c r="RS188" s="120"/>
      <c r="RT188" s="120"/>
      <c r="RU188" s="120"/>
      <c r="RV188" s="120"/>
      <c r="RW188" s="120"/>
      <c r="RX188" s="120"/>
      <c r="RY188" s="120"/>
      <c r="RZ188" s="120"/>
      <c r="SA188" s="120"/>
      <c r="SB188" s="120"/>
      <c r="SC188" s="120"/>
      <c r="SD188" s="120"/>
      <c r="SE188" s="120"/>
      <c r="SF188" s="120"/>
      <c r="SG188" s="120"/>
      <c r="SH188" s="120"/>
      <c r="SI188" s="120"/>
      <c r="SJ188" s="120"/>
      <c r="SK188" s="120"/>
      <c r="SL188" s="120"/>
      <c r="SM188" s="120"/>
      <c r="SN188" s="120"/>
      <c r="SO188" s="120"/>
      <c r="SP188" s="120"/>
      <c r="SQ188" s="120"/>
      <c r="SR188" s="120"/>
      <c r="SS188" s="120"/>
      <c r="ST188" s="120"/>
      <c r="SU188" s="120"/>
      <c r="SV188" s="120"/>
      <c r="SW188" s="120"/>
      <c r="SX188" s="120"/>
      <c r="SY188" s="120"/>
      <c r="SZ188" s="120"/>
      <c r="TA188" s="120"/>
      <c r="TB188" s="120"/>
      <c r="TC188" s="120"/>
      <c r="TD188" s="120"/>
      <c r="TE188" s="120"/>
      <c r="TF188" s="120"/>
      <c r="TG188" s="120"/>
      <c r="TH188" s="120"/>
      <c r="TI188" s="120"/>
      <c r="TJ188" s="120"/>
      <c r="TK188" s="120"/>
      <c r="TL188" s="120"/>
      <c r="TM188" s="120"/>
      <c r="TN188" s="120"/>
      <c r="TO188" s="120"/>
      <c r="TP188" s="120"/>
      <c r="TQ188" s="120"/>
      <c r="TR188" s="120"/>
      <c r="TS188" s="120"/>
      <c r="TT188" s="120"/>
      <c r="TU188" s="120"/>
      <c r="TV188" s="120"/>
      <c r="TW188" s="120"/>
      <c r="TX188" s="120"/>
      <c r="TY188" s="120"/>
      <c r="TZ188" s="120"/>
      <c r="UA188" s="120"/>
      <c r="UB188" s="120"/>
      <c r="UC188" s="120"/>
      <c r="UD188" s="120"/>
      <c r="UE188" s="120"/>
      <c r="UF188" s="120"/>
      <c r="UG188" s="120"/>
      <c r="UH188" s="120"/>
      <c r="UI188" s="120"/>
      <c r="UJ188" s="120"/>
      <c r="UK188" s="120"/>
      <c r="UL188" s="120"/>
      <c r="UM188" s="120"/>
      <c r="UN188" s="120"/>
      <c r="UO188" s="120"/>
      <c r="UP188" s="120"/>
      <c r="UQ188" s="120"/>
      <c r="UR188" s="120"/>
      <c r="US188" s="120"/>
      <c r="UT188" s="120"/>
      <c r="UU188" s="120"/>
      <c r="UV188" s="120"/>
      <c r="UW188" s="120"/>
      <c r="UX188" s="120"/>
      <c r="UY188" s="120"/>
      <c r="UZ188" s="120"/>
      <c r="VA188" s="120"/>
      <c r="VB188" s="120"/>
      <c r="VC188" s="120"/>
      <c r="VD188" s="120"/>
      <c r="VE188" s="120"/>
      <c r="VF188" s="120"/>
      <c r="VG188" s="120"/>
      <c r="VH188" s="120"/>
      <c r="VI188" s="120"/>
      <c r="VJ188" s="120"/>
      <c r="VK188" s="120"/>
      <c r="VL188" s="120"/>
      <c r="VM188" s="120"/>
      <c r="VN188" s="120"/>
      <c r="VO188" s="120"/>
      <c r="VP188" s="120"/>
      <c r="VQ188" s="120"/>
      <c r="VR188" s="120"/>
      <c r="VS188" s="120"/>
      <c r="VT188" s="120"/>
      <c r="VU188" s="120"/>
      <c r="VV188" s="120"/>
      <c r="VW188" s="120"/>
      <c r="VX188" s="120"/>
      <c r="VY188" s="120"/>
      <c r="VZ188" s="120"/>
      <c r="WA188" s="120"/>
      <c r="WB188" s="120"/>
      <c r="WC188" s="120"/>
      <c r="WD188" s="120"/>
      <c r="WE188" s="120"/>
      <c r="WF188" s="120"/>
      <c r="WG188" s="120"/>
      <c r="WH188" s="120"/>
      <c r="WI188" s="120"/>
      <c r="WJ188" s="120"/>
      <c r="WK188" s="120"/>
      <c r="WL188" s="120"/>
      <c r="WM188" s="120"/>
      <c r="WN188" s="120"/>
      <c r="WO188" s="120"/>
      <c r="WP188" s="120"/>
      <c r="WQ188" s="120"/>
      <c r="WR188" s="120"/>
      <c r="WS188" s="120"/>
      <c r="WT188" s="120"/>
      <c r="WU188" s="120"/>
      <c r="WV188" s="120"/>
      <c r="WW188" s="120"/>
      <c r="WX188" s="120"/>
      <c r="WY188" s="120"/>
      <c r="WZ188" s="120"/>
      <c r="XA188" s="120"/>
      <c r="XB188" s="120"/>
      <c r="XC188" s="120"/>
      <c r="XD188" s="120"/>
      <c r="XE188" s="120"/>
      <c r="XF188" s="120"/>
      <c r="XG188" s="120"/>
      <c r="XH188" s="120"/>
      <c r="XI188" s="120"/>
      <c r="XJ188" s="120"/>
      <c r="XK188" s="120"/>
      <c r="XL188" s="120"/>
      <c r="XM188" s="120"/>
      <c r="XN188" s="120"/>
      <c r="XO188" s="120"/>
      <c r="XP188" s="120"/>
      <c r="XQ188" s="120"/>
      <c r="XR188" s="120"/>
      <c r="XS188" s="120"/>
      <c r="XT188" s="120"/>
      <c r="XU188" s="120"/>
      <c r="XV188" s="120"/>
      <c r="XW188" s="120"/>
      <c r="XX188" s="120"/>
      <c r="XY188" s="120"/>
      <c r="XZ188" s="120"/>
      <c r="YA188" s="120"/>
      <c r="YB188" s="120"/>
      <c r="YC188" s="120"/>
      <c r="YD188" s="120"/>
      <c r="YE188" s="120"/>
      <c r="YF188" s="120"/>
      <c r="YG188" s="120"/>
      <c r="YH188" s="120"/>
      <c r="YI188" s="120"/>
      <c r="YJ188" s="120"/>
      <c r="YK188" s="120"/>
      <c r="YL188" s="120"/>
      <c r="YM188" s="120"/>
      <c r="YN188" s="120"/>
      <c r="YO188" s="120"/>
      <c r="YP188" s="120"/>
      <c r="YQ188" s="120"/>
      <c r="YR188" s="120"/>
      <c r="YS188" s="120"/>
      <c r="YT188" s="120"/>
      <c r="YU188" s="120"/>
      <c r="YV188" s="120"/>
      <c r="YW188" s="120"/>
      <c r="YX188" s="120"/>
      <c r="YY188" s="120"/>
      <c r="YZ188" s="120"/>
      <c r="ZA188" s="120"/>
      <c r="ZB188" s="120"/>
      <c r="ZC188" s="120"/>
      <c r="ZD188" s="120"/>
      <c r="ZE188" s="120"/>
      <c r="ZF188" s="120"/>
      <c r="ZG188" s="120"/>
      <c r="ZH188" s="120"/>
      <c r="ZI188" s="120"/>
      <c r="ZJ188" s="120"/>
      <c r="ZK188" s="120"/>
      <c r="ZL188" s="120"/>
      <c r="ZM188" s="120"/>
      <c r="ZN188" s="120"/>
      <c r="ZO188" s="120"/>
      <c r="ZP188" s="120"/>
      <c r="ZQ188" s="120"/>
      <c r="ZR188" s="120"/>
      <c r="ZS188" s="120"/>
      <c r="ZT188" s="120"/>
      <c r="ZU188" s="120"/>
      <c r="ZV188" s="120"/>
      <c r="ZW188" s="120"/>
      <c r="ZX188" s="120"/>
      <c r="ZY188" s="120"/>
      <c r="ZZ188" s="120"/>
      <c r="AAA188" s="120"/>
      <c r="AAB188" s="120"/>
      <c r="AAC188" s="120"/>
      <c r="AAD188" s="120"/>
      <c r="AAE188" s="120"/>
      <c r="AAF188" s="120"/>
      <c r="AAG188" s="120"/>
      <c r="AAH188" s="120"/>
      <c r="AAI188" s="120"/>
      <c r="AAJ188" s="120"/>
      <c r="AAK188" s="120"/>
      <c r="AAL188" s="120"/>
      <c r="AAM188" s="120"/>
      <c r="AAN188" s="120"/>
      <c r="AAO188" s="120"/>
      <c r="AAP188" s="120"/>
      <c r="AAQ188" s="120"/>
      <c r="AAR188" s="120"/>
      <c r="AAS188" s="120"/>
      <c r="AAT188" s="120"/>
      <c r="AAU188" s="120"/>
      <c r="AAV188" s="120"/>
      <c r="AAW188" s="120"/>
      <c r="AAX188" s="120"/>
      <c r="AAY188" s="120"/>
      <c r="AAZ188" s="120"/>
      <c r="ABA188" s="120"/>
      <c r="ABB188" s="120"/>
      <c r="ABC188" s="120"/>
      <c r="ABD188" s="120"/>
      <c r="ABE188" s="120"/>
      <c r="ABF188" s="120"/>
      <c r="ABG188" s="120"/>
      <c r="ABH188" s="120"/>
      <c r="ABI188" s="120"/>
      <c r="ABJ188" s="120"/>
      <c r="ABK188" s="120"/>
      <c r="ABL188" s="120"/>
      <c r="ABM188" s="120"/>
      <c r="ABN188" s="120"/>
      <c r="ABO188" s="120"/>
      <c r="ABP188" s="120"/>
      <c r="ABQ188" s="120"/>
      <c r="ABR188" s="120"/>
      <c r="ABS188" s="120"/>
      <c r="ABT188" s="120"/>
      <c r="ABU188" s="120"/>
      <c r="ABV188" s="120"/>
      <c r="ABW188" s="120"/>
      <c r="ABX188" s="120"/>
      <c r="ABY188" s="120"/>
      <c r="ABZ188" s="120"/>
      <c r="ACA188" s="120"/>
      <c r="ACB188" s="120"/>
      <c r="ACC188" s="120"/>
      <c r="ACD188" s="120"/>
      <c r="ACE188" s="120"/>
      <c r="ACF188" s="120"/>
      <c r="ACG188" s="120"/>
      <c r="ACH188" s="120"/>
      <c r="ACI188" s="120"/>
      <c r="ACJ188" s="120"/>
      <c r="ACK188" s="120"/>
      <c r="ACL188" s="120"/>
      <c r="ACM188" s="120"/>
      <c r="ACN188" s="120"/>
      <c r="ACO188" s="120"/>
      <c r="ACP188" s="120"/>
      <c r="ACQ188" s="120"/>
      <c r="ACR188" s="120"/>
      <c r="ACS188" s="120"/>
      <c r="ACT188" s="120"/>
      <c r="ACU188" s="120"/>
      <c r="ACV188" s="120"/>
      <c r="ACW188" s="120"/>
      <c r="ACX188" s="120"/>
      <c r="ACY188" s="120"/>
      <c r="ACZ188" s="120"/>
      <c r="ADA188" s="120"/>
      <c r="ADB188" s="120"/>
      <c r="ADC188" s="120"/>
      <c r="ADD188" s="120"/>
      <c r="ADE188" s="120"/>
      <c r="ADF188" s="120"/>
      <c r="ADG188" s="120"/>
      <c r="ADH188" s="120"/>
      <c r="ADI188" s="120"/>
      <c r="ADJ188" s="120"/>
      <c r="ADK188" s="120"/>
      <c r="ADL188" s="120"/>
      <c r="ADM188" s="120"/>
      <c r="ADN188" s="120"/>
      <c r="ADO188" s="120"/>
      <c r="ADP188" s="120"/>
      <c r="ADQ188" s="120"/>
      <c r="ADR188" s="120"/>
      <c r="ADS188" s="120"/>
      <c r="ADT188" s="120"/>
      <c r="ADU188" s="120"/>
      <c r="ADV188" s="120"/>
      <c r="ADW188" s="120"/>
      <c r="ADX188" s="120"/>
      <c r="ADY188" s="120"/>
      <c r="ADZ188" s="120"/>
      <c r="AEA188" s="120"/>
      <c r="AEB188" s="120"/>
      <c r="AEC188" s="120"/>
      <c r="AED188" s="120"/>
      <c r="AEE188" s="120"/>
      <c r="AEF188" s="120"/>
      <c r="AEG188" s="120"/>
      <c r="AEH188" s="120"/>
      <c r="AEI188" s="120"/>
      <c r="AEJ188" s="120"/>
      <c r="AEK188" s="120"/>
      <c r="AEL188" s="120"/>
      <c r="AEM188" s="120"/>
      <c r="AEN188" s="120"/>
      <c r="AEO188" s="120"/>
      <c r="AEP188" s="120"/>
      <c r="AEQ188" s="120"/>
      <c r="AER188" s="120"/>
      <c r="AES188" s="120"/>
      <c r="AET188" s="120"/>
      <c r="AEU188" s="120"/>
      <c r="AEV188" s="120"/>
      <c r="AEW188" s="120"/>
      <c r="AEX188" s="120"/>
      <c r="AEY188" s="120"/>
      <c r="AEZ188" s="120"/>
      <c r="AFA188" s="120"/>
      <c r="AFB188" s="120"/>
      <c r="AFC188" s="120"/>
      <c r="AFD188" s="120"/>
      <c r="AFE188" s="120"/>
      <c r="AFF188" s="120"/>
      <c r="AFG188" s="120"/>
      <c r="AFH188" s="120"/>
      <c r="AFI188" s="120"/>
      <c r="AFJ188" s="120"/>
      <c r="AFK188" s="120"/>
      <c r="AFL188" s="120"/>
      <c r="AFM188" s="120"/>
      <c r="AFN188" s="120"/>
      <c r="AFO188" s="120"/>
      <c r="AFP188" s="120"/>
      <c r="AFQ188" s="120"/>
      <c r="AFR188" s="120"/>
      <c r="AFS188" s="120"/>
      <c r="AFT188" s="120"/>
      <c r="AFU188" s="120"/>
      <c r="AFV188" s="120"/>
      <c r="AFW188" s="120"/>
      <c r="AFX188" s="120"/>
      <c r="AFY188" s="120"/>
      <c r="AFZ188" s="120"/>
      <c r="AGA188" s="120"/>
      <c r="AGB188" s="120"/>
      <c r="AGC188" s="120"/>
      <c r="AGD188" s="120"/>
      <c r="AGE188" s="120"/>
      <c r="AGF188" s="120"/>
      <c r="AGG188" s="120"/>
      <c r="AGH188" s="120"/>
      <c r="AGI188" s="120"/>
      <c r="AGJ188" s="120"/>
      <c r="AGK188" s="120"/>
      <c r="AGL188" s="120"/>
      <c r="AGM188" s="120"/>
      <c r="AGN188" s="120"/>
      <c r="AGO188" s="120"/>
      <c r="AGP188" s="120"/>
      <c r="AGQ188" s="120"/>
      <c r="AGR188" s="120"/>
      <c r="AGS188" s="120"/>
      <c r="AGT188" s="120"/>
      <c r="AGU188" s="120"/>
      <c r="AGV188" s="120"/>
      <c r="AGW188" s="120"/>
      <c r="AGX188" s="120"/>
      <c r="AGY188" s="120"/>
      <c r="AGZ188" s="120"/>
      <c r="AHA188" s="120"/>
      <c r="AHB188" s="120"/>
      <c r="AHC188" s="120"/>
      <c r="AHD188" s="120"/>
      <c r="AHE188" s="120"/>
      <c r="AHF188" s="120"/>
      <c r="AHG188" s="120"/>
      <c r="AHH188" s="120"/>
      <c r="AHI188" s="120"/>
      <c r="AHJ188" s="120"/>
      <c r="AHK188" s="120"/>
      <c r="AHL188" s="120"/>
      <c r="AHM188" s="120"/>
      <c r="AHN188" s="120"/>
      <c r="AHO188" s="120"/>
      <c r="AHP188" s="120"/>
      <c r="AHQ188" s="120"/>
      <c r="AHR188" s="120"/>
      <c r="AHS188" s="120"/>
      <c r="AHT188" s="120"/>
      <c r="AHU188" s="120"/>
      <c r="AHV188" s="120"/>
      <c r="AHW188" s="120"/>
      <c r="AHX188" s="120"/>
      <c r="AHY188" s="120"/>
      <c r="AHZ188" s="120"/>
      <c r="AIA188" s="120"/>
      <c r="AIB188" s="120"/>
      <c r="AIC188" s="120"/>
      <c r="AID188" s="120"/>
      <c r="AIE188" s="120"/>
      <c r="AIF188" s="120"/>
      <c r="AIG188" s="120"/>
      <c r="AIH188" s="120"/>
      <c r="AII188" s="120"/>
      <c r="AIJ188" s="120"/>
      <c r="AIK188" s="120"/>
      <c r="AIL188" s="120"/>
      <c r="AIM188" s="120"/>
      <c r="AIN188" s="120"/>
      <c r="AIO188" s="120"/>
      <c r="AIP188" s="120"/>
      <c r="AIQ188" s="120"/>
      <c r="AIR188" s="120"/>
      <c r="AIS188" s="120"/>
      <c r="AIT188" s="120"/>
      <c r="AIU188" s="120"/>
      <c r="AIV188" s="120"/>
      <c r="AIW188" s="120"/>
      <c r="AIX188" s="120"/>
      <c r="AIY188" s="120"/>
      <c r="AIZ188" s="120"/>
    </row>
    <row r="189">
      <c r="A189" s="112" t="s">
        <v>54</v>
      </c>
      <c r="B189" s="112" t="s">
        <v>62</v>
      </c>
      <c r="C189" s="112"/>
      <c r="D189" s="113">
        <f t="shared" si="1"/>
        <v>461.9238</v>
      </c>
      <c r="E189" s="112">
        <v>127.813433333334</v>
      </c>
      <c r="F189" s="113"/>
      <c r="G189" s="113"/>
      <c r="H189" s="113"/>
      <c r="I189" s="113"/>
      <c r="J189" s="113"/>
      <c r="K189" s="113"/>
      <c r="L189" s="112">
        <v>1.24551666666667</v>
      </c>
      <c r="M189" s="112">
        <v>18.6001166666667</v>
      </c>
      <c r="N189" s="113"/>
      <c r="O189" s="113"/>
      <c r="P189" s="112">
        <v>87.1477333333334</v>
      </c>
      <c r="Q189" s="113"/>
      <c r="R189" s="113"/>
      <c r="S189" s="113"/>
      <c r="T189" s="113"/>
      <c r="U189" s="113"/>
      <c r="V189" s="112">
        <v>1.51355</v>
      </c>
      <c r="W189" s="112">
        <v>114.303316666667</v>
      </c>
      <c r="X189" s="113"/>
      <c r="Y189" s="113"/>
      <c r="Z189" s="113"/>
      <c r="AA189" s="113"/>
      <c r="AB189" s="113"/>
      <c r="AC189" s="112">
        <v>3.58748333333333</v>
      </c>
      <c r="AD189" s="112">
        <v>50.0467666666667</v>
      </c>
      <c r="AE189" s="113"/>
      <c r="AF189" s="113"/>
      <c r="AG189" s="113"/>
      <c r="AH189" s="113"/>
      <c r="AI189" s="113"/>
      <c r="AJ189" s="112">
        <v>2.49141666666667</v>
      </c>
      <c r="AK189" s="112">
        <v>14.5089166666667</v>
      </c>
      <c r="AL189" s="113"/>
      <c r="AM189" s="113"/>
      <c r="AN189" s="113"/>
      <c r="AO189" s="112">
        <v>8.6224</v>
      </c>
      <c r="AP189" s="112">
        <v>3.4399</v>
      </c>
      <c r="AQ189" s="113"/>
      <c r="AR189" s="113"/>
      <c r="AS189" s="112">
        <v>1.5913</v>
      </c>
      <c r="AT189" s="112">
        <v>25.5505</v>
      </c>
      <c r="AU189" s="113"/>
      <c r="AV189" s="112">
        <v>0.509516666666667</v>
      </c>
      <c r="AW189" s="112">
        <v>0.951933333333333</v>
      </c>
      <c r="AX189" s="113"/>
      <c r="AY189" s="113"/>
      <c r="AZ189" s="113"/>
      <c r="BA189" s="113"/>
      <c r="BB189" s="113"/>
      <c r="BC189" s="113"/>
      <c r="BD189" s="113"/>
      <c r="BE189" s="113"/>
      <c r="BF189" s="113"/>
      <c r="BG189" s="113"/>
      <c r="BH189" s="113"/>
      <c r="BI189" s="113"/>
      <c r="BJ189" s="113"/>
      <c r="BK189" s="113"/>
      <c r="BL189" s="113"/>
      <c r="BM189" s="113"/>
      <c r="BN189" s="113"/>
      <c r="BO189" s="113"/>
      <c r="BP189" s="113"/>
      <c r="BQ189" s="113"/>
      <c r="BR189" s="113"/>
      <c r="BS189" s="113"/>
      <c r="BT189" s="113"/>
      <c r="BU189" s="113"/>
      <c r="BV189" s="113"/>
      <c r="BW189" s="113"/>
      <c r="BX189" s="113"/>
      <c r="BY189" s="113"/>
      <c r="BZ189" s="113"/>
      <c r="CA189" s="113"/>
      <c r="CB189" s="113"/>
      <c r="CC189" s="113"/>
      <c r="CD189" s="113"/>
      <c r="CE189" s="113"/>
      <c r="CF189" s="113"/>
      <c r="CG189" s="113"/>
      <c r="CH189" s="113"/>
      <c r="CI189" s="113"/>
      <c r="CJ189" s="113"/>
      <c r="CK189" s="113"/>
      <c r="CL189" s="113"/>
      <c r="CM189" s="113"/>
      <c r="CN189" s="113"/>
      <c r="CO189" s="113"/>
      <c r="CP189" s="113"/>
      <c r="CQ189" s="113"/>
      <c r="CR189" s="113"/>
      <c r="CS189" s="113"/>
      <c r="CT189" s="113"/>
      <c r="CU189" s="113"/>
      <c r="CV189" s="113"/>
      <c r="CW189" s="113"/>
      <c r="CX189" s="113"/>
      <c r="CY189" s="113"/>
      <c r="CZ189" s="113"/>
      <c r="DA189" s="113"/>
      <c r="DB189" s="113"/>
      <c r="DC189" s="113"/>
      <c r="DD189" s="113"/>
      <c r="DE189" s="113"/>
      <c r="DF189" s="113"/>
      <c r="DG189" s="113"/>
      <c r="DH189" s="113"/>
      <c r="DI189" s="113"/>
      <c r="DJ189" s="113"/>
      <c r="DK189" s="113"/>
      <c r="DL189" s="113"/>
      <c r="DM189" s="113"/>
      <c r="DN189" s="113"/>
      <c r="DO189" s="113"/>
      <c r="DP189" s="113"/>
      <c r="DQ189" s="113"/>
      <c r="DR189" s="113"/>
      <c r="DS189" s="113"/>
      <c r="DT189" s="113"/>
      <c r="DU189" s="113"/>
      <c r="DV189" s="113"/>
      <c r="DW189" s="113"/>
      <c r="DX189" s="113"/>
      <c r="DY189" s="113"/>
      <c r="DZ189" s="113"/>
      <c r="EA189" s="113"/>
      <c r="EB189" s="113"/>
      <c r="EC189" s="113"/>
      <c r="ED189" s="113"/>
      <c r="EE189" s="113"/>
      <c r="EF189" s="113"/>
      <c r="EG189" s="113"/>
      <c r="EH189" s="113"/>
      <c r="EI189" s="113"/>
      <c r="EJ189" s="113"/>
      <c r="EK189" s="113"/>
      <c r="EL189" s="113"/>
      <c r="EM189" s="113"/>
      <c r="EN189" s="113"/>
      <c r="EO189" s="113"/>
      <c r="EP189" s="113"/>
      <c r="EQ189" s="113"/>
      <c r="ER189" s="113"/>
      <c r="ES189" s="113"/>
      <c r="ET189" s="113"/>
      <c r="EU189" s="113"/>
      <c r="EV189" s="113"/>
      <c r="EW189" s="113"/>
      <c r="EX189" s="113"/>
      <c r="EY189" s="113"/>
      <c r="EZ189" s="113"/>
      <c r="FA189" s="113"/>
      <c r="FB189" s="113"/>
      <c r="FC189" s="113"/>
      <c r="FD189" s="113"/>
      <c r="FE189" s="113"/>
      <c r="FF189" s="113"/>
      <c r="FG189" s="113"/>
      <c r="FH189" s="113"/>
      <c r="FI189" s="113"/>
      <c r="FJ189" s="113"/>
      <c r="FK189" s="113"/>
      <c r="FL189" s="113"/>
      <c r="FM189" s="113"/>
      <c r="FN189" s="113"/>
      <c r="FO189" s="113"/>
      <c r="FP189" s="113"/>
      <c r="FQ189" s="113"/>
      <c r="FR189" s="113"/>
      <c r="FS189" s="113"/>
      <c r="FT189" s="113"/>
      <c r="FU189" s="113"/>
      <c r="FV189" s="113"/>
      <c r="FW189" s="113"/>
      <c r="FX189" s="113"/>
      <c r="FY189" s="113"/>
      <c r="FZ189" s="113"/>
      <c r="GA189" s="113"/>
      <c r="GB189" s="113"/>
      <c r="GC189" s="113"/>
      <c r="GD189" s="113"/>
      <c r="GE189" s="113"/>
      <c r="GF189" s="113"/>
      <c r="GG189" s="113"/>
      <c r="GH189" s="113"/>
      <c r="GI189" s="113"/>
      <c r="GJ189" s="113"/>
      <c r="GK189" s="113"/>
      <c r="GL189" s="113"/>
      <c r="GM189" s="113"/>
      <c r="GN189" s="113"/>
      <c r="GO189" s="113"/>
      <c r="GP189" s="113"/>
      <c r="GQ189" s="113"/>
      <c r="GR189" s="113"/>
      <c r="GS189" s="113"/>
      <c r="GT189" s="113"/>
      <c r="GU189" s="113"/>
      <c r="GV189" s="113"/>
      <c r="GW189" s="113"/>
      <c r="GX189" s="113"/>
      <c r="GY189" s="113"/>
      <c r="GZ189" s="113"/>
      <c r="HA189" s="113"/>
      <c r="HB189" s="113"/>
      <c r="HC189" s="113"/>
      <c r="HD189" s="113"/>
      <c r="HE189" s="113"/>
      <c r="HF189" s="113"/>
      <c r="HG189" s="113"/>
      <c r="HH189" s="113"/>
      <c r="HI189" s="113"/>
      <c r="HJ189" s="113"/>
      <c r="HK189" s="113"/>
      <c r="HL189" s="113"/>
      <c r="HM189" s="113"/>
      <c r="HN189" s="113"/>
      <c r="HO189" s="113"/>
      <c r="HP189" s="113"/>
      <c r="HQ189" s="113"/>
      <c r="HR189" s="113"/>
      <c r="HS189" s="113"/>
      <c r="HT189" s="113"/>
      <c r="HU189" s="113"/>
      <c r="HV189" s="113"/>
      <c r="HW189" s="113"/>
      <c r="HX189" s="113"/>
      <c r="HY189" s="113"/>
      <c r="HZ189" s="113"/>
      <c r="IA189" s="113"/>
      <c r="IB189" s="113"/>
      <c r="IC189" s="113"/>
      <c r="ID189" s="113"/>
      <c r="IE189" s="113"/>
      <c r="IF189" s="113"/>
      <c r="IG189" s="113"/>
      <c r="IH189" s="113"/>
      <c r="II189" s="113"/>
      <c r="IJ189" s="113"/>
      <c r="IK189" s="113"/>
      <c r="IL189" s="113"/>
      <c r="IM189" s="113"/>
      <c r="IN189" s="113"/>
      <c r="IO189" s="113"/>
      <c r="IP189" s="113"/>
      <c r="IQ189" s="113"/>
      <c r="IR189" s="113"/>
      <c r="IS189" s="113"/>
      <c r="IT189" s="113"/>
      <c r="IU189" s="113"/>
      <c r="IV189" s="113"/>
      <c r="IW189" s="113"/>
      <c r="IX189" s="113"/>
      <c r="IY189" s="113"/>
      <c r="IZ189" s="113"/>
      <c r="JA189" s="113"/>
      <c r="JB189" s="113"/>
      <c r="JC189" s="113"/>
      <c r="JD189" s="113"/>
      <c r="JE189" s="113"/>
      <c r="JF189" s="113"/>
      <c r="JG189" s="113"/>
      <c r="JH189" s="113"/>
      <c r="JI189" s="113"/>
      <c r="JJ189" s="113"/>
      <c r="JK189" s="113"/>
      <c r="JL189" s="113"/>
      <c r="JM189" s="113"/>
      <c r="JN189" s="113"/>
      <c r="JO189" s="113"/>
      <c r="JP189" s="113"/>
      <c r="JQ189" s="113"/>
      <c r="JR189" s="113"/>
      <c r="JS189" s="113"/>
      <c r="JT189" s="113"/>
      <c r="JU189" s="113"/>
      <c r="JV189" s="113"/>
      <c r="JW189" s="113"/>
      <c r="JX189" s="113"/>
      <c r="JY189" s="113"/>
      <c r="JZ189" s="113"/>
      <c r="KA189" s="113"/>
      <c r="KB189" s="113"/>
      <c r="KC189" s="113"/>
      <c r="KD189" s="113"/>
      <c r="KE189" s="113"/>
      <c r="KF189" s="113"/>
      <c r="KG189" s="113"/>
      <c r="KH189" s="113"/>
      <c r="KI189" s="113"/>
      <c r="KJ189" s="113"/>
      <c r="KK189" s="113"/>
      <c r="KL189" s="113"/>
      <c r="KM189" s="113"/>
      <c r="KN189" s="113"/>
      <c r="KO189" s="113"/>
      <c r="KP189" s="113"/>
      <c r="KQ189" s="113"/>
      <c r="KR189" s="113"/>
      <c r="KS189" s="113"/>
      <c r="KT189" s="113"/>
      <c r="KU189" s="113"/>
      <c r="KV189" s="113"/>
      <c r="KW189" s="113"/>
      <c r="KX189" s="113"/>
      <c r="KY189" s="113"/>
      <c r="KZ189" s="113"/>
      <c r="LA189" s="113"/>
      <c r="LB189" s="113"/>
      <c r="LC189" s="113"/>
      <c r="LD189" s="113"/>
      <c r="LE189" s="113"/>
      <c r="LF189" s="113"/>
      <c r="LG189" s="113"/>
      <c r="LH189" s="113"/>
      <c r="LI189" s="113"/>
      <c r="LJ189" s="113"/>
      <c r="LK189" s="113"/>
      <c r="LL189" s="113"/>
      <c r="LM189" s="113"/>
      <c r="LN189" s="113"/>
      <c r="LO189" s="113"/>
      <c r="LP189" s="113"/>
      <c r="LQ189" s="113"/>
      <c r="LR189" s="113"/>
      <c r="LS189" s="113"/>
      <c r="LT189" s="113"/>
      <c r="LU189" s="113"/>
      <c r="LV189" s="113"/>
      <c r="LW189" s="113"/>
      <c r="LX189" s="113"/>
      <c r="LY189" s="113"/>
      <c r="LZ189" s="113"/>
      <c r="MA189" s="113"/>
      <c r="MB189" s="113"/>
      <c r="MC189" s="113"/>
      <c r="MD189" s="113"/>
      <c r="ME189" s="113"/>
      <c r="MF189" s="113"/>
      <c r="MG189" s="113"/>
      <c r="MH189" s="113"/>
      <c r="MI189" s="113"/>
      <c r="MJ189" s="113"/>
      <c r="MK189" s="113"/>
      <c r="ML189" s="113"/>
      <c r="MM189" s="113"/>
      <c r="MN189" s="113"/>
      <c r="MO189" s="113"/>
      <c r="MP189" s="113"/>
      <c r="MQ189" s="113"/>
      <c r="MR189" s="113"/>
      <c r="MS189" s="113"/>
      <c r="MT189" s="113"/>
      <c r="MU189" s="113"/>
      <c r="MV189" s="113"/>
      <c r="MW189" s="113"/>
      <c r="MX189" s="113"/>
      <c r="MY189" s="113"/>
      <c r="MZ189" s="113"/>
      <c r="NA189" s="113"/>
      <c r="NB189" s="113"/>
      <c r="NC189" s="113"/>
      <c r="ND189" s="113"/>
      <c r="NE189" s="113"/>
      <c r="NF189" s="113"/>
      <c r="NG189" s="113"/>
      <c r="NH189" s="113"/>
      <c r="NI189" s="113"/>
      <c r="NJ189" s="113"/>
      <c r="NK189" s="113"/>
      <c r="NL189" s="113"/>
      <c r="NM189" s="113"/>
      <c r="NN189" s="113"/>
      <c r="NO189" s="113"/>
      <c r="NP189" s="113"/>
      <c r="NQ189" s="113"/>
      <c r="NR189" s="113"/>
      <c r="NS189" s="113"/>
      <c r="NT189" s="113"/>
      <c r="NU189" s="113"/>
      <c r="NV189" s="113"/>
      <c r="NW189" s="113"/>
      <c r="NX189" s="113"/>
      <c r="NY189" s="113"/>
      <c r="NZ189" s="113"/>
      <c r="OA189" s="113"/>
      <c r="OB189" s="113"/>
      <c r="OC189" s="113"/>
      <c r="OD189" s="113"/>
      <c r="OE189" s="113"/>
      <c r="OF189" s="113"/>
      <c r="OG189" s="113"/>
      <c r="OH189" s="113"/>
      <c r="OI189" s="113"/>
      <c r="OJ189" s="113"/>
      <c r="OK189" s="113"/>
      <c r="OL189" s="113"/>
      <c r="OM189" s="113"/>
      <c r="ON189" s="113"/>
      <c r="OO189" s="113"/>
      <c r="OP189" s="113"/>
      <c r="OQ189" s="113"/>
      <c r="OR189" s="113"/>
      <c r="OS189" s="113"/>
      <c r="OT189" s="113"/>
      <c r="OU189" s="113"/>
      <c r="OV189" s="113"/>
      <c r="OW189" s="113"/>
      <c r="OX189" s="113"/>
      <c r="OY189" s="113"/>
      <c r="OZ189" s="113"/>
      <c r="PA189" s="113"/>
      <c r="PB189" s="113"/>
      <c r="PC189" s="113"/>
      <c r="PD189" s="113"/>
      <c r="PE189" s="113"/>
      <c r="PF189" s="113"/>
      <c r="PG189" s="113"/>
      <c r="PH189" s="113"/>
      <c r="PI189" s="113"/>
      <c r="PJ189" s="113"/>
      <c r="PK189" s="113"/>
      <c r="PL189" s="113"/>
      <c r="PM189" s="113"/>
      <c r="PN189" s="113"/>
      <c r="PO189" s="113"/>
      <c r="PP189" s="113"/>
      <c r="PQ189" s="113"/>
      <c r="PR189" s="113"/>
      <c r="PS189" s="113"/>
      <c r="PT189" s="113"/>
      <c r="PU189" s="113"/>
      <c r="PV189" s="113"/>
      <c r="PW189" s="113"/>
      <c r="PX189" s="113"/>
      <c r="PY189" s="113"/>
      <c r="PZ189" s="113"/>
      <c r="QA189" s="113"/>
      <c r="QB189" s="113"/>
      <c r="QC189" s="113"/>
      <c r="QD189" s="113"/>
      <c r="QE189" s="113"/>
      <c r="QF189" s="113"/>
      <c r="QG189" s="113"/>
      <c r="QH189" s="113"/>
      <c r="QI189" s="113"/>
      <c r="QJ189" s="113"/>
      <c r="QK189" s="113"/>
      <c r="QL189" s="113"/>
      <c r="QM189" s="113"/>
      <c r="QN189" s="113"/>
      <c r="QO189" s="113"/>
      <c r="QP189" s="113"/>
      <c r="QQ189" s="113"/>
      <c r="QR189" s="113"/>
      <c r="QS189" s="113"/>
      <c r="QT189" s="113"/>
      <c r="QU189" s="113"/>
      <c r="QV189" s="113"/>
      <c r="QW189" s="113"/>
      <c r="QX189" s="113"/>
      <c r="QY189" s="113"/>
      <c r="QZ189" s="113"/>
      <c r="RA189" s="113"/>
      <c r="RB189" s="113"/>
      <c r="RC189" s="113"/>
      <c r="RD189" s="113"/>
      <c r="RE189" s="113"/>
      <c r="RF189" s="113"/>
      <c r="RG189" s="113"/>
      <c r="RH189" s="113"/>
      <c r="RI189" s="113"/>
      <c r="RJ189" s="113"/>
      <c r="RK189" s="113"/>
      <c r="RL189" s="113"/>
      <c r="RM189" s="113"/>
      <c r="RN189" s="113"/>
      <c r="RO189" s="113"/>
      <c r="RP189" s="113"/>
      <c r="RQ189" s="113"/>
      <c r="RR189" s="113"/>
      <c r="RS189" s="113"/>
      <c r="RT189" s="113"/>
      <c r="RU189" s="113"/>
      <c r="RV189" s="113"/>
      <c r="RW189" s="113"/>
      <c r="RX189" s="113"/>
      <c r="RY189" s="113"/>
      <c r="RZ189" s="113"/>
      <c r="SA189" s="113"/>
      <c r="SB189" s="113"/>
      <c r="SC189" s="113"/>
      <c r="SD189" s="113"/>
      <c r="SE189" s="113"/>
      <c r="SF189" s="113"/>
      <c r="SG189" s="113"/>
      <c r="SH189" s="113"/>
      <c r="SI189" s="113"/>
      <c r="SJ189" s="113"/>
      <c r="SK189" s="113"/>
      <c r="SL189" s="113"/>
      <c r="SM189" s="113"/>
      <c r="SN189" s="113"/>
      <c r="SO189" s="113"/>
      <c r="SP189" s="113"/>
      <c r="SQ189" s="113"/>
      <c r="SR189" s="113"/>
      <c r="SS189" s="113"/>
      <c r="ST189" s="113"/>
      <c r="SU189" s="113"/>
      <c r="SV189" s="113"/>
      <c r="SW189" s="113"/>
      <c r="SX189" s="113"/>
      <c r="SY189" s="113"/>
      <c r="SZ189" s="113"/>
      <c r="TA189" s="113"/>
      <c r="TB189" s="113"/>
      <c r="TC189" s="113"/>
      <c r="TD189" s="113"/>
      <c r="TE189" s="113"/>
      <c r="TF189" s="113"/>
      <c r="TG189" s="113"/>
      <c r="TH189" s="113"/>
      <c r="TI189" s="113"/>
      <c r="TJ189" s="113"/>
      <c r="TK189" s="113"/>
      <c r="TL189" s="113"/>
      <c r="TM189" s="113"/>
      <c r="TN189" s="113"/>
      <c r="TO189" s="113"/>
      <c r="TP189" s="113"/>
      <c r="TQ189" s="113"/>
      <c r="TR189" s="113"/>
      <c r="TS189" s="113"/>
      <c r="TT189" s="113"/>
      <c r="TU189" s="113"/>
      <c r="TV189" s="113"/>
      <c r="TW189" s="113"/>
      <c r="TX189" s="113"/>
      <c r="TY189" s="113"/>
      <c r="TZ189" s="113"/>
      <c r="UA189" s="113"/>
      <c r="UB189" s="113"/>
      <c r="UC189" s="113"/>
      <c r="UD189" s="113"/>
      <c r="UE189" s="113"/>
      <c r="UF189" s="113"/>
      <c r="UG189" s="113"/>
      <c r="UH189" s="113"/>
      <c r="UI189" s="113"/>
      <c r="UJ189" s="113"/>
      <c r="UK189" s="113"/>
      <c r="UL189" s="113"/>
      <c r="UM189" s="113"/>
      <c r="UN189" s="113"/>
      <c r="UO189" s="113"/>
      <c r="UP189" s="113"/>
      <c r="UQ189" s="113"/>
      <c r="UR189" s="113"/>
      <c r="US189" s="113"/>
      <c r="UT189" s="113"/>
      <c r="UU189" s="113"/>
      <c r="UV189" s="113"/>
      <c r="UW189" s="113"/>
      <c r="UX189" s="113"/>
      <c r="UY189" s="113"/>
      <c r="UZ189" s="113"/>
      <c r="VA189" s="113"/>
      <c r="VB189" s="113"/>
      <c r="VC189" s="113"/>
      <c r="VD189" s="113"/>
      <c r="VE189" s="113"/>
      <c r="VF189" s="113"/>
      <c r="VG189" s="113"/>
      <c r="VH189" s="113"/>
      <c r="VI189" s="113"/>
      <c r="VJ189" s="113"/>
      <c r="VK189" s="113"/>
      <c r="VL189" s="113"/>
      <c r="VM189" s="113"/>
      <c r="VN189" s="113"/>
      <c r="VO189" s="113"/>
      <c r="VP189" s="113"/>
      <c r="VQ189" s="113"/>
      <c r="VR189" s="113"/>
      <c r="VS189" s="113"/>
      <c r="VT189" s="113"/>
      <c r="VU189" s="113"/>
      <c r="VV189" s="113"/>
      <c r="VW189" s="113"/>
      <c r="VX189" s="113"/>
      <c r="VY189" s="113"/>
      <c r="VZ189" s="113"/>
      <c r="WA189" s="113"/>
      <c r="WB189" s="113"/>
      <c r="WC189" s="113"/>
      <c r="WD189" s="113"/>
      <c r="WE189" s="113"/>
      <c r="WF189" s="113"/>
      <c r="WG189" s="113"/>
      <c r="WH189" s="113"/>
      <c r="WI189" s="113"/>
      <c r="WJ189" s="113"/>
      <c r="WK189" s="113"/>
      <c r="WL189" s="113"/>
      <c r="WM189" s="113"/>
      <c r="WN189" s="113"/>
      <c r="WO189" s="113"/>
      <c r="WP189" s="113"/>
      <c r="WQ189" s="113"/>
      <c r="WR189" s="113"/>
      <c r="WS189" s="113"/>
      <c r="WT189" s="113"/>
      <c r="WU189" s="113"/>
      <c r="WV189" s="113"/>
      <c r="WW189" s="113"/>
      <c r="WX189" s="113"/>
      <c r="WY189" s="113"/>
      <c r="WZ189" s="113"/>
      <c r="XA189" s="113"/>
      <c r="XB189" s="113"/>
      <c r="XC189" s="113"/>
      <c r="XD189" s="113"/>
      <c r="XE189" s="113"/>
      <c r="XF189" s="113"/>
      <c r="XG189" s="113"/>
      <c r="XH189" s="113"/>
      <c r="XI189" s="113"/>
      <c r="XJ189" s="113"/>
      <c r="XK189" s="113"/>
      <c r="XL189" s="113"/>
      <c r="XM189" s="113"/>
      <c r="XN189" s="113"/>
      <c r="XO189" s="113"/>
      <c r="XP189" s="113"/>
      <c r="XQ189" s="113"/>
      <c r="XR189" s="113"/>
      <c r="XS189" s="113"/>
      <c r="XT189" s="113"/>
      <c r="XU189" s="113"/>
      <c r="XV189" s="113"/>
      <c r="XW189" s="113"/>
      <c r="XX189" s="113"/>
      <c r="XY189" s="113"/>
      <c r="XZ189" s="113"/>
      <c r="YA189" s="113"/>
      <c r="YB189" s="113"/>
      <c r="YC189" s="113"/>
      <c r="YD189" s="113"/>
      <c r="YE189" s="113"/>
      <c r="YF189" s="113"/>
      <c r="YG189" s="113"/>
      <c r="YH189" s="113"/>
      <c r="YI189" s="113"/>
      <c r="YJ189" s="113"/>
      <c r="YK189" s="113"/>
      <c r="YL189" s="113"/>
      <c r="YM189" s="113"/>
      <c r="YN189" s="113"/>
      <c r="YO189" s="113"/>
      <c r="YP189" s="113"/>
      <c r="YQ189" s="113"/>
      <c r="YR189" s="113"/>
      <c r="YS189" s="113"/>
      <c r="YT189" s="113"/>
      <c r="YU189" s="113"/>
      <c r="YV189" s="113"/>
      <c r="YW189" s="113"/>
      <c r="YX189" s="113"/>
      <c r="YY189" s="113"/>
      <c r="YZ189" s="113"/>
      <c r="ZA189" s="113"/>
      <c r="ZB189" s="113"/>
      <c r="ZC189" s="113"/>
      <c r="ZD189" s="113"/>
      <c r="ZE189" s="113"/>
      <c r="ZF189" s="113"/>
      <c r="ZG189" s="113"/>
      <c r="ZH189" s="113"/>
      <c r="ZI189" s="113"/>
      <c r="ZJ189" s="113"/>
      <c r="ZK189" s="113"/>
      <c r="ZL189" s="113"/>
      <c r="ZM189" s="113"/>
      <c r="ZN189" s="113"/>
      <c r="ZO189" s="113"/>
      <c r="ZP189" s="113"/>
      <c r="ZQ189" s="113"/>
      <c r="ZR189" s="113"/>
      <c r="ZS189" s="113"/>
      <c r="ZT189" s="113"/>
      <c r="ZU189" s="113"/>
      <c r="ZV189" s="113"/>
      <c r="ZW189" s="113"/>
      <c r="ZX189" s="113"/>
      <c r="ZY189" s="113"/>
      <c r="ZZ189" s="113"/>
      <c r="AAA189" s="113"/>
      <c r="AAB189" s="113"/>
      <c r="AAC189" s="113"/>
      <c r="AAD189" s="113"/>
      <c r="AAE189" s="113"/>
      <c r="AAF189" s="113"/>
      <c r="AAG189" s="113"/>
      <c r="AAH189" s="113"/>
      <c r="AAI189" s="113"/>
      <c r="AAJ189" s="113"/>
      <c r="AAK189" s="113"/>
      <c r="AAL189" s="113"/>
      <c r="AAM189" s="113"/>
      <c r="AAN189" s="113"/>
      <c r="AAO189" s="113"/>
      <c r="AAP189" s="113"/>
      <c r="AAQ189" s="113"/>
      <c r="AAR189" s="113"/>
      <c r="AAS189" s="113"/>
      <c r="AAT189" s="113"/>
      <c r="AAU189" s="113"/>
      <c r="AAV189" s="113"/>
      <c r="AAW189" s="113"/>
      <c r="AAX189" s="113"/>
      <c r="AAY189" s="113"/>
      <c r="AAZ189" s="113"/>
      <c r="ABA189" s="113"/>
      <c r="ABB189" s="113"/>
      <c r="ABC189" s="113"/>
      <c r="ABD189" s="113"/>
      <c r="ABE189" s="113"/>
      <c r="ABF189" s="113"/>
      <c r="ABG189" s="113"/>
      <c r="ABH189" s="113"/>
      <c r="ABI189" s="113"/>
      <c r="ABJ189" s="113"/>
      <c r="ABK189" s="113"/>
      <c r="ABL189" s="113"/>
      <c r="ABM189" s="113"/>
      <c r="ABN189" s="113"/>
      <c r="ABO189" s="113"/>
      <c r="ABP189" s="113"/>
      <c r="ABQ189" s="113"/>
      <c r="ABR189" s="113"/>
      <c r="ABS189" s="113"/>
      <c r="ABT189" s="113"/>
      <c r="ABU189" s="113"/>
      <c r="ABV189" s="113"/>
      <c r="ABW189" s="113"/>
      <c r="ABX189" s="113"/>
      <c r="ABY189" s="113"/>
      <c r="ABZ189" s="113"/>
      <c r="ACA189" s="113"/>
      <c r="ACB189" s="113"/>
      <c r="ACC189" s="113"/>
      <c r="ACD189" s="113"/>
      <c r="ACE189" s="113"/>
      <c r="ACF189" s="113"/>
      <c r="ACG189" s="113"/>
      <c r="ACH189" s="113"/>
      <c r="ACI189" s="113"/>
      <c r="ACJ189" s="113"/>
      <c r="ACK189" s="113"/>
      <c r="ACL189" s="113"/>
      <c r="ACM189" s="113"/>
      <c r="ACN189" s="113"/>
      <c r="ACO189" s="113"/>
      <c r="ACP189" s="113"/>
      <c r="ACQ189" s="113"/>
      <c r="ACR189" s="113"/>
      <c r="ACS189" s="113"/>
      <c r="ACT189" s="113"/>
      <c r="ACU189" s="113"/>
      <c r="ACV189" s="113"/>
      <c r="ACW189" s="113"/>
      <c r="ACX189" s="113"/>
      <c r="ACY189" s="113"/>
      <c r="ACZ189" s="113"/>
      <c r="ADA189" s="113"/>
      <c r="ADB189" s="113"/>
      <c r="ADC189" s="113"/>
      <c r="ADD189" s="113"/>
      <c r="ADE189" s="113"/>
      <c r="ADF189" s="113"/>
      <c r="ADG189" s="113"/>
      <c r="ADH189" s="113"/>
      <c r="ADI189" s="113"/>
      <c r="ADJ189" s="113"/>
      <c r="ADK189" s="113"/>
      <c r="ADL189" s="113"/>
      <c r="ADM189" s="113"/>
      <c r="ADN189" s="113"/>
      <c r="ADO189" s="113"/>
      <c r="ADP189" s="113"/>
      <c r="ADQ189" s="113"/>
      <c r="ADR189" s="113"/>
      <c r="ADS189" s="113"/>
      <c r="ADT189" s="113"/>
      <c r="ADU189" s="113"/>
      <c r="ADV189" s="113"/>
      <c r="ADW189" s="113"/>
      <c r="ADX189" s="113"/>
      <c r="ADY189" s="113"/>
      <c r="ADZ189" s="113"/>
      <c r="AEA189" s="113"/>
      <c r="AEB189" s="113"/>
      <c r="AEC189" s="113"/>
      <c r="AED189" s="113"/>
      <c r="AEE189" s="113"/>
      <c r="AEF189" s="113"/>
      <c r="AEG189" s="113"/>
      <c r="AEH189" s="113"/>
      <c r="AEI189" s="113"/>
      <c r="AEJ189" s="113"/>
      <c r="AEK189" s="113"/>
      <c r="AEL189" s="113"/>
      <c r="AEM189" s="113"/>
      <c r="AEN189" s="113"/>
      <c r="AEO189" s="113"/>
      <c r="AEP189" s="113"/>
      <c r="AEQ189" s="113"/>
      <c r="AER189" s="113"/>
      <c r="AES189" s="113"/>
      <c r="AET189" s="113"/>
      <c r="AEU189" s="113"/>
      <c r="AEV189" s="113"/>
      <c r="AEW189" s="113"/>
      <c r="AEX189" s="113"/>
      <c r="AEY189" s="113"/>
      <c r="AEZ189" s="113"/>
      <c r="AFA189" s="113"/>
      <c r="AFB189" s="113"/>
      <c r="AFC189" s="113"/>
      <c r="AFD189" s="113"/>
      <c r="AFE189" s="113"/>
      <c r="AFF189" s="113"/>
      <c r="AFG189" s="113"/>
      <c r="AFH189" s="113"/>
      <c r="AFI189" s="113"/>
      <c r="AFJ189" s="113"/>
      <c r="AFK189" s="113"/>
      <c r="AFL189" s="113"/>
      <c r="AFM189" s="113"/>
      <c r="AFN189" s="113"/>
      <c r="AFO189" s="113"/>
      <c r="AFP189" s="113"/>
      <c r="AFQ189" s="113"/>
      <c r="AFR189" s="113"/>
      <c r="AFS189" s="113"/>
      <c r="AFT189" s="113"/>
      <c r="AFU189" s="113"/>
      <c r="AFV189" s="113"/>
      <c r="AFW189" s="113"/>
      <c r="AFX189" s="113"/>
      <c r="AFY189" s="113"/>
      <c r="AFZ189" s="113"/>
      <c r="AGA189" s="113"/>
      <c r="AGB189" s="113"/>
      <c r="AGC189" s="113"/>
      <c r="AGD189" s="113"/>
      <c r="AGE189" s="113"/>
      <c r="AGF189" s="113"/>
      <c r="AGG189" s="113"/>
      <c r="AGH189" s="113"/>
      <c r="AGI189" s="113"/>
      <c r="AGJ189" s="113"/>
      <c r="AGK189" s="113"/>
      <c r="AGL189" s="113"/>
      <c r="AGM189" s="113"/>
      <c r="AGN189" s="113"/>
      <c r="AGO189" s="113"/>
      <c r="AGP189" s="113"/>
      <c r="AGQ189" s="113"/>
      <c r="AGR189" s="113"/>
      <c r="AGS189" s="113"/>
      <c r="AGT189" s="113"/>
      <c r="AGU189" s="113"/>
      <c r="AGV189" s="113"/>
      <c r="AGW189" s="113"/>
      <c r="AGX189" s="113"/>
      <c r="AGY189" s="113"/>
      <c r="AGZ189" s="113"/>
      <c r="AHA189" s="113"/>
      <c r="AHB189" s="113"/>
      <c r="AHC189" s="113"/>
      <c r="AHD189" s="113"/>
      <c r="AHE189" s="113"/>
      <c r="AHF189" s="113"/>
      <c r="AHG189" s="113"/>
      <c r="AHH189" s="113"/>
      <c r="AHI189" s="113"/>
      <c r="AHJ189" s="113"/>
      <c r="AHK189" s="113"/>
      <c r="AHL189" s="113"/>
      <c r="AHM189" s="113"/>
      <c r="AHN189" s="113"/>
      <c r="AHO189" s="113"/>
      <c r="AHP189" s="113"/>
      <c r="AHQ189" s="113"/>
      <c r="AHR189" s="113"/>
      <c r="AHS189" s="113"/>
      <c r="AHT189" s="113"/>
      <c r="AHU189" s="113"/>
      <c r="AHV189" s="113"/>
      <c r="AHW189" s="113"/>
      <c r="AHX189" s="113"/>
      <c r="AHY189" s="113"/>
      <c r="AHZ189" s="113"/>
      <c r="AIA189" s="113"/>
      <c r="AIB189" s="113"/>
      <c r="AIC189" s="113"/>
      <c r="AID189" s="113"/>
      <c r="AIE189" s="113"/>
      <c r="AIF189" s="113"/>
      <c r="AIG189" s="113"/>
      <c r="AIH189" s="113"/>
      <c r="AII189" s="113"/>
      <c r="AIJ189" s="113"/>
      <c r="AIK189" s="113"/>
      <c r="AIL189" s="113"/>
      <c r="AIM189" s="113"/>
      <c r="AIN189" s="113"/>
      <c r="AIO189" s="113"/>
      <c r="AIP189" s="113"/>
      <c r="AIQ189" s="113"/>
      <c r="AIR189" s="113"/>
      <c r="AIS189" s="113"/>
      <c r="AIT189" s="113"/>
      <c r="AIU189" s="113"/>
      <c r="AIV189" s="113"/>
      <c r="AIW189" s="113"/>
      <c r="AIX189" s="113"/>
      <c r="AIY189" s="113"/>
      <c r="AIZ189" s="113"/>
    </row>
    <row r="190">
      <c r="A190" s="65" t="s">
        <v>54</v>
      </c>
      <c r="B190" s="65" t="s">
        <v>62</v>
      </c>
      <c r="C190" s="65"/>
      <c r="D190" s="64">
        <f t="shared" si="1"/>
        <v>378.9383667</v>
      </c>
      <c r="F190" s="65">
        <v>2.53966666666667</v>
      </c>
      <c r="G190" s="65">
        <v>44.3757</v>
      </c>
      <c r="H190" s="65">
        <v>30.0143833333333</v>
      </c>
      <c r="I190" s="65">
        <v>7.64118333333334</v>
      </c>
      <c r="J190" s="65">
        <v>0.519633333333333</v>
      </c>
      <c r="K190" s="65">
        <v>31.2042</v>
      </c>
      <c r="N190" s="65">
        <v>11.3518</v>
      </c>
      <c r="Q190" s="65">
        <v>0.2074</v>
      </c>
      <c r="R190" s="65">
        <v>28.5414833333333</v>
      </c>
      <c r="S190" s="65">
        <v>23.107</v>
      </c>
      <c r="T190" s="65">
        <v>5.1376</v>
      </c>
      <c r="U190" s="65">
        <v>18.9374833333333</v>
      </c>
      <c r="X190" s="65">
        <v>0.141616666666667</v>
      </c>
      <c r="Y190" s="65">
        <v>23.9121166666667</v>
      </c>
      <c r="Z190" s="65">
        <v>24.6338833333333</v>
      </c>
      <c r="AA190" s="65">
        <v>8.21403333333333</v>
      </c>
      <c r="AB190" s="65">
        <v>36.0512333333334</v>
      </c>
      <c r="AE190" s="65">
        <v>0.362616666666667</v>
      </c>
      <c r="AF190" s="65">
        <v>7.0403</v>
      </c>
      <c r="AG190" s="65">
        <v>15.4519166666667</v>
      </c>
      <c r="AH190" s="65">
        <v>2.68251666666667</v>
      </c>
      <c r="AI190" s="65">
        <v>20.2524166666667</v>
      </c>
      <c r="AL190" s="65">
        <v>1.03958333333333</v>
      </c>
      <c r="AM190" s="65">
        <v>1.11978333333333</v>
      </c>
      <c r="AN190" s="65">
        <v>7.199</v>
      </c>
      <c r="AQ190" s="65">
        <v>0.336216666666667</v>
      </c>
      <c r="AR190" s="65">
        <v>2.44456666666667</v>
      </c>
      <c r="AU190" s="65">
        <v>24.4790333333334</v>
      </c>
    </row>
    <row r="191">
      <c r="A191" s="65" t="s">
        <v>54</v>
      </c>
      <c r="B191" s="65" t="s">
        <v>62</v>
      </c>
      <c r="C191" s="65"/>
      <c r="D191" s="64">
        <f t="shared" si="1"/>
        <v>0</v>
      </c>
    </row>
    <row r="192">
      <c r="A192" s="65" t="s">
        <v>54</v>
      </c>
      <c r="B192" s="65" t="s">
        <v>62</v>
      </c>
      <c r="C192" s="65"/>
      <c r="D192" s="64">
        <f t="shared" si="1"/>
        <v>374.0204</v>
      </c>
      <c r="F192" s="118">
        <f>HYPERLINK("https://docs.google.com/spreadsheets/d/1R5xOldfrDIsSJsFzJidE69NQqKEF0Fcq", 2.53966666666667)</f>
        <v>2.539666667</v>
      </c>
      <c r="G192" s="118">
        <f>HYPERLINK("https://docs.google.com/spreadsheets/d/1Qees6eVMvephBCMQ9Xv38Ee0gT56w_2J", 44.37575)</f>
        <v>44.37575</v>
      </c>
      <c r="H192" s="118">
        <f>HYPERLINK("https://docs.google.com/spreadsheets/d/1Qpy4MuGXGjT_-wq9gDMt02L0ZMZQVxLS", 30.0143833333333)</f>
        <v>30.01438333</v>
      </c>
      <c r="I192" s="118">
        <f>HYPERLINK("https://docs.google.com/spreadsheets/d/1itxXLj5rMRa_blVtLe31cTilJs3Tg2jQ", 7.59828333333334)</f>
        <v>7.598283333</v>
      </c>
      <c r="J192" s="118">
        <f>HYPERLINK("https://docs.google.com/spreadsheets/d/1uwbormKVTeuElEPgJkPGuJq94cdu9fyu", 0.519633333333333)</f>
        <v>0.5196333333</v>
      </c>
      <c r="K192" s="118">
        <f>HYPERLINK("https://docs.google.com/spreadsheets/d/1DSNYRiEsAAaErJJfasfyPoLMjn5TUgAI", 30.94385)</f>
        <v>30.94385</v>
      </c>
      <c r="N192" s="118">
        <f>HYPERLINK("https://docs.google.com/spreadsheets/d/1XwbyFtgaIp-OYEvX7U7W5auNAv8ov0t4", 11.3517833333333)</f>
        <v>11.35178333</v>
      </c>
      <c r="Q192" s="118">
        <f>HYPERLINK("https://docs.google.com/spreadsheets/d/1iohdDCDIhbZamNVxNBvMB-L2oCDK-38t", 0.2074)</f>
        <v>0.2074</v>
      </c>
      <c r="R192" s="118">
        <f>HYPERLINK("https://docs.google.com/spreadsheets/d/1qm10fgbt8d6NY2cPf2UErw3hMc1Uvoi-", 27.7624333333333)</f>
        <v>27.76243333</v>
      </c>
      <c r="S192" s="118">
        <f>HYPERLINK("https://docs.google.com/spreadsheets/d/1K0bCyGhW70jmNopvWGtHUUnr0GGGeMqW", 20.9311166666667)</f>
        <v>20.93111667</v>
      </c>
      <c r="T192" s="118">
        <f>HYPERLINK("https://docs.google.com/spreadsheets/d/1hAFzWyrWZS5e-ppVXnh5z8JUDhbsCZbE", 4.82761666666667)</f>
        <v>4.827616667</v>
      </c>
      <c r="U192" s="118">
        <f>HYPERLINK("https://docs.google.com/spreadsheets/d/1AzAT1undem-nBrsEDBhHgv235Y4zAWzA", 18.80865)</f>
        <v>18.80865</v>
      </c>
      <c r="X192" s="118">
        <f>HYPERLINK("https://docs.google.com/spreadsheets/d/1fGKbm_NDGMHVg9wXXC1mnP1Ja_rrdB3H", 0.141616666666667)</f>
        <v>0.1416166667</v>
      </c>
      <c r="Y192" s="118">
        <f>HYPERLINK("https://docs.google.com/spreadsheets/d/1H-n_6WwXCpyRe3AdTw0TC2qqo3ia660x", 23.9121)</f>
        <v>23.9121</v>
      </c>
      <c r="Z192" s="118">
        <f>HYPERLINK("https://docs.google.com/spreadsheets/d/1nu4W-chHFu5NUfPfxzV1zbU9L6qf69y0", 24.6339)</f>
        <v>24.6339</v>
      </c>
      <c r="AA192" s="118">
        <f>HYPERLINK("https://docs.google.com/spreadsheets/d/1rVOs-1uVyM-nrfL4jdIa1RJugbiXolyB", 8.21403333333333)</f>
        <v>8.214033333</v>
      </c>
      <c r="AB192" s="118">
        <f>HYPERLINK("https://docs.google.com/spreadsheets/d/1BysfazcmX7lDSWZmdnuYxQERIBZLlWqs", 35.9112666666667)</f>
        <v>35.91126667</v>
      </c>
      <c r="AE192" s="118">
        <f>HYPERLINK("https://docs.google.com/spreadsheets/d/1Ge-RvliQRuPfBZ07wAfaGWkWDgOuMYcT", 0.362616666666667)</f>
        <v>0.3626166667</v>
      </c>
      <c r="AF192" s="118">
        <f>HYPERLINK("https://docs.google.com/spreadsheets/d/1gJcLbe7cimL0dVCMDJUfr0Pgs0g2d_WU", 6.90175)</f>
        <v>6.90175</v>
      </c>
      <c r="AG192" s="118">
        <f>HYPERLINK("https://docs.google.com/spreadsheets/d/1_62jCe9u9JPlMACmo_VK_VppQ-CXkK57", 15.4519166666667)</f>
        <v>15.45191667</v>
      </c>
      <c r="AH192" s="118">
        <f>HYPERLINK("https://docs.google.com/spreadsheets/d/1SJJEgNwwjshllXQTgiXyviFZFvgGgAL5", 2.68251666666667)</f>
        <v>2.682516667</v>
      </c>
      <c r="AI192" s="118">
        <f>HYPERLINK("https://docs.google.com/spreadsheets/d/1Bt-7yjnu8SBDMGYecqVEr9YwVujY0Vxn", 19.9479166666667)</f>
        <v>19.94791667</v>
      </c>
      <c r="AL192" s="118">
        <f>HYPERLINK("https://docs.google.com/spreadsheets/d/1gSvajVwEp2c70vYBM_s5etAjnLxJkTsf", 1.03958333333333)</f>
        <v>1.039583333</v>
      </c>
      <c r="AM192" s="118">
        <f>HYPERLINK("https://docs.google.com/spreadsheets/d/19-WeiZlQalk5__-opfHaoaGFJF1mfD3d", 0.4818)</f>
        <v>0.4818</v>
      </c>
      <c r="AN192" s="118">
        <f>HYPERLINK("https://docs.google.com/spreadsheets/d/1g8RH6nDbJGsIl7XjPzyNCx1_xEKLkdA6", 7.199)</f>
        <v>7.199</v>
      </c>
      <c r="AQ192" s="118">
        <f>HYPERLINK("https://docs.google.com/spreadsheets/d/16xQGgEnfq7RZk4BjyW5GN0-8DSRduhHj", 0.336216666666667)</f>
        <v>0.3362166667</v>
      </c>
      <c r="AR192" s="118">
        <f>HYPERLINK("https://docs.google.com/spreadsheets/d/1Lt6CWzfXslewhPgB6Bd5hyL_npiaLibq", 2.44456666666667)</f>
        <v>2.444566667</v>
      </c>
      <c r="AU192" s="118">
        <f>HYPERLINK("https://docs.google.com/spreadsheets/d/1SqAQBiNjbRWS7hV5B5TjOYaiPlQHx4mx", 24.4790333333334)</f>
        <v>24.47903333</v>
      </c>
    </row>
    <row r="193">
      <c r="A193" s="65" t="s">
        <v>54</v>
      </c>
      <c r="B193" s="65" t="s">
        <v>62</v>
      </c>
      <c r="C193" s="65"/>
      <c r="D193" s="64">
        <f t="shared" si="1"/>
        <v>187.0347167</v>
      </c>
      <c r="F193" s="65">
        <v>0.0</v>
      </c>
      <c r="G193" s="65">
        <v>22.19605</v>
      </c>
      <c r="H193" s="65">
        <v>10.1395666666667</v>
      </c>
      <c r="I193" s="65">
        <v>1.99196666666667</v>
      </c>
      <c r="J193" s="65">
        <v>0.0</v>
      </c>
      <c r="K193" s="65">
        <v>19.2495166666667</v>
      </c>
      <c r="N193" s="65">
        <v>5.37445</v>
      </c>
      <c r="Q193" s="65">
        <v>0.0</v>
      </c>
      <c r="R193" s="65">
        <v>13.6994166666667</v>
      </c>
      <c r="S193" s="65">
        <v>9.53696666666667</v>
      </c>
      <c r="T193" s="65">
        <v>3.52365</v>
      </c>
      <c r="U193" s="65">
        <v>6.29751666666667</v>
      </c>
      <c r="X193" s="65">
        <v>0.141616666666667</v>
      </c>
      <c r="Y193" s="65">
        <v>9.34713333333333</v>
      </c>
      <c r="Z193" s="65">
        <v>9.41795</v>
      </c>
      <c r="AA193" s="65">
        <v>5.07773333333333</v>
      </c>
      <c r="AB193" s="65">
        <v>21.2292166666667</v>
      </c>
      <c r="AE193" s="65">
        <v>0.181816666666667</v>
      </c>
      <c r="AF193" s="65">
        <v>2.75351666666667</v>
      </c>
      <c r="AG193" s="65">
        <v>5.53183333333333</v>
      </c>
      <c r="AH193" s="65">
        <v>0.725666666666667</v>
      </c>
      <c r="AI193" s="65">
        <v>14.3859166666667</v>
      </c>
      <c r="AL193" s="65">
        <v>0.44625</v>
      </c>
      <c r="AM193" s="65">
        <v>0.0</v>
      </c>
      <c r="AN193" s="65">
        <v>3.89141666666667</v>
      </c>
      <c r="AQ193" s="65">
        <v>0.212833333333333</v>
      </c>
      <c r="AR193" s="65">
        <v>1.84401666666667</v>
      </c>
      <c r="AU193" s="65">
        <v>19.8387</v>
      </c>
    </row>
    <row r="194">
      <c r="A194" s="119" t="s">
        <v>54</v>
      </c>
      <c r="B194" s="119" t="s">
        <v>62</v>
      </c>
      <c r="C194" s="119"/>
      <c r="D194" s="120">
        <f t="shared" si="1"/>
        <v>0</v>
      </c>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c r="AA194" s="120"/>
      <c r="AB194" s="120"/>
      <c r="AC194" s="120"/>
      <c r="AD194" s="120"/>
      <c r="AE194" s="120"/>
      <c r="AF194" s="120"/>
      <c r="AG194" s="120"/>
      <c r="AH194" s="120"/>
      <c r="AI194" s="120"/>
      <c r="AJ194" s="120"/>
      <c r="AK194" s="120"/>
      <c r="AL194" s="120"/>
      <c r="AM194" s="120"/>
      <c r="AN194" s="120"/>
      <c r="AO194" s="120"/>
      <c r="AP194" s="120"/>
      <c r="AQ194" s="120"/>
      <c r="AR194" s="120"/>
      <c r="AS194" s="120"/>
      <c r="AT194" s="120"/>
      <c r="AU194" s="120"/>
      <c r="AV194" s="120"/>
      <c r="AW194" s="120"/>
      <c r="AX194" s="120"/>
      <c r="AY194" s="120"/>
      <c r="AZ194" s="120"/>
      <c r="BA194" s="120"/>
      <c r="BB194" s="120"/>
      <c r="BC194" s="120"/>
      <c r="BD194" s="120"/>
      <c r="BE194" s="120"/>
      <c r="BF194" s="120"/>
      <c r="BG194" s="120"/>
      <c r="BH194" s="120"/>
      <c r="BI194" s="120"/>
      <c r="BJ194" s="120"/>
      <c r="BK194" s="120"/>
      <c r="BL194" s="120"/>
      <c r="BM194" s="120"/>
      <c r="BN194" s="120"/>
      <c r="BO194" s="120"/>
      <c r="BP194" s="120"/>
      <c r="BQ194" s="120"/>
      <c r="BR194" s="120"/>
      <c r="BS194" s="120"/>
      <c r="BT194" s="120"/>
      <c r="BU194" s="120"/>
      <c r="BV194" s="120"/>
      <c r="BW194" s="120"/>
      <c r="BX194" s="120"/>
      <c r="BY194" s="120"/>
      <c r="BZ194" s="120"/>
      <c r="CA194" s="120"/>
      <c r="CB194" s="120"/>
      <c r="CC194" s="120"/>
      <c r="CD194" s="120"/>
      <c r="CE194" s="120"/>
      <c r="CF194" s="120"/>
      <c r="CG194" s="120"/>
      <c r="CH194" s="120"/>
      <c r="CI194" s="120"/>
      <c r="CJ194" s="120"/>
      <c r="CK194" s="120"/>
      <c r="CL194" s="120"/>
      <c r="CM194" s="120"/>
      <c r="CN194" s="120"/>
      <c r="CO194" s="120"/>
      <c r="CP194" s="120"/>
      <c r="CQ194" s="120"/>
      <c r="CR194" s="120"/>
      <c r="CS194" s="120"/>
      <c r="CT194" s="120"/>
      <c r="CU194" s="120"/>
      <c r="CV194" s="120"/>
      <c r="CW194" s="120"/>
      <c r="CX194" s="120"/>
      <c r="CY194" s="120"/>
      <c r="CZ194" s="120"/>
      <c r="DA194" s="120"/>
      <c r="DB194" s="120"/>
      <c r="DC194" s="120"/>
      <c r="DD194" s="120"/>
      <c r="DE194" s="120"/>
      <c r="DF194" s="120"/>
      <c r="DG194" s="120"/>
      <c r="DH194" s="120"/>
      <c r="DI194" s="120"/>
      <c r="DJ194" s="120"/>
      <c r="DK194" s="120"/>
      <c r="DL194" s="120"/>
      <c r="DM194" s="120"/>
      <c r="DN194" s="120"/>
      <c r="DO194" s="120"/>
      <c r="DP194" s="120"/>
      <c r="DQ194" s="120"/>
      <c r="DR194" s="120"/>
      <c r="DS194" s="120"/>
      <c r="DT194" s="120"/>
      <c r="DU194" s="120"/>
      <c r="DV194" s="120"/>
      <c r="DW194" s="120"/>
      <c r="DX194" s="120"/>
      <c r="DY194" s="120"/>
      <c r="DZ194" s="120"/>
      <c r="EA194" s="120"/>
      <c r="EB194" s="120"/>
      <c r="EC194" s="120"/>
      <c r="ED194" s="120"/>
      <c r="EE194" s="120"/>
      <c r="EF194" s="120"/>
      <c r="EG194" s="120"/>
      <c r="EH194" s="120"/>
      <c r="EI194" s="120"/>
      <c r="EJ194" s="120"/>
      <c r="EK194" s="120"/>
      <c r="EL194" s="120"/>
      <c r="EM194" s="120"/>
      <c r="EN194" s="120"/>
      <c r="EO194" s="120"/>
      <c r="EP194" s="120"/>
      <c r="EQ194" s="120"/>
      <c r="ER194" s="120"/>
      <c r="ES194" s="120"/>
      <c r="ET194" s="120"/>
      <c r="EU194" s="120"/>
      <c r="EV194" s="120"/>
      <c r="EW194" s="120"/>
      <c r="EX194" s="120"/>
      <c r="EY194" s="120"/>
      <c r="EZ194" s="120"/>
      <c r="FA194" s="120"/>
      <c r="FB194" s="120"/>
      <c r="FC194" s="120"/>
      <c r="FD194" s="120"/>
      <c r="FE194" s="120"/>
      <c r="FF194" s="120"/>
      <c r="FG194" s="120"/>
      <c r="FH194" s="120"/>
      <c r="FI194" s="120"/>
      <c r="FJ194" s="120"/>
      <c r="FK194" s="120"/>
      <c r="FL194" s="120"/>
      <c r="FM194" s="120"/>
      <c r="FN194" s="120"/>
      <c r="FO194" s="120"/>
      <c r="FP194" s="120"/>
      <c r="FQ194" s="120"/>
      <c r="FR194" s="120"/>
      <c r="FS194" s="120"/>
      <c r="FT194" s="120"/>
      <c r="FU194" s="120"/>
      <c r="FV194" s="120"/>
      <c r="FW194" s="120"/>
      <c r="FX194" s="120"/>
      <c r="FY194" s="120"/>
      <c r="FZ194" s="120"/>
      <c r="GA194" s="120"/>
      <c r="GB194" s="120"/>
      <c r="GC194" s="120"/>
      <c r="GD194" s="120"/>
      <c r="GE194" s="120"/>
      <c r="GF194" s="120"/>
      <c r="GG194" s="120"/>
      <c r="GH194" s="120"/>
      <c r="GI194" s="120"/>
      <c r="GJ194" s="120"/>
      <c r="GK194" s="120"/>
      <c r="GL194" s="120"/>
      <c r="GM194" s="120"/>
      <c r="GN194" s="120"/>
      <c r="GO194" s="120"/>
      <c r="GP194" s="120"/>
      <c r="GQ194" s="120"/>
      <c r="GR194" s="120"/>
      <c r="GS194" s="120"/>
      <c r="GT194" s="120"/>
      <c r="GU194" s="120"/>
      <c r="GV194" s="120"/>
      <c r="GW194" s="120"/>
      <c r="GX194" s="120"/>
      <c r="GY194" s="120"/>
      <c r="GZ194" s="120"/>
      <c r="HA194" s="120"/>
      <c r="HB194" s="120"/>
      <c r="HC194" s="120"/>
      <c r="HD194" s="120"/>
      <c r="HE194" s="120"/>
      <c r="HF194" s="120"/>
      <c r="HG194" s="120"/>
      <c r="HH194" s="120"/>
      <c r="HI194" s="120"/>
      <c r="HJ194" s="120"/>
      <c r="HK194" s="120"/>
      <c r="HL194" s="120"/>
      <c r="HM194" s="120"/>
      <c r="HN194" s="120"/>
      <c r="HO194" s="120"/>
      <c r="HP194" s="120"/>
      <c r="HQ194" s="120"/>
      <c r="HR194" s="120"/>
      <c r="HS194" s="120"/>
      <c r="HT194" s="120"/>
      <c r="HU194" s="120"/>
      <c r="HV194" s="120"/>
      <c r="HW194" s="120"/>
      <c r="HX194" s="120"/>
      <c r="HY194" s="120"/>
      <c r="HZ194" s="120"/>
      <c r="IA194" s="120"/>
      <c r="IB194" s="120"/>
      <c r="IC194" s="120"/>
      <c r="ID194" s="120"/>
      <c r="IE194" s="120"/>
      <c r="IF194" s="120"/>
      <c r="IG194" s="120"/>
      <c r="IH194" s="120"/>
      <c r="II194" s="120"/>
      <c r="IJ194" s="120"/>
      <c r="IK194" s="120"/>
      <c r="IL194" s="120"/>
      <c r="IM194" s="120"/>
      <c r="IN194" s="120"/>
      <c r="IO194" s="120"/>
      <c r="IP194" s="120"/>
      <c r="IQ194" s="120"/>
      <c r="IR194" s="120"/>
      <c r="IS194" s="120"/>
      <c r="IT194" s="120"/>
      <c r="IU194" s="120"/>
      <c r="IV194" s="120"/>
      <c r="IW194" s="120"/>
      <c r="IX194" s="120"/>
      <c r="IY194" s="120"/>
      <c r="IZ194" s="120"/>
      <c r="JA194" s="120"/>
      <c r="JB194" s="120"/>
      <c r="JC194" s="120"/>
      <c r="JD194" s="120"/>
      <c r="JE194" s="120"/>
      <c r="JF194" s="120"/>
      <c r="JG194" s="120"/>
      <c r="JH194" s="120"/>
      <c r="JI194" s="120"/>
      <c r="JJ194" s="120"/>
      <c r="JK194" s="120"/>
      <c r="JL194" s="120"/>
      <c r="JM194" s="120"/>
      <c r="JN194" s="120"/>
      <c r="JO194" s="120"/>
      <c r="JP194" s="120"/>
      <c r="JQ194" s="120"/>
      <c r="JR194" s="120"/>
      <c r="JS194" s="120"/>
      <c r="JT194" s="120"/>
      <c r="JU194" s="120"/>
      <c r="JV194" s="120"/>
      <c r="JW194" s="120"/>
      <c r="JX194" s="120"/>
      <c r="JY194" s="120"/>
      <c r="JZ194" s="120"/>
      <c r="KA194" s="120"/>
      <c r="KB194" s="120"/>
      <c r="KC194" s="120"/>
      <c r="KD194" s="120"/>
      <c r="KE194" s="120"/>
      <c r="KF194" s="120"/>
      <c r="KG194" s="120"/>
      <c r="KH194" s="120"/>
      <c r="KI194" s="120"/>
      <c r="KJ194" s="120"/>
      <c r="KK194" s="120"/>
      <c r="KL194" s="120"/>
      <c r="KM194" s="120"/>
      <c r="KN194" s="120"/>
      <c r="KO194" s="120"/>
      <c r="KP194" s="120"/>
      <c r="KQ194" s="120"/>
      <c r="KR194" s="120"/>
      <c r="KS194" s="120"/>
      <c r="KT194" s="120"/>
      <c r="KU194" s="120"/>
      <c r="KV194" s="120"/>
      <c r="KW194" s="120"/>
      <c r="KX194" s="120"/>
      <c r="KY194" s="120"/>
      <c r="KZ194" s="120"/>
      <c r="LA194" s="120"/>
      <c r="LB194" s="120"/>
      <c r="LC194" s="120"/>
      <c r="LD194" s="120"/>
      <c r="LE194" s="120"/>
      <c r="LF194" s="120"/>
      <c r="LG194" s="120"/>
      <c r="LH194" s="120"/>
      <c r="LI194" s="120"/>
      <c r="LJ194" s="120"/>
      <c r="LK194" s="120"/>
      <c r="LL194" s="120"/>
      <c r="LM194" s="120"/>
      <c r="LN194" s="120"/>
      <c r="LO194" s="120"/>
      <c r="LP194" s="120"/>
      <c r="LQ194" s="120"/>
      <c r="LR194" s="120"/>
      <c r="LS194" s="120"/>
      <c r="LT194" s="120"/>
      <c r="LU194" s="120"/>
      <c r="LV194" s="120"/>
      <c r="LW194" s="120"/>
      <c r="LX194" s="120"/>
      <c r="LY194" s="120"/>
      <c r="LZ194" s="120"/>
      <c r="MA194" s="120"/>
      <c r="MB194" s="120"/>
      <c r="MC194" s="120"/>
      <c r="MD194" s="120"/>
      <c r="ME194" s="120"/>
      <c r="MF194" s="120"/>
      <c r="MG194" s="120"/>
      <c r="MH194" s="120"/>
      <c r="MI194" s="120"/>
      <c r="MJ194" s="120"/>
      <c r="MK194" s="120"/>
      <c r="ML194" s="120"/>
      <c r="MM194" s="120"/>
      <c r="MN194" s="120"/>
      <c r="MO194" s="120"/>
      <c r="MP194" s="120"/>
      <c r="MQ194" s="120"/>
      <c r="MR194" s="120"/>
      <c r="MS194" s="120"/>
      <c r="MT194" s="120"/>
      <c r="MU194" s="120"/>
      <c r="MV194" s="120"/>
      <c r="MW194" s="120"/>
      <c r="MX194" s="120"/>
      <c r="MY194" s="120"/>
      <c r="MZ194" s="120"/>
      <c r="NA194" s="120"/>
      <c r="NB194" s="120"/>
      <c r="NC194" s="120"/>
      <c r="ND194" s="120"/>
      <c r="NE194" s="120"/>
      <c r="NF194" s="120"/>
      <c r="NG194" s="120"/>
      <c r="NH194" s="120"/>
      <c r="NI194" s="120"/>
      <c r="NJ194" s="120"/>
      <c r="NK194" s="120"/>
      <c r="NL194" s="120"/>
      <c r="NM194" s="120"/>
      <c r="NN194" s="120"/>
      <c r="NO194" s="120"/>
      <c r="NP194" s="120"/>
      <c r="NQ194" s="120"/>
      <c r="NR194" s="120"/>
      <c r="NS194" s="120"/>
      <c r="NT194" s="120"/>
      <c r="NU194" s="120"/>
      <c r="NV194" s="120"/>
      <c r="NW194" s="120"/>
      <c r="NX194" s="120"/>
      <c r="NY194" s="120"/>
      <c r="NZ194" s="120"/>
      <c r="OA194" s="120"/>
      <c r="OB194" s="120"/>
      <c r="OC194" s="120"/>
      <c r="OD194" s="120"/>
      <c r="OE194" s="120"/>
      <c r="OF194" s="120"/>
      <c r="OG194" s="120"/>
      <c r="OH194" s="120"/>
      <c r="OI194" s="120"/>
      <c r="OJ194" s="120"/>
      <c r="OK194" s="120"/>
      <c r="OL194" s="120"/>
      <c r="OM194" s="120"/>
      <c r="ON194" s="120"/>
      <c r="OO194" s="120"/>
      <c r="OP194" s="120"/>
      <c r="OQ194" s="120"/>
      <c r="OR194" s="120"/>
      <c r="OS194" s="120"/>
      <c r="OT194" s="120"/>
      <c r="OU194" s="120"/>
      <c r="OV194" s="120"/>
      <c r="OW194" s="120"/>
      <c r="OX194" s="120"/>
      <c r="OY194" s="120"/>
      <c r="OZ194" s="120"/>
      <c r="PA194" s="120"/>
      <c r="PB194" s="120"/>
      <c r="PC194" s="120"/>
      <c r="PD194" s="120"/>
      <c r="PE194" s="120"/>
      <c r="PF194" s="120"/>
      <c r="PG194" s="120"/>
      <c r="PH194" s="120"/>
      <c r="PI194" s="120"/>
      <c r="PJ194" s="120"/>
      <c r="PK194" s="120"/>
      <c r="PL194" s="120"/>
      <c r="PM194" s="120"/>
      <c r="PN194" s="120"/>
      <c r="PO194" s="120"/>
      <c r="PP194" s="120"/>
      <c r="PQ194" s="120"/>
      <c r="PR194" s="120"/>
      <c r="PS194" s="120"/>
      <c r="PT194" s="120"/>
      <c r="PU194" s="120"/>
      <c r="PV194" s="120"/>
      <c r="PW194" s="120"/>
      <c r="PX194" s="120"/>
      <c r="PY194" s="120"/>
      <c r="PZ194" s="120"/>
      <c r="QA194" s="120"/>
      <c r="QB194" s="120"/>
      <c r="QC194" s="120"/>
      <c r="QD194" s="120"/>
      <c r="QE194" s="120"/>
      <c r="QF194" s="120"/>
      <c r="QG194" s="120"/>
      <c r="QH194" s="120"/>
      <c r="QI194" s="120"/>
      <c r="QJ194" s="120"/>
      <c r="QK194" s="120"/>
      <c r="QL194" s="120"/>
      <c r="QM194" s="120"/>
      <c r="QN194" s="120"/>
      <c r="QO194" s="120"/>
      <c r="QP194" s="120"/>
      <c r="QQ194" s="120"/>
      <c r="QR194" s="120"/>
      <c r="QS194" s="120"/>
      <c r="QT194" s="120"/>
      <c r="QU194" s="120"/>
      <c r="QV194" s="120"/>
      <c r="QW194" s="120"/>
      <c r="QX194" s="120"/>
      <c r="QY194" s="120"/>
      <c r="QZ194" s="120"/>
      <c r="RA194" s="120"/>
      <c r="RB194" s="120"/>
      <c r="RC194" s="120"/>
      <c r="RD194" s="120"/>
      <c r="RE194" s="120"/>
      <c r="RF194" s="120"/>
      <c r="RG194" s="120"/>
      <c r="RH194" s="120"/>
      <c r="RI194" s="120"/>
      <c r="RJ194" s="120"/>
      <c r="RK194" s="120"/>
      <c r="RL194" s="120"/>
      <c r="RM194" s="120"/>
      <c r="RN194" s="120"/>
      <c r="RO194" s="120"/>
      <c r="RP194" s="120"/>
      <c r="RQ194" s="120"/>
      <c r="RR194" s="120"/>
      <c r="RS194" s="120"/>
      <c r="RT194" s="120"/>
      <c r="RU194" s="120"/>
      <c r="RV194" s="120"/>
      <c r="RW194" s="120"/>
      <c r="RX194" s="120"/>
      <c r="RY194" s="120"/>
      <c r="RZ194" s="120"/>
      <c r="SA194" s="120"/>
      <c r="SB194" s="120"/>
      <c r="SC194" s="120"/>
      <c r="SD194" s="120"/>
      <c r="SE194" s="120"/>
      <c r="SF194" s="120"/>
      <c r="SG194" s="120"/>
      <c r="SH194" s="120"/>
      <c r="SI194" s="120"/>
      <c r="SJ194" s="120"/>
      <c r="SK194" s="120"/>
      <c r="SL194" s="120"/>
      <c r="SM194" s="120"/>
      <c r="SN194" s="120"/>
      <c r="SO194" s="120"/>
      <c r="SP194" s="120"/>
      <c r="SQ194" s="120"/>
      <c r="SR194" s="120"/>
      <c r="SS194" s="120"/>
      <c r="ST194" s="120"/>
      <c r="SU194" s="120"/>
      <c r="SV194" s="120"/>
      <c r="SW194" s="120"/>
      <c r="SX194" s="120"/>
      <c r="SY194" s="120"/>
      <c r="SZ194" s="120"/>
      <c r="TA194" s="120"/>
      <c r="TB194" s="120"/>
      <c r="TC194" s="120"/>
      <c r="TD194" s="120"/>
      <c r="TE194" s="120"/>
      <c r="TF194" s="120"/>
      <c r="TG194" s="120"/>
      <c r="TH194" s="120"/>
      <c r="TI194" s="120"/>
      <c r="TJ194" s="120"/>
      <c r="TK194" s="120"/>
      <c r="TL194" s="120"/>
      <c r="TM194" s="120"/>
      <c r="TN194" s="120"/>
      <c r="TO194" s="120"/>
      <c r="TP194" s="120"/>
      <c r="TQ194" s="120"/>
      <c r="TR194" s="120"/>
      <c r="TS194" s="120"/>
      <c r="TT194" s="120"/>
      <c r="TU194" s="120"/>
      <c r="TV194" s="120"/>
      <c r="TW194" s="120"/>
      <c r="TX194" s="120"/>
      <c r="TY194" s="120"/>
      <c r="TZ194" s="120"/>
      <c r="UA194" s="120"/>
      <c r="UB194" s="120"/>
      <c r="UC194" s="120"/>
      <c r="UD194" s="120"/>
      <c r="UE194" s="120"/>
      <c r="UF194" s="120"/>
      <c r="UG194" s="120"/>
      <c r="UH194" s="120"/>
      <c r="UI194" s="120"/>
      <c r="UJ194" s="120"/>
      <c r="UK194" s="120"/>
      <c r="UL194" s="120"/>
      <c r="UM194" s="120"/>
      <c r="UN194" s="120"/>
      <c r="UO194" s="120"/>
      <c r="UP194" s="120"/>
      <c r="UQ194" s="120"/>
      <c r="UR194" s="120"/>
      <c r="US194" s="120"/>
      <c r="UT194" s="120"/>
      <c r="UU194" s="120"/>
      <c r="UV194" s="120"/>
      <c r="UW194" s="120"/>
      <c r="UX194" s="120"/>
      <c r="UY194" s="120"/>
      <c r="UZ194" s="120"/>
      <c r="VA194" s="120"/>
      <c r="VB194" s="120"/>
      <c r="VC194" s="120"/>
      <c r="VD194" s="120"/>
      <c r="VE194" s="120"/>
      <c r="VF194" s="120"/>
      <c r="VG194" s="120"/>
      <c r="VH194" s="120"/>
      <c r="VI194" s="120"/>
      <c r="VJ194" s="120"/>
      <c r="VK194" s="120"/>
      <c r="VL194" s="120"/>
      <c r="VM194" s="120"/>
      <c r="VN194" s="120"/>
      <c r="VO194" s="120"/>
      <c r="VP194" s="120"/>
      <c r="VQ194" s="120"/>
      <c r="VR194" s="120"/>
      <c r="VS194" s="120"/>
      <c r="VT194" s="120"/>
      <c r="VU194" s="120"/>
      <c r="VV194" s="120"/>
      <c r="VW194" s="120"/>
      <c r="VX194" s="120"/>
      <c r="VY194" s="120"/>
      <c r="VZ194" s="120"/>
      <c r="WA194" s="120"/>
      <c r="WB194" s="120"/>
      <c r="WC194" s="120"/>
      <c r="WD194" s="120"/>
      <c r="WE194" s="120"/>
      <c r="WF194" s="120"/>
      <c r="WG194" s="120"/>
      <c r="WH194" s="120"/>
      <c r="WI194" s="120"/>
      <c r="WJ194" s="120"/>
      <c r="WK194" s="120"/>
      <c r="WL194" s="120"/>
      <c r="WM194" s="120"/>
      <c r="WN194" s="120"/>
      <c r="WO194" s="120"/>
      <c r="WP194" s="120"/>
      <c r="WQ194" s="120"/>
      <c r="WR194" s="120"/>
      <c r="WS194" s="120"/>
      <c r="WT194" s="120"/>
      <c r="WU194" s="120"/>
      <c r="WV194" s="120"/>
      <c r="WW194" s="120"/>
      <c r="WX194" s="120"/>
      <c r="WY194" s="120"/>
      <c r="WZ194" s="120"/>
      <c r="XA194" s="120"/>
      <c r="XB194" s="120"/>
      <c r="XC194" s="120"/>
      <c r="XD194" s="120"/>
      <c r="XE194" s="120"/>
      <c r="XF194" s="120"/>
      <c r="XG194" s="120"/>
      <c r="XH194" s="120"/>
      <c r="XI194" s="120"/>
      <c r="XJ194" s="120"/>
      <c r="XK194" s="120"/>
      <c r="XL194" s="120"/>
      <c r="XM194" s="120"/>
      <c r="XN194" s="120"/>
      <c r="XO194" s="120"/>
      <c r="XP194" s="120"/>
      <c r="XQ194" s="120"/>
      <c r="XR194" s="120"/>
      <c r="XS194" s="120"/>
      <c r="XT194" s="120"/>
      <c r="XU194" s="120"/>
      <c r="XV194" s="120"/>
      <c r="XW194" s="120"/>
      <c r="XX194" s="120"/>
      <c r="XY194" s="120"/>
      <c r="XZ194" s="120"/>
      <c r="YA194" s="120"/>
      <c r="YB194" s="120"/>
      <c r="YC194" s="120"/>
      <c r="YD194" s="120"/>
      <c r="YE194" s="120"/>
      <c r="YF194" s="120"/>
      <c r="YG194" s="120"/>
      <c r="YH194" s="120"/>
      <c r="YI194" s="120"/>
      <c r="YJ194" s="120"/>
      <c r="YK194" s="120"/>
      <c r="YL194" s="120"/>
      <c r="YM194" s="120"/>
      <c r="YN194" s="120"/>
      <c r="YO194" s="120"/>
      <c r="YP194" s="120"/>
      <c r="YQ194" s="120"/>
      <c r="YR194" s="120"/>
      <c r="YS194" s="120"/>
      <c r="YT194" s="120"/>
      <c r="YU194" s="120"/>
      <c r="YV194" s="120"/>
      <c r="YW194" s="120"/>
      <c r="YX194" s="120"/>
      <c r="YY194" s="120"/>
      <c r="YZ194" s="120"/>
      <c r="ZA194" s="120"/>
      <c r="ZB194" s="120"/>
      <c r="ZC194" s="120"/>
      <c r="ZD194" s="120"/>
      <c r="ZE194" s="120"/>
      <c r="ZF194" s="120"/>
      <c r="ZG194" s="120"/>
      <c r="ZH194" s="120"/>
      <c r="ZI194" s="120"/>
      <c r="ZJ194" s="120"/>
      <c r="ZK194" s="120"/>
      <c r="ZL194" s="120"/>
      <c r="ZM194" s="120"/>
      <c r="ZN194" s="120"/>
      <c r="ZO194" s="120"/>
      <c r="ZP194" s="120"/>
      <c r="ZQ194" s="120"/>
      <c r="ZR194" s="120"/>
      <c r="ZS194" s="120"/>
      <c r="ZT194" s="120"/>
      <c r="ZU194" s="120"/>
      <c r="ZV194" s="120"/>
      <c r="ZW194" s="120"/>
      <c r="ZX194" s="120"/>
      <c r="ZY194" s="120"/>
      <c r="ZZ194" s="120"/>
      <c r="AAA194" s="120"/>
      <c r="AAB194" s="120"/>
      <c r="AAC194" s="120"/>
      <c r="AAD194" s="120"/>
      <c r="AAE194" s="120"/>
      <c r="AAF194" s="120"/>
      <c r="AAG194" s="120"/>
      <c r="AAH194" s="120"/>
      <c r="AAI194" s="120"/>
      <c r="AAJ194" s="120"/>
      <c r="AAK194" s="120"/>
      <c r="AAL194" s="120"/>
      <c r="AAM194" s="120"/>
      <c r="AAN194" s="120"/>
      <c r="AAO194" s="120"/>
      <c r="AAP194" s="120"/>
      <c r="AAQ194" s="120"/>
      <c r="AAR194" s="120"/>
      <c r="AAS194" s="120"/>
      <c r="AAT194" s="120"/>
      <c r="AAU194" s="120"/>
      <c r="AAV194" s="120"/>
      <c r="AAW194" s="120"/>
      <c r="AAX194" s="120"/>
      <c r="AAY194" s="120"/>
      <c r="AAZ194" s="120"/>
      <c r="ABA194" s="120"/>
      <c r="ABB194" s="120"/>
      <c r="ABC194" s="120"/>
      <c r="ABD194" s="120"/>
      <c r="ABE194" s="120"/>
      <c r="ABF194" s="120"/>
      <c r="ABG194" s="120"/>
      <c r="ABH194" s="120"/>
      <c r="ABI194" s="120"/>
      <c r="ABJ194" s="120"/>
      <c r="ABK194" s="120"/>
      <c r="ABL194" s="120"/>
      <c r="ABM194" s="120"/>
      <c r="ABN194" s="120"/>
      <c r="ABO194" s="120"/>
      <c r="ABP194" s="120"/>
      <c r="ABQ194" s="120"/>
      <c r="ABR194" s="120"/>
      <c r="ABS194" s="120"/>
      <c r="ABT194" s="120"/>
      <c r="ABU194" s="120"/>
      <c r="ABV194" s="120"/>
      <c r="ABW194" s="120"/>
      <c r="ABX194" s="120"/>
      <c r="ABY194" s="120"/>
      <c r="ABZ194" s="120"/>
      <c r="ACA194" s="120"/>
      <c r="ACB194" s="120"/>
      <c r="ACC194" s="120"/>
      <c r="ACD194" s="120"/>
      <c r="ACE194" s="120"/>
      <c r="ACF194" s="120"/>
      <c r="ACG194" s="120"/>
      <c r="ACH194" s="120"/>
      <c r="ACI194" s="120"/>
      <c r="ACJ194" s="120"/>
      <c r="ACK194" s="120"/>
      <c r="ACL194" s="120"/>
      <c r="ACM194" s="120"/>
      <c r="ACN194" s="120"/>
      <c r="ACO194" s="120"/>
      <c r="ACP194" s="120"/>
      <c r="ACQ194" s="120"/>
      <c r="ACR194" s="120"/>
      <c r="ACS194" s="120"/>
      <c r="ACT194" s="120"/>
      <c r="ACU194" s="120"/>
      <c r="ACV194" s="120"/>
      <c r="ACW194" s="120"/>
      <c r="ACX194" s="120"/>
      <c r="ACY194" s="120"/>
      <c r="ACZ194" s="120"/>
      <c r="ADA194" s="120"/>
      <c r="ADB194" s="120"/>
      <c r="ADC194" s="120"/>
      <c r="ADD194" s="120"/>
      <c r="ADE194" s="120"/>
      <c r="ADF194" s="120"/>
      <c r="ADG194" s="120"/>
      <c r="ADH194" s="120"/>
      <c r="ADI194" s="120"/>
      <c r="ADJ194" s="120"/>
      <c r="ADK194" s="120"/>
      <c r="ADL194" s="120"/>
      <c r="ADM194" s="120"/>
      <c r="ADN194" s="120"/>
      <c r="ADO194" s="120"/>
      <c r="ADP194" s="120"/>
      <c r="ADQ194" s="120"/>
      <c r="ADR194" s="120"/>
      <c r="ADS194" s="120"/>
      <c r="ADT194" s="120"/>
      <c r="ADU194" s="120"/>
      <c r="ADV194" s="120"/>
      <c r="ADW194" s="120"/>
      <c r="ADX194" s="120"/>
      <c r="ADY194" s="120"/>
      <c r="ADZ194" s="120"/>
      <c r="AEA194" s="120"/>
      <c r="AEB194" s="120"/>
      <c r="AEC194" s="120"/>
      <c r="AED194" s="120"/>
      <c r="AEE194" s="120"/>
      <c r="AEF194" s="120"/>
      <c r="AEG194" s="120"/>
      <c r="AEH194" s="120"/>
      <c r="AEI194" s="120"/>
      <c r="AEJ194" s="120"/>
      <c r="AEK194" s="120"/>
      <c r="AEL194" s="120"/>
      <c r="AEM194" s="120"/>
      <c r="AEN194" s="120"/>
      <c r="AEO194" s="120"/>
      <c r="AEP194" s="120"/>
      <c r="AEQ194" s="120"/>
      <c r="AER194" s="120"/>
      <c r="AES194" s="120"/>
      <c r="AET194" s="120"/>
      <c r="AEU194" s="120"/>
      <c r="AEV194" s="120"/>
      <c r="AEW194" s="120"/>
      <c r="AEX194" s="120"/>
      <c r="AEY194" s="120"/>
      <c r="AEZ194" s="120"/>
      <c r="AFA194" s="120"/>
      <c r="AFB194" s="120"/>
      <c r="AFC194" s="120"/>
      <c r="AFD194" s="120"/>
      <c r="AFE194" s="120"/>
      <c r="AFF194" s="120"/>
      <c r="AFG194" s="120"/>
      <c r="AFH194" s="120"/>
      <c r="AFI194" s="120"/>
      <c r="AFJ194" s="120"/>
      <c r="AFK194" s="120"/>
      <c r="AFL194" s="120"/>
      <c r="AFM194" s="120"/>
      <c r="AFN194" s="120"/>
      <c r="AFO194" s="120"/>
      <c r="AFP194" s="120"/>
      <c r="AFQ194" s="120"/>
      <c r="AFR194" s="120"/>
      <c r="AFS194" s="120"/>
      <c r="AFT194" s="120"/>
      <c r="AFU194" s="120"/>
      <c r="AFV194" s="120"/>
      <c r="AFW194" s="120"/>
      <c r="AFX194" s="120"/>
      <c r="AFY194" s="120"/>
      <c r="AFZ194" s="120"/>
      <c r="AGA194" s="120"/>
      <c r="AGB194" s="120"/>
      <c r="AGC194" s="120"/>
      <c r="AGD194" s="120"/>
      <c r="AGE194" s="120"/>
      <c r="AGF194" s="120"/>
      <c r="AGG194" s="120"/>
      <c r="AGH194" s="120"/>
      <c r="AGI194" s="120"/>
      <c r="AGJ194" s="120"/>
      <c r="AGK194" s="120"/>
      <c r="AGL194" s="120"/>
      <c r="AGM194" s="120"/>
      <c r="AGN194" s="120"/>
      <c r="AGO194" s="120"/>
      <c r="AGP194" s="120"/>
      <c r="AGQ194" s="120"/>
      <c r="AGR194" s="120"/>
      <c r="AGS194" s="120"/>
      <c r="AGT194" s="120"/>
      <c r="AGU194" s="120"/>
      <c r="AGV194" s="120"/>
      <c r="AGW194" s="120"/>
      <c r="AGX194" s="120"/>
      <c r="AGY194" s="120"/>
      <c r="AGZ194" s="120"/>
      <c r="AHA194" s="120"/>
      <c r="AHB194" s="120"/>
      <c r="AHC194" s="120"/>
      <c r="AHD194" s="120"/>
      <c r="AHE194" s="120"/>
      <c r="AHF194" s="120"/>
      <c r="AHG194" s="120"/>
      <c r="AHH194" s="120"/>
      <c r="AHI194" s="120"/>
      <c r="AHJ194" s="120"/>
      <c r="AHK194" s="120"/>
      <c r="AHL194" s="120"/>
      <c r="AHM194" s="120"/>
      <c r="AHN194" s="120"/>
      <c r="AHO194" s="120"/>
      <c r="AHP194" s="120"/>
      <c r="AHQ194" s="120"/>
      <c r="AHR194" s="120"/>
      <c r="AHS194" s="120"/>
      <c r="AHT194" s="120"/>
      <c r="AHU194" s="120"/>
      <c r="AHV194" s="120"/>
      <c r="AHW194" s="120"/>
      <c r="AHX194" s="120"/>
      <c r="AHY194" s="120"/>
      <c r="AHZ194" s="120"/>
      <c r="AIA194" s="120"/>
      <c r="AIB194" s="120"/>
      <c r="AIC194" s="120"/>
      <c r="AID194" s="120"/>
      <c r="AIE194" s="120"/>
      <c r="AIF194" s="120"/>
      <c r="AIG194" s="120"/>
      <c r="AIH194" s="120"/>
      <c r="AII194" s="120"/>
      <c r="AIJ194" s="120"/>
      <c r="AIK194" s="120"/>
      <c r="AIL194" s="120"/>
      <c r="AIM194" s="120"/>
      <c r="AIN194" s="120"/>
      <c r="AIO194" s="120"/>
      <c r="AIP194" s="120"/>
      <c r="AIQ194" s="120"/>
      <c r="AIR194" s="120"/>
      <c r="AIS194" s="120"/>
      <c r="AIT194" s="120"/>
      <c r="AIU194" s="120"/>
      <c r="AIV194" s="120"/>
      <c r="AIW194" s="120"/>
      <c r="AIX194" s="120"/>
      <c r="AIY194" s="120"/>
      <c r="AIZ194" s="120"/>
    </row>
    <row r="195">
      <c r="A195" s="112" t="s">
        <v>54</v>
      </c>
      <c r="B195" s="112" t="s">
        <v>63</v>
      </c>
      <c r="C195" s="112"/>
      <c r="D195" s="113">
        <f t="shared" si="1"/>
        <v>519.3046333</v>
      </c>
      <c r="E195" s="112">
        <v>58.5848000000001</v>
      </c>
      <c r="F195" s="113"/>
      <c r="G195" s="113"/>
      <c r="H195" s="113"/>
      <c r="I195" s="113"/>
      <c r="J195" s="113"/>
      <c r="K195" s="113"/>
      <c r="L195" s="112">
        <v>0.976083333333333</v>
      </c>
      <c r="M195" s="112">
        <v>5.10121666666667</v>
      </c>
      <c r="N195" s="113"/>
      <c r="O195" s="112">
        <v>0.174016666666667</v>
      </c>
      <c r="P195" s="112">
        <v>32.32135</v>
      </c>
      <c r="Q195" s="113"/>
      <c r="R195" s="113"/>
      <c r="S195" s="113"/>
      <c r="T195" s="113"/>
      <c r="U195" s="113"/>
      <c r="V195" s="112">
        <v>0.43605</v>
      </c>
      <c r="W195" s="112">
        <v>156.24775</v>
      </c>
      <c r="X195" s="113"/>
      <c r="Y195" s="113"/>
      <c r="Z195" s="113"/>
      <c r="AA195" s="113"/>
      <c r="AB195" s="113"/>
      <c r="AC195" s="112">
        <v>1.22966666666667</v>
      </c>
      <c r="AD195" s="112">
        <v>129.71235</v>
      </c>
      <c r="AE195" s="113"/>
      <c r="AF195" s="113"/>
      <c r="AG195" s="113"/>
      <c r="AH195" s="113"/>
      <c r="AI195" s="113"/>
      <c r="AJ195" s="112">
        <v>3.20908333333333</v>
      </c>
      <c r="AK195" s="112">
        <v>56.6692833333333</v>
      </c>
      <c r="AL195" s="113"/>
      <c r="AM195" s="113"/>
      <c r="AN195" s="113"/>
      <c r="AO195" s="112">
        <v>7.00855</v>
      </c>
      <c r="AP195" s="112">
        <v>8.4223</v>
      </c>
      <c r="AQ195" s="113"/>
      <c r="AR195" s="113"/>
      <c r="AS195" s="112">
        <v>1.37941666666667</v>
      </c>
      <c r="AT195" s="112">
        <v>55.4279166666666</v>
      </c>
      <c r="AU195" s="113"/>
      <c r="AV195" s="112">
        <v>1.65778333333333</v>
      </c>
      <c r="AW195" s="112">
        <v>0.747016666666667</v>
      </c>
      <c r="AX195" s="113"/>
      <c r="AY195" s="113"/>
      <c r="AZ195" s="113"/>
      <c r="BA195" s="113"/>
      <c r="BB195" s="113"/>
      <c r="BC195" s="113"/>
      <c r="BD195" s="113"/>
      <c r="BE195" s="113"/>
      <c r="BF195" s="113"/>
      <c r="BG195" s="113"/>
      <c r="BH195" s="113"/>
      <c r="BI195" s="113"/>
      <c r="BJ195" s="113"/>
      <c r="BK195" s="113"/>
      <c r="BL195" s="113"/>
      <c r="BM195" s="113"/>
      <c r="BN195" s="113"/>
      <c r="BO195" s="113"/>
      <c r="BP195" s="113"/>
      <c r="BQ195" s="113"/>
      <c r="BR195" s="113"/>
      <c r="BS195" s="113"/>
      <c r="BT195" s="113"/>
      <c r="BU195" s="113"/>
      <c r="BV195" s="113"/>
      <c r="BW195" s="113"/>
      <c r="BX195" s="113"/>
      <c r="BY195" s="113"/>
      <c r="BZ195" s="113"/>
      <c r="CA195" s="113"/>
      <c r="CB195" s="113"/>
      <c r="CC195" s="113"/>
      <c r="CD195" s="113"/>
      <c r="CE195" s="113"/>
      <c r="CF195" s="113"/>
      <c r="CG195" s="113"/>
      <c r="CH195" s="113"/>
      <c r="CI195" s="113"/>
      <c r="CJ195" s="113"/>
      <c r="CK195" s="113"/>
      <c r="CL195" s="113"/>
      <c r="CM195" s="113"/>
      <c r="CN195" s="113"/>
      <c r="CO195" s="113"/>
      <c r="CP195" s="113"/>
      <c r="CQ195" s="113"/>
      <c r="CR195" s="113"/>
      <c r="CS195" s="113"/>
      <c r="CT195" s="113"/>
      <c r="CU195" s="113"/>
      <c r="CV195" s="113"/>
      <c r="CW195" s="113"/>
      <c r="CX195" s="113"/>
      <c r="CY195" s="113"/>
      <c r="CZ195" s="113"/>
      <c r="DA195" s="113"/>
      <c r="DB195" s="113"/>
      <c r="DC195" s="113"/>
      <c r="DD195" s="113"/>
      <c r="DE195" s="113"/>
      <c r="DF195" s="113"/>
      <c r="DG195" s="113"/>
      <c r="DH195" s="113"/>
      <c r="DI195" s="113"/>
      <c r="DJ195" s="113"/>
      <c r="DK195" s="113"/>
      <c r="DL195" s="113"/>
      <c r="DM195" s="113"/>
      <c r="DN195" s="113"/>
      <c r="DO195" s="113"/>
      <c r="DP195" s="113"/>
      <c r="DQ195" s="113"/>
      <c r="DR195" s="113"/>
      <c r="DS195" s="113"/>
      <c r="DT195" s="113"/>
      <c r="DU195" s="113"/>
      <c r="DV195" s="113"/>
      <c r="DW195" s="113"/>
      <c r="DX195" s="113"/>
      <c r="DY195" s="113"/>
      <c r="DZ195" s="113"/>
      <c r="EA195" s="113"/>
      <c r="EB195" s="113"/>
      <c r="EC195" s="113"/>
      <c r="ED195" s="113"/>
      <c r="EE195" s="113"/>
      <c r="EF195" s="113"/>
      <c r="EG195" s="113"/>
      <c r="EH195" s="113"/>
      <c r="EI195" s="113"/>
      <c r="EJ195" s="113"/>
      <c r="EK195" s="113"/>
      <c r="EL195" s="113"/>
      <c r="EM195" s="113"/>
      <c r="EN195" s="113"/>
      <c r="EO195" s="113"/>
      <c r="EP195" s="113"/>
      <c r="EQ195" s="113"/>
      <c r="ER195" s="113"/>
      <c r="ES195" s="113"/>
      <c r="ET195" s="113"/>
      <c r="EU195" s="113"/>
      <c r="EV195" s="113"/>
      <c r="EW195" s="113"/>
      <c r="EX195" s="113"/>
      <c r="EY195" s="113"/>
      <c r="EZ195" s="113"/>
      <c r="FA195" s="113"/>
      <c r="FB195" s="113"/>
      <c r="FC195" s="113"/>
      <c r="FD195" s="113"/>
      <c r="FE195" s="113"/>
      <c r="FF195" s="113"/>
      <c r="FG195" s="113"/>
      <c r="FH195" s="113"/>
      <c r="FI195" s="113"/>
      <c r="FJ195" s="113"/>
      <c r="FK195" s="113"/>
      <c r="FL195" s="113"/>
      <c r="FM195" s="113"/>
      <c r="FN195" s="113"/>
      <c r="FO195" s="113"/>
      <c r="FP195" s="113"/>
      <c r="FQ195" s="113"/>
      <c r="FR195" s="113"/>
      <c r="FS195" s="113"/>
      <c r="FT195" s="113"/>
      <c r="FU195" s="113"/>
      <c r="FV195" s="113"/>
      <c r="FW195" s="113"/>
      <c r="FX195" s="113"/>
      <c r="FY195" s="113"/>
      <c r="FZ195" s="113"/>
      <c r="GA195" s="113"/>
      <c r="GB195" s="113"/>
      <c r="GC195" s="113"/>
      <c r="GD195" s="113"/>
      <c r="GE195" s="113"/>
      <c r="GF195" s="113"/>
      <c r="GG195" s="113"/>
      <c r="GH195" s="113"/>
      <c r="GI195" s="113"/>
      <c r="GJ195" s="113"/>
      <c r="GK195" s="113"/>
      <c r="GL195" s="113"/>
      <c r="GM195" s="113"/>
      <c r="GN195" s="113"/>
      <c r="GO195" s="113"/>
      <c r="GP195" s="113"/>
      <c r="GQ195" s="113"/>
      <c r="GR195" s="113"/>
      <c r="GS195" s="113"/>
      <c r="GT195" s="113"/>
      <c r="GU195" s="113"/>
      <c r="GV195" s="113"/>
      <c r="GW195" s="113"/>
      <c r="GX195" s="113"/>
      <c r="GY195" s="113"/>
      <c r="GZ195" s="113"/>
      <c r="HA195" s="113"/>
      <c r="HB195" s="113"/>
      <c r="HC195" s="113"/>
      <c r="HD195" s="113"/>
      <c r="HE195" s="113"/>
      <c r="HF195" s="113"/>
      <c r="HG195" s="113"/>
      <c r="HH195" s="113"/>
      <c r="HI195" s="113"/>
      <c r="HJ195" s="113"/>
      <c r="HK195" s="113"/>
      <c r="HL195" s="113"/>
      <c r="HM195" s="113"/>
      <c r="HN195" s="113"/>
      <c r="HO195" s="113"/>
      <c r="HP195" s="113"/>
      <c r="HQ195" s="113"/>
      <c r="HR195" s="113"/>
      <c r="HS195" s="113"/>
      <c r="HT195" s="113"/>
      <c r="HU195" s="113"/>
      <c r="HV195" s="113"/>
      <c r="HW195" s="113"/>
      <c r="HX195" s="113"/>
      <c r="HY195" s="113"/>
      <c r="HZ195" s="113"/>
      <c r="IA195" s="113"/>
      <c r="IB195" s="113"/>
      <c r="IC195" s="113"/>
      <c r="ID195" s="113"/>
      <c r="IE195" s="113"/>
      <c r="IF195" s="113"/>
      <c r="IG195" s="113"/>
      <c r="IH195" s="113"/>
      <c r="II195" s="113"/>
      <c r="IJ195" s="113"/>
      <c r="IK195" s="113"/>
      <c r="IL195" s="113"/>
      <c r="IM195" s="113"/>
      <c r="IN195" s="113"/>
      <c r="IO195" s="113"/>
      <c r="IP195" s="113"/>
      <c r="IQ195" s="113"/>
      <c r="IR195" s="113"/>
      <c r="IS195" s="113"/>
      <c r="IT195" s="113"/>
      <c r="IU195" s="113"/>
      <c r="IV195" s="113"/>
      <c r="IW195" s="113"/>
      <c r="IX195" s="113"/>
      <c r="IY195" s="113"/>
      <c r="IZ195" s="113"/>
      <c r="JA195" s="113"/>
      <c r="JB195" s="113"/>
      <c r="JC195" s="113"/>
      <c r="JD195" s="113"/>
      <c r="JE195" s="113"/>
      <c r="JF195" s="113"/>
      <c r="JG195" s="113"/>
      <c r="JH195" s="113"/>
      <c r="JI195" s="113"/>
      <c r="JJ195" s="113"/>
      <c r="JK195" s="113"/>
      <c r="JL195" s="113"/>
      <c r="JM195" s="113"/>
      <c r="JN195" s="113"/>
      <c r="JO195" s="113"/>
      <c r="JP195" s="113"/>
      <c r="JQ195" s="113"/>
      <c r="JR195" s="113"/>
      <c r="JS195" s="113"/>
      <c r="JT195" s="113"/>
      <c r="JU195" s="113"/>
      <c r="JV195" s="113"/>
      <c r="JW195" s="113"/>
      <c r="JX195" s="113"/>
      <c r="JY195" s="113"/>
      <c r="JZ195" s="113"/>
      <c r="KA195" s="113"/>
      <c r="KB195" s="113"/>
      <c r="KC195" s="113"/>
      <c r="KD195" s="113"/>
      <c r="KE195" s="113"/>
      <c r="KF195" s="113"/>
      <c r="KG195" s="113"/>
      <c r="KH195" s="113"/>
      <c r="KI195" s="113"/>
      <c r="KJ195" s="113"/>
      <c r="KK195" s="113"/>
      <c r="KL195" s="113"/>
      <c r="KM195" s="113"/>
      <c r="KN195" s="113"/>
      <c r="KO195" s="113"/>
      <c r="KP195" s="113"/>
      <c r="KQ195" s="113"/>
      <c r="KR195" s="113"/>
      <c r="KS195" s="113"/>
      <c r="KT195" s="113"/>
      <c r="KU195" s="113"/>
      <c r="KV195" s="113"/>
      <c r="KW195" s="113"/>
      <c r="KX195" s="113"/>
      <c r="KY195" s="113"/>
      <c r="KZ195" s="113"/>
      <c r="LA195" s="113"/>
      <c r="LB195" s="113"/>
      <c r="LC195" s="113"/>
      <c r="LD195" s="113"/>
      <c r="LE195" s="113"/>
      <c r="LF195" s="113"/>
      <c r="LG195" s="113"/>
      <c r="LH195" s="113"/>
      <c r="LI195" s="113"/>
      <c r="LJ195" s="113"/>
      <c r="LK195" s="113"/>
      <c r="LL195" s="113"/>
      <c r="LM195" s="113"/>
      <c r="LN195" s="113"/>
      <c r="LO195" s="113"/>
      <c r="LP195" s="113"/>
      <c r="LQ195" s="113"/>
      <c r="LR195" s="113"/>
      <c r="LS195" s="113"/>
      <c r="LT195" s="113"/>
      <c r="LU195" s="113"/>
      <c r="LV195" s="113"/>
      <c r="LW195" s="113"/>
      <c r="LX195" s="113"/>
      <c r="LY195" s="113"/>
      <c r="LZ195" s="113"/>
      <c r="MA195" s="113"/>
      <c r="MB195" s="113"/>
      <c r="MC195" s="113"/>
      <c r="MD195" s="113"/>
      <c r="ME195" s="113"/>
      <c r="MF195" s="113"/>
      <c r="MG195" s="113"/>
      <c r="MH195" s="113"/>
      <c r="MI195" s="113"/>
      <c r="MJ195" s="113"/>
      <c r="MK195" s="113"/>
      <c r="ML195" s="113"/>
      <c r="MM195" s="113"/>
      <c r="MN195" s="113"/>
      <c r="MO195" s="113"/>
      <c r="MP195" s="113"/>
      <c r="MQ195" s="113"/>
      <c r="MR195" s="113"/>
      <c r="MS195" s="113"/>
      <c r="MT195" s="113"/>
      <c r="MU195" s="113"/>
      <c r="MV195" s="113"/>
      <c r="MW195" s="113"/>
      <c r="MX195" s="113"/>
      <c r="MY195" s="113"/>
      <c r="MZ195" s="113"/>
      <c r="NA195" s="113"/>
      <c r="NB195" s="113"/>
      <c r="NC195" s="113"/>
      <c r="ND195" s="113"/>
      <c r="NE195" s="113"/>
      <c r="NF195" s="113"/>
      <c r="NG195" s="113"/>
      <c r="NH195" s="113"/>
      <c r="NI195" s="113"/>
      <c r="NJ195" s="113"/>
      <c r="NK195" s="113"/>
      <c r="NL195" s="113"/>
      <c r="NM195" s="113"/>
      <c r="NN195" s="113"/>
      <c r="NO195" s="113"/>
      <c r="NP195" s="113"/>
      <c r="NQ195" s="113"/>
      <c r="NR195" s="113"/>
      <c r="NS195" s="113"/>
      <c r="NT195" s="113"/>
      <c r="NU195" s="113"/>
      <c r="NV195" s="113"/>
      <c r="NW195" s="113"/>
      <c r="NX195" s="113"/>
      <c r="NY195" s="113"/>
      <c r="NZ195" s="113"/>
      <c r="OA195" s="113"/>
      <c r="OB195" s="113"/>
      <c r="OC195" s="113"/>
      <c r="OD195" s="113"/>
      <c r="OE195" s="113"/>
      <c r="OF195" s="113"/>
      <c r="OG195" s="113"/>
      <c r="OH195" s="113"/>
      <c r="OI195" s="113"/>
      <c r="OJ195" s="113"/>
      <c r="OK195" s="113"/>
      <c r="OL195" s="113"/>
      <c r="OM195" s="113"/>
      <c r="ON195" s="113"/>
      <c r="OO195" s="113"/>
      <c r="OP195" s="113"/>
      <c r="OQ195" s="113"/>
      <c r="OR195" s="113"/>
      <c r="OS195" s="113"/>
      <c r="OT195" s="113"/>
      <c r="OU195" s="113"/>
      <c r="OV195" s="113"/>
      <c r="OW195" s="113"/>
      <c r="OX195" s="113"/>
      <c r="OY195" s="113"/>
      <c r="OZ195" s="113"/>
      <c r="PA195" s="113"/>
      <c r="PB195" s="113"/>
      <c r="PC195" s="113"/>
      <c r="PD195" s="113"/>
      <c r="PE195" s="113"/>
      <c r="PF195" s="113"/>
      <c r="PG195" s="113"/>
      <c r="PH195" s="113"/>
      <c r="PI195" s="113"/>
      <c r="PJ195" s="113"/>
      <c r="PK195" s="113"/>
      <c r="PL195" s="113"/>
      <c r="PM195" s="113"/>
      <c r="PN195" s="113"/>
      <c r="PO195" s="113"/>
      <c r="PP195" s="113"/>
      <c r="PQ195" s="113"/>
      <c r="PR195" s="113"/>
      <c r="PS195" s="113"/>
      <c r="PT195" s="113"/>
      <c r="PU195" s="113"/>
      <c r="PV195" s="113"/>
      <c r="PW195" s="113"/>
      <c r="PX195" s="113"/>
      <c r="PY195" s="113"/>
      <c r="PZ195" s="113"/>
      <c r="QA195" s="113"/>
      <c r="QB195" s="113"/>
      <c r="QC195" s="113"/>
      <c r="QD195" s="113"/>
      <c r="QE195" s="113"/>
      <c r="QF195" s="113"/>
      <c r="QG195" s="113"/>
      <c r="QH195" s="113"/>
      <c r="QI195" s="113"/>
      <c r="QJ195" s="113"/>
      <c r="QK195" s="113"/>
      <c r="QL195" s="113"/>
      <c r="QM195" s="113"/>
      <c r="QN195" s="113"/>
      <c r="QO195" s="113"/>
      <c r="QP195" s="113"/>
      <c r="QQ195" s="113"/>
      <c r="QR195" s="113"/>
      <c r="QS195" s="113"/>
      <c r="QT195" s="113"/>
      <c r="QU195" s="113"/>
      <c r="QV195" s="113"/>
      <c r="QW195" s="113"/>
      <c r="QX195" s="113"/>
      <c r="QY195" s="113"/>
      <c r="QZ195" s="113"/>
      <c r="RA195" s="113"/>
      <c r="RB195" s="113"/>
      <c r="RC195" s="113"/>
      <c r="RD195" s="113"/>
      <c r="RE195" s="113"/>
      <c r="RF195" s="113"/>
      <c r="RG195" s="113"/>
      <c r="RH195" s="113"/>
      <c r="RI195" s="113"/>
      <c r="RJ195" s="113"/>
      <c r="RK195" s="113"/>
      <c r="RL195" s="113"/>
      <c r="RM195" s="113"/>
      <c r="RN195" s="113"/>
      <c r="RO195" s="113"/>
      <c r="RP195" s="113"/>
      <c r="RQ195" s="113"/>
      <c r="RR195" s="113"/>
      <c r="RS195" s="113"/>
      <c r="RT195" s="113"/>
      <c r="RU195" s="113"/>
      <c r="RV195" s="113"/>
      <c r="RW195" s="113"/>
      <c r="RX195" s="113"/>
      <c r="RY195" s="113"/>
      <c r="RZ195" s="113"/>
      <c r="SA195" s="113"/>
      <c r="SB195" s="113"/>
      <c r="SC195" s="113"/>
      <c r="SD195" s="113"/>
      <c r="SE195" s="113"/>
      <c r="SF195" s="113"/>
      <c r="SG195" s="113"/>
      <c r="SH195" s="113"/>
      <c r="SI195" s="113"/>
      <c r="SJ195" s="113"/>
      <c r="SK195" s="113"/>
      <c r="SL195" s="113"/>
      <c r="SM195" s="113"/>
      <c r="SN195" s="113"/>
      <c r="SO195" s="113"/>
      <c r="SP195" s="113"/>
      <c r="SQ195" s="113"/>
      <c r="SR195" s="113"/>
      <c r="SS195" s="113"/>
      <c r="ST195" s="113"/>
      <c r="SU195" s="113"/>
      <c r="SV195" s="113"/>
      <c r="SW195" s="113"/>
      <c r="SX195" s="113"/>
      <c r="SY195" s="113"/>
      <c r="SZ195" s="113"/>
      <c r="TA195" s="113"/>
      <c r="TB195" s="113"/>
      <c r="TC195" s="113"/>
      <c r="TD195" s="113"/>
      <c r="TE195" s="113"/>
      <c r="TF195" s="113"/>
      <c r="TG195" s="113"/>
      <c r="TH195" s="113"/>
      <c r="TI195" s="113"/>
      <c r="TJ195" s="113"/>
      <c r="TK195" s="113"/>
      <c r="TL195" s="113"/>
      <c r="TM195" s="113"/>
      <c r="TN195" s="113"/>
      <c r="TO195" s="113"/>
      <c r="TP195" s="113"/>
      <c r="TQ195" s="113"/>
      <c r="TR195" s="113"/>
      <c r="TS195" s="113"/>
      <c r="TT195" s="113"/>
      <c r="TU195" s="113"/>
      <c r="TV195" s="113"/>
      <c r="TW195" s="113"/>
      <c r="TX195" s="113"/>
      <c r="TY195" s="113"/>
      <c r="TZ195" s="113"/>
      <c r="UA195" s="113"/>
      <c r="UB195" s="113"/>
      <c r="UC195" s="113"/>
      <c r="UD195" s="113"/>
      <c r="UE195" s="113"/>
      <c r="UF195" s="113"/>
      <c r="UG195" s="113"/>
      <c r="UH195" s="113"/>
      <c r="UI195" s="113"/>
      <c r="UJ195" s="113"/>
      <c r="UK195" s="113"/>
      <c r="UL195" s="113"/>
      <c r="UM195" s="113"/>
      <c r="UN195" s="113"/>
      <c r="UO195" s="113"/>
      <c r="UP195" s="113"/>
      <c r="UQ195" s="113"/>
      <c r="UR195" s="113"/>
      <c r="US195" s="113"/>
      <c r="UT195" s="113"/>
      <c r="UU195" s="113"/>
      <c r="UV195" s="113"/>
      <c r="UW195" s="113"/>
      <c r="UX195" s="113"/>
      <c r="UY195" s="113"/>
      <c r="UZ195" s="113"/>
      <c r="VA195" s="113"/>
      <c r="VB195" s="113"/>
      <c r="VC195" s="113"/>
      <c r="VD195" s="113"/>
      <c r="VE195" s="113"/>
      <c r="VF195" s="113"/>
      <c r="VG195" s="113"/>
      <c r="VH195" s="113"/>
      <c r="VI195" s="113"/>
      <c r="VJ195" s="113"/>
      <c r="VK195" s="113"/>
      <c r="VL195" s="113"/>
      <c r="VM195" s="113"/>
      <c r="VN195" s="113"/>
      <c r="VO195" s="113"/>
      <c r="VP195" s="113"/>
      <c r="VQ195" s="113"/>
      <c r="VR195" s="113"/>
      <c r="VS195" s="113"/>
      <c r="VT195" s="113"/>
      <c r="VU195" s="113"/>
      <c r="VV195" s="113"/>
      <c r="VW195" s="113"/>
      <c r="VX195" s="113"/>
      <c r="VY195" s="113"/>
      <c r="VZ195" s="113"/>
      <c r="WA195" s="113"/>
      <c r="WB195" s="113"/>
      <c r="WC195" s="113"/>
      <c r="WD195" s="113"/>
      <c r="WE195" s="113"/>
      <c r="WF195" s="113"/>
      <c r="WG195" s="113"/>
      <c r="WH195" s="113"/>
      <c r="WI195" s="113"/>
      <c r="WJ195" s="113"/>
      <c r="WK195" s="113"/>
      <c r="WL195" s="113"/>
      <c r="WM195" s="113"/>
      <c r="WN195" s="113"/>
      <c r="WO195" s="113"/>
      <c r="WP195" s="113"/>
      <c r="WQ195" s="113"/>
      <c r="WR195" s="113"/>
      <c r="WS195" s="113"/>
      <c r="WT195" s="113"/>
      <c r="WU195" s="113"/>
      <c r="WV195" s="113"/>
      <c r="WW195" s="113"/>
      <c r="WX195" s="113"/>
      <c r="WY195" s="113"/>
      <c r="WZ195" s="113"/>
      <c r="XA195" s="113"/>
      <c r="XB195" s="113"/>
      <c r="XC195" s="113"/>
      <c r="XD195" s="113"/>
      <c r="XE195" s="113"/>
      <c r="XF195" s="113"/>
      <c r="XG195" s="113"/>
      <c r="XH195" s="113"/>
      <c r="XI195" s="113"/>
      <c r="XJ195" s="113"/>
      <c r="XK195" s="113"/>
      <c r="XL195" s="113"/>
      <c r="XM195" s="113"/>
      <c r="XN195" s="113"/>
      <c r="XO195" s="113"/>
      <c r="XP195" s="113"/>
      <c r="XQ195" s="113"/>
      <c r="XR195" s="113"/>
      <c r="XS195" s="113"/>
      <c r="XT195" s="113"/>
      <c r="XU195" s="113"/>
      <c r="XV195" s="113"/>
      <c r="XW195" s="113"/>
      <c r="XX195" s="113"/>
      <c r="XY195" s="113"/>
      <c r="XZ195" s="113"/>
      <c r="YA195" s="113"/>
      <c r="YB195" s="113"/>
      <c r="YC195" s="113"/>
      <c r="YD195" s="113"/>
      <c r="YE195" s="113"/>
      <c r="YF195" s="113"/>
      <c r="YG195" s="113"/>
      <c r="YH195" s="113"/>
      <c r="YI195" s="113"/>
      <c r="YJ195" s="113"/>
      <c r="YK195" s="113"/>
      <c r="YL195" s="113"/>
      <c r="YM195" s="113"/>
      <c r="YN195" s="113"/>
      <c r="YO195" s="113"/>
      <c r="YP195" s="113"/>
      <c r="YQ195" s="113"/>
      <c r="YR195" s="113"/>
      <c r="YS195" s="113"/>
      <c r="YT195" s="113"/>
      <c r="YU195" s="113"/>
      <c r="YV195" s="113"/>
      <c r="YW195" s="113"/>
      <c r="YX195" s="113"/>
      <c r="YY195" s="113"/>
      <c r="YZ195" s="113"/>
      <c r="ZA195" s="113"/>
      <c r="ZB195" s="113"/>
      <c r="ZC195" s="113"/>
      <c r="ZD195" s="113"/>
      <c r="ZE195" s="113"/>
      <c r="ZF195" s="113"/>
      <c r="ZG195" s="113"/>
      <c r="ZH195" s="113"/>
      <c r="ZI195" s="113"/>
      <c r="ZJ195" s="113"/>
      <c r="ZK195" s="113"/>
      <c r="ZL195" s="113"/>
      <c r="ZM195" s="113"/>
      <c r="ZN195" s="113"/>
      <c r="ZO195" s="113"/>
      <c r="ZP195" s="113"/>
      <c r="ZQ195" s="113"/>
      <c r="ZR195" s="113"/>
      <c r="ZS195" s="113"/>
      <c r="ZT195" s="113"/>
      <c r="ZU195" s="113"/>
      <c r="ZV195" s="113"/>
      <c r="ZW195" s="113"/>
      <c r="ZX195" s="113"/>
      <c r="ZY195" s="113"/>
      <c r="ZZ195" s="113"/>
      <c r="AAA195" s="113"/>
      <c r="AAB195" s="113"/>
      <c r="AAC195" s="113"/>
      <c r="AAD195" s="113"/>
      <c r="AAE195" s="113"/>
      <c r="AAF195" s="113"/>
      <c r="AAG195" s="113"/>
      <c r="AAH195" s="113"/>
      <c r="AAI195" s="113"/>
      <c r="AAJ195" s="113"/>
      <c r="AAK195" s="113"/>
      <c r="AAL195" s="113"/>
      <c r="AAM195" s="113"/>
      <c r="AAN195" s="113"/>
      <c r="AAO195" s="113"/>
      <c r="AAP195" s="113"/>
      <c r="AAQ195" s="113"/>
      <c r="AAR195" s="113"/>
      <c r="AAS195" s="113"/>
      <c r="AAT195" s="113"/>
      <c r="AAU195" s="113"/>
      <c r="AAV195" s="113"/>
      <c r="AAW195" s="113"/>
      <c r="AAX195" s="113"/>
      <c r="AAY195" s="113"/>
      <c r="AAZ195" s="113"/>
      <c r="ABA195" s="113"/>
      <c r="ABB195" s="113"/>
      <c r="ABC195" s="113"/>
      <c r="ABD195" s="113"/>
      <c r="ABE195" s="113"/>
      <c r="ABF195" s="113"/>
      <c r="ABG195" s="113"/>
      <c r="ABH195" s="113"/>
      <c r="ABI195" s="113"/>
      <c r="ABJ195" s="113"/>
      <c r="ABK195" s="113"/>
      <c r="ABL195" s="113"/>
      <c r="ABM195" s="113"/>
      <c r="ABN195" s="113"/>
      <c r="ABO195" s="113"/>
      <c r="ABP195" s="113"/>
      <c r="ABQ195" s="113"/>
      <c r="ABR195" s="113"/>
      <c r="ABS195" s="113"/>
      <c r="ABT195" s="113"/>
      <c r="ABU195" s="113"/>
      <c r="ABV195" s="113"/>
      <c r="ABW195" s="113"/>
      <c r="ABX195" s="113"/>
      <c r="ABY195" s="113"/>
      <c r="ABZ195" s="113"/>
      <c r="ACA195" s="113"/>
      <c r="ACB195" s="113"/>
      <c r="ACC195" s="113"/>
      <c r="ACD195" s="113"/>
      <c r="ACE195" s="113"/>
      <c r="ACF195" s="113"/>
      <c r="ACG195" s="113"/>
      <c r="ACH195" s="113"/>
      <c r="ACI195" s="113"/>
      <c r="ACJ195" s="113"/>
      <c r="ACK195" s="113"/>
      <c r="ACL195" s="113"/>
      <c r="ACM195" s="113"/>
      <c r="ACN195" s="113"/>
      <c r="ACO195" s="113"/>
      <c r="ACP195" s="113"/>
      <c r="ACQ195" s="113"/>
      <c r="ACR195" s="113"/>
      <c r="ACS195" s="113"/>
      <c r="ACT195" s="113"/>
      <c r="ACU195" s="113"/>
      <c r="ACV195" s="113"/>
      <c r="ACW195" s="113"/>
      <c r="ACX195" s="113"/>
      <c r="ACY195" s="113"/>
      <c r="ACZ195" s="113"/>
      <c r="ADA195" s="113"/>
      <c r="ADB195" s="113"/>
      <c r="ADC195" s="113"/>
      <c r="ADD195" s="113"/>
      <c r="ADE195" s="113"/>
      <c r="ADF195" s="113"/>
      <c r="ADG195" s="113"/>
      <c r="ADH195" s="113"/>
      <c r="ADI195" s="113"/>
      <c r="ADJ195" s="113"/>
      <c r="ADK195" s="113"/>
      <c r="ADL195" s="113"/>
      <c r="ADM195" s="113"/>
      <c r="ADN195" s="113"/>
      <c r="ADO195" s="113"/>
      <c r="ADP195" s="113"/>
      <c r="ADQ195" s="113"/>
      <c r="ADR195" s="113"/>
      <c r="ADS195" s="113"/>
      <c r="ADT195" s="113"/>
      <c r="ADU195" s="113"/>
      <c r="ADV195" s="113"/>
      <c r="ADW195" s="113"/>
      <c r="ADX195" s="113"/>
      <c r="ADY195" s="113"/>
      <c r="ADZ195" s="113"/>
      <c r="AEA195" s="113"/>
      <c r="AEB195" s="113"/>
      <c r="AEC195" s="113"/>
      <c r="AED195" s="113"/>
      <c r="AEE195" s="113"/>
      <c r="AEF195" s="113"/>
      <c r="AEG195" s="113"/>
      <c r="AEH195" s="113"/>
      <c r="AEI195" s="113"/>
      <c r="AEJ195" s="113"/>
      <c r="AEK195" s="113"/>
      <c r="AEL195" s="113"/>
      <c r="AEM195" s="113"/>
      <c r="AEN195" s="113"/>
      <c r="AEO195" s="113"/>
      <c r="AEP195" s="113"/>
      <c r="AEQ195" s="113"/>
      <c r="AER195" s="113"/>
      <c r="AES195" s="113"/>
      <c r="AET195" s="113"/>
      <c r="AEU195" s="113"/>
      <c r="AEV195" s="113"/>
      <c r="AEW195" s="113"/>
      <c r="AEX195" s="113"/>
      <c r="AEY195" s="113"/>
      <c r="AEZ195" s="113"/>
      <c r="AFA195" s="113"/>
      <c r="AFB195" s="113"/>
      <c r="AFC195" s="113"/>
      <c r="AFD195" s="113"/>
      <c r="AFE195" s="113"/>
      <c r="AFF195" s="113"/>
      <c r="AFG195" s="113"/>
      <c r="AFH195" s="113"/>
      <c r="AFI195" s="113"/>
      <c r="AFJ195" s="113"/>
      <c r="AFK195" s="113"/>
      <c r="AFL195" s="113"/>
      <c r="AFM195" s="113"/>
      <c r="AFN195" s="113"/>
      <c r="AFO195" s="113"/>
      <c r="AFP195" s="113"/>
      <c r="AFQ195" s="113"/>
      <c r="AFR195" s="113"/>
      <c r="AFS195" s="113"/>
      <c r="AFT195" s="113"/>
      <c r="AFU195" s="113"/>
      <c r="AFV195" s="113"/>
      <c r="AFW195" s="113"/>
      <c r="AFX195" s="113"/>
      <c r="AFY195" s="113"/>
      <c r="AFZ195" s="113"/>
      <c r="AGA195" s="113"/>
      <c r="AGB195" s="113"/>
      <c r="AGC195" s="113"/>
      <c r="AGD195" s="113"/>
      <c r="AGE195" s="113"/>
      <c r="AGF195" s="113"/>
      <c r="AGG195" s="113"/>
      <c r="AGH195" s="113"/>
      <c r="AGI195" s="113"/>
      <c r="AGJ195" s="113"/>
      <c r="AGK195" s="113"/>
      <c r="AGL195" s="113"/>
      <c r="AGM195" s="113"/>
      <c r="AGN195" s="113"/>
      <c r="AGO195" s="113"/>
      <c r="AGP195" s="113"/>
      <c r="AGQ195" s="113"/>
      <c r="AGR195" s="113"/>
      <c r="AGS195" s="113"/>
      <c r="AGT195" s="113"/>
      <c r="AGU195" s="113"/>
      <c r="AGV195" s="113"/>
      <c r="AGW195" s="113"/>
      <c r="AGX195" s="113"/>
      <c r="AGY195" s="113"/>
      <c r="AGZ195" s="113"/>
      <c r="AHA195" s="113"/>
      <c r="AHB195" s="113"/>
      <c r="AHC195" s="113"/>
      <c r="AHD195" s="113"/>
      <c r="AHE195" s="113"/>
      <c r="AHF195" s="113"/>
      <c r="AHG195" s="113"/>
      <c r="AHH195" s="113"/>
      <c r="AHI195" s="113"/>
      <c r="AHJ195" s="113"/>
      <c r="AHK195" s="113"/>
      <c r="AHL195" s="113"/>
      <c r="AHM195" s="113"/>
      <c r="AHN195" s="113"/>
      <c r="AHO195" s="113"/>
      <c r="AHP195" s="113"/>
      <c r="AHQ195" s="113"/>
      <c r="AHR195" s="113"/>
      <c r="AHS195" s="113"/>
      <c r="AHT195" s="113"/>
      <c r="AHU195" s="113"/>
      <c r="AHV195" s="113"/>
      <c r="AHW195" s="113"/>
      <c r="AHX195" s="113"/>
      <c r="AHY195" s="113"/>
      <c r="AHZ195" s="113"/>
      <c r="AIA195" s="113"/>
      <c r="AIB195" s="113"/>
      <c r="AIC195" s="113"/>
      <c r="AID195" s="113"/>
      <c r="AIE195" s="113"/>
      <c r="AIF195" s="113"/>
      <c r="AIG195" s="113"/>
      <c r="AIH195" s="113"/>
      <c r="AII195" s="113"/>
      <c r="AIJ195" s="113"/>
      <c r="AIK195" s="113"/>
      <c r="AIL195" s="113"/>
      <c r="AIM195" s="113"/>
      <c r="AIN195" s="113"/>
      <c r="AIO195" s="113"/>
      <c r="AIP195" s="113"/>
      <c r="AIQ195" s="113"/>
      <c r="AIR195" s="113"/>
      <c r="AIS195" s="113"/>
      <c r="AIT195" s="113"/>
      <c r="AIU195" s="113"/>
      <c r="AIV195" s="113"/>
      <c r="AIW195" s="113"/>
      <c r="AIX195" s="113"/>
      <c r="AIY195" s="113"/>
      <c r="AIZ195" s="113"/>
    </row>
    <row r="196">
      <c r="A196" s="65" t="s">
        <v>54</v>
      </c>
      <c r="B196" s="65" t="s">
        <v>63</v>
      </c>
      <c r="C196" s="65"/>
      <c r="D196" s="64">
        <f t="shared" si="1"/>
        <v>422.0532667</v>
      </c>
      <c r="F196" s="65">
        <v>0.184933333333333</v>
      </c>
      <c r="G196" s="65">
        <v>20.5890333333333</v>
      </c>
      <c r="H196" s="65">
        <v>9.52853333333334</v>
      </c>
      <c r="I196" s="65">
        <v>2.45951666666667</v>
      </c>
      <c r="J196" s="65">
        <v>0.777433333333333</v>
      </c>
      <c r="K196" s="65">
        <v>18.7666166666667</v>
      </c>
      <c r="N196" s="65">
        <v>1.96225</v>
      </c>
      <c r="Q196" s="65">
        <v>0.222083333333333</v>
      </c>
      <c r="R196" s="65">
        <v>10.3073</v>
      </c>
      <c r="S196" s="65">
        <v>9.18968333333333</v>
      </c>
      <c r="T196" s="65">
        <v>3.42763333333333</v>
      </c>
      <c r="U196" s="65">
        <v>4.66613333333333</v>
      </c>
      <c r="X196" s="65">
        <v>3.32703333333333</v>
      </c>
      <c r="Y196" s="65">
        <v>5.33696666666667</v>
      </c>
      <c r="Z196" s="65">
        <v>38.694</v>
      </c>
      <c r="AA196" s="65">
        <v>6.2147</v>
      </c>
      <c r="AB196" s="65">
        <v>65.0227</v>
      </c>
      <c r="AE196" s="65">
        <v>0.464533333333333</v>
      </c>
      <c r="AF196" s="65">
        <v>7.95896666666667</v>
      </c>
      <c r="AG196" s="65">
        <v>42.2122833333334</v>
      </c>
      <c r="AH196" s="65">
        <v>4.70031666666667</v>
      </c>
      <c r="AI196" s="65">
        <v>62.4802333333333</v>
      </c>
      <c r="AL196" s="65">
        <v>21.3641333333333</v>
      </c>
      <c r="AM196" s="65">
        <v>6.20008333333333</v>
      </c>
      <c r="AN196" s="65">
        <v>14.5973</v>
      </c>
      <c r="AQ196" s="65">
        <v>4.46815</v>
      </c>
      <c r="AR196" s="65">
        <v>1.90563333333333</v>
      </c>
      <c r="AU196" s="65">
        <v>55.0250833333333</v>
      </c>
    </row>
    <row r="197">
      <c r="A197" s="65" t="s">
        <v>54</v>
      </c>
      <c r="B197" s="65" t="s">
        <v>63</v>
      </c>
      <c r="C197" s="65"/>
      <c r="D197" s="64">
        <f t="shared" si="1"/>
        <v>0</v>
      </c>
    </row>
    <row r="198">
      <c r="A198" s="65" t="s">
        <v>54</v>
      </c>
      <c r="B198" s="65" t="s">
        <v>63</v>
      </c>
      <c r="C198" s="65"/>
      <c r="D198" s="64">
        <f t="shared" si="1"/>
        <v>414.9518833</v>
      </c>
      <c r="F198" s="118">
        <f>HYPERLINK("https://docs.google.com/spreadsheets/d/1L08sRNIcIsNp9KOp3QDQxR7lZA0MeLE-", 0.184933333333333)</f>
        <v>0.1849333333</v>
      </c>
      <c r="G198" s="118">
        <f>HYPERLINK("https://docs.google.com/spreadsheets/d/15-uWDTLw-OO4-5XpgKEsywy5ETHR-_gn", 20.5890666666667)</f>
        <v>20.58906667</v>
      </c>
      <c r="H198" s="118">
        <f>HYPERLINK("https://docs.google.com/spreadsheets/d/1f3ceEEgWW-ZtfD4r8DKSQVqvij15Hhfh", 9.52855)</f>
        <v>9.52855</v>
      </c>
      <c r="I198" s="118">
        <f>HYPERLINK("https://docs.google.com/spreadsheets/d/1VutnDKi7E44GS7DOWY4P3m-G5QGMQo9s", 2.45951666666667)</f>
        <v>2.459516667</v>
      </c>
      <c r="J198" s="118">
        <f>HYPERLINK("https://docs.google.com/spreadsheets/d/1RgYvhYvxWWL8dgmjIh78o67A1s9TP4oU", 0.194633333333333)</f>
        <v>0.1946333333</v>
      </c>
      <c r="K198" s="118">
        <f>HYPERLINK("https://docs.google.com/spreadsheets/d/1zv68wGtQuc6yCKSA1LNNrh-qN7ZHZGtw", 18.7665833333333)</f>
        <v>18.76658333</v>
      </c>
      <c r="N198" s="118">
        <f>HYPERLINK("https://docs.google.com/spreadsheets/d/1HpCs05b-DVBW8MXuqV-dhD5bhOPrHDpv", 1.96225)</f>
        <v>1.96225</v>
      </c>
      <c r="Q198" s="118">
        <f>HYPERLINK("https://docs.google.com/spreadsheets/d/1KIZB2oZX54EN6hqPZTxIea3NCvhtDfrE", 0.222083333333333)</f>
        <v>0.2220833333</v>
      </c>
      <c r="R198" s="118">
        <f>HYPERLINK("https://docs.google.com/spreadsheets/d/1lymKZ2R5SYR6dldwVCV8yiOzWP-cQP-0", 9.92815)</f>
        <v>9.92815</v>
      </c>
      <c r="S198" s="118">
        <f>HYPERLINK("https://docs.google.com/spreadsheets/d/1_dfYAvZWJP-5yswt2RP4ALEtgbXEzu99", 9.18968333333333)</f>
        <v>9.189683333</v>
      </c>
      <c r="T198" s="118">
        <f>HYPERLINK("https://docs.google.com/spreadsheets/d/1hGmCSncduupbxo35qa6dJqyNLH5LXNrY", 3.42763333333333)</f>
        <v>3.427633333</v>
      </c>
      <c r="U198" s="118">
        <f>HYPERLINK("https://docs.google.com/spreadsheets/d/10DQTeMQouXGGUNcwzuISVSz0Uc4HONsY", 4.66615)</f>
        <v>4.66615</v>
      </c>
      <c r="X198" s="118">
        <f>HYPERLINK("https://docs.google.com/spreadsheets/d/1LLgq6e0XetBKr0n4jGiR6FzSW1EP8h0m", 3.32703333333333)</f>
        <v>3.327033333</v>
      </c>
      <c r="Y198" s="118">
        <f>HYPERLINK("https://docs.google.com/spreadsheets/d/18IxKvReTNpVpWTJyuGP53XJD1fzLFfbj", 5.33696666666667)</f>
        <v>5.336966667</v>
      </c>
      <c r="Z198" s="118">
        <f>HYPERLINK("https://docs.google.com/spreadsheets/d/1m8UxPF_DjjgXQ6RYczA20zz053ar0EgS", 38.69395)</f>
        <v>38.69395</v>
      </c>
      <c r="AA198" s="118">
        <f>HYPERLINK("https://docs.google.com/spreadsheets/d/1yJ6clUJCGBYObZdQDFNE3pEri4OmJu3Z", 6.2147)</f>
        <v>6.2147</v>
      </c>
      <c r="AB198" s="118">
        <f>HYPERLINK("https://docs.google.com/spreadsheets/d/1K32I8Wtb33-orKFHSiQ4XvQUnPVOX2lf", 64.8541166666667)</f>
        <v>64.85411667</v>
      </c>
      <c r="AE198" s="118">
        <f>HYPERLINK("https://docs.google.com/spreadsheets/d/1fwCsz6aV-D97eSS82CAb54RAeVhQbkEc", 0.464533333333333)</f>
        <v>0.4645333333</v>
      </c>
      <c r="AF198" s="118">
        <f>HYPERLINK("https://docs.google.com/spreadsheets/d/10BkKeMSL9eJioCqoJHT_FzQBJRO6XbxK", 7.95895)</f>
        <v>7.95895</v>
      </c>
      <c r="AG198" s="118">
        <f>HYPERLINK("https://docs.google.com/spreadsheets/d/1aKS0eMKQ2l0JWts7eDEnJPFk51RCxpo5", 42.10145)</f>
        <v>42.10145</v>
      </c>
      <c r="AH198" s="118">
        <f>HYPERLINK("https://docs.google.com/spreadsheets/d/1DENXKsMI9q-qUWpQ9H6BAl6Chg0Ss3hn", 4.70031666666667)</f>
        <v>4.700316667</v>
      </c>
      <c r="AI198" s="118">
        <f>HYPERLINK("https://docs.google.com/spreadsheets/d/1fbTFcx3IbeQpexzRUT7gf5n3HOQ7XReJ", 62.0429166666666)</f>
        <v>62.04291667</v>
      </c>
      <c r="AL198" s="118">
        <f>HYPERLINK("https://docs.google.com/spreadsheets/d/1oMW9iQDomh0RwCWTjPPGRPLsjVjXZ68K", 16.0763166666667)</f>
        <v>16.07631667</v>
      </c>
      <c r="AM198" s="118">
        <f>HYPERLINK("https://docs.google.com/spreadsheets/d/1ykhW2FJdCOtuw0z1KNOn80wxusaiu7op", 6.20008333333333)</f>
        <v>6.200083333</v>
      </c>
      <c r="AN198" s="118">
        <f>HYPERLINK("https://docs.google.com/spreadsheets/d/1bdImCbcgujSxJKkkNtLQuXQq3guNwCFK", 14.59725)</f>
        <v>14.59725</v>
      </c>
      <c r="AQ198" s="118">
        <f>HYPERLINK("https://docs.google.com/spreadsheets/d/1b4oDwszFP3DAvrJ1qnUFT1mEKGcgutzD", 4.46815)</f>
        <v>4.46815</v>
      </c>
      <c r="AR198" s="118">
        <f>HYPERLINK("https://docs.google.com/spreadsheets/d/1rkUNTV-rfzc38XZosBJDc_v--yGUetJX", 1.90563333333333)</f>
        <v>1.905633333</v>
      </c>
      <c r="AU198" s="118">
        <f>HYPERLINK("https://docs.google.com/spreadsheets/d/1jzLPST9if1C5NCMekIxxaUR7C9i15YNH", 54.8902833333334)</f>
        <v>54.89028333</v>
      </c>
    </row>
    <row r="199">
      <c r="A199" s="65" t="s">
        <v>54</v>
      </c>
      <c r="B199" s="65" t="s">
        <v>63</v>
      </c>
      <c r="C199" s="65"/>
      <c r="D199" s="64">
        <f t="shared" si="1"/>
        <v>247.37295</v>
      </c>
      <c r="F199" s="65">
        <v>0.0</v>
      </c>
      <c r="G199" s="65">
        <v>8.4783</v>
      </c>
      <c r="H199" s="65">
        <v>1.64183333333333</v>
      </c>
      <c r="I199" s="65">
        <v>0.508416666666667</v>
      </c>
      <c r="J199" s="65">
        <v>0.0</v>
      </c>
      <c r="K199" s="65">
        <v>5.0026</v>
      </c>
      <c r="N199" s="65">
        <v>0.697133333333333</v>
      </c>
      <c r="Q199" s="65">
        <v>0.0</v>
      </c>
      <c r="R199" s="65">
        <v>5.23963333333333</v>
      </c>
      <c r="S199" s="65">
        <v>3.42061666666667</v>
      </c>
      <c r="T199" s="65">
        <v>1.47193333333333</v>
      </c>
      <c r="U199" s="65">
        <v>2.90023333333333</v>
      </c>
      <c r="X199" s="65">
        <v>1.65483333333333</v>
      </c>
      <c r="Y199" s="65">
        <v>2.66345</v>
      </c>
      <c r="Z199" s="65">
        <v>20.9422666666667</v>
      </c>
      <c r="AA199" s="65">
        <v>2.12426666666667</v>
      </c>
      <c r="AB199" s="65">
        <v>40.0303833333333</v>
      </c>
      <c r="AE199" s="65">
        <v>0.192983333333333</v>
      </c>
      <c r="AF199" s="65">
        <v>3.74493333333333</v>
      </c>
      <c r="AG199" s="65">
        <v>24.1074333333333</v>
      </c>
      <c r="AH199" s="65">
        <v>1.59821666666667</v>
      </c>
      <c r="AI199" s="65">
        <v>47.3544333333333</v>
      </c>
      <c r="AL199" s="65">
        <v>7.69211666666666</v>
      </c>
      <c r="AM199" s="65">
        <v>1.98641666666667</v>
      </c>
      <c r="AN199" s="65">
        <v>9.53228333333334</v>
      </c>
      <c r="AQ199" s="65">
        <v>1.56481666666667</v>
      </c>
      <c r="AR199" s="65">
        <v>1.6447</v>
      </c>
      <c r="AU199" s="65">
        <v>51.1787166666667</v>
      </c>
    </row>
    <row r="200">
      <c r="A200" s="119" t="s">
        <v>54</v>
      </c>
      <c r="B200" s="119" t="s">
        <v>63</v>
      </c>
      <c r="C200" s="119"/>
      <c r="D200" s="120">
        <f t="shared" si="1"/>
        <v>0</v>
      </c>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c r="AA200" s="120"/>
      <c r="AB200" s="120"/>
      <c r="AC200" s="120"/>
      <c r="AD200" s="120"/>
      <c r="AE200" s="120"/>
      <c r="AF200" s="120"/>
      <c r="AG200" s="120"/>
      <c r="AH200" s="120"/>
      <c r="AI200" s="120"/>
      <c r="AJ200" s="120"/>
      <c r="AK200" s="120"/>
      <c r="AL200" s="120"/>
      <c r="AM200" s="120"/>
      <c r="AN200" s="120"/>
      <c r="AO200" s="120"/>
      <c r="AP200" s="120"/>
      <c r="AQ200" s="120"/>
      <c r="AR200" s="120"/>
      <c r="AS200" s="120"/>
      <c r="AT200" s="120"/>
      <c r="AU200" s="120"/>
      <c r="AV200" s="120"/>
      <c r="AW200" s="120"/>
      <c r="AX200" s="120"/>
      <c r="AY200" s="120"/>
      <c r="AZ200" s="120"/>
      <c r="BA200" s="120"/>
      <c r="BB200" s="120"/>
      <c r="BC200" s="120"/>
      <c r="BD200" s="120"/>
      <c r="BE200" s="120"/>
      <c r="BF200" s="120"/>
      <c r="BG200" s="120"/>
      <c r="BH200" s="120"/>
      <c r="BI200" s="120"/>
      <c r="BJ200" s="120"/>
      <c r="BK200" s="120"/>
      <c r="BL200" s="120"/>
      <c r="BM200" s="120"/>
      <c r="BN200" s="120"/>
      <c r="BO200" s="120"/>
      <c r="BP200" s="120"/>
      <c r="BQ200" s="120"/>
      <c r="BR200" s="120"/>
      <c r="BS200" s="120"/>
      <c r="BT200" s="120"/>
      <c r="BU200" s="120"/>
      <c r="BV200" s="120"/>
      <c r="BW200" s="120"/>
      <c r="BX200" s="120"/>
      <c r="BY200" s="120"/>
      <c r="BZ200" s="120"/>
      <c r="CA200" s="120"/>
      <c r="CB200" s="120"/>
      <c r="CC200" s="120"/>
      <c r="CD200" s="120"/>
      <c r="CE200" s="120"/>
      <c r="CF200" s="120"/>
      <c r="CG200" s="120"/>
      <c r="CH200" s="120"/>
      <c r="CI200" s="120"/>
      <c r="CJ200" s="120"/>
      <c r="CK200" s="120"/>
      <c r="CL200" s="120"/>
      <c r="CM200" s="120"/>
      <c r="CN200" s="120"/>
      <c r="CO200" s="120"/>
      <c r="CP200" s="120"/>
      <c r="CQ200" s="120"/>
      <c r="CR200" s="120"/>
      <c r="CS200" s="120"/>
      <c r="CT200" s="120"/>
      <c r="CU200" s="120"/>
      <c r="CV200" s="120"/>
      <c r="CW200" s="120"/>
      <c r="CX200" s="120"/>
      <c r="CY200" s="120"/>
      <c r="CZ200" s="120"/>
      <c r="DA200" s="120"/>
      <c r="DB200" s="120"/>
      <c r="DC200" s="120"/>
      <c r="DD200" s="120"/>
      <c r="DE200" s="120"/>
      <c r="DF200" s="120"/>
      <c r="DG200" s="120"/>
      <c r="DH200" s="120"/>
      <c r="DI200" s="120"/>
      <c r="DJ200" s="120"/>
      <c r="DK200" s="120"/>
      <c r="DL200" s="120"/>
      <c r="DM200" s="120"/>
      <c r="DN200" s="120"/>
      <c r="DO200" s="120"/>
      <c r="DP200" s="120"/>
      <c r="DQ200" s="120"/>
      <c r="DR200" s="120"/>
      <c r="DS200" s="120"/>
      <c r="DT200" s="120"/>
      <c r="DU200" s="120"/>
      <c r="DV200" s="120"/>
      <c r="DW200" s="120"/>
      <c r="DX200" s="120"/>
      <c r="DY200" s="120"/>
      <c r="DZ200" s="120"/>
      <c r="EA200" s="120"/>
      <c r="EB200" s="120"/>
      <c r="EC200" s="120"/>
      <c r="ED200" s="120"/>
      <c r="EE200" s="120"/>
      <c r="EF200" s="120"/>
      <c r="EG200" s="120"/>
      <c r="EH200" s="120"/>
      <c r="EI200" s="120"/>
      <c r="EJ200" s="120"/>
      <c r="EK200" s="120"/>
      <c r="EL200" s="120"/>
      <c r="EM200" s="120"/>
      <c r="EN200" s="120"/>
      <c r="EO200" s="120"/>
      <c r="EP200" s="120"/>
      <c r="EQ200" s="120"/>
      <c r="ER200" s="120"/>
      <c r="ES200" s="120"/>
      <c r="ET200" s="120"/>
      <c r="EU200" s="120"/>
      <c r="EV200" s="120"/>
      <c r="EW200" s="120"/>
      <c r="EX200" s="120"/>
      <c r="EY200" s="120"/>
      <c r="EZ200" s="120"/>
      <c r="FA200" s="120"/>
      <c r="FB200" s="120"/>
      <c r="FC200" s="120"/>
      <c r="FD200" s="120"/>
      <c r="FE200" s="120"/>
      <c r="FF200" s="120"/>
      <c r="FG200" s="120"/>
      <c r="FH200" s="120"/>
      <c r="FI200" s="120"/>
      <c r="FJ200" s="120"/>
      <c r="FK200" s="120"/>
      <c r="FL200" s="120"/>
      <c r="FM200" s="120"/>
      <c r="FN200" s="120"/>
      <c r="FO200" s="120"/>
      <c r="FP200" s="120"/>
      <c r="FQ200" s="120"/>
      <c r="FR200" s="120"/>
      <c r="FS200" s="120"/>
      <c r="FT200" s="120"/>
      <c r="FU200" s="120"/>
      <c r="FV200" s="120"/>
      <c r="FW200" s="120"/>
      <c r="FX200" s="120"/>
      <c r="FY200" s="120"/>
      <c r="FZ200" s="120"/>
      <c r="GA200" s="120"/>
      <c r="GB200" s="120"/>
      <c r="GC200" s="120"/>
      <c r="GD200" s="120"/>
      <c r="GE200" s="120"/>
      <c r="GF200" s="120"/>
      <c r="GG200" s="120"/>
      <c r="GH200" s="120"/>
      <c r="GI200" s="120"/>
      <c r="GJ200" s="120"/>
      <c r="GK200" s="120"/>
      <c r="GL200" s="120"/>
      <c r="GM200" s="120"/>
      <c r="GN200" s="120"/>
      <c r="GO200" s="120"/>
      <c r="GP200" s="120"/>
      <c r="GQ200" s="120"/>
      <c r="GR200" s="120"/>
      <c r="GS200" s="120"/>
      <c r="GT200" s="120"/>
      <c r="GU200" s="120"/>
      <c r="GV200" s="120"/>
      <c r="GW200" s="120"/>
      <c r="GX200" s="120"/>
      <c r="GY200" s="120"/>
      <c r="GZ200" s="120"/>
      <c r="HA200" s="120"/>
      <c r="HB200" s="120"/>
      <c r="HC200" s="120"/>
      <c r="HD200" s="120"/>
      <c r="HE200" s="120"/>
      <c r="HF200" s="120"/>
      <c r="HG200" s="120"/>
      <c r="HH200" s="120"/>
      <c r="HI200" s="120"/>
      <c r="HJ200" s="120"/>
      <c r="HK200" s="120"/>
      <c r="HL200" s="120"/>
      <c r="HM200" s="120"/>
      <c r="HN200" s="120"/>
      <c r="HO200" s="120"/>
      <c r="HP200" s="120"/>
      <c r="HQ200" s="120"/>
      <c r="HR200" s="120"/>
      <c r="HS200" s="120"/>
      <c r="HT200" s="120"/>
      <c r="HU200" s="120"/>
      <c r="HV200" s="120"/>
      <c r="HW200" s="120"/>
      <c r="HX200" s="120"/>
      <c r="HY200" s="120"/>
      <c r="HZ200" s="120"/>
      <c r="IA200" s="120"/>
      <c r="IB200" s="120"/>
      <c r="IC200" s="120"/>
      <c r="ID200" s="120"/>
      <c r="IE200" s="120"/>
      <c r="IF200" s="120"/>
      <c r="IG200" s="120"/>
      <c r="IH200" s="120"/>
      <c r="II200" s="120"/>
      <c r="IJ200" s="120"/>
      <c r="IK200" s="120"/>
      <c r="IL200" s="120"/>
      <c r="IM200" s="120"/>
      <c r="IN200" s="120"/>
      <c r="IO200" s="120"/>
      <c r="IP200" s="120"/>
      <c r="IQ200" s="120"/>
      <c r="IR200" s="120"/>
      <c r="IS200" s="120"/>
      <c r="IT200" s="120"/>
      <c r="IU200" s="120"/>
      <c r="IV200" s="120"/>
      <c r="IW200" s="120"/>
      <c r="IX200" s="120"/>
      <c r="IY200" s="120"/>
      <c r="IZ200" s="120"/>
      <c r="JA200" s="120"/>
      <c r="JB200" s="120"/>
      <c r="JC200" s="120"/>
      <c r="JD200" s="120"/>
      <c r="JE200" s="120"/>
      <c r="JF200" s="120"/>
      <c r="JG200" s="120"/>
      <c r="JH200" s="120"/>
      <c r="JI200" s="120"/>
      <c r="JJ200" s="120"/>
      <c r="JK200" s="120"/>
      <c r="JL200" s="120"/>
      <c r="JM200" s="120"/>
      <c r="JN200" s="120"/>
      <c r="JO200" s="120"/>
      <c r="JP200" s="120"/>
      <c r="JQ200" s="120"/>
      <c r="JR200" s="120"/>
      <c r="JS200" s="120"/>
      <c r="JT200" s="120"/>
      <c r="JU200" s="120"/>
      <c r="JV200" s="120"/>
      <c r="JW200" s="120"/>
      <c r="JX200" s="120"/>
      <c r="JY200" s="120"/>
      <c r="JZ200" s="120"/>
      <c r="KA200" s="120"/>
      <c r="KB200" s="120"/>
      <c r="KC200" s="120"/>
      <c r="KD200" s="120"/>
      <c r="KE200" s="120"/>
      <c r="KF200" s="120"/>
      <c r="KG200" s="120"/>
      <c r="KH200" s="120"/>
      <c r="KI200" s="120"/>
      <c r="KJ200" s="120"/>
      <c r="KK200" s="120"/>
      <c r="KL200" s="120"/>
      <c r="KM200" s="120"/>
      <c r="KN200" s="120"/>
      <c r="KO200" s="120"/>
      <c r="KP200" s="120"/>
      <c r="KQ200" s="120"/>
      <c r="KR200" s="120"/>
      <c r="KS200" s="120"/>
      <c r="KT200" s="120"/>
      <c r="KU200" s="120"/>
      <c r="KV200" s="120"/>
      <c r="KW200" s="120"/>
      <c r="KX200" s="120"/>
      <c r="KY200" s="120"/>
      <c r="KZ200" s="120"/>
      <c r="LA200" s="120"/>
      <c r="LB200" s="120"/>
      <c r="LC200" s="120"/>
      <c r="LD200" s="120"/>
      <c r="LE200" s="120"/>
      <c r="LF200" s="120"/>
      <c r="LG200" s="120"/>
      <c r="LH200" s="120"/>
      <c r="LI200" s="120"/>
      <c r="LJ200" s="120"/>
      <c r="LK200" s="120"/>
      <c r="LL200" s="120"/>
      <c r="LM200" s="120"/>
      <c r="LN200" s="120"/>
      <c r="LO200" s="120"/>
      <c r="LP200" s="120"/>
      <c r="LQ200" s="120"/>
      <c r="LR200" s="120"/>
      <c r="LS200" s="120"/>
      <c r="LT200" s="120"/>
      <c r="LU200" s="120"/>
      <c r="LV200" s="120"/>
      <c r="LW200" s="120"/>
      <c r="LX200" s="120"/>
      <c r="LY200" s="120"/>
      <c r="LZ200" s="120"/>
      <c r="MA200" s="120"/>
      <c r="MB200" s="120"/>
      <c r="MC200" s="120"/>
      <c r="MD200" s="120"/>
      <c r="ME200" s="120"/>
      <c r="MF200" s="120"/>
      <c r="MG200" s="120"/>
      <c r="MH200" s="120"/>
      <c r="MI200" s="120"/>
      <c r="MJ200" s="120"/>
      <c r="MK200" s="120"/>
      <c r="ML200" s="120"/>
      <c r="MM200" s="120"/>
      <c r="MN200" s="120"/>
      <c r="MO200" s="120"/>
      <c r="MP200" s="120"/>
      <c r="MQ200" s="120"/>
      <c r="MR200" s="120"/>
      <c r="MS200" s="120"/>
      <c r="MT200" s="120"/>
      <c r="MU200" s="120"/>
      <c r="MV200" s="120"/>
      <c r="MW200" s="120"/>
      <c r="MX200" s="120"/>
      <c r="MY200" s="120"/>
      <c r="MZ200" s="120"/>
      <c r="NA200" s="120"/>
      <c r="NB200" s="120"/>
      <c r="NC200" s="120"/>
      <c r="ND200" s="120"/>
      <c r="NE200" s="120"/>
      <c r="NF200" s="120"/>
      <c r="NG200" s="120"/>
      <c r="NH200" s="120"/>
      <c r="NI200" s="120"/>
      <c r="NJ200" s="120"/>
      <c r="NK200" s="120"/>
      <c r="NL200" s="120"/>
      <c r="NM200" s="120"/>
      <c r="NN200" s="120"/>
      <c r="NO200" s="120"/>
      <c r="NP200" s="120"/>
      <c r="NQ200" s="120"/>
      <c r="NR200" s="120"/>
      <c r="NS200" s="120"/>
      <c r="NT200" s="120"/>
      <c r="NU200" s="120"/>
      <c r="NV200" s="120"/>
      <c r="NW200" s="120"/>
      <c r="NX200" s="120"/>
      <c r="NY200" s="120"/>
      <c r="NZ200" s="120"/>
      <c r="OA200" s="120"/>
      <c r="OB200" s="120"/>
      <c r="OC200" s="120"/>
      <c r="OD200" s="120"/>
      <c r="OE200" s="120"/>
      <c r="OF200" s="120"/>
      <c r="OG200" s="120"/>
      <c r="OH200" s="120"/>
      <c r="OI200" s="120"/>
      <c r="OJ200" s="120"/>
      <c r="OK200" s="120"/>
      <c r="OL200" s="120"/>
      <c r="OM200" s="120"/>
      <c r="ON200" s="120"/>
      <c r="OO200" s="120"/>
      <c r="OP200" s="120"/>
      <c r="OQ200" s="120"/>
      <c r="OR200" s="120"/>
      <c r="OS200" s="120"/>
      <c r="OT200" s="120"/>
      <c r="OU200" s="120"/>
      <c r="OV200" s="120"/>
      <c r="OW200" s="120"/>
      <c r="OX200" s="120"/>
      <c r="OY200" s="120"/>
      <c r="OZ200" s="120"/>
      <c r="PA200" s="120"/>
      <c r="PB200" s="120"/>
      <c r="PC200" s="120"/>
      <c r="PD200" s="120"/>
      <c r="PE200" s="120"/>
      <c r="PF200" s="120"/>
      <c r="PG200" s="120"/>
      <c r="PH200" s="120"/>
      <c r="PI200" s="120"/>
      <c r="PJ200" s="120"/>
      <c r="PK200" s="120"/>
      <c r="PL200" s="120"/>
      <c r="PM200" s="120"/>
      <c r="PN200" s="120"/>
      <c r="PO200" s="120"/>
      <c r="PP200" s="120"/>
      <c r="PQ200" s="120"/>
      <c r="PR200" s="120"/>
      <c r="PS200" s="120"/>
      <c r="PT200" s="120"/>
      <c r="PU200" s="120"/>
      <c r="PV200" s="120"/>
      <c r="PW200" s="120"/>
      <c r="PX200" s="120"/>
      <c r="PY200" s="120"/>
      <c r="PZ200" s="120"/>
      <c r="QA200" s="120"/>
      <c r="QB200" s="120"/>
      <c r="QC200" s="120"/>
      <c r="QD200" s="120"/>
      <c r="QE200" s="120"/>
      <c r="QF200" s="120"/>
      <c r="QG200" s="120"/>
      <c r="QH200" s="120"/>
      <c r="QI200" s="120"/>
      <c r="QJ200" s="120"/>
      <c r="QK200" s="120"/>
      <c r="QL200" s="120"/>
      <c r="QM200" s="120"/>
      <c r="QN200" s="120"/>
      <c r="QO200" s="120"/>
      <c r="QP200" s="120"/>
      <c r="QQ200" s="120"/>
      <c r="QR200" s="120"/>
      <c r="QS200" s="120"/>
      <c r="QT200" s="120"/>
      <c r="QU200" s="120"/>
      <c r="QV200" s="120"/>
      <c r="QW200" s="120"/>
      <c r="QX200" s="120"/>
      <c r="QY200" s="120"/>
      <c r="QZ200" s="120"/>
      <c r="RA200" s="120"/>
      <c r="RB200" s="120"/>
      <c r="RC200" s="120"/>
      <c r="RD200" s="120"/>
      <c r="RE200" s="120"/>
      <c r="RF200" s="120"/>
      <c r="RG200" s="120"/>
      <c r="RH200" s="120"/>
      <c r="RI200" s="120"/>
      <c r="RJ200" s="120"/>
      <c r="RK200" s="120"/>
      <c r="RL200" s="120"/>
      <c r="RM200" s="120"/>
      <c r="RN200" s="120"/>
      <c r="RO200" s="120"/>
      <c r="RP200" s="120"/>
      <c r="RQ200" s="120"/>
      <c r="RR200" s="120"/>
      <c r="RS200" s="120"/>
      <c r="RT200" s="120"/>
      <c r="RU200" s="120"/>
      <c r="RV200" s="120"/>
      <c r="RW200" s="120"/>
      <c r="RX200" s="120"/>
      <c r="RY200" s="120"/>
      <c r="RZ200" s="120"/>
      <c r="SA200" s="120"/>
      <c r="SB200" s="120"/>
      <c r="SC200" s="120"/>
      <c r="SD200" s="120"/>
      <c r="SE200" s="120"/>
      <c r="SF200" s="120"/>
      <c r="SG200" s="120"/>
      <c r="SH200" s="120"/>
      <c r="SI200" s="120"/>
      <c r="SJ200" s="120"/>
      <c r="SK200" s="120"/>
      <c r="SL200" s="120"/>
      <c r="SM200" s="120"/>
      <c r="SN200" s="120"/>
      <c r="SO200" s="120"/>
      <c r="SP200" s="120"/>
      <c r="SQ200" s="120"/>
      <c r="SR200" s="120"/>
      <c r="SS200" s="120"/>
      <c r="ST200" s="120"/>
      <c r="SU200" s="120"/>
      <c r="SV200" s="120"/>
      <c r="SW200" s="120"/>
      <c r="SX200" s="120"/>
      <c r="SY200" s="120"/>
      <c r="SZ200" s="120"/>
      <c r="TA200" s="120"/>
      <c r="TB200" s="120"/>
      <c r="TC200" s="120"/>
      <c r="TD200" s="120"/>
      <c r="TE200" s="120"/>
      <c r="TF200" s="120"/>
      <c r="TG200" s="120"/>
      <c r="TH200" s="120"/>
      <c r="TI200" s="120"/>
      <c r="TJ200" s="120"/>
      <c r="TK200" s="120"/>
      <c r="TL200" s="120"/>
      <c r="TM200" s="120"/>
      <c r="TN200" s="120"/>
      <c r="TO200" s="120"/>
      <c r="TP200" s="120"/>
      <c r="TQ200" s="120"/>
      <c r="TR200" s="120"/>
      <c r="TS200" s="120"/>
      <c r="TT200" s="120"/>
      <c r="TU200" s="120"/>
      <c r="TV200" s="120"/>
      <c r="TW200" s="120"/>
      <c r="TX200" s="120"/>
      <c r="TY200" s="120"/>
      <c r="TZ200" s="120"/>
      <c r="UA200" s="120"/>
      <c r="UB200" s="120"/>
      <c r="UC200" s="120"/>
      <c r="UD200" s="120"/>
      <c r="UE200" s="120"/>
      <c r="UF200" s="120"/>
      <c r="UG200" s="120"/>
      <c r="UH200" s="120"/>
      <c r="UI200" s="120"/>
      <c r="UJ200" s="120"/>
      <c r="UK200" s="120"/>
      <c r="UL200" s="120"/>
      <c r="UM200" s="120"/>
      <c r="UN200" s="120"/>
      <c r="UO200" s="120"/>
      <c r="UP200" s="120"/>
      <c r="UQ200" s="120"/>
      <c r="UR200" s="120"/>
      <c r="US200" s="120"/>
      <c r="UT200" s="120"/>
      <c r="UU200" s="120"/>
      <c r="UV200" s="120"/>
      <c r="UW200" s="120"/>
      <c r="UX200" s="120"/>
      <c r="UY200" s="120"/>
      <c r="UZ200" s="120"/>
      <c r="VA200" s="120"/>
      <c r="VB200" s="120"/>
      <c r="VC200" s="120"/>
      <c r="VD200" s="120"/>
      <c r="VE200" s="120"/>
      <c r="VF200" s="120"/>
      <c r="VG200" s="120"/>
      <c r="VH200" s="120"/>
      <c r="VI200" s="120"/>
      <c r="VJ200" s="120"/>
      <c r="VK200" s="120"/>
      <c r="VL200" s="120"/>
      <c r="VM200" s="120"/>
      <c r="VN200" s="120"/>
      <c r="VO200" s="120"/>
      <c r="VP200" s="120"/>
      <c r="VQ200" s="120"/>
      <c r="VR200" s="120"/>
      <c r="VS200" s="120"/>
      <c r="VT200" s="120"/>
      <c r="VU200" s="120"/>
      <c r="VV200" s="120"/>
      <c r="VW200" s="120"/>
      <c r="VX200" s="120"/>
      <c r="VY200" s="120"/>
      <c r="VZ200" s="120"/>
      <c r="WA200" s="120"/>
      <c r="WB200" s="120"/>
      <c r="WC200" s="120"/>
      <c r="WD200" s="120"/>
      <c r="WE200" s="120"/>
      <c r="WF200" s="120"/>
      <c r="WG200" s="120"/>
      <c r="WH200" s="120"/>
      <c r="WI200" s="120"/>
      <c r="WJ200" s="120"/>
      <c r="WK200" s="120"/>
      <c r="WL200" s="120"/>
      <c r="WM200" s="120"/>
      <c r="WN200" s="120"/>
      <c r="WO200" s="120"/>
      <c r="WP200" s="120"/>
      <c r="WQ200" s="120"/>
      <c r="WR200" s="120"/>
      <c r="WS200" s="120"/>
      <c r="WT200" s="120"/>
      <c r="WU200" s="120"/>
      <c r="WV200" s="120"/>
      <c r="WW200" s="120"/>
      <c r="WX200" s="120"/>
      <c r="WY200" s="120"/>
      <c r="WZ200" s="120"/>
      <c r="XA200" s="120"/>
      <c r="XB200" s="120"/>
      <c r="XC200" s="120"/>
      <c r="XD200" s="120"/>
      <c r="XE200" s="120"/>
      <c r="XF200" s="120"/>
      <c r="XG200" s="120"/>
      <c r="XH200" s="120"/>
      <c r="XI200" s="120"/>
      <c r="XJ200" s="120"/>
      <c r="XK200" s="120"/>
      <c r="XL200" s="120"/>
      <c r="XM200" s="120"/>
      <c r="XN200" s="120"/>
      <c r="XO200" s="120"/>
      <c r="XP200" s="120"/>
      <c r="XQ200" s="120"/>
      <c r="XR200" s="120"/>
      <c r="XS200" s="120"/>
      <c r="XT200" s="120"/>
      <c r="XU200" s="120"/>
      <c r="XV200" s="120"/>
      <c r="XW200" s="120"/>
      <c r="XX200" s="120"/>
      <c r="XY200" s="120"/>
      <c r="XZ200" s="120"/>
      <c r="YA200" s="120"/>
      <c r="YB200" s="120"/>
      <c r="YC200" s="120"/>
      <c r="YD200" s="120"/>
      <c r="YE200" s="120"/>
      <c r="YF200" s="120"/>
      <c r="YG200" s="120"/>
      <c r="YH200" s="120"/>
      <c r="YI200" s="120"/>
      <c r="YJ200" s="120"/>
      <c r="YK200" s="120"/>
      <c r="YL200" s="120"/>
      <c r="YM200" s="120"/>
      <c r="YN200" s="120"/>
      <c r="YO200" s="120"/>
      <c r="YP200" s="120"/>
      <c r="YQ200" s="120"/>
      <c r="YR200" s="120"/>
      <c r="YS200" s="120"/>
      <c r="YT200" s="120"/>
      <c r="YU200" s="120"/>
      <c r="YV200" s="120"/>
      <c r="YW200" s="120"/>
      <c r="YX200" s="120"/>
      <c r="YY200" s="120"/>
      <c r="YZ200" s="120"/>
      <c r="ZA200" s="120"/>
      <c r="ZB200" s="120"/>
      <c r="ZC200" s="120"/>
      <c r="ZD200" s="120"/>
      <c r="ZE200" s="120"/>
      <c r="ZF200" s="120"/>
      <c r="ZG200" s="120"/>
      <c r="ZH200" s="120"/>
      <c r="ZI200" s="120"/>
      <c r="ZJ200" s="120"/>
      <c r="ZK200" s="120"/>
      <c r="ZL200" s="120"/>
      <c r="ZM200" s="120"/>
      <c r="ZN200" s="120"/>
      <c r="ZO200" s="120"/>
      <c r="ZP200" s="120"/>
      <c r="ZQ200" s="120"/>
      <c r="ZR200" s="120"/>
      <c r="ZS200" s="120"/>
      <c r="ZT200" s="120"/>
      <c r="ZU200" s="120"/>
      <c r="ZV200" s="120"/>
      <c r="ZW200" s="120"/>
      <c r="ZX200" s="120"/>
      <c r="ZY200" s="120"/>
      <c r="ZZ200" s="120"/>
      <c r="AAA200" s="120"/>
      <c r="AAB200" s="120"/>
      <c r="AAC200" s="120"/>
      <c r="AAD200" s="120"/>
      <c r="AAE200" s="120"/>
      <c r="AAF200" s="120"/>
      <c r="AAG200" s="120"/>
      <c r="AAH200" s="120"/>
      <c r="AAI200" s="120"/>
      <c r="AAJ200" s="120"/>
      <c r="AAK200" s="120"/>
      <c r="AAL200" s="120"/>
      <c r="AAM200" s="120"/>
      <c r="AAN200" s="120"/>
      <c r="AAO200" s="120"/>
      <c r="AAP200" s="120"/>
      <c r="AAQ200" s="120"/>
      <c r="AAR200" s="120"/>
      <c r="AAS200" s="120"/>
      <c r="AAT200" s="120"/>
      <c r="AAU200" s="120"/>
      <c r="AAV200" s="120"/>
      <c r="AAW200" s="120"/>
      <c r="AAX200" s="120"/>
      <c r="AAY200" s="120"/>
      <c r="AAZ200" s="120"/>
      <c r="ABA200" s="120"/>
      <c r="ABB200" s="120"/>
      <c r="ABC200" s="120"/>
      <c r="ABD200" s="120"/>
      <c r="ABE200" s="120"/>
      <c r="ABF200" s="120"/>
      <c r="ABG200" s="120"/>
      <c r="ABH200" s="120"/>
      <c r="ABI200" s="120"/>
      <c r="ABJ200" s="120"/>
      <c r="ABK200" s="120"/>
      <c r="ABL200" s="120"/>
      <c r="ABM200" s="120"/>
      <c r="ABN200" s="120"/>
      <c r="ABO200" s="120"/>
      <c r="ABP200" s="120"/>
      <c r="ABQ200" s="120"/>
      <c r="ABR200" s="120"/>
      <c r="ABS200" s="120"/>
      <c r="ABT200" s="120"/>
      <c r="ABU200" s="120"/>
      <c r="ABV200" s="120"/>
      <c r="ABW200" s="120"/>
      <c r="ABX200" s="120"/>
      <c r="ABY200" s="120"/>
      <c r="ABZ200" s="120"/>
      <c r="ACA200" s="120"/>
      <c r="ACB200" s="120"/>
      <c r="ACC200" s="120"/>
      <c r="ACD200" s="120"/>
      <c r="ACE200" s="120"/>
      <c r="ACF200" s="120"/>
      <c r="ACG200" s="120"/>
      <c r="ACH200" s="120"/>
      <c r="ACI200" s="120"/>
      <c r="ACJ200" s="120"/>
      <c r="ACK200" s="120"/>
      <c r="ACL200" s="120"/>
      <c r="ACM200" s="120"/>
      <c r="ACN200" s="120"/>
      <c r="ACO200" s="120"/>
      <c r="ACP200" s="120"/>
      <c r="ACQ200" s="120"/>
      <c r="ACR200" s="120"/>
      <c r="ACS200" s="120"/>
      <c r="ACT200" s="120"/>
      <c r="ACU200" s="120"/>
      <c r="ACV200" s="120"/>
      <c r="ACW200" s="120"/>
      <c r="ACX200" s="120"/>
      <c r="ACY200" s="120"/>
      <c r="ACZ200" s="120"/>
      <c r="ADA200" s="120"/>
      <c r="ADB200" s="120"/>
      <c r="ADC200" s="120"/>
      <c r="ADD200" s="120"/>
      <c r="ADE200" s="120"/>
      <c r="ADF200" s="120"/>
      <c r="ADG200" s="120"/>
      <c r="ADH200" s="120"/>
      <c r="ADI200" s="120"/>
      <c r="ADJ200" s="120"/>
      <c r="ADK200" s="120"/>
      <c r="ADL200" s="120"/>
      <c r="ADM200" s="120"/>
      <c r="ADN200" s="120"/>
      <c r="ADO200" s="120"/>
      <c r="ADP200" s="120"/>
      <c r="ADQ200" s="120"/>
      <c r="ADR200" s="120"/>
      <c r="ADS200" s="120"/>
      <c r="ADT200" s="120"/>
      <c r="ADU200" s="120"/>
      <c r="ADV200" s="120"/>
      <c r="ADW200" s="120"/>
      <c r="ADX200" s="120"/>
      <c r="ADY200" s="120"/>
      <c r="ADZ200" s="120"/>
      <c r="AEA200" s="120"/>
      <c r="AEB200" s="120"/>
      <c r="AEC200" s="120"/>
      <c r="AED200" s="120"/>
      <c r="AEE200" s="120"/>
      <c r="AEF200" s="120"/>
      <c r="AEG200" s="120"/>
      <c r="AEH200" s="120"/>
      <c r="AEI200" s="120"/>
      <c r="AEJ200" s="120"/>
      <c r="AEK200" s="120"/>
      <c r="AEL200" s="120"/>
      <c r="AEM200" s="120"/>
      <c r="AEN200" s="120"/>
      <c r="AEO200" s="120"/>
      <c r="AEP200" s="120"/>
      <c r="AEQ200" s="120"/>
      <c r="AER200" s="120"/>
      <c r="AES200" s="120"/>
      <c r="AET200" s="120"/>
      <c r="AEU200" s="120"/>
      <c r="AEV200" s="120"/>
      <c r="AEW200" s="120"/>
      <c r="AEX200" s="120"/>
      <c r="AEY200" s="120"/>
      <c r="AEZ200" s="120"/>
      <c r="AFA200" s="120"/>
      <c r="AFB200" s="120"/>
      <c r="AFC200" s="120"/>
      <c r="AFD200" s="120"/>
      <c r="AFE200" s="120"/>
      <c r="AFF200" s="120"/>
      <c r="AFG200" s="120"/>
      <c r="AFH200" s="120"/>
      <c r="AFI200" s="120"/>
      <c r="AFJ200" s="120"/>
      <c r="AFK200" s="120"/>
      <c r="AFL200" s="120"/>
      <c r="AFM200" s="120"/>
      <c r="AFN200" s="120"/>
      <c r="AFO200" s="120"/>
      <c r="AFP200" s="120"/>
      <c r="AFQ200" s="120"/>
      <c r="AFR200" s="120"/>
      <c r="AFS200" s="120"/>
      <c r="AFT200" s="120"/>
      <c r="AFU200" s="120"/>
      <c r="AFV200" s="120"/>
      <c r="AFW200" s="120"/>
      <c r="AFX200" s="120"/>
      <c r="AFY200" s="120"/>
      <c r="AFZ200" s="120"/>
      <c r="AGA200" s="120"/>
      <c r="AGB200" s="120"/>
      <c r="AGC200" s="120"/>
      <c r="AGD200" s="120"/>
      <c r="AGE200" s="120"/>
      <c r="AGF200" s="120"/>
      <c r="AGG200" s="120"/>
      <c r="AGH200" s="120"/>
      <c r="AGI200" s="120"/>
      <c r="AGJ200" s="120"/>
      <c r="AGK200" s="120"/>
      <c r="AGL200" s="120"/>
      <c r="AGM200" s="120"/>
      <c r="AGN200" s="120"/>
      <c r="AGO200" s="120"/>
      <c r="AGP200" s="120"/>
      <c r="AGQ200" s="120"/>
      <c r="AGR200" s="120"/>
      <c r="AGS200" s="120"/>
      <c r="AGT200" s="120"/>
      <c r="AGU200" s="120"/>
      <c r="AGV200" s="120"/>
      <c r="AGW200" s="120"/>
      <c r="AGX200" s="120"/>
      <c r="AGY200" s="120"/>
      <c r="AGZ200" s="120"/>
      <c r="AHA200" s="120"/>
      <c r="AHB200" s="120"/>
      <c r="AHC200" s="120"/>
      <c r="AHD200" s="120"/>
      <c r="AHE200" s="120"/>
      <c r="AHF200" s="120"/>
      <c r="AHG200" s="120"/>
      <c r="AHH200" s="120"/>
      <c r="AHI200" s="120"/>
      <c r="AHJ200" s="120"/>
      <c r="AHK200" s="120"/>
      <c r="AHL200" s="120"/>
      <c r="AHM200" s="120"/>
      <c r="AHN200" s="120"/>
      <c r="AHO200" s="120"/>
      <c r="AHP200" s="120"/>
      <c r="AHQ200" s="120"/>
      <c r="AHR200" s="120"/>
      <c r="AHS200" s="120"/>
      <c r="AHT200" s="120"/>
      <c r="AHU200" s="120"/>
      <c r="AHV200" s="120"/>
      <c r="AHW200" s="120"/>
      <c r="AHX200" s="120"/>
      <c r="AHY200" s="120"/>
      <c r="AHZ200" s="120"/>
      <c r="AIA200" s="120"/>
      <c r="AIB200" s="120"/>
      <c r="AIC200" s="120"/>
      <c r="AID200" s="120"/>
      <c r="AIE200" s="120"/>
      <c r="AIF200" s="120"/>
      <c r="AIG200" s="120"/>
      <c r="AIH200" s="120"/>
      <c r="AII200" s="120"/>
      <c r="AIJ200" s="120"/>
      <c r="AIK200" s="120"/>
      <c r="AIL200" s="120"/>
      <c r="AIM200" s="120"/>
      <c r="AIN200" s="120"/>
      <c r="AIO200" s="120"/>
      <c r="AIP200" s="120"/>
      <c r="AIQ200" s="120"/>
      <c r="AIR200" s="120"/>
      <c r="AIS200" s="120"/>
      <c r="AIT200" s="120"/>
      <c r="AIU200" s="120"/>
      <c r="AIV200" s="120"/>
      <c r="AIW200" s="120"/>
      <c r="AIX200" s="120"/>
      <c r="AIY200" s="120"/>
      <c r="AIZ200" s="120"/>
    </row>
    <row r="201">
      <c r="A201" s="112" t="s">
        <v>54</v>
      </c>
      <c r="B201" s="112" t="s">
        <v>64</v>
      </c>
      <c r="C201" s="112"/>
      <c r="D201" s="113">
        <f t="shared" si="1"/>
        <v>494.5215333</v>
      </c>
      <c r="E201" s="112">
        <v>53.4332833333333</v>
      </c>
      <c r="F201" s="113"/>
      <c r="G201" s="113"/>
      <c r="H201" s="113"/>
      <c r="I201" s="113"/>
      <c r="J201" s="113"/>
      <c r="K201" s="113"/>
      <c r="L201" s="112">
        <v>0.343266666666667</v>
      </c>
      <c r="M201" s="112">
        <v>8.53278333333333</v>
      </c>
      <c r="N201" s="113"/>
      <c r="O201" s="113"/>
      <c r="P201" s="112">
        <v>73.6758166666667</v>
      </c>
      <c r="Q201" s="113"/>
      <c r="R201" s="113"/>
      <c r="S201" s="113"/>
      <c r="T201" s="113"/>
      <c r="U201" s="113"/>
      <c r="V201" s="112">
        <v>1.03728333333333</v>
      </c>
      <c r="W201" s="112">
        <v>107.82485</v>
      </c>
      <c r="X201" s="113"/>
      <c r="Y201" s="113"/>
      <c r="Z201" s="113"/>
      <c r="AA201" s="113"/>
      <c r="AB201" s="113"/>
      <c r="AC201" s="112">
        <v>1.44735</v>
      </c>
      <c r="AD201" s="112">
        <v>152.3836</v>
      </c>
      <c r="AE201" s="113"/>
      <c r="AF201" s="113"/>
      <c r="AG201" s="113"/>
      <c r="AH201" s="113"/>
      <c r="AI201" s="113"/>
      <c r="AJ201" s="112">
        <v>3.31238333333333</v>
      </c>
      <c r="AK201" s="112">
        <v>27.0713666666667</v>
      </c>
      <c r="AL201" s="113"/>
      <c r="AM201" s="113"/>
      <c r="AN201" s="113"/>
      <c r="AO201" s="112">
        <v>6.95173333333334</v>
      </c>
      <c r="AP201" s="112">
        <v>6.42963333333333</v>
      </c>
      <c r="AQ201" s="113"/>
      <c r="AR201" s="113"/>
      <c r="AS201" s="112">
        <v>0.491683333333333</v>
      </c>
      <c r="AT201" s="112">
        <v>49.1620166666666</v>
      </c>
      <c r="AU201" s="113"/>
      <c r="AV201" s="112">
        <v>2.05091666666667</v>
      </c>
      <c r="AW201" s="112">
        <v>0.373566666666667</v>
      </c>
      <c r="AX201" s="113"/>
      <c r="AY201" s="113"/>
      <c r="AZ201" s="113"/>
      <c r="BA201" s="113"/>
      <c r="BB201" s="113"/>
      <c r="BC201" s="113"/>
      <c r="BD201" s="113"/>
      <c r="BE201" s="113"/>
      <c r="BF201" s="113"/>
      <c r="BG201" s="113"/>
      <c r="BH201" s="113"/>
      <c r="BI201" s="113"/>
      <c r="BJ201" s="113"/>
      <c r="BK201" s="113"/>
      <c r="BL201" s="113"/>
      <c r="BM201" s="113"/>
      <c r="BN201" s="113"/>
      <c r="BO201" s="113"/>
      <c r="BP201" s="113"/>
      <c r="BQ201" s="113"/>
      <c r="BR201" s="113"/>
      <c r="BS201" s="113"/>
      <c r="BT201" s="113"/>
      <c r="BU201" s="113"/>
      <c r="BV201" s="113"/>
      <c r="BW201" s="113"/>
      <c r="BX201" s="113"/>
      <c r="BY201" s="113"/>
      <c r="BZ201" s="113"/>
      <c r="CA201" s="113"/>
      <c r="CB201" s="113"/>
      <c r="CC201" s="113"/>
      <c r="CD201" s="113"/>
      <c r="CE201" s="113"/>
      <c r="CF201" s="113"/>
      <c r="CG201" s="113"/>
      <c r="CH201" s="113"/>
      <c r="CI201" s="113"/>
      <c r="CJ201" s="113"/>
      <c r="CK201" s="113"/>
      <c r="CL201" s="113"/>
      <c r="CM201" s="113"/>
      <c r="CN201" s="113"/>
      <c r="CO201" s="113"/>
      <c r="CP201" s="113"/>
      <c r="CQ201" s="113"/>
      <c r="CR201" s="113"/>
      <c r="CS201" s="113"/>
      <c r="CT201" s="113"/>
      <c r="CU201" s="113"/>
      <c r="CV201" s="113"/>
      <c r="CW201" s="113"/>
      <c r="CX201" s="113"/>
      <c r="CY201" s="113"/>
      <c r="CZ201" s="113"/>
      <c r="DA201" s="113"/>
      <c r="DB201" s="113"/>
      <c r="DC201" s="113"/>
      <c r="DD201" s="113"/>
      <c r="DE201" s="113"/>
      <c r="DF201" s="113"/>
      <c r="DG201" s="113"/>
      <c r="DH201" s="113"/>
      <c r="DI201" s="113"/>
      <c r="DJ201" s="113"/>
      <c r="DK201" s="113"/>
      <c r="DL201" s="113"/>
      <c r="DM201" s="113"/>
      <c r="DN201" s="113"/>
      <c r="DO201" s="113"/>
      <c r="DP201" s="113"/>
      <c r="DQ201" s="113"/>
      <c r="DR201" s="113"/>
      <c r="DS201" s="113"/>
      <c r="DT201" s="113"/>
      <c r="DU201" s="113"/>
      <c r="DV201" s="113"/>
      <c r="DW201" s="113"/>
      <c r="DX201" s="113"/>
      <c r="DY201" s="113"/>
      <c r="DZ201" s="113"/>
      <c r="EA201" s="113"/>
      <c r="EB201" s="113"/>
      <c r="EC201" s="113"/>
      <c r="ED201" s="113"/>
      <c r="EE201" s="113"/>
      <c r="EF201" s="113"/>
      <c r="EG201" s="113"/>
      <c r="EH201" s="113"/>
      <c r="EI201" s="113"/>
      <c r="EJ201" s="113"/>
      <c r="EK201" s="113"/>
      <c r="EL201" s="113"/>
      <c r="EM201" s="113"/>
      <c r="EN201" s="113"/>
      <c r="EO201" s="113"/>
      <c r="EP201" s="113"/>
      <c r="EQ201" s="113"/>
      <c r="ER201" s="113"/>
      <c r="ES201" s="113"/>
      <c r="ET201" s="113"/>
      <c r="EU201" s="113"/>
      <c r="EV201" s="113"/>
      <c r="EW201" s="113"/>
      <c r="EX201" s="113"/>
      <c r="EY201" s="113"/>
      <c r="EZ201" s="113"/>
      <c r="FA201" s="113"/>
      <c r="FB201" s="113"/>
      <c r="FC201" s="113"/>
      <c r="FD201" s="113"/>
      <c r="FE201" s="113"/>
      <c r="FF201" s="113"/>
      <c r="FG201" s="113"/>
      <c r="FH201" s="113"/>
      <c r="FI201" s="113"/>
      <c r="FJ201" s="113"/>
      <c r="FK201" s="113"/>
      <c r="FL201" s="113"/>
      <c r="FM201" s="113"/>
      <c r="FN201" s="113"/>
      <c r="FO201" s="113"/>
      <c r="FP201" s="113"/>
      <c r="FQ201" s="113"/>
      <c r="FR201" s="113"/>
      <c r="FS201" s="113"/>
      <c r="FT201" s="113"/>
      <c r="FU201" s="113"/>
      <c r="FV201" s="113"/>
      <c r="FW201" s="113"/>
      <c r="FX201" s="113"/>
      <c r="FY201" s="113"/>
      <c r="FZ201" s="113"/>
      <c r="GA201" s="113"/>
      <c r="GB201" s="113"/>
      <c r="GC201" s="113"/>
      <c r="GD201" s="113"/>
      <c r="GE201" s="113"/>
      <c r="GF201" s="113"/>
      <c r="GG201" s="113"/>
      <c r="GH201" s="113"/>
      <c r="GI201" s="113"/>
      <c r="GJ201" s="113"/>
      <c r="GK201" s="113"/>
      <c r="GL201" s="113"/>
      <c r="GM201" s="113"/>
      <c r="GN201" s="113"/>
      <c r="GO201" s="113"/>
      <c r="GP201" s="113"/>
      <c r="GQ201" s="113"/>
      <c r="GR201" s="113"/>
      <c r="GS201" s="113"/>
      <c r="GT201" s="113"/>
      <c r="GU201" s="113"/>
      <c r="GV201" s="113"/>
      <c r="GW201" s="113"/>
      <c r="GX201" s="113"/>
      <c r="GY201" s="113"/>
      <c r="GZ201" s="113"/>
      <c r="HA201" s="113"/>
      <c r="HB201" s="113"/>
      <c r="HC201" s="113"/>
      <c r="HD201" s="113"/>
      <c r="HE201" s="113"/>
      <c r="HF201" s="113"/>
      <c r="HG201" s="113"/>
      <c r="HH201" s="113"/>
      <c r="HI201" s="113"/>
      <c r="HJ201" s="113"/>
      <c r="HK201" s="113"/>
      <c r="HL201" s="113"/>
      <c r="HM201" s="113"/>
      <c r="HN201" s="113"/>
      <c r="HO201" s="113"/>
      <c r="HP201" s="113"/>
      <c r="HQ201" s="113"/>
      <c r="HR201" s="113"/>
      <c r="HS201" s="113"/>
      <c r="HT201" s="113"/>
      <c r="HU201" s="113"/>
      <c r="HV201" s="113"/>
      <c r="HW201" s="113"/>
      <c r="HX201" s="113"/>
      <c r="HY201" s="113"/>
      <c r="HZ201" s="113"/>
      <c r="IA201" s="113"/>
      <c r="IB201" s="113"/>
      <c r="IC201" s="113"/>
      <c r="ID201" s="113"/>
      <c r="IE201" s="113"/>
      <c r="IF201" s="113"/>
      <c r="IG201" s="113"/>
      <c r="IH201" s="113"/>
      <c r="II201" s="113"/>
      <c r="IJ201" s="113"/>
      <c r="IK201" s="113"/>
      <c r="IL201" s="113"/>
      <c r="IM201" s="113"/>
      <c r="IN201" s="113"/>
      <c r="IO201" s="113"/>
      <c r="IP201" s="113"/>
      <c r="IQ201" s="113"/>
      <c r="IR201" s="113"/>
      <c r="IS201" s="113"/>
      <c r="IT201" s="113"/>
      <c r="IU201" s="113"/>
      <c r="IV201" s="113"/>
      <c r="IW201" s="113"/>
      <c r="IX201" s="113"/>
      <c r="IY201" s="113"/>
      <c r="IZ201" s="113"/>
      <c r="JA201" s="113"/>
      <c r="JB201" s="113"/>
      <c r="JC201" s="113"/>
      <c r="JD201" s="113"/>
      <c r="JE201" s="113"/>
      <c r="JF201" s="113"/>
      <c r="JG201" s="113"/>
      <c r="JH201" s="113"/>
      <c r="JI201" s="113"/>
      <c r="JJ201" s="113"/>
      <c r="JK201" s="113"/>
      <c r="JL201" s="113"/>
      <c r="JM201" s="113"/>
      <c r="JN201" s="113"/>
      <c r="JO201" s="113"/>
      <c r="JP201" s="113"/>
      <c r="JQ201" s="113"/>
      <c r="JR201" s="113"/>
      <c r="JS201" s="113"/>
      <c r="JT201" s="113"/>
      <c r="JU201" s="113"/>
      <c r="JV201" s="113"/>
      <c r="JW201" s="113"/>
      <c r="JX201" s="113"/>
      <c r="JY201" s="113"/>
      <c r="JZ201" s="113"/>
      <c r="KA201" s="113"/>
      <c r="KB201" s="113"/>
      <c r="KC201" s="113"/>
      <c r="KD201" s="113"/>
      <c r="KE201" s="113"/>
      <c r="KF201" s="113"/>
      <c r="KG201" s="113"/>
      <c r="KH201" s="113"/>
      <c r="KI201" s="113"/>
      <c r="KJ201" s="113"/>
      <c r="KK201" s="113"/>
      <c r="KL201" s="113"/>
      <c r="KM201" s="113"/>
      <c r="KN201" s="113"/>
      <c r="KO201" s="113"/>
      <c r="KP201" s="113"/>
      <c r="KQ201" s="113"/>
      <c r="KR201" s="113"/>
      <c r="KS201" s="113"/>
      <c r="KT201" s="113"/>
      <c r="KU201" s="113"/>
      <c r="KV201" s="113"/>
      <c r="KW201" s="113"/>
      <c r="KX201" s="113"/>
      <c r="KY201" s="113"/>
      <c r="KZ201" s="113"/>
      <c r="LA201" s="113"/>
      <c r="LB201" s="113"/>
      <c r="LC201" s="113"/>
      <c r="LD201" s="113"/>
      <c r="LE201" s="113"/>
      <c r="LF201" s="113"/>
      <c r="LG201" s="113"/>
      <c r="LH201" s="113"/>
      <c r="LI201" s="113"/>
      <c r="LJ201" s="113"/>
      <c r="LK201" s="113"/>
      <c r="LL201" s="113"/>
      <c r="LM201" s="113"/>
      <c r="LN201" s="113"/>
      <c r="LO201" s="113"/>
      <c r="LP201" s="113"/>
      <c r="LQ201" s="113"/>
      <c r="LR201" s="113"/>
      <c r="LS201" s="113"/>
      <c r="LT201" s="113"/>
      <c r="LU201" s="113"/>
      <c r="LV201" s="113"/>
      <c r="LW201" s="113"/>
      <c r="LX201" s="113"/>
      <c r="LY201" s="113"/>
      <c r="LZ201" s="113"/>
      <c r="MA201" s="113"/>
      <c r="MB201" s="113"/>
      <c r="MC201" s="113"/>
      <c r="MD201" s="113"/>
      <c r="ME201" s="113"/>
      <c r="MF201" s="113"/>
      <c r="MG201" s="113"/>
      <c r="MH201" s="113"/>
      <c r="MI201" s="113"/>
      <c r="MJ201" s="113"/>
      <c r="MK201" s="113"/>
      <c r="ML201" s="113"/>
      <c r="MM201" s="113"/>
      <c r="MN201" s="113"/>
      <c r="MO201" s="113"/>
      <c r="MP201" s="113"/>
      <c r="MQ201" s="113"/>
      <c r="MR201" s="113"/>
      <c r="MS201" s="113"/>
      <c r="MT201" s="113"/>
      <c r="MU201" s="113"/>
      <c r="MV201" s="113"/>
      <c r="MW201" s="113"/>
      <c r="MX201" s="113"/>
      <c r="MY201" s="113"/>
      <c r="MZ201" s="113"/>
      <c r="NA201" s="113"/>
      <c r="NB201" s="113"/>
      <c r="NC201" s="113"/>
      <c r="ND201" s="113"/>
      <c r="NE201" s="113"/>
      <c r="NF201" s="113"/>
      <c r="NG201" s="113"/>
      <c r="NH201" s="113"/>
      <c r="NI201" s="113"/>
      <c r="NJ201" s="113"/>
      <c r="NK201" s="113"/>
      <c r="NL201" s="113"/>
      <c r="NM201" s="113"/>
      <c r="NN201" s="113"/>
      <c r="NO201" s="113"/>
      <c r="NP201" s="113"/>
      <c r="NQ201" s="113"/>
      <c r="NR201" s="113"/>
      <c r="NS201" s="113"/>
      <c r="NT201" s="113"/>
      <c r="NU201" s="113"/>
      <c r="NV201" s="113"/>
      <c r="NW201" s="113"/>
      <c r="NX201" s="113"/>
      <c r="NY201" s="113"/>
      <c r="NZ201" s="113"/>
      <c r="OA201" s="113"/>
      <c r="OB201" s="113"/>
      <c r="OC201" s="113"/>
      <c r="OD201" s="113"/>
      <c r="OE201" s="113"/>
      <c r="OF201" s="113"/>
      <c r="OG201" s="113"/>
      <c r="OH201" s="113"/>
      <c r="OI201" s="113"/>
      <c r="OJ201" s="113"/>
      <c r="OK201" s="113"/>
      <c r="OL201" s="113"/>
      <c r="OM201" s="113"/>
      <c r="ON201" s="113"/>
      <c r="OO201" s="113"/>
      <c r="OP201" s="113"/>
      <c r="OQ201" s="113"/>
      <c r="OR201" s="113"/>
      <c r="OS201" s="113"/>
      <c r="OT201" s="113"/>
      <c r="OU201" s="113"/>
      <c r="OV201" s="113"/>
      <c r="OW201" s="113"/>
      <c r="OX201" s="113"/>
      <c r="OY201" s="113"/>
      <c r="OZ201" s="113"/>
      <c r="PA201" s="113"/>
      <c r="PB201" s="113"/>
      <c r="PC201" s="113"/>
      <c r="PD201" s="113"/>
      <c r="PE201" s="113"/>
      <c r="PF201" s="113"/>
      <c r="PG201" s="113"/>
      <c r="PH201" s="113"/>
      <c r="PI201" s="113"/>
      <c r="PJ201" s="113"/>
      <c r="PK201" s="113"/>
      <c r="PL201" s="113"/>
      <c r="PM201" s="113"/>
      <c r="PN201" s="113"/>
      <c r="PO201" s="113"/>
      <c r="PP201" s="113"/>
      <c r="PQ201" s="113"/>
      <c r="PR201" s="113"/>
      <c r="PS201" s="113"/>
      <c r="PT201" s="113"/>
      <c r="PU201" s="113"/>
      <c r="PV201" s="113"/>
      <c r="PW201" s="113"/>
      <c r="PX201" s="113"/>
      <c r="PY201" s="113"/>
      <c r="PZ201" s="113"/>
      <c r="QA201" s="113"/>
      <c r="QB201" s="113"/>
      <c r="QC201" s="113"/>
      <c r="QD201" s="113"/>
      <c r="QE201" s="113"/>
      <c r="QF201" s="113"/>
      <c r="QG201" s="113"/>
      <c r="QH201" s="113"/>
      <c r="QI201" s="113"/>
      <c r="QJ201" s="113"/>
      <c r="QK201" s="113"/>
      <c r="QL201" s="113"/>
      <c r="QM201" s="113"/>
      <c r="QN201" s="113"/>
      <c r="QO201" s="113"/>
      <c r="QP201" s="113"/>
      <c r="QQ201" s="113"/>
      <c r="QR201" s="113"/>
      <c r="QS201" s="113"/>
      <c r="QT201" s="113"/>
      <c r="QU201" s="113"/>
      <c r="QV201" s="113"/>
      <c r="QW201" s="113"/>
      <c r="QX201" s="113"/>
      <c r="QY201" s="113"/>
      <c r="QZ201" s="113"/>
      <c r="RA201" s="113"/>
      <c r="RB201" s="113"/>
      <c r="RC201" s="113"/>
      <c r="RD201" s="113"/>
      <c r="RE201" s="113"/>
      <c r="RF201" s="113"/>
      <c r="RG201" s="113"/>
      <c r="RH201" s="113"/>
      <c r="RI201" s="113"/>
      <c r="RJ201" s="113"/>
      <c r="RK201" s="113"/>
      <c r="RL201" s="113"/>
      <c r="RM201" s="113"/>
      <c r="RN201" s="113"/>
      <c r="RO201" s="113"/>
      <c r="RP201" s="113"/>
      <c r="RQ201" s="113"/>
      <c r="RR201" s="113"/>
      <c r="RS201" s="113"/>
      <c r="RT201" s="113"/>
      <c r="RU201" s="113"/>
      <c r="RV201" s="113"/>
      <c r="RW201" s="113"/>
      <c r="RX201" s="113"/>
      <c r="RY201" s="113"/>
      <c r="RZ201" s="113"/>
      <c r="SA201" s="113"/>
      <c r="SB201" s="113"/>
      <c r="SC201" s="113"/>
      <c r="SD201" s="113"/>
      <c r="SE201" s="113"/>
      <c r="SF201" s="113"/>
      <c r="SG201" s="113"/>
      <c r="SH201" s="113"/>
      <c r="SI201" s="113"/>
      <c r="SJ201" s="113"/>
      <c r="SK201" s="113"/>
      <c r="SL201" s="113"/>
      <c r="SM201" s="113"/>
      <c r="SN201" s="113"/>
      <c r="SO201" s="113"/>
      <c r="SP201" s="113"/>
      <c r="SQ201" s="113"/>
      <c r="SR201" s="113"/>
      <c r="SS201" s="113"/>
      <c r="ST201" s="113"/>
      <c r="SU201" s="113"/>
      <c r="SV201" s="113"/>
      <c r="SW201" s="113"/>
      <c r="SX201" s="113"/>
      <c r="SY201" s="113"/>
      <c r="SZ201" s="113"/>
      <c r="TA201" s="113"/>
      <c r="TB201" s="113"/>
      <c r="TC201" s="113"/>
      <c r="TD201" s="113"/>
      <c r="TE201" s="113"/>
      <c r="TF201" s="113"/>
      <c r="TG201" s="113"/>
      <c r="TH201" s="113"/>
      <c r="TI201" s="113"/>
      <c r="TJ201" s="113"/>
      <c r="TK201" s="113"/>
      <c r="TL201" s="113"/>
      <c r="TM201" s="113"/>
      <c r="TN201" s="113"/>
      <c r="TO201" s="113"/>
      <c r="TP201" s="113"/>
      <c r="TQ201" s="113"/>
      <c r="TR201" s="113"/>
      <c r="TS201" s="113"/>
      <c r="TT201" s="113"/>
      <c r="TU201" s="113"/>
      <c r="TV201" s="113"/>
      <c r="TW201" s="113"/>
      <c r="TX201" s="113"/>
      <c r="TY201" s="113"/>
      <c r="TZ201" s="113"/>
      <c r="UA201" s="113"/>
      <c r="UB201" s="113"/>
      <c r="UC201" s="113"/>
      <c r="UD201" s="113"/>
      <c r="UE201" s="113"/>
      <c r="UF201" s="113"/>
      <c r="UG201" s="113"/>
      <c r="UH201" s="113"/>
      <c r="UI201" s="113"/>
      <c r="UJ201" s="113"/>
      <c r="UK201" s="113"/>
      <c r="UL201" s="113"/>
      <c r="UM201" s="113"/>
      <c r="UN201" s="113"/>
      <c r="UO201" s="113"/>
      <c r="UP201" s="113"/>
      <c r="UQ201" s="113"/>
      <c r="UR201" s="113"/>
      <c r="US201" s="113"/>
      <c r="UT201" s="113"/>
      <c r="UU201" s="113"/>
      <c r="UV201" s="113"/>
      <c r="UW201" s="113"/>
      <c r="UX201" s="113"/>
      <c r="UY201" s="113"/>
      <c r="UZ201" s="113"/>
      <c r="VA201" s="113"/>
      <c r="VB201" s="113"/>
      <c r="VC201" s="113"/>
      <c r="VD201" s="113"/>
      <c r="VE201" s="113"/>
      <c r="VF201" s="113"/>
      <c r="VG201" s="113"/>
      <c r="VH201" s="113"/>
      <c r="VI201" s="113"/>
      <c r="VJ201" s="113"/>
      <c r="VK201" s="113"/>
      <c r="VL201" s="113"/>
      <c r="VM201" s="113"/>
      <c r="VN201" s="113"/>
      <c r="VO201" s="113"/>
      <c r="VP201" s="113"/>
      <c r="VQ201" s="113"/>
      <c r="VR201" s="113"/>
      <c r="VS201" s="113"/>
      <c r="VT201" s="113"/>
      <c r="VU201" s="113"/>
      <c r="VV201" s="113"/>
      <c r="VW201" s="113"/>
      <c r="VX201" s="113"/>
      <c r="VY201" s="113"/>
      <c r="VZ201" s="113"/>
      <c r="WA201" s="113"/>
      <c r="WB201" s="113"/>
      <c r="WC201" s="113"/>
      <c r="WD201" s="113"/>
      <c r="WE201" s="113"/>
      <c r="WF201" s="113"/>
      <c r="WG201" s="113"/>
      <c r="WH201" s="113"/>
      <c r="WI201" s="113"/>
      <c r="WJ201" s="113"/>
      <c r="WK201" s="113"/>
      <c r="WL201" s="113"/>
      <c r="WM201" s="113"/>
      <c r="WN201" s="113"/>
      <c r="WO201" s="113"/>
      <c r="WP201" s="113"/>
      <c r="WQ201" s="113"/>
      <c r="WR201" s="113"/>
      <c r="WS201" s="113"/>
      <c r="WT201" s="113"/>
      <c r="WU201" s="113"/>
      <c r="WV201" s="113"/>
      <c r="WW201" s="113"/>
      <c r="WX201" s="113"/>
      <c r="WY201" s="113"/>
      <c r="WZ201" s="113"/>
      <c r="XA201" s="113"/>
      <c r="XB201" s="113"/>
      <c r="XC201" s="113"/>
      <c r="XD201" s="113"/>
      <c r="XE201" s="113"/>
      <c r="XF201" s="113"/>
      <c r="XG201" s="113"/>
      <c r="XH201" s="113"/>
      <c r="XI201" s="113"/>
      <c r="XJ201" s="113"/>
      <c r="XK201" s="113"/>
      <c r="XL201" s="113"/>
      <c r="XM201" s="113"/>
      <c r="XN201" s="113"/>
      <c r="XO201" s="113"/>
      <c r="XP201" s="113"/>
      <c r="XQ201" s="113"/>
      <c r="XR201" s="113"/>
      <c r="XS201" s="113"/>
      <c r="XT201" s="113"/>
      <c r="XU201" s="113"/>
      <c r="XV201" s="113"/>
      <c r="XW201" s="113"/>
      <c r="XX201" s="113"/>
      <c r="XY201" s="113"/>
      <c r="XZ201" s="113"/>
      <c r="YA201" s="113"/>
      <c r="YB201" s="113"/>
      <c r="YC201" s="113"/>
      <c r="YD201" s="113"/>
      <c r="YE201" s="113"/>
      <c r="YF201" s="113"/>
      <c r="YG201" s="113"/>
      <c r="YH201" s="113"/>
      <c r="YI201" s="113"/>
      <c r="YJ201" s="113"/>
      <c r="YK201" s="113"/>
      <c r="YL201" s="113"/>
      <c r="YM201" s="113"/>
      <c r="YN201" s="113"/>
      <c r="YO201" s="113"/>
      <c r="YP201" s="113"/>
      <c r="YQ201" s="113"/>
      <c r="YR201" s="113"/>
      <c r="YS201" s="113"/>
      <c r="YT201" s="113"/>
      <c r="YU201" s="113"/>
      <c r="YV201" s="113"/>
      <c r="YW201" s="113"/>
      <c r="YX201" s="113"/>
      <c r="YY201" s="113"/>
      <c r="YZ201" s="113"/>
      <c r="ZA201" s="113"/>
      <c r="ZB201" s="113"/>
      <c r="ZC201" s="113"/>
      <c r="ZD201" s="113"/>
      <c r="ZE201" s="113"/>
      <c r="ZF201" s="113"/>
      <c r="ZG201" s="113"/>
      <c r="ZH201" s="113"/>
      <c r="ZI201" s="113"/>
      <c r="ZJ201" s="113"/>
      <c r="ZK201" s="113"/>
      <c r="ZL201" s="113"/>
      <c r="ZM201" s="113"/>
      <c r="ZN201" s="113"/>
      <c r="ZO201" s="113"/>
      <c r="ZP201" s="113"/>
      <c r="ZQ201" s="113"/>
      <c r="ZR201" s="113"/>
      <c r="ZS201" s="113"/>
      <c r="ZT201" s="113"/>
      <c r="ZU201" s="113"/>
      <c r="ZV201" s="113"/>
      <c r="ZW201" s="113"/>
      <c r="ZX201" s="113"/>
      <c r="ZY201" s="113"/>
      <c r="ZZ201" s="113"/>
      <c r="AAA201" s="113"/>
      <c r="AAB201" s="113"/>
      <c r="AAC201" s="113"/>
      <c r="AAD201" s="113"/>
      <c r="AAE201" s="113"/>
      <c r="AAF201" s="113"/>
      <c r="AAG201" s="113"/>
      <c r="AAH201" s="113"/>
      <c r="AAI201" s="113"/>
      <c r="AAJ201" s="113"/>
      <c r="AAK201" s="113"/>
      <c r="AAL201" s="113"/>
      <c r="AAM201" s="113"/>
      <c r="AAN201" s="113"/>
      <c r="AAO201" s="113"/>
      <c r="AAP201" s="113"/>
      <c r="AAQ201" s="113"/>
      <c r="AAR201" s="113"/>
      <c r="AAS201" s="113"/>
      <c r="AAT201" s="113"/>
      <c r="AAU201" s="113"/>
      <c r="AAV201" s="113"/>
      <c r="AAW201" s="113"/>
      <c r="AAX201" s="113"/>
      <c r="AAY201" s="113"/>
      <c r="AAZ201" s="113"/>
      <c r="ABA201" s="113"/>
      <c r="ABB201" s="113"/>
      <c r="ABC201" s="113"/>
      <c r="ABD201" s="113"/>
      <c r="ABE201" s="113"/>
      <c r="ABF201" s="113"/>
      <c r="ABG201" s="113"/>
      <c r="ABH201" s="113"/>
      <c r="ABI201" s="113"/>
      <c r="ABJ201" s="113"/>
      <c r="ABK201" s="113"/>
      <c r="ABL201" s="113"/>
      <c r="ABM201" s="113"/>
      <c r="ABN201" s="113"/>
      <c r="ABO201" s="113"/>
      <c r="ABP201" s="113"/>
      <c r="ABQ201" s="113"/>
      <c r="ABR201" s="113"/>
      <c r="ABS201" s="113"/>
      <c r="ABT201" s="113"/>
      <c r="ABU201" s="113"/>
      <c r="ABV201" s="113"/>
      <c r="ABW201" s="113"/>
      <c r="ABX201" s="113"/>
      <c r="ABY201" s="113"/>
      <c r="ABZ201" s="113"/>
      <c r="ACA201" s="113"/>
      <c r="ACB201" s="113"/>
      <c r="ACC201" s="113"/>
      <c r="ACD201" s="113"/>
      <c r="ACE201" s="113"/>
      <c r="ACF201" s="113"/>
      <c r="ACG201" s="113"/>
      <c r="ACH201" s="113"/>
      <c r="ACI201" s="113"/>
      <c r="ACJ201" s="113"/>
      <c r="ACK201" s="113"/>
      <c r="ACL201" s="113"/>
      <c r="ACM201" s="113"/>
      <c r="ACN201" s="113"/>
      <c r="ACO201" s="113"/>
      <c r="ACP201" s="113"/>
      <c r="ACQ201" s="113"/>
      <c r="ACR201" s="113"/>
      <c r="ACS201" s="113"/>
      <c r="ACT201" s="113"/>
      <c r="ACU201" s="113"/>
      <c r="ACV201" s="113"/>
      <c r="ACW201" s="113"/>
      <c r="ACX201" s="113"/>
      <c r="ACY201" s="113"/>
      <c r="ACZ201" s="113"/>
      <c r="ADA201" s="113"/>
      <c r="ADB201" s="113"/>
      <c r="ADC201" s="113"/>
      <c r="ADD201" s="113"/>
      <c r="ADE201" s="113"/>
      <c r="ADF201" s="113"/>
      <c r="ADG201" s="113"/>
      <c r="ADH201" s="113"/>
      <c r="ADI201" s="113"/>
      <c r="ADJ201" s="113"/>
      <c r="ADK201" s="113"/>
      <c r="ADL201" s="113"/>
      <c r="ADM201" s="113"/>
      <c r="ADN201" s="113"/>
      <c r="ADO201" s="113"/>
      <c r="ADP201" s="113"/>
      <c r="ADQ201" s="113"/>
      <c r="ADR201" s="113"/>
      <c r="ADS201" s="113"/>
      <c r="ADT201" s="113"/>
      <c r="ADU201" s="113"/>
      <c r="ADV201" s="113"/>
      <c r="ADW201" s="113"/>
      <c r="ADX201" s="113"/>
      <c r="ADY201" s="113"/>
      <c r="ADZ201" s="113"/>
      <c r="AEA201" s="113"/>
      <c r="AEB201" s="113"/>
      <c r="AEC201" s="113"/>
      <c r="AED201" s="113"/>
      <c r="AEE201" s="113"/>
      <c r="AEF201" s="113"/>
      <c r="AEG201" s="113"/>
      <c r="AEH201" s="113"/>
      <c r="AEI201" s="113"/>
      <c r="AEJ201" s="113"/>
      <c r="AEK201" s="113"/>
      <c r="AEL201" s="113"/>
      <c r="AEM201" s="113"/>
      <c r="AEN201" s="113"/>
      <c r="AEO201" s="113"/>
      <c r="AEP201" s="113"/>
      <c r="AEQ201" s="113"/>
      <c r="AER201" s="113"/>
      <c r="AES201" s="113"/>
      <c r="AET201" s="113"/>
      <c r="AEU201" s="113"/>
      <c r="AEV201" s="113"/>
      <c r="AEW201" s="113"/>
      <c r="AEX201" s="113"/>
      <c r="AEY201" s="113"/>
      <c r="AEZ201" s="113"/>
      <c r="AFA201" s="113"/>
      <c r="AFB201" s="113"/>
      <c r="AFC201" s="113"/>
      <c r="AFD201" s="113"/>
      <c r="AFE201" s="113"/>
      <c r="AFF201" s="113"/>
      <c r="AFG201" s="113"/>
      <c r="AFH201" s="113"/>
      <c r="AFI201" s="113"/>
      <c r="AFJ201" s="113"/>
      <c r="AFK201" s="113"/>
      <c r="AFL201" s="113"/>
      <c r="AFM201" s="113"/>
      <c r="AFN201" s="113"/>
      <c r="AFO201" s="113"/>
      <c r="AFP201" s="113"/>
      <c r="AFQ201" s="113"/>
      <c r="AFR201" s="113"/>
      <c r="AFS201" s="113"/>
      <c r="AFT201" s="113"/>
      <c r="AFU201" s="113"/>
      <c r="AFV201" s="113"/>
      <c r="AFW201" s="113"/>
      <c r="AFX201" s="113"/>
      <c r="AFY201" s="113"/>
      <c r="AFZ201" s="113"/>
      <c r="AGA201" s="113"/>
      <c r="AGB201" s="113"/>
      <c r="AGC201" s="113"/>
      <c r="AGD201" s="113"/>
      <c r="AGE201" s="113"/>
      <c r="AGF201" s="113"/>
      <c r="AGG201" s="113"/>
      <c r="AGH201" s="113"/>
      <c r="AGI201" s="113"/>
      <c r="AGJ201" s="113"/>
      <c r="AGK201" s="113"/>
      <c r="AGL201" s="113"/>
      <c r="AGM201" s="113"/>
      <c r="AGN201" s="113"/>
      <c r="AGO201" s="113"/>
      <c r="AGP201" s="113"/>
      <c r="AGQ201" s="113"/>
      <c r="AGR201" s="113"/>
      <c r="AGS201" s="113"/>
      <c r="AGT201" s="113"/>
      <c r="AGU201" s="113"/>
      <c r="AGV201" s="113"/>
      <c r="AGW201" s="113"/>
      <c r="AGX201" s="113"/>
      <c r="AGY201" s="113"/>
      <c r="AGZ201" s="113"/>
      <c r="AHA201" s="113"/>
      <c r="AHB201" s="113"/>
      <c r="AHC201" s="113"/>
      <c r="AHD201" s="113"/>
      <c r="AHE201" s="113"/>
      <c r="AHF201" s="113"/>
      <c r="AHG201" s="113"/>
      <c r="AHH201" s="113"/>
      <c r="AHI201" s="113"/>
      <c r="AHJ201" s="113"/>
      <c r="AHK201" s="113"/>
      <c r="AHL201" s="113"/>
      <c r="AHM201" s="113"/>
      <c r="AHN201" s="113"/>
      <c r="AHO201" s="113"/>
      <c r="AHP201" s="113"/>
      <c r="AHQ201" s="113"/>
      <c r="AHR201" s="113"/>
      <c r="AHS201" s="113"/>
      <c r="AHT201" s="113"/>
      <c r="AHU201" s="113"/>
      <c r="AHV201" s="113"/>
      <c r="AHW201" s="113"/>
      <c r="AHX201" s="113"/>
      <c r="AHY201" s="113"/>
      <c r="AHZ201" s="113"/>
      <c r="AIA201" s="113"/>
      <c r="AIB201" s="113"/>
      <c r="AIC201" s="113"/>
      <c r="AID201" s="113"/>
      <c r="AIE201" s="113"/>
      <c r="AIF201" s="113"/>
      <c r="AIG201" s="113"/>
      <c r="AIH201" s="113"/>
      <c r="AII201" s="113"/>
      <c r="AIJ201" s="113"/>
      <c r="AIK201" s="113"/>
      <c r="AIL201" s="113"/>
      <c r="AIM201" s="113"/>
      <c r="AIN201" s="113"/>
      <c r="AIO201" s="113"/>
      <c r="AIP201" s="113"/>
      <c r="AIQ201" s="113"/>
      <c r="AIR201" s="113"/>
      <c r="AIS201" s="113"/>
      <c r="AIT201" s="113"/>
      <c r="AIU201" s="113"/>
      <c r="AIV201" s="113"/>
      <c r="AIW201" s="113"/>
      <c r="AIX201" s="113"/>
      <c r="AIY201" s="113"/>
      <c r="AIZ201" s="113"/>
    </row>
    <row r="202">
      <c r="A202" s="65" t="s">
        <v>54</v>
      </c>
      <c r="B202" s="65" t="s">
        <v>64</v>
      </c>
      <c r="C202" s="65"/>
      <c r="D202" s="64">
        <f t="shared" si="1"/>
        <v>407.6445167</v>
      </c>
      <c r="G202" s="65">
        <v>21.4449666666667</v>
      </c>
      <c r="H202" s="65">
        <v>14.6627833333333</v>
      </c>
      <c r="I202" s="65">
        <v>1.35205</v>
      </c>
      <c r="J202" s="65">
        <v>0.196316666666667</v>
      </c>
      <c r="K202" s="65">
        <v>14.4276666666667</v>
      </c>
      <c r="N202" s="65">
        <v>4.60191666666667</v>
      </c>
      <c r="R202" s="65">
        <v>17.0483666666667</v>
      </c>
      <c r="S202" s="65">
        <v>17.529</v>
      </c>
      <c r="T202" s="65">
        <v>4.8892</v>
      </c>
      <c r="U202" s="65">
        <v>16.5120666666667</v>
      </c>
      <c r="X202" s="65">
        <v>2.0256</v>
      </c>
      <c r="Y202" s="65">
        <v>10.8459</v>
      </c>
      <c r="Z202" s="65">
        <v>23.74525</v>
      </c>
      <c r="AA202" s="65">
        <v>7.32986666666666</v>
      </c>
      <c r="AB202" s="65">
        <v>43.35955</v>
      </c>
      <c r="AE202" s="65">
        <v>1.94083333333333</v>
      </c>
      <c r="AF202" s="65">
        <v>21.8586166666667</v>
      </c>
      <c r="AG202" s="65">
        <v>44.7539166666667</v>
      </c>
      <c r="AH202" s="65">
        <v>6.8557</v>
      </c>
      <c r="AI202" s="65">
        <v>62.9519499999999</v>
      </c>
      <c r="AL202" s="65">
        <v>7.17913333333333</v>
      </c>
      <c r="AM202" s="65">
        <v>2.5633</v>
      </c>
      <c r="AN202" s="65">
        <v>7.46073333333333</v>
      </c>
      <c r="AQ202" s="65">
        <v>1.60865</v>
      </c>
      <c r="AR202" s="65">
        <v>3.32545</v>
      </c>
      <c r="AU202" s="65">
        <v>47.1757333333333</v>
      </c>
    </row>
    <row r="203">
      <c r="A203" s="65" t="s">
        <v>54</v>
      </c>
      <c r="B203" s="65" t="s">
        <v>64</v>
      </c>
      <c r="C203" s="65"/>
      <c r="D203" s="64">
        <f t="shared" si="1"/>
        <v>0</v>
      </c>
    </row>
    <row r="204">
      <c r="A204" s="65" t="s">
        <v>54</v>
      </c>
      <c r="B204" s="65" t="s">
        <v>64</v>
      </c>
      <c r="C204" s="65"/>
      <c r="D204" s="64">
        <f t="shared" si="1"/>
        <v>404.01575</v>
      </c>
      <c r="G204" s="118">
        <f>HYPERLINK("https://docs.google.com/spreadsheets/d/1DfGSnLPCjON3KImYuJZPgdnz4kvYnVVB", 21.4449833333333)</f>
        <v>21.44498333</v>
      </c>
      <c r="H204" s="118">
        <f>HYPERLINK("https://docs.google.com/spreadsheets/d/19SFzp79l7T-93qdqvyE2ImSgQb_EFfoK", 14.6627833333333)</f>
        <v>14.66278333</v>
      </c>
      <c r="I204" s="118">
        <f>HYPERLINK("https://docs.google.com/spreadsheets/d/1V4bB-nv1zyDmLgI-dZ8b2x8zhKtxZoa6", 1.35205)</f>
        <v>1.35205</v>
      </c>
      <c r="J204" s="118">
        <f>HYPERLINK("https://docs.google.com/spreadsheets/d/1B2N1jBTDnD7Get3QKlOTFur35OvP4rKr", 0.196316666666667)</f>
        <v>0.1963166667</v>
      </c>
      <c r="K204" s="118">
        <f>HYPERLINK("https://docs.google.com/spreadsheets/d/1GdIzJFv_OU2-umg_Ie-45TEs0PpKtbQS", 14.2881333333333)</f>
        <v>14.28813333</v>
      </c>
      <c r="N204" s="118">
        <f>HYPERLINK("https://docs.google.com/spreadsheets/d/1TLePnK9py0CoI5cVRiycH_hdrR4AVJjM", 4.60191666666667)</f>
        <v>4.601916667</v>
      </c>
      <c r="R204" s="118">
        <f>HYPERLINK("https://docs.google.com/spreadsheets/d/1my39e8jxH-t3THOxik9kWkDeWhGD1b0F", 17.0483666666667)</f>
        <v>17.04836667</v>
      </c>
      <c r="S204" s="118">
        <f>HYPERLINK("https://docs.google.com/spreadsheets/d/1MsLprqnycShluKyErdNU-va8zvY5cZs8", 16.3973666666667)</f>
        <v>16.39736667</v>
      </c>
      <c r="T204" s="118">
        <f>HYPERLINK("https://docs.google.com/spreadsheets/d/1EFua3rK_mye-EOLV1q0yrH0QnJ_-RHzc", 4.3763)</f>
        <v>4.3763</v>
      </c>
      <c r="U204" s="118">
        <f>HYPERLINK("https://docs.google.com/spreadsheets/d/1Rfn7u1JCd6hXl5r5bq3LQEpudkucEj-B", 16.5120666666667)</f>
        <v>16.51206667</v>
      </c>
      <c r="X204" s="118">
        <f>HYPERLINK("https://docs.google.com/spreadsheets/d/1CYzXeNSvni8hvK-73F_3GFxmEZIDcn7j", 2.0256)</f>
        <v>2.0256</v>
      </c>
      <c r="Y204" s="118">
        <f>HYPERLINK("https://docs.google.com/spreadsheets/d/1JA7Jh9KkVwn-AN4v8PDZ_0GQi2LFwSVW", 10.8459)</f>
        <v>10.8459</v>
      </c>
      <c r="Z204" s="118">
        <f>HYPERLINK("https://docs.google.com/spreadsheets/d/1hiM3iYHaRqO6rRffGd2pD_eoa_JGeuHN", 23.74525)</f>
        <v>23.74525</v>
      </c>
      <c r="AA204" s="118">
        <f>HYPERLINK("https://docs.google.com/spreadsheets/d/1dfVtnXCnDpz0RPByVpcYvWBXX1S_RBhS", 7.11525)</f>
        <v>7.11525</v>
      </c>
      <c r="AB204" s="118">
        <f>HYPERLINK("https://docs.google.com/spreadsheets/d/1nZaMEh_eowHlEAZZkK2SdsIUAKbuPJU8", 42.8128666666666)</f>
        <v>42.81286667</v>
      </c>
      <c r="AE204" s="118">
        <f>HYPERLINK("https://docs.google.com/spreadsheets/d/1TvtnT4JCEDDHpOen7Gf6pmMQDjHYjZ_o", 1.94081666666667)</f>
        <v>1.940816667</v>
      </c>
      <c r="AF204" s="118">
        <f>HYPERLINK("https://docs.google.com/spreadsheets/d/12hyWCEYno5UEVHs8CCXATRUh6LLxUHC2", 21.8585833333333)</f>
        <v>21.85858333</v>
      </c>
      <c r="AG204" s="118">
        <f>HYPERLINK("https://docs.google.com/spreadsheets/d/1dxF2nUFApw3NPAqyE4JKusRsexD5A12F", 44.6755833333333)</f>
        <v>44.67558333</v>
      </c>
      <c r="AH204" s="118">
        <f>HYPERLINK("https://docs.google.com/spreadsheets/d/1gzqHpo9m9HC5WIWVWqB0ZmZa-imu1aZW", 6.85571666666666)</f>
        <v>6.855716667</v>
      </c>
      <c r="AI204" s="118">
        <f>HYPERLINK("https://docs.google.com/spreadsheets/d/1MfL7LqYn7n07wfrFfD54o18vgsVuYlcE", 62.1933499999999)</f>
        <v>62.19335</v>
      </c>
      <c r="AL204" s="118">
        <f>HYPERLINK("https://docs.google.com/spreadsheets/d/1SRchUXvCCnkn2Hyf-slVUVPPEf4A3ZOH", 7.06276666666667)</f>
        <v>7.062766667</v>
      </c>
      <c r="AM204" s="118">
        <f>HYPERLINK("https://docs.google.com/spreadsheets/d/1bqyEI8MqfhSSJV2X5D4_SZe3pemUoPvq", 2.43323333333333)</f>
        <v>2.433233333</v>
      </c>
      <c r="AN204" s="118">
        <f>HYPERLINK("https://docs.google.com/spreadsheets/d/1ZIHpX0rkSFe0l7REjwO922rxjIam-k88", 7.46071666666667)</f>
        <v>7.460716667</v>
      </c>
      <c r="AQ204" s="118">
        <f>HYPERLINK("https://docs.google.com/spreadsheets/d/1ir1bCi9d-co3TPx-6XwVB8LSw126TS4v", 1.60865)</f>
        <v>1.60865</v>
      </c>
      <c r="AR204" s="118">
        <f>HYPERLINK("https://docs.google.com/spreadsheets/d/1DKGL04ViFNMYWKvDgREVE3Fwu2306NkS", 3.32545)</f>
        <v>3.32545</v>
      </c>
      <c r="AU204" s="118">
        <f>HYPERLINK("https://docs.google.com/spreadsheets/d/1k7txFNQLencwezxQDjANYxm8Kh1O7Ybn", 47.1757333333333)</f>
        <v>47.17573333</v>
      </c>
    </row>
    <row r="205">
      <c r="A205" s="65" t="s">
        <v>54</v>
      </c>
      <c r="B205" s="65" t="s">
        <v>64</v>
      </c>
      <c r="C205" s="65"/>
      <c r="D205" s="64">
        <f t="shared" si="1"/>
        <v>247.4056167</v>
      </c>
      <c r="G205" s="65">
        <v>11.9176333333333</v>
      </c>
      <c r="H205" s="65">
        <v>9.50136666666666</v>
      </c>
      <c r="I205" s="65">
        <v>0.4712</v>
      </c>
      <c r="J205" s="65">
        <v>0.0</v>
      </c>
      <c r="K205" s="65">
        <v>8.21648333333333</v>
      </c>
      <c r="N205" s="65">
        <v>3.83723333333333</v>
      </c>
      <c r="R205" s="65">
        <v>13.2866666666667</v>
      </c>
      <c r="S205" s="65">
        <v>10.7432833333333</v>
      </c>
      <c r="T205" s="65">
        <v>1.79763333333333</v>
      </c>
      <c r="U205" s="65">
        <v>5.9708</v>
      </c>
      <c r="X205" s="65">
        <v>0.67015</v>
      </c>
      <c r="Y205" s="65">
        <v>5.64425</v>
      </c>
      <c r="Z205" s="65">
        <v>7.55026666666667</v>
      </c>
      <c r="AA205" s="65">
        <v>1.89946666666667</v>
      </c>
      <c r="AB205" s="65">
        <v>20.5753833333333</v>
      </c>
      <c r="AE205" s="65">
        <v>0.0</v>
      </c>
      <c r="AF205" s="65">
        <v>14.2978</v>
      </c>
      <c r="AG205" s="65">
        <v>25.17665</v>
      </c>
      <c r="AH205" s="65">
        <v>2.96415</v>
      </c>
      <c r="AI205" s="65">
        <v>43.6803</v>
      </c>
      <c r="AL205" s="65">
        <v>3.15765</v>
      </c>
      <c r="AM205" s="65">
        <v>1.03036666666667</v>
      </c>
      <c r="AN205" s="65">
        <v>6.44071666666667</v>
      </c>
      <c r="AQ205" s="65">
        <v>1.29723333333333</v>
      </c>
      <c r="AR205" s="65">
        <v>3.32545</v>
      </c>
      <c r="AU205" s="65">
        <v>43.9534833333333</v>
      </c>
    </row>
    <row r="206">
      <c r="A206" s="119" t="s">
        <v>54</v>
      </c>
      <c r="B206" s="119" t="s">
        <v>64</v>
      </c>
      <c r="C206" s="119"/>
      <c r="D206" s="120">
        <f t="shared" si="1"/>
        <v>0</v>
      </c>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c r="AA206" s="120"/>
      <c r="AB206" s="120"/>
      <c r="AC206" s="120"/>
      <c r="AD206" s="120"/>
      <c r="AE206" s="120"/>
      <c r="AF206" s="120"/>
      <c r="AG206" s="120"/>
      <c r="AH206" s="120"/>
      <c r="AI206" s="120"/>
      <c r="AJ206" s="120"/>
      <c r="AK206" s="120"/>
      <c r="AL206" s="120"/>
      <c r="AM206" s="120"/>
      <c r="AN206" s="120"/>
      <c r="AO206" s="120"/>
      <c r="AP206" s="120"/>
      <c r="AQ206" s="120"/>
      <c r="AR206" s="120"/>
      <c r="AS206" s="120"/>
      <c r="AT206" s="120"/>
      <c r="AU206" s="120"/>
      <c r="AV206" s="120"/>
      <c r="AW206" s="120"/>
      <c r="AX206" s="120"/>
      <c r="AY206" s="120"/>
      <c r="AZ206" s="120"/>
      <c r="BA206" s="120"/>
      <c r="BB206" s="120"/>
      <c r="BC206" s="120"/>
      <c r="BD206" s="120"/>
      <c r="BE206" s="120"/>
      <c r="BF206" s="120"/>
      <c r="BG206" s="120"/>
      <c r="BH206" s="120"/>
      <c r="BI206" s="120"/>
      <c r="BJ206" s="120"/>
      <c r="BK206" s="120"/>
      <c r="BL206" s="120"/>
      <c r="BM206" s="120"/>
      <c r="BN206" s="120"/>
      <c r="BO206" s="120"/>
      <c r="BP206" s="120"/>
      <c r="BQ206" s="120"/>
      <c r="BR206" s="120"/>
      <c r="BS206" s="120"/>
      <c r="BT206" s="120"/>
      <c r="BU206" s="120"/>
      <c r="BV206" s="120"/>
      <c r="BW206" s="120"/>
      <c r="BX206" s="120"/>
      <c r="BY206" s="120"/>
      <c r="BZ206" s="120"/>
      <c r="CA206" s="120"/>
      <c r="CB206" s="120"/>
      <c r="CC206" s="120"/>
      <c r="CD206" s="120"/>
      <c r="CE206" s="120"/>
      <c r="CF206" s="120"/>
      <c r="CG206" s="120"/>
      <c r="CH206" s="120"/>
      <c r="CI206" s="120"/>
      <c r="CJ206" s="120"/>
      <c r="CK206" s="120"/>
      <c r="CL206" s="120"/>
      <c r="CM206" s="120"/>
      <c r="CN206" s="120"/>
      <c r="CO206" s="120"/>
      <c r="CP206" s="120"/>
      <c r="CQ206" s="120"/>
      <c r="CR206" s="120"/>
      <c r="CS206" s="120"/>
      <c r="CT206" s="120"/>
      <c r="CU206" s="120"/>
      <c r="CV206" s="120"/>
      <c r="CW206" s="120"/>
      <c r="CX206" s="120"/>
      <c r="CY206" s="120"/>
      <c r="CZ206" s="120"/>
      <c r="DA206" s="120"/>
      <c r="DB206" s="120"/>
      <c r="DC206" s="120"/>
      <c r="DD206" s="120"/>
      <c r="DE206" s="120"/>
      <c r="DF206" s="120"/>
      <c r="DG206" s="120"/>
      <c r="DH206" s="120"/>
      <c r="DI206" s="120"/>
      <c r="DJ206" s="120"/>
      <c r="DK206" s="120"/>
      <c r="DL206" s="120"/>
      <c r="DM206" s="120"/>
      <c r="DN206" s="120"/>
      <c r="DO206" s="120"/>
      <c r="DP206" s="120"/>
      <c r="DQ206" s="120"/>
      <c r="DR206" s="120"/>
      <c r="DS206" s="120"/>
      <c r="DT206" s="120"/>
      <c r="DU206" s="120"/>
      <c r="DV206" s="120"/>
      <c r="DW206" s="120"/>
      <c r="DX206" s="120"/>
      <c r="DY206" s="120"/>
      <c r="DZ206" s="120"/>
      <c r="EA206" s="120"/>
      <c r="EB206" s="120"/>
      <c r="EC206" s="120"/>
      <c r="ED206" s="120"/>
      <c r="EE206" s="120"/>
      <c r="EF206" s="120"/>
      <c r="EG206" s="120"/>
      <c r="EH206" s="120"/>
      <c r="EI206" s="120"/>
      <c r="EJ206" s="120"/>
      <c r="EK206" s="120"/>
      <c r="EL206" s="120"/>
      <c r="EM206" s="120"/>
      <c r="EN206" s="120"/>
      <c r="EO206" s="120"/>
      <c r="EP206" s="120"/>
      <c r="EQ206" s="120"/>
      <c r="ER206" s="120"/>
      <c r="ES206" s="120"/>
      <c r="ET206" s="120"/>
      <c r="EU206" s="120"/>
      <c r="EV206" s="120"/>
      <c r="EW206" s="120"/>
      <c r="EX206" s="120"/>
      <c r="EY206" s="120"/>
      <c r="EZ206" s="120"/>
      <c r="FA206" s="120"/>
      <c r="FB206" s="120"/>
      <c r="FC206" s="120"/>
      <c r="FD206" s="120"/>
      <c r="FE206" s="120"/>
      <c r="FF206" s="120"/>
      <c r="FG206" s="120"/>
      <c r="FH206" s="120"/>
      <c r="FI206" s="120"/>
      <c r="FJ206" s="120"/>
      <c r="FK206" s="120"/>
      <c r="FL206" s="120"/>
      <c r="FM206" s="120"/>
      <c r="FN206" s="120"/>
      <c r="FO206" s="120"/>
      <c r="FP206" s="120"/>
      <c r="FQ206" s="120"/>
      <c r="FR206" s="120"/>
      <c r="FS206" s="120"/>
      <c r="FT206" s="120"/>
      <c r="FU206" s="120"/>
      <c r="FV206" s="120"/>
      <c r="FW206" s="120"/>
      <c r="FX206" s="120"/>
      <c r="FY206" s="120"/>
      <c r="FZ206" s="120"/>
      <c r="GA206" s="120"/>
      <c r="GB206" s="120"/>
      <c r="GC206" s="120"/>
      <c r="GD206" s="120"/>
      <c r="GE206" s="120"/>
      <c r="GF206" s="120"/>
      <c r="GG206" s="120"/>
      <c r="GH206" s="120"/>
      <c r="GI206" s="120"/>
      <c r="GJ206" s="120"/>
      <c r="GK206" s="120"/>
      <c r="GL206" s="120"/>
      <c r="GM206" s="120"/>
      <c r="GN206" s="120"/>
      <c r="GO206" s="120"/>
      <c r="GP206" s="120"/>
      <c r="GQ206" s="120"/>
      <c r="GR206" s="120"/>
      <c r="GS206" s="120"/>
      <c r="GT206" s="120"/>
      <c r="GU206" s="120"/>
      <c r="GV206" s="120"/>
      <c r="GW206" s="120"/>
      <c r="GX206" s="120"/>
      <c r="GY206" s="120"/>
      <c r="GZ206" s="120"/>
      <c r="HA206" s="120"/>
      <c r="HB206" s="120"/>
      <c r="HC206" s="120"/>
      <c r="HD206" s="120"/>
      <c r="HE206" s="120"/>
      <c r="HF206" s="120"/>
      <c r="HG206" s="120"/>
      <c r="HH206" s="120"/>
      <c r="HI206" s="120"/>
      <c r="HJ206" s="120"/>
      <c r="HK206" s="120"/>
      <c r="HL206" s="120"/>
      <c r="HM206" s="120"/>
      <c r="HN206" s="120"/>
      <c r="HO206" s="120"/>
      <c r="HP206" s="120"/>
      <c r="HQ206" s="120"/>
      <c r="HR206" s="120"/>
      <c r="HS206" s="120"/>
      <c r="HT206" s="120"/>
      <c r="HU206" s="120"/>
      <c r="HV206" s="120"/>
      <c r="HW206" s="120"/>
      <c r="HX206" s="120"/>
      <c r="HY206" s="120"/>
      <c r="HZ206" s="120"/>
      <c r="IA206" s="120"/>
      <c r="IB206" s="120"/>
      <c r="IC206" s="120"/>
      <c r="ID206" s="120"/>
      <c r="IE206" s="120"/>
      <c r="IF206" s="120"/>
      <c r="IG206" s="120"/>
      <c r="IH206" s="120"/>
      <c r="II206" s="120"/>
      <c r="IJ206" s="120"/>
      <c r="IK206" s="120"/>
      <c r="IL206" s="120"/>
      <c r="IM206" s="120"/>
      <c r="IN206" s="120"/>
      <c r="IO206" s="120"/>
      <c r="IP206" s="120"/>
      <c r="IQ206" s="120"/>
      <c r="IR206" s="120"/>
      <c r="IS206" s="120"/>
      <c r="IT206" s="120"/>
      <c r="IU206" s="120"/>
      <c r="IV206" s="120"/>
      <c r="IW206" s="120"/>
      <c r="IX206" s="120"/>
      <c r="IY206" s="120"/>
      <c r="IZ206" s="120"/>
      <c r="JA206" s="120"/>
      <c r="JB206" s="120"/>
      <c r="JC206" s="120"/>
      <c r="JD206" s="120"/>
      <c r="JE206" s="120"/>
      <c r="JF206" s="120"/>
      <c r="JG206" s="120"/>
      <c r="JH206" s="120"/>
      <c r="JI206" s="120"/>
      <c r="JJ206" s="120"/>
      <c r="JK206" s="120"/>
      <c r="JL206" s="120"/>
      <c r="JM206" s="120"/>
      <c r="JN206" s="120"/>
      <c r="JO206" s="120"/>
      <c r="JP206" s="120"/>
      <c r="JQ206" s="120"/>
      <c r="JR206" s="120"/>
      <c r="JS206" s="120"/>
      <c r="JT206" s="120"/>
      <c r="JU206" s="120"/>
      <c r="JV206" s="120"/>
      <c r="JW206" s="120"/>
      <c r="JX206" s="120"/>
      <c r="JY206" s="120"/>
      <c r="JZ206" s="120"/>
      <c r="KA206" s="120"/>
      <c r="KB206" s="120"/>
      <c r="KC206" s="120"/>
      <c r="KD206" s="120"/>
      <c r="KE206" s="120"/>
      <c r="KF206" s="120"/>
      <c r="KG206" s="120"/>
      <c r="KH206" s="120"/>
      <c r="KI206" s="120"/>
      <c r="KJ206" s="120"/>
      <c r="KK206" s="120"/>
      <c r="KL206" s="120"/>
      <c r="KM206" s="120"/>
      <c r="KN206" s="120"/>
      <c r="KO206" s="120"/>
      <c r="KP206" s="120"/>
      <c r="KQ206" s="120"/>
      <c r="KR206" s="120"/>
      <c r="KS206" s="120"/>
      <c r="KT206" s="120"/>
      <c r="KU206" s="120"/>
      <c r="KV206" s="120"/>
      <c r="KW206" s="120"/>
      <c r="KX206" s="120"/>
      <c r="KY206" s="120"/>
      <c r="KZ206" s="120"/>
      <c r="LA206" s="120"/>
      <c r="LB206" s="120"/>
      <c r="LC206" s="120"/>
      <c r="LD206" s="120"/>
      <c r="LE206" s="120"/>
      <c r="LF206" s="120"/>
      <c r="LG206" s="120"/>
      <c r="LH206" s="120"/>
      <c r="LI206" s="120"/>
      <c r="LJ206" s="120"/>
      <c r="LK206" s="120"/>
      <c r="LL206" s="120"/>
      <c r="LM206" s="120"/>
      <c r="LN206" s="120"/>
      <c r="LO206" s="120"/>
      <c r="LP206" s="120"/>
      <c r="LQ206" s="120"/>
      <c r="LR206" s="120"/>
      <c r="LS206" s="120"/>
      <c r="LT206" s="120"/>
      <c r="LU206" s="120"/>
      <c r="LV206" s="120"/>
      <c r="LW206" s="120"/>
      <c r="LX206" s="120"/>
      <c r="LY206" s="120"/>
      <c r="LZ206" s="120"/>
      <c r="MA206" s="120"/>
      <c r="MB206" s="120"/>
      <c r="MC206" s="120"/>
      <c r="MD206" s="120"/>
      <c r="ME206" s="120"/>
      <c r="MF206" s="120"/>
      <c r="MG206" s="120"/>
      <c r="MH206" s="120"/>
      <c r="MI206" s="120"/>
      <c r="MJ206" s="120"/>
      <c r="MK206" s="120"/>
      <c r="ML206" s="120"/>
      <c r="MM206" s="120"/>
      <c r="MN206" s="120"/>
      <c r="MO206" s="120"/>
      <c r="MP206" s="120"/>
      <c r="MQ206" s="120"/>
      <c r="MR206" s="120"/>
      <c r="MS206" s="120"/>
      <c r="MT206" s="120"/>
      <c r="MU206" s="120"/>
      <c r="MV206" s="120"/>
      <c r="MW206" s="120"/>
      <c r="MX206" s="120"/>
      <c r="MY206" s="120"/>
      <c r="MZ206" s="120"/>
      <c r="NA206" s="120"/>
      <c r="NB206" s="120"/>
      <c r="NC206" s="120"/>
      <c r="ND206" s="120"/>
      <c r="NE206" s="120"/>
      <c r="NF206" s="120"/>
      <c r="NG206" s="120"/>
      <c r="NH206" s="120"/>
      <c r="NI206" s="120"/>
      <c r="NJ206" s="120"/>
      <c r="NK206" s="120"/>
      <c r="NL206" s="120"/>
      <c r="NM206" s="120"/>
      <c r="NN206" s="120"/>
      <c r="NO206" s="120"/>
      <c r="NP206" s="120"/>
      <c r="NQ206" s="120"/>
      <c r="NR206" s="120"/>
      <c r="NS206" s="120"/>
      <c r="NT206" s="120"/>
      <c r="NU206" s="120"/>
      <c r="NV206" s="120"/>
      <c r="NW206" s="120"/>
      <c r="NX206" s="120"/>
      <c r="NY206" s="120"/>
      <c r="NZ206" s="120"/>
      <c r="OA206" s="120"/>
      <c r="OB206" s="120"/>
      <c r="OC206" s="120"/>
      <c r="OD206" s="120"/>
      <c r="OE206" s="120"/>
      <c r="OF206" s="120"/>
      <c r="OG206" s="120"/>
      <c r="OH206" s="120"/>
      <c r="OI206" s="120"/>
      <c r="OJ206" s="120"/>
      <c r="OK206" s="120"/>
      <c r="OL206" s="120"/>
      <c r="OM206" s="120"/>
      <c r="ON206" s="120"/>
      <c r="OO206" s="120"/>
      <c r="OP206" s="120"/>
      <c r="OQ206" s="120"/>
      <c r="OR206" s="120"/>
      <c r="OS206" s="120"/>
      <c r="OT206" s="120"/>
      <c r="OU206" s="120"/>
      <c r="OV206" s="120"/>
      <c r="OW206" s="120"/>
      <c r="OX206" s="120"/>
      <c r="OY206" s="120"/>
      <c r="OZ206" s="120"/>
      <c r="PA206" s="120"/>
      <c r="PB206" s="120"/>
      <c r="PC206" s="120"/>
      <c r="PD206" s="120"/>
      <c r="PE206" s="120"/>
      <c r="PF206" s="120"/>
      <c r="PG206" s="120"/>
      <c r="PH206" s="120"/>
      <c r="PI206" s="120"/>
      <c r="PJ206" s="120"/>
      <c r="PK206" s="120"/>
      <c r="PL206" s="120"/>
      <c r="PM206" s="120"/>
      <c r="PN206" s="120"/>
      <c r="PO206" s="120"/>
      <c r="PP206" s="120"/>
      <c r="PQ206" s="120"/>
      <c r="PR206" s="120"/>
      <c r="PS206" s="120"/>
      <c r="PT206" s="120"/>
      <c r="PU206" s="120"/>
      <c r="PV206" s="120"/>
      <c r="PW206" s="120"/>
      <c r="PX206" s="120"/>
      <c r="PY206" s="120"/>
      <c r="PZ206" s="120"/>
      <c r="QA206" s="120"/>
      <c r="QB206" s="120"/>
      <c r="QC206" s="120"/>
      <c r="QD206" s="120"/>
      <c r="QE206" s="120"/>
      <c r="QF206" s="120"/>
      <c r="QG206" s="120"/>
      <c r="QH206" s="120"/>
      <c r="QI206" s="120"/>
      <c r="QJ206" s="120"/>
      <c r="QK206" s="120"/>
      <c r="QL206" s="120"/>
      <c r="QM206" s="120"/>
      <c r="QN206" s="120"/>
      <c r="QO206" s="120"/>
      <c r="QP206" s="120"/>
      <c r="QQ206" s="120"/>
      <c r="QR206" s="120"/>
      <c r="QS206" s="120"/>
      <c r="QT206" s="120"/>
      <c r="QU206" s="120"/>
      <c r="QV206" s="120"/>
      <c r="QW206" s="120"/>
      <c r="QX206" s="120"/>
      <c r="QY206" s="120"/>
      <c r="QZ206" s="120"/>
      <c r="RA206" s="120"/>
      <c r="RB206" s="120"/>
      <c r="RC206" s="120"/>
      <c r="RD206" s="120"/>
      <c r="RE206" s="120"/>
      <c r="RF206" s="120"/>
      <c r="RG206" s="120"/>
      <c r="RH206" s="120"/>
      <c r="RI206" s="120"/>
      <c r="RJ206" s="120"/>
      <c r="RK206" s="120"/>
      <c r="RL206" s="120"/>
      <c r="RM206" s="120"/>
      <c r="RN206" s="120"/>
      <c r="RO206" s="120"/>
      <c r="RP206" s="120"/>
      <c r="RQ206" s="120"/>
      <c r="RR206" s="120"/>
      <c r="RS206" s="120"/>
      <c r="RT206" s="120"/>
      <c r="RU206" s="120"/>
      <c r="RV206" s="120"/>
      <c r="RW206" s="120"/>
      <c r="RX206" s="120"/>
      <c r="RY206" s="120"/>
      <c r="RZ206" s="120"/>
      <c r="SA206" s="120"/>
      <c r="SB206" s="120"/>
      <c r="SC206" s="120"/>
      <c r="SD206" s="120"/>
      <c r="SE206" s="120"/>
      <c r="SF206" s="120"/>
      <c r="SG206" s="120"/>
      <c r="SH206" s="120"/>
      <c r="SI206" s="120"/>
      <c r="SJ206" s="120"/>
      <c r="SK206" s="120"/>
      <c r="SL206" s="120"/>
      <c r="SM206" s="120"/>
      <c r="SN206" s="120"/>
      <c r="SO206" s="120"/>
      <c r="SP206" s="120"/>
      <c r="SQ206" s="120"/>
      <c r="SR206" s="120"/>
      <c r="SS206" s="120"/>
      <c r="ST206" s="120"/>
      <c r="SU206" s="120"/>
      <c r="SV206" s="120"/>
      <c r="SW206" s="120"/>
      <c r="SX206" s="120"/>
      <c r="SY206" s="120"/>
      <c r="SZ206" s="120"/>
      <c r="TA206" s="120"/>
      <c r="TB206" s="120"/>
      <c r="TC206" s="120"/>
      <c r="TD206" s="120"/>
      <c r="TE206" s="120"/>
      <c r="TF206" s="120"/>
      <c r="TG206" s="120"/>
      <c r="TH206" s="120"/>
      <c r="TI206" s="120"/>
      <c r="TJ206" s="120"/>
      <c r="TK206" s="120"/>
      <c r="TL206" s="120"/>
      <c r="TM206" s="120"/>
      <c r="TN206" s="120"/>
      <c r="TO206" s="120"/>
      <c r="TP206" s="120"/>
      <c r="TQ206" s="120"/>
      <c r="TR206" s="120"/>
      <c r="TS206" s="120"/>
      <c r="TT206" s="120"/>
      <c r="TU206" s="120"/>
      <c r="TV206" s="120"/>
      <c r="TW206" s="120"/>
      <c r="TX206" s="120"/>
      <c r="TY206" s="120"/>
      <c r="TZ206" s="120"/>
      <c r="UA206" s="120"/>
      <c r="UB206" s="120"/>
      <c r="UC206" s="120"/>
      <c r="UD206" s="120"/>
      <c r="UE206" s="120"/>
      <c r="UF206" s="120"/>
      <c r="UG206" s="120"/>
      <c r="UH206" s="120"/>
      <c r="UI206" s="120"/>
      <c r="UJ206" s="120"/>
      <c r="UK206" s="120"/>
      <c r="UL206" s="120"/>
      <c r="UM206" s="120"/>
      <c r="UN206" s="120"/>
      <c r="UO206" s="120"/>
      <c r="UP206" s="120"/>
      <c r="UQ206" s="120"/>
      <c r="UR206" s="120"/>
      <c r="US206" s="120"/>
      <c r="UT206" s="120"/>
      <c r="UU206" s="120"/>
      <c r="UV206" s="120"/>
      <c r="UW206" s="120"/>
      <c r="UX206" s="120"/>
      <c r="UY206" s="120"/>
      <c r="UZ206" s="120"/>
      <c r="VA206" s="120"/>
      <c r="VB206" s="120"/>
      <c r="VC206" s="120"/>
      <c r="VD206" s="120"/>
      <c r="VE206" s="120"/>
      <c r="VF206" s="120"/>
      <c r="VG206" s="120"/>
      <c r="VH206" s="120"/>
      <c r="VI206" s="120"/>
      <c r="VJ206" s="120"/>
      <c r="VK206" s="120"/>
      <c r="VL206" s="120"/>
      <c r="VM206" s="120"/>
      <c r="VN206" s="120"/>
      <c r="VO206" s="120"/>
      <c r="VP206" s="120"/>
      <c r="VQ206" s="120"/>
      <c r="VR206" s="120"/>
      <c r="VS206" s="120"/>
      <c r="VT206" s="120"/>
      <c r="VU206" s="120"/>
      <c r="VV206" s="120"/>
      <c r="VW206" s="120"/>
      <c r="VX206" s="120"/>
      <c r="VY206" s="120"/>
      <c r="VZ206" s="120"/>
      <c r="WA206" s="120"/>
      <c r="WB206" s="120"/>
      <c r="WC206" s="120"/>
      <c r="WD206" s="120"/>
      <c r="WE206" s="120"/>
      <c r="WF206" s="120"/>
      <c r="WG206" s="120"/>
      <c r="WH206" s="120"/>
      <c r="WI206" s="120"/>
      <c r="WJ206" s="120"/>
      <c r="WK206" s="120"/>
      <c r="WL206" s="120"/>
      <c r="WM206" s="120"/>
      <c r="WN206" s="120"/>
      <c r="WO206" s="120"/>
      <c r="WP206" s="120"/>
      <c r="WQ206" s="120"/>
      <c r="WR206" s="120"/>
      <c r="WS206" s="120"/>
      <c r="WT206" s="120"/>
      <c r="WU206" s="120"/>
      <c r="WV206" s="120"/>
      <c r="WW206" s="120"/>
      <c r="WX206" s="120"/>
      <c r="WY206" s="120"/>
      <c r="WZ206" s="120"/>
      <c r="XA206" s="120"/>
      <c r="XB206" s="120"/>
      <c r="XC206" s="120"/>
      <c r="XD206" s="120"/>
      <c r="XE206" s="120"/>
      <c r="XF206" s="120"/>
      <c r="XG206" s="120"/>
      <c r="XH206" s="120"/>
      <c r="XI206" s="120"/>
      <c r="XJ206" s="120"/>
      <c r="XK206" s="120"/>
      <c r="XL206" s="120"/>
      <c r="XM206" s="120"/>
      <c r="XN206" s="120"/>
      <c r="XO206" s="120"/>
      <c r="XP206" s="120"/>
      <c r="XQ206" s="120"/>
      <c r="XR206" s="120"/>
      <c r="XS206" s="120"/>
      <c r="XT206" s="120"/>
      <c r="XU206" s="120"/>
      <c r="XV206" s="120"/>
      <c r="XW206" s="120"/>
      <c r="XX206" s="120"/>
      <c r="XY206" s="120"/>
      <c r="XZ206" s="120"/>
      <c r="YA206" s="120"/>
      <c r="YB206" s="120"/>
      <c r="YC206" s="120"/>
      <c r="YD206" s="120"/>
      <c r="YE206" s="120"/>
      <c r="YF206" s="120"/>
      <c r="YG206" s="120"/>
      <c r="YH206" s="120"/>
      <c r="YI206" s="120"/>
      <c r="YJ206" s="120"/>
      <c r="YK206" s="120"/>
      <c r="YL206" s="120"/>
      <c r="YM206" s="120"/>
      <c r="YN206" s="120"/>
      <c r="YO206" s="120"/>
      <c r="YP206" s="120"/>
      <c r="YQ206" s="120"/>
      <c r="YR206" s="120"/>
      <c r="YS206" s="120"/>
      <c r="YT206" s="120"/>
      <c r="YU206" s="120"/>
      <c r="YV206" s="120"/>
      <c r="YW206" s="120"/>
      <c r="YX206" s="120"/>
      <c r="YY206" s="120"/>
      <c r="YZ206" s="120"/>
      <c r="ZA206" s="120"/>
      <c r="ZB206" s="120"/>
      <c r="ZC206" s="120"/>
      <c r="ZD206" s="120"/>
      <c r="ZE206" s="120"/>
      <c r="ZF206" s="120"/>
      <c r="ZG206" s="120"/>
      <c r="ZH206" s="120"/>
      <c r="ZI206" s="120"/>
      <c r="ZJ206" s="120"/>
      <c r="ZK206" s="120"/>
      <c r="ZL206" s="120"/>
      <c r="ZM206" s="120"/>
      <c r="ZN206" s="120"/>
      <c r="ZO206" s="120"/>
      <c r="ZP206" s="120"/>
      <c r="ZQ206" s="120"/>
      <c r="ZR206" s="120"/>
      <c r="ZS206" s="120"/>
      <c r="ZT206" s="120"/>
      <c r="ZU206" s="120"/>
      <c r="ZV206" s="120"/>
      <c r="ZW206" s="120"/>
      <c r="ZX206" s="120"/>
      <c r="ZY206" s="120"/>
      <c r="ZZ206" s="120"/>
      <c r="AAA206" s="120"/>
      <c r="AAB206" s="120"/>
      <c r="AAC206" s="120"/>
      <c r="AAD206" s="120"/>
      <c r="AAE206" s="120"/>
      <c r="AAF206" s="120"/>
      <c r="AAG206" s="120"/>
      <c r="AAH206" s="120"/>
      <c r="AAI206" s="120"/>
      <c r="AAJ206" s="120"/>
      <c r="AAK206" s="120"/>
      <c r="AAL206" s="120"/>
      <c r="AAM206" s="120"/>
      <c r="AAN206" s="120"/>
      <c r="AAO206" s="120"/>
      <c r="AAP206" s="120"/>
      <c r="AAQ206" s="120"/>
      <c r="AAR206" s="120"/>
      <c r="AAS206" s="120"/>
      <c r="AAT206" s="120"/>
      <c r="AAU206" s="120"/>
      <c r="AAV206" s="120"/>
      <c r="AAW206" s="120"/>
      <c r="AAX206" s="120"/>
      <c r="AAY206" s="120"/>
      <c r="AAZ206" s="120"/>
      <c r="ABA206" s="120"/>
      <c r="ABB206" s="120"/>
      <c r="ABC206" s="120"/>
      <c r="ABD206" s="120"/>
      <c r="ABE206" s="120"/>
      <c r="ABF206" s="120"/>
      <c r="ABG206" s="120"/>
      <c r="ABH206" s="120"/>
      <c r="ABI206" s="120"/>
      <c r="ABJ206" s="120"/>
      <c r="ABK206" s="120"/>
      <c r="ABL206" s="120"/>
      <c r="ABM206" s="120"/>
      <c r="ABN206" s="120"/>
      <c r="ABO206" s="120"/>
      <c r="ABP206" s="120"/>
      <c r="ABQ206" s="120"/>
      <c r="ABR206" s="120"/>
      <c r="ABS206" s="120"/>
      <c r="ABT206" s="120"/>
      <c r="ABU206" s="120"/>
      <c r="ABV206" s="120"/>
      <c r="ABW206" s="120"/>
      <c r="ABX206" s="120"/>
      <c r="ABY206" s="120"/>
      <c r="ABZ206" s="120"/>
      <c r="ACA206" s="120"/>
      <c r="ACB206" s="120"/>
      <c r="ACC206" s="120"/>
      <c r="ACD206" s="120"/>
      <c r="ACE206" s="120"/>
      <c r="ACF206" s="120"/>
      <c r="ACG206" s="120"/>
      <c r="ACH206" s="120"/>
      <c r="ACI206" s="120"/>
      <c r="ACJ206" s="120"/>
      <c r="ACK206" s="120"/>
      <c r="ACL206" s="120"/>
      <c r="ACM206" s="120"/>
      <c r="ACN206" s="120"/>
      <c r="ACO206" s="120"/>
      <c r="ACP206" s="120"/>
      <c r="ACQ206" s="120"/>
      <c r="ACR206" s="120"/>
      <c r="ACS206" s="120"/>
      <c r="ACT206" s="120"/>
      <c r="ACU206" s="120"/>
      <c r="ACV206" s="120"/>
      <c r="ACW206" s="120"/>
      <c r="ACX206" s="120"/>
      <c r="ACY206" s="120"/>
      <c r="ACZ206" s="120"/>
      <c r="ADA206" s="120"/>
      <c r="ADB206" s="120"/>
      <c r="ADC206" s="120"/>
      <c r="ADD206" s="120"/>
      <c r="ADE206" s="120"/>
      <c r="ADF206" s="120"/>
      <c r="ADG206" s="120"/>
      <c r="ADH206" s="120"/>
      <c r="ADI206" s="120"/>
      <c r="ADJ206" s="120"/>
      <c r="ADK206" s="120"/>
      <c r="ADL206" s="120"/>
      <c r="ADM206" s="120"/>
      <c r="ADN206" s="120"/>
      <c r="ADO206" s="120"/>
      <c r="ADP206" s="120"/>
      <c r="ADQ206" s="120"/>
      <c r="ADR206" s="120"/>
      <c r="ADS206" s="120"/>
      <c r="ADT206" s="120"/>
      <c r="ADU206" s="120"/>
      <c r="ADV206" s="120"/>
      <c r="ADW206" s="120"/>
      <c r="ADX206" s="120"/>
      <c r="ADY206" s="120"/>
      <c r="ADZ206" s="120"/>
      <c r="AEA206" s="120"/>
      <c r="AEB206" s="120"/>
      <c r="AEC206" s="120"/>
      <c r="AED206" s="120"/>
      <c r="AEE206" s="120"/>
      <c r="AEF206" s="120"/>
      <c r="AEG206" s="120"/>
      <c r="AEH206" s="120"/>
      <c r="AEI206" s="120"/>
      <c r="AEJ206" s="120"/>
      <c r="AEK206" s="120"/>
      <c r="AEL206" s="120"/>
      <c r="AEM206" s="120"/>
      <c r="AEN206" s="120"/>
      <c r="AEO206" s="120"/>
      <c r="AEP206" s="120"/>
      <c r="AEQ206" s="120"/>
      <c r="AER206" s="120"/>
      <c r="AES206" s="120"/>
      <c r="AET206" s="120"/>
      <c r="AEU206" s="120"/>
      <c r="AEV206" s="120"/>
      <c r="AEW206" s="120"/>
      <c r="AEX206" s="120"/>
      <c r="AEY206" s="120"/>
      <c r="AEZ206" s="120"/>
      <c r="AFA206" s="120"/>
      <c r="AFB206" s="120"/>
      <c r="AFC206" s="120"/>
      <c r="AFD206" s="120"/>
      <c r="AFE206" s="120"/>
      <c r="AFF206" s="120"/>
      <c r="AFG206" s="120"/>
      <c r="AFH206" s="120"/>
      <c r="AFI206" s="120"/>
      <c r="AFJ206" s="120"/>
      <c r="AFK206" s="120"/>
      <c r="AFL206" s="120"/>
      <c r="AFM206" s="120"/>
      <c r="AFN206" s="120"/>
      <c r="AFO206" s="120"/>
      <c r="AFP206" s="120"/>
      <c r="AFQ206" s="120"/>
      <c r="AFR206" s="120"/>
      <c r="AFS206" s="120"/>
      <c r="AFT206" s="120"/>
      <c r="AFU206" s="120"/>
      <c r="AFV206" s="120"/>
      <c r="AFW206" s="120"/>
      <c r="AFX206" s="120"/>
      <c r="AFY206" s="120"/>
      <c r="AFZ206" s="120"/>
      <c r="AGA206" s="120"/>
      <c r="AGB206" s="120"/>
      <c r="AGC206" s="120"/>
      <c r="AGD206" s="120"/>
      <c r="AGE206" s="120"/>
      <c r="AGF206" s="120"/>
      <c r="AGG206" s="120"/>
      <c r="AGH206" s="120"/>
      <c r="AGI206" s="120"/>
      <c r="AGJ206" s="120"/>
      <c r="AGK206" s="120"/>
      <c r="AGL206" s="120"/>
      <c r="AGM206" s="120"/>
      <c r="AGN206" s="120"/>
      <c r="AGO206" s="120"/>
      <c r="AGP206" s="120"/>
      <c r="AGQ206" s="120"/>
      <c r="AGR206" s="120"/>
      <c r="AGS206" s="120"/>
      <c r="AGT206" s="120"/>
      <c r="AGU206" s="120"/>
      <c r="AGV206" s="120"/>
      <c r="AGW206" s="120"/>
      <c r="AGX206" s="120"/>
      <c r="AGY206" s="120"/>
      <c r="AGZ206" s="120"/>
      <c r="AHA206" s="120"/>
      <c r="AHB206" s="120"/>
      <c r="AHC206" s="120"/>
      <c r="AHD206" s="120"/>
      <c r="AHE206" s="120"/>
      <c r="AHF206" s="120"/>
      <c r="AHG206" s="120"/>
      <c r="AHH206" s="120"/>
      <c r="AHI206" s="120"/>
      <c r="AHJ206" s="120"/>
      <c r="AHK206" s="120"/>
      <c r="AHL206" s="120"/>
      <c r="AHM206" s="120"/>
      <c r="AHN206" s="120"/>
      <c r="AHO206" s="120"/>
      <c r="AHP206" s="120"/>
      <c r="AHQ206" s="120"/>
      <c r="AHR206" s="120"/>
      <c r="AHS206" s="120"/>
      <c r="AHT206" s="120"/>
      <c r="AHU206" s="120"/>
      <c r="AHV206" s="120"/>
      <c r="AHW206" s="120"/>
      <c r="AHX206" s="120"/>
      <c r="AHY206" s="120"/>
      <c r="AHZ206" s="120"/>
      <c r="AIA206" s="120"/>
      <c r="AIB206" s="120"/>
      <c r="AIC206" s="120"/>
      <c r="AID206" s="120"/>
      <c r="AIE206" s="120"/>
      <c r="AIF206" s="120"/>
      <c r="AIG206" s="120"/>
      <c r="AIH206" s="120"/>
      <c r="AII206" s="120"/>
      <c r="AIJ206" s="120"/>
      <c r="AIK206" s="120"/>
      <c r="AIL206" s="120"/>
      <c r="AIM206" s="120"/>
      <c r="AIN206" s="120"/>
      <c r="AIO206" s="120"/>
      <c r="AIP206" s="120"/>
      <c r="AIQ206" s="120"/>
      <c r="AIR206" s="120"/>
      <c r="AIS206" s="120"/>
      <c r="AIT206" s="120"/>
      <c r="AIU206" s="120"/>
      <c r="AIV206" s="120"/>
      <c r="AIW206" s="120"/>
      <c r="AIX206" s="120"/>
      <c r="AIY206" s="120"/>
      <c r="AIZ206" s="120"/>
    </row>
    <row r="207">
      <c r="A207" s="112" t="s">
        <v>54</v>
      </c>
      <c r="B207" s="112" t="s">
        <v>65</v>
      </c>
      <c r="C207" s="112"/>
      <c r="D207" s="113">
        <f t="shared" si="1"/>
        <v>456.0736833</v>
      </c>
      <c r="E207" s="112">
        <v>79.5406833333334</v>
      </c>
      <c r="F207" s="113"/>
      <c r="G207" s="113"/>
      <c r="H207" s="113"/>
      <c r="I207" s="113"/>
      <c r="J207" s="113"/>
      <c r="K207" s="113"/>
      <c r="L207" s="112">
        <v>0.650616666666667</v>
      </c>
      <c r="M207" s="112">
        <v>3.00466666666667</v>
      </c>
      <c r="N207" s="113"/>
      <c r="O207" s="113"/>
      <c r="P207" s="112">
        <v>37.3902</v>
      </c>
      <c r="Q207" s="113"/>
      <c r="R207" s="113"/>
      <c r="S207" s="113"/>
      <c r="T207" s="113"/>
      <c r="U207" s="113"/>
      <c r="V207" s="112">
        <v>0.32905</v>
      </c>
      <c r="W207" s="112">
        <v>116.899566666666</v>
      </c>
      <c r="X207" s="113"/>
      <c r="Y207" s="113"/>
      <c r="Z207" s="113"/>
      <c r="AA207" s="113"/>
      <c r="AB207" s="113"/>
      <c r="AC207" s="112">
        <v>3.57015</v>
      </c>
      <c r="AD207" s="112">
        <v>126.488733333333</v>
      </c>
      <c r="AE207" s="113"/>
      <c r="AF207" s="113"/>
      <c r="AG207" s="113"/>
      <c r="AH207" s="113"/>
      <c r="AI207" s="113"/>
      <c r="AJ207" s="112">
        <v>3.6315</v>
      </c>
      <c r="AK207" s="112">
        <v>38.44495</v>
      </c>
      <c r="AL207" s="113"/>
      <c r="AM207" s="113"/>
      <c r="AN207" s="113"/>
      <c r="AO207" s="112">
        <v>5.87246666666667</v>
      </c>
      <c r="AP207" s="112">
        <v>8.24565</v>
      </c>
      <c r="AQ207" s="113"/>
      <c r="AR207" s="113"/>
      <c r="AS207" s="112">
        <v>2.143</v>
      </c>
      <c r="AT207" s="112">
        <v>28.0569166666667</v>
      </c>
      <c r="AU207" s="113"/>
      <c r="AV207" s="112">
        <v>1.18156666666667</v>
      </c>
      <c r="AW207" s="112">
        <v>0.623966666666667</v>
      </c>
      <c r="AX207" s="113"/>
      <c r="AY207" s="113"/>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c r="CW207" s="113"/>
      <c r="CX207" s="113"/>
      <c r="CY207" s="113"/>
      <c r="CZ207" s="113"/>
      <c r="DA207" s="113"/>
      <c r="DB207" s="113"/>
      <c r="DC207" s="113"/>
      <c r="DD207" s="113"/>
      <c r="DE207" s="113"/>
      <c r="DF207" s="113"/>
      <c r="DG207" s="113"/>
      <c r="DH207" s="113"/>
      <c r="DI207" s="113"/>
      <c r="DJ207" s="113"/>
      <c r="DK207" s="113"/>
      <c r="DL207" s="113"/>
      <c r="DM207" s="113"/>
      <c r="DN207" s="113"/>
      <c r="DO207" s="113"/>
      <c r="DP207" s="113"/>
      <c r="DQ207" s="113"/>
      <c r="DR207" s="113"/>
      <c r="DS207" s="113"/>
      <c r="DT207" s="113"/>
      <c r="DU207" s="113"/>
      <c r="DV207" s="113"/>
      <c r="DW207" s="113"/>
      <c r="DX207" s="113"/>
      <c r="DY207" s="113"/>
      <c r="DZ207" s="113"/>
      <c r="EA207" s="113"/>
      <c r="EB207" s="113"/>
      <c r="EC207" s="113"/>
      <c r="ED207" s="113"/>
      <c r="EE207" s="113"/>
      <c r="EF207" s="113"/>
      <c r="EG207" s="113"/>
      <c r="EH207" s="113"/>
      <c r="EI207" s="113"/>
      <c r="EJ207" s="113"/>
      <c r="EK207" s="113"/>
      <c r="EL207" s="113"/>
      <c r="EM207" s="113"/>
      <c r="EN207" s="113"/>
      <c r="EO207" s="113"/>
      <c r="EP207" s="113"/>
      <c r="EQ207" s="113"/>
      <c r="ER207" s="113"/>
      <c r="ES207" s="113"/>
      <c r="ET207" s="113"/>
      <c r="EU207" s="113"/>
      <c r="EV207" s="113"/>
      <c r="EW207" s="113"/>
      <c r="EX207" s="113"/>
      <c r="EY207" s="113"/>
      <c r="EZ207" s="113"/>
      <c r="FA207" s="113"/>
      <c r="FB207" s="113"/>
      <c r="FC207" s="113"/>
      <c r="FD207" s="113"/>
      <c r="FE207" s="113"/>
      <c r="FF207" s="113"/>
      <c r="FG207" s="113"/>
      <c r="FH207" s="113"/>
      <c r="FI207" s="113"/>
      <c r="FJ207" s="113"/>
      <c r="FK207" s="113"/>
      <c r="FL207" s="113"/>
      <c r="FM207" s="113"/>
      <c r="FN207" s="113"/>
      <c r="FO207" s="113"/>
      <c r="FP207" s="113"/>
      <c r="FQ207" s="113"/>
      <c r="FR207" s="113"/>
      <c r="FS207" s="113"/>
      <c r="FT207" s="113"/>
      <c r="FU207" s="113"/>
      <c r="FV207" s="113"/>
      <c r="FW207" s="113"/>
      <c r="FX207" s="113"/>
      <c r="FY207" s="113"/>
      <c r="FZ207" s="113"/>
      <c r="GA207" s="113"/>
      <c r="GB207" s="113"/>
      <c r="GC207" s="113"/>
      <c r="GD207" s="113"/>
      <c r="GE207" s="113"/>
      <c r="GF207" s="113"/>
      <c r="GG207" s="113"/>
      <c r="GH207" s="113"/>
      <c r="GI207" s="113"/>
      <c r="GJ207" s="113"/>
      <c r="GK207" s="113"/>
      <c r="GL207" s="113"/>
      <c r="GM207" s="113"/>
      <c r="GN207" s="113"/>
      <c r="GO207" s="113"/>
      <c r="GP207" s="113"/>
      <c r="GQ207" s="113"/>
      <c r="GR207" s="113"/>
      <c r="GS207" s="113"/>
      <c r="GT207" s="113"/>
      <c r="GU207" s="113"/>
      <c r="GV207" s="113"/>
      <c r="GW207" s="113"/>
      <c r="GX207" s="113"/>
      <c r="GY207" s="113"/>
      <c r="GZ207" s="113"/>
      <c r="HA207" s="113"/>
      <c r="HB207" s="113"/>
      <c r="HC207" s="113"/>
      <c r="HD207" s="113"/>
      <c r="HE207" s="113"/>
      <c r="HF207" s="113"/>
      <c r="HG207" s="113"/>
      <c r="HH207" s="113"/>
      <c r="HI207" s="113"/>
      <c r="HJ207" s="113"/>
      <c r="HK207" s="113"/>
      <c r="HL207" s="113"/>
      <c r="HM207" s="113"/>
      <c r="HN207" s="113"/>
      <c r="HO207" s="113"/>
      <c r="HP207" s="113"/>
      <c r="HQ207" s="113"/>
      <c r="HR207" s="113"/>
      <c r="HS207" s="113"/>
      <c r="HT207" s="113"/>
      <c r="HU207" s="113"/>
      <c r="HV207" s="113"/>
      <c r="HW207" s="113"/>
      <c r="HX207" s="113"/>
      <c r="HY207" s="113"/>
      <c r="HZ207" s="113"/>
      <c r="IA207" s="113"/>
      <c r="IB207" s="113"/>
      <c r="IC207" s="113"/>
      <c r="ID207" s="113"/>
      <c r="IE207" s="113"/>
      <c r="IF207" s="113"/>
      <c r="IG207" s="113"/>
      <c r="IH207" s="113"/>
      <c r="II207" s="113"/>
      <c r="IJ207" s="113"/>
      <c r="IK207" s="113"/>
      <c r="IL207" s="113"/>
      <c r="IM207" s="113"/>
      <c r="IN207" s="113"/>
      <c r="IO207" s="113"/>
      <c r="IP207" s="113"/>
      <c r="IQ207" s="113"/>
      <c r="IR207" s="113"/>
      <c r="IS207" s="113"/>
      <c r="IT207" s="113"/>
      <c r="IU207" s="113"/>
      <c r="IV207" s="113"/>
      <c r="IW207" s="113"/>
      <c r="IX207" s="113"/>
      <c r="IY207" s="113"/>
      <c r="IZ207" s="113"/>
      <c r="JA207" s="113"/>
      <c r="JB207" s="113"/>
      <c r="JC207" s="113"/>
      <c r="JD207" s="113"/>
      <c r="JE207" s="113"/>
      <c r="JF207" s="113"/>
      <c r="JG207" s="113"/>
      <c r="JH207" s="113"/>
      <c r="JI207" s="113"/>
      <c r="JJ207" s="113"/>
      <c r="JK207" s="113"/>
      <c r="JL207" s="113"/>
      <c r="JM207" s="113"/>
      <c r="JN207" s="113"/>
      <c r="JO207" s="113"/>
      <c r="JP207" s="113"/>
      <c r="JQ207" s="113"/>
      <c r="JR207" s="113"/>
      <c r="JS207" s="113"/>
      <c r="JT207" s="113"/>
      <c r="JU207" s="113"/>
      <c r="JV207" s="113"/>
      <c r="JW207" s="113"/>
      <c r="JX207" s="113"/>
      <c r="JY207" s="113"/>
      <c r="JZ207" s="113"/>
      <c r="KA207" s="113"/>
      <c r="KB207" s="113"/>
      <c r="KC207" s="113"/>
      <c r="KD207" s="113"/>
      <c r="KE207" s="113"/>
      <c r="KF207" s="113"/>
      <c r="KG207" s="113"/>
      <c r="KH207" s="113"/>
      <c r="KI207" s="113"/>
      <c r="KJ207" s="113"/>
      <c r="KK207" s="113"/>
      <c r="KL207" s="113"/>
      <c r="KM207" s="113"/>
      <c r="KN207" s="113"/>
      <c r="KO207" s="113"/>
      <c r="KP207" s="113"/>
      <c r="KQ207" s="113"/>
      <c r="KR207" s="113"/>
      <c r="KS207" s="113"/>
      <c r="KT207" s="113"/>
      <c r="KU207" s="113"/>
      <c r="KV207" s="113"/>
      <c r="KW207" s="113"/>
      <c r="KX207" s="113"/>
      <c r="KY207" s="113"/>
      <c r="KZ207" s="113"/>
      <c r="LA207" s="113"/>
      <c r="LB207" s="113"/>
      <c r="LC207" s="113"/>
      <c r="LD207" s="113"/>
      <c r="LE207" s="113"/>
      <c r="LF207" s="113"/>
      <c r="LG207" s="113"/>
      <c r="LH207" s="113"/>
      <c r="LI207" s="113"/>
      <c r="LJ207" s="113"/>
      <c r="LK207" s="113"/>
      <c r="LL207" s="113"/>
      <c r="LM207" s="113"/>
      <c r="LN207" s="113"/>
      <c r="LO207" s="113"/>
      <c r="LP207" s="113"/>
      <c r="LQ207" s="113"/>
      <c r="LR207" s="113"/>
      <c r="LS207" s="113"/>
      <c r="LT207" s="113"/>
      <c r="LU207" s="113"/>
      <c r="LV207" s="113"/>
      <c r="LW207" s="113"/>
      <c r="LX207" s="113"/>
      <c r="LY207" s="113"/>
      <c r="LZ207" s="113"/>
      <c r="MA207" s="113"/>
      <c r="MB207" s="113"/>
      <c r="MC207" s="113"/>
      <c r="MD207" s="113"/>
      <c r="ME207" s="113"/>
      <c r="MF207" s="113"/>
      <c r="MG207" s="113"/>
      <c r="MH207" s="113"/>
      <c r="MI207" s="113"/>
      <c r="MJ207" s="113"/>
      <c r="MK207" s="113"/>
      <c r="ML207" s="113"/>
      <c r="MM207" s="113"/>
      <c r="MN207" s="113"/>
      <c r="MO207" s="113"/>
      <c r="MP207" s="113"/>
      <c r="MQ207" s="113"/>
      <c r="MR207" s="113"/>
      <c r="MS207" s="113"/>
      <c r="MT207" s="113"/>
      <c r="MU207" s="113"/>
      <c r="MV207" s="113"/>
      <c r="MW207" s="113"/>
      <c r="MX207" s="113"/>
      <c r="MY207" s="113"/>
      <c r="MZ207" s="113"/>
      <c r="NA207" s="113"/>
      <c r="NB207" s="113"/>
      <c r="NC207" s="113"/>
      <c r="ND207" s="113"/>
      <c r="NE207" s="113"/>
      <c r="NF207" s="113"/>
      <c r="NG207" s="113"/>
      <c r="NH207" s="113"/>
      <c r="NI207" s="113"/>
      <c r="NJ207" s="113"/>
      <c r="NK207" s="113"/>
      <c r="NL207" s="113"/>
      <c r="NM207" s="113"/>
      <c r="NN207" s="113"/>
      <c r="NO207" s="113"/>
      <c r="NP207" s="113"/>
      <c r="NQ207" s="113"/>
      <c r="NR207" s="113"/>
      <c r="NS207" s="113"/>
      <c r="NT207" s="113"/>
      <c r="NU207" s="113"/>
      <c r="NV207" s="113"/>
      <c r="NW207" s="113"/>
      <c r="NX207" s="113"/>
      <c r="NY207" s="113"/>
      <c r="NZ207" s="113"/>
      <c r="OA207" s="113"/>
      <c r="OB207" s="113"/>
      <c r="OC207" s="113"/>
      <c r="OD207" s="113"/>
      <c r="OE207" s="113"/>
      <c r="OF207" s="113"/>
      <c r="OG207" s="113"/>
      <c r="OH207" s="113"/>
      <c r="OI207" s="113"/>
      <c r="OJ207" s="113"/>
      <c r="OK207" s="113"/>
      <c r="OL207" s="113"/>
      <c r="OM207" s="113"/>
      <c r="ON207" s="113"/>
      <c r="OO207" s="113"/>
      <c r="OP207" s="113"/>
      <c r="OQ207" s="113"/>
      <c r="OR207" s="113"/>
      <c r="OS207" s="113"/>
      <c r="OT207" s="113"/>
      <c r="OU207" s="113"/>
      <c r="OV207" s="113"/>
      <c r="OW207" s="113"/>
      <c r="OX207" s="113"/>
      <c r="OY207" s="113"/>
      <c r="OZ207" s="113"/>
      <c r="PA207" s="113"/>
      <c r="PB207" s="113"/>
      <c r="PC207" s="113"/>
      <c r="PD207" s="113"/>
      <c r="PE207" s="113"/>
      <c r="PF207" s="113"/>
      <c r="PG207" s="113"/>
      <c r="PH207" s="113"/>
      <c r="PI207" s="113"/>
      <c r="PJ207" s="113"/>
      <c r="PK207" s="113"/>
      <c r="PL207" s="113"/>
      <c r="PM207" s="113"/>
      <c r="PN207" s="113"/>
      <c r="PO207" s="113"/>
      <c r="PP207" s="113"/>
      <c r="PQ207" s="113"/>
      <c r="PR207" s="113"/>
      <c r="PS207" s="113"/>
      <c r="PT207" s="113"/>
      <c r="PU207" s="113"/>
      <c r="PV207" s="113"/>
      <c r="PW207" s="113"/>
      <c r="PX207" s="113"/>
      <c r="PY207" s="113"/>
      <c r="PZ207" s="113"/>
      <c r="QA207" s="113"/>
      <c r="QB207" s="113"/>
      <c r="QC207" s="113"/>
      <c r="QD207" s="113"/>
      <c r="QE207" s="113"/>
      <c r="QF207" s="113"/>
      <c r="QG207" s="113"/>
      <c r="QH207" s="113"/>
      <c r="QI207" s="113"/>
      <c r="QJ207" s="113"/>
      <c r="QK207" s="113"/>
      <c r="QL207" s="113"/>
      <c r="QM207" s="113"/>
      <c r="QN207" s="113"/>
      <c r="QO207" s="113"/>
      <c r="QP207" s="113"/>
      <c r="QQ207" s="113"/>
      <c r="QR207" s="113"/>
      <c r="QS207" s="113"/>
      <c r="QT207" s="113"/>
      <c r="QU207" s="113"/>
      <c r="QV207" s="113"/>
      <c r="QW207" s="113"/>
      <c r="QX207" s="113"/>
      <c r="QY207" s="113"/>
      <c r="QZ207" s="113"/>
      <c r="RA207" s="113"/>
      <c r="RB207" s="113"/>
      <c r="RC207" s="113"/>
      <c r="RD207" s="113"/>
      <c r="RE207" s="113"/>
      <c r="RF207" s="113"/>
      <c r="RG207" s="113"/>
      <c r="RH207" s="113"/>
      <c r="RI207" s="113"/>
      <c r="RJ207" s="113"/>
      <c r="RK207" s="113"/>
      <c r="RL207" s="113"/>
      <c r="RM207" s="113"/>
      <c r="RN207" s="113"/>
      <c r="RO207" s="113"/>
      <c r="RP207" s="113"/>
      <c r="RQ207" s="113"/>
      <c r="RR207" s="113"/>
      <c r="RS207" s="113"/>
      <c r="RT207" s="113"/>
      <c r="RU207" s="113"/>
      <c r="RV207" s="113"/>
      <c r="RW207" s="113"/>
      <c r="RX207" s="113"/>
      <c r="RY207" s="113"/>
      <c r="RZ207" s="113"/>
      <c r="SA207" s="113"/>
      <c r="SB207" s="113"/>
      <c r="SC207" s="113"/>
      <c r="SD207" s="113"/>
      <c r="SE207" s="113"/>
      <c r="SF207" s="113"/>
      <c r="SG207" s="113"/>
      <c r="SH207" s="113"/>
      <c r="SI207" s="113"/>
      <c r="SJ207" s="113"/>
      <c r="SK207" s="113"/>
      <c r="SL207" s="113"/>
      <c r="SM207" s="113"/>
      <c r="SN207" s="113"/>
      <c r="SO207" s="113"/>
      <c r="SP207" s="113"/>
      <c r="SQ207" s="113"/>
      <c r="SR207" s="113"/>
      <c r="SS207" s="113"/>
      <c r="ST207" s="113"/>
      <c r="SU207" s="113"/>
      <c r="SV207" s="113"/>
      <c r="SW207" s="113"/>
      <c r="SX207" s="113"/>
      <c r="SY207" s="113"/>
      <c r="SZ207" s="113"/>
      <c r="TA207" s="113"/>
      <c r="TB207" s="113"/>
      <c r="TC207" s="113"/>
      <c r="TD207" s="113"/>
      <c r="TE207" s="113"/>
      <c r="TF207" s="113"/>
      <c r="TG207" s="113"/>
      <c r="TH207" s="113"/>
      <c r="TI207" s="113"/>
      <c r="TJ207" s="113"/>
      <c r="TK207" s="113"/>
      <c r="TL207" s="113"/>
      <c r="TM207" s="113"/>
      <c r="TN207" s="113"/>
      <c r="TO207" s="113"/>
      <c r="TP207" s="113"/>
      <c r="TQ207" s="113"/>
      <c r="TR207" s="113"/>
      <c r="TS207" s="113"/>
      <c r="TT207" s="113"/>
      <c r="TU207" s="113"/>
      <c r="TV207" s="113"/>
      <c r="TW207" s="113"/>
      <c r="TX207" s="113"/>
      <c r="TY207" s="113"/>
      <c r="TZ207" s="113"/>
      <c r="UA207" s="113"/>
      <c r="UB207" s="113"/>
      <c r="UC207" s="113"/>
      <c r="UD207" s="113"/>
      <c r="UE207" s="113"/>
      <c r="UF207" s="113"/>
      <c r="UG207" s="113"/>
      <c r="UH207" s="113"/>
      <c r="UI207" s="113"/>
      <c r="UJ207" s="113"/>
      <c r="UK207" s="113"/>
      <c r="UL207" s="113"/>
      <c r="UM207" s="113"/>
      <c r="UN207" s="113"/>
      <c r="UO207" s="113"/>
      <c r="UP207" s="113"/>
      <c r="UQ207" s="113"/>
      <c r="UR207" s="113"/>
      <c r="US207" s="113"/>
      <c r="UT207" s="113"/>
      <c r="UU207" s="113"/>
      <c r="UV207" s="113"/>
      <c r="UW207" s="113"/>
      <c r="UX207" s="113"/>
      <c r="UY207" s="113"/>
      <c r="UZ207" s="113"/>
      <c r="VA207" s="113"/>
      <c r="VB207" s="113"/>
      <c r="VC207" s="113"/>
      <c r="VD207" s="113"/>
      <c r="VE207" s="113"/>
      <c r="VF207" s="113"/>
      <c r="VG207" s="113"/>
      <c r="VH207" s="113"/>
      <c r="VI207" s="113"/>
      <c r="VJ207" s="113"/>
      <c r="VK207" s="113"/>
      <c r="VL207" s="113"/>
      <c r="VM207" s="113"/>
      <c r="VN207" s="113"/>
      <c r="VO207" s="113"/>
      <c r="VP207" s="113"/>
      <c r="VQ207" s="113"/>
      <c r="VR207" s="113"/>
      <c r="VS207" s="113"/>
      <c r="VT207" s="113"/>
      <c r="VU207" s="113"/>
      <c r="VV207" s="113"/>
      <c r="VW207" s="113"/>
      <c r="VX207" s="113"/>
      <c r="VY207" s="113"/>
      <c r="VZ207" s="113"/>
      <c r="WA207" s="113"/>
      <c r="WB207" s="113"/>
      <c r="WC207" s="113"/>
      <c r="WD207" s="113"/>
      <c r="WE207" s="113"/>
      <c r="WF207" s="113"/>
      <c r="WG207" s="113"/>
      <c r="WH207" s="113"/>
      <c r="WI207" s="113"/>
      <c r="WJ207" s="113"/>
      <c r="WK207" s="113"/>
      <c r="WL207" s="113"/>
      <c r="WM207" s="113"/>
      <c r="WN207" s="113"/>
      <c r="WO207" s="113"/>
      <c r="WP207" s="113"/>
      <c r="WQ207" s="113"/>
      <c r="WR207" s="113"/>
      <c r="WS207" s="113"/>
      <c r="WT207" s="113"/>
      <c r="WU207" s="113"/>
      <c r="WV207" s="113"/>
      <c r="WW207" s="113"/>
      <c r="WX207" s="113"/>
      <c r="WY207" s="113"/>
      <c r="WZ207" s="113"/>
      <c r="XA207" s="113"/>
      <c r="XB207" s="113"/>
      <c r="XC207" s="113"/>
      <c r="XD207" s="113"/>
      <c r="XE207" s="113"/>
      <c r="XF207" s="113"/>
      <c r="XG207" s="113"/>
      <c r="XH207" s="113"/>
      <c r="XI207" s="113"/>
      <c r="XJ207" s="113"/>
      <c r="XK207" s="113"/>
      <c r="XL207" s="113"/>
      <c r="XM207" s="113"/>
      <c r="XN207" s="113"/>
      <c r="XO207" s="113"/>
      <c r="XP207" s="113"/>
      <c r="XQ207" s="113"/>
      <c r="XR207" s="113"/>
      <c r="XS207" s="113"/>
      <c r="XT207" s="113"/>
      <c r="XU207" s="113"/>
      <c r="XV207" s="113"/>
      <c r="XW207" s="113"/>
      <c r="XX207" s="113"/>
      <c r="XY207" s="113"/>
      <c r="XZ207" s="113"/>
      <c r="YA207" s="113"/>
      <c r="YB207" s="113"/>
      <c r="YC207" s="113"/>
      <c r="YD207" s="113"/>
      <c r="YE207" s="113"/>
      <c r="YF207" s="113"/>
      <c r="YG207" s="113"/>
      <c r="YH207" s="113"/>
      <c r="YI207" s="113"/>
      <c r="YJ207" s="113"/>
      <c r="YK207" s="113"/>
      <c r="YL207" s="113"/>
      <c r="YM207" s="113"/>
      <c r="YN207" s="113"/>
      <c r="YO207" s="113"/>
      <c r="YP207" s="113"/>
      <c r="YQ207" s="113"/>
      <c r="YR207" s="113"/>
      <c r="YS207" s="113"/>
      <c r="YT207" s="113"/>
      <c r="YU207" s="113"/>
      <c r="YV207" s="113"/>
      <c r="YW207" s="113"/>
      <c r="YX207" s="113"/>
      <c r="YY207" s="113"/>
      <c r="YZ207" s="113"/>
      <c r="ZA207" s="113"/>
      <c r="ZB207" s="113"/>
      <c r="ZC207" s="113"/>
      <c r="ZD207" s="113"/>
      <c r="ZE207" s="113"/>
      <c r="ZF207" s="113"/>
      <c r="ZG207" s="113"/>
      <c r="ZH207" s="113"/>
      <c r="ZI207" s="113"/>
      <c r="ZJ207" s="113"/>
      <c r="ZK207" s="113"/>
      <c r="ZL207" s="113"/>
      <c r="ZM207" s="113"/>
      <c r="ZN207" s="113"/>
      <c r="ZO207" s="113"/>
      <c r="ZP207" s="113"/>
      <c r="ZQ207" s="113"/>
      <c r="ZR207" s="113"/>
      <c r="ZS207" s="113"/>
      <c r="ZT207" s="113"/>
      <c r="ZU207" s="113"/>
      <c r="ZV207" s="113"/>
      <c r="ZW207" s="113"/>
      <c r="ZX207" s="113"/>
      <c r="ZY207" s="113"/>
      <c r="ZZ207" s="113"/>
      <c r="AAA207" s="113"/>
      <c r="AAB207" s="113"/>
      <c r="AAC207" s="113"/>
      <c r="AAD207" s="113"/>
      <c r="AAE207" s="113"/>
      <c r="AAF207" s="113"/>
      <c r="AAG207" s="113"/>
      <c r="AAH207" s="113"/>
      <c r="AAI207" s="113"/>
      <c r="AAJ207" s="113"/>
      <c r="AAK207" s="113"/>
      <c r="AAL207" s="113"/>
      <c r="AAM207" s="113"/>
      <c r="AAN207" s="113"/>
      <c r="AAO207" s="113"/>
      <c r="AAP207" s="113"/>
      <c r="AAQ207" s="113"/>
      <c r="AAR207" s="113"/>
      <c r="AAS207" s="113"/>
      <c r="AAT207" s="113"/>
      <c r="AAU207" s="113"/>
      <c r="AAV207" s="113"/>
      <c r="AAW207" s="113"/>
      <c r="AAX207" s="113"/>
      <c r="AAY207" s="113"/>
      <c r="AAZ207" s="113"/>
      <c r="ABA207" s="113"/>
      <c r="ABB207" s="113"/>
      <c r="ABC207" s="113"/>
      <c r="ABD207" s="113"/>
      <c r="ABE207" s="113"/>
      <c r="ABF207" s="113"/>
      <c r="ABG207" s="113"/>
      <c r="ABH207" s="113"/>
      <c r="ABI207" s="113"/>
      <c r="ABJ207" s="113"/>
      <c r="ABK207" s="113"/>
      <c r="ABL207" s="113"/>
      <c r="ABM207" s="113"/>
      <c r="ABN207" s="113"/>
      <c r="ABO207" s="113"/>
      <c r="ABP207" s="113"/>
      <c r="ABQ207" s="113"/>
      <c r="ABR207" s="113"/>
      <c r="ABS207" s="113"/>
      <c r="ABT207" s="113"/>
      <c r="ABU207" s="113"/>
      <c r="ABV207" s="113"/>
      <c r="ABW207" s="113"/>
      <c r="ABX207" s="113"/>
      <c r="ABY207" s="113"/>
      <c r="ABZ207" s="113"/>
      <c r="ACA207" s="113"/>
      <c r="ACB207" s="113"/>
      <c r="ACC207" s="113"/>
      <c r="ACD207" s="113"/>
      <c r="ACE207" s="113"/>
      <c r="ACF207" s="113"/>
      <c r="ACG207" s="113"/>
      <c r="ACH207" s="113"/>
      <c r="ACI207" s="113"/>
      <c r="ACJ207" s="113"/>
      <c r="ACK207" s="113"/>
      <c r="ACL207" s="113"/>
      <c r="ACM207" s="113"/>
      <c r="ACN207" s="113"/>
      <c r="ACO207" s="113"/>
      <c r="ACP207" s="113"/>
      <c r="ACQ207" s="113"/>
      <c r="ACR207" s="113"/>
      <c r="ACS207" s="113"/>
      <c r="ACT207" s="113"/>
      <c r="ACU207" s="113"/>
      <c r="ACV207" s="113"/>
      <c r="ACW207" s="113"/>
      <c r="ACX207" s="113"/>
      <c r="ACY207" s="113"/>
      <c r="ACZ207" s="113"/>
      <c r="ADA207" s="113"/>
      <c r="ADB207" s="113"/>
      <c r="ADC207" s="113"/>
      <c r="ADD207" s="113"/>
      <c r="ADE207" s="113"/>
      <c r="ADF207" s="113"/>
      <c r="ADG207" s="113"/>
      <c r="ADH207" s="113"/>
      <c r="ADI207" s="113"/>
      <c r="ADJ207" s="113"/>
      <c r="ADK207" s="113"/>
      <c r="ADL207" s="113"/>
      <c r="ADM207" s="113"/>
      <c r="ADN207" s="113"/>
      <c r="ADO207" s="113"/>
      <c r="ADP207" s="113"/>
      <c r="ADQ207" s="113"/>
      <c r="ADR207" s="113"/>
      <c r="ADS207" s="113"/>
      <c r="ADT207" s="113"/>
      <c r="ADU207" s="113"/>
      <c r="ADV207" s="113"/>
      <c r="ADW207" s="113"/>
      <c r="ADX207" s="113"/>
      <c r="ADY207" s="113"/>
      <c r="ADZ207" s="113"/>
      <c r="AEA207" s="113"/>
      <c r="AEB207" s="113"/>
      <c r="AEC207" s="113"/>
      <c r="AED207" s="113"/>
      <c r="AEE207" s="113"/>
      <c r="AEF207" s="113"/>
      <c r="AEG207" s="113"/>
      <c r="AEH207" s="113"/>
      <c r="AEI207" s="113"/>
      <c r="AEJ207" s="113"/>
      <c r="AEK207" s="113"/>
      <c r="AEL207" s="113"/>
      <c r="AEM207" s="113"/>
      <c r="AEN207" s="113"/>
      <c r="AEO207" s="113"/>
      <c r="AEP207" s="113"/>
      <c r="AEQ207" s="113"/>
      <c r="AER207" s="113"/>
      <c r="AES207" s="113"/>
      <c r="AET207" s="113"/>
      <c r="AEU207" s="113"/>
      <c r="AEV207" s="113"/>
      <c r="AEW207" s="113"/>
      <c r="AEX207" s="113"/>
      <c r="AEY207" s="113"/>
      <c r="AEZ207" s="113"/>
      <c r="AFA207" s="113"/>
      <c r="AFB207" s="113"/>
      <c r="AFC207" s="113"/>
      <c r="AFD207" s="113"/>
      <c r="AFE207" s="113"/>
      <c r="AFF207" s="113"/>
      <c r="AFG207" s="113"/>
      <c r="AFH207" s="113"/>
      <c r="AFI207" s="113"/>
      <c r="AFJ207" s="113"/>
      <c r="AFK207" s="113"/>
      <c r="AFL207" s="113"/>
      <c r="AFM207" s="113"/>
      <c r="AFN207" s="113"/>
      <c r="AFO207" s="113"/>
      <c r="AFP207" s="113"/>
      <c r="AFQ207" s="113"/>
      <c r="AFR207" s="113"/>
      <c r="AFS207" s="113"/>
      <c r="AFT207" s="113"/>
      <c r="AFU207" s="113"/>
      <c r="AFV207" s="113"/>
      <c r="AFW207" s="113"/>
      <c r="AFX207" s="113"/>
      <c r="AFY207" s="113"/>
      <c r="AFZ207" s="113"/>
      <c r="AGA207" s="113"/>
      <c r="AGB207" s="113"/>
      <c r="AGC207" s="113"/>
      <c r="AGD207" s="113"/>
      <c r="AGE207" s="113"/>
      <c r="AGF207" s="113"/>
      <c r="AGG207" s="113"/>
      <c r="AGH207" s="113"/>
      <c r="AGI207" s="113"/>
      <c r="AGJ207" s="113"/>
      <c r="AGK207" s="113"/>
      <c r="AGL207" s="113"/>
      <c r="AGM207" s="113"/>
      <c r="AGN207" s="113"/>
      <c r="AGO207" s="113"/>
      <c r="AGP207" s="113"/>
      <c r="AGQ207" s="113"/>
      <c r="AGR207" s="113"/>
      <c r="AGS207" s="113"/>
      <c r="AGT207" s="113"/>
      <c r="AGU207" s="113"/>
      <c r="AGV207" s="113"/>
      <c r="AGW207" s="113"/>
      <c r="AGX207" s="113"/>
      <c r="AGY207" s="113"/>
      <c r="AGZ207" s="113"/>
      <c r="AHA207" s="113"/>
      <c r="AHB207" s="113"/>
      <c r="AHC207" s="113"/>
      <c r="AHD207" s="113"/>
      <c r="AHE207" s="113"/>
      <c r="AHF207" s="113"/>
      <c r="AHG207" s="113"/>
      <c r="AHH207" s="113"/>
      <c r="AHI207" s="113"/>
      <c r="AHJ207" s="113"/>
      <c r="AHK207" s="113"/>
      <c r="AHL207" s="113"/>
      <c r="AHM207" s="113"/>
      <c r="AHN207" s="113"/>
      <c r="AHO207" s="113"/>
      <c r="AHP207" s="113"/>
      <c r="AHQ207" s="113"/>
      <c r="AHR207" s="113"/>
      <c r="AHS207" s="113"/>
      <c r="AHT207" s="113"/>
      <c r="AHU207" s="113"/>
      <c r="AHV207" s="113"/>
      <c r="AHW207" s="113"/>
      <c r="AHX207" s="113"/>
      <c r="AHY207" s="113"/>
      <c r="AHZ207" s="113"/>
      <c r="AIA207" s="113"/>
      <c r="AIB207" s="113"/>
      <c r="AIC207" s="113"/>
      <c r="AID207" s="113"/>
      <c r="AIE207" s="113"/>
      <c r="AIF207" s="113"/>
      <c r="AIG207" s="113"/>
      <c r="AIH207" s="113"/>
      <c r="AII207" s="113"/>
      <c r="AIJ207" s="113"/>
      <c r="AIK207" s="113"/>
      <c r="AIL207" s="113"/>
      <c r="AIM207" s="113"/>
      <c r="AIN207" s="113"/>
      <c r="AIO207" s="113"/>
      <c r="AIP207" s="113"/>
      <c r="AIQ207" s="113"/>
      <c r="AIR207" s="113"/>
      <c r="AIS207" s="113"/>
      <c r="AIT207" s="113"/>
      <c r="AIU207" s="113"/>
      <c r="AIV207" s="113"/>
      <c r="AIW207" s="113"/>
      <c r="AIX207" s="113"/>
      <c r="AIY207" s="113"/>
      <c r="AIZ207" s="113"/>
    </row>
    <row r="208">
      <c r="A208" s="65" t="s">
        <v>54</v>
      </c>
      <c r="B208" s="65" t="s">
        <v>65</v>
      </c>
      <c r="C208" s="65"/>
      <c r="D208" s="64">
        <f t="shared" si="1"/>
        <v>374.6162833</v>
      </c>
      <c r="F208" s="65">
        <v>0.523066666666667</v>
      </c>
      <c r="G208" s="65">
        <v>19.5890666666667</v>
      </c>
      <c r="H208" s="65">
        <v>17.3038333333333</v>
      </c>
      <c r="I208" s="65">
        <v>1.94428333333333</v>
      </c>
      <c r="J208" s="65">
        <v>0.686533333333333</v>
      </c>
      <c r="K208" s="65">
        <v>29.6043833333333</v>
      </c>
      <c r="N208" s="65">
        <v>2.26391666666667</v>
      </c>
      <c r="Q208" s="65">
        <v>0.128116666666667</v>
      </c>
      <c r="R208" s="65">
        <v>8.87878333333334</v>
      </c>
      <c r="S208" s="65">
        <v>7.6943</v>
      </c>
      <c r="T208" s="65">
        <v>2.56153333333333</v>
      </c>
      <c r="U208" s="65">
        <v>10.0800166666667</v>
      </c>
      <c r="X208" s="65">
        <v>1.58581666666667</v>
      </c>
      <c r="Y208" s="65">
        <v>9.08766666666667</v>
      </c>
      <c r="Z208" s="65">
        <v>30.1637333333333</v>
      </c>
      <c r="AA208" s="65">
        <v>5.21006666666667</v>
      </c>
      <c r="AB208" s="65">
        <v>51.6526833333333</v>
      </c>
      <c r="AE208" s="65">
        <v>0.27085</v>
      </c>
      <c r="AF208" s="65">
        <v>13.7016666666667</v>
      </c>
      <c r="AG208" s="65">
        <v>61.7367833333333</v>
      </c>
      <c r="AH208" s="65">
        <v>4.22771666666667</v>
      </c>
      <c r="AI208" s="65">
        <v>38.4738166666667</v>
      </c>
      <c r="AL208" s="65">
        <v>11.1376</v>
      </c>
      <c r="AM208" s="65">
        <v>3.60366666666667</v>
      </c>
      <c r="AN208" s="65">
        <v>10.2642833333333</v>
      </c>
      <c r="AQ208" s="65">
        <v>3.44901666666667</v>
      </c>
      <c r="AR208" s="65">
        <v>2.5494</v>
      </c>
      <c r="AU208" s="65">
        <v>26.2436833333333</v>
      </c>
    </row>
    <row r="209">
      <c r="A209" s="65" t="s">
        <v>54</v>
      </c>
      <c r="B209" s="65" t="s">
        <v>65</v>
      </c>
      <c r="C209" s="65"/>
      <c r="D209" s="64">
        <f t="shared" si="1"/>
        <v>0</v>
      </c>
    </row>
    <row r="210">
      <c r="A210" s="65" t="s">
        <v>54</v>
      </c>
      <c r="B210" s="65" t="s">
        <v>65</v>
      </c>
      <c r="C210" s="65"/>
      <c r="D210" s="64">
        <f t="shared" si="1"/>
        <v>366.5210167</v>
      </c>
      <c r="F210" s="118">
        <f>HYPERLINK("https://docs.google.com/spreadsheets/d/1PzfHDIy0MQqDr-17g1HKKBhAdsYKWZ5d", 0.523066666666667)</f>
        <v>0.5230666667</v>
      </c>
      <c r="G210" s="118">
        <f>HYPERLINK("https://docs.google.com/spreadsheets/d/1hXfR2vTyhvbW3MybZop1_pIVvxHaRRFO", 19.5890666666667)</f>
        <v>19.58906667</v>
      </c>
      <c r="H210" s="118">
        <f>HYPERLINK("https://docs.google.com/spreadsheets/d/1t5vIxIOZawRFY1adI69rZzNs8zDdmHer", 17.30385)</f>
        <v>17.30385</v>
      </c>
      <c r="I210" s="118">
        <f>HYPERLINK("https://docs.google.com/spreadsheets/d/1R5j4uMf4MEfpACkcDrWhD1nLBO_vpfmz", 1.94428333333333)</f>
        <v>1.944283333</v>
      </c>
      <c r="J210" s="118">
        <f>HYPERLINK("https://docs.google.com/spreadsheets/d/19LxEUiHuo6iAcBIINjhTdev1dJ2YWPC8", 0.686533333333333)</f>
        <v>0.6865333333</v>
      </c>
      <c r="K210" s="118">
        <f>HYPERLINK("https://docs.google.com/spreadsheets/d/10TjGUF0YO37xFHSriKRdLz8cubKZVTii", 29.6043666666667)</f>
        <v>29.60436667</v>
      </c>
      <c r="N210" s="118">
        <f>HYPERLINK("https://docs.google.com/spreadsheets/d/1TwUro5BpBrZD0PbXXUonfRqJ_y8NYr0D", 2.26391666666667)</f>
        <v>2.263916667</v>
      </c>
      <c r="Q210" s="118">
        <f>HYPERLINK("https://docs.google.com/spreadsheets/d/1Dghv6A-ZZ9JOtvS8AaMaq2uXIqwMZGLx", 0.128116666666667)</f>
        <v>0.1281166667</v>
      </c>
      <c r="R210" s="118">
        <f>HYPERLINK("https://docs.google.com/spreadsheets/d/1o1DQz6a4Si9jMhXN825OOE56-wekDw66", 8.87873333333334)</f>
        <v>8.878733333</v>
      </c>
      <c r="S210" s="118">
        <f>HYPERLINK("https://docs.google.com/spreadsheets/d/1jPytk6_0w71vrip6Eb0WoFOKlrSRg2em", 7.25635)</f>
        <v>7.25635</v>
      </c>
      <c r="T210" s="118">
        <f>HYPERLINK("https://docs.google.com/spreadsheets/d/1j1Qr3rFP9NTZQNMjI9CDFf49WnUVhEgo", 2.34018333333333)</f>
        <v>2.340183333</v>
      </c>
      <c r="U210" s="118">
        <f>HYPERLINK("https://docs.google.com/spreadsheets/d/1CRh68M47PUISjfZg0_sn4rN96o3AGWhD", 9.90583333333334)</f>
        <v>9.905833333</v>
      </c>
      <c r="X210" s="118">
        <f>HYPERLINK("https://docs.google.com/spreadsheets/d/1AYX7D2Se8lL3EDV7qaULy574srbrKIsM", 1.58581666666667)</f>
        <v>1.585816667</v>
      </c>
      <c r="Y210" s="118">
        <f>HYPERLINK("https://docs.google.com/spreadsheets/d/1PDDbk3Mtl9pySZjn3fkwMAk7cUglMKwD", 9.08766666666667)</f>
        <v>9.087666667</v>
      </c>
      <c r="Z210" s="118">
        <f>HYPERLINK("https://docs.google.com/spreadsheets/d/1bziF5SS5rIHGfBeeeY9R5X4aYzKeZ1Dl", 29.9487666666667)</f>
        <v>29.94876667</v>
      </c>
      <c r="AA210" s="118">
        <f>HYPERLINK("https://docs.google.com/spreadsheets/d/1X8VCRgun2k6RukC7xbGyZ01kyeJfLcnL", 5.21006666666667)</f>
        <v>5.210066667</v>
      </c>
      <c r="AB210" s="118">
        <f>HYPERLINK("https://docs.google.com/spreadsheets/d/1qaFaBrVF98Zip3tSn1F8JR2sezClgbhQ", 51.52165)</f>
        <v>51.52165</v>
      </c>
      <c r="AE210" s="118">
        <f>HYPERLINK("https://docs.google.com/spreadsheets/d/1EJyo11wph3yfuPAKJLzyLqOmHW2T_5oR", 0.27085)</f>
        <v>0.27085</v>
      </c>
      <c r="AF210" s="118">
        <f>HYPERLINK("https://docs.google.com/spreadsheets/d/1bTDhy4JQygd-9tt2mADVVw_xyeiQ3nO1", 13.70165)</f>
        <v>13.70165</v>
      </c>
      <c r="AG210" s="118">
        <f>HYPERLINK("https://docs.google.com/spreadsheets/d/1LnjgezGgY-6E7kCEINbfQg8RYNtc1azp", 60.9369833333333)</f>
        <v>60.93698333</v>
      </c>
      <c r="AH210" s="118">
        <f>HYPERLINK("https://docs.google.com/spreadsheets/d/1MaPkPim4jgQaZ-JJLO20AOj8bKai4Gtg", 4.22771666666667)</f>
        <v>4.227716667</v>
      </c>
      <c r="AI210" s="118">
        <f>HYPERLINK("https://docs.google.com/spreadsheets/d/1deEqemVs9-Jycta0Dm75owbm0_jEoUOO", 38.1374333333334)</f>
        <v>38.13743333</v>
      </c>
      <c r="AL210" s="118">
        <f>HYPERLINK("https://docs.google.com/spreadsheets/d/10twzhV2Mmijao05wsCJ2pFMZ5KiVxYP_", 6.31231666666667)</f>
        <v>6.312316667</v>
      </c>
      <c r="AM210" s="118">
        <f>HYPERLINK("https://docs.google.com/spreadsheets/d/13EXKofMsqkEmBNCAl6S5fnPUSKu9B46I", 3.06966666666667)</f>
        <v>3.069666667</v>
      </c>
      <c r="AN210" s="118">
        <f>HYPERLINK("https://docs.google.com/spreadsheets/d/1eDVsdBSQygQOt8-soKbFo2guqXZcJ0sk", 10.0296833333333)</f>
        <v>10.02968333</v>
      </c>
      <c r="AQ210" s="118">
        <f>HYPERLINK("https://docs.google.com/spreadsheets/d/1207BvRvhzoXctwwoiiCzOeEhgKouNo-r", 3.44905)</f>
        <v>3.44905</v>
      </c>
      <c r="AR210" s="118">
        <f>HYPERLINK("https://docs.google.com/spreadsheets/d/19lGT-HV0gGxeaoscKjcicpbpXPGUqneo", 2.5494)</f>
        <v>2.5494</v>
      </c>
      <c r="AU210" s="118">
        <f>HYPERLINK("https://docs.google.com/spreadsheets/d/1u5r9YyxZ01iEq6BtZ11NnnEBkG0AmqMg", 26.058)</f>
        <v>26.058</v>
      </c>
    </row>
    <row r="211">
      <c r="A211" s="65" t="s">
        <v>54</v>
      </c>
      <c r="B211" s="65" t="s">
        <v>65</v>
      </c>
      <c r="C211" s="65"/>
      <c r="D211" s="64">
        <f t="shared" si="1"/>
        <v>178.5201667</v>
      </c>
      <c r="F211" s="65">
        <v>0.0</v>
      </c>
      <c r="G211" s="65">
        <v>3.34988333333333</v>
      </c>
      <c r="H211" s="65">
        <v>0.111016666666667</v>
      </c>
      <c r="I211" s="65">
        <v>0.0</v>
      </c>
      <c r="J211" s="65">
        <v>0.0</v>
      </c>
      <c r="K211" s="65">
        <v>1.46368333333333</v>
      </c>
      <c r="N211" s="65">
        <v>0.7013</v>
      </c>
      <c r="Q211" s="65">
        <v>0.0</v>
      </c>
      <c r="R211" s="65">
        <v>4.0176</v>
      </c>
      <c r="S211" s="65">
        <v>3.47151666666667</v>
      </c>
      <c r="T211" s="65">
        <v>0.904016666666667</v>
      </c>
      <c r="U211" s="65">
        <v>2.2304</v>
      </c>
      <c r="X211" s="65">
        <v>0.07935</v>
      </c>
      <c r="Y211" s="65">
        <v>6.6474</v>
      </c>
      <c r="Z211" s="65">
        <v>17.23835</v>
      </c>
      <c r="AA211" s="65">
        <v>1.51818333333333</v>
      </c>
      <c r="AB211" s="65">
        <v>20.38655</v>
      </c>
      <c r="AE211" s="65">
        <v>0.0</v>
      </c>
      <c r="AF211" s="65">
        <v>10.8908666666667</v>
      </c>
      <c r="AG211" s="65">
        <v>44.6484</v>
      </c>
      <c r="AH211" s="65">
        <v>1.97335</v>
      </c>
      <c r="AI211" s="65">
        <v>26.2520166666667</v>
      </c>
      <c r="AL211" s="65">
        <v>2.40515</v>
      </c>
      <c r="AM211" s="65">
        <v>1.30438333333333</v>
      </c>
      <c r="AN211" s="65">
        <v>4.41108333333333</v>
      </c>
      <c r="AQ211" s="65">
        <v>1.55158333333333</v>
      </c>
      <c r="AR211" s="65">
        <v>2.08008333333333</v>
      </c>
      <c r="AU211" s="65">
        <v>20.884</v>
      </c>
    </row>
    <row r="212">
      <c r="A212" s="119" t="s">
        <v>54</v>
      </c>
      <c r="B212" s="119" t="s">
        <v>65</v>
      </c>
      <c r="C212" s="119"/>
      <c r="D212" s="120">
        <f t="shared" si="1"/>
        <v>0</v>
      </c>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c r="AA212" s="120"/>
      <c r="AB212" s="120"/>
      <c r="AC212" s="120"/>
      <c r="AD212" s="120"/>
      <c r="AE212" s="120"/>
      <c r="AF212" s="120"/>
      <c r="AG212" s="120"/>
      <c r="AH212" s="120"/>
      <c r="AI212" s="120"/>
      <c r="AJ212" s="120"/>
      <c r="AK212" s="120"/>
      <c r="AL212" s="120"/>
      <c r="AM212" s="120"/>
      <c r="AN212" s="120"/>
      <c r="AO212" s="120"/>
      <c r="AP212" s="120"/>
      <c r="AQ212" s="120"/>
      <c r="AR212" s="120"/>
      <c r="AS212" s="120"/>
      <c r="AT212" s="120"/>
      <c r="AU212" s="120"/>
      <c r="AV212" s="120"/>
      <c r="AW212" s="120"/>
      <c r="AX212" s="120"/>
      <c r="AY212" s="120"/>
      <c r="AZ212" s="120"/>
      <c r="BA212" s="120"/>
      <c r="BB212" s="120"/>
      <c r="BC212" s="120"/>
      <c r="BD212" s="120"/>
      <c r="BE212" s="120"/>
      <c r="BF212" s="120"/>
      <c r="BG212" s="120"/>
      <c r="BH212" s="120"/>
      <c r="BI212" s="120"/>
      <c r="BJ212" s="120"/>
      <c r="BK212" s="120"/>
      <c r="BL212" s="120"/>
      <c r="BM212" s="120"/>
      <c r="BN212" s="120"/>
      <c r="BO212" s="120"/>
      <c r="BP212" s="120"/>
      <c r="BQ212" s="120"/>
      <c r="BR212" s="120"/>
      <c r="BS212" s="120"/>
      <c r="BT212" s="120"/>
      <c r="BU212" s="120"/>
      <c r="BV212" s="120"/>
      <c r="BW212" s="120"/>
      <c r="BX212" s="120"/>
      <c r="BY212" s="120"/>
      <c r="BZ212" s="120"/>
      <c r="CA212" s="120"/>
      <c r="CB212" s="120"/>
      <c r="CC212" s="120"/>
      <c r="CD212" s="120"/>
      <c r="CE212" s="120"/>
      <c r="CF212" s="120"/>
      <c r="CG212" s="120"/>
      <c r="CH212" s="120"/>
      <c r="CI212" s="120"/>
      <c r="CJ212" s="120"/>
      <c r="CK212" s="120"/>
      <c r="CL212" s="120"/>
      <c r="CM212" s="120"/>
      <c r="CN212" s="120"/>
      <c r="CO212" s="120"/>
      <c r="CP212" s="120"/>
      <c r="CQ212" s="120"/>
      <c r="CR212" s="120"/>
      <c r="CS212" s="120"/>
      <c r="CT212" s="120"/>
      <c r="CU212" s="120"/>
      <c r="CV212" s="120"/>
      <c r="CW212" s="120"/>
      <c r="CX212" s="120"/>
      <c r="CY212" s="120"/>
      <c r="CZ212" s="120"/>
      <c r="DA212" s="120"/>
      <c r="DB212" s="120"/>
      <c r="DC212" s="120"/>
      <c r="DD212" s="120"/>
      <c r="DE212" s="120"/>
      <c r="DF212" s="120"/>
      <c r="DG212" s="120"/>
      <c r="DH212" s="120"/>
      <c r="DI212" s="120"/>
      <c r="DJ212" s="120"/>
      <c r="DK212" s="120"/>
      <c r="DL212" s="120"/>
      <c r="DM212" s="120"/>
      <c r="DN212" s="120"/>
      <c r="DO212" s="120"/>
      <c r="DP212" s="120"/>
      <c r="DQ212" s="120"/>
      <c r="DR212" s="120"/>
      <c r="DS212" s="120"/>
      <c r="DT212" s="120"/>
      <c r="DU212" s="120"/>
      <c r="DV212" s="120"/>
      <c r="DW212" s="120"/>
      <c r="DX212" s="120"/>
      <c r="DY212" s="120"/>
      <c r="DZ212" s="120"/>
      <c r="EA212" s="120"/>
      <c r="EB212" s="120"/>
      <c r="EC212" s="120"/>
      <c r="ED212" s="120"/>
      <c r="EE212" s="120"/>
      <c r="EF212" s="120"/>
      <c r="EG212" s="120"/>
      <c r="EH212" s="120"/>
      <c r="EI212" s="120"/>
      <c r="EJ212" s="120"/>
      <c r="EK212" s="120"/>
      <c r="EL212" s="120"/>
      <c r="EM212" s="120"/>
      <c r="EN212" s="120"/>
      <c r="EO212" s="120"/>
      <c r="EP212" s="120"/>
      <c r="EQ212" s="120"/>
      <c r="ER212" s="120"/>
      <c r="ES212" s="120"/>
      <c r="ET212" s="120"/>
      <c r="EU212" s="120"/>
      <c r="EV212" s="120"/>
      <c r="EW212" s="120"/>
      <c r="EX212" s="120"/>
      <c r="EY212" s="120"/>
      <c r="EZ212" s="120"/>
      <c r="FA212" s="120"/>
      <c r="FB212" s="120"/>
      <c r="FC212" s="120"/>
      <c r="FD212" s="120"/>
      <c r="FE212" s="120"/>
      <c r="FF212" s="120"/>
      <c r="FG212" s="120"/>
      <c r="FH212" s="120"/>
      <c r="FI212" s="120"/>
      <c r="FJ212" s="120"/>
      <c r="FK212" s="120"/>
      <c r="FL212" s="120"/>
      <c r="FM212" s="120"/>
      <c r="FN212" s="120"/>
      <c r="FO212" s="120"/>
      <c r="FP212" s="120"/>
      <c r="FQ212" s="120"/>
      <c r="FR212" s="120"/>
      <c r="FS212" s="120"/>
      <c r="FT212" s="120"/>
      <c r="FU212" s="120"/>
      <c r="FV212" s="120"/>
      <c r="FW212" s="120"/>
      <c r="FX212" s="120"/>
      <c r="FY212" s="120"/>
      <c r="FZ212" s="120"/>
      <c r="GA212" s="120"/>
      <c r="GB212" s="120"/>
      <c r="GC212" s="120"/>
      <c r="GD212" s="120"/>
      <c r="GE212" s="120"/>
      <c r="GF212" s="120"/>
      <c r="GG212" s="120"/>
      <c r="GH212" s="120"/>
      <c r="GI212" s="120"/>
      <c r="GJ212" s="120"/>
      <c r="GK212" s="120"/>
      <c r="GL212" s="120"/>
      <c r="GM212" s="120"/>
      <c r="GN212" s="120"/>
      <c r="GO212" s="120"/>
      <c r="GP212" s="120"/>
      <c r="GQ212" s="120"/>
      <c r="GR212" s="120"/>
      <c r="GS212" s="120"/>
      <c r="GT212" s="120"/>
      <c r="GU212" s="120"/>
      <c r="GV212" s="120"/>
      <c r="GW212" s="120"/>
      <c r="GX212" s="120"/>
      <c r="GY212" s="120"/>
      <c r="GZ212" s="120"/>
      <c r="HA212" s="120"/>
      <c r="HB212" s="120"/>
      <c r="HC212" s="120"/>
      <c r="HD212" s="120"/>
      <c r="HE212" s="120"/>
      <c r="HF212" s="120"/>
      <c r="HG212" s="120"/>
      <c r="HH212" s="120"/>
      <c r="HI212" s="120"/>
      <c r="HJ212" s="120"/>
      <c r="HK212" s="120"/>
      <c r="HL212" s="120"/>
      <c r="HM212" s="120"/>
      <c r="HN212" s="120"/>
      <c r="HO212" s="120"/>
      <c r="HP212" s="120"/>
      <c r="HQ212" s="120"/>
      <c r="HR212" s="120"/>
      <c r="HS212" s="120"/>
      <c r="HT212" s="120"/>
      <c r="HU212" s="120"/>
      <c r="HV212" s="120"/>
      <c r="HW212" s="120"/>
      <c r="HX212" s="120"/>
      <c r="HY212" s="120"/>
      <c r="HZ212" s="120"/>
      <c r="IA212" s="120"/>
      <c r="IB212" s="120"/>
      <c r="IC212" s="120"/>
      <c r="ID212" s="120"/>
      <c r="IE212" s="120"/>
      <c r="IF212" s="120"/>
      <c r="IG212" s="120"/>
      <c r="IH212" s="120"/>
      <c r="II212" s="120"/>
      <c r="IJ212" s="120"/>
      <c r="IK212" s="120"/>
      <c r="IL212" s="120"/>
      <c r="IM212" s="120"/>
      <c r="IN212" s="120"/>
      <c r="IO212" s="120"/>
      <c r="IP212" s="120"/>
      <c r="IQ212" s="120"/>
      <c r="IR212" s="120"/>
      <c r="IS212" s="120"/>
      <c r="IT212" s="120"/>
      <c r="IU212" s="120"/>
      <c r="IV212" s="120"/>
      <c r="IW212" s="120"/>
      <c r="IX212" s="120"/>
      <c r="IY212" s="120"/>
      <c r="IZ212" s="120"/>
      <c r="JA212" s="120"/>
      <c r="JB212" s="120"/>
      <c r="JC212" s="120"/>
      <c r="JD212" s="120"/>
      <c r="JE212" s="120"/>
      <c r="JF212" s="120"/>
      <c r="JG212" s="120"/>
      <c r="JH212" s="120"/>
      <c r="JI212" s="120"/>
      <c r="JJ212" s="120"/>
      <c r="JK212" s="120"/>
      <c r="JL212" s="120"/>
      <c r="JM212" s="120"/>
      <c r="JN212" s="120"/>
      <c r="JO212" s="120"/>
      <c r="JP212" s="120"/>
      <c r="JQ212" s="120"/>
      <c r="JR212" s="120"/>
      <c r="JS212" s="120"/>
      <c r="JT212" s="120"/>
      <c r="JU212" s="120"/>
      <c r="JV212" s="120"/>
      <c r="JW212" s="120"/>
      <c r="JX212" s="120"/>
      <c r="JY212" s="120"/>
      <c r="JZ212" s="120"/>
      <c r="KA212" s="120"/>
      <c r="KB212" s="120"/>
      <c r="KC212" s="120"/>
      <c r="KD212" s="120"/>
      <c r="KE212" s="120"/>
      <c r="KF212" s="120"/>
      <c r="KG212" s="120"/>
      <c r="KH212" s="120"/>
      <c r="KI212" s="120"/>
      <c r="KJ212" s="120"/>
      <c r="KK212" s="120"/>
      <c r="KL212" s="120"/>
      <c r="KM212" s="120"/>
      <c r="KN212" s="120"/>
      <c r="KO212" s="120"/>
      <c r="KP212" s="120"/>
      <c r="KQ212" s="120"/>
      <c r="KR212" s="120"/>
      <c r="KS212" s="120"/>
      <c r="KT212" s="120"/>
      <c r="KU212" s="120"/>
      <c r="KV212" s="120"/>
      <c r="KW212" s="120"/>
      <c r="KX212" s="120"/>
      <c r="KY212" s="120"/>
      <c r="KZ212" s="120"/>
      <c r="LA212" s="120"/>
      <c r="LB212" s="120"/>
      <c r="LC212" s="120"/>
      <c r="LD212" s="120"/>
      <c r="LE212" s="120"/>
      <c r="LF212" s="120"/>
      <c r="LG212" s="120"/>
      <c r="LH212" s="120"/>
      <c r="LI212" s="120"/>
      <c r="LJ212" s="120"/>
      <c r="LK212" s="120"/>
      <c r="LL212" s="120"/>
      <c r="LM212" s="120"/>
      <c r="LN212" s="120"/>
      <c r="LO212" s="120"/>
      <c r="LP212" s="120"/>
      <c r="LQ212" s="120"/>
      <c r="LR212" s="120"/>
      <c r="LS212" s="120"/>
      <c r="LT212" s="120"/>
      <c r="LU212" s="120"/>
      <c r="LV212" s="120"/>
      <c r="LW212" s="120"/>
      <c r="LX212" s="120"/>
      <c r="LY212" s="120"/>
      <c r="LZ212" s="120"/>
      <c r="MA212" s="120"/>
      <c r="MB212" s="120"/>
      <c r="MC212" s="120"/>
      <c r="MD212" s="120"/>
      <c r="ME212" s="120"/>
      <c r="MF212" s="120"/>
      <c r="MG212" s="120"/>
      <c r="MH212" s="120"/>
      <c r="MI212" s="120"/>
      <c r="MJ212" s="120"/>
      <c r="MK212" s="120"/>
      <c r="ML212" s="120"/>
      <c r="MM212" s="120"/>
      <c r="MN212" s="120"/>
      <c r="MO212" s="120"/>
      <c r="MP212" s="120"/>
      <c r="MQ212" s="120"/>
      <c r="MR212" s="120"/>
      <c r="MS212" s="120"/>
      <c r="MT212" s="120"/>
      <c r="MU212" s="120"/>
      <c r="MV212" s="120"/>
      <c r="MW212" s="120"/>
      <c r="MX212" s="120"/>
      <c r="MY212" s="120"/>
      <c r="MZ212" s="120"/>
      <c r="NA212" s="120"/>
      <c r="NB212" s="120"/>
      <c r="NC212" s="120"/>
      <c r="ND212" s="120"/>
      <c r="NE212" s="120"/>
      <c r="NF212" s="120"/>
      <c r="NG212" s="120"/>
      <c r="NH212" s="120"/>
      <c r="NI212" s="120"/>
      <c r="NJ212" s="120"/>
      <c r="NK212" s="120"/>
      <c r="NL212" s="120"/>
      <c r="NM212" s="120"/>
      <c r="NN212" s="120"/>
      <c r="NO212" s="120"/>
      <c r="NP212" s="120"/>
      <c r="NQ212" s="120"/>
      <c r="NR212" s="120"/>
      <c r="NS212" s="120"/>
      <c r="NT212" s="120"/>
      <c r="NU212" s="120"/>
      <c r="NV212" s="120"/>
      <c r="NW212" s="120"/>
      <c r="NX212" s="120"/>
      <c r="NY212" s="120"/>
      <c r="NZ212" s="120"/>
      <c r="OA212" s="120"/>
      <c r="OB212" s="120"/>
      <c r="OC212" s="120"/>
      <c r="OD212" s="120"/>
      <c r="OE212" s="120"/>
      <c r="OF212" s="120"/>
      <c r="OG212" s="120"/>
      <c r="OH212" s="120"/>
      <c r="OI212" s="120"/>
      <c r="OJ212" s="120"/>
      <c r="OK212" s="120"/>
      <c r="OL212" s="120"/>
      <c r="OM212" s="120"/>
      <c r="ON212" s="120"/>
      <c r="OO212" s="120"/>
      <c r="OP212" s="120"/>
      <c r="OQ212" s="120"/>
      <c r="OR212" s="120"/>
      <c r="OS212" s="120"/>
      <c r="OT212" s="120"/>
      <c r="OU212" s="120"/>
      <c r="OV212" s="120"/>
      <c r="OW212" s="120"/>
      <c r="OX212" s="120"/>
      <c r="OY212" s="120"/>
      <c r="OZ212" s="120"/>
      <c r="PA212" s="120"/>
      <c r="PB212" s="120"/>
      <c r="PC212" s="120"/>
      <c r="PD212" s="120"/>
      <c r="PE212" s="120"/>
      <c r="PF212" s="120"/>
      <c r="PG212" s="120"/>
      <c r="PH212" s="120"/>
      <c r="PI212" s="120"/>
      <c r="PJ212" s="120"/>
      <c r="PK212" s="120"/>
      <c r="PL212" s="120"/>
      <c r="PM212" s="120"/>
      <c r="PN212" s="120"/>
      <c r="PO212" s="120"/>
      <c r="PP212" s="120"/>
      <c r="PQ212" s="120"/>
      <c r="PR212" s="120"/>
      <c r="PS212" s="120"/>
      <c r="PT212" s="120"/>
      <c r="PU212" s="120"/>
      <c r="PV212" s="120"/>
      <c r="PW212" s="120"/>
      <c r="PX212" s="120"/>
      <c r="PY212" s="120"/>
      <c r="PZ212" s="120"/>
      <c r="QA212" s="120"/>
      <c r="QB212" s="120"/>
      <c r="QC212" s="120"/>
      <c r="QD212" s="120"/>
      <c r="QE212" s="120"/>
      <c r="QF212" s="120"/>
      <c r="QG212" s="120"/>
      <c r="QH212" s="120"/>
      <c r="QI212" s="120"/>
      <c r="QJ212" s="120"/>
      <c r="QK212" s="120"/>
      <c r="QL212" s="120"/>
      <c r="QM212" s="120"/>
      <c r="QN212" s="120"/>
      <c r="QO212" s="120"/>
      <c r="QP212" s="120"/>
      <c r="QQ212" s="120"/>
      <c r="QR212" s="120"/>
      <c r="QS212" s="120"/>
      <c r="QT212" s="120"/>
      <c r="QU212" s="120"/>
      <c r="QV212" s="120"/>
      <c r="QW212" s="120"/>
      <c r="QX212" s="120"/>
      <c r="QY212" s="120"/>
      <c r="QZ212" s="120"/>
      <c r="RA212" s="120"/>
      <c r="RB212" s="120"/>
      <c r="RC212" s="120"/>
      <c r="RD212" s="120"/>
      <c r="RE212" s="120"/>
      <c r="RF212" s="120"/>
      <c r="RG212" s="120"/>
      <c r="RH212" s="120"/>
      <c r="RI212" s="120"/>
      <c r="RJ212" s="120"/>
      <c r="RK212" s="120"/>
      <c r="RL212" s="120"/>
      <c r="RM212" s="120"/>
      <c r="RN212" s="120"/>
      <c r="RO212" s="120"/>
      <c r="RP212" s="120"/>
      <c r="RQ212" s="120"/>
      <c r="RR212" s="120"/>
      <c r="RS212" s="120"/>
      <c r="RT212" s="120"/>
      <c r="RU212" s="120"/>
      <c r="RV212" s="120"/>
      <c r="RW212" s="120"/>
      <c r="RX212" s="120"/>
      <c r="RY212" s="120"/>
      <c r="RZ212" s="120"/>
      <c r="SA212" s="120"/>
      <c r="SB212" s="120"/>
      <c r="SC212" s="120"/>
      <c r="SD212" s="120"/>
      <c r="SE212" s="120"/>
      <c r="SF212" s="120"/>
      <c r="SG212" s="120"/>
      <c r="SH212" s="120"/>
      <c r="SI212" s="120"/>
      <c r="SJ212" s="120"/>
      <c r="SK212" s="120"/>
      <c r="SL212" s="120"/>
      <c r="SM212" s="120"/>
      <c r="SN212" s="120"/>
      <c r="SO212" s="120"/>
      <c r="SP212" s="120"/>
      <c r="SQ212" s="120"/>
      <c r="SR212" s="120"/>
      <c r="SS212" s="120"/>
      <c r="ST212" s="120"/>
      <c r="SU212" s="120"/>
      <c r="SV212" s="120"/>
      <c r="SW212" s="120"/>
      <c r="SX212" s="120"/>
      <c r="SY212" s="120"/>
      <c r="SZ212" s="120"/>
      <c r="TA212" s="120"/>
      <c r="TB212" s="120"/>
      <c r="TC212" s="120"/>
      <c r="TD212" s="120"/>
      <c r="TE212" s="120"/>
      <c r="TF212" s="120"/>
      <c r="TG212" s="120"/>
      <c r="TH212" s="120"/>
      <c r="TI212" s="120"/>
      <c r="TJ212" s="120"/>
      <c r="TK212" s="120"/>
      <c r="TL212" s="120"/>
      <c r="TM212" s="120"/>
      <c r="TN212" s="120"/>
      <c r="TO212" s="120"/>
      <c r="TP212" s="120"/>
      <c r="TQ212" s="120"/>
      <c r="TR212" s="120"/>
      <c r="TS212" s="120"/>
      <c r="TT212" s="120"/>
      <c r="TU212" s="120"/>
      <c r="TV212" s="120"/>
      <c r="TW212" s="120"/>
      <c r="TX212" s="120"/>
      <c r="TY212" s="120"/>
      <c r="TZ212" s="120"/>
      <c r="UA212" s="120"/>
      <c r="UB212" s="120"/>
      <c r="UC212" s="120"/>
      <c r="UD212" s="120"/>
      <c r="UE212" s="120"/>
      <c r="UF212" s="120"/>
      <c r="UG212" s="120"/>
      <c r="UH212" s="120"/>
      <c r="UI212" s="120"/>
      <c r="UJ212" s="120"/>
      <c r="UK212" s="120"/>
      <c r="UL212" s="120"/>
      <c r="UM212" s="120"/>
      <c r="UN212" s="120"/>
      <c r="UO212" s="120"/>
      <c r="UP212" s="120"/>
      <c r="UQ212" s="120"/>
      <c r="UR212" s="120"/>
      <c r="US212" s="120"/>
      <c r="UT212" s="120"/>
      <c r="UU212" s="120"/>
      <c r="UV212" s="120"/>
      <c r="UW212" s="120"/>
      <c r="UX212" s="120"/>
      <c r="UY212" s="120"/>
      <c r="UZ212" s="120"/>
      <c r="VA212" s="120"/>
      <c r="VB212" s="120"/>
      <c r="VC212" s="120"/>
      <c r="VD212" s="120"/>
      <c r="VE212" s="120"/>
      <c r="VF212" s="120"/>
      <c r="VG212" s="120"/>
      <c r="VH212" s="120"/>
      <c r="VI212" s="120"/>
      <c r="VJ212" s="120"/>
      <c r="VK212" s="120"/>
      <c r="VL212" s="120"/>
      <c r="VM212" s="120"/>
      <c r="VN212" s="120"/>
      <c r="VO212" s="120"/>
      <c r="VP212" s="120"/>
      <c r="VQ212" s="120"/>
      <c r="VR212" s="120"/>
      <c r="VS212" s="120"/>
      <c r="VT212" s="120"/>
      <c r="VU212" s="120"/>
      <c r="VV212" s="120"/>
      <c r="VW212" s="120"/>
      <c r="VX212" s="120"/>
      <c r="VY212" s="120"/>
      <c r="VZ212" s="120"/>
      <c r="WA212" s="120"/>
      <c r="WB212" s="120"/>
      <c r="WC212" s="120"/>
      <c r="WD212" s="120"/>
      <c r="WE212" s="120"/>
      <c r="WF212" s="120"/>
      <c r="WG212" s="120"/>
      <c r="WH212" s="120"/>
      <c r="WI212" s="120"/>
      <c r="WJ212" s="120"/>
      <c r="WK212" s="120"/>
      <c r="WL212" s="120"/>
      <c r="WM212" s="120"/>
      <c r="WN212" s="120"/>
      <c r="WO212" s="120"/>
      <c r="WP212" s="120"/>
      <c r="WQ212" s="120"/>
      <c r="WR212" s="120"/>
      <c r="WS212" s="120"/>
      <c r="WT212" s="120"/>
      <c r="WU212" s="120"/>
      <c r="WV212" s="120"/>
      <c r="WW212" s="120"/>
      <c r="WX212" s="120"/>
      <c r="WY212" s="120"/>
      <c r="WZ212" s="120"/>
      <c r="XA212" s="120"/>
      <c r="XB212" s="120"/>
      <c r="XC212" s="120"/>
      <c r="XD212" s="120"/>
      <c r="XE212" s="120"/>
      <c r="XF212" s="120"/>
      <c r="XG212" s="120"/>
      <c r="XH212" s="120"/>
      <c r="XI212" s="120"/>
      <c r="XJ212" s="120"/>
      <c r="XK212" s="120"/>
      <c r="XL212" s="120"/>
      <c r="XM212" s="120"/>
      <c r="XN212" s="120"/>
      <c r="XO212" s="120"/>
      <c r="XP212" s="120"/>
      <c r="XQ212" s="120"/>
      <c r="XR212" s="120"/>
      <c r="XS212" s="120"/>
      <c r="XT212" s="120"/>
      <c r="XU212" s="120"/>
      <c r="XV212" s="120"/>
      <c r="XW212" s="120"/>
      <c r="XX212" s="120"/>
      <c r="XY212" s="120"/>
      <c r="XZ212" s="120"/>
      <c r="YA212" s="120"/>
      <c r="YB212" s="120"/>
      <c r="YC212" s="120"/>
      <c r="YD212" s="120"/>
      <c r="YE212" s="120"/>
      <c r="YF212" s="120"/>
      <c r="YG212" s="120"/>
      <c r="YH212" s="120"/>
      <c r="YI212" s="120"/>
      <c r="YJ212" s="120"/>
      <c r="YK212" s="120"/>
      <c r="YL212" s="120"/>
      <c r="YM212" s="120"/>
      <c r="YN212" s="120"/>
      <c r="YO212" s="120"/>
      <c r="YP212" s="120"/>
      <c r="YQ212" s="120"/>
      <c r="YR212" s="120"/>
      <c r="YS212" s="120"/>
      <c r="YT212" s="120"/>
      <c r="YU212" s="120"/>
      <c r="YV212" s="120"/>
      <c r="YW212" s="120"/>
      <c r="YX212" s="120"/>
      <c r="YY212" s="120"/>
      <c r="YZ212" s="120"/>
      <c r="ZA212" s="120"/>
      <c r="ZB212" s="120"/>
      <c r="ZC212" s="120"/>
      <c r="ZD212" s="120"/>
      <c r="ZE212" s="120"/>
      <c r="ZF212" s="120"/>
      <c r="ZG212" s="120"/>
      <c r="ZH212" s="120"/>
      <c r="ZI212" s="120"/>
      <c r="ZJ212" s="120"/>
      <c r="ZK212" s="120"/>
      <c r="ZL212" s="120"/>
      <c r="ZM212" s="120"/>
      <c r="ZN212" s="120"/>
      <c r="ZO212" s="120"/>
      <c r="ZP212" s="120"/>
      <c r="ZQ212" s="120"/>
      <c r="ZR212" s="120"/>
      <c r="ZS212" s="120"/>
      <c r="ZT212" s="120"/>
      <c r="ZU212" s="120"/>
      <c r="ZV212" s="120"/>
      <c r="ZW212" s="120"/>
      <c r="ZX212" s="120"/>
      <c r="ZY212" s="120"/>
      <c r="ZZ212" s="120"/>
      <c r="AAA212" s="120"/>
      <c r="AAB212" s="120"/>
      <c r="AAC212" s="120"/>
      <c r="AAD212" s="120"/>
      <c r="AAE212" s="120"/>
      <c r="AAF212" s="120"/>
      <c r="AAG212" s="120"/>
      <c r="AAH212" s="120"/>
      <c r="AAI212" s="120"/>
      <c r="AAJ212" s="120"/>
      <c r="AAK212" s="120"/>
      <c r="AAL212" s="120"/>
      <c r="AAM212" s="120"/>
      <c r="AAN212" s="120"/>
      <c r="AAO212" s="120"/>
      <c r="AAP212" s="120"/>
      <c r="AAQ212" s="120"/>
      <c r="AAR212" s="120"/>
      <c r="AAS212" s="120"/>
      <c r="AAT212" s="120"/>
      <c r="AAU212" s="120"/>
      <c r="AAV212" s="120"/>
      <c r="AAW212" s="120"/>
      <c r="AAX212" s="120"/>
      <c r="AAY212" s="120"/>
      <c r="AAZ212" s="120"/>
      <c r="ABA212" s="120"/>
      <c r="ABB212" s="120"/>
      <c r="ABC212" s="120"/>
      <c r="ABD212" s="120"/>
      <c r="ABE212" s="120"/>
      <c r="ABF212" s="120"/>
      <c r="ABG212" s="120"/>
      <c r="ABH212" s="120"/>
      <c r="ABI212" s="120"/>
      <c r="ABJ212" s="120"/>
      <c r="ABK212" s="120"/>
      <c r="ABL212" s="120"/>
      <c r="ABM212" s="120"/>
      <c r="ABN212" s="120"/>
      <c r="ABO212" s="120"/>
      <c r="ABP212" s="120"/>
      <c r="ABQ212" s="120"/>
      <c r="ABR212" s="120"/>
      <c r="ABS212" s="120"/>
      <c r="ABT212" s="120"/>
      <c r="ABU212" s="120"/>
      <c r="ABV212" s="120"/>
      <c r="ABW212" s="120"/>
      <c r="ABX212" s="120"/>
      <c r="ABY212" s="120"/>
      <c r="ABZ212" s="120"/>
      <c r="ACA212" s="120"/>
      <c r="ACB212" s="120"/>
      <c r="ACC212" s="120"/>
      <c r="ACD212" s="120"/>
      <c r="ACE212" s="120"/>
      <c r="ACF212" s="120"/>
      <c r="ACG212" s="120"/>
      <c r="ACH212" s="120"/>
      <c r="ACI212" s="120"/>
      <c r="ACJ212" s="120"/>
      <c r="ACK212" s="120"/>
      <c r="ACL212" s="120"/>
      <c r="ACM212" s="120"/>
      <c r="ACN212" s="120"/>
      <c r="ACO212" s="120"/>
      <c r="ACP212" s="120"/>
      <c r="ACQ212" s="120"/>
      <c r="ACR212" s="120"/>
      <c r="ACS212" s="120"/>
      <c r="ACT212" s="120"/>
      <c r="ACU212" s="120"/>
      <c r="ACV212" s="120"/>
      <c r="ACW212" s="120"/>
      <c r="ACX212" s="120"/>
      <c r="ACY212" s="120"/>
      <c r="ACZ212" s="120"/>
      <c r="ADA212" s="120"/>
      <c r="ADB212" s="120"/>
      <c r="ADC212" s="120"/>
      <c r="ADD212" s="120"/>
      <c r="ADE212" s="120"/>
      <c r="ADF212" s="120"/>
      <c r="ADG212" s="120"/>
      <c r="ADH212" s="120"/>
      <c r="ADI212" s="120"/>
      <c r="ADJ212" s="120"/>
      <c r="ADK212" s="120"/>
      <c r="ADL212" s="120"/>
      <c r="ADM212" s="120"/>
      <c r="ADN212" s="120"/>
      <c r="ADO212" s="120"/>
      <c r="ADP212" s="120"/>
      <c r="ADQ212" s="120"/>
      <c r="ADR212" s="120"/>
      <c r="ADS212" s="120"/>
      <c r="ADT212" s="120"/>
      <c r="ADU212" s="120"/>
      <c r="ADV212" s="120"/>
      <c r="ADW212" s="120"/>
      <c r="ADX212" s="120"/>
      <c r="ADY212" s="120"/>
      <c r="ADZ212" s="120"/>
      <c r="AEA212" s="120"/>
      <c r="AEB212" s="120"/>
      <c r="AEC212" s="120"/>
      <c r="AED212" s="120"/>
      <c r="AEE212" s="120"/>
      <c r="AEF212" s="120"/>
      <c r="AEG212" s="120"/>
      <c r="AEH212" s="120"/>
      <c r="AEI212" s="120"/>
      <c r="AEJ212" s="120"/>
      <c r="AEK212" s="120"/>
      <c r="AEL212" s="120"/>
      <c r="AEM212" s="120"/>
      <c r="AEN212" s="120"/>
      <c r="AEO212" s="120"/>
      <c r="AEP212" s="120"/>
      <c r="AEQ212" s="120"/>
      <c r="AER212" s="120"/>
      <c r="AES212" s="120"/>
      <c r="AET212" s="120"/>
      <c r="AEU212" s="120"/>
      <c r="AEV212" s="120"/>
      <c r="AEW212" s="120"/>
      <c r="AEX212" s="120"/>
      <c r="AEY212" s="120"/>
      <c r="AEZ212" s="120"/>
      <c r="AFA212" s="120"/>
      <c r="AFB212" s="120"/>
      <c r="AFC212" s="120"/>
      <c r="AFD212" s="120"/>
      <c r="AFE212" s="120"/>
      <c r="AFF212" s="120"/>
      <c r="AFG212" s="120"/>
      <c r="AFH212" s="120"/>
      <c r="AFI212" s="120"/>
      <c r="AFJ212" s="120"/>
      <c r="AFK212" s="120"/>
      <c r="AFL212" s="120"/>
      <c r="AFM212" s="120"/>
      <c r="AFN212" s="120"/>
      <c r="AFO212" s="120"/>
      <c r="AFP212" s="120"/>
      <c r="AFQ212" s="120"/>
      <c r="AFR212" s="120"/>
      <c r="AFS212" s="120"/>
      <c r="AFT212" s="120"/>
      <c r="AFU212" s="120"/>
      <c r="AFV212" s="120"/>
      <c r="AFW212" s="120"/>
      <c r="AFX212" s="120"/>
      <c r="AFY212" s="120"/>
      <c r="AFZ212" s="120"/>
      <c r="AGA212" s="120"/>
      <c r="AGB212" s="120"/>
      <c r="AGC212" s="120"/>
      <c r="AGD212" s="120"/>
      <c r="AGE212" s="120"/>
      <c r="AGF212" s="120"/>
      <c r="AGG212" s="120"/>
      <c r="AGH212" s="120"/>
      <c r="AGI212" s="120"/>
      <c r="AGJ212" s="120"/>
      <c r="AGK212" s="120"/>
      <c r="AGL212" s="120"/>
      <c r="AGM212" s="120"/>
      <c r="AGN212" s="120"/>
      <c r="AGO212" s="120"/>
      <c r="AGP212" s="120"/>
      <c r="AGQ212" s="120"/>
      <c r="AGR212" s="120"/>
      <c r="AGS212" s="120"/>
      <c r="AGT212" s="120"/>
      <c r="AGU212" s="120"/>
      <c r="AGV212" s="120"/>
      <c r="AGW212" s="120"/>
      <c r="AGX212" s="120"/>
      <c r="AGY212" s="120"/>
      <c r="AGZ212" s="120"/>
      <c r="AHA212" s="120"/>
      <c r="AHB212" s="120"/>
      <c r="AHC212" s="120"/>
      <c r="AHD212" s="120"/>
      <c r="AHE212" s="120"/>
      <c r="AHF212" s="120"/>
      <c r="AHG212" s="120"/>
      <c r="AHH212" s="120"/>
      <c r="AHI212" s="120"/>
      <c r="AHJ212" s="120"/>
      <c r="AHK212" s="120"/>
      <c r="AHL212" s="120"/>
      <c r="AHM212" s="120"/>
      <c r="AHN212" s="120"/>
      <c r="AHO212" s="120"/>
      <c r="AHP212" s="120"/>
      <c r="AHQ212" s="120"/>
      <c r="AHR212" s="120"/>
      <c r="AHS212" s="120"/>
      <c r="AHT212" s="120"/>
      <c r="AHU212" s="120"/>
      <c r="AHV212" s="120"/>
      <c r="AHW212" s="120"/>
      <c r="AHX212" s="120"/>
      <c r="AHY212" s="120"/>
      <c r="AHZ212" s="120"/>
      <c r="AIA212" s="120"/>
      <c r="AIB212" s="120"/>
      <c r="AIC212" s="120"/>
      <c r="AID212" s="120"/>
      <c r="AIE212" s="120"/>
      <c r="AIF212" s="120"/>
      <c r="AIG212" s="120"/>
      <c r="AIH212" s="120"/>
      <c r="AII212" s="120"/>
      <c r="AIJ212" s="120"/>
      <c r="AIK212" s="120"/>
      <c r="AIL212" s="120"/>
      <c r="AIM212" s="120"/>
      <c r="AIN212" s="120"/>
      <c r="AIO212" s="120"/>
      <c r="AIP212" s="120"/>
      <c r="AIQ212" s="120"/>
      <c r="AIR212" s="120"/>
      <c r="AIS212" s="120"/>
      <c r="AIT212" s="120"/>
      <c r="AIU212" s="120"/>
      <c r="AIV212" s="120"/>
      <c r="AIW212" s="120"/>
      <c r="AIX212" s="120"/>
      <c r="AIY212" s="120"/>
      <c r="AIZ212" s="120"/>
    </row>
    <row r="213">
      <c r="A213" s="112" t="s">
        <v>54</v>
      </c>
      <c r="B213" s="112" t="s">
        <v>66</v>
      </c>
      <c r="C213" s="112"/>
      <c r="D213" s="113">
        <f t="shared" si="1"/>
        <v>206.8041667</v>
      </c>
      <c r="E213" s="112">
        <v>14.4986666666667</v>
      </c>
      <c r="F213" s="113"/>
      <c r="G213" s="113"/>
      <c r="H213" s="113"/>
      <c r="I213" s="113"/>
      <c r="J213" s="113"/>
      <c r="K213" s="113"/>
      <c r="L213" s="112">
        <v>0.416983333333333</v>
      </c>
      <c r="M213" s="112">
        <v>2.66893333333333</v>
      </c>
      <c r="N213" s="113"/>
      <c r="O213" s="113"/>
      <c r="P213" s="112">
        <v>16.5610333333333</v>
      </c>
      <c r="Q213" s="113"/>
      <c r="R213" s="113"/>
      <c r="S213" s="113"/>
      <c r="T213" s="113"/>
      <c r="U213" s="113"/>
      <c r="V213" s="112">
        <v>0.633783333333333</v>
      </c>
      <c r="W213" s="112">
        <v>72.41075</v>
      </c>
      <c r="X213" s="113"/>
      <c r="Y213" s="113"/>
      <c r="Z213" s="113"/>
      <c r="AA213" s="113"/>
      <c r="AB213" s="113"/>
      <c r="AC213" s="112">
        <v>1.00566666666667</v>
      </c>
      <c r="AD213" s="112">
        <v>27.27205</v>
      </c>
      <c r="AE213" s="113"/>
      <c r="AF213" s="113"/>
      <c r="AG213" s="113"/>
      <c r="AH213" s="113"/>
      <c r="AI213" s="113"/>
      <c r="AJ213" s="112">
        <v>1.02558333333333</v>
      </c>
      <c r="AK213" s="112">
        <v>9.6118</v>
      </c>
      <c r="AL213" s="113"/>
      <c r="AM213" s="113"/>
      <c r="AN213" s="113"/>
      <c r="AO213" s="112">
        <v>4.99935</v>
      </c>
      <c r="AP213" s="112">
        <v>7.52646666666667</v>
      </c>
      <c r="AQ213" s="113"/>
      <c r="AR213" s="113"/>
      <c r="AS213" s="112">
        <v>0.610616666666667</v>
      </c>
      <c r="AT213" s="112">
        <v>45.7645</v>
      </c>
      <c r="AU213" s="113"/>
      <c r="AV213" s="112">
        <v>1.79798333333333</v>
      </c>
      <c r="AW213" s="113"/>
      <c r="AX213" s="113"/>
      <c r="AY213" s="113"/>
      <c r="AZ213" s="113"/>
      <c r="BA213" s="113"/>
      <c r="BB213" s="113"/>
      <c r="BC213" s="113"/>
      <c r="BD213" s="113"/>
      <c r="BE213" s="113"/>
      <c r="BF213" s="113"/>
      <c r="BG213" s="113"/>
      <c r="BH213" s="113"/>
      <c r="BI213" s="113"/>
      <c r="BJ213" s="113"/>
      <c r="BK213" s="113"/>
      <c r="BL213" s="113"/>
      <c r="BM213" s="113"/>
      <c r="BN213" s="113"/>
      <c r="BO213" s="113"/>
      <c r="BP213" s="113"/>
      <c r="BQ213" s="113"/>
      <c r="BR213" s="113"/>
      <c r="BS213" s="113"/>
      <c r="BT213" s="113"/>
      <c r="BU213" s="113"/>
      <c r="BV213" s="113"/>
      <c r="BW213" s="113"/>
      <c r="BX213" s="113"/>
      <c r="BY213" s="113"/>
      <c r="BZ213" s="113"/>
      <c r="CA213" s="113"/>
      <c r="CB213" s="113"/>
      <c r="CC213" s="113"/>
      <c r="CD213" s="113"/>
      <c r="CE213" s="113"/>
      <c r="CF213" s="113"/>
      <c r="CG213" s="113"/>
      <c r="CH213" s="113"/>
      <c r="CI213" s="113"/>
      <c r="CJ213" s="113"/>
      <c r="CK213" s="113"/>
      <c r="CL213" s="113"/>
      <c r="CM213" s="113"/>
      <c r="CN213" s="113"/>
      <c r="CO213" s="113"/>
      <c r="CP213" s="113"/>
      <c r="CQ213" s="113"/>
      <c r="CR213" s="113"/>
      <c r="CS213" s="113"/>
      <c r="CT213" s="113"/>
      <c r="CU213" s="113"/>
      <c r="CV213" s="113"/>
      <c r="CW213" s="113"/>
      <c r="CX213" s="113"/>
      <c r="CY213" s="113"/>
      <c r="CZ213" s="113"/>
      <c r="DA213" s="113"/>
      <c r="DB213" s="113"/>
      <c r="DC213" s="113"/>
      <c r="DD213" s="113"/>
      <c r="DE213" s="113"/>
      <c r="DF213" s="113"/>
      <c r="DG213" s="113"/>
      <c r="DH213" s="113"/>
      <c r="DI213" s="113"/>
      <c r="DJ213" s="113"/>
      <c r="DK213" s="113"/>
      <c r="DL213" s="113"/>
      <c r="DM213" s="113"/>
      <c r="DN213" s="113"/>
      <c r="DO213" s="113"/>
      <c r="DP213" s="113"/>
      <c r="DQ213" s="113"/>
      <c r="DR213" s="113"/>
      <c r="DS213" s="113"/>
      <c r="DT213" s="113"/>
      <c r="DU213" s="113"/>
      <c r="DV213" s="113"/>
      <c r="DW213" s="113"/>
      <c r="DX213" s="113"/>
      <c r="DY213" s="113"/>
      <c r="DZ213" s="113"/>
      <c r="EA213" s="113"/>
      <c r="EB213" s="113"/>
      <c r="EC213" s="113"/>
      <c r="ED213" s="113"/>
      <c r="EE213" s="113"/>
      <c r="EF213" s="113"/>
      <c r="EG213" s="113"/>
      <c r="EH213" s="113"/>
      <c r="EI213" s="113"/>
      <c r="EJ213" s="113"/>
      <c r="EK213" s="113"/>
      <c r="EL213" s="113"/>
      <c r="EM213" s="113"/>
      <c r="EN213" s="113"/>
      <c r="EO213" s="113"/>
      <c r="EP213" s="113"/>
      <c r="EQ213" s="113"/>
      <c r="ER213" s="113"/>
      <c r="ES213" s="113"/>
      <c r="ET213" s="113"/>
      <c r="EU213" s="113"/>
      <c r="EV213" s="113"/>
      <c r="EW213" s="113"/>
      <c r="EX213" s="113"/>
      <c r="EY213" s="113"/>
      <c r="EZ213" s="113"/>
      <c r="FA213" s="113"/>
      <c r="FB213" s="113"/>
      <c r="FC213" s="113"/>
      <c r="FD213" s="113"/>
      <c r="FE213" s="113"/>
      <c r="FF213" s="113"/>
      <c r="FG213" s="113"/>
      <c r="FH213" s="113"/>
      <c r="FI213" s="113"/>
      <c r="FJ213" s="113"/>
      <c r="FK213" s="113"/>
      <c r="FL213" s="113"/>
      <c r="FM213" s="113"/>
      <c r="FN213" s="113"/>
      <c r="FO213" s="113"/>
      <c r="FP213" s="113"/>
      <c r="FQ213" s="113"/>
      <c r="FR213" s="113"/>
      <c r="FS213" s="113"/>
      <c r="FT213" s="113"/>
      <c r="FU213" s="113"/>
      <c r="FV213" s="113"/>
      <c r="FW213" s="113"/>
      <c r="FX213" s="113"/>
      <c r="FY213" s="113"/>
      <c r="FZ213" s="113"/>
      <c r="GA213" s="113"/>
      <c r="GB213" s="113"/>
      <c r="GC213" s="113"/>
      <c r="GD213" s="113"/>
      <c r="GE213" s="113"/>
      <c r="GF213" s="113"/>
      <c r="GG213" s="113"/>
      <c r="GH213" s="113"/>
      <c r="GI213" s="113"/>
      <c r="GJ213" s="113"/>
      <c r="GK213" s="113"/>
      <c r="GL213" s="113"/>
      <c r="GM213" s="113"/>
      <c r="GN213" s="113"/>
      <c r="GO213" s="113"/>
      <c r="GP213" s="113"/>
      <c r="GQ213" s="113"/>
      <c r="GR213" s="113"/>
      <c r="GS213" s="113"/>
      <c r="GT213" s="113"/>
      <c r="GU213" s="113"/>
      <c r="GV213" s="113"/>
      <c r="GW213" s="113"/>
      <c r="GX213" s="113"/>
      <c r="GY213" s="113"/>
      <c r="GZ213" s="113"/>
      <c r="HA213" s="113"/>
      <c r="HB213" s="113"/>
      <c r="HC213" s="113"/>
      <c r="HD213" s="113"/>
      <c r="HE213" s="113"/>
      <c r="HF213" s="113"/>
      <c r="HG213" s="113"/>
      <c r="HH213" s="113"/>
      <c r="HI213" s="113"/>
      <c r="HJ213" s="113"/>
      <c r="HK213" s="113"/>
      <c r="HL213" s="113"/>
      <c r="HM213" s="113"/>
      <c r="HN213" s="113"/>
      <c r="HO213" s="113"/>
      <c r="HP213" s="113"/>
      <c r="HQ213" s="113"/>
      <c r="HR213" s="113"/>
      <c r="HS213" s="113"/>
      <c r="HT213" s="113"/>
      <c r="HU213" s="113"/>
      <c r="HV213" s="113"/>
      <c r="HW213" s="113"/>
      <c r="HX213" s="113"/>
      <c r="HY213" s="113"/>
      <c r="HZ213" s="113"/>
      <c r="IA213" s="113"/>
      <c r="IB213" s="113"/>
      <c r="IC213" s="113"/>
      <c r="ID213" s="113"/>
      <c r="IE213" s="113"/>
      <c r="IF213" s="113"/>
      <c r="IG213" s="113"/>
      <c r="IH213" s="113"/>
      <c r="II213" s="113"/>
      <c r="IJ213" s="113"/>
      <c r="IK213" s="113"/>
      <c r="IL213" s="113"/>
      <c r="IM213" s="113"/>
      <c r="IN213" s="113"/>
      <c r="IO213" s="113"/>
      <c r="IP213" s="113"/>
      <c r="IQ213" s="113"/>
      <c r="IR213" s="113"/>
      <c r="IS213" s="113"/>
      <c r="IT213" s="113"/>
      <c r="IU213" s="113"/>
      <c r="IV213" s="113"/>
      <c r="IW213" s="113"/>
      <c r="IX213" s="113"/>
      <c r="IY213" s="113"/>
      <c r="IZ213" s="113"/>
      <c r="JA213" s="113"/>
      <c r="JB213" s="113"/>
      <c r="JC213" s="113"/>
      <c r="JD213" s="113"/>
      <c r="JE213" s="113"/>
      <c r="JF213" s="113"/>
      <c r="JG213" s="113"/>
      <c r="JH213" s="113"/>
      <c r="JI213" s="113"/>
      <c r="JJ213" s="113"/>
      <c r="JK213" s="113"/>
      <c r="JL213" s="113"/>
      <c r="JM213" s="113"/>
      <c r="JN213" s="113"/>
      <c r="JO213" s="113"/>
      <c r="JP213" s="113"/>
      <c r="JQ213" s="113"/>
      <c r="JR213" s="113"/>
      <c r="JS213" s="113"/>
      <c r="JT213" s="113"/>
      <c r="JU213" s="113"/>
      <c r="JV213" s="113"/>
      <c r="JW213" s="113"/>
      <c r="JX213" s="113"/>
      <c r="JY213" s="113"/>
      <c r="JZ213" s="113"/>
      <c r="KA213" s="113"/>
      <c r="KB213" s="113"/>
      <c r="KC213" s="113"/>
      <c r="KD213" s="113"/>
      <c r="KE213" s="113"/>
      <c r="KF213" s="113"/>
      <c r="KG213" s="113"/>
      <c r="KH213" s="113"/>
      <c r="KI213" s="113"/>
      <c r="KJ213" s="113"/>
      <c r="KK213" s="113"/>
      <c r="KL213" s="113"/>
      <c r="KM213" s="113"/>
      <c r="KN213" s="113"/>
      <c r="KO213" s="113"/>
      <c r="KP213" s="113"/>
      <c r="KQ213" s="113"/>
      <c r="KR213" s="113"/>
      <c r="KS213" s="113"/>
      <c r="KT213" s="113"/>
      <c r="KU213" s="113"/>
      <c r="KV213" s="113"/>
      <c r="KW213" s="113"/>
      <c r="KX213" s="113"/>
      <c r="KY213" s="113"/>
      <c r="KZ213" s="113"/>
      <c r="LA213" s="113"/>
      <c r="LB213" s="113"/>
      <c r="LC213" s="113"/>
      <c r="LD213" s="113"/>
      <c r="LE213" s="113"/>
      <c r="LF213" s="113"/>
      <c r="LG213" s="113"/>
      <c r="LH213" s="113"/>
      <c r="LI213" s="113"/>
      <c r="LJ213" s="113"/>
      <c r="LK213" s="113"/>
      <c r="LL213" s="113"/>
      <c r="LM213" s="113"/>
      <c r="LN213" s="113"/>
      <c r="LO213" s="113"/>
      <c r="LP213" s="113"/>
      <c r="LQ213" s="113"/>
      <c r="LR213" s="113"/>
      <c r="LS213" s="113"/>
      <c r="LT213" s="113"/>
      <c r="LU213" s="113"/>
      <c r="LV213" s="113"/>
      <c r="LW213" s="113"/>
      <c r="LX213" s="113"/>
      <c r="LY213" s="113"/>
      <c r="LZ213" s="113"/>
      <c r="MA213" s="113"/>
      <c r="MB213" s="113"/>
      <c r="MC213" s="113"/>
      <c r="MD213" s="113"/>
      <c r="ME213" s="113"/>
      <c r="MF213" s="113"/>
      <c r="MG213" s="113"/>
      <c r="MH213" s="113"/>
      <c r="MI213" s="113"/>
      <c r="MJ213" s="113"/>
      <c r="MK213" s="113"/>
      <c r="ML213" s="113"/>
      <c r="MM213" s="113"/>
      <c r="MN213" s="113"/>
      <c r="MO213" s="113"/>
      <c r="MP213" s="113"/>
      <c r="MQ213" s="113"/>
      <c r="MR213" s="113"/>
      <c r="MS213" s="113"/>
      <c r="MT213" s="113"/>
      <c r="MU213" s="113"/>
      <c r="MV213" s="113"/>
      <c r="MW213" s="113"/>
      <c r="MX213" s="113"/>
      <c r="MY213" s="113"/>
      <c r="MZ213" s="113"/>
      <c r="NA213" s="113"/>
      <c r="NB213" s="113"/>
      <c r="NC213" s="113"/>
      <c r="ND213" s="113"/>
      <c r="NE213" s="113"/>
      <c r="NF213" s="113"/>
      <c r="NG213" s="113"/>
      <c r="NH213" s="113"/>
      <c r="NI213" s="113"/>
      <c r="NJ213" s="113"/>
      <c r="NK213" s="113"/>
      <c r="NL213" s="113"/>
      <c r="NM213" s="113"/>
      <c r="NN213" s="113"/>
      <c r="NO213" s="113"/>
      <c r="NP213" s="113"/>
      <c r="NQ213" s="113"/>
      <c r="NR213" s="113"/>
      <c r="NS213" s="113"/>
      <c r="NT213" s="113"/>
      <c r="NU213" s="113"/>
      <c r="NV213" s="113"/>
      <c r="NW213" s="113"/>
      <c r="NX213" s="113"/>
      <c r="NY213" s="113"/>
      <c r="NZ213" s="113"/>
      <c r="OA213" s="113"/>
      <c r="OB213" s="113"/>
      <c r="OC213" s="113"/>
      <c r="OD213" s="113"/>
      <c r="OE213" s="113"/>
      <c r="OF213" s="113"/>
      <c r="OG213" s="113"/>
      <c r="OH213" s="113"/>
      <c r="OI213" s="113"/>
      <c r="OJ213" s="113"/>
      <c r="OK213" s="113"/>
      <c r="OL213" s="113"/>
      <c r="OM213" s="113"/>
      <c r="ON213" s="113"/>
      <c r="OO213" s="113"/>
      <c r="OP213" s="113"/>
      <c r="OQ213" s="113"/>
      <c r="OR213" s="113"/>
      <c r="OS213" s="113"/>
      <c r="OT213" s="113"/>
      <c r="OU213" s="113"/>
      <c r="OV213" s="113"/>
      <c r="OW213" s="113"/>
      <c r="OX213" s="113"/>
      <c r="OY213" s="113"/>
      <c r="OZ213" s="113"/>
      <c r="PA213" s="113"/>
      <c r="PB213" s="113"/>
      <c r="PC213" s="113"/>
      <c r="PD213" s="113"/>
      <c r="PE213" s="113"/>
      <c r="PF213" s="113"/>
      <c r="PG213" s="113"/>
      <c r="PH213" s="113"/>
      <c r="PI213" s="113"/>
      <c r="PJ213" s="113"/>
      <c r="PK213" s="113"/>
      <c r="PL213" s="113"/>
      <c r="PM213" s="113"/>
      <c r="PN213" s="113"/>
      <c r="PO213" s="113"/>
      <c r="PP213" s="113"/>
      <c r="PQ213" s="113"/>
      <c r="PR213" s="113"/>
      <c r="PS213" s="113"/>
      <c r="PT213" s="113"/>
      <c r="PU213" s="113"/>
      <c r="PV213" s="113"/>
      <c r="PW213" s="113"/>
      <c r="PX213" s="113"/>
      <c r="PY213" s="113"/>
      <c r="PZ213" s="113"/>
      <c r="QA213" s="113"/>
      <c r="QB213" s="113"/>
      <c r="QC213" s="113"/>
      <c r="QD213" s="113"/>
      <c r="QE213" s="113"/>
      <c r="QF213" s="113"/>
      <c r="QG213" s="113"/>
      <c r="QH213" s="113"/>
      <c r="QI213" s="113"/>
      <c r="QJ213" s="113"/>
      <c r="QK213" s="113"/>
      <c r="QL213" s="113"/>
      <c r="QM213" s="113"/>
      <c r="QN213" s="113"/>
      <c r="QO213" s="113"/>
      <c r="QP213" s="113"/>
      <c r="QQ213" s="113"/>
      <c r="QR213" s="113"/>
      <c r="QS213" s="113"/>
      <c r="QT213" s="113"/>
      <c r="QU213" s="113"/>
      <c r="QV213" s="113"/>
      <c r="QW213" s="113"/>
      <c r="QX213" s="113"/>
      <c r="QY213" s="113"/>
      <c r="QZ213" s="113"/>
      <c r="RA213" s="113"/>
      <c r="RB213" s="113"/>
      <c r="RC213" s="113"/>
      <c r="RD213" s="113"/>
      <c r="RE213" s="113"/>
      <c r="RF213" s="113"/>
      <c r="RG213" s="113"/>
      <c r="RH213" s="113"/>
      <c r="RI213" s="113"/>
      <c r="RJ213" s="113"/>
      <c r="RK213" s="113"/>
      <c r="RL213" s="113"/>
      <c r="RM213" s="113"/>
      <c r="RN213" s="113"/>
      <c r="RO213" s="113"/>
      <c r="RP213" s="113"/>
      <c r="RQ213" s="113"/>
      <c r="RR213" s="113"/>
      <c r="RS213" s="113"/>
      <c r="RT213" s="113"/>
      <c r="RU213" s="113"/>
      <c r="RV213" s="113"/>
      <c r="RW213" s="113"/>
      <c r="RX213" s="113"/>
      <c r="RY213" s="113"/>
      <c r="RZ213" s="113"/>
      <c r="SA213" s="113"/>
      <c r="SB213" s="113"/>
      <c r="SC213" s="113"/>
      <c r="SD213" s="113"/>
      <c r="SE213" s="113"/>
      <c r="SF213" s="113"/>
      <c r="SG213" s="113"/>
      <c r="SH213" s="113"/>
      <c r="SI213" s="113"/>
      <c r="SJ213" s="113"/>
      <c r="SK213" s="113"/>
      <c r="SL213" s="113"/>
      <c r="SM213" s="113"/>
      <c r="SN213" s="113"/>
      <c r="SO213" s="113"/>
      <c r="SP213" s="113"/>
      <c r="SQ213" s="113"/>
      <c r="SR213" s="113"/>
      <c r="SS213" s="113"/>
      <c r="ST213" s="113"/>
      <c r="SU213" s="113"/>
      <c r="SV213" s="113"/>
      <c r="SW213" s="113"/>
      <c r="SX213" s="113"/>
      <c r="SY213" s="113"/>
      <c r="SZ213" s="113"/>
      <c r="TA213" s="113"/>
      <c r="TB213" s="113"/>
      <c r="TC213" s="113"/>
      <c r="TD213" s="113"/>
      <c r="TE213" s="113"/>
      <c r="TF213" s="113"/>
      <c r="TG213" s="113"/>
      <c r="TH213" s="113"/>
      <c r="TI213" s="113"/>
      <c r="TJ213" s="113"/>
      <c r="TK213" s="113"/>
      <c r="TL213" s="113"/>
      <c r="TM213" s="113"/>
      <c r="TN213" s="113"/>
      <c r="TO213" s="113"/>
      <c r="TP213" s="113"/>
      <c r="TQ213" s="113"/>
      <c r="TR213" s="113"/>
      <c r="TS213" s="113"/>
      <c r="TT213" s="113"/>
      <c r="TU213" s="113"/>
      <c r="TV213" s="113"/>
      <c r="TW213" s="113"/>
      <c r="TX213" s="113"/>
      <c r="TY213" s="113"/>
      <c r="TZ213" s="113"/>
      <c r="UA213" s="113"/>
      <c r="UB213" s="113"/>
      <c r="UC213" s="113"/>
      <c r="UD213" s="113"/>
      <c r="UE213" s="113"/>
      <c r="UF213" s="113"/>
      <c r="UG213" s="113"/>
      <c r="UH213" s="113"/>
      <c r="UI213" s="113"/>
      <c r="UJ213" s="113"/>
      <c r="UK213" s="113"/>
      <c r="UL213" s="113"/>
      <c r="UM213" s="113"/>
      <c r="UN213" s="113"/>
      <c r="UO213" s="113"/>
      <c r="UP213" s="113"/>
      <c r="UQ213" s="113"/>
      <c r="UR213" s="113"/>
      <c r="US213" s="113"/>
      <c r="UT213" s="113"/>
      <c r="UU213" s="113"/>
      <c r="UV213" s="113"/>
      <c r="UW213" s="113"/>
      <c r="UX213" s="113"/>
      <c r="UY213" s="113"/>
      <c r="UZ213" s="113"/>
      <c r="VA213" s="113"/>
      <c r="VB213" s="113"/>
      <c r="VC213" s="113"/>
      <c r="VD213" s="113"/>
      <c r="VE213" s="113"/>
      <c r="VF213" s="113"/>
      <c r="VG213" s="113"/>
      <c r="VH213" s="113"/>
      <c r="VI213" s="113"/>
      <c r="VJ213" s="113"/>
      <c r="VK213" s="113"/>
      <c r="VL213" s="113"/>
      <c r="VM213" s="113"/>
      <c r="VN213" s="113"/>
      <c r="VO213" s="113"/>
      <c r="VP213" s="113"/>
      <c r="VQ213" s="113"/>
      <c r="VR213" s="113"/>
      <c r="VS213" s="113"/>
      <c r="VT213" s="113"/>
      <c r="VU213" s="113"/>
      <c r="VV213" s="113"/>
      <c r="VW213" s="113"/>
      <c r="VX213" s="113"/>
      <c r="VY213" s="113"/>
      <c r="VZ213" s="113"/>
      <c r="WA213" s="113"/>
      <c r="WB213" s="113"/>
      <c r="WC213" s="113"/>
      <c r="WD213" s="113"/>
      <c r="WE213" s="113"/>
      <c r="WF213" s="113"/>
      <c r="WG213" s="113"/>
      <c r="WH213" s="113"/>
      <c r="WI213" s="113"/>
      <c r="WJ213" s="113"/>
      <c r="WK213" s="113"/>
      <c r="WL213" s="113"/>
      <c r="WM213" s="113"/>
      <c r="WN213" s="113"/>
      <c r="WO213" s="113"/>
      <c r="WP213" s="113"/>
      <c r="WQ213" s="113"/>
      <c r="WR213" s="113"/>
      <c r="WS213" s="113"/>
      <c r="WT213" s="113"/>
      <c r="WU213" s="113"/>
      <c r="WV213" s="113"/>
      <c r="WW213" s="113"/>
      <c r="WX213" s="113"/>
      <c r="WY213" s="113"/>
      <c r="WZ213" s="113"/>
      <c r="XA213" s="113"/>
      <c r="XB213" s="113"/>
      <c r="XC213" s="113"/>
      <c r="XD213" s="113"/>
      <c r="XE213" s="113"/>
      <c r="XF213" s="113"/>
      <c r="XG213" s="113"/>
      <c r="XH213" s="113"/>
      <c r="XI213" s="113"/>
      <c r="XJ213" s="113"/>
      <c r="XK213" s="113"/>
      <c r="XL213" s="113"/>
      <c r="XM213" s="113"/>
      <c r="XN213" s="113"/>
      <c r="XO213" s="113"/>
      <c r="XP213" s="113"/>
      <c r="XQ213" s="113"/>
      <c r="XR213" s="113"/>
      <c r="XS213" s="113"/>
      <c r="XT213" s="113"/>
      <c r="XU213" s="113"/>
      <c r="XV213" s="113"/>
      <c r="XW213" s="113"/>
      <c r="XX213" s="113"/>
      <c r="XY213" s="113"/>
      <c r="XZ213" s="113"/>
      <c r="YA213" s="113"/>
      <c r="YB213" s="113"/>
      <c r="YC213" s="113"/>
      <c r="YD213" s="113"/>
      <c r="YE213" s="113"/>
      <c r="YF213" s="113"/>
      <c r="YG213" s="113"/>
      <c r="YH213" s="113"/>
      <c r="YI213" s="113"/>
      <c r="YJ213" s="113"/>
      <c r="YK213" s="113"/>
      <c r="YL213" s="113"/>
      <c r="YM213" s="113"/>
      <c r="YN213" s="113"/>
      <c r="YO213" s="113"/>
      <c r="YP213" s="113"/>
      <c r="YQ213" s="113"/>
      <c r="YR213" s="113"/>
      <c r="YS213" s="113"/>
      <c r="YT213" s="113"/>
      <c r="YU213" s="113"/>
      <c r="YV213" s="113"/>
      <c r="YW213" s="113"/>
      <c r="YX213" s="113"/>
      <c r="YY213" s="113"/>
      <c r="YZ213" s="113"/>
      <c r="ZA213" s="113"/>
      <c r="ZB213" s="113"/>
      <c r="ZC213" s="113"/>
      <c r="ZD213" s="113"/>
      <c r="ZE213" s="113"/>
      <c r="ZF213" s="113"/>
      <c r="ZG213" s="113"/>
      <c r="ZH213" s="113"/>
      <c r="ZI213" s="113"/>
      <c r="ZJ213" s="113"/>
      <c r="ZK213" s="113"/>
      <c r="ZL213" s="113"/>
      <c r="ZM213" s="113"/>
      <c r="ZN213" s="113"/>
      <c r="ZO213" s="113"/>
      <c r="ZP213" s="113"/>
      <c r="ZQ213" s="113"/>
      <c r="ZR213" s="113"/>
      <c r="ZS213" s="113"/>
      <c r="ZT213" s="113"/>
      <c r="ZU213" s="113"/>
      <c r="ZV213" s="113"/>
      <c r="ZW213" s="113"/>
      <c r="ZX213" s="113"/>
      <c r="ZY213" s="113"/>
      <c r="ZZ213" s="113"/>
      <c r="AAA213" s="113"/>
      <c r="AAB213" s="113"/>
      <c r="AAC213" s="113"/>
      <c r="AAD213" s="113"/>
      <c r="AAE213" s="113"/>
      <c r="AAF213" s="113"/>
      <c r="AAG213" s="113"/>
      <c r="AAH213" s="113"/>
      <c r="AAI213" s="113"/>
      <c r="AAJ213" s="113"/>
      <c r="AAK213" s="113"/>
      <c r="AAL213" s="113"/>
      <c r="AAM213" s="113"/>
      <c r="AAN213" s="113"/>
      <c r="AAO213" s="113"/>
      <c r="AAP213" s="113"/>
      <c r="AAQ213" s="113"/>
      <c r="AAR213" s="113"/>
      <c r="AAS213" s="113"/>
      <c r="AAT213" s="113"/>
      <c r="AAU213" s="113"/>
      <c r="AAV213" s="113"/>
      <c r="AAW213" s="113"/>
      <c r="AAX213" s="113"/>
      <c r="AAY213" s="113"/>
      <c r="AAZ213" s="113"/>
      <c r="ABA213" s="113"/>
      <c r="ABB213" s="113"/>
      <c r="ABC213" s="113"/>
      <c r="ABD213" s="113"/>
      <c r="ABE213" s="113"/>
      <c r="ABF213" s="113"/>
      <c r="ABG213" s="113"/>
      <c r="ABH213" s="113"/>
      <c r="ABI213" s="113"/>
      <c r="ABJ213" s="113"/>
      <c r="ABK213" s="113"/>
      <c r="ABL213" s="113"/>
      <c r="ABM213" s="113"/>
      <c r="ABN213" s="113"/>
      <c r="ABO213" s="113"/>
      <c r="ABP213" s="113"/>
      <c r="ABQ213" s="113"/>
      <c r="ABR213" s="113"/>
      <c r="ABS213" s="113"/>
      <c r="ABT213" s="113"/>
      <c r="ABU213" s="113"/>
      <c r="ABV213" s="113"/>
      <c r="ABW213" s="113"/>
      <c r="ABX213" s="113"/>
      <c r="ABY213" s="113"/>
      <c r="ABZ213" s="113"/>
      <c r="ACA213" s="113"/>
      <c r="ACB213" s="113"/>
      <c r="ACC213" s="113"/>
      <c r="ACD213" s="113"/>
      <c r="ACE213" s="113"/>
      <c r="ACF213" s="113"/>
      <c r="ACG213" s="113"/>
      <c r="ACH213" s="113"/>
      <c r="ACI213" s="113"/>
      <c r="ACJ213" s="113"/>
      <c r="ACK213" s="113"/>
      <c r="ACL213" s="113"/>
      <c r="ACM213" s="113"/>
      <c r="ACN213" s="113"/>
      <c r="ACO213" s="113"/>
      <c r="ACP213" s="113"/>
      <c r="ACQ213" s="113"/>
      <c r="ACR213" s="113"/>
      <c r="ACS213" s="113"/>
      <c r="ACT213" s="113"/>
      <c r="ACU213" s="113"/>
      <c r="ACV213" s="113"/>
      <c r="ACW213" s="113"/>
      <c r="ACX213" s="113"/>
      <c r="ACY213" s="113"/>
      <c r="ACZ213" s="113"/>
      <c r="ADA213" s="113"/>
      <c r="ADB213" s="113"/>
      <c r="ADC213" s="113"/>
      <c r="ADD213" s="113"/>
      <c r="ADE213" s="113"/>
      <c r="ADF213" s="113"/>
      <c r="ADG213" s="113"/>
      <c r="ADH213" s="113"/>
      <c r="ADI213" s="113"/>
      <c r="ADJ213" s="113"/>
      <c r="ADK213" s="113"/>
      <c r="ADL213" s="113"/>
      <c r="ADM213" s="113"/>
      <c r="ADN213" s="113"/>
      <c r="ADO213" s="113"/>
      <c r="ADP213" s="113"/>
      <c r="ADQ213" s="113"/>
      <c r="ADR213" s="113"/>
      <c r="ADS213" s="113"/>
      <c r="ADT213" s="113"/>
      <c r="ADU213" s="113"/>
      <c r="ADV213" s="113"/>
      <c r="ADW213" s="113"/>
      <c r="ADX213" s="113"/>
      <c r="ADY213" s="113"/>
      <c r="ADZ213" s="113"/>
      <c r="AEA213" s="113"/>
      <c r="AEB213" s="113"/>
      <c r="AEC213" s="113"/>
      <c r="AED213" s="113"/>
      <c r="AEE213" s="113"/>
      <c r="AEF213" s="113"/>
      <c r="AEG213" s="113"/>
      <c r="AEH213" s="113"/>
      <c r="AEI213" s="113"/>
      <c r="AEJ213" s="113"/>
      <c r="AEK213" s="113"/>
      <c r="AEL213" s="113"/>
      <c r="AEM213" s="113"/>
      <c r="AEN213" s="113"/>
      <c r="AEO213" s="113"/>
      <c r="AEP213" s="113"/>
      <c r="AEQ213" s="113"/>
      <c r="AER213" s="113"/>
      <c r="AES213" s="113"/>
      <c r="AET213" s="113"/>
      <c r="AEU213" s="113"/>
      <c r="AEV213" s="113"/>
      <c r="AEW213" s="113"/>
      <c r="AEX213" s="113"/>
      <c r="AEY213" s="113"/>
      <c r="AEZ213" s="113"/>
      <c r="AFA213" s="113"/>
      <c r="AFB213" s="113"/>
      <c r="AFC213" s="113"/>
      <c r="AFD213" s="113"/>
      <c r="AFE213" s="113"/>
      <c r="AFF213" s="113"/>
      <c r="AFG213" s="113"/>
      <c r="AFH213" s="113"/>
      <c r="AFI213" s="113"/>
      <c r="AFJ213" s="113"/>
      <c r="AFK213" s="113"/>
      <c r="AFL213" s="113"/>
      <c r="AFM213" s="113"/>
      <c r="AFN213" s="113"/>
      <c r="AFO213" s="113"/>
      <c r="AFP213" s="113"/>
      <c r="AFQ213" s="113"/>
      <c r="AFR213" s="113"/>
      <c r="AFS213" s="113"/>
      <c r="AFT213" s="113"/>
      <c r="AFU213" s="113"/>
      <c r="AFV213" s="113"/>
      <c r="AFW213" s="113"/>
      <c r="AFX213" s="113"/>
      <c r="AFY213" s="113"/>
      <c r="AFZ213" s="113"/>
      <c r="AGA213" s="113"/>
      <c r="AGB213" s="113"/>
      <c r="AGC213" s="113"/>
      <c r="AGD213" s="113"/>
      <c r="AGE213" s="113"/>
      <c r="AGF213" s="113"/>
      <c r="AGG213" s="113"/>
      <c r="AGH213" s="113"/>
      <c r="AGI213" s="113"/>
      <c r="AGJ213" s="113"/>
      <c r="AGK213" s="113"/>
      <c r="AGL213" s="113"/>
      <c r="AGM213" s="113"/>
      <c r="AGN213" s="113"/>
      <c r="AGO213" s="113"/>
      <c r="AGP213" s="113"/>
      <c r="AGQ213" s="113"/>
      <c r="AGR213" s="113"/>
      <c r="AGS213" s="113"/>
      <c r="AGT213" s="113"/>
      <c r="AGU213" s="113"/>
      <c r="AGV213" s="113"/>
      <c r="AGW213" s="113"/>
      <c r="AGX213" s="113"/>
      <c r="AGY213" s="113"/>
      <c r="AGZ213" s="113"/>
      <c r="AHA213" s="113"/>
      <c r="AHB213" s="113"/>
      <c r="AHC213" s="113"/>
      <c r="AHD213" s="113"/>
      <c r="AHE213" s="113"/>
      <c r="AHF213" s="113"/>
      <c r="AHG213" s="113"/>
      <c r="AHH213" s="113"/>
      <c r="AHI213" s="113"/>
      <c r="AHJ213" s="113"/>
      <c r="AHK213" s="113"/>
      <c r="AHL213" s="113"/>
      <c r="AHM213" s="113"/>
      <c r="AHN213" s="113"/>
      <c r="AHO213" s="113"/>
      <c r="AHP213" s="113"/>
      <c r="AHQ213" s="113"/>
      <c r="AHR213" s="113"/>
      <c r="AHS213" s="113"/>
      <c r="AHT213" s="113"/>
      <c r="AHU213" s="113"/>
      <c r="AHV213" s="113"/>
      <c r="AHW213" s="113"/>
      <c r="AHX213" s="113"/>
      <c r="AHY213" s="113"/>
      <c r="AHZ213" s="113"/>
      <c r="AIA213" s="113"/>
      <c r="AIB213" s="113"/>
      <c r="AIC213" s="113"/>
      <c r="AID213" s="113"/>
      <c r="AIE213" s="113"/>
      <c r="AIF213" s="113"/>
      <c r="AIG213" s="113"/>
      <c r="AIH213" s="113"/>
      <c r="AII213" s="113"/>
      <c r="AIJ213" s="113"/>
      <c r="AIK213" s="113"/>
      <c r="AIL213" s="113"/>
      <c r="AIM213" s="113"/>
      <c r="AIN213" s="113"/>
      <c r="AIO213" s="113"/>
      <c r="AIP213" s="113"/>
      <c r="AIQ213" s="113"/>
      <c r="AIR213" s="113"/>
      <c r="AIS213" s="113"/>
      <c r="AIT213" s="113"/>
      <c r="AIU213" s="113"/>
      <c r="AIV213" s="113"/>
      <c r="AIW213" s="113"/>
      <c r="AIX213" s="113"/>
      <c r="AIY213" s="113"/>
      <c r="AIZ213" s="113"/>
    </row>
    <row r="214">
      <c r="A214" s="65" t="s">
        <v>54</v>
      </c>
      <c r="B214" s="65" t="s">
        <v>66</v>
      </c>
      <c r="C214" s="65"/>
      <c r="D214" s="64">
        <f t="shared" si="1"/>
        <v>166.5220667</v>
      </c>
      <c r="F214" s="65">
        <v>0.30805</v>
      </c>
      <c r="G214" s="65">
        <v>10.3591333333333</v>
      </c>
      <c r="H214" s="65">
        <v>2.05861666666667</v>
      </c>
      <c r="I214" s="65">
        <v>0.5424</v>
      </c>
      <c r="K214" s="65">
        <v>0.94295</v>
      </c>
      <c r="N214" s="65">
        <v>1.57863333333333</v>
      </c>
      <c r="Q214" s="65">
        <v>0.16775</v>
      </c>
      <c r="R214" s="65">
        <v>10.8824</v>
      </c>
      <c r="S214" s="65">
        <v>2.47723333333333</v>
      </c>
      <c r="T214" s="65">
        <v>0.291283333333333</v>
      </c>
      <c r="U214" s="65">
        <v>2.01818333333333</v>
      </c>
      <c r="X214" s="65">
        <v>0.377133333333333</v>
      </c>
      <c r="Y214" s="65">
        <v>10.4880166666667</v>
      </c>
      <c r="Z214" s="65">
        <v>26.56245</v>
      </c>
      <c r="AA214" s="65">
        <v>9.6001</v>
      </c>
      <c r="AB214" s="65">
        <v>14.0403833333333</v>
      </c>
      <c r="AE214" s="65">
        <v>0.25235</v>
      </c>
      <c r="AF214" s="65">
        <v>3.31811666666667</v>
      </c>
      <c r="AG214" s="65">
        <v>11.1726166666667</v>
      </c>
      <c r="AH214" s="65">
        <v>0.781533333333333</v>
      </c>
      <c r="AI214" s="65">
        <v>8.51116666666666</v>
      </c>
      <c r="AL214" s="65">
        <v>2.89096666666667</v>
      </c>
      <c r="AM214" s="65">
        <v>1.03168333333333</v>
      </c>
      <c r="AN214" s="65">
        <v>2.6853</v>
      </c>
      <c r="AQ214" s="65">
        <v>2.81931666666667</v>
      </c>
      <c r="AR214" s="65">
        <v>2.5028</v>
      </c>
      <c r="AU214" s="65">
        <v>37.8615</v>
      </c>
    </row>
    <row r="215">
      <c r="A215" s="65" t="s">
        <v>54</v>
      </c>
      <c r="B215" s="65" t="s">
        <v>66</v>
      </c>
      <c r="C215" s="65"/>
      <c r="D215" s="64">
        <f t="shared" si="1"/>
        <v>0</v>
      </c>
    </row>
    <row r="216">
      <c r="A216" s="65" t="s">
        <v>54</v>
      </c>
      <c r="B216" s="65" t="s">
        <v>66</v>
      </c>
      <c r="C216" s="65"/>
      <c r="D216" s="64">
        <f t="shared" si="1"/>
        <v>166.2520333</v>
      </c>
      <c r="F216" s="118">
        <f>HYPERLINK("https://docs.google.com/spreadsheets/d/1rWV9dz96ftzElSqYV34uonQ2MyyC0UhQ", 0.30805)</f>
        <v>0.30805</v>
      </c>
      <c r="G216" s="118">
        <f>HYPERLINK("https://docs.google.com/spreadsheets/d/154HPXGd2F5QR_7151s6__i5io1RnSDXo", 10.3591333333333)</f>
        <v>10.35913333</v>
      </c>
      <c r="H216" s="118">
        <f>HYPERLINK("https://docs.google.com/spreadsheets/d/11qZvdjYX5h6T3T9SD2ZiV6BSeIus_2d_", 2.05861666666667)</f>
        <v>2.058616667</v>
      </c>
      <c r="I216" s="118">
        <f>HYPERLINK("https://docs.google.com/spreadsheets/d/193Wm9sp4yzIzeAzjEerWJ3wfAQk0rkGJ", 0.5424)</f>
        <v>0.5424</v>
      </c>
      <c r="K216" s="118">
        <f>HYPERLINK("https://docs.google.com/spreadsheets/d/1_FHw2OeI-fkudwP_UBxw2H8gdw3c3nr-", 0.94295)</f>
        <v>0.94295</v>
      </c>
      <c r="N216" s="118">
        <f>HYPERLINK("https://docs.google.com/spreadsheets/d/1W0NxS_0aFdjBnIOWxVJ5VHjC3ClxqCAm", 1.57863333333333)</f>
        <v>1.578633333</v>
      </c>
      <c r="Q216" s="118">
        <f>HYPERLINK("https://docs.google.com/spreadsheets/d/1PRmveHzy84bwjtjNeVsMuoAC37ovfTxn", 0.16775)</f>
        <v>0.16775</v>
      </c>
      <c r="R216" s="118">
        <f>HYPERLINK("https://docs.google.com/spreadsheets/d/1p_R7WLm9k2i_ar5kE46u4FePwCZ60wPG", 10.8823666666667)</f>
        <v>10.88236667</v>
      </c>
      <c r="S216" s="118">
        <f>HYPERLINK("https://docs.google.com/spreadsheets/d/1l-W74T-OxS2Q0iPr-bwLpF-sXb3Xg9IE", 2.47723333333333)</f>
        <v>2.477233333</v>
      </c>
      <c r="T216" s="118">
        <f>HYPERLINK("https://docs.google.com/spreadsheets/d/1d56ZpGzIS76UynkPFkCWPG736EU8i_wL", 0.291283333333333)</f>
        <v>0.2912833333</v>
      </c>
      <c r="U216" s="118">
        <f>HYPERLINK("https://docs.google.com/spreadsheets/d/1vh_Skf99jFRx_xe3hntvGsNfvGdfrCZK", 2.01818333333333)</f>
        <v>2.018183333</v>
      </c>
      <c r="X216" s="118">
        <f>HYPERLINK("https://docs.google.com/spreadsheets/d/19nAhXTb1heq3-PLMyIhDGKiOfcBgEfM_", 0.377133333333333)</f>
        <v>0.3771333333</v>
      </c>
      <c r="Y216" s="118">
        <f>HYPERLINK("https://docs.google.com/spreadsheets/d/1WCqa3k1W40JqbGCgpHd_QQC80huqlfed", 10.4879833333333)</f>
        <v>10.48798333</v>
      </c>
      <c r="Z216" s="118">
        <f>HYPERLINK("https://docs.google.com/spreadsheets/d/18pk4gYg-tYoqRcfKpPum84UiHoPHz7fJ", 26.56245)</f>
        <v>26.56245</v>
      </c>
      <c r="AA216" s="118">
        <f>HYPERLINK("https://docs.google.com/spreadsheets/d/12q8DVIEUDUw9E3W3WmCJi-VHLmuQbfE2", 9.6001)</f>
        <v>9.6001</v>
      </c>
      <c r="AB216" s="118">
        <f>HYPERLINK("https://docs.google.com/spreadsheets/d/1fH7XnJ4Hv6ROYciZp-WnTd5k104xznni", 13.8894)</f>
        <v>13.8894</v>
      </c>
      <c r="AE216" s="118">
        <f>HYPERLINK("https://docs.google.com/spreadsheets/d/16X87WEB_FkUR98KSCGFmLwiDk8p3TybE", 0.252333333333333)</f>
        <v>0.2523333333</v>
      </c>
      <c r="AF216" s="118">
        <f>HYPERLINK("https://docs.google.com/spreadsheets/d/1BuddBgpCRv9ebf4v30btfqUg3UeoXfTM", 3.31811666666667)</f>
        <v>3.318116667</v>
      </c>
      <c r="AG216" s="118">
        <f>HYPERLINK("https://docs.google.com/spreadsheets/d/1VoNsUOixVFThp1i_weR_BQIEqmqZCWR2", 11.1725833333333)</f>
        <v>11.17258333</v>
      </c>
      <c r="AH216" s="118">
        <f>HYPERLINK("https://docs.google.com/spreadsheets/d/1ST5dm6BhT1TfjZ7TbPS4in0PzdArTC2P", 0.781533333333333)</f>
        <v>0.7815333333</v>
      </c>
      <c r="AI216" s="118">
        <f>HYPERLINK("https://docs.google.com/spreadsheets/d/18I2fiecfJcf0-ZYiPD1AAoz-Uk7AVOvG", 8.46686666666667)</f>
        <v>8.466866667</v>
      </c>
      <c r="AL216" s="118">
        <f>HYPERLINK("https://docs.google.com/spreadsheets/d/1ATXOPacpqhK8MgRJvFl9RLmcXKd0Lk-v", 2.89095)</f>
        <v>2.89095</v>
      </c>
      <c r="AM216" s="118">
        <f>HYPERLINK("https://docs.google.com/spreadsheets/d/1iRJRh4PYZjl2s0f0XSnK8kVTtw-7xho7", 1.03168333333333)</f>
        <v>1.031683333</v>
      </c>
      <c r="AN216" s="118">
        <f>HYPERLINK("https://docs.google.com/spreadsheets/d/1HjaSwA_NbvWp-yCcn2F_akKB8XST7Yoh", 2.6853)</f>
        <v>2.6853</v>
      </c>
      <c r="AQ216" s="118">
        <f>HYPERLINK("https://docs.google.com/spreadsheets/d/1sh7QCSj9AKZRQm-GV0dsbh8JHm5zm052", 2.81931666666667)</f>
        <v>2.819316667</v>
      </c>
      <c r="AR216" s="118">
        <f>HYPERLINK("https://docs.google.com/spreadsheets/d/1vnQBZcSgaaSoqLEcccub9YFSSHOoxGxY", 2.5028)</f>
        <v>2.5028</v>
      </c>
      <c r="AU216" s="118">
        <f>HYPERLINK("https://docs.google.com/spreadsheets/d/1fvZIHlXDdXIkokRnReoY4coptJ3Fa1rh", 37.7868833333333)</f>
        <v>37.78688333</v>
      </c>
    </row>
    <row r="217">
      <c r="A217" s="65" t="s">
        <v>54</v>
      </c>
      <c r="B217" s="65" t="s">
        <v>66</v>
      </c>
      <c r="C217" s="65"/>
      <c r="D217" s="64">
        <f t="shared" si="1"/>
        <v>111.6208833</v>
      </c>
      <c r="F217" s="65">
        <v>0.0</v>
      </c>
      <c r="G217" s="65">
        <v>7.95946666666667</v>
      </c>
      <c r="H217" s="65">
        <v>0.781983333333333</v>
      </c>
      <c r="I217" s="65">
        <v>0.0</v>
      </c>
      <c r="K217" s="65">
        <v>0.94295</v>
      </c>
      <c r="N217" s="65">
        <v>0.987616666666666</v>
      </c>
      <c r="Q217" s="65">
        <v>0.0</v>
      </c>
      <c r="R217" s="65">
        <v>8.46466666666667</v>
      </c>
      <c r="S217" s="65">
        <v>0.0833333333333333</v>
      </c>
      <c r="T217" s="65">
        <v>0.194583333333333</v>
      </c>
      <c r="U217" s="65">
        <v>1.23185</v>
      </c>
      <c r="X217" s="65">
        <v>0.0</v>
      </c>
      <c r="Y217" s="65">
        <v>8.12568333333333</v>
      </c>
      <c r="Z217" s="65">
        <v>13.3625</v>
      </c>
      <c r="AA217" s="65">
        <v>7.56146666666667</v>
      </c>
      <c r="AB217" s="65">
        <v>7.38188333333333</v>
      </c>
      <c r="AE217" s="65">
        <v>0.0</v>
      </c>
      <c r="AF217" s="65">
        <v>2.52138333333333</v>
      </c>
      <c r="AG217" s="65">
        <v>4.51595</v>
      </c>
      <c r="AH217" s="65">
        <v>0.0996666666666667</v>
      </c>
      <c r="AI217" s="65">
        <v>4.47878333333333</v>
      </c>
      <c r="AL217" s="65">
        <v>1.9693</v>
      </c>
      <c r="AM217" s="65">
        <v>0.55515</v>
      </c>
      <c r="AN217" s="65">
        <v>2.27073333333333</v>
      </c>
      <c r="AQ217" s="65">
        <v>1.91931666666667</v>
      </c>
      <c r="AR217" s="65">
        <v>2.15456666666667</v>
      </c>
      <c r="AU217" s="65">
        <v>34.05805</v>
      </c>
    </row>
    <row r="218">
      <c r="A218" s="119" t="s">
        <v>54</v>
      </c>
      <c r="B218" s="119" t="s">
        <v>66</v>
      </c>
      <c r="C218" s="119"/>
      <c r="D218" s="120">
        <f t="shared" si="1"/>
        <v>0</v>
      </c>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c r="AA218" s="120"/>
      <c r="AB218" s="120"/>
      <c r="AC218" s="120"/>
      <c r="AD218" s="120"/>
      <c r="AE218" s="120"/>
      <c r="AF218" s="120"/>
      <c r="AG218" s="120"/>
      <c r="AH218" s="120"/>
      <c r="AI218" s="120"/>
      <c r="AJ218" s="120"/>
      <c r="AK218" s="120"/>
      <c r="AL218" s="120"/>
      <c r="AM218" s="120"/>
      <c r="AN218" s="120"/>
      <c r="AO218" s="120"/>
      <c r="AP218" s="120"/>
      <c r="AQ218" s="120"/>
      <c r="AR218" s="120"/>
      <c r="AS218" s="120"/>
      <c r="AT218" s="120"/>
      <c r="AU218" s="120"/>
      <c r="AV218" s="120"/>
      <c r="AW218" s="120"/>
      <c r="AX218" s="120"/>
      <c r="AY218" s="120"/>
      <c r="AZ218" s="120"/>
      <c r="BA218" s="120"/>
      <c r="BB218" s="120"/>
      <c r="BC218" s="120"/>
      <c r="BD218" s="120"/>
      <c r="BE218" s="120"/>
      <c r="BF218" s="120"/>
      <c r="BG218" s="120"/>
      <c r="BH218" s="120"/>
      <c r="BI218" s="120"/>
      <c r="BJ218" s="120"/>
      <c r="BK218" s="120"/>
      <c r="BL218" s="120"/>
      <c r="BM218" s="120"/>
      <c r="BN218" s="120"/>
      <c r="BO218" s="120"/>
      <c r="BP218" s="120"/>
      <c r="BQ218" s="120"/>
      <c r="BR218" s="120"/>
      <c r="BS218" s="120"/>
      <c r="BT218" s="120"/>
      <c r="BU218" s="120"/>
      <c r="BV218" s="120"/>
      <c r="BW218" s="120"/>
      <c r="BX218" s="120"/>
      <c r="BY218" s="120"/>
      <c r="BZ218" s="120"/>
      <c r="CA218" s="120"/>
      <c r="CB218" s="120"/>
      <c r="CC218" s="120"/>
      <c r="CD218" s="120"/>
      <c r="CE218" s="120"/>
      <c r="CF218" s="120"/>
      <c r="CG218" s="120"/>
      <c r="CH218" s="120"/>
      <c r="CI218" s="120"/>
      <c r="CJ218" s="120"/>
      <c r="CK218" s="120"/>
      <c r="CL218" s="120"/>
      <c r="CM218" s="120"/>
      <c r="CN218" s="120"/>
      <c r="CO218" s="120"/>
      <c r="CP218" s="120"/>
      <c r="CQ218" s="120"/>
      <c r="CR218" s="120"/>
      <c r="CS218" s="120"/>
      <c r="CT218" s="120"/>
      <c r="CU218" s="120"/>
      <c r="CV218" s="120"/>
      <c r="CW218" s="120"/>
      <c r="CX218" s="120"/>
      <c r="CY218" s="120"/>
      <c r="CZ218" s="120"/>
      <c r="DA218" s="120"/>
      <c r="DB218" s="120"/>
      <c r="DC218" s="120"/>
      <c r="DD218" s="120"/>
      <c r="DE218" s="120"/>
      <c r="DF218" s="120"/>
      <c r="DG218" s="120"/>
      <c r="DH218" s="120"/>
      <c r="DI218" s="120"/>
      <c r="DJ218" s="120"/>
      <c r="DK218" s="120"/>
      <c r="DL218" s="120"/>
      <c r="DM218" s="120"/>
      <c r="DN218" s="120"/>
      <c r="DO218" s="120"/>
      <c r="DP218" s="120"/>
      <c r="DQ218" s="120"/>
      <c r="DR218" s="120"/>
      <c r="DS218" s="120"/>
      <c r="DT218" s="120"/>
      <c r="DU218" s="120"/>
      <c r="DV218" s="120"/>
      <c r="DW218" s="120"/>
      <c r="DX218" s="120"/>
      <c r="DY218" s="120"/>
      <c r="DZ218" s="120"/>
      <c r="EA218" s="120"/>
      <c r="EB218" s="120"/>
      <c r="EC218" s="120"/>
      <c r="ED218" s="120"/>
      <c r="EE218" s="120"/>
      <c r="EF218" s="120"/>
      <c r="EG218" s="120"/>
      <c r="EH218" s="120"/>
      <c r="EI218" s="120"/>
      <c r="EJ218" s="120"/>
      <c r="EK218" s="120"/>
      <c r="EL218" s="120"/>
      <c r="EM218" s="120"/>
      <c r="EN218" s="120"/>
      <c r="EO218" s="120"/>
      <c r="EP218" s="120"/>
      <c r="EQ218" s="120"/>
      <c r="ER218" s="120"/>
      <c r="ES218" s="120"/>
      <c r="ET218" s="120"/>
      <c r="EU218" s="120"/>
      <c r="EV218" s="120"/>
      <c r="EW218" s="120"/>
      <c r="EX218" s="120"/>
      <c r="EY218" s="120"/>
      <c r="EZ218" s="120"/>
      <c r="FA218" s="120"/>
      <c r="FB218" s="120"/>
      <c r="FC218" s="120"/>
      <c r="FD218" s="120"/>
      <c r="FE218" s="120"/>
      <c r="FF218" s="120"/>
      <c r="FG218" s="120"/>
      <c r="FH218" s="120"/>
      <c r="FI218" s="120"/>
      <c r="FJ218" s="120"/>
      <c r="FK218" s="120"/>
      <c r="FL218" s="120"/>
      <c r="FM218" s="120"/>
      <c r="FN218" s="120"/>
      <c r="FO218" s="120"/>
      <c r="FP218" s="120"/>
      <c r="FQ218" s="120"/>
      <c r="FR218" s="120"/>
      <c r="FS218" s="120"/>
      <c r="FT218" s="120"/>
      <c r="FU218" s="120"/>
      <c r="FV218" s="120"/>
      <c r="FW218" s="120"/>
      <c r="FX218" s="120"/>
      <c r="FY218" s="120"/>
      <c r="FZ218" s="120"/>
      <c r="GA218" s="120"/>
      <c r="GB218" s="120"/>
      <c r="GC218" s="120"/>
      <c r="GD218" s="120"/>
      <c r="GE218" s="120"/>
      <c r="GF218" s="120"/>
      <c r="GG218" s="120"/>
      <c r="GH218" s="120"/>
      <c r="GI218" s="120"/>
      <c r="GJ218" s="120"/>
      <c r="GK218" s="120"/>
      <c r="GL218" s="120"/>
      <c r="GM218" s="120"/>
      <c r="GN218" s="120"/>
      <c r="GO218" s="120"/>
      <c r="GP218" s="120"/>
      <c r="GQ218" s="120"/>
      <c r="GR218" s="120"/>
      <c r="GS218" s="120"/>
      <c r="GT218" s="120"/>
      <c r="GU218" s="120"/>
      <c r="GV218" s="120"/>
      <c r="GW218" s="120"/>
      <c r="GX218" s="120"/>
      <c r="GY218" s="120"/>
      <c r="GZ218" s="120"/>
      <c r="HA218" s="120"/>
      <c r="HB218" s="120"/>
      <c r="HC218" s="120"/>
      <c r="HD218" s="120"/>
      <c r="HE218" s="120"/>
      <c r="HF218" s="120"/>
      <c r="HG218" s="120"/>
      <c r="HH218" s="120"/>
      <c r="HI218" s="120"/>
      <c r="HJ218" s="120"/>
      <c r="HK218" s="120"/>
      <c r="HL218" s="120"/>
      <c r="HM218" s="120"/>
      <c r="HN218" s="120"/>
      <c r="HO218" s="120"/>
      <c r="HP218" s="120"/>
      <c r="HQ218" s="120"/>
      <c r="HR218" s="120"/>
      <c r="HS218" s="120"/>
      <c r="HT218" s="120"/>
      <c r="HU218" s="120"/>
      <c r="HV218" s="120"/>
      <c r="HW218" s="120"/>
      <c r="HX218" s="120"/>
      <c r="HY218" s="120"/>
      <c r="HZ218" s="120"/>
      <c r="IA218" s="120"/>
      <c r="IB218" s="120"/>
      <c r="IC218" s="120"/>
      <c r="ID218" s="120"/>
      <c r="IE218" s="120"/>
      <c r="IF218" s="120"/>
      <c r="IG218" s="120"/>
      <c r="IH218" s="120"/>
      <c r="II218" s="120"/>
      <c r="IJ218" s="120"/>
      <c r="IK218" s="120"/>
      <c r="IL218" s="120"/>
      <c r="IM218" s="120"/>
      <c r="IN218" s="120"/>
      <c r="IO218" s="120"/>
      <c r="IP218" s="120"/>
      <c r="IQ218" s="120"/>
      <c r="IR218" s="120"/>
      <c r="IS218" s="120"/>
      <c r="IT218" s="120"/>
      <c r="IU218" s="120"/>
      <c r="IV218" s="120"/>
      <c r="IW218" s="120"/>
      <c r="IX218" s="120"/>
      <c r="IY218" s="120"/>
      <c r="IZ218" s="120"/>
      <c r="JA218" s="120"/>
      <c r="JB218" s="120"/>
      <c r="JC218" s="120"/>
      <c r="JD218" s="120"/>
      <c r="JE218" s="120"/>
      <c r="JF218" s="120"/>
      <c r="JG218" s="120"/>
      <c r="JH218" s="120"/>
      <c r="JI218" s="120"/>
      <c r="JJ218" s="120"/>
      <c r="JK218" s="120"/>
      <c r="JL218" s="120"/>
      <c r="JM218" s="120"/>
      <c r="JN218" s="120"/>
      <c r="JO218" s="120"/>
      <c r="JP218" s="120"/>
      <c r="JQ218" s="120"/>
      <c r="JR218" s="120"/>
      <c r="JS218" s="120"/>
      <c r="JT218" s="120"/>
      <c r="JU218" s="120"/>
      <c r="JV218" s="120"/>
      <c r="JW218" s="120"/>
      <c r="JX218" s="120"/>
      <c r="JY218" s="120"/>
      <c r="JZ218" s="120"/>
      <c r="KA218" s="120"/>
      <c r="KB218" s="120"/>
      <c r="KC218" s="120"/>
      <c r="KD218" s="120"/>
      <c r="KE218" s="120"/>
      <c r="KF218" s="120"/>
      <c r="KG218" s="120"/>
      <c r="KH218" s="120"/>
      <c r="KI218" s="120"/>
      <c r="KJ218" s="120"/>
      <c r="KK218" s="120"/>
      <c r="KL218" s="120"/>
      <c r="KM218" s="120"/>
      <c r="KN218" s="120"/>
      <c r="KO218" s="120"/>
      <c r="KP218" s="120"/>
      <c r="KQ218" s="120"/>
      <c r="KR218" s="120"/>
      <c r="KS218" s="120"/>
      <c r="KT218" s="120"/>
      <c r="KU218" s="120"/>
      <c r="KV218" s="120"/>
      <c r="KW218" s="120"/>
      <c r="KX218" s="120"/>
      <c r="KY218" s="120"/>
      <c r="KZ218" s="120"/>
      <c r="LA218" s="120"/>
      <c r="LB218" s="120"/>
      <c r="LC218" s="120"/>
      <c r="LD218" s="120"/>
      <c r="LE218" s="120"/>
      <c r="LF218" s="120"/>
      <c r="LG218" s="120"/>
      <c r="LH218" s="120"/>
      <c r="LI218" s="120"/>
      <c r="LJ218" s="120"/>
      <c r="LK218" s="120"/>
      <c r="LL218" s="120"/>
      <c r="LM218" s="120"/>
      <c r="LN218" s="120"/>
      <c r="LO218" s="120"/>
      <c r="LP218" s="120"/>
      <c r="LQ218" s="120"/>
      <c r="LR218" s="120"/>
      <c r="LS218" s="120"/>
      <c r="LT218" s="120"/>
      <c r="LU218" s="120"/>
      <c r="LV218" s="120"/>
      <c r="LW218" s="120"/>
      <c r="LX218" s="120"/>
      <c r="LY218" s="120"/>
      <c r="LZ218" s="120"/>
      <c r="MA218" s="120"/>
      <c r="MB218" s="120"/>
      <c r="MC218" s="120"/>
      <c r="MD218" s="120"/>
      <c r="ME218" s="120"/>
      <c r="MF218" s="120"/>
      <c r="MG218" s="120"/>
      <c r="MH218" s="120"/>
      <c r="MI218" s="120"/>
      <c r="MJ218" s="120"/>
      <c r="MK218" s="120"/>
      <c r="ML218" s="120"/>
      <c r="MM218" s="120"/>
      <c r="MN218" s="120"/>
      <c r="MO218" s="120"/>
      <c r="MP218" s="120"/>
      <c r="MQ218" s="120"/>
      <c r="MR218" s="120"/>
      <c r="MS218" s="120"/>
      <c r="MT218" s="120"/>
      <c r="MU218" s="120"/>
      <c r="MV218" s="120"/>
      <c r="MW218" s="120"/>
      <c r="MX218" s="120"/>
      <c r="MY218" s="120"/>
      <c r="MZ218" s="120"/>
      <c r="NA218" s="120"/>
      <c r="NB218" s="120"/>
      <c r="NC218" s="120"/>
      <c r="ND218" s="120"/>
      <c r="NE218" s="120"/>
      <c r="NF218" s="120"/>
      <c r="NG218" s="120"/>
      <c r="NH218" s="120"/>
      <c r="NI218" s="120"/>
      <c r="NJ218" s="120"/>
      <c r="NK218" s="120"/>
      <c r="NL218" s="120"/>
      <c r="NM218" s="120"/>
      <c r="NN218" s="120"/>
      <c r="NO218" s="120"/>
      <c r="NP218" s="120"/>
      <c r="NQ218" s="120"/>
      <c r="NR218" s="120"/>
      <c r="NS218" s="120"/>
      <c r="NT218" s="120"/>
      <c r="NU218" s="120"/>
      <c r="NV218" s="120"/>
      <c r="NW218" s="120"/>
      <c r="NX218" s="120"/>
      <c r="NY218" s="120"/>
      <c r="NZ218" s="120"/>
      <c r="OA218" s="120"/>
      <c r="OB218" s="120"/>
      <c r="OC218" s="120"/>
      <c r="OD218" s="120"/>
      <c r="OE218" s="120"/>
      <c r="OF218" s="120"/>
      <c r="OG218" s="120"/>
      <c r="OH218" s="120"/>
      <c r="OI218" s="120"/>
      <c r="OJ218" s="120"/>
      <c r="OK218" s="120"/>
      <c r="OL218" s="120"/>
      <c r="OM218" s="120"/>
      <c r="ON218" s="120"/>
      <c r="OO218" s="120"/>
      <c r="OP218" s="120"/>
      <c r="OQ218" s="120"/>
      <c r="OR218" s="120"/>
      <c r="OS218" s="120"/>
      <c r="OT218" s="120"/>
      <c r="OU218" s="120"/>
      <c r="OV218" s="120"/>
      <c r="OW218" s="120"/>
      <c r="OX218" s="120"/>
      <c r="OY218" s="120"/>
      <c r="OZ218" s="120"/>
      <c r="PA218" s="120"/>
      <c r="PB218" s="120"/>
      <c r="PC218" s="120"/>
      <c r="PD218" s="120"/>
      <c r="PE218" s="120"/>
      <c r="PF218" s="120"/>
      <c r="PG218" s="120"/>
      <c r="PH218" s="120"/>
      <c r="PI218" s="120"/>
      <c r="PJ218" s="120"/>
      <c r="PK218" s="120"/>
      <c r="PL218" s="120"/>
      <c r="PM218" s="120"/>
      <c r="PN218" s="120"/>
      <c r="PO218" s="120"/>
      <c r="PP218" s="120"/>
      <c r="PQ218" s="120"/>
      <c r="PR218" s="120"/>
      <c r="PS218" s="120"/>
      <c r="PT218" s="120"/>
      <c r="PU218" s="120"/>
      <c r="PV218" s="120"/>
      <c r="PW218" s="120"/>
      <c r="PX218" s="120"/>
      <c r="PY218" s="120"/>
      <c r="PZ218" s="120"/>
      <c r="QA218" s="120"/>
      <c r="QB218" s="120"/>
      <c r="QC218" s="120"/>
      <c r="QD218" s="120"/>
      <c r="QE218" s="120"/>
      <c r="QF218" s="120"/>
      <c r="QG218" s="120"/>
      <c r="QH218" s="120"/>
      <c r="QI218" s="120"/>
      <c r="QJ218" s="120"/>
      <c r="QK218" s="120"/>
      <c r="QL218" s="120"/>
      <c r="QM218" s="120"/>
      <c r="QN218" s="120"/>
      <c r="QO218" s="120"/>
      <c r="QP218" s="120"/>
      <c r="QQ218" s="120"/>
      <c r="QR218" s="120"/>
      <c r="QS218" s="120"/>
      <c r="QT218" s="120"/>
      <c r="QU218" s="120"/>
      <c r="QV218" s="120"/>
      <c r="QW218" s="120"/>
      <c r="QX218" s="120"/>
      <c r="QY218" s="120"/>
      <c r="QZ218" s="120"/>
      <c r="RA218" s="120"/>
      <c r="RB218" s="120"/>
      <c r="RC218" s="120"/>
      <c r="RD218" s="120"/>
      <c r="RE218" s="120"/>
      <c r="RF218" s="120"/>
      <c r="RG218" s="120"/>
      <c r="RH218" s="120"/>
      <c r="RI218" s="120"/>
      <c r="RJ218" s="120"/>
      <c r="RK218" s="120"/>
      <c r="RL218" s="120"/>
      <c r="RM218" s="120"/>
      <c r="RN218" s="120"/>
      <c r="RO218" s="120"/>
      <c r="RP218" s="120"/>
      <c r="RQ218" s="120"/>
      <c r="RR218" s="120"/>
      <c r="RS218" s="120"/>
      <c r="RT218" s="120"/>
      <c r="RU218" s="120"/>
      <c r="RV218" s="120"/>
      <c r="RW218" s="120"/>
      <c r="RX218" s="120"/>
      <c r="RY218" s="120"/>
      <c r="RZ218" s="120"/>
      <c r="SA218" s="120"/>
      <c r="SB218" s="120"/>
      <c r="SC218" s="120"/>
      <c r="SD218" s="120"/>
      <c r="SE218" s="120"/>
      <c r="SF218" s="120"/>
      <c r="SG218" s="120"/>
      <c r="SH218" s="120"/>
      <c r="SI218" s="120"/>
      <c r="SJ218" s="120"/>
      <c r="SK218" s="120"/>
      <c r="SL218" s="120"/>
      <c r="SM218" s="120"/>
      <c r="SN218" s="120"/>
      <c r="SO218" s="120"/>
      <c r="SP218" s="120"/>
      <c r="SQ218" s="120"/>
      <c r="SR218" s="120"/>
      <c r="SS218" s="120"/>
      <c r="ST218" s="120"/>
      <c r="SU218" s="120"/>
      <c r="SV218" s="120"/>
      <c r="SW218" s="120"/>
      <c r="SX218" s="120"/>
      <c r="SY218" s="120"/>
      <c r="SZ218" s="120"/>
      <c r="TA218" s="120"/>
      <c r="TB218" s="120"/>
      <c r="TC218" s="120"/>
      <c r="TD218" s="120"/>
      <c r="TE218" s="120"/>
      <c r="TF218" s="120"/>
      <c r="TG218" s="120"/>
      <c r="TH218" s="120"/>
      <c r="TI218" s="120"/>
      <c r="TJ218" s="120"/>
      <c r="TK218" s="120"/>
      <c r="TL218" s="120"/>
      <c r="TM218" s="120"/>
      <c r="TN218" s="120"/>
      <c r="TO218" s="120"/>
      <c r="TP218" s="120"/>
      <c r="TQ218" s="120"/>
      <c r="TR218" s="120"/>
      <c r="TS218" s="120"/>
      <c r="TT218" s="120"/>
      <c r="TU218" s="120"/>
      <c r="TV218" s="120"/>
      <c r="TW218" s="120"/>
      <c r="TX218" s="120"/>
      <c r="TY218" s="120"/>
      <c r="TZ218" s="120"/>
      <c r="UA218" s="120"/>
      <c r="UB218" s="120"/>
      <c r="UC218" s="120"/>
      <c r="UD218" s="120"/>
      <c r="UE218" s="120"/>
      <c r="UF218" s="120"/>
      <c r="UG218" s="120"/>
      <c r="UH218" s="120"/>
      <c r="UI218" s="120"/>
      <c r="UJ218" s="120"/>
      <c r="UK218" s="120"/>
      <c r="UL218" s="120"/>
      <c r="UM218" s="120"/>
      <c r="UN218" s="120"/>
      <c r="UO218" s="120"/>
      <c r="UP218" s="120"/>
      <c r="UQ218" s="120"/>
      <c r="UR218" s="120"/>
      <c r="US218" s="120"/>
      <c r="UT218" s="120"/>
      <c r="UU218" s="120"/>
      <c r="UV218" s="120"/>
      <c r="UW218" s="120"/>
      <c r="UX218" s="120"/>
      <c r="UY218" s="120"/>
      <c r="UZ218" s="120"/>
      <c r="VA218" s="120"/>
      <c r="VB218" s="120"/>
      <c r="VC218" s="120"/>
      <c r="VD218" s="120"/>
      <c r="VE218" s="120"/>
      <c r="VF218" s="120"/>
      <c r="VG218" s="120"/>
      <c r="VH218" s="120"/>
      <c r="VI218" s="120"/>
      <c r="VJ218" s="120"/>
      <c r="VK218" s="120"/>
      <c r="VL218" s="120"/>
      <c r="VM218" s="120"/>
      <c r="VN218" s="120"/>
      <c r="VO218" s="120"/>
      <c r="VP218" s="120"/>
      <c r="VQ218" s="120"/>
      <c r="VR218" s="120"/>
      <c r="VS218" s="120"/>
      <c r="VT218" s="120"/>
      <c r="VU218" s="120"/>
      <c r="VV218" s="120"/>
      <c r="VW218" s="120"/>
      <c r="VX218" s="120"/>
      <c r="VY218" s="120"/>
      <c r="VZ218" s="120"/>
      <c r="WA218" s="120"/>
      <c r="WB218" s="120"/>
      <c r="WC218" s="120"/>
      <c r="WD218" s="120"/>
      <c r="WE218" s="120"/>
      <c r="WF218" s="120"/>
      <c r="WG218" s="120"/>
      <c r="WH218" s="120"/>
      <c r="WI218" s="120"/>
      <c r="WJ218" s="120"/>
      <c r="WK218" s="120"/>
      <c r="WL218" s="120"/>
      <c r="WM218" s="120"/>
      <c r="WN218" s="120"/>
      <c r="WO218" s="120"/>
      <c r="WP218" s="120"/>
      <c r="WQ218" s="120"/>
      <c r="WR218" s="120"/>
      <c r="WS218" s="120"/>
      <c r="WT218" s="120"/>
      <c r="WU218" s="120"/>
      <c r="WV218" s="120"/>
      <c r="WW218" s="120"/>
      <c r="WX218" s="120"/>
      <c r="WY218" s="120"/>
      <c r="WZ218" s="120"/>
      <c r="XA218" s="120"/>
      <c r="XB218" s="120"/>
      <c r="XC218" s="120"/>
      <c r="XD218" s="120"/>
      <c r="XE218" s="120"/>
      <c r="XF218" s="120"/>
      <c r="XG218" s="120"/>
      <c r="XH218" s="120"/>
      <c r="XI218" s="120"/>
      <c r="XJ218" s="120"/>
      <c r="XK218" s="120"/>
      <c r="XL218" s="120"/>
      <c r="XM218" s="120"/>
      <c r="XN218" s="120"/>
      <c r="XO218" s="120"/>
      <c r="XP218" s="120"/>
      <c r="XQ218" s="120"/>
      <c r="XR218" s="120"/>
      <c r="XS218" s="120"/>
      <c r="XT218" s="120"/>
      <c r="XU218" s="120"/>
      <c r="XV218" s="120"/>
      <c r="XW218" s="120"/>
      <c r="XX218" s="120"/>
      <c r="XY218" s="120"/>
      <c r="XZ218" s="120"/>
      <c r="YA218" s="120"/>
      <c r="YB218" s="120"/>
      <c r="YC218" s="120"/>
      <c r="YD218" s="120"/>
      <c r="YE218" s="120"/>
      <c r="YF218" s="120"/>
      <c r="YG218" s="120"/>
      <c r="YH218" s="120"/>
      <c r="YI218" s="120"/>
      <c r="YJ218" s="120"/>
      <c r="YK218" s="120"/>
      <c r="YL218" s="120"/>
      <c r="YM218" s="120"/>
      <c r="YN218" s="120"/>
      <c r="YO218" s="120"/>
      <c r="YP218" s="120"/>
      <c r="YQ218" s="120"/>
      <c r="YR218" s="120"/>
      <c r="YS218" s="120"/>
      <c r="YT218" s="120"/>
      <c r="YU218" s="120"/>
      <c r="YV218" s="120"/>
      <c r="YW218" s="120"/>
      <c r="YX218" s="120"/>
      <c r="YY218" s="120"/>
      <c r="YZ218" s="120"/>
      <c r="ZA218" s="120"/>
      <c r="ZB218" s="120"/>
      <c r="ZC218" s="120"/>
      <c r="ZD218" s="120"/>
      <c r="ZE218" s="120"/>
      <c r="ZF218" s="120"/>
      <c r="ZG218" s="120"/>
      <c r="ZH218" s="120"/>
      <c r="ZI218" s="120"/>
      <c r="ZJ218" s="120"/>
      <c r="ZK218" s="120"/>
      <c r="ZL218" s="120"/>
      <c r="ZM218" s="120"/>
      <c r="ZN218" s="120"/>
      <c r="ZO218" s="120"/>
      <c r="ZP218" s="120"/>
      <c r="ZQ218" s="120"/>
      <c r="ZR218" s="120"/>
      <c r="ZS218" s="120"/>
      <c r="ZT218" s="120"/>
      <c r="ZU218" s="120"/>
      <c r="ZV218" s="120"/>
      <c r="ZW218" s="120"/>
      <c r="ZX218" s="120"/>
      <c r="ZY218" s="120"/>
      <c r="ZZ218" s="120"/>
      <c r="AAA218" s="120"/>
      <c r="AAB218" s="120"/>
      <c r="AAC218" s="120"/>
      <c r="AAD218" s="120"/>
      <c r="AAE218" s="120"/>
      <c r="AAF218" s="120"/>
      <c r="AAG218" s="120"/>
      <c r="AAH218" s="120"/>
      <c r="AAI218" s="120"/>
      <c r="AAJ218" s="120"/>
      <c r="AAK218" s="120"/>
      <c r="AAL218" s="120"/>
      <c r="AAM218" s="120"/>
      <c r="AAN218" s="120"/>
      <c r="AAO218" s="120"/>
      <c r="AAP218" s="120"/>
      <c r="AAQ218" s="120"/>
      <c r="AAR218" s="120"/>
      <c r="AAS218" s="120"/>
      <c r="AAT218" s="120"/>
      <c r="AAU218" s="120"/>
      <c r="AAV218" s="120"/>
      <c r="AAW218" s="120"/>
      <c r="AAX218" s="120"/>
      <c r="AAY218" s="120"/>
      <c r="AAZ218" s="120"/>
      <c r="ABA218" s="120"/>
      <c r="ABB218" s="120"/>
      <c r="ABC218" s="120"/>
      <c r="ABD218" s="120"/>
      <c r="ABE218" s="120"/>
      <c r="ABF218" s="120"/>
      <c r="ABG218" s="120"/>
      <c r="ABH218" s="120"/>
      <c r="ABI218" s="120"/>
      <c r="ABJ218" s="120"/>
      <c r="ABK218" s="120"/>
      <c r="ABL218" s="120"/>
      <c r="ABM218" s="120"/>
      <c r="ABN218" s="120"/>
      <c r="ABO218" s="120"/>
      <c r="ABP218" s="120"/>
      <c r="ABQ218" s="120"/>
      <c r="ABR218" s="120"/>
      <c r="ABS218" s="120"/>
      <c r="ABT218" s="120"/>
      <c r="ABU218" s="120"/>
      <c r="ABV218" s="120"/>
      <c r="ABW218" s="120"/>
      <c r="ABX218" s="120"/>
      <c r="ABY218" s="120"/>
      <c r="ABZ218" s="120"/>
      <c r="ACA218" s="120"/>
      <c r="ACB218" s="120"/>
      <c r="ACC218" s="120"/>
      <c r="ACD218" s="120"/>
      <c r="ACE218" s="120"/>
      <c r="ACF218" s="120"/>
      <c r="ACG218" s="120"/>
      <c r="ACH218" s="120"/>
      <c r="ACI218" s="120"/>
      <c r="ACJ218" s="120"/>
      <c r="ACK218" s="120"/>
      <c r="ACL218" s="120"/>
      <c r="ACM218" s="120"/>
      <c r="ACN218" s="120"/>
      <c r="ACO218" s="120"/>
      <c r="ACP218" s="120"/>
      <c r="ACQ218" s="120"/>
      <c r="ACR218" s="120"/>
      <c r="ACS218" s="120"/>
      <c r="ACT218" s="120"/>
      <c r="ACU218" s="120"/>
      <c r="ACV218" s="120"/>
      <c r="ACW218" s="120"/>
      <c r="ACX218" s="120"/>
      <c r="ACY218" s="120"/>
      <c r="ACZ218" s="120"/>
      <c r="ADA218" s="120"/>
      <c r="ADB218" s="120"/>
      <c r="ADC218" s="120"/>
      <c r="ADD218" s="120"/>
      <c r="ADE218" s="120"/>
      <c r="ADF218" s="120"/>
      <c r="ADG218" s="120"/>
      <c r="ADH218" s="120"/>
      <c r="ADI218" s="120"/>
      <c r="ADJ218" s="120"/>
      <c r="ADK218" s="120"/>
      <c r="ADL218" s="120"/>
      <c r="ADM218" s="120"/>
      <c r="ADN218" s="120"/>
      <c r="ADO218" s="120"/>
      <c r="ADP218" s="120"/>
      <c r="ADQ218" s="120"/>
      <c r="ADR218" s="120"/>
      <c r="ADS218" s="120"/>
      <c r="ADT218" s="120"/>
      <c r="ADU218" s="120"/>
      <c r="ADV218" s="120"/>
      <c r="ADW218" s="120"/>
      <c r="ADX218" s="120"/>
      <c r="ADY218" s="120"/>
      <c r="ADZ218" s="120"/>
      <c r="AEA218" s="120"/>
      <c r="AEB218" s="120"/>
      <c r="AEC218" s="120"/>
      <c r="AED218" s="120"/>
      <c r="AEE218" s="120"/>
      <c r="AEF218" s="120"/>
      <c r="AEG218" s="120"/>
      <c r="AEH218" s="120"/>
      <c r="AEI218" s="120"/>
      <c r="AEJ218" s="120"/>
      <c r="AEK218" s="120"/>
      <c r="AEL218" s="120"/>
      <c r="AEM218" s="120"/>
      <c r="AEN218" s="120"/>
      <c r="AEO218" s="120"/>
      <c r="AEP218" s="120"/>
      <c r="AEQ218" s="120"/>
      <c r="AER218" s="120"/>
      <c r="AES218" s="120"/>
      <c r="AET218" s="120"/>
      <c r="AEU218" s="120"/>
      <c r="AEV218" s="120"/>
      <c r="AEW218" s="120"/>
      <c r="AEX218" s="120"/>
      <c r="AEY218" s="120"/>
      <c r="AEZ218" s="120"/>
      <c r="AFA218" s="120"/>
      <c r="AFB218" s="120"/>
      <c r="AFC218" s="120"/>
      <c r="AFD218" s="120"/>
      <c r="AFE218" s="120"/>
      <c r="AFF218" s="120"/>
      <c r="AFG218" s="120"/>
      <c r="AFH218" s="120"/>
      <c r="AFI218" s="120"/>
      <c r="AFJ218" s="120"/>
      <c r="AFK218" s="120"/>
      <c r="AFL218" s="120"/>
      <c r="AFM218" s="120"/>
      <c r="AFN218" s="120"/>
      <c r="AFO218" s="120"/>
      <c r="AFP218" s="120"/>
      <c r="AFQ218" s="120"/>
      <c r="AFR218" s="120"/>
      <c r="AFS218" s="120"/>
      <c r="AFT218" s="120"/>
      <c r="AFU218" s="120"/>
      <c r="AFV218" s="120"/>
      <c r="AFW218" s="120"/>
      <c r="AFX218" s="120"/>
      <c r="AFY218" s="120"/>
      <c r="AFZ218" s="120"/>
      <c r="AGA218" s="120"/>
      <c r="AGB218" s="120"/>
      <c r="AGC218" s="120"/>
      <c r="AGD218" s="120"/>
      <c r="AGE218" s="120"/>
      <c r="AGF218" s="120"/>
      <c r="AGG218" s="120"/>
      <c r="AGH218" s="120"/>
      <c r="AGI218" s="120"/>
      <c r="AGJ218" s="120"/>
      <c r="AGK218" s="120"/>
      <c r="AGL218" s="120"/>
      <c r="AGM218" s="120"/>
      <c r="AGN218" s="120"/>
      <c r="AGO218" s="120"/>
      <c r="AGP218" s="120"/>
      <c r="AGQ218" s="120"/>
      <c r="AGR218" s="120"/>
      <c r="AGS218" s="120"/>
      <c r="AGT218" s="120"/>
      <c r="AGU218" s="120"/>
      <c r="AGV218" s="120"/>
      <c r="AGW218" s="120"/>
      <c r="AGX218" s="120"/>
      <c r="AGY218" s="120"/>
      <c r="AGZ218" s="120"/>
      <c r="AHA218" s="120"/>
      <c r="AHB218" s="120"/>
      <c r="AHC218" s="120"/>
      <c r="AHD218" s="120"/>
      <c r="AHE218" s="120"/>
      <c r="AHF218" s="120"/>
      <c r="AHG218" s="120"/>
      <c r="AHH218" s="120"/>
      <c r="AHI218" s="120"/>
      <c r="AHJ218" s="120"/>
      <c r="AHK218" s="120"/>
      <c r="AHL218" s="120"/>
      <c r="AHM218" s="120"/>
      <c r="AHN218" s="120"/>
      <c r="AHO218" s="120"/>
      <c r="AHP218" s="120"/>
      <c r="AHQ218" s="120"/>
      <c r="AHR218" s="120"/>
      <c r="AHS218" s="120"/>
      <c r="AHT218" s="120"/>
      <c r="AHU218" s="120"/>
      <c r="AHV218" s="120"/>
      <c r="AHW218" s="120"/>
      <c r="AHX218" s="120"/>
      <c r="AHY218" s="120"/>
      <c r="AHZ218" s="120"/>
      <c r="AIA218" s="120"/>
      <c r="AIB218" s="120"/>
      <c r="AIC218" s="120"/>
      <c r="AID218" s="120"/>
      <c r="AIE218" s="120"/>
      <c r="AIF218" s="120"/>
      <c r="AIG218" s="120"/>
      <c r="AIH218" s="120"/>
      <c r="AII218" s="120"/>
      <c r="AIJ218" s="120"/>
      <c r="AIK218" s="120"/>
      <c r="AIL218" s="120"/>
      <c r="AIM218" s="120"/>
      <c r="AIN218" s="120"/>
      <c r="AIO218" s="120"/>
      <c r="AIP218" s="120"/>
      <c r="AIQ218" s="120"/>
      <c r="AIR218" s="120"/>
      <c r="AIS218" s="120"/>
      <c r="AIT218" s="120"/>
      <c r="AIU218" s="120"/>
      <c r="AIV218" s="120"/>
      <c r="AIW218" s="120"/>
      <c r="AIX218" s="120"/>
      <c r="AIY218" s="120"/>
      <c r="AIZ218" s="120"/>
    </row>
    <row r="219">
      <c r="A219" s="112" t="s">
        <v>45</v>
      </c>
      <c r="B219" s="112" t="s">
        <v>46</v>
      </c>
      <c r="C219" s="112"/>
      <c r="D219" s="113">
        <f t="shared" si="1"/>
        <v>428.9556667</v>
      </c>
      <c r="E219" s="112">
        <v>40.01895</v>
      </c>
      <c r="F219" s="113"/>
      <c r="G219" s="113"/>
      <c r="H219" s="113"/>
      <c r="I219" s="113"/>
      <c r="J219" s="113"/>
      <c r="K219" s="113"/>
      <c r="L219" s="112">
        <v>0.754</v>
      </c>
      <c r="M219" s="112">
        <v>11.0905833333333</v>
      </c>
      <c r="N219" s="113"/>
      <c r="O219" s="112">
        <v>0.158633333333333</v>
      </c>
      <c r="P219" s="112">
        <v>8.35058333333333</v>
      </c>
      <c r="Q219" s="113"/>
      <c r="R219" s="113"/>
      <c r="S219" s="113"/>
      <c r="T219" s="113"/>
      <c r="U219" s="113"/>
      <c r="V219" s="113"/>
      <c r="W219" s="112">
        <v>2.79923333333333</v>
      </c>
      <c r="X219" s="113"/>
      <c r="Y219" s="113"/>
      <c r="Z219" s="113"/>
      <c r="AA219" s="113"/>
      <c r="AB219" s="113"/>
      <c r="AC219" s="113"/>
      <c r="AD219" s="112">
        <v>265.66155</v>
      </c>
      <c r="AE219" s="113"/>
      <c r="AF219" s="113"/>
      <c r="AG219" s="113"/>
      <c r="AH219" s="113"/>
      <c r="AI219" s="113"/>
      <c r="AJ219" s="112">
        <v>4.50936666666667</v>
      </c>
      <c r="AK219" s="112">
        <v>2.21925</v>
      </c>
      <c r="AL219" s="113"/>
      <c r="AM219" s="113"/>
      <c r="AN219" s="113"/>
      <c r="AO219" s="112">
        <v>2.4716</v>
      </c>
      <c r="AP219" s="112">
        <v>3.10668333333333</v>
      </c>
      <c r="AQ219" s="113"/>
      <c r="AR219" s="113"/>
      <c r="AS219" s="112">
        <v>0.231266666666667</v>
      </c>
      <c r="AT219" s="112">
        <v>76.9198</v>
      </c>
      <c r="AU219" s="113"/>
      <c r="AV219" s="112">
        <v>2.96301666666667</v>
      </c>
      <c r="AW219" s="112">
        <v>7.70115</v>
      </c>
      <c r="AX219" s="113"/>
      <c r="AY219" s="113"/>
      <c r="AZ219" s="113"/>
      <c r="BA219" s="113"/>
      <c r="BB219" s="113"/>
      <c r="BC219" s="113"/>
      <c r="BD219" s="113"/>
      <c r="BE219" s="113"/>
      <c r="BF219" s="113"/>
      <c r="BG219" s="113"/>
      <c r="BH219" s="113"/>
      <c r="BI219" s="113"/>
      <c r="BJ219" s="113"/>
      <c r="BK219" s="113"/>
      <c r="BL219" s="113"/>
      <c r="BM219" s="113"/>
      <c r="BN219" s="113"/>
      <c r="BO219" s="113"/>
      <c r="BP219" s="113"/>
      <c r="BQ219" s="113"/>
      <c r="BR219" s="113"/>
      <c r="BS219" s="113"/>
      <c r="BT219" s="113"/>
      <c r="BU219" s="113"/>
      <c r="BV219" s="113"/>
      <c r="BW219" s="113"/>
      <c r="BX219" s="113"/>
      <c r="BY219" s="113"/>
      <c r="BZ219" s="113"/>
      <c r="CA219" s="113"/>
      <c r="CB219" s="113"/>
      <c r="CC219" s="113"/>
      <c r="CD219" s="113"/>
      <c r="CE219" s="113"/>
      <c r="CF219" s="113"/>
      <c r="CG219" s="113"/>
      <c r="CH219" s="113"/>
      <c r="CI219" s="113"/>
      <c r="CJ219" s="113"/>
      <c r="CK219" s="113"/>
      <c r="CL219" s="113"/>
      <c r="CM219" s="113"/>
      <c r="CN219" s="113"/>
      <c r="CO219" s="113"/>
      <c r="CP219" s="113"/>
      <c r="CQ219" s="113"/>
      <c r="CR219" s="113"/>
      <c r="CS219" s="113"/>
      <c r="CT219" s="113"/>
      <c r="CU219" s="113"/>
      <c r="CV219" s="113"/>
      <c r="CW219" s="113"/>
      <c r="CX219" s="113"/>
      <c r="CY219" s="113"/>
      <c r="CZ219" s="113"/>
      <c r="DA219" s="113"/>
      <c r="DB219" s="113"/>
      <c r="DC219" s="113"/>
      <c r="DD219" s="113"/>
      <c r="DE219" s="113"/>
      <c r="DF219" s="113"/>
      <c r="DG219" s="113"/>
      <c r="DH219" s="113"/>
      <c r="DI219" s="113"/>
      <c r="DJ219" s="113"/>
      <c r="DK219" s="113"/>
      <c r="DL219" s="113"/>
      <c r="DM219" s="113"/>
      <c r="DN219" s="113"/>
      <c r="DO219" s="113"/>
      <c r="DP219" s="113"/>
      <c r="DQ219" s="113"/>
      <c r="DR219" s="113"/>
      <c r="DS219" s="113"/>
      <c r="DT219" s="113"/>
      <c r="DU219" s="113"/>
      <c r="DV219" s="113"/>
      <c r="DW219" s="113"/>
      <c r="DX219" s="113"/>
      <c r="DY219" s="113"/>
      <c r="DZ219" s="113"/>
      <c r="EA219" s="113"/>
      <c r="EB219" s="113"/>
      <c r="EC219" s="113"/>
      <c r="ED219" s="113"/>
      <c r="EE219" s="113"/>
      <c r="EF219" s="113"/>
      <c r="EG219" s="113"/>
      <c r="EH219" s="113"/>
      <c r="EI219" s="113"/>
      <c r="EJ219" s="113"/>
      <c r="EK219" s="113"/>
      <c r="EL219" s="113"/>
      <c r="EM219" s="113"/>
      <c r="EN219" s="113"/>
      <c r="EO219" s="113"/>
      <c r="EP219" s="113"/>
      <c r="EQ219" s="113"/>
      <c r="ER219" s="113"/>
      <c r="ES219" s="113"/>
      <c r="ET219" s="113"/>
      <c r="EU219" s="113"/>
      <c r="EV219" s="113"/>
      <c r="EW219" s="113"/>
      <c r="EX219" s="113"/>
      <c r="EY219" s="113"/>
      <c r="EZ219" s="113"/>
      <c r="FA219" s="113"/>
      <c r="FB219" s="113"/>
      <c r="FC219" s="113"/>
      <c r="FD219" s="113"/>
      <c r="FE219" s="113"/>
      <c r="FF219" s="113"/>
      <c r="FG219" s="113"/>
      <c r="FH219" s="113"/>
      <c r="FI219" s="113"/>
      <c r="FJ219" s="113"/>
      <c r="FK219" s="113"/>
      <c r="FL219" s="113"/>
      <c r="FM219" s="113"/>
      <c r="FN219" s="113"/>
      <c r="FO219" s="113"/>
      <c r="FP219" s="113"/>
      <c r="FQ219" s="113"/>
      <c r="FR219" s="113"/>
      <c r="FS219" s="113"/>
      <c r="FT219" s="113"/>
      <c r="FU219" s="113"/>
      <c r="FV219" s="113"/>
      <c r="FW219" s="113"/>
      <c r="FX219" s="113"/>
      <c r="FY219" s="113"/>
      <c r="FZ219" s="113"/>
      <c r="GA219" s="113"/>
      <c r="GB219" s="113"/>
      <c r="GC219" s="113"/>
      <c r="GD219" s="113"/>
      <c r="GE219" s="113"/>
      <c r="GF219" s="113"/>
      <c r="GG219" s="113"/>
      <c r="GH219" s="113"/>
      <c r="GI219" s="113"/>
      <c r="GJ219" s="113"/>
      <c r="GK219" s="113"/>
      <c r="GL219" s="113"/>
      <c r="GM219" s="113"/>
      <c r="GN219" s="113"/>
      <c r="GO219" s="113"/>
      <c r="GP219" s="113"/>
      <c r="GQ219" s="113"/>
      <c r="GR219" s="113"/>
      <c r="GS219" s="113"/>
      <c r="GT219" s="113"/>
      <c r="GU219" s="113"/>
      <c r="GV219" s="113"/>
      <c r="GW219" s="113"/>
      <c r="GX219" s="113"/>
      <c r="GY219" s="113"/>
      <c r="GZ219" s="113"/>
      <c r="HA219" s="113"/>
      <c r="HB219" s="113"/>
      <c r="HC219" s="113"/>
      <c r="HD219" s="113"/>
      <c r="HE219" s="113"/>
      <c r="HF219" s="113"/>
      <c r="HG219" s="113"/>
      <c r="HH219" s="113"/>
      <c r="HI219" s="113"/>
      <c r="HJ219" s="113"/>
      <c r="HK219" s="113"/>
      <c r="HL219" s="113"/>
      <c r="HM219" s="113"/>
      <c r="HN219" s="113"/>
      <c r="HO219" s="113"/>
      <c r="HP219" s="113"/>
      <c r="HQ219" s="113"/>
      <c r="HR219" s="113"/>
      <c r="HS219" s="113"/>
      <c r="HT219" s="113"/>
      <c r="HU219" s="113"/>
      <c r="HV219" s="113"/>
      <c r="HW219" s="113"/>
      <c r="HX219" s="113"/>
      <c r="HY219" s="113"/>
      <c r="HZ219" s="113"/>
      <c r="IA219" s="113"/>
      <c r="IB219" s="113"/>
      <c r="IC219" s="113"/>
      <c r="ID219" s="113"/>
      <c r="IE219" s="113"/>
      <c r="IF219" s="113"/>
      <c r="IG219" s="113"/>
      <c r="IH219" s="113"/>
      <c r="II219" s="113"/>
      <c r="IJ219" s="113"/>
      <c r="IK219" s="113"/>
      <c r="IL219" s="113"/>
      <c r="IM219" s="113"/>
      <c r="IN219" s="113"/>
      <c r="IO219" s="113"/>
      <c r="IP219" s="113"/>
      <c r="IQ219" s="113"/>
      <c r="IR219" s="113"/>
      <c r="IS219" s="113"/>
      <c r="IT219" s="113"/>
      <c r="IU219" s="113"/>
      <c r="IV219" s="113"/>
      <c r="IW219" s="113"/>
      <c r="IX219" s="113"/>
      <c r="IY219" s="113"/>
      <c r="IZ219" s="113"/>
      <c r="JA219" s="113"/>
      <c r="JB219" s="113"/>
      <c r="JC219" s="113"/>
      <c r="JD219" s="113"/>
      <c r="JE219" s="113"/>
      <c r="JF219" s="113"/>
      <c r="JG219" s="113"/>
      <c r="JH219" s="113"/>
      <c r="JI219" s="113"/>
      <c r="JJ219" s="113"/>
      <c r="JK219" s="113"/>
      <c r="JL219" s="113"/>
      <c r="JM219" s="113"/>
      <c r="JN219" s="113"/>
      <c r="JO219" s="113"/>
      <c r="JP219" s="113"/>
      <c r="JQ219" s="113"/>
      <c r="JR219" s="113"/>
      <c r="JS219" s="113"/>
      <c r="JT219" s="113"/>
      <c r="JU219" s="113"/>
      <c r="JV219" s="113"/>
      <c r="JW219" s="113"/>
      <c r="JX219" s="113"/>
      <c r="JY219" s="113"/>
      <c r="JZ219" s="113"/>
      <c r="KA219" s="113"/>
      <c r="KB219" s="113"/>
      <c r="KC219" s="113"/>
      <c r="KD219" s="113"/>
      <c r="KE219" s="113"/>
      <c r="KF219" s="113"/>
      <c r="KG219" s="113"/>
      <c r="KH219" s="113"/>
      <c r="KI219" s="113"/>
      <c r="KJ219" s="113"/>
      <c r="KK219" s="113"/>
      <c r="KL219" s="113"/>
      <c r="KM219" s="113"/>
      <c r="KN219" s="113"/>
      <c r="KO219" s="113"/>
      <c r="KP219" s="113"/>
      <c r="KQ219" s="113"/>
      <c r="KR219" s="113"/>
      <c r="KS219" s="113"/>
      <c r="KT219" s="113"/>
      <c r="KU219" s="113"/>
      <c r="KV219" s="113"/>
      <c r="KW219" s="113"/>
      <c r="KX219" s="113"/>
      <c r="KY219" s="113"/>
      <c r="KZ219" s="113"/>
      <c r="LA219" s="113"/>
      <c r="LB219" s="113"/>
      <c r="LC219" s="113"/>
      <c r="LD219" s="113"/>
      <c r="LE219" s="113"/>
      <c r="LF219" s="113"/>
      <c r="LG219" s="113"/>
      <c r="LH219" s="113"/>
      <c r="LI219" s="113"/>
      <c r="LJ219" s="113"/>
      <c r="LK219" s="113"/>
      <c r="LL219" s="113"/>
      <c r="LM219" s="113"/>
      <c r="LN219" s="113"/>
      <c r="LO219" s="113"/>
      <c r="LP219" s="113"/>
      <c r="LQ219" s="113"/>
      <c r="LR219" s="113"/>
      <c r="LS219" s="113"/>
      <c r="LT219" s="113"/>
      <c r="LU219" s="113"/>
      <c r="LV219" s="113"/>
      <c r="LW219" s="113"/>
      <c r="LX219" s="113"/>
      <c r="LY219" s="113"/>
      <c r="LZ219" s="113"/>
      <c r="MA219" s="113"/>
      <c r="MB219" s="113"/>
      <c r="MC219" s="113"/>
      <c r="MD219" s="113"/>
      <c r="ME219" s="113"/>
      <c r="MF219" s="113"/>
      <c r="MG219" s="113"/>
      <c r="MH219" s="113"/>
      <c r="MI219" s="113"/>
      <c r="MJ219" s="113"/>
      <c r="MK219" s="113"/>
      <c r="ML219" s="113"/>
      <c r="MM219" s="113"/>
      <c r="MN219" s="113"/>
      <c r="MO219" s="113"/>
      <c r="MP219" s="113"/>
      <c r="MQ219" s="113"/>
      <c r="MR219" s="113"/>
      <c r="MS219" s="113"/>
      <c r="MT219" s="113"/>
      <c r="MU219" s="113"/>
      <c r="MV219" s="113"/>
      <c r="MW219" s="113"/>
      <c r="MX219" s="113"/>
      <c r="MY219" s="113"/>
      <c r="MZ219" s="113"/>
      <c r="NA219" s="113"/>
      <c r="NB219" s="113"/>
      <c r="NC219" s="113"/>
      <c r="ND219" s="113"/>
      <c r="NE219" s="113"/>
      <c r="NF219" s="113"/>
      <c r="NG219" s="113"/>
      <c r="NH219" s="113"/>
      <c r="NI219" s="113"/>
      <c r="NJ219" s="113"/>
      <c r="NK219" s="113"/>
      <c r="NL219" s="113"/>
      <c r="NM219" s="113"/>
      <c r="NN219" s="113"/>
      <c r="NO219" s="113"/>
      <c r="NP219" s="113"/>
      <c r="NQ219" s="113"/>
      <c r="NR219" s="113"/>
      <c r="NS219" s="113"/>
      <c r="NT219" s="113"/>
      <c r="NU219" s="113"/>
      <c r="NV219" s="113"/>
      <c r="NW219" s="113"/>
      <c r="NX219" s="113"/>
      <c r="NY219" s="113"/>
      <c r="NZ219" s="113"/>
      <c r="OA219" s="113"/>
      <c r="OB219" s="113"/>
      <c r="OC219" s="113"/>
      <c r="OD219" s="113"/>
      <c r="OE219" s="113"/>
      <c r="OF219" s="113"/>
      <c r="OG219" s="113"/>
      <c r="OH219" s="113"/>
      <c r="OI219" s="113"/>
      <c r="OJ219" s="113"/>
      <c r="OK219" s="113"/>
      <c r="OL219" s="113"/>
      <c r="OM219" s="113"/>
      <c r="ON219" s="113"/>
      <c r="OO219" s="113"/>
      <c r="OP219" s="113"/>
      <c r="OQ219" s="113"/>
      <c r="OR219" s="113"/>
      <c r="OS219" s="113"/>
      <c r="OT219" s="113"/>
      <c r="OU219" s="113"/>
      <c r="OV219" s="113"/>
      <c r="OW219" s="113"/>
      <c r="OX219" s="113"/>
      <c r="OY219" s="113"/>
      <c r="OZ219" s="113"/>
      <c r="PA219" s="113"/>
      <c r="PB219" s="113"/>
      <c r="PC219" s="113"/>
      <c r="PD219" s="113"/>
      <c r="PE219" s="113"/>
      <c r="PF219" s="113"/>
      <c r="PG219" s="113"/>
      <c r="PH219" s="113"/>
      <c r="PI219" s="113"/>
      <c r="PJ219" s="113"/>
      <c r="PK219" s="113"/>
      <c r="PL219" s="113"/>
      <c r="PM219" s="113"/>
      <c r="PN219" s="113"/>
      <c r="PO219" s="113"/>
      <c r="PP219" s="113"/>
      <c r="PQ219" s="113"/>
      <c r="PR219" s="113"/>
      <c r="PS219" s="113"/>
      <c r="PT219" s="113"/>
      <c r="PU219" s="113"/>
      <c r="PV219" s="113"/>
      <c r="PW219" s="113"/>
      <c r="PX219" s="113"/>
      <c r="PY219" s="113"/>
      <c r="PZ219" s="113"/>
      <c r="QA219" s="113"/>
      <c r="QB219" s="113"/>
      <c r="QC219" s="113"/>
      <c r="QD219" s="113"/>
      <c r="QE219" s="113"/>
      <c r="QF219" s="113"/>
      <c r="QG219" s="113"/>
      <c r="QH219" s="113"/>
      <c r="QI219" s="113"/>
      <c r="QJ219" s="113"/>
      <c r="QK219" s="113"/>
      <c r="QL219" s="113"/>
      <c r="QM219" s="113"/>
      <c r="QN219" s="113"/>
      <c r="QO219" s="113"/>
      <c r="QP219" s="113"/>
      <c r="QQ219" s="113"/>
      <c r="QR219" s="113"/>
      <c r="QS219" s="113"/>
      <c r="QT219" s="113"/>
      <c r="QU219" s="113"/>
      <c r="QV219" s="113"/>
      <c r="QW219" s="113"/>
      <c r="QX219" s="113"/>
      <c r="QY219" s="113"/>
      <c r="QZ219" s="113"/>
      <c r="RA219" s="113"/>
      <c r="RB219" s="113"/>
      <c r="RC219" s="113"/>
      <c r="RD219" s="113"/>
      <c r="RE219" s="113"/>
      <c r="RF219" s="113"/>
      <c r="RG219" s="113"/>
      <c r="RH219" s="113"/>
      <c r="RI219" s="113"/>
      <c r="RJ219" s="113"/>
      <c r="RK219" s="113"/>
      <c r="RL219" s="113"/>
      <c r="RM219" s="113"/>
      <c r="RN219" s="113"/>
      <c r="RO219" s="113"/>
      <c r="RP219" s="113"/>
      <c r="RQ219" s="113"/>
      <c r="RR219" s="113"/>
      <c r="RS219" s="113"/>
      <c r="RT219" s="113"/>
      <c r="RU219" s="113"/>
      <c r="RV219" s="113"/>
      <c r="RW219" s="113"/>
      <c r="RX219" s="113"/>
      <c r="RY219" s="113"/>
      <c r="RZ219" s="113"/>
      <c r="SA219" s="113"/>
      <c r="SB219" s="113"/>
      <c r="SC219" s="113"/>
      <c r="SD219" s="113"/>
      <c r="SE219" s="113"/>
      <c r="SF219" s="113"/>
      <c r="SG219" s="113"/>
      <c r="SH219" s="113"/>
      <c r="SI219" s="113"/>
      <c r="SJ219" s="113"/>
      <c r="SK219" s="113"/>
      <c r="SL219" s="113"/>
      <c r="SM219" s="113"/>
      <c r="SN219" s="113"/>
      <c r="SO219" s="113"/>
      <c r="SP219" s="113"/>
      <c r="SQ219" s="113"/>
      <c r="SR219" s="113"/>
      <c r="SS219" s="113"/>
      <c r="ST219" s="113"/>
      <c r="SU219" s="113"/>
      <c r="SV219" s="113"/>
      <c r="SW219" s="113"/>
      <c r="SX219" s="113"/>
      <c r="SY219" s="113"/>
      <c r="SZ219" s="113"/>
      <c r="TA219" s="113"/>
      <c r="TB219" s="113"/>
      <c r="TC219" s="113"/>
      <c r="TD219" s="113"/>
      <c r="TE219" s="113"/>
      <c r="TF219" s="113"/>
      <c r="TG219" s="113"/>
      <c r="TH219" s="113"/>
      <c r="TI219" s="113"/>
      <c r="TJ219" s="113"/>
      <c r="TK219" s="113"/>
      <c r="TL219" s="113"/>
      <c r="TM219" s="113"/>
      <c r="TN219" s="113"/>
      <c r="TO219" s="113"/>
      <c r="TP219" s="113"/>
      <c r="TQ219" s="113"/>
      <c r="TR219" s="113"/>
      <c r="TS219" s="113"/>
      <c r="TT219" s="113"/>
      <c r="TU219" s="113"/>
      <c r="TV219" s="113"/>
      <c r="TW219" s="113"/>
      <c r="TX219" s="113"/>
      <c r="TY219" s="113"/>
      <c r="TZ219" s="113"/>
      <c r="UA219" s="113"/>
      <c r="UB219" s="113"/>
      <c r="UC219" s="113"/>
      <c r="UD219" s="113"/>
      <c r="UE219" s="113"/>
      <c r="UF219" s="113"/>
      <c r="UG219" s="113"/>
      <c r="UH219" s="113"/>
      <c r="UI219" s="113"/>
      <c r="UJ219" s="113"/>
      <c r="UK219" s="113"/>
      <c r="UL219" s="113"/>
      <c r="UM219" s="113"/>
      <c r="UN219" s="113"/>
      <c r="UO219" s="113"/>
      <c r="UP219" s="113"/>
      <c r="UQ219" s="113"/>
      <c r="UR219" s="113"/>
      <c r="US219" s="113"/>
      <c r="UT219" s="113"/>
      <c r="UU219" s="113"/>
      <c r="UV219" s="113"/>
      <c r="UW219" s="113"/>
      <c r="UX219" s="113"/>
      <c r="UY219" s="113"/>
      <c r="UZ219" s="113"/>
      <c r="VA219" s="113"/>
      <c r="VB219" s="113"/>
      <c r="VC219" s="113"/>
      <c r="VD219" s="113"/>
      <c r="VE219" s="113"/>
      <c r="VF219" s="113"/>
      <c r="VG219" s="113"/>
      <c r="VH219" s="113"/>
      <c r="VI219" s="113"/>
      <c r="VJ219" s="113"/>
      <c r="VK219" s="113"/>
      <c r="VL219" s="113"/>
      <c r="VM219" s="113"/>
      <c r="VN219" s="113"/>
      <c r="VO219" s="113"/>
      <c r="VP219" s="113"/>
      <c r="VQ219" s="113"/>
      <c r="VR219" s="113"/>
      <c r="VS219" s="113"/>
      <c r="VT219" s="113"/>
      <c r="VU219" s="113"/>
      <c r="VV219" s="113"/>
      <c r="VW219" s="113"/>
      <c r="VX219" s="113"/>
      <c r="VY219" s="113"/>
      <c r="VZ219" s="113"/>
      <c r="WA219" s="113"/>
      <c r="WB219" s="113"/>
      <c r="WC219" s="113"/>
      <c r="WD219" s="113"/>
      <c r="WE219" s="113"/>
      <c r="WF219" s="113"/>
      <c r="WG219" s="113"/>
      <c r="WH219" s="113"/>
      <c r="WI219" s="113"/>
      <c r="WJ219" s="113"/>
      <c r="WK219" s="113"/>
      <c r="WL219" s="113"/>
      <c r="WM219" s="113"/>
      <c r="WN219" s="113"/>
      <c r="WO219" s="113"/>
      <c r="WP219" s="113"/>
      <c r="WQ219" s="113"/>
      <c r="WR219" s="113"/>
      <c r="WS219" s="113"/>
      <c r="WT219" s="113"/>
      <c r="WU219" s="113"/>
      <c r="WV219" s="113"/>
      <c r="WW219" s="113"/>
      <c r="WX219" s="113"/>
      <c r="WY219" s="113"/>
      <c r="WZ219" s="113"/>
      <c r="XA219" s="113"/>
      <c r="XB219" s="113"/>
      <c r="XC219" s="113"/>
      <c r="XD219" s="113"/>
      <c r="XE219" s="113"/>
      <c r="XF219" s="113"/>
      <c r="XG219" s="113"/>
      <c r="XH219" s="113"/>
      <c r="XI219" s="113"/>
      <c r="XJ219" s="113"/>
      <c r="XK219" s="113"/>
      <c r="XL219" s="113"/>
      <c r="XM219" s="113"/>
      <c r="XN219" s="113"/>
      <c r="XO219" s="113"/>
      <c r="XP219" s="113"/>
      <c r="XQ219" s="113"/>
      <c r="XR219" s="113"/>
      <c r="XS219" s="113"/>
      <c r="XT219" s="113"/>
      <c r="XU219" s="113"/>
      <c r="XV219" s="113"/>
      <c r="XW219" s="113"/>
      <c r="XX219" s="113"/>
      <c r="XY219" s="113"/>
      <c r="XZ219" s="113"/>
      <c r="YA219" s="113"/>
      <c r="YB219" s="113"/>
      <c r="YC219" s="113"/>
      <c r="YD219" s="113"/>
      <c r="YE219" s="113"/>
      <c r="YF219" s="113"/>
      <c r="YG219" s="113"/>
      <c r="YH219" s="113"/>
      <c r="YI219" s="113"/>
      <c r="YJ219" s="113"/>
      <c r="YK219" s="113"/>
      <c r="YL219" s="113"/>
      <c r="YM219" s="113"/>
      <c r="YN219" s="113"/>
      <c r="YO219" s="113"/>
      <c r="YP219" s="113"/>
      <c r="YQ219" s="113"/>
      <c r="YR219" s="113"/>
      <c r="YS219" s="113"/>
      <c r="YT219" s="113"/>
      <c r="YU219" s="113"/>
      <c r="YV219" s="113"/>
      <c r="YW219" s="113"/>
      <c r="YX219" s="113"/>
      <c r="YY219" s="113"/>
      <c r="YZ219" s="113"/>
      <c r="ZA219" s="113"/>
      <c r="ZB219" s="113"/>
      <c r="ZC219" s="113"/>
      <c r="ZD219" s="113"/>
      <c r="ZE219" s="113"/>
      <c r="ZF219" s="113"/>
      <c r="ZG219" s="113"/>
      <c r="ZH219" s="113"/>
      <c r="ZI219" s="113"/>
      <c r="ZJ219" s="113"/>
      <c r="ZK219" s="113"/>
      <c r="ZL219" s="113"/>
      <c r="ZM219" s="113"/>
      <c r="ZN219" s="113"/>
      <c r="ZO219" s="113"/>
      <c r="ZP219" s="113"/>
      <c r="ZQ219" s="113"/>
      <c r="ZR219" s="113"/>
      <c r="ZS219" s="113"/>
      <c r="ZT219" s="113"/>
      <c r="ZU219" s="113"/>
      <c r="ZV219" s="113"/>
      <c r="ZW219" s="113"/>
      <c r="ZX219" s="113"/>
      <c r="ZY219" s="113"/>
      <c r="ZZ219" s="113"/>
      <c r="AAA219" s="113"/>
      <c r="AAB219" s="113"/>
      <c r="AAC219" s="113"/>
      <c r="AAD219" s="113"/>
      <c r="AAE219" s="113"/>
      <c r="AAF219" s="113"/>
      <c r="AAG219" s="113"/>
      <c r="AAH219" s="113"/>
      <c r="AAI219" s="113"/>
      <c r="AAJ219" s="113"/>
      <c r="AAK219" s="113"/>
      <c r="AAL219" s="113"/>
      <c r="AAM219" s="113"/>
      <c r="AAN219" s="113"/>
      <c r="AAO219" s="113"/>
      <c r="AAP219" s="113"/>
      <c r="AAQ219" s="113"/>
      <c r="AAR219" s="113"/>
      <c r="AAS219" s="113"/>
      <c r="AAT219" s="113"/>
      <c r="AAU219" s="113"/>
      <c r="AAV219" s="113"/>
      <c r="AAW219" s="113"/>
      <c r="AAX219" s="113"/>
      <c r="AAY219" s="113"/>
      <c r="AAZ219" s="113"/>
      <c r="ABA219" s="113"/>
      <c r="ABB219" s="113"/>
      <c r="ABC219" s="113"/>
      <c r="ABD219" s="113"/>
      <c r="ABE219" s="113"/>
      <c r="ABF219" s="113"/>
      <c r="ABG219" s="113"/>
      <c r="ABH219" s="113"/>
      <c r="ABI219" s="113"/>
      <c r="ABJ219" s="113"/>
      <c r="ABK219" s="113"/>
      <c r="ABL219" s="113"/>
      <c r="ABM219" s="113"/>
      <c r="ABN219" s="113"/>
      <c r="ABO219" s="113"/>
      <c r="ABP219" s="113"/>
      <c r="ABQ219" s="113"/>
      <c r="ABR219" s="113"/>
      <c r="ABS219" s="113"/>
      <c r="ABT219" s="113"/>
      <c r="ABU219" s="113"/>
      <c r="ABV219" s="113"/>
      <c r="ABW219" s="113"/>
      <c r="ABX219" s="113"/>
      <c r="ABY219" s="113"/>
      <c r="ABZ219" s="113"/>
      <c r="ACA219" s="113"/>
      <c r="ACB219" s="113"/>
      <c r="ACC219" s="113"/>
      <c r="ACD219" s="113"/>
      <c r="ACE219" s="113"/>
      <c r="ACF219" s="113"/>
      <c r="ACG219" s="113"/>
      <c r="ACH219" s="113"/>
      <c r="ACI219" s="113"/>
      <c r="ACJ219" s="113"/>
      <c r="ACK219" s="113"/>
      <c r="ACL219" s="113"/>
      <c r="ACM219" s="113"/>
      <c r="ACN219" s="113"/>
      <c r="ACO219" s="113"/>
      <c r="ACP219" s="113"/>
      <c r="ACQ219" s="113"/>
      <c r="ACR219" s="113"/>
      <c r="ACS219" s="113"/>
      <c r="ACT219" s="113"/>
      <c r="ACU219" s="113"/>
      <c r="ACV219" s="113"/>
      <c r="ACW219" s="113"/>
      <c r="ACX219" s="113"/>
      <c r="ACY219" s="113"/>
      <c r="ACZ219" s="113"/>
      <c r="ADA219" s="113"/>
      <c r="ADB219" s="113"/>
      <c r="ADC219" s="113"/>
      <c r="ADD219" s="113"/>
      <c r="ADE219" s="113"/>
      <c r="ADF219" s="113"/>
      <c r="ADG219" s="113"/>
      <c r="ADH219" s="113"/>
      <c r="ADI219" s="113"/>
      <c r="ADJ219" s="113"/>
      <c r="ADK219" s="113"/>
      <c r="ADL219" s="113"/>
      <c r="ADM219" s="113"/>
      <c r="ADN219" s="113"/>
      <c r="ADO219" s="113"/>
      <c r="ADP219" s="113"/>
      <c r="ADQ219" s="113"/>
      <c r="ADR219" s="113"/>
      <c r="ADS219" s="113"/>
      <c r="ADT219" s="113"/>
      <c r="ADU219" s="113"/>
      <c r="ADV219" s="113"/>
      <c r="ADW219" s="113"/>
      <c r="ADX219" s="113"/>
      <c r="ADY219" s="113"/>
      <c r="ADZ219" s="113"/>
      <c r="AEA219" s="113"/>
      <c r="AEB219" s="113"/>
      <c r="AEC219" s="113"/>
      <c r="AED219" s="113"/>
      <c r="AEE219" s="113"/>
      <c r="AEF219" s="113"/>
      <c r="AEG219" s="113"/>
      <c r="AEH219" s="113"/>
      <c r="AEI219" s="113"/>
      <c r="AEJ219" s="113"/>
      <c r="AEK219" s="113"/>
      <c r="AEL219" s="113"/>
      <c r="AEM219" s="113"/>
      <c r="AEN219" s="113"/>
      <c r="AEO219" s="113"/>
      <c r="AEP219" s="113"/>
      <c r="AEQ219" s="113"/>
      <c r="AER219" s="113"/>
      <c r="AES219" s="113"/>
      <c r="AET219" s="113"/>
      <c r="AEU219" s="113"/>
      <c r="AEV219" s="113"/>
      <c r="AEW219" s="113"/>
      <c r="AEX219" s="113"/>
      <c r="AEY219" s="113"/>
      <c r="AEZ219" s="113"/>
      <c r="AFA219" s="113"/>
      <c r="AFB219" s="113"/>
      <c r="AFC219" s="113"/>
      <c r="AFD219" s="113"/>
      <c r="AFE219" s="113"/>
      <c r="AFF219" s="113"/>
      <c r="AFG219" s="113"/>
      <c r="AFH219" s="113"/>
      <c r="AFI219" s="113"/>
      <c r="AFJ219" s="113"/>
      <c r="AFK219" s="113"/>
      <c r="AFL219" s="113"/>
      <c r="AFM219" s="113"/>
      <c r="AFN219" s="113"/>
      <c r="AFO219" s="113"/>
      <c r="AFP219" s="113"/>
      <c r="AFQ219" s="113"/>
      <c r="AFR219" s="113"/>
      <c r="AFS219" s="113"/>
      <c r="AFT219" s="113"/>
      <c r="AFU219" s="113"/>
      <c r="AFV219" s="113"/>
      <c r="AFW219" s="113"/>
      <c r="AFX219" s="113"/>
      <c r="AFY219" s="113"/>
      <c r="AFZ219" s="113"/>
      <c r="AGA219" s="113"/>
      <c r="AGB219" s="113"/>
      <c r="AGC219" s="113"/>
      <c r="AGD219" s="113"/>
      <c r="AGE219" s="113"/>
      <c r="AGF219" s="113"/>
      <c r="AGG219" s="113"/>
      <c r="AGH219" s="113"/>
      <c r="AGI219" s="113"/>
      <c r="AGJ219" s="113"/>
      <c r="AGK219" s="113"/>
      <c r="AGL219" s="113"/>
      <c r="AGM219" s="113"/>
      <c r="AGN219" s="113"/>
      <c r="AGO219" s="113"/>
      <c r="AGP219" s="113"/>
      <c r="AGQ219" s="113"/>
      <c r="AGR219" s="113"/>
      <c r="AGS219" s="113"/>
      <c r="AGT219" s="113"/>
      <c r="AGU219" s="113"/>
      <c r="AGV219" s="113"/>
      <c r="AGW219" s="113"/>
      <c r="AGX219" s="113"/>
      <c r="AGY219" s="113"/>
      <c r="AGZ219" s="113"/>
      <c r="AHA219" s="113"/>
      <c r="AHB219" s="113"/>
      <c r="AHC219" s="113"/>
      <c r="AHD219" s="113"/>
      <c r="AHE219" s="113"/>
      <c r="AHF219" s="113"/>
      <c r="AHG219" s="113"/>
      <c r="AHH219" s="113"/>
      <c r="AHI219" s="113"/>
      <c r="AHJ219" s="113"/>
      <c r="AHK219" s="113"/>
      <c r="AHL219" s="113"/>
      <c r="AHM219" s="113"/>
      <c r="AHN219" s="113"/>
      <c r="AHO219" s="113"/>
      <c r="AHP219" s="113"/>
      <c r="AHQ219" s="113"/>
      <c r="AHR219" s="113"/>
      <c r="AHS219" s="113"/>
      <c r="AHT219" s="113"/>
      <c r="AHU219" s="113"/>
      <c r="AHV219" s="113"/>
      <c r="AHW219" s="113"/>
      <c r="AHX219" s="113"/>
      <c r="AHY219" s="113"/>
      <c r="AHZ219" s="113"/>
      <c r="AIA219" s="113"/>
      <c r="AIB219" s="113"/>
      <c r="AIC219" s="113"/>
      <c r="AID219" s="113"/>
      <c r="AIE219" s="113"/>
      <c r="AIF219" s="113"/>
      <c r="AIG219" s="113"/>
      <c r="AIH219" s="113"/>
      <c r="AII219" s="113"/>
      <c r="AIJ219" s="113"/>
      <c r="AIK219" s="113"/>
      <c r="AIL219" s="113"/>
      <c r="AIM219" s="113"/>
      <c r="AIN219" s="113"/>
      <c r="AIO219" s="113"/>
      <c r="AIP219" s="113"/>
      <c r="AIQ219" s="113"/>
      <c r="AIR219" s="113"/>
      <c r="AIS219" s="113"/>
      <c r="AIT219" s="113"/>
      <c r="AIU219" s="113"/>
      <c r="AIV219" s="113"/>
      <c r="AIW219" s="113"/>
      <c r="AIX219" s="113"/>
      <c r="AIY219" s="113"/>
      <c r="AIZ219" s="113"/>
    </row>
    <row r="220">
      <c r="A220" s="65" t="s">
        <v>45</v>
      </c>
      <c r="B220" s="65" t="s">
        <v>46</v>
      </c>
      <c r="C220" s="65"/>
      <c r="D220" s="64">
        <f t="shared" si="1"/>
        <v>320.3876667</v>
      </c>
      <c r="H220" s="65">
        <v>2.00963333333333</v>
      </c>
      <c r="I220" s="65">
        <v>6.2875</v>
      </c>
      <c r="K220" s="65">
        <v>19.6607333333333</v>
      </c>
      <c r="N220" s="65">
        <v>0.382116666666667</v>
      </c>
      <c r="S220" s="65">
        <v>0.78605</v>
      </c>
      <c r="T220" s="65">
        <v>0.79225</v>
      </c>
      <c r="U220" s="65">
        <v>3.58386666666667</v>
      </c>
      <c r="Z220" s="65">
        <v>0.2757</v>
      </c>
      <c r="AA220" s="65">
        <v>0.680283333333333</v>
      </c>
      <c r="AG220" s="65">
        <v>15.10375</v>
      </c>
      <c r="AH220" s="65">
        <v>90.7188833333334</v>
      </c>
      <c r="AI220" s="65">
        <v>116.8056</v>
      </c>
      <c r="AN220" s="65">
        <v>1.63463333333333</v>
      </c>
      <c r="AR220" s="65">
        <v>3.10668333333333</v>
      </c>
      <c r="AU220" s="65">
        <v>58.5599833333334</v>
      </c>
    </row>
    <row r="221">
      <c r="A221" s="65" t="s">
        <v>45</v>
      </c>
      <c r="B221" s="65" t="s">
        <v>46</v>
      </c>
      <c r="C221" s="65"/>
      <c r="D221" s="64">
        <f t="shared" si="1"/>
        <v>0</v>
      </c>
    </row>
    <row r="222">
      <c r="A222" s="65" t="s">
        <v>45</v>
      </c>
      <c r="B222" s="65" t="s">
        <v>46</v>
      </c>
      <c r="C222" s="65"/>
      <c r="D222" s="64">
        <f t="shared" si="1"/>
        <v>318.7737167</v>
      </c>
      <c r="H222" s="118">
        <f>HYPERLINK("https://docs.google.com/spreadsheets/d/1RS-GvkuEIPJ-z1fMHUHD9Uaia86WaQdb", 2.00963333333333)</f>
        <v>2.009633333</v>
      </c>
      <c r="I222" s="118">
        <f>HYPERLINK("https://docs.google.com/spreadsheets/d/1XyaxYdfID07spwjwdbl_ZPbCY8TDeWKX", 6.2875)</f>
        <v>6.2875</v>
      </c>
      <c r="K222" s="118">
        <f>HYPERLINK("https://docs.google.com/spreadsheets/d/1a9uYMeE4_FcLOWR7TGsKe0EK9PsqmH3e", 19.5022666666667)</f>
        <v>19.50226667</v>
      </c>
      <c r="N222" s="118">
        <f>HYPERLINK("https://docs.google.com/spreadsheets/d/1-p1iLqScZqYSWR0nlifi3fuHmtXkDoNP", 0.382116666666667)</f>
        <v>0.3821166667</v>
      </c>
      <c r="S222" s="118">
        <f>HYPERLINK("https://docs.google.com/spreadsheets/d/13i711tRFBwZjJ4OTNEx6cSliOSlns8Am", 0.78605)</f>
        <v>0.78605</v>
      </c>
      <c r="T222" s="118">
        <f>HYPERLINK("https://docs.google.com/spreadsheets/d/19EFKPlZD_Al9Giwd27qCx2t4MRh6RSXa", 0.79225)</f>
        <v>0.79225</v>
      </c>
      <c r="U222" s="118">
        <f>HYPERLINK("https://docs.google.com/spreadsheets/d/1u5n13W5gm9XQTdHLAJC7ZYLJKWd3hxBD", 3.58386666666667)</f>
        <v>3.583866667</v>
      </c>
      <c r="Z222" s="118">
        <f>HYPERLINK("https://docs.google.com/spreadsheets/d/1EtjwXcRYdb22hjqqi3S_kiLRb9v-TI1P", 0.2757)</f>
        <v>0.2757</v>
      </c>
      <c r="AA222" s="118">
        <f>HYPERLINK("https://docs.google.com/spreadsheets/d/11XB1jxHyw0i1-MYfRcE9XiAIzs0ooDH1", 0.680283333333333)</f>
        <v>0.6802833333</v>
      </c>
      <c r="AG222" s="118">
        <f>HYPERLINK("https://docs.google.com/spreadsheets/d/1XAfMPaw9_XAWx9mFLWLEnkApyEGQhbUl", 15.10375)</f>
        <v>15.10375</v>
      </c>
      <c r="AH222" s="118">
        <f>HYPERLINK("https://docs.google.com/spreadsheets/d/1ti2Z26Ls7P8dVhWutn3UWcXPwogcdr2_", 90.7188333333334)</f>
        <v>90.71883333</v>
      </c>
      <c r="AI222" s="118">
        <f>HYPERLINK("https://docs.google.com/spreadsheets/d/1aP9f0qzwtRQpdxcZDgf1ZxJQLlXJz3ui", 115.780366666667)</f>
        <v>115.7803667</v>
      </c>
      <c r="AN222" s="118">
        <f>HYPERLINK("https://docs.google.com/spreadsheets/d/1g97uwz6dL3SVjMPEuv9G6Qv3YDwfSwLu", 1.63463333333333)</f>
        <v>1.634633333</v>
      </c>
      <c r="AR222" s="118">
        <f>HYPERLINK("https://docs.google.com/spreadsheets/d/1mrpA-qnMOCNpezlZgRRw7QtmEeB_duoz", 2.96485)</f>
        <v>2.96485</v>
      </c>
      <c r="AU222" s="118">
        <f>HYPERLINK("https://docs.google.com/spreadsheets/d/1xe017-42ZfrXsJOxT6IBrr8s1DYhm2Xd", 58.2716166666667)</f>
        <v>58.27161667</v>
      </c>
    </row>
    <row r="223">
      <c r="A223" s="65" t="s">
        <v>45</v>
      </c>
      <c r="B223" s="65" t="s">
        <v>46</v>
      </c>
      <c r="C223" s="65"/>
      <c r="D223" s="64">
        <f t="shared" si="1"/>
        <v>59.35005</v>
      </c>
      <c r="H223" s="65">
        <v>0.46</v>
      </c>
      <c r="I223" s="65">
        <v>1.08115</v>
      </c>
      <c r="K223" s="65">
        <v>7.81678333333333</v>
      </c>
      <c r="N223" s="65">
        <v>0.0</v>
      </c>
      <c r="S223" s="65">
        <v>0.16155</v>
      </c>
      <c r="T223" s="65">
        <v>0.0</v>
      </c>
      <c r="U223" s="65">
        <v>0.638516666666667</v>
      </c>
      <c r="Z223" s="65">
        <v>0.0</v>
      </c>
      <c r="AA223" s="65">
        <v>0.0782333333333333</v>
      </c>
      <c r="AG223" s="65">
        <v>3.81466666666667</v>
      </c>
      <c r="AH223" s="65">
        <v>29.0961833333334</v>
      </c>
      <c r="AI223" s="65">
        <v>12.67715</v>
      </c>
      <c r="AN223" s="65">
        <v>0.0</v>
      </c>
      <c r="AR223" s="65">
        <v>0.263483333333333</v>
      </c>
      <c r="AU223" s="65">
        <v>3.26233333333333</v>
      </c>
    </row>
    <row r="224">
      <c r="A224" s="119" t="s">
        <v>45</v>
      </c>
      <c r="B224" s="119" t="s">
        <v>46</v>
      </c>
      <c r="C224" s="119"/>
      <c r="D224" s="120">
        <f t="shared" si="1"/>
        <v>0</v>
      </c>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c r="AA224" s="120"/>
      <c r="AB224" s="120"/>
      <c r="AC224" s="120"/>
      <c r="AD224" s="120"/>
      <c r="AE224" s="120"/>
      <c r="AF224" s="120"/>
      <c r="AG224" s="120"/>
      <c r="AH224" s="120"/>
      <c r="AI224" s="120"/>
      <c r="AJ224" s="120"/>
      <c r="AK224" s="120"/>
      <c r="AL224" s="120"/>
      <c r="AM224" s="120"/>
      <c r="AN224" s="120"/>
      <c r="AO224" s="120"/>
      <c r="AP224" s="120"/>
      <c r="AQ224" s="120"/>
      <c r="AR224" s="120"/>
      <c r="AS224" s="120"/>
      <c r="AT224" s="120"/>
      <c r="AU224" s="120"/>
      <c r="AV224" s="120"/>
      <c r="AW224" s="120"/>
      <c r="AX224" s="120"/>
      <c r="AY224" s="120"/>
      <c r="AZ224" s="120"/>
      <c r="BA224" s="120"/>
      <c r="BB224" s="120"/>
      <c r="BC224" s="120"/>
      <c r="BD224" s="120"/>
      <c r="BE224" s="120"/>
      <c r="BF224" s="120"/>
      <c r="BG224" s="120"/>
      <c r="BH224" s="120"/>
      <c r="BI224" s="120"/>
      <c r="BJ224" s="120"/>
      <c r="BK224" s="120"/>
      <c r="BL224" s="120"/>
      <c r="BM224" s="120"/>
      <c r="BN224" s="120"/>
      <c r="BO224" s="120"/>
      <c r="BP224" s="120"/>
      <c r="BQ224" s="120"/>
      <c r="BR224" s="120"/>
      <c r="BS224" s="120"/>
      <c r="BT224" s="120"/>
      <c r="BU224" s="120"/>
      <c r="BV224" s="120"/>
      <c r="BW224" s="120"/>
      <c r="BX224" s="120"/>
      <c r="BY224" s="120"/>
      <c r="BZ224" s="120"/>
      <c r="CA224" s="120"/>
      <c r="CB224" s="120"/>
      <c r="CC224" s="120"/>
      <c r="CD224" s="120"/>
      <c r="CE224" s="120"/>
      <c r="CF224" s="120"/>
      <c r="CG224" s="120"/>
      <c r="CH224" s="120"/>
      <c r="CI224" s="120"/>
      <c r="CJ224" s="120"/>
      <c r="CK224" s="120"/>
      <c r="CL224" s="120"/>
      <c r="CM224" s="120"/>
      <c r="CN224" s="120"/>
      <c r="CO224" s="120"/>
      <c r="CP224" s="120"/>
      <c r="CQ224" s="120"/>
      <c r="CR224" s="120"/>
      <c r="CS224" s="120"/>
      <c r="CT224" s="120"/>
      <c r="CU224" s="120"/>
      <c r="CV224" s="120"/>
      <c r="CW224" s="120"/>
      <c r="CX224" s="120"/>
      <c r="CY224" s="120"/>
      <c r="CZ224" s="120"/>
      <c r="DA224" s="120"/>
      <c r="DB224" s="120"/>
      <c r="DC224" s="120"/>
      <c r="DD224" s="120"/>
      <c r="DE224" s="120"/>
      <c r="DF224" s="120"/>
      <c r="DG224" s="120"/>
      <c r="DH224" s="120"/>
      <c r="DI224" s="120"/>
      <c r="DJ224" s="120"/>
      <c r="DK224" s="120"/>
      <c r="DL224" s="120"/>
      <c r="DM224" s="120"/>
      <c r="DN224" s="120"/>
      <c r="DO224" s="120"/>
      <c r="DP224" s="120"/>
      <c r="DQ224" s="120"/>
      <c r="DR224" s="120"/>
      <c r="DS224" s="120"/>
      <c r="DT224" s="120"/>
      <c r="DU224" s="120"/>
      <c r="DV224" s="120"/>
      <c r="DW224" s="120"/>
      <c r="DX224" s="120"/>
      <c r="DY224" s="120"/>
      <c r="DZ224" s="120"/>
      <c r="EA224" s="120"/>
      <c r="EB224" s="120"/>
      <c r="EC224" s="120"/>
      <c r="ED224" s="120"/>
      <c r="EE224" s="120"/>
      <c r="EF224" s="120"/>
      <c r="EG224" s="120"/>
      <c r="EH224" s="120"/>
      <c r="EI224" s="120"/>
      <c r="EJ224" s="120"/>
      <c r="EK224" s="120"/>
      <c r="EL224" s="120"/>
      <c r="EM224" s="120"/>
      <c r="EN224" s="120"/>
      <c r="EO224" s="120"/>
      <c r="EP224" s="120"/>
      <c r="EQ224" s="120"/>
      <c r="ER224" s="120"/>
      <c r="ES224" s="120"/>
      <c r="ET224" s="120"/>
      <c r="EU224" s="120"/>
      <c r="EV224" s="120"/>
      <c r="EW224" s="120"/>
      <c r="EX224" s="120"/>
      <c r="EY224" s="120"/>
      <c r="EZ224" s="120"/>
      <c r="FA224" s="120"/>
      <c r="FB224" s="120"/>
      <c r="FC224" s="120"/>
      <c r="FD224" s="120"/>
      <c r="FE224" s="120"/>
      <c r="FF224" s="120"/>
      <c r="FG224" s="120"/>
      <c r="FH224" s="120"/>
      <c r="FI224" s="120"/>
      <c r="FJ224" s="120"/>
      <c r="FK224" s="120"/>
      <c r="FL224" s="120"/>
      <c r="FM224" s="120"/>
      <c r="FN224" s="120"/>
      <c r="FO224" s="120"/>
      <c r="FP224" s="120"/>
      <c r="FQ224" s="120"/>
      <c r="FR224" s="120"/>
      <c r="FS224" s="120"/>
      <c r="FT224" s="120"/>
      <c r="FU224" s="120"/>
      <c r="FV224" s="120"/>
      <c r="FW224" s="120"/>
      <c r="FX224" s="120"/>
      <c r="FY224" s="120"/>
      <c r="FZ224" s="120"/>
      <c r="GA224" s="120"/>
      <c r="GB224" s="120"/>
      <c r="GC224" s="120"/>
      <c r="GD224" s="120"/>
      <c r="GE224" s="120"/>
      <c r="GF224" s="120"/>
      <c r="GG224" s="120"/>
      <c r="GH224" s="120"/>
      <c r="GI224" s="120"/>
      <c r="GJ224" s="120"/>
      <c r="GK224" s="120"/>
      <c r="GL224" s="120"/>
      <c r="GM224" s="120"/>
      <c r="GN224" s="120"/>
      <c r="GO224" s="120"/>
      <c r="GP224" s="120"/>
      <c r="GQ224" s="120"/>
      <c r="GR224" s="120"/>
      <c r="GS224" s="120"/>
      <c r="GT224" s="120"/>
      <c r="GU224" s="120"/>
      <c r="GV224" s="120"/>
      <c r="GW224" s="120"/>
      <c r="GX224" s="120"/>
      <c r="GY224" s="120"/>
      <c r="GZ224" s="120"/>
      <c r="HA224" s="120"/>
      <c r="HB224" s="120"/>
      <c r="HC224" s="120"/>
      <c r="HD224" s="120"/>
      <c r="HE224" s="120"/>
      <c r="HF224" s="120"/>
      <c r="HG224" s="120"/>
      <c r="HH224" s="120"/>
      <c r="HI224" s="120"/>
      <c r="HJ224" s="120"/>
      <c r="HK224" s="120"/>
      <c r="HL224" s="120"/>
      <c r="HM224" s="120"/>
      <c r="HN224" s="120"/>
      <c r="HO224" s="120"/>
      <c r="HP224" s="120"/>
      <c r="HQ224" s="120"/>
      <c r="HR224" s="120"/>
      <c r="HS224" s="120"/>
      <c r="HT224" s="120"/>
      <c r="HU224" s="120"/>
      <c r="HV224" s="120"/>
      <c r="HW224" s="120"/>
      <c r="HX224" s="120"/>
      <c r="HY224" s="120"/>
      <c r="HZ224" s="120"/>
      <c r="IA224" s="120"/>
      <c r="IB224" s="120"/>
      <c r="IC224" s="120"/>
      <c r="ID224" s="120"/>
      <c r="IE224" s="120"/>
      <c r="IF224" s="120"/>
      <c r="IG224" s="120"/>
      <c r="IH224" s="120"/>
      <c r="II224" s="120"/>
      <c r="IJ224" s="120"/>
      <c r="IK224" s="120"/>
      <c r="IL224" s="120"/>
      <c r="IM224" s="120"/>
      <c r="IN224" s="120"/>
      <c r="IO224" s="120"/>
      <c r="IP224" s="120"/>
      <c r="IQ224" s="120"/>
      <c r="IR224" s="120"/>
      <c r="IS224" s="120"/>
      <c r="IT224" s="120"/>
      <c r="IU224" s="120"/>
      <c r="IV224" s="120"/>
      <c r="IW224" s="120"/>
      <c r="IX224" s="120"/>
      <c r="IY224" s="120"/>
      <c r="IZ224" s="120"/>
      <c r="JA224" s="120"/>
      <c r="JB224" s="120"/>
      <c r="JC224" s="120"/>
      <c r="JD224" s="120"/>
      <c r="JE224" s="120"/>
      <c r="JF224" s="120"/>
      <c r="JG224" s="120"/>
      <c r="JH224" s="120"/>
      <c r="JI224" s="120"/>
      <c r="JJ224" s="120"/>
      <c r="JK224" s="120"/>
      <c r="JL224" s="120"/>
      <c r="JM224" s="120"/>
      <c r="JN224" s="120"/>
      <c r="JO224" s="120"/>
      <c r="JP224" s="120"/>
      <c r="JQ224" s="120"/>
      <c r="JR224" s="120"/>
      <c r="JS224" s="120"/>
      <c r="JT224" s="120"/>
      <c r="JU224" s="120"/>
      <c r="JV224" s="120"/>
      <c r="JW224" s="120"/>
      <c r="JX224" s="120"/>
      <c r="JY224" s="120"/>
      <c r="JZ224" s="120"/>
      <c r="KA224" s="120"/>
      <c r="KB224" s="120"/>
      <c r="KC224" s="120"/>
      <c r="KD224" s="120"/>
      <c r="KE224" s="120"/>
      <c r="KF224" s="120"/>
      <c r="KG224" s="120"/>
      <c r="KH224" s="120"/>
      <c r="KI224" s="120"/>
      <c r="KJ224" s="120"/>
      <c r="KK224" s="120"/>
      <c r="KL224" s="120"/>
      <c r="KM224" s="120"/>
      <c r="KN224" s="120"/>
      <c r="KO224" s="120"/>
      <c r="KP224" s="120"/>
      <c r="KQ224" s="120"/>
      <c r="KR224" s="120"/>
      <c r="KS224" s="120"/>
      <c r="KT224" s="120"/>
      <c r="KU224" s="120"/>
      <c r="KV224" s="120"/>
      <c r="KW224" s="120"/>
      <c r="KX224" s="120"/>
      <c r="KY224" s="120"/>
      <c r="KZ224" s="120"/>
      <c r="LA224" s="120"/>
      <c r="LB224" s="120"/>
      <c r="LC224" s="120"/>
      <c r="LD224" s="120"/>
      <c r="LE224" s="120"/>
      <c r="LF224" s="120"/>
      <c r="LG224" s="120"/>
      <c r="LH224" s="120"/>
      <c r="LI224" s="120"/>
      <c r="LJ224" s="120"/>
      <c r="LK224" s="120"/>
      <c r="LL224" s="120"/>
      <c r="LM224" s="120"/>
      <c r="LN224" s="120"/>
      <c r="LO224" s="120"/>
      <c r="LP224" s="120"/>
      <c r="LQ224" s="120"/>
      <c r="LR224" s="120"/>
      <c r="LS224" s="120"/>
      <c r="LT224" s="120"/>
      <c r="LU224" s="120"/>
      <c r="LV224" s="120"/>
      <c r="LW224" s="120"/>
      <c r="LX224" s="120"/>
      <c r="LY224" s="120"/>
      <c r="LZ224" s="120"/>
      <c r="MA224" s="120"/>
      <c r="MB224" s="120"/>
      <c r="MC224" s="120"/>
      <c r="MD224" s="120"/>
      <c r="ME224" s="120"/>
      <c r="MF224" s="120"/>
      <c r="MG224" s="120"/>
      <c r="MH224" s="120"/>
      <c r="MI224" s="120"/>
      <c r="MJ224" s="120"/>
      <c r="MK224" s="120"/>
      <c r="ML224" s="120"/>
      <c r="MM224" s="120"/>
      <c r="MN224" s="120"/>
      <c r="MO224" s="120"/>
      <c r="MP224" s="120"/>
      <c r="MQ224" s="120"/>
      <c r="MR224" s="120"/>
      <c r="MS224" s="120"/>
      <c r="MT224" s="120"/>
      <c r="MU224" s="120"/>
      <c r="MV224" s="120"/>
      <c r="MW224" s="120"/>
      <c r="MX224" s="120"/>
      <c r="MY224" s="120"/>
      <c r="MZ224" s="120"/>
      <c r="NA224" s="120"/>
      <c r="NB224" s="120"/>
      <c r="NC224" s="120"/>
      <c r="ND224" s="120"/>
      <c r="NE224" s="120"/>
      <c r="NF224" s="120"/>
      <c r="NG224" s="120"/>
      <c r="NH224" s="120"/>
      <c r="NI224" s="120"/>
      <c r="NJ224" s="120"/>
      <c r="NK224" s="120"/>
      <c r="NL224" s="120"/>
      <c r="NM224" s="120"/>
      <c r="NN224" s="120"/>
      <c r="NO224" s="120"/>
      <c r="NP224" s="120"/>
      <c r="NQ224" s="120"/>
      <c r="NR224" s="120"/>
      <c r="NS224" s="120"/>
      <c r="NT224" s="120"/>
      <c r="NU224" s="120"/>
      <c r="NV224" s="120"/>
      <c r="NW224" s="120"/>
      <c r="NX224" s="120"/>
      <c r="NY224" s="120"/>
      <c r="NZ224" s="120"/>
      <c r="OA224" s="120"/>
      <c r="OB224" s="120"/>
      <c r="OC224" s="120"/>
      <c r="OD224" s="120"/>
      <c r="OE224" s="120"/>
      <c r="OF224" s="120"/>
      <c r="OG224" s="120"/>
      <c r="OH224" s="120"/>
      <c r="OI224" s="120"/>
      <c r="OJ224" s="120"/>
      <c r="OK224" s="120"/>
      <c r="OL224" s="120"/>
      <c r="OM224" s="120"/>
      <c r="ON224" s="120"/>
      <c r="OO224" s="120"/>
      <c r="OP224" s="120"/>
      <c r="OQ224" s="120"/>
      <c r="OR224" s="120"/>
      <c r="OS224" s="120"/>
      <c r="OT224" s="120"/>
      <c r="OU224" s="120"/>
      <c r="OV224" s="120"/>
      <c r="OW224" s="120"/>
      <c r="OX224" s="120"/>
      <c r="OY224" s="120"/>
      <c r="OZ224" s="120"/>
      <c r="PA224" s="120"/>
      <c r="PB224" s="120"/>
      <c r="PC224" s="120"/>
      <c r="PD224" s="120"/>
      <c r="PE224" s="120"/>
      <c r="PF224" s="120"/>
      <c r="PG224" s="120"/>
      <c r="PH224" s="120"/>
      <c r="PI224" s="120"/>
      <c r="PJ224" s="120"/>
      <c r="PK224" s="120"/>
      <c r="PL224" s="120"/>
      <c r="PM224" s="120"/>
      <c r="PN224" s="120"/>
      <c r="PO224" s="120"/>
      <c r="PP224" s="120"/>
      <c r="PQ224" s="120"/>
      <c r="PR224" s="120"/>
      <c r="PS224" s="120"/>
      <c r="PT224" s="120"/>
      <c r="PU224" s="120"/>
      <c r="PV224" s="120"/>
      <c r="PW224" s="120"/>
      <c r="PX224" s="120"/>
      <c r="PY224" s="120"/>
      <c r="PZ224" s="120"/>
      <c r="QA224" s="120"/>
      <c r="QB224" s="120"/>
      <c r="QC224" s="120"/>
      <c r="QD224" s="120"/>
      <c r="QE224" s="120"/>
      <c r="QF224" s="120"/>
      <c r="QG224" s="120"/>
      <c r="QH224" s="120"/>
      <c r="QI224" s="120"/>
      <c r="QJ224" s="120"/>
      <c r="QK224" s="120"/>
      <c r="QL224" s="120"/>
      <c r="QM224" s="120"/>
      <c r="QN224" s="120"/>
      <c r="QO224" s="120"/>
      <c r="QP224" s="120"/>
      <c r="QQ224" s="120"/>
      <c r="QR224" s="120"/>
      <c r="QS224" s="120"/>
      <c r="QT224" s="120"/>
      <c r="QU224" s="120"/>
      <c r="QV224" s="120"/>
      <c r="QW224" s="120"/>
      <c r="QX224" s="120"/>
      <c r="QY224" s="120"/>
      <c r="QZ224" s="120"/>
      <c r="RA224" s="120"/>
      <c r="RB224" s="120"/>
      <c r="RC224" s="120"/>
      <c r="RD224" s="120"/>
      <c r="RE224" s="120"/>
      <c r="RF224" s="120"/>
      <c r="RG224" s="120"/>
      <c r="RH224" s="120"/>
      <c r="RI224" s="120"/>
      <c r="RJ224" s="120"/>
      <c r="RK224" s="120"/>
      <c r="RL224" s="120"/>
      <c r="RM224" s="120"/>
      <c r="RN224" s="120"/>
      <c r="RO224" s="120"/>
      <c r="RP224" s="120"/>
      <c r="RQ224" s="120"/>
      <c r="RR224" s="120"/>
      <c r="RS224" s="120"/>
      <c r="RT224" s="120"/>
      <c r="RU224" s="120"/>
      <c r="RV224" s="120"/>
      <c r="RW224" s="120"/>
      <c r="RX224" s="120"/>
      <c r="RY224" s="120"/>
      <c r="RZ224" s="120"/>
      <c r="SA224" s="120"/>
      <c r="SB224" s="120"/>
      <c r="SC224" s="120"/>
      <c r="SD224" s="120"/>
      <c r="SE224" s="120"/>
      <c r="SF224" s="120"/>
      <c r="SG224" s="120"/>
      <c r="SH224" s="120"/>
      <c r="SI224" s="120"/>
      <c r="SJ224" s="120"/>
      <c r="SK224" s="120"/>
      <c r="SL224" s="120"/>
      <c r="SM224" s="120"/>
      <c r="SN224" s="120"/>
      <c r="SO224" s="120"/>
      <c r="SP224" s="120"/>
      <c r="SQ224" s="120"/>
      <c r="SR224" s="120"/>
      <c r="SS224" s="120"/>
      <c r="ST224" s="120"/>
      <c r="SU224" s="120"/>
      <c r="SV224" s="120"/>
      <c r="SW224" s="120"/>
      <c r="SX224" s="120"/>
      <c r="SY224" s="120"/>
      <c r="SZ224" s="120"/>
      <c r="TA224" s="120"/>
      <c r="TB224" s="120"/>
      <c r="TC224" s="120"/>
      <c r="TD224" s="120"/>
      <c r="TE224" s="120"/>
      <c r="TF224" s="120"/>
      <c r="TG224" s="120"/>
      <c r="TH224" s="120"/>
      <c r="TI224" s="120"/>
      <c r="TJ224" s="120"/>
      <c r="TK224" s="120"/>
      <c r="TL224" s="120"/>
      <c r="TM224" s="120"/>
      <c r="TN224" s="120"/>
      <c r="TO224" s="120"/>
      <c r="TP224" s="120"/>
      <c r="TQ224" s="120"/>
      <c r="TR224" s="120"/>
      <c r="TS224" s="120"/>
      <c r="TT224" s="120"/>
      <c r="TU224" s="120"/>
      <c r="TV224" s="120"/>
      <c r="TW224" s="120"/>
      <c r="TX224" s="120"/>
      <c r="TY224" s="120"/>
      <c r="TZ224" s="120"/>
      <c r="UA224" s="120"/>
      <c r="UB224" s="120"/>
      <c r="UC224" s="120"/>
      <c r="UD224" s="120"/>
      <c r="UE224" s="120"/>
      <c r="UF224" s="120"/>
      <c r="UG224" s="120"/>
      <c r="UH224" s="120"/>
      <c r="UI224" s="120"/>
      <c r="UJ224" s="120"/>
      <c r="UK224" s="120"/>
      <c r="UL224" s="120"/>
      <c r="UM224" s="120"/>
      <c r="UN224" s="120"/>
      <c r="UO224" s="120"/>
      <c r="UP224" s="120"/>
      <c r="UQ224" s="120"/>
      <c r="UR224" s="120"/>
      <c r="US224" s="120"/>
      <c r="UT224" s="120"/>
      <c r="UU224" s="120"/>
      <c r="UV224" s="120"/>
      <c r="UW224" s="120"/>
      <c r="UX224" s="120"/>
      <c r="UY224" s="120"/>
      <c r="UZ224" s="120"/>
      <c r="VA224" s="120"/>
      <c r="VB224" s="120"/>
      <c r="VC224" s="120"/>
      <c r="VD224" s="120"/>
      <c r="VE224" s="120"/>
      <c r="VF224" s="120"/>
      <c r="VG224" s="120"/>
      <c r="VH224" s="120"/>
      <c r="VI224" s="120"/>
      <c r="VJ224" s="120"/>
      <c r="VK224" s="120"/>
      <c r="VL224" s="120"/>
      <c r="VM224" s="120"/>
      <c r="VN224" s="120"/>
      <c r="VO224" s="120"/>
      <c r="VP224" s="120"/>
      <c r="VQ224" s="120"/>
      <c r="VR224" s="120"/>
      <c r="VS224" s="120"/>
      <c r="VT224" s="120"/>
      <c r="VU224" s="120"/>
      <c r="VV224" s="120"/>
      <c r="VW224" s="120"/>
      <c r="VX224" s="120"/>
      <c r="VY224" s="120"/>
      <c r="VZ224" s="120"/>
      <c r="WA224" s="120"/>
      <c r="WB224" s="120"/>
      <c r="WC224" s="120"/>
      <c r="WD224" s="120"/>
      <c r="WE224" s="120"/>
      <c r="WF224" s="120"/>
      <c r="WG224" s="120"/>
      <c r="WH224" s="120"/>
      <c r="WI224" s="120"/>
      <c r="WJ224" s="120"/>
      <c r="WK224" s="120"/>
      <c r="WL224" s="120"/>
      <c r="WM224" s="120"/>
      <c r="WN224" s="120"/>
      <c r="WO224" s="120"/>
      <c r="WP224" s="120"/>
      <c r="WQ224" s="120"/>
      <c r="WR224" s="120"/>
      <c r="WS224" s="120"/>
      <c r="WT224" s="120"/>
      <c r="WU224" s="120"/>
      <c r="WV224" s="120"/>
      <c r="WW224" s="120"/>
      <c r="WX224" s="120"/>
      <c r="WY224" s="120"/>
      <c r="WZ224" s="120"/>
      <c r="XA224" s="120"/>
      <c r="XB224" s="120"/>
      <c r="XC224" s="120"/>
      <c r="XD224" s="120"/>
      <c r="XE224" s="120"/>
      <c r="XF224" s="120"/>
      <c r="XG224" s="120"/>
      <c r="XH224" s="120"/>
      <c r="XI224" s="120"/>
      <c r="XJ224" s="120"/>
      <c r="XK224" s="120"/>
      <c r="XL224" s="120"/>
      <c r="XM224" s="120"/>
      <c r="XN224" s="120"/>
      <c r="XO224" s="120"/>
      <c r="XP224" s="120"/>
      <c r="XQ224" s="120"/>
      <c r="XR224" s="120"/>
      <c r="XS224" s="120"/>
      <c r="XT224" s="120"/>
      <c r="XU224" s="120"/>
      <c r="XV224" s="120"/>
      <c r="XW224" s="120"/>
      <c r="XX224" s="120"/>
      <c r="XY224" s="120"/>
      <c r="XZ224" s="120"/>
      <c r="YA224" s="120"/>
      <c r="YB224" s="120"/>
      <c r="YC224" s="120"/>
      <c r="YD224" s="120"/>
      <c r="YE224" s="120"/>
      <c r="YF224" s="120"/>
      <c r="YG224" s="120"/>
      <c r="YH224" s="120"/>
      <c r="YI224" s="120"/>
      <c r="YJ224" s="120"/>
      <c r="YK224" s="120"/>
      <c r="YL224" s="120"/>
      <c r="YM224" s="120"/>
      <c r="YN224" s="120"/>
      <c r="YO224" s="120"/>
      <c r="YP224" s="120"/>
      <c r="YQ224" s="120"/>
      <c r="YR224" s="120"/>
      <c r="YS224" s="120"/>
      <c r="YT224" s="120"/>
      <c r="YU224" s="120"/>
      <c r="YV224" s="120"/>
      <c r="YW224" s="120"/>
      <c r="YX224" s="120"/>
      <c r="YY224" s="120"/>
      <c r="YZ224" s="120"/>
      <c r="ZA224" s="120"/>
      <c r="ZB224" s="120"/>
      <c r="ZC224" s="120"/>
      <c r="ZD224" s="120"/>
      <c r="ZE224" s="120"/>
      <c r="ZF224" s="120"/>
      <c r="ZG224" s="120"/>
      <c r="ZH224" s="120"/>
      <c r="ZI224" s="120"/>
      <c r="ZJ224" s="120"/>
      <c r="ZK224" s="120"/>
      <c r="ZL224" s="120"/>
      <c r="ZM224" s="120"/>
      <c r="ZN224" s="120"/>
      <c r="ZO224" s="120"/>
      <c r="ZP224" s="120"/>
      <c r="ZQ224" s="120"/>
      <c r="ZR224" s="120"/>
      <c r="ZS224" s="120"/>
      <c r="ZT224" s="120"/>
      <c r="ZU224" s="120"/>
      <c r="ZV224" s="120"/>
      <c r="ZW224" s="120"/>
      <c r="ZX224" s="120"/>
      <c r="ZY224" s="120"/>
      <c r="ZZ224" s="120"/>
      <c r="AAA224" s="120"/>
      <c r="AAB224" s="120"/>
      <c r="AAC224" s="120"/>
      <c r="AAD224" s="120"/>
      <c r="AAE224" s="120"/>
      <c r="AAF224" s="120"/>
      <c r="AAG224" s="120"/>
      <c r="AAH224" s="120"/>
      <c r="AAI224" s="120"/>
      <c r="AAJ224" s="120"/>
      <c r="AAK224" s="120"/>
      <c r="AAL224" s="120"/>
      <c r="AAM224" s="120"/>
      <c r="AAN224" s="120"/>
      <c r="AAO224" s="120"/>
      <c r="AAP224" s="120"/>
      <c r="AAQ224" s="120"/>
      <c r="AAR224" s="120"/>
      <c r="AAS224" s="120"/>
      <c r="AAT224" s="120"/>
      <c r="AAU224" s="120"/>
      <c r="AAV224" s="120"/>
      <c r="AAW224" s="120"/>
      <c r="AAX224" s="120"/>
      <c r="AAY224" s="120"/>
      <c r="AAZ224" s="120"/>
      <c r="ABA224" s="120"/>
      <c r="ABB224" s="120"/>
      <c r="ABC224" s="120"/>
      <c r="ABD224" s="120"/>
      <c r="ABE224" s="120"/>
      <c r="ABF224" s="120"/>
      <c r="ABG224" s="120"/>
      <c r="ABH224" s="120"/>
      <c r="ABI224" s="120"/>
      <c r="ABJ224" s="120"/>
      <c r="ABK224" s="120"/>
      <c r="ABL224" s="120"/>
      <c r="ABM224" s="120"/>
      <c r="ABN224" s="120"/>
      <c r="ABO224" s="120"/>
      <c r="ABP224" s="120"/>
      <c r="ABQ224" s="120"/>
      <c r="ABR224" s="120"/>
      <c r="ABS224" s="120"/>
      <c r="ABT224" s="120"/>
      <c r="ABU224" s="120"/>
      <c r="ABV224" s="120"/>
      <c r="ABW224" s="120"/>
      <c r="ABX224" s="120"/>
      <c r="ABY224" s="120"/>
      <c r="ABZ224" s="120"/>
      <c r="ACA224" s="120"/>
      <c r="ACB224" s="120"/>
      <c r="ACC224" s="120"/>
      <c r="ACD224" s="120"/>
      <c r="ACE224" s="120"/>
      <c r="ACF224" s="120"/>
      <c r="ACG224" s="120"/>
      <c r="ACH224" s="120"/>
      <c r="ACI224" s="120"/>
      <c r="ACJ224" s="120"/>
      <c r="ACK224" s="120"/>
      <c r="ACL224" s="120"/>
      <c r="ACM224" s="120"/>
      <c r="ACN224" s="120"/>
      <c r="ACO224" s="120"/>
      <c r="ACP224" s="120"/>
      <c r="ACQ224" s="120"/>
      <c r="ACR224" s="120"/>
      <c r="ACS224" s="120"/>
      <c r="ACT224" s="120"/>
      <c r="ACU224" s="120"/>
      <c r="ACV224" s="120"/>
      <c r="ACW224" s="120"/>
      <c r="ACX224" s="120"/>
      <c r="ACY224" s="120"/>
      <c r="ACZ224" s="120"/>
      <c r="ADA224" s="120"/>
      <c r="ADB224" s="120"/>
      <c r="ADC224" s="120"/>
      <c r="ADD224" s="120"/>
      <c r="ADE224" s="120"/>
      <c r="ADF224" s="120"/>
      <c r="ADG224" s="120"/>
      <c r="ADH224" s="120"/>
      <c r="ADI224" s="120"/>
      <c r="ADJ224" s="120"/>
      <c r="ADK224" s="120"/>
      <c r="ADL224" s="120"/>
      <c r="ADM224" s="120"/>
      <c r="ADN224" s="120"/>
      <c r="ADO224" s="120"/>
      <c r="ADP224" s="120"/>
      <c r="ADQ224" s="120"/>
      <c r="ADR224" s="120"/>
      <c r="ADS224" s="120"/>
      <c r="ADT224" s="120"/>
      <c r="ADU224" s="120"/>
      <c r="ADV224" s="120"/>
      <c r="ADW224" s="120"/>
      <c r="ADX224" s="120"/>
      <c r="ADY224" s="120"/>
      <c r="ADZ224" s="120"/>
      <c r="AEA224" s="120"/>
      <c r="AEB224" s="120"/>
      <c r="AEC224" s="120"/>
      <c r="AED224" s="120"/>
      <c r="AEE224" s="120"/>
      <c r="AEF224" s="120"/>
      <c r="AEG224" s="120"/>
      <c r="AEH224" s="120"/>
      <c r="AEI224" s="120"/>
      <c r="AEJ224" s="120"/>
      <c r="AEK224" s="120"/>
      <c r="AEL224" s="120"/>
      <c r="AEM224" s="120"/>
      <c r="AEN224" s="120"/>
      <c r="AEO224" s="120"/>
      <c r="AEP224" s="120"/>
      <c r="AEQ224" s="120"/>
      <c r="AER224" s="120"/>
      <c r="AES224" s="120"/>
      <c r="AET224" s="120"/>
      <c r="AEU224" s="120"/>
      <c r="AEV224" s="120"/>
      <c r="AEW224" s="120"/>
      <c r="AEX224" s="120"/>
      <c r="AEY224" s="120"/>
      <c r="AEZ224" s="120"/>
      <c r="AFA224" s="120"/>
      <c r="AFB224" s="120"/>
      <c r="AFC224" s="120"/>
      <c r="AFD224" s="120"/>
      <c r="AFE224" s="120"/>
      <c r="AFF224" s="120"/>
      <c r="AFG224" s="120"/>
      <c r="AFH224" s="120"/>
      <c r="AFI224" s="120"/>
      <c r="AFJ224" s="120"/>
      <c r="AFK224" s="120"/>
      <c r="AFL224" s="120"/>
      <c r="AFM224" s="120"/>
      <c r="AFN224" s="120"/>
      <c r="AFO224" s="120"/>
      <c r="AFP224" s="120"/>
      <c r="AFQ224" s="120"/>
      <c r="AFR224" s="120"/>
      <c r="AFS224" s="120"/>
      <c r="AFT224" s="120"/>
      <c r="AFU224" s="120"/>
      <c r="AFV224" s="120"/>
      <c r="AFW224" s="120"/>
      <c r="AFX224" s="120"/>
      <c r="AFY224" s="120"/>
      <c r="AFZ224" s="120"/>
      <c r="AGA224" s="120"/>
      <c r="AGB224" s="120"/>
      <c r="AGC224" s="120"/>
      <c r="AGD224" s="120"/>
      <c r="AGE224" s="120"/>
      <c r="AGF224" s="120"/>
      <c r="AGG224" s="120"/>
      <c r="AGH224" s="120"/>
      <c r="AGI224" s="120"/>
      <c r="AGJ224" s="120"/>
      <c r="AGK224" s="120"/>
      <c r="AGL224" s="120"/>
      <c r="AGM224" s="120"/>
      <c r="AGN224" s="120"/>
      <c r="AGO224" s="120"/>
      <c r="AGP224" s="120"/>
      <c r="AGQ224" s="120"/>
      <c r="AGR224" s="120"/>
      <c r="AGS224" s="120"/>
      <c r="AGT224" s="120"/>
      <c r="AGU224" s="120"/>
      <c r="AGV224" s="120"/>
      <c r="AGW224" s="120"/>
      <c r="AGX224" s="120"/>
      <c r="AGY224" s="120"/>
      <c r="AGZ224" s="120"/>
      <c r="AHA224" s="120"/>
      <c r="AHB224" s="120"/>
      <c r="AHC224" s="120"/>
      <c r="AHD224" s="120"/>
      <c r="AHE224" s="120"/>
      <c r="AHF224" s="120"/>
      <c r="AHG224" s="120"/>
      <c r="AHH224" s="120"/>
      <c r="AHI224" s="120"/>
      <c r="AHJ224" s="120"/>
      <c r="AHK224" s="120"/>
      <c r="AHL224" s="120"/>
      <c r="AHM224" s="120"/>
      <c r="AHN224" s="120"/>
      <c r="AHO224" s="120"/>
      <c r="AHP224" s="120"/>
      <c r="AHQ224" s="120"/>
      <c r="AHR224" s="120"/>
      <c r="AHS224" s="120"/>
      <c r="AHT224" s="120"/>
      <c r="AHU224" s="120"/>
      <c r="AHV224" s="120"/>
      <c r="AHW224" s="120"/>
      <c r="AHX224" s="120"/>
      <c r="AHY224" s="120"/>
      <c r="AHZ224" s="120"/>
      <c r="AIA224" s="120"/>
      <c r="AIB224" s="120"/>
      <c r="AIC224" s="120"/>
      <c r="AID224" s="120"/>
      <c r="AIE224" s="120"/>
      <c r="AIF224" s="120"/>
      <c r="AIG224" s="120"/>
      <c r="AIH224" s="120"/>
      <c r="AII224" s="120"/>
      <c r="AIJ224" s="120"/>
      <c r="AIK224" s="120"/>
      <c r="AIL224" s="120"/>
      <c r="AIM224" s="120"/>
      <c r="AIN224" s="120"/>
      <c r="AIO224" s="120"/>
      <c r="AIP224" s="120"/>
      <c r="AIQ224" s="120"/>
      <c r="AIR224" s="120"/>
      <c r="AIS224" s="120"/>
      <c r="AIT224" s="120"/>
      <c r="AIU224" s="120"/>
      <c r="AIV224" s="120"/>
      <c r="AIW224" s="120"/>
      <c r="AIX224" s="120"/>
      <c r="AIY224" s="120"/>
      <c r="AIZ224" s="120"/>
    </row>
    <row r="225">
      <c r="A225" s="112" t="s">
        <v>69</v>
      </c>
      <c r="B225" s="112" t="s">
        <v>70</v>
      </c>
      <c r="C225" s="112"/>
      <c r="D225" s="113">
        <f t="shared" si="1"/>
        <v>618.6645833</v>
      </c>
      <c r="E225" s="112">
        <v>97.3321833333335</v>
      </c>
      <c r="F225" s="113"/>
      <c r="G225" s="113"/>
      <c r="H225" s="113"/>
      <c r="I225" s="113"/>
      <c r="J225" s="113"/>
      <c r="K225" s="113"/>
      <c r="L225" s="112">
        <v>2.04833333333333</v>
      </c>
      <c r="M225" s="112">
        <v>3.21516666666667</v>
      </c>
      <c r="N225" s="113"/>
      <c r="O225" s="113"/>
      <c r="P225" s="112">
        <v>104.445066666667</v>
      </c>
      <c r="Q225" s="113"/>
      <c r="R225" s="113"/>
      <c r="S225" s="113"/>
      <c r="T225" s="113"/>
      <c r="U225" s="113"/>
      <c r="V225" s="112">
        <v>1.99905</v>
      </c>
      <c r="W225" s="112">
        <v>8.7495</v>
      </c>
      <c r="X225" s="113"/>
      <c r="Y225" s="113"/>
      <c r="Z225" s="113"/>
      <c r="AA225" s="113"/>
      <c r="AB225" s="113"/>
      <c r="AC225" s="112">
        <v>1.64148333333333</v>
      </c>
      <c r="AD225" s="112">
        <v>262.526133333334</v>
      </c>
      <c r="AE225" s="113"/>
      <c r="AF225" s="113"/>
      <c r="AG225" s="113"/>
      <c r="AH225" s="113"/>
      <c r="AI225" s="113"/>
      <c r="AJ225" s="112">
        <v>10.2015333333333</v>
      </c>
      <c r="AK225" s="112">
        <v>31.4245333333333</v>
      </c>
      <c r="AL225" s="113"/>
      <c r="AM225" s="113"/>
      <c r="AN225" s="113"/>
      <c r="AO225" s="112">
        <v>7.28318333333333</v>
      </c>
      <c r="AP225" s="112">
        <v>23.5327166666667</v>
      </c>
      <c r="AQ225" s="113"/>
      <c r="AR225" s="113"/>
      <c r="AS225" s="112">
        <v>3.7118</v>
      </c>
      <c r="AT225" s="112">
        <v>50.7409</v>
      </c>
      <c r="AU225" s="113"/>
      <c r="AV225" s="112">
        <v>7.39661666666666</v>
      </c>
      <c r="AW225" s="112">
        <v>2.41638333333333</v>
      </c>
      <c r="AX225" s="113"/>
      <c r="AY225" s="113"/>
      <c r="AZ225" s="113"/>
      <c r="BA225" s="113"/>
      <c r="BB225" s="113"/>
      <c r="BC225" s="113"/>
      <c r="BD225" s="113"/>
      <c r="BE225" s="113"/>
      <c r="BF225" s="113"/>
      <c r="BG225" s="113"/>
      <c r="BH225" s="113"/>
      <c r="BI225" s="113"/>
      <c r="BJ225" s="113"/>
      <c r="BK225" s="113"/>
      <c r="BL225" s="113"/>
      <c r="BM225" s="113"/>
      <c r="BN225" s="113"/>
      <c r="BO225" s="113"/>
      <c r="BP225" s="113"/>
      <c r="BQ225" s="113"/>
      <c r="BR225" s="113"/>
      <c r="BS225" s="113"/>
      <c r="BT225" s="113"/>
      <c r="BU225" s="113"/>
      <c r="BV225" s="113"/>
      <c r="BW225" s="113"/>
      <c r="BX225" s="113"/>
      <c r="BY225" s="113"/>
      <c r="BZ225" s="113"/>
      <c r="CA225" s="113"/>
      <c r="CB225" s="113"/>
      <c r="CC225" s="113"/>
      <c r="CD225" s="113"/>
      <c r="CE225" s="113"/>
      <c r="CF225" s="113"/>
      <c r="CG225" s="113"/>
      <c r="CH225" s="113"/>
      <c r="CI225" s="113"/>
      <c r="CJ225" s="113"/>
      <c r="CK225" s="113"/>
      <c r="CL225" s="113"/>
      <c r="CM225" s="113"/>
      <c r="CN225" s="113"/>
      <c r="CO225" s="113"/>
      <c r="CP225" s="113"/>
      <c r="CQ225" s="113"/>
      <c r="CR225" s="113"/>
      <c r="CS225" s="113"/>
      <c r="CT225" s="113"/>
      <c r="CU225" s="113"/>
      <c r="CV225" s="113"/>
      <c r="CW225" s="113"/>
      <c r="CX225" s="113"/>
      <c r="CY225" s="113"/>
      <c r="CZ225" s="113"/>
      <c r="DA225" s="113"/>
      <c r="DB225" s="113"/>
      <c r="DC225" s="113"/>
      <c r="DD225" s="113"/>
      <c r="DE225" s="113"/>
      <c r="DF225" s="113"/>
      <c r="DG225" s="113"/>
      <c r="DH225" s="113"/>
      <c r="DI225" s="113"/>
      <c r="DJ225" s="113"/>
      <c r="DK225" s="113"/>
      <c r="DL225" s="113"/>
      <c r="DM225" s="113"/>
      <c r="DN225" s="113"/>
      <c r="DO225" s="113"/>
      <c r="DP225" s="113"/>
      <c r="DQ225" s="113"/>
      <c r="DR225" s="113"/>
      <c r="DS225" s="113"/>
      <c r="DT225" s="113"/>
      <c r="DU225" s="113"/>
      <c r="DV225" s="113"/>
      <c r="DW225" s="113"/>
      <c r="DX225" s="113"/>
      <c r="DY225" s="113"/>
      <c r="DZ225" s="113"/>
      <c r="EA225" s="113"/>
      <c r="EB225" s="113"/>
      <c r="EC225" s="113"/>
      <c r="ED225" s="113"/>
      <c r="EE225" s="113"/>
      <c r="EF225" s="113"/>
      <c r="EG225" s="113"/>
      <c r="EH225" s="113"/>
      <c r="EI225" s="113"/>
      <c r="EJ225" s="113"/>
      <c r="EK225" s="113"/>
      <c r="EL225" s="113"/>
      <c r="EM225" s="113"/>
      <c r="EN225" s="113"/>
      <c r="EO225" s="113"/>
      <c r="EP225" s="113"/>
      <c r="EQ225" s="113"/>
      <c r="ER225" s="113"/>
      <c r="ES225" s="113"/>
      <c r="ET225" s="113"/>
      <c r="EU225" s="113"/>
      <c r="EV225" s="113"/>
      <c r="EW225" s="113"/>
      <c r="EX225" s="113"/>
      <c r="EY225" s="113"/>
      <c r="EZ225" s="113"/>
      <c r="FA225" s="113"/>
      <c r="FB225" s="113"/>
      <c r="FC225" s="113"/>
      <c r="FD225" s="113"/>
      <c r="FE225" s="113"/>
      <c r="FF225" s="113"/>
      <c r="FG225" s="113"/>
      <c r="FH225" s="113"/>
      <c r="FI225" s="113"/>
      <c r="FJ225" s="113"/>
      <c r="FK225" s="113"/>
      <c r="FL225" s="113"/>
      <c r="FM225" s="113"/>
      <c r="FN225" s="113"/>
      <c r="FO225" s="113"/>
      <c r="FP225" s="113"/>
      <c r="FQ225" s="113"/>
      <c r="FR225" s="113"/>
      <c r="FS225" s="113"/>
      <c r="FT225" s="113"/>
      <c r="FU225" s="113"/>
      <c r="FV225" s="113"/>
      <c r="FW225" s="113"/>
      <c r="FX225" s="113"/>
      <c r="FY225" s="113"/>
      <c r="FZ225" s="113"/>
      <c r="GA225" s="113"/>
      <c r="GB225" s="113"/>
      <c r="GC225" s="113"/>
      <c r="GD225" s="113"/>
      <c r="GE225" s="113"/>
      <c r="GF225" s="113"/>
      <c r="GG225" s="113"/>
      <c r="GH225" s="113"/>
      <c r="GI225" s="113"/>
      <c r="GJ225" s="113"/>
      <c r="GK225" s="113"/>
      <c r="GL225" s="113"/>
      <c r="GM225" s="113"/>
      <c r="GN225" s="113"/>
      <c r="GO225" s="113"/>
      <c r="GP225" s="113"/>
      <c r="GQ225" s="113"/>
      <c r="GR225" s="113"/>
      <c r="GS225" s="113"/>
      <c r="GT225" s="113"/>
      <c r="GU225" s="113"/>
      <c r="GV225" s="113"/>
      <c r="GW225" s="113"/>
      <c r="GX225" s="113"/>
      <c r="GY225" s="113"/>
      <c r="GZ225" s="113"/>
      <c r="HA225" s="113"/>
      <c r="HB225" s="113"/>
      <c r="HC225" s="113"/>
      <c r="HD225" s="113"/>
      <c r="HE225" s="113"/>
      <c r="HF225" s="113"/>
      <c r="HG225" s="113"/>
      <c r="HH225" s="113"/>
      <c r="HI225" s="113"/>
      <c r="HJ225" s="113"/>
      <c r="HK225" s="113"/>
      <c r="HL225" s="113"/>
      <c r="HM225" s="113"/>
      <c r="HN225" s="113"/>
      <c r="HO225" s="113"/>
      <c r="HP225" s="113"/>
      <c r="HQ225" s="113"/>
      <c r="HR225" s="113"/>
      <c r="HS225" s="113"/>
      <c r="HT225" s="113"/>
      <c r="HU225" s="113"/>
      <c r="HV225" s="113"/>
      <c r="HW225" s="113"/>
      <c r="HX225" s="113"/>
      <c r="HY225" s="113"/>
      <c r="HZ225" s="113"/>
      <c r="IA225" s="113"/>
      <c r="IB225" s="113"/>
      <c r="IC225" s="113"/>
      <c r="ID225" s="113"/>
      <c r="IE225" s="113"/>
      <c r="IF225" s="113"/>
      <c r="IG225" s="113"/>
      <c r="IH225" s="113"/>
      <c r="II225" s="113"/>
      <c r="IJ225" s="113"/>
      <c r="IK225" s="113"/>
      <c r="IL225" s="113"/>
      <c r="IM225" s="113"/>
      <c r="IN225" s="113"/>
      <c r="IO225" s="113"/>
      <c r="IP225" s="113"/>
      <c r="IQ225" s="113"/>
      <c r="IR225" s="113"/>
      <c r="IS225" s="113"/>
      <c r="IT225" s="113"/>
      <c r="IU225" s="113"/>
      <c r="IV225" s="113"/>
      <c r="IW225" s="113"/>
      <c r="IX225" s="113"/>
      <c r="IY225" s="113"/>
      <c r="IZ225" s="113"/>
      <c r="JA225" s="113"/>
      <c r="JB225" s="113"/>
      <c r="JC225" s="113"/>
      <c r="JD225" s="113"/>
      <c r="JE225" s="113"/>
      <c r="JF225" s="113"/>
      <c r="JG225" s="113"/>
      <c r="JH225" s="113"/>
      <c r="JI225" s="113"/>
      <c r="JJ225" s="113"/>
      <c r="JK225" s="113"/>
      <c r="JL225" s="113"/>
      <c r="JM225" s="113"/>
      <c r="JN225" s="113"/>
      <c r="JO225" s="113"/>
      <c r="JP225" s="113"/>
      <c r="JQ225" s="113"/>
      <c r="JR225" s="113"/>
      <c r="JS225" s="113"/>
      <c r="JT225" s="113"/>
      <c r="JU225" s="113"/>
      <c r="JV225" s="113"/>
      <c r="JW225" s="113"/>
      <c r="JX225" s="113"/>
      <c r="JY225" s="113"/>
      <c r="JZ225" s="113"/>
      <c r="KA225" s="113"/>
      <c r="KB225" s="113"/>
      <c r="KC225" s="113"/>
      <c r="KD225" s="113"/>
      <c r="KE225" s="113"/>
      <c r="KF225" s="113"/>
      <c r="KG225" s="113"/>
      <c r="KH225" s="113"/>
      <c r="KI225" s="113"/>
      <c r="KJ225" s="113"/>
      <c r="KK225" s="113"/>
      <c r="KL225" s="113"/>
      <c r="KM225" s="113"/>
      <c r="KN225" s="113"/>
      <c r="KO225" s="113"/>
      <c r="KP225" s="113"/>
      <c r="KQ225" s="113"/>
      <c r="KR225" s="113"/>
      <c r="KS225" s="113"/>
      <c r="KT225" s="113"/>
      <c r="KU225" s="113"/>
      <c r="KV225" s="113"/>
      <c r="KW225" s="113"/>
      <c r="KX225" s="113"/>
      <c r="KY225" s="113"/>
      <c r="KZ225" s="113"/>
      <c r="LA225" s="113"/>
      <c r="LB225" s="113"/>
      <c r="LC225" s="113"/>
      <c r="LD225" s="113"/>
      <c r="LE225" s="113"/>
      <c r="LF225" s="113"/>
      <c r="LG225" s="113"/>
      <c r="LH225" s="113"/>
      <c r="LI225" s="113"/>
      <c r="LJ225" s="113"/>
      <c r="LK225" s="113"/>
      <c r="LL225" s="113"/>
      <c r="LM225" s="113"/>
      <c r="LN225" s="113"/>
      <c r="LO225" s="113"/>
      <c r="LP225" s="113"/>
      <c r="LQ225" s="113"/>
      <c r="LR225" s="113"/>
      <c r="LS225" s="113"/>
      <c r="LT225" s="113"/>
      <c r="LU225" s="113"/>
      <c r="LV225" s="113"/>
      <c r="LW225" s="113"/>
      <c r="LX225" s="113"/>
      <c r="LY225" s="113"/>
      <c r="LZ225" s="113"/>
      <c r="MA225" s="113"/>
      <c r="MB225" s="113"/>
      <c r="MC225" s="113"/>
      <c r="MD225" s="113"/>
      <c r="ME225" s="113"/>
      <c r="MF225" s="113"/>
      <c r="MG225" s="113"/>
      <c r="MH225" s="113"/>
      <c r="MI225" s="113"/>
      <c r="MJ225" s="113"/>
      <c r="MK225" s="113"/>
      <c r="ML225" s="113"/>
      <c r="MM225" s="113"/>
      <c r="MN225" s="113"/>
      <c r="MO225" s="113"/>
      <c r="MP225" s="113"/>
      <c r="MQ225" s="113"/>
      <c r="MR225" s="113"/>
      <c r="MS225" s="113"/>
      <c r="MT225" s="113"/>
      <c r="MU225" s="113"/>
      <c r="MV225" s="113"/>
      <c r="MW225" s="113"/>
      <c r="MX225" s="113"/>
      <c r="MY225" s="113"/>
      <c r="MZ225" s="113"/>
      <c r="NA225" s="113"/>
      <c r="NB225" s="113"/>
      <c r="NC225" s="113"/>
      <c r="ND225" s="113"/>
      <c r="NE225" s="113"/>
      <c r="NF225" s="113"/>
      <c r="NG225" s="113"/>
      <c r="NH225" s="113"/>
      <c r="NI225" s="113"/>
      <c r="NJ225" s="113"/>
      <c r="NK225" s="113"/>
      <c r="NL225" s="113"/>
      <c r="NM225" s="113"/>
      <c r="NN225" s="113"/>
      <c r="NO225" s="113"/>
      <c r="NP225" s="113"/>
      <c r="NQ225" s="113"/>
      <c r="NR225" s="113"/>
      <c r="NS225" s="113"/>
      <c r="NT225" s="113"/>
      <c r="NU225" s="113"/>
      <c r="NV225" s="113"/>
      <c r="NW225" s="113"/>
      <c r="NX225" s="113"/>
      <c r="NY225" s="113"/>
      <c r="NZ225" s="113"/>
      <c r="OA225" s="113"/>
      <c r="OB225" s="113"/>
      <c r="OC225" s="113"/>
      <c r="OD225" s="113"/>
      <c r="OE225" s="113"/>
      <c r="OF225" s="113"/>
      <c r="OG225" s="113"/>
      <c r="OH225" s="113"/>
      <c r="OI225" s="113"/>
      <c r="OJ225" s="113"/>
      <c r="OK225" s="113"/>
      <c r="OL225" s="113"/>
      <c r="OM225" s="113"/>
      <c r="ON225" s="113"/>
      <c r="OO225" s="113"/>
      <c r="OP225" s="113"/>
      <c r="OQ225" s="113"/>
      <c r="OR225" s="113"/>
      <c r="OS225" s="113"/>
      <c r="OT225" s="113"/>
      <c r="OU225" s="113"/>
      <c r="OV225" s="113"/>
      <c r="OW225" s="113"/>
      <c r="OX225" s="113"/>
      <c r="OY225" s="113"/>
      <c r="OZ225" s="113"/>
      <c r="PA225" s="113"/>
      <c r="PB225" s="113"/>
      <c r="PC225" s="113"/>
      <c r="PD225" s="113"/>
      <c r="PE225" s="113"/>
      <c r="PF225" s="113"/>
      <c r="PG225" s="113"/>
      <c r="PH225" s="113"/>
      <c r="PI225" s="113"/>
      <c r="PJ225" s="113"/>
      <c r="PK225" s="113"/>
      <c r="PL225" s="113"/>
      <c r="PM225" s="113"/>
      <c r="PN225" s="113"/>
      <c r="PO225" s="113"/>
      <c r="PP225" s="113"/>
      <c r="PQ225" s="113"/>
      <c r="PR225" s="113"/>
      <c r="PS225" s="113"/>
      <c r="PT225" s="113"/>
      <c r="PU225" s="113"/>
      <c r="PV225" s="113"/>
      <c r="PW225" s="113"/>
      <c r="PX225" s="113"/>
      <c r="PY225" s="113"/>
      <c r="PZ225" s="113"/>
      <c r="QA225" s="113"/>
      <c r="QB225" s="113"/>
      <c r="QC225" s="113"/>
      <c r="QD225" s="113"/>
      <c r="QE225" s="113"/>
      <c r="QF225" s="113"/>
      <c r="QG225" s="113"/>
      <c r="QH225" s="113"/>
      <c r="QI225" s="113"/>
      <c r="QJ225" s="113"/>
      <c r="QK225" s="113"/>
      <c r="QL225" s="113"/>
      <c r="QM225" s="113"/>
      <c r="QN225" s="113"/>
      <c r="QO225" s="113"/>
      <c r="QP225" s="113"/>
      <c r="QQ225" s="113"/>
      <c r="QR225" s="113"/>
      <c r="QS225" s="113"/>
      <c r="QT225" s="113"/>
      <c r="QU225" s="113"/>
      <c r="QV225" s="113"/>
      <c r="QW225" s="113"/>
      <c r="QX225" s="113"/>
      <c r="QY225" s="113"/>
      <c r="QZ225" s="113"/>
      <c r="RA225" s="113"/>
      <c r="RB225" s="113"/>
      <c r="RC225" s="113"/>
      <c r="RD225" s="113"/>
      <c r="RE225" s="113"/>
      <c r="RF225" s="113"/>
      <c r="RG225" s="113"/>
      <c r="RH225" s="113"/>
      <c r="RI225" s="113"/>
      <c r="RJ225" s="113"/>
      <c r="RK225" s="113"/>
      <c r="RL225" s="113"/>
      <c r="RM225" s="113"/>
      <c r="RN225" s="113"/>
      <c r="RO225" s="113"/>
      <c r="RP225" s="113"/>
      <c r="RQ225" s="113"/>
      <c r="RR225" s="113"/>
      <c r="RS225" s="113"/>
      <c r="RT225" s="113"/>
      <c r="RU225" s="113"/>
      <c r="RV225" s="113"/>
      <c r="RW225" s="113"/>
      <c r="RX225" s="113"/>
      <c r="RY225" s="113"/>
      <c r="RZ225" s="113"/>
      <c r="SA225" s="113"/>
      <c r="SB225" s="113"/>
      <c r="SC225" s="113"/>
      <c r="SD225" s="113"/>
      <c r="SE225" s="113"/>
      <c r="SF225" s="113"/>
      <c r="SG225" s="113"/>
      <c r="SH225" s="113"/>
      <c r="SI225" s="113"/>
      <c r="SJ225" s="113"/>
      <c r="SK225" s="113"/>
      <c r="SL225" s="113"/>
      <c r="SM225" s="113"/>
      <c r="SN225" s="113"/>
      <c r="SO225" s="113"/>
      <c r="SP225" s="113"/>
      <c r="SQ225" s="113"/>
      <c r="SR225" s="113"/>
      <c r="SS225" s="113"/>
      <c r="ST225" s="113"/>
      <c r="SU225" s="113"/>
      <c r="SV225" s="113"/>
      <c r="SW225" s="113"/>
      <c r="SX225" s="113"/>
      <c r="SY225" s="113"/>
      <c r="SZ225" s="113"/>
      <c r="TA225" s="113"/>
      <c r="TB225" s="113"/>
      <c r="TC225" s="113"/>
      <c r="TD225" s="113"/>
      <c r="TE225" s="113"/>
      <c r="TF225" s="113"/>
      <c r="TG225" s="113"/>
      <c r="TH225" s="113"/>
      <c r="TI225" s="113"/>
      <c r="TJ225" s="113"/>
      <c r="TK225" s="113"/>
      <c r="TL225" s="113"/>
      <c r="TM225" s="113"/>
      <c r="TN225" s="113"/>
      <c r="TO225" s="113"/>
      <c r="TP225" s="113"/>
      <c r="TQ225" s="113"/>
      <c r="TR225" s="113"/>
      <c r="TS225" s="113"/>
      <c r="TT225" s="113"/>
      <c r="TU225" s="113"/>
      <c r="TV225" s="113"/>
      <c r="TW225" s="113"/>
      <c r="TX225" s="113"/>
      <c r="TY225" s="113"/>
      <c r="TZ225" s="113"/>
      <c r="UA225" s="113"/>
      <c r="UB225" s="113"/>
      <c r="UC225" s="113"/>
      <c r="UD225" s="113"/>
      <c r="UE225" s="113"/>
      <c r="UF225" s="113"/>
      <c r="UG225" s="113"/>
      <c r="UH225" s="113"/>
      <c r="UI225" s="113"/>
      <c r="UJ225" s="113"/>
      <c r="UK225" s="113"/>
      <c r="UL225" s="113"/>
      <c r="UM225" s="113"/>
      <c r="UN225" s="113"/>
      <c r="UO225" s="113"/>
      <c r="UP225" s="113"/>
      <c r="UQ225" s="113"/>
      <c r="UR225" s="113"/>
      <c r="US225" s="113"/>
      <c r="UT225" s="113"/>
      <c r="UU225" s="113"/>
      <c r="UV225" s="113"/>
      <c r="UW225" s="113"/>
      <c r="UX225" s="113"/>
      <c r="UY225" s="113"/>
      <c r="UZ225" s="113"/>
      <c r="VA225" s="113"/>
      <c r="VB225" s="113"/>
      <c r="VC225" s="113"/>
      <c r="VD225" s="113"/>
      <c r="VE225" s="113"/>
      <c r="VF225" s="113"/>
      <c r="VG225" s="113"/>
      <c r="VH225" s="113"/>
      <c r="VI225" s="113"/>
      <c r="VJ225" s="113"/>
      <c r="VK225" s="113"/>
      <c r="VL225" s="113"/>
      <c r="VM225" s="113"/>
      <c r="VN225" s="113"/>
      <c r="VO225" s="113"/>
      <c r="VP225" s="113"/>
      <c r="VQ225" s="113"/>
      <c r="VR225" s="113"/>
      <c r="VS225" s="113"/>
      <c r="VT225" s="113"/>
      <c r="VU225" s="113"/>
      <c r="VV225" s="113"/>
      <c r="VW225" s="113"/>
      <c r="VX225" s="113"/>
      <c r="VY225" s="113"/>
      <c r="VZ225" s="113"/>
      <c r="WA225" s="113"/>
      <c r="WB225" s="113"/>
      <c r="WC225" s="113"/>
      <c r="WD225" s="113"/>
      <c r="WE225" s="113"/>
      <c r="WF225" s="113"/>
      <c r="WG225" s="113"/>
      <c r="WH225" s="113"/>
      <c r="WI225" s="113"/>
      <c r="WJ225" s="113"/>
      <c r="WK225" s="113"/>
      <c r="WL225" s="113"/>
      <c r="WM225" s="113"/>
      <c r="WN225" s="113"/>
      <c r="WO225" s="113"/>
      <c r="WP225" s="113"/>
      <c r="WQ225" s="113"/>
      <c r="WR225" s="113"/>
      <c r="WS225" s="113"/>
      <c r="WT225" s="113"/>
      <c r="WU225" s="113"/>
      <c r="WV225" s="113"/>
      <c r="WW225" s="113"/>
      <c r="WX225" s="113"/>
      <c r="WY225" s="113"/>
      <c r="WZ225" s="113"/>
      <c r="XA225" s="113"/>
      <c r="XB225" s="113"/>
      <c r="XC225" s="113"/>
      <c r="XD225" s="113"/>
      <c r="XE225" s="113"/>
      <c r="XF225" s="113"/>
      <c r="XG225" s="113"/>
      <c r="XH225" s="113"/>
      <c r="XI225" s="113"/>
      <c r="XJ225" s="113"/>
      <c r="XK225" s="113"/>
      <c r="XL225" s="113"/>
      <c r="XM225" s="113"/>
      <c r="XN225" s="113"/>
      <c r="XO225" s="113"/>
      <c r="XP225" s="113"/>
      <c r="XQ225" s="113"/>
      <c r="XR225" s="113"/>
      <c r="XS225" s="113"/>
      <c r="XT225" s="113"/>
      <c r="XU225" s="113"/>
      <c r="XV225" s="113"/>
      <c r="XW225" s="113"/>
      <c r="XX225" s="113"/>
      <c r="XY225" s="113"/>
      <c r="XZ225" s="113"/>
      <c r="YA225" s="113"/>
      <c r="YB225" s="113"/>
      <c r="YC225" s="113"/>
      <c r="YD225" s="113"/>
      <c r="YE225" s="113"/>
      <c r="YF225" s="113"/>
      <c r="YG225" s="113"/>
      <c r="YH225" s="113"/>
      <c r="YI225" s="113"/>
      <c r="YJ225" s="113"/>
      <c r="YK225" s="113"/>
      <c r="YL225" s="113"/>
      <c r="YM225" s="113"/>
      <c r="YN225" s="113"/>
      <c r="YO225" s="113"/>
      <c r="YP225" s="113"/>
      <c r="YQ225" s="113"/>
      <c r="YR225" s="113"/>
      <c r="YS225" s="113"/>
      <c r="YT225" s="113"/>
      <c r="YU225" s="113"/>
      <c r="YV225" s="113"/>
      <c r="YW225" s="113"/>
      <c r="YX225" s="113"/>
      <c r="YY225" s="113"/>
      <c r="YZ225" s="113"/>
      <c r="ZA225" s="113"/>
      <c r="ZB225" s="113"/>
      <c r="ZC225" s="113"/>
      <c r="ZD225" s="113"/>
      <c r="ZE225" s="113"/>
      <c r="ZF225" s="113"/>
      <c r="ZG225" s="113"/>
      <c r="ZH225" s="113"/>
      <c r="ZI225" s="113"/>
      <c r="ZJ225" s="113"/>
      <c r="ZK225" s="113"/>
      <c r="ZL225" s="113"/>
      <c r="ZM225" s="113"/>
      <c r="ZN225" s="113"/>
      <c r="ZO225" s="113"/>
      <c r="ZP225" s="113"/>
      <c r="ZQ225" s="113"/>
      <c r="ZR225" s="113"/>
      <c r="ZS225" s="113"/>
      <c r="ZT225" s="113"/>
      <c r="ZU225" s="113"/>
      <c r="ZV225" s="113"/>
      <c r="ZW225" s="113"/>
      <c r="ZX225" s="113"/>
      <c r="ZY225" s="113"/>
      <c r="ZZ225" s="113"/>
      <c r="AAA225" s="113"/>
      <c r="AAB225" s="113"/>
      <c r="AAC225" s="113"/>
      <c r="AAD225" s="113"/>
      <c r="AAE225" s="113"/>
      <c r="AAF225" s="113"/>
      <c r="AAG225" s="113"/>
      <c r="AAH225" s="113"/>
      <c r="AAI225" s="113"/>
      <c r="AAJ225" s="113"/>
      <c r="AAK225" s="113"/>
      <c r="AAL225" s="113"/>
      <c r="AAM225" s="113"/>
      <c r="AAN225" s="113"/>
      <c r="AAO225" s="113"/>
      <c r="AAP225" s="113"/>
      <c r="AAQ225" s="113"/>
      <c r="AAR225" s="113"/>
      <c r="AAS225" s="113"/>
      <c r="AAT225" s="113"/>
      <c r="AAU225" s="113"/>
      <c r="AAV225" s="113"/>
      <c r="AAW225" s="113"/>
      <c r="AAX225" s="113"/>
      <c r="AAY225" s="113"/>
      <c r="AAZ225" s="113"/>
      <c r="ABA225" s="113"/>
      <c r="ABB225" s="113"/>
      <c r="ABC225" s="113"/>
      <c r="ABD225" s="113"/>
      <c r="ABE225" s="113"/>
      <c r="ABF225" s="113"/>
      <c r="ABG225" s="113"/>
      <c r="ABH225" s="113"/>
      <c r="ABI225" s="113"/>
      <c r="ABJ225" s="113"/>
      <c r="ABK225" s="113"/>
      <c r="ABL225" s="113"/>
      <c r="ABM225" s="113"/>
      <c r="ABN225" s="113"/>
      <c r="ABO225" s="113"/>
      <c r="ABP225" s="113"/>
      <c r="ABQ225" s="113"/>
      <c r="ABR225" s="113"/>
      <c r="ABS225" s="113"/>
      <c r="ABT225" s="113"/>
      <c r="ABU225" s="113"/>
      <c r="ABV225" s="113"/>
      <c r="ABW225" s="113"/>
      <c r="ABX225" s="113"/>
      <c r="ABY225" s="113"/>
      <c r="ABZ225" s="113"/>
      <c r="ACA225" s="113"/>
      <c r="ACB225" s="113"/>
      <c r="ACC225" s="113"/>
      <c r="ACD225" s="113"/>
      <c r="ACE225" s="113"/>
      <c r="ACF225" s="113"/>
      <c r="ACG225" s="113"/>
      <c r="ACH225" s="113"/>
      <c r="ACI225" s="113"/>
      <c r="ACJ225" s="113"/>
      <c r="ACK225" s="113"/>
      <c r="ACL225" s="113"/>
      <c r="ACM225" s="113"/>
      <c r="ACN225" s="113"/>
      <c r="ACO225" s="113"/>
      <c r="ACP225" s="113"/>
      <c r="ACQ225" s="113"/>
      <c r="ACR225" s="113"/>
      <c r="ACS225" s="113"/>
      <c r="ACT225" s="113"/>
      <c r="ACU225" s="113"/>
      <c r="ACV225" s="113"/>
      <c r="ACW225" s="113"/>
      <c r="ACX225" s="113"/>
      <c r="ACY225" s="113"/>
      <c r="ACZ225" s="113"/>
      <c r="ADA225" s="113"/>
      <c r="ADB225" s="113"/>
      <c r="ADC225" s="113"/>
      <c r="ADD225" s="113"/>
      <c r="ADE225" s="113"/>
      <c r="ADF225" s="113"/>
      <c r="ADG225" s="113"/>
      <c r="ADH225" s="113"/>
      <c r="ADI225" s="113"/>
      <c r="ADJ225" s="113"/>
      <c r="ADK225" s="113"/>
      <c r="ADL225" s="113"/>
      <c r="ADM225" s="113"/>
      <c r="ADN225" s="113"/>
      <c r="ADO225" s="113"/>
      <c r="ADP225" s="113"/>
      <c r="ADQ225" s="113"/>
      <c r="ADR225" s="113"/>
      <c r="ADS225" s="113"/>
      <c r="ADT225" s="113"/>
      <c r="ADU225" s="113"/>
      <c r="ADV225" s="113"/>
      <c r="ADW225" s="113"/>
      <c r="ADX225" s="113"/>
      <c r="ADY225" s="113"/>
      <c r="ADZ225" s="113"/>
      <c r="AEA225" s="113"/>
      <c r="AEB225" s="113"/>
      <c r="AEC225" s="113"/>
      <c r="AED225" s="113"/>
      <c r="AEE225" s="113"/>
      <c r="AEF225" s="113"/>
      <c r="AEG225" s="113"/>
      <c r="AEH225" s="113"/>
      <c r="AEI225" s="113"/>
      <c r="AEJ225" s="113"/>
      <c r="AEK225" s="113"/>
      <c r="AEL225" s="113"/>
      <c r="AEM225" s="113"/>
      <c r="AEN225" s="113"/>
      <c r="AEO225" s="113"/>
      <c r="AEP225" s="113"/>
      <c r="AEQ225" s="113"/>
      <c r="AER225" s="113"/>
      <c r="AES225" s="113"/>
      <c r="AET225" s="113"/>
      <c r="AEU225" s="113"/>
      <c r="AEV225" s="113"/>
      <c r="AEW225" s="113"/>
      <c r="AEX225" s="113"/>
      <c r="AEY225" s="113"/>
      <c r="AEZ225" s="113"/>
      <c r="AFA225" s="113"/>
      <c r="AFB225" s="113"/>
      <c r="AFC225" s="113"/>
      <c r="AFD225" s="113"/>
      <c r="AFE225" s="113"/>
      <c r="AFF225" s="113"/>
      <c r="AFG225" s="113"/>
      <c r="AFH225" s="113"/>
      <c r="AFI225" s="113"/>
      <c r="AFJ225" s="113"/>
      <c r="AFK225" s="113"/>
      <c r="AFL225" s="113"/>
      <c r="AFM225" s="113"/>
      <c r="AFN225" s="113"/>
      <c r="AFO225" s="113"/>
      <c r="AFP225" s="113"/>
      <c r="AFQ225" s="113"/>
      <c r="AFR225" s="113"/>
      <c r="AFS225" s="113"/>
      <c r="AFT225" s="113"/>
      <c r="AFU225" s="113"/>
      <c r="AFV225" s="113"/>
      <c r="AFW225" s="113"/>
      <c r="AFX225" s="113"/>
      <c r="AFY225" s="113"/>
      <c r="AFZ225" s="113"/>
      <c r="AGA225" s="113"/>
      <c r="AGB225" s="113"/>
      <c r="AGC225" s="113"/>
      <c r="AGD225" s="113"/>
      <c r="AGE225" s="113"/>
      <c r="AGF225" s="113"/>
      <c r="AGG225" s="113"/>
      <c r="AGH225" s="113"/>
      <c r="AGI225" s="113"/>
      <c r="AGJ225" s="113"/>
      <c r="AGK225" s="113"/>
      <c r="AGL225" s="113"/>
      <c r="AGM225" s="113"/>
      <c r="AGN225" s="113"/>
      <c r="AGO225" s="113"/>
      <c r="AGP225" s="113"/>
      <c r="AGQ225" s="113"/>
      <c r="AGR225" s="113"/>
      <c r="AGS225" s="113"/>
      <c r="AGT225" s="113"/>
      <c r="AGU225" s="113"/>
      <c r="AGV225" s="113"/>
      <c r="AGW225" s="113"/>
      <c r="AGX225" s="113"/>
      <c r="AGY225" s="113"/>
      <c r="AGZ225" s="113"/>
      <c r="AHA225" s="113"/>
      <c r="AHB225" s="113"/>
      <c r="AHC225" s="113"/>
      <c r="AHD225" s="113"/>
      <c r="AHE225" s="113"/>
      <c r="AHF225" s="113"/>
      <c r="AHG225" s="113"/>
      <c r="AHH225" s="113"/>
      <c r="AHI225" s="113"/>
      <c r="AHJ225" s="113"/>
      <c r="AHK225" s="113"/>
      <c r="AHL225" s="113"/>
      <c r="AHM225" s="113"/>
      <c r="AHN225" s="113"/>
      <c r="AHO225" s="113"/>
      <c r="AHP225" s="113"/>
      <c r="AHQ225" s="113"/>
      <c r="AHR225" s="113"/>
      <c r="AHS225" s="113"/>
      <c r="AHT225" s="113"/>
      <c r="AHU225" s="113"/>
      <c r="AHV225" s="113"/>
      <c r="AHW225" s="113"/>
      <c r="AHX225" s="113"/>
      <c r="AHY225" s="113"/>
      <c r="AHZ225" s="113"/>
      <c r="AIA225" s="113"/>
      <c r="AIB225" s="113"/>
      <c r="AIC225" s="113"/>
      <c r="AID225" s="113"/>
      <c r="AIE225" s="113"/>
      <c r="AIF225" s="113"/>
      <c r="AIG225" s="113"/>
      <c r="AIH225" s="113"/>
      <c r="AII225" s="113"/>
      <c r="AIJ225" s="113"/>
      <c r="AIK225" s="113"/>
      <c r="AIL225" s="113"/>
      <c r="AIM225" s="113"/>
      <c r="AIN225" s="113"/>
      <c r="AIO225" s="113"/>
      <c r="AIP225" s="113"/>
      <c r="AIQ225" s="113"/>
      <c r="AIR225" s="113"/>
      <c r="AIS225" s="113"/>
      <c r="AIT225" s="113"/>
      <c r="AIU225" s="113"/>
      <c r="AIV225" s="113"/>
      <c r="AIW225" s="113"/>
      <c r="AIX225" s="113"/>
      <c r="AIY225" s="113"/>
      <c r="AIZ225" s="113"/>
    </row>
    <row r="226">
      <c r="A226" s="65" t="s">
        <v>69</v>
      </c>
      <c r="B226" s="65" t="s">
        <v>70</v>
      </c>
      <c r="C226" s="65"/>
      <c r="D226" s="64">
        <f t="shared" si="1"/>
        <v>542.3935833</v>
      </c>
      <c r="F226" s="65">
        <v>30.4385833333333</v>
      </c>
      <c r="G226" s="65">
        <v>16.68945</v>
      </c>
      <c r="H226" s="65">
        <v>16.0977666666667</v>
      </c>
      <c r="I226" s="65">
        <v>8.13421666666667</v>
      </c>
      <c r="J226" s="65">
        <v>2.68978333333333</v>
      </c>
      <c r="K226" s="65">
        <v>13.3041666666667</v>
      </c>
      <c r="N226" s="65">
        <v>2.46175</v>
      </c>
      <c r="Q226" s="65">
        <v>17.4841333333333</v>
      </c>
      <c r="R226" s="65">
        <v>3.93091666666667</v>
      </c>
      <c r="S226" s="65">
        <v>25.5141</v>
      </c>
      <c r="T226" s="65">
        <v>8.21741666666667</v>
      </c>
      <c r="U226" s="65">
        <v>39.8855666666666</v>
      </c>
      <c r="X226" s="65">
        <v>0.43545</v>
      </c>
      <c r="Y226" s="65">
        <v>2.68206666666667</v>
      </c>
      <c r="Z226" s="65">
        <v>2.8049</v>
      </c>
      <c r="AA226" s="65">
        <v>0.32225</v>
      </c>
      <c r="AB226" s="65">
        <v>2.50483333333333</v>
      </c>
      <c r="AE226" s="65">
        <v>2.25601666666667</v>
      </c>
      <c r="AF226" s="65">
        <v>94.63995</v>
      </c>
      <c r="AG226" s="65">
        <v>107.318333333333</v>
      </c>
      <c r="AH226" s="65">
        <v>8.6369</v>
      </c>
      <c r="AI226" s="65">
        <v>40.908</v>
      </c>
      <c r="AL226" s="65">
        <v>3.53108333333333</v>
      </c>
      <c r="AM226" s="65">
        <v>1.78925</v>
      </c>
      <c r="AN226" s="65">
        <v>21.4315333333333</v>
      </c>
      <c r="AQ226" s="65">
        <v>1.76003333333333</v>
      </c>
      <c r="AR226" s="65">
        <v>17.8030833333333</v>
      </c>
      <c r="AU226" s="65">
        <v>48.72205</v>
      </c>
    </row>
    <row r="227">
      <c r="A227" s="65" t="s">
        <v>69</v>
      </c>
      <c r="B227" s="65" t="s">
        <v>70</v>
      </c>
      <c r="C227" s="65"/>
      <c r="D227" s="64">
        <f t="shared" si="1"/>
        <v>0</v>
      </c>
    </row>
    <row r="228">
      <c r="A228" s="65" t="s">
        <v>69</v>
      </c>
      <c r="B228" s="65" t="s">
        <v>70</v>
      </c>
      <c r="C228" s="65"/>
      <c r="D228" s="64">
        <f t="shared" si="1"/>
        <v>525.6629833</v>
      </c>
      <c r="F228" s="118">
        <f>HYPERLINK("https://docs.google.com/spreadsheets/d/1eDuJIwNTHVPQ0JV29LO5WeywnwmmVdDJ", 19.75985)</f>
        <v>19.75985</v>
      </c>
      <c r="G228" s="118">
        <f>HYPERLINK("https://docs.google.com/spreadsheets/d/1YJihaDDLeINZLFfn2736LVc_2FL-Ffyo", 16.6894333333333)</f>
        <v>16.68943333</v>
      </c>
      <c r="H228" s="118">
        <f>HYPERLINK("https://docs.google.com/spreadsheets/d/1HafVzroUlJFpJCj2HoacWunxXCwgBjN9", 16.0977666666667)</f>
        <v>16.09776667</v>
      </c>
      <c r="I228" s="118">
        <f>HYPERLINK("https://docs.google.com/spreadsheets/d/15Ei6C5FedUe4gvUpuVJBDEFD1OulJ5FZ", 8.13425)</f>
        <v>8.13425</v>
      </c>
      <c r="J228" s="118">
        <f>HYPERLINK("https://docs.google.com/spreadsheets/d/1ghDKnn-I9aGBNIUIKBdZ-RXq5gyKou8z", 2.54615)</f>
        <v>2.54615</v>
      </c>
      <c r="K228" s="118">
        <f>HYPERLINK("https://docs.google.com/spreadsheets/d/101V4acCCAG1a2Blv2LOy28iHxtS2sF_O", 13.3041666666667)</f>
        <v>13.30416667</v>
      </c>
      <c r="N228" s="118">
        <f>HYPERLINK("https://docs.google.com/spreadsheets/d/1HQVBUDUpXVP4qe9Z1us0S4i4bxlQHST6", 2.46175)</f>
        <v>2.46175</v>
      </c>
      <c r="Q228" s="118">
        <f>HYPERLINK("https://docs.google.com/spreadsheets/d/1CcOVA7uyj-aJWHk-3KaZ5Z7kZVwpxd9b", 14.2099333333333)</f>
        <v>14.20993333</v>
      </c>
      <c r="R228" s="118">
        <f>HYPERLINK("https://docs.google.com/spreadsheets/d/1TikIi7W0MDpefNgmh1V0lUlxuHtb_uXV", 3.9309)</f>
        <v>3.9309</v>
      </c>
      <c r="S228" s="118">
        <f>HYPERLINK("https://docs.google.com/spreadsheets/d/1FK9owAIxYpEuZ_rTAJ2vHK22A6ETZKMV", 25.5141166666667)</f>
        <v>25.51411667</v>
      </c>
      <c r="T228" s="118">
        <f>HYPERLINK("https://docs.google.com/spreadsheets/d/1PQaawuZQCcB0fM_i81fketMxkQ4-7Kzh", 8.21741666666667)</f>
        <v>8.217416667</v>
      </c>
      <c r="U228" s="118">
        <f>HYPERLINK("https://docs.google.com/spreadsheets/d/14AMsVx-I_wDvmKIWlDzcpH2QyNDBf-hp", 39.7694833333333)</f>
        <v>39.76948333</v>
      </c>
      <c r="X228" s="118">
        <f>HYPERLINK("https://docs.google.com/spreadsheets/d/1TyZuStg0Xug8GCJUcflz9hXJYBM8feTH", 0.305)</f>
        <v>0.305</v>
      </c>
      <c r="Y228" s="118">
        <f>HYPERLINK("https://docs.google.com/spreadsheets/d/1Q0nMsXrxmEK44Ix4Mz1WYQUUE71jIEOl", 2.68206666666667)</f>
        <v>2.682066667</v>
      </c>
      <c r="Z228" s="118">
        <f>HYPERLINK("https://docs.google.com/spreadsheets/d/1WVPcuN5ZmW8PBRxcM3UuQ7q2psc23M_P", 2.8049)</f>
        <v>2.8049</v>
      </c>
      <c r="AA228" s="118">
        <f>HYPERLINK("https://docs.google.com/spreadsheets/d/1phcloaPf-2JCNMsJK8fANEJag_y_UBpy", 0.32225)</f>
        <v>0.32225</v>
      </c>
      <c r="AB228" s="118">
        <f>HYPERLINK("https://docs.google.com/spreadsheets/d/1MnSwNfJZ3pxZ3pLGtGKPPJFAMenwTCyS", 2.50483333333333)</f>
        <v>2.504833333</v>
      </c>
      <c r="AE228" s="118">
        <f>HYPERLINK("https://docs.google.com/spreadsheets/d/1X12xa6MpGuGyycHex2BFMaPXqlKgNn0G", 1.1159)</f>
        <v>1.1159</v>
      </c>
      <c r="AF228" s="118">
        <f>HYPERLINK("https://docs.google.com/spreadsheets/d/1gCUygsWn6kneLQ_Zy0Wm5m-QpoDLieRh", 94.5892)</f>
        <v>94.5892</v>
      </c>
      <c r="AG228" s="118">
        <f>HYPERLINK("https://docs.google.com/spreadsheets/d/10_47tkglLCfLfLIWZ_gQ89z3ww2IVKC8", 106.877416666667)</f>
        <v>106.8774167</v>
      </c>
      <c r="AH228" s="118">
        <f>HYPERLINK("https://docs.google.com/spreadsheets/d/140Lp98Mx-ASTj889aaJM9V3izvAtRyFF", 8.6369)</f>
        <v>8.6369</v>
      </c>
      <c r="AI228" s="118">
        <f>HYPERLINK("https://docs.google.com/spreadsheets/d/1FGd8SF6csKXZKQ8HpN-zZ1x0mKE5qiV5", 40.3720666666667)</f>
        <v>40.37206667</v>
      </c>
      <c r="AL228" s="118">
        <f>HYPERLINK("https://docs.google.com/spreadsheets/d/1KLUxihGlownb_i3PQpnyQ_OgdwuQ4-NY", 3.53108333333333)</f>
        <v>3.531083333</v>
      </c>
      <c r="AM228" s="118">
        <f>HYPERLINK("https://docs.google.com/spreadsheets/d/1Ujp8Pfasoo1Px5wobpQjTljvptyJh1r2", 1.78925)</f>
        <v>1.78925</v>
      </c>
      <c r="AN228" s="118">
        <f>HYPERLINK("https://docs.google.com/spreadsheets/d/1PBQrABBQyl21e-WI5m4clOcCuI_85Pzv", 21.2117666666667)</f>
        <v>21.21176667</v>
      </c>
      <c r="AQ228" s="118">
        <f>HYPERLINK("https://docs.google.com/spreadsheets/d/1g494VBhmiuk7Ggrq_2EIihDg2f1omcfc", 1.76003333333333)</f>
        <v>1.760033333</v>
      </c>
      <c r="AR228" s="118">
        <f>HYPERLINK("https://docs.google.com/spreadsheets/d/19q1yVjfttzA5BNFSVyZKmVoafT-vfpSx", 17.8030833333333)</f>
        <v>17.80308333</v>
      </c>
      <c r="AU228" s="118">
        <f>HYPERLINK("https://docs.google.com/spreadsheets/d/1ZjHyCllrMiF80GL4n9fFM7SEz2wREu9W", 48.7220166666667)</f>
        <v>48.72201667</v>
      </c>
    </row>
    <row r="229">
      <c r="A229" s="65" t="s">
        <v>69</v>
      </c>
      <c r="B229" s="65" t="s">
        <v>70</v>
      </c>
      <c r="C229" s="65"/>
      <c r="D229" s="64">
        <f t="shared" si="1"/>
        <v>91.70881667</v>
      </c>
      <c r="F229" s="65">
        <v>7.5075</v>
      </c>
      <c r="G229" s="65">
        <v>2.54243333333333</v>
      </c>
      <c r="H229" s="65">
        <v>1.7442</v>
      </c>
      <c r="I229" s="65">
        <v>1.64831666666667</v>
      </c>
      <c r="J229" s="65">
        <v>0.571083333333333</v>
      </c>
      <c r="K229" s="65">
        <v>1.23798333333333</v>
      </c>
      <c r="N229" s="65">
        <v>0.582283333333333</v>
      </c>
      <c r="Q229" s="65">
        <v>3.2745</v>
      </c>
      <c r="R229" s="65">
        <v>0.129666666666667</v>
      </c>
      <c r="S229" s="65">
        <v>0.891116666666667</v>
      </c>
      <c r="T229" s="65">
        <v>1.91523333333333</v>
      </c>
      <c r="U229" s="65">
        <v>6.38748333333333</v>
      </c>
      <c r="X229" s="65">
        <v>0.0</v>
      </c>
      <c r="Y229" s="65">
        <v>0.0</v>
      </c>
      <c r="Z229" s="65">
        <v>0.0</v>
      </c>
      <c r="AA229" s="65">
        <v>0.0</v>
      </c>
      <c r="AB229" s="65">
        <v>0.149016666666667</v>
      </c>
      <c r="AE229" s="65">
        <v>0.0</v>
      </c>
      <c r="AF229" s="65">
        <v>16.7122666666667</v>
      </c>
      <c r="AG229" s="65">
        <v>12.6139</v>
      </c>
      <c r="AH229" s="65">
        <v>0.244666666666667</v>
      </c>
      <c r="AI229" s="65">
        <v>7.91286666666666</v>
      </c>
      <c r="AL229" s="65">
        <v>2.36908333333333</v>
      </c>
      <c r="AM229" s="65">
        <v>0.150683333333333</v>
      </c>
      <c r="AN229" s="65">
        <v>5.62793333333333</v>
      </c>
      <c r="AQ229" s="65">
        <v>0.7023</v>
      </c>
      <c r="AR229" s="65">
        <v>4.04423333333333</v>
      </c>
      <c r="AU229" s="65">
        <v>12.7500666666667</v>
      </c>
    </row>
    <row r="230">
      <c r="A230" s="119" t="s">
        <v>69</v>
      </c>
      <c r="B230" s="119" t="s">
        <v>70</v>
      </c>
      <c r="C230" s="119"/>
      <c r="D230" s="120">
        <f t="shared" si="1"/>
        <v>0</v>
      </c>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c r="AA230" s="120"/>
      <c r="AB230" s="120"/>
      <c r="AC230" s="120"/>
      <c r="AD230" s="120"/>
      <c r="AE230" s="120"/>
      <c r="AF230" s="120"/>
      <c r="AG230" s="120"/>
      <c r="AH230" s="120"/>
      <c r="AI230" s="120"/>
      <c r="AJ230" s="120"/>
      <c r="AK230" s="120"/>
      <c r="AL230" s="120"/>
      <c r="AM230" s="120"/>
      <c r="AN230" s="120"/>
      <c r="AO230" s="120"/>
      <c r="AP230" s="120"/>
      <c r="AQ230" s="120"/>
      <c r="AR230" s="120"/>
      <c r="AS230" s="120"/>
      <c r="AT230" s="120"/>
      <c r="AU230" s="120"/>
      <c r="AV230" s="120"/>
      <c r="AW230" s="120"/>
      <c r="AX230" s="120"/>
      <c r="AY230" s="120"/>
      <c r="AZ230" s="120"/>
      <c r="BA230" s="120"/>
      <c r="BB230" s="120"/>
      <c r="BC230" s="120"/>
      <c r="BD230" s="120"/>
      <c r="BE230" s="120"/>
      <c r="BF230" s="120"/>
      <c r="BG230" s="120"/>
      <c r="BH230" s="120"/>
      <c r="BI230" s="120"/>
      <c r="BJ230" s="120"/>
      <c r="BK230" s="120"/>
      <c r="BL230" s="120"/>
      <c r="BM230" s="120"/>
      <c r="BN230" s="120"/>
      <c r="BO230" s="120"/>
      <c r="BP230" s="120"/>
      <c r="BQ230" s="120"/>
      <c r="BR230" s="120"/>
      <c r="BS230" s="120"/>
      <c r="BT230" s="120"/>
      <c r="BU230" s="120"/>
      <c r="BV230" s="120"/>
      <c r="BW230" s="120"/>
      <c r="BX230" s="120"/>
      <c r="BY230" s="120"/>
      <c r="BZ230" s="120"/>
      <c r="CA230" s="120"/>
      <c r="CB230" s="120"/>
      <c r="CC230" s="120"/>
      <c r="CD230" s="120"/>
      <c r="CE230" s="120"/>
      <c r="CF230" s="120"/>
      <c r="CG230" s="120"/>
      <c r="CH230" s="120"/>
      <c r="CI230" s="120"/>
      <c r="CJ230" s="120"/>
      <c r="CK230" s="120"/>
      <c r="CL230" s="120"/>
      <c r="CM230" s="120"/>
      <c r="CN230" s="120"/>
      <c r="CO230" s="120"/>
      <c r="CP230" s="120"/>
      <c r="CQ230" s="120"/>
      <c r="CR230" s="120"/>
      <c r="CS230" s="120"/>
      <c r="CT230" s="120"/>
      <c r="CU230" s="120"/>
      <c r="CV230" s="120"/>
      <c r="CW230" s="120"/>
      <c r="CX230" s="120"/>
      <c r="CY230" s="120"/>
      <c r="CZ230" s="120"/>
      <c r="DA230" s="120"/>
      <c r="DB230" s="120"/>
      <c r="DC230" s="120"/>
      <c r="DD230" s="120"/>
      <c r="DE230" s="120"/>
      <c r="DF230" s="120"/>
      <c r="DG230" s="120"/>
      <c r="DH230" s="120"/>
      <c r="DI230" s="120"/>
      <c r="DJ230" s="120"/>
      <c r="DK230" s="120"/>
      <c r="DL230" s="120"/>
      <c r="DM230" s="120"/>
      <c r="DN230" s="120"/>
      <c r="DO230" s="120"/>
      <c r="DP230" s="120"/>
      <c r="DQ230" s="120"/>
      <c r="DR230" s="120"/>
      <c r="DS230" s="120"/>
      <c r="DT230" s="120"/>
      <c r="DU230" s="120"/>
      <c r="DV230" s="120"/>
      <c r="DW230" s="120"/>
      <c r="DX230" s="120"/>
      <c r="DY230" s="120"/>
      <c r="DZ230" s="120"/>
      <c r="EA230" s="120"/>
      <c r="EB230" s="120"/>
      <c r="EC230" s="120"/>
      <c r="ED230" s="120"/>
      <c r="EE230" s="120"/>
      <c r="EF230" s="120"/>
      <c r="EG230" s="120"/>
      <c r="EH230" s="120"/>
      <c r="EI230" s="120"/>
      <c r="EJ230" s="120"/>
      <c r="EK230" s="120"/>
      <c r="EL230" s="120"/>
      <c r="EM230" s="120"/>
      <c r="EN230" s="120"/>
      <c r="EO230" s="120"/>
      <c r="EP230" s="120"/>
      <c r="EQ230" s="120"/>
      <c r="ER230" s="120"/>
      <c r="ES230" s="120"/>
      <c r="ET230" s="120"/>
      <c r="EU230" s="120"/>
      <c r="EV230" s="120"/>
      <c r="EW230" s="120"/>
      <c r="EX230" s="120"/>
      <c r="EY230" s="120"/>
      <c r="EZ230" s="120"/>
      <c r="FA230" s="120"/>
      <c r="FB230" s="120"/>
      <c r="FC230" s="120"/>
      <c r="FD230" s="120"/>
      <c r="FE230" s="120"/>
      <c r="FF230" s="120"/>
      <c r="FG230" s="120"/>
      <c r="FH230" s="120"/>
      <c r="FI230" s="120"/>
      <c r="FJ230" s="120"/>
      <c r="FK230" s="120"/>
      <c r="FL230" s="120"/>
      <c r="FM230" s="120"/>
      <c r="FN230" s="120"/>
      <c r="FO230" s="120"/>
      <c r="FP230" s="120"/>
      <c r="FQ230" s="120"/>
      <c r="FR230" s="120"/>
      <c r="FS230" s="120"/>
      <c r="FT230" s="120"/>
      <c r="FU230" s="120"/>
      <c r="FV230" s="120"/>
      <c r="FW230" s="120"/>
      <c r="FX230" s="120"/>
      <c r="FY230" s="120"/>
      <c r="FZ230" s="120"/>
      <c r="GA230" s="120"/>
      <c r="GB230" s="120"/>
      <c r="GC230" s="120"/>
      <c r="GD230" s="120"/>
      <c r="GE230" s="120"/>
      <c r="GF230" s="120"/>
      <c r="GG230" s="120"/>
      <c r="GH230" s="120"/>
      <c r="GI230" s="120"/>
      <c r="GJ230" s="120"/>
      <c r="GK230" s="120"/>
      <c r="GL230" s="120"/>
      <c r="GM230" s="120"/>
      <c r="GN230" s="120"/>
      <c r="GO230" s="120"/>
      <c r="GP230" s="120"/>
      <c r="GQ230" s="120"/>
      <c r="GR230" s="120"/>
      <c r="GS230" s="120"/>
      <c r="GT230" s="120"/>
      <c r="GU230" s="120"/>
      <c r="GV230" s="120"/>
      <c r="GW230" s="120"/>
      <c r="GX230" s="120"/>
      <c r="GY230" s="120"/>
      <c r="GZ230" s="120"/>
      <c r="HA230" s="120"/>
      <c r="HB230" s="120"/>
      <c r="HC230" s="120"/>
      <c r="HD230" s="120"/>
      <c r="HE230" s="120"/>
      <c r="HF230" s="120"/>
      <c r="HG230" s="120"/>
      <c r="HH230" s="120"/>
      <c r="HI230" s="120"/>
      <c r="HJ230" s="120"/>
      <c r="HK230" s="120"/>
      <c r="HL230" s="120"/>
      <c r="HM230" s="120"/>
      <c r="HN230" s="120"/>
      <c r="HO230" s="120"/>
      <c r="HP230" s="120"/>
      <c r="HQ230" s="120"/>
      <c r="HR230" s="120"/>
      <c r="HS230" s="120"/>
      <c r="HT230" s="120"/>
      <c r="HU230" s="120"/>
      <c r="HV230" s="120"/>
      <c r="HW230" s="120"/>
      <c r="HX230" s="120"/>
      <c r="HY230" s="120"/>
      <c r="HZ230" s="120"/>
      <c r="IA230" s="120"/>
      <c r="IB230" s="120"/>
      <c r="IC230" s="120"/>
      <c r="ID230" s="120"/>
      <c r="IE230" s="120"/>
      <c r="IF230" s="120"/>
      <c r="IG230" s="120"/>
      <c r="IH230" s="120"/>
      <c r="II230" s="120"/>
      <c r="IJ230" s="120"/>
      <c r="IK230" s="120"/>
      <c r="IL230" s="120"/>
      <c r="IM230" s="120"/>
      <c r="IN230" s="120"/>
      <c r="IO230" s="120"/>
      <c r="IP230" s="120"/>
      <c r="IQ230" s="120"/>
      <c r="IR230" s="120"/>
      <c r="IS230" s="120"/>
      <c r="IT230" s="120"/>
      <c r="IU230" s="120"/>
      <c r="IV230" s="120"/>
      <c r="IW230" s="120"/>
      <c r="IX230" s="120"/>
      <c r="IY230" s="120"/>
      <c r="IZ230" s="120"/>
      <c r="JA230" s="120"/>
      <c r="JB230" s="120"/>
      <c r="JC230" s="120"/>
      <c r="JD230" s="120"/>
      <c r="JE230" s="120"/>
      <c r="JF230" s="120"/>
      <c r="JG230" s="120"/>
      <c r="JH230" s="120"/>
      <c r="JI230" s="120"/>
      <c r="JJ230" s="120"/>
      <c r="JK230" s="120"/>
      <c r="JL230" s="120"/>
      <c r="JM230" s="120"/>
      <c r="JN230" s="120"/>
      <c r="JO230" s="120"/>
      <c r="JP230" s="120"/>
      <c r="JQ230" s="120"/>
      <c r="JR230" s="120"/>
      <c r="JS230" s="120"/>
      <c r="JT230" s="120"/>
      <c r="JU230" s="120"/>
      <c r="JV230" s="120"/>
      <c r="JW230" s="120"/>
      <c r="JX230" s="120"/>
      <c r="JY230" s="120"/>
      <c r="JZ230" s="120"/>
      <c r="KA230" s="120"/>
      <c r="KB230" s="120"/>
      <c r="KC230" s="120"/>
      <c r="KD230" s="120"/>
      <c r="KE230" s="120"/>
      <c r="KF230" s="120"/>
      <c r="KG230" s="120"/>
      <c r="KH230" s="120"/>
      <c r="KI230" s="120"/>
      <c r="KJ230" s="120"/>
      <c r="KK230" s="120"/>
      <c r="KL230" s="120"/>
      <c r="KM230" s="120"/>
      <c r="KN230" s="120"/>
      <c r="KO230" s="120"/>
      <c r="KP230" s="120"/>
      <c r="KQ230" s="120"/>
      <c r="KR230" s="120"/>
      <c r="KS230" s="120"/>
      <c r="KT230" s="120"/>
      <c r="KU230" s="120"/>
      <c r="KV230" s="120"/>
      <c r="KW230" s="120"/>
      <c r="KX230" s="120"/>
      <c r="KY230" s="120"/>
      <c r="KZ230" s="120"/>
      <c r="LA230" s="120"/>
      <c r="LB230" s="120"/>
      <c r="LC230" s="120"/>
      <c r="LD230" s="120"/>
      <c r="LE230" s="120"/>
      <c r="LF230" s="120"/>
      <c r="LG230" s="120"/>
      <c r="LH230" s="120"/>
      <c r="LI230" s="120"/>
      <c r="LJ230" s="120"/>
      <c r="LK230" s="120"/>
      <c r="LL230" s="120"/>
      <c r="LM230" s="120"/>
      <c r="LN230" s="120"/>
      <c r="LO230" s="120"/>
      <c r="LP230" s="120"/>
      <c r="LQ230" s="120"/>
      <c r="LR230" s="120"/>
      <c r="LS230" s="120"/>
      <c r="LT230" s="120"/>
      <c r="LU230" s="120"/>
      <c r="LV230" s="120"/>
      <c r="LW230" s="120"/>
      <c r="LX230" s="120"/>
      <c r="LY230" s="120"/>
      <c r="LZ230" s="120"/>
      <c r="MA230" s="120"/>
      <c r="MB230" s="120"/>
      <c r="MC230" s="120"/>
      <c r="MD230" s="120"/>
      <c r="ME230" s="120"/>
      <c r="MF230" s="120"/>
      <c r="MG230" s="120"/>
      <c r="MH230" s="120"/>
      <c r="MI230" s="120"/>
      <c r="MJ230" s="120"/>
      <c r="MK230" s="120"/>
      <c r="ML230" s="120"/>
      <c r="MM230" s="120"/>
      <c r="MN230" s="120"/>
      <c r="MO230" s="120"/>
      <c r="MP230" s="120"/>
      <c r="MQ230" s="120"/>
      <c r="MR230" s="120"/>
      <c r="MS230" s="120"/>
      <c r="MT230" s="120"/>
      <c r="MU230" s="120"/>
      <c r="MV230" s="120"/>
      <c r="MW230" s="120"/>
      <c r="MX230" s="120"/>
      <c r="MY230" s="120"/>
      <c r="MZ230" s="120"/>
      <c r="NA230" s="120"/>
      <c r="NB230" s="120"/>
      <c r="NC230" s="120"/>
      <c r="ND230" s="120"/>
      <c r="NE230" s="120"/>
      <c r="NF230" s="120"/>
      <c r="NG230" s="120"/>
      <c r="NH230" s="120"/>
      <c r="NI230" s="120"/>
      <c r="NJ230" s="120"/>
      <c r="NK230" s="120"/>
      <c r="NL230" s="120"/>
      <c r="NM230" s="120"/>
      <c r="NN230" s="120"/>
      <c r="NO230" s="120"/>
      <c r="NP230" s="120"/>
      <c r="NQ230" s="120"/>
      <c r="NR230" s="120"/>
      <c r="NS230" s="120"/>
      <c r="NT230" s="120"/>
      <c r="NU230" s="120"/>
      <c r="NV230" s="120"/>
      <c r="NW230" s="120"/>
      <c r="NX230" s="120"/>
      <c r="NY230" s="120"/>
      <c r="NZ230" s="120"/>
      <c r="OA230" s="120"/>
      <c r="OB230" s="120"/>
      <c r="OC230" s="120"/>
      <c r="OD230" s="120"/>
      <c r="OE230" s="120"/>
      <c r="OF230" s="120"/>
      <c r="OG230" s="120"/>
      <c r="OH230" s="120"/>
      <c r="OI230" s="120"/>
      <c r="OJ230" s="120"/>
      <c r="OK230" s="120"/>
      <c r="OL230" s="120"/>
      <c r="OM230" s="120"/>
      <c r="ON230" s="120"/>
      <c r="OO230" s="120"/>
      <c r="OP230" s="120"/>
      <c r="OQ230" s="120"/>
      <c r="OR230" s="120"/>
      <c r="OS230" s="120"/>
      <c r="OT230" s="120"/>
      <c r="OU230" s="120"/>
      <c r="OV230" s="120"/>
      <c r="OW230" s="120"/>
      <c r="OX230" s="120"/>
      <c r="OY230" s="120"/>
      <c r="OZ230" s="120"/>
      <c r="PA230" s="120"/>
      <c r="PB230" s="120"/>
      <c r="PC230" s="120"/>
      <c r="PD230" s="120"/>
      <c r="PE230" s="120"/>
      <c r="PF230" s="120"/>
      <c r="PG230" s="120"/>
      <c r="PH230" s="120"/>
      <c r="PI230" s="120"/>
      <c r="PJ230" s="120"/>
      <c r="PK230" s="120"/>
      <c r="PL230" s="120"/>
      <c r="PM230" s="120"/>
      <c r="PN230" s="120"/>
      <c r="PO230" s="120"/>
      <c r="PP230" s="120"/>
      <c r="PQ230" s="120"/>
      <c r="PR230" s="120"/>
      <c r="PS230" s="120"/>
      <c r="PT230" s="120"/>
      <c r="PU230" s="120"/>
      <c r="PV230" s="120"/>
      <c r="PW230" s="120"/>
      <c r="PX230" s="120"/>
      <c r="PY230" s="120"/>
      <c r="PZ230" s="120"/>
      <c r="QA230" s="120"/>
      <c r="QB230" s="120"/>
      <c r="QC230" s="120"/>
      <c r="QD230" s="120"/>
      <c r="QE230" s="120"/>
      <c r="QF230" s="120"/>
      <c r="QG230" s="120"/>
      <c r="QH230" s="120"/>
      <c r="QI230" s="120"/>
      <c r="QJ230" s="120"/>
      <c r="QK230" s="120"/>
      <c r="QL230" s="120"/>
      <c r="QM230" s="120"/>
      <c r="QN230" s="120"/>
      <c r="QO230" s="120"/>
      <c r="QP230" s="120"/>
      <c r="QQ230" s="120"/>
      <c r="QR230" s="120"/>
      <c r="QS230" s="120"/>
      <c r="QT230" s="120"/>
      <c r="QU230" s="120"/>
      <c r="QV230" s="120"/>
      <c r="QW230" s="120"/>
      <c r="QX230" s="120"/>
      <c r="QY230" s="120"/>
      <c r="QZ230" s="120"/>
      <c r="RA230" s="120"/>
      <c r="RB230" s="120"/>
      <c r="RC230" s="120"/>
      <c r="RD230" s="120"/>
      <c r="RE230" s="120"/>
      <c r="RF230" s="120"/>
      <c r="RG230" s="120"/>
      <c r="RH230" s="120"/>
      <c r="RI230" s="120"/>
      <c r="RJ230" s="120"/>
      <c r="RK230" s="120"/>
      <c r="RL230" s="120"/>
      <c r="RM230" s="120"/>
      <c r="RN230" s="120"/>
      <c r="RO230" s="120"/>
      <c r="RP230" s="120"/>
      <c r="RQ230" s="120"/>
      <c r="RR230" s="120"/>
      <c r="RS230" s="120"/>
      <c r="RT230" s="120"/>
      <c r="RU230" s="120"/>
      <c r="RV230" s="120"/>
      <c r="RW230" s="120"/>
      <c r="RX230" s="120"/>
      <c r="RY230" s="120"/>
      <c r="RZ230" s="120"/>
      <c r="SA230" s="120"/>
      <c r="SB230" s="120"/>
      <c r="SC230" s="120"/>
      <c r="SD230" s="120"/>
      <c r="SE230" s="120"/>
      <c r="SF230" s="120"/>
      <c r="SG230" s="120"/>
      <c r="SH230" s="120"/>
      <c r="SI230" s="120"/>
      <c r="SJ230" s="120"/>
      <c r="SK230" s="120"/>
      <c r="SL230" s="120"/>
      <c r="SM230" s="120"/>
      <c r="SN230" s="120"/>
      <c r="SO230" s="120"/>
      <c r="SP230" s="120"/>
      <c r="SQ230" s="120"/>
      <c r="SR230" s="120"/>
      <c r="SS230" s="120"/>
      <c r="ST230" s="120"/>
      <c r="SU230" s="120"/>
      <c r="SV230" s="120"/>
      <c r="SW230" s="120"/>
      <c r="SX230" s="120"/>
      <c r="SY230" s="120"/>
      <c r="SZ230" s="120"/>
      <c r="TA230" s="120"/>
      <c r="TB230" s="120"/>
      <c r="TC230" s="120"/>
      <c r="TD230" s="120"/>
      <c r="TE230" s="120"/>
      <c r="TF230" s="120"/>
      <c r="TG230" s="120"/>
      <c r="TH230" s="120"/>
      <c r="TI230" s="120"/>
      <c r="TJ230" s="120"/>
      <c r="TK230" s="120"/>
      <c r="TL230" s="120"/>
      <c r="TM230" s="120"/>
      <c r="TN230" s="120"/>
      <c r="TO230" s="120"/>
      <c r="TP230" s="120"/>
      <c r="TQ230" s="120"/>
      <c r="TR230" s="120"/>
      <c r="TS230" s="120"/>
      <c r="TT230" s="120"/>
      <c r="TU230" s="120"/>
      <c r="TV230" s="120"/>
      <c r="TW230" s="120"/>
      <c r="TX230" s="120"/>
      <c r="TY230" s="120"/>
      <c r="TZ230" s="120"/>
      <c r="UA230" s="120"/>
      <c r="UB230" s="120"/>
      <c r="UC230" s="120"/>
      <c r="UD230" s="120"/>
      <c r="UE230" s="120"/>
      <c r="UF230" s="120"/>
      <c r="UG230" s="120"/>
      <c r="UH230" s="120"/>
      <c r="UI230" s="120"/>
      <c r="UJ230" s="120"/>
      <c r="UK230" s="120"/>
      <c r="UL230" s="120"/>
      <c r="UM230" s="120"/>
      <c r="UN230" s="120"/>
      <c r="UO230" s="120"/>
      <c r="UP230" s="120"/>
      <c r="UQ230" s="120"/>
      <c r="UR230" s="120"/>
      <c r="US230" s="120"/>
      <c r="UT230" s="120"/>
      <c r="UU230" s="120"/>
      <c r="UV230" s="120"/>
      <c r="UW230" s="120"/>
      <c r="UX230" s="120"/>
      <c r="UY230" s="120"/>
      <c r="UZ230" s="120"/>
      <c r="VA230" s="120"/>
      <c r="VB230" s="120"/>
      <c r="VC230" s="120"/>
      <c r="VD230" s="120"/>
      <c r="VE230" s="120"/>
      <c r="VF230" s="120"/>
      <c r="VG230" s="120"/>
      <c r="VH230" s="120"/>
      <c r="VI230" s="120"/>
      <c r="VJ230" s="120"/>
      <c r="VK230" s="120"/>
      <c r="VL230" s="120"/>
      <c r="VM230" s="120"/>
      <c r="VN230" s="120"/>
      <c r="VO230" s="120"/>
      <c r="VP230" s="120"/>
      <c r="VQ230" s="120"/>
      <c r="VR230" s="120"/>
      <c r="VS230" s="120"/>
      <c r="VT230" s="120"/>
      <c r="VU230" s="120"/>
      <c r="VV230" s="120"/>
      <c r="VW230" s="120"/>
      <c r="VX230" s="120"/>
      <c r="VY230" s="120"/>
      <c r="VZ230" s="120"/>
      <c r="WA230" s="120"/>
      <c r="WB230" s="120"/>
      <c r="WC230" s="120"/>
      <c r="WD230" s="120"/>
      <c r="WE230" s="120"/>
      <c r="WF230" s="120"/>
      <c r="WG230" s="120"/>
      <c r="WH230" s="120"/>
      <c r="WI230" s="120"/>
      <c r="WJ230" s="120"/>
      <c r="WK230" s="120"/>
      <c r="WL230" s="120"/>
      <c r="WM230" s="120"/>
      <c r="WN230" s="120"/>
      <c r="WO230" s="120"/>
      <c r="WP230" s="120"/>
      <c r="WQ230" s="120"/>
      <c r="WR230" s="120"/>
      <c r="WS230" s="120"/>
      <c r="WT230" s="120"/>
      <c r="WU230" s="120"/>
      <c r="WV230" s="120"/>
      <c r="WW230" s="120"/>
      <c r="WX230" s="120"/>
      <c r="WY230" s="120"/>
      <c r="WZ230" s="120"/>
      <c r="XA230" s="120"/>
      <c r="XB230" s="120"/>
      <c r="XC230" s="120"/>
      <c r="XD230" s="120"/>
      <c r="XE230" s="120"/>
      <c r="XF230" s="120"/>
      <c r="XG230" s="120"/>
      <c r="XH230" s="120"/>
      <c r="XI230" s="120"/>
      <c r="XJ230" s="120"/>
      <c r="XK230" s="120"/>
      <c r="XL230" s="120"/>
      <c r="XM230" s="120"/>
      <c r="XN230" s="120"/>
      <c r="XO230" s="120"/>
      <c r="XP230" s="120"/>
      <c r="XQ230" s="120"/>
      <c r="XR230" s="120"/>
      <c r="XS230" s="120"/>
      <c r="XT230" s="120"/>
      <c r="XU230" s="120"/>
      <c r="XV230" s="120"/>
      <c r="XW230" s="120"/>
      <c r="XX230" s="120"/>
      <c r="XY230" s="120"/>
      <c r="XZ230" s="120"/>
      <c r="YA230" s="120"/>
      <c r="YB230" s="120"/>
      <c r="YC230" s="120"/>
      <c r="YD230" s="120"/>
      <c r="YE230" s="120"/>
      <c r="YF230" s="120"/>
      <c r="YG230" s="120"/>
      <c r="YH230" s="120"/>
      <c r="YI230" s="120"/>
      <c r="YJ230" s="120"/>
      <c r="YK230" s="120"/>
      <c r="YL230" s="120"/>
      <c r="YM230" s="120"/>
      <c r="YN230" s="120"/>
      <c r="YO230" s="120"/>
      <c r="YP230" s="120"/>
      <c r="YQ230" s="120"/>
      <c r="YR230" s="120"/>
      <c r="YS230" s="120"/>
      <c r="YT230" s="120"/>
      <c r="YU230" s="120"/>
      <c r="YV230" s="120"/>
      <c r="YW230" s="120"/>
      <c r="YX230" s="120"/>
      <c r="YY230" s="120"/>
      <c r="YZ230" s="120"/>
      <c r="ZA230" s="120"/>
      <c r="ZB230" s="120"/>
      <c r="ZC230" s="120"/>
      <c r="ZD230" s="120"/>
      <c r="ZE230" s="120"/>
      <c r="ZF230" s="120"/>
      <c r="ZG230" s="120"/>
      <c r="ZH230" s="120"/>
      <c r="ZI230" s="120"/>
      <c r="ZJ230" s="120"/>
      <c r="ZK230" s="120"/>
      <c r="ZL230" s="120"/>
      <c r="ZM230" s="120"/>
      <c r="ZN230" s="120"/>
      <c r="ZO230" s="120"/>
      <c r="ZP230" s="120"/>
      <c r="ZQ230" s="120"/>
      <c r="ZR230" s="120"/>
      <c r="ZS230" s="120"/>
      <c r="ZT230" s="120"/>
      <c r="ZU230" s="120"/>
      <c r="ZV230" s="120"/>
      <c r="ZW230" s="120"/>
      <c r="ZX230" s="120"/>
      <c r="ZY230" s="120"/>
      <c r="ZZ230" s="120"/>
      <c r="AAA230" s="120"/>
      <c r="AAB230" s="120"/>
      <c r="AAC230" s="120"/>
      <c r="AAD230" s="120"/>
      <c r="AAE230" s="120"/>
      <c r="AAF230" s="120"/>
      <c r="AAG230" s="120"/>
      <c r="AAH230" s="120"/>
      <c r="AAI230" s="120"/>
      <c r="AAJ230" s="120"/>
      <c r="AAK230" s="120"/>
      <c r="AAL230" s="120"/>
      <c r="AAM230" s="120"/>
      <c r="AAN230" s="120"/>
      <c r="AAO230" s="120"/>
      <c r="AAP230" s="120"/>
      <c r="AAQ230" s="120"/>
      <c r="AAR230" s="120"/>
      <c r="AAS230" s="120"/>
      <c r="AAT230" s="120"/>
      <c r="AAU230" s="120"/>
      <c r="AAV230" s="120"/>
      <c r="AAW230" s="120"/>
      <c r="AAX230" s="120"/>
      <c r="AAY230" s="120"/>
      <c r="AAZ230" s="120"/>
      <c r="ABA230" s="120"/>
      <c r="ABB230" s="120"/>
      <c r="ABC230" s="120"/>
      <c r="ABD230" s="120"/>
      <c r="ABE230" s="120"/>
      <c r="ABF230" s="120"/>
      <c r="ABG230" s="120"/>
      <c r="ABH230" s="120"/>
      <c r="ABI230" s="120"/>
      <c r="ABJ230" s="120"/>
      <c r="ABK230" s="120"/>
      <c r="ABL230" s="120"/>
      <c r="ABM230" s="120"/>
      <c r="ABN230" s="120"/>
      <c r="ABO230" s="120"/>
      <c r="ABP230" s="120"/>
      <c r="ABQ230" s="120"/>
      <c r="ABR230" s="120"/>
      <c r="ABS230" s="120"/>
      <c r="ABT230" s="120"/>
      <c r="ABU230" s="120"/>
      <c r="ABV230" s="120"/>
      <c r="ABW230" s="120"/>
      <c r="ABX230" s="120"/>
      <c r="ABY230" s="120"/>
      <c r="ABZ230" s="120"/>
      <c r="ACA230" s="120"/>
      <c r="ACB230" s="120"/>
      <c r="ACC230" s="120"/>
      <c r="ACD230" s="120"/>
      <c r="ACE230" s="120"/>
      <c r="ACF230" s="120"/>
      <c r="ACG230" s="120"/>
      <c r="ACH230" s="120"/>
      <c r="ACI230" s="120"/>
      <c r="ACJ230" s="120"/>
      <c r="ACK230" s="120"/>
      <c r="ACL230" s="120"/>
      <c r="ACM230" s="120"/>
      <c r="ACN230" s="120"/>
      <c r="ACO230" s="120"/>
      <c r="ACP230" s="120"/>
      <c r="ACQ230" s="120"/>
      <c r="ACR230" s="120"/>
      <c r="ACS230" s="120"/>
      <c r="ACT230" s="120"/>
      <c r="ACU230" s="120"/>
      <c r="ACV230" s="120"/>
      <c r="ACW230" s="120"/>
      <c r="ACX230" s="120"/>
      <c r="ACY230" s="120"/>
      <c r="ACZ230" s="120"/>
      <c r="ADA230" s="120"/>
      <c r="ADB230" s="120"/>
      <c r="ADC230" s="120"/>
      <c r="ADD230" s="120"/>
      <c r="ADE230" s="120"/>
      <c r="ADF230" s="120"/>
      <c r="ADG230" s="120"/>
      <c r="ADH230" s="120"/>
      <c r="ADI230" s="120"/>
      <c r="ADJ230" s="120"/>
      <c r="ADK230" s="120"/>
      <c r="ADL230" s="120"/>
      <c r="ADM230" s="120"/>
      <c r="ADN230" s="120"/>
      <c r="ADO230" s="120"/>
      <c r="ADP230" s="120"/>
      <c r="ADQ230" s="120"/>
      <c r="ADR230" s="120"/>
      <c r="ADS230" s="120"/>
      <c r="ADT230" s="120"/>
      <c r="ADU230" s="120"/>
      <c r="ADV230" s="120"/>
      <c r="ADW230" s="120"/>
      <c r="ADX230" s="120"/>
      <c r="ADY230" s="120"/>
      <c r="ADZ230" s="120"/>
      <c r="AEA230" s="120"/>
      <c r="AEB230" s="120"/>
      <c r="AEC230" s="120"/>
      <c r="AED230" s="120"/>
      <c r="AEE230" s="120"/>
      <c r="AEF230" s="120"/>
      <c r="AEG230" s="120"/>
      <c r="AEH230" s="120"/>
      <c r="AEI230" s="120"/>
      <c r="AEJ230" s="120"/>
      <c r="AEK230" s="120"/>
      <c r="AEL230" s="120"/>
      <c r="AEM230" s="120"/>
      <c r="AEN230" s="120"/>
      <c r="AEO230" s="120"/>
      <c r="AEP230" s="120"/>
      <c r="AEQ230" s="120"/>
      <c r="AER230" s="120"/>
      <c r="AES230" s="120"/>
      <c r="AET230" s="120"/>
      <c r="AEU230" s="120"/>
      <c r="AEV230" s="120"/>
      <c r="AEW230" s="120"/>
      <c r="AEX230" s="120"/>
      <c r="AEY230" s="120"/>
      <c r="AEZ230" s="120"/>
      <c r="AFA230" s="120"/>
      <c r="AFB230" s="120"/>
      <c r="AFC230" s="120"/>
      <c r="AFD230" s="120"/>
      <c r="AFE230" s="120"/>
      <c r="AFF230" s="120"/>
      <c r="AFG230" s="120"/>
      <c r="AFH230" s="120"/>
      <c r="AFI230" s="120"/>
      <c r="AFJ230" s="120"/>
      <c r="AFK230" s="120"/>
      <c r="AFL230" s="120"/>
      <c r="AFM230" s="120"/>
      <c r="AFN230" s="120"/>
      <c r="AFO230" s="120"/>
      <c r="AFP230" s="120"/>
      <c r="AFQ230" s="120"/>
      <c r="AFR230" s="120"/>
      <c r="AFS230" s="120"/>
      <c r="AFT230" s="120"/>
      <c r="AFU230" s="120"/>
      <c r="AFV230" s="120"/>
      <c r="AFW230" s="120"/>
      <c r="AFX230" s="120"/>
      <c r="AFY230" s="120"/>
      <c r="AFZ230" s="120"/>
      <c r="AGA230" s="120"/>
      <c r="AGB230" s="120"/>
      <c r="AGC230" s="120"/>
      <c r="AGD230" s="120"/>
      <c r="AGE230" s="120"/>
      <c r="AGF230" s="120"/>
      <c r="AGG230" s="120"/>
      <c r="AGH230" s="120"/>
      <c r="AGI230" s="120"/>
      <c r="AGJ230" s="120"/>
      <c r="AGK230" s="120"/>
      <c r="AGL230" s="120"/>
      <c r="AGM230" s="120"/>
      <c r="AGN230" s="120"/>
      <c r="AGO230" s="120"/>
      <c r="AGP230" s="120"/>
      <c r="AGQ230" s="120"/>
      <c r="AGR230" s="120"/>
      <c r="AGS230" s="120"/>
      <c r="AGT230" s="120"/>
      <c r="AGU230" s="120"/>
      <c r="AGV230" s="120"/>
      <c r="AGW230" s="120"/>
      <c r="AGX230" s="120"/>
      <c r="AGY230" s="120"/>
      <c r="AGZ230" s="120"/>
      <c r="AHA230" s="120"/>
      <c r="AHB230" s="120"/>
      <c r="AHC230" s="120"/>
      <c r="AHD230" s="120"/>
      <c r="AHE230" s="120"/>
      <c r="AHF230" s="120"/>
      <c r="AHG230" s="120"/>
      <c r="AHH230" s="120"/>
      <c r="AHI230" s="120"/>
      <c r="AHJ230" s="120"/>
      <c r="AHK230" s="120"/>
      <c r="AHL230" s="120"/>
      <c r="AHM230" s="120"/>
      <c r="AHN230" s="120"/>
      <c r="AHO230" s="120"/>
      <c r="AHP230" s="120"/>
      <c r="AHQ230" s="120"/>
      <c r="AHR230" s="120"/>
      <c r="AHS230" s="120"/>
      <c r="AHT230" s="120"/>
      <c r="AHU230" s="120"/>
      <c r="AHV230" s="120"/>
      <c r="AHW230" s="120"/>
      <c r="AHX230" s="120"/>
      <c r="AHY230" s="120"/>
      <c r="AHZ230" s="120"/>
      <c r="AIA230" s="120"/>
      <c r="AIB230" s="120"/>
      <c r="AIC230" s="120"/>
      <c r="AID230" s="120"/>
      <c r="AIE230" s="120"/>
      <c r="AIF230" s="120"/>
      <c r="AIG230" s="120"/>
      <c r="AIH230" s="120"/>
      <c r="AII230" s="120"/>
      <c r="AIJ230" s="120"/>
      <c r="AIK230" s="120"/>
      <c r="AIL230" s="120"/>
      <c r="AIM230" s="120"/>
      <c r="AIN230" s="120"/>
      <c r="AIO230" s="120"/>
      <c r="AIP230" s="120"/>
      <c r="AIQ230" s="120"/>
      <c r="AIR230" s="120"/>
      <c r="AIS230" s="120"/>
      <c r="AIT230" s="120"/>
      <c r="AIU230" s="120"/>
      <c r="AIV230" s="120"/>
      <c r="AIW230" s="120"/>
      <c r="AIX230" s="120"/>
      <c r="AIY230" s="120"/>
      <c r="AIZ230" s="120"/>
    </row>
    <row r="231">
      <c r="A231" s="112" t="s">
        <v>69</v>
      </c>
      <c r="B231" s="112" t="s">
        <v>71</v>
      </c>
      <c r="C231" s="112"/>
      <c r="D231" s="113">
        <f t="shared" si="1"/>
        <v>524.90585</v>
      </c>
      <c r="E231" s="112">
        <v>94.3809333333334</v>
      </c>
      <c r="F231" s="113"/>
      <c r="G231" s="113"/>
      <c r="H231" s="113"/>
      <c r="I231" s="113"/>
      <c r="J231" s="113"/>
      <c r="K231" s="113"/>
      <c r="L231" s="112">
        <v>1.1995</v>
      </c>
      <c r="M231" s="112">
        <v>11.58585</v>
      </c>
      <c r="N231" s="113"/>
      <c r="O231" s="113"/>
      <c r="P231" s="112">
        <v>80.6195166666667</v>
      </c>
      <c r="Q231" s="113"/>
      <c r="R231" s="113"/>
      <c r="S231" s="113"/>
      <c r="T231" s="113"/>
      <c r="U231" s="113"/>
      <c r="V231" s="112">
        <v>2.15256666666667</v>
      </c>
      <c r="W231" s="112">
        <v>6.78523333333333</v>
      </c>
      <c r="X231" s="113"/>
      <c r="Y231" s="113"/>
      <c r="Z231" s="113"/>
      <c r="AA231" s="113"/>
      <c r="AB231" s="113"/>
      <c r="AC231" s="112">
        <v>0.706166666666667</v>
      </c>
      <c r="AD231" s="112">
        <v>232.847933333333</v>
      </c>
      <c r="AE231" s="113"/>
      <c r="AF231" s="113"/>
      <c r="AG231" s="113"/>
      <c r="AH231" s="113"/>
      <c r="AI231" s="113"/>
      <c r="AJ231" s="112">
        <v>6.57763333333333</v>
      </c>
      <c r="AK231" s="112">
        <v>20.9450333333333</v>
      </c>
      <c r="AL231" s="113"/>
      <c r="AM231" s="113"/>
      <c r="AN231" s="113"/>
      <c r="AO231" s="112">
        <v>5.07033333333333</v>
      </c>
      <c r="AP231" s="112">
        <v>16.8904833333333</v>
      </c>
      <c r="AQ231" s="113"/>
      <c r="AR231" s="113"/>
      <c r="AS231" s="112">
        <v>1.75653333333333</v>
      </c>
      <c r="AT231" s="112">
        <v>39.1477666666667</v>
      </c>
      <c r="AU231" s="113"/>
      <c r="AV231" s="112">
        <v>3.50545</v>
      </c>
      <c r="AW231" s="112">
        <v>0.734916666666667</v>
      </c>
      <c r="AX231" s="113"/>
      <c r="AY231" s="113"/>
      <c r="AZ231" s="113"/>
      <c r="BA231" s="113"/>
      <c r="BB231" s="113"/>
      <c r="BC231" s="113"/>
      <c r="BD231" s="113"/>
      <c r="BE231" s="113"/>
      <c r="BF231" s="113"/>
      <c r="BG231" s="113"/>
      <c r="BH231" s="113"/>
      <c r="BI231" s="113"/>
      <c r="BJ231" s="113"/>
      <c r="BK231" s="113"/>
      <c r="BL231" s="113"/>
      <c r="BM231" s="113"/>
      <c r="BN231" s="113"/>
      <c r="BO231" s="113"/>
      <c r="BP231" s="113"/>
      <c r="BQ231" s="113"/>
      <c r="BR231" s="113"/>
      <c r="BS231" s="113"/>
      <c r="BT231" s="113"/>
      <c r="BU231" s="113"/>
      <c r="BV231" s="113"/>
      <c r="BW231" s="113"/>
      <c r="BX231" s="113"/>
      <c r="BY231" s="113"/>
      <c r="BZ231" s="113"/>
      <c r="CA231" s="113"/>
      <c r="CB231" s="113"/>
      <c r="CC231" s="113"/>
      <c r="CD231" s="113"/>
      <c r="CE231" s="113"/>
      <c r="CF231" s="113"/>
      <c r="CG231" s="113"/>
      <c r="CH231" s="113"/>
      <c r="CI231" s="113"/>
      <c r="CJ231" s="113"/>
      <c r="CK231" s="113"/>
      <c r="CL231" s="113"/>
      <c r="CM231" s="113"/>
      <c r="CN231" s="113"/>
      <c r="CO231" s="113"/>
      <c r="CP231" s="113"/>
      <c r="CQ231" s="113"/>
      <c r="CR231" s="113"/>
      <c r="CS231" s="113"/>
      <c r="CT231" s="113"/>
      <c r="CU231" s="113"/>
      <c r="CV231" s="113"/>
      <c r="CW231" s="113"/>
      <c r="CX231" s="113"/>
      <c r="CY231" s="113"/>
      <c r="CZ231" s="113"/>
      <c r="DA231" s="113"/>
      <c r="DB231" s="113"/>
      <c r="DC231" s="113"/>
      <c r="DD231" s="113"/>
      <c r="DE231" s="113"/>
      <c r="DF231" s="113"/>
      <c r="DG231" s="113"/>
      <c r="DH231" s="113"/>
      <c r="DI231" s="113"/>
      <c r="DJ231" s="113"/>
      <c r="DK231" s="113"/>
      <c r="DL231" s="113"/>
      <c r="DM231" s="113"/>
      <c r="DN231" s="113"/>
      <c r="DO231" s="113"/>
      <c r="DP231" s="113"/>
      <c r="DQ231" s="113"/>
      <c r="DR231" s="113"/>
      <c r="DS231" s="113"/>
      <c r="DT231" s="113"/>
      <c r="DU231" s="113"/>
      <c r="DV231" s="113"/>
      <c r="DW231" s="113"/>
      <c r="DX231" s="113"/>
      <c r="DY231" s="113"/>
      <c r="DZ231" s="113"/>
      <c r="EA231" s="113"/>
      <c r="EB231" s="113"/>
      <c r="EC231" s="113"/>
      <c r="ED231" s="113"/>
      <c r="EE231" s="113"/>
      <c r="EF231" s="113"/>
      <c r="EG231" s="113"/>
      <c r="EH231" s="113"/>
      <c r="EI231" s="113"/>
      <c r="EJ231" s="113"/>
      <c r="EK231" s="113"/>
      <c r="EL231" s="113"/>
      <c r="EM231" s="113"/>
      <c r="EN231" s="113"/>
      <c r="EO231" s="113"/>
      <c r="EP231" s="113"/>
      <c r="EQ231" s="113"/>
      <c r="ER231" s="113"/>
      <c r="ES231" s="113"/>
      <c r="ET231" s="113"/>
      <c r="EU231" s="113"/>
      <c r="EV231" s="113"/>
      <c r="EW231" s="113"/>
      <c r="EX231" s="113"/>
      <c r="EY231" s="113"/>
      <c r="EZ231" s="113"/>
      <c r="FA231" s="113"/>
      <c r="FB231" s="113"/>
      <c r="FC231" s="113"/>
      <c r="FD231" s="113"/>
      <c r="FE231" s="113"/>
      <c r="FF231" s="113"/>
      <c r="FG231" s="113"/>
      <c r="FH231" s="113"/>
      <c r="FI231" s="113"/>
      <c r="FJ231" s="113"/>
      <c r="FK231" s="113"/>
      <c r="FL231" s="113"/>
      <c r="FM231" s="113"/>
      <c r="FN231" s="113"/>
      <c r="FO231" s="113"/>
      <c r="FP231" s="113"/>
      <c r="FQ231" s="113"/>
      <c r="FR231" s="113"/>
      <c r="FS231" s="113"/>
      <c r="FT231" s="113"/>
      <c r="FU231" s="113"/>
      <c r="FV231" s="113"/>
      <c r="FW231" s="113"/>
      <c r="FX231" s="113"/>
      <c r="FY231" s="113"/>
      <c r="FZ231" s="113"/>
      <c r="GA231" s="113"/>
      <c r="GB231" s="113"/>
      <c r="GC231" s="113"/>
      <c r="GD231" s="113"/>
      <c r="GE231" s="113"/>
      <c r="GF231" s="113"/>
      <c r="GG231" s="113"/>
      <c r="GH231" s="113"/>
      <c r="GI231" s="113"/>
      <c r="GJ231" s="113"/>
      <c r="GK231" s="113"/>
      <c r="GL231" s="113"/>
      <c r="GM231" s="113"/>
      <c r="GN231" s="113"/>
      <c r="GO231" s="113"/>
      <c r="GP231" s="113"/>
      <c r="GQ231" s="113"/>
      <c r="GR231" s="113"/>
      <c r="GS231" s="113"/>
      <c r="GT231" s="113"/>
      <c r="GU231" s="113"/>
      <c r="GV231" s="113"/>
      <c r="GW231" s="113"/>
      <c r="GX231" s="113"/>
      <c r="GY231" s="113"/>
      <c r="GZ231" s="113"/>
      <c r="HA231" s="113"/>
      <c r="HB231" s="113"/>
      <c r="HC231" s="113"/>
      <c r="HD231" s="113"/>
      <c r="HE231" s="113"/>
      <c r="HF231" s="113"/>
      <c r="HG231" s="113"/>
      <c r="HH231" s="113"/>
      <c r="HI231" s="113"/>
      <c r="HJ231" s="113"/>
      <c r="HK231" s="113"/>
      <c r="HL231" s="113"/>
      <c r="HM231" s="113"/>
      <c r="HN231" s="113"/>
      <c r="HO231" s="113"/>
      <c r="HP231" s="113"/>
      <c r="HQ231" s="113"/>
      <c r="HR231" s="113"/>
      <c r="HS231" s="113"/>
      <c r="HT231" s="113"/>
      <c r="HU231" s="113"/>
      <c r="HV231" s="113"/>
      <c r="HW231" s="113"/>
      <c r="HX231" s="113"/>
      <c r="HY231" s="113"/>
      <c r="HZ231" s="113"/>
      <c r="IA231" s="113"/>
      <c r="IB231" s="113"/>
      <c r="IC231" s="113"/>
      <c r="ID231" s="113"/>
      <c r="IE231" s="113"/>
      <c r="IF231" s="113"/>
      <c r="IG231" s="113"/>
      <c r="IH231" s="113"/>
      <c r="II231" s="113"/>
      <c r="IJ231" s="113"/>
      <c r="IK231" s="113"/>
      <c r="IL231" s="113"/>
      <c r="IM231" s="113"/>
      <c r="IN231" s="113"/>
      <c r="IO231" s="113"/>
      <c r="IP231" s="113"/>
      <c r="IQ231" s="113"/>
      <c r="IR231" s="113"/>
      <c r="IS231" s="113"/>
      <c r="IT231" s="113"/>
      <c r="IU231" s="113"/>
      <c r="IV231" s="113"/>
      <c r="IW231" s="113"/>
      <c r="IX231" s="113"/>
      <c r="IY231" s="113"/>
      <c r="IZ231" s="113"/>
      <c r="JA231" s="113"/>
      <c r="JB231" s="113"/>
      <c r="JC231" s="113"/>
      <c r="JD231" s="113"/>
      <c r="JE231" s="113"/>
      <c r="JF231" s="113"/>
      <c r="JG231" s="113"/>
      <c r="JH231" s="113"/>
      <c r="JI231" s="113"/>
      <c r="JJ231" s="113"/>
      <c r="JK231" s="113"/>
      <c r="JL231" s="113"/>
      <c r="JM231" s="113"/>
      <c r="JN231" s="113"/>
      <c r="JO231" s="113"/>
      <c r="JP231" s="113"/>
      <c r="JQ231" s="113"/>
      <c r="JR231" s="113"/>
      <c r="JS231" s="113"/>
      <c r="JT231" s="113"/>
      <c r="JU231" s="113"/>
      <c r="JV231" s="113"/>
      <c r="JW231" s="113"/>
      <c r="JX231" s="113"/>
      <c r="JY231" s="113"/>
      <c r="JZ231" s="113"/>
      <c r="KA231" s="113"/>
      <c r="KB231" s="113"/>
      <c r="KC231" s="113"/>
      <c r="KD231" s="113"/>
      <c r="KE231" s="113"/>
      <c r="KF231" s="113"/>
      <c r="KG231" s="113"/>
      <c r="KH231" s="113"/>
      <c r="KI231" s="113"/>
      <c r="KJ231" s="113"/>
      <c r="KK231" s="113"/>
      <c r="KL231" s="113"/>
      <c r="KM231" s="113"/>
      <c r="KN231" s="113"/>
      <c r="KO231" s="113"/>
      <c r="KP231" s="113"/>
      <c r="KQ231" s="113"/>
      <c r="KR231" s="113"/>
      <c r="KS231" s="113"/>
      <c r="KT231" s="113"/>
      <c r="KU231" s="113"/>
      <c r="KV231" s="113"/>
      <c r="KW231" s="113"/>
      <c r="KX231" s="113"/>
      <c r="KY231" s="113"/>
      <c r="KZ231" s="113"/>
      <c r="LA231" s="113"/>
      <c r="LB231" s="113"/>
      <c r="LC231" s="113"/>
      <c r="LD231" s="113"/>
      <c r="LE231" s="113"/>
      <c r="LF231" s="113"/>
      <c r="LG231" s="113"/>
      <c r="LH231" s="113"/>
      <c r="LI231" s="113"/>
      <c r="LJ231" s="113"/>
      <c r="LK231" s="113"/>
      <c r="LL231" s="113"/>
      <c r="LM231" s="113"/>
      <c r="LN231" s="113"/>
      <c r="LO231" s="113"/>
      <c r="LP231" s="113"/>
      <c r="LQ231" s="113"/>
      <c r="LR231" s="113"/>
      <c r="LS231" s="113"/>
      <c r="LT231" s="113"/>
      <c r="LU231" s="113"/>
      <c r="LV231" s="113"/>
      <c r="LW231" s="113"/>
      <c r="LX231" s="113"/>
      <c r="LY231" s="113"/>
      <c r="LZ231" s="113"/>
      <c r="MA231" s="113"/>
      <c r="MB231" s="113"/>
      <c r="MC231" s="113"/>
      <c r="MD231" s="113"/>
      <c r="ME231" s="113"/>
      <c r="MF231" s="113"/>
      <c r="MG231" s="113"/>
      <c r="MH231" s="113"/>
      <c r="MI231" s="113"/>
      <c r="MJ231" s="113"/>
      <c r="MK231" s="113"/>
      <c r="ML231" s="113"/>
      <c r="MM231" s="113"/>
      <c r="MN231" s="113"/>
      <c r="MO231" s="113"/>
      <c r="MP231" s="113"/>
      <c r="MQ231" s="113"/>
      <c r="MR231" s="113"/>
      <c r="MS231" s="113"/>
      <c r="MT231" s="113"/>
      <c r="MU231" s="113"/>
      <c r="MV231" s="113"/>
      <c r="MW231" s="113"/>
      <c r="MX231" s="113"/>
      <c r="MY231" s="113"/>
      <c r="MZ231" s="113"/>
      <c r="NA231" s="113"/>
      <c r="NB231" s="113"/>
      <c r="NC231" s="113"/>
      <c r="ND231" s="113"/>
      <c r="NE231" s="113"/>
      <c r="NF231" s="113"/>
      <c r="NG231" s="113"/>
      <c r="NH231" s="113"/>
      <c r="NI231" s="113"/>
      <c r="NJ231" s="113"/>
      <c r="NK231" s="113"/>
      <c r="NL231" s="113"/>
      <c r="NM231" s="113"/>
      <c r="NN231" s="113"/>
      <c r="NO231" s="113"/>
      <c r="NP231" s="113"/>
      <c r="NQ231" s="113"/>
      <c r="NR231" s="113"/>
      <c r="NS231" s="113"/>
      <c r="NT231" s="113"/>
      <c r="NU231" s="113"/>
      <c r="NV231" s="113"/>
      <c r="NW231" s="113"/>
      <c r="NX231" s="113"/>
      <c r="NY231" s="113"/>
      <c r="NZ231" s="113"/>
      <c r="OA231" s="113"/>
      <c r="OB231" s="113"/>
      <c r="OC231" s="113"/>
      <c r="OD231" s="113"/>
      <c r="OE231" s="113"/>
      <c r="OF231" s="113"/>
      <c r="OG231" s="113"/>
      <c r="OH231" s="113"/>
      <c r="OI231" s="113"/>
      <c r="OJ231" s="113"/>
      <c r="OK231" s="113"/>
      <c r="OL231" s="113"/>
      <c r="OM231" s="113"/>
      <c r="ON231" s="113"/>
      <c r="OO231" s="113"/>
      <c r="OP231" s="113"/>
      <c r="OQ231" s="113"/>
      <c r="OR231" s="113"/>
      <c r="OS231" s="113"/>
      <c r="OT231" s="113"/>
      <c r="OU231" s="113"/>
      <c r="OV231" s="113"/>
      <c r="OW231" s="113"/>
      <c r="OX231" s="113"/>
      <c r="OY231" s="113"/>
      <c r="OZ231" s="113"/>
      <c r="PA231" s="113"/>
      <c r="PB231" s="113"/>
      <c r="PC231" s="113"/>
      <c r="PD231" s="113"/>
      <c r="PE231" s="113"/>
      <c r="PF231" s="113"/>
      <c r="PG231" s="113"/>
      <c r="PH231" s="113"/>
      <c r="PI231" s="113"/>
      <c r="PJ231" s="113"/>
      <c r="PK231" s="113"/>
      <c r="PL231" s="113"/>
      <c r="PM231" s="113"/>
      <c r="PN231" s="113"/>
      <c r="PO231" s="113"/>
      <c r="PP231" s="113"/>
      <c r="PQ231" s="113"/>
      <c r="PR231" s="113"/>
      <c r="PS231" s="113"/>
      <c r="PT231" s="113"/>
      <c r="PU231" s="113"/>
      <c r="PV231" s="113"/>
      <c r="PW231" s="113"/>
      <c r="PX231" s="113"/>
      <c r="PY231" s="113"/>
      <c r="PZ231" s="113"/>
      <c r="QA231" s="113"/>
      <c r="QB231" s="113"/>
      <c r="QC231" s="113"/>
      <c r="QD231" s="113"/>
      <c r="QE231" s="113"/>
      <c r="QF231" s="113"/>
      <c r="QG231" s="113"/>
      <c r="QH231" s="113"/>
      <c r="QI231" s="113"/>
      <c r="QJ231" s="113"/>
      <c r="QK231" s="113"/>
      <c r="QL231" s="113"/>
      <c r="QM231" s="113"/>
      <c r="QN231" s="113"/>
      <c r="QO231" s="113"/>
      <c r="QP231" s="113"/>
      <c r="QQ231" s="113"/>
      <c r="QR231" s="113"/>
      <c r="QS231" s="113"/>
      <c r="QT231" s="113"/>
      <c r="QU231" s="113"/>
      <c r="QV231" s="113"/>
      <c r="QW231" s="113"/>
      <c r="QX231" s="113"/>
      <c r="QY231" s="113"/>
      <c r="QZ231" s="113"/>
      <c r="RA231" s="113"/>
      <c r="RB231" s="113"/>
      <c r="RC231" s="113"/>
      <c r="RD231" s="113"/>
      <c r="RE231" s="113"/>
      <c r="RF231" s="113"/>
      <c r="RG231" s="113"/>
      <c r="RH231" s="113"/>
      <c r="RI231" s="113"/>
      <c r="RJ231" s="113"/>
      <c r="RK231" s="113"/>
      <c r="RL231" s="113"/>
      <c r="RM231" s="113"/>
      <c r="RN231" s="113"/>
      <c r="RO231" s="113"/>
      <c r="RP231" s="113"/>
      <c r="RQ231" s="113"/>
      <c r="RR231" s="113"/>
      <c r="RS231" s="113"/>
      <c r="RT231" s="113"/>
      <c r="RU231" s="113"/>
      <c r="RV231" s="113"/>
      <c r="RW231" s="113"/>
      <c r="RX231" s="113"/>
      <c r="RY231" s="113"/>
      <c r="RZ231" s="113"/>
      <c r="SA231" s="113"/>
      <c r="SB231" s="113"/>
      <c r="SC231" s="113"/>
      <c r="SD231" s="113"/>
      <c r="SE231" s="113"/>
      <c r="SF231" s="113"/>
      <c r="SG231" s="113"/>
      <c r="SH231" s="113"/>
      <c r="SI231" s="113"/>
      <c r="SJ231" s="113"/>
      <c r="SK231" s="113"/>
      <c r="SL231" s="113"/>
      <c r="SM231" s="113"/>
      <c r="SN231" s="113"/>
      <c r="SO231" s="113"/>
      <c r="SP231" s="113"/>
      <c r="SQ231" s="113"/>
      <c r="SR231" s="113"/>
      <c r="SS231" s="113"/>
      <c r="ST231" s="113"/>
      <c r="SU231" s="113"/>
      <c r="SV231" s="113"/>
      <c r="SW231" s="113"/>
      <c r="SX231" s="113"/>
      <c r="SY231" s="113"/>
      <c r="SZ231" s="113"/>
      <c r="TA231" s="113"/>
      <c r="TB231" s="113"/>
      <c r="TC231" s="113"/>
      <c r="TD231" s="113"/>
      <c r="TE231" s="113"/>
      <c r="TF231" s="113"/>
      <c r="TG231" s="113"/>
      <c r="TH231" s="113"/>
      <c r="TI231" s="113"/>
      <c r="TJ231" s="113"/>
      <c r="TK231" s="113"/>
      <c r="TL231" s="113"/>
      <c r="TM231" s="113"/>
      <c r="TN231" s="113"/>
      <c r="TO231" s="113"/>
      <c r="TP231" s="113"/>
      <c r="TQ231" s="113"/>
      <c r="TR231" s="113"/>
      <c r="TS231" s="113"/>
      <c r="TT231" s="113"/>
      <c r="TU231" s="113"/>
      <c r="TV231" s="113"/>
      <c r="TW231" s="113"/>
      <c r="TX231" s="113"/>
      <c r="TY231" s="113"/>
      <c r="TZ231" s="113"/>
      <c r="UA231" s="113"/>
      <c r="UB231" s="113"/>
      <c r="UC231" s="113"/>
      <c r="UD231" s="113"/>
      <c r="UE231" s="113"/>
      <c r="UF231" s="113"/>
      <c r="UG231" s="113"/>
      <c r="UH231" s="113"/>
      <c r="UI231" s="113"/>
      <c r="UJ231" s="113"/>
      <c r="UK231" s="113"/>
      <c r="UL231" s="113"/>
      <c r="UM231" s="113"/>
      <c r="UN231" s="113"/>
      <c r="UO231" s="113"/>
      <c r="UP231" s="113"/>
      <c r="UQ231" s="113"/>
      <c r="UR231" s="113"/>
      <c r="US231" s="113"/>
      <c r="UT231" s="113"/>
      <c r="UU231" s="113"/>
      <c r="UV231" s="113"/>
      <c r="UW231" s="113"/>
      <c r="UX231" s="113"/>
      <c r="UY231" s="113"/>
      <c r="UZ231" s="113"/>
      <c r="VA231" s="113"/>
      <c r="VB231" s="113"/>
      <c r="VC231" s="113"/>
      <c r="VD231" s="113"/>
      <c r="VE231" s="113"/>
      <c r="VF231" s="113"/>
      <c r="VG231" s="113"/>
      <c r="VH231" s="113"/>
      <c r="VI231" s="113"/>
      <c r="VJ231" s="113"/>
      <c r="VK231" s="113"/>
      <c r="VL231" s="113"/>
      <c r="VM231" s="113"/>
      <c r="VN231" s="113"/>
      <c r="VO231" s="113"/>
      <c r="VP231" s="113"/>
      <c r="VQ231" s="113"/>
      <c r="VR231" s="113"/>
      <c r="VS231" s="113"/>
      <c r="VT231" s="113"/>
      <c r="VU231" s="113"/>
      <c r="VV231" s="113"/>
      <c r="VW231" s="113"/>
      <c r="VX231" s="113"/>
      <c r="VY231" s="113"/>
      <c r="VZ231" s="113"/>
      <c r="WA231" s="113"/>
      <c r="WB231" s="113"/>
      <c r="WC231" s="113"/>
      <c r="WD231" s="113"/>
      <c r="WE231" s="113"/>
      <c r="WF231" s="113"/>
      <c r="WG231" s="113"/>
      <c r="WH231" s="113"/>
      <c r="WI231" s="113"/>
      <c r="WJ231" s="113"/>
      <c r="WK231" s="113"/>
      <c r="WL231" s="113"/>
      <c r="WM231" s="113"/>
      <c r="WN231" s="113"/>
      <c r="WO231" s="113"/>
      <c r="WP231" s="113"/>
      <c r="WQ231" s="113"/>
      <c r="WR231" s="113"/>
      <c r="WS231" s="113"/>
      <c r="WT231" s="113"/>
      <c r="WU231" s="113"/>
      <c r="WV231" s="113"/>
      <c r="WW231" s="113"/>
      <c r="WX231" s="113"/>
      <c r="WY231" s="113"/>
      <c r="WZ231" s="113"/>
      <c r="XA231" s="113"/>
      <c r="XB231" s="113"/>
      <c r="XC231" s="113"/>
      <c r="XD231" s="113"/>
      <c r="XE231" s="113"/>
      <c r="XF231" s="113"/>
      <c r="XG231" s="113"/>
      <c r="XH231" s="113"/>
      <c r="XI231" s="113"/>
      <c r="XJ231" s="113"/>
      <c r="XK231" s="113"/>
      <c r="XL231" s="113"/>
      <c r="XM231" s="113"/>
      <c r="XN231" s="113"/>
      <c r="XO231" s="113"/>
      <c r="XP231" s="113"/>
      <c r="XQ231" s="113"/>
      <c r="XR231" s="113"/>
      <c r="XS231" s="113"/>
      <c r="XT231" s="113"/>
      <c r="XU231" s="113"/>
      <c r="XV231" s="113"/>
      <c r="XW231" s="113"/>
      <c r="XX231" s="113"/>
      <c r="XY231" s="113"/>
      <c r="XZ231" s="113"/>
      <c r="YA231" s="113"/>
      <c r="YB231" s="113"/>
      <c r="YC231" s="113"/>
      <c r="YD231" s="113"/>
      <c r="YE231" s="113"/>
      <c r="YF231" s="113"/>
      <c r="YG231" s="113"/>
      <c r="YH231" s="113"/>
      <c r="YI231" s="113"/>
      <c r="YJ231" s="113"/>
      <c r="YK231" s="113"/>
      <c r="YL231" s="113"/>
      <c r="YM231" s="113"/>
      <c r="YN231" s="113"/>
      <c r="YO231" s="113"/>
      <c r="YP231" s="113"/>
      <c r="YQ231" s="113"/>
      <c r="YR231" s="113"/>
      <c r="YS231" s="113"/>
      <c r="YT231" s="113"/>
      <c r="YU231" s="113"/>
      <c r="YV231" s="113"/>
      <c r="YW231" s="113"/>
      <c r="YX231" s="113"/>
      <c r="YY231" s="113"/>
      <c r="YZ231" s="113"/>
      <c r="ZA231" s="113"/>
      <c r="ZB231" s="113"/>
      <c r="ZC231" s="113"/>
      <c r="ZD231" s="113"/>
      <c r="ZE231" s="113"/>
      <c r="ZF231" s="113"/>
      <c r="ZG231" s="113"/>
      <c r="ZH231" s="113"/>
      <c r="ZI231" s="113"/>
      <c r="ZJ231" s="113"/>
      <c r="ZK231" s="113"/>
      <c r="ZL231" s="113"/>
      <c r="ZM231" s="113"/>
      <c r="ZN231" s="113"/>
      <c r="ZO231" s="113"/>
      <c r="ZP231" s="113"/>
      <c r="ZQ231" s="113"/>
      <c r="ZR231" s="113"/>
      <c r="ZS231" s="113"/>
      <c r="ZT231" s="113"/>
      <c r="ZU231" s="113"/>
      <c r="ZV231" s="113"/>
      <c r="ZW231" s="113"/>
      <c r="ZX231" s="113"/>
      <c r="ZY231" s="113"/>
      <c r="ZZ231" s="113"/>
      <c r="AAA231" s="113"/>
      <c r="AAB231" s="113"/>
      <c r="AAC231" s="113"/>
      <c r="AAD231" s="113"/>
      <c r="AAE231" s="113"/>
      <c r="AAF231" s="113"/>
      <c r="AAG231" s="113"/>
      <c r="AAH231" s="113"/>
      <c r="AAI231" s="113"/>
      <c r="AAJ231" s="113"/>
      <c r="AAK231" s="113"/>
      <c r="AAL231" s="113"/>
      <c r="AAM231" s="113"/>
      <c r="AAN231" s="113"/>
      <c r="AAO231" s="113"/>
      <c r="AAP231" s="113"/>
      <c r="AAQ231" s="113"/>
      <c r="AAR231" s="113"/>
      <c r="AAS231" s="113"/>
      <c r="AAT231" s="113"/>
      <c r="AAU231" s="113"/>
      <c r="AAV231" s="113"/>
      <c r="AAW231" s="113"/>
      <c r="AAX231" s="113"/>
      <c r="AAY231" s="113"/>
      <c r="AAZ231" s="113"/>
      <c r="ABA231" s="113"/>
      <c r="ABB231" s="113"/>
      <c r="ABC231" s="113"/>
      <c r="ABD231" s="113"/>
      <c r="ABE231" s="113"/>
      <c r="ABF231" s="113"/>
      <c r="ABG231" s="113"/>
      <c r="ABH231" s="113"/>
      <c r="ABI231" s="113"/>
      <c r="ABJ231" s="113"/>
      <c r="ABK231" s="113"/>
      <c r="ABL231" s="113"/>
      <c r="ABM231" s="113"/>
      <c r="ABN231" s="113"/>
      <c r="ABO231" s="113"/>
      <c r="ABP231" s="113"/>
      <c r="ABQ231" s="113"/>
      <c r="ABR231" s="113"/>
      <c r="ABS231" s="113"/>
      <c r="ABT231" s="113"/>
      <c r="ABU231" s="113"/>
      <c r="ABV231" s="113"/>
      <c r="ABW231" s="113"/>
      <c r="ABX231" s="113"/>
      <c r="ABY231" s="113"/>
      <c r="ABZ231" s="113"/>
      <c r="ACA231" s="113"/>
      <c r="ACB231" s="113"/>
      <c r="ACC231" s="113"/>
      <c r="ACD231" s="113"/>
      <c r="ACE231" s="113"/>
      <c r="ACF231" s="113"/>
      <c r="ACG231" s="113"/>
      <c r="ACH231" s="113"/>
      <c r="ACI231" s="113"/>
      <c r="ACJ231" s="113"/>
      <c r="ACK231" s="113"/>
      <c r="ACL231" s="113"/>
      <c r="ACM231" s="113"/>
      <c r="ACN231" s="113"/>
      <c r="ACO231" s="113"/>
      <c r="ACP231" s="113"/>
      <c r="ACQ231" s="113"/>
      <c r="ACR231" s="113"/>
      <c r="ACS231" s="113"/>
      <c r="ACT231" s="113"/>
      <c r="ACU231" s="113"/>
      <c r="ACV231" s="113"/>
      <c r="ACW231" s="113"/>
      <c r="ACX231" s="113"/>
      <c r="ACY231" s="113"/>
      <c r="ACZ231" s="113"/>
      <c r="ADA231" s="113"/>
      <c r="ADB231" s="113"/>
      <c r="ADC231" s="113"/>
      <c r="ADD231" s="113"/>
      <c r="ADE231" s="113"/>
      <c r="ADF231" s="113"/>
      <c r="ADG231" s="113"/>
      <c r="ADH231" s="113"/>
      <c r="ADI231" s="113"/>
      <c r="ADJ231" s="113"/>
      <c r="ADK231" s="113"/>
      <c r="ADL231" s="113"/>
      <c r="ADM231" s="113"/>
      <c r="ADN231" s="113"/>
      <c r="ADO231" s="113"/>
      <c r="ADP231" s="113"/>
      <c r="ADQ231" s="113"/>
      <c r="ADR231" s="113"/>
      <c r="ADS231" s="113"/>
      <c r="ADT231" s="113"/>
      <c r="ADU231" s="113"/>
      <c r="ADV231" s="113"/>
      <c r="ADW231" s="113"/>
      <c r="ADX231" s="113"/>
      <c r="ADY231" s="113"/>
      <c r="ADZ231" s="113"/>
      <c r="AEA231" s="113"/>
      <c r="AEB231" s="113"/>
      <c r="AEC231" s="113"/>
      <c r="AED231" s="113"/>
      <c r="AEE231" s="113"/>
      <c r="AEF231" s="113"/>
      <c r="AEG231" s="113"/>
      <c r="AEH231" s="113"/>
      <c r="AEI231" s="113"/>
      <c r="AEJ231" s="113"/>
      <c r="AEK231" s="113"/>
      <c r="AEL231" s="113"/>
      <c r="AEM231" s="113"/>
      <c r="AEN231" s="113"/>
      <c r="AEO231" s="113"/>
      <c r="AEP231" s="113"/>
      <c r="AEQ231" s="113"/>
      <c r="AER231" s="113"/>
      <c r="AES231" s="113"/>
      <c r="AET231" s="113"/>
      <c r="AEU231" s="113"/>
      <c r="AEV231" s="113"/>
      <c r="AEW231" s="113"/>
      <c r="AEX231" s="113"/>
      <c r="AEY231" s="113"/>
      <c r="AEZ231" s="113"/>
      <c r="AFA231" s="113"/>
      <c r="AFB231" s="113"/>
      <c r="AFC231" s="113"/>
      <c r="AFD231" s="113"/>
      <c r="AFE231" s="113"/>
      <c r="AFF231" s="113"/>
      <c r="AFG231" s="113"/>
      <c r="AFH231" s="113"/>
      <c r="AFI231" s="113"/>
      <c r="AFJ231" s="113"/>
      <c r="AFK231" s="113"/>
      <c r="AFL231" s="113"/>
      <c r="AFM231" s="113"/>
      <c r="AFN231" s="113"/>
      <c r="AFO231" s="113"/>
      <c r="AFP231" s="113"/>
      <c r="AFQ231" s="113"/>
      <c r="AFR231" s="113"/>
      <c r="AFS231" s="113"/>
      <c r="AFT231" s="113"/>
      <c r="AFU231" s="113"/>
      <c r="AFV231" s="113"/>
      <c r="AFW231" s="113"/>
      <c r="AFX231" s="113"/>
      <c r="AFY231" s="113"/>
      <c r="AFZ231" s="113"/>
      <c r="AGA231" s="113"/>
      <c r="AGB231" s="113"/>
      <c r="AGC231" s="113"/>
      <c r="AGD231" s="113"/>
      <c r="AGE231" s="113"/>
      <c r="AGF231" s="113"/>
      <c r="AGG231" s="113"/>
      <c r="AGH231" s="113"/>
      <c r="AGI231" s="113"/>
      <c r="AGJ231" s="113"/>
      <c r="AGK231" s="113"/>
      <c r="AGL231" s="113"/>
      <c r="AGM231" s="113"/>
      <c r="AGN231" s="113"/>
      <c r="AGO231" s="113"/>
      <c r="AGP231" s="113"/>
      <c r="AGQ231" s="113"/>
      <c r="AGR231" s="113"/>
      <c r="AGS231" s="113"/>
      <c r="AGT231" s="113"/>
      <c r="AGU231" s="113"/>
      <c r="AGV231" s="113"/>
      <c r="AGW231" s="113"/>
      <c r="AGX231" s="113"/>
      <c r="AGY231" s="113"/>
      <c r="AGZ231" s="113"/>
      <c r="AHA231" s="113"/>
      <c r="AHB231" s="113"/>
      <c r="AHC231" s="113"/>
      <c r="AHD231" s="113"/>
      <c r="AHE231" s="113"/>
      <c r="AHF231" s="113"/>
      <c r="AHG231" s="113"/>
      <c r="AHH231" s="113"/>
      <c r="AHI231" s="113"/>
      <c r="AHJ231" s="113"/>
      <c r="AHK231" s="113"/>
      <c r="AHL231" s="113"/>
      <c r="AHM231" s="113"/>
      <c r="AHN231" s="113"/>
      <c r="AHO231" s="113"/>
      <c r="AHP231" s="113"/>
      <c r="AHQ231" s="113"/>
      <c r="AHR231" s="113"/>
      <c r="AHS231" s="113"/>
      <c r="AHT231" s="113"/>
      <c r="AHU231" s="113"/>
      <c r="AHV231" s="113"/>
      <c r="AHW231" s="113"/>
      <c r="AHX231" s="113"/>
      <c r="AHY231" s="113"/>
      <c r="AHZ231" s="113"/>
      <c r="AIA231" s="113"/>
      <c r="AIB231" s="113"/>
      <c r="AIC231" s="113"/>
      <c r="AID231" s="113"/>
      <c r="AIE231" s="113"/>
      <c r="AIF231" s="113"/>
      <c r="AIG231" s="113"/>
      <c r="AIH231" s="113"/>
      <c r="AII231" s="113"/>
      <c r="AIJ231" s="113"/>
      <c r="AIK231" s="113"/>
      <c r="AIL231" s="113"/>
      <c r="AIM231" s="113"/>
      <c r="AIN231" s="113"/>
      <c r="AIO231" s="113"/>
      <c r="AIP231" s="113"/>
      <c r="AIQ231" s="113"/>
      <c r="AIR231" s="113"/>
      <c r="AIS231" s="113"/>
      <c r="AIT231" s="113"/>
      <c r="AIU231" s="113"/>
      <c r="AIV231" s="113"/>
      <c r="AIW231" s="113"/>
      <c r="AIX231" s="113"/>
      <c r="AIY231" s="113"/>
      <c r="AIZ231" s="113"/>
    </row>
    <row r="232">
      <c r="A232" s="65" t="s">
        <v>69</v>
      </c>
      <c r="B232" s="65" t="s">
        <v>71</v>
      </c>
      <c r="C232" s="65"/>
      <c r="D232" s="64">
        <f t="shared" si="1"/>
        <v>467.5056333</v>
      </c>
      <c r="F232" s="65">
        <v>50.07775</v>
      </c>
      <c r="G232" s="65">
        <v>16.3552166666667</v>
      </c>
      <c r="H232" s="65">
        <v>2.51108333333333</v>
      </c>
      <c r="I232" s="65">
        <v>1.78261666666667</v>
      </c>
      <c r="J232" s="65">
        <v>1.98108333333333</v>
      </c>
      <c r="K232" s="65">
        <v>14.7837666666667</v>
      </c>
      <c r="N232" s="65">
        <v>7.90833333333333</v>
      </c>
      <c r="Q232" s="65">
        <v>32.9235333333333</v>
      </c>
      <c r="R232" s="65">
        <v>2.18301666666667</v>
      </c>
      <c r="S232" s="65">
        <v>9.20033333333333</v>
      </c>
      <c r="T232" s="65">
        <v>12.9635833333333</v>
      </c>
      <c r="U232" s="65">
        <v>15.1944666666667</v>
      </c>
      <c r="X232" s="65">
        <v>0.358466666666667</v>
      </c>
      <c r="Y232" s="65">
        <v>2.83841666666667</v>
      </c>
      <c r="Z232" s="65">
        <v>1.69521666666667</v>
      </c>
      <c r="AA232" s="65">
        <v>0.968716666666667</v>
      </c>
      <c r="AE232" s="65">
        <v>26.2622833333333</v>
      </c>
      <c r="AF232" s="65">
        <v>88.4468833333335</v>
      </c>
      <c r="AG232" s="65">
        <v>67.7740166666667</v>
      </c>
      <c r="AH232" s="65">
        <v>9.71303333333333</v>
      </c>
      <c r="AI232" s="65">
        <v>32.7517333333333</v>
      </c>
      <c r="AL232" s="65">
        <v>1.07113333333333</v>
      </c>
      <c r="AM232" s="65">
        <v>1.49466666666667</v>
      </c>
      <c r="AN232" s="65">
        <v>14.3059333333333</v>
      </c>
      <c r="AQ232" s="65">
        <v>1.95123333333333</v>
      </c>
      <c r="AR232" s="65">
        <v>12.4645666666667</v>
      </c>
      <c r="AU232" s="65">
        <v>37.54455</v>
      </c>
    </row>
    <row r="233">
      <c r="A233" s="65" t="s">
        <v>69</v>
      </c>
      <c r="B233" s="65" t="s">
        <v>71</v>
      </c>
      <c r="C233" s="65"/>
      <c r="D233" s="64">
        <f t="shared" si="1"/>
        <v>0</v>
      </c>
    </row>
    <row r="234">
      <c r="A234" s="65" t="s">
        <v>69</v>
      </c>
      <c r="B234" s="65" t="s">
        <v>71</v>
      </c>
      <c r="C234" s="65"/>
      <c r="D234" s="64">
        <f t="shared" si="1"/>
        <v>451.3415667</v>
      </c>
      <c r="F234" s="118">
        <f>HYPERLINK("https://docs.google.com/spreadsheets/d/1s0cdhPW8Q4V7Q4os2V8AaSJXJy3i1vgk", 48.5552333333334)</f>
        <v>48.55523333</v>
      </c>
      <c r="G234" s="118">
        <f>HYPERLINK("https://docs.google.com/spreadsheets/d/1ZDMOdUN5kDMByu43vshzl-se76FGlM40", 16.3552166666667)</f>
        <v>16.35521667</v>
      </c>
      <c r="H234" s="118">
        <f>HYPERLINK("https://docs.google.com/spreadsheets/d/1fRAsSdUOVX71nEXwt0ZxdNR0pEJYaZAR", 2.51108333333333)</f>
        <v>2.511083333</v>
      </c>
      <c r="I234" s="118">
        <f>HYPERLINK("https://docs.google.com/spreadsheets/d/1HK2Gj3dax_E4jLYS0t-yiJP7P9dh8w-m", 1.58968333333333)</f>
        <v>1.589683333</v>
      </c>
      <c r="J234" s="118">
        <f>HYPERLINK("https://docs.google.com/spreadsheets/d/14H5cGBnf4UChbjfHZ8L_QRx_iS4_AxOS", 1.98108333333333)</f>
        <v>1.981083333</v>
      </c>
      <c r="K234" s="118">
        <f>HYPERLINK("https://docs.google.com/spreadsheets/d/1LuiAatZzMn43EcXbC7TY7_1es4a_L6dT", 14.6136166666667)</f>
        <v>14.61361667</v>
      </c>
      <c r="N234" s="118">
        <f>HYPERLINK("https://docs.google.com/spreadsheets/d/1GY7GVCMP8p-D9wJcHT-J6IB6xQQE0KXX", 7.90831666666667)</f>
        <v>7.908316667</v>
      </c>
      <c r="Q234" s="118">
        <f>HYPERLINK("https://docs.google.com/spreadsheets/d/1ccamTIaTdPLhNSxjalPVPlf_nPG7oS95", 29.3653333333333)</f>
        <v>29.36533333</v>
      </c>
      <c r="R234" s="118">
        <f>HYPERLINK("https://docs.google.com/spreadsheets/d/1xdBXOQPCegrCEiiRnrr-KvGyqUsOyYkU", 2.18301666666667)</f>
        <v>2.183016667</v>
      </c>
      <c r="S234" s="118">
        <f>HYPERLINK("https://docs.google.com/spreadsheets/d/1p4bYTI2pDAgtjibI52gTAZjbyxpFk8xp", 9.20033333333333)</f>
        <v>9.200333333</v>
      </c>
      <c r="T234" s="118">
        <f>HYPERLINK("https://docs.google.com/spreadsheets/d/1o8iSBnVLbf_ni60aUHi63iZA_8XL3DjP", 12.96355)</f>
        <v>12.96355</v>
      </c>
      <c r="U234" s="118">
        <f>HYPERLINK("https://docs.google.com/spreadsheets/d/1PuX21cjUn4e08xJLgJ9TKM-u9Go89Af2", 15.19445)</f>
        <v>15.19445</v>
      </c>
      <c r="X234" s="118">
        <f>HYPERLINK("https://docs.google.com/spreadsheets/d/1UL2UjpznDNsCqagnOiW2m2hBlprBwe75", 0)</f>
        <v>0</v>
      </c>
      <c r="Y234" s="118">
        <f>HYPERLINK("https://docs.google.com/spreadsheets/d/1_2Bz9ikFbBghP3QJJqSINafT_MKKXpQ3", 2.83841666666667)</f>
        <v>2.838416667</v>
      </c>
      <c r="Z234" s="118">
        <f>HYPERLINK("https://docs.google.com/spreadsheets/d/1Am_1fbrkwgFd9xriAoa5TOTLbZHvlNRS", 1.69521666666667)</f>
        <v>1.695216667</v>
      </c>
      <c r="AA234" s="118">
        <f>HYPERLINK("https://docs.google.com/spreadsheets/d/1c0FYv33NVO44AhAp1yiHJLz7-WNC9HF5", 0.968716666666667)</f>
        <v>0.9687166667</v>
      </c>
      <c r="AE234" s="118">
        <f>HYPERLINK("https://docs.google.com/spreadsheets/d/15zTDyql4sph1Gyl3kUb2HTchm2DFkPFo", 16.2431333333333)</f>
        <v>16.24313333</v>
      </c>
      <c r="AF234" s="118">
        <f>HYPERLINK("https://docs.google.com/spreadsheets/d/1dxw2773Te1lWmq_HGE38tftl8ixl-Eqy", 88.4468500000001)</f>
        <v>88.44685</v>
      </c>
      <c r="AG234" s="118">
        <f>HYPERLINK("https://docs.google.com/spreadsheets/d/1ri3e-yA109mf5QoP12Fjt2NozVYT0N_O", 67.774)</f>
        <v>67.774</v>
      </c>
      <c r="AH234" s="118">
        <f>HYPERLINK("https://docs.google.com/spreadsheets/d/1oVyZFbD0ZjfEEEMFweue4usij_vyfW5Y", 9.71303333333333)</f>
        <v>9.713033333</v>
      </c>
      <c r="AI234" s="118">
        <f>HYPERLINK("https://docs.google.com/spreadsheets/d/1C_adip_rpi_C1v02iRcEbI7YT-DJxvje", 32.7517333333333)</f>
        <v>32.75173333</v>
      </c>
      <c r="AL234" s="118">
        <f>HYPERLINK("https://docs.google.com/spreadsheets/d/1WlwV8QgqSTP2E33x7Js7dVHdTzoupksw", 1.07113333333333)</f>
        <v>1.071133333</v>
      </c>
      <c r="AM234" s="118">
        <f>HYPERLINK("https://docs.google.com/spreadsheets/d/1n-u3cq2ke57FT746CNzTiRk40ZbZMgV5", 1.32661666666667)</f>
        <v>1.326616667</v>
      </c>
      <c r="AN234" s="118">
        <f>HYPERLINK("https://docs.google.com/spreadsheets/d/1uqDee3mQEftdEboJMBtVThp-9BnTYLAG", 14.3059166666667)</f>
        <v>14.30591667</v>
      </c>
      <c r="AQ234" s="118">
        <f>HYPERLINK("https://docs.google.com/spreadsheets/d/10GoJ7h3AM-vwhoCi2Xj8JlBfF6hM8Khv", 1.95121666666667)</f>
        <v>1.951216667</v>
      </c>
      <c r="AR234" s="118">
        <f>HYPERLINK("https://docs.google.com/spreadsheets/d/11dOayKW5ZlVuw6NN4-bYGXNr7Pml_J9d", 12.4645666666667)</f>
        <v>12.46456667</v>
      </c>
      <c r="AU234" s="118">
        <f>HYPERLINK("https://docs.google.com/spreadsheets/d/1x0jKjrS6_7max6QqVq1i6Ruks-Mc5uD9", 37.3701)</f>
        <v>37.3701</v>
      </c>
    </row>
    <row r="235">
      <c r="A235" s="65" t="s">
        <v>69</v>
      </c>
      <c r="B235" s="65" t="s">
        <v>71</v>
      </c>
      <c r="C235" s="65"/>
      <c r="D235" s="64">
        <f t="shared" si="1"/>
        <v>261.1941333</v>
      </c>
      <c r="F235" s="65">
        <v>31.74675</v>
      </c>
      <c r="G235" s="65">
        <v>7.84188333333333</v>
      </c>
      <c r="H235" s="65">
        <v>0.4734</v>
      </c>
      <c r="I235" s="65">
        <v>1.06225</v>
      </c>
      <c r="J235" s="65">
        <v>0.6664</v>
      </c>
      <c r="K235" s="65">
        <v>2.69015</v>
      </c>
      <c r="N235" s="65">
        <v>2.91058333333333</v>
      </c>
      <c r="Q235" s="65">
        <v>15.0212666666667</v>
      </c>
      <c r="R235" s="65">
        <v>1.33718333333333</v>
      </c>
      <c r="S235" s="65">
        <v>4.49238333333333</v>
      </c>
      <c r="T235" s="65">
        <v>6.79733333333334</v>
      </c>
      <c r="U235" s="65">
        <v>11.5654333333333</v>
      </c>
      <c r="Y235" s="65">
        <v>1.98948333333333</v>
      </c>
      <c r="Z235" s="65">
        <v>0.0</v>
      </c>
      <c r="AA235" s="65">
        <v>0.0</v>
      </c>
      <c r="AE235" s="65">
        <v>8.26805</v>
      </c>
      <c r="AF235" s="65">
        <v>49.8137499999999</v>
      </c>
      <c r="AG235" s="65">
        <v>26.9773166666667</v>
      </c>
      <c r="AH235" s="65">
        <v>3.80671666666667</v>
      </c>
      <c r="AI235" s="65">
        <v>23.75205</v>
      </c>
      <c r="AL235" s="65">
        <v>0.720533333333333</v>
      </c>
      <c r="AM235" s="65">
        <v>0.553766666666667</v>
      </c>
      <c r="AN235" s="65">
        <v>13.1424666666667</v>
      </c>
      <c r="AQ235" s="65">
        <v>1.26375</v>
      </c>
      <c r="AR235" s="65">
        <v>11.6600833333333</v>
      </c>
      <c r="AU235" s="65">
        <v>32.64115</v>
      </c>
    </row>
    <row r="236">
      <c r="A236" s="119" t="s">
        <v>69</v>
      </c>
      <c r="B236" s="119" t="s">
        <v>71</v>
      </c>
      <c r="C236" s="119"/>
      <c r="D236" s="120">
        <f t="shared" si="1"/>
        <v>0</v>
      </c>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c r="AA236" s="120"/>
      <c r="AB236" s="120"/>
      <c r="AC236" s="120"/>
      <c r="AD236" s="120"/>
      <c r="AE236" s="120"/>
      <c r="AF236" s="120"/>
      <c r="AG236" s="120"/>
      <c r="AH236" s="120"/>
      <c r="AI236" s="120"/>
      <c r="AJ236" s="120"/>
      <c r="AK236" s="120"/>
      <c r="AL236" s="120"/>
      <c r="AM236" s="120"/>
      <c r="AN236" s="120"/>
      <c r="AO236" s="120"/>
      <c r="AP236" s="120"/>
      <c r="AQ236" s="120"/>
      <c r="AR236" s="120"/>
      <c r="AS236" s="120"/>
      <c r="AT236" s="120"/>
      <c r="AU236" s="120"/>
      <c r="AV236" s="120"/>
      <c r="AW236" s="120"/>
      <c r="AX236" s="120"/>
      <c r="AY236" s="120"/>
      <c r="AZ236" s="120"/>
      <c r="BA236" s="120"/>
      <c r="BB236" s="120"/>
      <c r="BC236" s="120"/>
      <c r="BD236" s="120"/>
      <c r="BE236" s="120"/>
      <c r="BF236" s="120"/>
      <c r="BG236" s="120"/>
      <c r="BH236" s="120"/>
      <c r="BI236" s="120"/>
      <c r="BJ236" s="120"/>
      <c r="BK236" s="120"/>
      <c r="BL236" s="120"/>
      <c r="BM236" s="120"/>
      <c r="BN236" s="120"/>
      <c r="BO236" s="120"/>
      <c r="BP236" s="120"/>
      <c r="BQ236" s="120"/>
      <c r="BR236" s="120"/>
      <c r="BS236" s="120"/>
      <c r="BT236" s="120"/>
      <c r="BU236" s="120"/>
      <c r="BV236" s="120"/>
      <c r="BW236" s="120"/>
      <c r="BX236" s="120"/>
      <c r="BY236" s="120"/>
      <c r="BZ236" s="120"/>
      <c r="CA236" s="120"/>
      <c r="CB236" s="120"/>
      <c r="CC236" s="120"/>
      <c r="CD236" s="120"/>
      <c r="CE236" s="120"/>
      <c r="CF236" s="120"/>
      <c r="CG236" s="120"/>
      <c r="CH236" s="120"/>
      <c r="CI236" s="120"/>
      <c r="CJ236" s="120"/>
      <c r="CK236" s="120"/>
      <c r="CL236" s="120"/>
      <c r="CM236" s="120"/>
      <c r="CN236" s="120"/>
      <c r="CO236" s="120"/>
      <c r="CP236" s="120"/>
      <c r="CQ236" s="120"/>
      <c r="CR236" s="120"/>
      <c r="CS236" s="120"/>
      <c r="CT236" s="120"/>
      <c r="CU236" s="120"/>
      <c r="CV236" s="120"/>
      <c r="CW236" s="120"/>
      <c r="CX236" s="120"/>
      <c r="CY236" s="120"/>
      <c r="CZ236" s="120"/>
      <c r="DA236" s="120"/>
      <c r="DB236" s="120"/>
      <c r="DC236" s="120"/>
      <c r="DD236" s="120"/>
      <c r="DE236" s="120"/>
      <c r="DF236" s="120"/>
      <c r="DG236" s="120"/>
      <c r="DH236" s="120"/>
      <c r="DI236" s="120"/>
      <c r="DJ236" s="120"/>
      <c r="DK236" s="120"/>
      <c r="DL236" s="120"/>
      <c r="DM236" s="120"/>
      <c r="DN236" s="120"/>
      <c r="DO236" s="120"/>
      <c r="DP236" s="120"/>
      <c r="DQ236" s="120"/>
      <c r="DR236" s="120"/>
      <c r="DS236" s="120"/>
      <c r="DT236" s="120"/>
      <c r="DU236" s="120"/>
      <c r="DV236" s="120"/>
      <c r="DW236" s="120"/>
      <c r="DX236" s="120"/>
      <c r="DY236" s="120"/>
      <c r="DZ236" s="120"/>
      <c r="EA236" s="120"/>
      <c r="EB236" s="120"/>
      <c r="EC236" s="120"/>
      <c r="ED236" s="120"/>
      <c r="EE236" s="120"/>
      <c r="EF236" s="120"/>
      <c r="EG236" s="120"/>
      <c r="EH236" s="120"/>
      <c r="EI236" s="120"/>
      <c r="EJ236" s="120"/>
      <c r="EK236" s="120"/>
      <c r="EL236" s="120"/>
      <c r="EM236" s="120"/>
      <c r="EN236" s="120"/>
      <c r="EO236" s="120"/>
      <c r="EP236" s="120"/>
      <c r="EQ236" s="120"/>
      <c r="ER236" s="120"/>
      <c r="ES236" s="120"/>
      <c r="ET236" s="120"/>
      <c r="EU236" s="120"/>
      <c r="EV236" s="120"/>
      <c r="EW236" s="120"/>
      <c r="EX236" s="120"/>
      <c r="EY236" s="120"/>
      <c r="EZ236" s="120"/>
      <c r="FA236" s="120"/>
      <c r="FB236" s="120"/>
      <c r="FC236" s="120"/>
      <c r="FD236" s="120"/>
      <c r="FE236" s="120"/>
      <c r="FF236" s="120"/>
      <c r="FG236" s="120"/>
      <c r="FH236" s="120"/>
      <c r="FI236" s="120"/>
      <c r="FJ236" s="120"/>
      <c r="FK236" s="120"/>
      <c r="FL236" s="120"/>
      <c r="FM236" s="120"/>
      <c r="FN236" s="120"/>
      <c r="FO236" s="120"/>
      <c r="FP236" s="120"/>
      <c r="FQ236" s="120"/>
      <c r="FR236" s="120"/>
      <c r="FS236" s="120"/>
      <c r="FT236" s="120"/>
      <c r="FU236" s="120"/>
      <c r="FV236" s="120"/>
      <c r="FW236" s="120"/>
      <c r="FX236" s="120"/>
      <c r="FY236" s="120"/>
      <c r="FZ236" s="120"/>
      <c r="GA236" s="120"/>
      <c r="GB236" s="120"/>
      <c r="GC236" s="120"/>
      <c r="GD236" s="120"/>
      <c r="GE236" s="120"/>
      <c r="GF236" s="120"/>
      <c r="GG236" s="120"/>
      <c r="GH236" s="120"/>
      <c r="GI236" s="120"/>
      <c r="GJ236" s="120"/>
      <c r="GK236" s="120"/>
      <c r="GL236" s="120"/>
      <c r="GM236" s="120"/>
      <c r="GN236" s="120"/>
      <c r="GO236" s="120"/>
      <c r="GP236" s="120"/>
      <c r="GQ236" s="120"/>
      <c r="GR236" s="120"/>
      <c r="GS236" s="120"/>
      <c r="GT236" s="120"/>
      <c r="GU236" s="120"/>
      <c r="GV236" s="120"/>
      <c r="GW236" s="120"/>
      <c r="GX236" s="120"/>
      <c r="GY236" s="120"/>
      <c r="GZ236" s="120"/>
      <c r="HA236" s="120"/>
      <c r="HB236" s="120"/>
      <c r="HC236" s="120"/>
      <c r="HD236" s="120"/>
      <c r="HE236" s="120"/>
      <c r="HF236" s="120"/>
      <c r="HG236" s="120"/>
      <c r="HH236" s="120"/>
      <c r="HI236" s="120"/>
      <c r="HJ236" s="120"/>
      <c r="HK236" s="120"/>
      <c r="HL236" s="120"/>
      <c r="HM236" s="120"/>
      <c r="HN236" s="120"/>
      <c r="HO236" s="120"/>
      <c r="HP236" s="120"/>
      <c r="HQ236" s="120"/>
      <c r="HR236" s="120"/>
      <c r="HS236" s="120"/>
      <c r="HT236" s="120"/>
      <c r="HU236" s="120"/>
      <c r="HV236" s="120"/>
      <c r="HW236" s="120"/>
      <c r="HX236" s="120"/>
      <c r="HY236" s="120"/>
      <c r="HZ236" s="120"/>
      <c r="IA236" s="120"/>
      <c r="IB236" s="120"/>
      <c r="IC236" s="120"/>
      <c r="ID236" s="120"/>
      <c r="IE236" s="120"/>
      <c r="IF236" s="120"/>
      <c r="IG236" s="120"/>
      <c r="IH236" s="120"/>
      <c r="II236" s="120"/>
      <c r="IJ236" s="120"/>
      <c r="IK236" s="120"/>
      <c r="IL236" s="120"/>
      <c r="IM236" s="120"/>
      <c r="IN236" s="120"/>
      <c r="IO236" s="120"/>
      <c r="IP236" s="120"/>
      <c r="IQ236" s="120"/>
      <c r="IR236" s="120"/>
      <c r="IS236" s="120"/>
      <c r="IT236" s="120"/>
      <c r="IU236" s="120"/>
      <c r="IV236" s="120"/>
      <c r="IW236" s="120"/>
      <c r="IX236" s="120"/>
      <c r="IY236" s="120"/>
      <c r="IZ236" s="120"/>
      <c r="JA236" s="120"/>
      <c r="JB236" s="120"/>
      <c r="JC236" s="120"/>
      <c r="JD236" s="120"/>
      <c r="JE236" s="120"/>
      <c r="JF236" s="120"/>
      <c r="JG236" s="120"/>
      <c r="JH236" s="120"/>
      <c r="JI236" s="120"/>
      <c r="JJ236" s="120"/>
      <c r="JK236" s="120"/>
      <c r="JL236" s="120"/>
      <c r="JM236" s="120"/>
      <c r="JN236" s="120"/>
      <c r="JO236" s="120"/>
      <c r="JP236" s="120"/>
      <c r="JQ236" s="120"/>
      <c r="JR236" s="120"/>
      <c r="JS236" s="120"/>
      <c r="JT236" s="120"/>
      <c r="JU236" s="120"/>
      <c r="JV236" s="120"/>
      <c r="JW236" s="120"/>
      <c r="JX236" s="120"/>
      <c r="JY236" s="120"/>
      <c r="JZ236" s="120"/>
      <c r="KA236" s="120"/>
      <c r="KB236" s="120"/>
      <c r="KC236" s="120"/>
      <c r="KD236" s="120"/>
      <c r="KE236" s="120"/>
      <c r="KF236" s="120"/>
      <c r="KG236" s="120"/>
      <c r="KH236" s="120"/>
      <c r="KI236" s="120"/>
      <c r="KJ236" s="120"/>
      <c r="KK236" s="120"/>
      <c r="KL236" s="120"/>
      <c r="KM236" s="120"/>
      <c r="KN236" s="120"/>
      <c r="KO236" s="120"/>
      <c r="KP236" s="120"/>
      <c r="KQ236" s="120"/>
      <c r="KR236" s="120"/>
      <c r="KS236" s="120"/>
      <c r="KT236" s="120"/>
      <c r="KU236" s="120"/>
      <c r="KV236" s="120"/>
      <c r="KW236" s="120"/>
      <c r="KX236" s="120"/>
      <c r="KY236" s="120"/>
      <c r="KZ236" s="120"/>
      <c r="LA236" s="120"/>
      <c r="LB236" s="120"/>
      <c r="LC236" s="120"/>
      <c r="LD236" s="120"/>
      <c r="LE236" s="120"/>
      <c r="LF236" s="120"/>
      <c r="LG236" s="120"/>
      <c r="LH236" s="120"/>
      <c r="LI236" s="120"/>
      <c r="LJ236" s="120"/>
      <c r="LK236" s="120"/>
      <c r="LL236" s="120"/>
      <c r="LM236" s="120"/>
      <c r="LN236" s="120"/>
      <c r="LO236" s="120"/>
      <c r="LP236" s="120"/>
      <c r="LQ236" s="120"/>
      <c r="LR236" s="120"/>
      <c r="LS236" s="120"/>
      <c r="LT236" s="120"/>
      <c r="LU236" s="120"/>
      <c r="LV236" s="120"/>
      <c r="LW236" s="120"/>
      <c r="LX236" s="120"/>
      <c r="LY236" s="120"/>
      <c r="LZ236" s="120"/>
      <c r="MA236" s="120"/>
      <c r="MB236" s="120"/>
      <c r="MC236" s="120"/>
      <c r="MD236" s="120"/>
      <c r="ME236" s="120"/>
      <c r="MF236" s="120"/>
      <c r="MG236" s="120"/>
      <c r="MH236" s="120"/>
      <c r="MI236" s="120"/>
      <c r="MJ236" s="120"/>
      <c r="MK236" s="120"/>
      <c r="ML236" s="120"/>
      <c r="MM236" s="120"/>
      <c r="MN236" s="120"/>
      <c r="MO236" s="120"/>
      <c r="MP236" s="120"/>
      <c r="MQ236" s="120"/>
      <c r="MR236" s="120"/>
      <c r="MS236" s="120"/>
      <c r="MT236" s="120"/>
      <c r="MU236" s="120"/>
      <c r="MV236" s="120"/>
      <c r="MW236" s="120"/>
      <c r="MX236" s="120"/>
      <c r="MY236" s="120"/>
      <c r="MZ236" s="120"/>
      <c r="NA236" s="120"/>
      <c r="NB236" s="120"/>
      <c r="NC236" s="120"/>
      <c r="ND236" s="120"/>
      <c r="NE236" s="120"/>
      <c r="NF236" s="120"/>
      <c r="NG236" s="120"/>
      <c r="NH236" s="120"/>
      <c r="NI236" s="120"/>
      <c r="NJ236" s="120"/>
      <c r="NK236" s="120"/>
      <c r="NL236" s="120"/>
      <c r="NM236" s="120"/>
      <c r="NN236" s="120"/>
      <c r="NO236" s="120"/>
      <c r="NP236" s="120"/>
      <c r="NQ236" s="120"/>
      <c r="NR236" s="120"/>
      <c r="NS236" s="120"/>
      <c r="NT236" s="120"/>
      <c r="NU236" s="120"/>
      <c r="NV236" s="120"/>
      <c r="NW236" s="120"/>
      <c r="NX236" s="120"/>
      <c r="NY236" s="120"/>
      <c r="NZ236" s="120"/>
      <c r="OA236" s="120"/>
      <c r="OB236" s="120"/>
      <c r="OC236" s="120"/>
      <c r="OD236" s="120"/>
      <c r="OE236" s="120"/>
      <c r="OF236" s="120"/>
      <c r="OG236" s="120"/>
      <c r="OH236" s="120"/>
      <c r="OI236" s="120"/>
      <c r="OJ236" s="120"/>
      <c r="OK236" s="120"/>
      <c r="OL236" s="120"/>
      <c r="OM236" s="120"/>
      <c r="ON236" s="120"/>
      <c r="OO236" s="120"/>
      <c r="OP236" s="120"/>
      <c r="OQ236" s="120"/>
      <c r="OR236" s="120"/>
      <c r="OS236" s="120"/>
      <c r="OT236" s="120"/>
      <c r="OU236" s="120"/>
      <c r="OV236" s="120"/>
      <c r="OW236" s="120"/>
      <c r="OX236" s="120"/>
      <c r="OY236" s="120"/>
      <c r="OZ236" s="120"/>
      <c r="PA236" s="120"/>
      <c r="PB236" s="120"/>
      <c r="PC236" s="120"/>
      <c r="PD236" s="120"/>
      <c r="PE236" s="120"/>
      <c r="PF236" s="120"/>
      <c r="PG236" s="120"/>
      <c r="PH236" s="120"/>
      <c r="PI236" s="120"/>
      <c r="PJ236" s="120"/>
      <c r="PK236" s="120"/>
      <c r="PL236" s="120"/>
      <c r="PM236" s="120"/>
      <c r="PN236" s="120"/>
      <c r="PO236" s="120"/>
      <c r="PP236" s="120"/>
      <c r="PQ236" s="120"/>
      <c r="PR236" s="120"/>
      <c r="PS236" s="120"/>
      <c r="PT236" s="120"/>
      <c r="PU236" s="120"/>
      <c r="PV236" s="120"/>
      <c r="PW236" s="120"/>
      <c r="PX236" s="120"/>
      <c r="PY236" s="120"/>
      <c r="PZ236" s="120"/>
      <c r="QA236" s="120"/>
      <c r="QB236" s="120"/>
      <c r="QC236" s="120"/>
      <c r="QD236" s="120"/>
      <c r="QE236" s="120"/>
      <c r="QF236" s="120"/>
      <c r="QG236" s="120"/>
      <c r="QH236" s="120"/>
      <c r="QI236" s="120"/>
      <c r="QJ236" s="120"/>
      <c r="QK236" s="120"/>
      <c r="QL236" s="120"/>
      <c r="QM236" s="120"/>
      <c r="QN236" s="120"/>
      <c r="QO236" s="120"/>
      <c r="QP236" s="120"/>
      <c r="QQ236" s="120"/>
      <c r="QR236" s="120"/>
      <c r="QS236" s="120"/>
      <c r="QT236" s="120"/>
      <c r="QU236" s="120"/>
      <c r="QV236" s="120"/>
      <c r="QW236" s="120"/>
      <c r="QX236" s="120"/>
      <c r="QY236" s="120"/>
      <c r="QZ236" s="120"/>
      <c r="RA236" s="120"/>
      <c r="RB236" s="120"/>
      <c r="RC236" s="120"/>
      <c r="RD236" s="120"/>
      <c r="RE236" s="120"/>
      <c r="RF236" s="120"/>
      <c r="RG236" s="120"/>
      <c r="RH236" s="120"/>
      <c r="RI236" s="120"/>
      <c r="RJ236" s="120"/>
      <c r="RK236" s="120"/>
      <c r="RL236" s="120"/>
      <c r="RM236" s="120"/>
      <c r="RN236" s="120"/>
      <c r="RO236" s="120"/>
      <c r="RP236" s="120"/>
      <c r="RQ236" s="120"/>
      <c r="RR236" s="120"/>
      <c r="RS236" s="120"/>
      <c r="RT236" s="120"/>
      <c r="RU236" s="120"/>
      <c r="RV236" s="120"/>
      <c r="RW236" s="120"/>
      <c r="RX236" s="120"/>
      <c r="RY236" s="120"/>
      <c r="RZ236" s="120"/>
      <c r="SA236" s="120"/>
      <c r="SB236" s="120"/>
      <c r="SC236" s="120"/>
      <c r="SD236" s="120"/>
      <c r="SE236" s="120"/>
      <c r="SF236" s="120"/>
      <c r="SG236" s="120"/>
      <c r="SH236" s="120"/>
      <c r="SI236" s="120"/>
      <c r="SJ236" s="120"/>
      <c r="SK236" s="120"/>
      <c r="SL236" s="120"/>
      <c r="SM236" s="120"/>
      <c r="SN236" s="120"/>
      <c r="SO236" s="120"/>
      <c r="SP236" s="120"/>
      <c r="SQ236" s="120"/>
      <c r="SR236" s="120"/>
      <c r="SS236" s="120"/>
      <c r="ST236" s="120"/>
      <c r="SU236" s="120"/>
      <c r="SV236" s="120"/>
      <c r="SW236" s="120"/>
      <c r="SX236" s="120"/>
      <c r="SY236" s="120"/>
      <c r="SZ236" s="120"/>
      <c r="TA236" s="120"/>
      <c r="TB236" s="120"/>
      <c r="TC236" s="120"/>
      <c r="TD236" s="120"/>
      <c r="TE236" s="120"/>
      <c r="TF236" s="120"/>
      <c r="TG236" s="120"/>
      <c r="TH236" s="120"/>
      <c r="TI236" s="120"/>
      <c r="TJ236" s="120"/>
      <c r="TK236" s="120"/>
      <c r="TL236" s="120"/>
      <c r="TM236" s="120"/>
      <c r="TN236" s="120"/>
      <c r="TO236" s="120"/>
      <c r="TP236" s="120"/>
      <c r="TQ236" s="120"/>
      <c r="TR236" s="120"/>
      <c r="TS236" s="120"/>
      <c r="TT236" s="120"/>
      <c r="TU236" s="120"/>
      <c r="TV236" s="120"/>
      <c r="TW236" s="120"/>
      <c r="TX236" s="120"/>
      <c r="TY236" s="120"/>
      <c r="TZ236" s="120"/>
      <c r="UA236" s="120"/>
      <c r="UB236" s="120"/>
      <c r="UC236" s="120"/>
      <c r="UD236" s="120"/>
      <c r="UE236" s="120"/>
      <c r="UF236" s="120"/>
      <c r="UG236" s="120"/>
      <c r="UH236" s="120"/>
      <c r="UI236" s="120"/>
      <c r="UJ236" s="120"/>
      <c r="UK236" s="120"/>
      <c r="UL236" s="120"/>
      <c r="UM236" s="120"/>
      <c r="UN236" s="120"/>
      <c r="UO236" s="120"/>
      <c r="UP236" s="120"/>
      <c r="UQ236" s="120"/>
      <c r="UR236" s="120"/>
      <c r="US236" s="120"/>
      <c r="UT236" s="120"/>
      <c r="UU236" s="120"/>
      <c r="UV236" s="120"/>
      <c r="UW236" s="120"/>
      <c r="UX236" s="120"/>
      <c r="UY236" s="120"/>
      <c r="UZ236" s="120"/>
      <c r="VA236" s="120"/>
      <c r="VB236" s="120"/>
      <c r="VC236" s="120"/>
      <c r="VD236" s="120"/>
      <c r="VE236" s="120"/>
      <c r="VF236" s="120"/>
      <c r="VG236" s="120"/>
      <c r="VH236" s="120"/>
      <c r="VI236" s="120"/>
      <c r="VJ236" s="120"/>
      <c r="VK236" s="120"/>
      <c r="VL236" s="120"/>
      <c r="VM236" s="120"/>
      <c r="VN236" s="120"/>
      <c r="VO236" s="120"/>
      <c r="VP236" s="120"/>
      <c r="VQ236" s="120"/>
      <c r="VR236" s="120"/>
      <c r="VS236" s="120"/>
      <c r="VT236" s="120"/>
      <c r="VU236" s="120"/>
      <c r="VV236" s="120"/>
      <c r="VW236" s="120"/>
      <c r="VX236" s="120"/>
      <c r="VY236" s="120"/>
      <c r="VZ236" s="120"/>
      <c r="WA236" s="120"/>
      <c r="WB236" s="120"/>
      <c r="WC236" s="120"/>
      <c r="WD236" s="120"/>
      <c r="WE236" s="120"/>
      <c r="WF236" s="120"/>
      <c r="WG236" s="120"/>
      <c r="WH236" s="120"/>
      <c r="WI236" s="120"/>
      <c r="WJ236" s="120"/>
      <c r="WK236" s="120"/>
      <c r="WL236" s="120"/>
      <c r="WM236" s="120"/>
      <c r="WN236" s="120"/>
      <c r="WO236" s="120"/>
      <c r="WP236" s="120"/>
      <c r="WQ236" s="120"/>
      <c r="WR236" s="120"/>
      <c r="WS236" s="120"/>
      <c r="WT236" s="120"/>
      <c r="WU236" s="120"/>
      <c r="WV236" s="120"/>
      <c r="WW236" s="120"/>
      <c r="WX236" s="120"/>
      <c r="WY236" s="120"/>
      <c r="WZ236" s="120"/>
      <c r="XA236" s="120"/>
      <c r="XB236" s="120"/>
      <c r="XC236" s="120"/>
      <c r="XD236" s="120"/>
      <c r="XE236" s="120"/>
      <c r="XF236" s="120"/>
      <c r="XG236" s="120"/>
      <c r="XH236" s="120"/>
      <c r="XI236" s="120"/>
      <c r="XJ236" s="120"/>
      <c r="XK236" s="120"/>
      <c r="XL236" s="120"/>
      <c r="XM236" s="120"/>
      <c r="XN236" s="120"/>
      <c r="XO236" s="120"/>
      <c r="XP236" s="120"/>
      <c r="XQ236" s="120"/>
      <c r="XR236" s="120"/>
      <c r="XS236" s="120"/>
      <c r="XT236" s="120"/>
      <c r="XU236" s="120"/>
      <c r="XV236" s="120"/>
      <c r="XW236" s="120"/>
      <c r="XX236" s="120"/>
      <c r="XY236" s="120"/>
      <c r="XZ236" s="120"/>
      <c r="YA236" s="120"/>
      <c r="YB236" s="120"/>
      <c r="YC236" s="120"/>
      <c r="YD236" s="120"/>
      <c r="YE236" s="120"/>
      <c r="YF236" s="120"/>
      <c r="YG236" s="120"/>
      <c r="YH236" s="120"/>
      <c r="YI236" s="120"/>
      <c r="YJ236" s="120"/>
      <c r="YK236" s="120"/>
      <c r="YL236" s="120"/>
      <c r="YM236" s="120"/>
      <c r="YN236" s="120"/>
      <c r="YO236" s="120"/>
      <c r="YP236" s="120"/>
      <c r="YQ236" s="120"/>
      <c r="YR236" s="120"/>
      <c r="YS236" s="120"/>
      <c r="YT236" s="120"/>
      <c r="YU236" s="120"/>
      <c r="YV236" s="120"/>
      <c r="YW236" s="120"/>
      <c r="YX236" s="120"/>
      <c r="YY236" s="120"/>
      <c r="YZ236" s="120"/>
      <c r="ZA236" s="120"/>
      <c r="ZB236" s="120"/>
      <c r="ZC236" s="120"/>
      <c r="ZD236" s="120"/>
      <c r="ZE236" s="120"/>
      <c r="ZF236" s="120"/>
      <c r="ZG236" s="120"/>
      <c r="ZH236" s="120"/>
      <c r="ZI236" s="120"/>
      <c r="ZJ236" s="120"/>
      <c r="ZK236" s="120"/>
      <c r="ZL236" s="120"/>
      <c r="ZM236" s="120"/>
      <c r="ZN236" s="120"/>
      <c r="ZO236" s="120"/>
      <c r="ZP236" s="120"/>
      <c r="ZQ236" s="120"/>
      <c r="ZR236" s="120"/>
      <c r="ZS236" s="120"/>
      <c r="ZT236" s="120"/>
      <c r="ZU236" s="120"/>
      <c r="ZV236" s="120"/>
      <c r="ZW236" s="120"/>
      <c r="ZX236" s="120"/>
      <c r="ZY236" s="120"/>
      <c r="ZZ236" s="120"/>
      <c r="AAA236" s="120"/>
      <c r="AAB236" s="120"/>
      <c r="AAC236" s="120"/>
      <c r="AAD236" s="120"/>
      <c r="AAE236" s="120"/>
      <c r="AAF236" s="120"/>
      <c r="AAG236" s="120"/>
      <c r="AAH236" s="120"/>
      <c r="AAI236" s="120"/>
      <c r="AAJ236" s="120"/>
      <c r="AAK236" s="120"/>
      <c r="AAL236" s="120"/>
      <c r="AAM236" s="120"/>
      <c r="AAN236" s="120"/>
      <c r="AAO236" s="120"/>
      <c r="AAP236" s="120"/>
      <c r="AAQ236" s="120"/>
      <c r="AAR236" s="120"/>
      <c r="AAS236" s="120"/>
      <c r="AAT236" s="120"/>
      <c r="AAU236" s="120"/>
      <c r="AAV236" s="120"/>
      <c r="AAW236" s="120"/>
      <c r="AAX236" s="120"/>
      <c r="AAY236" s="120"/>
      <c r="AAZ236" s="120"/>
      <c r="ABA236" s="120"/>
      <c r="ABB236" s="120"/>
      <c r="ABC236" s="120"/>
      <c r="ABD236" s="120"/>
      <c r="ABE236" s="120"/>
      <c r="ABF236" s="120"/>
      <c r="ABG236" s="120"/>
      <c r="ABH236" s="120"/>
      <c r="ABI236" s="120"/>
      <c r="ABJ236" s="120"/>
      <c r="ABK236" s="120"/>
      <c r="ABL236" s="120"/>
      <c r="ABM236" s="120"/>
      <c r="ABN236" s="120"/>
      <c r="ABO236" s="120"/>
      <c r="ABP236" s="120"/>
      <c r="ABQ236" s="120"/>
      <c r="ABR236" s="120"/>
      <c r="ABS236" s="120"/>
      <c r="ABT236" s="120"/>
      <c r="ABU236" s="120"/>
      <c r="ABV236" s="120"/>
      <c r="ABW236" s="120"/>
      <c r="ABX236" s="120"/>
      <c r="ABY236" s="120"/>
      <c r="ABZ236" s="120"/>
      <c r="ACA236" s="120"/>
      <c r="ACB236" s="120"/>
      <c r="ACC236" s="120"/>
      <c r="ACD236" s="120"/>
      <c r="ACE236" s="120"/>
      <c r="ACF236" s="120"/>
      <c r="ACG236" s="120"/>
      <c r="ACH236" s="120"/>
      <c r="ACI236" s="120"/>
      <c r="ACJ236" s="120"/>
      <c r="ACK236" s="120"/>
      <c r="ACL236" s="120"/>
      <c r="ACM236" s="120"/>
      <c r="ACN236" s="120"/>
      <c r="ACO236" s="120"/>
      <c r="ACP236" s="120"/>
      <c r="ACQ236" s="120"/>
      <c r="ACR236" s="120"/>
      <c r="ACS236" s="120"/>
      <c r="ACT236" s="120"/>
      <c r="ACU236" s="120"/>
      <c r="ACV236" s="120"/>
      <c r="ACW236" s="120"/>
      <c r="ACX236" s="120"/>
      <c r="ACY236" s="120"/>
      <c r="ACZ236" s="120"/>
      <c r="ADA236" s="120"/>
      <c r="ADB236" s="120"/>
      <c r="ADC236" s="120"/>
      <c r="ADD236" s="120"/>
      <c r="ADE236" s="120"/>
      <c r="ADF236" s="120"/>
      <c r="ADG236" s="120"/>
      <c r="ADH236" s="120"/>
      <c r="ADI236" s="120"/>
      <c r="ADJ236" s="120"/>
      <c r="ADK236" s="120"/>
      <c r="ADL236" s="120"/>
      <c r="ADM236" s="120"/>
      <c r="ADN236" s="120"/>
      <c r="ADO236" s="120"/>
      <c r="ADP236" s="120"/>
      <c r="ADQ236" s="120"/>
      <c r="ADR236" s="120"/>
      <c r="ADS236" s="120"/>
      <c r="ADT236" s="120"/>
      <c r="ADU236" s="120"/>
      <c r="ADV236" s="120"/>
      <c r="ADW236" s="120"/>
      <c r="ADX236" s="120"/>
      <c r="ADY236" s="120"/>
      <c r="ADZ236" s="120"/>
      <c r="AEA236" s="120"/>
      <c r="AEB236" s="120"/>
      <c r="AEC236" s="120"/>
      <c r="AED236" s="120"/>
      <c r="AEE236" s="120"/>
      <c r="AEF236" s="120"/>
      <c r="AEG236" s="120"/>
      <c r="AEH236" s="120"/>
      <c r="AEI236" s="120"/>
      <c r="AEJ236" s="120"/>
      <c r="AEK236" s="120"/>
      <c r="AEL236" s="120"/>
      <c r="AEM236" s="120"/>
      <c r="AEN236" s="120"/>
      <c r="AEO236" s="120"/>
      <c r="AEP236" s="120"/>
      <c r="AEQ236" s="120"/>
      <c r="AER236" s="120"/>
      <c r="AES236" s="120"/>
      <c r="AET236" s="120"/>
      <c r="AEU236" s="120"/>
      <c r="AEV236" s="120"/>
      <c r="AEW236" s="120"/>
      <c r="AEX236" s="120"/>
      <c r="AEY236" s="120"/>
      <c r="AEZ236" s="120"/>
      <c r="AFA236" s="120"/>
      <c r="AFB236" s="120"/>
      <c r="AFC236" s="120"/>
      <c r="AFD236" s="120"/>
      <c r="AFE236" s="120"/>
      <c r="AFF236" s="120"/>
      <c r="AFG236" s="120"/>
      <c r="AFH236" s="120"/>
      <c r="AFI236" s="120"/>
      <c r="AFJ236" s="120"/>
      <c r="AFK236" s="120"/>
      <c r="AFL236" s="120"/>
      <c r="AFM236" s="120"/>
      <c r="AFN236" s="120"/>
      <c r="AFO236" s="120"/>
      <c r="AFP236" s="120"/>
      <c r="AFQ236" s="120"/>
      <c r="AFR236" s="120"/>
      <c r="AFS236" s="120"/>
      <c r="AFT236" s="120"/>
      <c r="AFU236" s="120"/>
      <c r="AFV236" s="120"/>
      <c r="AFW236" s="120"/>
      <c r="AFX236" s="120"/>
      <c r="AFY236" s="120"/>
      <c r="AFZ236" s="120"/>
      <c r="AGA236" s="120"/>
      <c r="AGB236" s="120"/>
      <c r="AGC236" s="120"/>
      <c r="AGD236" s="120"/>
      <c r="AGE236" s="120"/>
      <c r="AGF236" s="120"/>
      <c r="AGG236" s="120"/>
      <c r="AGH236" s="120"/>
      <c r="AGI236" s="120"/>
      <c r="AGJ236" s="120"/>
      <c r="AGK236" s="120"/>
      <c r="AGL236" s="120"/>
      <c r="AGM236" s="120"/>
      <c r="AGN236" s="120"/>
      <c r="AGO236" s="120"/>
      <c r="AGP236" s="120"/>
      <c r="AGQ236" s="120"/>
      <c r="AGR236" s="120"/>
      <c r="AGS236" s="120"/>
      <c r="AGT236" s="120"/>
      <c r="AGU236" s="120"/>
      <c r="AGV236" s="120"/>
      <c r="AGW236" s="120"/>
      <c r="AGX236" s="120"/>
      <c r="AGY236" s="120"/>
      <c r="AGZ236" s="120"/>
      <c r="AHA236" s="120"/>
      <c r="AHB236" s="120"/>
      <c r="AHC236" s="120"/>
      <c r="AHD236" s="120"/>
      <c r="AHE236" s="120"/>
      <c r="AHF236" s="120"/>
      <c r="AHG236" s="120"/>
      <c r="AHH236" s="120"/>
      <c r="AHI236" s="120"/>
      <c r="AHJ236" s="120"/>
      <c r="AHK236" s="120"/>
      <c r="AHL236" s="120"/>
      <c r="AHM236" s="120"/>
      <c r="AHN236" s="120"/>
      <c r="AHO236" s="120"/>
      <c r="AHP236" s="120"/>
      <c r="AHQ236" s="120"/>
      <c r="AHR236" s="120"/>
      <c r="AHS236" s="120"/>
      <c r="AHT236" s="120"/>
      <c r="AHU236" s="120"/>
      <c r="AHV236" s="120"/>
      <c r="AHW236" s="120"/>
      <c r="AHX236" s="120"/>
      <c r="AHY236" s="120"/>
      <c r="AHZ236" s="120"/>
      <c r="AIA236" s="120"/>
      <c r="AIB236" s="120"/>
      <c r="AIC236" s="120"/>
      <c r="AID236" s="120"/>
      <c r="AIE236" s="120"/>
      <c r="AIF236" s="120"/>
      <c r="AIG236" s="120"/>
      <c r="AIH236" s="120"/>
      <c r="AII236" s="120"/>
      <c r="AIJ236" s="120"/>
      <c r="AIK236" s="120"/>
      <c r="AIL236" s="120"/>
      <c r="AIM236" s="120"/>
      <c r="AIN236" s="120"/>
      <c r="AIO236" s="120"/>
      <c r="AIP236" s="120"/>
      <c r="AIQ236" s="120"/>
      <c r="AIR236" s="120"/>
      <c r="AIS236" s="120"/>
      <c r="AIT236" s="120"/>
      <c r="AIU236" s="120"/>
      <c r="AIV236" s="120"/>
      <c r="AIW236" s="120"/>
      <c r="AIX236" s="120"/>
      <c r="AIY236" s="120"/>
      <c r="AIZ236" s="120"/>
    </row>
    <row r="237">
      <c r="A237" s="112" t="s">
        <v>35</v>
      </c>
      <c r="B237" s="112" t="s">
        <v>72</v>
      </c>
      <c r="C237" s="112"/>
      <c r="D237" s="113">
        <f t="shared" si="1"/>
        <v>629.1787333</v>
      </c>
      <c r="E237" s="112">
        <v>117.218516666667</v>
      </c>
      <c r="F237" s="113"/>
      <c r="G237" s="113"/>
      <c r="H237" s="113"/>
      <c r="I237" s="113"/>
      <c r="J237" s="113"/>
      <c r="K237" s="113"/>
      <c r="L237" s="112">
        <v>1.80346666666667</v>
      </c>
      <c r="M237" s="112">
        <v>14.8825333333333</v>
      </c>
      <c r="N237" s="113"/>
      <c r="O237" s="112">
        <v>0.1045</v>
      </c>
      <c r="P237" s="112">
        <v>151.90335</v>
      </c>
      <c r="Q237" s="113"/>
      <c r="R237" s="113"/>
      <c r="S237" s="113"/>
      <c r="T237" s="113"/>
      <c r="U237" s="113"/>
      <c r="V237" s="112">
        <v>2.67668333333333</v>
      </c>
      <c r="W237" s="112">
        <v>121.803583333333</v>
      </c>
      <c r="X237" s="113"/>
      <c r="Y237" s="113"/>
      <c r="Z237" s="113"/>
      <c r="AA237" s="113"/>
      <c r="AB237" s="113"/>
      <c r="AC237" s="112">
        <v>2.44726666666667</v>
      </c>
      <c r="AD237" s="112">
        <v>31.3661666666667</v>
      </c>
      <c r="AE237" s="113"/>
      <c r="AF237" s="113"/>
      <c r="AG237" s="113"/>
      <c r="AH237" s="113"/>
      <c r="AI237" s="113"/>
      <c r="AJ237" s="112">
        <v>0.98565</v>
      </c>
      <c r="AK237" s="112">
        <v>24.1747833333333</v>
      </c>
      <c r="AL237" s="113"/>
      <c r="AM237" s="113"/>
      <c r="AN237" s="113"/>
      <c r="AO237" s="112">
        <v>0.974866666666667</v>
      </c>
      <c r="AP237" s="112">
        <v>5.30115</v>
      </c>
      <c r="AQ237" s="113"/>
      <c r="AR237" s="113"/>
      <c r="AS237" s="112">
        <v>0.523583333333333</v>
      </c>
      <c r="AT237" s="112">
        <v>150.10535</v>
      </c>
      <c r="AU237" s="113"/>
      <c r="AV237" s="112">
        <v>2.6154</v>
      </c>
      <c r="AW237" s="112">
        <v>0.291883333333333</v>
      </c>
      <c r="AX237" s="113"/>
      <c r="AY237" s="113"/>
      <c r="AZ237" s="113"/>
      <c r="BA237" s="113"/>
      <c r="BB237" s="113"/>
      <c r="BC237" s="113"/>
      <c r="BD237" s="113"/>
      <c r="BE237" s="113"/>
      <c r="BF237" s="113"/>
      <c r="BG237" s="113"/>
      <c r="BH237" s="113"/>
      <c r="BI237" s="113"/>
      <c r="BJ237" s="113"/>
      <c r="BK237" s="113"/>
      <c r="BL237" s="113"/>
      <c r="BM237" s="113"/>
      <c r="BN237" s="113"/>
      <c r="BO237" s="113"/>
      <c r="BP237" s="113"/>
      <c r="BQ237" s="113"/>
      <c r="BR237" s="113"/>
      <c r="BS237" s="113"/>
      <c r="BT237" s="113"/>
      <c r="BU237" s="113"/>
      <c r="BV237" s="113"/>
      <c r="BW237" s="113"/>
      <c r="BX237" s="113"/>
      <c r="BY237" s="113"/>
      <c r="BZ237" s="113"/>
      <c r="CA237" s="113"/>
      <c r="CB237" s="113"/>
      <c r="CC237" s="113"/>
      <c r="CD237" s="113"/>
      <c r="CE237" s="113"/>
      <c r="CF237" s="113"/>
      <c r="CG237" s="113"/>
      <c r="CH237" s="113"/>
      <c r="CI237" s="113"/>
      <c r="CJ237" s="113"/>
      <c r="CK237" s="113"/>
      <c r="CL237" s="113"/>
      <c r="CM237" s="113"/>
      <c r="CN237" s="113"/>
      <c r="CO237" s="113"/>
      <c r="CP237" s="113"/>
      <c r="CQ237" s="113"/>
      <c r="CR237" s="113"/>
      <c r="CS237" s="113"/>
      <c r="CT237" s="113"/>
      <c r="CU237" s="113"/>
      <c r="CV237" s="113"/>
      <c r="CW237" s="113"/>
      <c r="CX237" s="113"/>
      <c r="CY237" s="113"/>
      <c r="CZ237" s="113"/>
      <c r="DA237" s="113"/>
      <c r="DB237" s="113"/>
      <c r="DC237" s="113"/>
      <c r="DD237" s="113"/>
      <c r="DE237" s="113"/>
      <c r="DF237" s="113"/>
      <c r="DG237" s="113"/>
      <c r="DH237" s="113"/>
      <c r="DI237" s="113"/>
      <c r="DJ237" s="113"/>
      <c r="DK237" s="113"/>
      <c r="DL237" s="113"/>
      <c r="DM237" s="113"/>
      <c r="DN237" s="113"/>
      <c r="DO237" s="113"/>
      <c r="DP237" s="113"/>
      <c r="DQ237" s="113"/>
      <c r="DR237" s="113"/>
      <c r="DS237" s="113"/>
      <c r="DT237" s="113"/>
      <c r="DU237" s="113"/>
      <c r="DV237" s="113"/>
      <c r="DW237" s="113"/>
      <c r="DX237" s="113"/>
      <c r="DY237" s="113"/>
      <c r="DZ237" s="113"/>
      <c r="EA237" s="113"/>
      <c r="EB237" s="113"/>
      <c r="EC237" s="113"/>
      <c r="ED237" s="113"/>
      <c r="EE237" s="113"/>
      <c r="EF237" s="113"/>
      <c r="EG237" s="113"/>
      <c r="EH237" s="113"/>
      <c r="EI237" s="113"/>
      <c r="EJ237" s="113"/>
      <c r="EK237" s="113"/>
      <c r="EL237" s="113"/>
      <c r="EM237" s="113"/>
      <c r="EN237" s="113"/>
      <c r="EO237" s="113"/>
      <c r="EP237" s="113"/>
      <c r="EQ237" s="113"/>
      <c r="ER237" s="113"/>
      <c r="ES237" s="113"/>
      <c r="ET237" s="113"/>
      <c r="EU237" s="113"/>
      <c r="EV237" s="113"/>
      <c r="EW237" s="113"/>
      <c r="EX237" s="113"/>
      <c r="EY237" s="113"/>
      <c r="EZ237" s="113"/>
      <c r="FA237" s="113"/>
      <c r="FB237" s="113"/>
      <c r="FC237" s="113"/>
      <c r="FD237" s="113"/>
      <c r="FE237" s="113"/>
      <c r="FF237" s="113"/>
      <c r="FG237" s="113"/>
      <c r="FH237" s="113"/>
      <c r="FI237" s="113"/>
      <c r="FJ237" s="113"/>
      <c r="FK237" s="113"/>
      <c r="FL237" s="113"/>
      <c r="FM237" s="113"/>
      <c r="FN237" s="113"/>
      <c r="FO237" s="113"/>
      <c r="FP237" s="113"/>
      <c r="FQ237" s="113"/>
      <c r="FR237" s="113"/>
      <c r="FS237" s="113"/>
      <c r="FT237" s="113"/>
      <c r="FU237" s="113"/>
      <c r="FV237" s="113"/>
      <c r="FW237" s="113"/>
      <c r="FX237" s="113"/>
      <c r="FY237" s="113"/>
      <c r="FZ237" s="113"/>
      <c r="GA237" s="113"/>
      <c r="GB237" s="113"/>
      <c r="GC237" s="113"/>
      <c r="GD237" s="113"/>
      <c r="GE237" s="113"/>
      <c r="GF237" s="113"/>
      <c r="GG237" s="113"/>
      <c r="GH237" s="113"/>
      <c r="GI237" s="113"/>
      <c r="GJ237" s="113"/>
      <c r="GK237" s="113"/>
      <c r="GL237" s="113"/>
      <c r="GM237" s="113"/>
      <c r="GN237" s="113"/>
      <c r="GO237" s="113"/>
      <c r="GP237" s="113"/>
      <c r="GQ237" s="113"/>
      <c r="GR237" s="113"/>
      <c r="GS237" s="113"/>
      <c r="GT237" s="113"/>
      <c r="GU237" s="113"/>
      <c r="GV237" s="113"/>
      <c r="GW237" s="113"/>
      <c r="GX237" s="113"/>
      <c r="GY237" s="113"/>
      <c r="GZ237" s="113"/>
      <c r="HA237" s="113"/>
      <c r="HB237" s="113"/>
      <c r="HC237" s="113"/>
      <c r="HD237" s="113"/>
      <c r="HE237" s="113"/>
      <c r="HF237" s="113"/>
      <c r="HG237" s="113"/>
      <c r="HH237" s="113"/>
      <c r="HI237" s="113"/>
      <c r="HJ237" s="113"/>
      <c r="HK237" s="113"/>
      <c r="HL237" s="113"/>
      <c r="HM237" s="113"/>
      <c r="HN237" s="113"/>
      <c r="HO237" s="113"/>
      <c r="HP237" s="113"/>
      <c r="HQ237" s="113"/>
      <c r="HR237" s="113"/>
      <c r="HS237" s="113"/>
      <c r="HT237" s="113"/>
      <c r="HU237" s="113"/>
      <c r="HV237" s="113"/>
      <c r="HW237" s="113"/>
      <c r="HX237" s="113"/>
      <c r="HY237" s="113"/>
      <c r="HZ237" s="113"/>
      <c r="IA237" s="113"/>
      <c r="IB237" s="113"/>
      <c r="IC237" s="113"/>
      <c r="ID237" s="113"/>
      <c r="IE237" s="113"/>
      <c r="IF237" s="113"/>
      <c r="IG237" s="113"/>
      <c r="IH237" s="113"/>
      <c r="II237" s="113"/>
      <c r="IJ237" s="113"/>
      <c r="IK237" s="113"/>
      <c r="IL237" s="113"/>
      <c r="IM237" s="113"/>
      <c r="IN237" s="113"/>
      <c r="IO237" s="113"/>
      <c r="IP237" s="113"/>
      <c r="IQ237" s="113"/>
      <c r="IR237" s="113"/>
      <c r="IS237" s="113"/>
      <c r="IT237" s="113"/>
      <c r="IU237" s="113"/>
      <c r="IV237" s="113"/>
      <c r="IW237" s="113"/>
      <c r="IX237" s="113"/>
      <c r="IY237" s="113"/>
      <c r="IZ237" s="113"/>
      <c r="JA237" s="113"/>
      <c r="JB237" s="113"/>
      <c r="JC237" s="113"/>
      <c r="JD237" s="113"/>
      <c r="JE237" s="113"/>
      <c r="JF237" s="113"/>
      <c r="JG237" s="113"/>
      <c r="JH237" s="113"/>
      <c r="JI237" s="113"/>
      <c r="JJ237" s="113"/>
      <c r="JK237" s="113"/>
      <c r="JL237" s="113"/>
      <c r="JM237" s="113"/>
      <c r="JN237" s="113"/>
      <c r="JO237" s="113"/>
      <c r="JP237" s="113"/>
      <c r="JQ237" s="113"/>
      <c r="JR237" s="113"/>
      <c r="JS237" s="113"/>
      <c r="JT237" s="113"/>
      <c r="JU237" s="113"/>
      <c r="JV237" s="113"/>
      <c r="JW237" s="113"/>
      <c r="JX237" s="113"/>
      <c r="JY237" s="113"/>
      <c r="JZ237" s="113"/>
      <c r="KA237" s="113"/>
      <c r="KB237" s="113"/>
      <c r="KC237" s="113"/>
      <c r="KD237" s="113"/>
      <c r="KE237" s="113"/>
      <c r="KF237" s="113"/>
      <c r="KG237" s="113"/>
      <c r="KH237" s="113"/>
      <c r="KI237" s="113"/>
      <c r="KJ237" s="113"/>
      <c r="KK237" s="113"/>
      <c r="KL237" s="113"/>
      <c r="KM237" s="113"/>
      <c r="KN237" s="113"/>
      <c r="KO237" s="113"/>
      <c r="KP237" s="113"/>
      <c r="KQ237" s="113"/>
      <c r="KR237" s="113"/>
      <c r="KS237" s="113"/>
      <c r="KT237" s="113"/>
      <c r="KU237" s="113"/>
      <c r="KV237" s="113"/>
      <c r="KW237" s="113"/>
      <c r="KX237" s="113"/>
      <c r="KY237" s="113"/>
      <c r="KZ237" s="113"/>
      <c r="LA237" s="113"/>
      <c r="LB237" s="113"/>
      <c r="LC237" s="113"/>
      <c r="LD237" s="113"/>
      <c r="LE237" s="113"/>
      <c r="LF237" s="113"/>
      <c r="LG237" s="113"/>
      <c r="LH237" s="113"/>
      <c r="LI237" s="113"/>
      <c r="LJ237" s="113"/>
      <c r="LK237" s="113"/>
      <c r="LL237" s="113"/>
      <c r="LM237" s="113"/>
      <c r="LN237" s="113"/>
      <c r="LO237" s="113"/>
      <c r="LP237" s="113"/>
      <c r="LQ237" s="113"/>
      <c r="LR237" s="113"/>
      <c r="LS237" s="113"/>
      <c r="LT237" s="113"/>
      <c r="LU237" s="113"/>
      <c r="LV237" s="113"/>
      <c r="LW237" s="113"/>
      <c r="LX237" s="113"/>
      <c r="LY237" s="113"/>
      <c r="LZ237" s="113"/>
      <c r="MA237" s="113"/>
      <c r="MB237" s="113"/>
      <c r="MC237" s="113"/>
      <c r="MD237" s="113"/>
      <c r="ME237" s="113"/>
      <c r="MF237" s="113"/>
      <c r="MG237" s="113"/>
      <c r="MH237" s="113"/>
      <c r="MI237" s="113"/>
      <c r="MJ237" s="113"/>
      <c r="MK237" s="113"/>
      <c r="ML237" s="113"/>
      <c r="MM237" s="113"/>
      <c r="MN237" s="113"/>
      <c r="MO237" s="113"/>
      <c r="MP237" s="113"/>
      <c r="MQ237" s="113"/>
      <c r="MR237" s="113"/>
      <c r="MS237" s="113"/>
      <c r="MT237" s="113"/>
      <c r="MU237" s="113"/>
      <c r="MV237" s="113"/>
      <c r="MW237" s="113"/>
      <c r="MX237" s="113"/>
      <c r="MY237" s="113"/>
      <c r="MZ237" s="113"/>
      <c r="NA237" s="113"/>
      <c r="NB237" s="113"/>
      <c r="NC237" s="113"/>
      <c r="ND237" s="113"/>
      <c r="NE237" s="113"/>
      <c r="NF237" s="113"/>
      <c r="NG237" s="113"/>
      <c r="NH237" s="113"/>
      <c r="NI237" s="113"/>
      <c r="NJ237" s="113"/>
      <c r="NK237" s="113"/>
      <c r="NL237" s="113"/>
      <c r="NM237" s="113"/>
      <c r="NN237" s="113"/>
      <c r="NO237" s="113"/>
      <c r="NP237" s="113"/>
      <c r="NQ237" s="113"/>
      <c r="NR237" s="113"/>
      <c r="NS237" s="113"/>
      <c r="NT237" s="113"/>
      <c r="NU237" s="113"/>
      <c r="NV237" s="113"/>
      <c r="NW237" s="113"/>
      <c r="NX237" s="113"/>
      <c r="NY237" s="113"/>
      <c r="NZ237" s="113"/>
      <c r="OA237" s="113"/>
      <c r="OB237" s="113"/>
      <c r="OC237" s="113"/>
      <c r="OD237" s="113"/>
      <c r="OE237" s="113"/>
      <c r="OF237" s="113"/>
      <c r="OG237" s="113"/>
      <c r="OH237" s="113"/>
      <c r="OI237" s="113"/>
      <c r="OJ237" s="113"/>
      <c r="OK237" s="113"/>
      <c r="OL237" s="113"/>
      <c r="OM237" s="113"/>
      <c r="ON237" s="113"/>
      <c r="OO237" s="113"/>
      <c r="OP237" s="113"/>
      <c r="OQ237" s="113"/>
      <c r="OR237" s="113"/>
      <c r="OS237" s="113"/>
      <c r="OT237" s="113"/>
      <c r="OU237" s="113"/>
      <c r="OV237" s="113"/>
      <c r="OW237" s="113"/>
      <c r="OX237" s="113"/>
      <c r="OY237" s="113"/>
      <c r="OZ237" s="113"/>
      <c r="PA237" s="113"/>
      <c r="PB237" s="113"/>
      <c r="PC237" s="113"/>
      <c r="PD237" s="113"/>
      <c r="PE237" s="113"/>
      <c r="PF237" s="113"/>
      <c r="PG237" s="113"/>
      <c r="PH237" s="113"/>
      <c r="PI237" s="113"/>
      <c r="PJ237" s="113"/>
      <c r="PK237" s="113"/>
      <c r="PL237" s="113"/>
      <c r="PM237" s="113"/>
      <c r="PN237" s="113"/>
      <c r="PO237" s="113"/>
      <c r="PP237" s="113"/>
      <c r="PQ237" s="113"/>
      <c r="PR237" s="113"/>
      <c r="PS237" s="113"/>
      <c r="PT237" s="113"/>
      <c r="PU237" s="113"/>
      <c r="PV237" s="113"/>
      <c r="PW237" s="113"/>
      <c r="PX237" s="113"/>
      <c r="PY237" s="113"/>
      <c r="PZ237" s="113"/>
      <c r="QA237" s="113"/>
      <c r="QB237" s="113"/>
      <c r="QC237" s="113"/>
      <c r="QD237" s="113"/>
      <c r="QE237" s="113"/>
      <c r="QF237" s="113"/>
      <c r="QG237" s="113"/>
      <c r="QH237" s="113"/>
      <c r="QI237" s="113"/>
      <c r="QJ237" s="113"/>
      <c r="QK237" s="113"/>
      <c r="QL237" s="113"/>
      <c r="QM237" s="113"/>
      <c r="QN237" s="113"/>
      <c r="QO237" s="113"/>
      <c r="QP237" s="113"/>
      <c r="QQ237" s="113"/>
      <c r="QR237" s="113"/>
      <c r="QS237" s="113"/>
      <c r="QT237" s="113"/>
      <c r="QU237" s="113"/>
      <c r="QV237" s="113"/>
      <c r="QW237" s="113"/>
      <c r="QX237" s="113"/>
      <c r="QY237" s="113"/>
      <c r="QZ237" s="113"/>
      <c r="RA237" s="113"/>
      <c r="RB237" s="113"/>
      <c r="RC237" s="113"/>
      <c r="RD237" s="113"/>
      <c r="RE237" s="113"/>
      <c r="RF237" s="113"/>
      <c r="RG237" s="113"/>
      <c r="RH237" s="113"/>
      <c r="RI237" s="113"/>
      <c r="RJ237" s="113"/>
      <c r="RK237" s="113"/>
      <c r="RL237" s="113"/>
      <c r="RM237" s="113"/>
      <c r="RN237" s="113"/>
      <c r="RO237" s="113"/>
      <c r="RP237" s="113"/>
      <c r="RQ237" s="113"/>
      <c r="RR237" s="113"/>
      <c r="RS237" s="113"/>
      <c r="RT237" s="113"/>
      <c r="RU237" s="113"/>
      <c r="RV237" s="113"/>
      <c r="RW237" s="113"/>
      <c r="RX237" s="113"/>
      <c r="RY237" s="113"/>
      <c r="RZ237" s="113"/>
      <c r="SA237" s="113"/>
      <c r="SB237" s="113"/>
      <c r="SC237" s="113"/>
      <c r="SD237" s="113"/>
      <c r="SE237" s="113"/>
      <c r="SF237" s="113"/>
      <c r="SG237" s="113"/>
      <c r="SH237" s="113"/>
      <c r="SI237" s="113"/>
      <c r="SJ237" s="113"/>
      <c r="SK237" s="113"/>
      <c r="SL237" s="113"/>
      <c r="SM237" s="113"/>
      <c r="SN237" s="113"/>
      <c r="SO237" s="113"/>
      <c r="SP237" s="113"/>
      <c r="SQ237" s="113"/>
      <c r="SR237" s="113"/>
      <c r="SS237" s="113"/>
      <c r="ST237" s="113"/>
      <c r="SU237" s="113"/>
      <c r="SV237" s="113"/>
      <c r="SW237" s="113"/>
      <c r="SX237" s="113"/>
      <c r="SY237" s="113"/>
      <c r="SZ237" s="113"/>
      <c r="TA237" s="113"/>
      <c r="TB237" s="113"/>
      <c r="TC237" s="113"/>
      <c r="TD237" s="113"/>
      <c r="TE237" s="113"/>
      <c r="TF237" s="113"/>
      <c r="TG237" s="113"/>
      <c r="TH237" s="113"/>
      <c r="TI237" s="113"/>
      <c r="TJ237" s="113"/>
      <c r="TK237" s="113"/>
      <c r="TL237" s="113"/>
      <c r="TM237" s="113"/>
      <c r="TN237" s="113"/>
      <c r="TO237" s="113"/>
      <c r="TP237" s="113"/>
      <c r="TQ237" s="113"/>
      <c r="TR237" s="113"/>
      <c r="TS237" s="113"/>
      <c r="TT237" s="113"/>
      <c r="TU237" s="113"/>
      <c r="TV237" s="113"/>
      <c r="TW237" s="113"/>
      <c r="TX237" s="113"/>
      <c r="TY237" s="113"/>
      <c r="TZ237" s="113"/>
      <c r="UA237" s="113"/>
      <c r="UB237" s="113"/>
      <c r="UC237" s="113"/>
      <c r="UD237" s="113"/>
      <c r="UE237" s="113"/>
      <c r="UF237" s="113"/>
      <c r="UG237" s="113"/>
      <c r="UH237" s="113"/>
      <c r="UI237" s="113"/>
      <c r="UJ237" s="113"/>
      <c r="UK237" s="113"/>
      <c r="UL237" s="113"/>
      <c r="UM237" s="113"/>
      <c r="UN237" s="113"/>
      <c r="UO237" s="113"/>
      <c r="UP237" s="113"/>
      <c r="UQ237" s="113"/>
      <c r="UR237" s="113"/>
      <c r="US237" s="113"/>
      <c r="UT237" s="113"/>
      <c r="UU237" s="113"/>
      <c r="UV237" s="113"/>
      <c r="UW237" s="113"/>
      <c r="UX237" s="113"/>
      <c r="UY237" s="113"/>
      <c r="UZ237" s="113"/>
      <c r="VA237" s="113"/>
      <c r="VB237" s="113"/>
      <c r="VC237" s="113"/>
      <c r="VD237" s="113"/>
      <c r="VE237" s="113"/>
      <c r="VF237" s="113"/>
      <c r="VG237" s="113"/>
      <c r="VH237" s="113"/>
      <c r="VI237" s="113"/>
      <c r="VJ237" s="113"/>
      <c r="VK237" s="113"/>
      <c r="VL237" s="113"/>
      <c r="VM237" s="113"/>
      <c r="VN237" s="113"/>
      <c r="VO237" s="113"/>
      <c r="VP237" s="113"/>
      <c r="VQ237" s="113"/>
      <c r="VR237" s="113"/>
      <c r="VS237" s="113"/>
      <c r="VT237" s="113"/>
      <c r="VU237" s="113"/>
      <c r="VV237" s="113"/>
      <c r="VW237" s="113"/>
      <c r="VX237" s="113"/>
      <c r="VY237" s="113"/>
      <c r="VZ237" s="113"/>
      <c r="WA237" s="113"/>
      <c r="WB237" s="113"/>
      <c r="WC237" s="113"/>
      <c r="WD237" s="113"/>
      <c r="WE237" s="113"/>
      <c r="WF237" s="113"/>
      <c r="WG237" s="113"/>
      <c r="WH237" s="113"/>
      <c r="WI237" s="113"/>
      <c r="WJ237" s="113"/>
      <c r="WK237" s="113"/>
      <c r="WL237" s="113"/>
      <c r="WM237" s="113"/>
      <c r="WN237" s="113"/>
      <c r="WO237" s="113"/>
      <c r="WP237" s="113"/>
      <c r="WQ237" s="113"/>
      <c r="WR237" s="113"/>
      <c r="WS237" s="113"/>
      <c r="WT237" s="113"/>
      <c r="WU237" s="113"/>
      <c r="WV237" s="113"/>
      <c r="WW237" s="113"/>
      <c r="WX237" s="113"/>
      <c r="WY237" s="113"/>
      <c r="WZ237" s="113"/>
      <c r="XA237" s="113"/>
      <c r="XB237" s="113"/>
      <c r="XC237" s="113"/>
      <c r="XD237" s="113"/>
      <c r="XE237" s="113"/>
      <c r="XF237" s="113"/>
      <c r="XG237" s="113"/>
      <c r="XH237" s="113"/>
      <c r="XI237" s="113"/>
      <c r="XJ237" s="113"/>
      <c r="XK237" s="113"/>
      <c r="XL237" s="113"/>
      <c r="XM237" s="113"/>
      <c r="XN237" s="113"/>
      <c r="XO237" s="113"/>
      <c r="XP237" s="113"/>
      <c r="XQ237" s="113"/>
      <c r="XR237" s="113"/>
      <c r="XS237" s="113"/>
      <c r="XT237" s="113"/>
      <c r="XU237" s="113"/>
      <c r="XV237" s="113"/>
      <c r="XW237" s="113"/>
      <c r="XX237" s="113"/>
      <c r="XY237" s="113"/>
      <c r="XZ237" s="113"/>
      <c r="YA237" s="113"/>
      <c r="YB237" s="113"/>
      <c r="YC237" s="113"/>
      <c r="YD237" s="113"/>
      <c r="YE237" s="113"/>
      <c r="YF237" s="113"/>
      <c r="YG237" s="113"/>
      <c r="YH237" s="113"/>
      <c r="YI237" s="113"/>
      <c r="YJ237" s="113"/>
      <c r="YK237" s="113"/>
      <c r="YL237" s="113"/>
      <c r="YM237" s="113"/>
      <c r="YN237" s="113"/>
      <c r="YO237" s="113"/>
      <c r="YP237" s="113"/>
      <c r="YQ237" s="113"/>
      <c r="YR237" s="113"/>
      <c r="YS237" s="113"/>
      <c r="YT237" s="113"/>
      <c r="YU237" s="113"/>
      <c r="YV237" s="113"/>
      <c r="YW237" s="113"/>
      <c r="YX237" s="113"/>
      <c r="YY237" s="113"/>
      <c r="YZ237" s="113"/>
      <c r="ZA237" s="113"/>
      <c r="ZB237" s="113"/>
      <c r="ZC237" s="113"/>
      <c r="ZD237" s="113"/>
      <c r="ZE237" s="113"/>
      <c r="ZF237" s="113"/>
      <c r="ZG237" s="113"/>
      <c r="ZH237" s="113"/>
      <c r="ZI237" s="113"/>
      <c r="ZJ237" s="113"/>
      <c r="ZK237" s="113"/>
      <c r="ZL237" s="113"/>
      <c r="ZM237" s="113"/>
      <c r="ZN237" s="113"/>
      <c r="ZO237" s="113"/>
      <c r="ZP237" s="113"/>
      <c r="ZQ237" s="113"/>
      <c r="ZR237" s="113"/>
      <c r="ZS237" s="113"/>
      <c r="ZT237" s="113"/>
      <c r="ZU237" s="113"/>
      <c r="ZV237" s="113"/>
      <c r="ZW237" s="113"/>
      <c r="ZX237" s="113"/>
      <c r="ZY237" s="113"/>
      <c r="ZZ237" s="113"/>
      <c r="AAA237" s="113"/>
      <c r="AAB237" s="113"/>
      <c r="AAC237" s="113"/>
      <c r="AAD237" s="113"/>
      <c r="AAE237" s="113"/>
      <c r="AAF237" s="113"/>
      <c r="AAG237" s="113"/>
      <c r="AAH237" s="113"/>
      <c r="AAI237" s="113"/>
      <c r="AAJ237" s="113"/>
      <c r="AAK237" s="113"/>
      <c r="AAL237" s="113"/>
      <c r="AAM237" s="113"/>
      <c r="AAN237" s="113"/>
      <c r="AAO237" s="113"/>
      <c r="AAP237" s="113"/>
      <c r="AAQ237" s="113"/>
      <c r="AAR237" s="113"/>
      <c r="AAS237" s="113"/>
      <c r="AAT237" s="113"/>
      <c r="AAU237" s="113"/>
      <c r="AAV237" s="113"/>
      <c r="AAW237" s="113"/>
      <c r="AAX237" s="113"/>
      <c r="AAY237" s="113"/>
      <c r="AAZ237" s="113"/>
      <c r="ABA237" s="113"/>
      <c r="ABB237" s="113"/>
      <c r="ABC237" s="113"/>
      <c r="ABD237" s="113"/>
      <c r="ABE237" s="113"/>
      <c r="ABF237" s="113"/>
      <c r="ABG237" s="113"/>
      <c r="ABH237" s="113"/>
      <c r="ABI237" s="113"/>
      <c r="ABJ237" s="113"/>
      <c r="ABK237" s="113"/>
      <c r="ABL237" s="113"/>
      <c r="ABM237" s="113"/>
      <c r="ABN237" s="113"/>
      <c r="ABO237" s="113"/>
      <c r="ABP237" s="113"/>
      <c r="ABQ237" s="113"/>
      <c r="ABR237" s="113"/>
      <c r="ABS237" s="113"/>
      <c r="ABT237" s="113"/>
      <c r="ABU237" s="113"/>
      <c r="ABV237" s="113"/>
      <c r="ABW237" s="113"/>
      <c r="ABX237" s="113"/>
      <c r="ABY237" s="113"/>
      <c r="ABZ237" s="113"/>
      <c r="ACA237" s="113"/>
      <c r="ACB237" s="113"/>
      <c r="ACC237" s="113"/>
      <c r="ACD237" s="113"/>
      <c r="ACE237" s="113"/>
      <c r="ACF237" s="113"/>
      <c r="ACG237" s="113"/>
      <c r="ACH237" s="113"/>
      <c r="ACI237" s="113"/>
      <c r="ACJ237" s="113"/>
      <c r="ACK237" s="113"/>
      <c r="ACL237" s="113"/>
      <c r="ACM237" s="113"/>
      <c r="ACN237" s="113"/>
      <c r="ACO237" s="113"/>
      <c r="ACP237" s="113"/>
      <c r="ACQ237" s="113"/>
      <c r="ACR237" s="113"/>
      <c r="ACS237" s="113"/>
      <c r="ACT237" s="113"/>
      <c r="ACU237" s="113"/>
      <c r="ACV237" s="113"/>
      <c r="ACW237" s="113"/>
      <c r="ACX237" s="113"/>
      <c r="ACY237" s="113"/>
      <c r="ACZ237" s="113"/>
      <c r="ADA237" s="113"/>
      <c r="ADB237" s="113"/>
      <c r="ADC237" s="113"/>
      <c r="ADD237" s="113"/>
      <c r="ADE237" s="113"/>
      <c r="ADF237" s="113"/>
      <c r="ADG237" s="113"/>
      <c r="ADH237" s="113"/>
      <c r="ADI237" s="113"/>
      <c r="ADJ237" s="113"/>
      <c r="ADK237" s="113"/>
      <c r="ADL237" s="113"/>
      <c r="ADM237" s="113"/>
      <c r="ADN237" s="113"/>
      <c r="ADO237" s="113"/>
      <c r="ADP237" s="113"/>
      <c r="ADQ237" s="113"/>
      <c r="ADR237" s="113"/>
      <c r="ADS237" s="113"/>
      <c r="ADT237" s="113"/>
      <c r="ADU237" s="113"/>
      <c r="ADV237" s="113"/>
      <c r="ADW237" s="113"/>
      <c r="ADX237" s="113"/>
      <c r="ADY237" s="113"/>
      <c r="ADZ237" s="113"/>
      <c r="AEA237" s="113"/>
      <c r="AEB237" s="113"/>
      <c r="AEC237" s="113"/>
      <c r="AED237" s="113"/>
      <c r="AEE237" s="113"/>
      <c r="AEF237" s="113"/>
      <c r="AEG237" s="113"/>
      <c r="AEH237" s="113"/>
      <c r="AEI237" s="113"/>
      <c r="AEJ237" s="113"/>
      <c r="AEK237" s="113"/>
      <c r="AEL237" s="113"/>
      <c r="AEM237" s="113"/>
      <c r="AEN237" s="113"/>
      <c r="AEO237" s="113"/>
      <c r="AEP237" s="113"/>
      <c r="AEQ237" s="113"/>
      <c r="AER237" s="113"/>
      <c r="AES237" s="113"/>
      <c r="AET237" s="113"/>
      <c r="AEU237" s="113"/>
      <c r="AEV237" s="113"/>
      <c r="AEW237" s="113"/>
      <c r="AEX237" s="113"/>
      <c r="AEY237" s="113"/>
      <c r="AEZ237" s="113"/>
      <c r="AFA237" s="113"/>
      <c r="AFB237" s="113"/>
      <c r="AFC237" s="113"/>
      <c r="AFD237" s="113"/>
      <c r="AFE237" s="113"/>
      <c r="AFF237" s="113"/>
      <c r="AFG237" s="113"/>
      <c r="AFH237" s="113"/>
      <c r="AFI237" s="113"/>
      <c r="AFJ237" s="113"/>
      <c r="AFK237" s="113"/>
      <c r="AFL237" s="113"/>
      <c r="AFM237" s="113"/>
      <c r="AFN237" s="113"/>
      <c r="AFO237" s="113"/>
      <c r="AFP237" s="113"/>
      <c r="AFQ237" s="113"/>
      <c r="AFR237" s="113"/>
      <c r="AFS237" s="113"/>
      <c r="AFT237" s="113"/>
      <c r="AFU237" s="113"/>
      <c r="AFV237" s="113"/>
      <c r="AFW237" s="113"/>
      <c r="AFX237" s="113"/>
      <c r="AFY237" s="113"/>
      <c r="AFZ237" s="113"/>
      <c r="AGA237" s="113"/>
      <c r="AGB237" s="113"/>
      <c r="AGC237" s="113"/>
      <c r="AGD237" s="113"/>
      <c r="AGE237" s="113"/>
      <c r="AGF237" s="113"/>
      <c r="AGG237" s="113"/>
      <c r="AGH237" s="113"/>
      <c r="AGI237" s="113"/>
      <c r="AGJ237" s="113"/>
      <c r="AGK237" s="113"/>
      <c r="AGL237" s="113"/>
      <c r="AGM237" s="113"/>
      <c r="AGN237" s="113"/>
      <c r="AGO237" s="113"/>
      <c r="AGP237" s="113"/>
      <c r="AGQ237" s="113"/>
      <c r="AGR237" s="113"/>
      <c r="AGS237" s="113"/>
      <c r="AGT237" s="113"/>
      <c r="AGU237" s="113"/>
      <c r="AGV237" s="113"/>
      <c r="AGW237" s="113"/>
      <c r="AGX237" s="113"/>
      <c r="AGY237" s="113"/>
      <c r="AGZ237" s="113"/>
      <c r="AHA237" s="113"/>
      <c r="AHB237" s="113"/>
      <c r="AHC237" s="113"/>
      <c r="AHD237" s="113"/>
      <c r="AHE237" s="113"/>
      <c r="AHF237" s="113"/>
      <c r="AHG237" s="113"/>
      <c r="AHH237" s="113"/>
      <c r="AHI237" s="113"/>
      <c r="AHJ237" s="113"/>
      <c r="AHK237" s="113"/>
      <c r="AHL237" s="113"/>
      <c r="AHM237" s="113"/>
      <c r="AHN237" s="113"/>
      <c r="AHO237" s="113"/>
      <c r="AHP237" s="113"/>
      <c r="AHQ237" s="113"/>
      <c r="AHR237" s="113"/>
      <c r="AHS237" s="113"/>
      <c r="AHT237" s="113"/>
      <c r="AHU237" s="113"/>
      <c r="AHV237" s="113"/>
      <c r="AHW237" s="113"/>
      <c r="AHX237" s="113"/>
      <c r="AHY237" s="113"/>
      <c r="AHZ237" s="113"/>
      <c r="AIA237" s="113"/>
      <c r="AIB237" s="113"/>
      <c r="AIC237" s="113"/>
      <c r="AID237" s="113"/>
      <c r="AIE237" s="113"/>
      <c r="AIF237" s="113"/>
      <c r="AIG237" s="113"/>
      <c r="AIH237" s="113"/>
      <c r="AII237" s="113"/>
      <c r="AIJ237" s="113"/>
      <c r="AIK237" s="113"/>
      <c r="AIL237" s="113"/>
      <c r="AIM237" s="113"/>
      <c r="AIN237" s="113"/>
      <c r="AIO237" s="113"/>
      <c r="AIP237" s="113"/>
      <c r="AIQ237" s="113"/>
      <c r="AIR237" s="113"/>
      <c r="AIS237" s="113"/>
      <c r="AIT237" s="113"/>
      <c r="AIU237" s="113"/>
      <c r="AIV237" s="113"/>
      <c r="AIW237" s="113"/>
      <c r="AIX237" s="113"/>
      <c r="AIY237" s="113"/>
      <c r="AIZ237" s="113"/>
    </row>
    <row r="238">
      <c r="A238" s="65" t="s">
        <v>35</v>
      </c>
      <c r="B238" s="65" t="s">
        <v>72</v>
      </c>
      <c r="C238" s="65"/>
      <c r="D238" s="64">
        <f t="shared" si="1"/>
        <v>410.8711167</v>
      </c>
      <c r="G238" s="65">
        <v>3.00361666666667</v>
      </c>
      <c r="H238" s="65">
        <v>1.8699</v>
      </c>
      <c r="I238" s="65">
        <v>24.6823666666667</v>
      </c>
      <c r="J238" s="65">
        <v>26.7463333333333</v>
      </c>
      <c r="K238" s="65">
        <v>13.6132333333333</v>
      </c>
      <c r="N238" s="65">
        <v>0.823933333333333</v>
      </c>
      <c r="R238" s="65">
        <v>4.40828333333333</v>
      </c>
      <c r="S238" s="65">
        <v>6.28695</v>
      </c>
      <c r="T238" s="65">
        <v>61.2173833333334</v>
      </c>
      <c r="U238" s="65">
        <v>37.1574</v>
      </c>
      <c r="Y238" s="65">
        <v>8.32535</v>
      </c>
      <c r="Z238" s="65">
        <v>16.8412166666667</v>
      </c>
      <c r="AA238" s="65">
        <v>51.2793333333333</v>
      </c>
      <c r="AB238" s="65">
        <v>22.0491833333333</v>
      </c>
      <c r="AF238" s="65">
        <v>1.30301666666667</v>
      </c>
      <c r="AG238" s="65">
        <v>3.58563333333333</v>
      </c>
      <c r="AH238" s="65">
        <v>9.32065</v>
      </c>
      <c r="AI238" s="65">
        <v>9.26011666666667</v>
      </c>
      <c r="AL238" s="65">
        <v>1.03591666666667</v>
      </c>
      <c r="AM238" s="65">
        <v>2.2561</v>
      </c>
      <c r="AN238" s="65">
        <v>7.33175</v>
      </c>
      <c r="AR238" s="65">
        <v>2.25321666666667</v>
      </c>
      <c r="AU238" s="65">
        <v>96.2202333333334</v>
      </c>
    </row>
    <row r="239">
      <c r="A239" s="65" t="s">
        <v>35</v>
      </c>
      <c r="B239" s="65" t="s">
        <v>72</v>
      </c>
      <c r="C239" s="65"/>
      <c r="D239" s="64">
        <f t="shared" si="1"/>
        <v>0</v>
      </c>
    </row>
    <row r="240">
      <c r="A240" s="65" t="s">
        <v>35</v>
      </c>
      <c r="B240" s="65" t="s">
        <v>72</v>
      </c>
      <c r="C240" s="65"/>
      <c r="D240" s="64">
        <f t="shared" si="1"/>
        <v>407.80655</v>
      </c>
      <c r="G240" s="118">
        <f>HYPERLINK("https://docs.google.com/spreadsheets/d/13ILUax5_HPHPXaURzsdJhu_VvCi95RD6", 2.55285)</f>
        <v>2.55285</v>
      </c>
      <c r="H240" s="118">
        <f>HYPERLINK("https://docs.google.com/spreadsheets/d/1vlJJqOlK8EZAO5p4EbaWSucGo83xzmR1", 1.8699)</f>
        <v>1.8699</v>
      </c>
      <c r="I240" s="118">
        <f>HYPERLINK("https://docs.google.com/spreadsheets/d/1aR2BQ9tOowHMG9k45pXMaAcdP2DumXzb", 24.6530833333333)</f>
        <v>24.65308333</v>
      </c>
      <c r="J240" s="118">
        <f>HYPERLINK("https://docs.google.com/spreadsheets/d/1mAZJulu-m0duKkk6SY0vkGc-UAxho7Ul", 26.7463333333333)</f>
        <v>26.74633333</v>
      </c>
      <c r="K240" s="118">
        <f>HYPERLINK("https://docs.google.com/spreadsheets/d/1UoVxli8Fc_pGUwL9DAPkEfWZl_UGEpZd", 13.4883)</f>
        <v>13.4883</v>
      </c>
      <c r="N240" s="118">
        <f>HYPERLINK("https://docs.google.com/spreadsheets/d/1Nrvn1LyWVseMeM90PabfMPMaTI3Xme3c", 0.823933333333333)</f>
        <v>0.8239333333</v>
      </c>
      <c r="R240" s="118">
        <f>HYPERLINK("https://docs.google.com/spreadsheets/d/1Wa5ViFpHQdImMmcT7D0wawOsHfAsy67I", 4.40826666666667)</f>
        <v>4.408266667</v>
      </c>
      <c r="S240" s="118">
        <f>HYPERLINK("https://docs.google.com/spreadsheets/d/1foiVqdSurvfRNRkCKQl-cM8U12Swncv2", 6.28695)</f>
        <v>6.28695</v>
      </c>
      <c r="T240" s="118">
        <f>HYPERLINK("https://docs.google.com/spreadsheets/d/195fF7V4e41rSFllEgCj92sUjdC7rP46A", 60.5144333333334)</f>
        <v>60.51443333</v>
      </c>
      <c r="U240" s="118">
        <f>HYPERLINK("https://docs.google.com/spreadsheets/d/1S2k2iHF4EtxEEG8pZcikYj5r5EZDH429", 36.7588833333334)</f>
        <v>36.75888333</v>
      </c>
      <c r="Y240" s="118">
        <f>HYPERLINK("https://docs.google.com/spreadsheets/d/1jNuXTpGdYpzHEC5Ut1CzjbIGp5pk3wVP", 8.14801666666666)</f>
        <v>8.148016667</v>
      </c>
      <c r="Z240" s="118">
        <f>HYPERLINK("https://docs.google.com/spreadsheets/d/1Hgf3Lu4hpxY8wvlrU02FhKkNETNcgvhr", 16.7104166666667)</f>
        <v>16.71041667</v>
      </c>
      <c r="AA240" s="118">
        <f>HYPERLINK("https://docs.google.com/spreadsheets/d/1qeFflE9XpNT3_wgmR-XQZulaBLCUAPNV", 50.6561166666667)</f>
        <v>50.65611667</v>
      </c>
      <c r="AB240" s="118">
        <f>HYPERLINK("https://docs.google.com/spreadsheets/d/1gdS39IUN38F5icwh8Ywtm6ktVcNBaEFf", 22.0491333333333)</f>
        <v>22.04913333</v>
      </c>
      <c r="AF240" s="118">
        <f>HYPERLINK("https://docs.google.com/spreadsheets/d/1pBwVsuwRchvCe7ZMwxtoO7u7h9hqsaNF", 1.303)</f>
        <v>1.303</v>
      </c>
      <c r="AG240" s="118">
        <f>HYPERLINK("https://docs.google.com/spreadsheets/d/1AzzQUgcMNyodb5LCpLpg-8KHEhh03PlD", 3.58563333333333)</f>
        <v>3.585633333</v>
      </c>
      <c r="AH240" s="118">
        <f>HYPERLINK("https://docs.google.com/spreadsheets/d/1sXxObdCAe5mqY69_U5HmVO-Iw8g_54GR", 9.32065)</f>
        <v>9.32065</v>
      </c>
      <c r="AI240" s="118">
        <f>HYPERLINK("https://docs.google.com/spreadsheets/d/1fSX3BjHaDVoz8EdV8qyG_eVP4QpN6SG_", 9.0491)</f>
        <v>9.0491</v>
      </c>
      <c r="AL240" s="118">
        <f>HYPERLINK("https://docs.google.com/spreadsheets/d/1acNsFa9F_q26hbonWdChWvn_JKu8LK6K", 1.03591666666667)</f>
        <v>1.035916667</v>
      </c>
      <c r="AM240" s="118">
        <f>HYPERLINK("https://docs.google.com/spreadsheets/d/1-fft-mcbJ4-9JfinJ1lgsLVA8Wg1p0Ac", 2.25611666666667)</f>
        <v>2.256116667</v>
      </c>
      <c r="AN240" s="118">
        <f>HYPERLINK("https://docs.google.com/spreadsheets/d/1f5NTokkoiftjHe7uwnsOdbm8ZYbfvlL0", 7.33175)</f>
        <v>7.33175</v>
      </c>
      <c r="AR240" s="118">
        <f>HYPERLINK("https://docs.google.com/spreadsheets/d/1tFE0MXaWEE_6G1-L5n3GQuBc1LX54yxb", 2.25321666666667)</f>
        <v>2.253216667</v>
      </c>
      <c r="AU240" s="118">
        <f>HYPERLINK("https://docs.google.com/spreadsheets/d/1zvrKqZjl_bsqhAGDaCt_2NymX4MZWs3W", 96.00455)</f>
        <v>96.00455</v>
      </c>
    </row>
    <row r="241">
      <c r="A241" s="65" t="s">
        <v>35</v>
      </c>
      <c r="B241" s="65" t="s">
        <v>72</v>
      </c>
      <c r="C241" s="65"/>
      <c r="D241" s="64">
        <f t="shared" si="1"/>
        <v>255.1665833</v>
      </c>
      <c r="G241" s="65">
        <v>2.41851666666667</v>
      </c>
      <c r="H241" s="65">
        <v>1.25106666666667</v>
      </c>
      <c r="I241" s="65">
        <v>20.6250166666667</v>
      </c>
      <c r="J241" s="65">
        <v>21.9081333333333</v>
      </c>
      <c r="K241" s="65">
        <v>4.45165</v>
      </c>
      <c r="N241" s="65">
        <v>0.823933333333333</v>
      </c>
      <c r="R241" s="65">
        <v>3.46828333333333</v>
      </c>
      <c r="S241" s="65">
        <v>5.70361666666667</v>
      </c>
      <c r="T241" s="65">
        <v>45.4234166666666</v>
      </c>
      <c r="U241" s="65">
        <v>15.1139333333333</v>
      </c>
      <c r="Y241" s="65">
        <v>6.82808333333333</v>
      </c>
      <c r="Z241" s="65">
        <v>15.4134333333333</v>
      </c>
      <c r="AA241" s="65">
        <v>41.8749</v>
      </c>
      <c r="AB241" s="65">
        <v>3.96605</v>
      </c>
      <c r="AF241" s="65">
        <v>1.303</v>
      </c>
      <c r="AG241" s="65">
        <v>2.79068333333333</v>
      </c>
      <c r="AH241" s="65">
        <v>7.25046666666667</v>
      </c>
      <c r="AI241" s="65">
        <v>6.75685</v>
      </c>
      <c r="AL241" s="65">
        <v>0.409</v>
      </c>
      <c r="AM241" s="65">
        <v>1.92478333333333</v>
      </c>
      <c r="AN241" s="65">
        <v>4.94036666666667</v>
      </c>
      <c r="AR241" s="65">
        <v>1.35405</v>
      </c>
      <c r="AU241" s="65">
        <v>39.16735</v>
      </c>
    </row>
    <row r="242">
      <c r="A242" s="119" t="s">
        <v>35</v>
      </c>
      <c r="B242" s="119" t="s">
        <v>72</v>
      </c>
      <c r="C242" s="119"/>
      <c r="D242" s="120">
        <f t="shared" si="1"/>
        <v>0</v>
      </c>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c r="AA242" s="120"/>
      <c r="AB242" s="120"/>
      <c r="AC242" s="120"/>
      <c r="AD242" s="120"/>
      <c r="AE242" s="120"/>
      <c r="AF242" s="120"/>
      <c r="AG242" s="120"/>
      <c r="AH242" s="120"/>
      <c r="AI242" s="120"/>
      <c r="AJ242" s="120"/>
      <c r="AK242" s="120"/>
      <c r="AL242" s="120"/>
      <c r="AM242" s="120"/>
      <c r="AN242" s="120"/>
      <c r="AO242" s="120"/>
      <c r="AP242" s="120"/>
      <c r="AQ242" s="120"/>
      <c r="AR242" s="120"/>
      <c r="AS242" s="120"/>
      <c r="AT242" s="120"/>
      <c r="AU242" s="120"/>
      <c r="AV242" s="120"/>
      <c r="AW242" s="120"/>
      <c r="AX242" s="120"/>
      <c r="AY242" s="120"/>
      <c r="AZ242" s="120"/>
      <c r="BA242" s="120"/>
      <c r="BB242" s="120"/>
      <c r="BC242" s="120"/>
      <c r="BD242" s="120"/>
      <c r="BE242" s="120"/>
      <c r="BF242" s="120"/>
      <c r="BG242" s="120"/>
      <c r="BH242" s="120"/>
      <c r="BI242" s="120"/>
      <c r="BJ242" s="120"/>
      <c r="BK242" s="120"/>
      <c r="BL242" s="120"/>
      <c r="BM242" s="120"/>
      <c r="BN242" s="120"/>
      <c r="BO242" s="120"/>
      <c r="BP242" s="120"/>
      <c r="BQ242" s="120"/>
      <c r="BR242" s="120"/>
      <c r="BS242" s="120"/>
      <c r="BT242" s="120"/>
      <c r="BU242" s="120"/>
      <c r="BV242" s="120"/>
      <c r="BW242" s="120"/>
      <c r="BX242" s="120"/>
      <c r="BY242" s="120"/>
      <c r="BZ242" s="120"/>
      <c r="CA242" s="120"/>
      <c r="CB242" s="120"/>
      <c r="CC242" s="120"/>
      <c r="CD242" s="120"/>
      <c r="CE242" s="120"/>
      <c r="CF242" s="120"/>
      <c r="CG242" s="120"/>
      <c r="CH242" s="120"/>
      <c r="CI242" s="120"/>
      <c r="CJ242" s="120"/>
      <c r="CK242" s="120"/>
      <c r="CL242" s="120"/>
      <c r="CM242" s="120"/>
      <c r="CN242" s="120"/>
      <c r="CO242" s="120"/>
      <c r="CP242" s="120"/>
      <c r="CQ242" s="120"/>
      <c r="CR242" s="120"/>
      <c r="CS242" s="120"/>
      <c r="CT242" s="120"/>
      <c r="CU242" s="120"/>
      <c r="CV242" s="120"/>
      <c r="CW242" s="120"/>
      <c r="CX242" s="120"/>
      <c r="CY242" s="120"/>
      <c r="CZ242" s="120"/>
      <c r="DA242" s="120"/>
      <c r="DB242" s="120"/>
      <c r="DC242" s="120"/>
      <c r="DD242" s="120"/>
      <c r="DE242" s="120"/>
      <c r="DF242" s="120"/>
      <c r="DG242" s="120"/>
      <c r="DH242" s="120"/>
      <c r="DI242" s="120"/>
      <c r="DJ242" s="120"/>
      <c r="DK242" s="120"/>
      <c r="DL242" s="120"/>
      <c r="DM242" s="120"/>
      <c r="DN242" s="120"/>
      <c r="DO242" s="120"/>
      <c r="DP242" s="120"/>
      <c r="DQ242" s="120"/>
      <c r="DR242" s="120"/>
      <c r="DS242" s="120"/>
      <c r="DT242" s="120"/>
      <c r="DU242" s="120"/>
      <c r="DV242" s="120"/>
      <c r="DW242" s="120"/>
      <c r="DX242" s="120"/>
      <c r="DY242" s="120"/>
      <c r="DZ242" s="120"/>
      <c r="EA242" s="120"/>
      <c r="EB242" s="120"/>
      <c r="EC242" s="120"/>
      <c r="ED242" s="120"/>
      <c r="EE242" s="120"/>
      <c r="EF242" s="120"/>
      <c r="EG242" s="120"/>
      <c r="EH242" s="120"/>
      <c r="EI242" s="120"/>
      <c r="EJ242" s="120"/>
      <c r="EK242" s="120"/>
      <c r="EL242" s="120"/>
      <c r="EM242" s="120"/>
      <c r="EN242" s="120"/>
      <c r="EO242" s="120"/>
      <c r="EP242" s="120"/>
      <c r="EQ242" s="120"/>
      <c r="ER242" s="120"/>
      <c r="ES242" s="120"/>
      <c r="ET242" s="120"/>
      <c r="EU242" s="120"/>
      <c r="EV242" s="120"/>
      <c r="EW242" s="120"/>
      <c r="EX242" s="120"/>
      <c r="EY242" s="120"/>
      <c r="EZ242" s="120"/>
      <c r="FA242" s="120"/>
      <c r="FB242" s="120"/>
      <c r="FC242" s="120"/>
      <c r="FD242" s="120"/>
      <c r="FE242" s="120"/>
      <c r="FF242" s="120"/>
      <c r="FG242" s="120"/>
      <c r="FH242" s="120"/>
      <c r="FI242" s="120"/>
      <c r="FJ242" s="120"/>
      <c r="FK242" s="120"/>
      <c r="FL242" s="120"/>
      <c r="FM242" s="120"/>
      <c r="FN242" s="120"/>
      <c r="FO242" s="120"/>
      <c r="FP242" s="120"/>
      <c r="FQ242" s="120"/>
      <c r="FR242" s="120"/>
      <c r="FS242" s="120"/>
      <c r="FT242" s="120"/>
      <c r="FU242" s="120"/>
      <c r="FV242" s="120"/>
      <c r="FW242" s="120"/>
      <c r="FX242" s="120"/>
      <c r="FY242" s="120"/>
      <c r="FZ242" s="120"/>
      <c r="GA242" s="120"/>
      <c r="GB242" s="120"/>
      <c r="GC242" s="120"/>
      <c r="GD242" s="120"/>
      <c r="GE242" s="120"/>
      <c r="GF242" s="120"/>
      <c r="GG242" s="120"/>
      <c r="GH242" s="120"/>
      <c r="GI242" s="120"/>
      <c r="GJ242" s="120"/>
      <c r="GK242" s="120"/>
      <c r="GL242" s="120"/>
      <c r="GM242" s="120"/>
      <c r="GN242" s="120"/>
      <c r="GO242" s="120"/>
      <c r="GP242" s="120"/>
      <c r="GQ242" s="120"/>
      <c r="GR242" s="120"/>
      <c r="GS242" s="120"/>
      <c r="GT242" s="120"/>
      <c r="GU242" s="120"/>
      <c r="GV242" s="120"/>
      <c r="GW242" s="120"/>
      <c r="GX242" s="120"/>
      <c r="GY242" s="120"/>
      <c r="GZ242" s="120"/>
      <c r="HA242" s="120"/>
      <c r="HB242" s="120"/>
      <c r="HC242" s="120"/>
      <c r="HD242" s="120"/>
      <c r="HE242" s="120"/>
      <c r="HF242" s="120"/>
      <c r="HG242" s="120"/>
      <c r="HH242" s="120"/>
      <c r="HI242" s="120"/>
      <c r="HJ242" s="120"/>
      <c r="HK242" s="120"/>
      <c r="HL242" s="120"/>
      <c r="HM242" s="120"/>
      <c r="HN242" s="120"/>
      <c r="HO242" s="120"/>
      <c r="HP242" s="120"/>
      <c r="HQ242" s="120"/>
      <c r="HR242" s="120"/>
      <c r="HS242" s="120"/>
      <c r="HT242" s="120"/>
      <c r="HU242" s="120"/>
      <c r="HV242" s="120"/>
      <c r="HW242" s="120"/>
      <c r="HX242" s="120"/>
      <c r="HY242" s="120"/>
      <c r="HZ242" s="120"/>
      <c r="IA242" s="120"/>
      <c r="IB242" s="120"/>
      <c r="IC242" s="120"/>
      <c r="ID242" s="120"/>
      <c r="IE242" s="120"/>
      <c r="IF242" s="120"/>
      <c r="IG242" s="120"/>
      <c r="IH242" s="120"/>
      <c r="II242" s="120"/>
      <c r="IJ242" s="120"/>
      <c r="IK242" s="120"/>
      <c r="IL242" s="120"/>
      <c r="IM242" s="120"/>
      <c r="IN242" s="120"/>
      <c r="IO242" s="120"/>
      <c r="IP242" s="120"/>
      <c r="IQ242" s="120"/>
      <c r="IR242" s="120"/>
      <c r="IS242" s="120"/>
      <c r="IT242" s="120"/>
      <c r="IU242" s="120"/>
      <c r="IV242" s="120"/>
      <c r="IW242" s="120"/>
      <c r="IX242" s="120"/>
      <c r="IY242" s="120"/>
      <c r="IZ242" s="120"/>
      <c r="JA242" s="120"/>
      <c r="JB242" s="120"/>
      <c r="JC242" s="120"/>
      <c r="JD242" s="120"/>
      <c r="JE242" s="120"/>
      <c r="JF242" s="120"/>
      <c r="JG242" s="120"/>
      <c r="JH242" s="120"/>
      <c r="JI242" s="120"/>
      <c r="JJ242" s="120"/>
      <c r="JK242" s="120"/>
      <c r="JL242" s="120"/>
      <c r="JM242" s="120"/>
      <c r="JN242" s="120"/>
      <c r="JO242" s="120"/>
      <c r="JP242" s="120"/>
      <c r="JQ242" s="120"/>
      <c r="JR242" s="120"/>
      <c r="JS242" s="120"/>
      <c r="JT242" s="120"/>
      <c r="JU242" s="120"/>
      <c r="JV242" s="120"/>
      <c r="JW242" s="120"/>
      <c r="JX242" s="120"/>
      <c r="JY242" s="120"/>
      <c r="JZ242" s="120"/>
      <c r="KA242" s="120"/>
      <c r="KB242" s="120"/>
      <c r="KC242" s="120"/>
      <c r="KD242" s="120"/>
      <c r="KE242" s="120"/>
      <c r="KF242" s="120"/>
      <c r="KG242" s="120"/>
      <c r="KH242" s="120"/>
      <c r="KI242" s="120"/>
      <c r="KJ242" s="120"/>
      <c r="KK242" s="120"/>
      <c r="KL242" s="120"/>
      <c r="KM242" s="120"/>
      <c r="KN242" s="120"/>
      <c r="KO242" s="120"/>
      <c r="KP242" s="120"/>
      <c r="KQ242" s="120"/>
      <c r="KR242" s="120"/>
      <c r="KS242" s="120"/>
      <c r="KT242" s="120"/>
      <c r="KU242" s="120"/>
      <c r="KV242" s="120"/>
      <c r="KW242" s="120"/>
      <c r="KX242" s="120"/>
      <c r="KY242" s="120"/>
      <c r="KZ242" s="120"/>
      <c r="LA242" s="120"/>
      <c r="LB242" s="120"/>
      <c r="LC242" s="120"/>
      <c r="LD242" s="120"/>
      <c r="LE242" s="120"/>
      <c r="LF242" s="120"/>
      <c r="LG242" s="120"/>
      <c r="LH242" s="120"/>
      <c r="LI242" s="120"/>
      <c r="LJ242" s="120"/>
      <c r="LK242" s="120"/>
      <c r="LL242" s="120"/>
      <c r="LM242" s="120"/>
      <c r="LN242" s="120"/>
      <c r="LO242" s="120"/>
      <c r="LP242" s="120"/>
      <c r="LQ242" s="120"/>
      <c r="LR242" s="120"/>
      <c r="LS242" s="120"/>
      <c r="LT242" s="120"/>
      <c r="LU242" s="120"/>
      <c r="LV242" s="120"/>
      <c r="LW242" s="120"/>
      <c r="LX242" s="120"/>
      <c r="LY242" s="120"/>
      <c r="LZ242" s="120"/>
      <c r="MA242" s="120"/>
      <c r="MB242" s="120"/>
      <c r="MC242" s="120"/>
      <c r="MD242" s="120"/>
      <c r="ME242" s="120"/>
      <c r="MF242" s="120"/>
      <c r="MG242" s="120"/>
      <c r="MH242" s="120"/>
      <c r="MI242" s="120"/>
      <c r="MJ242" s="120"/>
      <c r="MK242" s="120"/>
      <c r="ML242" s="120"/>
      <c r="MM242" s="120"/>
      <c r="MN242" s="120"/>
      <c r="MO242" s="120"/>
      <c r="MP242" s="120"/>
      <c r="MQ242" s="120"/>
      <c r="MR242" s="120"/>
      <c r="MS242" s="120"/>
      <c r="MT242" s="120"/>
      <c r="MU242" s="120"/>
      <c r="MV242" s="120"/>
      <c r="MW242" s="120"/>
      <c r="MX242" s="120"/>
      <c r="MY242" s="120"/>
      <c r="MZ242" s="120"/>
      <c r="NA242" s="120"/>
      <c r="NB242" s="120"/>
      <c r="NC242" s="120"/>
      <c r="ND242" s="120"/>
      <c r="NE242" s="120"/>
      <c r="NF242" s="120"/>
      <c r="NG242" s="120"/>
      <c r="NH242" s="120"/>
      <c r="NI242" s="120"/>
      <c r="NJ242" s="120"/>
      <c r="NK242" s="120"/>
      <c r="NL242" s="120"/>
      <c r="NM242" s="120"/>
      <c r="NN242" s="120"/>
      <c r="NO242" s="120"/>
      <c r="NP242" s="120"/>
      <c r="NQ242" s="120"/>
      <c r="NR242" s="120"/>
      <c r="NS242" s="120"/>
      <c r="NT242" s="120"/>
      <c r="NU242" s="120"/>
      <c r="NV242" s="120"/>
      <c r="NW242" s="120"/>
      <c r="NX242" s="120"/>
      <c r="NY242" s="120"/>
      <c r="NZ242" s="120"/>
      <c r="OA242" s="120"/>
      <c r="OB242" s="120"/>
      <c r="OC242" s="120"/>
      <c r="OD242" s="120"/>
      <c r="OE242" s="120"/>
      <c r="OF242" s="120"/>
      <c r="OG242" s="120"/>
      <c r="OH242" s="120"/>
      <c r="OI242" s="120"/>
      <c r="OJ242" s="120"/>
      <c r="OK242" s="120"/>
      <c r="OL242" s="120"/>
      <c r="OM242" s="120"/>
      <c r="ON242" s="120"/>
      <c r="OO242" s="120"/>
      <c r="OP242" s="120"/>
      <c r="OQ242" s="120"/>
      <c r="OR242" s="120"/>
      <c r="OS242" s="120"/>
      <c r="OT242" s="120"/>
      <c r="OU242" s="120"/>
      <c r="OV242" s="120"/>
      <c r="OW242" s="120"/>
      <c r="OX242" s="120"/>
      <c r="OY242" s="120"/>
      <c r="OZ242" s="120"/>
      <c r="PA242" s="120"/>
      <c r="PB242" s="120"/>
      <c r="PC242" s="120"/>
      <c r="PD242" s="120"/>
      <c r="PE242" s="120"/>
      <c r="PF242" s="120"/>
      <c r="PG242" s="120"/>
      <c r="PH242" s="120"/>
      <c r="PI242" s="120"/>
      <c r="PJ242" s="120"/>
      <c r="PK242" s="120"/>
      <c r="PL242" s="120"/>
      <c r="PM242" s="120"/>
      <c r="PN242" s="120"/>
      <c r="PO242" s="120"/>
      <c r="PP242" s="120"/>
      <c r="PQ242" s="120"/>
      <c r="PR242" s="120"/>
      <c r="PS242" s="120"/>
      <c r="PT242" s="120"/>
      <c r="PU242" s="120"/>
      <c r="PV242" s="120"/>
      <c r="PW242" s="120"/>
      <c r="PX242" s="120"/>
      <c r="PY242" s="120"/>
      <c r="PZ242" s="120"/>
      <c r="QA242" s="120"/>
      <c r="QB242" s="120"/>
      <c r="QC242" s="120"/>
      <c r="QD242" s="120"/>
      <c r="QE242" s="120"/>
      <c r="QF242" s="120"/>
      <c r="QG242" s="120"/>
      <c r="QH242" s="120"/>
      <c r="QI242" s="120"/>
      <c r="QJ242" s="120"/>
      <c r="QK242" s="120"/>
      <c r="QL242" s="120"/>
      <c r="QM242" s="120"/>
      <c r="QN242" s="120"/>
      <c r="QO242" s="120"/>
      <c r="QP242" s="120"/>
      <c r="QQ242" s="120"/>
      <c r="QR242" s="120"/>
      <c r="QS242" s="120"/>
      <c r="QT242" s="120"/>
      <c r="QU242" s="120"/>
      <c r="QV242" s="120"/>
      <c r="QW242" s="120"/>
      <c r="QX242" s="120"/>
      <c r="QY242" s="120"/>
      <c r="QZ242" s="120"/>
      <c r="RA242" s="120"/>
      <c r="RB242" s="120"/>
      <c r="RC242" s="120"/>
      <c r="RD242" s="120"/>
      <c r="RE242" s="120"/>
      <c r="RF242" s="120"/>
      <c r="RG242" s="120"/>
      <c r="RH242" s="120"/>
      <c r="RI242" s="120"/>
      <c r="RJ242" s="120"/>
      <c r="RK242" s="120"/>
      <c r="RL242" s="120"/>
      <c r="RM242" s="120"/>
      <c r="RN242" s="120"/>
      <c r="RO242" s="120"/>
      <c r="RP242" s="120"/>
      <c r="RQ242" s="120"/>
      <c r="RR242" s="120"/>
      <c r="RS242" s="120"/>
      <c r="RT242" s="120"/>
      <c r="RU242" s="120"/>
      <c r="RV242" s="120"/>
      <c r="RW242" s="120"/>
      <c r="RX242" s="120"/>
      <c r="RY242" s="120"/>
      <c r="RZ242" s="120"/>
      <c r="SA242" s="120"/>
      <c r="SB242" s="120"/>
      <c r="SC242" s="120"/>
      <c r="SD242" s="120"/>
      <c r="SE242" s="120"/>
      <c r="SF242" s="120"/>
      <c r="SG242" s="120"/>
      <c r="SH242" s="120"/>
      <c r="SI242" s="120"/>
      <c r="SJ242" s="120"/>
      <c r="SK242" s="120"/>
      <c r="SL242" s="120"/>
      <c r="SM242" s="120"/>
      <c r="SN242" s="120"/>
      <c r="SO242" s="120"/>
      <c r="SP242" s="120"/>
      <c r="SQ242" s="120"/>
      <c r="SR242" s="120"/>
      <c r="SS242" s="120"/>
      <c r="ST242" s="120"/>
      <c r="SU242" s="120"/>
      <c r="SV242" s="120"/>
      <c r="SW242" s="120"/>
      <c r="SX242" s="120"/>
      <c r="SY242" s="120"/>
      <c r="SZ242" s="120"/>
      <c r="TA242" s="120"/>
      <c r="TB242" s="120"/>
      <c r="TC242" s="120"/>
      <c r="TD242" s="120"/>
      <c r="TE242" s="120"/>
      <c r="TF242" s="120"/>
      <c r="TG242" s="120"/>
      <c r="TH242" s="120"/>
      <c r="TI242" s="120"/>
      <c r="TJ242" s="120"/>
      <c r="TK242" s="120"/>
      <c r="TL242" s="120"/>
      <c r="TM242" s="120"/>
      <c r="TN242" s="120"/>
      <c r="TO242" s="120"/>
      <c r="TP242" s="120"/>
      <c r="TQ242" s="120"/>
      <c r="TR242" s="120"/>
      <c r="TS242" s="120"/>
      <c r="TT242" s="120"/>
      <c r="TU242" s="120"/>
      <c r="TV242" s="120"/>
      <c r="TW242" s="120"/>
      <c r="TX242" s="120"/>
      <c r="TY242" s="120"/>
      <c r="TZ242" s="120"/>
      <c r="UA242" s="120"/>
      <c r="UB242" s="120"/>
      <c r="UC242" s="120"/>
      <c r="UD242" s="120"/>
      <c r="UE242" s="120"/>
      <c r="UF242" s="120"/>
      <c r="UG242" s="120"/>
      <c r="UH242" s="120"/>
      <c r="UI242" s="120"/>
      <c r="UJ242" s="120"/>
      <c r="UK242" s="120"/>
      <c r="UL242" s="120"/>
      <c r="UM242" s="120"/>
      <c r="UN242" s="120"/>
      <c r="UO242" s="120"/>
      <c r="UP242" s="120"/>
      <c r="UQ242" s="120"/>
      <c r="UR242" s="120"/>
      <c r="US242" s="120"/>
      <c r="UT242" s="120"/>
      <c r="UU242" s="120"/>
      <c r="UV242" s="120"/>
      <c r="UW242" s="120"/>
      <c r="UX242" s="120"/>
      <c r="UY242" s="120"/>
      <c r="UZ242" s="120"/>
      <c r="VA242" s="120"/>
      <c r="VB242" s="120"/>
      <c r="VC242" s="120"/>
      <c r="VD242" s="120"/>
      <c r="VE242" s="120"/>
      <c r="VF242" s="120"/>
      <c r="VG242" s="120"/>
      <c r="VH242" s="120"/>
      <c r="VI242" s="120"/>
      <c r="VJ242" s="120"/>
      <c r="VK242" s="120"/>
      <c r="VL242" s="120"/>
      <c r="VM242" s="120"/>
      <c r="VN242" s="120"/>
      <c r="VO242" s="120"/>
      <c r="VP242" s="120"/>
      <c r="VQ242" s="120"/>
      <c r="VR242" s="120"/>
      <c r="VS242" s="120"/>
      <c r="VT242" s="120"/>
      <c r="VU242" s="120"/>
      <c r="VV242" s="120"/>
      <c r="VW242" s="120"/>
      <c r="VX242" s="120"/>
      <c r="VY242" s="120"/>
      <c r="VZ242" s="120"/>
      <c r="WA242" s="120"/>
      <c r="WB242" s="120"/>
      <c r="WC242" s="120"/>
      <c r="WD242" s="120"/>
      <c r="WE242" s="120"/>
      <c r="WF242" s="120"/>
      <c r="WG242" s="120"/>
      <c r="WH242" s="120"/>
      <c r="WI242" s="120"/>
      <c r="WJ242" s="120"/>
      <c r="WK242" s="120"/>
      <c r="WL242" s="120"/>
      <c r="WM242" s="120"/>
      <c r="WN242" s="120"/>
      <c r="WO242" s="120"/>
      <c r="WP242" s="120"/>
      <c r="WQ242" s="120"/>
      <c r="WR242" s="120"/>
      <c r="WS242" s="120"/>
      <c r="WT242" s="120"/>
      <c r="WU242" s="120"/>
      <c r="WV242" s="120"/>
      <c r="WW242" s="120"/>
      <c r="WX242" s="120"/>
      <c r="WY242" s="120"/>
      <c r="WZ242" s="120"/>
      <c r="XA242" s="120"/>
      <c r="XB242" s="120"/>
      <c r="XC242" s="120"/>
      <c r="XD242" s="120"/>
      <c r="XE242" s="120"/>
      <c r="XF242" s="120"/>
      <c r="XG242" s="120"/>
      <c r="XH242" s="120"/>
      <c r="XI242" s="120"/>
      <c r="XJ242" s="120"/>
      <c r="XK242" s="120"/>
      <c r="XL242" s="120"/>
      <c r="XM242" s="120"/>
      <c r="XN242" s="120"/>
      <c r="XO242" s="120"/>
      <c r="XP242" s="120"/>
      <c r="XQ242" s="120"/>
      <c r="XR242" s="120"/>
      <c r="XS242" s="120"/>
      <c r="XT242" s="120"/>
      <c r="XU242" s="120"/>
      <c r="XV242" s="120"/>
      <c r="XW242" s="120"/>
      <c r="XX242" s="120"/>
      <c r="XY242" s="120"/>
      <c r="XZ242" s="120"/>
      <c r="YA242" s="120"/>
      <c r="YB242" s="120"/>
      <c r="YC242" s="120"/>
      <c r="YD242" s="120"/>
      <c r="YE242" s="120"/>
      <c r="YF242" s="120"/>
      <c r="YG242" s="120"/>
      <c r="YH242" s="120"/>
      <c r="YI242" s="120"/>
      <c r="YJ242" s="120"/>
      <c r="YK242" s="120"/>
      <c r="YL242" s="120"/>
      <c r="YM242" s="120"/>
      <c r="YN242" s="120"/>
      <c r="YO242" s="120"/>
      <c r="YP242" s="120"/>
      <c r="YQ242" s="120"/>
      <c r="YR242" s="120"/>
      <c r="YS242" s="120"/>
      <c r="YT242" s="120"/>
      <c r="YU242" s="120"/>
      <c r="YV242" s="120"/>
      <c r="YW242" s="120"/>
      <c r="YX242" s="120"/>
      <c r="YY242" s="120"/>
      <c r="YZ242" s="120"/>
      <c r="ZA242" s="120"/>
      <c r="ZB242" s="120"/>
      <c r="ZC242" s="120"/>
      <c r="ZD242" s="120"/>
      <c r="ZE242" s="120"/>
      <c r="ZF242" s="120"/>
      <c r="ZG242" s="120"/>
      <c r="ZH242" s="120"/>
      <c r="ZI242" s="120"/>
      <c r="ZJ242" s="120"/>
      <c r="ZK242" s="120"/>
      <c r="ZL242" s="120"/>
      <c r="ZM242" s="120"/>
      <c r="ZN242" s="120"/>
      <c r="ZO242" s="120"/>
      <c r="ZP242" s="120"/>
      <c r="ZQ242" s="120"/>
      <c r="ZR242" s="120"/>
      <c r="ZS242" s="120"/>
      <c r="ZT242" s="120"/>
      <c r="ZU242" s="120"/>
      <c r="ZV242" s="120"/>
      <c r="ZW242" s="120"/>
      <c r="ZX242" s="120"/>
      <c r="ZY242" s="120"/>
      <c r="ZZ242" s="120"/>
      <c r="AAA242" s="120"/>
      <c r="AAB242" s="120"/>
      <c r="AAC242" s="120"/>
      <c r="AAD242" s="120"/>
      <c r="AAE242" s="120"/>
      <c r="AAF242" s="120"/>
      <c r="AAG242" s="120"/>
      <c r="AAH242" s="120"/>
      <c r="AAI242" s="120"/>
      <c r="AAJ242" s="120"/>
      <c r="AAK242" s="120"/>
      <c r="AAL242" s="120"/>
      <c r="AAM242" s="120"/>
      <c r="AAN242" s="120"/>
      <c r="AAO242" s="120"/>
      <c r="AAP242" s="120"/>
      <c r="AAQ242" s="120"/>
      <c r="AAR242" s="120"/>
      <c r="AAS242" s="120"/>
      <c r="AAT242" s="120"/>
      <c r="AAU242" s="120"/>
      <c r="AAV242" s="120"/>
      <c r="AAW242" s="120"/>
      <c r="AAX242" s="120"/>
      <c r="AAY242" s="120"/>
      <c r="AAZ242" s="120"/>
      <c r="ABA242" s="120"/>
      <c r="ABB242" s="120"/>
      <c r="ABC242" s="120"/>
      <c r="ABD242" s="120"/>
      <c r="ABE242" s="120"/>
      <c r="ABF242" s="120"/>
      <c r="ABG242" s="120"/>
      <c r="ABH242" s="120"/>
      <c r="ABI242" s="120"/>
      <c r="ABJ242" s="120"/>
      <c r="ABK242" s="120"/>
      <c r="ABL242" s="120"/>
      <c r="ABM242" s="120"/>
      <c r="ABN242" s="120"/>
      <c r="ABO242" s="120"/>
      <c r="ABP242" s="120"/>
      <c r="ABQ242" s="120"/>
      <c r="ABR242" s="120"/>
      <c r="ABS242" s="120"/>
      <c r="ABT242" s="120"/>
      <c r="ABU242" s="120"/>
      <c r="ABV242" s="120"/>
      <c r="ABW242" s="120"/>
      <c r="ABX242" s="120"/>
      <c r="ABY242" s="120"/>
      <c r="ABZ242" s="120"/>
      <c r="ACA242" s="120"/>
      <c r="ACB242" s="120"/>
      <c r="ACC242" s="120"/>
      <c r="ACD242" s="120"/>
      <c r="ACE242" s="120"/>
      <c r="ACF242" s="120"/>
      <c r="ACG242" s="120"/>
      <c r="ACH242" s="120"/>
      <c r="ACI242" s="120"/>
      <c r="ACJ242" s="120"/>
      <c r="ACK242" s="120"/>
      <c r="ACL242" s="120"/>
      <c r="ACM242" s="120"/>
      <c r="ACN242" s="120"/>
      <c r="ACO242" s="120"/>
      <c r="ACP242" s="120"/>
      <c r="ACQ242" s="120"/>
      <c r="ACR242" s="120"/>
      <c r="ACS242" s="120"/>
      <c r="ACT242" s="120"/>
      <c r="ACU242" s="120"/>
      <c r="ACV242" s="120"/>
      <c r="ACW242" s="120"/>
      <c r="ACX242" s="120"/>
      <c r="ACY242" s="120"/>
      <c r="ACZ242" s="120"/>
      <c r="ADA242" s="120"/>
      <c r="ADB242" s="120"/>
      <c r="ADC242" s="120"/>
      <c r="ADD242" s="120"/>
      <c r="ADE242" s="120"/>
      <c r="ADF242" s="120"/>
      <c r="ADG242" s="120"/>
      <c r="ADH242" s="120"/>
      <c r="ADI242" s="120"/>
      <c r="ADJ242" s="120"/>
      <c r="ADK242" s="120"/>
      <c r="ADL242" s="120"/>
      <c r="ADM242" s="120"/>
      <c r="ADN242" s="120"/>
      <c r="ADO242" s="120"/>
      <c r="ADP242" s="120"/>
      <c r="ADQ242" s="120"/>
      <c r="ADR242" s="120"/>
      <c r="ADS242" s="120"/>
      <c r="ADT242" s="120"/>
      <c r="ADU242" s="120"/>
      <c r="ADV242" s="120"/>
      <c r="ADW242" s="120"/>
      <c r="ADX242" s="120"/>
      <c r="ADY242" s="120"/>
      <c r="ADZ242" s="120"/>
      <c r="AEA242" s="120"/>
      <c r="AEB242" s="120"/>
      <c r="AEC242" s="120"/>
      <c r="AED242" s="120"/>
      <c r="AEE242" s="120"/>
      <c r="AEF242" s="120"/>
      <c r="AEG242" s="120"/>
      <c r="AEH242" s="120"/>
      <c r="AEI242" s="120"/>
      <c r="AEJ242" s="120"/>
      <c r="AEK242" s="120"/>
      <c r="AEL242" s="120"/>
      <c r="AEM242" s="120"/>
      <c r="AEN242" s="120"/>
      <c r="AEO242" s="120"/>
      <c r="AEP242" s="120"/>
      <c r="AEQ242" s="120"/>
      <c r="AER242" s="120"/>
      <c r="AES242" s="120"/>
      <c r="AET242" s="120"/>
      <c r="AEU242" s="120"/>
      <c r="AEV242" s="120"/>
      <c r="AEW242" s="120"/>
      <c r="AEX242" s="120"/>
      <c r="AEY242" s="120"/>
      <c r="AEZ242" s="120"/>
      <c r="AFA242" s="120"/>
      <c r="AFB242" s="120"/>
      <c r="AFC242" s="120"/>
      <c r="AFD242" s="120"/>
      <c r="AFE242" s="120"/>
      <c r="AFF242" s="120"/>
      <c r="AFG242" s="120"/>
      <c r="AFH242" s="120"/>
      <c r="AFI242" s="120"/>
      <c r="AFJ242" s="120"/>
      <c r="AFK242" s="120"/>
      <c r="AFL242" s="120"/>
      <c r="AFM242" s="120"/>
      <c r="AFN242" s="120"/>
      <c r="AFO242" s="120"/>
      <c r="AFP242" s="120"/>
      <c r="AFQ242" s="120"/>
      <c r="AFR242" s="120"/>
      <c r="AFS242" s="120"/>
      <c r="AFT242" s="120"/>
      <c r="AFU242" s="120"/>
      <c r="AFV242" s="120"/>
      <c r="AFW242" s="120"/>
      <c r="AFX242" s="120"/>
      <c r="AFY242" s="120"/>
      <c r="AFZ242" s="120"/>
      <c r="AGA242" s="120"/>
      <c r="AGB242" s="120"/>
      <c r="AGC242" s="120"/>
      <c r="AGD242" s="120"/>
      <c r="AGE242" s="120"/>
      <c r="AGF242" s="120"/>
      <c r="AGG242" s="120"/>
      <c r="AGH242" s="120"/>
      <c r="AGI242" s="120"/>
      <c r="AGJ242" s="120"/>
      <c r="AGK242" s="120"/>
      <c r="AGL242" s="120"/>
      <c r="AGM242" s="120"/>
      <c r="AGN242" s="120"/>
      <c r="AGO242" s="120"/>
      <c r="AGP242" s="120"/>
      <c r="AGQ242" s="120"/>
      <c r="AGR242" s="120"/>
      <c r="AGS242" s="120"/>
      <c r="AGT242" s="120"/>
      <c r="AGU242" s="120"/>
      <c r="AGV242" s="120"/>
      <c r="AGW242" s="120"/>
      <c r="AGX242" s="120"/>
      <c r="AGY242" s="120"/>
      <c r="AGZ242" s="120"/>
      <c r="AHA242" s="120"/>
      <c r="AHB242" s="120"/>
      <c r="AHC242" s="120"/>
      <c r="AHD242" s="120"/>
      <c r="AHE242" s="120"/>
      <c r="AHF242" s="120"/>
      <c r="AHG242" s="120"/>
      <c r="AHH242" s="120"/>
      <c r="AHI242" s="120"/>
      <c r="AHJ242" s="120"/>
      <c r="AHK242" s="120"/>
      <c r="AHL242" s="120"/>
      <c r="AHM242" s="120"/>
      <c r="AHN242" s="120"/>
      <c r="AHO242" s="120"/>
      <c r="AHP242" s="120"/>
      <c r="AHQ242" s="120"/>
      <c r="AHR242" s="120"/>
      <c r="AHS242" s="120"/>
      <c r="AHT242" s="120"/>
      <c r="AHU242" s="120"/>
      <c r="AHV242" s="120"/>
      <c r="AHW242" s="120"/>
      <c r="AHX242" s="120"/>
      <c r="AHY242" s="120"/>
      <c r="AHZ242" s="120"/>
      <c r="AIA242" s="120"/>
      <c r="AIB242" s="120"/>
      <c r="AIC242" s="120"/>
      <c r="AID242" s="120"/>
      <c r="AIE242" s="120"/>
      <c r="AIF242" s="120"/>
      <c r="AIG242" s="120"/>
      <c r="AIH242" s="120"/>
      <c r="AII242" s="120"/>
      <c r="AIJ242" s="120"/>
      <c r="AIK242" s="120"/>
      <c r="AIL242" s="120"/>
      <c r="AIM242" s="120"/>
      <c r="AIN242" s="120"/>
      <c r="AIO242" s="120"/>
      <c r="AIP242" s="120"/>
      <c r="AIQ242" s="120"/>
      <c r="AIR242" s="120"/>
      <c r="AIS242" s="120"/>
      <c r="AIT242" s="120"/>
      <c r="AIU242" s="120"/>
      <c r="AIV242" s="120"/>
      <c r="AIW242" s="120"/>
      <c r="AIX242" s="120"/>
      <c r="AIY242" s="120"/>
      <c r="AIZ242" s="120"/>
    </row>
    <row r="243">
      <c r="A243" s="112" t="s">
        <v>35</v>
      </c>
      <c r="B243" s="112" t="s">
        <v>73</v>
      </c>
      <c r="C243" s="112"/>
      <c r="D243" s="113">
        <f t="shared" si="1"/>
        <v>817.0738167</v>
      </c>
      <c r="E243" s="112">
        <v>107.4977</v>
      </c>
      <c r="F243" s="113"/>
      <c r="G243" s="113"/>
      <c r="H243" s="113"/>
      <c r="I243" s="113"/>
      <c r="J243" s="113"/>
      <c r="K243" s="113"/>
      <c r="L243" s="112">
        <v>2.1529</v>
      </c>
      <c r="M243" s="112">
        <v>18.8574333333333</v>
      </c>
      <c r="N243" s="113"/>
      <c r="O243" s="113"/>
      <c r="P243" s="112">
        <v>182.306183333333</v>
      </c>
      <c r="Q243" s="113"/>
      <c r="R243" s="113"/>
      <c r="S243" s="113"/>
      <c r="T243" s="113"/>
      <c r="U243" s="113"/>
      <c r="V243" s="112">
        <v>1.6258</v>
      </c>
      <c r="W243" s="112">
        <v>122.3244</v>
      </c>
      <c r="X243" s="113"/>
      <c r="Y243" s="113"/>
      <c r="Z243" s="113"/>
      <c r="AA243" s="113"/>
      <c r="AB243" s="113"/>
      <c r="AC243" s="112">
        <v>3.53776666666667</v>
      </c>
      <c r="AD243" s="112">
        <v>55.1260666666667</v>
      </c>
      <c r="AE243" s="113"/>
      <c r="AF243" s="113"/>
      <c r="AG243" s="113"/>
      <c r="AH243" s="113"/>
      <c r="AI243" s="113"/>
      <c r="AJ243" s="112">
        <v>1.34686666666667</v>
      </c>
      <c r="AK243" s="112">
        <v>38.93495</v>
      </c>
      <c r="AL243" s="113"/>
      <c r="AM243" s="113"/>
      <c r="AN243" s="113"/>
      <c r="AO243" s="112">
        <v>3.2751</v>
      </c>
      <c r="AP243" s="112">
        <v>7.08625</v>
      </c>
      <c r="AQ243" s="113"/>
      <c r="AR243" s="113"/>
      <c r="AS243" s="112">
        <v>0.120333333333333</v>
      </c>
      <c r="AT243" s="112">
        <v>263.657366666667</v>
      </c>
      <c r="AU243" s="113"/>
      <c r="AV243" s="112">
        <v>8.90216666666667</v>
      </c>
      <c r="AW243" s="112">
        <v>0.322533333333333</v>
      </c>
      <c r="AX243" s="113"/>
      <c r="AY243" s="113"/>
      <c r="AZ243" s="113"/>
      <c r="BA243" s="113"/>
      <c r="BB243" s="113"/>
      <c r="BC243" s="113"/>
      <c r="BD243" s="113"/>
      <c r="BE243" s="113"/>
      <c r="BF243" s="113"/>
      <c r="BG243" s="113"/>
      <c r="BH243" s="113"/>
      <c r="BI243" s="113"/>
      <c r="BJ243" s="113"/>
      <c r="BK243" s="113"/>
      <c r="BL243" s="113"/>
      <c r="BM243" s="113"/>
      <c r="BN243" s="113"/>
      <c r="BO243" s="113"/>
      <c r="BP243" s="113"/>
      <c r="BQ243" s="113"/>
      <c r="BR243" s="113"/>
      <c r="BS243" s="113"/>
      <c r="BT243" s="113"/>
      <c r="BU243" s="113"/>
      <c r="BV243" s="113"/>
      <c r="BW243" s="113"/>
      <c r="BX243" s="113"/>
      <c r="BY243" s="113"/>
      <c r="BZ243" s="113"/>
      <c r="CA243" s="113"/>
      <c r="CB243" s="113"/>
      <c r="CC243" s="113"/>
      <c r="CD243" s="113"/>
      <c r="CE243" s="113"/>
      <c r="CF243" s="113"/>
      <c r="CG243" s="113"/>
      <c r="CH243" s="113"/>
      <c r="CI243" s="113"/>
      <c r="CJ243" s="113"/>
      <c r="CK243" s="113"/>
      <c r="CL243" s="113"/>
      <c r="CM243" s="113"/>
      <c r="CN243" s="113"/>
      <c r="CO243" s="113"/>
      <c r="CP243" s="113"/>
      <c r="CQ243" s="113"/>
      <c r="CR243" s="113"/>
      <c r="CS243" s="113"/>
      <c r="CT243" s="113"/>
      <c r="CU243" s="113"/>
      <c r="CV243" s="113"/>
      <c r="CW243" s="113"/>
      <c r="CX243" s="113"/>
      <c r="CY243" s="113"/>
      <c r="CZ243" s="113"/>
      <c r="DA243" s="113"/>
      <c r="DB243" s="113"/>
      <c r="DC243" s="113"/>
      <c r="DD243" s="113"/>
      <c r="DE243" s="113"/>
      <c r="DF243" s="113"/>
      <c r="DG243" s="113"/>
      <c r="DH243" s="113"/>
      <c r="DI243" s="113"/>
      <c r="DJ243" s="113"/>
      <c r="DK243" s="113"/>
      <c r="DL243" s="113"/>
      <c r="DM243" s="113"/>
      <c r="DN243" s="113"/>
      <c r="DO243" s="113"/>
      <c r="DP243" s="113"/>
      <c r="DQ243" s="113"/>
      <c r="DR243" s="113"/>
      <c r="DS243" s="113"/>
      <c r="DT243" s="113"/>
      <c r="DU243" s="113"/>
      <c r="DV243" s="113"/>
      <c r="DW243" s="113"/>
      <c r="DX243" s="113"/>
      <c r="DY243" s="113"/>
      <c r="DZ243" s="113"/>
      <c r="EA243" s="113"/>
      <c r="EB243" s="113"/>
      <c r="EC243" s="113"/>
      <c r="ED243" s="113"/>
      <c r="EE243" s="113"/>
      <c r="EF243" s="113"/>
      <c r="EG243" s="113"/>
      <c r="EH243" s="113"/>
      <c r="EI243" s="113"/>
      <c r="EJ243" s="113"/>
      <c r="EK243" s="113"/>
      <c r="EL243" s="113"/>
      <c r="EM243" s="113"/>
      <c r="EN243" s="113"/>
      <c r="EO243" s="113"/>
      <c r="EP243" s="113"/>
      <c r="EQ243" s="113"/>
      <c r="ER243" s="113"/>
      <c r="ES243" s="113"/>
      <c r="ET243" s="113"/>
      <c r="EU243" s="113"/>
      <c r="EV243" s="113"/>
      <c r="EW243" s="113"/>
      <c r="EX243" s="113"/>
      <c r="EY243" s="113"/>
      <c r="EZ243" s="113"/>
      <c r="FA243" s="113"/>
      <c r="FB243" s="113"/>
      <c r="FC243" s="113"/>
      <c r="FD243" s="113"/>
      <c r="FE243" s="113"/>
      <c r="FF243" s="113"/>
      <c r="FG243" s="113"/>
      <c r="FH243" s="113"/>
      <c r="FI243" s="113"/>
      <c r="FJ243" s="113"/>
      <c r="FK243" s="113"/>
      <c r="FL243" s="113"/>
      <c r="FM243" s="113"/>
      <c r="FN243" s="113"/>
      <c r="FO243" s="113"/>
      <c r="FP243" s="113"/>
      <c r="FQ243" s="113"/>
      <c r="FR243" s="113"/>
      <c r="FS243" s="113"/>
      <c r="FT243" s="113"/>
      <c r="FU243" s="113"/>
      <c r="FV243" s="113"/>
      <c r="FW243" s="113"/>
      <c r="FX243" s="113"/>
      <c r="FY243" s="113"/>
      <c r="FZ243" s="113"/>
      <c r="GA243" s="113"/>
      <c r="GB243" s="113"/>
      <c r="GC243" s="113"/>
      <c r="GD243" s="113"/>
      <c r="GE243" s="113"/>
      <c r="GF243" s="113"/>
      <c r="GG243" s="113"/>
      <c r="GH243" s="113"/>
      <c r="GI243" s="113"/>
      <c r="GJ243" s="113"/>
      <c r="GK243" s="113"/>
      <c r="GL243" s="113"/>
      <c r="GM243" s="113"/>
      <c r="GN243" s="113"/>
      <c r="GO243" s="113"/>
      <c r="GP243" s="113"/>
      <c r="GQ243" s="113"/>
      <c r="GR243" s="113"/>
      <c r="GS243" s="113"/>
      <c r="GT243" s="113"/>
      <c r="GU243" s="113"/>
      <c r="GV243" s="113"/>
      <c r="GW243" s="113"/>
      <c r="GX243" s="113"/>
      <c r="GY243" s="113"/>
      <c r="GZ243" s="113"/>
      <c r="HA243" s="113"/>
      <c r="HB243" s="113"/>
      <c r="HC243" s="113"/>
      <c r="HD243" s="113"/>
      <c r="HE243" s="113"/>
      <c r="HF243" s="113"/>
      <c r="HG243" s="113"/>
      <c r="HH243" s="113"/>
      <c r="HI243" s="113"/>
      <c r="HJ243" s="113"/>
      <c r="HK243" s="113"/>
      <c r="HL243" s="113"/>
      <c r="HM243" s="113"/>
      <c r="HN243" s="113"/>
      <c r="HO243" s="113"/>
      <c r="HP243" s="113"/>
      <c r="HQ243" s="113"/>
      <c r="HR243" s="113"/>
      <c r="HS243" s="113"/>
      <c r="HT243" s="113"/>
      <c r="HU243" s="113"/>
      <c r="HV243" s="113"/>
      <c r="HW243" s="113"/>
      <c r="HX243" s="113"/>
      <c r="HY243" s="113"/>
      <c r="HZ243" s="113"/>
      <c r="IA243" s="113"/>
      <c r="IB243" s="113"/>
      <c r="IC243" s="113"/>
      <c r="ID243" s="113"/>
      <c r="IE243" s="113"/>
      <c r="IF243" s="113"/>
      <c r="IG243" s="113"/>
      <c r="IH243" s="113"/>
      <c r="II243" s="113"/>
      <c r="IJ243" s="113"/>
      <c r="IK243" s="113"/>
      <c r="IL243" s="113"/>
      <c r="IM243" s="113"/>
      <c r="IN243" s="113"/>
      <c r="IO243" s="113"/>
      <c r="IP243" s="113"/>
      <c r="IQ243" s="113"/>
      <c r="IR243" s="113"/>
      <c r="IS243" s="113"/>
      <c r="IT243" s="113"/>
      <c r="IU243" s="113"/>
      <c r="IV243" s="113"/>
      <c r="IW243" s="113"/>
      <c r="IX243" s="113"/>
      <c r="IY243" s="113"/>
      <c r="IZ243" s="113"/>
      <c r="JA243" s="113"/>
      <c r="JB243" s="113"/>
      <c r="JC243" s="113"/>
      <c r="JD243" s="113"/>
      <c r="JE243" s="113"/>
      <c r="JF243" s="113"/>
      <c r="JG243" s="113"/>
      <c r="JH243" s="113"/>
      <c r="JI243" s="113"/>
      <c r="JJ243" s="113"/>
      <c r="JK243" s="113"/>
      <c r="JL243" s="113"/>
      <c r="JM243" s="113"/>
      <c r="JN243" s="113"/>
      <c r="JO243" s="113"/>
      <c r="JP243" s="113"/>
      <c r="JQ243" s="113"/>
      <c r="JR243" s="113"/>
      <c r="JS243" s="113"/>
      <c r="JT243" s="113"/>
      <c r="JU243" s="113"/>
      <c r="JV243" s="113"/>
      <c r="JW243" s="113"/>
      <c r="JX243" s="113"/>
      <c r="JY243" s="113"/>
      <c r="JZ243" s="113"/>
      <c r="KA243" s="113"/>
      <c r="KB243" s="113"/>
      <c r="KC243" s="113"/>
      <c r="KD243" s="113"/>
      <c r="KE243" s="113"/>
      <c r="KF243" s="113"/>
      <c r="KG243" s="113"/>
      <c r="KH243" s="113"/>
      <c r="KI243" s="113"/>
      <c r="KJ243" s="113"/>
      <c r="KK243" s="113"/>
      <c r="KL243" s="113"/>
      <c r="KM243" s="113"/>
      <c r="KN243" s="113"/>
      <c r="KO243" s="113"/>
      <c r="KP243" s="113"/>
      <c r="KQ243" s="113"/>
      <c r="KR243" s="113"/>
      <c r="KS243" s="113"/>
      <c r="KT243" s="113"/>
      <c r="KU243" s="113"/>
      <c r="KV243" s="113"/>
      <c r="KW243" s="113"/>
      <c r="KX243" s="113"/>
      <c r="KY243" s="113"/>
      <c r="KZ243" s="113"/>
      <c r="LA243" s="113"/>
      <c r="LB243" s="113"/>
      <c r="LC243" s="113"/>
      <c r="LD243" s="113"/>
      <c r="LE243" s="113"/>
      <c r="LF243" s="113"/>
      <c r="LG243" s="113"/>
      <c r="LH243" s="113"/>
      <c r="LI243" s="113"/>
      <c r="LJ243" s="113"/>
      <c r="LK243" s="113"/>
      <c r="LL243" s="113"/>
      <c r="LM243" s="113"/>
      <c r="LN243" s="113"/>
      <c r="LO243" s="113"/>
      <c r="LP243" s="113"/>
      <c r="LQ243" s="113"/>
      <c r="LR243" s="113"/>
      <c r="LS243" s="113"/>
      <c r="LT243" s="113"/>
      <c r="LU243" s="113"/>
      <c r="LV243" s="113"/>
      <c r="LW243" s="113"/>
      <c r="LX243" s="113"/>
      <c r="LY243" s="113"/>
      <c r="LZ243" s="113"/>
      <c r="MA243" s="113"/>
      <c r="MB243" s="113"/>
      <c r="MC243" s="113"/>
      <c r="MD243" s="113"/>
      <c r="ME243" s="113"/>
      <c r="MF243" s="113"/>
      <c r="MG243" s="113"/>
      <c r="MH243" s="113"/>
      <c r="MI243" s="113"/>
      <c r="MJ243" s="113"/>
      <c r="MK243" s="113"/>
      <c r="ML243" s="113"/>
      <c r="MM243" s="113"/>
      <c r="MN243" s="113"/>
      <c r="MO243" s="113"/>
      <c r="MP243" s="113"/>
      <c r="MQ243" s="113"/>
      <c r="MR243" s="113"/>
      <c r="MS243" s="113"/>
      <c r="MT243" s="113"/>
      <c r="MU243" s="113"/>
      <c r="MV243" s="113"/>
      <c r="MW243" s="113"/>
      <c r="MX243" s="113"/>
      <c r="MY243" s="113"/>
      <c r="MZ243" s="113"/>
      <c r="NA243" s="113"/>
      <c r="NB243" s="113"/>
      <c r="NC243" s="113"/>
      <c r="ND243" s="113"/>
      <c r="NE243" s="113"/>
      <c r="NF243" s="113"/>
      <c r="NG243" s="113"/>
      <c r="NH243" s="113"/>
      <c r="NI243" s="113"/>
      <c r="NJ243" s="113"/>
      <c r="NK243" s="113"/>
      <c r="NL243" s="113"/>
      <c r="NM243" s="113"/>
      <c r="NN243" s="113"/>
      <c r="NO243" s="113"/>
      <c r="NP243" s="113"/>
      <c r="NQ243" s="113"/>
      <c r="NR243" s="113"/>
      <c r="NS243" s="113"/>
      <c r="NT243" s="113"/>
      <c r="NU243" s="113"/>
      <c r="NV243" s="113"/>
      <c r="NW243" s="113"/>
      <c r="NX243" s="113"/>
      <c r="NY243" s="113"/>
      <c r="NZ243" s="113"/>
      <c r="OA243" s="113"/>
      <c r="OB243" s="113"/>
      <c r="OC243" s="113"/>
      <c r="OD243" s="113"/>
      <c r="OE243" s="113"/>
      <c r="OF243" s="113"/>
      <c r="OG243" s="113"/>
      <c r="OH243" s="113"/>
      <c r="OI243" s="113"/>
      <c r="OJ243" s="113"/>
      <c r="OK243" s="113"/>
      <c r="OL243" s="113"/>
      <c r="OM243" s="113"/>
      <c r="ON243" s="113"/>
      <c r="OO243" s="113"/>
      <c r="OP243" s="113"/>
      <c r="OQ243" s="113"/>
      <c r="OR243" s="113"/>
      <c r="OS243" s="113"/>
      <c r="OT243" s="113"/>
      <c r="OU243" s="113"/>
      <c r="OV243" s="113"/>
      <c r="OW243" s="113"/>
      <c r="OX243" s="113"/>
      <c r="OY243" s="113"/>
      <c r="OZ243" s="113"/>
      <c r="PA243" s="113"/>
      <c r="PB243" s="113"/>
      <c r="PC243" s="113"/>
      <c r="PD243" s="113"/>
      <c r="PE243" s="113"/>
      <c r="PF243" s="113"/>
      <c r="PG243" s="113"/>
      <c r="PH243" s="113"/>
      <c r="PI243" s="113"/>
      <c r="PJ243" s="113"/>
      <c r="PK243" s="113"/>
      <c r="PL243" s="113"/>
      <c r="PM243" s="113"/>
      <c r="PN243" s="113"/>
      <c r="PO243" s="113"/>
      <c r="PP243" s="113"/>
      <c r="PQ243" s="113"/>
      <c r="PR243" s="113"/>
      <c r="PS243" s="113"/>
      <c r="PT243" s="113"/>
      <c r="PU243" s="113"/>
      <c r="PV243" s="113"/>
      <c r="PW243" s="113"/>
      <c r="PX243" s="113"/>
      <c r="PY243" s="113"/>
      <c r="PZ243" s="113"/>
      <c r="QA243" s="113"/>
      <c r="QB243" s="113"/>
      <c r="QC243" s="113"/>
      <c r="QD243" s="113"/>
      <c r="QE243" s="113"/>
      <c r="QF243" s="113"/>
      <c r="QG243" s="113"/>
      <c r="QH243" s="113"/>
      <c r="QI243" s="113"/>
      <c r="QJ243" s="113"/>
      <c r="QK243" s="113"/>
      <c r="QL243" s="113"/>
      <c r="QM243" s="113"/>
      <c r="QN243" s="113"/>
      <c r="QO243" s="113"/>
      <c r="QP243" s="113"/>
      <c r="QQ243" s="113"/>
      <c r="QR243" s="113"/>
      <c r="QS243" s="113"/>
      <c r="QT243" s="113"/>
      <c r="QU243" s="113"/>
      <c r="QV243" s="113"/>
      <c r="QW243" s="113"/>
      <c r="QX243" s="113"/>
      <c r="QY243" s="113"/>
      <c r="QZ243" s="113"/>
      <c r="RA243" s="113"/>
      <c r="RB243" s="113"/>
      <c r="RC243" s="113"/>
      <c r="RD243" s="113"/>
      <c r="RE243" s="113"/>
      <c r="RF243" s="113"/>
      <c r="RG243" s="113"/>
      <c r="RH243" s="113"/>
      <c r="RI243" s="113"/>
      <c r="RJ243" s="113"/>
      <c r="RK243" s="113"/>
      <c r="RL243" s="113"/>
      <c r="RM243" s="113"/>
      <c r="RN243" s="113"/>
      <c r="RO243" s="113"/>
      <c r="RP243" s="113"/>
      <c r="RQ243" s="113"/>
      <c r="RR243" s="113"/>
      <c r="RS243" s="113"/>
      <c r="RT243" s="113"/>
      <c r="RU243" s="113"/>
      <c r="RV243" s="113"/>
      <c r="RW243" s="113"/>
      <c r="RX243" s="113"/>
      <c r="RY243" s="113"/>
      <c r="RZ243" s="113"/>
      <c r="SA243" s="113"/>
      <c r="SB243" s="113"/>
      <c r="SC243" s="113"/>
      <c r="SD243" s="113"/>
      <c r="SE243" s="113"/>
      <c r="SF243" s="113"/>
      <c r="SG243" s="113"/>
      <c r="SH243" s="113"/>
      <c r="SI243" s="113"/>
      <c r="SJ243" s="113"/>
      <c r="SK243" s="113"/>
      <c r="SL243" s="113"/>
      <c r="SM243" s="113"/>
      <c r="SN243" s="113"/>
      <c r="SO243" s="113"/>
      <c r="SP243" s="113"/>
      <c r="SQ243" s="113"/>
      <c r="SR243" s="113"/>
      <c r="SS243" s="113"/>
      <c r="ST243" s="113"/>
      <c r="SU243" s="113"/>
      <c r="SV243" s="113"/>
      <c r="SW243" s="113"/>
      <c r="SX243" s="113"/>
      <c r="SY243" s="113"/>
      <c r="SZ243" s="113"/>
      <c r="TA243" s="113"/>
      <c r="TB243" s="113"/>
      <c r="TC243" s="113"/>
      <c r="TD243" s="113"/>
      <c r="TE243" s="113"/>
      <c r="TF243" s="113"/>
      <c r="TG243" s="113"/>
      <c r="TH243" s="113"/>
      <c r="TI243" s="113"/>
      <c r="TJ243" s="113"/>
      <c r="TK243" s="113"/>
      <c r="TL243" s="113"/>
      <c r="TM243" s="113"/>
      <c r="TN243" s="113"/>
      <c r="TO243" s="113"/>
      <c r="TP243" s="113"/>
      <c r="TQ243" s="113"/>
      <c r="TR243" s="113"/>
      <c r="TS243" s="113"/>
      <c r="TT243" s="113"/>
      <c r="TU243" s="113"/>
      <c r="TV243" s="113"/>
      <c r="TW243" s="113"/>
      <c r="TX243" s="113"/>
      <c r="TY243" s="113"/>
      <c r="TZ243" s="113"/>
      <c r="UA243" s="113"/>
      <c r="UB243" s="113"/>
      <c r="UC243" s="113"/>
      <c r="UD243" s="113"/>
      <c r="UE243" s="113"/>
      <c r="UF243" s="113"/>
      <c r="UG243" s="113"/>
      <c r="UH243" s="113"/>
      <c r="UI243" s="113"/>
      <c r="UJ243" s="113"/>
      <c r="UK243" s="113"/>
      <c r="UL243" s="113"/>
      <c r="UM243" s="113"/>
      <c r="UN243" s="113"/>
      <c r="UO243" s="113"/>
      <c r="UP243" s="113"/>
      <c r="UQ243" s="113"/>
      <c r="UR243" s="113"/>
      <c r="US243" s="113"/>
      <c r="UT243" s="113"/>
      <c r="UU243" s="113"/>
      <c r="UV243" s="113"/>
      <c r="UW243" s="113"/>
      <c r="UX243" s="113"/>
      <c r="UY243" s="113"/>
      <c r="UZ243" s="113"/>
      <c r="VA243" s="113"/>
      <c r="VB243" s="113"/>
      <c r="VC243" s="113"/>
      <c r="VD243" s="113"/>
      <c r="VE243" s="113"/>
      <c r="VF243" s="113"/>
      <c r="VG243" s="113"/>
      <c r="VH243" s="113"/>
      <c r="VI243" s="113"/>
      <c r="VJ243" s="113"/>
      <c r="VK243" s="113"/>
      <c r="VL243" s="113"/>
      <c r="VM243" s="113"/>
      <c r="VN243" s="113"/>
      <c r="VO243" s="113"/>
      <c r="VP243" s="113"/>
      <c r="VQ243" s="113"/>
      <c r="VR243" s="113"/>
      <c r="VS243" s="113"/>
      <c r="VT243" s="113"/>
      <c r="VU243" s="113"/>
      <c r="VV243" s="113"/>
      <c r="VW243" s="113"/>
      <c r="VX243" s="113"/>
      <c r="VY243" s="113"/>
      <c r="VZ243" s="113"/>
      <c r="WA243" s="113"/>
      <c r="WB243" s="113"/>
      <c r="WC243" s="113"/>
      <c r="WD243" s="113"/>
      <c r="WE243" s="113"/>
      <c r="WF243" s="113"/>
      <c r="WG243" s="113"/>
      <c r="WH243" s="113"/>
      <c r="WI243" s="113"/>
      <c r="WJ243" s="113"/>
      <c r="WK243" s="113"/>
      <c r="WL243" s="113"/>
      <c r="WM243" s="113"/>
      <c r="WN243" s="113"/>
      <c r="WO243" s="113"/>
      <c r="WP243" s="113"/>
      <c r="WQ243" s="113"/>
      <c r="WR243" s="113"/>
      <c r="WS243" s="113"/>
      <c r="WT243" s="113"/>
      <c r="WU243" s="113"/>
      <c r="WV243" s="113"/>
      <c r="WW243" s="113"/>
      <c r="WX243" s="113"/>
      <c r="WY243" s="113"/>
      <c r="WZ243" s="113"/>
      <c r="XA243" s="113"/>
      <c r="XB243" s="113"/>
      <c r="XC243" s="113"/>
      <c r="XD243" s="113"/>
      <c r="XE243" s="113"/>
      <c r="XF243" s="113"/>
      <c r="XG243" s="113"/>
      <c r="XH243" s="113"/>
      <c r="XI243" s="113"/>
      <c r="XJ243" s="113"/>
      <c r="XK243" s="113"/>
      <c r="XL243" s="113"/>
      <c r="XM243" s="113"/>
      <c r="XN243" s="113"/>
      <c r="XO243" s="113"/>
      <c r="XP243" s="113"/>
      <c r="XQ243" s="113"/>
      <c r="XR243" s="113"/>
      <c r="XS243" s="113"/>
      <c r="XT243" s="113"/>
      <c r="XU243" s="113"/>
      <c r="XV243" s="113"/>
      <c r="XW243" s="113"/>
      <c r="XX243" s="113"/>
      <c r="XY243" s="113"/>
      <c r="XZ243" s="113"/>
      <c r="YA243" s="113"/>
      <c r="YB243" s="113"/>
      <c r="YC243" s="113"/>
      <c r="YD243" s="113"/>
      <c r="YE243" s="113"/>
      <c r="YF243" s="113"/>
      <c r="YG243" s="113"/>
      <c r="YH243" s="113"/>
      <c r="YI243" s="113"/>
      <c r="YJ243" s="113"/>
      <c r="YK243" s="113"/>
      <c r="YL243" s="113"/>
      <c r="YM243" s="113"/>
      <c r="YN243" s="113"/>
      <c r="YO243" s="113"/>
      <c r="YP243" s="113"/>
      <c r="YQ243" s="113"/>
      <c r="YR243" s="113"/>
      <c r="YS243" s="113"/>
      <c r="YT243" s="113"/>
      <c r="YU243" s="113"/>
      <c r="YV243" s="113"/>
      <c r="YW243" s="113"/>
      <c r="YX243" s="113"/>
      <c r="YY243" s="113"/>
      <c r="YZ243" s="113"/>
      <c r="ZA243" s="113"/>
      <c r="ZB243" s="113"/>
      <c r="ZC243" s="113"/>
      <c r="ZD243" s="113"/>
      <c r="ZE243" s="113"/>
      <c r="ZF243" s="113"/>
      <c r="ZG243" s="113"/>
      <c r="ZH243" s="113"/>
      <c r="ZI243" s="113"/>
      <c r="ZJ243" s="113"/>
      <c r="ZK243" s="113"/>
      <c r="ZL243" s="113"/>
      <c r="ZM243" s="113"/>
      <c r="ZN243" s="113"/>
      <c r="ZO243" s="113"/>
      <c r="ZP243" s="113"/>
      <c r="ZQ243" s="113"/>
      <c r="ZR243" s="113"/>
      <c r="ZS243" s="113"/>
      <c r="ZT243" s="113"/>
      <c r="ZU243" s="113"/>
      <c r="ZV243" s="113"/>
      <c r="ZW243" s="113"/>
      <c r="ZX243" s="113"/>
      <c r="ZY243" s="113"/>
      <c r="ZZ243" s="113"/>
      <c r="AAA243" s="113"/>
      <c r="AAB243" s="113"/>
      <c r="AAC243" s="113"/>
      <c r="AAD243" s="113"/>
      <c r="AAE243" s="113"/>
      <c r="AAF243" s="113"/>
      <c r="AAG243" s="113"/>
      <c r="AAH243" s="113"/>
      <c r="AAI243" s="113"/>
      <c r="AAJ243" s="113"/>
      <c r="AAK243" s="113"/>
      <c r="AAL243" s="113"/>
      <c r="AAM243" s="113"/>
      <c r="AAN243" s="113"/>
      <c r="AAO243" s="113"/>
      <c r="AAP243" s="113"/>
      <c r="AAQ243" s="113"/>
      <c r="AAR243" s="113"/>
      <c r="AAS243" s="113"/>
      <c r="AAT243" s="113"/>
      <c r="AAU243" s="113"/>
      <c r="AAV243" s="113"/>
      <c r="AAW243" s="113"/>
      <c r="AAX243" s="113"/>
      <c r="AAY243" s="113"/>
      <c r="AAZ243" s="113"/>
      <c r="ABA243" s="113"/>
      <c r="ABB243" s="113"/>
      <c r="ABC243" s="113"/>
      <c r="ABD243" s="113"/>
      <c r="ABE243" s="113"/>
      <c r="ABF243" s="113"/>
      <c r="ABG243" s="113"/>
      <c r="ABH243" s="113"/>
      <c r="ABI243" s="113"/>
      <c r="ABJ243" s="113"/>
      <c r="ABK243" s="113"/>
      <c r="ABL243" s="113"/>
      <c r="ABM243" s="113"/>
      <c r="ABN243" s="113"/>
      <c r="ABO243" s="113"/>
      <c r="ABP243" s="113"/>
      <c r="ABQ243" s="113"/>
      <c r="ABR243" s="113"/>
      <c r="ABS243" s="113"/>
      <c r="ABT243" s="113"/>
      <c r="ABU243" s="113"/>
      <c r="ABV243" s="113"/>
      <c r="ABW243" s="113"/>
      <c r="ABX243" s="113"/>
      <c r="ABY243" s="113"/>
      <c r="ABZ243" s="113"/>
      <c r="ACA243" s="113"/>
      <c r="ACB243" s="113"/>
      <c r="ACC243" s="113"/>
      <c r="ACD243" s="113"/>
      <c r="ACE243" s="113"/>
      <c r="ACF243" s="113"/>
      <c r="ACG243" s="113"/>
      <c r="ACH243" s="113"/>
      <c r="ACI243" s="113"/>
      <c r="ACJ243" s="113"/>
      <c r="ACK243" s="113"/>
      <c r="ACL243" s="113"/>
      <c r="ACM243" s="113"/>
      <c r="ACN243" s="113"/>
      <c r="ACO243" s="113"/>
      <c r="ACP243" s="113"/>
      <c r="ACQ243" s="113"/>
      <c r="ACR243" s="113"/>
      <c r="ACS243" s="113"/>
      <c r="ACT243" s="113"/>
      <c r="ACU243" s="113"/>
      <c r="ACV243" s="113"/>
      <c r="ACW243" s="113"/>
      <c r="ACX243" s="113"/>
      <c r="ACY243" s="113"/>
      <c r="ACZ243" s="113"/>
      <c r="ADA243" s="113"/>
      <c r="ADB243" s="113"/>
      <c r="ADC243" s="113"/>
      <c r="ADD243" s="113"/>
      <c r="ADE243" s="113"/>
      <c r="ADF243" s="113"/>
      <c r="ADG243" s="113"/>
      <c r="ADH243" s="113"/>
      <c r="ADI243" s="113"/>
      <c r="ADJ243" s="113"/>
      <c r="ADK243" s="113"/>
      <c r="ADL243" s="113"/>
      <c r="ADM243" s="113"/>
      <c r="ADN243" s="113"/>
      <c r="ADO243" s="113"/>
      <c r="ADP243" s="113"/>
      <c r="ADQ243" s="113"/>
      <c r="ADR243" s="113"/>
      <c r="ADS243" s="113"/>
      <c r="ADT243" s="113"/>
      <c r="ADU243" s="113"/>
      <c r="ADV243" s="113"/>
      <c r="ADW243" s="113"/>
      <c r="ADX243" s="113"/>
      <c r="ADY243" s="113"/>
      <c r="ADZ243" s="113"/>
      <c r="AEA243" s="113"/>
      <c r="AEB243" s="113"/>
      <c r="AEC243" s="113"/>
      <c r="AED243" s="113"/>
      <c r="AEE243" s="113"/>
      <c r="AEF243" s="113"/>
      <c r="AEG243" s="113"/>
      <c r="AEH243" s="113"/>
      <c r="AEI243" s="113"/>
      <c r="AEJ243" s="113"/>
      <c r="AEK243" s="113"/>
      <c r="AEL243" s="113"/>
      <c r="AEM243" s="113"/>
      <c r="AEN243" s="113"/>
      <c r="AEO243" s="113"/>
      <c r="AEP243" s="113"/>
      <c r="AEQ243" s="113"/>
      <c r="AER243" s="113"/>
      <c r="AES243" s="113"/>
      <c r="AET243" s="113"/>
      <c r="AEU243" s="113"/>
      <c r="AEV243" s="113"/>
      <c r="AEW243" s="113"/>
      <c r="AEX243" s="113"/>
      <c r="AEY243" s="113"/>
      <c r="AEZ243" s="113"/>
      <c r="AFA243" s="113"/>
      <c r="AFB243" s="113"/>
      <c r="AFC243" s="113"/>
      <c r="AFD243" s="113"/>
      <c r="AFE243" s="113"/>
      <c r="AFF243" s="113"/>
      <c r="AFG243" s="113"/>
      <c r="AFH243" s="113"/>
      <c r="AFI243" s="113"/>
      <c r="AFJ243" s="113"/>
      <c r="AFK243" s="113"/>
      <c r="AFL243" s="113"/>
      <c r="AFM243" s="113"/>
      <c r="AFN243" s="113"/>
      <c r="AFO243" s="113"/>
      <c r="AFP243" s="113"/>
      <c r="AFQ243" s="113"/>
      <c r="AFR243" s="113"/>
      <c r="AFS243" s="113"/>
      <c r="AFT243" s="113"/>
      <c r="AFU243" s="113"/>
      <c r="AFV243" s="113"/>
      <c r="AFW243" s="113"/>
      <c r="AFX243" s="113"/>
      <c r="AFY243" s="113"/>
      <c r="AFZ243" s="113"/>
      <c r="AGA243" s="113"/>
      <c r="AGB243" s="113"/>
      <c r="AGC243" s="113"/>
      <c r="AGD243" s="113"/>
      <c r="AGE243" s="113"/>
      <c r="AGF243" s="113"/>
      <c r="AGG243" s="113"/>
      <c r="AGH243" s="113"/>
      <c r="AGI243" s="113"/>
      <c r="AGJ243" s="113"/>
      <c r="AGK243" s="113"/>
      <c r="AGL243" s="113"/>
      <c r="AGM243" s="113"/>
      <c r="AGN243" s="113"/>
      <c r="AGO243" s="113"/>
      <c r="AGP243" s="113"/>
      <c r="AGQ243" s="113"/>
      <c r="AGR243" s="113"/>
      <c r="AGS243" s="113"/>
      <c r="AGT243" s="113"/>
      <c r="AGU243" s="113"/>
      <c r="AGV243" s="113"/>
      <c r="AGW243" s="113"/>
      <c r="AGX243" s="113"/>
      <c r="AGY243" s="113"/>
      <c r="AGZ243" s="113"/>
      <c r="AHA243" s="113"/>
      <c r="AHB243" s="113"/>
      <c r="AHC243" s="113"/>
      <c r="AHD243" s="113"/>
      <c r="AHE243" s="113"/>
      <c r="AHF243" s="113"/>
      <c r="AHG243" s="113"/>
      <c r="AHH243" s="113"/>
      <c r="AHI243" s="113"/>
      <c r="AHJ243" s="113"/>
      <c r="AHK243" s="113"/>
      <c r="AHL243" s="113"/>
      <c r="AHM243" s="113"/>
      <c r="AHN243" s="113"/>
      <c r="AHO243" s="113"/>
      <c r="AHP243" s="113"/>
      <c r="AHQ243" s="113"/>
      <c r="AHR243" s="113"/>
      <c r="AHS243" s="113"/>
      <c r="AHT243" s="113"/>
      <c r="AHU243" s="113"/>
      <c r="AHV243" s="113"/>
      <c r="AHW243" s="113"/>
      <c r="AHX243" s="113"/>
      <c r="AHY243" s="113"/>
      <c r="AHZ243" s="113"/>
      <c r="AIA243" s="113"/>
      <c r="AIB243" s="113"/>
      <c r="AIC243" s="113"/>
      <c r="AID243" s="113"/>
      <c r="AIE243" s="113"/>
      <c r="AIF243" s="113"/>
      <c r="AIG243" s="113"/>
      <c r="AIH243" s="113"/>
      <c r="AII243" s="113"/>
      <c r="AIJ243" s="113"/>
      <c r="AIK243" s="113"/>
      <c r="AIL243" s="113"/>
      <c r="AIM243" s="113"/>
      <c r="AIN243" s="113"/>
      <c r="AIO243" s="113"/>
      <c r="AIP243" s="113"/>
      <c r="AIQ243" s="113"/>
      <c r="AIR243" s="113"/>
      <c r="AIS243" s="113"/>
      <c r="AIT243" s="113"/>
      <c r="AIU243" s="113"/>
      <c r="AIV243" s="113"/>
      <c r="AIW243" s="113"/>
      <c r="AIX243" s="113"/>
      <c r="AIY243" s="113"/>
      <c r="AIZ243" s="113"/>
    </row>
    <row r="244">
      <c r="A244" s="65" t="s">
        <v>35</v>
      </c>
      <c r="B244" s="65" t="s">
        <v>73</v>
      </c>
      <c r="C244" s="65"/>
      <c r="D244" s="64">
        <f t="shared" si="1"/>
        <v>465.2322833</v>
      </c>
      <c r="G244" s="65">
        <v>0.506416666666667</v>
      </c>
      <c r="H244" s="65">
        <v>1.77791666666667</v>
      </c>
      <c r="I244" s="65">
        <v>25.6602333333333</v>
      </c>
      <c r="J244" s="65">
        <v>21.2886833333333</v>
      </c>
      <c r="K244" s="65">
        <v>41.6658166666667</v>
      </c>
      <c r="N244" s="65">
        <v>1.89265</v>
      </c>
      <c r="S244" s="65">
        <v>1.95165</v>
      </c>
      <c r="T244" s="65">
        <v>53.5379666666666</v>
      </c>
      <c r="U244" s="65">
        <v>58.2887666666666</v>
      </c>
      <c r="Y244" s="65">
        <v>0.203716666666667</v>
      </c>
      <c r="Z244" s="65">
        <v>1.12318333333333</v>
      </c>
      <c r="AA244" s="65">
        <v>57.8096333333334</v>
      </c>
      <c r="AB244" s="65">
        <v>26.2633</v>
      </c>
      <c r="AG244" s="65">
        <v>0.668116666666667</v>
      </c>
      <c r="AH244" s="65">
        <v>6.99523333333333</v>
      </c>
      <c r="AI244" s="65">
        <v>22.8488666666667</v>
      </c>
      <c r="AL244" s="65">
        <v>2.26721666666667</v>
      </c>
      <c r="AM244" s="65">
        <v>8.97865</v>
      </c>
      <c r="AN244" s="65">
        <v>6.67961666666667</v>
      </c>
      <c r="AQ244" s="65">
        <v>0.3239</v>
      </c>
      <c r="AR244" s="65">
        <v>2.30451666666667</v>
      </c>
      <c r="AU244" s="65">
        <v>122.196233333333</v>
      </c>
    </row>
    <row r="245">
      <c r="A245" s="65" t="s">
        <v>35</v>
      </c>
      <c r="B245" s="65" t="s">
        <v>73</v>
      </c>
      <c r="C245" s="65"/>
      <c r="D245" s="64">
        <f t="shared" si="1"/>
        <v>0</v>
      </c>
    </row>
    <row r="246">
      <c r="A246" s="65" t="s">
        <v>35</v>
      </c>
      <c r="B246" s="65" t="s">
        <v>73</v>
      </c>
      <c r="C246" s="65"/>
      <c r="D246" s="64">
        <f t="shared" si="1"/>
        <v>461.12615</v>
      </c>
      <c r="G246" s="118">
        <f>HYPERLINK("https://docs.google.com/spreadsheets/d/1yaJqKfZWx-jk9hOjuDZopmSZZteMlOoD", 0.506416666666667)</f>
        <v>0.5064166667</v>
      </c>
      <c r="H246" s="118">
        <f>HYPERLINK("https://docs.google.com/spreadsheets/d/1ShX0PQJfHu7rjMsnXETG6CE3qUBy6peW", 1.77791666666667)</f>
        <v>1.777916667</v>
      </c>
      <c r="I246" s="118">
        <f>HYPERLINK("https://docs.google.com/spreadsheets/d/1usoKqPeT66WCFE7CBSpTtPV6UsKPITjr", 25.6602166666667)</f>
        <v>25.66021667</v>
      </c>
      <c r="J246" s="118">
        <f>HYPERLINK("https://docs.google.com/spreadsheets/d/1lc0xaVz-Wm1RkmoyXXsRB5lLnMZ8AXtQ", 20.7860166666667)</f>
        <v>20.78601667</v>
      </c>
      <c r="K246" s="118">
        <f>HYPERLINK("https://docs.google.com/spreadsheets/d/1vu5AsTDx-b7ImjgVfJvmVysAH2I6WyTN", 41.6657666666667)</f>
        <v>41.66576667</v>
      </c>
      <c r="N246" s="118">
        <f>HYPERLINK("https://docs.google.com/spreadsheets/d/1gno0jxZhovfEWtskmuMnXPADLjdAU6cv", 1.89265)</f>
        <v>1.89265</v>
      </c>
      <c r="S246" s="118">
        <f>HYPERLINK("https://docs.google.com/spreadsheets/d/1YbsvqhrTaMonY5vgOz9rX2BVC2mwzUKs", 1.95163333333333)</f>
        <v>1.951633333</v>
      </c>
      <c r="T246" s="118">
        <f>HYPERLINK("https://docs.google.com/spreadsheets/d/1tzBRpBkO8hR1fmSGZHQczGmOh6BKtYMs", 52.7365833333333)</f>
        <v>52.73658333</v>
      </c>
      <c r="U246" s="118">
        <f>HYPERLINK("https://docs.google.com/spreadsheets/d/1c307Dz7r8aA1DilbDFg2RDaWmzck_DVA", 58.28875)</f>
        <v>58.28875</v>
      </c>
      <c r="Y246" s="118">
        <f>HYPERLINK("https://docs.google.com/spreadsheets/d/1hwEMXYwhB32ndsXpR-cKIRaHz2qbIn6i", 0.203716666666667)</f>
        <v>0.2037166667</v>
      </c>
      <c r="Z246" s="118">
        <f>HYPERLINK("https://docs.google.com/spreadsheets/d/1W2-ZsLKrAVBOkBftMXLyPjNKm_27OeK5", 1.12318333333333)</f>
        <v>1.123183333</v>
      </c>
      <c r="AA246" s="118">
        <f>HYPERLINK("https://docs.google.com/spreadsheets/d/1PO7Wr5WckLNGoDb3seUy8gl2QYkZc_2C", 55.4107333333334)</f>
        <v>55.41073333</v>
      </c>
      <c r="AB246" s="118">
        <f>HYPERLINK("https://docs.google.com/spreadsheets/d/1lUwfIP9X3zAMBlfoiktIdwPBLE_ij0mv", 26.0665666666667)</f>
        <v>26.06656667</v>
      </c>
      <c r="AG246" s="118">
        <f>HYPERLINK("https://docs.google.com/spreadsheets/d/1w4YN_4Qt6jDePnhojhVeeeb8Ql2CuDDy", 0.668116666666667)</f>
        <v>0.6681166667</v>
      </c>
      <c r="AH246" s="118">
        <f>HYPERLINK("https://docs.google.com/spreadsheets/d/1GxyEunj4Jlsf-qFJ5zlQcIYdNcVsTUbR", 6.99523333333333)</f>
        <v>6.995233333</v>
      </c>
      <c r="AI246" s="118">
        <f>HYPERLINK("https://docs.google.com/spreadsheets/d/1AAVOY5nQwA-pZ-g92BbKlmsMzLaRX6kd", 22.84885)</f>
        <v>22.84885</v>
      </c>
      <c r="AL246" s="118">
        <f>HYPERLINK("https://docs.google.com/spreadsheets/d/1owIaUSA24qzeG-0_F5_Vf0qJfbX2oQDk", 2.21685)</f>
        <v>2.21685</v>
      </c>
      <c r="AM246" s="118">
        <f>HYPERLINK("https://docs.google.com/spreadsheets/d/1dnDhAFB7EmUAR031j0zB8t67BDPVecg5", 8.8227)</f>
        <v>8.8227</v>
      </c>
      <c r="AN246" s="118">
        <f>HYPERLINK("https://docs.google.com/spreadsheets/d/1nEAnU-Vh1z5TDD1cUyin8yCVUlCwt_W7", 6.67961666666667)</f>
        <v>6.679616667</v>
      </c>
      <c r="AQ246" s="118">
        <f>HYPERLINK("https://docs.google.com/spreadsheets/d/1Ws4xqc9U4y3cbhrY9h7Dy_mSIMG4JqOs", 0.3239)</f>
        <v>0.3239</v>
      </c>
      <c r="AR246" s="118">
        <f>HYPERLINK("https://docs.google.com/spreadsheets/d/1jFI5E5U5rlucmk4lw4eR2Nmulgnzs8B8", 2.30451666666667)</f>
        <v>2.304516667</v>
      </c>
      <c r="AU246" s="118">
        <f>HYPERLINK("https://docs.google.com/spreadsheets/d/1MYVhFzB9xQ_ojZU4TXwZ-hEflY7eSaWA", 122.196216666667)</f>
        <v>122.1962167</v>
      </c>
    </row>
    <row r="247">
      <c r="A247" s="65" t="s">
        <v>35</v>
      </c>
      <c r="B247" s="65" t="s">
        <v>73</v>
      </c>
      <c r="C247" s="65"/>
      <c r="D247" s="64">
        <f t="shared" si="1"/>
        <v>279.93475</v>
      </c>
      <c r="G247" s="65">
        <v>0.405133333333333</v>
      </c>
      <c r="H247" s="65">
        <v>0.978616666666667</v>
      </c>
      <c r="I247" s="65">
        <v>21.7122833333333</v>
      </c>
      <c r="J247" s="65">
        <v>18.5649</v>
      </c>
      <c r="K247" s="65">
        <v>34.8742166666667</v>
      </c>
      <c r="N247" s="65">
        <v>1.68143333333333</v>
      </c>
      <c r="S247" s="65">
        <v>1.95163333333333</v>
      </c>
      <c r="T247" s="65">
        <v>44.1347333333333</v>
      </c>
      <c r="U247" s="65">
        <v>29.4989666666667</v>
      </c>
      <c r="Y247" s="65">
        <v>0.203716666666667</v>
      </c>
      <c r="Z247" s="65">
        <v>0.853283333333333</v>
      </c>
      <c r="AA247" s="65">
        <v>46.5079166666667</v>
      </c>
      <c r="AB247" s="65">
        <v>9.85961666666667</v>
      </c>
      <c r="AG247" s="65">
        <v>0.3395</v>
      </c>
      <c r="AH247" s="65">
        <v>4.13646666666667</v>
      </c>
      <c r="AI247" s="65">
        <v>4.8221</v>
      </c>
      <c r="AL247" s="65">
        <v>1.48371666666667</v>
      </c>
      <c r="AM247" s="65">
        <v>5.68131666666666</v>
      </c>
      <c r="AN247" s="65">
        <v>3.26393333333333</v>
      </c>
      <c r="AQ247" s="65">
        <v>0.3239</v>
      </c>
      <c r="AR247" s="65">
        <v>1.86853333333333</v>
      </c>
      <c r="AU247" s="65">
        <v>46.7888333333334</v>
      </c>
    </row>
    <row r="248">
      <c r="A248" s="119" t="s">
        <v>35</v>
      </c>
      <c r="B248" s="119" t="s">
        <v>73</v>
      </c>
      <c r="C248" s="119"/>
      <c r="D248" s="120">
        <f t="shared" si="1"/>
        <v>0</v>
      </c>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c r="AA248" s="120"/>
      <c r="AB248" s="120"/>
      <c r="AC248" s="120"/>
      <c r="AD248" s="120"/>
      <c r="AE248" s="120"/>
      <c r="AF248" s="120"/>
      <c r="AG248" s="120"/>
      <c r="AH248" s="120"/>
      <c r="AI248" s="120"/>
      <c r="AJ248" s="120"/>
      <c r="AK248" s="120"/>
      <c r="AL248" s="120"/>
      <c r="AM248" s="120"/>
      <c r="AN248" s="120"/>
      <c r="AO248" s="120"/>
      <c r="AP248" s="120"/>
      <c r="AQ248" s="120"/>
      <c r="AR248" s="120"/>
      <c r="AS248" s="120"/>
      <c r="AT248" s="120"/>
      <c r="AU248" s="120"/>
      <c r="AV248" s="120"/>
      <c r="AW248" s="120"/>
      <c r="AX248" s="120"/>
      <c r="AY248" s="120"/>
      <c r="AZ248" s="120"/>
      <c r="BA248" s="120"/>
      <c r="BB248" s="120"/>
      <c r="BC248" s="120"/>
      <c r="BD248" s="120"/>
      <c r="BE248" s="120"/>
      <c r="BF248" s="120"/>
      <c r="BG248" s="120"/>
      <c r="BH248" s="120"/>
      <c r="BI248" s="120"/>
      <c r="BJ248" s="120"/>
      <c r="BK248" s="120"/>
      <c r="BL248" s="120"/>
      <c r="BM248" s="120"/>
      <c r="BN248" s="120"/>
      <c r="BO248" s="120"/>
      <c r="BP248" s="120"/>
      <c r="BQ248" s="120"/>
      <c r="BR248" s="120"/>
      <c r="BS248" s="120"/>
      <c r="BT248" s="120"/>
      <c r="BU248" s="120"/>
      <c r="BV248" s="120"/>
      <c r="BW248" s="120"/>
      <c r="BX248" s="120"/>
      <c r="BY248" s="120"/>
      <c r="BZ248" s="120"/>
      <c r="CA248" s="120"/>
      <c r="CB248" s="120"/>
      <c r="CC248" s="120"/>
      <c r="CD248" s="120"/>
      <c r="CE248" s="120"/>
      <c r="CF248" s="120"/>
      <c r="CG248" s="120"/>
      <c r="CH248" s="120"/>
      <c r="CI248" s="120"/>
      <c r="CJ248" s="120"/>
      <c r="CK248" s="120"/>
      <c r="CL248" s="120"/>
      <c r="CM248" s="120"/>
      <c r="CN248" s="120"/>
      <c r="CO248" s="120"/>
      <c r="CP248" s="120"/>
      <c r="CQ248" s="120"/>
      <c r="CR248" s="120"/>
      <c r="CS248" s="120"/>
      <c r="CT248" s="120"/>
      <c r="CU248" s="120"/>
      <c r="CV248" s="120"/>
      <c r="CW248" s="120"/>
      <c r="CX248" s="120"/>
      <c r="CY248" s="120"/>
      <c r="CZ248" s="120"/>
      <c r="DA248" s="120"/>
      <c r="DB248" s="120"/>
      <c r="DC248" s="120"/>
      <c r="DD248" s="120"/>
      <c r="DE248" s="120"/>
      <c r="DF248" s="120"/>
      <c r="DG248" s="120"/>
      <c r="DH248" s="120"/>
      <c r="DI248" s="120"/>
      <c r="DJ248" s="120"/>
      <c r="DK248" s="120"/>
      <c r="DL248" s="120"/>
      <c r="DM248" s="120"/>
      <c r="DN248" s="120"/>
      <c r="DO248" s="120"/>
      <c r="DP248" s="120"/>
      <c r="DQ248" s="120"/>
      <c r="DR248" s="120"/>
      <c r="DS248" s="120"/>
      <c r="DT248" s="120"/>
      <c r="DU248" s="120"/>
      <c r="DV248" s="120"/>
      <c r="DW248" s="120"/>
      <c r="DX248" s="120"/>
      <c r="DY248" s="120"/>
      <c r="DZ248" s="120"/>
      <c r="EA248" s="120"/>
      <c r="EB248" s="120"/>
      <c r="EC248" s="120"/>
      <c r="ED248" s="120"/>
      <c r="EE248" s="120"/>
      <c r="EF248" s="120"/>
      <c r="EG248" s="120"/>
      <c r="EH248" s="120"/>
      <c r="EI248" s="120"/>
      <c r="EJ248" s="120"/>
      <c r="EK248" s="120"/>
      <c r="EL248" s="120"/>
      <c r="EM248" s="120"/>
      <c r="EN248" s="120"/>
      <c r="EO248" s="120"/>
      <c r="EP248" s="120"/>
      <c r="EQ248" s="120"/>
      <c r="ER248" s="120"/>
      <c r="ES248" s="120"/>
      <c r="ET248" s="120"/>
      <c r="EU248" s="120"/>
      <c r="EV248" s="120"/>
      <c r="EW248" s="120"/>
      <c r="EX248" s="120"/>
      <c r="EY248" s="120"/>
      <c r="EZ248" s="120"/>
      <c r="FA248" s="120"/>
      <c r="FB248" s="120"/>
      <c r="FC248" s="120"/>
      <c r="FD248" s="120"/>
      <c r="FE248" s="120"/>
      <c r="FF248" s="120"/>
      <c r="FG248" s="120"/>
      <c r="FH248" s="120"/>
      <c r="FI248" s="120"/>
      <c r="FJ248" s="120"/>
      <c r="FK248" s="120"/>
      <c r="FL248" s="120"/>
      <c r="FM248" s="120"/>
      <c r="FN248" s="120"/>
      <c r="FO248" s="120"/>
      <c r="FP248" s="120"/>
      <c r="FQ248" s="120"/>
      <c r="FR248" s="120"/>
      <c r="FS248" s="120"/>
      <c r="FT248" s="120"/>
      <c r="FU248" s="120"/>
      <c r="FV248" s="120"/>
      <c r="FW248" s="120"/>
      <c r="FX248" s="120"/>
      <c r="FY248" s="120"/>
      <c r="FZ248" s="120"/>
      <c r="GA248" s="120"/>
      <c r="GB248" s="120"/>
      <c r="GC248" s="120"/>
      <c r="GD248" s="120"/>
      <c r="GE248" s="120"/>
      <c r="GF248" s="120"/>
      <c r="GG248" s="120"/>
      <c r="GH248" s="120"/>
      <c r="GI248" s="120"/>
      <c r="GJ248" s="120"/>
      <c r="GK248" s="120"/>
      <c r="GL248" s="120"/>
      <c r="GM248" s="120"/>
      <c r="GN248" s="120"/>
      <c r="GO248" s="120"/>
      <c r="GP248" s="120"/>
      <c r="GQ248" s="120"/>
      <c r="GR248" s="120"/>
      <c r="GS248" s="120"/>
      <c r="GT248" s="120"/>
      <c r="GU248" s="120"/>
      <c r="GV248" s="120"/>
      <c r="GW248" s="120"/>
      <c r="GX248" s="120"/>
      <c r="GY248" s="120"/>
      <c r="GZ248" s="120"/>
      <c r="HA248" s="120"/>
      <c r="HB248" s="120"/>
      <c r="HC248" s="120"/>
      <c r="HD248" s="120"/>
      <c r="HE248" s="120"/>
      <c r="HF248" s="120"/>
      <c r="HG248" s="120"/>
      <c r="HH248" s="120"/>
      <c r="HI248" s="120"/>
      <c r="HJ248" s="120"/>
      <c r="HK248" s="120"/>
      <c r="HL248" s="120"/>
      <c r="HM248" s="120"/>
      <c r="HN248" s="120"/>
      <c r="HO248" s="120"/>
      <c r="HP248" s="120"/>
      <c r="HQ248" s="120"/>
      <c r="HR248" s="120"/>
      <c r="HS248" s="120"/>
      <c r="HT248" s="120"/>
      <c r="HU248" s="120"/>
      <c r="HV248" s="120"/>
      <c r="HW248" s="120"/>
      <c r="HX248" s="120"/>
      <c r="HY248" s="120"/>
      <c r="HZ248" s="120"/>
      <c r="IA248" s="120"/>
      <c r="IB248" s="120"/>
      <c r="IC248" s="120"/>
      <c r="ID248" s="120"/>
      <c r="IE248" s="120"/>
      <c r="IF248" s="120"/>
      <c r="IG248" s="120"/>
      <c r="IH248" s="120"/>
      <c r="II248" s="120"/>
      <c r="IJ248" s="120"/>
      <c r="IK248" s="120"/>
      <c r="IL248" s="120"/>
      <c r="IM248" s="120"/>
      <c r="IN248" s="120"/>
      <c r="IO248" s="120"/>
      <c r="IP248" s="120"/>
      <c r="IQ248" s="120"/>
      <c r="IR248" s="120"/>
      <c r="IS248" s="120"/>
      <c r="IT248" s="120"/>
      <c r="IU248" s="120"/>
      <c r="IV248" s="120"/>
      <c r="IW248" s="120"/>
      <c r="IX248" s="120"/>
      <c r="IY248" s="120"/>
      <c r="IZ248" s="120"/>
      <c r="JA248" s="120"/>
      <c r="JB248" s="120"/>
      <c r="JC248" s="120"/>
      <c r="JD248" s="120"/>
      <c r="JE248" s="120"/>
      <c r="JF248" s="120"/>
      <c r="JG248" s="120"/>
      <c r="JH248" s="120"/>
      <c r="JI248" s="120"/>
      <c r="JJ248" s="120"/>
      <c r="JK248" s="120"/>
      <c r="JL248" s="120"/>
      <c r="JM248" s="120"/>
      <c r="JN248" s="120"/>
      <c r="JO248" s="120"/>
      <c r="JP248" s="120"/>
      <c r="JQ248" s="120"/>
      <c r="JR248" s="120"/>
      <c r="JS248" s="120"/>
      <c r="JT248" s="120"/>
      <c r="JU248" s="120"/>
      <c r="JV248" s="120"/>
      <c r="JW248" s="120"/>
      <c r="JX248" s="120"/>
      <c r="JY248" s="120"/>
      <c r="JZ248" s="120"/>
      <c r="KA248" s="120"/>
      <c r="KB248" s="120"/>
      <c r="KC248" s="120"/>
      <c r="KD248" s="120"/>
      <c r="KE248" s="120"/>
      <c r="KF248" s="120"/>
      <c r="KG248" s="120"/>
      <c r="KH248" s="120"/>
      <c r="KI248" s="120"/>
      <c r="KJ248" s="120"/>
      <c r="KK248" s="120"/>
      <c r="KL248" s="120"/>
      <c r="KM248" s="120"/>
      <c r="KN248" s="120"/>
      <c r="KO248" s="120"/>
      <c r="KP248" s="120"/>
      <c r="KQ248" s="120"/>
      <c r="KR248" s="120"/>
      <c r="KS248" s="120"/>
      <c r="KT248" s="120"/>
      <c r="KU248" s="120"/>
      <c r="KV248" s="120"/>
      <c r="KW248" s="120"/>
      <c r="KX248" s="120"/>
      <c r="KY248" s="120"/>
      <c r="KZ248" s="120"/>
      <c r="LA248" s="120"/>
      <c r="LB248" s="120"/>
      <c r="LC248" s="120"/>
      <c r="LD248" s="120"/>
      <c r="LE248" s="120"/>
      <c r="LF248" s="120"/>
      <c r="LG248" s="120"/>
      <c r="LH248" s="120"/>
      <c r="LI248" s="120"/>
      <c r="LJ248" s="120"/>
      <c r="LK248" s="120"/>
      <c r="LL248" s="120"/>
      <c r="LM248" s="120"/>
      <c r="LN248" s="120"/>
      <c r="LO248" s="120"/>
      <c r="LP248" s="120"/>
      <c r="LQ248" s="120"/>
      <c r="LR248" s="120"/>
      <c r="LS248" s="120"/>
      <c r="LT248" s="120"/>
      <c r="LU248" s="120"/>
      <c r="LV248" s="120"/>
      <c r="LW248" s="120"/>
      <c r="LX248" s="120"/>
      <c r="LY248" s="120"/>
      <c r="LZ248" s="120"/>
      <c r="MA248" s="120"/>
      <c r="MB248" s="120"/>
      <c r="MC248" s="120"/>
      <c r="MD248" s="120"/>
      <c r="ME248" s="120"/>
      <c r="MF248" s="120"/>
      <c r="MG248" s="120"/>
      <c r="MH248" s="120"/>
      <c r="MI248" s="120"/>
      <c r="MJ248" s="120"/>
      <c r="MK248" s="120"/>
      <c r="ML248" s="120"/>
      <c r="MM248" s="120"/>
      <c r="MN248" s="120"/>
      <c r="MO248" s="120"/>
      <c r="MP248" s="120"/>
      <c r="MQ248" s="120"/>
      <c r="MR248" s="120"/>
      <c r="MS248" s="120"/>
      <c r="MT248" s="120"/>
      <c r="MU248" s="120"/>
      <c r="MV248" s="120"/>
      <c r="MW248" s="120"/>
      <c r="MX248" s="120"/>
      <c r="MY248" s="120"/>
      <c r="MZ248" s="120"/>
      <c r="NA248" s="120"/>
      <c r="NB248" s="120"/>
      <c r="NC248" s="120"/>
      <c r="ND248" s="120"/>
      <c r="NE248" s="120"/>
      <c r="NF248" s="120"/>
      <c r="NG248" s="120"/>
      <c r="NH248" s="120"/>
      <c r="NI248" s="120"/>
      <c r="NJ248" s="120"/>
      <c r="NK248" s="120"/>
      <c r="NL248" s="120"/>
      <c r="NM248" s="120"/>
      <c r="NN248" s="120"/>
      <c r="NO248" s="120"/>
      <c r="NP248" s="120"/>
      <c r="NQ248" s="120"/>
      <c r="NR248" s="120"/>
      <c r="NS248" s="120"/>
      <c r="NT248" s="120"/>
      <c r="NU248" s="120"/>
      <c r="NV248" s="120"/>
      <c r="NW248" s="120"/>
      <c r="NX248" s="120"/>
      <c r="NY248" s="120"/>
      <c r="NZ248" s="120"/>
      <c r="OA248" s="120"/>
      <c r="OB248" s="120"/>
      <c r="OC248" s="120"/>
      <c r="OD248" s="120"/>
      <c r="OE248" s="120"/>
      <c r="OF248" s="120"/>
      <c r="OG248" s="120"/>
      <c r="OH248" s="120"/>
      <c r="OI248" s="120"/>
      <c r="OJ248" s="120"/>
      <c r="OK248" s="120"/>
      <c r="OL248" s="120"/>
      <c r="OM248" s="120"/>
      <c r="ON248" s="120"/>
      <c r="OO248" s="120"/>
      <c r="OP248" s="120"/>
      <c r="OQ248" s="120"/>
      <c r="OR248" s="120"/>
      <c r="OS248" s="120"/>
      <c r="OT248" s="120"/>
      <c r="OU248" s="120"/>
      <c r="OV248" s="120"/>
      <c r="OW248" s="120"/>
      <c r="OX248" s="120"/>
      <c r="OY248" s="120"/>
      <c r="OZ248" s="120"/>
      <c r="PA248" s="120"/>
      <c r="PB248" s="120"/>
      <c r="PC248" s="120"/>
      <c r="PD248" s="120"/>
      <c r="PE248" s="120"/>
      <c r="PF248" s="120"/>
      <c r="PG248" s="120"/>
      <c r="PH248" s="120"/>
      <c r="PI248" s="120"/>
      <c r="PJ248" s="120"/>
      <c r="PK248" s="120"/>
      <c r="PL248" s="120"/>
      <c r="PM248" s="120"/>
      <c r="PN248" s="120"/>
      <c r="PO248" s="120"/>
      <c r="PP248" s="120"/>
      <c r="PQ248" s="120"/>
      <c r="PR248" s="120"/>
      <c r="PS248" s="120"/>
      <c r="PT248" s="120"/>
      <c r="PU248" s="120"/>
      <c r="PV248" s="120"/>
      <c r="PW248" s="120"/>
      <c r="PX248" s="120"/>
      <c r="PY248" s="120"/>
      <c r="PZ248" s="120"/>
      <c r="QA248" s="120"/>
      <c r="QB248" s="120"/>
      <c r="QC248" s="120"/>
      <c r="QD248" s="120"/>
      <c r="QE248" s="120"/>
      <c r="QF248" s="120"/>
      <c r="QG248" s="120"/>
      <c r="QH248" s="120"/>
      <c r="QI248" s="120"/>
      <c r="QJ248" s="120"/>
      <c r="QK248" s="120"/>
      <c r="QL248" s="120"/>
      <c r="QM248" s="120"/>
      <c r="QN248" s="120"/>
      <c r="QO248" s="120"/>
      <c r="QP248" s="120"/>
      <c r="QQ248" s="120"/>
      <c r="QR248" s="120"/>
      <c r="QS248" s="120"/>
      <c r="QT248" s="120"/>
      <c r="QU248" s="120"/>
      <c r="QV248" s="120"/>
      <c r="QW248" s="120"/>
      <c r="QX248" s="120"/>
      <c r="QY248" s="120"/>
      <c r="QZ248" s="120"/>
      <c r="RA248" s="120"/>
      <c r="RB248" s="120"/>
      <c r="RC248" s="120"/>
      <c r="RD248" s="120"/>
      <c r="RE248" s="120"/>
      <c r="RF248" s="120"/>
      <c r="RG248" s="120"/>
      <c r="RH248" s="120"/>
      <c r="RI248" s="120"/>
      <c r="RJ248" s="120"/>
      <c r="RK248" s="120"/>
      <c r="RL248" s="120"/>
      <c r="RM248" s="120"/>
      <c r="RN248" s="120"/>
      <c r="RO248" s="120"/>
      <c r="RP248" s="120"/>
      <c r="RQ248" s="120"/>
      <c r="RR248" s="120"/>
      <c r="RS248" s="120"/>
      <c r="RT248" s="120"/>
      <c r="RU248" s="120"/>
      <c r="RV248" s="120"/>
      <c r="RW248" s="120"/>
      <c r="RX248" s="120"/>
      <c r="RY248" s="120"/>
      <c r="RZ248" s="120"/>
      <c r="SA248" s="120"/>
      <c r="SB248" s="120"/>
      <c r="SC248" s="120"/>
      <c r="SD248" s="120"/>
      <c r="SE248" s="120"/>
      <c r="SF248" s="120"/>
      <c r="SG248" s="120"/>
      <c r="SH248" s="120"/>
      <c r="SI248" s="120"/>
      <c r="SJ248" s="120"/>
      <c r="SK248" s="120"/>
      <c r="SL248" s="120"/>
      <c r="SM248" s="120"/>
      <c r="SN248" s="120"/>
      <c r="SO248" s="120"/>
      <c r="SP248" s="120"/>
      <c r="SQ248" s="120"/>
      <c r="SR248" s="120"/>
      <c r="SS248" s="120"/>
      <c r="ST248" s="120"/>
      <c r="SU248" s="120"/>
      <c r="SV248" s="120"/>
      <c r="SW248" s="120"/>
      <c r="SX248" s="120"/>
      <c r="SY248" s="120"/>
      <c r="SZ248" s="120"/>
      <c r="TA248" s="120"/>
      <c r="TB248" s="120"/>
      <c r="TC248" s="120"/>
      <c r="TD248" s="120"/>
      <c r="TE248" s="120"/>
      <c r="TF248" s="120"/>
      <c r="TG248" s="120"/>
      <c r="TH248" s="120"/>
      <c r="TI248" s="120"/>
      <c r="TJ248" s="120"/>
      <c r="TK248" s="120"/>
      <c r="TL248" s="120"/>
      <c r="TM248" s="120"/>
      <c r="TN248" s="120"/>
      <c r="TO248" s="120"/>
      <c r="TP248" s="120"/>
      <c r="TQ248" s="120"/>
      <c r="TR248" s="120"/>
      <c r="TS248" s="120"/>
      <c r="TT248" s="120"/>
      <c r="TU248" s="120"/>
      <c r="TV248" s="120"/>
      <c r="TW248" s="120"/>
      <c r="TX248" s="120"/>
      <c r="TY248" s="120"/>
      <c r="TZ248" s="120"/>
      <c r="UA248" s="120"/>
      <c r="UB248" s="120"/>
      <c r="UC248" s="120"/>
      <c r="UD248" s="120"/>
      <c r="UE248" s="120"/>
      <c r="UF248" s="120"/>
      <c r="UG248" s="120"/>
      <c r="UH248" s="120"/>
      <c r="UI248" s="120"/>
      <c r="UJ248" s="120"/>
      <c r="UK248" s="120"/>
      <c r="UL248" s="120"/>
      <c r="UM248" s="120"/>
      <c r="UN248" s="120"/>
      <c r="UO248" s="120"/>
      <c r="UP248" s="120"/>
      <c r="UQ248" s="120"/>
      <c r="UR248" s="120"/>
      <c r="US248" s="120"/>
      <c r="UT248" s="120"/>
      <c r="UU248" s="120"/>
      <c r="UV248" s="120"/>
      <c r="UW248" s="120"/>
      <c r="UX248" s="120"/>
      <c r="UY248" s="120"/>
      <c r="UZ248" s="120"/>
      <c r="VA248" s="120"/>
      <c r="VB248" s="120"/>
      <c r="VC248" s="120"/>
      <c r="VD248" s="120"/>
      <c r="VE248" s="120"/>
      <c r="VF248" s="120"/>
      <c r="VG248" s="120"/>
      <c r="VH248" s="120"/>
      <c r="VI248" s="120"/>
      <c r="VJ248" s="120"/>
      <c r="VK248" s="120"/>
      <c r="VL248" s="120"/>
      <c r="VM248" s="120"/>
      <c r="VN248" s="120"/>
      <c r="VO248" s="120"/>
      <c r="VP248" s="120"/>
      <c r="VQ248" s="120"/>
      <c r="VR248" s="120"/>
      <c r="VS248" s="120"/>
      <c r="VT248" s="120"/>
      <c r="VU248" s="120"/>
      <c r="VV248" s="120"/>
      <c r="VW248" s="120"/>
      <c r="VX248" s="120"/>
      <c r="VY248" s="120"/>
      <c r="VZ248" s="120"/>
      <c r="WA248" s="120"/>
      <c r="WB248" s="120"/>
      <c r="WC248" s="120"/>
      <c r="WD248" s="120"/>
      <c r="WE248" s="120"/>
      <c r="WF248" s="120"/>
      <c r="WG248" s="120"/>
      <c r="WH248" s="120"/>
      <c r="WI248" s="120"/>
      <c r="WJ248" s="120"/>
      <c r="WK248" s="120"/>
      <c r="WL248" s="120"/>
      <c r="WM248" s="120"/>
      <c r="WN248" s="120"/>
      <c r="WO248" s="120"/>
      <c r="WP248" s="120"/>
      <c r="WQ248" s="120"/>
      <c r="WR248" s="120"/>
      <c r="WS248" s="120"/>
      <c r="WT248" s="120"/>
      <c r="WU248" s="120"/>
      <c r="WV248" s="120"/>
      <c r="WW248" s="120"/>
      <c r="WX248" s="120"/>
      <c r="WY248" s="120"/>
      <c r="WZ248" s="120"/>
      <c r="XA248" s="120"/>
      <c r="XB248" s="120"/>
      <c r="XC248" s="120"/>
      <c r="XD248" s="120"/>
      <c r="XE248" s="120"/>
      <c r="XF248" s="120"/>
      <c r="XG248" s="120"/>
      <c r="XH248" s="120"/>
      <c r="XI248" s="120"/>
      <c r="XJ248" s="120"/>
      <c r="XK248" s="120"/>
      <c r="XL248" s="120"/>
      <c r="XM248" s="120"/>
      <c r="XN248" s="120"/>
      <c r="XO248" s="120"/>
      <c r="XP248" s="120"/>
      <c r="XQ248" s="120"/>
      <c r="XR248" s="120"/>
      <c r="XS248" s="120"/>
      <c r="XT248" s="120"/>
      <c r="XU248" s="120"/>
      <c r="XV248" s="120"/>
      <c r="XW248" s="120"/>
      <c r="XX248" s="120"/>
      <c r="XY248" s="120"/>
      <c r="XZ248" s="120"/>
      <c r="YA248" s="120"/>
      <c r="YB248" s="120"/>
      <c r="YC248" s="120"/>
      <c r="YD248" s="120"/>
      <c r="YE248" s="120"/>
      <c r="YF248" s="120"/>
      <c r="YG248" s="120"/>
      <c r="YH248" s="120"/>
      <c r="YI248" s="120"/>
      <c r="YJ248" s="120"/>
      <c r="YK248" s="120"/>
      <c r="YL248" s="120"/>
      <c r="YM248" s="120"/>
      <c r="YN248" s="120"/>
      <c r="YO248" s="120"/>
      <c r="YP248" s="120"/>
      <c r="YQ248" s="120"/>
      <c r="YR248" s="120"/>
      <c r="YS248" s="120"/>
      <c r="YT248" s="120"/>
      <c r="YU248" s="120"/>
      <c r="YV248" s="120"/>
      <c r="YW248" s="120"/>
      <c r="YX248" s="120"/>
      <c r="YY248" s="120"/>
      <c r="YZ248" s="120"/>
      <c r="ZA248" s="120"/>
      <c r="ZB248" s="120"/>
      <c r="ZC248" s="120"/>
      <c r="ZD248" s="120"/>
      <c r="ZE248" s="120"/>
      <c r="ZF248" s="120"/>
      <c r="ZG248" s="120"/>
      <c r="ZH248" s="120"/>
      <c r="ZI248" s="120"/>
      <c r="ZJ248" s="120"/>
      <c r="ZK248" s="120"/>
      <c r="ZL248" s="120"/>
      <c r="ZM248" s="120"/>
      <c r="ZN248" s="120"/>
      <c r="ZO248" s="120"/>
      <c r="ZP248" s="120"/>
      <c r="ZQ248" s="120"/>
      <c r="ZR248" s="120"/>
      <c r="ZS248" s="120"/>
      <c r="ZT248" s="120"/>
      <c r="ZU248" s="120"/>
      <c r="ZV248" s="120"/>
      <c r="ZW248" s="120"/>
      <c r="ZX248" s="120"/>
      <c r="ZY248" s="120"/>
      <c r="ZZ248" s="120"/>
      <c r="AAA248" s="120"/>
      <c r="AAB248" s="120"/>
      <c r="AAC248" s="120"/>
      <c r="AAD248" s="120"/>
      <c r="AAE248" s="120"/>
      <c r="AAF248" s="120"/>
      <c r="AAG248" s="120"/>
      <c r="AAH248" s="120"/>
      <c r="AAI248" s="120"/>
      <c r="AAJ248" s="120"/>
      <c r="AAK248" s="120"/>
      <c r="AAL248" s="120"/>
      <c r="AAM248" s="120"/>
      <c r="AAN248" s="120"/>
      <c r="AAO248" s="120"/>
      <c r="AAP248" s="120"/>
      <c r="AAQ248" s="120"/>
      <c r="AAR248" s="120"/>
      <c r="AAS248" s="120"/>
      <c r="AAT248" s="120"/>
      <c r="AAU248" s="120"/>
      <c r="AAV248" s="120"/>
      <c r="AAW248" s="120"/>
      <c r="AAX248" s="120"/>
      <c r="AAY248" s="120"/>
      <c r="AAZ248" s="120"/>
      <c r="ABA248" s="120"/>
      <c r="ABB248" s="120"/>
      <c r="ABC248" s="120"/>
      <c r="ABD248" s="120"/>
      <c r="ABE248" s="120"/>
      <c r="ABF248" s="120"/>
      <c r="ABG248" s="120"/>
      <c r="ABH248" s="120"/>
      <c r="ABI248" s="120"/>
      <c r="ABJ248" s="120"/>
      <c r="ABK248" s="120"/>
      <c r="ABL248" s="120"/>
      <c r="ABM248" s="120"/>
      <c r="ABN248" s="120"/>
      <c r="ABO248" s="120"/>
      <c r="ABP248" s="120"/>
      <c r="ABQ248" s="120"/>
      <c r="ABR248" s="120"/>
      <c r="ABS248" s="120"/>
      <c r="ABT248" s="120"/>
      <c r="ABU248" s="120"/>
      <c r="ABV248" s="120"/>
      <c r="ABW248" s="120"/>
      <c r="ABX248" s="120"/>
      <c r="ABY248" s="120"/>
      <c r="ABZ248" s="120"/>
      <c r="ACA248" s="120"/>
      <c r="ACB248" s="120"/>
      <c r="ACC248" s="120"/>
      <c r="ACD248" s="120"/>
      <c r="ACE248" s="120"/>
      <c r="ACF248" s="120"/>
      <c r="ACG248" s="120"/>
      <c r="ACH248" s="120"/>
      <c r="ACI248" s="120"/>
      <c r="ACJ248" s="120"/>
      <c r="ACK248" s="120"/>
      <c r="ACL248" s="120"/>
      <c r="ACM248" s="120"/>
      <c r="ACN248" s="120"/>
      <c r="ACO248" s="120"/>
      <c r="ACP248" s="120"/>
      <c r="ACQ248" s="120"/>
      <c r="ACR248" s="120"/>
      <c r="ACS248" s="120"/>
      <c r="ACT248" s="120"/>
      <c r="ACU248" s="120"/>
      <c r="ACV248" s="120"/>
      <c r="ACW248" s="120"/>
      <c r="ACX248" s="120"/>
      <c r="ACY248" s="120"/>
      <c r="ACZ248" s="120"/>
      <c r="ADA248" s="120"/>
      <c r="ADB248" s="120"/>
      <c r="ADC248" s="120"/>
      <c r="ADD248" s="120"/>
      <c r="ADE248" s="120"/>
      <c r="ADF248" s="120"/>
      <c r="ADG248" s="120"/>
      <c r="ADH248" s="120"/>
      <c r="ADI248" s="120"/>
      <c r="ADJ248" s="120"/>
      <c r="ADK248" s="120"/>
      <c r="ADL248" s="120"/>
      <c r="ADM248" s="120"/>
      <c r="ADN248" s="120"/>
      <c r="ADO248" s="120"/>
      <c r="ADP248" s="120"/>
      <c r="ADQ248" s="120"/>
      <c r="ADR248" s="120"/>
      <c r="ADS248" s="120"/>
      <c r="ADT248" s="120"/>
      <c r="ADU248" s="120"/>
      <c r="ADV248" s="120"/>
      <c r="ADW248" s="120"/>
      <c r="ADX248" s="120"/>
      <c r="ADY248" s="120"/>
      <c r="ADZ248" s="120"/>
      <c r="AEA248" s="120"/>
      <c r="AEB248" s="120"/>
      <c r="AEC248" s="120"/>
      <c r="AED248" s="120"/>
      <c r="AEE248" s="120"/>
      <c r="AEF248" s="120"/>
      <c r="AEG248" s="120"/>
      <c r="AEH248" s="120"/>
      <c r="AEI248" s="120"/>
      <c r="AEJ248" s="120"/>
      <c r="AEK248" s="120"/>
      <c r="AEL248" s="120"/>
      <c r="AEM248" s="120"/>
      <c r="AEN248" s="120"/>
      <c r="AEO248" s="120"/>
      <c r="AEP248" s="120"/>
      <c r="AEQ248" s="120"/>
      <c r="AER248" s="120"/>
      <c r="AES248" s="120"/>
      <c r="AET248" s="120"/>
      <c r="AEU248" s="120"/>
      <c r="AEV248" s="120"/>
      <c r="AEW248" s="120"/>
      <c r="AEX248" s="120"/>
      <c r="AEY248" s="120"/>
      <c r="AEZ248" s="120"/>
      <c r="AFA248" s="120"/>
      <c r="AFB248" s="120"/>
      <c r="AFC248" s="120"/>
      <c r="AFD248" s="120"/>
      <c r="AFE248" s="120"/>
      <c r="AFF248" s="120"/>
      <c r="AFG248" s="120"/>
      <c r="AFH248" s="120"/>
      <c r="AFI248" s="120"/>
      <c r="AFJ248" s="120"/>
      <c r="AFK248" s="120"/>
      <c r="AFL248" s="120"/>
      <c r="AFM248" s="120"/>
      <c r="AFN248" s="120"/>
      <c r="AFO248" s="120"/>
      <c r="AFP248" s="120"/>
      <c r="AFQ248" s="120"/>
      <c r="AFR248" s="120"/>
      <c r="AFS248" s="120"/>
      <c r="AFT248" s="120"/>
      <c r="AFU248" s="120"/>
      <c r="AFV248" s="120"/>
      <c r="AFW248" s="120"/>
      <c r="AFX248" s="120"/>
      <c r="AFY248" s="120"/>
      <c r="AFZ248" s="120"/>
      <c r="AGA248" s="120"/>
      <c r="AGB248" s="120"/>
      <c r="AGC248" s="120"/>
      <c r="AGD248" s="120"/>
      <c r="AGE248" s="120"/>
      <c r="AGF248" s="120"/>
      <c r="AGG248" s="120"/>
      <c r="AGH248" s="120"/>
      <c r="AGI248" s="120"/>
      <c r="AGJ248" s="120"/>
      <c r="AGK248" s="120"/>
      <c r="AGL248" s="120"/>
      <c r="AGM248" s="120"/>
      <c r="AGN248" s="120"/>
      <c r="AGO248" s="120"/>
      <c r="AGP248" s="120"/>
      <c r="AGQ248" s="120"/>
      <c r="AGR248" s="120"/>
      <c r="AGS248" s="120"/>
      <c r="AGT248" s="120"/>
      <c r="AGU248" s="120"/>
      <c r="AGV248" s="120"/>
      <c r="AGW248" s="120"/>
      <c r="AGX248" s="120"/>
      <c r="AGY248" s="120"/>
      <c r="AGZ248" s="120"/>
      <c r="AHA248" s="120"/>
      <c r="AHB248" s="120"/>
      <c r="AHC248" s="120"/>
      <c r="AHD248" s="120"/>
      <c r="AHE248" s="120"/>
      <c r="AHF248" s="120"/>
      <c r="AHG248" s="120"/>
      <c r="AHH248" s="120"/>
      <c r="AHI248" s="120"/>
      <c r="AHJ248" s="120"/>
      <c r="AHK248" s="120"/>
      <c r="AHL248" s="120"/>
      <c r="AHM248" s="120"/>
      <c r="AHN248" s="120"/>
      <c r="AHO248" s="120"/>
      <c r="AHP248" s="120"/>
      <c r="AHQ248" s="120"/>
      <c r="AHR248" s="120"/>
      <c r="AHS248" s="120"/>
      <c r="AHT248" s="120"/>
      <c r="AHU248" s="120"/>
      <c r="AHV248" s="120"/>
      <c r="AHW248" s="120"/>
      <c r="AHX248" s="120"/>
      <c r="AHY248" s="120"/>
      <c r="AHZ248" s="120"/>
      <c r="AIA248" s="120"/>
      <c r="AIB248" s="120"/>
      <c r="AIC248" s="120"/>
      <c r="AID248" s="120"/>
      <c r="AIE248" s="120"/>
      <c r="AIF248" s="120"/>
      <c r="AIG248" s="120"/>
      <c r="AIH248" s="120"/>
      <c r="AII248" s="120"/>
      <c r="AIJ248" s="120"/>
      <c r="AIK248" s="120"/>
      <c r="AIL248" s="120"/>
      <c r="AIM248" s="120"/>
      <c r="AIN248" s="120"/>
      <c r="AIO248" s="120"/>
      <c r="AIP248" s="120"/>
      <c r="AIQ248" s="120"/>
      <c r="AIR248" s="120"/>
      <c r="AIS248" s="120"/>
      <c r="AIT248" s="120"/>
      <c r="AIU248" s="120"/>
      <c r="AIV248" s="120"/>
      <c r="AIW248" s="120"/>
      <c r="AIX248" s="120"/>
      <c r="AIY248" s="120"/>
      <c r="AIZ248" s="120"/>
    </row>
    <row r="249">
      <c r="A249" s="112" t="s">
        <v>35</v>
      </c>
      <c r="B249" s="112" t="s">
        <v>74</v>
      </c>
      <c r="C249" s="112"/>
      <c r="D249" s="113">
        <f t="shared" si="1"/>
        <v>581.0333333</v>
      </c>
      <c r="E249" s="112">
        <v>98.7424499999999</v>
      </c>
      <c r="F249" s="113"/>
      <c r="G249" s="113"/>
      <c r="H249" s="113"/>
      <c r="I249" s="113"/>
      <c r="J249" s="113"/>
      <c r="K249" s="113"/>
      <c r="L249" s="112">
        <v>1.38685</v>
      </c>
      <c r="M249" s="112">
        <v>16.62375</v>
      </c>
      <c r="N249" s="113"/>
      <c r="O249" s="113"/>
      <c r="P249" s="112">
        <v>117.0941</v>
      </c>
      <c r="Q249" s="113"/>
      <c r="R249" s="113"/>
      <c r="S249" s="113"/>
      <c r="T249" s="113"/>
      <c r="U249" s="113"/>
      <c r="V249" s="112">
        <v>2.82881666666667</v>
      </c>
      <c r="W249" s="112">
        <v>111.43585</v>
      </c>
      <c r="X249" s="113"/>
      <c r="Y249" s="113"/>
      <c r="Z249" s="113"/>
      <c r="AA249" s="113"/>
      <c r="AB249" s="113"/>
      <c r="AC249" s="112">
        <v>3.03846666666667</v>
      </c>
      <c r="AD249" s="112">
        <v>24.6038333333333</v>
      </c>
      <c r="AE249" s="113"/>
      <c r="AF249" s="113"/>
      <c r="AG249" s="113"/>
      <c r="AH249" s="113"/>
      <c r="AI249" s="113"/>
      <c r="AJ249" s="112">
        <v>1.15128333333333</v>
      </c>
      <c r="AK249" s="112">
        <v>30.30265</v>
      </c>
      <c r="AL249" s="113"/>
      <c r="AM249" s="113"/>
      <c r="AN249" s="113"/>
      <c r="AO249" s="112">
        <v>2.13885</v>
      </c>
      <c r="AP249" s="112">
        <v>5.1796</v>
      </c>
      <c r="AQ249" s="113"/>
      <c r="AR249" s="113"/>
      <c r="AS249" s="112">
        <v>0.180266666666667</v>
      </c>
      <c r="AT249" s="112">
        <v>162.474666666667</v>
      </c>
      <c r="AU249" s="113"/>
      <c r="AV249" s="112">
        <v>3.38535</v>
      </c>
      <c r="AW249" s="112">
        <v>0.46655</v>
      </c>
      <c r="AX249" s="113"/>
      <c r="AY249" s="113"/>
      <c r="AZ249" s="113"/>
      <c r="BA249" s="113"/>
      <c r="BB249" s="113"/>
      <c r="BC249" s="113"/>
      <c r="BD249" s="113"/>
      <c r="BE249" s="113"/>
      <c r="BF249" s="113"/>
      <c r="BG249" s="113"/>
      <c r="BH249" s="113"/>
      <c r="BI249" s="113"/>
      <c r="BJ249" s="113"/>
      <c r="BK249" s="113"/>
      <c r="BL249" s="113"/>
      <c r="BM249" s="113"/>
      <c r="BN249" s="113"/>
      <c r="BO249" s="113"/>
      <c r="BP249" s="113"/>
      <c r="BQ249" s="113"/>
      <c r="BR249" s="113"/>
      <c r="BS249" s="113"/>
      <c r="BT249" s="113"/>
      <c r="BU249" s="113"/>
      <c r="BV249" s="113"/>
      <c r="BW249" s="113"/>
      <c r="BX249" s="113"/>
      <c r="BY249" s="113"/>
      <c r="BZ249" s="113"/>
      <c r="CA249" s="113"/>
      <c r="CB249" s="113"/>
      <c r="CC249" s="113"/>
      <c r="CD249" s="113"/>
      <c r="CE249" s="113"/>
      <c r="CF249" s="113"/>
      <c r="CG249" s="113"/>
      <c r="CH249" s="113"/>
      <c r="CI249" s="113"/>
      <c r="CJ249" s="113"/>
      <c r="CK249" s="113"/>
      <c r="CL249" s="113"/>
      <c r="CM249" s="113"/>
      <c r="CN249" s="113"/>
      <c r="CO249" s="113"/>
      <c r="CP249" s="113"/>
      <c r="CQ249" s="113"/>
      <c r="CR249" s="113"/>
      <c r="CS249" s="113"/>
      <c r="CT249" s="113"/>
      <c r="CU249" s="113"/>
      <c r="CV249" s="113"/>
      <c r="CW249" s="113"/>
      <c r="CX249" s="113"/>
      <c r="CY249" s="113"/>
      <c r="CZ249" s="113"/>
      <c r="DA249" s="113"/>
      <c r="DB249" s="113"/>
      <c r="DC249" s="113"/>
      <c r="DD249" s="113"/>
      <c r="DE249" s="113"/>
      <c r="DF249" s="113"/>
      <c r="DG249" s="113"/>
      <c r="DH249" s="113"/>
      <c r="DI249" s="113"/>
      <c r="DJ249" s="113"/>
      <c r="DK249" s="113"/>
      <c r="DL249" s="113"/>
      <c r="DM249" s="113"/>
      <c r="DN249" s="113"/>
      <c r="DO249" s="113"/>
      <c r="DP249" s="113"/>
      <c r="DQ249" s="113"/>
      <c r="DR249" s="113"/>
      <c r="DS249" s="113"/>
      <c r="DT249" s="113"/>
      <c r="DU249" s="113"/>
      <c r="DV249" s="113"/>
      <c r="DW249" s="113"/>
      <c r="DX249" s="113"/>
      <c r="DY249" s="113"/>
      <c r="DZ249" s="113"/>
      <c r="EA249" s="113"/>
      <c r="EB249" s="113"/>
      <c r="EC249" s="113"/>
      <c r="ED249" s="113"/>
      <c r="EE249" s="113"/>
      <c r="EF249" s="113"/>
      <c r="EG249" s="113"/>
      <c r="EH249" s="113"/>
      <c r="EI249" s="113"/>
      <c r="EJ249" s="113"/>
      <c r="EK249" s="113"/>
      <c r="EL249" s="113"/>
      <c r="EM249" s="113"/>
      <c r="EN249" s="113"/>
      <c r="EO249" s="113"/>
      <c r="EP249" s="113"/>
      <c r="EQ249" s="113"/>
      <c r="ER249" s="113"/>
      <c r="ES249" s="113"/>
      <c r="ET249" s="113"/>
      <c r="EU249" s="113"/>
      <c r="EV249" s="113"/>
      <c r="EW249" s="113"/>
      <c r="EX249" s="113"/>
      <c r="EY249" s="113"/>
      <c r="EZ249" s="113"/>
      <c r="FA249" s="113"/>
      <c r="FB249" s="113"/>
      <c r="FC249" s="113"/>
      <c r="FD249" s="113"/>
      <c r="FE249" s="113"/>
      <c r="FF249" s="113"/>
      <c r="FG249" s="113"/>
      <c r="FH249" s="113"/>
      <c r="FI249" s="113"/>
      <c r="FJ249" s="113"/>
      <c r="FK249" s="113"/>
      <c r="FL249" s="113"/>
      <c r="FM249" s="113"/>
      <c r="FN249" s="113"/>
      <c r="FO249" s="113"/>
      <c r="FP249" s="113"/>
      <c r="FQ249" s="113"/>
      <c r="FR249" s="113"/>
      <c r="FS249" s="113"/>
      <c r="FT249" s="113"/>
      <c r="FU249" s="113"/>
      <c r="FV249" s="113"/>
      <c r="FW249" s="113"/>
      <c r="FX249" s="113"/>
      <c r="FY249" s="113"/>
      <c r="FZ249" s="113"/>
      <c r="GA249" s="113"/>
      <c r="GB249" s="113"/>
      <c r="GC249" s="113"/>
      <c r="GD249" s="113"/>
      <c r="GE249" s="113"/>
      <c r="GF249" s="113"/>
      <c r="GG249" s="113"/>
      <c r="GH249" s="113"/>
      <c r="GI249" s="113"/>
      <c r="GJ249" s="113"/>
      <c r="GK249" s="113"/>
      <c r="GL249" s="113"/>
      <c r="GM249" s="113"/>
      <c r="GN249" s="113"/>
      <c r="GO249" s="113"/>
      <c r="GP249" s="113"/>
      <c r="GQ249" s="113"/>
      <c r="GR249" s="113"/>
      <c r="GS249" s="113"/>
      <c r="GT249" s="113"/>
      <c r="GU249" s="113"/>
      <c r="GV249" s="113"/>
      <c r="GW249" s="113"/>
      <c r="GX249" s="113"/>
      <c r="GY249" s="113"/>
      <c r="GZ249" s="113"/>
      <c r="HA249" s="113"/>
      <c r="HB249" s="113"/>
      <c r="HC249" s="113"/>
      <c r="HD249" s="113"/>
      <c r="HE249" s="113"/>
      <c r="HF249" s="113"/>
      <c r="HG249" s="113"/>
      <c r="HH249" s="113"/>
      <c r="HI249" s="113"/>
      <c r="HJ249" s="113"/>
      <c r="HK249" s="113"/>
      <c r="HL249" s="113"/>
      <c r="HM249" s="113"/>
      <c r="HN249" s="113"/>
      <c r="HO249" s="113"/>
      <c r="HP249" s="113"/>
      <c r="HQ249" s="113"/>
      <c r="HR249" s="113"/>
      <c r="HS249" s="113"/>
      <c r="HT249" s="113"/>
      <c r="HU249" s="113"/>
      <c r="HV249" s="113"/>
      <c r="HW249" s="113"/>
      <c r="HX249" s="113"/>
      <c r="HY249" s="113"/>
      <c r="HZ249" s="113"/>
      <c r="IA249" s="113"/>
      <c r="IB249" s="113"/>
      <c r="IC249" s="113"/>
      <c r="ID249" s="113"/>
      <c r="IE249" s="113"/>
      <c r="IF249" s="113"/>
      <c r="IG249" s="113"/>
      <c r="IH249" s="113"/>
      <c r="II249" s="113"/>
      <c r="IJ249" s="113"/>
      <c r="IK249" s="113"/>
      <c r="IL249" s="113"/>
      <c r="IM249" s="113"/>
      <c r="IN249" s="113"/>
      <c r="IO249" s="113"/>
      <c r="IP249" s="113"/>
      <c r="IQ249" s="113"/>
      <c r="IR249" s="113"/>
      <c r="IS249" s="113"/>
      <c r="IT249" s="113"/>
      <c r="IU249" s="113"/>
      <c r="IV249" s="113"/>
      <c r="IW249" s="113"/>
      <c r="IX249" s="113"/>
      <c r="IY249" s="113"/>
      <c r="IZ249" s="113"/>
      <c r="JA249" s="113"/>
      <c r="JB249" s="113"/>
      <c r="JC249" s="113"/>
      <c r="JD249" s="113"/>
      <c r="JE249" s="113"/>
      <c r="JF249" s="113"/>
      <c r="JG249" s="113"/>
      <c r="JH249" s="113"/>
      <c r="JI249" s="113"/>
      <c r="JJ249" s="113"/>
      <c r="JK249" s="113"/>
      <c r="JL249" s="113"/>
      <c r="JM249" s="113"/>
      <c r="JN249" s="113"/>
      <c r="JO249" s="113"/>
      <c r="JP249" s="113"/>
      <c r="JQ249" s="113"/>
      <c r="JR249" s="113"/>
      <c r="JS249" s="113"/>
      <c r="JT249" s="113"/>
      <c r="JU249" s="113"/>
      <c r="JV249" s="113"/>
      <c r="JW249" s="113"/>
      <c r="JX249" s="113"/>
      <c r="JY249" s="113"/>
      <c r="JZ249" s="113"/>
      <c r="KA249" s="113"/>
      <c r="KB249" s="113"/>
      <c r="KC249" s="113"/>
      <c r="KD249" s="113"/>
      <c r="KE249" s="113"/>
      <c r="KF249" s="113"/>
      <c r="KG249" s="113"/>
      <c r="KH249" s="113"/>
      <c r="KI249" s="113"/>
      <c r="KJ249" s="113"/>
      <c r="KK249" s="113"/>
      <c r="KL249" s="113"/>
      <c r="KM249" s="113"/>
      <c r="KN249" s="113"/>
      <c r="KO249" s="113"/>
      <c r="KP249" s="113"/>
      <c r="KQ249" s="113"/>
      <c r="KR249" s="113"/>
      <c r="KS249" s="113"/>
      <c r="KT249" s="113"/>
      <c r="KU249" s="113"/>
      <c r="KV249" s="113"/>
      <c r="KW249" s="113"/>
      <c r="KX249" s="113"/>
      <c r="KY249" s="113"/>
      <c r="KZ249" s="113"/>
      <c r="LA249" s="113"/>
      <c r="LB249" s="113"/>
      <c r="LC249" s="113"/>
      <c r="LD249" s="113"/>
      <c r="LE249" s="113"/>
      <c r="LF249" s="113"/>
      <c r="LG249" s="113"/>
      <c r="LH249" s="113"/>
      <c r="LI249" s="113"/>
      <c r="LJ249" s="113"/>
      <c r="LK249" s="113"/>
      <c r="LL249" s="113"/>
      <c r="LM249" s="113"/>
      <c r="LN249" s="113"/>
      <c r="LO249" s="113"/>
      <c r="LP249" s="113"/>
      <c r="LQ249" s="113"/>
      <c r="LR249" s="113"/>
      <c r="LS249" s="113"/>
      <c r="LT249" s="113"/>
      <c r="LU249" s="113"/>
      <c r="LV249" s="113"/>
      <c r="LW249" s="113"/>
      <c r="LX249" s="113"/>
      <c r="LY249" s="113"/>
      <c r="LZ249" s="113"/>
      <c r="MA249" s="113"/>
      <c r="MB249" s="113"/>
      <c r="MC249" s="113"/>
      <c r="MD249" s="113"/>
      <c r="ME249" s="113"/>
      <c r="MF249" s="113"/>
      <c r="MG249" s="113"/>
      <c r="MH249" s="113"/>
      <c r="MI249" s="113"/>
      <c r="MJ249" s="113"/>
      <c r="MK249" s="113"/>
      <c r="ML249" s="113"/>
      <c r="MM249" s="113"/>
      <c r="MN249" s="113"/>
      <c r="MO249" s="113"/>
      <c r="MP249" s="113"/>
      <c r="MQ249" s="113"/>
      <c r="MR249" s="113"/>
      <c r="MS249" s="113"/>
      <c r="MT249" s="113"/>
      <c r="MU249" s="113"/>
      <c r="MV249" s="113"/>
      <c r="MW249" s="113"/>
      <c r="MX249" s="113"/>
      <c r="MY249" s="113"/>
      <c r="MZ249" s="113"/>
      <c r="NA249" s="113"/>
      <c r="NB249" s="113"/>
      <c r="NC249" s="113"/>
      <c r="ND249" s="113"/>
      <c r="NE249" s="113"/>
      <c r="NF249" s="113"/>
      <c r="NG249" s="113"/>
      <c r="NH249" s="113"/>
      <c r="NI249" s="113"/>
      <c r="NJ249" s="113"/>
      <c r="NK249" s="113"/>
      <c r="NL249" s="113"/>
      <c r="NM249" s="113"/>
      <c r="NN249" s="113"/>
      <c r="NO249" s="113"/>
      <c r="NP249" s="113"/>
      <c r="NQ249" s="113"/>
      <c r="NR249" s="113"/>
      <c r="NS249" s="113"/>
      <c r="NT249" s="113"/>
      <c r="NU249" s="113"/>
      <c r="NV249" s="113"/>
      <c r="NW249" s="113"/>
      <c r="NX249" s="113"/>
      <c r="NY249" s="113"/>
      <c r="NZ249" s="113"/>
      <c r="OA249" s="113"/>
      <c r="OB249" s="113"/>
      <c r="OC249" s="113"/>
      <c r="OD249" s="113"/>
      <c r="OE249" s="113"/>
      <c r="OF249" s="113"/>
      <c r="OG249" s="113"/>
      <c r="OH249" s="113"/>
      <c r="OI249" s="113"/>
      <c r="OJ249" s="113"/>
      <c r="OK249" s="113"/>
      <c r="OL249" s="113"/>
      <c r="OM249" s="113"/>
      <c r="ON249" s="113"/>
      <c r="OO249" s="113"/>
      <c r="OP249" s="113"/>
      <c r="OQ249" s="113"/>
      <c r="OR249" s="113"/>
      <c r="OS249" s="113"/>
      <c r="OT249" s="113"/>
      <c r="OU249" s="113"/>
      <c r="OV249" s="113"/>
      <c r="OW249" s="113"/>
      <c r="OX249" s="113"/>
      <c r="OY249" s="113"/>
      <c r="OZ249" s="113"/>
      <c r="PA249" s="113"/>
      <c r="PB249" s="113"/>
      <c r="PC249" s="113"/>
      <c r="PD249" s="113"/>
      <c r="PE249" s="113"/>
      <c r="PF249" s="113"/>
      <c r="PG249" s="113"/>
      <c r="PH249" s="113"/>
      <c r="PI249" s="113"/>
      <c r="PJ249" s="113"/>
      <c r="PK249" s="113"/>
      <c r="PL249" s="113"/>
      <c r="PM249" s="113"/>
      <c r="PN249" s="113"/>
      <c r="PO249" s="113"/>
      <c r="PP249" s="113"/>
      <c r="PQ249" s="113"/>
      <c r="PR249" s="113"/>
      <c r="PS249" s="113"/>
      <c r="PT249" s="113"/>
      <c r="PU249" s="113"/>
      <c r="PV249" s="113"/>
      <c r="PW249" s="113"/>
      <c r="PX249" s="113"/>
      <c r="PY249" s="113"/>
      <c r="PZ249" s="113"/>
      <c r="QA249" s="113"/>
      <c r="QB249" s="113"/>
      <c r="QC249" s="113"/>
      <c r="QD249" s="113"/>
      <c r="QE249" s="113"/>
      <c r="QF249" s="113"/>
      <c r="QG249" s="113"/>
      <c r="QH249" s="113"/>
      <c r="QI249" s="113"/>
      <c r="QJ249" s="113"/>
      <c r="QK249" s="113"/>
      <c r="QL249" s="113"/>
      <c r="QM249" s="113"/>
      <c r="QN249" s="113"/>
      <c r="QO249" s="113"/>
      <c r="QP249" s="113"/>
      <c r="QQ249" s="113"/>
      <c r="QR249" s="113"/>
      <c r="QS249" s="113"/>
      <c r="QT249" s="113"/>
      <c r="QU249" s="113"/>
      <c r="QV249" s="113"/>
      <c r="QW249" s="113"/>
      <c r="QX249" s="113"/>
      <c r="QY249" s="113"/>
      <c r="QZ249" s="113"/>
      <c r="RA249" s="113"/>
      <c r="RB249" s="113"/>
      <c r="RC249" s="113"/>
      <c r="RD249" s="113"/>
      <c r="RE249" s="113"/>
      <c r="RF249" s="113"/>
      <c r="RG249" s="113"/>
      <c r="RH249" s="113"/>
      <c r="RI249" s="113"/>
      <c r="RJ249" s="113"/>
      <c r="RK249" s="113"/>
      <c r="RL249" s="113"/>
      <c r="RM249" s="113"/>
      <c r="RN249" s="113"/>
      <c r="RO249" s="113"/>
      <c r="RP249" s="113"/>
      <c r="RQ249" s="113"/>
      <c r="RR249" s="113"/>
      <c r="RS249" s="113"/>
      <c r="RT249" s="113"/>
      <c r="RU249" s="113"/>
      <c r="RV249" s="113"/>
      <c r="RW249" s="113"/>
      <c r="RX249" s="113"/>
      <c r="RY249" s="113"/>
      <c r="RZ249" s="113"/>
      <c r="SA249" s="113"/>
      <c r="SB249" s="113"/>
      <c r="SC249" s="113"/>
      <c r="SD249" s="113"/>
      <c r="SE249" s="113"/>
      <c r="SF249" s="113"/>
      <c r="SG249" s="113"/>
      <c r="SH249" s="113"/>
      <c r="SI249" s="113"/>
      <c r="SJ249" s="113"/>
      <c r="SK249" s="113"/>
      <c r="SL249" s="113"/>
      <c r="SM249" s="113"/>
      <c r="SN249" s="113"/>
      <c r="SO249" s="113"/>
      <c r="SP249" s="113"/>
      <c r="SQ249" s="113"/>
      <c r="SR249" s="113"/>
      <c r="SS249" s="113"/>
      <c r="ST249" s="113"/>
      <c r="SU249" s="113"/>
      <c r="SV249" s="113"/>
      <c r="SW249" s="113"/>
      <c r="SX249" s="113"/>
      <c r="SY249" s="113"/>
      <c r="SZ249" s="113"/>
      <c r="TA249" s="113"/>
      <c r="TB249" s="113"/>
      <c r="TC249" s="113"/>
      <c r="TD249" s="113"/>
      <c r="TE249" s="113"/>
      <c r="TF249" s="113"/>
      <c r="TG249" s="113"/>
      <c r="TH249" s="113"/>
      <c r="TI249" s="113"/>
      <c r="TJ249" s="113"/>
      <c r="TK249" s="113"/>
      <c r="TL249" s="113"/>
      <c r="TM249" s="113"/>
      <c r="TN249" s="113"/>
      <c r="TO249" s="113"/>
      <c r="TP249" s="113"/>
      <c r="TQ249" s="113"/>
      <c r="TR249" s="113"/>
      <c r="TS249" s="113"/>
      <c r="TT249" s="113"/>
      <c r="TU249" s="113"/>
      <c r="TV249" s="113"/>
      <c r="TW249" s="113"/>
      <c r="TX249" s="113"/>
      <c r="TY249" s="113"/>
      <c r="TZ249" s="113"/>
      <c r="UA249" s="113"/>
      <c r="UB249" s="113"/>
      <c r="UC249" s="113"/>
      <c r="UD249" s="113"/>
      <c r="UE249" s="113"/>
      <c r="UF249" s="113"/>
      <c r="UG249" s="113"/>
      <c r="UH249" s="113"/>
      <c r="UI249" s="113"/>
      <c r="UJ249" s="113"/>
      <c r="UK249" s="113"/>
      <c r="UL249" s="113"/>
      <c r="UM249" s="113"/>
      <c r="UN249" s="113"/>
      <c r="UO249" s="113"/>
      <c r="UP249" s="113"/>
      <c r="UQ249" s="113"/>
      <c r="UR249" s="113"/>
      <c r="US249" s="113"/>
      <c r="UT249" s="113"/>
      <c r="UU249" s="113"/>
      <c r="UV249" s="113"/>
      <c r="UW249" s="113"/>
      <c r="UX249" s="113"/>
      <c r="UY249" s="113"/>
      <c r="UZ249" s="113"/>
      <c r="VA249" s="113"/>
      <c r="VB249" s="113"/>
      <c r="VC249" s="113"/>
      <c r="VD249" s="113"/>
      <c r="VE249" s="113"/>
      <c r="VF249" s="113"/>
      <c r="VG249" s="113"/>
      <c r="VH249" s="113"/>
      <c r="VI249" s="113"/>
      <c r="VJ249" s="113"/>
      <c r="VK249" s="113"/>
      <c r="VL249" s="113"/>
      <c r="VM249" s="113"/>
      <c r="VN249" s="113"/>
      <c r="VO249" s="113"/>
      <c r="VP249" s="113"/>
      <c r="VQ249" s="113"/>
      <c r="VR249" s="113"/>
      <c r="VS249" s="113"/>
      <c r="VT249" s="113"/>
      <c r="VU249" s="113"/>
      <c r="VV249" s="113"/>
      <c r="VW249" s="113"/>
      <c r="VX249" s="113"/>
      <c r="VY249" s="113"/>
      <c r="VZ249" s="113"/>
      <c r="WA249" s="113"/>
      <c r="WB249" s="113"/>
      <c r="WC249" s="113"/>
      <c r="WD249" s="113"/>
      <c r="WE249" s="113"/>
      <c r="WF249" s="113"/>
      <c r="WG249" s="113"/>
      <c r="WH249" s="113"/>
      <c r="WI249" s="113"/>
      <c r="WJ249" s="113"/>
      <c r="WK249" s="113"/>
      <c r="WL249" s="113"/>
      <c r="WM249" s="113"/>
      <c r="WN249" s="113"/>
      <c r="WO249" s="113"/>
      <c r="WP249" s="113"/>
      <c r="WQ249" s="113"/>
      <c r="WR249" s="113"/>
      <c r="WS249" s="113"/>
      <c r="WT249" s="113"/>
      <c r="WU249" s="113"/>
      <c r="WV249" s="113"/>
      <c r="WW249" s="113"/>
      <c r="WX249" s="113"/>
      <c r="WY249" s="113"/>
      <c r="WZ249" s="113"/>
      <c r="XA249" s="113"/>
      <c r="XB249" s="113"/>
      <c r="XC249" s="113"/>
      <c r="XD249" s="113"/>
      <c r="XE249" s="113"/>
      <c r="XF249" s="113"/>
      <c r="XG249" s="113"/>
      <c r="XH249" s="113"/>
      <c r="XI249" s="113"/>
      <c r="XJ249" s="113"/>
      <c r="XK249" s="113"/>
      <c r="XL249" s="113"/>
      <c r="XM249" s="113"/>
      <c r="XN249" s="113"/>
      <c r="XO249" s="113"/>
      <c r="XP249" s="113"/>
      <c r="XQ249" s="113"/>
      <c r="XR249" s="113"/>
      <c r="XS249" s="113"/>
      <c r="XT249" s="113"/>
      <c r="XU249" s="113"/>
      <c r="XV249" s="113"/>
      <c r="XW249" s="113"/>
      <c r="XX249" s="113"/>
      <c r="XY249" s="113"/>
      <c r="XZ249" s="113"/>
      <c r="YA249" s="113"/>
      <c r="YB249" s="113"/>
      <c r="YC249" s="113"/>
      <c r="YD249" s="113"/>
      <c r="YE249" s="113"/>
      <c r="YF249" s="113"/>
      <c r="YG249" s="113"/>
      <c r="YH249" s="113"/>
      <c r="YI249" s="113"/>
      <c r="YJ249" s="113"/>
      <c r="YK249" s="113"/>
      <c r="YL249" s="113"/>
      <c r="YM249" s="113"/>
      <c r="YN249" s="113"/>
      <c r="YO249" s="113"/>
      <c r="YP249" s="113"/>
      <c r="YQ249" s="113"/>
      <c r="YR249" s="113"/>
      <c r="YS249" s="113"/>
      <c r="YT249" s="113"/>
      <c r="YU249" s="113"/>
      <c r="YV249" s="113"/>
      <c r="YW249" s="113"/>
      <c r="YX249" s="113"/>
      <c r="YY249" s="113"/>
      <c r="YZ249" s="113"/>
      <c r="ZA249" s="113"/>
      <c r="ZB249" s="113"/>
      <c r="ZC249" s="113"/>
      <c r="ZD249" s="113"/>
      <c r="ZE249" s="113"/>
      <c r="ZF249" s="113"/>
      <c r="ZG249" s="113"/>
      <c r="ZH249" s="113"/>
      <c r="ZI249" s="113"/>
      <c r="ZJ249" s="113"/>
      <c r="ZK249" s="113"/>
      <c r="ZL249" s="113"/>
      <c r="ZM249" s="113"/>
      <c r="ZN249" s="113"/>
      <c r="ZO249" s="113"/>
      <c r="ZP249" s="113"/>
      <c r="ZQ249" s="113"/>
      <c r="ZR249" s="113"/>
      <c r="ZS249" s="113"/>
      <c r="ZT249" s="113"/>
      <c r="ZU249" s="113"/>
      <c r="ZV249" s="113"/>
      <c r="ZW249" s="113"/>
      <c r="ZX249" s="113"/>
      <c r="ZY249" s="113"/>
      <c r="ZZ249" s="113"/>
      <c r="AAA249" s="113"/>
      <c r="AAB249" s="113"/>
      <c r="AAC249" s="113"/>
      <c r="AAD249" s="113"/>
      <c r="AAE249" s="113"/>
      <c r="AAF249" s="113"/>
      <c r="AAG249" s="113"/>
      <c r="AAH249" s="113"/>
      <c r="AAI249" s="113"/>
      <c r="AAJ249" s="113"/>
      <c r="AAK249" s="113"/>
      <c r="AAL249" s="113"/>
      <c r="AAM249" s="113"/>
      <c r="AAN249" s="113"/>
      <c r="AAO249" s="113"/>
      <c r="AAP249" s="113"/>
      <c r="AAQ249" s="113"/>
      <c r="AAR249" s="113"/>
      <c r="AAS249" s="113"/>
      <c r="AAT249" s="113"/>
      <c r="AAU249" s="113"/>
      <c r="AAV249" s="113"/>
      <c r="AAW249" s="113"/>
      <c r="AAX249" s="113"/>
      <c r="AAY249" s="113"/>
      <c r="AAZ249" s="113"/>
      <c r="ABA249" s="113"/>
      <c r="ABB249" s="113"/>
      <c r="ABC249" s="113"/>
      <c r="ABD249" s="113"/>
      <c r="ABE249" s="113"/>
      <c r="ABF249" s="113"/>
      <c r="ABG249" s="113"/>
      <c r="ABH249" s="113"/>
      <c r="ABI249" s="113"/>
      <c r="ABJ249" s="113"/>
      <c r="ABK249" s="113"/>
      <c r="ABL249" s="113"/>
      <c r="ABM249" s="113"/>
      <c r="ABN249" s="113"/>
      <c r="ABO249" s="113"/>
      <c r="ABP249" s="113"/>
      <c r="ABQ249" s="113"/>
      <c r="ABR249" s="113"/>
      <c r="ABS249" s="113"/>
      <c r="ABT249" s="113"/>
      <c r="ABU249" s="113"/>
      <c r="ABV249" s="113"/>
      <c r="ABW249" s="113"/>
      <c r="ABX249" s="113"/>
      <c r="ABY249" s="113"/>
      <c r="ABZ249" s="113"/>
      <c r="ACA249" s="113"/>
      <c r="ACB249" s="113"/>
      <c r="ACC249" s="113"/>
      <c r="ACD249" s="113"/>
      <c r="ACE249" s="113"/>
      <c r="ACF249" s="113"/>
      <c r="ACG249" s="113"/>
      <c r="ACH249" s="113"/>
      <c r="ACI249" s="113"/>
      <c r="ACJ249" s="113"/>
      <c r="ACK249" s="113"/>
      <c r="ACL249" s="113"/>
      <c r="ACM249" s="113"/>
      <c r="ACN249" s="113"/>
      <c r="ACO249" s="113"/>
      <c r="ACP249" s="113"/>
      <c r="ACQ249" s="113"/>
      <c r="ACR249" s="113"/>
      <c r="ACS249" s="113"/>
      <c r="ACT249" s="113"/>
      <c r="ACU249" s="113"/>
      <c r="ACV249" s="113"/>
      <c r="ACW249" s="113"/>
      <c r="ACX249" s="113"/>
      <c r="ACY249" s="113"/>
      <c r="ACZ249" s="113"/>
      <c r="ADA249" s="113"/>
      <c r="ADB249" s="113"/>
      <c r="ADC249" s="113"/>
      <c r="ADD249" s="113"/>
      <c r="ADE249" s="113"/>
      <c r="ADF249" s="113"/>
      <c r="ADG249" s="113"/>
      <c r="ADH249" s="113"/>
      <c r="ADI249" s="113"/>
      <c r="ADJ249" s="113"/>
      <c r="ADK249" s="113"/>
      <c r="ADL249" s="113"/>
      <c r="ADM249" s="113"/>
      <c r="ADN249" s="113"/>
      <c r="ADO249" s="113"/>
      <c r="ADP249" s="113"/>
      <c r="ADQ249" s="113"/>
      <c r="ADR249" s="113"/>
      <c r="ADS249" s="113"/>
      <c r="ADT249" s="113"/>
      <c r="ADU249" s="113"/>
      <c r="ADV249" s="113"/>
      <c r="ADW249" s="113"/>
      <c r="ADX249" s="113"/>
      <c r="ADY249" s="113"/>
      <c r="ADZ249" s="113"/>
      <c r="AEA249" s="113"/>
      <c r="AEB249" s="113"/>
      <c r="AEC249" s="113"/>
      <c r="AED249" s="113"/>
      <c r="AEE249" s="113"/>
      <c r="AEF249" s="113"/>
      <c r="AEG249" s="113"/>
      <c r="AEH249" s="113"/>
      <c r="AEI249" s="113"/>
      <c r="AEJ249" s="113"/>
      <c r="AEK249" s="113"/>
      <c r="AEL249" s="113"/>
      <c r="AEM249" s="113"/>
      <c r="AEN249" s="113"/>
      <c r="AEO249" s="113"/>
      <c r="AEP249" s="113"/>
      <c r="AEQ249" s="113"/>
      <c r="AER249" s="113"/>
      <c r="AES249" s="113"/>
      <c r="AET249" s="113"/>
      <c r="AEU249" s="113"/>
      <c r="AEV249" s="113"/>
      <c r="AEW249" s="113"/>
      <c r="AEX249" s="113"/>
      <c r="AEY249" s="113"/>
      <c r="AEZ249" s="113"/>
      <c r="AFA249" s="113"/>
      <c r="AFB249" s="113"/>
      <c r="AFC249" s="113"/>
      <c r="AFD249" s="113"/>
      <c r="AFE249" s="113"/>
      <c r="AFF249" s="113"/>
      <c r="AFG249" s="113"/>
      <c r="AFH249" s="113"/>
      <c r="AFI249" s="113"/>
      <c r="AFJ249" s="113"/>
      <c r="AFK249" s="113"/>
      <c r="AFL249" s="113"/>
      <c r="AFM249" s="113"/>
      <c r="AFN249" s="113"/>
      <c r="AFO249" s="113"/>
      <c r="AFP249" s="113"/>
      <c r="AFQ249" s="113"/>
      <c r="AFR249" s="113"/>
      <c r="AFS249" s="113"/>
      <c r="AFT249" s="113"/>
      <c r="AFU249" s="113"/>
      <c r="AFV249" s="113"/>
      <c r="AFW249" s="113"/>
      <c r="AFX249" s="113"/>
      <c r="AFY249" s="113"/>
      <c r="AFZ249" s="113"/>
      <c r="AGA249" s="113"/>
      <c r="AGB249" s="113"/>
      <c r="AGC249" s="113"/>
      <c r="AGD249" s="113"/>
      <c r="AGE249" s="113"/>
      <c r="AGF249" s="113"/>
      <c r="AGG249" s="113"/>
      <c r="AGH249" s="113"/>
      <c r="AGI249" s="113"/>
      <c r="AGJ249" s="113"/>
      <c r="AGK249" s="113"/>
      <c r="AGL249" s="113"/>
      <c r="AGM249" s="113"/>
      <c r="AGN249" s="113"/>
      <c r="AGO249" s="113"/>
      <c r="AGP249" s="113"/>
      <c r="AGQ249" s="113"/>
      <c r="AGR249" s="113"/>
      <c r="AGS249" s="113"/>
      <c r="AGT249" s="113"/>
      <c r="AGU249" s="113"/>
      <c r="AGV249" s="113"/>
      <c r="AGW249" s="113"/>
      <c r="AGX249" s="113"/>
      <c r="AGY249" s="113"/>
      <c r="AGZ249" s="113"/>
      <c r="AHA249" s="113"/>
      <c r="AHB249" s="113"/>
      <c r="AHC249" s="113"/>
      <c r="AHD249" s="113"/>
      <c r="AHE249" s="113"/>
      <c r="AHF249" s="113"/>
      <c r="AHG249" s="113"/>
      <c r="AHH249" s="113"/>
      <c r="AHI249" s="113"/>
      <c r="AHJ249" s="113"/>
      <c r="AHK249" s="113"/>
      <c r="AHL249" s="113"/>
      <c r="AHM249" s="113"/>
      <c r="AHN249" s="113"/>
      <c r="AHO249" s="113"/>
      <c r="AHP249" s="113"/>
      <c r="AHQ249" s="113"/>
      <c r="AHR249" s="113"/>
      <c r="AHS249" s="113"/>
      <c r="AHT249" s="113"/>
      <c r="AHU249" s="113"/>
      <c r="AHV249" s="113"/>
      <c r="AHW249" s="113"/>
      <c r="AHX249" s="113"/>
      <c r="AHY249" s="113"/>
      <c r="AHZ249" s="113"/>
      <c r="AIA249" s="113"/>
      <c r="AIB249" s="113"/>
      <c r="AIC249" s="113"/>
      <c r="AID249" s="113"/>
      <c r="AIE249" s="113"/>
      <c r="AIF249" s="113"/>
      <c r="AIG249" s="113"/>
      <c r="AIH249" s="113"/>
      <c r="AII249" s="113"/>
      <c r="AIJ249" s="113"/>
      <c r="AIK249" s="113"/>
      <c r="AIL249" s="113"/>
      <c r="AIM249" s="113"/>
      <c r="AIN249" s="113"/>
      <c r="AIO249" s="113"/>
      <c r="AIP249" s="113"/>
      <c r="AIQ249" s="113"/>
      <c r="AIR249" s="113"/>
      <c r="AIS249" s="113"/>
      <c r="AIT249" s="113"/>
      <c r="AIU249" s="113"/>
      <c r="AIV249" s="113"/>
      <c r="AIW249" s="113"/>
      <c r="AIX249" s="113"/>
      <c r="AIY249" s="113"/>
      <c r="AIZ249" s="113"/>
    </row>
    <row r="250">
      <c r="A250" s="65" t="s">
        <v>35</v>
      </c>
      <c r="B250" s="65" t="s">
        <v>74</v>
      </c>
      <c r="C250" s="65"/>
      <c r="D250" s="64">
        <f t="shared" si="1"/>
        <v>409.3570167</v>
      </c>
      <c r="H250" s="65">
        <v>1.72428333333333</v>
      </c>
      <c r="I250" s="65">
        <v>25.5995</v>
      </c>
      <c r="J250" s="65">
        <v>29.08535</v>
      </c>
      <c r="K250" s="65">
        <v>15.8726333333333</v>
      </c>
      <c r="N250" s="65">
        <v>0.38025</v>
      </c>
      <c r="R250" s="65">
        <v>0.105516666666667</v>
      </c>
      <c r="S250" s="65">
        <v>12.5403666666667</v>
      </c>
      <c r="T250" s="65">
        <v>68.78645</v>
      </c>
      <c r="U250" s="65">
        <v>21.03035</v>
      </c>
      <c r="Y250" s="65">
        <v>1.08735</v>
      </c>
      <c r="Z250" s="65">
        <v>8.21543333333333</v>
      </c>
      <c r="AA250" s="65">
        <v>69.8360166666667</v>
      </c>
      <c r="AB250" s="65">
        <v>17.5555166666667</v>
      </c>
      <c r="AF250" s="65">
        <v>0.121633333333333</v>
      </c>
      <c r="AG250" s="65">
        <v>4.58708333333333</v>
      </c>
      <c r="AH250" s="65">
        <v>6.40211666666666</v>
      </c>
      <c r="AI250" s="65">
        <v>11.977</v>
      </c>
      <c r="AL250" s="65">
        <v>0.239083333333333</v>
      </c>
      <c r="AM250" s="65">
        <v>6.16446666666667</v>
      </c>
      <c r="AN250" s="65">
        <v>9.61896666666667</v>
      </c>
      <c r="AR250" s="65">
        <v>2.88851666666667</v>
      </c>
      <c r="AU250" s="65">
        <v>95.5391333333333</v>
      </c>
    </row>
    <row r="251">
      <c r="A251" s="65" t="s">
        <v>35</v>
      </c>
      <c r="B251" s="65" t="s">
        <v>74</v>
      </c>
      <c r="C251" s="65"/>
      <c r="D251" s="64">
        <f t="shared" si="1"/>
        <v>0</v>
      </c>
    </row>
    <row r="252">
      <c r="A252" s="65" t="s">
        <v>35</v>
      </c>
      <c r="B252" s="65" t="s">
        <v>74</v>
      </c>
      <c r="C252" s="65"/>
      <c r="D252" s="64">
        <f t="shared" si="1"/>
        <v>408.98455</v>
      </c>
      <c r="H252" s="118">
        <f>HYPERLINK("https://docs.google.com/spreadsheets/d/1NYBZMgjj-KupWIwG0VhkQGpSlAs7ou-1", 1.72426666666667)</f>
        <v>1.724266667</v>
      </c>
      <c r="I252" s="118">
        <f>HYPERLINK("https://docs.google.com/spreadsheets/d/1A1aF3sLl5RA42EaT6rC6thawkciIYggK", 25.5299666666667)</f>
        <v>25.52996667</v>
      </c>
      <c r="J252" s="118">
        <f>HYPERLINK("https://docs.google.com/spreadsheets/d/1u3VL-rtqasmt7ypaEjcG-EeOQNY6v3lS", 29.0853166666667)</f>
        <v>29.08531667</v>
      </c>
      <c r="K252" s="118">
        <f>HYPERLINK("https://docs.google.com/spreadsheets/d/1NBcvyyW21b0IiHm61ppUJYkVoLx2MDaA", 15.8726166666667)</f>
        <v>15.87261667</v>
      </c>
      <c r="N252" s="118">
        <f>HYPERLINK("https://docs.google.com/spreadsheets/d/18TCJo2myO3vfaAZmRePNV2Lp9O6gOyox", 0.38025)</f>
        <v>0.38025</v>
      </c>
      <c r="R252" s="118">
        <f>HYPERLINK("https://docs.google.com/spreadsheets/d/1V8kQwBG52rE6CFrJj8e7bIBj95oJxWzk", 0.105516666666667)</f>
        <v>0.1055166667</v>
      </c>
      <c r="S252" s="118">
        <f>HYPERLINK("https://docs.google.com/spreadsheets/d/1zjZH06W8srOkYhNzS0z4oPfNglho8ryC", 12.5403333333333)</f>
        <v>12.54033333</v>
      </c>
      <c r="T252" s="118">
        <f>HYPERLINK("https://docs.google.com/spreadsheets/d/16tiBGzbpUySVSPfi00Mmtn2mmRV_64ta", 68.68115)</f>
        <v>68.68115</v>
      </c>
      <c r="U252" s="118">
        <f>HYPERLINK("https://docs.google.com/spreadsheets/d/1qBG3VKb0raM69gCtpJiJpCG5KeUGJTLV", 21.03035)</f>
        <v>21.03035</v>
      </c>
      <c r="Y252" s="118">
        <f>HYPERLINK("https://docs.google.com/spreadsheets/d/1SzicMvB3ByK_30cV7eIK_sP3iQarv_KR", 0.889916666666667)</f>
        <v>0.8899166667</v>
      </c>
      <c r="Z252" s="118">
        <f>HYPERLINK("https://docs.google.com/spreadsheets/d/1AeHzlwvGtX_wj-piZZrE5izcJK7GmRt2", 8.21545)</f>
        <v>8.21545</v>
      </c>
      <c r="AA252" s="118">
        <f>HYPERLINK("https://docs.google.com/spreadsheets/d/1fv7UrpjzxXIeWdkEO2cB5VHWY2C0WDiv", 69.8360000000001)</f>
        <v>69.836</v>
      </c>
      <c r="AB252" s="118">
        <f>HYPERLINK("https://docs.google.com/spreadsheets/d/1Xinrccm7h7JJt7oJzG6O4xzj5qXS99Dt", 17.5555333333333)</f>
        <v>17.55553333</v>
      </c>
      <c r="AF252" s="118">
        <f>HYPERLINK("https://docs.google.com/spreadsheets/d/1utpubCZeXQuyu9bFCPxqlnaPK-M3KkQE", 0.121633333333333)</f>
        <v>0.1216333333</v>
      </c>
      <c r="AG252" s="118">
        <f>HYPERLINK("https://docs.google.com/spreadsheets/d/1fJeQ2FugIKLie20H2zEEJ4Q72_g2_QwB", 4.58706666666667)</f>
        <v>4.587066667</v>
      </c>
      <c r="AH252" s="118">
        <f>HYPERLINK("https://docs.google.com/spreadsheets/d/1YdtFXbe4gpQxV8bCZ3LxD31ac0x6KZVI", 6.40213333333333)</f>
        <v>6.402133333</v>
      </c>
      <c r="AI252" s="118">
        <f>HYPERLINK("https://docs.google.com/spreadsheets/d/1CpSRdTFgEh7QXzz6u1XbJM6BHZcODScQ", 11.9770166666667)</f>
        <v>11.97701667</v>
      </c>
      <c r="AL252" s="118">
        <f>HYPERLINK("https://docs.google.com/spreadsheets/d/1-A4yulTL4f_T5kZorbQZrtUBS5Z8x3jk", 0.239083333333333)</f>
        <v>0.2390833333</v>
      </c>
      <c r="AM252" s="118">
        <f>HYPERLINK("https://docs.google.com/spreadsheets/d/1XjT_TTkcqPu7B1Q7qg_k0E5e_anf2l_3", 6.16446666666667)</f>
        <v>6.164466667</v>
      </c>
      <c r="AN252" s="118">
        <f>HYPERLINK("https://docs.google.com/spreadsheets/d/1j456aKBcgMGC8k-J7h5-A3mSaQBiunF5", 9.61895)</f>
        <v>9.61895</v>
      </c>
      <c r="AR252" s="118">
        <f>HYPERLINK("https://docs.google.com/spreadsheets/d/1XLiRlpJ1q99dkz6Alp3ssQA85QvWQ4OP", 2.88851666666667)</f>
        <v>2.888516667</v>
      </c>
      <c r="AU252" s="118">
        <f>HYPERLINK("https://docs.google.com/spreadsheets/d/1Wlgy6HMC_hq3UC3UtWz5gscXdFcXNPZe", 95.5390166666666)</f>
        <v>95.53901667</v>
      </c>
    </row>
    <row r="253">
      <c r="A253" s="65" t="s">
        <v>35</v>
      </c>
      <c r="B253" s="65" t="s">
        <v>74</v>
      </c>
      <c r="C253" s="65"/>
      <c r="D253" s="64">
        <f t="shared" si="1"/>
        <v>258.7775833</v>
      </c>
      <c r="H253" s="65">
        <v>1.43</v>
      </c>
      <c r="I253" s="65">
        <v>18.9429333333333</v>
      </c>
      <c r="J253" s="65">
        <v>23.4260833333333</v>
      </c>
      <c r="K253" s="65">
        <v>5.46458333333333</v>
      </c>
      <c r="N253" s="65">
        <v>0.38025</v>
      </c>
      <c r="R253" s="65">
        <v>0.0</v>
      </c>
      <c r="S253" s="65">
        <v>7.9039</v>
      </c>
      <c r="T253" s="65">
        <v>51.03825</v>
      </c>
      <c r="U253" s="65">
        <v>10.5102833333333</v>
      </c>
      <c r="Y253" s="65">
        <v>0.1459</v>
      </c>
      <c r="Z253" s="65">
        <v>3.66948333333333</v>
      </c>
      <c r="AA253" s="65">
        <v>49.1266833333334</v>
      </c>
      <c r="AB253" s="65">
        <v>7.57935</v>
      </c>
      <c r="AF253" s="65">
        <v>0.121633333333333</v>
      </c>
      <c r="AG253" s="65">
        <v>3.59323333333333</v>
      </c>
      <c r="AH253" s="65">
        <v>4.67578333333333</v>
      </c>
      <c r="AI253" s="65">
        <v>7.76496666666667</v>
      </c>
      <c r="AL253" s="65">
        <v>0.239083333333333</v>
      </c>
      <c r="AM253" s="65">
        <v>4.85575</v>
      </c>
      <c r="AN253" s="65">
        <v>5.85091666666667</v>
      </c>
      <c r="AR253" s="65">
        <v>1.27466666666667</v>
      </c>
      <c r="AU253" s="65">
        <v>50.7838500000001</v>
      </c>
    </row>
    <row r="254">
      <c r="A254" s="119" t="s">
        <v>35</v>
      </c>
      <c r="B254" s="119" t="s">
        <v>74</v>
      </c>
      <c r="C254" s="119"/>
      <c r="D254" s="120">
        <f t="shared" si="1"/>
        <v>0</v>
      </c>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c r="AA254" s="120"/>
      <c r="AB254" s="120"/>
      <c r="AC254" s="120"/>
      <c r="AD254" s="120"/>
      <c r="AE254" s="120"/>
      <c r="AF254" s="120"/>
      <c r="AG254" s="120"/>
      <c r="AH254" s="120"/>
      <c r="AI254" s="120"/>
      <c r="AJ254" s="120"/>
      <c r="AK254" s="120"/>
      <c r="AL254" s="120"/>
      <c r="AM254" s="120"/>
      <c r="AN254" s="120"/>
      <c r="AO254" s="120"/>
      <c r="AP254" s="120"/>
      <c r="AQ254" s="120"/>
      <c r="AR254" s="120"/>
      <c r="AS254" s="120"/>
      <c r="AT254" s="120"/>
      <c r="AU254" s="120"/>
      <c r="AV254" s="120"/>
      <c r="AW254" s="120"/>
      <c r="AX254" s="120"/>
      <c r="AY254" s="120"/>
      <c r="AZ254" s="120"/>
      <c r="BA254" s="120"/>
      <c r="BB254" s="120"/>
      <c r="BC254" s="120"/>
      <c r="BD254" s="120"/>
      <c r="BE254" s="120"/>
      <c r="BF254" s="120"/>
      <c r="BG254" s="120"/>
      <c r="BH254" s="120"/>
      <c r="BI254" s="120"/>
      <c r="BJ254" s="120"/>
      <c r="BK254" s="120"/>
      <c r="BL254" s="120"/>
      <c r="BM254" s="120"/>
      <c r="BN254" s="120"/>
      <c r="BO254" s="120"/>
      <c r="BP254" s="120"/>
      <c r="BQ254" s="120"/>
      <c r="BR254" s="120"/>
      <c r="BS254" s="120"/>
      <c r="BT254" s="120"/>
      <c r="BU254" s="120"/>
      <c r="BV254" s="120"/>
      <c r="BW254" s="120"/>
      <c r="BX254" s="120"/>
      <c r="BY254" s="120"/>
      <c r="BZ254" s="120"/>
      <c r="CA254" s="120"/>
      <c r="CB254" s="120"/>
      <c r="CC254" s="120"/>
      <c r="CD254" s="120"/>
      <c r="CE254" s="120"/>
      <c r="CF254" s="120"/>
      <c r="CG254" s="120"/>
      <c r="CH254" s="120"/>
      <c r="CI254" s="120"/>
      <c r="CJ254" s="120"/>
      <c r="CK254" s="120"/>
      <c r="CL254" s="120"/>
      <c r="CM254" s="120"/>
      <c r="CN254" s="120"/>
      <c r="CO254" s="120"/>
      <c r="CP254" s="120"/>
      <c r="CQ254" s="120"/>
      <c r="CR254" s="120"/>
      <c r="CS254" s="120"/>
      <c r="CT254" s="120"/>
      <c r="CU254" s="120"/>
      <c r="CV254" s="120"/>
      <c r="CW254" s="120"/>
      <c r="CX254" s="120"/>
      <c r="CY254" s="120"/>
      <c r="CZ254" s="120"/>
      <c r="DA254" s="120"/>
      <c r="DB254" s="120"/>
      <c r="DC254" s="120"/>
      <c r="DD254" s="120"/>
      <c r="DE254" s="120"/>
      <c r="DF254" s="120"/>
      <c r="DG254" s="120"/>
      <c r="DH254" s="120"/>
      <c r="DI254" s="120"/>
      <c r="DJ254" s="120"/>
      <c r="DK254" s="120"/>
      <c r="DL254" s="120"/>
      <c r="DM254" s="120"/>
      <c r="DN254" s="120"/>
      <c r="DO254" s="120"/>
      <c r="DP254" s="120"/>
      <c r="DQ254" s="120"/>
      <c r="DR254" s="120"/>
      <c r="DS254" s="120"/>
      <c r="DT254" s="120"/>
      <c r="DU254" s="120"/>
      <c r="DV254" s="120"/>
      <c r="DW254" s="120"/>
      <c r="DX254" s="120"/>
      <c r="DY254" s="120"/>
      <c r="DZ254" s="120"/>
      <c r="EA254" s="120"/>
      <c r="EB254" s="120"/>
      <c r="EC254" s="120"/>
      <c r="ED254" s="120"/>
      <c r="EE254" s="120"/>
      <c r="EF254" s="120"/>
      <c r="EG254" s="120"/>
      <c r="EH254" s="120"/>
      <c r="EI254" s="120"/>
      <c r="EJ254" s="120"/>
      <c r="EK254" s="120"/>
      <c r="EL254" s="120"/>
      <c r="EM254" s="120"/>
      <c r="EN254" s="120"/>
      <c r="EO254" s="120"/>
      <c r="EP254" s="120"/>
      <c r="EQ254" s="120"/>
      <c r="ER254" s="120"/>
      <c r="ES254" s="120"/>
      <c r="ET254" s="120"/>
      <c r="EU254" s="120"/>
      <c r="EV254" s="120"/>
      <c r="EW254" s="120"/>
      <c r="EX254" s="120"/>
      <c r="EY254" s="120"/>
      <c r="EZ254" s="120"/>
      <c r="FA254" s="120"/>
      <c r="FB254" s="120"/>
      <c r="FC254" s="120"/>
      <c r="FD254" s="120"/>
      <c r="FE254" s="120"/>
      <c r="FF254" s="120"/>
      <c r="FG254" s="120"/>
      <c r="FH254" s="120"/>
      <c r="FI254" s="120"/>
      <c r="FJ254" s="120"/>
      <c r="FK254" s="120"/>
      <c r="FL254" s="120"/>
      <c r="FM254" s="120"/>
      <c r="FN254" s="120"/>
      <c r="FO254" s="120"/>
      <c r="FP254" s="120"/>
      <c r="FQ254" s="120"/>
      <c r="FR254" s="120"/>
      <c r="FS254" s="120"/>
      <c r="FT254" s="120"/>
      <c r="FU254" s="120"/>
      <c r="FV254" s="120"/>
      <c r="FW254" s="120"/>
      <c r="FX254" s="120"/>
      <c r="FY254" s="120"/>
      <c r="FZ254" s="120"/>
      <c r="GA254" s="120"/>
      <c r="GB254" s="120"/>
      <c r="GC254" s="120"/>
      <c r="GD254" s="120"/>
      <c r="GE254" s="120"/>
      <c r="GF254" s="120"/>
      <c r="GG254" s="120"/>
      <c r="GH254" s="120"/>
      <c r="GI254" s="120"/>
      <c r="GJ254" s="120"/>
      <c r="GK254" s="120"/>
      <c r="GL254" s="120"/>
      <c r="GM254" s="120"/>
      <c r="GN254" s="120"/>
      <c r="GO254" s="120"/>
      <c r="GP254" s="120"/>
      <c r="GQ254" s="120"/>
      <c r="GR254" s="120"/>
      <c r="GS254" s="120"/>
      <c r="GT254" s="120"/>
      <c r="GU254" s="120"/>
      <c r="GV254" s="120"/>
      <c r="GW254" s="120"/>
      <c r="GX254" s="120"/>
      <c r="GY254" s="120"/>
      <c r="GZ254" s="120"/>
      <c r="HA254" s="120"/>
      <c r="HB254" s="120"/>
      <c r="HC254" s="120"/>
      <c r="HD254" s="120"/>
      <c r="HE254" s="120"/>
      <c r="HF254" s="120"/>
      <c r="HG254" s="120"/>
      <c r="HH254" s="120"/>
      <c r="HI254" s="120"/>
      <c r="HJ254" s="120"/>
      <c r="HK254" s="120"/>
      <c r="HL254" s="120"/>
      <c r="HM254" s="120"/>
      <c r="HN254" s="120"/>
      <c r="HO254" s="120"/>
      <c r="HP254" s="120"/>
      <c r="HQ254" s="120"/>
      <c r="HR254" s="120"/>
      <c r="HS254" s="120"/>
      <c r="HT254" s="120"/>
      <c r="HU254" s="120"/>
      <c r="HV254" s="120"/>
      <c r="HW254" s="120"/>
      <c r="HX254" s="120"/>
      <c r="HY254" s="120"/>
      <c r="HZ254" s="120"/>
      <c r="IA254" s="120"/>
      <c r="IB254" s="120"/>
      <c r="IC254" s="120"/>
      <c r="ID254" s="120"/>
      <c r="IE254" s="120"/>
      <c r="IF254" s="120"/>
      <c r="IG254" s="120"/>
      <c r="IH254" s="120"/>
      <c r="II254" s="120"/>
      <c r="IJ254" s="120"/>
      <c r="IK254" s="120"/>
      <c r="IL254" s="120"/>
      <c r="IM254" s="120"/>
      <c r="IN254" s="120"/>
      <c r="IO254" s="120"/>
      <c r="IP254" s="120"/>
      <c r="IQ254" s="120"/>
      <c r="IR254" s="120"/>
      <c r="IS254" s="120"/>
      <c r="IT254" s="120"/>
      <c r="IU254" s="120"/>
      <c r="IV254" s="120"/>
      <c r="IW254" s="120"/>
      <c r="IX254" s="120"/>
      <c r="IY254" s="120"/>
      <c r="IZ254" s="120"/>
      <c r="JA254" s="120"/>
      <c r="JB254" s="120"/>
      <c r="JC254" s="120"/>
      <c r="JD254" s="120"/>
      <c r="JE254" s="120"/>
      <c r="JF254" s="120"/>
      <c r="JG254" s="120"/>
      <c r="JH254" s="120"/>
      <c r="JI254" s="120"/>
      <c r="JJ254" s="120"/>
      <c r="JK254" s="120"/>
      <c r="JL254" s="120"/>
      <c r="JM254" s="120"/>
      <c r="JN254" s="120"/>
      <c r="JO254" s="120"/>
      <c r="JP254" s="120"/>
      <c r="JQ254" s="120"/>
      <c r="JR254" s="120"/>
      <c r="JS254" s="120"/>
      <c r="JT254" s="120"/>
      <c r="JU254" s="120"/>
      <c r="JV254" s="120"/>
      <c r="JW254" s="120"/>
      <c r="JX254" s="120"/>
      <c r="JY254" s="120"/>
      <c r="JZ254" s="120"/>
      <c r="KA254" s="120"/>
      <c r="KB254" s="120"/>
      <c r="KC254" s="120"/>
      <c r="KD254" s="120"/>
      <c r="KE254" s="120"/>
      <c r="KF254" s="120"/>
      <c r="KG254" s="120"/>
      <c r="KH254" s="120"/>
      <c r="KI254" s="120"/>
      <c r="KJ254" s="120"/>
      <c r="KK254" s="120"/>
      <c r="KL254" s="120"/>
      <c r="KM254" s="120"/>
      <c r="KN254" s="120"/>
      <c r="KO254" s="120"/>
      <c r="KP254" s="120"/>
      <c r="KQ254" s="120"/>
      <c r="KR254" s="120"/>
      <c r="KS254" s="120"/>
      <c r="KT254" s="120"/>
      <c r="KU254" s="120"/>
      <c r="KV254" s="120"/>
      <c r="KW254" s="120"/>
      <c r="KX254" s="120"/>
      <c r="KY254" s="120"/>
      <c r="KZ254" s="120"/>
      <c r="LA254" s="120"/>
      <c r="LB254" s="120"/>
      <c r="LC254" s="120"/>
      <c r="LD254" s="120"/>
      <c r="LE254" s="120"/>
      <c r="LF254" s="120"/>
      <c r="LG254" s="120"/>
      <c r="LH254" s="120"/>
      <c r="LI254" s="120"/>
      <c r="LJ254" s="120"/>
      <c r="LK254" s="120"/>
      <c r="LL254" s="120"/>
      <c r="LM254" s="120"/>
      <c r="LN254" s="120"/>
      <c r="LO254" s="120"/>
      <c r="LP254" s="120"/>
      <c r="LQ254" s="120"/>
      <c r="LR254" s="120"/>
      <c r="LS254" s="120"/>
      <c r="LT254" s="120"/>
      <c r="LU254" s="120"/>
      <c r="LV254" s="120"/>
      <c r="LW254" s="120"/>
      <c r="LX254" s="120"/>
      <c r="LY254" s="120"/>
      <c r="LZ254" s="120"/>
      <c r="MA254" s="120"/>
      <c r="MB254" s="120"/>
      <c r="MC254" s="120"/>
      <c r="MD254" s="120"/>
      <c r="ME254" s="120"/>
      <c r="MF254" s="120"/>
      <c r="MG254" s="120"/>
      <c r="MH254" s="120"/>
      <c r="MI254" s="120"/>
      <c r="MJ254" s="120"/>
      <c r="MK254" s="120"/>
      <c r="ML254" s="120"/>
      <c r="MM254" s="120"/>
      <c r="MN254" s="120"/>
      <c r="MO254" s="120"/>
      <c r="MP254" s="120"/>
      <c r="MQ254" s="120"/>
      <c r="MR254" s="120"/>
      <c r="MS254" s="120"/>
      <c r="MT254" s="120"/>
      <c r="MU254" s="120"/>
      <c r="MV254" s="120"/>
      <c r="MW254" s="120"/>
      <c r="MX254" s="120"/>
      <c r="MY254" s="120"/>
      <c r="MZ254" s="120"/>
      <c r="NA254" s="120"/>
      <c r="NB254" s="120"/>
      <c r="NC254" s="120"/>
      <c r="ND254" s="120"/>
      <c r="NE254" s="120"/>
      <c r="NF254" s="120"/>
      <c r="NG254" s="120"/>
      <c r="NH254" s="120"/>
      <c r="NI254" s="120"/>
      <c r="NJ254" s="120"/>
      <c r="NK254" s="120"/>
      <c r="NL254" s="120"/>
      <c r="NM254" s="120"/>
      <c r="NN254" s="120"/>
      <c r="NO254" s="120"/>
      <c r="NP254" s="120"/>
      <c r="NQ254" s="120"/>
      <c r="NR254" s="120"/>
      <c r="NS254" s="120"/>
      <c r="NT254" s="120"/>
      <c r="NU254" s="120"/>
      <c r="NV254" s="120"/>
      <c r="NW254" s="120"/>
      <c r="NX254" s="120"/>
      <c r="NY254" s="120"/>
      <c r="NZ254" s="120"/>
      <c r="OA254" s="120"/>
      <c r="OB254" s="120"/>
      <c r="OC254" s="120"/>
      <c r="OD254" s="120"/>
      <c r="OE254" s="120"/>
      <c r="OF254" s="120"/>
      <c r="OG254" s="120"/>
      <c r="OH254" s="120"/>
      <c r="OI254" s="120"/>
      <c r="OJ254" s="120"/>
      <c r="OK254" s="120"/>
      <c r="OL254" s="120"/>
      <c r="OM254" s="120"/>
      <c r="ON254" s="120"/>
      <c r="OO254" s="120"/>
      <c r="OP254" s="120"/>
      <c r="OQ254" s="120"/>
      <c r="OR254" s="120"/>
      <c r="OS254" s="120"/>
      <c r="OT254" s="120"/>
      <c r="OU254" s="120"/>
      <c r="OV254" s="120"/>
      <c r="OW254" s="120"/>
      <c r="OX254" s="120"/>
      <c r="OY254" s="120"/>
      <c r="OZ254" s="120"/>
      <c r="PA254" s="120"/>
      <c r="PB254" s="120"/>
      <c r="PC254" s="120"/>
      <c r="PD254" s="120"/>
      <c r="PE254" s="120"/>
      <c r="PF254" s="120"/>
      <c r="PG254" s="120"/>
      <c r="PH254" s="120"/>
      <c r="PI254" s="120"/>
      <c r="PJ254" s="120"/>
      <c r="PK254" s="120"/>
      <c r="PL254" s="120"/>
      <c r="PM254" s="120"/>
      <c r="PN254" s="120"/>
      <c r="PO254" s="120"/>
      <c r="PP254" s="120"/>
      <c r="PQ254" s="120"/>
      <c r="PR254" s="120"/>
      <c r="PS254" s="120"/>
      <c r="PT254" s="120"/>
      <c r="PU254" s="120"/>
      <c r="PV254" s="120"/>
      <c r="PW254" s="120"/>
      <c r="PX254" s="120"/>
      <c r="PY254" s="120"/>
      <c r="PZ254" s="120"/>
      <c r="QA254" s="120"/>
      <c r="QB254" s="120"/>
      <c r="QC254" s="120"/>
      <c r="QD254" s="120"/>
      <c r="QE254" s="120"/>
      <c r="QF254" s="120"/>
      <c r="QG254" s="120"/>
      <c r="QH254" s="120"/>
      <c r="QI254" s="120"/>
      <c r="QJ254" s="120"/>
      <c r="QK254" s="120"/>
      <c r="QL254" s="120"/>
      <c r="QM254" s="120"/>
      <c r="QN254" s="120"/>
      <c r="QO254" s="120"/>
      <c r="QP254" s="120"/>
      <c r="QQ254" s="120"/>
      <c r="QR254" s="120"/>
      <c r="QS254" s="120"/>
      <c r="QT254" s="120"/>
      <c r="QU254" s="120"/>
      <c r="QV254" s="120"/>
      <c r="QW254" s="120"/>
      <c r="QX254" s="120"/>
      <c r="QY254" s="120"/>
      <c r="QZ254" s="120"/>
      <c r="RA254" s="120"/>
      <c r="RB254" s="120"/>
      <c r="RC254" s="120"/>
      <c r="RD254" s="120"/>
      <c r="RE254" s="120"/>
      <c r="RF254" s="120"/>
      <c r="RG254" s="120"/>
      <c r="RH254" s="120"/>
      <c r="RI254" s="120"/>
      <c r="RJ254" s="120"/>
      <c r="RK254" s="120"/>
      <c r="RL254" s="120"/>
      <c r="RM254" s="120"/>
      <c r="RN254" s="120"/>
      <c r="RO254" s="120"/>
      <c r="RP254" s="120"/>
      <c r="RQ254" s="120"/>
      <c r="RR254" s="120"/>
      <c r="RS254" s="120"/>
      <c r="RT254" s="120"/>
      <c r="RU254" s="120"/>
      <c r="RV254" s="120"/>
      <c r="RW254" s="120"/>
      <c r="RX254" s="120"/>
      <c r="RY254" s="120"/>
      <c r="RZ254" s="120"/>
      <c r="SA254" s="120"/>
      <c r="SB254" s="120"/>
      <c r="SC254" s="120"/>
      <c r="SD254" s="120"/>
      <c r="SE254" s="120"/>
      <c r="SF254" s="120"/>
      <c r="SG254" s="120"/>
      <c r="SH254" s="120"/>
      <c r="SI254" s="120"/>
      <c r="SJ254" s="120"/>
      <c r="SK254" s="120"/>
      <c r="SL254" s="120"/>
      <c r="SM254" s="120"/>
      <c r="SN254" s="120"/>
      <c r="SO254" s="120"/>
      <c r="SP254" s="120"/>
      <c r="SQ254" s="120"/>
      <c r="SR254" s="120"/>
      <c r="SS254" s="120"/>
      <c r="ST254" s="120"/>
      <c r="SU254" s="120"/>
      <c r="SV254" s="120"/>
      <c r="SW254" s="120"/>
      <c r="SX254" s="120"/>
      <c r="SY254" s="120"/>
      <c r="SZ254" s="120"/>
      <c r="TA254" s="120"/>
      <c r="TB254" s="120"/>
      <c r="TC254" s="120"/>
      <c r="TD254" s="120"/>
      <c r="TE254" s="120"/>
      <c r="TF254" s="120"/>
      <c r="TG254" s="120"/>
      <c r="TH254" s="120"/>
      <c r="TI254" s="120"/>
      <c r="TJ254" s="120"/>
      <c r="TK254" s="120"/>
      <c r="TL254" s="120"/>
      <c r="TM254" s="120"/>
      <c r="TN254" s="120"/>
      <c r="TO254" s="120"/>
      <c r="TP254" s="120"/>
      <c r="TQ254" s="120"/>
      <c r="TR254" s="120"/>
      <c r="TS254" s="120"/>
      <c r="TT254" s="120"/>
      <c r="TU254" s="120"/>
      <c r="TV254" s="120"/>
      <c r="TW254" s="120"/>
      <c r="TX254" s="120"/>
      <c r="TY254" s="120"/>
      <c r="TZ254" s="120"/>
      <c r="UA254" s="120"/>
      <c r="UB254" s="120"/>
      <c r="UC254" s="120"/>
      <c r="UD254" s="120"/>
      <c r="UE254" s="120"/>
      <c r="UF254" s="120"/>
      <c r="UG254" s="120"/>
      <c r="UH254" s="120"/>
      <c r="UI254" s="120"/>
      <c r="UJ254" s="120"/>
      <c r="UK254" s="120"/>
      <c r="UL254" s="120"/>
      <c r="UM254" s="120"/>
      <c r="UN254" s="120"/>
      <c r="UO254" s="120"/>
      <c r="UP254" s="120"/>
      <c r="UQ254" s="120"/>
      <c r="UR254" s="120"/>
      <c r="US254" s="120"/>
      <c r="UT254" s="120"/>
      <c r="UU254" s="120"/>
      <c r="UV254" s="120"/>
      <c r="UW254" s="120"/>
      <c r="UX254" s="120"/>
      <c r="UY254" s="120"/>
      <c r="UZ254" s="120"/>
      <c r="VA254" s="120"/>
      <c r="VB254" s="120"/>
      <c r="VC254" s="120"/>
      <c r="VD254" s="120"/>
      <c r="VE254" s="120"/>
      <c r="VF254" s="120"/>
      <c r="VG254" s="120"/>
      <c r="VH254" s="120"/>
      <c r="VI254" s="120"/>
      <c r="VJ254" s="120"/>
      <c r="VK254" s="120"/>
      <c r="VL254" s="120"/>
      <c r="VM254" s="120"/>
      <c r="VN254" s="120"/>
      <c r="VO254" s="120"/>
      <c r="VP254" s="120"/>
      <c r="VQ254" s="120"/>
      <c r="VR254" s="120"/>
      <c r="VS254" s="120"/>
      <c r="VT254" s="120"/>
      <c r="VU254" s="120"/>
      <c r="VV254" s="120"/>
      <c r="VW254" s="120"/>
      <c r="VX254" s="120"/>
      <c r="VY254" s="120"/>
      <c r="VZ254" s="120"/>
      <c r="WA254" s="120"/>
      <c r="WB254" s="120"/>
      <c r="WC254" s="120"/>
      <c r="WD254" s="120"/>
      <c r="WE254" s="120"/>
      <c r="WF254" s="120"/>
      <c r="WG254" s="120"/>
      <c r="WH254" s="120"/>
      <c r="WI254" s="120"/>
      <c r="WJ254" s="120"/>
      <c r="WK254" s="120"/>
      <c r="WL254" s="120"/>
      <c r="WM254" s="120"/>
      <c r="WN254" s="120"/>
      <c r="WO254" s="120"/>
      <c r="WP254" s="120"/>
      <c r="WQ254" s="120"/>
      <c r="WR254" s="120"/>
      <c r="WS254" s="120"/>
      <c r="WT254" s="120"/>
      <c r="WU254" s="120"/>
      <c r="WV254" s="120"/>
      <c r="WW254" s="120"/>
      <c r="WX254" s="120"/>
      <c r="WY254" s="120"/>
      <c r="WZ254" s="120"/>
      <c r="XA254" s="120"/>
      <c r="XB254" s="120"/>
      <c r="XC254" s="120"/>
      <c r="XD254" s="120"/>
      <c r="XE254" s="120"/>
      <c r="XF254" s="120"/>
      <c r="XG254" s="120"/>
      <c r="XH254" s="120"/>
      <c r="XI254" s="120"/>
      <c r="XJ254" s="120"/>
      <c r="XK254" s="120"/>
      <c r="XL254" s="120"/>
      <c r="XM254" s="120"/>
      <c r="XN254" s="120"/>
      <c r="XO254" s="120"/>
      <c r="XP254" s="120"/>
      <c r="XQ254" s="120"/>
      <c r="XR254" s="120"/>
      <c r="XS254" s="120"/>
      <c r="XT254" s="120"/>
      <c r="XU254" s="120"/>
      <c r="XV254" s="120"/>
      <c r="XW254" s="120"/>
      <c r="XX254" s="120"/>
      <c r="XY254" s="120"/>
      <c r="XZ254" s="120"/>
      <c r="YA254" s="120"/>
      <c r="YB254" s="120"/>
      <c r="YC254" s="120"/>
      <c r="YD254" s="120"/>
      <c r="YE254" s="120"/>
      <c r="YF254" s="120"/>
      <c r="YG254" s="120"/>
      <c r="YH254" s="120"/>
      <c r="YI254" s="120"/>
      <c r="YJ254" s="120"/>
      <c r="YK254" s="120"/>
      <c r="YL254" s="120"/>
      <c r="YM254" s="120"/>
      <c r="YN254" s="120"/>
      <c r="YO254" s="120"/>
      <c r="YP254" s="120"/>
      <c r="YQ254" s="120"/>
      <c r="YR254" s="120"/>
      <c r="YS254" s="120"/>
      <c r="YT254" s="120"/>
      <c r="YU254" s="120"/>
      <c r="YV254" s="120"/>
      <c r="YW254" s="120"/>
      <c r="YX254" s="120"/>
      <c r="YY254" s="120"/>
      <c r="YZ254" s="120"/>
      <c r="ZA254" s="120"/>
      <c r="ZB254" s="120"/>
      <c r="ZC254" s="120"/>
      <c r="ZD254" s="120"/>
      <c r="ZE254" s="120"/>
      <c r="ZF254" s="120"/>
      <c r="ZG254" s="120"/>
      <c r="ZH254" s="120"/>
      <c r="ZI254" s="120"/>
      <c r="ZJ254" s="120"/>
      <c r="ZK254" s="120"/>
      <c r="ZL254" s="120"/>
      <c r="ZM254" s="120"/>
      <c r="ZN254" s="120"/>
      <c r="ZO254" s="120"/>
      <c r="ZP254" s="120"/>
      <c r="ZQ254" s="120"/>
      <c r="ZR254" s="120"/>
      <c r="ZS254" s="120"/>
      <c r="ZT254" s="120"/>
      <c r="ZU254" s="120"/>
      <c r="ZV254" s="120"/>
      <c r="ZW254" s="120"/>
      <c r="ZX254" s="120"/>
      <c r="ZY254" s="120"/>
      <c r="ZZ254" s="120"/>
      <c r="AAA254" s="120"/>
      <c r="AAB254" s="120"/>
      <c r="AAC254" s="120"/>
      <c r="AAD254" s="120"/>
      <c r="AAE254" s="120"/>
      <c r="AAF254" s="120"/>
      <c r="AAG254" s="120"/>
      <c r="AAH254" s="120"/>
      <c r="AAI254" s="120"/>
      <c r="AAJ254" s="120"/>
      <c r="AAK254" s="120"/>
      <c r="AAL254" s="120"/>
      <c r="AAM254" s="120"/>
      <c r="AAN254" s="120"/>
      <c r="AAO254" s="120"/>
      <c r="AAP254" s="120"/>
      <c r="AAQ254" s="120"/>
      <c r="AAR254" s="120"/>
      <c r="AAS254" s="120"/>
      <c r="AAT254" s="120"/>
      <c r="AAU254" s="120"/>
      <c r="AAV254" s="120"/>
      <c r="AAW254" s="120"/>
      <c r="AAX254" s="120"/>
      <c r="AAY254" s="120"/>
      <c r="AAZ254" s="120"/>
      <c r="ABA254" s="120"/>
      <c r="ABB254" s="120"/>
      <c r="ABC254" s="120"/>
      <c r="ABD254" s="120"/>
      <c r="ABE254" s="120"/>
      <c r="ABF254" s="120"/>
      <c r="ABG254" s="120"/>
      <c r="ABH254" s="120"/>
      <c r="ABI254" s="120"/>
      <c r="ABJ254" s="120"/>
      <c r="ABK254" s="120"/>
      <c r="ABL254" s="120"/>
      <c r="ABM254" s="120"/>
      <c r="ABN254" s="120"/>
      <c r="ABO254" s="120"/>
      <c r="ABP254" s="120"/>
      <c r="ABQ254" s="120"/>
      <c r="ABR254" s="120"/>
      <c r="ABS254" s="120"/>
      <c r="ABT254" s="120"/>
      <c r="ABU254" s="120"/>
      <c r="ABV254" s="120"/>
      <c r="ABW254" s="120"/>
      <c r="ABX254" s="120"/>
      <c r="ABY254" s="120"/>
      <c r="ABZ254" s="120"/>
      <c r="ACA254" s="120"/>
      <c r="ACB254" s="120"/>
      <c r="ACC254" s="120"/>
      <c r="ACD254" s="120"/>
      <c r="ACE254" s="120"/>
      <c r="ACF254" s="120"/>
      <c r="ACG254" s="120"/>
      <c r="ACH254" s="120"/>
      <c r="ACI254" s="120"/>
      <c r="ACJ254" s="120"/>
      <c r="ACK254" s="120"/>
      <c r="ACL254" s="120"/>
      <c r="ACM254" s="120"/>
      <c r="ACN254" s="120"/>
      <c r="ACO254" s="120"/>
      <c r="ACP254" s="120"/>
      <c r="ACQ254" s="120"/>
      <c r="ACR254" s="120"/>
      <c r="ACS254" s="120"/>
      <c r="ACT254" s="120"/>
      <c r="ACU254" s="120"/>
      <c r="ACV254" s="120"/>
      <c r="ACW254" s="120"/>
      <c r="ACX254" s="120"/>
      <c r="ACY254" s="120"/>
      <c r="ACZ254" s="120"/>
      <c r="ADA254" s="120"/>
      <c r="ADB254" s="120"/>
      <c r="ADC254" s="120"/>
      <c r="ADD254" s="120"/>
      <c r="ADE254" s="120"/>
      <c r="ADF254" s="120"/>
      <c r="ADG254" s="120"/>
      <c r="ADH254" s="120"/>
      <c r="ADI254" s="120"/>
      <c r="ADJ254" s="120"/>
      <c r="ADK254" s="120"/>
      <c r="ADL254" s="120"/>
      <c r="ADM254" s="120"/>
      <c r="ADN254" s="120"/>
      <c r="ADO254" s="120"/>
      <c r="ADP254" s="120"/>
      <c r="ADQ254" s="120"/>
      <c r="ADR254" s="120"/>
      <c r="ADS254" s="120"/>
      <c r="ADT254" s="120"/>
      <c r="ADU254" s="120"/>
      <c r="ADV254" s="120"/>
      <c r="ADW254" s="120"/>
      <c r="ADX254" s="120"/>
      <c r="ADY254" s="120"/>
      <c r="ADZ254" s="120"/>
      <c r="AEA254" s="120"/>
      <c r="AEB254" s="120"/>
      <c r="AEC254" s="120"/>
      <c r="AED254" s="120"/>
      <c r="AEE254" s="120"/>
      <c r="AEF254" s="120"/>
      <c r="AEG254" s="120"/>
      <c r="AEH254" s="120"/>
      <c r="AEI254" s="120"/>
      <c r="AEJ254" s="120"/>
      <c r="AEK254" s="120"/>
      <c r="AEL254" s="120"/>
      <c r="AEM254" s="120"/>
      <c r="AEN254" s="120"/>
      <c r="AEO254" s="120"/>
      <c r="AEP254" s="120"/>
      <c r="AEQ254" s="120"/>
      <c r="AER254" s="120"/>
      <c r="AES254" s="120"/>
      <c r="AET254" s="120"/>
      <c r="AEU254" s="120"/>
      <c r="AEV254" s="120"/>
      <c r="AEW254" s="120"/>
      <c r="AEX254" s="120"/>
      <c r="AEY254" s="120"/>
      <c r="AEZ254" s="120"/>
      <c r="AFA254" s="120"/>
      <c r="AFB254" s="120"/>
      <c r="AFC254" s="120"/>
      <c r="AFD254" s="120"/>
      <c r="AFE254" s="120"/>
      <c r="AFF254" s="120"/>
      <c r="AFG254" s="120"/>
      <c r="AFH254" s="120"/>
      <c r="AFI254" s="120"/>
      <c r="AFJ254" s="120"/>
      <c r="AFK254" s="120"/>
      <c r="AFL254" s="120"/>
      <c r="AFM254" s="120"/>
      <c r="AFN254" s="120"/>
      <c r="AFO254" s="120"/>
      <c r="AFP254" s="120"/>
      <c r="AFQ254" s="120"/>
      <c r="AFR254" s="120"/>
      <c r="AFS254" s="120"/>
      <c r="AFT254" s="120"/>
      <c r="AFU254" s="120"/>
      <c r="AFV254" s="120"/>
      <c r="AFW254" s="120"/>
      <c r="AFX254" s="120"/>
      <c r="AFY254" s="120"/>
      <c r="AFZ254" s="120"/>
      <c r="AGA254" s="120"/>
      <c r="AGB254" s="120"/>
      <c r="AGC254" s="120"/>
      <c r="AGD254" s="120"/>
      <c r="AGE254" s="120"/>
      <c r="AGF254" s="120"/>
      <c r="AGG254" s="120"/>
      <c r="AGH254" s="120"/>
      <c r="AGI254" s="120"/>
      <c r="AGJ254" s="120"/>
      <c r="AGK254" s="120"/>
      <c r="AGL254" s="120"/>
      <c r="AGM254" s="120"/>
      <c r="AGN254" s="120"/>
      <c r="AGO254" s="120"/>
      <c r="AGP254" s="120"/>
      <c r="AGQ254" s="120"/>
      <c r="AGR254" s="120"/>
      <c r="AGS254" s="120"/>
      <c r="AGT254" s="120"/>
      <c r="AGU254" s="120"/>
      <c r="AGV254" s="120"/>
      <c r="AGW254" s="120"/>
      <c r="AGX254" s="120"/>
      <c r="AGY254" s="120"/>
      <c r="AGZ254" s="120"/>
      <c r="AHA254" s="120"/>
      <c r="AHB254" s="120"/>
      <c r="AHC254" s="120"/>
      <c r="AHD254" s="120"/>
      <c r="AHE254" s="120"/>
      <c r="AHF254" s="120"/>
      <c r="AHG254" s="120"/>
      <c r="AHH254" s="120"/>
      <c r="AHI254" s="120"/>
      <c r="AHJ254" s="120"/>
      <c r="AHK254" s="120"/>
      <c r="AHL254" s="120"/>
      <c r="AHM254" s="120"/>
      <c r="AHN254" s="120"/>
      <c r="AHO254" s="120"/>
      <c r="AHP254" s="120"/>
      <c r="AHQ254" s="120"/>
      <c r="AHR254" s="120"/>
      <c r="AHS254" s="120"/>
      <c r="AHT254" s="120"/>
      <c r="AHU254" s="120"/>
      <c r="AHV254" s="120"/>
      <c r="AHW254" s="120"/>
      <c r="AHX254" s="120"/>
      <c r="AHY254" s="120"/>
      <c r="AHZ254" s="120"/>
      <c r="AIA254" s="120"/>
      <c r="AIB254" s="120"/>
      <c r="AIC254" s="120"/>
      <c r="AID254" s="120"/>
      <c r="AIE254" s="120"/>
      <c r="AIF254" s="120"/>
      <c r="AIG254" s="120"/>
      <c r="AIH254" s="120"/>
      <c r="AII254" s="120"/>
      <c r="AIJ254" s="120"/>
      <c r="AIK254" s="120"/>
      <c r="AIL254" s="120"/>
      <c r="AIM254" s="120"/>
      <c r="AIN254" s="120"/>
      <c r="AIO254" s="120"/>
      <c r="AIP254" s="120"/>
      <c r="AIQ254" s="120"/>
      <c r="AIR254" s="120"/>
      <c r="AIS254" s="120"/>
      <c r="AIT254" s="120"/>
      <c r="AIU254" s="120"/>
      <c r="AIV254" s="120"/>
      <c r="AIW254" s="120"/>
      <c r="AIX254" s="120"/>
      <c r="AIY254" s="120"/>
      <c r="AIZ254" s="120"/>
    </row>
    <row r="255">
      <c r="A255" s="112" t="s">
        <v>35</v>
      </c>
      <c r="B255" s="112" t="s">
        <v>75</v>
      </c>
      <c r="C255" s="112"/>
      <c r="D255" s="113">
        <f t="shared" si="1"/>
        <v>610.98895</v>
      </c>
      <c r="E255" s="112">
        <v>71.6630666666666</v>
      </c>
      <c r="F255" s="113"/>
      <c r="G255" s="113"/>
      <c r="H255" s="113"/>
      <c r="I255" s="113"/>
      <c r="J255" s="113"/>
      <c r="K255" s="113"/>
      <c r="L255" s="112">
        <v>0.817866666666667</v>
      </c>
      <c r="M255" s="112">
        <v>21.2479333333333</v>
      </c>
      <c r="N255" s="113"/>
      <c r="O255" s="112">
        <v>0.122633333333333</v>
      </c>
      <c r="P255" s="112">
        <v>144.553583333333</v>
      </c>
      <c r="Q255" s="113"/>
      <c r="R255" s="113"/>
      <c r="S255" s="113"/>
      <c r="T255" s="113"/>
      <c r="U255" s="113"/>
      <c r="V255" s="112">
        <v>1.74348333333333</v>
      </c>
      <c r="W255" s="112">
        <v>99.5759333333333</v>
      </c>
      <c r="X255" s="113"/>
      <c r="Y255" s="113"/>
      <c r="Z255" s="113"/>
      <c r="AA255" s="113"/>
      <c r="AB255" s="113"/>
      <c r="AC255" s="112">
        <v>2.97293333333333</v>
      </c>
      <c r="AD255" s="112">
        <v>32.1291833333333</v>
      </c>
      <c r="AE255" s="113"/>
      <c r="AF255" s="113"/>
      <c r="AG255" s="113"/>
      <c r="AH255" s="113"/>
      <c r="AI255" s="113"/>
      <c r="AJ255" s="112">
        <v>1.56206666666667</v>
      </c>
      <c r="AK255" s="112">
        <v>30.5570666666667</v>
      </c>
      <c r="AL255" s="113"/>
      <c r="AM255" s="113"/>
      <c r="AN255" s="113"/>
      <c r="AO255" s="112">
        <v>3.77741666666667</v>
      </c>
      <c r="AP255" s="112">
        <v>8.96965</v>
      </c>
      <c r="AQ255" s="113"/>
      <c r="AR255" s="113"/>
      <c r="AS255" s="112">
        <v>0.667016666666667</v>
      </c>
      <c r="AT255" s="112">
        <v>183.392316666667</v>
      </c>
      <c r="AU255" s="113"/>
      <c r="AV255" s="112">
        <v>6.69116666666667</v>
      </c>
      <c r="AW255" s="112">
        <v>0.545633333333333</v>
      </c>
      <c r="AX255" s="113"/>
      <c r="AY255" s="113"/>
      <c r="AZ255" s="113"/>
      <c r="BA255" s="113"/>
      <c r="BB255" s="113"/>
      <c r="BC255" s="113"/>
      <c r="BD255" s="113"/>
      <c r="BE255" s="113"/>
      <c r="BF255" s="113"/>
      <c r="BG255" s="113"/>
      <c r="BH255" s="113"/>
      <c r="BI255" s="113"/>
      <c r="BJ255" s="113"/>
      <c r="BK255" s="113"/>
      <c r="BL255" s="113"/>
      <c r="BM255" s="113"/>
      <c r="BN255" s="113"/>
      <c r="BO255" s="113"/>
      <c r="BP255" s="113"/>
      <c r="BQ255" s="113"/>
      <c r="BR255" s="113"/>
      <c r="BS255" s="113"/>
      <c r="BT255" s="113"/>
      <c r="BU255" s="113"/>
      <c r="BV255" s="113"/>
      <c r="BW255" s="113"/>
      <c r="BX255" s="113"/>
      <c r="BY255" s="113"/>
      <c r="BZ255" s="113"/>
      <c r="CA255" s="113"/>
      <c r="CB255" s="113"/>
      <c r="CC255" s="113"/>
      <c r="CD255" s="113"/>
      <c r="CE255" s="113"/>
      <c r="CF255" s="113"/>
      <c r="CG255" s="113"/>
      <c r="CH255" s="113"/>
      <c r="CI255" s="113"/>
      <c r="CJ255" s="113"/>
      <c r="CK255" s="113"/>
      <c r="CL255" s="113"/>
      <c r="CM255" s="113"/>
      <c r="CN255" s="113"/>
      <c r="CO255" s="113"/>
      <c r="CP255" s="113"/>
      <c r="CQ255" s="113"/>
      <c r="CR255" s="113"/>
      <c r="CS255" s="113"/>
      <c r="CT255" s="113"/>
      <c r="CU255" s="113"/>
      <c r="CV255" s="113"/>
      <c r="CW255" s="113"/>
      <c r="CX255" s="113"/>
      <c r="CY255" s="113"/>
      <c r="CZ255" s="113"/>
      <c r="DA255" s="113"/>
      <c r="DB255" s="113"/>
      <c r="DC255" s="113"/>
      <c r="DD255" s="113"/>
      <c r="DE255" s="113"/>
      <c r="DF255" s="113"/>
      <c r="DG255" s="113"/>
      <c r="DH255" s="113"/>
      <c r="DI255" s="113"/>
      <c r="DJ255" s="113"/>
      <c r="DK255" s="113"/>
      <c r="DL255" s="113"/>
      <c r="DM255" s="113"/>
      <c r="DN255" s="113"/>
      <c r="DO255" s="113"/>
      <c r="DP255" s="113"/>
      <c r="DQ255" s="113"/>
      <c r="DR255" s="113"/>
      <c r="DS255" s="113"/>
      <c r="DT255" s="113"/>
      <c r="DU255" s="113"/>
      <c r="DV255" s="113"/>
      <c r="DW255" s="113"/>
      <c r="DX255" s="113"/>
      <c r="DY255" s="113"/>
      <c r="DZ255" s="113"/>
      <c r="EA255" s="113"/>
      <c r="EB255" s="113"/>
      <c r="EC255" s="113"/>
      <c r="ED255" s="113"/>
      <c r="EE255" s="113"/>
      <c r="EF255" s="113"/>
      <c r="EG255" s="113"/>
      <c r="EH255" s="113"/>
      <c r="EI255" s="113"/>
      <c r="EJ255" s="113"/>
      <c r="EK255" s="113"/>
      <c r="EL255" s="113"/>
      <c r="EM255" s="113"/>
      <c r="EN255" s="113"/>
      <c r="EO255" s="113"/>
      <c r="EP255" s="113"/>
      <c r="EQ255" s="113"/>
      <c r="ER255" s="113"/>
      <c r="ES255" s="113"/>
      <c r="ET255" s="113"/>
      <c r="EU255" s="113"/>
      <c r="EV255" s="113"/>
      <c r="EW255" s="113"/>
      <c r="EX255" s="113"/>
      <c r="EY255" s="113"/>
      <c r="EZ255" s="113"/>
      <c r="FA255" s="113"/>
      <c r="FB255" s="113"/>
      <c r="FC255" s="113"/>
      <c r="FD255" s="113"/>
      <c r="FE255" s="113"/>
      <c r="FF255" s="113"/>
      <c r="FG255" s="113"/>
      <c r="FH255" s="113"/>
      <c r="FI255" s="113"/>
      <c r="FJ255" s="113"/>
      <c r="FK255" s="113"/>
      <c r="FL255" s="113"/>
      <c r="FM255" s="113"/>
      <c r="FN255" s="113"/>
      <c r="FO255" s="113"/>
      <c r="FP255" s="113"/>
      <c r="FQ255" s="113"/>
      <c r="FR255" s="113"/>
      <c r="FS255" s="113"/>
      <c r="FT255" s="113"/>
      <c r="FU255" s="113"/>
      <c r="FV255" s="113"/>
      <c r="FW255" s="113"/>
      <c r="FX255" s="113"/>
      <c r="FY255" s="113"/>
      <c r="FZ255" s="113"/>
      <c r="GA255" s="113"/>
      <c r="GB255" s="113"/>
      <c r="GC255" s="113"/>
      <c r="GD255" s="113"/>
      <c r="GE255" s="113"/>
      <c r="GF255" s="113"/>
      <c r="GG255" s="113"/>
      <c r="GH255" s="113"/>
      <c r="GI255" s="113"/>
      <c r="GJ255" s="113"/>
      <c r="GK255" s="113"/>
      <c r="GL255" s="113"/>
      <c r="GM255" s="113"/>
      <c r="GN255" s="113"/>
      <c r="GO255" s="113"/>
      <c r="GP255" s="113"/>
      <c r="GQ255" s="113"/>
      <c r="GR255" s="113"/>
      <c r="GS255" s="113"/>
      <c r="GT255" s="113"/>
      <c r="GU255" s="113"/>
      <c r="GV255" s="113"/>
      <c r="GW255" s="113"/>
      <c r="GX255" s="113"/>
      <c r="GY255" s="113"/>
      <c r="GZ255" s="113"/>
      <c r="HA255" s="113"/>
      <c r="HB255" s="113"/>
      <c r="HC255" s="113"/>
      <c r="HD255" s="113"/>
      <c r="HE255" s="113"/>
      <c r="HF255" s="113"/>
      <c r="HG255" s="113"/>
      <c r="HH255" s="113"/>
      <c r="HI255" s="113"/>
      <c r="HJ255" s="113"/>
      <c r="HK255" s="113"/>
      <c r="HL255" s="113"/>
      <c r="HM255" s="113"/>
      <c r="HN255" s="113"/>
      <c r="HO255" s="113"/>
      <c r="HP255" s="113"/>
      <c r="HQ255" s="113"/>
      <c r="HR255" s="113"/>
      <c r="HS255" s="113"/>
      <c r="HT255" s="113"/>
      <c r="HU255" s="113"/>
      <c r="HV255" s="113"/>
      <c r="HW255" s="113"/>
      <c r="HX255" s="113"/>
      <c r="HY255" s="113"/>
      <c r="HZ255" s="113"/>
      <c r="IA255" s="113"/>
      <c r="IB255" s="113"/>
      <c r="IC255" s="113"/>
      <c r="ID255" s="113"/>
      <c r="IE255" s="113"/>
      <c r="IF255" s="113"/>
      <c r="IG255" s="113"/>
      <c r="IH255" s="113"/>
      <c r="II255" s="113"/>
      <c r="IJ255" s="113"/>
      <c r="IK255" s="113"/>
      <c r="IL255" s="113"/>
      <c r="IM255" s="113"/>
      <c r="IN255" s="113"/>
      <c r="IO255" s="113"/>
      <c r="IP255" s="113"/>
      <c r="IQ255" s="113"/>
      <c r="IR255" s="113"/>
      <c r="IS255" s="113"/>
      <c r="IT255" s="113"/>
      <c r="IU255" s="113"/>
      <c r="IV255" s="113"/>
      <c r="IW255" s="113"/>
      <c r="IX255" s="113"/>
      <c r="IY255" s="113"/>
      <c r="IZ255" s="113"/>
      <c r="JA255" s="113"/>
      <c r="JB255" s="113"/>
      <c r="JC255" s="113"/>
      <c r="JD255" s="113"/>
      <c r="JE255" s="113"/>
      <c r="JF255" s="113"/>
      <c r="JG255" s="113"/>
      <c r="JH255" s="113"/>
      <c r="JI255" s="113"/>
      <c r="JJ255" s="113"/>
      <c r="JK255" s="113"/>
      <c r="JL255" s="113"/>
      <c r="JM255" s="113"/>
      <c r="JN255" s="113"/>
      <c r="JO255" s="113"/>
      <c r="JP255" s="113"/>
      <c r="JQ255" s="113"/>
      <c r="JR255" s="113"/>
      <c r="JS255" s="113"/>
      <c r="JT255" s="113"/>
      <c r="JU255" s="113"/>
      <c r="JV255" s="113"/>
      <c r="JW255" s="113"/>
      <c r="JX255" s="113"/>
      <c r="JY255" s="113"/>
      <c r="JZ255" s="113"/>
      <c r="KA255" s="113"/>
      <c r="KB255" s="113"/>
      <c r="KC255" s="113"/>
      <c r="KD255" s="113"/>
      <c r="KE255" s="113"/>
      <c r="KF255" s="113"/>
      <c r="KG255" s="113"/>
      <c r="KH255" s="113"/>
      <c r="KI255" s="113"/>
      <c r="KJ255" s="113"/>
      <c r="KK255" s="113"/>
      <c r="KL255" s="113"/>
      <c r="KM255" s="113"/>
      <c r="KN255" s="113"/>
      <c r="KO255" s="113"/>
      <c r="KP255" s="113"/>
      <c r="KQ255" s="113"/>
      <c r="KR255" s="113"/>
      <c r="KS255" s="113"/>
      <c r="KT255" s="113"/>
      <c r="KU255" s="113"/>
      <c r="KV255" s="113"/>
      <c r="KW255" s="113"/>
      <c r="KX255" s="113"/>
      <c r="KY255" s="113"/>
      <c r="KZ255" s="113"/>
      <c r="LA255" s="113"/>
      <c r="LB255" s="113"/>
      <c r="LC255" s="113"/>
      <c r="LD255" s="113"/>
      <c r="LE255" s="113"/>
      <c r="LF255" s="113"/>
      <c r="LG255" s="113"/>
      <c r="LH255" s="113"/>
      <c r="LI255" s="113"/>
      <c r="LJ255" s="113"/>
      <c r="LK255" s="113"/>
      <c r="LL255" s="113"/>
      <c r="LM255" s="113"/>
      <c r="LN255" s="113"/>
      <c r="LO255" s="113"/>
      <c r="LP255" s="113"/>
      <c r="LQ255" s="113"/>
      <c r="LR255" s="113"/>
      <c r="LS255" s="113"/>
      <c r="LT255" s="113"/>
      <c r="LU255" s="113"/>
      <c r="LV255" s="113"/>
      <c r="LW255" s="113"/>
      <c r="LX255" s="113"/>
      <c r="LY255" s="113"/>
      <c r="LZ255" s="113"/>
      <c r="MA255" s="113"/>
      <c r="MB255" s="113"/>
      <c r="MC255" s="113"/>
      <c r="MD255" s="113"/>
      <c r="ME255" s="113"/>
      <c r="MF255" s="113"/>
      <c r="MG255" s="113"/>
      <c r="MH255" s="113"/>
      <c r="MI255" s="113"/>
      <c r="MJ255" s="113"/>
      <c r="MK255" s="113"/>
      <c r="ML255" s="113"/>
      <c r="MM255" s="113"/>
      <c r="MN255" s="113"/>
      <c r="MO255" s="113"/>
      <c r="MP255" s="113"/>
      <c r="MQ255" s="113"/>
      <c r="MR255" s="113"/>
      <c r="MS255" s="113"/>
      <c r="MT255" s="113"/>
      <c r="MU255" s="113"/>
      <c r="MV255" s="113"/>
      <c r="MW255" s="113"/>
      <c r="MX255" s="113"/>
      <c r="MY255" s="113"/>
      <c r="MZ255" s="113"/>
      <c r="NA255" s="113"/>
      <c r="NB255" s="113"/>
      <c r="NC255" s="113"/>
      <c r="ND255" s="113"/>
      <c r="NE255" s="113"/>
      <c r="NF255" s="113"/>
      <c r="NG255" s="113"/>
      <c r="NH255" s="113"/>
      <c r="NI255" s="113"/>
      <c r="NJ255" s="113"/>
      <c r="NK255" s="113"/>
      <c r="NL255" s="113"/>
      <c r="NM255" s="113"/>
      <c r="NN255" s="113"/>
      <c r="NO255" s="113"/>
      <c r="NP255" s="113"/>
      <c r="NQ255" s="113"/>
      <c r="NR255" s="113"/>
      <c r="NS255" s="113"/>
      <c r="NT255" s="113"/>
      <c r="NU255" s="113"/>
      <c r="NV255" s="113"/>
      <c r="NW255" s="113"/>
      <c r="NX255" s="113"/>
      <c r="NY255" s="113"/>
      <c r="NZ255" s="113"/>
      <c r="OA255" s="113"/>
      <c r="OB255" s="113"/>
      <c r="OC255" s="113"/>
      <c r="OD255" s="113"/>
      <c r="OE255" s="113"/>
      <c r="OF255" s="113"/>
      <c r="OG255" s="113"/>
      <c r="OH255" s="113"/>
      <c r="OI255" s="113"/>
      <c r="OJ255" s="113"/>
      <c r="OK255" s="113"/>
      <c r="OL255" s="113"/>
      <c r="OM255" s="113"/>
      <c r="ON255" s="113"/>
      <c r="OO255" s="113"/>
      <c r="OP255" s="113"/>
      <c r="OQ255" s="113"/>
      <c r="OR255" s="113"/>
      <c r="OS255" s="113"/>
      <c r="OT255" s="113"/>
      <c r="OU255" s="113"/>
      <c r="OV255" s="113"/>
      <c r="OW255" s="113"/>
      <c r="OX255" s="113"/>
      <c r="OY255" s="113"/>
      <c r="OZ255" s="113"/>
      <c r="PA255" s="113"/>
      <c r="PB255" s="113"/>
      <c r="PC255" s="113"/>
      <c r="PD255" s="113"/>
      <c r="PE255" s="113"/>
      <c r="PF255" s="113"/>
      <c r="PG255" s="113"/>
      <c r="PH255" s="113"/>
      <c r="PI255" s="113"/>
      <c r="PJ255" s="113"/>
      <c r="PK255" s="113"/>
      <c r="PL255" s="113"/>
      <c r="PM255" s="113"/>
      <c r="PN255" s="113"/>
      <c r="PO255" s="113"/>
      <c r="PP255" s="113"/>
      <c r="PQ255" s="113"/>
      <c r="PR255" s="113"/>
      <c r="PS255" s="113"/>
      <c r="PT255" s="113"/>
      <c r="PU255" s="113"/>
      <c r="PV255" s="113"/>
      <c r="PW255" s="113"/>
      <c r="PX255" s="113"/>
      <c r="PY255" s="113"/>
      <c r="PZ255" s="113"/>
      <c r="QA255" s="113"/>
      <c r="QB255" s="113"/>
      <c r="QC255" s="113"/>
      <c r="QD255" s="113"/>
      <c r="QE255" s="113"/>
      <c r="QF255" s="113"/>
      <c r="QG255" s="113"/>
      <c r="QH255" s="113"/>
      <c r="QI255" s="113"/>
      <c r="QJ255" s="113"/>
      <c r="QK255" s="113"/>
      <c r="QL255" s="113"/>
      <c r="QM255" s="113"/>
      <c r="QN255" s="113"/>
      <c r="QO255" s="113"/>
      <c r="QP255" s="113"/>
      <c r="QQ255" s="113"/>
      <c r="QR255" s="113"/>
      <c r="QS255" s="113"/>
      <c r="QT255" s="113"/>
      <c r="QU255" s="113"/>
      <c r="QV255" s="113"/>
      <c r="QW255" s="113"/>
      <c r="QX255" s="113"/>
      <c r="QY255" s="113"/>
      <c r="QZ255" s="113"/>
      <c r="RA255" s="113"/>
      <c r="RB255" s="113"/>
      <c r="RC255" s="113"/>
      <c r="RD255" s="113"/>
      <c r="RE255" s="113"/>
      <c r="RF255" s="113"/>
      <c r="RG255" s="113"/>
      <c r="RH255" s="113"/>
      <c r="RI255" s="113"/>
      <c r="RJ255" s="113"/>
      <c r="RK255" s="113"/>
      <c r="RL255" s="113"/>
      <c r="RM255" s="113"/>
      <c r="RN255" s="113"/>
      <c r="RO255" s="113"/>
      <c r="RP255" s="113"/>
      <c r="RQ255" s="113"/>
      <c r="RR255" s="113"/>
      <c r="RS255" s="113"/>
      <c r="RT255" s="113"/>
      <c r="RU255" s="113"/>
      <c r="RV255" s="113"/>
      <c r="RW255" s="113"/>
      <c r="RX255" s="113"/>
      <c r="RY255" s="113"/>
      <c r="RZ255" s="113"/>
      <c r="SA255" s="113"/>
      <c r="SB255" s="113"/>
      <c r="SC255" s="113"/>
      <c r="SD255" s="113"/>
      <c r="SE255" s="113"/>
      <c r="SF255" s="113"/>
      <c r="SG255" s="113"/>
      <c r="SH255" s="113"/>
      <c r="SI255" s="113"/>
      <c r="SJ255" s="113"/>
      <c r="SK255" s="113"/>
      <c r="SL255" s="113"/>
      <c r="SM255" s="113"/>
      <c r="SN255" s="113"/>
      <c r="SO255" s="113"/>
      <c r="SP255" s="113"/>
      <c r="SQ255" s="113"/>
      <c r="SR255" s="113"/>
      <c r="SS255" s="113"/>
      <c r="ST255" s="113"/>
      <c r="SU255" s="113"/>
      <c r="SV255" s="113"/>
      <c r="SW255" s="113"/>
      <c r="SX255" s="113"/>
      <c r="SY255" s="113"/>
      <c r="SZ255" s="113"/>
      <c r="TA255" s="113"/>
      <c r="TB255" s="113"/>
      <c r="TC255" s="113"/>
      <c r="TD255" s="113"/>
      <c r="TE255" s="113"/>
      <c r="TF255" s="113"/>
      <c r="TG255" s="113"/>
      <c r="TH255" s="113"/>
      <c r="TI255" s="113"/>
      <c r="TJ255" s="113"/>
      <c r="TK255" s="113"/>
      <c r="TL255" s="113"/>
      <c r="TM255" s="113"/>
      <c r="TN255" s="113"/>
      <c r="TO255" s="113"/>
      <c r="TP255" s="113"/>
      <c r="TQ255" s="113"/>
      <c r="TR255" s="113"/>
      <c r="TS255" s="113"/>
      <c r="TT255" s="113"/>
      <c r="TU255" s="113"/>
      <c r="TV255" s="113"/>
      <c r="TW255" s="113"/>
      <c r="TX255" s="113"/>
      <c r="TY255" s="113"/>
      <c r="TZ255" s="113"/>
      <c r="UA255" s="113"/>
      <c r="UB255" s="113"/>
      <c r="UC255" s="113"/>
      <c r="UD255" s="113"/>
      <c r="UE255" s="113"/>
      <c r="UF255" s="113"/>
      <c r="UG255" s="113"/>
      <c r="UH255" s="113"/>
      <c r="UI255" s="113"/>
      <c r="UJ255" s="113"/>
      <c r="UK255" s="113"/>
      <c r="UL255" s="113"/>
      <c r="UM255" s="113"/>
      <c r="UN255" s="113"/>
      <c r="UO255" s="113"/>
      <c r="UP255" s="113"/>
      <c r="UQ255" s="113"/>
      <c r="UR255" s="113"/>
      <c r="US255" s="113"/>
      <c r="UT255" s="113"/>
      <c r="UU255" s="113"/>
      <c r="UV255" s="113"/>
      <c r="UW255" s="113"/>
      <c r="UX255" s="113"/>
      <c r="UY255" s="113"/>
      <c r="UZ255" s="113"/>
      <c r="VA255" s="113"/>
      <c r="VB255" s="113"/>
      <c r="VC255" s="113"/>
      <c r="VD255" s="113"/>
      <c r="VE255" s="113"/>
      <c r="VF255" s="113"/>
      <c r="VG255" s="113"/>
      <c r="VH255" s="113"/>
      <c r="VI255" s="113"/>
      <c r="VJ255" s="113"/>
      <c r="VK255" s="113"/>
      <c r="VL255" s="113"/>
      <c r="VM255" s="113"/>
      <c r="VN255" s="113"/>
      <c r="VO255" s="113"/>
      <c r="VP255" s="113"/>
      <c r="VQ255" s="113"/>
      <c r="VR255" s="113"/>
      <c r="VS255" s="113"/>
      <c r="VT255" s="113"/>
      <c r="VU255" s="113"/>
      <c r="VV255" s="113"/>
      <c r="VW255" s="113"/>
      <c r="VX255" s="113"/>
      <c r="VY255" s="113"/>
      <c r="VZ255" s="113"/>
      <c r="WA255" s="113"/>
      <c r="WB255" s="113"/>
      <c r="WC255" s="113"/>
      <c r="WD255" s="113"/>
      <c r="WE255" s="113"/>
      <c r="WF255" s="113"/>
      <c r="WG255" s="113"/>
      <c r="WH255" s="113"/>
      <c r="WI255" s="113"/>
      <c r="WJ255" s="113"/>
      <c r="WK255" s="113"/>
      <c r="WL255" s="113"/>
      <c r="WM255" s="113"/>
      <c r="WN255" s="113"/>
      <c r="WO255" s="113"/>
      <c r="WP255" s="113"/>
      <c r="WQ255" s="113"/>
      <c r="WR255" s="113"/>
      <c r="WS255" s="113"/>
      <c r="WT255" s="113"/>
      <c r="WU255" s="113"/>
      <c r="WV255" s="113"/>
      <c r="WW255" s="113"/>
      <c r="WX255" s="113"/>
      <c r="WY255" s="113"/>
      <c r="WZ255" s="113"/>
      <c r="XA255" s="113"/>
      <c r="XB255" s="113"/>
      <c r="XC255" s="113"/>
      <c r="XD255" s="113"/>
      <c r="XE255" s="113"/>
      <c r="XF255" s="113"/>
      <c r="XG255" s="113"/>
      <c r="XH255" s="113"/>
      <c r="XI255" s="113"/>
      <c r="XJ255" s="113"/>
      <c r="XK255" s="113"/>
      <c r="XL255" s="113"/>
      <c r="XM255" s="113"/>
      <c r="XN255" s="113"/>
      <c r="XO255" s="113"/>
      <c r="XP255" s="113"/>
      <c r="XQ255" s="113"/>
      <c r="XR255" s="113"/>
      <c r="XS255" s="113"/>
      <c r="XT255" s="113"/>
      <c r="XU255" s="113"/>
      <c r="XV255" s="113"/>
      <c r="XW255" s="113"/>
      <c r="XX255" s="113"/>
      <c r="XY255" s="113"/>
      <c r="XZ255" s="113"/>
      <c r="YA255" s="113"/>
      <c r="YB255" s="113"/>
      <c r="YC255" s="113"/>
      <c r="YD255" s="113"/>
      <c r="YE255" s="113"/>
      <c r="YF255" s="113"/>
      <c r="YG255" s="113"/>
      <c r="YH255" s="113"/>
      <c r="YI255" s="113"/>
      <c r="YJ255" s="113"/>
      <c r="YK255" s="113"/>
      <c r="YL255" s="113"/>
      <c r="YM255" s="113"/>
      <c r="YN255" s="113"/>
      <c r="YO255" s="113"/>
      <c r="YP255" s="113"/>
      <c r="YQ255" s="113"/>
      <c r="YR255" s="113"/>
      <c r="YS255" s="113"/>
      <c r="YT255" s="113"/>
      <c r="YU255" s="113"/>
      <c r="YV255" s="113"/>
      <c r="YW255" s="113"/>
      <c r="YX255" s="113"/>
      <c r="YY255" s="113"/>
      <c r="YZ255" s="113"/>
      <c r="ZA255" s="113"/>
      <c r="ZB255" s="113"/>
      <c r="ZC255" s="113"/>
      <c r="ZD255" s="113"/>
      <c r="ZE255" s="113"/>
      <c r="ZF255" s="113"/>
      <c r="ZG255" s="113"/>
      <c r="ZH255" s="113"/>
      <c r="ZI255" s="113"/>
      <c r="ZJ255" s="113"/>
      <c r="ZK255" s="113"/>
      <c r="ZL255" s="113"/>
      <c r="ZM255" s="113"/>
      <c r="ZN255" s="113"/>
      <c r="ZO255" s="113"/>
      <c r="ZP255" s="113"/>
      <c r="ZQ255" s="113"/>
      <c r="ZR255" s="113"/>
      <c r="ZS255" s="113"/>
      <c r="ZT255" s="113"/>
      <c r="ZU255" s="113"/>
      <c r="ZV255" s="113"/>
      <c r="ZW255" s="113"/>
      <c r="ZX255" s="113"/>
      <c r="ZY255" s="113"/>
      <c r="ZZ255" s="113"/>
      <c r="AAA255" s="113"/>
      <c r="AAB255" s="113"/>
      <c r="AAC255" s="113"/>
      <c r="AAD255" s="113"/>
      <c r="AAE255" s="113"/>
      <c r="AAF255" s="113"/>
      <c r="AAG255" s="113"/>
      <c r="AAH255" s="113"/>
      <c r="AAI255" s="113"/>
      <c r="AAJ255" s="113"/>
      <c r="AAK255" s="113"/>
      <c r="AAL255" s="113"/>
      <c r="AAM255" s="113"/>
      <c r="AAN255" s="113"/>
      <c r="AAO255" s="113"/>
      <c r="AAP255" s="113"/>
      <c r="AAQ255" s="113"/>
      <c r="AAR255" s="113"/>
      <c r="AAS255" s="113"/>
      <c r="AAT255" s="113"/>
      <c r="AAU255" s="113"/>
      <c r="AAV255" s="113"/>
      <c r="AAW255" s="113"/>
      <c r="AAX255" s="113"/>
      <c r="AAY255" s="113"/>
      <c r="AAZ255" s="113"/>
      <c r="ABA255" s="113"/>
      <c r="ABB255" s="113"/>
      <c r="ABC255" s="113"/>
      <c r="ABD255" s="113"/>
      <c r="ABE255" s="113"/>
      <c r="ABF255" s="113"/>
      <c r="ABG255" s="113"/>
      <c r="ABH255" s="113"/>
      <c r="ABI255" s="113"/>
      <c r="ABJ255" s="113"/>
      <c r="ABK255" s="113"/>
      <c r="ABL255" s="113"/>
      <c r="ABM255" s="113"/>
      <c r="ABN255" s="113"/>
      <c r="ABO255" s="113"/>
      <c r="ABP255" s="113"/>
      <c r="ABQ255" s="113"/>
      <c r="ABR255" s="113"/>
      <c r="ABS255" s="113"/>
      <c r="ABT255" s="113"/>
      <c r="ABU255" s="113"/>
      <c r="ABV255" s="113"/>
      <c r="ABW255" s="113"/>
      <c r="ABX255" s="113"/>
      <c r="ABY255" s="113"/>
      <c r="ABZ255" s="113"/>
      <c r="ACA255" s="113"/>
      <c r="ACB255" s="113"/>
      <c r="ACC255" s="113"/>
      <c r="ACD255" s="113"/>
      <c r="ACE255" s="113"/>
      <c r="ACF255" s="113"/>
      <c r="ACG255" s="113"/>
      <c r="ACH255" s="113"/>
      <c r="ACI255" s="113"/>
      <c r="ACJ255" s="113"/>
      <c r="ACK255" s="113"/>
      <c r="ACL255" s="113"/>
      <c r="ACM255" s="113"/>
      <c r="ACN255" s="113"/>
      <c r="ACO255" s="113"/>
      <c r="ACP255" s="113"/>
      <c r="ACQ255" s="113"/>
      <c r="ACR255" s="113"/>
      <c r="ACS255" s="113"/>
      <c r="ACT255" s="113"/>
      <c r="ACU255" s="113"/>
      <c r="ACV255" s="113"/>
      <c r="ACW255" s="113"/>
      <c r="ACX255" s="113"/>
      <c r="ACY255" s="113"/>
      <c r="ACZ255" s="113"/>
      <c r="ADA255" s="113"/>
      <c r="ADB255" s="113"/>
      <c r="ADC255" s="113"/>
      <c r="ADD255" s="113"/>
      <c r="ADE255" s="113"/>
      <c r="ADF255" s="113"/>
      <c r="ADG255" s="113"/>
      <c r="ADH255" s="113"/>
      <c r="ADI255" s="113"/>
      <c r="ADJ255" s="113"/>
      <c r="ADK255" s="113"/>
      <c r="ADL255" s="113"/>
      <c r="ADM255" s="113"/>
      <c r="ADN255" s="113"/>
      <c r="ADO255" s="113"/>
      <c r="ADP255" s="113"/>
      <c r="ADQ255" s="113"/>
      <c r="ADR255" s="113"/>
      <c r="ADS255" s="113"/>
      <c r="ADT255" s="113"/>
      <c r="ADU255" s="113"/>
      <c r="ADV255" s="113"/>
      <c r="ADW255" s="113"/>
      <c r="ADX255" s="113"/>
      <c r="ADY255" s="113"/>
      <c r="ADZ255" s="113"/>
      <c r="AEA255" s="113"/>
      <c r="AEB255" s="113"/>
      <c r="AEC255" s="113"/>
      <c r="AED255" s="113"/>
      <c r="AEE255" s="113"/>
      <c r="AEF255" s="113"/>
      <c r="AEG255" s="113"/>
      <c r="AEH255" s="113"/>
      <c r="AEI255" s="113"/>
      <c r="AEJ255" s="113"/>
      <c r="AEK255" s="113"/>
      <c r="AEL255" s="113"/>
      <c r="AEM255" s="113"/>
      <c r="AEN255" s="113"/>
      <c r="AEO255" s="113"/>
      <c r="AEP255" s="113"/>
      <c r="AEQ255" s="113"/>
      <c r="AER255" s="113"/>
      <c r="AES255" s="113"/>
      <c r="AET255" s="113"/>
      <c r="AEU255" s="113"/>
      <c r="AEV255" s="113"/>
      <c r="AEW255" s="113"/>
      <c r="AEX255" s="113"/>
      <c r="AEY255" s="113"/>
      <c r="AEZ255" s="113"/>
      <c r="AFA255" s="113"/>
      <c r="AFB255" s="113"/>
      <c r="AFC255" s="113"/>
      <c r="AFD255" s="113"/>
      <c r="AFE255" s="113"/>
      <c r="AFF255" s="113"/>
      <c r="AFG255" s="113"/>
      <c r="AFH255" s="113"/>
      <c r="AFI255" s="113"/>
      <c r="AFJ255" s="113"/>
      <c r="AFK255" s="113"/>
      <c r="AFL255" s="113"/>
      <c r="AFM255" s="113"/>
      <c r="AFN255" s="113"/>
      <c r="AFO255" s="113"/>
      <c r="AFP255" s="113"/>
      <c r="AFQ255" s="113"/>
      <c r="AFR255" s="113"/>
      <c r="AFS255" s="113"/>
      <c r="AFT255" s="113"/>
      <c r="AFU255" s="113"/>
      <c r="AFV255" s="113"/>
      <c r="AFW255" s="113"/>
      <c r="AFX255" s="113"/>
      <c r="AFY255" s="113"/>
      <c r="AFZ255" s="113"/>
      <c r="AGA255" s="113"/>
      <c r="AGB255" s="113"/>
      <c r="AGC255" s="113"/>
      <c r="AGD255" s="113"/>
      <c r="AGE255" s="113"/>
      <c r="AGF255" s="113"/>
      <c r="AGG255" s="113"/>
      <c r="AGH255" s="113"/>
      <c r="AGI255" s="113"/>
      <c r="AGJ255" s="113"/>
      <c r="AGK255" s="113"/>
      <c r="AGL255" s="113"/>
      <c r="AGM255" s="113"/>
      <c r="AGN255" s="113"/>
      <c r="AGO255" s="113"/>
      <c r="AGP255" s="113"/>
      <c r="AGQ255" s="113"/>
      <c r="AGR255" s="113"/>
      <c r="AGS255" s="113"/>
      <c r="AGT255" s="113"/>
      <c r="AGU255" s="113"/>
      <c r="AGV255" s="113"/>
      <c r="AGW255" s="113"/>
      <c r="AGX255" s="113"/>
      <c r="AGY255" s="113"/>
      <c r="AGZ255" s="113"/>
      <c r="AHA255" s="113"/>
      <c r="AHB255" s="113"/>
      <c r="AHC255" s="113"/>
      <c r="AHD255" s="113"/>
      <c r="AHE255" s="113"/>
      <c r="AHF255" s="113"/>
      <c r="AHG255" s="113"/>
      <c r="AHH255" s="113"/>
      <c r="AHI255" s="113"/>
      <c r="AHJ255" s="113"/>
      <c r="AHK255" s="113"/>
      <c r="AHL255" s="113"/>
      <c r="AHM255" s="113"/>
      <c r="AHN255" s="113"/>
      <c r="AHO255" s="113"/>
      <c r="AHP255" s="113"/>
      <c r="AHQ255" s="113"/>
      <c r="AHR255" s="113"/>
      <c r="AHS255" s="113"/>
      <c r="AHT255" s="113"/>
      <c r="AHU255" s="113"/>
      <c r="AHV255" s="113"/>
      <c r="AHW255" s="113"/>
      <c r="AHX255" s="113"/>
      <c r="AHY255" s="113"/>
      <c r="AHZ255" s="113"/>
      <c r="AIA255" s="113"/>
      <c r="AIB255" s="113"/>
      <c r="AIC255" s="113"/>
      <c r="AID255" s="113"/>
      <c r="AIE255" s="113"/>
      <c r="AIF255" s="113"/>
      <c r="AIG255" s="113"/>
      <c r="AIH255" s="113"/>
      <c r="AII255" s="113"/>
      <c r="AIJ255" s="113"/>
      <c r="AIK255" s="113"/>
      <c r="AIL255" s="113"/>
      <c r="AIM255" s="113"/>
      <c r="AIN255" s="113"/>
      <c r="AIO255" s="113"/>
      <c r="AIP255" s="113"/>
      <c r="AIQ255" s="113"/>
      <c r="AIR255" s="113"/>
      <c r="AIS255" s="113"/>
      <c r="AIT255" s="113"/>
      <c r="AIU255" s="113"/>
      <c r="AIV255" s="113"/>
      <c r="AIW255" s="113"/>
      <c r="AIX255" s="113"/>
      <c r="AIY255" s="113"/>
      <c r="AIZ255" s="113"/>
    </row>
    <row r="256">
      <c r="A256" s="65" t="s">
        <v>35</v>
      </c>
      <c r="B256" s="65" t="s">
        <v>75</v>
      </c>
      <c r="C256" s="65"/>
      <c r="D256" s="64">
        <f t="shared" si="1"/>
        <v>444.2716</v>
      </c>
      <c r="G256" s="65">
        <v>1.41381666666667</v>
      </c>
      <c r="H256" s="65">
        <v>1.15195</v>
      </c>
      <c r="I256" s="65">
        <v>11.4123333333333</v>
      </c>
      <c r="J256" s="65">
        <v>14.5158833333333</v>
      </c>
      <c r="K256" s="65">
        <v>24.4609166666667</v>
      </c>
      <c r="N256" s="65">
        <v>2.9359</v>
      </c>
      <c r="S256" s="65">
        <v>7.93936666666667</v>
      </c>
      <c r="T256" s="65">
        <v>53.1549833333334</v>
      </c>
      <c r="U256" s="65">
        <v>70.7813833333334</v>
      </c>
      <c r="Z256" s="65">
        <v>1.08925</v>
      </c>
      <c r="AA256" s="65">
        <v>33.1393333333333</v>
      </c>
      <c r="AB256" s="65">
        <v>53.5941666666667</v>
      </c>
      <c r="AG256" s="65">
        <v>0.729766666666667</v>
      </c>
      <c r="AH256" s="65">
        <v>5.55306666666667</v>
      </c>
      <c r="AI256" s="65">
        <v>22.9192</v>
      </c>
      <c r="AL256" s="65">
        <v>1.77396666666667</v>
      </c>
      <c r="AM256" s="65">
        <v>5.3263</v>
      </c>
      <c r="AN256" s="65">
        <v>7.47926666666667</v>
      </c>
      <c r="AQ256" s="65">
        <v>0.54095</v>
      </c>
      <c r="AR256" s="65">
        <v>2.3056</v>
      </c>
      <c r="AU256" s="65">
        <v>122.0542</v>
      </c>
    </row>
    <row r="257">
      <c r="A257" s="65" t="s">
        <v>35</v>
      </c>
      <c r="B257" s="65" t="s">
        <v>75</v>
      </c>
      <c r="C257" s="65"/>
      <c r="D257" s="64">
        <f t="shared" si="1"/>
        <v>0</v>
      </c>
    </row>
    <row r="258">
      <c r="A258" s="65" t="s">
        <v>35</v>
      </c>
      <c r="B258" s="65" t="s">
        <v>75</v>
      </c>
      <c r="C258" s="65"/>
      <c r="D258" s="64">
        <f t="shared" si="1"/>
        <v>441.8766667</v>
      </c>
      <c r="G258" s="118">
        <f>HYPERLINK("https://docs.google.com/spreadsheets/d/1h2f_tjqM6NfF3t0tgZhQRinoVyMQ14pn", 1.41381666666667)</f>
        <v>1.413816667</v>
      </c>
      <c r="H258" s="118">
        <f>HYPERLINK("https://docs.google.com/spreadsheets/d/1fIBqZ8BoqEzgSdudVHjybEMoshTBGkvh", 1.15195)</f>
        <v>1.15195</v>
      </c>
      <c r="I258" s="118">
        <f>HYPERLINK("https://docs.google.com/spreadsheets/d/1R2dP47_NCPNQ3quLWzfugeVrgBXyqmeL", 11.4123)</f>
        <v>11.4123</v>
      </c>
      <c r="J258" s="118">
        <f>HYPERLINK("https://docs.google.com/spreadsheets/d/1ctdGWIqTU22oYIPv01_Nvvs2MlmjtADt", 13.1634)</f>
        <v>13.1634</v>
      </c>
      <c r="K258" s="118">
        <f>HYPERLINK("https://docs.google.com/spreadsheets/d/1-1SQ09o74iDnvQc1kj7PLTnJvgKJr74y", 24.4609166666667)</f>
        <v>24.46091667</v>
      </c>
      <c r="N258" s="118">
        <f>HYPERLINK("https://docs.google.com/spreadsheets/d/1ug7vhGZ7qXJacsPq8qNQ0y5_PqaAaoew", 2.9359)</f>
        <v>2.9359</v>
      </c>
      <c r="S258" s="118">
        <f>HYPERLINK("https://docs.google.com/spreadsheets/d/1Trqe2yL461LXwzbPbH1j0rkGpTX8TNAk", 7.93936666666667)</f>
        <v>7.939366667</v>
      </c>
      <c r="T258" s="118">
        <f>HYPERLINK("https://docs.google.com/spreadsheets/d/15QY3RTi0hJ2onZqNQdk8fGXdNDQunKua", 52.73245)</f>
        <v>52.73245</v>
      </c>
      <c r="U258" s="118">
        <f>HYPERLINK("https://docs.google.com/spreadsheets/d/1xwwhFojaK2jI9T3YB_vXMUJLA-Z2JGci", 70.4445500000001)</f>
        <v>70.44455</v>
      </c>
      <c r="Z258" s="118">
        <f>HYPERLINK("https://docs.google.com/spreadsheets/d/1b0ZYCvy1DLkJ6ec2PiSaTt_lVFJzpeOr", 1.08925)</f>
        <v>1.08925</v>
      </c>
      <c r="AA258" s="118">
        <f>HYPERLINK("https://docs.google.com/spreadsheets/d/1VfVCaTpgyBHKzsbErbAdNz1i9Y_mLv_s", 33.09715)</f>
        <v>33.09715</v>
      </c>
      <c r="AB258" s="118">
        <f>HYPERLINK("https://docs.google.com/spreadsheets/d/1WLXGpue5rpc7PtVPnOPq2QUqrh_7CHy9", 53.5941333333333)</f>
        <v>53.59413333</v>
      </c>
      <c r="AG258" s="118">
        <f>HYPERLINK("https://docs.google.com/spreadsheets/d/1g7qbQ3Lu4u1I4r3fY_IlNx9vLHYymZz7", 0.729766666666667)</f>
        <v>0.7297666667</v>
      </c>
      <c r="AH258" s="118">
        <f>HYPERLINK("https://docs.google.com/spreadsheets/d/1xiIxP6mFUxoZiaxs7lB544bVqD12mWqO", 5.55308333333333)</f>
        <v>5.553083333</v>
      </c>
      <c r="AI258" s="118">
        <f>HYPERLINK("https://docs.google.com/spreadsheets/d/1TFCwOMgkHgjU6P5rhshGTFJI39q_ofLx", 22.9191666666667)</f>
        <v>22.91916667</v>
      </c>
      <c r="AL258" s="118">
        <f>HYPERLINK("https://docs.google.com/spreadsheets/d/1-WeS-YXIcRvKRlMavS3itLCfNqNllZKb", 1.77396666666667)</f>
        <v>1.773966667</v>
      </c>
      <c r="AM258" s="118">
        <f>HYPERLINK("https://docs.google.com/spreadsheets/d/17wkY0XOVsdbFXq_2f8IhnM48O_qpQjnO", 5.3263)</f>
        <v>5.3263</v>
      </c>
      <c r="AN258" s="118">
        <f>HYPERLINK("https://docs.google.com/spreadsheets/d/1quVJcklW5mSPDxbHtfDoFzYYYbbIAVXc", 7.33846666666667)</f>
        <v>7.338466667</v>
      </c>
      <c r="AQ258" s="118">
        <f>HYPERLINK("https://docs.google.com/spreadsheets/d/1Mv_zLSPnmg2JjtWYY-TmswzETHC4H87a", 0.441016666666667)</f>
        <v>0.4410166667</v>
      </c>
      <c r="AR258" s="118">
        <f>HYPERLINK("https://docs.google.com/spreadsheets/d/1hhebsjCfRwylKEtrqB1AyGvcSxWxvuOz", 2.3056)</f>
        <v>2.3056</v>
      </c>
      <c r="AU258" s="118">
        <f>HYPERLINK("https://docs.google.com/spreadsheets/d/1Cc711J-MCM9a4hqQ-HeoK7tjK13FTZJd", 122.054116666667)</f>
        <v>122.0541167</v>
      </c>
    </row>
    <row r="259">
      <c r="A259" s="65" t="s">
        <v>35</v>
      </c>
      <c r="B259" s="65" t="s">
        <v>75</v>
      </c>
      <c r="C259" s="65"/>
      <c r="D259" s="64">
        <f t="shared" si="1"/>
        <v>242.6922833</v>
      </c>
      <c r="G259" s="65">
        <v>0.843716666666667</v>
      </c>
      <c r="H259" s="65">
        <v>1.15195</v>
      </c>
      <c r="I259" s="65">
        <v>6.93281666666667</v>
      </c>
      <c r="J259" s="65">
        <v>10.7916166666667</v>
      </c>
      <c r="K259" s="65">
        <v>17.04085</v>
      </c>
      <c r="N259" s="65">
        <v>2.0928</v>
      </c>
      <c r="S259" s="65">
        <v>6.13353333333333</v>
      </c>
      <c r="T259" s="65">
        <v>44.7412</v>
      </c>
      <c r="U259" s="65">
        <v>11.3511</v>
      </c>
      <c r="Z259" s="65">
        <v>0.789383333333333</v>
      </c>
      <c r="AA259" s="65">
        <v>26.1465</v>
      </c>
      <c r="AB259" s="65">
        <v>19.2131333333333</v>
      </c>
      <c r="AG259" s="65">
        <v>0.729766666666667</v>
      </c>
      <c r="AH259" s="65">
        <v>4.12781666666667</v>
      </c>
      <c r="AI259" s="65">
        <v>3.59106666666667</v>
      </c>
      <c r="AL259" s="65">
        <v>1.12856666666667</v>
      </c>
      <c r="AM259" s="65">
        <v>3.07656666666667</v>
      </c>
      <c r="AN259" s="65">
        <v>6.07376666666667</v>
      </c>
      <c r="AQ259" s="65">
        <v>0.441016666666667</v>
      </c>
      <c r="AR259" s="65">
        <v>1.63268333333333</v>
      </c>
      <c r="AU259" s="65">
        <v>74.6624333333333</v>
      </c>
    </row>
    <row r="260">
      <c r="A260" s="119" t="s">
        <v>35</v>
      </c>
      <c r="B260" s="119" t="s">
        <v>75</v>
      </c>
      <c r="C260" s="119"/>
      <c r="D260" s="120">
        <f t="shared" si="1"/>
        <v>0</v>
      </c>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c r="AA260" s="120"/>
      <c r="AB260" s="120"/>
      <c r="AC260" s="120"/>
      <c r="AD260" s="120"/>
      <c r="AE260" s="120"/>
      <c r="AF260" s="120"/>
      <c r="AG260" s="120"/>
      <c r="AH260" s="120"/>
      <c r="AI260" s="120"/>
      <c r="AJ260" s="120"/>
      <c r="AK260" s="120"/>
      <c r="AL260" s="120"/>
      <c r="AM260" s="120"/>
      <c r="AN260" s="120"/>
      <c r="AO260" s="120"/>
      <c r="AP260" s="120"/>
      <c r="AQ260" s="120"/>
      <c r="AR260" s="120"/>
      <c r="AS260" s="120"/>
      <c r="AT260" s="120"/>
      <c r="AU260" s="120"/>
      <c r="AV260" s="120"/>
      <c r="AW260" s="120"/>
      <c r="AX260" s="120"/>
      <c r="AY260" s="120"/>
      <c r="AZ260" s="120"/>
      <c r="BA260" s="120"/>
      <c r="BB260" s="120"/>
      <c r="BC260" s="120"/>
      <c r="BD260" s="120"/>
      <c r="BE260" s="120"/>
      <c r="BF260" s="120"/>
      <c r="BG260" s="120"/>
      <c r="BH260" s="120"/>
      <c r="BI260" s="120"/>
      <c r="BJ260" s="120"/>
      <c r="BK260" s="120"/>
      <c r="BL260" s="120"/>
      <c r="BM260" s="120"/>
      <c r="BN260" s="120"/>
      <c r="BO260" s="120"/>
      <c r="BP260" s="120"/>
      <c r="BQ260" s="120"/>
      <c r="BR260" s="120"/>
      <c r="BS260" s="120"/>
      <c r="BT260" s="120"/>
      <c r="BU260" s="120"/>
      <c r="BV260" s="120"/>
      <c r="BW260" s="120"/>
      <c r="BX260" s="120"/>
      <c r="BY260" s="120"/>
      <c r="BZ260" s="120"/>
      <c r="CA260" s="120"/>
      <c r="CB260" s="120"/>
      <c r="CC260" s="120"/>
      <c r="CD260" s="120"/>
      <c r="CE260" s="120"/>
      <c r="CF260" s="120"/>
      <c r="CG260" s="120"/>
      <c r="CH260" s="120"/>
      <c r="CI260" s="120"/>
      <c r="CJ260" s="120"/>
      <c r="CK260" s="120"/>
      <c r="CL260" s="120"/>
      <c r="CM260" s="120"/>
      <c r="CN260" s="120"/>
      <c r="CO260" s="120"/>
      <c r="CP260" s="120"/>
      <c r="CQ260" s="120"/>
      <c r="CR260" s="120"/>
      <c r="CS260" s="120"/>
      <c r="CT260" s="120"/>
      <c r="CU260" s="120"/>
      <c r="CV260" s="120"/>
      <c r="CW260" s="120"/>
      <c r="CX260" s="120"/>
      <c r="CY260" s="120"/>
      <c r="CZ260" s="120"/>
      <c r="DA260" s="120"/>
      <c r="DB260" s="120"/>
      <c r="DC260" s="120"/>
      <c r="DD260" s="120"/>
      <c r="DE260" s="120"/>
      <c r="DF260" s="120"/>
      <c r="DG260" s="120"/>
      <c r="DH260" s="120"/>
      <c r="DI260" s="120"/>
      <c r="DJ260" s="120"/>
      <c r="DK260" s="120"/>
      <c r="DL260" s="120"/>
      <c r="DM260" s="120"/>
      <c r="DN260" s="120"/>
      <c r="DO260" s="120"/>
      <c r="DP260" s="120"/>
      <c r="DQ260" s="120"/>
      <c r="DR260" s="120"/>
      <c r="DS260" s="120"/>
      <c r="DT260" s="120"/>
      <c r="DU260" s="120"/>
      <c r="DV260" s="120"/>
      <c r="DW260" s="120"/>
      <c r="DX260" s="120"/>
      <c r="DY260" s="120"/>
      <c r="DZ260" s="120"/>
      <c r="EA260" s="120"/>
      <c r="EB260" s="120"/>
      <c r="EC260" s="120"/>
      <c r="ED260" s="120"/>
      <c r="EE260" s="120"/>
      <c r="EF260" s="120"/>
      <c r="EG260" s="120"/>
      <c r="EH260" s="120"/>
      <c r="EI260" s="120"/>
      <c r="EJ260" s="120"/>
      <c r="EK260" s="120"/>
      <c r="EL260" s="120"/>
      <c r="EM260" s="120"/>
      <c r="EN260" s="120"/>
      <c r="EO260" s="120"/>
      <c r="EP260" s="120"/>
      <c r="EQ260" s="120"/>
      <c r="ER260" s="120"/>
      <c r="ES260" s="120"/>
      <c r="ET260" s="120"/>
      <c r="EU260" s="120"/>
      <c r="EV260" s="120"/>
      <c r="EW260" s="120"/>
      <c r="EX260" s="120"/>
      <c r="EY260" s="120"/>
      <c r="EZ260" s="120"/>
      <c r="FA260" s="120"/>
      <c r="FB260" s="120"/>
      <c r="FC260" s="120"/>
      <c r="FD260" s="120"/>
      <c r="FE260" s="120"/>
      <c r="FF260" s="120"/>
      <c r="FG260" s="120"/>
      <c r="FH260" s="120"/>
      <c r="FI260" s="120"/>
      <c r="FJ260" s="120"/>
      <c r="FK260" s="120"/>
      <c r="FL260" s="120"/>
      <c r="FM260" s="120"/>
      <c r="FN260" s="120"/>
      <c r="FO260" s="120"/>
      <c r="FP260" s="120"/>
      <c r="FQ260" s="120"/>
      <c r="FR260" s="120"/>
      <c r="FS260" s="120"/>
      <c r="FT260" s="120"/>
      <c r="FU260" s="120"/>
      <c r="FV260" s="120"/>
      <c r="FW260" s="120"/>
      <c r="FX260" s="120"/>
      <c r="FY260" s="120"/>
      <c r="FZ260" s="120"/>
      <c r="GA260" s="120"/>
      <c r="GB260" s="120"/>
      <c r="GC260" s="120"/>
      <c r="GD260" s="120"/>
      <c r="GE260" s="120"/>
      <c r="GF260" s="120"/>
      <c r="GG260" s="120"/>
      <c r="GH260" s="120"/>
      <c r="GI260" s="120"/>
      <c r="GJ260" s="120"/>
      <c r="GK260" s="120"/>
      <c r="GL260" s="120"/>
      <c r="GM260" s="120"/>
      <c r="GN260" s="120"/>
      <c r="GO260" s="120"/>
      <c r="GP260" s="120"/>
      <c r="GQ260" s="120"/>
      <c r="GR260" s="120"/>
      <c r="GS260" s="120"/>
      <c r="GT260" s="120"/>
      <c r="GU260" s="120"/>
      <c r="GV260" s="120"/>
      <c r="GW260" s="120"/>
      <c r="GX260" s="120"/>
      <c r="GY260" s="120"/>
      <c r="GZ260" s="120"/>
      <c r="HA260" s="120"/>
      <c r="HB260" s="120"/>
      <c r="HC260" s="120"/>
      <c r="HD260" s="120"/>
      <c r="HE260" s="120"/>
      <c r="HF260" s="120"/>
      <c r="HG260" s="120"/>
      <c r="HH260" s="120"/>
      <c r="HI260" s="120"/>
      <c r="HJ260" s="120"/>
      <c r="HK260" s="120"/>
      <c r="HL260" s="120"/>
      <c r="HM260" s="120"/>
      <c r="HN260" s="120"/>
      <c r="HO260" s="120"/>
      <c r="HP260" s="120"/>
      <c r="HQ260" s="120"/>
      <c r="HR260" s="120"/>
      <c r="HS260" s="120"/>
      <c r="HT260" s="120"/>
      <c r="HU260" s="120"/>
      <c r="HV260" s="120"/>
      <c r="HW260" s="120"/>
      <c r="HX260" s="120"/>
      <c r="HY260" s="120"/>
      <c r="HZ260" s="120"/>
      <c r="IA260" s="120"/>
      <c r="IB260" s="120"/>
      <c r="IC260" s="120"/>
      <c r="ID260" s="120"/>
      <c r="IE260" s="120"/>
      <c r="IF260" s="120"/>
      <c r="IG260" s="120"/>
      <c r="IH260" s="120"/>
      <c r="II260" s="120"/>
      <c r="IJ260" s="120"/>
      <c r="IK260" s="120"/>
      <c r="IL260" s="120"/>
      <c r="IM260" s="120"/>
      <c r="IN260" s="120"/>
      <c r="IO260" s="120"/>
      <c r="IP260" s="120"/>
      <c r="IQ260" s="120"/>
      <c r="IR260" s="120"/>
      <c r="IS260" s="120"/>
      <c r="IT260" s="120"/>
      <c r="IU260" s="120"/>
      <c r="IV260" s="120"/>
      <c r="IW260" s="120"/>
      <c r="IX260" s="120"/>
      <c r="IY260" s="120"/>
      <c r="IZ260" s="120"/>
      <c r="JA260" s="120"/>
      <c r="JB260" s="120"/>
      <c r="JC260" s="120"/>
      <c r="JD260" s="120"/>
      <c r="JE260" s="120"/>
      <c r="JF260" s="120"/>
      <c r="JG260" s="120"/>
      <c r="JH260" s="120"/>
      <c r="JI260" s="120"/>
      <c r="JJ260" s="120"/>
      <c r="JK260" s="120"/>
      <c r="JL260" s="120"/>
      <c r="JM260" s="120"/>
      <c r="JN260" s="120"/>
      <c r="JO260" s="120"/>
      <c r="JP260" s="120"/>
      <c r="JQ260" s="120"/>
      <c r="JR260" s="120"/>
      <c r="JS260" s="120"/>
      <c r="JT260" s="120"/>
      <c r="JU260" s="120"/>
      <c r="JV260" s="120"/>
      <c r="JW260" s="120"/>
      <c r="JX260" s="120"/>
      <c r="JY260" s="120"/>
      <c r="JZ260" s="120"/>
      <c r="KA260" s="120"/>
      <c r="KB260" s="120"/>
      <c r="KC260" s="120"/>
      <c r="KD260" s="120"/>
      <c r="KE260" s="120"/>
      <c r="KF260" s="120"/>
      <c r="KG260" s="120"/>
      <c r="KH260" s="120"/>
      <c r="KI260" s="120"/>
      <c r="KJ260" s="120"/>
      <c r="KK260" s="120"/>
      <c r="KL260" s="120"/>
      <c r="KM260" s="120"/>
      <c r="KN260" s="120"/>
      <c r="KO260" s="120"/>
      <c r="KP260" s="120"/>
      <c r="KQ260" s="120"/>
      <c r="KR260" s="120"/>
      <c r="KS260" s="120"/>
      <c r="KT260" s="120"/>
      <c r="KU260" s="120"/>
      <c r="KV260" s="120"/>
      <c r="KW260" s="120"/>
      <c r="KX260" s="120"/>
      <c r="KY260" s="120"/>
      <c r="KZ260" s="120"/>
      <c r="LA260" s="120"/>
      <c r="LB260" s="120"/>
      <c r="LC260" s="120"/>
      <c r="LD260" s="120"/>
      <c r="LE260" s="120"/>
      <c r="LF260" s="120"/>
      <c r="LG260" s="120"/>
      <c r="LH260" s="120"/>
      <c r="LI260" s="120"/>
      <c r="LJ260" s="120"/>
      <c r="LK260" s="120"/>
      <c r="LL260" s="120"/>
      <c r="LM260" s="120"/>
      <c r="LN260" s="120"/>
      <c r="LO260" s="120"/>
      <c r="LP260" s="120"/>
      <c r="LQ260" s="120"/>
      <c r="LR260" s="120"/>
      <c r="LS260" s="120"/>
      <c r="LT260" s="120"/>
      <c r="LU260" s="120"/>
      <c r="LV260" s="120"/>
      <c r="LW260" s="120"/>
      <c r="LX260" s="120"/>
      <c r="LY260" s="120"/>
      <c r="LZ260" s="120"/>
      <c r="MA260" s="120"/>
      <c r="MB260" s="120"/>
      <c r="MC260" s="120"/>
      <c r="MD260" s="120"/>
      <c r="ME260" s="120"/>
      <c r="MF260" s="120"/>
      <c r="MG260" s="120"/>
      <c r="MH260" s="120"/>
      <c r="MI260" s="120"/>
      <c r="MJ260" s="120"/>
      <c r="MK260" s="120"/>
      <c r="ML260" s="120"/>
      <c r="MM260" s="120"/>
      <c r="MN260" s="120"/>
      <c r="MO260" s="120"/>
      <c r="MP260" s="120"/>
      <c r="MQ260" s="120"/>
      <c r="MR260" s="120"/>
      <c r="MS260" s="120"/>
      <c r="MT260" s="120"/>
      <c r="MU260" s="120"/>
      <c r="MV260" s="120"/>
      <c r="MW260" s="120"/>
      <c r="MX260" s="120"/>
      <c r="MY260" s="120"/>
      <c r="MZ260" s="120"/>
      <c r="NA260" s="120"/>
      <c r="NB260" s="120"/>
      <c r="NC260" s="120"/>
      <c r="ND260" s="120"/>
      <c r="NE260" s="120"/>
      <c r="NF260" s="120"/>
      <c r="NG260" s="120"/>
      <c r="NH260" s="120"/>
      <c r="NI260" s="120"/>
      <c r="NJ260" s="120"/>
      <c r="NK260" s="120"/>
      <c r="NL260" s="120"/>
      <c r="NM260" s="120"/>
      <c r="NN260" s="120"/>
      <c r="NO260" s="120"/>
      <c r="NP260" s="120"/>
      <c r="NQ260" s="120"/>
      <c r="NR260" s="120"/>
      <c r="NS260" s="120"/>
      <c r="NT260" s="120"/>
      <c r="NU260" s="120"/>
      <c r="NV260" s="120"/>
      <c r="NW260" s="120"/>
      <c r="NX260" s="120"/>
      <c r="NY260" s="120"/>
      <c r="NZ260" s="120"/>
      <c r="OA260" s="120"/>
      <c r="OB260" s="120"/>
      <c r="OC260" s="120"/>
      <c r="OD260" s="120"/>
      <c r="OE260" s="120"/>
      <c r="OF260" s="120"/>
      <c r="OG260" s="120"/>
      <c r="OH260" s="120"/>
      <c r="OI260" s="120"/>
      <c r="OJ260" s="120"/>
      <c r="OK260" s="120"/>
      <c r="OL260" s="120"/>
      <c r="OM260" s="120"/>
      <c r="ON260" s="120"/>
      <c r="OO260" s="120"/>
      <c r="OP260" s="120"/>
      <c r="OQ260" s="120"/>
      <c r="OR260" s="120"/>
      <c r="OS260" s="120"/>
      <c r="OT260" s="120"/>
      <c r="OU260" s="120"/>
      <c r="OV260" s="120"/>
      <c r="OW260" s="120"/>
      <c r="OX260" s="120"/>
      <c r="OY260" s="120"/>
      <c r="OZ260" s="120"/>
      <c r="PA260" s="120"/>
      <c r="PB260" s="120"/>
      <c r="PC260" s="120"/>
      <c r="PD260" s="120"/>
      <c r="PE260" s="120"/>
      <c r="PF260" s="120"/>
      <c r="PG260" s="120"/>
      <c r="PH260" s="120"/>
      <c r="PI260" s="120"/>
      <c r="PJ260" s="120"/>
      <c r="PK260" s="120"/>
      <c r="PL260" s="120"/>
      <c r="PM260" s="120"/>
      <c r="PN260" s="120"/>
      <c r="PO260" s="120"/>
      <c r="PP260" s="120"/>
      <c r="PQ260" s="120"/>
      <c r="PR260" s="120"/>
      <c r="PS260" s="120"/>
      <c r="PT260" s="120"/>
      <c r="PU260" s="120"/>
      <c r="PV260" s="120"/>
      <c r="PW260" s="120"/>
      <c r="PX260" s="120"/>
      <c r="PY260" s="120"/>
      <c r="PZ260" s="120"/>
      <c r="QA260" s="120"/>
      <c r="QB260" s="120"/>
      <c r="QC260" s="120"/>
      <c r="QD260" s="120"/>
      <c r="QE260" s="120"/>
      <c r="QF260" s="120"/>
      <c r="QG260" s="120"/>
      <c r="QH260" s="120"/>
      <c r="QI260" s="120"/>
      <c r="QJ260" s="120"/>
      <c r="QK260" s="120"/>
      <c r="QL260" s="120"/>
      <c r="QM260" s="120"/>
      <c r="QN260" s="120"/>
      <c r="QO260" s="120"/>
      <c r="QP260" s="120"/>
      <c r="QQ260" s="120"/>
      <c r="QR260" s="120"/>
      <c r="QS260" s="120"/>
      <c r="QT260" s="120"/>
      <c r="QU260" s="120"/>
      <c r="QV260" s="120"/>
      <c r="QW260" s="120"/>
      <c r="QX260" s="120"/>
      <c r="QY260" s="120"/>
      <c r="QZ260" s="120"/>
      <c r="RA260" s="120"/>
      <c r="RB260" s="120"/>
      <c r="RC260" s="120"/>
      <c r="RD260" s="120"/>
      <c r="RE260" s="120"/>
      <c r="RF260" s="120"/>
      <c r="RG260" s="120"/>
      <c r="RH260" s="120"/>
      <c r="RI260" s="120"/>
      <c r="RJ260" s="120"/>
      <c r="RK260" s="120"/>
      <c r="RL260" s="120"/>
      <c r="RM260" s="120"/>
      <c r="RN260" s="120"/>
      <c r="RO260" s="120"/>
      <c r="RP260" s="120"/>
      <c r="RQ260" s="120"/>
      <c r="RR260" s="120"/>
      <c r="RS260" s="120"/>
      <c r="RT260" s="120"/>
      <c r="RU260" s="120"/>
      <c r="RV260" s="120"/>
      <c r="RW260" s="120"/>
      <c r="RX260" s="120"/>
      <c r="RY260" s="120"/>
      <c r="RZ260" s="120"/>
      <c r="SA260" s="120"/>
      <c r="SB260" s="120"/>
      <c r="SC260" s="120"/>
      <c r="SD260" s="120"/>
      <c r="SE260" s="120"/>
      <c r="SF260" s="120"/>
      <c r="SG260" s="120"/>
      <c r="SH260" s="120"/>
      <c r="SI260" s="120"/>
      <c r="SJ260" s="120"/>
      <c r="SK260" s="120"/>
      <c r="SL260" s="120"/>
      <c r="SM260" s="120"/>
      <c r="SN260" s="120"/>
      <c r="SO260" s="120"/>
      <c r="SP260" s="120"/>
      <c r="SQ260" s="120"/>
      <c r="SR260" s="120"/>
      <c r="SS260" s="120"/>
      <c r="ST260" s="120"/>
      <c r="SU260" s="120"/>
      <c r="SV260" s="120"/>
      <c r="SW260" s="120"/>
      <c r="SX260" s="120"/>
      <c r="SY260" s="120"/>
      <c r="SZ260" s="120"/>
      <c r="TA260" s="120"/>
      <c r="TB260" s="120"/>
      <c r="TC260" s="120"/>
      <c r="TD260" s="120"/>
      <c r="TE260" s="120"/>
      <c r="TF260" s="120"/>
      <c r="TG260" s="120"/>
      <c r="TH260" s="120"/>
      <c r="TI260" s="120"/>
      <c r="TJ260" s="120"/>
      <c r="TK260" s="120"/>
      <c r="TL260" s="120"/>
      <c r="TM260" s="120"/>
      <c r="TN260" s="120"/>
      <c r="TO260" s="120"/>
      <c r="TP260" s="120"/>
      <c r="TQ260" s="120"/>
      <c r="TR260" s="120"/>
      <c r="TS260" s="120"/>
      <c r="TT260" s="120"/>
      <c r="TU260" s="120"/>
      <c r="TV260" s="120"/>
      <c r="TW260" s="120"/>
      <c r="TX260" s="120"/>
      <c r="TY260" s="120"/>
      <c r="TZ260" s="120"/>
      <c r="UA260" s="120"/>
      <c r="UB260" s="120"/>
      <c r="UC260" s="120"/>
      <c r="UD260" s="120"/>
      <c r="UE260" s="120"/>
      <c r="UF260" s="120"/>
      <c r="UG260" s="120"/>
      <c r="UH260" s="120"/>
      <c r="UI260" s="120"/>
      <c r="UJ260" s="120"/>
      <c r="UK260" s="120"/>
      <c r="UL260" s="120"/>
      <c r="UM260" s="120"/>
      <c r="UN260" s="120"/>
      <c r="UO260" s="120"/>
      <c r="UP260" s="120"/>
      <c r="UQ260" s="120"/>
      <c r="UR260" s="120"/>
      <c r="US260" s="120"/>
      <c r="UT260" s="120"/>
      <c r="UU260" s="120"/>
      <c r="UV260" s="120"/>
      <c r="UW260" s="120"/>
      <c r="UX260" s="120"/>
      <c r="UY260" s="120"/>
      <c r="UZ260" s="120"/>
      <c r="VA260" s="120"/>
      <c r="VB260" s="120"/>
      <c r="VC260" s="120"/>
      <c r="VD260" s="120"/>
      <c r="VE260" s="120"/>
      <c r="VF260" s="120"/>
      <c r="VG260" s="120"/>
      <c r="VH260" s="120"/>
      <c r="VI260" s="120"/>
      <c r="VJ260" s="120"/>
      <c r="VK260" s="120"/>
      <c r="VL260" s="120"/>
      <c r="VM260" s="120"/>
      <c r="VN260" s="120"/>
      <c r="VO260" s="120"/>
      <c r="VP260" s="120"/>
      <c r="VQ260" s="120"/>
      <c r="VR260" s="120"/>
      <c r="VS260" s="120"/>
      <c r="VT260" s="120"/>
      <c r="VU260" s="120"/>
      <c r="VV260" s="120"/>
      <c r="VW260" s="120"/>
      <c r="VX260" s="120"/>
      <c r="VY260" s="120"/>
      <c r="VZ260" s="120"/>
      <c r="WA260" s="120"/>
      <c r="WB260" s="120"/>
      <c r="WC260" s="120"/>
      <c r="WD260" s="120"/>
      <c r="WE260" s="120"/>
      <c r="WF260" s="120"/>
      <c r="WG260" s="120"/>
      <c r="WH260" s="120"/>
      <c r="WI260" s="120"/>
      <c r="WJ260" s="120"/>
      <c r="WK260" s="120"/>
      <c r="WL260" s="120"/>
      <c r="WM260" s="120"/>
      <c r="WN260" s="120"/>
      <c r="WO260" s="120"/>
      <c r="WP260" s="120"/>
      <c r="WQ260" s="120"/>
      <c r="WR260" s="120"/>
      <c r="WS260" s="120"/>
      <c r="WT260" s="120"/>
      <c r="WU260" s="120"/>
      <c r="WV260" s="120"/>
      <c r="WW260" s="120"/>
      <c r="WX260" s="120"/>
      <c r="WY260" s="120"/>
      <c r="WZ260" s="120"/>
      <c r="XA260" s="120"/>
      <c r="XB260" s="120"/>
      <c r="XC260" s="120"/>
      <c r="XD260" s="120"/>
      <c r="XE260" s="120"/>
      <c r="XF260" s="120"/>
      <c r="XG260" s="120"/>
      <c r="XH260" s="120"/>
      <c r="XI260" s="120"/>
      <c r="XJ260" s="120"/>
      <c r="XK260" s="120"/>
      <c r="XL260" s="120"/>
      <c r="XM260" s="120"/>
      <c r="XN260" s="120"/>
      <c r="XO260" s="120"/>
      <c r="XP260" s="120"/>
      <c r="XQ260" s="120"/>
      <c r="XR260" s="120"/>
      <c r="XS260" s="120"/>
      <c r="XT260" s="120"/>
      <c r="XU260" s="120"/>
      <c r="XV260" s="120"/>
      <c r="XW260" s="120"/>
      <c r="XX260" s="120"/>
      <c r="XY260" s="120"/>
      <c r="XZ260" s="120"/>
      <c r="YA260" s="120"/>
      <c r="YB260" s="120"/>
      <c r="YC260" s="120"/>
      <c r="YD260" s="120"/>
      <c r="YE260" s="120"/>
      <c r="YF260" s="120"/>
      <c r="YG260" s="120"/>
      <c r="YH260" s="120"/>
      <c r="YI260" s="120"/>
      <c r="YJ260" s="120"/>
      <c r="YK260" s="120"/>
      <c r="YL260" s="120"/>
      <c r="YM260" s="120"/>
      <c r="YN260" s="120"/>
      <c r="YO260" s="120"/>
      <c r="YP260" s="120"/>
      <c r="YQ260" s="120"/>
      <c r="YR260" s="120"/>
      <c r="YS260" s="120"/>
      <c r="YT260" s="120"/>
      <c r="YU260" s="120"/>
      <c r="YV260" s="120"/>
      <c r="YW260" s="120"/>
      <c r="YX260" s="120"/>
      <c r="YY260" s="120"/>
      <c r="YZ260" s="120"/>
      <c r="ZA260" s="120"/>
      <c r="ZB260" s="120"/>
      <c r="ZC260" s="120"/>
      <c r="ZD260" s="120"/>
      <c r="ZE260" s="120"/>
      <c r="ZF260" s="120"/>
      <c r="ZG260" s="120"/>
      <c r="ZH260" s="120"/>
      <c r="ZI260" s="120"/>
      <c r="ZJ260" s="120"/>
      <c r="ZK260" s="120"/>
      <c r="ZL260" s="120"/>
      <c r="ZM260" s="120"/>
      <c r="ZN260" s="120"/>
      <c r="ZO260" s="120"/>
      <c r="ZP260" s="120"/>
      <c r="ZQ260" s="120"/>
      <c r="ZR260" s="120"/>
      <c r="ZS260" s="120"/>
      <c r="ZT260" s="120"/>
      <c r="ZU260" s="120"/>
      <c r="ZV260" s="120"/>
      <c r="ZW260" s="120"/>
      <c r="ZX260" s="120"/>
      <c r="ZY260" s="120"/>
      <c r="ZZ260" s="120"/>
      <c r="AAA260" s="120"/>
      <c r="AAB260" s="120"/>
      <c r="AAC260" s="120"/>
      <c r="AAD260" s="120"/>
      <c r="AAE260" s="120"/>
      <c r="AAF260" s="120"/>
      <c r="AAG260" s="120"/>
      <c r="AAH260" s="120"/>
      <c r="AAI260" s="120"/>
      <c r="AAJ260" s="120"/>
      <c r="AAK260" s="120"/>
      <c r="AAL260" s="120"/>
      <c r="AAM260" s="120"/>
      <c r="AAN260" s="120"/>
      <c r="AAO260" s="120"/>
      <c r="AAP260" s="120"/>
      <c r="AAQ260" s="120"/>
      <c r="AAR260" s="120"/>
      <c r="AAS260" s="120"/>
      <c r="AAT260" s="120"/>
      <c r="AAU260" s="120"/>
      <c r="AAV260" s="120"/>
      <c r="AAW260" s="120"/>
      <c r="AAX260" s="120"/>
      <c r="AAY260" s="120"/>
      <c r="AAZ260" s="120"/>
      <c r="ABA260" s="120"/>
      <c r="ABB260" s="120"/>
      <c r="ABC260" s="120"/>
      <c r="ABD260" s="120"/>
      <c r="ABE260" s="120"/>
      <c r="ABF260" s="120"/>
      <c r="ABG260" s="120"/>
      <c r="ABH260" s="120"/>
      <c r="ABI260" s="120"/>
      <c r="ABJ260" s="120"/>
      <c r="ABK260" s="120"/>
      <c r="ABL260" s="120"/>
      <c r="ABM260" s="120"/>
      <c r="ABN260" s="120"/>
      <c r="ABO260" s="120"/>
      <c r="ABP260" s="120"/>
      <c r="ABQ260" s="120"/>
      <c r="ABR260" s="120"/>
      <c r="ABS260" s="120"/>
      <c r="ABT260" s="120"/>
      <c r="ABU260" s="120"/>
      <c r="ABV260" s="120"/>
      <c r="ABW260" s="120"/>
      <c r="ABX260" s="120"/>
      <c r="ABY260" s="120"/>
      <c r="ABZ260" s="120"/>
      <c r="ACA260" s="120"/>
      <c r="ACB260" s="120"/>
      <c r="ACC260" s="120"/>
      <c r="ACD260" s="120"/>
      <c r="ACE260" s="120"/>
      <c r="ACF260" s="120"/>
      <c r="ACG260" s="120"/>
      <c r="ACH260" s="120"/>
      <c r="ACI260" s="120"/>
      <c r="ACJ260" s="120"/>
      <c r="ACK260" s="120"/>
      <c r="ACL260" s="120"/>
      <c r="ACM260" s="120"/>
      <c r="ACN260" s="120"/>
      <c r="ACO260" s="120"/>
      <c r="ACP260" s="120"/>
      <c r="ACQ260" s="120"/>
      <c r="ACR260" s="120"/>
      <c r="ACS260" s="120"/>
      <c r="ACT260" s="120"/>
      <c r="ACU260" s="120"/>
      <c r="ACV260" s="120"/>
      <c r="ACW260" s="120"/>
      <c r="ACX260" s="120"/>
      <c r="ACY260" s="120"/>
      <c r="ACZ260" s="120"/>
      <c r="ADA260" s="120"/>
      <c r="ADB260" s="120"/>
      <c r="ADC260" s="120"/>
      <c r="ADD260" s="120"/>
      <c r="ADE260" s="120"/>
      <c r="ADF260" s="120"/>
      <c r="ADG260" s="120"/>
      <c r="ADH260" s="120"/>
      <c r="ADI260" s="120"/>
      <c r="ADJ260" s="120"/>
      <c r="ADK260" s="120"/>
      <c r="ADL260" s="120"/>
      <c r="ADM260" s="120"/>
      <c r="ADN260" s="120"/>
      <c r="ADO260" s="120"/>
      <c r="ADP260" s="120"/>
      <c r="ADQ260" s="120"/>
      <c r="ADR260" s="120"/>
      <c r="ADS260" s="120"/>
      <c r="ADT260" s="120"/>
      <c r="ADU260" s="120"/>
      <c r="ADV260" s="120"/>
      <c r="ADW260" s="120"/>
      <c r="ADX260" s="120"/>
      <c r="ADY260" s="120"/>
      <c r="ADZ260" s="120"/>
      <c r="AEA260" s="120"/>
      <c r="AEB260" s="120"/>
      <c r="AEC260" s="120"/>
      <c r="AED260" s="120"/>
      <c r="AEE260" s="120"/>
      <c r="AEF260" s="120"/>
      <c r="AEG260" s="120"/>
      <c r="AEH260" s="120"/>
      <c r="AEI260" s="120"/>
      <c r="AEJ260" s="120"/>
      <c r="AEK260" s="120"/>
      <c r="AEL260" s="120"/>
      <c r="AEM260" s="120"/>
      <c r="AEN260" s="120"/>
      <c r="AEO260" s="120"/>
      <c r="AEP260" s="120"/>
      <c r="AEQ260" s="120"/>
      <c r="AER260" s="120"/>
      <c r="AES260" s="120"/>
      <c r="AET260" s="120"/>
      <c r="AEU260" s="120"/>
      <c r="AEV260" s="120"/>
      <c r="AEW260" s="120"/>
      <c r="AEX260" s="120"/>
      <c r="AEY260" s="120"/>
      <c r="AEZ260" s="120"/>
      <c r="AFA260" s="120"/>
      <c r="AFB260" s="120"/>
      <c r="AFC260" s="120"/>
      <c r="AFD260" s="120"/>
      <c r="AFE260" s="120"/>
      <c r="AFF260" s="120"/>
      <c r="AFG260" s="120"/>
      <c r="AFH260" s="120"/>
      <c r="AFI260" s="120"/>
      <c r="AFJ260" s="120"/>
      <c r="AFK260" s="120"/>
      <c r="AFL260" s="120"/>
      <c r="AFM260" s="120"/>
      <c r="AFN260" s="120"/>
      <c r="AFO260" s="120"/>
      <c r="AFP260" s="120"/>
      <c r="AFQ260" s="120"/>
      <c r="AFR260" s="120"/>
      <c r="AFS260" s="120"/>
      <c r="AFT260" s="120"/>
      <c r="AFU260" s="120"/>
      <c r="AFV260" s="120"/>
      <c r="AFW260" s="120"/>
      <c r="AFX260" s="120"/>
      <c r="AFY260" s="120"/>
      <c r="AFZ260" s="120"/>
      <c r="AGA260" s="120"/>
      <c r="AGB260" s="120"/>
      <c r="AGC260" s="120"/>
      <c r="AGD260" s="120"/>
      <c r="AGE260" s="120"/>
      <c r="AGF260" s="120"/>
      <c r="AGG260" s="120"/>
      <c r="AGH260" s="120"/>
      <c r="AGI260" s="120"/>
      <c r="AGJ260" s="120"/>
      <c r="AGK260" s="120"/>
      <c r="AGL260" s="120"/>
      <c r="AGM260" s="120"/>
      <c r="AGN260" s="120"/>
      <c r="AGO260" s="120"/>
      <c r="AGP260" s="120"/>
      <c r="AGQ260" s="120"/>
      <c r="AGR260" s="120"/>
      <c r="AGS260" s="120"/>
      <c r="AGT260" s="120"/>
      <c r="AGU260" s="120"/>
      <c r="AGV260" s="120"/>
      <c r="AGW260" s="120"/>
      <c r="AGX260" s="120"/>
      <c r="AGY260" s="120"/>
      <c r="AGZ260" s="120"/>
      <c r="AHA260" s="120"/>
      <c r="AHB260" s="120"/>
      <c r="AHC260" s="120"/>
      <c r="AHD260" s="120"/>
      <c r="AHE260" s="120"/>
      <c r="AHF260" s="120"/>
      <c r="AHG260" s="120"/>
      <c r="AHH260" s="120"/>
      <c r="AHI260" s="120"/>
      <c r="AHJ260" s="120"/>
      <c r="AHK260" s="120"/>
      <c r="AHL260" s="120"/>
      <c r="AHM260" s="120"/>
      <c r="AHN260" s="120"/>
      <c r="AHO260" s="120"/>
      <c r="AHP260" s="120"/>
      <c r="AHQ260" s="120"/>
      <c r="AHR260" s="120"/>
      <c r="AHS260" s="120"/>
      <c r="AHT260" s="120"/>
      <c r="AHU260" s="120"/>
      <c r="AHV260" s="120"/>
      <c r="AHW260" s="120"/>
      <c r="AHX260" s="120"/>
      <c r="AHY260" s="120"/>
      <c r="AHZ260" s="120"/>
      <c r="AIA260" s="120"/>
      <c r="AIB260" s="120"/>
      <c r="AIC260" s="120"/>
      <c r="AID260" s="120"/>
      <c r="AIE260" s="120"/>
      <c r="AIF260" s="120"/>
      <c r="AIG260" s="120"/>
      <c r="AIH260" s="120"/>
      <c r="AII260" s="120"/>
      <c r="AIJ260" s="120"/>
      <c r="AIK260" s="120"/>
      <c r="AIL260" s="120"/>
      <c r="AIM260" s="120"/>
      <c r="AIN260" s="120"/>
      <c r="AIO260" s="120"/>
      <c r="AIP260" s="120"/>
      <c r="AIQ260" s="120"/>
      <c r="AIR260" s="120"/>
      <c r="AIS260" s="120"/>
      <c r="AIT260" s="120"/>
      <c r="AIU260" s="120"/>
      <c r="AIV260" s="120"/>
      <c r="AIW260" s="120"/>
      <c r="AIX260" s="120"/>
      <c r="AIY260" s="120"/>
      <c r="AIZ260" s="120"/>
    </row>
    <row r="261">
      <c r="A261" s="112" t="s">
        <v>35</v>
      </c>
      <c r="B261" s="112" t="s">
        <v>76</v>
      </c>
      <c r="C261" s="112"/>
      <c r="D261" s="113">
        <f t="shared" si="1"/>
        <v>566.5715333</v>
      </c>
      <c r="E261" s="112">
        <v>67.5613666666667</v>
      </c>
      <c r="F261" s="113"/>
      <c r="G261" s="113"/>
      <c r="H261" s="113"/>
      <c r="I261" s="113"/>
      <c r="J261" s="113"/>
      <c r="K261" s="113"/>
      <c r="L261" s="112">
        <v>0.901</v>
      </c>
      <c r="M261" s="112">
        <v>26.22525</v>
      </c>
      <c r="N261" s="113"/>
      <c r="O261" s="112">
        <v>0.32405</v>
      </c>
      <c r="P261" s="112">
        <v>87.0853666666667</v>
      </c>
      <c r="Q261" s="113"/>
      <c r="R261" s="113"/>
      <c r="S261" s="113"/>
      <c r="T261" s="113"/>
      <c r="U261" s="113"/>
      <c r="V261" s="112">
        <v>0.929583333333333</v>
      </c>
      <c r="W261" s="112">
        <v>103.565183333333</v>
      </c>
      <c r="X261" s="113"/>
      <c r="Y261" s="113"/>
      <c r="Z261" s="113"/>
      <c r="AA261" s="113"/>
      <c r="AB261" s="113"/>
      <c r="AC261" s="112">
        <v>2.26823333333333</v>
      </c>
      <c r="AD261" s="112">
        <v>33.0107666666666</v>
      </c>
      <c r="AE261" s="113"/>
      <c r="AF261" s="113"/>
      <c r="AG261" s="113"/>
      <c r="AH261" s="113"/>
      <c r="AI261" s="113"/>
      <c r="AJ261" s="112">
        <v>0.887716666666667</v>
      </c>
      <c r="AK261" s="112">
        <v>35.6749</v>
      </c>
      <c r="AL261" s="113"/>
      <c r="AM261" s="113"/>
      <c r="AN261" s="113"/>
      <c r="AO261" s="112">
        <v>2.33385</v>
      </c>
      <c r="AP261" s="112">
        <v>28.7502</v>
      </c>
      <c r="AQ261" s="113"/>
      <c r="AR261" s="113"/>
      <c r="AS261" s="112">
        <v>1.12176666666667</v>
      </c>
      <c r="AT261" s="112">
        <v>171.9383</v>
      </c>
      <c r="AU261" s="113"/>
      <c r="AV261" s="112">
        <v>3.994</v>
      </c>
      <c r="AW261" s="113"/>
      <c r="AX261" s="113"/>
      <c r="AY261" s="113"/>
      <c r="AZ261" s="113"/>
      <c r="BA261" s="113"/>
      <c r="BB261" s="113"/>
      <c r="BC261" s="113"/>
      <c r="BD261" s="113"/>
      <c r="BE261" s="113"/>
      <c r="BF261" s="113"/>
      <c r="BG261" s="113"/>
      <c r="BH261" s="113"/>
      <c r="BI261" s="113"/>
      <c r="BJ261" s="113"/>
      <c r="BK261" s="113"/>
      <c r="BL261" s="113"/>
      <c r="BM261" s="113"/>
      <c r="BN261" s="113"/>
      <c r="BO261" s="113"/>
      <c r="BP261" s="113"/>
      <c r="BQ261" s="113"/>
      <c r="BR261" s="113"/>
      <c r="BS261" s="113"/>
      <c r="BT261" s="113"/>
      <c r="BU261" s="113"/>
      <c r="BV261" s="113"/>
      <c r="BW261" s="113"/>
      <c r="BX261" s="113"/>
      <c r="BY261" s="113"/>
      <c r="BZ261" s="113"/>
      <c r="CA261" s="113"/>
      <c r="CB261" s="113"/>
      <c r="CC261" s="113"/>
      <c r="CD261" s="113"/>
      <c r="CE261" s="113"/>
      <c r="CF261" s="113"/>
      <c r="CG261" s="113"/>
      <c r="CH261" s="113"/>
      <c r="CI261" s="113"/>
      <c r="CJ261" s="113"/>
      <c r="CK261" s="113"/>
      <c r="CL261" s="113"/>
      <c r="CM261" s="113"/>
      <c r="CN261" s="113"/>
      <c r="CO261" s="113"/>
      <c r="CP261" s="113"/>
      <c r="CQ261" s="113"/>
      <c r="CR261" s="113"/>
      <c r="CS261" s="113"/>
      <c r="CT261" s="113"/>
      <c r="CU261" s="113"/>
      <c r="CV261" s="113"/>
      <c r="CW261" s="113"/>
      <c r="CX261" s="113"/>
      <c r="CY261" s="113"/>
      <c r="CZ261" s="113"/>
      <c r="DA261" s="113"/>
      <c r="DB261" s="113"/>
      <c r="DC261" s="113"/>
      <c r="DD261" s="113"/>
      <c r="DE261" s="113"/>
      <c r="DF261" s="113"/>
      <c r="DG261" s="113"/>
      <c r="DH261" s="113"/>
      <c r="DI261" s="113"/>
      <c r="DJ261" s="113"/>
      <c r="DK261" s="113"/>
      <c r="DL261" s="113"/>
      <c r="DM261" s="113"/>
      <c r="DN261" s="113"/>
      <c r="DO261" s="113"/>
      <c r="DP261" s="113"/>
      <c r="DQ261" s="113"/>
      <c r="DR261" s="113"/>
      <c r="DS261" s="113"/>
      <c r="DT261" s="113"/>
      <c r="DU261" s="113"/>
      <c r="DV261" s="113"/>
      <c r="DW261" s="113"/>
      <c r="DX261" s="113"/>
      <c r="DY261" s="113"/>
      <c r="DZ261" s="113"/>
      <c r="EA261" s="113"/>
      <c r="EB261" s="113"/>
      <c r="EC261" s="113"/>
      <c r="ED261" s="113"/>
      <c r="EE261" s="113"/>
      <c r="EF261" s="113"/>
      <c r="EG261" s="113"/>
      <c r="EH261" s="113"/>
      <c r="EI261" s="113"/>
      <c r="EJ261" s="113"/>
      <c r="EK261" s="113"/>
      <c r="EL261" s="113"/>
      <c r="EM261" s="113"/>
      <c r="EN261" s="113"/>
      <c r="EO261" s="113"/>
      <c r="EP261" s="113"/>
      <c r="EQ261" s="113"/>
      <c r="ER261" s="113"/>
      <c r="ES261" s="113"/>
      <c r="ET261" s="113"/>
      <c r="EU261" s="113"/>
      <c r="EV261" s="113"/>
      <c r="EW261" s="113"/>
      <c r="EX261" s="113"/>
      <c r="EY261" s="113"/>
      <c r="EZ261" s="113"/>
      <c r="FA261" s="113"/>
      <c r="FB261" s="113"/>
      <c r="FC261" s="113"/>
      <c r="FD261" s="113"/>
      <c r="FE261" s="113"/>
      <c r="FF261" s="113"/>
      <c r="FG261" s="113"/>
      <c r="FH261" s="113"/>
      <c r="FI261" s="113"/>
      <c r="FJ261" s="113"/>
      <c r="FK261" s="113"/>
      <c r="FL261" s="113"/>
      <c r="FM261" s="113"/>
      <c r="FN261" s="113"/>
      <c r="FO261" s="113"/>
      <c r="FP261" s="113"/>
      <c r="FQ261" s="113"/>
      <c r="FR261" s="113"/>
      <c r="FS261" s="113"/>
      <c r="FT261" s="113"/>
      <c r="FU261" s="113"/>
      <c r="FV261" s="113"/>
      <c r="FW261" s="113"/>
      <c r="FX261" s="113"/>
      <c r="FY261" s="113"/>
      <c r="FZ261" s="113"/>
      <c r="GA261" s="113"/>
      <c r="GB261" s="113"/>
      <c r="GC261" s="113"/>
      <c r="GD261" s="113"/>
      <c r="GE261" s="113"/>
      <c r="GF261" s="113"/>
      <c r="GG261" s="113"/>
      <c r="GH261" s="113"/>
      <c r="GI261" s="113"/>
      <c r="GJ261" s="113"/>
      <c r="GK261" s="113"/>
      <c r="GL261" s="113"/>
      <c r="GM261" s="113"/>
      <c r="GN261" s="113"/>
      <c r="GO261" s="113"/>
      <c r="GP261" s="113"/>
      <c r="GQ261" s="113"/>
      <c r="GR261" s="113"/>
      <c r="GS261" s="113"/>
      <c r="GT261" s="113"/>
      <c r="GU261" s="113"/>
      <c r="GV261" s="113"/>
      <c r="GW261" s="113"/>
      <c r="GX261" s="113"/>
      <c r="GY261" s="113"/>
      <c r="GZ261" s="113"/>
      <c r="HA261" s="113"/>
      <c r="HB261" s="113"/>
      <c r="HC261" s="113"/>
      <c r="HD261" s="113"/>
      <c r="HE261" s="113"/>
      <c r="HF261" s="113"/>
      <c r="HG261" s="113"/>
      <c r="HH261" s="113"/>
      <c r="HI261" s="113"/>
      <c r="HJ261" s="113"/>
      <c r="HK261" s="113"/>
      <c r="HL261" s="113"/>
      <c r="HM261" s="113"/>
      <c r="HN261" s="113"/>
      <c r="HO261" s="113"/>
      <c r="HP261" s="113"/>
      <c r="HQ261" s="113"/>
      <c r="HR261" s="113"/>
      <c r="HS261" s="113"/>
      <c r="HT261" s="113"/>
      <c r="HU261" s="113"/>
      <c r="HV261" s="113"/>
      <c r="HW261" s="113"/>
      <c r="HX261" s="113"/>
      <c r="HY261" s="113"/>
      <c r="HZ261" s="113"/>
      <c r="IA261" s="113"/>
      <c r="IB261" s="113"/>
      <c r="IC261" s="113"/>
      <c r="ID261" s="113"/>
      <c r="IE261" s="113"/>
      <c r="IF261" s="113"/>
      <c r="IG261" s="113"/>
      <c r="IH261" s="113"/>
      <c r="II261" s="113"/>
      <c r="IJ261" s="113"/>
      <c r="IK261" s="113"/>
      <c r="IL261" s="113"/>
      <c r="IM261" s="113"/>
      <c r="IN261" s="113"/>
      <c r="IO261" s="113"/>
      <c r="IP261" s="113"/>
      <c r="IQ261" s="113"/>
      <c r="IR261" s="113"/>
      <c r="IS261" s="113"/>
      <c r="IT261" s="113"/>
      <c r="IU261" s="113"/>
      <c r="IV261" s="113"/>
      <c r="IW261" s="113"/>
      <c r="IX261" s="113"/>
      <c r="IY261" s="113"/>
      <c r="IZ261" s="113"/>
      <c r="JA261" s="113"/>
      <c r="JB261" s="113"/>
      <c r="JC261" s="113"/>
      <c r="JD261" s="113"/>
      <c r="JE261" s="113"/>
      <c r="JF261" s="113"/>
      <c r="JG261" s="113"/>
      <c r="JH261" s="113"/>
      <c r="JI261" s="113"/>
      <c r="JJ261" s="113"/>
      <c r="JK261" s="113"/>
      <c r="JL261" s="113"/>
      <c r="JM261" s="113"/>
      <c r="JN261" s="113"/>
      <c r="JO261" s="113"/>
      <c r="JP261" s="113"/>
      <c r="JQ261" s="113"/>
      <c r="JR261" s="113"/>
      <c r="JS261" s="113"/>
      <c r="JT261" s="113"/>
      <c r="JU261" s="113"/>
      <c r="JV261" s="113"/>
      <c r="JW261" s="113"/>
      <c r="JX261" s="113"/>
      <c r="JY261" s="113"/>
      <c r="JZ261" s="113"/>
      <c r="KA261" s="113"/>
      <c r="KB261" s="113"/>
      <c r="KC261" s="113"/>
      <c r="KD261" s="113"/>
      <c r="KE261" s="113"/>
      <c r="KF261" s="113"/>
      <c r="KG261" s="113"/>
      <c r="KH261" s="113"/>
      <c r="KI261" s="113"/>
      <c r="KJ261" s="113"/>
      <c r="KK261" s="113"/>
      <c r="KL261" s="113"/>
      <c r="KM261" s="113"/>
      <c r="KN261" s="113"/>
      <c r="KO261" s="113"/>
      <c r="KP261" s="113"/>
      <c r="KQ261" s="113"/>
      <c r="KR261" s="113"/>
      <c r="KS261" s="113"/>
      <c r="KT261" s="113"/>
      <c r="KU261" s="113"/>
      <c r="KV261" s="113"/>
      <c r="KW261" s="113"/>
      <c r="KX261" s="113"/>
      <c r="KY261" s="113"/>
      <c r="KZ261" s="113"/>
      <c r="LA261" s="113"/>
      <c r="LB261" s="113"/>
      <c r="LC261" s="113"/>
      <c r="LD261" s="113"/>
      <c r="LE261" s="113"/>
      <c r="LF261" s="113"/>
      <c r="LG261" s="113"/>
      <c r="LH261" s="113"/>
      <c r="LI261" s="113"/>
      <c r="LJ261" s="113"/>
      <c r="LK261" s="113"/>
      <c r="LL261" s="113"/>
      <c r="LM261" s="113"/>
      <c r="LN261" s="113"/>
      <c r="LO261" s="113"/>
      <c r="LP261" s="113"/>
      <c r="LQ261" s="113"/>
      <c r="LR261" s="113"/>
      <c r="LS261" s="113"/>
      <c r="LT261" s="113"/>
      <c r="LU261" s="113"/>
      <c r="LV261" s="113"/>
      <c r="LW261" s="113"/>
      <c r="LX261" s="113"/>
      <c r="LY261" s="113"/>
      <c r="LZ261" s="113"/>
      <c r="MA261" s="113"/>
      <c r="MB261" s="113"/>
      <c r="MC261" s="113"/>
      <c r="MD261" s="113"/>
      <c r="ME261" s="113"/>
      <c r="MF261" s="113"/>
      <c r="MG261" s="113"/>
      <c r="MH261" s="113"/>
      <c r="MI261" s="113"/>
      <c r="MJ261" s="113"/>
      <c r="MK261" s="113"/>
      <c r="ML261" s="113"/>
      <c r="MM261" s="113"/>
      <c r="MN261" s="113"/>
      <c r="MO261" s="113"/>
      <c r="MP261" s="113"/>
      <c r="MQ261" s="113"/>
      <c r="MR261" s="113"/>
      <c r="MS261" s="113"/>
      <c r="MT261" s="113"/>
      <c r="MU261" s="113"/>
      <c r="MV261" s="113"/>
      <c r="MW261" s="113"/>
      <c r="MX261" s="113"/>
      <c r="MY261" s="113"/>
      <c r="MZ261" s="113"/>
      <c r="NA261" s="113"/>
      <c r="NB261" s="113"/>
      <c r="NC261" s="113"/>
      <c r="ND261" s="113"/>
      <c r="NE261" s="113"/>
      <c r="NF261" s="113"/>
      <c r="NG261" s="113"/>
      <c r="NH261" s="113"/>
      <c r="NI261" s="113"/>
      <c r="NJ261" s="113"/>
      <c r="NK261" s="113"/>
      <c r="NL261" s="113"/>
      <c r="NM261" s="113"/>
      <c r="NN261" s="113"/>
      <c r="NO261" s="113"/>
      <c r="NP261" s="113"/>
      <c r="NQ261" s="113"/>
      <c r="NR261" s="113"/>
      <c r="NS261" s="113"/>
      <c r="NT261" s="113"/>
      <c r="NU261" s="113"/>
      <c r="NV261" s="113"/>
      <c r="NW261" s="113"/>
      <c r="NX261" s="113"/>
      <c r="NY261" s="113"/>
      <c r="NZ261" s="113"/>
      <c r="OA261" s="113"/>
      <c r="OB261" s="113"/>
      <c r="OC261" s="113"/>
      <c r="OD261" s="113"/>
      <c r="OE261" s="113"/>
      <c r="OF261" s="113"/>
      <c r="OG261" s="113"/>
      <c r="OH261" s="113"/>
      <c r="OI261" s="113"/>
      <c r="OJ261" s="113"/>
      <c r="OK261" s="113"/>
      <c r="OL261" s="113"/>
      <c r="OM261" s="113"/>
      <c r="ON261" s="113"/>
      <c r="OO261" s="113"/>
      <c r="OP261" s="113"/>
      <c r="OQ261" s="113"/>
      <c r="OR261" s="113"/>
      <c r="OS261" s="113"/>
      <c r="OT261" s="113"/>
      <c r="OU261" s="113"/>
      <c r="OV261" s="113"/>
      <c r="OW261" s="113"/>
      <c r="OX261" s="113"/>
      <c r="OY261" s="113"/>
      <c r="OZ261" s="113"/>
      <c r="PA261" s="113"/>
      <c r="PB261" s="113"/>
      <c r="PC261" s="113"/>
      <c r="PD261" s="113"/>
      <c r="PE261" s="113"/>
      <c r="PF261" s="113"/>
      <c r="PG261" s="113"/>
      <c r="PH261" s="113"/>
      <c r="PI261" s="113"/>
      <c r="PJ261" s="113"/>
      <c r="PK261" s="113"/>
      <c r="PL261" s="113"/>
      <c r="PM261" s="113"/>
      <c r="PN261" s="113"/>
      <c r="PO261" s="113"/>
      <c r="PP261" s="113"/>
      <c r="PQ261" s="113"/>
      <c r="PR261" s="113"/>
      <c r="PS261" s="113"/>
      <c r="PT261" s="113"/>
      <c r="PU261" s="113"/>
      <c r="PV261" s="113"/>
      <c r="PW261" s="113"/>
      <c r="PX261" s="113"/>
      <c r="PY261" s="113"/>
      <c r="PZ261" s="113"/>
      <c r="QA261" s="113"/>
      <c r="QB261" s="113"/>
      <c r="QC261" s="113"/>
      <c r="QD261" s="113"/>
      <c r="QE261" s="113"/>
      <c r="QF261" s="113"/>
      <c r="QG261" s="113"/>
      <c r="QH261" s="113"/>
      <c r="QI261" s="113"/>
      <c r="QJ261" s="113"/>
      <c r="QK261" s="113"/>
      <c r="QL261" s="113"/>
      <c r="QM261" s="113"/>
      <c r="QN261" s="113"/>
      <c r="QO261" s="113"/>
      <c r="QP261" s="113"/>
      <c r="QQ261" s="113"/>
      <c r="QR261" s="113"/>
      <c r="QS261" s="113"/>
      <c r="QT261" s="113"/>
      <c r="QU261" s="113"/>
      <c r="QV261" s="113"/>
      <c r="QW261" s="113"/>
      <c r="QX261" s="113"/>
      <c r="QY261" s="113"/>
      <c r="QZ261" s="113"/>
      <c r="RA261" s="113"/>
      <c r="RB261" s="113"/>
      <c r="RC261" s="113"/>
      <c r="RD261" s="113"/>
      <c r="RE261" s="113"/>
      <c r="RF261" s="113"/>
      <c r="RG261" s="113"/>
      <c r="RH261" s="113"/>
      <c r="RI261" s="113"/>
      <c r="RJ261" s="113"/>
      <c r="RK261" s="113"/>
      <c r="RL261" s="113"/>
      <c r="RM261" s="113"/>
      <c r="RN261" s="113"/>
      <c r="RO261" s="113"/>
      <c r="RP261" s="113"/>
      <c r="RQ261" s="113"/>
      <c r="RR261" s="113"/>
      <c r="RS261" s="113"/>
      <c r="RT261" s="113"/>
      <c r="RU261" s="113"/>
      <c r="RV261" s="113"/>
      <c r="RW261" s="113"/>
      <c r="RX261" s="113"/>
      <c r="RY261" s="113"/>
      <c r="RZ261" s="113"/>
      <c r="SA261" s="113"/>
      <c r="SB261" s="113"/>
      <c r="SC261" s="113"/>
      <c r="SD261" s="113"/>
      <c r="SE261" s="113"/>
      <c r="SF261" s="113"/>
      <c r="SG261" s="113"/>
      <c r="SH261" s="113"/>
      <c r="SI261" s="113"/>
      <c r="SJ261" s="113"/>
      <c r="SK261" s="113"/>
      <c r="SL261" s="113"/>
      <c r="SM261" s="113"/>
      <c r="SN261" s="113"/>
      <c r="SO261" s="113"/>
      <c r="SP261" s="113"/>
      <c r="SQ261" s="113"/>
      <c r="SR261" s="113"/>
      <c r="SS261" s="113"/>
      <c r="ST261" s="113"/>
      <c r="SU261" s="113"/>
      <c r="SV261" s="113"/>
      <c r="SW261" s="113"/>
      <c r="SX261" s="113"/>
      <c r="SY261" s="113"/>
      <c r="SZ261" s="113"/>
      <c r="TA261" s="113"/>
      <c r="TB261" s="113"/>
      <c r="TC261" s="113"/>
      <c r="TD261" s="113"/>
      <c r="TE261" s="113"/>
      <c r="TF261" s="113"/>
      <c r="TG261" s="113"/>
      <c r="TH261" s="113"/>
      <c r="TI261" s="113"/>
      <c r="TJ261" s="113"/>
      <c r="TK261" s="113"/>
      <c r="TL261" s="113"/>
      <c r="TM261" s="113"/>
      <c r="TN261" s="113"/>
      <c r="TO261" s="113"/>
      <c r="TP261" s="113"/>
      <c r="TQ261" s="113"/>
      <c r="TR261" s="113"/>
      <c r="TS261" s="113"/>
      <c r="TT261" s="113"/>
      <c r="TU261" s="113"/>
      <c r="TV261" s="113"/>
      <c r="TW261" s="113"/>
      <c r="TX261" s="113"/>
      <c r="TY261" s="113"/>
      <c r="TZ261" s="113"/>
      <c r="UA261" s="113"/>
      <c r="UB261" s="113"/>
      <c r="UC261" s="113"/>
      <c r="UD261" s="113"/>
      <c r="UE261" s="113"/>
      <c r="UF261" s="113"/>
      <c r="UG261" s="113"/>
      <c r="UH261" s="113"/>
      <c r="UI261" s="113"/>
      <c r="UJ261" s="113"/>
      <c r="UK261" s="113"/>
      <c r="UL261" s="113"/>
      <c r="UM261" s="113"/>
      <c r="UN261" s="113"/>
      <c r="UO261" s="113"/>
      <c r="UP261" s="113"/>
      <c r="UQ261" s="113"/>
      <c r="UR261" s="113"/>
      <c r="US261" s="113"/>
      <c r="UT261" s="113"/>
      <c r="UU261" s="113"/>
      <c r="UV261" s="113"/>
      <c r="UW261" s="113"/>
      <c r="UX261" s="113"/>
      <c r="UY261" s="113"/>
      <c r="UZ261" s="113"/>
      <c r="VA261" s="113"/>
      <c r="VB261" s="113"/>
      <c r="VC261" s="113"/>
      <c r="VD261" s="113"/>
      <c r="VE261" s="113"/>
      <c r="VF261" s="113"/>
      <c r="VG261" s="113"/>
      <c r="VH261" s="113"/>
      <c r="VI261" s="113"/>
      <c r="VJ261" s="113"/>
      <c r="VK261" s="113"/>
      <c r="VL261" s="113"/>
      <c r="VM261" s="113"/>
      <c r="VN261" s="113"/>
      <c r="VO261" s="113"/>
      <c r="VP261" s="113"/>
      <c r="VQ261" s="113"/>
      <c r="VR261" s="113"/>
      <c r="VS261" s="113"/>
      <c r="VT261" s="113"/>
      <c r="VU261" s="113"/>
      <c r="VV261" s="113"/>
      <c r="VW261" s="113"/>
      <c r="VX261" s="113"/>
      <c r="VY261" s="113"/>
      <c r="VZ261" s="113"/>
      <c r="WA261" s="113"/>
      <c r="WB261" s="113"/>
      <c r="WC261" s="113"/>
      <c r="WD261" s="113"/>
      <c r="WE261" s="113"/>
      <c r="WF261" s="113"/>
      <c r="WG261" s="113"/>
      <c r="WH261" s="113"/>
      <c r="WI261" s="113"/>
      <c r="WJ261" s="113"/>
      <c r="WK261" s="113"/>
      <c r="WL261" s="113"/>
      <c r="WM261" s="113"/>
      <c r="WN261" s="113"/>
      <c r="WO261" s="113"/>
      <c r="WP261" s="113"/>
      <c r="WQ261" s="113"/>
      <c r="WR261" s="113"/>
      <c r="WS261" s="113"/>
      <c r="WT261" s="113"/>
      <c r="WU261" s="113"/>
      <c r="WV261" s="113"/>
      <c r="WW261" s="113"/>
      <c r="WX261" s="113"/>
      <c r="WY261" s="113"/>
      <c r="WZ261" s="113"/>
      <c r="XA261" s="113"/>
      <c r="XB261" s="113"/>
      <c r="XC261" s="113"/>
      <c r="XD261" s="113"/>
      <c r="XE261" s="113"/>
      <c r="XF261" s="113"/>
      <c r="XG261" s="113"/>
      <c r="XH261" s="113"/>
      <c r="XI261" s="113"/>
      <c r="XJ261" s="113"/>
      <c r="XK261" s="113"/>
      <c r="XL261" s="113"/>
      <c r="XM261" s="113"/>
      <c r="XN261" s="113"/>
      <c r="XO261" s="113"/>
      <c r="XP261" s="113"/>
      <c r="XQ261" s="113"/>
      <c r="XR261" s="113"/>
      <c r="XS261" s="113"/>
      <c r="XT261" s="113"/>
      <c r="XU261" s="113"/>
      <c r="XV261" s="113"/>
      <c r="XW261" s="113"/>
      <c r="XX261" s="113"/>
      <c r="XY261" s="113"/>
      <c r="XZ261" s="113"/>
      <c r="YA261" s="113"/>
      <c r="YB261" s="113"/>
      <c r="YC261" s="113"/>
      <c r="YD261" s="113"/>
      <c r="YE261" s="113"/>
      <c r="YF261" s="113"/>
      <c r="YG261" s="113"/>
      <c r="YH261" s="113"/>
      <c r="YI261" s="113"/>
      <c r="YJ261" s="113"/>
      <c r="YK261" s="113"/>
      <c r="YL261" s="113"/>
      <c r="YM261" s="113"/>
      <c r="YN261" s="113"/>
      <c r="YO261" s="113"/>
      <c r="YP261" s="113"/>
      <c r="YQ261" s="113"/>
      <c r="YR261" s="113"/>
      <c r="YS261" s="113"/>
      <c r="YT261" s="113"/>
      <c r="YU261" s="113"/>
      <c r="YV261" s="113"/>
      <c r="YW261" s="113"/>
      <c r="YX261" s="113"/>
      <c r="YY261" s="113"/>
      <c r="YZ261" s="113"/>
      <c r="ZA261" s="113"/>
      <c r="ZB261" s="113"/>
      <c r="ZC261" s="113"/>
      <c r="ZD261" s="113"/>
      <c r="ZE261" s="113"/>
      <c r="ZF261" s="113"/>
      <c r="ZG261" s="113"/>
      <c r="ZH261" s="113"/>
      <c r="ZI261" s="113"/>
      <c r="ZJ261" s="113"/>
      <c r="ZK261" s="113"/>
      <c r="ZL261" s="113"/>
      <c r="ZM261" s="113"/>
      <c r="ZN261" s="113"/>
      <c r="ZO261" s="113"/>
      <c r="ZP261" s="113"/>
      <c r="ZQ261" s="113"/>
      <c r="ZR261" s="113"/>
      <c r="ZS261" s="113"/>
      <c r="ZT261" s="113"/>
      <c r="ZU261" s="113"/>
      <c r="ZV261" s="113"/>
      <c r="ZW261" s="113"/>
      <c r="ZX261" s="113"/>
      <c r="ZY261" s="113"/>
      <c r="ZZ261" s="113"/>
      <c r="AAA261" s="113"/>
      <c r="AAB261" s="113"/>
      <c r="AAC261" s="113"/>
      <c r="AAD261" s="113"/>
      <c r="AAE261" s="113"/>
      <c r="AAF261" s="113"/>
      <c r="AAG261" s="113"/>
      <c r="AAH261" s="113"/>
      <c r="AAI261" s="113"/>
      <c r="AAJ261" s="113"/>
      <c r="AAK261" s="113"/>
      <c r="AAL261" s="113"/>
      <c r="AAM261" s="113"/>
      <c r="AAN261" s="113"/>
      <c r="AAO261" s="113"/>
      <c r="AAP261" s="113"/>
      <c r="AAQ261" s="113"/>
      <c r="AAR261" s="113"/>
      <c r="AAS261" s="113"/>
      <c r="AAT261" s="113"/>
      <c r="AAU261" s="113"/>
      <c r="AAV261" s="113"/>
      <c r="AAW261" s="113"/>
      <c r="AAX261" s="113"/>
      <c r="AAY261" s="113"/>
      <c r="AAZ261" s="113"/>
      <c r="ABA261" s="113"/>
      <c r="ABB261" s="113"/>
      <c r="ABC261" s="113"/>
      <c r="ABD261" s="113"/>
      <c r="ABE261" s="113"/>
      <c r="ABF261" s="113"/>
      <c r="ABG261" s="113"/>
      <c r="ABH261" s="113"/>
      <c r="ABI261" s="113"/>
      <c r="ABJ261" s="113"/>
      <c r="ABK261" s="113"/>
      <c r="ABL261" s="113"/>
      <c r="ABM261" s="113"/>
      <c r="ABN261" s="113"/>
      <c r="ABO261" s="113"/>
      <c r="ABP261" s="113"/>
      <c r="ABQ261" s="113"/>
      <c r="ABR261" s="113"/>
      <c r="ABS261" s="113"/>
      <c r="ABT261" s="113"/>
      <c r="ABU261" s="113"/>
      <c r="ABV261" s="113"/>
      <c r="ABW261" s="113"/>
      <c r="ABX261" s="113"/>
      <c r="ABY261" s="113"/>
      <c r="ABZ261" s="113"/>
      <c r="ACA261" s="113"/>
      <c r="ACB261" s="113"/>
      <c r="ACC261" s="113"/>
      <c r="ACD261" s="113"/>
      <c r="ACE261" s="113"/>
      <c r="ACF261" s="113"/>
      <c r="ACG261" s="113"/>
      <c r="ACH261" s="113"/>
      <c r="ACI261" s="113"/>
      <c r="ACJ261" s="113"/>
      <c r="ACK261" s="113"/>
      <c r="ACL261" s="113"/>
      <c r="ACM261" s="113"/>
      <c r="ACN261" s="113"/>
      <c r="ACO261" s="113"/>
      <c r="ACP261" s="113"/>
      <c r="ACQ261" s="113"/>
      <c r="ACR261" s="113"/>
      <c r="ACS261" s="113"/>
      <c r="ACT261" s="113"/>
      <c r="ACU261" s="113"/>
      <c r="ACV261" s="113"/>
      <c r="ACW261" s="113"/>
      <c r="ACX261" s="113"/>
      <c r="ACY261" s="113"/>
      <c r="ACZ261" s="113"/>
      <c r="ADA261" s="113"/>
      <c r="ADB261" s="113"/>
      <c r="ADC261" s="113"/>
      <c r="ADD261" s="113"/>
      <c r="ADE261" s="113"/>
      <c r="ADF261" s="113"/>
      <c r="ADG261" s="113"/>
      <c r="ADH261" s="113"/>
      <c r="ADI261" s="113"/>
      <c r="ADJ261" s="113"/>
      <c r="ADK261" s="113"/>
      <c r="ADL261" s="113"/>
      <c r="ADM261" s="113"/>
      <c r="ADN261" s="113"/>
      <c r="ADO261" s="113"/>
      <c r="ADP261" s="113"/>
      <c r="ADQ261" s="113"/>
      <c r="ADR261" s="113"/>
      <c r="ADS261" s="113"/>
      <c r="ADT261" s="113"/>
      <c r="ADU261" s="113"/>
      <c r="ADV261" s="113"/>
      <c r="ADW261" s="113"/>
      <c r="ADX261" s="113"/>
      <c r="ADY261" s="113"/>
      <c r="ADZ261" s="113"/>
      <c r="AEA261" s="113"/>
      <c r="AEB261" s="113"/>
      <c r="AEC261" s="113"/>
      <c r="AED261" s="113"/>
      <c r="AEE261" s="113"/>
      <c r="AEF261" s="113"/>
      <c r="AEG261" s="113"/>
      <c r="AEH261" s="113"/>
      <c r="AEI261" s="113"/>
      <c r="AEJ261" s="113"/>
      <c r="AEK261" s="113"/>
      <c r="AEL261" s="113"/>
      <c r="AEM261" s="113"/>
      <c r="AEN261" s="113"/>
      <c r="AEO261" s="113"/>
      <c r="AEP261" s="113"/>
      <c r="AEQ261" s="113"/>
      <c r="AER261" s="113"/>
      <c r="AES261" s="113"/>
      <c r="AET261" s="113"/>
      <c r="AEU261" s="113"/>
      <c r="AEV261" s="113"/>
      <c r="AEW261" s="113"/>
      <c r="AEX261" s="113"/>
      <c r="AEY261" s="113"/>
      <c r="AEZ261" s="113"/>
      <c r="AFA261" s="113"/>
      <c r="AFB261" s="113"/>
      <c r="AFC261" s="113"/>
      <c r="AFD261" s="113"/>
      <c r="AFE261" s="113"/>
      <c r="AFF261" s="113"/>
      <c r="AFG261" s="113"/>
      <c r="AFH261" s="113"/>
      <c r="AFI261" s="113"/>
      <c r="AFJ261" s="113"/>
      <c r="AFK261" s="113"/>
      <c r="AFL261" s="113"/>
      <c r="AFM261" s="113"/>
      <c r="AFN261" s="113"/>
      <c r="AFO261" s="113"/>
      <c r="AFP261" s="113"/>
      <c r="AFQ261" s="113"/>
      <c r="AFR261" s="113"/>
      <c r="AFS261" s="113"/>
      <c r="AFT261" s="113"/>
      <c r="AFU261" s="113"/>
      <c r="AFV261" s="113"/>
      <c r="AFW261" s="113"/>
      <c r="AFX261" s="113"/>
      <c r="AFY261" s="113"/>
      <c r="AFZ261" s="113"/>
      <c r="AGA261" s="113"/>
      <c r="AGB261" s="113"/>
      <c r="AGC261" s="113"/>
      <c r="AGD261" s="113"/>
      <c r="AGE261" s="113"/>
      <c r="AGF261" s="113"/>
      <c r="AGG261" s="113"/>
      <c r="AGH261" s="113"/>
      <c r="AGI261" s="113"/>
      <c r="AGJ261" s="113"/>
      <c r="AGK261" s="113"/>
      <c r="AGL261" s="113"/>
      <c r="AGM261" s="113"/>
      <c r="AGN261" s="113"/>
      <c r="AGO261" s="113"/>
      <c r="AGP261" s="113"/>
      <c r="AGQ261" s="113"/>
      <c r="AGR261" s="113"/>
      <c r="AGS261" s="113"/>
      <c r="AGT261" s="113"/>
      <c r="AGU261" s="113"/>
      <c r="AGV261" s="113"/>
      <c r="AGW261" s="113"/>
      <c r="AGX261" s="113"/>
      <c r="AGY261" s="113"/>
      <c r="AGZ261" s="113"/>
      <c r="AHA261" s="113"/>
      <c r="AHB261" s="113"/>
      <c r="AHC261" s="113"/>
      <c r="AHD261" s="113"/>
      <c r="AHE261" s="113"/>
      <c r="AHF261" s="113"/>
      <c r="AHG261" s="113"/>
      <c r="AHH261" s="113"/>
      <c r="AHI261" s="113"/>
      <c r="AHJ261" s="113"/>
      <c r="AHK261" s="113"/>
      <c r="AHL261" s="113"/>
      <c r="AHM261" s="113"/>
      <c r="AHN261" s="113"/>
      <c r="AHO261" s="113"/>
      <c r="AHP261" s="113"/>
      <c r="AHQ261" s="113"/>
      <c r="AHR261" s="113"/>
      <c r="AHS261" s="113"/>
      <c r="AHT261" s="113"/>
      <c r="AHU261" s="113"/>
      <c r="AHV261" s="113"/>
      <c r="AHW261" s="113"/>
      <c r="AHX261" s="113"/>
      <c r="AHY261" s="113"/>
      <c r="AHZ261" s="113"/>
      <c r="AIA261" s="113"/>
      <c r="AIB261" s="113"/>
      <c r="AIC261" s="113"/>
      <c r="AID261" s="113"/>
      <c r="AIE261" s="113"/>
      <c r="AIF261" s="113"/>
      <c r="AIG261" s="113"/>
      <c r="AIH261" s="113"/>
      <c r="AII261" s="113"/>
      <c r="AIJ261" s="113"/>
      <c r="AIK261" s="113"/>
      <c r="AIL261" s="113"/>
      <c r="AIM261" s="113"/>
      <c r="AIN261" s="113"/>
      <c r="AIO261" s="113"/>
      <c r="AIP261" s="113"/>
      <c r="AIQ261" s="113"/>
      <c r="AIR261" s="113"/>
      <c r="AIS261" s="113"/>
      <c r="AIT261" s="113"/>
      <c r="AIU261" s="113"/>
      <c r="AIV261" s="113"/>
      <c r="AIW261" s="113"/>
      <c r="AIX261" s="113"/>
      <c r="AIY261" s="113"/>
      <c r="AIZ261" s="113"/>
    </row>
    <row r="262">
      <c r="A262" s="65" t="s">
        <v>35</v>
      </c>
      <c r="B262" s="65" t="s">
        <v>76</v>
      </c>
      <c r="C262" s="65"/>
      <c r="D262" s="64">
        <f t="shared" si="1"/>
        <v>330.3848</v>
      </c>
      <c r="G262" s="65">
        <v>5.23595</v>
      </c>
      <c r="H262" s="65">
        <v>1.65736666666667</v>
      </c>
      <c r="I262" s="65">
        <v>0.319016666666667</v>
      </c>
      <c r="K262" s="65">
        <v>31.00205</v>
      </c>
      <c r="N262" s="65">
        <v>3.9947</v>
      </c>
      <c r="R262" s="65">
        <v>6.49188333333333</v>
      </c>
      <c r="S262" s="65">
        <v>21.5412833333333</v>
      </c>
      <c r="T262" s="65">
        <v>2.43315</v>
      </c>
      <c r="U262" s="65">
        <v>33.4011</v>
      </c>
      <c r="Y262" s="65">
        <v>8.79776666666667</v>
      </c>
      <c r="Z262" s="65">
        <v>27.4833333333333</v>
      </c>
      <c r="AA262" s="65">
        <v>3.10375</v>
      </c>
      <c r="AB262" s="65">
        <v>23.7310166666667</v>
      </c>
      <c r="AF262" s="65">
        <v>2.71705</v>
      </c>
      <c r="AG262" s="65">
        <v>10.8233833333333</v>
      </c>
      <c r="AI262" s="65">
        <v>5.48786666666667</v>
      </c>
      <c r="AL262" s="65">
        <v>6.27041666666667</v>
      </c>
      <c r="AM262" s="65">
        <v>5.48118333333333</v>
      </c>
      <c r="AN262" s="65">
        <v>6.52646666666667</v>
      </c>
      <c r="AQ262" s="65">
        <v>1.4082</v>
      </c>
      <c r="AR262" s="65">
        <v>5.32648333333333</v>
      </c>
      <c r="AU262" s="65">
        <v>117.151383333333</v>
      </c>
    </row>
    <row r="263">
      <c r="A263" s="65" t="s">
        <v>35</v>
      </c>
      <c r="B263" s="65" t="s">
        <v>76</v>
      </c>
      <c r="C263" s="65"/>
      <c r="D263" s="64">
        <f t="shared" si="1"/>
        <v>0</v>
      </c>
    </row>
    <row r="264">
      <c r="A264" s="65" t="s">
        <v>35</v>
      </c>
      <c r="B264" s="65" t="s">
        <v>76</v>
      </c>
      <c r="C264" s="65"/>
      <c r="D264" s="64">
        <f t="shared" si="1"/>
        <v>326.8531833</v>
      </c>
      <c r="G264" s="118">
        <f>HYPERLINK("https://docs.google.com/spreadsheets/d/1hdUDRN9z3thtXGrE-4r4m-t680VTy5dR", 4.79735)</f>
        <v>4.79735</v>
      </c>
      <c r="H264" s="118">
        <f>HYPERLINK("https://docs.google.com/spreadsheets/d/1fcM2Xj355IVBKxoFmdmQ2924IMC8j-p4", 1.65736666666667)</f>
        <v>1.657366667</v>
      </c>
      <c r="I264" s="118">
        <f>HYPERLINK("https://docs.google.com/spreadsheets/d/1Lk3l1uPue_QePJ2ZA0cukqt1aXpdYLei", 0.319016666666667)</f>
        <v>0.3190166667</v>
      </c>
      <c r="K264" s="118">
        <f>HYPERLINK("https://docs.google.com/spreadsheets/d/1c8Sp-mKF-rSSJ3oDomr4X6WzmYSndjd7", 30.6225666666667)</f>
        <v>30.62256667</v>
      </c>
      <c r="N264" s="118">
        <f>HYPERLINK("https://docs.google.com/spreadsheets/d/1cq8h-hWiFpJd-1j3D7jUwskMXrdUOThP", 3.99468333333333)</f>
        <v>3.994683333</v>
      </c>
      <c r="R264" s="118">
        <f>HYPERLINK("https://docs.google.com/spreadsheets/d/1DZwwQBk9jbzVWJYJYJ40g2TqA7WPNloi", 6.20445)</f>
        <v>6.20445</v>
      </c>
      <c r="S264" s="118">
        <f>HYPERLINK("https://docs.google.com/spreadsheets/d/12f9-AQalqzBOT5obn155MnbdXREvbyTu", 21.3693666666667)</f>
        <v>21.36936667</v>
      </c>
      <c r="T264" s="118">
        <f>HYPERLINK("https://docs.google.com/spreadsheets/d/1JOrbEerBujBwtvolMcxpr_bB0GX1CXRF", 2.43315)</f>
        <v>2.43315</v>
      </c>
      <c r="U264" s="118">
        <f>HYPERLINK("https://docs.google.com/spreadsheets/d/1A-xibExG3ezVDaEejmqa8hU3zEzJoS4K", 32.6591)</f>
        <v>32.6591</v>
      </c>
      <c r="Y264" s="118">
        <f>HYPERLINK("https://docs.google.com/spreadsheets/d/1NUb80Xas5v9Hm8McCAgj9BK-NyvFWzBa", 8.3901)</f>
        <v>8.3901</v>
      </c>
      <c r="Z264" s="118">
        <f>HYPERLINK("https://docs.google.com/spreadsheets/d/1NnLsYtqUqPhn7OrNiVTXJevwT_P7PB0i", 27.48335)</f>
        <v>27.48335</v>
      </c>
      <c r="AA264" s="118">
        <f>HYPERLINK("https://docs.google.com/spreadsheets/d/1DHQvqlbf1ep72dE6M6Qf2HpB8zGQFtiT", 3.04631666666667)</f>
        <v>3.046316667</v>
      </c>
      <c r="AB264" s="118">
        <f>HYPERLINK("https://docs.google.com/spreadsheets/d/1RwLaAEiul4VEJBKE3MQB_fI2ISudkZ1v", 23.7309833333333)</f>
        <v>23.73098333</v>
      </c>
      <c r="AF264" s="118">
        <f>HYPERLINK("https://docs.google.com/spreadsheets/d/1dBM_97kg9dxv_MiRtDDbWdU9erW8449k", 2.71705)</f>
        <v>2.71705</v>
      </c>
      <c r="AG264" s="118">
        <f>HYPERLINK("https://docs.google.com/spreadsheets/d/1GRwFSwdkBpOgqdKWIaznjv9eYG5vrNHw", 10.49945)</f>
        <v>10.49945</v>
      </c>
      <c r="AI264" s="118">
        <f>HYPERLINK("https://docs.google.com/spreadsheets/d/13Oz3y-WpWAC05CTtgnhbJT8NkshE37Vz", 5.48785)</f>
        <v>5.48785</v>
      </c>
      <c r="AL264" s="118">
        <f>HYPERLINK("https://docs.google.com/spreadsheets/d/19DCC9OCkHDMlReWZodrvSkJ-_WZZcvp6", 6.27041666666667)</f>
        <v>6.270416667</v>
      </c>
      <c r="AM264" s="118">
        <f>HYPERLINK("https://docs.google.com/spreadsheets/d/1pMkmb3v2xY2KmcFrpiL7i37d9I-d7T5m", 5.48118333333333)</f>
        <v>5.481183333</v>
      </c>
      <c r="AN264" s="118">
        <f>HYPERLINK("https://docs.google.com/spreadsheets/d/1QOdP3kmyrPkUWjJURK9995aUaSYtkdru", 6.52646666666667)</f>
        <v>6.526466667</v>
      </c>
      <c r="AQ264" s="118">
        <f>HYPERLINK("https://docs.google.com/spreadsheets/d/1fSilEg5CCYsK4xfQvSiLZxFm33IZLWYH", 1.4082)</f>
        <v>1.4082</v>
      </c>
      <c r="AR264" s="118">
        <f>HYPERLINK("https://docs.google.com/spreadsheets/d/1Z56kMDdkXMUy2TfRjo5frklJqBXtow7V", 5.32648333333333)</f>
        <v>5.326483333</v>
      </c>
      <c r="AU264" s="118">
        <f>HYPERLINK("https://docs.google.com/spreadsheets/d/1ui1JA3a34vv84eYvw2CQ2_zFwEeEM-mx", 116.428283333333)</f>
        <v>116.4282833</v>
      </c>
    </row>
    <row r="265">
      <c r="A265" s="65" t="s">
        <v>35</v>
      </c>
      <c r="B265" s="65" t="s">
        <v>76</v>
      </c>
      <c r="C265" s="65"/>
      <c r="D265" s="64">
        <f t="shared" si="1"/>
        <v>185.34425</v>
      </c>
      <c r="G265" s="65">
        <v>3.45848333333333</v>
      </c>
      <c r="H265" s="65">
        <v>1.0623</v>
      </c>
      <c r="I265" s="65">
        <v>0.1048</v>
      </c>
      <c r="K265" s="65">
        <v>10.98845</v>
      </c>
      <c r="N265" s="65">
        <v>3.80006666666667</v>
      </c>
      <c r="R265" s="65">
        <v>5.90898333333333</v>
      </c>
      <c r="S265" s="65">
        <v>18.3512</v>
      </c>
      <c r="T265" s="65">
        <v>2.09528333333333</v>
      </c>
      <c r="U265" s="65">
        <v>17.204</v>
      </c>
      <c r="Y265" s="65">
        <v>7.50183333333333</v>
      </c>
      <c r="Z265" s="65">
        <v>23.43825</v>
      </c>
      <c r="AA265" s="65">
        <v>2.57098333333333</v>
      </c>
      <c r="AB265" s="65">
        <v>10.3445833333333</v>
      </c>
      <c r="AF265" s="65">
        <v>2.71705</v>
      </c>
      <c r="AG265" s="65">
        <v>9.43855</v>
      </c>
      <c r="AI265" s="65">
        <v>1.19293333333333</v>
      </c>
      <c r="AL265" s="65">
        <v>4.87183333333333</v>
      </c>
      <c r="AM265" s="65">
        <v>4.95478333333333</v>
      </c>
      <c r="AN265" s="65">
        <v>3.32386666666667</v>
      </c>
      <c r="AQ265" s="65">
        <v>0.837</v>
      </c>
      <c r="AR265" s="65">
        <v>3.88606666666667</v>
      </c>
      <c r="AU265" s="65">
        <v>47.29295</v>
      </c>
    </row>
    <row r="266">
      <c r="A266" s="119" t="s">
        <v>35</v>
      </c>
      <c r="B266" s="119" t="s">
        <v>76</v>
      </c>
      <c r="C266" s="119"/>
      <c r="D266" s="120">
        <f t="shared" si="1"/>
        <v>0</v>
      </c>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c r="AA266" s="120"/>
      <c r="AB266" s="120"/>
      <c r="AC266" s="120"/>
      <c r="AD266" s="120"/>
      <c r="AE266" s="120"/>
      <c r="AF266" s="120"/>
      <c r="AG266" s="120"/>
      <c r="AH266" s="120"/>
      <c r="AI266" s="120"/>
      <c r="AJ266" s="120"/>
      <c r="AK266" s="120"/>
      <c r="AL266" s="120"/>
      <c r="AM266" s="120"/>
      <c r="AN266" s="120"/>
      <c r="AO266" s="120"/>
      <c r="AP266" s="120"/>
      <c r="AQ266" s="120"/>
      <c r="AR266" s="120"/>
      <c r="AS266" s="120"/>
      <c r="AT266" s="120"/>
      <c r="AU266" s="120"/>
      <c r="AV266" s="120"/>
      <c r="AW266" s="120"/>
      <c r="AX266" s="120"/>
      <c r="AY266" s="120"/>
      <c r="AZ266" s="120"/>
      <c r="BA266" s="120"/>
      <c r="BB266" s="120"/>
      <c r="BC266" s="120"/>
      <c r="BD266" s="120"/>
      <c r="BE266" s="120"/>
      <c r="BF266" s="120"/>
      <c r="BG266" s="120"/>
      <c r="BH266" s="120"/>
      <c r="BI266" s="120"/>
      <c r="BJ266" s="120"/>
      <c r="BK266" s="120"/>
      <c r="BL266" s="120"/>
      <c r="BM266" s="120"/>
      <c r="BN266" s="120"/>
      <c r="BO266" s="120"/>
      <c r="BP266" s="120"/>
      <c r="BQ266" s="120"/>
      <c r="BR266" s="120"/>
      <c r="BS266" s="120"/>
      <c r="BT266" s="120"/>
      <c r="BU266" s="120"/>
      <c r="BV266" s="120"/>
      <c r="BW266" s="120"/>
      <c r="BX266" s="120"/>
      <c r="BY266" s="120"/>
      <c r="BZ266" s="120"/>
      <c r="CA266" s="120"/>
      <c r="CB266" s="120"/>
      <c r="CC266" s="120"/>
      <c r="CD266" s="120"/>
      <c r="CE266" s="120"/>
      <c r="CF266" s="120"/>
      <c r="CG266" s="120"/>
      <c r="CH266" s="120"/>
      <c r="CI266" s="120"/>
      <c r="CJ266" s="120"/>
      <c r="CK266" s="120"/>
      <c r="CL266" s="120"/>
      <c r="CM266" s="120"/>
      <c r="CN266" s="120"/>
      <c r="CO266" s="120"/>
      <c r="CP266" s="120"/>
      <c r="CQ266" s="120"/>
      <c r="CR266" s="120"/>
      <c r="CS266" s="120"/>
      <c r="CT266" s="120"/>
      <c r="CU266" s="120"/>
      <c r="CV266" s="120"/>
      <c r="CW266" s="120"/>
      <c r="CX266" s="120"/>
      <c r="CY266" s="120"/>
      <c r="CZ266" s="120"/>
      <c r="DA266" s="120"/>
      <c r="DB266" s="120"/>
      <c r="DC266" s="120"/>
      <c r="DD266" s="120"/>
      <c r="DE266" s="120"/>
      <c r="DF266" s="120"/>
      <c r="DG266" s="120"/>
      <c r="DH266" s="120"/>
      <c r="DI266" s="120"/>
      <c r="DJ266" s="120"/>
      <c r="DK266" s="120"/>
      <c r="DL266" s="120"/>
      <c r="DM266" s="120"/>
      <c r="DN266" s="120"/>
      <c r="DO266" s="120"/>
      <c r="DP266" s="120"/>
      <c r="DQ266" s="120"/>
      <c r="DR266" s="120"/>
      <c r="DS266" s="120"/>
      <c r="DT266" s="120"/>
      <c r="DU266" s="120"/>
      <c r="DV266" s="120"/>
      <c r="DW266" s="120"/>
      <c r="DX266" s="120"/>
      <c r="DY266" s="120"/>
      <c r="DZ266" s="120"/>
      <c r="EA266" s="120"/>
      <c r="EB266" s="120"/>
      <c r="EC266" s="120"/>
      <c r="ED266" s="120"/>
      <c r="EE266" s="120"/>
      <c r="EF266" s="120"/>
      <c r="EG266" s="120"/>
      <c r="EH266" s="120"/>
      <c r="EI266" s="120"/>
      <c r="EJ266" s="120"/>
      <c r="EK266" s="120"/>
      <c r="EL266" s="120"/>
      <c r="EM266" s="120"/>
      <c r="EN266" s="120"/>
      <c r="EO266" s="120"/>
      <c r="EP266" s="120"/>
      <c r="EQ266" s="120"/>
      <c r="ER266" s="120"/>
      <c r="ES266" s="120"/>
      <c r="ET266" s="120"/>
      <c r="EU266" s="120"/>
      <c r="EV266" s="120"/>
      <c r="EW266" s="120"/>
      <c r="EX266" s="120"/>
      <c r="EY266" s="120"/>
      <c r="EZ266" s="120"/>
      <c r="FA266" s="120"/>
      <c r="FB266" s="120"/>
      <c r="FC266" s="120"/>
      <c r="FD266" s="120"/>
      <c r="FE266" s="120"/>
      <c r="FF266" s="120"/>
      <c r="FG266" s="120"/>
      <c r="FH266" s="120"/>
      <c r="FI266" s="120"/>
      <c r="FJ266" s="120"/>
      <c r="FK266" s="120"/>
      <c r="FL266" s="120"/>
      <c r="FM266" s="120"/>
      <c r="FN266" s="120"/>
      <c r="FO266" s="120"/>
      <c r="FP266" s="120"/>
      <c r="FQ266" s="120"/>
      <c r="FR266" s="120"/>
      <c r="FS266" s="120"/>
      <c r="FT266" s="120"/>
      <c r="FU266" s="120"/>
      <c r="FV266" s="120"/>
      <c r="FW266" s="120"/>
      <c r="FX266" s="120"/>
      <c r="FY266" s="120"/>
      <c r="FZ266" s="120"/>
      <c r="GA266" s="120"/>
      <c r="GB266" s="120"/>
      <c r="GC266" s="120"/>
      <c r="GD266" s="120"/>
      <c r="GE266" s="120"/>
      <c r="GF266" s="120"/>
      <c r="GG266" s="120"/>
      <c r="GH266" s="120"/>
      <c r="GI266" s="120"/>
      <c r="GJ266" s="120"/>
      <c r="GK266" s="120"/>
      <c r="GL266" s="120"/>
      <c r="GM266" s="120"/>
      <c r="GN266" s="120"/>
      <c r="GO266" s="120"/>
      <c r="GP266" s="120"/>
      <c r="GQ266" s="120"/>
      <c r="GR266" s="120"/>
      <c r="GS266" s="120"/>
      <c r="GT266" s="120"/>
      <c r="GU266" s="120"/>
      <c r="GV266" s="120"/>
      <c r="GW266" s="120"/>
      <c r="GX266" s="120"/>
      <c r="GY266" s="120"/>
      <c r="GZ266" s="120"/>
      <c r="HA266" s="120"/>
      <c r="HB266" s="120"/>
      <c r="HC266" s="120"/>
      <c r="HD266" s="120"/>
      <c r="HE266" s="120"/>
      <c r="HF266" s="120"/>
      <c r="HG266" s="120"/>
      <c r="HH266" s="120"/>
      <c r="HI266" s="120"/>
      <c r="HJ266" s="120"/>
      <c r="HK266" s="120"/>
      <c r="HL266" s="120"/>
      <c r="HM266" s="120"/>
      <c r="HN266" s="120"/>
      <c r="HO266" s="120"/>
      <c r="HP266" s="120"/>
      <c r="HQ266" s="120"/>
      <c r="HR266" s="120"/>
      <c r="HS266" s="120"/>
      <c r="HT266" s="120"/>
      <c r="HU266" s="120"/>
      <c r="HV266" s="120"/>
      <c r="HW266" s="120"/>
      <c r="HX266" s="120"/>
      <c r="HY266" s="120"/>
      <c r="HZ266" s="120"/>
      <c r="IA266" s="120"/>
      <c r="IB266" s="120"/>
      <c r="IC266" s="120"/>
      <c r="ID266" s="120"/>
      <c r="IE266" s="120"/>
      <c r="IF266" s="120"/>
      <c r="IG266" s="120"/>
      <c r="IH266" s="120"/>
      <c r="II266" s="120"/>
      <c r="IJ266" s="120"/>
      <c r="IK266" s="120"/>
      <c r="IL266" s="120"/>
      <c r="IM266" s="120"/>
      <c r="IN266" s="120"/>
      <c r="IO266" s="120"/>
      <c r="IP266" s="120"/>
      <c r="IQ266" s="120"/>
      <c r="IR266" s="120"/>
      <c r="IS266" s="120"/>
      <c r="IT266" s="120"/>
      <c r="IU266" s="120"/>
      <c r="IV266" s="120"/>
      <c r="IW266" s="120"/>
      <c r="IX266" s="120"/>
      <c r="IY266" s="120"/>
      <c r="IZ266" s="120"/>
      <c r="JA266" s="120"/>
      <c r="JB266" s="120"/>
      <c r="JC266" s="120"/>
      <c r="JD266" s="120"/>
      <c r="JE266" s="120"/>
      <c r="JF266" s="120"/>
      <c r="JG266" s="120"/>
      <c r="JH266" s="120"/>
      <c r="JI266" s="120"/>
      <c r="JJ266" s="120"/>
      <c r="JK266" s="120"/>
      <c r="JL266" s="120"/>
      <c r="JM266" s="120"/>
      <c r="JN266" s="120"/>
      <c r="JO266" s="120"/>
      <c r="JP266" s="120"/>
      <c r="JQ266" s="120"/>
      <c r="JR266" s="120"/>
      <c r="JS266" s="120"/>
      <c r="JT266" s="120"/>
      <c r="JU266" s="120"/>
      <c r="JV266" s="120"/>
      <c r="JW266" s="120"/>
      <c r="JX266" s="120"/>
      <c r="JY266" s="120"/>
      <c r="JZ266" s="120"/>
      <c r="KA266" s="120"/>
      <c r="KB266" s="120"/>
      <c r="KC266" s="120"/>
      <c r="KD266" s="120"/>
      <c r="KE266" s="120"/>
      <c r="KF266" s="120"/>
      <c r="KG266" s="120"/>
      <c r="KH266" s="120"/>
      <c r="KI266" s="120"/>
      <c r="KJ266" s="120"/>
      <c r="KK266" s="120"/>
      <c r="KL266" s="120"/>
      <c r="KM266" s="120"/>
      <c r="KN266" s="120"/>
      <c r="KO266" s="120"/>
      <c r="KP266" s="120"/>
      <c r="KQ266" s="120"/>
      <c r="KR266" s="120"/>
      <c r="KS266" s="120"/>
      <c r="KT266" s="120"/>
      <c r="KU266" s="120"/>
      <c r="KV266" s="120"/>
      <c r="KW266" s="120"/>
      <c r="KX266" s="120"/>
      <c r="KY266" s="120"/>
      <c r="KZ266" s="120"/>
      <c r="LA266" s="120"/>
      <c r="LB266" s="120"/>
      <c r="LC266" s="120"/>
      <c r="LD266" s="120"/>
      <c r="LE266" s="120"/>
      <c r="LF266" s="120"/>
      <c r="LG266" s="120"/>
      <c r="LH266" s="120"/>
      <c r="LI266" s="120"/>
      <c r="LJ266" s="120"/>
      <c r="LK266" s="120"/>
      <c r="LL266" s="120"/>
      <c r="LM266" s="120"/>
      <c r="LN266" s="120"/>
      <c r="LO266" s="120"/>
      <c r="LP266" s="120"/>
      <c r="LQ266" s="120"/>
      <c r="LR266" s="120"/>
      <c r="LS266" s="120"/>
      <c r="LT266" s="120"/>
      <c r="LU266" s="120"/>
      <c r="LV266" s="120"/>
      <c r="LW266" s="120"/>
      <c r="LX266" s="120"/>
      <c r="LY266" s="120"/>
      <c r="LZ266" s="120"/>
      <c r="MA266" s="120"/>
      <c r="MB266" s="120"/>
      <c r="MC266" s="120"/>
      <c r="MD266" s="120"/>
      <c r="ME266" s="120"/>
      <c r="MF266" s="120"/>
      <c r="MG266" s="120"/>
      <c r="MH266" s="120"/>
      <c r="MI266" s="120"/>
      <c r="MJ266" s="120"/>
      <c r="MK266" s="120"/>
      <c r="ML266" s="120"/>
      <c r="MM266" s="120"/>
      <c r="MN266" s="120"/>
      <c r="MO266" s="120"/>
      <c r="MP266" s="120"/>
      <c r="MQ266" s="120"/>
      <c r="MR266" s="120"/>
      <c r="MS266" s="120"/>
      <c r="MT266" s="120"/>
      <c r="MU266" s="120"/>
      <c r="MV266" s="120"/>
      <c r="MW266" s="120"/>
      <c r="MX266" s="120"/>
      <c r="MY266" s="120"/>
      <c r="MZ266" s="120"/>
      <c r="NA266" s="120"/>
      <c r="NB266" s="120"/>
      <c r="NC266" s="120"/>
      <c r="ND266" s="120"/>
      <c r="NE266" s="120"/>
      <c r="NF266" s="120"/>
      <c r="NG266" s="120"/>
      <c r="NH266" s="120"/>
      <c r="NI266" s="120"/>
      <c r="NJ266" s="120"/>
      <c r="NK266" s="120"/>
      <c r="NL266" s="120"/>
      <c r="NM266" s="120"/>
      <c r="NN266" s="120"/>
      <c r="NO266" s="120"/>
      <c r="NP266" s="120"/>
      <c r="NQ266" s="120"/>
      <c r="NR266" s="120"/>
      <c r="NS266" s="120"/>
      <c r="NT266" s="120"/>
      <c r="NU266" s="120"/>
      <c r="NV266" s="120"/>
      <c r="NW266" s="120"/>
      <c r="NX266" s="120"/>
      <c r="NY266" s="120"/>
      <c r="NZ266" s="120"/>
      <c r="OA266" s="120"/>
      <c r="OB266" s="120"/>
      <c r="OC266" s="120"/>
      <c r="OD266" s="120"/>
      <c r="OE266" s="120"/>
      <c r="OF266" s="120"/>
      <c r="OG266" s="120"/>
      <c r="OH266" s="120"/>
      <c r="OI266" s="120"/>
      <c r="OJ266" s="120"/>
      <c r="OK266" s="120"/>
      <c r="OL266" s="120"/>
      <c r="OM266" s="120"/>
      <c r="ON266" s="120"/>
      <c r="OO266" s="120"/>
      <c r="OP266" s="120"/>
      <c r="OQ266" s="120"/>
      <c r="OR266" s="120"/>
      <c r="OS266" s="120"/>
      <c r="OT266" s="120"/>
      <c r="OU266" s="120"/>
      <c r="OV266" s="120"/>
      <c r="OW266" s="120"/>
      <c r="OX266" s="120"/>
      <c r="OY266" s="120"/>
      <c r="OZ266" s="120"/>
      <c r="PA266" s="120"/>
      <c r="PB266" s="120"/>
      <c r="PC266" s="120"/>
      <c r="PD266" s="120"/>
      <c r="PE266" s="120"/>
      <c r="PF266" s="120"/>
      <c r="PG266" s="120"/>
      <c r="PH266" s="120"/>
      <c r="PI266" s="120"/>
      <c r="PJ266" s="120"/>
      <c r="PK266" s="120"/>
      <c r="PL266" s="120"/>
      <c r="PM266" s="120"/>
      <c r="PN266" s="120"/>
      <c r="PO266" s="120"/>
      <c r="PP266" s="120"/>
      <c r="PQ266" s="120"/>
      <c r="PR266" s="120"/>
      <c r="PS266" s="120"/>
      <c r="PT266" s="120"/>
      <c r="PU266" s="120"/>
      <c r="PV266" s="120"/>
      <c r="PW266" s="120"/>
      <c r="PX266" s="120"/>
      <c r="PY266" s="120"/>
      <c r="PZ266" s="120"/>
      <c r="QA266" s="120"/>
      <c r="QB266" s="120"/>
      <c r="QC266" s="120"/>
      <c r="QD266" s="120"/>
      <c r="QE266" s="120"/>
      <c r="QF266" s="120"/>
      <c r="QG266" s="120"/>
      <c r="QH266" s="120"/>
      <c r="QI266" s="120"/>
      <c r="QJ266" s="120"/>
      <c r="QK266" s="120"/>
      <c r="QL266" s="120"/>
      <c r="QM266" s="120"/>
      <c r="QN266" s="120"/>
      <c r="QO266" s="120"/>
      <c r="QP266" s="120"/>
      <c r="QQ266" s="120"/>
      <c r="QR266" s="120"/>
      <c r="QS266" s="120"/>
      <c r="QT266" s="120"/>
      <c r="QU266" s="120"/>
      <c r="QV266" s="120"/>
      <c r="QW266" s="120"/>
      <c r="QX266" s="120"/>
      <c r="QY266" s="120"/>
      <c r="QZ266" s="120"/>
      <c r="RA266" s="120"/>
      <c r="RB266" s="120"/>
      <c r="RC266" s="120"/>
      <c r="RD266" s="120"/>
      <c r="RE266" s="120"/>
      <c r="RF266" s="120"/>
      <c r="RG266" s="120"/>
      <c r="RH266" s="120"/>
      <c r="RI266" s="120"/>
      <c r="RJ266" s="120"/>
      <c r="RK266" s="120"/>
      <c r="RL266" s="120"/>
      <c r="RM266" s="120"/>
      <c r="RN266" s="120"/>
      <c r="RO266" s="120"/>
      <c r="RP266" s="120"/>
      <c r="RQ266" s="120"/>
      <c r="RR266" s="120"/>
      <c r="RS266" s="120"/>
      <c r="RT266" s="120"/>
      <c r="RU266" s="120"/>
      <c r="RV266" s="120"/>
      <c r="RW266" s="120"/>
      <c r="RX266" s="120"/>
      <c r="RY266" s="120"/>
      <c r="RZ266" s="120"/>
      <c r="SA266" s="120"/>
      <c r="SB266" s="120"/>
      <c r="SC266" s="120"/>
      <c r="SD266" s="120"/>
      <c r="SE266" s="120"/>
      <c r="SF266" s="120"/>
      <c r="SG266" s="120"/>
      <c r="SH266" s="120"/>
      <c r="SI266" s="120"/>
      <c r="SJ266" s="120"/>
      <c r="SK266" s="120"/>
      <c r="SL266" s="120"/>
      <c r="SM266" s="120"/>
      <c r="SN266" s="120"/>
      <c r="SO266" s="120"/>
      <c r="SP266" s="120"/>
      <c r="SQ266" s="120"/>
      <c r="SR266" s="120"/>
      <c r="SS266" s="120"/>
      <c r="ST266" s="120"/>
      <c r="SU266" s="120"/>
      <c r="SV266" s="120"/>
      <c r="SW266" s="120"/>
      <c r="SX266" s="120"/>
      <c r="SY266" s="120"/>
      <c r="SZ266" s="120"/>
      <c r="TA266" s="120"/>
      <c r="TB266" s="120"/>
      <c r="TC266" s="120"/>
      <c r="TD266" s="120"/>
      <c r="TE266" s="120"/>
      <c r="TF266" s="120"/>
      <c r="TG266" s="120"/>
      <c r="TH266" s="120"/>
      <c r="TI266" s="120"/>
      <c r="TJ266" s="120"/>
      <c r="TK266" s="120"/>
      <c r="TL266" s="120"/>
      <c r="TM266" s="120"/>
      <c r="TN266" s="120"/>
      <c r="TO266" s="120"/>
      <c r="TP266" s="120"/>
      <c r="TQ266" s="120"/>
      <c r="TR266" s="120"/>
      <c r="TS266" s="120"/>
      <c r="TT266" s="120"/>
      <c r="TU266" s="120"/>
      <c r="TV266" s="120"/>
      <c r="TW266" s="120"/>
      <c r="TX266" s="120"/>
      <c r="TY266" s="120"/>
      <c r="TZ266" s="120"/>
      <c r="UA266" s="120"/>
      <c r="UB266" s="120"/>
      <c r="UC266" s="120"/>
      <c r="UD266" s="120"/>
      <c r="UE266" s="120"/>
      <c r="UF266" s="120"/>
      <c r="UG266" s="120"/>
      <c r="UH266" s="120"/>
      <c r="UI266" s="120"/>
      <c r="UJ266" s="120"/>
      <c r="UK266" s="120"/>
      <c r="UL266" s="120"/>
      <c r="UM266" s="120"/>
      <c r="UN266" s="120"/>
      <c r="UO266" s="120"/>
      <c r="UP266" s="120"/>
      <c r="UQ266" s="120"/>
      <c r="UR266" s="120"/>
      <c r="US266" s="120"/>
      <c r="UT266" s="120"/>
      <c r="UU266" s="120"/>
      <c r="UV266" s="120"/>
      <c r="UW266" s="120"/>
      <c r="UX266" s="120"/>
      <c r="UY266" s="120"/>
      <c r="UZ266" s="120"/>
      <c r="VA266" s="120"/>
      <c r="VB266" s="120"/>
      <c r="VC266" s="120"/>
      <c r="VD266" s="120"/>
      <c r="VE266" s="120"/>
      <c r="VF266" s="120"/>
      <c r="VG266" s="120"/>
      <c r="VH266" s="120"/>
      <c r="VI266" s="120"/>
      <c r="VJ266" s="120"/>
      <c r="VK266" s="120"/>
      <c r="VL266" s="120"/>
      <c r="VM266" s="120"/>
      <c r="VN266" s="120"/>
      <c r="VO266" s="120"/>
      <c r="VP266" s="120"/>
      <c r="VQ266" s="120"/>
      <c r="VR266" s="120"/>
      <c r="VS266" s="120"/>
      <c r="VT266" s="120"/>
      <c r="VU266" s="120"/>
      <c r="VV266" s="120"/>
      <c r="VW266" s="120"/>
      <c r="VX266" s="120"/>
      <c r="VY266" s="120"/>
      <c r="VZ266" s="120"/>
      <c r="WA266" s="120"/>
      <c r="WB266" s="120"/>
      <c r="WC266" s="120"/>
      <c r="WD266" s="120"/>
      <c r="WE266" s="120"/>
      <c r="WF266" s="120"/>
      <c r="WG266" s="120"/>
      <c r="WH266" s="120"/>
      <c r="WI266" s="120"/>
      <c r="WJ266" s="120"/>
      <c r="WK266" s="120"/>
      <c r="WL266" s="120"/>
      <c r="WM266" s="120"/>
      <c r="WN266" s="120"/>
      <c r="WO266" s="120"/>
      <c r="WP266" s="120"/>
      <c r="WQ266" s="120"/>
      <c r="WR266" s="120"/>
      <c r="WS266" s="120"/>
      <c r="WT266" s="120"/>
      <c r="WU266" s="120"/>
      <c r="WV266" s="120"/>
      <c r="WW266" s="120"/>
      <c r="WX266" s="120"/>
      <c r="WY266" s="120"/>
      <c r="WZ266" s="120"/>
      <c r="XA266" s="120"/>
      <c r="XB266" s="120"/>
      <c r="XC266" s="120"/>
      <c r="XD266" s="120"/>
      <c r="XE266" s="120"/>
      <c r="XF266" s="120"/>
      <c r="XG266" s="120"/>
      <c r="XH266" s="120"/>
      <c r="XI266" s="120"/>
      <c r="XJ266" s="120"/>
      <c r="XK266" s="120"/>
      <c r="XL266" s="120"/>
      <c r="XM266" s="120"/>
      <c r="XN266" s="120"/>
      <c r="XO266" s="120"/>
      <c r="XP266" s="120"/>
      <c r="XQ266" s="120"/>
      <c r="XR266" s="120"/>
      <c r="XS266" s="120"/>
      <c r="XT266" s="120"/>
      <c r="XU266" s="120"/>
      <c r="XV266" s="120"/>
      <c r="XW266" s="120"/>
      <c r="XX266" s="120"/>
      <c r="XY266" s="120"/>
      <c r="XZ266" s="120"/>
      <c r="YA266" s="120"/>
      <c r="YB266" s="120"/>
      <c r="YC266" s="120"/>
      <c r="YD266" s="120"/>
      <c r="YE266" s="120"/>
      <c r="YF266" s="120"/>
      <c r="YG266" s="120"/>
      <c r="YH266" s="120"/>
      <c r="YI266" s="120"/>
      <c r="YJ266" s="120"/>
      <c r="YK266" s="120"/>
      <c r="YL266" s="120"/>
      <c r="YM266" s="120"/>
      <c r="YN266" s="120"/>
      <c r="YO266" s="120"/>
      <c r="YP266" s="120"/>
      <c r="YQ266" s="120"/>
      <c r="YR266" s="120"/>
      <c r="YS266" s="120"/>
      <c r="YT266" s="120"/>
      <c r="YU266" s="120"/>
      <c r="YV266" s="120"/>
      <c r="YW266" s="120"/>
      <c r="YX266" s="120"/>
      <c r="YY266" s="120"/>
      <c r="YZ266" s="120"/>
      <c r="ZA266" s="120"/>
      <c r="ZB266" s="120"/>
      <c r="ZC266" s="120"/>
      <c r="ZD266" s="120"/>
      <c r="ZE266" s="120"/>
      <c r="ZF266" s="120"/>
      <c r="ZG266" s="120"/>
      <c r="ZH266" s="120"/>
      <c r="ZI266" s="120"/>
      <c r="ZJ266" s="120"/>
      <c r="ZK266" s="120"/>
      <c r="ZL266" s="120"/>
      <c r="ZM266" s="120"/>
      <c r="ZN266" s="120"/>
      <c r="ZO266" s="120"/>
      <c r="ZP266" s="120"/>
      <c r="ZQ266" s="120"/>
      <c r="ZR266" s="120"/>
      <c r="ZS266" s="120"/>
      <c r="ZT266" s="120"/>
      <c r="ZU266" s="120"/>
      <c r="ZV266" s="120"/>
      <c r="ZW266" s="120"/>
      <c r="ZX266" s="120"/>
      <c r="ZY266" s="120"/>
      <c r="ZZ266" s="120"/>
      <c r="AAA266" s="120"/>
      <c r="AAB266" s="120"/>
      <c r="AAC266" s="120"/>
      <c r="AAD266" s="120"/>
      <c r="AAE266" s="120"/>
      <c r="AAF266" s="120"/>
      <c r="AAG266" s="120"/>
      <c r="AAH266" s="120"/>
      <c r="AAI266" s="120"/>
      <c r="AAJ266" s="120"/>
      <c r="AAK266" s="120"/>
      <c r="AAL266" s="120"/>
      <c r="AAM266" s="120"/>
      <c r="AAN266" s="120"/>
      <c r="AAO266" s="120"/>
      <c r="AAP266" s="120"/>
      <c r="AAQ266" s="120"/>
      <c r="AAR266" s="120"/>
      <c r="AAS266" s="120"/>
      <c r="AAT266" s="120"/>
      <c r="AAU266" s="120"/>
      <c r="AAV266" s="120"/>
      <c r="AAW266" s="120"/>
      <c r="AAX266" s="120"/>
      <c r="AAY266" s="120"/>
      <c r="AAZ266" s="120"/>
      <c r="ABA266" s="120"/>
      <c r="ABB266" s="120"/>
      <c r="ABC266" s="120"/>
      <c r="ABD266" s="120"/>
      <c r="ABE266" s="120"/>
      <c r="ABF266" s="120"/>
      <c r="ABG266" s="120"/>
      <c r="ABH266" s="120"/>
      <c r="ABI266" s="120"/>
      <c r="ABJ266" s="120"/>
      <c r="ABK266" s="120"/>
      <c r="ABL266" s="120"/>
      <c r="ABM266" s="120"/>
      <c r="ABN266" s="120"/>
      <c r="ABO266" s="120"/>
      <c r="ABP266" s="120"/>
      <c r="ABQ266" s="120"/>
      <c r="ABR266" s="120"/>
      <c r="ABS266" s="120"/>
      <c r="ABT266" s="120"/>
      <c r="ABU266" s="120"/>
      <c r="ABV266" s="120"/>
      <c r="ABW266" s="120"/>
      <c r="ABX266" s="120"/>
      <c r="ABY266" s="120"/>
      <c r="ABZ266" s="120"/>
      <c r="ACA266" s="120"/>
      <c r="ACB266" s="120"/>
      <c r="ACC266" s="120"/>
      <c r="ACD266" s="120"/>
      <c r="ACE266" s="120"/>
      <c r="ACF266" s="120"/>
      <c r="ACG266" s="120"/>
      <c r="ACH266" s="120"/>
      <c r="ACI266" s="120"/>
      <c r="ACJ266" s="120"/>
      <c r="ACK266" s="120"/>
      <c r="ACL266" s="120"/>
      <c r="ACM266" s="120"/>
      <c r="ACN266" s="120"/>
      <c r="ACO266" s="120"/>
      <c r="ACP266" s="120"/>
      <c r="ACQ266" s="120"/>
      <c r="ACR266" s="120"/>
      <c r="ACS266" s="120"/>
      <c r="ACT266" s="120"/>
      <c r="ACU266" s="120"/>
      <c r="ACV266" s="120"/>
      <c r="ACW266" s="120"/>
      <c r="ACX266" s="120"/>
      <c r="ACY266" s="120"/>
      <c r="ACZ266" s="120"/>
      <c r="ADA266" s="120"/>
      <c r="ADB266" s="120"/>
      <c r="ADC266" s="120"/>
      <c r="ADD266" s="120"/>
      <c r="ADE266" s="120"/>
      <c r="ADF266" s="120"/>
      <c r="ADG266" s="120"/>
      <c r="ADH266" s="120"/>
      <c r="ADI266" s="120"/>
      <c r="ADJ266" s="120"/>
      <c r="ADK266" s="120"/>
      <c r="ADL266" s="120"/>
      <c r="ADM266" s="120"/>
      <c r="ADN266" s="120"/>
      <c r="ADO266" s="120"/>
      <c r="ADP266" s="120"/>
      <c r="ADQ266" s="120"/>
      <c r="ADR266" s="120"/>
      <c r="ADS266" s="120"/>
      <c r="ADT266" s="120"/>
      <c r="ADU266" s="120"/>
      <c r="ADV266" s="120"/>
      <c r="ADW266" s="120"/>
      <c r="ADX266" s="120"/>
      <c r="ADY266" s="120"/>
      <c r="ADZ266" s="120"/>
      <c r="AEA266" s="120"/>
      <c r="AEB266" s="120"/>
      <c r="AEC266" s="120"/>
      <c r="AED266" s="120"/>
      <c r="AEE266" s="120"/>
      <c r="AEF266" s="120"/>
      <c r="AEG266" s="120"/>
      <c r="AEH266" s="120"/>
      <c r="AEI266" s="120"/>
      <c r="AEJ266" s="120"/>
      <c r="AEK266" s="120"/>
      <c r="AEL266" s="120"/>
      <c r="AEM266" s="120"/>
      <c r="AEN266" s="120"/>
      <c r="AEO266" s="120"/>
      <c r="AEP266" s="120"/>
      <c r="AEQ266" s="120"/>
      <c r="AER266" s="120"/>
      <c r="AES266" s="120"/>
      <c r="AET266" s="120"/>
      <c r="AEU266" s="120"/>
      <c r="AEV266" s="120"/>
      <c r="AEW266" s="120"/>
      <c r="AEX266" s="120"/>
      <c r="AEY266" s="120"/>
      <c r="AEZ266" s="120"/>
      <c r="AFA266" s="120"/>
      <c r="AFB266" s="120"/>
      <c r="AFC266" s="120"/>
      <c r="AFD266" s="120"/>
      <c r="AFE266" s="120"/>
      <c r="AFF266" s="120"/>
      <c r="AFG266" s="120"/>
      <c r="AFH266" s="120"/>
      <c r="AFI266" s="120"/>
      <c r="AFJ266" s="120"/>
      <c r="AFK266" s="120"/>
      <c r="AFL266" s="120"/>
      <c r="AFM266" s="120"/>
      <c r="AFN266" s="120"/>
      <c r="AFO266" s="120"/>
      <c r="AFP266" s="120"/>
      <c r="AFQ266" s="120"/>
      <c r="AFR266" s="120"/>
      <c r="AFS266" s="120"/>
      <c r="AFT266" s="120"/>
      <c r="AFU266" s="120"/>
      <c r="AFV266" s="120"/>
      <c r="AFW266" s="120"/>
      <c r="AFX266" s="120"/>
      <c r="AFY266" s="120"/>
      <c r="AFZ266" s="120"/>
      <c r="AGA266" s="120"/>
      <c r="AGB266" s="120"/>
      <c r="AGC266" s="120"/>
      <c r="AGD266" s="120"/>
      <c r="AGE266" s="120"/>
      <c r="AGF266" s="120"/>
      <c r="AGG266" s="120"/>
      <c r="AGH266" s="120"/>
      <c r="AGI266" s="120"/>
      <c r="AGJ266" s="120"/>
      <c r="AGK266" s="120"/>
      <c r="AGL266" s="120"/>
      <c r="AGM266" s="120"/>
      <c r="AGN266" s="120"/>
      <c r="AGO266" s="120"/>
      <c r="AGP266" s="120"/>
      <c r="AGQ266" s="120"/>
      <c r="AGR266" s="120"/>
      <c r="AGS266" s="120"/>
      <c r="AGT266" s="120"/>
      <c r="AGU266" s="120"/>
      <c r="AGV266" s="120"/>
      <c r="AGW266" s="120"/>
      <c r="AGX266" s="120"/>
      <c r="AGY266" s="120"/>
      <c r="AGZ266" s="120"/>
      <c r="AHA266" s="120"/>
      <c r="AHB266" s="120"/>
      <c r="AHC266" s="120"/>
      <c r="AHD266" s="120"/>
      <c r="AHE266" s="120"/>
      <c r="AHF266" s="120"/>
      <c r="AHG266" s="120"/>
      <c r="AHH266" s="120"/>
      <c r="AHI266" s="120"/>
      <c r="AHJ266" s="120"/>
      <c r="AHK266" s="120"/>
      <c r="AHL266" s="120"/>
      <c r="AHM266" s="120"/>
      <c r="AHN266" s="120"/>
      <c r="AHO266" s="120"/>
      <c r="AHP266" s="120"/>
      <c r="AHQ266" s="120"/>
      <c r="AHR266" s="120"/>
      <c r="AHS266" s="120"/>
      <c r="AHT266" s="120"/>
      <c r="AHU266" s="120"/>
      <c r="AHV266" s="120"/>
      <c r="AHW266" s="120"/>
      <c r="AHX266" s="120"/>
      <c r="AHY266" s="120"/>
      <c r="AHZ266" s="120"/>
      <c r="AIA266" s="120"/>
      <c r="AIB266" s="120"/>
      <c r="AIC266" s="120"/>
      <c r="AID266" s="120"/>
      <c r="AIE266" s="120"/>
      <c r="AIF266" s="120"/>
      <c r="AIG266" s="120"/>
      <c r="AIH266" s="120"/>
      <c r="AII266" s="120"/>
      <c r="AIJ266" s="120"/>
      <c r="AIK266" s="120"/>
      <c r="AIL266" s="120"/>
      <c r="AIM266" s="120"/>
      <c r="AIN266" s="120"/>
      <c r="AIO266" s="120"/>
      <c r="AIP266" s="120"/>
      <c r="AIQ266" s="120"/>
      <c r="AIR266" s="120"/>
      <c r="AIS266" s="120"/>
      <c r="AIT266" s="120"/>
      <c r="AIU266" s="120"/>
      <c r="AIV266" s="120"/>
      <c r="AIW266" s="120"/>
      <c r="AIX266" s="120"/>
      <c r="AIY266" s="120"/>
      <c r="AIZ266" s="120"/>
    </row>
    <row r="267">
      <c r="A267" s="112" t="s">
        <v>35</v>
      </c>
      <c r="B267" s="112" t="s">
        <v>42</v>
      </c>
      <c r="C267" s="112"/>
      <c r="D267" s="113">
        <f t="shared" si="1"/>
        <v>684.455</v>
      </c>
      <c r="E267" s="112">
        <v>108.831066666667</v>
      </c>
      <c r="F267" s="113"/>
      <c r="G267" s="113"/>
      <c r="H267" s="113"/>
      <c r="I267" s="113"/>
      <c r="J267" s="113"/>
      <c r="K267" s="113"/>
      <c r="L267" s="112">
        <v>2.47245</v>
      </c>
      <c r="M267" s="112">
        <v>15.72635</v>
      </c>
      <c r="N267" s="113"/>
      <c r="O267" s="113"/>
      <c r="P267" s="112">
        <v>152.656716666667</v>
      </c>
      <c r="Q267" s="113"/>
      <c r="R267" s="113"/>
      <c r="S267" s="113"/>
      <c r="T267" s="113"/>
      <c r="U267" s="113"/>
      <c r="V267" s="112">
        <v>1.38036666666667</v>
      </c>
      <c r="W267" s="112">
        <v>93.5347333333334</v>
      </c>
      <c r="X267" s="113"/>
      <c r="Y267" s="113"/>
      <c r="Z267" s="113"/>
      <c r="AA267" s="113"/>
      <c r="AB267" s="113"/>
      <c r="AC267" s="112">
        <v>1.68058333333333</v>
      </c>
      <c r="AD267" s="112">
        <v>43.5343333333333</v>
      </c>
      <c r="AE267" s="113"/>
      <c r="AF267" s="113"/>
      <c r="AG267" s="113"/>
      <c r="AH267" s="113"/>
      <c r="AI267" s="113"/>
      <c r="AJ267" s="112">
        <v>0.455683333333333</v>
      </c>
      <c r="AK267" s="112">
        <v>85.4403</v>
      </c>
      <c r="AL267" s="113"/>
      <c r="AM267" s="113"/>
      <c r="AN267" s="113"/>
      <c r="AO267" s="112">
        <v>2.9069</v>
      </c>
      <c r="AP267" s="112">
        <v>5.33148333333333</v>
      </c>
      <c r="AQ267" s="113"/>
      <c r="AR267" s="113"/>
      <c r="AS267" s="113"/>
      <c r="AT267" s="112">
        <v>163.5176</v>
      </c>
      <c r="AU267" s="113"/>
      <c r="AV267" s="112">
        <v>6.09101666666667</v>
      </c>
      <c r="AW267" s="112">
        <v>0.895416666666667</v>
      </c>
      <c r="AX267" s="113"/>
      <c r="AY267" s="113"/>
      <c r="AZ267" s="113"/>
      <c r="BA267" s="113"/>
      <c r="BB267" s="113"/>
      <c r="BC267" s="113"/>
      <c r="BD267" s="113"/>
      <c r="BE267" s="113"/>
      <c r="BF267" s="113"/>
      <c r="BG267" s="113"/>
      <c r="BH267" s="113"/>
      <c r="BI267" s="113"/>
      <c r="BJ267" s="113"/>
      <c r="BK267" s="113"/>
      <c r="BL267" s="113"/>
      <c r="BM267" s="113"/>
      <c r="BN267" s="113"/>
      <c r="BO267" s="113"/>
      <c r="BP267" s="113"/>
      <c r="BQ267" s="113"/>
      <c r="BR267" s="113"/>
      <c r="BS267" s="113"/>
      <c r="BT267" s="113"/>
      <c r="BU267" s="113"/>
      <c r="BV267" s="113"/>
      <c r="BW267" s="113"/>
      <c r="BX267" s="113"/>
      <c r="BY267" s="113"/>
      <c r="BZ267" s="113"/>
      <c r="CA267" s="113"/>
      <c r="CB267" s="113"/>
      <c r="CC267" s="113"/>
      <c r="CD267" s="113"/>
      <c r="CE267" s="113"/>
      <c r="CF267" s="113"/>
      <c r="CG267" s="113"/>
      <c r="CH267" s="113"/>
      <c r="CI267" s="113"/>
      <c r="CJ267" s="113"/>
      <c r="CK267" s="113"/>
      <c r="CL267" s="113"/>
      <c r="CM267" s="113"/>
      <c r="CN267" s="113"/>
      <c r="CO267" s="113"/>
      <c r="CP267" s="113"/>
      <c r="CQ267" s="113"/>
      <c r="CR267" s="113"/>
      <c r="CS267" s="113"/>
      <c r="CT267" s="113"/>
      <c r="CU267" s="113"/>
      <c r="CV267" s="113"/>
      <c r="CW267" s="113"/>
      <c r="CX267" s="113"/>
      <c r="CY267" s="113"/>
      <c r="CZ267" s="113"/>
      <c r="DA267" s="113"/>
      <c r="DB267" s="113"/>
      <c r="DC267" s="113"/>
      <c r="DD267" s="113"/>
      <c r="DE267" s="113"/>
      <c r="DF267" s="113"/>
      <c r="DG267" s="113"/>
      <c r="DH267" s="113"/>
      <c r="DI267" s="113"/>
      <c r="DJ267" s="113"/>
      <c r="DK267" s="113"/>
      <c r="DL267" s="113"/>
      <c r="DM267" s="113"/>
      <c r="DN267" s="113"/>
      <c r="DO267" s="113"/>
      <c r="DP267" s="113"/>
      <c r="DQ267" s="113"/>
      <c r="DR267" s="113"/>
      <c r="DS267" s="113"/>
      <c r="DT267" s="113"/>
      <c r="DU267" s="113"/>
      <c r="DV267" s="113"/>
      <c r="DW267" s="113"/>
      <c r="DX267" s="113"/>
      <c r="DY267" s="113"/>
      <c r="DZ267" s="113"/>
      <c r="EA267" s="113"/>
      <c r="EB267" s="113"/>
      <c r="EC267" s="113"/>
      <c r="ED267" s="113"/>
      <c r="EE267" s="113"/>
      <c r="EF267" s="113"/>
      <c r="EG267" s="113"/>
      <c r="EH267" s="113"/>
      <c r="EI267" s="113"/>
      <c r="EJ267" s="113"/>
      <c r="EK267" s="113"/>
      <c r="EL267" s="113"/>
      <c r="EM267" s="113"/>
      <c r="EN267" s="113"/>
      <c r="EO267" s="113"/>
      <c r="EP267" s="113"/>
      <c r="EQ267" s="113"/>
      <c r="ER267" s="113"/>
      <c r="ES267" s="113"/>
      <c r="ET267" s="113"/>
      <c r="EU267" s="113"/>
      <c r="EV267" s="113"/>
      <c r="EW267" s="113"/>
      <c r="EX267" s="113"/>
      <c r="EY267" s="113"/>
      <c r="EZ267" s="113"/>
      <c r="FA267" s="113"/>
      <c r="FB267" s="113"/>
      <c r="FC267" s="113"/>
      <c r="FD267" s="113"/>
      <c r="FE267" s="113"/>
      <c r="FF267" s="113"/>
      <c r="FG267" s="113"/>
      <c r="FH267" s="113"/>
      <c r="FI267" s="113"/>
      <c r="FJ267" s="113"/>
      <c r="FK267" s="113"/>
      <c r="FL267" s="113"/>
      <c r="FM267" s="113"/>
      <c r="FN267" s="113"/>
      <c r="FO267" s="113"/>
      <c r="FP267" s="113"/>
      <c r="FQ267" s="113"/>
      <c r="FR267" s="113"/>
      <c r="FS267" s="113"/>
      <c r="FT267" s="113"/>
      <c r="FU267" s="113"/>
      <c r="FV267" s="113"/>
      <c r="FW267" s="113"/>
      <c r="FX267" s="113"/>
      <c r="FY267" s="113"/>
      <c r="FZ267" s="113"/>
      <c r="GA267" s="113"/>
      <c r="GB267" s="113"/>
      <c r="GC267" s="113"/>
      <c r="GD267" s="113"/>
      <c r="GE267" s="113"/>
      <c r="GF267" s="113"/>
      <c r="GG267" s="113"/>
      <c r="GH267" s="113"/>
      <c r="GI267" s="113"/>
      <c r="GJ267" s="113"/>
      <c r="GK267" s="113"/>
      <c r="GL267" s="113"/>
      <c r="GM267" s="113"/>
      <c r="GN267" s="113"/>
      <c r="GO267" s="113"/>
      <c r="GP267" s="113"/>
      <c r="GQ267" s="113"/>
      <c r="GR267" s="113"/>
      <c r="GS267" s="113"/>
      <c r="GT267" s="113"/>
      <c r="GU267" s="113"/>
      <c r="GV267" s="113"/>
      <c r="GW267" s="113"/>
      <c r="GX267" s="113"/>
      <c r="GY267" s="113"/>
      <c r="GZ267" s="113"/>
      <c r="HA267" s="113"/>
      <c r="HB267" s="113"/>
      <c r="HC267" s="113"/>
      <c r="HD267" s="113"/>
      <c r="HE267" s="113"/>
      <c r="HF267" s="113"/>
      <c r="HG267" s="113"/>
      <c r="HH267" s="113"/>
      <c r="HI267" s="113"/>
      <c r="HJ267" s="113"/>
      <c r="HK267" s="113"/>
      <c r="HL267" s="113"/>
      <c r="HM267" s="113"/>
      <c r="HN267" s="113"/>
      <c r="HO267" s="113"/>
      <c r="HP267" s="113"/>
      <c r="HQ267" s="113"/>
      <c r="HR267" s="113"/>
      <c r="HS267" s="113"/>
      <c r="HT267" s="113"/>
      <c r="HU267" s="113"/>
      <c r="HV267" s="113"/>
      <c r="HW267" s="113"/>
      <c r="HX267" s="113"/>
      <c r="HY267" s="113"/>
      <c r="HZ267" s="113"/>
      <c r="IA267" s="113"/>
      <c r="IB267" s="113"/>
      <c r="IC267" s="113"/>
      <c r="ID267" s="113"/>
      <c r="IE267" s="113"/>
      <c r="IF267" s="113"/>
      <c r="IG267" s="113"/>
      <c r="IH267" s="113"/>
      <c r="II267" s="113"/>
      <c r="IJ267" s="113"/>
      <c r="IK267" s="113"/>
      <c r="IL267" s="113"/>
      <c r="IM267" s="113"/>
      <c r="IN267" s="113"/>
      <c r="IO267" s="113"/>
      <c r="IP267" s="113"/>
      <c r="IQ267" s="113"/>
      <c r="IR267" s="113"/>
      <c r="IS267" s="113"/>
      <c r="IT267" s="113"/>
      <c r="IU267" s="113"/>
      <c r="IV267" s="113"/>
      <c r="IW267" s="113"/>
      <c r="IX267" s="113"/>
      <c r="IY267" s="113"/>
      <c r="IZ267" s="113"/>
      <c r="JA267" s="113"/>
      <c r="JB267" s="113"/>
      <c r="JC267" s="113"/>
      <c r="JD267" s="113"/>
      <c r="JE267" s="113"/>
      <c r="JF267" s="113"/>
      <c r="JG267" s="113"/>
      <c r="JH267" s="113"/>
      <c r="JI267" s="113"/>
      <c r="JJ267" s="113"/>
      <c r="JK267" s="113"/>
      <c r="JL267" s="113"/>
      <c r="JM267" s="113"/>
      <c r="JN267" s="113"/>
      <c r="JO267" s="113"/>
      <c r="JP267" s="113"/>
      <c r="JQ267" s="113"/>
      <c r="JR267" s="113"/>
      <c r="JS267" s="113"/>
      <c r="JT267" s="113"/>
      <c r="JU267" s="113"/>
      <c r="JV267" s="113"/>
      <c r="JW267" s="113"/>
      <c r="JX267" s="113"/>
      <c r="JY267" s="113"/>
      <c r="JZ267" s="113"/>
      <c r="KA267" s="113"/>
      <c r="KB267" s="113"/>
      <c r="KC267" s="113"/>
      <c r="KD267" s="113"/>
      <c r="KE267" s="113"/>
      <c r="KF267" s="113"/>
      <c r="KG267" s="113"/>
      <c r="KH267" s="113"/>
      <c r="KI267" s="113"/>
      <c r="KJ267" s="113"/>
      <c r="KK267" s="113"/>
      <c r="KL267" s="113"/>
      <c r="KM267" s="113"/>
      <c r="KN267" s="113"/>
      <c r="KO267" s="113"/>
      <c r="KP267" s="113"/>
      <c r="KQ267" s="113"/>
      <c r="KR267" s="113"/>
      <c r="KS267" s="113"/>
      <c r="KT267" s="113"/>
      <c r="KU267" s="113"/>
      <c r="KV267" s="113"/>
      <c r="KW267" s="113"/>
      <c r="KX267" s="113"/>
      <c r="KY267" s="113"/>
      <c r="KZ267" s="113"/>
      <c r="LA267" s="113"/>
      <c r="LB267" s="113"/>
      <c r="LC267" s="113"/>
      <c r="LD267" s="113"/>
      <c r="LE267" s="113"/>
      <c r="LF267" s="113"/>
      <c r="LG267" s="113"/>
      <c r="LH267" s="113"/>
      <c r="LI267" s="113"/>
      <c r="LJ267" s="113"/>
      <c r="LK267" s="113"/>
      <c r="LL267" s="113"/>
      <c r="LM267" s="113"/>
      <c r="LN267" s="113"/>
      <c r="LO267" s="113"/>
      <c r="LP267" s="113"/>
      <c r="LQ267" s="113"/>
      <c r="LR267" s="113"/>
      <c r="LS267" s="113"/>
      <c r="LT267" s="113"/>
      <c r="LU267" s="113"/>
      <c r="LV267" s="113"/>
      <c r="LW267" s="113"/>
      <c r="LX267" s="113"/>
      <c r="LY267" s="113"/>
      <c r="LZ267" s="113"/>
      <c r="MA267" s="113"/>
      <c r="MB267" s="113"/>
      <c r="MC267" s="113"/>
      <c r="MD267" s="113"/>
      <c r="ME267" s="113"/>
      <c r="MF267" s="113"/>
      <c r="MG267" s="113"/>
      <c r="MH267" s="113"/>
      <c r="MI267" s="113"/>
      <c r="MJ267" s="113"/>
      <c r="MK267" s="113"/>
      <c r="ML267" s="113"/>
      <c r="MM267" s="113"/>
      <c r="MN267" s="113"/>
      <c r="MO267" s="113"/>
      <c r="MP267" s="113"/>
      <c r="MQ267" s="113"/>
      <c r="MR267" s="113"/>
      <c r="MS267" s="113"/>
      <c r="MT267" s="113"/>
      <c r="MU267" s="113"/>
      <c r="MV267" s="113"/>
      <c r="MW267" s="113"/>
      <c r="MX267" s="113"/>
      <c r="MY267" s="113"/>
      <c r="MZ267" s="113"/>
      <c r="NA267" s="113"/>
      <c r="NB267" s="113"/>
      <c r="NC267" s="113"/>
      <c r="ND267" s="113"/>
      <c r="NE267" s="113"/>
      <c r="NF267" s="113"/>
      <c r="NG267" s="113"/>
      <c r="NH267" s="113"/>
      <c r="NI267" s="113"/>
      <c r="NJ267" s="113"/>
      <c r="NK267" s="113"/>
      <c r="NL267" s="113"/>
      <c r="NM267" s="113"/>
      <c r="NN267" s="113"/>
      <c r="NO267" s="113"/>
      <c r="NP267" s="113"/>
      <c r="NQ267" s="113"/>
      <c r="NR267" s="113"/>
      <c r="NS267" s="113"/>
      <c r="NT267" s="113"/>
      <c r="NU267" s="113"/>
      <c r="NV267" s="113"/>
      <c r="NW267" s="113"/>
      <c r="NX267" s="113"/>
      <c r="NY267" s="113"/>
      <c r="NZ267" s="113"/>
      <c r="OA267" s="113"/>
      <c r="OB267" s="113"/>
      <c r="OC267" s="113"/>
      <c r="OD267" s="113"/>
      <c r="OE267" s="113"/>
      <c r="OF267" s="113"/>
      <c r="OG267" s="113"/>
      <c r="OH267" s="113"/>
      <c r="OI267" s="113"/>
      <c r="OJ267" s="113"/>
      <c r="OK267" s="113"/>
      <c r="OL267" s="113"/>
      <c r="OM267" s="113"/>
      <c r="ON267" s="113"/>
      <c r="OO267" s="113"/>
      <c r="OP267" s="113"/>
      <c r="OQ267" s="113"/>
      <c r="OR267" s="113"/>
      <c r="OS267" s="113"/>
      <c r="OT267" s="113"/>
      <c r="OU267" s="113"/>
      <c r="OV267" s="113"/>
      <c r="OW267" s="113"/>
      <c r="OX267" s="113"/>
      <c r="OY267" s="113"/>
      <c r="OZ267" s="113"/>
      <c r="PA267" s="113"/>
      <c r="PB267" s="113"/>
      <c r="PC267" s="113"/>
      <c r="PD267" s="113"/>
      <c r="PE267" s="113"/>
      <c r="PF267" s="113"/>
      <c r="PG267" s="113"/>
      <c r="PH267" s="113"/>
      <c r="PI267" s="113"/>
      <c r="PJ267" s="113"/>
      <c r="PK267" s="113"/>
      <c r="PL267" s="113"/>
      <c r="PM267" s="113"/>
      <c r="PN267" s="113"/>
      <c r="PO267" s="113"/>
      <c r="PP267" s="113"/>
      <c r="PQ267" s="113"/>
      <c r="PR267" s="113"/>
      <c r="PS267" s="113"/>
      <c r="PT267" s="113"/>
      <c r="PU267" s="113"/>
      <c r="PV267" s="113"/>
      <c r="PW267" s="113"/>
      <c r="PX267" s="113"/>
      <c r="PY267" s="113"/>
      <c r="PZ267" s="113"/>
      <c r="QA267" s="113"/>
      <c r="QB267" s="113"/>
      <c r="QC267" s="113"/>
      <c r="QD267" s="113"/>
      <c r="QE267" s="113"/>
      <c r="QF267" s="113"/>
      <c r="QG267" s="113"/>
      <c r="QH267" s="113"/>
      <c r="QI267" s="113"/>
      <c r="QJ267" s="113"/>
      <c r="QK267" s="113"/>
      <c r="QL267" s="113"/>
      <c r="QM267" s="113"/>
      <c r="QN267" s="113"/>
      <c r="QO267" s="113"/>
      <c r="QP267" s="113"/>
      <c r="QQ267" s="113"/>
      <c r="QR267" s="113"/>
      <c r="QS267" s="113"/>
      <c r="QT267" s="113"/>
      <c r="QU267" s="113"/>
      <c r="QV267" s="113"/>
      <c r="QW267" s="113"/>
      <c r="QX267" s="113"/>
      <c r="QY267" s="113"/>
      <c r="QZ267" s="113"/>
      <c r="RA267" s="113"/>
      <c r="RB267" s="113"/>
      <c r="RC267" s="113"/>
      <c r="RD267" s="113"/>
      <c r="RE267" s="113"/>
      <c r="RF267" s="113"/>
      <c r="RG267" s="113"/>
      <c r="RH267" s="113"/>
      <c r="RI267" s="113"/>
      <c r="RJ267" s="113"/>
      <c r="RK267" s="113"/>
      <c r="RL267" s="113"/>
      <c r="RM267" s="113"/>
      <c r="RN267" s="113"/>
      <c r="RO267" s="113"/>
      <c r="RP267" s="113"/>
      <c r="RQ267" s="113"/>
      <c r="RR267" s="113"/>
      <c r="RS267" s="113"/>
      <c r="RT267" s="113"/>
      <c r="RU267" s="113"/>
      <c r="RV267" s="113"/>
      <c r="RW267" s="113"/>
      <c r="RX267" s="113"/>
      <c r="RY267" s="113"/>
      <c r="RZ267" s="113"/>
      <c r="SA267" s="113"/>
      <c r="SB267" s="113"/>
      <c r="SC267" s="113"/>
      <c r="SD267" s="113"/>
      <c r="SE267" s="113"/>
      <c r="SF267" s="113"/>
      <c r="SG267" s="113"/>
      <c r="SH267" s="113"/>
      <c r="SI267" s="113"/>
      <c r="SJ267" s="113"/>
      <c r="SK267" s="113"/>
      <c r="SL267" s="113"/>
      <c r="SM267" s="113"/>
      <c r="SN267" s="113"/>
      <c r="SO267" s="113"/>
      <c r="SP267" s="113"/>
      <c r="SQ267" s="113"/>
      <c r="SR267" s="113"/>
      <c r="SS267" s="113"/>
      <c r="ST267" s="113"/>
      <c r="SU267" s="113"/>
      <c r="SV267" s="113"/>
      <c r="SW267" s="113"/>
      <c r="SX267" s="113"/>
      <c r="SY267" s="113"/>
      <c r="SZ267" s="113"/>
      <c r="TA267" s="113"/>
      <c r="TB267" s="113"/>
      <c r="TC267" s="113"/>
      <c r="TD267" s="113"/>
      <c r="TE267" s="113"/>
      <c r="TF267" s="113"/>
      <c r="TG267" s="113"/>
      <c r="TH267" s="113"/>
      <c r="TI267" s="113"/>
      <c r="TJ267" s="113"/>
      <c r="TK267" s="113"/>
      <c r="TL267" s="113"/>
      <c r="TM267" s="113"/>
      <c r="TN267" s="113"/>
      <c r="TO267" s="113"/>
      <c r="TP267" s="113"/>
      <c r="TQ267" s="113"/>
      <c r="TR267" s="113"/>
      <c r="TS267" s="113"/>
      <c r="TT267" s="113"/>
      <c r="TU267" s="113"/>
      <c r="TV267" s="113"/>
      <c r="TW267" s="113"/>
      <c r="TX267" s="113"/>
      <c r="TY267" s="113"/>
      <c r="TZ267" s="113"/>
      <c r="UA267" s="113"/>
      <c r="UB267" s="113"/>
      <c r="UC267" s="113"/>
      <c r="UD267" s="113"/>
      <c r="UE267" s="113"/>
      <c r="UF267" s="113"/>
      <c r="UG267" s="113"/>
      <c r="UH267" s="113"/>
      <c r="UI267" s="113"/>
      <c r="UJ267" s="113"/>
      <c r="UK267" s="113"/>
      <c r="UL267" s="113"/>
      <c r="UM267" s="113"/>
      <c r="UN267" s="113"/>
      <c r="UO267" s="113"/>
      <c r="UP267" s="113"/>
      <c r="UQ267" s="113"/>
      <c r="UR267" s="113"/>
      <c r="US267" s="113"/>
      <c r="UT267" s="113"/>
      <c r="UU267" s="113"/>
      <c r="UV267" s="113"/>
      <c r="UW267" s="113"/>
      <c r="UX267" s="113"/>
      <c r="UY267" s="113"/>
      <c r="UZ267" s="113"/>
      <c r="VA267" s="113"/>
      <c r="VB267" s="113"/>
      <c r="VC267" s="113"/>
      <c r="VD267" s="113"/>
      <c r="VE267" s="113"/>
      <c r="VF267" s="113"/>
      <c r="VG267" s="113"/>
      <c r="VH267" s="113"/>
      <c r="VI267" s="113"/>
      <c r="VJ267" s="113"/>
      <c r="VK267" s="113"/>
      <c r="VL267" s="113"/>
      <c r="VM267" s="113"/>
      <c r="VN267" s="113"/>
      <c r="VO267" s="113"/>
      <c r="VP267" s="113"/>
      <c r="VQ267" s="113"/>
      <c r="VR267" s="113"/>
      <c r="VS267" s="113"/>
      <c r="VT267" s="113"/>
      <c r="VU267" s="113"/>
      <c r="VV267" s="113"/>
      <c r="VW267" s="113"/>
      <c r="VX267" s="113"/>
      <c r="VY267" s="113"/>
      <c r="VZ267" s="113"/>
      <c r="WA267" s="113"/>
      <c r="WB267" s="113"/>
      <c r="WC267" s="113"/>
      <c r="WD267" s="113"/>
      <c r="WE267" s="113"/>
      <c r="WF267" s="113"/>
      <c r="WG267" s="113"/>
      <c r="WH267" s="113"/>
      <c r="WI267" s="113"/>
      <c r="WJ267" s="113"/>
      <c r="WK267" s="113"/>
      <c r="WL267" s="113"/>
      <c r="WM267" s="113"/>
      <c r="WN267" s="113"/>
      <c r="WO267" s="113"/>
      <c r="WP267" s="113"/>
      <c r="WQ267" s="113"/>
      <c r="WR267" s="113"/>
      <c r="WS267" s="113"/>
      <c r="WT267" s="113"/>
      <c r="WU267" s="113"/>
      <c r="WV267" s="113"/>
      <c r="WW267" s="113"/>
      <c r="WX267" s="113"/>
      <c r="WY267" s="113"/>
      <c r="WZ267" s="113"/>
      <c r="XA267" s="113"/>
      <c r="XB267" s="113"/>
      <c r="XC267" s="113"/>
      <c r="XD267" s="113"/>
      <c r="XE267" s="113"/>
      <c r="XF267" s="113"/>
      <c r="XG267" s="113"/>
      <c r="XH267" s="113"/>
      <c r="XI267" s="113"/>
      <c r="XJ267" s="113"/>
      <c r="XK267" s="113"/>
      <c r="XL267" s="113"/>
      <c r="XM267" s="113"/>
      <c r="XN267" s="113"/>
      <c r="XO267" s="113"/>
      <c r="XP267" s="113"/>
      <c r="XQ267" s="113"/>
      <c r="XR267" s="113"/>
      <c r="XS267" s="113"/>
      <c r="XT267" s="113"/>
      <c r="XU267" s="113"/>
      <c r="XV267" s="113"/>
      <c r="XW267" s="113"/>
      <c r="XX267" s="113"/>
      <c r="XY267" s="113"/>
      <c r="XZ267" s="113"/>
      <c r="YA267" s="113"/>
      <c r="YB267" s="113"/>
      <c r="YC267" s="113"/>
      <c r="YD267" s="113"/>
      <c r="YE267" s="113"/>
      <c r="YF267" s="113"/>
      <c r="YG267" s="113"/>
      <c r="YH267" s="113"/>
      <c r="YI267" s="113"/>
      <c r="YJ267" s="113"/>
      <c r="YK267" s="113"/>
      <c r="YL267" s="113"/>
      <c r="YM267" s="113"/>
      <c r="YN267" s="113"/>
      <c r="YO267" s="113"/>
      <c r="YP267" s="113"/>
      <c r="YQ267" s="113"/>
      <c r="YR267" s="113"/>
      <c r="YS267" s="113"/>
      <c r="YT267" s="113"/>
      <c r="YU267" s="113"/>
      <c r="YV267" s="113"/>
      <c r="YW267" s="113"/>
      <c r="YX267" s="113"/>
      <c r="YY267" s="113"/>
      <c r="YZ267" s="113"/>
      <c r="ZA267" s="113"/>
      <c r="ZB267" s="113"/>
      <c r="ZC267" s="113"/>
      <c r="ZD267" s="113"/>
      <c r="ZE267" s="113"/>
      <c r="ZF267" s="113"/>
      <c r="ZG267" s="113"/>
      <c r="ZH267" s="113"/>
      <c r="ZI267" s="113"/>
      <c r="ZJ267" s="113"/>
      <c r="ZK267" s="113"/>
      <c r="ZL267" s="113"/>
      <c r="ZM267" s="113"/>
      <c r="ZN267" s="113"/>
      <c r="ZO267" s="113"/>
      <c r="ZP267" s="113"/>
      <c r="ZQ267" s="113"/>
      <c r="ZR267" s="113"/>
      <c r="ZS267" s="113"/>
      <c r="ZT267" s="113"/>
      <c r="ZU267" s="113"/>
      <c r="ZV267" s="113"/>
      <c r="ZW267" s="113"/>
      <c r="ZX267" s="113"/>
      <c r="ZY267" s="113"/>
      <c r="ZZ267" s="113"/>
      <c r="AAA267" s="113"/>
      <c r="AAB267" s="113"/>
      <c r="AAC267" s="113"/>
      <c r="AAD267" s="113"/>
      <c r="AAE267" s="113"/>
      <c r="AAF267" s="113"/>
      <c r="AAG267" s="113"/>
      <c r="AAH267" s="113"/>
      <c r="AAI267" s="113"/>
      <c r="AAJ267" s="113"/>
      <c r="AAK267" s="113"/>
      <c r="AAL267" s="113"/>
      <c r="AAM267" s="113"/>
      <c r="AAN267" s="113"/>
      <c r="AAO267" s="113"/>
      <c r="AAP267" s="113"/>
      <c r="AAQ267" s="113"/>
      <c r="AAR267" s="113"/>
      <c r="AAS267" s="113"/>
      <c r="AAT267" s="113"/>
      <c r="AAU267" s="113"/>
      <c r="AAV267" s="113"/>
      <c r="AAW267" s="113"/>
      <c r="AAX267" s="113"/>
      <c r="AAY267" s="113"/>
      <c r="AAZ267" s="113"/>
      <c r="ABA267" s="113"/>
      <c r="ABB267" s="113"/>
      <c r="ABC267" s="113"/>
      <c r="ABD267" s="113"/>
      <c r="ABE267" s="113"/>
      <c r="ABF267" s="113"/>
      <c r="ABG267" s="113"/>
      <c r="ABH267" s="113"/>
      <c r="ABI267" s="113"/>
      <c r="ABJ267" s="113"/>
      <c r="ABK267" s="113"/>
      <c r="ABL267" s="113"/>
      <c r="ABM267" s="113"/>
      <c r="ABN267" s="113"/>
      <c r="ABO267" s="113"/>
      <c r="ABP267" s="113"/>
      <c r="ABQ267" s="113"/>
      <c r="ABR267" s="113"/>
      <c r="ABS267" s="113"/>
      <c r="ABT267" s="113"/>
      <c r="ABU267" s="113"/>
      <c r="ABV267" s="113"/>
      <c r="ABW267" s="113"/>
      <c r="ABX267" s="113"/>
      <c r="ABY267" s="113"/>
      <c r="ABZ267" s="113"/>
      <c r="ACA267" s="113"/>
      <c r="ACB267" s="113"/>
      <c r="ACC267" s="113"/>
      <c r="ACD267" s="113"/>
      <c r="ACE267" s="113"/>
      <c r="ACF267" s="113"/>
      <c r="ACG267" s="113"/>
      <c r="ACH267" s="113"/>
      <c r="ACI267" s="113"/>
      <c r="ACJ267" s="113"/>
      <c r="ACK267" s="113"/>
      <c r="ACL267" s="113"/>
      <c r="ACM267" s="113"/>
      <c r="ACN267" s="113"/>
      <c r="ACO267" s="113"/>
      <c r="ACP267" s="113"/>
      <c r="ACQ267" s="113"/>
      <c r="ACR267" s="113"/>
      <c r="ACS267" s="113"/>
      <c r="ACT267" s="113"/>
      <c r="ACU267" s="113"/>
      <c r="ACV267" s="113"/>
      <c r="ACW267" s="113"/>
      <c r="ACX267" s="113"/>
      <c r="ACY267" s="113"/>
      <c r="ACZ267" s="113"/>
      <c r="ADA267" s="113"/>
      <c r="ADB267" s="113"/>
      <c r="ADC267" s="113"/>
      <c r="ADD267" s="113"/>
      <c r="ADE267" s="113"/>
      <c r="ADF267" s="113"/>
      <c r="ADG267" s="113"/>
      <c r="ADH267" s="113"/>
      <c r="ADI267" s="113"/>
      <c r="ADJ267" s="113"/>
      <c r="ADK267" s="113"/>
      <c r="ADL267" s="113"/>
      <c r="ADM267" s="113"/>
      <c r="ADN267" s="113"/>
      <c r="ADO267" s="113"/>
      <c r="ADP267" s="113"/>
      <c r="ADQ267" s="113"/>
      <c r="ADR267" s="113"/>
      <c r="ADS267" s="113"/>
      <c r="ADT267" s="113"/>
      <c r="ADU267" s="113"/>
      <c r="ADV267" s="113"/>
      <c r="ADW267" s="113"/>
      <c r="ADX267" s="113"/>
      <c r="ADY267" s="113"/>
      <c r="ADZ267" s="113"/>
      <c r="AEA267" s="113"/>
      <c r="AEB267" s="113"/>
      <c r="AEC267" s="113"/>
      <c r="AED267" s="113"/>
      <c r="AEE267" s="113"/>
      <c r="AEF267" s="113"/>
      <c r="AEG267" s="113"/>
      <c r="AEH267" s="113"/>
      <c r="AEI267" s="113"/>
      <c r="AEJ267" s="113"/>
      <c r="AEK267" s="113"/>
      <c r="AEL267" s="113"/>
      <c r="AEM267" s="113"/>
      <c r="AEN267" s="113"/>
      <c r="AEO267" s="113"/>
      <c r="AEP267" s="113"/>
      <c r="AEQ267" s="113"/>
      <c r="AER267" s="113"/>
      <c r="AES267" s="113"/>
      <c r="AET267" s="113"/>
      <c r="AEU267" s="113"/>
      <c r="AEV267" s="113"/>
      <c r="AEW267" s="113"/>
      <c r="AEX267" s="113"/>
      <c r="AEY267" s="113"/>
      <c r="AEZ267" s="113"/>
      <c r="AFA267" s="113"/>
      <c r="AFB267" s="113"/>
      <c r="AFC267" s="113"/>
      <c r="AFD267" s="113"/>
      <c r="AFE267" s="113"/>
      <c r="AFF267" s="113"/>
      <c r="AFG267" s="113"/>
      <c r="AFH267" s="113"/>
      <c r="AFI267" s="113"/>
      <c r="AFJ267" s="113"/>
      <c r="AFK267" s="113"/>
      <c r="AFL267" s="113"/>
      <c r="AFM267" s="113"/>
      <c r="AFN267" s="113"/>
      <c r="AFO267" s="113"/>
      <c r="AFP267" s="113"/>
      <c r="AFQ267" s="113"/>
      <c r="AFR267" s="113"/>
      <c r="AFS267" s="113"/>
      <c r="AFT267" s="113"/>
      <c r="AFU267" s="113"/>
      <c r="AFV267" s="113"/>
      <c r="AFW267" s="113"/>
      <c r="AFX267" s="113"/>
      <c r="AFY267" s="113"/>
      <c r="AFZ267" s="113"/>
      <c r="AGA267" s="113"/>
      <c r="AGB267" s="113"/>
      <c r="AGC267" s="113"/>
      <c r="AGD267" s="113"/>
      <c r="AGE267" s="113"/>
      <c r="AGF267" s="113"/>
      <c r="AGG267" s="113"/>
      <c r="AGH267" s="113"/>
      <c r="AGI267" s="113"/>
      <c r="AGJ267" s="113"/>
      <c r="AGK267" s="113"/>
      <c r="AGL267" s="113"/>
      <c r="AGM267" s="113"/>
      <c r="AGN267" s="113"/>
      <c r="AGO267" s="113"/>
      <c r="AGP267" s="113"/>
      <c r="AGQ267" s="113"/>
      <c r="AGR267" s="113"/>
      <c r="AGS267" s="113"/>
      <c r="AGT267" s="113"/>
      <c r="AGU267" s="113"/>
      <c r="AGV267" s="113"/>
      <c r="AGW267" s="113"/>
      <c r="AGX267" s="113"/>
      <c r="AGY267" s="113"/>
      <c r="AGZ267" s="113"/>
      <c r="AHA267" s="113"/>
      <c r="AHB267" s="113"/>
      <c r="AHC267" s="113"/>
      <c r="AHD267" s="113"/>
      <c r="AHE267" s="113"/>
      <c r="AHF267" s="113"/>
      <c r="AHG267" s="113"/>
      <c r="AHH267" s="113"/>
      <c r="AHI267" s="113"/>
      <c r="AHJ267" s="113"/>
      <c r="AHK267" s="113"/>
      <c r="AHL267" s="113"/>
      <c r="AHM267" s="113"/>
      <c r="AHN267" s="113"/>
      <c r="AHO267" s="113"/>
      <c r="AHP267" s="113"/>
      <c r="AHQ267" s="113"/>
      <c r="AHR267" s="113"/>
      <c r="AHS267" s="113"/>
      <c r="AHT267" s="113"/>
      <c r="AHU267" s="113"/>
      <c r="AHV267" s="113"/>
      <c r="AHW267" s="113"/>
      <c r="AHX267" s="113"/>
      <c r="AHY267" s="113"/>
      <c r="AHZ267" s="113"/>
      <c r="AIA267" s="113"/>
      <c r="AIB267" s="113"/>
      <c r="AIC267" s="113"/>
      <c r="AID267" s="113"/>
      <c r="AIE267" s="113"/>
      <c r="AIF267" s="113"/>
      <c r="AIG267" s="113"/>
      <c r="AIH267" s="113"/>
      <c r="AII267" s="113"/>
      <c r="AIJ267" s="113"/>
      <c r="AIK267" s="113"/>
      <c r="AIL267" s="113"/>
      <c r="AIM267" s="113"/>
      <c r="AIN267" s="113"/>
      <c r="AIO267" s="113"/>
      <c r="AIP267" s="113"/>
      <c r="AIQ267" s="113"/>
      <c r="AIR267" s="113"/>
      <c r="AIS267" s="113"/>
      <c r="AIT267" s="113"/>
      <c r="AIU267" s="113"/>
      <c r="AIV267" s="113"/>
      <c r="AIW267" s="113"/>
      <c r="AIX267" s="113"/>
      <c r="AIY267" s="113"/>
      <c r="AIZ267" s="113"/>
    </row>
    <row r="268">
      <c r="A268" s="65" t="s">
        <v>35</v>
      </c>
      <c r="B268" s="65" t="s">
        <v>42</v>
      </c>
      <c r="C268" s="65"/>
      <c r="D268" s="64">
        <f t="shared" si="1"/>
        <v>467.5870667</v>
      </c>
      <c r="G268" s="65">
        <v>9.07438333333333</v>
      </c>
      <c r="H268" s="65">
        <v>2.77926666666667</v>
      </c>
      <c r="I268" s="65">
        <v>17.4349166666667</v>
      </c>
      <c r="J268" s="65">
        <v>16.36095</v>
      </c>
      <c r="K268" s="65">
        <v>32.4475333333333</v>
      </c>
      <c r="N268" s="65">
        <v>4.13811666666667</v>
      </c>
      <c r="R268" s="65">
        <v>17.4885833333333</v>
      </c>
      <c r="S268" s="65">
        <v>22.0147</v>
      </c>
      <c r="T268" s="65">
        <v>27.62405</v>
      </c>
      <c r="U268" s="65">
        <v>60.8961833333334</v>
      </c>
      <c r="Y268" s="65">
        <v>2.24686666666667</v>
      </c>
      <c r="Z268" s="65">
        <v>7.13775</v>
      </c>
      <c r="AA268" s="65">
        <v>16.4127666666667</v>
      </c>
      <c r="AB268" s="65">
        <v>44.9953333333333</v>
      </c>
      <c r="AF268" s="65">
        <v>0.738833333333333</v>
      </c>
      <c r="AG268" s="65">
        <v>1.82353333333333</v>
      </c>
      <c r="AH268" s="65">
        <v>2.28703333333333</v>
      </c>
      <c r="AI268" s="65">
        <v>34.7217</v>
      </c>
      <c r="AL268" s="65">
        <v>1.07555</v>
      </c>
      <c r="AM268" s="65">
        <v>18.3838833333333</v>
      </c>
      <c r="AN268" s="65">
        <v>26.9212166666667</v>
      </c>
      <c r="AQ268" s="65">
        <v>0.400966666666667</v>
      </c>
      <c r="AR268" s="65">
        <v>1.80773333333333</v>
      </c>
      <c r="AU268" s="65">
        <v>98.3752166666667</v>
      </c>
    </row>
    <row r="269">
      <c r="A269" s="65" t="s">
        <v>35</v>
      </c>
      <c r="B269" s="65" t="s">
        <v>42</v>
      </c>
      <c r="C269" s="65"/>
      <c r="D269" s="64">
        <f t="shared" si="1"/>
        <v>0</v>
      </c>
    </row>
    <row r="270">
      <c r="A270" s="65" t="s">
        <v>35</v>
      </c>
      <c r="B270" s="65" t="s">
        <v>42</v>
      </c>
      <c r="C270" s="65"/>
      <c r="D270" s="64">
        <f t="shared" si="1"/>
        <v>465.2732</v>
      </c>
      <c r="G270" s="118">
        <f>HYPERLINK("https://docs.google.com/spreadsheets/d/19HZ4xI331TvpYhnZSjqQPgUDuzCB1RuG", 8.9718)</f>
        <v>8.9718</v>
      </c>
      <c r="H270" s="118">
        <f>HYPERLINK("https://docs.google.com/spreadsheets/d/1nCs13MdGU74IQ7I0ZeUtOSreJIvZgzGC", 2.68265)</f>
        <v>2.68265</v>
      </c>
      <c r="I270" s="118">
        <f>HYPERLINK("https://docs.google.com/spreadsheets/d/1C-7Io1cB6QW7cEGqih3ltyK8Uy2lg-xO", 17.4349166666667)</f>
        <v>17.43491667</v>
      </c>
      <c r="J270" s="118">
        <f>HYPERLINK("https://docs.google.com/spreadsheets/d/1MLMjxkExoGpgS3m9KTt8yq8Un2j0CRFO", 16.3298)</f>
        <v>16.3298</v>
      </c>
      <c r="K270" s="118">
        <f>HYPERLINK("https://docs.google.com/spreadsheets/d/1BKJOKyYUYJ8zdv4CJivT1dVo_PccS-Wc", 32.4180833333333)</f>
        <v>32.41808333</v>
      </c>
      <c r="N270" s="118">
        <f>HYPERLINK("https://docs.google.com/spreadsheets/d/1TuBnl8r9qKibcPTt1quaaITsg33cIGJu", 3.93915)</f>
        <v>3.93915</v>
      </c>
      <c r="R270" s="118">
        <f>HYPERLINK("https://docs.google.com/spreadsheets/d/1j-onSaK78yDE47CWcd1SjTmyUuZU8Nav", 17.4885666666667)</f>
        <v>17.48856667</v>
      </c>
      <c r="S270" s="118">
        <f>HYPERLINK("https://docs.google.com/spreadsheets/d/15hj9tFiQ_TrK4U1AFybkXUibF7bEwJmY", 22.0146833333333)</f>
        <v>22.01468333</v>
      </c>
      <c r="T270" s="118">
        <f>HYPERLINK("https://docs.google.com/spreadsheets/d/1cDr8pFqqhHkwR59jrUPLKvyY4vFsnZlM", 27.6240333333333)</f>
        <v>27.62403333</v>
      </c>
      <c r="U270" s="118">
        <f>HYPERLINK("https://docs.google.com/spreadsheets/d/1sOZ_TB8QzDs0bDhz9ScnjWeNNGXCEKhH", 60.8962333333334)</f>
        <v>60.89623333</v>
      </c>
      <c r="Y270" s="118">
        <f>HYPERLINK("https://docs.google.com/spreadsheets/d/1c6cRz8ghW9zr9tlL7mA8eb3yQITG8SgP", 2.12351666666667)</f>
        <v>2.123516667</v>
      </c>
      <c r="Z270" s="118">
        <f>HYPERLINK("https://docs.google.com/spreadsheets/d/1Ne4UpCAOL228GwXkcsfR23mZfvVjl5Au", 6.92476666666667)</f>
        <v>6.924766667</v>
      </c>
      <c r="AA270" s="118">
        <f>HYPERLINK("https://docs.google.com/spreadsheets/d/1rWF4R4o0saxdaffgCknRmUKzYczkT_UI", 16.0299)</f>
        <v>16.0299</v>
      </c>
      <c r="AB270" s="118">
        <f>HYPERLINK("https://docs.google.com/spreadsheets/d/1SP0qkakPNp25oaZH6rX7X1mbGxGNzCDx", 44.9953166666666)</f>
        <v>44.99531667</v>
      </c>
      <c r="AF270" s="118">
        <f>HYPERLINK("https://docs.google.com/spreadsheets/d/1vTCHZ2gfjG6SE33eU52mmUDBTH0xNzUy", 0.738833333333333)</f>
        <v>0.7388333333</v>
      </c>
      <c r="AG270" s="118">
        <f>HYPERLINK("https://docs.google.com/spreadsheets/d/1AjLk1Yq9y9pjxCmksfrofxIW6XK-RCDE", 1.82353333333333)</f>
        <v>1.823533333</v>
      </c>
      <c r="AH270" s="118">
        <f>HYPERLINK("https://docs.google.com/spreadsheets/d/1ZTqsOknlzx0RbRK6EjWm0Hzwn9pw6sVr", 2.28703333333333)</f>
        <v>2.287033333</v>
      </c>
      <c r="AI270" s="118">
        <f>HYPERLINK("https://docs.google.com/spreadsheets/d/1UhGP-Ws_WCnQPj_ROMyKn3voMqME1Ikw", 34.7216666666667)</f>
        <v>34.72166667</v>
      </c>
      <c r="AL270" s="118">
        <f>HYPERLINK("https://docs.google.com/spreadsheets/d/1CgCAF9Fq6xWv6wM6s8_zO8Opi1zD1W8n", 1.07555)</f>
        <v>1.07555</v>
      </c>
      <c r="AM270" s="118">
        <f>HYPERLINK("https://docs.google.com/spreadsheets/d/1JhUeLuH59rYcCjakVBmeHLnHn-Ch9aEr", 18.3551833333333)</f>
        <v>18.35518333</v>
      </c>
      <c r="AN270" s="118">
        <f>HYPERLINK("https://docs.google.com/spreadsheets/d/1zsH04onghK7czHe4v9ck6Jml72gLvD-_", 26.6598666666667)</f>
        <v>26.65986667</v>
      </c>
      <c r="AQ270" s="118">
        <f>HYPERLINK("https://docs.google.com/spreadsheets/d/1P6HiiL0wPeh3EKvAyY6sHad_m9odlVrq", 0)</f>
        <v>0</v>
      </c>
      <c r="AR270" s="118">
        <f>HYPERLINK("https://docs.google.com/spreadsheets/d/1m9QIrDcUUjJoRol_ozuDU5I8cG23jqgH", 1.80773333333333)</f>
        <v>1.807733333</v>
      </c>
      <c r="AU270" s="118">
        <f>HYPERLINK("https://docs.google.com/spreadsheets/d/1MVBTXPXHNwTUr1n697opjKKMZVkmN6ru", 97.9303833333334)</f>
        <v>97.93038333</v>
      </c>
    </row>
    <row r="271">
      <c r="A271" s="65" t="s">
        <v>35</v>
      </c>
      <c r="B271" s="65" t="s">
        <v>42</v>
      </c>
      <c r="C271" s="65"/>
      <c r="D271" s="64">
        <f t="shared" si="1"/>
        <v>263.2796333</v>
      </c>
      <c r="G271" s="65">
        <v>7.20196666666667</v>
      </c>
      <c r="H271" s="65">
        <v>2.50885</v>
      </c>
      <c r="I271" s="65">
        <v>9.29421666666667</v>
      </c>
      <c r="J271" s="65">
        <v>12.0019166666667</v>
      </c>
      <c r="K271" s="65">
        <v>18.9633666666667</v>
      </c>
      <c r="N271" s="65">
        <v>3.64813333333333</v>
      </c>
      <c r="R271" s="65">
        <v>15.45825</v>
      </c>
      <c r="S271" s="65">
        <v>17.69755</v>
      </c>
      <c r="T271" s="65">
        <v>20.4795333333333</v>
      </c>
      <c r="U271" s="65">
        <v>17.2624166666667</v>
      </c>
      <c r="Y271" s="65">
        <v>2.02928333333333</v>
      </c>
      <c r="Z271" s="65">
        <v>6.4969</v>
      </c>
      <c r="AA271" s="65">
        <v>12.9737</v>
      </c>
      <c r="AB271" s="65">
        <v>13.9756833333333</v>
      </c>
      <c r="AF271" s="65">
        <v>0.493383333333333</v>
      </c>
      <c r="AG271" s="65">
        <v>1.01631666666667</v>
      </c>
      <c r="AH271" s="65">
        <v>1.63596666666667</v>
      </c>
      <c r="AI271" s="65">
        <v>9.16551666666667</v>
      </c>
      <c r="AL271" s="65">
        <v>0.68575</v>
      </c>
      <c r="AM271" s="65">
        <v>12.4292</v>
      </c>
      <c r="AN271" s="65">
        <v>19.9010666666667</v>
      </c>
      <c r="AR271" s="65">
        <v>0.635216666666667</v>
      </c>
      <c r="AU271" s="65">
        <v>57.32545</v>
      </c>
    </row>
    <row r="272">
      <c r="A272" s="119" t="s">
        <v>35</v>
      </c>
      <c r="B272" s="119" t="s">
        <v>42</v>
      </c>
      <c r="C272" s="119"/>
      <c r="D272" s="120">
        <f t="shared" si="1"/>
        <v>0</v>
      </c>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c r="AA272" s="120"/>
      <c r="AB272" s="120"/>
      <c r="AC272" s="120"/>
      <c r="AD272" s="120"/>
      <c r="AE272" s="120"/>
      <c r="AF272" s="120"/>
      <c r="AG272" s="120"/>
      <c r="AH272" s="120"/>
      <c r="AI272" s="120"/>
      <c r="AJ272" s="120"/>
      <c r="AK272" s="120"/>
      <c r="AL272" s="120"/>
      <c r="AM272" s="120"/>
      <c r="AN272" s="120"/>
      <c r="AO272" s="120"/>
      <c r="AP272" s="120"/>
      <c r="AQ272" s="120"/>
      <c r="AR272" s="120"/>
      <c r="AS272" s="120"/>
      <c r="AT272" s="120"/>
      <c r="AU272" s="120"/>
      <c r="AV272" s="120"/>
      <c r="AW272" s="120"/>
      <c r="AX272" s="120"/>
      <c r="AY272" s="120"/>
      <c r="AZ272" s="120"/>
      <c r="BA272" s="120"/>
      <c r="BB272" s="120"/>
      <c r="BC272" s="120"/>
      <c r="BD272" s="120"/>
      <c r="BE272" s="120"/>
      <c r="BF272" s="120"/>
      <c r="BG272" s="120"/>
      <c r="BH272" s="120"/>
      <c r="BI272" s="120"/>
      <c r="BJ272" s="120"/>
      <c r="BK272" s="120"/>
      <c r="BL272" s="120"/>
      <c r="BM272" s="120"/>
      <c r="BN272" s="120"/>
      <c r="BO272" s="120"/>
      <c r="BP272" s="120"/>
      <c r="BQ272" s="120"/>
      <c r="BR272" s="120"/>
      <c r="BS272" s="120"/>
      <c r="BT272" s="120"/>
      <c r="BU272" s="120"/>
      <c r="BV272" s="120"/>
      <c r="BW272" s="120"/>
      <c r="BX272" s="120"/>
      <c r="BY272" s="120"/>
      <c r="BZ272" s="120"/>
      <c r="CA272" s="120"/>
      <c r="CB272" s="120"/>
      <c r="CC272" s="120"/>
      <c r="CD272" s="120"/>
      <c r="CE272" s="120"/>
      <c r="CF272" s="120"/>
      <c r="CG272" s="120"/>
      <c r="CH272" s="120"/>
      <c r="CI272" s="120"/>
      <c r="CJ272" s="120"/>
      <c r="CK272" s="120"/>
      <c r="CL272" s="120"/>
      <c r="CM272" s="120"/>
      <c r="CN272" s="120"/>
      <c r="CO272" s="120"/>
      <c r="CP272" s="120"/>
      <c r="CQ272" s="120"/>
      <c r="CR272" s="120"/>
      <c r="CS272" s="120"/>
      <c r="CT272" s="120"/>
      <c r="CU272" s="120"/>
      <c r="CV272" s="120"/>
      <c r="CW272" s="120"/>
      <c r="CX272" s="120"/>
      <c r="CY272" s="120"/>
      <c r="CZ272" s="120"/>
      <c r="DA272" s="120"/>
      <c r="DB272" s="120"/>
      <c r="DC272" s="120"/>
      <c r="DD272" s="120"/>
      <c r="DE272" s="120"/>
      <c r="DF272" s="120"/>
      <c r="DG272" s="120"/>
      <c r="DH272" s="120"/>
      <c r="DI272" s="120"/>
      <c r="DJ272" s="120"/>
      <c r="DK272" s="120"/>
      <c r="DL272" s="120"/>
      <c r="DM272" s="120"/>
      <c r="DN272" s="120"/>
      <c r="DO272" s="120"/>
      <c r="DP272" s="120"/>
      <c r="DQ272" s="120"/>
      <c r="DR272" s="120"/>
      <c r="DS272" s="120"/>
      <c r="DT272" s="120"/>
      <c r="DU272" s="120"/>
      <c r="DV272" s="120"/>
      <c r="DW272" s="120"/>
      <c r="DX272" s="120"/>
      <c r="DY272" s="120"/>
      <c r="DZ272" s="120"/>
      <c r="EA272" s="120"/>
      <c r="EB272" s="120"/>
      <c r="EC272" s="120"/>
      <c r="ED272" s="120"/>
      <c r="EE272" s="120"/>
      <c r="EF272" s="120"/>
      <c r="EG272" s="120"/>
      <c r="EH272" s="120"/>
      <c r="EI272" s="120"/>
      <c r="EJ272" s="120"/>
      <c r="EK272" s="120"/>
      <c r="EL272" s="120"/>
      <c r="EM272" s="120"/>
      <c r="EN272" s="120"/>
      <c r="EO272" s="120"/>
      <c r="EP272" s="120"/>
      <c r="EQ272" s="120"/>
      <c r="ER272" s="120"/>
      <c r="ES272" s="120"/>
      <c r="ET272" s="120"/>
      <c r="EU272" s="120"/>
      <c r="EV272" s="120"/>
      <c r="EW272" s="120"/>
      <c r="EX272" s="120"/>
      <c r="EY272" s="120"/>
      <c r="EZ272" s="120"/>
      <c r="FA272" s="120"/>
      <c r="FB272" s="120"/>
      <c r="FC272" s="120"/>
      <c r="FD272" s="120"/>
      <c r="FE272" s="120"/>
      <c r="FF272" s="120"/>
      <c r="FG272" s="120"/>
      <c r="FH272" s="120"/>
      <c r="FI272" s="120"/>
      <c r="FJ272" s="120"/>
      <c r="FK272" s="120"/>
      <c r="FL272" s="120"/>
      <c r="FM272" s="120"/>
      <c r="FN272" s="120"/>
      <c r="FO272" s="120"/>
      <c r="FP272" s="120"/>
      <c r="FQ272" s="120"/>
      <c r="FR272" s="120"/>
      <c r="FS272" s="120"/>
      <c r="FT272" s="120"/>
      <c r="FU272" s="120"/>
      <c r="FV272" s="120"/>
      <c r="FW272" s="120"/>
      <c r="FX272" s="120"/>
      <c r="FY272" s="120"/>
      <c r="FZ272" s="120"/>
      <c r="GA272" s="120"/>
      <c r="GB272" s="120"/>
      <c r="GC272" s="120"/>
      <c r="GD272" s="120"/>
      <c r="GE272" s="120"/>
      <c r="GF272" s="120"/>
      <c r="GG272" s="120"/>
      <c r="GH272" s="120"/>
      <c r="GI272" s="120"/>
      <c r="GJ272" s="120"/>
      <c r="GK272" s="120"/>
      <c r="GL272" s="120"/>
      <c r="GM272" s="120"/>
      <c r="GN272" s="120"/>
      <c r="GO272" s="120"/>
      <c r="GP272" s="120"/>
      <c r="GQ272" s="120"/>
      <c r="GR272" s="120"/>
      <c r="GS272" s="120"/>
      <c r="GT272" s="120"/>
      <c r="GU272" s="120"/>
      <c r="GV272" s="120"/>
      <c r="GW272" s="120"/>
      <c r="GX272" s="120"/>
      <c r="GY272" s="120"/>
      <c r="GZ272" s="120"/>
      <c r="HA272" s="120"/>
      <c r="HB272" s="120"/>
      <c r="HC272" s="120"/>
      <c r="HD272" s="120"/>
      <c r="HE272" s="120"/>
      <c r="HF272" s="120"/>
      <c r="HG272" s="120"/>
      <c r="HH272" s="120"/>
      <c r="HI272" s="120"/>
      <c r="HJ272" s="120"/>
      <c r="HK272" s="120"/>
      <c r="HL272" s="120"/>
      <c r="HM272" s="120"/>
      <c r="HN272" s="120"/>
      <c r="HO272" s="120"/>
      <c r="HP272" s="120"/>
      <c r="HQ272" s="120"/>
      <c r="HR272" s="120"/>
      <c r="HS272" s="120"/>
      <c r="HT272" s="120"/>
      <c r="HU272" s="120"/>
      <c r="HV272" s="120"/>
      <c r="HW272" s="120"/>
      <c r="HX272" s="120"/>
      <c r="HY272" s="120"/>
      <c r="HZ272" s="120"/>
      <c r="IA272" s="120"/>
      <c r="IB272" s="120"/>
      <c r="IC272" s="120"/>
      <c r="ID272" s="120"/>
      <c r="IE272" s="120"/>
      <c r="IF272" s="120"/>
      <c r="IG272" s="120"/>
      <c r="IH272" s="120"/>
      <c r="II272" s="120"/>
      <c r="IJ272" s="120"/>
      <c r="IK272" s="120"/>
      <c r="IL272" s="120"/>
      <c r="IM272" s="120"/>
      <c r="IN272" s="120"/>
      <c r="IO272" s="120"/>
      <c r="IP272" s="120"/>
      <c r="IQ272" s="120"/>
      <c r="IR272" s="120"/>
      <c r="IS272" s="120"/>
      <c r="IT272" s="120"/>
      <c r="IU272" s="120"/>
      <c r="IV272" s="120"/>
      <c r="IW272" s="120"/>
      <c r="IX272" s="120"/>
      <c r="IY272" s="120"/>
      <c r="IZ272" s="120"/>
      <c r="JA272" s="120"/>
      <c r="JB272" s="120"/>
      <c r="JC272" s="120"/>
      <c r="JD272" s="120"/>
      <c r="JE272" s="120"/>
      <c r="JF272" s="120"/>
      <c r="JG272" s="120"/>
      <c r="JH272" s="120"/>
      <c r="JI272" s="120"/>
      <c r="JJ272" s="120"/>
      <c r="JK272" s="120"/>
      <c r="JL272" s="120"/>
      <c r="JM272" s="120"/>
      <c r="JN272" s="120"/>
      <c r="JO272" s="120"/>
      <c r="JP272" s="120"/>
      <c r="JQ272" s="120"/>
      <c r="JR272" s="120"/>
      <c r="JS272" s="120"/>
      <c r="JT272" s="120"/>
      <c r="JU272" s="120"/>
      <c r="JV272" s="120"/>
      <c r="JW272" s="120"/>
      <c r="JX272" s="120"/>
      <c r="JY272" s="120"/>
      <c r="JZ272" s="120"/>
      <c r="KA272" s="120"/>
      <c r="KB272" s="120"/>
      <c r="KC272" s="120"/>
      <c r="KD272" s="120"/>
      <c r="KE272" s="120"/>
      <c r="KF272" s="120"/>
      <c r="KG272" s="120"/>
      <c r="KH272" s="120"/>
      <c r="KI272" s="120"/>
      <c r="KJ272" s="120"/>
      <c r="KK272" s="120"/>
      <c r="KL272" s="120"/>
      <c r="KM272" s="120"/>
      <c r="KN272" s="120"/>
      <c r="KO272" s="120"/>
      <c r="KP272" s="120"/>
      <c r="KQ272" s="120"/>
      <c r="KR272" s="120"/>
      <c r="KS272" s="120"/>
      <c r="KT272" s="120"/>
      <c r="KU272" s="120"/>
      <c r="KV272" s="120"/>
      <c r="KW272" s="120"/>
      <c r="KX272" s="120"/>
      <c r="KY272" s="120"/>
      <c r="KZ272" s="120"/>
      <c r="LA272" s="120"/>
      <c r="LB272" s="120"/>
      <c r="LC272" s="120"/>
      <c r="LD272" s="120"/>
      <c r="LE272" s="120"/>
      <c r="LF272" s="120"/>
      <c r="LG272" s="120"/>
      <c r="LH272" s="120"/>
      <c r="LI272" s="120"/>
      <c r="LJ272" s="120"/>
      <c r="LK272" s="120"/>
      <c r="LL272" s="120"/>
      <c r="LM272" s="120"/>
      <c r="LN272" s="120"/>
      <c r="LO272" s="120"/>
      <c r="LP272" s="120"/>
      <c r="LQ272" s="120"/>
      <c r="LR272" s="120"/>
      <c r="LS272" s="120"/>
      <c r="LT272" s="120"/>
      <c r="LU272" s="120"/>
      <c r="LV272" s="120"/>
      <c r="LW272" s="120"/>
      <c r="LX272" s="120"/>
      <c r="LY272" s="120"/>
      <c r="LZ272" s="120"/>
      <c r="MA272" s="120"/>
      <c r="MB272" s="120"/>
      <c r="MC272" s="120"/>
      <c r="MD272" s="120"/>
      <c r="ME272" s="120"/>
      <c r="MF272" s="120"/>
      <c r="MG272" s="120"/>
      <c r="MH272" s="120"/>
      <c r="MI272" s="120"/>
      <c r="MJ272" s="120"/>
      <c r="MK272" s="120"/>
      <c r="ML272" s="120"/>
      <c r="MM272" s="120"/>
      <c r="MN272" s="120"/>
      <c r="MO272" s="120"/>
      <c r="MP272" s="120"/>
      <c r="MQ272" s="120"/>
      <c r="MR272" s="120"/>
      <c r="MS272" s="120"/>
      <c r="MT272" s="120"/>
      <c r="MU272" s="120"/>
      <c r="MV272" s="120"/>
      <c r="MW272" s="120"/>
      <c r="MX272" s="120"/>
      <c r="MY272" s="120"/>
      <c r="MZ272" s="120"/>
      <c r="NA272" s="120"/>
      <c r="NB272" s="120"/>
      <c r="NC272" s="120"/>
      <c r="ND272" s="120"/>
      <c r="NE272" s="120"/>
      <c r="NF272" s="120"/>
      <c r="NG272" s="120"/>
      <c r="NH272" s="120"/>
      <c r="NI272" s="120"/>
      <c r="NJ272" s="120"/>
      <c r="NK272" s="120"/>
      <c r="NL272" s="120"/>
      <c r="NM272" s="120"/>
      <c r="NN272" s="120"/>
      <c r="NO272" s="120"/>
      <c r="NP272" s="120"/>
      <c r="NQ272" s="120"/>
      <c r="NR272" s="120"/>
      <c r="NS272" s="120"/>
      <c r="NT272" s="120"/>
      <c r="NU272" s="120"/>
      <c r="NV272" s="120"/>
      <c r="NW272" s="120"/>
      <c r="NX272" s="120"/>
      <c r="NY272" s="120"/>
      <c r="NZ272" s="120"/>
      <c r="OA272" s="120"/>
      <c r="OB272" s="120"/>
      <c r="OC272" s="120"/>
      <c r="OD272" s="120"/>
      <c r="OE272" s="120"/>
      <c r="OF272" s="120"/>
      <c r="OG272" s="120"/>
      <c r="OH272" s="120"/>
      <c r="OI272" s="120"/>
      <c r="OJ272" s="120"/>
      <c r="OK272" s="120"/>
      <c r="OL272" s="120"/>
      <c r="OM272" s="120"/>
      <c r="ON272" s="120"/>
      <c r="OO272" s="120"/>
      <c r="OP272" s="120"/>
      <c r="OQ272" s="120"/>
      <c r="OR272" s="120"/>
      <c r="OS272" s="120"/>
      <c r="OT272" s="120"/>
      <c r="OU272" s="120"/>
      <c r="OV272" s="120"/>
      <c r="OW272" s="120"/>
      <c r="OX272" s="120"/>
      <c r="OY272" s="120"/>
      <c r="OZ272" s="120"/>
      <c r="PA272" s="120"/>
      <c r="PB272" s="120"/>
      <c r="PC272" s="120"/>
      <c r="PD272" s="120"/>
      <c r="PE272" s="120"/>
      <c r="PF272" s="120"/>
      <c r="PG272" s="120"/>
      <c r="PH272" s="120"/>
      <c r="PI272" s="120"/>
      <c r="PJ272" s="120"/>
      <c r="PK272" s="120"/>
      <c r="PL272" s="120"/>
      <c r="PM272" s="120"/>
      <c r="PN272" s="120"/>
      <c r="PO272" s="120"/>
      <c r="PP272" s="120"/>
      <c r="PQ272" s="120"/>
      <c r="PR272" s="120"/>
      <c r="PS272" s="120"/>
      <c r="PT272" s="120"/>
      <c r="PU272" s="120"/>
      <c r="PV272" s="120"/>
      <c r="PW272" s="120"/>
      <c r="PX272" s="120"/>
      <c r="PY272" s="120"/>
      <c r="PZ272" s="120"/>
      <c r="QA272" s="120"/>
      <c r="QB272" s="120"/>
      <c r="QC272" s="120"/>
      <c r="QD272" s="120"/>
      <c r="QE272" s="120"/>
      <c r="QF272" s="120"/>
      <c r="QG272" s="120"/>
      <c r="QH272" s="120"/>
      <c r="QI272" s="120"/>
      <c r="QJ272" s="120"/>
      <c r="QK272" s="120"/>
      <c r="QL272" s="120"/>
      <c r="QM272" s="120"/>
      <c r="QN272" s="120"/>
      <c r="QO272" s="120"/>
      <c r="QP272" s="120"/>
      <c r="QQ272" s="120"/>
      <c r="QR272" s="120"/>
      <c r="QS272" s="120"/>
      <c r="QT272" s="120"/>
      <c r="QU272" s="120"/>
      <c r="QV272" s="120"/>
      <c r="QW272" s="120"/>
      <c r="QX272" s="120"/>
      <c r="QY272" s="120"/>
      <c r="QZ272" s="120"/>
      <c r="RA272" s="120"/>
      <c r="RB272" s="120"/>
      <c r="RC272" s="120"/>
      <c r="RD272" s="120"/>
      <c r="RE272" s="120"/>
      <c r="RF272" s="120"/>
      <c r="RG272" s="120"/>
      <c r="RH272" s="120"/>
      <c r="RI272" s="120"/>
      <c r="RJ272" s="120"/>
      <c r="RK272" s="120"/>
      <c r="RL272" s="120"/>
      <c r="RM272" s="120"/>
      <c r="RN272" s="120"/>
      <c r="RO272" s="120"/>
      <c r="RP272" s="120"/>
      <c r="RQ272" s="120"/>
      <c r="RR272" s="120"/>
      <c r="RS272" s="120"/>
      <c r="RT272" s="120"/>
      <c r="RU272" s="120"/>
      <c r="RV272" s="120"/>
      <c r="RW272" s="120"/>
      <c r="RX272" s="120"/>
      <c r="RY272" s="120"/>
      <c r="RZ272" s="120"/>
      <c r="SA272" s="120"/>
      <c r="SB272" s="120"/>
      <c r="SC272" s="120"/>
      <c r="SD272" s="120"/>
      <c r="SE272" s="120"/>
      <c r="SF272" s="120"/>
      <c r="SG272" s="120"/>
      <c r="SH272" s="120"/>
      <c r="SI272" s="120"/>
      <c r="SJ272" s="120"/>
      <c r="SK272" s="120"/>
      <c r="SL272" s="120"/>
      <c r="SM272" s="120"/>
      <c r="SN272" s="120"/>
      <c r="SO272" s="120"/>
      <c r="SP272" s="120"/>
      <c r="SQ272" s="120"/>
      <c r="SR272" s="120"/>
      <c r="SS272" s="120"/>
      <c r="ST272" s="120"/>
      <c r="SU272" s="120"/>
      <c r="SV272" s="120"/>
      <c r="SW272" s="120"/>
      <c r="SX272" s="120"/>
      <c r="SY272" s="120"/>
      <c r="SZ272" s="120"/>
      <c r="TA272" s="120"/>
      <c r="TB272" s="120"/>
      <c r="TC272" s="120"/>
      <c r="TD272" s="120"/>
      <c r="TE272" s="120"/>
      <c r="TF272" s="120"/>
      <c r="TG272" s="120"/>
      <c r="TH272" s="120"/>
      <c r="TI272" s="120"/>
      <c r="TJ272" s="120"/>
      <c r="TK272" s="120"/>
      <c r="TL272" s="120"/>
      <c r="TM272" s="120"/>
      <c r="TN272" s="120"/>
      <c r="TO272" s="120"/>
      <c r="TP272" s="120"/>
      <c r="TQ272" s="120"/>
      <c r="TR272" s="120"/>
      <c r="TS272" s="120"/>
      <c r="TT272" s="120"/>
      <c r="TU272" s="120"/>
      <c r="TV272" s="120"/>
      <c r="TW272" s="120"/>
      <c r="TX272" s="120"/>
      <c r="TY272" s="120"/>
      <c r="TZ272" s="120"/>
      <c r="UA272" s="120"/>
      <c r="UB272" s="120"/>
      <c r="UC272" s="120"/>
      <c r="UD272" s="120"/>
      <c r="UE272" s="120"/>
      <c r="UF272" s="120"/>
      <c r="UG272" s="120"/>
      <c r="UH272" s="120"/>
      <c r="UI272" s="120"/>
      <c r="UJ272" s="120"/>
      <c r="UK272" s="120"/>
      <c r="UL272" s="120"/>
      <c r="UM272" s="120"/>
      <c r="UN272" s="120"/>
      <c r="UO272" s="120"/>
      <c r="UP272" s="120"/>
      <c r="UQ272" s="120"/>
      <c r="UR272" s="120"/>
      <c r="US272" s="120"/>
      <c r="UT272" s="120"/>
      <c r="UU272" s="120"/>
      <c r="UV272" s="120"/>
      <c r="UW272" s="120"/>
      <c r="UX272" s="120"/>
      <c r="UY272" s="120"/>
      <c r="UZ272" s="120"/>
      <c r="VA272" s="120"/>
      <c r="VB272" s="120"/>
      <c r="VC272" s="120"/>
      <c r="VD272" s="120"/>
      <c r="VE272" s="120"/>
      <c r="VF272" s="120"/>
      <c r="VG272" s="120"/>
      <c r="VH272" s="120"/>
      <c r="VI272" s="120"/>
      <c r="VJ272" s="120"/>
      <c r="VK272" s="120"/>
      <c r="VL272" s="120"/>
      <c r="VM272" s="120"/>
      <c r="VN272" s="120"/>
      <c r="VO272" s="120"/>
      <c r="VP272" s="120"/>
      <c r="VQ272" s="120"/>
      <c r="VR272" s="120"/>
      <c r="VS272" s="120"/>
      <c r="VT272" s="120"/>
      <c r="VU272" s="120"/>
      <c r="VV272" s="120"/>
      <c r="VW272" s="120"/>
      <c r="VX272" s="120"/>
      <c r="VY272" s="120"/>
      <c r="VZ272" s="120"/>
      <c r="WA272" s="120"/>
      <c r="WB272" s="120"/>
      <c r="WC272" s="120"/>
      <c r="WD272" s="120"/>
      <c r="WE272" s="120"/>
      <c r="WF272" s="120"/>
      <c r="WG272" s="120"/>
      <c r="WH272" s="120"/>
      <c r="WI272" s="120"/>
      <c r="WJ272" s="120"/>
      <c r="WK272" s="120"/>
      <c r="WL272" s="120"/>
      <c r="WM272" s="120"/>
      <c r="WN272" s="120"/>
      <c r="WO272" s="120"/>
      <c r="WP272" s="120"/>
      <c r="WQ272" s="120"/>
      <c r="WR272" s="120"/>
      <c r="WS272" s="120"/>
      <c r="WT272" s="120"/>
      <c r="WU272" s="120"/>
      <c r="WV272" s="120"/>
      <c r="WW272" s="120"/>
      <c r="WX272" s="120"/>
      <c r="WY272" s="120"/>
      <c r="WZ272" s="120"/>
      <c r="XA272" s="120"/>
      <c r="XB272" s="120"/>
      <c r="XC272" s="120"/>
      <c r="XD272" s="120"/>
      <c r="XE272" s="120"/>
      <c r="XF272" s="120"/>
      <c r="XG272" s="120"/>
      <c r="XH272" s="120"/>
      <c r="XI272" s="120"/>
      <c r="XJ272" s="120"/>
      <c r="XK272" s="120"/>
      <c r="XL272" s="120"/>
      <c r="XM272" s="120"/>
      <c r="XN272" s="120"/>
      <c r="XO272" s="120"/>
      <c r="XP272" s="120"/>
      <c r="XQ272" s="120"/>
      <c r="XR272" s="120"/>
      <c r="XS272" s="120"/>
      <c r="XT272" s="120"/>
      <c r="XU272" s="120"/>
      <c r="XV272" s="120"/>
      <c r="XW272" s="120"/>
      <c r="XX272" s="120"/>
      <c r="XY272" s="120"/>
      <c r="XZ272" s="120"/>
      <c r="YA272" s="120"/>
      <c r="YB272" s="120"/>
      <c r="YC272" s="120"/>
      <c r="YD272" s="120"/>
      <c r="YE272" s="120"/>
      <c r="YF272" s="120"/>
      <c r="YG272" s="120"/>
      <c r="YH272" s="120"/>
      <c r="YI272" s="120"/>
      <c r="YJ272" s="120"/>
      <c r="YK272" s="120"/>
      <c r="YL272" s="120"/>
      <c r="YM272" s="120"/>
      <c r="YN272" s="120"/>
      <c r="YO272" s="120"/>
      <c r="YP272" s="120"/>
      <c r="YQ272" s="120"/>
      <c r="YR272" s="120"/>
      <c r="YS272" s="120"/>
      <c r="YT272" s="120"/>
      <c r="YU272" s="120"/>
      <c r="YV272" s="120"/>
      <c r="YW272" s="120"/>
      <c r="YX272" s="120"/>
      <c r="YY272" s="120"/>
      <c r="YZ272" s="120"/>
      <c r="ZA272" s="120"/>
      <c r="ZB272" s="120"/>
      <c r="ZC272" s="120"/>
      <c r="ZD272" s="120"/>
      <c r="ZE272" s="120"/>
      <c r="ZF272" s="120"/>
      <c r="ZG272" s="120"/>
      <c r="ZH272" s="120"/>
      <c r="ZI272" s="120"/>
      <c r="ZJ272" s="120"/>
      <c r="ZK272" s="120"/>
      <c r="ZL272" s="120"/>
      <c r="ZM272" s="120"/>
      <c r="ZN272" s="120"/>
      <c r="ZO272" s="120"/>
      <c r="ZP272" s="120"/>
      <c r="ZQ272" s="120"/>
      <c r="ZR272" s="120"/>
      <c r="ZS272" s="120"/>
      <c r="ZT272" s="120"/>
      <c r="ZU272" s="120"/>
      <c r="ZV272" s="120"/>
      <c r="ZW272" s="120"/>
      <c r="ZX272" s="120"/>
      <c r="ZY272" s="120"/>
      <c r="ZZ272" s="120"/>
      <c r="AAA272" s="120"/>
      <c r="AAB272" s="120"/>
      <c r="AAC272" s="120"/>
      <c r="AAD272" s="120"/>
      <c r="AAE272" s="120"/>
      <c r="AAF272" s="120"/>
      <c r="AAG272" s="120"/>
      <c r="AAH272" s="120"/>
      <c r="AAI272" s="120"/>
      <c r="AAJ272" s="120"/>
      <c r="AAK272" s="120"/>
      <c r="AAL272" s="120"/>
      <c r="AAM272" s="120"/>
      <c r="AAN272" s="120"/>
      <c r="AAO272" s="120"/>
      <c r="AAP272" s="120"/>
      <c r="AAQ272" s="120"/>
      <c r="AAR272" s="120"/>
      <c r="AAS272" s="120"/>
      <c r="AAT272" s="120"/>
      <c r="AAU272" s="120"/>
      <c r="AAV272" s="120"/>
      <c r="AAW272" s="120"/>
      <c r="AAX272" s="120"/>
      <c r="AAY272" s="120"/>
      <c r="AAZ272" s="120"/>
      <c r="ABA272" s="120"/>
      <c r="ABB272" s="120"/>
      <c r="ABC272" s="120"/>
      <c r="ABD272" s="120"/>
      <c r="ABE272" s="120"/>
      <c r="ABF272" s="120"/>
      <c r="ABG272" s="120"/>
      <c r="ABH272" s="120"/>
      <c r="ABI272" s="120"/>
      <c r="ABJ272" s="120"/>
      <c r="ABK272" s="120"/>
      <c r="ABL272" s="120"/>
      <c r="ABM272" s="120"/>
      <c r="ABN272" s="120"/>
      <c r="ABO272" s="120"/>
      <c r="ABP272" s="120"/>
      <c r="ABQ272" s="120"/>
      <c r="ABR272" s="120"/>
      <c r="ABS272" s="120"/>
      <c r="ABT272" s="120"/>
      <c r="ABU272" s="120"/>
      <c r="ABV272" s="120"/>
      <c r="ABW272" s="120"/>
      <c r="ABX272" s="120"/>
      <c r="ABY272" s="120"/>
      <c r="ABZ272" s="120"/>
      <c r="ACA272" s="120"/>
      <c r="ACB272" s="120"/>
      <c r="ACC272" s="120"/>
      <c r="ACD272" s="120"/>
      <c r="ACE272" s="120"/>
      <c r="ACF272" s="120"/>
      <c r="ACG272" s="120"/>
      <c r="ACH272" s="120"/>
      <c r="ACI272" s="120"/>
      <c r="ACJ272" s="120"/>
      <c r="ACK272" s="120"/>
      <c r="ACL272" s="120"/>
      <c r="ACM272" s="120"/>
      <c r="ACN272" s="120"/>
      <c r="ACO272" s="120"/>
      <c r="ACP272" s="120"/>
      <c r="ACQ272" s="120"/>
      <c r="ACR272" s="120"/>
      <c r="ACS272" s="120"/>
      <c r="ACT272" s="120"/>
      <c r="ACU272" s="120"/>
      <c r="ACV272" s="120"/>
      <c r="ACW272" s="120"/>
      <c r="ACX272" s="120"/>
      <c r="ACY272" s="120"/>
      <c r="ACZ272" s="120"/>
      <c r="ADA272" s="120"/>
      <c r="ADB272" s="120"/>
      <c r="ADC272" s="120"/>
      <c r="ADD272" s="120"/>
      <c r="ADE272" s="120"/>
      <c r="ADF272" s="120"/>
      <c r="ADG272" s="120"/>
      <c r="ADH272" s="120"/>
      <c r="ADI272" s="120"/>
      <c r="ADJ272" s="120"/>
      <c r="ADK272" s="120"/>
      <c r="ADL272" s="120"/>
      <c r="ADM272" s="120"/>
      <c r="ADN272" s="120"/>
      <c r="ADO272" s="120"/>
      <c r="ADP272" s="120"/>
      <c r="ADQ272" s="120"/>
      <c r="ADR272" s="120"/>
      <c r="ADS272" s="120"/>
      <c r="ADT272" s="120"/>
      <c r="ADU272" s="120"/>
      <c r="ADV272" s="120"/>
      <c r="ADW272" s="120"/>
      <c r="ADX272" s="120"/>
      <c r="ADY272" s="120"/>
      <c r="ADZ272" s="120"/>
      <c r="AEA272" s="120"/>
      <c r="AEB272" s="120"/>
      <c r="AEC272" s="120"/>
      <c r="AED272" s="120"/>
      <c r="AEE272" s="120"/>
      <c r="AEF272" s="120"/>
      <c r="AEG272" s="120"/>
      <c r="AEH272" s="120"/>
      <c r="AEI272" s="120"/>
      <c r="AEJ272" s="120"/>
      <c r="AEK272" s="120"/>
      <c r="AEL272" s="120"/>
      <c r="AEM272" s="120"/>
      <c r="AEN272" s="120"/>
      <c r="AEO272" s="120"/>
      <c r="AEP272" s="120"/>
      <c r="AEQ272" s="120"/>
      <c r="AER272" s="120"/>
      <c r="AES272" s="120"/>
      <c r="AET272" s="120"/>
      <c r="AEU272" s="120"/>
      <c r="AEV272" s="120"/>
      <c r="AEW272" s="120"/>
      <c r="AEX272" s="120"/>
      <c r="AEY272" s="120"/>
      <c r="AEZ272" s="120"/>
      <c r="AFA272" s="120"/>
      <c r="AFB272" s="120"/>
      <c r="AFC272" s="120"/>
      <c r="AFD272" s="120"/>
      <c r="AFE272" s="120"/>
      <c r="AFF272" s="120"/>
      <c r="AFG272" s="120"/>
      <c r="AFH272" s="120"/>
      <c r="AFI272" s="120"/>
      <c r="AFJ272" s="120"/>
      <c r="AFK272" s="120"/>
      <c r="AFL272" s="120"/>
      <c r="AFM272" s="120"/>
      <c r="AFN272" s="120"/>
      <c r="AFO272" s="120"/>
      <c r="AFP272" s="120"/>
      <c r="AFQ272" s="120"/>
      <c r="AFR272" s="120"/>
      <c r="AFS272" s="120"/>
      <c r="AFT272" s="120"/>
      <c r="AFU272" s="120"/>
      <c r="AFV272" s="120"/>
      <c r="AFW272" s="120"/>
      <c r="AFX272" s="120"/>
      <c r="AFY272" s="120"/>
      <c r="AFZ272" s="120"/>
      <c r="AGA272" s="120"/>
      <c r="AGB272" s="120"/>
      <c r="AGC272" s="120"/>
      <c r="AGD272" s="120"/>
      <c r="AGE272" s="120"/>
      <c r="AGF272" s="120"/>
      <c r="AGG272" s="120"/>
      <c r="AGH272" s="120"/>
      <c r="AGI272" s="120"/>
      <c r="AGJ272" s="120"/>
      <c r="AGK272" s="120"/>
      <c r="AGL272" s="120"/>
      <c r="AGM272" s="120"/>
      <c r="AGN272" s="120"/>
      <c r="AGO272" s="120"/>
      <c r="AGP272" s="120"/>
      <c r="AGQ272" s="120"/>
      <c r="AGR272" s="120"/>
      <c r="AGS272" s="120"/>
      <c r="AGT272" s="120"/>
      <c r="AGU272" s="120"/>
      <c r="AGV272" s="120"/>
      <c r="AGW272" s="120"/>
      <c r="AGX272" s="120"/>
      <c r="AGY272" s="120"/>
      <c r="AGZ272" s="120"/>
      <c r="AHA272" s="120"/>
      <c r="AHB272" s="120"/>
      <c r="AHC272" s="120"/>
      <c r="AHD272" s="120"/>
      <c r="AHE272" s="120"/>
      <c r="AHF272" s="120"/>
      <c r="AHG272" s="120"/>
      <c r="AHH272" s="120"/>
      <c r="AHI272" s="120"/>
      <c r="AHJ272" s="120"/>
      <c r="AHK272" s="120"/>
      <c r="AHL272" s="120"/>
      <c r="AHM272" s="120"/>
      <c r="AHN272" s="120"/>
      <c r="AHO272" s="120"/>
      <c r="AHP272" s="120"/>
      <c r="AHQ272" s="120"/>
      <c r="AHR272" s="120"/>
      <c r="AHS272" s="120"/>
      <c r="AHT272" s="120"/>
      <c r="AHU272" s="120"/>
      <c r="AHV272" s="120"/>
      <c r="AHW272" s="120"/>
      <c r="AHX272" s="120"/>
      <c r="AHY272" s="120"/>
      <c r="AHZ272" s="120"/>
      <c r="AIA272" s="120"/>
      <c r="AIB272" s="120"/>
      <c r="AIC272" s="120"/>
      <c r="AID272" s="120"/>
      <c r="AIE272" s="120"/>
      <c r="AIF272" s="120"/>
      <c r="AIG272" s="120"/>
      <c r="AIH272" s="120"/>
      <c r="AII272" s="120"/>
      <c r="AIJ272" s="120"/>
      <c r="AIK272" s="120"/>
      <c r="AIL272" s="120"/>
      <c r="AIM272" s="120"/>
      <c r="AIN272" s="120"/>
      <c r="AIO272" s="120"/>
      <c r="AIP272" s="120"/>
      <c r="AIQ272" s="120"/>
      <c r="AIR272" s="120"/>
      <c r="AIS272" s="120"/>
      <c r="AIT272" s="120"/>
      <c r="AIU272" s="120"/>
      <c r="AIV272" s="120"/>
      <c r="AIW272" s="120"/>
      <c r="AIX272" s="120"/>
      <c r="AIY272" s="120"/>
      <c r="AIZ272" s="120"/>
    </row>
    <row r="273">
      <c r="A273" s="112" t="s">
        <v>35</v>
      </c>
      <c r="B273" s="112" t="s">
        <v>80</v>
      </c>
      <c r="C273" s="112"/>
      <c r="D273" s="113">
        <f t="shared" si="1"/>
        <v>567.8251833</v>
      </c>
      <c r="E273" s="112">
        <v>54.9844833333334</v>
      </c>
      <c r="F273" s="113"/>
      <c r="G273" s="113"/>
      <c r="H273" s="113"/>
      <c r="I273" s="113"/>
      <c r="J273" s="113"/>
      <c r="K273" s="113"/>
      <c r="L273" s="112">
        <v>0.561416666666667</v>
      </c>
      <c r="M273" s="112">
        <v>4.61923333333334</v>
      </c>
      <c r="N273" s="113"/>
      <c r="O273" s="113"/>
      <c r="P273" s="112">
        <v>105.007266666667</v>
      </c>
      <c r="Q273" s="113"/>
      <c r="R273" s="113"/>
      <c r="S273" s="113"/>
      <c r="T273" s="113"/>
      <c r="U273" s="113"/>
      <c r="V273" s="112">
        <v>1.59476666666667</v>
      </c>
      <c r="W273" s="112">
        <v>117.357166666667</v>
      </c>
      <c r="X273" s="113"/>
      <c r="Y273" s="113"/>
      <c r="Z273" s="113"/>
      <c r="AA273" s="113"/>
      <c r="AB273" s="113"/>
      <c r="AC273" s="112">
        <v>1.11133333333333</v>
      </c>
      <c r="AD273" s="112">
        <v>53.5593333333334</v>
      </c>
      <c r="AE273" s="113"/>
      <c r="AF273" s="113"/>
      <c r="AG273" s="113"/>
      <c r="AH273" s="113"/>
      <c r="AI273" s="113"/>
      <c r="AJ273" s="112">
        <v>0.593666666666667</v>
      </c>
      <c r="AK273" s="112">
        <v>39.4029666666667</v>
      </c>
      <c r="AL273" s="113"/>
      <c r="AM273" s="113"/>
      <c r="AN273" s="113"/>
      <c r="AO273" s="112">
        <v>3.78895</v>
      </c>
      <c r="AP273" s="112">
        <v>5.70441666666667</v>
      </c>
      <c r="AQ273" s="113"/>
      <c r="AR273" s="113"/>
      <c r="AS273" s="112">
        <v>0.609566666666667</v>
      </c>
      <c r="AT273" s="112">
        <v>172.819333333334</v>
      </c>
      <c r="AU273" s="113"/>
      <c r="AV273" s="112">
        <v>4.88085</v>
      </c>
      <c r="AW273" s="112">
        <v>1.23043333333333</v>
      </c>
      <c r="AX273" s="113"/>
      <c r="AY273" s="113"/>
      <c r="AZ273" s="113"/>
      <c r="BA273" s="113"/>
      <c r="BB273" s="113"/>
      <c r="BC273" s="113"/>
      <c r="BD273" s="113"/>
      <c r="BE273" s="113"/>
      <c r="BF273" s="113"/>
      <c r="BG273" s="113"/>
      <c r="BH273" s="113"/>
      <c r="BI273" s="113"/>
      <c r="BJ273" s="113"/>
      <c r="BK273" s="113"/>
      <c r="BL273" s="113"/>
      <c r="BM273" s="113"/>
      <c r="BN273" s="113"/>
      <c r="BO273" s="113"/>
      <c r="BP273" s="113"/>
      <c r="BQ273" s="113"/>
      <c r="BR273" s="113"/>
      <c r="BS273" s="113"/>
      <c r="BT273" s="113"/>
      <c r="BU273" s="113"/>
      <c r="BV273" s="113"/>
      <c r="BW273" s="113"/>
      <c r="BX273" s="113"/>
      <c r="BY273" s="113"/>
      <c r="BZ273" s="113"/>
      <c r="CA273" s="113"/>
      <c r="CB273" s="113"/>
      <c r="CC273" s="113"/>
      <c r="CD273" s="113"/>
      <c r="CE273" s="113"/>
      <c r="CF273" s="113"/>
      <c r="CG273" s="113"/>
      <c r="CH273" s="113"/>
      <c r="CI273" s="113"/>
      <c r="CJ273" s="113"/>
      <c r="CK273" s="113"/>
      <c r="CL273" s="113"/>
      <c r="CM273" s="113"/>
      <c r="CN273" s="113"/>
      <c r="CO273" s="113"/>
      <c r="CP273" s="113"/>
      <c r="CQ273" s="113"/>
      <c r="CR273" s="113"/>
      <c r="CS273" s="113"/>
      <c r="CT273" s="113"/>
      <c r="CU273" s="113"/>
      <c r="CV273" s="113"/>
      <c r="CW273" s="113"/>
      <c r="CX273" s="113"/>
      <c r="CY273" s="113"/>
      <c r="CZ273" s="113"/>
      <c r="DA273" s="113"/>
      <c r="DB273" s="113"/>
      <c r="DC273" s="113"/>
      <c r="DD273" s="113"/>
      <c r="DE273" s="113"/>
      <c r="DF273" s="113"/>
      <c r="DG273" s="113"/>
      <c r="DH273" s="113"/>
      <c r="DI273" s="113"/>
      <c r="DJ273" s="113"/>
      <c r="DK273" s="113"/>
      <c r="DL273" s="113"/>
      <c r="DM273" s="113"/>
      <c r="DN273" s="113"/>
      <c r="DO273" s="113"/>
      <c r="DP273" s="113"/>
      <c r="DQ273" s="113"/>
      <c r="DR273" s="113"/>
      <c r="DS273" s="113"/>
      <c r="DT273" s="113"/>
      <c r="DU273" s="113"/>
      <c r="DV273" s="113"/>
      <c r="DW273" s="113"/>
      <c r="DX273" s="113"/>
      <c r="DY273" s="113"/>
      <c r="DZ273" s="113"/>
      <c r="EA273" s="113"/>
      <c r="EB273" s="113"/>
      <c r="EC273" s="113"/>
      <c r="ED273" s="113"/>
      <c r="EE273" s="113"/>
      <c r="EF273" s="113"/>
      <c r="EG273" s="113"/>
      <c r="EH273" s="113"/>
      <c r="EI273" s="113"/>
      <c r="EJ273" s="113"/>
      <c r="EK273" s="113"/>
      <c r="EL273" s="113"/>
      <c r="EM273" s="113"/>
      <c r="EN273" s="113"/>
      <c r="EO273" s="113"/>
      <c r="EP273" s="113"/>
      <c r="EQ273" s="113"/>
      <c r="ER273" s="113"/>
      <c r="ES273" s="113"/>
      <c r="ET273" s="113"/>
      <c r="EU273" s="113"/>
      <c r="EV273" s="113"/>
      <c r="EW273" s="113"/>
      <c r="EX273" s="113"/>
      <c r="EY273" s="113"/>
      <c r="EZ273" s="113"/>
      <c r="FA273" s="113"/>
      <c r="FB273" s="113"/>
      <c r="FC273" s="113"/>
      <c r="FD273" s="113"/>
      <c r="FE273" s="113"/>
      <c r="FF273" s="113"/>
      <c r="FG273" s="113"/>
      <c r="FH273" s="113"/>
      <c r="FI273" s="113"/>
      <c r="FJ273" s="113"/>
      <c r="FK273" s="113"/>
      <c r="FL273" s="113"/>
      <c r="FM273" s="113"/>
      <c r="FN273" s="113"/>
      <c r="FO273" s="113"/>
      <c r="FP273" s="113"/>
      <c r="FQ273" s="113"/>
      <c r="FR273" s="113"/>
      <c r="FS273" s="113"/>
      <c r="FT273" s="113"/>
      <c r="FU273" s="113"/>
      <c r="FV273" s="113"/>
      <c r="FW273" s="113"/>
      <c r="FX273" s="113"/>
      <c r="FY273" s="113"/>
      <c r="FZ273" s="113"/>
      <c r="GA273" s="113"/>
      <c r="GB273" s="113"/>
      <c r="GC273" s="113"/>
      <c r="GD273" s="113"/>
      <c r="GE273" s="113"/>
      <c r="GF273" s="113"/>
      <c r="GG273" s="113"/>
      <c r="GH273" s="113"/>
      <c r="GI273" s="113"/>
      <c r="GJ273" s="113"/>
      <c r="GK273" s="113"/>
      <c r="GL273" s="113"/>
      <c r="GM273" s="113"/>
      <c r="GN273" s="113"/>
      <c r="GO273" s="113"/>
      <c r="GP273" s="113"/>
      <c r="GQ273" s="113"/>
      <c r="GR273" s="113"/>
      <c r="GS273" s="113"/>
      <c r="GT273" s="113"/>
      <c r="GU273" s="113"/>
      <c r="GV273" s="113"/>
      <c r="GW273" s="113"/>
      <c r="GX273" s="113"/>
      <c r="GY273" s="113"/>
      <c r="GZ273" s="113"/>
      <c r="HA273" s="113"/>
      <c r="HB273" s="113"/>
      <c r="HC273" s="113"/>
      <c r="HD273" s="113"/>
      <c r="HE273" s="113"/>
      <c r="HF273" s="113"/>
      <c r="HG273" s="113"/>
      <c r="HH273" s="113"/>
      <c r="HI273" s="113"/>
      <c r="HJ273" s="113"/>
      <c r="HK273" s="113"/>
      <c r="HL273" s="113"/>
      <c r="HM273" s="113"/>
      <c r="HN273" s="113"/>
      <c r="HO273" s="113"/>
      <c r="HP273" s="113"/>
      <c r="HQ273" s="113"/>
      <c r="HR273" s="113"/>
      <c r="HS273" s="113"/>
      <c r="HT273" s="113"/>
      <c r="HU273" s="113"/>
      <c r="HV273" s="113"/>
      <c r="HW273" s="113"/>
      <c r="HX273" s="113"/>
      <c r="HY273" s="113"/>
      <c r="HZ273" s="113"/>
      <c r="IA273" s="113"/>
      <c r="IB273" s="113"/>
      <c r="IC273" s="113"/>
      <c r="ID273" s="113"/>
      <c r="IE273" s="113"/>
      <c r="IF273" s="113"/>
      <c r="IG273" s="113"/>
      <c r="IH273" s="113"/>
      <c r="II273" s="113"/>
      <c r="IJ273" s="113"/>
      <c r="IK273" s="113"/>
      <c r="IL273" s="113"/>
      <c r="IM273" s="113"/>
      <c r="IN273" s="113"/>
      <c r="IO273" s="113"/>
      <c r="IP273" s="113"/>
      <c r="IQ273" s="113"/>
      <c r="IR273" s="113"/>
      <c r="IS273" s="113"/>
      <c r="IT273" s="113"/>
      <c r="IU273" s="113"/>
      <c r="IV273" s="113"/>
      <c r="IW273" s="113"/>
      <c r="IX273" s="113"/>
      <c r="IY273" s="113"/>
      <c r="IZ273" s="113"/>
      <c r="JA273" s="113"/>
      <c r="JB273" s="113"/>
      <c r="JC273" s="113"/>
      <c r="JD273" s="113"/>
      <c r="JE273" s="113"/>
      <c r="JF273" s="113"/>
      <c r="JG273" s="113"/>
      <c r="JH273" s="113"/>
      <c r="JI273" s="113"/>
      <c r="JJ273" s="113"/>
      <c r="JK273" s="113"/>
      <c r="JL273" s="113"/>
      <c r="JM273" s="113"/>
      <c r="JN273" s="113"/>
      <c r="JO273" s="113"/>
      <c r="JP273" s="113"/>
      <c r="JQ273" s="113"/>
      <c r="JR273" s="113"/>
      <c r="JS273" s="113"/>
      <c r="JT273" s="113"/>
      <c r="JU273" s="113"/>
      <c r="JV273" s="113"/>
      <c r="JW273" s="113"/>
      <c r="JX273" s="113"/>
      <c r="JY273" s="113"/>
      <c r="JZ273" s="113"/>
      <c r="KA273" s="113"/>
      <c r="KB273" s="113"/>
      <c r="KC273" s="113"/>
      <c r="KD273" s="113"/>
      <c r="KE273" s="113"/>
      <c r="KF273" s="113"/>
      <c r="KG273" s="113"/>
      <c r="KH273" s="113"/>
      <c r="KI273" s="113"/>
      <c r="KJ273" s="113"/>
      <c r="KK273" s="113"/>
      <c r="KL273" s="113"/>
      <c r="KM273" s="113"/>
      <c r="KN273" s="113"/>
      <c r="KO273" s="113"/>
      <c r="KP273" s="113"/>
      <c r="KQ273" s="113"/>
      <c r="KR273" s="113"/>
      <c r="KS273" s="113"/>
      <c r="KT273" s="113"/>
      <c r="KU273" s="113"/>
      <c r="KV273" s="113"/>
      <c r="KW273" s="113"/>
      <c r="KX273" s="113"/>
      <c r="KY273" s="113"/>
      <c r="KZ273" s="113"/>
      <c r="LA273" s="113"/>
      <c r="LB273" s="113"/>
      <c r="LC273" s="113"/>
      <c r="LD273" s="113"/>
      <c r="LE273" s="113"/>
      <c r="LF273" s="113"/>
      <c r="LG273" s="113"/>
      <c r="LH273" s="113"/>
      <c r="LI273" s="113"/>
      <c r="LJ273" s="113"/>
      <c r="LK273" s="113"/>
      <c r="LL273" s="113"/>
      <c r="LM273" s="113"/>
      <c r="LN273" s="113"/>
      <c r="LO273" s="113"/>
      <c r="LP273" s="113"/>
      <c r="LQ273" s="113"/>
      <c r="LR273" s="113"/>
      <c r="LS273" s="113"/>
      <c r="LT273" s="113"/>
      <c r="LU273" s="113"/>
      <c r="LV273" s="113"/>
      <c r="LW273" s="113"/>
      <c r="LX273" s="113"/>
      <c r="LY273" s="113"/>
      <c r="LZ273" s="113"/>
      <c r="MA273" s="113"/>
      <c r="MB273" s="113"/>
      <c r="MC273" s="113"/>
      <c r="MD273" s="113"/>
      <c r="ME273" s="113"/>
      <c r="MF273" s="113"/>
      <c r="MG273" s="113"/>
      <c r="MH273" s="113"/>
      <c r="MI273" s="113"/>
      <c r="MJ273" s="113"/>
      <c r="MK273" s="113"/>
      <c r="ML273" s="113"/>
      <c r="MM273" s="113"/>
      <c r="MN273" s="113"/>
      <c r="MO273" s="113"/>
      <c r="MP273" s="113"/>
      <c r="MQ273" s="113"/>
      <c r="MR273" s="113"/>
      <c r="MS273" s="113"/>
      <c r="MT273" s="113"/>
      <c r="MU273" s="113"/>
      <c r="MV273" s="113"/>
      <c r="MW273" s="113"/>
      <c r="MX273" s="113"/>
      <c r="MY273" s="113"/>
      <c r="MZ273" s="113"/>
      <c r="NA273" s="113"/>
      <c r="NB273" s="113"/>
      <c r="NC273" s="113"/>
      <c r="ND273" s="113"/>
      <c r="NE273" s="113"/>
      <c r="NF273" s="113"/>
      <c r="NG273" s="113"/>
      <c r="NH273" s="113"/>
      <c r="NI273" s="113"/>
      <c r="NJ273" s="113"/>
      <c r="NK273" s="113"/>
      <c r="NL273" s="113"/>
      <c r="NM273" s="113"/>
      <c r="NN273" s="113"/>
      <c r="NO273" s="113"/>
      <c r="NP273" s="113"/>
      <c r="NQ273" s="113"/>
      <c r="NR273" s="113"/>
      <c r="NS273" s="113"/>
      <c r="NT273" s="113"/>
      <c r="NU273" s="113"/>
      <c r="NV273" s="113"/>
      <c r="NW273" s="113"/>
      <c r="NX273" s="113"/>
      <c r="NY273" s="113"/>
      <c r="NZ273" s="113"/>
      <c r="OA273" s="113"/>
      <c r="OB273" s="113"/>
      <c r="OC273" s="113"/>
      <c r="OD273" s="113"/>
      <c r="OE273" s="113"/>
      <c r="OF273" s="113"/>
      <c r="OG273" s="113"/>
      <c r="OH273" s="113"/>
      <c r="OI273" s="113"/>
      <c r="OJ273" s="113"/>
      <c r="OK273" s="113"/>
      <c r="OL273" s="113"/>
      <c r="OM273" s="113"/>
      <c r="ON273" s="113"/>
      <c r="OO273" s="113"/>
      <c r="OP273" s="113"/>
      <c r="OQ273" s="113"/>
      <c r="OR273" s="113"/>
      <c r="OS273" s="113"/>
      <c r="OT273" s="113"/>
      <c r="OU273" s="113"/>
      <c r="OV273" s="113"/>
      <c r="OW273" s="113"/>
      <c r="OX273" s="113"/>
      <c r="OY273" s="113"/>
      <c r="OZ273" s="113"/>
      <c r="PA273" s="113"/>
      <c r="PB273" s="113"/>
      <c r="PC273" s="113"/>
      <c r="PD273" s="113"/>
      <c r="PE273" s="113"/>
      <c r="PF273" s="113"/>
      <c r="PG273" s="113"/>
      <c r="PH273" s="113"/>
      <c r="PI273" s="113"/>
      <c r="PJ273" s="113"/>
      <c r="PK273" s="113"/>
      <c r="PL273" s="113"/>
      <c r="PM273" s="113"/>
      <c r="PN273" s="113"/>
      <c r="PO273" s="113"/>
      <c r="PP273" s="113"/>
      <c r="PQ273" s="113"/>
      <c r="PR273" s="113"/>
      <c r="PS273" s="113"/>
      <c r="PT273" s="113"/>
      <c r="PU273" s="113"/>
      <c r="PV273" s="113"/>
      <c r="PW273" s="113"/>
      <c r="PX273" s="113"/>
      <c r="PY273" s="113"/>
      <c r="PZ273" s="113"/>
      <c r="QA273" s="113"/>
      <c r="QB273" s="113"/>
      <c r="QC273" s="113"/>
      <c r="QD273" s="113"/>
      <c r="QE273" s="113"/>
      <c r="QF273" s="113"/>
      <c r="QG273" s="113"/>
      <c r="QH273" s="113"/>
      <c r="QI273" s="113"/>
      <c r="QJ273" s="113"/>
      <c r="QK273" s="113"/>
      <c r="QL273" s="113"/>
      <c r="QM273" s="113"/>
      <c r="QN273" s="113"/>
      <c r="QO273" s="113"/>
      <c r="QP273" s="113"/>
      <c r="QQ273" s="113"/>
      <c r="QR273" s="113"/>
      <c r="QS273" s="113"/>
      <c r="QT273" s="113"/>
      <c r="QU273" s="113"/>
      <c r="QV273" s="113"/>
      <c r="QW273" s="113"/>
      <c r="QX273" s="113"/>
      <c r="QY273" s="113"/>
      <c r="QZ273" s="113"/>
      <c r="RA273" s="113"/>
      <c r="RB273" s="113"/>
      <c r="RC273" s="113"/>
      <c r="RD273" s="113"/>
      <c r="RE273" s="113"/>
      <c r="RF273" s="113"/>
      <c r="RG273" s="113"/>
      <c r="RH273" s="113"/>
      <c r="RI273" s="113"/>
      <c r="RJ273" s="113"/>
      <c r="RK273" s="113"/>
      <c r="RL273" s="113"/>
      <c r="RM273" s="113"/>
      <c r="RN273" s="113"/>
      <c r="RO273" s="113"/>
      <c r="RP273" s="113"/>
      <c r="RQ273" s="113"/>
      <c r="RR273" s="113"/>
      <c r="RS273" s="113"/>
      <c r="RT273" s="113"/>
      <c r="RU273" s="113"/>
      <c r="RV273" s="113"/>
      <c r="RW273" s="113"/>
      <c r="RX273" s="113"/>
      <c r="RY273" s="113"/>
      <c r="RZ273" s="113"/>
      <c r="SA273" s="113"/>
      <c r="SB273" s="113"/>
      <c r="SC273" s="113"/>
      <c r="SD273" s="113"/>
      <c r="SE273" s="113"/>
      <c r="SF273" s="113"/>
      <c r="SG273" s="113"/>
      <c r="SH273" s="113"/>
      <c r="SI273" s="113"/>
      <c r="SJ273" s="113"/>
      <c r="SK273" s="113"/>
      <c r="SL273" s="113"/>
      <c r="SM273" s="113"/>
      <c r="SN273" s="113"/>
      <c r="SO273" s="113"/>
      <c r="SP273" s="113"/>
      <c r="SQ273" s="113"/>
      <c r="SR273" s="113"/>
      <c r="SS273" s="113"/>
      <c r="ST273" s="113"/>
      <c r="SU273" s="113"/>
      <c r="SV273" s="113"/>
      <c r="SW273" s="113"/>
      <c r="SX273" s="113"/>
      <c r="SY273" s="113"/>
      <c r="SZ273" s="113"/>
      <c r="TA273" s="113"/>
      <c r="TB273" s="113"/>
      <c r="TC273" s="113"/>
      <c r="TD273" s="113"/>
      <c r="TE273" s="113"/>
      <c r="TF273" s="113"/>
      <c r="TG273" s="113"/>
      <c r="TH273" s="113"/>
      <c r="TI273" s="113"/>
      <c r="TJ273" s="113"/>
      <c r="TK273" s="113"/>
      <c r="TL273" s="113"/>
      <c r="TM273" s="113"/>
      <c r="TN273" s="113"/>
      <c r="TO273" s="113"/>
      <c r="TP273" s="113"/>
      <c r="TQ273" s="113"/>
      <c r="TR273" s="113"/>
      <c r="TS273" s="113"/>
      <c r="TT273" s="113"/>
      <c r="TU273" s="113"/>
      <c r="TV273" s="113"/>
      <c r="TW273" s="113"/>
      <c r="TX273" s="113"/>
      <c r="TY273" s="113"/>
      <c r="TZ273" s="113"/>
      <c r="UA273" s="113"/>
      <c r="UB273" s="113"/>
      <c r="UC273" s="113"/>
      <c r="UD273" s="113"/>
      <c r="UE273" s="113"/>
      <c r="UF273" s="113"/>
      <c r="UG273" s="113"/>
      <c r="UH273" s="113"/>
      <c r="UI273" s="113"/>
      <c r="UJ273" s="113"/>
      <c r="UK273" s="113"/>
      <c r="UL273" s="113"/>
      <c r="UM273" s="113"/>
      <c r="UN273" s="113"/>
      <c r="UO273" s="113"/>
      <c r="UP273" s="113"/>
      <c r="UQ273" s="113"/>
      <c r="UR273" s="113"/>
      <c r="US273" s="113"/>
      <c r="UT273" s="113"/>
      <c r="UU273" s="113"/>
      <c r="UV273" s="113"/>
      <c r="UW273" s="113"/>
      <c r="UX273" s="113"/>
      <c r="UY273" s="113"/>
      <c r="UZ273" s="113"/>
      <c r="VA273" s="113"/>
      <c r="VB273" s="113"/>
      <c r="VC273" s="113"/>
      <c r="VD273" s="113"/>
      <c r="VE273" s="113"/>
      <c r="VF273" s="113"/>
      <c r="VG273" s="113"/>
      <c r="VH273" s="113"/>
      <c r="VI273" s="113"/>
      <c r="VJ273" s="113"/>
      <c r="VK273" s="113"/>
      <c r="VL273" s="113"/>
      <c r="VM273" s="113"/>
      <c r="VN273" s="113"/>
      <c r="VO273" s="113"/>
      <c r="VP273" s="113"/>
      <c r="VQ273" s="113"/>
      <c r="VR273" s="113"/>
      <c r="VS273" s="113"/>
      <c r="VT273" s="113"/>
      <c r="VU273" s="113"/>
      <c r="VV273" s="113"/>
      <c r="VW273" s="113"/>
      <c r="VX273" s="113"/>
      <c r="VY273" s="113"/>
      <c r="VZ273" s="113"/>
      <c r="WA273" s="113"/>
      <c r="WB273" s="113"/>
      <c r="WC273" s="113"/>
      <c r="WD273" s="113"/>
      <c r="WE273" s="113"/>
      <c r="WF273" s="113"/>
      <c r="WG273" s="113"/>
      <c r="WH273" s="113"/>
      <c r="WI273" s="113"/>
      <c r="WJ273" s="113"/>
      <c r="WK273" s="113"/>
      <c r="WL273" s="113"/>
      <c r="WM273" s="113"/>
      <c r="WN273" s="113"/>
      <c r="WO273" s="113"/>
      <c r="WP273" s="113"/>
      <c r="WQ273" s="113"/>
      <c r="WR273" s="113"/>
      <c r="WS273" s="113"/>
      <c r="WT273" s="113"/>
      <c r="WU273" s="113"/>
      <c r="WV273" s="113"/>
      <c r="WW273" s="113"/>
      <c r="WX273" s="113"/>
      <c r="WY273" s="113"/>
      <c r="WZ273" s="113"/>
      <c r="XA273" s="113"/>
      <c r="XB273" s="113"/>
      <c r="XC273" s="113"/>
      <c r="XD273" s="113"/>
      <c r="XE273" s="113"/>
      <c r="XF273" s="113"/>
      <c r="XG273" s="113"/>
      <c r="XH273" s="113"/>
      <c r="XI273" s="113"/>
      <c r="XJ273" s="113"/>
      <c r="XK273" s="113"/>
      <c r="XL273" s="113"/>
      <c r="XM273" s="113"/>
      <c r="XN273" s="113"/>
      <c r="XO273" s="113"/>
      <c r="XP273" s="113"/>
      <c r="XQ273" s="113"/>
      <c r="XR273" s="113"/>
      <c r="XS273" s="113"/>
      <c r="XT273" s="113"/>
      <c r="XU273" s="113"/>
      <c r="XV273" s="113"/>
      <c r="XW273" s="113"/>
      <c r="XX273" s="113"/>
      <c r="XY273" s="113"/>
      <c r="XZ273" s="113"/>
      <c r="YA273" s="113"/>
      <c r="YB273" s="113"/>
      <c r="YC273" s="113"/>
      <c r="YD273" s="113"/>
      <c r="YE273" s="113"/>
      <c r="YF273" s="113"/>
      <c r="YG273" s="113"/>
      <c r="YH273" s="113"/>
      <c r="YI273" s="113"/>
      <c r="YJ273" s="113"/>
      <c r="YK273" s="113"/>
      <c r="YL273" s="113"/>
      <c r="YM273" s="113"/>
      <c r="YN273" s="113"/>
      <c r="YO273" s="113"/>
      <c r="YP273" s="113"/>
      <c r="YQ273" s="113"/>
      <c r="YR273" s="113"/>
      <c r="YS273" s="113"/>
      <c r="YT273" s="113"/>
      <c r="YU273" s="113"/>
      <c r="YV273" s="113"/>
      <c r="YW273" s="113"/>
      <c r="YX273" s="113"/>
      <c r="YY273" s="113"/>
      <c r="YZ273" s="113"/>
      <c r="ZA273" s="113"/>
      <c r="ZB273" s="113"/>
      <c r="ZC273" s="113"/>
      <c r="ZD273" s="113"/>
      <c r="ZE273" s="113"/>
      <c r="ZF273" s="113"/>
      <c r="ZG273" s="113"/>
      <c r="ZH273" s="113"/>
      <c r="ZI273" s="113"/>
      <c r="ZJ273" s="113"/>
      <c r="ZK273" s="113"/>
      <c r="ZL273" s="113"/>
      <c r="ZM273" s="113"/>
      <c r="ZN273" s="113"/>
      <c r="ZO273" s="113"/>
      <c r="ZP273" s="113"/>
      <c r="ZQ273" s="113"/>
      <c r="ZR273" s="113"/>
      <c r="ZS273" s="113"/>
      <c r="ZT273" s="113"/>
      <c r="ZU273" s="113"/>
      <c r="ZV273" s="113"/>
      <c r="ZW273" s="113"/>
      <c r="ZX273" s="113"/>
      <c r="ZY273" s="113"/>
      <c r="ZZ273" s="113"/>
      <c r="AAA273" s="113"/>
      <c r="AAB273" s="113"/>
      <c r="AAC273" s="113"/>
      <c r="AAD273" s="113"/>
      <c r="AAE273" s="113"/>
      <c r="AAF273" s="113"/>
      <c r="AAG273" s="113"/>
      <c r="AAH273" s="113"/>
      <c r="AAI273" s="113"/>
      <c r="AAJ273" s="113"/>
      <c r="AAK273" s="113"/>
      <c r="AAL273" s="113"/>
      <c r="AAM273" s="113"/>
      <c r="AAN273" s="113"/>
      <c r="AAO273" s="113"/>
      <c r="AAP273" s="113"/>
      <c r="AAQ273" s="113"/>
      <c r="AAR273" s="113"/>
      <c r="AAS273" s="113"/>
      <c r="AAT273" s="113"/>
      <c r="AAU273" s="113"/>
      <c r="AAV273" s="113"/>
      <c r="AAW273" s="113"/>
      <c r="AAX273" s="113"/>
      <c r="AAY273" s="113"/>
      <c r="AAZ273" s="113"/>
      <c r="ABA273" s="113"/>
      <c r="ABB273" s="113"/>
      <c r="ABC273" s="113"/>
      <c r="ABD273" s="113"/>
      <c r="ABE273" s="113"/>
      <c r="ABF273" s="113"/>
      <c r="ABG273" s="113"/>
      <c r="ABH273" s="113"/>
      <c r="ABI273" s="113"/>
      <c r="ABJ273" s="113"/>
      <c r="ABK273" s="113"/>
      <c r="ABL273" s="113"/>
      <c r="ABM273" s="113"/>
      <c r="ABN273" s="113"/>
      <c r="ABO273" s="113"/>
      <c r="ABP273" s="113"/>
      <c r="ABQ273" s="113"/>
      <c r="ABR273" s="113"/>
      <c r="ABS273" s="113"/>
      <c r="ABT273" s="113"/>
      <c r="ABU273" s="113"/>
      <c r="ABV273" s="113"/>
      <c r="ABW273" s="113"/>
      <c r="ABX273" s="113"/>
      <c r="ABY273" s="113"/>
      <c r="ABZ273" s="113"/>
      <c r="ACA273" s="113"/>
      <c r="ACB273" s="113"/>
      <c r="ACC273" s="113"/>
      <c r="ACD273" s="113"/>
      <c r="ACE273" s="113"/>
      <c r="ACF273" s="113"/>
      <c r="ACG273" s="113"/>
      <c r="ACH273" s="113"/>
      <c r="ACI273" s="113"/>
      <c r="ACJ273" s="113"/>
      <c r="ACK273" s="113"/>
      <c r="ACL273" s="113"/>
      <c r="ACM273" s="113"/>
      <c r="ACN273" s="113"/>
      <c r="ACO273" s="113"/>
      <c r="ACP273" s="113"/>
      <c r="ACQ273" s="113"/>
      <c r="ACR273" s="113"/>
      <c r="ACS273" s="113"/>
      <c r="ACT273" s="113"/>
      <c r="ACU273" s="113"/>
      <c r="ACV273" s="113"/>
      <c r="ACW273" s="113"/>
      <c r="ACX273" s="113"/>
      <c r="ACY273" s="113"/>
      <c r="ACZ273" s="113"/>
      <c r="ADA273" s="113"/>
      <c r="ADB273" s="113"/>
      <c r="ADC273" s="113"/>
      <c r="ADD273" s="113"/>
      <c r="ADE273" s="113"/>
      <c r="ADF273" s="113"/>
      <c r="ADG273" s="113"/>
      <c r="ADH273" s="113"/>
      <c r="ADI273" s="113"/>
      <c r="ADJ273" s="113"/>
      <c r="ADK273" s="113"/>
      <c r="ADL273" s="113"/>
      <c r="ADM273" s="113"/>
      <c r="ADN273" s="113"/>
      <c r="ADO273" s="113"/>
      <c r="ADP273" s="113"/>
      <c r="ADQ273" s="113"/>
      <c r="ADR273" s="113"/>
      <c r="ADS273" s="113"/>
      <c r="ADT273" s="113"/>
      <c r="ADU273" s="113"/>
      <c r="ADV273" s="113"/>
      <c r="ADW273" s="113"/>
      <c r="ADX273" s="113"/>
      <c r="ADY273" s="113"/>
      <c r="ADZ273" s="113"/>
      <c r="AEA273" s="113"/>
      <c r="AEB273" s="113"/>
      <c r="AEC273" s="113"/>
      <c r="AED273" s="113"/>
      <c r="AEE273" s="113"/>
      <c r="AEF273" s="113"/>
      <c r="AEG273" s="113"/>
      <c r="AEH273" s="113"/>
      <c r="AEI273" s="113"/>
      <c r="AEJ273" s="113"/>
      <c r="AEK273" s="113"/>
      <c r="AEL273" s="113"/>
      <c r="AEM273" s="113"/>
      <c r="AEN273" s="113"/>
      <c r="AEO273" s="113"/>
      <c r="AEP273" s="113"/>
      <c r="AEQ273" s="113"/>
      <c r="AER273" s="113"/>
      <c r="AES273" s="113"/>
      <c r="AET273" s="113"/>
      <c r="AEU273" s="113"/>
      <c r="AEV273" s="113"/>
      <c r="AEW273" s="113"/>
      <c r="AEX273" s="113"/>
      <c r="AEY273" s="113"/>
      <c r="AEZ273" s="113"/>
      <c r="AFA273" s="113"/>
      <c r="AFB273" s="113"/>
      <c r="AFC273" s="113"/>
      <c r="AFD273" s="113"/>
      <c r="AFE273" s="113"/>
      <c r="AFF273" s="113"/>
      <c r="AFG273" s="113"/>
      <c r="AFH273" s="113"/>
      <c r="AFI273" s="113"/>
      <c r="AFJ273" s="113"/>
      <c r="AFK273" s="113"/>
      <c r="AFL273" s="113"/>
      <c r="AFM273" s="113"/>
      <c r="AFN273" s="113"/>
      <c r="AFO273" s="113"/>
      <c r="AFP273" s="113"/>
      <c r="AFQ273" s="113"/>
      <c r="AFR273" s="113"/>
      <c r="AFS273" s="113"/>
      <c r="AFT273" s="113"/>
      <c r="AFU273" s="113"/>
      <c r="AFV273" s="113"/>
      <c r="AFW273" s="113"/>
      <c r="AFX273" s="113"/>
      <c r="AFY273" s="113"/>
      <c r="AFZ273" s="113"/>
      <c r="AGA273" s="113"/>
      <c r="AGB273" s="113"/>
      <c r="AGC273" s="113"/>
      <c r="AGD273" s="113"/>
      <c r="AGE273" s="113"/>
      <c r="AGF273" s="113"/>
      <c r="AGG273" s="113"/>
      <c r="AGH273" s="113"/>
      <c r="AGI273" s="113"/>
      <c r="AGJ273" s="113"/>
      <c r="AGK273" s="113"/>
      <c r="AGL273" s="113"/>
      <c r="AGM273" s="113"/>
      <c r="AGN273" s="113"/>
      <c r="AGO273" s="113"/>
      <c r="AGP273" s="113"/>
      <c r="AGQ273" s="113"/>
      <c r="AGR273" s="113"/>
      <c r="AGS273" s="113"/>
      <c r="AGT273" s="113"/>
      <c r="AGU273" s="113"/>
      <c r="AGV273" s="113"/>
      <c r="AGW273" s="113"/>
      <c r="AGX273" s="113"/>
      <c r="AGY273" s="113"/>
      <c r="AGZ273" s="113"/>
      <c r="AHA273" s="113"/>
      <c r="AHB273" s="113"/>
      <c r="AHC273" s="113"/>
      <c r="AHD273" s="113"/>
      <c r="AHE273" s="113"/>
      <c r="AHF273" s="113"/>
      <c r="AHG273" s="113"/>
      <c r="AHH273" s="113"/>
      <c r="AHI273" s="113"/>
      <c r="AHJ273" s="113"/>
      <c r="AHK273" s="113"/>
      <c r="AHL273" s="113"/>
      <c r="AHM273" s="113"/>
      <c r="AHN273" s="113"/>
      <c r="AHO273" s="113"/>
      <c r="AHP273" s="113"/>
      <c r="AHQ273" s="113"/>
      <c r="AHR273" s="113"/>
      <c r="AHS273" s="113"/>
      <c r="AHT273" s="113"/>
      <c r="AHU273" s="113"/>
      <c r="AHV273" s="113"/>
      <c r="AHW273" s="113"/>
      <c r="AHX273" s="113"/>
      <c r="AHY273" s="113"/>
      <c r="AHZ273" s="113"/>
      <c r="AIA273" s="113"/>
      <c r="AIB273" s="113"/>
      <c r="AIC273" s="113"/>
      <c r="AID273" s="113"/>
      <c r="AIE273" s="113"/>
      <c r="AIF273" s="113"/>
      <c r="AIG273" s="113"/>
      <c r="AIH273" s="113"/>
      <c r="AII273" s="113"/>
      <c r="AIJ273" s="113"/>
      <c r="AIK273" s="113"/>
      <c r="AIL273" s="113"/>
      <c r="AIM273" s="113"/>
      <c r="AIN273" s="113"/>
      <c r="AIO273" s="113"/>
      <c r="AIP273" s="113"/>
      <c r="AIQ273" s="113"/>
      <c r="AIR273" s="113"/>
      <c r="AIS273" s="113"/>
      <c r="AIT273" s="113"/>
      <c r="AIU273" s="113"/>
      <c r="AIV273" s="113"/>
      <c r="AIW273" s="113"/>
      <c r="AIX273" s="113"/>
      <c r="AIY273" s="113"/>
      <c r="AIZ273" s="113"/>
    </row>
    <row r="274">
      <c r="A274" s="65" t="s">
        <v>35</v>
      </c>
      <c r="B274" s="65" t="s">
        <v>80</v>
      </c>
      <c r="C274" s="65"/>
      <c r="D274" s="64">
        <f t="shared" si="1"/>
        <v>316.3572833</v>
      </c>
      <c r="G274" s="65">
        <v>3.69315</v>
      </c>
      <c r="H274" s="65">
        <v>9.30811666666667</v>
      </c>
      <c r="I274" s="65">
        <v>12.61135</v>
      </c>
      <c r="J274" s="65">
        <v>6.574</v>
      </c>
      <c r="K274" s="65">
        <v>3.98298333333333</v>
      </c>
      <c r="N274" s="65">
        <v>2.29243333333333</v>
      </c>
      <c r="R274" s="65">
        <v>0.3914</v>
      </c>
      <c r="S274" s="65">
        <v>3.1414</v>
      </c>
      <c r="T274" s="65">
        <v>18.0515333333333</v>
      </c>
      <c r="U274" s="65">
        <v>48.1475166666667</v>
      </c>
      <c r="Y274" s="65">
        <v>1.06258333333333</v>
      </c>
      <c r="Z274" s="65">
        <v>3.32511666666667</v>
      </c>
      <c r="AA274" s="65">
        <v>12.9846</v>
      </c>
      <c r="AB274" s="65">
        <v>66.9391166666666</v>
      </c>
      <c r="AF274" s="65">
        <v>0.567266666666667</v>
      </c>
      <c r="AG274" s="65">
        <v>0.7875</v>
      </c>
      <c r="AH274" s="65">
        <v>0.660333333333333</v>
      </c>
      <c r="AI274" s="65">
        <v>39.7209833333333</v>
      </c>
      <c r="AL274" s="65">
        <v>0.814233333333333</v>
      </c>
      <c r="AM274" s="65">
        <v>5.79245</v>
      </c>
      <c r="AN274" s="65">
        <v>4.5602</v>
      </c>
      <c r="AQ274" s="65">
        <v>0.1577</v>
      </c>
      <c r="AR274" s="65">
        <v>1.57885</v>
      </c>
      <c r="AU274" s="65">
        <v>69.2124666666667</v>
      </c>
    </row>
    <row r="275">
      <c r="A275" s="65" t="s">
        <v>35</v>
      </c>
      <c r="B275" s="65" t="s">
        <v>80</v>
      </c>
      <c r="C275" s="65"/>
      <c r="D275" s="64">
        <f t="shared" si="1"/>
        <v>0</v>
      </c>
    </row>
    <row r="276">
      <c r="A276" s="65" t="s">
        <v>35</v>
      </c>
      <c r="B276" s="65" t="s">
        <v>80</v>
      </c>
      <c r="C276" s="65"/>
      <c r="D276" s="64">
        <f t="shared" si="1"/>
        <v>315.1326333</v>
      </c>
      <c r="G276" s="118">
        <f>HYPERLINK("https://docs.google.com/spreadsheets/d/1Jsf_EXYYc6i3mwxGBIoEj4HU_HATTnT1", 3.69315)</f>
        <v>3.69315</v>
      </c>
      <c r="H276" s="118">
        <f>HYPERLINK("https://docs.google.com/spreadsheets/d/1yRnxxTJzyhRu2oMZGYIgxCGRwtqjF4y-", 9.27211666666667)</f>
        <v>9.272116667</v>
      </c>
      <c r="I276" s="118">
        <f>HYPERLINK("https://docs.google.com/spreadsheets/d/14fUnnFiQWHJ0-SMARooBeuY0uTFXy0W8", 12.61135)</f>
        <v>12.61135</v>
      </c>
      <c r="J276" s="118">
        <f>HYPERLINK("https://docs.google.com/spreadsheets/d/1JZ4rZv8HfcVOhieTWIj_TdTGKm4HzRfw", 6.574)</f>
        <v>6.574</v>
      </c>
      <c r="K276" s="118">
        <f>HYPERLINK("https://docs.google.com/spreadsheets/d/1RRzpH5Y2T_ircjCq6sxugeempUR5mypt", 3.98298333333333)</f>
        <v>3.982983333</v>
      </c>
      <c r="N276" s="118">
        <f>HYPERLINK("https://docs.google.com/spreadsheets/d/161-J7t-iO19-HAPjTquXS1U-iyEyPNe8", 2.29243333333333)</f>
        <v>2.292433333</v>
      </c>
      <c r="R276" s="118">
        <f>HYPERLINK("https://docs.google.com/spreadsheets/d/1iJK8E84L49lCK8pzuO5KT10yKEqGAJtQ", 0.3914)</f>
        <v>0.3914</v>
      </c>
      <c r="S276" s="118">
        <f>HYPERLINK("https://docs.google.com/spreadsheets/d/1K9VnqxhiksknGbRVCGMabysp7LPITjrx", 3.14138333333333)</f>
        <v>3.141383333</v>
      </c>
      <c r="T276" s="118">
        <f>HYPERLINK("https://docs.google.com/spreadsheets/d/1--osomITA7gVupIyzTDVC-LWbgMXXdja", 17.78975)</f>
        <v>17.78975</v>
      </c>
      <c r="U276" s="118">
        <f>HYPERLINK("https://docs.google.com/spreadsheets/d/1TKyq_6bsuAoOUsG8RKvSJQudi3qgfIOZ", 47.8441333333333)</f>
        <v>47.84413333</v>
      </c>
      <c r="Y276" s="118">
        <f>HYPERLINK("https://docs.google.com/spreadsheets/d/181aSiF7fmHkUkU0ZB2SX-JA_JuETMS0D", 1.06258333333333)</f>
        <v>1.062583333</v>
      </c>
      <c r="Z276" s="118">
        <f>HYPERLINK("https://docs.google.com/spreadsheets/d/1zLJOuKRKh5QWd_cyCiDeWu6hDgVFMIYo", 3.32511666666667)</f>
        <v>3.325116667</v>
      </c>
      <c r="AA276" s="118">
        <f>HYPERLINK("https://docs.google.com/spreadsheets/d/1oKdQfEtn7M4JAFZqiCZVsjMijL7ve4fz", 12.62735)</f>
        <v>12.62735</v>
      </c>
      <c r="AB276" s="118">
        <f>HYPERLINK("https://docs.google.com/spreadsheets/d/1cu9ag9uuD3Y5thVpnngLeOHKGhWz6Xhr", 66.9391)</f>
        <v>66.9391</v>
      </c>
      <c r="AF276" s="118">
        <f>HYPERLINK("https://docs.google.com/spreadsheets/d/16pVJowwJTHBIl3RA2w6I-S7SfO4MNsQt", 0.567266666666667)</f>
        <v>0.5672666667</v>
      </c>
      <c r="AG276" s="118">
        <f>HYPERLINK("https://docs.google.com/spreadsheets/d/1zhw8u_zkyX2mBi6BI_s5DpCFSjOeDdIL", 0.7875)</f>
        <v>0.7875</v>
      </c>
      <c r="AH276" s="118">
        <f>HYPERLINK("https://docs.google.com/spreadsheets/d/1RUxvgoBMxzmLWBpjYLkqgv1AJRm9H6b8", 0.660333333333333)</f>
        <v>0.6603333333</v>
      </c>
      <c r="AI276" s="118">
        <f>HYPERLINK("https://docs.google.com/spreadsheets/d/195LchYo3hrFiWFwlaPLpqYWKHszPTWV_", 39.7210166666667)</f>
        <v>39.72101667</v>
      </c>
      <c r="AL276" s="118">
        <f>HYPERLINK("https://docs.google.com/spreadsheets/d/1lKs7zR-xpujL7uDXFbrbmasTn0OM7Znv", 0.814216666666667)</f>
        <v>0.8142166667</v>
      </c>
      <c r="AM276" s="118">
        <f>HYPERLINK("https://docs.google.com/spreadsheets/d/1UGGfQ3APqgMETSXXGNr-wl1iKmazghNi", 5.79245)</f>
        <v>5.79245</v>
      </c>
      <c r="AN276" s="118">
        <f>HYPERLINK("https://docs.google.com/spreadsheets/d/1o3ugFcK8Ymz5Kki4bZnqH5uSJhFOAi83", 4.45176666666667)</f>
        <v>4.451766667</v>
      </c>
      <c r="AQ276" s="118">
        <f>HYPERLINK("https://docs.google.com/spreadsheets/d/1ZX3QtekTvyFUnUW5w1UH8ucmqctNzsoK", 0)</f>
        <v>0</v>
      </c>
      <c r="AR276" s="118">
        <f>HYPERLINK("https://docs.google.com/spreadsheets/d/15T86GWzKwystsEYHabvw-7bM2lC0at_Y", 1.57885)</f>
        <v>1.57885</v>
      </c>
      <c r="AU276" s="118">
        <f>HYPERLINK("https://docs.google.com/spreadsheets/d/1bAi3d3iasCoOVNkgMBksqUmJt1RNQnmC", 69.2123833333333)</f>
        <v>69.21238333</v>
      </c>
    </row>
    <row r="277">
      <c r="A277" s="65" t="s">
        <v>35</v>
      </c>
      <c r="B277" s="65" t="s">
        <v>80</v>
      </c>
      <c r="C277" s="65"/>
      <c r="D277" s="64">
        <f t="shared" si="1"/>
        <v>146.7188167</v>
      </c>
      <c r="G277" s="65">
        <v>3.20678333333333</v>
      </c>
      <c r="H277" s="65">
        <v>6.61711666666666</v>
      </c>
      <c r="I277" s="65">
        <v>9.50506666666667</v>
      </c>
      <c r="J277" s="65">
        <v>5.84443333333333</v>
      </c>
      <c r="K277" s="65">
        <v>1.51538333333333</v>
      </c>
      <c r="N277" s="65">
        <v>2.29243333333333</v>
      </c>
      <c r="R277" s="65">
        <v>0.3914</v>
      </c>
      <c r="S277" s="65">
        <v>1.98576666666667</v>
      </c>
      <c r="T277" s="65">
        <v>13.3328833333333</v>
      </c>
      <c r="U277" s="65">
        <v>20.6269333333333</v>
      </c>
      <c r="Y277" s="65">
        <v>0.733533333333333</v>
      </c>
      <c r="Z277" s="65">
        <v>1.9626</v>
      </c>
      <c r="AA277" s="65">
        <v>12.0479166666667</v>
      </c>
      <c r="AB277" s="65">
        <v>13.8207166666667</v>
      </c>
      <c r="AF277" s="65">
        <v>0.567266666666667</v>
      </c>
      <c r="AG277" s="65">
        <v>0.619133333333333</v>
      </c>
      <c r="AH277" s="65">
        <v>0.399316666666667</v>
      </c>
      <c r="AI277" s="65">
        <v>7.28521666666667</v>
      </c>
      <c r="AL277" s="65">
        <v>0.627466666666667</v>
      </c>
      <c r="AM277" s="65">
        <v>4.46753333333333</v>
      </c>
      <c r="AN277" s="65">
        <v>2.28553333333333</v>
      </c>
      <c r="AR277" s="65">
        <v>0.6836</v>
      </c>
      <c r="AU277" s="65">
        <v>35.9007833333333</v>
      </c>
    </row>
    <row r="278">
      <c r="A278" s="119" t="s">
        <v>35</v>
      </c>
      <c r="B278" s="119" t="s">
        <v>80</v>
      </c>
      <c r="C278" s="119"/>
      <c r="D278" s="120">
        <f t="shared" si="1"/>
        <v>0</v>
      </c>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c r="AA278" s="120"/>
      <c r="AB278" s="120"/>
      <c r="AC278" s="120"/>
      <c r="AD278" s="120"/>
      <c r="AE278" s="120"/>
      <c r="AF278" s="120"/>
      <c r="AG278" s="120"/>
      <c r="AH278" s="120"/>
      <c r="AI278" s="120"/>
      <c r="AJ278" s="120"/>
      <c r="AK278" s="120"/>
      <c r="AL278" s="120"/>
      <c r="AM278" s="120"/>
      <c r="AN278" s="120"/>
      <c r="AO278" s="120"/>
      <c r="AP278" s="120"/>
      <c r="AQ278" s="120"/>
      <c r="AR278" s="120"/>
      <c r="AS278" s="120"/>
      <c r="AT278" s="120"/>
      <c r="AU278" s="120"/>
      <c r="AV278" s="120"/>
      <c r="AW278" s="120"/>
      <c r="AX278" s="120"/>
      <c r="AY278" s="120"/>
      <c r="AZ278" s="120"/>
      <c r="BA278" s="120"/>
      <c r="BB278" s="120"/>
      <c r="BC278" s="120"/>
      <c r="BD278" s="120"/>
      <c r="BE278" s="120"/>
      <c r="BF278" s="120"/>
      <c r="BG278" s="120"/>
      <c r="BH278" s="120"/>
      <c r="BI278" s="120"/>
      <c r="BJ278" s="120"/>
      <c r="BK278" s="120"/>
      <c r="BL278" s="120"/>
      <c r="BM278" s="120"/>
      <c r="BN278" s="120"/>
      <c r="BO278" s="120"/>
      <c r="BP278" s="120"/>
      <c r="BQ278" s="120"/>
      <c r="BR278" s="120"/>
      <c r="BS278" s="120"/>
      <c r="BT278" s="120"/>
      <c r="BU278" s="120"/>
      <c r="BV278" s="120"/>
      <c r="BW278" s="120"/>
      <c r="BX278" s="120"/>
      <c r="BY278" s="120"/>
      <c r="BZ278" s="120"/>
      <c r="CA278" s="120"/>
      <c r="CB278" s="120"/>
      <c r="CC278" s="120"/>
      <c r="CD278" s="120"/>
      <c r="CE278" s="120"/>
      <c r="CF278" s="120"/>
      <c r="CG278" s="120"/>
      <c r="CH278" s="120"/>
      <c r="CI278" s="120"/>
      <c r="CJ278" s="120"/>
      <c r="CK278" s="120"/>
      <c r="CL278" s="120"/>
      <c r="CM278" s="120"/>
      <c r="CN278" s="120"/>
      <c r="CO278" s="120"/>
      <c r="CP278" s="120"/>
      <c r="CQ278" s="120"/>
      <c r="CR278" s="120"/>
      <c r="CS278" s="120"/>
      <c r="CT278" s="120"/>
      <c r="CU278" s="120"/>
      <c r="CV278" s="120"/>
      <c r="CW278" s="120"/>
      <c r="CX278" s="120"/>
      <c r="CY278" s="120"/>
      <c r="CZ278" s="120"/>
      <c r="DA278" s="120"/>
      <c r="DB278" s="120"/>
      <c r="DC278" s="120"/>
      <c r="DD278" s="120"/>
      <c r="DE278" s="120"/>
      <c r="DF278" s="120"/>
      <c r="DG278" s="120"/>
      <c r="DH278" s="120"/>
      <c r="DI278" s="120"/>
      <c r="DJ278" s="120"/>
      <c r="DK278" s="120"/>
      <c r="DL278" s="120"/>
      <c r="DM278" s="120"/>
      <c r="DN278" s="120"/>
      <c r="DO278" s="120"/>
      <c r="DP278" s="120"/>
      <c r="DQ278" s="120"/>
      <c r="DR278" s="120"/>
      <c r="DS278" s="120"/>
      <c r="DT278" s="120"/>
      <c r="DU278" s="120"/>
      <c r="DV278" s="120"/>
      <c r="DW278" s="120"/>
      <c r="DX278" s="120"/>
      <c r="DY278" s="120"/>
      <c r="DZ278" s="120"/>
      <c r="EA278" s="120"/>
      <c r="EB278" s="120"/>
      <c r="EC278" s="120"/>
      <c r="ED278" s="120"/>
      <c r="EE278" s="120"/>
      <c r="EF278" s="120"/>
      <c r="EG278" s="120"/>
      <c r="EH278" s="120"/>
      <c r="EI278" s="120"/>
      <c r="EJ278" s="120"/>
      <c r="EK278" s="120"/>
      <c r="EL278" s="120"/>
      <c r="EM278" s="120"/>
      <c r="EN278" s="120"/>
      <c r="EO278" s="120"/>
      <c r="EP278" s="120"/>
      <c r="EQ278" s="120"/>
      <c r="ER278" s="120"/>
      <c r="ES278" s="120"/>
      <c r="ET278" s="120"/>
      <c r="EU278" s="120"/>
      <c r="EV278" s="120"/>
      <c r="EW278" s="120"/>
      <c r="EX278" s="120"/>
      <c r="EY278" s="120"/>
      <c r="EZ278" s="120"/>
      <c r="FA278" s="120"/>
      <c r="FB278" s="120"/>
      <c r="FC278" s="120"/>
      <c r="FD278" s="120"/>
      <c r="FE278" s="120"/>
      <c r="FF278" s="120"/>
      <c r="FG278" s="120"/>
      <c r="FH278" s="120"/>
      <c r="FI278" s="120"/>
      <c r="FJ278" s="120"/>
      <c r="FK278" s="120"/>
      <c r="FL278" s="120"/>
      <c r="FM278" s="120"/>
      <c r="FN278" s="120"/>
      <c r="FO278" s="120"/>
      <c r="FP278" s="120"/>
      <c r="FQ278" s="120"/>
      <c r="FR278" s="120"/>
      <c r="FS278" s="120"/>
      <c r="FT278" s="120"/>
      <c r="FU278" s="120"/>
      <c r="FV278" s="120"/>
      <c r="FW278" s="120"/>
      <c r="FX278" s="120"/>
      <c r="FY278" s="120"/>
      <c r="FZ278" s="120"/>
      <c r="GA278" s="120"/>
      <c r="GB278" s="120"/>
      <c r="GC278" s="120"/>
      <c r="GD278" s="120"/>
      <c r="GE278" s="120"/>
      <c r="GF278" s="120"/>
      <c r="GG278" s="120"/>
      <c r="GH278" s="120"/>
      <c r="GI278" s="120"/>
      <c r="GJ278" s="120"/>
      <c r="GK278" s="120"/>
      <c r="GL278" s="120"/>
      <c r="GM278" s="120"/>
      <c r="GN278" s="120"/>
      <c r="GO278" s="120"/>
      <c r="GP278" s="120"/>
      <c r="GQ278" s="120"/>
      <c r="GR278" s="120"/>
      <c r="GS278" s="120"/>
      <c r="GT278" s="120"/>
      <c r="GU278" s="120"/>
      <c r="GV278" s="120"/>
      <c r="GW278" s="120"/>
      <c r="GX278" s="120"/>
      <c r="GY278" s="120"/>
      <c r="GZ278" s="120"/>
      <c r="HA278" s="120"/>
      <c r="HB278" s="120"/>
      <c r="HC278" s="120"/>
      <c r="HD278" s="120"/>
      <c r="HE278" s="120"/>
      <c r="HF278" s="120"/>
      <c r="HG278" s="120"/>
      <c r="HH278" s="120"/>
      <c r="HI278" s="120"/>
      <c r="HJ278" s="120"/>
      <c r="HK278" s="120"/>
      <c r="HL278" s="120"/>
      <c r="HM278" s="120"/>
      <c r="HN278" s="120"/>
      <c r="HO278" s="120"/>
      <c r="HP278" s="120"/>
      <c r="HQ278" s="120"/>
      <c r="HR278" s="120"/>
      <c r="HS278" s="120"/>
      <c r="HT278" s="120"/>
      <c r="HU278" s="120"/>
      <c r="HV278" s="120"/>
      <c r="HW278" s="120"/>
      <c r="HX278" s="120"/>
      <c r="HY278" s="120"/>
      <c r="HZ278" s="120"/>
      <c r="IA278" s="120"/>
      <c r="IB278" s="120"/>
      <c r="IC278" s="120"/>
      <c r="ID278" s="120"/>
      <c r="IE278" s="120"/>
      <c r="IF278" s="120"/>
      <c r="IG278" s="120"/>
      <c r="IH278" s="120"/>
      <c r="II278" s="120"/>
      <c r="IJ278" s="120"/>
      <c r="IK278" s="120"/>
      <c r="IL278" s="120"/>
      <c r="IM278" s="120"/>
      <c r="IN278" s="120"/>
      <c r="IO278" s="120"/>
      <c r="IP278" s="120"/>
      <c r="IQ278" s="120"/>
      <c r="IR278" s="120"/>
      <c r="IS278" s="120"/>
      <c r="IT278" s="120"/>
      <c r="IU278" s="120"/>
      <c r="IV278" s="120"/>
      <c r="IW278" s="120"/>
      <c r="IX278" s="120"/>
      <c r="IY278" s="120"/>
      <c r="IZ278" s="120"/>
      <c r="JA278" s="120"/>
      <c r="JB278" s="120"/>
      <c r="JC278" s="120"/>
      <c r="JD278" s="120"/>
      <c r="JE278" s="120"/>
      <c r="JF278" s="120"/>
      <c r="JG278" s="120"/>
      <c r="JH278" s="120"/>
      <c r="JI278" s="120"/>
      <c r="JJ278" s="120"/>
      <c r="JK278" s="120"/>
      <c r="JL278" s="120"/>
      <c r="JM278" s="120"/>
      <c r="JN278" s="120"/>
      <c r="JO278" s="120"/>
      <c r="JP278" s="120"/>
      <c r="JQ278" s="120"/>
      <c r="JR278" s="120"/>
      <c r="JS278" s="120"/>
      <c r="JT278" s="120"/>
      <c r="JU278" s="120"/>
      <c r="JV278" s="120"/>
      <c r="JW278" s="120"/>
      <c r="JX278" s="120"/>
      <c r="JY278" s="120"/>
      <c r="JZ278" s="120"/>
      <c r="KA278" s="120"/>
      <c r="KB278" s="120"/>
      <c r="KC278" s="120"/>
      <c r="KD278" s="120"/>
      <c r="KE278" s="120"/>
      <c r="KF278" s="120"/>
      <c r="KG278" s="120"/>
      <c r="KH278" s="120"/>
      <c r="KI278" s="120"/>
      <c r="KJ278" s="120"/>
      <c r="KK278" s="120"/>
      <c r="KL278" s="120"/>
      <c r="KM278" s="120"/>
      <c r="KN278" s="120"/>
      <c r="KO278" s="120"/>
      <c r="KP278" s="120"/>
      <c r="KQ278" s="120"/>
      <c r="KR278" s="120"/>
      <c r="KS278" s="120"/>
      <c r="KT278" s="120"/>
      <c r="KU278" s="120"/>
      <c r="KV278" s="120"/>
      <c r="KW278" s="120"/>
      <c r="KX278" s="120"/>
      <c r="KY278" s="120"/>
      <c r="KZ278" s="120"/>
      <c r="LA278" s="120"/>
      <c r="LB278" s="120"/>
      <c r="LC278" s="120"/>
      <c r="LD278" s="120"/>
      <c r="LE278" s="120"/>
      <c r="LF278" s="120"/>
      <c r="LG278" s="120"/>
      <c r="LH278" s="120"/>
      <c r="LI278" s="120"/>
      <c r="LJ278" s="120"/>
      <c r="LK278" s="120"/>
      <c r="LL278" s="120"/>
      <c r="LM278" s="120"/>
      <c r="LN278" s="120"/>
      <c r="LO278" s="120"/>
      <c r="LP278" s="120"/>
      <c r="LQ278" s="120"/>
      <c r="LR278" s="120"/>
      <c r="LS278" s="120"/>
      <c r="LT278" s="120"/>
      <c r="LU278" s="120"/>
      <c r="LV278" s="120"/>
      <c r="LW278" s="120"/>
      <c r="LX278" s="120"/>
      <c r="LY278" s="120"/>
      <c r="LZ278" s="120"/>
      <c r="MA278" s="120"/>
      <c r="MB278" s="120"/>
      <c r="MC278" s="120"/>
      <c r="MD278" s="120"/>
      <c r="ME278" s="120"/>
      <c r="MF278" s="120"/>
      <c r="MG278" s="120"/>
      <c r="MH278" s="120"/>
      <c r="MI278" s="120"/>
      <c r="MJ278" s="120"/>
      <c r="MK278" s="120"/>
      <c r="ML278" s="120"/>
      <c r="MM278" s="120"/>
      <c r="MN278" s="120"/>
      <c r="MO278" s="120"/>
      <c r="MP278" s="120"/>
      <c r="MQ278" s="120"/>
      <c r="MR278" s="120"/>
      <c r="MS278" s="120"/>
      <c r="MT278" s="120"/>
      <c r="MU278" s="120"/>
      <c r="MV278" s="120"/>
      <c r="MW278" s="120"/>
      <c r="MX278" s="120"/>
      <c r="MY278" s="120"/>
      <c r="MZ278" s="120"/>
      <c r="NA278" s="120"/>
      <c r="NB278" s="120"/>
      <c r="NC278" s="120"/>
      <c r="ND278" s="120"/>
      <c r="NE278" s="120"/>
      <c r="NF278" s="120"/>
      <c r="NG278" s="120"/>
      <c r="NH278" s="120"/>
      <c r="NI278" s="120"/>
      <c r="NJ278" s="120"/>
      <c r="NK278" s="120"/>
      <c r="NL278" s="120"/>
      <c r="NM278" s="120"/>
      <c r="NN278" s="120"/>
      <c r="NO278" s="120"/>
      <c r="NP278" s="120"/>
      <c r="NQ278" s="120"/>
      <c r="NR278" s="120"/>
      <c r="NS278" s="120"/>
      <c r="NT278" s="120"/>
      <c r="NU278" s="120"/>
      <c r="NV278" s="120"/>
      <c r="NW278" s="120"/>
      <c r="NX278" s="120"/>
      <c r="NY278" s="120"/>
      <c r="NZ278" s="120"/>
      <c r="OA278" s="120"/>
      <c r="OB278" s="120"/>
      <c r="OC278" s="120"/>
      <c r="OD278" s="120"/>
      <c r="OE278" s="120"/>
      <c r="OF278" s="120"/>
      <c r="OG278" s="120"/>
      <c r="OH278" s="120"/>
      <c r="OI278" s="120"/>
      <c r="OJ278" s="120"/>
      <c r="OK278" s="120"/>
      <c r="OL278" s="120"/>
      <c r="OM278" s="120"/>
      <c r="ON278" s="120"/>
      <c r="OO278" s="120"/>
      <c r="OP278" s="120"/>
      <c r="OQ278" s="120"/>
      <c r="OR278" s="120"/>
      <c r="OS278" s="120"/>
      <c r="OT278" s="120"/>
      <c r="OU278" s="120"/>
      <c r="OV278" s="120"/>
      <c r="OW278" s="120"/>
      <c r="OX278" s="120"/>
      <c r="OY278" s="120"/>
      <c r="OZ278" s="120"/>
      <c r="PA278" s="120"/>
      <c r="PB278" s="120"/>
      <c r="PC278" s="120"/>
      <c r="PD278" s="120"/>
      <c r="PE278" s="120"/>
      <c r="PF278" s="120"/>
      <c r="PG278" s="120"/>
      <c r="PH278" s="120"/>
      <c r="PI278" s="120"/>
      <c r="PJ278" s="120"/>
      <c r="PK278" s="120"/>
      <c r="PL278" s="120"/>
      <c r="PM278" s="120"/>
      <c r="PN278" s="120"/>
      <c r="PO278" s="120"/>
      <c r="PP278" s="120"/>
      <c r="PQ278" s="120"/>
      <c r="PR278" s="120"/>
      <c r="PS278" s="120"/>
      <c r="PT278" s="120"/>
      <c r="PU278" s="120"/>
      <c r="PV278" s="120"/>
      <c r="PW278" s="120"/>
      <c r="PX278" s="120"/>
      <c r="PY278" s="120"/>
      <c r="PZ278" s="120"/>
      <c r="QA278" s="120"/>
      <c r="QB278" s="120"/>
      <c r="QC278" s="120"/>
      <c r="QD278" s="120"/>
      <c r="QE278" s="120"/>
      <c r="QF278" s="120"/>
      <c r="QG278" s="120"/>
      <c r="QH278" s="120"/>
      <c r="QI278" s="120"/>
      <c r="QJ278" s="120"/>
      <c r="QK278" s="120"/>
      <c r="QL278" s="120"/>
      <c r="QM278" s="120"/>
      <c r="QN278" s="120"/>
      <c r="QO278" s="120"/>
      <c r="QP278" s="120"/>
      <c r="QQ278" s="120"/>
      <c r="QR278" s="120"/>
      <c r="QS278" s="120"/>
      <c r="QT278" s="120"/>
      <c r="QU278" s="120"/>
      <c r="QV278" s="120"/>
      <c r="QW278" s="120"/>
      <c r="QX278" s="120"/>
      <c r="QY278" s="120"/>
      <c r="QZ278" s="120"/>
      <c r="RA278" s="120"/>
      <c r="RB278" s="120"/>
      <c r="RC278" s="120"/>
      <c r="RD278" s="120"/>
      <c r="RE278" s="120"/>
      <c r="RF278" s="120"/>
      <c r="RG278" s="120"/>
      <c r="RH278" s="120"/>
      <c r="RI278" s="120"/>
      <c r="RJ278" s="120"/>
      <c r="RK278" s="120"/>
      <c r="RL278" s="120"/>
      <c r="RM278" s="120"/>
      <c r="RN278" s="120"/>
      <c r="RO278" s="120"/>
      <c r="RP278" s="120"/>
      <c r="RQ278" s="120"/>
      <c r="RR278" s="120"/>
      <c r="RS278" s="120"/>
      <c r="RT278" s="120"/>
      <c r="RU278" s="120"/>
      <c r="RV278" s="120"/>
      <c r="RW278" s="120"/>
      <c r="RX278" s="120"/>
      <c r="RY278" s="120"/>
      <c r="RZ278" s="120"/>
      <c r="SA278" s="120"/>
      <c r="SB278" s="120"/>
      <c r="SC278" s="120"/>
      <c r="SD278" s="120"/>
      <c r="SE278" s="120"/>
      <c r="SF278" s="120"/>
      <c r="SG278" s="120"/>
      <c r="SH278" s="120"/>
      <c r="SI278" s="120"/>
      <c r="SJ278" s="120"/>
      <c r="SK278" s="120"/>
      <c r="SL278" s="120"/>
      <c r="SM278" s="120"/>
      <c r="SN278" s="120"/>
      <c r="SO278" s="120"/>
      <c r="SP278" s="120"/>
      <c r="SQ278" s="120"/>
      <c r="SR278" s="120"/>
      <c r="SS278" s="120"/>
      <c r="ST278" s="120"/>
      <c r="SU278" s="120"/>
      <c r="SV278" s="120"/>
      <c r="SW278" s="120"/>
      <c r="SX278" s="120"/>
      <c r="SY278" s="120"/>
      <c r="SZ278" s="120"/>
      <c r="TA278" s="120"/>
      <c r="TB278" s="120"/>
      <c r="TC278" s="120"/>
      <c r="TD278" s="120"/>
      <c r="TE278" s="120"/>
      <c r="TF278" s="120"/>
      <c r="TG278" s="120"/>
      <c r="TH278" s="120"/>
      <c r="TI278" s="120"/>
      <c r="TJ278" s="120"/>
      <c r="TK278" s="120"/>
      <c r="TL278" s="120"/>
      <c r="TM278" s="120"/>
      <c r="TN278" s="120"/>
      <c r="TO278" s="120"/>
      <c r="TP278" s="120"/>
      <c r="TQ278" s="120"/>
      <c r="TR278" s="120"/>
      <c r="TS278" s="120"/>
      <c r="TT278" s="120"/>
      <c r="TU278" s="120"/>
      <c r="TV278" s="120"/>
      <c r="TW278" s="120"/>
      <c r="TX278" s="120"/>
      <c r="TY278" s="120"/>
      <c r="TZ278" s="120"/>
      <c r="UA278" s="120"/>
      <c r="UB278" s="120"/>
      <c r="UC278" s="120"/>
      <c r="UD278" s="120"/>
      <c r="UE278" s="120"/>
      <c r="UF278" s="120"/>
      <c r="UG278" s="120"/>
      <c r="UH278" s="120"/>
      <c r="UI278" s="120"/>
      <c r="UJ278" s="120"/>
      <c r="UK278" s="120"/>
      <c r="UL278" s="120"/>
      <c r="UM278" s="120"/>
      <c r="UN278" s="120"/>
      <c r="UO278" s="120"/>
      <c r="UP278" s="120"/>
      <c r="UQ278" s="120"/>
      <c r="UR278" s="120"/>
      <c r="US278" s="120"/>
      <c r="UT278" s="120"/>
      <c r="UU278" s="120"/>
      <c r="UV278" s="120"/>
      <c r="UW278" s="120"/>
      <c r="UX278" s="120"/>
      <c r="UY278" s="120"/>
      <c r="UZ278" s="120"/>
      <c r="VA278" s="120"/>
      <c r="VB278" s="120"/>
      <c r="VC278" s="120"/>
      <c r="VD278" s="120"/>
      <c r="VE278" s="120"/>
      <c r="VF278" s="120"/>
      <c r="VG278" s="120"/>
      <c r="VH278" s="120"/>
      <c r="VI278" s="120"/>
      <c r="VJ278" s="120"/>
      <c r="VK278" s="120"/>
      <c r="VL278" s="120"/>
      <c r="VM278" s="120"/>
      <c r="VN278" s="120"/>
      <c r="VO278" s="120"/>
      <c r="VP278" s="120"/>
      <c r="VQ278" s="120"/>
      <c r="VR278" s="120"/>
      <c r="VS278" s="120"/>
      <c r="VT278" s="120"/>
      <c r="VU278" s="120"/>
      <c r="VV278" s="120"/>
      <c r="VW278" s="120"/>
      <c r="VX278" s="120"/>
      <c r="VY278" s="120"/>
      <c r="VZ278" s="120"/>
      <c r="WA278" s="120"/>
      <c r="WB278" s="120"/>
      <c r="WC278" s="120"/>
      <c r="WD278" s="120"/>
      <c r="WE278" s="120"/>
      <c r="WF278" s="120"/>
      <c r="WG278" s="120"/>
      <c r="WH278" s="120"/>
      <c r="WI278" s="120"/>
      <c r="WJ278" s="120"/>
      <c r="WK278" s="120"/>
      <c r="WL278" s="120"/>
      <c r="WM278" s="120"/>
      <c r="WN278" s="120"/>
      <c r="WO278" s="120"/>
      <c r="WP278" s="120"/>
      <c r="WQ278" s="120"/>
      <c r="WR278" s="120"/>
      <c r="WS278" s="120"/>
      <c r="WT278" s="120"/>
      <c r="WU278" s="120"/>
      <c r="WV278" s="120"/>
      <c r="WW278" s="120"/>
      <c r="WX278" s="120"/>
      <c r="WY278" s="120"/>
      <c r="WZ278" s="120"/>
      <c r="XA278" s="120"/>
      <c r="XB278" s="120"/>
      <c r="XC278" s="120"/>
      <c r="XD278" s="120"/>
      <c r="XE278" s="120"/>
      <c r="XF278" s="120"/>
      <c r="XG278" s="120"/>
      <c r="XH278" s="120"/>
      <c r="XI278" s="120"/>
      <c r="XJ278" s="120"/>
      <c r="XK278" s="120"/>
      <c r="XL278" s="120"/>
      <c r="XM278" s="120"/>
      <c r="XN278" s="120"/>
      <c r="XO278" s="120"/>
      <c r="XP278" s="120"/>
      <c r="XQ278" s="120"/>
      <c r="XR278" s="120"/>
      <c r="XS278" s="120"/>
      <c r="XT278" s="120"/>
      <c r="XU278" s="120"/>
      <c r="XV278" s="120"/>
      <c r="XW278" s="120"/>
      <c r="XX278" s="120"/>
      <c r="XY278" s="120"/>
      <c r="XZ278" s="120"/>
      <c r="YA278" s="120"/>
      <c r="YB278" s="120"/>
      <c r="YC278" s="120"/>
      <c r="YD278" s="120"/>
      <c r="YE278" s="120"/>
      <c r="YF278" s="120"/>
      <c r="YG278" s="120"/>
      <c r="YH278" s="120"/>
      <c r="YI278" s="120"/>
      <c r="YJ278" s="120"/>
      <c r="YK278" s="120"/>
      <c r="YL278" s="120"/>
      <c r="YM278" s="120"/>
      <c r="YN278" s="120"/>
      <c r="YO278" s="120"/>
      <c r="YP278" s="120"/>
      <c r="YQ278" s="120"/>
      <c r="YR278" s="120"/>
      <c r="YS278" s="120"/>
      <c r="YT278" s="120"/>
      <c r="YU278" s="120"/>
      <c r="YV278" s="120"/>
      <c r="YW278" s="120"/>
      <c r="YX278" s="120"/>
      <c r="YY278" s="120"/>
      <c r="YZ278" s="120"/>
      <c r="ZA278" s="120"/>
      <c r="ZB278" s="120"/>
      <c r="ZC278" s="120"/>
      <c r="ZD278" s="120"/>
      <c r="ZE278" s="120"/>
      <c r="ZF278" s="120"/>
      <c r="ZG278" s="120"/>
      <c r="ZH278" s="120"/>
      <c r="ZI278" s="120"/>
      <c r="ZJ278" s="120"/>
      <c r="ZK278" s="120"/>
      <c r="ZL278" s="120"/>
      <c r="ZM278" s="120"/>
      <c r="ZN278" s="120"/>
      <c r="ZO278" s="120"/>
      <c r="ZP278" s="120"/>
      <c r="ZQ278" s="120"/>
      <c r="ZR278" s="120"/>
      <c r="ZS278" s="120"/>
      <c r="ZT278" s="120"/>
      <c r="ZU278" s="120"/>
      <c r="ZV278" s="120"/>
      <c r="ZW278" s="120"/>
      <c r="ZX278" s="120"/>
      <c r="ZY278" s="120"/>
      <c r="ZZ278" s="120"/>
      <c r="AAA278" s="120"/>
      <c r="AAB278" s="120"/>
      <c r="AAC278" s="120"/>
      <c r="AAD278" s="120"/>
      <c r="AAE278" s="120"/>
      <c r="AAF278" s="120"/>
      <c r="AAG278" s="120"/>
      <c r="AAH278" s="120"/>
      <c r="AAI278" s="120"/>
      <c r="AAJ278" s="120"/>
      <c r="AAK278" s="120"/>
      <c r="AAL278" s="120"/>
      <c r="AAM278" s="120"/>
      <c r="AAN278" s="120"/>
      <c r="AAO278" s="120"/>
      <c r="AAP278" s="120"/>
      <c r="AAQ278" s="120"/>
      <c r="AAR278" s="120"/>
      <c r="AAS278" s="120"/>
      <c r="AAT278" s="120"/>
      <c r="AAU278" s="120"/>
      <c r="AAV278" s="120"/>
      <c r="AAW278" s="120"/>
      <c r="AAX278" s="120"/>
      <c r="AAY278" s="120"/>
      <c r="AAZ278" s="120"/>
      <c r="ABA278" s="120"/>
      <c r="ABB278" s="120"/>
      <c r="ABC278" s="120"/>
      <c r="ABD278" s="120"/>
      <c r="ABE278" s="120"/>
      <c r="ABF278" s="120"/>
      <c r="ABG278" s="120"/>
      <c r="ABH278" s="120"/>
      <c r="ABI278" s="120"/>
      <c r="ABJ278" s="120"/>
      <c r="ABK278" s="120"/>
      <c r="ABL278" s="120"/>
      <c r="ABM278" s="120"/>
      <c r="ABN278" s="120"/>
      <c r="ABO278" s="120"/>
      <c r="ABP278" s="120"/>
      <c r="ABQ278" s="120"/>
      <c r="ABR278" s="120"/>
      <c r="ABS278" s="120"/>
      <c r="ABT278" s="120"/>
      <c r="ABU278" s="120"/>
      <c r="ABV278" s="120"/>
      <c r="ABW278" s="120"/>
      <c r="ABX278" s="120"/>
      <c r="ABY278" s="120"/>
      <c r="ABZ278" s="120"/>
      <c r="ACA278" s="120"/>
      <c r="ACB278" s="120"/>
      <c r="ACC278" s="120"/>
      <c r="ACD278" s="120"/>
      <c r="ACE278" s="120"/>
      <c r="ACF278" s="120"/>
      <c r="ACG278" s="120"/>
      <c r="ACH278" s="120"/>
      <c r="ACI278" s="120"/>
      <c r="ACJ278" s="120"/>
      <c r="ACK278" s="120"/>
      <c r="ACL278" s="120"/>
      <c r="ACM278" s="120"/>
      <c r="ACN278" s="120"/>
      <c r="ACO278" s="120"/>
      <c r="ACP278" s="120"/>
      <c r="ACQ278" s="120"/>
      <c r="ACR278" s="120"/>
      <c r="ACS278" s="120"/>
      <c r="ACT278" s="120"/>
      <c r="ACU278" s="120"/>
      <c r="ACV278" s="120"/>
      <c r="ACW278" s="120"/>
      <c r="ACX278" s="120"/>
      <c r="ACY278" s="120"/>
      <c r="ACZ278" s="120"/>
      <c r="ADA278" s="120"/>
      <c r="ADB278" s="120"/>
      <c r="ADC278" s="120"/>
      <c r="ADD278" s="120"/>
      <c r="ADE278" s="120"/>
      <c r="ADF278" s="120"/>
      <c r="ADG278" s="120"/>
      <c r="ADH278" s="120"/>
      <c r="ADI278" s="120"/>
      <c r="ADJ278" s="120"/>
      <c r="ADK278" s="120"/>
      <c r="ADL278" s="120"/>
      <c r="ADM278" s="120"/>
      <c r="ADN278" s="120"/>
      <c r="ADO278" s="120"/>
      <c r="ADP278" s="120"/>
      <c r="ADQ278" s="120"/>
      <c r="ADR278" s="120"/>
      <c r="ADS278" s="120"/>
      <c r="ADT278" s="120"/>
      <c r="ADU278" s="120"/>
      <c r="ADV278" s="120"/>
      <c r="ADW278" s="120"/>
      <c r="ADX278" s="120"/>
      <c r="ADY278" s="120"/>
      <c r="ADZ278" s="120"/>
      <c r="AEA278" s="120"/>
      <c r="AEB278" s="120"/>
      <c r="AEC278" s="120"/>
      <c r="AED278" s="120"/>
      <c r="AEE278" s="120"/>
      <c r="AEF278" s="120"/>
      <c r="AEG278" s="120"/>
      <c r="AEH278" s="120"/>
      <c r="AEI278" s="120"/>
      <c r="AEJ278" s="120"/>
      <c r="AEK278" s="120"/>
      <c r="AEL278" s="120"/>
      <c r="AEM278" s="120"/>
      <c r="AEN278" s="120"/>
      <c r="AEO278" s="120"/>
      <c r="AEP278" s="120"/>
      <c r="AEQ278" s="120"/>
      <c r="AER278" s="120"/>
      <c r="AES278" s="120"/>
      <c r="AET278" s="120"/>
      <c r="AEU278" s="120"/>
      <c r="AEV278" s="120"/>
      <c r="AEW278" s="120"/>
      <c r="AEX278" s="120"/>
      <c r="AEY278" s="120"/>
      <c r="AEZ278" s="120"/>
      <c r="AFA278" s="120"/>
      <c r="AFB278" s="120"/>
      <c r="AFC278" s="120"/>
      <c r="AFD278" s="120"/>
      <c r="AFE278" s="120"/>
      <c r="AFF278" s="120"/>
      <c r="AFG278" s="120"/>
      <c r="AFH278" s="120"/>
      <c r="AFI278" s="120"/>
      <c r="AFJ278" s="120"/>
      <c r="AFK278" s="120"/>
      <c r="AFL278" s="120"/>
      <c r="AFM278" s="120"/>
      <c r="AFN278" s="120"/>
      <c r="AFO278" s="120"/>
      <c r="AFP278" s="120"/>
      <c r="AFQ278" s="120"/>
      <c r="AFR278" s="120"/>
      <c r="AFS278" s="120"/>
      <c r="AFT278" s="120"/>
      <c r="AFU278" s="120"/>
      <c r="AFV278" s="120"/>
      <c r="AFW278" s="120"/>
      <c r="AFX278" s="120"/>
      <c r="AFY278" s="120"/>
      <c r="AFZ278" s="120"/>
      <c r="AGA278" s="120"/>
      <c r="AGB278" s="120"/>
      <c r="AGC278" s="120"/>
      <c r="AGD278" s="120"/>
      <c r="AGE278" s="120"/>
      <c r="AGF278" s="120"/>
      <c r="AGG278" s="120"/>
      <c r="AGH278" s="120"/>
      <c r="AGI278" s="120"/>
      <c r="AGJ278" s="120"/>
      <c r="AGK278" s="120"/>
      <c r="AGL278" s="120"/>
      <c r="AGM278" s="120"/>
      <c r="AGN278" s="120"/>
      <c r="AGO278" s="120"/>
      <c r="AGP278" s="120"/>
      <c r="AGQ278" s="120"/>
      <c r="AGR278" s="120"/>
      <c r="AGS278" s="120"/>
      <c r="AGT278" s="120"/>
      <c r="AGU278" s="120"/>
      <c r="AGV278" s="120"/>
      <c r="AGW278" s="120"/>
      <c r="AGX278" s="120"/>
      <c r="AGY278" s="120"/>
      <c r="AGZ278" s="120"/>
      <c r="AHA278" s="120"/>
      <c r="AHB278" s="120"/>
      <c r="AHC278" s="120"/>
      <c r="AHD278" s="120"/>
      <c r="AHE278" s="120"/>
      <c r="AHF278" s="120"/>
      <c r="AHG278" s="120"/>
      <c r="AHH278" s="120"/>
      <c r="AHI278" s="120"/>
      <c r="AHJ278" s="120"/>
      <c r="AHK278" s="120"/>
      <c r="AHL278" s="120"/>
      <c r="AHM278" s="120"/>
      <c r="AHN278" s="120"/>
      <c r="AHO278" s="120"/>
      <c r="AHP278" s="120"/>
      <c r="AHQ278" s="120"/>
      <c r="AHR278" s="120"/>
      <c r="AHS278" s="120"/>
      <c r="AHT278" s="120"/>
      <c r="AHU278" s="120"/>
      <c r="AHV278" s="120"/>
      <c r="AHW278" s="120"/>
      <c r="AHX278" s="120"/>
      <c r="AHY278" s="120"/>
      <c r="AHZ278" s="120"/>
      <c r="AIA278" s="120"/>
      <c r="AIB278" s="120"/>
      <c r="AIC278" s="120"/>
      <c r="AID278" s="120"/>
      <c r="AIE278" s="120"/>
      <c r="AIF278" s="120"/>
      <c r="AIG278" s="120"/>
      <c r="AIH278" s="120"/>
      <c r="AII278" s="120"/>
      <c r="AIJ278" s="120"/>
      <c r="AIK278" s="120"/>
      <c r="AIL278" s="120"/>
      <c r="AIM278" s="120"/>
      <c r="AIN278" s="120"/>
      <c r="AIO278" s="120"/>
      <c r="AIP278" s="120"/>
      <c r="AIQ278" s="120"/>
      <c r="AIR278" s="120"/>
      <c r="AIS278" s="120"/>
      <c r="AIT278" s="120"/>
      <c r="AIU278" s="120"/>
      <c r="AIV278" s="120"/>
      <c r="AIW278" s="120"/>
      <c r="AIX278" s="120"/>
      <c r="AIY278" s="120"/>
      <c r="AIZ278" s="120"/>
    </row>
    <row r="279">
      <c r="A279" s="112" t="s">
        <v>35</v>
      </c>
      <c r="B279" s="112" t="s">
        <v>82</v>
      </c>
      <c r="C279" s="112"/>
      <c r="D279" s="113">
        <f t="shared" si="1"/>
        <v>796.13565</v>
      </c>
      <c r="E279" s="112">
        <v>114.303033333333</v>
      </c>
      <c r="F279" s="113"/>
      <c r="G279" s="113"/>
      <c r="H279" s="113"/>
      <c r="I279" s="113"/>
      <c r="J279" s="113"/>
      <c r="K279" s="113"/>
      <c r="L279" s="112">
        <v>1.34988333333333</v>
      </c>
      <c r="M279" s="112">
        <v>32.5019666666667</v>
      </c>
      <c r="N279" s="113"/>
      <c r="O279" s="112">
        <v>0.186933333333333</v>
      </c>
      <c r="P279" s="112">
        <v>179.267833333333</v>
      </c>
      <c r="Q279" s="113"/>
      <c r="R279" s="113"/>
      <c r="S279" s="113"/>
      <c r="T279" s="113"/>
      <c r="U279" s="113"/>
      <c r="V279" s="112">
        <v>2.1888</v>
      </c>
      <c r="W279" s="112">
        <v>102.203133333333</v>
      </c>
      <c r="X279" s="113"/>
      <c r="Y279" s="113"/>
      <c r="Z279" s="113"/>
      <c r="AA279" s="113"/>
      <c r="AB279" s="113"/>
      <c r="AC279" s="112">
        <v>2.04155</v>
      </c>
      <c r="AD279" s="112">
        <v>34.6612166666667</v>
      </c>
      <c r="AE279" s="113"/>
      <c r="AF279" s="113"/>
      <c r="AG279" s="113"/>
      <c r="AH279" s="113"/>
      <c r="AI279" s="113"/>
      <c r="AJ279" s="112">
        <v>0.35645</v>
      </c>
      <c r="AK279" s="112">
        <v>40.40825</v>
      </c>
      <c r="AL279" s="113"/>
      <c r="AM279" s="113"/>
      <c r="AN279" s="113"/>
      <c r="AO279" s="112">
        <v>4.5824</v>
      </c>
      <c r="AP279" s="112">
        <v>6.90933333333333</v>
      </c>
      <c r="AQ279" s="113"/>
      <c r="AR279" s="113"/>
      <c r="AS279" s="112">
        <v>0.61025</v>
      </c>
      <c r="AT279" s="112">
        <v>268.401916666666</v>
      </c>
      <c r="AU279" s="113"/>
      <c r="AV279" s="112">
        <v>5.65671666666667</v>
      </c>
      <c r="AW279" s="112">
        <v>0.505983333333333</v>
      </c>
      <c r="AX279" s="113"/>
      <c r="AY279" s="113"/>
      <c r="AZ279" s="113"/>
      <c r="BA279" s="113"/>
      <c r="BB279" s="113"/>
      <c r="BC279" s="113"/>
      <c r="BD279" s="113"/>
      <c r="BE279" s="113"/>
      <c r="BF279" s="113"/>
      <c r="BG279" s="113"/>
      <c r="BH279" s="113"/>
      <c r="BI279" s="113"/>
      <c r="BJ279" s="113"/>
      <c r="BK279" s="113"/>
      <c r="BL279" s="113"/>
      <c r="BM279" s="113"/>
      <c r="BN279" s="113"/>
      <c r="BO279" s="113"/>
      <c r="BP279" s="113"/>
      <c r="BQ279" s="113"/>
      <c r="BR279" s="113"/>
      <c r="BS279" s="113"/>
      <c r="BT279" s="113"/>
      <c r="BU279" s="113"/>
      <c r="BV279" s="113"/>
      <c r="BW279" s="113"/>
      <c r="BX279" s="113"/>
      <c r="BY279" s="113"/>
      <c r="BZ279" s="113"/>
      <c r="CA279" s="113"/>
      <c r="CB279" s="113"/>
      <c r="CC279" s="113"/>
      <c r="CD279" s="113"/>
      <c r="CE279" s="113"/>
      <c r="CF279" s="113"/>
      <c r="CG279" s="113"/>
      <c r="CH279" s="113"/>
      <c r="CI279" s="113"/>
      <c r="CJ279" s="113"/>
      <c r="CK279" s="113"/>
      <c r="CL279" s="113"/>
      <c r="CM279" s="113"/>
      <c r="CN279" s="113"/>
      <c r="CO279" s="113"/>
      <c r="CP279" s="113"/>
      <c r="CQ279" s="113"/>
      <c r="CR279" s="113"/>
      <c r="CS279" s="113"/>
      <c r="CT279" s="113"/>
      <c r="CU279" s="113"/>
      <c r="CV279" s="113"/>
      <c r="CW279" s="113"/>
      <c r="CX279" s="113"/>
      <c r="CY279" s="113"/>
      <c r="CZ279" s="113"/>
      <c r="DA279" s="113"/>
      <c r="DB279" s="113"/>
      <c r="DC279" s="113"/>
      <c r="DD279" s="113"/>
      <c r="DE279" s="113"/>
      <c r="DF279" s="113"/>
      <c r="DG279" s="113"/>
      <c r="DH279" s="113"/>
      <c r="DI279" s="113"/>
      <c r="DJ279" s="113"/>
      <c r="DK279" s="113"/>
      <c r="DL279" s="113"/>
      <c r="DM279" s="113"/>
      <c r="DN279" s="113"/>
      <c r="DO279" s="113"/>
      <c r="DP279" s="113"/>
      <c r="DQ279" s="113"/>
      <c r="DR279" s="113"/>
      <c r="DS279" s="113"/>
      <c r="DT279" s="113"/>
      <c r="DU279" s="113"/>
      <c r="DV279" s="113"/>
      <c r="DW279" s="113"/>
      <c r="DX279" s="113"/>
      <c r="DY279" s="113"/>
      <c r="DZ279" s="113"/>
      <c r="EA279" s="113"/>
      <c r="EB279" s="113"/>
      <c r="EC279" s="113"/>
      <c r="ED279" s="113"/>
      <c r="EE279" s="113"/>
      <c r="EF279" s="113"/>
      <c r="EG279" s="113"/>
      <c r="EH279" s="113"/>
      <c r="EI279" s="113"/>
      <c r="EJ279" s="113"/>
      <c r="EK279" s="113"/>
      <c r="EL279" s="113"/>
      <c r="EM279" s="113"/>
      <c r="EN279" s="113"/>
      <c r="EO279" s="113"/>
      <c r="EP279" s="113"/>
      <c r="EQ279" s="113"/>
      <c r="ER279" s="113"/>
      <c r="ES279" s="113"/>
      <c r="ET279" s="113"/>
      <c r="EU279" s="113"/>
      <c r="EV279" s="113"/>
      <c r="EW279" s="113"/>
      <c r="EX279" s="113"/>
      <c r="EY279" s="113"/>
      <c r="EZ279" s="113"/>
      <c r="FA279" s="113"/>
      <c r="FB279" s="113"/>
      <c r="FC279" s="113"/>
      <c r="FD279" s="113"/>
      <c r="FE279" s="113"/>
      <c r="FF279" s="113"/>
      <c r="FG279" s="113"/>
      <c r="FH279" s="113"/>
      <c r="FI279" s="113"/>
      <c r="FJ279" s="113"/>
      <c r="FK279" s="113"/>
      <c r="FL279" s="113"/>
      <c r="FM279" s="113"/>
      <c r="FN279" s="113"/>
      <c r="FO279" s="113"/>
      <c r="FP279" s="113"/>
      <c r="FQ279" s="113"/>
      <c r="FR279" s="113"/>
      <c r="FS279" s="113"/>
      <c r="FT279" s="113"/>
      <c r="FU279" s="113"/>
      <c r="FV279" s="113"/>
      <c r="FW279" s="113"/>
      <c r="FX279" s="113"/>
      <c r="FY279" s="113"/>
      <c r="FZ279" s="113"/>
      <c r="GA279" s="113"/>
      <c r="GB279" s="113"/>
      <c r="GC279" s="113"/>
      <c r="GD279" s="113"/>
      <c r="GE279" s="113"/>
      <c r="GF279" s="113"/>
      <c r="GG279" s="113"/>
      <c r="GH279" s="113"/>
      <c r="GI279" s="113"/>
      <c r="GJ279" s="113"/>
      <c r="GK279" s="113"/>
      <c r="GL279" s="113"/>
      <c r="GM279" s="113"/>
      <c r="GN279" s="113"/>
      <c r="GO279" s="113"/>
      <c r="GP279" s="113"/>
      <c r="GQ279" s="113"/>
      <c r="GR279" s="113"/>
      <c r="GS279" s="113"/>
      <c r="GT279" s="113"/>
      <c r="GU279" s="113"/>
      <c r="GV279" s="113"/>
      <c r="GW279" s="113"/>
      <c r="GX279" s="113"/>
      <c r="GY279" s="113"/>
      <c r="GZ279" s="113"/>
      <c r="HA279" s="113"/>
      <c r="HB279" s="113"/>
      <c r="HC279" s="113"/>
      <c r="HD279" s="113"/>
      <c r="HE279" s="113"/>
      <c r="HF279" s="113"/>
      <c r="HG279" s="113"/>
      <c r="HH279" s="113"/>
      <c r="HI279" s="113"/>
      <c r="HJ279" s="113"/>
      <c r="HK279" s="113"/>
      <c r="HL279" s="113"/>
      <c r="HM279" s="113"/>
      <c r="HN279" s="113"/>
      <c r="HO279" s="113"/>
      <c r="HP279" s="113"/>
      <c r="HQ279" s="113"/>
      <c r="HR279" s="113"/>
      <c r="HS279" s="113"/>
      <c r="HT279" s="113"/>
      <c r="HU279" s="113"/>
      <c r="HV279" s="113"/>
      <c r="HW279" s="113"/>
      <c r="HX279" s="113"/>
      <c r="HY279" s="113"/>
      <c r="HZ279" s="113"/>
      <c r="IA279" s="113"/>
      <c r="IB279" s="113"/>
      <c r="IC279" s="113"/>
      <c r="ID279" s="113"/>
      <c r="IE279" s="113"/>
      <c r="IF279" s="113"/>
      <c r="IG279" s="113"/>
      <c r="IH279" s="113"/>
      <c r="II279" s="113"/>
      <c r="IJ279" s="113"/>
      <c r="IK279" s="113"/>
      <c r="IL279" s="113"/>
      <c r="IM279" s="113"/>
      <c r="IN279" s="113"/>
      <c r="IO279" s="113"/>
      <c r="IP279" s="113"/>
      <c r="IQ279" s="113"/>
      <c r="IR279" s="113"/>
      <c r="IS279" s="113"/>
      <c r="IT279" s="113"/>
      <c r="IU279" s="113"/>
      <c r="IV279" s="113"/>
      <c r="IW279" s="113"/>
      <c r="IX279" s="113"/>
      <c r="IY279" s="113"/>
      <c r="IZ279" s="113"/>
      <c r="JA279" s="113"/>
      <c r="JB279" s="113"/>
      <c r="JC279" s="113"/>
      <c r="JD279" s="113"/>
      <c r="JE279" s="113"/>
      <c r="JF279" s="113"/>
      <c r="JG279" s="113"/>
      <c r="JH279" s="113"/>
      <c r="JI279" s="113"/>
      <c r="JJ279" s="113"/>
      <c r="JK279" s="113"/>
      <c r="JL279" s="113"/>
      <c r="JM279" s="113"/>
      <c r="JN279" s="113"/>
      <c r="JO279" s="113"/>
      <c r="JP279" s="113"/>
      <c r="JQ279" s="113"/>
      <c r="JR279" s="113"/>
      <c r="JS279" s="113"/>
      <c r="JT279" s="113"/>
      <c r="JU279" s="113"/>
      <c r="JV279" s="113"/>
      <c r="JW279" s="113"/>
      <c r="JX279" s="113"/>
      <c r="JY279" s="113"/>
      <c r="JZ279" s="113"/>
      <c r="KA279" s="113"/>
      <c r="KB279" s="113"/>
      <c r="KC279" s="113"/>
      <c r="KD279" s="113"/>
      <c r="KE279" s="113"/>
      <c r="KF279" s="113"/>
      <c r="KG279" s="113"/>
      <c r="KH279" s="113"/>
      <c r="KI279" s="113"/>
      <c r="KJ279" s="113"/>
      <c r="KK279" s="113"/>
      <c r="KL279" s="113"/>
      <c r="KM279" s="113"/>
      <c r="KN279" s="113"/>
      <c r="KO279" s="113"/>
      <c r="KP279" s="113"/>
      <c r="KQ279" s="113"/>
      <c r="KR279" s="113"/>
      <c r="KS279" s="113"/>
      <c r="KT279" s="113"/>
      <c r="KU279" s="113"/>
      <c r="KV279" s="113"/>
      <c r="KW279" s="113"/>
      <c r="KX279" s="113"/>
      <c r="KY279" s="113"/>
      <c r="KZ279" s="113"/>
      <c r="LA279" s="113"/>
      <c r="LB279" s="113"/>
      <c r="LC279" s="113"/>
      <c r="LD279" s="113"/>
      <c r="LE279" s="113"/>
      <c r="LF279" s="113"/>
      <c r="LG279" s="113"/>
      <c r="LH279" s="113"/>
      <c r="LI279" s="113"/>
      <c r="LJ279" s="113"/>
      <c r="LK279" s="113"/>
      <c r="LL279" s="113"/>
      <c r="LM279" s="113"/>
      <c r="LN279" s="113"/>
      <c r="LO279" s="113"/>
      <c r="LP279" s="113"/>
      <c r="LQ279" s="113"/>
      <c r="LR279" s="113"/>
      <c r="LS279" s="113"/>
      <c r="LT279" s="113"/>
      <c r="LU279" s="113"/>
      <c r="LV279" s="113"/>
      <c r="LW279" s="113"/>
      <c r="LX279" s="113"/>
      <c r="LY279" s="113"/>
      <c r="LZ279" s="113"/>
      <c r="MA279" s="113"/>
      <c r="MB279" s="113"/>
      <c r="MC279" s="113"/>
      <c r="MD279" s="113"/>
      <c r="ME279" s="113"/>
      <c r="MF279" s="113"/>
      <c r="MG279" s="113"/>
      <c r="MH279" s="113"/>
      <c r="MI279" s="113"/>
      <c r="MJ279" s="113"/>
      <c r="MK279" s="113"/>
      <c r="ML279" s="113"/>
      <c r="MM279" s="113"/>
      <c r="MN279" s="113"/>
      <c r="MO279" s="113"/>
      <c r="MP279" s="113"/>
      <c r="MQ279" s="113"/>
      <c r="MR279" s="113"/>
      <c r="MS279" s="113"/>
      <c r="MT279" s="113"/>
      <c r="MU279" s="113"/>
      <c r="MV279" s="113"/>
      <c r="MW279" s="113"/>
      <c r="MX279" s="113"/>
      <c r="MY279" s="113"/>
      <c r="MZ279" s="113"/>
      <c r="NA279" s="113"/>
      <c r="NB279" s="113"/>
      <c r="NC279" s="113"/>
      <c r="ND279" s="113"/>
      <c r="NE279" s="113"/>
      <c r="NF279" s="113"/>
      <c r="NG279" s="113"/>
      <c r="NH279" s="113"/>
      <c r="NI279" s="113"/>
      <c r="NJ279" s="113"/>
      <c r="NK279" s="113"/>
      <c r="NL279" s="113"/>
      <c r="NM279" s="113"/>
      <c r="NN279" s="113"/>
      <c r="NO279" s="113"/>
      <c r="NP279" s="113"/>
      <c r="NQ279" s="113"/>
      <c r="NR279" s="113"/>
      <c r="NS279" s="113"/>
      <c r="NT279" s="113"/>
      <c r="NU279" s="113"/>
      <c r="NV279" s="113"/>
      <c r="NW279" s="113"/>
      <c r="NX279" s="113"/>
      <c r="NY279" s="113"/>
      <c r="NZ279" s="113"/>
      <c r="OA279" s="113"/>
      <c r="OB279" s="113"/>
      <c r="OC279" s="113"/>
      <c r="OD279" s="113"/>
      <c r="OE279" s="113"/>
      <c r="OF279" s="113"/>
      <c r="OG279" s="113"/>
      <c r="OH279" s="113"/>
      <c r="OI279" s="113"/>
      <c r="OJ279" s="113"/>
      <c r="OK279" s="113"/>
      <c r="OL279" s="113"/>
      <c r="OM279" s="113"/>
      <c r="ON279" s="113"/>
      <c r="OO279" s="113"/>
      <c r="OP279" s="113"/>
      <c r="OQ279" s="113"/>
      <c r="OR279" s="113"/>
      <c r="OS279" s="113"/>
      <c r="OT279" s="113"/>
      <c r="OU279" s="113"/>
      <c r="OV279" s="113"/>
      <c r="OW279" s="113"/>
      <c r="OX279" s="113"/>
      <c r="OY279" s="113"/>
      <c r="OZ279" s="113"/>
      <c r="PA279" s="113"/>
      <c r="PB279" s="113"/>
      <c r="PC279" s="113"/>
      <c r="PD279" s="113"/>
      <c r="PE279" s="113"/>
      <c r="PF279" s="113"/>
      <c r="PG279" s="113"/>
      <c r="PH279" s="113"/>
      <c r="PI279" s="113"/>
      <c r="PJ279" s="113"/>
      <c r="PK279" s="113"/>
      <c r="PL279" s="113"/>
      <c r="PM279" s="113"/>
      <c r="PN279" s="113"/>
      <c r="PO279" s="113"/>
      <c r="PP279" s="113"/>
      <c r="PQ279" s="113"/>
      <c r="PR279" s="113"/>
      <c r="PS279" s="113"/>
      <c r="PT279" s="113"/>
      <c r="PU279" s="113"/>
      <c r="PV279" s="113"/>
      <c r="PW279" s="113"/>
      <c r="PX279" s="113"/>
      <c r="PY279" s="113"/>
      <c r="PZ279" s="113"/>
      <c r="QA279" s="113"/>
      <c r="QB279" s="113"/>
      <c r="QC279" s="113"/>
      <c r="QD279" s="113"/>
      <c r="QE279" s="113"/>
      <c r="QF279" s="113"/>
      <c r="QG279" s="113"/>
      <c r="QH279" s="113"/>
      <c r="QI279" s="113"/>
      <c r="QJ279" s="113"/>
      <c r="QK279" s="113"/>
      <c r="QL279" s="113"/>
      <c r="QM279" s="113"/>
      <c r="QN279" s="113"/>
      <c r="QO279" s="113"/>
      <c r="QP279" s="113"/>
      <c r="QQ279" s="113"/>
      <c r="QR279" s="113"/>
      <c r="QS279" s="113"/>
      <c r="QT279" s="113"/>
      <c r="QU279" s="113"/>
      <c r="QV279" s="113"/>
      <c r="QW279" s="113"/>
      <c r="QX279" s="113"/>
      <c r="QY279" s="113"/>
      <c r="QZ279" s="113"/>
      <c r="RA279" s="113"/>
      <c r="RB279" s="113"/>
      <c r="RC279" s="113"/>
      <c r="RD279" s="113"/>
      <c r="RE279" s="113"/>
      <c r="RF279" s="113"/>
      <c r="RG279" s="113"/>
      <c r="RH279" s="113"/>
      <c r="RI279" s="113"/>
      <c r="RJ279" s="113"/>
      <c r="RK279" s="113"/>
      <c r="RL279" s="113"/>
      <c r="RM279" s="113"/>
      <c r="RN279" s="113"/>
      <c r="RO279" s="113"/>
      <c r="RP279" s="113"/>
      <c r="RQ279" s="113"/>
      <c r="RR279" s="113"/>
      <c r="RS279" s="113"/>
      <c r="RT279" s="113"/>
      <c r="RU279" s="113"/>
      <c r="RV279" s="113"/>
      <c r="RW279" s="113"/>
      <c r="RX279" s="113"/>
      <c r="RY279" s="113"/>
      <c r="RZ279" s="113"/>
      <c r="SA279" s="113"/>
      <c r="SB279" s="113"/>
      <c r="SC279" s="113"/>
      <c r="SD279" s="113"/>
      <c r="SE279" s="113"/>
      <c r="SF279" s="113"/>
      <c r="SG279" s="113"/>
      <c r="SH279" s="113"/>
      <c r="SI279" s="113"/>
      <c r="SJ279" s="113"/>
      <c r="SK279" s="113"/>
      <c r="SL279" s="113"/>
      <c r="SM279" s="113"/>
      <c r="SN279" s="113"/>
      <c r="SO279" s="113"/>
      <c r="SP279" s="113"/>
      <c r="SQ279" s="113"/>
      <c r="SR279" s="113"/>
      <c r="SS279" s="113"/>
      <c r="ST279" s="113"/>
      <c r="SU279" s="113"/>
      <c r="SV279" s="113"/>
      <c r="SW279" s="113"/>
      <c r="SX279" s="113"/>
      <c r="SY279" s="113"/>
      <c r="SZ279" s="113"/>
      <c r="TA279" s="113"/>
      <c r="TB279" s="113"/>
      <c r="TC279" s="113"/>
      <c r="TD279" s="113"/>
      <c r="TE279" s="113"/>
      <c r="TF279" s="113"/>
      <c r="TG279" s="113"/>
      <c r="TH279" s="113"/>
      <c r="TI279" s="113"/>
      <c r="TJ279" s="113"/>
      <c r="TK279" s="113"/>
      <c r="TL279" s="113"/>
      <c r="TM279" s="113"/>
      <c r="TN279" s="113"/>
      <c r="TO279" s="113"/>
      <c r="TP279" s="113"/>
      <c r="TQ279" s="113"/>
      <c r="TR279" s="113"/>
      <c r="TS279" s="113"/>
      <c r="TT279" s="113"/>
      <c r="TU279" s="113"/>
      <c r="TV279" s="113"/>
      <c r="TW279" s="113"/>
      <c r="TX279" s="113"/>
      <c r="TY279" s="113"/>
      <c r="TZ279" s="113"/>
      <c r="UA279" s="113"/>
      <c r="UB279" s="113"/>
      <c r="UC279" s="113"/>
      <c r="UD279" s="113"/>
      <c r="UE279" s="113"/>
      <c r="UF279" s="113"/>
      <c r="UG279" s="113"/>
      <c r="UH279" s="113"/>
      <c r="UI279" s="113"/>
      <c r="UJ279" s="113"/>
      <c r="UK279" s="113"/>
      <c r="UL279" s="113"/>
      <c r="UM279" s="113"/>
      <c r="UN279" s="113"/>
      <c r="UO279" s="113"/>
      <c r="UP279" s="113"/>
      <c r="UQ279" s="113"/>
      <c r="UR279" s="113"/>
      <c r="US279" s="113"/>
      <c r="UT279" s="113"/>
      <c r="UU279" s="113"/>
      <c r="UV279" s="113"/>
      <c r="UW279" s="113"/>
      <c r="UX279" s="113"/>
      <c r="UY279" s="113"/>
      <c r="UZ279" s="113"/>
      <c r="VA279" s="113"/>
      <c r="VB279" s="113"/>
      <c r="VC279" s="113"/>
      <c r="VD279" s="113"/>
      <c r="VE279" s="113"/>
      <c r="VF279" s="113"/>
      <c r="VG279" s="113"/>
      <c r="VH279" s="113"/>
      <c r="VI279" s="113"/>
      <c r="VJ279" s="113"/>
      <c r="VK279" s="113"/>
      <c r="VL279" s="113"/>
      <c r="VM279" s="113"/>
      <c r="VN279" s="113"/>
      <c r="VO279" s="113"/>
      <c r="VP279" s="113"/>
      <c r="VQ279" s="113"/>
      <c r="VR279" s="113"/>
      <c r="VS279" s="113"/>
      <c r="VT279" s="113"/>
      <c r="VU279" s="113"/>
      <c r="VV279" s="113"/>
      <c r="VW279" s="113"/>
      <c r="VX279" s="113"/>
      <c r="VY279" s="113"/>
      <c r="VZ279" s="113"/>
      <c r="WA279" s="113"/>
      <c r="WB279" s="113"/>
      <c r="WC279" s="113"/>
      <c r="WD279" s="113"/>
      <c r="WE279" s="113"/>
      <c r="WF279" s="113"/>
      <c r="WG279" s="113"/>
      <c r="WH279" s="113"/>
      <c r="WI279" s="113"/>
      <c r="WJ279" s="113"/>
      <c r="WK279" s="113"/>
      <c r="WL279" s="113"/>
      <c r="WM279" s="113"/>
      <c r="WN279" s="113"/>
      <c r="WO279" s="113"/>
      <c r="WP279" s="113"/>
      <c r="WQ279" s="113"/>
      <c r="WR279" s="113"/>
      <c r="WS279" s="113"/>
      <c r="WT279" s="113"/>
      <c r="WU279" s="113"/>
      <c r="WV279" s="113"/>
      <c r="WW279" s="113"/>
      <c r="WX279" s="113"/>
      <c r="WY279" s="113"/>
      <c r="WZ279" s="113"/>
      <c r="XA279" s="113"/>
      <c r="XB279" s="113"/>
      <c r="XC279" s="113"/>
      <c r="XD279" s="113"/>
      <c r="XE279" s="113"/>
      <c r="XF279" s="113"/>
      <c r="XG279" s="113"/>
      <c r="XH279" s="113"/>
      <c r="XI279" s="113"/>
      <c r="XJ279" s="113"/>
      <c r="XK279" s="113"/>
      <c r="XL279" s="113"/>
      <c r="XM279" s="113"/>
      <c r="XN279" s="113"/>
      <c r="XO279" s="113"/>
      <c r="XP279" s="113"/>
      <c r="XQ279" s="113"/>
      <c r="XR279" s="113"/>
      <c r="XS279" s="113"/>
      <c r="XT279" s="113"/>
      <c r="XU279" s="113"/>
      <c r="XV279" s="113"/>
      <c r="XW279" s="113"/>
      <c r="XX279" s="113"/>
      <c r="XY279" s="113"/>
      <c r="XZ279" s="113"/>
      <c r="YA279" s="113"/>
      <c r="YB279" s="113"/>
      <c r="YC279" s="113"/>
      <c r="YD279" s="113"/>
      <c r="YE279" s="113"/>
      <c r="YF279" s="113"/>
      <c r="YG279" s="113"/>
      <c r="YH279" s="113"/>
      <c r="YI279" s="113"/>
      <c r="YJ279" s="113"/>
      <c r="YK279" s="113"/>
      <c r="YL279" s="113"/>
      <c r="YM279" s="113"/>
      <c r="YN279" s="113"/>
      <c r="YO279" s="113"/>
      <c r="YP279" s="113"/>
      <c r="YQ279" s="113"/>
      <c r="YR279" s="113"/>
      <c r="YS279" s="113"/>
      <c r="YT279" s="113"/>
      <c r="YU279" s="113"/>
      <c r="YV279" s="113"/>
      <c r="YW279" s="113"/>
      <c r="YX279" s="113"/>
      <c r="YY279" s="113"/>
      <c r="YZ279" s="113"/>
      <c r="ZA279" s="113"/>
      <c r="ZB279" s="113"/>
      <c r="ZC279" s="113"/>
      <c r="ZD279" s="113"/>
      <c r="ZE279" s="113"/>
      <c r="ZF279" s="113"/>
      <c r="ZG279" s="113"/>
      <c r="ZH279" s="113"/>
      <c r="ZI279" s="113"/>
      <c r="ZJ279" s="113"/>
      <c r="ZK279" s="113"/>
      <c r="ZL279" s="113"/>
      <c r="ZM279" s="113"/>
      <c r="ZN279" s="113"/>
      <c r="ZO279" s="113"/>
      <c r="ZP279" s="113"/>
      <c r="ZQ279" s="113"/>
      <c r="ZR279" s="113"/>
      <c r="ZS279" s="113"/>
      <c r="ZT279" s="113"/>
      <c r="ZU279" s="113"/>
      <c r="ZV279" s="113"/>
      <c r="ZW279" s="113"/>
      <c r="ZX279" s="113"/>
      <c r="ZY279" s="113"/>
      <c r="ZZ279" s="113"/>
      <c r="AAA279" s="113"/>
      <c r="AAB279" s="113"/>
      <c r="AAC279" s="113"/>
      <c r="AAD279" s="113"/>
      <c r="AAE279" s="113"/>
      <c r="AAF279" s="113"/>
      <c r="AAG279" s="113"/>
      <c r="AAH279" s="113"/>
      <c r="AAI279" s="113"/>
      <c r="AAJ279" s="113"/>
      <c r="AAK279" s="113"/>
      <c r="AAL279" s="113"/>
      <c r="AAM279" s="113"/>
      <c r="AAN279" s="113"/>
      <c r="AAO279" s="113"/>
      <c r="AAP279" s="113"/>
      <c r="AAQ279" s="113"/>
      <c r="AAR279" s="113"/>
      <c r="AAS279" s="113"/>
      <c r="AAT279" s="113"/>
      <c r="AAU279" s="113"/>
      <c r="AAV279" s="113"/>
      <c r="AAW279" s="113"/>
      <c r="AAX279" s="113"/>
      <c r="AAY279" s="113"/>
      <c r="AAZ279" s="113"/>
      <c r="ABA279" s="113"/>
      <c r="ABB279" s="113"/>
      <c r="ABC279" s="113"/>
      <c r="ABD279" s="113"/>
      <c r="ABE279" s="113"/>
      <c r="ABF279" s="113"/>
      <c r="ABG279" s="113"/>
      <c r="ABH279" s="113"/>
      <c r="ABI279" s="113"/>
      <c r="ABJ279" s="113"/>
      <c r="ABK279" s="113"/>
      <c r="ABL279" s="113"/>
      <c r="ABM279" s="113"/>
      <c r="ABN279" s="113"/>
      <c r="ABO279" s="113"/>
      <c r="ABP279" s="113"/>
      <c r="ABQ279" s="113"/>
      <c r="ABR279" s="113"/>
      <c r="ABS279" s="113"/>
      <c r="ABT279" s="113"/>
      <c r="ABU279" s="113"/>
      <c r="ABV279" s="113"/>
      <c r="ABW279" s="113"/>
      <c r="ABX279" s="113"/>
      <c r="ABY279" s="113"/>
      <c r="ABZ279" s="113"/>
      <c r="ACA279" s="113"/>
      <c r="ACB279" s="113"/>
      <c r="ACC279" s="113"/>
      <c r="ACD279" s="113"/>
      <c r="ACE279" s="113"/>
      <c r="ACF279" s="113"/>
      <c r="ACG279" s="113"/>
      <c r="ACH279" s="113"/>
      <c r="ACI279" s="113"/>
      <c r="ACJ279" s="113"/>
      <c r="ACK279" s="113"/>
      <c r="ACL279" s="113"/>
      <c r="ACM279" s="113"/>
      <c r="ACN279" s="113"/>
      <c r="ACO279" s="113"/>
      <c r="ACP279" s="113"/>
      <c r="ACQ279" s="113"/>
      <c r="ACR279" s="113"/>
      <c r="ACS279" s="113"/>
      <c r="ACT279" s="113"/>
      <c r="ACU279" s="113"/>
      <c r="ACV279" s="113"/>
      <c r="ACW279" s="113"/>
      <c r="ACX279" s="113"/>
      <c r="ACY279" s="113"/>
      <c r="ACZ279" s="113"/>
      <c r="ADA279" s="113"/>
      <c r="ADB279" s="113"/>
      <c r="ADC279" s="113"/>
      <c r="ADD279" s="113"/>
      <c r="ADE279" s="113"/>
      <c r="ADF279" s="113"/>
      <c r="ADG279" s="113"/>
      <c r="ADH279" s="113"/>
      <c r="ADI279" s="113"/>
      <c r="ADJ279" s="113"/>
      <c r="ADK279" s="113"/>
      <c r="ADL279" s="113"/>
      <c r="ADM279" s="113"/>
      <c r="ADN279" s="113"/>
      <c r="ADO279" s="113"/>
      <c r="ADP279" s="113"/>
      <c r="ADQ279" s="113"/>
      <c r="ADR279" s="113"/>
      <c r="ADS279" s="113"/>
      <c r="ADT279" s="113"/>
      <c r="ADU279" s="113"/>
      <c r="ADV279" s="113"/>
      <c r="ADW279" s="113"/>
      <c r="ADX279" s="113"/>
      <c r="ADY279" s="113"/>
      <c r="ADZ279" s="113"/>
      <c r="AEA279" s="113"/>
      <c r="AEB279" s="113"/>
      <c r="AEC279" s="113"/>
      <c r="AED279" s="113"/>
      <c r="AEE279" s="113"/>
      <c r="AEF279" s="113"/>
      <c r="AEG279" s="113"/>
      <c r="AEH279" s="113"/>
      <c r="AEI279" s="113"/>
      <c r="AEJ279" s="113"/>
      <c r="AEK279" s="113"/>
      <c r="AEL279" s="113"/>
      <c r="AEM279" s="113"/>
      <c r="AEN279" s="113"/>
      <c r="AEO279" s="113"/>
      <c r="AEP279" s="113"/>
      <c r="AEQ279" s="113"/>
      <c r="AER279" s="113"/>
      <c r="AES279" s="113"/>
      <c r="AET279" s="113"/>
      <c r="AEU279" s="113"/>
      <c r="AEV279" s="113"/>
      <c r="AEW279" s="113"/>
      <c r="AEX279" s="113"/>
      <c r="AEY279" s="113"/>
      <c r="AEZ279" s="113"/>
      <c r="AFA279" s="113"/>
      <c r="AFB279" s="113"/>
      <c r="AFC279" s="113"/>
      <c r="AFD279" s="113"/>
      <c r="AFE279" s="113"/>
      <c r="AFF279" s="113"/>
      <c r="AFG279" s="113"/>
      <c r="AFH279" s="113"/>
      <c r="AFI279" s="113"/>
      <c r="AFJ279" s="113"/>
      <c r="AFK279" s="113"/>
      <c r="AFL279" s="113"/>
      <c r="AFM279" s="113"/>
      <c r="AFN279" s="113"/>
      <c r="AFO279" s="113"/>
      <c r="AFP279" s="113"/>
      <c r="AFQ279" s="113"/>
      <c r="AFR279" s="113"/>
      <c r="AFS279" s="113"/>
      <c r="AFT279" s="113"/>
      <c r="AFU279" s="113"/>
      <c r="AFV279" s="113"/>
      <c r="AFW279" s="113"/>
      <c r="AFX279" s="113"/>
      <c r="AFY279" s="113"/>
      <c r="AFZ279" s="113"/>
      <c r="AGA279" s="113"/>
      <c r="AGB279" s="113"/>
      <c r="AGC279" s="113"/>
      <c r="AGD279" s="113"/>
      <c r="AGE279" s="113"/>
      <c r="AGF279" s="113"/>
      <c r="AGG279" s="113"/>
      <c r="AGH279" s="113"/>
      <c r="AGI279" s="113"/>
      <c r="AGJ279" s="113"/>
      <c r="AGK279" s="113"/>
      <c r="AGL279" s="113"/>
      <c r="AGM279" s="113"/>
      <c r="AGN279" s="113"/>
      <c r="AGO279" s="113"/>
      <c r="AGP279" s="113"/>
      <c r="AGQ279" s="113"/>
      <c r="AGR279" s="113"/>
      <c r="AGS279" s="113"/>
      <c r="AGT279" s="113"/>
      <c r="AGU279" s="113"/>
      <c r="AGV279" s="113"/>
      <c r="AGW279" s="113"/>
      <c r="AGX279" s="113"/>
      <c r="AGY279" s="113"/>
      <c r="AGZ279" s="113"/>
      <c r="AHA279" s="113"/>
      <c r="AHB279" s="113"/>
      <c r="AHC279" s="113"/>
      <c r="AHD279" s="113"/>
      <c r="AHE279" s="113"/>
      <c r="AHF279" s="113"/>
      <c r="AHG279" s="113"/>
      <c r="AHH279" s="113"/>
      <c r="AHI279" s="113"/>
      <c r="AHJ279" s="113"/>
      <c r="AHK279" s="113"/>
      <c r="AHL279" s="113"/>
      <c r="AHM279" s="113"/>
      <c r="AHN279" s="113"/>
      <c r="AHO279" s="113"/>
      <c r="AHP279" s="113"/>
      <c r="AHQ279" s="113"/>
      <c r="AHR279" s="113"/>
      <c r="AHS279" s="113"/>
      <c r="AHT279" s="113"/>
      <c r="AHU279" s="113"/>
      <c r="AHV279" s="113"/>
      <c r="AHW279" s="113"/>
      <c r="AHX279" s="113"/>
      <c r="AHY279" s="113"/>
      <c r="AHZ279" s="113"/>
      <c r="AIA279" s="113"/>
      <c r="AIB279" s="113"/>
      <c r="AIC279" s="113"/>
      <c r="AID279" s="113"/>
      <c r="AIE279" s="113"/>
      <c r="AIF279" s="113"/>
      <c r="AIG279" s="113"/>
      <c r="AIH279" s="113"/>
      <c r="AII279" s="113"/>
      <c r="AIJ279" s="113"/>
      <c r="AIK279" s="113"/>
      <c r="AIL279" s="113"/>
      <c r="AIM279" s="113"/>
      <c r="AIN279" s="113"/>
      <c r="AIO279" s="113"/>
      <c r="AIP279" s="113"/>
      <c r="AIQ279" s="113"/>
      <c r="AIR279" s="113"/>
      <c r="AIS279" s="113"/>
      <c r="AIT279" s="113"/>
      <c r="AIU279" s="113"/>
      <c r="AIV279" s="113"/>
      <c r="AIW279" s="113"/>
      <c r="AIX279" s="113"/>
      <c r="AIY279" s="113"/>
      <c r="AIZ279" s="113"/>
    </row>
    <row r="280">
      <c r="A280" s="65" t="s">
        <v>35</v>
      </c>
      <c r="B280" s="65" t="s">
        <v>82</v>
      </c>
      <c r="C280" s="65"/>
      <c r="D280" s="64">
        <f t="shared" si="1"/>
        <v>518.9041</v>
      </c>
      <c r="G280" s="65">
        <v>0.267983333333333</v>
      </c>
      <c r="H280" s="65">
        <v>2.39248333333333</v>
      </c>
      <c r="I280" s="65">
        <v>22.4515333333333</v>
      </c>
      <c r="J280" s="65">
        <v>17.5500666666667</v>
      </c>
      <c r="K280" s="65">
        <v>30.9094666666667</v>
      </c>
      <c r="N280" s="65">
        <v>0.581783333333333</v>
      </c>
      <c r="S280" s="65">
        <v>2.9135</v>
      </c>
      <c r="T280" s="65">
        <v>69.1975833333333</v>
      </c>
      <c r="U280" s="65">
        <v>62.2526833333333</v>
      </c>
      <c r="Y280" s="65">
        <v>0.07135</v>
      </c>
      <c r="Z280" s="65">
        <v>0.932066666666667</v>
      </c>
      <c r="AA280" s="65">
        <v>30.8304166666667</v>
      </c>
      <c r="AB280" s="65">
        <v>35.144</v>
      </c>
      <c r="AF280" s="65">
        <v>0.476233333333333</v>
      </c>
      <c r="AG280" s="65">
        <v>1.56531666666667</v>
      </c>
      <c r="AH280" s="65">
        <v>3.77995</v>
      </c>
      <c r="AI280" s="65">
        <v>24.09025</v>
      </c>
      <c r="AL280" s="65">
        <v>3.0777</v>
      </c>
      <c r="AM280" s="65">
        <v>7.54208333333333</v>
      </c>
      <c r="AN280" s="65">
        <v>14.6973833333333</v>
      </c>
      <c r="AQ280" s="65">
        <v>0.34985</v>
      </c>
      <c r="AR280" s="65">
        <v>2.3138</v>
      </c>
      <c r="AU280" s="65">
        <v>185.516616666667</v>
      </c>
    </row>
    <row r="281">
      <c r="A281" s="65" t="s">
        <v>35</v>
      </c>
      <c r="B281" s="65" t="s">
        <v>82</v>
      </c>
      <c r="C281" s="65"/>
      <c r="D281" s="64">
        <f t="shared" si="1"/>
        <v>0</v>
      </c>
    </row>
    <row r="282">
      <c r="A282" s="65" t="s">
        <v>35</v>
      </c>
      <c r="B282" s="65" t="s">
        <v>82</v>
      </c>
      <c r="C282" s="65"/>
      <c r="D282" s="64">
        <f t="shared" si="1"/>
        <v>515.8017</v>
      </c>
      <c r="G282" s="118">
        <f>HYPERLINK("https://docs.google.com/spreadsheets/d/1w1VOwqvASRHSRLkSSmw3CMIRi4xxMOXK", 0.267983333333333)</f>
        <v>0.2679833333</v>
      </c>
      <c r="H282" s="118">
        <f>HYPERLINK("https://docs.google.com/spreadsheets/d/1DEAVYbzkQAGLjpJPLtWvCDSl99Yp7dzg", 2.39248333333333)</f>
        <v>2.392483333</v>
      </c>
      <c r="I282" s="118">
        <f>HYPERLINK("https://docs.google.com/spreadsheets/d/1v_jjq6A-nHy2Ba0LTFAEddVp8dfWqCQI", 22.45155)</f>
        <v>22.45155</v>
      </c>
      <c r="J282" s="118">
        <f>HYPERLINK("https://docs.google.com/spreadsheets/d/1aKTVNYqyAeNsjtyVltFL4KkkXTwkkKLN", 17.41935)</f>
        <v>17.41935</v>
      </c>
      <c r="K282" s="118">
        <f>HYPERLINK("https://docs.google.com/spreadsheets/d/1DogAeIIoV3s9ne3tSQQmESIsFzvYW_4p", 30.8697333333333)</f>
        <v>30.86973333</v>
      </c>
      <c r="N282" s="118">
        <f>HYPERLINK("https://docs.google.com/spreadsheets/d/1AZ8zQ9qah9k9J3RHmB2My_k68OvHm3x-", 0.581783333333333)</f>
        <v>0.5817833333</v>
      </c>
      <c r="S282" s="118">
        <f>HYPERLINK("https://docs.google.com/spreadsheets/d/1xGgP73_KFtYtWoVrOPaw0E66VEauMY08", 2.85646666666667)</f>
        <v>2.856466667</v>
      </c>
      <c r="T282" s="118">
        <f>HYPERLINK("https://docs.google.com/spreadsheets/d/1cSiiQTnetY5SXBGMdC-Utp3E67fnwlgl", 68.8714333333333)</f>
        <v>68.87143333</v>
      </c>
      <c r="U282" s="118">
        <f>HYPERLINK("https://docs.google.com/spreadsheets/d/1-OcDd6Gm5C78p7Uw-ctcSapl3R5IrHRl", 62.16265)</f>
        <v>62.16265</v>
      </c>
      <c r="Y282" s="118">
        <f>HYPERLINK("https://docs.google.com/spreadsheets/d/1sidwpPbGY8LiRH1KkUJ6-buXJuM4qlPJ", 0.07135)</f>
        <v>0.07135</v>
      </c>
      <c r="Z282" s="118">
        <f>HYPERLINK("https://docs.google.com/spreadsheets/d/1UgazA7owZr-_3ePn3R7lq78Sw6bN2Rs7", 0.932066666666667)</f>
        <v>0.9320666667</v>
      </c>
      <c r="AA282" s="118">
        <f>HYPERLINK("https://docs.google.com/spreadsheets/d/1DcSnsW3UzORTt_rCu3XLIqAZgpIshhVR", 30.4454)</f>
        <v>30.4454</v>
      </c>
      <c r="AB282" s="118">
        <f>HYPERLINK("https://docs.google.com/spreadsheets/d/1r9E7Gz-IIpp9dICYSS5U0GgVMM5J6GJY", 35.144)</f>
        <v>35.144</v>
      </c>
      <c r="AF282" s="118">
        <f>HYPERLINK("https://docs.google.com/spreadsheets/d/1tndfCQKBXR9G_yT8aSWdtlokPH90iDLY", 0.2736)</f>
        <v>0.2736</v>
      </c>
      <c r="AG282" s="118">
        <f>HYPERLINK("https://docs.google.com/spreadsheets/d/1E2nhSx-kcHxsjLjNYjMXWZiKPwst4Hax", 1.56531666666667)</f>
        <v>1.565316667</v>
      </c>
      <c r="AH282" s="118">
        <f>HYPERLINK("https://docs.google.com/spreadsheets/d/1al53D1ZdNWhMOl6_ABTLAIqSpcSen51u", 3.77995)</f>
        <v>3.77995</v>
      </c>
      <c r="AI282" s="118">
        <f>HYPERLINK("https://docs.google.com/spreadsheets/d/18djtASTiMw7B0mAae1CPHaEYD8HobV-e", 24.0902666666667)</f>
        <v>24.09026667</v>
      </c>
      <c r="AL282" s="118">
        <f>HYPERLINK("https://docs.google.com/spreadsheets/d/1reNqNwWwiUBty5IONWrf9sUgWY42G2a5", 3.0777)</f>
        <v>3.0777</v>
      </c>
      <c r="AM282" s="118">
        <f>HYPERLINK("https://docs.google.com/spreadsheets/d/1enLY7PpQ1K36Blzqm1n2zwvR5rdT1yir", 7.54206666666667)</f>
        <v>7.542066667</v>
      </c>
      <c r="AN282" s="118">
        <f>HYPERLINK("https://docs.google.com/spreadsheets/d/1r2pKtKqGwmJQO4HZUFloSy3BECurI4Aw", 14.5423833333333)</f>
        <v>14.54238333</v>
      </c>
      <c r="AQ282" s="118">
        <f>HYPERLINK("https://docs.google.com/spreadsheets/d/1k6iaKQuCokYurbsNyWIB5hYeCh5ngDW9", 0)</f>
        <v>0</v>
      </c>
      <c r="AR282" s="118">
        <f>HYPERLINK("https://docs.google.com/spreadsheets/d/1Gxlet1UHBgLjfCMrZDFKgdI8g_Vjptcc", 2.31378333333333)</f>
        <v>2.313783333</v>
      </c>
      <c r="AU282" s="118">
        <f>HYPERLINK("https://docs.google.com/spreadsheets/d/1Z-S2Mu2uDvyZ-yuxGl2p8OiR6selZ2rm", 184.150383333333)</f>
        <v>184.1503833</v>
      </c>
    </row>
    <row r="283">
      <c r="A283" s="65" t="s">
        <v>35</v>
      </c>
      <c r="B283" s="65" t="s">
        <v>82</v>
      </c>
      <c r="C283" s="65"/>
      <c r="D283" s="64">
        <f t="shared" si="1"/>
        <v>331.7424833</v>
      </c>
      <c r="G283" s="65">
        <v>0.267983333333333</v>
      </c>
      <c r="H283" s="65">
        <v>2.08213333333333</v>
      </c>
      <c r="I283" s="65">
        <v>13.6044</v>
      </c>
      <c r="J283" s="65">
        <v>9.83315</v>
      </c>
      <c r="K283" s="65">
        <v>19.5102166666667</v>
      </c>
      <c r="N283" s="65">
        <v>0.581783333333333</v>
      </c>
      <c r="S283" s="65">
        <v>2.0759</v>
      </c>
      <c r="T283" s="65">
        <v>50.2607666666666</v>
      </c>
      <c r="U283" s="65">
        <v>38.58325</v>
      </c>
      <c r="Y283" s="65">
        <v>0.07135</v>
      </c>
      <c r="Z283" s="65">
        <v>0.691133333333333</v>
      </c>
      <c r="AA283" s="65">
        <v>19.5470833333333</v>
      </c>
      <c r="AB283" s="65">
        <v>20.2193666666667</v>
      </c>
      <c r="AF283" s="65">
        <v>0.2736</v>
      </c>
      <c r="AG283" s="65">
        <v>1.22665</v>
      </c>
      <c r="AH283" s="65">
        <v>2.97541666666667</v>
      </c>
      <c r="AI283" s="65">
        <v>15.0515333333333</v>
      </c>
      <c r="AL283" s="65">
        <v>2.90338333333333</v>
      </c>
      <c r="AM283" s="65">
        <v>6.21766666666667</v>
      </c>
      <c r="AN283" s="65">
        <v>10.8272666666667</v>
      </c>
      <c r="AR283" s="65">
        <v>1.3806</v>
      </c>
      <c r="AU283" s="65">
        <v>113.55785</v>
      </c>
    </row>
    <row r="284">
      <c r="A284" s="119" t="s">
        <v>35</v>
      </c>
      <c r="B284" s="119" t="s">
        <v>82</v>
      </c>
      <c r="C284" s="119"/>
      <c r="D284" s="120">
        <f t="shared" si="1"/>
        <v>0</v>
      </c>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c r="AA284" s="120"/>
      <c r="AB284" s="120"/>
      <c r="AC284" s="120"/>
      <c r="AD284" s="120"/>
      <c r="AE284" s="120"/>
      <c r="AF284" s="120"/>
      <c r="AG284" s="120"/>
      <c r="AH284" s="120"/>
      <c r="AI284" s="120"/>
      <c r="AJ284" s="120"/>
      <c r="AK284" s="120"/>
      <c r="AL284" s="120"/>
      <c r="AM284" s="120"/>
      <c r="AN284" s="120"/>
      <c r="AO284" s="120"/>
      <c r="AP284" s="120"/>
      <c r="AQ284" s="120"/>
      <c r="AR284" s="120"/>
      <c r="AS284" s="120"/>
      <c r="AT284" s="120"/>
      <c r="AU284" s="120"/>
      <c r="AV284" s="120"/>
      <c r="AW284" s="120"/>
      <c r="AX284" s="120"/>
      <c r="AY284" s="120"/>
      <c r="AZ284" s="120"/>
      <c r="BA284" s="120"/>
      <c r="BB284" s="120"/>
      <c r="BC284" s="120"/>
      <c r="BD284" s="120"/>
      <c r="BE284" s="120"/>
      <c r="BF284" s="120"/>
      <c r="BG284" s="120"/>
      <c r="BH284" s="120"/>
      <c r="BI284" s="120"/>
      <c r="BJ284" s="120"/>
      <c r="BK284" s="120"/>
      <c r="BL284" s="120"/>
      <c r="BM284" s="120"/>
      <c r="BN284" s="120"/>
      <c r="BO284" s="120"/>
      <c r="BP284" s="120"/>
      <c r="BQ284" s="120"/>
      <c r="BR284" s="120"/>
      <c r="BS284" s="120"/>
      <c r="BT284" s="120"/>
      <c r="BU284" s="120"/>
      <c r="BV284" s="120"/>
      <c r="BW284" s="120"/>
      <c r="BX284" s="120"/>
      <c r="BY284" s="120"/>
      <c r="BZ284" s="120"/>
      <c r="CA284" s="120"/>
      <c r="CB284" s="120"/>
      <c r="CC284" s="120"/>
      <c r="CD284" s="120"/>
      <c r="CE284" s="120"/>
      <c r="CF284" s="120"/>
      <c r="CG284" s="120"/>
      <c r="CH284" s="120"/>
      <c r="CI284" s="120"/>
      <c r="CJ284" s="120"/>
      <c r="CK284" s="120"/>
      <c r="CL284" s="120"/>
      <c r="CM284" s="120"/>
      <c r="CN284" s="120"/>
      <c r="CO284" s="120"/>
      <c r="CP284" s="120"/>
      <c r="CQ284" s="120"/>
      <c r="CR284" s="120"/>
      <c r="CS284" s="120"/>
      <c r="CT284" s="120"/>
      <c r="CU284" s="120"/>
      <c r="CV284" s="120"/>
      <c r="CW284" s="120"/>
      <c r="CX284" s="120"/>
      <c r="CY284" s="120"/>
      <c r="CZ284" s="120"/>
      <c r="DA284" s="120"/>
      <c r="DB284" s="120"/>
      <c r="DC284" s="120"/>
      <c r="DD284" s="120"/>
      <c r="DE284" s="120"/>
      <c r="DF284" s="120"/>
      <c r="DG284" s="120"/>
      <c r="DH284" s="120"/>
      <c r="DI284" s="120"/>
      <c r="DJ284" s="120"/>
      <c r="DK284" s="120"/>
      <c r="DL284" s="120"/>
      <c r="DM284" s="120"/>
      <c r="DN284" s="120"/>
      <c r="DO284" s="120"/>
      <c r="DP284" s="120"/>
      <c r="DQ284" s="120"/>
      <c r="DR284" s="120"/>
      <c r="DS284" s="120"/>
      <c r="DT284" s="120"/>
      <c r="DU284" s="120"/>
      <c r="DV284" s="120"/>
      <c r="DW284" s="120"/>
      <c r="DX284" s="120"/>
      <c r="DY284" s="120"/>
      <c r="DZ284" s="120"/>
      <c r="EA284" s="120"/>
      <c r="EB284" s="120"/>
      <c r="EC284" s="120"/>
      <c r="ED284" s="120"/>
      <c r="EE284" s="120"/>
      <c r="EF284" s="120"/>
      <c r="EG284" s="120"/>
      <c r="EH284" s="120"/>
      <c r="EI284" s="120"/>
      <c r="EJ284" s="120"/>
      <c r="EK284" s="120"/>
      <c r="EL284" s="120"/>
      <c r="EM284" s="120"/>
      <c r="EN284" s="120"/>
      <c r="EO284" s="120"/>
      <c r="EP284" s="120"/>
      <c r="EQ284" s="120"/>
      <c r="ER284" s="120"/>
      <c r="ES284" s="120"/>
      <c r="ET284" s="120"/>
      <c r="EU284" s="120"/>
      <c r="EV284" s="120"/>
      <c r="EW284" s="120"/>
      <c r="EX284" s="120"/>
      <c r="EY284" s="120"/>
      <c r="EZ284" s="120"/>
      <c r="FA284" s="120"/>
      <c r="FB284" s="120"/>
      <c r="FC284" s="120"/>
      <c r="FD284" s="120"/>
      <c r="FE284" s="120"/>
      <c r="FF284" s="120"/>
      <c r="FG284" s="120"/>
      <c r="FH284" s="120"/>
      <c r="FI284" s="120"/>
      <c r="FJ284" s="120"/>
      <c r="FK284" s="120"/>
      <c r="FL284" s="120"/>
      <c r="FM284" s="120"/>
      <c r="FN284" s="120"/>
      <c r="FO284" s="120"/>
      <c r="FP284" s="120"/>
      <c r="FQ284" s="120"/>
      <c r="FR284" s="120"/>
      <c r="FS284" s="120"/>
      <c r="FT284" s="120"/>
      <c r="FU284" s="120"/>
      <c r="FV284" s="120"/>
      <c r="FW284" s="120"/>
      <c r="FX284" s="120"/>
      <c r="FY284" s="120"/>
      <c r="FZ284" s="120"/>
      <c r="GA284" s="120"/>
      <c r="GB284" s="120"/>
      <c r="GC284" s="120"/>
      <c r="GD284" s="120"/>
      <c r="GE284" s="120"/>
      <c r="GF284" s="120"/>
      <c r="GG284" s="120"/>
      <c r="GH284" s="120"/>
      <c r="GI284" s="120"/>
      <c r="GJ284" s="120"/>
      <c r="GK284" s="120"/>
      <c r="GL284" s="120"/>
      <c r="GM284" s="120"/>
      <c r="GN284" s="120"/>
      <c r="GO284" s="120"/>
      <c r="GP284" s="120"/>
      <c r="GQ284" s="120"/>
      <c r="GR284" s="120"/>
      <c r="GS284" s="120"/>
      <c r="GT284" s="120"/>
      <c r="GU284" s="120"/>
      <c r="GV284" s="120"/>
      <c r="GW284" s="120"/>
      <c r="GX284" s="120"/>
      <c r="GY284" s="120"/>
      <c r="GZ284" s="120"/>
      <c r="HA284" s="120"/>
      <c r="HB284" s="120"/>
      <c r="HC284" s="120"/>
      <c r="HD284" s="120"/>
      <c r="HE284" s="120"/>
      <c r="HF284" s="120"/>
      <c r="HG284" s="120"/>
      <c r="HH284" s="120"/>
      <c r="HI284" s="120"/>
      <c r="HJ284" s="120"/>
      <c r="HK284" s="120"/>
      <c r="HL284" s="120"/>
      <c r="HM284" s="120"/>
      <c r="HN284" s="120"/>
      <c r="HO284" s="120"/>
      <c r="HP284" s="120"/>
      <c r="HQ284" s="120"/>
      <c r="HR284" s="120"/>
      <c r="HS284" s="120"/>
      <c r="HT284" s="120"/>
      <c r="HU284" s="120"/>
      <c r="HV284" s="120"/>
      <c r="HW284" s="120"/>
      <c r="HX284" s="120"/>
      <c r="HY284" s="120"/>
      <c r="HZ284" s="120"/>
      <c r="IA284" s="120"/>
      <c r="IB284" s="120"/>
      <c r="IC284" s="120"/>
      <c r="ID284" s="120"/>
      <c r="IE284" s="120"/>
      <c r="IF284" s="120"/>
      <c r="IG284" s="120"/>
      <c r="IH284" s="120"/>
      <c r="II284" s="120"/>
      <c r="IJ284" s="120"/>
      <c r="IK284" s="120"/>
      <c r="IL284" s="120"/>
      <c r="IM284" s="120"/>
      <c r="IN284" s="120"/>
      <c r="IO284" s="120"/>
      <c r="IP284" s="120"/>
      <c r="IQ284" s="120"/>
      <c r="IR284" s="120"/>
      <c r="IS284" s="120"/>
      <c r="IT284" s="120"/>
      <c r="IU284" s="120"/>
      <c r="IV284" s="120"/>
      <c r="IW284" s="120"/>
      <c r="IX284" s="120"/>
      <c r="IY284" s="120"/>
      <c r="IZ284" s="120"/>
      <c r="JA284" s="120"/>
      <c r="JB284" s="120"/>
      <c r="JC284" s="120"/>
      <c r="JD284" s="120"/>
      <c r="JE284" s="120"/>
      <c r="JF284" s="120"/>
      <c r="JG284" s="120"/>
      <c r="JH284" s="120"/>
      <c r="JI284" s="120"/>
      <c r="JJ284" s="120"/>
      <c r="JK284" s="120"/>
      <c r="JL284" s="120"/>
      <c r="JM284" s="120"/>
      <c r="JN284" s="120"/>
      <c r="JO284" s="120"/>
      <c r="JP284" s="120"/>
      <c r="JQ284" s="120"/>
      <c r="JR284" s="120"/>
      <c r="JS284" s="120"/>
      <c r="JT284" s="120"/>
      <c r="JU284" s="120"/>
      <c r="JV284" s="120"/>
      <c r="JW284" s="120"/>
      <c r="JX284" s="120"/>
      <c r="JY284" s="120"/>
      <c r="JZ284" s="120"/>
      <c r="KA284" s="120"/>
      <c r="KB284" s="120"/>
      <c r="KC284" s="120"/>
      <c r="KD284" s="120"/>
      <c r="KE284" s="120"/>
      <c r="KF284" s="120"/>
      <c r="KG284" s="120"/>
      <c r="KH284" s="120"/>
      <c r="KI284" s="120"/>
      <c r="KJ284" s="120"/>
      <c r="KK284" s="120"/>
      <c r="KL284" s="120"/>
      <c r="KM284" s="120"/>
      <c r="KN284" s="120"/>
      <c r="KO284" s="120"/>
      <c r="KP284" s="120"/>
      <c r="KQ284" s="120"/>
      <c r="KR284" s="120"/>
      <c r="KS284" s="120"/>
      <c r="KT284" s="120"/>
      <c r="KU284" s="120"/>
      <c r="KV284" s="120"/>
      <c r="KW284" s="120"/>
      <c r="KX284" s="120"/>
      <c r="KY284" s="120"/>
      <c r="KZ284" s="120"/>
      <c r="LA284" s="120"/>
      <c r="LB284" s="120"/>
      <c r="LC284" s="120"/>
      <c r="LD284" s="120"/>
      <c r="LE284" s="120"/>
      <c r="LF284" s="120"/>
      <c r="LG284" s="120"/>
      <c r="LH284" s="120"/>
      <c r="LI284" s="120"/>
      <c r="LJ284" s="120"/>
      <c r="LK284" s="120"/>
      <c r="LL284" s="120"/>
      <c r="LM284" s="120"/>
      <c r="LN284" s="120"/>
      <c r="LO284" s="120"/>
      <c r="LP284" s="120"/>
      <c r="LQ284" s="120"/>
      <c r="LR284" s="120"/>
      <c r="LS284" s="120"/>
      <c r="LT284" s="120"/>
      <c r="LU284" s="120"/>
      <c r="LV284" s="120"/>
      <c r="LW284" s="120"/>
      <c r="LX284" s="120"/>
      <c r="LY284" s="120"/>
      <c r="LZ284" s="120"/>
      <c r="MA284" s="120"/>
      <c r="MB284" s="120"/>
      <c r="MC284" s="120"/>
      <c r="MD284" s="120"/>
      <c r="ME284" s="120"/>
      <c r="MF284" s="120"/>
      <c r="MG284" s="120"/>
      <c r="MH284" s="120"/>
      <c r="MI284" s="120"/>
      <c r="MJ284" s="120"/>
      <c r="MK284" s="120"/>
      <c r="ML284" s="120"/>
      <c r="MM284" s="120"/>
      <c r="MN284" s="120"/>
      <c r="MO284" s="120"/>
      <c r="MP284" s="120"/>
      <c r="MQ284" s="120"/>
      <c r="MR284" s="120"/>
      <c r="MS284" s="120"/>
      <c r="MT284" s="120"/>
      <c r="MU284" s="120"/>
      <c r="MV284" s="120"/>
      <c r="MW284" s="120"/>
      <c r="MX284" s="120"/>
      <c r="MY284" s="120"/>
      <c r="MZ284" s="120"/>
      <c r="NA284" s="120"/>
      <c r="NB284" s="120"/>
      <c r="NC284" s="120"/>
      <c r="ND284" s="120"/>
      <c r="NE284" s="120"/>
      <c r="NF284" s="120"/>
      <c r="NG284" s="120"/>
      <c r="NH284" s="120"/>
      <c r="NI284" s="120"/>
      <c r="NJ284" s="120"/>
      <c r="NK284" s="120"/>
      <c r="NL284" s="120"/>
      <c r="NM284" s="120"/>
      <c r="NN284" s="120"/>
      <c r="NO284" s="120"/>
      <c r="NP284" s="120"/>
      <c r="NQ284" s="120"/>
      <c r="NR284" s="120"/>
      <c r="NS284" s="120"/>
      <c r="NT284" s="120"/>
      <c r="NU284" s="120"/>
      <c r="NV284" s="120"/>
      <c r="NW284" s="120"/>
      <c r="NX284" s="120"/>
      <c r="NY284" s="120"/>
      <c r="NZ284" s="120"/>
      <c r="OA284" s="120"/>
      <c r="OB284" s="120"/>
      <c r="OC284" s="120"/>
      <c r="OD284" s="120"/>
      <c r="OE284" s="120"/>
      <c r="OF284" s="120"/>
      <c r="OG284" s="120"/>
      <c r="OH284" s="120"/>
      <c r="OI284" s="120"/>
      <c r="OJ284" s="120"/>
      <c r="OK284" s="120"/>
      <c r="OL284" s="120"/>
      <c r="OM284" s="120"/>
      <c r="ON284" s="120"/>
      <c r="OO284" s="120"/>
      <c r="OP284" s="120"/>
      <c r="OQ284" s="120"/>
      <c r="OR284" s="120"/>
      <c r="OS284" s="120"/>
      <c r="OT284" s="120"/>
      <c r="OU284" s="120"/>
      <c r="OV284" s="120"/>
      <c r="OW284" s="120"/>
      <c r="OX284" s="120"/>
      <c r="OY284" s="120"/>
      <c r="OZ284" s="120"/>
      <c r="PA284" s="120"/>
      <c r="PB284" s="120"/>
      <c r="PC284" s="120"/>
      <c r="PD284" s="120"/>
      <c r="PE284" s="120"/>
      <c r="PF284" s="120"/>
      <c r="PG284" s="120"/>
      <c r="PH284" s="120"/>
      <c r="PI284" s="120"/>
      <c r="PJ284" s="120"/>
      <c r="PK284" s="120"/>
      <c r="PL284" s="120"/>
      <c r="PM284" s="120"/>
      <c r="PN284" s="120"/>
      <c r="PO284" s="120"/>
      <c r="PP284" s="120"/>
      <c r="PQ284" s="120"/>
      <c r="PR284" s="120"/>
      <c r="PS284" s="120"/>
      <c r="PT284" s="120"/>
      <c r="PU284" s="120"/>
      <c r="PV284" s="120"/>
      <c r="PW284" s="120"/>
      <c r="PX284" s="120"/>
      <c r="PY284" s="120"/>
      <c r="PZ284" s="120"/>
      <c r="QA284" s="120"/>
      <c r="QB284" s="120"/>
      <c r="QC284" s="120"/>
      <c r="QD284" s="120"/>
      <c r="QE284" s="120"/>
      <c r="QF284" s="120"/>
      <c r="QG284" s="120"/>
      <c r="QH284" s="120"/>
      <c r="QI284" s="120"/>
      <c r="QJ284" s="120"/>
      <c r="QK284" s="120"/>
      <c r="QL284" s="120"/>
      <c r="QM284" s="120"/>
      <c r="QN284" s="120"/>
      <c r="QO284" s="120"/>
      <c r="QP284" s="120"/>
      <c r="QQ284" s="120"/>
      <c r="QR284" s="120"/>
      <c r="QS284" s="120"/>
      <c r="QT284" s="120"/>
      <c r="QU284" s="120"/>
      <c r="QV284" s="120"/>
      <c r="QW284" s="120"/>
      <c r="QX284" s="120"/>
      <c r="QY284" s="120"/>
      <c r="QZ284" s="120"/>
      <c r="RA284" s="120"/>
      <c r="RB284" s="120"/>
      <c r="RC284" s="120"/>
      <c r="RD284" s="120"/>
      <c r="RE284" s="120"/>
      <c r="RF284" s="120"/>
      <c r="RG284" s="120"/>
      <c r="RH284" s="120"/>
      <c r="RI284" s="120"/>
      <c r="RJ284" s="120"/>
      <c r="RK284" s="120"/>
      <c r="RL284" s="120"/>
      <c r="RM284" s="120"/>
      <c r="RN284" s="120"/>
      <c r="RO284" s="120"/>
      <c r="RP284" s="120"/>
      <c r="RQ284" s="120"/>
      <c r="RR284" s="120"/>
      <c r="RS284" s="120"/>
      <c r="RT284" s="120"/>
      <c r="RU284" s="120"/>
      <c r="RV284" s="120"/>
      <c r="RW284" s="120"/>
      <c r="RX284" s="120"/>
      <c r="RY284" s="120"/>
      <c r="RZ284" s="120"/>
      <c r="SA284" s="120"/>
      <c r="SB284" s="120"/>
      <c r="SC284" s="120"/>
      <c r="SD284" s="120"/>
      <c r="SE284" s="120"/>
      <c r="SF284" s="120"/>
      <c r="SG284" s="120"/>
      <c r="SH284" s="120"/>
      <c r="SI284" s="120"/>
      <c r="SJ284" s="120"/>
      <c r="SK284" s="120"/>
      <c r="SL284" s="120"/>
      <c r="SM284" s="120"/>
      <c r="SN284" s="120"/>
      <c r="SO284" s="120"/>
      <c r="SP284" s="120"/>
      <c r="SQ284" s="120"/>
      <c r="SR284" s="120"/>
      <c r="SS284" s="120"/>
      <c r="ST284" s="120"/>
      <c r="SU284" s="120"/>
      <c r="SV284" s="120"/>
      <c r="SW284" s="120"/>
      <c r="SX284" s="120"/>
      <c r="SY284" s="120"/>
      <c r="SZ284" s="120"/>
      <c r="TA284" s="120"/>
      <c r="TB284" s="120"/>
      <c r="TC284" s="120"/>
      <c r="TD284" s="120"/>
      <c r="TE284" s="120"/>
      <c r="TF284" s="120"/>
      <c r="TG284" s="120"/>
      <c r="TH284" s="120"/>
      <c r="TI284" s="120"/>
      <c r="TJ284" s="120"/>
      <c r="TK284" s="120"/>
      <c r="TL284" s="120"/>
      <c r="TM284" s="120"/>
      <c r="TN284" s="120"/>
      <c r="TO284" s="120"/>
      <c r="TP284" s="120"/>
      <c r="TQ284" s="120"/>
      <c r="TR284" s="120"/>
      <c r="TS284" s="120"/>
      <c r="TT284" s="120"/>
      <c r="TU284" s="120"/>
      <c r="TV284" s="120"/>
      <c r="TW284" s="120"/>
      <c r="TX284" s="120"/>
      <c r="TY284" s="120"/>
      <c r="TZ284" s="120"/>
      <c r="UA284" s="120"/>
      <c r="UB284" s="120"/>
      <c r="UC284" s="120"/>
      <c r="UD284" s="120"/>
      <c r="UE284" s="120"/>
      <c r="UF284" s="120"/>
      <c r="UG284" s="120"/>
      <c r="UH284" s="120"/>
      <c r="UI284" s="120"/>
      <c r="UJ284" s="120"/>
      <c r="UK284" s="120"/>
      <c r="UL284" s="120"/>
      <c r="UM284" s="120"/>
      <c r="UN284" s="120"/>
      <c r="UO284" s="120"/>
      <c r="UP284" s="120"/>
      <c r="UQ284" s="120"/>
      <c r="UR284" s="120"/>
      <c r="US284" s="120"/>
      <c r="UT284" s="120"/>
      <c r="UU284" s="120"/>
      <c r="UV284" s="120"/>
      <c r="UW284" s="120"/>
      <c r="UX284" s="120"/>
      <c r="UY284" s="120"/>
      <c r="UZ284" s="120"/>
      <c r="VA284" s="120"/>
      <c r="VB284" s="120"/>
      <c r="VC284" s="120"/>
      <c r="VD284" s="120"/>
      <c r="VE284" s="120"/>
      <c r="VF284" s="120"/>
      <c r="VG284" s="120"/>
      <c r="VH284" s="120"/>
      <c r="VI284" s="120"/>
      <c r="VJ284" s="120"/>
      <c r="VK284" s="120"/>
      <c r="VL284" s="120"/>
      <c r="VM284" s="120"/>
      <c r="VN284" s="120"/>
      <c r="VO284" s="120"/>
      <c r="VP284" s="120"/>
      <c r="VQ284" s="120"/>
      <c r="VR284" s="120"/>
      <c r="VS284" s="120"/>
      <c r="VT284" s="120"/>
      <c r="VU284" s="120"/>
      <c r="VV284" s="120"/>
      <c r="VW284" s="120"/>
      <c r="VX284" s="120"/>
      <c r="VY284" s="120"/>
      <c r="VZ284" s="120"/>
      <c r="WA284" s="120"/>
      <c r="WB284" s="120"/>
      <c r="WC284" s="120"/>
      <c r="WD284" s="120"/>
      <c r="WE284" s="120"/>
      <c r="WF284" s="120"/>
      <c r="WG284" s="120"/>
      <c r="WH284" s="120"/>
      <c r="WI284" s="120"/>
      <c r="WJ284" s="120"/>
      <c r="WK284" s="120"/>
      <c r="WL284" s="120"/>
      <c r="WM284" s="120"/>
      <c r="WN284" s="120"/>
      <c r="WO284" s="120"/>
      <c r="WP284" s="120"/>
      <c r="WQ284" s="120"/>
      <c r="WR284" s="120"/>
      <c r="WS284" s="120"/>
      <c r="WT284" s="120"/>
      <c r="WU284" s="120"/>
      <c r="WV284" s="120"/>
      <c r="WW284" s="120"/>
      <c r="WX284" s="120"/>
      <c r="WY284" s="120"/>
      <c r="WZ284" s="120"/>
      <c r="XA284" s="120"/>
      <c r="XB284" s="120"/>
      <c r="XC284" s="120"/>
      <c r="XD284" s="120"/>
      <c r="XE284" s="120"/>
      <c r="XF284" s="120"/>
      <c r="XG284" s="120"/>
      <c r="XH284" s="120"/>
      <c r="XI284" s="120"/>
      <c r="XJ284" s="120"/>
      <c r="XK284" s="120"/>
      <c r="XL284" s="120"/>
      <c r="XM284" s="120"/>
      <c r="XN284" s="120"/>
      <c r="XO284" s="120"/>
      <c r="XP284" s="120"/>
      <c r="XQ284" s="120"/>
      <c r="XR284" s="120"/>
      <c r="XS284" s="120"/>
      <c r="XT284" s="120"/>
      <c r="XU284" s="120"/>
      <c r="XV284" s="120"/>
      <c r="XW284" s="120"/>
      <c r="XX284" s="120"/>
      <c r="XY284" s="120"/>
      <c r="XZ284" s="120"/>
      <c r="YA284" s="120"/>
      <c r="YB284" s="120"/>
      <c r="YC284" s="120"/>
      <c r="YD284" s="120"/>
      <c r="YE284" s="120"/>
      <c r="YF284" s="120"/>
      <c r="YG284" s="120"/>
      <c r="YH284" s="120"/>
      <c r="YI284" s="120"/>
      <c r="YJ284" s="120"/>
      <c r="YK284" s="120"/>
      <c r="YL284" s="120"/>
      <c r="YM284" s="120"/>
      <c r="YN284" s="120"/>
      <c r="YO284" s="120"/>
      <c r="YP284" s="120"/>
      <c r="YQ284" s="120"/>
      <c r="YR284" s="120"/>
      <c r="YS284" s="120"/>
      <c r="YT284" s="120"/>
      <c r="YU284" s="120"/>
      <c r="YV284" s="120"/>
      <c r="YW284" s="120"/>
      <c r="YX284" s="120"/>
      <c r="YY284" s="120"/>
      <c r="YZ284" s="120"/>
      <c r="ZA284" s="120"/>
      <c r="ZB284" s="120"/>
      <c r="ZC284" s="120"/>
      <c r="ZD284" s="120"/>
      <c r="ZE284" s="120"/>
      <c r="ZF284" s="120"/>
      <c r="ZG284" s="120"/>
      <c r="ZH284" s="120"/>
      <c r="ZI284" s="120"/>
      <c r="ZJ284" s="120"/>
      <c r="ZK284" s="120"/>
      <c r="ZL284" s="120"/>
      <c r="ZM284" s="120"/>
      <c r="ZN284" s="120"/>
      <c r="ZO284" s="120"/>
      <c r="ZP284" s="120"/>
      <c r="ZQ284" s="120"/>
      <c r="ZR284" s="120"/>
      <c r="ZS284" s="120"/>
      <c r="ZT284" s="120"/>
      <c r="ZU284" s="120"/>
      <c r="ZV284" s="120"/>
      <c r="ZW284" s="120"/>
      <c r="ZX284" s="120"/>
      <c r="ZY284" s="120"/>
      <c r="ZZ284" s="120"/>
      <c r="AAA284" s="120"/>
      <c r="AAB284" s="120"/>
      <c r="AAC284" s="120"/>
      <c r="AAD284" s="120"/>
      <c r="AAE284" s="120"/>
      <c r="AAF284" s="120"/>
      <c r="AAG284" s="120"/>
      <c r="AAH284" s="120"/>
      <c r="AAI284" s="120"/>
      <c r="AAJ284" s="120"/>
      <c r="AAK284" s="120"/>
      <c r="AAL284" s="120"/>
      <c r="AAM284" s="120"/>
      <c r="AAN284" s="120"/>
      <c r="AAO284" s="120"/>
      <c r="AAP284" s="120"/>
      <c r="AAQ284" s="120"/>
      <c r="AAR284" s="120"/>
      <c r="AAS284" s="120"/>
      <c r="AAT284" s="120"/>
      <c r="AAU284" s="120"/>
      <c r="AAV284" s="120"/>
      <c r="AAW284" s="120"/>
      <c r="AAX284" s="120"/>
      <c r="AAY284" s="120"/>
      <c r="AAZ284" s="120"/>
      <c r="ABA284" s="120"/>
      <c r="ABB284" s="120"/>
      <c r="ABC284" s="120"/>
      <c r="ABD284" s="120"/>
      <c r="ABE284" s="120"/>
      <c r="ABF284" s="120"/>
      <c r="ABG284" s="120"/>
      <c r="ABH284" s="120"/>
      <c r="ABI284" s="120"/>
      <c r="ABJ284" s="120"/>
      <c r="ABK284" s="120"/>
      <c r="ABL284" s="120"/>
      <c r="ABM284" s="120"/>
      <c r="ABN284" s="120"/>
      <c r="ABO284" s="120"/>
      <c r="ABP284" s="120"/>
      <c r="ABQ284" s="120"/>
      <c r="ABR284" s="120"/>
      <c r="ABS284" s="120"/>
      <c r="ABT284" s="120"/>
      <c r="ABU284" s="120"/>
      <c r="ABV284" s="120"/>
      <c r="ABW284" s="120"/>
      <c r="ABX284" s="120"/>
      <c r="ABY284" s="120"/>
      <c r="ABZ284" s="120"/>
      <c r="ACA284" s="120"/>
      <c r="ACB284" s="120"/>
      <c r="ACC284" s="120"/>
      <c r="ACD284" s="120"/>
      <c r="ACE284" s="120"/>
      <c r="ACF284" s="120"/>
      <c r="ACG284" s="120"/>
      <c r="ACH284" s="120"/>
      <c r="ACI284" s="120"/>
      <c r="ACJ284" s="120"/>
      <c r="ACK284" s="120"/>
      <c r="ACL284" s="120"/>
      <c r="ACM284" s="120"/>
      <c r="ACN284" s="120"/>
      <c r="ACO284" s="120"/>
      <c r="ACP284" s="120"/>
      <c r="ACQ284" s="120"/>
      <c r="ACR284" s="120"/>
      <c r="ACS284" s="120"/>
      <c r="ACT284" s="120"/>
      <c r="ACU284" s="120"/>
      <c r="ACV284" s="120"/>
      <c r="ACW284" s="120"/>
      <c r="ACX284" s="120"/>
      <c r="ACY284" s="120"/>
      <c r="ACZ284" s="120"/>
      <c r="ADA284" s="120"/>
      <c r="ADB284" s="120"/>
      <c r="ADC284" s="120"/>
      <c r="ADD284" s="120"/>
      <c r="ADE284" s="120"/>
      <c r="ADF284" s="120"/>
      <c r="ADG284" s="120"/>
      <c r="ADH284" s="120"/>
      <c r="ADI284" s="120"/>
      <c r="ADJ284" s="120"/>
      <c r="ADK284" s="120"/>
      <c r="ADL284" s="120"/>
      <c r="ADM284" s="120"/>
      <c r="ADN284" s="120"/>
      <c r="ADO284" s="120"/>
      <c r="ADP284" s="120"/>
      <c r="ADQ284" s="120"/>
      <c r="ADR284" s="120"/>
      <c r="ADS284" s="120"/>
      <c r="ADT284" s="120"/>
      <c r="ADU284" s="120"/>
      <c r="ADV284" s="120"/>
      <c r="ADW284" s="120"/>
      <c r="ADX284" s="120"/>
      <c r="ADY284" s="120"/>
      <c r="ADZ284" s="120"/>
      <c r="AEA284" s="120"/>
      <c r="AEB284" s="120"/>
      <c r="AEC284" s="120"/>
      <c r="AED284" s="120"/>
      <c r="AEE284" s="120"/>
      <c r="AEF284" s="120"/>
      <c r="AEG284" s="120"/>
      <c r="AEH284" s="120"/>
      <c r="AEI284" s="120"/>
      <c r="AEJ284" s="120"/>
      <c r="AEK284" s="120"/>
      <c r="AEL284" s="120"/>
      <c r="AEM284" s="120"/>
      <c r="AEN284" s="120"/>
      <c r="AEO284" s="120"/>
      <c r="AEP284" s="120"/>
      <c r="AEQ284" s="120"/>
      <c r="AER284" s="120"/>
      <c r="AES284" s="120"/>
      <c r="AET284" s="120"/>
      <c r="AEU284" s="120"/>
      <c r="AEV284" s="120"/>
      <c r="AEW284" s="120"/>
      <c r="AEX284" s="120"/>
      <c r="AEY284" s="120"/>
      <c r="AEZ284" s="120"/>
      <c r="AFA284" s="120"/>
      <c r="AFB284" s="120"/>
      <c r="AFC284" s="120"/>
      <c r="AFD284" s="120"/>
      <c r="AFE284" s="120"/>
      <c r="AFF284" s="120"/>
      <c r="AFG284" s="120"/>
      <c r="AFH284" s="120"/>
      <c r="AFI284" s="120"/>
      <c r="AFJ284" s="120"/>
      <c r="AFK284" s="120"/>
      <c r="AFL284" s="120"/>
      <c r="AFM284" s="120"/>
      <c r="AFN284" s="120"/>
      <c r="AFO284" s="120"/>
      <c r="AFP284" s="120"/>
      <c r="AFQ284" s="120"/>
      <c r="AFR284" s="120"/>
      <c r="AFS284" s="120"/>
      <c r="AFT284" s="120"/>
      <c r="AFU284" s="120"/>
      <c r="AFV284" s="120"/>
      <c r="AFW284" s="120"/>
      <c r="AFX284" s="120"/>
      <c r="AFY284" s="120"/>
      <c r="AFZ284" s="120"/>
      <c r="AGA284" s="120"/>
      <c r="AGB284" s="120"/>
      <c r="AGC284" s="120"/>
      <c r="AGD284" s="120"/>
      <c r="AGE284" s="120"/>
      <c r="AGF284" s="120"/>
      <c r="AGG284" s="120"/>
      <c r="AGH284" s="120"/>
      <c r="AGI284" s="120"/>
      <c r="AGJ284" s="120"/>
      <c r="AGK284" s="120"/>
      <c r="AGL284" s="120"/>
      <c r="AGM284" s="120"/>
      <c r="AGN284" s="120"/>
      <c r="AGO284" s="120"/>
      <c r="AGP284" s="120"/>
      <c r="AGQ284" s="120"/>
      <c r="AGR284" s="120"/>
      <c r="AGS284" s="120"/>
      <c r="AGT284" s="120"/>
      <c r="AGU284" s="120"/>
      <c r="AGV284" s="120"/>
      <c r="AGW284" s="120"/>
      <c r="AGX284" s="120"/>
      <c r="AGY284" s="120"/>
      <c r="AGZ284" s="120"/>
      <c r="AHA284" s="120"/>
      <c r="AHB284" s="120"/>
      <c r="AHC284" s="120"/>
      <c r="AHD284" s="120"/>
      <c r="AHE284" s="120"/>
      <c r="AHF284" s="120"/>
      <c r="AHG284" s="120"/>
      <c r="AHH284" s="120"/>
      <c r="AHI284" s="120"/>
      <c r="AHJ284" s="120"/>
      <c r="AHK284" s="120"/>
      <c r="AHL284" s="120"/>
      <c r="AHM284" s="120"/>
      <c r="AHN284" s="120"/>
      <c r="AHO284" s="120"/>
      <c r="AHP284" s="120"/>
      <c r="AHQ284" s="120"/>
      <c r="AHR284" s="120"/>
      <c r="AHS284" s="120"/>
      <c r="AHT284" s="120"/>
      <c r="AHU284" s="120"/>
      <c r="AHV284" s="120"/>
      <c r="AHW284" s="120"/>
      <c r="AHX284" s="120"/>
      <c r="AHY284" s="120"/>
      <c r="AHZ284" s="120"/>
      <c r="AIA284" s="120"/>
      <c r="AIB284" s="120"/>
      <c r="AIC284" s="120"/>
      <c r="AID284" s="120"/>
      <c r="AIE284" s="120"/>
      <c r="AIF284" s="120"/>
      <c r="AIG284" s="120"/>
      <c r="AIH284" s="120"/>
      <c r="AII284" s="120"/>
      <c r="AIJ284" s="120"/>
      <c r="AIK284" s="120"/>
      <c r="AIL284" s="120"/>
      <c r="AIM284" s="120"/>
      <c r="AIN284" s="120"/>
      <c r="AIO284" s="120"/>
      <c r="AIP284" s="120"/>
      <c r="AIQ284" s="120"/>
      <c r="AIR284" s="120"/>
      <c r="AIS284" s="120"/>
      <c r="AIT284" s="120"/>
      <c r="AIU284" s="120"/>
      <c r="AIV284" s="120"/>
      <c r="AIW284" s="120"/>
      <c r="AIX284" s="120"/>
      <c r="AIY284" s="120"/>
      <c r="AIZ284" s="120"/>
    </row>
    <row r="285">
      <c r="A285" s="112" t="s">
        <v>35</v>
      </c>
      <c r="B285" s="112" t="s">
        <v>83</v>
      </c>
      <c r="C285" s="112"/>
      <c r="D285" s="113">
        <f t="shared" si="1"/>
        <v>707.2741</v>
      </c>
      <c r="E285" s="112">
        <v>99.2527999999999</v>
      </c>
      <c r="F285" s="113"/>
      <c r="G285" s="113"/>
      <c r="H285" s="113"/>
      <c r="I285" s="113"/>
      <c r="J285" s="113"/>
      <c r="K285" s="113"/>
      <c r="L285" s="112">
        <v>1.99991666666667</v>
      </c>
      <c r="M285" s="112">
        <v>14.50225</v>
      </c>
      <c r="N285" s="113"/>
      <c r="O285" s="112">
        <v>0.532933333333333</v>
      </c>
      <c r="P285" s="112">
        <v>162.637316666667</v>
      </c>
      <c r="Q285" s="113"/>
      <c r="R285" s="113"/>
      <c r="S285" s="113"/>
      <c r="T285" s="113"/>
      <c r="U285" s="113"/>
      <c r="V285" s="112">
        <v>1.92008333333333</v>
      </c>
      <c r="W285" s="112">
        <v>90.6826833333335</v>
      </c>
      <c r="X285" s="113"/>
      <c r="Y285" s="113"/>
      <c r="Z285" s="113"/>
      <c r="AA285" s="113"/>
      <c r="AB285" s="113"/>
      <c r="AC285" s="112">
        <v>2.08206666666667</v>
      </c>
      <c r="AD285" s="112">
        <v>54.7331333333333</v>
      </c>
      <c r="AE285" s="113"/>
      <c r="AF285" s="113"/>
      <c r="AG285" s="113"/>
      <c r="AH285" s="113"/>
      <c r="AI285" s="113"/>
      <c r="AJ285" s="112">
        <v>0.6125</v>
      </c>
      <c r="AK285" s="112">
        <v>39.0986833333333</v>
      </c>
      <c r="AL285" s="113"/>
      <c r="AM285" s="113"/>
      <c r="AN285" s="113"/>
      <c r="AO285" s="112">
        <v>3.67895</v>
      </c>
      <c r="AP285" s="112">
        <v>6.16456666666667</v>
      </c>
      <c r="AQ285" s="113"/>
      <c r="AR285" s="113"/>
      <c r="AS285" s="113"/>
      <c r="AT285" s="112">
        <v>222.982766666666</v>
      </c>
      <c r="AU285" s="113"/>
      <c r="AV285" s="112">
        <v>5.84938333333334</v>
      </c>
      <c r="AW285" s="112">
        <v>0.544066666666667</v>
      </c>
      <c r="AX285" s="113"/>
      <c r="AY285" s="113"/>
      <c r="AZ285" s="113"/>
      <c r="BA285" s="113"/>
      <c r="BB285" s="113"/>
      <c r="BC285" s="113"/>
      <c r="BD285" s="113"/>
      <c r="BE285" s="113"/>
      <c r="BF285" s="113"/>
      <c r="BG285" s="113"/>
      <c r="BH285" s="113"/>
      <c r="BI285" s="113"/>
      <c r="BJ285" s="113"/>
      <c r="BK285" s="113"/>
      <c r="BL285" s="113"/>
      <c r="BM285" s="113"/>
      <c r="BN285" s="113"/>
      <c r="BO285" s="113"/>
      <c r="BP285" s="113"/>
      <c r="BQ285" s="113"/>
      <c r="BR285" s="113"/>
      <c r="BS285" s="113"/>
      <c r="BT285" s="113"/>
      <c r="BU285" s="113"/>
      <c r="BV285" s="113"/>
      <c r="BW285" s="113"/>
      <c r="BX285" s="113"/>
      <c r="BY285" s="113"/>
      <c r="BZ285" s="113"/>
      <c r="CA285" s="113"/>
      <c r="CB285" s="113"/>
      <c r="CC285" s="113"/>
      <c r="CD285" s="113"/>
      <c r="CE285" s="113"/>
      <c r="CF285" s="113"/>
      <c r="CG285" s="113"/>
      <c r="CH285" s="113"/>
      <c r="CI285" s="113"/>
      <c r="CJ285" s="113"/>
      <c r="CK285" s="113"/>
      <c r="CL285" s="113"/>
      <c r="CM285" s="113"/>
      <c r="CN285" s="113"/>
      <c r="CO285" s="113"/>
      <c r="CP285" s="113"/>
      <c r="CQ285" s="113"/>
      <c r="CR285" s="113"/>
      <c r="CS285" s="113"/>
      <c r="CT285" s="113"/>
      <c r="CU285" s="113"/>
      <c r="CV285" s="113"/>
      <c r="CW285" s="113"/>
      <c r="CX285" s="113"/>
      <c r="CY285" s="113"/>
      <c r="CZ285" s="113"/>
      <c r="DA285" s="113"/>
      <c r="DB285" s="113"/>
      <c r="DC285" s="113"/>
      <c r="DD285" s="113"/>
      <c r="DE285" s="113"/>
      <c r="DF285" s="113"/>
      <c r="DG285" s="113"/>
      <c r="DH285" s="113"/>
      <c r="DI285" s="113"/>
      <c r="DJ285" s="113"/>
      <c r="DK285" s="113"/>
      <c r="DL285" s="113"/>
      <c r="DM285" s="113"/>
      <c r="DN285" s="113"/>
      <c r="DO285" s="113"/>
      <c r="DP285" s="113"/>
      <c r="DQ285" s="113"/>
      <c r="DR285" s="113"/>
      <c r="DS285" s="113"/>
      <c r="DT285" s="113"/>
      <c r="DU285" s="113"/>
      <c r="DV285" s="113"/>
      <c r="DW285" s="113"/>
      <c r="DX285" s="113"/>
      <c r="DY285" s="113"/>
      <c r="DZ285" s="113"/>
      <c r="EA285" s="113"/>
      <c r="EB285" s="113"/>
      <c r="EC285" s="113"/>
      <c r="ED285" s="113"/>
      <c r="EE285" s="113"/>
      <c r="EF285" s="113"/>
      <c r="EG285" s="113"/>
      <c r="EH285" s="113"/>
      <c r="EI285" s="113"/>
      <c r="EJ285" s="113"/>
      <c r="EK285" s="113"/>
      <c r="EL285" s="113"/>
      <c r="EM285" s="113"/>
      <c r="EN285" s="113"/>
      <c r="EO285" s="113"/>
      <c r="EP285" s="113"/>
      <c r="EQ285" s="113"/>
      <c r="ER285" s="113"/>
      <c r="ES285" s="113"/>
      <c r="ET285" s="113"/>
      <c r="EU285" s="113"/>
      <c r="EV285" s="113"/>
      <c r="EW285" s="113"/>
      <c r="EX285" s="113"/>
      <c r="EY285" s="113"/>
      <c r="EZ285" s="113"/>
      <c r="FA285" s="113"/>
      <c r="FB285" s="113"/>
      <c r="FC285" s="113"/>
      <c r="FD285" s="113"/>
      <c r="FE285" s="113"/>
      <c r="FF285" s="113"/>
      <c r="FG285" s="113"/>
      <c r="FH285" s="113"/>
      <c r="FI285" s="113"/>
      <c r="FJ285" s="113"/>
      <c r="FK285" s="113"/>
      <c r="FL285" s="113"/>
      <c r="FM285" s="113"/>
      <c r="FN285" s="113"/>
      <c r="FO285" s="113"/>
      <c r="FP285" s="113"/>
      <c r="FQ285" s="113"/>
      <c r="FR285" s="113"/>
      <c r="FS285" s="113"/>
      <c r="FT285" s="113"/>
      <c r="FU285" s="113"/>
      <c r="FV285" s="113"/>
      <c r="FW285" s="113"/>
      <c r="FX285" s="113"/>
      <c r="FY285" s="113"/>
      <c r="FZ285" s="113"/>
      <c r="GA285" s="113"/>
      <c r="GB285" s="113"/>
      <c r="GC285" s="113"/>
      <c r="GD285" s="113"/>
      <c r="GE285" s="113"/>
      <c r="GF285" s="113"/>
      <c r="GG285" s="113"/>
      <c r="GH285" s="113"/>
      <c r="GI285" s="113"/>
      <c r="GJ285" s="113"/>
      <c r="GK285" s="113"/>
      <c r="GL285" s="113"/>
      <c r="GM285" s="113"/>
      <c r="GN285" s="113"/>
      <c r="GO285" s="113"/>
      <c r="GP285" s="113"/>
      <c r="GQ285" s="113"/>
      <c r="GR285" s="113"/>
      <c r="GS285" s="113"/>
      <c r="GT285" s="113"/>
      <c r="GU285" s="113"/>
      <c r="GV285" s="113"/>
      <c r="GW285" s="113"/>
      <c r="GX285" s="113"/>
      <c r="GY285" s="113"/>
      <c r="GZ285" s="113"/>
      <c r="HA285" s="113"/>
      <c r="HB285" s="113"/>
      <c r="HC285" s="113"/>
      <c r="HD285" s="113"/>
      <c r="HE285" s="113"/>
      <c r="HF285" s="113"/>
      <c r="HG285" s="113"/>
      <c r="HH285" s="113"/>
      <c r="HI285" s="113"/>
      <c r="HJ285" s="113"/>
      <c r="HK285" s="113"/>
      <c r="HL285" s="113"/>
      <c r="HM285" s="113"/>
      <c r="HN285" s="113"/>
      <c r="HO285" s="113"/>
      <c r="HP285" s="113"/>
      <c r="HQ285" s="113"/>
      <c r="HR285" s="113"/>
      <c r="HS285" s="113"/>
      <c r="HT285" s="113"/>
      <c r="HU285" s="113"/>
      <c r="HV285" s="113"/>
      <c r="HW285" s="113"/>
      <c r="HX285" s="113"/>
      <c r="HY285" s="113"/>
      <c r="HZ285" s="113"/>
      <c r="IA285" s="113"/>
      <c r="IB285" s="113"/>
      <c r="IC285" s="113"/>
      <c r="ID285" s="113"/>
      <c r="IE285" s="113"/>
      <c r="IF285" s="113"/>
      <c r="IG285" s="113"/>
      <c r="IH285" s="113"/>
      <c r="II285" s="113"/>
      <c r="IJ285" s="113"/>
      <c r="IK285" s="113"/>
      <c r="IL285" s="113"/>
      <c r="IM285" s="113"/>
      <c r="IN285" s="113"/>
      <c r="IO285" s="113"/>
      <c r="IP285" s="113"/>
      <c r="IQ285" s="113"/>
      <c r="IR285" s="113"/>
      <c r="IS285" s="113"/>
      <c r="IT285" s="113"/>
      <c r="IU285" s="113"/>
      <c r="IV285" s="113"/>
      <c r="IW285" s="113"/>
      <c r="IX285" s="113"/>
      <c r="IY285" s="113"/>
      <c r="IZ285" s="113"/>
      <c r="JA285" s="113"/>
      <c r="JB285" s="113"/>
      <c r="JC285" s="113"/>
      <c r="JD285" s="113"/>
      <c r="JE285" s="113"/>
      <c r="JF285" s="113"/>
      <c r="JG285" s="113"/>
      <c r="JH285" s="113"/>
      <c r="JI285" s="113"/>
      <c r="JJ285" s="113"/>
      <c r="JK285" s="113"/>
      <c r="JL285" s="113"/>
      <c r="JM285" s="113"/>
      <c r="JN285" s="113"/>
      <c r="JO285" s="113"/>
      <c r="JP285" s="113"/>
      <c r="JQ285" s="113"/>
      <c r="JR285" s="113"/>
      <c r="JS285" s="113"/>
      <c r="JT285" s="113"/>
      <c r="JU285" s="113"/>
      <c r="JV285" s="113"/>
      <c r="JW285" s="113"/>
      <c r="JX285" s="113"/>
      <c r="JY285" s="113"/>
      <c r="JZ285" s="113"/>
      <c r="KA285" s="113"/>
      <c r="KB285" s="113"/>
      <c r="KC285" s="113"/>
      <c r="KD285" s="113"/>
      <c r="KE285" s="113"/>
      <c r="KF285" s="113"/>
      <c r="KG285" s="113"/>
      <c r="KH285" s="113"/>
      <c r="KI285" s="113"/>
      <c r="KJ285" s="113"/>
      <c r="KK285" s="113"/>
      <c r="KL285" s="113"/>
      <c r="KM285" s="113"/>
      <c r="KN285" s="113"/>
      <c r="KO285" s="113"/>
      <c r="KP285" s="113"/>
      <c r="KQ285" s="113"/>
      <c r="KR285" s="113"/>
      <c r="KS285" s="113"/>
      <c r="KT285" s="113"/>
      <c r="KU285" s="113"/>
      <c r="KV285" s="113"/>
      <c r="KW285" s="113"/>
      <c r="KX285" s="113"/>
      <c r="KY285" s="113"/>
      <c r="KZ285" s="113"/>
      <c r="LA285" s="113"/>
      <c r="LB285" s="113"/>
      <c r="LC285" s="113"/>
      <c r="LD285" s="113"/>
      <c r="LE285" s="113"/>
      <c r="LF285" s="113"/>
      <c r="LG285" s="113"/>
      <c r="LH285" s="113"/>
      <c r="LI285" s="113"/>
      <c r="LJ285" s="113"/>
      <c r="LK285" s="113"/>
      <c r="LL285" s="113"/>
      <c r="LM285" s="113"/>
      <c r="LN285" s="113"/>
      <c r="LO285" s="113"/>
      <c r="LP285" s="113"/>
      <c r="LQ285" s="113"/>
      <c r="LR285" s="113"/>
      <c r="LS285" s="113"/>
      <c r="LT285" s="113"/>
      <c r="LU285" s="113"/>
      <c r="LV285" s="113"/>
      <c r="LW285" s="113"/>
      <c r="LX285" s="113"/>
      <c r="LY285" s="113"/>
      <c r="LZ285" s="113"/>
      <c r="MA285" s="113"/>
      <c r="MB285" s="113"/>
      <c r="MC285" s="113"/>
      <c r="MD285" s="113"/>
      <c r="ME285" s="113"/>
      <c r="MF285" s="113"/>
      <c r="MG285" s="113"/>
      <c r="MH285" s="113"/>
      <c r="MI285" s="113"/>
      <c r="MJ285" s="113"/>
      <c r="MK285" s="113"/>
      <c r="ML285" s="113"/>
      <c r="MM285" s="113"/>
      <c r="MN285" s="113"/>
      <c r="MO285" s="113"/>
      <c r="MP285" s="113"/>
      <c r="MQ285" s="113"/>
      <c r="MR285" s="113"/>
      <c r="MS285" s="113"/>
      <c r="MT285" s="113"/>
      <c r="MU285" s="113"/>
      <c r="MV285" s="113"/>
      <c r="MW285" s="113"/>
      <c r="MX285" s="113"/>
      <c r="MY285" s="113"/>
      <c r="MZ285" s="113"/>
      <c r="NA285" s="113"/>
      <c r="NB285" s="113"/>
      <c r="NC285" s="113"/>
      <c r="ND285" s="113"/>
      <c r="NE285" s="113"/>
      <c r="NF285" s="113"/>
      <c r="NG285" s="113"/>
      <c r="NH285" s="113"/>
      <c r="NI285" s="113"/>
      <c r="NJ285" s="113"/>
      <c r="NK285" s="113"/>
      <c r="NL285" s="113"/>
      <c r="NM285" s="113"/>
      <c r="NN285" s="113"/>
      <c r="NO285" s="113"/>
      <c r="NP285" s="113"/>
      <c r="NQ285" s="113"/>
      <c r="NR285" s="113"/>
      <c r="NS285" s="113"/>
      <c r="NT285" s="113"/>
      <c r="NU285" s="113"/>
      <c r="NV285" s="113"/>
      <c r="NW285" s="113"/>
      <c r="NX285" s="113"/>
      <c r="NY285" s="113"/>
      <c r="NZ285" s="113"/>
      <c r="OA285" s="113"/>
      <c r="OB285" s="113"/>
      <c r="OC285" s="113"/>
      <c r="OD285" s="113"/>
      <c r="OE285" s="113"/>
      <c r="OF285" s="113"/>
      <c r="OG285" s="113"/>
      <c r="OH285" s="113"/>
      <c r="OI285" s="113"/>
      <c r="OJ285" s="113"/>
      <c r="OK285" s="113"/>
      <c r="OL285" s="113"/>
      <c r="OM285" s="113"/>
      <c r="ON285" s="113"/>
      <c r="OO285" s="113"/>
      <c r="OP285" s="113"/>
      <c r="OQ285" s="113"/>
      <c r="OR285" s="113"/>
      <c r="OS285" s="113"/>
      <c r="OT285" s="113"/>
      <c r="OU285" s="113"/>
      <c r="OV285" s="113"/>
      <c r="OW285" s="113"/>
      <c r="OX285" s="113"/>
      <c r="OY285" s="113"/>
      <c r="OZ285" s="113"/>
      <c r="PA285" s="113"/>
      <c r="PB285" s="113"/>
      <c r="PC285" s="113"/>
      <c r="PD285" s="113"/>
      <c r="PE285" s="113"/>
      <c r="PF285" s="113"/>
      <c r="PG285" s="113"/>
      <c r="PH285" s="113"/>
      <c r="PI285" s="113"/>
      <c r="PJ285" s="113"/>
      <c r="PK285" s="113"/>
      <c r="PL285" s="113"/>
      <c r="PM285" s="113"/>
      <c r="PN285" s="113"/>
      <c r="PO285" s="113"/>
      <c r="PP285" s="113"/>
      <c r="PQ285" s="113"/>
      <c r="PR285" s="113"/>
      <c r="PS285" s="113"/>
      <c r="PT285" s="113"/>
      <c r="PU285" s="113"/>
      <c r="PV285" s="113"/>
      <c r="PW285" s="113"/>
      <c r="PX285" s="113"/>
      <c r="PY285" s="113"/>
      <c r="PZ285" s="113"/>
      <c r="QA285" s="113"/>
      <c r="QB285" s="113"/>
      <c r="QC285" s="113"/>
      <c r="QD285" s="113"/>
      <c r="QE285" s="113"/>
      <c r="QF285" s="113"/>
      <c r="QG285" s="113"/>
      <c r="QH285" s="113"/>
      <c r="QI285" s="113"/>
      <c r="QJ285" s="113"/>
      <c r="QK285" s="113"/>
      <c r="QL285" s="113"/>
      <c r="QM285" s="113"/>
      <c r="QN285" s="113"/>
      <c r="QO285" s="113"/>
      <c r="QP285" s="113"/>
      <c r="QQ285" s="113"/>
      <c r="QR285" s="113"/>
      <c r="QS285" s="113"/>
      <c r="QT285" s="113"/>
      <c r="QU285" s="113"/>
      <c r="QV285" s="113"/>
      <c r="QW285" s="113"/>
      <c r="QX285" s="113"/>
      <c r="QY285" s="113"/>
      <c r="QZ285" s="113"/>
      <c r="RA285" s="113"/>
      <c r="RB285" s="113"/>
      <c r="RC285" s="113"/>
      <c r="RD285" s="113"/>
      <c r="RE285" s="113"/>
      <c r="RF285" s="113"/>
      <c r="RG285" s="113"/>
      <c r="RH285" s="113"/>
      <c r="RI285" s="113"/>
      <c r="RJ285" s="113"/>
      <c r="RK285" s="113"/>
      <c r="RL285" s="113"/>
      <c r="RM285" s="113"/>
      <c r="RN285" s="113"/>
      <c r="RO285" s="113"/>
      <c r="RP285" s="113"/>
      <c r="RQ285" s="113"/>
      <c r="RR285" s="113"/>
      <c r="RS285" s="113"/>
      <c r="RT285" s="113"/>
      <c r="RU285" s="113"/>
      <c r="RV285" s="113"/>
      <c r="RW285" s="113"/>
      <c r="RX285" s="113"/>
      <c r="RY285" s="113"/>
      <c r="RZ285" s="113"/>
      <c r="SA285" s="113"/>
      <c r="SB285" s="113"/>
      <c r="SC285" s="113"/>
      <c r="SD285" s="113"/>
      <c r="SE285" s="113"/>
      <c r="SF285" s="113"/>
      <c r="SG285" s="113"/>
      <c r="SH285" s="113"/>
      <c r="SI285" s="113"/>
      <c r="SJ285" s="113"/>
      <c r="SK285" s="113"/>
      <c r="SL285" s="113"/>
      <c r="SM285" s="113"/>
      <c r="SN285" s="113"/>
      <c r="SO285" s="113"/>
      <c r="SP285" s="113"/>
      <c r="SQ285" s="113"/>
      <c r="SR285" s="113"/>
      <c r="SS285" s="113"/>
      <c r="ST285" s="113"/>
      <c r="SU285" s="113"/>
      <c r="SV285" s="113"/>
      <c r="SW285" s="113"/>
      <c r="SX285" s="113"/>
      <c r="SY285" s="113"/>
      <c r="SZ285" s="113"/>
      <c r="TA285" s="113"/>
      <c r="TB285" s="113"/>
      <c r="TC285" s="113"/>
      <c r="TD285" s="113"/>
      <c r="TE285" s="113"/>
      <c r="TF285" s="113"/>
      <c r="TG285" s="113"/>
      <c r="TH285" s="113"/>
      <c r="TI285" s="113"/>
      <c r="TJ285" s="113"/>
      <c r="TK285" s="113"/>
      <c r="TL285" s="113"/>
      <c r="TM285" s="113"/>
      <c r="TN285" s="113"/>
      <c r="TO285" s="113"/>
      <c r="TP285" s="113"/>
      <c r="TQ285" s="113"/>
      <c r="TR285" s="113"/>
      <c r="TS285" s="113"/>
      <c r="TT285" s="113"/>
      <c r="TU285" s="113"/>
      <c r="TV285" s="113"/>
      <c r="TW285" s="113"/>
      <c r="TX285" s="113"/>
      <c r="TY285" s="113"/>
      <c r="TZ285" s="113"/>
      <c r="UA285" s="113"/>
      <c r="UB285" s="113"/>
      <c r="UC285" s="113"/>
      <c r="UD285" s="113"/>
      <c r="UE285" s="113"/>
      <c r="UF285" s="113"/>
      <c r="UG285" s="113"/>
      <c r="UH285" s="113"/>
      <c r="UI285" s="113"/>
      <c r="UJ285" s="113"/>
      <c r="UK285" s="113"/>
      <c r="UL285" s="113"/>
      <c r="UM285" s="113"/>
      <c r="UN285" s="113"/>
      <c r="UO285" s="113"/>
      <c r="UP285" s="113"/>
      <c r="UQ285" s="113"/>
      <c r="UR285" s="113"/>
      <c r="US285" s="113"/>
      <c r="UT285" s="113"/>
      <c r="UU285" s="113"/>
      <c r="UV285" s="113"/>
      <c r="UW285" s="113"/>
      <c r="UX285" s="113"/>
      <c r="UY285" s="113"/>
      <c r="UZ285" s="113"/>
      <c r="VA285" s="113"/>
      <c r="VB285" s="113"/>
      <c r="VC285" s="113"/>
      <c r="VD285" s="113"/>
      <c r="VE285" s="113"/>
      <c r="VF285" s="113"/>
      <c r="VG285" s="113"/>
      <c r="VH285" s="113"/>
      <c r="VI285" s="113"/>
      <c r="VJ285" s="113"/>
      <c r="VK285" s="113"/>
      <c r="VL285" s="113"/>
      <c r="VM285" s="113"/>
      <c r="VN285" s="113"/>
      <c r="VO285" s="113"/>
      <c r="VP285" s="113"/>
      <c r="VQ285" s="113"/>
      <c r="VR285" s="113"/>
      <c r="VS285" s="113"/>
      <c r="VT285" s="113"/>
      <c r="VU285" s="113"/>
      <c r="VV285" s="113"/>
      <c r="VW285" s="113"/>
      <c r="VX285" s="113"/>
      <c r="VY285" s="113"/>
      <c r="VZ285" s="113"/>
      <c r="WA285" s="113"/>
      <c r="WB285" s="113"/>
      <c r="WC285" s="113"/>
      <c r="WD285" s="113"/>
      <c r="WE285" s="113"/>
      <c r="WF285" s="113"/>
      <c r="WG285" s="113"/>
      <c r="WH285" s="113"/>
      <c r="WI285" s="113"/>
      <c r="WJ285" s="113"/>
      <c r="WK285" s="113"/>
      <c r="WL285" s="113"/>
      <c r="WM285" s="113"/>
      <c r="WN285" s="113"/>
      <c r="WO285" s="113"/>
      <c r="WP285" s="113"/>
      <c r="WQ285" s="113"/>
      <c r="WR285" s="113"/>
      <c r="WS285" s="113"/>
      <c r="WT285" s="113"/>
      <c r="WU285" s="113"/>
      <c r="WV285" s="113"/>
      <c r="WW285" s="113"/>
      <c r="WX285" s="113"/>
      <c r="WY285" s="113"/>
      <c r="WZ285" s="113"/>
      <c r="XA285" s="113"/>
      <c r="XB285" s="113"/>
      <c r="XC285" s="113"/>
      <c r="XD285" s="113"/>
      <c r="XE285" s="113"/>
      <c r="XF285" s="113"/>
      <c r="XG285" s="113"/>
      <c r="XH285" s="113"/>
      <c r="XI285" s="113"/>
      <c r="XJ285" s="113"/>
      <c r="XK285" s="113"/>
      <c r="XL285" s="113"/>
      <c r="XM285" s="113"/>
      <c r="XN285" s="113"/>
      <c r="XO285" s="113"/>
      <c r="XP285" s="113"/>
      <c r="XQ285" s="113"/>
      <c r="XR285" s="113"/>
      <c r="XS285" s="113"/>
      <c r="XT285" s="113"/>
      <c r="XU285" s="113"/>
      <c r="XV285" s="113"/>
      <c r="XW285" s="113"/>
      <c r="XX285" s="113"/>
      <c r="XY285" s="113"/>
      <c r="XZ285" s="113"/>
      <c r="YA285" s="113"/>
      <c r="YB285" s="113"/>
      <c r="YC285" s="113"/>
      <c r="YD285" s="113"/>
      <c r="YE285" s="113"/>
      <c r="YF285" s="113"/>
      <c r="YG285" s="113"/>
      <c r="YH285" s="113"/>
      <c r="YI285" s="113"/>
      <c r="YJ285" s="113"/>
      <c r="YK285" s="113"/>
      <c r="YL285" s="113"/>
      <c r="YM285" s="113"/>
      <c r="YN285" s="113"/>
      <c r="YO285" s="113"/>
      <c r="YP285" s="113"/>
      <c r="YQ285" s="113"/>
      <c r="YR285" s="113"/>
      <c r="YS285" s="113"/>
      <c r="YT285" s="113"/>
      <c r="YU285" s="113"/>
      <c r="YV285" s="113"/>
      <c r="YW285" s="113"/>
      <c r="YX285" s="113"/>
      <c r="YY285" s="113"/>
      <c r="YZ285" s="113"/>
      <c r="ZA285" s="113"/>
      <c r="ZB285" s="113"/>
      <c r="ZC285" s="113"/>
      <c r="ZD285" s="113"/>
      <c r="ZE285" s="113"/>
      <c r="ZF285" s="113"/>
      <c r="ZG285" s="113"/>
      <c r="ZH285" s="113"/>
      <c r="ZI285" s="113"/>
      <c r="ZJ285" s="113"/>
      <c r="ZK285" s="113"/>
      <c r="ZL285" s="113"/>
      <c r="ZM285" s="113"/>
      <c r="ZN285" s="113"/>
      <c r="ZO285" s="113"/>
      <c r="ZP285" s="113"/>
      <c r="ZQ285" s="113"/>
      <c r="ZR285" s="113"/>
      <c r="ZS285" s="113"/>
      <c r="ZT285" s="113"/>
      <c r="ZU285" s="113"/>
      <c r="ZV285" s="113"/>
      <c r="ZW285" s="113"/>
      <c r="ZX285" s="113"/>
      <c r="ZY285" s="113"/>
      <c r="ZZ285" s="113"/>
      <c r="AAA285" s="113"/>
      <c r="AAB285" s="113"/>
      <c r="AAC285" s="113"/>
      <c r="AAD285" s="113"/>
      <c r="AAE285" s="113"/>
      <c r="AAF285" s="113"/>
      <c r="AAG285" s="113"/>
      <c r="AAH285" s="113"/>
      <c r="AAI285" s="113"/>
      <c r="AAJ285" s="113"/>
      <c r="AAK285" s="113"/>
      <c r="AAL285" s="113"/>
      <c r="AAM285" s="113"/>
      <c r="AAN285" s="113"/>
      <c r="AAO285" s="113"/>
      <c r="AAP285" s="113"/>
      <c r="AAQ285" s="113"/>
      <c r="AAR285" s="113"/>
      <c r="AAS285" s="113"/>
      <c r="AAT285" s="113"/>
      <c r="AAU285" s="113"/>
      <c r="AAV285" s="113"/>
      <c r="AAW285" s="113"/>
      <c r="AAX285" s="113"/>
      <c r="AAY285" s="113"/>
      <c r="AAZ285" s="113"/>
      <c r="ABA285" s="113"/>
      <c r="ABB285" s="113"/>
      <c r="ABC285" s="113"/>
      <c r="ABD285" s="113"/>
      <c r="ABE285" s="113"/>
      <c r="ABF285" s="113"/>
      <c r="ABG285" s="113"/>
      <c r="ABH285" s="113"/>
      <c r="ABI285" s="113"/>
      <c r="ABJ285" s="113"/>
      <c r="ABK285" s="113"/>
      <c r="ABL285" s="113"/>
      <c r="ABM285" s="113"/>
      <c r="ABN285" s="113"/>
      <c r="ABO285" s="113"/>
      <c r="ABP285" s="113"/>
      <c r="ABQ285" s="113"/>
      <c r="ABR285" s="113"/>
      <c r="ABS285" s="113"/>
      <c r="ABT285" s="113"/>
      <c r="ABU285" s="113"/>
      <c r="ABV285" s="113"/>
      <c r="ABW285" s="113"/>
      <c r="ABX285" s="113"/>
      <c r="ABY285" s="113"/>
      <c r="ABZ285" s="113"/>
      <c r="ACA285" s="113"/>
      <c r="ACB285" s="113"/>
      <c r="ACC285" s="113"/>
      <c r="ACD285" s="113"/>
      <c r="ACE285" s="113"/>
      <c r="ACF285" s="113"/>
      <c r="ACG285" s="113"/>
      <c r="ACH285" s="113"/>
      <c r="ACI285" s="113"/>
      <c r="ACJ285" s="113"/>
      <c r="ACK285" s="113"/>
      <c r="ACL285" s="113"/>
      <c r="ACM285" s="113"/>
      <c r="ACN285" s="113"/>
      <c r="ACO285" s="113"/>
      <c r="ACP285" s="113"/>
      <c r="ACQ285" s="113"/>
      <c r="ACR285" s="113"/>
      <c r="ACS285" s="113"/>
      <c r="ACT285" s="113"/>
      <c r="ACU285" s="113"/>
      <c r="ACV285" s="113"/>
      <c r="ACW285" s="113"/>
      <c r="ACX285" s="113"/>
      <c r="ACY285" s="113"/>
      <c r="ACZ285" s="113"/>
      <c r="ADA285" s="113"/>
      <c r="ADB285" s="113"/>
      <c r="ADC285" s="113"/>
      <c r="ADD285" s="113"/>
      <c r="ADE285" s="113"/>
      <c r="ADF285" s="113"/>
      <c r="ADG285" s="113"/>
      <c r="ADH285" s="113"/>
      <c r="ADI285" s="113"/>
      <c r="ADJ285" s="113"/>
      <c r="ADK285" s="113"/>
      <c r="ADL285" s="113"/>
      <c r="ADM285" s="113"/>
      <c r="ADN285" s="113"/>
      <c r="ADO285" s="113"/>
      <c r="ADP285" s="113"/>
      <c r="ADQ285" s="113"/>
      <c r="ADR285" s="113"/>
      <c r="ADS285" s="113"/>
      <c r="ADT285" s="113"/>
      <c r="ADU285" s="113"/>
      <c r="ADV285" s="113"/>
      <c r="ADW285" s="113"/>
      <c r="ADX285" s="113"/>
      <c r="ADY285" s="113"/>
      <c r="ADZ285" s="113"/>
      <c r="AEA285" s="113"/>
      <c r="AEB285" s="113"/>
      <c r="AEC285" s="113"/>
      <c r="AED285" s="113"/>
      <c r="AEE285" s="113"/>
      <c r="AEF285" s="113"/>
      <c r="AEG285" s="113"/>
      <c r="AEH285" s="113"/>
      <c r="AEI285" s="113"/>
      <c r="AEJ285" s="113"/>
      <c r="AEK285" s="113"/>
      <c r="AEL285" s="113"/>
      <c r="AEM285" s="113"/>
      <c r="AEN285" s="113"/>
      <c r="AEO285" s="113"/>
      <c r="AEP285" s="113"/>
      <c r="AEQ285" s="113"/>
      <c r="AER285" s="113"/>
      <c r="AES285" s="113"/>
      <c r="AET285" s="113"/>
      <c r="AEU285" s="113"/>
      <c r="AEV285" s="113"/>
      <c r="AEW285" s="113"/>
      <c r="AEX285" s="113"/>
      <c r="AEY285" s="113"/>
      <c r="AEZ285" s="113"/>
      <c r="AFA285" s="113"/>
      <c r="AFB285" s="113"/>
      <c r="AFC285" s="113"/>
      <c r="AFD285" s="113"/>
      <c r="AFE285" s="113"/>
      <c r="AFF285" s="113"/>
      <c r="AFG285" s="113"/>
      <c r="AFH285" s="113"/>
      <c r="AFI285" s="113"/>
      <c r="AFJ285" s="113"/>
      <c r="AFK285" s="113"/>
      <c r="AFL285" s="113"/>
      <c r="AFM285" s="113"/>
      <c r="AFN285" s="113"/>
      <c r="AFO285" s="113"/>
      <c r="AFP285" s="113"/>
      <c r="AFQ285" s="113"/>
      <c r="AFR285" s="113"/>
      <c r="AFS285" s="113"/>
      <c r="AFT285" s="113"/>
      <c r="AFU285" s="113"/>
      <c r="AFV285" s="113"/>
      <c r="AFW285" s="113"/>
      <c r="AFX285" s="113"/>
      <c r="AFY285" s="113"/>
      <c r="AFZ285" s="113"/>
      <c r="AGA285" s="113"/>
      <c r="AGB285" s="113"/>
      <c r="AGC285" s="113"/>
      <c r="AGD285" s="113"/>
      <c r="AGE285" s="113"/>
      <c r="AGF285" s="113"/>
      <c r="AGG285" s="113"/>
      <c r="AGH285" s="113"/>
      <c r="AGI285" s="113"/>
      <c r="AGJ285" s="113"/>
      <c r="AGK285" s="113"/>
      <c r="AGL285" s="113"/>
      <c r="AGM285" s="113"/>
      <c r="AGN285" s="113"/>
      <c r="AGO285" s="113"/>
      <c r="AGP285" s="113"/>
      <c r="AGQ285" s="113"/>
      <c r="AGR285" s="113"/>
      <c r="AGS285" s="113"/>
      <c r="AGT285" s="113"/>
      <c r="AGU285" s="113"/>
      <c r="AGV285" s="113"/>
      <c r="AGW285" s="113"/>
      <c r="AGX285" s="113"/>
      <c r="AGY285" s="113"/>
      <c r="AGZ285" s="113"/>
      <c r="AHA285" s="113"/>
      <c r="AHB285" s="113"/>
      <c r="AHC285" s="113"/>
      <c r="AHD285" s="113"/>
      <c r="AHE285" s="113"/>
      <c r="AHF285" s="113"/>
      <c r="AHG285" s="113"/>
      <c r="AHH285" s="113"/>
      <c r="AHI285" s="113"/>
      <c r="AHJ285" s="113"/>
      <c r="AHK285" s="113"/>
      <c r="AHL285" s="113"/>
      <c r="AHM285" s="113"/>
      <c r="AHN285" s="113"/>
      <c r="AHO285" s="113"/>
      <c r="AHP285" s="113"/>
      <c r="AHQ285" s="113"/>
      <c r="AHR285" s="113"/>
      <c r="AHS285" s="113"/>
      <c r="AHT285" s="113"/>
      <c r="AHU285" s="113"/>
      <c r="AHV285" s="113"/>
      <c r="AHW285" s="113"/>
      <c r="AHX285" s="113"/>
      <c r="AHY285" s="113"/>
      <c r="AHZ285" s="113"/>
      <c r="AIA285" s="113"/>
      <c r="AIB285" s="113"/>
      <c r="AIC285" s="113"/>
      <c r="AID285" s="113"/>
      <c r="AIE285" s="113"/>
      <c r="AIF285" s="113"/>
      <c r="AIG285" s="113"/>
      <c r="AIH285" s="113"/>
      <c r="AII285" s="113"/>
      <c r="AIJ285" s="113"/>
      <c r="AIK285" s="113"/>
      <c r="AIL285" s="113"/>
      <c r="AIM285" s="113"/>
      <c r="AIN285" s="113"/>
      <c r="AIO285" s="113"/>
      <c r="AIP285" s="113"/>
      <c r="AIQ285" s="113"/>
      <c r="AIR285" s="113"/>
      <c r="AIS285" s="113"/>
      <c r="AIT285" s="113"/>
      <c r="AIU285" s="113"/>
      <c r="AIV285" s="113"/>
      <c r="AIW285" s="113"/>
      <c r="AIX285" s="113"/>
      <c r="AIY285" s="113"/>
      <c r="AIZ285" s="113"/>
    </row>
    <row r="286">
      <c r="A286" s="65" t="s">
        <v>35</v>
      </c>
      <c r="B286" s="65" t="s">
        <v>83</v>
      </c>
      <c r="C286" s="65"/>
      <c r="D286" s="64">
        <f t="shared" si="1"/>
        <v>418.7834333</v>
      </c>
      <c r="G286" s="65">
        <v>3.29643333333333</v>
      </c>
      <c r="H286" s="65">
        <v>1.41746666666667</v>
      </c>
      <c r="I286" s="65">
        <v>55.3390666666667</v>
      </c>
      <c r="J286" s="65">
        <v>8.62701666666667</v>
      </c>
      <c r="K286" s="65">
        <v>5.79935</v>
      </c>
      <c r="N286" s="65">
        <v>2.84683333333333</v>
      </c>
      <c r="S286" s="65">
        <v>2.3656</v>
      </c>
      <c r="T286" s="65">
        <v>38.1330166666667</v>
      </c>
      <c r="U286" s="65">
        <v>81.2848666666667</v>
      </c>
      <c r="Y286" s="65">
        <v>0.142133333333333</v>
      </c>
      <c r="Z286" s="65">
        <v>2.15768333333333</v>
      </c>
      <c r="AA286" s="65">
        <v>31.2893833333333</v>
      </c>
      <c r="AB286" s="65">
        <v>31.2749833333333</v>
      </c>
      <c r="AF286" s="65">
        <v>0.369766666666667</v>
      </c>
      <c r="AG286" s="65">
        <v>1.54406666666667</v>
      </c>
      <c r="AH286" s="65">
        <v>4.55453333333333</v>
      </c>
      <c r="AI286" s="65">
        <v>28.8441166666667</v>
      </c>
      <c r="AL286" s="65">
        <v>0.888733333333333</v>
      </c>
      <c r="AM286" s="65">
        <v>6.8006</v>
      </c>
      <c r="AN286" s="65">
        <v>6.64086666666667</v>
      </c>
      <c r="AR286" s="65">
        <v>3.24131666666667</v>
      </c>
      <c r="AU286" s="65">
        <v>101.9256</v>
      </c>
    </row>
    <row r="287">
      <c r="A287" s="65" t="s">
        <v>35</v>
      </c>
      <c r="B287" s="65" t="s">
        <v>83</v>
      </c>
      <c r="C287" s="65"/>
      <c r="D287" s="64">
        <f t="shared" si="1"/>
        <v>0</v>
      </c>
    </row>
    <row r="288">
      <c r="A288" s="65" t="s">
        <v>35</v>
      </c>
      <c r="B288" s="65" t="s">
        <v>83</v>
      </c>
      <c r="C288" s="65"/>
      <c r="D288" s="64">
        <f t="shared" si="1"/>
        <v>417.77775</v>
      </c>
      <c r="G288" s="118">
        <f>HYPERLINK("https://docs.google.com/spreadsheets/d/1Ksprouc1xmUB9uNEaddeJEpT1adIaxoN", 3.29643333333333)</f>
        <v>3.296433333</v>
      </c>
      <c r="H288" s="118">
        <f>HYPERLINK("https://docs.google.com/spreadsheets/d/1lzLQMHIfaXU02FORMa1EsyIKFrni75wV", 1.41746666666667)</f>
        <v>1.417466667</v>
      </c>
      <c r="I288" s="118">
        <f>HYPERLINK("https://docs.google.com/spreadsheets/d/1esZmw-JsvShIDO6yU1haO6T5F6QhHpJu", 55.2681666666667)</f>
        <v>55.26816667</v>
      </c>
      <c r="J288" s="118">
        <f>HYPERLINK("https://docs.google.com/spreadsheets/d/1kVy8GtH7XngAHNKl03EHF4Wz22x4VQat", 8.62698333333334)</f>
        <v>8.626983333</v>
      </c>
      <c r="K288" s="118">
        <f>HYPERLINK("https://docs.google.com/spreadsheets/d/1O409NMV5c5f3hSBAxNmxqrbHw7bDyuhR", 5.79935)</f>
        <v>5.79935</v>
      </c>
      <c r="N288" s="118">
        <f>HYPERLINK("https://docs.google.com/spreadsheets/d/10TnM265zxFGUbz3l9_LuALTmfHFyTx4J", 2.84683333333333)</f>
        <v>2.846833333</v>
      </c>
      <c r="S288" s="118">
        <f>HYPERLINK("https://docs.google.com/spreadsheets/d/1VJgzeKJS9Owna09aoWCQadse5IJBrvXH", 2.3656)</f>
        <v>2.3656</v>
      </c>
      <c r="T288" s="118">
        <f>HYPERLINK("https://docs.google.com/spreadsheets/d/1jB3zL0T7S1dalB3E07YZGerZdDpmArw5", 38.06335)</f>
        <v>38.06335</v>
      </c>
      <c r="U288" s="118">
        <f>HYPERLINK("https://docs.google.com/spreadsheets/d/1njXzdknh-aO7-cXJxzQxdFPkvE5fE6md", 80.9577)</f>
        <v>80.9577</v>
      </c>
      <c r="Y288" s="118">
        <f>HYPERLINK("https://docs.google.com/spreadsheets/d/1dIenuvHgWy30g0wOOBjgkBBHx2EPMsLt", 0.142133333333333)</f>
        <v>0.1421333333</v>
      </c>
      <c r="Z288" s="118">
        <f>HYPERLINK("https://docs.google.com/spreadsheets/d/18uooiJM9xNVXJpPeL1YwF_Ya6Snud1Ub", 2.15768333333333)</f>
        <v>2.157683333</v>
      </c>
      <c r="AA288" s="118">
        <f>HYPERLINK("https://docs.google.com/spreadsheets/d/1CSZlW8dvdmo-BV0M5TxkFcG4-ujn0lQL", 31.2893666666667)</f>
        <v>31.28936667</v>
      </c>
      <c r="AB288" s="118">
        <f>HYPERLINK("https://docs.google.com/spreadsheets/d/1d1y7JoQiuTwTXlFkfYtd0_CsXvi5oY2t", 31.2749666666667)</f>
        <v>31.27496667</v>
      </c>
      <c r="AF288" s="118">
        <f>HYPERLINK("https://docs.google.com/spreadsheets/d/1Gr9Yi9nbq7qUrxkgamkf99ET-j-QZxEj", 0.369766666666667)</f>
        <v>0.3697666667</v>
      </c>
      <c r="AG288" s="118">
        <f>HYPERLINK("https://docs.google.com/spreadsheets/d/1Ak3nHPXF8vLEliEKonZACGgLK37mX0K0", 1.54406666666667)</f>
        <v>1.544066667</v>
      </c>
      <c r="AH288" s="118">
        <f>HYPERLINK("https://docs.google.com/spreadsheets/d/147UQWkOpjPKqO3bbAs-14K8weCYkLkDZ", 4.55451666666667)</f>
        <v>4.554516667</v>
      </c>
      <c r="AI288" s="118">
        <f>HYPERLINK("https://docs.google.com/spreadsheets/d/1rrvEpjU0WnaJRSS9GOr_zaCSw4fKY2GE", 28.7061166666667)</f>
        <v>28.70611667</v>
      </c>
      <c r="AL288" s="118">
        <f>HYPERLINK("https://docs.google.com/spreadsheets/d/1xkg8Dl1K3SadogKZKTwEepvE7bW9O9Om", 0.888733333333333)</f>
        <v>0.8887333333</v>
      </c>
      <c r="AM288" s="118">
        <f>HYPERLINK("https://docs.google.com/spreadsheets/d/1Wzv2VvIMJ9f_gOpoe0ankVzn2-3oAkjv", 6.80056666666667)</f>
        <v>6.800566667</v>
      </c>
      <c r="AN288" s="118">
        <f>HYPERLINK("https://docs.google.com/spreadsheets/d/1eY2UuyJBs5NxIduxxPIKpGZORw5Ct3OU", 6.64086666666667)</f>
        <v>6.640866667</v>
      </c>
      <c r="AR288" s="118">
        <f>HYPERLINK("https://docs.google.com/spreadsheets/d/1Lx_k057BjrYadvxjx0RVpTqeNtCSBQvD", 3.24131666666667)</f>
        <v>3.241316667</v>
      </c>
      <c r="AU288" s="118">
        <f>HYPERLINK("https://docs.google.com/spreadsheets/d/1PSEG3vvpTHJX1ldwHN0FgaDRLKMHZcF5", 101.525766666667)</f>
        <v>101.5257667</v>
      </c>
    </row>
    <row r="289">
      <c r="A289" s="65" t="s">
        <v>35</v>
      </c>
      <c r="B289" s="65" t="s">
        <v>83</v>
      </c>
      <c r="C289" s="65"/>
      <c r="D289" s="64">
        <f t="shared" si="1"/>
        <v>153.0624333</v>
      </c>
      <c r="G289" s="65">
        <v>2.40601666666667</v>
      </c>
      <c r="H289" s="65">
        <v>0.56115</v>
      </c>
      <c r="I289" s="65">
        <v>12.7633166666667</v>
      </c>
      <c r="J289" s="65">
        <v>3.5039</v>
      </c>
      <c r="K289" s="65">
        <v>1.4395</v>
      </c>
      <c r="N289" s="65">
        <v>2.2375</v>
      </c>
      <c r="S289" s="65">
        <v>1.31513333333333</v>
      </c>
      <c r="T289" s="65">
        <v>24.0955</v>
      </c>
      <c r="U289" s="65">
        <v>20.7281</v>
      </c>
      <c r="Y289" s="65">
        <v>0.142133333333333</v>
      </c>
      <c r="Z289" s="65">
        <v>0.829766666666667</v>
      </c>
      <c r="AA289" s="65">
        <v>15.02075</v>
      </c>
      <c r="AB289" s="65">
        <v>10.6574</v>
      </c>
      <c r="AF289" s="65">
        <v>0.0</v>
      </c>
      <c r="AG289" s="65">
        <v>0.518516666666667</v>
      </c>
      <c r="AH289" s="65">
        <v>1.39443333333333</v>
      </c>
      <c r="AI289" s="65">
        <v>6.89686666666667</v>
      </c>
      <c r="AL289" s="65">
        <v>0.888733333333333</v>
      </c>
      <c r="AM289" s="65">
        <v>4.15151666666667</v>
      </c>
      <c r="AN289" s="65">
        <v>3.64718333333333</v>
      </c>
      <c r="AR289" s="65">
        <v>1.70331666666667</v>
      </c>
      <c r="AU289" s="65">
        <v>38.1617</v>
      </c>
    </row>
    <row r="290">
      <c r="A290" s="119" t="s">
        <v>35</v>
      </c>
      <c r="B290" s="119" t="s">
        <v>83</v>
      </c>
      <c r="C290" s="119"/>
      <c r="D290" s="120">
        <f t="shared" si="1"/>
        <v>0</v>
      </c>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c r="AA290" s="120"/>
      <c r="AB290" s="120"/>
      <c r="AC290" s="120"/>
      <c r="AD290" s="120"/>
      <c r="AE290" s="120"/>
      <c r="AF290" s="120"/>
      <c r="AG290" s="120"/>
      <c r="AH290" s="120"/>
      <c r="AI290" s="120"/>
      <c r="AJ290" s="120"/>
      <c r="AK290" s="120"/>
      <c r="AL290" s="120"/>
      <c r="AM290" s="120"/>
      <c r="AN290" s="120"/>
      <c r="AO290" s="120"/>
      <c r="AP290" s="120"/>
      <c r="AQ290" s="120"/>
      <c r="AR290" s="120"/>
      <c r="AS290" s="120"/>
      <c r="AT290" s="120"/>
      <c r="AU290" s="120"/>
      <c r="AV290" s="120"/>
      <c r="AW290" s="120"/>
      <c r="AX290" s="120"/>
      <c r="AY290" s="120"/>
      <c r="AZ290" s="120"/>
      <c r="BA290" s="120"/>
      <c r="BB290" s="120"/>
      <c r="BC290" s="120"/>
      <c r="BD290" s="120"/>
      <c r="BE290" s="120"/>
      <c r="BF290" s="120"/>
      <c r="BG290" s="120"/>
      <c r="BH290" s="120"/>
      <c r="BI290" s="120"/>
      <c r="BJ290" s="120"/>
      <c r="BK290" s="120"/>
      <c r="BL290" s="120"/>
      <c r="BM290" s="120"/>
      <c r="BN290" s="120"/>
      <c r="BO290" s="120"/>
      <c r="BP290" s="120"/>
      <c r="BQ290" s="120"/>
      <c r="BR290" s="120"/>
      <c r="BS290" s="120"/>
      <c r="BT290" s="120"/>
      <c r="BU290" s="120"/>
      <c r="BV290" s="120"/>
      <c r="BW290" s="120"/>
      <c r="BX290" s="120"/>
      <c r="BY290" s="120"/>
      <c r="BZ290" s="120"/>
      <c r="CA290" s="120"/>
      <c r="CB290" s="120"/>
      <c r="CC290" s="120"/>
      <c r="CD290" s="120"/>
      <c r="CE290" s="120"/>
      <c r="CF290" s="120"/>
      <c r="CG290" s="120"/>
      <c r="CH290" s="120"/>
      <c r="CI290" s="120"/>
      <c r="CJ290" s="120"/>
      <c r="CK290" s="120"/>
      <c r="CL290" s="120"/>
      <c r="CM290" s="120"/>
      <c r="CN290" s="120"/>
      <c r="CO290" s="120"/>
      <c r="CP290" s="120"/>
      <c r="CQ290" s="120"/>
      <c r="CR290" s="120"/>
      <c r="CS290" s="120"/>
      <c r="CT290" s="120"/>
      <c r="CU290" s="120"/>
      <c r="CV290" s="120"/>
      <c r="CW290" s="120"/>
      <c r="CX290" s="120"/>
      <c r="CY290" s="120"/>
      <c r="CZ290" s="120"/>
      <c r="DA290" s="120"/>
      <c r="DB290" s="120"/>
      <c r="DC290" s="120"/>
      <c r="DD290" s="120"/>
      <c r="DE290" s="120"/>
      <c r="DF290" s="120"/>
      <c r="DG290" s="120"/>
      <c r="DH290" s="120"/>
      <c r="DI290" s="120"/>
      <c r="DJ290" s="120"/>
      <c r="DK290" s="120"/>
      <c r="DL290" s="120"/>
      <c r="DM290" s="120"/>
      <c r="DN290" s="120"/>
      <c r="DO290" s="120"/>
      <c r="DP290" s="120"/>
      <c r="DQ290" s="120"/>
      <c r="DR290" s="120"/>
      <c r="DS290" s="120"/>
      <c r="DT290" s="120"/>
      <c r="DU290" s="120"/>
      <c r="DV290" s="120"/>
      <c r="DW290" s="120"/>
      <c r="DX290" s="120"/>
      <c r="DY290" s="120"/>
      <c r="DZ290" s="120"/>
      <c r="EA290" s="120"/>
      <c r="EB290" s="120"/>
      <c r="EC290" s="120"/>
      <c r="ED290" s="120"/>
      <c r="EE290" s="120"/>
      <c r="EF290" s="120"/>
      <c r="EG290" s="120"/>
      <c r="EH290" s="120"/>
      <c r="EI290" s="120"/>
      <c r="EJ290" s="120"/>
      <c r="EK290" s="120"/>
      <c r="EL290" s="120"/>
      <c r="EM290" s="120"/>
      <c r="EN290" s="120"/>
      <c r="EO290" s="120"/>
      <c r="EP290" s="120"/>
      <c r="EQ290" s="120"/>
      <c r="ER290" s="120"/>
      <c r="ES290" s="120"/>
      <c r="ET290" s="120"/>
      <c r="EU290" s="120"/>
      <c r="EV290" s="120"/>
      <c r="EW290" s="120"/>
      <c r="EX290" s="120"/>
      <c r="EY290" s="120"/>
      <c r="EZ290" s="120"/>
      <c r="FA290" s="120"/>
      <c r="FB290" s="120"/>
      <c r="FC290" s="120"/>
      <c r="FD290" s="120"/>
      <c r="FE290" s="120"/>
      <c r="FF290" s="120"/>
      <c r="FG290" s="120"/>
      <c r="FH290" s="120"/>
      <c r="FI290" s="120"/>
      <c r="FJ290" s="120"/>
      <c r="FK290" s="120"/>
      <c r="FL290" s="120"/>
      <c r="FM290" s="120"/>
      <c r="FN290" s="120"/>
      <c r="FO290" s="120"/>
      <c r="FP290" s="120"/>
      <c r="FQ290" s="120"/>
      <c r="FR290" s="120"/>
      <c r="FS290" s="120"/>
      <c r="FT290" s="120"/>
      <c r="FU290" s="120"/>
      <c r="FV290" s="120"/>
      <c r="FW290" s="120"/>
      <c r="FX290" s="120"/>
      <c r="FY290" s="120"/>
      <c r="FZ290" s="120"/>
      <c r="GA290" s="120"/>
      <c r="GB290" s="120"/>
      <c r="GC290" s="120"/>
      <c r="GD290" s="120"/>
      <c r="GE290" s="120"/>
      <c r="GF290" s="120"/>
      <c r="GG290" s="120"/>
      <c r="GH290" s="120"/>
      <c r="GI290" s="120"/>
      <c r="GJ290" s="120"/>
      <c r="GK290" s="120"/>
      <c r="GL290" s="120"/>
      <c r="GM290" s="120"/>
      <c r="GN290" s="120"/>
      <c r="GO290" s="120"/>
      <c r="GP290" s="120"/>
      <c r="GQ290" s="120"/>
      <c r="GR290" s="120"/>
      <c r="GS290" s="120"/>
      <c r="GT290" s="120"/>
      <c r="GU290" s="120"/>
      <c r="GV290" s="120"/>
      <c r="GW290" s="120"/>
      <c r="GX290" s="120"/>
      <c r="GY290" s="120"/>
      <c r="GZ290" s="120"/>
      <c r="HA290" s="120"/>
      <c r="HB290" s="120"/>
      <c r="HC290" s="120"/>
      <c r="HD290" s="120"/>
      <c r="HE290" s="120"/>
      <c r="HF290" s="120"/>
      <c r="HG290" s="120"/>
      <c r="HH290" s="120"/>
      <c r="HI290" s="120"/>
      <c r="HJ290" s="120"/>
      <c r="HK290" s="120"/>
      <c r="HL290" s="120"/>
      <c r="HM290" s="120"/>
      <c r="HN290" s="120"/>
      <c r="HO290" s="120"/>
      <c r="HP290" s="120"/>
      <c r="HQ290" s="120"/>
      <c r="HR290" s="120"/>
      <c r="HS290" s="120"/>
      <c r="HT290" s="120"/>
      <c r="HU290" s="120"/>
      <c r="HV290" s="120"/>
      <c r="HW290" s="120"/>
      <c r="HX290" s="120"/>
      <c r="HY290" s="120"/>
      <c r="HZ290" s="120"/>
      <c r="IA290" s="120"/>
      <c r="IB290" s="120"/>
      <c r="IC290" s="120"/>
      <c r="ID290" s="120"/>
      <c r="IE290" s="120"/>
      <c r="IF290" s="120"/>
      <c r="IG290" s="120"/>
      <c r="IH290" s="120"/>
      <c r="II290" s="120"/>
      <c r="IJ290" s="120"/>
      <c r="IK290" s="120"/>
      <c r="IL290" s="120"/>
      <c r="IM290" s="120"/>
      <c r="IN290" s="120"/>
      <c r="IO290" s="120"/>
      <c r="IP290" s="120"/>
      <c r="IQ290" s="120"/>
      <c r="IR290" s="120"/>
      <c r="IS290" s="120"/>
      <c r="IT290" s="120"/>
      <c r="IU290" s="120"/>
      <c r="IV290" s="120"/>
      <c r="IW290" s="120"/>
      <c r="IX290" s="120"/>
      <c r="IY290" s="120"/>
      <c r="IZ290" s="120"/>
      <c r="JA290" s="120"/>
      <c r="JB290" s="120"/>
      <c r="JC290" s="120"/>
      <c r="JD290" s="120"/>
      <c r="JE290" s="120"/>
      <c r="JF290" s="120"/>
      <c r="JG290" s="120"/>
      <c r="JH290" s="120"/>
      <c r="JI290" s="120"/>
      <c r="JJ290" s="120"/>
      <c r="JK290" s="120"/>
      <c r="JL290" s="120"/>
      <c r="JM290" s="120"/>
      <c r="JN290" s="120"/>
      <c r="JO290" s="120"/>
      <c r="JP290" s="120"/>
      <c r="JQ290" s="120"/>
      <c r="JR290" s="120"/>
      <c r="JS290" s="120"/>
      <c r="JT290" s="120"/>
      <c r="JU290" s="120"/>
      <c r="JV290" s="120"/>
      <c r="JW290" s="120"/>
      <c r="JX290" s="120"/>
      <c r="JY290" s="120"/>
      <c r="JZ290" s="120"/>
      <c r="KA290" s="120"/>
      <c r="KB290" s="120"/>
      <c r="KC290" s="120"/>
      <c r="KD290" s="120"/>
      <c r="KE290" s="120"/>
      <c r="KF290" s="120"/>
      <c r="KG290" s="120"/>
      <c r="KH290" s="120"/>
      <c r="KI290" s="120"/>
      <c r="KJ290" s="120"/>
      <c r="KK290" s="120"/>
      <c r="KL290" s="120"/>
      <c r="KM290" s="120"/>
      <c r="KN290" s="120"/>
      <c r="KO290" s="120"/>
      <c r="KP290" s="120"/>
      <c r="KQ290" s="120"/>
      <c r="KR290" s="120"/>
      <c r="KS290" s="120"/>
      <c r="KT290" s="120"/>
      <c r="KU290" s="120"/>
      <c r="KV290" s="120"/>
      <c r="KW290" s="120"/>
      <c r="KX290" s="120"/>
      <c r="KY290" s="120"/>
      <c r="KZ290" s="120"/>
      <c r="LA290" s="120"/>
      <c r="LB290" s="120"/>
      <c r="LC290" s="120"/>
      <c r="LD290" s="120"/>
      <c r="LE290" s="120"/>
      <c r="LF290" s="120"/>
      <c r="LG290" s="120"/>
      <c r="LH290" s="120"/>
      <c r="LI290" s="120"/>
      <c r="LJ290" s="120"/>
      <c r="LK290" s="120"/>
      <c r="LL290" s="120"/>
      <c r="LM290" s="120"/>
      <c r="LN290" s="120"/>
      <c r="LO290" s="120"/>
      <c r="LP290" s="120"/>
      <c r="LQ290" s="120"/>
      <c r="LR290" s="120"/>
      <c r="LS290" s="120"/>
      <c r="LT290" s="120"/>
      <c r="LU290" s="120"/>
      <c r="LV290" s="120"/>
      <c r="LW290" s="120"/>
      <c r="LX290" s="120"/>
      <c r="LY290" s="120"/>
      <c r="LZ290" s="120"/>
      <c r="MA290" s="120"/>
      <c r="MB290" s="120"/>
      <c r="MC290" s="120"/>
      <c r="MD290" s="120"/>
      <c r="ME290" s="120"/>
      <c r="MF290" s="120"/>
      <c r="MG290" s="120"/>
      <c r="MH290" s="120"/>
      <c r="MI290" s="120"/>
      <c r="MJ290" s="120"/>
      <c r="MK290" s="120"/>
      <c r="ML290" s="120"/>
      <c r="MM290" s="120"/>
      <c r="MN290" s="120"/>
      <c r="MO290" s="120"/>
      <c r="MP290" s="120"/>
      <c r="MQ290" s="120"/>
      <c r="MR290" s="120"/>
      <c r="MS290" s="120"/>
      <c r="MT290" s="120"/>
      <c r="MU290" s="120"/>
      <c r="MV290" s="120"/>
      <c r="MW290" s="120"/>
      <c r="MX290" s="120"/>
      <c r="MY290" s="120"/>
      <c r="MZ290" s="120"/>
      <c r="NA290" s="120"/>
      <c r="NB290" s="120"/>
      <c r="NC290" s="120"/>
      <c r="ND290" s="120"/>
      <c r="NE290" s="120"/>
      <c r="NF290" s="120"/>
      <c r="NG290" s="120"/>
      <c r="NH290" s="120"/>
      <c r="NI290" s="120"/>
      <c r="NJ290" s="120"/>
      <c r="NK290" s="120"/>
      <c r="NL290" s="120"/>
      <c r="NM290" s="120"/>
      <c r="NN290" s="120"/>
      <c r="NO290" s="120"/>
      <c r="NP290" s="120"/>
      <c r="NQ290" s="120"/>
      <c r="NR290" s="120"/>
      <c r="NS290" s="120"/>
      <c r="NT290" s="120"/>
      <c r="NU290" s="120"/>
      <c r="NV290" s="120"/>
      <c r="NW290" s="120"/>
      <c r="NX290" s="120"/>
      <c r="NY290" s="120"/>
      <c r="NZ290" s="120"/>
      <c r="OA290" s="120"/>
      <c r="OB290" s="120"/>
      <c r="OC290" s="120"/>
      <c r="OD290" s="120"/>
      <c r="OE290" s="120"/>
      <c r="OF290" s="120"/>
      <c r="OG290" s="120"/>
      <c r="OH290" s="120"/>
      <c r="OI290" s="120"/>
      <c r="OJ290" s="120"/>
      <c r="OK290" s="120"/>
      <c r="OL290" s="120"/>
      <c r="OM290" s="120"/>
      <c r="ON290" s="120"/>
      <c r="OO290" s="120"/>
      <c r="OP290" s="120"/>
      <c r="OQ290" s="120"/>
      <c r="OR290" s="120"/>
      <c r="OS290" s="120"/>
      <c r="OT290" s="120"/>
      <c r="OU290" s="120"/>
      <c r="OV290" s="120"/>
      <c r="OW290" s="120"/>
      <c r="OX290" s="120"/>
      <c r="OY290" s="120"/>
      <c r="OZ290" s="120"/>
      <c r="PA290" s="120"/>
      <c r="PB290" s="120"/>
      <c r="PC290" s="120"/>
      <c r="PD290" s="120"/>
      <c r="PE290" s="120"/>
      <c r="PF290" s="120"/>
      <c r="PG290" s="120"/>
      <c r="PH290" s="120"/>
      <c r="PI290" s="120"/>
      <c r="PJ290" s="120"/>
      <c r="PK290" s="120"/>
      <c r="PL290" s="120"/>
      <c r="PM290" s="120"/>
      <c r="PN290" s="120"/>
      <c r="PO290" s="120"/>
      <c r="PP290" s="120"/>
      <c r="PQ290" s="120"/>
      <c r="PR290" s="120"/>
      <c r="PS290" s="120"/>
      <c r="PT290" s="120"/>
      <c r="PU290" s="120"/>
      <c r="PV290" s="120"/>
      <c r="PW290" s="120"/>
      <c r="PX290" s="120"/>
      <c r="PY290" s="120"/>
      <c r="PZ290" s="120"/>
      <c r="QA290" s="120"/>
      <c r="QB290" s="120"/>
      <c r="QC290" s="120"/>
      <c r="QD290" s="120"/>
      <c r="QE290" s="120"/>
      <c r="QF290" s="120"/>
      <c r="QG290" s="120"/>
      <c r="QH290" s="120"/>
      <c r="QI290" s="120"/>
      <c r="QJ290" s="120"/>
      <c r="QK290" s="120"/>
      <c r="QL290" s="120"/>
      <c r="QM290" s="120"/>
      <c r="QN290" s="120"/>
      <c r="QO290" s="120"/>
      <c r="QP290" s="120"/>
      <c r="QQ290" s="120"/>
      <c r="QR290" s="120"/>
      <c r="QS290" s="120"/>
      <c r="QT290" s="120"/>
      <c r="QU290" s="120"/>
      <c r="QV290" s="120"/>
      <c r="QW290" s="120"/>
      <c r="QX290" s="120"/>
      <c r="QY290" s="120"/>
      <c r="QZ290" s="120"/>
      <c r="RA290" s="120"/>
      <c r="RB290" s="120"/>
      <c r="RC290" s="120"/>
      <c r="RD290" s="120"/>
      <c r="RE290" s="120"/>
      <c r="RF290" s="120"/>
      <c r="RG290" s="120"/>
      <c r="RH290" s="120"/>
      <c r="RI290" s="120"/>
      <c r="RJ290" s="120"/>
      <c r="RK290" s="120"/>
      <c r="RL290" s="120"/>
      <c r="RM290" s="120"/>
      <c r="RN290" s="120"/>
      <c r="RO290" s="120"/>
      <c r="RP290" s="120"/>
      <c r="RQ290" s="120"/>
      <c r="RR290" s="120"/>
      <c r="RS290" s="120"/>
      <c r="RT290" s="120"/>
      <c r="RU290" s="120"/>
      <c r="RV290" s="120"/>
      <c r="RW290" s="120"/>
      <c r="RX290" s="120"/>
      <c r="RY290" s="120"/>
      <c r="RZ290" s="120"/>
      <c r="SA290" s="120"/>
      <c r="SB290" s="120"/>
      <c r="SC290" s="120"/>
      <c r="SD290" s="120"/>
      <c r="SE290" s="120"/>
      <c r="SF290" s="120"/>
      <c r="SG290" s="120"/>
      <c r="SH290" s="120"/>
      <c r="SI290" s="120"/>
      <c r="SJ290" s="120"/>
      <c r="SK290" s="120"/>
      <c r="SL290" s="120"/>
      <c r="SM290" s="120"/>
      <c r="SN290" s="120"/>
      <c r="SO290" s="120"/>
      <c r="SP290" s="120"/>
      <c r="SQ290" s="120"/>
      <c r="SR290" s="120"/>
      <c r="SS290" s="120"/>
      <c r="ST290" s="120"/>
      <c r="SU290" s="120"/>
      <c r="SV290" s="120"/>
      <c r="SW290" s="120"/>
      <c r="SX290" s="120"/>
      <c r="SY290" s="120"/>
      <c r="SZ290" s="120"/>
      <c r="TA290" s="120"/>
      <c r="TB290" s="120"/>
      <c r="TC290" s="120"/>
      <c r="TD290" s="120"/>
      <c r="TE290" s="120"/>
      <c r="TF290" s="120"/>
      <c r="TG290" s="120"/>
      <c r="TH290" s="120"/>
      <c r="TI290" s="120"/>
      <c r="TJ290" s="120"/>
      <c r="TK290" s="120"/>
      <c r="TL290" s="120"/>
      <c r="TM290" s="120"/>
      <c r="TN290" s="120"/>
      <c r="TO290" s="120"/>
      <c r="TP290" s="120"/>
      <c r="TQ290" s="120"/>
      <c r="TR290" s="120"/>
      <c r="TS290" s="120"/>
      <c r="TT290" s="120"/>
      <c r="TU290" s="120"/>
      <c r="TV290" s="120"/>
      <c r="TW290" s="120"/>
      <c r="TX290" s="120"/>
      <c r="TY290" s="120"/>
      <c r="TZ290" s="120"/>
      <c r="UA290" s="120"/>
      <c r="UB290" s="120"/>
      <c r="UC290" s="120"/>
      <c r="UD290" s="120"/>
      <c r="UE290" s="120"/>
      <c r="UF290" s="120"/>
      <c r="UG290" s="120"/>
      <c r="UH290" s="120"/>
      <c r="UI290" s="120"/>
      <c r="UJ290" s="120"/>
      <c r="UK290" s="120"/>
      <c r="UL290" s="120"/>
      <c r="UM290" s="120"/>
      <c r="UN290" s="120"/>
      <c r="UO290" s="120"/>
      <c r="UP290" s="120"/>
      <c r="UQ290" s="120"/>
      <c r="UR290" s="120"/>
      <c r="US290" s="120"/>
      <c r="UT290" s="120"/>
      <c r="UU290" s="120"/>
      <c r="UV290" s="120"/>
      <c r="UW290" s="120"/>
      <c r="UX290" s="120"/>
      <c r="UY290" s="120"/>
      <c r="UZ290" s="120"/>
      <c r="VA290" s="120"/>
      <c r="VB290" s="120"/>
      <c r="VC290" s="120"/>
      <c r="VD290" s="120"/>
      <c r="VE290" s="120"/>
      <c r="VF290" s="120"/>
      <c r="VG290" s="120"/>
      <c r="VH290" s="120"/>
      <c r="VI290" s="120"/>
      <c r="VJ290" s="120"/>
      <c r="VK290" s="120"/>
      <c r="VL290" s="120"/>
      <c r="VM290" s="120"/>
      <c r="VN290" s="120"/>
      <c r="VO290" s="120"/>
      <c r="VP290" s="120"/>
      <c r="VQ290" s="120"/>
      <c r="VR290" s="120"/>
      <c r="VS290" s="120"/>
      <c r="VT290" s="120"/>
      <c r="VU290" s="120"/>
      <c r="VV290" s="120"/>
      <c r="VW290" s="120"/>
      <c r="VX290" s="120"/>
      <c r="VY290" s="120"/>
      <c r="VZ290" s="120"/>
      <c r="WA290" s="120"/>
      <c r="WB290" s="120"/>
      <c r="WC290" s="120"/>
      <c r="WD290" s="120"/>
      <c r="WE290" s="120"/>
      <c r="WF290" s="120"/>
      <c r="WG290" s="120"/>
      <c r="WH290" s="120"/>
      <c r="WI290" s="120"/>
      <c r="WJ290" s="120"/>
      <c r="WK290" s="120"/>
      <c r="WL290" s="120"/>
      <c r="WM290" s="120"/>
      <c r="WN290" s="120"/>
      <c r="WO290" s="120"/>
      <c r="WP290" s="120"/>
      <c r="WQ290" s="120"/>
      <c r="WR290" s="120"/>
      <c r="WS290" s="120"/>
      <c r="WT290" s="120"/>
      <c r="WU290" s="120"/>
      <c r="WV290" s="120"/>
      <c r="WW290" s="120"/>
      <c r="WX290" s="120"/>
      <c r="WY290" s="120"/>
      <c r="WZ290" s="120"/>
      <c r="XA290" s="120"/>
      <c r="XB290" s="120"/>
      <c r="XC290" s="120"/>
      <c r="XD290" s="120"/>
      <c r="XE290" s="120"/>
      <c r="XF290" s="120"/>
      <c r="XG290" s="120"/>
      <c r="XH290" s="120"/>
      <c r="XI290" s="120"/>
      <c r="XJ290" s="120"/>
      <c r="XK290" s="120"/>
      <c r="XL290" s="120"/>
      <c r="XM290" s="120"/>
      <c r="XN290" s="120"/>
      <c r="XO290" s="120"/>
      <c r="XP290" s="120"/>
      <c r="XQ290" s="120"/>
      <c r="XR290" s="120"/>
      <c r="XS290" s="120"/>
      <c r="XT290" s="120"/>
      <c r="XU290" s="120"/>
      <c r="XV290" s="120"/>
      <c r="XW290" s="120"/>
      <c r="XX290" s="120"/>
      <c r="XY290" s="120"/>
      <c r="XZ290" s="120"/>
      <c r="YA290" s="120"/>
      <c r="YB290" s="120"/>
      <c r="YC290" s="120"/>
      <c r="YD290" s="120"/>
      <c r="YE290" s="120"/>
      <c r="YF290" s="120"/>
      <c r="YG290" s="120"/>
      <c r="YH290" s="120"/>
      <c r="YI290" s="120"/>
      <c r="YJ290" s="120"/>
      <c r="YK290" s="120"/>
      <c r="YL290" s="120"/>
      <c r="YM290" s="120"/>
      <c r="YN290" s="120"/>
      <c r="YO290" s="120"/>
      <c r="YP290" s="120"/>
      <c r="YQ290" s="120"/>
      <c r="YR290" s="120"/>
      <c r="YS290" s="120"/>
      <c r="YT290" s="120"/>
      <c r="YU290" s="120"/>
      <c r="YV290" s="120"/>
      <c r="YW290" s="120"/>
      <c r="YX290" s="120"/>
      <c r="YY290" s="120"/>
      <c r="YZ290" s="120"/>
      <c r="ZA290" s="120"/>
      <c r="ZB290" s="120"/>
      <c r="ZC290" s="120"/>
      <c r="ZD290" s="120"/>
      <c r="ZE290" s="120"/>
      <c r="ZF290" s="120"/>
      <c r="ZG290" s="120"/>
      <c r="ZH290" s="120"/>
      <c r="ZI290" s="120"/>
      <c r="ZJ290" s="120"/>
      <c r="ZK290" s="120"/>
      <c r="ZL290" s="120"/>
      <c r="ZM290" s="120"/>
      <c r="ZN290" s="120"/>
      <c r="ZO290" s="120"/>
      <c r="ZP290" s="120"/>
      <c r="ZQ290" s="120"/>
      <c r="ZR290" s="120"/>
      <c r="ZS290" s="120"/>
      <c r="ZT290" s="120"/>
      <c r="ZU290" s="120"/>
      <c r="ZV290" s="120"/>
      <c r="ZW290" s="120"/>
      <c r="ZX290" s="120"/>
      <c r="ZY290" s="120"/>
      <c r="ZZ290" s="120"/>
      <c r="AAA290" s="120"/>
      <c r="AAB290" s="120"/>
      <c r="AAC290" s="120"/>
      <c r="AAD290" s="120"/>
      <c r="AAE290" s="120"/>
      <c r="AAF290" s="120"/>
      <c r="AAG290" s="120"/>
      <c r="AAH290" s="120"/>
      <c r="AAI290" s="120"/>
      <c r="AAJ290" s="120"/>
      <c r="AAK290" s="120"/>
      <c r="AAL290" s="120"/>
      <c r="AAM290" s="120"/>
      <c r="AAN290" s="120"/>
      <c r="AAO290" s="120"/>
      <c r="AAP290" s="120"/>
      <c r="AAQ290" s="120"/>
      <c r="AAR290" s="120"/>
      <c r="AAS290" s="120"/>
      <c r="AAT290" s="120"/>
      <c r="AAU290" s="120"/>
      <c r="AAV290" s="120"/>
      <c r="AAW290" s="120"/>
      <c r="AAX290" s="120"/>
      <c r="AAY290" s="120"/>
      <c r="AAZ290" s="120"/>
      <c r="ABA290" s="120"/>
      <c r="ABB290" s="120"/>
      <c r="ABC290" s="120"/>
      <c r="ABD290" s="120"/>
      <c r="ABE290" s="120"/>
      <c r="ABF290" s="120"/>
      <c r="ABG290" s="120"/>
      <c r="ABH290" s="120"/>
      <c r="ABI290" s="120"/>
      <c r="ABJ290" s="120"/>
      <c r="ABK290" s="120"/>
      <c r="ABL290" s="120"/>
      <c r="ABM290" s="120"/>
      <c r="ABN290" s="120"/>
      <c r="ABO290" s="120"/>
      <c r="ABP290" s="120"/>
      <c r="ABQ290" s="120"/>
      <c r="ABR290" s="120"/>
      <c r="ABS290" s="120"/>
      <c r="ABT290" s="120"/>
      <c r="ABU290" s="120"/>
      <c r="ABV290" s="120"/>
      <c r="ABW290" s="120"/>
      <c r="ABX290" s="120"/>
      <c r="ABY290" s="120"/>
      <c r="ABZ290" s="120"/>
      <c r="ACA290" s="120"/>
      <c r="ACB290" s="120"/>
      <c r="ACC290" s="120"/>
      <c r="ACD290" s="120"/>
      <c r="ACE290" s="120"/>
      <c r="ACF290" s="120"/>
      <c r="ACG290" s="120"/>
      <c r="ACH290" s="120"/>
      <c r="ACI290" s="120"/>
      <c r="ACJ290" s="120"/>
      <c r="ACK290" s="120"/>
      <c r="ACL290" s="120"/>
      <c r="ACM290" s="120"/>
      <c r="ACN290" s="120"/>
      <c r="ACO290" s="120"/>
      <c r="ACP290" s="120"/>
      <c r="ACQ290" s="120"/>
      <c r="ACR290" s="120"/>
      <c r="ACS290" s="120"/>
      <c r="ACT290" s="120"/>
      <c r="ACU290" s="120"/>
      <c r="ACV290" s="120"/>
      <c r="ACW290" s="120"/>
      <c r="ACX290" s="120"/>
      <c r="ACY290" s="120"/>
      <c r="ACZ290" s="120"/>
      <c r="ADA290" s="120"/>
      <c r="ADB290" s="120"/>
      <c r="ADC290" s="120"/>
      <c r="ADD290" s="120"/>
      <c r="ADE290" s="120"/>
      <c r="ADF290" s="120"/>
      <c r="ADG290" s="120"/>
      <c r="ADH290" s="120"/>
      <c r="ADI290" s="120"/>
      <c r="ADJ290" s="120"/>
      <c r="ADK290" s="120"/>
      <c r="ADL290" s="120"/>
      <c r="ADM290" s="120"/>
      <c r="ADN290" s="120"/>
      <c r="ADO290" s="120"/>
      <c r="ADP290" s="120"/>
      <c r="ADQ290" s="120"/>
      <c r="ADR290" s="120"/>
      <c r="ADS290" s="120"/>
      <c r="ADT290" s="120"/>
      <c r="ADU290" s="120"/>
      <c r="ADV290" s="120"/>
      <c r="ADW290" s="120"/>
      <c r="ADX290" s="120"/>
      <c r="ADY290" s="120"/>
      <c r="ADZ290" s="120"/>
      <c r="AEA290" s="120"/>
      <c r="AEB290" s="120"/>
      <c r="AEC290" s="120"/>
      <c r="AED290" s="120"/>
      <c r="AEE290" s="120"/>
      <c r="AEF290" s="120"/>
      <c r="AEG290" s="120"/>
      <c r="AEH290" s="120"/>
      <c r="AEI290" s="120"/>
      <c r="AEJ290" s="120"/>
      <c r="AEK290" s="120"/>
      <c r="AEL290" s="120"/>
      <c r="AEM290" s="120"/>
      <c r="AEN290" s="120"/>
      <c r="AEO290" s="120"/>
      <c r="AEP290" s="120"/>
      <c r="AEQ290" s="120"/>
      <c r="AER290" s="120"/>
      <c r="AES290" s="120"/>
      <c r="AET290" s="120"/>
      <c r="AEU290" s="120"/>
      <c r="AEV290" s="120"/>
      <c r="AEW290" s="120"/>
      <c r="AEX290" s="120"/>
      <c r="AEY290" s="120"/>
      <c r="AEZ290" s="120"/>
      <c r="AFA290" s="120"/>
      <c r="AFB290" s="120"/>
      <c r="AFC290" s="120"/>
      <c r="AFD290" s="120"/>
      <c r="AFE290" s="120"/>
      <c r="AFF290" s="120"/>
      <c r="AFG290" s="120"/>
      <c r="AFH290" s="120"/>
      <c r="AFI290" s="120"/>
      <c r="AFJ290" s="120"/>
      <c r="AFK290" s="120"/>
      <c r="AFL290" s="120"/>
      <c r="AFM290" s="120"/>
      <c r="AFN290" s="120"/>
      <c r="AFO290" s="120"/>
      <c r="AFP290" s="120"/>
      <c r="AFQ290" s="120"/>
      <c r="AFR290" s="120"/>
      <c r="AFS290" s="120"/>
      <c r="AFT290" s="120"/>
      <c r="AFU290" s="120"/>
      <c r="AFV290" s="120"/>
      <c r="AFW290" s="120"/>
      <c r="AFX290" s="120"/>
      <c r="AFY290" s="120"/>
      <c r="AFZ290" s="120"/>
      <c r="AGA290" s="120"/>
      <c r="AGB290" s="120"/>
      <c r="AGC290" s="120"/>
      <c r="AGD290" s="120"/>
      <c r="AGE290" s="120"/>
      <c r="AGF290" s="120"/>
      <c r="AGG290" s="120"/>
      <c r="AGH290" s="120"/>
      <c r="AGI290" s="120"/>
      <c r="AGJ290" s="120"/>
      <c r="AGK290" s="120"/>
      <c r="AGL290" s="120"/>
      <c r="AGM290" s="120"/>
      <c r="AGN290" s="120"/>
      <c r="AGO290" s="120"/>
      <c r="AGP290" s="120"/>
      <c r="AGQ290" s="120"/>
      <c r="AGR290" s="120"/>
      <c r="AGS290" s="120"/>
      <c r="AGT290" s="120"/>
      <c r="AGU290" s="120"/>
      <c r="AGV290" s="120"/>
      <c r="AGW290" s="120"/>
      <c r="AGX290" s="120"/>
      <c r="AGY290" s="120"/>
      <c r="AGZ290" s="120"/>
      <c r="AHA290" s="120"/>
      <c r="AHB290" s="120"/>
      <c r="AHC290" s="120"/>
      <c r="AHD290" s="120"/>
      <c r="AHE290" s="120"/>
      <c r="AHF290" s="120"/>
      <c r="AHG290" s="120"/>
      <c r="AHH290" s="120"/>
      <c r="AHI290" s="120"/>
      <c r="AHJ290" s="120"/>
      <c r="AHK290" s="120"/>
      <c r="AHL290" s="120"/>
      <c r="AHM290" s="120"/>
      <c r="AHN290" s="120"/>
      <c r="AHO290" s="120"/>
      <c r="AHP290" s="120"/>
      <c r="AHQ290" s="120"/>
      <c r="AHR290" s="120"/>
      <c r="AHS290" s="120"/>
      <c r="AHT290" s="120"/>
      <c r="AHU290" s="120"/>
      <c r="AHV290" s="120"/>
      <c r="AHW290" s="120"/>
      <c r="AHX290" s="120"/>
      <c r="AHY290" s="120"/>
      <c r="AHZ290" s="120"/>
      <c r="AIA290" s="120"/>
      <c r="AIB290" s="120"/>
      <c r="AIC290" s="120"/>
      <c r="AID290" s="120"/>
      <c r="AIE290" s="120"/>
      <c r="AIF290" s="120"/>
      <c r="AIG290" s="120"/>
      <c r="AIH290" s="120"/>
      <c r="AII290" s="120"/>
      <c r="AIJ290" s="120"/>
      <c r="AIK290" s="120"/>
      <c r="AIL290" s="120"/>
      <c r="AIM290" s="120"/>
      <c r="AIN290" s="120"/>
      <c r="AIO290" s="120"/>
      <c r="AIP290" s="120"/>
      <c r="AIQ290" s="120"/>
      <c r="AIR290" s="120"/>
      <c r="AIS290" s="120"/>
      <c r="AIT290" s="120"/>
      <c r="AIU290" s="120"/>
      <c r="AIV290" s="120"/>
      <c r="AIW290" s="120"/>
      <c r="AIX290" s="120"/>
      <c r="AIY290" s="120"/>
      <c r="AIZ290" s="120"/>
    </row>
    <row r="291">
      <c r="A291" s="112" t="s">
        <v>35</v>
      </c>
      <c r="B291" s="112" t="s">
        <v>36</v>
      </c>
      <c r="C291" s="112"/>
      <c r="D291" s="113">
        <f t="shared" si="1"/>
        <v>628.2161333</v>
      </c>
      <c r="E291" s="112">
        <v>141.422283333333</v>
      </c>
      <c r="F291" s="113"/>
      <c r="G291" s="113"/>
      <c r="H291" s="113"/>
      <c r="I291" s="113"/>
      <c r="J291" s="113"/>
      <c r="K291" s="113"/>
      <c r="L291" s="112">
        <v>2.06643333333333</v>
      </c>
      <c r="M291" s="112">
        <v>38.9696666666667</v>
      </c>
      <c r="N291" s="113"/>
      <c r="O291" s="112">
        <v>0.504016666666667</v>
      </c>
      <c r="P291" s="112">
        <v>166.00485</v>
      </c>
      <c r="Q291" s="113"/>
      <c r="R291" s="113"/>
      <c r="S291" s="113"/>
      <c r="T291" s="113"/>
      <c r="U291" s="113"/>
      <c r="V291" s="112">
        <v>2.79016666666667</v>
      </c>
      <c r="W291" s="112">
        <v>102.697533333333</v>
      </c>
      <c r="X291" s="113"/>
      <c r="Y291" s="113"/>
      <c r="Z291" s="113"/>
      <c r="AA291" s="113"/>
      <c r="AB291" s="113"/>
      <c r="AC291" s="112">
        <v>4.26628333333333</v>
      </c>
      <c r="AD291" s="112">
        <v>16.7592333333333</v>
      </c>
      <c r="AE291" s="113"/>
      <c r="AF291" s="113"/>
      <c r="AG291" s="113"/>
      <c r="AH291" s="113"/>
      <c r="AI291" s="113"/>
      <c r="AJ291" s="112">
        <v>0.719066666666667</v>
      </c>
      <c r="AK291" s="112">
        <v>25.0192166666667</v>
      </c>
      <c r="AL291" s="113"/>
      <c r="AM291" s="113"/>
      <c r="AN291" s="113"/>
      <c r="AO291" s="112">
        <v>2.02483333333333</v>
      </c>
      <c r="AP291" s="112">
        <v>6.42858333333333</v>
      </c>
      <c r="AQ291" s="113"/>
      <c r="AR291" s="113"/>
      <c r="AS291" s="112">
        <v>0.5725</v>
      </c>
      <c r="AT291" s="112">
        <v>115.803833333333</v>
      </c>
      <c r="AU291" s="113"/>
      <c r="AV291" s="112">
        <v>2.06155</v>
      </c>
      <c r="AW291" s="112">
        <v>0.106083333333333</v>
      </c>
      <c r="AX291" s="113"/>
      <c r="AY291" s="113"/>
      <c r="AZ291" s="113"/>
      <c r="BA291" s="113"/>
      <c r="BB291" s="113"/>
      <c r="BC291" s="113"/>
      <c r="BD291" s="113"/>
      <c r="BE291" s="113"/>
      <c r="BF291" s="113"/>
      <c r="BG291" s="113"/>
      <c r="BH291" s="113"/>
      <c r="BI291" s="113"/>
      <c r="BJ291" s="113"/>
      <c r="BK291" s="113"/>
      <c r="BL291" s="113"/>
      <c r="BM291" s="113"/>
      <c r="BN291" s="113"/>
      <c r="BO291" s="113"/>
      <c r="BP291" s="113"/>
      <c r="BQ291" s="113"/>
      <c r="BR291" s="113"/>
      <c r="BS291" s="113"/>
      <c r="BT291" s="113"/>
      <c r="BU291" s="113"/>
      <c r="BV291" s="113"/>
      <c r="BW291" s="113"/>
      <c r="BX291" s="113"/>
      <c r="BY291" s="113"/>
      <c r="BZ291" s="113"/>
      <c r="CA291" s="113"/>
      <c r="CB291" s="113"/>
      <c r="CC291" s="113"/>
      <c r="CD291" s="113"/>
      <c r="CE291" s="113"/>
      <c r="CF291" s="113"/>
      <c r="CG291" s="113"/>
      <c r="CH291" s="113"/>
      <c r="CI291" s="113"/>
      <c r="CJ291" s="113"/>
      <c r="CK291" s="113"/>
      <c r="CL291" s="113"/>
      <c r="CM291" s="113"/>
      <c r="CN291" s="113"/>
      <c r="CO291" s="113"/>
      <c r="CP291" s="113"/>
      <c r="CQ291" s="113"/>
      <c r="CR291" s="113"/>
      <c r="CS291" s="113"/>
      <c r="CT291" s="113"/>
      <c r="CU291" s="113"/>
      <c r="CV291" s="113"/>
      <c r="CW291" s="113"/>
      <c r="CX291" s="113"/>
      <c r="CY291" s="113"/>
      <c r="CZ291" s="113"/>
      <c r="DA291" s="113"/>
      <c r="DB291" s="113"/>
      <c r="DC291" s="113"/>
      <c r="DD291" s="113"/>
      <c r="DE291" s="113"/>
      <c r="DF291" s="113"/>
      <c r="DG291" s="113"/>
      <c r="DH291" s="113"/>
      <c r="DI291" s="113"/>
      <c r="DJ291" s="113"/>
      <c r="DK291" s="113"/>
      <c r="DL291" s="113"/>
      <c r="DM291" s="113"/>
      <c r="DN291" s="113"/>
      <c r="DO291" s="113"/>
      <c r="DP291" s="113"/>
      <c r="DQ291" s="113"/>
      <c r="DR291" s="113"/>
      <c r="DS291" s="113"/>
      <c r="DT291" s="113"/>
      <c r="DU291" s="113"/>
      <c r="DV291" s="113"/>
      <c r="DW291" s="113"/>
      <c r="DX291" s="113"/>
      <c r="DY291" s="113"/>
      <c r="DZ291" s="113"/>
      <c r="EA291" s="113"/>
      <c r="EB291" s="113"/>
      <c r="EC291" s="113"/>
      <c r="ED291" s="113"/>
      <c r="EE291" s="113"/>
      <c r="EF291" s="113"/>
      <c r="EG291" s="113"/>
      <c r="EH291" s="113"/>
      <c r="EI291" s="113"/>
      <c r="EJ291" s="113"/>
      <c r="EK291" s="113"/>
      <c r="EL291" s="113"/>
      <c r="EM291" s="113"/>
      <c r="EN291" s="113"/>
      <c r="EO291" s="113"/>
      <c r="EP291" s="113"/>
      <c r="EQ291" s="113"/>
      <c r="ER291" s="113"/>
      <c r="ES291" s="113"/>
      <c r="ET291" s="113"/>
      <c r="EU291" s="113"/>
      <c r="EV291" s="113"/>
      <c r="EW291" s="113"/>
      <c r="EX291" s="113"/>
      <c r="EY291" s="113"/>
      <c r="EZ291" s="113"/>
      <c r="FA291" s="113"/>
      <c r="FB291" s="113"/>
      <c r="FC291" s="113"/>
      <c r="FD291" s="113"/>
      <c r="FE291" s="113"/>
      <c r="FF291" s="113"/>
      <c r="FG291" s="113"/>
      <c r="FH291" s="113"/>
      <c r="FI291" s="113"/>
      <c r="FJ291" s="113"/>
      <c r="FK291" s="113"/>
      <c r="FL291" s="113"/>
      <c r="FM291" s="113"/>
      <c r="FN291" s="113"/>
      <c r="FO291" s="113"/>
      <c r="FP291" s="113"/>
      <c r="FQ291" s="113"/>
      <c r="FR291" s="113"/>
      <c r="FS291" s="113"/>
      <c r="FT291" s="113"/>
      <c r="FU291" s="113"/>
      <c r="FV291" s="113"/>
      <c r="FW291" s="113"/>
      <c r="FX291" s="113"/>
      <c r="FY291" s="113"/>
      <c r="FZ291" s="113"/>
      <c r="GA291" s="113"/>
      <c r="GB291" s="113"/>
      <c r="GC291" s="113"/>
      <c r="GD291" s="113"/>
      <c r="GE291" s="113"/>
      <c r="GF291" s="113"/>
      <c r="GG291" s="113"/>
      <c r="GH291" s="113"/>
      <c r="GI291" s="113"/>
      <c r="GJ291" s="113"/>
      <c r="GK291" s="113"/>
      <c r="GL291" s="113"/>
      <c r="GM291" s="113"/>
      <c r="GN291" s="113"/>
      <c r="GO291" s="113"/>
      <c r="GP291" s="113"/>
      <c r="GQ291" s="113"/>
      <c r="GR291" s="113"/>
      <c r="GS291" s="113"/>
      <c r="GT291" s="113"/>
      <c r="GU291" s="113"/>
      <c r="GV291" s="113"/>
      <c r="GW291" s="113"/>
      <c r="GX291" s="113"/>
      <c r="GY291" s="113"/>
      <c r="GZ291" s="113"/>
      <c r="HA291" s="113"/>
      <c r="HB291" s="113"/>
      <c r="HC291" s="113"/>
      <c r="HD291" s="113"/>
      <c r="HE291" s="113"/>
      <c r="HF291" s="113"/>
      <c r="HG291" s="113"/>
      <c r="HH291" s="113"/>
      <c r="HI291" s="113"/>
      <c r="HJ291" s="113"/>
      <c r="HK291" s="113"/>
      <c r="HL291" s="113"/>
      <c r="HM291" s="113"/>
      <c r="HN291" s="113"/>
      <c r="HO291" s="113"/>
      <c r="HP291" s="113"/>
      <c r="HQ291" s="113"/>
      <c r="HR291" s="113"/>
      <c r="HS291" s="113"/>
      <c r="HT291" s="113"/>
      <c r="HU291" s="113"/>
      <c r="HV291" s="113"/>
      <c r="HW291" s="113"/>
      <c r="HX291" s="113"/>
      <c r="HY291" s="113"/>
      <c r="HZ291" s="113"/>
      <c r="IA291" s="113"/>
      <c r="IB291" s="113"/>
      <c r="IC291" s="113"/>
      <c r="ID291" s="113"/>
      <c r="IE291" s="113"/>
      <c r="IF291" s="113"/>
      <c r="IG291" s="113"/>
      <c r="IH291" s="113"/>
      <c r="II291" s="113"/>
      <c r="IJ291" s="113"/>
      <c r="IK291" s="113"/>
      <c r="IL291" s="113"/>
      <c r="IM291" s="113"/>
      <c r="IN291" s="113"/>
      <c r="IO291" s="113"/>
      <c r="IP291" s="113"/>
      <c r="IQ291" s="113"/>
      <c r="IR291" s="113"/>
      <c r="IS291" s="113"/>
      <c r="IT291" s="113"/>
      <c r="IU291" s="113"/>
      <c r="IV291" s="113"/>
      <c r="IW291" s="113"/>
      <c r="IX291" s="113"/>
      <c r="IY291" s="113"/>
      <c r="IZ291" s="113"/>
      <c r="JA291" s="113"/>
      <c r="JB291" s="113"/>
      <c r="JC291" s="113"/>
      <c r="JD291" s="113"/>
      <c r="JE291" s="113"/>
      <c r="JF291" s="113"/>
      <c r="JG291" s="113"/>
      <c r="JH291" s="113"/>
      <c r="JI291" s="113"/>
      <c r="JJ291" s="113"/>
      <c r="JK291" s="113"/>
      <c r="JL291" s="113"/>
      <c r="JM291" s="113"/>
      <c r="JN291" s="113"/>
      <c r="JO291" s="113"/>
      <c r="JP291" s="113"/>
      <c r="JQ291" s="113"/>
      <c r="JR291" s="113"/>
      <c r="JS291" s="113"/>
      <c r="JT291" s="113"/>
      <c r="JU291" s="113"/>
      <c r="JV291" s="113"/>
      <c r="JW291" s="113"/>
      <c r="JX291" s="113"/>
      <c r="JY291" s="113"/>
      <c r="JZ291" s="113"/>
      <c r="KA291" s="113"/>
      <c r="KB291" s="113"/>
      <c r="KC291" s="113"/>
      <c r="KD291" s="113"/>
      <c r="KE291" s="113"/>
      <c r="KF291" s="113"/>
      <c r="KG291" s="113"/>
      <c r="KH291" s="113"/>
      <c r="KI291" s="113"/>
      <c r="KJ291" s="113"/>
      <c r="KK291" s="113"/>
      <c r="KL291" s="113"/>
      <c r="KM291" s="113"/>
      <c r="KN291" s="113"/>
      <c r="KO291" s="113"/>
      <c r="KP291" s="113"/>
      <c r="KQ291" s="113"/>
      <c r="KR291" s="113"/>
      <c r="KS291" s="113"/>
      <c r="KT291" s="113"/>
      <c r="KU291" s="113"/>
      <c r="KV291" s="113"/>
      <c r="KW291" s="113"/>
      <c r="KX291" s="113"/>
      <c r="KY291" s="113"/>
      <c r="KZ291" s="113"/>
      <c r="LA291" s="113"/>
      <c r="LB291" s="113"/>
      <c r="LC291" s="113"/>
      <c r="LD291" s="113"/>
      <c r="LE291" s="113"/>
      <c r="LF291" s="113"/>
      <c r="LG291" s="113"/>
      <c r="LH291" s="113"/>
      <c r="LI291" s="113"/>
      <c r="LJ291" s="113"/>
      <c r="LK291" s="113"/>
      <c r="LL291" s="113"/>
      <c r="LM291" s="113"/>
      <c r="LN291" s="113"/>
      <c r="LO291" s="113"/>
      <c r="LP291" s="113"/>
      <c r="LQ291" s="113"/>
      <c r="LR291" s="113"/>
      <c r="LS291" s="113"/>
      <c r="LT291" s="113"/>
      <c r="LU291" s="113"/>
      <c r="LV291" s="113"/>
      <c r="LW291" s="113"/>
      <c r="LX291" s="113"/>
      <c r="LY291" s="113"/>
      <c r="LZ291" s="113"/>
      <c r="MA291" s="113"/>
      <c r="MB291" s="113"/>
      <c r="MC291" s="113"/>
      <c r="MD291" s="113"/>
      <c r="ME291" s="113"/>
      <c r="MF291" s="113"/>
      <c r="MG291" s="113"/>
      <c r="MH291" s="113"/>
      <c r="MI291" s="113"/>
      <c r="MJ291" s="113"/>
      <c r="MK291" s="113"/>
      <c r="ML291" s="113"/>
      <c r="MM291" s="113"/>
      <c r="MN291" s="113"/>
      <c r="MO291" s="113"/>
      <c r="MP291" s="113"/>
      <c r="MQ291" s="113"/>
      <c r="MR291" s="113"/>
      <c r="MS291" s="113"/>
      <c r="MT291" s="113"/>
      <c r="MU291" s="113"/>
      <c r="MV291" s="113"/>
      <c r="MW291" s="113"/>
      <c r="MX291" s="113"/>
      <c r="MY291" s="113"/>
      <c r="MZ291" s="113"/>
      <c r="NA291" s="113"/>
      <c r="NB291" s="113"/>
      <c r="NC291" s="113"/>
      <c r="ND291" s="113"/>
      <c r="NE291" s="113"/>
      <c r="NF291" s="113"/>
      <c r="NG291" s="113"/>
      <c r="NH291" s="113"/>
      <c r="NI291" s="113"/>
      <c r="NJ291" s="113"/>
      <c r="NK291" s="113"/>
      <c r="NL291" s="113"/>
      <c r="NM291" s="113"/>
      <c r="NN291" s="113"/>
      <c r="NO291" s="113"/>
      <c r="NP291" s="113"/>
      <c r="NQ291" s="113"/>
      <c r="NR291" s="113"/>
      <c r="NS291" s="113"/>
      <c r="NT291" s="113"/>
      <c r="NU291" s="113"/>
      <c r="NV291" s="113"/>
      <c r="NW291" s="113"/>
      <c r="NX291" s="113"/>
      <c r="NY291" s="113"/>
      <c r="NZ291" s="113"/>
      <c r="OA291" s="113"/>
      <c r="OB291" s="113"/>
      <c r="OC291" s="113"/>
      <c r="OD291" s="113"/>
      <c r="OE291" s="113"/>
      <c r="OF291" s="113"/>
      <c r="OG291" s="113"/>
      <c r="OH291" s="113"/>
      <c r="OI291" s="113"/>
      <c r="OJ291" s="113"/>
      <c r="OK291" s="113"/>
      <c r="OL291" s="113"/>
      <c r="OM291" s="113"/>
      <c r="ON291" s="113"/>
      <c r="OO291" s="113"/>
      <c r="OP291" s="113"/>
      <c r="OQ291" s="113"/>
      <c r="OR291" s="113"/>
      <c r="OS291" s="113"/>
      <c r="OT291" s="113"/>
      <c r="OU291" s="113"/>
      <c r="OV291" s="113"/>
      <c r="OW291" s="113"/>
      <c r="OX291" s="113"/>
      <c r="OY291" s="113"/>
      <c r="OZ291" s="113"/>
      <c r="PA291" s="113"/>
      <c r="PB291" s="113"/>
      <c r="PC291" s="113"/>
      <c r="PD291" s="113"/>
      <c r="PE291" s="113"/>
      <c r="PF291" s="113"/>
      <c r="PG291" s="113"/>
      <c r="PH291" s="113"/>
      <c r="PI291" s="113"/>
      <c r="PJ291" s="113"/>
      <c r="PK291" s="113"/>
      <c r="PL291" s="113"/>
      <c r="PM291" s="113"/>
      <c r="PN291" s="113"/>
      <c r="PO291" s="113"/>
      <c r="PP291" s="113"/>
      <c r="PQ291" s="113"/>
      <c r="PR291" s="113"/>
      <c r="PS291" s="113"/>
      <c r="PT291" s="113"/>
      <c r="PU291" s="113"/>
      <c r="PV291" s="113"/>
      <c r="PW291" s="113"/>
      <c r="PX291" s="113"/>
      <c r="PY291" s="113"/>
      <c r="PZ291" s="113"/>
      <c r="QA291" s="113"/>
      <c r="QB291" s="113"/>
      <c r="QC291" s="113"/>
      <c r="QD291" s="113"/>
      <c r="QE291" s="113"/>
      <c r="QF291" s="113"/>
      <c r="QG291" s="113"/>
      <c r="QH291" s="113"/>
      <c r="QI291" s="113"/>
      <c r="QJ291" s="113"/>
      <c r="QK291" s="113"/>
      <c r="QL291" s="113"/>
      <c r="QM291" s="113"/>
      <c r="QN291" s="113"/>
      <c r="QO291" s="113"/>
      <c r="QP291" s="113"/>
      <c r="QQ291" s="113"/>
      <c r="QR291" s="113"/>
      <c r="QS291" s="113"/>
      <c r="QT291" s="113"/>
      <c r="QU291" s="113"/>
      <c r="QV291" s="113"/>
      <c r="QW291" s="113"/>
      <c r="QX291" s="113"/>
      <c r="QY291" s="113"/>
      <c r="QZ291" s="113"/>
      <c r="RA291" s="113"/>
      <c r="RB291" s="113"/>
      <c r="RC291" s="113"/>
      <c r="RD291" s="113"/>
      <c r="RE291" s="113"/>
      <c r="RF291" s="113"/>
      <c r="RG291" s="113"/>
      <c r="RH291" s="113"/>
      <c r="RI291" s="113"/>
      <c r="RJ291" s="113"/>
      <c r="RK291" s="113"/>
      <c r="RL291" s="113"/>
      <c r="RM291" s="113"/>
      <c r="RN291" s="113"/>
      <c r="RO291" s="113"/>
      <c r="RP291" s="113"/>
      <c r="RQ291" s="113"/>
      <c r="RR291" s="113"/>
      <c r="RS291" s="113"/>
      <c r="RT291" s="113"/>
      <c r="RU291" s="113"/>
      <c r="RV291" s="113"/>
      <c r="RW291" s="113"/>
      <c r="RX291" s="113"/>
      <c r="RY291" s="113"/>
      <c r="RZ291" s="113"/>
      <c r="SA291" s="113"/>
      <c r="SB291" s="113"/>
      <c r="SC291" s="113"/>
      <c r="SD291" s="113"/>
      <c r="SE291" s="113"/>
      <c r="SF291" s="113"/>
      <c r="SG291" s="113"/>
      <c r="SH291" s="113"/>
      <c r="SI291" s="113"/>
      <c r="SJ291" s="113"/>
      <c r="SK291" s="113"/>
      <c r="SL291" s="113"/>
      <c r="SM291" s="113"/>
      <c r="SN291" s="113"/>
      <c r="SO291" s="113"/>
      <c r="SP291" s="113"/>
      <c r="SQ291" s="113"/>
      <c r="SR291" s="113"/>
      <c r="SS291" s="113"/>
      <c r="ST291" s="113"/>
      <c r="SU291" s="113"/>
      <c r="SV291" s="113"/>
      <c r="SW291" s="113"/>
      <c r="SX291" s="113"/>
      <c r="SY291" s="113"/>
      <c r="SZ291" s="113"/>
      <c r="TA291" s="113"/>
      <c r="TB291" s="113"/>
      <c r="TC291" s="113"/>
      <c r="TD291" s="113"/>
      <c r="TE291" s="113"/>
      <c r="TF291" s="113"/>
      <c r="TG291" s="113"/>
      <c r="TH291" s="113"/>
      <c r="TI291" s="113"/>
      <c r="TJ291" s="113"/>
      <c r="TK291" s="113"/>
      <c r="TL291" s="113"/>
      <c r="TM291" s="113"/>
      <c r="TN291" s="113"/>
      <c r="TO291" s="113"/>
      <c r="TP291" s="113"/>
      <c r="TQ291" s="113"/>
      <c r="TR291" s="113"/>
      <c r="TS291" s="113"/>
      <c r="TT291" s="113"/>
      <c r="TU291" s="113"/>
      <c r="TV291" s="113"/>
      <c r="TW291" s="113"/>
      <c r="TX291" s="113"/>
      <c r="TY291" s="113"/>
      <c r="TZ291" s="113"/>
      <c r="UA291" s="113"/>
      <c r="UB291" s="113"/>
      <c r="UC291" s="113"/>
      <c r="UD291" s="113"/>
      <c r="UE291" s="113"/>
      <c r="UF291" s="113"/>
      <c r="UG291" s="113"/>
      <c r="UH291" s="113"/>
      <c r="UI291" s="113"/>
      <c r="UJ291" s="113"/>
      <c r="UK291" s="113"/>
      <c r="UL291" s="113"/>
      <c r="UM291" s="113"/>
      <c r="UN291" s="113"/>
      <c r="UO291" s="113"/>
      <c r="UP291" s="113"/>
      <c r="UQ291" s="113"/>
      <c r="UR291" s="113"/>
      <c r="US291" s="113"/>
      <c r="UT291" s="113"/>
      <c r="UU291" s="113"/>
      <c r="UV291" s="113"/>
      <c r="UW291" s="113"/>
      <c r="UX291" s="113"/>
      <c r="UY291" s="113"/>
      <c r="UZ291" s="113"/>
      <c r="VA291" s="113"/>
      <c r="VB291" s="113"/>
      <c r="VC291" s="113"/>
      <c r="VD291" s="113"/>
      <c r="VE291" s="113"/>
      <c r="VF291" s="113"/>
      <c r="VG291" s="113"/>
      <c r="VH291" s="113"/>
      <c r="VI291" s="113"/>
      <c r="VJ291" s="113"/>
      <c r="VK291" s="113"/>
      <c r="VL291" s="113"/>
      <c r="VM291" s="113"/>
      <c r="VN291" s="113"/>
      <c r="VO291" s="113"/>
      <c r="VP291" s="113"/>
      <c r="VQ291" s="113"/>
      <c r="VR291" s="113"/>
      <c r="VS291" s="113"/>
      <c r="VT291" s="113"/>
      <c r="VU291" s="113"/>
      <c r="VV291" s="113"/>
      <c r="VW291" s="113"/>
      <c r="VX291" s="113"/>
      <c r="VY291" s="113"/>
      <c r="VZ291" s="113"/>
      <c r="WA291" s="113"/>
      <c r="WB291" s="113"/>
      <c r="WC291" s="113"/>
      <c r="WD291" s="113"/>
      <c r="WE291" s="113"/>
      <c r="WF291" s="113"/>
      <c r="WG291" s="113"/>
      <c r="WH291" s="113"/>
      <c r="WI291" s="113"/>
      <c r="WJ291" s="113"/>
      <c r="WK291" s="113"/>
      <c r="WL291" s="113"/>
      <c r="WM291" s="113"/>
      <c r="WN291" s="113"/>
      <c r="WO291" s="113"/>
      <c r="WP291" s="113"/>
      <c r="WQ291" s="113"/>
      <c r="WR291" s="113"/>
      <c r="WS291" s="113"/>
      <c r="WT291" s="113"/>
      <c r="WU291" s="113"/>
      <c r="WV291" s="113"/>
      <c r="WW291" s="113"/>
      <c r="WX291" s="113"/>
      <c r="WY291" s="113"/>
      <c r="WZ291" s="113"/>
      <c r="XA291" s="113"/>
      <c r="XB291" s="113"/>
      <c r="XC291" s="113"/>
      <c r="XD291" s="113"/>
      <c r="XE291" s="113"/>
      <c r="XF291" s="113"/>
      <c r="XG291" s="113"/>
      <c r="XH291" s="113"/>
      <c r="XI291" s="113"/>
      <c r="XJ291" s="113"/>
      <c r="XK291" s="113"/>
      <c r="XL291" s="113"/>
      <c r="XM291" s="113"/>
      <c r="XN291" s="113"/>
      <c r="XO291" s="113"/>
      <c r="XP291" s="113"/>
      <c r="XQ291" s="113"/>
      <c r="XR291" s="113"/>
      <c r="XS291" s="113"/>
      <c r="XT291" s="113"/>
      <c r="XU291" s="113"/>
      <c r="XV291" s="113"/>
      <c r="XW291" s="113"/>
      <c r="XX291" s="113"/>
      <c r="XY291" s="113"/>
      <c r="XZ291" s="113"/>
      <c r="YA291" s="113"/>
      <c r="YB291" s="113"/>
      <c r="YC291" s="113"/>
      <c r="YD291" s="113"/>
      <c r="YE291" s="113"/>
      <c r="YF291" s="113"/>
      <c r="YG291" s="113"/>
      <c r="YH291" s="113"/>
      <c r="YI291" s="113"/>
      <c r="YJ291" s="113"/>
      <c r="YK291" s="113"/>
      <c r="YL291" s="113"/>
      <c r="YM291" s="113"/>
      <c r="YN291" s="113"/>
      <c r="YO291" s="113"/>
      <c r="YP291" s="113"/>
      <c r="YQ291" s="113"/>
      <c r="YR291" s="113"/>
      <c r="YS291" s="113"/>
      <c r="YT291" s="113"/>
      <c r="YU291" s="113"/>
      <c r="YV291" s="113"/>
      <c r="YW291" s="113"/>
      <c r="YX291" s="113"/>
      <c r="YY291" s="113"/>
      <c r="YZ291" s="113"/>
      <c r="ZA291" s="113"/>
      <c r="ZB291" s="113"/>
      <c r="ZC291" s="113"/>
      <c r="ZD291" s="113"/>
      <c r="ZE291" s="113"/>
      <c r="ZF291" s="113"/>
      <c r="ZG291" s="113"/>
      <c r="ZH291" s="113"/>
      <c r="ZI291" s="113"/>
      <c r="ZJ291" s="113"/>
      <c r="ZK291" s="113"/>
      <c r="ZL291" s="113"/>
      <c r="ZM291" s="113"/>
      <c r="ZN291" s="113"/>
      <c r="ZO291" s="113"/>
      <c r="ZP291" s="113"/>
      <c r="ZQ291" s="113"/>
      <c r="ZR291" s="113"/>
      <c r="ZS291" s="113"/>
      <c r="ZT291" s="113"/>
      <c r="ZU291" s="113"/>
      <c r="ZV291" s="113"/>
      <c r="ZW291" s="113"/>
      <c r="ZX291" s="113"/>
      <c r="ZY291" s="113"/>
      <c r="ZZ291" s="113"/>
      <c r="AAA291" s="113"/>
      <c r="AAB291" s="113"/>
      <c r="AAC291" s="113"/>
      <c r="AAD291" s="113"/>
      <c r="AAE291" s="113"/>
      <c r="AAF291" s="113"/>
      <c r="AAG291" s="113"/>
      <c r="AAH291" s="113"/>
      <c r="AAI291" s="113"/>
      <c r="AAJ291" s="113"/>
      <c r="AAK291" s="113"/>
      <c r="AAL291" s="113"/>
      <c r="AAM291" s="113"/>
      <c r="AAN291" s="113"/>
      <c r="AAO291" s="113"/>
      <c r="AAP291" s="113"/>
      <c r="AAQ291" s="113"/>
      <c r="AAR291" s="113"/>
      <c r="AAS291" s="113"/>
      <c r="AAT291" s="113"/>
      <c r="AAU291" s="113"/>
      <c r="AAV291" s="113"/>
      <c r="AAW291" s="113"/>
      <c r="AAX291" s="113"/>
      <c r="AAY291" s="113"/>
      <c r="AAZ291" s="113"/>
      <c r="ABA291" s="113"/>
      <c r="ABB291" s="113"/>
      <c r="ABC291" s="113"/>
      <c r="ABD291" s="113"/>
      <c r="ABE291" s="113"/>
      <c r="ABF291" s="113"/>
      <c r="ABG291" s="113"/>
      <c r="ABH291" s="113"/>
      <c r="ABI291" s="113"/>
      <c r="ABJ291" s="113"/>
      <c r="ABK291" s="113"/>
      <c r="ABL291" s="113"/>
      <c r="ABM291" s="113"/>
      <c r="ABN291" s="113"/>
      <c r="ABO291" s="113"/>
      <c r="ABP291" s="113"/>
      <c r="ABQ291" s="113"/>
      <c r="ABR291" s="113"/>
      <c r="ABS291" s="113"/>
      <c r="ABT291" s="113"/>
      <c r="ABU291" s="113"/>
      <c r="ABV291" s="113"/>
      <c r="ABW291" s="113"/>
      <c r="ABX291" s="113"/>
      <c r="ABY291" s="113"/>
      <c r="ABZ291" s="113"/>
      <c r="ACA291" s="113"/>
      <c r="ACB291" s="113"/>
      <c r="ACC291" s="113"/>
      <c r="ACD291" s="113"/>
      <c r="ACE291" s="113"/>
      <c r="ACF291" s="113"/>
      <c r="ACG291" s="113"/>
      <c r="ACH291" s="113"/>
      <c r="ACI291" s="113"/>
      <c r="ACJ291" s="113"/>
      <c r="ACK291" s="113"/>
      <c r="ACL291" s="113"/>
      <c r="ACM291" s="113"/>
      <c r="ACN291" s="113"/>
      <c r="ACO291" s="113"/>
      <c r="ACP291" s="113"/>
      <c r="ACQ291" s="113"/>
      <c r="ACR291" s="113"/>
      <c r="ACS291" s="113"/>
      <c r="ACT291" s="113"/>
      <c r="ACU291" s="113"/>
      <c r="ACV291" s="113"/>
      <c r="ACW291" s="113"/>
      <c r="ACX291" s="113"/>
      <c r="ACY291" s="113"/>
      <c r="ACZ291" s="113"/>
      <c r="ADA291" s="113"/>
      <c r="ADB291" s="113"/>
      <c r="ADC291" s="113"/>
      <c r="ADD291" s="113"/>
      <c r="ADE291" s="113"/>
      <c r="ADF291" s="113"/>
      <c r="ADG291" s="113"/>
      <c r="ADH291" s="113"/>
      <c r="ADI291" s="113"/>
      <c r="ADJ291" s="113"/>
      <c r="ADK291" s="113"/>
      <c r="ADL291" s="113"/>
      <c r="ADM291" s="113"/>
      <c r="ADN291" s="113"/>
      <c r="ADO291" s="113"/>
      <c r="ADP291" s="113"/>
      <c r="ADQ291" s="113"/>
      <c r="ADR291" s="113"/>
      <c r="ADS291" s="113"/>
      <c r="ADT291" s="113"/>
      <c r="ADU291" s="113"/>
      <c r="ADV291" s="113"/>
      <c r="ADW291" s="113"/>
      <c r="ADX291" s="113"/>
      <c r="ADY291" s="113"/>
      <c r="ADZ291" s="113"/>
      <c r="AEA291" s="113"/>
      <c r="AEB291" s="113"/>
      <c r="AEC291" s="113"/>
      <c r="AED291" s="113"/>
      <c r="AEE291" s="113"/>
      <c r="AEF291" s="113"/>
      <c r="AEG291" s="113"/>
      <c r="AEH291" s="113"/>
      <c r="AEI291" s="113"/>
      <c r="AEJ291" s="113"/>
      <c r="AEK291" s="113"/>
      <c r="AEL291" s="113"/>
      <c r="AEM291" s="113"/>
      <c r="AEN291" s="113"/>
      <c r="AEO291" s="113"/>
      <c r="AEP291" s="113"/>
      <c r="AEQ291" s="113"/>
      <c r="AER291" s="113"/>
      <c r="AES291" s="113"/>
      <c r="AET291" s="113"/>
      <c r="AEU291" s="113"/>
      <c r="AEV291" s="113"/>
      <c r="AEW291" s="113"/>
      <c r="AEX291" s="113"/>
      <c r="AEY291" s="113"/>
      <c r="AEZ291" s="113"/>
      <c r="AFA291" s="113"/>
      <c r="AFB291" s="113"/>
      <c r="AFC291" s="113"/>
      <c r="AFD291" s="113"/>
      <c r="AFE291" s="113"/>
      <c r="AFF291" s="113"/>
      <c r="AFG291" s="113"/>
      <c r="AFH291" s="113"/>
      <c r="AFI291" s="113"/>
      <c r="AFJ291" s="113"/>
      <c r="AFK291" s="113"/>
      <c r="AFL291" s="113"/>
      <c r="AFM291" s="113"/>
      <c r="AFN291" s="113"/>
      <c r="AFO291" s="113"/>
      <c r="AFP291" s="113"/>
      <c r="AFQ291" s="113"/>
      <c r="AFR291" s="113"/>
      <c r="AFS291" s="113"/>
      <c r="AFT291" s="113"/>
      <c r="AFU291" s="113"/>
      <c r="AFV291" s="113"/>
      <c r="AFW291" s="113"/>
      <c r="AFX291" s="113"/>
      <c r="AFY291" s="113"/>
      <c r="AFZ291" s="113"/>
      <c r="AGA291" s="113"/>
      <c r="AGB291" s="113"/>
      <c r="AGC291" s="113"/>
      <c r="AGD291" s="113"/>
      <c r="AGE291" s="113"/>
      <c r="AGF291" s="113"/>
      <c r="AGG291" s="113"/>
      <c r="AGH291" s="113"/>
      <c r="AGI291" s="113"/>
      <c r="AGJ291" s="113"/>
      <c r="AGK291" s="113"/>
      <c r="AGL291" s="113"/>
      <c r="AGM291" s="113"/>
      <c r="AGN291" s="113"/>
      <c r="AGO291" s="113"/>
      <c r="AGP291" s="113"/>
      <c r="AGQ291" s="113"/>
      <c r="AGR291" s="113"/>
      <c r="AGS291" s="113"/>
      <c r="AGT291" s="113"/>
      <c r="AGU291" s="113"/>
      <c r="AGV291" s="113"/>
      <c r="AGW291" s="113"/>
      <c r="AGX291" s="113"/>
      <c r="AGY291" s="113"/>
      <c r="AGZ291" s="113"/>
      <c r="AHA291" s="113"/>
      <c r="AHB291" s="113"/>
      <c r="AHC291" s="113"/>
      <c r="AHD291" s="113"/>
      <c r="AHE291" s="113"/>
      <c r="AHF291" s="113"/>
      <c r="AHG291" s="113"/>
      <c r="AHH291" s="113"/>
      <c r="AHI291" s="113"/>
      <c r="AHJ291" s="113"/>
      <c r="AHK291" s="113"/>
      <c r="AHL291" s="113"/>
      <c r="AHM291" s="113"/>
      <c r="AHN291" s="113"/>
      <c r="AHO291" s="113"/>
      <c r="AHP291" s="113"/>
      <c r="AHQ291" s="113"/>
      <c r="AHR291" s="113"/>
      <c r="AHS291" s="113"/>
      <c r="AHT291" s="113"/>
      <c r="AHU291" s="113"/>
      <c r="AHV291" s="113"/>
      <c r="AHW291" s="113"/>
      <c r="AHX291" s="113"/>
      <c r="AHY291" s="113"/>
      <c r="AHZ291" s="113"/>
      <c r="AIA291" s="113"/>
      <c r="AIB291" s="113"/>
      <c r="AIC291" s="113"/>
      <c r="AID291" s="113"/>
      <c r="AIE291" s="113"/>
      <c r="AIF291" s="113"/>
      <c r="AIG291" s="113"/>
      <c r="AIH291" s="113"/>
      <c r="AII291" s="113"/>
      <c r="AIJ291" s="113"/>
      <c r="AIK291" s="113"/>
      <c r="AIL291" s="113"/>
      <c r="AIM291" s="113"/>
      <c r="AIN291" s="113"/>
      <c r="AIO291" s="113"/>
      <c r="AIP291" s="113"/>
      <c r="AIQ291" s="113"/>
      <c r="AIR291" s="113"/>
      <c r="AIS291" s="113"/>
      <c r="AIT291" s="113"/>
      <c r="AIU291" s="113"/>
      <c r="AIV291" s="113"/>
      <c r="AIW291" s="113"/>
      <c r="AIX291" s="113"/>
      <c r="AIY291" s="113"/>
      <c r="AIZ291" s="113"/>
    </row>
    <row r="292">
      <c r="A292" s="65" t="s">
        <v>35</v>
      </c>
      <c r="B292" s="65" t="s">
        <v>36</v>
      </c>
      <c r="C292" s="65"/>
      <c r="D292" s="64">
        <f t="shared" si="1"/>
        <v>426.0748667</v>
      </c>
      <c r="G292" s="65">
        <v>2.51888333333333</v>
      </c>
      <c r="H292" s="65">
        <v>5.872</v>
      </c>
      <c r="I292" s="65">
        <v>52.2694333333333</v>
      </c>
      <c r="J292" s="65">
        <v>9.09901666666667</v>
      </c>
      <c r="K292" s="65">
        <v>28.2295</v>
      </c>
      <c r="N292" s="65">
        <v>2.14881666666667</v>
      </c>
      <c r="S292" s="65">
        <v>2.40203333333333</v>
      </c>
      <c r="T292" s="65">
        <v>90.6836666666667</v>
      </c>
      <c r="U292" s="65">
        <v>36.8766666666666</v>
      </c>
      <c r="Z292" s="65">
        <v>3.1925</v>
      </c>
      <c r="AA292" s="65">
        <v>62.1097833333333</v>
      </c>
      <c r="AB292" s="65">
        <v>13.1786666666667</v>
      </c>
      <c r="AG292" s="65">
        <v>1.19165</v>
      </c>
      <c r="AH292" s="65">
        <v>3.24663333333333</v>
      </c>
      <c r="AI292" s="65">
        <v>10.6868833333333</v>
      </c>
      <c r="AL292" s="65">
        <v>0.816066666666667</v>
      </c>
      <c r="AM292" s="65">
        <v>2.37275</v>
      </c>
      <c r="AN292" s="65">
        <v>12.0346</v>
      </c>
      <c r="AQ292" s="65">
        <v>0.106383333333333</v>
      </c>
      <c r="AR292" s="65">
        <v>3.18258333333333</v>
      </c>
      <c r="AU292" s="65">
        <v>83.85635</v>
      </c>
    </row>
    <row r="293">
      <c r="A293" s="65" t="s">
        <v>35</v>
      </c>
      <c r="B293" s="65" t="s">
        <v>36</v>
      </c>
      <c r="C293" s="65"/>
      <c r="D293" s="64">
        <f t="shared" si="1"/>
        <v>0</v>
      </c>
    </row>
    <row r="294">
      <c r="A294" s="65" t="s">
        <v>35</v>
      </c>
      <c r="B294" s="65" t="s">
        <v>36</v>
      </c>
      <c r="C294" s="65"/>
      <c r="D294" s="64">
        <f t="shared" si="1"/>
        <v>425.8709167</v>
      </c>
      <c r="G294" s="118">
        <f>HYPERLINK("https://docs.google.com/spreadsheets/d/1P_8ecloYzqqxYVxtjH5HiEURORtKTFlr", 2.51888333333333)</f>
        <v>2.518883333</v>
      </c>
      <c r="H294" s="118">
        <f>HYPERLINK("https://docs.google.com/spreadsheets/d/1eJO-kzmNV_Wtk_0wycHvNeXGvvqoKY5I", 5.872)</f>
        <v>5.872</v>
      </c>
      <c r="I294" s="118">
        <f>HYPERLINK("https://docs.google.com/spreadsheets/d/1NJE3A5Cbw0_vqyBe7E5nEQruU1pyRXfE", 52.2694)</f>
        <v>52.2694</v>
      </c>
      <c r="J294" s="118">
        <f>HYPERLINK("https://docs.google.com/spreadsheets/d/1WbtErQn4MIv2aeNmsoDLZ-HDCSWzefl_", 9.0017)</f>
        <v>9.0017</v>
      </c>
      <c r="K294" s="118">
        <f>HYPERLINK("https://docs.google.com/spreadsheets/d/1Cwk2Sm61wy3JWkQ0dy5lLFq2mF_6Cx-3", 28.2294833333333)</f>
        <v>28.22948333</v>
      </c>
      <c r="N294" s="118">
        <f>HYPERLINK("https://docs.google.com/spreadsheets/d/1YP67YxrRdudTJfbLwMsUyV4I0_O-zhQ2", 2.14881666666667)</f>
        <v>2.148816667</v>
      </c>
      <c r="S294" s="118">
        <f>HYPERLINK("https://docs.google.com/spreadsheets/d/1W5Dhu289JTmSR_vkt80sTVLmyqKUaMoN", 2.40203333333333)</f>
        <v>2.402033333</v>
      </c>
      <c r="T294" s="118">
        <f>HYPERLINK("https://docs.google.com/spreadsheets/d/1OcncdhBXtMEa0Q9iui1WRp9bnTDlxtot", 90.6836333333333)</f>
        <v>90.68363333</v>
      </c>
      <c r="U294" s="118">
        <f>HYPERLINK("https://docs.google.com/spreadsheets/d/1Q8MO7KXJnOjR47pYYOtAhSDSmK27QfDD", 36.8766333333333)</f>
        <v>36.87663333</v>
      </c>
      <c r="Z294" s="118">
        <f>HYPERLINK("https://docs.google.com/spreadsheets/d/1P1y9obzdQCVaspMg9Tu2Ycz2YxmeeCsw", 3.19251666666667)</f>
        <v>3.192516667</v>
      </c>
      <c r="AA294" s="118">
        <f>HYPERLINK("https://docs.google.com/spreadsheets/d/1ZQlAz7DOCEOxQGXKmmsmHwcAOd2BkvEQ", 62.1097499999999)</f>
        <v>62.10975</v>
      </c>
      <c r="AB294" s="118">
        <f>HYPERLINK("https://docs.google.com/spreadsheets/d/12NbrzClzOES3ZLbd3bMA2Y9jnw4leNeK", 13.1786666666667)</f>
        <v>13.17866667</v>
      </c>
      <c r="AG294" s="118">
        <f>HYPERLINK("https://docs.google.com/spreadsheets/d/1HdCgafjIWY6X1Afr2f6KMLGE5fHggREd", 1.19165)</f>
        <v>1.19165</v>
      </c>
      <c r="AH294" s="118">
        <f>HYPERLINK("https://docs.google.com/spreadsheets/d/1ijlwwpNMSLuQs5hx26h0E0IKGdD18zbx", 3.24663333333333)</f>
        <v>3.246633333</v>
      </c>
      <c r="AI294" s="118">
        <f>HYPERLINK("https://docs.google.com/spreadsheets/d/1srHxCdquApcYrIixuBSB1aKbSyusiG59", 10.6868833333333)</f>
        <v>10.68688333</v>
      </c>
      <c r="AL294" s="118">
        <f>HYPERLINK("https://docs.google.com/spreadsheets/d/1mEU2Cmm3QLx4ImfQKGaGoq94yy-WnQI8", 0.816066666666667)</f>
        <v>0.8160666667</v>
      </c>
      <c r="AM294" s="118">
        <f>HYPERLINK("https://docs.google.com/spreadsheets/d/1WYEnubcMJujSSWrsnS9bSqFQAdN3w1bb", 2.37275)</f>
        <v>2.37275</v>
      </c>
      <c r="AN294" s="118">
        <f>HYPERLINK("https://docs.google.com/spreadsheets/d/1UfpJktMy3rsScfPDlZgPwy1W4Dvh4FTl", 12.03455)</f>
        <v>12.03455</v>
      </c>
      <c r="AQ294" s="118">
        <f>HYPERLINK("https://docs.google.com/spreadsheets/d/1RBFdSyznY4Ji2ppBTrMQ1DPEJODyYBNV", 0)</f>
        <v>0</v>
      </c>
      <c r="AR294" s="118">
        <f>HYPERLINK("https://docs.google.com/spreadsheets/d/1hrY0bNNg2tADr-jacrmZfku_z3IG2Au2", 3.18258333333333)</f>
        <v>3.182583333</v>
      </c>
      <c r="AU294" s="118">
        <f>HYPERLINK("https://docs.google.com/spreadsheets/d/1XpTj3RhJnGWIXAVuy9JfFmVLdmDooAMu", 83.8562833333333)</f>
        <v>83.85628333</v>
      </c>
    </row>
    <row r="295">
      <c r="A295" s="65" t="s">
        <v>35</v>
      </c>
      <c r="B295" s="65" t="s">
        <v>36</v>
      </c>
      <c r="C295" s="65"/>
      <c r="D295" s="64">
        <f t="shared" si="1"/>
        <v>304.6128</v>
      </c>
      <c r="G295" s="65">
        <v>1.44911666666667</v>
      </c>
      <c r="H295" s="65">
        <v>4.0049</v>
      </c>
      <c r="I295" s="65">
        <v>42.3437166666666</v>
      </c>
      <c r="J295" s="65">
        <v>6.66616666666667</v>
      </c>
      <c r="K295" s="65">
        <v>18.76435</v>
      </c>
      <c r="N295" s="65">
        <v>1.8224</v>
      </c>
      <c r="S295" s="65">
        <v>2.2302</v>
      </c>
      <c r="T295" s="65">
        <v>77.2727833333333</v>
      </c>
      <c r="U295" s="65">
        <v>23.40025</v>
      </c>
      <c r="Z295" s="65">
        <v>1.39163333333333</v>
      </c>
      <c r="AA295" s="65">
        <v>45.2802333333333</v>
      </c>
      <c r="AB295" s="65">
        <v>4.57888333333333</v>
      </c>
      <c r="AG295" s="65">
        <v>0.9504</v>
      </c>
      <c r="AH295" s="65">
        <v>2.58161666666667</v>
      </c>
      <c r="AI295" s="65">
        <v>5.36298333333333</v>
      </c>
      <c r="AL295" s="65">
        <v>0.534383333333333</v>
      </c>
      <c r="AM295" s="65">
        <v>2.05941666666667</v>
      </c>
      <c r="AN295" s="65">
        <v>8.0158</v>
      </c>
      <c r="AR295" s="65">
        <v>1.8683</v>
      </c>
      <c r="AU295" s="65">
        <v>54.0352666666666</v>
      </c>
    </row>
    <row r="296">
      <c r="A296" s="119" t="s">
        <v>35</v>
      </c>
      <c r="B296" s="119" t="s">
        <v>36</v>
      </c>
      <c r="C296" s="119"/>
      <c r="D296" s="120">
        <f t="shared" si="1"/>
        <v>0</v>
      </c>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c r="AA296" s="120"/>
      <c r="AB296" s="120"/>
      <c r="AC296" s="120"/>
      <c r="AD296" s="120"/>
      <c r="AE296" s="120"/>
      <c r="AF296" s="120"/>
      <c r="AG296" s="120"/>
      <c r="AH296" s="120"/>
      <c r="AI296" s="120"/>
      <c r="AJ296" s="120"/>
      <c r="AK296" s="120"/>
      <c r="AL296" s="120"/>
      <c r="AM296" s="120"/>
      <c r="AN296" s="120"/>
      <c r="AO296" s="120"/>
      <c r="AP296" s="120"/>
      <c r="AQ296" s="120"/>
      <c r="AR296" s="120"/>
      <c r="AS296" s="120"/>
      <c r="AT296" s="120"/>
      <c r="AU296" s="120"/>
      <c r="AV296" s="120"/>
      <c r="AW296" s="120"/>
      <c r="AX296" s="120"/>
      <c r="AY296" s="120"/>
      <c r="AZ296" s="120"/>
      <c r="BA296" s="120"/>
      <c r="BB296" s="120"/>
      <c r="BC296" s="120"/>
      <c r="BD296" s="120"/>
      <c r="BE296" s="120"/>
      <c r="BF296" s="120"/>
      <c r="BG296" s="120"/>
      <c r="BH296" s="120"/>
      <c r="BI296" s="120"/>
      <c r="BJ296" s="120"/>
      <c r="BK296" s="120"/>
      <c r="BL296" s="120"/>
      <c r="BM296" s="120"/>
      <c r="BN296" s="120"/>
      <c r="BO296" s="120"/>
      <c r="BP296" s="120"/>
      <c r="BQ296" s="120"/>
      <c r="BR296" s="120"/>
      <c r="BS296" s="120"/>
      <c r="BT296" s="120"/>
      <c r="BU296" s="120"/>
      <c r="BV296" s="120"/>
      <c r="BW296" s="120"/>
      <c r="BX296" s="120"/>
      <c r="BY296" s="120"/>
      <c r="BZ296" s="120"/>
      <c r="CA296" s="120"/>
      <c r="CB296" s="120"/>
      <c r="CC296" s="120"/>
      <c r="CD296" s="120"/>
      <c r="CE296" s="120"/>
      <c r="CF296" s="120"/>
      <c r="CG296" s="120"/>
      <c r="CH296" s="120"/>
      <c r="CI296" s="120"/>
      <c r="CJ296" s="120"/>
      <c r="CK296" s="120"/>
      <c r="CL296" s="120"/>
      <c r="CM296" s="120"/>
      <c r="CN296" s="120"/>
      <c r="CO296" s="120"/>
      <c r="CP296" s="120"/>
      <c r="CQ296" s="120"/>
      <c r="CR296" s="120"/>
      <c r="CS296" s="120"/>
      <c r="CT296" s="120"/>
      <c r="CU296" s="120"/>
      <c r="CV296" s="120"/>
      <c r="CW296" s="120"/>
      <c r="CX296" s="120"/>
      <c r="CY296" s="120"/>
      <c r="CZ296" s="120"/>
      <c r="DA296" s="120"/>
      <c r="DB296" s="120"/>
      <c r="DC296" s="120"/>
      <c r="DD296" s="120"/>
      <c r="DE296" s="120"/>
      <c r="DF296" s="120"/>
      <c r="DG296" s="120"/>
      <c r="DH296" s="120"/>
      <c r="DI296" s="120"/>
      <c r="DJ296" s="120"/>
      <c r="DK296" s="120"/>
      <c r="DL296" s="120"/>
      <c r="DM296" s="120"/>
      <c r="DN296" s="120"/>
      <c r="DO296" s="120"/>
      <c r="DP296" s="120"/>
      <c r="DQ296" s="120"/>
      <c r="DR296" s="120"/>
      <c r="DS296" s="120"/>
      <c r="DT296" s="120"/>
      <c r="DU296" s="120"/>
      <c r="DV296" s="120"/>
      <c r="DW296" s="120"/>
      <c r="DX296" s="120"/>
      <c r="DY296" s="120"/>
      <c r="DZ296" s="120"/>
      <c r="EA296" s="120"/>
      <c r="EB296" s="120"/>
      <c r="EC296" s="120"/>
      <c r="ED296" s="120"/>
      <c r="EE296" s="120"/>
      <c r="EF296" s="120"/>
      <c r="EG296" s="120"/>
      <c r="EH296" s="120"/>
      <c r="EI296" s="120"/>
      <c r="EJ296" s="120"/>
      <c r="EK296" s="120"/>
      <c r="EL296" s="120"/>
      <c r="EM296" s="120"/>
      <c r="EN296" s="120"/>
      <c r="EO296" s="120"/>
      <c r="EP296" s="120"/>
      <c r="EQ296" s="120"/>
      <c r="ER296" s="120"/>
      <c r="ES296" s="120"/>
      <c r="ET296" s="120"/>
      <c r="EU296" s="120"/>
      <c r="EV296" s="120"/>
      <c r="EW296" s="120"/>
      <c r="EX296" s="120"/>
      <c r="EY296" s="120"/>
      <c r="EZ296" s="120"/>
      <c r="FA296" s="120"/>
      <c r="FB296" s="120"/>
      <c r="FC296" s="120"/>
      <c r="FD296" s="120"/>
      <c r="FE296" s="120"/>
      <c r="FF296" s="120"/>
      <c r="FG296" s="120"/>
      <c r="FH296" s="120"/>
      <c r="FI296" s="120"/>
      <c r="FJ296" s="120"/>
      <c r="FK296" s="120"/>
      <c r="FL296" s="120"/>
      <c r="FM296" s="120"/>
      <c r="FN296" s="120"/>
      <c r="FO296" s="120"/>
      <c r="FP296" s="120"/>
      <c r="FQ296" s="120"/>
      <c r="FR296" s="120"/>
      <c r="FS296" s="120"/>
      <c r="FT296" s="120"/>
      <c r="FU296" s="120"/>
      <c r="FV296" s="120"/>
      <c r="FW296" s="120"/>
      <c r="FX296" s="120"/>
      <c r="FY296" s="120"/>
      <c r="FZ296" s="120"/>
      <c r="GA296" s="120"/>
      <c r="GB296" s="120"/>
      <c r="GC296" s="120"/>
      <c r="GD296" s="120"/>
      <c r="GE296" s="120"/>
      <c r="GF296" s="120"/>
      <c r="GG296" s="120"/>
      <c r="GH296" s="120"/>
      <c r="GI296" s="120"/>
      <c r="GJ296" s="120"/>
      <c r="GK296" s="120"/>
      <c r="GL296" s="120"/>
      <c r="GM296" s="120"/>
      <c r="GN296" s="120"/>
      <c r="GO296" s="120"/>
      <c r="GP296" s="120"/>
      <c r="GQ296" s="120"/>
      <c r="GR296" s="120"/>
      <c r="GS296" s="120"/>
      <c r="GT296" s="120"/>
      <c r="GU296" s="120"/>
      <c r="GV296" s="120"/>
      <c r="GW296" s="120"/>
      <c r="GX296" s="120"/>
      <c r="GY296" s="120"/>
      <c r="GZ296" s="120"/>
      <c r="HA296" s="120"/>
      <c r="HB296" s="120"/>
      <c r="HC296" s="120"/>
      <c r="HD296" s="120"/>
      <c r="HE296" s="120"/>
      <c r="HF296" s="120"/>
      <c r="HG296" s="120"/>
      <c r="HH296" s="120"/>
      <c r="HI296" s="120"/>
      <c r="HJ296" s="120"/>
      <c r="HK296" s="120"/>
      <c r="HL296" s="120"/>
      <c r="HM296" s="120"/>
      <c r="HN296" s="120"/>
      <c r="HO296" s="120"/>
      <c r="HP296" s="120"/>
      <c r="HQ296" s="120"/>
      <c r="HR296" s="120"/>
      <c r="HS296" s="120"/>
      <c r="HT296" s="120"/>
      <c r="HU296" s="120"/>
      <c r="HV296" s="120"/>
      <c r="HW296" s="120"/>
      <c r="HX296" s="120"/>
      <c r="HY296" s="120"/>
      <c r="HZ296" s="120"/>
      <c r="IA296" s="120"/>
      <c r="IB296" s="120"/>
      <c r="IC296" s="120"/>
      <c r="ID296" s="120"/>
      <c r="IE296" s="120"/>
      <c r="IF296" s="120"/>
      <c r="IG296" s="120"/>
      <c r="IH296" s="120"/>
      <c r="II296" s="120"/>
      <c r="IJ296" s="120"/>
      <c r="IK296" s="120"/>
      <c r="IL296" s="120"/>
      <c r="IM296" s="120"/>
      <c r="IN296" s="120"/>
      <c r="IO296" s="120"/>
      <c r="IP296" s="120"/>
      <c r="IQ296" s="120"/>
      <c r="IR296" s="120"/>
      <c r="IS296" s="120"/>
      <c r="IT296" s="120"/>
      <c r="IU296" s="120"/>
      <c r="IV296" s="120"/>
      <c r="IW296" s="120"/>
      <c r="IX296" s="120"/>
      <c r="IY296" s="120"/>
      <c r="IZ296" s="120"/>
      <c r="JA296" s="120"/>
      <c r="JB296" s="120"/>
      <c r="JC296" s="120"/>
      <c r="JD296" s="120"/>
      <c r="JE296" s="120"/>
      <c r="JF296" s="120"/>
      <c r="JG296" s="120"/>
      <c r="JH296" s="120"/>
      <c r="JI296" s="120"/>
      <c r="JJ296" s="120"/>
      <c r="JK296" s="120"/>
      <c r="JL296" s="120"/>
      <c r="JM296" s="120"/>
      <c r="JN296" s="120"/>
      <c r="JO296" s="120"/>
      <c r="JP296" s="120"/>
      <c r="JQ296" s="120"/>
      <c r="JR296" s="120"/>
      <c r="JS296" s="120"/>
      <c r="JT296" s="120"/>
      <c r="JU296" s="120"/>
      <c r="JV296" s="120"/>
      <c r="JW296" s="120"/>
      <c r="JX296" s="120"/>
      <c r="JY296" s="120"/>
      <c r="JZ296" s="120"/>
      <c r="KA296" s="120"/>
      <c r="KB296" s="120"/>
      <c r="KC296" s="120"/>
      <c r="KD296" s="120"/>
      <c r="KE296" s="120"/>
      <c r="KF296" s="120"/>
      <c r="KG296" s="120"/>
      <c r="KH296" s="120"/>
      <c r="KI296" s="120"/>
      <c r="KJ296" s="120"/>
      <c r="KK296" s="120"/>
      <c r="KL296" s="120"/>
      <c r="KM296" s="120"/>
      <c r="KN296" s="120"/>
      <c r="KO296" s="120"/>
      <c r="KP296" s="120"/>
      <c r="KQ296" s="120"/>
      <c r="KR296" s="120"/>
      <c r="KS296" s="120"/>
      <c r="KT296" s="120"/>
      <c r="KU296" s="120"/>
      <c r="KV296" s="120"/>
      <c r="KW296" s="120"/>
      <c r="KX296" s="120"/>
      <c r="KY296" s="120"/>
      <c r="KZ296" s="120"/>
      <c r="LA296" s="120"/>
      <c r="LB296" s="120"/>
      <c r="LC296" s="120"/>
      <c r="LD296" s="120"/>
      <c r="LE296" s="120"/>
      <c r="LF296" s="120"/>
      <c r="LG296" s="120"/>
      <c r="LH296" s="120"/>
      <c r="LI296" s="120"/>
      <c r="LJ296" s="120"/>
      <c r="LK296" s="120"/>
      <c r="LL296" s="120"/>
      <c r="LM296" s="120"/>
      <c r="LN296" s="120"/>
      <c r="LO296" s="120"/>
      <c r="LP296" s="120"/>
      <c r="LQ296" s="120"/>
      <c r="LR296" s="120"/>
      <c r="LS296" s="120"/>
      <c r="LT296" s="120"/>
      <c r="LU296" s="120"/>
      <c r="LV296" s="120"/>
      <c r="LW296" s="120"/>
      <c r="LX296" s="120"/>
      <c r="LY296" s="120"/>
      <c r="LZ296" s="120"/>
      <c r="MA296" s="120"/>
      <c r="MB296" s="120"/>
      <c r="MC296" s="120"/>
      <c r="MD296" s="120"/>
      <c r="ME296" s="120"/>
      <c r="MF296" s="120"/>
      <c r="MG296" s="120"/>
      <c r="MH296" s="120"/>
      <c r="MI296" s="120"/>
      <c r="MJ296" s="120"/>
      <c r="MK296" s="120"/>
      <c r="ML296" s="120"/>
      <c r="MM296" s="120"/>
      <c r="MN296" s="120"/>
      <c r="MO296" s="120"/>
      <c r="MP296" s="120"/>
      <c r="MQ296" s="120"/>
      <c r="MR296" s="120"/>
      <c r="MS296" s="120"/>
      <c r="MT296" s="120"/>
      <c r="MU296" s="120"/>
      <c r="MV296" s="120"/>
      <c r="MW296" s="120"/>
      <c r="MX296" s="120"/>
      <c r="MY296" s="120"/>
      <c r="MZ296" s="120"/>
      <c r="NA296" s="120"/>
      <c r="NB296" s="120"/>
      <c r="NC296" s="120"/>
      <c r="ND296" s="120"/>
      <c r="NE296" s="120"/>
      <c r="NF296" s="120"/>
      <c r="NG296" s="120"/>
      <c r="NH296" s="120"/>
      <c r="NI296" s="120"/>
      <c r="NJ296" s="120"/>
      <c r="NK296" s="120"/>
      <c r="NL296" s="120"/>
      <c r="NM296" s="120"/>
      <c r="NN296" s="120"/>
      <c r="NO296" s="120"/>
      <c r="NP296" s="120"/>
      <c r="NQ296" s="120"/>
      <c r="NR296" s="120"/>
      <c r="NS296" s="120"/>
      <c r="NT296" s="120"/>
      <c r="NU296" s="120"/>
      <c r="NV296" s="120"/>
      <c r="NW296" s="120"/>
      <c r="NX296" s="120"/>
      <c r="NY296" s="120"/>
      <c r="NZ296" s="120"/>
      <c r="OA296" s="120"/>
      <c r="OB296" s="120"/>
      <c r="OC296" s="120"/>
      <c r="OD296" s="120"/>
      <c r="OE296" s="120"/>
      <c r="OF296" s="120"/>
      <c r="OG296" s="120"/>
      <c r="OH296" s="120"/>
      <c r="OI296" s="120"/>
      <c r="OJ296" s="120"/>
      <c r="OK296" s="120"/>
      <c r="OL296" s="120"/>
      <c r="OM296" s="120"/>
      <c r="ON296" s="120"/>
      <c r="OO296" s="120"/>
      <c r="OP296" s="120"/>
      <c r="OQ296" s="120"/>
      <c r="OR296" s="120"/>
      <c r="OS296" s="120"/>
      <c r="OT296" s="120"/>
      <c r="OU296" s="120"/>
      <c r="OV296" s="120"/>
      <c r="OW296" s="120"/>
      <c r="OX296" s="120"/>
      <c r="OY296" s="120"/>
      <c r="OZ296" s="120"/>
      <c r="PA296" s="120"/>
      <c r="PB296" s="120"/>
      <c r="PC296" s="120"/>
      <c r="PD296" s="120"/>
      <c r="PE296" s="120"/>
      <c r="PF296" s="120"/>
      <c r="PG296" s="120"/>
      <c r="PH296" s="120"/>
      <c r="PI296" s="120"/>
      <c r="PJ296" s="120"/>
      <c r="PK296" s="120"/>
      <c r="PL296" s="120"/>
      <c r="PM296" s="120"/>
      <c r="PN296" s="120"/>
      <c r="PO296" s="120"/>
      <c r="PP296" s="120"/>
      <c r="PQ296" s="120"/>
      <c r="PR296" s="120"/>
      <c r="PS296" s="120"/>
      <c r="PT296" s="120"/>
      <c r="PU296" s="120"/>
      <c r="PV296" s="120"/>
      <c r="PW296" s="120"/>
      <c r="PX296" s="120"/>
      <c r="PY296" s="120"/>
      <c r="PZ296" s="120"/>
      <c r="QA296" s="120"/>
      <c r="QB296" s="120"/>
      <c r="QC296" s="120"/>
      <c r="QD296" s="120"/>
      <c r="QE296" s="120"/>
      <c r="QF296" s="120"/>
      <c r="QG296" s="120"/>
      <c r="QH296" s="120"/>
      <c r="QI296" s="120"/>
      <c r="QJ296" s="120"/>
      <c r="QK296" s="120"/>
      <c r="QL296" s="120"/>
      <c r="QM296" s="120"/>
      <c r="QN296" s="120"/>
      <c r="QO296" s="120"/>
      <c r="QP296" s="120"/>
      <c r="QQ296" s="120"/>
      <c r="QR296" s="120"/>
      <c r="QS296" s="120"/>
      <c r="QT296" s="120"/>
      <c r="QU296" s="120"/>
      <c r="QV296" s="120"/>
      <c r="QW296" s="120"/>
      <c r="QX296" s="120"/>
      <c r="QY296" s="120"/>
      <c r="QZ296" s="120"/>
      <c r="RA296" s="120"/>
      <c r="RB296" s="120"/>
      <c r="RC296" s="120"/>
      <c r="RD296" s="120"/>
      <c r="RE296" s="120"/>
      <c r="RF296" s="120"/>
      <c r="RG296" s="120"/>
      <c r="RH296" s="120"/>
      <c r="RI296" s="120"/>
      <c r="RJ296" s="120"/>
      <c r="RK296" s="120"/>
      <c r="RL296" s="120"/>
      <c r="RM296" s="120"/>
      <c r="RN296" s="120"/>
      <c r="RO296" s="120"/>
      <c r="RP296" s="120"/>
      <c r="RQ296" s="120"/>
      <c r="RR296" s="120"/>
      <c r="RS296" s="120"/>
      <c r="RT296" s="120"/>
      <c r="RU296" s="120"/>
      <c r="RV296" s="120"/>
      <c r="RW296" s="120"/>
      <c r="RX296" s="120"/>
      <c r="RY296" s="120"/>
      <c r="RZ296" s="120"/>
      <c r="SA296" s="120"/>
      <c r="SB296" s="120"/>
      <c r="SC296" s="120"/>
      <c r="SD296" s="120"/>
      <c r="SE296" s="120"/>
      <c r="SF296" s="120"/>
      <c r="SG296" s="120"/>
      <c r="SH296" s="120"/>
      <c r="SI296" s="120"/>
      <c r="SJ296" s="120"/>
      <c r="SK296" s="120"/>
      <c r="SL296" s="120"/>
      <c r="SM296" s="120"/>
      <c r="SN296" s="120"/>
      <c r="SO296" s="120"/>
      <c r="SP296" s="120"/>
      <c r="SQ296" s="120"/>
      <c r="SR296" s="120"/>
      <c r="SS296" s="120"/>
      <c r="ST296" s="120"/>
      <c r="SU296" s="120"/>
      <c r="SV296" s="120"/>
      <c r="SW296" s="120"/>
      <c r="SX296" s="120"/>
      <c r="SY296" s="120"/>
      <c r="SZ296" s="120"/>
      <c r="TA296" s="120"/>
      <c r="TB296" s="120"/>
      <c r="TC296" s="120"/>
      <c r="TD296" s="120"/>
      <c r="TE296" s="120"/>
      <c r="TF296" s="120"/>
      <c r="TG296" s="120"/>
      <c r="TH296" s="120"/>
      <c r="TI296" s="120"/>
      <c r="TJ296" s="120"/>
      <c r="TK296" s="120"/>
      <c r="TL296" s="120"/>
      <c r="TM296" s="120"/>
      <c r="TN296" s="120"/>
      <c r="TO296" s="120"/>
      <c r="TP296" s="120"/>
      <c r="TQ296" s="120"/>
      <c r="TR296" s="120"/>
      <c r="TS296" s="120"/>
      <c r="TT296" s="120"/>
      <c r="TU296" s="120"/>
      <c r="TV296" s="120"/>
      <c r="TW296" s="120"/>
      <c r="TX296" s="120"/>
      <c r="TY296" s="120"/>
      <c r="TZ296" s="120"/>
      <c r="UA296" s="120"/>
      <c r="UB296" s="120"/>
      <c r="UC296" s="120"/>
      <c r="UD296" s="120"/>
      <c r="UE296" s="120"/>
      <c r="UF296" s="120"/>
      <c r="UG296" s="120"/>
      <c r="UH296" s="120"/>
      <c r="UI296" s="120"/>
      <c r="UJ296" s="120"/>
      <c r="UK296" s="120"/>
      <c r="UL296" s="120"/>
      <c r="UM296" s="120"/>
      <c r="UN296" s="120"/>
      <c r="UO296" s="120"/>
      <c r="UP296" s="120"/>
      <c r="UQ296" s="120"/>
      <c r="UR296" s="120"/>
      <c r="US296" s="120"/>
      <c r="UT296" s="120"/>
      <c r="UU296" s="120"/>
      <c r="UV296" s="120"/>
      <c r="UW296" s="120"/>
      <c r="UX296" s="120"/>
      <c r="UY296" s="120"/>
      <c r="UZ296" s="120"/>
      <c r="VA296" s="120"/>
      <c r="VB296" s="120"/>
      <c r="VC296" s="120"/>
      <c r="VD296" s="120"/>
      <c r="VE296" s="120"/>
      <c r="VF296" s="120"/>
      <c r="VG296" s="120"/>
      <c r="VH296" s="120"/>
      <c r="VI296" s="120"/>
      <c r="VJ296" s="120"/>
      <c r="VK296" s="120"/>
      <c r="VL296" s="120"/>
      <c r="VM296" s="120"/>
      <c r="VN296" s="120"/>
      <c r="VO296" s="120"/>
      <c r="VP296" s="120"/>
      <c r="VQ296" s="120"/>
      <c r="VR296" s="120"/>
      <c r="VS296" s="120"/>
      <c r="VT296" s="120"/>
      <c r="VU296" s="120"/>
      <c r="VV296" s="120"/>
      <c r="VW296" s="120"/>
      <c r="VX296" s="120"/>
      <c r="VY296" s="120"/>
      <c r="VZ296" s="120"/>
      <c r="WA296" s="120"/>
      <c r="WB296" s="120"/>
      <c r="WC296" s="120"/>
      <c r="WD296" s="120"/>
      <c r="WE296" s="120"/>
      <c r="WF296" s="120"/>
      <c r="WG296" s="120"/>
      <c r="WH296" s="120"/>
      <c r="WI296" s="120"/>
      <c r="WJ296" s="120"/>
      <c r="WK296" s="120"/>
      <c r="WL296" s="120"/>
      <c r="WM296" s="120"/>
      <c r="WN296" s="120"/>
      <c r="WO296" s="120"/>
      <c r="WP296" s="120"/>
      <c r="WQ296" s="120"/>
      <c r="WR296" s="120"/>
      <c r="WS296" s="120"/>
      <c r="WT296" s="120"/>
      <c r="WU296" s="120"/>
      <c r="WV296" s="120"/>
      <c r="WW296" s="120"/>
      <c r="WX296" s="120"/>
      <c r="WY296" s="120"/>
      <c r="WZ296" s="120"/>
      <c r="XA296" s="120"/>
      <c r="XB296" s="120"/>
      <c r="XC296" s="120"/>
      <c r="XD296" s="120"/>
      <c r="XE296" s="120"/>
      <c r="XF296" s="120"/>
      <c r="XG296" s="120"/>
      <c r="XH296" s="120"/>
      <c r="XI296" s="120"/>
      <c r="XJ296" s="120"/>
      <c r="XK296" s="120"/>
      <c r="XL296" s="120"/>
      <c r="XM296" s="120"/>
      <c r="XN296" s="120"/>
      <c r="XO296" s="120"/>
      <c r="XP296" s="120"/>
      <c r="XQ296" s="120"/>
      <c r="XR296" s="120"/>
      <c r="XS296" s="120"/>
      <c r="XT296" s="120"/>
      <c r="XU296" s="120"/>
      <c r="XV296" s="120"/>
      <c r="XW296" s="120"/>
      <c r="XX296" s="120"/>
      <c r="XY296" s="120"/>
      <c r="XZ296" s="120"/>
      <c r="YA296" s="120"/>
      <c r="YB296" s="120"/>
      <c r="YC296" s="120"/>
      <c r="YD296" s="120"/>
      <c r="YE296" s="120"/>
      <c r="YF296" s="120"/>
      <c r="YG296" s="120"/>
      <c r="YH296" s="120"/>
      <c r="YI296" s="120"/>
      <c r="YJ296" s="120"/>
      <c r="YK296" s="120"/>
      <c r="YL296" s="120"/>
      <c r="YM296" s="120"/>
      <c r="YN296" s="120"/>
      <c r="YO296" s="120"/>
      <c r="YP296" s="120"/>
      <c r="YQ296" s="120"/>
      <c r="YR296" s="120"/>
      <c r="YS296" s="120"/>
      <c r="YT296" s="120"/>
      <c r="YU296" s="120"/>
      <c r="YV296" s="120"/>
      <c r="YW296" s="120"/>
      <c r="YX296" s="120"/>
      <c r="YY296" s="120"/>
      <c r="YZ296" s="120"/>
      <c r="ZA296" s="120"/>
      <c r="ZB296" s="120"/>
      <c r="ZC296" s="120"/>
      <c r="ZD296" s="120"/>
      <c r="ZE296" s="120"/>
      <c r="ZF296" s="120"/>
      <c r="ZG296" s="120"/>
      <c r="ZH296" s="120"/>
      <c r="ZI296" s="120"/>
      <c r="ZJ296" s="120"/>
      <c r="ZK296" s="120"/>
      <c r="ZL296" s="120"/>
      <c r="ZM296" s="120"/>
      <c r="ZN296" s="120"/>
      <c r="ZO296" s="120"/>
      <c r="ZP296" s="120"/>
      <c r="ZQ296" s="120"/>
      <c r="ZR296" s="120"/>
      <c r="ZS296" s="120"/>
      <c r="ZT296" s="120"/>
      <c r="ZU296" s="120"/>
      <c r="ZV296" s="120"/>
      <c r="ZW296" s="120"/>
      <c r="ZX296" s="120"/>
      <c r="ZY296" s="120"/>
      <c r="ZZ296" s="120"/>
      <c r="AAA296" s="120"/>
      <c r="AAB296" s="120"/>
      <c r="AAC296" s="120"/>
      <c r="AAD296" s="120"/>
      <c r="AAE296" s="120"/>
      <c r="AAF296" s="120"/>
      <c r="AAG296" s="120"/>
      <c r="AAH296" s="120"/>
      <c r="AAI296" s="120"/>
      <c r="AAJ296" s="120"/>
      <c r="AAK296" s="120"/>
      <c r="AAL296" s="120"/>
      <c r="AAM296" s="120"/>
      <c r="AAN296" s="120"/>
      <c r="AAO296" s="120"/>
      <c r="AAP296" s="120"/>
      <c r="AAQ296" s="120"/>
      <c r="AAR296" s="120"/>
      <c r="AAS296" s="120"/>
      <c r="AAT296" s="120"/>
      <c r="AAU296" s="120"/>
      <c r="AAV296" s="120"/>
      <c r="AAW296" s="120"/>
      <c r="AAX296" s="120"/>
      <c r="AAY296" s="120"/>
      <c r="AAZ296" s="120"/>
      <c r="ABA296" s="120"/>
      <c r="ABB296" s="120"/>
      <c r="ABC296" s="120"/>
      <c r="ABD296" s="120"/>
      <c r="ABE296" s="120"/>
      <c r="ABF296" s="120"/>
      <c r="ABG296" s="120"/>
      <c r="ABH296" s="120"/>
      <c r="ABI296" s="120"/>
      <c r="ABJ296" s="120"/>
      <c r="ABK296" s="120"/>
      <c r="ABL296" s="120"/>
      <c r="ABM296" s="120"/>
      <c r="ABN296" s="120"/>
      <c r="ABO296" s="120"/>
      <c r="ABP296" s="120"/>
      <c r="ABQ296" s="120"/>
      <c r="ABR296" s="120"/>
      <c r="ABS296" s="120"/>
      <c r="ABT296" s="120"/>
      <c r="ABU296" s="120"/>
      <c r="ABV296" s="120"/>
      <c r="ABW296" s="120"/>
      <c r="ABX296" s="120"/>
      <c r="ABY296" s="120"/>
      <c r="ABZ296" s="120"/>
      <c r="ACA296" s="120"/>
      <c r="ACB296" s="120"/>
      <c r="ACC296" s="120"/>
      <c r="ACD296" s="120"/>
      <c r="ACE296" s="120"/>
      <c r="ACF296" s="120"/>
      <c r="ACG296" s="120"/>
      <c r="ACH296" s="120"/>
      <c r="ACI296" s="120"/>
      <c r="ACJ296" s="120"/>
      <c r="ACK296" s="120"/>
      <c r="ACL296" s="120"/>
      <c r="ACM296" s="120"/>
      <c r="ACN296" s="120"/>
      <c r="ACO296" s="120"/>
      <c r="ACP296" s="120"/>
      <c r="ACQ296" s="120"/>
      <c r="ACR296" s="120"/>
      <c r="ACS296" s="120"/>
      <c r="ACT296" s="120"/>
      <c r="ACU296" s="120"/>
      <c r="ACV296" s="120"/>
      <c r="ACW296" s="120"/>
      <c r="ACX296" s="120"/>
      <c r="ACY296" s="120"/>
      <c r="ACZ296" s="120"/>
      <c r="ADA296" s="120"/>
      <c r="ADB296" s="120"/>
      <c r="ADC296" s="120"/>
      <c r="ADD296" s="120"/>
      <c r="ADE296" s="120"/>
      <c r="ADF296" s="120"/>
      <c r="ADG296" s="120"/>
      <c r="ADH296" s="120"/>
      <c r="ADI296" s="120"/>
      <c r="ADJ296" s="120"/>
      <c r="ADK296" s="120"/>
      <c r="ADL296" s="120"/>
      <c r="ADM296" s="120"/>
      <c r="ADN296" s="120"/>
      <c r="ADO296" s="120"/>
      <c r="ADP296" s="120"/>
      <c r="ADQ296" s="120"/>
      <c r="ADR296" s="120"/>
      <c r="ADS296" s="120"/>
      <c r="ADT296" s="120"/>
      <c r="ADU296" s="120"/>
      <c r="ADV296" s="120"/>
      <c r="ADW296" s="120"/>
      <c r="ADX296" s="120"/>
      <c r="ADY296" s="120"/>
      <c r="ADZ296" s="120"/>
      <c r="AEA296" s="120"/>
      <c r="AEB296" s="120"/>
      <c r="AEC296" s="120"/>
      <c r="AED296" s="120"/>
      <c r="AEE296" s="120"/>
      <c r="AEF296" s="120"/>
      <c r="AEG296" s="120"/>
      <c r="AEH296" s="120"/>
      <c r="AEI296" s="120"/>
      <c r="AEJ296" s="120"/>
      <c r="AEK296" s="120"/>
      <c r="AEL296" s="120"/>
      <c r="AEM296" s="120"/>
      <c r="AEN296" s="120"/>
      <c r="AEO296" s="120"/>
      <c r="AEP296" s="120"/>
      <c r="AEQ296" s="120"/>
      <c r="AER296" s="120"/>
      <c r="AES296" s="120"/>
      <c r="AET296" s="120"/>
      <c r="AEU296" s="120"/>
      <c r="AEV296" s="120"/>
      <c r="AEW296" s="120"/>
      <c r="AEX296" s="120"/>
      <c r="AEY296" s="120"/>
      <c r="AEZ296" s="120"/>
      <c r="AFA296" s="120"/>
      <c r="AFB296" s="120"/>
      <c r="AFC296" s="120"/>
      <c r="AFD296" s="120"/>
      <c r="AFE296" s="120"/>
      <c r="AFF296" s="120"/>
      <c r="AFG296" s="120"/>
      <c r="AFH296" s="120"/>
      <c r="AFI296" s="120"/>
      <c r="AFJ296" s="120"/>
      <c r="AFK296" s="120"/>
      <c r="AFL296" s="120"/>
      <c r="AFM296" s="120"/>
      <c r="AFN296" s="120"/>
      <c r="AFO296" s="120"/>
      <c r="AFP296" s="120"/>
      <c r="AFQ296" s="120"/>
      <c r="AFR296" s="120"/>
      <c r="AFS296" s="120"/>
      <c r="AFT296" s="120"/>
      <c r="AFU296" s="120"/>
      <c r="AFV296" s="120"/>
      <c r="AFW296" s="120"/>
      <c r="AFX296" s="120"/>
      <c r="AFY296" s="120"/>
      <c r="AFZ296" s="120"/>
      <c r="AGA296" s="120"/>
      <c r="AGB296" s="120"/>
      <c r="AGC296" s="120"/>
      <c r="AGD296" s="120"/>
      <c r="AGE296" s="120"/>
      <c r="AGF296" s="120"/>
      <c r="AGG296" s="120"/>
      <c r="AGH296" s="120"/>
      <c r="AGI296" s="120"/>
      <c r="AGJ296" s="120"/>
      <c r="AGK296" s="120"/>
      <c r="AGL296" s="120"/>
      <c r="AGM296" s="120"/>
      <c r="AGN296" s="120"/>
      <c r="AGO296" s="120"/>
      <c r="AGP296" s="120"/>
      <c r="AGQ296" s="120"/>
      <c r="AGR296" s="120"/>
      <c r="AGS296" s="120"/>
      <c r="AGT296" s="120"/>
      <c r="AGU296" s="120"/>
      <c r="AGV296" s="120"/>
      <c r="AGW296" s="120"/>
      <c r="AGX296" s="120"/>
      <c r="AGY296" s="120"/>
      <c r="AGZ296" s="120"/>
      <c r="AHA296" s="120"/>
      <c r="AHB296" s="120"/>
      <c r="AHC296" s="120"/>
      <c r="AHD296" s="120"/>
      <c r="AHE296" s="120"/>
      <c r="AHF296" s="120"/>
      <c r="AHG296" s="120"/>
      <c r="AHH296" s="120"/>
      <c r="AHI296" s="120"/>
      <c r="AHJ296" s="120"/>
      <c r="AHK296" s="120"/>
      <c r="AHL296" s="120"/>
      <c r="AHM296" s="120"/>
      <c r="AHN296" s="120"/>
      <c r="AHO296" s="120"/>
      <c r="AHP296" s="120"/>
      <c r="AHQ296" s="120"/>
      <c r="AHR296" s="120"/>
      <c r="AHS296" s="120"/>
      <c r="AHT296" s="120"/>
      <c r="AHU296" s="120"/>
      <c r="AHV296" s="120"/>
      <c r="AHW296" s="120"/>
      <c r="AHX296" s="120"/>
      <c r="AHY296" s="120"/>
      <c r="AHZ296" s="120"/>
      <c r="AIA296" s="120"/>
      <c r="AIB296" s="120"/>
      <c r="AIC296" s="120"/>
      <c r="AID296" s="120"/>
      <c r="AIE296" s="120"/>
      <c r="AIF296" s="120"/>
      <c r="AIG296" s="120"/>
      <c r="AIH296" s="120"/>
      <c r="AII296" s="120"/>
      <c r="AIJ296" s="120"/>
      <c r="AIK296" s="120"/>
      <c r="AIL296" s="120"/>
      <c r="AIM296" s="120"/>
      <c r="AIN296" s="120"/>
      <c r="AIO296" s="120"/>
      <c r="AIP296" s="120"/>
      <c r="AIQ296" s="120"/>
      <c r="AIR296" s="120"/>
      <c r="AIS296" s="120"/>
      <c r="AIT296" s="120"/>
      <c r="AIU296" s="120"/>
      <c r="AIV296" s="120"/>
      <c r="AIW296" s="120"/>
      <c r="AIX296" s="120"/>
      <c r="AIY296" s="120"/>
      <c r="AIZ296" s="120"/>
    </row>
    <row r="297">
      <c r="A297" s="112" t="s">
        <v>17</v>
      </c>
      <c r="B297" s="112" t="s">
        <v>84</v>
      </c>
      <c r="C297" s="112"/>
      <c r="D297" s="113">
        <f t="shared" si="1"/>
        <v>497.1946333</v>
      </c>
      <c r="E297" s="112">
        <v>102.166233333333</v>
      </c>
      <c r="F297" s="113"/>
      <c r="G297" s="113"/>
      <c r="H297" s="113"/>
      <c r="I297" s="113"/>
      <c r="J297" s="113"/>
      <c r="K297" s="113"/>
      <c r="L297" s="112">
        <v>1.51868333333333</v>
      </c>
      <c r="M297" s="112">
        <v>20.125</v>
      </c>
      <c r="N297" s="113"/>
      <c r="O297" s="113"/>
      <c r="P297" s="112">
        <v>27.6138166666667</v>
      </c>
      <c r="Q297" s="113"/>
      <c r="R297" s="113"/>
      <c r="S297" s="113"/>
      <c r="T297" s="113"/>
      <c r="U297" s="113"/>
      <c r="V297" s="112">
        <v>0.497416666666667</v>
      </c>
      <c r="W297" s="112">
        <v>49.4998166666667</v>
      </c>
      <c r="X297" s="113"/>
      <c r="Y297" s="113"/>
      <c r="Z297" s="113"/>
      <c r="AA297" s="113"/>
      <c r="AB297" s="113"/>
      <c r="AC297" s="112">
        <v>1.3565</v>
      </c>
      <c r="AD297" s="112">
        <v>170.840783333333</v>
      </c>
      <c r="AE297" s="113"/>
      <c r="AF297" s="113"/>
      <c r="AG297" s="113"/>
      <c r="AH297" s="113"/>
      <c r="AI297" s="113"/>
      <c r="AJ297" s="112">
        <v>3.74865</v>
      </c>
      <c r="AK297" s="112">
        <v>31.3793333333333</v>
      </c>
      <c r="AL297" s="113"/>
      <c r="AM297" s="113"/>
      <c r="AN297" s="113"/>
      <c r="AO297" s="112">
        <v>3.01055</v>
      </c>
      <c r="AP297" s="112">
        <v>41.3004666666667</v>
      </c>
      <c r="AQ297" s="113"/>
      <c r="AR297" s="113"/>
      <c r="AS297" s="112">
        <v>1.3016</v>
      </c>
      <c r="AT297" s="112">
        <v>40.3285833333334</v>
      </c>
      <c r="AU297" s="113"/>
      <c r="AV297" s="112">
        <v>1.67105</v>
      </c>
      <c r="AW297" s="112">
        <v>0.83615</v>
      </c>
      <c r="AX297" s="113"/>
      <c r="AY297" s="113"/>
      <c r="AZ297" s="113"/>
      <c r="BA297" s="113"/>
      <c r="BB297" s="113"/>
      <c r="BC297" s="113"/>
      <c r="BD297" s="113"/>
      <c r="BE297" s="113"/>
      <c r="BF297" s="113"/>
      <c r="BG297" s="113"/>
      <c r="BH297" s="113"/>
      <c r="BI297" s="113"/>
      <c r="BJ297" s="113"/>
      <c r="BK297" s="113"/>
      <c r="BL297" s="113"/>
      <c r="BM297" s="113"/>
      <c r="BN297" s="113"/>
      <c r="BO297" s="113"/>
      <c r="BP297" s="113"/>
      <c r="BQ297" s="113"/>
      <c r="BR297" s="113"/>
      <c r="BS297" s="113"/>
      <c r="BT297" s="113"/>
      <c r="BU297" s="113"/>
      <c r="BV297" s="113"/>
      <c r="BW297" s="113"/>
      <c r="BX297" s="113"/>
      <c r="BY297" s="113"/>
      <c r="BZ297" s="113"/>
      <c r="CA297" s="113"/>
      <c r="CB297" s="113"/>
      <c r="CC297" s="113"/>
      <c r="CD297" s="113"/>
      <c r="CE297" s="113"/>
      <c r="CF297" s="113"/>
      <c r="CG297" s="113"/>
      <c r="CH297" s="113"/>
      <c r="CI297" s="113"/>
      <c r="CJ297" s="113"/>
      <c r="CK297" s="113"/>
      <c r="CL297" s="113"/>
      <c r="CM297" s="113"/>
      <c r="CN297" s="113"/>
      <c r="CO297" s="113"/>
      <c r="CP297" s="113"/>
      <c r="CQ297" s="113"/>
      <c r="CR297" s="113"/>
      <c r="CS297" s="113"/>
      <c r="CT297" s="113"/>
      <c r="CU297" s="113"/>
      <c r="CV297" s="113"/>
      <c r="CW297" s="113"/>
      <c r="CX297" s="113"/>
      <c r="CY297" s="113"/>
      <c r="CZ297" s="113"/>
      <c r="DA297" s="113"/>
      <c r="DB297" s="113"/>
      <c r="DC297" s="113"/>
      <c r="DD297" s="113"/>
      <c r="DE297" s="113"/>
      <c r="DF297" s="113"/>
      <c r="DG297" s="113"/>
      <c r="DH297" s="113"/>
      <c r="DI297" s="113"/>
      <c r="DJ297" s="113"/>
      <c r="DK297" s="113"/>
      <c r="DL297" s="113"/>
      <c r="DM297" s="113"/>
      <c r="DN297" s="113"/>
      <c r="DO297" s="113"/>
      <c r="DP297" s="113"/>
      <c r="DQ297" s="113"/>
      <c r="DR297" s="113"/>
      <c r="DS297" s="113"/>
      <c r="DT297" s="113"/>
      <c r="DU297" s="113"/>
      <c r="DV297" s="113"/>
      <c r="DW297" s="113"/>
      <c r="DX297" s="113"/>
      <c r="DY297" s="113"/>
      <c r="DZ297" s="113"/>
      <c r="EA297" s="113"/>
      <c r="EB297" s="113"/>
      <c r="EC297" s="113"/>
      <c r="ED297" s="113"/>
      <c r="EE297" s="113"/>
      <c r="EF297" s="113"/>
      <c r="EG297" s="113"/>
      <c r="EH297" s="113"/>
      <c r="EI297" s="113"/>
      <c r="EJ297" s="113"/>
      <c r="EK297" s="113"/>
      <c r="EL297" s="113"/>
      <c r="EM297" s="113"/>
      <c r="EN297" s="113"/>
      <c r="EO297" s="113"/>
      <c r="EP297" s="113"/>
      <c r="EQ297" s="113"/>
      <c r="ER297" s="113"/>
      <c r="ES297" s="113"/>
      <c r="ET297" s="113"/>
      <c r="EU297" s="113"/>
      <c r="EV297" s="113"/>
      <c r="EW297" s="113"/>
      <c r="EX297" s="113"/>
      <c r="EY297" s="113"/>
      <c r="EZ297" s="113"/>
      <c r="FA297" s="113"/>
      <c r="FB297" s="113"/>
      <c r="FC297" s="113"/>
      <c r="FD297" s="113"/>
      <c r="FE297" s="113"/>
      <c r="FF297" s="113"/>
      <c r="FG297" s="113"/>
      <c r="FH297" s="113"/>
      <c r="FI297" s="113"/>
      <c r="FJ297" s="113"/>
      <c r="FK297" s="113"/>
      <c r="FL297" s="113"/>
      <c r="FM297" s="113"/>
      <c r="FN297" s="113"/>
      <c r="FO297" s="113"/>
      <c r="FP297" s="113"/>
      <c r="FQ297" s="113"/>
      <c r="FR297" s="113"/>
      <c r="FS297" s="113"/>
      <c r="FT297" s="113"/>
      <c r="FU297" s="113"/>
      <c r="FV297" s="113"/>
      <c r="FW297" s="113"/>
      <c r="FX297" s="113"/>
      <c r="FY297" s="113"/>
      <c r="FZ297" s="113"/>
      <c r="GA297" s="113"/>
      <c r="GB297" s="113"/>
      <c r="GC297" s="113"/>
      <c r="GD297" s="113"/>
      <c r="GE297" s="113"/>
      <c r="GF297" s="113"/>
      <c r="GG297" s="113"/>
      <c r="GH297" s="113"/>
      <c r="GI297" s="113"/>
      <c r="GJ297" s="113"/>
      <c r="GK297" s="113"/>
      <c r="GL297" s="113"/>
      <c r="GM297" s="113"/>
      <c r="GN297" s="113"/>
      <c r="GO297" s="113"/>
      <c r="GP297" s="113"/>
      <c r="GQ297" s="113"/>
      <c r="GR297" s="113"/>
      <c r="GS297" s="113"/>
      <c r="GT297" s="113"/>
      <c r="GU297" s="113"/>
      <c r="GV297" s="113"/>
      <c r="GW297" s="113"/>
      <c r="GX297" s="113"/>
      <c r="GY297" s="113"/>
      <c r="GZ297" s="113"/>
      <c r="HA297" s="113"/>
      <c r="HB297" s="113"/>
      <c r="HC297" s="113"/>
      <c r="HD297" s="113"/>
      <c r="HE297" s="113"/>
      <c r="HF297" s="113"/>
      <c r="HG297" s="113"/>
      <c r="HH297" s="113"/>
      <c r="HI297" s="113"/>
      <c r="HJ297" s="113"/>
      <c r="HK297" s="113"/>
      <c r="HL297" s="113"/>
      <c r="HM297" s="113"/>
      <c r="HN297" s="113"/>
      <c r="HO297" s="113"/>
      <c r="HP297" s="113"/>
      <c r="HQ297" s="113"/>
      <c r="HR297" s="113"/>
      <c r="HS297" s="113"/>
      <c r="HT297" s="113"/>
      <c r="HU297" s="113"/>
      <c r="HV297" s="113"/>
      <c r="HW297" s="113"/>
      <c r="HX297" s="113"/>
      <c r="HY297" s="113"/>
      <c r="HZ297" s="113"/>
      <c r="IA297" s="113"/>
      <c r="IB297" s="113"/>
      <c r="IC297" s="113"/>
      <c r="ID297" s="113"/>
      <c r="IE297" s="113"/>
      <c r="IF297" s="113"/>
      <c r="IG297" s="113"/>
      <c r="IH297" s="113"/>
      <c r="II297" s="113"/>
      <c r="IJ297" s="113"/>
      <c r="IK297" s="113"/>
      <c r="IL297" s="113"/>
      <c r="IM297" s="113"/>
      <c r="IN297" s="113"/>
      <c r="IO297" s="113"/>
      <c r="IP297" s="113"/>
      <c r="IQ297" s="113"/>
      <c r="IR297" s="113"/>
      <c r="IS297" s="113"/>
      <c r="IT297" s="113"/>
      <c r="IU297" s="113"/>
      <c r="IV297" s="113"/>
      <c r="IW297" s="113"/>
      <c r="IX297" s="113"/>
      <c r="IY297" s="113"/>
      <c r="IZ297" s="113"/>
      <c r="JA297" s="113"/>
      <c r="JB297" s="113"/>
      <c r="JC297" s="113"/>
      <c r="JD297" s="113"/>
      <c r="JE297" s="113"/>
      <c r="JF297" s="113"/>
      <c r="JG297" s="113"/>
      <c r="JH297" s="113"/>
      <c r="JI297" s="113"/>
      <c r="JJ297" s="113"/>
      <c r="JK297" s="113"/>
      <c r="JL297" s="113"/>
      <c r="JM297" s="113"/>
      <c r="JN297" s="113"/>
      <c r="JO297" s="113"/>
      <c r="JP297" s="113"/>
      <c r="JQ297" s="113"/>
      <c r="JR297" s="113"/>
      <c r="JS297" s="113"/>
      <c r="JT297" s="113"/>
      <c r="JU297" s="113"/>
      <c r="JV297" s="113"/>
      <c r="JW297" s="113"/>
      <c r="JX297" s="113"/>
      <c r="JY297" s="113"/>
      <c r="JZ297" s="113"/>
      <c r="KA297" s="113"/>
      <c r="KB297" s="113"/>
      <c r="KC297" s="113"/>
      <c r="KD297" s="113"/>
      <c r="KE297" s="113"/>
      <c r="KF297" s="113"/>
      <c r="KG297" s="113"/>
      <c r="KH297" s="113"/>
      <c r="KI297" s="113"/>
      <c r="KJ297" s="113"/>
      <c r="KK297" s="113"/>
      <c r="KL297" s="113"/>
      <c r="KM297" s="113"/>
      <c r="KN297" s="113"/>
      <c r="KO297" s="113"/>
      <c r="KP297" s="113"/>
      <c r="KQ297" s="113"/>
      <c r="KR297" s="113"/>
      <c r="KS297" s="113"/>
      <c r="KT297" s="113"/>
      <c r="KU297" s="113"/>
      <c r="KV297" s="113"/>
      <c r="KW297" s="113"/>
      <c r="KX297" s="113"/>
      <c r="KY297" s="113"/>
      <c r="KZ297" s="113"/>
      <c r="LA297" s="113"/>
      <c r="LB297" s="113"/>
      <c r="LC297" s="113"/>
      <c r="LD297" s="113"/>
      <c r="LE297" s="113"/>
      <c r="LF297" s="113"/>
      <c r="LG297" s="113"/>
      <c r="LH297" s="113"/>
      <c r="LI297" s="113"/>
      <c r="LJ297" s="113"/>
      <c r="LK297" s="113"/>
      <c r="LL297" s="113"/>
      <c r="LM297" s="113"/>
      <c r="LN297" s="113"/>
      <c r="LO297" s="113"/>
      <c r="LP297" s="113"/>
      <c r="LQ297" s="113"/>
      <c r="LR297" s="113"/>
      <c r="LS297" s="113"/>
      <c r="LT297" s="113"/>
      <c r="LU297" s="113"/>
      <c r="LV297" s="113"/>
      <c r="LW297" s="113"/>
      <c r="LX297" s="113"/>
      <c r="LY297" s="113"/>
      <c r="LZ297" s="113"/>
      <c r="MA297" s="113"/>
      <c r="MB297" s="113"/>
      <c r="MC297" s="113"/>
      <c r="MD297" s="113"/>
      <c r="ME297" s="113"/>
      <c r="MF297" s="113"/>
      <c r="MG297" s="113"/>
      <c r="MH297" s="113"/>
      <c r="MI297" s="113"/>
      <c r="MJ297" s="113"/>
      <c r="MK297" s="113"/>
      <c r="ML297" s="113"/>
      <c r="MM297" s="113"/>
      <c r="MN297" s="113"/>
      <c r="MO297" s="113"/>
      <c r="MP297" s="113"/>
      <c r="MQ297" s="113"/>
      <c r="MR297" s="113"/>
      <c r="MS297" s="113"/>
      <c r="MT297" s="113"/>
      <c r="MU297" s="113"/>
      <c r="MV297" s="113"/>
      <c r="MW297" s="113"/>
      <c r="MX297" s="113"/>
      <c r="MY297" s="113"/>
      <c r="MZ297" s="113"/>
      <c r="NA297" s="113"/>
      <c r="NB297" s="113"/>
      <c r="NC297" s="113"/>
      <c r="ND297" s="113"/>
      <c r="NE297" s="113"/>
      <c r="NF297" s="113"/>
      <c r="NG297" s="113"/>
      <c r="NH297" s="113"/>
      <c r="NI297" s="113"/>
      <c r="NJ297" s="113"/>
      <c r="NK297" s="113"/>
      <c r="NL297" s="113"/>
      <c r="NM297" s="113"/>
      <c r="NN297" s="113"/>
      <c r="NO297" s="113"/>
      <c r="NP297" s="113"/>
      <c r="NQ297" s="113"/>
      <c r="NR297" s="113"/>
      <c r="NS297" s="113"/>
      <c r="NT297" s="113"/>
      <c r="NU297" s="113"/>
      <c r="NV297" s="113"/>
      <c r="NW297" s="113"/>
      <c r="NX297" s="113"/>
      <c r="NY297" s="113"/>
      <c r="NZ297" s="113"/>
      <c r="OA297" s="113"/>
      <c r="OB297" s="113"/>
      <c r="OC297" s="113"/>
      <c r="OD297" s="113"/>
      <c r="OE297" s="113"/>
      <c r="OF297" s="113"/>
      <c r="OG297" s="113"/>
      <c r="OH297" s="113"/>
      <c r="OI297" s="113"/>
      <c r="OJ297" s="113"/>
      <c r="OK297" s="113"/>
      <c r="OL297" s="113"/>
      <c r="OM297" s="113"/>
      <c r="ON297" s="113"/>
      <c r="OO297" s="113"/>
      <c r="OP297" s="113"/>
      <c r="OQ297" s="113"/>
      <c r="OR297" s="113"/>
      <c r="OS297" s="113"/>
      <c r="OT297" s="113"/>
      <c r="OU297" s="113"/>
      <c r="OV297" s="113"/>
      <c r="OW297" s="113"/>
      <c r="OX297" s="113"/>
      <c r="OY297" s="113"/>
      <c r="OZ297" s="113"/>
      <c r="PA297" s="113"/>
      <c r="PB297" s="113"/>
      <c r="PC297" s="113"/>
      <c r="PD297" s="113"/>
      <c r="PE297" s="113"/>
      <c r="PF297" s="113"/>
      <c r="PG297" s="113"/>
      <c r="PH297" s="113"/>
      <c r="PI297" s="113"/>
      <c r="PJ297" s="113"/>
      <c r="PK297" s="113"/>
      <c r="PL297" s="113"/>
      <c r="PM297" s="113"/>
      <c r="PN297" s="113"/>
      <c r="PO297" s="113"/>
      <c r="PP297" s="113"/>
      <c r="PQ297" s="113"/>
      <c r="PR297" s="113"/>
      <c r="PS297" s="113"/>
      <c r="PT297" s="113"/>
      <c r="PU297" s="113"/>
      <c r="PV297" s="113"/>
      <c r="PW297" s="113"/>
      <c r="PX297" s="113"/>
      <c r="PY297" s="113"/>
      <c r="PZ297" s="113"/>
      <c r="QA297" s="113"/>
      <c r="QB297" s="113"/>
      <c r="QC297" s="113"/>
      <c r="QD297" s="113"/>
      <c r="QE297" s="113"/>
      <c r="QF297" s="113"/>
      <c r="QG297" s="113"/>
      <c r="QH297" s="113"/>
      <c r="QI297" s="113"/>
      <c r="QJ297" s="113"/>
      <c r="QK297" s="113"/>
      <c r="QL297" s="113"/>
      <c r="QM297" s="113"/>
      <c r="QN297" s="113"/>
      <c r="QO297" s="113"/>
      <c r="QP297" s="113"/>
      <c r="QQ297" s="113"/>
      <c r="QR297" s="113"/>
      <c r="QS297" s="113"/>
      <c r="QT297" s="113"/>
      <c r="QU297" s="113"/>
      <c r="QV297" s="113"/>
      <c r="QW297" s="113"/>
      <c r="QX297" s="113"/>
      <c r="QY297" s="113"/>
      <c r="QZ297" s="113"/>
      <c r="RA297" s="113"/>
      <c r="RB297" s="113"/>
      <c r="RC297" s="113"/>
      <c r="RD297" s="113"/>
      <c r="RE297" s="113"/>
      <c r="RF297" s="113"/>
      <c r="RG297" s="113"/>
      <c r="RH297" s="113"/>
      <c r="RI297" s="113"/>
      <c r="RJ297" s="113"/>
      <c r="RK297" s="113"/>
      <c r="RL297" s="113"/>
      <c r="RM297" s="113"/>
      <c r="RN297" s="113"/>
      <c r="RO297" s="113"/>
      <c r="RP297" s="113"/>
      <c r="RQ297" s="113"/>
      <c r="RR297" s="113"/>
      <c r="RS297" s="113"/>
      <c r="RT297" s="113"/>
      <c r="RU297" s="113"/>
      <c r="RV297" s="113"/>
      <c r="RW297" s="113"/>
      <c r="RX297" s="113"/>
      <c r="RY297" s="113"/>
      <c r="RZ297" s="113"/>
      <c r="SA297" s="113"/>
      <c r="SB297" s="113"/>
      <c r="SC297" s="113"/>
      <c r="SD297" s="113"/>
      <c r="SE297" s="113"/>
      <c r="SF297" s="113"/>
      <c r="SG297" s="113"/>
      <c r="SH297" s="113"/>
      <c r="SI297" s="113"/>
      <c r="SJ297" s="113"/>
      <c r="SK297" s="113"/>
      <c r="SL297" s="113"/>
      <c r="SM297" s="113"/>
      <c r="SN297" s="113"/>
      <c r="SO297" s="113"/>
      <c r="SP297" s="113"/>
      <c r="SQ297" s="113"/>
      <c r="SR297" s="113"/>
      <c r="SS297" s="113"/>
      <c r="ST297" s="113"/>
      <c r="SU297" s="113"/>
      <c r="SV297" s="113"/>
      <c r="SW297" s="113"/>
      <c r="SX297" s="113"/>
      <c r="SY297" s="113"/>
      <c r="SZ297" s="113"/>
      <c r="TA297" s="113"/>
      <c r="TB297" s="113"/>
      <c r="TC297" s="113"/>
      <c r="TD297" s="113"/>
      <c r="TE297" s="113"/>
      <c r="TF297" s="113"/>
      <c r="TG297" s="113"/>
      <c r="TH297" s="113"/>
      <c r="TI297" s="113"/>
      <c r="TJ297" s="113"/>
      <c r="TK297" s="113"/>
      <c r="TL297" s="113"/>
      <c r="TM297" s="113"/>
      <c r="TN297" s="113"/>
      <c r="TO297" s="113"/>
      <c r="TP297" s="113"/>
      <c r="TQ297" s="113"/>
      <c r="TR297" s="113"/>
      <c r="TS297" s="113"/>
      <c r="TT297" s="113"/>
      <c r="TU297" s="113"/>
      <c r="TV297" s="113"/>
      <c r="TW297" s="113"/>
      <c r="TX297" s="113"/>
      <c r="TY297" s="113"/>
      <c r="TZ297" s="113"/>
      <c r="UA297" s="113"/>
      <c r="UB297" s="113"/>
      <c r="UC297" s="113"/>
      <c r="UD297" s="113"/>
      <c r="UE297" s="113"/>
      <c r="UF297" s="113"/>
      <c r="UG297" s="113"/>
      <c r="UH297" s="113"/>
      <c r="UI297" s="113"/>
      <c r="UJ297" s="113"/>
      <c r="UK297" s="113"/>
      <c r="UL297" s="113"/>
      <c r="UM297" s="113"/>
      <c r="UN297" s="113"/>
      <c r="UO297" s="113"/>
      <c r="UP297" s="113"/>
      <c r="UQ297" s="113"/>
      <c r="UR297" s="113"/>
      <c r="US297" s="113"/>
      <c r="UT297" s="113"/>
      <c r="UU297" s="113"/>
      <c r="UV297" s="113"/>
      <c r="UW297" s="113"/>
      <c r="UX297" s="113"/>
      <c r="UY297" s="113"/>
      <c r="UZ297" s="113"/>
      <c r="VA297" s="113"/>
      <c r="VB297" s="113"/>
      <c r="VC297" s="113"/>
      <c r="VD297" s="113"/>
      <c r="VE297" s="113"/>
      <c r="VF297" s="113"/>
      <c r="VG297" s="113"/>
      <c r="VH297" s="113"/>
      <c r="VI297" s="113"/>
      <c r="VJ297" s="113"/>
      <c r="VK297" s="113"/>
      <c r="VL297" s="113"/>
      <c r="VM297" s="113"/>
      <c r="VN297" s="113"/>
      <c r="VO297" s="113"/>
      <c r="VP297" s="113"/>
      <c r="VQ297" s="113"/>
      <c r="VR297" s="113"/>
      <c r="VS297" s="113"/>
      <c r="VT297" s="113"/>
      <c r="VU297" s="113"/>
      <c r="VV297" s="113"/>
      <c r="VW297" s="113"/>
      <c r="VX297" s="113"/>
      <c r="VY297" s="113"/>
      <c r="VZ297" s="113"/>
      <c r="WA297" s="113"/>
      <c r="WB297" s="113"/>
      <c r="WC297" s="113"/>
      <c r="WD297" s="113"/>
      <c r="WE297" s="113"/>
      <c r="WF297" s="113"/>
      <c r="WG297" s="113"/>
      <c r="WH297" s="113"/>
      <c r="WI297" s="113"/>
      <c r="WJ297" s="113"/>
      <c r="WK297" s="113"/>
      <c r="WL297" s="113"/>
      <c r="WM297" s="113"/>
      <c r="WN297" s="113"/>
      <c r="WO297" s="113"/>
      <c r="WP297" s="113"/>
      <c r="WQ297" s="113"/>
      <c r="WR297" s="113"/>
      <c r="WS297" s="113"/>
      <c r="WT297" s="113"/>
      <c r="WU297" s="113"/>
      <c r="WV297" s="113"/>
      <c r="WW297" s="113"/>
      <c r="WX297" s="113"/>
      <c r="WY297" s="113"/>
      <c r="WZ297" s="113"/>
      <c r="XA297" s="113"/>
      <c r="XB297" s="113"/>
      <c r="XC297" s="113"/>
      <c r="XD297" s="113"/>
      <c r="XE297" s="113"/>
      <c r="XF297" s="113"/>
      <c r="XG297" s="113"/>
      <c r="XH297" s="113"/>
      <c r="XI297" s="113"/>
      <c r="XJ297" s="113"/>
      <c r="XK297" s="113"/>
      <c r="XL297" s="113"/>
      <c r="XM297" s="113"/>
      <c r="XN297" s="113"/>
      <c r="XO297" s="113"/>
      <c r="XP297" s="113"/>
      <c r="XQ297" s="113"/>
      <c r="XR297" s="113"/>
      <c r="XS297" s="113"/>
      <c r="XT297" s="113"/>
      <c r="XU297" s="113"/>
      <c r="XV297" s="113"/>
      <c r="XW297" s="113"/>
      <c r="XX297" s="113"/>
      <c r="XY297" s="113"/>
      <c r="XZ297" s="113"/>
      <c r="YA297" s="113"/>
      <c r="YB297" s="113"/>
      <c r="YC297" s="113"/>
      <c r="YD297" s="113"/>
      <c r="YE297" s="113"/>
      <c r="YF297" s="113"/>
      <c r="YG297" s="113"/>
      <c r="YH297" s="113"/>
      <c r="YI297" s="113"/>
      <c r="YJ297" s="113"/>
      <c r="YK297" s="113"/>
      <c r="YL297" s="113"/>
      <c r="YM297" s="113"/>
      <c r="YN297" s="113"/>
      <c r="YO297" s="113"/>
      <c r="YP297" s="113"/>
      <c r="YQ297" s="113"/>
      <c r="YR297" s="113"/>
      <c r="YS297" s="113"/>
      <c r="YT297" s="113"/>
      <c r="YU297" s="113"/>
      <c r="YV297" s="113"/>
      <c r="YW297" s="113"/>
      <c r="YX297" s="113"/>
      <c r="YY297" s="113"/>
      <c r="YZ297" s="113"/>
      <c r="ZA297" s="113"/>
      <c r="ZB297" s="113"/>
      <c r="ZC297" s="113"/>
      <c r="ZD297" s="113"/>
      <c r="ZE297" s="113"/>
      <c r="ZF297" s="113"/>
      <c r="ZG297" s="113"/>
      <c r="ZH297" s="113"/>
      <c r="ZI297" s="113"/>
      <c r="ZJ297" s="113"/>
      <c r="ZK297" s="113"/>
      <c r="ZL297" s="113"/>
      <c r="ZM297" s="113"/>
      <c r="ZN297" s="113"/>
      <c r="ZO297" s="113"/>
      <c r="ZP297" s="113"/>
      <c r="ZQ297" s="113"/>
      <c r="ZR297" s="113"/>
      <c r="ZS297" s="113"/>
      <c r="ZT297" s="113"/>
      <c r="ZU297" s="113"/>
      <c r="ZV297" s="113"/>
      <c r="ZW297" s="113"/>
      <c r="ZX297" s="113"/>
      <c r="ZY297" s="113"/>
      <c r="ZZ297" s="113"/>
      <c r="AAA297" s="113"/>
      <c r="AAB297" s="113"/>
      <c r="AAC297" s="113"/>
      <c r="AAD297" s="113"/>
      <c r="AAE297" s="113"/>
      <c r="AAF297" s="113"/>
      <c r="AAG297" s="113"/>
      <c r="AAH297" s="113"/>
      <c r="AAI297" s="113"/>
      <c r="AAJ297" s="113"/>
      <c r="AAK297" s="113"/>
      <c r="AAL297" s="113"/>
      <c r="AAM297" s="113"/>
      <c r="AAN297" s="113"/>
      <c r="AAO297" s="113"/>
      <c r="AAP297" s="113"/>
      <c r="AAQ297" s="113"/>
      <c r="AAR297" s="113"/>
      <c r="AAS297" s="113"/>
      <c r="AAT297" s="113"/>
      <c r="AAU297" s="113"/>
      <c r="AAV297" s="113"/>
      <c r="AAW297" s="113"/>
      <c r="AAX297" s="113"/>
      <c r="AAY297" s="113"/>
      <c r="AAZ297" s="113"/>
      <c r="ABA297" s="113"/>
      <c r="ABB297" s="113"/>
      <c r="ABC297" s="113"/>
      <c r="ABD297" s="113"/>
      <c r="ABE297" s="113"/>
      <c r="ABF297" s="113"/>
      <c r="ABG297" s="113"/>
      <c r="ABH297" s="113"/>
      <c r="ABI297" s="113"/>
      <c r="ABJ297" s="113"/>
      <c r="ABK297" s="113"/>
      <c r="ABL297" s="113"/>
      <c r="ABM297" s="113"/>
      <c r="ABN297" s="113"/>
      <c r="ABO297" s="113"/>
      <c r="ABP297" s="113"/>
      <c r="ABQ297" s="113"/>
      <c r="ABR297" s="113"/>
      <c r="ABS297" s="113"/>
      <c r="ABT297" s="113"/>
      <c r="ABU297" s="113"/>
      <c r="ABV297" s="113"/>
      <c r="ABW297" s="113"/>
      <c r="ABX297" s="113"/>
      <c r="ABY297" s="113"/>
      <c r="ABZ297" s="113"/>
      <c r="ACA297" s="113"/>
      <c r="ACB297" s="113"/>
      <c r="ACC297" s="113"/>
      <c r="ACD297" s="113"/>
      <c r="ACE297" s="113"/>
      <c r="ACF297" s="113"/>
      <c r="ACG297" s="113"/>
      <c r="ACH297" s="113"/>
      <c r="ACI297" s="113"/>
      <c r="ACJ297" s="113"/>
      <c r="ACK297" s="113"/>
      <c r="ACL297" s="113"/>
      <c r="ACM297" s="113"/>
      <c r="ACN297" s="113"/>
      <c r="ACO297" s="113"/>
      <c r="ACP297" s="113"/>
      <c r="ACQ297" s="113"/>
      <c r="ACR297" s="113"/>
      <c r="ACS297" s="113"/>
      <c r="ACT297" s="113"/>
      <c r="ACU297" s="113"/>
      <c r="ACV297" s="113"/>
      <c r="ACW297" s="113"/>
      <c r="ACX297" s="113"/>
      <c r="ACY297" s="113"/>
      <c r="ACZ297" s="113"/>
      <c r="ADA297" s="113"/>
      <c r="ADB297" s="113"/>
      <c r="ADC297" s="113"/>
      <c r="ADD297" s="113"/>
      <c r="ADE297" s="113"/>
      <c r="ADF297" s="113"/>
      <c r="ADG297" s="113"/>
      <c r="ADH297" s="113"/>
      <c r="ADI297" s="113"/>
      <c r="ADJ297" s="113"/>
      <c r="ADK297" s="113"/>
      <c r="ADL297" s="113"/>
      <c r="ADM297" s="113"/>
      <c r="ADN297" s="113"/>
      <c r="ADO297" s="113"/>
      <c r="ADP297" s="113"/>
      <c r="ADQ297" s="113"/>
      <c r="ADR297" s="113"/>
      <c r="ADS297" s="113"/>
      <c r="ADT297" s="113"/>
      <c r="ADU297" s="113"/>
      <c r="ADV297" s="113"/>
      <c r="ADW297" s="113"/>
      <c r="ADX297" s="113"/>
      <c r="ADY297" s="113"/>
      <c r="ADZ297" s="113"/>
      <c r="AEA297" s="113"/>
      <c r="AEB297" s="113"/>
      <c r="AEC297" s="113"/>
      <c r="AED297" s="113"/>
      <c r="AEE297" s="113"/>
      <c r="AEF297" s="113"/>
      <c r="AEG297" s="113"/>
      <c r="AEH297" s="113"/>
      <c r="AEI297" s="113"/>
      <c r="AEJ297" s="113"/>
      <c r="AEK297" s="113"/>
      <c r="AEL297" s="113"/>
      <c r="AEM297" s="113"/>
      <c r="AEN297" s="113"/>
      <c r="AEO297" s="113"/>
      <c r="AEP297" s="113"/>
      <c r="AEQ297" s="113"/>
      <c r="AER297" s="113"/>
      <c r="AES297" s="113"/>
      <c r="AET297" s="113"/>
      <c r="AEU297" s="113"/>
      <c r="AEV297" s="113"/>
      <c r="AEW297" s="113"/>
      <c r="AEX297" s="113"/>
      <c r="AEY297" s="113"/>
      <c r="AEZ297" s="113"/>
      <c r="AFA297" s="113"/>
      <c r="AFB297" s="113"/>
      <c r="AFC297" s="113"/>
      <c r="AFD297" s="113"/>
      <c r="AFE297" s="113"/>
      <c r="AFF297" s="113"/>
      <c r="AFG297" s="113"/>
      <c r="AFH297" s="113"/>
      <c r="AFI297" s="113"/>
      <c r="AFJ297" s="113"/>
      <c r="AFK297" s="113"/>
      <c r="AFL297" s="113"/>
      <c r="AFM297" s="113"/>
      <c r="AFN297" s="113"/>
      <c r="AFO297" s="113"/>
      <c r="AFP297" s="113"/>
      <c r="AFQ297" s="113"/>
      <c r="AFR297" s="113"/>
      <c r="AFS297" s="113"/>
      <c r="AFT297" s="113"/>
      <c r="AFU297" s="113"/>
      <c r="AFV297" s="113"/>
      <c r="AFW297" s="113"/>
      <c r="AFX297" s="113"/>
      <c r="AFY297" s="113"/>
      <c r="AFZ297" s="113"/>
      <c r="AGA297" s="113"/>
      <c r="AGB297" s="113"/>
      <c r="AGC297" s="113"/>
      <c r="AGD297" s="113"/>
      <c r="AGE297" s="113"/>
      <c r="AGF297" s="113"/>
      <c r="AGG297" s="113"/>
      <c r="AGH297" s="113"/>
      <c r="AGI297" s="113"/>
      <c r="AGJ297" s="113"/>
      <c r="AGK297" s="113"/>
      <c r="AGL297" s="113"/>
      <c r="AGM297" s="113"/>
      <c r="AGN297" s="113"/>
      <c r="AGO297" s="113"/>
      <c r="AGP297" s="113"/>
      <c r="AGQ297" s="113"/>
      <c r="AGR297" s="113"/>
      <c r="AGS297" s="113"/>
      <c r="AGT297" s="113"/>
      <c r="AGU297" s="113"/>
      <c r="AGV297" s="113"/>
      <c r="AGW297" s="113"/>
      <c r="AGX297" s="113"/>
      <c r="AGY297" s="113"/>
      <c r="AGZ297" s="113"/>
      <c r="AHA297" s="113"/>
      <c r="AHB297" s="113"/>
      <c r="AHC297" s="113"/>
      <c r="AHD297" s="113"/>
      <c r="AHE297" s="113"/>
      <c r="AHF297" s="113"/>
      <c r="AHG297" s="113"/>
      <c r="AHH297" s="113"/>
      <c r="AHI297" s="113"/>
      <c r="AHJ297" s="113"/>
      <c r="AHK297" s="113"/>
      <c r="AHL297" s="113"/>
      <c r="AHM297" s="113"/>
      <c r="AHN297" s="113"/>
      <c r="AHO297" s="113"/>
      <c r="AHP297" s="113"/>
      <c r="AHQ297" s="113"/>
      <c r="AHR297" s="113"/>
      <c r="AHS297" s="113"/>
      <c r="AHT297" s="113"/>
      <c r="AHU297" s="113"/>
      <c r="AHV297" s="113"/>
      <c r="AHW297" s="113"/>
      <c r="AHX297" s="113"/>
      <c r="AHY297" s="113"/>
      <c r="AHZ297" s="113"/>
      <c r="AIA297" s="113"/>
      <c r="AIB297" s="113"/>
      <c r="AIC297" s="113"/>
      <c r="AID297" s="113"/>
      <c r="AIE297" s="113"/>
      <c r="AIF297" s="113"/>
      <c r="AIG297" s="113"/>
      <c r="AIH297" s="113"/>
      <c r="AII297" s="113"/>
      <c r="AIJ297" s="113"/>
      <c r="AIK297" s="113"/>
      <c r="AIL297" s="113"/>
      <c r="AIM297" s="113"/>
      <c r="AIN297" s="113"/>
      <c r="AIO297" s="113"/>
      <c r="AIP297" s="113"/>
      <c r="AIQ297" s="113"/>
      <c r="AIR297" s="113"/>
      <c r="AIS297" s="113"/>
      <c r="AIT297" s="113"/>
      <c r="AIU297" s="113"/>
      <c r="AIV297" s="113"/>
      <c r="AIW297" s="113"/>
      <c r="AIX297" s="113"/>
      <c r="AIY297" s="113"/>
      <c r="AIZ297" s="113"/>
    </row>
    <row r="298">
      <c r="A298" s="65" t="s">
        <v>17</v>
      </c>
      <c r="B298" s="65" t="s">
        <v>84</v>
      </c>
      <c r="C298" s="65"/>
      <c r="D298" s="64">
        <f t="shared" si="1"/>
        <v>451.5112833</v>
      </c>
      <c r="G298" s="65">
        <v>10.5102333333333</v>
      </c>
      <c r="H298" s="65">
        <v>38.6562333333333</v>
      </c>
      <c r="I298" s="65">
        <v>43.3121666666667</v>
      </c>
      <c r="J298" s="65">
        <v>1.24688333333333</v>
      </c>
      <c r="K298" s="65">
        <v>6.2044</v>
      </c>
      <c r="N298" s="65">
        <v>13.4341166666667</v>
      </c>
      <c r="R298" s="65">
        <v>6.53081666666667</v>
      </c>
      <c r="S298" s="65">
        <v>12.1978166666667</v>
      </c>
      <c r="T298" s="65">
        <v>8.36415</v>
      </c>
      <c r="Y298" s="65">
        <v>19.7200333333333</v>
      </c>
      <c r="Z298" s="65">
        <v>12.2974666666667</v>
      </c>
      <c r="AA298" s="65">
        <v>7.03413333333333</v>
      </c>
      <c r="AB298" s="65">
        <v>9.66313333333333</v>
      </c>
      <c r="AF298" s="65">
        <v>61.00105</v>
      </c>
      <c r="AG298" s="65">
        <v>60.8405166666666</v>
      </c>
      <c r="AH298" s="65">
        <v>19.4378166666667</v>
      </c>
      <c r="AI298" s="65">
        <v>25.8115666666667</v>
      </c>
      <c r="AL298" s="65">
        <v>22.86885</v>
      </c>
      <c r="AM298" s="65">
        <v>0.4474</v>
      </c>
      <c r="AN298" s="65">
        <v>1.29911666666667</v>
      </c>
      <c r="AQ298" s="65">
        <v>28.5750666666667</v>
      </c>
      <c r="AR298" s="65">
        <v>3.16836666666667</v>
      </c>
      <c r="AU298" s="65">
        <v>38.88995</v>
      </c>
    </row>
    <row r="299">
      <c r="A299" s="65" t="s">
        <v>17</v>
      </c>
      <c r="B299" s="65" t="s">
        <v>84</v>
      </c>
      <c r="C299" s="65"/>
      <c r="D299" s="64">
        <f t="shared" si="1"/>
        <v>0</v>
      </c>
    </row>
    <row r="300">
      <c r="A300" s="65" t="s">
        <v>17</v>
      </c>
      <c r="B300" s="65" t="s">
        <v>84</v>
      </c>
      <c r="C300" s="65"/>
      <c r="D300" s="64">
        <f t="shared" si="1"/>
        <v>450.7570167</v>
      </c>
      <c r="G300" s="118">
        <f>HYPERLINK("https://docs.google.com/spreadsheets/d/1nbh-4BcdoWwFvFUr1D84zJEumqEap8jJ", 10.5102333333333)</f>
        <v>10.51023333</v>
      </c>
      <c r="H300" s="118">
        <f>HYPERLINK("https://docs.google.com/spreadsheets/d/1GmaXwBsJwThpfjeYBb9hvTBUwpWJEjyn", 38.6562)</f>
        <v>38.6562</v>
      </c>
      <c r="I300" s="118">
        <f>HYPERLINK("https://docs.google.com/spreadsheets/d/1KR8aMBrZ6zX3Q98o0-MRG9PsUoOZ5H19", 43.3121000000001)</f>
        <v>43.3121</v>
      </c>
      <c r="J300" s="118">
        <f>HYPERLINK("https://docs.google.com/spreadsheets/d/1_fx_R-Y4QqHvdulRw2hfuNCzoYVc4TKS", 1.04286666666667)</f>
        <v>1.042866667</v>
      </c>
      <c r="K300" s="118">
        <f>HYPERLINK("https://docs.google.com/spreadsheets/d/1ObA3kHmj9lcTV5YyYhpirRDPAlrlSkGG", 6.20441666666667)</f>
        <v>6.204416667</v>
      </c>
      <c r="N300" s="118">
        <f>HYPERLINK("https://docs.google.com/spreadsheets/d/1SlYgMYzaL-j3AbZ8Pk7xg-3nLtHBurlX", 13.4341333333333)</f>
        <v>13.43413333</v>
      </c>
      <c r="R300" s="118">
        <f>HYPERLINK("https://docs.google.com/spreadsheets/d/1P3kUj2t9z6u0lRWcn-8P7Tid555HVEVw", 6.53083333333333)</f>
        <v>6.530833333</v>
      </c>
      <c r="S300" s="118">
        <f>HYPERLINK("https://docs.google.com/spreadsheets/d/1E7lXDsuhtGNNOSiPkbbUD8rfu05-atEh", 12.1978166666667)</f>
        <v>12.19781667</v>
      </c>
      <c r="T300" s="118">
        <f>HYPERLINK("https://docs.google.com/spreadsheets/d/1ySuIlQM3h2h63XFz-M3Mk-i2x3_WK2TR", 8.36415)</f>
        <v>8.36415</v>
      </c>
      <c r="Y300" s="118">
        <f>HYPERLINK("https://docs.google.com/spreadsheets/d/1tsF6qlHi-N416vaQuCtglpjFB6dNDv1l", 19.7200333333333)</f>
        <v>19.72003333</v>
      </c>
      <c r="Z300" s="118">
        <f>HYPERLINK("https://docs.google.com/spreadsheets/d/1KiOUN0MoqQK1QPIg16KBOnAA2AxM1J5R", 12.2974666666667)</f>
        <v>12.29746667</v>
      </c>
      <c r="AA300" s="118">
        <f>HYPERLINK("https://docs.google.com/spreadsheets/d/1cEI7RGQjx02Fyhkhz6RkJ_B6UOT_gDny", 7.03411666666667)</f>
        <v>7.034116667</v>
      </c>
      <c r="AB300" s="118">
        <f>HYPERLINK("https://docs.google.com/spreadsheets/d/1L7WmrPJ3SGK8sK4v2ro0IzGQDmmacK8Z", 9.66315)</f>
        <v>9.66315</v>
      </c>
      <c r="AF300" s="118">
        <f>HYPERLINK("https://docs.google.com/spreadsheets/d/1ncqMlqnqKs6tjVV2j_j2KJkSp-EljpyY", 61.0010333333333)</f>
        <v>61.00103333</v>
      </c>
      <c r="AG300" s="118">
        <f>HYPERLINK("https://docs.google.com/spreadsheets/d/1CrI95M0W1m2SaAtwAwtcJx_qeiC3ob2v", 60.5590666666666)</f>
        <v>60.55906667</v>
      </c>
      <c r="AH300" s="118">
        <f>HYPERLINK("https://docs.google.com/spreadsheets/d/1uafHyQPOUjgfdlHjTND5RAIR4a8aXKMf", 19.4378333333333)</f>
        <v>19.43783333</v>
      </c>
      <c r="AI300" s="118">
        <f>HYPERLINK("https://docs.google.com/spreadsheets/d/1N5jjcnIbMDXSfXfvBZkvAW2VIKpwcnDC", 25.7474333333333)</f>
        <v>25.74743333</v>
      </c>
      <c r="AL300" s="118">
        <f>HYPERLINK("https://docs.google.com/spreadsheets/d/1XTToGzpw7i1ksKF_WzHAi5lxWTT5uWYV", 22.8109166666667)</f>
        <v>22.81091667</v>
      </c>
      <c r="AM300" s="118">
        <f>HYPERLINK("https://docs.google.com/spreadsheets/d/1Pjm1oSS5IGg8LuuVcG0fbTEe2HuI93TQ", 0.4474)</f>
        <v>0.4474</v>
      </c>
      <c r="AN300" s="118">
        <f>HYPERLINK("https://docs.google.com/spreadsheets/d/15SSN1JV8Sw38WU3shoRRB5S0i39Nwjx1", 1.29911666666667)</f>
        <v>1.299116667</v>
      </c>
      <c r="AQ300" s="118">
        <f>HYPERLINK("https://docs.google.com/spreadsheets/d/1-zUlEvmFrKGzUBYG2lC-jqy0mToZJmZO", 28.5750833333333)</f>
        <v>28.57508333</v>
      </c>
      <c r="AR300" s="118">
        <f>HYPERLINK("https://docs.google.com/spreadsheets/d/1cEyLmLXahXBGbRdFcyIdbTewW4L69_cf", 3.02165)</f>
        <v>3.02165</v>
      </c>
      <c r="AU300" s="118">
        <f>HYPERLINK("https://docs.google.com/spreadsheets/d/17-ujEcvWpckHdBS6o00tljlrEMGP32O0", 38.8899666666667)</f>
        <v>38.88996667</v>
      </c>
    </row>
    <row r="301">
      <c r="A301" s="65" t="s">
        <v>17</v>
      </c>
      <c r="B301" s="65" t="s">
        <v>84</v>
      </c>
      <c r="C301" s="65"/>
      <c r="D301" s="64">
        <f t="shared" si="1"/>
        <v>178.5321</v>
      </c>
      <c r="G301" s="65">
        <v>1.39353333333333</v>
      </c>
      <c r="H301" s="65">
        <v>16.9193833333333</v>
      </c>
      <c r="I301" s="65">
        <v>15.1395333333333</v>
      </c>
      <c r="J301" s="65">
        <v>0.0</v>
      </c>
      <c r="K301" s="65">
        <v>2.99693333333333</v>
      </c>
      <c r="N301" s="65">
        <v>5.11298333333333</v>
      </c>
      <c r="R301" s="65">
        <v>2.67541666666667</v>
      </c>
      <c r="S301" s="65">
        <v>4.39181666666667</v>
      </c>
      <c r="T301" s="65">
        <v>4.66461666666667</v>
      </c>
      <c r="Y301" s="65">
        <v>6.80003333333333</v>
      </c>
      <c r="Z301" s="65">
        <v>4.02291666666667</v>
      </c>
      <c r="AA301" s="65">
        <v>3.71358333333333</v>
      </c>
      <c r="AB301" s="65">
        <v>3.67786666666667</v>
      </c>
      <c r="AF301" s="65">
        <v>27.6306666666667</v>
      </c>
      <c r="AG301" s="65">
        <v>19.7066333333333</v>
      </c>
      <c r="AH301" s="65">
        <v>9.31908333333333</v>
      </c>
      <c r="AI301" s="65">
        <v>12.4176666666667</v>
      </c>
      <c r="AL301" s="65">
        <v>9.88144999999999</v>
      </c>
      <c r="AM301" s="65">
        <v>0.200333333333333</v>
      </c>
      <c r="AN301" s="65">
        <v>0.543366666666667</v>
      </c>
      <c r="AQ301" s="65">
        <v>9.95163333333334</v>
      </c>
      <c r="AR301" s="65">
        <v>1.25848333333333</v>
      </c>
      <c r="AU301" s="65">
        <v>16.1141666666667</v>
      </c>
    </row>
    <row r="302">
      <c r="A302" s="119" t="s">
        <v>17</v>
      </c>
      <c r="B302" s="119" t="s">
        <v>84</v>
      </c>
      <c r="C302" s="119"/>
      <c r="D302" s="120">
        <f t="shared" si="1"/>
        <v>0</v>
      </c>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c r="AA302" s="120"/>
      <c r="AB302" s="120"/>
      <c r="AC302" s="120"/>
      <c r="AD302" s="120"/>
      <c r="AE302" s="120"/>
      <c r="AF302" s="120"/>
      <c r="AG302" s="120"/>
      <c r="AH302" s="120"/>
      <c r="AI302" s="120"/>
      <c r="AJ302" s="120"/>
      <c r="AK302" s="120"/>
      <c r="AL302" s="120"/>
      <c r="AM302" s="120"/>
      <c r="AN302" s="120"/>
      <c r="AO302" s="120"/>
      <c r="AP302" s="120"/>
      <c r="AQ302" s="120"/>
      <c r="AR302" s="120"/>
      <c r="AS302" s="120"/>
      <c r="AT302" s="120"/>
      <c r="AU302" s="120"/>
      <c r="AV302" s="120"/>
      <c r="AW302" s="120"/>
      <c r="AX302" s="120"/>
      <c r="AY302" s="120"/>
      <c r="AZ302" s="120"/>
      <c r="BA302" s="120"/>
      <c r="BB302" s="120"/>
      <c r="BC302" s="120"/>
      <c r="BD302" s="120"/>
      <c r="BE302" s="120"/>
      <c r="BF302" s="120"/>
      <c r="BG302" s="120"/>
      <c r="BH302" s="120"/>
      <c r="BI302" s="120"/>
      <c r="BJ302" s="120"/>
      <c r="BK302" s="120"/>
      <c r="BL302" s="120"/>
      <c r="BM302" s="120"/>
      <c r="BN302" s="120"/>
      <c r="BO302" s="120"/>
      <c r="BP302" s="120"/>
      <c r="BQ302" s="120"/>
      <c r="BR302" s="120"/>
      <c r="BS302" s="120"/>
      <c r="BT302" s="120"/>
      <c r="BU302" s="120"/>
      <c r="BV302" s="120"/>
      <c r="BW302" s="120"/>
      <c r="BX302" s="120"/>
      <c r="BY302" s="120"/>
      <c r="BZ302" s="120"/>
      <c r="CA302" s="120"/>
      <c r="CB302" s="120"/>
      <c r="CC302" s="120"/>
      <c r="CD302" s="120"/>
      <c r="CE302" s="120"/>
      <c r="CF302" s="120"/>
      <c r="CG302" s="120"/>
      <c r="CH302" s="120"/>
      <c r="CI302" s="120"/>
      <c r="CJ302" s="120"/>
      <c r="CK302" s="120"/>
      <c r="CL302" s="120"/>
      <c r="CM302" s="120"/>
      <c r="CN302" s="120"/>
      <c r="CO302" s="120"/>
      <c r="CP302" s="120"/>
      <c r="CQ302" s="120"/>
      <c r="CR302" s="120"/>
      <c r="CS302" s="120"/>
      <c r="CT302" s="120"/>
      <c r="CU302" s="120"/>
      <c r="CV302" s="120"/>
      <c r="CW302" s="120"/>
      <c r="CX302" s="120"/>
      <c r="CY302" s="120"/>
      <c r="CZ302" s="120"/>
      <c r="DA302" s="120"/>
      <c r="DB302" s="120"/>
      <c r="DC302" s="120"/>
      <c r="DD302" s="120"/>
      <c r="DE302" s="120"/>
      <c r="DF302" s="120"/>
      <c r="DG302" s="120"/>
      <c r="DH302" s="120"/>
      <c r="DI302" s="120"/>
      <c r="DJ302" s="120"/>
      <c r="DK302" s="120"/>
      <c r="DL302" s="120"/>
      <c r="DM302" s="120"/>
      <c r="DN302" s="120"/>
      <c r="DO302" s="120"/>
      <c r="DP302" s="120"/>
      <c r="DQ302" s="120"/>
      <c r="DR302" s="120"/>
      <c r="DS302" s="120"/>
      <c r="DT302" s="120"/>
      <c r="DU302" s="120"/>
      <c r="DV302" s="120"/>
      <c r="DW302" s="120"/>
      <c r="DX302" s="120"/>
      <c r="DY302" s="120"/>
      <c r="DZ302" s="120"/>
      <c r="EA302" s="120"/>
      <c r="EB302" s="120"/>
      <c r="EC302" s="120"/>
      <c r="ED302" s="120"/>
      <c r="EE302" s="120"/>
      <c r="EF302" s="120"/>
      <c r="EG302" s="120"/>
      <c r="EH302" s="120"/>
      <c r="EI302" s="120"/>
      <c r="EJ302" s="120"/>
      <c r="EK302" s="120"/>
      <c r="EL302" s="120"/>
      <c r="EM302" s="120"/>
      <c r="EN302" s="120"/>
      <c r="EO302" s="120"/>
      <c r="EP302" s="120"/>
      <c r="EQ302" s="120"/>
      <c r="ER302" s="120"/>
      <c r="ES302" s="120"/>
      <c r="ET302" s="120"/>
      <c r="EU302" s="120"/>
      <c r="EV302" s="120"/>
      <c r="EW302" s="120"/>
      <c r="EX302" s="120"/>
      <c r="EY302" s="120"/>
      <c r="EZ302" s="120"/>
      <c r="FA302" s="120"/>
      <c r="FB302" s="120"/>
      <c r="FC302" s="120"/>
      <c r="FD302" s="120"/>
      <c r="FE302" s="120"/>
      <c r="FF302" s="120"/>
      <c r="FG302" s="120"/>
      <c r="FH302" s="120"/>
      <c r="FI302" s="120"/>
      <c r="FJ302" s="120"/>
      <c r="FK302" s="120"/>
      <c r="FL302" s="120"/>
      <c r="FM302" s="120"/>
      <c r="FN302" s="120"/>
      <c r="FO302" s="120"/>
      <c r="FP302" s="120"/>
      <c r="FQ302" s="120"/>
      <c r="FR302" s="120"/>
      <c r="FS302" s="120"/>
      <c r="FT302" s="120"/>
      <c r="FU302" s="120"/>
      <c r="FV302" s="120"/>
      <c r="FW302" s="120"/>
      <c r="FX302" s="120"/>
      <c r="FY302" s="120"/>
      <c r="FZ302" s="120"/>
      <c r="GA302" s="120"/>
      <c r="GB302" s="120"/>
      <c r="GC302" s="120"/>
      <c r="GD302" s="120"/>
      <c r="GE302" s="120"/>
      <c r="GF302" s="120"/>
      <c r="GG302" s="120"/>
      <c r="GH302" s="120"/>
      <c r="GI302" s="120"/>
      <c r="GJ302" s="120"/>
      <c r="GK302" s="120"/>
      <c r="GL302" s="120"/>
      <c r="GM302" s="120"/>
      <c r="GN302" s="120"/>
      <c r="GO302" s="120"/>
      <c r="GP302" s="120"/>
      <c r="GQ302" s="120"/>
      <c r="GR302" s="120"/>
      <c r="GS302" s="120"/>
      <c r="GT302" s="120"/>
      <c r="GU302" s="120"/>
      <c r="GV302" s="120"/>
      <c r="GW302" s="120"/>
      <c r="GX302" s="120"/>
      <c r="GY302" s="120"/>
      <c r="GZ302" s="120"/>
      <c r="HA302" s="120"/>
      <c r="HB302" s="120"/>
      <c r="HC302" s="120"/>
      <c r="HD302" s="120"/>
      <c r="HE302" s="120"/>
      <c r="HF302" s="120"/>
      <c r="HG302" s="120"/>
      <c r="HH302" s="120"/>
      <c r="HI302" s="120"/>
      <c r="HJ302" s="120"/>
      <c r="HK302" s="120"/>
      <c r="HL302" s="120"/>
      <c r="HM302" s="120"/>
      <c r="HN302" s="120"/>
      <c r="HO302" s="120"/>
      <c r="HP302" s="120"/>
      <c r="HQ302" s="120"/>
      <c r="HR302" s="120"/>
      <c r="HS302" s="120"/>
      <c r="HT302" s="120"/>
      <c r="HU302" s="120"/>
      <c r="HV302" s="120"/>
      <c r="HW302" s="120"/>
      <c r="HX302" s="120"/>
      <c r="HY302" s="120"/>
      <c r="HZ302" s="120"/>
      <c r="IA302" s="120"/>
      <c r="IB302" s="120"/>
      <c r="IC302" s="120"/>
      <c r="ID302" s="120"/>
      <c r="IE302" s="120"/>
      <c r="IF302" s="120"/>
      <c r="IG302" s="120"/>
      <c r="IH302" s="120"/>
      <c r="II302" s="120"/>
      <c r="IJ302" s="120"/>
      <c r="IK302" s="120"/>
      <c r="IL302" s="120"/>
      <c r="IM302" s="120"/>
      <c r="IN302" s="120"/>
      <c r="IO302" s="120"/>
      <c r="IP302" s="120"/>
      <c r="IQ302" s="120"/>
      <c r="IR302" s="120"/>
      <c r="IS302" s="120"/>
      <c r="IT302" s="120"/>
      <c r="IU302" s="120"/>
      <c r="IV302" s="120"/>
      <c r="IW302" s="120"/>
      <c r="IX302" s="120"/>
      <c r="IY302" s="120"/>
      <c r="IZ302" s="120"/>
      <c r="JA302" s="120"/>
      <c r="JB302" s="120"/>
      <c r="JC302" s="120"/>
      <c r="JD302" s="120"/>
      <c r="JE302" s="120"/>
      <c r="JF302" s="120"/>
      <c r="JG302" s="120"/>
      <c r="JH302" s="120"/>
      <c r="JI302" s="120"/>
      <c r="JJ302" s="120"/>
      <c r="JK302" s="120"/>
      <c r="JL302" s="120"/>
      <c r="JM302" s="120"/>
      <c r="JN302" s="120"/>
      <c r="JO302" s="120"/>
      <c r="JP302" s="120"/>
      <c r="JQ302" s="120"/>
      <c r="JR302" s="120"/>
      <c r="JS302" s="120"/>
      <c r="JT302" s="120"/>
      <c r="JU302" s="120"/>
      <c r="JV302" s="120"/>
      <c r="JW302" s="120"/>
      <c r="JX302" s="120"/>
      <c r="JY302" s="120"/>
      <c r="JZ302" s="120"/>
      <c r="KA302" s="120"/>
      <c r="KB302" s="120"/>
      <c r="KC302" s="120"/>
      <c r="KD302" s="120"/>
      <c r="KE302" s="120"/>
      <c r="KF302" s="120"/>
      <c r="KG302" s="120"/>
      <c r="KH302" s="120"/>
      <c r="KI302" s="120"/>
      <c r="KJ302" s="120"/>
      <c r="KK302" s="120"/>
      <c r="KL302" s="120"/>
      <c r="KM302" s="120"/>
      <c r="KN302" s="120"/>
      <c r="KO302" s="120"/>
      <c r="KP302" s="120"/>
      <c r="KQ302" s="120"/>
      <c r="KR302" s="120"/>
      <c r="KS302" s="120"/>
      <c r="KT302" s="120"/>
      <c r="KU302" s="120"/>
      <c r="KV302" s="120"/>
      <c r="KW302" s="120"/>
      <c r="KX302" s="120"/>
      <c r="KY302" s="120"/>
      <c r="KZ302" s="120"/>
      <c r="LA302" s="120"/>
      <c r="LB302" s="120"/>
      <c r="LC302" s="120"/>
      <c r="LD302" s="120"/>
      <c r="LE302" s="120"/>
      <c r="LF302" s="120"/>
      <c r="LG302" s="120"/>
      <c r="LH302" s="120"/>
      <c r="LI302" s="120"/>
      <c r="LJ302" s="120"/>
      <c r="LK302" s="120"/>
      <c r="LL302" s="120"/>
      <c r="LM302" s="120"/>
      <c r="LN302" s="120"/>
      <c r="LO302" s="120"/>
      <c r="LP302" s="120"/>
      <c r="LQ302" s="120"/>
      <c r="LR302" s="120"/>
      <c r="LS302" s="120"/>
      <c r="LT302" s="120"/>
      <c r="LU302" s="120"/>
      <c r="LV302" s="120"/>
      <c r="LW302" s="120"/>
      <c r="LX302" s="120"/>
      <c r="LY302" s="120"/>
      <c r="LZ302" s="120"/>
      <c r="MA302" s="120"/>
      <c r="MB302" s="120"/>
      <c r="MC302" s="120"/>
      <c r="MD302" s="120"/>
      <c r="ME302" s="120"/>
      <c r="MF302" s="120"/>
      <c r="MG302" s="120"/>
      <c r="MH302" s="120"/>
      <c r="MI302" s="120"/>
      <c r="MJ302" s="120"/>
      <c r="MK302" s="120"/>
      <c r="ML302" s="120"/>
      <c r="MM302" s="120"/>
      <c r="MN302" s="120"/>
      <c r="MO302" s="120"/>
      <c r="MP302" s="120"/>
      <c r="MQ302" s="120"/>
      <c r="MR302" s="120"/>
      <c r="MS302" s="120"/>
      <c r="MT302" s="120"/>
      <c r="MU302" s="120"/>
      <c r="MV302" s="120"/>
      <c r="MW302" s="120"/>
      <c r="MX302" s="120"/>
      <c r="MY302" s="120"/>
      <c r="MZ302" s="120"/>
      <c r="NA302" s="120"/>
      <c r="NB302" s="120"/>
      <c r="NC302" s="120"/>
      <c r="ND302" s="120"/>
      <c r="NE302" s="120"/>
      <c r="NF302" s="120"/>
      <c r="NG302" s="120"/>
      <c r="NH302" s="120"/>
      <c r="NI302" s="120"/>
      <c r="NJ302" s="120"/>
      <c r="NK302" s="120"/>
      <c r="NL302" s="120"/>
      <c r="NM302" s="120"/>
      <c r="NN302" s="120"/>
      <c r="NO302" s="120"/>
      <c r="NP302" s="120"/>
      <c r="NQ302" s="120"/>
      <c r="NR302" s="120"/>
      <c r="NS302" s="120"/>
      <c r="NT302" s="120"/>
      <c r="NU302" s="120"/>
      <c r="NV302" s="120"/>
      <c r="NW302" s="120"/>
      <c r="NX302" s="120"/>
      <c r="NY302" s="120"/>
      <c r="NZ302" s="120"/>
      <c r="OA302" s="120"/>
      <c r="OB302" s="120"/>
      <c r="OC302" s="120"/>
      <c r="OD302" s="120"/>
      <c r="OE302" s="120"/>
      <c r="OF302" s="120"/>
      <c r="OG302" s="120"/>
      <c r="OH302" s="120"/>
      <c r="OI302" s="120"/>
      <c r="OJ302" s="120"/>
      <c r="OK302" s="120"/>
      <c r="OL302" s="120"/>
      <c r="OM302" s="120"/>
      <c r="ON302" s="120"/>
      <c r="OO302" s="120"/>
      <c r="OP302" s="120"/>
      <c r="OQ302" s="120"/>
      <c r="OR302" s="120"/>
      <c r="OS302" s="120"/>
      <c r="OT302" s="120"/>
      <c r="OU302" s="120"/>
      <c r="OV302" s="120"/>
      <c r="OW302" s="120"/>
      <c r="OX302" s="120"/>
      <c r="OY302" s="120"/>
      <c r="OZ302" s="120"/>
      <c r="PA302" s="120"/>
      <c r="PB302" s="120"/>
      <c r="PC302" s="120"/>
      <c r="PD302" s="120"/>
      <c r="PE302" s="120"/>
      <c r="PF302" s="120"/>
      <c r="PG302" s="120"/>
      <c r="PH302" s="120"/>
      <c r="PI302" s="120"/>
      <c r="PJ302" s="120"/>
      <c r="PK302" s="120"/>
      <c r="PL302" s="120"/>
      <c r="PM302" s="120"/>
      <c r="PN302" s="120"/>
      <c r="PO302" s="120"/>
      <c r="PP302" s="120"/>
      <c r="PQ302" s="120"/>
      <c r="PR302" s="120"/>
      <c r="PS302" s="120"/>
      <c r="PT302" s="120"/>
      <c r="PU302" s="120"/>
      <c r="PV302" s="120"/>
      <c r="PW302" s="120"/>
      <c r="PX302" s="120"/>
      <c r="PY302" s="120"/>
      <c r="PZ302" s="120"/>
      <c r="QA302" s="120"/>
      <c r="QB302" s="120"/>
      <c r="QC302" s="120"/>
      <c r="QD302" s="120"/>
      <c r="QE302" s="120"/>
      <c r="QF302" s="120"/>
      <c r="QG302" s="120"/>
      <c r="QH302" s="120"/>
      <c r="QI302" s="120"/>
      <c r="QJ302" s="120"/>
      <c r="QK302" s="120"/>
      <c r="QL302" s="120"/>
      <c r="QM302" s="120"/>
      <c r="QN302" s="120"/>
      <c r="QO302" s="120"/>
      <c r="QP302" s="120"/>
      <c r="QQ302" s="120"/>
      <c r="QR302" s="120"/>
      <c r="QS302" s="120"/>
      <c r="QT302" s="120"/>
      <c r="QU302" s="120"/>
      <c r="QV302" s="120"/>
      <c r="QW302" s="120"/>
      <c r="QX302" s="120"/>
      <c r="QY302" s="120"/>
      <c r="QZ302" s="120"/>
      <c r="RA302" s="120"/>
      <c r="RB302" s="120"/>
      <c r="RC302" s="120"/>
      <c r="RD302" s="120"/>
      <c r="RE302" s="120"/>
      <c r="RF302" s="120"/>
      <c r="RG302" s="120"/>
      <c r="RH302" s="120"/>
      <c r="RI302" s="120"/>
      <c r="RJ302" s="120"/>
      <c r="RK302" s="120"/>
      <c r="RL302" s="120"/>
      <c r="RM302" s="120"/>
      <c r="RN302" s="120"/>
      <c r="RO302" s="120"/>
      <c r="RP302" s="120"/>
      <c r="RQ302" s="120"/>
      <c r="RR302" s="120"/>
      <c r="RS302" s="120"/>
      <c r="RT302" s="120"/>
      <c r="RU302" s="120"/>
      <c r="RV302" s="120"/>
      <c r="RW302" s="120"/>
      <c r="RX302" s="120"/>
      <c r="RY302" s="120"/>
      <c r="RZ302" s="120"/>
      <c r="SA302" s="120"/>
      <c r="SB302" s="120"/>
      <c r="SC302" s="120"/>
      <c r="SD302" s="120"/>
      <c r="SE302" s="120"/>
      <c r="SF302" s="120"/>
      <c r="SG302" s="120"/>
      <c r="SH302" s="120"/>
      <c r="SI302" s="120"/>
      <c r="SJ302" s="120"/>
      <c r="SK302" s="120"/>
      <c r="SL302" s="120"/>
      <c r="SM302" s="120"/>
      <c r="SN302" s="120"/>
      <c r="SO302" s="120"/>
      <c r="SP302" s="120"/>
      <c r="SQ302" s="120"/>
      <c r="SR302" s="120"/>
      <c r="SS302" s="120"/>
      <c r="ST302" s="120"/>
      <c r="SU302" s="120"/>
      <c r="SV302" s="120"/>
      <c r="SW302" s="120"/>
      <c r="SX302" s="120"/>
      <c r="SY302" s="120"/>
      <c r="SZ302" s="120"/>
      <c r="TA302" s="120"/>
      <c r="TB302" s="120"/>
      <c r="TC302" s="120"/>
      <c r="TD302" s="120"/>
      <c r="TE302" s="120"/>
      <c r="TF302" s="120"/>
      <c r="TG302" s="120"/>
      <c r="TH302" s="120"/>
      <c r="TI302" s="120"/>
      <c r="TJ302" s="120"/>
      <c r="TK302" s="120"/>
      <c r="TL302" s="120"/>
      <c r="TM302" s="120"/>
      <c r="TN302" s="120"/>
      <c r="TO302" s="120"/>
      <c r="TP302" s="120"/>
      <c r="TQ302" s="120"/>
      <c r="TR302" s="120"/>
      <c r="TS302" s="120"/>
      <c r="TT302" s="120"/>
      <c r="TU302" s="120"/>
      <c r="TV302" s="120"/>
      <c r="TW302" s="120"/>
      <c r="TX302" s="120"/>
      <c r="TY302" s="120"/>
      <c r="TZ302" s="120"/>
      <c r="UA302" s="120"/>
      <c r="UB302" s="120"/>
      <c r="UC302" s="120"/>
      <c r="UD302" s="120"/>
      <c r="UE302" s="120"/>
      <c r="UF302" s="120"/>
      <c r="UG302" s="120"/>
      <c r="UH302" s="120"/>
      <c r="UI302" s="120"/>
      <c r="UJ302" s="120"/>
      <c r="UK302" s="120"/>
      <c r="UL302" s="120"/>
      <c r="UM302" s="120"/>
      <c r="UN302" s="120"/>
      <c r="UO302" s="120"/>
      <c r="UP302" s="120"/>
      <c r="UQ302" s="120"/>
      <c r="UR302" s="120"/>
      <c r="US302" s="120"/>
      <c r="UT302" s="120"/>
      <c r="UU302" s="120"/>
      <c r="UV302" s="120"/>
      <c r="UW302" s="120"/>
      <c r="UX302" s="120"/>
      <c r="UY302" s="120"/>
      <c r="UZ302" s="120"/>
      <c r="VA302" s="120"/>
      <c r="VB302" s="120"/>
      <c r="VC302" s="120"/>
      <c r="VD302" s="120"/>
      <c r="VE302" s="120"/>
      <c r="VF302" s="120"/>
      <c r="VG302" s="120"/>
      <c r="VH302" s="120"/>
      <c r="VI302" s="120"/>
      <c r="VJ302" s="120"/>
      <c r="VK302" s="120"/>
      <c r="VL302" s="120"/>
      <c r="VM302" s="120"/>
      <c r="VN302" s="120"/>
      <c r="VO302" s="120"/>
      <c r="VP302" s="120"/>
      <c r="VQ302" s="120"/>
      <c r="VR302" s="120"/>
      <c r="VS302" s="120"/>
      <c r="VT302" s="120"/>
      <c r="VU302" s="120"/>
      <c r="VV302" s="120"/>
      <c r="VW302" s="120"/>
      <c r="VX302" s="120"/>
      <c r="VY302" s="120"/>
      <c r="VZ302" s="120"/>
      <c r="WA302" s="120"/>
      <c r="WB302" s="120"/>
      <c r="WC302" s="120"/>
      <c r="WD302" s="120"/>
      <c r="WE302" s="120"/>
      <c r="WF302" s="120"/>
      <c r="WG302" s="120"/>
      <c r="WH302" s="120"/>
      <c r="WI302" s="120"/>
      <c r="WJ302" s="120"/>
      <c r="WK302" s="120"/>
      <c r="WL302" s="120"/>
      <c r="WM302" s="120"/>
      <c r="WN302" s="120"/>
      <c r="WO302" s="120"/>
      <c r="WP302" s="120"/>
      <c r="WQ302" s="120"/>
      <c r="WR302" s="120"/>
      <c r="WS302" s="120"/>
      <c r="WT302" s="120"/>
      <c r="WU302" s="120"/>
      <c r="WV302" s="120"/>
      <c r="WW302" s="120"/>
      <c r="WX302" s="120"/>
      <c r="WY302" s="120"/>
      <c r="WZ302" s="120"/>
      <c r="XA302" s="120"/>
      <c r="XB302" s="120"/>
      <c r="XC302" s="120"/>
      <c r="XD302" s="120"/>
      <c r="XE302" s="120"/>
      <c r="XF302" s="120"/>
      <c r="XG302" s="120"/>
      <c r="XH302" s="120"/>
      <c r="XI302" s="120"/>
      <c r="XJ302" s="120"/>
      <c r="XK302" s="120"/>
      <c r="XL302" s="120"/>
      <c r="XM302" s="120"/>
      <c r="XN302" s="120"/>
      <c r="XO302" s="120"/>
      <c r="XP302" s="120"/>
      <c r="XQ302" s="120"/>
      <c r="XR302" s="120"/>
      <c r="XS302" s="120"/>
      <c r="XT302" s="120"/>
      <c r="XU302" s="120"/>
      <c r="XV302" s="120"/>
      <c r="XW302" s="120"/>
      <c r="XX302" s="120"/>
      <c r="XY302" s="120"/>
      <c r="XZ302" s="120"/>
      <c r="YA302" s="120"/>
      <c r="YB302" s="120"/>
      <c r="YC302" s="120"/>
      <c r="YD302" s="120"/>
      <c r="YE302" s="120"/>
      <c r="YF302" s="120"/>
      <c r="YG302" s="120"/>
      <c r="YH302" s="120"/>
      <c r="YI302" s="120"/>
      <c r="YJ302" s="120"/>
      <c r="YK302" s="120"/>
      <c r="YL302" s="120"/>
      <c r="YM302" s="120"/>
      <c r="YN302" s="120"/>
      <c r="YO302" s="120"/>
      <c r="YP302" s="120"/>
      <c r="YQ302" s="120"/>
      <c r="YR302" s="120"/>
      <c r="YS302" s="120"/>
      <c r="YT302" s="120"/>
      <c r="YU302" s="120"/>
      <c r="YV302" s="120"/>
      <c r="YW302" s="120"/>
      <c r="YX302" s="120"/>
      <c r="YY302" s="120"/>
      <c r="YZ302" s="120"/>
      <c r="ZA302" s="120"/>
      <c r="ZB302" s="120"/>
      <c r="ZC302" s="120"/>
      <c r="ZD302" s="120"/>
      <c r="ZE302" s="120"/>
      <c r="ZF302" s="120"/>
      <c r="ZG302" s="120"/>
      <c r="ZH302" s="120"/>
      <c r="ZI302" s="120"/>
      <c r="ZJ302" s="120"/>
      <c r="ZK302" s="120"/>
      <c r="ZL302" s="120"/>
      <c r="ZM302" s="120"/>
      <c r="ZN302" s="120"/>
      <c r="ZO302" s="120"/>
      <c r="ZP302" s="120"/>
      <c r="ZQ302" s="120"/>
      <c r="ZR302" s="120"/>
      <c r="ZS302" s="120"/>
      <c r="ZT302" s="120"/>
      <c r="ZU302" s="120"/>
      <c r="ZV302" s="120"/>
      <c r="ZW302" s="120"/>
      <c r="ZX302" s="120"/>
      <c r="ZY302" s="120"/>
      <c r="ZZ302" s="120"/>
      <c r="AAA302" s="120"/>
      <c r="AAB302" s="120"/>
      <c r="AAC302" s="120"/>
      <c r="AAD302" s="120"/>
      <c r="AAE302" s="120"/>
      <c r="AAF302" s="120"/>
      <c r="AAG302" s="120"/>
      <c r="AAH302" s="120"/>
      <c r="AAI302" s="120"/>
      <c r="AAJ302" s="120"/>
      <c r="AAK302" s="120"/>
      <c r="AAL302" s="120"/>
      <c r="AAM302" s="120"/>
      <c r="AAN302" s="120"/>
      <c r="AAO302" s="120"/>
      <c r="AAP302" s="120"/>
      <c r="AAQ302" s="120"/>
      <c r="AAR302" s="120"/>
      <c r="AAS302" s="120"/>
      <c r="AAT302" s="120"/>
      <c r="AAU302" s="120"/>
      <c r="AAV302" s="120"/>
      <c r="AAW302" s="120"/>
      <c r="AAX302" s="120"/>
      <c r="AAY302" s="120"/>
      <c r="AAZ302" s="120"/>
      <c r="ABA302" s="120"/>
      <c r="ABB302" s="120"/>
      <c r="ABC302" s="120"/>
      <c r="ABD302" s="120"/>
      <c r="ABE302" s="120"/>
      <c r="ABF302" s="120"/>
      <c r="ABG302" s="120"/>
      <c r="ABH302" s="120"/>
      <c r="ABI302" s="120"/>
      <c r="ABJ302" s="120"/>
      <c r="ABK302" s="120"/>
      <c r="ABL302" s="120"/>
      <c r="ABM302" s="120"/>
      <c r="ABN302" s="120"/>
      <c r="ABO302" s="120"/>
      <c r="ABP302" s="120"/>
      <c r="ABQ302" s="120"/>
      <c r="ABR302" s="120"/>
      <c r="ABS302" s="120"/>
      <c r="ABT302" s="120"/>
      <c r="ABU302" s="120"/>
      <c r="ABV302" s="120"/>
      <c r="ABW302" s="120"/>
      <c r="ABX302" s="120"/>
      <c r="ABY302" s="120"/>
      <c r="ABZ302" s="120"/>
      <c r="ACA302" s="120"/>
      <c r="ACB302" s="120"/>
      <c r="ACC302" s="120"/>
      <c r="ACD302" s="120"/>
      <c r="ACE302" s="120"/>
      <c r="ACF302" s="120"/>
      <c r="ACG302" s="120"/>
      <c r="ACH302" s="120"/>
      <c r="ACI302" s="120"/>
      <c r="ACJ302" s="120"/>
      <c r="ACK302" s="120"/>
      <c r="ACL302" s="120"/>
      <c r="ACM302" s="120"/>
      <c r="ACN302" s="120"/>
      <c r="ACO302" s="120"/>
      <c r="ACP302" s="120"/>
      <c r="ACQ302" s="120"/>
      <c r="ACR302" s="120"/>
      <c r="ACS302" s="120"/>
      <c r="ACT302" s="120"/>
      <c r="ACU302" s="120"/>
      <c r="ACV302" s="120"/>
      <c r="ACW302" s="120"/>
      <c r="ACX302" s="120"/>
      <c r="ACY302" s="120"/>
      <c r="ACZ302" s="120"/>
      <c r="ADA302" s="120"/>
      <c r="ADB302" s="120"/>
      <c r="ADC302" s="120"/>
      <c r="ADD302" s="120"/>
      <c r="ADE302" s="120"/>
      <c r="ADF302" s="120"/>
      <c r="ADG302" s="120"/>
      <c r="ADH302" s="120"/>
      <c r="ADI302" s="120"/>
      <c r="ADJ302" s="120"/>
      <c r="ADK302" s="120"/>
      <c r="ADL302" s="120"/>
      <c r="ADM302" s="120"/>
      <c r="ADN302" s="120"/>
      <c r="ADO302" s="120"/>
      <c r="ADP302" s="120"/>
      <c r="ADQ302" s="120"/>
      <c r="ADR302" s="120"/>
      <c r="ADS302" s="120"/>
      <c r="ADT302" s="120"/>
      <c r="ADU302" s="120"/>
      <c r="ADV302" s="120"/>
      <c r="ADW302" s="120"/>
      <c r="ADX302" s="120"/>
      <c r="ADY302" s="120"/>
      <c r="ADZ302" s="120"/>
      <c r="AEA302" s="120"/>
      <c r="AEB302" s="120"/>
      <c r="AEC302" s="120"/>
      <c r="AED302" s="120"/>
      <c r="AEE302" s="120"/>
      <c r="AEF302" s="120"/>
      <c r="AEG302" s="120"/>
      <c r="AEH302" s="120"/>
      <c r="AEI302" s="120"/>
      <c r="AEJ302" s="120"/>
      <c r="AEK302" s="120"/>
      <c r="AEL302" s="120"/>
      <c r="AEM302" s="120"/>
      <c r="AEN302" s="120"/>
      <c r="AEO302" s="120"/>
      <c r="AEP302" s="120"/>
      <c r="AEQ302" s="120"/>
      <c r="AER302" s="120"/>
      <c r="AES302" s="120"/>
      <c r="AET302" s="120"/>
      <c r="AEU302" s="120"/>
      <c r="AEV302" s="120"/>
      <c r="AEW302" s="120"/>
      <c r="AEX302" s="120"/>
      <c r="AEY302" s="120"/>
      <c r="AEZ302" s="120"/>
      <c r="AFA302" s="120"/>
      <c r="AFB302" s="120"/>
      <c r="AFC302" s="120"/>
      <c r="AFD302" s="120"/>
      <c r="AFE302" s="120"/>
      <c r="AFF302" s="120"/>
      <c r="AFG302" s="120"/>
      <c r="AFH302" s="120"/>
      <c r="AFI302" s="120"/>
      <c r="AFJ302" s="120"/>
      <c r="AFK302" s="120"/>
      <c r="AFL302" s="120"/>
      <c r="AFM302" s="120"/>
      <c r="AFN302" s="120"/>
      <c r="AFO302" s="120"/>
      <c r="AFP302" s="120"/>
      <c r="AFQ302" s="120"/>
      <c r="AFR302" s="120"/>
      <c r="AFS302" s="120"/>
      <c r="AFT302" s="120"/>
      <c r="AFU302" s="120"/>
      <c r="AFV302" s="120"/>
      <c r="AFW302" s="120"/>
      <c r="AFX302" s="120"/>
      <c r="AFY302" s="120"/>
      <c r="AFZ302" s="120"/>
      <c r="AGA302" s="120"/>
      <c r="AGB302" s="120"/>
      <c r="AGC302" s="120"/>
      <c r="AGD302" s="120"/>
      <c r="AGE302" s="120"/>
      <c r="AGF302" s="120"/>
      <c r="AGG302" s="120"/>
      <c r="AGH302" s="120"/>
      <c r="AGI302" s="120"/>
      <c r="AGJ302" s="120"/>
      <c r="AGK302" s="120"/>
      <c r="AGL302" s="120"/>
      <c r="AGM302" s="120"/>
      <c r="AGN302" s="120"/>
      <c r="AGO302" s="120"/>
      <c r="AGP302" s="120"/>
      <c r="AGQ302" s="120"/>
      <c r="AGR302" s="120"/>
      <c r="AGS302" s="120"/>
      <c r="AGT302" s="120"/>
      <c r="AGU302" s="120"/>
      <c r="AGV302" s="120"/>
      <c r="AGW302" s="120"/>
      <c r="AGX302" s="120"/>
      <c r="AGY302" s="120"/>
      <c r="AGZ302" s="120"/>
      <c r="AHA302" s="120"/>
      <c r="AHB302" s="120"/>
      <c r="AHC302" s="120"/>
      <c r="AHD302" s="120"/>
      <c r="AHE302" s="120"/>
      <c r="AHF302" s="120"/>
      <c r="AHG302" s="120"/>
      <c r="AHH302" s="120"/>
      <c r="AHI302" s="120"/>
      <c r="AHJ302" s="120"/>
      <c r="AHK302" s="120"/>
      <c r="AHL302" s="120"/>
      <c r="AHM302" s="120"/>
      <c r="AHN302" s="120"/>
      <c r="AHO302" s="120"/>
      <c r="AHP302" s="120"/>
      <c r="AHQ302" s="120"/>
      <c r="AHR302" s="120"/>
      <c r="AHS302" s="120"/>
      <c r="AHT302" s="120"/>
      <c r="AHU302" s="120"/>
      <c r="AHV302" s="120"/>
      <c r="AHW302" s="120"/>
      <c r="AHX302" s="120"/>
      <c r="AHY302" s="120"/>
      <c r="AHZ302" s="120"/>
      <c r="AIA302" s="120"/>
      <c r="AIB302" s="120"/>
      <c r="AIC302" s="120"/>
      <c r="AID302" s="120"/>
      <c r="AIE302" s="120"/>
      <c r="AIF302" s="120"/>
      <c r="AIG302" s="120"/>
      <c r="AIH302" s="120"/>
      <c r="AII302" s="120"/>
      <c r="AIJ302" s="120"/>
      <c r="AIK302" s="120"/>
      <c r="AIL302" s="120"/>
      <c r="AIM302" s="120"/>
      <c r="AIN302" s="120"/>
      <c r="AIO302" s="120"/>
      <c r="AIP302" s="120"/>
      <c r="AIQ302" s="120"/>
      <c r="AIR302" s="120"/>
      <c r="AIS302" s="120"/>
      <c r="AIT302" s="120"/>
      <c r="AIU302" s="120"/>
      <c r="AIV302" s="120"/>
      <c r="AIW302" s="120"/>
      <c r="AIX302" s="120"/>
      <c r="AIY302" s="120"/>
      <c r="AIZ302" s="120"/>
    </row>
    <row r="303">
      <c r="A303" s="112" t="s">
        <v>17</v>
      </c>
      <c r="B303" s="112" t="s">
        <v>85</v>
      </c>
      <c r="C303" s="112"/>
      <c r="D303" s="113">
        <f t="shared" si="1"/>
        <v>501.1215333</v>
      </c>
      <c r="E303" s="112">
        <v>43.3252666666666</v>
      </c>
      <c r="F303" s="113"/>
      <c r="G303" s="113"/>
      <c r="H303" s="113"/>
      <c r="I303" s="113"/>
      <c r="J303" s="113"/>
      <c r="K303" s="113"/>
      <c r="L303" s="112">
        <v>0.45795</v>
      </c>
      <c r="M303" s="112">
        <v>12.7847</v>
      </c>
      <c r="N303" s="113"/>
      <c r="O303" s="113"/>
      <c r="P303" s="112">
        <v>85.2232166666667</v>
      </c>
      <c r="Q303" s="113"/>
      <c r="R303" s="113"/>
      <c r="S303" s="113"/>
      <c r="T303" s="113"/>
      <c r="U303" s="113"/>
      <c r="V303" s="112">
        <v>0.7924</v>
      </c>
      <c r="W303" s="112">
        <v>32.5161166666667</v>
      </c>
      <c r="X303" s="113"/>
      <c r="Y303" s="113"/>
      <c r="Z303" s="113"/>
      <c r="AA303" s="113"/>
      <c r="AB303" s="113"/>
      <c r="AC303" s="112">
        <v>1.2915</v>
      </c>
      <c r="AD303" s="112">
        <v>184.162233333333</v>
      </c>
      <c r="AE303" s="113"/>
      <c r="AF303" s="113"/>
      <c r="AG303" s="113"/>
      <c r="AH303" s="113"/>
      <c r="AI303" s="113"/>
      <c r="AJ303" s="112">
        <v>2.02145</v>
      </c>
      <c r="AK303" s="112">
        <v>18.5280166666667</v>
      </c>
      <c r="AL303" s="113"/>
      <c r="AM303" s="113"/>
      <c r="AN303" s="113"/>
      <c r="AO303" s="112">
        <v>2.24263333333333</v>
      </c>
      <c r="AP303" s="112">
        <v>55.5920666666667</v>
      </c>
      <c r="AQ303" s="113"/>
      <c r="AR303" s="113"/>
      <c r="AS303" s="112">
        <v>2.49398333333333</v>
      </c>
      <c r="AT303" s="112">
        <v>56.0648</v>
      </c>
      <c r="AU303" s="113"/>
      <c r="AV303" s="112">
        <v>2.63106666666667</v>
      </c>
      <c r="AW303" s="112">
        <v>0.994133333333333</v>
      </c>
      <c r="AX303" s="113"/>
      <c r="AY303" s="113"/>
      <c r="AZ303" s="113"/>
      <c r="BA303" s="113"/>
      <c r="BB303" s="113"/>
      <c r="BC303" s="113"/>
      <c r="BD303" s="113"/>
      <c r="BE303" s="113"/>
      <c r="BF303" s="113"/>
      <c r="BG303" s="113"/>
      <c r="BH303" s="113"/>
      <c r="BI303" s="113"/>
      <c r="BJ303" s="113"/>
      <c r="BK303" s="113"/>
      <c r="BL303" s="113"/>
      <c r="BM303" s="113"/>
      <c r="BN303" s="113"/>
      <c r="BO303" s="113"/>
      <c r="BP303" s="113"/>
      <c r="BQ303" s="113"/>
      <c r="BR303" s="113"/>
      <c r="BS303" s="113"/>
      <c r="BT303" s="113"/>
      <c r="BU303" s="113"/>
      <c r="BV303" s="113"/>
      <c r="BW303" s="113"/>
      <c r="BX303" s="113"/>
      <c r="BY303" s="113"/>
      <c r="BZ303" s="113"/>
      <c r="CA303" s="113"/>
      <c r="CB303" s="113"/>
      <c r="CC303" s="113"/>
      <c r="CD303" s="113"/>
      <c r="CE303" s="113"/>
      <c r="CF303" s="113"/>
      <c r="CG303" s="113"/>
      <c r="CH303" s="113"/>
      <c r="CI303" s="113"/>
      <c r="CJ303" s="113"/>
      <c r="CK303" s="113"/>
      <c r="CL303" s="113"/>
      <c r="CM303" s="113"/>
      <c r="CN303" s="113"/>
      <c r="CO303" s="113"/>
      <c r="CP303" s="113"/>
      <c r="CQ303" s="113"/>
      <c r="CR303" s="113"/>
      <c r="CS303" s="113"/>
      <c r="CT303" s="113"/>
      <c r="CU303" s="113"/>
      <c r="CV303" s="113"/>
      <c r="CW303" s="113"/>
      <c r="CX303" s="113"/>
      <c r="CY303" s="113"/>
      <c r="CZ303" s="113"/>
      <c r="DA303" s="113"/>
      <c r="DB303" s="113"/>
      <c r="DC303" s="113"/>
      <c r="DD303" s="113"/>
      <c r="DE303" s="113"/>
      <c r="DF303" s="113"/>
      <c r="DG303" s="113"/>
      <c r="DH303" s="113"/>
      <c r="DI303" s="113"/>
      <c r="DJ303" s="113"/>
      <c r="DK303" s="113"/>
      <c r="DL303" s="113"/>
      <c r="DM303" s="113"/>
      <c r="DN303" s="113"/>
      <c r="DO303" s="113"/>
      <c r="DP303" s="113"/>
      <c r="DQ303" s="113"/>
      <c r="DR303" s="113"/>
      <c r="DS303" s="113"/>
      <c r="DT303" s="113"/>
      <c r="DU303" s="113"/>
      <c r="DV303" s="113"/>
      <c r="DW303" s="113"/>
      <c r="DX303" s="113"/>
      <c r="DY303" s="113"/>
      <c r="DZ303" s="113"/>
      <c r="EA303" s="113"/>
      <c r="EB303" s="113"/>
      <c r="EC303" s="113"/>
      <c r="ED303" s="113"/>
      <c r="EE303" s="113"/>
      <c r="EF303" s="113"/>
      <c r="EG303" s="113"/>
      <c r="EH303" s="113"/>
      <c r="EI303" s="113"/>
      <c r="EJ303" s="113"/>
      <c r="EK303" s="113"/>
      <c r="EL303" s="113"/>
      <c r="EM303" s="113"/>
      <c r="EN303" s="113"/>
      <c r="EO303" s="113"/>
      <c r="EP303" s="113"/>
      <c r="EQ303" s="113"/>
      <c r="ER303" s="113"/>
      <c r="ES303" s="113"/>
      <c r="ET303" s="113"/>
      <c r="EU303" s="113"/>
      <c r="EV303" s="113"/>
      <c r="EW303" s="113"/>
      <c r="EX303" s="113"/>
      <c r="EY303" s="113"/>
      <c r="EZ303" s="113"/>
      <c r="FA303" s="113"/>
      <c r="FB303" s="113"/>
      <c r="FC303" s="113"/>
      <c r="FD303" s="113"/>
      <c r="FE303" s="113"/>
      <c r="FF303" s="113"/>
      <c r="FG303" s="113"/>
      <c r="FH303" s="113"/>
      <c r="FI303" s="113"/>
      <c r="FJ303" s="113"/>
      <c r="FK303" s="113"/>
      <c r="FL303" s="113"/>
      <c r="FM303" s="113"/>
      <c r="FN303" s="113"/>
      <c r="FO303" s="113"/>
      <c r="FP303" s="113"/>
      <c r="FQ303" s="113"/>
      <c r="FR303" s="113"/>
      <c r="FS303" s="113"/>
      <c r="FT303" s="113"/>
      <c r="FU303" s="113"/>
      <c r="FV303" s="113"/>
      <c r="FW303" s="113"/>
      <c r="FX303" s="113"/>
      <c r="FY303" s="113"/>
      <c r="FZ303" s="113"/>
      <c r="GA303" s="113"/>
      <c r="GB303" s="113"/>
      <c r="GC303" s="113"/>
      <c r="GD303" s="113"/>
      <c r="GE303" s="113"/>
      <c r="GF303" s="113"/>
      <c r="GG303" s="113"/>
      <c r="GH303" s="113"/>
      <c r="GI303" s="113"/>
      <c r="GJ303" s="113"/>
      <c r="GK303" s="113"/>
      <c r="GL303" s="113"/>
      <c r="GM303" s="113"/>
      <c r="GN303" s="113"/>
      <c r="GO303" s="113"/>
      <c r="GP303" s="113"/>
      <c r="GQ303" s="113"/>
      <c r="GR303" s="113"/>
      <c r="GS303" s="113"/>
      <c r="GT303" s="113"/>
      <c r="GU303" s="113"/>
      <c r="GV303" s="113"/>
      <c r="GW303" s="113"/>
      <c r="GX303" s="113"/>
      <c r="GY303" s="113"/>
      <c r="GZ303" s="113"/>
      <c r="HA303" s="113"/>
      <c r="HB303" s="113"/>
      <c r="HC303" s="113"/>
      <c r="HD303" s="113"/>
      <c r="HE303" s="113"/>
      <c r="HF303" s="113"/>
      <c r="HG303" s="113"/>
      <c r="HH303" s="113"/>
      <c r="HI303" s="113"/>
      <c r="HJ303" s="113"/>
      <c r="HK303" s="113"/>
      <c r="HL303" s="113"/>
      <c r="HM303" s="113"/>
      <c r="HN303" s="113"/>
      <c r="HO303" s="113"/>
      <c r="HP303" s="113"/>
      <c r="HQ303" s="113"/>
      <c r="HR303" s="113"/>
      <c r="HS303" s="113"/>
      <c r="HT303" s="113"/>
      <c r="HU303" s="113"/>
      <c r="HV303" s="113"/>
      <c r="HW303" s="113"/>
      <c r="HX303" s="113"/>
      <c r="HY303" s="113"/>
      <c r="HZ303" s="113"/>
      <c r="IA303" s="113"/>
      <c r="IB303" s="113"/>
      <c r="IC303" s="113"/>
      <c r="ID303" s="113"/>
      <c r="IE303" s="113"/>
      <c r="IF303" s="113"/>
      <c r="IG303" s="113"/>
      <c r="IH303" s="113"/>
      <c r="II303" s="113"/>
      <c r="IJ303" s="113"/>
      <c r="IK303" s="113"/>
      <c r="IL303" s="113"/>
      <c r="IM303" s="113"/>
      <c r="IN303" s="113"/>
      <c r="IO303" s="113"/>
      <c r="IP303" s="113"/>
      <c r="IQ303" s="113"/>
      <c r="IR303" s="113"/>
      <c r="IS303" s="113"/>
      <c r="IT303" s="113"/>
      <c r="IU303" s="113"/>
      <c r="IV303" s="113"/>
      <c r="IW303" s="113"/>
      <c r="IX303" s="113"/>
      <c r="IY303" s="113"/>
      <c r="IZ303" s="113"/>
      <c r="JA303" s="113"/>
      <c r="JB303" s="113"/>
      <c r="JC303" s="113"/>
      <c r="JD303" s="113"/>
      <c r="JE303" s="113"/>
      <c r="JF303" s="113"/>
      <c r="JG303" s="113"/>
      <c r="JH303" s="113"/>
      <c r="JI303" s="113"/>
      <c r="JJ303" s="113"/>
      <c r="JK303" s="113"/>
      <c r="JL303" s="113"/>
      <c r="JM303" s="113"/>
      <c r="JN303" s="113"/>
      <c r="JO303" s="113"/>
      <c r="JP303" s="113"/>
      <c r="JQ303" s="113"/>
      <c r="JR303" s="113"/>
      <c r="JS303" s="113"/>
      <c r="JT303" s="113"/>
      <c r="JU303" s="113"/>
      <c r="JV303" s="113"/>
      <c r="JW303" s="113"/>
      <c r="JX303" s="113"/>
      <c r="JY303" s="113"/>
      <c r="JZ303" s="113"/>
      <c r="KA303" s="113"/>
      <c r="KB303" s="113"/>
      <c r="KC303" s="113"/>
      <c r="KD303" s="113"/>
      <c r="KE303" s="113"/>
      <c r="KF303" s="113"/>
      <c r="KG303" s="113"/>
      <c r="KH303" s="113"/>
      <c r="KI303" s="113"/>
      <c r="KJ303" s="113"/>
      <c r="KK303" s="113"/>
      <c r="KL303" s="113"/>
      <c r="KM303" s="113"/>
      <c r="KN303" s="113"/>
      <c r="KO303" s="113"/>
      <c r="KP303" s="113"/>
      <c r="KQ303" s="113"/>
      <c r="KR303" s="113"/>
      <c r="KS303" s="113"/>
      <c r="KT303" s="113"/>
      <c r="KU303" s="113"/>
      <c r="KV303" s="113"/>
      <c r="KW303" s="113"/>
      <c r="KX303" s="113"/>
      <c r="KY303" s="113"/>
      <c r="KZ303" s="113"/>
      <c r="LA303" s="113"/>
      <c r="LB303" s="113"/>
      <c r="LC303" s="113"/>
      <c r="LD303" s="113"/>
      <c r="LE303" s="113"/>
      <c r="LF303" s="113"/>
      <c r="LG303" s="113"/>
      <c r="LH303" s="113"/>
      <c r="LI303" s="113"/>
      <c r="LJ303" s="113"/>
      <c r="LK303" s="113"/>
      <c r="LL303" s="113"/>
      <c r="LM303" s="113"/>
      <c r="LN303" s="113"/>
      <c r="LO303" s="113"/>
      <c r="LP303" s="113"/>
      <c r="LQ303" s="113"/>
      <c r="LR303" s="113"/>
      <c r="LS303" s="113"/>
      <c r="LT303" s="113"/>
      <c r="LU303" s="113"/>
      <c r="LV303" s="113"/>
      <c r="LW303" s="113"/>
      <c r="LX303" s="113"/>
      <c r="LY303" s="113"/>
      <c r="LZ303" s="113"/>
      <c r="MA303" s="113"/>
      <c r="MB303" s="113"/>
      <c r="MC303" s="113"/>
      <c r="MD303" s="113"/>
      <c r="ME303" s="113"/>
      <c r="MF303" s="113"/>
      <c r="MG303" s="113"/>
      <c r="MH303" s="113"/>
      <c r="MI303" s="113"/>
      <c r="MJ303" s="113"/>
      <c r="MK303" s="113"/>
      <c r="ML303" s="113"/>
      <c r="MM303" s="113"/>
      <c r="MN303" s="113"/>
      <c r="MO303" s="113"/>
      <c r="MP303" s="113"/>
      <c r="MQ303" s="113"/>
      <c r="MR303" s="113"/>
      <c r="MS303" s="113"/>
      <c r="MT303" s="113"/>
      <c r="MU303" s="113"/>
      <c r="MV303" s="113"/>
      <c r="MW303" s="113"/>
      <c r="MX303" s="113"/>
      <c r="MY303" s="113"/>
      <c r="MZ303" s="113"/>
      <c r="NA303" s="113"/>
      <c r="NB303" s="113"/>
      <c r="NC303" s="113"/>
      <c r="ND303" s="113"/>
      <c r="NE303" s="113"/>
      <c r="NF303" s="113"/>
      <c r="NG303" s="113"/>
      <c r="NH303" s="113"/>
      <c r="NI303" s="113"/>
      <c r="NJ303" s="113"/>
      <c r="NK303" s="113"/>
      <c r="NL303" s="113"/>
      <c r="NM303" s="113"/>
      <c r="NN303" s="113"/>
      <c r="NO303" s="113"/>
      <c r="NP303" s="113"/>
      <c r="NQ303" s="113"/>
      <c r="NR303" s="113"/>
      <c r="NS303" s="113"/>
      <c r="NT303" s="113"/>
      <c r="NU303" s="113"/>
      <c r="NV303" s="113"/>
      <c r="NW303" s="113"/>
      <c r="NX303" s="113"/>
      <c r="NY303" s="113"/>
      <c r="NZ303" s="113"/>
      <c r="OA303" s="113"/>
      <c r="OB303" s="113"/>
      <c r="OC303" s="113"/>
      <c r="OD303" s="113"/>
      <c r="OE303" s="113"/>
      <c r="OF303" s="113"/>
      <c r="OG303" s="113"/>
      <c r="OH303" s="113"/>
      <c r="OI303" s="113"/>
      <c r="OJ303" s="113"/>
      <c r="OK303" s="113"/>
      <c r="OL303" s="113"/>
      <c r="OM303" s="113"/>
      <c r="ON303" s="113"/>
      <c r="OO303" s="113"/>
      <c r="OP303" s="113"/>
      <c r="OQ303" s="113"/>
      <c r="OR303" s="113"/>
      <c r="OS303" s="113"/>
      <c r="OT303" s="113"/>
      <c r="OU303" s="113"/>
      <c r="OV303" s="113"/>
      <c r="OW303" s="113"/>
      <c r="OX303" s="113"/>
      <c r="OY303" s="113"/>
      <c r="OZ303" s="113"/>
      <c r="PA303" s="113"/>
      <c r="PB303" s="113"/>
      <c r="PC303" s="113"/>
      <c r="PD303" s="113"/>
      <c r="PE303" s="113"/>
      <c r="PF303" s="113"/>
      <c r="PG303" s="113"/>
      <c r="PH303" s="113"/>
      <c r="PI303" s="113"/>
      <c r="PJ303" s="113"/>
      <c r="PK303" s="113"/>
      <c r="PL303" s="113"/>
      <c r="PM303" s="113"/>
      <c r="PN303" s="113"/>
      <c r="PO303" s="113"/>
      <c r="PP303" s="113"/>
      <c r="PQ303" s="113"/>
      <c r="PR303" s="113"/>
      <c r="PS303" s="113"/>
      <c r="PT303" s="113"/>
      <c r="PU303" s="113"/>
      <c r="PV303" s="113"/>
      <c r="PW303" s="113"/>
      <c r="PX303" s="113"/>
      <c r="PY303" s="113"/>
      <c r="PZ303" s="113"/>
      <c r="QA303" s="113"/>
      <c r="QB303" s="113"/>
      <c r="QC303" s="113"/>
      <c r="QD303" s="113"/>
      <c r="QE303" s="113"/>
      <c r="QF303" s="113"/>
      <c r="QG303" s="113"/>
      <c r="QH303" s="113"/>
      <c r="QI303" s="113"/>
      <c r="QJ303" s="113"/>
      <c r="QK303" s="113"/>
      <c r="QL303" s="113"/>
      <c r="QM303" s="113"/>
      <c r="QN303" s="113"/>
      <c r="QO303" s="113"/>
      <c r="QP303" s="113"/>
      <c r="QQ303" s="113"/>
      <c r="QR303" s="113"/>
      <c r="QS303" s="113"/>
      <c r="QT303" s="113"/>
      <c r="QU303" s="113"/>
      <c r="QV303" s="113"/>
      <c r="QW303" s="113"/>
      <c r="QX303" s="113"/>
      <c r="QY303" s="113"/>
      <c r="QZ303" s="113"/>
      <c r="RA303" s="113"/>
      <c r="RB303" s="113"/>
      <c r="RC303" s="113"/>
      <c r="RD303" s="113"/>
      <c r="RE303" s="113"/>
      <c r="RF303" s="113"/>
      <c r="RG303" s="113"/>
      <c r="RH303" s="113"/>
      <c r="RI303" s="113"/>
      <c r="RJ303" s="113"/>
      <c r="RK303" s="113"/>
      <c r="RL303" s="113"/>
      <c r="RM303" s="113"/>
      <c r="RN303" s="113"/>
      <c r="RO303" s="113"/>
      <c r="RP303" s="113"/>
      <c r="RQ303" s="113"/>
      <c r="RR303" s="113"/>
      <c r="RS303" s="113"/>
      <c r="RT303" s="113"/>
      <c r="RU303" s="113"/>
      <c r="RV303" s="113"/>
      <c r="RW303" s="113"/>
      <c r="RX303" s="113"/>
      <c r="RY303" s="113"/>
      <c r="RZ303" s="113"/>
      <c r="SA303" s="113"/>
      <c r="SB303" s="113"/>
      <c r="SC303" s="113"/>
      <c r="SD303" s="113"/>
      <c r="SE303" s="113"/>
      <c r="SF303" s="113"/>
      <c r="SG303" s="113"/>
      <c r="SH303" s="113"/>
      <c r="SI303" s="113"/>
      <c r="SJ303" s="113"/>
      <c r="SK303" s="113"/>
      <c r="SL303" s="113"/>
      <c r="SM303" s="113"/>
      <c r="SN303" s="113"/>
      <c r="SO303" s="113"/>
      <c r="SP303" s="113"/>
      <c r="SQ303" s="113"/>
      <c r="SR303" s="113"/>
      <c r="SS303" s="113"/>
      <c r="ST303" s="113"/>
      <c r="SU303" s="113"/>
      <c r="SV303" s="113"/>
      <c r="SW303" s="113"/>
      <c r="SX303" s="113"/>
      <c r="SY303" s="113"/>
      <c r="SZ303" s="113"/>
      <c r="TA303" s="113"/>
      <c r="TB303" s="113"/>
      <c r="TC303" s="113"/>
      <c r="TD303" s="113"/>
      <c r="TE303" s="113"/>
      <c r="TF303" s="113"/>
      <c r="TG303" s="113"/>
      <c r="TH303" s="113"/>
      <c r="TI303" s="113"/>
      <c r="TJ303" s="113"/>
      <c r="TK303" s="113"/>
      <c r="TL303" s="113"/>
      <c r="TM303" s="113"/>
      <c r="TN303" s="113"/>
      <c r="TO303" s="113"/>
      <c r="TP303" s="113"/>
      <c r="TQ303" s="113"/>
      <c r="TR303" s="113"/>
      <c r="TS303" s="113"/>
      <c r="TT303" s="113"/>
      <c r="TU303" s="113"/>
      <c r="TV303" s="113"/>
      <c r="TW303" s="113"/>
      <c r="TX303" s="113"/>
      <c r="TY303" s="113"/>
      <c r="TZ303" s="113"/>
      <c r="UA303" s="113"/>
      <c r="UB303" s="113"/>
      <c r="UC303" s="113"/>
      <c r="UD303" s="113"/>
      <c r="UE303" s="113"/>
      <c r="UF303" s="113"/>
      <c r="UG303" s="113"/>
      <c r="UH303" s="113"/>
      <c r="UI303" s="113"/>
      <c r="UJ303" s="113"/>
      <c r="UK303" s="113"/>
      <c r="UL303" s="113"/>
      <c r="UM303" s="113"/>
      <c r="UN303" s="113"/>
      <c r="UO303" s="113"/>
      <c r="UP303" s="113"/>
      <c r="UQ303" s="113"/>
      <c r="UR303" s="113"/>
      <c r="US303" s="113"/>
      <c r="UT303" s="113"/>
      <c r="UU303" s="113"/>
      <c r="UV303" s="113"/>
      <c r="UW303" s="113"/>
      <c r="UX303" s="113"/>
      <c r="UY303" s="113"/>
      <c r="UZ303" s="113"/>
      <c r="VA303" s="113"/>
      <c r="VB303" s="113"/>
      <c r="VC303" s="113"/>
      <c r="VD303" s="113"/>
      <c r="VE303" s="113"/>
      <c r="VF303" s="113"/>
      <c r="VG303" s="113"/>
      <c r="VH303" s="113"/>
      <c r="VI303" s="113"/>
      <c r="VJ303" s="113"/>
      <c r="VK303" s="113"/>
      <c r="VL303" s="113"/>
      <c r="VM303" s="113"/>
      <c r="VN303" s="113"/>
      <c r="VO303" s="113"/>
      <c r="VP303" s="113"/>
      <c r="VQ303" s="113"/>
      <c r="VR303" s="113"/>
      <c r="VS303" s="113"/>
      <c r="VT303" s="113"/>
      <c r="VU303" s="113"/>
      <c r="VV303" s="113"/>
      <c r="VW303" s="113"/>
      <c r="VX303" s="113"/>
      <c r="VY303" s="113"/>
      <c r="VZ303" s="113"/>
      <c r="WA303" s="113"/>
      <c r="WB303" s="113"/>
      <c r="WC303" s="113"/>
      <c r="WD303" s="113"/>
      <c r="WE303" s="113"/>
      <c r="WF303" s="113"/>
      <c r="WG303" s="113"/>
      <c r="WH303" s="113"/>
      <c r="WI303" s="113"/>
      <c r="WJ303" s="113"/>
      <c r="WK303" s="113"/>
      <c r="WL303" s="113"/>
      <c r="WM303" s="113"/>
      <c r="WN303" s="113"/>
      <c r="WO303" s="113"/>
      <c r="WP303" s="113"/>
      <c r="WQ303" s="113"/>
      <c r="WR303" s="113"/>
      <c r="WS303" s="113"/>
      <c r="WT303" s="113"/>
      <c r="WU303" s="113"/>
      <c r="WV303" s="113"/>
      <c r="WW303" s="113"/>
      <c r="WX303" s="113"/>
      <c r="WY303" s="113"/>
      <c r="WZ303" s="113"/>
      <c r="XA303" s="113"/>
      <c r="XB303" s="113"/>
      <c r="XC303" s="113"/>
      <c r="XD303" s="113"/>
      <c r="XE303" s="113"/>
      <c r="XF303" s="113"/>
      <c r="XG303" s="113"/>
      <c r="XH303" s="113"/>
      <c r="XI303" s="113"/>
      <c r="XJ303" s="113"/>
      <c r="XK303" s="113"/>
      <c r="XL303" s="113"/>
      <c r="XM303" s="113"/>
      <c r="XN303" s="113"/>
      <c r="XO303" s="113"/>
      <c r="XP303" s="113"/>
      <c r="XQ303" s="113"/>
      <c r="XR303" s="113"/>
      <c r="XS303" s="113"/>
      <c r="XT303" s="113"/>
      <c r="XU303" s="113"/>
      <c r="XV303" s="113"/>
      <c r="XW303" s="113"/>
      <c r="XX303" s="113"/>
      <c r="XY303" s="113"/>
      <c r="XZ303" s="113"/>
      <c r="YA303" s="113"/>
      <c r="YB303" s="113"/>
      <c r="YC303" s="113"/>
      <c r="YD303" s="113"/>
      <c r="YE303" s="113"/>
      <c r="YF303" s="113"/>
      <c r="YG303" s="113"/>
      <c r="YH303" s="113"/>
      <c r="YI303" s="113"/>
      <c r="YJ303" s="113"/>
      <c r="YK303" s="113"/>
      <c r="YL303" s="113"/>
      <c r="YM303" s="113"/>
      <c r="YN303" s="113"/>
      <c r="YO303" s="113"/>
      <c r="YP303" s="113"/>
      <c r="YQ303" s="113"/>
      <c r="YR303" s="113"/>
      <c r="YS303" s="113"/>
      <c r="YT303" s="113"/>
      <c r="YU303" s="113"/>
      <c r="YV303" s="113"/>
      <c r="YW303" s="113"/>
      <c r="YX303" s="113"/>
      <c r="YY303" s="113"/>
      <c r="YZ303" s="113"/>
      <c r="ZA303" s="113"/>
      <c r="ZB303" s="113"/>
      <c r="ZC303" s="113"/>
      <c r="ZD303" s="113"/>
      <c r="ZE303" s="113"/>
      <c r="ZF303" s="113"/>
      <c r="ZG303" s="113"/>
      <c r="ZH303" s="113"/>
      <c r="ZI303" s="113"/>
      <c r="ZJ303" s="113"/>
      <c r="ZK303" s="113"/>
      <c r="ZL303" s="113"/>
      <c r="ZM303" s="113"/>
      <c r="ZN303" s="113"/>
      <c r="ZO303" s="113"/>
      <c r="ZP303" s="113"/>
      <c r="ZQ303" s="113"/>
      <c r="ZR303" s="113"/>
      <c r="ZS303" s="113"/>
      <c r="ZT303" s="113"/>
      <c r="ZU303" s="113"/>
      <c r="ZV303" s="113"/>
      <c r="ZW303" s="113"/>
      <c r="ZX303" s="113"/>
      <c r="ZY303" s="113"/>
      <c r="ZZ303" s="113"/>
      <c r="AAA303" s="113"/>
      <c r="AAB303" s="113"/>
      <c r="AAC303" s="113"/>
      <c r="AAD303" s="113"/>
      <c r="AAE303" s="113"/>
      <c r="AAF303" s="113"/>
      <c r="AAG303" s="113"/>
      <c r="AAH303" s="113"/>
      <c r="AAI303" s="113"/>
      <c r="AAJ303" s="113"/>
      <c r="AAK303" s="113"/>
      <c r="AAL303" s="113"/>
      <c r="AAM303" s="113"/>
      <c r="AAN303" s="113"/>
      <c r="AAO303" s="113"/>
      <c r="AAP303" s="113"/>
      <c r="AAQ303" s="113"/>
      <c r="AAR303" s="113"/>
      <c r="AAS303" s="113"/>
      <c r="AAT303" s="113"/>
      <c r="AAU303" s="113"/>
      <c r="AAV303" s="113"/>
      <c r="AAW303" s="113"/>
      <c r="AAX303" s="113"/>
      <c r="AAY303" s="113"/>
      <c r="AAZ303" s="113"/>
      <c r="ABA303" s="113"/>
      <c r="ABB303" s="113"/>
      <c r="ABC303" s="113"/>
      <c r="ABD303" s="113"/>
      <c r="ABE303" s="113"/>
      <c r="ABF303" s="113"/>
      <c r="ABG303" s="113"/>
      <c r="ABH303" s="113"/>
      <c r="ABI303" s="113"/>
      <c r="ABJ303" s="113"/>
      <c r="ABK303" s="113"/>
      <c r="ABL303" s="113"/>
      <c r="ABM303" s="113"/>
      <c r="ABN303" s="113"/>
      <c r="ABO303" s="113"/>
      <c r="ABP303" s="113"/>
      <c r="ABQ303" s="113"/>
      <c r="ABR303" s="113"/>
      <c r="ABS303" s="113"/>
      <c r="ABT303" s="113"/>
      <c r="ABU303" s="113"/>
      <c r="ABV303" s="113"/>
      <c r="ABW303" s="113"/>
      <c r="ABX303" s="113"/>
      <c r="ABY303" s="113"/>
      <c r="ABZ303" s="113"/>
      <c r="ACA303" s="113"/>
      <c r="ACB303" s="113"/>
      <c r="ACC303" s="113"/>
      <c r="ACD303" s="113"/>
      <c r="ACE303" s="113"/>
      <c r="ACF303" s="113"/>
      <c r="ACG303" s="113"/>
      <c r="ACH303" s="113"/>
      <c r="ACI303" s="113"/>
      <c r="ACJ303" s="113"/>
      <c r="ACK303" s="113"/>
      <c r="ACL303" s="113"/>
      <c r="ACM303" s="113"/>
      <c r="ACN303" s="113"/>
      <c r="ACO303" s="113"/>
      <c r="ACP303" s="113"/>
      <c r="ACQ303" s="113"/>
      <c r="ACR303" s="113"/>
      <c r="ACS303" s="113"/>
      <c r="ACT303" s="113"/>
      <c r="ACU303" s="113"/>
      <c r="ACV303" s="113"/>
      <c r="ACW303" s="113"/>
      <c r="ACX303" s="113"/>
      <c r="ACY303" s="113"/>
      <c r="ACZ303" s="113"/>
      <c r="ADA303" s="113"/>
      <c r="ADB303" s="113"/>
      <c r="ADC303" s="113"/>
      <c r="ADD303" s="113"/>
      <c r="ADE303" s="113"/>
      <c r="ADF303" s="113"/>
      <c r="ADG303" s="113"/>
      <c r="ADH303" s="113"/>
      <c r="ADI303" s="113"/>
      <c r="ADJ303" s="113"/>
      <c r="ADK303" s="113"/>
      <c r="ADL303" s="113"/>
      <c r="ADM303" s="113"/>
      <c r="ADN303" s="113"/>
      <c r="ADO303" s="113"/>
      <c r="ADP303" s="113"/>
      <c r="ADQ303" s="113"/>
      <c r="ADR303" s="113"/>
      <c r="ADS303" s="113"/>
      <c r="ADT303" s="113"/>
      <c r="ADU303" s="113"/>
      <c r="ADV303" s="113"/>
      <c r="ADW303" s="113"/>
      <c r="ADX303" s="113"/>
      <c r="ADY303" s="113"/>
      <c r="ADZ303" s="113"/>
      <c r="AEA303" s="113"/>
      <c r="AEB303" s="113"/>
      <c r="AEC303" s="113"/>
      <c r="AED303" s="113"/>
      <c r="AEE303" s="113"/>
      <c r="AEF303" s="113"/>
      <c r="AEG303" s="113"/>
      <c r="AEH303" s="113"/>
      <c r="AEI303" s="113"/>
      <c r="AEJ303" s="113"/>
      <c r="AEK303" s="113"/>
      <c r="AEL303" s="113"/>
      <c r="AEM303" s="113"/>
      <c r="AEN303" s="113"/>
      <c r="AEO303" s="113"/>
      <c r="AEP303" s="113"/>
      <c r="AEQ303" s="113"/>
      <c r="AER303" s="113"/>
      <c r="AES303" s="113"/>
      <c r="AET303" s="113"/>
      <c r="AEU303" s="113"/>
      <c r="AEV303" s="113"/>
      <c r="AEW303" s="113"/>
      <c r="AEX303" s="113"/>
      <c r="AEY303" s="113"/>
      <c r="AEZ303" s="113"/>
      <c r="AFA303" s="113"/>
      <c r="AFB303" s="113"/>
      <c r="AFC303" s="113"/>
      <c r="AFD303" s="113"/>
      <c r="AFE303" s="113"/>
      <c r="AFF303" s="113"/>
      <c r="AFG303" s="113"/>
      <c r="AFH303" s="113"/>
      <c r="AFI303" s="113"/>
      <c r="AFJ303" s="113"/>
      <c r="AFK303" s="113"/>
      <c r="AFL303" s="113"/>
      <c r="AFM303" s="113"/>
      <c r="AFN303" s="113"/>
      <c r="AFO303" s="113"/>
      <c r="AFP303" s="113"/>
      <c r="AFQ303" s="113"/>
      <c r="AFR303" s="113"/>
      <c r="AFS303" s="113"/>
      <c r="AFT303" s="113"/>
      <c r="AFU303" s="113"/>
      <c r="AFV303" s="113"/>
      <c r="AFW303" s="113"/>
      <c r="AFX303" s="113"/>
      <c r="AFY303" s="113"/>
      <c r="AFZ303" s="113"/>
      <c r="AGA303" s="113"/>
      <c r="AGB303" s="113"/>
      <c r="AGC303" s="113"/>
      <c r="AGD303" s="113"/>
      <c r="AGE303" s="113"/>
      <c r="AGF303" s="113"/>
      <c r="AGG303" s="113"/>
      <c r="AGH303" s="113"/>
      <c r="AGI303" s="113"/>
      <c r="AGJ303" s="113"/>
      <c r="AGK303" s="113"/>
      <c r="AGL303" s="113"/>
      <c r="AGM303" s="113"/>
      <c r="AGN303" s="113"/>
      <c r="AGO303" s="113"/>
      <c r="AGP303" s="113"/>
      <c r="AGQ303" s="113"/>
      <c r="AGR303" s="113"/>
      <c r="AGS303" s="113"/>
      <c r="AGT303" s="113"/>
      <c r="AGU303" s="113"/>
      <c r="AGV303" s="113"/>
      <c r="AGW303" s="113"/>
      <c r="AGX303" s="113"/>
      <c r="AGY303" s="113"/>
      <c r="AGZ303" s="113"/>
      <c r="AHA303" s="113"/>
      <c r="AHB303" s="113"/>
      <c r="AHC303" s="113"/>
      <c r="AHD303" s="113"/>
      <c r="AHE303" s="113"/>
      <c r="AHF303" s="113"/>
      <c r="AHG303" s="113"/>
      <c r="AHH303" s="113"/>
      <c r="AHI303" s="113"/>
      <c r="AHJ303" s="113"/>
      <c r="AHK303" s="113"/>
      <c r="AHL303" s="113"/>
      <c r="AHM303" s="113"/>
      <c r="AHN303" s="113"/>
      <c r="AHO303" s="113"/>
      <c r="AHP303" s="113"/>
      <c r="AHQ303" s="113"/>
      <c r="AHR303" s="113"/>
      <c r="AHS303" s="113"/>
      <c r="AHT303" s="113"/>
      <c r="AHU303" s="113"/>
      <c r="AHV303" s="113"/>
      <c r="AHW303" s="113"/>
      <c r="AHX303" s="113"/>
      <c r="AHY303" s="113"/>
      <c r="AHZ303" s="113"/>
      <c r="AIA303" s="113"/>
      <c r="AIB303" s="113"/>
      <c r="AIC303" s="113"/>
      <c r="AID303" s="113"/>
      <c r="AIE303" s="113"/>
      <c r="AIF303" s="113"/>
      <c r="AIG303" s="113"/>
      <c r="AIH303" s="113"/>
      <c r="AII303" s="113"/>
      <c r="AIJ303" s="113"/>
      <c r="AIK303" s="113"/>
      <c r="AIL303" s="113"/>
      <c r="AIM303" s="113"/>
      <c r="AIN303" s="113"/>
      <c r="AIO303" s="113"/>
      <c r="AIP303" s="113"/>
      <c r="AIQ303" s="113"/>
      <c r="AIR303" s="113"/>
      <c r="AIS303" s="113"/>
      <c r="AIT303" s="113"/>
      <c r="AIU303" s="113"/>
      <c r="AIV303" s="113"/>
      <c r="AIW303" s="113"/>
      <c r="AIX303" s="113"/>
      <c r="AIY303" s="113"/>
      <c r="AIZ303" s="113"/>
    </row>
    <row r="304">
      <c r="A304" s="65" t="s">
        <v>17</v>
      </c>
      <c r="B304" s="65" t="s">
        <v>85</v>
      </c>
      <c r="C304" s="65"/>
      <c r="D304" s="64">
        <f t="shared" si="1"/>
        <v>457.1075</v>
      </c>
      <c r="G304" s="65">
        <v>9.50828333333334</v>
      </c>
      <c r="H304" s="65">
        <v>29.71265</v>
      </c>
      <c r="I304" s="65">
        <v>2.87673333333333</v>
      </c>
      <c r="N304" s="65">
        <v>12.5548833333333</v>
      </c>
      <c r="R304" s="65">
        <v>17.5375333333333</v>
      </c>
      <c r="S304" s="65">
        <v>49.8464166666667</v>
      </c>
      <c r="T304" s="65">
        <v>11.5518333333333</v>
      </c>
      <c r="U304" s="65">
        <v>2.40821666666667</v>
      </c>
      <c r="Y304" s="65">
        <v>6.46763333333333</v>
      </c>
      <c r="Z304" s="65">
        <v>22.5850833333333</v>
      </c>
      <c r="AA304" s="65">
        <v>2.45131666666667</v>
      </c>
      <c r="AF304" s="65">
        <v>17.5451333333333</v>
      </c>
      <c r="AG304" s="65">
        <v>96.282</v>
      </c>
      <c r="AH304" s="65">
        <v>60.2155666666668</v>
      </c>
      <c r="AI304" s="65">
        <v>8.02336666666667</v>
      </c>
      <c r="AL304" s="65">
        <v>12.9001333333333</v>
      </c>
      <c r="AM304" s="65">
        <v>0.0806</v>
      </c>
      <c r="AQ304" s="65">
        <v>40.0419333333333</v>
      </c>
      <c r="AR304" s="65">
        <v>1.61145</v>
      </c>
      <c r="AU304" s="65">
        <v>52.9067333333333</v>
      </c>
    </row>
    <row r="305">
      <c r="A305" s="65" t="s">
        <v>17</v>
      </c>
      <c r="B305" s="65" t="s">
        <v>85</v>
      </c>
      <c r="C305" s="65"/>
      <c r="D305" s="64">
        <f t="shared" si="1"/>
        <v>0</v>
      </c>
    </row>
    <row r="306">
      <c r="A306" s="65" t="s">
        <v>17</v>
      </c>
      <c r="B306" s="65" t="s">
        <v>85</v>
      </c>
      <c r="C306" s="65"/>
      <c r="D306" s="64">
        <f t="shared" si="1"/>
        <v>455.8249167</v>
      </c>
      <c r="G306" s="118">
        <f>HYPERLINK("https://docs.google.com/spreadsheets/d/1WMJBQ5tMTtxHZfo0XvZqL36kaL1YgMfX", 9.50828333333333)</f>
        <v>9.508283333</v>
      </c>
      <c r="H306" s="118">
        <f>HYPERLINK("https://docs.google.com/spreadsheets/d/18UmQHbameRCw_RKj3idUCBAhZuDnZhc_", 29.7126333333333)</f>
        <v>29.71263333</v>
      </c>
      <c r="I306" s="118">
        <f>HYPERLINK("https://docs.google.com/spreadsheets/d/1zaPewaSde_DSt5XE1Ma8XifmRNZ1y3i4", 2.87673333333333)</f>
        <v>2.876733333</v>
      </c>
      <c r="N306" s="118">
        <f>HYPERLINK("https://docs.google.com/spreadsheets/d/14ZaFfeYJW36milLedNqZyGZemkd3Aaa2", 12.5548833333333)</f>
        <v>12.55488333</v>
      </c>
      <c r="R306" s="118">
        <f>HYPERLINK("https://docs.google.com/spreadsheets/d/1nzsyYLkoeZ3mTLj6KG7LDk6JUA-vDt2e", 17.32015)</f>
        <v>17.32015</v>
      </c>
      <c r="S306" s="118">
        <f>HYPERLINK("https://docs.google.com/spreadsheets/d/18nuc4Q3uSTFFsYRKj2Lqb_kszR4HaqBR", 49.8464)</f>
        <v>49.8464</v>
      </c>
      <c r="T306" s="118">
        <f>HYPERLINK("https://docs.google.com/spreadsheets/d/1lgcrQ1EHtjnB6Di5hp2umFe8dsoQQnfx", 11.5518333333333)</f>
        <v>11.55183333</v>
      </c>
      <c r="U306" s="118">
        <f>HYPERLINK("https://docs.google.com/spreadsheets/d/14IS-mnDwKYRgms-0PExQRYUzaRrMjwrP", 2.40821666666667)</f>
        <v>2.408216667</v>
      </c>
      <c r="Y306" s="118">
        <f>HYPERLINK("https://docs.google.com/spreadsheets/d/16T6bpH4BiYO0Oh_3SpPmIhslO6THkMTq", 6.46761666666667)</f>
        <v>6.467616667</v>
      </c>
      <c r="Z306" s="118">
        <f>HYPERLINK("https://docs.google.com/spreadsheets/d/12LFkgEFICl2glKAiwUN51r74YMn89IHR", 22.5850833333333)</f>
        <v>22.58508333</v>
      </c>
      <c r="AA306" s="118">
        <f>HYPERLINK("https://docs.google.com/spreadsheets/d/1tUWnBs-MAbfJxyPLDQgSVk9QgkpWkD_D", 2.4513)</f>
        <v>2.4513</v>
      </c>
      <c r="AF306" s="118">
        <f>HYPERLINK("https://docs.google.com/spreadsheets/d/1jl2CWpNa4kp1EgZ9PROJl-8IoegXHLCL", 17.3662666666667)</f>
        <v>17.36626667</v>
      </c>
      <c r="AG306" s="118">
        <f>HYPERLINK("https://docs.google.com/spreadsheets/d/1UmRV5EVRCq58LxFJVYTVFt2VpcADcHgS", 96.1639333333333)</f>
        <v>96.16393333</v>
      </c>
      <c r="AH306" s="118">
        <f>HYPERLINK("https://docs.google.com/spreadsheets/d/1A4dmcurey0bDtoJAQyT0t7k26zdp3GuG", 60.2155666666668)</f>
        <v>60.21556667</v>
      </c>
      <c r="AI306" s="118">
        <f>HYPERLINK("https://docs.google.com/spreadsheets/d/14ZlzEE0laxrCQs544qC005X_EuI4e43p", 8.02335)</f>
        <v>8.02335</v>
      </c>
      <c r="AL306" s="118">
        <f>HYPERLINK("https://docs.google.com/spreadsheets/d/1x2pMXYvzwRQIchRyWxzqs9ge93IYsTPf", 12.9001166666667)</f>
        <v>12.90011667</v>
      </c>
      <c r="AM306" s="118">
        <f>HYPERLINK("https://docs.google.com/spreadsheets/d/10vC30LIq1e7HrQahBW6XHuKuLVwmBdN0", 0.0806)</f>
        <v>0.0806</v>
      </c>
      <c r="AQ306" s="118">
        <f>HYPERLINK("https://docs.google.com/spreadsheets/d/1jxgB43pmPuB2f4Shbog38i1iS83pKzzy", 39.7272)</f>
        <v>39.7272</v>
      </c>
      <c r="AR306" s="118">
        <f>HYPERLINK("https://docs.google.com/spreadsheets/d/1vZs-s86rw5G1zJs3JFZbL1DBoj7xMbe3", 1.58368333333333)</f>
        <v>1.583683333</v>
      </c>
      <c r="AU306" s="118">
        <f>HYPERLINK("https://docs.google.com/spreadsheets/d/1gI6t3OIBIUS49CPCdIi6PWwZ9E7NWwDR", 52.4810666666667)</f>
        <v>52.48106667</v>
      </c>
    </row>
    <row r="307">
      <c r="A307" s="65" t="s">
        <v>17</v>
      </c>
      <c r="B307" s="65" t="s">
        <v>85</v>
      </c>
      <c r="C307" s="65"/>
      <c r="D307" s="64">
        <f t="shared" si="1"/>
        <v>316.60025</v>
      </c>
      <c r="G307" s="65">
        <v>5.83081666666667</v>
      </c>
      <c r="H307" s="65">
        <v>12.69225</v>
      </c>
      <c r="I307" s="65">
        <v>1.08966666666667</v>
      </c>
      <c r="N307" s="65">
        <v>7.53298333333333</v>
      </c>
      <c r="R307" s="65">
        <v>7.68678333333333</v>
      </c>
      <c r="S307" s="65">
        <v>25.6646</v>
      </c>
      <c r="T307" s="65">
        <v>8.80615</v>
      </c>
      <c r="U307" s="65">
        <v>1.56015</v>
      </c>
      <c r="Y307" s="65">
        <v>1.51188333333333</v>
      </c>
      <c r="Z307" s="65">
        <v>14.4107</v>
      </c>
      <c r="AA307" s="65">
        <v>2.09636666666667</v>
      </c>
      <c r="AF307" s="65">
        <v>14.5904333333333</v>
      </c>
      <c r="AG307" s="65">
        <v>79.2309333333333</v>
      </c>
      <c r="AH307" s="65">
        <v>46.4852833333334</v>
      </c>
      <c r="AI307" s="65">
        <v>4.72978333333333</v>
      </c>
      <c r="AL307" s="65">
        <v>9.50581666666667</v>
      </c>
      <c r="AM307" s="65">
        <v>0.0806</v>
      </c>
      <c r="AQ307" s="65">
        <v>26.73735</v>
      </c>
      <c r="AR307" s="65">
        <v>1.2574</v>
      </c>
      <c r="AU307" s="65">
        <v>45.1003</v>
      </c>
    </row>
    <row r="308">
      <c r="A308" s="119" t="s">
        <v>17</v>
      </c>
      <c r="B308" s="119" t="s">
        <v>85</v>
      </c>
      <c r="C308" s="119"/>
      <c r="D308" s="120">
        <f t="shared" si="1"/>
        <v>0</v>
      </c>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c r="AA308" s="120"/>
      <c r="AB308" s="120"/>
      <c r="AC308" s="120"/>
      <c r="AD308" s="120"/>
      <c r="AE308" s="120"/>
      <c r="AF308" s="120"/>
      <c r="AG308" s="120"/>
      <c r="AH308" s="120"/>
      <c r="AI308" s="120"/>
      <c r="AJ308" s="120"/>
      <c r="AK308" s="120"/>
      <c r="AL308" s="120"/>
      <c r="AM308" s="120"/>
      <c r="AN308" s="120"/>
      <c r="AO308" s="120"/>
      <c r="AP308" s="120"/>
      <c r="AQ308" s="120"/>
      <c r="AR308" s="120"/>
      <c r="AS308" s="120"/>
      <c r="AT308" s="120"/>
      <c r="AU308" s="120"/>
      <c r="AV308" s="120"/>
      <c r="AW308" s="120"/>
      <c r="AX308" s="120"/>
      <c r="AY308" s="120"/>
      <c r="AZ308" s="120"/>
      <c r="BA308" s="120"/>
      <c r="BB308" s="120"/>
      <c r="BC308" s="120"/>
      <c r="BD308" s="120"/>
      <c r="BE308" s="120"/>
      <c r="BF308" s="120"/>
      <c r="BG308" s="120"/>
      <c r="BH308" s="120"/>
      <c r="BI308" s="120"/>
      <c r="BJ308" s="120"/>
      <c r="BK308" s="120"/>
      <c r="BL308" s="120"/>
      <c r="BM308" s="120"/>
      <c r="BN308" s="120"/>
      <c r="BO308" s="120"/>
      <c r="BP308" s="120"/>
      <c r="BQ308" s="120"/>
      <c r="BR308" s="120"/>
      <c r="BS308" s="120"/>
      <c r="BT308" s="120"/>
      <c r="BU308" s="120"/>
      <c r="BV308" s="120"/>
      <c r="BW308" s="120"/>
      <c r="BX308" s="120"/>
      <c r="BY308" s="120"/>
      <c r="BZ308" s="120"/>
      <c r="CA308" s="120"/>
      <c r="CB308" s="120"/>
      <c r="CC308" s="120"/>
      <c r="CD308" s="120"/>
      <c r="CE308" s="120"/>
      <c r="CF308" s="120"/>
      <c r="CG308" s="120"/>
      <c r="CH308" s="120"/>
      <c r="CI308" s="120"/>
      <c r="CJ308" s="120"/>
      <c r="CK308" s="120"/>
      <c r="CL308" s="120"/>
      <c r="CM308" s="120"/>
      <c r="CN308" s="120"/>
      <c r="CO308" s="120"/>
      <c r="CP308" s="120"/>
      <c r="CQ308" s="120"/>
      <c r="CR308" s="120"/>
      <c r="CS308" s="120"/>
      <c r="CT308" s="120"/>
      <c r="CU308" s="120"/>
      <c r="CV308" s="120"/>
      <c r="CW308" s="120"/>
      <c r="CX308" s="120"/>
      <c r="CY308" s="120"/>
      <c r="CZ308" s="120"/>
      <c r="DA308" s="120"/>
      <c r="DB308" s="120"/>
      <c r="DC308" s="120"/>
      <c r="DD308" s="120"/>
      <c r="DE308" s="120"/>
      <c r="DF308" s="120"/>
      <c r="DG308" s="120"/>
      <c r="DH308" s="120"/>
      <c r="DI308" s="120"/>
      <c r="DJ308" s="120"/>
      <c r="DK308" s="120"/>
      <c r="DL308" s="120"/>
      <c r="DM308" s="120"/>
      <c r="DN308" s="120"/>
      <c r="DO308" s="120"/>
      <c r="DP308" s="120"/>
      <c r="DQ308" s="120"/>
      <c r="DR308" s="120"/>
      <c r="DS308" s="120"/>
      <c r="DT308" s="120"/>
      <c r="DU308" s="120"/>
      <c r="DV308" s="120"/>
      <c r="DW308" s="120"/>
      <c r="DX308" s="120"/>
      <c r="DY308" s="120"/>
      <c r="DZ308" s="120"/>
      <c r="EA308" s="120"/>
      <c r="EB308" s="120"/>
      <c r="EC308" s="120"/>
      <c r="ED308" s="120"/>
      <c r="EE308" s="120"/>
      <c r="EF308" s="120"/>
      <c r="EG308" s="120"/>
      <c r="EH308" s="120"/>
      <c r="EI308" s="120"/>
      <c r="EJ308" s="120"/>
      <c r="EK308" s="120"/>
      <c r="EL308" s="120"/>
      <c r="EM308" s="120"/>
      <c r="EN308" s="120"/>
      <c r="EO308" s="120"/>
      <c r="EP308" s="120"/>
      <c r="EQ308" s="120"/>
      <c r="ER308" s="120"/>
      <c r="ES308" s="120"/>
      <c r="ET308" s="120"/>
      <c r="EU308" s="120"/>
      <c r="EV308" s="120"/>
      <c r="EW308" s="120"/>
      <c r="EX308" s="120"/>
      <c r="EY308" s="120"/>
      <c r="EZ308" s="120"/>
      <c r="FA308" s="120"/>
      <c r="FB308" s="120"/>
      <c r="FC308" s="120"/>
      <c r="FD308" s="120"/>
      <c r="FE308" s="120"/>
      <c r="FF308" s="120"/>
      <c r="FG308" s="120"/>
      <c r="FH308" s="120"/>
      <c r="FI308" s="120"/>
      <c r="FJ308" s="120"/>
      <c r="FK308" s="120"/>
      <c r="FL308" s="120"/>
      <c r="FM308" s="120"/>
      <c r="FN308" s="120"/>
      <c r="FO308" s="120"/>
      <c r="FP308" s="120"/>
      <c r="FQ308" s="120"/>
      <c r="FR308" s="120"/>
      <c r="FS308" s="120"/>
      <c r="FT308" s="120"/>
      <c r="FU308" s="120"/>
      <c r="FV308" s="120"/>
      <c r="FW308" s="120"/>
      <c r="FX308" s="120"/>
      <c r="FY308" s="120"/>
      <c r="FZ308" s="120"/>
      <c r="GA308" s="120"/>
      <c r="GB308" s="120"/>
      <c r="GC308" s="120"/>
      <c r="GD308" s="120"/>
      <c r="GE308" s="120"/>
      <c r="GF308" s="120"/>
      <c r="GG308" s="120"/>
      <c r="GH308" s="120"/>
      <c r="GI308" s="120"/>
      <c r="GJ308" s="120"/>
      <c r="GK308" s="120"/>
      <c r="GL308" s="120"/>
      <c r="GM308" s="120"/>
      <c r="GN308" s="120"/>
      <c r="GO308" s="120"/>
      <c r="GP308" s="120"/>
      <c r="GQ308" s="120"/>
      <c r="GR308" s="120"/>
      <c r="GS308" s="120"/>
      <c r="GT308" s="120"/>
      <c r="GU308" s="120"/>
      <c r="GV308" s="120"/>
      <c r="GW308" s="120"/>
      <c r="GX308" s="120"/>
      <c r="GY308" s="120"/>
      <c r="GZ308" s="120"/>
      <c r="HA308" s="120"/>
      <c r="HB308" s="120"/>
      <c r="HC308" s="120"/>
      <c r="HD308" s="120"/>
      <c r="HE308" s="120"/>
      <c r="HF308" s="120"/>
      <c r="HG308" s="120"/>
      <c r="HH308" s="120"/>
      <c r="HI308" s="120"/>
      <c r="HJ308" s="120"/>
      <c r="HK308" s="120"/>
      <c r="HL308" s="120"/>
      <c r="HM308" s="120"/>
      <c r="HN308" s="120"/>
      <c r="HO308" s="120"/>
      <c r="HP308" s="120"/>
      <c r="HQ308" s="120"/>
      <c r="HR308" s="120"/>
      <c r="HS308" s="120"/>
      <c r="HT308" s="120"/>
      <c r="HU308" s="120"/>
      <c r="HV308" s="120"/>
      <c r="HW308" s="120"/>
      <c r="HX308" s="120"/>
      <c r="HY308" s="120"/>
      <c r="HZ308" s="120"/>
      <c r="IA308" s="120"/>
      <c r="IB308" s="120"/>
      <c r="IC308" s="120"/>
      <c r="ID308" s="120"/>
      <c r="IE308" s="120"/>
      <c r="IF308" s="120"/>
      <c r="IG308" s="120"/>
      <c r="IH308" s="120"/>
      <c r="II308" s="120"/>
      <c r="IJ308" s="120"/>
      <c r="IK308" s="120"/>
      <c r="IL308" s="120"/>
      <c r="IM308" s="120"/>
      <c r="IN308" s="120"/>
      <c r="IO308" s="120"/>
      <c r="IP308" s="120"/>
      <c r="IQ308" s="120"/>
      <c r="IR308" s="120"/>
      <c r="IS308" s="120"/>
      <c r="IT308" s="120"/>
      <c r="IU308" s="120"/>
      <c r="IV308" s="120"/>
      <c r="IW308" s="120"/>
      <c r="IX308" s="120"/>
      <c r="IY308" s="120"/>
      <c r="IZ308" s="120"/>
      <c r="JA308" s="120"/>
      <c r="JB308" s="120"/>
      <c r="JC308" s="120"/>
      <c r="JD308" s="120"/>
      <c r="JE308" s="120"/>
      <c r="JF308" s="120"/>
      <c r="JG308" s="120"/>
      <c r="JH308" s="120"/>
      <c r="JI308" s="120"/>
      <c r="JJ308" s="120"/>
      <c r="JK308" s="120"/>
      <c r="JL308" s="120"/>
      <c r="JM308" s="120"/>
      <c r="JN308" s="120"/>
      <c r="JO308" s="120"/>
      <c r="JP308" s="120"/>
      <c r="JQ308" s="120"/>
      <c r="JR308" s="120"/>
      <c r="JS308" s="120"/>
      <c r="JT308" s="120"/>
      <c r="JU308" s="120"/>
      <c r="JV308" s="120"/>
      <c r="JW308" s="120"/>
      <c r="JX308" s="120"/>
      <c r="JY308" s="120"/>
      <c r="JZ308" s="120"/>
      <c r="KA308" s="120"/>
      <c r="KB308" s="120"/>
      <c r="KC308" s="120"/>
      <c r="KD308" s="120"/>
      <c r="KE308" s="120"/>
      <c r="KF308" s="120"/>
      <c r="KG308" s="120"/>
      <c r="KH308" s="120"/>
      <c r="KI308" s="120"/>
      <c r="KJ308" s="120"/>
      <c r="KK308" s="120"/>
      <c r="KL308" s="120"/>
      <c r="KM308" s="120"/>
      <c r="KN308" s="120"/>
      <c r="KO308" s="120"/>
      <c r="KP308" s="120"/>
      <c r="KQ308" s="120"/>
      <c r="KR308" s="120"/>
      <c r="KS308" s="120"/>
      <c r="KT308" s="120"/>
      <c r="KU308" s="120"/>
      <c r="KV308" s="120"/>
      <c r="KW308" s="120"/>
      <c r="KX308" s="120"/>
      <c r="KY308" s="120"/>
      <c r="KZ308" s="120"/>
      <c r="LA308" s="120"/>
      <c r="LB308" s="120"/>
      <c r="LC308" s="120"/>
      <c r="LD308" s="120"/>
      <c r="LE308" s="120"/>
      <c r="LF308" s="120"/>
      <c r="LG308" s="120"/>
      <c r="LH308" s="120"/>
      <c r="LI308" s="120"/>
      <c r="LJ308" s="120"/>
      <c r="LK308" s="120"/>
      <c r="LL308" s="120"/>
      <c r="LM308" s="120"/>
      <c r="LN308" s="120"/>
      <c r="LO308" s="120"/>
      <c r="LP308" s="120"/>
      <c r="LQ308" s="120"/>
      <c r="LR308" s="120"/>
      <c r="LS308" s="120"/>
      <c r="LT308" s="120"/>
      <c r="LU308" s="120"/>
      <c r="LV308" s="120"/>
      <c r="LW308" s="120"/>
      <c r="LX308" s="120"/>
      <c r="LY308" s="120"/>
      <c r="LZ308" s="120"/>
      <c r="MA308" s="120"/>
      <c r="MB308" s="120"/>
      <c r="MC308" s="120"/>
      <c r="MD308" s="120"/>
      <c r="ME308" s="120"/>
      <c r="MF308" s="120"/>
      <c r="MG308" s="120"/>
      <c r="MH308" s="120"/>
      <c r="MI308" s="120"/>
      <c r="MJ308" s="120"/>
      <c r="MK308" s="120"/>
      <c r="ML308" s="120"/>
      <c r="MM308" s="120"/>
      <c r="MN308" s="120"/>
      <c r="MO308" s="120"/>
      <c r="MP308" s="120"/>
      <c r="MQ308" s="120"/>
      <c r="MR308" s="120"/>
      <c r="MS308" s="120"/>
      <c r="MT308" s="120"/>
      <c r="MU308" s="120"/>
      <c r="MV308" s="120"/>
      <c r="MW308" s="120"/>
      <c r="MX308" s="120"/>
      <c r="MY308" s="120"/>
      <c r="MZ308" s="120"/>
      <c r="NA308" s="120"/>
      <c r="NB308" s="120"/>
      <c r="NC308" s="120"/>
      <c r="ND308" s="120"/>
      <c r="NE308" s="120"/>
      <c r="NF308" s="120"/>
      <c r="NG308" s="120"/>
      <c r="NH308" s="120"/>
      <c r="NI308" s="120"/>
      <c r="NJ308" s="120"/>
      <c r="NK308" s="120"/>
      <c r="NL308" s="120"/>
      <c r="NM308" s="120"/>
      <c r="NN308" s="120"/>
      <c r="NO308" s="120"/>
      <c r="NP308" s="120"/>
      <c r="NQ308" s="120"/>
      <c r="NR308" s="120"/>
      <c r="NS308" s="120"/>
      <c r="NT308" s="120"/>
      <c r="NU308" s="120"/>
      <c r="NV308" s="120"/>
      <c r="NW308" s="120"/>
      <c r="NX308" s="120"/>
      <c r="NY308" s="120"/>
      <c r="NZ308" s="120"/>
      <c r="OA308" s="120"/>
      <c r="OB308" s="120"/>
      <c r="OC308" s="120"/>
      <c r="OD308" s="120"/>
      <c r="OE308" s="120"/>
      <c r="OF308" s="120"/>
      <c r="OG308" s="120"/>
      <c r="OH308" s="120"/>
      <c r="OI308" s="120"/>
      <c r="OJ308" s="120"/>
      <c r="OK308" s="120"/>
      <c r="OL308" s="120"/>
      <c r="OM308" s="120"/>
      <c r="ON308" s="120"/>
      <c r="OO308" s="120"/>
      <c r="OP308" s="120"/>
      <c r="OQ308" s="120"/>
      <c r="OR308" s="120"/>
      <c r="OS308" s="120"/>
      <c r="OT308" s="120"/>
      <c r="OU308" s="120"/>
      <c r="OV308" s="120"/>
      <c r="OW308" s="120"/>
      <c r="OX308" s="120"/>
      <c r="OY308" s="120"/>
      <c r="OZ308" s="120"/>
      <c r="PA308" s="120"/>
      <c r="PB308" s="120"/>
      <c r="PC308" s="120"/>
      <c r="PD308" s="120"/>
      <c r="PE308" s="120"/>
      <c r="PF308" s="120"/>
      <c r="PG308" s="120"/>
      <c r="PH308" s="120"/>
      <c r="PI308" s="120"/>
      <c r="PJ308" s="120"/>
      <c r="PK308" s="120"/>
      <c r="PL308" s="120"/>
      <c r="PM308" s="120"/>
      <c r="PN308" s="120"/>
      <c r="PO308" s="120"/>
      <c r="PP308" s="120"/>
      <c r="PQ308" s="120"/>
      <c r="PR308" s="120"/>
      <c r="PS308" s="120"/>
      <c r="PT308" s="120"/>
      <c r="PU308" s="120"/>
      <c r="PV308" s="120"/>
      <c r="PW308" s="120"/>
      <c r="PX308" s="120"/>
      <c r="PY308" s="120"/>
      <c r="PZ308" s="120"/>
      <c r="QA308" s="120"/>
      <c r="QB308" s="120"/>
      <c r="QC308" s="120"/>
      <c r="QD308" s="120"/>
      <c r="QE308" s="120"/>
      <c r="QF308" s="120"/>
      <c r="QG308" s="120"/>
      <c r="QH308" s="120"/>
      <c r="QI308" s="120"/>
      <c r="QJ308" s="120"/>
      <c r="QK308" s="120"/>
      <c r="QL308" s="120"/>
      <c r="QM308" s="120"/>
      <c r="QN308" s="120"/>
      <c r="QO308" s="120"/>
      <c r="QP308" s="120"/>
      <c r="QQ308" s="120"/>
      <c r="QR308" s="120"/>
      <c r="QS308" s="120"/>
      <c r="QT308" s="120"/>
      <c r="QU308" s="120"/>
      <c r="QV308" s="120"/>
      <c r="QW308" s="120"/>
      <c r="QX308" s="120"/>
      <c r="QY308" s="120"/>
      <c r="QZ308" s="120"/>
      <c r="RA308" s="120"/>
      <c r="RB308" s="120"/>
      <c r="RC308" s="120"/>
      <c r="RD308" s="120"/>
      <c r="RE308" s="120"/>
      <c r="RF308" s="120"/>
      <c r="RG308" s="120"/>
      <c r="RH308" s="120"/>
      <c r="RI308" s="120"/>
      <c r="RJ308" s="120"/>
      <c r="RK308" s="120"/>
      <c r="RL308" s="120"/>
      <c r="RM308" s="120"/>
      <c r="RN308" s="120"/>
      <c r="RO308" s="120"/>
      <c r="RP308" s="120"/>
      <c r="RQ308" s="120"/>
      <c r="RR308" s="120"/>
      <c r="RS308" s="120"/>
      <c r="RT308" s="120"/>
      <c r="RU308" s="120"/>
      <c r="RV308" s="120"/>
      <c r="RW308" s="120"/>
      <c r="RX308" s="120"/>
      <c r="RY308" s="120"/>
      <c r="RZ308" s="120"/>
      <c r="SA308" s="120"/>
      <c r="SB308" s="120"/>
      <c r="SC308" s="120"/>
      <c r="SD308" s="120"/>
      <c r="SE308" s="120"/>
      <c r="SF308" s="120"/>
      <c r="SG308" s="120"/>
      <c r="SH308" s="120"/>
      <c r="SI308" s="120"/>
      <c r="SJ308" s="120"/>
      <c r="SK308" s="120"/>
      <c r="SL308" s="120"/>
      <c r="SM308" s="120"/>
      <c r="SN308" s="120"/>
      <c r="SO308" s="120"/>
      <c r="SP308" s="120"/>
      <c r="SQ308" s="120"/>
      <c r="SR308" s="120"/>
      <c r="SS308" s="120"/>
      <c r="ST308" s="120"/>
      <c r="SU308" s="120"/>
      <c r="SV308" s="120"/>
      <c r="SW308" s="120"/>
      <c r="SX308" s="120"/>
      <c r="SY308" s="120"/>
      <c r="SZ308" s="120"/>
      <c r="TA308" s="120"/>
      <c r="TB308" s="120"/>
      <c r="TC308" s="120"/>
      <c r="TD308" s="120"/>
      <c r="TE308" s="120"/>
      <c r="TF308" s="120"/>
      <c r="TG308" s="120"/>
      <c r="TH308" s="120"/>
      <c r="TI308" s="120"/>
      <c r="TJ308" s="120"/>
      <c r="TK308" s="120"/>
      <c r="TL308" s="120"/>
      <c r="TM308" s="120"/>
      <c r="TN308" s="120"/>
      <c r="TO308" s="120"/>
      <c r="TP308" s="120"/>
      <c r="TQ308" s="120"/>
      <c r="TR308" s="120"/>
      <c r="TS308" s="120"/>
      <c r="TT308" s="120"/>
      <c r="TU308" s="120"/>
      <c r="TV308" s="120"/>
      <c r="TW308" s="120"/>
      <c r="TX308" s="120"/>
      <c r="TY308" s="120"/>
      <c r="TZ308" s="120"/>
      <c r="UA308" s="120"/>
      <c r="UB308" s="120"/>
      <c r="UC308" s="120"/>
      <c r="UD308" s="120"/>
      <c r="UE308" s="120"/>
      <c r="UF308" s="120"/>
      <c r="UG308" s="120"/>
      <c r="UH308" s="120"/>
      <c r="UI308" s="120"/>
      <c r="UJ308" s="120"/>
      <c r="UK308" s="120"/>
      <c r="UL308" s="120"/>
      <c r="UM308" s="120"/>
      <c r="UN308" s="120"/>
      <c r="UO308" s="120"/>
      <c r="UP308" s="120"/>
      <c r="UQ308" s="120"/>
      <c r="UR308" s="120"/>
      <c r="US308" s="120"/>
      <c r="UT308" s="120"/>
      <c r="UU308" s="120"/>
      <c r="UV308" s="120"/>
      <c r="UW308" s="120"/>
      <c r="UX308" s="120"/>
      <c r="UY308" s="120"/>
      <c r="UZ308" s="120"/>
      <c r="VA308" s="120"/>
      <c r="VB308" s="120"/>
      <c r="VC308" s="120"/>
      <c r="VD308" s="120"/>
      <c r="VE308" s="120"/>
      <c r="VF308" s="120"/>
      <c r="VG308" s="120"/>
      <c r="VH308" s="120"/>
      <c r="VI308" s="120"/>
      <c r="VJ308" s="120"/>
      <c r="VK308" s="120"/>
      <c r="VL308" s="120"/>
      <c r="VM308" s="120"/>
      <c r="VN308" s="120"/>
      <c r="VO308" s="120"/>
      <c r="VP308" s="120"/>
      <c r="VQ308" s="120"/>
      <c r="VR308" s="120"/>
      <c r="VS308" s="120"/>
      <c r="VT308" s="120"/>
      <c r="VU308" s="120"/>
      <c r="VV308" s="120"/>
      <c r="VW308" s="120"/>
      <c r="VX308" s="120"/>
      <c r="VY308" s="120"/>
      <c r="VZ308" s="120"/>
      <c r="WA308" s="120"/>
      <c r="WB308" s="120"/>
      <c r="WC308" s="120"/>
      <c r="WD308" s="120"/>
      <c r="WE308" s="120"/>
      <c r="WF308" s="120"/>
      <c r="WG308" s="120"/>
      <c r="WH308" s="120"/>
      <c r="WI308" s="120"/>
      <c r="WJ308" s="120"/>
      <c r="WK308" s="120"/>
      <c r="WL308" s="120"/>
      <c r="WM308" s="120"/>
      <c r="WN308" s="120"/>
      <c r="WO308" s="120"/>
      <c r="WP308" s="120"/>
      <c r="WQ308" s="120"/>
      <c r="WR308" s="120"/>
      <c r="WS308" s="120"/>
      <c r="WT308" s="120"/>
      <c r="WU308" s="120"/>
      <c r="WV308" s="120"/>
      <c r="WW308" s="120"/>
      <c r="WX308" s="120"/>
      <c r="WY308" s="120"/>
      <c r="WZ308" s="120"/>
      <c r="XA308" s="120"/>
      <c r="XB308" s="120"/>
      <c r="XC308" s="120"/>
      <c r="XD308" s="120"/>
      <c r="XE308" s="120"/>
      <c r="XF308" s="120"/>
      <c r="XG308" s="120"/>
      <c r="XH308" s="120"/>
      <c r="XI308" s="120"/>
      <c r="XJ308" s="120"/>
      <c r="XK308" s="120"/>
      <c r="XL308" s="120"/>
      <c r="XM308" s="120"/>
      <c r="XN308" s="120"/>
      <c r="XO308" s="120"/>
      <c r="XP308" s="120"/>
      <c r="XQ308" s="120"/>
      <c r="XR308" s="120"/>
      <c r="XS308" s="120"/>
      <c r="XT308" s="120"/>
      <c r="XU308" s="120"/>
      <c r="XV308" s="120"/>
      <c r="XW308" s="120"/>
      <c r="XX308" s="120"/>
      <c r="XY308" s="120"/>
      <c r="XZ308" s="120"/>
      <c r="YA308" s="120"/>
      <c r="YB308" s="120"/>
      <c r="YC308" s="120"/>
      <c r="YD308" s="120"/>
      <c r="YE308" s="120"/>
      <c r="YF308" s="120"/>
      <c r="YG308" s="120"/>
      <c r="YH308" s="120"/>
      <c r="YI308" s="120"/>
      <c r="YJ308" s="120"/>
      <c r="YK308" s="120"/>
      <c r="YL308" s="120"/>
      <c r="YM308" s="120"/>
      <c r="YN308" s="120"/>
      <c r="YO308" s="120"/>
      <c r="YP308" s="120"/>
      <c r="YQ308" s="120"/>
      <c r="YR308" s="120"/>
      <c r="YS308" s="120"/>
      <c r="YT308" s="120"/>
      <c r="YU308" s="120"/>
      <c r="YV308" s="120"/>
      <c r="YW308" s="120"/>
      <c r="YX308" s="120"/>
      <c r="YY308" s="120"/>
      <c r="YZ308" s="120"/>
      <c r="ZA308" s="120"/>
      <c r="ZB308" s="120"/>
      <c r="ZC308" s="120"/>
      <c r="ZD308" s="120"/>
      <c r="ZE308" s="120"/>
      <c r="ZF308" s="120"/>
      <c r="ZG308" s="120"/>
      <c r="ZH308" s="120"/>
      <c r="ZI308" s="120"/>
      <c r="ZJ308" s="120"/>
      <c r="ZK308" s="120"/>
      <c r="ZL308" s="120"/>
      <c r="ZM308" s="120"/>
      <c r="ZN308" s="120"/>
      <c r="ZO308" s="120"/>
      <c r="ZP308" s="120"/>
      <c r="ZQ308" s="120"/>
      <c r="ZR308" s="120"/>
      <c r="ZS308" s="120"/>
      <c r="ZT308" s="120"/>
      <c r="ZU308" s="120"/>
      <c r="ZV308" s="120"/>
      <c r="ZW308" s="120"/>
      <c r="ZX308" s="120"/>
      <c r="ZY308" s="120"/>
      <c r="ZZ308" s="120"/>
      <c r="AAA308" s="120"/>
      <c r="AAB308" s="120"/>
      <c r="AAC308" s="120"/>
      <c r="AAD308" s="120"/>
      <c r="AAE308" s="120"/>
      <c r="AAF308" s="120"/>
      <c r="AAG308" s="120"/>
      <c r="AAH308" s="120"/>
      <c r="AAI308" s="120"/>
      <c r="AAJ308" s="120"/>
      <c r="AAK308" s="120"/>
      <c r="AAL308" s="120"/>
      <c r="AAM308" s="120"/>
      <c r="AAN308" s="120"/>
      <c r="AAO308" s="120"/>
      <c r="AAP308" s="120"/>
      <c r="AAQ308" s="120"/>
      <c r="AAR308" s="120"/>
      <c r="AAS308" s="120"/>
      <c r="AAT308" s="120"/>
      <c r="AAU308" s="120"/>
      <c r="AAV308" s="120"/>
      <c r="AAW308" s="120"/>
      <c r="AAX308" s="120"/>
      <c r="AAY308" s="120"/>
      <c r="AAZ308" s="120"/>
      <c r="ABA308" s="120"/>
      <c r="ABB308" s="120"/>
      <c r="ABC308" s="120"/>
      <c r="ABD308" s="120"/>
      <c r="ABE308" s="120"/>
      <c r="ABF308" s="120"/>
      <c r="ABG308" s="120"/>
      <c r="ABH308" s="120"/>
      <c r="ABI308" s="120"/>
      <c r="ABJ308" s="120"/>
      <c r="ABK308" s="120"/>
      <c r="ABL308" s="120"/>
      <c r="ABM308" s="120"/>
      <c r="ABN308" s="120"/>
      <c r="ABO308" s="120"/>
      <c r="ABP308" s="120"/>
      <c r="ABQ308" s="120"/>
      <c r="ABR308" s="120"/>
      <c r="ABS308" s="120"/>
      <c r="ABT308" s="120"/>
      <c r="ABU308" s="120"/>
      <c r="ABV308" s="120"/>
      <c r="ABW308" s="120"/>
      <c r="ABX308" s="120"/>
      <c r="ABY308" s="120"/>
      <c r="ABZ308" s="120"/>
      <c r="ACA308" s="120"/>
      <c r="ACB308" s="120"/>
      <c r="ACC308" s="120"/>
      <c r="ACD308" s="120"/>
      <c r="ACE308" s="120"/>
      <c r="ACF308" s="120"/>
      <c r="ACG308" s="120"/>
      <c r="ACH308" s="120"/>
      <c r="ACI308" s="120"/>
      <c r="ACJ308" s="120"/>
      <c r="ACK308" s="120"/>
      <c r="ACL308" s="120"/>
      <c r="ACM308" s="120"/>
      <c r="ACN308" s="120"/>
      <c r="ACO308" s="120"/>
      <c r="ACP308" s="120"/>
      <c r="ACQ308" s="120"/>
      <c r="ACR308" s="120"/>
      <c r="ACS308" s="120"/>
      <c r="ACT308" s="120"/>
      <c r="ACU308" s="120"/>
      <c r="ACV308" s="120"/>
      <c r="ACW308" s="120"/>
      <c r="ACX308" s="120"/>
      <c r="ACY308" s="120"/>
      <c r="ACZ308" s="120"/>
      <c r="ADA308" s="120"/>
      <c r="ADB308" s="120"/>
      <c r="ADC308" s="120"/>
      <c r="ADD308" s="120"/>
      <c r="ADE308" s="120"/>
      <c r="ADF308" s="120"/>
      <c r="ADG308" s="120"/>
      <c r="ADH308" s="120"/>
      <c r="ADI308" s="120"/>
      <c r="ADJ308" s="120"/>
      <c r="ADK308" s="120"/>
      <c r="ADL308" s="120"/>
      <c r="ADM308" s="120"/>
      <c r="ADN308" s="120"/>
      <c r="ADO308" s="120"/>
      <c r="ADP308" s="120"/>
      <c r="ADQ308" s="120"/>
      <c r="ADR308" s="120"/>
      <c r="ADS308" s="120"/>
      <c r="ADT308" s="120"/>
      <c r="ADU308" s="120"/>
      <c r="ADV308" s="120"/>
      <c r="ADW308" s="120"/>
      <c r="ADX308" s="120"/>
      <c r="ADY308" s="120"/>
      <c r="ADZ308" s="120"/>
      <c r="AEA308" s="120"/>
      <c r="AEB308" s="120"/>
      <c r="AEC308" s="120"/>
      <c r="AED308" s="120"/>
      <c r="AEE308" s="120"/>
      <c r="AEF308" s="120"/>
      <c r="AEG308" s="120"/>
      <c r="AEH308" s="120"/>
      <c r="AEI308" s="120"/>
      <c r="AEJ308" s="120"/>
      <c r="AEK308" s="120"/>
      <c r="AEL308" s="120"/>
      <c r="AEM308" s="120"/>
      <c r="AEN308" s="120"/>
      <c r="AEO308" s="120"/>
      <c r="AEP308" s="120"/>
      <c r="AEQ308" s="120"/>
      <c r="AER308" s="120"/>
      <c r="AES308" s="120"/>
      <c r="AET308" s="120"/>
      <c r="AEU308" s="120"/>
      <c r="AEV308" s="120"/>
      <c r="AEW308" s="120"/>
      <c r="AEX308" s="120"/>
      <c r="AEY308" s="120"/>
      <c r="AEZ308" s="120"/>
      <c r="AFA308" s="120"/>
      <c r="AFB308" s="120"/>
      <c r="AFC308" s="120"/>
      <c r="AFD308" s="120"/>
      <c r="AFE308" s="120"/>
      <c r="AFF308" s="120"/>
      <c r="AFG308" s="120"/>
      <c r="AFH308" s="120"/>
      <c r="AFI308" s="120"/>
      <c r="AFJ308" s="120"/>
      <c r="AFK308" s="120"/>
      <c r="AFL308" s="120"/>
      <c r="AFM308" s="120"/>
      <c r="AFN308" s="120"/>
      <c r="AFO308" s="120"/>
      <c r="AFP308" s="120"/>
      <c r="AFQ308" s="120"/>
      <c r="AFR308" s="120"/>
      <c r="AFS308" s="120"/>
      <c r="AFT308" s="120"/>
      <c r="AFU308" s="120"/>
      <c r="AFV308" s="120"/>
      <c r="AFW308" s="120"/>
      <c r="AFX308" s="120"/>
      <c r="AFY308" s="120"/>
      <c r="AFZ308" s="120"/>
      <c r="AGA308" s="120"/>
      <c r="AGB308" s="120"/>
      <c r="AGC308" s="120"/>
      <c r="AGD308" s="120"/>
      <c r="AGE308" s="120"/>
      <c r="AGF308" s="120"/>
      <c r="AGG308" s="120"/>
      <c r="AGH308" s="120"/>
      <c r="AGI308" s="120"/>
      <c r="AGJ308" s="120"/>
      <c r="AGK308" s="120"/>
      <c r="AGL308" s="120"/>
      <c r="AGM308" s="120"/>
      <c r="AGN308" s="120"/>
      <c r="AGO308" s="120"/>
      <c r="AGP308" s="120"/>
      <c r="AGQ308" s="120"/>
      <c r="AGR308" s="120"/>
      <c r="AGS308" s="120"/>
      <c r="AGT308" s="120"/>
      <c r="AGU308" s="120"/>
      <c r="AGV308" s="120"/>
      <c r="AGW308" s="120"/>
      <c r="AGX308" s="120"/>
      <c r="AGY308" s="120"/>
      <c r="AGZ308" s="120"/>
      <c r="AHA308" s="120"/>
      <c r="AHB308" s="120"/>
      <c r="AHC308" s="120"/>
      <c r="AHD308" s="120"/>
      <c r="AHE308" s="120"/>
      <c r="AHF308" s="120"/>
      <c r="AHG308" s="120"/>
      <c r="AHH308" s="120"/>
      <c r="AHI308" s="120"/>
      <c r="AHJ308" s="120"/>
      <c r="AHK308" s="120"/>
      <c r="AHL308" s="120"/>
      <c r="AHM308" s="120"/>
      <c r="AHN308" s="120"/>
      <c r="AHO308" s="120"/>
      <c r="AHP308" s="120"/>
      <c r="AHQ308" s="120"/>
      <c r="AHR308" s="120"/>
      <c r="AHS308" s="120"/>
      <c r="AHT308" s="120"/>
      <c r="AHU308" s="120"/>
      <c r="AHV308" s="120"/>
      <c r="AHW308" s="120"/>
      <c r="AHX308" s="120"/>
      <c r="AHY308" s="120"/>
      <c r="AHZ308" s="120"/>
      <c r="AIA308" s="120"/>
      <c r="AIB308" s="120"/>
      <c r="AIC308" s="120"/>
      <c r="AID308" s="120"/>
      <c r="AIE308" s="120"/>
      <c r="AIF308" s="120"/>
      <c r="AIG308" s="120"/>
      <c r="AIH308" s="120"/>
      <c r="AII308" s="120"/>
      <c r="AIJ308" s="120"/>
      <c r="AIK308" s="120"/>
      <c r="AIL308" s="120"/>
      <c r="AIM308" s="120"/>
      <c r="AIN308" s="120"/>
      <c r="AIO308" s="120"/>
      <c r="AIP308" s="120"/>
      <c r="AIQ308" s="120"/>
      <c r="AIR308" s="120"/>
      <c r="AIS308" s="120"/>
      <c r="AIT308" s="120"/>
      <c r="AIU308" s="120"/>
      <c r="AIV308" s="120"/>
      <c r="AIW308" s="120"/>
      <c r="AIX308" s="120"/>
      <c r="AIY308" s="120"/>
      <c r="AIZ308" s="120"/>
    </row>
    <row r="309">
      <c r="A309" s="112" t="s">
        <v>17</v>
      </c>
      <c r="B309" s="112" t="s">
        <v>79</v>
      </c>
      <c r="C309" s="112"/>
      <c r="D309" s="113">
        <f t="shared" si="1"/>
        <v>545.3764</v>
      </c>
      <c r="E309" s="112">
        <v>21.8043</v>
      </c>
      <c r="F309" s="113"/>
      <c r="G309" s="113"/>
      <c r="H309" s="113"/>
      <c r="I309" s="113"/>
      <c r="J309" s="113"/>
      <c r="K309" s="113"/>
      <c r="L309" s="112">
        <v>0.645083333333333</v>
      </c>
      <c r="M309" s="112">
        <v>2.90631666666667</v>
      </c>
      <c r="N309" s="113"/>
      <c r="O309" s="113"/>
      <c r="P309" s="112">
        <v>47.4193666666666</v>
      </c>
      <c r="Q309" s="113"/>
      <c r="R309" s="113"/>
      <c r="S309" s="113"/>
      <c r="T309" s="113"/>
      <c r="U309" s="113"/>
      <c r="V309" s="112">
        <v>0.28945</v>
      </c>
      <c r="W309" s="112">
        <v>48.9878666666666</v>
      </c>
      <c r="X309" s="113"/>
      <c r="Y309" s="113"/>
      <c r="Z309" s="113"/>
      <c r="AA309" s="113"/>
      <c r="AB309" s="113"/>
      <c r="AC309" s="112">
        <v>0.443266666666667</v>
      </c>
      <c r="AD309" s="112">
        <v>255.7926</v>
      </c>
      <c r="AE309" s="113"/>
      <c r="AF309" s="113"/>
      <c r="AG309" s="113"/>
      <c r="AH309" s="113"/>
      <c r="AI309" s="113"/>
      <c r="AJ309" s="112">
        <v>2.15355</v>
      </c>
      <c r="AK309" s="112">
        <v>26.59255</v>
      </c>
      <c r="AL309" s="113"/>
      <c r="AM309" s="113"/>
      <c r="AN309" s="113"/>
      <c r="AO309" s="112">
        <v>1.38595</v>
      </c>
      <c r="AP309" s="112">
        <v>74.3471666666667</v>
      </c>
      <c r="AQ309" s="113"/>
      <c r="AR309" s="113"/>
      <c r="AS309" s="112">
        <v>2.24843333333333</v>
      </c>
      <c r="AT309" s="112">
        <v>57.3940333333333</v>
      </c>
      <c r="AU309" s="113"/>
      <c r="AV309" s="112">
        <v>2.29711666666667</v>
      </c>
      <c r="AW309" s="112">
        <v>0.66935</v>
      </c>
      <c r="AX309" s="113"/>
      <c r="AY309" s="113"/>
      <c r="AZ309" s="113"/>
      <c r="BA309" s="113"/>
      <c r="BB309" s="113"/>
      <c r="BC309" s="113"/>
      <c r="BD309" s="113"/>
      <c r="BE309" s="113"/>
      <c r="BF309" s="113"/>
      <c r="BG309" s="113"/>
      <c r="BH309" s="113"/>
      <c r="BI309" s="113"/>
      <c r="BJ309" s="113"/>
      <c r="BK309" s="113"/>
      <c r="BL309" s="113"/>
      <c r="BM309" s="113"/>
      <c r="BN309" s="113"/>
      <c r="BO309" s="113"/>
      <c r="BP309" s="113"/>
      <c r="BQ309" s="113"/>
      <c r="BR309" s="113"/>
      <c r="BS309" s="113"/>
      <c r="BT309" s="113"/>
      <c r="BU309" s="113"/>
      <c r="BV309" s="113"/>
      <c r="BW309" s="113"/>
      <c r="BX309" s="113"/>
      <c r="BY309" s="113"/>
      <c r="BZ309" s="113"/>
      <c r="CA309" s="113"/>
      <c r="CB309" s="113"/>
      <c r="CC309" s="113"/>
      <c r="CD309" s="113"/>
      <c r="CE309" s="113"/>
      <c r="CF309" s="113"/>
      <c r="CG309" s="113"/>
      <c r="CH309" s="113"/>
      <c r="CI309" s="113"/>
      <c r="CJ309" s="113"/>
      <c r="CK309" s="113"/>
      <c r="CL309" s="113"/>
      <c r="CM309" s="113"/>
      <c r="CN309" s="113"/>
      <c r="CO309" s="113"/>
      <c r="CP309" s="113"/>
      <c r="CQ309" s="113"/>
      <c r="CR309" s="113"/>
      <c r="CS309" s="113"/>
      <c r="CT309" s="113"/>
      <c r="CU309" s="113"/>
      <c r="CV309" s="113"/>
      <c r="CW309" s="113"/>
      <c r="CX309" s="113"/>
      <c r="CY309" s="113"/>
      <c r="CZ309" s="113"/>
      <c r="DA309" s="113"/>
      <c r="DB309" s="113"/>
      <c r="DC309" s="113"/>
      <c r="DD309" s="113"/>
      <c r="DE309" s="113"/>
      <c r="DF309" s="113"/>
      <c r="DG309" s="113"/>
      <c r="DH309" s="113"/>
      <c r="DI309" s="113"/>
      <c r="DJ309" s="113"/>
      <c r="DK309" s="113"/>
      <c r="DL309" s="113"/>
      <c r="DM309" s="113"/>
      <c r="DN309" s="113"/>
      <c r="DO309" s="113"/>
      <c r="DP309" s="113"/>
      <c r="DQ309" s="113"/>
      <c r="DR309" s="113"/>
      <c r="DS309" s="113"/>
      <c r="DT309" s="113"/>
      <c r="DU309" s="113"/>
      <c r="DV309" s="113"/>
      <c r="DW309" s="113"/>
      <c r="DX309" s="113"/>
      <c r="DY309" s="113"/>
      <c r="DZ309" s="113"/>
      <c r="EA309" s="113"/>
      <c r="EB309" s="113"/>
      <c r="EC309" s="113"/>
      <c r="ED309" s="113"/>
      <c r="EE309" s="113"/>
      <c r="EF309" s="113"/>
      <c r="EG309" s="113"/>
      <c r="EH309" s="113"/>
      <c r="EI309" s="113"/>
      <c r="EJ309" s="113"/>
      <c r="EK309" s="113"/>
      <c r="EL309" s="113"/>
      <c r="EM309" s="113"/>
      <c r="EN309" s="113"/>
      <c r="EO309" s="113"/>
      <c r="EP309" s="113"/>
      <c r="EQ309" s="113"/>
      <c r="ER309" s="113"/>
      <c r="ES309" s="113"/>
      <c r="ET309" s="113"/>
      <c r="EU309" s="113"/>
      <c r="EV309" s="113"/>
      <c r="EW309" s="113"/>
      <c r="EX309" s="113"/>
      <c r="EY309" s="113"/>
      <c r="EZ309" s="113"/>
      <c r="FA309" s="113"/>
      <c r="FB309" s="113"/>
      <c r="FC309" s="113"/>
      <c r="FD309" s="113"/>
      <c r="FE309" s="113"/>
      <c r="FF309" s="113"/>
      <c r="FG309" s="113"/>
      <c r="FH309" s="113"/>
      <c r="FI309" s="113"/>
      <c r="FJ309" s="113"/>
      <c r="FK309" s="113"/>
      <c r="FL309" s="113"/>
      <c r="FM309" s="113"/>
      <c r="FN309" s="113"/>
      <c r="FO309" s="113"/>
      <c r="FP309" s="113"/>
      <c r="FQ309" s="113"/>
      <c r="FR309" s="113"/>
      <c r="FS309" s="113"/>
      <c r="FT309" s="113"/>
      <c r="FU309" s="113"/>
      <c r="FV309" s="113"/>
      <c r="FW309" s="113"/>
      <c r="FX309" s="113"/>
      <c r="FY309" s="113"/>
      <c r="FZ309" s="113"/>
      <c r="GA309" s="113"/>
      <c r="GB309" s="113"/>
      <c r="GC309" s="113"/>
      <c r="GD309" s="113"/>
      <c r="GE309" s="113"/>
      <c r="GF309" s="113"/>
      <c r="GG309" s="113"/>
      <c r="GH309" s="113"/>
      <c r="GI309" s="113"/>
      <c r="GJ309" s="113"/>
      <c r="GK309" s="113"/>
      <c r="GL309" s="113"/>
      <c r="GM309" s="113"/>
      <c r="GN309" s="113"/>
      <c r="GO309" s="113"/>
      <c r="GP309" s="113"/>
      <c r="GQ309" s="113"/>
      <c r="GR309" s="113"/>
      <c r="GS309" s="113"/>
      <c r="GT309" s="113"/>
      <c r="GU309" s="113"/>
      <c r="GV309" s="113"/>
      <c r="GW309" s="113"/>
      <c r="GX309" s="113"/>
      <c r="GY309" s="113"/>
      <c r="GZ309" s="113"/>
      <c r="HA309" s="113"/>
      <c r="HB309" s="113"/>
      <c r="HC309" s="113"/>
      <c r="HD309" s="113"/>
      <c r="HE309" s="113"/>
      <c r="HF309" s="113"/>
      <c r="HG309" s="113"/>
      <c r="HH309" s="113"/>
      <c r="HI309" s="113"/>
      <c r="HJ309" s="113"/>
      <c r="HK309" s="113"/>
      <c r="HL309" s="113"/>
      <c r="HM309" s="113"/>
      <c r="HN309" s="113"/>
      <c r="HO309" s="113"/>
      <c r="HP309" s="113"/>
      <c r="HQ309" s="113"/>
      <c r="HR309" s="113"/>
      <c r="HS309" s="113"/>
      <c r="HT309" s="113"/>
      <c r="HU309" s="113"/>
      <c r="HV309" s="113"/>
      <c r="HW309" s="113"/>
      <c r="HX309" s="113"/>
      <c r="HY309" s="113"/>
      <c r="HZ309" s="113"/>
      <c r="IA309" s="113"/>
      <c r="IB309" s="113"/>
      <c r="IC309" s="113"/>
      <c r="ID309" s="113"/>
      <c r="IE309" s="113"/>
      <c r="IF309" s="113"/>
      <c r="IG309" s="113"/>
      <c r="IH309" s="113"/>
      <c r="II309" s="113"/>
      <c r="IJ309" s="113"/>
      <c r="IK309" s="113"/>
      <c r="IL309" s="113"/>
      <c r="IM309" s="113"/>
      <c r="IN309" s="113"/>
      <c r="IO309" s="113"/>
      <c r="IP309" s="113"/>
      <c r="IQ309" s="113"/>
      <c r="IR309" s="113"/>
      <c r="IS309" s="113"/>
      <c r="IT309" s="113"/>
      <c r="IU309" s="113"/>
      <c r="IV309" s="113"/>
      <c r="IW309" s="113"/>
      <c r="IX309" s="113"/>
      <c r="IY309" s="113"/>
      <c r="IZ309" s="113"/>
      <c r="JA309" s="113"/>
      <c r="JB309" s="113"/>
      <c r="JC309" s="113"/>
      <c r="JD309" s="113"/>
      <c r="JE309" s="113"/>
      <c r="JF309" s="113"/>
      <c r="JG309" s="113"/>
      <c r="JH309" s="113"/>
      <c r="JI309" s="113"/>
      <c r="JJ309" s="113"/>
      <c r="JK309" s="113"/>
      <c r="JL309" s="113"/>
      <c r="JM309" s="113"/>
      <c r="JN309" s="113"/>
      <c r="JO309" s="113"/>
      <c r="JP309" s="113"/>
      <c r="JQ309" s="113"/>
      <c r="JR309" s="113"/>
      <c r="JS309" s="113"/>
      <c r="JT309" s="113"/>
      <c r="JU309" s="113"/>
      <c r="JV309" s="113"/>
      <c r="JW309" s="113"/>
      <c r="JX309" s="113"/>
      <c r="JY309" s="113"/>
      <c r="JZ309" s="113"/>
      <c r="KA309" s="113"/>
      <c r="KB309" s="113"/>
      <c r="KC309" s="113"/>
      <c r="KD309" s="113"/>
      <c r="KE309" s="113"/>
      <c r="KF309" s="113"/>
      <c r="KG309" s="113"/>
      <c r="KH309" s="113"/>
      <c r="KI309" s="113"/>
      <c r="KJ309" s="113"/>
      <c r="KK309" s="113"/>
      <c r="KL309" s="113"/>
      <c r="KM309" s="113"/>
      <c r="KN309" s="113"/>
      <c r="KO309" s="113"/>
      <c r="KP309" s="113"/>
      <c r="KQ309" s="113"/>
      <c r="KR309" s="113"/>
      <c r="KS309" s="113"/>
      <c r="KT309" s="113"/>
      <c r="KU309" s="113"/>
      <c r="KV309" s="113"/>
      <c r="KW309" s="113"/>
      <c r="KX309" s="113"/>
      <c r="KY309" s="113"/>
      <c r="KZ309" s="113"/>
      <c r="LA309" s="113"/>
      <c r="LB309" s="113"/>
      <c r="LC309" s="113"/>
      <c r="LD309" s="113"/>
      <c r="LE309" s="113"/>
      <c r="LF309" s="113"/>
      <c r="LG309" s="113"/>
      <c r="LH309" s="113"/>
      <c r="LI309" s="113"/>
      <c r="LJ309" s="113"/>
      <c r="LK309" s="113"/>
      <c r="LL309" s="113"/>
      <c r="LM309" s="113"/>
      <c r="LN309" s="113"/>
      <c r="LO309" s="113"/>
      <c r="LP309" s="113"/>
      <c r="LQ309" s="113"/>
      <c r="LR309" s="113"/>
      <c r="LS309" s="113"/>
      <c r="LT309" s="113"/>
      <c r="LU309" s="113"/>
      <c r="LV309" s="113"/>
      <c r="LW309" s="113"/>
      <c r="LX309" s="113"/>
      <c r="LY309" s="113"/>
      <c r="LZ309" s="113"/>
      <c r="MA309" s="113"/>
      <c r="MB309" s="113"/>
      <c r="MC309" s="113"/>
      <c r="MD309" s="113"/>
      <c r="ME309" s="113"/>
      <c r="MF309" s="113"/>
      <c r="MG309" s="113"/>
      <c r="MH309" s="113"/>
      <c r="MI309" s="113"/>
      <c r="MJ309" s="113"/>
      <c r="MK309" s="113"/>
      <c r="ML309" s="113"/>
      <c r="MM309" s="113"/>
      <c r="MN309" s="113"/>
      <c r="MO309" s="113"/>
      <c r="MP309" s="113"/>
      <c r="MQ309" s="113"/>
      <c r="MR309" s="113"/>
      <c r="MS309" s="113"/>
      <c r="MT309" s="113"/>
      <c r="MU309" s="113"/>
      <c r="MV309" s="113"/>
      <c r="MW309" s="113"/>
      <c r="MX309" s="113"/>
      <c r="MY309" s="113"/>
      <c r="MZ309" s="113"/>
      <c r="NA309" s="113"/>
      <c r="NB309" s="113"/>
      <c r="NC309" s="113"/>
      <c r="ND309" s="113"/>
      <c r="NE309" s="113"/>
      <c r="NF309" s="113"/>
      <c r="NG309" s="113"/>
      <c r="NH309" s="113"/>
      <c r="NI309" s="113"/>
      <c r="NJ309" s="113"/>
      <c r="NK309" s="113"/>
      <c r="NL309" s="113"/>
      <c r="NM309" s="113"/>
      <c r="NN309" s="113"/>
      <c r="NO309" s="113"/>
      <c r="NP309" s="113"/>
      <c r="NQ309" s="113"/>
      <c r="NR309" s="113"/>
      <c r="NS309" s="113"/>
      <c r="NT309" s="113"/>
      <c r="NU309" s="113"/>
      <c r="NV309" s="113"/>
      <c r="NW309" s="113"/>
      <c r="NX309" s="113"/>
      <c r="NY309" s="113"/>
      <c r="NZ309" s="113"/>
      <c r="OA309" s="113"/>
      <c r="OB309" s="113"/>
      <c r="OC309" s="113"/>
      <c r="OD309" s="113"/>
      <c r="OE309" s="113"/>
      <c r="OF309" s="113"/>
      <c r="OG309" s="113"/>
      <c r="OH309" s="113"/>
      <c r="OI309" s="113"/>
      <c r="OJ309" s="113"/>
      <c r="OK309" s="113"/>
      <c r="OL309" s="113"/>
      <c r="OM309" s="113"/>
      <c r="ON309" s="113"/>
      <c r="OO309" s="113"/>
      <c r="OP309" s="113"/>
      <c r="OQ309" s="113"/>
      <c r="OR309" s="113"/>
      <c r="OS309" s="113"/>
      <c r="OT309" s="113"/>
      <c r="OU309" s="113"/>
      <c r="OV309" s="113"/>
      <c r="OW309" s="113"/>
      <c r="OX309" s="113"/>
      <c r="OY309" s="113"/>
      <c r="OZ309" s="113"/>
      <c r="PA309" s="113"/>
      <c r="PB309" s="113"/>
      <c r="PC309" s="113"/>
      <c r="PD309" s="113"/>
      <c r="PE309" s="113"/>
      <c r="PF309" s="113"/>
      <c r="PG309" s="113"/>
      <c r="PH309" s="113"/>
      <c r="PI309" s="113"/>
      <c r="PJ309" s="113"/>
      <c r="PK309" s="113"/>
      <c r="PL309" s="113"/>
      <c r="PM309" s="113"/>
      <c r="PN309" s="113"/>
      <c r="PO309" s="113"/>
      <c r="PP309" s="113"/>
      <c r="PQ309" s="113"/>
      <c r="PR309" s="113"/>
      <c r="PS309" s="113"/>
      <c r="PT309" s="113"/>
      <c r="PU309" s="113"/>
      <c r="PV309" s="113"/>
      <c r="PW309" s="113"/>
      <c r="PX309" s="113"/>
      <c r="PY309" s="113"/>
      <c r="PZ309" s="113"/>
      <c r="QA309" s="113"/>
      <c r="QB309" s="113"/>
      <c r="QC309" s="113"/>
      <c r="QD309" s="113"/>
      <c r="QE309" s="113"/>
      <c r="QF309" s="113"/>
      <c r="QG309" s="113"/>
      <c r="QH309" s="113"/>
      <c r="QI309" s="113"/>
      <c r="QJ309" s="113"/>
      <c r="QK309" s="113"/>
      <c r="QL309" s="113"/>
      <c r="QM309" s="113"/>
      <c r="QN309" s="113"/>
      <c r="QO309" s="113"/>
      <c r="QP309" s="113"/>
      <c r="QQ309" s="113"/>
      <c r="QR309" s="113"/>
      <c r="QS309" s="113"/>
      <c r="QT309" s="113"/>
      <c r="QU309" s="113"/>
      <c r="QV309" s="113"/>
      <c r="QW309" s="113"/>
      <c r="QX309" s="113"/>
      <c r="QY309" s="113"/>
      <c r="QZ309" s="113"/>
      <c r="RA309" s="113"/>
      <c r="RB309" s="113"/>
      <c r="RC309" s="113"/>
      <c r="RD309" s="113"/>
      <c r="RE309" s="113"/>
      <c r="RF309" s="113"/>
      <c r="RG309" s="113"/>
      <c r="RH309" s="113"/>
      <c r="RI309" s="113"/>
      <c r="RJ309" s="113"/>
      <c r="RK309" s="113"/>
      <c r="RL309" s="113"/>
      <c r="RM309" s="113"/>
      <c r="RN309" s="113"/>
      <c r="RO309" s="113"/>
      <c r="RP309" s="113"/>
      <c r="RQ309" s="113"/>
      <c r="RR309" s="113"/>
      <c r="RS309" s="113"/>
      <c r="RT309" s="113"/>
      <c r="RU309" s="113"/>
      <c r="RV309" s="113"/>
      <c r="RW309" s="113"/>
      <c r="RX309" s="113"/>
      <c r="RY309" s="113"/>
      <c r="RZ309" s="113"/>
      <c r="SA309" s="113"/>
      <c r="SB309" s="113"/>
      <c r="SC309" s="113"/>
      <c r="SD309" s="113"/>
      <c r="SE309" s="113"/>
      <c r="SF309" s="113"/>
      <c r="SG309" s="113"/>
      <c r="SH309" s="113"/>
      <c r="SI309" s="113"/>
      <c r="SJ309" s="113"/>
      <c r="SK309" s="113"/>
      <c r="SL309" s="113"/>
      <c r="SM309" s="113"/>
      <c r="SN309" s="113"/>
      <c r="SO309" s="113"/>
      <c r="SP309" s="113"/>
      <c r="SQ309" s="113"/>
      <c r="SR309" s="113"/>
      <c r="SS309" s="113"/>
      <c r="ST309" s="113"/>
      <c r="SU309" s="113"/>
      <c r="SV309" s="113"/>
      <c r="SW309" s="113"/>
      <c r="SX309" s="113"/>
      <c r="SY309" s="113"/>
      <c r="SZ309" s="113"/>
      <c r="TA309" s="113"/>
      <c r="TB309" s="113"/>
      <c r="TC309" s="113"/>
      <c r="TD309" s="113"/>
      <c r="TE309" s="113"/>
      <c r="TF309" s="113"/>
      <c r="TG309" s="113"/>
      <c r="TH309" s="113"/>
      <c r="TI309" s="113"/>
      <c r="TJ309" s="113"/>
      <c r="TK309" s="113"/>
      <c r="TL309" s="113"/>
      <c r="TM309" s="113"/>
      <c r="TN309" s="113"/>
      <c r="TO309" s="113"/>
      <c r="TP309" s="113"/>
      <c r="TQ309" s="113"/>
      <c r="TR309" s="113"/>
      <c r="TS309" s="113"/>
      <c r="TT309" s="113"/>
      <c r="TU309" s="113"/>
      <c r="TV309" s="113"/>
      <c r="TW309" s="113"/>
      <c r="TX309" s="113"/>
      <c r="TY309" s="113"/>
      <c r="TZ309" s="113"/>
      <c r="UA309" s="113"/>
      <c r="UB309" s="113"/>
      <c r="UC309" s="113"/>
      <c r="UD309" s="113"/>
      <c r="UE309" s="113"/>
      <c r="UF309" s="113"/>
      <c r="UG309" s="113"/>
      <c r="UH309" s="113"/>
      <c r="UI309" s="113"/>
      <c r="UJ309" s="113"/>
      <c r="UK309" s="113"/>
      <c r="UL309" s="113"/>
      <c r="UM309" s="113"/>
      <c r="UN309" s="113"/>
      <c r="UO309" s="113"/>
      <c r="UP309" s="113"/>
      <c r="UQ309" s="113"/>
      <c r="UR309" s="113"/>
      <c r="US309" s="113"/>
      <c r="UT309" s="113"/>
      <c r="UU309" s="113"/>
      <c r="UV309" s="113"/>
      <c r="UW309" s="113"/>
      <c r="UX309" s="113"/>
      <c r="UY309" s="113"/>
      <c r="UZ309" s="113"/>
      <c r="VA309" s="113"/>
      <c r="VB309" s="113"/>
      <c r="VC309" s="113"/>
      <c r="VD309" s="113"/>
      <c r="VE309" s="113"/>
      <c r="VF309" s="113"/>
      <c r="VG309" s="113"/>
      <c r="VH309" s="113"/>
      <c r="VI309" s="113"/>
      <c r="VJ309" s="113"/>
      <c r="VK309" s="113"/>
      <c r="VL309" s="113"/>
      <c r="VM309" s="113"/>
      <c r="VN309" s="113"/>
      <c r="VO309" s="113"/>
      <c r="VP309" s="113"/>
      <c r="VQ309" s="113"/>
      <c r="VR309" s="113"/>
      <c r="VS309" s="113"/>
      <c r="VT309" s="113"/>
      <c r="VU309" s="113"/>
      <c r="VV309" s="113"/>
      <c r="VW309" s="113"/>
      <c r="VX309" s="113"/>
      <c r="VY309" s="113"/>
      <c r="VZ309" s="113"/>
      <c r="WA309" s="113"/>
      <c r="WB309" s="113"/>
      <c r="WC309" s="113"/>
      <c r="WD309" s="113"/>
      <c r="WE309" s="113"/>
      <c r="WF309" s="113"/>
      <c r="WG309" s="113"/>
      <c r="WH309" s="113"/>
      <c r="WI309" s="113"/>
      <c r="WJ309" s="113"/>
      <c r="WK309" s="113"/>
      <c r="WL309" s="113"/>
      <c r="WM309" s="113"/>
      <c r="WN309" s="113"/>
      <c r="WO309" s="113"/>
      <c r="WP309" s="113"/>
      <c r="WQ309" s="113"/>
      <c r="WR309" s="113"/>
      <c r="WS309" s="113"/>
      <c r="WT309" s="113"/>
      <c r="WU309" s="113"/>
      <c r="WV309" s="113"/>
      <c r="WW309" s="113"/>
      <c r="WX309" s="113"/>
      <c r="WY309" s="113"/>
      <c r="WZ309" s="113"/>
      <c r="XA309" s="113"/>
      <c r="XB309" s="113"/>
      <c r="XC309" s="113"/>
      <c r="XD309" s="113"/>
      <c r="XE309" s="113"/>
      <c r="XF309" s="113"/>
      <c r="XG309" s="113"/>
      <c r="XH309" s="113"/>
      <c r="XI309" s="113"/>
      <c r="XJ309" s="113"/>
      <c r="XK309" s="113"/>
      <c r="XL309" s="113"/>
      <c r="XM309" s="113"/>
      <c r="XN309" s="113"/>
      <c r="XO309" s="113"/>
      <c r="XP309" s="113"/>
      <c r="XQ309" s="113"/>
      <c r="XR309" s="113"/>
      <c r="XS309" s="113"/>
      <c r="XT309" s="113"/>
      <c r="XU309" s="113"/>
      <c r="XV309" s="113"/>
      <c r="XW309" s="113"/>
      <c r="XX309" s="113"/>
      <c r="XY309" s="113"/>
      <c r="XZ309" s="113"/>
      <c r="YA309" s="113"/>
      <c r="YB309" s="113"/>
      <c r="YC309" s="113"/>
      <c r="YD309" s="113"/>
      <c r="YE309" s="113"/>
      <c r="YF309" s="113"/>
      <c r="YG309" s="113"/>
      <c r="YH309" s="113"/>
      <c r="YI309" s="113"/>
      <c r="YJ309" s="113"/>
      <c r="YK309" s="113"/>
      <c r="YL309" s="113"/>
      <c r="YM309" s="113"/>
      <c r="YN309" s="113"/>
      <c r="YO309" s="113"/>
      <c r="YP309" s="113"/>
      <c r="YQ309" s="113"/>
      <c r="YR309" s="113"/>
      <c r="YS309" s="113"/>
      <c r="YT309" s="113"/>
      <c r="YU309" s="113"/>
      <c r="YV309" s="113"/>
      <c r="YW309" s="113"/>
      <c r="YX309" s="113"/>
      <c r="YY309" s="113"/>
      <c r="YZ309" s="113"/>
      <c r="ZA309" s="113"/>
      <c r="ZB309" s="113"/>
      <c r="ZC309" s="113"/>
      <c r="ZD309" s="113"/>
      <c r="ZE309" s="113"/>
      <c r="ZF309" s="113"/>
      <c r="ZG309" s="113"/>
      <c r="ZH309" s="113"/>
      <c r="ZI309" s="113"/>
      <c r="ZJ309" s="113"/>
      <c r="ZK309" s="113"/>
      <c r="ZL309" s="113"/>
      <c r="ZM309" s="113"/>
      <c r="ZN309" s="113"/>
      <c r="ZO309" s="113"/>
      <c r="ZP309" s="113"/>
      <c r="ZQ309" s="113"/>
      <c r="ZR309" s="113"/>
      <c r="ZS309" s="113"/>
      <c r="ZT309" s="113"/>
      <c r="ZU309" s="113"/>
      <c r="ZV309" s="113"/>
      <c r="ZW309" s="113"/>
      <c r="ZX309" s="113"/>
      <c r="ZY309" s="113"/>
      <c r="ZZ309" s="113"/>
      <c r="AAA309" s="113"/>
      <c r="AAB309" s="113"/>
      <c r="AAC309" s="113"/>
      <c r="AAD309" s="113"/>
      <c r="AAE309" s="113"/>
      <c r="AAF309" s="113"/>
      <c r="AAG309" s="113"/>
      <c r="AAH309" s="113"/>
      <c r="AAI309" s="113"/>
      <c r="AAJ309" s="113"/>
      <c r="AAK309" s="113"/>
      <c r="AAL309" s="113"/>
      <c r="AAM309" s="113"/>
      <c r="AAN309" s="113"/>
      <c r="AAO309" s="113"/>
      <c r="AAP309" s="113"/>
      <c r="AAQ309" s="113"/>
      <c r="AAR309" s="113"/>
      <c r="AAS309" s="113"/>
      <c r="AAT309" s="113"/>
      <c r="AAU309" s="113"/>
      <c r="AAV309" s="113"/>
      <c r="AAW309" s="113"/>
      <c r="AAX309" s="113"/>
      <c r="AAY309" s="113"/>
      <c r="AAZ309" s="113"/>
      <c r="ABA309" s="113"/>
      <c r="ABB309" s="113"/>
      <c r="ABC309" s="113"/>
      <c r="ABD309" s="113"/>
      <c r="ABE309" s="113"/>
      <c r="ABF309" s="113"/>
      <c r="ABG309" s="113"/>
      <c r="ABH309" s="113"/>
      <c r="ABI309" s="113"/>
      <c r="ABJ309" s="113"/>
      <c r="ABK309" s="113"/>
      <c r="ABL309" s="113"/>
      <c r="ABM309" s="113"/>
      <c r="ABN309" s="113"/>
      <c r="ABO309" s="113"/>
      <c r="ABP309" s="113"/>
      <c r="ABQ309" s="113"/>
      <c r="ABR309" s="113"/>
      <c r="ABS309" s="113"/>
      <c r="ABT309" s="113"/>
      <c r="ABU309" s="113"/>
      <c r="ABV309" s="113"/>
      <c r="ABW309" s="113"/>
      <c r="ABX309" s="113"/>
      <c r="ABY309" s="113"/>
      <c r="ABZ309" s="113"/>
      <c r="ACA309" s="113"/>
      <c r="ACB309" s="113"/>
      <c r="ACC309" s="113"/>
      <c r="ACD309" s="113"/>
      <c r="ACE309" s="113"/>
      <c r="ACF309" s="113"/>
      <c r="ACG309" s="113"/>
      <c r="ACH309" s="113"/>
      <c r="ACI309" s="113"/>
      <c r="ACJ309" s="113"/>
      <c r="ACK309" s="113"/>
      <c r="ACL309" s="113"/>
      <c r="ACM309" s="113"/>
      <c r="ACN309" s="113"/>
      <c r="ACO309" s="113"/>
      <c r="ACP309" s="113"/>
      <c r="ACQ309" s="113"/>
      <c r="ACR309" s="113"/>
      <c r="ACS309" s="113"/>
      <c r="ACT309" s="113"/>
      <c r="ACU309" s="113"/>
      <c r="ACV309" s="113"/>
      <c r="ACW309" s="113"/>
      <c r="ACX309" s="113"/>
      <c r="ACY309" s="113"/>
      <c r="ACZ309" s="113"/>
      <c r="ADA309" s="113"/>
      <c r="ADB309" s="113"/>
      <c r="ADC309" s="113"/>
      <c r="ADD309" s="113"/>
      <c r="ADE309" s="113"/>
      <c r="ADF309" s="113"/>
      <c r="ADG309" s="113"/>
      <c r="ADH309" s="113"/>
      <c r="ADI309" s="113"/>
      <c r="ADJ309" s="113"/>
      <c r="ADK309" s="113"/>
      <c r="ADL309" s="113"/>
      <c r="ADM309" s="113"/>
      <c r="ADN309" s="113"/>
      <c r="ADO309" s="113"/>
      <c r="ADP309" s="113"/>
      <c r="ADQ309" s="113"/>
      <c r="ADR309" s="113"/>
      <c r="ADS309" s="113"/>
      <c r="ADT309" s="113"/>
      <c r="ADU309" s="113"/>
      <c r="ADV309" s="113"/>
      <c r="ADW309" s="113"/>
      <c r="ADX309" s="113"/>
      <c r="ADY309" s="113"/>
      <c r="ADZ309" s="113"/>
      <c r="AEA309" s="113"/>
      <c r="AEB309" s="113"/>
      <c r="AEC309" s="113"/>
      <c r="AED309" s="113"/>
      <c r="AEE309" s="113"/>
      <c r="AEF309" s="113"/>
      <c r="AEG309" s="113"/>
      <c r="AEH309" s="113"/>
      <c r="AEI309" s="113"/>
      <c r="AEJ309" s="113"/>
      <c r="AEK309" s="113"/>
      <c r="AEL309" s="113"/>
      <c r="AEM309" s="113"/>
      <c r="AEN309" s="113"/>
      <c r="AEO309" s="113"/>
      <c r="AEP309" s="113"/>
      <c r="AEQ309" s="113"/>
      <c r="AER309" s="113"/>
      <c r="AES309" s="113"/>
      <c r="AET309" s="113"/>
      <c r="AEU309" s="113"/>
      <c r="AEV309" s="113"/>
      <c r="AEW309" s="113"/>
      <c r="AEX309" s="113"/>
      <c r="AEY309" s="113"/>
      <c r="AEZ309" s="113"/>
      <c r="AFA309" s="113"/>
      <c r="AFB309" s="113"/>
      <c r="AFC309" s="113"/>
      <c r="AFD309" s="113"/>
      <c r="AFE309" s="113"/>
      <c r="AFF309" s="113"/>
      <c r="AFG309" s="113"/>
      <c r="AFH309" s="113"/>
      <c r="AFI309" s="113"/>
      <c r="AFJ309" s="113"/>
      <c r="AFK309" s="113"/>
      <c r="AFL309" s="113"/>
      <c r="AFM309" s="113"/>
      <c r="AFN309" s="113"/>
      <c r="AFO309" s="113"/>
      <c r="AFP309" s="113"/>
      <c r="AFQ309" s="113"/>
      <c r="AFR309" s="113"/>
      <c r="AFS309" s="113"/>
      <c r="AFT309" s="113"/>
      <c r="AFU309" s="113"/>
      <c r="AFV309" s="113"/>
      <c r="AFW309" s="113"/>
      <c r="AFX309" s="113"/>
      <c r="AFY309" s="113"/>
      <c r="AFZ309" s="113"/>
      <c r="AGA309" s="113"/>
      <c r="AGB309" s="113"/>
      <c r="AGC309" s="113"/>
      <c r="AGD309" s="113"/>
      <c r="AGE309" s="113"/>
      <c r="AGF309" s="113"/>
      <c r="AGG309" s="113"/>
      <c r="AGH309" s="113"/>
      <c r="AGI309" s="113"/>
      <c r="AGJ309" s="113"/>
      <c r="AGK309" s="113"/>
      <c r="AGL309" s="113"/>
      <c r="AGM309" s="113"/>
      <c r="AGN309" s="113"/>
      <c r="AGO309" s="113"/>
      <c r="AGP309" s="113"/>
      <c r="AGQ309" s="113"/>
      <c r="AGR309" s="113"/>
      <c r="AGS309" s="113"/>
      <c r="AGT309" s="113"/>
      <c r="AGU309" s="113"/>
      <c r="AGV309" s="113"/>
      <c r="AGW309" s="113"/>
      <c r="AGX309" s="113"/>
      <c r="AGY309" s="113"/>
      <c r="AGZ309" s="113"/>
      <c r="AHA309" s="113"/>
      <c r="AHB309" s="113"/>
      <c r="AHC309" s="113"/>
      <c r="AHD309" s="113"/>
      <c r="AHE309" s="113"/>
      <c r="AHF309" s="113"/>
      <c r="AHG309" s="113"/>
      <c r="AHH309" s="113"/>
      <c r="AHI309" s="113"/>
      <c r="AHJ309" s="113"/>
      <c r="AHK309" s="113"/>
      <c r="AHL309" s="113"/>
      <c r="AHM309" s="113"/>
      <c r="AHN309" s="113"/>
      <c r="AHO309" s="113"/>
      <c r="AHP309" s="113"/>
      <c r="AHQ309" s="113"/>
      <c r="AHR309" s="113"/>
      <c r="AHS309" s="113"/>
      <c r="AHT309" s="113"/>
      <c r="AHU309" s="113"/>
      <c r="AHV309" s="113"/>
      <c r="AHW309" s="113"/>
      <c r="AHX309" s="113"/>
      <c r="AHY309" s="113"/>
      <c r="AHZ309" s="113"/>
      <c r="AIA309" s="113"/>
      <c r="AIB309" s="113"/>
      <c r="AIC309" s="113"/>
      <c r="AID309" s="113"/>
      <c r="AIE309" s="113"/>
      <c r="AIF309" s="113"/>
      <c r="AIG309" s="113"/>
      <c r="AIH309" s="113"/>
      <c r="AII309" s="113"/>
      <c r="AIJ309" s="113"/>
      <c r="AIK309" s="113"/>
      <c r="AIL309" s="113"/>
      <c r="AIM309" s="113"/>
      <c r="AIN309" s="113"/>
      <c r="AIO309" s="113"/>
      <c r="AIP309" s="113"/>
      <c r="AIQ309" s="113"/>
      <c r="AIR309" s="113"/>
      <c r="AIS309" s="113"/>
      <c r="AIT309" s="113"/>
      <c r="AIU309" s="113"/>
      <c r="AIV309" s="113"/>
      <c r="AIW309" s="113"/>
      <c r="AIX309" s="113"/>
      <c r="AIY309" s="113"/>
      <c r="AIZ309" s="113"/>
    </row>
    <row r="310">
      <c r="A310" s="65" t="s">
        <v>17</v>
      </c>
      <c r="B310" s="65" t="s">
        <v>79</v>
      </c>
      <c r="C310" s="65"/>
      <c r="D310" s="64">
        <f t="shared" si="1"/>
        <v>503.8620667</v>
      </c>
      <c r="G310" s="65">
        <v>12.68615</v>
      </c>
      <c r="H310" s="65">
        <v>5.5082</v>
      </c>
      <c r="I310" s="65">
        <v>3.35061666666667</v>
      </c>
      <c r="N310" s="65">
        <v>2.1896</v>
      </c>
      <c r="R310" s="65">
        <v>11.4169166666667</v>
      </c>
      <c r="S310" s="65">
        <v>25.78395</v>
      </c>
      <c r="T310" s="65">
        <v>3.2802</v>
      </c>
      <c r="U310" s="65">
        <v>5.48838333333333</v>
      </c>
      <c r="Y310" s="65">
        <v>14.5209166666667</v>
      </c>
      <c r="Z310" s="65">
        <v>23.3824833333333</v>
      </c>
      <c r="AA310" s="65">
        <v>10.0149</v>
      </c>
      <c r="AF310" s="65">
        <v>42.4643666666666</v>
      </c>
      <c r="AG310" s="65">
        <v>134.8313</v>
      </c>
      <c r="AH310" s="65">
        <v>65.9756166666667</v>
      </c>
      <c r="AI310" s="65">
        <v>9.89498333333334</v>
      </c>
      <c r="AL310" s="65">
        <v>18.9752</v>
      </c>
      <c r="AM310" s="65">
        <v>1.084</v>
      </c>
      <c r="AQ310" s="65">
        <v>49.1606666666667</v>
      </c>
      <c r="AR310" s="65">
        <v>8.88318333333333</v>
      </c>
      <c r="AU310" s="65">
        <v>54.9704333333333</v>
      </c>
    </row>
    <row r="311">
      <c r="A311" s="65" t="s">
        <v>17</v>
      </c>
      <c r="B311" s="65" t="s">
        <v>79</v>
      </c>
      <c r="C311" s="65"/>
      <c r="D311" s="64">
        <f t="shared" si="1"/>
        <v>0</v>
      </c>
    </row>
    <row r="312">
      <c r="A312" s="65" t="s">
        <v>17</v>
      </c>
      <c r="B312" s="65" t="s">
        <v>79</v>
      </c>
      <c r="C312" s="65"/>
      <c r="D312" s="64">
        <f t="shared" si="1"/>
        <v>502.93865</v>
      </c>
      <c r="G312" s="118">
        <f>HYPERLINK("https://docs.google.com/spreadsheets/d/1NpSI49ObdJ_tsj1x1J6ZVHFBCHhYap3X", 12.68615)</f>
        <v>12.68615</v>
      </c>
      <c r="H312" s="118">
        <f>HYPERLINK("https://docs.google.com/spreadsheets/d/1Bjr6DPcd-pMFlnKxSXLPdWaPP3D6tCuX", 5.5082)</f>
        <v>5.5082</v>
      </c>
      <c r="I312" s="118">
        <f>HYPERLINK("https://docs.google.com/spreadsheets/d/1Juoxqixs0Vnhuvw0P8DQRC6zor_Segy_", 3.35061666666667)</f>
        <v>3.350616667</v>
      </c>
      <c r="N312" s="118">
        <f>HYPERLINK("https://docs.google.com/spreadsheets/d/1nbyuQcf8WK1jcKfvE0nLle7zgM4lzuXA", 2.1896)</f>
        <v>2.1896</v>
      </c>
      <c r="R312" s="118">
        <f>HYPERLINK("https://docs.google.com/spreadsheets/d/13ptGEWCDpIoew4MGjzgate601qLhE-HX", 11.4169)</f>
        <v>11.4169</v>
      </c>
      <c r="S312" s="118">
        <f>HYPERLINK("https://docs.google.com/spreadsheets/d/1qFtkJXf0aZ51p6zoiBQ476UHzACU3rBj", 25.78395)</f>
        <v>25.78395</v>
      </c>
      <c r="T312" s="118">
        <f>HYPERLINK("https://docs.google.com/spreadsheets/d/1vjK7FACL-lLEciOMWqpxWocNnQrrK4na", 3.2802)</f>
        <v>3.2802</v>
      </c>
      <c r="U312" s="118">
        <f>HYPERLINK("https://docs.google.com/spreadsheets/d/1rLwXCNymFudlntNn-Ml1cleuPxOSYDjo", 5.48838333333333)</f>
        <v>5.488383333</v>
      </c>
      <c r="Y312" s="118">
        <f>HYPERLINK("https://docs.google.com/spreadsheets/d/1n82GcAkyaWe6_xkrYZyv2geAdTmSs26V", 14.5208833333333)</f>
        <v>14.52088333</v>
      </c>
      <c r="Z312" s="118">
        <f>HYPERLINK("https://docs.google.com/spreadsheets/d/1wpF9KPaOy905T2JYKOs9sKl_b9cf2Y4N", 23.3824666666667)</f>
        <v>23.38246667</v>
      </c>
      <c r="AA312" s="118">
        <f>HYPERLINK("https://docs.google.com/spreadsheets/d/1a5k0_7E0T6NRQAwylK5qoCajWH-D46-O", 10.0149)</f>
        <v>10.0149</v>
      </c>
      <c r="AF312" s="118">
        <f>HYPERLINK("https://docs.google.com/spreadsheets/d/1eeUUAcbci7BA7FKKwjaEQoq2CMeRH-Fa", 42.4643666666666)</f>
        <v>42.46436667</v>
      </c>
      <c r="AG312" s="118">
        <f>HYPERLINK("https://docs.google.com/spreadsheets/d/1vb7udgLB0REq9yh40FLbynU4svb0Nrf2", 134.831283333333)</f>
        <v>134.8312833</v>
      </c>
      <c r="AH312" s="118">
        <f>HYPERLINK("https://docs.google.com/spreadsheets/d/1dA31vkfEihc3toH3O9Prxp04LErirbwl", 65.6809333333333)</f>
        <v>65.68093333</v>
      </c>
      <c r="AI312" s="118">
        <f>HYPERLINK("https://docs.google.com/spreadsheets/d/1w6QXMlHzmDajaSzlm1rHBWUs21zQrBaD", 9.56938333333334)</f>
        <v>9.569383333</v>
      </c>
      <c r="AL312" s="118">
        <f>HYPERLINK("https://docs.google.com/spreadsheets/d/1n__tssIsmO15fohODREZNng_AA6l2eD6", 18.97515)</f>
        <v>18.97515</v>
      </c>
      <c r="AM312" s="118">
        <f>HYPERLINK("https://docs.google.com/spreadsheets/d/1HhHIOYGA7YU4mpK_akYjzX6Kmwj6ZJvk", 1.084)</f>
        <v>1.084</v>
      </c>
      <c r="AQ312" s="118">
        <f>HYPERLINK("https://docs.google.com/spreadsheets/d/1_Ueyy4VidYwlUdSBm4_nE7unenWv7U62", 49.0413666666667)</f>
        <v>49.04136667</v>
      </c>
      <c r="AR312" s="118">
        <f>HYPERLINK("https://docs.google.com/spreadsheets/d/1v9I3Fkb_ltKiW1lOu0ANpOjVXzqXn0uc", 8.88321666666667)</f>
        <v>8.883216667</v>
      </c>
      <c r="AU312" s="118">
        <f>HYPERLINK("https://docs.google.com/spreadsheets/d/1vB2VvionIf57Tjh_1XYXyBg8zVkTAVMN", 54.7867)</f>
        <v>54.7867</v>
      </c>
    </row>
    <row r="313">
      <c r="A313" s="65" t="s">
        <v>17</v>
      </c>
      <c r="B313" s="65" t="s">
        <v>79</v>
      </c>
      <c r="C313" s="65"/>
      <c r="D313" s="64">
        <f t="shared" si="1"/>
        <v>358.1716167</v>
      </c>
      <c r="G313" s="65">
        <v>7.21506666666666</v>
      </c>
      <c r="H313" s="65">
        <v>3.10163333333333</v>
      </c>
      <c r="I313" s="65">
        <v>2.33076666666667</v>
      </c>
      <c r="N313" s="65">
        <v>1.1221</v>
      </c>
      <c r="R313" s="65">
        <v>3.67313333333333</v>
      </c>
      <c r="S313" s="65">
        <v>16.77495</v>
      </c>
      <c r="T313" s="65">
        <v>3.00518333333333</v>
      </c>
      <c r="U313" s="65">
        <v>5.28711666666667</v>
      </c>
      <c r="Y313" s="65">
        <v>3.43643333333333</v>
      </c>
      <c r="Z313" s="65">
        <v>13.76955</v>
      </c>
      <c r="AA313" s="65">
        <v>8.94226666666667</v>
      </c>
      <c r="AF313" s="65">
        <v>20.6379</v>
      </c>
      <c r="AG313" s="65">
        <v>105.18355</v>
      </c>
      <c r="AH313" s="65">
        <v>49.4600666666667</v>
      </c>
      <c r="AI313" s="65">
        <v>7.27355</v>
      </c>
      <c r="AL313" s="65">
        <v>14.3546333333333</v>
      </c>
      <c r="AM313" s="65">
        <v>0.443316666666667</v>
      </c>
      <c r="AQ313" s="65">
        <v>35.6429666666667</v>
      </c>
      <c r="AR313" s="65">
        <v>7.48376666666667</v>
      </c>
      <c r="AU313" s="65">
        <v>49.0336666666666</v>
      </c>
    </row>
    <row r="314">
      <c r="A314" s="119" t="s">
        <v>17</v>
      </c>
      <c r="B314" s="119" t="s">
        <v>79</v>
      </c>
      <c r="C314" s="119"/>
      <c r="D314" s="120">
        <f t="shared" si="1"/>
        <v>0</v>
      </c>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c r="AA314" s="120"/>
      <c r="AB314" s="120"/>
      <c r="AC314" s="120"/>
      <c r="AD314" s="120"/>
      <c r="AE314" s="120"/>
      <c r="AF314" s="120"/>
      <c r="AG314" s="120"/>
      <c r="AH314" s="120"/>
      <c r="AI314" s="120"/>
      <c r="AJ314" s="120"/>
      <c r="AK314" s="120"/>
      <c r="AL314" s="120"/>
      <c r="AM314" s="120"/>
      <c r="AN314" s="120"/>
      <c r="AO314" s="120"/>
      <c r="AP314" s="120"/>
      <c r="AQ314" s="120"/>
      <c r="AR314" s="120"/>
      <c r="AS314" s="120"/>
      <c r="AT314" s="120"/>
      <c r="AU314" s="120"/>
      <c r="AV314" s="120"/>
      <c r="AW314" s="120"/>
      <c r="AX314" s="120"/>
      <c r="AY314" s="120"/>
      <c r="AZ314" s="120"/>
      <c r="BA314" s="120"/>
      <c r="BB314" s="120"/>
      <c r="BC314" s="120"/>
      <c r="BD314" s="120"/>
      <c r="BE314" s="120"/>
      <c r="BF314" s="120"/>
      <c r="BG314" s="120"/>
      <c r="BH314" s="120"/>
      <c r="BI314" s="120"/>
      <c r="BJ314" s="120"/>
      <c r="BK314" s="120"/>
      <c r="BL314" s="120"/>
      <c r="BM314" s="120"/>
      <c r="BN314" s="120"/>
      <c r="BO314" s="120"/>
      <c r="BP314" s="120"/>
      <c r="BQ314" s="120"/>
      <c r="BR314" s="120"/>
      <c r="BS314" s="120"/>
      <c r="BT314" s="120"/>
      <c r="BU314" s="120"/>
      <c r="BV314" s="120"/>
      <c r="BW314" s="120"/>
      <c r="BX314" s="120"/>
      <c r="BY314" s="120"/>
      <c r="BZ314" s="120"/>
      <c r="CA314" s="120"/>
      <c r="CB314" s="120"/>
      <c r="CC314" s="120"/>
      <c r="CD314" s="120"/>
      <c r="CE314" s="120"/>
      <c r="CF314" s="120"/>
      <c r="CG314" s="120"/>
      <c r="CH314" s="120"/>
      <c r="CI314" s="120"/>
      <c r="CJ314" s="120"/>
      <c r="CK314" s="120"/>
      <c r="CL314" s="120"/>
      <c r="CM314" s="120"/>
      <c r="CN314" s="120"/>
      <c r="CO314" s="120"/>
      <c r="CP314" s="120"/>
      <c r="CQ314" s="120"/>
      <c r="CR314" s="120"/>
      <c r="CS314" s="120"/>
      <c r="CT314" s="120"/>
      <c r="CU314" s="120"/>
      <c r="CV314" s="120"/>
      <c r="CW314" s="120"/>
      <c r="CX314" s="120"/>
      <c r="CY314" s="120"/>
      <c r="CZ314" s="120"/>
      <c r="DA314" s="120"/>
      <c r="DB314" s="120"/>
      <c r="DC314" s="120"/>
      <c r="DD314" s="120"/>
      <c r="DE314" s="120"/>
      <c r="DF314" s="120"/>
      <c r="DG314" s="120"/>
      <c r="DH314" s="120"/>
      <c r="DI314" s="120"/>
      <c r="DJ314" s="120"/>
      <c r="DK314" s="120"/>
      <c r="DL314" s="120"/>
      <c r="DM314" s="120"/>
      <c r="DN314" s="120"/>
      <c r="DO314" s="120"/>
      <c r="DP314" s="120"/>
      <c r="DQ314" s="120"/>
      <c r="DR314" s="120"/>
      <c r="DS314" s="120"/>
      <c r="DT314" s="120"/>
      <c r="DU314" s="120"/>
      <c r="DV314" s="120"/>
      <c r="DW314" s="120"/>
      <c r="DX314" s="120"/>
      <c r="DY314" s="120"/>
      <c r="DZ314" s="120"/>
      <c r="EA314" s="120"/>
      <c r="EB314" s="120"/>
      <c r="EC314" s="120"/>
      <c r="ED314" s="120"/>
      <c r="EE314" s="120"/>
      <c r="EF314" s="120"/>
      <c r="EG314" s="120"/>
      <c r="EH314" s="120"/>
      <c r="EI314" s="120"/>
      <c r="EJ314" s="120"/>
      <c r="EK314" s="120"/>
      <c r="EL314" s="120"/>
      <c r="EM314" s="120"/>
      <c r="EN314" s="120"/>
      <c r="EO314" s="120"/>
      <c r="EP314" s="120"/>
      <c r="EQ314" s="120"/>
      <c r="ER314" s="120"/>
      <c r="ES314" s="120"/>
      <c r="ET314" s="120"/>
      <c r="EU314" s="120"/>
      <c r="EV314" s="120"/>
      <c r="EW314" s="120"/>
      <c r="EX314" s="120"/>
      <c r="EY314" s="120"/>
      <c r="EZ314" s="120"/>
      <c r="FA314" s="120"/>
      <c r="FB314" s="120"/>
      <c r="FC314" s="120"/>
      <c r="FD314" s="120"/>
      <c r="FE314" s="120"/>
      <c r="FF314" s="120"/>
      <c r="FG314" s="120"/>
      <c r="FH314" s="120"/>
      <c r="FI314" s="120"/>
      <c r="FJ314" s="120"/>
      <c r="FK314" s="120"/>
      <c r="FL314" s="120"/>
      <c r="FM314" s="120"/>
      <c r="FN314" s="120"/>
      <c r="FO314" s="120"/>
      <c r="FP314" s="120"/>
      <c r="FQ314" s="120"/>
      <c r="FR314" s="120"/>
      <c r="FS314" s="120"/>
      <c r="FT314" s="120"/>
      <c r="FU314" s="120"/>
      <c r="FV314" s="120"/>
      <c r="FW314" s="120"/>
      <c r="FX314" s="120"/>
      <c r="FY314" s="120"/>
      <c r="FZ314" s="120"/>
      <c r="GA314" s="120"/>
      <c r="GB314" s="120"/>
      <c r="GC314" s="120"/>
      <c r="GD314" s="120"/>
      <c r="GE314" s="120"/>
      <c r="GF314" s="120"/>
      <c r="GG314" s="120"/>
      <c r="GH314" s="120"/>
      <c r="GI314" s="120"/>
      <c r="GJ314" s="120"/>
      <c r="GK314" s="120"/>
      <c r="GL314" s="120"/>
      <c r="GM314" s="120"/>
      <c r="GN314" s="120"/>
      <c r="GO314" s="120"/>
      <c r="GP314" s="120"/>
      <c r="GQ314" s="120"/>
      <c r="GR314" s="120"/>
      <c r="GS314" s="120"/>
      <c r="GT314" s="120"/>
      <c r="GU314" s="120"/>
      <c r="GV314" s="120"/>
      <c r="GW314" s="120"/>
      <c r="GX314" s="120"/>
      <c r="GY314" s="120"/>
      <c r="GZ314" s="120"/>
      <c r="HA314" s="120"/>
      <c r="HB314" s="120"/>
      <c r="HC314" s="120"/>
      <c r="HD314" s="120"/>
      <c r="HE314" s="120"/>
      <c r="HF314" s="120"/>
      <c r="HG314" s="120"/>
      <c r="HH314" s="120"/>
      <c r="HI314" s="120"/>
      <c r="HJ314" s="120"/>
      <c r="HK314" s="120"/>
      <c r="HL314" s="120"/>
      <c r="HM314" s="120"/>
      <c r="HN314" s="120"/>
      <c r="HO314" s="120"/>
      <c r="HP314" s="120"/>
      <c r="HQ314" s="120"/>
      <c r="HR314" s="120"/>
      <c r="HS314" s="120"/>
      <c r="HT314" s="120"/>
      <c r="HU314" s="120"/>
      <c r="HV314" s="120"/>
      <c r="HW314" s="120"/>
      <c r="HX314" s="120"/>
      <c r="HY314" s="120"/>
      <c r="HZ314" s="120"/>
      <c r="IA314" s="120"/>
      <c r="IB314" s="120"/>
      <c r="IC314" s="120"/>
      <c r="ID314" s="120"/>
      <c r="IE314" s="120"/>
      <c r="IF314" s="120"/>
      <c r="IG314" s="120"/>
      <c r="IH314" s="120"/>
      <c r="II314" s="120"/>
      <c r="IJ314" s="120"/>
      <c r="IK314" s="120"/>
      <c r="IL314" s="120"/>
      <c r="IM314" s="120"/>
      <c r="IN314" s="120"/>
      <c r="IO314" s="120"/>
      <c r="IP314" s="120"/>
      <c r="IQ314" s="120"/>
      <c r="IR314" s="120"/>
      <c r="IS314" s="120"/>
      <c r="IT314" s="120"/>
      <c r="IU314" s="120"/>
      <c r="IV314" s="120"/>
      <c r="IW314" s="120"/>
      <c r="IX314" s="120"/>
      <c r="IY314" s="120"/>
      <c r="IZ314" s="120"/>
      <c r="JA314" s="120"/>
      <c r="JB314" s="120"/>
      <c r="JC314" s="120"/>
      <c r="JD314" s="120"/>
      <c r="JE314" s="120"/>
      <c r="JF314" s="120"/>
      <c r="JG314" s="120"/>
      <c r="JH314" s="120"/>
      <c r="JI314" s="120"/>
      <c r="JJ314" s="120"/>
      <c r="JK314" s="120"/>
      <c r="JL314" s="120"/>
      <c r="JM314" s="120"/>
      <c r="JN314" s="120"/>
      <c r="JO314" s="120"/>
      <c r="JP314" s="120"/>
      <c r="JQ314" s="120"/>
      <c r="JR314" s="120"/>
      <c r="JS314" s="120"/>
      <c r="JT314" s="120"/>
      <c r="JU314" s="120"/>
      <c r="JV314" s="120"/>
      <c r="JW314" s="120"/>
      <c r="JX314" s="120"/>
      <c r="JY314" s="120"/>
      <c r="JZ314" s="120"/>
      <c r="KA314" s="120"/>
      <c r="KB314" s="120"/>
      <c r="KC314" s="120"/>
      <c r="KD314" s="120"/>
      <c r="KE314" s="120"/>
      <c r="KF314" s="120"/>
      <c r="KG314" s="120"/>
      <c r="KH314" s="120"/>
      <c r="KI314" s="120"/>
      <c r="KJ314" s="120"/>
      <c r="KK314" s="120"/>
      <c r="KL314" s="120"/>
      <c r="KM314" s="120"/>
      <c r="KN314" s="120"/>
      <c r="KO314" s="120"/>
      <c r="KP314" s="120"/>
      <c r="KQ314" s="120"/>
      <c r="KR314" s="120"/>
      <c r="KS314" s="120"/>
      <c r="KT314" s="120"/>
      <c r="KU314" s="120"/>
      <c r="KV314" s="120"/>
      <c r="KW314" s="120"/>
      <c r="KX314" s="120"/>
      <c r="KY314" s="120"/>
      <c r="KZ314" s="120"/>
      <c r="LA314" s="120"/>
      <c r="LB314" s="120"/>
      <c r="LC314" s="120"/>
      <c r="LD314" s="120"/>
      <c r="LE314" s="120"/>
      <c r="LF314" s="120"/>
      <c r="LG314" s="120"/>
      <c r="LH314" s="120"/>
      <c r="LI314" s="120"/>
      <c r="LJ314" s="120"/>
      <c r="LK314" s="120"/>
      <c r="LL314" s="120"/>
      <c r="LM314" s="120"/>
      <c r="LN314" s="120"/>
      <c r="LO314" s="120"/>
      <c r="LP314" s="120"/>
      <c r="LQ314" s="120"/>
      <c r="LR314" s="120"/>
      <c r="LS314" s="120"/>
      <c r="LT314" s="120"/>
      <c r="LU314" s="120"/>
      <c r="LV314" s="120"/>
      <c r="LW314" s="120"/>
      <c r="LX314" s="120"/>
      <c r="LY314" s="120"/>
      <c r="LZ314" s="120"/>
      <c r="MA314" s="120"/>
      <c r="MB314" s="120"/>
      <c r="MC314" s="120"/>
      <c r="MD314" s="120"/>
      <c r="ME314" s="120"/>
      <c r="MF314" s="120"/>
      <c r="MG314" s="120"/>
      <c r="MH314" s="120"/>
      <c r="MI314" s="120"/>
      <c r="MJ314" s="120"/>
      <c r="MK314" s="120"/>
      <c r="ML314" s="120"/>
      <c r="MM314" s="120"/>
      <c r="MN314" s="120"/>
      <c r="MO314" s="120"/>
      <c r="MP314" s="120"/>
      <c r="MQ314" s="120"/>
      <c r="MR314" s="120"/>
      <c r="MS314" s="120"/>
      <c r="MT314" s="120"/>
      <c r="MU314" s="120"/>
      <c r="MV314" s="120"/>
      <c r="MW314" s="120"/>
      <c r="MX314" s="120"/>
      <c r="MY314" s="120"/>
      <c r="MZ314" s="120"/>
      <c r="NA314" s="120"/>
      <c r="NB314" s="120"/>
      <c r="NC314" s="120"/>
      <c r="ND314" s="120"/>
      <c r="NE314" s="120"/>
      <c r="NF314" s="120"/>
      <c r="NG314" s="120"/>
      <c r="NH314" s="120"/>
      <c r="NI314" s="120"/>
      <c r="NJ314" s="120"/>
      <c r="NK314" s="120"/>
      <c r="NL314" s="120"/>
      <c r="NM314" s="120"/>
      <c r="NN314" s="120"/>
      <c r="NO314" s="120"/>
      <c r="NP314" s="120"/>
      <c r="NQ314" s="120"/>
      <c r="NR314" s="120"/>
      <c r="NS314" s="120"/>
      <c r="NT314" s="120"/>
      <c r="NU314" s="120"/>
      <c r="NV314" s="120"/>
      <c r="NW314" s="120"/>
      <c r="NX314" s="120"/>
      <c r="NY314" s="120"/>
      <c r="NZ314" s="120"/>
      <c r="OA314" s="120"/>
      <c r="OB314" s="120"/>
      <c r="OC314" s="120"/>
      <c r="OD314" s="120"/>
      <c r="OE314" s="120"/>
      <c r="OF314" s="120"/>
      <c r="OG314" s="120"/>
      <c r="OH314" s="120"/>
      <c r="OI314" s="120"/>
      <c r="OJ314" s="120"/>
      <c r="OK314" s="120"/>
      <c r="OL314" s="120"/>
      <c r="OM314" s="120"/>
      <c r="ON314" s="120"/>
      <c r="OO314" s="120"/>
      <c r="OP314" s="120"/>
      <c r="OQ314" s="120"/>
      <c r="OR314" s="120"/>
      <c r="OS314" s="120"/>
      <c r="OT314" s="120"/>
      <c r="OU314" s="120"/>
      <c r="OV314" s="120"/>
      <c r="OW314" s="120"/>
      <c r="OX314" s="120"/>
      <c r="OY314" s="120"/>
      <c r="OZ314" s="120"/>
      <c r="PA314" s="120"/>
      <c r="PB314" s="120"/>
      <c r="PC314" s="120"/>
      <c r="PD314" s="120"/>
      <c r="PE314" s="120"/>
      <c r="PF314" s="120"/>
      <c r="PG314" s="120"/>
      <c r="PH314" s="120"/>
      <c r="PI314" s="120"/>
      <c r="PJ314" s="120"/>
      <c r="PK314" s="120"/>
      <c r="PL314" s="120"/>
      <c r="PM314" s="120"/>
      <c r="PN314" s="120"/>
      <c r="PO314" s="120"/>
      <c r="PP314" s="120"/>
      <c r="PQ314" s="120"/>
      <c r="PR314" s="120"/>
      <c r="PS314" s="120"/>
      <c r="PT314" s="120"/>
      <c r="PU314" s="120"/>
      <c r="PV314" s="120"/>
      <c r="PW314" s="120"/>
      <c r="PX314" s="120"/>
      <c r="PY314" s="120"/>
      <c r="PZ314" s="120"/>
      <c r="QA314" s="120"/>
      <c r="QB314" s="120"/>
      <c r="QC314" s="120"/>
      <c r="QD314" s="120"/>
      <c r="QE314" s="120"/>
      <c r="QF314" s="120"/>
      <c r="QG314" s="120"/>
      <c r="QH314" s="120"/>
      <c r="QI314" s="120"/>
      <c r="QJ314" s="120"/>
      <c r="QK314" s="120"/>
      <c r="QL314" s="120"/>
      <c r="QM314" s="120"/>
      <c r="QN314" s="120"/>
      <c r="QO314" s="120"/>
      <c r="QP314" s="120"/>
      <c r="QQ314" s="120"/>
      <c r="QR314" s="120"/>
      <c r="QS314" s="120"/>
      <c r="QT314" s="120"/>
      <c r="QU314" s="120"/>
      <c r="QV314" s="120"/>
      <c r="QW314" s="120"/>
      <c r="QX314" s="120"/>
      <c r="QY314" s="120"/>
      <c r="QZ314" s="120"/>
      <c r="RA314" s="120"/>
      <c r="RB314" s="120"/>
      <c r="RC314" s="120"/>
      <c r="RD314" s="120"/>
      <c r="RE314" s="120"/>
      <c r="RF314" s="120"/>
      <c r="RG314" s="120"/>
      <c r="RH314" s="120"/>
      <c r="RI314" s="120"/>
      <c r="RJ314" s="120"/>
      <c r="RK314" s="120"/>
      <c r="RL314" s="120"/>
      <c r="RM314" s="120"/>
      <c r="RN314" s="120"/>
      <c r="RO314" s="120"/>
      <c r="RP314" s="120"/>
      <c r="RQ314" s="120"/>
      <c r="RR314" s="120"/>
      <c r="RS314" s="120"/>
      <c r="RT314" s="120"/>
      <c r="RU314" s="120"/>
      <c r="RV314" s="120"/>
      <c r="RW314" s="120"/>
      <c r="RX314" s="120"/>
      <c r="RY314" s="120"/>
      <c r="RZ314" s="120"/>
      <c r="SA314" s="120"/>
      <c r="SB314" s="120"/>
      <c r="SC314" s="120"/>
      <c r="SD314" s="120"/>
      <c r="SE314" s="120"/>
      <c r="SF314" s="120"/>
      <c r="SG314" s="120"/>
      <c r="SH314" s="120"/>
      <c r="SI314" s="120"/>
      <c r="SJ314" s="120"/>
      <c r="SK314" s="120"/>
      <c r="SL314" s="120"/>
      <c r="SM314" s="120"/>
      <c r="SN314" s="120"/>
      <c r="SO314" s="120"/>
      <c r="SP314" s="120"/>
      <c r="SQ314" s="120"/>
      <c r="SR314" s="120"/>
      <c r="SS314" s="120"/>
      <c r="ST314" s="120"/>
      <c r="SU314" s="120"/>
      <c r="SV314" s="120"/>
      <c r="SW314" s="120"/>
      <c r="SX314" s="120"/>
      <c r="SY314" s="120"/>
      <c r="SZ314" s="120"/>
      <c r="TA314" s="120"/>
      <c r="TB314" s="120"/>
      <c r="TC314" s="120"/>
      <c r="TD314" s="120"/>
      <c r="TE314" s="120"/>
      <c r="TF314" s="120"/>
      <c r="TG314" s="120"/>
      <c r="TH314" s="120"/>
      <c r="TI314" s="120"/>
      <c r="TJ314" s="120"/>
      <c r="TK314" s="120"/>
      <c r="TL314" s="120"/>
      <c r="TM314" s="120"/>
      <c r="TN314" s="120"/>
      <c r="TO314" s="120"/>
      <c r="TP314" s="120"/>
      <c r="TQ314" s="120"/>
      <c r="TR314" s="120"/>
      <c r="TS314" s="120"/>
      <c r="TT314" s="120"/>
      <c r="TU314" s="120"/>
      <c r="TV314" s="120"/>
      <c r="TW314" s="120"/>
      <c r="TX314" s="120"/>
      <c r="TY314" s="120"/>
      <c r="TZ314" s="120"/>
      <c r="UA314" s="120"/>
      <c r="UB314" s="120"/>
      <c r="UC314" s="120"/>
      <c r="UD314" s="120"/>
      <c r="UE314" s="120"/>
      <c r="UF314" s="120"/>
      <c r="UG314" s="120"/>
      <c r="UH314" s="120"/>
      <c r="UI314" s="120"/>
      <c r="UJ314" s="120"/>
      <c r="UK314" s="120"/>
      <c r="UL314" s="120"/>
      <c r="UM314" s="120"/>
      <c r="UN314" s="120"/>
      <c r="UO314" s="120"/>
      <c r="UP314" s="120"/>
      <c r="UQ314" s="120"/>
      <c r="UR314" s="120"/>
      <c r="US314" s="120"/>
      <c r="UT314" s="120"/>
      <c r="UU314" s="120"/>
      <c r="UV314" s="120"/>
      <c r="UW314" s="120"/>
      <c r="UX314" s="120"/>
      <c r="UY314" s="120"/>
      <c r="UZ314" s="120"/>
      <c r="VA314" s="120"/>
      <c r="VB314" s="120"/>
      <c r="VC314" s="120"/>
      <c r="VD314" s="120"/>
      <c r="VE314" s="120"/>
      <c r="VF314" s="120"/>
      <c r="VG314" s="120"/>
      <c r="VH314" s="120"/>
      <c r="VI314" s="120"/>
      <c r="VJ314" s="120"/>
      <c r="VK314" s="120"/>
      <c r="VL314" s="120"/>
      <c r="VM314" s="120"/>
      <c r="VN314" s="120"/>
      <c r="VO314" s="120"/>
      <c r="VP314" s="120"/>
      <c r="VQ314" s="120"/>
      <c r="VR314" s="120"/>
      <c r="VS314" s="120"/>
      <c r="VT314" s="120"/>
      <c r="VU314" s="120"/>
      <c r="VV314" s="120"/>
      <c r="VW314" s="120"/>
      <c r="VX314" s="120"/>
      <c r="VY314" s="120"/>
      <c r="VZ314" s="120"/>
      <c r="WA314" s="120"/>
      <c r="WB314" s="120"/>
      <c r="WC314" s="120"/>
      <c r="WD314" s="120"/>
      <c r="WE314" s="120"/>
      <c r="WF314" s="120"/>
      <c r="WG314" s="120"/>
      <c r="WH314" s="120"/>
      <c r="WI314" s="120"/>
      <c r="WJ314" s="120"/>
      <c r="WK314" s="120"/>
      <c r="WL314" s="120"/>
      <c r="WM314" s="120"/>
      <c r="WN314" s="120"/>
      <c r="WO314" s="120"/>
      <c r="WP314" s="120"/>
      <c r="WQ314" s="120"/>
      <c r="WR314" s="120"/>
      <c r="WS314" s="120"/>
      <c r="WT314" s="120"/>
      <c r="WU314" s="120"/>
      <c r="WV314" s="120"/>
      <c r="WW314" s="120"/>
      <c r="WX314" s="120"/>
      <c r="WY314" s="120"/>
      <c r="WZ314" s="120"/>
      <c r="XA314" s="120"/>
      <c r="XB314" s="120"/>
      <c r="XC314" s="120"/>
      <c r="XD314" s="120"/>
      <c r="XE314" s="120"/>
      <c r="XF314" s="120"/>
      <c r="XG314" s="120"/>
      <c r="XH314" s="120"/>
      <c r="XI314" s="120"/>
      <c r="XJ314" s="120"/>
      <c r="XK314" s="120"/>
      <c r="XL314" s="120"/>
      <c r="XM314" s="120"/>
      <c r="XN314" s="120"/>
      <c r="XO314" s="120"/>
      <c r="XP314" s="120"/>
      <c r="XQ314" s="120"/>
      <c r="XR314" s="120"/>
      <c r="XS314" s="120"/>
      <c r="XT314" s="120"/>
      <c r="XU314" s="120"/>
      <c r="XV314" s="120"/>
      <c r="XW314" s="120"/>
      <c r="XX314" s="120"/>
      <c r="XY314" s="120"/>
      <c r="XZ314" s="120"/>
      <c r="YA314" s="120"/>
      <c r="YB314" s="120"/>
      <c r="YC314" s="120"/>
      <c r="YD314" s="120"/>
      <c r="YE314" s="120"/>
      <c r="YF314" s="120"/>
      <c r="YG314" s="120"/>
      <c r="YH314" s="120"/>
      <c r="YI314" s="120"/>
      <c r="YJ314" s="120"/>
      <c r="YK314" s="120"/>
      <c r="YL314" s="120"/>
      <c r="YM314" s="120"/>
      <c r="YN314" s="120"/>
      <c r="YO314" s="120"/>
      <c r="YP314" s="120"/>
      <c r="YQ314" s="120"/>
      <c r="YR314" s="120"/>
      <c r="YS314" s="120"/>
      <c r="YT314" s="120"/>
      <c r="YU314" s="120"/>
      <c r="YV314" s="120"/>
      <c r="YW314" s="120"/>
      <c r="YX314" s="120"/>
      <c r="YY314" s="120"/>
      <c r="YZ314" s="120"/>
      <c r="ZA314" s="120"/>
      <c r="ZB314" s="120"/>
      <c r="ZC314" s="120"/>
      <c r="ZD314" s="120"/>
      <c r="ZE314" s="120"/>
      <c r="ZF314" s="120"/>
      <c r="ZG314" s="120"/>
      <c r="ZH314" s="120"/>
      <c r="ZI314" s="120"/>
      <c r="ZJ314" s="120"/>
      <c r="ZK314" s="120"/>
      <c r="ZL314" s="120"/>
      <c r="ZM314" s="120"/>
      <c r="ZN314" s="120"/>
      <c r="ZO314" s="120"/>
      <c r="ZP314" s="120"/>
      <c r="ZQ314" s="120"/>
      <c r="ZR314" s="120"/>
      <c r="ZS314" s="120"/>
      <c r="ZT314" s="120"/>
      <c r="ZU314" s="120"/>
      <c r="ZV314" s="120"/>
      <c r="ZW314" s="120"/>
      <c r="ZX314" s="120"/>
      <c r="ZY314" s="120"/>
      <c r="ZZ314" s="120"/>
      <c r="AAA314" s="120"/>
      <c r="AAB314" s="120"/>
      <c r="AAC314" s="120"/>
      <c r="AAD314" s="120"/>
      <c r="AAE314" s="120"/>
      <c r="AAF314" s="120"/>
      <c r="AAG314" s="120"/>
      <c r="AAH314" s="120"/>
      <c r="AAI314" s="120"/>
      <c r="AAJ314" s="120"/>
      <c r="AAK314" s="120"/>
      <c r="AAL314" s="120"/>
      <c r="AAM314" s="120"/>
      <c r="AAN314" s="120"/>
      <c r="AAO314" s="120"/>
      <c r="AAP314" s="120"/>
      <c r="AAQ314" s="120"/>
      <c r="AAR314" s="120"/>
      <c r="AAS314" s="120"/>
      <c r="AAT314" s="120"/>
      <c r="AAU314" s="120"/>
      <c r="AAV314" s="120"/>
      <c r="AAW314" s="120"/>
      <c r="AAX314" s="120"/>
      <c r="AAY314" s="120"/>
      <c r="AAZ314" s="120"/>
      <c r="ABA314" s="120"/>
      <c r="ABB314" s="120"/>
      <c r="ABC314" s="120"/>
      <c r="ABD314" s="120"/>
      <c r="ABE314" s="120"/>
      <c r="ABF314" s="120"/>
      <c r="ABG314" s="120"/>
      <c r="ABH314" s="120"/>
      <c r="ABI314" s="120"/>
      <c r="ABJ314" s="120"/>
      <c r="ABK314" s="120"/>
      <c r="ABL314" s="120"/>
      <c r="ABM314" s="120"/>
      <c r="ABN314" s="120"/>
      <c r="ABO314" s="120"/>
      <c r="ABP314" s="120"/>
      <c r="ABQ314" s="120"/>
      <c r="ABR314" s="120"/>
      <c r="ABS314" s="120"/>
      <c r="ABT314" s="120"/>
      <c r="ABU314" s="120"/>
      <c r="ABV314" s="120"/>
      <c r="ABW314" s="120"/>
      <c r="ABX314" s="120"/>
      <c r="ABY314" s="120"/>
      <c r="ABZ314" s="120"/>
      <c r="ACA314" s="120"/>
      <c r="ACB314" s="120"/>
      <c r="ACC314" s="120"/>
      <c r="ACD314" s="120"/>
      <c r="ACE314" s="120"/>
      <c r="ACF314" s="120"/>
      <c r="ACG314" s="120"/>
      <c r="ACH314" s="120"/>
      <c r="ACI314" s="120"/>
      <c r="ACJ314" s="120"/>
      <c r="ACK314" s="120"/>
      <c r="ACL314" s="120"/>
      <c r="ACM314" s="120"/>
      <c r="ACN314" s="120"/>
      <c r="ACO314" s="120"/>
      <c r="ACP314" s="120"/>
      <c r="ACQ314" s="120"/>
      <c r="ACR314" s="120"/>
      <c r="ACS314" s="120"/>
      <c r="ACT314" s="120"/>
      <c r="ACU314" s="120"/>
      <c r="ACV314" s="120"/>
      <c r="ACW314" s="120"/>
      <c r="ACX314" s="120"/>
      <c r="ACY314" s="120"/>
      <c r="ACZ314" s="120"/>
      <c r="ADA314" s="120"/>
      <c r="ADB314" s="120"/>
      <c r="ADC314" s="120"/>
      <c r="ADD314" s="120"/>
      <c r="ADE314" s="120"/>
      <c r="ADF314" s="120"/>
      <c r="ADG314" s="120"/>
      <c r="ADH314" s="120"/>
      <c r="ADI314" s="120"/>
      <c r="ADJ314" s="120"/>
      <c r="ADK314" s="120"/>
      <c r="ADL314" s="120"/>
      <c r="ADM314" s="120"/>
      <c r="ADN314" s="120"/>
      <c r="ADO314" s="120"/>
      <c r="ADP314" s="120"/>
      <c r="ADQ314" s="120"/>
      <c r="ADR314" s="120"/>
      <c r="ADS314" s="120"/>
      <c r="ADT314" s="120"/>
      <c r="ADU314" s="120"/>
      <c r="ADV314" s="120"/>
      <c r="ADW314" s="120"/>
      <c r="ADX314" s="120"/>
      <c r="ADY314" s="120"/>
      <c r="ADZ314" s="120"/>
      <c r="AEA314" s="120"/>
      <c r="AEB314" s="120"/>
      <c r="AEC314" s="120"/>
      <c r="AED314" s="120"/>
      <c r="AEE314" s="120"/>
      <c r="AEF314" s="120"/>
      <c r="AEG314" s="120"/>
      <c r="AEH314" s="120"/>
      <c r="AEI314" s="120"/>
      <c r="AEJ314" s="120"/>
      <c r="AEK314" s="120"/>
      <c r="AEL314" s="120"/>
      <c r="AEM314" s="120"/>
      <c r="AEN314" s="120"/>
      <c r="AEO314" s="120"/>
      <c r="AEP314" s="120"/>
      <c r="AEQ314" s="120"/>
      <c r="AER314" s="120"/>
      <c r="AES314" s="120"/>
      <c r="AET314" s="120"/>
      <c r="AEU314" s="120"/>
      <c r="AEV314" s="120"/>
      <c r="AEW314" s="120"/>
      <c r="AEX314" s="120"/>
      <c r="AEY314" s="120"/>
      <c r="AEZ314" s="120"/>
      <c r="AFA314" s="120"/>
      <c r="AFB314" s="120"/>
      <c r="AFC314" s="120"/>
      <c r="AFD314" s="120"/>
      <c r="AFE314" s="120"/>
      <c r="AFF314" s="120"/>
      <c r="AFG314" s="120"/>
      <c r="AFH314" s="120"/>
      <c r="AFI314" s="120"/>
      <c r="AFJ314" s="120"/>
      <c r="AFK314" s="120"/>
      <c r="AFL314" s="120"/>
      <c r="AFM314" s="120"/>
      <c r="AFN314" s="120"/>
      <c r="AFO314" s="120"/>
      <c r="AFP314" s="120"/>
      <c r="AFQ314" s="120"/>
      <c r="AFR314" s="120"/>
      <c r="AFS314" s="120"/>
      <c r="AFT314" s="120"/>
      <c r="AFU314" s="120"/>
      <c r="AFV314" s="120"/>
      <c r="AFW314" s="120"/>
      <c r="AFX314" s="120"/>
      <c r="AFY314" s="120"/>
      <c r="AFZ314" s="120"/>
      <c r="AGA314" s="120"/>
      <c r="AGB314" s="120"/>
      <c r="AGC314" s="120"/>
      <c r="AGD314" s="120"/>
      <c r="AGE314" s="120"/>
      <c r="AGF314" s="120"/>
      <c r="AGG314" s="120"/>
      <c r="AGH314" s="120"/>
      <c r="AGI314" s="120"/>
      <c r="AGJ314" s="120"/>
      <c r="AGK314" s="120"/>
      <c r="AGL314" s="120"/>
      <c r="AGM314" s="120"/>
      <c r="AGN314" s="120"/>
      <c r="AGO314" s="120"/>
      <c r="AGP314" s="120"/>
      <c r="AGQ314" s="120"/>
      <c r="AGR314" s="120"/>
      <c r="AGS314" s="120"/>
      <c r="AGT314" s="120"/>
      <c r="AGU314" s="120"/>
      <c r="AGV314" s="120"/>
      <c r="AGW314" s="120"/>
      <c r="AGX314" s="120"/>
      <c r="AGY314" s="120"/>
      <c r="AGZ314" s="120"/>
      <c r="AHA314" s="120"/>
      <c r="AHB314" s="120"/>
      <c r="AHC314" s="120"/>
      <c r="AHD314" s="120"/>
      <c r="AHE314" s="120"/>
      <c r="AHF314" s="120"/>
      <c r="AHG314" s="120"/>
      <c r="AHH314" s="120"/>
      <c r="AHI314" s="120"/>
      <c r="AHJ314" s="120"/>
      <c r="AHK314" s="120"/>
      <c r="AHL314" s="120"/>
      <c r="AHM314" s="120"/>
      <c r="AHN314" s="120"/>
      <c r="AHO314" s="120"/>
      <c r="AHP314" s="120"/>
      <c r="AHQ314" s="120"/>
      <c r="AHR314" s="120"/>
      <c r="AHS314" s="120"/>
      <c r="AHT314" s="120"/>
      <c r="AHU314" s="120"/>
      <c r="AHV314" s="120"/>
      <c r="AHW314" s="120"/>
      <c r="AHX314" s="120"/>
      <c r="AHY314" s="120"/>
      <c r="AHZ314" s="120"/>
      <c r="AIA314" s="120"/>
      <c r="AIB314" s="120"/>
      <c r="AIC314" s="120"/>
      <c r="AID314" s="120"/>
      <c r="AIE314" s="120"/>
      <c r="AIF314" s="120"/>
      <c r="AIG314" s="120"/>
      <c r="AIH314" s="120"/>
      <c r="AII314" s="120"/>
      <c r="AIJ314" s="120"/>
      <c r="AIK314" s="120"/>
      <c r="AIL314" s="120"/>
      <c r="AIM314" s="120"/>
      <c r="AIN314" s="120"/>
      <c r="AIO314" s="120"/>
      <c r="AIP314" s="120"/>
      <c r="AIQ314" s="120"/>
      <c r="AIR314" s="120"/>
      <c r="AIS314" s="120"/>
      <c r="AIT314" s="120"/>
      <c r="AIU314" s="120"/>
      <c r="AIV314" s="120"/>
      <c r="AIW314" s="120"/>
      <c r="AIX314" s="120"/>
      <c r="AIY314" s="120"/>
      <c r="AIZ314" s="120"/>
    </row>
    <row r="315">
      <c r="A315" s="112" t="s">
        <v>17</v>
      </c>
      <c r="B315" s="112" t="s">
        <v>18</v>
      </c>
      <c r="C315" s="112"/>
      <c r="D315" s="113">
        <f t="shared" si="1"/>
        <v>538.7264</v>
      </c>
      <c r="E315" s="112">
        <v>49.1479333333334</v>
      </c>
      <c r="F315" s="113"/>
      <c r="G315" s="113"/>
      <c r="H315" s="113"/>
      <c r="I315" s="113"/>
      <c r="J315" s="113"/>
      <c r="K315" s="113"/>
      <c r="L315" s="112">
        <v>1.04941666666667</v>
      </c>
      <c r="M315" s="112">
        <v>5.50986666666667</v>
      </c>
      <c r="N315" s="113"/>
      <c r="O315" s="113"/>
      <c r="P315" s="112">
        <v>17.4403833333333</v>
      </c>
      <c r="Q315" s="113"/>
      <c r="R315" s="113"/>
      <c r="S315" s="113"/>
      <c r="T315" s="113"/>
      <c r="U315" s="113"/>
      <c r="V315" s="113"/>
      <c r="W315" s="112">
        <v>50.0459833333333</v>
      </c>
      <c r="X315" s="113"/>
      <c r="Y315" s="113"/>
      <c r="Z315" s="113"/>
      <c r="AA315" s="113"/>
      <c r="AB315" s="113"/>
      <c r="AC315" s="112">
        <v>0.27145</v>
      </c>
      <c r="AD315" s="112">
        <v>265.9489</v>
      </c>
      <c r="AE315" s="113"/>
      <c r="AF315" s="113"/>
      <c r="AG315" s="113"/>
      <c r="AH315" s="113"/>
      <c r="AI315" s="113"/>
      <c r="AJ315" s="112">
        <v>4.83615</v>
      </c>
      <c r="AK315" s="112">
        <v>29.0506</v>
      </c>
      <c r="AL315" s="113"/>
      <c r="AM315" s="113"/>
      <c r="AN315" s="113"/>
      <c r="AO315" s="112">
        <v>0.96025</v>
      </c>
      <c r="AP315" s="112">
        <v>66.13905</v>
      </c>
      <c r="AQ315" s="113"/>
      <c r="AR315" s="113"/>
      <c r="AS315" s="112">
        <v>1.13031666666667</v>
      </c>
      <c r="AT315" s="112">
        <v>45.3285666666667</v>
      </c>
      <c r="AU315" s="113"/>
      <c r="AV315" s="112">
        <v>1.86753333333333</v>
      </c>
      <c r="AW315" s="113"/>
      <c r="AX315" s="113"/>
      <c r="AY315" s="113"/>
      <c r="AZ315" s="113"/>
      <c r="BA315" s="113"/>
      <c r="BB315" s="113"/>
      <c r="BC315" s="113"/>
      <c r="BD315" s="113"/>
      <c r="BE315" s="113"/>
      <c r="BF315" s="113"/>
      <c r="BG315" s="113"/>
      <c r="BH315" s="113"/>
      <c r="BI315" s="113"/>
      <c r="BJ315" s="113"/>
      <c r="BK315" s="113"/>
      <c r="BL315" s="113"/>
      <c r="BM315" s="113"/>
      <c r="BN315" s="113"/>
      <c r="BO315" s="113"/>
      <c r="BP315" s="113"/>
      <c r="BQ315" s="113"/>
      <c r="BR315" s="113"/>
      <c r="BS315" s="113"/>
      <c r="BT315" s="113"/>
      <c r="BU315" s="113"/>
      <c r="BV315" s="113"/>
      <c r="BW315" s="113"/>
      <c r="BX315" s="113"/>
      <c r="BY315" s="113"/>
      <c r="BZ315" s="113"/>
      <c r="CA315" s="113"/>
      <c r="CB315" s="113"/>
      <c r="CC315" s="113"/>
      <c r="CD315" s="113"/>
      <c r="CE315" s="113"/>
      <c r="CF315" s="113"/>
      <c r="CG315" s="113"/>
      <c r="CH315" s="113"/>
      <c r="CI315" s="113"/>
      <c r="CJ315" s="113"/>
      <c r="CK315" s="113"/>
      <c r="CL315" s="113"/>
      <c r="CM315" s="113"/>
      <c r="CN315" s="113"/>
      <c r="CO315" s="113"/>
      <c r="CP315" s="113"/>
      <c r="CQ315" s="113"/>
      <c r="CR315" s="113"/>
      <c r="CS315" s="113"/>
      <c r="CT315" s="113"/>
      <c r="CU315" s="113"/>
      <c r="CV315" s="113"/>
      <c r="CW315" s="113"/>
      <c r="CX315" s="113"/>
      <c r="CY315" s="113"/>
      <c r="CZ315" s="113"/>
      <c r="DA315" s="113"/>
      <c r="DB315" s="113"/>
      <c r="DC315" s="113"/>
      <c r="DD315" s="113"/>
      <c r="DE315" s="113"/>
      <c r="DF315" s="113"/>
      <c r="DG315" s="113"/>
      <c r="DH315" s="113"/>
      <c r="DI315" s="113"/>
      <c r="DJ315" s="113"/>
      <c r="DK315" s="113"/>
      <c r="DL315" s="113"/>
      <c r="DM315" s="113"/>
      <c r="DN315" s="113"/>
      <c r="DO315" s="113"/>
      <c r="DP315" s="113"/>
      <c r="DQ315" s="113"/>
      <c r="DR315" s="113"/>
      <c r="DS315" s="113"/>
      <c r="DT315" s="113"/>
      <c r="DU315" s="113"/>
      <c r="DV315" s="113"/>
      <c r="DW315" s="113"/>
      <c r="DX315" s="113"/>
      <c r="DY315" s="113"/>
      <c r="DZ315" s="113"/>
      <c r="EA315" s="113"/>
      <c r="EB315" s="113"/>
      <c r="EC315" s="113"/>
      <c r="ED315" s="113"/>
      <c r="EE315" s="113"/>
      <c r="EF315" s="113"/>
      <c r="EG315" s="113"/>
      <c r="EH315" s="113"/>
      <c r="EI315" s="113"/>
      <c r="EJ315" s="113"/>
      <c r="EK315" s="113"/>
      <c r="EL315" s="113"/>
      <c r="EM315" s="113"/>
      <c r="EN315" s="113"/>
      <c r="EO315" s="113"/>
      <c r="EP315" s="113"/>
      <c r="EQ315" s="113"/>
      <c r="ER315" s="113"/>
      <c r="ES315" s="113"/>
      <c r="ET315" s="113"/>
      <c r="EU315" s="113"/>
      <c r="EV315" s="113"/>
      <c r="EW315" s="113"/>
      <c r="EX315" s="113"/>
      <c r="EY315" s="113"/>
      <c r="EZ315" s="113"/>
      <c r="FA315" s="113"/>
      <c r="FB315" s="113"/>
      <c r="FC315" s="113"/>
      <c r="FD315" s="113"/>
      <c r="FE315" s="113"/>
      <c r="FF315" s="113"/>
      <c r="FG315" s="113"/>
      <c r="FH315" s="113"/>
      <c r="FI315" s="113"/>
      <c r="FJ315" s="113"/>
      <c r="FK315" s="113"/>
      <c r="FL315" s="113"/>
      <c r="FM315" s="113"/>
      <c r="FN315" s="113"/>
      <c r="FO315" s="113"/>
      <c r="FP315" s="113"/>
      <c r="FQ315" s="113"/>
      <c r="FR315" s="113"/>
      <c r="FS315" s="113"/>
      <c r="FT315" s="113"/>
      <c r="FU315" s="113"/>
      <c r="FV315" s="113"/>
      <c r="FW315" s="113"/>
      <c r="FX315" s="113"/>
      <c r="FY315" s="113"/>
      <c r="FZ315" s="113"/>
      <c r="GA315" s="113"/>
      <c r="GB315" s="113"/>
      <c r="GC315" s="113"/>
      <c r="GD315" s="113"/>
      <c r="GE315" s="113"/>
      <c r="GF315" s="113"/>
      <c r="GG315" s="113"/>
      <c r="GH315" s="113"/>
      <c r="GI315" s="113"/>
      <c r="GJ315" s="113"/>
      <c r="GK315" s="113"/>
      <c r="GL315" s="113"/>
      <c r="GM315" s="113"/>
      <c r="GN315" s="113"/>
      <c r="GO315" s="113"/>
      <c r="GP315" s="113"/>
      <c r="GQ315" s="113"/>
      <c r="GR315" s="113"/>
      <c r="GS315" s="113"/>
      <c r="GT315" s="113"/>
      <c r="GU315" s="113"/>
      <c r="GV315" s="113"/>
      <c r="GW315" s="113"/>
      <c r="GX315" s="113"/>
      <c r="GY315" s="113"/>
      <c r="GZ315" s="113"/>
      <c r="HA315" s="113"/>
      <c r="HB315" s="113"/>
      <c r="HC315" s="113"/>
      <c r="HD315" s="113"/>
      <c r="HE315" s="113"/>
      <c r="HF315" s="113"/>
      <c r="HG315" s="113"/>
      <c r="HH315" s="113"/>
      <c r="HI315" s="113"/>
      <c r="HJ315" s="113"/>
      <c r="HK315" s="113"/>
      <c r="HL315" s="113"/>
      <c r="HM315" s="113"/>
      <c r="HN315" s="113"/>
      <c r="HO315" s="113"/>
      <c r="HP315" s="113"/>
      <c r="HQ315" s="113"/>
      <c r="HR315" s="113"/>
      <c r="HS315" s="113"/>
      <c r="HT315" s="113"/>
      <c r="HU315" s="113"/>
      <c r="HV315" s="113"/>
      <c r="HW315" s="113"/>
      <c r="HX315" s="113"/>
      <c r="HY315" s="113"/>
      <c r="HZ315" s="113"/>
      <c r="IA315" s="113"/>
      <c r="IB315" s="113"/>
      <c r="IC315" s="113"/>
      <c r="ID315" s="113"/>
      <c r="IE315" s="113"/>
      <c r="IF315" s="113"/>
      <c r="IG315" s="113"/>
      <c r="IH315" s="113"/>
      <c r="II315" s="113"/>
      <c r="IJ315" s="113"/>
      <c r="IK315" s="113"/>
      <c r="IL315" s="113"/>
      <c r="IM315" s="113"/>
      <c r="IN315" s="113"/>
      <c r="IO315" s="113"/>
      <c r="IP315" s="113"/>
      <c r="IQ315" s="113"/>
      <c r="IR315" s="113"/>
      <c r="IS315" s="113"/>
      <c r="IT315" s="113"/>
      <c r="IU315" s="113"/>
      <c r="IV315" s="113"/>
      <c r="IW315" s="113"/>
      <c r="IX315" s="113"/>
      <c r="IY315" s="113"/>
      <c r="IZ315" s="113"/>
      <c r="JA315" s="113"/>
      <c r="JB315" s="113"/>
      <c r="JC315" s="113"/>
      <c r="JD315" s="113"/>
      <c r="JE315" s="113"/>
      <c r="JF315" s="113"/>
      <c r="JG315" s="113"/>
      <c r="JH315" s="113"/>
      <c r="JI315" s="113"/>
      <c r="JJ315" s="113"/>
      <c r="JK315" s="113"/>
      <c r="JL315" s="113"/>
      <c r="JM315" s="113"/>
      <c r="JN315" s="113"/>
      <c r="JO315" s="113"/>
      <c r="JP315" s="113"/>
      <c r="JQ315" s="113"/>
      <c r="JR315" s="113"/>
      <c r="JS315" s="113"/>
      <c r="JT315" s="113"/>
      <c r="JU315" s="113"/>
      <c r="JV315" s="113"/>
      <c r="JW315" s="113"/>
      <c r="JX315" s="113"/>
      <c r="JY315" s="113"/>
      <c r="JZ315" s="113"/>
      <c r="KA315" s="113"/>
      <c r="KB315" s="113"/>
      <c r="KC315" s="113"/>
      <c r="KD315" s="113"/>
      <c r="KE315" s="113"/>
      <c r="KF315" s="113"/>
      <c r="KG315" s="113"/>
      <c r="KH315" s="113"/>
      <c r="KI315" s="113"/>
      <c r="KJ315" s="113"/>
      <c r="KK315" s="113"/>
      <c r="KL315" s="113"/>
      <c r="KM315" s="113"/>
      <c r="KN315" s="113"/>
      <c r="KO315" s="113"/>
      <c r="KP315" s="113"/>
      <c r="KQ315" s="113"/>
      <c r="KR315" s="113"/>
      <c r="KS315" s="113"/>
      <c r="KT315" s="113"/>
      <c r="KU315" s="113"/>
      <c r="KV315" s="113"/>
      <c r="KW315" s="113"/>
      <c r="KX315" s="113"/>
      <c r="KY315" s="113"/>
      <c r="KZ315" s="113"/>
      <c r="LA315" s="113"/>
      <c r="LB315" s="113"/>
      <c r="LC315" s="113"/>
      <c r="LD315" s="113"/>
      <c r="LE315" s="113"/>
      <c r="LF315" s="113"/>
      <c r="LG315" s="113"/>
      <c r="LH315" s="113"/>
      <c r="LI315" s="113"/>
      <c r="LJ315" s="113"/>
      <c r="LK315" s="113"/>
      <c r="LL315" s="113"/>
      <c r="LM315" s="113"/>
      <c r="LN315" s="113"/>
      <c r="LO315" s="113"/>
      <c r="LP315" s="113"/>
      <c r="LQ315" s="113"/>
      <c r="LR315" s="113"/>
      <c r="LS315" s="113"/>
      <c r="LT315" s="113"/>
      <c r="LU315" s="113"/>
      <c r="LV315" s="113"/>
      <c r="LW315" s="113"/>
      <c r="LX315" s="113"/>
      <c r="LY315" s="113"/>
      <c r="LZ315" s="113"/>
      <c r="MA315" s="113"/>
      <c r="MB315" s="113"/>
      <c r="MC315" s="113"/>
      <c r="MD315" s="113"/>
      <c r="ME315" s="113"/>
      <c r="MF315" s="113"/>
      <c r="MG315" s="113"/>
      <c r="MH315" s="113"/>
      <c r="MI315" s="113"/>
      <c r="MJ315" s="113"/>
      <c r="MK315" s="113"/>
      <c r="ML315" s="113"/>
      <c r="MM315" s="113"/>
      <c r="MN315" s="113"/>
      <c r="MO315" s="113"/>
      <c r="MP315" s="113"/>
      <c r="MQ315" s="113"/>
      <c r="MR315" s="113"/>
      <c r="MS315" s="113"/>
      <c r="MT315" s="113"/>
      <c r="MU315" s="113"/>
      <c r="MV315" s="113"/>
      <c r="MW315" s="113"/>
      <c r="MX315" s="113"/>
      <c r="MY315" s="113"/>
      <c r="MZ315" s="113"/>
      <c r="NA315" s="113"/>
      <c r="NB315" s="113"/>
      <c r="NC315" s="113"/>
      <c r="ND315" s="113"/>
      <c r="NE315" s="113"/>
      <c r="NF315" s="113"/>
      <c r="NG315" s="113"/>
      <c r="NH315" s="113"/>
      <c r="NI315" s="113"/>
      <c r="NJ315" s="113"/>
      <c r="NK315" s="113"/>
      <c r="NL315" s="113"/>
      <c r="NM315" s="113"/>
      <c r="NN315" s="113"/>
      <c r="NO315" s="113"/>
      <c r="NP315" s="113"/>
      <c r="NQ315" s="113"/>
      <c r="NR315" s="113"/>
      <c r="NS315" s="113"/>
      <c r="NT315" s="113"/>
      <c r="NU315" s="113"/>
      <c r="NV315" s="113"/>
      <c r="NW315" s="113"/>
      <c r="NX315" s="113"/>
      <c r="NY315" s="113"/>
      <c r="NZ315" s="113"/>
      <c r="OA315" s="113"/>
      <c r="OB315" s="113"/>
      <c r="OC315" s="113"/>
      <c r="OD315" s="113"/>
      <c r="OE315" s="113"/>
      <c r="OF315" s="113"/>
      <c r="OG315" s="113"/>
      <c r="OH315" s="113"/>
      <c r="OI315" s="113"/>
      <c r="OJ315" s="113"/>
      <c r="OK315" s="113"/>
      <c r="OL315" s="113"/>
      <c r="OM315" s="113"/>
      <c r="ON315" s="113"/>
      <c r="OO315" s="113"/>
      <c r="OP315" s="113"/>
      <c r="OQ315" s="113"/>
      <c r="OR315" s="113"/>
      <c r="OS315" s="113"/>
      <c r="OT315" s="113"/>
      <c r="OU315" s="113"/>
      <c r="OV315" s="113"/>
      <c r="OW315" s="113"/>
      <c r="OX315" s="113"/>
      <c r="OY315" s="113"/>
      <c r="OZ315" s="113"/>
      <c r="PA315" s="113"/>
      <c r="PB315" s="113"/>
      <c r="PC315" s="113"/>
      <c r="PD315" s="113"/>
      <c r="PE315" s="113"/>
      <c r="PF315" s="113"/>
      <c r="PG315" s="113"/>
      <c r="PH315" s="113"/>
      <c r="PI315" s="113"/>
      <c r="PJ315" s="113"/>
      <c r="PK315" s="113"/>
      <c r="PL315" s="113"/>
      <c r="PM315" s="113"/>
      <c r="PN315" s="113"/>
      <c r="PO315" s="113"/>
      <c r="PP315" s="113"/>
      <c r="PQ315" s="113"/>
      <c r="PR315" s="113"/>
      <c r="PS315" s="113"/>
      <c r="PT315" s="113"/>
      <c r="PU315" s="113"/>
      <c r="PV315" s="113"/>
      <c r="PW315" s="113"/>
      <c r="PX315" s="113"/>
      <c r="PY315" s="113"/>
      <c r="PZ315" s="113"/>
      <c r="QA315" s="113"/>
      <c r="QB315" s="113"/>
      <c r="QC315" s="113"/>
      <c r="QD315" s="113"/>
      <c r="QE315" s="113"/>
      <c r="QF315" s="113"/>
      <c r="QG315" s="113"/>
      <c r="QH315" s="113"/>
      <c r="QI315" s="113"/>
      <c r="QJ315" s="113"/>
      <c r="QK315" s="113"/>
      <c r="QL315" s="113"/>
      <c r="QM315" s="113"/>
      <c r="QN315" s="113"/>
      <c r="QO315" s="113"/>
      <c r="QP315" s="113"/>
      <c r="QQ315" s="113"/>
      <c r="QR315" s="113"/>
      <c r="QS315" s="113"/>
      <c r="QT315" s="113"/>
      <c r="QU315" s="113"/>
      <c r="QV315" s="113"/>
      <c r="QW315" s="113"/>
      <c r="QX315" s="113"/>
      <c r="QY315" s="113"/>
      <c r="QZ315" s="113"/>
      <c r="RA315" s="113"/>
      <c r="RB315" s="113"/>
      <c r="RC315" s="113"/>
      <c r="RD315" s="113"/>
      <c r="RE315" s="113"/>
      <c r="RF315" s="113"/>
      <c r="RG315" s="113"/>
      <c r="RH315" s="113"/>
      <c r="RI315" s="113"/>
      <c r="RJ315" s="113"/>
      <c r="RK315" s="113"/>
      <c r="RL315" s="113"/>
      <c r="RM315" s="113"/>
      <c r="RN315" s="113"/>
      <c r="RO315" s="113"/>
      <c r="RP315" s="113"/>
      <c r="RQ315" s="113"/>
      <c r="RR315" s="113"/>
      <c r="RS315" s="113"/>
      <c r="RT315" s="113"/>
      <c r="RU315" s="113"/>
      <c r="RV315" s="113"/>
      <c r="RW315" s="113"/>
      <c r="RX315" s="113"/>
      <c r="RY315" s="113"/>
      <c r="RZ315" s="113"/>
      <c r="SA315" s="113"/>
      <c r="SB315" s="113"/>
      <c r="SC315" s="113"/>
      <c r="SD315" s="113"/>
      <c r="SE315" s="113"/>
      <c r="SF315" s="113"/>
      <c r="SG315" s="113"/>
      <c r="SH315" s="113"/>
      <c r="SI315" s="113"/>
      <c r="SJ315" s="113"/>
      <c r="SK315" s="113"/>
      <c r="SL315" s="113"/>
      <c r="SM315" s="113"/>
      <c r="SN315" s="113"/>
      <c r="SO315" s="113"/>
      <c r="SP315" s="113"/>
      <c r="SQ315" s="113"/>
      <c r="SR315" s="113"/>
      <c r="SS315" s="113"/>
      <c r="ST315" s="113"/>
      <c r="SU315" s="113"/>
      <c r="SV315" s="113"/>
      <c r="SW315" s="113"/>
      <c r="SX315" s="113"/>
      <c r="SY315" s="113"/>
      <c r="SZ315" s="113"/>
      <c r="TA315" s="113"/>
      <c r="TB315" s="113"/>
      <c r="TC315" s="113"/>
      <c r="TD315" s="113"/>
      <c r="TE315" s="113"/>
      <c r="TF315" s="113"/>
      <c r="TG315" s="113"/>
      <c r="TH315" s="113"/>
      <c r="TI315" s="113"/>
      <c r="TJ315" s="113"/>
      <c r="TK315" s="113"/>
      <c r="TL315" s="113"/>
      <c r="TM315" s="113"/>
      <c r="TN315" s="113"/>
      <c r="TO315" s="113"/>
      <c r="TP315" s="113"/>
      <c r="TQ315" s="113"/>
      <c r="TR315" s="113"/>
      <c r="TS315" s="113"/>
      <c r="TT315" s="113"/>
      <c r="TU315" s="113"/>
      <c r="TV315" s="113"/>
      <c r="TW315" s="113"/>
      <c r="TX315" s="113"/>
      <c r="TY315" s="113"/>
      <c r="TZ315" s="113"/>
      <c r="UA315" s="113"/>
      <c r="UB315" s="113"/>
      <c r="UC315" s="113"/>
      <c r="UD315" s="113"/>
      <c r="UE315" s="113"/>
      <c r="UF315" s="113"/>
      <c r="UG315" s="113"/>
      <c r="UH315" s="113"/>
      <c r="UI315" s="113"/>
      <c r="UJ315" s="113"/>
      <c r="UK315" s="113"/>
      <c r="UL315" s="113"/>
      <c r="UM315" s="113"/>
      <c r="UN315" s="113"/>
      <c r="UO315" s="113"/>
      <c r="UP315" s="113"/>
      <c r="UQ315" s="113"/>
      <c r="UR315" s="113"/>
      <c r="US315" s="113"/>
      <c r="UT315" s="113"/>
      <c r="UU315" s="113"/>
      <c r="UV315" s="113"/>
      <c r="UW315" s="113"/>
      <c r="UX315" s="113"/>
      <c r="UY315" s="113"/>
      <c r="UZ315" s="113"/>
      <c r="VA315" s="113"/>
      <c r="VB315" s="113"/>
      <c r="VC315" s="113"/>
      <c r="VD315" s="113"/>
      <c r="VE315" s="113"/>
      <c r="VF315" s="113"/>
      <c r="VG315" s="113"/>
      <c r="VH315" s="113"/>
      <c r="VI315" s="113"/>
      <c r="VJ315" s="113"/>
      <c r="VK315" s="113"/>
      <c r="VL315" s="113"/>
      <c r="VM315" s="113"/>
      <c r="VN315" s="113"/>
      <c r="VO315" s="113"/>
      <c r="VP315" s="113"/>
      <c r="VQ315" s="113"/>
      <c r="VR315" s="113"/>
      <c r="VS315" s="113"/>
      <c r="VT315" s="113"/>
      <c r="VU315" s="113"/>
      <c r="VV315" s="113"/>
      <c r="VW315" s="113"/>
      <c r="VX315" s="113"/>
      <c r="VY315" s="113"/>
      <c r="VZ315" s="113"/>
      <c r="WA315" s="113"/>
      <c r="WB315" s="113"/>
      <c r="WC315" s="113"/>
      <c r="WD315" s="113"/>
      <c r="WE315" s="113"/>
      <c r="WF315" s="113"/>
      <c r="WG315" s="113"/>
      <c r="WH315" s="113"/>
      <c r="WI315" s="113"/>
      <c r="WJ315" s="113"/>
      <c r="WK315" s="113"/>
      <c r="WL315" s="113"/>
      <c r="WM315" s="113"/>
      <c r="WN315" s="113"/>
      <c r="WO315" s="113"/>
      <c r="WP315" s="113"/>
      <c r="WQ315" s="113"/>
      <c r="WR315" s="113"/>
      <c r="WS315" s="113"/>
      <c r="WT315" s="113"/>
      <c r="WU315" s="113"/>
      <c r="WV315" s="113"/>
      <c r="WW315" s="113"/>
      <c r="WX315" s="113"/>
      <c r="WY315" s="113"/>
      <c r="WZ315" s="113"/>
      <c r="XA315" s="113"/>
      <c r="XB315" s="113"/>
      <c r="XC315" s="113"/>
      <c r="XD315" s="113"/>
      <c r="XE315" s="113"/>
      <c r="XF315" s="113"/>
      <c r="XG315" s="113"/>
      <c r="XH315" s="113"/>
      <c r="XI315" s="113"/>
      <c r="XJ315" s="113"/>
      <c r="XK315" s="113"/>
      <c r="XL315" s="113"/>
      <c r="XM315" s="113"/>
      <c r="XN315" s="113"/>
      <c r="XO315" s="113"/>
      <c r="XP315" s="113"/>
      <c r="XQ315" s="113"/>
      <c r="XR315" s="113"/>
      <c r="XS315" s="113"/>
      <c r="XT315" s="113"/>
      <c r="XU315" s="113"/>
      <c r="XV315" s="113"/>
      <c r="XW315" s="113"/>
      <c r="XX315" s="113"/>
      <c r="XY315" s="113"/>
      <c r="XZ315" s="113"/>
      <c r="YA315" s="113"/>
      <c r="YB315" s="113"/>
      <c r="YC315" s="113"/>
      <c r="YD315" s="113"/>
      <c r="YE315" s="113"/>
      <c r="YF315" s="113"/>
      <c r="YG315" s="113"/>
      <c r="YH315" s="113"/>
      <c r="YI315" s="113"/>
      <c r="YJ315" s="113"/>
      <c r="YK315" s="113"/>
      <c r="YL315" s="113"/>
      <c r="YM315" s="113"/>
      <c r="YN315" s="113"/>
      <c r="YO315" s="113"/>
      <c r="YP315" s="113"/>
      <c r="YQ315" s="113"/>
      <c r="YR315" s="113"/>
      <c r="YS315" s="113"/>
      <c r="YT315" s="113"/>
      <c r="YU315" s="113"/>
      <c r="YV315" s="113"/>
      <c r="YW315" s="113"/>
      <c r="YX315" s="113"/>
      <c r="YY315" s="113"/>
      <c r="YZ315" s="113"/>
      <c r="ZA315" s="113"/>
      <c r="ZB315" s="113"/>
      <c r="ZC315" s="113"/>
      <c r="ZD315" s="113"/>
      <c r="ZE315" s="113"/>
      <c r="ZF315" s="113"/>
      <c r="ZG315" s="113"/>
      <c r="ZH315" s="113"/>
      <c r="ZI315" s="113"/>
      <c r="ZJ315" s="113"/>
      <c r="ZK315" s="113"/>
      <c r="ZL315" s="113"/>
      <c r="ZM315" s="113"/>
      <c r="ZN315" s="113"/>
      <c r="ZO315" s="113"/>
      <c r="ZP315" s="113"/>
      <c r="ZQ315" s="113"/>
      <c r="ZR315" s="113"/>
      <c r="ZS315" s="113"/>
      <c r="ZT315" s="113"/>
      <c r="ZU315" s="113"/>
      <c r="ZV315" s="113"/>
      <c r="ZW315" s="113"/>
      <c r="ZX315" s="113"/>
      <c r="ZY315" s="113"/>
      <c r="ZZ315" s="113"/>
      <c r="AAA315" s="113"/>
      <c r="AAB315" s="113"/>
      <c r="AAC315" s="113"/>
      <c r="AAD315" s="113"/>
      <c r="AAE315" s="113"/>
      <c r="AAF315" s="113"/>
      <c r="AAG315" s="113"/>
      <c r="AAH315" s="113"/>
      <c r="AAI315" s="113"/>
      <c r="AAJ315" s="113"/>
      <c r="AAK315" s="113"/>
      <c r="AAL315" s="113"/>
      <c r="AAM315" s="113"/>
      <c r="AAN315" s="113"/>
      <c r="AAO315" s="113"/>
      <c r="AAP315" s="113"/>
      <c r="AAQ315" s="113"/>
      <c r="AAR315" s="113"/>
      <c r="AAS315" s="113"/>
      <c r="AAT315" s="113"/>
      <c r="AAU315" s="113"/>
      <c r="AAV315" s="113"/>
      <c r="AAW315" s="113"/>
      <c r="AAX315" s="113"/>
      <c r="AAY315" s="113"/>
      <c r="AAZ315" s="113"/>
      <c r="ABA315" s="113"/>
      <c r="ABB315" s="113"/>
      <c r="ABC315" s="113"/>
      <c r="ABD315" s="113"/>
      <c r="ABE315" s="113"/>
      <c r="ABF315" s="113"/>
      <c r="ABG315" s="113"/>
      <c r="ABH315" s="113"/>
      <c r="ABI315" s="113"/>
      <c r="ABJ315" s="113"/>
      <c r="ABK315" s="113"/>
      <c r="ABL315" s="113"/>
      <c r="ABM315" s="113"/>
      <c r="ABN315" s="113"/>
      <c r="ABO315" s="113"/>
      <c r="ABP315" s="113"/>
      <c r="ABQ315" s="113"/>
      <c r="ABR315" s="113"/>
      <c r="ABS315" s="113"/>
      <c r="ABT315" s="113"/>
      <c r="ABU315" s="113"/>
      <c r="ABV315" s="113"/>
      <c r="ABW315" s="113"/>
      <c r="ABX315" s="113"/>
      <c r="ABY315" s="113"/>
      <c r="ABZ315" s="113"/>
      <c r="ACA315" s="113"/>
      <c r="ACB315" s="113"/>
      <c r="ACC315" s="113"/>
      <c r="ACD315" s="113"/>
      <c r="ACE315" s="113"/>
      <c r="ACF315" s="113"/>
      <c r="ACG315" s="113"/>
      <c r="ACH315" s="113"/>
      <c r="ACI315" s="113"/>
      <c r="ACJ315" s="113"/>
      <c r="ACK315" s="113"/>
      <c r="ACL315" s="113"/>
      <c r="ACM315" s="113"/>
      <c r="ACN315" s="113"/>
      <c r="ACO315" s="113"/>
      <c r="ACP315" s="113"/>
      <c r="ACQ315" s="113"/>
      <c r="ACR315" s="113"/>
      <c r="ACS315" s="113"/>
      <c r="ACT315" s="113"/>
      <c r="ACU315" s="113"/>
      <c r="ACV315" s="113"/>
      <c r="ACW315" s="113"/>
      <c r="ACX315" s="113"/>
      <c r="ACY315" s="113"/>
      <c r="ACZ315" s="113"/>
      <c r="ADA315" s="113"/>
      <c r="ADB315" s="113"/>
      <c r="ADC315" s="113"/>
      <c r="ADD315" s="113"/>
      <c r="ADE315" s="113"/>
      <c r="ADF315" s="113"/>
      <c r="ADG315" s="113"/>
      <c r="ADH315" s="113"/>
      <c r="ADI315" s="113"/>
      <c r="ADJ315" s="113"/>
      <c r="ADK315" s="113"/>
      <c r="ADL315" s="113"/>
      <c r="ADM315" s="113"/>
      <c r="ADN315" s="113"/>
      <c r="ADO315" s="113"/>
      <c r="ADP315" s="113"/>
      <c r="ADQ315" s="113"/>
      <c r="ADR315" s="113"/>
      <c r="ADS315" s="113"/>
      <c r="ADT315" s="113"/>
      <c r="ADU315" s="113"/>
      <c r="ADV315" s="113"/>
      <c r="ADW315" s="113"/>
      <c r="ADX315" s="113"/>
      <c r="ADY315" s="113"/>
      <c r="ADZ315" s="113"/>
      <c r="AEA315" s="113"/>
      <c r="AEB315" s="113"/>
      <c r="AEC315" s="113"/>
      <c r="AED315" s="113"/>
      <c r="AEE315" s="113"/>
      <c r="AEF315" s="113"/>
      <c r="AEG315" s="113"/>
      <c r="AEH315" s="113"/>
      <c r="AEI315" s="113"/>
      <c r="AEJ315" s="113"/>
      <c r="AEK315" s="113"/>
      <c r="AEL315" s="113"/>
      <c r="AEM315" s="113"/>
      <c r="AEN315" s="113"/>
      <c r="AEO315" s="113"/>
      <c r="AEP315" s="113"/>
      <c r="AEQ315" s="113"/>
      <c r="AER315" s="113"/>
      <c r="AES315" s="113"/>
      <c r="AET315" s="113"/>
      <c r="AEU315" s="113"/>
      <c r="AEV315" s="113"/>
      <c r="AEW315" s="113"/>
      <c r="AEX315" s="113"/>
      <c r="AEY315" s="113"/>
      <c r="AEZ315" s="113"/>
      <c r="AFA315" s="113"/>
      <c r="AFB315" s="113"/>
      <c r="AFC315" s="113"/>
      <c r="AFD315" s="113"/>
      <c r="AFE315" s="113"/>
      <c r="AFF315" s="113"/>
      <c r="AFG315" s="113"/>
      <c r="AFH315" s="113"/>
      <c r="AFI315" s="113"/>
      <c r="AFJ315" s="113"/>
      <c r="AFK315" s="113"/>
      <c r="AFL315" s="113"/>
      <c r="AFM315" s="113"/>
      <c r="AFN315" s="113"/>
      <c r="AFO315" s="113"/>
      <c r="AFP315" s="113"/>
      <c r="AFQ315" s="113"/>
      <c r="AFR315" s="113"/>
      <c r="AFS315" s="113"/>
      <c r="AFT315" s="113"/>
      <c r="AFU315" s="113"/>
      <c r="AFV315" s="113"/>
      <c r="AFW315" s="113"/>
      <c r="AFX315" s="113"/>
      <c r="AFY315" s="113"/>
      <c r="AFZ315" s="113"/>
      <c r="AGA315" s="113"/>
      <c r="AGB315" s="113"/>
      <c r="AGC315" s="113"/>
      <c r="AGD315" s="113"/>
      <c r="AGE315" s="113"/>
      <c r="AGF315" s="113"/>
      <c r="AGG315" s="113"/>
      <c r="AGH315" s="113"/>
      <c r="AGI315" s="113"/>
      <c r="AGJ315" s="113"/>
      <c r="AGK315" s="113"/>
      <c r="AGL315" s="113"/>
      <c r="AGM315" s="113"/>
      <c r="AGN315" s="113"/>
      <c r="AGO315" s="113"/>
      <c r="AGP315" s="113"/>
      <c r="AGQ315" s="113"/>
      <c r="AGR315" s="113"/>
      <c r="AGS315" s="113"/>
      <c r="AGT315" s="113"/>
      <c r="AGU315" s="113"/>
      <c r="AGV315" s="113"/>
      <c r="AGW315" s="113"/>
      <c r="AGX315" s="113"/>
      <c r="AGY315" s="113"/>
      <c r="AGZ315" s="113"/>
      <c r="AHA315" s="113"/>
      <c r="AHB315" s="113"/>
      <c r="AHC315" s="113"/>
      <c r="AHD315" s="113"/>
      <c r="AHE315" s="113"/>
      <c r="AHF315" s="113"/>
      <c r="AHG315" s="113"/>
      <c r="AHH315" s="113"/>
      <c r="AHI315" s="113"/>
      <c r="AHJ315" s="113"/>
      <c r="AHK315" s="113"/>
      <c r="AHL315" s="113"/>
      <c r="AHM315" s="113"/>
      <c r="AHN315" s="113"/>
      <c r="AHO315" s="113"/>
      <c r="AHP315" s="113"/>
      <c r="AHQ315" s="113"/>
      <c r="AHR315" s="113"/>
      <c r="AHS315" s="113"/>
      <c r="AHT315" s="113"/>
      <c r="AHU315" s="113"/>
      <c r="AHV315" s="113"/>
      <c r="AHW315" s="113"/>
      <c r="AHX315" s="113"/>
      <c r="AHY315" s="113"/>
      <c r="AHZ315" s="113"/>
      <c r="AIA315" s="113"/>
      <c r="AIB315" s="113"/>
      <c r="AIC315" s="113"/>
      <c r="AID315" s="113"/>
      <c r="AIE315" s="113"/>
      <c r="AIF315" s="113"/>
      <c r="AIG315" s="113"/>
      <c r="AIH315" s="113"/>
      <c r="AII315" s="113"/>
      <c r="AIJ315" s="113"/>
      <c r="AIK315" s="113"/>
      <c r="AIL315" s="113"/>
      <c r="AIM315" s="113"/>
      <c r="AIN315" s="113"/>
      <c r="AIO315" s="113"/>
      <c r="AIP315" s="113"/>
      <c r="AIQ315" s="113"/>
      <c r="AIR315" s="113"/>
      <c r="AIS315" s="113"/>
      <c r="AIT315" s="113"/>
      <c r="AIU315" s="113"/>
      <c r="AIV315" s="113"/>
      <c r="AIW315" s="113"/>
      <c r="AIX315" s="113"/>
      <c r="AIY315" s="113"/>
      <c r="AIZ315" s="113"/>
    </row>
    <row r="316">
      <c r="A316" s="65" t="s">
        <v>17</v>
      </c>
      <c r="B316" s="65" t="s">
        <v>18</v>
      </c>
      <c r="C316" s="65"/>
      <c r="D316" s="64">
        <f t="shared" si="1"/>
        <v>494.1568667</v>
      </c>
      <c r="G316" s="65">
        <v>36.05305</v>
      </c>
      <c r="H316" s="65">
        <v>10.36625</v>
      </c>
      <c r="I316" s="65">
        <v>2.72863333333333</v>
      </c>
      <c r="N316" s="65">
        <v>5.50986666666667</v>
      </c>
      <c r="R316" s="65">
        <v>5.19938333333333</v>
      </c>
      <c r="S316" s="65">
        <v>10.5684333333333</v>
      </c>
      <c r="T316" s="65">
        <v>1.20586666666667</v>
      </c>
      <c r="Y316" s="65">
        <v>17.1679166666667</v>
      </c>
      <c r="Z316" s="65">
        <v>22.4159833333333</v>
      </c>
      <c r="AA316" s="65">
        <v>8.43968333333333</v>
      </c>
      <c r="AF316" s="65">
        <v>33.4955166666666</v>
      </c>
      <c r="AG316" s="65">
        <v>152.769</v>
      </c>
      <c r="AH316" s="65">
        <v>62.8462999999999</v>
      </c>
      <c r="AI316" s="65">
        <v>13.34315</v>
      </c>
      <c r="AL316" s="65">
        <v>15.9141166666667</v>
      </c>
      <c r="AM316" s="65">
        <v>0.434033333333333</v>
      </c>
      <c r="AN316" s="65">
        <v>2.29245</v>
      </c>
      <c r="AQ316" s="65">
        <v>41.7856333333333</v>
      </c>
      <c r="AR316" s="65">
        <v>8.5513</v>
      </c>
      <c r="AU316" s="65">
        <v>43.0703</v>
      </c>
    </row>
    <row r="317">
      <c r="A317" s="65" t="s">
        <v>17</v>
      </c>
      <c r="B317" s="65" t="s">
        <v>18</v>
      </c>
      <c r="C317" s="65"/>
      <c r="D317" s="64">
        <f t="shared" si="1"/>
        <v>0</v>
      </c>
    </row>
    <row r="318">
      <c r="A318" s="65" t="s">
        <v>17</v>
      </c>
      <c r="B318" s="65" t="s">
        <v>18</v>
      </c>
      <c r="C318" s="65"/>
      <c r="D318" s="64">
        <f t="shared" si="1"/>
        <v>493.2478667</v>
      </c>
      <c r="G318" s="118">
        <f>HYPERLINK("https://docs.google.com/spreadsheets/d/1F30t4WQMgwrxbiOg8g9AjlhNoJXevgwg", 36.05305)</f>
        <v>36.05305</v>
      </c>
      <c r="H318" s="118">
        <f>HYPERLINK("https://docs.google.com/spreadsheets/d/1A3y8mgLTzKS8a_PDuzDOigny_kmVwr7E", 10.3406333333333)</f>
        <v>10.34063333</v>
      </c>
      <c r="I318" s="118">
        <f>HYPERLINK("https://docs.google.com/spreadsheets/d/1NBk4jdcli18kJ-Sw68aOcW2kNqEvk43s", 2.72863333333333)</f>
        <v>2.728633333</v>
      </c>
      <c r="N318" s="118">
        <f>HYPERLINK("https://docs.google.com/spreadsheets/d/1hwVImNSOTIwnxEzUE0Y32xQYkcwneeGW", 5.50986666666667)</f>
        <v>5.509866667</v>
      </c>
      <c r="R318" s="118">
        <f>HYPERLINK("https://docs.google.com/spreadsheets/d/1KugIy3XBiXu90vf9bDnApECmrHNeWmWt", 5.19938333333333)</f>
        <v>5.199383333</v>
      </c>
      <c r="S318" s="118">
        <f>HYPERLINK("https://docs.google.com/spreadsheets/d/1nomxzo9CxaHNnCpcvkWQ7M-WOry-PXqy", 10.4061333333333)</f>
        <v>10.40613333</v>
      </c>
      <c r="T318" s="118">
        <f>HYPERLINK("https://docs.google.com/spreadsheets/d/12jZtjzoGBHq3lZ1UMdP1zPO6qxiDhsSN", 1.20586666666667)</f>
        <v>1.205866667</v>
      </c>
      <c r="Y318" s="118">
        <f>HYPERLINK("https://docs.google.com/spreadsheets/d/1qc2CdLNsVW713pxyP7M-s2nsEvONXy1W", 17.16795)</f>
        <v>17.16795</v>
      </c>
      <c r="Z318" s="118">
        <f>HYPERLINK("https://docs.google.com/spreadsheets/d/1EMywybeWmaGUliGxg_AEHh7WIa9FrexK", 22.4159833333333)</f>
        <v>22.41598333</v>
      </c>
      <c r="AA318" s="118">
        <f>HYPERLINK("https://docs.google.com/spreadsheets/d/1Z_u3UVuO0WhTHKnmHgy_ZCWcAKWLEDoT", 8.43966666666666)</f>
        <v>8.439666667</v>
      </c>
      <c r="AF318" s="118">
        <f>HYPERLINK("https://docs.google.com/spreadsheets/d/1vzcecBnjYEy1Ru0AXSeLNE3pP9iB3BuX", 33.4954833333333)</f>
        <v>33.49548333</v>
      </c>
      <c r="AG318" s="118">
        <f>HYPERLINK("https://docs.google.com/spreadsheets/d/1zX_Y5skYzHsS8gqat8GpevCPEC3HCHgP", 152.52925)</f>
        <v>152.52925</v>
      </c>
      <c r="AH318" s="118">
        <f>HYPERLINK("https://docs.google.com/spreadsheets/d/1JcL9kWspiNu9NwNuXt_XkdONxQmVzUUz", 62.8462999999999)</f>
        <v>62.8463</v>
      </c>
      <c r="AI318" s="118">
        <f>HYPERLINK("https://docs.google.com/spreadsheets/d/1YX4m63P-K5L35UFQPqiq6X2NZR7MYJ3I", 13.0976833333333)</f>
        <v>13.09768333</v>
      </c>
      <c r="AL318" s="118">
        <f>HYPERLINK("https://docs.google.com/spreadsheets/d/1UVzOPDA7OyziZPN3wVoJ37VXEDpxiJLL", 15.9141166666667)</f>
        <v>15.91411667</v>
      </c>
      <c r="AM318" s="118">
        <f>HYPERLINK("https://docs.google.com/spreadsheets/d/1-1FiiouQvVMp4lAlYZ_JuGPgWGBhnS3K", 0.434033333333333)</f>
        <v>0.4340333333</v>
      </c>
      <c r="AN318" s="118">
        <f>HYPERLINK("https://docs.google.com/spreadsheets/d/1bi9sAS6E03FhqC-pLuFW0l5MPGydBmB5", 2.29245)</f>
        <v>2.29245</v>
      </c>
      <c r="AQ318" s="118">
        <f>HYPERLINK("https://docs.google.com/spreadsheets/d/1w7uT6DD8OVFaq5orsqkCCCxIBeXA7N2s", 41.6174666666667)</f>
        <v>41.61746667</v>
      </c>
      <c r="AR318" s="118">
        <f>HYPERLINK("https://docs.google.com/spreadsheets/d/11IojbntpJRX06a-D6MUawRO2K_bYAq9i", 8.5513)</f>
        <v>8.5513</v>
      </c>
      <c r="AU318" s="118">
        <f>HYPERLINK("https://docs.google.com/spreadsheets/d/1XJM6S2Q6BzubRIIye_GHWSFuboCfOsR7", 43.0026166666667)</f>
        <v>43.00261667</v>
      </c>
    </row>
    <row r="319">
      <c r="A319" s="65" t="s">
        <v>17</v>
      </c>
      <c r="B319" s="65" t="s">
        <v>18</v>
      </c>
      <c r="C319" s="65"/>
      <c r="D319" s="64">
        <f t="shared" si="1"/>
        <v>381.4809</v>
      </c>
      <c r="G319" s="65">
        <v>33.27905</v>
      </c>
      <c r="H319" s="65">
        <v>9.57015</v>
      </c>
      <c r="I319" s="65">
        <v>2.72863333333333</v>
      </c>
      <c r="N319" s="65">
        <v>5.07851666666667</v>
      </c>
      <c r="R319" s="65">
        <v>2.18188333333333</v>
      </c>
      <c r="S319" s="65">
        <v>7.04825</v>
      </c>
      <c r="T319" s="65">
        <v>0.62385</v>
      </c>
      <c r="Y319" s="65">
        <v>9.15393333333333</v>
      </c>
      <c r="Z319" s="65">
        <v>15.3069666666667</v>
      </c>
      <c r="AA319" s="65">
        <v>5.55523333333333</v>
      </c>
      <c r="AF319" s="65">
        <v>19.25245</v>
      </c>
      <c r="AG319" s="65">
        <v>120.236333333333</v>
      </c>
      <c r="AH319" s="65">
        <v>50.7814333333333</v>
      </c>
      <c r="AI319" s="65">
        <v>8.8134</v>
      </c>
      <c r="AL319" s="65">
        <v>12.5984833333333</v>
      </c>
      <c r="AM319" s="65">
        <v>0.210883333333333</v>
      </c>
      <c r="AN319" s="65">
        <v>1.77353333333333</v>
      </c>
      <c r="AQ319" s="65">
        <v>29.30985</v>
      </c>
      <c r="AR319" s="65">
        <v>7.41665</v>
      </c>
      <c r="AU319" s="65">
        <v>40.5614166666667</v>
      </c>
    </row>
    <row r="320">
      <c r="A320" s="119" t="s">
        <v>17</v>
      </c>
      <c r="B320" s="119" t="s">
        <v>18</v>
      </c>
      <c r="C320" s="119"/>
      <c r="D320" s="120">
        <f t="shared" si="1"/>
        <v>0</v>
      </c>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c r="AA320" s="120"/>
      <c r="AB320" s="120"/>
      <c r="AC320" s="120"/>
      <c r="AD320" s="120"/>
      <c r="AE320" s="120"/>
      <c r="AF320" s="120"/>
      <c r="AG320" s="120"/>
      <c r="AH320" s="120"/>
      <c r="AI320" s="120"/>
      <c r="AJ320" s="120"/>
      <c r="AK320" s="120"/>
      <c r="AL320" s="120"/>
      <c r="AM320" s="120"/>
      <c r="AN320" s="120"/>
      <c r="AO320" s="120"/>
      <c r="AP320" s="120"/>
      <c r="AQ320" s="120"/>
      <c r="AR320" s="120"/>
      <c r="AS320" s="120"/>
      <c r="AT320" s="120"/>
      <c r="AU320" s="120"/>
      <c r="AV320" s="120"/>
      <c r="AW320" s="120"/>
      <c r="AX320" s="120"/>
      <c r="AY320" s="120"/>
      <c r="AZ320" s="120"/>
      <c r="BA320" s="120"/>
      <c r="BB320" s="120"/>
      <c r="BC320" s="120"/>
      <c r="BD320" s="120"/>
      <c r="BE320" s="120"/>
      <c r="BF320" s="120"/>
      <c r="BG320" s="120"/>
      <c r="BH320" s="120"/>
      <c r="BI320" s="120"/>
      <c r="BJ320" s="120"/>
      <c r="BK320" s="120"/>
      <c r="BL320" s="120"/>
      <c r="BM320" s="120"/>
      <c r="BN320" s="120"/>
      <c r="BO320" s="120"/>
      <c r="BP320" s="120"/>
      <c r="BQ320" s="120"/>
      <c r="BR320" s="120"/>
      <c r="BS320" s="120"/>
      <c r="BT320" s="120"/>
      <c r="BU320" s="120"/>
      <c r="BV320" s="120"/>
      <c r="BW320" s="120"/>
      <c r="BX320" s="120"/>
      <c r="BY320" s="120"/>
      <c r="BZ320" s="120"/>
      <c r="CA320" s="120"/>
      <c r="CB320" s="120"/>
      <c r="CC320" s="120"/>
      <c r="CD320" s="120"/>
      <c r="CE320" s="120"/>
      <c r="CF320" s="120"/>
      <c r="CG320" s="120"/>
      <c r="CH320" s="120"/>
      <c r="CI320" s="120"/>
      <c r="CJ320" s="120"/>
      <c r="CK320" s="120"/>
      <c r="CL320" s="120"/>
      <c r="CM320" s="120"/>
      <c r="CN320" s="120"/>
      <c r="CO320" s="120"/>
      <c r="CP320" s="120"/>
      <c r="CQ320" s="120"/>
      <c r="CR320" s="120"/>
      <c r="CS320" s="120"/>
      <c r="CT320" s="120"/>
      <c r="CU320" s="120"/>
      <c r="CV320" s="120"/>
      <c r="CW320" s="120"/>
      <c r="CX320" s="120"/>
      <c r="CY320" s="120"/>
      <c r="CZ320" s="120"/>
      <c r="DA320" s="120"/>
      <c r="DB320" s="120"/>
      <c r="DC320" s="120"/>
      <c r="DD320" s="120"/>
      <c r="DE320" s="120"/>
      <c r="DF320" s="120"/>
      <c r="DG320" s="120"/>
      <c r="DH320" s="120"/>
      <c r="DI320" s="120"/>
      <c r="DJ320" s="120"/>
      <c r="DK320" s="120"/>
      <c r="DL320" s="120"/>
      <c r="DM320" s="120"/>
      <c r="DN320" s="120"/>
      <c r="DO320" s="120"/>
      <c r="DP320" s="120"/>
      <c r="DQ320" s="120"/>
      <c r="DR320" s="120"/>
      <c r="DS320" s="120"/>
      <c r="DT320" s="120"/>
      <c r="DU320" s="120"/>
      <c r="DV320" s="120"/>
      <c r="DW320" s="120"/>
      <c r="DX320" s="120"/>
      <c r="DY320" s="120"/>
      <c r="DZ320" s="120"/>
      <c r="EA320" s="120"/>
      <c r="EB320" s="120"/>
      <c r="EC320" s="120"/>
      <c r="ED320" s="120"/>
      <c r="EE320" s="120"/>
      <c r="EF320" s="120"/>
      <c r="EG320" s="120"/>
      <c r="EH320" s="120"/>
      <c r="EI320" s="120"/>
      <c r="EJ320" s="120"/>
      <c r="EK320" s="120"/>
      <c r="EL320" s="120"/>
      <c r="EM320" s="120"/>
      <c r="EN320" s="120"/>
      <c r="EO320" s="120"/>
      <c r="EP320" s="120"/>
      <c r="EQ320" s="120"/>
      <c r="ER320" s="120"/>
      <c r="ES320" s="120"/>
      <c r="ET320" s="120"/>
      <c r="EU320" s="120"/>
      <c r="EV320" s="120"/>
      <c r="EW320" s="120"/>
      <c r="EX320" s="120"/>
      <c r="EY320" s="120"/>
      <c r="EZ320" s="120"/>
      <c r="FA320" s="120"/>
      <c r="FB320" s="120"/>
      <c r="FC320" s="120"/>
      <c r="FD320" s="120"/>
      <c r="FE320" s="120"/>
      <c r="FF320" s="120"/>
      <c r="FG320" s="120"/>
      <c r="FH320" s="120"/>
      <c r="FI320" s="120"/>
      <c r="FJ320" s="120"/>
      <c r="FK320" s="120"/>
      <c r="FL320" s="120"/>
      <c r="FM320" s="120"/>
      <c r="FN320" s="120"/>
      <c r="FO320" s="120"/>
      <c r="FP320" s="120"/>
      <c r="FQ320" s="120"/>
      <c r="FR320" s="120"/>
      <c r="FS320" s="120"/>
      <c r="FT320" s="120"/>
      <c r="FU320" s="120"/>
      <c r="FV320" s="120"/>
      <c r="FW320" s="120"/>
      <c r="FX320" s="120"/>
      <c r="FY320" s="120"/>
      <c r="FZ320" s="120"/>
      <c r="GA320" s="120"/>
      <c r="GB320" s="120"/>
      <c r="GC320" s="120"/>
      <c r="GD320" s="120"/>
      <c r="GE320" s="120"/>
      <c r="GF320" s="120"/>
      <c r="GG320" s="120"/>
      <c r="GH320" s="120"/>
      <c r="GI320" s="120"/>
      <c r="GJ320" s="120"/>
      <c r="GK320" s="120"/>
      <c r="GL320" s="120"/>
      <c r="GM320" s="120"/>
      <c r="GN320" s="120"/>
      <c r="GO320" s="120"/>
      <c r="GP320" s="120"/>
      <c r="GQ320" s="120"/>
      <c r="GR320" s="120"/>
      <c r="GS320" s="120"/>
      <c r="GT320" s="120"/>
      <c r="GU320" s="120"/>
      <c r="GV320" s="120"/>
      <c r="GW320" s="120"/>
      <c r="GX320" s="120"/>
      <c r="GY320" s="120"/>
      <c r="GZ320" s="120"/>
      <c r="HA320" s="120"/>
      <c r="HB320" s="120"/>
      <c r="HC320" s="120"/>
      <c r="HD320" s="120"/>
      <c r="HE320" s="120"/>
      <c r="HF320" s="120"/>
      <c r="HG320" s="120"/>
      <c r="HH320" s="120"/>
      <c r="HI320" s="120"/>
      <c r="HJ320" s="120"/>
      <c r="HK320" s="120"/>
      <c r="HL320" s="120"/>
      <c r="HM320" s="120"/>
      <c r="HN320" s="120"/>
      <c r="HO320" s="120"/>
      <c r="HP320" s="120"/>
      <c r="HQ320" s="120"/>
      <c r="HR320" s="120"/>
      <c r="HS320" s="120"/>
      <c r="HT320" s="120"/>
      <c r="HU320" s="120"/>
      <c r="HV320" s="120"/>
      <c r="HW320" s="120"/>
      <c r="HX320" s="120"/>
      <c r="HY320" s="120"/>
      <c r="HZ320" s="120"/>
      <c r="IA320" s="120"/>
      <c r="IB320" s="120"/>
      <c r="IC320" s="120"/>
      <c r="ID320" s="120"/>
      <c r="IE320" s="120"/>
      <c r="IF320" s="120"/>
      <c r="IG320" s="120"/>
      <c r="IH320" s="120"/>
      <c r="II320" s="120"/>
      <c r="IJ320" s="120"/>
      <c r="IK320" s="120"/>
      <c r="IL320" s="120"/>
      <c r="IM320" s="120"/>
      <c r="IN320" s="120"/>
      <c r="IO320" s="120"/>
      <c r="IP320" s="120"/>
      <c r="IQ320" s="120"/>
      <c r="IR320" s="120"/>
      <c r="IS320" s="120"/>
      <c r="IT320" s="120"/>
      <c r="IU320" s="120"/>
      <c r="IV320" s="120"/>
      <c r="IW320" s="120"/>
      <c r="IX320" s="120"/>
      <c r="IY320" s="120"/>
      <c r="IZ320" s="120"/>
      <c r="JA320" s="120"/>
      <c r="JB320" s="120"/>
      <c r="JC320" s="120"/>
      <c r="JD320" s="120"/>
      <c r="JE320" s="120"/>
      <c r="JF320" s="120"/>
      <c r="JG320" s="120"/>
      <c r="JH320" s="120"/>
      <c r="JI320" s="120"/>
      <c r="JJ320" s="120"/>
      <c r="JK320" s="120"/>
      <c r="JL320" s="120"/>
      <c r="JM320" s="120"/>
      <c r="JN320" s="120"/>
      <c r="JO320" s="120"/>
      <c r="JP320" s="120"/>
      <c r="JQ320" s="120"/>
      <c r="JR320" s="120"/>
      <c r="JS320" s="120"/>
      <c r="JT320" s="120"/>
      <c r="JU320" s="120"/>
      <c r="JV320" s="120"/>
      <c r="JW320" s="120"/>
      <c r="JX320" s="120"/>
      <c r="JY320" s="120"/>
      <c r="JZ320" s="120"/>
      <c r="KA320" s="120"/>
      <c r="KB320" s="120"/>
      <c r="KC320" s="120"/>
      <c r="KD320" s="120"/>
      <c r="KE320" s="120"/>
      <c r="KF320" s="120"/>
      <c r="KG320" s="120"/>
      <c r="KH320" s="120"/>
      <c r="KI320" s="120"/>
      <c r="KJ320" s="120"/>
      <c r="KK320" s="120"/>
      <c r="KL320" s="120"/>
      <c r="KM320" s="120"/>
      <c r="KN320" s="120"/>
      <c r="KO320" s="120"/>
      <c r="KP320" s="120"/>
      <c r="KQ320" s="120"/>
      <c r="KR320" s="120"/>
      <c r="KS320" s="120"/>
      <c r="KT320" s="120"/>
      <c r="KU320" s="120"/>
      <c r="KV320" s="120"/>
      <c r="KW320" s="120"/>
      <c r="KX320" s="120"/>
      <c r="KY320" s="120"/>
      <c r="KZ320" s="120"/>
      <c r="LA320" s="120"/>
      <c r="LB320" s="120"/>
      <c r="LC320" s="120"/>
      <c r="LD320" s="120"/>
      <c r="LE320" s="120"/>
      <c r="LF320" s="120"/>
      <c r="LG320" s="120"/>
      <c r="LH320" s="120"/>
      <c r="LI320" s="120"/>
      <c r="LJ320" s="120"/>
      <c r="LK320" s="120"/>
      <c r="LL320" s="120"/>
      <c r="LM320" s="120"/>
      <c r="LN320" s="120"/>
      <c r="LO320" s="120"/>
      <c r="LP320" s="120"/>
      <c r="LQ320" s="120"/>
      <c r="LR320" s="120"/>
      <c r="LS320" s="120"/>
      <c r="LT320" s="120"/>
      <c r="LU320" s="120"/>
      <c r="LV320" s="120"/>
      <c r="LW320" s="120"/>
      <c r="LX320" s="120"/>
      <c r="LY320" s="120"/>
      <c r="LZ320" s="120"/>
      <c r="MA320" s="120"/>
      <c r="MB320" s="120"/>
      <c r="MC320" s="120"/>
      <c r="MD320" s="120"/>
      <c r="ME320" s="120"/>
      <c r="MF320" s="120"/>
      <c r="MG320" s="120"/>
      <c r="MH320" s="120"/>
      <c r="MI320" s="120"/>
      <c r="MJ320" s="120"/>
      <c r="MK320" s="120"/>
      <c r="ML320" s="120"/>
      <c r="MM320" s="120"/>
      <c r="MN320" s="120"/>
      <c r="MO320" s="120"/>
      <c r="MP320" s="120"/>
      <c r="MQ320" s="120"/>
      <c r="MR320" s="120"/>
      <c r="MS320" s="120"/>
      <c r="MT320" s="120"/>
      <c r="MU320" s="120"/>
      <c r="MV320" s="120"/>
      <c r="MW320" s="120"/>
      <c r="MX320" s="120"/>
      <c r="MY320" s="120"/>
      <c r="MZ320" s="120"/>
      <c r="NA320" s="120"/>
      <c r="NB320" s="120"/>
      <c r="NC320" s="120"/>
      <c r="ND320" s="120"/>
      <c r="NE320" s="120"/>
      <c r="NF320" s="120"/>
      <c r="NG320" s="120"/>
      <c r="NH320" s="120"/>
      <c r="NI320" s="120"/>
      <c r="NJ320" s="120"/>
      <c r="NK320" s="120"/>
      <c r="NL320" s="120"/>
      <c r="NM320" s="120"/>
      <c r="NN320" s="120"/>
      <c r="NO320" s="120"/>
      <c r="NP320" s="120"/>
      <c r="NQ320" s="120"/>
      <c r="NR320" s="120"/>
      <c r="NS320" s="120"/>
      <c r="NT320" s="120"/>
      <c r="NU320" s="120"/>
      <c r="NV320" s="120"/>
      <c r="NW320" s="120"/>
      <c r="NX320" s="120"/>
      <c r="NY320" s="120"/>
      <c r="NZ320" s="120"/>
      <c r="OA320" s="120"/>
      <c r="OB320" s="120"/>
      <c r="OC320" s="120"/>
      <c r="OD320" s="120"/>
      <c r="OE320" s="120"/>
      <c r="OF320" s="120"/>
      <c r="OG320" s="120"/>
      <c r="OH320" s="120"/>
      <c r="OI320" s="120"/>
      <c r="OJ320" s="120"/>
      <c r="OK320" s="120"/>
      <c r="OL320" s="120"/>
      <c r="OM320" s="120"/>
      <c r="ON320" s="120"/>
      <c r="OO320" s="120"/>
      <c r="OP320" s="120"/>
      <c r="OQ320" s="120"/>
      <c r="OR320" s="120"/>
      <c r="OS320" s="120"/>
      <c r="OT320" s="120"/>
      <c r="OU320" s="120"/>
      <c r="OV320" s="120"/>
      <c r="OW320" s="120"/>
      <c r="OX320" s="120"/>
      <c r="OY320" s="120"/>
      <c r="OZ320" s="120"/>
      <c r="PA320" s="120"/>
      <c r="PB320" s="120"/>
      <c r="PC320" s="120"/>
      <c r="PD320" s="120"/>
      <c r="PE320" s="120"/>
      <c r="PF320" s="120"/>
      <c r="PG320" s="120"/>
      <c r="PH320" s="120"/>
      <c r="PI320" s="120"/>
      <c r="PJ320" s="120"/>
      <c r="PK320" s="120"/>
      <c r="PL320" s="120"/>
      <c r="PM320" s="120"/>
      <c r="PN320" s="120"/>
      <c r="PO320" s="120"/>
      <c r="PP320" s="120"/>
      <c r="PQ320" s="120"/>
      <c r="PR320" s="120"/>
      <c r="PS320" s="120"/>
      <c r="PT320" s="120"/>
      <c r="PU320" s="120"/>
      <c r="PV320" s="120"/>
      <c r="PW320" s="120"/>
      <c r="PX320" s="120"/>
      <c r="PY320" s="120"/>
      <c r="PZ320" s="120"/>
      <c r="QA320" s="120"/>
      <c r="QB320" s="120"/>
      <c r="QC320" s="120"/>
      <c r="QD320" s="120"/>
      <c r="QE320" s="120"/>
      <c r="QF320" s="120"/>
      <c r="QG320" s="120"/>
      <c r="QH320" s="120"/>
      <c r="QI320" s="120"/>
      <c r="QJ320" s="120"/>
      <c r="QK320" s="120"/>
      <c r="QL320" s="120"/>
      <c r="QM320" s="120"/>
      <c r="QN320" s="120"/>
      <c r="QO320" s="120"/>
      <c r="QP320" s="120"/>
      <c r="QQ320" s="120"/>
      <c r="QR320" s="120"/>
      <c r="QS320" s="120"/>
      <c r="QT320" s="120"/>
      <c r="QU320" s="120"/>
      <c r="QV320" s="120"/>
      <c r="QW320" s="120"/>
      <c r="QX320" s="120"/>
      <c r="QY320" s="120"/>
      <c r="QZ320" s="120"/>
      <c r="RA320" s="120"/>
      <c r="RB320" s="120"/>
      <c r="RC320" s="120"/>
      <c r="RD320" s="120"/>
      <c r="RE320" s="120"/>
      <c r="RF320" s="120"/>
      <c r="RG320" s="120"/>
      <c r="RH320" s="120"/>
      <c r="RI320" s="120"/>
      <c r="RJ320" s="120"/>
      <c r="RK320" s="120"/>
      <c r="RL320" s="120"/>
      <c r="RM320" s="120"/>
      <c r="RN320" s="120"/>
      <c r="RO320" s="120"/>
      <c r="RP320" s="120"/>
      <c r="RQ320" s="120"/>
      <c r="RR320" s="120"/>
      <c r="RS320" s="120"/>
      <c r="RT320" s="120"/>
      <c r="RU320" s="120"/>
      <c r="RV320" s="120"/>
      <c r="RW320" s="120"/>
      <c r="RX320" s="120"/>
      <c r="RY320" s="120"/>
      <c r="RZ320" s="120"/>
      <c r="SA320" s="120"/>
      <c r="SB320" s="120"/>
      <c r="SC320" s="120"/>
      <c r="SD320" s="120"/>
      <c r="SE320" s="120"/>
      <c r="SF320" s="120"/>
      <c r="SG320" s="120"/>
      <c r="SH320" s="120"/>
      <c r="SI320" s="120"/>
      <c r="SJ320" s="120"/>
      <c r="SK320" s="120"/>
      <c r="SL320" s="120"/>
      <c r="SM320" s="120"/>
      <c r="SN320" s="120"/>
      <c r="SO320" s="120"/>
      <c r="SP320" s="120"/>
      <c r="SQ320" s="120"/>
      <c r="SR320" s="120"/>
      <c r="SS320" s="120"/>
      <c r="ST320" s="120"/>
      <c r="SU320" s="120"/>
      <c r="SV320" s="120"/>
      <c r="SW320" s="120"/>
      <c r="SX320" s="120"/>
      <c r="SY320" s="120"/>
      <c r="SZ320" s="120"/>
      <c r="TA320" s="120"/>
      <c r="TB320" s="120"/>
      <c r="TC320" s="120"/>
      <c r="TD320" s="120"/>
      <c r="TE320" s="120"/>
      <c r="TF320" s="120"/>
      <c r="TG320" s="120"/>
      <c r="TH320" s="120"/>
      <c r="TI320" s="120"/>
      <c r="TJ320" s="120"/>
      <c r="TK320" s="120"/>
      <c r="TL320" s="120"/>
      <c r="TM320" s="120"/>
      <c r="TN320" s="120"/>
      <c r="TO320" s="120"/>
      <c r="TP320" s="120"/>
      <c r="TQ320" s="120"/>
      <c r="TR320" s="120"/>
      <c r="TS320" s="120"/>
      <c r="TT320" s="120"/>
      <c r="TU320" s="120"/>
      <c r="TV320" s="120"/>
      <c r="TW320" s="120"/>
      <c r="TX320" s="120"/>
      <c r="TY320" s="120"/>
      <c r="TZ320" s="120"/>
      <c r="UA320" s="120"/>
      <c r="UB320" s="120"/>
      <c r="UC320" s="120"/>
      <c r="UD320" s="120"/>
      <c r="UE320" s="120"/>
      <c r="UF320" s="120"/>
      <c r="UG320" s="120"/>
      <c r="UH320" s="120"/>
      <c r="UI320" s="120"/>
      <c r="UJ320" s="120"/>
      <c r="UK320" s="120"/>
      <c r="UL320" s="120"/>
      <c r="UM320" s="120"/>
      <c r="UN320" s="120"/>
      <c r="UO320" s="120"/>
      <c r="UP320" s="120"/>
      <c r="UQ320" s="120"/>
      <c r="UR320" s="120"/>
      <c r="US320" s="120"/>
      <c r="UT320" s="120"/>
      <c r="UU320" s="120"/>
      <c r="UV320" s="120"/>
      <c r="UW320" s="120"/>
      <c r="UX320" s="120"/>
      <c r="UY320" s="120"/>
      <c r="UZ320" s="120"/>
      <c r="VA320" s="120"/>
      <c r="VB320" s="120"/>
      <c r="VC320" s="120"/>
      <c r="VD320" s="120"/>
      <c r="VE320" s="120"/>
      <c r="VF320" s="120"/>
      <c r="VG320" s="120"/>
      <c r="VH320" s="120"/>
      <c r="VI320" s="120"/>
      <c r="VJ320" s="120"/>
      <c r="VK320" s="120"/>
      <c r="VL320" s="120"/>
      <c r="VM320" s="120"/>
      <c r="VN320" s="120"/>
      <c r="VO320" s="120"/>
      <c r="VP320" s="120"/>
      <c r="VQ320" s="120"/>
      <c r="VR320" s="120"/>
      <c r="VS320" s="120"/>
      <c r="VT320" s="120"/>
      <c r="VU320" s="120"/>
      <c r="VV320" s="120"/>
      <c r="VW320" s="120"/>
      <c r="VX320" s="120"/>
      <c r="VY320" s="120"/>
      <c r="VZ320" s="120"/>
      <c r="WA320" s="120"/>
      <c r="WB320" s="120"/>
      <c r="WC320" s="120"/>
      <c r="WD320" s="120"/>
      <c r="WE320" s="120"/>
      <c r="WF320" s="120"/>
      <c r="WG320" s="120"/>
      <c r="WH320" s="120"/>
      <c r="WI320" s="120"/>
      <c r="WJ320" s="120"/>
      <c r="WK320" s="120"/>
      <c r="WL320" s="120"/>
      <c r="WM320" s="120"/>
      <c r="WN320" s="120"/>
      <c r="WO320" s="120"/>
      <c r="WP320" s="120"/>
      <c r="WQ320" s="120"/>
      <c r="WR320" s="120"/>
      <c r="WS320" s="120"/>
      <c r="WT320" s="120"/>
      <c r="WU320" s="120"/>
      <c r="WV320" s="120"/>
      <c r="WW320" s="120"/>
      <c r="WX320" s="120"/>
      <c r="WY320" s="120"/>
      <c r="WZ320" s="120"/>
      <c r="XA320" s="120"/>
      <c r="XB320" s="120"/>
      <c r="XC320" s="120"/>
      <c r="XD320" s="120"/>
      <c r="XE320" s="120"/>
      <c r="XF320" s="120"/>
      <c r="XG320" s="120"/>
      <c r="XH320" s="120"/>
      <c r="XI320" s="120"/>
      <c r="XJ320" s="120"/>
      <c r="XK320" s="120"/>
      <c r="XL320" s="120"/>
      <c r="XM320" s="120"/>
      <c r="XN320" s="120"/>
      <c r="XO320" s="120"/>
      <c r="XP320" s="120"/>
      <c r="XQ320" s="120"/>
      <c r="XR320" s="120"/>
      <c r="XS320" s="120"/>
      <c r="XT320" s="120"/>
      <c r="XU320" s="120"/>
      <c r="XV320" s="120"/>
      <c r="XW320" s="120"/>
      <c r="XX320" s="120"/>
      <c r="XY320" s="120"/>
      <c r="XZ320" s="120"/>
      <c r="YA320" s="120"/>
      <c r="YB320" s="120"/>
      <c r="YC320" s="120"/>
      <c r="YD320" s="120"/>
      <c r="YE320" s="120"/>
      <c r="YF320" s="120"/>
      <c r="YG320" s="120"/>
      <c r="YH320" s="120"/>
      <c r="YI320" s="120"/>
      <c r="YJ320" s="120"/>
      <c r="YK320" s="120"/>
      <c r="YL320" s="120"/>
      <c r="YM320" s="120"/>
      <c r="YN320" s="120"/>
      <c r="YO320" s="120"/>
      <c r="YP320" s="120"/>
      <c r="YQ320" s="120"/>
      <c r="YR320" s="120"/>
      <c r="YS320" s="120"/>
      <c r="YT320" s="120"/>
      <c r="YU320" s="120"/>
      <c r="YV320" s="120"/>
      <c r="YW320" s="120"/>
      <c r="YX320" s="120"/>
      <c r="YY320" s="120"/>
      <c r="YZ320" s="120"/>
      <c r="ZA320" s="120"/>
      <c r="ZB320" s="120"/>
      <c r="ZC320" s="120"/>
      <c r="ZD320" s="120"/>
      <c r="ZE320" s="120"/>
      <c r="ZF320" s="120"/>
      <c r="ZG320" s="120"/>
      <c r="ZH320" s="120"/>
      <c r="ZI320" s="120"/>
      <c r="ZJ320" s="120"/>
      <c r="ZK320" s="120"/>
      <c r="ZL320" s="120"/>
      <c r="ZM320" s="120"/>
      <c r="ZN320" s="120"/>
      <c r="ZO320" s="120"/>
      <c r="ZP320" s="120"/>
      <c r="ZQ320" s="120"/>
      <c r="ZR320" s="120"/>
      <c r="ZS320" s="120"/>
      <c r="ZT320" s="120"/>
      <c r="ZU320" s="120"/>
      <c r="ZV320" s="120"/>
      <c r="ZW320" s="120"/>
      <c r="ZX320" s="120"/>
      <c r="ZY320" s="120"/>
      <c r="ZZ320" s="120"/>
      <c r="AAA320" s="120"/>
      <c r="AAB320" s="120"/>
      <c r="AAC320" s="120"/>
      <c r="AAD320" s="120"/>
      <c r="AAE320" s="120"/>
      <c r="AAF320" s="120"/>
      <c r="AAG320" s="120"/>
      <c r="AAH320" s="120"/>
      <c r="AAI320" s="120"/>
      <c r="AAJ320" s="120"/>
      <c r="AAK320" s="120"/>
      <c r="AAL320" s="120"/>
      <c r="AAM320" s="120"/>
      <c r="AAN320" s="120"/>
      <c r="AAO320" s="120"/>
      <c r="AAP320" s="120"/>
      <c r="AAQ320" s="120"/>
      <c r="AAR320" s="120"/>
      <c r="AAS320" s="120"/>
      <c r="AAT320" s="120"/>
      <c r="AAU320" s="120"/>
      <c r="AAV320" s="120"/>
      <c r="AAW320" s="120"/>
      <c r="AAX320" s="120"/>
      <c r="AAY320" s="120"/>
      <c r="AAZ320" s="120"/>
      <c r="ABA320" s="120"/>
      <c r="ABB320" s="120"/>
      <c r="ABC320" s="120"/>
      <c r="ABD320" s="120"/>
      <c r="ABE320" s="120"/>
      <c r="ABF320" s="120"/>
      <c r="ABG320" s="120"/>
      <c r="ABH320" s="120"/>
      <c r="ABI320" s="120"/>
      <c r="ABJ320" s="120"/>
      <c r="ABK320" s="120"/>
      <c r="ABL320" s="120"/>
      <c r="ABM320" s="120"/>
      <c r="ABN320" s="120"/>
      <c r="ABO320" s="120"/>
      <c r="ABP320" s="120"/>
      <c r="ABQ320" s="120"/>
      <c r="ABR320" s="120"/>
      <c r="ABS320" s="120"/>
      <c r="ABT320" s="120"/>
      <c r="ABU320" s="120"/>
      <c r="ABV320" s="120"/>
      <c r="ABW320" s="120"/>
      <c r="ABX320" s="120"/>
      <c r="ABY320" s="120"/>
      <c r="ABZ320" s="120"/>
      <c r="ACA320" s="120"/>
      <c r="ACB320" s="120"/>
      <c r="ACC320" s="120"/>
      <c r="ACD320" s="120"/>
      <c r="ACE320" s="120"/>
      <c r="ACF320" s="120"/>
      <c r="ACG320" s="120"/>
      <c r="ACH320" s="120"/>
      <c r="ACI320" s="120"/>
      <c r="ACJ320" s="120"/>
      <c r="ACK320" s="120"/>
      <c r="ACL320" s="120"/>
      <c r="ACM320" s="120"/>
      <c r="ACN320" s="120"/>
      <c r="ACO320" s="120"/>
      <c r="ACP320" s="120"/>
      <c r="ACQ320" s="120"/>
      <c r="ACR320" s="120"/>
      <c r="ACS320" s="120"/>
      <c r="ACT320" s="120"/>
      <c r="ACU320" s="120"/>
      <c r="ACV320" s="120"/>
      <c r="ACW320" s="120"/>
      <c r="ACX320" s="120"/>
      <c r="ACY320" s="120"/>
      <c r="ACZ320" s="120"/>
      <c r="ADA320" s="120"/>
      <c r="ADB320" s="120"/>
      <c r="ADC320" s="120"/>
      <c r="ADD320" s="120"/>
      <c r="ADE320" s="120"/>
      <c r="ADF320" s="120"/>
      <c r="ADG320" s="120"/>
      <c r="ADH320" s="120"/>
      <c r="ADI320" s="120"/>
      <c r="ADJ320" s="120"/>
      <c r="ADK320" s="120"/>
      <c r="ADL320" s="120"/>
      <c r="ADM320" s="120"/>
      <c r="ADN320" s="120"/>
      <c r="ADO320" s="120"/>
      <c r="ADP320" s="120"/>
      <c r="ADQ320" s="120"/>
      <c r="ADR320" s="120"/>
      <c r="ADS320" s="120"/>
      <c r="ADT320" s="120"/>
      <c r="ADU320" s="120"/>
      <c r="ADV320" s="120"/>
      <c r="ADW320" s="120"/>
      <c r="ADX320" s="120"/>
      <c r="ADY320" s="120"/>
      <c r="ADZ320" s="120"/>
      <c r="AEA320" s="120"/>
      <c r="AEB320" s="120"/>
      <c r="AEC320" s="120"/>
      <c r="AED320" s="120"/>
      <c r="AEE320" s="120"/>
      <c r="AEF320" s="120"/>
      <c r="AEG320" s="120"/>
      <c r="AEH320" s="120"/>
      <c r="AEI320" s="120"/>
      <c r="AEJ320" s="120"/>
      <c r="AEK320" s="120"/>
      <c r="AEL320" s="120"/>
      <c r="AEM320" s="120"/>
      <c r="AEN320" s="120"/>
      <c r="AEO320" s="120"/>
      <c r="AEP320" s="120"/>
      <c r="AEQ320" s="120"/>
      <c r="AER320" s="120"/>
      <c r="AES320" s="120"/>
      <c r="AET320" s="120"/>
      <c r="AEU320" s="120"/>
      <c r="AEV320" s="120"/>
      <c r="AEW320" s="120"/>
      <c r="AEX320" s="120"/>
      <c r="AEY320" s="120"/>
      <c r="AEZ320" s="120"/>
      <c r="AFA320" s="120"/>
      <c r="AFB320" s="120"/>
      <c r="AFC320" s="120"/>
      <c r="AFD320" s="120"/>
      <c r="AFE320" s="120"/>
      <c r="AFF320" s="120"/>
      <c r="AFG320" s="120"/>
      <c r="AFH320" s="120"/>
      <c r="AFI320" s="120"/>
      <c r="AFJ320" s="120"/>
      <c r="AFK320" s="120"/>
      <c r="AFL320" s="120"/>
      <c r="AFM320" s="120"/>
      <c r="AFN320" s="120"/>
      <c r="AFO320" s="120"/>
      <c r="AFP320" s="120"/>
      <c r="AFQ320" s="120"/>
      <c r="AFR320" s="120"/>
      <c r="AFS320" s="120"/>
      <c r="AFT320" s="120"/>
      <c r="AFU320" s="120"/>
      <c r="AFV320" s="120"/>
      <c r="AFW320" s="120"/>
      <c r="AFX320" s="120"/>
      <c r="AFY320" s="120"/>
      <c r="AFZ320" s="120"/>
      <c r="AGA320" s="120"/>
      <c r="AGB320" s="120"/>
      <c r="AGC320" s="120"/>
      <c r="AGD320" s="120"/>
      <c r="AGE320" s="120"/>
      <c r="AGF320" s="120"/>
      <c r="AGG320" s="120"/>
      <c r="AGH320" s="120"/>
      <c r="AGI320" s="120"/>
      <c r="AGJ320" s="120"/>
      <c r="AGK320" s="120"/>
      <c r="AGL320" s="120"/>
      <c r="AGM320" s="120"/>
      <c r="AGN320" s="120"/>
      <c r="AGO320" s="120"/>
      <c r="AGP320" s="120"/>
      <c r="AGQ320" s="120"/>
      <c r="AGR320" s="120"/>
      <c r="AGS320" s="120"/>
      <c r="AGT320" s="120"/>
      <c r="AGU320" s="120"/>
      <c r="AGV320" s="120"/>
      <c r="AGW320" s="120"/>
      <c r="AGX320" s="120"/>
      <c r="AGY320" s="120"/>
      <c r="AGZ320" s="120"/>
      <c r="AHA320" s="120"/>
      <c r="AHB320" s="120"/>
      <c r="AHC320" s="120"/>
      <c r="AHD320" s="120"/>
      <c r="AHE320" s="120"/>
      <c r="AHF320" s="120"/>
      <c r="AHG320" s="120"/>
      <c r="AHH320" s="120"/>
      <c r="AHI320" s="120"/>
      <c r="AHJ320" s="120"/>
      <c r="AHK320" s="120"/>
      <c r="AHL320" s="120"/>
      <c r="AHM320" s="120"/>
      <c r="AHN320" s="120"/>
      <c r="AHO320" s="120"/>
      <c r="AHP320" s="120"/>
      <c r="AHQ320" s="120"/>
      <c r="AHR320" s="120"/>
      <c r="AHS320" s="120"/>
      <c r="AHT320" s="120"/>
      <c r="AHU320" s="120"/>
      <c r="AHV320" s="120"/>
      <c r="AHW320" s="120"/>
      <c r="AHX320" s="120"/>
      <c r="AHY320" s="120"/>
      <c r="AHZ320" s="120"/>
      <c r="AIA320" s="120"/>
      <c r="AIB320" s="120"/>
      <c r="AIC320" s="120"/>
      <c r="AID320" s="120"/>
      <c r="AIE320" s="120"/>
      <c r="AIF320" s="120"/>
      <c r="AIG320" s="120"/>
      <c r="AIH320" s="120"/>
      <c r="AII320" s="120"/>
      <c r="AIJ320" s="120"/>
      <c r="AIK320" s="120"/>
      <c r="AIL320" s="120"/>
      <c r="AIM320" s="120"/>
      <c r="AIN320" s="120"/>
      <c r="AIO320" s="120"/>
      <c r="AIP320" s="120"/>
      <c r="AIQ320" s="120"/>
      <c r="AIR320" s="120"/>
      <c r="AIS320" s="120"/>
      <c r="AIT320" s="120"/>
      <c r="AIU320" s="120"/>
      <c r="AIV320" s="120"/>
      <c r="AIW320" s="120"/>
      <c r="AIX320" s="120"/>
      <c r="AIY320" s="120"/>
      <c r="AIZ320" s="120"/>
    </row>
    <row r="321">
      <c r="A321" s="112" t="s">
        <v>17</v>
      </c>
      <c r="B321" s="112" t="s">
        <v>23</v>
      </c>
      <c r="C321" s="112"/>
      <c r="D321" s="113">
        <f t="shared" si="1"/>
        <v>573.5728833</v>
      </c>
      <c r="E321" s="112">
        <v>82.5247499999999</v>
      </c>
      <c r="F321" s="113"/>
      <c r="G321" s="113"/>
      <c r="H321" s="113"/>
      <c r="I321" s="113"/>
      <c r="J321" s="113"/>
      <c r="K321" s="113"/>
      <c r="L321" s="112">
        <v>1.00255</v>
      </c>
      <c r="M321" s="112">
        <v>14.71945</v>
      </c>
      <c r="N321" s="113"/>
      <c r="O321" s="112">
        <v>0.40295</v>
      </c>
      <c r="P321" s="112">
        <v>111.643816666667</v>
      </c>
      <c r="Q321" s="113"/>
      <c r="R321" s="113"/>
      <c r="S321" s="113"/>
      <c r="T321" s="113"/>
      <c r="U321" s="113"/>
      <c r="V321" s="112">
        <v>0.345266666666667</v>
      </c>
      <c r="W321" s="112">
        <v>67.8029666666666</v>
      </c>
      <c r="X321" s="113"/>
      <c r="Y321" s="113"/>
      <c r="Z321" s="113"/>
      <c r="AA321" s="113"/>
      <c r="AB321" s="113"/>
      <c r="AC321" s="112">
        <v>1.04515</v>
      </c>
      <c r="AD321" s="112">
        <v>151.749366666667</v>
      </c>
      <c r="AE321" s="113"/>
      <c r="AF321" s="113"/>
      <c r="AG321" s="113"/>
      <c r="AH321" s="113"/>
      <c r="AI321" s="113"/>
      <c r="AJ321" s="112">
        <v>2.42178333333333</v>
      </c>
      <c r="AK321" s="112">
        <v>34.1684</v>
      </c>
      <c r="AL321" s="113"/>
      <c r="AM321" s="113"/>
      <c r="AN321" s="113"/>
      <c r="AO321" s="112">
        <v>2.30481666666667</v>
      </c>
      <c r="AP321" s="112">
        <v>50.79385</v>
      </c>
      <c r="AQ321" s="113"/>
      <c r="AR321" s="113"/>
      <c r="AS321" s="112">
        <v>1.73116666666667</v>
      </c>
      <c r="AT321" s="112">
        <v>47.6333833333333</v>
      </c>
      <c r="AU321" s="113"/>
      <c r="AV321" s="112">
        <v>2.3074</v>
      </c>
      <c r="AW321" s="112">
        <v>0.975816666666667</v>
      </c>
      <c r="AX321" s="113"/>
      <c r="AY321" s="113"/>
      <c r="AZ321" s="113"/>
      <c r="BA321" s="113"/>
      <c r="BB321" s="113"/>
      <c r="BC321" s="113"/>
      <c r="BD321" s="113"/>
      <c r="BE321" s="113"/>
      <c r="BF321" s="113"/>
      <c r="BG321" s="113"/>
      <c r="BH321" s="113"/>
      <c r="BI321" s="113"/>
      <c r="BJ321" s="113"/>
      <c r="BK321" s="113"/>
      <c r="BL321" s="113"/>
      <c r="BM321" s="113"/>
      <c r="BN321" s="113"/>
      <c r="BO321" s="113"/>
      <c r="BP321" s="113"/>
      <c r="BQ321" s="113"/>
      <c r="BR321" s="113"/>
      <c r="BS321" s="113"/>
      <c r="BT321" s="113"/>
      <c r="BU321" s="113"/>
      <c r="BV321" s="113"/>
      <c r="BW321" s="113"/>
      <c r="BX321" s="113"/>
      <c r="BY321" s="113"/>
      <c r="BZ321" s="113"/>
      <c r="CA321" s="113"/>
      <c r="CB321" s="113"/>
      <c r="CC321" s="113"/>
      <c r="CD321" s="113"/>
      <c r="CE321" s="113"/>
      <c r="CF321" s="113"/>
      <c r="CG321" s="113"/>
      <c r="CH321" s="113"/>
      <c r="CI321" s="113"/>
      <c r="CJ321" s="113"/>
      <c r="CK321" s="113"/>
      <c r="CL321" s="113"/>
      <c r="CM321" s="113"/>
      <c r="CN321" s="113"/>
      <c r="CO321" s="113"/>
      <c r="CP321" s="113"/>
      <c r="CQ321" s="113"/>
      <c r="CR321" s="113"/>
      <c r="CS321" s="113"/>
      <c r="CT321" s="113"/>
      <c r="CU321" s="113"/>
      <c r="CV321" s="113"/>
      <c r="CW321" s="113"/>
      <c r="CX321" s="113"/>
      <c r="CY321" s="113"/>
      <c r="CZ321" s="113"/>
      <c r="DA321" s="113"/>
      <c r="DB321" s="113"/>
      <c r="DC321" s="113"/>
      <c r="DD321" s="113"/>
      <c r="DE321" s="113"/>
      <c r="DF321" s="113"/>
      <c r="DG321" s="113"/>
      <c r="DH321" s="113"/>
      <c r="DI321" s="113"/>
      <c r="DJ321" s="113"/>
      <c r="DK321" s="113"/>
      <c r="DL321" s="113"/>
      <c r="DM321" s="113"/>
      <c r="DN321" s="113"/>
      <c r="DO321" s="113"/>
      <c r="DP321" s="113"/>
      <c r="DQ321" s="113"/>
      <c r="DR321" s="113"/>
      <c r="DS321" s="113"/>
      <c r="DT321" s="113"/>
      <c r="DU321" s="113"/>
      <c r="DV321" s="113"/>
      <c r="DW321" s="113"/>
      <c r="DX321" s="113"/>
      <c r="DY321" s="113"/>
      <c r="DZ321" s="113"/>
      <c r="EA321" s="113"/>
      <c r="EB321" s="113"/>
      <c r="EC321" s="113"/>
      <c r="ED321" s="113"/>
      <c r="EE321" s="113"/>
      <c r="EF321" s="113"/>
      <c r="EG321" s="113"/>
      <c r="EH321" s="113"/>
      <c r="EI321" s="113"/>
      <c r="EJ321" s="113"/>
      <c r="EK321" s="113"/>
      <c r="EL321" s="113"/>
      <c r="EM321" s="113"/>
      <c r="EN321" s="113"/>
      <c r="EO321" s="113"/>
      <c r="EP321" s="113"/>
      <c r="EQ321" s="113"/>
      <c r="ER321" s="113"/>
      <c r="ES321" s="113"/>
      <c r="ET321" s="113"/>
      <c r="EU321" s="113"/>
      <c r="EV321" s="113"/>
      <c r="EW321" s="113"/>
      <c r="EX321" s="113"/>
      <c r="EY321" s="113"/>
      <c r="EZ321" s="113"/>
      <c r="FA321" s="113"/>
      <c r="FB321" s="113"/>
      <c r="FC321" s="113"/>
      <c r="FD321" s="113"/>
      <c r="FE321" s="113"/>
      <c r="FF321" s="113"/>
      <c r="FG321" s="113"/>
      <c r="FH321" s="113"/>
      <c r="FI321" s="113"/>
      <c r="FJ321" s="113"/>
      <c r="FK321" s="113"/>
      <c r="FL321" s="113"/>
      <c r="FM321" s="113"/>
      <c r="FN321" s="113"/>
      <c r="FO321" s="113"/>
      <c r="FP321" s="113"/>
      <c r="FQ321" s="113"/>
      <c r="FR321" s="113"/>
      <c r="FS321" s="113"/>
      <c r="FT321" s="113"/>
      <c r="FU321" s="113"/>
      <c r="FV321" s="113"/>
      <c r="FW321" s="113"/>
      <c r="FX321" s="113"/>
      <c r="FY321" s="113"/>
      <c r="FZ321" s="113"/>
      <c r="GA321" s="113"/>
      <c r="GB321" s="113"/>
      <c r="GC321" s="113"/>
      <c r="GD321" s="113"/>
      <c r="GE321" s="113"/>
      <c r="GF321" s="113"/>
      <c r="GG321" s="113"/>
      <c r="GH321" s="113"/>
      <c r="GI321" s="113"/>
      <c r="GJ321" s="113"/>
      <c r="GK321" s="113"/>
      <c r="GL321" s="113"/>
      <c r="GM321" s="113"/>
      <c r="GN321" s="113"/>
      <c r="GO321" s="113"/>
      <c r="GP321" s="113"/>
      <c r="GQ321" s="113"/>
      <c r="GR321" s="113"/>
      <c r="GS321" s="113"/>
      <c r="GT321" s="113"/>
      <c r="GU321" s="113"/>
      <c r="GV321" s="113"/>
      <c r="GW321" s="113"/>
      <c r="GX321" s="113"/>
      <c r="GY321" s="113"/>
      <c r="GZ321" s="113"/>
      <c r="HA321" s="113"/>
      <c r="HB321" s="113"/>
      <c r="HC321" s="113"/>
      <c r="HD321" s="113"/>
      <c r="HE321" s="113"/>
      <c r="HF321" s="113"/>
      <c r="HG321" s="113"/>
      <c r="HH321" s="113"/>
      <c r="HI321" s="113"/>
      <c r="HJ321" s="113"/>
      <c r="HK321" s="113"/>
      <c r="HL321" s="113"/>
      <c r="HM321" s="113"/>
      <c r="HN321" s="113"/>
      <c r="HO321" s="113"/>
      <c r="HP321" s="113"/>
      <c r="HQ321" s="113"/>
      <c r="HR321" s="113"/>
      <c r="HS321" s="113"/>
      <c r="HT321" s="113"/>
      <c r="HU321" s="113"/>
      <c r="HV321" s="113"/>
      <c r="HW321" s="113"/>
      <c r="HX321" s="113"/>
      <c r="HY321" s="113"/>
      <c r="HZ321" s="113"/>
      <c r="IA321" s="113"/>
      <c r="IB321" s="113"/>
      <c r="IC321" s="113"/>
      <c r="ID321" s="113"/>
      <c r="IE321" s="113"/>
      <c r="IF321" s="113"/>
      <c r="IG321" s="113"/>
      <c r="IH321" s="113"/>
      <c r="II321" s="113"/>
      <c r="IJ321" s="113"/>
      <c r="IK321" s="113"/>
      <c r="IL321" s="113"/>
      <c r="IM321" s="113"/>
      <c r="IN321" s="113"/>
      <c r="IO321" s="113"/>
      <c r="IP321" s="113"/>
      <c r="IQ321" s="113"/>
      <c r="IR321" s="113"/>
      <c r="IS321" s="113"/>
      <c r="IT321" s="113"/>
      <c r="IU321" s="113"/>
      <c r="IV321" s="113"/>
      <c r="IW321" s="113"/>
      <c r="IX321" s="113"/>
      <c r="IY321" s="113"/>
      <c r="IZ321" s="113"/>
      <c r="JA321" s="113"/>
      <c r="JB321" s="113"/>
      <c r="JC321" s="113"/>
      <c r="JD321" s="113"/>
      <c r="JE321" s="113"/>
      <c r="JF321" s="113"/>
      <c r="JG321" s="113"/>
      <c r="JH321" s="113"/>
      <c r="JI321" s="113"/>
      <c r="JJ321" s="113"/>
      <c r="JK321" s="113"/>
      <c r="JL321" s="113"/>
      <c r="JM321" s="113"/>
      <c r="JN321" s="113"/>
      <c r="JO321" s="113"/>
      <c r="JP321" s="113"/>
      <c r="JQ321" s="113"/>
      <c r="JR321" s="113"/>
      <c r="JS321" s="113"/>
      <c r="JT321" s="113"/>
      <c r="JU321" s="113"/>
      <c r="JV321" s="113"/>
      <c r="JW321" s="113"/>
      <c r="JX321" s="113"/>
      <c r="JY321" s="113"/>
      <c r="JZ321" s="113"/>
      <c r="KA321" s="113"/>
      <c r="KB321" s="113"/>
      <c r="KC321" s="113"/>
      <c r="KD321" s="113"/>
      <c r="KE321" s="113"/>
      <c r="KF321" s="113"/>
      <c r="KG321" s="113"/>
      <c r="KH321" s="113"/>
      <c r="KI321" s="113"/>
      <c r="KJ321" s="113"/>
      <c r="KK321" s="113"/>
      <c r="KL321" s="113"/>
      <c r="KM321" s="113"/>
      <c r="KN321" s="113"/>
      <c r="KO321" s="113"/>
      <c r="KP321" s="113"/>
      <c r="KQ321" s="113"/>
      <c r="KR321" s="113"/>
      <c r="KS321" s="113"/>
      <c r="KT321" s="113"/>
      <c r="KU321" s="113"/>
      <c r="KV321" s="113"/>
      <c r="KW321" s="113"/>
      <c r="KX321" s="113"/>
      <c r="KY321" s="113"/>
      <c r="KZ321" s="113"/>
      <c r="LA321" s="113"/>
      <c r="LB321" s="113"/>
      <c r="LC321" s="113"/>
      <c r="LD321" s="113"/>
      <c r="LE321" s="113"/>
      <c r="LF321" s="113"/>
      <c r="LG321" s="113"/>
      <c r="LH321" s="113"/>
      <c r="LI321" s="113"/>
      <c r="LJ321" s="113"/>
      <c r="LK321" s="113"/>
      <c r="LL321" s="113"/>
      <c r="LM321" s="113"/>
      <c r="LN321" s="113"/>
      <c r="LO321" s="113"/>
      <c r="LP321" s="113"/>
      <c r="LQ321" s="113"/>
      <c r="LR321" s="113"/>
      <c r="LS321" s="113"/>
      <c r="LT321" s="113"/>
      <c r="LU321" s="113"/>
      <c r="LV321" s="113"/>
      <c r="LW321" s="113"/>
      <c r="LX321" s="113"/>
      <c r="LY321" s="113"/>
      <c r="LZ321" s="113"/>
      <c r="MA321" s="113"/>
      <c r="MB321" s="113"/>
      <c r="MC321" s="113"/>
      <c r="MD321" s="113"/>
      <c r="ME321" s="113"/>
      <c r="MF321" s="113"/>
      <c r="MG321" s="113"/>
      <c r="MH321" s="113"/>
      <c r="MI321" s="113"/>
      <c r="MJ321" s="113"/>
      <c r="MK321" s="113"/>
      <c r="ML321" s="113"/>
      <c r="MM321" s="113"/>
      <c r="MN321" s="113"/>
      <c r="MO321" s="113"/>
      <c r="MP321" s="113"/>
      <c r="MQ321" s="113"/>
      <c r="MR321" s="113"/>
      <c r="MS321" s="113"/>
      <c r="MT321" s="113"/>
      <c r="MU321" s="113"/>
      <c r="MV321" s="113"/>
      <c r="MW321" s="113"/>
      <c r="MX321" s="113"/>
      <c r="MY321" s="113"/>
      <c r="MZ321" s="113"/>
      <c r="NA321" s="113"/>
      <c r="NB321" s="113"/>
      <c r="NC321" s="113"/>
      <c r="ND321" s="113"/>
      <c r="NE321" s="113"/>
      <c r="NF321" s="113"/>
      <c r="NG321" s="113"/>
      <c r="NH321" s="113"/>
      <c r="NI321" s="113"/>
      <c r="NJ321" s="113"/>
      <c r="NK321" s="113"/>
      <c r="NL321" s="113"/>
      <c r="NM321" s="113"/>
      <c r="NN321" s="113"/>
      <c r="NO321" s="113"/>
      <c r="NP321" s="113"/>
      <c r="NQ321" s="113"/>
      <c r="NR321" s="113"/>
      <c r="NS321" s="113"/>
      <c r="NT321" s="113"/>
      <c r="NU321" s="113"/>
      <c r="NV321" s="113"/>
      <c r="NW321" s="113"/>
      <c r="NX321" s="113"/>
      <c r="NY321" s="113"/>
      <c r="NZ321" s="113"/>
      <c r="OA321" s="113"/>
      <c r="OB321" s="113"/>
      <c r="OC321" s="113"/>
      <c r="OD321" s="113"/>
      <c r="OE321" s="113"/>
      <c r="OF321" s="113"/>
      <c r="OG321" s="113"/>
      <c r="OH321" s="113"/>
      <c r="OI321" s="113"/>
      <c r="OJ321" s="113"/>
      <c r="OK321" s="113"/>
      <c r="OL321" s="113"/>
      <c r="OM321" s="113"/>
      <c r="ON321" s="113"/>
      <c r="OO321" s="113"/>
      <c r="OP321" s="113"/>
      <c r="OQ321" s="113"/>
      <c r="OR321" s="113"/>
      <c r="OS321" s="113"/>
      <c r="OT321" s="113"/>
      <c r="OU321" s="113"/>
      <c r="OV321" s="113"/>
      <c r="OW321" s="113"/>
      <c r="OX321" s="113"/>
      <c r="OY321" s="113"/>
      <c r="OZ321" s="113"/>
      <c r="PA321" s="113"/>
      <c r="PB321" s="113"/>
      <c r="PC321" s="113"/>
      <c r="PD321" s="113"/>
      <c r="PE321" s="113"/>
      <c r="PF321" s="113"/>
      <c r="PG321" s="113"/>
      <c r="PH321" s="113"/>
      <c r="PI321" s="113"/>
      <c r="PJ321" s="113"/>
      <c r="PK321" s="113"/>
      <c r="PL321" s="113"/>
      <c r="PM321" s="113"/>
      <c r="PN321" s="113"/>
      <c r="PO321" s="113"/>
      <c r="PP321" s="113"/>
      <c r="PQ321" s="113"/>
      <c r="PR321" s="113"/>
      <c r="PS321" s="113"/>
      <c r="PT321" s="113"/>
      <c r="PU321" s="113"/>
      <c r="PV321" s="113"/>
      <c r="PW321" s="113"/>
      <c r="PX321" s="113"/>
      <c r="PY321" s="113"/>
      <c r="PZ321" s="113"/>
      <c r="QA321" s="113"/>
      <c r="QB321" s="113"/>
      <c r="QC321" s="113"/>
      <c r="QD321" s="113"/>
      <c r="QE321" s="113"/>
      <c r="QF321" s="113"/>
      <c r="QG321" s="113"/>
      <c r="QH321" s="113"/>
      <c r="QI321" s="113"/>
      <c r="QJ321" s="113"/>
      <c r="QK321" s="113"/>
      <c r="QL321" s="113"/>
      <c r="QM321" s="113"/>
      <c r="QN321" s="113"/>
      <c r="QO321" s="113"/>
      <c r="QP321" s="113"/>
      <c r="QQ321" s="113"/>
      <c r="QR321" s="113"/>
      <c r="QS321" s="113"/>
      <c r="QT321" s="113"/>
      <c r="QU321" s="113"/>
      <c r="QV321" s="113"/>
      <c r="QW321" s="113"/>
      <c r="QX321" s="113"/>
      <c r="QY321" s="113"/>
      <c r="QZ321" s="113"/>
      <c r="RA321" s="113"/>
      <c r="RB321" s="113"/>
      <c r="RC321" s="113"/>
      <c r="RD321" s="113"/>
      <c r="RE321" s="113"/>
      <c r="RF321" s="113"/>
      <c r="RG321" s="113"/>
      <c r="RH321" s="113"/>
      <c r="RI321" s="113"/>
      <c r="RJ321" s="113"/>
      <c r="RK321" s="113"/>
      <c r="RL321" s="113"/>
      <c r="RM321" s="113"/>
      <c r="RN321" s="113"/>
      <c r="RO321" s="113"/>
      <c r="RP321" s="113"/>
      <c r="RQ321" s="113"/>
      <c r="RR321" s="113"/>
      <c r="RS321" s="113"/>
      <c r="RT321" s="113"/>
      <c r="RU321" s="113"/>
      <c r="RV321" s="113"/>
      <c r="RW321" s="113"/>
      <c r="RX321" s="113"/>
      <c r="RY321" s="113"/>
      <c r="RZ321" s="113"/>
      <c r="SA321" s="113"/>
      <c r="SB321" s="113"/>
      <c r="SC321" s="113"/>
      <c r="SD321" s="113"/>
      <c r="SE321" s="113"/>
      <c r="SF321" s="113"/>
      <c r="SG321" s="113"/>
      <c r="SH321" s="113"/>
      <c r="SI321" s="113"/>
      <c r="SJ321" s="113"/>
      <c r="SK321" s="113"/>
      <c r="SL321" s="113"/>
      <c r="SM321" s="113"/>
      <c r="SN321" s="113"/>
      <c r="SO321" s="113"/>
      <c r="SP321" s="113"/>
      <c r="SQ321" s="113"/>
      <c r="SR321" s="113"/>
      <c r="SS321" s="113"/>
      <c r="ST321" s="113"/>
      <c r="SU321" s="113"/>
      <c r="SV321" s="113"/>
      <c r="SW321" s="113"/>
      <c r="SX321" s="113"/>
      <c r="SY321" s="113"/>
      <c r="SZ321" s="113"/>
      <c r="TA321" s="113"/>
      <c r="TB321" s="113"/>
      <c r="TC321" s="113"/>
      <c r="TD321" s="113"/>
      <c r="TE321" s="113"/>
      <c r="TF321" s="113"/>
      <c r="TG321" s="113"/>
      <c r="TH321" s="113"/>
      <c r="TI321" s="113"/>
      <c r="TJ321" s="113"/>
      <c r="TK321" s="113"/>
      <c r="TL321" s="113"/>
      <c r="TM321" s="113"/>
      <c r="TN321" s="113"/>
      <c r="TO321" s="113"/>
      <c r="TP321" s="113"/>
      <c r="TQ321" s="113"/>
      <c r="TR321" s="113"/>
      <c r="TS321" s="113"/>
      <c r="TT321" s="113"/>
      <c r="TU321" s="113"/>
      <c r="TV321" s="113"/>
      <c r="TW321" s="113"/>
      <c r="TX321" s="113"/>
      <c r="TY321" s="113"/>
      <c r="TZ321" s="113"/>
      <c r="UA321" s="113"/>
      <c r="UB321" s="113"/>
      <c r="UC321" s="113"/>
      <c r="UD321" s="113"/>
      <c r="UE321" s="113"/>
      <c r="UF321" s="113"/>
      <c r="UG321" s="113"/>
      <c r="UH321" s="113"/>
      <c r="UI321" s="113"/>
      <c r="UJ321" s="113"/>
      <c r="UK321" s="113"/>
      <c r="UL321" s="113"/>
      <c r="UM321" s="113"/>
      <c r="UN321" s="113"/>
      <c r="UO321" s="113"/>
      <c r="UP321" s="113"/>
      <c r="UQ321" s="113"/>
      <c r="UR321" s="113"/>
      <c r="US321" s="113"/>
      <c r="UT321" s="113"/>
      <c r="UU321" s="113"/>
      <c r="UV321" s="113"/>
      <c r="UW321" s="113"/>
      <c r="UX321" s="113"/>
      <c r="UY321" s="113"/>
      <c r="UZ321" s="113"/>
      <c r="VA321" s="113"/>
      <c r="VB321" s="113"/>
      <c r="VC321" s="113"/>
      <c r="VD321" s="113"/>
      <c r="VE321" s="113"/>
      <c r="VF321" s="113"/>
      <c r="VG321" s="113"/>
      <c r="VH321" s="113"/>
      <c r="VI321" s="113"/>
      <c r="VJ321" s="113"/>
      <c r="VK321" s="113"/>
      <c r="VL321" s="113"/>
      <c r="VM321" s="113"/>
      <c r="VN321" s="113"/>
      <c r="VO321" s="113"/>
      <c r="VP321" s="113"/>
      <c r="VQ321" s="113"/>
      <c r="VR321" s="113"/>
      <c r="VS321" s="113"/>
      <c r="VT321" s="113"/>
      <c r="VU321" s="113"/>
      <c r="VV321" s="113"/>
      <c r="VW321" s="113"/>
      <c r="VX321" s="113"/>
      <c r="VY321" s="113"/>
      <c r="VZ321" s="113"/>
      <c r="WA321" s="113"/>
      <c r="WB321" s="113"/>
      <c r="WC321" s="113"/>
      <c r="WD321" s="113"/>
      <c r="WE321" s="113"/>
      <c r="WF321" s="113"/>
      <c r="WG321" s="113"/>
      <c r="WH321" s="113"/>
      <c r="WI321" s="113"/>
      <c r="WJ321" s="113"/>
      <c r="WK321" s="113"/>
      <c r="WL321" s="113"/>
      <c r="WM321" s="113"/>
      <c r="WN321" s="113"/>
      <c r="WO321" s="113"/>
      <c r="WP321" s="113"/>
      <c r="WQ321" s="113"/>
      <c r="WR321" s="113"/>
      <c r="WS321" s="113"/>
      <c r="WT321" s="113"/>
      <c r="WU321" s="113"/>
      <c r="WV321" s="113"/>
      <c r="WW321" s="113"/>
      <c r="WX321" s="113"/>
      <c r="WY321" s="113"/>
      <c r="WZ321" s="113"/>
      <c r="XA321" s="113"/>
      <c r="XB321" s="113"/>
      <c r="XC321" s="113"/>
      <c r="XD321" s="113"/>
      <c r="XE321" s="113"/>
      <c r="XF321" s="113"/>
      <c r="XG321" s="113"/>
      <c r="XH321" s="113"/>
      <c r="XI321" s="113"/>
      <c r="XJ321" s="113"/>
      <c r="XK321" s="113"/>
      <c r="XL321" s="113"/>
      <c r="XM321" s="113"/>
      <c r="XN321" s="113"/>
      <c r="XO321" s="113"/>
      <c r="XP321" s="113"/>
      <c r="XQ321" s="113"/>
      <c r="XR321" s="113"/>
      <c r="XS321" s="113"/>
      <c r="XT321" s="113"/>
      <c r="XU321" s="113"/>
      <c r="XV321" s="113"/>
      <c r="XW321" s="113"/>
      <c r="XX321" s="113"/>
      <c r="XY321" s="113"/>
      <c r="XZ321" s="113"/>
      <c r="YA321" s="113"/>
      <c r="YB321" s="113"/>
      <c r="YC321" s="113"/>
      <c r="YD321" s="113"/>
      <c r="YE321" s="113"/>
      <c r="YF321" s="113"/>
      <c r="YG321" s="113"/>
      <c r="YH321" s="113"/>
      <c r="YI321" s="113"/>
      <c r="YJ321" s="113"/>
      <c r="YK321" s="113"/>
      <c r="YL321" s="113"/>
      <c r="YM321" s="113"/>
      <c r="YN321" s="113"/>
      <c r="YO321" s="113"/>
      <c r="YP321" s="113"/>
      <c r="YQ321" s="113"/>
      <c r="YR321" s="113"/>
      <c r="YS321" s="113"/>
      <c r="YT321" s="113"/>
      <c r="YU321" s="113"/>
      <c r="YV321" s="113"/>
      <c r="YW321" s="113"/>
      <c r="YX321" s="113"/>
      <c r="YY321" s="113"/>
      <c r="YZ321" s="113"/>
      <c r="ZA321" s="113"/>
      <c r="ZB321" s="113"/>
      <c r="ZC321" s="113"/>
      <c r="ZD321" s="113"/>
      <c r="ZE321" s="113"/>
      <c r="ZF321" s="113"/>
      <c r="ZG321" s="113"/>
      <c r="ZH321" s="113"/>
      <c r="ZI321" s="113"/>
      <c r="ZJ321" s="113"/>
      <c r="ZK321" s="113"/>
      <c r="ZL321" s="113"/>
      <c r="ZM321" s="113"/>
      <c r="ZN321" s="113"/>
      <c r="ZO321" s="113"/>
      <c r="ZP321" s="113"/>
      <c r="ZQ321" s="113"/>
      <c r="ZR321" s="113"/>
      <c r="ZS321" s="113"/>
      <c r="ZT321" s="113"/>
      <c r="ZU321" s="113"/>
      <c r="ZV321" s="113"/>
      <c r="ZW321" s="113"/>
      <c r="ZX321" s="113"/>
      <c r="ZY321" s="113"/>
      <c r="ZZ321" s="113"/>
      <c r="AAA321" s="113"/>
      <c r="AAB321" s="113"/>
      <c r="AAC321" s="113"/>
      <c r="AAD321" s="113"/>
      <c r="AAE321" s="113"/>
      <c r="AAF321" s="113"/>
      <c r="AAG321" s="113"/>
      <c r="AAH321" s="113"/>
      <c r="AAI321" s="113"/>
      <c r="AAJ321" s="113"/>
      <c r="AAK321" s="113"/>
      <c r="AAL321" s="113"/>
      <c r="AAM321" s="113"/>
      <c r="AAN321" s="113"/>
      <c r="AAO321" s="113"/>
      <c r="AAP321" s="113"/>
      <c r="AAQ321" s="113"/>
      <c r="AAR321" s="113"/>
      <c r="AAS321" s="113"/>
      <c r="AAT321" s="113"/>
      <c r="AAU321" s="113"/>
      <c r="AAV321" s="113"/>
      <c r="AAW321" s="113"/>
      <c r="AAX321" s="113"/>
      <c r="AAY321" s="113"/>
      <c r="AAZ321" s="113"/>
      <c r="ABA321" s="113"/>
      <c r="ABB321" s="113"/>
      <c r="ABC321" s="113"/>
      <c r="ABD321" s="113"/>
      <c r="ABE321" s="113"/>
      <c r="ABF321" s="113"/>
      <c r="ABG321" s="113"/>
      <c r="ABH321" s="113"/>
      <c r="ABI321" s="113"/>
      <c r="ABJ321" s="113"/>
      <c r="ABK321" s="113"/>
      <c r="ABL321" s="113"/>
      <c r="ABM321" s="113"/>
      <c r="ABN321" s="113"/>
      <c r="ABO321" s="113"/>
      <c r="ABP321" s="113"/>
      <c r="ABQ321" s="113"/>
      <c r="ABR321" s="113"/>
      <c r="ABS321" s="113"/>
      <c r="ABT321" s="113"/>
      <c r="ABU321" s="113"/>
      <c r="ABV321" s="113"/>
      <c r="ABW321" s="113"/>
      <c r="ABX321" s="113"/>
      <c r="ABY321" s="113"/>
      <c r="ABZ321" s="113"/>
      <c r="ACA321" s="113"/>
      <c r="ACB321" s="113"/>
      <c r="ACC321" s="113"/>
      <c r="ACD321" s="113"/>
      <c r="ACE321" s="113"/>
      <c r="ACF321" s="113"/>
      <c r="ACG321" s="113"/>
      <c r="ACH321" s="113"/>
      <c r="ACI321" s="113"/>
      <c r="ACJ321" s="113"/>
      <c r="ACK321" s="113"/>
      <c r="ACL321" s="113"/>
      <c r="ACM321" s="113"/>
      <c r="ACN321" s="113"/>
      <c r="ACO321" s="113"/>
      <c r="ACP321" s="113"/>
      <c r="ACQ321" s="113"/>
      <c r="ACR321" s="113"/>
      <c r="ACS321" s="113"/>
      <c r="ACT321" s="113"/>
      <c r="ACU321" s="113"/>
      <c r="ACV321" s="113"/>
      <c r="ACW321" s="113"/>
      <c r="ACX321" s="113"/>
      <c r="ACY321" s="113"/>
      <c r="ACZ321" s="113"/>
      <c r="ADA321" s="113"/>
      <c r="ADB321" s="113"/>
      <c r="ADC321" s="113"/>
      <c r="ADD321" s="113"/>
      <c r="ADE321" s="113"/>
      <c r="ADF321" s="113"/>
      <c r="ADG321" s="113"/>
      <c r="ADH321" s="113"/>
      <c r="ADI321" s="113"/>
      <c r="ADJ321" s="113"/>
      <c r="ADK321" s="113"/>
      <c r="ADL321" s="113"/>
      <c r="ADM321" s="113"/>
      <c r="ADN321" s="113"/>
      <c r="ADO321" s="113"/>
      <c r="ADP321" s="113"/>
      <c r="ADQ321" s="113"/>
      <c r="ADR321" s="113"/>
      <c r="ADS321" s="113"/>
      <c r="ADT321" s="113"/>
      <c r="ADU321" s="113"/>
      <c r="ADV321" s="113"/>
      <c r="ADW321" s="113"/>
      <c r="ADX321" s="113"/>
      <c r="ADY321" s="113"/>
      <c r="ADZ321" s="113"/>
      <c r="AEA321" s="113"/>
      <c r="AEB321" s="113"/>
      <c r="AEC321" s="113"/>
      <c r="AED321" s="113"/>
      <c r="AEE321" s="113"/>
      <c r="AEF321" s="113"/>
      <c r="AEG321" s="113"/>
      <c r="AEH321" s="113"/>
      <c r="AEI321" s="113"/>
      <c r="AEJ321" s="113"/>
      <c r="AEK321" s="113"/>
      <c r="AEL321" s="113"/>
      <c r="AEM321" s="113"/>
      <c r="AEN321" s="113"/>
      <c r="AEO321" s="113"/>
      <c r="AEP321" s="113"/>
      <c r="AEQ321" s="113"/>
      <c r="AER321" s="113"/>
      <c r="AES321" s="113"/>
      <c r="AET321" s="113"/>
      <c r="AEU321" s="113"/>
      <c r="AEV321" s="113"/>
      <c r="AEW321" s="113"/>
      <c r="AEX321" s="113"/>
      <c r="AEY321" s="113"/>
      <c r="AEZ321" s="113"/>
      <c r="AFA321" s="113"/>
      <c r="AFB321" s="113"/>
      <c r="AFC321" s="113"/>
      <c r="AFD321" s="113"/>
      <c r="AFE321" s="113"/>
      <c r="AFF321" s="113"/>
      <c r="AFG321" s="113"/>
      <c r="AFH321" s="113"/>
      <c r="AFI321" s="113"/>
      <c r="AFJ321" s="113"/>
      <c r="AFK321" s="113"/>
      <c r="AFL321" s="113"/>
      <c r="AFM321" s="113"/>
      <c r="AFN321" s="113"/>
      <c r="AFO321" s="113"/>
      <c r="AFP321" s="113"/>
      <c r="AFQ321" s="113"/>
      <c r="AFR321" s="113"/>
      <c r="AFS321" s="113"/>
      <c r="AFT321" s="113"/>
      <c r="AFU321" s="113"/>
      <c r="AFV321" s="113"/>
      <c r="AFW321" s="113"/>
      <c r="AFX321" s="113"/>
      <c r="AFY321" s="113"/>
      <c r="AFZ321" s="113"/>
      <c r="AGA321" s="113"/>
      <c r="AGB321" s="113"/>
      <c r="AGC321" s="113"/>
      <c r="AGD321" s="113"/>
      <c r="AGE321" s="113"/>
      <c r="AGF321" s="113"/>
      <c r="AGG321" s="113"/>
      <c r="AGH321" s="113"/>
      <c r="AGI321" s="113"/>
      <c r="AGJ321" s="113"/>
      <c r="AGK321" s="113"/>
      <c r="AGL321" s="113"/>
      <c r="AGM321" s="113"/>
      <c r="AGN321" s="113"/>
      <c r="AGO321" s="113"/>
      <c r="AGP321" s="113"/>
      <c r="AGQ321" s="113"/>
      <c r="AGR321" s="113"/>
      <c r="AGS321" s="113"/>
      <c r="AGT321" s="113"/>
      <c r="AGU321" s="113"/>
      <c r="AGV321" s="113"/>
      <c r="AGW321" s="113"/>
      <c r="AGX321" s="113"/>
      <c r="AGY321" s="113"/>
      <c r="AGZ321" s="113"/>
      <c r="AHA321" s="113"/>
      <c r="AHB321" s="113"/>
      <c r="AHC321" s="113"/>
      <c r="AHD321" s="113"/>
      <c r="AHE321" s="113"/>
      <c r="AHF321" s="113"/>
      <c r="AHG321" s="113"/>
      <c r="AHH321" s="113"/>
      <c r="AHI321" s="113"/>
      <c r="AHJ321" s="113"/>
      <c r="AHK321" s="113"/>
      <c r="AHL321" s="113"/>
      <c r="AHM321" s="113"/>
      <c r="AHN321" s="113"/>
      <c r="AHO321" s="113"/>
      <c r="AHP321" s="113"/>
      <c r="AHQ321" s="113"/>
      <c r="AHR321" s="113"/>
      <c r="AHS321" s="113"/>
      <c r="AHT321" s="113"/>
      <c r="AHU321" s="113"/>
      <c r="AHV321" s="113"/>
      <c r="AHW321" s="113"/>
      <c r="AHX321" s="113"/>
      <c r="AHY321" s="113"/>
      <c r="AHZ321" s="113"/>
      <c r="AIA321" s="113"/>
      <c r="AIB321" s="113"/>
      <c r="AIC321" s="113"/>
      <c r="AID321" s="113"/>
      <c r="AIE321" s="113"/>
      <c r="AIF321" s="113"/>
      <c r="AIG321" s="113"/>
      <c r="AIH321" s="113"/>
      <c r="AII321" s="113"/>
      <c r="AIJ321" s="113"/>
      <c r="AIK321" s="113"/>
      <c r="AIL321" s="113"/>
      <c r="AIM321" s="113"/>
      <c r="AIN321" s="113"/>
      <c r="AIO321" s="113"/>
      <c r="AIP321" s="113"/>
      <c r="AIQ321" s="113"/>
      <c r="AIR321" s="113"/>
      <c r="AIS321" s="113"/>
      <c r="AIT321" s="113"/>
      <c r="AIU321" s="113"/>
      <c r="AIV321" s="113"/>
      <c r="AIW321" s="113"/>
      <c r="AIX321" s="113"/>
      <c r="AIY321" s="113"/>
      <c r="AIZ321" s="113"/>
    </row>
    <row r="322">
      <c r="A322" s="65" t="s">
        <v>17</v>
      </c>
      <c r="B322" s="65" t="s">
        <v>23</v>
      </c>
      <c r="C322" s="65"/>
      <c r="D322" s="64">
        <f t="shared" si="1"/>
        <v>519.91835</v>
      </c>
      <c r="G322" s="65">
        <v>13.9465833333333</v>
      </c>
      <c r="H322" s="65">
        <v>22.3493666666667</v>
      </c>
      <c r="I322" s="65">
        <v>35.7742166666666</v>
      </c>
      <c r="J322" s="65">
        <v>0.3843</v>
      </c>
      <c r="K322" s="65">
        <v>6.75936666666667</v>
      </c>
      <c r="N322" s="65">
        <v>8.42411666666667</v>
      </c>
      <c r="R322" s="65">
        <v>21.27045</v>
      </c>
      <c r="S322" s="65">
        <v>19.9061166666667</v>
      </c>
      <c r="T322" s="65">
        <v>42.9653333333334</v>
      </c>
      <c r="U322" s="65">
        <v>20.6745166666667</v>
      </c>
      <c r="Y322" s="65">
        <v>16.61505</v>
      </c>
      <c r="Z322" s="65">
        <v>25.9694833333333</v>
      </c>
      <c r="AA322" s="65">
        <v>15.7065</v>
      </c>
      <c r="AB322" s="65">
        <v>8.39911666666667</v>
      </c>
      <c r="AF322" s="65">
        <v>31.02985</v>
      </c>
      <c r="AG322" s="65">
        <v>48.0711333333333</v>
      </c>
      <c r="AH322" s="65">
        <v>16.71335</v>
      </c>
      <c r="AI322" s="65">
        <v>52.7381333333333</v>
      </c>
      <c r="AL322" s="65">
        <v>23.1965333333333</v>
      </c>
      <c r="AM322" s="65">
        <v>0.74635</v>
      </c>
      <c r="AN322" s="65">
        <v>2.5879</v>
      </c>
      <c r="AQ322" s="65">
        <v>33.6158666666667</v>
      </c>
      <c r="AR322" s="65">
        <v>7.03253333333333</v>
      </c>
      <c r="AU322" s="65">
        <v>45.0421833333333</v>
      </c>
    </row>
    <row r="323">
      <c r="A323" s="65" t="s">
        <v>17</v>
      </c>
      <c r="B323" s="65" t="s">
        <v>23</v>
      </c>
      <c r="C323" s="65"/>
      <c r="D323" s="64">
        <f t="shared" si="1"/>
        <v>0</v>
      </c>
    </row>
    <row r="324">
      <c r="A324" s="65" t="s">
        <v>17</v>
      </c>
      <c r="B324" s="65" t="s">
        <v>23</v>
      </c>
      <c r="C324" s="65"/>
      <c r="D324" s="64">
        <f t="shared" si="1"/>
        <v>519.2907</v>
      </c>
      <c r="G324" s="118">
        <f>HYPERLINK("https://docs.google.com/spreadsheets/d/1vOVw32ru23Qlh5cDo7t_2qLogYjVHdcI", 13.9465666666667)</f>
        <v>13.94656667</v>
      </c>
      <c r="H324" s="118">
        <f>HYPERLINK("https://docs.google.com/spreadsheets/d/1xLUU7D479vsmRJQLHyRsEa7COBnNT-ne", 22.34935)</f>
        <v>22.34935</v>
      </c>
      <c r="I324" s="118">
        <f>HYPERLINK("https://docs.google.com/spreadsheets/d/1w1H-n75PdYWkgxcDbunrH5ueUxcFxmML", 35.7742)</f>
        <v>35.7742</v>
      </c>
      <c r="J324" s="118">
        <f>HYPERLINK("https://docs.google.com/spreadsheets/d/1Lf0O7aWTjN25MJmNTzmRHRxtzDiiTRgI", 0.1999)</f>
        <v>0.1999</v>
      </c>
      <c r="K324" s="118">
        <f>HYPERLINK("https://docs.google.com/spreadsheets/d/1zSvCb5Ht9TvV2Qd6br15_vMChqR98tIU", 6.75936666666667)</f>
        <v>6.759366667</v>
      </c>
      <c r="N324" s="118">
        <f>HYPERLINK("https://docs.google.com/spreadsheets/d/1G0LxEshNlO_RSUH1IoLOsgPlbxL3Dcg9", 8.42413333333333)</f>
        <v>8.424133333</v>
      </c>
      <c r="R324" s="118">
        <f>HYPERLINK("https://docs.google.com/spreadsheets/d/1POHDbvmsCuyc70CXG37VzdPbdKw8Elxk", 21.27045)</f>
        <v>21.27045</v>
      </c>
      <c r="S324" s="118">
        <f>HYPERLINK("https://docs.google.com/spreadsheets/d/1ghU6QDMHr7WVygg3ido9x5kZ1BjRrHj3", 19.9060833333333)</f>
        <v>19.90608333</v>
      </c>
      <c r="T324" s="118">
        <f>HYPERLINK("https://docs.google.com/spreadsheets/d/1aLVRJaJsn1HK_rvSlUBP4h5L2j1juepl", 42.9653)</f>
        <v>42.9653</v>
      </c>
      <c r="U324" s="118">
        <f>HYPERLINK("https://docs.google.com/spreadsheets/d/1Ce6Vqyuvuvyy6KyZokbGIBqNrH4-VNyS", 20.57175)</f>
        <v>20.57175</v>
      </c>
      <c r="Y324" s="118">
        <f>HYPERLINK("https://docs.google.com/spreadsheets/d/1bWeGJHpJ92BgD1XtMIRS0gyu4OOgKj8m", 16.61505)</f>
        <v>16.61505</v>
      </c>
      <c r="Z324" s="118">
        <f>HYPERLINK("https://docs.google.com/spreadsheets/d/1ZaOZ3sb6Bw1odSmbFpnJuCJMAGq_47RB", 25.9694166666667)</f>
        <v>25.96941667</v>
      </c>
      <c r="AA324" s="118">
        <f>HYPERLINK("https://docs.google.com/spreadsheets/d/1kUgNuGbTrgQYjup4NGY3G7yfsUk6iKEA", 15.7064833333333)</f>
        <v>15.70648333</v>
      </c>
      <c r="AB324" s="118">
        <f>HYPERLINK("https://docs.google.com/spreadsheets/d/1u9N96-_H3_MD5TEQBYOlegBor4GRFCOR", 8.39911666666667)</f>
        <v>8.399116667</v>
      </c>
      <c r="AF324" s="118">
        <f>HYPERLINK("https://docs.google.com/spreadsheets/d/1LeUkBAo6T5ILVfVVoGntYGERLaCc3uQr", 31.0298)</f>
        <v>31.0298</v>
      </c>
      <c r="AG324" s="118">
        <f>HYPERLINK("https://docs.google.com/spreadsheets/d/1zw4jC_dKubzJ152W7MqKoooT4hq_VDXa", 48.04485)</f>
        <v>48.04485</v>
      </c>
      <c r="AH324" s="118">
        <f>HYPERLINK("https://docs.google.com/spreadsheets/d/1bqgQKznvnHGEI8tfIE-fYRCKbCGzQEUt", 16.71335)</f>
        <v>16.71335</v>
      </c>
      <c r="AI324" s="118">
        <f>HYPERLINK("https://docs.google.com/spreadsheets/d/1zW3aWpDnBpFAbPkeJji21O6xHwll2M5m", 52.4242666666667)</f>
        <v>52.42426667</v>
      </c>
      <c r="AL324" s="118">
        <f>HYPERLINK("https://docs.google.com/spreadsheets/d/1S8w2yXWfxP0JoykuDPYaUM-pXvU4ZRgb", 23.1965)</f>
        <v>23.1965</v>
      </c>
      <c r="AM324" s="118">
        <f>HYPERLINK("https://docs.google.com/spreadsheets/d/1XfM6PCsqK_Ge7g2GJxFATEEeOAX1YcJg", 0.74635)</f>
        <v>0.74635</v>
      </c>
      <c r="AN324" s="118">
        <f>HYPERLINK("https://docs.google.com/spreadsheets/d/1f8oPek_0-oVmiNIpFa_VoVoqQN-sXj-3", 2.5879)</f>
        <v>2.5879</v>
      </c>
      <c r="AQ324" s="118">
        <f>HYPERLINK("https://docs.google.com/spreadsheets/d/1SPfVzkbX-Ol-rXmxFlB9cmhSMJXgtmDc", 33.6158166666667)</f>
        <v>33.61581667</v>
      </c>
      <c r="AR324" s="118">
        <f>HYPERLINK("https://docs.google.com/spreadsheets/d/1h3a0bpRUxKpC6R1oRQHhGf9lZmUIVbh2", 7.03253333333333)</f>
        <v>7.032533333</v>
      </c>
      <c r="AU324" s="118">
        <f>HYPERLINK("https://docs.google.com/spreadsheets/d/1wCh68PvgPdG4KemmjZh8WJtjfxVFy2yR", 45.0421666666667)</f>
        <v>45.04216667</v>
      </c>
    </row>
    <row r="325">
      <c r="A325" s="65" t="s">
        <v>17</v>
      </c>
      <c r="B325" s="65" t="s">
        <v>23</v>
      </c>
      <c r="C325" s="65"/>
      <c r="D325" s="64">
        <f t="shared" si="1"/>
        <v>254.51395</v>
      </c>
      <c r="G325" s="65">
        <v>3.70748333333333</v>
      </c>
      <c r="H325" s="65">
        <v>11.9256</v>
      </c>
      <c r="I325" s="65">
        <v>26.44625</v>
      </c>
      <c r="J325" s="65">
        <v>0.0</v>
      </c>
      <c r="K325" s="65">
        <v>6.36435</v>
      </c>
      <c r="N325" s="65">
        <v>1.7197</v>
      </c>
      <c r="R325" s="65">
        <v>8.33073333333333</v>
      </c>
      <c r="S325" s="65">
        <v>7.53353333333333</v>
      </c>
      <c r="T325" s="65">
        <v>27.08935</v>
      </c>
      <c r="U325" s="65">
        <v>14.8245666666667</v>
      </c>
      <c r="Y325" s="65">
        <v>4.15278333333333</v>
      </c>
      <c r="Z325" s="65">
        <v>8.00938333333333</v>
      </c>
      <c r="AA325" s="65">
        <v>10.2069833333333</v>
      </c>
      <c r="AB325" s="65">
        <v>5.23355</v>
      </c>
      <c r="AF325" s="65">
        <v>7.92141666666667</v>
      </c>
      <c r="AG325" s="65">
        <v>11.26385</v>
      </c>
      <c r="AH325" s="65">
        <v>8.35081666666666</v>
      </c>
      <c r="AI325" s="65">
        <v>25.8742</v>
      </c>
      <c r="AL325" s="65">
        <v>17.9296666666667</v>
      </c>
      <c r="AM325" s="65">
        <v>0.4197</v>
      </c>
      <c r="AN325" s="65">
        <v>1.39648333333333</v>
      </c>
      <c r="AQ325" s="65">
        <v>18.0980333333333</v>
      </c>
      <c r="AR325" s="65">
        <v>3.03625</v>
      </c>
      <c r="AU325" s="65">
        <v>24.6792666666667</v>
      </c>
    </row>
    <row r="326">
      <c r="A326" s="119" t="s">
        <v>17</v>
      </c>
      <c r="B326" s="119" t="s">
        <v>23</v>
      </c>
      <c r="C326" s="119"/>
      <c r="D326" s="120">
        <f t="shared" si="1"/>
        <v>0</v>
      </c>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c r="AA326" s="120"/>
      <c r="AB326" s="120"/>
      <c r="AC326" s="120"/>
      <c r="AD326" s="120"/>
      <c r="AE326" s="120"/>
      <c r="AF326" s="120"/>
      <c r="AG326" s="120"/>
      <c r="AH326" s="120"/>
      <c r="AI326" s="120"/>
      <c r="AJ326" s="120"/>
      <c r="AK326" s="120"/>
      <c r="AL326" s="120"/>
      <c r="AM326" s="120"/>
      <c r="AN326" s="120"/>
      <c r="AO326" s="120"/>
      <c r="AP326" s="120"/>
      <c r="AQ326" s="120"/>
      <c r="AR326" s="120"/>
      <c r="AS326" s="120"/>
      <c r="AT326" s="120"/>
      <c r="AU326" s="120"/>
      <c r="AV326" s="120"/>
      <c r="AW326" s="120"/>
      <c r="AX326" s="120"/>
      <c r="AY326" s="120"/>
      <c r="AZ326" s="120"/>
      <c r="BA326" s="120"/>
      <c r="BB326" s="120"/>
      <c r="BC326" s="120"/>
      <c r="BD326" s="120"/>
      <c r="BE326" s="120"/>
      <c r="BF326" s="120"/>
      <c r="BG326" s="120"/>
      <c r="BH326" s="120"/>
      <c r="BI326" s="120"/>
      <c r="BJ326" s="120"/>
      <c r="BK326" s="120"/>
      <c r="BL326" s="120"/>
      <c r="BM326" s="120"/>
      <c r="BN326" s="120"/>
      <c r="BO326" s="120"/>
      <c r="BP326" s="120"/>
      <c r="BQ326" s="120"/>
      <c r="BR326" s="120"/>
      <c r="BS326" s="120"/>
      <c r="BT326" s="120"/>
      <c r="BU326" s="120"/>
      <c r="BV326" s="120"/>
      <c r="BW326" s="120"/>
      <c r="BX326" s="120"/>
      <c r="BY326" s="120"/>
      <c r="BZ326" s="120"/>
      <c r="CA326" s="120"/>
      <c r="CB326" s="120"/>
      <c r="CC326" s="120"/>
      <c r="CD326" s="120"/>
      <c r="CE326" s="120"/>
      <c r="CF326" s="120"/>
      <c r="CG326" s="120"/>
      <c r="CH326" s="120"/>
      <c r="CI326" s="120"/>
      <c r="CJ326" s="120"/>
      <c r="CK326" s="120"/>
      <c r="CL326" s="120"/>
      <c r="CM326" s="120"/>
      <c r="CN326" s="120"/>
      <c r="CO326" s="120"/>
      <c r="CP326" s="120"/>
      <c r="CQ326" s="120"/>
      <c r="CR326" s="120"/>
      <c r="CS326" s="120"/>
      <c r="CT326" s="120"/>
      <c r="CU326" s="120"/>
      <c r="CV326" s="120"/>
      <c r="CW326" s="120"/>
      <c r="CX326" s="120"/>
      <c r="CY326" s="120"/>
      <c r="CZ326" s="120"/>
      <c r="DA326" s="120"/>
      <c r="DB326" s="120"/>
      <c r="DC326" s="120"/>
      <c r="DD326" s="120"/>
      <c r="DE326" s="120"/>
      <c r="DF326" s="120"/>
      <c r="DG326" s="120"/>
      <c r="DH326" s="120"/>
      <c r="DI326" s="120"/>
      <c r="DJ326" s="120"/>
      <c r="DK326" s="120"/>
      <c r="DL326" s="120"/>
      <c r="DM326" s="120"/>
      <c r="DN326" s="120"/>
      <c r="DO326" s="120"/>
      <c r="DP326" s="120"/>
      <c r="DQ326" s="120"/>
      <c r="DR326" s="120"/>
      <c r="DS326" s="120"/>
      <c r="DT326" s="120"/>
      <c r="DU326" s="120"/>
      <c r="DV326" s="120"/>
      <c r="DW326" s="120"/>
      <c r="DX326" s="120"/>
      <c r="DY326" s="120"/>
      <c r="DZ326" s="120"/>
      <c r="EA326" s="120"/>
      <c r="EB326" s="120"/>
      <c r="EC326" s="120"/>
      <c r="ED326" s="120"/>
      <c r="EE326" s="120"/>
      <c r="EF326" s="120"/>
      <c r="EG326" s="120"/>
      <c r="EH326" s="120"/>
      <c r="EI326" s="120"/>
      <c r="EJ326" s="120"/>
      <c r="EK326" s="120"/>
      <c r="EL326" s="120"/>
      <c r="EM326" s="120"/>
      <c r="EN326" s="120"/>
      <c r="EO326" s="120"/>
      <c r="EP326" s="120"/>
      <c r="EQ326" s="120"/>
      <c r="ER326" s="120"/>
      <c r="ES326" s="120"/>
      <c r="ET326" s="120"/>
      <c r="EU326" s="120"/>
      <c r="EV326" s="120"/>
      <c r="EW326" s="120"/>
      <c r="EX326" s="120"/>
      <c r="EY326" s="120"/>
      <c r="EZ326" s="120"/>
      <c r="FA326" s="120"/>
      <c r="FB326" s="120"/>
      <c r="FC326" s="120"/>
      <c r="FD326" s="120"/>
      <c r="FE326" s="120"/>
      <c r="FF326" s="120"/>
      <c r="FG326" s="120"/>
      <c r="FH326" s="120"/>
      <c r="FI326" s="120"/>
      <c r="FJ326" s="120"/>
      <c r="FK326" s="120"/>
      <c r="FL326" s="120"/>
      <c r="FM326" s="120"/>
      <c r="FN326" s="120"/>
      <c r="FO326" s="120"/>
      <c r="FP326" s="120"/>
      <c r="FQ326" s="120"/>
      <c r="FR326" s="120"/>
      <c r="FS326" s="120"/>
      <c r="FT326" s="120"/>
      <c r="FU326" s="120"/>
      <c r="FV326" s="120"/>
      <c r="FW326" s="120"/>
      <c r="FX326" s="120"/>
      <c r="FY326" s="120"/>
      <c r="FZ326" s="120"/>
      <c r="GA326" s="120"/>
      <c r="GB326" s="120"/>
      <c r="GC326" s="120"/>
      <c r="GD326" s="120"/>
      <c r="GE326" s="120"/>
      <c r="GF326" s="120"/>
      <c r="GG326" s="120"/>
      <c r="GH326" s="120"/>
      <c r="GI326" s="120"/>
      <c r="GJ326" s="120"/>
      <c r="GK326" s="120"/>
      <c r="GL326" s="120"/>
      <c r="GM326" s="120"/>
      <c r="GN326" s="120"/>
      <c r="GO326" s="120"/>
      <c r="GP326" s="120"/>
      <c r="GQ326" s="120"/>
      <c r="GR326" s="120"/>
      <c r="GS326" s="120"/>
      <c r="GT326" s="120"/>
      <c r="GU326" s="120"/>
      <c r="GV326" s="120"/>
      <c r="GW326" s="120"/>
      <c r="GX326" s="120"/>
      <c r="GY326" s="120"/>
      <c r="GZ326" s="120"/>
      <c r="HA326" s="120"/>
      <c r="HB326" s="120"/>
      <c r="HC326" s="120"/>
      <c r="HD326" s="120"/>
      <c r="HE326" s="120"/>
      <c r="HF326" s="120"/>
      <c r="HG326" s="120"/>
      <c r="HH326" s="120"/>
      <c r="HI326" s="120"/>
      <c r="HJ326" s="120"/>
      <c r="HK326" s="120"/>
      <c r="HL326" s="120"/>
      <c r="HM326" s="120"/>
      <c r="HN326" s="120"/>
      <c r="HO326" s="120"/>
      <c r="HP326" s="120"/>
      <c r="HQ326" s="120"/>
      <c r="HR326" s="120"/>
      <c r="HS326" s="120"/>
      <c r="HT326" s="120"/>
      <c r="HU326" s="120"/>
      <c r="HV326" s="120"/>
      <c r="HW326" s="120"/>
      <c r="HX326" s="120"/>
      <c r="HY326" s="120"/>
      <c r="HZ326" s="120"/>
      <c r="IA326" s="120"/>
      <c r="IB326" s="120"/>
      <c r="IC326" s="120"/>
      <c r="ID326" s="120"/>
      <c r="IE326" s="120"/>
      <c r="IF326" s="120"/>
      <c r="IG326" s="120"/>
      <c r="IH326" s="120"/>
      <c r="II326" s="120"/>
      <c r="IJ326" s="120"/>
      <c r="IK326" s="120"/>
      <c r="IL326" s="120"/>
      <c r="IM326" s="120"/>
      <c r="IN326" s="120"/>
      <c r="IO326" s="120"/>
      <c r="IP326" s="120"/>
      <c r="IQ326" s="120"/>
      <c r="IR326" s="120"/>
      <c r="IS326" s="120"/>
      <c r="IT326" s="120"/>
      <c r="IU326" s="120"/>
      <c r="IV326" s="120"/>
      <c r="IW326" s="120"/>
      <c r="IX326" s="120"/>
      <c r="IY326" s="120"/>
      <c r="IZ326" s="120"/>
      <c r="JA326" s="120"/>
      <c r="JB326" s="120"/>
      <c r="JC326" s="120"/>
      <c r="JD326" s="120"/>
      <c r="JE326" s="120"/>
      <c r="JF326" s="120"/>
      <c r="JG326" s="120"/>
      <c r="JH326" s="120"/>
      <c r="JI326" s="120"/>
      <c r="JJ326" s="120"/>
      <c r="JK326" s="120"/>
      <c r="JL326" s="120"/>
      <c r="JM326" s="120"/>
      <c r="JN326" s="120"/>
      <c r="JO326" s="120"/>
      <c r="JP326" s="120"/>
      <c r="JQ326" s="120"/>
      <c r="JR326" s="120"/>
      <c r="JS326" s="120"/>
      <c r="JT326" s="120"/>
      <c r="JU326" s="120"/>
      <c r="JV326" s="120"/>
      <c r="JW326" s="120"/>
      <c r="JX326" s="120"/>
      <c r="JY326" s="120"/>
      <c r="JZ326" s="120"/>
      <c r="KA326" s="120"/>
      <c r="KB326" s="120"/>
      <c r="KC326" s="120"/>
      <c r="KD326" s="120"/>
      <c r="KE326" s="120"/>
      <c r="KF326" s="120"/>
      <c r="KG326" s="120"/>
      <c r="KH326" s="120"/>
      <c r="KI326" s="120"/>
      <c r="KJ326" s="120"/>
      <c r="KK326" s="120"/>
      <c r="KL326" s="120"/>
      <c r="KM326" s="120"/>
      <c r="KN326" s="120"/>
      <c r="KO326" s="120"/>
      <c r="KP326" s="120"/>
      <c r="KQ326" s="120"/>
      <c r="KR326" s="120"/>
      <c r="KS326" s="120"/>
      <c r="KT326" s="120"/>
      <c r="KU326" s="120"/>
      <c r="KV326" s="120"/>
      <c r="KW326" s="120"/>
      <c r="KX326" s="120"/>
      <c r="KY326" s="120"/>
      <c r="KZ326" s="120"/>
      <c r="LA326" s="120"/>
      <c r="LB326" s="120"/>
      <c r="LC326" s="120"/>
      <c r="LD326" s="120"/>
      <c r="LE326" s="120"/>
      <c r="LF326" s="120"/>
      <c r="LG326" s="120"/>
      <c r="LH326" s="120"/>
      <c r="LI326" s="120"/>
      <c r="LJ326" s="120"/>
      <c r="LK326" s="120"/>
      <c r="LL326" s="120"/>
      <c r="LM326" s="120"/>
      <c r="LN326" s="120"/>
      <c r="LO326" s="120"/>
      <c r="LP326" s="120"/>
      <c r="LQ326" s="120"/>
      <c r="LR326" s="120"/>
      <c r="LS326" s="120"/>
      <c r="LT326" s="120"/>
      <c r="LU326" s="120"/>
      <c r="LV326" s="120"/>
      <c r="LW326" s="120"/>
      <c r="LX326" s="120"/>
      <c r="LY326" s="120"/>
      <c r="LZ326" s="120"/>
      <c r="MA326" s="120"/>
      <c r="MB326" s="120"/>
      <c r="MC326" s="120"/>
      <c r="MD326" s="120"/>
      <c r="ME326" s="120"/>
      <c r="MF326" s="120"/>
      <c r="MG326" s="120"/>
      <c r="MH326" s="120"/>
      <c r="MI326" s="120"/>
      <c r="MJ326" s="120"/>
      <c r="MK326" s="120"/>
      <c r="ML326" s="120"/>
      <c r="MM326" s="120"/>
      <c r="MN326" s="120"/>
      <c r="MO326" s="120"/>
      <c r="MP326" s="120"/>
      <c r="MQ326" s="120"/>
      <c r="MR326" s="120"/>
      <c r="MS326" s="120"/>
      <c r="MT326" s="120"/>
      <c r="MU326" s="120"/>
      <c r="MV326" s="120"/>
      <c r="MW326" s="120"/>
      <c r="MX326" s="120"/>
      <c r="MY326" s="120"/>
      <c r="MZ326" s="120"/>
      <c r="NA326" s="120"/>
      <c r="NB326" s="120"/>
      <c r="NC326" s="120"/>
      <c r="ND326" s="120"/>
      <c r="NE326" s="120"/>
      <c r="NF326" s="120"/>
      <c r="NG326" s="120"/>
      <c r="NH326" s="120"/>
      <c r="NI326" s="120"/>
      <c r="NJ326" s="120"/>
      <c r="NK326" s="120"/>
      <c r="NL326" s="120"/>
      <c r="NM326" s="120"/>
      <c r="NN326" s="120"/>
      <c r="NO326" s="120"/>
      <c r="NP326" s="120"/>
      <c r="NQ326" s="120"/>
      <c r="NR326" s="120"/>
      <c r="NS326" s="120"/>
      <c r="NT326" s="120"/>
      <c r="NU326" s="120"/>
      <c r="NV326" s="120"/>
      <c r="NW326" s="120"/>
      <c r="NX326" s="120"/>
      <c r="NY326" s="120"/>
      <c r="NZ326" s="120"/>
      <c r="OA326" s="120"/>
      <c r="OB326" s="120"/>
      <c r="OC326" s="120"/>
      <c r="OD326" s="120"/>
      <c r="OE326" s="120"/>
      <c r="OF326" s="120"/>
      <c r="OG326" s="120"/>
      <c r="OH326" s="120"/>
      <c r="OI326" s="120"/>
      <c r="OJ326" s="120"/>
      <c r="OK326" s="120"/>
      <c r="OL326" s="120"/>
      <c r="OM326" s="120"/>
      <c r="ON326" s="120"/>
      <c r="OO326" s="120"/>
      <c r="OP326" s="120"/>
      <c r="OQ326" s="120"/>
      <c r="OR326" s="120"/>
      <c r="OS326" s="120"/>
      <c r="OT326" s="120"/>
      <c r="OU326" s="120"/>
      <c r="OV326" s="120"/>
      <c r="OW326" s="120"/>
      <c r="OX326" s="120"/>
      <c r="OY326" s="120"/>
      <c r="OZ326" s="120"/>
      <c r="PA326" s="120"/>
      <c r="PB326" s="120"/>
      <c r="PC326" s="120"/>
      <c r="PD326" s="120"/>
      <c r="PE326" s="120"/>
      <c r="PF326" s="120"/>
      <c r="PG326" s="120"/>
      <c r="PH326" s="120"/>
      <c r="PI326" s="120"/>
      <c r="PJ326" s="120"/>
      <c r="PK326" s="120"/>
      <c r="PL326" s="120"/>
      <c r="PM326" s="120"/>
      <c r="PN326" s="120"/>
      <c r="PO326" s="120"/>
      <c r="PP326" s="120"/>
      <c r="PQ326" s="120"/>
      <c r="PR326" s="120"/>
      <c r="PS326" s="120"/>
      <c r="PT326" s="120"/>
      <c r="PU326" s="120"/>
      <c r="PV326" s="120"/>
      <c r="PW326" s="120"/>
      <c r="PX326" s="120"/>
      <c r="PY326" s="120"/>
      <c r="PZ326" s="120"/>
      <c r="QA326" s="120"/>
      <c r="QB326" s="120"/>
      <c r="QC326" s="120"/>
      <c r="QD326" s="120"/>
      <c r="QE326" s="120"/>
      <c r="QF326" s="120"/>
      <c r="QG326" s="120"/>
      <c r="QH326" s="120"/>
      <c r="QI326" s="120"/>
      <c r="QJ326" s="120"/>
      <c r="QK326" s="120"/>
      <c r="QL326" s="120"/>
      <c r="QM326" s="120"/>
      <c r="QN326" s="120"/>
      <c r="QO326" s="120"/>
      <c r="QP326" s="120"/>
      <c r="QQ326" s="120"/>
      <c r="QR326" s="120"/>
      <c r="QS326" s="120"/>
      <c r="QT326" s="120"/>
      <c r="QU326" s="120"/>
      <c r="QV326" s="120"/>
      <c r="QW326" s="120"/>
      <c r="QX326" s="120"/>
      <c r="QY326" s="120"/>
      <c r="QZ326" s="120"/>
      <c r="RA326" s="120"/>
      <c r="RB326" s="120"/>
      <c r="RC326" s="120"/>
      <c r="RD326" s="120"/>
      <c r="RE326" s="120"/>
      <c r="RF326" s="120"/>
      <c r="RG326" s="120"/>
      <c r="RH326" s="120"/>
      <c r="RI326" s="120"/>
      <c r="RJ326" s="120"/>
      <c r="RK326" s="120"/>
      <c r="RL326" s="120"/>
      <c r="RM326" s="120"/>
      <c r="RN326" s="120"/>
      <c r="RO326" s="120"/>
      <c r="RP326" s="120"/>
      <c r="RQ326" s="120"/>
      <c r="RR326" s="120"/>
      <c r="RS326" s="120"/>
      <c r="RT326" s="120"/>
      <c r="RU326" s="120"/>
      <c r="RV326" s="120"/>
      <c r="RW326" s="120"/>
      <c r="RX326" s="120"/>
      <c r="RY326" s="120"/>
      <c r="RZ326" s="120"/>
      <c r="SA326" s="120"/>
      <c r="SB326" s="120"/>
      <c r="SC326" s="120"/>
      <c r="SD326" s="120"/>
      <c r="SE326" s="120"/>
      <c r="SF326" s="120"/>
      <c r="SG326" s="120"/>
      <c r="SH326" s="120"/>
      <c r="SI326" s="120"/>
      <c r="SJ326" s="120"/>
      <c r="SK326" s="120"/>
      <c r="SL326" s="120"/>
      <c r="SM326" s="120"/>
      <c r="SN326" s="120"/>
      <c r="SO326" s="120"/>
      <c r="SP326" s="120"/>
      <c r="SQ326" s="120"/>
      <c r="SR326" s="120"/>
      <c r="SS326" s="120"/>
      <c r="ST326" s="120"/>
      <c r="SU326" s="120"/>
      <c r="SV326" s="120"/>
      <c r="SW326" s="120"/>
      <c r="SX326" s="120"/>
      <c r="SY326" s="120"/>
      <c r="SZ326" s="120"/>
      <c r="TA326" s="120"/>
      <c r="TB326" s="120"/>
      <c r="TC326" s="120"/>
      <c r="TD326" s="120"/>
      <c r="TE326" s="120"/>
      <c r="TF326" s="120"/>
      <c r="TG326" s="120"/>
      <c r="TH326" s="120"/>
      <c r="TI326" s="120"/>
      <c r="TJ326" s="120"/>
      <c r="TK326" s="120"/>
      <c r="TL326" s="120"/>
      <c r="TM326" s="120"/>
      <c r="TN326" s="120"/>
      <c r="TO326" s="120"/>
      <c r="TP326" s="120"/>
      <c r="TQ326" s="120"/>
      <c r="TR326" s="120"/>
      <c r="TS326" s="120"/>
      <c r="TT326" s="120"/>
      <c r="TU326" s="120"/>
      <c r="TV326" s="120"/>
      <c r="TW326" s="120"/>
      <c r="TX326" s="120"/>
      <c r="TY326" s="120"/>
      <c r="TZ326" s="120"/>
      <c r="UA326" s="120"/>
      <c r="UB326" s="120"/>
      <c r="UC326" s="120"/>
      <c r="UD326" s="120"/>
      <c r="UE326" s="120"/>
      <c r="UF326" s="120"/>
      <c r="UG326" s="120"/>
      <c r="UH326" s="120"/>
      <c r="UI326" s="120"/>
      <c r="UJ326" s="120"/>
      <c r="UK326" s="120"/>
      <c r="UL326" s="120"/>
      <c r="UM326" s="120"/>
      <c r="UN326" s="120"/>
      <c r="UO326" s="120"/>
      <c r="UP326" s="120"/>
      <c r="UQ326" s="120"/>
      <c r="UR326" s="120"/>
      <c r="US326" s="120"/>
      <c r="UT326" s="120"/>
      <c r="UU326" s="120"/>
      <c r="UV326" s="120"/>
      <c r="UW326" s="120"/>
      <c r="UX326" s="120"/>
      <c r="UY326" s="120"/>
      <c r="UZ326" s="120"/>
      <c r="VA326" s="120"/>
      <c r="VB326" s="120"/>
      <c r="VC326" s="120"/>
      <c r="VD326" s="120"/>
      <c r="VE326" s="120"/>
      <c r="VF326" s="120"/>
      <c r="VG326" s="120"/>
      <c r="VH326" s="120"/>
      <c r="VI326" s="120"/>
      <c r="VJ326" s="120"/>
      <c r="VK326" s="120"/>
      <c r="VL326" s="120"/>
      <c r="VM326" s="120"/>
      <c r="VN326" s="120"/>
      <c r="VO326" s="120"/>
      <c r="VP326" s="120"/>
      <c r="VQ326" s="120"/>
      <c r="VR326" s="120"/>
      <c r="VS326" s="120"/>
      <c r="VT326" s="120"/>
      <c r="VU326" s="120"/>
      <c r="VV326" s="120"/>
      <c r="VW326" s="120"/>
      <c r="VX326" s="120"/>
      <c r="VY326" s="120"/>
      <c r="VZ326" s="120"/>
      <c r="WA326" s="120"/>
      <c r="WB326" s="120"/>
      <c r="WC326" s="120"/>
      <c r="WD326" s="120"/>
      <c r="WE326" s="120"/>
      <c r="WF326" s="120"/>
      <c r="WG326" s="120"/>
      <c r="WH326" s="120"/>
      <c r="WI326" s="120"/>
      <c r="WJ326" s="120"/>
      <c r="WK326" s="120"/>
      <c r="WL326" s="120"/>
      <c r="WM326" s="120"/>
      <c r="WN326" s="120"/>
      <c r="WO326" s="120"/>
      <c r="WP326" s="120"/>
      <c r="WQ326" s="120"/>
      <c r="WR326" s="120"/>
      <c r="WS326" s="120"/>
      <c r="WT326" s="120"/>
      <c r="WU326" s="120"/>
      <c r="WV326" s="120"/>
      <c r="WW326" s="120"/>
      <c r="WX326" s="120"/>
      <c r="WY326" s="120"/>
      <c r="WZ326" s="120"/>
      <c r="XA326" s="120"/>
      <c r="XB326" s="120"/>
      <c r="XC326" s="120"/>
      <c r="XD326" s="120"/>
      <c r="XE326" s="120"/>
      <c r="XF326" s="120"/>
      <c r="XG326" s="120"/>
      <c r="XH326" s="120"/>
      <c r="XI326" s="120"/>
      <c r="XJ326" s="120"/>
      <c r="XK326" s="120"/>
      <c r="XL326" s="120"/>
      <c r="XM326" s="120"/>
      <c r="XN326" s="120"/>
      <c r="XO326" s="120"/>
      <c r="XP326" s="120"/>
      <c r="XQ326" s="120"/>
      <c r="XR326" s="120"/>
      <c r="XS326" s="120"/>
      <c r="XT326" s="120"/>
      <c r="XU326" s="120"/>
      <c r="XV326" s="120"/>
      <c r="XW326" s="120"/>
      <c r="XX326" s="120"/>
      <c r="XY326" s="120"/>
      <c r="XZ326" s="120"/>
      <c r="YA326" s="120"/>
      <c r="YB326" s="120"/>
      <c r="YC326" s="120"/>
      <c r="YD326" s="120"/>
      <c r="YE326" s="120"/>
      <c r="YF326" s="120"/>
      <c r="YG326" s="120"/>
      <c r="YH326" s="120"/>
      <c r="YI326" s="120"/>
      <c r="YJ326" s="120"/>
      <c r="YK326" s="120"/>
      <c r="YL326" s="120"/>
      <c r="YM326" s="120"/>
      <c r="YN326" s="120"/>
      <c r="YO326" s="120"/>
      <c r="YP326" s="120"/>
      <c r="YQ326" s="120"/>
      <c r="YR326" s="120"/>
      <c r="YS326" s="120"/>
      <c r="YT326" s="120"/>
      <c r="YU326" s="120"/>
      <c r="YV326" s="120"/>
      <c r="YW326" s="120"/>
      <c r="YX326" s="120"/>
      <c r="YY326" s="120"/>
      <c r="YZ326" s="120"/>
      <c r="ZA326" s="120"/>
      <c r="ZB326" s="120"/>
      <c r="ZC326" s="120"/>
      <c r="ZD326" s="120"/>
      <c r="ZE326" s="120"/>
      <c r="ZF326" s="120"/>
      <c r="ZG326" s="120"/>
      <c r="ZH326" s="120"/>
      <c r="ZI326" s="120"/>
      <c r="ZJ326" s="120"/>
      <c r="ZK326" s="120"/>
      <c r="ZL326" s="120"/>
      <c r="ZM326" s="120"/>
      <c r="ZN326" s="120"/>
      <c r="ZO326" s="120"/>
      <c r="ZP326" s="120"/>
      <c r="ZQ326" s="120"/>
      <c r="ZR326" s="120"/>
      <c r="ZS326" s="120"/>
      <c r="ZT326" s="120"/>
      <c r="ZU326" s="120"/>
      <c r="ZV326" s="120"/>
      <c r="ZW326" s="120"/>
      <c r="ZX326" s="120"/>
      <c r="ZY326" s="120"/>
      <c r="ZZ326" s="120"/>
      <c r="AAA326" s="120"/>
      <c r="AAB326" s="120"/>
      <c r="AAC326" s="120"/>
      <c r="AAD326" s="120"/>
      <c r="AAE326" s="120"/>
      <c r="AAF326" s="120"/>
      <c r="AAG326" s="120"/>
      <c r="AAH326" s="120"/>
      <c r="AAI326" s="120"/>
      <c r="AAJ326" s="120"/>
      <c r="AAK326" s="120"/>
      <c r="AAL326" s="120"/>
      <c r="AAM326" s="120"/>
      <c r="AAN326" s="120"/>
      <c r="AAO326" s="120"/>
      <c r="AAP326" s="120"/>
      <c r="AAQ326" s="120"/>
      <c r="AAR326" s="120"/>
      <c r="AAS326" s="120"/>
      <c r="AAT326" s="120"/>
      <c r="AAU326" s="120"/>
      <c r="AAV326" s="120"/>
      <c r="AAW326" s="120"/>
      <c r="AAX326" s="120"/>
      <c r="AAY326" s="120"/>
      <c r="AAZ326" s="120"/>
      <c r="ABA326" s="120"/>
      <c r="ABB326" s="120"/>
      <c r="ABC326" s="120"/>
      <c r="ABD326" s="120"/>
      <c r="ABE326" s="120"/>
      <c r="ABF326" s="120"/>
      <c r="ABG326" s="120"/>
      <c r="ABH326" s="120"/>
      <c r="ABI326" s="120"/>
      <c r="ABJ326" s="120"/>
      <c r="ABK326" s="120"/>
      <c r="ABL326" s="120"/>
      <c r="ABM326" s="120"/>
      <c r="ABN326" s="120"/>
      <c r="ABO326" s="120"/>
      <c r="ABP326" s="120"/>
      <c r="ABQ326" s="120"/>
      <c r="ABR326" s="120"/>
      <c r="ABS326" s="120"/>
      <c r="ABT326" s="120"/>
      <c r="ABU326" s="120"/>
      <c r="ABV326" s="120"/>
      <c r="ABW326" s="120"/>
      <c r="ABX326" s="120"/>
      <c r="ABY326" s="120"/>
      <c r="ABZ326" s="120"/>
      <c r="ACA326" s="120"/>
      <c r="ACB326" s="120"/>
      <c r="ACC326" s="120"/>
      <c r="ACD326" s="120"/>
      <c r="ACE326" s="120"/>
      <c r="ACF326" s="120"/>
      <c r="ACG326" s="120"/>
      <c r="ACH326" s="120"/>
      <c r="ACI326" s="120"/>
      <c r="ACJ326" s="120"/>
      <c r="ACK326" s="120"/>
      <c r="ACL326" s="120"/>
      <c r="ACM326" s="120"/>
      <c r="ACN326" s="120"/>
      <c r="ACO326" s="120"/>
      <c r="ACP326" s="120"/>
      <c r="ACQ326" s="120"/>
      <c r="ACR326" s="120"/>
      <c r="ACS326" s="120"/>
      <c r="ACT326" s="120"/>
      <c r="ACU326" s="120"/>
      <c r="ACV326" s="120"/>
      <c r="ACW326" s="120"/>
      <c r="ACX326" s="120"/>
      <c r="ACY326" s="120"/>
      <c r="ACZ326" s="120"/>
      <c r="ADA326" s="120"/>
      <c r="ADB326" s="120"/>
      <c r="ADC326" s="120"/>
      <c r="ADD326" s="120"/>
      <c r="ADE326" s="120"/>
      <c r="ADF326" s="120"/>
      <c r="ADG326" s="120"/>
      <c r="ADH326" s="120"/>
      <c r="ADI326" s="120"/>
      <c r="ADJ326" s="120"/>
      <c r="ADK326" s="120"/>
      <c r="ADL326" s="120"/>
      <c r="ADM326" s="120"/>
      <c r="ADN326" s="120"/>
      <c r="ADO326" s="120"/>
      <c r="ADP326" s="120"/>
      <c r="ADQ326" s="120"/>
      <c r="ADR326" s="120"/>
      <c r="ADS326" s="120"/>
      <c r="ADT326" s="120"/>
      <c r="ADU326" s="120"/>
      <c r="ADV326" s="120"/>
      <c r="ADW326" s="120"/>
      <c r="ADX326" s="120"/>
      <c r="ADY326" s="120"/>
      <c r="ADZ326" s="120"/>
      <c r="AEA326" s="120"/>
      <c r="AEB326" s="120"/>
      <c r="AEC326" s="120"/>
      <c r="AED326" s="120"/>
      <c r="AEE326" s="120"/>
      <c r="AEF326" s="120"/>
      <c r="AEG326" s="120"/>
      <c r="AEH326" s="120"/>
      <c r="AEI326" s="120"/>
      <c r="AEJ326" s="120"/>
      <c r="AEK326" s="120"/>
      <c r="AEL326" s="120"/>
      <c r="AEM326" s="120"/>
      <c r="AEN326" s="120"/>
      <c r="AEO326" s="120"/>
      <c r="AEP326" s="120"/>
      <c r="AEQ326" s="120"/>
      <c r="AER326" s="120"/>
      <c r="AES326" s="120"/>
      <c r="AET326" s="120"/>
      <c r="AEU326" s="120"/>
      <c r="AEV326" s="120"/>
      <c r="AEW326" s="120"/>
      <c r="AEX326" s="120"/>
      <c r="AEY326" s="120"/>
      <c r="AEZ326" s="120"/>
      <c r="AFA326" s="120"/>
      <c r="AFB326" s="120"/>
      <c r="AFC326" s="120"/>
      <c r="AFD326" s="120"/>
      <c r="AFE326" s="120"/>
      <c r="AFF326" s="120"/>
      <c r="AFG326" s="120"/>
      <c r="AFH326" s="120"/>
      <c r="AFI326" s="120"/>
      <c r="AFJ326" s="120"/>
      <c r="AFK326" s="120"/>
      <c r="AFL326" s="120"/>
      <c r="AFM326" s="120"/>
      <c r="AFN326" s="120"/>
      <c r="AFO326" s="120"/>
      <c r="AFP326" s="120"/>
      <c r="AFQ326" s="120"/>
      <c r="AFR326" s="120"/>
      <c r="AFS326" s="120"/>
      <c r="AFT326" s="120"/>
      <c r="AFU326" s="120"/>
      <c r="AFV326" s="120"/>
      <c r="AFW326" s="120"/>
      <c r="AFX326" s="120"/>
      <c r="AFY326" s="120"/>
      <c r="AFZ326" s="120"/>
      <c r="AGA326" s="120"/>
      <c r="AGB326" s="120"/>
      <c r="AGC326" s="120"/>
      <c r="AGD326" s="120"/>
      <c r="AGE326" s="120"/>
      <c r="AGF326" s="120"/>
      <c r="AGG326" s="120"/>
      <c r="AGH326" s="120"/>
      <c r="AGI326" s="120"/>
      <c r="AGJ326" s="120"/>
      <c r="AGK326" s="120"/>
      <c r="AGL326" s="120"/>
      <c r="AGM326" s="120"/>
      <c r="AGN326" s="120"/>
      <c r="AGO326" s="120"/>
      <c r="AGP326" s="120"/>
      <c r="AGQ326" s="120"/>
      <c r="AGR326" s="120"/>
      <c r="AGS326" s="120"/>
      <c r="AGT326" s="120"/>
      <c r="AGU326" s="120"/>
      <c r="AGV326" s="120"/>
      <c r="AGW326" s="120"/>
      <c r="AGX326" s="120"/>
      <c r="AGY326" s="120"/>
      <c r="AGZ326" s="120"/>
      <c r="AHA326" s="120"/>
      <c r="AHB326" s="120"/>
      <c r="AHC326" s="120"/>
      <c r="AHD326" s="120"/>
      <c r="AHE326" s="120"/>
      <c r="AHF326" s="120"/>
      <c r="AHG326" s="120"/>
      <c r="AHH326" s="120"/>
      <c r="AHI326" s="120"/>
      <c r="AHJ326" s="120"/>
      <c r="AHK326" s="120"/>
      <c r="AHL326" s="120"/>
      <c r="AHM326" s="120"/>
      <c r="AHN326" s="120"/>
      <c r="AHO326" s="120"/>
      <c r="AHP326" s="120"/>
      <c r="AHQ326" s="120"/>
      <c r="AHR326" s="120"/>
      <c r="AHS326" s="120"/>
      <c r="AHT326" s="120"/>
      <c r="AHU326" s="120"/>
      <c r="AHV326" s="120"/>
      <c r="AHW326" s="120"/>
      <c r="AHX326" s="120"/>
      <c r="AHY326" s="120"/>
      <c r="AHZ326" s="120"/>
      <c r="AIA326" s="120"/>
      <c r="AIB326" s="120"/>
      <c r="AIC326" s="120"/>
      <c r="AID326" s="120"/>
      <c r="AIE326" s="120"/>
      <c r="AIF326" s="120"/>
      <c r="AIG326" s="120"/>
      <c r="AIH326" s="120"/>
      <c r="AII326" s="120"/>
      <c r="AIJ326" s="120"/>
      <c r="AIK326" s="120"/>
      <c r="AIL326" s="120"/>
      <c r="AIM326" s="120"/>
      <c r="AIN326" s="120"/>
      <c r="AIO326" s="120"/>
      <c r="AIP326" s="120"/>
      <c r="AIQ326" s="120"/>
      <c r="AIR326" s="120"/>
      <c r="AIS326" s="120"/>
      <c r="AIT326" s="120"/>
      <c r="AIU326" s="120"/>
      <c r="AIV326" s="120"/>
      <c r="AIW326" s="120"/>
      <c r="AIX326" s="120"/>
      <c r="AIY326" s="120"/>
      <c r="AIZ326" s="120"/>
    </row>
    <row r="327">
      <c r="A327" s="112" t="s">
        <v>17</v>
      </c>
      <c r="B327" s="112" t="s">
        <v>86</v>
      </c>
      <c r="C327" s="112"/>
      <c r="D327" s="113">
        <f t="shared" si="1"/>
        <v>478.42125</v>
      </c>
      <c r="E327" s="112">
        <v>31.0930833333334</v>
      </c>
      <c r="F327" s="113"/>
      <c r="G327" s="113"/>
      <c r="H327" s="113"/>
      <c r="I327" s="113"/>
      <c r="J327" s="113"/>
      <c r="K327" s="113"/>
      <c r="L327" s="112">
        <v>0.591933333333333</v>
      </c>
      <c r="M327" s="112">
        <v>4.79605</v>
      </c>
      <c r="N327" s="113"/>
      <c r="O327" s="113"/>
      <c r="P327" s="112">
        <v>16.1834</v>
      </c>
      <c r="Q327" s="113"/>
      <c r="R327" s="113"/>
      <c r="S327" s="113"/>
      <c r="T327" s="113"/>
      <c r="U327" s="113"/>
      <c r="V327" s="112">
        <v>0.36845</v>
      </c>
      <c r="W327" s="112">
        <v>34.9988666666667</v>
      </c>
      <c r="X327" s="113"/>
      <c r="Y327" s="113"/>
      <c r="Z327" s="113"/>
      <c r="AA327" s="113"/>
      <c r="AB327" s="113"/>
      <c r="AC327" s="112">
        <v>0.164716666666667</v>
      </c>
      <c r="AD327" s="112">
        <v>259.531766666667</v>
      </c>
      <c r="AE327" s="113"/>
      <c r="AF327" s="113"/>
      <c r="AG327" s="113"/>
      <c r="AH327" s="113"/>
      <c r="AI327" s="113"/>
      <c r="AJ327" s="112">
        <v>2.63896666666667</v>
      </c>
      <c r="AK327" s="112">
        <v>22.91685</v>
      </c>
      <c r="AL327" s="113"/>
      <c r="AM327" s="113"/>
      <c r="AN327" s="113"/>
      <c r="AO327" s="112">
        <v>0.22665</v>
      </c>
      <c r="AP327" s="112">
        <v>53.9661333333333</v>
      </c>
      <c r="AQ327" s="113"/>
      <c r="AR327" s="113"/>
      <c r="AS327" s="112">
        <v>2.15073333333333</v>
      </c>
      <c r="AT327" s="112">
        <v>45.7567</v>
      </c>
      <c r="AU327" s="113"/>
      <c r="AV327" s="112">
        <v>1.88388333333333</v>
      </c>
      <c r="AW327" s="112">
        <v>1.15306666666667</v>
      </c>
      <c r="AX327" s="113"/>
      <c r="AY327" s="113"/>
      <c r="AZ327" s="113"/>
      <c r="BA327" s="113"/>
      <c r="BB327" s="113"/>
      <c r="BC327" s="113"/>
      <c r="BD327" s="113"/>
      <c r="BE327" s="113"/>
      <c r="BF327" s="113"/>
      <c r="BG327" s="113"/>
      <c r="BH327" s="113"/>
      <c r="BI327" s="113"/>
      <c r="BJ327" s="113"/>
      <c r="BK327" s="113"/>
      <c r="BL327" s="113"/>
      <c r="BM327" s="113"/>
      <c r="BN327" s="113"/>
      <c r="BO327" s="113"/>
      <c r="BP327" s="113"/>
      <c r="BQ327" s="113"/>
      <c r="BR327" s="113"/>
      <c r="BS327" s="113"/>
      <c r="BT327" s="113"/>
      <c r="BU327" s="113"/>
      <c r="BV327" s="113"/>
      <c r="BW327" s="113"/>
      <c r="BX327" s="113"/>
      <c r="BY327" s="113"/>
      <c r="BZ327" s="113"/>
      <c r="CA327" s="113"/>
      <c r="CB327" s="113"/>
      <c r="CC327" s="113"/>
      <c r="CD327" s="113"/>
      <c r="CE327" s="113"/>
      <c r="CF327" s="113"/>
      <c r="CG327" s="113"/>
      <c r="CH327" s="113"/>
      <c r="CI327" s="113"/>
      <c r="CJ327" s="113"/>
      <c r="CK327" s="113"/>
      <c r="CL327" s="113"/>
      <c r="CM327" s="113"/>
      <c r="CN327" s="113"/>
      <c r="CO327" s="113"/>
      <c r="CP327" s="113"/>
      <c r="CQ327" s="113"/>
      <c r="CR327" s="113"/>
      <c r="CS327" s="113"/>
      <c r="CT327" s="113"/>
      <c r="CU327" s="113"/>
      <c r="CV327" s="113"/>
      <c r="CW327" s="113"/>
      <c r="CX327" s="113"/>
      <c r="CY327" s="113"/>
      <c r="CZ327" s="113"/>
      <c r="DA327" s="113"/>
      <c r="DB327" s="113"/>
      <c r="DC327" s="113"/>
      <c r="DD327" s="113"/>
      <c r="DE327" s="113"/>
      <c r="DF327" s="113"/>
      <c r="DG327" s="113"/>
      <c r="DH327" s="113"/>
      <c r="DI327" s="113"/>
      <c r="DJ327" s="113"/>
      <c r="DK327" s="113"/>
      <c r="DL327" s="113"/>
      <c r="DM327" s="113"/>
      <c r="DN327" s="113"/>
      <c r="DO327" s="113"/>
      <c r="DP327" s="113"/>
      <c r="DQ327" s="113"/>
      <c r="DR327" s="113"/>
      <c r="DS327" s="113"/>
      <c r="DT327" s="113"/>
      <c r="DU327" s="113"/>
      <c r="DV327" s="113"/>
      <c r="DW327" s="113"/>
      <c r="DX327" s="113"/>
      <c r="DY327" s="113"/>
      <c r="DZ327" s="113"/>
      <c r="EA327" s="113"/>
      <c r="EB327" s="113"/>
      <c r="EC327" s="113"/>
      <c r="ED327" s="113"/>
      <c r="EE327" s="113"/>
      <c r="EF327" s="113"/>
      <c r="EG327" s="113"/>
      <c r="EH327" s="113"/>
      <c r="EI327" s="113"/>
      <c r="EJ327" s="113"/>
      <c r="EK327" s="113"/>
      <c r="EL327" s="113"/>
      <c r="EM327" s="113"/>
      <c r="EN327" s="113"/>
      <c r="EO327" s="113"/>
      <c r="EP327" s="113"/>
      <c r="EQ327" s="113"/>
      <c r="ER327" s="113"/>
      <c r="ES327" s="113"/>
      <c r="ET327" s="113"/>
      <c r="EU327" s="113"/>
      <c r="EV327" s="113"/>
      <c r="EW327" s="113"/>
      <c r="EX327" s="113"/>
      <c r="EY327" s="113"/>
      <c r="EZ327" s="113"/>
      <c r="FA327" s="113"/>
      <c r="FB327" s="113"/>
      <c r="FC327" s="113"/>
      <c r="FD327" s="113"/>
      <c r="FE327" s="113"/>
      <c r="FF327" s="113"/>
      <c r="FG327" s="113"/>
      <c r="FH327" s="113"/>
      <c r="FI327" s="113"/>
      <c r="FJ327" s="113"/>
      <c r="FK327" s="113"/>
      <c r="FL327" s="113"/>
      <c r="FM327" s="113"/>
      <c r="FN327" s="113"/>
      <c r="FO327" s="113"/>
      <c r="FP327" s="113"/>
      <c r="FQ327" s="113"/>
      <c r="FR327" s="113"/>
      <c r="FS327" s="113"/>
      <c r="FT327" s="113"/>
      <c r="FU327" s="113"/>
      <c r="FV327" s="113"/>
      <c r="FW327" s="113"/>
      <c r="FX327" s="113"/>
      <c r="FY327" s="113"/>
      <c r="FZ327" s="113"/>
      <c r="GA327" s="113"/>
      <c r="GB327" s="113"/>
      <c r="GC327" s="113"/>
      <c r="GD327" s="113"/>
      <c r="GE327" s="113"/>
      <c r="GF327" s="113"/>
      <c r="GG327" s="113"/>
      <c r="GH327" s="113"/>
      <c r="GI327" s="113"/>
      <c r="GJ327" s="113"/>
      <c r="GK327" s="113"/>
      <c r="GL327" s="113"/>
      <c r="GM327" s="113"/>
      <c r="GN327" s="113"/>
      <c r="GO327" s="113"/>
      <c r="GP327" s="113"/>
      <c r="GQ327" s="113"/>
      <c r="GR327" s="113"/>
      <c r="GS327" s="113"/>
      <c r="GT327" s="113"/>
      <c r="GU327" s="113"/>
      <c r="GV327" s="113"/>
      <c r="GW327" s="113"/>
      <c r="GX327" s="113"/>
      <c r="GY327" s="113"/>
      <c r="GZ327" s="113"/>
      <c r="HA327" s="113"/>
      <c r="HB327" s="113"/>
      <c r="HC327" s="113"/>
      <c r="HD327" s="113"/>
      <c r="HE327" s="113"/>
      <c r="HF327" s="113"/>
      <c r="HG327" s="113"/>
      <c r="HH327" s="113"/>
      <c r="HI327" s="113"/>
      <c r="HJ327" s="113"/>
      <c r="HK327" s="113"/>
      <c r="HL327" s="113"/>
      <c r="HM327" s="113"/>
      <c r="HN327" s="113"/>
      <c r="HO327" s="113"/>
      <c r="HP327" s="113"/>
      <c r="HQ327" s="113"/>
      <c r="HR327" s="113"/>
      <c r="HS327" s="113"/>
      <c r="HT327" s="113"/>
      <c r="HU327" s="113"/>
      <c r="HV327" s="113"/>
      <c r="HW327" s="113"/>
      <c r="HX327" s="113"/>
      <c r="HY327" s="113"/>
      <c r="HZ327" s="113"/>
      <c r="IA327" s="113"/>
      <c r="IB327" s="113"/>
      <c r="IC327" s="113"/>
      <c r="ID327" s="113"/>
      <c r="IE327" s="113"/>
      <c r="IF327" s="113"/>
      <c r="IG327" s="113"/>
      <c r="IH327" s="113"/>
      <c r="II327" s="113"/>
      <c r="IJ327" s="113"/>
      <c r="IK327" s="113"/>
      <c r="IL327" s="113"/>
      <c r="IM327" s="113"/>
      <c r="IN327" s="113"/>
      <c r="IO327" s="113"/>
      <c r="IP327" s="113"/>
      <c r="IQ327" s="113"/>
      <c r="IR327" s="113"/>
      <c r="IS327" s="113"/>
      <c r="IT327" s="113"/>
      <c r="IU327" s="113"/>
      <c r="IV327" s="113"/>
      <c r="IW327" s="113"/>
      <c r="IX327" s="113"/>
      <c r="IY327" s="113"/>
      <c r="IZ327" s="113"/>
      <c r="JA327" s="113"/>
      <c r="JB327" s="113"/>
      <c r="JC327" s="113"/>
      <c r="JD327" s="113"/>
      <c r="JE327" s="113"/>
      <c r="JF327" s="113"/>
      <c r="JG327" s="113"/>
      <c r="JH327" s="113"/>
      <c r="JI327" s="113"/>
      <c r="JJ327" s="113"/>
      <c r="JK327" s="113"/>
      <c r="JL327" s="113"/>
      <c r="JM327" s="113"/>
      <c r="JN327" s="113"/>
      <c r="JO327" s="113"/>
      <c r="JP327" s="113"/>
      <c r="JQ327" s="113"/>
      <c r="JR327" s="113"/>
      <c r="JS327" s="113"/>
      <c r="JT327" s="113"/>
      <c r="JU327" s="113"/>
      <c r="JV327" s="113"/>
      <c r="JW327" s="113"/>
      <c r="JX327" s="113"/>
      <c r="JY327" s="113"/>
      <c r="JZ327" s="113"/>
      <c r="KA327" s="113"/>
      <c r="KB327" s="113"/>
      <c r="KC327" s="113"/>
      <c r="KD327" s="113"/>
      <c r="KE327" s="113"/>
      <c r="KF327" s="113"/>
      <c r="KG327" s="113"/>
      <c r="KH327" s="113"/>
      <c r="KI327" s="113"/>
      <c r="KJ327" s="113"/>
      <c r="KK327" s="113"/>
      <c r="KL327" s="113"/>
      <c r="KM327" s="113"/>
      <c r="KN327" s="113"/>
      <c r="KO327" s="113"/>
      <c r="KP327" s="113"/>
      <c r="KQ327" s="113"/>
      <c r="KR327" s="113"/>
      <c r="KS327" s="113"/>
      <c r="KT327" s="113"/>
      <c r="KU327" s="113"/>
      <c r="KV327" s="113"/>
      <c r="KW327" s="113"/>
      <c r="KX327" s="113"/>
      <c r="KY327" s="113"/>
      <c r="KZ327" s="113"/>
      <c r="LA327" s="113"/>
      <c r="LB327" s="113"/>
      <c r="LC327" s="113"/>
      <c r="LD327" s="113"/>
      <c r="LE327" s="113"/>
      <c r="LF327" s="113"/>
      <c r="LG327" s="113"/>
      <c r="LH327" s="113"/>
      <c r="LI327" s="113"/>
      <c r="LJ327" s="113"/>
      <c r="LK327" s="113"/>
      <c r="LL327" s="113"/>
      <c r="LM327" s="113"/>
      <c r="LN327" s="113"/>
      <c r="LO327" s="113"/>
      <c r="LP327" s="113"/>
      <c r="LQ327" s="113"/>
      <c r="LR327" s="113"/>
      <c r="LS327" s="113"/>
      <c r="LT327" s="113"/>
      <c r="LU327" s="113"/>
      <c r="LV327" s="113"/>
      <c r="LW327" s="113"/>
      <c r="LX327" s="113"/>
      <c r="LY327" s="113"/>
      <c r="LZ327" s="113"/>
      <c r="MA327" s="113"/>
      <c r="MB327" s="113"/>
      <c r="MC327" s="113"/>
      <c r="MD327" s="113"/>
      <c r="ME327" s="113"/>
      <c r="MF327" s="113"/>
      <c r="MG327" s="113"/>
      <c r="MH327" s="113"/>
      <c r="MI327" s="113"/>
      <c r="MJ327" s="113"/>
      <c r="MK327" s="113"/>
      <c r="ML327" s="113"/>
      <c r="MM327" s="113"/>
      <c r="MN327" s="113"/>
      <c r="MO327" s="113"/>
      <c r="MP327" s="113"/>
      <c r="MQ327" s="113"/>
      <c r="MR327" s="113"/>
      <c r="MS327" s="113"/>
      <c r="MT327" s="113"/>
      <c r="MU327" s="113"/>
      <c r="MV327" s="113"/>
      <c r="MW327" s="113"/>
      <c r="MX327" s="113"/>
      <c r="MY327" s="113"/>
      <c r="MZ327" s="113"/>
      <c r="NA327" s="113"/>
      <c r="NB327" s="113"/>
      <c r="NC327" s="113"/>
      <c r="ND327" s="113"/>
      <c r="NE327" s="113"/>
      <c r="NF327" s="113"/>
      <c r="NG327" s="113"/>
      <c r="NH327" s="113"/>
      <c r="NI327" s="113"/>
      <c r="NJ327" s="113"/>
      <c r="NK327" s="113"/>
      <c r="NL327" s="113"/>
      <c r="NM327" s="113"/>
      <c r="NN327" s="113"/>
      <c r="NO327" s="113"/>
      <c r="NP327" s="113"/>
      <c r="NQ327" s="113"/>
      <c r="NR327" s="113"/>
      <c r="NS327" s="113"/>
      <c r="NT327" s="113"/>
      <c r="NU327" s="113"/>
      <c r="NV327" s="113"/>
      <c r="NW327" s="113"/>
      <c r="NX327" s="113"/>
      <c r="NY327" s="113"/>
      <c r="NZ327" s="113"/>
      <c r="OA327" s="113"/>
      <c r="OB327" s="113"/>
      <c r="OC327" s="113"/>
      <c r="OD327" s="113"/>
      <c r="OE327" s="113"/>
      <c r="OF327" s="113"/>
      <c r="OG327" s="113"/>
      <c r="OH327" s="113"/>
      <c r="OI327" s="113"/>
      <c r="OJ327" s="113"/>
      <c r="OK327" s="113"/>
      <c r="OL327" s="113"/>
      <c r="OM327" s="113"/>
      <c r="ON327" s="113"/>
      <c r="OO327" s="113"/>
      <c r="OP327" s="113"/>
      <c r="OQ327" s="113"/>
      <c r="OR327" s="113"/>
      <c r="OS327" s="113"/>
      <c r="OT327" s="113"/>
      <c r="OU327" s="113"/>
      <c r="OV327" s="113"/>
      <c r="OW327" s="113"/>
      <c r="OX327" s="113"/>
      <c r="OY327" s="113"/>
      <c r="OZ327" s="113"/>
      <c r="PA327" s="113"/>
      <c r="PB327" s="113"/>
      <c r="PC327" s="113"/>
      <c r="PD327" s="113"/>
      <c r="PE327" s="113"/>
      <c r="PF327" s="113"/>
      <c r="PG327" s="113"/>
      <c r="PH327" s="113"/>
      <c r="PI327" s="113"/>
      <c r="PJ327" s="113"/>
      <c r="PK327" s="113"/>
      <c r="PL327" s="113"/>
      <c r="PM327" s="113"/>
      <c r="PN327" s="113"/>
      <c r="PO327" s="113"/>
      <c r="PP327" s="113"/>
      <c r="PQ327" s="113"/>
      <c r="PR327" s="113"/>
      <c r="PS327" s="113"/>
      <c r="PT327" s="113"/>
      <c r="PU327" s="113"/>
      <c r="PV327" s="113"/>
      <c r="PW327" s="113"/>
      <c r="PX327" s="113"/>
      <c r="PY327" s="113"/>
      <c r="PZ327" s="113"/>
      <c r="QA327" s="113"/>
      <c r="QB327" s="113"/>
      <c r="QC327" s="113"/>
      <c r="QD327" s="113"/>
      <c r="QE327" s="113"/>
      <c r="QF327" s="113"/>
      <c r="QG327" s="113"/>
      <c r="QH327" s="113"/>
      <c r="QI327" s="113"/>
      <c r="QJ327" s="113"/>
      <c r="QK327" s="113"/>
      <c r="QL327" s="113"/>
      <c r="QM327" s="113"/>
      <c r="QN327" s="113"/>
      <c r="QO327" s="113"/>
      <c r="QP327" s="113"/>
      <c r="QQ327" s="113"/>
      <c r="QR327" s="113"/>
      <c r="QS327" s="113"/>
      <c r="QT327" s="113"/>
      <c r="QU327" s="113"/>
      <c r="QV327" s="113"/>
      <c r="QW327" s="113"/>
      <c r="QX327" s="113"/>
      <c r="QY327" s="113"/>
      <c r="QZ327" s="113"/>
      <c r="RA327" s="113"/>
      <c r="RB327" s="113"/>
      <c r="RC327" s="113"/>
      <c r="RD327" s="113"/>
      <c r="RE327" s="113"/>
      <c r="RF327" s="113"/>
      <c r="RG327" s="113"/>
      <c r="RH327" s="113"/>
      <c r="RI327" s="113"/>
      <c r="RJ327" s="113"/>
      <c r="RK327" s="113"/>
      <c r="RL327" s="113"/>
      <c r="RM327" s="113"/>
      <c r="RN327" s="113"/>
      <c r="RO327" s="113"/>
      <c r="RP327" s="113"/>
      <c r="RQ327" s="113"/>
      <c r="RR327" s="113"/>
      <c r="RS327" s="113"/>
      <c r="RT327" s="113"/>
      <c r="RU327" s="113"/>
      <c r="RV327" s="113"/>
      <c r="RW327" s="113"/>
      <c r="RX327" s="113"/>
      <c r="RY327" s="113"/>
      <c r="RZ327" s="113"/>
      <c r="SA327" s="113"/>
      <c r="SB327" s="113"/>
      <c r="SC327" s="113"/>
      <c r="SD327" s="113"/>
      <c r="SE327" s="113"/>
      <c r="SF327" s="113"/>
      <c r="SG327" s="113"/>
      <c r="SH327" s="113"/>
      <c r="SI327" s="113"/>
      <c r="SJ327" s="113"/>
      <c r="SK327" s="113"/>
      <c r="SL327" s="113"/>
      <c r="SM327" s="113"/>
      <c r="SN327" s="113"/>
      <c r="SO327" s="113"/>
      <c r="SP327" s="113"/>
      <c r="SQ327" s="113"/>
      <c r="SR327" s="113"/>
      <c r="SS327" s="113"/>
      <c r="ST327" s="113"/>
      <c r="SU327" s="113"/>
      <c r="SV327" s="113"/>
      <c r="SW327" s="113"/>
      <c r="SX327" s="113"/>
      <c r="SY327" s="113"/>
      <c r="SZ327" s="113"/>
      <c r="TA327" s="113"/>
      <c r="TB327" s="113"/>
      <c r="TC327" s="113"/>
      <c r="TD327" s="113"/>
      <c r="TE327" s="113"/>
      <c r="TF327" s="113"/>
      <c r="TG327" s="113"/>
      <c r="TH327" s="113"/>
      <c r="TI327" s="113"/>
      <c r="TJ327" s="113"/>
      <c r="TK327" s="113"/>
      <c r="TL327" s="113"/>
      <c r="TM327" s="113"/>
      <c r="TN327" s="113"/>
      <c r="TO327" s="113"/>
      <c r="TP327" s="113"/>
      <c r="TQ327" s="113"/>
      <c r="TR327" s="113"/>
      <c r="TS327" s="113"/>
      <c r="TT327" s="113"/>
      <c r="TU327" s="113"/>
      <c r="TV327" s="113"/>
      <c r="TW327" s="113"/>
      <c r="TX327" s="113"/>
      <c r="TY327" s="113"/>
      <c r="TZ327" s="113"/>
      <c r="UA327" s="113"/>
      <c r="UB327" s="113"/>
      <c r="UC327" s="113"/>
      <c r="UD327" s="113"/>
      <c r="UE327" s="113"/>
      <c r="UF327" s="113"/>
      <c r="UG327" s="113"/>
      <c r="UH327" s="113"/>
      <c r="UI327" s="113"/>
      <c r="UJ327" s="113"/>
      <c r="UK327" s="113"/>
      <c r="UL327" s="113"/>
      <c r="UM327" s="113"/>
      <c r="UN327" s="113"/>
      <c r="UO327" s="113"/>
      <c r="UP327" s="113"/>
      <c r="UQ327" s="113"/>
      <c r="UR327" s="113"/>
      <c r="US327" s="113"/>
      <c r="UT327" s="113"/>
      <c r="UU327" s="113"/>
      <c r="UV327" s="113"/>
      <c r="UW327" s="113"/>
      <c r="UX327" s="113"/>
      <c r="UY327" s="113"/>
      <c r="UZ327" s="113"/>
      <c r="VA327" s="113"/>
      <c r="VB327" s="113"/>
      <c r="VC327" s="113"/>
      <c r="VD327" s="113"/>
      <c r="VE327" s="113"/>
      <c r="VF327" s="113"/>
      <c r="VG327" s="113"/>
      <c r="VH327" s="113"/>
      <c r="VI327" s="113"/>
      <c r="VJ327" s="113"/>
      <c r="VK327" s="113"/>
      <c r="VL327" s="113"/>
      <c r="VM327" s="113"/>
      <c r="VN327" s="113"/>
      <c r="VO327" s="113"/>
      <c r="VP327" s="113"/>
      <c r="VQ327" s="113"/>
      <c r="VR327" s="113"/>
      <c r="VS327" s="113"/>
      <c r="VT327" s="113"/>
      <c r="VU327" s="113"/>
      <c r="VV327" s="113"/>
      <c r="VW327" s="113"/>
      <c r="VX327" s="113"/>
      <c r="VY327" s="113"/>
      <c r="VZ327" s="113"/>
      <c r="WA327" s="113"/>
      <c r="WB327" s="113"/>
      <c r="WC327" s="113"/>
      <c r="WD327" s="113"/>
      <c r="WE327" s="113"/>
      <c r="WF327" s="113"/>
      <c r="WG327" s="113"/>
      <c r="WH327" s="113"/>
      <c r="WI327" s="113"/>
      <c r="WJ327" s="113"/>
      <c r="WK327" s="113"/>
      <c r="WL327" s="113"/>
      <c r="WM327" s="113"/>
      <c r="WN327" s="113"/>
      <c r="WO327" s="113"/>
      <c r="WP327" s="113"/>
      <c r="WQ327" s="113"/>
      <c r="WR327" s="113"/>
      <c r="WS327" s="113"/>
      <c r="WT327" s="113"/>
      <c r="WU327" s="113"/>
      <c r="WV327" s="113"/>
      <c r="WW327" s="113"/>
      <c r="WX327" s="113"/>
      <c r="WY327" s="113"/>
      <c r="WZ327" s="113"/>
      <c r="XA327" s="113"/>
      <c r="XB327" s="113"/>
      <c r="XC327" s="113"/>
      <c r="XD327" s="113"/>
      <c r="XE327" s="113"/>
      <c r="XF327" s="113"/>
      <c r="XG327" s="113"/>
      <c r="XH327" s="113"/>
      <c r="XI327" s="113"/>
      <c r="XJ327" s="113"/>
      <c r="XK327" s="113"/>
      <c r="XL327" s="113"/>
      <c r="XM327" s="113"/>
      <c r="XN327" s="113"/>
      <c r="XO327" s="113"/>
      <c r="XP327" s="113"/>
      <c r="XQ327" s="113"/>
      <c r="XR327" s="113"/>
      <c r="XS327" s="113"/>
      <c r="XT327" s="113"/>
      <c r="XU327" s="113"/>
      <c r="XV327" s="113"/>
      <c r="XW327" s="113"/>
      <c r="XX327" s="113"/>
      <c r="XY327" s="113"/>
      <c r="XZ327" s="113"/>
      <c r="YA327" s="113"/>
      <c r="YB327" s="113"/>
      <c r="YC327" s="113"/>
      <c r="YD327" s="113"/>
      <c r="YE327" s="113"/>
      <c r="YF327" s="113"/>
      <c r="YG327" s="113"/>
      <c r="YH327" s="113"/>
      <c r="YI327" s="113"/>
      <c r="YJ327" s="113"/>
      <c r="YK327" s="113"/>
      <c r="YL327" s="113"/>
      <c r="YM327" s="113"/>
      <c r="YN327" s="113"/>
      <c r="YO327" s="113"/>
      <c r="YP327" s="113"/>
      <c r="YQ327" s="113"/>
      <c r="YR327" s="113"/>
      <c r="YS327" s="113"/>
      <c r="YT327" s="113"/>
      <c r="YU327" s="113"/>
      <c r="YV327" s="113"/>
      <c r="YW327" s="113"/>
      <c r="YX327" s="113"/>
      <c r="YY327" s="113"/>
      <c r="YZ327" s="113"/>
      <c r="ZA327" s="113"/>
      <c r="ZB327" s="113"/>
      <c r="ZC327" s="113"/>
      <c r="ZD327" s="113"/>
      <c r="ZE327" s="113"/>
      <c r="ZF327" s="113"/>
      <c r="ZG327" s="113"/>
      <c r="ZH327" s="113"/>
      <c r="ZI327" s="113"/>
      <c r="ZJ327" s="113"/>
      <c r="ZK327" s="113"/>
      <c r="ZL327" s="113"/>
      <c r="ZM327" s="113"/>
      <c r="ZN327" s="113"/>
      <c r="ZO327" s="113"/>
      <c r="ZP327" s="113"/>
      <c r="ZQ327" s="113"/>
      <c r="ZR327" s="113"/>
      <c r="ZS327" s="113"/>
      <c r="ZT327" s="113"/>
      <c r="ZU327" s="113"/>
      <c r="ZV327" s="113"/>
      <c r="ZW327" s="113"/>
      <c r="ZX327" s="113"/>
      <c r="ZY327" s="113"/>
      <c r="ZZ327" s="113"/>
      <c r="AAA327" s="113"/>
      <c r="AAB327" s="113"/>
      <c r="AAC327" s="113"/>
      <c r="AAD327" s="113"/>
      <c r="AAE327" s="113"/>
      <c r="AAF327" s="113"/>
      <c r="AAG327" s="113"/>
      <c r="AAH327" s="113"/>
      <c r="AAI327" s="113"/>
      <c r="AAJ327" s="113"/>
      <c r="AAK327" s="113"/>
      <c r="AAL327" s="113"/>
      <c r="AAM327" s="113"/>
      <c r="AAN327" s="113"/>
      <c r="AAO327" s="113"/>
      <c r="AAP327" s="113"/>
      <c r="AAQ327" s="113"/>
      <c r="AAR327" s="113"/>
      <c r="AAS327" s="113"/>
      <c r="AAT327" s="113"/>
      <c r="AAU327" s="113"/>
      <c r="AAV327" s="113"/>
      <c r="AAW327" s="113"/>
      <c r="AAX327" s="113"/>
      <c r="AAY327" s="113"/>
      <c r="AAZ327" s="113"/>
      <c r="ABA327" s="113"/>
      <c r="ABB327" s="113"/>
      <c r="ABC327" s="113"/>
      <c r="ABD327" s="113"/>
      <c r="ABE327" s="113"/>
      <c r="ABF327" s="113"/>
      <c r="ABG327" s="113"/>
      <c r="ABH327" s="113"/>
      <c r="ABI327" s="113"/>
      <c r="ABJ327" s="113"/>
      <c r="ABK327" s="113"/>
      <c r="ABL327" s="113"/>
      <c r="ABM327" s="113"/>
      <c r="ABN327" s="113"/>
      <c r="ABO327" s="113"/>
      <c r="ABP327" s="113"/>
      <c r="ABQ327" s="113"/>
      <c r="ABR327" s="113"/>
      <c r="ABS327" s="113"/>
      <c r="ABT327" s="113"/>
      <c r="ABU327" s="113"/>
      <c r="ABV327" s="113"/>
      <c r="ABW327" s="113"/>
      <c r="ABX327" s="113"/>
      <c r="ABY327" s="113"/>
      <c r="ABZ327" s="113"/>
      <c r="ACA327" s="113"/>
      <c r="ACB327" s="113"/>
      <c r="ACC327" s="113"/>
      <c r="ACD327" s="113"/>
      <c r="ACE327" s="113"/>
      <c r="ACF327" s="113"/>
      <c r="ACG327" s="113"/>
      <c r="ACH327" s="113"/>
      <c r="ACI327" s="113"/>
      <c r="ACJ327" s="113"/>
      <c r="ACK327" s="113"/>
      <c r="ACL327" s="113"/>
      <c r="ACM327" s="113"/>
      <c r="ACN327" s="113"/>
      <c r="ACO327" s="113"/>
      <c r="ACP327" s="113"/>
      <c r="ACQ327" s="113"/>
      <c r="ACR327" s="113"/>
      <c r="ACS327" s="113"/>
      <c r="ACT327" s="113"/>
      <c r="ACU327" s="113"/>
      <c r="ACV327" s="113"/>
      <c r="ACW327" s="113"/>
      <c r="ACX327" s="113"/>
      <c r="ACY327" s="113"/>
      <c r="ACZ327" s="113"/>
      <c r="ADA327" s="113"/>
      <c r="ADB327" s="113"/>
      <c r="ADC327" s="113"/>
      <c r="ADD327" s="113"/>
      <c r="ADE327" s="113"/>
      <c r="ADF327" s="113"/>
      <c r="ADG327" s="113"/>
      <c r="ADH327" s="113"/>
      <c r="ADI327" s="113"/>
      <c r="ADJ327" s="113"/>
      <c r="ADK327" s="113"/>
      <c r="ADL327" s="113"/>
      <c r="ADM327" s="113"/>
      <c r="ADN327" s="113"/>
      <c r="ADO327" s="113"/>
      <c r="ADP327" s="113"/>
      <c r="ADQ327" s="113"/>
      <c r="ADR327" s="113"/>
      <c r="ADS327" s="113"/>
      <c r="ADT327" s="113"/>
      <c r="ADU327" s="113"/>
      <c r="ADV327" s="113"/>
      <c r="ADW327" s="113"/>
      <c r="ADX327" s="113"/>
      <c r="ADY327" s="113"/>
      <c r="ADZ327" s="113"/>
      <c r="AEA327" s="113"/>
      <c r="AEB327" s="113"/>
      <c r="AEC327" s="113"/>
      <c r="AED327" s="113"/>
      <c r="AEE327" s="113"/>
      <c r="AEF327" s="113"/>
      <c r="AEG327" s="113"/>
      <c r="AEH327" s="113"/>
      <c r="AEI327" s="113"/>
      <c r="AEJ327" s="113"/>
      <c r="AEK327" s="113"/>
      <c r="AEL327" s="113"/>
      <c r="AEM327" s="113"/>
      <c r="AEN327" s="113"/>
      <c r="AEO327" s="113"/>
      <c r="AEP327" s="113"/>
      <c r="AEQ327" s="113"/>
      <c r="AER327" s="113"/>
      <c r="AES327" s="113"/>
      <c r="AET327" s="113"/>
      <c r="AEU327" s="113"/>
      <c r="AEV327" s="113"/>
      <c r="AEW327" s="113"/>
      <c r="AEX327" s="113"/>
      <c r="AEY327" s="113"/>
      <c r="AEZ327" s="113"/>
      <c r="AFA327" s="113"/>
      <c r="AFB327" s="113"/>
      <c r="AFC327" s="113"/>
      <c r="AFD327" s="113"/>
      <c r="AFE327" s="113"/>
      <c r="AFF327" s="113"/>
      <c r="AFG327" s="113"/>
      <c r="AFH327" s="113"/>
      <c r="AFI327" s="113"/>
      <c r="AFJ327" s="113"/>
      <c r="AFK327" s="113"/>
      <c r="AFL327" s="113"/>
      <c r="AFM327" s="113"/>
      <c r="AFN327" s="113"/>
      <c r="AFO327" s="113"/>
      <c r="AFP327" s="113"/>
      <c r="AFQ327" s="113"/>
      <c r="AFR327" s="113"/>
      <c r="AFS327" s="113"/>
      <c r="AFT327" s="113"/>
      <c r="AFU327" s="113"/>
      <c r="AFV327" s="113"/>
      <c r="AFW327" s="113"/>
      <c r="AFX327" s="113"/>
      <c r="AFY327" s="113"/>
      <c r="AFZ327" s="113"/>
      <c r="AGA327" s="113"/>
      <c r="AGB327" s="113"/>
      <c r="AGC327" s="113"/>
      <c r="AGD327" s="113"/>
      <c r="AGE327" s="113"/>
      <c r="AGF327" s="113"/>
      <c r="AGG327" s="113"/>
      <c r="AGH327" s="113"/>
      <c r="AGI327" s="113"/>
      <c r="AGJ327" s="113"/>
      <c r="AGK327" s="113"/>
      <c r="AGL327" s="113"/>
      <c r="AGM327" s="113"/>
      <c r="AGN327" s="113"/>
      <c r="AGO327" s="113"/>
      <c r="AGP327" s="113"/>
      <c r="AGQ327" s="113"/>
      <c r="AGR327" s="113"/>
      <c r="AGS327" s="113"/>
      <c r="AGT327" s="113"/>
      <c r="AGU327" s="113"/>
      <c r="AGV327" s="113"/>
      <c r="AGW327" s="113"/>
      <c r="AGX327" s="113"/>
      <c r="AGY327" s="113"/>
      <c r="AGZ327" s="113"/>
      <c r="AHA327" s="113"/>
      <c r="AHB327" s="113"/>
      <c r="AHC327" s="113"/>
      <c r="AHD327" s="113"/>
      <c r="AHE327" s="113"/>
      <c r="AHF327" s="113"/>
      <c r="AHG327" s="113"/>
      <c r="AHH327" s="113"/>
      <c r="AHI327" s="113"/>
      <c r="AHJ327" s="113"/>
      <c r="AHK327" s="113"/>
      <c r="AHL327" s="113"/>
      <c r="AHM327" s="113"/>
      <c r="AHN327" s="113"/>
      <c r="AHO327" s="113"/>
      <c r="AHP327" s="113"/>
      <c r="AHQ327" s="113"/>
      <c r="AHR327" s="113"/>
      <c r="AHS327" s="113"/>
      <c r="AHT327" s="113"/>
      <c r="AHU327" s="113"/>
      <c r="AHV327" s="113"/>
      <c r="AHW327" s="113"/>
      <c r="AHX327" s="113"/>
      <c r="AHY327" s="113"/>
      <c r="AHZ327" s="113"/>
      <c r="AIA327" s="113"/>
      <c r="AIB327" s="113"/>
      <c r="AIC327" s="113"/>
      <c r="AID327" s="113"/>
      <c r="AIE327" s="113"/>
      <c r="AIF327" s="113"/>
      <c r="AIG327" s="113"/>
      <c r="AIH327" s="113"/>
      <c r="AII327" s="113"/>
      <c r="AIJ327" s="113"/>
      <c r="AIK327" s="113"/>
      <c r="AIL327" s="113"/>
      <c r="AIM327" s="113"/>
      <c r="AIN327" s="113"/>
      <c r="AIO327" s="113"/>
      <c r="AIP327" s="113"/>
      <c r="AIQ327" s="113"/>
      <c r="AIR327" s="113"/>
      <c r="AIS327" s="113"/>
      <c r="AIT327" s="113"/>
      <c r="AIU327" s="113"/>
      <c r="AIV327" s="113"/>
      <c r="AIW327" s="113"/>
      <c r="AIX327" s="113"/>
      <c r="AIY327" s="113"/>
      <c r="AIZ327" s="113"/>
    </row>
    <row r="328">
      <c r="A328" s="65" t="s">
        <v>17</v>
      </c>
      <c r="B328" s="65" t="s">
        <v>86</v>
      </c>
      <c r="C328" s="65"/>
      <c r="D328" s="64">
        <f t="shared" si="1"/>
        <v>438.7170167</v>
      </c>
      <c r="G328" s="65">
        <v>16.86325</v>
      </c>
      <c r="H328" s="65">
        <v>11.40175</v>
      </c>
      <c r="I328" s="65">
        <v>2.4608</v>
      </c>
      <c r="J328" s="65">
        <v>0.227083333333333</v>
      </c>
      <c r="N328" s="65">
        <v>4.61375</v>
      </c>
      <c r="R328" s="65">
        <v>7.81541666666667</v>
      </c>
      <c r="S328" s="65">
        <v>6.86941666666667</v>
      </c>
      <c r="T328" s="65">
        <v>0.8313</v>
      </c>
      <c r="Y328" s="65">
        <v>9.98901666666667</v>
      </c>
      <c r="Z328" s="65">
        <v>22.5266666666667</v>
      </c>
      <c r="AA328" s="65">
        <v>1.7329</v>
      </c>
      <c r="AF328" s="65">
        <v>32.1491666666667</v>
      </c>
      <c r="AG328" s="65">
        <v>138.090016666667</v>
      </c>
      <c r="AH328" s="65">
        <v>68.3013</v>
      </c>
      <c r="AI328" s="65">
        <v>12.7132333333333</v>
      </c>
      <c r="AL328" s="65">
        <v>16.6542833333333</v>
      </c>
      <c r="AM328" s="65">
        <v>0.566283333333333</v>
      </c>
      <c r="AQ328" s="65">
        <v>38.5157333333333</v>
      </c>
      <c r="AR328" s="65">
        <v>1.67858333333333</v>
      </c>
      <c r="AU328" s="65">
        <v>44.7170666666667</v>
      </c>
    </row>
    <row r="329">
      <c r="A329" s="65" t="s">
        <v>17</v>
      </c>
      <c r="B329" s="65" t="s">
        <v>86</v>
      </c>
      <c r="C329" s="65"/>
      <c r="D329" s="64">
        <f t="shared" si="1"/>
        <v>0</v>
      </c>
    </row>
    <row r="330">
      <c r="A330" s="65" t="s">
        <v>17</v>
      </c>
      <c r="B330" s="65" t="s">
        <v>86</v>
      </c>
      <c r="C330" s="65"/>
      <c r="D330" s="64">
        <f t="shared" si="1"/>
        <v>437.4111833</v>
      </c>
      <c r="G330" s="118">
        <f>HYPERLINK("https://docs.google.com/spreadsheets/d/1JgnegefejVGCp9iHxVDoJknpQKFVcs9t", 16.8632333333333)</f>
        <v>16.86323333</v>
      </c>
      <c r="H330" s="118">
        <f>HYPERLINK("https://docs.google.com/spreadsheets/d/1pR83O5IXFSR7OQOawam9EaFWeUICx4Ms", 11.4017333333333)</f>
        <v>11.40173333</v>
      </c>
      <c r="I330" s="118">
        <f>HYPERLINK("https://docs.google.com/spreadsheets/d/1-mNW5p09z7HJlh9kn17W46onx67ol1qj", 2.4608)</f>
        <v>2.4608</v>
      </c>
      <c r="J330" s="118">
        <f>HYPERLINK("https://docs.google.com/spreadsheets/d/19vMC_S0roNvpuKhCPjK1rfJHpUYl17PA", 0)</f>
        <v>0</v>
      </c>
      <c r="N330" s="118">
        <f>HYPERLINK("https://docs.google.com/spreadsheets/d/1AV1KkAU50TKqDNJjZRzBJc4hQ_uiFq0w", 4.61376666666667)</f>
        <v>4.613766667</v>
      </c>
      <c r="R330" s="118">
        <f>HYPERLINK("https://docs.google.com/spreadsheets/d/18zqVe6kAxijWRi0AQPXWPs_ztwgdkdyD", 7.81541666666667)</f>
        <v>7.815416667</v>
      </c>
      <c r="S330" s="118">
        <f>HYPERLINK("https://docs.google.com/spreadsheets/d/1604xI_AJy8uIAfgOAxRaxBgKahc8WlWQ", 6.72655)</f>
        <v>6.72655</v>
      </c>
      <c r="T330" s="118">
        <f>HYPERLINK("https://docs.google.com/spreadsheets/d/1D-gfs7q4sFm9nCnhxFq_Wjumfam9_oT-", 0.8313)</f>
        <v>0.8313</v>
      </c>
      <c r="Y330" s="118">
        <f>HYPERLINK("https://docs.google.com/spreadsheets/d/1qTTO1haUleImVMdpHoOVk1gTOB5jtK6a", 9.8599)</f>
        <v>9.8599</v>
      </c>
      <c r="Z330" s="118">
        <f>HYPERLINK("https://docs.google.com/spreadsheets/d/1xjso1z55zdwNPJCnBN4yWgavSDw9PKm_", 22.4822333333333)</f>
        <v>22.48223333</v>
      </c>
      <c r="AA330" s="118">
        <f>HYPERLINK("https://docs.google.com/spreadsheets/d/178MWD4Kup_UREC_MXqPzDwaw-id3kjPo", 1.7329)</f>
        <v>1.7329</v>
      </c>
      <c r="AF330" s="118">
        <f>HYPERLINK("https://docs.google.com/spreadsheets/d/1Eo6NsqwqfKFSUXFVIBEgEV9LUgLz7sip", 32.0197833333334)</f>
        <v>32.01978333</v>
      </c>
      <c r="AG330" s="118">
        <f>HYPERLINK("https://docs.google.com/spreadsheets/d/1ONQ1sQe1O_cAffad0b6psOoAFwuBcehn", 137.733333333333)</f>
        <v>137.7333333</v>
      </c>
      <c r="AH330" s="118">
        <f>HYPERLINK("https://docs.google.com/spreadsheets/d/160wh4FVn4ukKixF15Df9g0R6XWguIR0z", 68.3012666666666)</f>
        <v>68.30126667</v>
      </c>
      <c r="AI330" s="118">
        <f>HYPERLINK("https://docs.google.com/spreadsheets/d/1-HgWoMfAzG7nnp5xhGEL0aQ3q7IcVB_4", 12.6280833333333)</f>
        <v>12.62808333</v>
      </c>
      <c r="AL330" s="118">
        <f>HYPERLINK("https://docs.google.com/spreadsheets/d/1oA9Q_Qz4QnwO1qeKViD-bvN7_gsE_tTf", 16.65425)</f>
        <v>16.65425</v>
      </c>
      <c r="AM330" s="118">
        <f>HYPERLINK("https://docs.google.com/spreadsheets/d/1wWJrG1Gv1pQ_z482t-bl3qhg1UjZEJeY", 0.566283333333333)</f>
        <v>0.5662833333</v>
      </c>
      <c r="AQ330" s="118">
        <f>HYPERLINK("https://docs.google.com/spreadsheets/d/1qNypWZFNbpX39Wvp7hjGdU_6ylpPrSsz", 38.5156833333333)</f>
        <v>38.51568333</v>
      </c>
      <c r="AR330" s="118">
        <f>HYPERLINK("https://docs.google.com/spreadsheets/d/1U-yIHAyeoBAFlasC-hGaLmXN9X-l2zfi", 1.67856666666667)</f>
        <v>1.678566667</v>
      </c>
      <c r="AU330" s="118">
        <f>HYPERLINK("https://docs.google.com/spreadsheets/d/1y_Qmk-hrNoufrSrEPTbimB1Tb1oilYLj", 44.5261)</f>
        <v>44.5261</v>
      </c>
    </row>
    <row r="331">
      <c r="A331" s="65" t="s">
        <v>17</v>
      </c>
      <c r="B331" s="65" t="s">
        <v>86</v>
      </c>
      <c r="C331" s="65"/>
      <c r="D331" s="64">
        <f t="shared" si="1"/>
        <v>307.31685</v>
      </c>
      <c r="G331" s="65">
        <v>13.3149833333333</v>
      </c>
      <c r="H331" s="65">
        <v>9.00406666666667</v>
      </c>
      <c r="I331" s="65">
        <v>1.9928</v>
      </c>
      <c r="N331" s="65">
        <v>4.37211666666667</v>
      </c>
      <c r="R331" s="65">
        <v>7.01671666666667</v>
      </c>
      <c r="S331" s="65">
        <v>4.16658333333333</v>
      </c>
      <c r="T331" s="65">
        <v>0.143516666666667</v>
      </c>
      <c r="Y331" s="65">
        <v>5.66805</v>
      </c>
      <c r="Z331" s="65">
        <v>14.1916</v>
      </c>
      <c r="AA331" s="65">
        <v>0.851033333333333</v>
      </c>
      <c r="AF331" s="65">
        <v>17.0338333333333</v>
      </c>
      <c r="AG331" s="65">
        <v>95.4185333333332</v>
      </c>
      <c r="AH331" s="65">
        <v>45.3089833333333</v>
      </c>
      <c r="AI331" s="65">
        <v>8.31521666666667</v>
      </c>
      <c r="AL331" s="65">
        <v>12.4785666666667</v>
      </c>
      <c r="AM331" s="65">
        <v>0.566283333333333</v>
      </c>
      <c r="AQ331" s="65">
        <v>24.3923333333333</v>
      </c>
      <c r="AR331" s="65">
        <v>1.67856666666667</v>
      </c>
      <c r="AU331" s="65">
        <v>41.4030666666667</v>
      </c>
    </row>
    <row r="332">
      <c r="A332" s="119" t="s">
        <v>17</v>
      </c>
      <c r="B332" s="119" t="s">
        <v>86</v>
      </c>
      <c r="C332" s="119"/>
      <c r="D332" s="120">
        <f t="shared" si="1"/>
        <v>0</v>
      </c>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c r="AA332" s="120"/>
      <c r="AB332" s="120"/>
      <c r="AC332" s="120"/>
      <c r="AD332" s="120"/>
      <c r="AE332" s="120"/>
      <c r="AF332" s="120"/>
      <c r="AG332" s="120"/>
      <c r="AH332" s="120"/>
      <c r="AI332" s="120"/>
      <c r="AJ332" s="120"/>
      <c r="AK332" s="120"/>
      <c r="AL332" s="120"/>
      <c r="AM332" s="120"/>
      <c r="AN332" s="120"/>
      <c r="AO332" s="120"/>
      <c r="AP332" s="120"/>
      <c r="AQ332" s="120"/>
      <c r="AR332" s="120"/>
      <c r="AS332" s="120"/>
      <c r="AT332" s="120"/>
      <c r="AU332" s="120"/>
      <c r="AV332" s="120"/>
      <c r="AW332" s="120"/>
      <c r="AX332" s="120"/>
      <c r="AY332" s="120"/>
      <c r="AZ332" s="120"/>
      <c r="BA332" s="120"/>
      <c r="BB332" s="120"/>
      <c r="BC332" s="120"/>
      <c r="BD332" s="120"/>
      <c r="BE332" s="120"/>
      <c r="BF332" s="120"/>
      <c r="BG332" s="120"/>
      <c r="BH332" s="120"/>
      <c r="BI332" s="120"/>
      <c r="BJ332" s="120"/>
      <c r="BK332" s="120"/>
      <c r="BL332" s="120"/>
      <c r="BM332" s="120"/>
      <c r="BN332" s="120"/>
      <c r="BO332" s="120"/>
      <c r="BP332" s="120"/>
      <c r="BQ332" s="120"/>
      <c r="BR332" s="120"/>
      <c r="BS332" s="120"/>
      <c r="BT332" s="120"/>
      <c r="BU332" s="120"/>
      <c r="BV332" s="120"/>
      <c r="BW332" s="120"/>
      <c r="BX332" s="120"/>
      <c r="BY332" s="120"/>
      <c r="BZ332" s="120"/>
      <c r="CA332" s="120"/>
      <c r="CB332" s="120"/>
      <c r="CC332" s="120"/>
      <c r="CD332" s="120"/>
      <c r="CE332" s="120"/>
      <c r="CF332" s="120"/>
      <c r="CG332" s="120"/>
      <c r="CH332" s="120"/>
      <c r="CI332" s="120"/>
      <c r="CJ332" s="120"/>
      <c r="CK332" s="120"/>
      <c r="CL332" s="120"/>
      <c r="CM332" s="120"/>
      <c r="CN332" s="120"/>
      <c r="CO332" s="120"/>
      <c r="CP332" s="120"/>
      <c r="CQ332" s="120"/>
      <c r="CR332" s="120"/>
      <c r="CS332" s="120"/>
      <c r="CT332" s="120"/>
      <c r="CU332" s="120"/>
      <c r="CV332" s="120"/>
      <c r="CW332" s="120"/>
      <c r="CX332" s="120"/>
      <c r="CY332" s="120"/>
      <c r="CZ332" s="120"/>
      <c r="DA332" s="120"/>
      <c r="DB332" s="120"/>
      <c r="DC332" s="120"/>
      <c r="DD332" s="120"/>
      <c r="DE332" s="120"/>
      <c r="DF332" s="120"/>
      <c r="DG332" s="120"/>
      <c r="DH332" s="120"/>
      <c r="DI332" s="120"/>
      <c r="DJ332" s="120"/>
      <c r="DK332" s="120"/>
      <c r="DL332" s="120"/>
      <c r="DM332" s="120"/>
      <c r="DN332" s="120"/>
      <c r="DO332" s="120"/>
      <c r="DP332" s="120"/>
      <c r="DQ332" s="120"/>
      <c r="DR332" s="120"/>
      <c r="DS332" s="120"/>
      <c r="DT332" s="120"/>
      <c r="DU332" s="120"/>
      <c r="DV332" s="120"/>
      <c r="DW332" s="120"/>
      <c r="DX332" s="120"/>
      <c r="DY332" s="120"/>
      <c r="DZ332" s="120"/>
      <c r="EA332" s="120"/>
      <c r="EB332" s="120"/>
      <c r="EC332" s="120"/>
      <c r="ED332" s="120"/>
      <c r="EE332" s="120"/>
      <c r="EF332" s="120"/>
      <c r="EG332" s="120"/>
      <c r="EH332" s="120"/>
      <c r="EI332" s="120"/>
      <c r="EJ332" s="120"/>
      <c r="EK332" s="120"/>
      <c r="EL332" s="120"/>
      <c r="EM332" s="120"/>
      <c r="EN332" s="120"/>
      <c r="EO332" s="120"/>
      <c r="EP332" s="120"/>
      <c r="EQ332" s="120"/>
      <c r="ER332" s="120"/>
      <c r="ES332" s="120"/>
      <c r="ET332" s="120"/>
      <c r="EU332" s="120"/>
      <c r="EV332" s="120"/>
      <c r="EW332" s="120"/>
      <c r="EX332" s="120"/>
      <c r="EY332" s="120"/>
      <c r="EZ332" s="120"/>
      <c r="FA332" s="120"/>
      <c r="FB332" s="120"/>
      <c r="FC332" s="120"/>
      <c r="FD332" s="120"/>
      <c r="FE332" s="120"/>
      <c r="FF332" s="120"/>
      <c r="FG332" s="120"/>
      <c r="FH332" s="120"/>
      <c r="FI332" s="120"/>
      <c r="FJ332" s="120"/>
      <c r="FK332" s="120"/>
      <c r="FL332" s="120"/>
      <c r="FM332" s="120"/>
      <c r="FN332" s="120"/>
      <c r="FO332" s="120"/>
      <c r="FP332" s="120"/>
      <c r="FQ332" s="120"/>
      <c r="FR332" s="120"/>
      <c r="FS332" s="120"/>
      <c r="FT332" s="120"/>
      <c r="FU332" s="120"/>
      <c r="FV332" s="120"/>
      <c r="FW332" s="120"/>
      <c r="FX332" s="120"/>
      <c r="FY332" s="120"/>
      <c r="FZ332" s="120"/>
      <c r="GA332" s="120"/>
      <c r="GB332" s="120"/>
      <c r="GC332" s="120"/>
      <c r="GD332" s="120"/>
      <c r="GE332" s="120"/>
      <c r="GF332" s="120"/>
      <c r="GG332" s="120"/>
      <c r="GH332" s="120"/>
      <c r="GI332" s="120"/>
      <c r="GJ332" s="120"/>
      <c r="GK332" s="120"/>
      <c r="GL332" s="120"/>
      <c r="GM332" s="120"/>
      <c r="GN332" s="120"/>
      <c r="GO332" s="120"/>
      <c r="GP332" s="120"/>
      <c r="GQ332" s="120"/>
      <c r="GR332" s="120"/>
      <c r="GS332" s="120"/>
      <c r="GT332" s="120"/>
      <c r="GU332" s="120"/>
      <c r="GV332" s="120"/>
      <c r="GW332" s="120"/>
      <c r="GX332" s="120"/>
      <c r="GY332" s="120"/>
      <c r="GZ332" s="120"/>
      <c r="HA332" s="120"/>
      <c r="HB332" s="120"/>
      <c r="HC332" s="120"/>
      <c r="HD332" s="120"/>
      <c r="HE332" s="120"/>
      <c r="HF332" s="120"/>
      <c r="HG332" s="120"/>
      <c r="HH332" s="120"/>
      <c r="HI332" s="120"/>
      <c r="HJ332" s="120"/>
      <c r="HK332" s="120"/>
      <c r="HL332" s="120"/>
      <c r="HM332" s="120"/>
      <c r="HN332" s="120"/>
      <c r="HO332" s="120"/>
      <c r="HP332" s="120"/>
      <c r="HQ332" s="120"/>
      <c r="HR332" s="120"/>
      <c r="HS332" s="120"/>
      <c r="HT332" s="120"/>
      <c r="HU332" s="120"/>
      <c r="HV332" s="120"/>
      <c r="HW332" s="120"/>
      <c r="HX332" s="120"/>
      <c r="HY332" s="120"/>
      <c r="HZ332" s="120"/>
      <c r="IA332" s="120"/>
      <c r="IB332" s="120"/>
      <c r="IC332" s="120"/>
      <c r="ID332" s="120"/>
      <c r="IE332" s="120"/>
      <c r="IF332" s="120"/>
      <c r="IG332" s="120"/>
      <c r="IH332" s="120"/>
      <c r="II332" s="120"/>
      <c r="IJ332" s="120"/>
      <c r="IK332" s="120"/>
      <c r="IL332" s="120"/>
      <c r="IM332" s="120"/>
      <c r="IN332" s="120"/>
      <c r="IO332" s="120"/>
      <c r="IP332" s="120"/>
      <c r="IQ332" s="120"/>
      <c r="IR332" s="120"/>
      <c r="IS332" s="120"/>
      <c r="IT332" s="120"/>
      <c r="IU332" s="120"/>
      <c r="IV332" s="120"/>
      <c r="IW332" s="120"/>
      <c r="IX332" s="120"/>
      <c r="IY332" s="120"/>
      <c r="IZ332" s="120"/>
      <c r="JA332" s="120"/>
      <c r="JB332" s="120"/>
      <c r="JC332" s="120"/>
      <c r="JD332" s="120"/>
      <c r="JE332" s="120"/>
      <c r="JF332" s="120"/>
      <c r="JG332" s="120"/>
      <c r="JH332" s="120"/>
      <c r="JI332" s="120"/>
      <c r="JJ332" s="120"/>
      <c r="JK332" s="120"/>
      <c r="JL332" s="120"/>
      <c r="JM332" s="120"/>
      <c r="JN332" s="120"/>
      <c r="JO332" s="120"/>
      <c r="JP332" s="120"/>
      <c r="JQ332" s="120"/>
      <c r="JR332" s="120"/>
      <c r="JS332" s="120"/>
      <c r="JT332" s="120"/>
      <c r="JU332" s="120"/>
      <c r="JV332" s="120"/>
      <c r="JW332" s="120"/>
      <c r="JX332" s="120"/>
      <c r="JY332" s="120"/>
      <c r="JZ332" s="120"/>
      <c r="KA332" s="120"/>
      <c r="KB332" s="120"/>
      <c r="KC332" s="120"/>
      <c r="KD332" s="120"/>
      <c r="KE332" s="120"/>
      <c r="KF332" s="120"/>
      <c r="KG332" s="120"/>
      <c r="KH332" s="120"/>
      <c r="KI332" s="120"/>
      <c r="KJ332" s="120"/>
      <c r="KK332" s="120"/>
      <c r="KL332" s="120"/>
      <c r="KM332" s="120"/>
      <c r="KN332" s="120"/>
      <c r="KO332" s="120"/>
      <c r="KP332" s="120"/>
      <c r="KQ332" s="120"/>
      <c r="KR332" s="120"/>
      <c r="KS332" s="120"/>
      <c r="KT332" s="120"/>
      <c r="KU332" s="120"/>
      <c r="KV332" s="120"/>
      <c r="KW332" s="120"/>
      <c r="KX332" s="120"/>
      <c r="KY332" s="120"/>
      <c r="KZ332" s="120"/>
      <c r="LA332" s="120"/>
      <c r="LB332" s="120"/>
      <c r="LC332" s="120"/>
      <c r="LD332" s="120"/>
      <c r="LE332" s="120"/>
      <c r="LF332" s="120"/>
      <c r="LG332" s="120"/>
      <c r="LH332" s="120"/>
      <c r="LI332" s="120"/>
      <c r="LJ332" s="120"/>
      <c r="LK332" s="120"/>
      <c r="LL332" s="120"/>
      <c r="LM332" s="120"/>
      <c r="LN332" s="120"/>
      <c r="LO332" s="120"/>
      <c r="LP332" s="120"/>
      <c r="LQ332" s="120"/>
      <c r="LR332" s="120"/>
      <c r="LS332" s="120"/>
      <c r="LT332" s="120"/>
      <c r="LU332" s="120"/>
      <c r="LV332" s="120"/>
      <c r="LW332" s="120"/>
      <c r="LX332" s="120"/>
      <c r="LY332" s="120"/>
      <c r="LZ332" s="120"/>
      <c r="MA332" s="120"/>
      <c r="MB332" s="120"/>
      <c r="MC332" s="120"/>
      <c r="MD332" s="120"/>
      <c r="ME332" s="120"/>
      <c r="MF332" s="120"/>
      <c r="MG332" s="120"/>
      <c r="MH332" s="120"/>
      <c r="MI332" s="120"/>
      <c r="MJ332" s="120"/>
      <c r="MK332" s="120"/>
      <c r="ML332" s="120"/>
      <c r="MM332" s="120"/>
      <c r="MN332" s="120"/>
      <c r="MO332" s="120"/>
      <c r="MP332" s="120"/>
      <c r="MQ332" s="120"/>
      <c r="MR332" s="120"/>
      <c r="MS332" s="120"/>
      <c r="MT332" s="120"/>
      <c r="MU332" s="120"/>
      <c r="MV332" s="120"/>
      <c r="MW332" s="120"/>
      <c r="MX332" s="120"/>
      <c r="MY332" s="120"/>
      <c r="MZ332" s="120"/>
      <c r="NA332" s="120"/>
      <c r="NB332" s="120"/>
      <c r="NC332" s="120"/>
      <c r="ND332" s="120"/>
      <c r="NE332" s="120"/>
      <c r="NF332" s="120"/>
      <c r="NG332" s="120"/>
      <c r="NH332" s="120"/>
      <c r="NI332" s="120"/>
      <c r="NJ332" s="120"/>
      <c r="NK332" s="120"/>
      <c r="NL332" s="120"/>
      <c r="NM332" s="120"/>
      <c r="NN332" s="120"/>
      <c r="NO332" s="120"/>
      <c r="NP332" s="120"/>
      <c r="NQ332" s="120"/>
      <c r="NR332" s="120"/>
      <c r="NS332" s="120"/>
      <c r="NT332" s="120"/>
      <c r="NU332" s="120"/>
      <c r="NV332" s="120"/>
      <c r="NW332" s="120"/>
      <c r="NX332" s="120"/>
      <c r="NY332" s="120"/>
      <c r="NZ332" s="120"/>
      <c r="OA332" s="120"/>
      <c r="OB332" s="120"/>
      <c r="OC332" s="120"/>
      <c r="OD332" s="120"/>
      <c r="OE332" s="120"/>
      <c r="OF332" s="120"/>
      <c r="OG332" s="120"/>
      <c r="OH332" s="120"/>
      <c r="OI332" s="120"/>
      <c r="OJ332" s="120"/>
      <c r="OK332" s="120"/>
      <c r="OL332" s="120"/>
      <c r="OM332" s="120"/>
      <c r="ON332" s="120"/>
      <c r="OO332" s="120"/>
      <c r="OP332" s="120"/>
      <c r="OQ332" s="120"/>
      <c r="OR332" s="120"/>
      <c r="OS332" s="120"/>
      <c r="OT332" s="120"/>
      <c r="OU332" s="120"/>
      <c r="OV332" s="120"/>
      <c r="OW332" s="120"/>
      <c r="OX332" s="120"/>
      <c r="OY332" s="120"/>
      <c r="OZ332" s="120"/>
      <c r="PA332" s="120"/>
      <c r="PB332" s="120"/>
      <c r="PC332" s="120"/>
      <c r="PD332" s="120"/>
      <c r="PE332" s="120"/>
      <c r="PF332" s="120"/>
      <c r="PG332" s="120"/>
      <c r="PH332" s="120"/>
      <c r="PI332" s="120"/>
      <c r="PJ332" s="120"/>
      <c r="PK332" s="120"/>
      <c r="PL332" s="120"/>
      <c r="PM332" s="120"/>
      <c r="PN332" s="120"/>
      <c r="PO332" s="120"/>
      <c r="PP332" s="120"/>
      <c r="PQ332" s="120"/>
      <c r="PR332" s="120"/>
      <c r="PS332" s="120"/>
      <c r="PT332" s="120"/>
      <c r="PU332" s="120"/>
      <c r="PV332" s="120"/>
      <c r="PW332" s="120"/>
      <c r="PX332" s="120"/>
      <c r="PY332" s="120"/>
      <c r="PZ332" s="120"/>
      <c r="QA332" s="120"/>
      <c r="QB332" s="120"/>
      <c r="QC332" s="120"/>
      <c r="QD332" s="120"/>
      <c r="QE332" s="120"/>
      <c r="QF332" s="120"/>
      <c r="QG332" s="120"/>
      <c r="QH332" s="120"/>
      <c r="QI332" s="120"/>
      <c r="QJ332" s="120"/>
      <c r="QK332" s="120"/>
      <c r="QL332" s="120"/>
      <c r="QM332" s="120"/>
      <c r="QN332" s="120"/>
      <c r="QO332" s="120"/>
      <c r="QP332" s="120"/>
      <c r="QQ332" s="120"/>
      <c r="QR332" s="120"/>
      <c r="QS332" s="120"/>
      <c r="QT332" s="120"/>
      <c r="QU332" s="120"/>
      <c r="QV332" s="120"/>
      <c r="QW332" s="120"/>
      <c r="QX332" s="120"/>
      <c r="QY332" s="120"/>
      <c r="QZ332" s="120"/>
      <c r="RA332" s="120"/>
      <c r="RB332" s="120"/>
      <c r="RC332" s="120"/>
      <c r="RD332" s="120"/>
      <c r="RE332" s="120"/>
      <c r="RF332" s="120"/>
      <c r="RG332" s="120"/>
      <c r="RH332" s="120"/>
      <c r="RI332" s="120"/>
      <c r="RJ332" s="120"/>
      <c r="RK332" s="120"/>
      <c r="RL332" s="120"/>
      <c r="RM332" s="120"/>
      <c r="RN332" s="120"/>
      <c r="RO332" s="120"/>
      <c r="RP332" s="120"/>
      <c r="RQ332" s="120"/>
      <c r="RR332" s="120"/>
      <c r="RS332" s="120"/>
      <c r="RT332" s="120"/>
      <c r="RU332" s="120"/>
      <c r="RV332" s="120"/>
      <c r="RW332" s="120"/>
      <c r="RX332" s="120"/>
      <c r="RY332" s="120"/>
      <c r="RZ332" s="120"/>
      <c r="SA332" s="120"/>
      <c r="SB332" s="120"/>
      <c r="SC332" s="120"/>
      <c r="SD332" s="120"/>
      <c r="SE332" s="120"/>
      <c r="SF332" s="120"/>
      <c r="SG332" s="120"/>
      <c r="SH332" s="120"/>
      <c r="SI332" s="120"/>
      <c r="SJ332" s="120"/>
      <c r="SK332" s="120"/>
      <c r="SL332" s="120"/>
      <c r="SM332" s="120"/>
      <c r="SN332" s="120"/>
      <c r="SO332" s="120"/>
      <c r="SP332" s="120"/>
      <c r="SQ332" s="120"/>
      <c r="SR332" s="120"/>
      <c r="SS332" s="120"/>
      <c r="ST332" s="120"/>
      <c r="SU332" s="120"/>
      <c r="SV332" s="120"/>
      <c r="SW332" s="120"/>
      <c r="SX332" s="120"/>
      <c r="SY332" s="120"/>
      <c r="SZ332" s="120"/>
      <c r="TA332" s="120"/>
      <c r="TB332" s="120"/>
      <c r="TC332" s="120"/>
      <c r="TD332" s="120"/>
      <c r="TE332" s="120"/>
      <c r="TF332" s="120"/>
      <c r="TG332" s="120"/>
      <c r="TH332" s="120"/>
      <c r="TI332" s="120"/>
      <c r="TJ332" s="120"/>
      <c r="TK332" s="120"/>
      <c r="TL332" s="120"/>
      <c r="TM332" s="120"/>
      <c r="TN332" s="120"/>
      <c r="TO332" s="120"/>
      <c r="TP332" s="120"/>
      <c r="TQ332" s="120"/>
      <c r="TR332" s="120"/>
      <c r="TS332" s="120"/>
      <c r="TT332" s="120"/>
      <c r="TU332" s="120"/>
      <c r="TV332" s="120"/>
      <c r="TW332" s="120"/>
      <c r="TX332" s="120"/>
      <c r="TY332" s="120"/>
      <c r="TZ332" s="120"/>
      <c r="UA332" s="120"/>
      <c r="UB332" s="120"/>
      <c r="UC332" s="120"/>
      <c r="UD332" s="120"/>
      <c r="UE332" s="120"/>
      <c r="UF332" s="120"/>
      <c r="UG332" s="120"/>
      <c r="UH332" s="120"/>
      <c r="UI332" s="120"/>
      <c r="UJ332" s="120"/>
      <c r="UK332" s="120"/>
      <c r="UL332" s="120"/>
      <c r="UM332" s="120"/>
      <c r="UN332" s="120"/>
      <c r="UO332" s="120"/>
      <c r="UP332" s="120"/>
      <c r="UQ332" s="120"/>
      <c r="UR332" s="120"/>
      <c r="US332" s="120"/>
      <c r="UT332" s="120"/>
      <c r="UU332" s="120"/>
      <c r="UV332" s="120"/>
      <c r="UW332" s="120"/>
      <c r="UX332" s="120"/>
      <c r="UY332" s="120"/>
      <c r="UZ332" s="120"/>
      <c r="VA332" s="120"/>
      <c r="VB332" s="120"/>
      <c r="VC332" s="120"/>
      <c r="VD332" s="120"/>
      <c r="VE332" s="120"/>
      <c r="VF332" s="120"/>
      <c r="VG332" s="120"/>
      <c r="VH332" s="120"/>
      <c r="VI332" s="120"/>
      <c r="VJ332" s="120"/>
      <c r="VK332" s="120"/>
      <c r="VL332" s="120"/>
      <c r="VM332" s="120"/>
      <c r="VN332" s="120"/>
      <c r="VO332" s="120"/>
      <c r="VP332" s="120"/>
      <c r="VQ332" s="120"/>
      <c r="VR332" s="120"/>
      <c r="VS332" s="120"/>
      <c r="VT332" s="120"/>
      <c r="VU332" s="120"/>
      <c r="VV332" s="120"/>
      <c r="VW332" s="120"/>
      <c r="VX332" s="120"/>
      <c r="VY332" s="120"/>
      <c r="VZ332" s="120"/>
      <c r="WA332" s="120"/>
      <c r="WB332" s="120"/>
      <c r="WC332" s="120"/>
      <c r="WD332" s="120"/>
      <c r="WE332" s="120"/>
      <c r="WF332" s="120"/>
      <c r="WG332" s="120"/>
      <c r="WH332" s="120"/>
      <c r="WI332" s="120"/>
      <c r="WJ332" s="120"/>
      <c r="WK332" s="120"/>
      <c r="WL332" s="120"/>
      <c r="WM332" s="120"/>
      <c r="WN332" s="120"/>
      <c r="WO332" s="120"/>
      <c r="WP332" s="120"/>
      <c r="WQ332" s="120"/>
      <c r="WR332" s="120"/>
      <c r="WS332" s="120"/>
      <c r="WT332" s="120"/>
      <c r="WU332" s="120"/>
      <c r="WV332" s="120"/>
      <c r="WW332" s="120"/>
      <c r="WX332" s="120"/>
      <c r="WY332" s="120"/>
      <c r="WZ332" s="120"/>
      <c r="XA332" s="120"/>
      <c r="XB332" s="120"/>
      <c r="XC332" s="120"/>
      <c r="XD332" s="120"/>
      <c r="XE332" s="120"/>
      <c r="XF332" s="120"/>
      <c r="XG332" s="120"/>
      <c r="XH332" s="120"/>
      <c r="XI332" s="120"/>
      <c r="XJ332" s="120"/>
      <c r="XK332" s="120"/>
      <c r="XL332" s="120"/>
      <c r="XM332" s="120"/>
      <c r="XN332" s="120"/>
      <c r="XO332" s="120"/>
      <c r="XP332" s="120"/>
      <c r="XQ332" s="120"/>
      <c r="XR332" s="120"/>
      <c r="XS332" s="120"/>
      <c r="XT332" s="120"/>
      <c r="XU332" s="120"/>
      <c r="XV332" s="120"/>
      <c r="XW332" s="120"/>
      <c r="XX332" s="120"/>
      <c r="XY332" s="120"/>
      <c r="XZ332" s="120"/>
      <c r="YA332" s="120"/>
      <c r="YB332" s="120"/>
      <c r="YC332" s="120"/>
      <c r="YD332" s="120"/>
      <c r="YE332" s="120"/>
      <c r="YF332" s="120"/>
      <c r="YG332" s="120"/>
      <c r="YH332" s="120"/>
      <c r="YI332" s="120"/>
      <c r="YJ332" s="120"/>
      <c r="YK332" s="120"/>
      <c r="YL332" s="120"/>
      <c r="YM332" s="120"/>
      <c r="YN332" s="120"/>
      <c r="YO332" s="120"/>
      <c r="YP332" s="120"/>
      <c r="YQ332" s="120"/>
      <c r="YR332" s="120"/>
      <c r="YS332" s="120"/>
      <c r="YT332" s="120"/>
      <c r="YU332" s="120"/>
      <c r="YV332" s="120"/>
      <c r="YW332" s="120"/>
      <c r="YX332" s="120"/>
      <c r="YY332" s="120"/>
      <c r="YZ332" s="120"/>
      <c r="ZA332" s="120"/>
      <c r="ZB332" s="120"/>
      <c r="ZC332" s="120"/>
      <c r="ZD332" s="120"/>
      <c r="ZE332" s="120"/>
      <c r="ZF332" s="120"/>
      <c r="ZG332" s="120"/>
      <c r="ZH332" s="120"/>
      <c r="ZI332" s="120"/>
      <c r="ZJ332" s="120"/>
      <c r="ZK332" s="120"/>
      <c r="ZL332" s="120"/>
      <c r="ZM332" s="120"/>
      <c r="ZN332" s="120"/>
      <c r="ZO332" s="120"/>
      <c r="ZP332" s="120"/>
      <c r="ZQ332" s="120"/>
      <c r="ZR332" s="120"/>
      <c r="ZS332" s="120"/>
      <c r="ZT332" s="120"/>
      <c r="ZU332" s="120"/>
      <c r="ZV332" s="120"/>
      <c r="ZW332" s="120"/>
      <c r="ZX332" s="120"/>
      <c r="ZY332" s="120"/>
      <c r="ZZ332" s="120"/>
      <c r="AAA332" s="120"/>
      <c r="AAB332" s="120"/>
      <c r="AAC332" s="120"/>
      <c r="AAD332" s="120"/>
      <c r="AAE332" s="120"/>
      <c r="AAF332" s="120"/>
      <c r="AAG332" s="120"/>
      <c r="AAH332" s="120"/>
      <c r="AAI332" s="120"/>
      <c r="AAJ332" s="120"/>
      <c r="AAK332" s="120"/>
      <c r="AAL332" s="120"/>
      <c r="AAM332" s="120"/>
      <c r="AAN332" s="120"/>
      <c r="AAO332" s="120"/>
      <c r="AAP332" s="120"/>
      <c r="AAQ332" s="120"/>
      <c r="AAR332" s="120"/>
      <c r="AAS332" s="120"/>
      <c r="AAT332" s="120"/>
      <c r="AAU332" s="120"/>
      <c r="AAV332" s="120"/>
      <c r="AAW332" s="120"/>
      <c r="AAX332" s="120"/>
      <c r="AAY332" s="120"/>
      <c r="AAZ332" s="120"/>
      <c r="ABA332" s="120"/>
      <c r="ABB332" s="120"/>
      <c r="ABC332" s="120"/>
      <c r="ABD332" s="120"/>
      <c r="ABE332" s="120"/>
      <c r="ABF332" s="120"/>
      <c r="ABG332" s="120"/>
      <c r="ABH332" s="120"/>
      <c r="ABI332" s="120"/>
      <c r="ABJ332" s="120"/>
      <c r="ABK332" s="120"/>
      <c r="ABL332" s="120"/>
      <c r="ABM332" s="120"/>
      <c r="ABN332" s="120"/>
      <c r="ABO332" s="120"/>
      <c r="ABP332" s="120"/>
      <c r="ABQ332" s="120"/>
      <c r="ABR332" s="120"/>
      <c r="ABS332" s="120"/>
      <c r="ABT332" s="120"/>
      <c r="ABU332" s="120"/>
      <c r="ABV332" s="120"/>
      <c r="ABW332" s="120"/>
      <c r="ABX332" s="120"/>
      <c r="ABY332" s="120"/>
      <c r="ABZ332" s="120"/>
      <c r="ACA332" s="120"/>
      <c r="ACB332" s="120"/>
      <c r="ACC332" s="120"/>
      <c r="ACD332" s="120"/>
      <c r="ACE332" s="120"/>
      <c r="ACF332" s="120"/>
      <c r="ACG332" s="120"/>
      <c r="ACH332" s="120"/>
      <c r="ACI332" s="120"/>
      <c r="ACJ332" s="120"/>
      <c r="ACK332" s="120"/>
      <c r="ACL332" s="120"/>
      <c r="ACM332" s="120"/>
      <c r="ACN332" s="120"/>
      <c r="ACO332" s="120"/>
      <c r="ACP332" s="120"/>
      <c r="ACQ332" s="120"/>
      <c r="ACR332" s="120"/>
      <c r="ACS332" s="120"/>
      <c r="ACT332" s="120"/>
      <c r="ACU332" s="120"/>
      <c r="ACV332" s="120"/>
      <c r="ACW332" s="120"/>
      <c r="ACX332" s="120"/>
      <c r="ACY332" s="120"/>
      <c r="ACZ332" s="120"/>
      <c r="ADA332" s="120"/>
      <c r="ADB332" s="120"/>
      <c r="ADC332" s="120"/>
      <c r="ADD332" s="120"/>
      <c r="ADE332" s="120"/>
      <c r="ADF332" s="120"/>
      <c r="ADG332" s="120"/>
      <c r="ADH332" s="120"/>
      <c r="ADI332" s="120"/>
      <c r="ADJ332" s="120"/>
      <c r="ADK332" s="120"/>
      <c r="ADL332" s="120"/>
      <c r="ADM332" s="120"/>
      <c r="ADN332" s="120"/>
      <c r="ADO332" s="120"/>
      <c r="ADP332" s="120"/>
      <c r="ADQ332" s="120"/>
      <c r="ADR332" s="120"/>
      <c r="ADS332" s="120"/>
      <c r="ADT332" s="120"/>
      <c r="ADU332" s="120"/>
      <c r="ADV332" s="120"/>
      <c r="ADW332" s="120"/>
      <c r="ADX332" s="120"/>
      <c r="ADY332" s="120"/>
      <c r="ADZ332" s="120"/>
      <c r="AEA332" s="120"/>
      <c r="AEB332" s="120"/>
      <c r="AEC332" s="120"/>
      <c r="AED332" s="120"/>
      <c r="AEE332" s="120"/>
      <c r="AEF332" s="120"/>
      <c r="AEG332" s="120"/>
      <c r="AEH332" s="120"/>
      <c r="AEI332" s="120"/>
      <c r="AEJ332" s="120"/>
      <c r="AEK332" s="120"/>
      <c r="AEL332" s="120"/>
      <c r="AEM332" s="120"/>
      <c r="AEN332" s="120"/>
      <c r="AEO332" s="120"/>
      <c r="AEP332" s="120"/>
      <c r="AEQ332" s="120"/>
      <c r="AER332" s="120"/>
      <c r="AES332" s="120"/>
      <c r="AET332" s="120"/>
      <c r="AEU332" s="120"/>
      <c r="AEV332" s="120"/>
      <c r="AEW332" s="120"/>
      <c r="AEX332" s="120"/>
      <c r="AEY332" s="120"/>
      <c r="AEZ332" s="120"/>
      <c r="AFA332" s="120"/>
      <c r="AFB332" s="120"/>
      <c r="AFC332" s="120"/>
      <c r="AFD332" s="120"/>
      <c r="AFE332" s="120"/>
      <c r="AFF332" s="120"/>
      <c r="AFG332" s="120"/>
      <c r="AFH332" s="120"/>
      <c r="AFI332" s="120"/>
      <c r="AFJ332" s="120"/>
      <c r="AFK332" s="120"/>
      <c r="AFL332" s="120"/>
      <c r="AFM332" s="120"/>
      <c r="AFN332" s="120"/>
      <c r="AFO332" s="120"/>
      <c r="AFP332" s="120"/>
      <c r="AFQ332" s="120"/>
      <c r="AFR332" s="120"/>
      <c r="AFS332" s="120"/>
      <c r="AFT332" s="120"/>
      <c r="AFU332" s="120"/>
      <c r="AFV332" s="120"/>
      <c r="AFW332" s="120"/>
      <c r="AFX332" s="120"/>
      <c r="AFY332" s="120"/>
      <c r="AFZ332" s="120"/>
      <c r="AGA332" s="120"/>
      <c r="AGB332" s="120"/>
      <c r="AGC332" s="120"/>
      <c r="AGD332" s="120"/>
      <c r="AGE332" s="120"/>
      <c r="AGF332" s="120"/>
      <c r="AGG332" s="120"/>
      <c r="AGH332" s="120"/>
      <c r="AGI332" s="120"/>
      <c r="AGJ332" s="120"/>
      <c r="AGK332" s="120"/>
      <c r="AGL332" s="120"/>
      <c r="AGM332" s="120"/>
      <c r="AGN332" s="120"/>
      <c r="AGO332" s="120"/>
      <c r="AGP332" s="120"/>
      <c r="AGQ332" s="120"/>
      <c r="AGR332" s="120"/>
      <c r="AGS332" s="120"/>
      <c r="AGT332" s="120"/>
      <c r="AGU332" s="120"/>
      <c r="AGV332" s="120"/>
      <c r="AGW332" s="120"/>
      <c r="AGX332" s="120"/>
      <c r="AGY332" s="120"/>
      <c r="AGZ332" s="120"/>
      <c r="AHA332" s="120"/>
      <c r="AHB332" s="120"/>
      <c r="AHC332" s="120"/>
      <c r="AHD332" s="120"/>
      <c r="AHE332" s="120"/>
      <c r="AHF332" s="120"/>
      <c r="AHG332" s="120"/>
      <c r="AHH332" s="120"/>
      <c r="AHI332" s="120"/>
      <c r="AHJ332" s="120"/>
      <c r="AHK332" s="120"/>
      <c r="AHL332" s="120"/>
      <c r="AHM332" s="120"/>
      <c r="AHN332" s="120"/>
      <c r="AHO332" s="120"/>
      <c r="AHP332" s="120"/>
      <c r="AHQ332" s="120"/>
      <c r="AHR332" s="120"/>
      <c r="AHS332" s="120"/>
      <c r="AHT332" s="120"/>
      <c r="AHU332" s="120"/>
      <c r="AHV332" s="120"/>
      <c r="AHW332" s="120"/>
      <c r="AHX332" s="120"/>
      <c r="AHY332" s="120"/>
      <c r="AHZ332" s="120"/>
      <c r="AIA332" s="120"/>
      <c r="AIB332" s="120"/>
      <c r="AIC332" s="120"/>
      <c r="AID332" s="120"/>
      <c r="AIE332" s="120"/>
      <c r="AIF332" s="120"/>
      <c r="AIG332" s="120"/>
      <c r="AIH332" s="120"/>
      <c r="AII332" s="120"/>
      <c r="AIJ332" s="120"/>
      <c r="AIK332" s="120"/>
      <c r="AIL332" s="120"/>
      <c r="AIM332" s="120"/>
      <c r="AIN332" s="120"/>
      <c r="AIO332" s="120"/>
      <c r="AIP332" s="120"/>
      <c r="AIQ332" s="120"/>
      <c r="AIR332" s="120"/>
      <c r="AIS332" s="120"/>
      <c r="AIT332" s="120"/>
      <c r="AIU332" s="120"/>
      <c r="AIV332" s="120"/>
      <c r="AIW332" s="120"/>
      <c r="AIX332" s="120"/>
      <c r="AIY332" s="120"/>
      <c r="AIZ332" s="120"/>
    </row>
    <row r="333">
      <c r="A333" s="112" t="s">
        <v>17</v>
      </c>
      <c r="B333" s="112" t="s">
        <v>87</v>
      </c>
      <c r="C333" s="112"/>
      <c r="D333" s="113">
        <f t="shared" si="1"/>
        <v>569.8818</v>
      </c>
      <c r="E333" s="112">
        <v>100.72285</v>
      </c>
      <c r="F333" s="113"/>
      <c r="G333" s="113"/>
      <c r="H333" s="113"/>
      <c r="I333" s="113"/>
      <c r="J333" s="113"/>
      <c r="K333" s="113"/>
      <c r="L333" s="112">
        <v>1.40378333333333</v>
      </c>
      <c r="M333" s="112">
        <v>17.1661</v>
      </c>
      <c r="N333" s="113"/>
      <c r="O333" s="113"/>
      <c r="P333" s="112">
        <v>104.10075</v>
      </c>
      <c r="Q333" s="113"/>
      <c r="R333" s="113"/>
      <c r="S333" s="113"/>
      <c r="T333" s="113"/>
      <c r="U333" s="113"/>
      <c r="V333" s="112">
        <v>1.06081666666667</v>
      </c>
      <c r="W333" s="112">
        <v>33.44365</v>
      </c>
      <c r="X333" s="113"/>
      <c r="Y333" s="113"/>
      <c r="Z333" s="113"/>
      <c r="AA333" s="113"/>
      <c r="AB333" s="113"/>
      <c r="AC333" s="112">
        <v>0.748366666666667</v>
      </c>
      <c r="AD333" s="112">
        <v>180.588816666667</v>
      </c>
      <c r="AE333" s="113"/>
      <c r="AF333" s="113"/>
      <c r="AG333" s="113"/>
      <c r="AH333" s="113"/>
      <c r="AI333" s="113"/>
      <c r="AJ333" s="112">
        <v>1.55656666666667</v>
      </c>
      <c r="AK333" s="112">
        <v>33.20465</v>
      </c>
      <c r="AL333" s="113"/>
      <c r="AM333" s="113"/>
      <c r="AN333" s="113"/>
      <c r="AO333" s="112">
        <v>2.38953333333333</v>
      </c>
      <c r="AP333" s="112">
        <v>48.682</v>
      </c>
      <c r="AQ333" s="113"/>
      <c r="AR333" s="113"/>
      <c r="AS333" s="112">
        <v>1.11178333333333</v>
      </c>
      <c r="AT333" s="112">
        <v>42.4413166666667</v>
      </c>
      <c r="AU333" s="113"/>
      <c r="AV333" s="112">
        <v>1.1012</v>
      </c>
      <c r="AW333" s="112">
        <v>0.159616666666667</v>
      </c>
      <c r="AX333" s="113"/>
      <c r="AY333" s="113"/>
      <c r="AZ333" s="113"/>
      <c r="BA333" s="113"/>
      <c r="BB333" s="113"/>
      <c r="BC333" s="113"/>
      <c r="BD333" s="113"/>
      <c r="BE333" s="113"/>
      <c r="BF333" s="113"/>
      <c r="BG333" s="113"/>
      <c r="BH333" s="113"/>
      <c r="BI333" s="113"/>
      <c r="BJ333" s="113"/>
      <c r="BK333" s="113"/>
      <c r="BL333" s="113"/>
      <c r="BM333" s="113"/>
      <c r="BN333" s="113"/>
      <c r="BO333" s="113"/>
      <c r="BP333" s="113"/>
      <c r="BQ333" s="113"/>
      <c r="BR333" s="113"/>
      <c r="BS333" s="113"/>
      <c r="BT333" s="113"/>
      <c r="BU333" s="113"/>
      <c r="BV333" s="113"/>
      <c r="BW333" s="113"/>
      <c r="BX333" s="113"/>
      <c r="BY333" s="113"/>
      <c r="BZ333" s="113"/>
      <c r="CA333" s="113"/>
      <c r="CB333" s="113"/>
      <c r="CC333" s="113"/>
      <c r="CD333" s="113"/>
      <c r="CE333" s="113"/>
      <c r="CF333" s="113"/>
      <c r="CG333" s="113"/>
      <c r="CH333" s="113"/>
      <c r="CI333" s="113"/>
      <c r="CJ333" s="113"/>
      <c r="CK333" s="113"/>
      <c r="CL333" s="113"/>
      <c r="CM333" s="113"/>
      <c r="CN333" s="113"/>
      <c r="CO333" s="113"/>
      <c r="CP333" s="113"/>
      <c r="CQ333" s="113"/>
      <c r="CR333" s="113"/>
      <c r="CS333" s="113"/>
      <c r="CT333" s="113"/>
      <c r="CU333" s="113"/>
      <c r="CV333" s="113"/>
      <c r="CW333" s="113"/>
      <c r="CX333" s="113"/>
      <c r="CY333" s="113"/>
      <c r="CZ333" s="113"/>
      <c r="DA333" s="113"/>
      <c r="DB333" s="113"/>
      <c r="DC333" s="113"/>
      <c r="DD333" s="113"/>
      <c r="DE333" s="113"/>
      <c r="DF333" s="113"/>
      <c r="DG333" s="113"/>
      <c r="DH333" s="113"/>
      <c r="DI333" s="113"/>
      <c r="DJ333" s="113"/>
      <c r="DK333" s="113"/>
      <c r="DL333" s="113"/>
      <c r="DM333" s="113"/>
      <c r="DN333" s="113"/>
      <c r="DO333" s="113"/>
      <c r="DP333" s="113"/>
      <c r="DQ333" s="113"/>
      <c r="DR333" s="113"/>
      <c r="DS333" s="113"/>
      <c r="DT333" s="113"/>
      <c r="DU333" s="113"/>
      <c r="DV333" s="113"/>
      <c r="DW333" s="113"/>
      <c r="DX333" s="113"/>
      <c r="DY333" s="113"/>
      <c r="DZ333" s="113"/>
      <c r="EA333" s="113"/>
      <c r="EB333" s="113"/>
      <c r="EC333" s="113"/>
      <c r="ED333" s="113"/>
      <c r="EE333" s="113"/>
      <c r="EF333" s="113"/>
      <c r="EG333" s="113"/>
      <c r="EH333" s="113"/>
      <c r="EI333" s="113"/>
      <c r="EJ333" s="113"/>
      <c r="EK333" s="113"/>
      <c r="EL333" s="113"/>
      <c r="EM333" s="113"/>
      <c r="EN333" s="113"/>
      <c r="EO333" s="113"/>
      <c r="EP333" s="113"/>
      <c r="EQ333" s="113"/>
      <c r="ER333" s="113"/>
      <c r="ES333" s="113"/>
      <c r="ET333" s="113"/>
      <c r="EU333" s="113"/>
      <c r="EV333" s="113"/>
      <c r="EW333" s="113"/>
      <c r="EX333" s="113"/>
      <c r="EY333" s="113"/>
      <c r="EZ333" s="113"/>
      <c r="FA333" s="113"/>
      <c r="FB333" s="113"/>
      <c r="FC333" s="113"/>
      <c r="FD333" s="113"/>
      <c r="FE333" s="113"/>
      <c r="FF333" s="113"/>
      <c r="FG333" s="113"/>
      <c r="FH333" s="113"/>
      <c r="FI333" s="113"/>
      <c r="FJ333" s="113"/>
      <c r="FK333" s="113"/>
      <c r="FL333" s="113"/>
      <c r="FM333" s="113"/>
      <c r="FN333" s="113"/>
      <c r="FO333" s="113"/>
      <c r="FP333" s="113"/>
      <c r="FQ333" s="113"/>
      <c r="FR333" s="113"/>
      <c r="FS333" s="113"/>
      <c r="FT333" s="113"/>
      <c r="FU333" s="113"/>
      <c r="FV333" s="113"/>
      <c r="FW333" s="113"/>
      <c r="FX333" s="113"/>
      <c r="FY333" s="113"/>
      <c r="FZ333" s="113"/>
      <c r="GA333" s="113"/>
      <c r="GB333" s="113"/>
      <c r="GC333" s="113"/>
      <c r="GD333" s="113"/>
      <c r="GE333" s="113"/>
      <c r="GF333" s="113"/>
      <c r="GG333" s="113"/>
      <c r="GH333" s="113"/>
      <c r="GI333" s="113"/>
      <c r="GJ333" s="113"/>
      <c r="GK333" s="113"/>
      <c r="GL333" s="113"/>
      <c r="GM333" s="113"/>
      <c r="GN333" s="113"/>
      <c r="GO333" s="113"/>
      <c r="GP333" s="113"/>
      <c r="GQ333" s="113"/>
      <c r="GR333" s="113"/>
      <c r="GS333" s="113"/>
      <c r="GT333" s="113"/>
      <c r="GU333" s="113"/>
      <c r="GV333" s="113"/>
      <c r="GW333" s="113"/>
      <c r="GX333" s="113"/>
      <c r="GY333" s="113"/>
      <c r="GZ333" s="113"/>
      <c r="HA333" s="113"/>
      <c r="HB333" s="113"/>
      <c r="HC333" s="113"/>
      <c r="HD333" s="113"/>
      <c r="HE333" s="113"/>
      <c r="HF333" s="113"/>
      <c r="HG333" s="113"/>
      <c r="HH333" s="113"/>
      <c r="HI333" s="113"/>
      <c r="HJ333" s="113"/>
      <c r="HK333" s="113"/>
      <c r="HL333" s="113"/>
      <c r="HM333" s="113"/>
      <c r="HN333" s="113"/>
      <c r="HO333" s="113"/>
      <c r="HP333" s="113"/>
      <c r="HQ333" s="113"/>
      <c r="HR333" s="113"/>
      <c r="HS333" s="113"/>
      <c r="HT333" s="113"/>
      <c r="HU333" s="113"/>
      <c r="HV333" s="113"/>
      <c r="HW333" s="113"/>
      <c r="HX333" s="113"/>
      <c r="HY333" s="113"/>
      <c r="HZ333" s="113"/>
      <c r="IA333" s="113"/>
      <c r="IB333" s="113"/>
      <c r="IC333" s="113"/>
      <c r="ID333" s="113"/>
      <c r="IE333" s="113"/>
      <c r="IF333" s="113"/>
      <c r="IG333" s="113"/>
      <c r="IH333" s="113"/>
      <c r="II333" s="113"/>
      <c r="IJ333" s="113"/>
      <c r="IK333" s="113"/>
      <c r="IL333" s="113"/>
      <c r="IM333" s="113"/>
      <c r="IN333" s="113"/>
      <c r="IO333" s="113"/>
      <c r="IP333" s="113"/>
      <c r="IQ333" s="113"/>
      <c r="IR333" s="113"/>
      <c r="IS333" s="113"/>
      <c r="IT333" s="113"/>
      <c r="IU333" s="113"/>
      <c r="IV333" s="113"/>
      <c r="IW333" s="113"/>
      <c r="IX333" s="113"/>
      <c r="IY333" s="113"/>
      <c r="IZ333" s="113"/>
      <c r="JA333" s="113"/>
      <c r="JB333" s="113"/>
      <c r="JC333" s="113"/>
      <c r="JD333" s="113"/>
      <c r="JE333" s="113"/>
      <c r="JF333" s="113"/>
      <c r="JG333" s="113"/>
      <c r="JH333" s="113"/>
      <c r="JI333" s="113"/>
      <c r="JJ333" s="113"/>
      <c r="JK333" s="113"/>
      <c r="JL333" s="113"/>
      <c r="JM333" s="113"/>
      <c r="JN333" s="113"/>
      <c r="JO333" s="113"/>
      <c r="JP333" s="113"/>
      <c r="JQ333" s="113"/>
      <c r="JR333" s="113"/>
      <c r="JS333" s="113"/>
      <c r="JT333" s="113"/>
      <c r="JU333" s="113"/>
      <c r="JV333" s="113"/>
      <c r="JW333" s="113"/>
      <c r="JX333" s="113"/>
      <c r="JY333" s="113"/>
      <c r="JZ333" s="113"/>
      <c r="KA333" s="113"/>
      <c r="KB333" s="113"/>
      <c r="KC333" s="113"/>
      <c r="KD333" s="113"/>
      <c r="KE333" s="113"/>
      <c r="KF333" s="113"/>
      <c r="KG333" s="113"/>
      <c r="KH333" s="113"/>
      <c r="KI333" s="113"/>
      <c r="KJ333" s="113"/>
      <c r="KK333" s="113"/>
      <c r="KL333" s="113"/>
      <c r="KM333" s="113"/>
      <c r="KN333" s="113"/>
      <c r="KO333" s="113"/>
      <c r="KP333" s="113"/>
      <c r="KQ333" s="113"/>
      <c r="KR333" s="113"/>
      <c r="KS333" s="113"/>
      <c r="KT333" s="113"/>
      <c r="KU333" s="113"/>
      <c r="KV333" s="113"/>
      <c r="KW333" s="113"/>
      <c r="KX333" s="113"/>
      <c r="KY333" s="113"/>
      <c r="KZ333" s="113"/>
      <c r="LA333" s="113"/>
      <c r="LB333" s="113"/>
      <c r="LC333" s="113"/>
      <c r="LD333" s="113"/>
      <c r="LE333" s="113"/>
      <c r="LF333" s="113"/>
      <c r="LG333" s="113"/>
      <c r="LH333" s="113"/>
      <c r="LI333" s="113"/>
      <c r="LJ333" s="113"/>
      <c r="LK333" s="113"/>
      <c r="LL333" s="113"/>
      <c r="LM333" s="113"/>
      <c r="LN333" s="113"/>
      <c r="LO333" s="113"/>
      <c r="LP333" s="113"/>
      <c r="LQ333" s="113"/>
      <c r="LR333" s="113"/>
      <c r="LS333" s="113"/>
      <c r="LT333" s="113"/>
      <c r="LU333" s="113"/>
      <c r="LV333" s="113"/>
      <c r="LW333" s="113"/>
      <c r="LX333" s="113"/>
      <c r="LY333" s="113"/>
      <c r="LZ333" s="113"/>
      <c r="MA333" s="113"/>
      <c r="MB333" s="113"/>
      <c r="MC333" s="113"/>
      <c r="MD333" s="113"/>
      <c r="ME333" s="113"/>
      <c r="MF333" s="113"/>
      <c r="MG333" s="113"/>
      <c r="MH333" s="113"/>
      <c r="MI333" s="113"/>
      <c r="MJ333" s="113"/>
      <c r="MK333" s="113"/>
      <c r="ML333" s="113"/>
      <c r="MM333" s="113"/>
      <c r="MN333" s="113"/>
      <c r="MO333" s="113"/>
      <c r="MP333" s="113"/>
      <c r="MQ333" s="113"/>
      <c r="MR333" s="113"/>
      <c r="MS333" s="113"/>
      <c r="MT333" s="113"/>
      <c r="MU333" s="113"/>
      <c r="MV333" s="113"/>
      <c r="MW333" s="113"/>
      <c r="MX333" s="113"/>
      <c r="MY333" s="113"/>
      <c r="MZ333" s="113"/>
      <c r="NA333" s="113"/>
      <c r="NB333" s="113"/>
      <c r="NC333" s="113"/>
      <c r="ND333" s="113"/>
      <c r="NE333" s="113"/>
      <c r="NF333" s="113"/>
      <c r="NG333" s="113"/>
      <c r="NH333" s="113"/>
      <c r="NI333" s="113"/>
      <c r="NJ333" s="113"/>
      <c r="NK333" s="113"/>
      <c r="NL333" s="113"/>
      <c r="NM333" s="113"/>
      <c r="NN333" s="113"/>
      <c r="NO333" s="113"/>
      <c r="NP333" s="113"/>
      <c r="NQ333" s="113"/>
      <c r="NR333" s="113"/>
      <c r="NS333" s="113"/>
      <c r="NT333" s="113"/>
      <c r="NU333" s="113"/>
      <c r="NV333" s="113"/>
      <c r="NW333" s="113"/>
      <c r="NX333" s="113"/>
      <c r="NY333" s="113"/>
      <c r="NZ333" s="113"/>
      <c r="OA333" s="113"/>
      <c r="OB333" s="113"/>
      <c r="OC333" s="113"/>
      <c r="OD333" s="113"/>
      <c r="OE333" s="113"/>
      <c r="OF333" s="113"/>
      <c r="OG333" s="113"/>
      <c r="OH333" s="113"/>
      <c r="OI333" s="113"/>
      <c r="OJ333" s="113"/>
      <c r="OK333" s="113"/>
      <c r="OL333" s="113"/>
      <c r="OM333" s="113"/>
      <c r="ON333" s="113"/>
      <c r="OO333" s="113"/>
      <c r="OP333" s="113"/>
      <c r="OQ333" s="113"/>
      <c r="OR333" s="113"/>
      <c r="OS333" s="113"/>
      <c r="OT333" s="113"/>
      <c r="OU333" s="113"/>
      <c r="OV333" s="113"/>
      <c r="OW333" s="113"/>
      <c r="OX333" s="113"/>
      <c r="OY333" s="113"/>
      <c r="OZ333" s="113"/>
      <c r="PA333" s="113"/>
      <c r="PB333" s="113"/>
      <c r="PC333" s="113"/>
      <c r="PD333" s="113"/>
      <c r="PE333" s="113"/>
      <c r="PF333" s="113"/>
      <c r="PG333" s="113"/>
      <c r="PH333" s="113"/>
      <c r="PI333" s="113"/>
      <c r="PJ333" s="113"/>
      <c r="PK333" s="113"/>
      <c r="PL333" s="113"/>
      <c r="PM333" s="113"/>
      <c r="PN333" s="113"/>
      <c r="PO333" s="113"/>
      <c r="PP333" s="113"/>
      <c r="PQ333" s="113"/>
      <c r="PR333" s="113"/>
      <c r="PS333" s="113"/>
      <c r="PT333" s="113"/>
      <c r="PU333" s="113"/>
      <c r="PV333" s="113"/>
      <c r="PW333" s="113"/>
      <c r="PX333" s="113"/>
      <c r="PY333" s="113"/>
      <c r="PZ333" s="113"/>
      <c r="QA333" s="113"/>
      <c r="QB333" s="113"/>
      <c r="QC333" s="113"/>
      <c r="QD333" s="113"/>
      <c r="QE333" s="113"/>
      <c r="QF333" s="113"/>
      <c r="QG333" s="113"/>
      <c r="QH333" s="113"/>
      <c r="QI333" s="113"/>
      <c r="QJ333" s="113"/>
      <c r="QK333" s="113"/>
      <c r="QL333" s="113"/>
      <c r="QM333" s="113"/>
      <c r="QN333" s="113"/>
      <c r="QO333" s="113"/>
      <c r="QP333" s="113"/>
      <c r="QQ333" s="113"/>
      <c r="QR333" s="113"/>
      <c r="QS333" s="113"/>
      <c r="QT333" s="113"/>
      <c r="QU333" s="113"/>
      <c r="QV333" s="113"/>
      <c r="QW333" s="113"/>
      <c r="QX333" s="113"/>
      <c r="QY333" s="113"/>
      <c r="QZ333" s="113"/>
      <c r="RA333" s="113"/>
      <c r="RB333" s="113"/>
      <c r="RC333" s="113"/>
      <c r="RD333" s="113"/>
      <c r="RE333" s="113"/>
      <c r="RF333" s="113"/>
      <c r="RG333" s="113"/>
      <c r="RH333" s="113"/>
      <c r="RI333" s="113"/>
      <c r="RJ333" s="113"/>
      <c r="RK333" s="113"/>
      <c r="RL333" s="113"/>
      <c r="RM333" s="113"/>
      <c r="RN333" s="113"/>
      <c r="RO333" s="113"/>
      <c r="RP333" s="113"/>
      <c r="RQ333" s="113"/>
      <c r="RR333" s="113"/>
      <c r="RS333" s="113"/>
      <c r="RT333" s="113"/>
      <c r="RU333" s="113"/>
      <c r="RV333" s="113"/>
      <c r="RW333" s="113"/>
      <c r="RX333" s="113"/>
      <c r="RY333" s="113"/>
      <c r="RZ333" s="113"/>
      <c r="SA333" s="113"/>
      <c r="SB333" s="113"/>
      <c r="SC333" s="113"/>
      <c r="SD333" s="113"/>
      <c r="SE333" s="113"/>
      <c r="SF333" s="113"/>
      <c r="SG333" s="113"/>
      <c r="SH333" s="113"/>
      <c r="SI333" s="113"/>
      <c r="SJ333" s="113"/>
      <c r="SK333" s="113"/>
      <c r="SL333" s="113"/>
      <c r="SM333" s="113"/>
      <c r="SN333" s="113"/>
      <c r="SO333" s="113"/>
      <c r="SP333" s="113"/>
      <c r="SQ333" s="113"/>
      <c r="SR333" s="113"/>
      <c r="SS333" s="113"/>
      <c r="ST333" s="113"/>
      <c r="SU333" s="113"/>
      <c r="SV333" s="113"/>
      <c r="SW333" s="113"/>
      <c r="SX333" s="113"/>
      <c r="SY333" s="113"/>
      <c r="SZ333" s="113"/>
      <c r="TA333" s="113"/>
      <c r="TB333" s="113"/>
      <c r="TC333" s="113"/>
      <c r="TD333" s="113"/>
      <c r="TE333" s="113"/>
      <c r="TF333" s="113"/>
      <c r="TG333" s="113"/>
      <c r="TH333" s="113"/>
      <c r="TI333" s="113"/>
      <c r="TJ333" s="113"/>
      <c r="TK333" s="113"/>
      <c r="TL333" s="113"/>
      <c r="TM333" s="113"/>
      <c r="TN333" s="113"/>
      <c r="TO333" s="113"/>
      <c r="TP333" s="113"/>
      <c r="TQ333" s="113"/>
      <c r="TR333" s="113"/>
      <c r="TS333" s="113"/>
      <c r="TT333" s="113"/>
      <c r="TU333" s="113"/>
      <c r="TV333" s="113"/>
      <c r="TW333" s="113"/>
      <c r="TX333" s="113"/>
      <c r="TY333" s="113"/>
      <c r="TZ333" s="113"/>
      <c r="UA333" s="113"/>
      <c r="UB333" s="113"/>
      <c r="UC333" s="113"/>
      <c r="UD333" s="113"/>
      <c r="UE333" s="113"/>
      <c r="UF333" s="113"/>
      <c r="UG333" s="113"/>
      <c r="UH333" s="113"/>
      <c r="UI333" s="113"/>
      <c r="UJ333" s="113"/>
      <c r="UK333" s="113"/>
      <c r="UL333" s="113"/>
      <c r="UM333" s="113"/>
      <c r="UN333" s="113"/>
      <c r="UO333" s="113"/>
      <c r="UP333" s="113"/>
      <c r="UQ333" s="113"/>
      <c r="UR333" s="113"/>
      <c r="US333" s="113"/>
      <c r="UT333" s="113"/>
      <c r="UU333" s="113"/>
      <c r="UV333" s="113"/>
      <c r="UW333" s="113"/>
      <c r="UX333" s="113"/>
      <c r="UY333" s="113"/>
      <c r="UZ333" s="113"/>
      <c r="VA333" s="113"/>
      <c r="VB333" s="113"/>
      <c r="VC333" s="113"/>
      <c r="VD333" s="113"/>
      <c r="VE333" s="113"/>
      <c r="VF333" s="113"/>
      <c r="VG333" s="113"/>
      <c r="VH333" s="113"/>
      <c r="VI333" s="113"/>
      <c r="VJ333" s="113"/>
      <c r="VK333" s="113"/>
      <c r="VL333" s="113"/>
      <c r="VM333" s="113"/>
      <c r="VN333" s="113"/>
      <c r="VO333" s="113"/>
      <c r="VP333" s="113"/>
      <c r="VQ333" s="113"/>
      <c r="VR333" s="113"/>
      <c r="VS333" s="113"/>
      <c r="VT333" s="113"/>
      <c r="VU333" s="113"/>
      <c r="VV333" s="113"/>
      <c r="VW333" s="113"/>
      <c r="VX333" s="113"/>
      <c r="VY333" s="113"/>
      <c r="VZ333" s="113"/>
      <c r="WA333" s="113"/>
      <c r="WB333" s="113"/>
      <c r="WC333" s="113"/>
      <c r="WD333" s="113"/>
      <c r="WE333" s="113"/>
      <c r="WF333" s="113"/>
      <c r="WG333" s="113"/>
      <c r="WH333" s="113"/>
      <c r="WI333" s="113"/>
      <c r="WJ333" s="113"/>
      <c r="WK333" s="113"/>
      <c r="WL333" s="113"/>
      <c r="WM333" s="113"/>
      <c r="WN333" s="113"/>
      <c r="WO333" s="113"/>
      <c r="WP333" s="113"/>
      <c r="WQ333" s="113"/>
      <c r="WR333" s="113"/>
      <c r="WS333" s="113"/>
      <c r="WT333" s="113"/>
      <c r="WU333" s="113"/>
      <c r="WV333" s="113"/>
      <c r="WW333" s="113"/>
      <c r="WX333" s="113"/>
      <c r="WY333" s="113"/>
      <c r="WZ333" s="113"/>
      <c r="XA333" s="113"/>
      <c r="XB333" s="113"/>
      <c r="XC333" s="113"/>
      <c r="XD333" s="113"/>
      <c r="XE333" s="113"/>
      <c r="XF333" s="113"/>
      <c r="XG333" s="113"/>
      <c r="XH333" s="113"/>
      <c r="XI333" s="113"/>
      <c r="XJ333" s="113"/>
      <c r="XK333" s="113"/>
      <c r="XL333" s="113"/>
      <c r="XM333" s="113"/>
      <c r="XN333" s="113"/>
      <c r="XO333" s="113"/>
      <c r="XP333" s="113"/>
      <c r="XQ333" s="113"/>
      <c r="XR333" s="113"/>
      <c r="XS333" s="113"/>
      <c r="XT333" s="113"/>
      <c r="XU333" s="113"/>
      <c r="XV333" s="113"/>
      <c r="XW333" s="113"/>
      <c r="XX333" s="113"/>
      <c r="XY333" s="113"/>
      <c r="XZ333" s="113"/>
      <c r="YA333" s="113"/>
      <c r="YB333" s="113"/>
      <c r="YC333" s="113"/>
      <c r="YD333" s="113"/>
      <c r="YE333" s="113"/>
      <c r="YF333" s="113"/>
      <c r="YG333" s="113"/>
      <c r="YH333" s="113"/>
      <c r="YI333" s="113"/>
      <c r="YJ333" s="113"/>
      <c r="YK333" s="113"/>
      <c r="YL333" s="113"/>
      <c r="YM333" s="113"/>
      <c r="YN333" s="113"/>
      <c r="YO333" s="113"/>
      <c r="YP333" s="113"/>
      <c r="YQ333" s="113"/>
      <c r="YR333" s="113"/>
      <c r="YS333" s="113"/>
      <c r="YT333" s="113"/>
      <c r="YU333" s="113"/>
      <c r="YV333" s="113"/>
      <c r="YW333" s="113"/>
      <c r="YX333" s="113"/>
      <c r="YY333" s="113"/>
      <c r="YZ333" s="113"/>
      <c r="ZA333" s="113"/>
      <c r="ZB333" s="113"/>
      <c r="ZC333" s="113"/>
      <c r="ZD333" s="113"/>
      <c r="ZE333" s="113"/>
      <c r="ZF333" s="113"/>
      <c r="ZG333" s="113"/>
      <c r="ZH333" s="113"/>
      <c r="ZI333" s="113"/>
      <c r="ZJ333" s="113"/>
      <c r="ZK333" s="113"/>
      <c r="ZL333" s="113"/>
      <c r="ZM333" s="113"/>
      <c r="ZN333" s="113"/>
      <c r="ZO333" s="113"/>
      <c r="ZP333" s="113"/>
      <c r="ZQ333" s="113"/>
      <c r="ZR333" s="113"/>
      <c r="ZS333" s="113"/>
      <c r="ZT333" s="113"/>
      <c r="ZU333" s="113"/>
      <c r="ZV333" s="113"/>
      <c r="ZW333" s="113"/>
      <c r="ZX333" s="113"/>
      <c r="ZY333" s="113"/>
      <c r="ZZ333" s="113"/>
      <c r="AAA333" s="113"/>
      <c r="AAB333" s="113"/>
      <c r="AAC333" s="113"/>
      <c r="AAD333" s="113"/>
      <c r="AAE333" s="113"/>
      <c r="AAF333" s="113"/>
      <c r="AAG333" s="113"/>
      <c r="AAH333" s="113"/>
      <c r="AAI333" s="113"/>
      <c r="AAJ333" s="113"/>
      <c r="AAK333" s="113"/>
      <c r="AAL333" s="113"/>
      <c r="AAM333" s="113"/>
      <c r="AAN333" s="113"/>
      <c r="AAO333" s="113"/>
      <c r="AAP333" s="113"/>
      <c r="AAQ333" s="113"/>
      <c r="AAR333" s="113"/>
      <c r="AAS333" s="113"/>
      <c r="AAT333" s="113"/>
      <c r="AAU333" s="113"/>
      <c r="AAV333" s="113"/>
      <c r="AAW333" s="113"/>
      <c r="AAX333" s="113"/>
      <c r="AAY333" s="113"/>
      <c r="AAZ333" s="113"/>
      <c r="ABA333" s="113"/>
      <c r="ABB333" s="113"/>
      <c r="ABC333" s="113"/>
      <c r="ABD333" s="113"/>
      <c r="ABE333" s="113"/>
      <c r="ABF333" s="113"/>
      <c r="ABG333" s="113"/>
      <c r="ABH333" s="113"/>
      <c r="ABI333" s="113"/>
      <c r="ABJ333" s="113"/>
      <c r="ABK333" s="113"/>
      <c r="ABL333" s="113"/>
      <c r="ABM333" s="113"/>
      <c r="ABN333" s="113"/>
      <c r="ABO333" s="113"/>
      <c r="ABP333" s="113"/>
      <c r="ABQ333" s="113"/>
      <c r="ABR333" s="113"/>
      <c r="ABS333" s="113"/>
      <c r="ABT333" s="113"/>
      <c r="ABU333" s="113"/>
      <c r="ABV333" s="113"/>
      <c r="ABW333" s="113"/>
      <c r="ABX333" s="113"/>
      <c r="ABY333" s="113"/>
      <c r="ABZ333" s="113"/>
      <c r="ACA333" s="113"/>
      <c r="ACB333" s="113"/>
      <c r="ACC333" s="113"/>
      <c r="ACD333" s="113"/>
      <c r="ACE333" s="113"/>
      <c r="ACF333" s="113"/>
      <c r="ACG333" s="113"/>
      <c r="ACH333" s="113"/>
      <c r="ACI333" s="113"/>
      <c r="ACJ333" s="113"/>
      <c r="ACK333" s="113"/>
      <c r="ACL333" s="113"/>
      <c r="ACM333" s="113"/>
      <c r="ACN333" s="113"/>
      <c r="ACO333" s="113"/>
      <c r="ACP333" s="113"/>
      <c r="ACQ333" s="113"/>
      <c r="ACR333" s="113"/>
      <c r="ACS333" s="113"/>
      <c r="ACT333" s="113"/>
      <c r="ACU333" s="113"/>
      <c r="ACV333" s="113"/>
      <c r="ACW333" s="113"/>
      <c r="ACX333" s="113"/>
      <c r="ACY333" s="113"/>
      <c r="ACZ333" s="113"/>
      <c r="ADA333" s="113"/>
      <c r="ADB333" s="113"/>
      <c r="ADC333" s="113"/>
      <c r="ADD333" s="113"/>
      <c r="ADE333" s="113"/>
      <c r="ADF333" s="113"/>
      <c r="ADG333" s="113"/>
      <c r="ADH333" s="113"/>
      <c r="ADI333" s="113"/>
      <c r="ADJ333" s="113"/>
      <c r="ADK333" s="113"/>
      <c r="ADL333" s="113"/>
      <c r="ADM333" s="113"/>
      <c r="ADN333" s="113"/>
      <c r="ADO333" s="113"/>
      <c r="ADP333" s="113"/>
      <c r="ADQ333" s="113"/>
      <c r="ADR333" s="113"/>
      <c r="ADS333" s="113"/>
      <c r="ADT333" s="113"/>
      <c r="ADU333" s="113"/>
      <c r="ADV333" s="113"/>
      <c r="ADW333" s="113"/>
      <c r="ADX333" s="113"/>
      <c r="ADY333" s="113"/>
      <c r="ADZ333" s="113"/>
      <c r="AEA333" s="113"/>
      <c r="AEB333" s="113"/>
      <c r="AEC333" s="113"/>
      <c r="AED333" s="113"/>
      <c r="AEE333" s="113"/>
      <c r="AEF333" s="113"/>
      <c r="AEG333" s="113"/>
      <c r="AEH333" s="113"/>
      <c r="AEI333" s="113"/>
      <c r="AEJ333" s="113"/>
      <c r="AEK333" s="113"/>
      <c r="AEL333" s="113"/>
      <c r="AEM333" s="113"/>
      <c r="AEN333" s="113"/>
      <c r="AEO333" s="113"/>
      <c r="AEP333" s="113"/>
      <c r="AEQ333" s="113"/>
      <c r="AER333" s="113"/>
      <c r="AES333" s="113"/>
      <c r="AET333" s="113"/>
      <c r="AEU333" s="113"/>
      <c r="AEV333" s="113"/>
      <c r="AEW333" s="113"/>
      <c r="AEX333" s="113"/>
      <c r="AEY333" s="113"/>
      <c r="AEZ333" s="113"/>
      <c r="AFA333" s="113"/>
      <c r="AFB333" s="113"/>
      <c r="AFC333" s="113"/>
      <c r="AFD333" s="113"/>
      <c r="AFE333" s="113"/>
      <c r="AFF333" s="113"/>
      <c r="AFG333" s="113"/>
      <c r="AFH333" s="113"/>
      <c r="AFI333" s="113"/>
      <c r="AFJ333" s="113"/>
      <c r="AFK333" s="113"/>
      <c r="AFL333" s="113"/>
      <c r="AFM333" s="113"/>
      <c r="AFN333" s="113"/>
      <c r="AFO333" s="113"/>
      <c r="AFP333" s="113"/>
      <c r="AFQ333" s="113"/>
      <c r="AFR333" s="113"/>
      <c r="AFS333" s="113"/>
      <c r="AFT333" s="113"/>
      <c r="AFU333" s="113"/>
      <c r="AFV333" s="113"/>
      <c r="AFW333" s="113"/>
      <c r="AFX333" s="113"/>
      <c r="AFY333" s="113"/>
      <c r="AFZ333" s="113"/>
      <c r="AGA333" s="113"/>
      <c r="AGB333" s="113"/>
      <c r="AGC333" s="113"/>
      <c r="AGD333" s="113"/>
      <c r="AGE333" s="113"/>
      <c r="AGF333" s="113"/>
      <c r="AGG333" s="113"/>
      <c r="AGH333" s="113"/>
      <c r="AGI333" s="113"/>
      <c r="AGJ333" s="113"/>
      <c r="AGK333" s="113"/>
      <c r="AGL333" s="113"/>
      <c r="AGM333" s="113"/>
      <c r="AGN333" s="113"/>
      <c r="AGO333" s="113"/>
      <c r="AGP333" s="113"/>
      <c r="AGQ333" s="113"/>
      <c r="AGR333" s="113"/>
      <c r="AGS333" s="113"/>
      <c r="AGT333" s="113"/>
      <c r="AGU333" s="113"/>
      <c r="AGV333" s="113"/>
      <c r="AGW333" s="113"/>
      <c r="AGX333" s="113"/>
      <c r="AGY333" s="113"/>
      <c r="AGZ333" s="113"/>
      <c r="AHA333" s="113"/>
      <c r="AHB333" s="113"/>
      <c r="AHC333" s="113"/>
      <c r="AHD333" s="113"/>
      <c r="AHE333" s="113"/>
      <c r="AHF333" s="113"/>
      <c r="AHG333" s="113"/>
      <c r="AHH333" s="113"/>
      <c r="AHI333" s="113"/>
      <c r="AHJ333" s="113"/>
      <c r="AHK333" s="113"/>
      <c r="AHL333" s="113"/>
      <c r="AHM333" s="113"/>
      <c r="AHN333" s="113"/>
      <c r="AHO333" s="113"/>
      <c r="AHP333" s="113"/>
      <c r="AHQ333" s="113"/>
      <c r="AHR333" s="113"/>
      <c r="AHS333" s="113"/>
      <c r="AHT333" s="113"/>
      <c r="AHU333" s="113"/>
      <c r="AHV333" s="113"/>
      <c r="AHW333" s="113"/>
      <c r="AHX333" s="113"/>
      <c r="AHY333" s="113"/>
      <c r="AHZ333" s="113"/>
      <c r="AIA333" s="113"/>
      <c r="AIB333" s="113"/>
      <c r="AIC333" s="113"/>
      <c r="AID333" s="113"/>
      <c r="AIE333" s="113"/>
      <c r="AIF333" s="113"/>
      <c r="AIG333" s="113"/>
      <c r="AIH333" s="113"/>
      <c r="AII333" s="113"/>
      <c r="AIJ333" s="113"/>
      <c r="AIK333" s="113"/>
      <c r="AIL333" s="113"/>
      <c r="AIM333" s="113"/>
      <c r="AIN333" s="113"/>
      <c r="AIO333" s="113"/>
      <c r="AIP333" s="113"/>
      <c r="AIQ333" s="113"/>
      <c r="AIR333" s="113"/>
      <c r="AIS333" s="113"/>
      <c r="AIT333" s="113"/>
      <c r="AIU333" s="113"/>
      <c r="AIV333" s="113"/>
      <c r="AIW333" s="113"/>
      <c r="AIX333" s="113"/>
      <c r="AIY333" s="113"/>
      <c r="AIZ333" s="113"/>
    </row>
    <row r="334">
      <c r="A334" s="65" t="s">
        <v>17</v>
      </c>
      <c r="B334" s="65" t="s">
        <v>87</v>
      </c>
      <c r="C334" s="65"/>
      <c r="D334" s="64">
        <f t="shared" si="1"/>
        <v>502.5101</v>
      </c>
      <c r="G334" s="65">
        <v>0.867466666666667</v>
      </c>
      <c r="H334" s="65">
        <v>24.0391666666667</v>
      </c>
      <c r="I334" s="65">
        <v>52.9477833333334</v>
      </c>
      <c r="J334" s="65">
        <v>0.7787</v>
      </c>
      <c r="K334" s="65">
        <v>13.5241</v>
      </c>
      <c r="N334" s="65">
        <v>4.65068333333333</v>
      </c>
      <c r="R334" s="65">
        <v>6.5911</v>
      </c>
      <c r="S334" s="65">
        <v>35.0973666666667</v>
      </c>
      <c r="T334" s="65">
        <v>33.5862</v>
      </c>
      <c r="U334" s="65">
        <v>20.2519333333333</v>
      </c>
      <c r="Y334" s="65">
        <v>2.53248333333333</v>
      </c>
      <c r="Z334" s="65">
        <v>15.9684833333333</v>
      </c>
      <c r="AA334" s="65">
        <v>12.9067666666667</v>
      </c>
      <c r="AB334" s="65">
        <v>1.56005</v>
      </c>
      <c r="AF334" s="65">
        <v>10.3419166666667</v>
      </c>
      <c r="AG334" s="65">
        <v>75.0587166666667</v>
      </c>
      <c r="AH334" s="65">
        <v>67.61585</v>
      </c>
      <c r="AI334" s="65">
        <v>23.2586</v>
      </c>
      <c r="AL334" s="65">
        <v>23.08655</v>
      </c>
      <c r="AM334" s="65">
        <v>1.76195</v>
      </c>
      <c r="AQ334" s="65">
        <v>36.0525</v>
      </c>
      <c r="AR334" s="65">
        <v>2.16311666666667</v>
      </c>
      <c r="AU334" s="65">
        <v>37.8686166666667</v>
      </c>
    </row>
    <row r="335">
      <c r="A335" s="65" t="s">
        <v>17</v>
      </c>
      <c r="B335" s="65" t="s">
        <v>87</v>
      </c>
      <c r="C335" s="65"/>
      <c r="D335" s="64">
        <f t="shared" si="1"/>
        <v>0</v>
      </c>
    </row>
    <row r="336">
      <c r="A336" s="65" t="s">
        <v>17</v>
      </c>
      <c r="B336" s="65" t="s">
        <v>87</v>
      </c>
      <c r="C336" s="65"/>
      <c r="D336" s="64">
        <f t="shared" si="1"/>
        <v>501.4372167</v>
      </c>
      <c r="G336" s="118">
        <f>HYPERLINK("https://docs.google.com/spreadsheets/d/1ygR_PbEWKDzg-sQL53gJsVzetdkvrQGD", 0.867466666666667)</f>
        <v>0.8674666667</v>
      </c>
      <c r="H336" s="118">
        <f>HYPERLINK("https://docs.google.com/spreadsheets/d/1JGDIs0ByeP2Pa1jtCFz9K5WczWMT59T4", 24.0391333333333)</f>
        <v>24.03913333</v>
      </c>
      <c r="I336" s="118">
        <f>HYPERLINK("https://docs.google.com/spreadsheets/d/1s2nu5TBBm1G3ExM_tXBaGE8xGDMA09vN", 52.5016666666667)</f>
        <v>52.50166667</v>
      </c>
      <c r="J336" s="118">
        <f>HYPERLINK("https://docs.google.com/spreadsheets/d/1i3mI114VUwO1peg1MtPRdwR2JvbMW7IF", 0.45425)</f>
        <v>0.45425</v>
      </c>
      <c r="K336" s="118">
        <f>HYPERLINK("https://docs.google.com/spreadsheets/d/1oj-kLJkIpEdoBCfaWbUQr6ECjSCZBaYP", 13.3547166666667)</f>
        <v>13.35471667</v>
      </c>
      <c r="N336" s="118">
        <f>HYPERLINK("https://docs.google.com/spreadsheets/d/1HKCF6gtdTea3123-Kn4ryNsTsCTPYhYk", 4.65068333333333)</f>
        <v>4.650683333</v>
      </c>
      <c r="R336" s="118">
        <f>HYPERLINK("https://docs.google.com/spreadsheets/d/1WfR1ICEj6RVUOCbnkzpYCPDsqMYSPO8_", 6.5911)</f>
        <v>6.5911</v>
      </c>
      <c r="S336" s="118">
        <f>HYPERLINK("https://docs.google.com/spreadsheets/d/1H_OcueHwsRLZTZXxc4QNX8eO74KBisxw", 35.0973333333333)</f>
        <v>35.09733333</v>
      </c>
      <c r="T336" s="118">
        <f>HYPERLINK("https://docs.google.com/spreadsheets/d/1-gCONZ4g4B7ZR6W6VuFPo-SujYENH4yZ", 33.5861666666667)</f>
        <v>33.58616667</v>
      </c>
      <c r="U336" s="118">
        <f>HYPERLINK("https://docs.google.com/spreadsheets/d/1xV9TpqWDUjNx-wiHg0q1Ye-amg667xiN", 20.2519333333333)</f>
        <v>20.25193333</v>
      </c>
      <c r="Y336" s="118">
        <f>HYPERLINK("https://docs.google.com/spreadsheets/d/12roTqfaKYJjHDs8jtXUOeTgkbxQnl1_z", 2.53248333333333)</f>
        <v>2.532483333</v>
      </c>
      <c r="Z336" s="118">
        <f>HYPERLINK("https://docs.google.com/spreadsheets/d/1-YZkLE8sz_fK8zpVTKq87nWsu1cejArf", 15.9684833333333)</f>
        <v>15.96848333</v>
      </c>
      <c r="AA336" s="118">
        <f>HYPERLINK("https://docs.google.com/spreadsheets/d/1itJQ4thVruNXaxGESW4eGVMVLpsO9jzs", 12.9067833333333)</f>
        <v>12.90678333</v>
      </c>
      <c r="AB336" s="118">
        <f>HYPERLINK("https://docs.google.com/spreadsheets/d/1eyHZ7734bWTqcnGlxpe_Srqj9f9Mgii-", 1.56005)</f>
        <v>1.56005</v>
      </c>
      <c r="AF336" s="118">
        <f>HYPERLINK("https://docs.google.com/spreadsheets/d/1BGAZpeqJZi8zBmG6llMvgjwZA-5MxWjv", 10.3419166666667)</f>
        <v>10.34191667</v>
      </c>
      <c r="AG336" s="118">
        <f>HYPERLINK("https://docs.google.com/spreadsheets/d/1pP7umYmWjRxs19OYij6rDPxRoOzfoORs", 75.0586666666667)</f>
        <v>75.05866667</v>
      </c>
      <c r="AH336" s="118">
        <f>HYPERLINK("https://docs.google.com/spreadsheets/d/1d2hUUeQbI9k0sVHxV1cHr4ilik5AavLh", 67.6158333333333)</f>
        <v>67.61583333</v>
      </c>
      <c r="AI336" s="118">
        <f>HYPERLINK("https://docs.google.com/spreadsheets/d/1iI0lG0ySg4GhtSilQFCG3VZGRgeZAF4c", 23.1259)</f>
        <v>23.1259</v>
      </c>
      <c r="AL336" s="118">
        <f>HYPERLINK("https://docs.google.com/spreadsheets/d/1nFoR3dLoLrxZrZ5pcPv7UFTjflMK_pD8", 23.0865166666667)</f>
        <v>23.08651667</v>
      </c>
      <c r="AM336" s="118">
        <f>HYPERLINK("https://docs.google.com/spreadsheets/d/1PkkpZfcu_xLgOMv67yKrtlqNtD6WreQ-", 1.76195)</f>
        <v>1.76195</v>
      </c>
      <c r="AQ336" s="118">
        <f>HYPERLINK("https://docs.google.com/spreadsheets/d/1mIGl_tmaZcNKQCFApumqRIUX0S9R4CjU", 36.05245)</f>
        <v>36.05245</v>
      </c>
      <c r="AR336" s="118">
        <f>HYPERLINK("https://docs.google.com/spreadsheets/d/1C846L9vqSFUMvC8kA3Em8H_gvwO3papu", 2.16311666666667)</f>
        <v>2.163116667</v>
      </c>
      <c r="AU336" s="118">
        <f>HYPERLINK("https://docs.google.com/spreadsheets/d/1HWj6FbyAa4x6-NXRFldrUmpPo7Ni9EBT", 37.8686166666667)</f>
        <v>37.86861667</v>
      </c>
    </row>
    <row r="337">
      <c r="A337" s="65" t="s">
        <v>17</v>
      </c>
      <c r="B337" s="65" t="s">
        <v>87</v>
      </c>
      <c r="C337" s="65"/>
      <c r="D337" s="64">
        <f t="shared" si="1"/>
        <v>323.09155</v>
      </c>
      <c r="G337" s="65">
        <v>0.0994166666666667</v>
      </c>
      <c r="H337" s="65">
        <v>9.89798333333333</v>
      </c>
      <c r="I337" s="65">
        <v>37.0472333333334</v>
      </c>
      <c r="J337" s="65">
        <v>0.26995</v>
      </c>
      <c r="K337" s="65">
        <v>7.55623333333333</v>
      </c>
      <c r="N337" s="65">
        <v>2.1537</v>
      </c>
      <c r="R337" s="65">
        <v>2.4324</v>
      </c>
      <c r="S337" s="65">
        <v>14.76975</v>
      </c>
      <c r="T337" s="65">
        <v>21.03645</v>
      </c>
      <c r="U337" s="65">
        <v>12.2372666666667</v>
      </c>
      <c r="Y337" s="65">
        <v>0.732566666666667</v>
      </c>
      <c r="Z337" s="65">
        <v>7.95606666666667</v>
      </c>
      <c r="AA337" s="65">
        <v>8.94768333333333</v>
      </c>
      <c r="AB337" s="65">
        <v>0.834383333333333</v>
      </c>
      <c r="AF337" s="65">
        <v>3.91523333333333</v>
      </c>
      <c r="AG337" s="65">
        <v>38.89995</v>
      </c>
      <c r="AH337" s="65">
        <v>49.0767666666667</v>
      </c>
      <c r="AI337" s="65">
        <v>19.9244333333333</v>
      </c>
      <c r="AL337" s="65">
        <v>19.5468333333333</v>
      </c>
      <c r="AM337" s="65">
        <v>1.38785</v>
      </c>
      <c r="AQ337" s="65">
        <v>28.84085</v>
      </c>
      <c r="AR337" s="65">
        <v>1.65853333333333</v>
      </c>
      <c r="AU337" s="65">
        <v>33.8700166666667</v>
      </c>
    </row>
    <row r="338">
      <c r="A338" s="119" t="s">
        <v>17</v>
      </c>
      <c r="B338" s="119" t="s">
        <v>87</v>
      </c>
      <c r="C338" s="119"/>
      <c r="D338" s="120">
        <f t="shared" si="1"/>
        <v>0</v>
      </c>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c r="AA338" s="120"/>
      <c r="AB338" s="120"/>
      <c r="AC338" s="120"/>
      <c r="AD338" s="120"/>
      <c r="AE338" s="120"/>
      <c r="AF338" s="120"/>
      <c r="AG338" s="120"/>
      <c r="AH338" s="120"/>
      <c r="AI338" s="120"/>
      <c r="AJ338" s="120"/>
      <c r="AK338" s="120"/>
      <c r="AL338" s="120"/>
      <c r="AM338" s="120"/>
      <c r="AN338" s="120"/>
      <c r="AO338" s="120"/>
      <c r="AP338" s="120"/>
      <c r="AQ338" s="120"/>
      <c r="AR338" s="120"/>
      <c r="AS338" s="120"/>
      <c r="AT338" s="120"/>
      <c r="AU338" s="120"/>
      <c r="AV338" s="120"/>
      <c r="AW338" s="120"/>
      <c r="AX338" s="120"/>
      <c r="AY338" s="120"/>
      <c r="AZ338" s="120"/>
      <c r="BA338" s="120"/>
      <c r="BB338" s="120"/>
      <c r="BC338" s="120"/>
      <c r="BD338" s="120"/>
      <c r="BE338" s="120"/>
      <c r="BF338" s="120"/>
      <c r="BG338" s="120"/>
      <c r="BH338" s="120"/>
      <c r="BI338" s="120"/>
      <c r="BJ338" s="120"/>
      <c r="BK338" s="120"/>
      <c r="BL338" s="120"/>
      <c r="BM338" s="120"/>
      <c r="BN338" s="120"/>
      <c r="BO338" s="120"/>
      <c r="BP338" s="120"/>
      <c r="BQ338" s="120"/>
      <c r="BR338" s="120"/>
      <c r="BS338" s="120"/>
      <c r="BT338" s="120"/>
      <c r="BU338" s="120"/>
      <c r="BV338" s="120"/>
      <c r="BW338" s="120"/>
      <c r="BX338" s="120"/>
      <c r="BY338" s="120"/>
      <c r="BZ338" s="120"/>
      <c r="CA338" s="120"/>
      <c r="CB338" s="120"/>
      <c r="CC338" s="120"/>
      <c r="CD338" s="120"/>
      <c r="CE338" s="120"/>
      <c r="CF338" s="120"/>
      <c r="CG338" s="120"/>
      <c r="CH338" s="120"/>
      <c r="CI338" s="120"/>
      <c r="CJ338" s="120"/>
      <c r="CK338" s="120"/>
      <c r="CL338" s="120"/>
      <c r="CM338" s="120"/>
      <c r="CN338" s="120"/>
      <c r="CO338" s="120"/>
      <c r="CP338" s="120"/>
      <c r="CQ338" s="120"/>
      <c r="CR338" s="120"/>
      <c r="CS338" s="120"/>
      <c r="CT338" s="120"/>
      <c r="CU338" s="120"/>
      <c r="CV338" s="120"/>
      <c r="CW338" s="120"/>
      <c r="CX338" s="120"/>
      <c r="CY338" s="120"/>
      <c r="CZ338" s="120"/>
      <c r="DA338" s="120"/>
      <c r="DB338" s="120"/>
      <c r="DC338" s="120"/>
      <c r="DD338" s="120"/>
      <c r="DE338" s="120"/>
      <c r="DF338" s="120"/>
      <c r="DG338" s="120"/>
      <c r="DH338" s="120"/>
      <c r="DI338" s="120"/>
      <c r="DJ338" s="120"/>
      <c r="DK338" s="120"/>
      <c r="DL338" s="120"/>
      <c r="DM338" s="120"/>
      <c r="DN338" s="120"/>
      <c r="DO338" s="120"/>
      <c r="DP338" s="120"/>
      <c r="DQ338" s="120"/>
      <c r="DR338" s="120"/>
      <c r="DS338" s="120"/>
      <c r="DT338" s="120"/>
      <c r="DU338" s="120"/>
      <c r="DV338" s="120"/>
      <c r="DW338" s="120"/>
      <c r="DX338" s="120"/>
      <c r="DY338" s="120"/>
      <c r="DZ338" s="120"/>
      <c r="EA338" s="120"/>
      <c r="EB338" s="120"/>
      <c r="EC338" s="120"/>
      <c r="ED338" s="120"/>
      <c r="EE338" s="120"/>
      <c r="EF338" s="120"/>
      <c r="EG338" s="120"/>
      <c r="EH338" s="120"/>
      <c r="EI338" s="120"/>
      <c r="EJ338" s="120"/>
      <c r="EK338" s="120"/>
      <c r="EL338" s="120"/>
      <c r="EM338" s="120"/>
      <c r="EN338" s="120"/>
      <c r="EO338" s="120"/>
      <c r="EP338" s="120"/>
      <c r="EQ338" s="120"/>
      <c r="ER338" s="120"/>
      <c r="ES338" s="120"/>
      <c r="ET338" s="120"/>
      <c r="EU338" s="120"/>
      <c r="EV338" s="120"/>
      <c r="EW338" s="120"/>
      <c r="EX338" s="120"/>
      <c r="EY338" s="120"/>
      <c r="EZ338" s="120"/>
      <c r="FA338" s="120"/>
      <c r="FB338" s="120"/>
      <c r="FC338" s="120"/>
      <c r="FD338" s="120"/>
      <c r="FE338" s="120"/>
      <c r="FF338" s="120"/>
      <c r="FG338" s="120"/>
      <c r="FH338" s="120"/>
      <c r="FI338" s="120"/>
      <c r="FJ338" s="120"/>
      <c r="FK338" s="120"/>
      <c r="FL338" s="120"/>
      <c r="FM338" s="120"/>
      <c r="FN338" s="120"/>
      <c r="FO338" s="120"/>
      <c r="FP338" s="120"/>
      <c r="FQ338" s="120"/>
      <c r="FR338" s="120"/>
      <c r="FS338" s="120"/>
      <c r="FT338" s="120"/>
      <c r="FU338" s="120"/>
      <c r="FV338" s="120"/>
      <c r="FW338" s="120"/>
      <c r="FX338" s="120"/>
      <c r="FY338" s="120"/>
      <c r="FZ338" s="120"/>
      <c r="GA338" s="120"/>
      <c r="GB338" s="120"/>
      <c r="GC338" s="120"/>
      <c r="GD338" s="120"/>
      <c r="GE338" s="120"/>
      <c r="GF338" s="120"/>
      <c r="GG338" s="120"/>
      <c r="GH338" s="120"/>
      <c r="GI338" s="120"/>
      <c r="GJ338" s="120"/>
      <c r="GK338" s="120"/>
      <c r="GL338" s="120"/>
      <c r="GM338" s="120"/>
      <c r="GN338" s="120"/>
      <c r="GO338" s="120"/>
      <c r="GP338" s="120"/>
      <c r="GQ338" s="120"/>
      <c r="GR338" s="120"/>
      <c r="GS338" s="120"/>
      <c r="GT338" s="120"/>
      <c r="GU338" s="120"/>
      <c r="GV338" s="120"/>
      <c r="GW338" s="120"/>
      <c r="GX338" s="120"/>
      <c r="GY338" s="120"/>
      <c r="GZ338" s="120"/>
      <c r="HA338" s="120"/>
      <c r="HB338" s="120"/>
      <c r="HC338" s="120"/>
      <c r="HD338" s="120"/>
      <c r="HE338" s="120"/>
      <c r="HF338" s="120"/>
      <c r="HG338" s="120"/>
      <c r="HH338" s="120"/>
      <c r="HI338" s="120"/>
      <c r="HJ338" s="120"/>
      <c r="HK338" s="120"/>
      <c r="HL338" s="120"/>
      <c r="HM338" s="120"/>
      <c r="HN338" s="120"/>
      <c r="HO338" s="120"/>
      <c r="HP338" s="120"/>
      <c r="HQ338" s="120"/>
      <c r="HR338" s="120"/>
      <c r="HS338" s="120"/>
      <c r="HT338" s="120"/>
      <c r="HU338" s="120"/>
      <c r="HV338" s="120"/>
      <c r="HW338" s="120"/>
      <c r="HX338" s="120"/>
      <c r="HY338" s="120"/>
      <c r="HZ338" s="120"/>
      <c r="IA338" s="120"/>
      <c r="IB338" s="120"/>
      <c r="IC338" s="120"/>
      <c r="ID338" s="120"/>
      <c r="IE338" s="120"/>
      <c r="IF338" s="120"/>
      <c r="IG338" s="120"/>
      <c r="IH338" s="120"/>
      <c r="II338" s="120"/>
      <c r="IJ338" s="120"/>
      <c r="IK338" s="120"/>
      <c r="IL338" s="120"/>
      <c r="IM338" s="120"/>
      <c r="IN338" s="120"/>
      <c r="IO338" s="120"/>
      <c r="IP338" s="120"/>
      <c r="IQ338" s="120"/>
      <c r="IR338" s="120"/>
      <c r="IS338" s="120"/>
      <c r="IT338" s="120"/>
      <c r="IU338" s="120"/>
      <c r="IV338" s="120"/>
      <c r="IW338" s="120"/>
      <c r="IX338" s="120"/>
      <c r="IY338" s="120"/>
      <c r="IZ338" s="120"/>
      <c r="JA338" s="120"/>
      <c r="JB338" s="120"/>
      <c r="JC338" s="120"/>
      <c r="JD338" s="120"/>
      <c r="JE338" s="120"/>
      <c r="JF338" s="120"/>
      <c r="JG338" s="120"/>
      <c r="JH338" s="120"/>
      <c r="JI338" s="120"/>
      <c r="JJ338" s="120"/>
      <c r="JK338" s="120"/>
      <c r="JL338" s="120"/>
      <c r="JM338" s="120"/>
      <c r="JN338" s="120"/>
      <c r="JO338" s="120"/>
      <c r="JP338" s="120"/>
      <c r="JQ338" s="120"/>
      <c r="JR338" s="120"/>
      <c r="JS338" s="120"/>
      <c r="JT338" s="120"/>
      <c r="JU338" s="120"/>
      <c r="JV338" s="120"/>
      <c r="JW338" s="120"/>
      <c r="JX338" s="120"/>
      <c r="JY338" s="120"/>
      <c r="JZ338" s="120"/>
      <c r="KA338" s="120"/>
      <c r="KB338" s="120"/>
      <c r="KC338" s="120"/>
      <c r="KD338" s="120"/>
      <c r="KE338" s="120"/>
      <c r="KF338" s="120"/>
      <c r="KG338" s="120"/>
      <c r="KH338" s="120"/>
      <c r="KI338" s="120"/>
      <c r="KJ338" s="120"/>
      <c r="KK338" s="120"/>
      <c r="KL338" s="120"/>
      <c r="KM338" s="120"/>
      <c r="KN338" s="120"/>
      <c r="KO338" s="120"/>
      <c r="KP338" s="120"/>
      <c r="KQ338" s="120"/>
      <c r="KR338" s="120"/>
      <c r="KS338" s="120"/>
      <c r="KT338" s="120"/>
      <c r="KU338" s="120"/>
      <c r="KV338" s="120"/>
      <c r="KW338" s="120"/>
      <c r="KX338" s="120"/>
      <c r="KY338" s="120"/>
      <c r="KZ338" s="120"/>
      <c r="LA338" s="120"/>
      <c r="LB338" s="120"/>
      <c r="LC338" s="120"/>
      <c r="LD338" s="120"/>
      <c r="LE338" s="120"/>
      <c r="LF338" s="120"/>
      <c r="LG338" s="120"/>
      <c r="LH338" s="120"/>
      <c r="LI338" s="120"/>
      <c r="LJ338" s="120"/>
      <c r="LK338" s="120"/>
      <c r="LL338" s="120"/>
      <c r="LM338" s="120"/>
      <c r="LN338" s="120"/>
      <c r="LO338" s="120"/>
      <c r="LP338" s="120"/>
      <c r="LQ338" s="120"/>
      <c r="LR338" s="120"/>
      <c r="LS338" s="120"/>
      <c r="LT338" s="120"/>
      <c r="LU338" s="120"/>
      <c r="LV338" s="120"/>
      <c r="LW338" s="120"/>
      <c r="LX338" s="120"/>
      <c r="LY338" s="120"/>
      <c r="LZ338" s="120"/>
      <c r="MA338" s="120"/>
      <c r="MB338" s="120"/>
      <c r="MC338" s="120"/>
      <c r="MD338" s="120"/>
      <c r="ME338" s="120"/>
      <c r="MF338" s="120"/>
      <c r="MG338" s="120"/>
      <c r="MH338" s="120"/>
      <c r="MI338" s="120"/>
      <c r="MJ338" s="120"/>
      <c r="MK338" s="120"/>
      <c r="ML338" s="120"/>
      <c r="MM338" s="120"/>
      <c r="MN338" s="120"/>
      <c r="MO338" s="120"/>
      <c r="MP338" s="120"/>
      <c r="MQ338" s="120"/>
      <c r="MR338" s="120"/>
      <c r="MS338" s="120"/>
      <c r="MT338" s="120"/>
      <c r="MU338" s="120"/>
      <c r="MV338" s="120"/>
      <c r="MW338" s="120"/>
      <c r="MX338" s="120"/>
      <c r="MY338" s="120"/>
      <c r="MZ338" s="120"/>
      <c r="NA338" s="120"/>
      <c r="NB338" s="120"/>
      <c r="NC338" s="120"/>
      <c r="ND338" s="120"/>
      <c r="NE338" s="120"/>
      <c r="NF338" s="120"/>
      <c r="NG338" s="120"/>
      <c r="NH338" s="120"/>
      <c r="NI338" s="120"/>
      <c r="NJ338" s="120"/>
      <c r="NK338" s="120"/>
      <c r="NL338" s="120"/>
      <c r="NM338" s="120"/>
      <c r="NN338" s="120"/>
      <c r="NO338" s="120"/>
      <c r="NP338" s="120"/>
      <c r="NQ338" s="120"/>
      <c r="NR338" s="120"/>
      <c r="NS338" s="120"/>
      <c r="NT338" s="120"/>
      <c r="NU338" s="120"/>
      <c r="NV338" s="120"/>
      <c r="NW338" s="120"/>
      <c r="NX338" s="120"/>
      <c r="NY338" s="120"/>
      <c r="NZ338" s="120"/>
      <c r="OA338" s="120"/>
      <c r="OB338" s="120"/>
      <c r="OC338" s="120"/>
      <c r="OD338" s="120"/>
      <c r="OE338" s="120"/>
      <c r="OF338" s="120"/>
      <c r="OG338" s="120"/>
      <c r="OH338" s="120"/>
      <c r="OI338" s="120"/>
      <c r="OJ338" s="120"/>
      <c r="OK338" s="120"/>
      <c r="OL338" s="120"/>
      <c r="OM338" s="120"/>
      <c r="ON338" s="120"/>
      <c r="OO338" s="120"/>
      <c r="OP338" s="120"/>
      <c r="OQ338" s="120"/>
      <c r="OR338" s="120"/>
      <c r="OS338" s="120"/>
      <c r="OT338" s="120"/>
      <c r="OU338" s="120"/>
      <c r="OV338" s="120"/>
      <c r="OW338" s="120"/>
      <c r="OX338" s="120"/>
      <c r="OY338" s="120"/>
      <c r="OZ338" s="120"/>
      <c r="PA338" s="120"/>
      <c r="PB338" s="120"/>
      <c r="PC338" s="120"/>
      <c r="PD338" s="120"/>
      <c r="PE338" s="120"/>
      <c r="PF338" s="120"/>
      <c r="PG338" s="120"/>
      <c r="PH338" s="120"/>
      <c r="PI338" s="120"/>
      <c r="PJ338" s="120"/>
      <c r="PK338" s="120"/>
      <c r="PL338" s="120"/>
      <c r="PM338" s="120"/>
      <c r="PN338" s="120"/>
      <c r="PO338" s="120"/>
      <c r="PP338" s="120"/>
      <c r="PQ338" s="120"/>
      <c r="PR338" s="120"/>
      <c r="PS338" s="120"/>
      <c r="PT338" s="120"/>
      <c r="PU338" s="120"/>
      <c r="PV338" s="120"/>
      <c r="PW338" s="120"/>
      <c r="PX338" s="120"/>
      <c r="PY338" s="120"/>
      <c r="PZ338" s="120"/>
      <c r="QA338" s="120"/>
      <c r="QB338" s="120"/>
      <c r="QC338" s="120"/>
      <c r="QD338" s="120"/>
      <c r="QE338" s="120"/>
      <c r="QF338" s="120"/>
      <c r="QG338" s="120"/>
      <c r="QH338" s="120"/>
      <c r="QI338" s="120"/>
      <c r="QJ338" s="120"/>
      <c r="QK338" s="120"/>
      <c r="QL338" s="120"/>
      <c r="QM338" s="120"/>
      <c r="QN338" s="120"/>
      <c r="QO338" s="120"/>
      <c r="QP338" s="120"/>
      <c r="QQ338" s="120"/>
      <c r="QR338" s="120"/>
      <c r="QS338" s="120"/>
      <c r="QT338" s="120"/>
      <c r="QU338" s="120"/>
      <c r="QV338" s="120"/>
      <c r="QW338" s="120"/>
      <c r="QX338" s="120"/>
      <c r="QY338" s="120"/>
      <c r="QZ338" s="120"/>
      <c r="RA338" s="120"/>
      <c r="RB338" s="120"/>
      <c r="RC338" s="120"/>
      <c r="RD338" s="120"/>
      <c r="RE338" s="120"/>
      <c r="RF338" s="120"/>
      <c r="RG338" s="120"/>
      <c r="RH338" s="120"/>
      <c r="RI338" s="120"/>
      <c r="RJ338" s="120"/>
      <c r="RK338" s="120"/>
      <c r="RL338" s="120"/>
      <c r="RM338" s="120"/>
      <c r="RN338" s="120"/>
      <c r="RO338" s="120"/>
      <c r="RP338" s="120"/>
      <c r="RQ338" s="120"/>
      <c r="RR338" s="120"/>
      <c r="RS338" s="120"/>
      <c r="RT338" s="120"/>
      <c r="RU338" s="120"/>
      <c r="RV338" s="120"/>
      <c r="RW338" s="120"/>
      <c r="RX338" s="120"/>
      <c r="RY338" s="120"/>
      <c r="RZ338" s="120"/>
      <c r="SA338" s="120"/>
      <c r="SB338" s="120"/>
      <c r="SC338" s="120"/>
      <c r="SD338" s="120"/>
      <c r="SE338" s="120"/>
      <c r="SF338" s="120"/>
      <c r="SG338" s="120"/>
      <c r="SH338" s="120"/>
      <c r="SI338" s="120"/>
      <c r="SJ338" s="120"/>
      <c r="SK338" s="120"/>
      <c r="SL338" s="120"/>
      <c r="SM338" s="120"/>
      <c r="SN338" s="120"/>
      <c r="SO338" s="120"/>
      <c r="SP338" s="120"/>
      <c r="SQ338" s="120"/>
      <c r="SR338" s="120"/>
      <c r="SS338" s="120"/>
      <c r="ST338" s="120"/>
      <c r="SU338" s="120"/>
      <c r="SV338" s="120"/>
      <c r="SW338" s="120"/>
      <c r="SX338" s="120"/>
      <c r="SY338" s="120"/>
      <c r="SZ338" s="120"/>
      <c r="TA338" s="120"/>
      <c r="TB338" s="120"/>
      <c r="TC338" s="120"/>
      <c r="TD338" s="120"/>
      <c r="TE338" s="120"/>
      <c r="TF338" s="120"/>
      <c r="TG338" s="120"/>
      <c r="TH338" s="120"/>
      <c r="TI338" s="120"/>
      <c r="TJ338" s="120"/>
      <c r="TK338" s="120"/>
      <c r="TL338" s="120"/>
      <c r="TM338" s="120"/>
      <c r="TN338" s="120"/>
      <c r="TO338" s="120"/>
      <c r="TP338" s="120"/>
      <c r="TQ338" s="120"/>
      <c r="TR338" s="120"/>
      <c r="TS338" s="120"/>
      <c r="TT338" s="120"/>
      <c r="TU338" s="120"/>
      <c r="TV338" s="120"/>
      <c r="TW338" s="120"/>
      <c r="TX338" s="120"/>
      <c r="TY338" s="120"/>
      <c r="TZ338" s="120"/>
      <c r="UA338" s="120"/>
      <c r="UB338" s="120"/>
      <c r="UC338" s="120"/>
      <c r="UD338" s="120"/>
      <c r="UE338" s="120"/>
      <c r="UF338" s="120"/>
      <c r="UG338" s="120"/>
      <c r="UH338" s="120"/>
      <c r="UI338" s="120"/>
      <c r="UJ338" s="120"/>
      <c r="UK338" s="120"/>
      <c r="UL338" s="120"/>
      <c r="UM338" s="120"/>
      <c r="UN338" s="120"/>
      <c r="UO338" s="120"/>
      <c r="UP338" s="120"/>
      <c r="UQ338" s="120"/>
      <c r="UR338" s="120"/>
      <c r="US338" s="120"/>
      <c r="UT338" s="120"/>
      <c r="UU338" s="120"/>
      <c r="UV338" s="120"/>
      <c r="UW338" s="120"/>
      <c r="UX338" s="120"/>
      <c r="UY338" s="120"/>
      <c r="UZ338" s="120"/>
      <c r="VA338" s="120"/>
      <c r="VB338" s="120"/>
      <c r="VC338" s="120"/>
      <c r="VD338" s="120"/>
      <c r="VE338" s="120"/>
      <c r="VF338" s="120"/>
      <c r="VG338" s="120"/>
      <c r="VH338" s="120"/>
      <c r="VI338" s="120"/>
      <c r="VJ338" s="120"/>
      <c r="VK338" s="120"/>
      <c r="VL338" s="120"/>
      <c r="VM338" s="120"/>
      <c r="VN338" s="120"/>
      <c r="VO338" s="120"/>
      <c r="VP338" s="120"/>
      <c r="VQ338" s="120"/>
      <c r="VR338" s="120"/>
      <c r="VS338" s="120"/>
      <c r="VT338" s="120"/>
      <c r="VU338" s="120"/>
      <c r="VV338" s="120"/>
      <c r="VW338" s="120"/>
      <c r="VX338" s="120"/>
      <c r="VY338" s="120"/>
      <c r="VZ338" s="120"/>
      <c r="WA338" s="120"/>
      <c r="WB338" s="120"/>
      <c r="WC338" s="120"/>
      <c r="WD338" s="120"/>
      <c r="WE338" s="120"/>
      <c r="WF338" s="120"/>
      <c r="WG338" s="120"/>
      <c r="WH338" s="120"/>
      <c r="WI338" s="120"/>
      <c r="WJ338" s="120"/>
      <c r="WK338" s="120"/>
      <c r="WL338" s="120"/>
      <c r="WM338" s="120"/>
      <c r="WN338" s="120"/>
      <c r="WO338" s="120"/>
      <c r="WP338" s="120"/>
      <c r="WQ338" s="120"/>
      <c r="WR338" s="120"/>
      <c r="WS338" s="120"/>
      <c r="WT338" s="120"/>
      <c r="WU338" s="120"/>
      <c r="WV338" s="120"/>
      <c r="WW338" s="120"/>
      <c r="WX338" s="120"/>
      <c r="WY338" s="120"/>
      <c r="WZ338" s="120"/>
      <c r="XA338" s="120"/>
      <c r="XB338" s="120"/>
      <c r="XC338" s="120"/>
      <c r="XD338" s="120"/>
      <c r="XE338" s="120"/>
      <c r="XF338" s="120"/>
      <c r="XG338" s="120"/>
      <c r="XH338" s="120"/>
      <c r="XI338" s="120"/>
      <c r="XJ338" s="120"/>
      <c r="XK338" s="120"/>
      <c r="XL338" s="120"/>
      <c r="XM338" s="120"/>
      <c r="XN338" s="120"/>
      <c r="XO338" s="120"/>
      <c r="XP338" s="120"/>
      <c r="XQ338" s="120"/>
      <c r="XR338" s="120"/>
      <c r="XS338" s="120"/>
      <c r="XT338" s="120"/>
      <c r="XU338" s="120"/>
      <c r="XV338" s="120"/>
      <c r="XW338" s="120"/>
      <c r="XX338" s="120"/>
      <c r="XY338" s="120"/>
      <c r="XZ338" s="120"/>
      <c r="YA338" s="120"/>
      <c r="YB338" s="120"/>
      <c r="YC338" s="120"/>
      <c r="YD338" s="120"/>
      <c r="YE338" s="120"/>
      <c r="YF338" s="120"/>
      <c r="YG338" s="120"/>
      <c r="YH338" s="120"/>
      <c r="YI338" s="120"/>
      <c r="YJ338" s="120"/>
      <c r="YK338" s="120"/>
      <c r="YL338" s="120"/>
      <c r="YM338" s="120"/>
      <c r="YN338" s="120"/>
      <c r="YO338" s="120"/>
      <c r="YP338" s="120"/>
      <c r="YQ338" s="120"/>
      <c r="YR338" s="120"/>
      <c r="YS338" s="120"/>
      <c r="YT338" s="120"/>
      <c r="YU338" s="120"/>
      <c r="YV338" s="120"/>
      <c r="YW338" s="120"/>
      <c r="YX338" s="120"/>
      <c r="YY338" s="120"/>
      <c r="YZ338" s="120"/>
      <c r="ZA338" s="120"/>
      <c r="ZB338" s="120"/>
      <c r="ZC338" s="120"/>
      <c r="ZD338" s="120"/>
      <c r="ZE338" s="120"/>
      <c r="ZF338" s="120"/>
      <c r="ZG338" s="120"/>
      <c r="ZH338" s="120"/>
      <c r="ZI338" s="120"/>
      <c r="ZJ338" s="120"/>
      <c r="ZK338" s="120"/>
      <c r="ZL338" s="120"/>
      <c r="ZM338" s="120"/>
      <c r="ZN338" s="120"/>
      <c r="ZO338" s="120"/>
      <c r="ZP338" s="120"/>
      <c r="ZQ338" s="120"/>
      <c r="ZR338" s="120"/>
      <c r="ZS338" s="120"/>
      <c r="ZT338" s="120"/>
      <c r="ZU338" s="120"/>
      <c r="ZV338" s="120"/>
      <c r="ZW338" s="120"/>
      <c r="ZX338" s="120"/>
      <c r="ZY338" s="120"/>
      <c r="ZZ338" s="120"/>
      <c r="AAA338" s="120"/>
      <c r="AAB338" s="120"/>
      <c r="AAC338" s="120"/>
      <c r="AAD338" s="120"/>
      <c r="AAE338" s="120"/>
      <c r="AAF338" s="120"/>
      <c r="AAG338" s="120"/>
      <c r="AAH338" s="120"/>
      <c r="AAI338" s="120"/>
      <c r="AAJ338" s="120"/>
      <c r="AAK338" s="120"/>
      <c r="AAL338" s="120"/>
      <c r="AAM338" s="120"/>
      <c r="AAN338" s="120"/>
      <c r="AAO338" s="120"/>
      <c r="AAP338" s="120"/>
      <c r="AAQ338" s="120"/>
      <c r="AAR338" s="120"/>
      <c r="AAS338" s="120"/>
      <c r="AAT338" s="120"/>
      <c r="AAU338" s="120"/>
      <c r="AAV338" s="120"/>
      <c r="AAW338" s="120"/>
      <c r="AAX338" s="120"/>
      <c r="AAY338" s="120"/>
      <c r="AAZ338" s="120"/>
      <c r="ABA338" s="120"/>
      <c r="ABB338" s="120"/>
      <c r="ABC338" s="120"/>
      <c r="ABD338" s="120"/>
      <c r="ABE338" s="120"/>
      <c r="ABF338" s="120"/>
      <c r="ABG338" s="120"/>
      <c r="ABH338" s="120"/>
      <c r="ABI338" s="120"/>
      <c r="ABJ338" s="120"/>
      <c r="ABK338" s="120"/>
      <c r="ABL338" s="120"/>
      <c r="ABM338" s="120"/>
      <c r="ABN338" s="120"/>
      <c r="ABO338" s="120"/>
      <c r="ABP338" s="120"/>
      <c r="ABQ338" s="120"/>
      <c r="ABR338" s="120"/>
      <c r="ABS338" s="120"/>
      <c r="ABT338" s="120"/>
      <c r="ABU338" s="120"/>
      <c r="ABV338" s="120"/>
      <c r="ABW338" s="120"/>
      <c r="ABX338" s="120"/>
      <c r="ABY338" s="120"/>
      <c r="ABZ338" s="120"/>
      <c r="ACA338" s="120"/>
      <c r="ACB338" s="120"/>
      <c r="ACC338" s="120"/>
      <c r="ACD338" s="120"/>
      <c r="ACE338" s="120"/>
      <c r="ACF338" s="120"/>
      <c r="ACG338" s="120"/>
      <c r="ACH338" s="120"/>
      <c r="ACI338" s="120"/>
      <c r="ACJ338" s="120"/>
      <c r="ACK338" s="120"/>
      <c r="ACL338" s="120"/>
      <c r="ACM338" s="120"/>
      <c r="ACN338" s="120"/>
      <c r="ACO338" s="120"/>
      <c r="ACP338" s="120"/>
      <c r="ACQ338" s="120"/>
      <c r="ACR338" s="120"/>
      <c r="ACS338" s="120"/>
      <c r="ACT338" s="120"/>
      <c r="ACU338" s="120"/>
      <c r="ACV338" s="120"/>
      <c r="ACW338" s="120"/>
      <c r="ACX338" s="120"/>
      <c r="ACY338" s="120"/>
      <c r="ACZ338" s="120"/>
      <c r="ADA338" s="120"/>
      <c r="ADB338" s="120"/>
      <c r="ADC338" s="120"/>
      <c r="ADD338" s="120"/>
      <c r="ADE338" s="120"/>
      <c r="ADF338" s="120"/>
      <c r="ADG338" s="120"/>
      <c r="ADH338" s="120"/>
      <c r="ADI338" s="120"/>
      <c r="ADJ338" s="120"/>
      <c r="ADK338" s="120"/>
      <c r="ADL338" s="120"/>
      <c r="ADM338" s="120"/>
      <c r="ADN338" s="120"/>
      <c r="ADO338" s="120"/>
      <c r="ADP338" s="120"/>
      <c r="ADQ338" s="120"/>
      <c r="ADR338" s="120"/>
      <c r="ADS338" s="120"/>
      <c r="ADT338" s="120"/>
      <c r="ADU338" s="120"/>
      <c r="ADV338" s="120"/>
      <c r="ADW338" s="120"/>
      <c r="ADX338" s="120"/>
      <c r="ADY338" s="120"/>
      <c r="ADZ338" s="120"/>
      <c r="AEA338" s="120"/>
      <c r="AEB338" s="120"/>
      <c r="AEC338" s="120"/>
      <c r="AED338" s="120"/>
      <c r="AEE338" s="120"/>
      <c r="AEF338" s="120"/>
      <c r="AEG338" s="120"/>
      <c r="AEH338" s="120"/>
      <c r="AEI338" s="120"/>
      <c r="AEJ338" s="120"/>
      <c r="AEK338" s="120"/>
      <c r="AEL338" s="120"/>
      <c r="AEM338" s="120"/>
      <c r="AEN338" s="120"/>
      <c r="AEO338" s="120"/>
      <c r="AEP338" s="120"/>
      <c r="AEQ338" s="120"/>
      <c r="AER338" s="120"/>
      <c r="AES338" s="120"/>
      <c r="AET338" s="120"/>
      <c r="AEU338" s="120"/>
      <c r="AEV338" s="120"/>
      <c r="AEW338" s="120"/>
      <c r="AEX338" s="120"/>
      <c r="AEY338" s="120"/>
      <c r="AEZ338" s="120"/>
      <c r="AFA338" s="120"/>
      <c r="AFB338" s="120"/>
      <c r="AFC338" s="120"/>
      <c r="AFD338" s="120"/>
      <c r="AFE338" s="120"/>
      <c r="AFF338" s="120"/>
      <c r="AFG338" s="120"/>
      <c r="AFH338" s="120"/>
      <c r="AFI338" s="120"/>
      <c r="AFJ338" s="120"/>
      <c r="AFK338" s="120"/>
      <c r="AFL338" s="120"/>
      <c r="AFM338" s="120"/>
      <c r="AFN338" s="120"/>
      <c r="AFO338" s="120"/>
      <c r="AFP338" s="120"/>
      <c r="AFQ338" s="120"/>
      <c r="AFR338" s="120"/>
      <c r="AFS338" s="120"/>
      <c r="AFT338" s="120"/>
      <c r="AFU338" s="120"/>
      <c r="AFV338" s="120"/>
      <c r="AFW338" s="120"/>
      <c r="AFX338" s="120"/>
      <c r="AFY338" s="120"/>
      <c r="AFZ338" s="120"/>
      <c r="AGA338" s="120"/>
      <c r="AGB338" s="120"/>
      <c r="AGC338" s="120"/>
      <c r="AGD338" s="120"/>
      <c r="AGE338" s="120"/>
      <c r="AGF338" s="120"/>
      <c r="AGG338" s="120"/>
      <c r="AGH338" s="120"/>
      <c r="AGI338" s="120"/>
      <c r="AGJ338" s="120"/>
      <c r="AGK338" s="120"/>
      <c r="AGL338" s="120"/>
      <c r="AGM338" s="120"/>
      <c r="AGN338" s="120"/>
      <c r="AGO338" s="120"/>
      <c r="AGP338" s="120"/>
      <c r="AGQ338" s="120"/>
      <c r="AGR338" s="120"/>
      <c r="AGS338" s="120"/>
      <c r="AGT338" s="120"/>
      <c r="AGU338" s="120"/>
      <c r="AGV338" s="120"/>
      <c r="AGW338" s="120"/>
      <c r="AGX338" s="120"/>
      <c r="AGY338" s="120"/>
      <c r="AGZ338" s="120"/>
      <c r="AHA338" s="120"/>
      <c r="AHB338" s="120"/>
      <c r="AHC338" s="120"/>
      <c r="AHD338" s="120"/>
      <c r="AHE338" s="120"/>
      <c r="AHF338" s="120"/>
      <c r="AHG338" s="120"/>
      <c r="AHH338" s="120"/>
      <c r="AHI338" s="120"/>
      <c r="AHJ338" s="120"/>
      <c r="AHK338" s="120"/>
      <c r="AHL338" s="120"/>
      <c r="AHM338" s="120"/>
      <c r="AHN338" s="120"/>
      <c r="AHO338" s="120"/>
      <c r="AHP338" s="120"/>
      <c r="AHQ338" s="120"/>
      <c r="AHR338" s="120"/>
      <c r="AHS338" s="120"/>
      <c r="AHT338" s="120"/>
      <c r="AHU338" s="120"/>
      <c r="AHV338" s="120"/>
      <c r="AHW338" s="120"/>
      <c r="AHX338" s="120"/>
      <c r="AHY338" s="120"/>
      <c r="AHZ338" s="120"/>
      <c r="AIA338" s="120"/>
      <c r="AIB338" s="120"/>
      <c r="AIC338" s="120"/>
      <c r="AID338" s="120"/>
      <c r="AIE338" s="120"/>
      <c r="AIF338" s="120"/>
      <c r="AIG338" s="120"/>
      <c r="AIH338" s="120"/>
      <c r="AII338" s="120"/>
      <c r="AIJ338" s="120"/>
      <c r="AIK338" s="120"/>
      <c r="AIL338" s="120"/>
      <c r="AIM338" s="120"/>
      <c r="AIN338" s="120"/>
      <c r="AIO338" s="120"/>
      <c r="AIP338" s="120"/>
      <c r="AIQ338" s="120"/>
      <c r="AIR338" s="120"/>
      <c r="AIS338" s="120"/>
      <c r="AIT338" s="120"/>
      <c r="AIU338" s="120"/>
      <c r="AIV338" s="120"/>
      <c r="AIW338" s="120"/>
      <c r="AIX338" s="120"/>
      <c r="AIY338" s="120"/>
      <c r="AIZ338" s="120"/>
    </row>
    <row r="339">
      <c r="A339" s="112" t="s">
        <v>88</v>
      </c>
      <c r="B339" s="112" t="s">
        <v>89</v>
      </c>
      <c r="C339" s="112"/>
      <c r="D339" s="113">
        <f t="shared" si="1"/>
        <v>611.08545</v>
      </c>
      <c r="E339" s="112">
        <v>82.5991499999999</v>
      </c>
      <c r="F339" s="113"/>
      <c r="G339" s="113"/>
      <c r="H339" s="113"/>
      <c r="I339" s="113"/>
      <c r="J339" s="113"/>
      <c r="K339" s="113"/>
      <c r="L339" s="112">
        <v>1.50491666666667</v>
      </c>
      <c r="M339" s="112">
        <v>4.5858</v>
      </c>
      <c r="N339" s="113"/>
      <c r="O339" s="113"/>
      <c r="P339" s="112">
        <v>40.3772166666666</v>
      </c>
      <c r="Q339" s="113"/>
      <c r="R339" s="113"/>
      <c r="S339" s="113"/>
      <c r="T339" s="113"/>
      <c r="U339" s="113"/>
      <c r="V339" s="112">
        <v>0.49625</v>
      </c>
      <c r="W339" s="112">
        <v>34.1907</v>
      </c>
      <c r="X339" s="113"/>
      <c r="Y339" s="113"/>
      <c r="Z339" s="113"/>
      <c r="AA339" s="113"/>
      <c r="AB339" s="113"/>
      <c r="AC339" s="112">
        <v>1.76528333333333</v>
      </c>
      <c r="AD339" s="112">
        <v>68.5347000000001</v>
      </c>
      <c r="AE339" s="113"/>
      <c r="AF339" s="113"/>
      <c r="AG339" s="113"/>
      <c r="AH339" s="113"/>
      <c r="AI339" s="113"/>
      <c r="AJ339" s="112">
        <v>0.730383333333333</v>
      </c>
      <c r="AK339" s="112">
        <v>136.313083333333</v>
      </c>
      <c r="AL339" s="113"/>
      <c r="AM339" s="113"/>
      <c r="AN339" s="113"/>
      <c r="AO339" s="112">
        <v>2.77346666666667</v>
      </c>
      <c r="AP339" s="112">
        <v>64.9132000000001</v>
      </c>
      <c r="AQ339" s="113"/>
      <c r="AR339" s="113"/>
      <c r="AS339" s="112">
        <v>3.98676666666667</v>
      </c>
      <c r="AT339" s="112">
        <v>161.54945</v>
      </c>
      <c r="AU339" s="113"/>
      <c r="AV339" s="112">
        <v>6.45511666666667</v>
      </c>
      <c r="AW339" s="112">
        <v>0.309966666666667</v>
      </c>
      <c r="AX339" s="113"/>
      <c r="AY339" s="113"/>
      <c r="AZ339" s="113"/>
      <c r="BA339" s="113"/>
      <c r="BB339" s="113"/>
      <c r="BC339" s="113"/>
      <c r="BD339" s="113"/>
      <c r="BE339" s="113"/>
      <c r="BF339" s="113"/>
      <c r="BG339" s="113"/>
      <c r="BH339" s="113"/>
      <c r="BI339" s="113"/>
      <c r="BJ339" s="113"/>
      <c r="BK339" s="113"/>
      <c r="BL339" s="113"/>
      <c r="BM339" s="113"/>
      <c r="BN339" s="113"/>
      <c r="BO339" s="113"/>
      <c r="BP339" s="113"/>
      <c r="BQ339" s="113"/>
      <c r="BR339" s="113"/>
      <c r="BS339" s="113"/>
      <c r="BT339" s="113"/>
      <c r="BU339" s="113"/>
      <c r="BV339" s="113"/>
      <c r="BW339" s="113"/>
      <c r="BX339" s="113"/>
      <c r="BY339" s="113"/>
      <c r="BZ339" s="113"/>
      <c r="CA339" s="113"/>
      <c r="CB339" s="113"/>
      <c r="CC339" s="113"/>
      <c r="CD339" s="113"/>
      <c r="CE339" s="113"/>
      <c r="CF339" s="113"/>
      <c r="CG339" s="113"/>
      <c r="CH339" s="113"/>
      <c r="CI339" s="113"/>
      <c r="CJ339" s="113"/>
      <c r="CK339" s="113"/>
      <c r="CL339" s="113"/>
      <c r="CM339" s="113"/>
      <c r="CN339" s="113"/>
      <c r="CO339" s="113"/>
      <c r="CP339" s="113"/>
      <c r="CQ339" s="113"/>
      <c r="CR339" s="113"/>
      <c r="CS339" s="113"/>
      <c r="CT339" s="113"/>
      <c r="CU339" s="113"/>
      <c r="CV339" s="113"/>
      <c r="CW339" s="113"/>
      <c r="CX339" s="113"/>
      <c r="CY339" s="113"/>
      <c r="CZ339" s="113"/>
      <c r="DA339" s="113"/>
      <c r="DB339" s="113"/>
      <c r="DC339" s="113"/>
      <c r="DD339" s="113"/>
      <c r="DE339" s="113"/>
      <c r="DF339" s="113"/>
      <c r="DG339" s="113"/>
      <c r="DH339" s="113"/>
      <c r="DI339" s="113"/>
      <c r="DJ339" s="113"/>
      <c r="DK339" s="113"/>
      <c r="DL339" s="113"/>
      <c r="DM339" s="113"/>
      <c r="DN339" s="113"/>
      <c r="DO339" s="113"/>
      <c r="DP339" s="113"/>
      <c r="DQ339" s="113"/>
      <c r="DR339" s="113"/>
      <c r="DS339" s="113"/>
      <c r="DT339" s="113"/>
      <c r="DU339" s="113"/>
      <c r="DV339" s="113"/>
      <c r="DW339" s="113"/>
      <c r="DX339" s="113"/>
      <c r="DY339" s="113"/>
      <c r="DZ339" s="113"/>
      <c r="EA339" s="113"/>
      <c r="EB339" s="113"/>
      <c r="EC339" s="113"/>
      <c r="ED339" s="113"/>
      <c r="EE339" s="113"/>
      <c r="EF339" s="113"/>
      <c r="EG339" s="113"/>
      <c r="EH339" s="113"/>
      <c r="EI339" s="113"/>
      <c r="EJ339" s="113"/>
      <c r="EK339" s="113"/>
      <c r="EL339" s="113"/>
      <c r="EM339" s="113"/>
      <c r="EN339" s="113"/>
      <c r="EO339" s="113"/>
      <c r="EP339" s="113"/>
      <c r="EQ339" s="113"/>
      <c r="ER339" s="113"/>
      <c r="ES339" s="113"/>
      <c r="ET339" s="113"/>
      <c r="EU339" s="113"/>
      <c r="EV339" s="113"/>
      <c r="EW339" s="113"/>
      <c r="EX339" s="113"/>
      <c r="EY339" s="113"/>
      <c r="EZ339" s="113"/>
      <c r="FA339" s="113"/>
      <c r="FB339" s="113"/>
      <c r="FC339" s="113"/>
      <c r="FD339" s="113"/>
      <c r="FE339" s="113"/>
      <c r="FF339" s="113"/>
      <c r="FG339" s="113"/>
      <c r="FH339" s="113"/>
      <c r="FI339" s="113"/>
      <c r="FJ339" s="113"/>
      <c r="FK339" s="113"/>
      <c r="FL339" s="113"/>
      <c r="FM339" s="113"/>
      <c r="FN339" s="113"/>
      <c r="FO339" s="113"/>
      <c r="FP339" s="113"/>
      <c r="FQ339" s="113"/>
      <c r="FR339" s="113"/>
      <c r="FS339" s="113"/>
      <c r="FT339" s="113"/>
      <c r="FU339" s="113"/>
      <c r="FV339" s="113"/>
      <c r="FW339" s="113"/>
      <c r="FX339" s="113"/>
      <c r="FY339" s="113"/>
      <c r="FZ339" s="113"/>
      <c r="GA339" s="113"/>
      <c r="GB339" s="113"/>
      <c r="GC339" s="113"/>
      <c r="GD339" s="113"/>
      <c r="GE339" s="113"/>
      <c r="GF339" s="113"/>
      <c r="GG339" s="113"/>
      <c r="GH339" s="113"/>
      <c r="GI339" s="113"/>
      <c r="GJ339" s="113"/>
      <c r="GK339" s="113"/>
      <c r="GL339" s="113"/>
      <c r="GM339" s="113"/>
      <c r="GN339" s="113"/>
      <c r="GO339" s="113"/>
      <c r="GP339" s="113"/>
      <c r="GQ339" s="113"/>
      <c r="GR339" s="113"/>
      <c r="GS339" s="113"/>
      <c r="GT339" s="113"/>
      <c r="GU339" s="113"/>
      <c r="GV339" s="113"/>
      <c r="GW339" s="113"/>
      <c r="GX339" s="113"/>
      <c r="GY339" s="113"/>
      <c r="GZ339" s="113"/>
      <c r="HA339" s="113"/>
      <c r="HB339" s="113"/>
      <c r="HC339" s="113"/>
      <c r="HD339" s="113"/>
      <c r="HE339" s="113"/>
      <c r="HF339" s="113"/>
      <c r="HG339" s="113"/>
      <c r="HH339" s="113"/>
      <c r="HI339" s="113"/>
      <c r="HJ339" s="113"/>
      <c r="HK339" s="113"/>
      <c r="HL339" s="113"/>
      <c r="HM339" s="113"/>
      <c r="HN339" s="113"/>
      <c r="HO339" s="113"/>
      <c r="HP339" s="113"/>
      <c r="HQ339" s="113"/>
      <c r="HR339" s="113"/>
      <c r="HS339" s="113"/>
      <c r="HT339" s="113"/>
      <c r="HU339" s="113"/>
      <c r="HV339" s="113"/>
      <c r="HW339" s="113"/>
      <c r="HX339" s="113"/>
      <c r="HY339" s="113"/>
      <c r="HZ339" s="113"/>
      <c r="IA339" s="113"/>
      <c r="IB339" s="113"/>
      <c r="IC339" s="113"/>
      <c r="ID339" s="113"/>
      <c r="IE339" s="113"/>
      <c r="IF339" s="113"/>
      <c r="IG339" s="113"/>
      <c r="IH339" s="113"/>
      <c r="II339" s="113"/>
      <c r="IJ339" s="113"/>
      <c r="IK339" s="113"/>
      <c r="IL339" s="113"/>
      <c r="IM339" s="113"/>
      <c r="IN339" s="113"/>
      <c r="IO339" s="113"/>
      <c r="IP339" s="113"/>
      <c r="IQ339" s="113"/>
      <c r="IR339" s="113"/>
      <c r="IS339" s="113"/>
      <c r="IT339" s="113"/>
      <c r="IU339" s="113"/>
      <c r="IV339" s="113"/>
      <c r="IW339" s="113"/>
      <c r="IX339" s="113"/>
      <c r="IY339" s="113"/>
      <c r="IZ339" s="113"/>
      <c r="JA339" s="113"/>
      <c r="JB339" s="113"/>
      <c r="JC339" s="113"/>
      <c r="JD339" s="113"/>
      <c r="JE339" s="113"/>
      <c r="JF339" s="113"/>
      <c r="JG339" s="113"/>
      <c r="JH339" s="113"/>
      <c r="JI339" s="113"/>
      <c r="JJ339" s="113"/>
      <c r="JK339" s="113"/>
      <c r="JL339" s="113"/>
      <c r="JM339" s="113"/>
      <c r="JN339" s="113"/>
      <c r="JO339" s="113"/>
      <c r="JP339" s="113"/>
      <c r="JQ339" s="113"/>
      <c r="JR339" s="113"/>
      <c r="JS339" s="113"/>
      <c r="JT339" s="113"/>
      <c r="JU339" s="113"/>
      <c r="JV339" s="113"/>
      <c r="JW339" s="113"/>
      <c r="JX339" s="113"/>
      <c r="JY339" s="113"/>
      <c r="JZ339" s="113"/>
      <c r="KA339" s="113"/>
      <c r="KB339" s="113"/>
      <c r="KC339" s="113"/>
      <c r="KD339" s="113"/>
      <c r="KE339" s="113"/>
      <c r="KF339" s="113"/>
      <c r="KG339" s="113"/>
      <c r="KH339" s="113"/>
      <c r="KI339" s="113"/>
      <c r="KJ339" s="113"/>
      <c r="KK339" s="113"/>
      <c r="KL339" s="113"/>
      <c r="KM339" s="113"/>
      <c r="KN339" s="113"/>
      <c r="KO339" s="113"/>
      <c r="KP339" s="113"/>
      <c r="KQ339" s="113"/>
      <c r="KR339" s="113"/>
      <c r="KS339" s="113"/>
      <c r="KT339" s="113"/>
      <c r="KU339" s="113"/>
      <c r="KV339" s="113"/>
      <c r="KW339" s="113"/>
      <c r="KX339" s="113"/>
      <c r="KY339" s="113"/>
      <c r="KZ339" s="113"/>
      <c r="LA339" s="113"/>
      <c r="LB339" s="113"/>
      <c r="LC339" s="113"/>
      <c r="LD339" s="113"/>
      <c r="LE339" s="113"/>
      <c r="LF339" s="113"/>
      <c r="LG339" s="113"/>
      <c r="LH339" s="113"/>
      <c r="LI339" s="113"/>
      <c r="LJ339" s="113"/>
      <c r="LK339" s="113"/>
      <c r="LL339" s="113"/>
      <c r="LM339" s="113"/>
      <c r="LN339" s="113"/>
      <c r="LO339" s="113"/>
      <c r="LP339" s="113"/>
      <c r="LQ339" s="113"/>
      <c r="LR339" s="113"/>
      <c r="LS339" s="113"/>
      <c r="LT339" s="113"/>
      <c r="LU339" s="113"/>
      <c r="LV339" s="113"/>
      <c r="LW339" s="113"/>
      <c r="LX339" s="113"/>
      <c r="LY339" s="113"/>
      <c r="LZ339" s="113"/>
      <c r="MA339" s="113"/>
      <c r="MB339" s="113"/>
      <c r="MC339" s="113"/>
      <c r="MD339" s="113"/>
      <c r="ME339" s="113"/>
      <c r="MF339" s="113"/>
      <c r="MG339" s="113"/>
      <c r="MH339" s="113"/>
      <c r="MI339" s="113"/>
      <c r="MJ339" s="113"/>
      <c r="MK339" s="113"/>
      <c r="ML339" s="113"/>
      <c r="MM339" s="113"/>
      <c r="MN339" s="113"/>
      <c r="MO339" s="113"/>
      <c r="MP339" s="113"/>
      <c r="MQ339" s="113"/>
      <c r="MR339" s="113"/>
      <c r="MS339" s="113"/>
      <c r="MT339" s="113"/>
      <c r="MU339" s="113"/>
      <c r="MV339" s="113"/>
      <c r="MW339" s="113"/>
      <c r="MX339" s="113"/>
      <c r="MY339" s="113"/>
      <c r="MZ339" s="113"/>
      <c r="NA339" s="113"/>
      <c r="NB339" s="113"/>
      <c r="NC339" s="113"/>
      <c r="ND339" s="113"/>
      <c r="NE339" s="113"/>
      <c r="NF339" s="113"/>
      <c r="NG339" s="113"/>
      <c r="NH339" s="113"/>
      <c r="NI339" s="113"/>
      <c r="NJ339" s="113"/>
      <c r="NK339" s="113"/>
      <c r="NL339" s="113"/>
      <c r="NM339" s="113"/>
      <c r="NN339" s="113"/>
      <c r="NO339" s="113"/>
      <c r="NP339" s="113"/>
      <c r="NQ339" s="113"/>
      <c r="NR339" s="113"/>
      <c r="NS339" s="113"/>
      <c r="NT339" s="113"/>
      <c r="NU339" s="113"/>
      <c r="NV339" s="113"/>
      <c r="NW339" s="113"/>
      <c r="NX339" s="113"/>
      <c r="NY339" s="113"/>
      <c r="NZ339" s="113"/>
      <c r="OA339" s="113"/>
      <c r="OB339" s="113"/>
      <c r="OC339" s="113"/>
      <c r="OD339" s="113"/>
      <c r="OE339" s="113"/>
      <c r="OF339" s="113"/>
      <c r="OG339" s="113"/>
      <c r="OH339" s="113"/>
      <c r="OI339" s="113"/>
      <c r="OJ339" s="113"/>
      <c r="OK339" s="113"/>
      <c r="OL339" s="113"/>
      <c r="OM339" s="113"/>
      <c r="ON339" s="113"/>
      <c r="OO339" s="113"/>
      <c r="OP339" s="113"/>
      <c r="OQ339" s="113"/>
      <c r="OR339" s="113"/>
      <c r="OS339" s="113"/>
      <c r="OT339" s="113"/>
      <c r="OU339" s="113"/>
      <c r="OV339" s="113"/>
      <c r="OW339" s="113"/>
      <c r="OX339" s="113"/>
      <c r="OY339" s="113"/>
      <c r="OZ339" s="113"/>
      <c r="PA339" s="113"/>
      <c r="PB339" s="113"/>
      <c r="PC339" s="113"/>
      <c r="PD339" s="113"/>
      <c r="PE339" s="113"/>
      <c r="PF339" s="113"/>
      <c r="PG339" s="113"/>
      <c r="PH339" s="113"/>
      <c r="PI339" s="113"/>
      <c r="PJ339" s="113"/>
      <c r="PK339" s="113"/>
      <c r="PL339" s="113"/>
      <c r="PM339" s="113"/>
      <c r="PN339" s="113"/>
      <c r="PO339" s="113"/>
      <c r="PP339" s="113"/>
      <c r="PQ339" s="113"/>
      <c r="PR339" s="113"/>
      <c r="PS339" s="113"/>
      <c r="PT339" s="113"/>
      <c r="PU339" s="113"/>
      <c r="PV339" s="113"/>
      <c r="PW339" s="113"/>
      <c r="PX339" s="113"/>
      <c r="PY339" s="113"/>
      <c r="PZ339" s="113"/>
      <c r="QA339" s="113"/>
      <c r="QB339" s="113"/>
      <c r="QC339" s="113"/>
      <c r="QD339" s="113"/>
      <c r="QE339" s="113"/>
      <c r="QF339" s="113"/>
      <c r="QG339" s="113"/>
      <c r="QH339" s="113"/>
      <c r="QI339" s="113"/>
      <c r="QJ339" s="113"/>
      <c r="QK339" s="113"/>
      <c r="QL339" s="113"/>
      <c r="QM339" s="113"/>
      <c r="QN339" s="113"/>
      <c r="QO339" s="113"/>
      <c r="QP339" s="113"/>
      <c r="QQ339" s="113"/>
      <c r="QR339" s="113"/>
      <c r="QS339" s="113"/>
      <c r="QT339" s="113"/>
      <c r="QU339" s="113"/>
      <c r="QV339" s="113"/>
      <c r="QW339" s="113"/>
      <c r="QX339" s="113"/>
      <c r="QY339" s="113"/>
      <c r="QZ339" s="113"/>
      <c r="RA339" s="113"/>
      <c r="RB339" s="113"/>
      <c r="RC339" s="113"/>
      <c r="RD339" s="113"/>
      <c r="RE339" s="113"/>
      <c r="RF339" s="113"/>
      <c r="RG339" s="113"/>
      <c r="RH339" s="113"/>
      <c r="RI339" s="113"/>
      <c r="RJ339" s="113"/>
      <c r="RK339" s="113"/>
      <c r="RL339" s="113"/>
      <c r="RM339" s="113"/>
      <c r="RN339" s="113"/>
      <c r="RO339" s="113"/>
      <c r="RP339" s="113"/>
      <c r="RQ339" s="113"/>
      <c r="RR339" s="113"/>
      <c r="RS339" s="113"/>
      <c r="RT339" s="113"/>
      <c r="RU339" s="113"/>
      <c r="RV339" s="113"/>
      <c r="RW339" s="113"/>
      <c r="RX339" s="113"/>
      <c r="RY339" s="113"/>
      <c r="RZ339" s="113"/>
      <c r="SA339" s="113"/>
      <c r="SB339" s="113"/>
      <c r="SC339" s="113"/>
      <c r="SD339" s="113"/>
      <c r="SE339" s="113"/>
      <c r="SF339" s="113"/>
      <c r="SG339" s="113"/>
      <c r="SH339" s="113"/>
      <c r="SI339" s="113"/>
      <c r="SJ339" s="113"/>
      <c r="SK339" s="113"/>
      <c r="SL339" s="113"/>
      <c r="SM339" s="113"/>
      <c r="SN339" s="113"/>
      <c r="SO339" s="113"/>
      <c r="SP339" s="113"/>
      <c r="SQ339" s="113"/>
      <c r="SR339" s="113"/>
      <c r="SS339" s="113"/>
      <c r="ST339" s="113"/>
      <c r="SU339" s="113"/>
      <c r="SV339" s="113"/>
      <c r="SW339" s="113"/>
      <c r="SX339" s="113"/>
      <c r="SY339" s="113"/>
      <c r="SZ339" s="113"/>
      <c r="TA339" s="113"/>
      <c r="TB339" s="113"/>
      <c r="TC339" s="113"/>
      <c r="TD339" s="113"/>
      <c r="TE339" s="113"/>
      <c r="TF339" s="113"/>
      <c r="TG339" s="113"/>
      <c r="TH339" s="113"/>
      <c r="TI339" s="113"/>
      <c r="TJ339" s="113"/>
      <c r="TK339" s="113"/>
      <c r="TL339" s="113"/>
      <c r="TM339" s="113"/>
      <c r="TN339" s="113"/>
      <c r="TO339" s="113"/>
      <c r="TP339" s="113"/>
      <c r="TQ339" s="113"/>
      <c r="TR339" s="113"/>
      <c r="TS339" s="113"/>
      <c r="TT339" s="113"/>
      <c r="TU339" s="113"/>
      <c r="TV339" s="113"/>
      <c r="TW339" s="113"/>
      <c r="TX339" s="113"/>
      <c r="TY339" s="113"/>
      <c r="TZ339" s="113"/>
      <c r="UA339" s="113"/>
      <c r="UB339" s="113"/>
      <c r="UC339" s="113"/>
      <c r="UD339" s="113"/>
      <c r="UE339" s="113"/>
      <c r="UF339" s="113"/>
      <c r="UG339" s="113"/>
      <c r="UH339" s="113"/>
      <c r="UI339" s="113"/>
      <c r="UJ339" s="113"/>
      <c r="UK339" s="113"/>
      <c r="UL339" s="113"/>
      <c r="UM339" s="113"/>
      <c r="UN339" s="113"/>
      <c r="UO339" s="113"/>
      <c r="UP339" s="113"/>
      <c r="UQ339" s="113"/>
      <c r="UR339" s="113"/>
      <c r="US339" s="113"/>
      <c r="UT339" s="113"/>
      <c r="UU339" s="113"/>
      <c r="UV339" s="113"/>
      <c r="UW339" s="113"/>
      <c r="UX339" s="113"/>
      <c r="UY339" s="113"/>
      <c r="UZ339" s="113"/>
      <c r="VA339" s="113"/>
      <c r="VB339" s="113"/>
      <c r="VC339" s="113"/>
      <c r="VD339" s="113"/>
      <c r="VE339" s="113"/>
      <c r="VF339" s="113"/>
      <c r="VG339" s="113"/>
      <c r="VH339" s="113"/>
      <c r="VI339" s="113"/>
      <c r="VJ339" s="113"/>
      <c r="VK339" s="113"/>
      <c r="VL339" s="113"/>
      <c r="VM339" s="113"/>
      <c r="VN339" s="113"/>
      <c r="VO339" s="113"/>
      <c r="VP339" s="113"/>
      <c r="VQ339" s="113"/>
      <c r="VR339" s="113"/>
      <c r="VS339" s="113"/>
      <c r="VT339" s="113"/>
      <c r="VU339" s="113"/>
      <c r="VV339" s="113"/>
      <c r="VW339" s="113"/>
      <c r="VX339" s="113"/>
      <c r="VY339" s="113"/>
      <c r="VZ339" s="113"/>
      <c r="WA339" s="113"/>
      <c r="WB339" s="113"/>
      <c r="WC339" s="113"/>
      <c r="WD339" s="113"/>
      <c r="WE339" s="113"/>
      <c r="WF339" s="113"/>
      <c r="WG339" s="113"/>
      <c r="WH339" s="113"/>
      <c r="WI339" s="113"/>
      <c r="WJ339" s="113"/>
      <c r="WK339" s="113"/>
      <c r="WL339" s="113"/>
      <c r="WM339" s="113"/>
      <c r="WN339" s="113"/>
      <c r="WO339" s="113"/>
      <c r="WP339" s="113"/>
      <c r="WQ339" s="113"/>
      <c r="WR339" s="113"/>
      <c r="WS339" s="113"/>
      <c r="WT339" s="113"/>
      <c r="WU339" s="113"/>
      <c r="WV339" s="113"/>
      <c r="WW339" s="113"/>
      <c r="WX339" s="113"/>
      <c r="WY339" s="113"/>
      <c r="WZ339" s="113"/>
      <c r="XA339" s="113"/>
      <c r="XB339" s="113"/>
      <c r="XC339" s="113"/>
      <c r="XD339" s="113"/>
      <c r="XE339" s="113"/>
      <c r="XF339" s="113"/>
      <c r="XG339" s="113"/>
      <c r="XH339" s="113"/>
      <c r="XI339" s="113"/>
      <c r="XJ339" s="113"/>
      <c r="XK339" s="113"/>
      <c r="XL339" s="113"/>
      <c r="XM339" s="113"/>
      <c r="XN339" s="113"/>
      <c r="XO339" s="113"/>
      <c r="XP339" s="113"/>
      <c r="XQ339" s="113"/>
      <c r="XR339" s="113"/>
      <c r="XS339" s="113"/>
      <c r="XT339" s="113"/>
      <c r="XU339" s="113"/>
      <c r="XV339" s="113"/>
      <c r="XW339" s="113"/>
      <c r="XX339" s="113"/>
      <c r="XY339" s="113"/>
      <c r="XZ339" s="113"/>
      <c r="YA339" s="113"/>
      <c r="YB339" s="113"/>
      <c r="YC339" s="113"/>
      <c r="YD339" s="113"/>
      <c r="YE339" s="113"/>
      <c r="YF339" s="113"/>
      <c r="YG339" s="113"/>
      <c r="YH339" s="113"/>
      <c r="YI339" s="113"/>
      <c r="YJ339" s="113"/>
      <c r="YK339" s="113"/>
      <c r="YL339" s="113"/>
      <c r="YM339" s="113"/>
      <c r="YN339" s="113"/>
      <c r="YO339" s="113"/>
      <c r="YP339" s="113"/>
      <c r="YQ339" s="113"/>
      <c r="YR339" s="113"/>
      <c r="YS339" s="113"/>
      <c r="YT339" s="113"/>
      <c r="YU339" s="113"/>
      <c r="YV339" s="113"/>
      <c r="YW339" s="113"/>
      <c r="YX339" s="113"/>
      <c r="YY339" s="113"/>
      <c r="YZ339" s="113"/>
      <c r="ZA339" s="113"/>
      <c r="ZB339" s="113"/>
      <c r="ZC339" s="113"/>
      <c r="ZD339" s="113"/>
      <c r="ZE339" s="113"/>
      <c r="ZF339" s="113"/>
      <c r="ZG339" s="113"/>
      <c r="ZH339" s="113"/>
      <c r="ZI339" s="113"/>
      <c r="ZJ339" s="113"/>
      <c r="ZK339" s="113"/>
      <c r="ZL339" s="113"/>
      <c r="ZM339" s="113"/>
      <c r="ZN339" s="113"/>
      <c r="ZO339" s="113"/>
      <c r="ZP339" s="113"/>
      <c r="ZQ339" s="113"/>
      <c r="ZR339" s="113"/>
      <c r="ZS339" s="113"/>
      <c r="ZT339" s="113"/>
      <c r="ZU339" s="113"/>
      <c r="ZV339" s="113"/>
      <c r="ZW339" s="113"/>
      <c r="ZX339" s="113"/>
      <c r="ZY339" s="113"/>
      <c r="ZZ339" s="113"/>
      <c r="AAA339" s="113"/>
      <c r="AAB339" s="113"/>
      <c r="AAC339" s="113"/>
      <c r="AAD339" s="113"/>
      <c r="AAE339" s="113"/>
      <c r="AAF339" s="113"/>
      <c r="AAG339" s="113"/>
      <c r="AAH339" s="113"/>
      <c r="AAI339" s="113"/>
      <c r="AAJ339" s="113"/>
      <c r="AAK339" s="113"/>
      <c r="AAL339" s="113"/>
      <c r="AAM339" s="113"/>
      <c r="AAN339" s="113"/>
      <c r="AAO339" s="113"/>
      <c r="AAP339" s="113"/>
      <c r="AAQ339" s="113"/>
      <c r="AAR339" s="113"/>
      <c r="AAS339" s="113"/>
      <c r="AAT339" s="113"/>
      <c r="AAU339" s="113"/>
      <c r="AAV339" s="113"/>
      <c r="AAW339" s="113"/>
      <c r="AAX339" s="113"/>
      <c r="AAY339" s="113"/>
      <c r="AAZ339" s="113"/>
      <c r="ABA339" s="113"/>
      <c r="ABB339" s="113"/>
      <c r="ABC339" s="113"/>
      <c r="ABD339" s="113"/>
      <c r="ABE339" s="113"/>
      <c r="ABF339" s="113"/>
      <c r="ABG339" s="113"/>
      <c r="ABH339" s="113"/>
      <c r="ABI339" s="113"/>
      <c r="ABJ339" s="113"/>
      <c r="ABK339" s="113"/>
      <c r="ABL339" s="113"/>
      <c r="ABM339" s="113"/>
      <c r="ABN339" s="113"/>
      <c r="ABO339" s="113"/>
      <c r="ABP339" s="113"/>
      <c r="ABQ339" s="113"/>
      <c r="ABR339" s="113"/>
      <c r="ABS339" s="113"/>
      <c r="ABT339" s="113"/>
      <c r="ABU339" s="113"/>
      <c r="ABV339" s="113"/>
      <c r="ABW339" s="113"/>
      <c r="ABX339" s="113"/>
      <c r="ABY339" s="113"/>
      <c r="ABZ339" s="113"/>
      <c r="ACA339" s="113"/>
      <c r="ACB339" s="113"/>
      <c r="ACC339" s="113"/>
      <c r="ACD339" s="113"/>
      <c r="ACE339" s="113"/>
      <c r="ACF339" s="113"/>
      <c r="ACG339" s="113"/>
      <c r="ACH339" s="113"/>
      <c r="ACI339" s="113"/>
      <c r="ACJ339" s="113"/>
      <c r="ACK339" s="113"/>
      <c r="ACL339" s="113"/>
      <c r="ACM339" s="113"/>
      <c r="ACN339" s="113"/>
      <c r="ACO339" s="113"/>
      <c r="ACP339" s="113"/>
      <c r="ACQ339" s="113"/>
      <c r="ACR339" s="113"/>
      <c r="ACS339" s="113"/>
      <c r="ACT339" s="113"/>
      <c r="ACU339" s="113"/>
      <c r="ACV339" s="113"/>
      <c r="ACW339" s="113"/>
      <c r="ACX339" s="113"/>
      <c r="ACY339" s="113"/>
      <c r="ACZ339" s="113"/>
      <c r="ADA339" s="113"/>
      <c r="ADB339" s="113"/>
      <c r="ADC339" s="113"/>
      <c r="ADD339" s="113"/>
      <c r="ADE339" s="113"/>
      <c r="ADF339" s="113"/>
      <c r="ADG339" s="113"/>
      <c r="ADH339" s="113"/>
      <c r="ADI339" s="113"/>
      <c r="ADJ339" s="113"/>
      <c r="ADK339" s="113"/>
      <c r="ADL339" s="113"/>
      <c r="ADM339" s="113"/>
      <c r="ADN339" s="113"/>
      <c r="ADO339" s="113"/>
      <c r="ADP339" s="113"/>
      <c r="ADQ339" s="113"/>
      <c r="ADR339" s="113"/>
      <c r="ADS339" s="113"/>
      <c r="ADT339" s="113"/>
      <c r="ADU339" s="113"/>
      <c r="ADV339" s="113"/>
      <c r="ADW339" s="113"/>
      <c r="ADX339" s="113"/>
      <c r="ADY339" s="113"/>
      <c r="ADZ339" s="113"/>
      <c r="AEA339" s="113"/>
      <c r="AEB339" s="113"/>
      <c r="AEC339" s="113"/>
      <c r="AED339" s="113"/>
      <c r="AEE339" s="113"/>
      <c r="AEF339" s="113"/>
      <c r="AEG339" s="113"/>
      <c r="AEH339" s="113"/>
      <c r="AEI339" s="113"/>
      <c r="AEJ339" s="113"/>
      <c r="AEK339" s="113"/>
      <c r="AEL339" s="113"/>
      <c r="AEM339" s="113"/>
      <c r="AEN339" s="113"/>
      <c r="AEO339" s="113"/>
      <c r="AEP339" s="113"/>
      <c r="AEQ339" s="113"/>
      <c r="AER339" s="113"/>
      <c r="AES339" s="113"/>
      <c r="AET339" s="113"/>
      <c r="AEU339" s="113"/>
      <c r="AEV339" s="113"/>
      <c r="AEW339" s="113"/>
      <c r="AEX339" s="113"/>
      <c r="AEY339" s="113"/>
      <c r="AEZ339" s="113"/>
      <c r="AFA339" s="113"/>
      <c r="AFB339" s="113"/>
      <c r="AFC339" s="113"/>
      <c r="AFD339" s="113"/>
      <c r="AFE339" s="113"/>
      <c r="AFF339" s="113"/>
      <c r="AFG339" s="113"/>
      <c r="AFH339" s="113"/>
      <c r="AFI339" s="113"/>
      <c r="AFJ339" s="113"/>
      <c r="AFK339" s="113"/>
      <c r="AFL339" s="113"/>
      <c r="AFM339" s="113"/>
      <c r="AFN339" s="113"/>
      <c r="AFO339" s="113"/>
      <c r="AFP339" s="113"/>
      <c r="AFQ339" s="113"/>
      <c r="AFR339" s="113"/>
      <c r="AFS339" s="113"/>
      <c r="AFT339" s="113"/>
      <c r="AFU339" s="113"/>
      <c r="AFV339" s="113"/>
      <c r="AFW339" s="113"/>
      <c r="AFX339" s="113"/>
      <c r="AFY339" s="113"/>
      <c r="AFZ339" s="113"/>
      <c r="AGA339" s="113"/>
      <c r="AGB339" s="113"/>
      <c r="AGC339" s="113"/>
      <c r="AGD339" s="113"/>
      <c r="AGE339" s="113"/>
      <c r="AGF339" s="113"/>
      <c r="AGG339" s="113"/>
      <c r="AGH339" s="113"/>
      <c r="AGI339" s="113"/>
      <c r="AGJ339" s="113"/>
      <c r="AGK339" s="113"/>
      <c r="AGL339" s="113"/>
      <c r="AGM339" s="113"/>
      <c r="AGN339" s="113"/>
      <c r="AGO339" s="113"/>
      <c r="AGP339" s="113"/>
      <c r="AGQ339" s="113"/>
      <c r="AGR339" s="113"/>
      <c r="AGS339" s="113"/>
      <c r="AGT339" s="113"/>
      <c r="AGU339" s="113"/>
      <c r="AGV339" s="113"/>
      <c r="AGW339" s="113"/>
      <c r="AGX339" s="113"/>
      <c r="AGY339" s="113"/>
      <c r="AGZ339" s="113"/>
      <c r="AHA339" s="113"/>
      <c r="AHB339" s="113"/>
      <c r="AHC339" s="113"/>
      <c r="AHD339" s="113"/>
      <c r="AHE339" s="113"/>
      <c r="AHF339" s="113"/>
      <c r="AHG339" s="113"/>
      <c r="AHH339" s="113"/>
      <c r="AHI339" s="113"/>
      <c r="AHJ339" s="113"/>
      <c r="AHK339" s="113"/>
      <c r="AHL339" s="113"/>
      <c r="AHM339" s="113"/>
      <c r="AHN339" s="113"/>
      <c r="AHO339" s="113"/>
      <c r="AHP339" s="113"/>
      <c r="AHQ339" s="113"/>
      <c r="AHR339" s="113"/>
      <c r="AHS339" s="113"/>
      <c r="AHT339" s="113"/>
      <c r="AHU339" s="113"/>
      <c r="AHV339" s="113"/>
      <c r="AHW339" s="113"/>
      <c r="AHX339" s="113"/>
      <c r="AHY339" s="113"/>
      <c r="AHZ339" s="113"/>
      <c r="AIA339" s="113"/>
      <c r="AIB339" s="113"/>
      <c r="AIC339" s="113"/>
      <c r="AID339" s="113"/>
      <c r="AIE339" s="113"/>
      <c r="AIF339" s="113"/>
      <c r="AIG339" s="113"/>
      <c r="AIH339" s="113"/>
      <c r="AII339" s="113"/>
      <c r="AIJ339" s="113"/>
      <c r="AIK339" s="113"/>
      <c r="AIL339" s="113"/>
      <c r="AIM339" s="113"/>
      <c r="AIN339" s="113"/>
      <c r="AIO339" s="113"/>
      <c r="AIP339" s="113"/>
      <c r="AIQ339" s="113"/>
      <c r="AIR339" s="113"/>
      <c r="AIS339" s="113"/>
      <c r="AIT339" s="113"/>
      <c r="AIU339" s="113"/>
      <c r="AIV339" s="113"/>
      <c r="AIW339" s="113"/>
      <c r="AIX339" s="113"/>
      <c r="AIY339" s="113"/>
      <c r="AIZ339" s="113"/>
    </row>
    <row r="340">
      <c r="A340" s="65" t="s">
        <v>88</v>
      </c>
      <c r="B340" s="65" t="s">
        <v>89</v>
      </c>
      <c r="C340" s="65"/>
      <c r="D340" s="64">
        <f t="shared" si="1"/>
        <v>490.7631167</v>
      </c>
      <c r="G340" s="65">
        <v>60.4164333333333</v>
      </c>
      <c r="H340" s="65">
        <v>6.01135</v>
      </c>
      <c r="I340" s="65">
        <v>1.94343333333333</v>
      </c>
      <c r="J340" s="65">
        <v>0.2157</v>
      </c>
      <c r="K340" s="65">
        <v>6.26616666666666</v>
      </c>
      <c r="N340" s="65">
        <v>4.5858</v>
      </c>
      <c r="R340" s="65">
        <v>23.74445</v>
      </c>
      <c r="S340" s="65">
        <v>1.35726666666667</v>
      </c>
      <c r="T340" s="65">
        <v>0.93055</v>
      </c>
      <c r="U340" s="65">
        <v>12.12655</v>
      </c>
      <c r="Y340" s="65">
        <v>20.1542666666667</v>
      </c>
      <c r="Z340" s="65">
        <v>4.90065</v>
      </c>
      <c r="AA340" s="65">
        <v>0.163316666666667</v>
      </c>
      <c r="AB340" s="65">
        <v>7.56058333333333</v>
      </c>
      <c r="AF340" s="65">
        <v>37.6147666666667</v>
      </c>
      <c r="AG340" s="65">
        <v>10.5515666666667</v>
      </c>
      <c r="AH340" s="65">
        <v>1.68726666666667</v>
      </c>
      <c r="AI340" s="65">
        <v>17.18905</v>
      </c>
      <c r="AM340" s="65">
        <v>21.2932333333333</v>
      </c>
      <c r="AN340" s="65">
        <v>68.4312833333334</v>
      </c>
      <c r="AR340" s="65">
        <v>44.0742833333334</v>
      </c>
      <c r="AU340" s="65">
        <v>139.54515</v>
      </c>
    </row>
    <row r="341">
      <c r="A341" s="65" t="s">
        <v>88</v>
      </c>
      <c r="B341" s="65" t="s">
        <v>89</v>
      </c>
      <c r="C341" s="65"/>
      <c r="D341" s="64">
        <f t="shared" si="1"/>
        <v>0</v>
      </c>
    </row>
    <row r="342">
      <c r="A342" s="65" t="s">
        <v>88</v>
      </c>
      <c r="B342" s="65" t="s">
        <v>89</v>
      </c>
      <c r="C342" s="65"/>
      <c r="D342" s="64">
        <f t="shared" si="1"/>
        <v>479.37835</v>
      </c>
      <c r="G342" s="118">
        <f>HYPERLINK("https://docs.google.com/spreadsheets/d/13TOCXR-D-Yht0sCUiocTxKMWmKmwtGOR", 60.3418166666667)</f>
        <v>60.34181667</v>
      </c>
      <c r="H342" s="118">
        <f>HYPERLINK("https://docs.google.com/spreadsheets/d/1wD3-i5g5tZ2BQX4jzhdRFCRwjp9gv-gr", 5.79338333333333)</f>
        <v>5.793383333</v>
      </c>
      <c r="I342" s="118">
        <f>HYPERLINK("https://docs.google.com/spreadsheets/d/1zEMglkiUvXLKGXGL66sRH-u6xmPluFj-", 1.94345)</f>
        <v>1.94345</v>
      </c>
      <c r="J342" s="118">
        <f>HYPERLINK("https://docs.google.com/spreadsheets/d/1QGrxhfd-q1dQFY3J4pdSQ5aQQOUnIxlP", 0.2157)</f>
        <v>0.2157</v>
      </c>
      <c r="K342" s="118">
        <f>HYPERLINK("https://docs.google.com/spreadsheets/d/18IZ9SES66tzi15IbutQm8TgSl6q4M7ht", 6.26616666666666)</f>
        <v>6.266166667</v>
      </c>
      <c r="N342" s="118">
        <f>HYPERLINK("https://docs.google.com/spreadsheets/d/1CWUSJNQH7lQOPUjDQtne6j1DtoR3e1Er", 4.5858)</f>
        <v>4.5858</v>
      </c>
      <c r="R342" s="118">
        <f>HYPERLINK("https://docs.google.com/spreadsheets/d/1CqSAbxk2w9KGmF3yG0MhSZtwhyzGlzUO", 23.6450833333333)</f>
        <v>23.64508333</v>
      </c>
      <c r="S342" s="118">
        <f>HYPERLINK("https://docs.google.com/spreadsheets/d/1aEcx7VYBpmbjj0UyOYikllH2al9zyqgS", 1.35726666666667)</f>
        <v>1.357266667</v>
      </c>
      <c r="T342" s="118">
        <f>HYPERLINK("https://docs.google.com/spreadsheets/d/1IKfMN6wMsMvTcN1me8Eo4i2nO_ZKOqMi", 0.648816666666667)</f>
        <v>0.6488166667</v>
      </c>
      <c r="U342" s="118">
        <f>HYPERLINK("https://docs.google.com/spreadsheets/d/1lM4JdKLYEky-E4md856N9pjkaOLvnyFp", 11.96385)</f>
        <v>11.96385</v>
      </c>
      <c r="Y342" s="118">
        <f>HYPERLINK("https://docs.google.com/spreadsheets/d/1CzJsha7bwNlRVkBSoslOYq8dUjJX_v4R", 20.15425)</f>
        <v>20.15425</v>
      </c>
      <c r="Z342" s="118">
        <f>HYPERLINK("https://docs.google.com/spreadsheets/d/1SM8wRNmToM3hSEUdJ9O6zwx9zJYOO02O", 4.90063333333333)</f>
        <v>4.900633333</v>
      </c>
      <c r="AA342" s="118">
        <f>HYPERLINK("https://docs.google.com/spreadsheets/d/1QMgrBdLqqD2uM1KmhCh9DYumZ7xYezIv", 0.0891)</f>
        <v>0.0891</v>
      </c>
      <c r="AB342" s="118">
        <f>HYPERLINK("https://docs.google.com/spreadsheets/d/1LnpkWZOEmDZPpmWtc4HqIZsf-y5W6lxu", 7.5606)</f>
        <v>7.5606</v>
      </c>
      <c r="AF342" s="118">
        <f>HYPERLINK("https://docs.google.com/spreadsheets/d/1euWYrP3lJ5fgARBUNE0gvtmJJYn9L3OU", 37.4221)</f>
        <v>37.4221</v>
      </c>
      <c r="AG342" s="118">
        <f>HYPERLINK("https://docs.google.com/spreadsheets/d/1UO7TkZDIibONjxNN0WvXwKGamwenCoHC", 10.5515666666667)</f>
        <v>10.55156667</v>
      </c>
      <c r="AH342" s="118">
        <f>HYPERLINK("https://docs.google.com/spreadsheets/d/1Vql--WYQzpNQPT9OnVGItpdHytfiLFCX", 1.68726666666667)</f>
        <v>1.687266667</v>
      </c>
      <c r="AI342" s="118">
        <f>HYPERLINK("https://docs.google.com/spreadsheets/d/16PBUGsIuXEixe0r-0pSwo2dt8biAdO8i", 17.18905)</f>
        <v>17.18905</v>
      </c>
      <c r="AM342" s="118">
        <f>HYPERLINK("https://docs.google.com/spreadsheets/d/1aY6ak-sXFKH0S57GdrHmeqeqHgXW5sYS", 11.9348833333333)</f>
        <v>11.93488333</v>
      </c>
      <c r="AN342" s="118">
        <f>HYPERLINK("https://docs.google.com/spreadsheets/d/1UcpRlmdSpiEY1czszHf_t80KwpTArGKW", 68.1859833333334)</f>
        <v>68.18598333</v>
      </c>
      <c r="AR342" s="118">
        <f>HYPERLINK("https://docs.google.com/spreadsheets/d/1lq2-7sfFXJSmMZoWO4lDNQAUZpBZCrAi", 43.5824833333333)</f>
        <v>43.58248333</v>
      </c>
      <c r="AU342" s="118">
        <f>HYPERLINK("https://docs.google.com/spreadsheets/d/1QnqUxH1sIEiU479bl8daTJD5yD22_vcT", 139.3591)</f>
        <v>139.3591</v>
      </c>
    </row>
    <row r="343">
      <c r="A343" s="65" t="s">
        <v>88</v>
      </c>
      <c r="B343" s="65" t="s">
        <v>89</v>
      </c>
      <c r="C343" s="65"/>
      <c r="D343" s="64">
        <f t="shared" si="1"/>
        <v>278.7313333</v>
      </c>
      <c r="G343" s="65">
        <v>31.85725</v>
      </c>
      <c r="H343" s="65">
        <v>3.9607</v>
      </c>
      <c r="I343" s="65">
        <v>1.32986666666667</v>
      </c>
      <c r="J343" s="65">
        <v>0.2157</v>
      </c>
      <c r="K343" s="65">
        <v>4.67738333333333</v>
      </c>
      <c r="N343" s="65">
        <v>2.49951666666667</v>
      </c>
      <c r="R343" s="65">
        <v>5.88465</v>
      </c>
      <c r="S343" s="65">
        <v>0.09695</v>
      </c>
      <c r="T343" s="65">
        <v>0.270866666666667</v>
      </c>
      <c r="U343" s="65">
        <v>9.14178333333333</v>
      </c>
      <c r="Y343" s="65">
        <v>3.94653333333333</v>
      </c>
      <c r="Z343" s="65">
        <v>1.07288333333333</v>
      </c>
      <c r="AA343" s="65">
        <v>0.0</v>
      </c>
      <c r="AB343" s="65">
        <v>4.38656666666667</v>
      </c>
      <c r="AF343" s="65">
        <v>13.2618833333333</v>
      </c>
      <c r="AG343" s="65">
        <v>3.47908333333333</v>
      </c>
      <c r="AH343" s="65">
        <v>0.824983333333333</v>
      </c>
      <c r="AI343" s="65">
        <v>10.4494</v>
      </c>
      <c r="AM343" s="65">
        <v>9.11063333333333</v>
      </c>
      <c r="AN343" s="65">
        <v>38.5172333333333</v>
      </c>
      <c r="AR343" s="65">
        <v>14.9313</v>
      </c>
      <c r="AU343" s="65">
        <v>118.816166666667</v>
      </c>
    </row>
    <row r="344">
      <c r="A344" s="119" t="s">
        <v>88</v>
      </c>
      <c r="B344" s="119" t="s">
        <v>89</v>
      </c>
      <c r="C344" s="119"/>
      <c r="D344" s="120">
        <f t="shared" si="1"/>
        <v>0</v>
      </c>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c r="AA344" s="120"/>
      <c r="AB344" s="120"/>
      <c r="AC344" s="120"/>
      <c r="AD344" s="120"/>
      <c r="AE344" s="120"/>
      <c r="AF344" s="120"/>
      <c r="AG344" s="120"/>
      <c r="AH344" s="120"/>
      <c r="AI344" s="120"/>
      <c r="AJ344" s="120"/>
      <c r="AK344" s="120"/>
      <c r="AL344" s="120"/>
      <c r="AM344" s="120"/>
      <c r="AN344" s="120"/>
      <c r="AO344" s="120"/>
      <c r="AP344" s="120"/>
      <c r="AQ344" s="120"/>
      <c r="AR344" s="120"/>
      <c r="AS344" s="120"/>
      <c r="AT344" s="120"/>
      <c r="AU344" s="120"/>
      <c r="AV344" s="120"/>
      <c r="AW344" s="120"/>
      <c r="AX344" s="120"/>
      <c r="AY344" s="120"/>
      <c r="AZ344" s="120"/>
      <c r="BA344" s="120"/>
      <c r="BB344" s="120"/>
      <c r="BC344" s="120"/>
      <c r="BD344" s="120"/>
      <c r="BE344" s="120"/>
      <c r="BF344" s="120"/>
      <c r="BG344" s="120"/>
      <c r="BH344" s="120"/>
      <c r="BI344" s="120"/>
      <c r="BJ344" s="120"/>
      <c r="BK344" s="120"/>
      <c r="BL344" s="120"/>
      <c r="BM344" s="120"/>
      <c r="BN344" s="120"/>
      <c r="BO344" s="120"/>
      <c r="BP344" s="120"/>
      <c r="BQ344" s="120"/>
      <c r="BR344" s="120"/>
      <c r="BS344" s="120"/>
      <c r="BT344" s="120"/>
      <c r="BU344" s="120"/>
      <c r="BV344" s="120"/>
      <c r="BW344" s="120"/>
      <c r="BX344" s="120"/>
      <c r="BY344" s="120"/>
      <c r="BZ344" s="120"/>
      <c r="CA344" s="120"/>
      <c r="CB344" s="120"/>
      <c r="CC344" s="120"/>
      <c r="CD344" s="120"/>
      <c r="CE344" s="120"/>
      <c r="CF344" s="120"/>
      <c r="CG344" s="120"/>
      <c r="CH344" s="120"/>
      <c r="CI344" s="120"/>
      <c r="CJ344" s="120"/>
      <c r="CK344" s="120"/>
      <c r="CL344" s="120"/>
      <c r="CM344" s="120"/>
      <c r="CN344" s="120"/>
      <c r="CO344" s="120"/>
      <c r="CP344" s="120"/>
      <c r="CQ344" s="120"/>
      <c r="CR344" s="120"/>
      <c r="CS344" s="120"/>
      <c r="CT344" s="120"/>
      <c r="CU344" s="120"/>
      <c r="CV344" s="120"/>
      <c r="CW344" s="120"/>
      <c r="CX344" s="120"/>
      <c r="CY344" s="120"/>
      <c r="CZ344" s="120"/>
      <c r="DA344" s="120"/>
      <c r="DB344" s="120"/>
      <c r="DC344" s="120"/>
      <c r="DD344" s="120"/>
      <c r="DE344" s="120"/>
      <c r="DF344" s="120"/>
      <c r="DG344" s="120"/>
      <c r="DH344" s="120"/>
      <c r="DI344" s="120"/>
      <c r="DJ344" s="120"/>
      <c r="DK344" s="120"/>
      <c r="DL344" s="120"/>
      <c r="DM344" s="120"/>
      <c r="DN344" s="120"/>
      <c r="DO344" s="120"/>
      <c r="DP344" s="120"/>
      <c r="DQ344" s="120"/>
      <c r="DR344" s="120"/>
      <c r="DS344" s="120"/>
      <c r="DT344" s="120"/>
      <c r="DU344" s="120"/>
      <c r="DV344" s="120"/>
      <c r="DW344" s="120"/>
      <c r="DX344" s="120"/>
      <c r="DY344" s="120"/>
      <c r="DZ344" s="120"/>
      <c r="EA344" s="120"/>
      <c r="EB344" s="120"/>
      <c r="EC344" s="120"/>
      <c r="ED344" s="120"/>
      <c r="EE344" s="120"/>
      <c r="EF344" s="120"/>
      <c r="EG344" s="120"/>
      <c r="EH344" s="120"/>
      <c r="EI344" s="120"/>
      <c r="EJ344" s="120"/>
      <c r="EK344" s="120"/>
      <c r="EL344" s="120"/>
      <c r="EM344" s="120"/>
      <c r="EN344" s="120"/>
      <c r="EO344" s="120"/>
      <c r="EP344" s="120"/>
      <c r="EQ344" s="120"/>
      <c r="ER344" s="120"/>
      <c r="ES344" s="120"/>
      <c r="ET344" s="120"/>
      <c r="EU344" s="120"/>
      <c r="EV344" s="120"/>
      <c r="EW344" s="120"/>
      <c r="EX344" s="120"/>
      <c r="EY344" s="120"/>
      <c r="EZ344" s="120"/>
      <c r="FA344" s="120"/>
      <c r="FB344" s="120"/>
      <c r="FC344" s="120"/>
      <c r="FD344" s="120"/>
      <c r="FE344" s="120"/>
      <c r="FF344" s="120"/>
      <c r="FG344" s="120"/>
      <c r="FH344" s="120"/>
      <c r="FI344" s="120"/>
      <c r="FJ344" s="120"/>
      <c r="FK344" s="120"/>
      <c r="FL344" s="120"/>
      <c r="FM344" s="120"/>
      <c r="FN344" s="120"/>
      <c r="FO344" s="120"/>
      <c r="FP344" s="120"/>
      <c r="FQ344" s="120"/>
      <c r="FR344" s="120"/>
      <c r="FS344" s="120"/>
      <c r="FT344" s="120"/>
      <c r="FU344" s="120"/>
      <c r="FV344" s="120"/>
      <c r="FW344" s="120"/>
      <c r="FX344" s="120"/>
      <c r="FY344" s="120"/>
      <c r="FZ344" s="120"/>
      <c r="GA344" s="120"/>
      <c r="GB344" s="120"/>
      <c r="GC344" s="120"/>
      <c r="GD344" s="120"/>
      <c r="GE344" s="120"/>
      <c r="GF344" s="120"/>
      <c r="GG344" s="120"/>
      <c r="GH344" s="120"/>
      <c r="GI344" s="120"/>
      <c r="GJ344" s="120"/>
      <c r="GK344" s="120"/>
      <c r="GL344" s="120"/>
      <c r="GM344" s="120"/>
      <c r="GN344" s="120"/>
      <c r="GO344" s="120"/>
      <c r="GP344" s="120"/>
      <c r="GQ344" s="120"/>
      <c r="GR344" s="120"/>
      <c r="GS344" s="120"/>
      <c r="GT344" s="120"/>
      <c r="GU344" s="120"/>
      <c r="GV344" s="120"/>
      <c r="GW344" s="120"/>
      <c r="GX344" s="120"/>
      <c r="GY344" s="120"/>
      <c r="GZ344" s="120"/>
      <c r="HA344" s="120"/>
      <c r="HB344" s="120"/>
      <c r="HC344" s="120"/>
      <c r="HD344" s="120"/>
      <c r="HE344" s="120"/>
      <c r="HF344" s="120"/>
      <c r="HG344" s="120"/>
      <c r="HH344" s="120"/>
      <c r="HI344" s="120"/>
      <c r="HJ344" s="120"/>
      <c r="HK344" s="120"/>
      <c r="HL344" s="120"/>
      <c r="HM344" s="120"/>
      <c r="HN344" s="120"/>
      <c r="HO344" s="120"/>
      <c r="HP344" s="120"/>
      <c r="HQ344" s="120"/>
      <c r="HR344" s="120"/>
      <c r="HS344" s="120"/>
      <c r="HT344" s="120"/>
      <c r="HU344" s="120"/>
      <c r="HV344" s="120"/>
      <c r="HW344" s="120"/>
      <c r="HX344" s="120"/>
      <c r="HY344" s="120"/>
      <c r="HZ344" s="120"/>
      <c r="IA344" s="120"/>
      <c r="IB344" s="120"/>
      <c r="IC344" s="120"/>
      <c r="ID344" s="120"/>
      <c r="IE344" s="120"/>
      <c r="IF344" s="120"/>
      <c r="IG344" s="120"/>
      <c r="IH344" s="120"/>
      <c r="II344" s="120"/>
      <c r="IJ344" s="120"/>
      <c r="IK344" s="120"/>
      <c r="IL344" s="120"/>
      <c r="IM344" s="120"/>
      <c r="IN344" s="120"/>
      <c r="IO344" s="120"/>
      <c r="IP344" s="120"/>
      <c r="IQ344" s="120"/>
      <c r="IR344" s="120"/>
      <c r="IS344" s="120"/>
      <c r="IT344" s="120"/>
      <c r="IU344" s="120"/>
      <c r="IV344" s="120"/>
      <c r="IW344" s="120"/>
      <c r="IX344" s="120"/>
      <c r="IY344" s="120"/>
      <c r="IZ344" s="120"/>
      <c r="JA344" s="120"/>
      <c r="JB344" s="120"/>
      <c r="JC344" s="120"/>
      <c r="JD344" s="120"/>
      <c r="JE344" s="120"/>
      <c r="JF344" s="120"/>
      <c r="JG344" s="120"/>
      <c r="JH344" s="120"/>
      <c r="JI344" s="120"/>
      <c r="JJ344" s="120"/>
      <c r="JK344" s="120"/>
      <c r="JL344" s="120"/>
      <c r="JM344" s="120"/>
      <c r="JN344" s="120"/>
      <c r="JO344" s="120"/>
      <c r="JP344" s="120"/>
      <c r="JQ344" s="120"/>
      <c r="JR344" s="120"/>
      <c r="JS344" s="120"/>
      <c r="JT344" s="120"/>
      <c r="JU344" s="120"/>
      <c r="JV344" s="120"/>
      <c r="JW344" s="120"/>
      <c r="JX344" s="120"/>
      <c r="JY344" s="120"/>
      <c r="JZ344" s="120"/>
      <c r="KA344" s="120"/>
      <c r="KB344" s="120"/>
      <c r="KC344" s="120"/>
      <c r="KD344" s="120"/>
      <c r="KE344" s="120"/>
      <c r="KF344" s="120"/>
      <c r="KG344" s="120"/>
      <c r="KH344" s="120"/>
      <c r="KI344" s="120"/>
      <c r="KJ344" s="120"/>
      <c r="KK344" s="120"/>
      <c r="KL344" s="120"/>
      <c r="KM344" s="120"/>
      <c r="KN344" s="120"/>
      <c r="KO344" s="120"/>
      <c r="KP344" s="120"/>
      <c r="KQ344" s="120"/>
      <c r="KR344" s="120"/>
      <c r="KS344" s="120"/>
      <c r="KT344" s="120"/>
      <c r="KU344" s="120"/>
      <c r="KV344" s="120"/>
      <c r="KW344" s="120"/>
      <c r="KX344" s="120"/>
      <c r="KY344" s="120"/>
      <c r="KZ344" s="120"/>
      <c r="LA344" s="120"/>
      <c r="LB344" s="120"/>
      <c r="LC344" s="120"/>
      <c r="LD344" s="120"/>
      <c r="LE344" s="120"/>
      <c r="LF344" s="120"/>
      <c r="LG344" s="120"/>
      <c r="LH344" s="120"/>
      <c r="LI344" s="120"/>
      <c r="LJ344" s="120"/>
      <c r="LK344" s="120"/>
      <c r="LL344" s="120"/>
      <c r="LM344" s="120"/>
      <c r="LN344" s="120"/>
      <c r="LO344" s="120"/>
      <c r="LP344" s="120"/>
      <c r="LQ344" s="120"/>
      <c r="LR344" s="120"/>
      <c r="LS344" s="120"/>
      <c r="LT344" s="120"/>
      <c r="LU344" s="120"/>
      <c r="LV344" s="120"/>
      <c r="LW344" s="120"/>
      <c r="LX344" s="120"/>
      <c r="LY344" s="120"/>
      <c r="LZ344" s="120"/>
      <c r="MA344" s="120"/>
      <c r="MB344" s="120"/>
      <c r="MC344" s="120"/>
      <c r="MD344" s="120"/>
      <c r="ME344" s="120"/>
      <c r="MF344" s="120"/>
      <c r="MG344" s="120"/>
      <c r="MH344" s="120"/>
      <c r="MI344" s="120"/>
      <c r="MJ344" s="120"/>
      <c r="MK344" s="120"/>
      <c r="ML344" s="120"/>
      <c r="MM344" s="120"/>
      <c r="MN344" s="120"/>
      <c r="MO344" s="120"/>
      <c r="MP344" s="120"/>
      <c r="MQ344" s="120"/>
      <c r="MR344" s="120"/>
      <c r="MS344" s="120"/>
      <c r="MT344" s="120"/>
      <c r="MU344" s="120"/>
      <c r="MV344" s="120"/>
      <c r="MW344" s="120"/>
      <c r="MX344" s="120"/>
      <c r="MY344" s="120"/>
      <c r="MZ344" s="120"/>
      <c r="NA344" s="120"/>
      <c r="NB344" s="120"/>
      <c r="NC344" s="120"/>
      <c r="ND344" s="120"/>
      <c r="NE344" s="120"/>
      <c r="NF344" s="120"/>
      <c r="NG344" s="120"/>
      <c r="NH344" s="120"/>
      <c r="NI344" s="120"/>
      <c r="NJ344" s="120"/>
      <c r="NK344" s="120"/>
      <c r="NL344" s="120"/>
      <c r="NM344" s="120"/>
      <c r="NN344" s="120"/>
      <c r="NO344" s="120"/>
      <c r="NP344" s="120"/>
      <c r="NQ344" s="120"/>
      <c r="NR344" s="120"/>
      <c r="NS344" s="120"/>
      <c r="NT344" s="120"/>
      <c r="NU344" s="120"/>
      <c r="NV344" s="120"/>
      <c r="NW344" s="120"/>
      <c r="NX344" s="120"/>
      <c r="NY344" s="120"/>
      <c r="NZ344" s="120"/>
      <c r="OA344" s="120"/>
      <c r="OB344" s="120"/>
      <c r="OC344" s="120"/>
      <c r="OD344" s="120"/>
      <c r="OE344" s="120"/>
      <c r="OF344" s="120"/>
      <c r="OG344" s="120"/>
      <c r="OH344" s="120"/>
      <c r="OI344" s="120"/>
      <c r="OJ344" s="120"/>
      <c r="OK344" s="120"/>
      <c r="OL344" s="120"/>
      <c r="OM344" s="120"/>
      <c r="ON344" s="120"/>
      <c r="OO344" s="120"/>
      <c r="OP344" s="120"/>
      <c r="OQ344" s="120"/>
      <c r="OR344" s="120"/>
      <c r="OS344" s="120"/>
      <c r="OT344" s="120"/>
      <c r="OU344" s="120"/>
      <c r="OV344" s="120"/>
      <c r="OW344" s="120"/>
      <c r="OX344" s="120"/>
      <c r="OY344" s="120"/>
      <c r="OZ344" s="120"/>
      <c r="PA344" s="120"/>
      <c r="PB344" s="120"/>
      <c r="PC344" s="120"/>
      <c r="PD344" s="120"/>
      <c r="PE344" s="120"/>
      <c r="PF344" s="120"/>
      <c r="PG344" s="120"/>
      <c r="PH344" s="120"/>
      <c r="PI344" s="120"/>
      <c r="PJ344" s="120"/>
      <c r="PK344" s="120"/>
      <c r="PL344" s="120"/>
      <c r="PM344" s="120"/>
      <c r="PN344" s="120"/>
      <c r="PO344" s="120"/>
      <c r="PP344" s="120"/>
      <c r="PQ344" s="120"/>
      <c r="PR344" s="120"/>
      <c r="PS344" s="120"/>
      <c r="PT344" s="120"/>
      <c r="PU344" s="120"/>
      <c r="PV344" s="120"/>
      <c r="PW344" s="120"/>
      <c r="PX344" s="120"/>
      <c r="PY344" s="120"/>
      <c r="PZ344" s="120"/>
      <c r="QA344" s="120"/>
      <c r="QB344" s="120"/>
      <c r="QC344" s="120"/>
      <c r="QD344" s="120"/>
      <c r="QE344" s="120"/>
      <c r="QF344" s="120"/>
      <c r="QG344" s="120"/>
      <c r="QH344" s="120"/>
      <c r="QI344" s="120"/>
      <c r="QJ344" s="120"/>
      <c r="QK344" s="120"/>
      <c r="QL344" s="120"/>
      <c r="QM344" s="120"/>
      <c r="QN344" s="120"/>
      <c r="QO344" s="120"/>
      <c r="QP344" s="120"/>
      <c r="QQ344" s="120"/>
      <c r="QR344" s="120"/>
      <c r="QS344" s="120"/>
      <c r="QT344" s="120"/>
      <c r="QU344" s="120"/>
      <c r="QV344" s="120"/>
      <c r="QW344" s="120"/>
      <c r="QX344" s="120"/>
      <c r="QY344" s="120"/>
      <c r="QZ344" s="120"/>
      <c r="RA344" s="120"/>
      <c r="RB344" s="120"/>
      <c r="RC344" s="120"/>
      <c r="RD344" s="120"/>
      <c r="RE344" s="120"/>
      <c r="RF344" s="120"/>
      <c r="RG344" s="120"/>
      <c r="RH344" s="120"/>
      <c r="RI344" s="120"/>
      <c r="RJ344" s="120"/>
      <c r="RK344" s="120"/>
      <c r="RL344" s="120"/>
      <c r="RM344" s="120"/>
      <c r="RN344" s="120"/>
      <c r="RO344" s="120"/>
      <c r="RP344" s="120"/>
      <c r="RQ344" s="120"/>
      <c r="RR344" s="120"/>
      <c r="RS344" s="120"/>
      <c r="RT344" s="120"/>
      <c r="RU344" s="120"/>
      <c r="RV344" s="120"/>
      <c r="RW344" s="120"/>
      <c r="RX344" s="120"/>
      <c r="RY344" s="120"/>
      <c r="RZ344" s="120"/>
      <c r="SA344" s="120"/>
      <c r="SB344" s="120"/>
      <c r="SC344" s="120"/>
      <c r="SD344" s="120"/>
      <c r="SE344" s="120"/>
      <c r="SF344" s="120"/>
      <c r="SG344" s="120"/>
      <c r="SH344" s="120"/>
      <c r="SI344" s="120"/>
      <c r="SJ344" s="120"/>
      <c r="SK344" s="120"/>
      <c r="SL344" s="120"/>
      <c r="SM344" s="120"/>
      <c r="SN344" s="120"/>
      <c r="SO344" s="120"/>
      <c r="SP344" s="120"/>
      <c r="SQ344" s="120"/>
      <c r="SR344" s="120"/>
      <c r="SS344" s="120"/>
      <c r="ST344" s="120"/>
      <c r="SU344" s="120"/>
      <c r="SV344" s="120"/>
      <c r="SW344" s="120"/>
      <c r="SX344" s="120"/>
      <c r="SY344" s="120"/>
      <c r="SZ344" s="120"/>
      <c r="TA344" s="120"/>
      <c r="TB344" s="120"/>
      <c r="TC344" s="120"/>
      <c r="TD344" s="120"/>
      <c r="TE344" s="120"/>
      <c r="TF344" s="120"/>
      <c r="TG344" s="120"/>
      <c r="TH344" s="120"/>
      <c r="TI344" s="120"/>
      <c r="TJ344" s="120"/>
      <c r="TK344" s="120"/>
      <c r="TL344" s="120"/>
      <c r="TM344" s="120"/>
      <c r="TN344" s="120"/>
      <c r="TO344" s="120"/>
      <c r="TP344" s="120"/>
      <c r="TQ344" s="120"/>
      <c r="TR344" s="120"/>
      <c r="TS344" s="120"/>
      <c r="TT344" s="120"/>
      <c r="TU344" s="120"/>
      <c r="TV344" s="120"/>
      <c r="TW344" s="120"/>
      <c r="TX344" s="120"/>
      <c r="TY344" s="120"/>
      <c r="TZ344" s="120"/>
      <c r="UA344" s="120"/>
      <c r="UB344" s="120"/>
      <c r="UC344" s="120"/>
      <c r="UD344" s="120"/>
      <c r="UE344" s="120"/>
      <c r="UF344" s="120"/>
      <c r="UG344" s="120"/>
      <c r="UH344" s="120"/>
      <c r="UI344" s="120"/>
      <c r="UJ344" s="120"/>
      <c r="UK344" s="120"/>
      <c r="UL344" s="120"/>
      <c r="UM344" s="120"/>
      <c r="UN344" s="120"/>
      <c r="UO344" s="120"/>
      <c r="UP344" s="120"/>
      <c r="UQ344" s="120"/>
      <c r="UR344" s="120"/>
      <c r="US344" s="120"/>
      <c r="UT344" s="120"/>
      <c r="UU344" s="120"/>
      <c r="UV344" s="120"/>
      <c r="UW344" s="120"/>
      <c r="UX344" s="120"/>
      <c r="UY344" s="120"/>
      <c r="UZ344" s="120"/>
      <c r="VA344" s="120"/>
      <c r="VB344" s="120"/>
      <c r="VC344" s="120"/>
      <c r="VD344" s="120"/>
      <c r="VE344" s="120"/>
      <c r="VF344" s="120"/>
      <c r="VG344" s="120"/>
      <c r="VH344" s="120"/>
      <c r="VI344" s="120"/>
      <c r="VJ344" s="120"/>
      <c r="VK344" s="120"/>
      <c r="VL344" s="120"/>
      <c r="VM344" s="120"/>
      <c r="VN344" s="120"/>
      <c r="VO344" s="120"/>
      <c r="VP344" s="120"/>
      <c r="VQ344" s="120"/>
      <c r="VR344" s="120"/>
      <c r="VS344" s="120"/>
      <c r="VT344" s="120"/>
      <c r="VU344" s="120"/>
      <c r="VV344" s="120"/>
      <c r="VW344" s="120"/>
      <c r="VX344" s="120"/>
      <c r="VY344" s="120"/>
      <c r="VZ344" s="120"/>
      <c r="WA344" s="120"/>
      <c r="WB344" s="120"/>
      <c r="WC344" s="120"/>
      <c r="WD344" s="120"/>
      <c r="WE344" s="120"/>
      <c r="WF344" s="120"/>
      <c r="WG344" s="120"/>
      <c r="WH344" s="120"/>
      <c r="WI344" s="120"/>
      <c r="WJ344" s="120"/>
      <c r="WK344" s="120"/>
      <c r="WL344" s="120"/>
      <c r="WM344" s="120"/>
      <c r="WN344" s="120"/>
      <c r="WO344" s="120"/>
      <c r="WP344" s="120"/>
      <c r="WQ344" s="120"/>
      <c r="WR344" s="120"/>
      <c r="WS344" s="120"/>
      <c r="WT344" s="120"/>
      <c r="WU344" s="120"/>
      <c r="WV344" s="120"/>
      <c r="WW344" s="120"/>
      <c r="WX344" s="120"/>
      <c r="WY344" s="120"/>
      <c r="WZ344" s="120"/>
      <c r="XA344" s="120"/>
      <c r="XB344" s="120"/>
      <c r="XC344" s="120"/>
      <c r="XD344" s="120"/>
      <c r="XE344" s="120"/>
      <c r="XF344" s="120"/>
      <c r="XG344" s="120"/>
      <c r="XH344" s="120"/>
      <c r="XI344" s="120"/>
      <c r="XJ344" s="120"/>
      <c r="XK344" s="120"/>
      <c r="XL344" s="120"/>
      <c r="XM344" s="120"/>
      <c r="XN344" s="120"/>
      <c r="XO344" s="120"/>
      <c r="XP344" s="120"/>
      <c r="XQ344" s="120"/>
      <c r="XR344" s="120"/>
      <c r="XS344" s="120"/>
      <c r="XT344" s="120"/>
      <c r="XU344" s="120"/>
      <c r="XV344" s="120"/>
      <c r="XW344" s="120"/>
      <c r="XX344" s="120"/>
      <c r="XY344" s="120"/>
      <c r="XZ344" s="120"/>
      <c r="YA344" s="120"/>
      <c r="YB344" s="120"/>
      <c r="YC344" s="120"/>
      <c r="YD344" s="120"/>
      <c r="YE344" s="120"/>
      <c r="YF344" s="120"/>
      <c r="YG344" s="120"/>
      <c r="YH344" s="120"/>
      <c r="YI344" s="120"/>
      <c r="YJ344" s="120"/>
      <c r="YK344" s="120"/>
      <c r="YL344" s="120"/>
      <c r="YM344" s="120"/>
      <c r="YN344" s="120"/>
      <c r="YO344" s="120"/>
      <c r="YP344" s="120"/>
      <c r="YQ344" s="120"/>
      <c r="YR344" s="120"/>
      <c r="YS344" s="120"/>
      <c r="YT344" s="120"/>
      <c r="YU344" s="120"/>
      <c r="YV344" s="120"/>
      <c r="YW344" s="120"/>
      <c r="YX344" s="120"/>
      <c r="YY344" s="120"/>
      <c r="YZ344" s="120"/>
      <c r="ZA344" s="120"/>
      <c r="ZB344" s="120"/>
      <c r="ZC344" s="120"/>
      <c r="ZD344" s="120"/>
      <c r="ZE344" s="120"/>
      <c r="ZF344" s="120"/>
      <c r="ZG344" s="120"/>
      <c r="ZH344" s="120"/>
      <c r="ZI344" s="120"/>
      <c r="ZJ344" s="120"/>
      <c r="ZK344" s="120"/>
      <c r="ZL344" s="120"/>
      <c r="ZM344" s="120"/>
      <c r="ZN344" s="120"/>
      <c r="ZO344" s="120"/>
      <c r="ZP344" s="120"/>
      <c r="ZQ344" s="120"/>
      <c r="ZR344" s="120"/>
      <c r="ZS344" s="120"/>
      <c r="ZT344" s="120"/>
      <c r="ZU344" s="120"/>
      <c r="ZV344" s="120"/>
      <c r="ZW344" s="120"/>
      <c r="ZX344" s="120"/>
      <c r="ZY344" s="120"/>
      <c r="ZZ344" s="120"/>
      <c r="AAA344" s="120"/>
      <c r="AAB344" s="120"/>
      <c r="AAC344" s="120"/>
      <c r="AAD344" s="120"/>
      <c r="AAE344" s="120"/>
      <c r="AAF344" s="120"/>
      <c r="AAG344" s="120"/>
      <c r="AAH344" s="120"/>
      <c r="AAI344" s="120"/>
      <c r="AAJ344" s="120"/>
      <c r="AAK344" s="120"/>
      <c r="AAL344" s="120"/>
      <c r="AAM344" s="120"/>
      <c r="AAN344" s="120"/>
      <c r="AAO344" s="120"/>
      <c r="AAP344" s="120"/>
      <c r="AAQ344" s="120"/>
      <c r="AAR344" s="120"/>
      <c r="AAS344" s="120"/>
      <c r="AAT344" s="120"/>
      <c r="AAU344" s="120"/>
      <c r="AAV344" s="120"/>
      <c r="AAW344" s="120"/>
      <c r="AAX344" s="120"/>
      <c r="AAY344" s="120"/>
      <c r="AAZ344" s="120"/>
      <c r="ABA344" s="120"/>
      <c r="ABB344" s="120"/>
      <c r="ABC344" s="120"/>
      <c r="ABD344" s="120"/>
      <c r="ABE344" s="120"/>
      <c r="ABF344" s="120"/>
      <c r="ABG344" s="120"/>
      <c r="ABH344" s="120"/>
      <c r="ABI344" s="120"/>
      <c r="ABJ344" s="120"/>
      <c r="ABK344" s="120"/>
      <c r="ABL344" s="120"/>
      <c r="ABM344" s="120"/>
      <c r="ABN344" s="120"/>
      <c r="ABO344" s="120"/>
      <c r="ABP344" s="120"/>
      <c r="ABQ344" s="120"/>
      <c r="ABR344" s="120"/>
      <c r="ABS344" s="120"/>
      <c r="ABT344" s="120"/>
      <c r="ABU344" s="120"/>
      <c r="ABV344" s="120"/>
      <c r="ABW344" s="120"/>
      <c r="ABX344" s="120"/>
      <c r="ABY344" s="120"/>
      <c r="ABZ344" s="120"/>
      <c r="ACA344" s="120"/>
      <c r="ACB344" s="120"/>
      <c r="ACC344" s="120"/>
      <c r="ACD344" s="120"/>
      <c r="ACE344" s="120"/>
      <c r="ACF344" s="120"/>
      <c r="ACG344" s="120"/>
      <c r="ACH344" s="120"/>
      <c r="ACI344" s="120"/>
      <c r="ACJ344" s="120"/>
      <c r="ACK344" s="120"/>
      <c r="ACL344" s="120"/>
      <c r="ACM344" s="120"/>
      <c r="ACN344" s="120"/>
      <c r="ACO344" s="120"/>
      <c r="ACP344" s="120"/>
      <c r="ACQ344" s="120"/>
      <c r="ACR344" s="120"/>
      <c r="ACS344" s="120"/>
      <c r="ACT344" s="120"/>
      <c r="ACU344" s="120"/>
      <c r="ACV344" s="120"/>
      <c r="ACW344" s="120"/>
      <c r="ACX344" s="120"/>
      <c r="ACY344" s="120"/>
      <c r="ACZ344" s="120"/>
      <c r="ADA344" s="120"/>
      <c r="ADB344" s="120"/>
      <c r="ADC344" s="120"/>
      <c r="ADD344" s="120"/>
      <c r="ADE344" s="120"/>
      <c r="ADF344" s="120"/>
      <c r="ADG344" s="120"/>
      <c r="ADH344" s="120"/>
      <c r="ADI344" s="120"/>
      <c r="ADJ344" s="120"/>
      <c r="ADK344" s="120"/>
      <c r="ADL344" s="120"/>
      <c r="ADM344" s="120"/>
      <c r="ADN344" s="120"/>
      <c r="ADO344" s="120"/>
      <c r="ADP344" s="120"/>
      <c r="ADQ344" s="120"/>
      <c r="ADR344" s="120"/>
      <c r="ADS344" s="120"/>
      <c r="ADT344" s="120"/>
      <c r="ADU344" s="120"/>
      <c r="ADV344" s="120"/>
      <c r="ADW344" s="120"/>
      <c r="ADX344" s="120"/>
      <c r="ADY344" s="120"/>
      <c r="ADZ344" s="120"/>
      <c r="AEA344" s="120"/>
      <c r="AEB344" s="120"/>
      <c r="AEC344" s="120"/>
      <c r="AED344" s="120"/>
      <c r="AEE344" s="120"/>
      <c r="AEF344" s="120"/>
      <c r="AEG344" s="120"/>
      <c r="AEH344" s="120"/>
      <c r="AEI344" s="120"/>
      <c r="AEJ344" s="120"/>
      <c r="AEK344" s="120"/>
      <c r="AEL344" s="120"/>
      <c r="AEM344" s="120"/>
      <c r="AEN344" s="120"/>
      <c r="AEO344" s="120"/>
      <c r="AEP344" s="120"/>
      <c r="AEQ344" s="120"/>
      <c r="AER344" s="120"/>
      <c r="AES344" s="120"/>
      <c r="AET344" s="120"/>
      <c r="AEU344" s="120"/>
      <c r="AEV344" s="120"/>
      <c r="AEW344" s="120"/>
      <c r="AEX344" s="120"/>
      <c r="AEY344" s="120"/>
      <c r="AEZ344" s="120"/>
      <c r="AFA344" s="120"/>
      <c r="AFB344" s="120"/>
      <c r="AFC344" s="120"/>
      <c r="AFD344" s="120"/>
      <c r="AFE344" s="120"/>
      <c r="AFF344" s="120"/>
      <c r="AFG344" s="120"/>
      <c r="AFH344" s="120"/>
      <c r="AFI344" s="120"/>
      <c r="AFJ344" s="120"/>
      <c r="AFK344" s="120"/>
      <c r="AFL344" s="120"/>
      <c r="AFM344" s="120"/>
      <c r="AFN344" s="120"/>
      <c r="AFO344" s="120"/>
      <c r="AFP344" s="120"/>
      <c r="AFQ344" s="120"/>
      <c r="AFR344" s="120"/>
      <c r="AFS344" s="120"/>
      <c r="AFT344" s="120"/>
      <c r="AFU344" s="120"/>
      <c r="AFV344" s="120"/>
      <c r="AFW344" s="120"/>
      <c r="AFX344" s="120"/>
      <c r="AFY344" s="120"/>
      <c r="AFZ344" s="120"/>
      <c r="AGA344" s="120"/>
      <c r="AGB344" s="120"/>
      <c r="AGC344" s="120"/>
      <c r="AGD344" s="120"/>
      <c r="AGE344" s="120"/>
      <c r="AGF344" s="120"/>
      <c r="AGG344" s="120"/>
      <c r="AGH344" s="120"/>
      <c r="AGI344" s="120"/>
      <c r="AGJ344" s="120"/>
      <c r="AGK344" s="120"/>
      <c r="AGL344" s="120"/>
      <c r="AGM344" s="120"/>
      <c r="AGN344" s="120"/>
      <c r="AGO344" s="120"/>
      <c r="AGP344" s="120"/>
      <c r="AGQ344" s="120"/>
      <c r="AGR344" s="120"/>
      <c r="AGS344" s="120"/>
      <c r="AGT344" s="120"/>
      <c r="AGU344" s="120"/>
      <c r="AGV344" s="120"/>
      <c r="AGW344" s="120"/>
      <c r="AGX344" s="120"/>
      <c r="AGY344" s="120"/>
      <c r="AGZ344" s="120"/>
      <c r="AHA344" s="120"/>
      <c r="AHB344" s="120"/>
      <c r="AHC344" s="120"/>
      <c r="AHD344" s="120"/>
      <c r="AHE344" s="120"/>
      <c r="AHF344" s="120"/>
      <c r="AHG344" s="120"/>
      <c r="AHH344" s="120"/>
      <c r="AHI344" s="120"/>
      <c r="AHJ344" s="120"/>
      <c r="AHK344" s="120"/>
      <c r="AHL344" s="120"/>
      <c r="AHM344" s="120"/>
      <c r="AHN344" s="120"/>
      <c r="AHO344" s="120"/>
      <c r="AHP344" s="120"/>
      <c r="AHQ344" s="120"/>
      <c r="AHR344" s="120"/>
      <c r="AHS344" s="120"/>
      <c r="AHT344" s="120"/>
      <c r="AHU344" s="120"/>
      <c r="AHV344" s="120"/>
      <c r="AHW344" s="120"/>
      <c r="AHX344" s="120"/>
      <c r="AHY344" s="120"/>
      <c r="AHZ344" s="120"/>
      <c r="AIA344" s="120"/>
      <c r="AIB344" s="120"/>
      <c r="AIC344" s="120"/>
      <c r="AID344" s="120"/>
      <c r="AIE344" s="120"/>
      <c r="AIF344" s="120"/>
      <c r="AIG344" s="120"/>
      <c r="AIH344" s="120"/>
      <c r="AII344" s="120"/>
      <c r="AIJ344" s="120"/>
      <c r="AIK344" s="120"/>
      <c r="AIL344" s="120"/>
      <c r="AIM344" s="120"/>
      <c r="AIN344" s="120"/>
      <c r="AIO344" s="120"/>
      <c r="AIP344" s="120"/>
      <c r="AIQ344" s="120"/>
      <c r="AIR344" s="120"/>
      <c r="AIS344" s="120"/>
      <c r="AIT344" s="120"/>
      <c r="AIU344" s="120"/>
      <c r="AIV344" s="120"/>
      <c r="AIW344" s="120"/>
      <c r="AIX344" s="120"/>
      <c r="AIY344" s="120"/>
      <c r="AIZ344" s="120"/>
    </row>
    <row r="345">
      <c r="A345" s="112" t="s">
        <v>88</v>
      </c>
      <c r="B345" s="112" t="s">
        <v>90</v>
      </c>
      <c r="C345" s="112"/>
      <c r="D345" s="113">
        <f t="shared" si="1"/>
        <v>637.4588833</v>
      </c>
      <c r="E345" s="112">
        <v>86.1854</v>
      </c>
      <c r="F345" s="113"/>
      <c r="G345" s="113"/>
      <c r="H345" s="113"/>
      <c r="I345" s="113"/>
      <c r="J345" s="113"/>
      <c r="K345" s="113"/>
      <c r="L345" s="112">
        <v>0.90425</v>
      </c>
      <c r="M345" s="112">
        <v>1.6916</v>
      </c>
      <c r="N345" s="113"/>
      <c r="O345" s="113"/>
      <c r="P345" s="112">
        <v>24.3823166666667</v>
      </c>
      <c r="Q345" s="113"/>
      <c r="R345" s="113"/>
      <c r="S345" s="113"/>
      <c r="T345" s="113"/>
      <c r="U345" s="113"/>
      <c r="V345" s="112">
        <v>0.0835</v>
      </c>
      <c r="W345" s="112">
        <v>30.6126166666666</v>
      </c>
      <c r="X345" s="113"/>
      <c r="Y345" s="113"/>
      <c r="Z345" s="113"/>
      <c r="AA345" s="113"/>
      <c r="AB345" s="113"/>
      <c r="AC345" s="112">
        <v>0.30595</v>
      </c>
      <c r="AD345" s="112">
        <v>87.442</v>
      </c>
      <c r="AE345" s="113"/>
      <c r="AF345" s="113"/>
      <c r="AG345" s="113"/>
      <c r="AH345" s="113"/>
      <c r="AI345" s="113"/>
      <c r="AJ345" s="112">
        <v>2.41251666666667</v>
      </c>
      <c r="AK345" s="112">
        <v>114.570116666667</v>
      </c>
      <c r="AL345" s="113"/>
      <c r="AM345" s="113"/>
      <c r="AN345" s="113"/>
      <c r="AO345" s="112">
        <v>2.68416666666667</v>
      </c>
      <c r="AP345" s="112">
        <v>88.9935499999999</v>
      </c>
      <c r="AQ345" s="113"/>
      <c r="AR345" s="113"/>
      <c r="AS345" s="112">
        <v>5.17441666666667</v>
      </c>
      <c r="AT345" s="112">
        <v>183.66055</v>
      </c>
      <c r="AU345" s="113"/>
      <c r="AV345" s="112">
        <v>7.94025</v>
      </c>
      <c r="AW345" s="112">
        <v>0.415683333333333</v>
      </c>
      <c r="AX345" s="113"/>
      <c r="AY345" s="113"/>
      <c r="AZ345" s="113"/>
      <c r="BA345" s="113"/>
      <c r="BB345" s="113"/>
      <c r="BC345" s="113"/>
      <c r="BD345" s="113"/>
      <c r="BE345" s="113"/>
      <c r="BF345" s="113"/>
      <c r="BG345" s="113"/>
      <c r="BH345" s="113"/>
      <c r="BI345" s="113"/>
      <c r="BJ345" s="113"/>
      <c r="BK345" s="113"/>
      <c r="BL345" s="113"/>
      <c r="BM345" s="113"/>
      <c r="BN345" s="113"/>
      <c r="BO345" s="113"/>
      <c r="BP345" s="113"/>
      <c r="BQ345" s="113"/>
      <c r="BR345" s="113"/>
      <c r="BS345" s="113"/>
      <c r="BT345" s="113"/>
      <c r="BU345" s="113"/>
      <c r="BV345" s="113"/>
      <c r="BW345" s="113"/>
      <c r="BX345" s="113"/>
      <c r="BY345" s="113"/>
      <c r="BZ345" s="113"/>
      <c r="CA345" s="113"/>
      <c r="CB345" s="113"/>
      <c r="CC345" s="113"/>
      <c r="CD345" s="113"/>
      <c r="CE345" s="113"/>
      <c r="CF345" s="113"/>
      <c r="CG345" s="113"/>
      <c r="CH345" s="113"/>
      <c r="CI345" s="113"/>
      <c r="CJ345" s="113"/>
      <c r="CK345" s="113"/>
      <c r="CL345" s="113"/>
      <c r="CM345" s="113"/>
      <c r="CN345" s="113"/>
      <c r="CO345" s="113"/>
      <c r="CP345" s="113"/>
      <c r="CQ345" s="113"/>
      <c r="CR345" s="113"/>
      <c r="CS345" s="113"/>
      <c r="CT345" s="113"/>
      <c r="CU345" s="113"/>
      <c r="CV345" s="113"/>
      <c r="CW345" s="113"/>
      <c r="CX345" s="113"/>
      <c r="CY345" s="113"/>
      <c r="CZ345" s="113"/>
      <c r="DA345" s="113"/>
      <c r="DB345" s="113"/>
      <c r="DC345" s="113"/>
      <c r="DD345" s="113"/>
      <c r="DE345" s="113"/>
      <c r="DF345" s="113"/>
      <c r="DG345" s="113"/>
      <c r="DH345" s="113"/>
      <c r="DI345" s="113"/>
      <c r="DJ345" s="113"/>
      <c r="DK345" s="113"/>
      <c r="DL345" s="113"/>
      <c r="DM345" s="113"/>
      <c r="DN345" s="113"/>
      <c r="DO345" s="113"/>
      <c r="DP345" s="113"/>
      <c r="DQ345" s="113"/>
      <c r="DR345" s="113"/>
      <c r="DS345" s="113"/>
      <c r="DT345" s="113"/>
      <c r="DU345" s="113"/>
      <c r="DV345" s="113"/>
      <c r="DW345" s="113"/>
      <c r="DX345" s="113"/>
      <c r="DY345" s="113"/>
      <c r="DZ345" s="113"/>
      <c r="EA345" s="113"/>
      <c r="EB345" s="113"/>
      <c r="EC345" s="113"/>
      <c r="ED345" s="113"/>
      <c r="EE345" s="113"/>
      <c r="EF345" s="113"/>
      <c r="EG345" s="113"/>
      <c r="EH345" s="113"/>
      <c r="EI345" s="113"/>
      <c r="EJ345" s="113"/>
      <c r="EK345" s="113"/>
      <c r="EL345" s="113"/>
      <c r="EM345" s="113"/>
      <c r="EN345" s="113"/>
      <c r="EO345" s="113"/>
      <c r="EP345" s="113"/>
      <c r="EQ345" s="113"/>
      <c r="ER345" s="113"/>
      <c r="ES345" s="113"/>
      <c r="ET345" s="113"/>
      <c r="EU345" s="113"/>
      <c r="EV345" s="113"/>
      <c r="EW345" s="113"/>
      <c r="EX345" s="113"/>
      <c r="EY345" s="113"/>
      <c r="EZ345" s="113"/>
      <c r="FA345" s="113"/>
      <c r="FB345" s="113"/>
      <c r="FC345" s="113"/>
      <c r="FD345" s="113"/>
      <c r="FE345" s="113"/>
      <c r="FF345" s="113"/>
      <c r="FG345" s="113"/>
      <c r="FH345" s="113"/>
      <c r="FI345" s="113"/>
      <c r="FJ345" s="113"/>
      <c r="FK345" s="113"/>
      <c r="FL345" s="113"/>
      <c r="FM345" s="113"/>
      <c r="FN345" s="113"/>
      <c r="FO345" s="113"/>
      <c r="FP345" s="113"/>
      <c r="FQ345" s="113"/>
      <c r="FR345" s="113"/>
      <c r="FS345" s="113"/>
      <c r="FT345" s="113"/>
      <c r="FU345" s="113"/>
      <c r="FV345" s="113"/>
      <c r="FW345" s="113"/>
      <c r="FX345" s="113"/>
      <c r="FY345" s="113"/>
      <c r="FZ345" s="113"/>
      <c r="GA345" s="113"/>
      <c r="GB345" s="113"/>
      <c r="GC345" s="113"/>
      <c r="GD345" s="113"/>
      <c r="GE345" s="113"/>
      <c r="GF345" s="113"/>
      <c r="GG345" s="113"/>
      <c r="GH345" s="113"/>
      <c r="GI345" s="113"/>
      <c r="GJ345" s="113"/>
      <c r="GK345" s="113"/>
      <c r="GL345" s="113"/>
      <c r="GM345" s="113"/>
      <c r="GN345" s="113"/>
      <c r="GO345" s="113"/>
      <c r="GP345" s="113"/>
      <c r="GQ345" s="113"/>
      <c r="GR345" s="113"/>
      <c r="GS345" s="113"/>
      <c r="GT345" s="113"/>
      <c r="GU345" s="113"/>
      <c r="GV345" s="113"/>
      <c r="GW345" s="113"/>
      <c r="GX345" s="113"/>
      <c r="GY345" s="113"/>
      <c r="GZ345" s="113"/>
      <c r="HA345" s="113"/>
      <c r="HB345" s="113"/>
      <c r="HC345" s="113"/>
      <c r="HD345" s="113"/>
      <c r="HE345" s="113"/>
      <c r="HF345" s="113"/>
      <c r="HG345" s="113"/>
      <c r="HH345" s="113"/>
      <c r="HI345" s="113"/>
      <c r="HJ345" s="113"/>
      <c r="HK345" s="113"/>
      <c r="HL345" s="113"/>
      <c r="HM345" s="113"/>
      <c r="HN345" s="113"/>
      <c r="HO345" s="113"/>
      <c r="HP345" s="113"/>
      <c r="HQ345" s="113"/>
      <c r="HR345" s="113"/>
      <c r="HS345" s="113"/>
      <c r="HT345" s="113"/>
      <c r="HU345" s="113"/>
      <c r="HV345" s="113"/>
      <c r="HW345" s="113"/>
      <c r="HX345" s="113"/>
      <c r="HY345" s="113"/>
      <c r="HZ345" s="113"/>
      <c r="IA345" s="113"/>
      <c r="IB345" s="113"/>
      <c r="IC345" s="113"/>
      <c r="ID345" s="113"/>
      <c r="IE345" s="113"/>
      <c r="IF345" s="113"/>
      <c r="IG345" s="113"/>
      <c r="IH345" s="113"/>
      <c r="II345" s="113"/>
      <c r="IJ345" s="113"/>
      <c r="IK345" s="113"/>
      <c r="IL345" s="113"/>
      <c r="IM345" s="113"/>
      <c r="IN345" s="113"/>
      <c r="IO345" s="113"/>
      <c r="IP345" s="113"/>
      <c r="IQ345" s="113"/>
      <c r="IR345" s="113"/>
      <c r="IS345" s="113"/>
      <c r="IT345" s="113"/>
      <c r="IU345" s="113"/>
      <c r="IV345" s="113"/>
      <c r="IW345" s="113"/>
      <c r="IX345" s="113"/>
      <c r="IY345" s="113"/>
      <c r="IZ345" s="113"/>
      <c r="JA345" s="113"/>
      <c r="JB345" s="113"/>
      <c r="JC345" s="113"/>
      <c r="JD345" s="113"/>
      <c r="JE345" s="113"/>
      <c r="JF345" s="113"/>
      <c r="JG345" s="113"/>
      <c r="JH345" s="113"/>
      <c r="JI345" s="113"/>
      <c r="JJ345" s="113"/>
      <c r="JK345" s="113"/>
      <c r="JL345" s="113"/>
      <c r="JM345" s="113"/>
      <c r="JN345" s="113"/>
      <c r="JO345" s="113"/>
      <c r="JP345" s="113"/>
      <c r="JQ345" s="113"/>
      <c r="JR345" s="113"/>
      <c r="JS345" s="113"/>
      <c r="JT345" s="113"/>
      <c r="JU345" s="113"/>
      <c r="JV345" s="113"/>
      <c r="JW345" s="113"/>
      <c r="JX345" s="113"/>
      <c r="JY345" s="113"/>
      <c r="JZ345" s="113"/>
      <c r="KA345" s="113"/>
      <c r="KB345" s="113"/>
      <c r="KC345" s="113"/>
      <c r="KD345" s="113"/>
      <c r="KE345" s="113"/>
      <c r="KF345" s="113"/>
      <c r="KG345" s="113"/>
      <c r="KH345" s="113"/>
      <c r="KI345" s="113"/>
      <c r="KJ345" s="113"/>
      <c r="KK345" s="113"/>
      <c r="KL345" s="113"/>
      <c r="KM345" s="113"/>
      <c r="KN345" s="113"/>
      <c r="KO345" s="113"/>
      <c r="KP345" s="113"/>
      <c r="KQ345" s="113"/>
      <c r="KR345" s="113"/>
      <c r="KS345" s="113"/>
      <c r="KT345" s="113"/>
      <c r="KU345" s="113"/>
      <c r="KV345" s="113"/>
      <c r="KW345" s="113"/>
      <c r="KX345" s="113"/>
      <c r="KY345" s="113"/>
      <c r="KZ345" s="113"/>
      <c r="LA345" s="113"/>
      <c r="LB345" s="113"/>
      <c r="LC345" s="113"/>
      <c r="LD345" s="113"/>
      <c r="LE345" s="113"/>
      <c r="LF345" s="113"/>
      <c r="LG345" s="113"/>
      <c r="LH345" s="113"/>
      <c r="LI345" s="113"/>
      <c r="LJ345" s="113"/>
      <c r="LK345" s="113"/>
      <c r="LL345" s="113"/>
      <c r="LM345" s="113"/>
      <c r="LN345" s="113"/>
      <c r="LO345" s="113"/>
      <c r="LP345" s="113"/>
      <c r="LQ345" s="113"/>
      <c r="LR345" s="113"/>
      <c r="LS345" s="113"/>
      <c r="LT345" s="113"/>
      <c r="LU345" s="113"/>
      <c r="LV345" s="113"/>
      <c r="LW345" s="113"/>
      <c r="LX345" s="113"/>
      <c r="LY345" s="113"/>
      <c r="LZ345" s="113"/>
      <c r="MA345" s="113"/>
      <c r="MB345" s="113"/>
      <c r="MC345" s="113"/>
      <c r="MD345" s="113"/>
      <c r="ME345" s="113"/>
      <c r="MF345" s="113"/>
      <c r="MG345" s="113"/>
      <c r="MH345" s="113"/>
      <c r="MI345" s="113"/>
      <c r="MJ345" s="113"/>
      <c r="MK345" s="113"/>
      <c r="ML345" s="113"/>
      <c r="MM345" s="113"/>
      <c r="MN345" s="113"/>
      <c r="MO345" s="113"/>
      <c r="MP345" s="113"/>
      <c r="MQ345" s="113"/>
      <c r="MR345" s="113"/>
      <c r="MS345" s="113"/>
      <c r="MT345" s="113"/>
      <c r="MU345" s="113"/>
      <c r="MV345" s="113"/>
      <c r="MW345" s="113"/>
      <c r="MX345" s="113"/>
      <c r="MY345" s="113"/>
      <c r="MZ345" s="113"/>
      <c r="NA345" s="113"/>
      <c r="NB345" s="113"/>
      <c r="NC345" s="113"/>
      <c r="ND345" s="113"/>
      <c r="NE345" s="113"/>
      <c r="NF345" s="113"/>
      <c r="NG345" s="113"/>
      <c r="NH345" s="113"/>
      <c r="NI345" s="113"/>
      <c r="NJ345" s="113"/>
      <c r="NK345" s="113"/>
      <c r="NL345" s="113"/>
      <c r="NM345" s="113"/>
      <c r="NN345" s="113"/>
      <c r="NO345" s="113"/>
      <c r="NP345" s="113"/>
      <c r="NQ345" s="113"/>
      <c r="NR345" s="113"/>
      <c r="NS345" s="113"/>
      <c r="NT345" s="113"/>
      <c r="NU345" s="113"/>
      <c r="NV345" s="113"/>
      <c r="NW345" s="113"/>
      <c r="NX345" s="113"/>
      <c r="NY345" s="113"/>
      <c r="NZ345" s="113"/>
      <c r="OA345" s="113"/>
      <c r="OB345" s="113"/>
      <c r="OC345" s="113"/>
      <c r="OD345" s="113"/>
      <c r="OE345" s="113"/>
      <c r="OF345" s="113"/>
      <c r="OG345" s="113"/>
      <c r="OH345" s="113"/>
      <c r="OI345" s="113"/>
      <c r="OJ345" s="113"/>
      <c r="OK345" s="113"/>
      <c r="OL345" s="113"/>
      <c r="OM345" s="113"/>
      <c r="ON345" s="113"/>
      <c r="OO345" s="113"/>
      <c r="OP345" s="113"/>
      <c r="OQ345" s="113"/>
      <c r="OR345" s="113"/>
      <c r="OS345" s="113"/>
      <c r="OT345" s="113"/>
      <c r="OU345" s="113"/>
      <c r="OV345" s="113"/>
      <c r="OW345" s="113"/>
      <c r="OX345" s="113"/>
      <c r="OY345" s="113"/>
      <c r="OZ345" s="113"/>
      <c r="PA345" s="113"/>
      <c r="PB345" s="113"/>
      <c r="PC345" s="113"/>
      <c r="PD345" s="113"/>
      <c r="PE345" s="113"/>
      <c r="PF345" s="113"/>
      <c r="PG345" s="113"/>
      <c r="PH345" s="113"/>
      <c r="PI345" s="113"/>
      <c r="PJ345" s="113"/>
      <c r="PK345" s="113"/>
      <c r="PL345" s="113"/>
      <c r="PM345" s="113"/>
      <c r="PN345" s="113"/>
      <c r="PO345" s="113"/>
      <c r="PP345" s="113"/>
      <c r="PQ345" s="113"/>
      <c r="PR345" s="113"/>
      <c r="PS345" s="113"/>
      <c r="PT345" s="113"/>
      <c r="PU345" s="113"/>
      <c r="PV345" s="113"/>
      <c r="PW345" s="113"/>
      <c r="PX345" s="113"/>
      <c r="PY345" s="113"/>
      <c r="PZ345" s="113"/>
      <c r="QA345" s="113"/>
      <c r="QB345" s="113"/>
      <c r="QC345" s="113"/>
      <c r="QD345" s="113"/>
      <c r="QE345" s="113"/>
      <c r="QF345" s="113"/>
      <c r="QG345" s="113"/>
      <c r="QH345" s="113"/>
      <c r="QI345" s="113"/>
      <c r="QJ345" s="113"/>
      <c r="QK345" s="113"/>
      <c r="QL345" s="113"/>
      <c r="QM345" s="113"/>
      <c r="QN345" s="113"/>
      <c r="QO345" s="113"/>
      <c r="QP345" s="113"/>
      <c r="QQ345" s="113"/>
      <c r="QR345" s="113"/>
      <c r="QS345" s="113"/>
      <c r="QT345" s="113"/>
      <c r="QU345" s="113"/>
      <c r="QV345" s="113"/>
      <c r="QW345" s="113"/>
      <c r="QX345" s="113"/>
      <c r="QY345" s="113"/>
      <c r="QZ345" s="113"/>
      <c r="RA345" s="113"/>
      <c r="RB345" s="113"/>
      <c r="RC345" s="113"/>
      <c r="RD345" s="113"/>
      <c r="RE345" s="113"/>
      <c r="RF345" s="113"/>
      <c r="RG345" s="113"/>
      <c r="RH345" s="113"/>
      <c r="RI345" s="113"/>
      <c r="RJ345" s="113"/>
      <c r="RK345" s="113"/>
      <c r="RL345" s="113"/>
      <c r="RM345" s="113"/>
      <c r="RN345" s="113"/>
      <c r="RO345" s="113"/>
      <c r="RP345" s="113"/>
      <c r="RQ345" s="113"/>
      <c r="RR345" s="113"/>
      <c r="RS345" s="113"/>
      <c r="RT345" s="113"/>
      <c r="RU345" s="113"/>
      <c r="RV345" s="113"/>
      <c r="RW345" s="113"/>
      <c r="RX345" s="113"/>
      <c r="RY345" s="113"/>
      <c r="RZ345" s="113"/>
      <c r="SA345" s="113"/>
      <c r="SB345" s="113"/>
      <c r="SC345" s="113"/>
      <c r="SD345" s="113"/>
      <c r="SE345" s="113"/>
      <c r="SF345" s="113"/>
      <c r="SG345" s="113"/>
      <c r="SH345" s="113"/>
      <c r="SI345" s="113"/>
      <c r="SJ345" s="113"/>
      <c r="SK345" s="113"/>
      <c r="SL345" s="113"/>
      <c r="SM345" s="113"/>
      <c r="SN345" s="113"/>
      <c r="SO345" s="113"/>
      <c r="SP345" s="113"/>
      <c r="SQ345" s="113"/>
      <c r="SR345" s="113"/>
      <c r="SS345" s="113"/>
      <c r="ST345" s="113"/>
      <c r="SU345" s="113"/>
      <c r="SV345" s="113"/>
      <c r="SW345" s="113"/>
      <c r="SX345" s="113"/>
      <c r="SY345" s="113"/>
      <c r="SZ345" s="113"/>
      <c r="TA345" s="113"/>
      <c r="TB345" s="113"/>
      <c r="TC345" s="113"/>
      <c r="TD345" s="113"/>
      <c r="TE345" s="113"/>
      <c r="TF345" s="113"/>
      <c r="TG345" s="113"/>
      <c r="TH345" s="113"/>
      <c r="TI345" s="113"/>
      <c r="TJ345" s="113"/>
      <c r="TK345" s="113"/>
      <c r="TL345" s="113"/>
      <c r="TM345" s="113"/>
      <c r="TN345" s="113"/>
      <c r="TO345" s="113"/>
      <c r="TP345" s="113"/>
      <c r="TQ345" s="113"/>
      <c r="TR345" s="113"/>
      <c r="TS345" s="113"/>
      <c r="TT345" s="113"/>
      <c r="TU345" s="113"/>
      <c r="TV345" s="113"/>
      <c r="TW345" s="113"/>
      <c r="TX345" s="113"/>
      <c r="TY345" s="113"/>
      <c r="TZ345" s="113"/>
      <c r="UA345" s="113"/>
      <c r="UB345" s="113"/>
      <c r="UC345" s="113"/>
      <c r="UD345" s="113"/>
      <c r="UE345" s="113"/>
      <c r="UF345" s="113"/>
      <c r="UG345" s="113"/>
      <c r="UH345" s="113"/>
      <c r="UI345" s="113"/>
      <c r="UJ345" s="113"/>
      <c r="UK345" s="113"/>
      <c r="UL345" s="113"/>
      <c r="UM345" s="113"/>
      <c r="UN345" s="113"/>
      <c r="UO345" s="113"/>
      <c r="UP345" s="113"/>
      <c r="UQ345" s="113"/>
      <c r="UR345" s="113"/>
      <c r="US345" s="113"/>
      <c r="UT345" s="113"/>
      <c r="UU345" s="113"/>
      <c r="UV345" s="113"/>
      <c r="UW345" s="113"/>
      <c r="UX345" s="113"/>
      <c r="UY345" s="113"/>
      <c r="UZ345" s="113"/>
      <c r="VA345" s="113"/>
      <c r="VB345" s="113"/>
      <c r="VC345" s="113"/>
      <c r="VD345" s="113"/>
      <c r="VE345" s="113"/>
      <c r="VF345" s="113"/>
      <c r="VG345" s="113"/>
      <c r="VH345" s="113"/>
      <c r="VI345" s="113"/>
      <c r="VJ345" s="113"/>
      <c r="VK345" s="113"/>
      <c r="VL345" s="113"/>
      <c r="VM345" s="113"/>
      <c r="VN345" s="113"/>
      <c r="VO345" s="113"/>
      <c r="VP345" s="113"/>
      <c r="VQ345" s="113"/>
      <c r="VR345" s="113"/>
      <c r="VS345" s="113"/>
      <c r="VT345" s="113"/>
      <c r="VU345" s="113"/>
      <c r="VV345" s="113"/>
      <c r="VW345" s="113"/>
      <c r="VX345" s="113"/>
      <c r="VY345" s="113"/>
      <c r="VZ345" s="113"/>
      <c r="WA345" s="113"/>
      <c r="WB345" s="113"/>
      <c r="WC345" s="113"/>
      <c r="WD345" s="113"/>
      <c r="WE345" s="113"/>
      <c r="WF345" s="113"/>
      <c r="WG345" s="113"/>
      <c r="WH345" s="113"/>
      <c r="WI345" s="113"/>
      <c r="WJ345" s="113"/>
      <c r="WK345" s="113"/>
      <c r="WL345" s="113"/>
      <c r="WM345" s="113"/>
      <c r="WN345" s="113"/>
      <c r="WO345" s="113"/>
      <c r="WP345" s="113"/>
      <c r="WQ345" s="113"/>
      <c r="WR345" s="113"/>
      <c r="WS345" s="113"/>
      <c r="WT345" s="113"/>
      <c r="WU345" s="113"/>
      <c r="WV345" s="113"/>
      <c r="WW345" s="113"/>
      <c r="WX345" s="113"/>
      <c r="WY345" s="113"/>
      <c r="WZ345" s="113"/>
      <c r="XA345" s="113"/>
      <c r="XB345" s="113"/>
      <c r="XC345" s="113"/>
      <c r="XD345" s="113"/>
      <c r="XE345" s="113"/>
      <c r="XF345" s="113"/>
      <c r="XG345" s="113"/>
      <c r="XH345" s="113"/>
      <c r="XI345" s="113"/>
      <c r="XJ345" s="113"/>
      <c r="XK345" s="113"/>
      <c r="XL345" s="113"/>
      <c r="XM345" s="113"/>
      <c r="XN345" s="113"/>
      <c r="XO345" s="113"/>
      <c r="XP345" s="113"/>
      <c r="XQ345" s="113"/>
      <c r="XR345" s="113"/>
      <c r="XS345" s="113"/>
      <c r="XT345" s="113"/>
      <c r="XU345" s="113"/>
      <c r="XV345" s="113"/>
      <c r="XW345" s="113"/>
      <c r="XX345" s="113"/>
      <c r="XY345" s="113"/>
      <c r="XZ345" s="113"/>
      <c r="YA345" s="113"/>
      <c r="YB345" s="113"/>
      <c r="YC345" s="113"/>
      <c r="YD345" s="113"/>
      <c r="YE345" s="113"/>
      <c r="YF345" s="113"/>
      <c r="YG345" s="113"/>
      <c r="YH345" s="113"/>
      <c r="YI345" s="113"/>
      <c r="YJ345" s="113"/>
      <c r="YK345" s="113"/>
      <c r="YL345" s="113"/>
      <c r="YM345" s="113"/>
      <c r="YN345" s="113"/>
      <c r="YO345" s="113"/>
      <c r="YP345" s="113"/>
      <c r="YQ345" s="113"/>
      <c r="YR345" s="113"/>
      <c r="YS345" s="113"/>
      <c r="YT345" s="113"/>
      <c r="YU345" s="113"/>
      <c r="YV345" s="113"/>
      <c r="YW345" s="113"/>
      <c r="YX345" s="113"/>
      <c r="YY345" s="113"/>
      <c r="YZ345" s="113"/>
      <c r="ZA345" s="113"/>
      <c r="ZB345" s="113"/>
      <c r="ZC345" s="113"/>
      <c r="ZD345" s="113"/>
      <c r="ZE345" s="113"/>
      <c r="ZF345" s="113"/>
      <c r="ZG345" s="113"/>
      <c r="ZH345" s="113"/>
      <c r="ZI345" s="113"/>
      <c r="ZJ345" s="113"/>
      <c r="ZK345" s="113"/>
      <c r="ZL345" s="113"/>
      <c r="ZM345" s="113"/>
      <c r="ZN345" s="113"/>
      <c r="ZO345" s="113"/>
      <c r="ZP345" s="113"/>
      <c r="ZQ345" s="113"/>
      <c r="ZR345" s="113"/>
      <c r="ZS345" s="113"/>
      <c r="ZT345" s="113"/>
      <c r="ZU345" s="113"/>
      <c r="ZV345" s="113"/>
      <c r="ZW345" s="113"/>
      <c r="ZX345" s="113"/>
      <c r="ZY345" s="113"/>
      <c r="ZZ345" s="113"/>
      <c r="AAA345" s="113"/>
      <c r="AAB345" s="113"/>
      <c r="AAC345" s="113"/>
      <c r="AAD345" s="113"/>
      <c r="AAE345" s="113"/>
      <c r="AAF345" s="113"/>
      <c r="AAG345" s="113"/>
      <c r="AAH345" s="113"/>
      <c r="AAI345" s="113"/>
      <c r="AAJ345" s="113"/>
      <c r="AAK345" s="113"/>
      <c r="AAL345" s="113"/>
      <c r="AAM345" s="113"/>
      <c r="AAN345" s="113"/>
      <c r="AAO345" s="113"/>
      <c r="AAP345" s="113"/>
      <c r="AAQ345" s="113"/>
      <c r="AAR345" s="113"/>
      <c r="AAS345" s="113"/>
      <c r="AAT345" s="113"/>
      <c r="AAU345" s="113"/>
      <c r="AAV345" s="113"/>
      <c r="AAW345" s="113"/>
      <c r="AAX345" s="113"/>
      <c r="AAY345" s="113"/>
      <c r="AAZ345" s="113"/>
      <c r="ABA345" s="113"/>
      <c r="ABB345" s="113"/>
      <c r="ABC345" s="113"/>
      <c r="ABD345" s="113"/>
      <c r="ABE345" s="113"/>
      <c r="ABF345" s="113"/>
      <c r="ABG345" s="113"/>
      <c r="ABH345" s="113"/>
      <c r="ABI345" s="113"/>
      <c r="ABJ345" s="113"/>
      <c r="ABK345" s="113"/>
      <c r="ABL345" s="113"/>
      <c r="ABM345" s="113"/>
      <c r="ABN345" s="113"/>
      <c r="ABO345" s="113"/>
      <c r="ABP345" s="113"/>
      <c r="ABQ345" s="113"/>
      <c r="ABR345" s="113"/>
      <c r="ABS345" s="113"/>
      <c r="ABT345" s="113"/>
      <c r="ABU345" s="113"/>
      <c r="ABV345" s="113"/>
      <c r="ABW345" s="113"/>
      <c r="ABX345" s="113"/>
      <c r="ABY345" s="113"/>
      <c r="ABZ345" s="113"/>
      <c r="ACA345" s="113"/>
      <c r="ACB345" s="113"/>
      <c r="ACC345" s="113"/>
      <c r="ACD345" s="113"/>
      <c r="ACE345" s="113"/>
      <c r="ACF345" s="113"/>
      <c r="ACG345" s="113"/>
      <c r="ACH345" s="113"/>
      <c r="ACI345" s="113"/>
      <c r="ACJ345" s="113"/>
      <c r="ACK345" s="113"/>
      <c r="ACL345" s="113"/>
      <c r="ACM345" s="113"/>
      <c r="ACN345" s="113"/>
      <c r="ACO345" s="113"/>
      <c r="ACP345" s="113"/>
      <c r="ACQ345" s="113"/>
      <c r="ACR345" s="113"/>
      <c r="ACS345" s="113"/>
      <c r="ACT345" s="113"/>
      <c r="ACU345" s="113"/>
      <c r="ACV345" s="113"/>
      <c r="ACW345" s="113"/>
      <c r="ACX345" s="113"/>
      <c r="ACY345" s="113"/>
      <c r="ACZ345" s="113"/>
      <c r="ADA345" s="113"/>
      <c r="ADB345" s="113"/>
      <c r="ADC345" s="113"/>
      <c r="ADD345" s="113"/>
      <c r="ADE345" s="113"/>
      <c r="ADF345" s="113"/>
      <c r="ADG345" s="113"/>
      <c r="ADH345" s="113"/>
      <c r="ADI345" s="113"/>
      <c r="ADJ345" s="113"/>
      <c r="ADK345" s="113"/>
      <c r="ADL345" s="113"/>
      <c r="ADM345" s="113"/>
      <c r="ADN345" s="113"/>
      <c r="ADO345" s="113"/>
      <c r="ADP345" s="113"/>
      <c r="ADQ345" s="113"/>
      <c r="ADR345" s="113"/>
      <c r="ADS345" s="113"/>
      <c r="ADT345" s="113"/>
      <c r="ADU345" s="113"/>
      <c r="ADV345" s="113"/>
      <c r="ADW345" s="113"/>
      <c r="ADX345" s="113"/>
      <c r="ADY345" s="113"/>
      <c r="ADZ345" s="113"/>
      <c r="AEA345" s="113"/>
      <c r="AEB345" s="113"/>
      <c r="AEC345" s="113"/>
      <c r="AED345" s="113"/>
      <c r="AEE345" s="113"/>
      <c r="AEF345" s="113"/>
      <c r="AEG345" s="113"/>
      <c r="AEH345" s="113"/>
      <c r="AEI345" s="113"/>
      <c r="AEJ345" s="113"/>
      <c r="AEK345" s="113"/>
      <c r="AEL345" s="113"/>
      <c r="AEM345" s="113"/>
      <c r="AEN345" s="113"/>
      <c r="AEO345" s="113"/>
      <c r="AEP345" s="113"/>
      <c r="AEQ345" s="113"/>
      <c r="AER345" s="113"/>
      <c r="AES345" s="113"/>
      <c r="AET345" s="113"/>
      <c r="AEU345" s="113"/>
      <c r="AEV345" s="113"/>
      <c r="AEW345" s="113"/>
      <c r="AEX345" s="113"/>
      <c r="AEY345" s="113"/>
      <c r="AEZ345" s="113"/>
      <c r="AFA345" s="113"/>
      <c r="AFB345" s="113"/>
      <c r="AFC345" s="113"/>
      <c r="AFD345" s="113"/>
      <c r="AFE345" s="113"/>
      <c r="AFF345" s="113"/>
      <c r="AFG345" s="113"/>
      <c r="AFH345" s="113"/>
      <c r="AFI345" s="113"/>
      <c r="AFJ345" s="113"/>
      <c r="AFK345" s="113"/>
      <c r="AFL345" s="113"/>
      <c r="AFM345" s="113"/>
      <c r="AFN345" s="113"/>
      <c r="AFO345" s="113"/>
      <c r="AFP345" s="113"/>
      <c r="AFQ345" s="113"/>
      <c r="AFR345" s="113"/>
      <c r="AFS345" s="113"/>
      <c r="AFT345" s="113"/>
      <c r="AFU345" s="113"/>
      <c r="AFV345" s="113"/>
      <c r="AFW345" s="113"/>
      <c r="AFX345" s="113"/>
      <c r="AFY345" s="113"/>
      <c r="AFZ345" s="113"/>
      <c r="AGA345" s="113"/>
      <c r="AGB345" s="113"/>
      <c r="AGC345" s="113"/>
      <c r="AGD345" s="113"/>
      <c r="AGE345" s="113"/>
      <c r="AGF345" s="113"/>
      <c r="AGG345" s="113"/>
      <c r="AGH345" s="113"/>
      <c r="AGI345" s="113"/>
      <c r="AGJ345" s="113"/>
      <c r="AGK345" s="113"/>
      <c r="AGL345" s="113"/>
      <c r="AGM345" s="113"/>
      <c r="AGN345" s="113"/>
      <c r="AGO345" s="113"/>
      <c r="AGP345" s="113"/>
      <c r="AGQ345" s="113"/>
      <c r="AGR345" s="113"/>
      <c r="AGS345" s="113"/>
      <c r="AGT345" s="113"/>
      <c r="AGU345" s="113"/>
      <c r="AGV345" s="113"/>
      <c r="AGW345" s="113"/>
      <c r="AGX345" s="113"/>
      <c r="AGY345" s="113"/>
      <c r="AGZ345" s="113"/>
      <c r="AHA345" s="113"/>
      <c r="AHB345" s="113"/>
      <c r="AHC345" s="113"/>
      <c r="AHD345" s="113"/>
      <c r="AHE345" s="113"/>
      <c r="AHF345" s="113"/>
      <c r="AHG345" s="113"/>
      <c r="AHH345" s="113"/>
      <c r="AHI345" s="113"/>
      <c r="AHJ345" s="113"/>
      <c r="AHK345" s="113"/>
      <c r="AHL345" s="113"/>
      <c r="AHM345" s="113"/>
      <c r="AHN345" s="113"/>
      <c r="AHO345" s="113"/>
      <c r="AHP345" s="113"/>
      <c r="AHQ345" s="113"/>
      <c r="AHR345" s="113"/>
      <c r="AHS345" s="113"/>
      <c r="AHT345" s="113"/>
      <c r="AHU345" s="113"/>
      <c r="AHV345" s="113"/>
      <c r="AHW345" s="113"/>
      <c r="AHX345" s="113"/>
      <c r="AHY345" s="113"/>
      <c r="AHZ345" s="113"/>
      <c r="AIA345" s="113"/>
      <c r="AIB345" s="113"/>
      <c r="AIC345" s="113"/>
      <c r="AID345" s="113"/>
      <c r="AIE345" s="113"/>
      <c r="AIF345" s="113"/>
      <c r="AIG345" s="113"/>
      <c r="AIH345" s="113"/>
      <c r="AII345" s="113"/>
      <c r="AIJ345" s="113"/>
      <c r="AIK345" s="113"/>
      <c r="AIL345" s="113"/>
      <c r="AIM345" s="113"/>
      <c r="AIN345" s="113"/>
      <c r="AIO345" s="113"/>
      <c r="AIP345" s="113"/>
      <c r="AIQ345" s="113"/>
      <c r="AIR345" s="113"/>
      <c r="AIS345" s="113"/>
      <c r="AIT345" s="113"/>
      <c r="AIU345" s="113"/>
      <c r="AIV345" s="113"/>
      <c r="AIW345" s="113"/>
      <c r="AIX345" s="113"/>
      <c r="AIY345" s="113"/>
      <c r="AIZ345" s="113"/>
    </row>
    <row r="346">
      <c r="A346" s="65" t="s">
        <v>88</v>
      </c>
      <c r="B346" s="65" t="s">
        <v>90</v>
      </c>
      <c r="C346" s="65"/>
      <c r="D346" s="64">
        <f t="shared" si="1"/>
        <v>520.9687833</v>
      </c>
      <c r="G346" s="65">
        <v>4.69076666666667</v>
      </c>
      <c r="H346" s="65">
        <v>9.84476666666666</v>
      </c>
      <c r="I346" s="65">
        <v>61.2571000000001</v>
      </c>
      <c r="K346" s="65">
        <v>1.8197</v>
      </c>
      <c r="N346" s="65">
        <v>1.20668333333333</v>
      </c>
      <c r="R346" s="65">
        <v>2.87431666666667</v>
      </c>
      <c r="S346" s="65">
        <v>3.66206666666667</v>
      </c>
      <c r="T346" s="65">
        <v>16.4766833333333</v>
      </c>
      <c r="U346" s="65">
        <v>0.709133333333333</v>
      </c>
      <c r="Y346" s="65">
        <v>6.77313333333333</v>
      </c>
      <c r="Z346" s="65">
        <v>9.09783333333333</v>
      </c>
      <c r="AA346" s="65">
        <v>9.68768333333333</v>
      </c>
      <c r="AB346" s="65">
        <v>4.35075</v>
      </c>
      <c r="AF346" s="65">
        <v>30.3943833333333</v>
      </c>
      <c r="AG346" s="65">
        <v>14.5171833333333</v>
      </c>
      <c r="AH346" s="65">
        <v>25.2200833333333</v>
      </c>
      <c r="AI346" s="65">
        <v>14.99485</v>
      </c>
      <c r="AM346" s="65">
        <v>20.8677833333333</v>
      </c>
      <c r="AN346" s="65">
        <v>64.8085166666667</v>
      </c>
      <c r="AR346" s="65">
        <v>61.9563166666666</v>
      </c>
      <c r="AU346" s="65">
        <v>155.75905</v>
      </c>
    </row>
    <row r="347">
      <c r="A347" s="65" t="s">
        <v>88</v>
      </c>
      <c r="B347" s="65" t="s">
        <v>90</v>
      </c>
      <c r="C347" s="65"/>
      <c r="D347" s="64">
        <f t="shared" si="1"/>
        <v>0</v>
      </c>
    </row>
    <row r="348">
      <c r="A348" s="65" t="s">
        <v>88</v>
      </c>
      <c r="B348" s="65" t="s">
        <v>90</v>
      </c>
      <c r="C348" s="65"/>
      <c r="D348" s="64">
        <f t="shared" si="1"/>
        <v>500.8427</v>
      </c>
      <c r="G348" s="118">
        <f>HYPERLINK("https://docs.google.com/spreadsheets/d/1XSu9BBCtUs8vOsL77PlhNYD_ETaAzebj", 4.69075)</f>
        <v>4.69075</v>
      </c>
      <c r="H348" s="118">
        <f>HYPERLINK("https://docs.google.com/spreadsheets/d/1tbTwOlbLD2h6bTorRS27R3r1WVCQOgvO", 9.84476666666666)</f>
        <v>9.844766667</v>
      </c>
      <c r="I348" s="118">
        <f>HYPERLINK("https://docs.google.com/spreadsheets/d/16GiqL7NQJ2oentkUmz-rZ05ttCiCm2NI", 61.2571000000001)</f>
        <v>61.2571</v>
      </c>
      <c r="K348" s="118">
        <f>HYPERLINK("https://docs.google.com/spreadsheets/d/1GOfmAxpLh09DUZzOzKymhY0t7wOGe2-w", 1.8197)</f>
        <v>1.8197</v>
      </c>
      <c r="N348" s="118">
        <f>HYPERLINK("https://docs.google.com/spreadsheets/d/1zxlhCaBho8DZhARijS53GlLF6uFsR-W8", 1.20668333333333)</f>
        <v>1.206683333</v>
      </c>
      <c r="R348" s="118">
        <f>HYPERLINK("https://docs.google.com/spreadsheets/d/1VMhmatN3ug_h_EGqyUHhoBy9AZrhdFei", 2.87431666666667)</f>
        <v>2.874316667</v>
      </c>
      <c r="S348" s="118">
        <f>HYPERLINK("https://docs.google.com/spreadsheets/d/1DixgaJnskB5lhzFHQR_TfEhLS7Oge90i", 3.66206666666667)</f>
        <v>3.662066667</v>
      </c>
      <c r="T348" s="118">
        <f>HYPERLINK("https://docs.google.com/spreadsheets/d/19VyDazWHxotMqqkfWqa_JdTv7R3xeclU", 16.47665)</f>
        <v>16.47665</v>
      </c>
      <c r="U348" s="118">
        <f>HYPERLINK("https://docs.google.com/spreadsheets/d/1BITj2kC8t02HW80DlCob9kknQUigZWFI", 0.709133333333333)</f>
        <v>0.7091333333</v>
      </c>
      <c r="Y348" s="118">
        <f>HYPERLINK("https://docs.google.com/spreadsheets/d/1Hk0oVZEMGLxIVSeNVrGz2T3JpxrYtcht", 6.77315)</f>
        <v>6.77315</v>
      </c>
      <c r="Z348" s="118">
        <f>HYPERLINK("https://docs.google.com/spreadsheets/d/15wfdIFbI3pRSz6CuPQsLU2iff3cD2JXd", 9.09783333333333)</f>
        <v>9.097833333</v>
      </c>
      <c r="AA348" s="118">
        <f>HYPERLINK("https://docs.google.com/spreadsheets/d/1POahIJveH5kaGq4_r8M_jpzqoGO2Bioj", 9.68768333333333)</f>
        <v>9.687683333</v>
      </c>
      <c r="AB348" s="118">
        <f>HYPERLINK("https://docs.google.com/spreadsheets/d/1qo9mj4dD6Tk9bRpkS9DHPHTbrYip9IpM", 4.35075)</f>
        <v>4.35075</v>
      </c>
      <c r="AF348" s="118">
        <f>HYPERLINK("https://docs.google.com/spreadsheets/d/1F7CtFPlZCWpGeA6DuI2jxfrEdUrs_bbi", 26.3978666666667)</f>
        <v>26.39786667</v>
      </c>
      <c r="AG348" s="118">
        <f>HYPERLINK("https://docs.google.com/spreadsheets/d/1ACLuUsS1bRgl3wGAIpkdqiF-4WrgxQGW", 14.5171666666667)</f>
        <v>14.51716667</v>
      </c>
      <c r="AH348" s="118">
        <f>HYPERLINK("https://docs.google.com/spreadsheets/d/1EArrj2AyeS2-PC4fhJxcd7baRkCkImi-", 25.0550333333333)</f>
        <v>25.05503333</v>
      </c>
      <c r="AI348" s="118">
        <f>HYPERLINK("https://docs.google.com/spreadsheets/d/1prFwdp1Gp7YMZL91i8xpBv9Co5LsGYJ_", 14.52405)</f>
        <v>14.52405</v>
      </c>
      <c r="AM348" s="118">
        <f>HYPERLINK("https://docs.google.com/spreadsheets/d/1aI_iw8ySdBJm5gr8nEAwz0p-wMsrjrwm", 6.01698333333333)</f>
        <v>6.016983333</v>
      </c>
      <c r="AN348" s="118">
        <f>HYPERLINK("https://docs.google.com/spreadsheets/d/178GmtY2xfTe-SP7t-_V5zy0XhgprMM9q", 64.5452333333333)</f>
        <v>64.54523333</v>
      </c>
      <c r="AR348" s="118">
        <f>HYPERLINK("https://docs.google.com/spreadsheets/d/1k5ienja9dotzRze9UehOldJaP40V3rgI", 61.7912333333333)</f>
        <v>61.79123333</v>
      </c>
      <c r="AU348" s="118">
        <f>HYPERLINK("https://docs.google.com/spreadsheets/d/1_qsuIr_FMvG152ypZ7Ge-1Mf4S_6fMnh", 155.54455)</f>
        <v>155.54455</v>
      </c>
    </row>
    <row r="349">
      <c r="A349" s="65" t="s">
        <v>88</v>
      </c>
      <c r="B349" s="65" t="s">
        <v>90</v>
      </c>
      <c r="C349" s="65"/>
      <c r="D349" s="64">
        <f t="shared" si="1"/>
        <v>350.7363833</v>
      </c>
      <c r="G349" s="65">
        <v>0.179133333333333</v>
      </c>
      <c r="H349" s="65">
        <v>6.23348333333333</v>
      </c>
      <c r="I349" s="65">
        <v>55.8890833333334</v>
      </c>
      <c r="K349" s="65">
        <v>0.720783333333333</v>
      </c>
      <c r="N349" s="65">
        <v>1.20668333333333</v>
      </c>
      <c r="R349" s="65">
        <v>0.0</v>
      </c>
      <c r="S349" s="65">
        <v>1.82326666666667</v>
      </c>
      <c r="T349" s="65">
        <v>2.51531666666667</v>
      </c>
      <c r="U349" s="65">
        <v>0.51675</v>
      </c>
      <c r="Y349" s="65">
        <v>0.0</v>
      </c>
      <c r="Z349" s="65">
        <v>2.08991666666667</v>
      </c>
      <c r="AA349" s="65">
        <v>1.60356666666667</v>
      </c>
      <c r="AB349" s="65">
        <v>2.51123333333333</v>
      </c>
      <c r="AF349" s="65">
        <v>8.93513333333333</v>
      </c>
      <c r="AG349" s="65">
        <v>4.7815</v>
      </c>
      <c r="AH349" s="65">
        <v>15.4669</v>
      </c>
      <c r="AI349" s="65">
        <v>8.19615</v>
      </c>
      <c r="AM349" s="65">
        <v>5.23785</v>
      </c>
      <c r="AN349" s="65">
        <v>51.0879833333334</v>
      </c>
      <c r="AR349" s="65">
        <v>45.6925</v>
      </c>
      <c r="AU349" s="65">
        <v>136.04915</v>
      </c>
    </row>
    <row r="350">
      <c r="A350" s="119" t="s">
        <v>88</v>
      </c>
      <c r="B350" s="119" t="s">
        <v>90</v>
      </c>
      <c r="C350" s="119"/>
      <c r="D350" s="120">
        <f t="shared" si="1"/>
        <v>0</v>
      </c>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c r="AA350" s="120"/>
      <c r="AB350" s="120"/>
      <c r="AC350" s="120"/>
      <c r="AD350" s="120"/>
      <c r="AE350" s="120"/>
      <c r="AF350" s="120"/>
      <c r="AG350" s="120"/>
      <c r="AH350" s="120"/>
      <c r="AI350" s="120"/>
      <c r="AJ350" s="120"/>
      <c r="AK350" s="120"/>
      <c r="AL350" s="120"/>
      <c r="AM350" s="120"/>
      <c r="AN350" s="120"/>
      <c r="AO350" s="120"/>
      <c r="AP350" s="120"/>
      <c r="AQ350" s="120"/>
      <c r="AR350" s="120"/>
      <c r="AS350" s="120"/>
      <c r="AT350" s="120"/>
      <c r="AU350" s="120"/>
      <c r="AV350" s="120"/>
      <c r="AW350" s="120"/>
      <c r="AX350" s="120"/>
      <c r="AY350" s="120"/>
      <c r="AZ350" s="120"/>
      <c r="BA350" s="120"/>
      <c r="BB350" s="120"/>
      <c r="BC350" s="120"/>
      <c r="BD350" s="120"/>
      <c r="BE350" s="120"/>
      <c r="BF350" s="120"/>
      <c r="BG350" s="120"/>
      <c r="BH350" s="120"/>
      <c r="BI350" s="120"/>
      <c r="BJ350" s="120"/>
      <c r="BK350" s="120"/>
      <c r="BL350" s="120"/>
      <c r="BM350" s="120"/>
      <c r="BN350" s="120"/>
      <c r="BO350" s="120"/>
      <c r="BP350" s="120"/>
      <c r="BQ350" s="120"/>
      <c r="BR350" s="120"/>
      <c r="BS350" s="120"/>
      <c r="BT350" s="120"/>
      <c r="BU350" s="120"/>
      <c r="BV350" s="120"/>
      <c r="BW350" s="120"/>
      <c r="BX350" s="120"/>
      <c r="BY350" s="120"/>
      <c r="BZ350" s="120"/>
      <c r="CA350" s="120"/>
      <c r="CB350" s="120"/>
      <c r="CC350" s="120"/>
      <c r="CD350" s="120"/>
      <c r="CE350" s="120"/>
      <c r="CF350" s="120"/>
      <c r="CG350" s="120"/>
      <c r="CH350" s="120"/>
      <c r="CI350" s="120"/>
      <c r="CJ350" s="120"/>
      <c r="CK350" s="120"/>
      <c r="CL350" s="120"/>
      <c r="CM350" s="120"/>
      <c r="CN350" s="120"/>
      <c r="CO350" s="120"/>
      <c r="CP350" s="120"/>
      <c r="CQ350" s="120"/>
      <c r="CR350" s="120"/>
      <c r="CS350" s="120"/>
      <c r="CT350" s="120"/>
      <c r="CU350" s="120"/>
      <c r="CV350" s="120"/>
      <c r="CW350" s="120"/>
      <c r="CX350" s="120"/>
      <c r="CY350" s="120"/>
      <c r="CZ350" s="120"/>
      <c r="DA350" s="120"/>
      <c r="DB350" s="120"/>
      <c r="DC350" s="120"/>
      <c r="DD350" s="120"/>
      <c r="DE350" s="120"/>
      <c r="DF350" s="120"/>
      <c r="DG350" s="120"/>
      <c r="DH350" s="120"/>
      <c r="DI350" s="120"/>
      <c r="DJ350" s="120"/>
      <c r="DK350" s="120"/>
      <c r="DL350" s="120"/>
      <c r="DM350" s="120"/>
      <c r="DN350" s="120"/>
      <c r="DO350" s="120"/>
      <c r="DP350" s="120"/>
      <c r="DQ350" s="120"/>
      <c r="DR350" s="120"/>
      <c r="DS350" s="120"/>
      <c r="DT350" s="120"/>
      <c r="DU350" s="120"/>
      <c r="DV350" s="120"/>
      <c r="DW350" s="120"/>
      <c r="DX350" s="120"/>
      <c r="DY350" s="120"/>
      <c r="DZ350" s="120"/>
      <c r="EA350" s="120"/>
      <c r="EB350" s="120"/>
      <c r="EC350" s="120"/>
      <c r="ED350" s="120"/>
      <c r="EE350" s="120"/>
      <c r="EF350" s="120"/>
      <c r="EG350" s="120"/>
      <c r="EH350" s="120"/>
      <c r="EI350" s="120"/>
      <c r="EJ350" s="120"/>
      <c r="EK350" s="120"/>
      <c r="EL350" s="120"/>
      <c r="EM350" s="120"/>
      <c r="EN350" s="120"/>
      <c r="EO350" s="120"/>
      <c r="EP350" s="120"/>
      <c r="EQ350" s="120"/>
      <c r="ER350" s="120"/>
      <c r="ES350" s="120"/>
      <c r="ET350" s="120"/>
      <c r="EU350" s="120"/>
      <c r="EV350" s="120"/>
      <c r="EW350" s="120"/>
      <c r="EX350" s="120"/>
      <c r="EY350" s="120"/>
      <c r="EZ350" s="120"/>
      <c r="FA350" s="120"/>
      <c r="FB350" s="120"/>
      <c r="FC350" s="120"/>
      <c r="FD350" s="120"/>
      <c r="FE350" s="120"/>
      <c r="FF350" s="120"/>
      <c r="FG350" s="120"/>
      <c r="FH350" s="120"/>
      <c r="FI350" s="120"/>
      <c r="FJ350" s="120"/>
      <c r="FK350" s="120"/>
      <c r="FL350" s="120"/>
      <c r="FM350" s="120"/>
      <c r="FN350" s="120"/>
      <c r="FO350" s="120"/>
      <c r="FP350" s="120"/>
      <c r="FQ350" s="120"/>
      <c r="FR350" s="120"/>
      <c r="FS350" s="120"/>
      <c r="FT350" s="120"/>
      <c r="FU350" s="120"/>
      <c r="FV350" s="120"/>
      <c r="FW350" s="120"/>
      <c r="FX350" s="120"/>
      <c r="FY350" s="120"/>
      <c r="FZ350" s="120"/>
      <c r="GA350" s="120"/>
      <c r="GB350" s="120"/>
      <c r="GC350" s="120"/>
      <c r="GD350" s="120"/>
      <c r="GE350" s="120"/>
      <c r="GF350" s="120"/>
      <c r="GG350" s="120"/>
      <c r="GH350" s="120"/>
      <c r="GI350" s="120"/>
      <c r="GJ350" s="120"/>
      <c r="GK350" s="120"/>
      <c r="GL350" s="120"/>
      <c r="GM350" s="120"/>
      <c r="GN350" s="120"/>
      <c r="GO350" s="120"/>
      <c r="GP350" s="120"/>
      <c r="GQ350" s="120"/>
      <c r="GR350" s="120"/>
      <c r="GS350" s="120"/>
      <c r="GT350" s="120"/>
      <c r="GU350" s="120"/>
      <c r="GV350" s="120"/>
      <c r="GW350" s="120"/>
      <c r="GX350" s="120"/>
      <c r="GY350" s="120"/>
      <c r="GZ350" s="120"/>
      <c r="HA350" s="120"/>
      <c r="HB350" s="120"/>
      <c r="HC350" s="120"/>
      <c r="HD350" s="120"/>
      <c r="HE350" s="120"/>
      <c r="HF350" s="120"/>
      <c r="HG350" s="120"/>
      <c r="HH350" s="120"/>
      <c r="HI350" s="120"/>
      <c r="HJ350" s="120"/>
      <c r="HK350" s="120"/>
      <c r="HL350" s="120"/>
      <c r="HM350" s="120"/>
      <c r="HN350" s="120"/>
      <c r="HO350" s="120"/>
      <c r="HP350" s="120"/>
      <c r="HQ350" s="120"/>
      <c r="HR350" s="120"/>
      <c r="HS350" s="120"/>
      <c r="HT350" s="120"/>
      <c r="HU350" s="120"/>
      <c r="HV350" s="120"/>
      <c r="HW350" s="120"/>
      <c r="HX350" s="120"/>
      <c r="HY350" s="120"/>
      <c r="HZ350" s="120"/>
      <c r="IA350" s="120"/>
      <c r="IB350" s="120"/>
      <c r="IC350" s="120"/>
      <c r="ID350" s="120"/>
      <c r="IE350" s="120"/>
      <c r="IF350" s="120"/>
      <c r="IG350" s="120"/>
      <c r="IH350" s="120"/>
      <c r="II350" s="120"/>
      <c r="IJ350" s="120"/>
      <c r="IK350" s="120"/>
      <c r="IL350" s="120"/>
      <c r="IM350" s="120"/>
      <c r="IN350" s="120"/>
      <c r="IO350" s="120"/>
      <c r="IP350" s="120"/>
      <c r="IQ350" s="120"/>
      <c r="IR350" s="120"/>
      <c r="IS350" s="120"/>
      <c r="IT350" s="120"/>
      <c r="IU350" s="120"/>
      <c r="IV350" s="120"/>
      <c r="IW350" s="120"/>
      <c r="IX350" s="120"/>
      <c r="IY350" s="120"/>
      <c r="IZ350" s="120"/>
      <c r="JA350" s="120"/>
      <c r="JB350" s="120"/>
      <c r="JC350" s="120"/>
      <c r="JD350" s="120"/>
      <c r="JE350" s="120"/>
      <c r="JF350" s="120"/>
      <c r="JG350" s="120"/>
      <c r="JH350" s="120"/>
      <c r="JI350" s="120"/>
      <c r="JJ350" s="120"/>
      <c r="JK350" s="120"/>
      <c r="JL350" s="120"/>
      <c r="JM350" s="120"/>
      <c r="JN350" s="120"/>
      <c r="JO350" s="120"/>
      <c r="JP350" s="120"/>
      <c r="JQ350" s="120"/>
      <c r="JR350" s="120"/>
      <c r="JS350" s="120"/>
      <c r="JT350" s="120"/>
      <c r="JU350" s="120"/>
      <c r="JV350" s="120"/>
      <c r="JW350" s="120"/>
      <c r="JX350" s="120"/>
      <c r="JY350" s="120"/>
      <c r="JZ350" s="120"/>
      <c r="KA350" s="120"/>
      <c r="KB350" s="120"/>
      <c r="KC350" s="120"/>
      <c r="KD350" s="120"/>
      <c r="KE350" s="120"/>
      <c r="KF350" s="120"/>
      <c r="KG350" s="120"/>
      <c r="KH350" s="120"/>
      <c r="KI350" s="120"/>
      <c r="KJ350" s="120"/>
      <c r="KK350" s="120"/>
      <c r="KL350" s="120"/>
      <c r="KM350" s="120"/>
      <c r="KN350" s="120"/>
      <c r="KO350" s="120"/>
      <c r="KP350" s="120"/>
      <c r="KQ350" s="120"/>
      <c r="KR350" s="120"/>
      <c r="KS350" s="120"/>
      <c r="KT350" s="120"/>
      <c r="KU350" s="120"/>
      <c r="KV350" s="120"/>
      <c r="KW350" s="120"/>
      <c r="KX350" s="120"/>
      <c r="KY350" s="120"/>
      <c r="KZ350" s="120"/>
      <c r="LA350" s="120"/>
      <c r="LB350" s="120"/>
      <c r="LC350" s="120"/>
      <c r="LD350" s="120"/>
      <c r="LE350" s="120"/>
      <c r="LF350" s="120"/>
      <c r="LG350" s="120"/>
      <c r="LH350" s="120"/>
      <c r="LI350" s="120"/>
      <c r="LJ350" s="120"/>
      <c r="LK350" s="120"/>
      <c r="LL350" s="120"/>
      <c r="LM350" s="120"/>
      <c r="LN350" s="120"/>
      <c r="LO350" s="120"/>
      <c r="LP350" s="120"/>
      <c r="LQ350" s="120"/>
      <c r="LR350" s="120"/>
      <c r="LS350" s="120"/>
      <c r="LT350" s="120"/>
      <c r="LU350" s="120"/>
      <c r="LV350" s="120"/>
      <c r="LW350" s="120"/>
      <c r="LX350" s="120"/>
      <c r="LY350" s="120"/>
      <c r="LZ350" s="120"/>
      <c r="MA350" s="120"/>
      <c r="MB350" s="120"/>
      <c r="MC350" s="120"/>
      <c r="MD350" s="120"/>
      <c r="ME350" s="120"/>
      <c r="MF350" s="120"/>
      <c r="MG350" s="120"/>
      <c r="MH350" s="120"/>
      <c r="MI350" s="120"/>
      <c r="MJ350" s="120"/>
      <c r="MK350" s="120"/>
      <c r="ML350" s="120"/>
      <c r="MM350" s="120"/>
      <c r="MN350" s="120"/>
      <c r="MO350" s="120"/>
      <c r="MP350" s="120"/>
      <c r="MQ350" s="120"/>
      <c r="MR350" s="120"/>
      <c r="MS350" s="120"/>
      <c r="MT350" s="120"/>
      <c r="MU350" s="120"/>
      <c r="MV350" s="120"/>
      <c r="MW350" s="120"/>
      <c r="MX350" s="120"/>
      <c r="MY350" s="120"/>
      <c r="MZ350" s="120"/>
      <c r="NA350" s="120"/>
      <c r="NB350" s="120"/>
      <c r="NC350" s="120"/>
      <c r="ND350" s="120"/>
      <c r="NE350" s="120"/>
      <c r="NF350" s="120"/>
      <c r="NG350" s="120"/>
      <c r="NH350" s="120"/>
      <c r="NI350" s="120"/>
      <c r="NJ350" s="120"/>
      <c r="NK350" s="120"/>
      <c r="NL350" s="120"/>
      <c r="NM350" s="120"/>
      <c r="NN350" s="120"/>
      <c r="NO350" s="120"/>
      <c r="NP350" s="120"/>
      <c r="NQ350" s="120"/>
      <c r="NR350" s="120"/>
      <c r="NS350" s="120"/>
      <c r="NT350" s="120"/>
      <c r="NU350" s="120"/>
      <c r="NV350" s="120"/>
      <c r="NW350" s="120"/>
      <c r="NX350" s="120"/>
      <c r="NY350" s="120"/>
      <c r="NZ350" s="120"/>
      <c r="OA350" s="120"/>
      <c r="OB350" s="120"/>
      <c r="OC350" s="120"/>
      <c r="OD350" s="120"/>
      <c r="OE350" s="120"/>
      <c r="OF350" s="120"/>
      <c r="OG350" s="120"/>
      <c r="OH350" s="120"/>
      <c r="OI350" s="120"/>
      <c r="OJ350" s="120"/>
      <c r="OK350" s="120"/>
      <c r="OL350" s="120"/>
      <c r="OM350" s="120"/>
      <c r="ON350" s="120"/>
      <c r="OO350" s="120"/>
      <c r="OP350" s="120"/>
      <c r="OQ350" s="120"/>
      <c r="OR350" s="120"/>
      <c r="OS350" s="120"/>
      <c r="OT350" s="120"/>
      <c r="OU350" s="120"/>
      <c r="OV350" s="120"/>
      <c r="OW350" s="120"/>
      <c r="OX350" s="120"/>
      <c r="OY350" s="120"/>
      <c r="OZ350" s="120"/>
      <c r="PA350" s="120"/>
      <c r="PB350" s="120"/>
      <c r="PC350" s="120"/>
      <c r="PD350" s="120"/>
      <c r="PE350" s="120"/>
      <c r="PF350" s="120"/>
      <c r="PG350" s="120"/>
      <c r="PH350" s="120"/>
      <c r="PI350" s="120"/>
      <c r="PJ350" s="120"/>
      <c r="PK350" s="120"/>
      <c r="PL350" s="120"/>
      <c r="PM350" s="120"/>
      <c r="PN350" s="120"/>
      <c r="PO350" s="120"/>
      <c r="PP350" s="120"/>
      <c r="PQ350" s="120"/>
      <c r="PR350" s="120"/>
      <c r="PS350" s="120"/>
      <c r="PT350" s="120"/>
      <c r="PU350" s="120"/>
      <c r="PV350" s="120"/>
      <c r="PW350" s="120"/>
      <c r="PX350" s="120"/>
      <c r="PY350" s="120"/>
      <c r="PZ350" s="120"/>
      <c r="QA350" s="120"/>
      <c r="QB350" s="120"/>
      <c r="QC350" s="120"/>
      <c r="QD350" s="120"/>
      <c r="QE350" s="120"/>
      <c r="QF350" s="120"/>
      <c r="QG350" s="120"/>
      <c r="QH350" s="120"/>
      <c r="QI350" s="120"/>
      <c r="QJ350" s="120"/>
      <c r="QK350" s="120"/>
      <c r="QL350" s="120"/>
      <c r="QM350" s="120"/>
      <c r="QN350" s="120"/>
      <c r="QO350" s="120"/>
      <c r="QP350" s="120"/>
      <c r="QQ350" s="120"/>
      <c r="QR350" s="120"/>
      <c r="QS350" s="120"/>
      <c r="QT350" s="120"/>
      <c r="QU350" s="120"/>
      <c r="QV350" s="120"/>
      <c r="QW350" s="120"/>
      <c r="QX350" s="120"/>
      <c r="QY350" s="120"/>
      <c r="QZ350" s="120"/>
      <c r="RA350" s="120"/>
      <c r="RB350" s="120"/>
      <c r="RC350" s="120"/>
      <c r="RD350" s="120"/>
      <c r="RE350" s="120"/>
      <c r="RF350" s="120"/>
      <c r="RG350" s="120"/>
      <c r="RH350" s="120"/>
      <c r="RI350" s="120"/>
      <c r="RJ350" s="120"/>
      <c r="RK350" s="120"/>
      <c r="RL350" s="120"/>
      <c r="RM350" s="120"/>
      <c r="RN350" s="120"/>
      <c r="RO350" s="120"/>
      <c r="RP350" s="120"/>
      <c r="RQ350" s="120"/>
      <c r="RR350" s="120"/>
      <c r="RS350" s="120"/>
      <c r="RT350" s="120"/>
      <c r="RU350" s="120"/>
      <c r="RV350" s="120"/>
      <c r="RW350" s="120"/>
      <c r="RX350" s="120"/>
      <c r="RY350" s="120"/>
      <c r="RZ350" s="120"/>
      <c r="SA350" s="120"/>
      <c r="SB350" s="120"/>
      <c r="SC350" s="120"/>
      <c r="SD350" s="120"/>
      <c r="SE350" s="120"/>
      <c r="SF350" s="120"/>
      <c r="SG350" s="120"/>
      <c r="SH350" s="120"/>
      <c r="SI350" s="120"/>
      <c r="SJ350" s="120"/>
      <c r="SK350" s="120"/>
      <c r="SL350" s="120"/>
      <c r="SM350" s="120"/>
      <c r="SN350" s="120"/>
      <c r="SO350" s="120"/>
      <c r="SP350" s="120"/>
      <c r="SQ350" s="120"/>
      <c r="SR350" s="120"/>
      <c r="SS350" s="120"/>
      <c r="ST350" s="120"/>
      <c r="SU350" s="120"/>
      <c r="SV350" s="120"/>
      <c r="SW350" s="120"/>
      <c r="SX350" s="120"/>
      <c r="SY350" s="120"/>
      <c r="SZ350" s="120"/>
      <c r="TA350" s="120"/>
      <c r="TB350" s="120"/>
      <c r="TC350" s="120"/>
      <c r="TD350" s="120"/>
      <c r="TE350" s="120"/>
      <c r="TF350" s="120"/>
      <c r="TG350" s="120"/>
      <c r="TH350" s="120"/>
      <c r="TI350" s="120"/>
      <c r="TJ350" s="120"/>
      <c r="TK350" s="120"/>
      <c r="TL350" s="120"/>
      <c r="TM350" s="120"/>
      <c r="TN350" s="120"/>
      <c r="TO350" s="120"/>
      <c r="TP350" s="120"/>
      <c r="TQ350" s="120"/>
      <c r="TR350" s="120"/>
      <c r="TS350" s="120"/>
      <c r="TT350" s="120"/>
      <c r="TU350" s="120"/>
      <c r="TV350" s="120"/>
      <c r="TW350" s="120"/>
      <c r="TX350" s="120"/>
      <c r="TY350" s="120"/>
      <c r="TZ350" s="120"/>
      <c r="UA350" s="120"/>
      <c r="UB350" s="120"/>
      <c r="UC350" s="120"/>
      <c r="UD350" s="120"/>
      <c r="UE350" s="120"/>
      <c r="UF350" s="120"/>
      <c r="UG350" s="120"/>
      <c r="UH350" s="120"/>
      <c r="UI350" s="120"/>
      <c r="UJ350" s="120"/>
      <c r="UK350" s="120"/>
      <c r="UL350" s="120"/>
      <c r="UM350" s="120"/>
      <c r="UN350" s="120"/>
      <c r="UO350" s="120"/>
      <c r="UP350" s="120"/>
      <c r="UQ350" s="120"/>
      <c r="UR350" s="120"/>
      <c r="US350" s="120"/>
      <c r="UT350" s="120"/>
      <c r="UU350" s="120"/>
      <c r="UV350" s="120"/>
      <c r="UW350" s="120"/>
      <c r="UX350" s="120"/>
      <c r="UY350" s="120"/>
      <c r="UZ350" s="120"/>
      <c r="VA350" s="120"/>
      <c r="VB350" s="120"/>
      <c r="VC350" s="120"/>
      <c r="VD350" s="120"/>
      <c r="VE350" s="120"/>
      <c r="VF350" s="120"/>
      <c r="VG350" s="120"/>
      <c r="VH350" s="120"/>
      <c r="VI350" s="120"/>
      <c r="VJ350" s="120"/>
      <c r="VK350" s="120"/>
      <c r="VL350" s="120"/>
      <c r="VM350" s="120"/>
      <c r="VN350" s="120"/>
      <c r="VO350" s="120"/>
      <c r="VP350" s="120"/>
      <c r="VQ350" s="120"/>
      <c r="VR350" s="120"/>
      <c r="VS350" s="120"/>
      <c r="VT350" s="120"/>
      <c r="VU350" s="120"/>
      <c r="VV350" s="120"/>
      <c r="VW350" s="120"/>
      <c r="VX350" s="120"/>
      <c r="VY350" s="120"/>
      <c r="VZ350" s="120"/>
      <c r="WA350" s="120"/>
      <c r="WB350" s="120"/>
      <c r="WC350" s="120"/>
      <c r="WD350" s="120"/>
      <c r="WE350" s="120"/>
      <c r="WF350" s="120"/>
      <c r="WG350" s="120"/>
      <c r="WH350" s="120"/>
      <c r="WI350" s="120"/>
      <c r="WJ350" s="120"/>
      <c r="WK350" s="120"/>
      <c r="WL350" s="120"/>
      <c r="WM350" s="120"/>
      <c r="WN350" s="120"/>
      <c r="WO350" s="120"/>
      <c r="WP350" s="120"/>
      <c r="WQ350" s="120"/>
      <c r="WR350" s="120"/>
      <c r="WS350" s="120"/>
      <c r="WT350" s="120"/>
      <c r="WU350" s="120"/>
      <c r="WV350" s="120"/>
      <c r="WW350" s="120"/>
      <c r="WX350" s="120"/>
      <c r="WY350" s="120"/>
      <c r="WZ350" s="120"/>
      <c r="XA350" s="120"/>
      <c r="XB350" s="120"/>
      <c r="XC350" s="120"/>
      <c r="XD350" s="120"/>
      <c r="XE350" s="120"/>
      <c r="XF350" s="120"/>
      <c r="XG350" s="120"/>
      <c r="XH350" s="120"/>
      <c r="XI350" s="120"/>
      <c r="XJ350" s="120"/>
      <c r="XK350" s="120"/>
      <c r="XL350" s="120"/>
      <c r="XM350" s="120"/>
      <c r="XN350" s="120"/>
      <c r="XO350" s="120"/>
      <c r="XP350" s="120"/>
      <c r="XQ350" s="120"/>
      <c r="XR350" s="120"/>
      <c r="XS350" s="120"/>
      <c r="XT350" s="120"/>
      <c r="XU350" s="120"/>
      <c r="XV350" s="120"/>
      <c r="XW350" s="120"/>
      <c r="XX350" s="120"/>
      <c r="XY350" s="120"/>
      <c r="XZ350" s="120"/>
      <c r="YA350" s="120"/>
      <c r="YB350" s="120"/>
      <c r="YC350" s="120"/>
      <c r="YD350" s="120"/>
      <c r="YE350" s="120"/>
      <c r="YF350" s="120"/>
      <c r="YG350" s="120"/>
      <c r="YH350" s="120"/>
      <c r="YI350" s="120"/>
      <c r="YJ350" s="120"/>
      <c r="YK350" s="120"/>
      <c r="YL350" s="120"/>
      <c r="YM350" s="120"/>
      <c r="YN350" s="120"/>
      <c r="YO350" s="120"/>
      <c r="YP350" s="120"/>
      <c r="YQ350" s="120"/>
      <c r="YR350" s="120"/>
      <c r="YS350" s="120"/>
      <c r="YT350" s="120"/>
      <c r="YU350" s="120"/>
      <c r="YV350" s="120"/>
      <c r="YW350" s="120"/>
      <c r="YX350" s="120"/>
      <c r="YY350" s="120"/>
      <c r="YZ350" s="120"/>
      <c r="ZA350" s="120"/>
      <c r="ZB350" s="120"/>
      <c r="ZC350" s="120"/>
      <c r="ZD350" s="120"/>
      <c r="ZE350" s="120"/>
      <c r="ZF350" s="120"/>
      <c r="ZG350" s="120"/>
      <c r="ZH350" s="120"/>
      <c r="ZI350" s="120"/>
      <c r="ZJ350" s="120"/>
      <c r="ZK350" s="120"/>
      <c r="ZL350" s="120"/>
      <c r="ZM350" s="120"/>
      <c r="ZN350" s="120"/>
      <c r="ZO350" s="120"/>
      <c r="ZP350" s="120"/>
      <c r="ZQ350" s="120"/>
      <c r="ZR350" s="120"/>
      <c r="ZS350" s="120"/>
      <c r="ZT350" s="120"/>
      <c r="ZU350" s="120"/>
      <c r="ZV350" s="120"/>
      <c r="ZW350" s="120"/>
      <c r="ZX350" s="120"/>
      <c r="ZY350" s="120"/>
      <c r="ZZ350" s="120"/>
      <c r="AAA350" s="120"/>
      <c r="AAB350" s="120"/>
      <c r="AAC350" s="120"/>
      <c r="AAD350" s="120"/>
      <c r="AAE350" s="120"/>
      <c r="AAF350" s="120"/>
      <c r="AAG350" s="120"/>
      <c r="AAH350" s="120"/>
      <c r="AAI350" s="120"/>
      <c r="AAJ350" s="120"/>
      <c r="AAK350" s="120"/>
      <c r="AAL350" s="120"/>
      <c r="AAM350" s="120"/>
      <c r="AAN350" s="120"/>
      <c r="AAO350" s="120"/>
      <c r="AAP350" s="120"/>
      <c r="AAQ350" s="120"/>
      <c r="AAR350" s="120"/>
      <c r="AAS350" s="120"/>
      <c r="AAT350" s="120"/>
      <c r="AAU350" s="120"/>
      <c r="AAV350" s="120"/>
      <c r="AAW350" s="120"/>
      <c r="AAX350" s="120"/>
      <c r="AAY350" s="120"/>
      <c r="AAZ350" s="120"/>
      <c r="ABA350" s="120"/>
      <c r="ABB350" s="120"/>
      <c r="ABC350" s="120"/>
      <c r="ABD350" s="120"/>
      <c r="ABE350" s="120"/>
      <c r="ABF350" s="120"/>
      <c r="ABG350" s="120"/>
      <c r="ABH350" s="120"/>
      <c r="ABI350" s="120"/>
      <c r="ABJ350" s="120"/>
      <c r="ABK350" s="120"/>
      <c r="ABL350" s="120"/>
      <c r="ABM350" s="120"/>
      <c r="ABN350" s="120"/>
      <c r="ABO350" s="120"/>
      <c r="ABP350" s="120"/>
      <c r="ABQ350" s="120"/>
      <c r="ABR350" s="120"/>
      <c r="ABS350" s="120"/>
      <c r="ABT350" s="120"/>
      <c r="ABU350" s="120"/>
      <c r="ABV350" s="120"/>
      <c r="ABW350" s="120"/>
      <c r="ABX350" s="120"/>
      <c r="ABY350" s="120"/>
      <c r="ABZ350" s="120"/>
      <c r="ACA350" s="120"/>
      <c r="ACB350" s="120"/>
      <c r="ACC350" s="120"/>
      <c r="ACD350" s="120"/>
      <c r="ACE350" s="120"/>
      <c r="ACF350" s="120"/>
      <c r="ACG350" s="120"/>
      <c r="ACH350" s="120"/>
      <c r="ACI350" s="120"/>
      <c r="ACJ350" s="120"/>
      <c r="ACK350" s="120"/>
      <c r="ACL350" s="120"/>
      <c r="ACM350" s="120"/>
      <c r="ACN350" s="120"/>
      <c r="ACO350" s="120"/>
      <c r="ACP350" s="120"/>
      <c r="ACQ350" s="120"/>
      <c r="ACR350" s="120"/>
      <c r="ACS350" s="120"/>
      <c r="ACT350" s="120"/>
      <c r="ACU350" s="120"/>
      <c r="ACV350" s="120"/>
      <c r="ACW350" s="120"/>
      <c r="ACX350" s="120"/>
      <c r="ACY350" s="120"/>
      <c r="ACZ350" s="120"/>
      <c r="ADA350" s="120"/>
      <c r="ADB350" s="120"/>
      <c r="ADC350" s="120"/>
      <c r="ADD350" s="120"/>
      <c r="ADE350" s="120"/>
      <c r="ADF350" s="120"/>
      <c r="ADG350" s="120"/>
      <c r="ADH350" s="120"/>
      <c r="ADI350" s="120"/>
      <c r="ADJ350" s="120"/>
      <c r="ADK350" s="120"/>
      <c r="ADL350" s="120"/>
      <c r="ADM350" s="120"/>
      <c r="ADN350" s="120"/>
      <c r="ADO350" s="120"/>
      <c r="ADP350" s="120"/>
      <c r="ADQ350" s="120"/>
      <c r="ADR350" s="120"/>
      <c r="ADS350" s="120"/>
      <c r="ADT350" s="120"/>
      <c r="ADU350" s="120"/>
      <c r="ADV350" s="120"/>
      <c r="ADW350" s="120"/>
      <c r="ADX350" s="120"/>
      <c r="ADY350" s="120"/>
      <c r="ADZ350" s="120"/>
      <c r="AEA350" s="120"/>
      <c r="AEB350" s="120"/>
      <c r="AEC350" s="120"/>
      <c r="AED350" s="120"/>
      <c r="AEE350" s="120"/>
      <c r="AEF350" s="120"/>
      <c r="AEG350" s="120"/>
      <c r="AEH350" s="120"/>
      <c r="AEI350" s="120"/>
      <c r="AEJ350" s="120"/>
      <c r="AEK350" s="120"/>
      <c r="AEL350" s="120"/>
      <c r="AEM350" s="120"/>
      <c r="AEN350" s="120"/>
      <c r="AEO350" s="120"/>
      <c r="AEP350" s="120"/>
      <c r="AEQ350" s="120"/>
      <c r="AER350" s="120"/>
      <c r="AES350" s="120"/>
      <c r="AET350" s="120"/>
      <c r="AEU350" s="120"/>
      <c r="AEV350" s="120"/>
      <c r="AEW350" s="120"/>
      <c r="AEX350" s="120"/>
      <c r="AEY350" s="120"/>
      <c r="AEZ350" s="120"/>
      <c r="AFA350" s="120"/>
      <c r="AFB350" s="120"/>
      <c r="AFC350" s="120"/>
      <c r="AFD350" s="120"/>
      <c r="AFE350" s="120"/>
      <c r="AFF350" s="120"/>
      <c r="AFG350" s="120"/>
      <c r="AFH350" s="120"/>
      <c r="AFI350" s="120"/>
      <c r="AFJ350" s="120"/>
      <c r="AFK350" s="120"/>
      <c r="AFL350" s="120"/>
      <c r="AFM350" s="120"/>
      <c r="AFN350" s="120"/>
      <c r="AFO350" s="120"/>
      <c r="AFP350" s="120"/>
      <c r="AFQ350" s="120"/>
      <c r="AFR350" s="120"/>
      <c r="AFS350" s="120"/>
      <c r="AFT350" s="120"/>
      <c r="AFU350" s="120"/>
      <c r="AFV350" s="120"/>
      <c r="AFW350" s="120"/>
      <c r="AFX350" s="120"/>
      <c r="AFY350" s="120"/>
      <c r="AFZ350" s="120"/>
      <c r="AGA350" s="120"/>
      <c r="AGB350" s="120"/>
      <c r="AGC350" s="120"/>
      <c r="AGD350" s="120"/>
      <c r="AGE350" s="120"/>
      <c r="AGF350" s="120"/>
      <c r="AGG350" s="120"/>
      <c r="AGH350" s="120"/>
      <c r="AGI350" s="120"/>
      <c r="AGJ350" s="120"/>
      <c r="AGK350" s="120"/>
      <c r="AGL350" s="120"/>
      <c r="AGM350" s="120"/>
      <c r="AGN350" s="120"/>
      <c r="AGO350" s="120"/>
      <c r="AGP350" s="120"/>
      <c r="AGQ350" s="120"/>
      <c r="AGR350" s="120"/>
      <c r="AGS350" s="120"/>
      <c r="AGT350" s="120"/>
      <c r="AGU350" s="120"/>
      <c r="AGV350" s="120"/>
      <c r="AGW350" s="120"/>
      <c r="AGX350" s="120"/>
      <c r="AGY350" s="120"/>
      <c r="AGZ350" s="120"/>
      <c r="AHA350" s="120"/>
      <c r="AHB350" s="120"/>
      <c r="AHC350" s="120"/>
      <c r="AHD350" s="120"/>
      <c r="AHE350" s="120"/>
      <c r="AHF350" s="120"/>
      <c r="AHG350" s="120"/>
      <c r="AHH350" s="120"/>
      <c r="AHI350" s="120"/>
      <c r="AHJ350" s="120"/>
      <c r="AHK350" s="120"/>
      <c r="AHL350" s="120"/>
      <c r="AHM350" s="120"/>
      <c r="AHN350" s="120"/>
      <c r="AHO350" s="120"/>
      <c r="AHP350" s="120"/>
      <c r="AHQ350" s="120"/>
      <c r="AHR350" s="120"/>
      <c r="AHS350" s="120"/>
      <c r="AHT350" s="120"/>
      <c r="AHU350" s="120"/>
      <c r="AHV350" s="120"/>
      <c r="AHW350" s="120"/>
      <c r="AHX350" s="120"/>
      <c r="AHY350" s="120"/>
      <c r="AHZ350" s="120"/>
      <c r="AIA350" s="120"/>
      <c r="AIB350" s="120"/>
      <c r="AIC350" s="120"/>
      <c r="AID350" s="120"/>
      <c r="AIE350" s="120"/>
      <c r="AIF350" s="120"/>
      <c r="AIG350" s="120"/>
      <c r="AIH350" s="120"/>
      <c r="AII350" s="120"/>
      <c r="AIJ350" s="120"/>
      <c r="AIK350" s="120"/>
      <c r="AIL350" s="120"/>
      <c r="AIM350" s="120"/>
      <c r="AIN350" s="120"/>
      <c r="AIO350" s="120"/>
      <c r="AIP350" s="120"/>
      <c r="AIQ350" s="120"/>
      <c r="AIR350" s="120"/>
      <c r="AIS350" s="120"/>
      <c r="AIT350" s="120"/>
      <c r="AIU350" s="120"/>
      <c r="AIV350" s="120"/>
      <c r="AIW350" s="120"/>
      <c r="AIX350" s="120"/>
      <c r="AIY350" s="120"/>
      <c r="AIZ350" s="120"/>
    </row>
    <row r="351">
      <c r="A351" s="112" t="s">
        <v>77</v>
      </c>
      <c r="B351" s="112" t="s">
        <v>78</v>
      </c>
      <c r="C351" s="112"/>
      <c r="D351" s="113">
        <f t="shared" si="1"/>
        <v>856.0579667</v>
      </c>
      <c r="E351" s="112">
        <v>223.77955</v>
      </c>
      <c r="F351" s="113"/>
      <c r="G351" s="113"/>
      <c r="H351" s="113"/>
      <c r="I351" s="113"/>
      <c r="J351" s="113"/>
      <c r="K351" s="113"/>
      <c r="L351" s="112">
        <v>1.87616666666667</v>
      </c>
      <c r="M351" s="112">
        <v>32.9546666666667</v>
      </c>
      <c r="N351" s="113"/>
      <c r="O351" s="113"/>
      <c r="P351" s="112">
        <v>52.66385</v>
      </c>
      <c r="Q351" s="113"/>
      <c r="R351" s="113"/>
      <c r="S351" s="113"/>
      <c r="T351" s="113"/>
      <c r="U351" s="113"/>
      <c r="V351" s="112">
        <v>0.983666666666667</v>
      </c>
      <c r="W351" s="112">
        <v>284.256866666666</v>
      </c>
      <c r="X351" s="113"/>
      <c r="Y351" s="113"/>
      <c r="Z351" s="113"/>
      <c r="AA351" s="113"/>
      <c r="AB351" s="113"/>
      <c r="AC351" s="112">
        <v>3.2486</v>
      </c>
      <c r="AD351" s="112">
        <v>18.18725</v>
      </c>
      <c r="AE351" s="113"/>
      <c r="AF351" s="113"/>
      <c r="AG351" s="113"/>
      <c r="AH351" s="113"/>
      <c r="AI351" s="113"/>
      <c r="AJ351" s="112">
        <v>0.5065</v>
      </c>
      <c r="AK351" s="112">
        <v>72.9805666666667</v>
      </c>
      <c r="AL351" s="113"/>
      <c r="AM351" s="113"/>
      <c r="AN351" s="113"/>
      <c r="AO351" s="112">
        <v>2.96783333333333</v>
      </c>
      <c r="AP351" s="112">
        <v>94.5953333333333</v>
      </c>
      <c r="AQ351" s="113"/>
      <c r="AR351" s="113"/>
      <c r="AS351" s="112">
        <v>2.34553333333333</v>
      </c>
      <c r="AT351" s="112">
        <v>60.6965666666666</v>
      </c>
      <c r="AU351" s="113"/>
      <c r="AV351" s="112">
        <v>3.13106666666667</v>
      </c>
      <c r="AW351" s="112">
        <v>0.88395</v>
      </c>
      <c r="AX351" s="113"/>
      <c r="AY351" s="113"/>
      <c r="AZ351" s="113"/>
      <c r="BA351" s="113"/>
      <c r="BB351" s="113"/>
      <c r="BC351" s="113"/>
      <c r="BD351" s="113"/>
      <c r="BE351" s="113"/>
      <c r="BF351" s="113"/>
      <c r="BG351" s="113"/>
      <c r="BH351" s="113"/>
      <c r="BI351" s="113"/>
      <c r="BJ351" s="113"/>
      <c r="BK351" s="113"/>
      <c r="BL351" s="113"/>
      <c r="BM351" s="113"/>
      <c r="BN351" s="113"/>
      <c r="BO351" s="113"/>
      <c r="BP351" s="113"/>
      <c r="BQ351" s="113"/>
      <c r="BR351" s="113"/>
      <c r="BS351" s="113"/>
      <c r="BT351" s="113"/>
      <c r="BU351" s="113"/>
      <c r="BV351" s="113"/>
      <c r="BW351" s="113"/>
      <c r="BX351" s="113"/>
      <c r="BY351" s="113"/>
      <c r="BZ351" s="113"/>
      <c r="CA351" s="113"/>
      <c r="CB351" s="113"/>
      <c r="CC351" s="113"/>
      <c r="CD351" s="113"/>
      <c r="CE351" s="113"/>
      <c r="CF351" s="113"/>
      <c r="CG351" s="113"/>
      <c r="CH351" s="113"/>
      <c r="CI351" s="113"/>
      <c r="CJ351" s="113"/>
      <c r="CK351" s="113"/>
      <c r="CL351" s="113"/>
      <c r="CM351" s="113"/>
      <c r="CN351" s="113"/>
      <c r="CO351" s="113"/>
      <c r="CP351" s="113"/>
      <c r="CQ351" s="113"/>
      <c r="CR351" s="113"/>
      <c r="CS351" s="113"/>
      <c r="CT351" s="113"/>
      <c r="CU351" s="113"/>
      <c r="CV351" s="113"/>
      <c r="CW351" s="113"/>
      <c r="CX351" s="113"/>
      <c r="CY351" s="113"/>
      <c r="CZ351" s="113"/>
      <c r="DA351" s="113"/>
      <c r="DB351" s="113"/>
      <c r="DC351" s="113"/>
      <c r="DD351" s="113"/>
      <c r="DE351" s="113"/>
      <c r="DF351" s="113"/>
      <c r="DG351" s="113"/>
      <c r="DH351" s="113"/>
      <c r="DI351" s="113"/>
      <c r="DJ351" s="113"/>
      <c r="DK351" s="113"/>
      <c r="DL351" s="113"/>
      <c r="DM351" s="113"/>
      <c r="DN351" s="113"/>
      <c r="DO351" s="113"/>
      <c r="DP351" s="113"/>
      <c r="DQ351" s="113"/>
      <c r="DR351" s="113"/>
      <c r="DS351" s="113"/>
      <c r="DT351" s="113"/>
      <c r="DU351" s="113"/>
      <c r="DV351" s="113"/>
      <c r="DW351" s="113"/>
      <c r="DX351" s="113"/>
      <c r="DY351" s="113"/>
      <c r="DZ351" s="113"/>
      <c r="EA351" s="113"/>
      <c r="EB351" s="113"/>
      <c r="EC351" s="113"/>
      <c r="ED351" s="113"/>
      <c r="EE351" s="113"/>
      <c r="EF351" s="113"/>
      <c r="EG351" s="113"/>
      <c r="EH351" s="113"/>
      <c r="EI351" s="113"/>
      <c r="EJ351" s="113"/>
      <c r="EK351" s="113"/>
      <c r="EL351" s="113"/>
      <c r="EM351" s="113"/>
      <c r="EN351" s="113"/>
      <c r="EO351" s="113"/>
      <c r="EP351" s="113"/>
      <c r="EQ351" s="113"/>
      <c r="ER351" s="113"/>
      <c r="ES351" s="113"/>
      <c r="ET351" s="113"/>
      <c r="EU351" s="113"/>
      <c r="EV351" s="113"/>
      <c r="EW351" s="113"/>
      <c r="EX351" s="113"/>
      <c r="EY351" s="113"/>
      <c r="EZ351" s="113"/>
      <c r="FA351" s="113"/>
      <c r="FB351" s="113"/>
      <c r="FC351" s="113"/>
      <c r="FD351" s="113"/>
      <c r="FE351" s="113"/>
      <c r="FF351" s="113"/>
      <c r="FG351" s="113"/>
      <c r="FH351" s="113"/>
      <c r="FI351" s="113"/>
      <c r="FJ351" s="113"/>
      <c r="FK351" s="113"/>
      <c r="FL351" s="113"/>
      <c r="FM351" s="113"/>
      <c r="FN351" s="113"/>
      <c r="FO351" s="113"/>
      <c r="FP351" s="113"/>
      <c r="FQ351" s="113"/>
      <c r="FR351" s="113"/>
      <c r="FS351" s="113"/>
      <c r="FT351" s="113"/>
      <c r="FU351" s="113"/>
      <c r="FV351" s="113"/>
      <c r="FW351" s="113"/>
      <c r="FX351" s="113"/>
      <c r="FY351" s="113"/>
      <c r="FZ351" s="113"/>
      <c r="GA351" s="113"/>
      <c r="GB351" s="113"/>
      <c r="GC351" s="113"/>
      <c r="GD351" s="113"/>
      <c r="GE351" s="113"/>
      <c r="GF351" s="113"/>
      <c r="GG351" s="113"/>
      <c r="GH351" s="113"/>
      <c r="GI351" s="113"/>
      <c r="GJ351" s="113"/>
      <c r="GK351" s="113"/>
      <c r="GL351" s="113"/>
      <c r="GM351" s="113"/>
      <c r="GN351" s="113"/>
      <c r="GO351" s="113"/>
      <c r="GP351" s="113"/>
      <c r="GQ351" s="113"/>
      <c r="GR351" s="113"/>
      <c r="GS351" s="113"/>
      <c r="GT351" s="113"/>
      <c r="GU351" s="113"/>
      <c r="GV351" s="113"/>
      <c r="GW351" s="113"/>
      <c r="GX351" s="113"/>
      <c r="GY351" s="113"/>
      <c r="GZ351" s="113"/>
      <c r="HA351" s="113"/>
      <c r="HB351" s="113"/>
      <c r="HC351" s="113"/>
      <c r="HD351" s="113"/>
      <c r="HE351" s="113"/>
      <c r="HF351" s="113"/>
      <c r="HG351" s="113"/>
      <c r="HH351" s="113"/>
      <c r="HI351" s="113"/>
      <c r="HJ351" s="113"/>
      <c r="HK351" s="113"/>
      <c r="HL351" s="113"/>
      <c r="HM351" s="113"/>
      <c r="HN351" s="113"/>
      <c r="HO351" s="113"/>
      <c r="HP351" s="113"/>
      <c r="HQ351" s="113"/>
      <c r="HR351" s="113"/>
      <c r="HS351" s="113"/>
      <c r="HT351" s="113"/>
      <c r="HU351" s="113"/>
      <c r="HV351" s="113"/>
      <c r="HW351" s="113"/>
      <c r="HX351" s="113"/>
      <c r="HY351" s="113"/>
      <c r="HZ351" s="113"/>
      <c r="IA351" s="113"/>
      <c r="IB351" s="113"/>
      <c r="IC351" s="113"/>
      <c r="ID351" s="113"/>
      <c r="IE351" s="113"/>
      <c r="IF351" s="113"/>
      <c r="IG351" s="113"/>
      <c r="IH351" s="113"/>
      <c r="II351" s="113"/>
      <c r="IJ351" s="113"/>
      <c r="IK351" s="113"/>
      <c r="IL351" s="113"/>
      <c r="IM351" s="113"/>
      <c r="IN351" s="113"/>
      <c r="IO351" s="113"/>
      <c r="IP351" s="113"/>
      <c r="IQ351" s="113"/>
      <c r="IR351" s="113"/>
      <c r="IS351" s="113"/>
      <c r="IT351" s="113"/>
      <c r="IU351" s="113"/>
      <c r="IV351" s="113"/>
      <c r="IW351" s="113"/>
      <c r="IX351" s="113"/>
      <c r="IY351" s="113"/>
      <c r="IZ351" s="113"/>
      <c r="JA351" s="113"/>
      <c r="JB351" s="113"/>
      <c r="JC351" s="113"/>
      <c r="JD351" s="113"/>
      <c r="JE351" s="113"/>
      <c r="JF351" s="113"/>
      <c r="JG351" s="113"/>
      <c r="JH351" s="113"/>
      <c r="JI351" s="113"/>
      <c r="JJ351" s="113"/>
      <c r="JK351" s="113"/>
      <c r="JL351" s="113"/>
      <c r="JM351" s="113"/>
      <c r="JN351" s="113"/>
      <c r="JO351" s="113"/>
      <c r="JP351" s="113"/>
      <c r="JQ351" s="113"/>
      <c r="JR351" s="113"/>
      <c r="JS351" s="113"/>
      <c r="JT351" s="113"/>
      <c r="JU351" s="113"/>
      <c r="JV351" s="113"/>
      <c r="JW351" s="113"/>
      <c r="JX351" s="113"/>
      <c r="JY351" s="113"/>
      <c r="JZ351" s="113"/>
      <c r="KA351" s="113"/>
      <c r="KB351" s="113"/>
      <c r="KC351" s="113"/>
      <c r="KD351" s="113"/>
      <c r="KE351" s="113"/>
      <c r="KF351" s="113"/>
      <c r="KG351" s="113"/>
      <c r="KH351" s="113"/>
      <c r="KI351" s="113"/>
      <c r="KJ351" s="113"/>
      <c r="KK351" s="113"/>
      <c r="KL351" s="113"/>
      <c r="KM351" s="113"/>
      <c r="KN351" s="113"/>
      <c r="KO351" s="113"/>
      <c r="KP351" s="113"/>
      <c r="KQ351" s="113"/>
      <c r="KR351" s="113"/>
      <c r="KS351" s="113"/>
      <c r="KT351" s="113"/>
      <c r="KU351" s="113"/>
      <c r="KV351" s="113"/>
      <c r="KW351" s="113"/>
      <c r="KX351" s="113"/>
      <c r="KY351" s="113"/>
      <c r="KZ351" s="113"/>
      <c r="LA351" s="113"/>
      <c r="LB351" s="113"/>
      <c r="LC351" s="113"/>
      <c r="LD351" s="113"/>
      <c r="LE351" s="113"/>
      <c r="LF351" s="113"/>
      <c r="LG351" s="113"/>
      <c r="LH351" s="113"/>
      <c r="LI351" s="113"/>
      <c r="LJ351" s="113"/>
      <c r="LK351" s="113"/>
      <c r="LL351" s="113"/>
      <c r="LM351" s="113"/>
      <c r="LN351" s="113"/>
      <c r="LO351" s="113"/>
      <c r="LP351" s="113"/>
      <c r="LQ351" s="113"/>
      <c r="LR351" s="113"/>
      <c r="LS351" s="113"/>
      <c r="LT351" s="113"/>
      <c r="LU351" s="113"/>
      <c r="LV351" s="113"/>
      <c r="LW351" s="113"/>
      <c r="LX351" s="113"/>
      <c r="LY351" s="113"/>
      <c r="LZ351" s="113"/>
      <c r="MA351" s="113"/>
      <c r="MB351" s="113"/>
      <c r="MC351" s="113"/>
      <c r="MD351" s="113"/>
      <c r="ME351" s="113"/>
      <c r="MF351" s="113"/>
      <c r="MG351" s="113"/>
      <c r="MH351" s="113"/>
      <c r="MI351" s="113"/>
      <c r="MJ351" s="113"/>
      <c r="MK351" s="113"/>
      <c r="ML351" s="113"/>
      <c r="MM351" s="113"/>
      <c r="MN351" s="113"/>
      <c r="MO351" s="113"/>
      <c r="MP351" s="113"/>
      <c r="MQ351" s="113"/>
      <c r="MR351" s="113"/>
      <c r="MS351" s="113"/>
      <c r="MT351" s="113"/>
      <c r="MU351" s="113"/>
      <c r="MV351" s="113"/>
      <c r="MW351" s="113"/>
      <c r="MX351" s="113"/>
      <c r="MY351" s="113"/>
      <c r="MZ351" s="113"/>
      <c r="NA351" s="113"/>
      <c r="NB351" s="113"/>
      <c r="NC351" s="113"/>
      <c r="ND351" s="113"/>
      <c r="NE351" s="113"/>
      <c r="NF351" s="113"/>
      <c r="NG351" s="113"/>
      <c r="NH351" s="113"/>
      <c r="NI351" s="113"/>
      <c r="NJ351" s="113"/>
      <c r="NK351" s="113"/>
      <c r="NL351" s="113"/>
      <c r="NM351" s="113"/>
      <c r="NN351" s="113"/>
      <c r="NO351" s="113"/>
      <c r="NP351" s="113"/>
      <c r="NQ351" s="113"/>
      <c r="NR351" s="113"/>
      <c r="NS351" s="113"/>
      <c r="NT351" s="113"/>
      <c r="NU351" s="113"/>
      <c r="NV351" s="113"/>
      <c r="NW351" s="113"/>
      <c r="NX351" s="113"/>
      <c r="NY351" s="113"/>
      <c r="NZ351" s="113"/>
      <c r="OA351" s="113"/>
      <c r="OB351" s="113"/>
      <c r="OC351" s="113"/>
      <c r="OD351" s="113"/>
      <c r="OE351" s="113"/>
      <c r="OF351" s="113"/>
      <c r="OG351" s="113"/>
      <c r="OH351" s="113"/>
      <c r="OI351" s="113"/>
      <c r="OJ351" s="113"/>
      <c r="OK351" s="113"/>
      <c r="OL351" s="113"/>
      <c r="OM351" s="113"/>
      <c r="ON351" s="113"/>
      <c r="OO351" s="113"/>
      <c r="OP351" s="113"/>
      <c r="OQ351" s="113"/>
      <c r="OR351" s="113"/>
      <c r="OS351" s="113"/>
      <c r="OT351" s="113"/>
      <c r="OU351" s="113"/>
      <c r="OV351" s="113"/>
      <c r="OW351" s="113"/>
      <c r="OX351" s="113"/>
      <c r="OY351" s="113"/>
      <c r="OZ351" s="113"/>
      <c r="PA351" s="113"/>
      <c r="PB351" s="113"/>
      <c r="PC351" s="113"/>
      <c r="PD351" s="113"/>
      <c r="PE351" s="113"/>
      <c r="PF351" s="113"/>
      <c r="PG351" s="113"/>
      <c r="PH351" s="113"/>
      <c r="PI351" s="113"/>
      <c r="PJ351" s="113"/>
      <c r="PK351" s="113"/>
      <c r="PL351" s="113"/>
      <c r="PM351" s="113"/>
      <c r="PN351" s="113"/>
      <c r="PO351" s="113"/>
      <c r="PP351" s="113"/>
      <c r="PQ351" s="113"/>
      <c r="PR351" s="113"/>
      <c r="PS351" s="113"/>
      <c r="PT351" s="113"/>
      <c r="PU351" s="113"/>
      <c r="PV351" s="113"/>
      <c r="PW351" s="113"/>
      <c r="PX351" s="113"/>
      <c r="PY351" s="113"/>
      <c r="PZ351" s="113"/>
      <c r="QA351" s="113"/>
      <c r="QB351" s="113"/>
      <c r="QC351" s="113"/>
      <c r="QD351" s="113"/>
      <c r="QE351" s="113"/>
      <c r="QF351" s="113"/>
      <c r="QG351" s="113"/>
      <c r="QH351" s="113"/>
      <c r="QI351" s="113"/>
      <c r="QJ351" s="113"/>
      <c r="QK351" s="113"/>
      <c r="QL351" s="113"/>
      <c r="QM351" s="113"/>
      <c r="QN351" s="113"/>
      <c r="QO351" s="113"/>
      <c r="QP351" s="113"/>
      <c r="QQ351" s="113"/>
      <c r="QR351" s="113"/>
      <c r="QS351" s="113"/>
      <c r="QT351" s="113"/>
      <c r="QU351" s="113"/>
      <c r="QV351" s="113"/>
      <c r="QW351" s="113"/>
      <c r="QX351" s="113"/>
      <c r="QY351" s="113"/>
      <c r="QZ351" s="113"/>
      <c r="RA351" s="113"/>
      <c r="RB351" s="113"/>
      <c r="RC351" s="113"/>
      <c r="RD351" s="113"/>
      <c r="RE351" s="113"/>
      <c r="RF351" s="113"/>
      <c r="RG351" s="113"/>
      <c r="RH351" s="113"/>
      <c r="RI351" s="113"/>
      <c r="RJ351" s="113"/>
      <c r="RK351" s="113"/>
      <c r="RL351" s="113"/>
      <c r="RM351" s="113"/>
      <c r="RN351" s="113"/>
      <c r="RO351" s="113"/>
      <c r="RP351" s="113"/>
      <c r="RQ351" s="113"/>
      <c r="RR351" s="113"/>
      <c r="RS351" s="113"/>
      <c r="RT351" s="113"/>
      <c r="RU351" s="113"/>
      <c r="RV351" s="113"/>
      <c r="RW351" s="113"/>
      <c r="RX351" s="113"/>
      <c r="RY351" s="113"/>
      <c r="RZ351" s="113"/>
      <c r="SA351" s="113"/>
      <c r="SB351" s="113"/>
      <c r="SC351" s="113"/>
      <c r="SD351" s="113"/>
      <c r="SE351" s="113"/>
      <c r="SF351" s="113"/>
      <c r="SG351" s="113"/>
      <c r="SH351" s="113"/>
      <c r="SI351" s="113"/>
      <c r="SJ351" s="113"/>
      <c r="SK351" s="113"/>
      <c r="SL351" s="113"/>
      <c r="SM351" s="113"/>
      <c r="SN351" s="113"/>
      <c r="SO351" s="113"/>
      <c r="SP351" s="113"/>
      <c r="SQ351" s="113"/>
      <c r="SR351" s="113"/>
      <c r="SS351" s="113"/>
      <c r="ST351" s="113"/>
      <c r="SU351" s="113"/>
      <c r="SV351" s="113"/>
      <c r="SW351" s="113"/>
      <c r="SX351" s="113"/>
      <c r="SY351" s="113"/>
      <c r="SZ351" s="113"/>
      <c r="TA351" s="113"/>
      <c r="TB351" s="113"/>
      <c r="TC351" s="113"/>
      <c r="TD351" s="113"/>
      <c r="TE351" s="113"/>
      <c r="TF351" s="113"/>
      <c r="TG351" s="113"/>
      <c r="TH351" s="113"/>
      <c r="TI351" s="113"/>
      <c r="TJ351" s="113"/>
      <c r="TK351" s="113"/>
      <c r="TL351" s="113"/>
      <c r="TM351" s="113"/>
      <c r="TN351" s="113"/>
      <c r="TO351" s="113"/>
      <c r="TP351" s="113"/>
      <c r="TQ351" s="113"/>
      <c r="TR351" s="113"/>
      <c r="TS351" s="113"/>
      <c r="TT351" s="113"/>
      <c r="TU351" s="113"/>
      <c r="TV351" s="113"/>
      <c r="TW351" s="113"/>
      <c r="TX351" s="113"/>
      <c r="TY351" s="113"/>
      <c r="TZ351" s="113"/>
      <c r="UA351" s="113"/>
      <c r="UB351" s="113"/>
      <c r="UC351" s="113"/>
      <c r="UD351" s="113"/>
      <c r="UE351" s="113"/>
      <c r="UF351" s="113"/>
      <c r="UG351" s="113"/>
      <c r="UH351" s="113"/>
      <c r="UI351" s="113"/>
      <c r="UJ351" s="113"/>
      <c r="UK351" s="113"/>
      <c r="UL351" s="113"/>
      <c r="UM351" s="113"/>
      <c r="UN351" s="113"/>
      <c r="UO351" s="113"/>
      <c r="UP351" s="113"/>
      <c r="UQ351" s="113"/>
      <c r="UR351" s="113"/>
      <c r="US351" s="113"/>
      <c r="UT351" s="113"/>
      <c r="UU351" s="113"/>
      <c r="UV351" s="113"/>
      <c r="UW351" s="113"/>
      <c r="UX351" s="113"/>
      <c r="UY351" s="113"/>
      <c r="UZ351" s="113"/>
      <c r="VA351" s="113"/>
      <c r="VB351" s="113"/>
      <c r="VC351" s="113"/>
      <c r="VD351" s="113"/>
      <c r="VE351" s="113"/>
      <c r="VF351" s="113"/>
      <c r="VG351" s="113"/>
      <c r="VH351" s="113"/>
      <c r="VI351" s="113"/>
      <c r="VJ351" s="113"/>
      <c r="VK351" s="113"/>
      <c r="VL351" s="113"/>
      <c r="VM351" s="113"/>
      <c r="VN351" s="113"/>
      <c r="VO351" s="113"/>
      <c r="VP351" s="113"/>
      <c r="VQ351" s="113"/>
      <c r="VR351" s="113"/>
      <c r="VS351" s="113"/>
      <c r="VT351" s="113"/>
      <c r="VU351" s="113"/>
      <c r="VV351" s="113"/>
      <c r="VW351" s="113"/>
      <c r="VX351" s="113"/>
      <c r="VY351" s="113"/>
      <c r="VZ351" s="113"/>
      <c r="WA351" s="113"/>
      <c r="WB351" s="113"/>
      <c r="WC351" s="113"/>
      <c r="WD351" s="113"/>
      <c r="WE351" s="113"/>
      <c r="WF351" s="113"/>
      <c r="WG351" s="113"/>
      <c r="WH351" s="113"/>
      <c r="WI351" s="113"/>
      <c r="WJ351" s="113"/>
      <c r="WK351" s="113"/>
      <c r="WL351" s="113"/>
      <c r="WM351" s="113"/>
      <c r="WN351" s="113"/>
      <c r="WO351" s="113"/>
      <c r="WP351" s="113"/>
      <c r="WQ351" s="113"/>
      <c r="WR351" s="113"/>
      <c r="WS351" s="113"/>
      <c r="WT351" s="113"/>
      <c r="WU351" s="113"/>
      <c r="WV351" s="113"/>
      <c r="WW351" s="113"/>
      <c r="WX351" s="113"/>
      <c r="WY351" s="113"/>
      <c r="WZ351" s="113"/>
      <c r="XA351" s="113"/>
      <c r="XB351" s="113"/>
      <c r="XC351" s="113"/>
      <c r="XD351" s="113"/>
      <c r="XE351" s="113"/>
      <c r="XF351" s="113"/>
      <c r="XG351" s="113"/>
      <c r="XH351" s="113"/>
      <c r="XI351" s="113"/>
      <c r="XJ351" s="113"/>
      <c r="XK351" s="113"/>
      <c r="XL351" s="113"/>
      <c r="XM351" s="113"/>
      <c r="XN351" s="113"/>
      <c r="XO351" s="113"/>
      <c r="XP351" s="113"/>
      <c r="XQ351" s="113"/>
      <c r="XR351" s="113"/>
      <c r="XS351" s="113"/>
      <c r="XT351" s="113"/>
      <c r="XU351" s="113"/>
      <c r="XV351" s="113"/>
      <c r="XW351" s="113"/>
      <c r="XX351" s="113"/>
      <c r="XY351" s="113"/>
      <c r="XZ351" s="113"/>
      <c r="YA351" s="113"/>
      <c r="YB351" s="113"/>
      <c r="YC351" s="113"/>
      <c r="YD351" s="113"/>
      <c r="YE351" s="113"/>
      <c r="YF351" s="113"/>
      <c r="YG351" s="113"/>
      <c r="YH351" s="113"/>
      <c r="YI351" s="113"/>
      <c r="YJ351" s="113"/>
      <c r="YK351" s="113"/>
      <c r="YL351" s="113"/>
      <c r="YM351" s="113"/>
      <c r="YN351" s="113"/>
      <c r="YO351" s="113"/>
      <c r="YP351" s="113"/>
      <c r="YQ351" s="113"/>
      <c r="YR351" s="113"/>
      <c r="YS351" s="113"/>
      <c r="YT351" s="113"/>
      <c r="YU351" s="113"/>
      <c r="YV351" s="113"/>
      <c r="YW351" s="113"/>
      <c r="YX351" s="113"/>
      <c r="YY351" s="113"/>
      <c r="YZ351" s="113"/>
      <c r="ZA351" s="113"/>
      <c r="ZB351" s="113"/>
      <c r="ZC351" s="113"/>
      <c r="ZD351" s="113"/>
      <c r="ZE351" s="113"/>
      <c r="ZF351" s="113"/>
      <c r="ZG351" s="113"/>
      <c r="ZH351" s="113"/>
      <c r="ZI351" s="113"/>
      <c r="ZJ351" s="113"/>
      <c r="ZK351" s="113"/>
      <c r="ZL351" s="113"/>
      <c r="ZM351" s="113"/>
      <c r="ZN351" s="113"/>
      <c r="ZO351" s="113"/>
      <c r="ZP351" s="113"/>
      <c r="ZQ351" s="113"/>
      <c r="ZR351" s="113"/>
      <c r="ZS351" s="113"/>
      <c r="ZT351" s="113"/>
      <c r="ZU351" s="113"/>
      <c r="ZV351" s="113"/>
      <c r="ZW351" s="113"/>
      <c r="ZX351" s="113"/>
      <c r="ZY351" s="113"/>
      <c r="ZZ351" s="113"/>
      <c r="AAA351" s="113"/>
      <c r="AAB351" s="113"/>
      <c r="AAC351" s="113"/>
      <c r="AAD351" s="113"/>
      <c r="AAE351" s="113"/>
      <c r="AAF351" s="113"/>
      <c r="AAG351" s="113"/>
      <c r="AAH351" s="113"/>
      <c r="AAI351" s="113"/>
      <c r="AAJ351" s="113"/>
      <c r="AAK351" s="113"/>
      <c r="AAL351" s="113"/>
      <c r="AAM351" s="113"/>
      <c r="AAN351" s="113"/>
      <c r="AAO351" s="113"/>
      <c r="AAP351" s="113"/>
      <c r="AAQ351" s="113"/>
      <c r="AAR351" s="113"/>
      <c r="AAS351" s="113"/>
      <c r="AAT351" s="113"/>
      <c r="AAU351" s="113"/>
      <c r="AAV351" s="113"/>
      <c r="AAW351" s="113"/>
      <c r="AAX351" s="113"/>
      <c r="AAY351" s="113"/>
      <c r="AAZ351" s="113"/>
      <c r="ABA351" s="113"/>
      <c r="ABB351" s="113"/>
      <c r="ABC351" s="113"/>
      <c r="ABD351" s="113"/>
      <c r="ABE351" s="113"/>
      <c r="ABF351" s="113"/>
      <c r="ABG351" s="113"/>
      <c r="ABH351" s="113"/>
      <c r="ABI351" s="113"/>
      <c r="ABJ351" s="113"/>
      <c r="ABK351" s="113"/>
      <c r="ABL351" s="113"/>
      <c r="ABM351" s="113"/>
      <c r="ABN351" s="113"/>
      <c r="ABO351" s="113"/>
      <c r="ABP351" s="113"/>
      <c r="ABQ351" s="113"/>
      <c r="ABR351" s="113"/>
      <c r="ABS351" s="113"/>
      <c r="ABT351" s="113"/>
      <c r="ABU351" s="113"/>
      <c r="ABV351" s="113"/>
      <c r="ABW351" s="113"/>
      <c r="ABX351" s="113"/>
      <c r="ABY351" s="113"/>
      <c r="ABZ351" s="113"/>
      <c r="ACA351" s="113"/>
      <c r="ACB351" s="113"/>
      <c r="ACC351" s="113"/>
      <c r="ACD351" s="113"/>
      <c r="ACE351" s="113"/>
      <c r="ACF351" s="113"/>
      <c r="ACG351" s="113"/>
      <c r="ACH351" s="113"/>
      <c r="ACI351" s="113"/>
      <c r="ACJ351" s="113"/>
      <c r="ACK351" s="113"/>
      <c r="ACL351" s="113"/>
      <c r="ACM351" s="113"/>
      <c r="ACN351" s="113"/>
      <c r="ACO351" s="113"/>
      <c r="ACP351" s="113"/>
      <c r="ACQ351" s="113"/>
      <c r="ACR351" s="113"/>
      <c r="ACS351" s="113"/>
      <c r="ACT351" s="113"/>
      <c r="ACU351" s="113"/>
      <c r="ACV351" s="113"/>
      <c r="ACW351" s="113"/>
      <c r="ACX351" s="113"/>
      <c r="ACY351" s="113"/>
      <c r="ACZ351" s="113"/>
      <c r="ADA351" s="113"/>
      <c r="ADB351" s="113"/>
      <c r="ADC351" s="113"/>
      <c r="ADD351" s="113"/>
      <c r="ADE351" s="113"/>
      <c r="ADF351" s="113"/>
      <c r="ADG351" s="113"/>
      <c r="ADH351" s="113"/>
      <c r="ADI351" s="113"/>
      <c r="ADJ351" s="113"/>
      <c r="ADK351" s="113"/>
      <c r="ADL351" s="113"/>
      <c r="ADM351" s="113"/>
      <c r="ADN351" s="113"/>
      <c r="ADO351" s="113"/>
      <c r="ADP351" s="113"/>
      <c r="ADQ351" s="113"/>
      <c r="ADR351" s="113"/>
      <c r="ADS351" s="113"/>
      <c r="ADT351" s="113"/>
      <c r="ADU351" s="113"/>
      <c r="ADV351" s="113"/>
      <c r="ADW351" s="113"/>
      <c r="ADX351" s="113"/>
      <c r="ADY351" s="113"/>
      <c r="ADZ351" s="113"/>
      <c r="AEA351" s="113"/>
      <c r="AEB351" s="113"/>
      <c r="AEC351" s="113"/>
      <c r="AED351" s="113"/>
      <c r="AEE351" s="113"/>
      <c r="AEF351" s="113"/>
      <c r="AEG351" s="113"/>
      <c r="AEH351" s="113"/>
      <c r="AEI351" s="113"/>
      <c r="AEJ351" s="113"/>
      <c r="AEK351" s="113"/>
      <c r="AEL351" s="113"/>
      <c r="AEM351" s="113"/>
      <c r="AEN351" s="113"/>
      <c r="AEO351" s="113"/>
      <c r="AEP351" s="113"/>
      <c r="AEQ351" s="113"/>
      <c r="AER351" s="113"/>
      <c r="AES351" s="113"/>
      <c r="AET351" s="113"/>
      <c r="AEU351" s="113"/>
      <c r="AEV351" s="113"/>
      <c r="AEW351" s="113"/>
      <c r="AEX351" s="113"/>
      <c r="AEY351" s="113"/>
      <c r="AEZ351" s="113"/>
      <c r="AFA351" s="113"/>
      <c r="AFB351" s="113"/>
      <c r="AFC351" s="113"/>
      <c r="AFD351" s="113"/>
      <c r="AFE351" s="113"/>
      <c r="AFF351" s="113"/>
      <c r="AFG351" s="113"/>
      <c r="AFH351" s="113"/>
      <c r="AFI351" s="113"/>
      <c r="AFJ351" s="113"/>
      <c r="AFK351" s="113"/>
      <c r="AFL351" s="113"/>
      <c r="AFM351" s="113"/>
      <c r="AFN351" s="113"/>
      <c r="AFO351" s="113"/>
      <c r="AFP351" s="113"/>
      <c r="AFQ351" s="113"/>
      <c r="AFR351" s="113"/>
      <c r="AFS351" s="113"/>
      <c r="AFT351" s="113"/>
      <c r="AFU351" s="113"/>
      <c r="AFV351" s="113"/>
      <c r="AFW351" s="113"/>
      <c r="AFX351" s="113"/>
      <c r="AFY351" s="113"/>
      <c r="AFZ351" s="113"/>
      <c r="AGA351" s="113"/>
      <c r="AGB351" s="113"/>
      <c r="AGC351" s="113"/>
      <c r="AGD351" s="113"/>
      <c r="AGE351" s="113"/>
      <c r="AGF351" s="113"/>
      <c r="AGG351" s="113"/>
      <c r="AGH351" s="113"/>
      <c r="AGI351" s="113"/>
      <c r="AGJ351" s="113"/>
      <c r="AGK351" s="113"/>
      <c r="AGL351" s="113"/>
      <c r="AGM351" s="113"/>
      <c r="AGN351" s="113"/>
      <c r="AGO351" s="113"/>
      <c r="AGP351" s="113"/>
      <c r="AGQ351" s="113"/>
      <c r="AGR351" s="113"/>
      <c r="AGS351" s="113"/>
      <c r="AGT351" s="113"/>
      <c r="AGU351" s="113"/>
      <c r="AGV351" s="113"/>
      <c r="AGW351" s="113"/>
      <c r="AGX351" s="113"/>
      <c r="AGY351" s="113"/>
      <c r="AGZ351" s="113"/>
      <c r="AHA351" s="113"/>
      <c r="AHB351" s="113"/>
      <c r="AHC351" s="113"/>
      <c r="AHD351" s="113"/>
      <c r="AHE351" s="113"/>
      <c r="AHF351" s="113"/>
      <c r="AHG351" s="113"/>
      <c r="AHH351" s="113"/>
      <c r="AHI351" s="113"/>
      <c r="AHJ351" s="113"/>
      <c r="AHK351" s="113"/>
      <c r="AHL351" s="113"/>
      <c r="AHM351" s="113"/>
      <c r="AHN351" s="113"/>
      <c r="AHO351" s="113"/>
      <c r="AHP351" s="113"/>
      <c r="AHQ351" s="113"/>
      <c r="AHR351" s="113"/>
      <c r="AHS351" s="113"/>
      <c r="AHT351" s="113"/>
      <c r="AHU351" s="113"/>
      <c r="AHV351" s="113"/>
      <c r="AHW351" s="113"/>
      <c r="AHX351" s="113"/>
      <c r="AHY351" s="113"/>
      <c r="AHZ351" s="113"/>
      <c r="AIA351" s="113"/>
      <c r="AIB351" s="113"/>
      <c r="AIC351" s="113"/>
      <c r="AID351" s="113"/>
      <c r="AIE351" s="113"/>
      <c r="AIF351" s="113"/>
      <c r="AIG351" s="113"/>
      <c r="AIH351" s="113"/>
      <c r="AII351" s="113"/>
      <c r="AIJ351" s="113"/>
      <c r="AIK351" s="113"/>
      <c r="AIL351" s="113"/>
      <c r="AIM351" s="113"/>
      <c r="AIN351" s="113"/>
      <c r="AIO351" s="113"/>
      <c r="AIP351" s="113"/>
      <c r="AIQ351" s="113"/>
      <c r="AIR351" s="113"/>
      <c r="AIS351" s="113"/>
      <c r="AIT351" s="113"/>
      <c r="AIU351" s="113"/>
      <c r="AIV351" s="113"/>
      <c r="AIW351" s="113"/>
      <c r="AIX351" s="113"/>
      <c r="AIY351" s="113"/>
      <c r="AIZ351" s="113"/>
    </row>
    <row r="352">
      <c r="A352" s="65" t="s">
        <v>77</v>
      </c>
      <c r="B352" s="65" t="s">
        <v>78</v>
      </c>
      <c r="C352" s="65"/>
      <c r="D352" s="64">
        <f t="shared" si="1"/>
        <v>711.7133667</v>
      </c>
      <c r="H352" s="65">
        <v>33.9613833333333</v>
      </c>
      <c r="I352" s="65">
        <v>64.52155</v>
      </c>
      <c r="J352" s="65">
        <v>69.0039833333333</v>
      </c>
      <c r="K352" s="65">
        <v>33.0541166666667</v>
      </c>
      <c r="N352" s="65">
        <v>6.56008333333334</v>
      </c>
      <c r="S352" s="65">
        <v>8.15616666666667</v>
      </c>
      <c r="T352" s="65">
        <v>32.9512</v>
      </c>
      <c r="U352" s="65">
        <v>5.20683333333333</v>
      </c>
      <c r="Z352" s="65">
        <v>10.8533333333333</v>
      </c>
      <c r="AA352" s="65">
        <v>186.378283333334</v>
      </c>
      <c r="AB352" s="65">
        <v>69.2310333333333</v>
      </c>
      <c r="AG352" s="65">
        <v>2.19425</v>
      </c>
      <c r="AH352" s="65">
        <v>9.29381666666667</v>
      </c>
      <c r="AI352" s="65">
        <v>6.57235</v>
      </c>
      <c r="AL352" s="65">
        <v>22.7809166666667</v>
      </c>
      <c r="AM352" s="65">
        <v>21.2625333333333</v>
      </c>
      <c r="AN352" s="65">
        <v>5.44083333333333</v>
      </c>
      <c r="AQ352" s="65">
        <v>26.7058166666667</v>
      </c>
      <c r="AR352" s="65">
        <v>38.5983833333333</v>
      </c>
      <c r="AU352" s="65">
        <v>58.9865</v>
      </c>
    </row>
    <row r="353">
      <c r="A353" s="65" t="s">
        <v>77</v>
      </c>
      <c r="B353" s="65" t="s">
        <v>78</v>
      </c>
      <c r="C353" s="65"/>
      <c r="D353" s="64">
        <f t="shared" si="1"/>
        <v>0</v>
      </c>
    </row>
    <row r="354">
      <c r="A354" s="65" t="s">
        <v>77</v>
      </c>
      <c r="B354" s="65" t="s">
        <v>78</v>
      </c>
      <c r="C354" s="65"/>
      <c r="D354" s="64">
        <f t="shared" si="1"/>
        <v>710.2241667</v>
      </c>
      <c r="H354" s="118">
        <f>HYPERLINK("https://docs.google.com/spreadsheets/d/1BARuygCoPOj6sRTgsa13l0u8QZdgBTOL", 33.8123833333333)</f>
        <v>33.81238333</v>
      </c>
      <c r="I354" s="118">
        <f>HYPERLINK("https://docs.google.com/spreadsheets/d/1GvoMwXhmNRVje3mYhQ4UEMpm0UH_X2xo", 64.3944666666667)</f>
        <v>64.39446667</v>
      </c>
      <c r="J354" s="118">
        <f>HYPERLINK("https://docs.google.com/spreadsheets/d/1J0bfAE8P7J5n25duE9V_RrdF7gxhId4b", 68.5695666666667)</f>
        <v>68.56956667</v>
      </c>
      <c r="K354" s="118">
        <f>HYPERLINK("https://docs.google.com/spreadsheets/d/1lpWbhr5j-LjQOSgy7EcblCG8Icl7md82", 33.0541)</f>
        <v>33.0541</v>
      </c>
      <c r="N354" s="118">
        <f>HYPERLINK("https://docs.google.com/spreadsheets/d/1qHlsMlBN-ttLu2cC3Ie7CryvttlXvje5", 6.5601)</f>
        <v>6.5601</v>
      </c>
      <c r="S354" s="118">
        <f>HYPERLINK("https://docs.google.com/spreadsheets/d/1ru4ovy3q8On_5w5AwioHRxRG4OxSAhix", 8.15616666666667)</f>
        <v>8.156166667</v>
      </c>
      <c r="T354" s="118">
        <f>HYPERLINK("https://docs.google.com/spreadsheets/d/19mPFtTFqFhsoGQ0tyI118Rs2qmW_KpXP", 32.8075666666666)</f>
        <v>32.80756667</v>
      </c>
      <c r="U354" s="118">
        <f>HYPERLINK("https://docs.google.com/spreadsheets/d/1eIw35cjf9XaWQP7xCch4oNUj7b32udKp", 5.20683333333333)</f>
        <v>5.206833333</v>
      </c>
      <c r="Z354" s="118">
        <f>HYPERLINK("https://docs.google.com/spreadsheets/d/1sE86yzgzere4JUoOrG7Gig8q905glyaC", 10.8533333333333)</f>
        <v>10.85333333</v>
      </c>
      <c r="AA354" s="118">
        <f>HYPERLINK("https://docs.google.com/spreadsheets/d/1xu7JqIfLT9VvZrSEOQ8XYBbVr_DQGX7e", 186.378283333334)</f>
        <v>186.3782833</v>
      </c>
      <c r="AB354" s="118">
        <f>HYPERLINK("https://docs.google.com/spreadsheets/d/1IjobndP_rRunbrf7dTLHQobwWRRHx8aK", 69.2309666666667)</f>
        <v>69.23096667</v>
      </c>
      <c r="AG354" s="118">
        <f>HYPERLINK("https://docs.google.com/spreadsheets/d/1J65G4zCGdJmbJYLcFagdGbY1TAS4H6TT", 2.19423333333333)</f>
        <v>2.194233333</v>
      </c>
      <c r="AH354" s="118">
        <f>HYPERLINK("https://docs.google.com/spreadsheets/d/1HffZp6E4g68b-KYXEfCKae744t_BZBSB", 9.2044)</f>
        <v>9.2044</v>
      </c>
      <c r="AI354" s="118">
        <f>HYPERLINK("https://docs.google.com/spreadsheets/d/19Hx0d6eE_-o6T4Ml2KA41wAV1a1GyGIf", 6.57235)</f>
        <v>6.57235</v>
      </c>
      <c r="AL354" s="118">
        <f>HYPERLINK("https://docs.google.com/spreadsheets/d/1mJRdSnizNL5TX_5_edi29aJO0mmYqVjH", 22.7809)</f>
        <v>22.7809</v>
      </c>
      <c r="AM354" s="118">
        <f>HYPERLINK("https://docs.google.com/spreadsheets/d/1LGOxruQIBzA4cXYVe6qMMfuzFfsGWx6i", 21.0975666666667)</f>
        <v>21.09756667</v>
      </c>
      <c r="AN354" s="118">
        <f>HYPERLINK("https://docs.google.com/spreadsheets/d/1F6fKHs3uUrh7uz_RENGj-xHPFGGcKbRp", 5.44085)</f>
        <v>5.44085</v>
      </c>
      <c r="AQ354" s="118">
        <f>HYPERLINK("https://docs.google.com/spreadsheets/d/1UrpBJ3zAynpTC_vlc7CiTpU6GdcY-LY-", 26.7057833333333)</f>
        <v>26.70578333</v>
      </c>
      <c r="AR354" s="118">
        <f>HYPERLINK("https://docs.google.com/spreadsheets/d/1s6ZryExUzs2QeLQ6WL4GJfZkKOi2txBd", 38.2889166666666)</f>
        <v>38.28891667</v>
      </c>
      <c r="AU354" s="118">
        <f>HYPERLINK("https://docs.google.com/spreadsheets/d/1OWsoRhymLr6VJ2fVHYMZUrVzTT2PI4q_", 58.9154)</f>
        <v>58.9154</v>
      </c>
    </row>
    <row r="355">
      <c r="A355" s="65" t="s">
        <v>77</v>
      </c>
      <c r="B355" s="65" t="s">
        <v>78</v>
      </c>
      <c r="C355" s="65"/>
      <c r="D355" s="64">
        <f t="shared" si="1"/>
        <v>590.1644167</v>
      </c>
      <c r="H355" s="65">
        <v>31.4243</v>
      </c>
      <c r="I355" s="65">
        <v>54.4057166666667</v>
      </c>
      <c r="J355" s="65">
        <v>64.0185</v>
      </c>
      <c r="K355" s="65">
        <v>25.41545</v>
      </c>
      <c r="N355" s="65">
        <v>5.82196666666667</v>
      </c>
      <c r="S355" s="65">
        <v>6.7804</v>
      </c>
      <c r="T355" s="65">
        <v>28.88445</v>
      </c>
      <c r="U355" s="65">
        <v>4.74705</v>
      </c>
      <c r="Z355" s="65">
        <v>10.1599666666667</v>
      </c>
      <c r="AA355" s="65">
        <v>157.515683333333</v>
      </c>
      <c r="AB355" s="65">
        <v>58.3954833333333</v>
      </c>
      <c r="AG355" s="65">
        <v>2.19423333333333</v>
      </c>
      <c r="AH355" s="65">
        <v>6.39193333333334</v>
      </c>
      <c r="AI355" s="65">
        <v>5.8514</v>
      </c>
      <c r="AL355" s="65">
        <v>14.1050333333333</v>
      </c>
      <c r="AM355" s="65">
        <v>11.4498</v>
      </c>
      <c r="AN355" s="65">
        <v>4.37673333333333</v>
      </c>
      <c r="AQ355" s="65">
        <v>15.85035</v>
      </c>
      <c r="AR355" s="65">
        <v>31.4587833333333</v>
      </c>
      <c r="AU355" s="65">
        <v>50.9171833333333</v>
      </c>
    </row>
    <row r="356">
      <c r="A356" s="119" t="s">
        <v>77</v>
      </c>
      <c r="B356" s="119" t="s">
        <v>78</v>
      </c>
      <c r="C356" s="119"/>
      <c r="D356" s="120">
        <f t="shared" si="1"/>
        <v>0</v>
      </c>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c r="AA356" s="120"/>
      <c r="AB356" s="120"/>
      <c r="AC356" s="120"/>
      <c r="AD356" s="120"/>
      <c r="AE356" s="120"/>
      <c r="AF356" s="120"/>
      <c r="AG356" s="120"/>
      <c r="AH356" s="120"/>
      <c r="AI356" s="120"/>
      <c r="AJ356" s="120"/>
      <c r="AK356" s="120"/>
      <c r="AL356" s="120"/>
      <c r="AM356" s="120"/>
      <c r="AN356" s="120"/>
      <c r="AO356" s="120"/>
      <c r="AP356" s="120"/>
      <c r="AQ356" s="120"/>
      <c r="AR356" s="120"/>
      <c r="AS356" s="120"/>
      <c r="AT356" s="120"/>
      <c r="AU356" s="120"/>
      <c r="AV356" s="120"/>
      <c r="AW356" s="120"/>
      <c r="AX356" s="120"/>
      <c r="AY356" s="120"/>
      <c r="AZ356" s="120"/>
      <c r="BA356" s="120"/>
      <c r="BB356" s="120"/>
      <c r="BC356" s="120"/>
      <c r="BD356" s="120"/>
      <c r="BE356" s="120"/>
      <c r="BF356" s="120"/>
      <c r="BG356" s="120"/>
      <c r="BH356" s="120"/>
      <c r="BI356" s="120"/>
      <c r="BJ356" s="120"/>
      <c r="BK356" s="120"/>
      <c r="BL356" s="120"/>
      <c r="BM356" s="120"/>
      <c r="BN356" s="120"/>
      <c r="BO356" s="120"/>
      <c r="BP356" s="120"/>
      <c r="BQ356" s="120"/>
      <c r="BR356" s="120"/>
      <c r="BS356" s="120"/>
      <c r="BT356" s="120"/>
      <c r="BU356" s="120"/>
      <c r="BV356" s="120"/>
      <c r="BW356" s="120"/>
      <c r="BX356" s="120"/>
      <c r="BY356" s="120"/>
      <c r="BZ356" s="120"/>
      <c r="CA356" s="120"/>
      <c r="CB356" s="120"/>
      <c r="CC356" s="120"/>
      <c r="CD356" s="120"/>
      <c r="CE356" s="120"/>
      <c r="CF356" s="120"/>
      <c r="CG356" s="120"/>
      <c r="CH356" s="120"/>
      <c r="CI356" s="120"/>
      <c r="CJ356" s="120"/>
      <c r="CK356" s="120"/>
      <c r="CL356" s="120"/>
      <c r="CM356" s="120"/>
      <c r="CN356" s="120"/>
      <c r="CO356" s="120"/>
      <c r="CP356" s="120"/>
      <c r="CQ356" s="120"/>
      <c r="CR356" s="120"/>
      <c r="CS356" s="120"/>
      <c r="CT356" s="120"/>
      <c r="CU356" s="120"/>
      <c r="CV356" s="120"/>
      <c r="CW356" s="120"/>
      <c r="CX356" s="120"/>
      <c r="CY356" s="120"/>
      <c r="CZ356" s="120"/>
      <c r="DA356" s="120"/>
      <c r="DB356" s="120"/>
      <c r="DC356" s="120"/>
      <c r="DD356" s="120"/>
      <c r="DE356" s="120"/>
      <c r="DF356" s="120"/>
      <c r="DG356" s="120"/>
      <c r="DH356" s="120"/>
      <c r="DI356" s="120"/>
      <c r="DJ356" s="120"/>
      <c r="DK356" s="120"/>
      <c r="DL356" s="120"/>
      <c r="DM356" s="120"/>
      <c r="DN356" s="120"/>
      <c r="DO356" s="120"/>
      <c r="DP356" s="120"/>
      <c r="DQ356" s="120"/>
      <c r="DR356" s="120"/>
      <c r="DS356" s="120"/>
      <c r="DT356" s="120"/>
      <c r="DU356" s="120"/>
      <c r="DV356" s="120"/>
      <c r="DW356" s="120"/>
      <c r="DX356" s="120"/>
      <c r="DY356" s="120"/>
      <c r="DZ356" s="120"/>
      <c r="EA356" s="120"/>
      <c r="EB356" s="120"/>
      <c r="EC356" s="120"/>
      <c r="ED356" s="120"/>
      <c r="EE356" s="120"/>
      <c r="EF356" s="120"/>
      <c r="EG356" s="120"/>
      <c r="EH356" s="120"/>
      <c r="EI356" s="120"/>
      <c r="EJ356" s="120"/>
      <c r="EK356" s="120"/>
      <c r="EL356" s="120"/>
      <c r="EM356" s="120"/>
      <c r="EN356" s="120"/>
      <c r="EO356" s="120"/>
      <c r="EP356" s="120"/>
      <c r="EQ356" s="120"/>
      <c r="ER356" s="120"/>
      <c r="ES356" s="120"/>
      <c r="ET356" s="120"/>
      <c r="EU356" s="120"/>
      <c r="EV356" s="120"/>
      <c r="EW356" s="120"/>
      <c r="EX356" s="120"/>
      <c r="EY356" s="120"/>
      <c r="EZ356" s="120"/>
      <c r="FA356" s="120"/>
      <c r="FB356" s="120"/>
      <c r="FC356" s="120"/>
      <c r="FD356" s="120"/>
      <c r="FE356" s="120"/>
      <c r="FF356" s="120"/>
      <c r="FG356" s="120"/>
      <c r="FH356" s="120"/>
      <c r="FI356" s="120"/>
      <c r="FJ356" s="120"/>
      <c r="FK356" s="120"/>
      <c r="FL356" s="120"/>
      <c r="FM356" s="120"/>
      <c r="FN356" s="120"/>
      <c r="FO356" s="120"/>
      <c r="FP356" s="120"/>
      <c r="FQ356" s="120"/>
      <c r="FR356" s="120"/>
      <c r="FS356" s="120"/>
      <c r="FT356" s="120"/>
      <c r="FU356" s="120"/>
      <c r="FV356" s="120"/>
      <c r="FW356" s="120"/>
      <c r="FX356" s="120"/>
      <c r="FY356" s="120"/>
      <c r="FZ356" s="120"/>
      <c r="GA356" s="120"/>
      <c r="GB356" s="120"/>
      <c r="GC356" s="120"/>
      <c r="GD356" s="120"/>
      <c r="GE356" s="120"/>
      <c r="GF356" s="120"/>
      <c r="GG356" s="120"/>
      <c r="GH356" s="120"/>
      <c r="GI356" s="120"/>
      <c r="GJ356" s="120"/>
      <c r="GK356" s="120"/>
      <c r="GL356" s="120"/>
      <c r="GM356" s="120"/>
      <c r="GN356" s="120"/>
      <c r="GO356" s="120"/>
      <c r="GP356" s="120"/>
      <c r="GQ356" s="120"/>
      <c r="GR356" s="120"/>
      <c r="GS356" s="120"/>
      <c r="GT356" s="120"/>
      <c r="GU356" s="120"/>
      <c r="GV356" s="120"/>
      <c r="GW356" s="120"/>
      <c r="GX356" s="120"/>
      <c r="GY356" s="120"/>
      <c r="GZ356" s="120"/>
      <c r="HA356" s="120"/>
      <c r="HB356" s="120"/>
      <c r="HC356" s="120"/>
      <c r="HD356" s="120"/>
      <c r="HE356" s="120"/>
      <c r="HF356" s="120"/>
      <c r="HG356" s="120"/>
      <c r="HH356" s="120"/>
      <c r="HI356" s="120"/>
      <c r="HJ356" s="120"/>
      <c r="HK356" s="120"/>
      <c r="HL356" s="120"/>
      <c r="HM356" s="120"/>
      <c r="HN356" s="120"/>
      <c r="HO356" s="120"/>
      <c r="HP356" s="120"/>
      <c r="HQ356" s="120"/>
      <c r="HR356" s="120"/>
      <c r="HS356" s="120"/>
      <c r="HT356" s="120"/>
      <c r="HU356" s="120"/>
      <c r="HV356" s="120"/>
      <c r="HW356" s="120"/>
      <c r="HX356" s="120"/>
      <c r="HY356" s="120"/>
      <c r="HZ356" s="120"/>
      <c r="IA356" s="120"/>
      <c r="IB356" s="120"/>
      <c r="IC356" s="120"/>
      <c r="ID356" s="120"/>
      <c r="IE356" s="120"/>
      <c r="IF356" s="120"/>
      <c r="IG356" s="120"/>
      <c r="IH356" s="120"/>
      <c r="II356" s="120"/>
      <c r="IJ356" s="120"/>
      <c r="IK356" s="120"/>
      <c r="IL356" s="120"/>
      <c r="IM356" s="120"/>
      <c r="IN356" s="120"/>
      <c r="IO356" s="120"/>
      <c r="IP356" s="120"/>
      <c r="IQ356" s="120"/>
      <c r="IR356" s="120"/>
      <c r="IS356" s="120"/>
      <c r="IT356" s="120"/>
      <c r="IU356" s="120"/>
      <c r="IV356" s="120"/>
      <c r="IW356" s="120"/>
      <c r="IX356" s="120"/>
      <c r="IY356" s="120"/>
      <c r="IZ356" s="120"/>
      <c r="JA356" s="120"/>
      <c r="JB356" s="120"/>
      <c r="JC356" s="120"/>
      <c r="JD356" s="120"/>
      <c r="JE356" s="120"/>
      <c r="JF356" s="120"/>
      <c r="JG356" s="120"/>
      <c r="JH356" s="120"/>
      <c r="JI356" s="120"/>
      <c r="JJ356" s="120"/>
      <c r="JK356" s="120"/>
      <c r="JL356" s="120"/>
      <c r="JM356" s="120"/>
      <c r="JN356" s="120"/>
      <c r="JO356" s="120"/>
      <c r="JP356" s="120"/>
      <c r="JQ356" s="120"/>
      <c r="JR356" s="120"/>
      <c r="JS356" s="120"/>
      <c r="JT356" s="120"/>
      <c r="JU356" s="120"/>
      <c r="JV356" s="120"/>
      <c r="JW356" s="120"/>
      <c r="JX356" s="120"/>
      <c r="JY356" s="120"/>
      <c r="JZ356" s="120"/>
      <c r="KA356" s="120"/>
      <c r="KB356" s="120"/>
      <c r="KC356" s="120"/>
      <c r="KD356" s="120"/>
      <c r="KE356" s="120"/>
      <c r="KF356" s="120"/>
      <c r="KG356" s="120"/>
      <c r="KH356" s="120"/>
      <c r="KI356" s="120"/>
      <c r="KJ356" s="120"/>
      <c r="KK356" s="120"/>
      <c r="KL356" s="120"/>
      <c r="KM356" s="120"/>
      <c r="KN356" s="120"/>
      <c r="KO356" s="120"/>
      <c r="KP356" s="120"/>
      <c r="KQ356" s="120"/>
      <c r="KR356" s="120"/>
      <c r="KS356" s="120"/>
      <c r="KT356" s="120"/>
      <c r="KU356" s="120"/>
      <c r="KV356" s="120"/>
      <c r="KW356" s="120"/>
      <c r="KX356" s="120"/>
      <c r="KY356" s="120"/>
      <c r="KZ356" s="120"/>
      <c r="LA356" s="120"/>
      <c r="LB356" s="120"/>
      <c r="LC356" s="120"/>
      <c r="LD356" s="120"/>
      <c r="LE356" s="120"/>
      <c r="LF356" s="120"/>
      <c r="LG356" s="120"/>
      <c r="LH356" s="120"/>
      <c r="LI356" s="120"/>
      <c r="LJ356" s="120"/>
      <c r="LK356" s="120"/>
      <c r="LL356" s="120"/>
      <c r="LM356" s="120"/>
      <c r="LN356" s="120"/>
      <c r="LO356" s="120"/>
      <c r="LP356" s="120"/>
      <c r="LQ356" s="120"/>
      <c r="LR356" s="120"/>
      <c r="LS356" s="120"/>
      <c r="LT356" s="120"/>
      <c r="LU356" s="120"/>
      <c r="LV356" s="120"/>
      <c r="LW356" s="120"/>
      <c r="LX356" s="120"/>
      <c r="LY356" s="120"/>
      <c r="LZ356" s="120"/>
      <c r="MA356" s="120"/>
      <c r="MB356" s="120"/>
      <c r="MC356" s="120"/>
      <c r="MD356" s="120"/>
      <c r="ME356" s="120"/>
      <c r="MF356" s="120"/>
      <c r="MG356" s="120"/>
      <c r="MH356" s="120"/>
      <c r="MI356" s="120"/>
      <c r="MJ356" s="120"/>
      <c r="MK356" s="120"/>
      <c r="ML356" s="120"/>
      <c r="MM356" s="120"/>
      <c r="MN356" s="120"/>
      <c r="MO356" s="120"/>
      <c r="MP356" s="120"/>
      <c r="MQ356" s="120"/>
      <c r="MR356" s="120"/>
      <c r="MS356" s="120"/>
      <c r="MT356" s="120"/>
      <c r="MU356" s="120"/>
      <c r="MV356" s="120"/>
      <c r="MW356" s="120"/>
      <c r="MX356" s="120"/>
      <c r="MY356" s="120"/>
      <c r="MZ356" s="120"/>
      <c r="NA356" s="120"/>
      <c r="NB356" s="120"/>
      <c r="NC356" s="120"/>
      <c r="ND356" s="120"/>
      <c r="NE356" s="120"/>
      <c r="NF356" s="120"/>
      <c r="NG356" s="120"/>
      <c r="NH356" s="120"/>
      <c r="NI356" s="120"/>
      <c r="NJ356" s="120"/>
      <c r="NK356" s="120"/>
      <c r="NL356" s="120"/>
      <c r="NM356" s="120"/>
      <c r="NN356" s="120"/>
      <c r="NO356" s="120"/>
      <c r="NP356" s="120"/>
      <c r="NQ356" s="120"/>
      <c r="NR356" s="120"/>
      <c r="NS356" s="120"/>
      <c r="NT356" s="120"/>
      <c r="NU356" s="120"/>
      <c r="NV356" s="120"/>
      <c r="NW356" s="120"/>
      <c r="NX356" s="120"/>
      <c r="NY356" s="120"/>
      <c r="NZ356" s="120"/>
      <c r="OA356" s="120"/>
      <c r="OB356" s="120"/>
      <c r="OC356" s="120"/>
      <c r="OD356" s="120"/>
      <c r="OE356" s="120"/>
      <c r="OF356" s="120"/>
      <c r="OG356" s="120"/>
      <c r="OH356" s="120"/>
      <c r="OI356" s="120"/>
      <c r="OJ356" s="120"/>
      <c r="OK356" s="120"/>
      <c r="OL356" s="120"/>
      <c r="OM356" s="120"/>
      <c r="ON356" s="120"/>
      <c r="OO356" s="120"/>
      <c r="OP356" s="120"/>
      <c r="OQ356" s="120"/>
      <c r="OR356" s="120"/>
      <c r="OS356" s="120"/>
      <c r="OT356" s="120"/>
      <c r="OU356" s="120"/>
      <c r="OV356" s="120"/>
      <c r="OW356" s="120"/>
      <c r="OX356" s="120"/>
      <c r="OY356" s="120"/>
      <c r="OZ356" s="120"/>
      <c r="PA356" s="120"/>
      <c r="PB356" s="120"/>
      <c r="PC356" s="120"/>
      <c r="PD356" s="120"/>
      <c r="PE356" s="120"/>
      <c r="PF356" s="120"/>
      <c r="PG356" s="120"/>
      <c r="PH356" s="120"/>
      <c r="PI356" s="120"/>
      <c r="PJ356" s="120"/>
      <c r="PK356" s="120"/>
      <c r="PL356" s="120"/>
      <c r="PM356" s="120"/>
      <c r="PN356" s="120"/>
      <c r="PO356" s="120"/>
      <c r="PP356" s="120"/>
      <c r="PQ356" s="120"/>
      <c r="PR356" s="120"/>
      <c r="PS356" s="120"/>
      <c r="PT356" s="120"/>
      <c r="PU356" s="120"/>
      <c r="PV356" s="120"/>
      <c r="PW356" s="120"/>
      <c r="PX356" s="120"/>
      <c r="PY356" s="120"/>
      <c r="PZ356" s="120"/>
      <c r="QA356" s="120"/>
      <c r="QB356" s="120"/>
      <c r="QC356" s="120"/>
      <c r="QD356" s="120"/>
      <c r="QE356" s="120"/>
      <c r="QF356" s="120"/>
      <c r="QG356" s="120"/>
      <c r="QH356" s="120"/>
      <c r="QI356" s="120"/>
      <c r="QJ356" s="120"/>
      <c r="QK356" s="120"/>
      <c r="QL356" s="120"/>
      <c r="QM356" s="120"/>
      <c r="QN356" s="120"/>
      <c r="QO356" s="120"/>
      <c r="QP356" s="120"/>
      <c r="QQ356" s="120"/>
      <c r="QR356" s="120"/>
      <c r="QS356" s="120"/>
      <c r="QT356" s="120"/>
      <c r="QU356" s="120"/>
      <c r="QV356" s="120"/>
      <c r="QW356" s="120"/>
      <c r="QX356" s="120"/>
      <c r="QY356" s="120"/>
      <c r="QZ356" s="120"/>
      <c r="RA356" s="120"/>
      <c r="RB356" s="120"/>
      <c r="RC356" s="120"/>
      <c r="RD356" s="120"/>
      <c r="RE356" s="120"/>
      <c r="RF356" s="120"/>
      <c r="RG356" s="120"/>
      <c r="RH356" s="120"/>
      <c r="RI356" s="120"/>
      <c r="RJ356" s="120"/>
      <c r="RK356" s="120"/>
      <c r="RL356" s="120"/>
      <c r="RM356" s="120"/>
      <c r="RN356" s="120"/>
      <c r="RO356" s="120"/>
      <c r="RP356" s="120"/>
      <c r="RQ356" s="120"/>
      <c r="RR356" s="120"/>
      <c r="RS356" s="120"/>
      <c r="RT356" s="120"/>
      <c r="RU356" s="120"/>
      <c r="RV356" s="120"/>
      <c r="RW356" s="120"/>
      <c r="RX356" s="120"/>
      <c r="RY356" s="120"/>
      <c r="RZ356" s="120"/>
      <c r="SA356" s="120"/>
      <c r="SB356" s="120"/>
      <c r="SC356" s="120"/>
      <c r="SD356" s="120"/>
      <c r="SE356" s="120"/>
      <c r="SF356" s="120"/>
      <c r="SG356" s="120"/>
      <c r="SH356" s="120"/>
      <c r="SI356" s="120"/>
      <c r="SJ356" s="120"/>
      <c r="SK356" s="120"/>
      <c r="SL356" s="120"/>
      <c r="SM356" s="120"/>
      <c r="SN356" s="120"/>
      <c r="SO356" s="120"/>
      <c r="SP356" s="120"/>
      <c r="SQ356" s="120"/>
      <c r="SR356" s="120"/>
      <c r="SS356" s="120"/>
      <c r="ST356" s="120"/>
      <c r="SU356" s="120"/>
      <c r="SV356" s="120"/>
      <c r="SW356" s="120"/>
      <c r="SX356" s="120"/>
      <c r="SY356" s="120"/>
      <c r="SZ356" s="120"/>
      <c r="TA356" s="120"/>
      <c r="TB356" s="120"/>
      <c r="TC356" s="120"/>
      <c r="TD356" s="120"/>
      <c r="TE356" s="120"/>
      <c r="TF356" s="120"/>
      <c r="TG356" s="120"/>
      <c r="TH356" s="120"/>
      <c r="TI356" s="120"/>
      <c r="TJ356" s="120"/>
      <c r="TK356" s="120"/>
      <c r="TL356" s="120"/>
      <c r="TM356" s="120"/>
      <c r="TN356" s="120"/>
      <c r="TO356" s="120"/>
      <c r="TP356" s="120"/>
      <c r="TQ356" s="120"/>
      <c r="TR356" s="120"/>
      <c r="TS356" s="120"/>
      <c r="TT356" s="120"/>
      <c r="TU356" s="120"/>
      <c r="TV356" s="120"/>
      <c r="TW356" s="120"/>
      <c r="TX356" s="120"/>
      <c r="TY356" s="120"/>
      <c r="TZ356" s="120"/>
      <c r="UA356" s="120"/>
      <c r="UB356" s="120"/>
      <c r="UC356" s="120"/>
      <c r="UD356" s="120"/>
      <c r="UE356" s="120"/>
      <c r="UF356" s="120"/>
      <c r="UG356" s="120"/>
      <c r="UH356" s="120"/>
      <c r="UI356" s="120"/>
      <c r="UJ356" s="120"/>
      <c r="UK356" s="120"/>
      <c r="UL356" s="120"/>
      <c r="UM356" s="120"/>
      <c r="UN356" s="120"/>
      <c r="UO356" s="120"/>
      <c r="UP356" s="120"/>
      <c r="UQ356" s="120"/>
      <c r="UR356" s="120"/>
      <c r="US356" s="120"/>
      <c r="UT356" s="120"/>
      <c r="UU356" s="120"/>
      <c r="UV356" s="120"/>
      <c r="UW356" s="120"/>
      <c r="UX356" s="120"/>
      <c r="UY356" s="120"/>
      <c r="UZ356" s="120"/>
      <c r="VA356" s="120"/>
      <c r="VB356" s="120"/>
      <c r="VC356" s="120"/>
      <c r="VD356" s="120"/>
      <c r="VE356" s="120"/>
      <c r="VF356" s="120"/>
      <c r="VG356" s="120"/>
      <c r="VH356" s="120"/>
      <c r="VI356" s="120"/>
      <c r="VJ356" s="120"/>
      <c r="VK356" s="120"/>
      <c r="VL356" s="120"/>
      <c r="VM356" s="120"/>
      <c r="VN356" s="120"/>
      <c r="VO356" s="120"/>
      <c r="VP356" s="120"/>
      <c r="VQ356" s="120"/>
      <c r="VR356" s="120"/>
      <c r="VS356" s="120"/>
      <c r="VT356" s="120"/>
      <c r="VU356" s="120"/>
      <c r="VV356" s="120"/>
      <c r="VW356" s="120"/>
      <c r="VX356" s="120"/>
      <c r="VY356" s="120"/>
      <c r="VZ356" s="120"/>
      <c r="WA356" s="120"/>
      <c r="WB356" s="120"/>
      <c r="WC356" s="120"/>
      <c r="WD356" s="120"/>
      <c r="WE356" s="120"/>
      <c r="WF356" s="120"/>
      <c r="WG356" s="120"/>
      <c r="WH356" s="120"/>
      <c r="WI356" s="120"/>
      <c r="WJ356" s="120"/>
      <c r="WK356" s="120"/>
      <c r="WL356" s="120"/>
      <c r="WM356" s="120"/>
      <c r="WN356" s="120"/>
      <c r="WO356" s="120"/>
      <c r="WP356" s="120"/>
      <c r="WQ356" s="120"/>
      <c r="WR356" s="120"/>
      <c r="WS356" s="120"/>
      <c r="WT356" s="120"/>
      <c r="WU356" s="120"/>
      <c r="WV356" s="120"/>
      <c r="WW356" s="120"/>
      <c r="WX356" s="120"/>
      <c r="WY356" s="120"/>
      <c r="WZ356" s="120"/>
      <c r="XA356" s="120"/>
      <c r="XB356" s="120"/>
      <c r="XC356" s="120"/>
      <c r="XD356" s="120"/>
      <c r="XE356" s="120"/>
      <c r="XF356" s="120"/>
      <c r="XG356" s="120"/>
      <c r="XH356" s="120"/>
      <c r="XI356" s="120"/>
      <c r="XJ356" s="120"/>
      <c r="XK356" s="120"/>
      <c r="XL356" s="120"/>
      <c r="XM356" s="120"/>
      <c r="XN356" s="120"/>
      <c r="XO356" s="120"/>
      <c r="XP356" s="120"/>
      <c r="XQ356" s="120"/>
      <c r="XR356" s="120"/>
      <c r="XS356" s="120"/>
      <c r="XT356" s="120"/>
      <c r="XU356" s="120"/>
      <c r="XV356" s="120"/>
      <c r="XW356" s="120"/>
      <c r="XX356" s="120"/>
      <c r="XY356" s="120"/>
      <c r="XZ356" s="120"/>
      <c r="YA356" s="120"/>
      <c r="YB356" s="120"/>
      <c r="YC356" s="120"/>
      <c r="YD356" s="120"/>
      <c r="YE356" s="120"/>
      <c r="YF356" s="120"/>
      <c r="YG356" s="120"/>
      <c r="YH356" s="120"/>
      <c r="YI356" s="120"/>
      <c r="YJ356" s="120"/>
      <c r="YK356" s="120"/>
      <c r="YL356" s="120"/>
      <c r="YM356" s="120"/>
      <c r="YN356" s="120"/>
      <c r="YO356" s="120"/>
      <c r="YP356" s="120"/>
      <c r="YQ356" s="120"/>
      <c r="YR356" s="120"/>
      <c r="YS356" s="120"/>
      <c r="YT356" s="120"/>
      <c r="YU356" s="120"/>
      <c r="YV356" s="120"/>
      <c r="YW356" s="120"/>
      <c r="YX356" s="120"/>
      <c r="YY356" s="120"/>
      <c r="YZ356" s="120"/>
      <c r="ZA356" s="120"/>
      <c r="ZB356" s="120"/>
      <c r="ZC356" s="120"/>
      <c r="ZD356" s="120"/>
      <c r="ZE356" s="120"/>
      <c r="ZF356" s="120"/>
      <c r="ZG356" s="120"/>
      <c r="ZH356" s="120"/>
      <c r="ZI356" s="120"/>
      <c r="ZJ356" s="120"/>
      <c r="ZK356" s="120"/>
      <c r="ZL356" s="120"/>
      <c r="ZM356" s="120"/>
      <c r="ZN356" s="120"/>
      <c r="ZO356" s="120"/>
      <c r="ZP356" s="120"/>
      <c r="ZQ356" s="120"/>
      <c r="ZR356" s="120"/>
      <c r="ZS356" s="120"/>
      <c r="ZT356" s="120"/>
      <c r="ZU356" s="120"/>
      <c r="ZV356" s="120"/>
      <c r="ZW356" s="120"/>
      <c r="ZX356" s="120"/>
      <c r="ZY356" s="120"/>
      <c r="ZZ356" s="120"/>
      <c r="AAA356" s="120"/>
      <c r="AAB356" s="120"/>
      <c r="AAC356" s="120"/>
      <c r="AAD356" s="120"/>
      <c r="AAE356" s="120"/>
      <c r="AAF356" s="120"/>
      <c r="AAG356" s="120"/>
      <c r="AAH356" s="120"/>
      <c r="AAI356" s="120"/>
      <c r="AAJ356" s="120"/>
      <c r="AAK356" s="120"/>
      <c r="AAL356" s="120"/>
      <c r="AAM356" s="120"/>
      <c r="AAN356" s="120"/>
      <c r="AAO356" s="120"/>
      <c r="AAP356" s="120"/>
      <c r="AAQ356" s="120"/>
      <c r="AAR356" s="120"/>
      <c r="AAS356" s="120"/>
      <c r="AAT356" s="120"/>
      <c r="AAU356" s="120"/>
      <c r="AAV356" s="120"/>
      <c r="AAW356" s="120"/>
      <c r="AAX356" s="120"/>
      <c r="AAY356" s="120"/>
      <c r="AAZ356" s="120"/>
      <c r="ABA356" s="120"/>
      <c r="ABB356" s="120"/>
      <c r="ABC356" s="120"/>
      <c r="ABD356" s="120"/>
      <c r="ABE356" s="120"/>
      <c r="ABF356" s="120"/>
      <c r="ABG356" s="120"/>
      <c r="ABH356" s="120"/>
      <c r="ABI356" s="120"/>
      <c r="ABJ356" s="120"/>
      <c r="ABK356" s="120"/>
      <c r="ABL356" s="120"/>
      <c r="ABM356" s="120"/>
      <c r="ABN356" s="120"/>
      <c r="ABO356" s="120"/>
      <c r="ABP356" s="120"/>
      <c r="ABQ356" s="120"/>
      <c r="ABR356" s="120"/>
      <c r="ABS356" s="120"/>
      <c r="ABT356" s="120"/>
      <c r="ABU356" s="120"/>
      <c r="ABV356" s="120"/>
      <c r="ABW356" s="120"/>
      <c r="ABX356" s="120"/>
      <c r="ABY356" s="120"/>
      <c r="ABZ356" s="120"/>
      <c r="ACA356" s="120"/>
      <c r="ACB356" s="120"/>
      <c r="ACC356" s="120"/>
      <c r="ACD356" s="120"/>
      <c r="ACE356" s="120"/>
      <c r="ACF356" s="120"/>
      <c r="ACG356" s="120"/>
      <c r="ACH356" s="120"/>
      <c r="ACI356" s="120"/>
      <c r="ACJ356" s="120"/>
      <c r="ACK356" s="120"/>
      <c r="ACL356" s="120"/>
      <c r="ACM356" s="120"/>
      <c r="ACN356" s="120"/>
      <c r="ACO356" s="120"/>
      <c r="ACP356" s="120"/>
      <c r="ACQ356" s="120"/>
      <c r="ACR356" s="120"/>
      <c r="ACS356" s="120"/>
      <c r="ACT356" s="120"/>
      <c r="ACU356" s="120"/>
      <c r="ACV356" s="120"/>
      <c r="ACW356" s="120"/>
      <c r="ACX356" s="120"/>
      <c r="ACY356" s="120"/>
      <c r="ACZ356" s="120"/>
      <c r="ADA356" s="120"/>
      <c r="ADB356" s="120"/>
      <c r="ADC356" s="120"/>
      <c r="ADD356" s="120"/>
      <c r="ADE356" s="120"/>
      <c r="ADF356" s="120"/>
      <c r="ADG356" s="120"/>
      <c r="ADH356" s="120"/>
      <c r="ADI356" s="120"/>
      <c r="ADJ356" s="120"/>
      <c r="ADK356" s="120"/>
      <c r="ADL356" s="120"/>
      <c r="ADM356" s="120"/>
      <c r="ADN356" s="120"/>
      <c r="ADO356" s="120"/>
      <c r="ADP356" s="120"/>
      <c r="ADQ356" s="120"/>
      <c r="ADR356" s="120"/>
      <c r="ADS356" s="120"/>
      <c r="ADT356" s="120"/>
      <c r="ADU356" s="120"/>
      <c r="ADV356" s="120"/>
      <c r="ADW356" s="120"/>
      <c r="ADX356" s="120"/>
      <c r="ADY356" s="120"/>
      <c r="ADZ356" s="120"/>
      <c r="AEA356" s="120"/>
      <c r="AEB356" s="120"/>
      <c r="AEC356" s="120"/>
      <c r="AED356" s="120"/>
      <c r="AEE356" s="120"/>
      <c r="AEF356" s="120"/>
      <c r="AEG356" s="120"/>
      <c r="AEH356" s="120"/>
      <c r="AEI356" s="120"/>
      <c r="AEJ356" s="120"/>
      <c r="AEK356" s="120"/>
      <c r="AEL356" s="120"/>
      <c r="AEM356" s="120"/>
      <c r="AEN356" s="120"/>
      <c r="AEO356" s="120"/>
      <c r="AEP356" s="120"/>
      <c r="AEQ356" s="120"/>
      <c r="AER356" s="120"/>
      <c r="AES356" s="120"/>
      <c r="AET356" s="120"/>
      <c r="AEU356" s="120"/>
      <c r="AEV356" s="120"/>
      <c r="AEW356" s="120"/>
      <c r="AEX356" s="120"/>
      <c r="AEY356" s="120"/>
      <c r="AEZ356" s="120"/>
      <c r="AFA356" s="120"/>
      <c r="AFB356" s="120"/>
      <c r="AFC356" s="120"/>
      <c r="AFD356" s="120"/>
      <c r="AFE356" s="120"/>
      <c r="AFF356" s="120"/>
      <c r="AFG356" s="120"/>
      <c r="AFH356" s="120"/>
      <c r="AFI356" s="120"/>
      <c r="AFJ356" s="120"/>
      <c r="AFK356" s="120"/>
      <c r="AFL356" s="120"/>
      <c r="AFM356" s="120"/>
      <c r="AFN356" s="120"/>
      <c r="AFO356" s="120"/>
      <c r="AFP356" s="120"/>
      <c r="AFQ356" s="120"/>
      <c r="AFR356" s="120"/>
      <c r="AFS356" s="120"/>
      <c r="AFT356" s="120"/>
      <c r="AFU356" s="120"/>
      <c r="AFV356" s="120"/>
      <c r="AFW356" s="120"/>
      <c r="AFX356" s="120"/>
      <c r="AFY356" s="120"/>
      <c r="AFZ356" s="120"/>
      <c r="AGA356" s="120"/>
      <c r="AGB356" s="120"/>
      <c r="AGC356" s="120"/>
      <c r="AGD356" s="120"/>
      <c r="AGE356" s="120"/>
      <c r="AGF356" s="120"/>
      <c r="AGG356" s="120"/>
      <c r="AGH356" s="120"/>
      <c r="AGI356" s="120"/>
      <c r="AGJ356" s="120"/>
      <c r="AGK356" s="120"/>
      <c r="AGL356" s="120"/>
      <c r="AGM356" s="120"/>
      <c r="AGN356" s="120"/>
      <c r="AGO356" s="120"/>
      <c r="AGP356" s="120"/>
      <c r="AGQ356" s="120"/>
      <c r="AGR356" s="120"/>
      <c r="AGS356" s="120"/>
      <c r="AGT356" s="120"/>
      <c r="AGU356" s="120"/>
      <c r="AGV356" s="120"/>
      <c r="AGW356" s="120"/>
      <c r="AGX356" s="120"/>
      <c r="AGY356" s="120"/>
      <c r="AGZ356" s="120"/>
      <c r="AHA356" s="120"/>
      <c r="AHB356" s="120"/>
      <c r="AHC356" s="120"/>
      <c r="AHD356" s="120"/>
      <c r="AHE356" s="120"/>
      <c r="AHF356" s="120"/>
      <c r="AHG356" s="120"/>
      <c r="AHH356" s="120"/>
      <c r="AHI356" s="120"/>
      <c r="AHJ356" s="120"/>
      <c r="AHK356" s="120"/>
      <c r="AHL356" s="120"/>
      <c r="AHM356" s="120"/>
      <c r="AHN356" s="120"/>
      <c r="AHO356" s="120"/>
      <c r="AHP356" s="120"/>
      <c r="AHQ356" s="120"/>
      <c r="AHR356" s="120"/>
      <c r="AHS356" s="120"/>
      <c r="AHT356" s="120"/>
      <c r="AHU356" s="120"/>
      <c r="AHV356" s="120"/>
      <c r="AHW356" s="120"/>
      <c r="AHX356" s="120"/>
      <c r="AHY356" s="120"/>
      <c r="AHZ356" s="120"/>
      <c r="AIA356" s="120"/>
      <c r="AIB356" s="120"/>
      <c r="AIC356" s="120"/>
      <c r="AID356" s="120"/>
      <c r="AIE356" s="120"/>
      <c r="AIF356" s="120"/>
      <c r="AIG356" s="120"/>
      <c r="AIH356" s="120"/>
      <c r="AII356" s="120"/>
      <c r="AIJ356" s="120"/>
      <c r="AIK356" s="120"/>
      <c r="AIL356" s="120"/>
      <c r="AIM356" s="120"/>
      <c r="AIN356" s="120"/>
      <c r="AIO356" s="120"/>
      <c r="AIP356" s="120"/>
      <c r="AIQ356" s="120"/>
      <c r="AIR356" s="120"/>
      <c r="AIS356" s="120"/>
      <c r="AIT356" s="120"/>
      <c r="AIU356" s="120"/>
      <c r="AIV356" s="120"/>
      <c r="AIW356" s="120"/>
      <c r="AIX356" s="120"/>
      <c r="AIY356" s="120"/>
      <c r="AIZ356" s="120"/>
    </row>
    <row r="357">
      <c r="A357" s="112" t="s">
        <v>77</v>
      </c>
      <c r="B357" s="112" t="s">
        <v>91</v>
      </c>
      <c r="C357" s="112"/>
      <c r="D357" s="113">
        <f t="shared" si="1"/>
        <v>736.0492333</v>
      </c>
      <c r="E357" s="112">
        <v>210.5806</v>
      </c>
      <c r="F357" s="113"/>
      <c r="G357" s="113"/>
      <c r="H357" s="113"/>
      <c r="I357" s="113"/>
      <c r="J357" s="113"/>
      <c r="K357" s="113"/>
      <c r="L357" s="112">
        <v>2.98613333333333</v>
      </c>
      <c r="M357" s="112">
        <v>35.0877666666667</v>
      </c>
      <c r="N357" s="113"/>
      <c r="O357" s="112">
        <v>0.355566666666667</v>
      </c>
      <c r="P357" s="112">
        <v>25.70885</v>
      </c>
      <c r="Q357" s="113"/>
      <c r="R357" s="113"/>
      <c r="S357" s="113"/>
      <c r="T357" s="113"/>
      <c r="U357" s="113"/>
      <c r="V357" s="112">
        <v>0.504566666666667</v>
      </c>
      <c r="W357" s="112">
        <v>185.450016666667</v>
      </c>
      <c r="X357" s="113"/>
      <c r="Y357" s="113"/>
      <c r="Z357" s="113"/>
      <c r="AA357" s="113"/>
      <c r="AB357" s="113"/>
      <c r="AC357" s="112">
        <v>4.51671666666667</v>
      </c>
      <c r="AD357" s="112">
        <v>17.0405833333333</v>
      </c>
      <c r="AE357" s="113"/>
      <c r="AF357" s="113"/>
      <c r="AG357" s="113"/>
      <c r="AH357" s="113"/>
      <c r="AI357" s="113"/>
      <c r="AJ357" s="112">
        <v>1.0969</v>
      </c>
      <c r="AK357" s="112">
        <v>70.7284333333333</v>
      </c>
      <c r="AL357" s="113"/>
      <c r="AM357" s="113"/>
      <c r="AN357" s="113"/>
      <c r="AO357" s="112">
        <v>3.99005</v>
      </c>
      <c r="AP357" s="112">
        <v>143.1195</v>
      </c>
      <c r="AQ357" s="113"/>
      <c r="AR357" s="113"/>
      <c r="AS357" s="112">
        <v>6.8912</v>
      </c>
      <c r="AT357" s="112">
        <v>24.9917333333333</v>
      </c>
      <c r="AU357" s="113"/>
      <c r="AV357" s="112">
        <v>2.84656666666667</v>
      </c>
      <c r="AW357" s="112">
        <v>0.15405</v>
      </c>
      <c r="AX357" s="113"/>
      <c r="AY357" s="113"/>
      <c r="AZ357" s="113"/>
      <c r="BA357" s="113"/>
      <c r="BB357" s="113"/>
      <c r="BC357" s="113"/>
      <c r="BD357" s="113"/>
      <c r="BE357" s="113"/>
      <c r="BF357" s="113"/>
      <c r="BG357" s="113"/>
      <c r="BH357" s="113"/>
      <c r="BI357" s="113"/>
      <c r="BJ357" s="113"/>
      <c r="BK357" s="113"/>
      <c r="BL357" s="113"/>
      <c r="BM357" s="113"/>
      <c r="BN357" s="113"/>
      <c r="BO357" s="113"/>
      <c r="BP357" s="113"/>
      <c r="BQ357" s="113"/>
      <c r="BR357" s="113"/>
      <c r="BS357" s="113"/>
      <c r="BT357" s="113"/>
      <c r="BU357" s="113"/>
      <c r="BV357" s="113"/>
      <c r="BW357" s="113"/>
      <c r="BX357" s="113"/>
      <c r="BY357" s="113"/>
      <c r="BZ357" s="113"/>
      <c r="CA357" s="113"/>
      <c r="CB357" s="113"/>
      <c r="CC357" s="113"/>
      <c r="CD357" s="113"/>
      <c r="CE357" s="113"/>
      <c r="CF357" s="113"/>
      <c r="CG357" s="113"/>
      <c r="CH357" s="113"/>
      <c r="CI357" s="113"/>
      <c r="CJ357" s="113"/>
      <c r="CK357" s="113"/>
      <c r="CL357" s="113"/>
      <c r="CM357" s="113"/>
      <c r="CN357" s="113"/>
      <c r="CO357" s="113"/>
      <c r="CP357" s="113"/>
      <c r="CQ357" s="113"/>
      <c r="CR357" s="113"/>
      <c r="CS357" s="113"/>
      <c r="CT357" s="113"/>
      <c r="CU357" s="113"/>
      <c r="CV357" s="113"/>
      <c r="CW357" s="113"/>
      <c r="CX357" s="113"/>
      <c r="CY357" s="113"/>
      <c r="CZ357" s="113"/>
      <c r="DA357" s="113"/>
      <c r="DB357" s="113"/>
      <c r="DC357" s="113"/>
      <c r="DD357" s="113"/>
      <c r="DE357" s="113"/>
      <c r="DF357" s="113"/>
      <c r="DG357" s="113"/>
      <c r="DH357" s="113"/>
      <c r="DI357" s="113"/>
      <c r="DJ357" s="113"/>
      <c r="DK357" s="113"/>
      <c r="DL357" s="113"/>
      <c r="DM357" s="113"/>
      <c r="DN357" s="113"/>
      <c r="DO357" s="113"/>
      <c r="DP357" s="113"/>
      <c r="DQ357" s="113"/>
      <c r="DR357" s="113"/>
      <c r="DS357" s="113"/>
      <c r="DT357" s="113"/>
      <c r="DU357" s="113"/>
      <c r="DV357" s="113"/>
      <c r="DW357" s="113"/>
      <c r="DX357" s="113"/>
      <c r="DY357" s="113"/>
      <c r="DZ357" s="113"/>
      <c r="EA357" s="113"/>
      <c r="EB357" s="113"/>
      <c r="EC357" s="113"/>
      <c r="ED357" s="113"/>
      <c r="EE357" s="113"/>
      <c r="EF357" s="113"/>
      <c r="EG357" s="113"/>
      <c r="EH357" s="113"/>
      <c r="EI357" s="113"/>
      <c r="EJ357" s="113"/>
      <c r="EK357" s="113"/>
      <c r="EL357" s="113"/>
      <c r="EM357" s="113"/>
      <c r="EN357" s="113"/>
      <c r="EO357" s="113"/>
      <c r="EP357" s="113"/>
      <c r="EQ357" s="113"/>
      <c r="ER357" s="113"/>
      <c r="ES357" s="113"/>
      <c r="ET357" s="113"/>
      <c r="EU357" s="113"/>
      <c r="EV357" s="113"/>
      <c r="EW357" s="113"/>
      <c r="EX357" s="113"/>
      <c r="EY357" s="113"/>
      <c r="EZ357" s="113"/>
      <c r="FA357" s="113"/>
      <c r="FB357" s="113"/>
      <c r="FC357" s="113"/>
      <c r="FD357" s="113"/>
      <c r="FE357" s="113"/>
      <c r="FF357" s="113"/>
      <c r="FG357" s="113"/>
      <c r="FH357" s="113"/>
      <c r="FI357" s="113"/>
      <c r="FJ357" s="113"/>
      <c r="FK357" s="113"/>
      <c r="FL357" s="113"/>
      <c r="FM357" s="113"/>
      <c r="FN357" s="113"/>
      <c r="FO357" s="113"/>
      <c r="FP357" s="113"/>
      <c r="FQ357" s="113"/>
      <c r="FR357" s="113"/>
      <c r="FS357" s="113"/>
      <c r="FT357" s="113"/>
      <c r="FU357" s="113"/>
      <c r="FV357" s="113"/>
      <c r="FW357" s="113"/>
      <c r="FX357" s="113"/>
      <c r="FY357" s="113"/>
      <c r="FZ357" s="113"/>
      <c r="GA357" s="113"/>
      <c r="GB357" s="113"/>
      <c r="GC357" s="113"/>
      <c r="GD357" s="113"/>
      <c r="GE357" s="113"/>
      <c r="GF357" s="113"/>
      <c r="GG357" s="113"/>
      <c r="GH357" s="113"/>
      <c r="GI357" s="113"/>
      <c r="GJ357" s="113"/>
      <c r="GK357" s="113"/>
      <c r="GL357" s="113"/>
      <c r="GM357" s="113"/>
      <c r="GN357" s="113"/>
      <c r="GO357" s="113"/>
      <c r="GP357" s="113"/>
      <c r="GQ357" s="113"/>
      <c r="GR357" s="113"/>
      <c r="GS357" s="113"/>
      <c r="GT357" s="113"/>
      <c r="GU357" s="113"/>
      <c r="GV357" s="113"/>
      <c r="GW357" s="113"/>
      <c r="GX357" s="113"/>
      <c r="GY357" s="113"/>
      <c r="GZ357" s="113"/>
      <c r="HA357" s="113"/>
      <c r="HB357" s="113"/>
      <c r="HC357" s="113"/>
      <c r="HD357" s="113"/>
      <c r="HE357" s="113"/>
      <c r="HF357" s="113"/>
      <c r="HG357" s="113"/>
      <c r="HH357" s="113"/>
      <c r="HI357" s="113"/>
      <c r="HJ357" s="113"/>
      <c r="HK357" s="113"/>
      <c r="HL357" s="113"/>
      <c r="HM357" s="113"/>
      <c r="HN357" s="113"/>
      <c r="HO357" s="113"/>
      <c r="HP357" s="113"/>
      <c r="HQ357" s="113"/>
      <c r="HR357" s="113"/>
      <c r="HS357" s="113"/>
      <c r="HT357" s="113"/>
      <c r="HU357" s="113"/>
      <c r="HV357" s="113"/>
      <c r="HW357" s="113"/>
      <c r="HX357" s="113"/>
      <c r="HY357" s="113"/>
      <c r="HZ357" s="113"/>
      <c r="IA357" s="113"/>
      <c r="IB357" s="113"/>
      <c r="IC357" s="113"/>
      <c r="ID357" s="113"/>
      <c r="IE357" s="113"/>
      <c r="IF357" s="113"/>
      <c r="IG357" s="113"/>
      <c r="IH357" s="113"/>
      <c r="II357" s="113"/>
      <c r="IJ357" s="113"/>
      <c r="IK357" s="113"/>
      <c r="IL357" s="113"/>
      <c r="IM357" s="113"/>
      <c r="IN357" s="113"/>
      <c r="IO357" s="113"/>
      <c r="IP357" s="113"/>
      <c r="IQ357" s="113"/>
      <c r="IR357" s="113"/>
      <c r="IS357" s="113"/>
      <c r="IT357" s="113"/>
      <c r="IU357" s="113"/>
      <c r="IV357" s="113"/>
      <c r="IW357" s="113"/>
      <c r="IX357" s="113"/>
      <c r="IY357" s="113"/>
      <c r="IZ357" s="113"/>
      <c r="JA357" s="113"/>
      <c r="JB357" s="113"/>
      <c r="JC357" s="113"/>
      <c r="JD357" s="113"/>
      <c r="JE357" s="113"/>
      <c r="JF357" s="113"/>
      <c r="JG357" s="113"/>
      <c r="JH357" s="113"/>
      <c r="JI357" s="113"/>
      <c r="JJ357" s="113"/>
      <c r="JK357" s="113"/>
      <c r="JL357" s="113"/>
      <c r="JM357" s="113"/>
      <c r="JN357" s="113"/>
      <c r="JO357" s="113"/>
      <c r="JP357" s="113"/>
      <c r="JQ357" s="113"/>
      <c r="JR357" s="113"/>
      <c r="JS357" s="113"/>
      <c r="JT357" s="113"/>
      <c r="JU357" s="113"/>
      <c r="JV357" s="113"/>
      <c r="JW357" s="113"/>
      <c r="JX357" s="113"/>
      <c r="JY357" s="113"/>
      <c r="JZ357" s="113"/>
      <c r="KA357" s="113"/>
      <c r="KB357" s="113"/>
      <c r="KC357" s="113"/>
      <c r="KD357" s="113"/>
      <c r="KE357" s="113"/>
      <c r="KF357" s="113"/>
      <c r="KG357" s="113"/>
      <c r="KH357" s="113"/>
      <c r="KI357" s="113"/>
      <c r="KJ357" s="113"/>
      <c r="KK357" s="113"/>
      <c r="KL357" s="113"/>
      <c r="KM357" s="113"/>
      <c r="KN357" s="113"/>
      <c r="KO357" s="113"/>
      <c r="KP357" s="113"/>
      <c r="KQ357" s="113"/>
      <c r="KR357" s="113"/>
      <c r="KS357" s="113"/>
      <c r="KT357" s="113"/>
      <c r="KU357" s="113"/>
      <c r="KV357" s="113"/>
      <c r="KW357" s="113"/>
      <c r="KX357" s="113"/>
      <c r="KY357" s="113"/>
      <c r="KZ357" s="113"/>
      <c r="LA357" s="113"/>
      <c r="LB357" s="113"/>
      <c r="LC357" s="113"/>
      <c r="LD357" s="113"/>
      <c r="LE357" s="113"/>
      <c r="LF357" s="113"/>
      <c r="LG357" s="113"/>
      <c r="LH357" s="113"/>
      <c r="LI357" s="113"/>
      <c r="LJ357" s="113"/>
      <c r="LK357" s="113"/>
      <c r="LL357" s="113"/>
      <c r="LM357" s="113"/>
      <c r="LN357" s="113"/>
      <c r="LO357" s="113"/>
      <c r="LP357" s="113"/>
      <c r="LQ357" s="113"/>
      <c r="LR357" s="113"/>
      <c r="LS357" s="113"/>
      <c r="LT357" s="113"/>
      <c r="LU357" s="113"/>
      <c r="LV357" s="113"/>
      <c r="LW357" s="113"/>
      <c r="LX357" s="113"/>
      <c r="LY357" s="113"/>
      <c r="LZ357" s="113"/>
      <c r="MA357" s="113"/>
      <c r="MB357" s="113"/>
      <c r="MC357" s="113"/>
      <c r="MD357" s="113"/>
      <c r="ME357" s="113"/>
      <c r="MF357" s="113"/>
      <c r="MG357" s="113"/>
      <c r="MH357" s="113"/>
      <c r="MI357" s="113"/>
      <c r="MJ357" s="113"/>
      <c r="MK357" s="113"/>
      <c r="ML357" s="113"/>
      <c r="MM357" s="113"/>
      <c r="MN357" s="113"/>
      <c r="MO357" s="113"/>
      <c r="MP357" s="113"/>
      <c r="MQ357" s="113"/>
      <c r="MR357" s="113"/>
      <c r="MS357" s="113"/>
      <c r="MT357" s="113"/>
      <c r="MU357" s="113"/>
      <c r="MV357" s="113"/>
      <c r="MW357" s="113"/>
      <c r="MX357" s="113"/>
      <c r="MY357" s="113"/>
      <c r="MZ357" s="113"/>
      <c r="NA357" s="113"/>
      <c r="NB357" s="113"/>
      <c r="NC357" s="113"/>
      <c r="ND357" s="113"/>
      <c r="NE357" s="113"/>
      <c r="NF357" s="113"/>
      <c r="NG357" s="113"/>
      <c r="NH357" s="113"/>
      <c r="NI357" s="113"/>
      <c r="NJ357" s="113"/>
      <c r="NK357" s="113"/>
      <c r="NL357" s="113"/>
      <c r="NM357" s="113"/>
      <c r="NN357" s="113"/>
      <c r="NO357" s="113"/>
      <c r="NP357" s="113"/>
      <c r="NQ357" s="113"/>
      <c r="NR357" s="113"/>
      <c r="NS357" s="113"/>
      <c r="NT357" s="113"/>
      <c r="NU357" s="113"/>
      <c r="NV357" s="113"/>
      <c r="NW357" s="113"/>
      <c r="NX357" s="113"/>
      <c r="NY357" s="113"/>
      <c r="NZ357" s="113"/>
      <c r="OA357" s="113"/>
      <c r="OB357" s="113"/>
      <c r="OC357" s="113"/>
      <c r="OD357" s="113"/>
      <c r="OE357" s="113"/>
      <c r="OF357" s="113"/>
      <c r="OG357" s="113"/>
      <c r="OH357" s="113"/>
      <c r="OI357" s="113"/>
      <c r="OJ357" s="113"/>
      <c r="OK357" s="113"/>
      <c r="OL357" s="113"/>
      <c r="OM357" s="113"/>
      <c r="ON357" s="113"/>
      <c r="OO357" s="113"/>
      <c r="OP357" s="113"/>
      <c r="OQ357" s="113"/>
      <c r="OR357" s="113"/>
      <c r="OS357" s="113"/>
      <c r="OT357" s="113"/>
      <c r="OU357" s="113"/>
      <c r="OV357" s="113"/>
      <c r="OW357" s="113"/>
      <c r="OX357" s="113"/>
      <c r="OY357" s="113"/>
      <c r="OZ357" s="113"/>
      <c r="PA357" s="113"/>
      <c r="PB357" s="113"/>
      <c r="PC357" s="113"/>
      <c r="PD357" s="113"/>
      <c r="PE357" s="113"/>
      <c r="PF357" s="113"/>
      <c r="PG357" s="113"/>
      <c r="PH357" s="113"/>
      <c r="PI357" s="113"/>
      <c r="PJ357" s="113"/>
      <c r="PK357" s="113"/>
      <c r="PL357" s="113"/>
      <c r="PM357" s="113"/>
      <c r="PN357" s="113"/>
      <c r="PO357" s="113"/>
      <c r="PP357" s="113"/>
      <c r="PQ357" s="113"/>
      <c r="PR357" s="113"/>
      <c r="PS357" s="113"/>
      <c r="PT357" s="113"/>
      <c r="PU357" s="113"/>
      <c r="PV357" s="113"/>
      <c r="PW357" s="113"/>
      <c r="PX357" s="113"/>
      <c r="PY357" s="113"/>
      <c r="PZ357" s="113"/>
      <c r="QA357" s="113"/>
      <c r="QB357" s="113"/>
      <c r="QC357" s="113"/>
      <c r="QD357" s="113"/>
      <c r="QE357" s="113"/>
      <c r="QF357" s="113"/>
      <c r="QG357" s="113"/>
      <c r="QH357" s="113"/>
      <c r="QI357" s="113"/>
      <c r="QJ357" s="113"/>
      <c r="QK357" s="113"/>
      <c r="QL357" s="113"/>
      <c r="QM357" s="113"/>
      <c r="QN357" s="113"/>
      <c r="QO357" s="113"/>
      <c r="QP357" s="113"/>
      <c r="QQ357" s="113"/>
      <c r="QR357" s="113"/>
      <c r="QS357" s="113"/>
      <c r="QT357" s="113"/>
      <c r="QU357" s="113"/>
      <c r="QV357" s="113"/>
      <c r="QW357" s="113"/>
      <c r="QX357" s="113"/>
      <c r="QY357" s="113"/>
      <c r="QZ357" s="113"/>
      <c r="RA357" s="113"/>
      <c r="RB357" s="113"/>
      <c r="RC357" s="113"/>
      <c r="RD357" s="113"/>
      <c r="RE357" s="113"/>
      <c r="RF357" s="113"/>
      <c r="RG357" s="113"/>
      <c r="RH357" s="113"/>
      <c r="RI357" s="113"/>
      <c r="RJ357" s="113"/>
      <c r="RK357" s="113"/>
      <c r="RL357" s="113"/>
      <c r="RM357" s="113"/>
      <c r="RN357" s="113"/>
      <c r="RO357" s="113"/>
      <c r="RP357" s="113"/>
      <c r="RQ357" s="113"/>
      <c r="RR357" s="113"/>
      <c r="RS357" s="113"/>
      <c r="RT357" s="113"/>
      <c r="RU357" s="113"/>
      <c r="RV357" s="113"/>
      <c r="RW357" s="113"/>
      <c r="RX357" s="113"/>
      <c r="RY357" s="113"/>
      <c r="RZ357" s="113"/>
      <c r="SA357" s="113"/>
      <c r="SB357" s="113"/>
      <c r="SC357" s="113"/>
      <c r="SD357" s="113"/>
      <c r="SE357" s="113"/>
      <c r="SF357" s="113"/>
      <c r="SG357" s="113"/>
      <c r="SH357" s="113"/>
      <c r="SI357" s="113"/>
      <c r="SJ357" s="113"/>
      <c r="SK357" s="113"/>
      <c r="SL357" s="113"/>
      <c r="SM357" s="113"/>
      <c r="SN357" s="113"/>
      <c r="SO357" s="113"/>
      <c r="SP357" s="113"/>
      <c r="SQ357" s="113"/>
      <c r="SR357" s="113"/>
      <c r="SS357" s="113"/>
      <c r="ST357" s="113"/>
      <c r="SU357" s="113"/>
      <c r="SV357" s="113"/>
      <c r="SW357" s="113"/>
      <c r="SX357" s="113"/>
      <c r="SY357" s="113"/>
      <c r="SZ357" s="113"/>
      <c r="TA357" s="113"/>
      <c r="TB357" s="113"/>
      <c r="TC357" s="113"/>
      <c r="TD357" s="113"/>
      <c r="TE357" s="113"/>
      <c r="TF357" s="113"/>
      <c r="TG357" s="113"/>
      <c r="TH357" s="113"/>
      <c r="TI357" s="113"/>
      <c r="TJ357" s="113"/>
      <c r="TK357" s="113"/>
      <c r="TL357" s="113"/>
      <c r="TM357" s="113"/>
      <c r="TN357" s="113"/>
      <c r="TO357" s="113"/>
      <c r="TP357" s="113"/>
      <c r="TQ357" s="113"/>
      <c r="TR357" s="113"/>
      <c r="TS357" s="113"/>
      <c r="TT357" s="113"/>
      <c r="TU357" s="113"/>
      <c r="TV357" s="113"/>
      <c r="TW357" s="113"/>
      <c r="TX357" s="113"/>
      <c r="TY357" s="113"/>
      <c r="TZ357" s="113"/>
      <c r="UA357" s="113"/>
      <c r="UB357" s="113"/>
      <c r="UC357" s="113"/>
      <c r="UD357" s="113"/>
      <c r="UE357" s="113"/>
      <c r="UF357" s="113"/>
      <c r="UG357" s="113"/>
      <c r="UH357" s="113"/>
      <c r="UI357" s="113"/>
      <c r="UJ357" s="113"/>
      <c r="UK357" s="113"/>
      <c r="UL357" s="113"/>
      <c r="UM357" s="113"/>
      <c r="UN357" s="113"/>
      <c r="UO357" s="113"/>
      <c r="UP357" s="113"/>
      <c r="UQ357" s="113"/>
      <c r="UR357" s="113"/>
      <c r="US357" s="113"/>
      <c r="UT357" s="113"/>
      <c r="UU357" s="113"/>
      <c r="UV357" s="113"/>
      <c r="UW357" s="113"/>
      <c r="UX357" s="113"/>
      <c r="UY357" s="113"/>
      <c r="UZ357" s="113"/>
      <c r="VA357" s="113"/>
      <c r="VB357" s="113"/>
      <c r="VC357" s="113"/>
      <c r="VD357" s="113"/>
      <c r="VE357" s="113"/>
      <c r="VF357" s="113"/>
      <c r="VG357" s="113"/>
      <c r="VH357" s="113"/>
      <c r="VI357" s="113"/>
      <c r="VJ357" s="113"/>
      <c r="VK357" s="113"/>
      <c r="VL357" s="113"/>
      <c r="VM357" s="113"/>
      <c r="VN357" s="113"/>
      <c r="VO357" s="113"/>
      <c r="VP357" s="113"/>
      <c r="VQ357" s="113"/>
      <c r="VR357" s="113"/>
      <c r="VS357" s="113"/>
      <c r="VT357" s="113"/>
      <c r="VU357" s="113"/>
      <c r="VV357" s="113"/>
      <c r="VW357" s="113"/>
      <c r="VX357" s="113"/>
      <c r="VY357" s="113"/>
      <c r="VZ357" s="113"/>
      <c r="WA357" s="113"/>
      <c r="WB357" s="113"/>
      <c r="WC357" s="113"/>
      <c r="WD357" s="113"/>
      <c r="WE357" s="113"/>
      <c r="WF357" s="113"/>
      <c r="WG357" s="113"/>
      <c r="WH357" s="113"/>
      <c r="WI357" s="113"/>
      <c r="WJ357" s="113"/>
      <c r="WK357" s="113"/>
      <c r="WL357" s="113"/>
      <c r="WM357" s="113"/>
      <c r="WN357" s="113"/>
      <c r="WO357" s="113"/>
      <c r="WP357" s="113"/>
      <c r="WQ357" s="113"/>
      <c r="WR357" s="113"/>
      <c r="WS357" s="113"/>
      <c r="WT357" s="113"/>
      <c r="WU357" s="113"/>
      <c r="WV357" s="113"/>
      <c r="WW357" s="113"/>
      <c r="WX357" s="113"/>
      <c r="WY357" s="113"/>
      <c r="WZ357" s="113"/>
      <c r="XA357" s="113"/>
      <c r="XB357" s="113"/>
      <c r="XC357" s="113"/>
      <c r="XD357" s="113"/>
      <c r="XE357" s="113"/>
      <c r="XF357" s="113"/>
      <c r="XG357" s="113"/>
      <c r="XH357" s="113"/>
      <c r="XI357" s="113"/>
      <c r="XJ357" s="113"/>
      <c r="XK357" s="113"/>
      <c r="XL357" s="113"/>
      <c r="XM357" s="113"/>
      <c r="XN357" s="113"/>
      <c r="XO357" s="113"/>
      <c r="XP357" s="113"/>
      <c r="XQ357" s="113"/>
      <c r="XR357" s="113"/>
      <c r="XS357" s="113"/>
      <c r="XT357" s="113"/>
      <c r="XU357" s="113"/>
      <c r="XV357" s="113"/>
      <c r="XW357" s="113"/>
      <c r="XX357" s="113"/>
      <c r="XY357" s="113"/>
      <c r="XZ357" s="113"/>
      <c r="YA357" s="113"/>
      <c r="YB357" s="113"/>
      <c r="YC357" s="113"/>
      <c r="YD357" s="113"/>
      <c r="YE357" s="113"/>
      <c r="YF357" s="113"/>
      <c r="YG357" s="113"/>
      <c r="YH357" s="113"/>
      <c r="YI357" s="113"/>
      <c r="YJ357" s="113"/>
      <c r="YK357" s="113"/>
      <c r="YL357" s="113"/>
      <c r="YM357" s="113"/>
      <c r="YN357" s="113"/>
      <c r="YO357" s="113"/>
      <c r="YP357" s="113"/>
      <c r="YQ357" s="113"/>
      <c r="YR357" s="113"/>
      <c r="YS357" s="113"/>
      <c r="YT357" s="113"/>
      <c r="YU357" s="113"/>
      <c r="YV357" s="113"/>
      <c r="YW357" s="113"/>
      <c r="YX357" s="113"/>
      <c r="YY357" s="113"/>
      <c r="YZ357" s="113"/>
      <c r="ZA357" s="113"/>
      <c r="ZB357" s="113"/>
      <c r="ZC357" s="113"/>
      <c r="ZD357" s="113"/>
      <c r="ZE357" s="113"/>
      <c r="ZF357" s="113"/>
      <c r="ZG357" s="113"/>
      <c r="ZH357" s="113"/>
      <c r="ZI357" s="113"/>
      <c r="ZJ357" s="113"/>
      <c r="ZK357" s="113"/>
      <c r="ZL357" s="113"/>
      <c r="ZM357" s="113"/>
      <c r="ZN357" s="113"/>
      <c r="ZO357" s="113"/>
      <c r="ZP357" s="113"/>
      <c r="ZQ357" s="113"/>
      <c r="ZR357" s="113"/>
      <c r="ZS357" s="113"/>
      <c r="ZT357" s="113"/>
      <c r="ZU357" s="113"/>
      <c r="ZV357" s="113"/>
      <c r="ZW357" s="113"/>
      <c r="ZX357" s="113"/>
      <c r="ZY357" s="113"/>
      <c r="ZZ357" s="113"/>
      <c r="AAA357" s="113"/>
      <c r="AAB357" s="113"/>
      <c r="AAC357" s="113"/>
      <c r="AAD357" s="113"/>
      <c r="AAE357" s="113"/>
      <c r="AAF357" s="113"/>
      <c r="AAG357" s="113"/>
      <c r="AAH357" s="113"/>
      <c r="AAI357" s="113"/>
      <c r="AAJ357" s="113"/>
      <c r="AAK357" s="113"/>
      <c r="AAL357" s="113"/>
      <c r="AAM357" s="113"/>
      <c r="AAN357" s="113"/>
      <c r="AAO357" s="113"/>
      <c r="AAP357" s="113"/>
      <c r="AAQ357" s="113"/>
      <c r="AAR357" s="113"/>
      <c r="AAS357" s="113"/>
      <c r="AAT357" s="113"/>
      <c r="AAU357" s="113"/>
      <c r="AAV357" s="113"/>
      <c r="AAW357" s="113"/>
      <c r="AAX357" s="113"/>
      <c r="AAY357" s="113"/>
      <c r="AAZ357" s="113"/>
      <c r="ABA357" s="113"/>
      <c r="ABB357" s="113"/>
      <c r="ABC357" s="113"/>
      <c r="ABD357" s="113"/>
      <c r="ABE357" s="113"/>
      <c r="ABF357" s="113"/>
      <c r="ABG357" s="113"/>
      <c r="ABH357" s="113"/>
      <c r="ABI357" s="113"/>
      <c r="ABJ357" s="113"/>
      <c r="ABK357" s="113"/>
      <c r="ABL357" s="113"/>
      <c r="ABM357" s="113"/>
      <c r="ABN357" s="113"/>
      <c r="ABO357" s="113"/>
      <c r="ABP357" s="113"/>
      <c r="ABQ357" s="113"/>
      <c r="ABR357" s="113"/>
      <c r="ABS357" s="113"/>
      <c r="ABT357" s="113"/>
      <c r="ABU357" s="113"/>
      <c r="ABV357" s="113"/>
      <c r="ABW357" s="113"/>
      <c r="ABX357" s="113"/>
      <c r="ABY357" s="113"/>
      <c r="ABZ357" s="113"/>
      <c r="ACA357" s="113"/>
      <c r="ACB357" s="113"/>
      <c r="ACC357" s="113"/>
      <c r="ACD357" s="113"/>
      <c r="ACE357" s="113"/>
      <c r="ACF357" s="113"/>
      <c r="ACG357" s="113"/>
      <c r="ACH357" s="113"/>
      <c r="ACI357" s="113"/>
      <c r="ACJ357" s="113"/>
      <c r="ACK357" s="113"/>
      <c r="ACL357" s="113"/>
      <c r="ACM357" s="113"/>
      <c r="ACN357" s="113"/>
      <c r="ACO357" s="113"/>
      <c r="ACP357" s="113"/>
      <c r="ACQ357" s="113"/>
      <c r="ACR357" s="113"/>
      <c r="ACS357" s="113"/>
      <c r="ACT357" s="113"/>
      <c r="ACU357" s="113"/>
      <c r="ACV357" s="113"/>
      <c r="ACW357" s="113"/>
      <c r="ACX357" s="113"/>
      <c r="ACY357" s="113"/>
      <c r="ACZ357" s="113"/>
      <c r="ADA357" s="113"/>
      <c r="ADB357" s="113"/>
      <c r="ADC357" s="113"/>
      <c r="ADD357" s="113"/>
      <c r="ADE357" s="113"/>
      <c r="ADF357" s="113"/>
      <c r="ADG357" s="113"/>
      <c r="ADH357" s="113"/>
      <c r="ADI357" s="113"/>
      <c r="ADJ357" s="113"/>
      <c r="ADK357" s="113"/>
      <c r="ADL357" s="113"/>
      <c r="ADM357" s="113"/>
      <c r="ADN357" s="113"/>
      <c r="ADO357" s="113"/>
      <c r="ADP357" s="113"/>
      <c r="ADQ357" s="113"/>
      <c r="ADR357" s="113"/>
      <c r="ADS357" s="113"/>
      <c r="ADT357" s="113"/>
      <c r="ADU357" s="113"/>
      <c r="ADV357" s="113"/>
      <c r="ADW357" s="113"/>
      <c r="ADX357" s="113"/>
      <c r="ADY357" s="113"/>
      <c r="ADZ357" s="113"/>
      <c r="AEA357" s="113"/>
      <c r="AEB357" s="113"/>
      <c r="AEC357" s="113"/>
      <c r="AED357" s="113"/>
      <c r="AEE357" s="113"/>
      <c r="AEF357" s="113"/>
      <c r="AEG357" s="113"/>
      <c r="AEH357" s="113"/>
      <c r="AEI357" s="113"/>
      <c r="AEJ357" s="113"/>
      <c r="AEK357" s="113"/>
      <c r="AEL357" s="113"/>
      <c r="AEM357" s="113"/>
      <c r="AEN357" s="113"/>
      <c r="AEO357" s="113"/>
      <c r="AEP357" s="113"/>
      <c r="AEQ357" s="113"/>
      <c r="AER357" s="113"/>
      <c r="AES357" s="113"/>
      <c r="AET357" s="113"/>
      <c r="AEU357" s="113"/>
      <c r="AEV357" s="113"/>
      <c r="AEW357" s="113"/>
      <c r="AEX357" s="113"/>
      <c r="AEY357" s="113"/>
      <c r="AEZ357" s="113"/>
      <c r="AFA357" s="113"/>
      <c r="AFB357" s="113"/>
      <c r="AFC357" s="113"/>
      <c r="AFD357" s="113"/>
      <c r="AFE357" s="113"/>
      <c r="AFF357" s="113"/>
      <c r="AFG357" s="113"/>
      <c r="AFH357" s="113"/>
      <c r="AFI357" s="113"/>
      <c r="AFJ357" s="113"/>
      <c r="AFK357" s="113"/>
      <c r="AFL357" s="113"/>
      <c r="AFM357" s="113"/>
      <c r="AFN357" s="113"/>
      <c r="AFO357" s="113"/>
      <c r="AFP357" s="113"/>
      <c r="AFQ357" s="113"/>
      <c r="AFR357" s="113"/>
      <c r="AFS357" s="113"/>
      <c r="AFT357" s="113"/>
      <c r="AFU357" s="113"/>
      <c r="AFV357" s="113"/>
      <c r="AFW357" s="113"/>
      <c r="AFX357" s="113"/>
      <c r="AFY357" s="113"/>
      <c r="AFZ357" s="113"/>
      <c r="AGA357" s="113"/>
      <c r="AGB357" s="113"/>
      <c r="AGC357" s="113"/>
      <c r="AGD357" s="113"/>
      <c r="AGE357" s="113"/>
      <c r="AGF357" s="113"/>
      <c r="AGG357" s="113"/>
      <c r="AGH357" s="113"/>
      <c r="AGI357" s="113"/>
      <c r="AGJ357" s="113"/>
      <c r="AGK357" s="113"/>
      <c r="AGL357" s="113"/>
      <c r="AGM357" s="113"/>
      <c r="AGN357" s="113"/>
      <c r="AGO357" s="113"/>
      <c r="AGP357" s="113"/>
      <c r="AGQ357" s="113"/>
      <c r="AGR357" s="113"/>
      <c r="AGS357" s="113"/>
      <c r="AGT357" s="113"/>
      <c r="AGU357" s="113"/>
      <c r="AGV357" s="113"/>
      <c r="AGW357" s="113"/>
      <c r="AGX357" s="113"/>
      <c r="AGY357" s="113"/>
      <c r="AGZ357" s="113"/>
      <c r="AHA357" s="113"/>
      <c r="AHB357" s="113"/>
      <c r="AHC357" s="113"/>
      <c r="AHD357" s="113"/>
      <c r="AHE357" s="113"/>
      <c r="AHF357" s="113"/>
      <c r="AHG357" s="113"/>
      <c r="AHH357" s="113"/>
      <c r="AHI357" s="113"/>
      <c r="AHJ357" s="113"/>
      <c r="AHK357" s="113"/>
      <c r="AHL357" s="113"/>
      <c r="AHM357" s="113"/>
      <c r="AHN357" s="113"/>
      <c r="AHO357" s="113"/>
      <c r="AHP357" s="113"/>
      <c r="AHQ357" s="113"/>
      <c r="AHR357" s="113"/>
      <c r="AHS357" s="113"/>
      <c r="AHT357" s="113"/>
      <c r="AHU357" s="113"/>
      <c r="AHV357" s="113"/>
      <c r="AHW357" s="113"/>
      <c r="AHX357" s="113"/>
      <c r="AHY357" s="113"/>
      <c r="AHZ357" s="113"/>
      <c r="AIA357" s="113"/>
      <c r="AIB357" s="113"/>
      <c r="AIC357" s="113"/>
      <c r="AID357" s="113"/>
      <c r="AIE357" s="113"/>
      <c r="AIF357" s="113"/>
      <c r="AIG357" s="113"/>
      <c r="AIH357" s="113"/>
      <c r="AII357" s="113"/>
      <c r="AIJ357" s="113"/>
      <c r="AIK357" s="113"/>
      <c r="AIL357" s="113"/>
      <c r="AIM357" s="113"/>
      <c r="AIN357" s="113"/>
      <c r="AIO357" s="113"/>
      <c r="AIP357" s="113"/>
      <c r="AIQ357" s="113"/>
      <c r="AIR357" s="113"/>
      <c r="AIS357" s="113"/>
      <c r="AIT357" s="113"/>
      <c r="AIU357" s="113"/>
      <c r="AIV357" s="113"/>
      <c r="AIW357" s="113"/>
      <c r="AIX357" s="113"/>
      <c r="AIY357" s="113"/>
      <c r="AIZ357" s="113"/>
    </row>
    <row r="358">
      <c r="A358" s="65" t="s">
        <v>77</v>
      </c>
      <c r="B358" s="65" t="s">
        <v>91</v>
      </c>
      <c r="C358" s="65"/>
      <c r="D358" s="64">
        <f t="shared" si="1"/>
        <v>599.10745</v>
      </c>
      <c r="H358" s="65">
        <v>67.8292166666667</v>
      </c>
      <c r="I358" s="65">
        <v>70.3785666666667</v>
      </c>
      <c r="J358" s="65">
        <v>43.9095333333333</v>
      </c>
      <c r="K358" s="65">
        <v>15.18135</v>
      </c>
      <c r="N358" s="65">
        <v>7.04385</v>
      </c>
      <c r="S358" s="65">
        <v>1.24031666666667</v>
      </c>
      <c r="T358" s="65">
        <v>18.9851833333333</v>
      </c>
      <c r="U358" s="65">
        <v>2.90725</v>
      </c>
      <c r="Z358" s="65">
        <v>19.3179333333333</v>
      </c>
      <c r="AA358" s="65">
        <v>134.575183333333</v>
      </c>
      <c r="AB358" s="65">
        <v>21.9264666666667</v>
      </c>
      <c r="AG358" s="65">
        <v>2.49465</v>
      </c>
      <c r="AH358" s="65">
        <v>7.0881</v>
      </c>
      <c r="AI358" s="65">
        <v>7.10433333333333</v>
      </c>
      <c r="AL358" s="65">
        <v>25.5801333333333</v>
      </c>
      <c r="AM358" s="65">
        <v>19.72465</v>
      </c>
      <c r="AN358" s="65">
        <v>3.52303333333333</v>
      </c>
      <c r="AQ358" s="65">
        <v>57.5264666666666</v>
      </c>
      <c r="AR358" s="65">
        <v>48.75555</v>
      </c>
      <c r="AU358" s="65">
        <v>24.0156833333333</v>
      </c>
    </row>
    <row r="359">
      <c r="A359" s="65" t="s">
        <v>77</v>
      </c>
      <c r="B359" s="65" t="s">
        <v>91</v>
      </c>
      <c r="C359" s="65"/>
      <c r="D359" s="64">
        <f t="shared" si="1"/>
        <v>0</v>
      </c>
    </row>
    <row r="360">
      <c r="A360" s="65" t="s">
        <v>77</v>
      </c>
      <c r="B360" s="65" t="s">
        <v>91</v>
      </c>
      <c r="C360" s="65"/>
      <c r="D360" s="64">
        <f t="shared" si="1"/>
        <v>595.9807833</v>
      </c>
      <c r="H360" s="118">
        <f>HYPERLINK("https://docs.google.com/spreadsheets/d/1bDQo-ROVghFiIcOptZ-1TZpUoc_QY10O", 67.4989)</f>
        <v>67.4989</v>
      </c>
      <c r="I360" s="118">
        <f>HYPERLINK("https://docs.google.com/spreadsheets/d/1lkPK1qqn9p44Iwpa7bBuO8j9H5pw4lZt", 69.5579333333334)</f>
        <v>69.55793333</v>
      </c>
      <c r="J360" s="118">
        <f>HYPERLINK("https://docs.google.com/spreadsheets/d/1mWlQScvgrNykQnxUI3s4KpZAc_fXgIOA", 43.2571)</f>
        <v>43.2571</v>
      </c>
      <c r="K360" s="118">
        <f>HYPERLINK("https://docs.google.com/spreadsheets/d/1fu0TVLPthEahywmTaN8YXwtoU7jStXRh", 15.1813333333333)</f>
        <v>15.18133333</v>
      </c>
      <c r="N360" s="118">
        <f>HYPERLINK("https://docs.google.com/spreadsheets/d/1jZGXNDifhfxGzCg0DEkx9UK0-x9bch_m", 7.04385)</f>
        <v>7.04385</v>
      </c>
      <c r="S360" s="118">
        <f>HYPERLINK("https://docs.google.com/spreadsheets/d/1Ys9Q4gRKeE15VF6ym7F7cOGZSUWgHgrc", 1.24031666666667)</f>
        <v>1.240316667</v>
      </c>
      <c r="T360" s="118">
        <f>HYPERLINK("https://docs.google.com/spreadsheets/d/1UJhdULo8NZIOipu7no9o7puwKF9Oscao", 18.9851666666667)</f>
        <v>18.98516667</v>
      </c>
      <c r="U360" s="118">
        <f>HYPERLINK("https://docs.google.com/spreadsheets/d/1Mro8L0t9WUvrrLXiJp9wo-CAEOBDb1EB", 2.90726666666667)</f>
        <v>2.907266667</v>
      </c>
      <c r="Z360" s="118">
        <f>HYPERLINK("https://docs.google.com/spreadsheets/d/1KBwbj9NYPv20o99nFwvXa6WFmNwYE32m", 19.0149833333333)</f>
        <v>19.01498333</v>
      </c>
      <c r="AA360" s="118">
        <f>HYPERLINK("https://docs.google.com/spreadsheets/d/15Hv80GgZAkgIo2nKnDhD1-pEJ1wE20uZ", 134.017366666667)</f>
        <v>134.0173667</v>
      </c>
      <c r="AB360" s="118">
        <f>HYPERLINK("https://docs.google.com/spreadsheets/d/1GMWcNQ6-czZeAMbQjJr2AvPjK7l0hMf0", 21.92645)</f>
        <v>21.92645</v>
      </c>
      <c r="AG360" s="118">
        <f>HYPERLINK("https://docs.google.com/spreadsheets/d/1QMltdHMzrK9EfVfE2OEKKB20tLS8Zbnh", 2.49465)</f>
        <v>2.49465</v>
      </c>
      <c r="AH360" s="118">
        <f>HYPERLINK("https://docs.google.com/spreadsheets/d/1v39VuBPj-1R8n2uPQEdoCzQopY-NA_1c", 7.0881)</f>
        <v>7.0881</v>
      </c>
      <c r="AI360" s="118">
        <f>HYPERLINK("https://docs.google.com/spreadsheets/d/1V9P6YhLyVjvxxTfgfQevHcsGwtJxNy0c", 7.10433333333333)</f>
        <v>7.104333333</v>
      </c>
      <c r="AL360" s="118">
        <f>HYPERLINK("https://docs.google.com/spreadsheets/d/1aK7fSTlfXpGKKi3Lk2tlj_fHQ1O0Hi5C", 25.5800833333333)</f>
        <v>25.58008333</v>
      </c>
      <c r="AM360" s="118">
        <f>HYPERLINK("https://docs.google.com/spreadsheets/d/1O9j3yGl9o7ofQdBPZqpmdBKNPz2Fj83Y", 19.7246333333333)</f>
        <v>19.72463333</v>
      </c>
      <c r="AN360" s="118">
        <f>HYPERLINK("https://docs.google.com/spreadsheets/d/1l8wrb9VueKyThvAqB9fp4RAi8Q_NUCMN", 3.52305)</f>
        <v>3.52305</v>
      </c>
      <c r="AQ360" s="118">
        <f>HYPERLINK("https://docs.google.com/spreadsheets/d/1gTXW5W6YIXtt4M325kMhyHSvwvWB5hVc", 57.0640833333333)</f>
        <v>57.06408333</v>
      </c>
      <c r="AR360" s="118">
        <f>HYPERLINK("https://docs.google.com/spreadsheets/d/1gYbNULaZO6BInDVtnx60ufsqRNhvgdDo", 48.7555)</f>
        <v>48.7555</v>
      </c>
      <c r="AU360" s="118">
        <f>HYPERLINK("https://docs.google.com/spreadsheets/d/18LetSQGPLrggxUt6L9AXHYznsk4Buc65", 24.0156833333333)</f>
        <v>24.01568333</v>
      </c>
    </row>
    <row r="361">
      <c r="A361" s="65" t="s">
        <v>77</v>
      </c>
      <c r="B361" s="65" t="s">
        <v>91</v>
      </c>
      <c r="C361" s="65"/>
      <c r="D361" s="64">
        <f t="shared" si="1"/>
        <v>537.36385</v>
      </c>
      <c r="H361" s="65">
        <v>64.7110833333333</v>
      </c>
      <c r="I361" s="65">
        <v>63.9613333333334</v>
      </c>
      <c r="J361" s="65">
        <v>39.2423166666666</v>
      </c>
      <c r="K361" s="65">
        <v>11.0901333333333</v>
      </c>
      <c r="N361" s="65">
        <v>6.65885</v>
      </c>
      <c r="S361" s="65">
        <v>1.24031666666667</v>
      </c>
      <c r="T361" s="65">
        <v>17.1483166666667</v>
      </c>
      <c r="U361" s="65">
        <v>2.00168333333333</v>
      </c>
      <c r="Z361" s="65">
        <v>18.02</v>
      </c>
      <c r="AA361" s="65">
        <v>120.279166666667</v>
      </c>
      <c r="AB361" s="65">
        <v>15.2707333333333</v>
      </c>
      <c r="AG361" s="65">
        <v>2.01571666666667</v>
      </c>
      <c r="AH361" s="65">
        <v>6.56623333333333</v>
      </c>
      <c r="AI361" s="65">
        <v>6.29353333333333</v>
      </c>
      <c r="AL361" s="65">
        <v>23.3429666666667</v>
      </c>
      <c r="AM361" s="65">
        <v>16.8217833333333</v>
      </c>
      <c r="AN361" s="65">
        <v>2.56985</v>
      </c>
      <c r="AQ361" s="65">
        <v>52.5220166666666</v>
      </c>
      <c r="AR361" s="65">
        <v>44.7041166666666</v>
      </c>
      <c r="AU361" s="65">
        <v>22.9037</v>
      </c>
    </row>
    <row r="362">
      <c r="A362" s="119" t="s">
        <v>77</v>
      </c>
      <c r="B362" s="119" t="s">
        <v>91</v>
      </c>
      <c r="C362" s="119"/>
      <c r="D362" s="120">
        <f t="shared" si="1"/>
        <v>0</v>
      </c>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c r="AA362" s="120"/>
      <c r="AB362" s="120"/>
      <c r="AC362" s="120"/>
      <c r="AD362" s="120"/>
      <c r="AE362" s="120"/>
      <c r="AF362" s="120"/>
      <c r="AG362" s="120"/>
      <c r="AH362" s="120"/>
      <c r="AI362" s="120"/>
      <c r="AJ362" s="120"/>
      <c r="AK362" s="120"/>
      <c r="AL362" s="120"/>
      <c r="AM362" s="120"/>
      <c r="AN362" s="120"/>
      <c r="AO362" s="120"/>
      <c r="AP362" s="120"/>
      <c r="AQ362" s="120"/>
      <c r="AR362" s="120"/>
      <c r="AS362" s="120"/>
      <c r="AT362" s="120"/>
      <c r="AU362" s="120"/>
      <c r="AV362" s="120"/>
      <c r="AW362" s="120"/>
      <c r="AX362" s="120"/>
      <c r="AY362" s="120"/>
      <c r="AZ362" s="120"/>
      <c r="BA362" s="120"/>
      <c r="BB362" s="120"/>
      <c r="BC362" s="120"/>
      <c r="BD362" s="120"/>
      <c r="BE362" s="120"/>
      <c r="BF362" s="120"/>
      <c r="BG362" s="120"/>
      <c r="BH362" s="120"/>
      <c r="BI362" s="120"/>
      <c r="BJ362" s="120"/>
      <c r="BK362" s="120"/>
      <c r="BL362" s="120"/>
      <c r="BM362" s="120"/>
      <c r="BN362" s="120"/>
      <c r="BO362" s="120"/>
      <c r="BP362" s="120"/>
      <c r="BQ362" s="120"/>
      <c r="BR362" s="120"/>
      <c r="BS362" s="120"/>
      <c r="BT362" s="120"/>
      <c r="BU362" s="120"/>
      <c r="BV362" s="120"/>
      <c r="BW362" s="120"/>
      <c r="BX362" s="120"/>
      <c r="BY362" s="120"/>
      <c r="BZ362" s="120"/>
      <c r="CA362" s="120"/>
      <c r="CB362" s="120"/>
      <c r="CC362" s="120"/>
      <c r="CD362" s="120"/>
      <c r="CE362" s="120"/>
      <c r="CF362" s="120"/>
      <c r="CG362" s="120"/>
      <c r="CH362" s="120"/>
      <c r="CI362" s="120"/>
      <c r="CJ362" s="120"/>
      <c r="CK362" s="120"/>
      <c r="CL362" s="120"/>
      <c r="CM362" s="120"/>
      <c r="CN362" s="120"/>
      <c r="CO362" s="120"/>
      <c r="CP362" s="120"/>
      <c r="CQ362" s="120"/>
      <c r="CR362" s="120"/>
      <c r="CS362" s="120"/>
      <c r="CT362" s="120"/>
      <c r="CU362" s="120"/>
      <c r="CV362" s="120"/>
      <c r="CW362" s="120"/>
      <c r="CX362" s="120"/>
      <c r="CY362" s="120"/>
      <c r="CZ362" s="120"/>
      <c r="DA362" s="120"/>
      <c r="DB362" s="120"/>
      <c r="DC362" s="120"/>
      <c r="DD362" s="120"/>
      <c r="DE362" s="120"/>
      <c r="DF362" s="120"/>
      <c r="DG362" s="120"/>
      <c r="DH362" s="120"/>
      <c r="DI362" s="120"/>
      <c r="DJ362" s="120"/>
      <c r="DK362" s="120"/>
      <c r="DL362" s="120"/>
      <c r="DM362" s="120"/>
      <c r="DN362" s="120"/>
      <c r="DO362" s="120"/>
      <c r="DP362" s="120"/>
      <c r="DQ362" s="120"/>
      <c r="DR362" s="120"/>
      <c r="DS362" s="120"/>
      <c r="DT362" s="120"/>
      <c r="DU362" s="120"/>
      <c r="DV362" s="120"/>
      <c r="DW362" s="120"/>
      <c r="DX362" s="120"/>
      <c r="DY362" s="120"/>
      <c r="DZ362" s="120"/>
      <c r="EA362" s="120"/>
      <c r="EB362" s="120"/>
      <c r="EC362" s="120"/>
      <c r="ED362" s="120"/>
      <c r="EE362" s="120"/>
      <c r="EF362" s="120"/>
      <c r="EG362" s="120"/>
      <c r="EH362" s="120"/>
      <c r="EI362" s="120"/>
      <c r="EJ362" s="120"/>
      <c r="EK362" s="120"/>
      <c r="EL362" s="120"/>
      <c r="EM362" s="120"/>
      <c r="EN362" s="120"/>
      <c r="EO362" s="120"/>
      <c r="EP362" s="120"/>
      <c r="EQ362" s="120"/>
      <c r="ER362" s="120"/>
      <c r="ES362" s="120"/>
      <c r="ET362" s="120"/>
      <c r="EU362" s="120"/>
      <c r="EV362" s="120"/>
      <c r="EW362" s="120"/>
      <c r="EX362" s="120"/>
      <c r="EY362" s="120"/>
      <c r="EZ362" s="120"/>
      <c r="FA362" s="120"/>
      <c r="FB362" s="120"/>
      <c r="FC362" s="120"/>
      <c r="FD362" s="120"/>
      <c r="FE362" s="120"/>
      <c r="FF362" s="120"/>
      <c r="FG362" s="120"/>
      <c r="FH362" s="120"/>
      <c r="FI362" s="120"/>
      <c r="FJ362" s="120"/>
      <c r="FK362" s="120"/>
      <c r="FL362" s="120"/>
      <c r="FM362" s="120"/>
      <c r="FN362" s="120"/>
      <c r="FO362" s="120"/>
      <c r="FP362" s="120"/>
      <c r="FQ362" s="120"/>
      <c r="FR362" s="120"/>
      <c r="FS362" s="120"/>
      <c r="FT362" s="120"/>
      <c r="FU362" s="120"/>
      <c r="FV362" s="120"/>
      <c r="FW362" s="120"/>
      <c r="FX362" s="120"/>
      <c r="FY362" s="120"/>
      <c r="FZ362" s="120"/>
      <c r="GA362" s="120"/>
      <c r="GB362" s="120"/>
      <c r="GC362" s="120"/>
      <c r="GD362" s="120"/>
      <c r="GE362" s="120"/>
      <c r="GF362" s="120"/>
      <c r="GG362" s="120"/>
      <c r="GH362" s="120"/>
      <c r="GI362" s="120"/>
      <c r="GJ362" s="120"/>
      <c r="GK362" s="120"/>
      <c r="GL362" s="120"/>
      <c r="GM362" s="120"/>
      <c r="GN362" s="120"/>
      <c r="GO362" s="120"/>
      <c r="GP362" s="120"/>
      <c r="GQ362" s="120"/>
      <c r="GR362" s="120"/>
      <c r="GS362" s="120"/>
      <c r="GT362" s="120"/>
      <c r="GU362" s="120"/>
      <c r="GV362" s="120"/>
      <c r="GW362" s="120"/>
      <c r="GX362" s="120"/>
      <c r="GY362" s="120"/>
      <c r="GZ362" s="120"/>
      <c r="HA362" s="120"/>
      <c r="HB362" s="120"/>
      <c r="HC362" s="120"/>
      <c r="HD362" s="120"/>
      <c r="HE362" s="120"/>
      <c r="HF362" s="120"/>
      <c r="HG362" s="120"/>
      <c r="HH362" s="120"/>
      <c r="HI362" s="120"/>
      <c r="HJ362" s="120"/>
      <c r="HK362" s="120"/>
      <c r="HL362" s="120"/>
      <c r="HM362" s="120"/>
      <c r="HN362" s="120"/>
      <c r="HO362" s="120"/>
      <c r="HP362" s="120"/>
      <c r="HQ362" s="120"/>
      <c r="HR362" s="120"/>
      <c r="HS362" s="120"/>
      <c r="HT362" s="120"/>
      <c r="HU362" s="120"/>
      <c r="HV362" s="120"/>
      <c r="HW362" s="120"/>
      <c r="HX362" s="120"/>
      <c r="HY362" s="120"/>
      <c r="HZ362" s="120"/>
      <c r="IA362" s="120"/>
      <c r="IB362" s="120"/>
      <c r="IC362" s="120"/>
      <c r="ID362" s="120"/>
      <c r="IE362" s="120"/>
      <c r="IF362" s="120"/>
      <c r="IG362" s="120"/>
      <c r="IH362" s="120"/>
      <c r="II362" s="120"/>
      <c r="IJ362" s="120"/>
      <c r="IK362" s="120"/>
      <c r="IL362" s="120"/>
      <c r="IM362" s="120"/>
      <c r="IN362" s="120"/>
      <c r="IO362" s="120"/>
      <c r="IP362" s="120"/>
      <c r="IQ362" s="120"/>
      <c r="IR362" s="120"/>
      <c r="IS362" s="120"/>
      <c r="IT362" s="120"/>
      <c r="IU362" s="120"/>
      <c r="IV362" s="120"/>
      <c r="IW362" s="120"/>
      <c r="IX362" s="120"/>
      <c r="IY362" s="120"/>
      <c r="IZ362" s="120"/>
      <c r="JA362" s="120"/>
      <c r="JB362" s="120"/>
      <c r="JC362" s="120"/>
      <c r="JD362" s="120"/>
      <c r="JE362" s="120"/>
      <c r="JF362" s="120"/>
      <c r="JG362" s="120"/>
      <c r="JH362" s="120"/>
      <c r="JI362" s="120"/>
      <c r="JJ362" s="120"/>
      <c r="JK362" s="120"/>
      <c r="JL362" s="120"/>
      <c r="JM362" s="120"/>
      <c r="JN362" s="120"/>
      <c r="JO362" s="120"/>
      <c r="JP362" s="120"/>
      <c r="JQ362" s="120"/>
      <c r="JR362" s="120"/>
      <c r="JS362" s="120"/>
      <c r="JT362" s="120"/>
      <c r="JU362" s="120"/>
      <c r="JV362" s="120"/>
      <c r="JW362" s="120"/>
      <c r="JX362" s="120"/>
      <c r="JY362" s="120"/>
      <c r="JZ362" s="120"/>
      <c r="KA362" s="120"/>
      <c r="KB362" s="120"/>
      <c r="KC362" s="120"/>
      <c r="KD362" s="120"/>
      <c r="KE362" s="120"/>
      <c r="KF362" s="120"/>
      <c r="KG362" s="120"/>
      <c r="KH362" s="120"/>
      <c r="KI362" s="120"/>
      <c r="KJ362" s="120"/>
      <c r="KK362" s="120"/>
      <c r="KL362" s="120"/>
      <c r="KM362" s="120"/>
      <c r="KN362" s="120"/>
      <c r="KO362" s="120"/>
      <c r="KP362" s="120"/>
      <c r="KQ362" s="120"/>
      <c r="KR362" s="120"/>
      <c r="KS362" s="120"/>
      <c r="KT362" s="120"/>
      <c r="KU362" s="120"/>
      <c r="KV362" s="120"/>
      <c r="KW362" s="120"/>
      <c r="KX362" s="120"/>
      <c r="KY362" s="120"/>
      <c r="KZ362" s="120"/>
      <c r="LA362" s="120"/>
      <c r="LB362" s="120"/>
      <c r="LC362" s="120"/>
      <c r="LD362" s="120"/>
      <c r="LE362" s="120"/>
      <c r="LF362" s="120"/>
      <c r="LG362" s="120"/>
      <c r="LH362" s="120"/>
      <c r="LI362" s="120"/>
      <c r="LJ362" s="120"/>
      <c r="LK362" s="120"/>
      <c r="LL362" s="120"/>
      <c r="LM362" s="120"/>
      <c r="LN362" s="120"/>
      <c r="LO362" s="120"/>
      <c r="LP362" s="120"/>
      <c r="LQ362" s="120"/>
      <c r="LR362" s="120"/>
      <c r="LS362" s="120"/>
      <c r="LT362" s="120"/>
      <c r="LU362" s="120"/>
      <c r="LV362" s="120"/>
      <c r="LW362" s="120"/>
      <c r="LX362" s="120"/>
      <c r="LY362" s="120"/>
      <c r="LZ362" s="120"/>
      <c r="MA362" s="120"/>
      <c r="MB362" s="120"/>
      <c r="MC362" s="120"/>
      <c r="MD362" s="120"/>
      <c r="ME362" s="120"/>
      <c r="MF362" s="120"/>
      <c r="MG362" s="120"/>
      <c r="MH362" s="120"/>
      <c r="MI362" s="120"/>
      <c r="MJ362" s="120"/>
      <c r="MK362" s="120"/>
      <c r="ML362" s="120"/>
      <c r="MM362" s="120"/>
      <c r="MN362" s="120"/>
      <c r="MO362" s="120"/>
      <c r="MP362" s="120"/>
      <c r="MQ362" s="120"/>
      <c r="MR362" s="120"/>
      <c r="MS362" s="120"/>
      <c r="MT362" s="120"/>
      <c r="MU362" s="120"/>
      <c r="MV362" s="120"/>
      <c r="MW362" s="120"/>
      <c r="MX362" s="120"/>
      <c r="MY362" s="120"/>
      <c r="MZ362" s="120"/>
      <c r="NA362" s="120"/>
      <c r="NB362" s="120"/>
      <c r="NC362" s="120"/>
      <c r="ND362" s="120"/>
      <c r="NE362" s="120"/>
      <c r="NF362" s="120"/>
      <c r="NG362" s="120"/>
      <c r="NH362" s="120"/>
      <c r="NI362" s="120"/>
      <c r="NJ362" s="120"/>
      <c r="NK362" s="120"/>
      <c r="NL362" s="120"/>
      <c r="NM362" s="120"/>
      <c r="NN362" s="120"/>
      <c r="NO362" s="120"/>
      <c r="NP362" s="120"/>
      <c r="NQ362" s="120"/>
      <c r="NR362" s="120"/>
      <c r="NS362" s="120"/>
      <c r="NT362" s="120"/>
      <c r="NU362" s="120"/>
      <c r="NV362" s="120"/>
      <c r="NW362" s="120"/>
      <c r="NX362" s="120"/>
      <c r="NY362" s="120"/>
      <c r="NZ362" s="120"/>
      <c r="OA362" s="120"/>
      <c r="OB362" s="120"/>
      <c r="OC362" s="120"/>
      <c r="OD362" s="120"/>
      <c r="OE362" s="120"/>
      <c r="OF362" s="120"/>
      <c r="OG362" s="120"/>
      <c r="OH362" s="120"/>
      <c r="OI362" s="120"/>
      <c r="OJ362" s="120"/>
      <c r="OK362" s="120"/>
      <c r="OL362" s="120"/>
      <c r="OM362" s="120"/>
      <c r="ON362" s="120"/>
      <c r="OO362" s="120"/>
      <c r="OP362" s="120"/>
      <c r="OQ362" s="120"/>
      <c r="OR362" s="120"/>
      <c r="OS362" s="120"/>
      <c r="OT362" s="120"/>
      <c r="OU362" s="120"/>
      <c r="OV362" s="120"/>
      <c r="OW362" s="120"/>
      <c r="OX362" s="120"/>
      <c r="OY362" s="120"/>
      <c r="OZ362" s="120"/>
      <c r="PA362" s="120"/>
      <c r="PB362" s="120"/>
      <c r="PC362" s="120"/>
      <c r="PD362" s="120"/>
      <c r="PE362" s="120"/>
      <c r="PF362" s="120"/>
      <c r="PG362" s="120"/>
      <c r="PH362" s="120"/>
      <c r="PI362" s="120"/>
      <c r="PJ362" s="120"/>
      <c r="PK362" s="120"/>
      <c r="PL362" s="120"/>
      <c r="PM362" s="120"/>
      <c r="PN362" s="120"/>
      <c r="PO362" s="120"/>
      <c r="PP362" s="120"/>
      <c r="PQ362" s="120"/>
      <c r="PR362" s="120"/>
      <c r="PS362" s="120"/>
      <c r="PT362" s="120"/>
      <c r="PU362" s="120"/>
      <c r="PV362" s="120"/>
      <c r="PW362" s="120"/>
      <c r="PX362" s="120"/>
      <c r="PY362" s="120"/>
      <c r="PZ362" s="120"/>
      <c r="QA362" s="120"/>
      <c r="QB362" s="120"/>
      <c r="QC362" s="120"/>
      <c r="QD362" s="120"/>
      <c r="QE362" s="120"/>
      <c r="QF362" s="120"/>
      <c r="QG362" s="120"/>
      <c r="QH362" s="120"/>
      <c r="QI362" s="120"/>
      <c r="QJ362" s="120"/>
      <c r="QK362" s="120"/>
      <c r="QL362" s="120"/>
      <c r="QM362" s="120"/>
      <c r="QN362" s="120"/>
      <c r="QO362" s="120"/>
      <c r="QP362" s="120"/>
      <c r="QQ362" s="120"/>
      <c r="QR362" s="120"/>
      <c r="QS362" s="120"/>
      <c r="QT362" s="120"/>
      <c r="QU362" s="120"/>
      <c r="QV362" s="120"/>
      <c r="QW362" s="120"/>
      <c r="QX362" s="120"/>
      <c r="QY362" s="120"/>
      <c r="QZ362" s="120"/>
      <c r="RA362" s="120"/>
      <c r="RB362" s="120"/>
      <c r="RC362" s="120"/>
      <c r="RD362" s="120"/>
      <c r="RE362" s="120"/>
      <c r="RF362" s="120"/>
      <c r="RG362" s="120"/>
      <c r="RH362" s="120"/>
      <c r="RI362" s="120"/>
      <c r="RJ362" s="120"/>
      <c r="RK362" s="120"/>
      <c r="RL362" s="120"/>
      <c r="RM362" s="120"/>
      <c r="RN362" s="120"/>
      <c r="RO362" s="120"/>
      <c r="RP362" s="120"/>
      <c r="RQ362" s="120"/>
      <c r="RR362" s="120"/>
      <c r="RS362" s="120"/>
      <c r="RT362" s="120"/>
      <c r="RU362" s="120"/>
      <c r="RV362" s="120"/>
      <c r="RW362" s="120"/>
      <c r="RX362" s="120"/>
      <c r="RY362" s="120"/>
      <c r="RZ362" s="120"/>
      <c r="SA362" s="120"/>
      <c r="SB362" s="120"/>
      <c r="SC362" s="120"/>
      <c r="SD362" s="120"/>
      <c r="SE362" s="120"/>
      <c r="SF362" s="120"/>
      <c r="SG362" s="120"/>
      <c r="SH362" s="120"/>
      <c r="SI362" s="120"/>
      <c r="SJ362" s="120"/>
      <c r="SK362" s="120"/>
      <c r="SL362" s="120"/>
      <c r="SM362" s="120"/>
      <c r="SN362" s="120"/>
      <c r="SO362" s="120"/>
      <c r="SP362" s="120"/>
      <c r="SQ362" s="120"/>
      <c r="SR362" s="120"/>
      <c r="SS362" s="120"/>
      <c r="ST362" s="120"/>
      <c r="SU362" s="120"/>
      <c r="SV362" s="120"/>
      <c r="SW362" s="120"/>
      <c r="SX362" s="120"/>
      <c r="SY362" s="120"/>
      <c r="SZ362" s="120"/>
      <c r="TA362" s="120"/>
      <c r="TB362" s="120"/>
      <c r="TC362" s="120"/>
      <c r="TD362" s="120"/>
      <c r="TE362" s="120"/>
      <c r="TF362" s="120"/>
      <c r="TG362" s="120"/>
      <c r="TH362" s="120"/>
      <c r="TI362" s="120"/>
      <c r="TJ362" s="120"/>
      <c r="TK362" s="120"/>
      <c r="TL362" s="120"/>
      <c r="TM362" s="120"/>
      <c r="TN362" s="120"/>
      <c r="TO362" s="120"/>
      <c r="TP362" s="120"/>
      <c r="TQ362" s="120"/>
      <c r="TR362" s="120"/>
      <c r="TS362" s="120"/>
      <c r="TT362" s="120"/>
      <c r="TU362" s="120"/>
      <c r="TV362" s="120"/>
      <c r="TW362" s="120"/>
      <c r="TX362" s="120"/>
      <c r="TY362" s="120"/>
      <c r="TZ362" s="120"/>
      <c r="UA362" s="120"/>
      <c r="UB362" s="120"/>
      <c r="UC362" s="120"/>
      <c r="UD362" s="120"/>
      <c r="UE362" s="120"/>
      <c r="UF362" s="120"/>
      <c r="UG362" s="120"/>
      <c r="UH362" s="120"/>
      <c r="UI362" s="120"/>
      <c r="UJ362" s="120"/>
      <c r="UK362" s="120"/>
      <c r="UL362" s="120"/>
      <c r="UM362" s="120"/>
      <c r="UN362" s="120"/>
      <c r="UO362" s="120"/>
      <c r="UP362" s="120"/>
      <c r="UQ362" s="120"/>
      <c r="UR362" s="120"/>
      <c r="US362" s="120"/>
      <c r="UT362" s="120"/>
      <c r="UU362" s="120"/>
      <c r="UV362" s="120"/>
      <c r="UW362" s="120"/>
      <c r="UX362" s="120"/>
      <c r="UY362" s="120"/>
      <c r="UZ362" s="120"/>
      <c r="VA362" s="120"/>
      <c r="VB362" s="120"/>
      <c r="VC362" s="120"/>
      <c r="VD362" s="120"/>
      <c r="VE362" s="120"/>
      <c r="VF362" s="120"/>
      <c r="VG362" s="120"/>
      <c r="VH362" s="120"/>
      <c r="VI362" s="120"/>
      <c r="VJ362" s="120"/>
      <c r="VK362" s="120"/>
      <c r="VL362" s="120"/>
      <c r="VM362" s="120"/>
      <c r="VN362" s="120"/>
      <c r="VO362" s="120"/>
      <c r="VP362" s="120"/>
      <c r="VQ362" s="120"/>
      <c r="VR362" s="120"/>
      <c r="VS362" s="120"/>
      <c r="VT362" s="120"/>
      <c r="VU362" s="120"/>
      <c r="VV362" s="120"/>
      <c r="VW362" s="120"/>
      <c r="VX362" s="120"/>
      <c r="VY362" s="120"/>
      <c r="VZ362" s="120"/>
      <c r="WA362" s="120"/>
      <c r="WB362" s="120"/>
      <c r="WC362" s="120"/>
      <c r="WD362" s="120"/>
      <c r="WE362" s="120"/>
      <c r="WF362" s="120"/>
      <c r="WG362" s="120"/>
      <c r="WH362" s="120"/>
      <c r="WI362" s="120"/>
      <c r="WJ362" s="120"/>
      <c r="WK362" s="120"/>
      <c r="WL362" s="120"/>
      <c r="WM362" s="120"/>
      <c r="WN362" s="120"/>
      <c r="WO362" s="120"/>
      <c r="WP362" s="120"/>
      <c r="WQ362" s="120"/>
      <c r="WR362" s="120"/>
      <c r="WS362" s="120"/>
      <c r="WT362" s="120"/>
      <c r="WU362" s="120"/>
      <c r="WV362" s="120"/>
      <c r="WW362" s="120"/>
      <c r="WX362" s="120"/>
      <c r="WY362" s="120"/>
      <c r="WZ362" s="120"/>
      <c r="XA362" s="120"/>
      <c r="XB362" s="120"/>
      <c r="XC362" s="120"/>
      <c r="XD362" s="120"/>
      <c r="XE362" s="120"/>
      <c r="XF362" s="120"/>
      <c r="XG362" s="120"/>
      <c r="XH362" s="120"/>
      <c r="XI362" s="120"/>
      <c r="XJ362" s="120"/>
      <c r="XK362" s="120"/>
      <c r="XL362" s="120"/>
      <c r="XM362" s="120"/>
      <c r="XN362" s="120"/>
      <c r="XO362" s="120"/>
      <c r="XP362" s="120"/>
      <c r="XQ362" s="120"/>
      <c r="XR362" s="120"/>
      <c r="XS362" s="120"/>
      <c r="XT362" s="120"/>
      <c r="XU362" s="120"/>
      <c r="XV362" s="120"/>
      <c r="XW362" s="120"/>
      <c r="XX362" s="120"/>
      <c r="XY362" s="120"/>
      <c r="XZ362" s="120"/>
      <c r="YA362" s="120"/>
      <c r="YB362" s="120"/>
      <c r="YC362" s="120"/>
      <c r="YD362" s="120"/>
      <c r="YE362" s="120"/>
      <c r="YF362" s="120"/>
      <c r="YG362" s="120"/>
      <c r="YH362" s="120"/>
      <c r="YI362" s="120"/>
      <c r="YJ362" s="120"/>
      <c r="YK362" s="120"/>
      <c r="YL362" s="120"/>
      <c r="YM362" s="120"/>
      <c r="YN362" s="120"/>
      <c r="YO362" s="120"/>
      <c r="YP362" s="120"/>
      <c r="YQ362" s="120"/>
      <c r="YR362" s="120"/>
      <c r="YS362" s="120"/>
      <c r="YT362" s="120"/>
      <c r="YU362" s="120"/>
      <c r="YV362" s="120"/>
      <c r="YW362" s="120"/>
      <c r="YX362" s="120"/>
      <c r="YY362" s="120"/>
      <c r="YZ362" s="120"/>
      <c r="ZA362" s="120"/>
      <c r="ZB362" s="120"/>
      <c r="ZC362" s="120"/>
      <c r="ZD362" s="120"/>
      <c r="ZE362" s="120"/>
      <c r="ZF362" s="120"/>
      <c r="ZG362" s="120"/>
      <c r="ZH362" s="120"/>
      <c r="ZI362" s="120"/>
      <c r="ZJ362" s="120"/>
      <c r="ZK362" s="120"/>
      <c r="ZL362" s="120"/>
      <c r="ZM362" s="120"/>
      <c r="ZN362" s="120"/>
      <c r="ZO362" s="120"/>
      <c r="ZP362" s="120"/>
      <c r="ZQ362" s="120"/>
      <c r="ZR362" s="120"/>
      <c r="ZS362" s="120"/>
      <c r="ZT362" s="120"/>
      <c r="ZU362" s="120"/>
      <c r="ZV362" s="120"/>
      <c r="ZW362" s="120"/>
      <c r="ZX362" s="120"/>
      <c r="ZY362" s="120"/>
      <c r="ZZ362" s="120"/>
      <c r="AAA362" s="120"/>
      <c r="AAB362" s="120"/>
      <c r="AAC362" s="120"/>
      <c r="AAD362" s="120"/>
      <c r="AAE362" s="120"/>
      <c r="AAF362" s="120"/>
      <c r="AAG362" s="120"/>
      <c r="AAH362" s="120"/>
      <c r="AAI362" s="120"/>
      <c r="AAJ362" s="120"/>
      <c r="AAK362" s="120"/>
      <c r="AAL362" s="120"/>
      <c r="AAM362" s="120"/>
      <c r="AAN362" s="120"/>
      <c r="AAO362" s="120"/>
      <c r="AAP362" s="120"/>
      <c r="AAQ362" s="120"/>
      <c r="AAR362" s="120"/>
      <c r="AAS362" s="120"/>
      <c r="AAT362" s="120"/>
      <c r="AAU362" s="120"/>
      <c r="AAV362" s="120"/>
      <c r="AAW362" s="120"/>
      <c r="AAX362" s="120"/>
      <c r="AAY362" s="120"/>
      <c r="AAZ362" s="120"/>
      <c r="ABA362" s="120"/>
      <c r="ABB362" s="120"/>
      <c r="ABC362" s="120"/>
      <c r="ABD362" s="120"/>
      <c r="ABE362" s="120"/>
      <c r="ABF362" s="120"/>
      <c r="ABG362" s="120"/>
      <c r="ABH362" s="120"/>
      <c r="ABI362" s="120"/>
      <c r="ABJ362" s="120"/>
      <c r="ABK362" s="120"/>
      <c r="ABL362" s="120"/>
      <c r="ABM362" s="120"/>
      <c r="ABN362" s="120"/>
      <c r="ABO362" s="120"/>
      <c r="ABP362" s="120"/>
      <c r="ABQ362" s="120"/>
      <c r="ABR362" s="120"/>
      <c r="ABS362" s="120"/>
      <c r="ABT362" s="120"/>
      <c r="ABU362" s="120"/>
      <c r="ABV362" s="120"/>
      <c r="ABW362" s="120"/>
      <c r="ABX362" s="120"/>
      <c r="ABY362" s="120"/>
      <c r="ABZ362" s="120"/>
      <c r="ACA362" s="120"/>
      <c r="ACB362" s="120"/>
      <c r="ACC362" s="120"/>
      <c r="ACD362" s="120"/>
      <c r="ACE362" s="120"/>
      <c r="ACF362" s="120"/>
      <c r="ACG362" s="120"/>
      <c r="ACH362" s="120"/>
      <c r="ACI362" s="120"/>
      <c r="ACJ362" s="120"/>
      <c r="ACK362" s="120"/>
      <c r="ACL362" s="120"/>
      <c r="ACM362" s="120"/>
      <c r="ACN362" s="120"/>
      <c r="ACO362" s="120"/>
      <c r="ACP362" s="120"/>
      <c r="ACQ362" s="120"/>
      <c r="ACR362" s="120"/>
      <c r="ACS362" s="120"/>
      <c r="ACT362" s="120"/>
      <c r="ACU362" s="120"/>
      <c r="ACV362" s="120"/>
      <c r="ACW362" s="120"/>
      <c r="ACX362" s="120"/>
      <c r="ACY362" s="120"/>
      <c r="ACZ362" s="120"/>
      <c r="ADA362" s="120"/>
      <c r="ADB362" s="120"/>
      <c r="ADC362" s="120"/>
      <c r="ADD362" s="120"/>
      <c r="ADE362" s="120"/>
      <c r="ADF362" s="120"/>
      <c r="ADG362" s="120"/>
      <c r="ADH362" s="120"/>
      <c r="ADI362" s="120"/>
      <c r="ADJ362" s="120"/>
      <c r="ADK362" s="120"/>
      <c r="ADL362" s="120"/>
      <c r="ADM362" s="120"/>
      <c r="ADN362" s="120"/>
      <c r="ADO362" s="120"/>
      <c r="ADP362" s="120"/>
      <c r="ADQ362" s="120"/>
      <c r="ADR362" s="120"/>
      <c r="ADS362" s="120"/>
      <c r="ADT362" s="120"/>
      <c r="ADU362" s="120"/>
      <c r="ADV362" s="120"/>
      <c r="ADW362" s="120"/>
      <c r="ADX362" s="120"/>
      <c r="ADY362" s="120"/>
      <c r="ADZ362" s="120"/>
      <c r="AEA362" s="120"/>
      <c r="AEB362" s="120"/>
      <c r="AEC362" s="120"/>
      <c r="AED362" s="120"/>
      <c r="AEE362" s="120"/>
      <c r="AEF362" s="120"/>
      <c r="AEG362" s="120"/>
      <c r="AEH362" s="120"/>
      <c r="AEI362" s="120"/>
      <c r="AEJ362" s="120"/>
      <c r="AEK362" s="120"/>
      <c r="AEL362" s="120"/>
      <c r="AEM362" s="120"/>
      <c r="AEN362" s="120"/>
      <c r="AEO362" s="120"/>
      <c r="AEP362" s="120"/>
      <c r="AEQ362" s="120"/>
      <c r="AER362" s="120"/>
      <c r="AES362" s="120"/>
      <c r="AET362" s="120"/>
      <c r="AEU362" s="120"/>
      <c r="AEV362" s="120"/>
      <c r="AEW362" s="120"/>
      <c r="AEX362" s="120"/>
      <c r="AEY362" s="120"/>
      <c r="AEZ362" s="120"/>
      <c r="AFA362" s="120"/>
      <c r="AFB362" s="120"/>
      <c r="AFC362" s="120"/>
      <c r="AFD362" s="120"/>
      <c r="AFE362" s="120"/>
      <c r="AFF362" s="120"/>
      <c r="AFG362" s="120"/>
      <c r="AFH362" s="120"/>
      <c r="AFI362" s="120"/>
      <c r="AFJ362" s="120"/>
      <c r="AFK362" s="120"/>
      <c r="AFL362" s="120"/>
      <c r="AFM362" s="120"/>
      <c r="AFN362" s="120"/>
      <c r="AFO362" s="120"/>
      <c r="AFP362" s="120"/>
      <c r="AFQ362" s="120"/>
      <c r="AFR362" s="120"/>
      <c r="AFS362" s="120"/>
      <c r="AFT362" s="120"/>
      <c r="AFU362" s="120"/>
      <c r="AFV362" s="120"/>
      <c r="AFW362" s="120"/>
      <c r="AFX362" s="120"/>
      <c r="AFY362" s="120"/>
      <c r="AFZ362" s="120"/>
      <c r="AGA362" s="120"/>
      <c r="AGB362" s="120"/>
      <c r="AGC362" s="120"/>
      <c r="AGD362" s="120"/>
      <c r="AGE362" s="120"/>
      <c r="AGF362" s="120"/>
      <c r="AGG362" s="120"/>
      <c r="AGH362" s="120"/>
      <c r="AGI362" s="120"/>
      <c r="AGJ362" s="120"/>
      <c r="AGK362" s="120"/>
      <c r="AGL362" s="120"/>
      <c r="AGM362" s="120"/>
      <c r="AGN362" s="120"/>
      <c r="AGO362" s="120"/>
      <c r="AGP362" s="120"/>
      <c r="AGQ362" s="120"/>
      <c r="AGR362" s="120"/>
      <c r="AGS362" s="120"/>
      <c r="AGT362" s="120"/>
      <c r="AGU362" s="120"/>
      <c r="AGV362" s="120"/>
      <c r="AGW362" s="120"/>
      <c r="AGX362" s="120"/>
      <c r="AGY362" s="120"/>
      <c r="AGZ362" s="120"/>
      <c r="AHA362" s="120"/>
      <c r="AHB362" s="120"/>
      <c r="AHC362" s="120"/>
      <c r="AHD362" s="120"/>
      <c r="AHE362" s="120"/>
      <c r="AHF362" s="120"/>
      <c r="AHG362" s="120"/>
      <c r="AHH362" s="120"/>
      <c r="AHI362" s="120"/>
      <c r="AHJ362" s="120"/>
      <c r="AHK362" s="120"/>
      <c r="AHL362" s="120"/>
      <c r="AHM362" s="120"/>
      <c r="AHN362" s="120"/>
      <c r="AHO362" s="120"/>
      <c r="AHP362" s="120"/>
      <c r="AHQ362" s="120"/>
      <c r="AHR362" s="120"/>
      <c r="AHS362" s="120"/>
      <c r="AHT362" s="120"/>
      <c r="AHU362" s="120"/>
      <c r="AHV362" s="120"/>
      <c r="AHW362" s="120"/>
      <c r="AHX362" s="120"/>
      <c r="AHY362" s="120"/>
      <c r="AHZ362" s="120"/>
      <c r="AIA362" s="120"/>
      <c r="AIB362" s="120"/>
      <c r="AIC362" s="120"/>
      <c r="AID362" s="120"/>
      <c r="AIE362" s="120"/>
      <c r="AIF362" s="120"/>
      <c r="AIG362" s="120"/>
      <c r="AIH362" s="120"/>
      <c r="AII362" s="120"/>
      <c r="AIJ362" s="120"/>
      <c r="AIK362" s="120"/>
      <c r="AIL362" s="120"/>
      <c r="AIM362" s="120"/>
      <c r="AIN362" s="120"/>
      <c r="AIO362" s="120"/>
      <c r="AIP362" s="120"/>
      <c r="AIQ362" s="120"/>
      <c r="AIR362" s="120"/>
      <c r="AIS362" s="120"/>
      <c r="AIT362" s="120"/>
      <c r="AIU362" s="120"/>
      <c r="AIV362" s="120"/>
      <c r="AIW362" s="120"/>
      <c r="AIX362" s="120"/>
      <c r="AIY362" s="120"/>
      <c r="AIZ362" s="120"/>
    </row>
    <row r="363">
      <c r="A363" s="112" t="s">
        <v>38</v>
      </c>
      <c r="B363" s="112" t="s">
        <v>94</v>
      </c>
      <c r="C363" s="112"/>
      <c r="D363" s="113">
        <f t="shared" si="1"/>
        <v>588.8371</v>
      </c>
      <c r="E363" s="112">
        <v>31.0078</v>
      </c>
      <c r="F363" s="113"/>
      <c r="G363" s="113"/>
      <c r="H363" s="113"/>
      <c r="I363" s="113"/>
      <c r="J363" s="113"/>
      <c r="K363" s="113"/>
      <c r="L363" s="112">
        <v>0.873216666666667</v>
      </c>
      <c r="M363" s="112">
        <v>8.96211666666666</v>
      </c>
      <c r="N363" s="113"/>
      <c r="O363" s="112">
        <v>0.0979166666666667</v>
      </c>
      <c r="P363" s="112">
        <v>59.7589166666667</v>
      </c>
      <c r="Q363" s="113"/>
      <c r="R363" s="113"/>
      <c r="S363" s="113"/>
      <c r="T363" s="113"/>
      <c r="U363" s="113"/>
      <c r="V363" s="112">
        <v>1.05611666666667</v>
      </c>
      <c r="W363" s="112">
        <v>84.3871333333333</v>
      </c>
      <c r="X363" s="113"/>
      <c r="Y363" s="113"/>
      <c r="Z363" s="113"/>
      <c r="AA363" s="113"/>
      <c r="AB363" s="113"/>
      <c r="AC363" s="112">
        <v>2.93663333333333</v>
      </c>
      <c r="AD363" s="112">
        <v>231.857516666667</v>
      </c>
      <c r="AE363" s="113"/>
      <c r="AF363" s="113"/>
      <c r="AG363" s="113"/>
      <c r="AH363" s="113"/>
      <c r="AI363" s="113"/>
      <c r="AJ363" s="112">
        <v>3.84</v>
      </c>
      <c r="AK363" s="112">
        <v>58.5213166666667</v>
      </c>
      <c r="AL363" s="113"/>
      <c r="AM363" s="113"/>
      <c r="AN363" s="113"/>
      <c r="AO363" s="112">
        <v>5.16531666666667</v>
      </c>
      <c r="AP363" s="112">
        <v>16.6637833333333</v>
      </c>
      <c r="AQ363" s="113"/>
      <c r="AR363" s="113"/>
      <c r="AS363" s="112">
        <v>2.70046666666667</v>
      </c>
      <c r="AT363" s="112">
        <v>77.2774833333335</v>
      </c>
      <c r="AU363" s="113"/>
      <c r="AV363" s="112">
        <v>2.43083333333333</v>
      </c>
      <c r="AW363" s="112">
        <v>1.30053333333333</v>
      </c>
      <c r="AX363" s="113"/>
      <c r="AY363" s="113"/>
      <c r="AZ363" s="113"/>
      <c r="BA363" s="113"/>
      <c r="BB363" s="113"/>
      <c r="BC363" s="113"/>
      <c r="BD363" s="113"/>
      <c r="BE363" s="113"/>
      <c r="BF363" s="113"/>
      <c r="BG363" s="113"/>
      <c r="BH363" s="113"/>
      <c r="BI363" s="113"/>
      <c r="BJ363" s="113"/>
      <c r="BK363" s="113"/>
      <c r="BL363" s="113"/>
      <c r="BM363" s="113"/>
      <c r="BN363" s="113"/>
      <c r="BO363" s="113"/>
      <c r="BP363" s="113"/>
      <c r="BQ363" s="113"/>
      <c r="BR363" s="113"/>
      <c r="BS363" s="113"/>
      <c r="BT363" s="113"/>
      <c r="BU363" s="113"/>
      <c r="BV363" s="113"/>
      <c r="BW363" s="113"/>
      <c r="BX363" s="113"/>
      <c r="BY363" s="113"/>
      <c r="BZ363" s="113"/>
      <c r="CA363" s="113"/>
      <c r="CB363" s="113"/>
      <c r="CC363" s="113"/>
      <c r="CD363" s="113"/>
      <c r="CE363" s="113"/>
      <c r="CF363" s="113"/>
      <c r="CG363" s="113"/>
      <c r="CH363" s="113"/>
      <c r="CI363" s="113"/>
      <c r="CJ363" s="113"/>
      <c r="CK363" s="113"/>
      <c r="CL363" s="113"/>
      <c r="CM363" s="113"/>
      <c r="CN363" s="113"/>
      <c r="CO363" s="113"/>
      <c r="CP363" s="113"/>
      <c r="CQ363" s="113"/>
      <c r="CR363" s="113"/>
      <c r="CS363" s="113"/>
      <c r="CT363" s="113"/>
      <c r="CU363" s="113"/>
      <c r="CV363" s="113"/>
      <c r="CW363" s="113"/>
      <c r="CX363" s="113"/>
      <c r="CY363" s="113"/>
      <c r="CZ363" s="113"/>
      <c r="DA363" s="113"/>
      <c r="DB363" s="113"/>
      <c r="DC363" s="113"/>
      <c r="DD363" s="113"/>
      <c r="DE363" s="113"/>
      <c r="DF363" s="113"/>
      <c r="DG363" s="113"/>
      <c r="DH363" s="113"/>
      <c r="DI363" s="113"/>
      <c r="DJ363" s="113"/>
      <c r="DK363" s="113"/>
      <c r="DL363" s="113"/>
      <c r="DM363" s="113"/>
      <c r="DN363" s="113"/>
      <c r="DO363" s="113"/>
      <c r="DP363" s="113"/>
      <c r="DQ363" s="113"/>
      <c r="DR363" s="113"/>
      <c r="DS363" s="113"/>
      <c r="DT363" s="113"/>
      <c r="DU363" s="113"/>
      <c r="DV363" s="113"/>
      <c r="DW363" s="113"/>
      <c r="DX363" s="113"/>
      <c r="DY363" s="113"/>
      <c r="DZ363" s="113"/>
      <c r="EA363" s="113"/>
      <c r="EB363" s="113"/>
      <c r="EC363" s="113"/>
      <c r="ED363" s="113"/>
      <c r="EE363" s="113"/>
      <c r="EF363" s="113"/>
      <c r="EG363" s="113"/>
      <c r="EH363" s="113"/>
      <c r="EI363" s="113"/>
      <c r="EJ363" s="113"/>
      <c r="EK363" s="113"/>
      <c r="EL363" s="113"/>
      <c r="EM363" s="113"/>
      <c r="EN363" s="113"/>
      <c r="EO363" s="113"/>
      <c r="EP363" s="113"/>
      <c r="EQ363" s="113"/>
      <c r="ER363" s="113"/>
      <c r="ES363" s="113"/>
      <c r="ET363" s="113"/>
      <c r="EU363" s="113"/>
      <c r="EV363" s="113"/>
      <c r="EW363" s="113"/>
      <c r="EX363" s="113"/>
      <c r="EY363" s="113"/>
      <c r="EZ363" s="113"/>
      <c r="FA363" s="113"/>
      <c r="FB363" s="113"/>
      <c r="FC363" s="113"/>
      <c r="FD363" s="113"/>
      <c r="FE363" s="113"/>
      <c r="FF363" s="113"/>
      <c r="FG363" s="113"/>
      <c r="FH363" s="113"/>
      <c r="FI363" s="113"/>
      <c r="FJ363" s="113"/>
      <c r="FK363" s="113"/>
      <c r="FL363" s="113"/>
      <c r="FM363" s="113"/>
      <c r="FN363" s="113"/>
      <c r="FO363" s="113"/>
      <c r="FP363" s="113"/>
      <c r="FQ363" s="113"/>
      <c r="FR363" s="113"/>
      <c r="FS363" s="113"/>
      <c r="FT363" s="113"/>
      <c r="FU363" s="113"/>
      <c r="FV363" s="113"/>
      <c r="FW363" s="113"/>
      <c r="FX363" s="113"/>
      <c r="FY363" s="113"/>
      <c r="FZ363" s="113"/>
      <c r="GA363" s="113"/>
      <c r="GB363" s="113"/>
      <c r="GC363" s="113"/>
      <c r="GD363" s="113"/>
      <c r="GE363" s="113"/>
      <c r="GF363" s="113"/>
      <c r="GG363" s="113"/>
      <c r="GH363" s="113"/>
      <c r="GI363" s="113"/>
      <c r="GJ363" s="113"/>
      <c r="GK363" s="113"/>
      <c r="GL363" s="113"/>
      <c r="GM363" s="113"/>
      <c r="GN363" s="113"/>
      <c r="GO363" s="113"/>
      <c r="GP363" s="113"/>
      <c r="GQ363" s="113"/>
      <c r="GR363" s="113"/>
      <c r="GS363" s="113"/>
      <c r="GT363" s="113"/>
      <c r="GU363" s="113"/>
      <c r="GV363" s="113"/>
      <c r="GW363" s="113"/>
      <c r="GX363" s="113"/>
      <c r="GY363" s="113"/>
      <c r="GZ363" s="113"/>
      <c r="HA363" s="113"/>
      <c r="HB363" s="113"/>
      <c r="HC363" s="113"/>
      <c r="HD363" s="113"/>
      <c r="HE363" s="113"/>
      <c r="HF363" s="113"/>
      <c r="HG363" s="113"/>
      <c r="HH363" s="113"/>
      <c r="HI363" s="113"/>
      <c r="HJ363" s="113"/>
      <c r="HK363" s="113"/>
      <c r="HL363" s="113"/>
      <c r="HM363" s="113"/>
      <c r="HN363" s="113"/>
      <c r="HO363" s="113"/>
      <c r="HP363" s="113"/>
      <c r="HQ363" s="113"/>
      <c r="HR363" s="113"/>
      <c r="HS363" s="113"/>
      <c r="HT363" s="113"/>
      <c r="HU363" s="113"/>
      <c r="HV363" s="113"/>
      <c r="HW363" s="113"/>
      <c r="HX363" s="113"/>
      <c r="HY363" s="113"/>
      <c r="HZ363" s="113"/>
      <c r="IA363" s="113"/>
      <c r="IB363" s="113"/>
      <c r="IC363" s="113"/>
      <c r="ID363" s="113"/>
      <c r="IE363" s="113"/>
      <c r="IF363" s="113"/>
      <c r="IG363" s="113"/>
      <c r="IH363" s="113"/>
      <c r="II363" s="113"/>
      <c r="IJ363" s="113"/>
      <c r="IK363" s="113"/>
      <c r="IL363" s="113"/>
      <c r="IM363" s="113"/>
      <c r="IN363" s="113"/>
      <c r="IO363" s="113"/>
      <c r="IP363" s="113"/>
      <c r="IQ363" s="113"/>
      <c r="IR363" s="113"/>
      <c r="IS363" s="113"/>
      <c r="IT363" s="113"/>
      <c r="IU363" s="113"/>
      <c r="IV363" s="113"/>
      <c r="IW363" s="113"/>
      <c r="IX363" s="113"/>
      <c r="IY363" s="113"/>
      <c r="IZ363" s="113"/>
      <c r="JA363" s="113"/>
      <c r="JB363" s="113"/>
      <c r="JC363" s="113"/>
      <c r="JD363" s="113"/>
      <c r="JE363" s="113"/>
      <c r="JF363" s="113"/>
      <c r="JG363" s="113"/>
      <c r="JH363" s="113"/>
      <c r="JI363" s="113"/>
      <c r="JJ363" s="113"/>
      <c r="JK363" s="113"/>
      <c r="JL363" s="113"/>
      <c r="JM363" s="113"/>
      <c r="JN363" s="113"/>
      <c r="JO363" s="113"/>
      <c r="JP363" s="113"/>
      <c r="JQ363" s="113"/>
      <c r="JR363" s="113"/>
      <c r="JS363" s="113"/>
      <c r="JT363" s="113"/>
      <c r="JU363" s="113"/>
      <c r="JV363" s="113"/>
      <c r="JW363" s="113"/>
      <c r="JX363" s="113"/>
      <c r="JY363" s="113"/>
      <c r="JZ363" s="113"/>
      <c r="KA363" s="113"/>
      <c r="KB363" s="113"/>
      <c r="KC363" s="113"/>
      <c r="KD363" s="113"/>
      <c r="KE363" s="113"/>
      <c r="KF363" s="113"/>
      <c r="KG363" s="113"/>
      <c r="KH363" s="113"/>
      <c r="KI363" s="113"/>
      <c r="KJ363" s="113"/>
      <c r="KK363" s="113"/>
      <c r="KL363" s="113"/>
      <c r="KM363" s="113"/>
      <c r="KN363" s="113"/>
      <c r="KO363" s="113"/>
      <c r="KP363" s="113"/>
      <c r="KQ363" s="113"/>
      <c r="KR363" s="113"/>
      <c r="KS363" s="113"/>
      <c r="KT363" s="113"/>
      <c r="KU363" s="113"/>
      <c r="KV363" s="113"/>
      <c r="KW363" s="113"/>
      <c r="KX363" s="113"/>
      <c r="KY363" s="113"/>
      <c r="KZ363" s="113"/>
      <c r="LA363" s="113"/>
      <c r="LB363" s="113"/>
      <c r="LC363" s="113"/>
      <c r="LD363" s="113"/>
      <c r="LE363" s="113"/>
      <c r="LF363" s="113"/>
      <c r="LG363" s="113"/>
      <c r="LH363" s="113"/>
      <c r="LI363" s="113"/>
      <c r="LJ363" s="113"/>
      <c r="LK363" s="113"/>
      <c r="LL363" s="113"/>
      <c r="LM363" s="113"/>
      <c r="LN363" s="113"/>
      <c r="LO363" s="113"/>
      <c r="LP363" s="113"/>
      <c r="LQ363" s="113"/>
      <c r="LR363" s="113"/>
      <c r="LS363" s="113"/>
      <c r="LT363" s="113"/>
      <c r="LU363" s="113"/>
      <c r="LV363" s="113"/>
      <c r="LW363" s="113"/>
      <c r="LX363" s="113"/>
      <c r="LY363" s="113"/>
      <c r="LZ363" s="113"/>
      <c r="MA363" s="113"/>
      <c r="MB363" s="113"/>
      <c r="MC363" s="113"/>
      <c r="MD363" s="113"/>
      <c r="ME363" s="113"/>
      <c r="MF363" s="113"/>
      <c r="MG363" s="113"/>
      <c r="MH363" s="113"/>
      <c r="MI363" s="113"/>
      <c r="MJ363" s="113"/>
      <c r="MK363" s="113"/>
      <c r="ML363" s="113"/>
      <c r="MM363" s="113"/>
      <c r="MN363" s="113"/>
      <c r="MO363" s="113"/>
      <c r="MP363" s="113"/>
      <c r="MQ363" s="113"/>
      <c r="MR363" s="113"/>
      <c r="MS363" s="113"/>
      <c r="MT363" s="113"/>
      <c r="MU363" s="113"/>
      <c r="MV363" s="113"/>
      <c r="MW363" s="113"/>
      <c r="MX363" s="113"/>
      <c r="MY363" s="113"/>
      <c r="MZ363" s="113"/>
      <c r="NA363" s="113"/>
      <c r="NB363" s="113"/>
      <c r="NC363" s="113"/>
      <c r="ND363" s="113"/>
      <c r="NE363" s="113"/>
      <c r="NF363" s="113"/>
      <c r="NG363" s="113"/>
      <c r="NH363" s="113"/>
      <c r="NI363" s="113"/>
      <c r="NJ363" s="113"/>
      <c r="NK363" s="113"/>
      <c r="NL363" s="113"/>
      <c r="NM363" s="113"/>
      <c r="NN363" s="113"/>
      <c r="NO363" s="113"/>
      <c r="NP363" s="113"/>
      <c r="NQ363" s="113"/>
      <c r="NR363" s="113"/>
      <c r="NS363" s="113"/>
      <c r="NT363" s="113"/>
      <c r="NU363" s="113"/>
      <c r="NV363" s="113"/>
      <c r="NW363" s="113"/>
      <c r="NX363" s="113"/>
      <c r="NY363" s="113"/>
      <c r="NZ363" s="113"/>
      <c r="OA363" s="113"/>
      <c r="OB363" s="113"/>
      <c r="OC363" s="113"/>
      <c r="OD363" s="113"/>
      <c r="OE363" s="113"/>
      <c r="OF363" s="113"/>
      <c r="OG363" s="113"/>
      <c r="OH363" s="113"/>
      <c r="OI363" s="113"/>
      <c r="OJ363" s="113"/>
      <c r="OK363" s="113"/>
      <c r="OL363" s="113"/>
      <c r="OM363" s="113"/>
      <c r="ON363" s="113"/>
      <c r="OO363" s="113"/>
      <c r="OP363" s="113"/>
      <c r="OQ363" s="113"/>
      <c r="OR363" s="113"/>
      <c r="OS363" s="113"/>
      <c r="OT363" s="113"/>
      <c r="OU363" s="113"/>
      <c r="OV363" s="113"/>
      <c r="OW363" s="113"/>
      <c r="OX363" s="113"/>
      <c r="OY363" s="113"/>
      <c r="OZ363" s="113"/>
      <c r="PA363" s="113"/>
      <c r="PB363" s="113"/>
      <c r="PC363" s="113"/>
      <c r="PD363" s="113"/>
      <c r="PE363" s="113"/>
      <c r="PF363" s="113"/>
      <c r="PG363" s="113"/>
      <c r="PH363" s="113"/>
      <c r="PI363" s="113"/>
      <c r="PJ363" s="113"/>
      <c r="PK363" s="113"/>
      <c r="PL363" s="113"/>
      <c r="PM363" s="113"/>
      <c r="PN363" s="113"/>
      <c r="PO363" s="113"/>
      <c r="PP363" s="113"/>
      <c r="PQ363" s="113"/>
      <c r="PR363" s="113"/>
      <c r="PS363" s="113"/>
      <c r="PT363" s="113"/>
      <c r="PU363" s="113"/>
      <c r="PV363" s="113"/>
      <c r="PW363" s="113"/>
      <c r="PX363" s="113"/>
      <c r="PY363" s="113"/>
      <c r="PZ363" s="113"/>
      <c r="QA363" s="113"/>
      <c r="QB363" s="113"/>
      <c r="QC363" s="113"/>
      <c r="QD363" s="113"/>
      <c r="QE363" s="113"/>
      <c r="QF363" s="113"/>
      <c r="QG363" s="113"/>
      <c r="QH363" s="113"/>
      <c r="QI363" s="113"/>
      <c r="QJ363" s="113"/>
      <c r="QK363" s="113"/>
      <c r="QL363" s="113"/>
      <c r="QM363" s="113"/>
      <c r="QN363" s="113"/>
      <c r="QO363" s="113"/>
      <c r="QP363" s="113"/>
      <c r="QQ363" s="113"/>
      <c r="QR363" s="113"/>
      <c r="QS363" s="113"/>
      <c r="QT363" s="113"/>
      <c r="QU363" s="113"/>
      <c r="QV363" s="113"/>
      <c r="QW363" s="113"/>
      <c r="QX363" s="113"/>
      <c r="QY363" s="113"/>
      <c r="QZ363" s="113"/>
      <c r="RA363" s="113"/>
      <c r="RB363" s="113"/>
      <c r="RC363" s="113"/>
      <c r="RD363" s="113"/>
      <c r="RE363" s="113"/>
      <c r="RF363" s="113"/>
      <c r="RG363" s="113"/>
      <c r="RH363" s="113"/>
      <c r="RI363" s="113"/>
      <c r="RJ363" s="113"/>
      <c r="RK363" s="113"/>
      <c r="RL363" s="113"/>
      <c r="RM363" s="113"/>
      <c r="RN363" s="113"/>
      <c r="RO363" s="113"/>
      <c r="RP363" s="113"/>
      <c r="RQ363" s="113"/>
      <c r="RR363" s="113"/>
      <c r="RS363" s="113"/>
      <c r="RT363" s="113"/>
      <c r="RU363" s="113"/>
      <c r="RV363" s="113"/>
      <c r="RW363" s="113"/>
      <c r="RX363" s="113"/>
      <c r="RY363" s="113"/>
      <c r="RZ363" s="113"/>
      <c r="SA363" s="113"/>
      <c r="SB363" s="113"/>
      <c r="SC363" s="113"/>
      <c r="SD363" s="113"/>
      <c r="SE363" s="113"/>
      <c r="SF363" s="113"/>
      <c r="SG363" s="113"/>
      <c r="SH363" s="113"/>
      <c r="SI363" s="113"/>
      <c r="SJ363" s="113"/>
      <c r="SK363" s="113"/>
      <c r="SL363" s="113"/>
      <c r="SM363" s="113"/>
      <c r="SN363" s="113"/>
      <c r="SO363" s="113"/>
      <c r="SP363" s="113"/>
      <c r="SQ363" s="113"/>
      <c r="SR363" s="113"/>
      <c r="SS363" s="113"/>
      <c r="ST363" s="113"/>
      <c r="SU363" s="113"/>
      <c r="SV363" s="113"/>
      <c r="SW363" s="113"/>
      <c r="SX363" s="113"/>
      <c r="SY363" s="113"/>
      <c r="SZ363" s="113"/>
      <c r="TA363" s="113"/>
      <c r="TB363" s="113"/>
      <c r="TC363" s="113"/>
      <c r="TD363" s="113"/>
      <c r="TE363" s="113"/>
      <c r="TF363" s="113"/>
      <c r="TG363" s="113"/>
      <c r="TH363" s="113"/>
      <c r="TI363" s="113"/>
      <c r="TJ363" s="113"/>
      <c r="TK363" s="113"/>
      <c r="TL363" s="113"/>
      <c r="TM363" s="113"/>
      <c r="TN363" s="113"/>
      <c r="TO363" s="113"/>
      <c r="TP363" s="113"/>
      <c r="TQ363" s="113"/>
      <c r="TR363" s="113"/>
      <c r="TS363" s="113"/>
      <c r="TT363" s="113"/>
      <c r="TU363" s="113"/>
      <c r="TV363" s="113"/>
      <c r="TW363" s="113"/>
      <c r="TX363" s="113"/>
      <c r="TY363" s="113"/>
      <c r="TZ363" s="113"/>
      <c r="UA363" s="113"/>
      <c r="UB363" s="113"/>
      <c r="UC363" s="113"/>
      <c r="UD363" s="113"/>
      <c r="UE363" s="113"/>
      <c r="UF363" s="113"/>
      <c r="UG363" s="113"/>
      <c r="UH363" s="113"/>
      <c r="UI363" s="113"/>
      <c r="UJ363" s="113"/>
      <c r="UK363" s="113"/>
      <c r="UL363" s="113"/>
      <c r="UM363" s="113"/>
      <c r="UN363" s="113"/>
      <c r="UO363" s="113"/>
      <c r="UP363" s="113"/>
      <c r="UQ363" s="113"/>
      <c r="UR363" s="113"/>
      <c r="US363" s="113"/>
      <c r="UT363" s="113"/>
      <c r="UU363" s="113"/>
      <c r="UV363" s="113"/>
      <c r="UW363" s="113"/>
      <c r="UX363" s="113"/>
      <c r="UY363" s="113"/>
      <c r="UZ363" s="113"/>
      <c r="VA363" s="113"/>
      <c r="VB363" s="113"/>
      <c r="VC363" s="113"/>
      <c r="VD363" s="113"/>
      <c r="VE363" s="113"/>
      <c r="VF363" s="113"/>
      <c r="VG363" s="113"/>
      <c r="VH363" s="113"/>
      <c r="VI363" s="113"/>
      <c r="VJ363" s="113"/>
      <c r="VK363" s="113"/>
      <c r="VL363" s="113"/>
      <c r="VM363" s="113"/>
      <c r="VN363" s="113"/>
      <c r="VO363" s="113"/>
      <c r="VP363" s="113"/>
      <c r="VQ363" s="113"/>
      <c r="VR363" s="113"/>
      <c r="VS363" s="113"/>
      <c r="VT363" s="113"/>
      <c r="VU363" s="113"/>
      <c r="VV363" s="113"/>
      <c r="VW363" s="113"/>
      <c r="VX363" s="113"/>
      <c r="VY363" s="113"/>
      <c r="VZ363" s="113"/>
      <c r="WA363" s="113"/>
      <c r="WB363" s="113"/>
      <c r="WC363" s="113"/>
      <c r="WD363" s="113"/>
      <c r="WE363" s="113"/>
      <c r="WF363" s="113"/>
      <c r="WG363" s="113"/>
      <c r="WH363" s="113"/>
      <c r="WI363" s="113"/>
      <c r="WJ363" s="113"/>
      <c r="WK363" s="113"/>
      <c r="WL363" s="113"/>
      <c r="WM363" s="113"/>
      <c r="WN363" s="113"/>
      <c r="WO363" s="113"/>
      <c r="WP363" s="113"/>
      <c r="WQ363" s="113"/>
      <c r="WR363" s="113"/>
      <c r="WS363" s="113"/>
      <c r="WT363" s="113"/>
      <c r="WU363" s="113"/>
      <c r="WV363" s="113"/>
      <c r="WW363" s="113"/>
      <c r="WX363" s="113"/>
      <c r="WY363" s="113"/>
      <c r="WZ363" s="113"/>
      <c r="XA363" s="113"/>
      <c r="XB363" s="113"/>
      <c r="XC363" s="113"/>
      <c r="XD363" s="113"/>
      <c r="XE363" s="113"/>
      <c r="XF363" s="113"/>
      <c r="XG363" s="113"/>
      <c r="XH363" s="113"/>
      <c r="XI363" s="113"/>
      <c r="XJ363" s="113"/>
      <c r="XK363" s="113"/>
      <c r="XL363" s="113"/>
      <c r="XM363" s="113"/>
      <c r="XN363" s="113"/>
      <c r="XO363" s="113"/>
      <c r="XP363" s="113"/>
      <c r="XQ363" s="113"/>
      <c r="XR363" s="113"/>
      <c r="XS363" s="113"/>
      <c r="XT363" s="113"/>
      <c r="XU363" s="113"/>
      <c r="XV363" s="113"/>
      <c r="XW363" s="113"/>
      <c r="XX363" s="113"/>
      <c r="XY363" s="113"/>
      <c r="XZ363" s="113"/>
      <c r="YA363" s="113"/>
      <c r="YB363" s="113"/>
      <c r="YC363" s="113"/>
      <c r="YD363" s="113"/>
      <c r="YE363" s="113"/>
      <c r="YF363" s="113"/>
      <c r="YG363" s="113"/>
      <c r="YH363" s="113"/>
      <c r="YI363" s="113"/>
      <c r="YJ363" s="113"/>
      <c r="YK363" s="113"/>
      <c r="YL363" s="113"/>
      <c r="YM363" s="113"/>
      <c r="YN363" s="113"/>
      <c r="YO363" s="113"/>
      <c r="YP363" s="113"/>
      <c r="YQ363" s="113"/>
      <c r="YR363" s="113"/>
      <c r="YS363" s="113"/>
      <c r="YT363" s="113"/>
      <c r="YU363" s="113"/>
      <c r="YV363" s="113"/>
      <c r="YW363" s="113"/>
      <c r="YX363" s="113"/>
      <c r="YY363" s="113"/>
      <c r="YZ363" s="113"/>
      <c r="ZA363" s="113"/>
      <c r="ZB363" s="113"/>
      <c r="ZC363" s="113"/>
      <c r="ZD363" s="113"/>
      <c r="ZE363" s="113"/>
      <c r="ZF363" s="113"/>
      <c r="ZG363" s="113"/>
      <c r="ZH363" s="113"/>
      <c r="ZI363" s="113"/>
      <c r="ZJ363" s="113"/>
      <c r="ZK363" s="113"/>
      <c r="ZL363" s="113"/>
      <c r="ZM363" s="113"/>
      <c r="ZN363" s="113"/>
      <c r="ZO363" s="113"/>
      <c r="ZP363" s="113"/>
      <c r="ZQ363" s="113"/>
      <c r="ZR363" s="113"/>
      <c r="ZS363" s="113"/>
      <c r="ZT363" s="113"/>
      <c r="ZU363" s="113"/>
      <c r="ZV363" s="113"/>
      <c r="ZW363" s="113"/>
      <c r="ZX363" s="113"/>
      <c r="ZY363" s="113"/>
      <c r="ZZ363" s="113"/>
      <c r="AAA363" s="113"/>
      <c r="AAB363" s="113"/>
      <c r="AAC363" s="113"/>
      <c r="AAD363" s="113"/>
      <c r="AAE363" s="113"/>
      <c r="AAF363" s="113"/>
      <c r="AAG363" s="113"/>
      <c r="AAH363" s="113"/>
      <c r="AAI363" s="113"/>
      <c r="AAJ363" s="113"/>
      <c r="AAK363" s="113"/>
      <c r="AAL363" s="113"/>
      <c r="AAM363" s="113"/>
      <c r="AAN363" s="113"/>
      <c r="AAO363" s="113"/>
      <c r="AAP363" s="113"/>
      <c r="AAQ363" s="113"/>
      <c r="AAR363" s="113"/>
      <c r="AAS363" s="113"/>
      <c r="AAT363" s="113"/>
      <c r="AAU363" s="113"/>
      <c r="AAV363" s="113"/>
      <c r="AAW363" s="113"/>
      <c r="AAX363" s="113"/>
      <c r="AAY363" s="113"/>
      <c r="AAZ363" s="113"/>
      <c r="ABA363" s="113"/>
      <c r="ABB363" s="113"/>
      <c r="ABC363" s="113"/>
      <c r="ABD363" s="113"/>
      <c r="ABE363" s="113"/>
      <c r="ABF363" s="113"/>
      <c r="ABG363" s="113"/>
      <c r="ABH363" s="113"/>
      <c r="ABI363" s="113"/>
      <c r="ABJ363" s="113"/>
      <c r="ABK363" s="113"/>
      <c r="ABL363" s="113"/>
      <c r="ABM363" s="113"/>
      <c r="ABN363" s="113"/>
      <c r="ABO363" s="113"/>
      <c r="ABP363" s="113"/>
      <c r="ABQ363" s="113"/>
      <c r="ABR363" s="113"/>
      <c r="ABS363" s="113"/>
      <c r="ABT363" s="113"/>
      <c r="ABU363" s="113"/>
      <c r="ABV363" s="113"/>
      <c r="ABW363" s="113"/>
      <c r="ABX363" s="113"/>
      <c r="ABY363" s="113"/>
      <c r="ABZ363" s="113"/>
      <c r="ACA363" s="113"/>
      <c r="ACB363" s="113"/>
      <c r="ACC363" s="113"/>
      <c r="ACD363" s="113"/>
      <c r="ACE363" s="113"/>
      <c r="ACF363" s="113"/>
      <c r="ACG363" s="113"/>
      <c r="ACH363" s="113"/>
      <c r="ACI363" s="113"/>
      <c r="ACJ363" s="113"/>
      <c r="ACK363" s="113"/>
      <c r="ACL363" s="113"/>
      <c r="ACM363" s="113"/>
      <c r="ACN363" s="113"/>
      <c r="ACO363" s="113"/>
      <c r="ACP363" s="113"/>
      <c r="ACQ363" s="113"/>
      <c r="ACR363" s="113"/>
      <c r="ACS363" s="113"/>
      <c r="ACT363" s="113"/>
      <c r="ACU363" s="113"/>
      <c r="ACV363" s="113"/>
      <c r="ACW363" s="113"/>
      <c r="ACX363" s="113"/>
      <c r="ACY363" s="113"/>
      <c r="ACZ363" s="113"/>
      <c r="ADA363" s="113"/>
      <c r="ADB363" s="113"/>
      <c r="ADC363" s="113"/>
      <c r="ADD363" s="113"/>
      <c r="ADE363" s="113"/>
      <c r="ADF363" s="113"/>
      <c r="ADG363" s="113"/>
      <c r="ADH363" s="113"/>
      <c r="ADI363" s="113"/>
      <c r="ADJ363" s="113"/>
      <c r="ADK363" s="113"/>
      <c r="ADL363" s="113"/>
      <c r="ADM363" s="113"/>
      <c r="ADN363" s="113"/>
      <c r="ADO363" s="113"/>
      <c r="ADP363" s="113"/>
      <c r="ADQ363" s="113"/>
      <c r="ADR363" s="113"/>
      <c r="ADS363" s="113"/>
      <c r="ADT363" s="113"/>
      <c r="ADU363" s="113"/>
      <c r="ADV363" s="113"/>
      <c r="ADW363" s="113"/>
      <c r="ADX363" s="113"/>
      <c r="ADY363" s="113"/>
      <c r="ADZ363" s="113"/>
      <c r="AEA363" s="113"/>
      <c r="AEB363" s="113"/>
      <c r="AEC363" s="113"/>
      <c r="AED363" s="113"/>
      <c r="AEE363" s="113"/>
      <c r="AEF363" s="113"/>
      <c r="AEG363" s="113"/>
      <c r="AEH363" s="113"/>
      <c r="AEI363" s="113"/>
      <c r="AEJ363" s="113"/>
      <c r="AEK363" s="113"/>
      <c r="AEL363" s="113"/>
      <c r="AEM363" s="113"/>
      <c r="AEN363" s="113"/>
      <c r="AEO363" s="113"/>
      <c r="AEP363" s="113"/>
      <c r="AEQ363" s="113"/>
      <c r="AER363" s="113"/>
      <c r="AES363" s="113"/>
      <c r="AET363" s="113"/>
      <c r="AEU363" s="113"/>
      <c r="AEV363" s="113"/>
      <c r="AEW363" s="113"/>
      <c r="AEX363" s="113"/>
      <c r="AEY363" s="113"/>
      <c r="AEZ363" s="113"/>
      <c r="AFA363" s="113"/>
      <c r="AFB363" s="113"/>
      <c r="AFC363" s="113"/>
      <c r="AFD363" s="113"/>
      <c r="AFE363" s="113"/>
      <c r="AFF363" s="113"/>
      <c r="AFG363" s="113"/>
      <c r="AFH363" s="113"/>
      <c r="AFI363" s="113"/>
      <c r="AFJ363" s="113"/>
      <c r="AFK363" s="113"/>
      <c r="AFL363" s="113"/>
      <c r="AFM363" s="113"/>
      <c r="AFN363" s="113"/>
      <c r="AFO363" s="113"/>
      <c r="AFP363" s="113"/>
      <c r="AFQ363" s="113"/>
      <c r="AFR363" s="113"/>
      <c r="AFS363" s="113"/>
      <c r="AFT363" s="113"/>
      <c r="AFU363" s="113"/>
      <c r="AFV363" s="113"/>
      <c r="AFW363" s="113"/>
      <c r="AFX363" s="113"/>
      <c r="AFY363" s="113"/>
      <c r="AFZ363" s="113"/>
      <c r="AGA363" s="113"/>
      <c r="AGB363" s="113"/>
      <c r="AGC363" s="113"/>
      <c r="AGD363" s="113"/>
      <c r="AGE363" s="113"/>
      <c r="AGF363" s="113"/>
      <c r="AGG363" s="113"/>
      <c r="AGH363" s="113"/>
      <c r="AGI363" s="113"/>
      <c r="AGJ363" s="113"/>
      <c r="AGK363" s="113"/>
      <c r="AGL363" s="113"/>
      <c r="AGM363" s="113"/>
      <c r="AGN363" s="113"/>
      <c r="AGO363" s="113"/>
      <c r="AGP363" s="113"/>
      <c r="AGQ363" s="113"/>
      <c r="AGR363" s="113"/>
      <c r="AGS363" s="113"/>
      <c r="AGT363" s="113"/>
      <c r="AGU363" s="113"/>
      <c r="AGV363" s="113"/>
      <c r="AGW363" s="113"/>
      <c r="AGX363" s="113"/>
      <c r="AGY363" s="113"/>
      <c r="AGZ363" s="113"/>
      <c r="AHA363" s="113"/>
      <c r="AHB363" s="113"/>
      <c r="AHC363" s="113"/>
      <c r="AHD363" s="113"/>
      <c r="AHE363" s="113"/>
      <c r="AHF363" s="113"/>
      <c r="AHG363" s="113"/>
      <c r="AHH363" s="113"/>
      <c r="AHI363" s="113"/>
      <c r="AHJ363" s="113"/>
      <c r="AHK363" s="113"/>
      <c r="AHL363" s="113"/>
      <c r="AHM363" s="113"/>
      <c r="AHN363" s="113"/>
      <c r="AHO363" s="113"/>
      <c r="AHP363" s="113"/>
      <c r="AHQ363" s="113"/>
      <c r="AHR363" s="113"/>
      <c r="AHS363" s="113"/>
      <c r="AHT363" s="113"/>
      <c r="AHU363" s="113"/>
      <c r="AHV363" s="113"/>
      <c r="AHW363" s="113"/>
      <c r="AHX363" s="113"/>
      <c r="AHY363" s="113"/>
      <c r="AHZ363" s="113"/>
      <c r="AIA363" s="113"/>
      <c r="AIB363" s="113"/>
      <c r="AIC363" s="113"/>
      <c r="AID363" s="113"/>
      <c r="AIE363" s="113"/>
      <c r="AIF363" s="113"/>
      <c r="AIG363" s="113"/>
      <c r="AIH363" s="113"/>
      <c r="AII363" s="113"/>
      <c r="AIJ363" s="113"/>
      <c r="AIK363" s="113"/>
      <c r="AIL363" s="113"/>
      <c r="AIM363" s="113"/>
      <c r="AIN363" s="113"/>
      <c r="AIO363" s="113"/>
      <c r="AIP363" s="113"/>
      <c r="AIQ363" s="113"/>
      <c r="AIR363" s="113"/>
      <c r="AIS363" s="113"/>
      <c r="AIT363" s="113"/>
      <c r="AIU363" s="113"/>
      <c r="AIV363" s="113"/>
      <c r="AIW363" s="113"/>
      <c r="AIX363" s="113"/>
      <c r="AIY363" s="113"/>
      <c r="AIZ363" s="113"/>
    </row>
    <row r="364">
      <c r="A364" s="65" t="s">
        <v>38</v>
      </c>
      <c r="B364" s="65" t="s">
        <v>94</v>
      </c>
      <c r="C364" s="65"/>
      <c r="D364" s="64">
        <f t="shared" si="1"/>
        <v>531.6322833</v>
      </c>
      <c r="F364" s="65">
        <v>8.25501666666667</v>
      </c>
      <c r="G364" s="65">
        <v>6.62945</v>
      </c>
      <c r="H364" s="65">
        <v>6.34488333333333</v>
      </c>
      <c r="I364" s="65">
        <v>2.00058333333333</v>
      </c>
      <c r="J364" s="65">
        <v>2.03383333333333</v>
      </c>
      <c r="K364" s="65">
        <v>4.18221666666667</v>
      </c>
      <c r="N364" s="65">
        <v>7.84075</v>
      </c>
      <c r="Q364" s="65">
        <v>12.59075</v>
      </c>
      <c r="R364" s="65">
        <v>21.16205</v>
      </c>
      <c r="S364" s="65">
        <v>10.6180833333333</v>
      </c>
      <c r="T364" s="65">
        <v>7.61086666666667</v>
      </c>
      <c r="U364" s="65">
        <v>3.06995</v>
      </c>
      <c r="X364" s="65">
        <v>17.7067666666667</v>
      </c>
      <c r="Y364" s="65">
        <v>50.3211166666667</v>
      </c>
      <c r="Z364" s="65">
        <v>9.52735</v>
      </c>
      <c r="AA364" s="65">
        <v>1.34685</v>
      </c>
      <c r="AB364" s="65">
        <v>2.16418333333333</v>
      </c>
      <c r="AE364" s="65">
        <v>17.7409666666667</v>
      </c>
      <c r="AF364" s="65">
        <v>169.947583333333</v>
      </c>
      <c r="AG364" s="65">
        <v>25.3430333333333</v>
      </c>
      <c r="AH364" s="65">
        <v>6.33006666666667</v>
      </c>
      <c r="AI364" s="65">
        <v>11.03155</v>
      </c>
      <c r="AL364" s="65">
        <v>12.4224</v>
      </c>
      <c r="AM364" s="65">
        <v>15.05695</v>
      </c>
      <c r="AN364" s="65">
        <v>15.4494666666667</v>
      </c>
      <c r="AQ364" s="65">
        <v>5.55013333333333</v>
      </c>
      <c r="AR364" s="65">
        <v>4.6623</v>
      </c>
      <c r="AU364" s="65">
        <v>74.6931333333333</v>
      </c>
    </row>
    <row r="365">
      <c r="A365" s="65" t="s">
        <v>38</v>
      </c>
      <c r="B365" s="65" t="s">
        <v>94</v>
      </c>
      <c r="C365" s="65"/>
      <c r="D365" s="64">
        <f t="shared" si="1"/>
        <v>0</v>
      </c>
    </row>
    <row r="366">
      <c r="A366" s="65" t="s">
        <v>38</v>
      </c>
      <c r="B366" s="65" t="s">
        <v>94</v>
      </c>
      <c r="C366" s="65"/>
      <c r="D366" s="64">
        <f t="shared" si="1"/>
        <v>519.9310667</v>
      </c>
      <c r="F366" s="118">
        <f>HYPERLINK("https://docs.google.com/spreadsheets/d/10Ct8mHH4o8Dns_LJhA8QTUeGeFHIaWO0", 8.04323333333334)</f>
        <v>8.043233333</v>
      </c>
      <c r="G366" s="118">
        <f>HYPERLINK("https://docs.google.com/spreadsheets/d/1DrkGqDnq3KXSx6Huek-p525sYESlf2dM", 6.62945)</f>
        <v>6.62945</v>
      </c>
      <c r="H366" s="118">
        <f>HYPERLINK("https://docs.google.com/spreadsheets/d/1_kRIOVLB7iDEMd-PNifdTdNECs-x_ffm", 6.34486666666666)</f>
        <v>6.344866667</v>
      </c>
      <c r="I366" s="118">
        <f>HYPERLINK("https://docs.google.com/spreadsheets/d/1PYuozn_Ogonk5EAYHJKZkFAfzJzhZeBu", 2.00058333333333)</f>
        <v>2.000583333</v>
      </c>
      <c r="J366" s="118">
        <f>HYPERLINK("https://docs.google.com/spreadsheets/d/12xP8o6yyx8iCfUlVAkgANrMMUTIDTo14", 1.15276666666667)</f>
        <v>1.152766667</v>
      </c>
      <c r="K366" s="118">
        <f>HYPERLINK("https://docs.google.com/spreadsheets/d/1jazM8hGiFPFMIkKXx-eO_qBiwd0Fn8Z6", 4.18221666666667)</f>
        <v>4.182216667</v>
      </c>
      <c r="N366" s="118">
        <f>HYPERLINK("https://docs.google.com/spreadsheets/d/1DRPOjHjE7VhB9NDsCJ00HeV8OAI0Q91h", 7.84073333333334)</f>
        <v>7.840733333</v>
      </c>
      <c r="Q366" s="118">
        <f>HYPERLINK("https://docs.google.com/spreadsheets/d/1-UcW6-NiPNlftY4u8-buYMNdbZdAS1Fn", 12.0120333333333)</f>
        <v>12.01203333</v>
      </c>
      <c r="R366" s="118">
        <f>HYPERLINK("https://docs.google.com/spreadsheets/d/1fMFPolkUC0dEoIduZaNzrBL69J0HIw1T", 21.1620166666667)</f>
        <v>21.16201667</v>
      </c>
      <c r="S366" s="118">
        <f>HYPERLINK("https://docs.google.com/spreadsheets/d/1Z25ZvoKzlxpiDLhhxD9hGCjuxjqBEkkG", 10.5056666666667)</f>
        <v>10.50566667</v>
      </c>
      <c r="T366" s="118">
        <f>HYPERLINK("https://docs.google.com/spreadsheets/d/16m2bWOpv_Uo_e9EOMKiqDyGAMB1VgGGu", 7.19761666666667)</f>
        <v>7.197616667</v>
      </c>
      <c r="U366" s="118">
        <f>HYPERLINK("https://docs.google.com/spreadsheets/d/1HNchK9z09p-lBYuWuDmQW9-egzEHg9Um", 3.06995)</f>
        <v>3.06995</v>
      </c>
      <c r="X366" s="118">
        <f>HYPERLINK("https://docs.google.com/spreadsheets/d/1M_3jw3AxoSHYByzIcBqRCugRxIdOvfKj", 17.70675)</f>
        <v>17.70675</v>
      </c>
      <c r="Y366" s="118">
        <f>HYPERLINK("https://docs.google.com/spreadsheets/d/1Greb2t0RxMI_2Ap0KK-ruCDC7tqKg2MC", 50.1034)</f>
        <v>50.1034</v>
      </c>
      <c r="Z366" s="118">
        <f>HYPERLINK("https://docs.google.com/spreadsheets/d/1YTidoBdcx7oxZ03y0ZtEjfawDf_fy2VW", 9.52735)</f>
        <v>9.52735</v>
      </c>
      <c r="AA366" s="118">
        <f>HYPERLINK("https://docs.google.com/spreadsheets/d/18u8147nx5JJigGCLYso7_QVCGGXjr65Z", 1.34685)</f>
        <v>1.34685</v>
      </c>
      <c r="AB366" s="118">
        <f>HYPERLINK("https://docs.google.com/spreadsheets/d/1jtGmyEZ0wV6uJ0D_5r1WsCxgVD6oPTaI", 2.16418333333333)</f>
        <v>2.164183333</v>
      </c>
      <c r="AE366" s="118">
        <f>HYPERLINK("https://docs.google.com/spreadsheets/d/1l6GmMIzuCp_mp2pNGJYMTQBGmMjhd9dg", 17.59155)</f>
        <v>17.59155</v>
      </c>
      <c r="AF366" s="118">
        <f>HYPERLINK("https://docs.google.com/spreadsheets/d/1xlMoMol1ZzlC2QCZznu0SvcAH2RkuE2H", 168.28495)</f>
        <v>168.28495</v>
      </c>
      <c r="AG366" s="118">
        <f>HYPERLINK("https://docs.google.com/spreadsheets/d/1gYGXgnWLdRHjW0FNkqUhfsDYHGPjchAX", 25.3430166666667)</f>
        <v>25.34301667</v>
      </c>
      <c r="AH366" s="118">
        <f>HYPERLINK("https://docs.google.com/spreadsheets/d/1g3FPltMZpy2jiVupAzbrTozLTaDvc8Th", 6.33006666666667)</f>
        <v>6.330066667</v>
      </c>
      <c r="AI366" s="118">
        <f>HYPERLINK("https://docs.google.com/spreadsheets/d/1tbMAg8e6ZfBx-DM5g-AscWqLDGJTFjG2", 10.6320333333333)</f>
        <v>10.63203333</v>
      </c>
      <c r="AL366" s="118">
        <f>HYPERLINK("https://docs.google.com/spreadsheets/d/1H7C462rruCzs1amBradzOcAsIQGh84Cy", 8.54298333333334)</f>
        <v>8.542983333</v>
      </c>
      <c r="AM366" s="118">
        <f>HYPERLINK("https://docs.google.com/spreadsheets/d/1uhUX5mv09Rk9Q6iO7QbmQDlYw1ylRkMm", 14.11435)</f>
        <v>14.11435</v>
      </c>
      <c r="AN366" s="118">
        <f>HYPERLINK("https://docs.google.com/spreadsheets/d/16j48qKSUKNk37DkUupIiqHBQHBMtVGx_", 15.3409666666667)</f>
        <v>15.34096667</v>
      </c>
      <c r="AQ366" s="118">
        <f>HYPERLINK("https://docs.google.com/spreadsheets/d/1IZDgeh3-3Gcem7OXKT75Naavz-lopJwq", 3.97788333333333)</f>
        <v>3.977883333</v>
      </c>
      <c r="AR366" s="118">
        <f>HYPERLINK("https://docs.google.com/spreadsheets/d/1oBipH8oHHuiUkkN0GD6KiRF7q06ZLuLb", 4.6623)</f>
        <v>4.6623</v>
      </c>
      <c r="AU366" s="118">
        <f>HYPERLINK("https://docs.google.com/spreadsheets/d/19zf9HyBVXMz1eZJ15C512Xbn1CsBirrQ", 74.1212999999999)</f>
        <v>74.1213</v>
      </c>
    </row>
    <row r="367">
      <c r="A367" s="65" t="s">
        <v>38</v>
      </c>
      <c r="B367" s="65" t="s">
        <v>94</v>
      </c>
      <c r="C367" s="65"/>
      <c r="D367" s="64">
        <f t="shared" si="1"/>
        <v>338.5932667</v>
      </c>
      <c r="F367" s="65">
        <v>5.84736666666667</v>
      </c>
      <c r="G367" s="65">
        <v>4.52616666666667</v>
      </c>
      <c r="H367" s="65">
        <v>2.60021666666667</v>
      </c>
      <c r="I367" s="65">
        <v>0.4534</v>
      </c>
      <c r="J367" s="65">
        <v>0.4135</v>
      </c>
      <c r="K367" s="65">
        <v>1.59215</v>
      </c>
      <c r="N367" s="65">
        <v>2.8443</v>
      </c>
      <c r="Q367" s="65">
        <v>9.95215</v>
      </c>
      <c r="R367" s="65">
        <v>13.2965</v>
      </c>
      <c r="S367" s="65">
        <v>1.26655</v>
      </c>
      <c r="T367" s="65">
        <v>3.16466666666667</v>
      </c>
      <c r="U367" s="65">
        <v>1.82443333333333</v>
      </c>
      <c r="X367" s="65">
        <v>11.7279833333333</v>
      </c>
      <c r="Y367" s="65">
        <v>27.35265</v>
      </c>
      <c r="Z367" s="65">
        <v>4.35611666666667</v>
      </c>
      <c r="AA367" s="65">
        <v>0.430266666666667</v>
      </c>
      <c r="AB367" s="65">
        <v>0.994283333333333</v>
      </c>
      <c r="AE367" s="65">
        <v>11.6211333333333</v>
      </c>
      <c r="AF367" s="65">
        <v>130.677433333333</v>
      </c>
      <c r="AG367" s="65">
        <v>12.6578666666667</v>
      </c>
      <c r="AH367" s="65">
        <v>3.72373333333333</v>
      </c>
      <c r="AI367" s="65">
        <v>6.59891666666667</v>
      </c>
      <c r="AL367" s="65">
        <v>4.4987</v>
      </c>
      <c r="AM367" s="65">
        <v>4.26913333333333</v>
      </c>
      <c r="AN367" s="65">
        <v>9.15333333333333</v>
      </c>
      <c r="AQ367" s="65">
        <v>3.0148</v>
      </c>
      <c r="AR367" s="65">
        <v>3.7549</v>
      </c>
      <c r="AU367" s="65">
        <v>55.9806166666667</v>
      </c>
    </row>
    <row r="368">
      <c r="A368" s="119" t="s">
        <v>38</v>
      </c>
      <c r="B368" s="119" t="s">
        <v>94</v>
      </c>
      <c r="C368" s="119"/>
      <c r="D368" s="120">
        <f t="shared" si="1"/>
        <v>0</v>
      </c>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c r="AA368" s="120"/>
      <c r="AB368" s="120"/>
      <c r="AC368" s="120"/>
      <c r="AD368" s="120"/>
      <c r="AE368" s="120"/>
      <c r="AF368" s="120"/>
      <c r="AG368" s="120"/>
      <c r="AH368" s="120"/>
      <c r="AI368" s="120"/>
      <c r="AJ368" s="120"/>
      <c r="AK368" s="120"/>
      <c r="AL368" s="120"/>
      <c r="AM368" s="120"/>
      <c r="AN368" s="120"/>
      <c r="AO368" s="120"/>
      <c r="AP368" s="120"/>
      <c r="AQ368" s="120"/>
      <c r="AR368" s="120"/>
      <c r="AS368" s="120"/>
      <c r="AT368" s="120"/>
      <c r="AU368" s="120"/>
      <c r="AV368" s="120"/>
      <c r="AW368" s="120"/>
      <c r="AX368" s="120"/>
      <c r="AY368" s="120"/>
      <c r="AZ368" s="120"/>
      <c r="BA368" s="120"/>
      <c r="BB368" s="120"/>
      <c r="BC368" s="120"/>
      <c r="BD368" s="120"/>
      <c r="BE368" s="120"/>
      <c r="BF368" s="120"/>
      <c r="BG368" s="120"/>
      <c r="BH368" s="120"/>
      <c r="BI368" s="120"/>
      <c r="BJ368" s="120"/>
      <c r="BK368" s="120"/>
      <c r="BL368" s="120"/>
      <c r="BM368" s="120"/>
      <c r="BN368" s="120"/>
      <c r="BO368" s="120"/>
      <c r="BP368" s="120"/>
      <c r="BQ368" s="120"/>
      <c r="BR368" s="120"/>
      <c r="BS368" s="120"/>
      <c r="BT368" s="120"/>
      <c r="BU368" s="120"/>
      <c r="BV368" s="120"/>
      <c r="BW368" s="120"/>
      <c r="BX368" s="120"/>
      <c r="BY368" s="120"/>
      <c r="BZ368" s="120"/>
      <c r="CA368" s="120"/>
      <c r="CB368" s="120"/>
      <c r="CC368" s="120"/>
      <c r="CD368" s="120"/>
      <c r="CE368" s="120"/>
      <c r="CF368" s="120"/>
      <c r="CG368" s="120"/>
      <c r="CH368" s="120"/>
      <c r="CI368" s="120"/>
      <c r="CJ368" s="120"/>
      <c r="CK368" s="120"/>
      <c r="CL368" s="120"/>
      <c r="CM368" s="120"/>
      <c r="CN368" s="120"/>
      <c r="CO368" s="120"/>
      <c r="CP368" s="120"/>
      <c r="CQ368" s="120"/>
      <c r="CR368" s="120"/>
      <c r="CS368" s="120"/>
      <c r="CT368" s="120"/>
      <c r="CU368" s="120"/>
      <c r="CV368" s="120"/>
      <c r="CW368" s="120"/>
      <c r="CX368" s="120"/>
      <c r="CY368" s="120"/>
      <c r="CZ368" s="120"/>
      <c r="DA368" s="120"/>
      <c r="DB368" s="120"/>
      <c r="DC368" s="120"/>
      <c r="DD368" s="120"/>
      <c r="DE368" s="120"/>
      <c r="DF368" s="120"/>
      <c r="DG368" s="120"/>
      <c r="DH368" s="120"/>
      <c r="DI368" s="120"/>
      <c r="DJ368" s="120"/>
      <c r="DK368" s="120"/>
      <c r="DL368" s="120"/>
      <c r="DM368" s="120"/>
      <c r="DN368" s="120"/>
      <c r="DO368" s="120"/>
      <c r="DP368" s="120"/>
      <c r="DQ368" s="120"/>
      <c r="DR368" s="120"/>
      <c r="DS368" s="120"/>
      <c r="DT368" s="120"/>
      <c r="DU368" s="120"/>
      <c r="DV368" s="120"/>
      <c r="DW368" s="120"/>
      <c r="DX368" s="120"/>
      <c r="DY368" s="120"/>
      <c r="DZ368" s="120"/>
      <c r="EA368" s="120"/>
      <c r="EB368" s="120"/>
      <c r="EC368" s="120"/>
      <c r="ED368" s="120"/>
      <c r="EE368" s="120"/>
      <c r="EF368" s="120"/>
      <c r="EG368" s="120"/>
      <c r="EH368" s="120"/>
      <c r="EI368" s="120"/>
      <c r="EJ368" s="120"/>
      <c r="EK368" s="120"/>
      <c r="EL368" s="120"/>
      <c r="EM368" s="120"/>
      <c r="EN368" s="120"/>
      <c r="EO368" s="120"/>
      <c r="EP368" s="120"/>
      <c r="EQ368" s="120"/>
      <c r="ER368" s="120"/>
      <c r="ES368" s="120"/>
      <c r="ET368" s="120"/>
      <c r="EU368" s="120"/>
      <c r="EV368" s="120"/>
      <c r="EW368" s="120"/>
      <c r="EX368" s="120"/>
      <c r="EY368" s="120"/>
      <c r="EZ368" s="120"/>
      <c r="FA368" s="120"/>
      <c r="FB368" s="120"/>
      <c r="FC368" s="120"/>
      <c r="FD368" s="120"/>
      <c r="FE368" s="120"/>
      <c r="FF368" s="120"/>
      <c r="FG368" s="120"/>
      <c r="FH368" s="120"/>
      <c r="FI368" s="120"/>
      <c r="FJ368" s="120"/>
      <c r="FK368" s="120"/>
      <c r="FL368" s="120"/>
      <c r="FM368" s="120"/>
      <c r="FN368" s="120"/>
      <c r="FO368" s="120"/>
      <c r="FP368" s="120"/>
      <c r="FQ368" s="120"/>
      <c r="FR368" s="120"/>
      <c r="FS368" s="120"/>
      <c r="FT368" s="120"/>
      <c r="FU368" s="120"/>
      <c r="FV368" s="120"/>
      <c r="FW368" s="120"/>
      <c r="FX368" s="120"/>
      <c r="FY368" s="120"/>
      <c r="FZ368" s="120"/>
      <c r="GA368" s="120"/>
      <c r="GB368" s="120"/>
      <c r="GC368" s="120"/>
      <c r="GD368" s="120"/>
      <c r="GE368" s="120"/>
      <c r="GF368" s="120"/>
      <c r="GG368" s="120"/>
      <c r="GH368" s="120"/>
      <c r="GI368" s="120"/>
      <c r="GJ368" s="120"/>
      <c r="GK368" s="120"/>
      <c r="GL368" s="120"/>
      <c r="GM368" s="120"/>
      <c r="GN368" s="120"/>
      <c r="GO368" s="120"/>
      <c r="GP368" s="120"/>
      <c r="GQ368" s="120"/>
      <c r="GR368" s="120"/>
      <c r="GS368" s="120"/>
      <c r="GT368" s="120"/>
      <c r="GU368" s="120"/>
      <c r="GV368" s="120"/>
      <c r="GW368" s="120"/>
      <c r="GX368" s="120"/>
      <c r="GY368" s="120"/>
      <c r="GZ368" s="120"/>
      <c r="HA368" s="120"/>
      <c r="HB368" s="120"/>
      <c r="HC368" s="120"/>
      <c r="HD368" s="120"/>
      <c r="HE368" s="120"/>
      <c r="HF368" s="120"/>
      <c r="HG368" s="120"/>
      <c r="HH368" s="120"/>
      <c r="HI368" s="120"/>
      <c r="HJ368" s="120"/>
      <c r="HK368" s="120"/>
      <c r="HL368" s="120"/>
      <c r="HM368" s="120"/>
      <c r="HN368" s="120"/>
      <c r="HO368" s="120"/>
      <c r="HP368" s="120"/>
      <c r="HQ368" s="120"/>
      <c r="HR368" s="120"/>
      <c r="HS368" s="120"/>
      <c r="HT368" s="120"/>
      <c r="HU368" s="120"/>
      <c r="HV368" s="120"/>
      <c r="HW368" s="120"/>
      <c r="HX368" s="120"/>
      <c r="HY368" s="120"/>
      <c r="HZ368" s="120"/>
      <c r="IA368" s="120"/>
      <c r="IB368" s="120"/>
      <c r="IC368" s="120"/>
      <c r="ID368" s="120"/>
      <c r="IE368" s="120"/>
      <c r="IF368" s="120"/>
      <c r="IG368" s="120"/>
      <c r="IH368" s="120"/>
      <c r="II368" s="120"/>
      <c r="IJ368" s="120"/>
      <c r="IK368" s="120"/>
      <c r="IL368" s="120"/>
      <c r="IM368" s="120"/>
      <c r="IN368" s="120"/>
      <c r="IO368" s="120"/>
      <c r="IP368" s="120"/>
      <c r="IQ368" s="120"/>
      <c r="IR368" s="120"/>
      <c r="IS368" s="120"/>
      <c r="IT368" s="120"/>
      <c r="IU368" s="120"/>
      <c r="IV368" s="120"/>
      <c r="IW368" s="120"/>
      <c r="IX368" s="120"/>
      <c r="IY368" s="120"/>
      <c r="IZ368" s="120"/>
      <c r="JA368" s="120"/>
      <c r="JB368" s="120"/>
      <c r="JC368" s="120"/>
      <c r="JD368" s="120"/>
      <c r="JE368" s="120"/>
      <c r="JF368" s="120"/>
      <c r="JG368" s="120"/>
      <c r="JH368" s="120"/>
      <c r="JI368" s="120"/>
      <c r="JJ368" s="120"/>
      <c r="JK368" s="120"/>
      <c r="JL368" s="120"/>
      <c r="JM368" s="120"/>
      <c r="JN368" s="120"/>
      <c r="JO368" s="120"/>
      <c r="JP368" s="120"/>
      <c r="JQ368" s="120"/>
      <c r="JR368" s="120"/>
      <c r="JS368" s="120"/>
      <c r="JT368" s="120"/>
      <c r="JU368" s="120"/>
      <c r="JV368" s="120"/>
      <c r="JW368" s="120"/>
      <c r="JX368" s="120"/>
      <c r="JY368" s="120"/>
      <c r="JZ368" s="120"/>
      <c r="KA368" s="120"/>
      <c r="KB368" s="120"/>
      <c r="KC368" s="120"/>
      <c r="KD368" s="120"/>
      <c r="KE368" s="120"/>
      <c r="KF368" s="120"/>
      <c r="KG368" s="120"/>
      <c r="KH368" s="120"/>
      <c r="KI368" s="120"/>
      <c r="KJ368" s="120"/>
      <c r="KK368" s="120"/>
      <c r="KL368" s="120"/>
      <c r="KM368" s="120"/>
      <c r="KN368" s="120"/>
      <c r="KO368" s="120"/>
      <c r="KP368" s="120"/>
      <c r="KQ368" s="120"/>
      <c r="KR368" s="120"/>
      <c r="KS368" s="120"/>
      <c r="KT368" s="120"/>
      <c r="KU368" s="120"/>
      <c r="KV368" s="120"/>
      <c r="KW368" s="120"/>
      <c r="KX368" s="120"/>
      <c r="KY368" s="120"/>
      <c r="KZ368" s="120"/>
      <c r="LA368" s="120"/>
      <c r="LB368" s="120"/>
      <c r="LC368" s="120"/>
      <c r="LD368" s="120"/>
      <c r="LE368" s="120"/>
      <c r="LF368" s="120"/>
      <c r="LG368" s="120"/>
      <c r="LH368" s="120"/>
      <c r="LI368" s="120"/>
      <c r="LJ368" s="120"/>
      <c r="LK368" s="120"/>
      <c r="LL368" s="120"/>
      <c r="LM368" s="120"/>
      <c r="LN368" s="120"/>
      <c r="LO368" s="120"/>
      <c r="LP368" s="120"/>
      <c r="LQ368" s="120"/>
      <c r="LR368" s="120"/>
      <c r="LS368" s="120"/>
      <c r="LT368" s="120"/>
      <c r="LU368" s="120"/>
      <c r="LV368" s="120"/>
      <c r="LW368" s="120"/>
      <c r="LX368" s="120"/>
      <c r="LY368" s="120"/>
      <c r="LZ368" s="120"/>
      <c r="MA368" s="120"/>
      <c r="MB368" s="120"/>
      <c r="MC368" s="120"/>
      <c r="MD368" s="120"/>
      <c r="ME368" s="120"/>
      <c r="MF368" s="120"/>
      <c r="MG368" s="120"/>
      <c r="MH368" s="120"/>
      <c r="MI368" s="120"/>
      <c r="MJ368" s="120"/>
      <c r="MK368" s="120"/>
      <c r="ML368" s="120"/>
      <c r="MM368" s="120"/>
      <c r="MN368" s="120"/>
      <c r="MO368" s="120"/>
      <c r="MP368" s="120"/>
      <c r="MQ368" s="120"/>
      <c r="MR368" s="120"/>
      <c r="MS368" s="120"/>
      <c r="MT368" s="120"/>
      <c r="MU368" s="120"/>
      <c r="MV368" s="120"/>
      <c r="MW368" s="120"/>
      <c r="MX368" s="120"/>
      <c r="MY368" s="120"/>
      <c r="MZ368" s="120"/>
      <c r="NA368" s="120"/>
      <c r="NB368" s="120"/>
      <c r="NC368" s="120"/>
      <c r="ND368" s="120"/>
      <c r="NE368" s="120"/>
      <c r="NF368" s="120"/>
      <c r="NG368" s="120"/>
      <c r="NH368" s="120"/>
      <c r="NI368" s="120"/>
      <c r="NJ368" s="120"/>
      <c r="NK368" s="120"/>
      <c r="NL368" s="120"/>
      <c r="NM368" s="120"/>
      <c r="NN368" s="120"/>
      <c r="NO368" s="120"/>
      <c r="NP368" s="120"/>
      <c r="NQ368" s="120"/>
      <c r="NR368" s="120"/>
      <c r="NS368" s="120"/>
      <c r="NT368" s="120"/>
      <c r="NU368" s="120"/>
      <c r="NV368" s="120"/>
      <c r="NW368" s="120"/>
      <c r="NX368" s="120"/>
      <c r="NY368" s="120"/>
      <c r="NZ368" s="120"/>
      <c r="OA368" s="120"/>
      <c r="OB368" s="120"/>
      <c r="OC368" s="120"/>
      <c r="OD368" s="120"/>
      <c r="OE368" s="120"/>
      <c r="OF368" s="120"/>
      <c r="OG368" s="120"/>
      <c r="OH368" s="120"/>
      <c r="OI368" s="120"/>
      <c r="OJ368" s="120"/>
      <c r="OK368" s="120"/>
      <c r="OL368" s="120"/>
      <c r="OM368" s="120"/>
      <c r="ON368" s="120"/>
      <c r="OO368" s="120"/>
      <c r="OP368" s="120"/>
      <c r="OQ368" s="120"/>
      <c r="OR368" s="120"/>
      <c r="OS368" s="120"/>
      <c r="OT368" s="120"/>
      <c r="OU368" s="120"/>
      <c r="OV368" s="120"/>
      <c r="OW368" s="120"/>
      <c r="OX368" s="120"/>
      <c r="OY368" s="120"/>
      <c r="OZ368" s="120"/>
      <c r="PA368" s="120"/>
      <c r="PB368" s="120"/>
      <c r="PC368" s="120"/>
      <c r="PD368" s="120"/>
      <c r="PE368" s="120"/>
      <c r="PF368" s="120"/>
      <c r="PG368" s="120"/>
      <c r="PH368" s="120"/>
      <c r="PI368" s="120"/>
      <c r="PJ368" s="120"/>
      <c r="PK368" s="120"/>
      <c r="PL368" s="120"/>
      <c r="PM368" s="120"/>
      <c r="PN368" s="120"/>
      <c r="PO368" s="120"/>
      <c r="PP368" s="120"/>
      <c r="PQ368" s="120"/>
      <c r="PR368" s="120"/>
      <c r="PS368" s="120"/>
      <c r="PT368" s="120"/>
      <c r="PU368" s="120"/>
      <c r="PV368" s="120"/>
      <c r="PW368" s="120"/>
      <c r="PX368" s="120"/>
      <c r="PY368" s="120"/>
      <c r="PZ368" s="120"/>
      <c r="QA368" s="120"/>
      <c r="QB368" s="120"/>
      <c r="QC368" s="120"/>
      <c r="QD368" s="120"/>
      <c r="QE368" s="120"/>
      <c r="QF368" s="120"/>
      <c r="QG368" s="120"/>
      <c r="QH368" s="120"/>
      <c r="QI368" s="120"/>
      <c r="QJ368" s="120"/>
      <c r="QK368" s="120"/>
      <c r="QL368" s="120"/>
      <c r="QM368" s="120"/>
      <c r="QN368" s="120"/>
      <c r="QO368" s="120"/>
      <c r="QP368" s="120"/>
      <c r="QQ368" s="120"/>
      <c r="QR368" s="120"/>
      <c r="QS368" s="120"/>
      <c r="QT368" s="120"/>
      <c r="QU368" s="120"/>
      <c r="QV368" s="120"/>
      <c r="QW368" s="120"/>
      <c r="QX368" s="120"/>
      <c r="QY368" s="120"/>
      <c r="QZ368" s="120"/>
      <c r="RA368" s="120"/>
      <c r="RB368" s="120"/>
      <c r="RC368" s="120"/>
      <c r="RD368" s="120"/>
      <c r="RE368" s="120"/>
      <c r="RF368" s="120"/>
      <c r="RG368" s="120"/>
      <c r="RH368" s="120"/>
      <c r="RI368" s="120"/>
      <c r="RJ368" s="120"/>
      <c r="RK368" s="120"/>
      <c r="RL368" s="120"/>
      <c r="RM368" s="120"/>
      <c r="RN368" s="120"/>
      <c r="RO368" s="120"/>
      <c r="RP368" s="120"/>
      <c r="RQ368" s="120"/>
      <c r="RR368" s="120"/>
      <c r="RS368" s="120"/>
      <c r="RT368" s="120"/>
      <c r="RU368" s="120"/>
      <c r="RV368" s="120"/>
      <c r="RW368" s="120"/>
      <c r="RX368" s="120"/>
      <c r="RY368" s="120"/>
      <c r="RZ368" s="120"/>
      <c r="SA368" s="120"/>
      <c r="SB368" s="120"/>
      <c r="SC368" s="120"/>
      <c r="SD368" s="120"/>
      <c r="SE368" s="120"/>
      <c r="SF368" s="120"/>
      <c r="SG368" s="120"/>
      <c r="SH368" s="120"/>
      <c r="SI368" s="120"/>
      <c r="SJ368" s="120"/>
      <c r="SK368" s="120"/>
      <c r="SL368" s="120"/>
      <c r="SM368" s="120"/>
      <c r="SN368" s="120"/>
      <c r="SO368" s="120"/>
      <c r="SP368" s="120"/>
      <c r="SQ368" s="120"/>
      <c r="SR368" s="120"/>
      <c r="SS368" s="120"/>
      <c r="ST368" s="120"/>
      <c r="SU368" s="120"/>
      <c r="SV368" s="120"/>
      <c r="SW368" s="120"/>
      <c r="SX368" s="120"/>
      <c r="SY368" s="120"/>
      <c r="SZ368" s="120"/>
      <c r="TA368" s="120"/>
      <c r="TB368" s="120"/>
      <c r="TC368" s="120"/>
      <c r="TD368" s="120"/>
      <c r="TE368" s="120"/>
      <c r="TF368" s="120"/>
      <c r="TG368" s="120"/>
      <c r="TH368" s="120"/>
      <c r="TI368" s="120"/>
      <c r="TJ368" s="120"/>
      <c r="TK368" s="120"/>
      <c r="TL368" s="120"/>
      <c r="TM368" s="120"/>
      <c r="TN368" s="120"/>
      <c r="TO368" s="120"/>
      <c r="TP368" s="120"/>
      <c r="TQ368" s="120"/>
      <c r="TR368" s="120"/>
      <c r="TS368" s="120"/>
      <c r="TT368" s="120"/>
      <c r="TU368" s="120"/>
      <c r="TV368" s="120"/>
      <c r="TW368" s="120"/>
      <c r="TX368" s="120"/>
      <c r="TY368" s="120"/>
      <c r="TZ368" s="120"/>
      <c r="UA368" s="120"/>
      <c r="UB368" s="120"/>
      <c r="UC368" s="120"/>
      <c r="UD368" s="120"/>
      <c r="UE368" s="120"/>
      <c r="UF368" s="120"/>
      <c r="UG368" s="120"/>
      <c r="UH368" s="120"/>
      <c r="UI368" s="120"/>
      <c r="UJ368" s="120"/>
      <c r="UK368" s="120"/>
      <c r="UL368" s="120"/>
      <c r="UM368" s="120"/>
      <c r="UN368" s="120"/>
      <c r="UO368" s="120"/>
      <c r="UP368" s="120"/>
      <c r="UQ368" s="120"/>
      <c r="UR368" s="120"/>
      <c r="US368" s="120"/>
      <c r="UT368" s="120"/>
      <c r="UU368" s="120"/>
      <c r="UV368" s="120"/>
      <c r="UW368" s="120"/>
      <c r="UX368" s="120"/>
      <c r="UY368" s="120"/>
      <c r="UZ368" s="120"/>
      <c r="VA368" s="120"/>
      <c r="VB368" s="120"/>
      <c r="VC368" s="120"/>
      <c r="VD368" s="120"/>
      <c r="VE368" s="120"/>
      <c r="VF368" s="120"/>
      <c r="VG368" s="120"/>
      <c r="VH368" s="120"/>
      <c r="VI368" s="120"/>
      <c r="VJ368" s="120"/>
      <c r="VK368" s="120"/>
      <c r="VL368" s="120"/>
      <c r="VM368" s="120"/>
      <c r="VN368" s="120"/>
      <c r="VO368" s="120"/>
      <c r="VP368" s="120"/>
      <c r="VQ368" s="120"/>
      <c r="VR368" s="120"/>
      <c r="VS368" s="120"/>
      <c r="VT368" s="120"/>
      <c r="VU368" s="120"/>
      <c r="VV368" s="120"/>
      <c r="VW368" s="120"/>
      <c r="VX368" s="120"/>
      <c r="VY368" s="120"/>
      <c r="VZ368" s="120"/>
      <c r="WA368" s="120"/>
      <c r="WB368" s="120"/>
      <c r="WC368" s="120"/>
      <c r="WD368" s="120"/>
      <c r="WE368" s="120"/>
      <c r="WF368" s="120"/>
      <c r="WG368" s="120"/>
      <c r="WH368" s="120"/>
      <c r="WI368" s="120"/>
      <c r="WJ368" s="120"/>
      <c r="WK368" s="120"/>
      <c r="WL368" s="120"/>
      <c r="WM368" s="120"/>
      <c r="WN368" s="120"/>
      <c r="WO368" s="120"/>
      <c r="WP368" s="120"/>
      <c r="WQ368" s="120"/>
      <c r="WR368" s="120"/>
      <c r="WS368" s="120"/>
      <c r="WT368" s="120"/>
      <c r="WU368" s="120"/>
      <c r="WV368" s="120"/>
      <c r="WW368" s="120"/>
      <c r="WX368" s="120"/>
      <c r="WY368" s="120"/>
      <c r="WZ368" s="120"/>
      <c r="XA368" s="120"/>
      <c r="XB368" s="120"/>
      <c r="XC368" s="120"/>
      <c r="XD368" s="120"/>
      <c r="XE368" s="120"/>
      <c r="XF368" s="120"/>
      <c r="XG368" s="120"/>
      <c r="XH368" s="120"/>
      <c r="XI368" s="120"/>
      <c r="XJ368" s="120"/>
      <c r="XK368" s="120"/>
      <c r="XL368" s="120"/>
      <c r="XM368" s="120"/>
      <c r="XN368" s="120"/>
      <c r="XO368" s="120"/>
      <c r="XP368" s="120"/>
      <c r="XQ368" s="120"/>
      <c r="XR368" s="120"/>
      <c r="XS368" s="120"/>
      <c r="XT368" s="120"/>
      <c r="XU368" s="120"/>
      <c r="XV368" s="120"/>
      <c r="XW368" s="120"/>
      <c r="XX368" s="120"/>
      <c r="XY368" s="120"/>
      <c r="XZ368" s="120"/>
      <c r="YA368" s="120"/>
      <c r="YB368" s="120"/>
      <c r="YC368" s="120"/>
      <c r="YD368" s="120"/>
      <c r="YE368" s="120"/>
      <c r="YF368" s="120"/>
      <c r="YG368" s="120"/>
      <c r="YH368" s="120"/>
      <c r="YI368" s="120"/>
      <c r="YJ368" s="120"/>
      <c r="YK368" s="120"/>
      <c r="YL368" s="120"/>
      <c r="YM368" s="120"/>
      <c r="YN368" s="120"/>
      <c r="YO368" s="120"/>
      <c r="YP368" s="120"/>
      <c r="YQ368" s="120"/>
      <c r="YR368" s="120"/>
      <c r="YS368" s="120"/>
      <c r="YT368" s="120"/>
      <c r="YU368" s="120"/>
      <c r="YV368" s="120"/>
      <c r="YW368" s="120"/>
      <c r="YX368" s="120"/>
      <c r="YY368" s="120"/>
      <c r="YZ368" s="120"/>
      <c r="ZA368" s="120"/>
      <c r="ZB368" s="120"/>
      <c r="ZC368" s="120"/>
      <c r="ZD368" s="120"/>
      <c r="ZE368" s="120"/>
      <c r="ZF368" s="120"/>
      <c r="ZG368" s="120"/>
      <c r="ZH368" s="120"/>
      <c r="ZI368" s="120"/>
      <c r="ZJ368" s="120"/>
      <c r="ZK368" s="120"/>
      <c r="ZL368" s="120"/>
      <c r="ZM368" s="120"/>
      <c r="ZN368" s="120"/>
      <c r="ZO368" s="120"/>
      <c r="ZP368" s="120"/>
      <c r="ZQ368" s="120"/>
      <c r="ZR368" s="120"/>
      <c r="ZS368" s="120"/>
      <c r="ZT368" s="120"/>
      <c r="ZU368" s="120"/>
      <c r="ZV368" s="120"/>
      <c r="ZW368" s="120"/>
      <c r="ZX368" s="120"/>
      <c r="ZY368" s="120"/>
      <c r="ZZ368" s="120"/>
      <c r="AAA368" s="120"/>
      <c r="AAB368" s="120"/>
      <c r="AAC368" s="120"/>
      <c r="AAD368" s="120"/>
      <c r="AAE368" s="120"/>
      <c r="AAF368" s="120"/>
      <c r="AAG368" s="120"/>
      <c r="AAH368" s="120"/>
      <c r="AAI368" s="120"/>
      <c r="AAJ368" s="120"/>
      <c r="AAK368" s="120"/>
      <c r="AAL368" s="120"/>
      <c r="AAM368" s="120"/>
      <c r="AAN368" s="120"/>
      <c r="AAO368" s="120"/>
      <c r="AAP368" s="120"/>
      <c r="AAQ368" s="120"/>
      <c r="AAR368" s="120"/>
      <c r="AAS368" s="120"/>
      <c r="AAT368" s="120"/>
      <c r="AAU368" s="120"/>
      <c r="AAV368" s="120"/>
      <c r="AAW368" s="120"/>
      <c r="AAX368" s="120"/>
      <c r="AAY368" s="120"/>
      <c r="AAZ368" s="120"/>
      <c r="ABA368" s="120"/>
      <c r="ABB368" s="120"/>
      <c r="ABC368" s="120"/>
      <c r="ABD368" s="120"/>
      <c r="ABE368" s="120"/>
      <c r="ABF368" s="120"/>
      <c r="ABG368" s="120"/>
      <c r="ABH368" s="120"/>
      <c r="ABI368" s="120"/>
      <c r="ABJ368" s="120"/>
      <c r="ABK368" s="120"/>
      <c r="ABL368" s="120"/>
      <c r="ABM368" s="120"/>
      <c r="ABN368" s="120"/>
      <c r="ABO368" s="120"/>
      <c r="ABP368" s="120"/>
      <c r="ABQ368" s="120"/>
      <c r="ABR368" s="120"/>
      <c r="ABS368" s="120"/>
      <c r="ABT368" s="120"/>
      <c r="ABU368" s="120"/>
      <c r="ABV368" s="120"/>
      <c r="ABW368" s="120"/>
      <c r="ABX368" s="120"/>
      <c r="ABY368" s="120"/>
      <c r="ABZ368" s="120"/>
      <c r="ACA368" s="120"/>
      <c r="ACB368" s="120"/>
      <c r="ACC368" s="120"/>
      <c r="ACD368" s="120"/>
      <c r="ACE368" s="120"/>
      <c r="ACF368" s="120"/>
      <c r="ACG368" s="120"/>
      <c r="ACH368" s="120"/>
      <c r="ACI368" s="120"/>
      <c r="ACJ368" s="120"/>
      <c r="ACK368" s="120"/>
      <c r="ACL368" s="120"/>
      <c r="ACM368" s="120"/>
      <c r="ACN368" s="120"/>
      <c r="ACO368" s="120"/>
      <c r="ACP368" s="120"/>
      <c r="ACQ368" s="120"/>
      <c r="ACR368" s="120"/>
      <c r="ACS368" s="120"/>
      <c r="ACT368" s="120"/>
      <c r="ACU368" s="120"/>
      <c r="ACV368" s="120"/>
      <c r="ACW368" s="120"/>
      <c r="ACX368" s="120"/>
      <c r="ACY368" s="120"/>
      <c r="ACZ368" s="120"/>
      <c r="ADA368" s="120"/>
      <c r="ADB368" s="120"/>
      <c r="ADC368" s="120"/>
      <c r="ADD368" s="120"/>
      <c r="ADE368" s="120"/>
      <c r="ADF368" s="120"/>
      <c r="ADG368" s="120"/>
      <c r="ADH368" s="120"/>
      <c r="ADI368" s="120"/>
      <c r="ADJ368" s="120"/>
      <c r="ADK368" s="120"/>
      <c r="ADL368" s="120"/>
      <c r="ADM368" s="120"/>
      <c r="ADN368" s="120"/>
      <c r="ADO368" s="120"/>
      <c r="ADP368" s="120"/>
      <c r="ADQ368" s="120"/>
      <c r="ADR368" s="120"/>
      <c r="ADS368" s="120"/>
      <c r="ADT368" s="120"/>
      <c r="ADU368" s="120"/>
      <c r="ADV368" s="120"/>
      <c r="ADW368" s="120"/>
      <c r="ADX368" s="120"/>
      <c r="ADY368" s="120"/>
      <c r="ADZ368" s="120"/>
      <c r="AEA368" s="120"/>
      <c r="AEB368" s="120"/>
      <c r="AEC368" s="120"/>
      <c r="AED368" s="120"/>
      <c r="AEE368" s="120"/>
      <c r="AEF368" s="120"/>
      <c r="AEG368" s="120"/>
      <c r="AEH368" s="120"/>
      <c r="AEI368" s="120"/>
      <c r="AEJ368" s="120"/>
      <c r="AEK368" s="120"/>
      <c r="AEL368" s="120"/>
      <c r="AEM368" s="120"/>
      <c r="AEN368" s="120"/>
      <c r="AEO368" s="120"/>
      <c r="AEP368" s="120"/>
      <c r="AEQ368" s="120"/>
      <c r="AER368" s="120"/>
      <c r="AES368" s="120"/>
      <c r="AET368" s="120"/>
      <c r="AEU368" s="120"/>
      <c r="AEV368" s="120"/>
      <c r="AEW368" s="120"/>
      <c r="AEX368" s="120"/>
      <c r="AEY368" s="120"/>
      <c r="AEZ368" s="120"/>
      <c r="AFA368" s="120"/>
      <c r="AFB368" s="120"/>
      <c r="AFC368" s="120"/>
      <c r="AFD368" s="120"/>
      <c r="AFE368" s="120"/>
      <c r="AFF368" s="120"/>
      <c r="AFG368" s="120"/>
      <c r="AFH368" s="120"/>
      <c r="AFI368" s="120"/>
      <c r="AFJ368" s="120"/>
      <c r="AFK368" s="120"/>
      <c r="AFL368" s="120"/>
      <c r="AFM368" s="120"/>
      <c r="AFN368" s="120"/>
      <c r="AFO368" s="120"/>
      <c r="AFP368" s="120"/>
      <c r="AFQ368" s="120"/>
      <c r="AFR368" s="120"/>
      <c r="AFS368" s="120"/>
      <c r="AFT368" s="120"/>
      <c r="AFU368" s="120"/>
      <c r="AFV368" s="120"/>
      <c r="AFW368" s="120"/>
      <c r="AFX368" s="120"/>
      <c r="AFY368" s="120"/>
      <c r="AFZ368" s="120"/>
      <c r="AGA368" s="120"/>
      <c r="AGB368" s="120"/>
      <c r="AGC368" s="120"/>
      <c r="AGD368" s="120"/>
      <c r="AGE368" s="120"/>
      <c r="AGF368" s="120"/>
      <c r="AGG368" s="120"/>
      <c r="AGH368" s="120"/>
      <c r="AGI368" s="120"/>
      <c r="AGJ368" s="120"/>
      <c r="AGK368" s="120"/>
      <c r="AGL368" s="120"/>
      <c r="AGM368" s="120"/>
      <c r="AGN368" s="120"/>
      <c r="AGO368" s="120"/>
      <c r="AGP368" s="120"/>
      <c r="AGQ368" s="120"/>
      <c r="AGR368" s="120"/>
      <c r="AGS368" s="120"/>
      <c r="AGT368" s="120"/>
      <c r="AGU368" s="120"/>
      <c r="AGV368" s="120"/>
      <c r="AGW368" s="120"/>
      <c r="AGX368" s="120"/>
      <c r="AGY368" s="120"/>
      <c r="AGZ368" s="120"/>
      <c r="AHA368" s="120"/>
      <c r="AHB368" s="120"/>
      <c r="AHC368" s="120"/>
      <c r="AHD368" s="120"/>
      <c r="AHE368" s="120"/>
      <c r="AHF368" s="120"/>
      <c r="AHG368" s="120"/>
      <c r="AHH368" s="120"/>
      <c r="AHI368" s="120"/>
      <c r="AHJ368" s="120"/>
      <c r="AHK368" s="120"/>
      <c r="AHL368" s="120"/>
      <c r="AHM368" s="120"/>
      <c r="AHN368" s="120"/>
      <c r="AHO368" s="120"/>
      <c r="AHP368" s="120"/>
      <c r="AHQ368" s="120"/>
      <c r="AHR368" s="120"/>
      <c r="AHS368" s="120"/>
      <c r="AHT368" s="120"/>
      <c r="AHU368" s="120"/>
      <c r="AHV368" s="120"/>
      <c r="AHW368" s="120"/>
      <c r="AHX368" s="120"/>
      <c r="AHY368" s="120"/>
      <c r="AHZ368" s="120"/>
      <c r="AIA368" s="120"/>
      <c r="AIB368" s="120"/>
      <c r="AIC368" s="120"/>
      <c r="AID368" s="120"/>
      <c r="AIE368" s="120"/>
      <c r="AIF368" s="120"/>
      <c r="AIG368" s="120"/>
      <c r="AIH368" s="120"/>
      <c r="AII368" s="120"/>
      <c r="AIJ368" s="120"/>
      <c r="AIK368" s="120"/>
      <c r="AIL368" s="120"/>
      <c r="AIM368" s="120"/>
      <c r="AIN368" s="120"/>
      <c r="AIO368" s="120"/>
      <c r="AIP368" s="120"/>
      <c r="AIQ368" s="120"/>
      <c r="AIR368" s="120"/>
      <c r="AIS368" s="120"/>
      <c r="AIT368" s="120"/>
      <c r="AIU368" s="120"/>
      <c r="AIV368" s="120"/>
      <c r="AIW368" s="120"/>
      <c r="AIX368" s="120"/>
      <c r="AIY368" s="120"/>
      <c r="AIZ368" s="120"/>
    </row>
    <row r="369">
      <c r="A369" s="112" t="s">
        <v>38</v>
      </c>
      <c r="B369" s="112" t="s">
        <v>95</v>
      </c>
      <c r="C369" s="112"/>
      <c r="D369" s="113">
        <f t="shared" si="1"/>
        <v>570.30115</v>
      </c>
      <c r="E369" s="112">
        <v>84.3564833333333</v>
      </c>
      <c r="F369" s="113"/>
      <c r="G369" s="113"/>
      <c r="H369" s="113"/>
      <c r="I369" s="113"/>
      <c r="J369" s="113"/>
      <c r="K369" s="113"/>
      <c r="L369" s="112">
        <v>1.92091666666667</v>
      </c>
      <c r="M369" s="112">
        <v>7.9234</v>
      </c>
      <c r="N369" s="113"/>
      <c r="O369" s="113"/>
      <c r="P369" s="112">
        <v>142.501816666667</v>
      </c>
      <c r="Q369" s="113"/>
      <c r="R369" s="113"/>
      <c r="S369" s="113"/>
      <c r="T369" s="113"/>
      <c r="U369" s="113"/>
      <c r="V369" s="112">
        <v>4.46241666666667</v>
      </c>
      <c r="W369" s="112">
        <v>69.0120666666667</v>
      </c>
      <c r="X369" s="113"/>
      <c r="Y369" s="113"/>
      <c r="Z369" s="113"/>
      <c r="AA369" s="113"/>
      <c r="AB369" s="113"/>
      <c r="AC369" s="112">
        <v>3.22503333333333</v>
      </c>
      <c r="AD369" s="112">
        <v>82.7117333333333</v>
      </c>
      <c r="AE369" s="113"/>
      <c r="AF369" s="113"/>
      <c r="AG369" s="113"/>
      <c r="AH369" s="113"/>
      <c r="AI369" s="113"/>
      <c r="AJ369" s="112">
        <v>1.43915</v>
      </c>
      <c r="AK369" s="112">
        <v>112.28615</v>
      </c>
      <c r="AL369" s="113"/>
      <c r="AM369" s="113"/>
      <c r="AN369" s="113"/>
      <c r="AO369" s="112">
        <v>5.8912</v>
      </c>
      <c r="AP369" s="112">
        <v>8.83865</v>
      </c>
      <c r="AQ369" s="113"/>
      <c r="AR369" s="113"/>
      <c r="AS369" s="112">
        <v>4.30275</v>
      </c>
      <c r="AT369" s="112">
        <v>38.9116833333333</v>
      </c>
      <c r="AU369" s="113"/>
      <c r="AV369" s="112">
        <v>1.74058333333333</v>
      </c>
      <c r="AW369" s="112">
        <v>0.777116666666667</v>
      </c>
      <c r="AX369" s="113"/>
      <c r="AY369" s="113"/>
      <c r="AZ369" s="113"/>
      <c r="BA369" s="113"/>
      <c r="BB369" s="113"/>
      <c r="BC369" s="113"/>
      <c r="BD369" s="113"/>
      <c r="BE369" s="113"/>
      <c r="BF369" s="113"/>
      <c r="BG369" s="113"/>
      <c r="BH369" s="113"/>
      <c r="BI369" s="113"/>
      <c r="BJ369" s="113"/>
      <c r="BK369" s="113"/>
      <c r="BL369" s="113"/>
      <c r="BM369" s="113"/>
      <c r="BN369" s="113"/>
      <c r="BO369" s="113"/>
      <c r="BP369" s="113"/>
      <c r="BQ369" s="113"/>
      <c r="BR369" s="113"/>
      <c r="BS369" s="113"/>
      <c r="BT369" s="113"/>
      <c r="BU369" s="113"/>
      <c r="BV369" s="113"/>
      <c r="BW369" s="113"/>
      <c r="BX369" s="113"/>
      <c r="BY369" s="113"/>
      <c r="BZ369" s="113"/>
      <c r="CA369" s="113"/>
      <c r="CB369" s="113"/>
      <c r="CC369" s="113"/>
      <c r="CD369" s="113"/>
      <c r="CE369" s="113"/>
      <c r="CF369" s="113"/>
      <c r="CG369" s="113"/>
      <c r="CH369" s="113"/>
      <c r="CI369" s="113"/>
      <c r="CJ369" s="113"/>
      <c r="CK369" s="113"/>
      <c r="CL369" s="113"/>
      <c r="CM369" s="113"/>
      <c r="CN369" s="113"/>
      <c r="CO369" s="113"/>
      <c r="CP369" s="113"/>
      <c r="CQ369" s="113"/>
      <c r="CR369" s="113"/>
      <c r="CS369" s="113"/>
      <c r="CT369" s="113"/>
      <c r="CU369" s="113"/>
      <c r="CV369" s="113"/>
      <c r="CW369" s="113"/>
      <c r="CX369" s="113"/>
      <c r="CY369" s="113"/>
      <c r="CZ369" s="113"/>
      <c r="DA369" s="113"/>
      <c r="DB369" s="113"/>
      <c r="DC369" s="113"/>
      <c r="DD369" s="113"/>
      <c r="DE369" s="113"/>
      <c r="DF369" s="113"/>
      <c r="DG369" s="113"/>
      <c r="DH369" s="113"/>
      <c r="DI369" s="113"/>
      <c r="DJ369" s="113"/>
      <c r="DK369" s="113"/>
      <c r="DL369" s="113"/>
      <c r="DM369" s="113"/>
      <c r="DN369" s="113"/>
      <c r="DO369" s="113"/>
      <c r="DP369" s="113"/>
      <c r="DQ369" s="113"/>
      <c r="DR369" s="113"/>
      <c r="DS369" s="113"/>
      <c r="DT369" s="113"/>
      <c r="DU369" s="113"/>
      <c r="DV369" s="113"/>
      <c r="DW369" s="113"/>
      <c r="DX369" s="113"/>
      <c r="DY369" s="113"/>
      <c r="DZ369" s="113"/>
      <c r="EA369" s="113"/>
      <c r="EB369" s="113"/>
      <c r="EC369" s="113"/>
      <c r="ED369" s="113"/>
      <c r="EE369" s="113"/>
      <c r="EF369" s="113"/>
      <c r="EG369" s="113"/>
      <c r="EH369" s="113"/>
      <c r="EI369" s="113"/>
      <c r="EJ369" s="113"/>
      <c r="EK369" s="113"/>
      <c r="EL369" s="113"/>
      <c r="EM369" s="113"/>
      <c r="EN369" s="113"/>
      <c r="EO369" s="113"/>
      <c r="EP369" s="113"/>
      <c r="EQ369" s="113"/>
      <c r="ER369" s="113"/>
      <c r="ES369" s="113"/>
      <c r="ET369" s="113"/>
      <c r="EU369" s="113"/>
      <c r="EV369" s="113"/>
      <c r="EW369" s="113"/>
      <c r="EX369" s="113"/>
      <c r="EY369" s="113"/>
      <c r="EZ369" s="113"/>
      <c r="FA369" s="113"/>
      <c r="FB369" s="113"/>
      <c r="FC369" s="113"/>
      <c r="FD369" s="113"/>
      <c r="FE369" s="113"/>
      <c r="FF369" s="113"/>
      <c r="FG369" s="113"/>
      <c r="FH369" s="113"/>
      <c r="FI369" s="113"/>
      <c r="FJ369" s="113"/>
      <c r="FK369" s="113"/>
      <c r="FL369" s="113"/>
      <c r="FM369" s="113"/>
      <c r="FN369" s="113"/>
      <c r="FO369" s="113"/>
      <c r="FP369" s="113"/>
      <c r="FQ369" s="113"/>
      <c r="FR369" s="113"/>
      <c r="FS369" s="113"/>
      <c r="FT369" s="113"/>
      <c r="FU369" s="113"/>
      <c r="FV369" s="113"/>
      <c r="FW369" s="113"/>
      <c r="FX369" s="113"/>
      <c r="FY369" s="113"/>
      <c r="FZ369" s="113"/>
      <c r="GA369" s="113"/>
      <c r="GB369" s="113"/>
      <c r="GC369" s="113"/>
      <c r="GD369" s="113"/>
      <c r="GE369" s="113"/>
      <c r="GF369" s="113"/>
      <c r="GG369" s="113"/>
      <c r="GH369" s="113"/>
      <c r="GI369" s="113"/>
      <c r="GJ369" s="113"/>
      <c r="GK369" s="113"/>
      <c r="GL369" s="113"/>
      <c r="GM369" s="113"/>
      <c r="GN369" s="113"/>
      <c r="GO369" s="113"/>
      <c r="GP369" s="113"/>
      <c r="GQ369" s="113"/>
      <c r="GR369" s="113"/>
      <c r="GS369" s="113"/>
      <c r="GT369" s="113"/>
      <c r="GU369" s="113"/>
      <c r="GV369" s="113"/>
      <c r="GW369" s="113"/>
      <c r="GX369" s="113"/>
      <c r="GY369" s="113"/>
      <c r="GZ369" s="113"/>
      <c r="HA369" s="113"/>
      <c r="HB369" s="113"/>
      <c r="HC369" s="113"/>
      <c r="HD369" s="113"/>
      <c r="HE369" s="113"/>
      <c r="HF369" s="113"/>
      <c r="HG369" s="113"/>
      <c r="HH369" s="113"/>
      <c r="HI369" s="113"/>
      <c r="HJ369" s="113"/>
      <c r="HK369" s="113"/>
      <c r="HL369" s="113"/>
      <c r="HM369" s="113"/>
      <c r="HN369" s="113"/>
      <c r="HO369" s="113"/>
      <c r="HP369" s="113"/>
      <c r="HQ369" s="113"/>
      <c r="HR369" s="113"/>
      <c r="HS369" s="113"/>
      <c r="HT369" s="113"/>
      <c r="HU369" s="113"/>
      <c r="HV369" s="113"/>
      <c r="HW369" s="113"/>
      <c r="HX369" s="113"/>
      <c r="HY369" s="113"/>
      <c r="HZ369" s="113"/>
      <c r="IA369" s="113"/>
      <c r="IB369" s="113"/>
      <c r="IC369" s="113"/>
      <c r="ID369" s="113"/>
      <c r="IE369" s="113"/>
      <c r="IF369" s="113"/>
      <c r="IG369" s="113"/>
      <c r="IH369" s="113"/>
      <c r="II369" s="113"/>
      <c r="IJ369" s="113"/>
      <c r="IK369" s="113"/>
      <c r="IL369" s="113"/>
      <c r="IM369" s="113"/>
      <c r="IN369" s="113"/>
      <c r="IO369" s="113"/>
      <c r="IP369" s="113"/>
      <c r="IQ369" s="113"/>
      <c r="IR369" s="113"/>
      <c r="IS369" s="113"/>
      <c r="IT369" s="113"/>
      <c r="IU369" s="113"/>
      <c r="IV369" s="113"/>
      <c r="IW369" s="113"/>
      <c r="IX369" s="113"/>
      <c r="IY369" s="113"/>
      <c r="IZ369" s="113"/>
      <c r="JA369" s="113"/>
      <c r="JB369" s="113"/>
      <c r="JC369" s="113"/>
      <c r="JD369" s="113"/>
      <c r="JE369" s="113"/>
      <c r="JF369" s="113"/>
      <c r="JG369" s="113"/>
      <c r="JH369" s="113"/>
      <c r="JI369" s="113"/>
      <c r="JJ369" s="113"/>
      <c r="JK369" s="113"/>
      <c r="JL369" s="113"/>
      <c r="JM369" s="113"/>
      <c r="JN369" s="113"/>
      <c r="JO369" s="113"/>
      <c r="JP369" s="113"/>
      <c r="JQ369" s="113"/>
      <c r="JR369" s="113"/>
      <c r="JS369" s="113"/>
      <c r="JT369" s="113"/>
      <c r="JU369" s="113"/>
      <c r="JV369" s="113"/>
      <c r="JW369" s="113"/>
      <c r="JX369" s="113"/>
      <c r="JY369" s="113"/>
      <c r="JZ369" s="113"/>
      <c r="KA369" s="113"/>
      <c r="KB369" s="113"/>
      <c r="KC369" s="113"/>
      <c r="KD369" s="113"/>
      <c r="KE369" s="113"/>
      <c r="KF369" s="113"/>
      <c r="KG369" s="113"/>
      <c r="KH369" s="113"/>
      <c r="KI369" s="113"/>
      <c r="KJ369" s="113"/>
      <c r="KK369" s="113"/>
      <c r="KL369" s="113"/>
      <c r="KM369" s="113"/>
      <c r="KN369" s="113"/>
      <c r="KO369" s="113"/>
      <c r="KP369" s="113"/>
      <c r="KQ369" s="113"/>
      <c r="KR369" s="113"/>
      <c r="KS369" s="113"/>
      <c r="KT369" s="113"/>
      <c r="KU369" s="113"/>
      <c r="KV369" s="113"/>
      <c r="KW369" s="113"/>
      <c r="KX369" s="113"/>
      <c r="KY369" s="113"/>
      <c r="KZ369" s="113"/>
      <c r="LA369" s="113"/>
      <c r="LB369" s="113"/>
      <c r="LC369" s="113"/>
      <c r="LD369" s="113"/>
      <c r="LE369" s="113"/>
      <c r="LF369" s="113"/>
      <c r="LG369" s="113"/>
      <c r="LH369" s="113"/>
      <c r="LI369" s="113"/>
      <c r="LJ369" s="113"/>
      <c r="LK369" s="113"/>
      <c r="LL369" s="113"/>
      <c r="LM369" s="113"/>
      <c r="LN369" s="113"/>
      <c r="LO369" s="113"/>
      <c r="LP369" s="113"/>
      <c r="LQ369" s="113"/>
      <c r="LR369" s="113"/>
      <c r="LS369" s="113"/>
      <c r="LT369" s="113"/>
      <c r="LU369" s="113"/>
      <c r="LV369" s="113"/>
      <c r="LW369" s="113"/>
      <c r="LX369" s="113"/>
      <c r="LY369" s="113"/>
      <c r="LZ369" s="113"/>
      <c r="MA369" s="113"/>
      <c r="MB369" s="113"/>
      <c r="MC369" s="113"/>
      <c r="MD369" s="113"/>
      <c r="ME369" s="113"/>
      <c r="MF369" s="113"/>
      <c r="MG369" s="113"/>
      <c r="MH369" s="113"/>
      <c r="MI369" s="113"/>
      <c r="MJ369" s="113"/>
      <c r="MK369" s="113"/>
      <c r="ML369" s="113"/>
      <c r="MM369" s="113"/>
      <c r="MN369" s="113"/>
      <c r="MO369" s="113"/>
      <c r="MP369" s="113"/>
      <c r="MQ369" s="113"/>
      <c r="MR369" s="113"/>
      <c r="MS369" s="113"/>
      <c r="MT369" s="113"/>
      <c r="MU369" s="113"/>
      <c r="MV369" s="113"/>
      <c r="MW369" s="113"/>
      <c r="MX369" s="113"/>
      <c r="MY369" s="113"/>
      <c r="MZ369" s="113"/>
      <c r="NA369" s="113"/>
      <c r="NB369" s="113"/>
      <c r="NC369" s="113"/>
      <c r="ND369" s="113"/>
      <c r="NE369" s="113"/>
      <c r="NF369" s="113"/>
      <c r="NG369" s="113"/>
      <c r="NH369" s="113"/>
      <c r="NI369" s="113"/>
      <c r="NJ369" s="113"/>
      <c r="NK369" s="113"/>
      <c r="NL369" s="113"/>
      <c r="NM369" s="113"/>
      <c r="NN369" s="113"/>
      <c r="NO369" s="113"/>
      <c r="NP369" s="113"/>
      <c r="NQ369" s="113"/>
      <c r="NR369" s="113"/>
      <c r="NS369" s="113"/>
      <c r="NT369" s="113"/>
      <c r="NU369" s="113"/>
      <c r="NV369" s="113"/>
      <c r="NW369" s="113"/>
      <c r="NX369" s="113"/>
      <c r="NY369" s="113"/>
      <c r="NZ369" s="113"/>
      <c r="OA369" s="113"/>
      <c r="OB369" s="113"/>
      <c r="OC369" s="113"/>
      <c r="OD369" s="113"/>
      <c r="OE369" s="113"/>
      <c r="OF369" s="113"/>
      <c r="OG369" s="113"/>
      <c r="OH369" s="113"/>
      <c r="OI369" s="113"/>
      <c r="OJ369" s="113"/>
      <c r="OK369" s="113"/>
      <c r="OL369" s="113"/>
      <c r="OM369" s="113"/>
      <c r="ON369" s="113"/>
      <c r="OO369" s="113"/>
      <c r="OP369" s="113"/>
      <c r="OQ369" s="113"/>
      <c r="OR369" s="113"/>
      <c r="OS369" s="113"/>
      <c r="OT369" s="113"/>
      <c r="OU369" s="113"/>
      <c r="OV369" s="113"/>
      <c r="OW369" s="113"/>
      <c r="OX369" s="113"/>
      <c r="OY369" s="113"/>
      <c r="OZ369" s="113"/>
      <c r="PA369" s="113"/>
      <c r="PB369" s="113"/>
      <c r="PC369" s="113"/>
      <c r="PD369" s="113"/>
      <c r="PE369" s="113"/>
      <c r="PF369" s="113"/>
      <c r="PG369" s="113"/>
      <c r="PH369" s="113"/>
      <c r="PI369" s="113"/>
      <c r="PJ369" s="113"/>
      <c r="PK369" s="113"/>
      <c r="PL369" s="113"/>
      <c r="PM369" s="113"/>
      <c r="PN369" s="113"/>
      <c r="PO369" s="113"/>
      <c r="PP369" s="113"/>
      <c r="PQ369" s="113"/>
      <c r="PR369" s="113"/>
      <c r="PS369" s="113"/>
      <c r="PT369" s="113"/>
      <c r="PU369" s="113"/>
      <c r="PV369" s="113"/>
      <c r="PW369" s="113"/>
      <c r="PX369" s="113"/>
      <c r="PY369" s="113"/>
      <c r="PZ369" s="113"/>
      <c r="QA369" s="113"/>
      <c r="QB369" s="113"/>
      <c r="QC369" s="113"/>
      <c r="QD369" s="113"/>
      <c r="QE369" s="113"/>
      <c r="QF369" s="113"/>
      <c r="QG369" s="113"/>
      <c r="QH369" s="113"/>
      <c r="QI369" s="113"/>
      <c r="QJ369" s="113"/>
      <c r="QK369" s="113"/>
      <c r="QL369" s="113"/>
      <c r="QM369" s="113"/>
      <c r="QN369" s="113"/>
      <c r="QO369" s="113"/>
      <c r="QP369" s="113"/>
      <c r="QQ369" s="113"/>
      <c r="QR369" s="113"/>
      <c r="QS369" s="113"/>
      <c r="QT369" s="113"/>
      <c r="QU369" s="113"/>
      <c r="QV369" s="113"/>
      <c r="QW369" s="113"/>
      <c r="QX369" s="113"/>
      <c r="QY369" s="113"/>
      <c r="QZ369" s="113"/>
      <c r="RA369" s="113"/>
      <c r="RB369" s="113"/>
      <c r="RC369" s="113"/>
      <c r="RD369" s="113"/>
      <c r="RE369" s="113"/>
      <c r="RF369" s="113"/>
      <c r="RG369" s="113"/>
      <c r="RH369" s="113"/>
      <c r="RI369" s="113"/>
      <c r="RJ369" s="113"/>
      <c r="RK369" s="113"/>
      <c r="RL369" s="113"/>
      <c r="RM369" s="113"/>
      <c r="RN369" s="113"/>
      <c r="RO369" s="113"/>
      <c r="RP369" s="113"/>
      <c r="RQ369" s="113"/>
      <c r="RR369" s="113"/>
      <c r="RS369" s="113"/>
      <c r="RT369" s="113"/>
      <c r="RU369" s="113"/>
      <c r="RV369" s="113"/>
      <c r="RW369" s="113"/>
      <c r="RX369" s="113"/>
      <c r="RY369" s="113"/>
      <c r="RZ369" s="113"/>
      <c r="SA369" s="113"/>
      <c r="SB369" s="113"/>
      <c r="SC369" s="113"/>
      <c r="SD369" s="113"/>
      <c r="SE369" s="113"/>
      <c r="SF369" s="113"/>
      <c r="SG369" s="113"/>
      <c r="SH369" s="113"/>
      <c r="SI369" s="113"/>
      <c r="SJ369" s="113"/>
      <c r="SK369" s="113"/>
      <c r="SL369" s="113"/>
      <c r="SM369" s="113"/>
      <c r="SN369" s="113"/>
      <c r="SO369" s="113"/>
      <c r="SP369" s="113"/>
      <c r="SQ369" s="113"/>
      <c r="SR369" s="113"/>
      <c r="SS369" s="113"/>
      <c r="ST369" s="113"/>
      <c r="SU369" s="113"/>
      <c r="SV369" s="113"/>
      <c r="SW369" s="113"/>
      <c r="SX369" s="113"/>
      <c r="SY369" s="113"/>
      <c r="SZ369" s="113"/>
      <c r="TA369" s="113"/>
      <c r="TB369" s="113"/>
      <c r="TC369" s="113"/>
      <c r="TD369" s="113"/>
      <c r="TE369" s="113"/>
      <c r="TF369" s="113"/>
      <c r="TG369" s="113"/>
      <c r="TH369" s="113"/>
      <c r="TI369" s="113"/>
      <c r="TJ369" s="113"/>
      <c r="TK369" s="113"/>
      <c r="TL369" s="113"/>
      <c r="TM369" s="113"/>
      <c r="TN369" s="113"/>
      <c r="TO369" s="113"/>
      <c r="TP369" s="113"/>
      <c r="TQ369" s="113"/>
      <c r="TR369" s="113"/>
      <c r="TS369" s="113"/>
      <c r="TT369" s="113"/>
      <c r="TU369" s="113"/>
      <c r="TV369" s="113"/>
      <c r="TW369" s="113"/>
      <c r="TX369" s="113"/>
      <c r="TY369" s="113"/>
      <c r="TZ369" s="113"/>
      <c r="UA369" s="113"/>
      <c r="UB369" s="113"/>
      <c r="UC369" s="113"/>
      <c r="UD369" s="113"/>
      <c r="UE369" s="113"/>
      <c r="UF369" s="113"/>
      <c r="UG369" s="113"/>
      <c r="UH369" s="113"/>
      <c r="UI369" s="113"/>
      <c r="UJ369" s="113"/>
      <c r="UK369" s="113"/>
      <c r="UL369" s="113"/>
      <c r="UM369" s="113"/>
      <c r="UN369" s="113"/>
      <c r="UO369" s="113"/>
      <c r="UP369" s="113"/>
      <c r="UQ369" s="113"/>
      <c r="UR369" s="113"/>
      <c r="US369" s="113"/>
      <c r="UT369" s="113"/>
      <c r="UU369" s="113"/>
      <c r="UV369" s="113"/>
      <c r="UW369" s="113"/>
      <c r="UX369" s="113"/>
      <c r="UY369" s="113"/>
      <c r="UZ369" s="113"/>
      <c r="VA369" s="113"/>
      <c r="VB369" s="113"/>
      <c r="VC369" s="113"/>
      <c r="VD369" s="113"/>
      <c r="VE369" s="113"/>
      <c r="VF369" s="113"/>
      <c r="VG369" s="113"/>
      <c r="VH369" s="113"/>
      <c r="VI369" s="113"/>
      <c r="VJ369" s="113"/>
      <c r="VK369" s="113"/>
      <c r="VL369" s="113"/>
      <c r="VM369" s="113"/>
      <c r="VN369" s="113"/>
      <c r="VO369" s="113"/>
      <c r="VP369" s="113"/>
      <c r="VQ369" s="113"/>
      <c r="VR369" s="113"/>
      <c r="VS369" s="113"/>
      <c r="VT369" s="113"/>
      <c r="VU369" s="113"/>
      <c r="VV369" s="113"/>
      <c r="VW369" s="113"/>
      <c r="VX369" s="113"/>
      <c r="VY369" s="113"/>
      <c r="VZ369" s="113"/>
      <c r="WA369" s="113"/>
      <c r="WB369" s="113"/>
      <c r="WC369" s="113"/>
      <c r="WD369" s="113"/>
      <c r="WE369" s="113"/>
      <c r="WF369" s="113"/>
      <c r="WG369" s="113"/>
      <c r="WH369" s="113"/>
      <c r="WI369" s="113"/>
      <c r="WJ369" s="113"/>
      <c r="WK369" s="113"/>
      <c r="WL369" s="113"/>
      <c r="WM369" s="113"/>
      <c r="WN369" s="113"/>
      <c r="WO369" s="113"/>
      <c r="WP369" s="113"/>
      <c r="WQ369" s="113"/>
      <c r="WR369" s="113"/>
      <c r="WS369" s="113"/>
      <c r="WT369" s="113"/>
      <c r="WU369" s="113"/>
      <c r="WV369" s="113"/>
      <c r="WW369" s="113"/>
      <c r="WX369" s="113"/>
      <c r="WY369" s="113"/>
      <c r="WZ369" s="113"/>
      <c r="XA369" s="113"/>
      <c r="XB369" s="113"/>
      <c r="XC369" s="113"/>
      <c r="XD369" s="113"/>
      <c r="XE369" s="113"/>
      <c r="XF369" s="113"/>
      <c r="XG369" s="113"/>
      <c r="XH369" s="113"/>
      <c r="XI369" s="113"/>
      <c r="XJ369" s="113"/>
      <c r="XK369" s="113"/>
      <c r="XL369" s="113"/>
      <c r="XM369" s="113"/>
      <c r="XN369" s="113"/>
      <c r="XO369" s="113"/>
      <c r="XP369" s="113"/>
      <c r="XQ369" s="113"/>
      <c r="XR369" s="113"/>
      <c r="XS369" s="113"/>
      <c r="XT369" s="113"/>
      <c r="XU369" s="113"/>
      <c r="XV369" s="113"/>
      <c r="XW369" s="113"/>
      <c r="XX369" s="113"/>
      <c r="XY369" s="113"/>
      <c r="XZ369" s="113"/>
      <c r="YA369" s="113"/>
      <c r="YB369" s="113"/>
      <c r="YC369" s="113"/>
      <c r="YD369" s="113"/>
      <c r="YE369" s="113"/>
      <c r="YF369" s="113"/>
      <c r="YG369" s="113"/>
      <c r="YH369" s="113"/>
      <c r="YI369" s="113"/>
      <c r="YJ369" s="113"/>
      <c r="YK369" s="113"/>
      <c r="YL369" s="113"/>
      <c r="YM369" s="113"/>
      <c r="YN369" s="113"/>
      <c r="YO369" s="113"/>
      <c r="YP369" s="113"/>
      <c r="YQ369" s="113"/>
      <c r="YR369" s="113"/>
      <c r="YS369" s="113"/>
      <c r="YT369" s="113"/>
      <c r="YU369" s="113"/>
      <c r="YV369" s="113"/>
      <c r="YW369" s="113"/>
      <c r="YX369" s="113"/>
      <c r="YY369" s="113"/>
      <c r="YZ369" s="113"/>
      <c r="ZA369" s="113"/>
      <c r="ZB369" s="113"/>
      <c r="ZC369" s="113"/>
      <c r="ZD369" s="113"/>
      <c r="ZE369" s="113"/>
      <c r="ZF369" s="113"/>
      <c r="ZG369" s="113"/>
      <c r="ZH369" s="113"/>
      <c r="ZI369" s="113"/>
      <c r="ZJ369" s="113"/>
      <c r="ZK369" s="113"/>
      <c r="ZL369" s="113"/>
      <c r="ZM369" s="113"/>
      <c r="ZN369" s="113"/>
      <c r="ZO369" s="113"/>
      <c r="ZP369" s="113"/>
      <c r="ZQ369" s="113"/>
      <c r="ZR369" s="113"/>
      <c r="ZS369" s="113"/>
      <c r="ZT369" s="113"/>
      <c r="ZU369" s="113"/>
      <c r="ZV369" s="113"/>
      <c r="ZW369" s="113"/>
      <c r="ZX369" s="113"/>
      <c r="ZY369" s="113"/>
      <c r="ZZ369" s="113"/>
      <c r="AAA369" s="113"/>
      <c r="AAB369" s="113"/>
      <c r="AAC369" s="113"/>
      <c r="AAD369" s="113"/>
      <c r="AAE369" s="113"/>
      <c r="AAF369" s="113"/>
      <c r="AAG369" s="113"/>
      <c r="AAH369" s="113"/>
      <c r="AAI369" s="113"/>
      <c r="AAJ369" s="113"/>
      <c r="AAK369" s="113"/>
      <c r="AAL369" s="113"/>
      <c r="AAM369" s="113"/>
      <c r="AAN369" s="113"/>
      <c r="AAO369" s="113"/>
      <c r="AAP369" s="113"/>
      <c r="AAQ369" s="113"/>
      <c r="AAR369" s="113"/>
      <c r="AAS369" s="113"/>
      <c r="AAT369" s="113"/>
      <c r="AAU369" s="113"/>
      <c r="AAV369" s="113"/>
      <c r="AAW369" s="113"/>
      <c r="AAX369" s="113"/>
      <c r="AAY369" s="113"/>
      <c r="AAZ369" s="113"/>
      <c r="ABA369" s="113"/>
      <c r="ABB369" s="113"/>
      <c r="ABC369" s="113"/>
      <c r="ABD369" s="113"/>
      <c r="ABE369" s="113"/>
      <c r="ABF369" s="113"/>
      <c r="ABG369" s="113"/>
      <c r="ABH369" s="113"/>
      <c r="ABI369" s="113"/>
      <c r="ABJ369" s="113"/>
      <c r="ABK369" s="113"/>
      <c r="ABL369" s="113"/>
      <c r="ABM369" s="113"/>
      <c r="ABN369" s="113"/>
      <c r="ABO369" s="113"/>
      <c r="ABP369" s="113"/>
      <c r="ABQ369" s="113"/>
      <c r="ABR369" s="113"/>
      <c r="ABS369" s="113"/>
      <c r="ABT369" s="113"/>
      <c r="ABU369" s="113"/>
      <c r="ABV369" s="113"/>
      <c r="ABW369" s="113"/>
      <c r="ABX369" s="113"/>
      <c r="ABY369" s="113"/>
      <c r="ABZ369" s="113"/>
      <c r="ACA369" s="113"/>
      <c r="ACB369" s="113"/>
      <c r="ACC369" s="113"/>
      <c r="ACD369" s="113"/>
      <c r="ACE369" s="113"/>
      <c r="ACF369" s="113"/>
      <c r="ACG369" s="113"/>
      <c r="ACH369" s="113"/>
      <c r="ACI369" s="113"/>
      <c r="ACJ369" s="113"/>
      <c r="ACK369" s="113"/>
      <c r="ACL369" s="113"/>
      <c r="ACM369" s="113"/>
      <c r="ACN369" s="113"/>
      <c r="ACO369" s="113"/>
      <c r="ACP369" s="113"/>
      <c r="ACQ369" s="113"/>
      <c r="ACR369" s="113"/>
      <c r="ACS369" s="113"/>
      <c r="ACT369" s="113"/>
      <c r="ACU369" s="113"/>
      <c r="ACV369" s="113"/>
      <c r="ACW369" s="113"/>
      <c r="ACX369" s="113"/>
      <c r="ACY369" s="113"/>
      <c r="ACZ369" s="113"/>
      <c r="ADA369" s="113"/>
      <c r="ADB369" s="113"/>
      <c r="ADC369" s="113"/>
      <c r="ADD369" s="113"/>
      <c r="ADE369" s="113"/>
      <c r="ADF369" s="113"/>
      <c r="ADG369" s="113"/>
      <c r="ADH369" s="113"/>
      <c r="ADI369" s="113"/>
      <c r="ADJ369" s="113"/>
      <c r="ADK369" s="113"/>
      <c r="ADL369" s="113"/>
      <c r="ADM369" s="113"/>
      <c r="ADN369" s="113"/>
      <c r="ADO369" s="113"/>
      <c r="ADP369" s="113"/>
      <c r="ADQ369" s="113"/>
      <c r="ADR369" s="113"/>
      <c r="ADS369" s="113"/>
      <c r="ADT369" s="113"/>
      <c r="ADU369" s="113"/>
      <c r="ADV369" s="113"/>
      <c r="ADW369" s="113"/>
      <c r="ADX369" s="113"/>
      <c r="ADY369" s="113"/>
      <c r="ADZ369" s="113"/>
      <c r="AEA369" s="113"/>
      <c r="AEB369" s="113"/>
      <c r="AEC369" s="113"/>
      <c r="AED369" s="113"/>
      <c r="AEE369" s="113"/>
      <c r="AEF369" s="113"/>
      <c r="AEG369" s="113"/>
      <c r="AEH369" s="113"/>
      <c r="AEI369" s="113"/>
      <c r="AEJ369" s="113"/>
      <c r="AEK369" s="113"/>
      <c r="AEL369" s="113"/>
      <c r="AEM369" s="113"/>
      <c r="AEN369" s="113"/>
      <c r="AEO369" s="113"/>
      <c r="AEP369" s="113"/>
      <c r="AEQ369" s="113"/>
      <c r="AER369" s="113"/>
      <c r="AES369" s="113"/>
      <c r="AET369" s="113"/>
      <c r="AEU369" s="113"/>
      <c r="AEV369" s="113"/>
      <c r="AEW369" s="113"/>
      <c r="AEX369" s="113"/>
      <c r="AEY369" s="113"/>
      <c r="AEZ369" s="113"/>
      <c r="AFA369" s="113"/>
      <c r="AFB369" s="113"/>
      <c r="AFC369" s="113"/>
      <c r="AFD369" s="113"/>
      <c r="AFE369" s="113"/>
      <c r="AFF369" s="113"/>
      <c r="AFG369" s="113"/>
      <c r="AFH369" s="113"/>
      <c r="AFI369" s="113"/>
      <c r="AFJ369" s="113"/>
      <c r="AFK369" s="113"/>
      <c r="AFL369" s="113"/>
      <c r="AFM369" s="113"/>
      <c r="AFN369" s="113"/>
      <c r="AFO369" s="113"/>
      <c r="AFP369" s="113"/>
      <c r="AFQ369" s="113"/>
      <c r="AFR369" s="113"/>
      <c r="AFS369" s="113"/>
      <c r="AFT369" s="113"/>
      <c r="AFU369" s="113"/>
      <c r="AFV369" s="113"/>
      <c r="AFW369" s="113"/>
      <c r="AFX369" s="113"/>
      <c r="AFY369" s="113"/>
      <c r="AFZ369" s="113"/>
      <c r="AGA369" s="113"/>
      <c r="AGB369" s="113"/>
      <c r="AGC369" s="113"/>
      <c r="AGD369" s="113"/>
      <c r="AGE369" s="113"/>
      <c r="AGF369" s="113"/>
      <c r="AGG369" s="113"/>
      <c r="AGH369" s="113"/>
      <c r="AGI369" s="113"/>
      <c r="AGJ369" s="113"/>
      <c r="AGK369" s="113"/>
      <c r="AGL369" s="113"/>
      <c r="AGM369" s="113"/>
      <c r="AGN369" s="113"/>
      <c r="AGO369" s="113"/>
      <c r="AGP369" s="113"/>
      <c r="AGQ369" s="113"/>
      <c r="AGR369" s="113"/>
      <c r="AGS369" s="113"/>
      <c r="AGT369" s="113"/>
      <c r="AGU369" s="113"/>
      <c r="AGV369" s="113"/>
      <c r="AGW369" s="113"/>
      <c r="AGX369" s="113"/>
      <c r="AGY369" s="113"/>
      <c r="AGZ369" s="113"/>
      <c r="AHA369" s="113"/>
      <c r="AHB369" s="113"/>
      <c r="AHC369" s="113"/>
      <c r="AHD369" s="113"/>
      <c r="AHE369" s="113"/>
      <c r="AHF369" s="113"/>
      <c r="AHG369" s="113"/>
      <c r="AHH369" s="113"/>
      <c r="AHI369" s="113"/>
      <c r="AHJ369" s="113"/>
      <c r="AHK369" s="113"/>
      <c r="AHL369" s="113"/>
      <c r="AHM369" s="113"/>
      <c r="AHN369" s="113"/>
      <c r="AHO369" s="113"/>
      <c r="AHP369" s="113"/>
      <c r="AHQ369" s="113"/>
      <c r="AHR369" s="113"/>
      <c r="AHS369" s="113"/>
      <c r="AHT369" s="113"/>
      <c r="AHU369" s="113"/>
      <c r="AHV369" s="113"/>
      <c r="AHW369" s="113"/>
      <c r="AHX369" s="113"/>
      <c r="AHY369" s="113"/>
      <c r="AHZ369" s="113"/>
      <c r="AIA369" s="113"/>
      <c r="AIB369" s="113"/>
      <c r="AIC369" s="113"/>
      <c r="AID369" s="113"/>
      <c r="AIE369" s="113"/>
      <c r="AIF369" s="113"/>
      <c r="AIG369" s="113"/>
      <c r="AIH369" s="113"/>
      <c r="AII369" s="113"/>
      <c r="AIJ369" s="113"/>
      <c r="AIK369" s="113"/>
      <c r="AIL369" s="113"/>
      <c r="AIM369" s="113"/>
      <c r="AIN369" s="113"/>
      <c r="AIO369" s="113"/>
      <c r="AIP369" s="113"/>
      <c r="AIQ369" s="113"/>
      <c r="AIR369" s="113"/>
      <c r="AIS369" s="113"/>
      <c r="AIT369" s="113"/>
      <c r="AIU369" s="113"/>
      <c r="AIV369" s="113"/>
      <c r="AIW369" s="113"/>
      <c r="AIX369" s="113"/>
      <c r="AIY369" s="113"/>
      <c r="AIZ369" s="113"/>
    </row>
    <row r="370">
      <c r="A370" s="65" t="s">
        <v>38</v>
      </c>
      <c r="B370" s="65" t="s">
        <v>95</v>
      </c>
      <c r="C370" s="65"/>
      <c r="D370" s="64">
        <f t="shared" si="1"/>
        <v>466.0591</v>
      </c>
      <c r="F370" s="65">
        <v>26.22825</v>
      </c>
      <c r="G370" s="65">
        <v>2.71531666666667</v>
      </c>
      <c r="H370" s="65">
        <v>5.60901666666667</v>
      </c>
      <c r="I370" s="65">
        <v>1.78916666666667</v>
      </c>
      <c r="J370" s="65">
        <v>5.8643</v>
      </c>
      <c r="K370" s="65">
        <v>28.1922833333333</v>
      </c>
      <c r="N370" s="65">
        <v>3.4914</v>
      </c>
      <c r="Q370" s="65">
        <v>32.7997</v>
      </c>
      <c r="R370" s="65">
        <v>4.1122</v>
      </c>
      <c r="S370" s="65">
        <v>3.55015</v>
      </c>
      <c r="T370" s="65">
        <v>8.4312</v>
      </c>
      <c r="U370" s="65">
        <v>78.0150666666666</v>
      </c>
      <c r="X370" s="65">
        <v>14.4502833333333</v>
      </c>
      <c r="Y370" s="65">
        <v>9.24691666666667</v>
      </c>
      <c r="Z370" s="65">
        <v>4.18245</v>
      </c>
      <c r="AA370" s="65">
        <v>1.80076666666667</v>
      </c>
      <c r="AB370" s="65">
        <v>33.3872</v>
      </c>
      <c r="AE370" s="65">
        <v>13.0203333333333</v>
      </c>
      <c r="AF370" s="65">
        <v>36.46815</v>
      </c>
      <c r="AG370" s="65">
        <v>6.09655</v>
      </c>
      <c r="AH370" s="65">
        <v>0.848883333333333</v>
      </c>
      <c r="AI370" s="65">
        <v>21.5220833333333</v>
      </c>
      <c r="AL370" s="65">
        <v>34.82005</v>
      </c>
      <c r="AM370" s="65">
        <v>15.6356333333333</v>
      </c>
      <c r="AN370" s="65">
        <v>31.9198666666667</v>
      </c>
      <c r="AQ370" s="65">
        <v>2.60551666666667</v>
      </c>
      <c r="AR370" s="65">
        <v>3.90498333333333</v>
      </c>
      <c r="AU370" s="65">
        <v>35.3513833333333</v>
      </c>
    </row>
    <row r="371">
      <c r="A371" s="65" t="s">
        <v>38</v>
      </c>
      <c r="B371" s="65" t="s">
        <v>95</v>
      </c>
      <c r="C371" s="65"/>
      <c r="D371" s="64">
        <f t="shared" si="1"/>
        <v>0</v>
      </c>
    </row>
    <row r="372">
      <c r="A372" s="65" t="s">
        <v>38</v>
      </c>
      <c r="B372" s="65" t="s">
        <v>95</v>
      </c>
      <c r="C372" s="65"/>
      <c r="D372" s="64">
        <f t="shared" si="1"/>
        <v>435.1619333</v>
      </c>
      <c r="F372" s="118">
        <f>HYPERLINK("https://docs.google.com/spreadsheets/d/1xXDdRqJDkSnkoLNKaMVE1IB2lI6H_ZJR", 22.6069666666667)</f>
        <v>22.60696667</v>
      </c>
      <c r="G372" s="118">
        <f>HYPERLINK("https://docs.google.com/spreadsheets/d/1h8B_EmIvgQK0TI56ORM1I-QQdkNe_PX3", 2.71531666666667)</f>
        <v>2.715316667</v>
      </c>
      <c r="H372" s="118">
        <f>HYPERLINK("https://docs.google.com/spreadsheets/d/1Yy3z_2DGJF-OYQtvxWmhFcCa3058uM8_", 5.609)</f>
        <v>5.609</v>
      </c>
      <c r="I372" s="118">
        <f>HYPERLINK("https://docs.google.com/spreadsheets/d/1zK72zbYI8Y-a051XwlB3B4PGQpyucNXc", 1.67171666666667)</f>
        <v>1.671716667</v>
      </c>
      <c r="J372" s="118">
        <f>HYPERLINK("https://docs.google.com/spreadsheets/d/1H-tWN2P-KlTrdKvonm5ZOH_n72nkzieh", 3.5834)</f>
        <v>3.5834</v>
      </c>
      <c r="K372" s="118">
        <f>HYPERLINK("https://docs.google.com/spreadsheets/d/1PHsweSB1z-qwqu_Z5g7rtvCRKled-ti0", 27.8618833333333)</f>
        <v>27.86188333</v>
      </c>
      <c r="N372" s="118">
        <f>HYPERLINK("https://docs.google.com/spreadsheets/d/1kUSd7_d6SuI1pnslV7dah7p8S7a4Vx_W", 3.4914)</f>
        <v>3.4914</v>
      </c>
      <c r="Q372" s="118">
        <f>HYPERLINK("https://docs.google.com/spreadsheets/d/1tuNMP-mNxzT5l6w7BcifUOdxbKOWh4BR", 23.804)</f>
        <v>23.804</v>
      </c>
      <c r="R372" s="118">
        <f>HYPERLINK("https://docs.google.com/spreadsheets/d/1ftpPdu9zrCiSdMejNorhq511Y1U8v7-Y", 4.1122)</f>
        <v>4.1122</v>
      </c>
      <c r="S372" s="118">
        <f>HYPERLINK("https://docs.google.com/spreadsheets/d/1sMCUk0xlTnc4Y9PpAraZMcNRB5Kqqm3a", 3.55015)</f>
        <v>3.55015</v>
      </c>
      <c r="T372" s="118">
        <f>HYPERLINK("https://docs.google.com/spreadsheets/d/1l_f30cX26zgHNYdjkZAzVrE3iSo8eNoN", 6.94785)</f>
        <v>6.94785</v>
      </c>
      <c r="U372" s="118">
        <f>HYPERLINK("https://docs.google.com/spreadsheets/d/12parjkVtBpYAwF1wyA1ToCam3rgXq8Yv", 77.0046333333333)</f>
        <v>77.00463333</v>
      </c>
      <c r="X372" s="118">
        <f>HYPERLINK("https://docs.google.com/spreadsheets/d/1Bb8It7CUKEqQRdWJq93Iv8JFOcxxwb-D", 12.2124333333333)</f>
        <v>12.21243333</v>
      </c>
      <c r="Y372" s="118">
        <f>HYPERLINK("https://docs.google.com/spreadsheets/d/1pBHu-gHZarcdyxFd7rZOiWKMF9z2COet", 9.08701666666667)</f>
        <v>9.087016667</v>
      </c>
      <c r="Z372" s="118">
        <f>HYPERLINK("https://docs.google.com/spreadsheets/d/17FBQjylxtarlbg1hpMQ1Au7KzINphbuh", 4.18245)</f>
        <v>4.18245</v>
      </c>
      <c r="AA372" s="118">
        <f>HYPERLINK("https://docs.google.com/spreadsheets/d/1XSwDPtoF0UkVO27zKfMNHdxmTf0fVegl", 1.1843)</f>
        <v>1.1843</v>
      </c>
      <c r="AB372" s="118">
        <f>HYPERLINK("https://docs.google.com/spreadsheets/d/1FLhzmwk8X8qO2aYY-jkwyl48Zahmd2Wh", 33.3872)</f>
        <v>33.3872</v>
      </c>
      <c r="AE372" s="118">
        <f>HYPERLINK("https://docs.google.com/spreadsheets/d/1w5XgvTrpz_K0qh-dtgOKMqFyGlJ_v3iW", 11.2483333333333)</f>
        <v>11.24833333</v>
      </c>
      <c r="AF372" s="118">
        <f>HYPERLINK("https://docs.google.com/spreadsheets/d/1wc5NJGBPyPKWJ0_subGZXdKU03GrkF--", 36.4681333333333)</f>
        <v>36.46813333</v>
      </c>
      <c r="AG372" s="118">
        <f>HYPERLINK("https://docs.google.com/spreadsheets/d/103v2W16M2woIp9EmgZymAcipxCQmc9vL", 6.09655)</f>
        <v>6.09655</v>
      </c>
      <c r="AH372" s="118">
        <f>HYPERLINK("https://docs.google.com/spreadsheets/d/1QpTB1wep9G5jTt-bSMkm-nsFMLT6dgUk", 0.848883333333333)</f>
        <v>0.8488833333</v>
      </c>
      <c r="AI372" s="118">
        <f>HYPERLINK("https://docs.google.com/spreadsheets/d/1sK4v8W0ELgiSmwqZldy3cfkn2HeEsRXQ", 21.4581666666667)</f>
        <v>21.45816667</v>
      </c>
      <c r="AL372" s="118">
        <f>HYPERLINK("https://docs.google.com/spreadsheets/d/1Eynmv_p4nXSHjpvMYNMq2j5Vl2Co5_0h", 28.2624166666667)</f>
        <v>28.26241667</v>
      </c>
      <c r="AM372" s="118">
        <f>HYPERLINK("https://docs.google.com/spreadsheets/d/1eXb6qBBk4yeV352kZHkl9F4bRVvTlDOx", 15.4009)</f>
        <v>15.4009</v>
      </c>
      <c r="AN372" s="118">
        <f>HYPERLINK("https://docs.google.com/spreadsheets/d/1HsEfP8qZIbp2is84oKX3OHXWeWTGiI3I", 31.3849833333333)</f>
        <v>31.38498333</v>
      </c>
      <c r="AQ372" s="118">
        <f>HYPERLINK("https://docs.google.com/spreadsheets/d/1n-qNib2cQXcX7kYZ-AjkznR46HmBh0I7", 1.88551666666667)</f>
        <v>1.885516667</v>
      </c>
      <c r="AR372" s="118">
        <f>HYPERLINK("https://docs.google.com/spreadsheets/d/1X3S20j3DlNe1t3ll0V94Gf2e5sKZGxnf", 3.90498333333333)</f>
        <v>3.904983333</v>
      </c>
      <c r="AU372" s="118">
        <f>HYPERLINK("https://docs.google.com/spreadsheets/d/1anveNC6Myh3BY-cW-qY1woQ-GfQeGWq1", 35.19115)</f>
        <v>35.19115</v>
      </c>
    </row>
    <row r="373">
      <c r="A373" s="65" t="s">
        <v>38</v>
      </c>
      <c r="B373" s="65" t="s">
        <v>95</v>
      </c>
      <c r="C373" s="65"/>
      <c r="D373" s="64">
        <f t="shared" si="1"/>
        <v>285.87825</v>
      </c>
      <c r="F373" s="65">
        <v>14.3933</v>
      </c>
      <c r="G373" s="65">
        <v>0.979783333333333</v>
      </c>
      <c r="H373" s="65">
        <v>1.93831666666667</v>
      </c>
      <c r="I373" s="65">
        <v>0.0</v>
      </c>
      <c r="J373" s="65">
        <v>2.40441666666667</v>
      </c>
      <c r="K373" s="65">
        <v>22.2533833333333</v>
      </c>
      <c r="N373" s="65">
        <v>0.400716666666667</v>
      </c>
      <c r="Q373" s="65">
        <v>13.6960166666667</v>
      </c>
      <c r="R373" s="65">
        <v>0.994016666666667</v>
      </c>
      <c r="S373" s="65">
        <v>0.840816666666667</v>
      </c>
      <c r="T373" s="65">
        <v>1.13235</v>
      </c>
      <c r="U373" s="65">
        <v>57.8289666666667</v>
      </c>
      <c r="X373" s="65">
        <v>4.72515</v>
      </c>
      <c r="Y373" s="65">
        <v>3.91558333333333</v>
      </c>
      <c r="Z373" s="65">
        <v>1.89305</v>
      </c>
      <c r="AA373" s="65">
        <v>0.0</v>
      </c>
      <c r="AB373" s="65">
        <v>26.2282166666667</v>
      </c>
      <c r="AE373" s="65">
        <v>4.7753</v>
      </c>
      <c r="AF373" s="65">
        <v>21.4913666666667</v>
      </c>
      <c r="AG373" s="65">
        <v>2.19831666666667</v>
      </c>
      <c r="AH373" s="65">
        <v>0.157066666666667</v>
      </c>
      <c r="AI373" s="65">
        <v>16.8925666666667</v>
      </c>
      <c r="AL373" s="65">
        <v>24.9492833333333</v>
      </c>
      <c r="AM373" s="65">
        <v>3.56228333333333</v>
      </c>
      <c r="AN373" s="65">
        <v>22.3060333333333</v>
      </c>
      <c r="AQ373" s="65">
        <v>0.958983333333333</v>
      </c>
      <c r="AR373" s="65">
        <v>2.74505</v>
      </c>
      <c r="AU373" s="65">
        <v>32.2179166666667</v>
      </c>
    </row>
    <row r="374">
      <c r="A374" s="119" t="s">
        <v>38</v>
      </c>
      <c r="B374" s="119" t="s">
        <v>95</v>
      </c>
      <c r="C374" s="119"/>
      <c r="D374" s="120">
        <f t="shared" si="1"/>
        <v>0</v>
      </c>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c r="AA374" s="120"/>
      <c r="AB374" s="120"/>
      <c r="AC374" s="120"/>
      <c r="AD374" s="120"/>
      <c r="AE374" s="120"/>
      <c r="AF374" s="120"/>
      <c r="AG374" s="120"/>
      <c r="AH374" s="120"/>
      <c r="AI374" s="120"/>
      <c r="AJ374" s="120"/>
      <c r="AK374" s="120"/>
      <c r="AL374" s="120"/>
      <c r="AM374" s="120"/>
      <c r="AN374" s="120"/>
      <c r="AO374" s="120"/>
      <c r="AP374" s="120"/>
      <c r="AQ374" s="120"/>
      <c r="AR374" s="120"/>
      <c r="AS374" s="120"/>
      <c r="AT374" s="120"/>
      <c r="AU374" s="120"/>
      <c r="AV374" s="120"/>
      <c r="AW374" s="120"/>
      <c r="AX374" s="120"/>
      <c r="AY374" s="120"/>
      <c r="AZ374" s="120"/>
      <c r="BA374" s="120"/>
      <c r="BB374" s="120"/>
      <c r="BC374" s="120"/>
      <c r="BD374" s="120"/>
      <c r="BE374" s="120"/>
      <c r="BF374" s="120"/>
      <c r="BG374" s="120"/>
      <c r="BH374" s="120"/>
      <c r="BI374" s="120"/>
      <c r="BJ374" s="120"/>
      <c r="BK374" s="120"/>
      <c r="BL374" s="120"/>
      <c r="BM374" s="120"/>
      <c r="BN374" s="120"/>
      <c r="BO374" s="120"/>
      <c r="BP374" s="120"/>
      <c r="BQ374" s="120"/>
      <c r="BR374" s="120"/>
      <c r="BS374" s="120"/>
      <c r="BT374" s="120"/>
      <c r="BU374" s="120"/>
      <c r="BV374" s="120"/>
      <c r="BW374" s="120"/>
      <c r="BX374" s="120"/>
      <c r="BY374" s="120"/>
      <c r="BZ374" s="120"/>
      <c r="CA374" s="120"/>
      <c r="CB374" s="120"/>
      <c r="CC374" s="120"/>
      <c r="CD374" s="120"/>
      <c r="CE374" s="120"/>
      <c r="CF374" s="120"/>
      <c r="CG374" s="120"/>
      <c r="CH374" s="120"/>
      <c r="CI374" s="120"/>
      <c r="CJ374" s="120"/>
      <c r="CK374" s="120"/>
      <c r="CL374" s="120"/>
      <c r="CM374" s="120"/>
      <c r="CN374" s="120"/>
      <c r="CO374" s="120"/>
      <c r="CP374" s="120"/>
      <c r="CQ374" s="120"/>
      <c r="CR374" s="120"/>
      <c r="CS374" s="120"/>
      <c r="CT374" s="120"/>
      <c r="CU374" s="120"/>
      <c r="CV374" s="120"/>
      <c r="CW374" s="120"/>
      <c r="CX374" s="120"/>
      <c r="CY374" s="120"/>
      <c r="CZ374" s="120"/>
      <c r="DA374" s="120"/>
      <c r="DB374" s="120"/>
      <c r="DC374" s="120"/>
      <c r="DD374" s="120"/>
      <c r="DE374" s="120"/>
      <c r="DF374" s="120"/>
      <c r="DG374" s="120"/>
      <c r="DH374" s="120"/>
      <c r="DI374" s="120"/>
      <c r="DJ374" s="120"/>
      <c r="DK374" s="120"/>
      <c r="DL374" s="120"/>
      <c r="DM374" s="120"/>
      <c r="DN374" s="120"/>
      <c r="DO374" s="120"/>
      <c r="DP374" s="120"/>
      <c r="DQ374" s="120"/>
      <c r="DR374" s="120"/>
      <c r="DS374" s="120"/>
      <c r="DT374" s="120"/>
      <c r="DU374" s="120"/>
      <c r="DV374" s="120"/>
      <c r="DW374" s="120"/>
      <c r="DX374" s="120"/>
      <c r="DY374" s="120"/>
      <c r="DZ374" s="120"/>
      <c r="EA374" s="120"/>
      <c r="EB374" s="120"/>
      <c r="EC374" s="120"/>
      <c r="ED374" s="120"/>
      <c r="EE374" s="120"/>
      <c r="EF374" s="120"/>
      <c r="EG374" s="120"/>
      <c r="EH374" s="120"/>
      <c r="EI374" s="120"/>
      <c r="EJ374" s="120"/>
      <c r="EK374" s="120"/>
      <c r="EL374" s="120"/>
      <c r="EM374" s="120"/>
      <c r="EN374" s="120"/>
      <c r="EO374" s="120"/>
      <c r="EP374" s="120"/>
      <c r="EQ374" s="120"/>
      <c r="ER374" s="120"/>
      <c r="ES374" s="120"/>
      <c r="ET374" s="120"/>
      <c r="EU374" s="120"/>
      <c r="EV374" s="120"/>
      <c r="EW374" s="120"/>
      <c r="EX374" s="120"/>
      <c r="EY374" s="120"/>
      <c r="EZ374" s="120"/>
      <c r="FA374" s="120"/>
      <c r="FB374" s="120"/>
      <c r="FC374" s="120"/>
      <c r="FD374" s="120"/>
      <c r="FE374" s="120"/>
      <c r="FF374" s="120"/>
      <c r="FG374" s="120"/>
      <c r="FH374" s="120"/>
      <c r="FI374" s="120"/>
      <c r="FJ374" s="120"/>
      <c r="FK374" s="120"/>
      <c r="FL374" s="120"/>
      <c r="FM374" s="120"/>
      <c r="FN374" s="120"/>
      <c r="FO374" s="120"/>
      <c r="FP374" s="120"/>
      <c r="FQ374" s="120"/>
      <c r="FR374" s="120"/>
      <c r="FS374" s="120"/>
      <c r="FT374" s="120"/>
      <c r="FU374" s="120"/>
      <c r="FV374" s="120"/>
      <c r="FW374" s="120"/>
      <c r="FX374" s="120"/>
      <c r="FY374" s="120"/>
      <c r="FZ374" s="120"/>
      <c r="GA374" s="120"/>
      <c r="GB374" s="120"/>
      <c r="GC374" s="120"/>
      <c r="GD374" s="120"/>
      <c r="GE374" s="120"/>
      <c r="GF374" s="120"/>
      <c r="GG374" s="120"/>
      <c r="GH374" s="120"/>
      <c r="GI374" s="120"/>
      <c r="GJ374" s="120"/>
      <c r="GK374" s="120"/>
      <c r="GL374" s="120"/>
      <c r="GM374" s="120"/>
      <c r="GN374" s="120"/>
      <c r="GO374" s="120"/>
      <c r="GP374" s="120"/>
      <c r="GQ374" s="120"/>
      <c r="GR374" s="120"/>
      <c r="GS374" s="120"/>
      <c r="GT374" s="120"/>
      <c r="GU374" s="120"/>
      <c r="GV374" s="120"/>
      <c r="GW374" s="120"/>
      <c r="GX374" s="120"/>
      <c r="GY374" s="120"/>
      <c r="GZ374" s="120"/>
      <c r="HA374" s="120"/>
      <c r="HB374" s="120"/>
      <c r="HC374" s="120"/>
      <c r="HD374" s="120"/>
      <c r="HE374" s="120"/>
      <c r="HF374" s="120"/>
      <c r="HG374" s="120"/>
      <c r="HH374" s="120"/>
      <c r="HI374" s="120"/>
      <c r="HJ374" s="120"/>
      <c r="HK374" s="120"/>
      <c r="HL374" s="120"/>
      <c r="HM374" s="120"/>
      <c r="HN374" s="120"/>
      <c r="HO374" s="120"/>
      <c r="HP374" s="120"/>
      <c r="HQ374" s="120"/>
      <c r="HR374" s="120"/>
      <c r="HS374" s="120"/>
      <c r="HT374" s="120"/>
      <c r="HU374" s="120"/>
      <c r="HV374" s="120"/>
      <c r="HW374" s="120"/>
      <c r="HX374" s="120"/>
      <c r="HY374" s="120"/>
      <c r="HZ374" s="120"/>
      <c r="IA374" s="120"/>
      <c r="IB374" s="120"/>
      <c r="IC374" s="120"/>
      <c r="ID374" s="120"/>
      <c r="IE374" s="120"/>
      <c r="IF374" s="120"/>
      <c r="IG374" s="120"/>
      <c r="IH374" s="120"/>
      <c r="II374" s="120"/>
      <c r="IJ374" s="120"/>
      <c r="IK374" s="120"/>
      <c r="IL374" s="120"/>
      <c r="IM374" s="120"/>
      <c r="IN374" s="120"/>
      <c r="IO374" s="120"/>
      <c r="IP374" s="120"/>
      <c r="IQ374" s="120"/>
      <c r="IR374" s="120"/>
      <c r="IS374" s="120"/>
      <c r="IT374" s="120"/>
      <c r="IU374" s="120"/>
      <c r="IV374" s="120"/>
      <c r="IW374" s="120"/>
      <c r="IX374" s="120"/>
      <c r="IY374" s="120"/>
      <c r="IZ374" s="120"/>
      <c r="JA374" s="120"/>
      <c r="JB374" s="120"/>
      <c r="JC374" s="120"/>
      <c r="JD374" s="120"/>
      <c r="JE374" s="120"/>
      <c r="JF374" s="120"/>
      <c r="JG374" s="120"/>
      <c r="JH374" s="120"/>
      <c r="JI374" s="120"/>
      <c r="JJ374" s="120"/>
      <c r="JK374" s="120"/>
      <c r="JL374" s="120"/>
      <c r="JM374" s="120"/>
      <c r="JN374" s="120"/>
      <c r="JO374" s="120"/>
      <c r="JP374" s="120"/>
      <c r="JQ374" s="120"/>
      <c r="JR374" s="120"/>
      <c r="JS374" s="120"/>
      <c r="JT374" s="120"/>
      <c r="JU374" s="120"/>
      <c r="JV374" s="120"/>
      <c r="JW374" s="120"/>
      <c r="JX374" s="120"/>
      <c r="JY374" s="120"/>
      <c r="JZ374" s="120"/>
      <c r="KA374" s="120"/>
      <c r="KB374" s="120"/>
      <c r="KC374" s="120"/>
      <c r="KD374" s="120"/>
      <c r="KE374" s="120"/>
      <c r="KF374" s="120"/>
      <c r="KG374" s="120"/>
      <c r="KH374" s="120"/>
      <c r="KI374" s="120"/>
      <c r="KJ374" s="120"/>
      <c r="KK374" s="120"/>
      <c r="KL374" s="120"/>
      <c r="KM374" s="120"/>
      <c r="KN374" s="120"/>
      <c r="KO374" s="120"/>
      <c r="KP374" s="120"/>
      <c r="KQ374" s="120"/>
      <c r="KR374" s="120"/>
      <c r="KS374" s="120"/>
      <c r="KT374" s="120"/>
      <c r="KU374" s="120"/>
      <c r="KV374" s="120"/>
      <c r="KW374" s="120"/>
      <c r="KX374" s="120"/>
      <c r="KY374" s="120"/>
      <c r="KZ374" s="120"/>
      <c r="LA374" s="120"/>
      <c r="LB374" s="120"/>
      <c r="LC374" s="120"/>
      <c r="LD374" s="120"/>
      <c r="LE374" s="120"/>
      <c r="LF374" s="120"/>
      <c r="LG374" s="120"/>
      <c r="LH374" s="120"/>
      <c r="LI374" s="120"/>
      <c r="LJ374" s="120"/>
      <c r="LK374" s="120"/>
      <c r="LL374" s="120"/>
      <c r="LM374" s="120"/>
      <c r="LN374" s="120"/>
      <c r="LO374" s="120"/>
      <c r="LP374" s="120"/>
      <c r="LQ374" s="120"/>
      <c r="LR374" s="120"/>
      <c r="LS374" s="120"/>
      <c r="LT374" s="120"/>
      <c r="LU374" s="120"/>
      <c r="LV374" s="120"/>
      <c r="LW374" s="120"/>
      <c r="LX374" s="120"/>
      <c r="LY374" s="120"/>
      <c r="LZ374" s="120"/>
      <c r="MA374" s="120"/>
      <c r="MB374" s="120"/>
      <c r="MC374" s="120"/>
      <c r="MD374" s="120"/>
      <c r="ME374" s="120"/>
      <c r="MF374" s="120"/>
      <c r="MG374" s="120"/>
      <c r="MH374" s="120"/>
      <c r="MI374" s="120"/>
      <c r="MJ374" s="120"/>
      <c r="MK374" s="120"/>
      <c r="ML374" s="120"/>
      <c r="MM374" s="120"/>
      <c r="MN374" s="120"/>
      <c r="MO374" s="120"/>
      <c r="MP374" s="120"/>
      <c r="MQ374" s="120"/>
      <c r="MR374" s="120"/>
      <c r="MS374" s="120"/>
      <c r="MT374" s="120"/>
      <c r="MU374" s="120"/>
      <c r="MV374" s="120"/>
      <c r="MW374" s="120"/>
      <c r="MX374" s="120"/>
      <c r="MY374" s="120"/>
      <c r="MZ374" s="120"/>
      <c r="NA374" s="120"/>
      <c r="NB374" s="120"/>
      <c r="NC374" s="120"/>
      <c r="ND374" s="120"/>
      <c r="NE374" s="120"/>
      <c r="NF374" s="120"/>
      <c r="NG374" s="120"/>
      <c r="NH374" s="120"/>
      <c r="NI374" s="120"/>
      <c r="NJ374" s="120"/>
      <c r="NK374" s="120"/>
      <c r="NL374" s="120"/>
      <c r="NM374" s="120"/>
      <c r="NN374" s="120"/>
      <c r="NO374" s="120"/>
      <c r="NP374" s="120"/>
      <c r="NQ374" s="120"/>
      <c r="NR374" s="120"/>
      <c r="NS374" s="120"/>
      <c r="NT374" s="120"/>
      <c r="NU374" s="120"/>
      <c r="NV374" s="120"/>
      <c r="NW374" s="120"/>
      <c r="NX374" s="120"/>
      <c r="NY374" s="120"/>
      <c r="NZ374" s="120"/>
      <c r="OA374" s="120"/>
      <c r="OB374" s="120"/>
      <c r="OC374" s="120"/>
      <c r="OD374" s="120"/>
      <c r="OE374" s="120"/>
      <c r="OF374" s="120"/>
      <c r="OG374" s="120"/>
      <c r="OH374" s="120"/>
      <c r="OI374" s="120"/>
      <c r="OJ374" s="120"/>
      <c r="OK374" s="120"/>
      <c r="OL374" s="120"/>
      <c r="OM374" s="120"/>
      <c r="ON374" s="120"/>
      <c r="OO374" s="120"/>
      <c r="OP374" s="120"/>
      <c r="OQ374" s="120"/>
      <c r="OR374" s="120"/>
      <c r="OS374" s="120"/>
      <c r="OT374" s="120"/>
      <c r="OU374" s="120"/>
      <c r="OV374" s="120"/>
      <c r="OW374" s="120"/>
      <c r="OX374" s="120"/>
      <c r="OY374" s="120"/>
      <c r="OZ374" s="120"/>
      <c r="PA374" s="120"/>
      <c r="PB374" s="120"/>
      <c r="PC374" s="120"/>
      <c r="PD374" s="120"/>
      <c r="PE374" s="120"/>
      <c r="PF374" s="120"/>
      <c r="PG374" s="120"/>
      <c r="PH374" s="120"/>
      <c r="PI374" s="120"/>
      <c r="PJ374" s="120"/>
      <c r="PK374" s="120"/>
      <c r="PL374" s="120"/>
      <c r="PM374" s="120"/>
      <c r="PN374" s="120"/>
      <c r="PO374" s="120"/>
      <c r="PP374" s="120"/>
      <c r="PQ374" s="120"/>
      <c r="PR374" s="120"/>
      <c r="PS374" s="120"/>
      <c r="PT374" s="120"/>
      <c r="PU374" s="120"/>
      <c r="PV374" s="120"/>
      <c r="PW374" s="120"/>
      <c r="PX374" s="120"/>
      <c r="PY374" s="120"/>
      <c r="PZ374" s="120"/>
      <c r="QA374" s="120"/>
      <c r="QB374" s="120"/>
      <c r="QC374" s="120"/>
      <c r="QD374" s="120"/>
      <c r="QE374" s="120"/>
      <c r="QF374" s="120"/>
      <c r="QG374" s="120"/>
      <c r="QH374" s="120"/>
      <c r="QI374" s="120"/>
      <c r="QJ374" s="120"/>
      <c r="QK374" s="120"/>
      <c r="QL374" s="120"/>
      <c r="QM374" s="120"/>
      <c r="QN374" s="120"/>
      <c r="QO374" s="120"/>
      <c r="QP374" s="120"/>
      <c r="QQ374" s="120"/>
      <c r="QR374" s="120"/>
      <c r="QS374" s="120"/>
      <c r="QT374" s="120"/>
      <c r="QU374" s="120"/>
      <c r="QV374" s="120"/>
      <c r="QW374" s="120"/>
      <c r="QX374" s="120"/>
      <c r="QY374" s="120"/>
      <c r="QZ374" s="120"/>
      <c r="RA374" s="120"/>
      <c r="RB374" s="120"/>
      <c r="RC374" s="120"/>
      <c r="RD374" s="120"/>
      <c r="RE374" s="120"/>
      <c r="RF374" s="120"/>
      <c r="RG374" s="120"/>
      <c r="RH374" s="120"/>
      <c r="RI374" s="120"/>
      <c r="RJ374" s="120"/>
      <c r="RK374" s="120"/>
      <c r="RL374" s="120"/>
      <c r="RM374" s="120"/>
      <c r="RN374" s="120"/>
      <c r="RO374" s="120"/>
      <c r="RP374" s="120"/>
      <c r="RQ374" s="120"/>
      <c r="RR374" s="120"/>
      <c r="RS374" s="120"/>
      <c r="RT374" s="120"/>
      <c r="RU374" s="120"/>
      <c r="RV374" s="120"/>
      <c r="RW374" s="120"/>
      <c r="RX374" s="120"/>
      <c r="RY374" s="120"/>
      <c r="RZ374" s="120"/>
      <c r="SA374" s="120"/>
      <c r="SB374" s="120"/>
      <c r="SC374" s="120"/>
      <c r="SD374" s="120"/>
      <c r="SE374" s="120"/>
      <c r="SF374" s="120"/>
      <c r="SG374" s="120"/>
      <c r="SH374" s="120"/>
      <c r="SI374" s="120"/>
      <c r="SJ374" s="120"/>
      <c r="SK374" s="120"/>
      <c r="SL374" s="120"/>
      <c r="SM374" s="120"/>
      <c r="SN374" s="120"/>
      <c r="SO374" s="120"/>
      <c r="SP374" s="120"/>
      <c r="SQ374" s="120"/>
      <c r="SR374" s="120"/>
      <c r="SS374" s="120"/>
      <c r="ST374" s="120"/>
      <c r="SU374" s="120"/>
      <c r="SV374" s="120"/>
      <c r="SW374" s="120"/>
      <c r="SX374" s="120"/>
      <c r="SY374" s="120"/>
      <c r="SZ374" s="120"/>
      <c r="TA374" s="120"/>
      <c r="TB374" s="120"/>
      <c r="TC374" s="120"/>
      <c r="TD374" s="120"/>
      <c r="TE374" s="120"/>
      <c r="TF374" s="120"/>
      <c r="TG374" s="120"/>
      <c r="TH374" s="120"/>
      <c r="TI374" s="120"/>
      <c r="TJ374" s="120"/>
      <c r="TK374" s="120"/>
      <c r="TL374" s="120"/>
      <c r="TM374" s="120"/>
      <c r="TN374" s="120"/>
      <c r="TO374" s="120"/>
      <c r="TP374" s="120"/>
      <c r="TQ374" s="120"/>
      <c r="TR374" s="120"/>
      <c r="TS374" s="120"/>
      <c r="TT374" s="120"/>
      <c r="TU374" s="120"/>
      <c r="TV374" s="120"/>
      <c r="TW374" s="120"/>
      <c r="TX374" s="120"/>
      <c r="TY374" s="120"/>
      <c r="TZ374" s="120"/>
      <c r="UA374" s="120"/>
      <c r="UB374" s="120"/>
      <c r="UC374" s="120"/>
      <c r="UD374" s="120"/>
      <c r="UE374" s="120"/>
      <c r="UF374" s="120"/>
      <c r="UG374" s="120"/>
      <c r="UH374" s="120"/>
      <c r="UI374" s="120"/>
      <c r="UJ374" s="120"/>
      <c r="UK374" s="120"/>
      <c r="UL374" s="120"/>
      <c r="UM374" s="120"/>
      <c r="UN374" s="120"/>
      <c r="UO374" s="120"/>
      <c r="UP374" s="120"/>
      <c r="UQ374" s="120"/>
      <c r="UR374" s="120"/>
      <c r="US374" s="120"/>
      <c r="UT374" s="120"/>
      <c r="UU374" s="120"/>
      <c r="UV374" s="120"/>
      <c r="UW374" s="120"/>
      <c r="UX374" s="120"/>
      <c r="UY374" s="120"/>
      <c r="UZ374" s="120"/>
      <c r="VA374" s="120"/>
      <c r="VB374" s="120"/>
      <c r="VC374" s="120"/>
      <c r="VD374" s="120"/>
      <c r="VE374" s="120"/>
      <c r="VF374" s="120"/>
      <c r="VG374" s="120"/>
      <c r="VH374" s="120"/>
      <c r="VI374" s="120"/>
      <c r="VJ374" s="120"/>
      <c r="VK374" s="120"/>
      <c r="VL374" s="120"/>
      <c r="VM374" s="120"/>
      <c r="VN374" s="120"/>
      <c r="VO374" s="120"/>
      <c r="VP374" s="120"/>
      <c r="VQ374" s="120"/>
      <c r="VR374" s="120"/>
      <c r="VS374" s="120"/>
      <c r="VT374" s="120"/>
      <c r="VU374" s="120"/>
      <c r="VV374" s="120"/>
      <c r="VW374" s="120"/>
      <c r="VX374" s="120"/>
      <c r="VY374" s="120"/>
      <c r="VZ374" s="120"/>
      <c r="WA374" s="120"/>
      <c r="WB374" s="120"/>
      <c r="WC374" s="120"/>
      <c r="WD374" s="120"/>
      <c r="WE374" s="120"/>
      <c r="WF374" s="120"/>
      <c r="WG374" s="120"/>
      <c r="WH374" s="120"/>
      <c r="WI374" s="120"/>
      <c r="WJ374" s="120"/>
      <c r="WK374" s="120"/>
      <c r="WL374" s="120"/>
      <c r="WM374" s="120"/>
      <c r="WN374" s="120"/>
      <c r="WO374" s="120"/>
      <c r="WP374" s="120"/>
      <c r="WQ374" s="120"/>
      <c r="WR374" s="120"/>
      <c r="WS374" s="120"/>
      <c r="WT374" s="120"/>
      <c r="WU374" s="120"/>
      <c r="WV374" s="120"/>
      <c r="WW374" s="120"/>
      <c r="WX374" s="120"/>
      <c r="WY374" s="120"/>
      <c r="WZ374" s="120"/>
      <c r="XA374" s="120"/>
      <c r="XB374" s="120"/>
      <c r="XC374" s="120"/>
      <c r="XD374" s="120"/>
      <c r="XE374" s="120"/>
      <c r="XF374" s="120"/>
      <c r="XG374" s="120"/>
      <c r="XH374" s="120"/>
      <c r="XI374" s="120"/>
      <c r="XJ374" s="120"/>
      <c r="XK374" s="120"/>
      <c r="XL374" s="120"/>
      <c r="XM374" s="120"/>
      <c r="XN374" s="120"/>
      <c r="XO374" s="120"/>
      <c r="XP374" s="120"/>
      <c r="XQ374" s="120"/>
      <c r="XR374" s="120"/>
      <c r="XS374" s="120"/>
      <c r="XT374" s="120"/>
      <c r="XU374" s="120"/>
      <c r="XV374" s="120"/>
      <c r="XW374" s="120"/>
      <c r="XX374" s="120"/>
      <c r="XY374" s="120"/>
      <c r="XZ374" s="120"/>
      <c r="YA374" s="120"/>
      <c r="YB374" s="120"/>
      <c r="YC374" s="120"/>
      <c r="YD374" s="120"/>
      <c r="YE374" s="120"/>
      <c r="YF374" s="120"/>
      <c r="YG374" s="120"/>
      <c r="YH374" s="120"/>
      <c r="YI374" s="120"/>
      <c r="YJ374" s="120"/>
      <c r="YK374" s="120"/>
      <c r="YL374" s="120"/>
      <c r="YM374" s="120"/>
      <c r="YN374" s="120"/>
      <c r="YO374" s="120"/>
      <c r="YP374" s="120"/>
      <c r="YQ374" s="120"/>
      <c r="YR374" s="120"/>
      <c r="YS374" s="120"/>
      <c r="YT374" s="120"/>
      <c r="YU374" s="120"/>
      <c r="YV374" s="120"/>
      <c r="YW374" s="120"/>
      <c r="YX374" s="120"/>
      <c r="YY374" s="120"/>
      <c r="YZ374" s="120"/>
      <c r="ZA374" s="120"/>
      <c r="ZB374" s="120"/>
      <c r="ZC374" s="120"/>
      <c r="ZD374" s="120"/>
      <c r="ZE374" s="120"/>
      <c r="ZF374" s="120"/>
      <c r="ZG374" s="120"/>
      <c r="ZH374" s="120"/>
      <c r="ZI374" s="120"/>
      <c r="ZJ374" s="120"/>
      <c r="ZK374" s="120"/>
      <c r="ZL374" s="120"/>
      <c r="ZM374" s="120"/>
      <c r="ZN374" s="120"/>
      <c r="ZO374" s="120"/>
      <c r="ZP374" s="120"/>
      <c r="ZQ374" s="120"/>
      <c r="ZR374" s="120"/>
      <c r="ZS374" s="120"/>
      <c r="ZT374" s="120"/>
      <c r="ZU374" s="120"/>
      <c r="ZV374" s="120"/>
      <c r="ZW374" s="120"/>
      <c r="ZX374" s="120"/>
      <c r="ZY374" s="120"/>
      <c r="ZZ374" s="120"/>
      <c r="AAA374" s="120"/>
      <c r="AAB374" s="120"/>
      <c r="AAC374" s="120"/>
      <c r="AAD374" s="120"/>
      <c r="AAE374" s="120"/>
      <c r="AAF374" s="120"/>
      <c r="AAG374" s="120"/>
      <c r="AAH374" s="120"/>
      <c r="AAI374" s="120"/>
      <c r="AAJ374" s="120"/>
      <c r="AAK374" s="120"/>
      <c r="AAL374" s="120"/>
      <c r="AAM374" s="120"/>
      <c r="AAN374" s="120"/>
      <c r="AAO374" s="120"/>
      <c r="AAP374" s="120"/>
      <c r="AAQ374" s="120"/>
      <c r="AAR374" s="120"/>
      <c r="AAS374" s="120"/>
      <c r="AAT374" s="120"/>
      <c r="AAU374" s="120"/>
      <c r="AAV374" s="120"/>
      <c r="AAW374" s="120"/>
      <c r="AAX374" s="120"/>
      <c r="AAY374" s="120"/>
      <c r="AAZ374" s="120"/>
      <c r="ABA374" s="120"/>
      <c r="ABB374" s="120"/>
      <c r="ABC374" s="120"/>
      <c r="ABD374" s="120"/>
      <c r="ABE374" s="120"/>
      <c r="ABF374" s="120"/>
      <c r="ABG374" s="120"/>
      <c r="ABH374" s="120"/>
      <c r="ABI374" s="120"/>
      <c r="ABJ374" s="120"/>
      <c r="ABK374" s="120"/>
      <c r="ABL374" s="120"/>
      <c r="ABM374" s="120"/>
      <c r="ABN374" s="120"/>
      <c r="ABO374" s="120"/>
      <c r="ABP374" s="120"/>
      <c r="ABQ374" s="120"/>
      <c r="ABR374" s="120"/>
      <c r="ABS374" s="120"/>
      <c r="ABT374" s="120"/>
      <c r="ABU374" s="120"/>
      <c r="ABV374" s="120"/>
      <c r="ABW374" s="120"/>
      <c r="ABX374" s="120"/>
      <c r="ABY374" s="120"/>
      <c r="ABZ374" s="120"/>
      <c r="ACA374" s="120"/>
      <c r="ACB374" s="120"/>
      <c r="ACC374" s="120"/>
      <c r="ACD374" s="120"/>
      <c r="ACE374" s="120"/>
      <c r="ACF374" s="120"/>
      <c r="ACG374" s="120"/>
      <c r="ACH374" s="120"/>
      <c r="ACI374" s="120"/>
      <c r="ACJ374" s="120"/>
      <c r="ACK374" s="120"/>
      <c r="ACL374" s="120"/>
      <c r="ACM374" s="120"/>
      <c r="ACN374" s="120"/>
      <c r="ACO374" s="120"/>
      <c r="ACP374" s="120"/>
      <c r="ACQ374" s="120"/>
      <c r="ACR374" s="120"/>
      <c r="ACS374" s="120"/>
      <c r="ACT374" s="120"/>
      <c r="ACU374" s="120"/>
      <c r="ACV374" s="120"/>
      <c r="ACW374" s="120"/>
      <c r="ACX374" s="120"/>
      <c r="ACY374" s="120"/>
      <c r="ACZ374" s="120"/>
      <c r="ADA374" s="120"/>
      <c r="ADB374" s="120"/>
      <c r="ADC374" s="120"/>
      <c r="ADD374" s="120"/>
      <c r="ADE374" s="120"/>
      <c r="ADF374" s="120"/>
      <c r="ADG374" s="120"/>
      <c r="ADH374" s="120"/>
      <c r="ADI374" s="120"/>
      <c r="ADJ374" s="120"/>
      <c r="ADK374" s="120"/>
      <c r="ADL374" s="120"/>
      <c r="ADM374" s="120"/>
      <c r="ADN374" s="120"/>
      <c r="ADO374" s="120"/>
      <c r="ADP374" s="120"/>
      <c r="ADQ374" s="120"/>
      <c r="ADR374" s="120"/>
      <c r="ADS374" s="120"/>
      <c r="ADT374" s="120"/>
      <c r="ADU374" s="120"/>
      <c r="ADV374" s="120"/>
      <c r="ADW374" s="120"/>
      <c r="ADX374" s="120"/>
      <c r="ADY374" s="120"/>
      <c r="ADZ374" s="120"/>
      <c r="AEA374" s="120"/>
      <c r="AEB374" s="120"/>
      <c r="AEC374" s="120"/>
      <c r="AED374" s="120"/>
      <c r="AEE374" s="120"/>
      <c r="AEF374" s="120"/>
      <c r="AEG374" s="120"/>
      <c r="AEH374" s="120"/>
      <c r="AEI374" s="120"/>
      <c r="AEJ374" s="120"/>
      <c r="AEK374" s="120"/>
      <c r="AEL374" s="120"/>
      <c r="AEM374" s="120"/>
      <c r="AEN374" s="120"/>
      <c r="AEO374" s="120"/>
      <c r="AEP374" s="120"/>
      <c r="AEQ374" s="120"/>
      <c r="AER374" s="120"/>
      <c r="AES374" s="120"/>
      <c r="AET374" s="120"/>
      <c r="AEU374" s="120"/>
      <c r="AEV374" s="120"/>
      <c r="AEW374" s="120"/>
      <c r="AEX374" s="120"/>
      <c r="AEY374" s="120"/>
      <c r="AEZ374" s="120"/>
      <c r="AFA374" s="120"/>
      <c r="AFB374" s="120"/>
      <c r="AFC374" s="120"/>
      <c r="AFD374" s="120"/>
      <c r="AFE374" s="120"/>
      <c r="AFF374" s="120"/>
      <c r="AFG374" s="120"/>
      <c r="AFH374" s="120"/>
      <c r="AFI374" s="120"/>
      <c r="AFJ374" s="120"/>
      <c r="AFK374" s="120"/>
      <c r="AFL374" s="120"/>
      <c r="AFM374" s="120"/>
      <c r="AFN374" s="120"/>
      <c r="AFO374" s="120"/>
      <c r="AFP374" s="120"/>
      <c r="AFQ374" s="120"/>
      <c r="AFR374" s="120"/>
      <c r="AFS374" s="120"/>
      <c r="AFT374" s="120"/>
      <c r="AFU374" s="120"/>
      <c r="AFV374" s="120"/>
      <c r="AFW374" s="120"/>
      <c r="AFX374" s="120"/>
      <c r="AFY374" s="120"/>
      <c r="AFZ374" s="120"/>
      <c r="AGA374" s="120"/>
      <c r="AGB374" s="120"/>
      <c r="AGC374" s="120"/>
      <c r="AGD374" s="120"/>
      <c r="AGE374" s="120"/>
      <c r="AGF374" s="120"/>
      <c r="AGG374" s="120"/>
      <c r="AGH374" s="120"/>
      <c r="AGI374" s="120"/>
      <c r="AGJ374" s="120"/>
      <c r="AGK374" s="120"/>
      <c r="AGL374" s="120"/>
      <c r="AGM374" s="120"/>
      <c r="AGN374" s="120"/>
      <c r="AGO374" s="120"/>
      <c r="AGP374" s="120"/>
      <c r="AGQ374" s="120"/>
      <c r="AGR374" s="120"/>
      <c r="AGS374" s="120"/>
      <c r="AGT374" s="120"/>
      <c r="AGU374" s="120"/>
      <c r="AGV374" s="120"/>
      <c r="AGW374" s="120"/>
      <c r="AGX374" s="120"/>
      <c r="AGY374" s="120"/>
      <c r="AGZ374" s="120"/>
      <c r="AHA374" s="120"/>
      <c r="AHB374" s="120"/>
      <c r="AHC374" s="120"/>
      <c r="AHD374" s="120"/>
      <c r="AHE374" s="120"/>
      <c r="AHF374" s="120"/>
      <c r="AHG374" s="120"/>
      <c r="AHH374" s="120"/>
      <c r="AHI374" s="120"/>
      <c r="AHJ374" s="120"/>
      <c r="AHK374" s="120"/>
      <c r="AHL374" s="120"/>
      <c r="AHM374" s="120"/>
      <c r="AHN374" s="120"/>
      <c r="AHO374" s="120"/>
      <c r="AHP374" s="120"/>
      <c r="AHQ374" s="120"/>
      <c r="AHR374" s="120"/>
      <c r="AHS374" s="120"/>
      <c r="AHT374" s="120"/>
      <c r="AHU374" s="120"/>
      <c r="AHV374" s="120"/>
      <c r="AHW374" s="120"/>
      <c r="AHX374" s="120"/>
      <c r="AHY374" s="120"/>
      <c r="AHZ374" s="120"/>
      <c r="AIA374" s="120"/>
      <c r="AIB374" s="120"/>
      <c r="AIC374" s="120"/>
      <c r="AID374" s="120"/>
      <c r="AIE374" s="120"/>
      <c r="AIF374" s="120"/>
      <c r="AIG374" s="120"/>
      <c r="AIH374" s="120"/>
      <c r="AII374" s="120"/>
      <c r="AIJ374" s="120"/>
      <c r="AIK374" s="120"/>
      <c r="AIL374" s="120"/>
      <c r="AIM374" s="120"/>
      <c r="AIN374" s="120"/>
      <c r="AIO374" s="120"/>
      <c r="AIP374" s="120"/>
      <c r="AIQ374" s="120"/>
      <c r="AIR374" s="120"/>
      <c r="AIS374" s="120"/>
      <c r="AIT374" s="120"/>
      <c r="AIU374" s="120"/>
      <c r="AIV374" s="120"/>
      <c r="AIW374" s="120"/>
      <c r="AIX374" s="120"/>
      <c r="AIY374" s="120"/>
      <c r="AIZ374" s="120"/>
    </row>
    <row r="375">
      <c r="A375" s="112" t="s">
        <v>38</v>
      </c>
      <c r="B375" s="112" t="s">
        <v>96</v>
      </c>
      <c r="C375" s="112"/>
      <c r="D375" s="113">
        <f t="shared" si="1"/>
        <v>606.7891</v>
      </c>
      <c r="E375" s="112">
        <v>27.3359666666666</v>
      </c>
      <c r="F375" s="113"/>
      <c r="G375" s="113"/>
      <c r="H375" s="113"/>
      <c r="I375" s="113"/>
      <c r="J375" s="113"/>
      <c r="K375" s="113"/>
      <c r="L375" s="112">
        <v>0.695366666666667</v>
      </c>
      <c r="M375" s="112">
        <v>1.0163</v>
      </c>
      <c r="N375" s="113"/>
      <c r="O375" s="113"/>
      <c r="P375" s="112">
        <v>39.5766833333334</v>
      </c>
      <c r="Q375" s="113"/>
      <c r="R375" s="113"/>
      <c r="S375" s="113"/>
      <c r="T375" s="113"/>
      <c r="U375" s="113"/>
      <c r="V375" s="112">
        <v>0.783366666666667</v>
      </c>
      <c r="W375" s="112">
        <v>119.141566666667</v>
      </c>
      <c r="X375" s="113"/>
      <c r="Y375" s="113"/>
      <c r="Z375" s="113"/>
      <c r="AA375" s="113"/>
      <c r="AB375" s="113"/>
      <c r="AC375" s="112">
        <v>1.4256</v>
      </c>
      <c r="AD375" s="112">
        <v>260.979016666667</v>
      </c>
      <c r="AE375" s="113"/>
      <c r="AF375" s="113"/>
      <c r="AG375" s="113"/>
      <c r="AH375" s="113"/>
      <c r="AI375" s="113"/>
      <c r="AJ375" s="112">
        <v>6.80261666666667</v>
      </c>
      <c r="AK375" s="112">
        <v>53.5827166666666</v>
      </c>
      <c r="AL375" s="113"/>
      <c r="AM375" s="113"/>
      <c r="AN375" s="113"/>
      <c r="AO375" s="112">
        <v>4.91183333333333</v>
      </c>
      <c r="AP375" s="112">
        <v>7.88248333333333</v>
      </c>
      <c r="AQ375" s="113"/>
      <c r="AR375" s="113"/>
      <c r="AS375" s="112">
        <v>1.91568333333333</v>
      </c>
      <c r="AT375" s="112">
        <v>74.8200666666666</v>
      </c>
      <c r="AU375" s="113"/>
      <c r="AV375" s="112">
        <v>5.57313333333333</v>
      </c>
      <c r="AW375" s="112">
        <v>0.3467</v>
      </c>
      <c r="AX375" s="113"/>
      <c r="AY375" s="113"/>
      <c r="AZ375" s="113"/>
      <c r="BA375" s="113"/>
      <c r="BB375" s="113"/>
      <c r="BC375" s="113"/>
      <c r="BD375" s="113"/>
      <c r="BE375" s="113"/>
      <c r="BF375" s="113"/>
      <c r="BG375" s="113"/>
      <c r="BH375" s="113"/>
      <c r="BI375" s="113"/>
      <c r="BJ375" s="113"/>
      <c r="BK375" s="113"/>
      <c r="BL375" s="113"/>
      <c r="BM375" s="113"/>
      <c r="BN375" s="113"/>
      <c r="BO375" s="113"/>
      <c r="BP375" s="113"/>
      <c r="BQ375" s="113"/>
      <c r="BR375" s="113"/>
      <c r="BS375" s="113"/>
      <c r="BT375" s="113"/>
      <c r="BU375" s="113"/>
      <c r="BV375" s="113"/>
      <c r="BW375" s="113"/>
      <c r="BX375" s="113"/>
      <c r="BY375" s="113"/>
      <c r="BZ375" s="113"/>
      <c r="CA375" s="113"/>
      <c r="CB375" s="113"/>
      <c r="CC375" s="113"/>
      <c r="CD375" s="113"/>
      <c r="CE375" s="113"/>
      <c r="CF375" s="113"/>
      <c r="CG375" s="113"/>
      <c r="CH375" s="113"/>
      <c r="CI375" s="113"/>
      <c r="CJ375" s="113"/>
      <c r="CK375" s="113"/>
      <c r="CL375" s="113"/>
      <c r="CM375" s="113"/>
      <c r="CN375" s="113"/>
      <c r="CO375" s="113"/>
      <c r="CP375" s="113"/>
      <c r="CQ375" s="113"/>
      <c r="CR375" s="113"/>
      <c r="CS375" s="113"/>
      <c r="CT375" s="113"/>
      <c r="CU375" s="113"/>
      <c r="CV375" s="113"/>
      <c r="CW375" s="113"/>
      <c r="CX375" s="113"/>
      <c r="CY375" s="113"/>
      <c r="CZ375" s="113"/>
      <c r="DA375" s="113"/>
      <c r="DB375" s="113"/>
      <c r="DC375" s="113"/>
      <c r="DD375" s="113"/>
      <c r="DE375" s="113"/>
      <c r="DF375" s="113"/>
      <c r="DG375" s="113"/>
      <c r="DH375" s="113"/>
      <c r="DI375" s="113"/>
      <c r="DJ375" s="113"/>
      <c r="DK375" s="113"/>
      <c r="DL375" s="113"/>
      <c r="DM375" s="113"/>
      <c r="DN375" s="113"/>
      <c r="DO375" s="113"/>
      <c r="DP375" s="113"/>
      <c r="DQ375" s="113"/>
      <c r="DR375" s="113"/>
      <c r="DS375" s="113"/>
      <c r="DT375" s="113"/>
      <c r="DU375" s="113"/>
      <c r="DV375" s="113"/>
      <c r="DW375" s="113"/>
      <c r="DX375" s="113"/>
      <c r="DY375" s="113"/>
      <c r="DZ375" s="113"/>
      <c r="EA375" s="113"/>
      <c r="EB375" s="113"/>
      <c r="EC375" s="113"/>
      <c r="ED375" s="113"/>
      <c r="EE375" s="113"/>
      <c r="EF375" s="113"/>
      <c r="EG375" s="113"/>
      <c r="EH375" s="113"/>
      <c r="EI375" s="113"/>
      <c r="EJ375" s="113"/>
      <c r="EK375" s="113"/>
      <c r="EL375" s="113"/>
      <c r="EM375" s="113"/>
      <c r="EN375" s="113"/>
      <c r="EO375" s="113"/>
      <c r="EP375" s="113"/>
      <c r="EQ375" s="113"/>
      <c r="ER375" s="113"/>
      <c r="ES375" s="113"/>
      <c r="ET375" s="113"/>
      <c r="EU375" s="113"/>
      <c r="EV375" s="113"/>
      <c r="EW375" s="113"/>
      <c r="EX375" s="113"/>
      <c r="EY375" s="113"/>
      <c r="EZ375" s="113"/>
      <c r="FA375" s="113"/>
      <c r="FB375" s="113"/>
      <c r="FC375" s="113"/>
      <c r="FD375" s="113"/>
      <c r="FE375" s="113"/>
      <c r="FF375" s="113"/>
      <c r="FG375" s="113"/>
      <c r="FH375" s="113"/>
      <c r="FI375" s="113"/>
      <c r="FJ375" s="113"/>
      <c r="FK375" s="113"/>
      <c r="FL375" s="113"/>
      <c r="FM375" s="113"/>
      <c r="FN375" s="113"/>
      <c r="FO375" s="113"/>
      <c r="FP375" s="113"/>
      <c r="FQ375" s="113"/>
      <c r="FR375" s="113"/>
      <c r="FS375" s="113"/>
      <c r="FT375" s="113"/>
      <c r="FU375" s="113"/>
      <c r="FV375" s="113"/>
      <c r="FW375" s="113"/>
      <c r="FX375" s="113"/>
      <c r="FY375" s="113"/>
      <c r="FZ375" s="113"/>
      <c r="GA375" s="113"/>
      <c r="GB375" s="113"/>
      <c r="GC375" s="113"/>
      <c r="GD375" s="113"/>
      <c r="GE375" s="113"/>
      <c r="GF375" s="113"/>
      <c r="GG375" s="113"/>
      <c r="GH375" s="113"/>
      <c r="GI375" s="113"/>
      <c r="GJ375" s="113"/>
      <c r="GK375" s="113"/>
      <c r="GL375" s="113"/>
      <c r="GM375" s="113"/>
      <c r="GN375" s="113"/>
      <c r="GO375" s="113"/>
      <c r="GP375" s="113"/>
      <c r="GQ375" s="113"/>
      <c r="GR375" s="113"/>
      <c r="GS375" s="113"/>
      <c r="GT375" s="113"/>
      <c r="GU375" s="113"/>
      <c r="GV375" s="113"/>
      <c r="GW375" s="113"/>
      <c r="GX375" s="113"/>
      <c r="GY375" s="113"/>
      <c r="GZ375" s="113"/>
      <c r="HA375" s="113"/>
      <c r="HB375" s="113"/>
      <c r="HC375" s="113"/>
      <c r="HD375" s="113"/>
      <c r="HE375" s="113"/>
      <c r="HF375" s="113"/>
      <c r="HG375" s="113"/>
      <c r="HH375" s="113"/>
      <c r="HI375" s="113"/>
      <c r="HJ375" s="113"/>
      <c r="HK375" s="113"/>
      <c r="HL375" s="113"/>
      <c r="HM375" s="113"/>
      <c r="HN375" s="113"/>
      <c r="HO375" s="113"/>
      <c r="HP375" s="113"/>
      <c r="HQ375" s="113"/>
      <c r="HR375" s="113"/>
      <c r="HS375" s="113"/>
      <c r="HT375" s="113"/>
      <c r="HU375" s="113"/>
      <c r="HV375" s="113"/>
      <c r="HW375" s="113"/>
      <c r="HX375" s="113"/>
      <c r="HY375" s="113"/>
      <c r="HZ375" s="113"/>
      <c r="IA375" s="113"/>
      <c r="IB375" s="113"/>
      <c r="IC375" s="113"/>
      <c r="ID375" s="113"/>
      <c r="IE375" s="113"/>
      <c r="IF375" s="113"/>
      <c r="IG375" s="113"/>
      <c r="IH375" s="113"/>
      <c r="II375" s="113"/>
      <c r="IJ375" s="113"/>
      <c r="IK375" s="113"/>
      <c r="IL375" s="113"/>
      <c r="IM375" s="113"/>
      <c r="IN375" s="113"/>
      <c r="IO375" s="113"/>
      <c r="IP375" s="113"/>
      <c r="IQ375" s="113"/>
      <c r="IR375" s="113"/>
      <c r="IS375" s="113"/>
      <c r="IT375" s="113"/>
      <c r="IU375" s="113"/>
      <c r="IV375" s="113"/>
      <c r="IW375" s="113"/>
      <c r="IX375" s="113"/>
      <c r="IY375" s="113"/>
      <c r="IZ375" s="113"/>
      <c r="JA375" s="113"/>
      <c r="JB375" s="113"/>
      <c r="JC375" s="113"/>
      <c r="JD375" s="113"/>
      <c r="JE375" s="113"/>
      <c r="JF375" s="113"/>
      <c r="JG375" s="113"/>
      <c r="JH375" s="113"/>
      <c r="JI375" s="113"/>
      <c r="JJ375" s="113"/>
      <c r="JK375" s="113"/>
      <c r="JL375" s="113"/>
      <c r="JM375" s="113"/>
      <c r="JN375" s="113"/>
      <c r="JO375" s="113"/>
      <c r="JP375" s="113"/>
      <c r="JQ375" s="113"/>
      <c r="JR375" s="113"/>
      <c r="JS375" s="113"/>
      <c r="JT375" s="113"/>
      <c r="JU375" s="113"/>
      <c r="JV375" s="113"/>
      <c r="JW375" s="113"/>
      <c r="JX375" s="113"/>
      <c r="JY375" s="113"/>
      <c r="JZ375" s="113"/>
      <c r="KA375" s="113"/>
      <c r="KB375" s="113"/>
      <c r="KC375" s="113"/>
      <c r="KD375" s="113"/>
      <c r="KE375" s="113"/>
      <c r="KF375" s="113"/>
      <c r="KG375" s="113"/>
      <c r="KH375" s="113"/>
      <c r="KI375" s="113"/>
      <c r="KJ375" s="113"/>
      <c r="KK375" s="113"/>
      <c r="KL375" s="113"/>
      <c r="KM375" s="113"/>
      <c r="KN375" s="113"/>
      <c r="KO375" s="113"/>
      <c r="KP375" s="113"/>
      <c r="KQ375" s="113"/>
      <c r="KR375" s="113"/>
      <c r="KS375" s="113"/>
      <c r="KT375" s="113"/>
      <c r="KU375" s="113"/>
      <c r="KV375" s="113"/>
      <c r="KW375" s="113"/>
      <c r="KX375" s="113"/>
      <c r="KY375" s="113"/>
      <c r="KZ375" s="113"/>
      <c r="LA375" s="113"/>
      <c r="LB375" s="113"/>
      <c r="LC375" s="113"/>
      <c r="LD375" s="113"/>
      <c r="LE375" s="113"/>
      <c r="LF375" s="113"/>
      <c r="LG375" s="113"/>
      <c r="LH375" s="113"/>
      <c r="LI375" s="113"/>
      <c r="LJ375" s="113"/>
      <c r="LK375" s="113"/>
      <c r="LL375" s="113"/>
      <c r="LM375" s="113"/>
      <c r="LN375" s="113"/>
      <c r="LO375" s="113"/>
      <c r="LP375" s="113"/>
      <c r="LQ375" s="113"/>
      <c r="LR375" s="113"/>
      <c r="LS375" s="113"/>
      <c r="LT375" s="113"/>
      <c r="LU375" s="113"/>
      <c r="LV375" s="113"/>
      <c r="LW375" s="113"/>
      <c r="LX375" s="113"/>
      <c r="LY375" s="113"/>
      <c r="LZ375" s="113"/>
      <c r="MA375" s="113"/>
      <c r="MB375" s="113"/>
      <c r="MC375" s="113"/>
      <c r="MD375" s="113"/>
      <c r="ME375" s="113"/>
      <c r="MF375" s="113"/>
      <c r="MG375" s="113"/>
      <c r="MH375" s="113"/>
      <c r="MI375" s="113"/>
      <c r="MJ375" s="113"/>
      <c r="MK375" s="113"/>
      <c r="ML375" s="113"/>
      <c r="MM375" s="113"/>
      <c r="MN375" s="113"/>
      <c r="MO375" s="113"/>
      <c r="MP375" s="113"/>
      <c r="MQ375" s="113"/>
      <c r="MR375" s="113"/>
      <c r="MS375" s="113"/>
      <c r="MT375" s="113"/>
      <c r="MU375" s="113"/>
      <c r="MV375" s="113"/>
      <c r="MW375" s="113"/>
      <c r="MX375" s="113"/>
      <c r="MY375" s="113"/>
      <c r="MZ375" s="113"/>
      <c r="NA375" s="113"/>
      <c r="NB375" s="113"/>
      <c r="NC375" s="113"/>
      <c r="ND375" s="113"/>
      <c r="NE375" s="113"/>
      <c r="NF375" s="113"/>
      <c r="NG375" s="113"/>
      <c r="NH375" s="113"/>
      <c r="NI375" s="113"/>
      <c r="NJ375" s="113"/>
      <c r="NK375" s="113"/>
      <c r="NL375" s="113"/>
      <c r="NM375" s="113"/>
      <c r="NN375" s="113"/>
      <c r="NO375" s="113"/>
      <c r="NP375" s="113"/>
      <c r="NQ375" s="113"/>
      <c r="NR375" s="113"/>
      <c r="NS375" s="113"/>
      <c r="NT375" s="113"/>
      <c r="NU375" s="113"/>
      <c r="NV375" s="113"/>
      <c r="NW375" s="113"/>
      <c r="NX375" s="113"/>
      <c r="NY375" s="113"/>
      <c r="NZ375" s="113"/>
      <c r="OA375" s="113"/>
      <c r="OB375" s="113"/>
      <c r="OC375" s="113"/>
      <c r="OD375" s="113"/>
      <c r="OE375" s="113"/>
      <c r="OF375" s="113"/>
      <c r="OG375" s="113"/>
      <c r="OH375" s="113"/>
      <c r="OI375" s="113"/>
      <c r="OJ375" s="113"/>
      <c r="OK375" s="113"/>
      <c r="OL375" s="113"/>
      <c r="OM375" s="113"/>
      <c r="ON375" s="113"/>
      <c r="OO375" s="113"/>
      <c r="OP375" s="113"/>
      <c r="OQ375" s="113"/>
      <c r="OR375" s="113"/>
      <c r="OS375" s="113"/>
      <c r="OT375" s="113"/>
      <c r="OU375" s="113"/>
      <c r="OV375" s="113"/>
      <c r="OW375" s="113"/>
      <c r="OX375" s="113"/>
      <c r="OY375" s="113"/>
      <c r="OZ375" s="113"/>
      <c r="PA375" s="113"/>
      <c r="PB375" s="113"/>
      <c r="PC375" s="113"/>
      <c r="PD375" s="113"/>
      <c r="PE375" s="113"/>
      <c r="PF375" s="113"/>
      <c r="PG375" s="113"/>
      <c r="PH375" s="113"/>
      <c r="PI375" s="113"/>
      <c r="PJ375" s="113"/>
      <c r="PK375" s="113"/>
      <c r="PL375" s="113"/>
      <c r="PM375" s="113"/>
      <c r="PN375" s="113"/>
      <c r="PO375" s="113"/>
      <c r="PP375" s="113"/>
      <c r="PQ375" s="113"/>
      <c r="PR375" s="113"/>
      <c r="PS375" s="113"/>
      <c r="PT375" s="113"/>
      <c r="PU375" s="113"/>
      <c r="PV375" s="113"/>
      <c r="PW375" s="113"/>
      <c r="PX375" s="113"/>
      <c r="PY375" s="113"/>
      <c r="PZ375" s="113"/>
      <c r="QA375" s="113"/>
      <c r="QB375" s="113"/>
      <c r="QC375" s="113"/>
      <c r="QD375" s="113"/>
      <c r="QE375" s="113"/>
      <c r="QF375" s="113"/>
      <c r="QG375" s="113"/>
      <c r="QH375" s="113"/>
      <c r="QI375" s="113"/>
      <c r="QJ375" s="113"/>
      <c r="QK375" s="113"/>
      <c r="QL375" s="113"/>
      <c r="QM375" s="113"/>
      <c r="QN375" s="113"/>
      <c r="QO375" s="113"/>
      <c r="QP375" s="113"/>
      <c r="QQ375" s="113"/>
      <c r="QR375" s="113"/>
      <c r="QS375" s="113"/>
      <c r="QT375" s="113"/>
      <c r="QU375" s="113"/>
      <c r="QV375" s="113"/>
      <c r="QW375" s="113"/>
      <c r="QX375" s="113"/>
      <c r="QY375" s="113"/>
      <c r="QZ375" s="113"/>
      <c r="RA375" s="113"/>
      <c r="RB375" s="113"/>
      <c r="RC375" s="113"/>
      <c r="RD375" s="113"/>
      <c r="RE375" s="113"/>
      <c r="RF375" s="113"/>
      <c r="RG375" s="113"/>
      <c r="RH375" s="113"/>
      <c r="RI375" s="113"/>
      <c r="RJ375" s="113"/>
      <c r="RK375" s="113"/>
      <c r="RL375" s="113"/>
      <c r="RM375" s="113"/>
      <c r="RN375" s="113"/>
      <c r="RO375" s="113"/>
      <c r="RP375" s="113"/>
      <c r="RQ375" s="113"/>
      <c r="RR375" s="113"/>
      <c r="RS375" s="113"/>
      <c r="RT375" s="113"/>
      <c r="RU375" s="113"/>
      <c r="RV375" s="113"/>
      <c r="RW375" s="113"/>
      <c r="RX375" s="113"/>
      <c r="RY375" s="113"/>
      <c r="RZ375" s="113"/>
      <c r="SA375" s="113"/>
      <c r="SB375" s="113"/>
      <c r="SC375" s="113"/>
      <c r="SD375" s="113"/>
      <c r="SE375" s="113"/>
      <c r="SF375" s="113"/>
      <c r="SG375" s="113"/>
      <c r="SH375" s="113"/>
      <c r="SI375" s="113"/>
      <c r="SJ375" s="113"/>
      <c r="SK375" s="113"/>
      <c r="SL375" s="113"/>
      <c r="SM375" s="113"/>
      <c r="SN375" s="113"/>
      <c r="SO375" s="113"/>
      <c r="SP375" s="113"/>
      <c r="SQ375" s="113"/>
      <c r="SR375" s="113"/>
      <c r="SS375" s="113"/>
      <c r="ST375" s="113"/>
      <c r="SU375" s="113"/>
      <c r="SV375" s="113"/>
      <c r="SW375" s="113"/>
      <c r="SX375" s="113"/>
      <c r="SY375" s="113"/>
      <c r="SZ375" s="113"/>
      <c r="TA375" s="113"/>
      <c r="TB375" s="113"/>
      <c r="TC375" s="113"/>
      <c r="TD375" s="113"/>
      <c r="TE375" s="113"/>
      <c r="TF375" s="113"/>
      <c r="TG375" s="113"/>
      <c r="TH375" s="113"/>
      <c r="TI375" s="113"/>
      <c r="TJ375" s="113"/>
      <c r="TK375" s="113"/>
      <c r="TL375" s="113"/>
      <c r="TM375" s="113"/>
      <c r="TN375" s="113"/>
      <c r="TO375" s="113"/>
      <c r="TP375" s="113"/>
      <c r="TQ375" s="113"/>
      <c r="TR375" s="113"/>
      <c r="TS375" s="113"/>
      <c r="TT375" s="113"/>
      <c r="TU375" s="113"/>
      <c r="TV375" s="113"/>
      <c r="TW375" s="113"/>
      <c r="TX375" s="113"/>
      <c r="TY375" s="113"/>
      <c r="TZ375" s="113"/>
      <c r="UA375" s="113"/>
      <c r="UB375" s="113"/>
      <c r="UC375" s="113"/>
      <c r="UD375" s="113"/>
      <c r="UE375" s="113"/>
      <c r="UF375" s="113"/>
      <c r="UG375" s="113"/>
      <c r="UH375" s="113"/>
      <c r="UI375" s="113"/>
      <c r="UJ375" s="113"/>
      <c r="UK375" s="113"/>
      <c r="UL375" s="113"/>
      <c r="UM375" s="113"/>
      <c r="UN375" s="113"/>
      <c r="UO375" s="113"/>
      <c r="UP375" s="113"/>
      <c r="UQ375" s="113"/>
      <c r="UR375" s="113"/>
      <c r="US375" s="113"/>
      <c r="UT375" s="113"/>
      <c r="UU375" s="113"/>
      <c r="UV375" s="113"/>
      <c r="UW375" s="113"/>
      <c r="UX375" s="113"/>
      <c r="UY375" s="113"/>
      <c r="UZ375" s="113"/>
      <c r="VA375" s="113"/>
      <c r="VB375" s="113"/>
      <c r="VC375" s="113"/>
      <c r="VD375" s="113"/>
      <c r="VE375" s="113"/>
      <c r="VF375" s="113"/>
      <c r="VG375" s="113"/>
      <c r="VH375" s="113"/>
      <c r="VI375" s="113"/>
      <c r="VJ375" s="113"/>
      <c r="VK375" s="113"/>
      <c r="VL375" s="113"/>
      <c r="VM375" s="113"/>
      <c r="VN375" s="113"/>
      <c r="VO375" s="113"/>
      <c r="VP375" s="113"/>
      <c r="VQ375" s="113"/>
      <c r="VR375" s="113"/>
      <c r="VS375" s="113"/>
      <c r="VT375" s="113"/>
      <c r="VU375" s="113"/>
      <c r="VV375" s="113"/>
      <c r="VW375" s="113"/>
      <c r="VX375" s="113"/>
      <c r="VY375" s="113"/>
      <c r="VZ375" s="113"/>
      <c r="WA375" s="113"/>
      <c r="WB375" s="113"/>
      <c r="WC375" s="113"/>
      <c r="WD375" s="113"/>
      <c r="WE375" s="113"/>
      <c r="WF375" s="113"/>
      <c r="WG375" s="113"/>
      <c r="WH375" s="113"/>
      <c r="WI375" s="113"/>
      <c r="WJ375" s="113"/>
      <c r="WK375" s="113"/>
      <c r="WL375" s="113"/>
      <c r="WM375" s="113"/>
      <c r="WN375" s="113"/>
      <c r="WO375" s="113"/>
      <c r="WP375" s="113"/>
      <c r="WQ375" s="113"/>
      <c r="WR375" s="113"/>
      <c r="WS375" s="113"/>
      <c r="WT375" s="113"/>
      <c r="WU375" s="113"/>
      <c r="WV375" s="113"/>
      <c r="WW375" s="113"/>
      <c r="WX375" s="113"/>
      <c r="WY375" s="113"/>
      <c r="WZ375" s="113"/>
      <c r="XA375" s="113"/>
      <c r="XB375" s="113"/>
      <c r="XC375" s="113"/>
      <c r="XD375" s="113"/>
      <c r="XE375" s="113"/>
      <c r="XF375" s="113"/>
      <c r="XG375" s="113"/>
      <c r="XH375" s="113"/>
      <c r="XI375" s="113"/>
      <c r="XJ375" s="113"/>
      <c r="XK375" s="113"/>
      <c r="XL375" s="113"/>
      <c r="XM375" s="113"/>
      <c r="XN375" s="113"/>
      <c r="XO375" s="113"/>
      <c r="XP375" s="113"/>
      <c r="XQ375" s="113"/>
      <c r="XR375" s="113"/>
      <c r="XS375" s="113"/>
      <c r="XT375" s="113"/>
      <c r="XU375" s="113"/>
      <c r="XV375" s="113"/>
      <c r="XW375" s="113"/>
      <c r="XX375" s="113"/>
      <c r="XY375" s="113"/>
      <c r="XZ375" s="113"/>
      <c r="YA375" s="113"/>
      <c r="YB375" s="113"/>
      <c r="YC375" s="113"/>
      <c r="YD375" s="113"/>
      <c r="YE375" s="113"/>
      <c r="YF375" s="113"/>
      <c r="YG375" s="113"/>
      <c r="YH375" s="113"/>
      <c r="YI375" s="113"/>
      <c r="YJ375" s="113"/>
      <c r="YK375" s="113"/>
      <c r="YL375" s="113"/>
      <c r="YM375" s="113"/>
      <c r="YN375" s="113"/>
      <c r="YO375" s="113"/>
      <c r="YP375" s="113"/>
      <c r="YQ375" s="113"/>
      <c r="YR375" s="113"/>
      <c r="YS375" s="113"/>
      <c r="YT375" s="113"/>
      <c r="YU375" s="113"/>
      <c r="YV375" s="113"/>
      <c r="YW375" s="113"/>
      <c r="YX375" s="113"/>
      <c r="YY375" s="113"/>
      <c r="YZ375" s="113"/>
      <c r="ZA375" s="113"/>
      <c r="ZB375" s="113"/>
      <c r="ZC375" s="113"/>
      <c r="ZD375" s="113"/>
      <c r="ZE375" s="113"/>
      <c r="ZF375" s="113"/>
      <c r="ZG375" s="113"/>
      <c r="ZH375" s="113"/>
      <c r="ZI375" s="113"/>
      <c r="ZJ375" s="113"/>
      <c r="ZK375" s="113"/>
      <c r="ZL375" s="113"/>
      <c r="ZM375" s="113"/>
      <c r="ZN375" s="113"/>
      <c r="ZO375" s="113"/>
      <c r="ZP375" s="113"/>
      <c r="ZQ375" s="113"/>
      <c r="ZR375" s="113"/>
      <c r="ZS375" s="113"/>
      <c r="ZT375" s="113"/>
      <c r="ZU375" s="113"/>
      <c r="ZV375" s="113"/>
      <c r="ZW375" s="113"/>
      <c r="ZX375" s="113"/>
      <c r="ZY375" s="113"/>
      <c r="ZZ375" s="113"/>
      <c r="AAA375" s="113"/>
      <c r="AAB375" s="113"/>
      <c r="AAC375" s="113"/>
      <c r="AAD375" s="113"/>
      <c r="AAE375" s="113"/>
      <c r="AAF375" s="113"/>
      <c r="AAG375" s="113"/>
      <c r="AAH375" s="113"/>
      <c r="AAI375" s="113"/>
      <c r="AAJ375" s="113"/>
      <c r="AAK375" s="113"/>
      <c r="AAL375" s="113"/>
      <c r="AAM375" s="113"/>
      <c r="AAN375" s="113"/>
      <c r="AAO375" s="113"/>
      <c r="AAP375" s="113"/>
      <c r="AAQ375" s="113"/>
      <c r="AAR375" s="113"/>
      <c r="AAS375" s="113"/>
      <c r="AAT375" s="113"/>
      <c r="AAU375" s="113"/>
      <c r="AAV375" s="113"/>
      <c r="AAW375" s="113"/>
      <c r="AAX375" s="113"/>
      <c r="AAY375" s="113"/>
      <c r="AAZ375" s="113"/>
      <c r="ABA375" s="113"/>
      <c r="ABB375" s="113"/>
      <c r="ABC375" s="113"/>
      <c r="ABD375" s="113"/>
      <c r="ABE375" s="113"/>
      <c r="ABF375" s="113"/>
      <c r="ABG375" s="113"/>
      <c r="ABH375" s="113"/>
      <c r="ABI375" s="113"/>
      <c r="ABJ375" s="113"/>
      <c r="ABK375" s="113"/>
      <c r="ABL375" s="113"/>
      <c r="ABM375" s="113"/>
      <c r="ABN375" s="113"/>
      <c r="ABO375" s="113"/>
      <c r="ABP375" s="113"/>
      <c r="ABQ375" s="113"/>
      <c r="ABR375" s="113"/>
      <c r="ABS375" s="113"/>
      <c r="ABT375" s="113"/>
      <c r="ABU375" s="113"/>
      <c r="ABV375" s="113"/>
      <c r="ABW375" s="113"/>
      <c r="ABX375" s="113"/>
      <c r="ABY375" s="113"/>
      <c r="ABZ375" s="113"/>
      <c r="ACA375" s="113"/>
      <c r="ACB375" s="113"/>
      <c r="ACC375" s="113"/>
      <c r="ACD375" s="113"/>
      <c r="ACE375" s="113"/>
      <c r="ACF375" s="113"/>
      <c r="ACG375" s="113"/>
      <c r="ACH375" s="113"/>
      <c r="ACI375" s="113"/>
      <c r="ACJ375" s="113"/>
      <c r="ACK375" s="113"/>
      <c r="ACL375" s="113"/>
      <c r="ACM375" s="113"/>
      <c r="ACN375" s="113"/>
      <c r="ACO375" s="113"/>
      <c r="ACP375" s="113"/>
      <c r="ACQ375" s="113"/>
      <c r="ACR375" s="113"/>
      <c r="ACS375" s="113"/>
      <c r="ACT375" s="113"/>
      <c r="ACU375" s="113"/>
      <c r="ACV375" s="113"/>
      <c r="ACW375" s="113"/>
      <c r="ACX375" s="113"/>
      <c r="ACY375" s="113"/>
      <c r="ACZ375" s="113"/>
      <c r="ADA375" s="113"/>
      <c r="ADB375" s="113"/>
      <c r="ADC375" s="113"/>
      <c r="ADD375" s="113"/>
      <c r="ADE375" s="113"/>
      <c r="ADF375" s="113"/>
      <c r="ADG375" s="113"/>
      <c r="ADH375" s="113"/>
      <c r="ADI375" s="113"/>
      <c r="ADJ375" s="113"/>
      <c r="ADK375" s="113"/>
      <c r="ADL375" s="113"/>
      <c r="ADM375" s="113"/>
      <c r="ADN375" s="113"/>
      <c r="ADO375" s="113"/>
      <c r="ADP375" s="113"/>
      <c r="ADQ375" s="113"/>
      <c r="ADR375" s="113"/>
      <c r="ADS375" s="113"/>
      <c r="ADT375" s="113"/>
      <c r="ADU375" s="113"/>
      <c r="ADV375" s="113"/>
      <c r="ADW375" s="113"/>
      <c r="ADX375" s="113"/>
      <c r="ADY375" s="113"/>
      <c r="ADZ375" s="113"/>
      <c r="AEA375" s="113"/>
      <c r="AEB375" s="113"/>
      <c r="AEC375" s="113"/>
      <c r="AED375" s="113"/>
      <c r="AEE375" s="113"/>
      <c r="AEF375" s="113"/>
      <c r="AEG375" s="113"/>
      <c r="AEH375" s="113"/>
      <c r="AEI375" s="113"/>
      <c r="AEJ375" s="113"/>
      <c r="AEK375" s="113"/>
      <c r="AEL375" s="113"/>
      <c r="AEM375" s="113"/>
      <c r="AEN375" s="113"/>
      <c r="AEO375" s="113"/>
      <c r="AEP375" s="113"/>
      <c r="AEQ375" s="113"/>
      <c r="AER375" s="113"/>
      <c r="AES375" s="113"/>
      <c r="AET375" s="113"/>
      <c r="AEU375" s="113"/>
      <c r="AEV375" s="113"/>
      <c r="AEW375" s="113"/>
      <c r="AEX375" s="113"/>
      <c r="AEY375" s="113"/>
      <c r="AEZ375" s="113"/>
      <c r="AFA375" s="113"/>
      <c r="AFB375" s="113"/>
      <c r="AFC375" s="113"/>
      <c r="AFD375" s="113"/>
      <c r="AFE375" s="113"/>
      <c r="AFF375" s="113"/>
      <c r="AFG375" s="113"/>
      <c r="AFH375" s="113"/>
      <c r="AFI375" s="113"/>
      <c r="AFJ375" s="113"/>
      <c r="AFK375" s="113"/>
      <c r="AFL375" s="113"/>
      <c r="AFM375" s="113"/>
      <c r="AFN375" s="113"/>
      <c r="AFO375" s="113"/>
      <c r="AFP375" s="113"/>
      <c r="AFQ375" s="113"/>
      <c r="AFR375" s="113"/>
      <c r="AFS375" s="113"/>
      <c r="AFT375" s="113"/>
      <c r="AFU375" s="113"/>
      <c r="AFV375" s="113"/>
      <c r="AFW375" s="113"/>
      <c r="AFX375" s="113"/>
      <c r="AFY375" s="113"/>
      <c r="AFZ375" s="113"/>
      <c r="AGA375" s="113"/>
      <c r="AGB375" s="113"/>
      <c r="AGC375" s="113"/>
      <c r="AGD375" s="113"/>
      <c r="AGE375" s="113"/>
      <c r="AGF375" s="113"/>
      <c r="AGG375" s="113"/>
      <c r="AGH375" s="113"/>
      <c r="AGI375" s="113"/>
      <c r="AGJ375" s="113"/>
      <c r="AGK375" s="113"/>
      <c r="AGL375" s="113"/>
      <c r="AGM375" s="113"/>
      <c r="AGN375" s="113"/>
      <c r="AGO375" s="113"/>
      <c r="AGP375" s="113"/>
      <c r="AGQ375" s="113"/>
      <c r="AGR375" s="113"/>
      <c r="AGS375" s="113"/>
      <c r="AGT375" s="113"/>
      <c r="AGU375" s="113"/>
      <c r="AGV375" s="113"/>
      <c r="AGW375" s="113"/>
      <c r="AGX375" s="113"/>
      <c r="AGY375" s="113"/>
      <c r="AGZ375" s="113"/>
      <c r="AHA375" s="113"/>
      <c r="AHB375" s="113"/>
      <c r="AHC375" s="113"/>
      <c r="AHD375" s="113"/>
      <c r="AHE375" s="113"/>
      <c r="AHF375" s="113"/>
      <c r="AHG375" s="113"/>
      <c r="AHH375" s="113"/>
      <c r="AHI375" s="113"/>
      <c r="AHJ375" s="113"/>
      <c r="AHK375" s="113"/>
      <c r="AHL375" s="113"/>
      <c r="AHM375" s="113"/>
      <c r="AHN375" s="113"/>
      <c r="AHO375" s="113"/>
      <c r="AHP375" s="113"/>
      <c r="AHQ375" s="113"/>
      <c r="AHR375" s="113"/>
      <c r="AHS375" s="113"/>
      <c r="AHT375" s="113"/>
      <c r="AHU375" s="113"/>
      <c r="AHV375" s="113"/>
      <c r="AHW375" s="113"/>
      <c r="AHX375" s="113"/>
      <c r="AHY375" s="113"/>
      <c r="AHZ375" s="113"/>
      <c r="AIA375" s="113"/>
      <c r="AIB375" s="113"/>
      <c r="AIC375" s="113"/>
      <c r="AID375" s="113"/>
      <c r="AIE375" s="113"/>
      <c r="AIF375" s="113"/>
      <c r="AIG375" s="113"/>
      <c r="AIH375" s="113"/>
      <c r="AII375" s="113"/>
      <c r="AIJ375" s="113"/>
      <c r="AIK375" s="113"/>
      <c r="AIL375" s="113"/>
      <c r="AIM375" s="113"/>
      <c r="AIN375" s="113"/>
      <c r="AIO375" s="113"/>
      <c r="AIP375" s="113"/>
      <c r="AIQ375" s="113"/>
      <c r="AIR375" s="113"/>
      <c r="AIS375" s="113"/>
      <c r="AIT375" s="113"/>
      <c r="AIU375" s="113"/>
      <c r="AIV375" s="113"/>
      <c r="AIW375" s="113"/>
      <c r="AIX375" s="113"/>
      <c r="AIY375" s="113"/>
      <c r="AIZ375" s="113"/>
    </row>
    <row r="376">
      <c r="A376" s="65" t="s">
        <v>38</v>
      </c>
      <c r="B376" s="65" t="s">
        <v>96</v>
      </c>
      <c r="C376" s="65"/>
      <c r="D376" s="64">
        <f t="shared" si="1"/>
        <v>552.83135</v>
      </c>
      <c r="F376" s="65">
        <v>21.1835833333333</v>
      </c>
      <c r="G376" s="65">
        <v>0.98035</v>
      </c>
      <c r="H376" s="65">
        <v>0.5766</v>
      </c>
      <c r="I376" s="65">
        <v>0.1215</v>
      </c>
      <c r="J376" s="65">
        <v>0.186383333333333</v>
      </c>
      <c r="K376" s="65">
        <v>2.78953333333333</v>
      </c>
      <c r="N376" s="65">
        <v>1.0163</v>
      </c>
      <c r="Q376" s="65">
        <v>21.7825833333333</v>
      </c>
      <c r="R376" s="65">
        <v>2.38016666666667</v>
      </c>
      <c r="S376" s="65">
        <v>0.80555</v>
      </c>
      <c r="T376" s="65">
        <v>2.52106666666667</v>
      </c>
      <c r="U376" s="65">
        <v>7.37488333333333</v>
      </c>
      <c r="X376" s="65">
        <v>54.7118166666667</v>
      </c>
      <c r="Y376" s="65">
        <v>37.5904166666666</v>
      </c>
      <c r="Z376" s="65">
        <v>5.88758333333333</v>
      </c>
      <c r="AA376" s="65">
        <v>2.4193</v>
      </c>
      <c r="AB376" s="65">
        <v>15.7922833333333</v>
      </c>
      <c r="AE376" s="65">
        <v>112.978766666667</v>
      </c>
      <c r="AF376" s="65">
        <v>118.2085</v>
      </c>
      <c r="AG376" s="65">
        <v>20.3243</v>
      </c>
      <c r="AH376" s="65">
        <v>2.12868333333333</v>
      </c>
      <c r="AI376" s="65">
        <v>5.6329</v>
      </c>
      <c r="AL376" s="65">
        <v>11.6907833333333</v>
      </c>
      <c r="AM376" s="65">
        <v>10.97865</v>
      </c>
      <c r="AN376" s="65">
        <v>15.23035</v>
      </c>
      <c r="AQ376" s="65">
        <v>2.16286666666667</v>
      </c>
      <c r="AR376" s="65">
        <v>3.12403333333333</v>
      </c>
      <c r="AU376" s="65">
        <v>72.2516166666666</v>
      </c>
    </row>
    <row r="377">
      <c r="A377" s="65" t="s">
        <v>38</v>
      </c>
      <c r="B377" s="65" t="s">
        <v>96</v>
      </c>
      <c r="C377" s="65"/>
      <c r="D377" s="64">
        <f t="shared" si="1"/>
        <v>0</v>
      </c>
    </row>
    <row r="378">
      <c r="A378" s="65" t="s">
        <v>38</v>
      </c>
      <c r="B378" s="65" t="s">
        <v>96</v>
      </c>
      <c r="C378" s="65"/>
      <c r="D378" s="64">
        <f t="shared" si="1"/>
        <v>541.8458833</v>
      </c>
      <c r="F378" s="118">
        <f>HYPERLINK("https://docs.google.com/spreadsheets/d/1CFUEY6dd2jCgVwHFAanUC49jt2vizoUF", 20.8003)</f>
        <v>20.8003</v>
      </c>
      <c r="G378" s="118">
        <f>HYPERLINK("https://docs.google.com/spreadsheets/d/1JKwPlMw-CQqdUKDawVOIqJeD0Pt1Nt4G", 0.98035)</f>
        <v>0.98035</v>
      </c>
      <c r="H378" s="118">
        <f>HYPERLINK("https://docs.google.com/spreadsheets/d/1QYSwls6XbUjJNyxRdyEP9Z0TFbfsiVQy", 0.5766)</f>
        <v>0.5766</v>
      </c>
      <c r="I378" s="118">
        <f>HYPERLINK("https://docs.google.com/spreadsheets/d/1KnlMxn2qcC2pqti8BPUutytDfNSIX_6j", 0.1215)</f>
        <v>0.1215</v>
      </c>
      <c r="J378" s="118">
        <f>HYPERLINK("https://docs.google.com/spreadsheets/d/1ZRGIJ9LgYUiZPZI4_JDpBx9qRgEuHStR", 0.186383333333333)</f>
        <v>0.1863833333</v>
      </c>
      <c r="K378" s="118">
        <f>HYPERLINK("https://docs.google.com/spreadsheets/d/1kQIDsFydaQO3KigVSsXjMJ7ELoWD4ap4", 2.78953333333333)</f>
        <v>2.789533333</v>
      </c>
      <c r="N378" s="118">
        <f>HYPERLINK("https://docs.google.com/spreadsheets/d/1a03sklWrXSvDU-fXs5IKV4uq678zpTbe", 1.0163)</f>
        <v>1.0163</v>
      </c>
      <c r="Q378" s="118">
        <f>HYPERLINK("https://docs.google.com/spreadsheets/d/1HPmRJq1nyEPgQH8kH97qa03oc8fVQWGp", 18.0263333333333)</f>
        <v>18.02633333</v>
      </c>
      <c r="R378" s="118">
        <f>HYPERLINK("https://docs.google.com/spreadsheets/d/1AX0IZYiTqjeE2nXqEUQ6oRiKNLIPInbE", 2.38018333333333)</f>
        <v>2.380183333</v>
      </c>
      <c r="S378" s="118">
        <f>HYPERLINK("https://docs.google.com/spreadsheets/d/10iVCuN5cFLz-qIeG_gEjj6hy8QFuj1Jr", 0.805533333333333)</f>
        <v>0.8055333333</v>
      </c>
      <c r="T378" s="118">
        <f>HYPERLINK("https://docs.google.com/spreadsheets/d/1n--nrA-LjEutNWd730YSvF9ibHlU3-rr", 2.52106666666667)</f>
        <v>2.521066667</v>
      </c>
      <c r="U378" s="118">
        <f>HYPERLINK("https://docs.google.com/spreadsheets/d/1iz_VnS_LAHjLbqcSzZeP3QlBpmQ5ejt-", 7.37486666666667)</f>
        <v>7.374866667</v>
      </c>
      <c r="X378" s="118">
        <f>HYPERLINK("https://docs.google.com/spreadsheets/d/1Va-nv27yzDokwh8DzWS-aIuh4bRKtRRM", 51.8900166666667)</f>
        <v>51.89001667</v>
      </c>
      <c r="Y378" s="118">
        <f>HYPERLINK("https://docs.google.com/spreadsheets/d/1IeDuAUoAdplVf3lIhEYLGmpSVURmhmxl", 37.5903833333333)</f>
        <v>37.59038333</v>
      </c>
      <c r="Z378" s="118">
        <f>HYPERLINK("https://docs.google.com/spreadsheets/d/1lTYKhusUchWJsATgwPi694wTmyM6janj", 5.88758333333333)</f>
        <v>5.887583333</v>
      </c>
      <c r="AA378" s="118">
        <f>HYPERLINK("https://docs.google.com/spreadsheets/d/1n6cKbWUf4WXC6qO3LR5gXzbMflfmc-n7", 2.4193)</f>
        <v>2.4193</v>
      </c>
      <c r="AB378" s="118">
        <f>HYPERLINK("https://docs.google.com/spreadsheets/d/1ijHbNn1vdLM4PfrkvjLwLPocAr0uRyDr", 15.7922833333333)</f>
        <v>15.79228333</v>
      </c>
      <c r="AE378" s="118">
        <f>HYPERLINK("https://docs.google.com/spreadsheets/d/1YeNRIrrJuQDWdcOV-bM0qXt6uE7PTiFD", 111.182)</f>
        <v>111.182</v>
      </c>
      <c r="AF378" s="118">
        <f>HYPERLINK("https://docs.google.com/spreadsheets/d/1Ms-zbjfkeNfujVKC9H27w0xX4L9q5aa9", 117.316983333333)</f>
        <v>117.3169833</v>
      </c>
      <c r="AG378" s="118">
        <f>HYPERLINK("https://docs.google.com/spreadsheets/d/1Dt4hxL-IRL8l2Jj96A7ypEw4Bm_A-lvj", 19.9785833333333)</f>
        <v>19.97858333</v>
      </c>
      <c r="AH378" s="118">
        <f>HYPERLINK("https://docs.google.com/spreadsheets/d/1SaCZbvPAXJiYdTdyhEcpcsq6Rv9mPuOo", 2.12868333333333)</f>
        <v>2.128683333</v>
      </c>
      <c r="AI378" s="118">
        <f>HYPERLINK("https://docs.google.com/spreadsheets/d/1JddAeL5jdSgav6PjMtx4pDYgf-D0eFTr", 5.63291666666666)</f>
        <v>5.632916667</v>
      </c>
      <c r="AL378" s="118">
        <f>HYPERLINK("https://docs.google.com/spreadsheets/d/1sDBxv3ejlF_2YHexUXoPGQyN6z0km2uF", 11.12625)</f>
        <v>11.12625</v>
      </c>
      <c r="AM378" s="118">
        <f>HYPERLINK("https://docs.google.com/spreadsheets/d/1mlbMbos79J2IzikZZxiLeC9kYA_e1Xd1", 10.6981833333333)</f>
        <v>10.69818333</v>
      </c>
      <c r="AN378" s="118">
        <f>HYPERLINK("https://docs.google.com/spreadsheets/d/1KZfY11MiclUyagU-edk41VX3If3_bT6p", 15.23035)</f>
        <v>15.23035</v>
      </c>
      <c r="AQ378" s="118">
        <f>HYPERLINK("https://docs.google.com/spreadsheets/d/1VROu0g3gw1eA5HVT0o7Y91B1Sd8WOeGY", 2.16286666666667)</f>
        <v>2.162866667</v>
      </c>
      <c r="AR378" s="118">
        <f>HYPERLINK("https://docs.google.com/spreadsheets/d/18rbtF0MIDNtaJjKYOC_FzQmGOK0apJKq", 3.12403333333333)</f>
        <v>3.124033333</v>
      </c>
      <c r="AU378" s="118">
        <f>HYPERLINK("https://docs.google.com/spreadsheets/d/1s83QJRlMUSrQ4Sfbg2-5IjCizeS8-f-z", 72.1065166666666)</f>
        <v>72.10651667</v>
      </c>
    </row>
    <row r="379">
      <c r="A379" s="65" t="s">
        <v>38</v>
      </c>
      <c r="B379" s="65" t="s">
        <v>96</v>
      </c>
      <c r="C379" s="65"/>
      <c r="D379" s="64">
        <f t="shared" si="1"/>
        <v>415.0441667</v>
      </c>
      <c r="F379" s="65">
        <v>17.9909833333333</v>
      </c>
      <c r="G379" s="65">
        <v>0.501483333333333</v>
      </c>
      <c r="H379" s="65">
        <v>0.0</v>
      </c>
      <c r="I379" s="65">
        <v>0.0</v>
      </c>
      <c r="J379" s="65">
        <v>0.0</v>
      </c>
      <c r="K379" s="65">
        <v>2.63531666666667</v>
      </c>
      <c r="N379" s="65">
        <v>1.0163</v>
      </c>
      <c r="Q379" s="65">
        <v>12.0671666666667</v>
      </c>
      <c r="R379" s="65">
        <v>1.20293333333333</v>
      </c>
      <c r="S379" s="65">
        <v>0.0</v>
      </c>
      <c r="T379" s="65">
        <v>0.661533333333333</v>
      </c>
      <c r="U379" s="65">
        <v>3.60515</v>
      </c>
      <c r="X379" s="65">
        <v>29.5037166666667</v>
      </c>
      <c r="Y379" s="65">
        <v>20.1808333333333</v>
      </c>
      <c r="Z379" s="65">
        <v>3.25875</v>
      </c>
      <c r="AA379" s="65">
        <v>1.31191666666667</v>
      </c>
      <c r="AB379" s="65">
        <v>14.57275</v>
      </c>
      <c r="AE379" s="65">
        <v>94.6751166666666</v>
      </c>
      <c r="AF379" s="65">
        <v>102.58865</v>
      </c>
      <c r="AG379" s="65">
        <v>15.8731</v>
      </c>
      <c r="AH379" s="65">
        <v>1.48231666666667</v>
      </c>
      <c r="AI379" s="65">
        <v>4.15006666666667</v>
      </c>
      <c r="AL379" s="65">
        <v>3.20905</v>
      </c>
      <c r="AM379" s="65">
        <v>1.99725</v>
      </c>
      <c r="AN379" s="65">
        <v>11.6587833333333</v>
      </c>
      <c r="AQ379" s="65">
        <v>1.94786666666667</v>
      </c>
      <c r="AR379" s="65">
        <v>2.73351666666667</v>
      </c>
      <c r="AU379" s="65">
        <v>66.2196166666666</v>
      </c>
    </row>
    <row r="380">
      <c r="A380" s="119" t="s">
        <v>38</v>
      </c>
      <c r="B380" s="119" t="s">
        <v>96</v>
      </c>
      <c r="C380" s="119"/>
      <c r="D380" s="120">
        <f t="shared" si="1"/>
        <v>0</v>
      </c>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c r="AA380" s="120"/>
      <c r="AB380" s="120"/>
      <c r="AC380" s="120"/>
      <c r="AD380" s="120"/>
      <c r="AE380" s="120"/>
      <c r="AF380" s="120"/>
      <c r="AG380" s="120"/>
      <c r="AH380" s="120"/>
      <c r="AI380" s="120"/>
      <c r="AJ380" s="120"/>
      <c r="AK380" s="120"/>
      <c r="AL380" s="120"/>
      <c r="AM380" s="120"/>
      <c r="AN380" s="120"/>
      <c r="AO380" s="120"/>
      <c r="AP380" s="120"/>
      <c r="AQ380" s="120"/>
      <c r="AR380" s="120"/>
      <c r="AS380" s="120"/>
      <c r="AT380" s="120"/>
      <c r="AU380" s="120"/>
      <c r="AV380" s="120"/>
      <c r="AW380" s="120"/>
      <c r="AX380" s="120"/>
      <c r="AY380" s="120"/>
      <c r="AZ380" s="120"/>
      <c r="BA380" s="120"/>
      <c r="BB380" s="120"/>
      <c r="BC380" s="120"/>
      <c r="BD380" s="120"/>
      <c r="BE380" s="120"/>
      <c r="BF380" s="120"/>
      <c r="BG380" s="120"/>
      <c r="BH380" s="120"/>
      <c r="BI380" s="120"/>
      <c r="BJ380" s="120"/>
      <c r="BK380" s="120"/>
      <c r="BL380" s="120"/>
      <c r="BM380" s="120"/>
      <c r="BN380" s="120"/>
      <c r="BO380" s="120"/>
      <c r="BP380" s="120"/>
      <c r="BQ380" s="120"/>
      <c r="BR380" s="120"/>
      <c r="BS380" s="120"/>
      <c r="BT380" s="120"/>
      <c r="BU380" s="120"/>
      <c r="BV380" s="120"/>
      <c r="BW380" s="120"/>
      <c r="BX380" s="120"/>
      <c r="BY380" s="120"/>
      <c r="BZ380" s="120"/>
      <c r="CA380" s="120"/>
      <c r="CB380" s="120"/>
      <c r="CC380" s="120"/>
      <c r="CD380" s="120"/>
      <c r="CE380" s="120"/>
      <c r="CF380" s="120"/>
      <c r="CG380" s="120"/>
      <c r="CH380" s="120"/>
      <c r="CI380" s="120"/>
      <c r="CJ380" s="120"/>
      <c r="CK380" s="120"/>
      <c r="CL380" s="120"/>
      <c r="CM380" s="120"/>
      <c r="CN380" s="120"/>
      <c r="CO380" s="120"/>
      <c r="CP380" s="120"/>
      <c r="CQ380" s="120"/>
      <c r="CR380" s="120"/>
      <c r="CS380" s="120"/>
      <c r="CT380" s="120"/>
      <c r="CU380" s="120"/>
      <c r="CV380" s="120"/>
      <c r="CW380" s="120"/>
      <c r="CX380" s="120"/>
      <c r="CY380" s="120"/>
      <c r="CZ380" s="120"/>
      <c r="DA380" s="120"/>
      <c r="DB380" s="120"/>
      <c r="DC380" s="120"/>
      <c r="DD380" s="120"/>
      <c r="DE380" s="120"/>
      <c r="DF380" s="120"/>
      <c r="DG380" s="120"/>
      <c r="DH380" s="120"/>
      <c r="DI380" s="120"/>
      <c r="DJ380" s="120"/>
      <c r="DK380" s="120"/>
      <c r="DL380" s="120"/>
      <c r="DM380" s="120"/>
      <c r="DN380" s="120"/>
      <c r="DO380" s="120"/>
      <c r="DP380" s="120"/>
      <c r="DQ380" s="120"/>
      <c r="DR380" s="120"/>
      <c r="DS380" s="120"/>
      <c r="DT380" s="120"/>
      <c r="DU380" s="120"/>
      <c r="DV380" s="120"/>
      <c r="DW380" s="120"/>
      <c r="DX380" s="120"/>
      <c r="DY380" s="120"/>
      <c r="DZ380" s="120"/>
      <c r="EA380" s="120"/>
      <c r="EB380" s="120"/>
      <c r="EC380" s="120"/>
      <c r="ED380" s="120"/>
      <c r="EE380" s="120"/>
      <c r="EF380" s="120"/>
      <c r="EG380" s="120"/>
      <c r="EH380" s="120"/>
      <c r="EI380" s="120"/>
      <c r="EJ380" s="120"/>
      <c r="EK380" s="120"/>
      <c r="EL380" s="120"/>
      <c r="EM380" s="120"/>
      <c r="EN380" s="120"/>
      <c r="EO380" s="120"/>
      <c r="EP380" s="120"/>
      <c r="EQ380" s="120"/>
      <c r="ER380" s="120"/>
      <c r="ES380" s="120"/>
      <c r="ET380" s="120"/>
      <c r="EU380" s="120"/>
      <c r="EV380" s="120"/>
      <c r="EW380" s="120"/>
      <c r="EX380" s="120"/>
      <c r="EY380" s="120"/>
      <c r="EZ380" s="120"/>
      <c r="FA380" s="120"/>
      <c r="FB380" s="120"/>
      <c r="FC380" s="120"/>
      <c r="FD380" s="120"/>
      <c r="FE380" s="120"/>
      <c r="FF380" s="120"/>
      <c r="FG380" s="120"/>
      <c r="FH380" s="120"/>
      <c r="FI380" s="120"/>
      <c r="FJ380" s="120"/>
      <c r="FK380" s="120"/>
      <c r="FL380" s="120"/>
      <c r="FM380" s="120"/>
      <c r="FN380" s="120"/>
      <c r="FO380" s="120"/>
      <c r="FP380" s="120"/>
      <c r="FQ380" s="120"/>
      <c r="FR380" s="120"/>
      <c r="FS380" s="120"/>
      <c r="FT380" s="120"/>
      <c r="FU380" s="120"/>
      <c r="FV380" s="120"/>
      <c r="FW380" s="120"/>
      <c r="FX380" s="120"/>
      <c r="FY380" s="120"/>
      <c r="FZ380" s="120"/>
      <c r="GA380" s="120"/>
      <c r="GB380" s="120"/>
      <c r="GC380" s="120"/>
      <c r="GD380" s="120"/>
      <c r="GE380" s="120"/>
      <c r="GF380" s="120"/>
      <c r="GG380" s="120"/>
      <c r="GH380" s="120"/>
      <c r="GI380" s="120"/>
      <c r="GJ380" s="120"/>
      <c r="GK380" s="120"/>
      <c r="GL380" s="120"/>
      <c r="GM380" s="120"/>
      <c r="GN380" s="120"/>
      <c r="GO380" s="120"/>
      <c r="GP380" s="120"/>
      <c r="GQ380" s="120"/>
      <c r="GR380" s="120"/>
      <c r="GS380" s="120"/>
      <c r="GT380" s="120"/>
      <c r="GU380" s="120"/>
      <c r="GV380" s="120"/>
      <c r="GW380" s="120"/>
      <c r="GX380" s="120"/>
      <c r="GY380" s="120"/>
      <c r="GZ380" s="120"/>
      <c r="HA380" s="120"/>
      <c r="HB380" s="120"/>
      <c r="HC380" s="120"/>
      <c r="HD380" s="120"/>
      <c r="HE380" s="120"/>
      <c r="HF380" s="120"/>
      <c r="HG380" s="120"/>
      <c r="HH380" s="120"/>
      <c r="HI380" s="120"/>
      <c r="HJ380" s="120"/>
      <c r="HK380" s="120"/>
      <c r="HL380" s="120"/>
      <c r="HM380" s="120"/>
      <c r="HN380" s="120"/>
      <c r="HO380" s="120"/>
      <c r="HP380" s="120"/>
      <c r="HQ380" s="120"/>
      <c r="HR380" s="120"/>
      <c r="HS380" s="120"/>
      <c r="HT380" s="120"/>
      <c r="HU380" s="120"/>
      <c r="HV380" s="120"/>
      <c r="HW380" s="120"/>
      <c r="HX380" s="120"/>
      <c r="HY380" s="120"/>
      <c r="HZ380" s="120"/>
      <c r="IA380" s="120"/>
      <c r="IB380" s="120"/>
      <c r="IC380" s="120"/>
      <c r="ID380" s="120"/>
      <c r="IE380" s="120"/>
      <c r="IF380" s="120"/>
      <c r="IG380" s="120"/>
      <c r="IH380" s="120"/>
      <c r="II380" s="120"/>
      <c r="IJ380" s="120"/>
      <c r="IK380" s="120"/>
      <c r="IL380" s="120"/>
      <c r="IM380" s="120"/>
      <c r="IN380" s="120"/>
      <c r="IO380" s="120"/>
      <c r="IP380" s="120"/>
      <c r="IQ380" s="120"/>
      <c r="IR380" s="120"/>
      <c r="IS380" s="120"/>
      <c r="IT380" s="120"/>
      <c r="IU380" s="120"/>
      <c r="IV380" s="120"/>
      <c r="IW380" s="120"/>
      <c r="IX380" s="120"/>
      <c r="IY380" s="120"/>
      <c r="IZ380" s="120"/>
      <c r="JA380" s="120"/>
      <c r="JB380" s="120"/>
      <c r="JC380" s="120"/>
      <c r="JD380" s="120"/>
      <c r="JE380" s="120"/>
      <c r="JF380" s="120"/>
      <c r="JG380" s="120"/>
      <c r="JH380" s="120"/>
      <c r="JI380" s="120"/>
      <c r="JJ380" s="120"/>
      <c r="JK380" s="120"/>
      <c r="JL380" s="120"/>
      <c r="JM380" s="120"/>
      <c r="JN380" s="120"/>
      <c r="JO380" s="120"/>
      <c r="JP380" s="120"/>
      <c r="JQ380" s="120"/>
      <c r="JR380" s="120"/>
      <c r="JS380" s="120"/>
      <c r="JT380" s="120"/>
      <c r="JU380" s="120"/>
      <c r="JV380" s="120"/>
      <c r="JW380" s="120"/>
      <c r="JX380" s="120"/>
      <c r="JY380" s="120"/>
      <c r="JZ380" s="120"/>
      <c r="KA380" s="120"/>
      <c r="KB380" s="120"/>
      <c r="KC380" s="120"/>
      <c r="KD380" s="120"/>
      <c r="KE380" s="120"/>
      <c r="KF380" s="120"/>
      <c r="KG380" s="120"/>
      <c r="KH380" s="120"/>
      <c r="KI380" s="120"/>
      <c r="KJ380" s="120"/>
      <c r="KK380" s="120"/>
      <c r="KL380" s="120"/>
      <c r="KM380" s="120"/>
      <c r="KN380" s="120"/>
      <c r="KO380" s="120"/>
      <c r="KP380" s="120"/>
      <c r="KQ380" s="120"/>
      <c r="KR380" s="120"/>
      <c r="KS380" s="120"/>
      <c r="KT380" s="120"/>
      <c r="KU380" s="120"/>
      <c r="KV380" s="120"/>
      <c r="KW380" s="120"/>
      <c r="KX380" s="120"/>
      <c r="KY380" s="120"/>
      <c r="KZ380" s="120"/>
      <c r="LA380" s="120"/>
      <c r="LB380" s="120"/>
      <c r="LC380" s="120"/>
      <c r="LD380" s="120"/>
      <c r="LE380" s="120"/>
      <c r="LF380" s="120"/>
      <c r="LG380" s="120"/>
      <c r="LH380" s="120"/>
      <c r="LI380" s="120"/>
      <c r="LJ380" s="120"/>
      <c r="LK380" s="120"/>
      <c r="LL380" s="120"/>
      <c r="LM380" s="120"/>
      <c r="LN380" s="120"/>
      <c r="LO380" s="120"/>
      <c r="LP380" s="120"/>
      <c r="LQ380" s="120"/>
      <c r="LR380" s="120"/>
      <c r="LS380" s="120"/>
      <c r="LT380" s="120"/>
      <c r="LU380" s="120"/>
      <c r="LV380" s="120"/>
      <c r="LW380" s="120"/>
      <c r="LX380" s="120"/>
      <c r="LY380" s="120"/>
      <c r="LZ380" s="120"/>
      <c r="MA380" s="120"/>
      <c r="MB380" s="120"/>
      <c r="MC380" s="120"/>
      <c r="MD380" s="120"/>
      <c r="ME380" s="120"/>
      <c r="MF380" s="120"/>
      <c r="MG380" s="120"/>
      <c r="MH380" s="120"/>
      <c r="MI380" s="120"/>
      <c r="MJ380" s="120"/>
      <c r="MK380" s="120"/>
      <c r="ML380" s="120"/>
      <c r="MM380" s="120"/>
      <c r="MN380" s="120"/>
      <c r="MO380" s="120"/>
      <c r="MP380" s="120"/>
      <c r="MQ380" s="120"/>
      <c r="MR380" s="120"/>
      <c r="MS380" s="120"/>
      <c r="MT380" s="120"/>
      <c r="MU380" s="120"/>
      <c r="MV380" s="120"/>
      <c r="MW380" s="120"/>
      <c r="MX380" s="120"/>
      <c r="MY380" s="120"/>
      <c r="MZ380" s="120"/>
      <c r="NA380" s="120"/>
      <c r="NB380" s="120"/>
      <c r="NC380" s="120"/>
      <c r="ND380" s="120"/>
      <c r="NE380" s="120"/>
      <c r="NF380" s="120"/>
      <c r="NG380" s="120"/>
      <c r="NH380" s="120"/>
      <c r="NI380" s="120"/>
      <c r="NJ380" s="120"/>
      <c r="NK380" s="120"/>
      <c r="NL380" s="120"/>
      <c r="NM380" s="120"/>
      <c r="NN380" s="120"/>
      <c r="NO380" s="120"/>
      <c r="NP380" s="120"/>
      <c r="NQ380" s="120"/>
      <c r="NR380" s="120"/>
      <c r="NS380" s="120"/>
      <c r="NT380" s="120"/>
      <c r="NU380" s="120"/>
      <c r="NV380" s="120"/>
      <c r="NW380" s="120"/>
      <c r="NX380" s="120"/>
      <c r="NY380" s="120"/>
      <c r="NZ380" s="120"/>
      <c r="OA380" s="120"/>
      <c r="OB380" s="120"/>
      <c r="OC380" s="120"/>
      <c r="OD380" s="120"/>
      <c r="OE380" s="120"/>
      <c r="OF380" s="120"/>
      <c r="OG380" s="120"/>
      <c r="OH380" s="120"/>
      <c r="OI380" s="120"/>
      <c r="OJ380" s="120"/>
      <c r="OK380" s="120"/>
      <c r="OL380" s="120"/>
      <c r="OM380" s="120"/>
      <c r="ON380" s="120"/>
      <c r="OO380" s="120"/>
      <c r="OP380" s="120"/>
      <c r="OQ380" s="120"/>
      <c r="OR380" s="120"/>
      <c r="OS380" s="120"/>
      <c r="OT380" s="120"/>
      <c r="OU380" s="120"/>
      <c r="OV380" s="120"/>
      <c r="OW380" s="120"/>
      <c r="OX380" s="120"/>
      <c r="OY380" s="120"/>
      <c r="OZ380" s="120"/>
      <c r="PA380" s="120"/>
      <c r="PB380" s="120"/>
      <c r="PC380" s="120"/>
      <c r="PD380" s="120"/>
      <c r="PE380" s="120"/>
      <c r="PF380" s="120"/>
      <c r="PG380" s="120"/>
      <c r="PH380" s="120"/>
      <c r="PI380" s="120"/>
      <c r="PJ380" s="120"/>
      <c r="PK380" s="120"/>
      <c r="PL380" s="120"/>
      <c r="PM380" s="120"/>
      <c r="PN380" s="120"/>
      <c r="PO380" s="120"/>
      <c r="PP380" s="120"/>
      <c r="PQ380" s="120"/>
      <c r="PR380" s="120"/>
      <c r="PS380" s="120"/>
      <c r="PT380" s="120"/>
      <c r="PU380" s="120"/>
      <c r="PV380" s="120"/>
      <c r="PW380" s="120"/>
      <c r="PX380" s="120"/>
      <c r="PY380" s="120"/>
      <c r="PZ380" s="120"/>
      <c r="QA380" s="120"/>
      <c r="QB380" s="120"/>
      <c r="QC380" s="120"/>
      <c r="QD380" s="120"/>
      <c r="QE380" s="120"/>
      <c r="QF380" s="120"/>
      <c r="QG380" s="120"/>
      <c r="QH380" s="120"/>
      <c r="QI380" s="120"/>
      <c r="QJ380" s="120"/>
      <c r="QK380" s="120"/>
      <c r="QL380" s="120"/>
      <c r="QM380" s="120"/>
      <c r="QN380" s="120"/>
      <c r="QO380" s="120"/>
      <c r="QP380" s="120"/>
      <c r="QQ380" s="120"/>
      <c r="QR380" s="120"/>
      <c r="QS380" s="120"/>
      <c r="QT380" s="120"/>
      <c r="QU380" s="120"/>
      <c r="QV380" s="120"/>
      <c r="QW380" s="120"/>
      <c r="QX380" s="120"/>
      <c r="QY380" s="120"/>
      <c r="QZ380" s="120"/>
      <c r="RA380" s="120"/>
      <c r="RB380" s="120"/>
      <c r="RC380" s="120"/>
      <c r="RD380" s="120"/>
      <c r="RE380" s="120"/>
      <c r="RF380" s="120"/>
      <c r="RG380" s="120"/>
      <c r="RH380" s="120"/>
      <c r="RI380" s="120"/>
      <c r="RJ380" s="120"/>
      <c r="RK380" s="120"/>
      <c r="RL380" s="120"/>
      <c r="RM380" s="120"/>
      <c r="RN380" s="120"/>
      <c r="RO380" s="120"/>
      <c r="RP380" s="120"/>
      <c r="RQ380" s="120"/>
      <c r="RR380" s="120"/>
      <c r="RS380" s="120"/>
      <c r="RT380" s="120"/>
      <c r="RU380" s="120"/>
      <c r="RV380" s="120"/>
      <c r="RW380" s="120"/>
      <c r="RX380" s="120"/>
      <c r="RY380" s="120"/>
      <c r="RZ380" s="120"/>
      <c r="SA380" s="120"/>
      <c r="SB380" s="120"/>
      <c r="SC380" s="120"/>
      <c r="SD380" s="120"/>
      <c r="SE380" s="120"/>
      <c r="SF380" s="120"/>
      <c r="SG380" s="120"/>
      <c r="SH380" s="120"/>
      <c r="SI380" s="120"/>
      <c r="SJ380" s="120"/>
      <c r="SK380" s="120"/>
      <c r="SL380" s="120"/>
      <c r="SM380" s="120"/>
      <c r="SN380" s="120"/>
      <c r="SO380" s="120"/>
      <c r="SP380" s="120"/>
      <c r="SQ380" s="120"/>
      <c r="SR380" s="120"/>
      <c r="SS380" s="120"/>
      <c r="ST380" s="120"/>
      <c r="SU380" s="120"/>
      <c r="SV380" s="120"/>
      <c r="SW380" s="120"/>
      <c r="SX380" s="120"/>
      <c r="SY380" s="120"/>
      <c r="SZ380" s="120"/>
      <c r="TA380" s="120"/>
      <c r="TB380" s="120"/>
      <c r="TC380" s="120"/>
      <c r="TD380" s="120"/>
      <c r="TE380" s="120"/>
      <c r="TF380" s="120"/>
      <c r="TG380" s="120"/>
      <c r="TH380" s="120"/>
      <c r="TI380" s="120"/>
      <c r="TJ380" s="120"/>
      <c r="TK380" s="120"/>
      <c r="TL380" s="120"/>
      <c r="TM380" s="120"/>
      <c r="TN380" s="120"/>
      <c r="TO380" s="120"/>
      <c r="TP380" s="120"/>
      <c r="TQ380" s="120"/>
      <c r="TR380" s="120"/>
      <c r="TS380" s="120"/>
      <c r="TT380" s="120"/>
      <c r="TU380" s="120"/>
      <c r="TV380" s="120"/>
      <c r="TW380" s="120"/>
      <c r="TX380" s="120"/>
      <c r="TY380" s="120"/>
      <c r="TZ380" s="120"/>
      <c r="UA380" s="120"/>
      <c r="UB380" s="120"/>
      <c r="UC380" s="120"/>
      <c r="UD380" s="120"/>
      <c r="UE380" s="120"/>
      <c r="UF380" s="120"/>
      <c r="UG380" s="120"/>
      <c r="UH380" s="120"/>
      <c r="UI380" s="120"/>
      <c r="UJ380" s="120"/>
      <c r="UK380" s="120"/>
      <c r="UL380" s="120"/>
      <c r="UM380" s="120"/>
      <c r="UN380" s="120"/>
      <c r="UO380" s="120"/>
      <c r="UP380" s="120"/>
      <c r="UQ380" s="120"/>
      <c r="UR380" s="120"/>
      <c r="US380" s="120"/>
      <c r="UT380" s="120"/>
      <c r="UU380" s="120"/>
      <c r="UV380" s="120"/>
      <c r="UW380" s="120"/>
      <c r="UX380" s="120"/>
      <c r="UY380" s="120"/>
      <c r="UZ380" s="120"/>
      <c r="VA380" s="120"/>
      <c r="VB380" s="120"/>
      <c r="VC380" s="120"/>
      <c r="VD380" s="120"/>
      <c r="VE380" s="120"/>
      <c r="VF380" s="120"/>
      <c r="VG380" s="120"/>
      <c r="VH380" s="120"/>
      <c r="VI380" s="120"/>
      <c r="VJ380" s="120"/>
      <c r="VK380" s="120"/>
      <c r="VL380" s="120"/>
      <c r="VM380" s="120"/>
      <c r="VN380" s="120"/>
      <c r="VO380" s="120"/>
      <c r="VP380" s="120"/>
      <c r="VQ380" s="120"/>
      <c r="VR380" s="120"/>
      <c r="VS380" s="120"/>
      <c r="VT380" s="120"/>
      <c r="VU380" s="120"/>
      <c r="VV380" s="120"/>
      <c r="VW380" s="120"/>
      <c r="VX380" s="120"/>
      <c r="VY380" s="120"/>
      <c r="VZ380" s="120"/>
      <c r="WA380" s="120"/>
      <c r="WB380" s="120"/>
      <c r="WC380" s="120"/>
      <c r="WD380" s="120"/>
      <c r="WE380" s="120"/>
      <c r="WF380" s="120"/>
      <c r="WG380" s="120"/>
      <c r="WH380" s="120"/>
      <c r="WI380" s="120"/>
      <c r="WJ380" s="120"/>
      <c r="WK380" s="120"/>
      <c r="WL380" s="120"/>
      <c r="WM380" s="120"/>
      <c r="WN380" s="120"/>
      <c r="WO380" s="120"/>
      <c r="WP380" s="120"/>
      <c r="WQ380" s="120"/>
      <c r="WR380" s="120"/>
      <c r="WS380" s="120"/>
      <c r="WT380" s="120"/>
      <c r="WU380" s="120"/>
      <c r="WV380" s="120"/>
      <c r="WW380" s="120"/>
      <c r="WX380" s="120"/>
      <c r="WY380" s="120"/>
      <c r="WZ380" s="120"/>
      <c r="XA380" s="120"/>
      <c r="XB380" s="120"/>
      <c r="XC380" s="120"/>
      <c r="XD380" s="120"/>
      <c r="XE380" s="120"/>
      <c r="XF380" s="120"/>
      <c r="XG380" s="120"/>
      <c r="XH380" s="120"/>
      <c r="XI380" s="120"/>
      <c r="XJ380" s="120"/>
      <c r="XK380" s="120"/>
      <c r="XL380" s="120"/>
      <c r="XM380" s="120"/>
      <c r="XN380" s="120"/>
      <c r="XO380" s="120"/>
      <c r="XP380" s="120"/>
      <c r="XQ380" s="120"/>
      <c r="XR380" s="120"/>
      <c r="XS380" s="120"/>
      <c r="XT380" s="120"/>
      <c r="XU380" s="120"/>
      <c r="XV380" s="120"/>
      <c r="XW380" s="120"/>
      <c r="XX380" s="120"/>
      <c r="XY380" s="120"/>
      <c r="XZ380" s="120"/>
      <c r="YA380" s="120"/>
      <c r="YB380" s="120"/>
      <c r="YC380" s="120"/>
      <c r="YD380" s="120"/>
      <c r="YE380" s="120"/>
      <c r="YF380" s="120"/>
      <c r="YG380" s="120"/>
      <c r="YH380" s="120"/>
      <c r="YI380" s="120"/>
      <c r="YJ380" s="120"/>
      <c r="YK380" s="120"/>
      <c r="YL380" s="120"/>
      <c r="YM380" s="120"/>
      <c r="YN380" s="120"/>
      <c r="YO380" s="120"/>
      <c r="YP380" s="120"/>
      <c r="YQ380" s="120"/>
      <c r="YR380" s="120"/>
      <c r="YS380" s="120"/>
      <c r="YT380" s="120"/>
      <c r="YU380" s="120"/>
      <c r="YV380" s="120"/>
      <c r="YW380" s="120"/>
      <c r="YX380" s="120"/>
      <c r="YY380" s="120"/>
      <c r="YZ380" s="120"/>
      <c r="ZA380" s="120"/>
      <c r="ZB380" s="120"/>
      <c r="ZC380" s="120"/>
      <c r="ZD380" s="120"/>
      <c r="ZE380" s="120"/>
      <c r="ZF380" s="120"/>
      <c r="ZG380" s="120"/>
      <c r="ZH380" s="120"/>
      <c r="ZI380" s="120"/>
      <c r="ZJ380" s="120"/>
      <c r="ZK380" s="120"/>
      <c r="ZL380" s="120"/>
      <c r="ZM380" s="120"/>
      <c r="ZN380" s="120"/>
      <c r="ZO380" s="120"/>
      <c r="ZP380" s="120"/>
      <c r="ZQ380" s="120"/>
      <c r="ZR380" s="120"/>
      <c r="ZS380" s="120"/>
      <c r="ZT380" s="120"/>
      <c r="ZU380" s="120"/>
      <c r="ZV380" s="120"/>
      <c r="ZW380" s="120"/>
      <c r="ZX380" s="120"/>
      <c r="ZY380" s="120"/>
      <c r="ZZ380" s="120"/>
      <c r="AAA380" s="120"/>
      <c r="AAB380" s="120"/>
      <c r="AAC380" s="120"/>
      <c r="AAD380" s="120"/>
      <c r="AAE380" s="120"/>
      <c r="AAF380" s="120"/>
      <c r="AAG380" s="120"/>
      <c r="AAH380" s="120"/>
      <c r="AAI380" s="120"/>
      <c r="AAJ380" s="120"/>
      <c r="AAK380" s="120"/>
      <c r="AAL380" s="120"/>
      <c r="AAM380" s="120"/>
      <c r="AAN380" s="120"/>
      <c r="AAO380" s="120"/>
      <c r="AAP380" s="120"/>
      <c r="AAQ380" s="120"/>
      <c r="AAR380" s="120"/>
      <c r="AAS380" s="120"/>
      <c r="AAT380" s="120"/>
      <c r="AAU380" s="120"/>
      <c r="AAV380" s="120"/>
      <c r="AAW380" s="120"/>
      <c r="AAX380" s="120"/>
      <c r="AAY380" s="120"/>
      <c r="AAZ380" s="120"/>
      <c r="ABA380" s="120"/>
      <c r="ABB380" s="120"/>
      <c r="ABC380" s="120"/>
      <c r="ABD380" s="120"/>
      <c r="ABE380" s="120"/>
      <c r="ABF380" s="120"/>
      <c r="ABG380" s="120"/>
      <c r="ABH380" s="120"/>
      <c r="ABI380" s="120"/>
      <c r="ABJ380" s="120"/>
      <c r="ABK380" s="120"/>
      <c r="ABL380" s="120"/>
      <c r="ABM380" s="120"/>
      <c r="ABN380" s="120"/>
      <c r="ABO380" s="120"/>
      <c r="ABP380" s="120"/>
      <c r="ABQ380" s="120"/>
      <c r="ABR380" s="120"/>
      <c r="ABS380" s="120"/>
      <c r="ABT380" s="120"/>
      <c r="ABU380" s="120"/>
      <c r="ABV380" s="120"/>
      <c r="ABW380" s="120"/>
      <c r="ABX380" s="120"/>
      <c r="ABY380" s="120"/>
      <c r="ABZ380" s="120"/>
      <c r="ACA380" s="120"/>
      <c r="ACB380" s="120"/>
      <c r="ACC380" s="120"/>
      <c r="ACD380" s="120"/>
      <c r="ACE380" s="120"/>
      <c r="ACF380" s="120"/>
      <c r="ACG380" s="120"/>
      <c r="ACH380" s="120"/>
      <c r="ACI380" s="120"/>
      <c r="ACJ380" s="120"/>
      <c r="ACK380" s="120"/>
      <c r="ACL380" s="120"/>
      <c r="ACM380" s="120"/>
      <c r="ACN380" s="120"/>
      <c r="ACO380" s="120"/>
      <c r="ACP380" s="120"/>
      <c r="ACQ380" s="120"/>
      <c r="ACR380" s="120"/>
      <c r="ACS380" s="120"/>
      <c r="ACT380" s="120"/>
      <c r="ACU380" s="120"/>
      <c r="ACV380" s="120"/>
      <c r="ACW380" s="120"/>
      <c r="ACX380" s="120"/>
      <c r="ACY380" s="120"/>
      <c r="ACZ380" s="120"/>
      <c r="ADA380" s="120"/>
      <c r="ADB380" s="120"/>
      <c r="ADC380" s="120"/>
      <c r="ADD380" s="120"/>
      <c r="ADE380" s="120"/>
      <c r="ADF380" s="120"/>
      <c r="ADG380" s="120"/>
      <c r="ADH380" s="120"/>
      <c r="ADI380" s="120"/>
      <c r="ADJ380" s="120"/>
      <c r="ADK380" s="120"/>
      <c r="ADL380" s="120"/>
      <c r="ADM380" s="120"/>
      <c r="ADN380" s="120"/>
      <c r="ADO380" s="120"/>
      <c r="ADP380" s="120"/>
      <c r="ADQ380" s="120"/>
      <c r="ADR380" s="120"/>
      <c r="ADS380" s="120"/>
      <c r="ADT380" s="120"/>
      <c r="ADU380" s="120"/>
      <c r="ADV380" s="120"/>
      <c r="ADW380" s="120"/>
      <c r="ADX380" s="120"/>
      <c r="ADY380" s="120"/>
      <c r="ADZ380" s="120"/>
      <c r="AEA380" s="120"/>
      <c r="AEB380" s="120"/>
      <c r="AEC380" s="120"/>
      <c r="AED380" s="120"/>
      <c r="AEE380" s="120"/>
      <c r="AEF380" s="120"/>
      <c r="AEG380" s="120"/>
      <c r="AEH380" s="120"/>
      <c r="AEI380" s="120"/>
      <c r="AEJ380" s="120"/>
      <c r="AEK380" s="120"/>
      <c r="AEL380" s="120"/>
      <c r="AEM380" s="120"/>
      <c r="AEN380" s="120"/>
      <c r="AEO380" s="120"/>
      <c r="AEP380" s="120"/>
      <c r="AEQ380" s="120"/>
      <c r="AER380" s="120"/>
      <c r="AES380" s="120"/>
      <c r="AET380" s="120"/>
      <c r="AEU380" s="120"/>
      <c r="AEV380" s="120"/>
      <c r="AEW380" s="120"/>
      <c r="AEX380" s="120"/>
      <c r="AEY380" s="120"/>
      <c r="AEZ380" s="120"/>
      <c r="AFA380" s="120"/>
      <c r="AFB380" s="120"/>
      <c r="AFC380" s="120"/>
      <c r="AFD380" s="120"/>
      <c r="AFE380" s="120"/>
      <c r="AFF380" s="120"/>
      <c r="AFG380" s="120"/>
      <c r="AFH380" s="120"/>
      <c r="AFI380" s="120"/>
      <c r="AFJ380" s="120"/>
      <c r="AFK380" s="120"/>
      <c r="AFL380" s="120"/>
      <c r="AFM380" s="120"/>
      <c r="AFN380" s="120"/>
      <c r="AFO380" s="120"/>
      <c r="AFP380" s="120"/>
      <c r="AFQ380" s="120"/>
      <c r="AFR380" s="120"/>
      <c r="AFS380" s="120"/>
      <c r="AFT380" s="120"/>
      <c r="AFU380" s="120"/>
      <c r="AFV380" s="120"/>
      <c r="AFW380" s="120"/>
      <c r="AFX380" s="120"/>
      <c r="AFY380" s="120"/>
      <c r="AFZ380" s="120"/>
      <c r="AGA380" s="120"/>
      <c r="AGB380" s="120"/>
      <c r="AGC380" s="120"/>
      <c r="AGD380" s="120"/>
      <c r="AGE380" s="120"/>
      <c r="AGF380" s="120"/>
      <c r="AGG380" s="120"/>
      <c r="AGH380" s="120"/>
      <c r="AGI380" s="120"/>
      <c r="AGJ380" s="120"/>
      <c r="AGK380" s="120"/>
      <c r="AGL380" s="120"/>
      <c r="AGM380" s="120"/>
      <c r="AGN380" s="120"/>
      <c r="AGO380" s="120"/>
      <c r="AGP380" s="120"/>
      <c r="AGQ380" s="120"/>
      <c r="AGR380" s="120"/>
      <c r="AGS380" s="120"/>
      <c r="AGT380" s="120"/>
      <c r="AGU380" s="120"/>
      <c r="AGV380" s="120"/>
      <c r="AGW380" s="120"/>
      <c r="AGX380" s="120"/>
      <c r="AGY380" s="120"/>
      <c r="AGZ380" s="120"/>
      <c r="AHA380" s="120"/>
      <c r="AHB380" s="120"/>
      <c r="AHC380" s="120"/>
      <c r="AHD380" s="120"/>
      <c r="AHE380" s="120"/>
      <c r="AHF380" s="120"/>
      <c r="AHG380" s="120"/>
      <c r="AHH380" s="120"/>
      <c r="AHI380" s="120"/>
      <c r="AHJ380" s="120"/>
      <c r="AHK380" s="120"/>
      <c r="AHL380" s="120"/>
      <c r="AHM380" s="120"/>
      <c r="AHN380" s="120"/>
      <c r="AHO380" s="120"/>
      <c r="AHP380" s="120"/>
      <c r="AHQ380" s="120"/>
      <c r="AHR380" s="120"/>
      <c r="AHS380" s="120"/>
      <c r="AHT380" s="120"/>
      <c r="AHU380" s="120"/>
      <c r="AHV380" s="120"/>
      <c r="AHW380" s="120"/>
      <c r="AHX380" s="120"/>
      <c r="AHY380" s="120"/>
      <c r="AHZ380" s="120"/>
      <c r="AIA380" s="120"/>
      <c r="AIB380" s="120"/>
      <c r="AIC380" s="120"/>
      <c r="AID380" s="120"/>
      <c r="AIE380" s="120"/>
      <c r="AIF380" s="120"/>
      <c r="AIG380" s="120"/>
      <c r="AIH380" s="120"/>
      <c r="AII380" s="120"/>
      <c r="AIJ380" s="120"/>
      <c r="AIK380" s="120"/>
      <c r="AIL380" s="120"/>
      <c r="AIM380" s="120"/>
      <c r="AIN380" s="120"/>
      <c r="AIO380" s="120"/>
      <c r="AIP380" s="120"/>
      <c r="AIQ380" s="120"/>
      <c r="AIR380" s="120"/>
      <c r="AIS380" s="120"/>
      <c r="AIT380" s="120"/>
      <c r="AIU380" s="120"/>
      <c r="AIV380" s="120"/>
      <c r="AIW380" s="120"/>
      <c r="AIX380" s="120"/>
      <c r="AIY380" s="120"/>
      <c r="AIZ380" s="120"/>
    </row>
    <row r="381">
      <c r="A381" s="112" t="s">
        <v>38</v>
      </c>
      <c r="B381" s="112" t="s">
        <v>92</v>
      </c>
      <c r="C381" s="112"/>
      <c r="D381" s="113">
        <f t="shared" si="1"/>
        <v>491.6758667</v>
      </c>
      <c r="E381" s="112">
        <v>130.10135</v>
      </c>
      <c r="F381" s="113"/>
      <c r="G381" s="113"/>
      <c r="H381" s="113"/>
      <c r="I381" s="113"/>
      <c r="J381" s="113"/>
      <c r="K381" s="113"/>
      <c r="L381" s="112">
        <v>2.68668333333333</v>
      </c>
      <c r="M381" s="112">
        <v>3.90388333333333</v>
      </c>
      <c r="N381" s="113"/>
      <c r="O381" s="113"/>
      <c r="P381" s="112">
        <v>62.8179666666666</v>
      </c>
      <c r="Q381" s="113"/>
      <c r="R381" s="113"/>
      <c r="S381" s="113"/>
      <c r="T381" s="113"/>
      <c r="U381" s="113"/>
      <c r="V381" s="112">
        <v>0.789883333333333</v>
      </c>
      <c r="W381" s="112">
        <v>71.3475499999999</v>
      </c>
      <c r="X381" s="113"/>
      <c r="Y381" s="113"/>
      <c r="Z381" s="113"/>
      <c r="AA381" s="113"/>
      <c r="AB381" s="113"/>
      <c r="AC381" s="112">
        <v>1.76566666666667</v>
      </c>
      <c r="AD381" s="112">
        <v>144.676566666667</v>
      </c>
      <c r="AE381" s="113"/>
      <c r="AF381" s="113"/>
      <c r="AG381" s="113"/>
      <c r="AH381" s="113"/>
      <c r="AI381" s="113"/>
      <c r="AJ381" s="112">
        <v>2.56331666666667</v>
      </c>
      <c r="AK381" s="112">
        <v>28.7633166666667</v>
      </c>
      <c r="AL381" s="113"/>
      <c r="AM381" s="113"/>
      <c r="AN381" s="113"/>
      <c r="AO381" s="112">
        <v>4.25731666666667</v>
      </c>
      <c r="AP381" s="112">
        <v>4.45911666666667</v>
      </c>
      <c r="AQ381" s="113"/>
      <c r="AR381" s="113"/>
      <c r="AS381" s="112">
        <v>0.901083333333333</v>
      </c>
      <c r="AT381" s="112">
        <v>29.91405</v>
      </c>
      <c r="AU381" s="113"/>
      <c r="AV381" s="112">
        <v>2.05076666666667</v>
      </c>
      <c r="AW381" s="112">
        <v>0.67735</v>
      </c>
      <c r="AX381" s="113"/>
      <c r="AY381" s="113"/>
      <c r="AZ381" s="113"/>
      <c r="BA381" s="113"/>
      <c r="BB381" s="113"/>
      <c r="BC381" s="113"/>
      <c r="BD381" s="113"/>
      <c r="BE381" s="113"/>
      <c r="BF381" s="113"/>
      <c r="BG381" s="113"/>
      <c r="BH381" s="113"/>
      <c r="BI381" s="113"/>
      <c r="BJ381" s="113"/>
      <c r="BK381" s="113"/>
      <c r="BL381" s="113"/>
      <c r="BM381" s="113"/>
      <c r="BN381" s="113"/>
      <c r="BO381" s="113"/>
      <c r="BP381" s="113"/>
      <c r="BQ381" s="113"/>
      <c r="BR381" s="113"/>
      <c r="BS381" s="113"/>
      <c r="BT381" s="113"/>
      <c r="BU381" s="113"/>
      <c r="BV381" s="113"/>
      <c r="BW381" s="113"/>
      <c r="BX381" s="113"/>
      <c r="BY381" s="113"/>
      <c r="BZ381" s="113"/>
      <c r="CA381" s="113"/>
      <c r="CB381" s="113"/>
      <c r="CC381" s="113"/>
      <c r="CD381" s="113"/>
      <c r="CE381" s="113"/>
      <c r="CF381" s="113"/>
      <c r="CG381" s="113"/>
      <c r="CH381" s="113"/>
      <c r="CI381" s="113"/>
      <c r="CJ381" s="113"/>
      <c r="CK381" s="113"/>
      <c r="CL381" s="113"/>
      <c r="CM381" s="113"/>
      <c r="CN381" s="113"/>
      <c r="CO381" s="113"/>
      <c r="CP381" s="113"/>
      <c r="CQ381" s="113"/>
      <c r="CR381" s="113"/>
      <c r="CS381" s="113"/>
      <c r="CT381" s="113"/>
      <c r="CU381" s="113"/>
      <c r="CV381" s="113"/>
      <c r="CW381" s="113"/>
      <c r="CX381" s="113"/>
      <c r="CY381" s="113"/>
      <c r="CZ381" s="113"/>
      <c r="DA381" s="113"/>
      <c r="DB381" s="113"/>
      <c r="DC381" s="113"/>
      <c r="DD381" s="113"/>
      <c r="DE381" s="113"/>
      <c r="DF381" s="113"/>
      <c r="DG381" s="113"/>
      <c r="DH381" s="113"/>
      <c r="DI381" s="113"/>
      <c r="DJ381" s="113"/>
      <c r="DK381" s="113"/>
      <c r="DL381" s="113"/>
      <c r="DM381" s="113"/>
      <c r="DN381" s="113"/>
      <c r="DO381" s="113"/>
      <c r="DP381" s="113"/>
      <c r="DQ381" s="113"/>
      <c r="DR381" s="113"/>
      <c r="DS381" s="113"/>
      <c r="DT381" s="113"/>
      <c r="DU381" s="113"/>
      <c r="DV381" s="113"/>
      <c r="DW381" s="113"/>
      <c r="DX381" s="113"/>
      <c r="DY381" s="113"/>
      <c r="DZ381" s="113"/>
      <c r="EA381" s="113"/>
      <c r="EB381" s="113"/>
      <c r="EC381" s="113"/>
      <c r="ED381" s="113"/>
      <c r="EE381" s="113"/>
      <c r="EF381" s="113"/>
      <c r="EG381" s="113"/>
      <c r="EH381" s="113"/>
      <c r="EI381" s="113"/>
      <c r="EJ381" s="113"/>
      <c r="EK381" s="113"/>
      <c r="EL381" s="113"/>
      <c r="EM381" s="113"/>
      <c r="EN381" s="113"/>
      <c r="EO381" s="113"/>
      <c r="EP381" s="113"/>
      <c r="EQ381" s="113"/>
      <c r="ER381" s="113"/>
      <c r="ES381" s="113"/>
      <c r="ET381" s="113"/>
      <c r="EU381" s="113"/>
      <c r="EV381" s="113"/>
      <c r="EW381" s="113"/>
      <c r="EX381" s="113"/>
      <c r="EY381" s="113"/>
      <c r="EZ381" s="113"/>
      <c r="FA381" s="113"/>
      <c r="FB381" s="113"/>
      <c r="FC381" s="113"/>
      <c r="FD381" s="113"/>
      <c r="FE381" s="113"/>
      <c r="FF381" s="113"/>
      <c r="FG381" s="113"/>
      <c r="FH381" s="113"/>
      <c r="FI381" s="113"/>
      <c r="FJ381" s="113"/>
      <c r="FK381" s="113"/>
      <c r="FL381" s="113"/>
      <c r="FM381" s="113"/>
      <c r="FN381" s="113"/>
      <c r="FO381" s="113"/>
      <c r="FP381" s="113"/>
      <c r="FQ381" s="113"/>
      <c r="FR381" s="113"/>
      <c r="FS381" s="113"/>
      <c r="FT381" s="113"/>
      <c r="FU381" s="113"/>
      <c r="FV381" s="113"/>
      <c r="FW381" s="113"/>
      <c r="FX381" s="113"/>
      <c r="FY381" s="113"/>
      <c r="FZ381" s="113"/>
      <c r="GA381" s="113"/>
      <c r="GB381" s="113"/>
      <c r="GC381" s="113"/>
      <c r="GD381" s="113"/>
      <c r="GE381" s="113"/>
      <c r="GF381" s="113"/>
      <c r="GG381" s="113"/>
      <c r="GH381" s="113"/>
      <c r="GI381" s="113"/>
      <c r="GJ381" s="113"/>
      <c r="GK381" s="113"/>
      <c r="GL381" s="113"/>
      <c r="GM381" s="113"/>
      <c r="GN381" s="113"/>
      <c r="GO381" s="113"/>
      <c r="GP381" s="113"/>
      <c r="GQ381" s="113"/>
      <c r="GR381" s="113"/>
      <c r="GS381" s="113"/>
      <c r="GT381" s="113"/>
      <c r="GU381" s="113"/>
      <c r="GV381" s="113"/>
      <c r="GW381" s="113"/>
      <c r="GX381" s="113"/>
      <c r="GY381" s="113"/>
      <c r="GZ381" s="113"/>
      <c r="HA381" s="113"/>
      <c r="HB381" s="113"/>
      <c r="HC381" s="113"/>
      <c r="HD381" s="113"/>
      <c r="HE381" s="113"/>
      <c r="HF381" s="113"/>
      <c r="HG381" s="113"/>
      <c r="HH381" s="113"/>
      <c r="HI381" s="113"/>
      <c r="HJ381" s="113"/>
      <c r="HK381" s="113"/>
      <c r="HL381" s="113"/>
      <c r="HM381" s="113"/>
      <c r="HN381" s="113"/>
      <c r="HO381" s="113"/>
      <c r="HP381" s="113"/>
      <c r="HQ381" s="113"/>
      <c r="HR381" s="113"/>
      <c r="HS381" s="113"/>
      <c r="HT381" s="113"/>
      <c r="HU381" s="113"/>
      <c r="HV381" s="113"/>
      <c r="HW381" s="113"/>
      <c r="HX381" s="113"/>
      <c r="HY381" s="113"/>
      <c r="HZ381" s="113"/>
      <c r="IA381" s="113"/>
      <c r="IB381" s="113"/>
      <c r="IC381" s="113"/>
      <c r="ID381" s="113"/>
      <c r="IE381" s="113"/>
      <c r="IF381" s="113"/>
      <c r="IG381" s="113"/>
      <c r="IH381" s="113"/>
      <c r="II381" s="113"/>
      <c r="IJ381" s="113"/>
      <c r="IK381" s="113"/>
      <c r="IL381" s="113"/>
      <c r="IM381" s="113"/>
      <c r="IN381" s="113"/>
      <c r="IO381" s="113"/>
      <c r="IP381" s="113"/>
      <c r="IQ381" s="113"/>
      <c r="IR381" s="113"/>
      <c r="IS381" s="113"/>
      <c r="IT381" s="113"/>
      <c r="IU381" s="113"/>
      <c r="IV381" s="113"/>
      <c r="IW381" s="113"/>
      <c r="IX381" s="113"/>
      <c r="IY381" s="113"/>
      <c r="IZ381" s="113"/>
      <c r="JA381" s="113"/>
      <c r="JB381" s="113"/>
      <c r="JC381" s="113"/>
      <c r="JD381" s="113"/>
      <c r="JE381" s="113"/>
      <c r="JF381" s="113"/>
      <c r="JG381" s="113"/>
      <c r="JH381" s="113"/>
      <c r="JI381" s="113"/>
      <c r="JJ381" s="113"/>
      <c r="JK381" s="113"/>
      <c r="JL381" s="113"/>
      <c r="JM381" s="113"/>
      <c r="JN381" s="113"/>
      <c r="JO381" s="113"/>
      <c r="JP381" s="113"/>
      <c r="JQ381" s="113"/>
      <c r="JR381" s="113"/>
      <c r="JS381" s="113"/>
      <c r="JT381" s="113"/>
      <c r="JU381" s="113"/>
      <c r="JV381" s="113"/>
      <c r="JW381" s="113"/>
      <c r="JX381" s="113"/>
      <c r="JY381" s="113"/>
      <c r="JZ381" s="113"/>
      <c r="KA381" s="113"/>
      <c r="KB381" s="113"/>
      <c r="KC381" s="113"/>
      <c r="KD381" s="113"/>
      <c r="KE381" s="113"/>
      <c r="KF381" s="113"/>
      <c r="KG381" s="113"/>
      <c r="KH381" s="113"/>
      <c r="KI381" s="113"/>
      <c r="KJ381" s="113"/>
      <c r="KK381" s="113"/>
      <c r="KL381" s="113"/>
      <c r="KM381" s="113"/>
      <c r="KN381" s="113"/>
      <c r="KO381" s="113"/>
      <c r="KP381" s="113"/>
      <c r="KQ381" s="113"/>
      <c r="KR381" s="113"/>
      <c r="KS381" s="113"/>
      <c r="KT381" s="113"/>
      <c r="KU381" s="113"/>
      <c r="KV381" s="113"/>
      <c r="KW381" s="113"/>
      <c r="KX381" s="113"/>
      <c r="KY381" s="113"/>
      <c r="KZ381" s="113"/>
      <c r="LA381" s="113"/>
      <c r="LB381" s="113"/>
      <c r="LC381" s="113"/>
      <c r="LD381" s="113"/>
      <c r="LE381" s="113"/>
      <c r="LF381" s="113"/>
      <c r="LG381" s="113"/>
      <c r="LH381" s="113"/>
      <c r="LI381" s="113"/>
      <c r="LJ381" s="113"/>
      <c r="LK381" s="113"/>
      <c r="LL381" s="113"/>
      <c r="LM381" s="113"/>
      <c r="LN381" s="113"/>
      <c r="LO381" s="113"/>
      <c r="LP381" s="113"/>
      <c r="LQ381" s="113"/>
      <c r="LR381" s="113"/>
      <c r="LS381" s="113"/>
      <c r="LT381" s="113"/>
      <c r="LU381" s="113"/>
      <c r="LV381" s="113"/>
      <c r="LW381" s="113"/>
      <c r="LX381" s="113"/>
      <c r="LY381" s="113"/>
      <c r="LZ381" s="113"/>
      <c r="MA381" s="113"/>
      <c r="MB381" s="113"/>
      <c r="MC381" s="113"/>
      <c r="MD381" s="113"/>
      <c r="ME381" s="113"/>
      <c r="MF381" s="113"/>
      <c r="MG381" s="113"/>
      <c r="MH381" s="113"/>
      <c r="MI381" s="113"/>
      <c r="MJ381" s="113"/>
      <c r="MK381" s="113"/>
      <c r="ML381" s="113"/>
      <c r="MM381" s="113"/>
      <c r="MN381" s="113"/>
      <c r="MO381" s="113"/>
      <c r="MP381" s="113"/>
      <c r="MQ381" s="113"/>
      <c r="MR381" s="113"/>
      <c r="MS381" s="113"/>
      <c r="MT381" s="113"/>
      <c r="MU381" s="113"/>
      <c r="MV381" s="113"/>
      <c r="MW381" s="113"/>
      <c r="MX381" s="113"/>
      <c r="MY381" s="113"/>
      <c r="MZ381" s="113"/>
      <c r="NA381" s="113"/>
      <c r="NB381" s="113"/>
      <c r="NC381" s="113"/>
      <c r="ND381" s="113"/>
      <c r="NE381" s="113"/>
      <c r="NF381" s="113"/>
      <c r="NG381" s="113"/>
      <c r="NH381" s="113"/>
      <c r="NI381" s="113"/>
      <c r="NJ381" s="113"/>
      <c r="NK381" s="113"/>
      <c r="NL381" s="113"/>
      <c r="NM381" s="113"/>
      <c r="NN381" s="113"/>
      <c r="NO381" s="113"/>
      <c r="NP381" s="113"/>
      <c r="NQ381" s="113"/>
      <c r="NR381" s="113"/>
      <c r="NS381" s="113"/>
      <c r="NT381" s="113"/>
      <c r="NU381" s="113"/>
      <c r="NV381" s="113"/>
      <c r="NW381" s="113"/>
      <c r="NX381" s="113"/>
      <c r="NY381" s="113"/>
      <c r="NZ381" s="113"/>
      <c r="OA381" s="113"/>
      <c r="OB381" s="113"/>
      <c r="OC381" s="113"/>
      <c r="OD381" s="113"/>
      <c r="OE381" s="113"/>
      <c r="OF381" s="113"/>
      <c r="OG381" s="113"/>
      <c r="OH381" s="113"/>
      <c r="OI381" s="113"/>
      <c r="OJ381" s="113"/>
      <c r="OK381" s="113"/>
      <c r="OL381" s="113"/>
      <c r="OM381" s="113"/>
      <c r="ON381" s="113"/>
      <c r="OO381" s="113"/>
      <c r="OP381" s="113"/>
      <c r="OQ381" s="113"/>
      <c r="OR381" s="113"/>
      <c r="OS381" s="113"/>
      <c r="OT381" s="113"/>
      <c r="OU381" s="113"/>
      <c r="OV381" s="113"/>
      <c r="OW381" s="113"/>
      <c r="OX381" s="113"/>
      <c r="OY381" s="113"/>
      <c r="OZ381" s="113"/>
      <c r="PA381" s="113"/>
      <c r="PB381" s="113"/>
      <c r="PC381" s="113"/>
      <c r="PD381" s="113"/>
      <c r="PE381" s="113"/>
      <c r="PF381" s="113"/>
      <c r="PG381" s="113"/>
      <c r="PH381" s="113"/>
      <c r="PI381" s="113"/>
      <c r="PJ381" s="113"/>
      <c r="PK381" s="113"/>
      <c r="PL381" s="113"/>
      <c r="PM381" s="113"/>
      <c r="PN381" s="113"/>
      <c r="PO381" s="113"/>
      <c r="PP381" s="113"/>
      <c r="PQ381" s="113"/>
      <c r="PR381" s="113"/>
      <c r="PS381" s="113"/>
      <c r="PT381" s="113"/>
      <c r="PU381" s="113"/>
      <c r="PV381" s="113"/>
      <c r="PW381" s="113"/>
      <c r="PX381" s="113"/>
      <c r="PY381" s="113"/>
      <c r="PZ381" s="113"/>
      <c r="QA381" s="113"/>
      <c r="QB381" s="113"/>
      <c r="QC381" s="113"/>
      <c r="QD381" s="113"/>
      <c r="QE381" s="113"/>
      <c r="QF381" s="113"/>
      <c r="QG381" s="113"/>
      <c r="QH381" s="113"/>
      <c r="QI381" s="113"/>
      <c r="QJ381" s="113"/>
      <c r="QK381" s="113"/>
      <c r="QL381" s="113"/>
      <c r="QM381" s="113"/>
      <c r="QN381" s="113"/>
      <c r="QO381" s="113"/>
      <c r="QP381" s="113"/>
      <c r="QQ381" s="113"/>
      <c r="QR381" s="113"/>
      <c r="QS381" s="113"/>
      <c r="QT381" s="113"/>
      <c r="QU381" s="113"/>
      <c r="QV381" s="113"/>
      <c r="QW381" s="113"/>
      <c r="QX381" s="113"/>
      <c r="QY381" s="113"/>
      <c r="QZ381" s="113"/>
      <c r="RA381" s="113"/>
      <c r="RB381" s="113"/>
      <c r="RC381" s="113"/>
      <c r="RD381" s="113"/>
      <c r="RE381" s="113"/>
      <c r="RF381" s="113"/>
      <c r="RG381" s="113"/>
      <c r="RH381" s="113"/>
      <c r="RI381" s="113"/>
      <c r="RJ381" s="113"/>
      <c r="RK381" s="113"/>
      <c r="RL381" s="113"/>
      <c r="RM381" s="113"/>
      <c r="RN381" s="113"/>
      <c r="RO381" s="113"/>
      <c r="RP381" s="113"/>
      <c r="RQ381" s="113"/>
      <c r="RR381" s="113"/>
      <c r="RS381" s="113"/>
      <c r="RT381" s="113"/>
      <c r="RU381" s="113"/>
      <c r="RV381" s="113"/>
      <c r="RW381" s="113"/>
      <c r="RX381" s="113"/>
      <c r="RY381" s="113"/>
      <c r="RZ381" s="113"/>
      <c r="SA381" s="113"/>
      <c r="SB381" s="113"/>
      <c r="SC381" s="113"/>
      <c r="SD381" s="113"/>
      <c r="SE381" s="113"/>
      <c r="SF381" s="113"/>
      <c r="SG381" s="113"/>
      <c r="SH381" s="113"/>
      <c r="SI381" s="113"/>
      <c r="SJ381" s="113"/>
      <c r="SK381" s="113"/>
      <c r="SL381" s="113"/>
      <c r="SM381" s="113"/>
      <c r="SN381" s="113"/>
      <c r="SO381" s="113"/>
      <c r="SP381" s="113"/>
      <c r="SQ381" s="113"/>
      <c r="SR381" s="113"/>
      <c r="SS381" s="113"/>
      <c r="ST381" s="113"/>
      <c r="SU381" s="113"/>
      <c r="SV381" s="113"/>
      <c r="SW381" s="113"/>
      <c r="SX381" s="113"/>
      <c r="SY381" s="113"/>
      <c r="SZ381" s="113"/>
      <c r="TA381" s="113"/>
      <c r="TB381" s="113"/>
      <c r="TC381" s="113"/>
      <c r="TD381" s="113"/>
      <c r="TE381" s="113"/>
      <c r="TF381" s="113"/>
      <c r="TG381" s="113"/>
      <c r="TH381" s="113"/>
      <c r="TI381" s="113"/>
      <c r="TJ381" s="113"/>
      <c r="TK381" s="113"/>
      <c r="TL381" s="113"/>
      <c r="TM381" s="113"/>
      <c r="TN381" s="113"/>
      <c r="TO381" s="113"/>
      <c r="TP381" s="113"/>
      <c r="TQ381" s="113"/>
      <c r="TR381" s="113"/>
      <c r="TS381" s="113"/>
      <c r="TT381" s="113"/>
      <c r="TU381" s="113"/>
      <c r="TV381" s="113"/>
      <c r="TW381" s="113"/>
      <c r="TX381" s="113"/>
      <c r="TY381" s="113"/>
      <c r="TZ381" s="113"/>
      <c r="UA381" s="113"/>
      <c r="UB381" s="113"/>
      <c r="UC381" s="113"/>
      <c r="UD381" s="113"/>
      <c r="UE381" s="113"/>
      <c r="UF381" s="113"/>
      <c r="UG381" s="113"/>
      <c r="UH381" s="113"/>
      <c r="UI381" s="113"/>
      <c r="UJ381" s="113"/>
      <c r="UK381" s="113"/>
      <c r="UL381" s="113"/>
      <c r="UM381" s="113"/>
      <c r="UN381" s="113"/>
      <c r="UO381" s="113"/>
      <c r="UP381" s="113"/>
      <c r="UQ381" s="113"/>
      <c r="UR381" s="113"/>
      <c r="US381" s="113"/>
      <c r="UT381" s="113"/>
      <c r="UU381" s="113"/>
      <c r="UV381" s="113"/>
      <c r="UW381" s="113"/>
      <c r="UX381" s="113"/>
      <c r="UY381" s="113"/>
      <c r="UZ381" s="113"/>
      <c r="VA381" s="113"/>
      <c r="VB381" s="113"/>
      <c r="VC381" s="113"/>
      <c r="VD381" s="113"/>
      <c r="VE381" s="113"/>
      <c r="VF381" s="113"/>
      <c r="VG381" s="113"/>
      <c r="VH381" s="113"/>
      <c r="VI381" s="113"/>
      <c r="VJ381" s="113"/>
      <c r="VK381" s="113"/>
      <c r="VL381" s="113"/>
      <c r="VM381" s="113"/>
      <c r="VN381" s="113"/>
      <c r="VO381" s="113"/>
      <c r="VP381" s="113"/>
      <c r="VQ381" s="113"/>
      <c r="VR381" s="113"/>
      <c r="VS381" s="113"/>
      <c r="VT381" s="113"/>
      <c r="VU381" s="113"/>
      <c r="VV381" s="113"/>
      <c r="VW381" s="113"/>
      <c r="VX381" s="113"/>
      <c r="VY381" s="113"/>
      <c r="VZ381" s="113"/>
      <c r="WA381" s="113"/>
      <c r="WB381" s="113"/>
      <c r="WC381" s="113"/>
      <c r="WD381" s="113"/>
      <c r="WE381" s="113"/>
      <c r="WF381" s="113"/>
      <c r="WG381" s="113"/>
      <c r="WH381" s="113"/>
      <c r="WI381" s="113"/>
      <c r="WJ381" s="113"/>
      <c r="WK381" s="113"/>
      <c r="WL381" s="113"/>
      <c r="WM381" s="113"/>
      <c r="WN381" s="113"/>
      <c r="WO381" s="113"/>
      <c r="WP381" s="113"/>
      <c r="WQ381" s="113"/>
      <c r="WR381" s="113"/>
      <c r="WS381" s="113"/>
      <c r="WT381" s="113"/>
      <c r="WU381" s="113"/>
      <c r="WV381" s="113"/>
      <c r="WW381" s="113"/>
      <c r="WX381" s="113"/>
      <c r="WY381" s="113"/>
      <c r="WZ381" s="113"/>
      <c r="XA381" s="113"/>
      <c r="XB381" s="113"/>
      <c r="XC381" s="113"/>
      <c r="XD381" s="113"/>
      <c r="XE381" s="113"/>
      <c r="XF381" s="113"/>
      <c r="XG381" s="113"/>
      <c r="XH381" s="113"/>
      <c r="XI381" s="113"/>
      <c r="XJ381" s="113"/>
      <c r="XK381" s="113"/>
      <c r="XL381" s="113"/>
      <c r="XM381" s="113"/>
      <c r="XN381" s="113"/>
      <c r="XO381" s="113"/>
      <c r="XP381" s="113"/>
      <c r="XQ381" s="113"/>
      <c r="XR381" s="113"/>
      <c r="XS381" s="113"/>
      <c r="XT381" s="113"/>
      <c r="XU381" s="113"/>
      <c r="XV381" s="113"/>
      <c r="XW381" s="113"/>
      <c r="XX381" s="113"/>
      <c r="XY381" s="113"/>
      <c r="XZ381" s="113"/>
      <c r="YA381" s="113"/>
      <c r="YB381" s="113"/>
      <c r="YC381" s="113"/>
      <c r="YD381" s="113"/>
      <c r="YE381" s="113"/>
      <c r="YF381" s="113"/>
      <c r="YG381" s="113"/>
      <c r="YH381" s="113"/>
      <c r="YI381" s="113"/>
      <c r="YJ381" s="113"/>
      <c r="YK381" s="113"/>
      <c r="YL381" s="113"/>
      <c r="YM381" s="113"/>
      <c r="YN381" s="113"/>
      <c r="YO381" s="113"/>
      <c r="YP381" s="113"/>
      <c r="YQ381" s="113"/>
      <c r="YR381" s="113"/>
      <c r="YS381" s="113"/>
      <c r="YT381" s="113"/>
      <c r="YU381" s="113"/>
      <c r="YV381" s="113"/>
      <c r="YW381" s="113"/>
      <c r="YX381" s="113"/>
      <c r="YY381" s="113"/>
      <c r="YZ381" s="113"/>
      <c r="ZA381" s="113"/>
      <c r="ZB381" s="113"/>
      <c r="ZC381" s="113"/>
      <c r="ZD381" s="113"/>
      <c r="ZE381" s="113"/>
      <c r="ZF381" s="113"/>
      <c r="ZG381" s="113"/>
      <c r="ZH381" s="113"/>
      <c r="ZI381" s="113"/>
      <c r="ZJ381" s="113"/>
      <c r="ZK381" s="113"/>
      <c r="ZL381" s="113"/>
      <c r="ZM381" s="113"/>
      <c r="ZN381" s="113"/>
      <c r="ZO381" s="113"/>
      <c r="ZP381" s="113"/>
      <c r="ZQ381" s="113"/>
      <c r="ZR381" s="113"/>
      <c r="ZS381" s="113"/>
      <c r="ZT381" s="113"/>
      <c r="ZU381" s="113"/>
      <c r="ZV381" s="113"/>
      <c r="ZW381" s="113"/>
      <c r="ZX381" s="113"/>
      <c r="ZY381" s="113"/>
      <c r="ZZ381" s="113"/>
      <c r="AAA381" s="113"/>
      <c r="AAB381" s="113"/>
      <c r="AAC381" s="113"/>
      <c r="AAD381" s="113"/>
      <c r="AAE381" s="113"/>
      <c r="AAF381" s="113"/>
      <c r="AAG381" s="113"/>
      <c r="AAH381" s="113"/>
      <c r="AAI381" s="113"/>
      <c r="AAJ381" s="113"/>
      <c r="AAK381" s="113"/>
      <c r="AAL381" s="113"/>
      <c r="AAM381" s="113"/>
      <c r="AAN381" s="113"/>
      <c r="AAO381" s="113"/>
      <c r="AAP381" s="113"/>
      <c r="AAQ381" s="113"/>
      <c r="AAR381" s="113"/>
      <c r="AAS381" s="113"/>
      <c r="AAT381" s="113"/>
      <c r="AAU381" s="113"/>
      <c r="AAV381" s="113"/>
      <c r="AAW381" s="113"/>
      <c r="AAX381" s="113"/>
      <c r="AAY381" s="113"/>
      <c r="AAZ381" s="113"/>
      <c r="ABA381" s="113"/>
      <c r="ABB381" s="113"/>
      <c r="ABC381" s="113"/>
      <c r="ABD381" s="113"/>
      <c r="ABE381" s="113"/>
      <c r="ABF381" s="113"/>
      <c r="ABG381" s="113"/>
      <c r="ABH381" s="113"/>
      <c r="ABI381" s="113"/>
      <c r="ABJ381" s="113"/>
      <c r="ABK381" s="113"/>
      <c r="ABL381" s="113"/>
      <c r="ABM381" s="113"/>
      <c r="ABN381" s="113"/>
      <c r="ABO381" s="113"/>
      <c r="ABP381" s="113"/>
      <c r="ABQ381" s="113"/>
      <c r="ABR381" s="113"/>
      <c r="ABS381" s="113"/>
      <c r="ABT381" s="113"/>
      <c r="ABU381" s="113"/>
      <c r="ABV381" s="113"/>
      <c r="ABW381" s="113"/>
      <c r="ABX381" s="113"/>
      <c r="ABY381" s="113"/>
      <c r="ABZ381" s="113"/>
      <c r="ACA381" s="113"/>
      <c r="ACB381" s="113"/>
      <c r="ACC381" s="113"/>
      <c r="ACD381" s="113"/>
      <c r="ACE381" s="113"/>
      <c r="ACF381" s="113"/>
      <c r="ACG381" s="113"/>
      <c r="ACH381" s="113"/>
      <c r="ACI381" s="113"/>
      <c r="ACJ381" s="113"/>
      <c r="ACK381" s="113"/>
      <c r="ACL381" s="113"/>
      <c r="ACM381" s="113"/>
      <c r="ACN381" s="113"/>
      <c r="ACO381" s="113"/>
      <c r="ACP381" s="113"/>
      <c r="ACQ381" s="113"/>
      <c r="ACR381" s="113"/>
      <c r="ACS381" s="113"/>
      <c r="ACT381" s="113"/>
      <c r="ACU381" s="113"/>
      <c r="ACV381" s="113"/>
      <c r="ACW381" s="113"/>
      <c r="ACX381" s="113"/>
      <c r="ACY381" s="113"/>
      <c r="ACZ381" s="113"/>
      <c r="ADA381" s="113"/>
      <c r="ADB381" s="113"/>
      <c r="ADC381" s="113"/>
      <c r="ADD381" s="113"/>
      <c r="ADE381" s="113"/>
      <c r="ADF381" s="113"/>
      <c r="ADG381" s="113"/>
      <c r="ADH381" s="113"/>
      <c r="ADI381" s="113"/>
      <c r="ADJ381" s="113"/>
      <c r="ADK381" s="113"/>
      <c r="ADL381" s="113"/>
      <c r="ADM381" s="113"/>
      <c r="ADN381" s="113"/>
      <c r="ADO381" s="113"/>
      <c r="ADP381" s="113"/>
      <c r="ADQ381" s="113"/>
      <c r="ADR381" s="113"/>
      <c r="ADS381" s="113"/>
      <c r="ADT381" s="113"/>
      <c r="ADU381" s="113"/>
      <c r="ADV381" s="113"/>
      <c r="ADW381" s="113"/>
      <c r="ADX381" s="113"/>
      <c r="ADY381" s="113"/>
      <c r="ADZ381" s="113"/>
      <c r="AEA381" s="113"/>
      <c r="AEB381" s="113"/>
      <c r="AEC381" s="113"/>
      <c r="AED381" s="113"/>
      <c r="AEE381" s="113"/>
      <c r="AEF381" s="113"/>
      <c r="AEG381" s="113"/>
      <c r="AEH381" s="113"/>
      <c r="AEI381" s="113"/>
      <c r="AEJ381" s="113"/>
      <c r="AEK381" s="113"/>
      <c r="AEL381" s="113"/>
      <c r="AEM381" s="113"/>
      <c r="AEN381" s="113"/>
      <c r="AEO381" s="113"/>
      <c r="AEP381" s="113"/>
      <c r="AEQ381" s="113"/>
      <c r="AER381" s="113"/>
      <c r="AES381" s="113"/>
      <c r="AET381" s="113"/>
      <c r="AEU381" s="113"/>
      <c r="AEV381" s="113"/>
      <c r="AEW381" s="113"/>
      <c r="AEX381" s="113"/>
      <c r="AEY381" s="113"/>
      <c r="AEZ381" s="113"/>
      <c r="AFA381" s="113"/>
      <c r="AFB381" s="113"/>
      <c r="AFC381" s="113"/>
      <c r="AFD381" s="113"/>
      <c r="AFE381" s="113"/>
      <c r="AFF381" s="113"/>
      <c r="AFG381" s="113"/>
      <c r="AFH381" s="113"/>
      <c r="AFI381" s="113"/>
      <c r="AFJ381" s="113"/>
      <c r="AFK381" s="113"/>
      <c r="AFL381" s="113"/>
      <c r="AFM381" s="113"/>
      <c r="AFN381" s="113"/>
      <c r="AFO381" s="113"/>
      <c r="AFP381" s="113"/>
      <c r="AFQ381" s="113"/>
      <c r="AFR381" s="113"/>
      <c r="AFS381" s="113"/>
      <c r="AFT381" s="113"/>
      <c r="AFU381" s="113"/>
      <c r="AFV381" s="113"/>
      <c r="AFW381" s="113"/>
      <c r="AFX381" s="113"/>
      <c r="AFY381" s="113"/>
      <c r="AFZ381" s="113"/>
      <c r="AGA381" s="113"/>
      <c r="AGB381" s="113"/>
      <c r="AGC381" s="113"/>
      <c r="AGD381" s="113"/>
      <c r="AGE381" s="113"/>
      <c r="AGF381" s="113"/>
      <c r="AGG381" s="113"/>
      <c r="AGH381" s="113"/>
      <c r="AGI381" s="113"/>
      <c r="AGJ381" s="113"/>
      <c r="AGK381" s="113"/>
      <c r="AGL381" s="113"/>
      <c r="AGM381" s="113"/>
      <c r="AGN381" s="113"/>
      <c r="AGO381" s="113"/>
      <c r="AGP381" s="113"/>
      <c r="AGQ381" s="113"/>
      <c r="AGR381" s="113"/>
      <c r="AGS381" s="113"/>
      <c r="AGT381" s="113"/>
      <c r="AGU381" s="113"/>
      <c r="AGV381" s="113"/>
      <c r="AGW381" s="113"/>
      <c r="AGX381" s="113"/>
      <c r="AGY381" s="113"/>
      <c r="AGZ381" s="113"/>
      <c r="AHA381" s="113"/>
      <c r="AHB381" s="113"/>
      <c r="AHC381" s="113"/>
      <c r="AHD381" s="113"/>
      <c r="AHE381" s="113"/>
      <c r="AHF381" s="113"/>
      <c r="AHG381" s="113"/>
      <c r="AHH381" s="113"/>
      <c r="AHI381" s="113"/>
      <c r="AHJ381" s="113"/>
      <c r="AHK381" s="113"/>
      <c r="AHL381" s="113"/>
      <c r="AHM381" s="113"/>
      <c r="AHN381" s="113"/>
      <c r="AHO381" s="113"/>
      <c r="AHP381" s="113"/>
      <c r="AHQ381" s="113"/>
      <c r="AHR381" s="113"/>
      <c r="AHS381" s="113"/>
      <c r="AHT381" s="113"/>
      <c r="AHU381" s="113"/>
      <c r="AHV381" s="113"/>
      <c r="AHW381" s="113"/>
      <c r="AHX381" s="113"/>
      <c r="AHY381" s="113"/>
      <c r="AHZ381" s="113"/>
      <c r="AIA381" s="113"/>
      <c r="AIB381" s="113"/>
      <c r="AIC381" s="113"/>
      <c r="AID381" s="113"/>
      <c r="AIE381" s="113"/>
      <c r="AIF381" s="113"/>
      <c r="AIG381" s="113"/>
      <c r="AIH381" s="113"/>
      <c r="AII381" s="113"/>
      <c r="AIJ381" s="113"/>
      <c r="AIK381" s="113"/>
      <c r="AIL381" s="113"/>
      <c r="AIM381" s="113"/>
      <c r="AIN381" s="113"/>
      <c r="AIO381" s="113"/>
      <c r="AIP381" s="113"/>
      <c r="AIQ381" s="113"/>
      <c r="AIR381" s="113"/>
      <c r="AIS381" s="113"/>
      <c r="AIT381" s="113"/>
      <c r="AIU381" s="113"/>
      <c r="AIV381" s="113"/>
      <c r="AIW381" s="113"/>
      <c r="AIX381" s="113"/>
      <c r="AIY381" s="113"/>
      <c r="AIZ381" s="113"/>
    </row>
    <row r="382">
      <c r="A382" s="65" t="s">
        <v>38</v>
      </c>
      <c r="B382" s="65" t="s">
        <v>92</v>
      </c>
      <c r="C382" s="65"/>
      <c r="D382" s="64">
        <f t="shared" si="1"/>
        <v>417.2461833</v>
      </c>
      <c r="F382" s="65">
        <v>29.6265666666667</v>
      </c>
      <c r="G382" s="65">
        <v>2.78695</v>
      </c>
      <c r="H382" s="65">
        <v>3.1338</v>
      </c>
      <c r="I382" s="65">
        <v>1.00975</v>
      </c>
      <c r="J382" s="65">
        <v>8.9424</v>
      </c>
      <c r="K382" s="65">
        <v>53.7111166666667</v>
      </c>
      <c r="N382" s="65">
        <v>3.90388333333333</v>
      </c>
      <c r="Q382" s="65">
        <v>25.9454166666667</v>
      </c>
      <c r="R382" s="65">
        <v>5.73673333333333</v>
      </c>
      <c r="S382" s="65">
        <v>4.01661666666667</v>
      </c>
      <c r="T382" s="65">
        <v>2.47811666666667</v>
      </c>
      <c r="U382" s="65">
        <v>16.7235</v>
      </c>
      <c r="X382" s="65">
        <v>27.0573833333333</v>
      </c>
      <c r="Y382" s="65">
        <v>19.7505333333333</v>
      </c>
      <c r="Z382" s="65">
        <v>5.74636666666667</v>
      </c>
      <c r="AA382" s="65">
        <v>2.72421666666667</v>
      </c>
      <c r="AB382" s="65">
        <v>12.2112833333333</v>
      </c>
      <c r="AE382" s="65">
        <v>20.4481166666667</v>
      </c>
      <c r="AF382" s="65">
        <v>94.4907500000001</v>
      </c>
      <c r="AG382" s="65">
        <v>16.1774166666667</v>
      </c>
      <c r="AH382" s="65">
        <v>1.03385</v>
      </c>
      <c r="AI382" s="65">
        <v>9.4623</v>
      </c>
      <c r="AL382" s="65">
        <v>3.9925</v>
      </c>
      <c r="AM382" s="65">
        <v>5.60383333333333</v>
      </c>
      <c r="AN382" s="65">
        <v>8.94283333333333</v>
      </c>
      <c r="AQ382" s="65">
        <v>0.707716666666667</v>
      </c>
      <c r="AR382" s="65">
        <v>2.83031666666667</v>
      </c>
      <c r="AU382" s="65">
        <v>28.0519166666667</v>
      </c>
    </row>
    <row r="383">
      <c r="A383" s="65" t="s">
        <v>38</v>
      </c>
      <c r="B383" s="65" t="s">
        <v>92</v>
      </c>
      <c r="C383" s="65"/>
      <c r="D383" s="64">
        <f t="shared" si="1"/>
        <v>0</v>
      </c>
    </row>
    <row r="384">
      <c r="A384" s="65" t="s">
        <v>38</v>
      </c>
      <c r="B384" s="65" t="s">
        <v>92</v>
      </c>
      <c r="C384" s="65"/>
      <c r="D384" s="64">
        <f t="shared" si="1"/>
        <v>404.8380667</v>
      </c>
      <c r="F384" s="118">
        <f>HYPERLINK("https://docs.google.com/spreadsheets/d/1tOGA_upAqpb2jrB2b_SSvnI22nFP-K8s", 25.73095)</f>
        <v>25.73095</v>
      </c>
      <c r="G384" s="118">
        <f>HYPERLINK("https://docs.google.com/spreadsheets/d/1z311SfymcZ_eOy73DfpNY0oTMS6tWWFD", 2.6807)</f>
        <v>2.6807</v>
      </c>
      <c r="H384" s="118">
        <f>HYPERLINK("https://docs.google.com/spreadsheets/d/1djLsFKYiG9N2XeoJDeC5MlslZjud44YD", 3.13381666666667)</f>
        <v>3.133816667</v>
      </c>
      <c r="I384" s="118">
        <f>HYPERLINK("https://docs.google.com/spreadsheets/d/14UQVFvMrG7mbYJHkJBzRXJHNmOaeAfoV", 1.00975)</f>
        <v>1.00975</v>
      </c>
      <c r="J384" s="118">
        <f>HYPERLINK("https://docs.google.com/spreadsheets/d/1nrjzJ8h8Z0abDr9qDmahbcy0wNs6uip7", 4.36138333333334)</f>
        <v>4.361383333</v>
      </c>
      <c r="K384" s="118">
        <f>HYPERLINK("https://docs.google.com/spreadsheets/d/1NkjOuv0I9FMhqM4nRkHGxy_9yVw30i3a", 53.6058666666667)</f>
        <v>53.60586667</v>
      </c>
      <c r="N384" s="118">
        <f>HYPERLINK("https://docs.google.com/spreadsheets/d/1t7CG1yVJsKEUpD1H834zjqgd8MCHPq6l", 3.90388333333333)</f>
        <v>3.903883333</v>
      </c>
      <c r="Q384" s="118">
        <f>HYPERLINK("https://docs.google.com/spreadsheets/d/1kvaObXWGm6IxyJvpMoAC58KcFlrxowKM", 24.7453333333333)</f>
        <v>24.74533333</v>
      </c>
      <c r="R384" s="118">
        <f>HYPERLINK("https://docs.google.com/spreadsheets/d/1v0X90y33Shz0rMPd19dYYmTCBfegsnCL", 5.73673333333333)</f>
        <v>5.736733333</v>
      </c>
      <c r="S384" s="118">
        <f>HYPERLINK("https://docs.google.com/spreadsheets/d/1p2XOKUGBuj4OKWJh5bpUDDTAr8xoaaVY", 3.85358333333333)</f>
        <v>3.853583333</v>
      </c>
      <c r="T384" s="118">
        <f>HYPERLINK("https://docs.google.com/spreadsheets/d/1J57O01w2pEwX3iBX0PbRU_Uo-fZ18UGC", 1.77093333333333)</f>
        <v>1.770933333</v>
      </c>
      <c r="U384" s="118">
        <f>HYPERLINK("https://docs.google.com/spreadsheets/d/1fVxeKaGbnjZwRNr9u6OSO2FXImPEx-DO", 16.5588333333333)</f>
        <v>16.55883333</v>
      </c>
      <c r="X384" s="118">
        <f>HYPERLINK("https://docs.google.com/spreadsheets/d/1a49BF1T1GgPlMlpu8mBmX_T2gInzb-lo", 26.9019333333333)</f>
        <v>26.90193333</v>
      </c>
      <c r="Y384" s="118">
        <f>HYPERLINK("https://docs.google.com/spreadsheets/d/1tMf7qDOavo-RFq8pNv5PqKqR7hKjOhQG", 19.7505333333333)</f>
        <v>19.75053333</v>
      </c>
      <c r="Z384" s="118">
        <f>HYPERLINK("https://docs.google.com/spreadsheets/d/1IH3GuCRCsvA53NkmPOs5bflhE1FEb8oE", 5.56698333333333)</f>
        <v>5.566983333</v>
      </c>
      <c r="AA384" s="118">
        <f>HYPERLINK("https://docs.google.com/spreadsheets/d/1tK0teQOg0TDH1atVUw-8XnJTNLyL_Gkh", 2.72421666666667)</f>
        <v>2.724216667</v>
      </c>
      <c r="AB384" s="118">
        <f>HYPERLINK("https://docs.google.com/spreadsheets/d/1OEVQEGIcetSgUJj2xfgczVMrdaOOXM2C", 12.2112666666667)</f>
        <v>12.21126667</v>
      </c>
      <c r="AE384" s="118">
        <f>HYPERLINK("https://docs.google.com/spreadsheets/d/1NZM-xjLhTG0En3RcSIvwpXkfeELHFowf", 20.2106166666667)</f>
        <v>20.21061667</v>
      </c>
      <c r="AF384" s="118">
        <f>HYPERLINK("https://docs.google.com/spreadsheets/d/1xamQ_Do3Mu_438PHJqhPTH6yX2L4-fJI", 94.3498833333334)</f>
        <v>94.34988333</v>
      </c>
      <c r="AG384" s="118">
        <f>HYPERLINK("https://docs.google.com/spreadsheets/d/156mG_08epxagLjgjQJ4PQodcTO4lck1Y", 16.1774)</f>
        <v>16.1774</v>
      </c>
      <c r="AH384" s="118">
        <f>HYPERLINK("https://docs.google.com/spreadsheets/d/10IYt1FA7uCRoUJZBWvxbijLp1Ixw_Gwp", 1.03385)</f>
        <v>1.03385</v>
      </c>
      <c r="AI384" s="118">
        <f>HYPERLINK("https://docs.google.com/spreadsheets/d/1eFOt6Xp2PW-txM1rctsuj-zC_I9ZbjJm", 9.15985)</f>
        <v>9.15985</v>
      </c>
      <c r="AL384" s="118">
        <f>HYPERLINK("https://docs.google.com/spreadsheets/d/1sAG5xaSWhXDBdsO1rKFNwjPYUF-JNiLo", 3.9925)</f>
        <v>3.9925</v>
      </c>
      <c r="AM384" s="118">
        <f>HYPERLINK("https://docs.google.com/spreadsheets/d/1XBgfQkjVEzJw87v60CINhUtmZNa2v2I1", 5.31185)</f>
        <v>5.31185</v>
      </c>
      <c r="AN384" s="118">
        <f>HYPERLINK("https://docs.google.com/spreadsheets/d/1WwDvGXELkpNRlYdM8uwkB_JhEvvknLS0", 8.94281666666667)</f>
        <v>8.942816667</v>
      </c>
      <c r="AQ384" s="118">
        <f>HYPERLINK("https://docs.google.com/spreadsheets/d/1phQPMcpyEFCcvOD6Cow0nC2NtVTqdMN2", 0.707716666666667)</f>
        <v>0.7077166667</v>
      </c>
      <c r="AR384" s="118">
        <f>HYPERLINK("https://docs.google.com/spreadsheets/d/1nvHT6SGMgJimSafGXnoRANEa16pU-l6l", 2.83031666666667)</f>
        <v>2.830316667</v>
      </c>
      <c r="AU384" s="118">
        <f>HYPERLINK("https://docs.google.com/spreadsheets/d/1d3-eEg3DrWBiuINlEUgvIGeDd-d6UeMw", 27.8745666666667)</f>
        <v>27.87456667</v>
      </c>
    </row>
    <row r="385">
      <c r="A385" s="65" t="s">
        <v>38</v>
      </c>
      <c r="B385" s="65" t="s">
        <v>92</v>
      </c>
      <c r="C385" s="65"/>
      <c r="D385" s="64">
        <f t="shared" si="1"/>
        <v>285.0348333</v>
      </c>
      <c r="F385" s="65">
        <v>20.4946833333333</v>
      </c>
      <c r="G385" s="65">
        <v>1.79886666666667</v>
      </c>
      <c r="H385" s="65">
        <v>0.60295</v>
      </c>
      <c r="I385" s="65">
        <v>0.0</v>
      </c>
      <c r="J385" s="65">
        <v>3.07653333333333</v>
      </c>
      <c r="K385" s="65">
        <v>32.1670666666667</v>
      </c>
      <c r="N385" s="65">
        <v>2.46981666666667</v>
      </c>
      <c r="Q385" s="65">
        <v>15.4646333333333</v>
      </c>
      <c r="R385" s="65">
        <v>2.36466666666667</v>
      </c>
      <c r="S385" s="65">
        <v>1.41838333333333</v>
      </c>
      <c r="T385" s="65">
        <v>0.515566666666667</v>
      </c>
      <c r="U385" s="65">
        <v>13.2312166666667</v>
      </c>
      <c r="X385" s="65">
        <v>13.58565</v>
      </c>
      <c r="Y385" s="65">
        <v>13.86735</v>
      </c>
      <c r="Z385" s="65">
        <v>1.58418333333333</v>
      </c>
      <c r="AA385" s="65">
        <v>0.11675</v>
      </c>
      <c r="AB385" s="65">
        <v>5.23246666666667</v>
      </c>
      <c r="AE385" s="65">
        <v>12.41315</v>
      </c>
      <c r="AF385" s="65">
        <v>86.86545</v>
      </c>
      <c r="AG385" s="65">
        <v>13.7653166666667</v>
      </c>
      <c r="AH385" s="65">
        <v>0.647166666666667</v>
      </c>
      <c r="AI385" s="65">
        <v>3.47881666666667</v>
      </c>
      <c r="AL385" s="65">
        <v>1.94375</v>
      </c>
      <c r="AM385" s="65">
        <v>2.8505</v>
      </c>
      <c r="AN385" s="65">
        <v>6.19068333333333</v>
      </c>
      <c r="AQ385" s="65">
        <v>0.0</v>
      </c>
      <c r="AR385" s="65">
        <v>2.83031666666667</v>
      </c>
      <c r="AU385" s="65">
        <v>26.0589</v>
      </c>
    </row>
    <row r="386">
      <c r="A386" s="119" t="s">
        <v>38</v>
      </c>
      <c r="B386" s="119" t="s">
        <v>92</v>
      </c>
      <c r="C386" s="119"/>
      <c r="D386" s="120">
        <f t="shared" si="1"/>
        <v>0</v>
      </c>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c r="AA386" s="120"/>
      <c r="AB386" s="120"/>
      <c r="AC386" s="120"/>
      <c r="AD386" s="120"/>
      <c r="AE386" s="120"/>
      <c r="AF386" s="120"/>
      <c r="AG386" s="120"/>
      <c r="AH386" s="120"/>
      <c r="AI386" s="120"/>
      <c r="AJ386" s="120"/>
      <c r="AK386" s="120"/>
      <c r="AL386" s="120"/>
      <c r="AM386" s="120"/>
      <c r="AN386" s="120"/>
      <c r="AO386" s="120"/>
      <c r="AP386" s="120"/>
      <c r="AQ386" s="120"/>
      <c r="AR386" s="120"/>
      <c r="AS386" s="120"/>
      <c r="AT386" s="120"/>
      <c r="AU386" s="120"/>
      <c r="AV386" s="120"/>
      <c r="AW386" s="120"/>
      <c r="AX386" s="120"/>
      <c r="AY386" s="120"/>
      <c r="AZ386" s="120"/>
      <c r="BA386" s="120"/>
      <c r="BB386" s="120"/>
      <c r="BC386" s="120"/>
      <c r="BD386" s="120"/>
      <c r="BE386" s="120"/>
      <c r="BF386" s="120"/>
      <c r="BG386" s="120"/>
      <c r="BH386" s="120"/>
      <c r="BI386" s="120"/>
      <c r="BJ386" s="120"/>
      <c r="BK386" s="120"/>
      <c r="BL386" s="120"/>
      <c r="BM386" s="120"/>
      <c r="BN386" s="120"/>
      <c r="BO386" s="120"/>
      <c r="BP386" s="120"/>
      <c r="BQ386" s="120"/>
      <c r="BR386" s="120"/>
      <c r="BS386" s="120"/>
      <c r="BT386" s="120"/>
      <c r="BU386" s="120"/>
      <c r="BV386" s="120"/>
      <c r="BW386" s="120"/>
      <c r="BX386" s="120"/>
      <c r="BY386" s="120"/>
      <c r="BZ386" s="120"/>
      <c r="CA386" s="120"/>
      <c r="CB386" s="120"/>
      <c r="CC386" s="120"/>
      <c r="CD386" s="120"/>
      <c r="CE386" s="120"/>
      <c r="CF386" s="120"/>
      <c r="CG386" s="120"/>
      <c r="CH386" s="120"/>
      <c r="CI386" s="120"/>
      <c r="CJ386" s="120"/>
      <c r="CK386" s="120"/>
      <c r="CL386" s="120"/>
      <c r="CM386" s="120"/>
      <c r="CN386" s="120"/>
      <c r="CO386" s="120"/>
      <c r="CP386" s="120"/>
      <c r="CQ386" s="120"/>
      <c r="CR386" s="120"/>
      <c r="CS386" s="120"/>
      <c r="CT386" s="120"/>
      <c r="CU386" s="120"/>
      <c r="CV386" s="120"/>
      <c r="CW386" s="120"/>
      <c r="CX386" s="120"/>
      <c r="CY386" s="120"/>
      <c r="CZ386" s="120"/>
      <c r="DA386" s="120"/>
      <c r="DB386" s="120"/>
      <c r="DC386" s="120"/>
      <c r="DD386" s="120"/>
      <c r="DE386" s="120"/>
      <c r="DF386" s="120"/>
      <c r="DG386" s="120"/>
      <c r="DH386" s="120"/>
      <c r="DI386" s="120"/>
      <c r="DJ386" s="120"/>
      <c r="DK386" s="120"/>
      <c r="DL386" s="120"/>
      <c r="DM386" s="120"/>
      <c r="DN386" s="120"/>
      <c r="DO386" s="120"/>
      <c r="DP386" s="120"/>
      <c r="DQ386" s="120"/>
      <c r="DR386" s="120"/>
      <c r="DS386" s="120"/>
      <c r="DT386" s="120"/>
      <c r="DU386" s="120"/>
      <c r="DV386" s="120"/>
      <c r="DW386" s="120"/>
      <c r="DX386" s="120"/>
      <c r="DY386" s="120"/>
      <c r="DZ386" s="120"/>
      <c r="EA386" s="120"/>
      <c r="EB386" s="120"/>
      <c r="EC386" s="120"/>
      <c r="ED386" s="120"/>
      <c r="EE386" s="120"/>
      <c r="EF386" s="120"/>
      <c r="EG386" s="120"/>
      <c r="EH386" s="120"/>
      <c r="EI386" s="120"/>
      <c r="EJ386" s="120"/>
      <c r="EK386" s="120"/>
      <c r="EL386" s="120"/>
      <c r="EM386" s="120"/>
      <c r="EN386" s="120"/>
      <c r="EO386" s="120"/>
      <c r="EP386" s="120"/>
      <c r="EQ386" s="120"/>
      <c r="ER386" s="120"/>
      <c r="ES386" s="120"/>
      <c r="ET386" s="120"/>
      <c r="EU386" s="120"/>
      <c r="EV386" s="120"/>
      <c r="EW386" s="120"/>
      <c r="EX386" s="120"/>
      <c r="EY386" s="120"/>
      <c r="EZ386" s="120"/>
      <c r="FA386" s="120"/>
      <c r="FB386" s="120"/>
      <c r="FC386" s="120"/>
      <c r="FD386" s="120"/>
      <c r="FE386" s="120"/>
      <c r="FF386" s="120"/>
      <c r="FG386" s="120"/>
      <c r="FH386" s="120"/>
      <c r="FI386" s="120"/>
      <c r="FJ386" s="120"/>
      <c r="FK386" s="120"/>
      <c r="FL386" s="120"/>
      <c r="FM386" s="120"/>
      <c r="FN386" s="120"/>
      <c r="FO386" s="120"/>
      <c r="FP386" s="120"/>
      <c r="FQ386" s="120"/>
      <c r="FR386" s="120"/>
      <c r="FS386" s="120"/>
      <c r="FT386" s="120"/>
      <c r="FU386" s="120"/>
      <c r="FV386" s="120"/>
      <c r="FW386" s="120"/>
      <c r="FX386" s="120"/>
      <c r="FY386" s="120"/>
      <c r="FZ386" s="120"/>
      <c r="GA386" s="120"/>
      <c r="GB386" s="120"/>
      <c r="GC386" s="120"/>
      <c r="GD386" s="120"/>
      <c r="GE386" s="120"/>
      <c r="GF386" s="120"/>
      <c r="GG386" s="120"/>
      <c r="GH386" s="120"/>
      <c r="GI386" s="120"/>
      <c r="GJ386" s="120"/>
      <c r="GK386" s="120"/>
      <c r="GL386" s="120"/>
      <c r="GM386" s="120"/>
      <c r="GN386" s="120"/>
      <c r="GO386" s="120"/>
      <c r="GP386" s="120"/>
      <c r="GQ386" s="120"/>
      <c r="GR386" s="120"/>
      <c r="GS386" s="120"/>
      <c r="GT386" s="120"/>
      <c r="GU386" s="120"/>
      <c r="GV386" s="120"/>
      <c r="GW386" s="120"/>
      <c r="GX386" s="120"/>
      <c r="GY386" s="120"/>
      <c r="GZ386" s="120"/>
      <c r="HA386" s="120"/>
      <c r="HB386" s="120"/>
      <c r="HC386" s="120"/>
      <c r="HD386" s="120"/>
      <c r="HE386" s="120"/>
      <c r="HF386" s="120"/>
      <c r="HG386" s="120"/>
      <c r="HH386" s="120"/>
      <c r="HI386" s="120"/>
      <c r="HJ386" s="120"/>
      <c r="HK386" s="120"/>
      <c r="HL386" s="120"/>
      <c r="HM386" s="120"/>
      <c r="HN386" s="120"/>
      <c r="HO386" s="120"/>
      <c r="HP386" s="120"/>
      <c r="HQ386" s="120"/>
      <c r="HR386" s="120"/>
      <c r="HS386" s="120"/>
      <c r="HT386" s="120"/>
      <c r="HU386" s="120"/>
      <c r="HV386" s="120"/>
      <c r="HW386" s="120"/>
      <c r="HX386" s="120"/>
      <c r="HY386" s="120"/>
      <c r="HZ386" s="120"/>
      <c r="IA386" s="120"/>
      <c r="IB386" s="120"/>
      <c r="IC386" s="120"/>
      <c r="ID386" s="120"/>
      <c r="IE386" s="120"/>
      <c r="IF386" s="120"/>
      <c r="IG386" s="120"/>
      <c r="IH386" s="120"/>
      <c r="II386" s="120"/>
      <c r="IJ386" s="120"/>
      <c r="IK386" s="120"/>
      <c r="IL386" s="120"/>
      <c r="IM386" s="120"/>
      <c r="IN386" s="120"/>
      <c r="IO386" s="120"/>
      <c r="IP386" s="120"/>
      <c r="IQ386" s="120"/>
      <c r="IR386" s="120"/>
      <c r="IS386" s="120"/>
      <c r="IT386" s="120"/>
      <c r="IU386" s="120"/>
      <c r="IV386" s="120"/>
      <c r="IW386" s="120"/>
      <c r="IX386" s="120"/>
      <c r="IY386" s="120"/>
      <c r="IZ386" s="120"/>
      <c r="JA386" s="120"/>
      <c r="JB386" s="120"/>
      <c r="JC386" s="120"/>
      <c r="JD386" s="120"/>
      <c r="JE386" s="120"/>
      <c r="JF386" s="120"/>
      <c r="JG386" s="120"/>
      <c r="JH386" s="120"/>
      <c r="JI386" s="120"/>
      <c r="JJ386" s="120"/>
      <c r="JK386" s="120"/>
      <c r="JL386" s="120"/>
      <c r="JM386" s="120"/>
      <c r="JN386" s="120"/>
      <c r="JO386" s="120"/>
      <c r="JP386" s="120"/>
      <c r="JQ386" s="120"/>
      <c r="JR386" s="120"/>
      <c r="JS386" s="120"/>
      <c r="JT386" s="120"/>
      <c r="JU386" s="120"/>
      <c r="JV386" s="120"/>
      <c r="JW386" s="120"/>
      <c r="JX386" s="120"/>
      <c r="JY386" s="120"/>
      <c r="JZ386" s="120"/>
      <c r="KA386" s="120"/>
      <c r="KB386" s="120"/>
      <c r="KC386" s="120"/>
      <c r="KD386" s="120"/>
      <c r="KE386" s="120"/>
      <c r="KF386" s="120"/>
      <c r="KG386" s="120"/>
      <c r="KH386" s="120"/>
      <c r="KI386" s="120"/>
      <c r="KJ386" s="120"/>
      <c r="KK386" s="120"/>
      <c r="KL386" s="120"/>
      <c r="KM386" s="120"/>
      <c r="KN386" s="120"/>
      <c r="KO386" s="120"/>
      <c r="KP386" s="120"/>
      <c r="KQ386" s="120"/>
      <c r="KR386" s="120"/>
      <c r="KS386" s="120"/>
      <c r="KT386" s="120"/>
      <c r="KU386" s="120"/>
      <c r="KV386" s="120"/>
      <c r="KW386" s="120"/>
      <c r="KX386" s="120"/>
      <c r="KY386" s="120"/>
      <c r="KZ386" s="120"/>
      <c r="LA386" s="120"/>
      <c r="LB386" s="120"/>
      <c r="LC386" s="120"/>
      <c r="LD386" s="120"/>
      <c r="LE386" s="120"/>
      <c r="LF386" s="120"/>
      <c r="LG386" s="120"/>
      <c r="LH386" s="120"/>
      <c r="LI386" s="120"/>
      <c r="LJ386" s="120"/>
      <c r="LK386" s="120"/>
      <c r="LL386" s="120"/>
      <c r="LM386" s="120"/>
      <c r="LN386" s="120"/>
      <c r="LO386" s="120"/>
      <c r="LP386" s="120"/>
      <c r="LQ386" s="120"/>
      <c r="LR386" s="120"/>
      <c r="LS386" s="120"/>
      <c r="LT386" s="120"/>
      <c r="LU386" s="120"/>
      <c r="LV386" s="120"/>
      <c r="LW386" s="120"/>
      <c r="LX386" s="120"/>
      <c r="LY386" s="120"/>
      <c r="LZ386" s="120"/>
      <c r="MA386" s="120"/>
      <c r="MB386" s="120"/>
      <c r="MC386" s="120"/>
      <c r="MD386" s="120"/>
      <c r="ME386" s="120"/>
      <c r="MF386" s="120"/>
      <c r="MG386" s="120"/>
      <c r="MH386" s="120"/>
      <c r="MI386" s="120"/>
      <c r="MJ386" s="120"/>
      <c r="MK386" s="120"/>
      <c r="ML386" s="120"/>
      <c r="MM386" s="120"/>
      <c r="MN386" s="120"/>
      <c r="MO386" s="120"/>
      <c r="MP386" s="120"/>
      <c r="MQ386" s="120"/>
      <c r="MR386" s="120"/>
      <c r="MS386" s="120"/>
      <c r="MT386" s="120"/>
      <c r="MU386" s="120"/>
      <c r="MV386" s="120"/>
      <c r="MW386" s="120"/>
      <c r="MX386" s="120"/>
      <c r="MY386" s="120"/>
      <c r="MZ386" s="120"/>
      <c r="NA386" s="120"/>
      <c r="NB386" s="120"/>
      <c r="NC386" s="120"/>
      <c r="ND386" s="120"/>
      <c r="NE386" s="120"/>
      <c r="NF386" s="120"/>
      <c r="NG386" s="120"/>
      <c r="NH386" s="120"/>
      <c r="NI386" s="120"/>
      <c r="NJ386" s="120"/>
      <c r="NK386" s="120"/>
      <c r="NL386" s="120"/>
      <c r="NM386" s="120"/>
      <c r="NN386" s="120"/>
      <c r="NO386" s="120"/>
      <c r="NP386" s="120"/>
      <c r="NQ386" s="120"/>
      <c r="NR386" s="120"/>
      <c r="NS386" s="120"/>
      <c r="NT386" s="120"/>
      <c r="NU386" s="120"/>
      <c r="NV386" s="120"/>
      <c r="NW386" s="120"/>
      <c r="NX386" s="120"/>
      <c r="NY386" s="120"/>
      <c r="NZ386" s="120"/>
      <c r="OA386" s="120"/>
      <c r="OB386" s="120"/>
      <c r="OC386" s="120"/>
      <c r="OD386" s="120"/>
      <c r="OE386" s="120"/>
      <c r="OF386" s="120"/>
      <c r="OG386" s="120"/>
      <c r="OH386" s="120"/>
      <c r="OI386" s="120"/>
      <c r="OJ386" s="120"/>
      <c r="OK386" s="120"/>
      <c r="OL386" s="120"/>
      <c r="OM386" s="120"/>
      <c r="ON386" s="120"/>
      <c r="OO386" s="120"/>
      <c r="OP386" s="120"/>
      <c r="OQ386" s="120"/>
      <c r="OR386" s="120"/>
      <c r="OS386" s="120"/>
      <c r="OT386" s="120"/>
      <c r="OU386" s="120"/>
      <c r="OV386" s="120"/>
      <c r="OW386" s="120"/>
      <c r="OX386" s="120"/>
      <c r="OY386" s="120"/>
      <c r="OZ386" s="120"/>
      <c r="PA386" s="120"/>
      <c r="PB386" s="120"/>
      <c r="PC386" s="120"/>
      <c r="PD386" s="120"/>
      <c r="PE386" s="120"/>
      <c r="PF386" s="120"/>
      <c r="PG386" s="120"/>
      <c r="PH386" s="120"/>
      <c r="PI386" s="120"/>
      <c r="PJ386" s="120"/>
      <c r="PK386" s="120"/>
      <c r="PL386" s="120"/>
      <c r="PM386" s="120"/>
      <c r="PN386" s="120"/>
      <c r="PO386" s="120"/>
      <c r="PP386" s="120"/>
      <c r="PQ386" s="120"/>
      <c r="PR386" s="120"/>
      <c r="PS386" s="120"/>
      <c r="PT386" s="120"/>
      <c r="PU386" s="120"/>
      <c r="PV386" s="120"/>
      <c r="PW386" s="120"/>
      <c r="PX386" s="120"/>
      <c r="PY386" s="120"/>
      <c r="PZ386" s="120"/>
      <c r="QA386" s="120"/>
      <c r="QB386" s="120"/>
      <c r="QC386" s="120"/>
      <c r="QD386" s="120"/>
      <c r="QE386" s="120"/>
      <c r="QF386" s="120"/>
      <c r="QG386" s="120"/>
      <c r="QH386" s="120"/>
      <c r="QI386" s="120"/>
      <c r="QJ386" s="120"/>
      <c r="QK386" s="120"/>
      <c r="QL386" s="120"/>
      <c r="QM386" s="120"/>
      <c r="QN386" s="120"/>
      <c r="QO386" s="120"/>
      <c r="QP386" s="120"/>
      <c r="QQ386" s="120"/>
      <c r="QR386" s="120"/>
      <c r="QS386" s="120"/>
      <c r="QT386" s="120"/>
      <c r="QU386" s="120"/>
      <c r="QV386" s="120"/>
      <c r="QW386" s="120"/>
      <c r="QX386" s="120"/>
      <c r="QY386" s="120"/>
      <c r="QZ386" s="120"/>
      <c r="RA386" s="120"/>
      <c r="RB386" s="120"/>
      <c r="RC386" s="120"/>
      <c r="RD386" s="120"/>
      <c r="RE386" s="120"/>
      <c r="RF386" s="120"/>
      <c r="RG386" s="120"/>
      <c r="RH386" s="120"/>
      <c r="RI386" s="120"/>
      <c r="RJ386" s="120"/>
      <c r="RK386" s="120"/>
      <c r="RL386" s="120"/>
      <c r="RM386" s="120"/>
      <c r="RN386" s="120"/>
      <c r="RO386" s="120"/>
      <c r="RP386" s="120"/>
      <c r="RQ386" s="120"/>
      <c r="RR386" s="120"/>
      <c r="RS386" s="120"/>
      <c r="RT386" s="120"/>
      <c r="RU386" s="120"/>
      <c r="RV386" s="120"/>
      <c r="RW386" s="120"/>
      <c r="RX386" s="120"/>
      <c r="RY386" s="120"/>
      <c r="RZ386" s="120"/>
      <c r="SA386" s="120"/>
      <c r="SB386" s="120"/>
      <c r="SC386" s="120"/>
      <c r="SD386" s="120"/>
      <c r="SE386" s="120"/>
      <c r="SF386" s="120"/>
      <c r="SG386" s="120"/>
      <c r="SH386" s="120"/>
      <c r="SI386" s="120"/>
      <c r="SJ386" s="120"/>
      <c r="SK386" s="120"/>
      <c r="SL386" s="120"/>
      <c r="SM386" s="120"/>
      <c r="SN386" s="120"/>
      <c r="SO386" s="120"/>
      <c r="SP386" s="120"/>
      <c r="SQ386" s="120"/>
      <c r="SR386" s="120"/>
      <c r="SS386" s="120"/>
      <c r="ST386" s="120"/>
      <c r="SU386" s="120"/>
      <c r="SV386" s="120"/>
      <c r="SW386" s="120"/>
      <c r="SX386" s="120"/>
      <c r="SY386" s="120"/>
      <c r="SZ386" s="120"/>
      <c r="TA386" s="120"/>
      <c r="TB386" s="120"/>
      <c r="TC386" s="120"/>
      <c r="TD386" s="120"/>
      <c r="TE386" s="120"/>
      <c r="TF386" s="120"/>
      <c r="TG386" s="120"/>
      <c r="TH386" s="120"/>
      <c r="TI386" s="120"/>
      <c r="TJ386" s="120"/>
      <c r="TK386" s="120"/>
      <c r="TL386" s="120"/>
      <c r="TM386" s="120"/>
      <c r="TN386" s="120"/>
      <c r="TO386" s="120"/>
      <c r="TP386" s="120"/>
      <c r="TQ386" s="120"/>
      <c r="TR386" s="120"/>
      <c r="TS386" s="120"/>
      <c r="TT386" s="120"/>
      <c r="TU386" s="120"/>
      <c r="TV386" s="120"/>
      <c r="TW386" s="120"/>
      <c r="TX386" s="120"/>
      <c r="TY386" s="120"/>
      <c r="TZ386" s="120"/>
      <c r="UA386" s="120"/>
      <c r="UB386" s="120"/>
      <c r="UC386" s="120"/>
      <c r="UD386" s="120"/>
      <c r="UE386" s="120"/>
      <c r="UF386" s="120"/>
      <c r="UG386" s="120"/>
      <c r="UH386" s="120"/>
      <c r="UI386" s="120"/>
      <c r="UJ386" s="120"/>
      <c r="UK386" s="120"/>
      <c r="UL386" s="120"/>
      <c r="UM386" s="120"/>
      <c r="UN386" s="120"/>
      <c r="UO386" s="120"/>
      <c r="UP386" s="120"/>
      <c r="UQ386" s="120"/>
      <c r="UR386" s="120"/>
      <c r="US386" s="120"/>
      <c r="UT386" s="120"/>
      <c r="UU386" s="120"/>
      <c r="UV386" s="120"/>
      <c r="UW386" s="120"/>
      <c r="UX386" s="120"/>
      <c r="UY386" s="120"/>
      <c r="UZ386" s="120"/>
      <c r="VA386" s="120"/>
      <c r="VB386" s="120"/>
      <c r="VC386" s="120"/>
      <c r="VD386" s="120"/>
      <c r="VE386" s="120"/>
      <c r="VF386" s="120"/>
      <c r="VG386" s="120"/>
      <c r="VH386" s="120"/>
      <c r="VI386" s="120"/>
      <c r="VJ386" s="120"/>
      <c r="VK386" s="120"/>
      <c r="VL386" s="120"/>
      <c r="VM386" s="120"/>
      <c r="VN386" s="120"/>
      <c r="VO386" s="120"/>
      <c r="VP386" s="120"/>
      <c r="VQ386" s="120"/>
      <c r="VR386" s="120"/>
      <c r="VS386" s="120"/>
      <c r="VT386" s="120"/>
      <c r="VU386" s="120"/>
      <c r="VV386" s="120"/>
      <c r="VW386" s="120"/>
      <c r="VX386" s="120"/>
      <c r="VY386" s="120"/>
      <c r="VZ386" s="120"/>
      <c r="WA386" s="120"/>
      <c r="WB386" s="120"/>
      <c r="WC386" s="120"/>
      <c r="WD386" s="120"/>
      <c r="WE386" s="120"/>
      <c r="WF386" s="120"/>
      <c r="WG386" s="120"/>
      <c r="WH386" s="120"/>
      <c r="WI386" s="120"/>
      <c r="WJ386" s="120"/>
      <c r="WK386" s="120"/>
      <c r="WL386" s="120"/>
      <c r="WM386" s="120"/>
      <c r="WN386" s="120"/>
      <c r="WO386" s="120"/>
      <c r="WP386" s="120"/>
      <c r="WQ386" s="120"/>
      <c r="WR386" s="120"/>
      <c r="WS386" s="120"/>
      <c r="WT386" s="120"/>
      <c r="WU386" s="120"/>
      <c r="WV386" s="120"/>
      <c r="WW386" s="120"/>
      <c r="WX386" s="120"/>
      <c r="WY386" s="120"/>
      <c r="WZ386" s="120"/>
      <c r="XA386" s="120"/>
      <c r="XB386" s="120"/>
      <c r="XC386" s="120"/>
      <c r="XD386" s="120"/>
      <c r="XE386" s="120"/>
      <c r="XF386" s="120"/>
      <c r="XG386" s="120"/>
      <c r="XH386" s="120"/>
      <c r="XI386" s="120"/>
      <c r="XJ386" s="120"/>
      <c r="XK386" s="120"/>
      <c r="XL386" s="120"/>
      <c r="XM386" s="120"/>
      <c r="XN386" s="120"/>
      <c r="XO386" s="120"/>
      <c r="XP386" s="120"/>
      <c r="XQ386" s="120"/>
      <c r="XR386" s="120"/>
      <c r="XS386" s="120"/>
      <c r="XT386" s="120"/>
      <c r="XU386" s="120"/>
      <c r="XV386" s="120"/>
      <c r="XW386" s="120"/>
      <c r="XX386" s="120"/>
      <c r="XY386" s="120"/>
      <c r="XZ386" s="120"/>
      <c r="YA386" s="120"/>
      <c r="YB386" s="120"/>
      <c r="YC386" s="120"/>
      <c r="YD386" s="120"/>
      <c r="YE386" s="120"/>
      <c r="YF386" s="120"/>
      <c r="YG386" s="120"/>
      <c r="YH386" s="120"/>
      <c r="YI386" s="120"/>
      <c r="YJ386" s="120"/>
      <c r="YK386" s="120"/>
      <c r="YL386" s="120"/>
      <c r="YM386" s="120"/>
      <c r="YN386" s="120"/>
      <c r="YO386" s="120"/>
      <c r="YP386" s="120"/>
      <c r="YQ386" s="120"/>
      <c r="YR386" s="120"/>
      <c r="YS386" s="120"/>
      <c r="YT386" s="120"/>
      <c r="YU386" s="120"/>
      <c r="YV386" s="120"/>
      <c r="YW386" s="120"/>
      <c r="YX386" s="120"/>
      <c r="YY386" s="120"/>
      <c r="YZ386" s="120"/>
      <c r="ZA386" s="120"/>
      <c r="ZB386" s="120"/>
      <c r="ZC386" s="120"/>
      <c r="ZD386" s="120"/>
      <c r="ZE386" s="120"/>
      <c r="ZF386" s="120"/>
      <c r="ZG386" s="120"/>
      <c r="ZH386" s="120"/>
      <c r="ZI386" s="120"/>
      <c r="ZJ386" s="120"/>
      <c r="ZK386" s="120"/>
      <c r="ZL386" s="120"/>
      <c r="ZM386" s="120"/>
      <c r="ZN386" s="120"/>
      <c r="ZO386" s="120"/>
      <c r="ZP386" s="120"/>
      <c r="ZQ386" s="120"/>
      <c r="ZR386" s="120"/>
      <c r="ZS386" s="120"/>
      <c r="ZT386" s="120"/>
      <c r="ZU386" s="120"/>
      <c r="ZV386" s="120"/>
      <c r="ZW386" s="120"/>
      <c r="ZX386" s="120"/>
      <c r="ZY386" s="120"/>
      <c r="ZZ386" s="120"/>
      <c r="AAA386" s="120"/>
      <c r="AAB386" s="120"/>
      <c r="AAC386" s="120"/>
      <c r="AAD386" s="120"/>
      <c r="AAE386" s="120"/>
      <c r="AAF386" s="120"/>
      <c r="AAG386" s="120"/>
      <c r="AAH386" s="120"/>
      <c r="AAI386" s="120"/>
      <c r="AAJ386" s="120"/>
      <c r="AAK386" s="120"/>
      <c r="AAL386" s="120"/>
      <c r="AAM386" s="120"/>
      <c r="AAN386" s="120"/>
      <c r="AAO386" s="120"/>
      <c r="AAP386" s="120"/>
      <c r="AAQ386" s="120"/>
      <c r="AAR386" s="120"/>
      <c r="AAS386" s="120"/>
      <c r="AAT386" s="120"/>
      <c r="AAU386" s="120"/>
      <c r="AAV386" s="120"/>
      <c r="AAW386" s="120"/>
      <c r="AAX386" s="120"/>
      <c r="AAY386" s="120"/>
      <c r="AAZ386" s="120"/>
      <c r="ABA386" s="120"/>
      <c r="ABB386" s="120"/>
      <c r="ABC386" s="120"/>
      <c r="ABD386" s="120"/>
      <c r="ABE386" s="120"/>
      <c r="ABF386" s="120"/>
      <c r="ABG386" s="120"/>
      <c r="ABH386" s="120"/>
      <c r="ABI386" s="120"/>
      <c r="ABJ386" s="120"/>
      <c r="ABK386" s="120"/>
      <c r="ABL386" s="120"/>
      <c r="ABM386" s="120"/>
      <c r="ABN386" s="120"/>
      <c r="ABO386" s="120"/>
      <c r="ABP386" s="120"/>
      <c r="ABQ386" s="120"/>
      <c r="ABR386" s="120"/>
      <c r="ABS386" s="120"/>
      <c r="ABT386" s="120"/>
      <c r="ABU386" s="120"/>
      <c r="ABV386" s="120"/>
      <c r="ABW386" s="120"/>
      <c r="ABX386" s="120"/>
      <c r="ABY386" s="120"/>
      <c r="ABZ386" s="120"/>
      <c r="ACA386" s="120"/>
      <c r="ACB386" s="120"/>
      <c r="ACC386" s="120"/>
      <c r="ACD386" s="120"/>
      <c r="ACE386" s="120"/>
      <c r="ACF386" s="120"/>
      <c r="ACG386" s="120"/>
      <c r="ACH386" s="120"/>
      <c r="ACI386" s="120"/>
      <c r="ACJ386" s="120"/>
      <c r="ACK386" s="120"/>
      <c r="ACL386" s="120"/>
      <c r="ACM386" s="120"/>
      <c r="ACN386" s="120"/>
      <c r="ACO386" s="120"/>
      <c r="ACP386" s="120"/>
      <c r="ACQ386" s="120"/>
      <c r="ACR386" s="120"/>
      <c r="ACS386" s="120"/>
      <c r="ACT386" s="120"/>
      <c r="ACU386" s="120"/>
      <c r="ACV386" s="120"/>
      <c r="ACW386" s="120"/>
      <c r="ACX386" s="120"/>
      <c r="ACY386" s="120"/>
      <c r="ACZ386" s="120"/>
      <c r="ADA386" s="120"/>
      <c r="ADB386" s="120"/>
      <c r="ADC386" s="120"/>
      <c r="ADD386" s="120"/>
      <c r="ADE386" s="120"/>
      <c r="ADF386" s="120"/>
      <c r="ADG386" s="120"/>
      <c r="ADH386" s="120"/>
      <c r="ADI386" s="120"/>
      <c r="ADJ386" s="120"/>
      <c r="ADK386" s="120"/>
      <c r="ADL386" s="120"/>
      <c r="ADM386" s="120"/>
      <c r="ADN386" s="120"/>
      <c r="ADO386" s="120"/>
      <c r="ADP386" s="120"/>
      <c r="ADQ386" s="120"/>
      <c r="ADR386" s="120"/>
      <c r="ADS386" s="120"/>
      <c r="ADT386" s="120"/>
      <c r="ADU386" s="120"/>
      <c r="ADV386" s="120"/>
      <c r="ADW386" s="120"/>
      <c r="ADX386" s="120"/>
      <c r="ADY386" s="120"/>
      <c r="ADZ386" s="120"/>
      <c r="AEA386" s="120"/>
      <c r="AEB386" s="120"/>
      <c r="AEC386" s="120"/>
      <c r="AED386" s="120"/>
      <c r="AEE386" s="120"/>
      <c r="AEF386" s="120"/>
      <c r="AEG386" s="120"/>
      <c r="AEH386" s="120"/>
      <c r="AEI386" s="120"/>
      <c r="AEJ386" s="120"/>
      <c r="AEK386" s="120"/>
      <c r="AEL386" s="120"/>
      <c r="AEM386" s="120"/>
      <c r="AEN386" s="120"/>
      <c r="AEO386" s="120"/>
      <c r="AEP386" s="120"/>
      <c r="AEQ386" s="120"/>
      <c r="AER386" s="120"/>
      <c r="AES386" s="120"/>
      <c r="AET386" s="120"/>
      <c r="AEU386" s="120"/>
      <c r="AEV386" s="120"/>
      <c r="AEW386" s="120"/>
      <c r="AEX386" s="120"/>
      <c r="AEY386" s="120"/>
      <c r="AEZ386" s="120"/>
      <c r="AFA386" s="120"/>
      <c r="AFB386" s="120"/>
      <c r="AFC386" s="120"/>
      <c r="AFD386" s="120"/>
      <c r="AFE386" s="120"/>
      <c r="AFF386" s="120"/>
      <c r="AFG386" s="120"/>
      <c r="AFH386" s="120"/>
      <c r="AFI386" s="120"/>
      <c r="AFJ386" s="120"/>
      <c r="AFK386" s="120"/>
      <c r="AFL386" s="120"/>
      <c r="AFM386" s="120"/>
      <c r="AFN386" s="120"/>
      <c r="AFO386" s="120"/>
      <c r="AFP386" s="120"/>
      <c r="AFQ386" s="120"/>
      <c r="AFR386" s="120"/>
      <c r="AFS386" s="120"/>
      <c r="AFT386" s="120"/>
      <c r="AFU386" s="120"/>
      <c r="AFV386" s="120"/>
      <c r="AFW386" s="120"/>
      <c r="AFX386" s="120"/>
      <c r="AFY386" s="120"/>
      <c r="AFZ386" s="120"/>
      <c r="AGA386" s="120"/>
      <c r="AGB386" s="120"/>
      <c r="AGC386" s="120"/>
      <c r="AGD386" s="120"/>
      <c r="AGE386" s="120"/>
      <c r="AGF386" s="120"/>
      <c r="AGG386" s="120"/>
      <c r="AGH386" s="120"/>
      <c r="AGI386" s="120"/>
      <c r="AGJ386" s="120"/>
      <c r="AGK386" s="120"/>
      <c r="AGL386" s="120"/>
      <c r="AGM386" s="120"/>
      <c r="AGN386" s="120"/>
      <c r="AGO386" s="120"/>
      <c r="AGP386" s="120"/>
      <c r="AGQ386" s="120"/>
      <c r="AGR386" s="120"/>
      <c r="AGS386" s="120"/>
      <c r="AGT386" s="120"/>
      <c r="AGU386" s="120"/>
      <c r="AGV386" s="120"/>
      <c r="AGW386" s="120"/>
      <c r="AGX386" s="120"/>
      <c r="AGY386" s="120"/>
      <c r="AGZ386" s="120"/>
      <c r="AHA386" s="120"/>
      <c r="AHB386" s="120"/>
      <c r="AHC386" s="120"/>
      <c r="AHD386" s="120"/>
      <c r="AHE386" s="120"/>
      <c r="AHF386" s="120"/>
      <c r="AHG386" s="120"/>
      <c r="AHH386" s="120"/>
      <c r="AHI386" s="120"/>
      <c r="AHJ386" s="120"/>
      <c r="AHK386" s="120"/>
      <c r="AHL386" s="120"/>
      <c r="AHM386" s="120"/>
      <c r="AHN386" s="120"/>
      <c r="AHO386" s="120"/>
      <c r="AHP386" s="120"/>
      <c r="AHQ386" s="120"/>
      <c r="AHR386" s="120"/>
      <c r="AHS386" s="120"/>
      <c r="AHT386" s="120"/>
      <c r="AHU386" s="120"/>
      <c r="AHV386" s="120"/>
      <c r="AHW386" s="120"/>
      <c r="AHX386" s="120"/>
      <c r="AHY386" s="120"/>
      <c r="AHZ386" s="120"/>
      <c r="AIA386" s="120"/>
      <c r="AIB386" s="120"/>
      <c r="AIC386" s="120"/>
      <c r="AID386" s="120"/>
      <c r="AIE386" s="120"/>
      <c r="AIF386" s="120"/>
      <c r="AIG386" s="120"/>
      <c r="AIH386" s="120"/>
      <c r="AII386" s="120"/>
      <c r="AIJ386" s="120"/>
      <c r="AIK386" s="120"/>
      <c r="AIL386" s="120"/>
      <c r="AIM386" s="120"/>
      <c r="AIN386" s="120"/>
      <c r="AIO386" s="120"/>
      <c r="AIP386" s="120"/>
      <c r="AIQ386" s="120"/>
      <c r="AIR386" s="120"/>
      <c r="AIS386" s="120"/>
      <c r="AIT386" s="120"/>
      <c r="AIU386" s="120"/>
      <c r="AIV386" s="120"/>
      <c r="AIW386" s="120"/>
      <c r="AIX386" s="120"/>
      <c r="AIY386" s="120"/>
      <c r="AIZ386" s="120"/>
    </row>
    <row r="387">
      <c r="A387" s="112" t="s">
        <v>38</v>
      </c>
      <c r="B387" s="112" t="s">
        <v>97</v>
      </c>
      <c r="C387" s="112"/>
      <c r="D387" s="113">
        <f t="shared" si="1"/>
        <v>562.0249167</v>
      </c>
      <c r="E387" s="112">
        <v>117.62145</v>
      </c>
      <c r="F387" s="113"/>
      <c r="G387" s="113"/>
      <c r="H387" s="113"/>
      <c r="I387" s="113"/>
      <c r="J387" s="113"/>
      <c r="K387" s="113"/>
      <c r="L387" s="112">
        <v>3.6013</v>
      </c>
      <c r="M387" s="112">
        <v>7.91401666666667</v>
      </c>
      <c r="N387" s="113"/>
      <c r="O387" s="113"/>
      <c r="P387" s="112">
        <v>106.06845</v>
      </c>
      <c r="Q387" s="113"/>
      <c r="R387" s="113"/>
      <c r="S387" s="113"/>
      <c r="T387" s="113"/>
      <c r="U387" s="113"/>
      <c r="V387" s="112">
        <v>1.66693333333333</v>
      </c>
      <c r="W387" s="112">
        <v>77.8481833333333</v>
      </c>
      <c r="X387" s="113"/>
      <c r="Y387" s="113"/>
      <c r="Z387" s="113"/>
      <c r="AA387" s="113"/>
      <c r="AB387" s="113"/>
      <c r="AC387" s="112">
        <v>2.18308333333333</v>
      </c>
      <c r="AD387" s="112">
        <v>129.105733333334</v>
      </c>
      <c r="AE387" s="113"/>
      <c r="AF387" s="113"/>
      <c r="AG387" s="113"/>
      <c r="AH387" s="113"/>
      <c r="AI387" s="113"/>
      <c r="AJ387" s="112">
        <v>3.79488333333333</v>
      </c>
      <c r="AK387" s="112">
        <v>56.7656166666667</v>
      </c>
      <c r="AL387" s="113"/>
      <c r="AM387" s="113"/>
      <c r="AN387" s="113"/>
      <c r="AO387" s="112">
        <v>5.39323333333333</v>
      </c>
      <c r="AP387" s="112">
        <v>6.45108333333333</v>
      </c>
      <c r="AQ387" s="113"/>
      <c r="AR387" s="113"/>
      <c r="AS387" s="112">
        <v>2.26223333333333</v>
      </c>
      <c r="AT387" s="112">
        <v>38.8201333333333</v>
      </c>
      <c r="AU387" s="113"/>
      <c r="AV387" s="112">
        <v>1.91545</v>
      </c>
      <c r="AW387" s="112">
        <v>0.613133333333333</v>
      </c>
      <c r="AX387" s="113"/>
      <c r="AY387" s="113"/>
      <c r="AZ387" s="113"/>
      <c r="BA387" s="113"/>
      <c r="BB387" s="113"/>
      <c r="BC387" s="113"/>
      <c r="BD387" s="113"/>
      <c r="BE387" s="113"/>
      <c r="BF387" s="113"/>
      <c r="BG387" s="113"/>
      <c r="BH387" s="113"/>
      <c r="BI387" s="113"/>
      <c r="BJ387" s="113"/>
      <c r="BK387" s="113"/>
      <c r="BL387" s="113"/>
      <c r="BM387" s="113"/>
      <c r="BN387" s="113"/>
      <c r="BO387" s="113"/>
      <c r="BP387" s="113"/>
      <c r="BQ387" s="113"/>
      <c r="BR387" s="113"/>
      <c r="BS387" s="113"/>
      <c r="BT387" s="113"/>
      <c r="BU387" s="113"/>
      <c r="BV387" s="113"/>
      <c r="BW387" s="113"/>
      <c r="BX387" s="113"/>
      <c r="BY387" s="113"/>
      <c r="BZ387" s="113"/>
      <c r="CA387" s="113"/>
      <c r="CB387" s="113"/>
      <c r="CC387" s="113"/>
      <c r="CD387" s="113"/>
      <c r="CE387" s="113"/>
      <c r="CF387" s="113"/>
      <c r="CG387" s="113"/>
      <c r="CH387" s="113"/>
      <c r="CI387" s="113"/>
      <c r="CJ387" s="113"/>
      <c r="CK387" s="113"/>
      <c r="CL387" s="113"/>
      <c r="CM387" s="113"/>
      <c r="CN387" s="113"/>
      <c r="CO387" s="113"/>
      <c r="CP387" s="113"/>
      <c r="CQ387" s="113"/>
      <c r="CR387" s="113"/>
      <c r="CS387" s="113"/>
      <c r="CT387" s="113"/>
      <c r="CU387" s="113"/>
      <c r="CV387" s="113"/>
      <c r="CW387" s="113"/>
      <c r="CX387" s="113"/>
      <c r="CY387" s="113"/>
      <c r="CZ387" s="113"/>
      <c r="DA387" s="113"/>
      <c r="DB387" s="113"/>
      <c r="DC387" s="113"/>
      <c r="DD387" s="113"/>
      <c r="DE387" s="113"/>
      <c r="DF387" s="113"/>
      <c r="DG387" s="113"/>
      <c r="DH387" s="113"/>
      <c r="DI387" s="113"/>
      <c r="DJ387" s="113"/>
      <c r="DK387" s="113"/>
      <c r="DL387" s="113"/>
      <c r="DM387" s="113"/>
      <c r="DN387" s="113"/>
      <c r="DO387" s="113"/>
      <c r="DP387" s="113"/>
      <c r="DQ387" s="113"/>
      <c r="DR387" s="113"/>
      <c r="DS387" s="113"/>
      <c r="DT387" s="113"/>
      <c r="DU387" s="113"/>
      <c r="DV387" s="113"/>
      <c r="DW387" s="113"/>
      <c r="DX387" s="113"/>
      <c r="DY387" s="113"/>
      <c r="DZ387" s="113"/>
      <c r="EA387" s="113"/>
      <c r="EB387" s="113"/>
      <c r="EC387" s="113"/>
      <c r="ED387" s="113"/>
      <c r="EE387" s="113"/>
      <c r="EF387" s="113"/>
      <c r="EG387" s="113"/>
      <c r="EH387" s="113"/>
      <c r="EI387" s="113"/>
      <c r="EJ387" s="113"/>
      <c r="EK387" s="113"/>
      <c r="EL387" s="113"/>
      <c r="EM387" s="113"/>
      <c r="EN387" s="113"/>
      <c r="EO387" s="113"/>
      <c r="EP387" s="113"/>
      <c r="EQ387" s="113"/>
      <c r="ER387" s="113"/>
      <c r="ES387" s="113"/>
      <c r="ET387" s="113"/>
      <c r="EU387" s="113"/>
      <c r="EV387" s="113"/>
      <c r="EW387" s="113"/>
      <c r="EX387" s="113"/>
      <c r="EY387" s="113"/>
      <c r="EZ387" s="113"/>
      <c r="FA387" s="113"/>
      <c r="FB387" s="113"/>
      <c r="FC387" s="113"/>
      <c r="FD387" s="113"/>
      <c r="FE387" s="113"/>
      <c r="FF387" s="113"/>
      <c r="FG387" s="113"/>
      <c r="FH387" s="113"/>
      <c r="FI387" s="113"/>
      <c r="FJ387" s="113"/>
      <c r="FK387" s="113"/>
      <c r="FL387" s="113"/>
      <c r="FM387" s="113"/>
      <c r="FN387" s="113"/>
      <c r="FO387" s="113"/>
      <c r="FP387" s="113"/>
      <c r="FQ387" s="113"/>
      <c r="FR387" s="113"/>
      <c r="FS387" s="113"/>
      <c r="FT387" s="113"/>
      <c r="FU387" s="113"/>
      <c r="FV387" s="113"/>
      <c r="FW387" s="113"/>
      <c r="FX387" s="113"/>
      <c r="FY387" s="113"/>
      <c r="FZ387" s="113"/>
      <c r="GA387" s="113"/>
      <c r="GB387" s="113"/>
      <c r="GC387" s="113"/>
      <c r="GD387" s="113"/>
      <c r="GE387" s="113"/>
      <c r="GF387" s="113"/>
      <c r="GG387" s="113"/>
      <c r="GH387" s="113"/>
      <c r="GI387" s="113"/>
      <c r="GJ387" s="113"/>
      <c r="GK387" s="113"/>
      <c r="GL387" s="113"/>
      <c r="GM387" s="113"/>
      <c r="GN387" s="113"/>
      <c r="GO387" s="113"/>
      <c r="GP387" s="113"/>
      <c r="GQ387" s="113"/>
      <c r="GR387" s="113"/>
      <c r="GS387" s="113"/>
      <c r="GT387" s="113"/>
      <c r="GU387" s="113"/>
      <c r="GV387" s="113"/>
      <c r="GW387" s="113"/>
      <c r="GX387" s="113"/>
      <c r="GY387" s="113"/>
      <c r="GZ387" s="113"/>
      <c r="HA387" s="113"/>
      <c r="HB387" s="113"/>
      <c r="HC387" s="113"/>
      <c r="HD387" s="113"/>
      <c r="HE387" s="113"/>
      <c r="HF387" s="113"/>
      <c r="HG387" s="113"/>
      <c r="HH387" s="113"/>
      <c r="HI387" s="113"/>
      <c r="HJ387" s="113"/>
      <c r="HK387" s="113"/>
      <c r="HL387" s="113"/>
      <c r="HM387" s="113"/>
      <c r="HN387" s="113"/>
      <c r="HO387" s="113"/>
      <c r="HP387" s="113"/>
      <c r="HQ387" s="113"/>
      <c r="HR387" s="113"/>
      <c r="HS387" s="113"/>
      <c r="HT387" s="113"/>
      <c r="HU387" s="113"/>
      <c r="HV387" s="113"/>
      <c r="HW387" s="113"/>
      <c r="HX387" s="113"/>
      <c r="HY387" s="113"/>
      <c r="HZ387" s="113"/>
      <c r="IA387" s="113"/>
      <c r="IB387" s="113"/>
      <c r="IC387" s="113"/>
      <c r="ID387" s="113"/>
      <c r="IE387" s="113"/>
      <c r="IF387" s="113"/>
      <c r="IG387" s="113"/>
      <c r="IH387" s="113"/>
      <c r="II387" s="113"/>
      <c r="IJ387" s="113"/>
      <c r="IK387" s="113"/>
      <c r="IL387" s="113"/>
      <c r="IM387" s="113"/>
      <c r="IN387" s="113"/>
      <c r="IO387" s="113"/>
      <c r="IP387" s="113"/>
      <c r="IQ387" s="113"/>
      <c r="IR387" s="113"/>
      <c r="IS387" s="113"/>
      <c r="IT387" s="113"/>
      <c r="IU387" s="113"/>
      <c r="IV387" s="113"/>
      <c r="IW387" s="113"/>
      <c r="IX387" s="113"/>
      <c r="IY387" s="113"/>
      <c r="IZ387" s="113"/>
      <c r="JA387" s="113"/>
      <c r="JB387" s="113"/>
      <c r="JC387" s="113"/>
      <c r="JD387" s="113"/>
      <c r="JE387" s="113"/>
      <c r="JF387" s="113"/>
      <c r="JG387" s="113"/>
      <c r="JH387" s="113"/>
      <c r="JI387" s="113"/>
      <c r="JJ387" s="113"/>
      <c r="JK387" s="113"/>
      <c r="JL387" s="113"/>
      <c r="JM387" s="113"/>
      <c r="JN387" s="113"/>
      <c r="JO387" s="113"/>
      <c r="JP387" s="113"/>
      <c r="JQ387" s="113"/>
      <c r="JR387" s="113"/>
      <c r="JS387" s="113"/>
      <c r="JT387" s="113"/>
      <c r="JU387" s="113"/>
      <c r="JV387" s="113"/>
      <c r="JW387" s="113"/>
      <c r="JX387" s="113"/>
      <c r="JY387" s="113"/>
      <c r="JZ387" s="113"/>
      <c r="KA387" s="113"/>
      <c r="KB387" s="113"/>
      <c r="KC387" s="113"/>
      <c r="KD387" s="113"/>
      <c r="KE387" s="113"/>
      <c r="KF387" s="113"/>
      <c r="KG387" s="113"/>
      <c r="KH387" s="113"/>
      <c r="KI387" s="113"/>
      <c r="KJ387" s="113"/>
      <c r="KK387" s="113"/>
      <c r="KL387" s="113"/>
      <c r="KM387" s="113"/>
      <c r="KN387" s="113"/>
      <c r="KO387" s="113"/>
      <c r="KP387" s="113"/>
      <c r="KQ387" s="113"/>
      <c r="KR387" s="113"/>
      <c r="KS387" s="113"/>
      <c r="KT387" s="113"/>
      <c r="KU387" s="113"/>
      <c r="KV387" s="113"/>
      <c r="KW387" s="113"/>
      <c r="KX387" s="113"/>
      <c r="KY387" s="113"/>
      <c r="KZ387" s="113"/>
      <c r="LA387" s="113"/>
      <c r="LB387" s="113"/>
      <c r="LC387" s="113"/>
      <c r="LD387" s="113"/>
      <c r="LE387" s="113"/>
      <c r="LF387" s="113"/>
      <c r="LG387" s="113"/>
      <c r="LH387" s="113"/>
      <c r="LI387" s="113"/>
      <c r="LJ387" s="113"/>
      <c r="LK387" s="113"/>
      <c r="LL387" s="113"/>
      <c r="LM387" s="113"/>
      <c r="LN387" s="113"/>
      <c r="LO387" s="113"/>
      <c r="LP387" s="113"/>
      <c r="LQ387" s="113"/>
      <c r="LR387" s="113"/>
      <c r="LS387" s="113"/>
      <c r="LT387" s="113"/>
      <c r="LU387" s="113"/>
      <c r="LV387" s="113"/>
      <c r="LW387" s="113"/>
      <c r="LX387" s="113"/>
      <c r="LY387" s="113"/>
      <c r="LZ387" s="113"/>
      <c r="MA387" s="113"/>
      <c r="MB387" s="113"/>
      <c r="MC387" s="113"/>
      <c r="MD387" s="113"/>
      <c r="ME387" s="113"/>
      <c r="MF387" s="113"/>
      <c r="MG387" s="113"/>
      <c r="MH387" s="113"/>
      <c r="MI387" s="113"/>
      <c r="MJ387" s="113"/>
      <c r="MK387" s="113"/>
      <c r="ML387" s="113"/>
      <c r="MM387" s="113"/>
      <c r="MN387" s="113"/>
      <c r="MO387" s="113"/>
      <c r="MP387" s="113"/>
      <c r="MQ387" s="113"/>
      <c r="MR387" s="113"/>
      <c r="MS387" s="113"/>
      <c r="MT387" s="113"/>
      <c r="MU387" s="113"/>
      <c r="MV387" s="113"/>
      <c r="MW387" s="113"/>
      <c r="MX387" s="113"/>
      <c r="MY387" s="113"/>
      <c r="MZ387" s="113"/>
      <c r="NA387" s="113"/>
      <c r="NB387" s="113"/>
      <c r="NC387" s="113"/>
      <c r="ND387" s="113"/>
      <c r="NE387" s="113"/>
      <c r="NF387" s="113"/>
      <c r="NG387" s="113"/>
      <c r="NH387" s="113"/>
      <c r="NI387" s="113"/>
      <c r="NJ387" s="113"/>
      <c r="NK387" s="113"/>
      <c r="NL387" s="113"/>
      <c r="NM387" s="113"/>
      <c r="NN387" s="113"/>
      <c r="NO387" s="113"/>
      <c r="NP387" s="113"/>
      <c r="NQ387" s="113"/>
      <c r="NR387" s="113"/>
      <c r="NS387" s="113"/>
      <c r="NT387" s="113"/>
      <c r="NU387" s="113"/>
      <c r="NV387" s="113"/>
      <c r="NW387" s="113"/>
      <c r="NX387" s="113"/>
      <c r="NY387" s="113"/>
      <c r="NZ387" s="113"/>
      <c r="OA387" s="113"/>
      <c r="OB387" s="113"/>
      <c r="OC387" s="113"/>
      <c r="OD387" s="113"/>
      <c r="OE387" s="113"/>
      <c r="OF387" s="113"/>
      <c r="OG387" s="113"/>
      <c r="OH387" s="113"/>
      <c r="OI387" s="113"/>
      <c r="OJ387" s="113"/>
      <c r="OK387" s="113"/>
      <c r="OL387" s="113"/>
      <c r="OM387" s="113"/>
      <c r="ON387" s="113"/>
      <c r="OO387" s="113"/>
      <c r="OP387" s="113"/>
      <c r="OQ387" s="113"/>
      <c r="OR387" s="113"/>
      <c r="OS387" s="113"/>
      <c r="OT387" s="113"/>
      <c r="OU387" s="113"/>
      <c r="OV387" s="113"/>
      <c r="OW387" s="113"/>
      <c r="OX387" s="113"/>
      <c r="OY387" s="113"/>
      <c r="OZ387" s="113"/>
      <c r="PA387" s="113"/>
      <c r="PB387" s="113"/>
      <c r="PC387" s="113"/>
      <c r="PD387" s="113"/>
      <c r="PE387" s="113"/>
      <c r="PF387" s="113"/>
      <c r="PG387" s="113"/>
      <c r="PH387" s="113"/>
      <c r="PI387" s="113"/>
      <c r="PJ387" s="113"/>
      <c r="PK387" s="113"/>
      <c r="PL387" s="113"/>
      <c r="PM387" s="113"/>
      <c r="PN387" s="113"/>
      <c r="PO387" s="113"/>
      <c r="PP387" s="113"/>
      <c r="PQ387" s="113"/>
      <c r="PR387" s="113"/>
      <c r="PS387" s="113"/>
      <c r="PT387" s="113"/>
      <c r="PU387" s="113"/>
      <c r="PV387" s="113"/>
      <c r="PW387" s="113"/>
      <c r="PX387" s="113"/>
      <c r="PY387" s="113"/>
      <c r="PZ387" s="113"/>
      <c r="QA387" s="113"/>
      <c r="QB387" s="113"/>
      <c r="QC387" s="113"/>
      <c r="QD387" s="113"/>
      <c r="QE387" s="113"/>
      <c r="QF387" s="113"/>
      <c r="QG387" s="113"/>
      <c r="QH387" s="113"/>
      <c r="QI387" s="113"/>
      <c r="QJ387" s="113"/>
      <c r="QK387" s="113"/>
      <c r="QL387" s="113"/>
      <c r="QM387" s="113"/>
      <c r="QN387" s="113"/>
      <c r="QO387" s="113"/>
      <c r="QP387" s="113"/>
      <c r="QQ387" s="113"/>
      <c r="QR387" s="113"/>
      <c r="QS387" s="113"/>
      <c r="QT387" s="113"/>
      <c r="QU387" s="113"/>
      <c r="QV387" s="113"/>
      <c r="QW387" s="113"/>
      <c r="QX387" s="113"/>
      <c r="QY387" s="113"/>
      <c r="QZ387" s="113"/>
      <c r="RA387" s="113"/>
      <c r="RB387" s="113"/>
      <c r="RC387" s="113"/>
      <c r="RD387" s="113"/>
      <c r="RE387" s="113"/>
      <c r="RF387" s="113"/>
      <c r="RG387" s="113"/>
      <c r="RH387" s="113"/>
      <c r="RI387" s="113"/>
      <c r="RJ387" s="113"/>
      <c r="RK387" s="113"/>
      <c r="RL387" s="113"/>
      <c r="RM387" s="113"/>
      <c r="RN387" s="113"/>
      <c r="RO387" s="113"/>
      <c r="RP387" s="113"/>
      <c r="RQ387" s="113"/>
      <c r="RR387" s="113"/>
      <c r="RS387" s="113"/>
      <c r="RT387" s="113"/>
      <c r="RU387" s="113"/>
      <c r="RV387" s="113"/>
      <c r="RW387" s="113"/>
      <c r="RX387" s="113"/>
      <c r="RY387" s="113"/>
      <c r="RZ387" s="113"/>
      <c r="SA387" s="113"/>
      <c r="SB387" s="113"/>
      <c r="SC387" s="113"/>
      <c r="SD387" s="113"/>
      <c r="SE387" s="113"/>
      <c r="SF387" s="113"/>
      <c r="SG387" s="113"/>
      <c r="SH387" s="113"/>
      <c r="SI387" s="113"/>
      <c r="SJ387" s="113"/>
      <c r="SK387" s="113"/>
      <c r="SL387" s="113"/>
      <c r="SM387" s="113"/>
      <c r="SN387" s="113"/>
      <c r="SO387" s="113"/>
      <c r="SP387" s="113"/>
      <c r="SQ387" s="113"/>
      <c r="SR387" s="113"/>
      <c r="SS387" s="113"/>
      <c r="ST387" s="113"/>
      <c r="SU387" s="113"/>
      <c r="SV387" s="113"/>
      <c r="SW387" s="113"/>
      <c r="SX387" s="113"/>
      <c r="SY387" s="113"/>
      <c r="SZ387" s="113"/>
      <c r="TA387" s="113"/>
      <c r="TB387" s="113"/>
      <c r="TC387" s="113"/>
      <c r="TD387" s="113"/>
      <c r="TE387" s="113"/>
      <c r="TF387" s="113"/>
      <c r="TG387" s="113"/>
      <c r="TH387" s="113"/>
      <c r="TI387" s="113"/>
      <c r="TJ387" s="113"/>
      <c r="TK387" s="113"/>
      <c r="TL387" s="113"/>
      <c r="TM387" s="113"/>
      <c r="TN387" s="113"/>
      <c r="TO387" s="113"/>
      <c r="TP387" s="113"/>
      <c r="TQ387" s="113"/>
      <c r="TR387" s="113"/>
      <c r="TS387" s="113"/>
      <c r="TT387" s="113"/>
      <c r="TU387" s="113"/>
      <c r="TV387" s="113"/>
      <c r="TW387" s="113"/>
      <c r="TX387" s="113"/>
      <c r="TY387" s="113"/>
      <c r="TZ387" s="113"/>
      <c r="UA387" s="113"/>
      <c r="UB387" s="113"/>
      <c r="UC387" s="113"/>
      <c r="UD387" s="113"/>
      <c r="UE387" s="113"/>
      <c r="UF387" s="113"/>
      <c r="UG387" s="113"/>
      <c r="UH387" s="113"/>
      <c r="UI387" s="113"/>
      <c r="UJ387" s="113"/>
      <c r="UK387" s="113"/>
      <c r="UL387" s="113"/>
      <c r="UM387" s="113"/>
      <c r="UN387" s="113"/>
      <c r="UO387" s="113"/>
      <c r="UP387" s="113"/>
      <c r="UQ387" s="113"/>
      <c r="UR387" s="113"/>
      <c r="US387" s="113"/>
      <c r="UT387" s="113"/>
      <c r="UU387" s="113"/>
      <c r="UV387" s="113"/>
      <c r="UW387" s="113"/>
      <c r="UX387" s="113"/>
      <c r="UY387" s="113"/>
      <c r="UZ387" s="113"/>
      <c r="VA387" s="113"/>
      <c r="VB387" s="113"/>
      <c r="VC387" s="113"/>
      <c r="VD387" s="113"/>
      <c r="VE387" s="113"/>
      <c r="VF387" s="113"/>
      <c r="VG387" s="113"/>
      <c r="VH387" s="113"/>
      <c r="VI387" s="113"/>
      <c r="VJ387" s="113"/>
      <c r="VK387" s="113"/>
      <c r="VL387" s="113"/>
      <c r="VM387" s="113"/>
      <c r="VN387" s="113"/>
      <c r="VO387" s="113"/>
      <c r="VP387" s="113"/>
      <c r="VQ387" s="113"/>
      <c r="VR387" s="113"/>
      <c r="VS387" s="113"/>
      <c r="VT387" s="113"/>
      <c r="VU387" s="113"/>
      <c r="VV387" s="113"/>
      <c r="VW387" s="113"/>
      <c r="VX387" s="113"/>
      <c r="VY387" s="113"/>
      <c r="VZ387" s="113"/>
      <c r="WA387" s="113"/>
      <c r="WB387" s="113"/>
      <c r="WC387" s="113"/>
      <c r="WD387" s="113"/>
      <c r="WE387" s="113"/>
      <c r="WF387" s="113"/>
      <c r="WG387" s="113"/>
      <c r="WH387" s="113"/>
      <c r="WI387" s="113"/>
      <c r="WJ387" s="113"/>
      <c r="WK387" s="113"/>
      <c r="WL387" s="113"/>
      <c r="WM387" s="113"/>
      <c r="WN387" s="113"/>
      <c r="WO387" s="113"/>
      <c r="WP387" s="113"/>
      <c r="WQ387" s="113"/>
      <c r="WR387" s="113"/>
      <c r="WS387" s="113"/>
      <c r="WT387" s="113"/>
      <c r="WU387" s="113"/>
      <c r="WV387" s="113"/>
      <c r="WW387" s="113"/>
      <c r="WX387" s="113"/>
      <c r="WY387" s="113"/>
      <c r="WZ387" s="113"/>
      <c r="XA387" s="113"/>
      <c r="XB387" s="113"/>
      <c r="XC387" s="113"/>
      <c r="XD387" s="113"/>
      <c r="XE387" s="113"/>
      <c r="XF387" s="113"/>
      <c r="XG387" s="113"/>
      <c r="XH387" s="113"/>
      <c r="XI387" s="113"/>
      <c r="XJ387" s="113"/>
      <c r="XK387" s="113"/>
      <c r="XL387" s="113"/>
      <c r="XM387" s="113"/>
      <c r="XN387" s="113"/>
      <c r="XO387" s="113"/>
      <c r="XP387" s="113"/>
      <c r="XQ387" s="113"/>
      <c r="XR387" s="113"/>
      <c r="XS387" s="113"/>
      <c r="XT387" s="113"/>
      <c r="XU387" s="113"/>
      <c r="XV387" s="113"/>
      <c r="XW387" s="113"/>
      <c r="XX387" s="113"/>
      <c r="XY387" s="113"/>
      <c r="XZ387" s="113"/>
      <c r="YA387" s="113"/>
      <c r="YB387" s="113"/>
      <c r="YC387" s="113"/>
      <c r="YD387" s="113"/>
      <c r="YE387" s="113"/>
      <c r="YF387" s="113"/>
      <c r="YG387" s="113"/>
      <c r="YH387" s="113"/>
      <c r="YI387" s="113"/>
      <c r="YJ387" s="113"/>
      <c r="YK387" s="113"/>
      <c r="YL387" s="113"/>
      <c r="YM387" s="113"/>
      <c r="YN387" s="113"/>
      <c r="YO387" s="113"/>
      <c r="YP387" s="113"/>
      <c r="YQ387" s="113"/>
      <c r="YR387" s="113"/>
      <c r="YS387" s="113"/>
      <c r="YT387" s="113"/>
      <c r="YU387" s="113"/>
      <c r="YV387" s="113"/>
      <c r="YW387" s="113"/>
      <c r="YX387" s="113"/>
      <c r="YY387" s="113"/>
      <c r="YZ387" s="113"/>
      <c r="ZA387" s="113"/>
      <c r="ZB387" s="113"/>
      <c r="ZC387" s="113"/>
      <c r="ZD387" s="113"/>
      <c r="ZE387" s="113"/>
      <c r="ZF387" s="113"/>
      <c r="ZG387" s="113"/>
      <c r="ZH387" s="113"/>
      <c r="ZI387" s="113"/>
      <c r="ZJ387" s="113"/>
      <c r="ZK387" s="113"/>
      <c r="ZL387" s="113"/>
      <c r="ZM387" s="113"/>
      <c r="ZN387" s="113"/>
      <c r="ZO387" s="113"/>
      <c r="ZP387" s="113"/>
      <c r="ZQ387" s="113"/>
      <c r="ZR387" s="113"/>
      <c r="ZS387" s="113"/>
      <c r="ZT387" s="113"/>
      <c r="ZU387" s="113"/>
      <c r="ZV387" s="113"/>
      <c r="ZW387" s="113"/>
      <c r="ZX387" s="113"/>
      <c r="ZY387" s="113"/>
      <c r="ZZ387" s="113"/>
      <c r="AAA387" s="113"/>
      <c r="AAB387" s="113"/>
      <c r="AAC387" s="113"/>
      <c r="AAD387" s="113"/>
      <c r="AAE387" s="113"/>
      <c r="AAF387" s="113"/>
      <c r="AAG387" s="113"/>
      <c r="AAH387" s="113"/>
      <c r="AAI387" s="113"/>
      <c r="AAJ387" s="113"/>
      <c r="AAK387" s="113"/>
      <c r="AAL387" s="113"/>
      <c r="AAM387" s="113"/>
      <c r="AAN387" s="113"/>
      <c r="AAO387" s="113"/>
      <c r="AAP387" s="113"/>
      <c r="AAQ387" s="113"/>
      <c r="AAR387" s="113"/>
      <c r="AAS387" s="113"/>
      <c r="AAT387" s="113"/>
      <c r="AAU387" s="113"/>
      <c r="AAV387" s="113"/>
      <c r="AAW387" s="113"/>
      <c r="AAX387" s="113"/>
      <c r="AAY387" s="113"/>
      <c r="AAZ387" s="113"/>
      <c r="ABA387" s="113"/>
      <c r="ABB387" s="113"/>
      <c r="ABC387" s="113"/>
      <c r="ABD387" s="113"/>
      <c r="ABE387" s="113"/>
      <c r="ABF387" s="113"/>
      <c r="ABG387" s="113"/>
      <c r="ABH387" s="113"/>
      <c r="ABI387" s="113"/>
      <c r="ABJ387" s="113"/>
      <c r="ABK387" s="113"/>
      <c r="ABL387" s="113"/>
      <c r="ABM387" s="113"/>
      <c r="ABN387" s="113"/>
      <c r="ABO387" s="113"/>
      <c r="ABP387" s="113"/>
      <c r="ABQ387" s="113"/>
      <c r="ABR387" s="113"/>
      <c r="ABS387" s="113"/>
      <c r="ABT387" s="113"/>
      <c r="ABU387" s="113"/>
      <c r="ABV387" s="113"/>
      <c r="ABW387" s="113"/>
      <c r="ABX387" s="113"/>
      <c r="ABY387" s="113"/>
      <c r="ABZ387" s="113"/>
      <c r="ACA387" s="113"/>
      <c r="ACB387" s="113"/>
      <c r="ACC387" s="113"/>
      <c r="ACD387" s="113"/>
      <c r="ACE387" s="113"/>
      <c r="ACF387" s="113"/>
      <c r="ACG387" s="113"/>
      <c r="ACH387" s="113"/>
      <c r="ACI387" s="113"/>
      <c r="ACJ387" s="113"/>
      <c r="ACK387" s="113"/>
      <c r="ACL387" s="113"/>
      <c r="ACM387" s="113"/>
      <c r="ACN387" s="113"/>
      <c r="ACO387" s="113"/>
      <c r="ACP387" s="113"/>
      <c r="ACQ387" s="113"/>
      <c r="ACR387" s="113"/>
      <c r="ACS387" s="113"/>
      <c r="ACT387" s="113"/>
      <c r="ACU387" s="113"/>
      <c r="ACV387" s="113"/>
      <c r="ACW387" s="113"/>
      <c r="ACX387" s="113"/>
      <c r="ACY387" s="113"/>
      <c r="ACZ387" s="113"/>
      <c r="ADA387" s="113"/>
      <c r="ADB387" s="113"/>
      <c r="ADC387" s="113"/>
      <c r="ADD387" s="113"/>
      <c r="ADE387" s="113"/>
      <c r="ADF387" s="113"/>
      <c r="ADG387" s="113"/>
      <c r="ADH387" s="113"/>
      <c r="ADI387" s="113"/>
      <c r="ADJ387" s="113"/>
      <c r="ADK387" s="113"/>
      <c r="ADL387" s="113"/>
      <c r="ADM387" s="113"/>
      <c r="ADN387" s="113"/>
      <c r="ADO387" s="113"/>
      <c r="ADP387" s="113"/>
      <c r="ADQ387" s="113"/>
      <c r="ADR387" s="113"/>
      <c r="ADS387" s="113"/>
      <c r="ADT387" s="113"/>
      <c r="ADU387" s="113"/>
      <c r="ADV387" s="113"/>
      <c r="ADW387" s="113"/>
      <c r="ADX387" s="113"/>
      <c r="ADY387" s="113"/>
      <c r="ADZ387" s="113"/>
      <c r="AEA387" s="113"/>
      <c r="AEB387" s="113"/>
      <c r="AEC387" s="113"/>
      <c r="AED387" s="113"/>
      <c r="AEE387" s="113"/>
      <c r="AEF387" s="113"/>
      <c r="AEG387" s="113"/>
      <c r="AEH387" s="113"/>
      <c r="AEI387" s="113"/>
      <c r="AEJ387" s="113"/>
      <c r="AEK387" s="113"/>
      <c r="AEL387" s="113"/>
      <c r="AEM387" s="113"/>
      <c r="AEN387" s="113"/>
      <c r="AEO387" s="113"/>
      <c r="AEP387" s="113"/>
      <c r="AEQ387" s="113"/>
      <c r="AER387" s="113"/>
      <c r="AES387" s="113"/>
      <c r="AET387" s="113"/>
      <c r="AEU387" s="113"/>
      <c r="AEV387" s="113"/>
      <c r="AEW387" s="113"/>
      <c r="AEX387" s="113"/>
      <c r="AEY387" s="113"/>
      <c r="AEZ387" s="113"/>
      <c r="AFA387" s="113"/>
      <c r="AFB387" s="113"/>
      <c r="AFC387" s="113"/>
      <c r="AFD387" s="113"/>
      <c r="AFE387" s="113"/>
      <c r="AFF387" s="113"/>
      <c r="AFG387" s="113"/>
      <c r="AFH387" s="113"/>
      <c r="AFI387" s="113"/>
      <c r="AFJ387" s="113"/>
      <c r="AFK387" s="113"/>
      <c r="AFL387" s="113"/>
      <c r="AFM387" s="113"/>
      <c r="AFN387" s="113"/>
      <c r="AFO387" s="113"/>
      <c r="AFP387" s="113"/>
      <c r="AFQ387" s="113"/>
      <c r="AFR387" s="113"/>
      <c r="AFS387" s="113"/>
      <c r="AFT387" s="113"/>
      <c r="AFU387" s="113"/>
      <c r="AFV387" s="113"/>
      <c r="AFW387" s="113"/>
      <c r="AFX387" s="113"/>
      <c r="AFY387" s="113"/>
      <c r="AFZ387" s="113"/>
      <c r="AGA387" s="113"/>
      <c r="AGB387" s="113"/>
      <c r="AGC387" s="113"/>
      <c r="AGD387" s="113"/>
      <c r="AGE387" s="113"/>
      <c r="AGF387" s="113"/>
      <c r="AGG387" s="113"/>
      <c r="AGH387" s="113"/>
      <c r="AGI387" s="113"/>
      <c r="AGJ387" s="113"/>
      <c r="AGK387" s="113"/>
      <c r="AGL387" s="113"/>
      <c r="AGM387" s="113"/>
      <c r="AGN387" s="113"/>
      <c r="AGO387" s="113"/>
      <c r="AGP387" s="113"/>
      <c r="AGQ387" s="113"/>
      <c r="AGR387" s="113"/>
      <c r="AGS387" s="113"/>
      <c r="AGT387" s="113"/>
      <c r="AGU387" s="113"/>
      <c r="AGV387" s="113"/>
      <c r="AGW387" s="113"/>
      <c r="AGX387" s="113"/>
      <c r="AGY387" s="113"/>
      <c r="AGZ387" s="113"/>
      <c r="AHA387" s="113"/>
      <c r="AHB387" s="113"/>
      <c r="AHC387" s="113"/>
      <c r="AHD387" s="113"/>
      <c r="AHE387" s="113"/>
      <c r="AHF387" s="113"/>
      <c r="AHG387" s="113"/>
      <c r="AHH387" s="113"/>
      <c r="AHI387" s="113"/>
      <c r="AHJ387" s="113"/>
      <c r="AHK387" s="113"/>
      <c r="AHL387" s="113"/>
      <c r="AHM387" s="113"/>
      <c r="AHN387" s="113"/>
      <c r="AHO387" s="113"/>
      <c r="AHP387" s="113"/>
      <c r="AHQ387" s="113"/>
      <c r="AHR387" s="113"/>
      <c r="AHS387" s="113"/>
      <c r="AHT387" s="113"/>
      <c r="AHU387" s="113"/>
      <c r="AHV387" s="113"/>
      <c r="AHW387" s="113"/>
      <c r="AHX387" s="113"/>
      <c r="AHY387" s="113"/>
      <c r="AHZ387" s="113"/>
      <c r="AIA387" s="113"/>
      <c r="AIB387" s="113"/>
      <c r="AIC387" s="113"/>
      <c r="AID387" s="113"/>
      <c r="AIE387" s="113"/>
      <c r="AIF387" s="113"/>
      <c r="AIG387" s="113"/>
      <c r="AIH387" s="113"/>
      <c r="AII387" s="113"/>
      <c r="AIJ387" s="113"/>
      <c r="AIK387" s="113"/>
      <c r="AIL387" s="113"/>
      <c r="AIM387" s="113"/>
      <c r="AIN387" s="113"/>
      <c r="AIO387" s="113"/>
      <c r="AIP387" s="113"/>
      <c r="AIQ387" s="113"/>
      <c r="AIR387" s="113"/>
      <c r="AIS387" s="113"/>
      <c r="AIT387" s="113"/>
      <c r="AIU387" s="113"/>
      <c r="AIV387" s="113"/>
      <c r="AIW387" s="113"/>
      <c r="AIX387" s="113"/>
      <c r="AIY387" s="113"/>
      <c r="AIZ387" s="113"/>
    </row>
    <row r="388">
      <c r="A388" s="65" t="s">
        <v>38</v>
      </c>
      <c r="B388" s="65" t="s">
        <v>97</v>
      </c>
      <c r="C388" s="65"/>
      <c r="D388" s="64">
        <f t="shared" si="1"/>
        <v>477.87385</v>
      </c>
      <c r="F388" s="65">
        <v>39.3386833333334</v>
      </c>
      <c r="G388" s="65">
        <v>5.87115</v>
      </c>
      <c r="H388" s="65">
        <v>7.21786666666667</v>
      </c>
      <c r="I388" s="65">
        <v>2.57681666666667</v>
      </c>
      <c r="J388" s="65">
        <v>6.13935</v>
      </c>
      <c r="K388" s="65">
        <v>39.74565</v>
      </c>
      <c r="N388" s="65">
        <v>2.57303333333333</v>
      </c>
      <c r="Q388" s="65">
        <v>25.5470833333333</v>
      </c>
      <c r="R388" s="65">
        <v>12.5614333333333</v>
      </c>
      <c r="S388" s="65">
        <v>12.6719333333333</v>
      </c>
      <c r="T388" s="65">
        <v>7.7424</v>
      </c>
      <c r="U388" s="65">
        <v>36.50625</v>
      </c>
      <c r="X388" s="65">
        <v>11.8434833333333</v>
      </c>
      <c r="Y388" s="65">
        <v>33.6000833333333</v>
      </c>
      <c r="Z388" s="65">
        <v>10.5546</v>
      </c>
      <c r="AA388" s="65">
        <v>4.81785</v>
      </c>
      <c r="AB388" s="65">
        <v>14.0281333333333</v>
      </c>
      <c r="AE388" s="65">
        <v>24.6078166666667</v>
      </c>
      <c r="AF388" s="65">
        <v>55.6588166666667</v>
      </c>
      <c r="AG388" s="65">
        <v>14.0369166666667</v>
      </c>
      <c r="AH388" s="65">
        <v>2.87623333333333</v>
      </c>
      <c r="AI388" s="65">
        <v>22.9163166666667</v>
      </c>
      <c r="AL388" s="65">
        <v>15.1777166666667</v>
      </c>
      <c r="AM388" s="65">
        <v>9.87718333333333</v>
      </c>
      <c r="AN388" s="65">
        <v>17.6036833333333</v>
      </c>
      <c r="AQ388" s="65">
        <v>1.78918333333333</v>
      </c>
      <c r="AR388" s="65">
        <v>3.71235</v>
      </c>
      <c r="AU388" s="65">
        <v>36.2818333333333</v>
      </c>
    </row>
    <row r="389">
      <c r="A389" s="65" t="s">
        <v>38</v>
      </c>
      <c r="B389" s="65" t="s">
        <v>97</v>
      </c>
      <c r="C389" s="65"/>
      <c r="D389" s="64">
        <f t="shared" si="1"/>
        <v>0</v>
      </c>
    </row>
    <row r="390">
      <c r="A390" s="65" t="s">
        <v>38</v>
      </c>
      <c r="B390" s="65" t="s">
        <v>97</v>
      </c>
      <c r="C390" s="65"/>
      <c r="D390" s="64">
        <f t="shared" si="1"/>
        <v>443.1174167</v>
      </c>
      <c r="F390" s="118">
        <f>HYPERLINK("https://docs.google.com/spreadsheets/d/1LW_Ntu8_0k9ICz9yfvuXAzAvBEECvX81", 33.2202333333333)</f>
        <v>33.22023333</v>
      </c>
      <c r="G390" s="118">
        <f>HYPERLINK("https://docs.google.com/spreadsheets/d/1k8em8Az74eZqS7KmtP0d-ELzSWRtnQRX", 5.87115)</f>
        <v>5.87115</v>
      </c>
      <c r="H390" s="118">
        <f>HYPERLINK("https://docs.google.com/spreadsheets/d/1xphKMYKInbs2B-jy1BgtE_d2B9OZsjpD", 7.21788333333334)</f>
        <v>7.217883333</v>
      </c>
      <c r="I390" s="118">
        <f>HYPERLINK("https://docs.google.com/spreadsheets/d/1l7AYYawAeTFXZQ0raLvCLcINZxp7bA0W", 2.26)</f>
        <v>2.26</v>
      </c>
      <c r="J390" s="118">
        <f>HYPERLINK("https://docs.google.com/spreadsheets/d/1H6B6vMo5Huv3fsm60gx3VtnIsvjIq7Zc", 4.86556666666667)</f>
        <v>4.865566667</v>
      </c>
      <c r="K390" s="118">
        <f>HYPERLINK("https://docs.google.com/spreadsheets/d/1M0B5zUjUeDSARaM71Q9IkCZO-dU4BVzm", 39.164)</f>
        <v>39.164</v>
      </c>
      <c r="N390" s="118">
        <f>HYPERLINK("https://docs.google.com/spreadsheets/d/1xQZtZU3ERtTELIRSa8HsUB9HOsfqn2he", 2.57303333333333)</f>
        <v>2.573033333</v>
      </c>
      <c r="Q390" s="118">
        <f>HYPERLINK("https://docs.google.com/spreadsheets/d/16TeD9CHEZ3Gm9tGRP7fstikJ6E3HAE1C", 18.17035)</f>
        <v>18.17035</v>
      </c>
      <c r="R390" s="118">
        <f>HYPERLINK("https://docs.google.com/spreadsheets/d/1fg4ofrb2zbpEshE5vcPdmLGa8IOr78DS", 12.5614333333333)</f>
        <v>12.56143333</v>
      </c>
      <c r="S390" s="118">
        <f>HYPERLINK("https://docs.google.com/spreadsheets/d/16TCilMb23Oi2__6C_Wtu-7p3sMlVAqvm", 12.6719333333333)</f>
        <v>12.67193333</v>
      </c>
      <c r="T390" s="118">
        <f>HYPERLINK("https://docs.google.com/spreadsheets/d/1V2iKJvAbHgeUUqLbbbnwhTt2tUYPXAka", 7.1757)</f>
        <v>7.1757</v>
      </c>
      <c r="U390" s="118">
        <f>HYPERLINK("https://docs.google.com/spreadsheets/d/1TFiZLiByIbCuJlVWVv2YGGRWJhhANLvl", 36.5062166666666)</f>
        <v>36.50621667</v>
      </c>
      <c r="X390" s="118">
        <f>HYPERLINK("https://docs.google.com/spreadsheets/d/1c-1gThWiym3p5eyiN_784gdMm3rhMNz3", 9.26041666666667)</f>
        <v>9.260416667</v>
      </c>
      <c r="Y390" s="118">
        <f>HYPERLINK("https://docs.google.com/spreadsheets/d/1eMfGHBd5feqRNoHy9LEmuqD1u6RDpC9g", 33.6000666666667)</f>
        <v>33.60006667</v>
      </c>
      <c r="Z390" s="118">
        <f>HYPERLINK("https://docs.google.com/spreadsheets/d/1aotYwPT1dOxam0UOXeQcfv2lZd6OvQ8n", 10.4319666666667)</f>
        <v>10.43196667</v>
      </c>
      <c r="AA390" s="118">
        <f>HYPERLINK("https://docs.google.com/spreadsheets/d/1XLq6FxVi33-LG1KVSdd7rWZtGr_LdcLl", 4.81783333333333)</f>
        <v>4.817833333</v>
      </c>
      <c r="AB390" s="118">
        <f>HYPERLINK("https://docs.google.com/spreadsheets/d/1EDz26cjvnFcWmp-2N0uV3mpSW5IjjoAm", 14.0281166666667)</f>
        <v>14.02811667</v>
      </c>
      <c r="AE390" s="118">
        <f>HYPERLINK("https://docs.google.com/spreadsheets/d/1GhzZtirjDTMqoX6luXqHBQMYfmhXTZbX", 15.63295)</f>
        <v>15.63295</v>
      </c>
      <c r="AF390" s="118">
        <f>HYPERLINK("https://docs.google.com/spreadsheets/d/1M4pKiQItZPr1H7kmxup-2vOKqYKGO1RF", 55.3097333333333)</f>
        <v>55.30973333</v>
      </c>
      <c r="AG390" s="118">
        <f>HYPERLINK("https://docs.google.com/spreadsheets/d/1cC9uH9U9y1hVDRb-58uLZ1PAByFVRFNp", 14.0369166666667)</f>
        <v>14.03691667</v>
      </c>
      <c r="AH390" s="118">
        <f>HYPERLINK("https://docs.google.com/spreadsheets/d/1HEeBaQKFU7zBJTu7kprgrDzx453IW-fm", 2.87623333333333)</f>
        <v>2.876233333</v>
      </c>
      <c r="AI390" s="118">
        <f>HYPERLINK("https://docs.google.com/spreadsheets/d/1EeGGfGTuFIL2tOHuzdMUSmGqWdAmvBS6", 22.5811333333333)</f>
        <v>22.58113333</v>
      </c>
      <c r="AL390" s="118">
        <f>HYPERLINK("https://docs.google.com/spreadsheets/d/1_vPVdJImOsqnrs1MIlJ5jZ-7Lfr0oALJ", 10.2812666666667)</f>
        <v>10.28126667</v>
      </c>
      <c r="AM390" s="118">
        <f>HYPERLINK("https://docs.google.com/spreadsheets/d/113ZXu1UO1jwriHb4NJkYLuFZLcQ0pwHK", 8.99575)</f>
        <v>8.99575</v>
      </c>
      <c r="AN390" s="118">
        <f>HYPERLINK("https://docs.google.com/spreadsheets/d/15TXNzp7MvcAvxfsxjGrjPn3SE2QYqw9Z", 17.6036333333333)</f>
        <v>17.60363333</v>
      </c>
      <c r="AQ390" s="118">
        <f>HYPERLINK("https://docs.google.com/spreadsheets/d/1pXecm1VqqwTdt9LEHP8MRGs7q1MJjn46", 1.70065)</f>
        <v>1.70065</v>
      </c>
      <c r="AR390" s="118">
        <f>HYPERLINK("https://docs.google.com/spreadsheets/d/13dU0Jbs5Yi001a8DPFVudD29S6Zb8KyA", 3.71233333333333)</f>
        <v>3.712333333</v>
      </c>
      <c r="AU390" s="118">
        <f>HYPERLINK("https://docs.google.com/spreadsheets/d/1kFs2mvBhqHRy1kkCI5aURp75gC9Wq8Mj", 35.9909166666667)</f>
        <v>35.99091667</v>
      </c>
    </row>
    <row r="391">
      <c r="A391" s="65" t="s">
        <v>38</v>
      </c>
      <c r="B391" s="65" t="s">
        <v>97</v>
      </c>
      <c r="C391" s="65"/>
      <c r="D391" s="64">
        <f t="shared" si="1"/>
        <v>315.1984667</v>
      </c>
      <c r="F391" s="65">
        <v>25.24985</v>
      </c>
      <c r="G391" s="65">
        <v>4.84018333333333</v>
      </c>
      <c r="H391" s="65">
        <v>2.54183333333333</v>
      </c>
      <c r="I391" s="65">
        <v>0.54495</v>
      </c>
      <c r="J391" s="65">
        <v>3.10131666666667</v>
      </c>
      <c r="K391" s="65">
        <v>31.44205</v>
      </c>
      <c r="N391" s="65">
        <v>0.63535</v>
      </c>
      <c r="Q391" s="65">
        <v>12.7233833333333</v>
      </c>
      <c r="R391" s="65">
        <v>7.36735</v>
      </c>
      <c r="S391" s="65">
        <v>4.20515</v>
      </c>
      <c r="T391" s="65">
        <v>1.6396</v>
      </c>
      <c r="U391" s="65">
        <v>28.6310166666666</v>
      </c>
      <c r="X391" s="65">
        <v>7.98548333333334</v>
      </c>
      <c r="Y391" s="65">
        <v>27.4328833333333</v>
      </c>
      <c r="Z391" s="65">
        <v>6.70713333333333</v>
      </c>
      <c r="AA391" s="65">
        <v>3.39093333333333</v>
      </c>
      <c r="AB391" s="65">
        <v>10.68785</v>
      </c>
      <c r="AE391" s="65">
        <v>12.7392833333333</v>
      </c>
      <c r="AF391" s="65">
        <v>43.7007833333334</v>
      </c>
      <c r="AG391" s="65">
        <v>9.62428333333333</v>
      </c>
      <c r="AH391" s="65">
        <v>0.907816666666667</v>
      </c>
      <c r="AI391" s="65">
        <v>11.85465</v>
      </c>
      <c r="AL391" s="65">
        <v>5.32001666666667</v>
      </c>
      <c r="AM391" s="65">
        <v>4.2135</v>
      </c>
      <c r="AN391" s="65">
        <v>13.1877166666667</v>
      </c>
      <c r="AQ391" s="65">
        <v>1.49288333333333</v>
      </c>
      <c r="AR391" s="65">
        <v>3.17115</v>
      </c>
      <c r="AU391" s="65">
        <v>29.8600666666667</v>
      </c>
    </row>
    <row r="392">
      <c r="A392" s="119" t="s">
        <v>38</v>
      </c>
      <c r="B392" s="119" t="s">
        <v>97</v>
      </c>
      <c r="C392" s="119"/>
      <c r="D392" s="120">
        <f t="shared" si="1"/>
        <v>0</v>
      </c>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c r="AA392" s="120"/>
      <c r="AB392" s="120"/>
      <c r="AC392" s="120"/>
      <c r="AD392" s="120"/>
      <c r="AE392" s="120"/>
      <c r="AF392" s="120"/>
      <c r="AG392" s="120"/>
      <c r="AH392" s="120"/>
      <c r="AI392" s="120"/>
      <c r="AJ392" s="120"/>
      <c r="AK392" s="120"/>
      <c r="AL392" s="120"/>
      <c r="AM392" s="120"/>
      <c r="AN392" s="120"/>
      <c r="AO392" s="120"/>
      <c r="AP392" s="120"/>
      <c r="AQ392" s="120"/>
      <c r="AR392" s="120"/>
      <c r="AS392" s="120"/>
      <c r="AT392" s="120"/>
      <c r="AU392" s="120"/>
      <c r="AV392" s="120"/>
      <c r="AW392" s="120"/>
      <c r="AX392" s="120"/>
      <c r="AY392" s="120"/>
      <c r="AZ392" s="120"/>
      <c r="BA392" s="120"/>
      <c r="BB392" s="120"/>
      <c r="BC392" s="120"/>
      <c r="BD392" s="120"/>
      <c r="BE392" s="120"/>
      <c r="BF392" s="120"/>
      <c r="BG392" s="120"/>
      <c r="BH392" s="120"/>
      <c r="BI392" s="120"/>
      <c r="BJ392" s="120"/>
      <c r="BK392" s="120"/>
      <c r="BL392" s="120"/>
      <c r="BM392" s="120"/>
      <c r="BN392" s="120"/>
      <c r="BO392" s="120"/>
      <c r="BP392" s="120"/>
      <c r="BQ392" s="120"/>
      <c r="BR392" s="120"/>
      <c r="BS392" s="120"/>
      <c r="BT392" s="120"/>
      <c r="BU392" s="120"/>
      <c r="BV392" s="120"/>
      <c r="BW392" s="120"/>
      <c r="BX392" s="120"/>
      <c r="BY392" s="120"/>
      <c r="BZ392" s="120"/>
      <c r="CA392" s="120"/>
      <c r="CB392" s="120"/>
      <c r="CC392" s="120"/>
      <c r="CD392" s="120"/>
      <c r="CE392" s="120"/>
      <c r="CF392" s="120"/>
      <c r="CG392" s="120"/>
      <c r="CH392" s="120"/>
      <c r="CI392" s="120"/>
      <c r="CJ392" s="120"/>
      <c r="CK392" s="120"/>
      <c r="CL392" s="120"/>
      <c r="CM392" s="120"/>
      <c r="CN392" s="120"/>
      <c r="CO392" s="120"/>
      <c r="CP392" s="120"/>
      <c r="CQ392" s="120"/>
      <c r="CR392" s="120"/>
      <c r="CS392" s="120"/>
      <c r="CT392" s="120"/>
      <c r="CU392" s="120"/>
      <c r="CV392" s="120"/>
      <c r="CW392" s="120"/>
      <c r="CX392" s="120"/>
      <c r="CY392" s="120"/>
      <c r="CZ392" s="120"/>
      <c r="DA392" s="120"/>
      <c r="DB392" s="120"/>
      <c r="DC392" s="120"/>
      <c r="DD392" s="120"/>
      <c r="DE392" s="120"/>
      <c r="DF392" s="120"/>
      <c r="DG392" s="120"/>
      <c r="DH392" s="120"/>
      <c r="DI392" s="120"/>
      <c r="DJ392" s="120"/>
      <c r="DK392" s="120"/>
      <c r="DL392" s="120"/>
      <c r="DM392" s="120"/>
      <c r="DN392" s="120"/>
      <c r="DO392" s="120"/>
      <c r="DP392" s="120"/>
      <c r="DQ392" s="120"/>
      <c r="DR392" s="120"/>
      <c r="DS392" s="120"/>
      <c r="DT392" s="120"/>
      <c r="DU392" s="120"/>
      <c r="DV392" s="120"/>
      <c r="DW392" s="120"/>
      <c r="DX392" s="120"/>
      <c r="DY392" s="120"/>
      <c r="DZ392" s="120"/>
      <c r="EA392" s="120"/>
      <c r="EB392" s="120"/>
      <c r="EC392" s="120"/>
      <c r="ED392" s="120"/>
      <c r="EE392" s="120"/>
      <c r="EF392" s="120"/>
      <c r="EG392" s="120"/>
      <c r="EH392" s="120"/>
      <c r="EI392" s="120"/>
      <c r="EJ392" s="120"/>
      <c r="EK392" s="120"/>
      <c r="EL392" s="120"/>
      <c r="EM392" s="120"/>
      <c r="EN392" s="120"/>
      <c r="EO392" s="120"/>
      <c r="EP392" s="120"/>
      <c r="EQ392" s="120"/>
      <c r="ER392" s="120"/>
      <c r="ES392" s="120"/>
      <c r="ET392" s="120"/>
      <c r="EU392" s="120"/>
      <c r="EV392" s="120"/>
      <c r="EW392" s="120"/>
      <c r="EX392" s="120"/>
      <c r="EY392" s="120"/>
      <c r="EZ392" s="120"/>
      <c r="FA392" s="120"/>
      <c r="FB392" s="120"/>
      <c r="FC392" s="120"/>
      <c r="FD392" s="120"/>
      <c r="FE392" s="120"/>
      <c r="FF392" s="120"/>
      <c r="FG392" s="120"/>
      <c r="FH392" s="120"/>
      <c r="FI392" s="120"/>
      <c r="FJ392" s="120"/>
      <c r="FK392" s="120"/>
      <c r="FL392" s="120"/>
      <c r="FM392" s="120"/>
      <c r="FN392" s="120"/>
      <c r="FO392" s="120"/>
      <c r="FP392" s="120"/>
      <c r="FQ392" s="120"/>
      <c r="FR392" s="120"/>
      <c r="FS392" s="120"/>
      <c r="FT392" s="120"/>
      <c r="FU392" s="120"/>
      <c r="FV392" s="120"/>
      <c r="FW392" s="120"/>
      <c r="FX392" s="120"/>
      <c r="FY392" s="120"/>
      <c r="FZ392" s="120"/>
      <c r="GA392" s="120"/>
      <c r="GB392" s="120"/>
      <c r="GC392" s="120"/>
      <c r="GD392" s="120"/>
      <c r="GE392" s="120"/>
      <c r="GF392" s="120"/>
      <c r="GG392" s="120"/>
      <c r="GH392" s="120"/>
      <c r="GI392" s="120"/>
      <c r="GJ392" s="120"/>
      <c r="GK392" s="120"/>
      <c r="GL392" s="120"/>
      <c r="GM392" s="120"/>
      <c r="GN392" s="120"/>
      <c r="GO392" s="120"/>
      <c r="GP392" s="120"/>
      <c r="GQ392" s="120"/>
      <c r="GR392" s="120"/>
      <c r="GS392" s="120"/>
      <c r="GT392" s="120"/>
      <c r="GU392" s="120"/>
      <c r="GV392" s="120"/>
      <c r="GW392" s="120"/>
      <c r="GX392" s="120"/>
      <c r="GY392" s="120"/>
      <c r="GZ392" s="120"/>
      <c r="HA392" s="120"/>
      <c r="HB392" s="120"/>
      <c r="HC392" s="120"/>
      <c r="HD392" s="120"/>
      <c r="HE392" s="120"/>
      <c r="HF392" s="120"/>
      <c r="HG392" s="120"/>
      <c r="HH392" s="120"/>
      <c r="HI392" s="120"/>
      <c r="HJ392" s="120"/>
      <c r="HK392" s="120"/>
      <c r="HL392" s="120"/>
      <c r="HM392" s="120"/>
      <c r="HN392" s="120"/>
      <c r="HO392" s="120"/>
      <c r="HP392" s="120"/>
      <c r="HQ392" s="120"/>
      <c r="HR392" s="120"/>
      <c r="HS392" s="120"/>
      <c r="HT392" s="120"/>
      <c r="HU392" s="120"/>
      <c r="HV392" s="120"/>
      <c r="HW392" s="120"/>
      <c r="HX392" s="120"/>
      <c r="HY392" s="120"/>
      <c r="HZ392" s="120"/>
      <c r="IA392" s="120"/>
      <c r="IB392" s="120"/>
      <c r="IC392" s="120"/>
      <c r="ID392" s="120"/>
      <c r="IE392" s="120"/>
      <c r="IF392" s="120"/>
      <c r="IG392" s="120"/>
      <c r="IH392" s="120"/>
      <c r="II392" s="120"/>
      <c r="IJ392" s="120"/>
      <c r="IK392" s="120"/>
      <c r="IL392" s="120"/>
      <c r="IM392" s="120"/>
      <c r="IN392" s="120"/>
      <c r="IO392" s="120"/>
      <c r="IP392" s="120"/>
      <c r="IQ392" s="120"/>
      <c r="IR392" s="120"/>
      <c r="IS392" s="120"/>
      <c r="IT392" s="120"/>
      <c r="IU392" s="120"/>
      <c r="IV392" s="120"/>
      <c r="IW392" s="120"/>
      <c r="IX392" s="120"/>
      <c r="IY392" s="120"/>
      <c r="IZ392" s="120"/>
      <c r="JA392" s="120"/>
      <c r="JB392" s="120"/>
      <c r="JC392" s="120"/>
      <c r="JD392" s="120"/>
      <c r="JE392" s="120"/>
      <c r="JF392" s="120"/>
      <c r="JG392" s="120"/>
      <c r="JH392" s="120"/>
      <c r="JI392" s="120"/>
      <c r="JJ392" s="120"/>
      <c r="JK392" s="120"/>
      <c r="JL392" s="120"/>
      <c r="JM392" s="120"/>
      <c r="JN392" s="120"/>
      <c r="JO392" s="120"/>
      <c r="JP392" s="120"/>
      <c r="JQ392" s="120"/>
      <c r="JR392" s="120"/>
      <c r="JS392" s="120"/>
      <c r="JT392" s="120"/>
      <c r="JU392" s="120"/>
      <c r="JV392" s="120"/>
      <c r="JW392" s="120"/>
      <c r="JX392" s="120"/>
      <c r="JY392" s="120"/>
      <c r="JZ392" s="120"/>
      <c r="KA392" s="120"/>
      <c r="KB392" s="120"/>
      <c r="KC392" s="120"/>
      <c r="KD392" s="120"/>
      <c r="KE392" s="120"/>
      <c r="KF392" s="120"/>
      <c r="KG392" s="120"/>
      <c r="KH392" s="120"/>
      <c r="KI392" s="120"/>
      <c r="KJ392" s="120"/>
      <c r="KK392" s="120"/>
      <c r="KL392" s="120"/>
      <c r="KM392" s="120"/>
      <c r="KN392" s="120"/>
      <c r="KO392" s="120"/>
      <c r="KP392" s="120"/>
      <c r="KQ392" s="120"/>
      <c r="KR392" s="120"/>
      <c r="KS392" s="120"/>
      <c r="KT392" s="120"/>
      <c r="KU392" s="120"/>
      <c r="KV392" s="120"/>
      <c r="KW392" s="120"/>
      <c r="KX392" s="120"/>
      <c r="KY392" s="120"/>
      <c r="KZ392" s="120"/>
      <c r="LA392" s="120"/>
      <c r="LB392" s="120"/>
      <c r="LC392" s="120"/>
      <c r="LD392" s="120"/>
      <c r="LE392" s="120"/>
      <c r="LF392" s="120"/>
      <c r="LG392" s="120"/>
      <c r="LH392" s="120"/>
      <c r="LI392" s="120"/>
      <c r="LJ392" s="120"/>
      <c r="LK392" s="120"/>
      <c r="LL392" s="120"/>
      <c r="LM392" s="120"/>
      <c r="LN392" s="120"/>
      <c r="LO392" s="120"/>
      <c r="LP392" s="120"/>
      <c r="LQ392" s="120"/>
      <c r="LR392" s="120"/>
      <c r="LS392" s="120"/>
      <c r="LT392" s="120"/>
      <c r="LU392" s="120"/>
      <c r="LV392" s="120"/>
      <c r="LW392" s="120"/>
      <c r="LX392" s="120"/>
      <c r="LY392" s="120"/>
      <c r="LZ392" s="120"/>
      <c r="MA392" s="120"/>
      <c r="MB392" s="120"/>
      <c r="MC392" s="120"/>
      <c r="MD392" s="120"/>
      <c r="ME392" s="120"/>
      <c r="MF392" s="120"/>
      <c r="MG392" s="120"/>
      <c r="MH392" s="120"/>
      <c r="MI392" s="120"/>
      <c r="MJ392" s="120"/>
      <c r="MK392" s="120"/>
      <c r="ML392" s="120"/>
      <c r="MM392" s="120"/>
      <c r="MN392" s="120"/>
      <c r="MO392" s="120"/>
      <c r="MP392" s="120"/>
      <c r="MQ392" s="120"/>
      <c r="MR392" s="120"/>
      <c r="MS392" s="120"/>
      <c r="MT392" s="120"/>
      <c r="MU392" s="120"/>
      <c r="MV392" s="120"/>
      <c r="MW392" s="120"/>
      <c r="MX392" s="120"/>
      <c r="MY392" s="120"/>
      <c r="MZ392" s="120"/>
      <c r="NA392" s="120"/>
      <c r="NB392" s="120"/>
      <c r="NC392" s="120"/>
      <c r="ND392" s="120"/>
      <c r="NE392" s="120"/>
      <c r="NF392" s="120"/>
      <c r="NG392" s="120"/>
      <c r="NH392" s="120"/>
      <c r="NI392" s="120"/>
      <c r="NJ392" s="120"/>
      <c r="NK392" s="120"/>
      <c r="NL392" s="120"/>
      <c r="NM392" s="120"/>
      <c r="NN392" s="120"/>
      <c r="NO392" s="120"/>
      <c r="NP392" s="120"/>
      <c r="NQ392" s="120"/>
      <c r="NR392" s="120"/>
      <c r="NS392" s="120"/>
      <c r="NT392" s="120"/>
      <c r="NU392" s="120"/>
      <c r="NV392" s="120"/>
      <c r="NW392" s="120"/>
      <c r="NX392" s="120"/>
      <c r="NY392" s="120"/>
      <c r="NZ392" s="120"/>
      <c r="OA392" s="120"/>
      <c r="OB392" s="120"/>
      <c r="OC392" s="120"/>
      <c r="OD392" s="120"/>
      <c r="OE392" s="120"/>
      <c r="OF392" s="120"/>
      <c r="OG392" s="120"/>
      <c r="OH392" s="120"/>
      <c r="OI392" s="120"/>
      <c r="OJ392" s="120"/>
      <c r="OK392" s="120"/>
      <c r="OL392" s="120"/>
      <c r="OM392" s="120"/>
      <c r="ON392" s="120"/>
      <c r="OO392" s="120"/>
      <c r="OP392" s="120"/>
      <c r="OQ392" s="120"/>
      <c r="OR392" s="120"/>
      <c r="OS392" s="120"/>
      <c r="OT392" s="120"/>
      <c r="OU392" s="120"/>
      <c r="OV392" s="120"/>
      <c r="OW392" s="120"/>
      <c r="OX392" s="120"/>
      <c r="OY392" s="120"/>
      <c r="OZ392" s="120"/>
      <c r="PA392" s="120"/>
      <c r="PB392" s="120"/>
      <c r="PC392" s="120"/>
      <c r="PD392" s="120"/>
      <c r="PE392" s="120"/>
      <c r="PF392" s="120"/>
      <c r="PG392" s="120"/>
      <c r="PH392" s="120"/>
      <c r="PI392" s="120"/>
      <c r="PJ392" s="120"/>
      <c r="PK392" s="120"/>
      <c r="PL392" s="120"/>
      <c r="PM392" s="120"/>
      <c r="PN392" s="120"/>
      <c r="PO392" s="120"/>
      <c r="PP392" s="120"/>
      <c r="PQ392" s="120"/>
      <c r="PR392" s="120"/>
      <c r="PS392" s="120"/>
      <c r="PT392" s="120"/>
      <c r="PU392" s="120"/>
      <c r="PV392" s="120"/>
      <c r="PW392" s="120"/>
      <c r="PX392" s="120"/>
      <c r="PY392" s="120"/>
      <c r="PZ392" s="120"/>
      <c r="QA392" s="120"/>
      <c r="QB392" s="120"/>
      <c r="QC392" s="120"/>
      <c r="QD392" s="120"/>
      <c r="QE392" s="120"/>
      <c r="QF392" s="120"/>
      <c r="QG392" s="120"/>
      <c r="QH392" s="120"/>
      <c r="QI392" s="120"/>
      <c r="QJ392" s="120"/>
      <c r="QK392" s="120"/>
      <c r="QL392" s="120"/>
      <c r="QM392" s="120"/>
      <c r="QN392" s="120"/>
      <c r="QO392" s="120"/>
      <c r="QP392" s="120"/>
      <c r="QQ392" s="120"/>
      <c r="QR392" s="120"/>
      <c r="QS392" s="120"/>
      <c r="QT392" s="120"/>
      <c r="QU392" s="120"/>
      <c r="QV392" s="120"/>
      <c r="QW392" s="120"/>
      <c r="QX392" s="120"/>
      <c r="QY392" s="120"/>
      <c r="QZ392" s="120"/>
      <c r="RA392" s="120"/>
      <c r="RB392" s="120"/>
      <c r="RC392" s="120"/>
      <c r="RD392" s="120"/>
      <c r="RE392" s="120"/>
      <c r="RF392" s="120"/>
      <c r="RG392" s="120"/>
      <c r="RH392" s="120"/>
      <c r="RI392" s="120"/>
      <c r="RJ392" s="120"/>
      <c r="RK392" s="120"/>
      <c r="RL392" s="120"/>
      <c r="RM392" s="120"/>
      <c r="RN392" s="120"/>
      <c r="RO392" s="120"/>
      <c r="RP392" s="120"/>
      <c r="RQ392" s="120"/>
      <c r="RR392" s="120"/>
      <c r="RS392" s="120"/>
      <c r="RT392" s="120"/>
      <c r="RU392" s="120"/>
      <c r="RV392" s="120"/>
      <c r="RW392" s="120"/>
      <c r="RX392" s="120"/>
      <c r="RY392" s="120"/>
      <c r="RZ392" s="120"/>
      <c r="SA392" s="120"/>
      <c r="SB392" s="120"/>
      <c r="SC392" s="120"/>
      <c r="SD392" s="120"/>
      <c r="SE392" s="120"/>
      <c r="SF392" s="120"/>
      <c r="SG392" s="120"/>
      <c r="SH392" s="120"/>
      <c r="SI392" s="120"/>
      <c r="SJ392" s="120"/>
      <c r="SK392" s="120"/>
      <c r="SL392" s="120"/>
      <c r="SM392" s="120"/>
      <c r="SN392" s="120"/>
      <c r="SO392" s="120"/>
      <c r="SP392" s="120"/>
      <c r="SQ392" s="120"/>
      <c r="SR392" s="120"/>
      <c r="SS392" s="120"/>
      <c r="ST392" s="120"/>
      <c r="SU392" s="120"/>
      <c r="SV392" s="120"/>
      <c r="SW392" s="120"/>
      <c r="SX392" s="120"/>
      <c r="SY392" s="120"/>
      <c r="SZ392" s="120"/>
      <c r="TA392" s="120"/>
      <c r="TB392" s="120"/>
      <c r="TC392" s="120"/>
      <c r="TD392" s="120"/>
      <c r="TE392" s="120"/>
      <c r="TF392" s="120"/>
      <c r="TG392" s="120"/>
      <c r="TH392" s="120"/>
      <c r="TI392" s="120"/>
      <c r="TJ392" s="120"/>
      <c r="TK392" s="120"/>
      <c r="TL392" s="120"/>
      <c r="TM392" s="120"/>
      <c r="TN392" s="120"/>
      <c r="TO392" s="120"/>
      <c r="TP392" s="120"/>
      <c r="TQ392" s="120"/>
      <c r="TR392" s="120"/>
      <c r="TS392" s="120"/>
      <c r="TT392" s="120"/>
      <c r="TU392" s="120"/>
      <c r="TV392" s="120"/>
      <c r="TW392" s="120"/>
      <c r="TX392" s="120"/>
      <c r="TY392" s="120"/>
      <c r="TZ392" s="120"/>
      <c r="UA392" s="120"/>
      <c r="UB392" s="120"/>
      <c r="UC392" s="120"/>
      <c r="UD392" s="120"/>
      <c r="UE392" s="120"/>
      <c r="UF392" s="120"/>
      <c r="UG392" s="120"/>
      <c r="UH392" s="120"/>
      <c r="UI392" s="120"/>
      <c r="UJ392" s="120"/>
      <c r="UK392" s="120"/>
      <c r="UL392" s="120"/>
      <c r="UM392" s="120"/>
      <c r="UN392" s="120"/>
      <c r="UO392" s="120"/>
      <c r="UP392" s="120"/>
      <c r="UQ392" s="120"/>
      <c r="UR392" s="120"/>
      <c r="US392" s="120"/>
      <c r="UT392" s="120"/>
      <c r="UU392" s="120"/>
      <c r="UV392" s="120"/>
      <c r="UW392" s="120"/>
      <c r="UX392" s="120"/>
      <c r="UY392" s="120"/>
      <c r="UZ392" s="120"/>
      <c r="VA392" s="120"/>
      <c r="VB392" s="120"/>
      <c r="VC392" s="120"/>
      <c r="VD392" s="120"/>
      <c r="VE392" s="120"/>
      <c r="VF392" s="120"/>
      <c r="VG392" s="120"/>
      <c r="VH392" s="120"/>
      <c r="VI392" s="120"/>
      <c r="VJ392" s="120"/>
      <c r="VK392" s="120"/>
      <c r="VL392" s="120"/>
      <c r="VM392" s="120"/>
      <c r="VN392" s="120"/>
      <c r="VO392" s="120"/>
      <c r="VP392" s="120"/>
      <c r="VQ392" s="120"/>
      <c r="VR392" s="120"/>
      <c r="VS392" s="120"/>
      <c r="VT392" s="120"/>
      <c r="VU392" s="120"/>
      <c r="VV392" s="120"/>
      <c r="VW392" s="120"/>
      <c r="VX392" s="120"/>
      <c r="VY392" s="120"/>
      <c r="VZ392" s="120"/>
      <c r="WA392" s="120"/>
      <c r="WB392" s="120"/>
      <c r="WC392" s="120"/>
      <c r="WD392" s="120"/>
      <c r="WE392" s="120"/>
      <c r="WF392" s="120"/>
      <c r="WG392" s="120"/>
      <c r="WH392" s="120"/>
      <c r="WI392" s="120"/>
      <c r="WJ392" s="120"/>
      <c r="WK392" s="120"/>
      <c r="WL392" s="120"/>
      <c r="WM392" s="120"/>
      <c r="WN392" s="120"/>
      <c r="WO392" s="120"/>
      <c r="WP392" s="120"/>
      <c r="WQ392" s="120"/>
      <c r="WR392" s="120"/>
      <c r="WS392" s="120"/>
      <c r="WT392" s="120"/>
      <c r="WU392" s="120"/>
      <c r="WV392" s="120"/>
      <c r="WW392" s="120"/>
      <c r="WX392" s="120"/>
      <c r="WY392" s="120"/>
      <c r="WZ392" s="120"/>
      <c r="XA392" s="120"/>
      <c r="XB392" s="120"/>
      <c r="XC392" s="120"/>
      <c r="XD392" s="120"/>
      <c r="XE392" s="120"/>
      <c r="XF392" s="120"/>
      <c r="XG392" s="120"/>
      <c r="XH392" s="120"/>
      <c r="XI392" s="120"/>
      <c r="XJ392" s="120"/>
      <c r="XK392" s="120"/>
      <c r="XL392" s="120"/>
      <c r="XM392" s="120"/>
      <c r="XN392" s="120"/>
      <c r="XO392" s="120"/>
      <c r="XP392" s="120"/>
      <c r="XQ392" s="120"/>
      <c r="XR392" s="120"/>
      <c r="XS392" s="120"/>
      <c r="XT392" s="120"/>
      <c r="XU392" s="120"/>
      <c r="XV392" s="120"/>
      <c r="XW392" s="120"/>
      <c r="XX392" s="120"/>
      <c r="XY392" s="120"/>
      <c r="XZ392" s="120"/>
      <c r="YA392" s="120"/>
      <c r="YB392" s="120"/>
      <c r="YC392" s="120"/>
      <c r="YD392" s="120"/>
      <c r="YE392" s="120"/>
      <c r="YF392" s="120"/>
      <c r="YG392" s="120"/>
      <c r="YH392" s="120"/>
      <c r="YI392" s="120"/>
      <c r="YJ392" s="120"/>
      <c r="YK392" s="120"/>
      <c r="YL392" s="120"/>
      <c r="YM392" s="120"/>
      <c r="YN392" s="120"/>
      <c r="YO392" s="120"/>
      <c r="YP392" s="120"/>
      <c r="YQ392" s="120"/>
      <c r="YR392" s="120"/>
      <c r="YS392" s="120"/>
      <c r="YT392" s="120"/>
      <c r="YU392" s="120"/>
      <c r="YV392" s="120"/>
      <c r="YW392" s="120"/>
      <c r="YX392" s="120"/>
      <c r="YY392" s="120"/>
      <c r="YZ392" s="120"/>
      <c r="ZA392" s="120"/>
      <c r="ZB392" s="120"/>
      <c r="ZC392" s="120"/>
      <c r="ZD392" s="120"/>
      <c r="ZE392" s="120"/>
      <c r="ZF392" s="120"/>
      <c r="ZG392" s="120"/>
      <c r="ZH392" s="120"/>
      <c r="ZI392" s="120"/>
      <c r="ZJ392" s="120"/>
      <c r="ZK392" s="120"/>
      <c r="ZL392" s="120"/>
      <c r="ZM392" s="120"/>
      <c r="ZN392" s="120"/>
      <c r="ZO392" s="120"/>
      <c r="ZP392" s="120"/>
      <c r="ZQ392" s="120"/>
      <c r="ZR392" s="120"/>
      <c r="ZS392" s="120"/>
      <c r="ZT392" s="120"/>
      <c r="ZU392" s="120"/>
      <c r="ZV392" s="120"/>
      <c r="ZW392" s="120"/>
      <c r="ZX392" s="120"/>
      <c r="ZY392" s="120"/>
      <c r="ZZ392" s="120"/>
      <c r="AAA392" s="120"/>
      <c r="AAB392" s="120"/>
      <c r="AAC392" s="120"/>
      <c r="AAD392" s="120"/>
      <c r="AAE392" s="120"/>
      <c r="AAF392" s="120"/>
      <c r="AAG392" s="120"/>
      <c r="AAH392" s="120"/>
      <c r="AAI392" s="120"/>
      <c r="AAJ392" s="120"/>
      <c r="AAK392" s="120"/>
      <c r="AAL392" s="120"/>
      <c r="AAM392" s="120"/>
      <c r="AAN392" s="120"/>
      <c r="AAO392" s="120"/>
      <c r="AAP392" s="120"/>
      <c r="AAQ392" s="120"/>
      <c r="AAR392" s="120"/>
      <c r="AAS392" s="120"/>
      <c r="AAT392" s="120"/>
      <c r="AAU392" s="120"/>
      <c r="AAV392" s="120"/>
      <c r="AAW392" s="120"/>
      <c r="AAX392" s="120"/>
      <c r="AAY392" s="120"/>
      <c r="AAZ392" s="120"/>
      <c r="ABA392" s="120"/>
      <c r="ABB392" s="120"/>
      <c r="ABC392" s="120"/>
      <c r="ABD392" s="120"/>
      <c r="ABE392" s="120"/>
      <c r="ABF392" s="120"/>
      <c r="ABG392" s="120"/>
      <c r="ABH392" s="120"/>
      <c r="ABI392" s="120"/>
      <c r="ABJ392" s="120"/>
      <c r="ABK392" s="120"/>
      <c r="ABL392" s="120"/>
      <c r="ABM392" s="120"/>
      <c r="ABN392" s="120"/>
      <c r="ABO392" s="120"/>
      <c r="ABP392" s="120"/>
      <c r="ABQ392" s="120"/>
      <c r="ABR392" s="120"/>
      <c r="ABS392" s="120"/>
      <c r="ABT392" s="120"/>
      <c r="ABU392" s="120"/>
      <c r="ABV392" s="120"/>
      <c r="ABW392" s="120"/>
      <c r="ABX392" s="120"/>
      <c r="ABY392" s="120"/>
      <c r="ABZ392" s="120"/>
      <c r="ACA392" s="120"/>
      <c r="ACB392" s="120"/>
      <c r="ACC392" s="120"/>
      <c r="ACD392" s="120"/>
      <c r="ACE392" s="120"/>
      <c r="ACF392" s="120"/>
      <c r="ACG392" s="120"/>
      <c r="ACH392" s="120"/>
      <c r="ACI392" s="120"/>
      <c r="ACJ392" s="120"/>
      <c r="ACK392" s="120"/>
      <c r="ACL392" s="120"/>
      <c r="ACM392" s="120"/>
      <c r="ACN392" s="120"/>
      <c r="ACO392" s="120"/>
      <c r="ACP392" s="120"/>
      <c r="ACQ392" s="120"/>
      <c r="ACR392" s="120"/>
      <c r="ACS392" s="120"/>
      <c r="ACT392" s="120"/>
      <c r="ACU392" s="120"/>
      <c r="ACV392" s="120"/>
      <c r="ACW392" s="120"/>
      <c r="ACX392" s="120"/>
      <c r="ACY392" s="120"/>
      <c r="ACZ392" s="120"/>
      <c r="ADA392" s="120"/>
      <c r="ADB392" s="120"/>
      <c r="ADC392" s="120"/>
      <c r="ADD392" s="120"/>
      <c r="ADE392" s="120"/>
      <c r="ADF392" s="120"/>
      <c r="ADG392" s="120"/>
      <c r="ADH392" s="120"/>
      <c r="ADI392" s="120"/>
      <c r="ADJ392" s="120"/>
      <c r="ADK392" s="120"/>
      <c r="ADL392" s="120"/>
      <c r="ADM392" s="120"/>
      <c r="ADN392" s="120"/>
      <c r="ADO392" s="120"/>
      <c r="ADP392" s="120"/>
      <c r="ADQ392" s="120"/>
      <c r="ADR392" s="120"/>
      <c r="ADS392" s="120"/>
      <c r="ADT392" s="120"/>
      <c r="ADU392" s="120"/>
      <c r="ADV392" s="120"/>
      <c r="ADW392" s="120"/>
      <c r="ADX392" s="120"/>
      <c r="ADY392" s="120"/>
      <c r="ADZ392" s="120"/>
      <c r="AEA392" s="120"/>
      <c r="AEB392" s="120"/>
      <c r="AEC392" s="120"/>
      <c r="AED392" s="120"/>
      <c r="AEE392" s="120"/>
      <c r="AEF392" s="120"/>
      <c r="AEG392" s="120"/>
      <c r="AEH392" s="120"/>
      <c r="AEI392" s="120"/>
      <c r="AEJ392" s="120"/>
      <c r="AEK392" s="120"/>
      <c r="AEL392" s="120"/>
      <c r="AEM392" s="120"/>
      <c r="AEN392" s="120"/>
      <c r="AEO392" s="120"/>
      <c r="AEP392" s="120"/>
      <c r="AEQ392" s="120"/>
      <c r="AER392" s="120"/>
      <c r="AES392" s="120"/>
      <c r="AET392" s="120"/>
      <c r="AEU392" s="120"/>
      <c r="AEV392" s="120"/>
      <c r="AEW392" s="120"/>
      <c r="AEX392" s="120"/>
      <c r="AEY392" s="120"/>
      <c r="AEZ392" s="120"/>
      <c r="AFA392" s="120"/>
      <c r="AFB392" s="120"/>
      <c r="AFC392" s="120"/>
      <c r="AFD392" s="120"/>
      <c r="AFE392" s="120"/>
      <c r="AFF392" s="120"/>
      <c r="AFG392" s="120"/>
      <c r="AFH392" s="120"/>
      <c r="AFI392" s="120"/>
      <c r="AFJ392" s="120"/>
      <c r="AFK392" s="120"/>
      <c r="AFL392" s="120"/>
      <c r="AFM392" s="120"/>
      <c r="AFN392" s="120"/>
      <c r="AFO392" s="120"/>
      <c r="AFP392" s="120"/>
      <c r="AFQ392" s="120"/>
      <c r="AFR392" s="120"/>
      <c r="AFS392" s="120"/>
      <c r="AFT392" s="120"/>
      <c r="AFU392" s="120"/>
      <c r="AFV392" s="120"/>
      <c r="AFW392" s="120"/>
      <c r="AFX392" s="120"/>
      <c r="AFY392" s="120"/>
      <c r="AFZ392" s="120"/>
      <c r="AGA392" s="120"/>
      <c r="AGB392" s="120"/>
      <c r="AGC392" s="120"/>
      <c r="AGD392" s="120"/>
      <c r="AGE392" s="120"/>
      <c r="AGF392" s="120"/>
      <c r="AGG392" s="120"/>
      <c r="AGH392" s="120"/>
      <c r="AGI392" s="120"/>
      <c r="AGJ392" s="120"/>
      <c r="AGK392" s="120"/>
      <c r="AGL392" s="120"/>
      <c r="AGM392" s="120"/>
      <c r="AGN392" s="120"/>
      <c r="AGO392" s="120"/>
      <c r="AGP392" s="120"/>
      <c r="AGQ392" s="120"/>
      <c r="AGR392" s="120"/>
      <c r="AGS392" s="120"/>
      <c r="AGT392" s="120"/>
      <c r="AGU392" s="120"/>
      <c r="AGV392" s="120"/>
      <c r="AGW392" s="120"/>
      <c r="AGX392" s="120"/>
      <c r="AGY392" s="120"/>
      <c r="AGZ392" s="120"/>
      <c r="AHA392" s="120"/>
      <c r="AHB392" s="120"/>
      <c r="AHC392" s="120"/>
      <c r="AHD392" s="120"/>
      <c r="AHE392" s="120"/>
      <c r="AHF392" s="120"/>
      <c r="AHG392" s="120"/>
      <c r="AHH392" s="120"/>
      <c r="AHI392" s="120"/>
      <c r="AHJ392" s="120"/>
      <c r="AHK392" s="120"/>
      <c r="AHL392" s="120"/>
      <c r="AHM392" s="120"/>
      <c r="AHN392" s="120"/>
      <c r="AHO392" s="120"/>
      <c r="AHP392" s="120"/>
      <c r="AHQ392" s="120"/>
      <c r="AHR392" s="120"/>
      <c r="AHS392" s="120"/>
      <c r="AHT392" s="120"/>
      <c r="AHU392" s="120"/>
      <c r="AHV392" s="120"/>
      <c r="AHW392" s="120"/>
      <c r="AHX392" s="120"/>
      <c r="AHY392" s="120"/>
      <c r="AHZ392" s="120"/>
      <c r="AIA392" s="120"/>
      <c r="AIB392" s="120"/>
      <c r="AIC392" s="120"/>
      <c r="AID392" s="120"/>
      <c r="AIE392" s="120"/>
      <c r="AIF392" s="120"/>
      <c r="AIG392" s="120"/>
      <c r="AIH392" s="120"/>
      <c r="AII392" s="120"/>
      <c r="AIJ392" s="120"/>
      <c r="AIK392" s="120"/>
      <c r="AIL392" s="120"/>
      <c r="AIM392" s="120"/>
      <c r="AIN392" s="120"/>
      <c r="AIO392" s="120"/>
      <c r="AIP392" s="120"/>
      <c r="AIQ392" s="120"/>
      <c r="AIR392" s="120"/>
      <c r="AIS392" s="120"/>
      <c r="AIT392" s="120"/>
      <c r="AIU392" s="120"/>
      <c r="AIV392" s="120"/>
      <c r="AIW392" s="120"/>
      <c r="AIX392" s="120"/>
      <c r="AIY392" s="120"/>
      <c r="AIZ392" s="120"/>
    </row>
    <row r="393">
      <c r="A393" s="112" t="s">
        <v>38</v>
      </c>
      <c r="B393" s="112" t="s">
        <v>57</v>
      </c>
      <c r="C393" s="112"/>
      <c r="D393" s="113">
        <f t="shared" si="1"/>
        <v>668.21315</v>
      </c>
      <c r="E393" s="112">
        <v>39.8170833333333</v>
      </c>
      <c r="F393" s="113"/>
      <c r="G393" s="113"/>
      <c r="H393" s="113"/>
      <c r="I393" s="113"/>
      <c r="J393" s="113"/>
      <c r="K393" s="113"/>
      <c r="L393" s="112">
        <v>0.56815</v>
      </c>
      <c r="M393" s="112">
        <v>10.12765</v>
      </c>
      <c r="N393" s="113"/>
      <c r="O393" s="113"/>
      <c r="P393" s="112">
        <v>63.4782666666667</v>
      </c>
      <c r="Q393" s="113"/>
      <c r="R393" s="113"/>
      <c r="S393" s="113"/>
      <c r="T393" s="113"/>
      <c r="U393" s="113"/>
      <c r="V393" s="112">
        <v>0.737833333333333</v>
      </c>
      <c r="W393" s="112">
        <v>142.894766666667</v>
      </c>
      <c r="X393" s="113"/>
      <c r="Y393" s="113"/>
      <c r="Z393" s="113"/>
      <c r="AA393" s="113"/>
      <c r="AB393" s="113"/>
      <c r="AC393" s="112">
        <v>2.0088</v>
      </c>
      <c r="AD393" s="112">
        <v>218.57955</v>
      </c>
      <c r="AE393" s="113"/>
      <c r="AF393" s="113"/>
      <c r="AG393" s="113"/>
      <c r="AH393" s="113"/>
      <c r="AI393" s="113"/>
      <c r="AJ393" s="112">
        <v>3.71565</v>
      </c>
      <c r="AK393" s="112">
        <v>73.3387</v>
      </c>
      <c r="AL393" s="113"/>
      <c r="AM393" s="113"/>
      <c r="AN393" s="113"/>
      <c r="AO393" s="112">
        <v>5.1868</v>
      </c>
      <c r="AP393" s="112">
        <v>11.8946833333333</v>
      </c>
      <c r="AQ393" s="113"/>
      <c r="AR393" s="113"/>
      <c r="AS393" s="112">
        <v>4.57688333333333</v>
      </c>
      <c r="AT393" s="112">
        <v>86.3405</v>
      </c>
      <c r="AU393" s="113"/>
      <c r="AV393" s="112">
        <v>4.2555</v>
      </c>
      <c r="AW393" s="112">
        <v>0.692333333333333</v>
      </c>
      <c r="AX393" s="113"/>
      <c r="AY393" s="113"/>
      <c r="AZ393" s="113"/>
      <c r="BA393" s="113"/>
      <c r="BB393" s="113"/>
      <c r="BC393" s="113"/>
      <c r="BD393" s="113"/>
      <c r="BE393" s="113"/>
      <c r="BF393" s="113"/>
      <c r="BG393" s="113"/>
      <c r="BH393" s="113"/>
      <c r="BI393" s="113"/>
      <c r="BJ393" s="113"/>
      <c r="BK393" s="113"/>
      <c r="BL393" s="113"/>
      <c r="BM393" s="113"/>
      <c r="BN393" s="113"/>
      <c r="BO393" s="113"/>
      <c r="BP393" s="113"/>
      <c r="BQ393" s="113"/>
      <c r="BR393" s="113"/>
      <c r="BS393" s="113"/>
      <c r="BT393" s="113"/>
      <c r="BU393" s="113"/>
      <c r="BV393" s="113"/>
      <c r="BW393" s="113"/>
      <c r="BX393" s="113"/>
      <c r="BY393" s="113"/>
      <c r="BZ393" s="113"/>
      <c r="CA393" s="113"/>
      <c r="CB393" s="113"/>
      <c r="CC393" s="113"/>
      <c r="CD393" s="113"/>
      <c r="CE393" s="113"/>
      <c r="CF393" s="113"/>
      <c r="CG393" s="113"/>
      <c r="CH393" s="113"/>
      <c r="CI393" s="113"/>
      <c r="CJ393" s="113"/>
      <c r="CK393" s="113"/>
      <c r="CL393" s="113"/>
      <c r="CM393" s="113"/>
      <c r="CN393" s="113"/>
      <c r="CO393" s="113"/>
      <c r="CP393" s="113"/>
      <c r="CQ393" s="113"/>
      <c r="CR393" s="113"/>
      <c r="CS393" s="113"/>
      <c r="CT393" s="113"/>
      <c r="CU393" s="113"/>
      <c r="CV393" s="113"/>
      <c r="CW393" s="113"/>
      <c r="CX393" s="113"/>
      <c r="CY393" s="113"/>
      <c r="CZ393" s="113"/>
      <c r="DA393" s="113"/>
      <c r="DB393" s="113"/>
      <c r="DC393" s="113"/>
      <c r="DD393" s="113"/>
      <c r="DE393" s="113"/>
      <c r="DF393" s="113"/>
      <c r="DG393" s="113"/>
      <c r="DH393" s="113"/>
      <c r="DI393" s="113"/>
      <c r="DJ393" s="113"/>
      <c r="DK393" s="113"/>
      <c r="DL393" s="113"/>
      <c r="DM393" s="113"/>
      <c r="DN393" s="113"/>
      <c r="DO393" s="113"/>
      <c r="DP393" s="113"/>
      <c r="DQ393" s="113"/>
      <c r="DR393" s="113"/>
      <c r="DS393" s="113"/>
      <c r="DT393" s="113"/>
      <c r="DU393" s="113"/>
      <c r="DV393" s="113"/>
      <c r="DW393" s="113"/>
      <c r="DX393" s="113"/>
      <c r="DY393" s="113"/>
      <c r="DZ393" s="113"/>
      <c r="EA393" s="113"/>
      <c r="EB393" s="113"/>
      <c r="EC393" s="113"/>
      <c r="ED393" s="113"/>
      <c r="EE393" s="113"/>
      <c r="EF393" s="113"/>
      <c r="EG393" s="113"/>
      <c r="EH393" s="113"/>
      <c r="EI393" s="113"/>
      <c r="EJ393" s="113"/>
      <c r="EK393" s="113"/>
      <c r="EL393" s="113"/>
      <c r="EM393" s="113"/>
      <c r="EN393" s="113"/>
      <c r="EO393" s="113"/>
      <c r="EP393" s="113"/>
      <c r="EQ393" s="113"/>
      <c r="ER393" s="113"/>
      <c r="ES393" s="113"/>
      <c r="ET393" s="113"/>
      <c r="EU393" s="113"/>
      <c r="EV393" s="113"/>
      <c r="EW393" s="113"/>
      <c r="EX393" s="113"/>
      <c r="EY393" s="113"/>
      <c r="EZ393" s="113"/>
      <c r="FA393" s="113"/>
      <c r="FB393" s="113"/>
      <c r="FC393" s="113"/>
      <c r="FD393" s="113"/>
      <c r="FE393" s="113"/>
      <c r="FF393" s="113"/>
      <c r="FG393" s="113"/>
      <c r="FH393" s="113"/>
      <c r="FI393" s="113"/>
      <c r="FJ393" s="113"/>
      <c r="FK393" s="113"/>
      <c r="FL393" s="113"/>
      <c r="FM393" s="113"/>
      <c r="FN393" s="113"/>
      <c r="FO393" s="113"/>
      <c r="FP393" s="113"/>
      <c r="FQ393" s="113"/>
      <c r="FR393" s="113"/>
      <c r="FS393" s="113"/>
      <c r="FT393" s="113"/>
      <c r="FU393" s="113"/>
      <c r="FV393" s="113"/>
      <c r="FW393" s="113"/>
      <c r="FX393" s="113"/>
      <c r="FY393" s="113"/>
      <c r="FZ393" s="113"/>
      <c r="GA393" s="113"/>
      <c r="GB393" s="113"/>
      <c r="GC393" s="113"/>
      <c r="GD393" s="113"/>
      <c r="GE393" s="113"/>
      <c r="GF393" s="113"/>
      <c r="GG393" s="113"/>
      <c r="GH393" s="113"/>
      <c r="GI393" s="113"/>
      <c r="GJ393" s="113"/>
      <c r="GK393" s="113"/>
      <c r="GL393" s="113"/>
      <c r="GM393" s="113"/>
      <c r="GN393" s="113"/>
      <c r="GO393" s="113"/>
      <c r="GP393" s="113"/>
      <c r="GQ393" s="113"/>
      <c r="GR393" s="113"/>
      <c r="GS393" s="113"/>
      <c r="GT393" s="113"/>
      <c r="GU393" s="113"/>
      <c r="GV393" s="113"/>
      <c r="GW393" s="113"/>
      <c r="GX393" s="113"/>
      <c r="GY393" s="113"/>
      <c r="GZ393" s="113"/>
      <c r="HA393" s="113"/>
      <c r="HB393" s="113"/>
      <c r="HC393" s="113"/>
      <c r="HD393" s="113"/>
      <c r="HE393" s="113"/>
      <c r="HF393" s="113"/>
      <c r="HG393" s="113"/>
      <c r="HH393" s="113"/>
      <c r="HI393" s="113"/>
      <c r="HJ393" s="113"/>
      <c r="HK393" s="113"/>
      <c r="HL393" s="113"/>
      <c r="HM393" s="113"/>
      <c r="HN393" s="113"/>
      <c r="HO393" s="113"/>
      <c r="HP393" s="113"/>
      <c r="HQ393" s="113"/>
      <c r="HR393" s="113"/>
      <c r="HS393" s="113"/>
      <c r="HT393" s="113"/>
      <c r="HU393" s="113"/>
      <c r="HV393" s="113"/>
      <c r="HW393" s="113"/>
      <c r="HX393" s="113"/>
      <c r="HY393" s="113"/>
      <c r="HZ393" s="113"/>
      <c r="IA393" s="113"/>
      <c r="IB393" s="113"/>
      <c r="IC393" s="113"/>
      <c r="ID393" s="113"/>
      <c r="IE393" s="113"/>
      <c r="IF393" s="113"/>
      <c r="IG393" s="113"/>
      <c r="IH393" s="113"/>
      <c r="II393" s="113"/>
      <c r="IJ393" s="113"/>
      <c r="IK393" s="113"/>
      <c r="IL393" s="113"/>
      <c r="IM393" s="113"/>
      <c r="IN393" s="113"/>
      <c r="IO393" s="113"/>
      <c r="IP393" s="113"/>
      <c r="IQ393" s="113"/>
      <c r="IR393" s="113"/>
      <c r="IS393" s="113"/>
      <c r="IT393" s="113"/>
      <c r="IU393" s="113"/>
      <c r="IV393" s="113"/>
      <c r="IW393" s="113"/>
      <c r="IX393" s="113"/>
      <c r="IY393" s="113"/>
      <c r="IZ393" s="113"/>
      <c r="JA393" s="113"/>
      <c r="JB393" s="113"/>
      <c r="JC393" s="113"/>
      <c r="JD393" s="113"/>
      <c r="JE393" s="113"/>
      <c r="JF393" s="113"/>
      <c r="JG393" s="113"/>
      <c r="JH393" s="113"/>
      <c r="JI393" s="113"/>
      <c r="JJ393" s="113"/>
      <c r="JK393" s="113"/>
      <c r="JL393" s="113"/>
      <c r="JM393" s="113"/>
      <c r="JN393" s="113"/>
      <c r="JO393" s="113"/>
      <c r="JP393" s="113"/>
      <c r="JQ393" s="113"/>
      <c r="JR393" s="113"/>
      <c r="JS393" s="113"/>
      <c r="JT393" s="113"/>
      <c r="JU393" s="113"/>
      <c r="JV393" s="113"/>
      <c r="JW393" s="113"/>
      <c r="JX393" s="113"/>
      <c r="JY393" s="113"/>
      <c r="JZ393" s="113"/>
      <c r="KA393" s="113"/>
      <c r="KB393" s="113"/>
      <c r="KC393" s="113"/>
      <c r="KD393" s="113"/>
      <c r="KE393" s="113"/>
      <c r="KF393" s="113"/>
      <c r="KG393" s="113"/>
      <c r="KH393" s="113"/>
      <c r="KI393" s="113"/>
      <c r="KJ393" s="113"/>
      <c r="KK393" s="113"/>
      <c r="KL393" s="113"/>
      <c r="KM393" s="113"/>
      <c r="KN393" s="113"/>
      <c r="KO393" s="113"/>
      <c r="KP393" s="113"/>
      <c r="KQ393" s="113"/>
      <c r="KR393" s="113"/>
      <c r="KS393" s="113"/>
      <c r="KT393" s="113"/>
      <c r="KU393" s="113"/>
      <c r="KV393" s="113"/>
      <c r="KW393" s="113"/>
      <c r="KX393" s="113"/>
      <c r="KY393" s="113"/>
      <c r="KZ393" s="113"/>
      <c r="LA393" s="113"/>
      <c r="LB393" s="113"/>
      <c r="LC393" s="113"/>
      <c r="LD393" s="113"/>
      <c r="LE393" s="113"/>
      <c r="LF393" s="113"/>
      <c r="LG393" s="113"/>
      <c r="LH393" s="113"/>
      <c r="LI393" s="113"/>
      <c r="LJ393" s="113"/>
      <c r="LK393" s="113"/>
      <c r="LL393" s="113"/>
      <c r="LM393" s="113"/>
      <c r="LN393" s="113"/>
      <c r="LO393" s="113"/>
      <c r="LP393" s="113"/>
      <c r="LQ393" s="113"/>
      <c r="LR393" s="113"/>
      <c r="LS393" s="113"/>
      <c r="LT393" s="113"/>
      <c r="LU393" s="113"/>
      <c r="LV393" s="113"/>
      <c r="LW393" s="113"/>
      <c r="LX393" s="113"/>
      <c r="LY393" s="113"/>
      <c r="LZ393" s="113"/>
      <c r="MA393" s="113"/>
      <c r="MB393" s="113"/>
      <c r="MC393" s="113"/>
      <c r="MD393" s="113"/>
      <c r="ME393" s="113"/>
      <c r="MF393" s="113"/>
      <c r="MG393" s="113"/>
      <c r="MH393" s="113"/>
      <c r="MI393" s="113"/>
      <c r="MJ393" s="113"/>
      <c r="MK393" s="113"/>
      <c r="ML393" s="113"/>
      <c r="MM393" s="113"/>
      <c r="MN393" s="113"/>
      <c r="MO393" s="113"/>
      <c r="MP393" s="113"/>
      <c r="MQ393" s="113"/>
      <c r="MR393" s="113"/>
      <c r="MS393" s="113"/>
      <c r="MT393" s="113"/>
      <c r="MU393" s="113"/>
      <c r="MV393" s="113"/>
      <c r="MW393" s="113"/>
      <c r="MX393" s="113"/>
      <c r="MY393" s="113"/>
      <c r="MZ393" s="113"/>
      <c r="NA393" s="113"/>
      <c r="NB393" s="113"/>
      <c r="NC393" s="113"/>
      <c r="ND393" s="113"/>
      <c r="NE393" s="113"/>
      <c r="NF393" s="113"/>
      <c r="NG393" s="113"/>
      <c r="NH393" s="113"/>
      <c r="NI393" s="113"/>
      <c r="NJ393" s="113"/>
      <c r="NK393" s="113"/>
      <c r="NL393" s="113"/>
      <c r="NM393" s="113"/>
      <c r="NN393" s="113"/>
      <c r="NO393" s="113"/>
      <c r="NP393" s="113"/>
      <c r="NQ393" s="113"/>
      <c r="NR393" s="113"/>
      <c r="NS393" s="113"/>
      <c r="NT393" s="113"/>
      <c r="NU393" s="113"/>
      <c r="NV393" s="113"/>
      <c r="NW393" s="113"/>
      <c r="NX393" s="113"/>
      <c r="NY393" s="113"/>
      <c r="NZ393" s="113"/>
      <c r="OA393" s="113"/>
      <c r="OB393" s="113"/>
      <c r="OC393" s="113"/>
      <c r="OD393" s="113"/>
      <c r="OE393" s="113"/>
      <c r="OF393" s="113"/>
      <c r="OG393" s="113"/>
      <c r="OH393" s="113"/>
      <c r="OI393" s="113"/>
      <c r="OJ393" s="113"/>
      <c r="OK393" s="113"/>
      <c r="OL393" s="113"/>
      <c r="OM393" s="113"/>
      <c r="ON393" s="113"/>
      <c r="OO393" s="113"/>
      <c r="OP393" s="113"/>
      <c r="OQ393" s="113"/>
      <c r="OR393" s="113"/>
      <c r="OS393" s="113"/>
      <c r="OT393" s="113"/>
      <c r="OU393" s="113"/>
      <c r="OV393" s="113"/>
      <c r="OW393" s="113"/>
      <c r="OX393" s="113"/>
      <c r="OY393" s="113"/>
      <c r="OZ393" s="113"/>
      <c r="PA393" s="113"/>
      <c r="PB393" s="113"/>
      <c r="PC393" s="113"/>
      <c r="PD393" s="113"/>
      <c r="PE393" s="113"/>
      <c r="PF393" s="113"/>
      <c r="PG393" s="113"/>
      <c r="PH393" s="113"/>
      <c r="PI393" s="113"/>
      <c r="PJ393" s="113"/>
      <c r="PK393" s="113"/>
      <c r="PL393" s="113"/>
      <c r="PM393" s="113"/>
      <c r="PN393" s="113"/>
      <c r="PO393" s="113"/>
      <c r="PP393" s="113"/>
      <c r="PQ393" s="113"/>
      <c r="PR393" s="113"/>
      <c r="PS393" s="113"/>
      <c r="PT393" s="113"/>
      <c r="PU393" s="113"/>
      <c r="PV393" s="113"/>
      <c r="PW393" s="113"/>
      <c r="PX393" s="113"/>
      <c r="PY393" s="113"/>
      <c r="PZ393" s="113"/>
      <c r="QA393" s="113"/>
      <c r="QB393" s="113"/>
      <c r="QC393" s="113"/>
      <c r="QD393" s="113"/>
      <c r="QE393" s="113"/>
      <c r="QF393" s="113"/>
      <c r="QG393" s="113"/>
      <c r="QH393" s="113"/>
      <c r="QI393" s="113"/>
      <c r="QJ393" s="113"/>
      <c r="QK393" s="113"/>
      <c r="QL393" s="113"/>
      <c r="QM393" s="113"/>
      <c r="QN393" s="113"/>
      <c r="QO393" s="113"/>
      <c r="QP393" s="113"/>
      <c r="QQ393" s="113"/>
      <c r="QR393" s="113"/>
      <c r="QS393" s="113"/>
      <c r="QT393" s="113"/>
      <c r="QU393" s="113"/>
      <c r="QV393" s="113"/>
      <c r="QW393" s="113"/>
      <c r="QX393" s="113"/>
      <c r="QY393" s="113"/>
      <c r="QZ393" s="113"/>
      <c r="RA393" s="113"/>
      <c r="RB393" s="113"/>
      <c r="RC393" s="113"/>
      <c r="RD393" s="113"/>
      <c r="RE393" s="113"/>
      <c r="RF393" s="113"/>
      <c r="RG393" s="113"/>
      <c r="RH393" s="113"/>
      <c r="RI393" s="113"/>
      <c r="RJ393" s="113"/>
      <c r="RK393" s="113"/>
      <c r="RL393" s="113"/>
      <c r="RM393" s="113"/>
      <c r="RN393" s="113"/>
      <c r="RO393" s="113"/>
      <c r="RP393" s="113"/>
      <c r="RQ393" s="113"/>
      <c r="RR393" s="113"/>
      <c r="RS393" s="113"/>
      <c r="RT393" s="113"/>
      <c r="RU393" s="113"/>
      <c r="RV393" s="113"/>
      <c r="RW393" s="113"/>
      <c r="RX393" s="113"/>
      <c r="RY393" s="113"/>
      <c r="RZ393" s="113"/>
      <c r="SA393" s="113"/>
      <c r="SB393" s="113"/>
      <c r="SC393" s="113"/>
      <c r="SD393" s="113"/>
      <c r="SE393" s="113"/>
      <c r="SF393" s="113"/>
      <c r="SG393" s="113"/>
      <c r="SH393" s="113"/>
      <c r="SI393" s="113"/>
      <c r="SJ393" s="113"/>
      <c r="SK393" s="113"/>
      <c r="SL393" s="113"/>
      <c r="SM393" s="113"/>
      <c r="SN393" s="113"/>
      <c r="SO393" s="113"/>
      <c r="SP393" s="113"/>
      <c r="SQ393" s="113"/>
      <c r="SR393" s="113"/>
      <c r="SS393" s="113"/>
      <c r="ST393" s="113"/>
      <c r="SU393" s="113"/>
      <c r="SV393" s="113"/>
      <c r="SW393" s="113"/>
      <c r="SX393" s="113"/>
      <c r="SY393" s="113"/>
      <c r="SZ393" s="113"/>
      <c r="TA393" s="113"/>
      <c r="TB393" s="113"/>
      <c r="TC393" s="113"/>
      <c r="TD393" s="113"/>
      <c r="TE393" s="113"/>
      <c r="TF393" s="113"/>
      <c r="TG393" s="113"/>
      <c r="TH393" s="113"/>
      <c r="TI393" s="113"/>
      <c r="TJ393" s="113"/>
      <c r="TK393" s="113"/>
      <c r="TL393" s="113"/>
      <c r="TM393" s="113"/>
      <c r="TN393" s="113"/>
      <c r="TO393" s="113"/>
      <c r="TP393" s="113"/>
      <c r="TQ393" s="113"/>
      <c r="TR393" s="113"/>
      <c r="TS393" s="113"/>
      <c r="TT393" s="113"/>
      <c r="TU393" s="113"/>
      <c r="TV393" s="113"/>
      <c r="TW393" s="113"/>
      <c r="TX393" s="113"/>
      <c r="TY393" s="113"/>
      <c r="TZ393" s="113"/>
      <c r="UA393" s="113"/>
      <c r="UB393" s="113"/>
      <c r="UC393" s="113"/>
      <c r="UD393" s="113"/>
      <c r="UE393" s="113"/>
      <c r="UF393" s="113"/>
      <c r="UG393" s="113"/>
      <c r="UH393" s="113"/>
      <c r="UI393" s="113"/>
      <c r="UJ393" s="113"/>
      <c r="UK393" s="113"/>
      <c r="UL393" s="113"/>
      <c r="UM393" s="113"/>
      <c r="UN393" s="113"/>
      <c r="UO393" s="113"/>
      <c r="UP393" s="113"/>
      <c r="UQ393" s="113"/>
      <c r="UR393" s="113"/>
      <c r="US393" s="113"/>
      <c r="UT393" s="113"/>
      <c r="UU393" s="113"/>
      <c r="UV393" s="113"/>
      <c r="UW393" s="113"/>
      <c r="UX393" s="113"/>
      <c r="UY393" s="113"/>
      <c r="UZ393" s="113"/>
      <c r="VA393" s="113"/>
      <c r="VB393" s="113"/>
      <c r="VC393" s="113"/>
      <c r="VD393" s="113"/>
      <c r="VE393" s="113"/>
      <c r="VF393" s="113"/>
      <c r="VG393" s="113"/>
      <c r="VH393" s="113"/>
      <c r="VI393" s="113"/>
      <c r="VJ393" s="113"/>
      <c r="VK393" s="113"/>
      <c r="VL393" s="113"/>
      <c r="VM393" s="113"/>
      <c r="VN393" s="113"/>
      <c r="VO393" s="113"/>
      <c r="VP393" s="113"/>
      <c r="VQ393" s="113"/>
      <c r="VR393" s="113"/>
      <c r="VS393" s="113"/>
      <c r="VT393" s="113"/>
      <c r="VU393" s="113"/>
      <c r="VV393" s="113"/>
      <c r="VW393" s="113"/>
      <c r="VX393" s="113"/>
      <c r="VY393" s="113"/>
      <c r="VZ393" s="113"/>
      <c r="WA393" s="113"/>
      <c r="WB393" s="113"/>
      <c r="WC393" s="113"/>
      <c r="WD393" s="113"/>
      <c r="WE393" s="113"/>
      <c r="WF393" s="113"/>
      <c r="WG393" s="113"/>
      <c r="WH393" s="113"/>
      <c r="WI393" s="113"/>
      <c r="WJ393" s="113"/>
      <c r="WK393" s="113"/>
      <c r="WL393" s="113"/>
      <c r="WM393" s="113"/>
      <c r="WN393" s="113"/>
      <c r="WO393" s="113"/>
      <c r="WP393" s="113"/>
      <c r="WQ393" s="113"/>
      <c r="WR393" s="113"/>
      <c r="WS393" s="113"/>
      <c r="WT393" s="113"/>
      <c r="WU393" s="113"/>
      <c r="WV393" s="113"/>
      <c r="WW393" s="113"/>
      <c r="WX393" s="113"/>
      <c r="WY393" s="113"/>
      <c r="WZ393" s="113"/>
      <c r="XA393" s="113"/>
      <c r="XB393" s="113"/>
      <c r="XC393" s="113"/>
      <c r="XD393" s="113"/>
      <c r="XE393" s="113"/>
      <c r="XF393" s="113"/>
      <c r="XG393" s="113"/>
      <c r="XH393" s="113"/>
      <c r="XI393" s="113"/>
      <c r="XJ393" s="113"/>
      <c r="XK393" s="113"/>
      <c r="XL393" s="113"/>
      <c r="XM393" s="113"/>
      <c r="XN393" s="113"/>
      <c r="XO393" s="113"/>
      <c r="XP393" s="113"/>
      <c r="XQ393" s="113"/>
      <c r="XR393" s="113"/>
      <c r="XS393" s="113"/>
      <c r="XT393" s="113"/>
      <c r="XU393" s="113"/>
      <c r="XV393" s="113"/>
      <c r="XW393" s="113"/>
      <c r="XX393" s="113"/>
      <c r="XY393" s="113"/>
      <c r="XZ393" s="113"/>
      <c r="YA393" s="113"/>
      <c r="YB393" s="113"/>
      <c r="YC393" s="113"/>
      <c r="YD393" s="113"/>
      <c r="YE393" s="113"/>
      <c r="YF393" s="113"/>
      <c r="YG393" s="113"/>
      <c r="YH393" s="113"/>
      <c r="YI393" s="113"/>
      <c r="YJ393" s="113"/>
      <c r="YK393" s="113"/>
      <c r="YL393" s="113"/>
      <c r="YM393" s="113"/>
      <c r="YN393" s="113"/>
      <c r="YO393" s="113"/>
      <c r="YP393" s="113"/>
      <c r="YQ393" s="113"/>
      <c r="YR393" s="113"/>
      <c r="YS393" s="113"/>
      <c r="YT393" s="113"/>
      <c r="YU393" s="113"/>
      <c r="YV393" s="113"/>
      <c r="YW393" s="113"/>
      <c r="YX393" s="113"/>
      <c r="YY393" s="113"/>
      <c r="YZ393" s="113"/>
      <c r="ZA393" s="113"/>
      <c r="ZB393" s="113"/>
      <c r="ZC393" s="113"/>
      <c r="ZD393" s="113"/>
      <c r="ZE393" s="113"/>
      <c r="ZF393" s="113"/>
      <c r="ZG393" s="113"/>
      <c r="ZH393" s="113"/>
      <c r="ZI393" s="113"/>
      <c r="ZJ393" s="113"/>
      <c r="ZK393" s="113"/>
      <c r="ZL393" s="113"/>
      <c r="ZM393" s="113"/>
      <c r="ZN393" s="113"/>
      <c r="ZO393" s="113"/>
      <c r="ZP393" s="113"/>
      <c r="ZQ393" s="113"/>
      <c r="ZR393" s="113"/>
      <c r="ZS393" s="113"/>
      <c r="ZT393" s="113"/>
      <c r="ZU393" s="113"/>
      <c r="ZV393" s="113"/>
      <c r="ZW393" s="113"/>
      <c r="ZX393" s="113"/>
      <c r="ZY393" s="113"/>
      <c r="ZZ393" s="113"/>
      <c r="AAA393" s="113"/>
      <c r="AAB393" s="113"/>
      <c r="AAC393" s="113"/>
      <c r="AAD393" s="113"/>
      <c r="AAE393" s="113"/>
      <c r="AAF393" s="113"/>
      <c r="AAG393" s="113"/>
      <c r="AAH393" s="113"/>
      <c r="AAI393" s="113"/>
      <c r="AAJ393" s="113"/>
      <c r="AAK393" s="113"/>
      <c r="AAL393" s="113"/>
      <c r="AAM393" s="113"/>
      <c r="AAN393" s="113"/>
      <c r="AAO393" s="113"/>
      <c r="AAP393" s="113"/>
      <c r="AAQ393" s="113"/>
      <c r="AAR393" s="113"/>
      <c r="AAS393" s="113"/>
      <c r="AAT393" s="113"/>
      <c r="AAU393" s="113"/>
      <c r="AAV393" s="113"/>
      <c r="AAW393" s="113"/>
      <c r="AAX393" s="113"/>
      <c r="AAY393" s="113"/>
      <c r="AAZ393" s="113"/>
      <c r="ABA393" s="113"/>
      <c r="ABB393" s="113"/>
      <c r="ABC393" s="113"/>
      <c r="ABD393" s="113"/>
      <c r="ABE393" s="113"/>
      <c r="ABF393" s="113"/>
      <c r="ABG393" s="113"/>
      <c r="ABH393" s="113"/>
      <c r="ABI393" s="113"/>
      <c r="ABJ393" s="113"/>
      <c r="ABK393" s="113"/>
      <c r="ABL393" s="113"/>
      <c r="ABM393" s="113"/>
      <c r="ABN393" s="113"/>
      <c r="ABO393" s="113"/>
      <c r="ABP393" s="113"/>
      <c r="ABQ393" s="113"/>
      <c r="ABR393" s="113"/>
      <c r="ABS393" s="113"/>
      <c r="ABT393" s="113"/>
      <c r="ABU393" s="113"/>
      <c r="ABV393" s="113"/>
      <c r="ABW393" s="113"/>
      <c r="ABX393" s="113"/>
      <c r="ABY393" s="113"/>
      <c r="ABZ393" s="113"/>
      <c r="ACA393" s="113"/>
      <c r="ACB393" s="113"/>
      <c r="ACC393" s="113"/>
      <c r="ACD393" s="113"/>
      <c r="ACE393" s="113"/>
      <c r="ACF393" s="113"/>
      <c r="ACG393" s="113"/>
      <c r="ACH393" s="113"/>
      <c r="ACI393" s="113"/>
      <c r="ACJ393" s="113"/>
      <c r="ACK393" s="113"/>
      <c r="ACL393" s="113"/>
      <c r="ACM393" s="113"/>
      <c r="ACN393" s="113"/>
      <c r="ACO393" s="113"/>
      <c r="ACP393" s="113"/>
      <c r="ACQ393" s="113"/>
      <c r="ACR393" s="113"/>
      <c r="ACS393" s="113"/>
      <c r="ACT393" s="113"/>
      <c r="ACU393" s="113"/>
      <c r="ACV393" s="113"/>
      <c r="ACW393" s="113"/>
      <c r="ACX393" s="113"/>
      <c r="ACY393" s="113"/>
      <c r="ACZ393" s="113"/>
      <c r="ADA393" s="113"/>
      <c r="ADB393" s="113"/>
      <c r="ADC393" s="113"/>
      <c r="ADD393" s="113"/>
      <c r="ADE393" s="113"/>
      <c r="ADF393" s="113"/>
      <c r="ADG393" s="113"/>
      <c r="ADH393" s="113"/>
      <c r="ADI393" s="113"/>
      <c r="ADJ393" s="113"/>
      <c r="ADK393" s="113"/>
      <c r="ADL393" s="113"/>
      <c r="ADM393" s="113"/>
      <c r="ADN393" s="113"/>
      <c r="ADO393" s="113"/>
      <c r="ADP393" s="113"/>
      <c r="ADQ393" s="113"/>
      <c r="ADR393" s="113"/>
      <c r="ADS393" s="113"/>
      <c r="ADT393" s="113"/>
      <c r="ADU393" s="113"/>
      <c r="ADV393" s="113"/>
      <c r="ADW393" s="113"/>
      <c r="ADX393" s="113"/>
      <c r="ADY393" s="113"/>
      <c r="ADZ393" s="113"/>
      <c r="AEA393" s="113"/>
      <c r="AEB393" s="113"/>
      <c r="AEC393" s="113"/>
      <c r="AED393" s="113"/>
      <c r="AEE393" s="113"/>
      <c r="AEF393" s="113"/>
      <c r="AEG393" s="113"/>
      <c r="AEH393" s="113"/>
      <c r="AEI393" s="113"/>
      <c r="AEJ393" s="113"/>
      <c r="AEK393" s="113"/>
      <c r="AEL393" s="113"/>
      <c r="AEM393" s="113"/>
      <c r="AEN393" s="113"/>
      <c r="AEO393" s="113"/>
      <c r="AEP393" s="113"/>
      <c r="AEQ393" s="113"/>
      <c r="AER393" s="113"/>
      <c r="AES393" s="113"/>
      <c r="AET393" s="113"/>
      <c r="AEU393" s="113"/>
      <c r="AEV393" s="113"/>
      <c r="AEW393" s="113"/>
      <c r="AEX393" s="113"/>
      <c r="AEY393" s="113"/>
      <c r="AEZ393" s="113"/>
      <c r="AFA393" s="113"/>
      <c r="AFB393" s="113"/>
      <c r="AFC393" s="113"/>
      <c r="AFD393" s="113"/>
      <c r="AFE393" s="113"/>
      <c r="AFF393" s="113"/>
      <c r="AFG393" s="113"/>
      <c r="AFH393" s="113"/>
      <c r="AFI393" s="113"/>
      <c r="AFJ393" s="113"/>
      <c r="AFK393" s="113"/>
      <c r="AFL393" s="113"/>
      <c r="AFM393" s="113"/>
      <c r="AFN393" s="113"/>
      <c r="AFO393" s="113"/>
      <c r="AFP393" s="113"/>
      <c r="AFQ393" s="113"/>
      <c r="AFR393" s="113"/>
      <c r="AFS393" s="113"/>
      <c r="AFT393" s="113"/>
      <c r="AFU393" s="113"/>
      <c r="AFV393" s="113"/>
      <c r="AFW393" s="113"/>
      <c r="AFX393" s="113"/>
      <c r="AFY393" s="113"/>
      <c r="AFZ393" s="113"/>
      <c r="AGA393" s="113"/>
      <c r="AGB393" s="113"/>
      <c r="AGC393" s="113"/>
      <c r="AGD393" s="113"/>
      <c r="AGE393" s="113"/>
      <c r="AGF393" s="113"/>
      <c r="AGG393" s="113"/>
      <c r="AGH393" s="113"/>
      <c r="AGI393" s="113"/>
      <c r="AGJ393" s="113"/>
      <c r="AGK393" s="113"/>
      <c r="AGL393" s="113"/>
      <c r="AGM393" s="113"/>
      <c r="AGN393" s="113"/>
      <c r="AGO393" s="113"/>
      <c r="AGP393" s="113"/>
      <c r="AGQ393" s="113"/>
      <c r="AGR393" s="113"/>
      <c r="AGS393" s="113"/>
      <c r="AGT393" s="113"/>
      <c r="AGU393" s="113"/>
      <c r="AGV393" s="113"/>
      <c r="AGW393" s="113"/>
      <c r="AGX393" s="113"/>
      <c r="AGY393" s="113"/>
      <c r="AGZ393" s="113"/>
      <c r="AHA393" s="113"/>
      <c r="AHB393" s="113"/>
      <c r="AHC393" s="113"/>
      <c r="AHD393" s="113"/>
      <c r="AHE393" s="113"/>
      <c r="AHF393" s="113"/>
      <c r="AHG393" s="113"/>
      <c r="AHH393" s="113"/>
      <c r="AHI393" s="113"/>
      <c r="AHJ393" s="113"/>
      <c r="AHK393" s="113"/>
      <c r="AHL393" s="113"/>
      <c r="AHM393" s="113"/>
      <c r="AHN393" s="113"/>
      <c r="AHO393" s="113"/>
      <c r="AHP393" s="113"/>
      <c r="AHQ393" s="113"/>
      <c r="AHR393" s="113"/>
      <c r="AHS393" s="113"/>
      <c r="AHT393" s="113"/>
      <c r="AHU393" s="113"/>
      <c r="AHV393" s="113"/>
      <c r="AHW393" s="113"/>
      <c r="AHX393" s="113"/>
      <c r="AHY393" s="113"/>
      <c r="AHZ393" s="113"/>
      <c r="AIA393" s="113"/>
      <c r="AIB393" s="113"/>
      <c r="AIC393" s="113"/>
      <c r="AID393" s="113"/>
      <c r="AIE393" s="113"/>
      <c r="AIF393" s="113"/>
      <c r="AIG393" s="113"/>
      <c r="AIH393" s="113"/>
      <c r="AII393" s="113"/>
      <c r="AIJ393" s="113"/>
      <c r="AIK393" s="113"/>
      <c r="AIL393" s="113"/>
      <c r="AIM393" s="113"/>
      <c r="AIN393" s="113"/>
      <c r="AIO393" s="113"/>
      <c r="AIP393" s="113"/>
      <c r="AIQ393" s="113"/>
      <c r="AIR393" s="113"/>
      <c r="AIS393" s="113"/>
      <c r="AIT393" s="113"/>
      <c r="AIU393" s="113"/>
      <c r="AIV393" s="113"/>
      <c r="AIW393" s="113"/>
      <c r="AIX393" s="113"/>
      <c r="AIY393" s="113"/>
      <c r="AIZ393" s="113"/>
    </row>
    <row r="394">
      <c r="A394" s="65" t="s">
        <v>38</v>
      </c>
      <c r="B394" s="65" t="s">
        <v>57</v>
      </c>
      <c r="C394" s="65"/>
      <c r="D394" s="64">
        <f t="shared" si="1"/>
        <v>606.95685</v>
      </c>
      <c r="F394" s="65">
        <v>22.4450166666667</v>
      </c>
      <c r="G394" s="65">
        <v>2.72083333333333</v>
      </c>
      <c r="H394" s="65">
        <v>2.39768333333333</v>
      </c>
      <c r="I394" s="65">
        <v>1.31205</v>
      </c>
      <c r="J394" s="65">
        <v>4.72513333333333</v>
      </c>
      <c r="K394" s="65">
        <v>4.13448333333333</v>
      </c>
      <c r="N394" s="65">
        <v>7.97886666666667</v>
      </c>
      <c r="Q394" s="65">
        <v>26.9213666666666</v>
      </c>
      <c r="R394" s="65">
        <v>7.17261666666667</v>
      </c>
      <c r="S394" s="65">
        <v>2.57921666666667</v>
      </c>
      <c r="T394" s="65">
        <v>8.8512</v>
      </c>
      <c r="U394" s="65">
        <v>14.5375166666667</v>
      </c>
      <c r="X394" s="65">
        <v>43.8278833333333</v>
      </c>
      <c r="Y394" s="65">
        <v>54.9759333333333</v>
      </c>
      <c r="Z394" s="65">
        <v>10.9847166666667</v>
      </c>
      <c r="AA394" s="65">
        <v>4.91516666666667</v>
      </c>
      <c r="AB394" s="65">
        <v>24.69635</v>
      </c>
      <c r="AE394" s="65">
        <v>31.0042333333333</v>
      </c>
      <c r="AF394" s="65">
        <v>154.006566666667</v>
      </c>
      <c r="AG394" s="65">
        <v>18.7200833333333</v>
      </c>
      <c r="AH394" s="65">
        <v>3.73653333333333</v>
      </c>
      <c r="AI394" s="65">
        <v>9.95383333333333</v>
      </c>
      <c r="AL394" s="65">
        <v>23.5709333333333</v>
      </c>
      <c r="AM394" s="65">
        <v>11.28075</v>
      </c>
      <c r="AN394" s="65">
        <v>17.1577333333333</v>
      </c>
      <c r="AQ394" s="65">
        <v>5.0336</v>
      </c>
      <c r="AR394" s="65">
        <v>3.57026666666667</v>
      </c>
      <c r="AU394" s="65">
        <v>83.7462833333334</v>
      </c>
    </row>
    <row r="395">
      <c r="A395" s="65" t="s">
        <v>38</v>
      </c>
      <c r="B395" s="65" t="s">
        <v>57</v>
      </c>
      <c r="C395" s="65"/>
      <c r="D395" s="64">
        <f t="shared" si="1"/>
        <v>0</v>
      </c>
    </row>
    <row r="396">
      <c r="A396" s="65" t="s">
        <v>38</v>
      </c>
      <c r="B396" s="65" t="s">
        <v>57</v>
      </c>
      <c r="C396" s="65"/>
      <c r="D396" s="64">
        <f t="shared" si="1"/>
        <v>587.5234</v>
      </c>
      <c r="F396" s="118">
        <f>HYPERLINK("https://docs.google.com/spreadsheets/d/1ui6_XKUC4ociedmORHyQfEytNgYF0hJN", 21.7807333333333)</f>
        <v>21.78073333</v>
      </c>
      <c r="G396" s="118">
        <f>HYPERLINK("https://docs.google.com/spreadsheets/d/1sOPzeU1zccmNwM1dTFa0u_FjiikaJ1ZE", 2.72083333333333)</f>
        <v>2.720833333</v>
      </c>
      <c r="H396" s="118">
        <f>HYPERLINK("https://docs.google.com/spreadsheets/d/1fuE8H2teSZONyCSsv8BxKy6wBWE65AL8", 2.39768333333333)</f>
        <v>2.397683333</v>
      </c>
      <c r="I396" s="118">
        <f>HYPERLINK("https://docs.google.com/spreadsheets/d/1D59NV6ulkH0ekqfocsEPwno0LCc04RcP", 1.20891666666667)</f>
        <v>1.208916667</v>
      </c>
      <c r="J396" s="118">
        <f>HYPERLINK("https://docs.google.com/spreadsheets/d/1A-FodHA6HopLUIB9WNDh_dWbGvxSQDL0", 2.98675)</f>
        <v>2.98675</v>
      </c>
      <c r="K396" s="118">
        <f>HYPERLINK("https://docs.google.com/spreadsheets/d/1h7lzONN5vX-hdIvqLbOk9vbu9Hl9nYae", 4.13448333333333)</f>
        <v>4.134483333</v>
      </c>
      <c r="N396" s="118">
        <f>HYPERLINK("https://docs.google.com/spreadsheets/d/1RzzaJxAT_9jJp4SDPKL6zjwNGstixuYB", 7.97885)</f>
        <v>7.97885</v>
      </c>
      <c r="Q396" s="118">
        <f>HYPERLINK("https://docs.google.com/spreadsheets/d/1V1o5whzeRWS3SzQLBQ35u0_xaGwGtuWT", 24.1443833333333)</f>
        <v>24.14438333</v>
      </c>
      <c r="R396" s="118">
        <f>HYPERLINK("https://docs.google.com/spreadsheets/d/1qk_4jnOXetLjKq8THyXJyIp2YpIQ9tYy", 7.17261666666667)</f>
        <v>7.172616667</v>
      </c>
      <c r="S396" s="118">
        <f>HYPERLINK("https://docs.google.com/spreadsheets/d/1Lv0fTjEeX8f3CCU3I34hu7k5HP0GBsCZ", 2.57921666666667)</f>
        <v>2.579216667</v>
      </c>
      <c r="T396" s="118">
        <f>HYPERLINK("https://docs.google.com/spreadsheets/d/1g0POrPELjpIZ2uoRb6Vwtg0RPM1sKkTn", 6.48695)</f>
        <v>6.48695</v>
      </c>
      <c r="U396" s="118">
        <f>HYPERLINK("https://docs.google.com/spreadsheets/d/1OuqUO99plXAMur3bzXMgEC1M-apjZ2Gj", 14.3778)</f>
        <v>14.3778</v>
      </c>
      <c r="X396" s="118">
        <f>HYPERLINK("https://docs.google.com/spreadsheets/d/1iiaToX-FyNtLuwzEicC2UU6F17B2u5bN", 43.0817333333334)</f>
        <v>43.08173333</v>
      </c>
      <c r="Y396" s="118">
        <f>HYPERLINK("https://docs.google.com/spreadsheets/d/1oejiiOk0UDTMXRg55hquKRes3ALquDe9", 54.8672)</f>
        <v>54.8672</v>
      </c>
      <c r="Z396" s="118">
        <f>HYPERLINK("https://docs.google.com/spreadsheets/d/1BEDvIbcG9drpDS3u_SiupJfa6US3Kn-o", 10.9847)</f>
        <v>10.9847</v>
      </c>
      <c r="AA396" s="118">
        <f>HYPERLINK("https://docs.google.com/spreadsheets/d/1cNG5jYkTl-fjJA0AEwAz1SgVBiAsDatr", 4.08445)</f>
        <v>4.08445</v>
      </c>
      <c r="AB396" s="118">
        <f>HYPERLINK("https://docs.google.com/spreadsheets/d/1R_zGEC_3M0K4BkGE2XTIyBhs9YgIH91o", 24.5803)</f>
        <v>24.5803</v>
      </c>
      <c r="AE396" s="118">
        <f>HYPERLINK("https://docs.google.com/spreadsheets/d/1YBvIPpxLzR0So0-DiKpOEI_pAs5G8dtH", 31.0041)</f>
        <v>31.0041</v>
      </c>
      <c r="AF396" s="118">
        <f>HYPERLINK("https://docs.google.com/spreadsheets/d/1fVbCBitrLBEA7NT8nus4aqym2xOJUKPh", 149.357016666667)</f>
        <v>149.3570167</v>
      </c>
      <c r="AG396" s="118">
        <f>HYPERLINK("https://docs.google.com/spreadsheets/d/1looNS9sqPZSI86pMkhH8_8pC-HSLljk7", 18.58745)</f>
        <v>18.58745</v>
      </c>
      <c r="AH396" s="118">
        <f>HYPERLINK("https://docs.google.com/spreadsheets/d/1RJpgLUAHt3zLfoRQUZNToVJv_ecuaAwF", 3.73651666666667)</f>
        <v>3.736516667</v>
      </c>
      <c r="AI396" s="118">
        <f>HYPERLINK("https://docs.google.com/spreadsheets/d/14GVlcpEsrc0vYh5awSDJKNl9SS5cNsa6", 9.95381666666667)</f>
        <v>9.953816667</v>
      </c>
      <c r="AL396" s="118">
        <f>HYPERLINK("https://docs.google.com/spreadsheets/d/1VNaHGLTXGOsoGa5o6SOizA5JtMKqXsZh", 20.1214833333333)</f>
        <v>20.12148333</v>
      </c>
      <c r="AM396" s="118">
        <f>HYPERLINK("https://docs.google.com/spreadsheets/d/1V6xehqwRJMb7IpOVLWM0rzkKHdGiaI5e", 10.2850833333333)</f>
        <v>10.28508333</v>
      </c>
      <c r="AN396" s="118">
        <f>HYPERLINK("https://docs.google.com/spreadsheets/d/1MkUatmfW_aU4FheE6XJM6AnwYj12l00w", 17.1577333333333)</f>
        <v>17.15773333</v>
      </c>
      <c r="AQ396" s="118">
        <f>HYPERLINK("https://docs.google.com/spreadsheets/d/1q2pe04jwNFOj41vqk3Fj7icqz6a39yHz", 4.53051666666667)</f>
        <v>4.530516667</v>
      </c>
      <c r="AR396" s="118">
        <f>HYPERLINK("https://docs.google.com/spreadsheets/d/17mwLUsY60jspWD2lCNXjpRAtdLiKOaW9", 3.57026666666667)</f>
        <v>3.570266667</v>
      </c>
      <c r="AU396" s="118">
        <f>HYPERLINK("https://docs.google.com/spreadsheets/d/1mNLtmrdtvCwrDPrzTZaiatDe0kH7vGIl", 83.6518166666667)</f>
        <v>83.65181667</v>
      </c>
    </row>
    <row r="397">
      <c r="A397" s="65" t="s">
        <v>38</v>
      </c>
      <c r="B397" s="65" t="s">
        <v>57</v>
      </c>
      <c r="C397" s="65"/>
      <c r="D397" s="64">
        <f t="shared" si="1"/>
        <v>379.559</v>
      </c>
      <c r="F397" s="65">
        <v>18.63625</v>
      </c>
      <c r="G397" s="65">
        <v>0.741033333333333</v>
      </c>
      <c r="H397" s="65">
        <v>0.889983333333333</v>
      </c>
      <c r="I397" s="65">
        <v>0.396016666666667</v>
      </c>
      <c r="J397" s="65">
        <v>0.62335</v>
      </c>
      <c r="K397" s="65">
        <v>3.65845</v>
      </c>
      <c r="N397" s="65">
        <v>4.21145</v>
      </c>
      <c r="Q397" s="65">
        <v>15.6439</v>
      </c>
      <c r="R397" s="65">
        <v>2.9523</v>
      </c>
      <c r="S397" s="65">
        <v>1.0387</v>
      </c>
      <c r="T397" s="65">
        <v>2.74468333333333</v>
      </c>
      <c r="U397" s="65">
        <v>10.5903</v>
      </c>
      <c r="X397" s="65">
        <v>22.07875</v>
      </c>
      <c r="Y397" s="65">
        <v>28.0902333333333</v>
      </c>
      <c r="Z397" s="65">
        <v>4.10468333333333</v>
      </c>
      <c r="AA397" s="65">
        <v>1.74515</v>
      </c>
      <c r="AB397" s="65">
        <v>17.6823</v>
      </c>
      <c r="AE397" s="65">
        <v>16.5441</v>
      </c>
      <c r="AF397" s="65">
        <v>98.7659666666667</v>
      </c>
      <c r="AG397" s="65">
        <v>5.81761666666667</v>
      </c>
      <c r="AH397" s="65">
        <v>0.965316666666667</v>
      </c>
      <c r="AI397" s="65">
        <v>8.0732</v>
      </c>
      <c r="AL397" s="65">
        <v>12.2879166666667</v>
      </c>
      <c r="AM397" s="65">
        <v>3.62985</v>
      </c>
      <c r="AN397" s="65">
        <v>13.5734833333333</v>
      </c>
      <c r="AQ397" s="65">
        <v>3.3378</v>
      </c>
      <c r="AR397" s="65">
        <v>3.57026666666667</v>
      </c>
      <c r="AU397" s="65">
        <v>77.1659500000001</v>
      </c>
    </row>
    <row r="398">
      <c r="A398" s="119" t="s">
        <v>38</v>
      </c>
      <c r="B398" s="119" t="s">
        <v>57</v>
      </c>
      <c r="C398" s="119"/>
      <c r="D398" s="120">
        <f t="shared" si="1"/>
        <v>0</v>
      </c>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c r="AA398" s="120"/>
      <c r="AB398" s="120"/>
      <c r="AC398" s="120"/>
      <c r="AD398" s="120"/>
      <c r="AE398" s="120"/>
      <c r="AF398" s="120"/>
      <c r="AG398" s="120"/>
      <c r="AH398" s="120"/>
      <c r="AI398" s="120"/>
      <c r="AJ398" s="120"/>
      <c r="AK398" s="120"/>
      <c r="AL398" s="120"/>
      <c r="AM398" s="120"/>
      <c r="AN398" s="120"/>
      <c r="AO398" s="120"/>
      <c r="AP398" s="120"/>
      <c r="AQ398" s="120"/>
      <c r="AR398" s="120"/>
      <c r="AS398" s="120"/>
      <c r="AT398" s="120"/>
      <c r="AU398" s="120"/>
      <c r="AV398" s="120"/>
      <c r="AW398" s="120"/>
      <c r="AX398" s="120"/>
      <c r="AY398" s="120"/>
      <c r="AZ398" s="120"/>
      <c r="BA398" s="120"/>
      <c r="BB398" s="120"/>
      <c r="BC398" s="120"/>
      <c r="BD398" s="120"/>
      <c r="BE398" s="120"/>
      <c r="BF398" s="120"/>
      <c r="BG398" s="120"/>
      <c r="BH398" s="120"/>
      <c r="BI398" s="120"/>
      <c r="BJ398" s="120"/>
      <c r="BK398" s="120"/>
      <c r="BL398" s="120"/>
      <c r="BM398" s="120"/>
      <c r="BN398" s="120"/>
      <c r="BO398" s="120"/>
      <c r="BP398" s="120"/>
      <c r="BQ398" s="120"/>
      <c r="BR398" s="120"/>
      <c r="BS398" s="120"/>
      <c r="BT398" s="120"/>
      <c r="BU398" s="120"/>
      <c r="BV398" s="120"/>
      <c r="BW398" s="120"/>
      <c r="BX398" s="120"/>
      <c r="BY398" s="120"/>
      <c r="BZ398" s="120"/>
      <c r="CA398" s="120"/>
      <c r="CB398" s="120"/>
      <c r="CC398" s="120"/>
      <c r="CD398" s="120"/>
      <c r="CE398" s="120"/>
      <c r="CF398" s="120"/>
      <c r="CG398" s="120"/>
      <c r="CH398" s="120"/>
      <c r="CI398" s="120"/>
      <c r="CJ398" s="120"/>
      <c r="CK398" s="120"/>
      <c r="CL398" s="120"/>
      <c r="CM398" s="120"/>
      <c r="CN398" s="120"/>
      <c r="CO398" s="120"/>
      <c r="CP398" s="120"/>
      <c r="CQ398" s="120"/>
      <c r="CR398" s="120"/>
      <c r="CS398" s="120"/>
      <c r="CT398" s="120"/>
      <c r="CU398" s="120"/>
      <c r="CV398" s="120"/>
      <c r="CW398" s="120"/>
      <c r="CX398" s="120"/>
      <c r="CY398" s="120"/>
      <c r="CZ398" s="120"/>
      <c r="DA398" s="120"/>
      <c r="DB398" s="120"/>
      <c r="DC398" s="120"/>
      <c r="DD398" s="120"/>
      <c r="DE398" s="120"/>
      <c r="DF398" s="120"/>
      <c r="DG398" s="120"/>
      <c r="DH398" s="120"/>
      <c r="DI398" s="120"/>
      <c r="DJ398" s="120"/>
      <c r="DK398" s="120"/>
      <c r="DL398" s="120"/>
      <c r="DM398" s="120"/>
      <c r="DN398" s="120"/>
      <c r="DO398" s="120"/>
      <c r="DP398" s="120"/>
      <c r="DQ398" s="120"/>
      <c r="DR398" s="120"/>
      <c r="DS398" s="120"/>
      <c r="DT398" s="120"/>
      <c r="DU398" s="120"/>
      <c r="DV398" s="120"/>
      <c r="DW398" s="120"/>
      <c r="DX398" s="120"/>
      <c r="DY398" s="120"/>
      <c r="DZ398" s="120"/>
      <c r="EA398" s="120"/>
      <c r="EB398" s="120"/>
      <c r="EC398" s="120"/>
      <c r="ED398" s="120"/>
      <c r="EE398" s="120"/>
      <c r="EF398" s="120"/>
      <c r="EG398" s="120"/>
      <c r="EH398" s="120"/>
      <c r="EI398" s="120"/>
      <c r="EJ398" s="120"/>
      <c r="EK398" s="120"/>
      <c r="EL398" s="120"/>
      <c r="EM398" s="120"/>
      <c r="EN398" s="120"/>
      <c r="EO398" s="120"/>
      <c r="EP398" s="120"/>
      <c r="EQ398" s="120"/>
      <c r="ER398" s="120"/>
      <c r="ES398" s="120"/>
      <c r="ET398" s="120"/>
      <c r="EU398" s="120"/>
      <c r="EV398" s="120"/>
      <c r="EW398" s="120"/>
      <c r="EX398" s="120"/>
      <c r="EY398" s="120"/>
      <c r="EZ398" s="120"/>
      <c r="FA398" s="120"/>
      <c r="FB398" s="120"/>
      <c r="FC398" s="120"/>
      <c r="FD398" s="120"/>
      <c r="FE398" s="120"/>
      <c r="FF398" s="120"/>
      <c r="FG398" s="120"/>
      <c r="FH398" s="120"/>
      <c r="FI398" s="120"/>
      <c r="FJ398" s="120"/>
      <c r="FK398" s="120"/>
      <c r="FL398" s="120"/>
      <c r="FM398" s="120"/>
      <c r="FN398" s="120"/>
      <c r="FO398" s="120"/>
      <c r="FP398" s="120"/>
      <c r="FQ398" s="120"/>
      <c r="FR398" s="120"/>
      <c r="FS398" s="120"/>
      <c r="FT398" s="120"/>
      <c r="FU398" s="120"/>
      <c r="FV398" s="120"/>
      <c r="FW398" s="120"/>
      <c r="FX398" s="120"/>
      <c r="FY398" s="120"/>
      <c r="FZ398" s="120"/>
      <c r="GA398" s="120"/>
      <c r="GB398" s="120"/>
      <c r="GC398" s="120"/>
      <c r="GD398" s="120"/>
      <c r="GE398" s="120"/>
      <c r="GF398" s="120"/>
      <c r="GG398" s="120"/>
      <c r="GH398" s="120"/>
      <c r="GI398" s="120"/>
      <c r="GJ398" s="120"/>
      <c r="GK398" s="120"/>
      <c r="GL398" s="120"/>
      <c r="GM398" s="120"/>
      <c r="GN398" s="120"/>
      <c r="GO398" s="120"/>
      <c r="GP398" s="120"/>
      <c r="GQ398" s="120"/>
      <c r="GR398" s="120"/>
      <c r="GS398" s="120"/>
      <c r="GT398" s="120"/>
      <c r="GU398" s="120"/>
      <c r="GV398" s="120"/>
      <c r="GW398" s="120"/>
      <c r="GX398" s="120"/>
      <c r="GY398" s="120"/>
      <c r="GZ398" s="120"/>
      <c r="HA398" s="120"/>
      <c r="HB398" s="120"/>
      <c r="HC398" s="120"/>
      <c r="HD398" s="120"/>
      <c r="HE398" s="120"/>
      <c r="HF398" s="120"/>
      <c r="HG398" s="120"/>
      <c r="HH398" s="120"/>
      <c r="HI398" s="120"/>
      <c r="HJ398" s="120"/>
      <c r="HK398" s="120"/>
      <c r="HL398" s="120"/>
      <c r="HM398" s="120"/>
      <c r="HN398" s="120"/>
      <c r="HO398" s="120"/>
      <c r="HP398" s="120"/>
      <c r="HQ398" s="120"/>
      <c r="HR398" s="120"/>
      <c r="HS398" s="120"/>
      <c r="HT398" s="120"/>
      <c r="HU398" s="120"/>
      <c r="HV398" s="120"/>
      <c r="HW398" s="120"/>
      <c r="HX398" s="120"/>
      <c r="HY398" s="120"/>
      <c r="HZ398" s="120"/>
      <c r="IA398" s="120"/>
      <c r="IB398" s="120"/>
      <c r="IC398" s="120"/>
      <c r="ID398" s="120"/>
      <c r="IE398" s="120"/>
      <c r="IF398" s="120"/>
      <c r="IG398" s="120"/>
      <c r="IH398" s="120"/>
      <c r="II398" s="120"/>
      <c r="IJ398" s="120"/>
      <c r="IK398" s="120"/>
      <c r="IL398" s="120"/>
      <c r="IM398" s="120"/>
      <c r="IN398" s="120"/>
      <c r="IO398" s="120"/>
      <c r="IP398" s="120"/>
      <c r="IQ398" s="120"/>
      <c r="IR398" s="120"/>
      <c r="IS398" s="120"/>
      <c r="IT398" s="120"/>
      <c r="IU398" s="120"/>
      <c r="IV398" s="120"/>
      <c r="IW398" s="120"/>
      <c r="IX398" s="120"/>
      <c r="IY398" s="120"/>
      <c r="IZ398" s="120"/>
      <c r="JA398" s="120"/>
      <c r="JB398" s="120"/>
      <c r="JC398" s="120"/>
      <c r="JD398" s="120"/>
      <c r="JE398" s="120"/>
      <c r="JF398" s="120"/>
      <c r="JG398" s="120"/>
      <c r="JH398" s="120"/>
      <c r="JI398" s="120"/>
      <c r="JJ398" s="120"/>
      <c r="JK398" s="120"/>
      <c r="JL398" s="120"/>
      <c r="JM398" s="120"/>
      <c r="JN398" s="120"/>
      <c r="JO398" s="120"/>
      <c r="JP398" s="120"/>
      <c r="JQ398" s="120"/>
      <c r="JR398" s="120"/>
      <c r="JS398" s="120"/>
      <c r="JT398" s="120"/>
      <c r="JU398" s="120"/>
      <c r="JV398" s="120"/>
      <c r="JW398" s="120"/>
      <c r="JX398" s="120"/>
      <c r="JY398" s="120"/>
      <c r="JZ398" s="120"/>
      <c r="KA398" s="120"/>
      <c r="KB398" s="120"/>
      <c r="KC398" s="120"/>
      <c r="KD398" s="120"/>
      <c r="KE398" s="120"/>
      <c r="KF398" s="120"/>
      <c r="KG398" s="120"/>
      <c r="KH398" s="120"/>
      <c r="KI398" s="120"/>
      <c r="KJ398" s="120"/>
      <c r="KK398" s="120"/>
      <c r="KL398" s="120"/>
      <c r="KM398" s="120"/>
      <c r="KN398" s="120"/>
      <c r="KO398" s="120"/>
      <c r="KP398" s="120"/>
      <c r="KQ398" s="120"/>
      <c r="KR398" s="120"/>
      <c r="KS398" s="120"/>
      <c r="KT398" s="120"/>
      <c r="KU398" s="120"/>
      <c r="KV398" s="120"/>
      <c r="KW398" s="120"/>
      <c r="KX398" s="120"/>
      <c r="KY398" s="120"/>
      <c r="KZ398" s="120"/>
      <c r="LA398" s="120"/>
      <c r="LB398" s="120"/>
      <c r="LC398" s="120"/>
      <c r="LD398" s="120"/>
      <c r="LE398" s="120"/>
      <c r="LF398" s="120"/>
      <c r="LG398" s="120"/>
      <c r="LH398" s="120"/>
      <c r="LI398" s="120"/>
      <c r="LJ398" s="120"/>
      <c r="LK398" s="120"/>
      <c r="LL398" s="120"/>
      <c r="LM398" s="120"/>
      <c r="LN398" s="120"/>
      <c r="LO398" s="120"/>
      <c r="LP398" s="120"/>
      <c r="LQ398" s="120"/>
      <c r="LR398" s="120"/>
      <c r="LS398" s="120"/>
      <c r="LT398" s="120"/>
      <c r="LU398" s="120"/>
      <c r="LV398" s="120"/>
      <c r="LW398" s="120"/>
      <c r="LX398" s="120"/>
      <c r="LY398" s="120"/>
      <c r="LZ398" s="120"/>
      <c r="MA398" s="120"/>
      <c r="MB398" s="120"/>
      <c r="MC398" s="120"/>
      <c r="MD398" s="120"/>
      <c r="ME398" s="120"/>
      <c r="MF398" s="120"/>
      <c r="MG398" s="120"/>
      <c r="MH398" s="120"/>
      <c r="MI398" s="120"/>
      <c r="MJ398" s="120"/>
      <c r="MK398" s="120"/>
      <c r="ML398" s="120"/>
      <c r="MM398" s="120"/>
      <c r="MN398" s="120"/>
      <c r="MO398" s="120"/>
      <c r="MP398" s="120"/>
      <c r="MQ398" s="120"/>
      <c r="MR398" s="120"/>
      <c r="MS398" s="120"/>
      <c r="MT398" s="120"/>
      <c r="MU398" s="120"/>
      <c r="MV398" s="120"/>
      <c r="MW398" s="120"/>
      <c r="MX398" s="120"/>
      <c r="MY398" s="120"/>
      <c r="MZ398" s="120"/>
      <c r="NA398" s="120"/>
      <c r="NB398" s="120"/>
      <c r="NC398" s="120"/>
      <c r="ND398" s="120"/>
      <c r="NE398" s="120"/>
      <c r="NF398" s="120"/>
      <c r="NG398" s="120"/>
      <c r="NH398" s="120"/>
      <c r="NI398" s="120"/>
      <c r="NJ398" s="120"/>
      <c r="NK398" s="120"/>
      <c r="NL398" s="120"/>
      <c r="NM398" s="120"/>
      <c r="NN398" s="120"/>
      <c r="NO398" s="120"/>
      <c r="NP398" s="120"/>
      <c r="NQ398" s="120"/>
      <c r="NR398" s="120"/>
      <c r="NS398" s="120"/>
      <c r="NT398" s="120"/>
      <c r="NU398" s="120"/>
      <c r="NV398" s="120"/>
      <c r="NW398" s="120"/>
      <c r="NX398" s="120"/>
      <c r="NY398" s="120"/>
      <c r="NZ398" s="120"/>
      <c r="OA398" s="120"/>
      <c r="OB398" s="120"/>
      <c r="OC398" s="120"/>
      <c r="OD398" s="120"/>
      <c r="OE398" s="120"/>
      <c r="OF398" s="120"/>
      <c r="OG398" s="120"/>
      <c r="OH398" s="120"/>
      <c r="OI398" s="120"/>
      <c r="OJ398" s="120"/>
      <c r="OK398" s="120"/>
      <c r="OL398" s="120"/>
      <c r="OM398" s="120"/>
      <c r="ON398" s="120"/>
      <c r="OO398" s="120"/>
      <c r="OP398" s="120"/>
      <c r="OQ398" s="120"/>
      <c r="OR398" s="120"/>
      <c r="OS398" s="120"/>
      <c r="OT398" s="120"/>
      <c r="OU398" s="120"/>
      <c r="OV398" s="120"/>
      <c r="OW398" s="120"/>
      <c r="OX398" s="120"/>
      <c r="OY398" s="120"/>
      <c r="OZ398" s="120"/>
      <c r="PA398" s="120"/>
      <c r="PB398" s="120"/>
      <c r="PC398" s="120"/>
      <c r="PD398" s="120"/>
      <c r="PE398" s="120"/>
      <c r="PF398" s="120"/>
      <c r="PG398" s="120"/>
      <c r="PH398" s="120"/>
      <c r="PI398" s="120"/>
      <c r="PJ398" s="120"/>
      <c r="PK398" s="120"/>
      <c r="PL398" s="120"/>
      <c r="PM398" s="120"/>
      <c r="PN398" s="120"/>
      <c r="PO398" s="120"/>
      <c r="PP398" s="120"/>
      <c r="PQ398" s="120"/>
      <c r="PR398" s="120"/>
      <c r="PS398" s="120"/>
      <c r="PT398" s="120"/>
      <c r="PU398" s="120"/>
      <c r="PV398" s="120"/>
      <c r="PW398" s="120"/>
      <c r="PX398" s="120"/>
      <c r="PY398" s="120"/>
      <c r="PZ398" s="120"/>
      <c r="QA398" s="120"/>
      <c r="QB398" s="120"/>
      <c r="QC398" s="120"/>
      <c r="QD398" s="120"/>
      <c r="QE398" s="120"/>
      <c r="QF398" s="120"/>
      <c r="QG398" s="120"/>
      <c r="QH398" s="120"/>
      <c r="QI398" s="120"/>
      <c r="QJ398" s="120"/>
      <c r="QK398" s="120"/>
      <c r="QL398" s="120"/>
      <c r="QM398" s="120"/>
      <c r="QN398" s="120"/>
      <c r="QO398" s="120"/>
      <c r="QP398" s="120"/>
      <c r="QQ398" s="120"/>
      <c r="QR398" s="120"/>
      <c r="QS398" s="120"/>
      <c r="QT398" s="120"/>
      <c r="QU398" s="120"/>
      <c r="QV398" s="120"/>
      <c r="QW398" s="120"/>
      <c r="QX398" s="120"/>
      <c r="QY398" s="120"/>
      <c r="QZ398" s="120"/>
      <c r="RA398" s="120"/>
      <c r="RB398" s="120"/>
      <c r="RC398" s="120"/>
      <c r="RD398" s="120"/>
      <c r="RE398" s="120"/>
      <c r="RF398" s="120"/>
      <c r="RG398" s="120"/>
      <c r="RH398" s="120"/>
      <c r="RI398" s="120"/>
      <c r="RJ398" s="120"/>
      <c r="RK398" s="120"/>
      <c r="RL398" s="120"/>
      <c r="RM398" s="120"/>
      <c r="RN398" s="120"/>
      <c r="RO398" s="120"/>
      <c r="RP398" s="120"/>
      <c r="RQ398" s="120"/>
      <c r="RR398" s="120"/>
      <c r="RS398" s="120"/>
      <c r="RT398" s="120"/>
      <c r="RU398" s="120"/>
      <c r="RV398" s="120"/>
      <c r="RW398" s="120"/>
      <c r="RX398" s="120"/>
      <c r="RY398" s="120"/>
      <c r="RZ398" s="120"/>
      <c r="SA398" s="120"/>
      <c r="SB398" s="120"/>
      <c r="SC398" s="120"/>
      <c r="SD398" s="120"/>
      <c r="SE398" s="120"/>
      <c r="SF398" s="120"/>
      <c r="SG398" s="120"/>
      <c r="SH398" s="120"/>
      <c r="SI398" s="120"/>
      <c r="SJ398" s="120"/>
      <c r="SK398" s="120"/>
      <c r="SL398" s="120"/>
      <c r="SM398" s="120"/>
      <c r="SN398" s="120"/>
      <c r="SO398" s="120"/>
      <c r="SP398" s="120"/>
      <c r="SQ398" s="120"/>
      <c r="SR398" s="120"/>
      <c r="SS398" s="120"/>
      <c r="ST398" s="120"/>
      <c r="SU398" s="120"/>
      <c r="SV398" s="120"/>
      <c r="SW398" s="120"/>
      <c r="SX398" s="120"/>
      <c r="SY398" s="120"/>
      <c r="SZ398" s="120"/>
      <c r="TA398" s="120"/>
      <c r="TB398" s="120"/>
      <c r="TC398" s="120"/>
      <c r="TD398" s="120"/>
      <c r="TE398" s="120"/>
      <c r="TF398" s="120"/>
      <c r="TG398" s="120"/>
      <c r="TH398" s="120"/>
      <c r="TI398" s="120"/>
      <c r="TJ398" s="120"/>
      <c r="TK398" s="120"/>
      <c r="TL398" s="120"/>
      <c r="TM398" s="120"/>
      <c r="TN398" s="120"/>
      <c r="TO398" s="120"/>
      <c r="TP398" s="120"/>
      <c r="TQ398" s="120"/>
      <c r="TR398" s="120"/>
      <c r="TS398" s="120"/>
      <c r="TT398" s="120"/>
      <c r="TU398" s="120"/>
      <c r="TV398" s="120"/>
      <c r="TW398" s="120"/>
      <c r="TX398" s="120"/>
      <c r="TY398" s="120"/>
      <c r="TZ398" s="120"/>
      <c r="UA398" s="120"/>
      <c r="UB398" s="120"/>
      <c r="UC398" s="120"/>
      <c r="UD398" s="120"/>
      <c r="UE398" s="120"/>
      <c r="UF398" s="120"/>
      <c r="UG398" s="120"/>
      <c r="UH398" s="120"/>
      <c r="UI398" s="120"/>
      <c r="UJ398" s="120"/>
      <c r="UK398" s="120"/>
      <c r="UL398" s="120"/>
      <c r="UM398" s="120"/>
      <c r="UN398" s="120"/>
      <c r="UO398" s="120"/>
      <c r="UP398" s="120"/>
      <c r="UQ398" s="120"/>
      <c r="UR398" s="120"/>
      <c r="US398" s="120"/>
      <c r="UT398" s="120"/>
      <c r="UU398" s="120"/>
      <c r="UV398" s="120"/>
      <c r="UW398" s="120"/>
      <c r="UX398" s="120"/>
      <c r="UY398" s="120"/>
      <c r="UZ398" s="120"/>
      <c r="VA398" s="120"/>
      <c r="VB398" s="120"/>
      <c r="VC398" s="120"/>
      <c r="VD398" s="120"/>
      <c r="VE398" s="120"/>
      <c r="VF398" s="120"/>
      <c r="VG398" s="120"/>
      <c r="VH398" s="120"/>
      <c r="VI398" s="120"/>
      <c r="VJ398" s="120"/>
      <c r="VK398" s="120"/>
      <c r="VL398" s="120"/>
      <c r="VM398" s="120"/>
      <c r="VN398" s="120"/>
      <c r="VO398" s="120"/>
      <c r="VP398" s="120"/>
      <c r="VQ398" s="120"/>
      <c r="VR398" s="120"/>
      <c r="VS398" s="120"/>
      <c r="VT398" s="120"/>
      <c r="VU398" s="120"/>
      <c r="VV398" s="120"/>
      <c r="VW398" s="120"/>
      <c r="VX398" s="120"/>
      <c r="VY398" s="120"/>
      <c r="VZ398" s="120"/>
      <c r="WA398" s="120"/>
      <c r="WB398" s="120"/>
      <c r="WC398" s="120"/>
      <c r="WD398" s="120"/>
      <c r="WE398" s="120"/>
      <c r="WF398" s="120"/>
      <c r="WG398" s="120"/>
      <c r="WH398" s="120"/>
      <c r="WI398" s="120"/>
      <c r="WJ398" s="120"/>
      <c r="WK398" s="120"/>
      <c r="WL398" s="120"/>
      <c r="WM398" s="120"/>
      <c r="WN398" s="120"/>
      <c r="WO398" s="120"/>
      <c r="WP398" s="120"/>
      <c r="WQ398" s="120"/>
      <c r="WR398" s="120"/>
      <c r="WS398" s="120"/>
      <c r="WT398" s="120"/>
      <c r="WU398" s="120"/>
      <c r="WV398" s="120"/>
      <c r="WW398" s="120"/>
      <c r="WX398" s="120"/>
      <c r="WY398" s="120"/>
      <c r="WZ398" s="120"/>
      <c r="XA398" s="120"/>
      <c r="XB398" s="120"/>
      <c r="XC398" s="120"/>
      <c r="XD398" s="120"/>
      <c r="XE398" s="120"/>
      <c r="XF398" s="120"/>
      <c r="XG398" s="120"/>
      <c r="XH398" s="120"/>
      <c r="XI398" s="120"/>
      <c r="XJ398" s="120"/>
      <c r="XK398" s="120"/>
      <c r="XL398" s="120"/>
      <c r="XM398" s="120"/>
      <c r="XN398" s="120"/>
      <c r="XO398" s="120"/>
      <c r="XP398" s="120"/>
      <c r="XQ398" s="120"/>
      <c r="XR398" s="120"/>
      <c r="XS398" s="120"/>
      <c r="XT398" s="120"/>
      <c r="XU398" s="120"/>
      <c r="XV398" s="120"/>
      <c r="XW398" s="120"/>
      <c r="XX398" s="120"/>
      <c r="XY398" s="120"/>
      <c r="XZ398" s="120"/>
      <c r="YA398" s="120"/>
      <c r="YB398" s="120"/>
      <c r="YC398" s="120"/>
      <c r="YD398" s="120"/>
      <c r="YE398" s="120"/>
      <c r="YF398" s="120"/>
      <c r="YG398" s="120"/>
      <c r="YH398" s="120"/>
      <c r="YI398" s="120"/>
      <c r="YJ398" s="120"/>
      <c r="YK398" s="120"/>
      <c r="YL398" s="120"/>
      <c r="YM398" s="120"/>
      <c r="YN398" s="120"/>
      <c r="YO398" s="120"/>
      <c r="YP398" s="120"/>
      <c r="YQ398" s="120"/>
      <c r="YR398" s="120"/>
      <c r="YS398" s="120"/>
      <c r="YT398" s="120"/>
      <c r="YU398" s="120"/>
      <c r="YV398" s="120"/>
      <c r="YW398" s="120"/>
      <c r="YX398" s="120"/>
      <c r="YY398" s="120"/>
      <c r="YZ398" s="120"/>
      <c r="ZA398" s="120"/>
      <c r="ZB398" s="120"/>
      <c r="ZC398" s="120"/>
      <c r="ZD398" s="120"/>
      <c r="ZE398" s="120"/>
      <c r="ZF398" s="120"/>
      <c r="ZG398" s="120"/>
      <c r="ZH398" s="120"/>
      <c r="ZI398" s="120"/>
      <c r="ZJ398" s="120"/>
      <c r="ZK398" s="120"/>
      <c r="ZL398" s="120"/>
      <c r="ZM398" s="120"/>
      <c r="ZN398" s="120"/>
      <c r="ZO398" s="120"/>
      <c r="ZP398" s="120"/>
      <c r="ZQ398" s="120"/>
      <c r="ZR398" s="120"/>
      <c r="ZS398" s="120"/>
      <c r="ZT398" s="120"/>
      <c r="ZU398" s="120"/>
      <c r="ZV398" s="120"/>
      <c r="ZW398" s="120"/>
      <c r="ZX398" s="120"/>
      <c r="ZY398" s="120"/>
      <c r="ZZ398" s="120"/>
      <c r="AAA398" s="120"/>
      <c r="AAB398" s="120"/>
      <c r="AAC398" s="120"/>
      <c r="AAD398" s="120"/>
      <c r="AAE398" s="120"/>
      <c r="AAF398" s="120"/>
      <c r="AAG398" s="120"/>
      <c r="AAH398" s="120"/>
      <c r="AAI398" s="120"/>
      <c r="AAJ398" s="120"/>
      <c r="AAK398" s="120"/>
      <c r="AAL398" s="120"/>
      <c r="AAM398" s="120"/>
      <c r="AAN398" s="120"/>
      <c r="AAO398" s="120"/>
      <c r="AAP398" s="120"/>
      <c r="AAQ398" s="120"/>
      <c r="AAR398" s="120"/>
      <c r="AAS398" s="120"/>
      <c r="AAT398" s="120"/>
      <c r="AAU398" s="120"/>
      <c r="AAV398" s="120"/>
      <c r="AAW398" s="120"/>
      <c r="AAX398" s="120"/>
      <c r="AAY398" s="120"/>
      <c r="AAZ398" s="120"/>
      <c r="ABA398" s="120"/>
      <c r="ABB398" s="120"/>
      <c r="ABC398" s="120"/>
      <c r="ABD398" s="120"/>
      <c r="ABE398" s="120"/>
      <c r="ABF398" s="120"/>
      <c r="ABG398" s="120"/>
      <c r="ABH398" s="120"/>
      <c r="ABI398" s="120"/>
      <c r="ABJ398" s="120"/>
      <c r="ABK398" s="120"/>
      <c r="ABL398" s="120"/>
      <c r="ABM398" s="120"/>
      <c r="ABN398" s="120"/>
      <c r="ABO398" s="120"/>
      <c r="ABP398" s="120"/>
      <c r="ABQ398" s="120"/>
      <c r="ABR398" s="120"/>
      <c r="ABS398" s="120"/>
      <c r="ABT398" s="120"/>
      <c r="ABU398" s="120"/>
      <c r="ABV398" s="120"/>
      <c r="ABW398" s="120"/>
      <c r="ABX398" s="120"/>
      <c r="ABY398" s="120"/>
      <c r="ABZ398" s="120"/>
      <c r="ACA398" s="120"/>
      <c r="ACB398" s="120"/>
      <c r="ACC398" s="120"/>
      <c r="ACD398" s="120"/>
      <c r="ACE398" s="120"/>
      <c r="ACF398" s="120"/>
      <c r="ACG398" s="120"/>
      <c r="ACH398" s="120"/>
      <c r="ACI398" s="120"/>
      <c r="ACJ398" s="120"/>
      <c r="ACK398" s="120"/>
      <c r="ACL398" s="120"/>
      <c r="ACM398" s="120"/>
      <c r="ACN398" s="120"/>
      <c r="ACO398" s="120"/>
      <c r="ACP398" s="120"/>
      <c r="ACQ398" s="120"/>
      <c r="ACR398" s="120"/>
      <c r="ACS398" s="120"/>
      <c r="ACT398" s="120"/>
      <c r="ACU398" s="120"/>
      <c r="ACV398" s="120"/>
      <c r="ACW398" s="120"/>
      <c r="ACX398" s="120"/>
      <c r="ACY398" s="120"/>
      <c r="ACZ398" s="120"/>
      <c r="ADA398" s="120"/>
      <c r="ADB398" s="120"/>
      <c r="ADC398" s="120"/>
      <c r="ADD398" s="120"/>
      <c r="ADE398" s="120"/>
      <c r="ADF398" s="120"/>
      <c r="ADG398" s="120"/>
      <c r="ADH398" s="120"/>
      <c r="ADI398" s="120"/>
      <c r="ADJ398" s="120"/>
      <c r="ADK398" s="120"/>
      <c r="ADL398" s="120"/>
      <c r="ADM398" s="120"/>
      <c r="ADN398" s="120"/>
      <c r="ADO398" s="120"/>
      <c r="ADP398" s="120"/>
      <c r="ADQ398" s="120"/>
      <c r="ADR398" s="120"/>
      <c r="ADS398" s="120"/>
      <c r="ADT398" s="120"/>
      <c r="ADU398" s="120"/>
      <c r="ADV398" s="120"/>
      <c r="ADW398" s="120"/>
      <c r="ADX398" s="120"/>
      <c r="ADY398" s="120"/>
      <c r="ADZ398" s="120"/>
      <c r="AEA398" s="120"/>
      <c r="AEB398" s="120"/>
      <c r="AEC398" s="120"/>
      <c r="AED398" s="120"/>
      <c r="AEE398" s="120"/>
      <c r="AEF398" s="120"/>
      <c r="AEG398" s="120"/>
      <c r="AEH398" s="120"/>
      <c r="AEI398" s="120"/>
      <c r="AEJ398" s="120"/>
      <c r="AEK398" s="120"/>
      <c r="AEL398" s="120"/>
      <c r="AEM398" s="120"/>
      <c r="AEN398" s="120"/>
      <c r="AEO398" s="120"/>
      <c r="AEP398" s="120"/>
      <c r="AEQ398" s="120"/>
      <c r="AER398" s="120"/>
      <c r="AES398" s="120"/>
      <c r="AET398" s="120"/>
      <c r="AEU398" s="120"/>
      <c r="AEV398" s="120"/>
      <c r="AEW398" s="120"/>
      <c r="AEX398" s="120"/>
      <c r="AEY398" s="120"/>
      <c r="AEZ398" s="120"/>
      <c r="AFA398" s="120"/>
      <c r="AFB398" s="120"/>
      <c r="AFC398" s="120"/>
      <c r="AFD398" s="120"/>
      <c r="AFE398" s="120"/>
      <c r="AFF398" s="120"/>
      <c r="AFG398" s="120"/>
      <c r="AFH398" s="120"/>
      <c r="AFI398" s="120"/>
      <c r="AFJ398" s="120"/>
      <c r="AFK398" s="120"/>
      <c r="AFL398" s="120"/>
      <c r="AFM398" s="120"/>
      <c r="AFN398" s="120"/>
      <c r="AFO398" s="120"/>
      <c r="AFP398" s="120"/>
      <c r="AFQ398" s="120"/>
      <c r="AFR398" s="120"/>
      <c r="AFS398" s="120"/>
      <c r="AFT398" s="120"/>
      <c r="AFU398" s="120"/>
      <c r="AFV398" s="120"/>
      <c r="AFW398" s="120"/>
      <c r="AFX398" s="120"/>
      <c r="AFY398" s="120"/>
      <c r="AFZ398" s="120"/>
      <c r="AGA398" s="120"/>
      <c r="AGB398" s="120"/>
      <c r="AGC398" s="120"/>
      <c r="AGD398" s="120"/>
      <c r="AGE398" s="120"/>
      <c r="AGF398" s="120"/>
      <c r="AGG398" s="120"/>
      <c r="AGH398" s="120"/>
      <c r="AGI398" s="120"/>
      <c r="AGJ398" s="120"/>
      <c r="AGK398" s="120"/>
      <c r="AGL398" s="120"/>
      <c r="AGM398" s="120"/>
      <c r="AGN398" s="120"/>
      <c r="AGO398" s="120"/>
      <c r="AGP398" s="120"/>
      <c r="AGQ398" s="120"/>
      <c r="AGR398" s="120"/>
      <c r="AGS398" s="120"/>
      <c r="AGT398" s="120"/>
      <c r="AGU398" s="120"/>
      <c r="AGV398" s="120"/>
      <c r="AGW398" s="120"/>
      <c r="AGX398" s="120"/>
      <c r="AGY398" s="120"/>
      <c r="AGZ398" s="120"/>
      <c r="AHA398" s="120"/>
      <c r="AHB398" s="120"/>
      <c r="AHC398" s="120"/>
      <c r="AHD398" s="120"/>
      <c r="AHE398" s="120"/>
      <c r="AHF398" s="120"/>
      <c r="AHG398" s="120"/>
      <c r="AHH398" s="120"/>
      <c r="AHI398" s="120"/>
      <c r="AHJ398" s="120"/>
      <c r="AHK398" s="120"/>
      <c r="AHL398" s="120"/>
      <c r="AHM398" s="120"/>
      <c r="AHN398" s="120"/>
      <c r="AHO398" s="120"/>
      <c r="AHP398" s="120"/>
      <c r="AHQ398" s="120"/>
      <c r="AHR398" s="120"/>
      <c r="AHS398" s="120"/>
      <c r="AHT398" s="120"/>
      <c r="AHU398" s="120"/>
      <c r="AHV398" s="120"/>
      <c r="AHW398" s="120"/>
      <c r="AHX398" s="120"/>
      <c r="AHY398" s="120"/>
      <c r="AHZ398" s="120"/>
      <c r="AIA398" s="120"/>
      <c r="AIB398" s="120"/>
      <c r="AIC398" s="120"/>
      <c r="AID398" s="120"/>
      <c r="AIE398" s="120"/>
      <c r="AIF398" s="120"/>
      <c r="AIG398" s="120"/>
      <c r="AIH398" s="120"/>
      <c r="AII398" s="120"/>
      <c r="AIJ398" s="120"/>
      <c r="AIK398" s="120"/>
      <c r="AIL398" s="120"/>
      <c r="AIM398" s="120"/>
      <c r="AIN398" s="120"/>
      <c r="AIO398" s="120"/>
      <c r="AIP398" s="120"/>
      <c r="AIQ398" s="120"/>
      <c r="AIR398" s="120"/>
      <c r="AIS398" s="120"/>
      <c r="AIT398" s="120"/>
      <c r="AIU398" s="120"/>
      <c r="AIV398" s="120"/>
      <c r="AIW398" s="120"/>
      <c r="AIX398" s="120"/>
      <c r="AIY398" s="120"/>
      <c r="AIZ398" s="120"/>
    </row>
    <row r="399">
      <c r="A399" s="112" t="s">
        <v>38</v>
      </c>
      <c r="B399" s="112" t="s">
        <v>98</v>
      </c>
      <c r="C399" s="112"/>
      <c r="D399" s="113">
        <f t="shared" si="1"/>
        <v>782.3331</v>
      </c>
      <c r="E399" s="112">
        <v>44.42575</v>
      </c>
      <c r="F399" s="113"/>
      <c r="G399" s="113"/>
      <c r="H399" s="113"/>
      <c r="I399" s="113"/>
      <c r="J399" s="113"/>
      <c r="K399" s="113"/>
      <c r="L399" s="112">
        <v>0.516066666666667</v>
      </c>
      <c r="M399" s="112">
        <v>9.15283333333333</v>
      </c>
      <c r="N399" s="113"/>
      <c r="O399" s="113"/>
      <c r="P399" s="112">
        <v>63.10325</v>
      </c>
      <c r="Q399" s="113"/>
      <c r="R399" s="113"/>
      <c r="S399" s="113"/>
      <c r="T399" s="113"/>
      <c r="U399" s="113"/>
      <c r="V399" s="112">
        <v>1.19563333333333</v>
      </c>
      <c r="W399" s="112">
        <v>184.952283333333</v>
      </c>
      <c r="X399" s="113"/>
      <c r="Y399" s="113"/>
      <c r="Z399" s="113"/>
      <c r="AA399" s="113"/>
      <c r="AB399" s="113"/>
      <c r="AC399" s="112">
        <v>0.952783333333333</v>
      </c>
      <c r="AD399" s="112">
        <v>291.220783333333</v>
      </c>
      <c r="AE399" s="113"/>
      <c r="AF399" s="113"/>
      <c r="AG399" s="113"/>
      <c r="AH399" s="113"/>
      <c r="AI399" s="113"/>
      <c r="AJ399" s="112">
        <v>5.10083333333333</v>
      </c>
      <c r="AK399" s="112">
        <v>63.9015833333333</v>
      </c>
      <c r="AL399" s="113"/>
      <c r="AM399" s="113"/>
      <c r="AN399" s="113"/>
      <c r="AO399" s="112">
        <v>6.3779</v>
      </c>
      <c r="AP399" s="112">
        <v>16.0916166666667</v>
      </c>
      <c r="AQ399" s="113"/>
      <c r="AR399" s="113"/>
      <c r="AS399" s="112">
        <v>2.868</v>
      </c>
      <c r="AT399" s="112">
        <v>86.0898833333333</v>
      </c>
      <c r="AU399" s="113"/>
      <c r="AV399" s="112">
        <v>4.7645</v>
      </c>
      <c r="AW399" s="112">
        <v>1.6194</v>
      </c>
      <c r="AX399" s="113"/>
      <c r="AY399" s="113"/>
      <c r="AZ399" s="113"/>
      <c r="BA399" s="113"/>
      <c r="BB399" s="113"/>
      <c r="BC399" s="113"/>
      <c r="BD399" s="113"/>
      <c r="BE399" s="113"/>
      <c r="BF399" s="113"/>
      <c r="BG399" s="113"/>
      <c r="BH399" s="113"/>
      <c r="BI399" s="113"/>
      <c r="BJ399" s="113"/>
      <c r="BK399" s="113"/>
      <c r="BL399" s="113"/>
      <c r="BM399" s="113"/>
      <c r="BN399" s="113"/>
      <c r="BO399" s="113"/>
      <c r="BP399" s="113"/>
      <c r="BQ399" s="113"/>
      <c r="BR399" s="113"/>
      <c r="BS399" s="113"/>
      <c r="BT399" s="113"/>
      <c r="BU399" s="113"/>
      <c r="BV399" s="113"/>
      <c r="BW399" s="113"/>
      <c r="BX399" s="113"/>
      <c r="BY399" s="113"/>
      <c r="BZ399" s="113"/>
      <c r="CA399" s="113"/>
      <c r="CB399" s="113"/>
      <c r="CC399" s="113"/>
      <c r="CD399" s="113"/>
      <c r="CE399" s="113"/>
      <c r="CF399" s="113"/>
      <c r="CG399" s="113"/>
      <c r="CH399" s="113"/>
      <c r="CI399" s="113"/>
      <c r="CJ399" s="113"/>
      <c r="CK399" s="113"/>
      <c r="CL399" s="113"/>
      <c r="CM399" s="113"/>
      <c r="CN399" s="113"/>
      <c r="CO399" s="113"/>
      <c r="CP399" s="113"/>
      <c r="CQ399" s="113"/>
      <c r="CR399" s="113"/>
      <c r="CS399" s="113"/>
      <c r="CT399" s="113"/>
      <c r="CU399" s="113"/>
      <c r="CV399" s="113"/>
      <c r="CW399" s="113"/>
      <c r="CX399" s="113"/>
      <c r="CY399" s="113"/>
      <c r="CZ399" s="113"/>
      <c r="DA399" s="113"/>
      <c r="DB399" s="113"/>
      <c r="DC399" s="113"/>
      <c r="DD399" s="113"/>
      <c r="DE399" s="113"/>
      <c r="DF399" s="113"/>
      <c r="DG399" s="113"/>
      <c r="DH399" s="113"/>
      <c r="DI399" s="113"/>
      <c r="DJ399" s="113"/>
      <c r="DK399" s="113"/>
      <c r="DL399" s="113"/>
      <c r="DM399" s="113"/>
      <c r="DN399" s="113"/>
      <c r="DO399" s="113"/>
      <c r="DP399" s="113"/>
      <c r="DQ399" s="113"/>
      <c r="DR399" s="113"/>
      <c r="DS399" s="113"/>
      <c r="DT399" s="113"/>
      <c r="DU399" s="113"/>
      <c r="DV399" s="113"/>
      <c r="DW399" s="113"/>
      <c r="DX399" s="113"/>
      <c r="DY399" s="113"/>
      <c r="DZ399" s="113"/>
      <c r="EA399" s="113"/>
      <c r="EB399" s="113"/>
      <c r="EC399" s="113"/>
      <c r="ED399" s="113"/>
      <c r="EE399" s="113"/>
      <c r="EF399" s="113"/>
      <c r="EG399" s="113"/>
      <c r="EH399" s="113"/>
      <c r="EI399" s="113"/>
      <c r="EJ399" s="113"/>
      <c r="EK399" s="113"/>
      <c r="EL399" s="113"/>
      <c r="EM399" s="113"/>
      <c r="EN399" s="113"/>
      <c r="EO399" s="113"/>
      <c r="EP399" s="113"/>
      <c r="EQ399" s="113"/>
      <c r="ER399" s="113"/>
      <c r="ES399" s="113"/>
      <c r="ET399" s="113"/>
      <c r="EU399" s="113"/>
      <c r="EV399" s="113"/>
      <c r="EW399" s="113"/>
      <c r="EX399" s="113"/>
      <c r="EY399" s="113"/>
      <c r="EZ399" s="113"/>
      <c r="FA399" s="113"/>
      <c r="FB399" s="113"/>
      <c r="FC399" s="113"/>
      <c r="FD399" s="113"/>
      <c r="FE399" s="113"/>
      <c r="FF399" s="113"/>
      <c r="FG399" s="113"/>
      <c r="FH399" s="113"/>
      <c r="FI399" s="113"/>
      <c r="FJ399" s="113"/>
      <c r="FK399" s="113"/>
      <c r="FL399" s="113"/>
      <c r="FM399" s="113"/>
      <c r="FN399" s="113"/>
      <c r="FO399" s="113"/>
      <c r="FP399" s="113"/>
      <c r="FQ399" s="113"/>
      <c r="FR399" s="113"/>
      <c r="FS399" s="113"/>
      <c r="FT399" s="113"/>
      <c r="FU399" s="113"/>
      <c r="FV399" s="113"/>
      <c r="FW399" s="113"/>
      <c r="FX399" s="113"/>
      <c r="FY399" s="113"/>
      <c r="FZ399" s="113"/>
      <c r="GA399" s="113"/>
      <c r="GB399" s="113"/>
      <c r="GC399" s="113"/>
      <c r="GD399" s="113"/>
      <c r="GE399" s="113"/>
      <c r="GF399" s="113"/>
      <c r="GG399" s="113"/>
      <c r="GH399" s="113"/>
      <c r="GI399" s="113"/>
      <c r="GJ399" s="113"/>
      <c r="GK399" s="113"/>
      <c r="GL399" s="113"/>
      <c r="GM399" s="113"/>
      <c r="GN399" s="113"/>
      <c r="GO399" s="113"/>
      <c r="GP399" s="113"/>
      <c r="GQ399" s="113"/>
      <c r="GR399" s="113"/>
      <c r="GS399" s="113"/>
      <c r="GT399" s="113"/>
      <c r="GU399" s="113"/>
      <c r="GV399" s="113"/>
      <c r="GW399" s="113"/>
      <c r="GX399" s="113"/>
      <c r="GY399" s="113"/>
      <c r="GZ399" s="113"/>
      <c r="HA399" s="113"/>
      <c r="HB399" s="113"/>
      <c r="HC399" s="113"/>
      <c r="HD399" s="113"/>
      <c r="HE399" s="113"/>
      <c r="HF399" s="113"/>
      <c r="HG399" s="113"/>
      <c r="HH399" s="113"/>
      <c r="HI399" s="113"/>
      <c r="HJ399" s="113"/>
      <c r="HK399" s="113"/>
      <c r="HL399" s="113"/>
      <c r="HM399" s="113"/>
      <c r="HN399" s="113"/>
      <c r="HO399" s="113"/>
      <c r="HP399" s="113"/>
      <c r="HQ399" s="113"/>
      <c r="HR399" s="113"/>
      <c r="HS399" s="113"/>
      <c r="HT399" s="113"/>
      <c r="HU399" s="113"/>
      <c r="HV399" s="113"/>
      <c r="HW399" s="113"/>
      <c r="HX399" s="113"/>
      <c r="HY399" s="113"/>
      <c r="HZ399" s="113"/>
      <c r="IA399" s="113"/>
      <c r="IB399" s="113"/>
      <c r="IC399" s="113"/>
      <c r="ID399" s="113"/>
      <c r="IE399" s="113"/>
      <c r="IF399" s="113"/>
      <c r="IG399" s="113"/>
      <c r="IH399" s="113"/>
      <c r="II399" s="113"/>
      <c r="IJ399" s="113"/>
      <c r="IK399" s="113"/>
      <c r="IL399" s="113"/>
      <c r="IM399" s="113"/>
      <c r="IN399" s="113"/>
      <c r="IO399" s="113"/>
      <c r="IP399" s="113"/>
      <c r="IQ399" s="113"/>
      <c r="IR399" s="113"/>
      <c r="IS399" s="113"/>
      <c r="IT399" s="113"/>
      <c r="IU399" s="113"/>
      <c r="IV399" s="113"/>
      <c r="IW399" s="113"/>
      <c r="IX399" s="113"/>
      <c r="IY399" s="113"/>
      <c r="IZ399" s="113"/>
      <c r="JA399" s="113"/>
      <c r="JB399" s="113"/>
      <c r="JC399" s="113"/>
      <c r="JD399" s="113"/>
      <c r="JE399" s="113"/>
      <c r="JF399" s="113"/>
      <c r="JG399" s="113"/>
      <c r="JH399" s="113"/>
      <c r="JI399" s="113"/>
      <c r="JJ399" s="113"/>
      <c r="JK399" s="113"/>
      <c r="JL399" s="113"/>
      <c r="JM399" s="113"/>
      <c r="JN399" s="113"/>
      <c r="JO399" s="113"/>
      <c r="JP399" s="113"/>
      <c r="JQ399" s="113"/>
      <c r="JR399" s="113"/>
      <c r="JS399" s="113"/>
      <c r="JT399" s="113"/>
      <c r="JU399" s="113"/>
      <c r="JV399" s="113"/>
      <c r="JW399" s="113"/>
      <c r="JX399" s="113"/>
      <c r="JY399" s="113"/>
      <c r="JZ399" s="113"/>
      <c r="KA399" s="113"/>
      <c r="KB399" s="113"/>
      <c r="KC399" s="113"/>
      <c r="KD399" s="113"/>
      <c r="KE399" s="113"/>
      <c r="KF399" s="113"/>
      <c r="KG399" s="113"/>
      <c r="KH399" s="113"/>
      <c r="KI399" s="113"/>
      <c r="KJ399" s="113"/>
      <c r="KK399" s="113"/>
      <c r="KL399" s="113"/>
      <c r="KM399" s="113"/>
      <c r="KN399" s="113"/>
      <c r="KO399" s="113"/>
      <c r="KP399" s="113"/>
      <c r="KQ399" s="113"/>
      <c r="KR399" s="113"/>
      <c r="KS399" s="113"/>
      <c r="KT399" s="113"/>
      <c r="KU399" s="113"/>
      <c r="KV399" s="113"/>
      <c r="KW399" s="113"/>
      <c r="KX399" s="113"/>
      <c r="KY399" s="113"/>
      <c r="KZ399" s="113"/>
      <c r="LA399" s="113"/>
      <c r="LB399" s="113"/>
      <c r="LC399" s="113"/>
      <c r="LD399" s="113"/>
      <c r="LE399" s="113"/>
      <c r="LF399" s="113"/>
      <c r="LG399" s="113"/>
      <c r="LH399" s="113"/>
      <c r="LI399" s="113"/>
      <c r="LJ399" s="113"/>
      <c r="LK399" s="113"/>
      <c r="LL399" s="113"/>
      <c r="LM399" s="113"/>
      <c r="LN399" s="113"/>
      <c r="LO399" s="113"/>
      <c r="LP399" s="113"/>
      <c r="LQ399" s="113"/>
      <c r="LR399" s="113"/>
      <c r="LS399" s="113"/>
      <c r="LT399" s="113"/>
      <c r="LU399" s="113"/>
      <c r="LV399" s="113"/>
      <c r="LW399" s="113"/>
      <c r="LX399" s="113"/>
      <c r="LY399" s="113"/>
      <c r="LZ399" s="113"/>
      <c r="MA399" s="113"/>
      <c r="MB399" s="113"/>
      <c r="MC399" s="113"/>
      <c r="MD399" s="113"/>
      <c r="ME399" s="113"/>
      <c r="MF399" s="113"/>
      <c r="MG399" s="113"/>
      <c r="MH399" s="113"/>
      <c r="MI399" s="113"/>
      <c r="MJ399" s="113"/>
      <c r="MK399" s="113"/>
      <c r="ML399" s="113"/>
      <c r="MM399" s="113"/>
      <c r="MN399" s="113"/>
      <c r="MO399" s="113"/>
      <c r="MP399" s="113"/>
      <c r="MQ399" s="113"/>
      <c r="MR399" s="113"/>
      <c r="MS399" s="113"/>
      <c r="MT399" s="113"/>
      <c r="MU399" s="113"/>
      <c r="MV399" s="113"/>
      <c r="MW399" s="113"/>
      <c r="MX399" s="113"/>
      <c r="MY399" s="113"/>
      <c r="MZ399" s="113"/>
      <c r="NA399" s="113"/>
      <c r="NB399" s="113"/>
      <c r="NC399" s="113"/>
      <c r="ND399" s="113"/>
      <c r="NE399" s="113"/>
      <c r="NF399" s="113"/>
      <c r="NG399" s="113"/>
      <c r="NH399" s="113"/>
      <c r="NI399" s="113"/>
      <c r="NJ399" s="113"/>
      <c r="NK399" s="113"/>
      <c r="NL399" s="113"/>
      <c r="NM399" s="113"/>
      <c r="NN399" s="113"/>
      <c r="NO399" s="113"/>
      <c r="NP399" s="113"/>
      <c r="NQ399" s="113"/>
      <c r="NR399" s="113"/>
      <c r="NS399" s="113"/>
      <c r="NT399" s="113"/>
      <c r="NU399" s="113"/>
      <c r="NV399" s="113"/>
      <c r="NW399" s="113"/>
      <c r="NX399" s="113"/>
      <c r="NY399" s="113"/>
      <c r="NZ399" s="113"/>
      <c r="OA399" s="113"/>
      <c r="OB399" s="113"/>
      <c r="OC399" s="113"/>
      <c r="OD399" s="113"/>
      <c r="OE399" s="113"/>
      <c r="OF399" s="113"/>
      <c r="OG399" s="113"/>
      <c r="OH399" s="113"/>
      <c r="OI399" s="113"/>
      <c r="OJ399" s="113"/>
      <c r="OK399" s="113"/>
      <c r="OL399" s="113"/>
      <c r="OM399" s="113"/>
      <c r="ON399" s="113"/>
      <c r="OO399" s="113"/>
      <c r="OP399" s="113"/>
      <c r="OQ399" s="113"/>
      <c r="OR399" s="113"/>
      <c r="OS399" s="113"/>
      <c r="OT399" s="113"/>
      <c r="OU399" s="113"/>
      <c r="OV399" s="113"/>
      <c r="OW399" s="113"/>
      <c r="OX399" s="113"/>
      <c r="OY399" s="113"/>
      <c r="OZ399" s="113"/>
      <c r="PA399" s="113"/>
      <c r="PB399" s="113"/>
      <c r="PC399" s="113"/>
      <c r="PD399" s="113"/>
      <c r="PE399" s="113"/>
      <c r="PF399" s="113"/>
      <c r="PG399" s="113"/>
      <c r="PH399" s="113"/>
      <c r="PI399" s="113"/>
      <c r="PJ399" s="113"/>
      <c r="PK399" s="113"/>
      <c r="PL399" s="113"/>
      <c r="PM399" s="113"/>
      <c r="PN399" s="113"/>
      <c r="PO399" s="113"/>
      <c r="PP399" s="113"/>
      <c r="PQ399" s="113"/>
      <c r="PR399" s="113"/>
      <c r="PS399" s="113"/>
      <c r="PT399" s="113"/>
      <c r="PU399" s="113"/>
      <c r="PV399" s="113"/>
      <c r="PW399" s="113"/>
      <c r="PX399" s="113"/>
      <c r="PY399" s="113"/>
      <c r="PZ399" s="113"/>
      <c r="QA399" s="113"/>
      <c r="QB399" s="113"/>
      <c r="QC399" s="113"/>
      <c r="QD399" s="113"/>
      <c r="QE399" s="113"/>
      <c r="QF399" s="113"/>
      <c r="QG399" s="113"/>
      <c r="QH399" s="113"/>
      <c r="QI399" s="113"/>
      <c r="QJ399" s="113"/>
      <c r="QK399" s="113"/>
      <c r="QL399" s="113"/>
      <c r="QM399" s="113"/>
      <c r="QN399" s="113"/>
      <c r="QO399" s="113"/>
      <c r="QP399" s="113"/>
      <c r="QQ399" s="113"/>
      <c r="QR399" s="113"/>
      <c r="QS399" s="113"/>
      <c r="QT399" s="113"/>
      <c r="QU399" s="113"/>
      <c r="QV399" s="113"/>
      <c r="QW399" s="113"/>
      <c r="QX399" s="113"/>
      <c r="QY399" s="113"/>
      <c r="QZ399" s="113"/>
      <c r="RA399" s="113"/>
      <c r="RB399" s="113"/>
      <c r="RC399" s="113"/>
      <c r="RD399" s="113"/>
      <c r="RE399" s="113"/>
      <c r="RF399" s="113"/>
      <c r="RG399" s="113"/>
      <c r="RH399" s="113"/>
      <c r="RI399" s="113"/>
      <c r="RJ399" s="113"/>
      <c r="RK399" s="113"/>
      <c r="RL399" s="113"/>
      <c r="RM399" s="113"/>
      <c r="RN399" s="113"/>
      <c r="RO399" s="113"/>
      <c r="RP399" s="113"/>
      <c r="RQ399" s="113"/>
      <c r="RR399" s="113"/>
      <c r="RS399" s="113"/>
      <c r="RT399" s="113"/>
      <c r="RU399" s="113"/>
      <c r="RV399" s="113"/>
      <c r="RW399" s="113"/>
      <c r="RX399" s="113"/>
      <c r="RY399" s="113"/>
      <c r="RZ399" s="113"/>
      <c r="SA399" s="113"/>
      <c r="SB399" s="113"/>
      <c r="SC399" s="113"/>
      <c r="SD399" s="113"/>
      <c r="SE399" s="113"/>
      <c r="SF399" s="113"/>
      <c r="SG399" s="113"/>
      <c r="SH399" s="113"/>
      <c r="SI399" s="113"/>
      <c r="SJ399" s="113"/>
      <c r="SK399" s="113"/>
      <c r="SL399" s="113"/>
      <c r="SM399" s="113"/>
      <c r="SN399" s="113"/>
      <c r="SO399" s="113"/>
      <c r="SP399" s="113"/>
      <c r="SQ399" s="113"/>
      <c r="SR399" s="113"/>
      <c r="SS399" s="113"/>
      <c r="ST399" s="113"/>
      <c r="SU399" s="113"/>
      <c r="SV399" s="113"/>
      <c r="SW399" s="113"/>
      <c r="SX399" s="113"/>
      <c r="SY399" s="113"/>
      <c r="SZ399" s="113"/>
      <c r="TA399" s="113"/>
      <c r="TB399" s="113"/>
      <c r="TC399" s="113"/>
      <c r="TD399" s="113"/>
      <c r="TE399" s="113"/>
      <c r="TF399" s="113"/>
      <c r="TG399" s="113"/>
      <c r="TH399" s="113"/>
      <c r="TI399" s="113"/>
      <c r="TJ399" s="113"/>
      <c r="TK399" s="113"/>
      <c r="TL399" s="113"/>
      <c r="TM399" s="113"/>
      <c r="TN399" s="113"/>
      <c r="TO399" s="113"/>
      <c r="TP399" s="113"/>
      <c r="TQ399" s="113"/>
      <c r="TR399" s="113"/>
      <c r="TS399" s="113"/>
      <c r="TT399" s="113"/>
      <c r="TU399" s="113"/>
      <c r="TV399" s="113"/>
      <c r="TW399" s="113"/>
      <c r="TX399" s="113"/>
      <c r="TY399" s="113"/>
      <c r="TZ399" s="113"/>
      <c r="UA399" s="113"/>
      <c r="UB399" s="113"/>
      <c r="UC399" s="113"/>
      <c r="UD399" s="113"/>
      <c r="UE399" s="113"/>
      <c r="UF399" s="113"/>
      <c r="UG399" s="113"/>
      <c r="UH399" s="113"/>
      <c r="UI399" s="113"/>
      <c r="UJ399" s="113"/>
      <c r="UK399" s="113"/>
      <c r="UL399" s="113"/>
      <c r="UM399" s="113"/>
      <c r="UN399" s="113"/>
      <c r="UO399" s="113"/>
      <c r="UP399" s="113"/>
      <c r="UQ399" s="113"/>
      <c r="UR399" s="113"/>
      <c r="US399" s="113"/>
      <c r="UT399" s="113"/>
      <c r="UU399" s="113"/>
      <c r="UV399" s="113"/>
      <c r="UW399" s="113"/>
      <c r="UX399" s="113"/>
      <c r="UY399" s="113"/>
      <c r="UZ399" s="113"/>
      <c r="VA399" s="113"/>
      <c r="VB399" s="113"/>
      <c r="VC399" s="113"/>
      <c r="VD399" s="113"/>
      <c r="VE399" s="113"/>
      <c r="VF399" s="113"/>
      <c r="VG399" s="113"/>
      <c r="VH399" s="113"/>
      <c r="VI399" s="113"/>
      <c r="VJ399" s="113"/>
      <c r="VK399" s="113"/>
      <c r="VL399" s="113"/>
      <c r="VM399" s="113"/>
      <c r="VN399" s="113"/>
      <c r="VO399" s="113"/>
      <c r="VP399" s="113"/>
      <c r="VQ399" s="113"/>
      <c r="VR399" s="113"/>
      <c r="VS399" s="113"/>
      <c r="VT399" s="113"/>
      <c r="VU399" s="113"/>
      <c r="VV399" s="113"/>
      <c r="VW399" s="113"/>
      <c r="VX399" s="113"/>
      <c r="VY399" s="113"/>
      <c r="VZ399" s="113"/>
      <c r="WA399" s="113"/>
      <c r="WB399" s="113"/>
      <c r="WC399" s="113"/>
      <c r="WD399" s="113"/>
      <c r="WE399" s="113"/>
      <c r="WF399" s="113"/>
      <c r="WG399" s="113"/>
      <c r="WH399" s="113"/>
      <c r="WI399" s="113"/>
      <c r="WJ399" s="113"/>
      <c r="WK399" s="113"/>
      <c r="WL399" s="113"/>
      <c r="WM399" s="113"/>
      <c r="WN399" s="113"/>
      <c r="WO399" s="113"/>
      <c r="WP399" s="113"/>
      <c r="WQ399" s="113"/>
      <c r="WR399" s="113"/>
      <c r="WS399" s="113"/>
      <c r="WT399" s="113"/>
      <c r="WU399" s="113"/>
      <c r="WV399" s="113"/>
      <c r="WW399" s="113"/>
      <c r="WX399" s="113"/>
      <c r="WY399" s="113"/>
      <c r="WZ399" s="113"/>
      <c r="XA399" s="113"/>
      <c r="XB399" s="113"/>
      <c r="XC399" s="113"/>
      <c r="XD399" s="113"/>
      <c r="XE399" s="113"/>
      <c r="XF399" s="113"/>
      <c r="XG399" s="113"/>
      <c r="XH399" s="113"/>
      <c r="XI399" s="113"/>
      <c r="XJ399" s="113"/>
      <c r="XK399" s="113"/>
      <c r="XL399" s="113"/>
      <c r="XM399" s="113"/>
      <c r="XN399" s="113"/>
      <c r="XO399" s="113"/>
      <c r="XP399" s="113"/>
      <c r="XQ399" s="113"/>
      <c r="XR399" s="113"/>
      <c r="XS399" s="113"/>
      <c r="XT399" s="113"/>
      <c r="XU399" s="113"/>
      <c r="XV399" s="113"/>
      <c r="XW399" s="113"/>
      <c r="XX399" s="113"/>
      <c r="XY399" s="113"/>
      <c r="XZ399" s="113"/>
      <c r="YA399" s="113"/>
      <c r="YB399" s="113"/>
      <c r="YC399" s="113"/>
      <c r="YD399" s="113"/>
      <c r="YE399" s="113"/>
      <c r="YF399" s="113"/>
      <c r="YG399" s="113"/>
      <c r="YH399" s="113"/>
      <c r="YI399" s="113"/>
      <c r="YJ399" s="113"/>
      <c r="YK399" s="113"/>
      <c r="YL399" s="113"/>
      <c r="YM399" s="113"/>
      <c r="YN399" s="113"/>
      <c r="YO399" s="113"/>
      <c r="YP399" s="113"/>
      <c r="YQ399" s="113"/>
      <c r="YR399" s="113"/>
      <c r="YS399" s="113"/>
      <c r="YT399" s="113"/>
      <c r="YU399" s="113"/>
      <c r="YV399" s="113"/>
      <c r="YW399" s="113"/>
      <c r="YX399" s="113"/>
      <c r="YY399" s="113"/>
      <c r="YZ399" s="113"/>
      <c r="ZA399" s="113"/>
      <c r="ZB399" s="113"/>
      <c r="ZC399" s="113"/>
      <c r="ZD399" s="113"/>
      <c r="ZE399" s="113"/>
      <c r="ZF399" s="113"/>
      <c r="ZG399" s="113"/>
      <c r="ZH399" s="113"/>
      <c r="ZI399" s="113"/>
      <c r="ZJ399" s="113"/>
      <c r="ZK399" s="113"/>
      <c r="ZL399" s="113"/>
      <c r="ZM399" s="113"/>
      <c r="ZN399" s="113"/>
      <c r="ZO399" s="113"/>
      <c r="ZP399" s="113"/>
      <c r="ZQ399" s="113"/>
      <c r="ZR399" s="113"/>
      <c r="ZS399" s="113"/>
      <c r="ZT399" s="113"/>
      <c r="ZU399" s="113"/>
      <c r="ZV399" s="113"/>
      <c r="ZW399" s="113"/>
      <c r="ZX399" s="113"/>
      <c r="ZY399" s="113"/>
      <c r="ZZ399" s="113"/>
      <c r="AAA399" s="113"/>
      <c r="AAB399" s="113"/>
      <c r="AAC399" s="113"/>
      <c r="AAD399" s="113"/>
      <c r="AAE399" s="113"/>
      <c r="AAF399" s="113"/>
      <c r="AAG399" s="113"/>
      <c r="AAH399" s="113"/>
      <c r="AAI399" s="113"/>
      <c r="AAJ399" s="113"/>
      <c r="AAK399" s="113"/>
      <c r="AAL399" s="113"/>
      <c r="AAM399" s="113"/>
      <c r="AAN399" s="113"/>
      <c r="AAO399" s="113"/>
      <c r="AAP399" s="113"/>
      <c r="AAQ399" s="113"/>
      <c r="AAR399" s="113"/>
      <c r="AAS399" s="113"/>
      <c r="AAT399" s="113"/>
      <c r="AAU399" s="113"/>
      <c r="AAV399" s="113"/>
      <c r="AAW399" s="113"/>
      <c r="AAX399" s="113"/>
      <c r="AAY399" s="113"/>
      <c r="AAZ399" s="113"/>
      <c r="ABA399" s="113"/>
      <c r="ABB399" s="113"/>
      <c r="ABC399" s="113"/>
      <c r="ABD399" s="113"/>
      <c r="ABE399" s="113"/>
      <c r="ABF399" s="113"/>
      <c r="ABG399" s="113"/>
      <c r="ABH399" s="113"/>
      <c r="ABI399" s="113"/>
      <c r="ABJ399" s="113"/>
      <c r="ABK399" s="113"/>
      <c r="ABL399" s="113"/>
      <c r="ABM399" s="113"/>
      <c r="ABN399" s="113"/>
      <c r="ABO399" s="113"/>
      <c r="ABP399" s="113"/>
      <c r="ABQ399" s="113"/>
      <c r="ABR399" s="113"/>
      <c r="ABS399" s="113"/>
      <c r="ABT399" s="113"/>
      <c r="ABU399" s="113"/>
      <c r="ABV399" s="113"/>
      <c r="ABW399" s="113"/>
      <c r="ABX399" s="113"/>
      <c r="ABY399" s="113"/>
      <c r="ABZ399" s="113"/>
      <c r="ACA399" s="113"/>
      <c r="ACB399" s="113"/>
      <c r="ACC399" s="113"/>
      <c r="ACD399" s="113"/>
      <c r="ACE399" s="113"/>
      <c r="ACF399" s="113"/>
      <c r="ACG399" s="113"/>
      <c r="ACH399" s="113"/>
      <c r="ACI399" s="113"/>
      <c r="ACJ399" s="113"/>
      <c r="ACK399" s="113"/>
      <c r="ACL399" s="113"/>
      <c r="ACM399" s="113"/>
      <c r="ACN399" s="113"/>
      <c r="ACO399" s="113"/>
      <c r="ACP399" s="113"/>
      <c r="ACQ399" s="113"/>
      <c r="ACR399" s="113"/>
      <c r="ACS399" s="113"/>
      <c r="ACT399" s="113"/>
      <c r="ACU399" s="113"/>
      <c r="ACV399" s="113"/>
      <c r="ACW399" s="113"/>
      <c r="ACX399" s="113"/>
      <c r="ACY399" s="113"/>
      <c r="ACZ399" s="113"/>
      <c r="ADA399" s="113"/>
      <c r="ADB399" s="113"/>
      <c r="ADC399" s="113"/>
      <c r="ADD399" s="113"/>
      <c r="ADE399" s="113"/>
      <c r="ADF399" s="113"/>
      <c r="ADG399" s="113"/>
      <c r="ADH399" s="113"/>
      <c r="ADI399" s="113"/>
      <c r="ADJ399" s="113"/>
      <c r="ADK399" s="113"/>
      <c r="ADL399" s="113"/>
      <c r="ADM399" s="113"/>
      <c r="ADN399" s="113"/>
      <c r="ADO399" s="113"/>
      <c r="ADP399" s="113"/>
      <c r="ADQ399" s="113"/>
      <c r="ADR399" s="113"/>
      <c r="ADS399" s="113"/>
      <c r="ADT399" s="113"/>
      <c r="ADU399" s="113"/>
      <c r="ADV399" s="113"/>
      <c r="ADW399" s="113"/>
      <c r="ADX399" s="113"/>
      <c r="ADY399" s="113"/>
      <c r="ADZ399" s="113"/>
      <c r="AEA399" s="113"/>
      <c r="AEB399" s="113"/>
      <c r="AEC399" s="113"/>
      <c r="AED399" s="113"/>
      <c r="AEE399" s="113"/>
      <c r="AEF399" s="113"/>
      <c r="AEG399" s="113"/>
      <c r="AEH399" s="113"/>
      <c r="AEI399" s="113"/>
      <c r="AEJ399" s="113"/>
      <c r="AEK399" s="113"/>
      <c r="AEL399" s="113"/>
      <c r="AEM399" s="113"/>
      <c r="AEN399" s="113"/>
      <c r="AEO399" s="113"/>
      <c r="AEP399" s="113"/>
      <c r="AEQ399" s="113"/>
      <c r="AER399" s="113"/>
      <c r="AES399" s="113"/>
      <c r="AET399" s="113"/>
      <c r="AEU399" s="113"/>
      <c r="AEV399" s="113"/>
      <c r="AEW399" s="113"/>
      <c r="AEX399" s="113"/>
      <c r="AEY399" s="113"/>
      <c r="AEZ399" s="113"/>
      <c r="AFA399" s="113"/>
      <c r="AFB399" s="113"/>
      <c r="AFC399" s="113"/>
      <c r="AFD399" s="113"/>
      <c r="AFE399" s="113"/>
      <c r="AFF399" s="113"/>
      <c r="AFG399" s="113"/>
      <c r="AFH399" s="113"/>
      <c r="AFI399" s="113"/>
      <c r="AFJ399" s="113"/>
      <c r="AFK399" s="113"/>
      <c r="AFL399" s="113"/>
      <c r="AFM399" s="113"/>
      <c r="AFN399" s="113"/>
      <c r="AFO399" s="113"/>
      <c r="AFP399" s="113"/>
      <c r="AFQ399" s="113"/>
      <c r="AFR399" s="113"/>
      <c r="AFS399" s="113"/>
      <c r="AFT399" s="113"/>
      <c r="AFU399" s="113"/>
      <c r="AFV399" s="113"/>
      <c r="AFW399" s="113"/>
      <c r="AFX399" s="113"/>
      <c r="AFY399" s="113"/>
      <c r="AFZ399" s="113"/>
      <c r="AGA399" s="113"/>
      <c r="AGB399" s="113"/>
      <c r="AGC399" s="113"/>
      <c r="AGD399" s="113"/>
      <c r="AGE399" s="113"/>
      <c r="AGF399" s="113"/>
      <c r="AGG399" s="113"/>
      <c r="AGH399" s="113"/>
      <c r="AGI399" s="113"/>
      <c r="AGJ399" s="113"/>
      <c r="AGK399" s="113"/>
      <c r="AGL399" s="113"/>
      <c r="AGM399" s="113"/>
      <c r="AGN399" s="113"/>
      <c r="AGO399" s="113"/>
      <c r="AGP399" s="113"/>
      <c r="AGQ399" s="113"/>
      <c r="AGR399" s="113"/>
      <c r="AGS399" s="113"/>
      <c r="AGT399" s="113"/>
      <c r="AGU399" s="113"/>
      <c r="AGV399" s="113"/>
      <c r="AGW399" s="113"/>
      <c r="AGX399" s="113"/>
      <c r="AGY399" s="113"/>
      <c r="AGZ399" s="113"/>
      <c r="AHA399" s="113"/>
      <c r="AHB399" s="113"/>
      <c r="AHC399" s="113"/>
      <c r="AHD399" s="113"/>
      <c r="AHE399" s="113"/>
      <c r="AHF399" s="113"/>
      <c r="AHG399" s="113"/>
      <c r="AHH399" s="113"/>
      <c r="AHI399" s="113"/>
      <c r="AHJ399" s="113"/>
      <c r="AHK399" s="113"/>
      <c r="AHL399" s="113"/>
      <c r="AHM399" s="113"/>
      <c r="AHN399" s="113"/>
      <c r="AHO399" s="113"/>
      <c r="AHP399" s="113"/>
      <c r="AHQ399" s="113"/>
      <c r="AHR399" s="113"/>
      <c r="AHS399" s="113"/>
      <c r="AHT399" s="113"/>
      <c r="AHU399" s="113"/>
      <c r="AHV399" s="113"/>
      <c r="AHW399" s="113"/>
      <c r="AHX399" s="113"/>
      <c r="AHY399" s="113"/>
      <c r="AHZ399" s="113"/>
      <c r="AIA399" s="113"/>
      <c r="AIB399" s="113"/>
      <c r="AIC399" s="113"/>
      <c r="AID399" s="113"/>
      <c r="AIE399" s="113"/>
      <c r="AIF399" s="113"/>
      <c r="AIG399" s="113"/>
      <c r="AIH399" s="113"/>
      <c r="AII399" s="113"/>
      <c r="AIJ399" s="113"/>
      <c r="AIK399" s="113"/>
      <c r="AIL399" s="113"/>
      <c r="AIM399" s="113"/>
      <c r="AIN399" s="113"/>
      <c r="AIO399" s="113"/>
      <c r="AIP399" s="113"/>
      <c r="AIQ399" s="113"/>
      <c r="AIR399" s="113"/>
      <c r="AIS399" s="113"/>
      <c r="AIT399" s="113"/>
      <c r="AIU399" s="113"/>
      <c r="AIV399" s="113"/>
      <c r="AIW399" s="113"/>
      <c r="AIX399" s="113"/>
      <c r="AIY399" s="113"/>
      <c r="AIZ399" s="113"/>
    </row>
    <row r="400">
      <c r="A400" s="65" t="s">
        <v>38</v>
      </c>
      <c r="B400" s="65" t="s">
        <v>98</v>
      </c>
      <c r="C400" s="65"/>
      <c r="D400" s="64">
        <f t="shared" si="1"/>
        <v>717.6273333</v>
      </c>
      <c r="F400" s="65">
        <v>24.4768666666667</v>
      </c>
      <c r="G400" s="65">
        <v>7.74873333333333</v>
      </c>
      <c r="H400" s="65">
        <v>6.04783333333333</v>
      </c>
      <c r="I400" s="65">
        <v>1.32205</v>
      </c>
      <c r="J400" s="65">
        <v>1.33933333333333</v>
      </c>
      <c r="K400" s="65">
        <v>1.0941</v>
      </c>
      <c r="N400" s="65">
        <v>6.3476</v>
      </c>
      <c r="Q400" s="65">
        <v>20.6814166666667</v>
      </c>
      <c r="R400" s="65">
        <v>29.7225833333333</v>
      </c>
      <c r="S400" s="65">
        <v>7.17971666666667</v>
      </c>
      <c r="T400" s="65">
        <v>1.28655</v>
      </c>
      <c r="U400" s="65">
        <v>3.40881666666667</v>
      </c>
      <c r="X400" s="65">
        <v>8.75251666666667</v>
      </c>
      <c r="Y400" s="65">
        <v>144.207583333333</v>
      </c>
      <c r="Z400" s="65">
        <v>19.3793166666667</v>
      </c>
      <c r="AA400" s="65">
        <v>2.93706666666667</v>
      </c>
      <c r="AB400" s="65">
        <v>5.17888333333333</v>
      </c>
      <c r="AE400" s="65">
        <v>87.5054333333333</v>
      </c>
      <c r="AF400" s="65">
        <v>170.636416666667</v>
      </c>
      <c r="AG400" s="65">
        <v>23.8714333333333</v>
      </c>
      <c r="AH400" s="65">
        <v>5.35768333333333</v>
      </c>
      <c r="AI400" s="65">
        <v>2.73953333333333</v>
      </c>
      <c r="AL400" s="65">
        <v>12.5377833333333</v>
      </c>
      <c r="AM400" s="65">
        <v>11.7213666666667</v>
      </c>
      <c r="AN400" s="65">
        <v>21.0030333333333</v>
      </c>
      <c r="AQ400" s="65">
        <v>2.90371666666667</v>
      </c>
      <c r="AR400" s="65">
        <v>9.88576666666667</v>
      </c>
      <c r="AU400" s="65">
        <v>78.3542000000001</v>
      </c>
    </row>
    <row r="401">
      <c r="A401" s="65" t="s">
        <v>38</v>
      </c>
      <c r="B401" s="65" t="s">
        <v>98</v>
      </c>
      <c r="C401" s="65"/>
      <c r="D401" s="64">
        <f t="shared" si="1"/>
        <v>0</v>
      </c>
    </row>
    <row r="402">
      <c r="A402" s="65" t="s">
        <v>38</v>
      </c>
      <c r="B402" s="65" t="s">
        <v>98</v>
      </c>
      <c r="C402" s="65"/>
      <c r="D402" s="64">
        <f t="shared" si="1"/>
        <v>706.0184333</v>
      </c>
      <c r="F402" s="118">
        <f>HYPERLINK("https://docs.google.com/spreadsheets/d/14rqabYD8OsA9h0M3GqwzaWFN9THhgPsy", 23.0043)</f>
        <v>23.0043</v>
      </c>
      <c r="G402" s="118">
        <f>HYPERLINK("https://docs.google.com/spreadsheets/d/1uuCyVIm2n7rMhp59I6uznnz7wuXexDuj", 7.74873333333333)</f>
        <v>7.748733333</v>
      </c>
      <c r="H402" s="118">
        <f>HYPERLINK("https://docs.google.com/spreadsheets/d/1VUu5LfAYRlU5zrSCd6V-3o1nvta3qM0y", 6.04783333333333)</f>
        <v>6.047833333</v>
      </c>
      <c r="I402" s="118">
        <f>HYPERLINK("https://docs.google.com/spreadsheets/d/1hz380EFzlFsNcBK79ratwwXn0dokHBvy", 1.32205)</f>
        <v>1.32205</v>
      </c>
      <c r="J402" s="118">
        <f>HYPERLINK("https://docs.google.com/spreadsheets/d/1t8_5tRpyH8y4Tjf6EEPr_X8fohrjDG2y", 0)</f>
        <v>0</v>
      </c>
      <c r="K402" s="118">
        <f>HYPERLINK("https://docs.google.com/spreadsheets/d/1-fsPa8xuDM4Ck7NWTF8dpo4FwUnqeljG", 1.0941)</f>
        <v>1.0941</v>
      </c>
      <c r="N402" s="118">
        <f>HYPERLINK("https://docs.google.com/spreadsheets/d/17QFn-byfhnkkam9GPfocgiUb5B8g3-2C", 6.3476)</f>
        <v>6.3476</v>
      </c>
      <c r="Q402" s="118">
        <f>HYPERLINK("https://docs.google.com/spreadsheets/d/1lXlgn9to6WhFK824QBOOMuXeY2-DIU5L", 17.1534166666667)</f>
        <v>17.15341667</v>
      </c>
      <c r="R402" s="118">
        <f>HYPERLINK("https://docs.google.com/spreadsheets/d/16aeomBAYRsMyG3azli_C-PjUrpH5JkmU", 29.5667666666667)</f>
        <v>29.56676667</v>
      </c>
      <c r="S402" s="118">
        <f>HYPERLINK("https://docs.google.com/spreadsheets/d/1ANQh5pDPV3hh_mPOeNhAeM2ZX8NqHqED", 6.84136666666667)</f>
        <v>6.841366667</v>
      </c>
      <c r="T402" s="118">
        <f>HYPERLINK("https://docs.google.com/spreadsheets/d/10mvPzDYUlBNCh-4YXITXOaR65eIOr0mb", 1.28655)</f>
        <v>1.28655</v>
      </c>
      <c r="U402" s="118">
        <f>HYPERLINK("https://docs.google.com/spreadsheets/d/151BMtNuhr8bdSgMJXCQFAYZD_5DECvsk", 3.40881666666667)</f>
        <v>3.408816667</v>
      </c>
      <c r="X402" s="118">
        <f>HYPERLINK("https://docs.google.com/spreadsheets/d/1kZEeW-chMIAufXfCa1bkjOXJ7aAQ2xEe", 8.355)</f>
        <v>8.355</v>
      </c>
      <c r="Y402" s="118">
        <f>HYPERLINK("https://docs.google.com/spreadsheets/d/1mK6TxrOSEuVuOaBlDbDdSz4aEvJ5ZYxN", 144.207566666667)</f>
        <v>144.2075667</v>
      </c>
      <c r="Z402" s="118">
        <f>HYPERLINK("https://docs.google.com/spreadsheets/d/1YwOqFDh1WqEl8TjMLPF9vNLHUTUpxXe9", 18.9319)</f>
        <v>18.9319</v>
      </c>
      <c r="AA402" s="118">
        <f>HYPERLINK("https://docs.google.com/spreadsheets/d/13XWMFm0ODc3crfxmWU6K45xeh4GMA1Nx", 2.93706666666667)</f>
        <v>2.937066667</v>
      </c>
      <c r="AB402" s="118">
        <f>HYPERLINK("https://docs.google.com/spreadsheets/d/1gDa4GMUOiGAiiDnDZo4-Wy2JVRuaaZZf", 5.17888333333333)</f>
        <v>5.178883333</v>
      </c>
      <c r="AE402" s="118">
        <f>HYPERLINK("https://docs.google.com/spreadsheets/d/17qvijwOnYhjW7bC-yE3iCifCDNh60E3j", 87.1121833333333)</f>
        <v>87.11218333</v>
      </c>
      <c r="AF402" s="118">
        <f>HYPERLINK("https://docs.google.com/spreadsheets/d/1T2sZAmJTYyKvqQv1F5hnOETXb28UQnF-", 170.04855)</f>
        <v>170.04855</v>
      </c>
      <c r="AG402" s="118">
        <f>HYPERLINK("https://docs.google.com/spreadsheets/d/1nad8Mll13l5drlpzIoDDHWvfveTT03Nu", 23.66365)</f>
        <v>23.66365</v>
      </c>
      <c r="AH402" s="118">
        <f>HYPERLINK("https://docs.google.com/spreadsheets/d/1fH0_oCgWuYDPmz29OZqyRmRhOZmmAvAs", 5.35768333333333)</f>
        <v>5.357683333</v>
      </c>
      <c r="AI402" s="118">
        <f>HYPERLINK("https://docs.google.com/spreadsheets/d/1KfrjgHcUxYxZEjTSKOBocuqkfcrgpCkt", 2.73953333333333)</f>
        <v>2.739533333</v>
      </c>
      <c r="AL402" s="118">
        <f>HYPERLINK("https://docs.google.com/spreadsheets/d/1Pa7mFHcTQxoJ60KyB0Ck47phQnyTHTMd", 11.4139)</f>
        <v>11.4139</v>
      </c>
      <c r="AM402" s="118">
        <f>HYPERLINK("https://docs.google.com/spreadsheets/d/100L3ifjLYG8uc5Gy498ShzEuFoIbDT8y", 10.4416666666667)</f>
        <v>10.44166667</v>
      </c>
      <c r="AN402" s="118">
        <f>HYPERLINK("https://docs.google.com/spreadsheets/d/16XULPVsNDjLyILCTEuFpYlCZfNeK1MHX", 21.0030166666667)</f>
        <v>21.00301667</v>
      </c>
      <c r="AQ402" s="118">
        <f>HYPERLINK("https://docs.google.com/spreadsheets/d/1z5v829YeXODQZ198vW2YIAv4TRL7mqy3", 2.9037)</f>
        <v>2.9037</v>
      </c>
      <c r="AR402" s="118">
        <f>HYPERLINK("https://docs.google.com/spreadsheets/d/1GIyy7dbNab_B1rCVrGDATOoKelyJmj7m", 9.88575)</f>
        <v>9.88575</v>
      </c>
      <c r="AU402" s="118">
        <f>HYPERLINK("https://docs.google.com/spreadsheets/d/1mzw0UiifT9LIYuIAz-hOM7iuIYAOQbrQ", 78.0168500000001)</f>
        <v>78.01685</v>
      </c>
    </row>
    <row r="403">
      <c r="A403" s="65" t="s">
        <v>38</v>
      </c>
      <c r="B403" s="65" t="s">
        <v>98</v>
      </c>
      <c r="C403" s="65"/>
      <c r="D403" s="64">
        <f t="shared" si="1"/>
        <v>486.9615833</v>
      </c>
      <c r="F403" s="65">
        <v>16.9693833333333</v>
      </c>
      <c r="G403" s="65">
        <v>5.38548333333333</v>
      </c>
      <c r="H403" s="65">
        <v>3.048</v>
      </c>
      <c r="I403" s="65">
        <v>1.0934</v>
      </c>
      <c r="K403" s="65">
        <v>0.7905</v>
      </c>
      <c r="N403" s="65">
        <v>4.4771</v>
      </c>
      <c r="Q403" s="65">
        <v>13.38555</v>
      </c>
      <c r="R403" s="65">
        <v>16.7100166666667</v>
      </c>
      <c r="S403" s="65">
        <v>3.4022</v>
      </c>
      <c r="T403" s="65">
        <v>0.431833333333333</v>
      </c>
      <c r="U403" s="65">
        <v>2.2792</v>
      </c>
      <c r="X403" s="65">
        <v>6.34206666666667</v>
      </c>
      <c r="Y403" s="65">
        <v>84.8134666666667</v>
      </c>
      <c r="Z403" s="65">
        <v>6.38001666666667</v>
      </c>
      <c r="AA403" s="65">
        <v>0.8705</v>
      </c>
      <c r="AB403" s="65">
        <v>3.18851666666667</v>
      </c>
      <c r="AE403" s="65">
        <v>66.1004833333334</v>
      </c>
      <c r="AF403" s="65">
        <v>124.621233333333</v>
      </c>
      <c r="AG403" s="65">
        <v>11.2129833333333</v>
      </c>
      <c r="AH403" s="65">
        <v>2.64715</v>
      </c>
      <c r="AI403" s="65">
        <v>2.1107</v>
      </c>
      <c r="AL403" s="65">
        <v>4.76941666666667</v>
      </c>
      <c r="AM403" s="65">
        <v>6.6604</v>
      </c>
      <c r="AN403" s="65">
        <v>17.9548</v>
      </c>
      <c r="AQ403" s="65">
        <v>1.30315</v>
      </c>
      <c r="AR403" s="65">
        <v>8.16135</v>
      </c>
      <c r="AU403" s="65">
        <v>71.8526833333334</v>
      </c>
    </row>
    <row r="404">
      <c r="A404" s="119" t="s">
        <v>38</v>
      </c>
      <c r="B404" s="119" t="s">
        <v>98</v>
      </c>
      <c r="C404" s="119"/>
      <c r="D404" s="120">
        <f t="shared" si="1"/>
        <v>0</v>
      </c>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c r="AA404" s="120"/>
      <c r="AB404" s="120"/>
      <c r="AC404" s="120"/>
      <c r="AD404" s="120"/>
      <c r="AE404" s="120"/>
      <c r="AF404" s="120"/>
      <c r="AG404" s="120"/>
      <c r="AH404" s="120"/>
      <c r="AI404" s="120"/>
      <c r="AJ404" s="120"/>
      <c r="AK404" s="120"/>
      <c r="AL404" s="120"/>
      <c r="AM404" s="120"/>
      <c r="AN404" s="120"/>
      <c r="AO404" s="120"/>
      <c r="AP404" s="120"/>
      <c r="AQ404" s="120"/>
      <c r="AR404" s="120"/>
      <c r="AS404" s="120"/>
      <c r="AT404" s="120"/>
      <c r="AU404" s="120"/>
      <c r="AV404" s="120"/>
      <c r="AW404" s="120"/>
      <c r="AX404" s="120"/>
      <c r="AY404" s="120"/>
      <c r="AZ404" s="120"/>
      <c r="BA404" s="120"/>
      <c r="BB404" s="120"/>
      <c r="BC404" s="120"/>
      <c r="BD404" s="120"/>
      <c r="BE404" s="120"/>
      <c r="BF404" s="120"/>
      <c r="BG404" s="120"/>
      <c r="BH404" s="120"/>
      <c r="BI404" s="120"/>
      <c r="BJ404" s="120"/>
      <c r="BK404" s="120"/>
      <c r="BL404" s="120"/>
      <c r="BM404" s="120"/>
      <c r="BN404" s="120"/>
      <c r="BO404" s="120"/>
      <c r="BP404" s="120"/>
      <c r="BQ404" s="120"/>
      <c r="BR404" s="120"/>
      <c r="BS404" s="120"/>
      <c r="BT404" s="120"/>
      <c r="BU404" s="120"/>
      <c r="BV404" s="120"/>
      <c r="BW404" s="120"/>
      <c r="BX404" s="120"/>
      <c r="BY404" s="120"/>
      <c r="BZ404" s="120"/>
      <c r="CA404" s="120"/>
      <c r="CB404" s="120"/>
      <c r="CC404" s="120"/>
      <c r="CD404" s="120"/>
      <c r="CE404" s="120"/>
      <c r="CF404" s="120"/>
      <c r="CG404" s="120"/>
      <c r="CH404" s="120"/>
      <c r="CI404" s="120"/>
      <c r="CJ404" s="120"/>
      <c r="CK404" s="120"/>
      <c r="CL404" s="120"/>
      <c r="CM404" s="120"/>
      <c r="CN404" s="120"/>
      <c r="CO404" s="120"/>
      <c r="CP404" s="120"/>
      <c r="CQ404" s="120"/>
      <c r="CR404" s="120"/>
      <c r="CS404" s="120"/>
      <c r="CT404" s="120"/>
      <c r="CU404" s="120"/>
      <c r="CV404" s="120"/>
      <c r="CW404" s="120"/>
      <c r="CX404" s="120"/>
      <c r="CY404" s="120"/>
      <c r="CZ404" s="120"/>
      <c r="DA404" s="120"/>
      <c r="DB404" s="120"/>
      <c r="DC404" s="120"/>
      <c r="DD404" s="120"/>
      <c r="DE404" s="120"/>
      <c r="DF404" s="120"/>
      <c r="DG404" s="120"/>
      <c r="DH404" s="120"/>
      <c r="DI404" s="120"/>
      <c r="DJ404" s="120"/>
      <c r="DK404" s="120"/>
      <c r="DL404" s="120"/>
      <c r="DM404" s="120"/>
      <c r="DN404" s="120"/>
      <c r="DO404" s="120"/>
      <c r="DP404" s="120"/>
      <c r="DQ404" s="120"/>
      <c r="DR404" s="120"/>
      <c r="DS404" s="120"/>
      <c r="DT404" s="120"/>
      <c r="DU404" s="120"/>
      <c r="DV404" s="120"/>
      <c r="DW404" s="120"/>
      <c r="DX404" s="120"/>
      <c r="DY404" s="120"/>
      <c r="DZ404" s="120"/>
      <c r="EA404" s="120"/>
      <c r="EB404" s="120"/>
      <c r="EC404" s="120"/>
      <c r="ED404" s="120"/>
      <c r="EE404" s="120"/>
      <c r="EF404" s="120"/>
      <c r="EG404" s="120"/>
      <c r="EH404" s="120"/>
      <c r="EI404" s="120"/>
      <c r="EJ404" s="120"/>
      <c r="EK404" s="120"/>
      <c r="EL404" s="120"/>
      <c r="EM404" s="120"/>
      <c r="EN404" s="120"/>
      <c r="EO404" s="120"/>
      <c r="EP404" s="120"/>
      <c r="EQ404" s="120"/>
      <c r="ER404" s="120"/>
      <c r="ES404" s="120"/>
      <c r="ET404" s="120"/>
      <c r="EU404" s="120"/>
      <c r="EV404" s="120"/>
      <c r="EW404" s="120"/>
      <c r="EX404" s="120"/>
      <c r="EY404" s="120"/>
      <c r="EZ404" s="120"/>
      <c r="FA404" s="120"/>
      <c r="FB404" s="120"/>
      <c r="FC404" s="120"/>
      <c r="FD404" s="120"/>
      <c r="FE404" s="120"/>
      <c r="FF404" s="120"/>
      <c r="FG404" s="120"/>
      <c r="FH404" s="120"/>
      <c r="FI404" s="120"/>
      <c r="FJ404" s="120"/>
      <c r="FK404" s="120"/>
      <c r="FL404" s="120"/>
      <c r="FM404" s="120"/>
      <c r="FN404" s="120"/>
      <c r="FO404" s="120"/>
      <c r="FP404" s="120"/>
      <c r="FQ404" s="120"/>
      <c r="FR404" s="120"/>
      <c r="FS404" s="120"/>
      <c r="FT404" s="120"/>
      <c r="FU404" s="120"/>
      <c r="FV404" s="120"/>
      <c r="FW404" s="120"/>
      <c r="FX404" s="120"/>
      <c r="FY404" s="120"/>
      <c r="FZ404" s="120"/>
      <c r="GA404" s="120"/>
      <c r="GB404" s="120"/>
      <c r="GC404" s="120"/>
      <c r="GD404" s="120"/>
      <c r="GE404" s="120"/>
      <c r="GF404" s="120"/>
      <c r="GG404" s="120"/>
      <c r="GH404" s="120"/>
      <c r="GI404" s="120"/>
      <c r="GJ404" s="120"/>
      <c r="GK404" s="120"/>
      <c r="GL404" s="120"/>
      <c r="GM404" s="120"/>
      <c r="GN404" s="120"/>
      <c r="GO404" s="120"/>
      <c r="GP404" s="120"/>
      <c r="GQ404" s="120"/>
      <c r="GR404" s="120"/>
      <c r="GS404" s="120"/>
      <c r="GT404" s="120"/>
      <c r="GU404" s="120"/>
      <c r="GV404" s="120"/>
      <c r="GW404" s="120"/>
      <c r="GX404" s="120"/>
      <c r="GY404" s="120"/>
      <c r="GZ404" s="120"/>
      <c r="HA404" s="120"/>
      <c r="HB404" s="120"/>
      <c r="HC404" s="120"/>
      <c r="HD404" s="120"/>
      <c r="HE404" s="120"/>
      <c r="HF404" s="120"/>
      <c r="HG404" s="120"/>
      <c r="HH404" s="120"/>
      <c r="HI404" s="120"/>
      <c r="HJ404" s="120"/>
      <c r="HK404" s="120"/>
      <c r="HL404" s="120"/>
      <c r="HM404" s="120"/>
      <c r="HN404" s="120"/>
      <c r="HO404" s="120"/>
      <c r="HP404" s="120"/>
      <c r="HQ404" s="120"/>
      <c r="HR404" s="120"/>
      <c r="HS404" s="120"/>
      <c r="HT404" s="120"/>
      <c r="HU404" s="120"/>
      <c r="HV404" s="120"/>
      <c r="HW404" s="120"/>
      <c r="HX404" s="120"/>
      <c r="HY404" s="120"/>
      <c r="HZ404" s="120"/>
      <c r="IA404" s="120"/>
      <c r="IB404" s="120"/>
      <c r="IC404" s="120"/>
      <c r="ID404" s="120"/>
      <c r="IE404" s="120"/>
      <c r="IF404" s="120"/>
      <c r="IG404" s="120"/>
      <c r="IH404" s="120"/>
      <c r="II404" s="120"/>
      <c r="IJ404" s="120"/>
      <c r="IK404" s="120"/>
      <c r="IL404" s="120"/>
      <c r="IM404" s="120"/>
      <c r="IN404" s="120"/>
      <c r="IO404" s="120"/>
      <c r="IP404" s="120"/>
      <c r="IQ404" s="120"/>
      <c r="IR404" s="120"/>
      <c r="IS404" s="120"/>
      <c r="IT404" s="120"/>
      <c r="IU404" s="120"/>
      <c r="IV404" s="120"/>
      <c r="IW404" s="120"/>
      <c r="IX404" s="120"/>
      <c r="IY404" s="120"/>
      <c r="IZ404" s="120"/>
      <c r="JA404" s="120"/>
      <c r="JB404" s="120"/>
      <c r="JC404" s="120"/>
      <c r="JD404" s="120"/>
      <c r="JE404" s="120"/>
      <c r="JF404" s="120"/>
      <c r="JG404" s="120"/>
      <c r="JH404" s="120"/>
      <c r="JI404" s="120"/>
      <c r="JJ404" s="120"/>
      <c r="JK404" s="120"/>
      <c r="JL404" s="120"/>
      <c r="JM404" s="120"/>
      <c r="JN404" s="120"/>
      <c r="JO404" s="120"/>
      <c r="JP404" s="120"/>
      <c r="JQ404" s="120"/>
      <c r="JR404" s="120"/>
      <c r="JS404" s="120"/>
      <c r="JT404" s="120"/>
      <c r="JU404" s="120"/>
      <c r="JV404" s="120"/>
      <c r="JW404" s="120"/>
      <c r="JX404" s="120"/>
      <c r="JY404" s="120"/>
      <c r="JZ404" s="120"/>
      <c r="KA404" s="120"/>
      <c r="KB404" s="120"/>
      <c r="KC404" s="120"/>
      <c r="KD404" s="120"/>
      <c r="KE404" s="120"/>
      <c r="KF404" s="120"/>
      <c r="KG404" s="120"/>
      <c r="KH404" s="120"/>
      <c r="KI404" s="120"/>
      <c r="KJ404" s="120"/>
      <c r="KK404" s="120"/>
      <c r="KL404" s="120"/>
      <c r="KM404" s="120"/>
      <c r="KN404" s="120"/>
      <c r="KO404" s="120"/>
      <c r="KP404" s="120"/>
      <c r="KQ404" s="120"/>
      <c r="KR404" s="120"/>
      <c r="KS404" s="120"/>
      <c r="KT404" s="120"/>
      <c r="KU404" s="120"/>
      <c r="KV404" s="120"/>
      <c r="KW404" s="120"/>
      <c r="KX404" s="120"/>
      <c r="KY404" s="120"/>
      <c r="KZ404" s="120"/>
      <c r="LA404" s="120"/>
      <c r="LB404" s="120"/>
      <c r="LC404" s="120"/>
      <c r="LD404" s="120"/>
      <c r="LE404" s="120"/>
      <c r="LF404" s="120"/>
      <c r="LG404" s="120"/>
      <c r="LH404" s="120"/>
      <c r="LI404" s="120"/>
      <c r="LJ404" s="120"/>
      <c r="LK404" s="120"/>
      <c r="LL404" s="120"/>
      <c r="LM404" s="120"/>
      <c r="LN404" s="120"/>
      <c r="LO404" s="120"/>
      <c r="LP404" s="120"/>
      <c r="LQ404" s="120"/>
      <c r="LR404" s="120"/>
      <c r="LS404" s="120"/>
      <c r="LT404" s="120"/>
      <c r="LU404" s="120"/>
      <c r="LV404" s="120"/>
      <c r="LW404" s="120"/>
      <c r="LX404" s="120"/>
      <c r="LY404" s="120"/>
      <c r="LZ404" s="120"/>
      <c r="MA404" s="120"/>
      <c r="MB404" s="120"/>
      <c r="MC404" s="120"/>
      <c r="MD404" s="120"/>
      <c r="ME404" s="120"/>
      <c r="MF404" s="120"/>
      <c r="MG404" s="120"/>
      <c r="MH404" s="120"/>
      <c r="MI404" s="120"/>
      <c r="MJ404" s="120"/>
      <c r="MK404" s="120"/>
      <c r="ML404" s="120"/>
      <c r="MM404" s="120"/>
      <c r="MN404" s="120"/>
      <c r="MO404" s="120"/>
      <c r="MP404" s="120"/>
      <c r="MQ404" s="120"/>
      <c r="MR404" s="120"/>
      <c r="MS404" s="120"/>
      <c r="MT404" s="120"/>
      <c r="MU404" s="120"/>
      <c r="MV404" s="120"/>
      <c r="MW404" s="120"/>
      <c r="MX404" s="120"/>
      <c r="MY404" s="120"/>
      <c r="MZ404" s="120"/>
      <c r="NA404" s="120"/>
      <c r="NB404" s="120"/>
      <c r="NC404" s="120"/>
      <c r="ND404" s="120"/>
      <c r="NE404" s="120"/>
      <c r="NF404" s="120"/>
      <c r="NG404" s="120"/>
      <c r="NH404" s="120"/>
      <c r="NI404" s="120"/>
      <c r="NJ404" s="120"/>
      <c r="NK404" s="120"/>
      <c r="NL404" s="120"/>
      <c r="NM404" s="120"/>
      <c r="NN404" s="120"/>
      <c r="NO404" s="120"/>
      <c r="NP404" s="120"/>
      <c r="NQ404" s="120"/>
      <c r="NR404" s="120"/>
      <c r="NS404" s="120"/>
      <c r="NT404" s="120"/>
      <c r="NU404" s="120"/>
      <c r="NV404" s="120"/>
      <c r="NW404" s="120"/>
      <c r="NX404" s="120"/>
      <c r="NY404" s="120"/>
      <c r="NZ404" s="120"/>
      <c r="OA404" s="120"/>
      <c r="OB404" s="120"/>
      <c r="OC404" s="120"/>
      <c r="OD404" s="120"/>
      <c r="OE404" s="120"/>
      <c r="OF404" s="120"/>
      <c r="OG404" s="120"/>
      <c r="OH404" s="120"/>
      <c r="OI404" s="120"/>
      <c r="OJ404" s="120"/>
      <c r="OK404" s="120"/>
      <c r="OL404" s="120"/>
      <c r="OM404" s="120"/>
      <c r="ON404" s="120"/>
      <c r="OO404" s="120"/>
      <c r="OP404" s="120"/>
      <c r="OQ404" s="120"/>
      <c r="OR404" s="120"/>
      <c r="OS404" s="120"/>
      <c r="OT404" s="120"/>
      <c r="OU404" s="120"/>
      <c r="OV404" s="120"/>
      <c r="OW404" s="120"/>
      <c r="OX404" s="120"/>
      <c r="OY404" s="120"/>
      <c r="OZ404" s="120"/>
      <c r="PA404" s="120"/>
      <c r="PB404" s="120"/>
      <c r="PC404" s="120"/>
      <c r="PD404" s="120"/>
      <c r="PE404" s="120"/>
      <c r="PF404" s="120"/>
      <c r="PG404" s="120"/>
      <c r="PH404" s="120"/>
      <c r="PI404" s="120"/>
      <c r="PJ404" s="120"/>
      <c r="PK404" s="120"/>
      <c r="PL404" s="120"/>
      <c r="PM404" s="120"/>
      <c r="PN404" s="120"/>
      <c r="PO404" s="120"/>
      <c r="PP404" s="120"/>
      <c r="PQ404" s="120"/>
      <c r="PR404" s="120"/>
      <c r="PS404" s="120"/>
      <c r="PT404" s="120"/>
      <c r="PU404" s="120"/>
      <c r="PV404" s="120"/>
      <c r="PW404" s="120"/>
      <c r="PX404" s="120"/>
      <c r="PY404" s="120"/>
      <c r="PZ404" s="120"/>
      <c r="QA404" s="120"/>
      <c r="QB404" s="120"/>
      <c r="QC404" s="120"/>
      <c r="QD404" s="120"/>
      <c r="QE404" s="120"/>
      <c r="QF404" s="120"/>
      <c r="QG404" s="120"/>
      <c r="QH404" s="120"/>
      <c r="QI404" s="120"/>
      <c r="QJ404" s="120"/>
      <c r="QK404" s="120"/>
      <c r="QL404" s="120"/>
      <c r="QM404" s="120"/>
      <c r="QN404" s="120"/>
      <c r="QO404" s="120"/>
      <c r="QP404" s="120"/>
      <c r="QQ404" s="120"/>
      <c r="QR404" s="120"/>
      <c r="QS404" s="120"/>
      <c r="QT404" s="120"/>
      <c r="QU404" s="120"/>
      <c r="QV404" s="120"/>
      <c r="QW404" s="120"/>
      <c r="QX404" s="120"/>
      <c r="QY404" s="120"/>
      <c r="QZ404" s="120"/>
      <c r="RA404" s="120"/>
      <c r="RB404" s="120"/>
      <c r="RC404" s="120"/>
      <c r="RD404" s="120"/>
      <c r="RE404" s="120"/>
      <c r="RF404" s="120"/>
      <c r="RG404" s="120"/>
      <c r="RH404" s="120"/>
      <c r="RI404" s="120"/>
      <c r="RJ404" s="120"/>
      <c r="RK404" s="120"/>
      <c r="RL404" s="120"/>
      <c r="RM404" s="120"/>
      <c r="RN404" s="120"/>
      <c r="RO404" s="120"/>
      <c r="RP404" s="120"/>
      <c r="RQ404" s="120"/>
      <c r="RR404" s="120"/>
      <c r="RS404" s="120"/>
      <c r="RT404" s="120"/>
      <c r="RU404" s="120"/>
      <c r="RV404" s="120"/>
      <c r="RW404" s="120"/>
      <c r="RX404" s="120"/>
      <c r="RY404" s="120"/>
      <c r="RZ404" s="120"/>
      <c r="SA404" s="120"/>
      <c r="SB404" s="120"/>
      <c r="SC404" s="120"/>
      <c r="SD404" s="120"/>
      <c r="SE404" s="120"/>
      <c r="SF404" s="120"/>
      <c r="SG404" s="120"/>
      <c r="SH404" s="120"/>
      <c r="SI404" s="120"/>
      <c r="SJ404" s="120"/>
      <c r="SK404" s="120"/>
      <c r="SL404" s="120"/>
      <c r="SM404" s="120"/>
      <c r="SN404" s="120"/>
      <c r="SO404" s="120"/>
      <c r="SP404" s="120"/>
      <c r="SQ404" s="120"/>
      <c r="SR404" s="120"/>
      <c r="SS404" s="120"/>
      <c r="ST404" s="120"/>
      <c r="SU404" s="120"/>
      <c r="SV404" s="120"/>
      <c r="SW404" s="120"/>
      <c r="SX404" s="120"/>
      <c r="SY404" s="120"/>
      <c r="SZ404" s="120"/>
      <c r="TA404" s="120"/>
      <c r="TB404" s="120"/>
      <c r="TC404" s="120"/>
      <c r="TD404" s="120"/>
      <c r="TE404" s="120"/>
      <c r="TF404" s="120"/>
      <c r="TG404" s="120"/>
      <c r="TH404" s="120"/>
      <c r="TI404" s="120"/>
      <c r="TJ404" s="120"/>
      <c r="TK404" s="120"/>
      <c r="TL404" s="120"/>
      <c r="TM404" s="120"/>
      <c r="TN404" s="120"/>
      <c r="TO404" s="120"/>
      <c r="TP404" s="120"/>
      <c r="TQ404" s="120"/>
      <c r="TR404" s="120"/>
      <c r="TS404" s="120"/>
      <c r="TT404" s="120"/>
      <c r="TU404" s="120"/>
      <c r="TV404" s="120"/>
      <c r="TW404" s="120"/>
      <c r="TX404" s="120"/>
      <c r="TY404" s="120"/>
      <c r="TZ404" s="120"/>
      <c r="UA404" s="120"/>
      <c r="UB404" s="120"/>
      <c r="UC404" s="120"/>
      <c r="UD404" s="120"/>
      <c r="UE404" s="120"/>
      <c r="UF404" s="120"/>
      <c r="UG404" s="120"/>
      <c r="UH404" s="120"/>
      <c r="UI404" s="120"/>
      <c r="UJ404" s="120"/>
      <c r="UK404" s="120"/>
      <c r="UL404" s="120"/>
      <c r="UM404" s="120"/>
      <c r="UN404" s="120"/>
      <c r="UO404" s="120"/>
      <c r="UP404" s="120"/>
      <c r="UQ404" s="120"/>
      <c r="UR404" s="120"/>
      <c r="US404" s="120"/>
      <c r="UT404" s="120"/>
      <c r="UU404" s="120"/>
      <c r="UV404" s="120"/>
      <c r="UW404" s="120"/>
      <c r="UX404" s="120"/>
      <c r="UY404" s="120"/>
      <c r="UZ404" s="120"/>
      <c r="VA404" s="120"/>
      <c r="VB404" s="120"/>
      <c r="VC404" s="120"/>
      <c r="VD404" s="120"/>
      <c r="VE404" s="120"/>
      <c r="VF404" s="120"/>
      <c r="VG404" s="120"/>
      <c r="VH404" s="120"/>
      <c r="VI404" s="120"/>
      <c r="VJ404" s="120"/>
      <c r="VK404" s="120"/>
      <c r="VL404" s="120"/>
      <c r="VM404" s="120"/>
      <c r="VN404" s="120"/>
      <c r="VO404" s="120"/>
      <c r="VP404" s="120"/>
      <c r="VQ404" s="120"/>
      <c r="VR404" s="120"/>
      <c r="VS404" s="120"/>
      <c r="VT404" s="120"/>
      <c r="VU404" s="120"/>
      <c r="VV404" s="120"/>
      <c r="VW404" s="120"/>
      <c r="VX404" s="120"/>
      <c r="VY404" s="120"/>
      <c r="VZ404" s="120"/>
      <c r="WA404" s="120"/>
      <c r="WB404" s="120"/>
      <c r="WC404" s="120"/>
      <c r="WD404" s="120"/>
      <c r="WE404" s="120"/>
      <c r="WF404" s="120"/>
      <c r="WG404" s="120"/>
      <c r="WH404" s="120"/>
      <c r="WI404" s="120"/>
      <c r="WJ404" s="120"/>
      <c r="WK404" s="120"/>
      <c r="WL404" s="120"/>
      <c r="WM404" s="120"/>
      <c r="WN404" s="120"/>
      <c r="WO404" s="120"/>
      <c r="WP404" s="120"/>
      <c r="WQ404" s="120"/>
      <c r="WR404" s="120"/>
      <c r="WS404" s="120"/>
      <c r="WT404" s="120"/>
      <c r="WU404" s="120"/>
      <c r="WV404" s="120"/>
      <c r="WW404" s="120"/>
      <c r="WX404" s="120"/>
      <c r="WY404" s="120"/>
      <c r="WZ404" s="120"/>
      <c r="XA404" s="120"/>
      <c r="XB404" s="120"/>
      <c r="XC404" s="120"/>
      <c r="XD404" s="120"/>
      <c r="XE404" s="120"/>
      <c r="XF404" s="120"/>
      <c r="XG404" s="120"/>
      <c r="XH404" s="120"/>
      <c r="XI404" s="120"/>
      <c r="XJ404" s="120"/>
      <c r="XK404" s="120"/>
      <c r="XL404" s="120"/>
      <c r="XM404" s="120"/>
      <c r="XN404" s="120"/>
      <c r="XO404" s="120"/>
      <c r="XP404" s="120"/>
      <c r="XQ404" s="120"/>
      <c r="XR404" s="120"/>
      <c r="XS404" s="120"/>
      <c r="XT404" s="120"/>
      <c r="XU404" s="120"/>
      <c r="XV404" s="120"/>
      <c r="XW404" s="120"/>
      <c r="XX404" s="120"/>
      <c r="XY404" s="120"/>
      <c r="XZ404" s="120"/>
      <c r="YA404" s="120"/>
      <c r="YB404" s="120"/>
      <c r="YC404" s="120"/>
      <c r="YD404" s="120"/>
      <c r="YE404" s="120"/>
      <c r="YF404" s="120"/>
      <c r="YG404" s="120"/>
      <c r="YH404" s="120"/>
      <c r="YI404" s="120"/>
      <c r="YJ404" s="120"/>
      <c r="YK404" s="120"/>
      <c r="YL404" s="120"/>
      <c r="YM404" s="120"/>
      <c r="YN404" s="120"/>
      <c r="YO404" s="120"/>
      <c r="YP404" s="120"/>
      <c r="YQ404" s="120"/>
      <c r="YR404" s="120"/>
      <c r="YS404" s="120"/>
      <c r="YT404" s="120"/>
      <c r="YU404" s="120"/>
      <c r="YV404" s="120"/>
      <c r="YW404" s="120"/>
      <c r="YX404" s="120"/>
      <c r="YY404" s="120"/>
      <c r="YZ404" s="120"/>
      <c r="ZA404" s="120"/>
      <c r="ZB404" s="120"/>
      <c r="ZC404" s="120"/>
      <c r="ZD404" s="120"/>
      <c r="ZE404" s="120"/>
      <c r="ZF404" s="120"/>
      <c r="ZG404" s="120"/>
      <c r="ZH404" s="120"/>
      <c r="ZI404" s="120"/>
      <c r="ZJ404" s="120"/>
      <c r="ZK404" s="120"/>
      <c r="ZL404" s="120"/>
      <c r="ZM404" s="120"/>
      <c r="ZN404" s="120"/>
      <c r="ZO404" s="120"/>
      <c r="ZP404" s="120"/>
      <c r="ZQ404" s="120"/>
      <c r="ZR404" s="120"/>
      <c r="ZS404" s="120"/>
      <c r="ZT404" s="120"/>
      <c r="ZU404" s="120"/>
      <c r="ZV404" s="120"/>
      <c r="ZW404" s="120"/>
      <c r="ZX404" s="120"/>
      <c r="ZY404" s="120"/>
      <c r="ZZ404" s="120"/>
      <c r="AAA404" s="120"/>
      <c r="AAB404" s="120"/>
      <c r="AAC404" s="120"/>
      <c r="AAD404" s="120"/>
      <c r="AAE404" s="120"/>
      <c r="AAF404" s="120"/>
      <c r="AAG404" s="120"/>
      <c r="AAH404" s="120"/>
      <c r="AAI404" s="120"/>
      <c r="AAJ404" s="120"/>
      <c r="AAK404" s="120"/>
      <c r="AAL404" s="120"/>
      <c r="AAM404" s="120"/>
      <c r="AAN404" s="120"/>
      <c r="AAO404" s="120"/>
      <c r="AAP404" s="120"/>
      <c r="AAQ404" s="120"/>
      <c r="AAR404" s="120"/>
      <c r="AAS404" s="120"/>
      <c r="AAT404" s="120"/>
      <c r="AAU404" s="120"/>
      <c r="AAV404" s="120"/>
      <c r="AAW404" s="120"/>
      <c r="AAX404" s="120"/>
      <c r="AAY404" s="120"/>
      <c r="AAZ404" s="120"/>
      <c r="ABA404" s="120"/>
      <c r="ABB404" s="120"/>
      <c r="ABC404" s="120"/>
      <c r="ABD404" s="120"/>
      <c r="ABE404" s="120"/>
      <c r="ABF404" s="120"/>
      <c r="ABG404" s="120"/>
      <c r="ABH404" s="120"/>
      <c r="ABI404" s="120"/>
      <c r="ABJ404" s="120"/>
      <c r="ABK404" s="120"/>
      <c r="ABL404" s="120"/>
      <c r="ABM404" s="120"/>
      <c r="ABN404" s="120"/>
      <c r="ABO404" s="120"/>
      <c r="ABP404" s="120"/>
      <c r="ABQ404" s="120"/>
      <c r="ABR404" s="120"/>
      <c r="ABS404" s="120"/>
      <c r="ABT404" s="120"/>
      <c r="ABU404" s="120"/>
      <c r="ABV404" s="120"/>
      <c r="ABW404" s="120"/>
      <c r="ABX404" s="120"/>
      <c r="ABY404" s="120"/>
      <c r="ABZ404" s="120"/>
      <c r="ACA404" s="120"/>
      <c r="ACB404" s="120"/>
      <c r="ACC404" s="120"/>
      <c r="ACD404" s="120"/>
      <c r="ACE404" s="120"/>
      <c r="ACF404" s="120"/>
      <c r="ACG404" s="120"/>
      <c r="ACH404" s="120"/>
      <c r="ACI404" s="120"/>
      <c r="ACJ404" s="120"/>
      <c r="ACK404" s="120"/>
      <c r="ACL404" s="120"/>
      <c r="ACM404" s="120"/>
      <c r="ACN404" s="120"/>
      <c r="ACO404" s="120"/>
      <c r="ACP404" s="120"/>
      <c r="ACQ404" s="120"/>
      <c r="ACR404" s="120"/>
      <c r="ACS404" s="120"/>
      <c r="ACT404" s="120"/>
      <c r="ACU404" s="120"/>
      <c r="ACV404" s="120"/>
      <c r="ACW404" s="120"/>
      <c r="ACX404" s="120"/>
      <c r="ACY404" s="120"/>
      <c r="ACZ404" s="120"/>
      <c r="ADA404" s="120"/>
      <c r="ADB404" s="120"/>
      <c r="ADC404" s="120"/>
      <c r="ADD404" s="120"/>
      <c r="ADE404" s="120"/>
      <c r="ADF404" s="120"/>
      <c r="ADG404" s="120"/>
      <c r="ADH404" s="120"/>
      <c r="ADI404" s="120"/>
      <c r="ADJ404" s="120"/>
      <c r="ADK404" s="120"/>
      <c r="ADL404" s="120"/>
      <c r="ADM404" s="120"/>
      <c r="ADN404" s="120"/>
      <c r="ADO404" s="120"/>
      <c r="ADP404" s="120"/>
      <c r="ADQ404" s="120"/>
      <c r="ADR404" s="120"/>
      <c r="ADS404" s="120"/>
      <c r="ADT404" s="120"/>
      <c r="ADU404" s="120"/>
      <c r="ADV404" s="120"/>
      <c r="ADW404" s="120"/>
      <c r="ADX404" s="120"/>
      <c r="ADY404" s="120"/>
      <c r="ADZ404" s="120"/>
      <c r="AEA404" s="120"/>
      <c r="AEB404" s="120"/>
      <c r="AEC404" s="120"/>
      <c r="AED404" s="120"/>
      <c r="AEE404" s="120"/>
      <c r="AEF404" s="120"/>
      <c r="AEG404" s="120"/>
      <c r="AEH404" s="120"/>
      <c r="AEI404" s="120"/>
      <c r="AEJ404" s="120"/>
      <c r="AEK404" s="120"/>
      <c r="AEL404" s="120"/>
      <c r="AEM404" s="120"/>
      <c r="AEN404" s="120"/>
      <c r="AEO404" s="120"/>
      <c r="AEP404" s="120"/>
      <c r="AEQ404" s="120"/>
      <c r="AER404" s="120"/>
      <c r="AES404" s="120"/>
      <c r="AET404" s="120"/>
      <c r="AEU404" s="120"/>
      <c r="AEV404" s="120"/>
      <c r="AEW404" s="120"/>
      <c r="AEX404" s="120"/>
      <c r="AEY404" s="120"/>
      <c r="AEZ404" s="120"/>
      <c r="AFA404" s="120"/>
      <c r="AFB404" s="120"/>
      <c r="AFC404" s="120"/>
      <c r="AFD404" s="120"/>
      <c r="AFE404" s="120"/>
      <c r="AFF404" s="120"/>
      <c r="AFG404" s="120"/>
      <c r="AFH404" s="120"/>
      <c r="AFI404" s="120"/>
      <c r="AFJ404" s="120"/>
      <c r="AFK404" s="120"/>
      <c r="AFL404" s="120"/>
      <c r="AFM404" s="120"/>
      <c r="AFN404" s="120"/>
      <c r="AFO404" s="120"/>
      <c r="AFP404" s="120"/>
      <c r="AFQ404" s="120"/>
      <c r="AFR404" s="120"/>
      <c r="AFS404" s="120"/>
      <c r="AFT404" s="120"/>
      <c r="AFU404" s="120"/>
      <c r="AFV404" s="120"/>
      <c r="AFW404" s="120"/>
      <c r="AFX404" s="120"/>
      <c r="AFY404" s="120"/>
      <c r="AFZ404" s="120"/>
      <c r="AGA404" s="120"/>
      <c r="AGB404" s="120"/>
      <c r="AGC404" s="120"/>
      <c r="AGD404" s="120"/>
      <c r="AGE404" s="120"/>
      <c r="AGF404" s="120"/>
      <c r="AGG404" s="120"/>
      <c r="AGH404" s="120"/>
      <c r="AGI404" s="120"/>
      <c r="AGJ404" s="120"/>
      <c r="AGK404" s="120"/>
      <c r="AGL404" s="120"/>
      <c r="AGM404" s="120"/>
      <c r="AGN404" s="120"/>
      <c r="AGO404" s="120"/>
      <c r="AGP404" s="120"/>
      <c r="AGQ404" s="120"/>
      <c r="AGR404" s="120"/>
      <c r="AGS404" s="120"/>
      <c r="AGT404" s="120"/>
      <c r="AGU404" s="120"/>
      <c r="AGV404" s="120"/>
      <c r="AGW404" s="120"/>
      <c r="AGX404" s="120"/>
      <c r="AGY404" s="120"/>
      <c r="AGZ404" s="120"/>
      <c r="AHA404" s="120"/>
      <c r="AHB404" s="120"/>
      <c r="AHC404" s="120"/>
      <c r="AHD404" s="120"/>
      <c r="AHE404" s="120"/>
      <c r="AHF404" s="120"/>
      <c r="AHG404" s="120"/>
      <c r="AHH404" s="120"/>
      <c r="AHI404" s="120"/>
      <c r="AHJ404" s="120"/>
      <c r="AHK404" s="120"/>
      <c r="AHL404" s="120"/>
      <c r="AHM404" s="120"/>
      <c r="AHN404" s="120"/>
      <c r="AHO404" s="120"/>
      <c r="AHP404" s="120"/>
      <c r="AHQ404" s="120"/>
      <c r="AHR404" s="120"/>
      <c r="AHS404" s="120"/>
      <c r="AHT404" s="120"/>
      <c r="AHU404" s="120"/>
      <c r="AHV404" s="120"/>
      <c r="AHW404" s="120"/>
      <c r="AHX404" s="120"/>
      <c r="AHY404" s="120"/>
      <c r="AHZ404" s="120"/>
      <c r="AIA404" s="120"/>
      <c r="AIB404" s="120"/>
      <c r="AIC404" s="120"/>
      <c r="AID404" s="120"/>
      <c r="AIE404" s="120"/>
      <c r="AIF404" s="120"/>
      <c r="AIG404" s="120"/>
      <c r="AIH404" s="120"/>
      <c r="AII404" s="120"/>
      <c r="AIJ404" s="120"/>
      <c r="AIK404" s="120"/>
      <c r="AIL404" s="120"/>
      <c r="AIM404" s="120"/>
      <c r="AIN404" s="120"/>
      <c r="AIO404" s="120"/>
      <c r="AIP404" s="120"/>
      <c r="AIQ404" s="120"/>
      <c r="AIR404" s="120"/>
      <c r="AIS404" s="120"/>
      <c r="AIT404" s="120"/>
      <c r="AIU404" s="120"/>
      <c r="AIV404" s="120"/>
      <c r="AIW404" s="120"/>
      <c r="AIX404" s="120"/>
      <c r="AIY404" s="120"/>
      <c r="AIZ404" s="120"/>
    </row>
    <row r="405">
      <c r="A405" s="112" t="s">
        <v>38</v>
      </c>
      <c r="B405" s="112" t="s">
        <v>39</v>
      </c>
      <c r="C405" s="112"/>
      <c r="D405" s="113">
        <f t="shared" si="1"/>
        <v>560.7474333</v>
      </c>
      <c r="E405" s="112">
        <v>113.88175</v>
      </c>
      <c r="F405" s="113"/>
      <c r="G405" s="113"/>
      <c r="H405" s="113"/>
      <c r="I405" s="113"/>
      <c r="J405" s="113"/>
      <c r="K405" s="113"/>
      <c r="L405" s="112">
        <v>1.97435</v>
      </c>
      <c r="M405" s="112">
        <v>20.4298166666667</v>
      </c>
      <c r="N405" s="113"/>
      <c r="O405" s="112">
        <v>0.291366666666667</v>
      </c>
      <c r="P405" s="112">
        <v>32.0841666666667</v>
      </c>
      <c r="Q405" s="113"/>
      <c r="R405" s="113"/>
      <c r="S405" s="113"/>
      <c r="T405" s="113"/>
      <c r="U405" s="113"/>
      <c r="V405" s="112">
        <v>0.149616666666667</v>
      </c>
      <c r="W405" s="112">
        <v>91.8090166666666</v>
      </c>
      <c r="X405" s="113"/>
      <c r="Y405" s="113"/>
      <c r="Z405" s="113"/>
      <c r="AA405" s="113"/>
      <c r="AB405" s="113"/>
      <c r="AC405" s="112">
        <v>1.37918333333333</v>
      </c>
      <c r="AD405" s="112">
        <v>202.868683333333</v>
      </c>
      <c r="AE405" s="113"/>
      <c r="AF405" s="113"/>
      <c r="AG405" s="113"/>
      <c r="AH405" s="113"/>
      <c r="AI405" s="113"/>
      <c r="AJ405" s="112">
        <v>3.58441666666667</v>
      </c>
      <c r="AK405" s="112">
        <v>22.0167666666667</v>
      </c>
      <c r="AL405" s="113"/>
      <c r="AM405" s="113"/>
      <c r="AN405" s="113"/>
      <c r="AO405" s="112">
        <v>3.43498333333333</v>
      </c>
      <c r="AP405" s="112">
        <v>10.5810666666667</v>
      </c>
      <c r="AQ405" s="113"/>
      <c r="AR405" s="113"/>
      <c r="AS405" s="112">
        <v>1.11968333333333</v>
      </c>
      <c r="AT405" s="112">
        <v>51.8055166666667</v>
      </c>
      <c r="AU405" s="113"/>
      <c r="AV405" s="112">
        <v>3.2248</v>
      </c>
      <c r="AW405" s="112">
        <v>0.11225</v>
      </c>
      <c r="AX405" s="113"/>
      <c r="AY405" s="113"/>
      <c r="AZ405" s="113"/>
      <c r="BA405" s="113"/>
      <c r="BB405" s="113"/>
      <c r="BC405" s="113"/>
      <c r="BD405" s="113"/>
      <c r="BE405" s="113"/>
      <c r="BF405" s="113"/>
      <c r="BG405" s="113"/>
      <c r="BH405" s="113"/>
      <c r="BI405" s="113"/>
      <c r="BJ405" s="113"/>
      <c r="BK405" s="113"/>
      <c r="BL405" s="113"/>
      <c r="BM405" s="113"/>
      <c r="BN405" s="113"/>
      <c r="BO405" s="113"/>
      <c r="BP405" s="113"/>
      <c r="BQ405" s="113"/>
      <c r="BR405" s="113"/>
      <c r="BS405" s="113"/>
      <c r="BT405" s="113"/>
      <c r="BU405" s="113"/>
      <c r="BV405" s="113"/>
      <c r="BW405" s="113"/>
      <c r="BX405" s="113"/>
      <c r="BY405" s="113"/>
      <c r="BZ405" s="113"/>
      <c r="CA405" s="113"/>
      <c r="CB405" s="113"/>
      <c r="CC405" s="113"/>
      <c r="CD405" s="113"/>
      <c r="CE405" s="113"/>
      <c r="CF405" s="113"/>
      <c r="CG405" s="113"/>
      <c r="CH405" s="113"/>
      <c r="CI405" s="113"/>
      <c r="CJ405" s="113"/>
      <c r="CK405" s="113"/>
      <c r="CL405" s="113"/>
      <c r="CM405" s="113"/>
      <c r="CN405" s="113"/>
      <c r="CO405" s="113"/>
      <c r="CP405" s="113"/>
      <c r="CQ405" s="113"/>
      <c r="CR405" s="113"/>
      <c r="CS405" s="113"/>
      <c r="CT405" s="113"/>
      <c r="CU405" s="113"/>
      <c r="CV405" s="113"/>
      <c r="CW405" s="113"/>
      <c r="CX405" s="113"/>
      <c r="CY405" s="113"/>
      <c r="CZ405" s="113"/>
      <c r="DA405" s="113"/>
      <c r="DB405" s="113"/>
      <c r="DC405" s="113"/>
      <c r="DD405" s="113"/>
      <c r="DE405" s="113"/>
      <c r="DF405" s="113"/>
      <c r="DG405" s="113"/>
      <c r="DH405" s="113"/>
      <c r="DI405" s="113"/>
      <c r="DJ405" s="113"/>
      <c r="DK405" s="113"/>
      <c r="DL405" s="113"/>
      <c r="DM405" s="113"/>
      <c r="DN405" s="113"/>
      <c r="DO405" s="113"/>
      <c r="DP405" s="113"/>
      <c r="DQ405" s="113"/>
      <c r="DR405" s="113"/>
      <c r="DS405" s="113"/>
      <c r="DT405" s="113"/>
      <c r="DU405" s="113"/>
      <c r="DV405" s="113"/>
      <c r="DW405" s="113"/>
      <c r="DX405" s="113"/>
      <c r="DY405" s="113"/>
      <c r="DZ405" s="113"/>
      <c r="EA405" s="113"/>
      <c r="EB405" s="113"/>
      <c r="EC405" s="113"/>
      <c r="ED405" s="113"/>
      <c r="EE405" s="113"/>
      <c r="EF405" s="113"/>
      <c r="EG405" s="113"/>
      <c r="EH405" s="113"/>
      <c r="EI405" s="113"/>
      <c r="EJ405" s="113"/>
      <c r="EK405" s="113"/>
      <c r="EL405" s="113"/>
      <c r="EM405" s="113"/>
      <c r="EN405" s="113"/>
      <c r="EO405" s="113"/>
      <c r="EP405" s="113"/>
      <c r="EQ405" s="113"/>
      <c r="ER405" s="113"/>
      <c r="ES405" s="113"/>
      <c r="ET405" s="113"/>
      <c r="EU405" s="113"/>
      <c r="EV405" s="113"/>
      <c r="EW405" s="113"/>
      <c r="EX405" s="113"/>
      <c r="EY405" s="113"/>
      <c r="EZ405" s="113"/>
      <c r="FA405" s="113"/>
      <c r="FB405" s="113"/>
      <c r="FC405" s="113"/>
      <c r="FD405" s="113"/>
      <c r="FE405" s="113"/>
      <c r="FF405" s="113"/>
      <c r="FG405" s="113"/>
      <c r="FH405" s="113"/>
      <c r="FI405" s="113"/>
      <c r="FJ405" s="113"/>
      <c r="FK405" s="113"/>
      <c r="FL405" s="113"/>
      <c r="FM405" s="113"/>
      <c r="FN405" s="113"/>
      <c r="FO405" s="113"/>
      <c r="FP405" s="113"/>
      <c r="FQ405" s="113"/>
      <c r="FR405" s="113"/>
      <c r="FS405" s="113"/>
      <c r="FT405" s="113"/>
      <c r="FU405" s="113"/>
      <c r="FV405" s="113"/>
      <c r="FW405" s="113"/>
      <c r="FX405" s="113"/>
      <c r="FY405" s="113"/>
      <c r="FZ405" s="113"/>
      <c r="GA405" s="113"/>
      <c r="GB405" s="113"/>
      <c r="GC405" s="113"/>
      <c r="GD405" s="113"/>
      <c r="GE405" s="113"/>
      <c r="GF405" s="113"/>
      <c r="GG405" s="113"/>
      <c r="GH405" s="113"/>
      <c r="GI405" s="113"/>
      <c r="GJ405" s="113"/>
      <c r="GK405" s="113"/>
      <c r="GL405" s="113"/>
      <c r="GM405" s="113"/>
      <c r="GN405" s="113"/>
      <c r="GO405" s="113"/>
      <c r="GP405" s="113"/>
      <c r="GQ405" s="113"/>
      <c r="GR405" s="113"/>
      <c r="GS405" s="113"/>
      <c r="GT405" s="113"/>
      <c r="GU405" s="113"/>
      <c r="GV405" s="113"/>
      <c r="GW405" s="113"/>
      <c r="GX405" s="113"/>
      <c r="GY405" s="113"/>
      <c r="GZ405" s="113"/>
      <c r="HA405" s="113"/>
      <c r="HB405" s="113"/>
      <c r="HC405" s="113"/>
      <c r="HD405" s="113"/>
      <c r="HE405" s="113"/>
      <c r="HF405" s="113"/>
      <c r="HG405" s="113"/>
      <c r="HH405" s="113"/>
      <c r="HI405" s="113"/>
      <c r="HJ405" s="113"/>
      <c r="HK405" s="113"/>
      <c r="HL405" s="113"/>
      <c r="HM405" s="113"/>
      <c r="HN405" s="113"/>
      <c r="HO405" s="113"/>
      <c r="HP405" s="113"/>
      <c r="HQ405" s="113"/>
      <c r="HR405" s="113"/>
      <c r="HS405" s="113"/>
      <c r="HT405" s="113"/>
      <c r="HU405" s="113"/>
      <c r="HV405" s="113"/>
      <c r="HW405" s="113"/>
      <c r="HX405" s="113"/>
      <c r="HY405" s="113"/>
      <c r="HZ405" s="113"/>
      <c r="IA405" s="113"/>
      <c r="IB405" s="113"/>
      <c r="IC405" s="113"/>
      <c r="ID405" s="113"/>
      <c r="IE405" s="113"/>
      <c r="IF405" s="113"/>
      <c r="IG405" s="113"/>
      <c r="IH405" s="113"/>
      <c r="II405" s="113"/>
      <c r="IJ405" s="113"/>
      <c r="IK405" s="113"/>
      <c r="IL405" s="113"/>
      <c r="IM405" s="113"/>
      <c r="IN405" s="113"/>
      <c r="IO405" s="113"/>
      <c r="IP405" s="113"/>
      <c r="IQ405" s="113"/>
      <c r="IR405" s="113"/>
      <c r="IS405" s="113"/>
      <c r="IT405" s="113"/>
      <c r="IU405" s="113"/>
      <c r="IV405" s="113"/>
      <c r="IW405" s="113"/>
      <c r="IX405" s="113"/>
      <c r="IY405" s="113"/>
      <c r="IZ405" s="113"/>
      <c r="JA405" s="113"/>
      <c r="JB405" s="113"/>
      <c r="JC405" s="113"/>
      <c r="JD405" s="113"/>
      <c r="JE405" s="113"/>
      <c r="JF405" s="113"/>
      <c r="JG405" s="113"/>
      <c r="JH405" s="113"/>
      <c r="JI405" s="113"/>
      <c r="JJ405" s="113"/>
      <c r="JK405" s="113"/>
      <c r="JL405" s="113"/>
      <c r="JM405" s="113"/>
      <c r="JN405" s="113"/>
      <c r="JO405" s="113"/>
      <c r="JP405" s="113"/>
      <c r="JQ405" s="113"/>
      <c r="JR405" s="113"/>
      <c r="JS405" s="113"/>
      <c r="JT405" s="113"/>
      <c r="JU405" s="113"/>
      <c r="JV405" s="113"/>
      <c r="JW405" s="113"/>
      <c r="JX405" s="113"/>
      <c r="JY405" s="113"/>
      <c r="JZ405" s="113"/>
      <c r="KA405" s="113"/>
      <c r="KB405" s="113"/>
      <c r="KC405" s="113"/>
      <c r="KD405" s="113"/>
      <c r="KE405" s="113"/>
      <c r="KF405" s="113"/>
      <c r="KG405" s="113"/>
      <c r="KH405" s="113"/>
      <c r="KI405" s="113"/>
      <c r="KJ405" s="113"/>
      <c r="KK405" s="113"/>
      <c r="KL405" s="113"/>
      <c r="KM405" s="113"/>
      <c r="KN405" s="113"/>
      <c r="KO405" s="113"/>
      <c r="KP405" s="113"/>
      <c r="KQ405" s="113"/>
      <c r="KR405" s="113"/>
      <c r="KS405" s="113"/>
      <c r="KT405" s="113"/>
      <c r="KU405" s="113"/>
      <c r="KV405" s="113"/>
      <c r="KW405" s="113"/>
      <c r="KX405" s="113"/>
      <c r="KY405" s="113"/>
      <c r="KZ405" s="113"/>
      <c r="LA405" s="113"/>
      <c r="LB405" s="113"/>
      <c r="LC405" s="113"/>
      <c r="LD405" s="113"/>
      <c r="LE405" s="113"/>
      <c r="LF405" s="113"/>
      <c r="LG405" s="113"/>
      <c r="LH405" s="113"/>
      <c r="LI405" s="113"/>
      <c r="LJ405" s="113"/>
      <c r="LK405" s="113"/>
      <c r="LL405" s="113"/>
      <c r="LM405" s="113"/>
      <c r="LN405" s="113"/>
      <c r="LO405" s="113"/>
      <c r="LP405" s="113"/>
      <c r="LQ405" s="113"/>
      <c r="LR405" s="113"/>
      <c r="LS405" s="113"/>
      <c r="LT405" s="113"/>
      <c r="LU405" s="113"/>
      <c r="LV405" s="113"/>
      <c r="LW405" s="113"/>
      <c r="LX405" s="113"/>
      <c r="LY405" s="113"/>
      <c r="LZ405" s="113"/>
      <c r="MA405" s="113"/>
      <c r="MB405" s="113"/>
      <c r="MC405" s="113"/>
      <c r="MD405" s="113"/>
      <c r="ME405" s="113"/>
      <c r="MF405" s="113"/>
      <c r="MG405" s="113"/>
      <c r="MH405" s="113"/>
      <c r="MI405" s="113"/>
      <c r="MJ405" s="113"/>
      <c r="MK405" s="113"/>
      <c r="ML405" s="113"/>
      <c r="MM405" s="113"/>
      <c r="MN405" s="113"/>
      <c r="MO405" s="113"/>
      <c r="MP405" s="113"/>
      <c r="MQ405" s="113"/>
      <c r="MR405" s="113"/>
      <c r="MS405" s="113"/>
      <c r="MT405" s="113"/>
      <c r="MU405" s="113"/>
      <c r="MV405" s="113"/>
      <c r="MW405" s="113"/>
      <c r="MX405" s="113"/>
      <c r="MY405" s="113"/>
      <c r="MZ405" s="113"/>
      <c r="NA405" s="113"/>
      <c r="NB405" s="113"/>
      <c r="NC405" s="113"/>
      <c r="ND405" s="113"/>
      <c r="NE405" s="113"/>
      <c r="NF405" s="113"/>
      <c r="NG405" s="113"/>
      <c r="NH405" s="113"/>
      <c r="NI405" s="113"/>
      <c r="NJ405" s="113"/>
      <c r="NK405" s="113"/>
      <c r="NL405" s="113"/>
      <c r="NM405" s="113"/>
      <c r="NN405" s="113"/>
      <c r="NO405" s="113"/>
      <c r="NP405" s="113"/>
      <c r="NQ405" s="113"/>
      <c r="NR405" s="113"/>
      <c r="NS405" s="113"/>
      <c r="NT405" s="113"/>
      <c r="NU405" s="113"/>
      <c r="NV405" s="113"/>
      <c r="NW405" s="113"/>
      <c r="NX405" s="113"/>
      <c r="NY405" s="113"/>
      <c r="NZ405" s="113"/>
      <c r="OA405" s="113"/>
      <c r="OB405" s="113"/>
      <c r="OC405" s="113"/>
      <c r="OD405" s="113"/>
      <c r="OE405" s="113"/>
      <c r="OF405" s="113"/>
      <c r="OG405" s="113"/>
      <c r="OH405" s="113"/>
      <c r="OI405" s="113"/>
      <c r="OJ405" s="113"/>
      <c r="OK405" s="113"/>
      <c r="OL405" s="113"/>
      <c r="OM405" s="113"/>
      <c r="ON405" s="113"/>
      <c r="OO405" s="113"/>
      <c r="OP405" s="113"/>
      <c r="OQ405" s="113"/>
      <c r="OR405" s="113"/>
      <c r="OS405" s="113"/>
      <c r="OT405" s="113"/>
      <c r="OU405" s="113"/>
      <c r="OV405" s="113"/>
      <c r="OW405" s="113"/>
      <c r="OX405" s="113"/>
      <c r="OY405" s="113"/>
      <c r="OZ405" s="113"/>
      <c r="PA405" s="113"/>
      <c r="PB405" s="113"/>
      <c r="PC405" s="113"/>
      <c r="PD405" s="113"/>
      <c r="PE405" s="113"/>
      <c r="PF405" s="113"/>
      <c r="PG405" s="113"/>
      <c r="PH405" s="113"/>
      <c r="PI405" s="113"/>
      <c r="PJ405" s="113"/>
      <c r="PK405" s="113"/>
      <c r="PL405" s="113"/>
      <c r="PM405" s="113"/>
      <c r="PN405" s="113"/>
      <c r="PO405" s="113"/>
      <c r="PP405" s="113"/>
      <c r="PQ405" s="113"/>
      <c r="PR405" s="113"/>
      <c r="PS405" s="113"/>
      <c r="PT405" s="113"/>
      <c r="PU405" s="113"/>
      <c r="PV405" s="113"/>
      <c r="PW405" s="113"/>
      <c r="PX405" s="113"/>
      <c r="PY405" s="113"/>
      <c r="PZ405" s="113"/>
      <c r="QA405" s="113"/>
      <c r="QB405" s="113"/>
      <c r="QC405" s="113"/>
      <c r="QD405" s="113"/>
      <c r="QE405" s="113"/>
      <c r="QF405" s="113"/>
      <c r="QG405" s="113"/>
      <c r="QH405" s="113"/>
      <c r="QI405" s="113"/>
      <c r="QJ405" s="113"/>
      <c r="QK405" s="113"/>
      <c r="QL405" s="113"/>
      <c r="QM405" s="113"/>
      <c r="QN405" s="113"/>
      <c r="QO405" s="113"/>
      <c r="QP405" s="113"/>
      <c r="QQ405" s="113"/>
      <c r="QR405" s="113"/>
      <c r="QS405" s="113"/>
      <c r="QT405" s="113"/>
      <c r="QU405" s="113"/>
      <c r="QV405" s="113"/>
      <c r="QW405" s="113"/>
      <c r="QX405" s="113"/>
      <c r="QY405" s="113"/>
      <c r="QZ405" s="113"/>
      <c r="RA405" s="113"/>
      <c r="RB405" s="113"/>
      <c r="RC405" s="113"/>
      <c r="RD405" s="113"/>
      <c r="RE405" s="113"/>
      <c r="RF405" s="113"/>
      <c r="RG405" s="113"/>
      <c r="RH405" s="113"/>
      <c r="RI405" s="113"/>
      <c r="RJ405" s="113"/>
      <c r="RK405" s="113"/>
      <c r="RL405" s="113"/>
      <c r="RM405" s="113"/>
      <c r="RN405" s="113"/>
      <c r="RO405" s="113"/>
      <c r="RP405" s="113"/>
      <c r="RQ405" s="113"/>
      <c r="RR405" s="113"/>
      <c r="RS405" s="113"/>
      <c r="RT405" s="113"/>
      <c r="RU405" s="113"/>
      <c r="RV405" s="113"/>
      <c r="RW405" s="113"/>
      <c r="RX405" s="113"/>
      <c r="RY405" s="113"/>
      <c r="RZ405" s="113"/>
      <c r="SA405" s="113"/>
      <c r="SB405" s="113"/>
      <c r="SC405" s="113"/>
      <c r="SD405" s="113"/>
      <c r="SE405" s="113"/>
      <c r="SF405" s="113"/>
      <c r="SG405" s="113"/>
      <c r="SH405" s="113"/>
      <c r="SI405" s="113"/>
      <c r="SJ405" s="113"/>
      <c r="SK405" s="113"/>
      <c r="SL405" s="113"/>
      <c r="SM405" s="113"/>
      <c r="SN405" s="113"/>
      <c r="SO405" s="113"/>
      <c r="SP405" s="113"/>
      <c r="SQ405" s="113"/>
      <c r="SR405" s="113"/>
      <c r="SS405" s="113"/>
      <c r="ST405" s="113"/>
      <c r="SU405" s="113"/>
      <c r="SV405" s="113"/>
      <c r="SW405" s="113"/>
      <c r="SX405" s="113"/>
      <c r="SY405" s="113"/>
      <c r="SZ405" s="113"/>
      <c r="TA405" s="113"/>
      <c r="TB405" s="113"/>
      <c r="TC405" s="113"/>
      <c r="TD405" s="113"/>
      <c r="TE405" s="113"/>
      <c r="TF405" s="113"/>
      <c r="TG405" s="113"/>
      <c r="TH405" s="113"/>
      <c r="TI405" s="113"/>
      <c r="TJ405" s="113"/>
      <c r="TK405" s="113"/>
      <c r="TL405" s="113"/>
      <c r="TM405" s="113"/>
      <c r="TN405" s="113"/>
      <c r="TO405" s="113"/>
      <c r="TP405" s="113"/>
      <c r="TQ405" s="113"/>
      <c r="TR405" s="113"/>
      <c r="TS405" s="113"/>
      <c r="TT405" s="113"/>
      <c r="TU405" s="113"/>
      <c r="TV405" s="113"/>
      <c r="TW405" s="113"/>
      <c r="TX405" s="113"/>
      <c r="TY405" s="113"/>
      <c r="TZ405" s="113"/>
      <c r="UA405" s="113"/>
      <c r="UB405" s="113"/>
      <c r="UC405" s="113"/>
      <c r="UD405" s="113"/>
      <c r="UE405" s="113"/>
      <c r="UF405" s="113"/>
      <c r="UG405" s="113"/>
      <c r="UH405" s="113"/>
      <c r="UI405" s="113"/>
      <c r="UJ405" s="113"/>
      <c r="UK405" s="113"/>
      <c r="UL405" s="113"/>
      <c r="UM405" s="113"/>
      <c r="UN405" s="113"/>
      <c r="UO405" s="113"/>
      <c r="UP405" s="113"/>
      <c r="UQ405" s="113"/>
      <c r="UR405" s="113"/>
      <c r="US405" s="113"/>
      <c r="UT405" s="113"/>
      <c r="UU405" s="113"/>
      <c r="UV405" s="113"/>
      <c r="UW405" s="113"/>
      <c r="UX405" s="113"/>
      <c r="UY405" s="113"/>
      <c r="UZ405" s="113"/>
      <c r="VA405" s="113"/>
      <c r="VB405" s="113"/>
      <c r="VC405" s="113"/>
      <c r="VD405" s="113"/>
      <c r="VE405" s="113"/>
      <c r="VF405" s="113"/>
      <c r="VG405" s="113"/>
      <c r="VH405" s="113"/>
      <c r="VI405" s="113"/>
      <c r="VJ405" s="113"/>
      <c r="VK405" s="113"/>
      <c r="VL405" s="113"/>
      <c r="VM405" s="113"/>
      <c r="VN405" s="113"/>
      <c r="VO405" s="113"/>
      <c r="VP405" s="113"/>
      <c r="VQ405" s="113"/>
      <c r="VR405" s="113"/>
      <c r="VS405" s="113"/>
      <c r="VT405" s="113"/>
      <c r="VU405" s="113"/>
      <c r="VV405" s="113"/>
      <c r="VW405" s="113"/>
      <c r="VX405" s="113"/>
      <c r="VY405" s="113"/>
      <c r="VZ405" s="113"/>
      <c r="WA405" s="113"/>
      <c r="WB405" s="113"/>
      <c r="WC405" s="113"/>
      <c r="WD405" s="113"/>
      <c r="WE405" s="113"/>
      <c r="WF405" s="113"/>
      <c r="WG405" s="113"/>
      <c r="WH405" s="113"/>
      <c r="WI405" s="113"/>
      <c r="WJ405" s="113"/>
      <c r="WK405" s="113"/>
      <c r="WL405" s="113"/>
      <c r="WM405" s="113"/>
      <c r="WN405" s="113"/>
      <c r="WO405" s="113"/>
      <c r="WP405" s="113"/>
      <c r="WQ405" s="113"/>
      <c r="WR405" s="113"/>
      <c r="WS405" s="113"/>
      <c r="WT405" s="113"/>
      <c r="WU405" s="113"/>
      <c r="WV405" s="113"/>
      <c r="WW405" s="113"/>
      <c r="WX405" s="113"/>
      <c r="WY405" s="113"/>
      <c r="WZ405" s="113"/>
      <c r="XA405" s="113"/>
      <c r="XB405" s="113"/>
      <c r="XC405" s="113"/>
      <c r="XD405" s="113"/>
      <c r="XE405" s="113"/>
      <c r="XF405" s="113"/>
      <c r="XG405" s="113"/>
      <c r="XH405" s="113"/>
      <c r="XI405" s="113"/>
      <c r="XJ405" s="113"/>
      <c r="XK405" s="113"/>
      <c r="XL405" s="113"/>
      <c r="XM405" s="113"/>
      <c r="XN405" s="113"/>
      <c r="XO405" s="113"/>
      <c r="XP405" s="113"/>
      <c r="XQ405" s="113"/>
      <c r="XR405" s="113"/>
      <c r="XS405" s="113"/>
      <c r="XT405" s="113"/>
      <c r="XU405" s="113"/>
      <c r="XV405" s="113"/>
      <c r="XW405" s="113"/>
      <c r="XX405" s="113"/>
      <c r="XY405" s="113"/>
      <c r="XZ405" s="113"/>
      <c r="YA405" s="113"/>
      <c r="YB405" s="113"/>
      <c r="YC405" s="113"/>
      <c r="YD405" s="113"/>
      <c r="YE405" s="113"/>
      <c r="YF405" s="113"/>
      <c r="YG405" s="113"/>
      <c r="YH405" s="113"/>
      <c r="YI405" s="113"/>
      <c r="YJ405" s="113"/>
      <c r="YK405" s="113"/>
      <c r="YL405" s="113"/>
      <c r="YM405" s="113"/>
      <c r="YN405" s="113"/>
      <c r="YO405" s="113"/>
      <c r="YP405" s="113"/>
      <c r="YQ405" s="113"/>
      <c r="YR405" s="113"/>
      <c r="YS405" s="113"/>
      <c r="YT405" s="113"/>
      <c r="YU405" s="113"/>
      <c r="YV405" s="113"/>
      <c r="YW405" s="113"/>
      <c r="YX405" s="113"/>
      <c r="YY405" s="113"/>
      <c r="YZ405" s="113"/>
      <c r="ZA405" s="113"/>
      <c r="ZB405" s="113"/>
      <c r="ZC405" s="113"/>
      <c r="ZD405" s="113"/>
      <c r="ZE405" s="113"/>
      <c r="ZF405" s="113"/>
      <c r="ZG405" s="113"/>
      <c r="ZH405" s="113"/>
      <c r="ZI405" s="113"/>
      <c r="ZJ405" s="113"/>
      <c r="ZK405" s="113"/>
      <c r="ZL405" s="113"/>
      <c r="ZM405" s="113"/>
      <c r="ZN405" s="113"/>
      <c r="ZO405" s="113"/>
      <c r="ZP405" s="113"/>
      <c r="ZQ405" s="113"/>
      <c r="ZR405" s="113"/>
      <c r="ZS405" s="113"/>
      <c r="ZT405" s="113"/>
      <c r="ZU405" s="113"/>
      <c r="ZV405" s="113"/>
      <c r="ZW405" s="113"/>
      <c r="ZX405" s="113"/>
      <c r="ZY405" s="113"/>
      <c r="ZZ405" s="113"/>
      <c r="AAA405" s="113"/>
      <c r="AAB405" s="113"/>
      <c r="AAC405" s="113"/>
      <c r="AAD405" s="113"/>
      <c r="AAE405" s="113"/>
      <c r="AAF405" s="113"/>
      <c r="AAG405" s="113"/>
      <c r="AAH405" s="113"/>
      <c r="AAI405" s="113"/>
      <c r="AAJ405" s="113"/>
      <c r="AAK405" s="113"/>
      <c r="AAL405" s="113"/>
      <c r="AAM405" s="113"/>
      <c r="AAN405" s="113"/>
      <c r="AAO405" s="113"/>
      <c r="AAP405" s="113"/>
      <c r="AAQ405" s="113"/>
      <c r="AAR405" s="113"/>
      <c r="AAS405" s="113"/>
      <c r="AAT405" s="113"/>
      <c r="AAU405" s="113"/>
      <c r="AAV405" s="113"/>
      <c r="AAW405" s="113"/>
      <c r="AAX405" s="113"/>
      <c r="AAY405" s="113"/>
      <c r="AAZ405" s="113"/>
      <c r="ABA405" s="113"/>
      <c r="ABB405" s="113"/>
      <c r="ABC405" s="113"/>
      <c r="ABD405" s="113"/>
      <c r="ABE405" s="113"/>
      <c r="ABF405" s="113"/>
      <c r="ABG405" s="113"/>
      <c r="ABH405" s="113"/>
      <c r="ABI405" s="113"/>
      <c r="ABJ405" s="113"/>
      <c r="ABK405" s="113"/>
      <c r="ABL405" s="113"/>
      <c r="ABM405" s="113"/>
      <c r="ABN405" s="113"/>
      <c r="ABO405" s="113"/>
      <c r="ABP405" s="113"/>
      <c r="ABQ405" s="113"/>
      <c r="ABR405" s="113"/>
      <c r="ABS405" s="113"/>
      <c r="ABT405" s="113"/>
      <c r="ABU405" s="113"/>
      <c r="ABV405" s="113"/>
      <c r="ABW405" s="113"/>
      <c r="ABX405" s="113"/>
      <c r="ABY405" s="113"/>
      <c r="ABZ405" s="113"/>
      <c r="ACA405" s="113"/>
      <c r="ACB405" s="113"/>
      <c r="ACC405" s="113"/>
      <c r="ACD405" s="113"/>
      <c r="ACE405" s="113"/>
      <c r="ACF405" s="113"/>
      <c r="ACG405" s="113"/>
      <c r="ACH405" s="113"/>
      <c r="ACI405" s="113"/>
      <c r="ACJ405" s="113"/>
      <c r="ACK405" s="113"/>
      <c r="ACL405" s="113"/>
      <c r="ACM405" s="113"/>
      <c r="ACN405" s="113"/>
      <c r="ACO405" s="113"/>
      <c r="ACP405" s="113"/>
      <c r="ACQ405" s="113"/>
      <c r="ACR405" s="113"/>
      <c r="ACS405" s="113"/>
      <c r="ACT405" s="113"/>
      <c r="ACU405" s="113"/>
      <c r="ACV405" s="113"/>
      <c r="ACW405" s="113"/>
      <c r="ACX405" s="113"/>
      <c r="ACY405" s="113"/>
      <c r="ACZ405" s="113"/>
      <c r="ADA405" s="113"/>
      <c r="ADB405" s="113"/>
      <c r="ADC405" s="113"/>
      <c r="ADD405" s="113"/>
      <c r="ADE405" s="113"/>
      <c r="ADF405" s="113"/>
      <c r="ADG405" s="113"/>
      <c r="ADH405" s="113"/>
      <c r="ADI405" s="113"/>
      <c r="ADJ405" s="113"/>
      <c r="ADK405" s="113"/>
      <c r="ADL405" s="113"/>
      <c r="ADM405" s="113"/>
      <c r="ADN405" s="113"/>
      <c r="ADO405" s="113"/>
      <c r="ADP405" s="113"/>
      <c r="ADQ405" s="113"/>
      <c r="ADR405" s="113"/>
      <c r="ADS405" s="113"/>
      <c r="ADT405" s="113"/>
      <c r="ADU405" s="113"/>
      <c r="ADV405" s="113"/>
      <c r="ADW405" s="113"/>
      <c r="ADX405" s="113"/>
      <c r="ADY405" s="113"/>
      <c r="ADZ405" s="113"/>
      <c r="AEA405" s="113"/>
      <c r="AEB405" s="113"/>
      <c r="AEC405" s="113"/>
      <c r="AED405" s="113"/>
      <c r="AEE405" s="113"/>
      <c r="AEF405" s="113"/>
      <c r="AEG405" s="113"/>
      <c r="AEH405" s="113"/>
      <c r="AEI405" s="113"/>
      <c r="AEJ405" s="113"/>
      <c r="AEK405" s="113"/>
      <c r="AEL405" s="113"/>
      <c r="AEM405" s="113"/>
      <c r="AEN405" s="113"/>
      <c r="AEO405" s="113"/>
      <c r="AEP405" s="113"/>
      <c r="AEQ405" s="113"/>
      <c r="AER405" s="113"/>
      <c r="AES405" s="113"/>
      <c r="AET405" s="113"/>
      <c r="AEU405" s="113"/>
      <c r="AEV405" s="113"/>
      <c r="AEW405" s="113"/>
      <c r="AEX405" s="113"/>
      <c r="AEY405" s="113"/>
      <c r="AEZ405" s="113"/>
      <c r="AFA405" s="113"/>
      <c r="AFB405" s="113"/>
      <c r="AFC405" s="113"/>
      <c r="AFD405" s="113"/>
      <c r="AFE405" s="113"/>
      <c r="AFF405" s="113"/>
      <c r="AFG405" s="113"/>
      <c r="AFH405" s="113"/>
      <c r="AFI405" s="113"/>
      <c r="AFJ405" s="113"/>
      <c r="AFK405" s="113"/>
      <c r="AFL405" s="113"/>
      <c r="AFM405" s="113"/>
      <c r="AFN405" s="113"/>
      <c r="AFO405" s="113"/>
      <c r="AFP405" s="113"/>
      <c r="AFQ405" s="113"/>
      <c r="AFR405" s="113"/>
      <c r="AFS405" s="113"/>
      <c r="AFT405" s="113"/>
      <c r="AFU405" s="113"/>
      <c r="AFV405" s="113"/>
      <c r="AFW405" s="113"/>
      <c r="AFX405" s="113"/>
      <c r="AFY405" s="113"/>
      <c r="AFZ405" s="113"/>
      <c r="AGA405" s="113"/>
      <c r="AGB405" s="113"/>
      <c r="AGC405" s="113"/>
      <c r="AGD405" s="113"/>
      <c r="AGE405" s="113"/>
      <c r="AGF405" s="113"/>
      <c r="AGG405" s="113"/>
      <c r="AGH405" s="113"/>
      <c r="AGI405" s="113"/>
      <c r="AGJ405" s="113"/>
      <c r="AGK405" s="113"/>
      <c r="AGL405" s="113"/>
      <c r="AGM405" s="113"/>
      <c r="AGN405" s="113"/>
      <c r="AGO405" s="113"/>
      <c r="AGP405" s="113"/>
      <c r="AGQ405" s="113"/>
      <c r="AGR405" s="113"/>
      <c r="AGS405" s="113"/>
      <c r="AGT405" s="113"/>
      <c r="AGU405" s="113"/>
      <c r="AGV405" s="113"/>
      <c r="AGW405" s="113"/>
      <c r="AGX405" s="113"/>
      <c r="AGY405" s="113"/>
      <c r="AGZ405" s="113"/>
      <c r="AHA405" s="113"/>
      <c r="AHB405" s="113"/>
      <c r="AHC405" s="113"/>
      <c r="AHD405" s="113"/>
      <c r="AHE405" s="113"/>
      <c r="AHF405" s="113"/>
      <c r="AHG405" s="113"/>
      <c r="AHH405" s="113"/>
      <c r="AHI405" s="113"/>
      <c r="AHJ405" s="113"/>
      <c r="AHK405" s="113"/>
      <c r="AHL405" s="113"/>
      <c r="AHM405" s="113"/>
      <c r="AHN405" s="113"/>
      <c r="AHO405" s="113"/>
      <c r="AHP405" s="113"/>
      <c r="AHQ405" s="113"/>
      <c r="AHR405" s="113"/>
      <c r="AHS405" s="113"/>
      <c r="AHT405" s="113"/>
      <c r="AHU405" s="113"/>
      <c r="AHV405" s="113"/>
      <c r="AHW405" s="113"/>
      <c r="AHX405" s="113"/>
      <c r="AHY405" s="113"/>
      <c r="AHZ405" s="113"/>
      <c r="AIA405" s="113"/>
      <c r="AIB405" s="113"/>
      <c r="AIC405" s="113"/>
      <c r="AID405" s="113"/>
      <c r="AIE405" s="113"/>
      <c r="AIF405" s="113"/>
      <c r="AIG405" s="113"/>
      <c r="AIH405" s="113"/>
      <c r="AII405" s="113"/>
      <c r="AIJ405" s="113"/>
      <c r="AIK405" s="113"/>
      <c r="AIL405" s="113"/>
      <c r="AIM405" s="113"/>
      <c r="AIN405" s="113"/>
      <c r="AIO405" s="113"/>
      <c r="AIP405" s="113"/>
      <c r="AIQ405" s="113"/>
      <c r="AIR405" s="113"/>
      <c r="AIS405" s="113"/>
      <c r="AIT405" s="113"/>
      <c r="AIU405" s="113"/>
      <c r="AIV405" s="113"/>
      <c r="AIW405" s="113"/>
      <c r="AIX405" s="113"/>
      <c r="AIY405" s="113"/>
      <c r="AIZ405" s="113"/>
    </row>
    <row r="406">
      <c r="A406" s="65" t="s">
        <v>38</v>
      </c>
      <c r="B406" s="65" t="s">
        <v>39</v>
      </c>
      <c r="C406" s="65"/>
      <c r="D406" s="64">
        <f t="shared" si="1"/>
        <v>519.5283833</v>
      </c>
      <c r="F406" s="65">
        <v>60.9072333333334</v>
      </c>
      <c r="G406" s="65">
        <v>20.7258833333333</v>
      </c>
      <c r="H406" s="65">
        <v>10.9444666666667</v>
      </c>
      <c r="I406" s="65">
        <v>1.9989</v>
      </c>
      <c r="J406" s="65">
        <v>0.845583333333333</v>
      </c>
      <c r="K406" s="65">
        <v>12.3211</v>
      </c>
      <c r="N406" s="65">
        <v>16.10035</v>
      </c>
      <c r="Q406" s="65">
        <v>7.50521666666667</v>
      </c>
      <c r="R406" s="65">
        <v>16.0315166666667</v>
      </c>
      <c r="S406" s="65">
        <v>4.41058333333333</v>
      </c>
      <c r="T406" s="65">
        <v>1.01363333333333</v>
      </c>
      <c r="U406" s="65">
        <v>2.30185</v>
      </c>
      <c r="X406" s="65">
        <v>3.64813333333333</v>
      </c>
      <c r="Y406" s="65">
        <v>73.6472666666667</v>
      </c>
      <c r="Z406" s="65">
        <v>8.67556666666666</v>
      </c>
      <c r="AA406" s="65">
        <v>0.805366666666667</v>
      </c>
      <c r="AB406" s="65">
        <v>1.67656666666667</v>
      </c>
      <c r="AE406" s="65">
        <v>13.4975833333333</v>
      </c>
      <c r="AF406" s="65">
        <v>157.695966666667</v>
      </c>
      <c r="AG406" s="65">
        <v>24.65705</v>
      </c>
      <c r="AH406" s="65">
        <v>1.06351666666667</v>
      </c>
      <c r="AI406" s="65">
        <v>4.97865</v>
      </c>
      <c r="AL406" s="65">
        <v>5.8096</v>
      </c>
      <c r="AM406" s="65">
        <v>4.04796666666667</v>
      </c>
      <c r="AN406" s="65">
        <v>6.24401666666667</v>
      </c>
      <c r="AQ406" s="65">
        <v>1.97505</v>
      </c>
      <c r="AR406" s="65">
        <v>6.05318333333333</v>
      </c>
      <c r="AU406" s="65">
        <v>49.9465833333334</v>
      </c>
    </row>
    <row r="407">
      <c r="A407" s="65" t="s">
        <v>38</v>
      </c>
      <c r="B407" s="65" t="s">
        <v>39</v>
      </c>
      <c r="C407" s="65"/>
      <c r="D407" s="64">
        <f t="shared" si="1"/>
        <v>0</v>
      </c>
    </row>
    <row r="408">
      <c r="A408" s="65" t="s">
        <v>38</v>
      </c>
      <c r="B408" s="65" t="s">
        <v>39</v>
      </c>
      <c r="C408" s="65"/>
      <c r="D408" s="64">
        <f t="shared" si="1"/>
        <v>504.7438833</v>
      </c>
      <c r="F408" s="118">
        <f>HYPERLINK("https://docs.google.com/spreadsheets/d/1rgqxogzcneY6y2c7RqrgAhzAB4lgFX1t", 56.81675)</f>
        <v>56.81675</v>
      </c>
      <c r="G408" s="118">
        <f>HYPERLINK("https://docs.google.com/spreadsheets/d/1y70MHZKXn3zA4pz4qPOIPnkI5rNtvDcw", 20.62765)</f>
        <v>20.62765</v>
      </c>
      <c r="H408" s="118">
        <f>HYPERLINK("https://docs.google.com/spreadsheets/d/1A6Y5RSd88aZDxjHfbiZThh6NH6Nujq8W", 10.9444666666667)</f>
        <v>10.94446667</v>
      </c>
      <c r="I408" s="118">
        <f>HYPERLINK("https://docs.google.com/spreadsheets/d/18gzdrsHBOjrGUnIMFa4afOAbHzmQSa-m", 1.9989)</f>
        <v>1.9989</v>
      </c>
      <c r="J408" s="118">
        <f>HYPERLINK("https://docs.google.com/spreadsheets/d/1s4dySWHE4mRix-PXgUvzdOhGiHLMPDzC", 0.67045)</f>
        <v>0.67045</v>
      </c>
      <c r="K408" s="118">
        <f>HYPERLINK("https://docs.google.com/spreadsheets/d/1lJPTZaPDowGDNefI9kIu7Da1QGjXfRSs", 12.3211)</f>
        <v>12.3211</v>
      </c>
      <c r="N408" s="118">
        <f>HYPERLINK("https://docs.google.com/spreadsheets/d/1W5QYIO25rfFAGKTzn0DhrFoFHlvujb7F", 16.10035)</f>
        <v>16.10035</v>
      </c>
      <c r="Q408" s="118">
        <f>HYPERLINK("https://docs.google.com/spreadsheets/d/1cxPjhX31myQ4XdCJ8c0UaSKo_Ew5G0jk", 6.1846)</f>
        <v>6.1846</v>
      </c>
      <c r="R408" s="118">
        <f>HYPERLINK("https://docs.google.com/spreadsheets/d/1TJwwBoEElJd-BgmfJymKtWRvyC9z6pFk", 16.0315166666667)</f>
        <v>16.03151667</v>
      </c>
      <c r="S408" s="118">
        <f>HYPERLINK("https://docs.google.com/spreadsheets/d/13RO3oTmBpZ-VdNucxKsS9iZClaaO1Viz", 4.21926666666667)</f>
        <v>4.219266667</v>
      </c>
      <c r="T408" s="118">
        <f>HYPERLINK("https://docs.google.com/spreadsheets/d/1fmT2ALqgehVkFgN_Ch_XtwgVO-hKkOom", 0.705483333333333)</f>
        <v>0.7054833333</v>
      </c>
      <c r="U408" s="118">
        <f>HYPERLINK("https://docs.google.com/spreadsheets/d/15cdgV4mLWqlp1yBYXuWo2yaBkt9sGz_z", 2.30185)</f>
        <v>2.30185</v>
      </c>
      <c r="X408" s="118">
        <f>HYPERLINK("https://docs.google.com/spreadsheets/d/1BdqOPhDpwglw4wQnOZM1Kx2YhDpyYDk1", 2.2851)</f>
        <v>2.2851</v>
      </c>
      <c r="Y408" s="118">
        <f>HYPERLINK("https://docs.google.com/spreadsheets/d/1vU9AWr0iPseyCKEB7dHLKbClqb3L-jlT", 73.6472333333333)</f>
        <v>73.64723333</v>
      </c>
      <c r="Z408" s="118">
        <f>HYPERLINK("https://docs.google.com/spreadsheets/d/1kQZIo5cTcFIffzmfDz7Vcy_Bu7GCwdNs", 8.65363333333333)</f>
        <v>8.653633333</v>
      </c>
      <c r="AA408" s="118">
        <f>HYPERLINK("https://docs.google.com/spreadsheets/d/1nL6TWu7_9KiBrv2bD7CUMaepPUruts_o", 0.805383333333333)</f>
        <v>0.8053833333</v>
      </c>
      <c r="AB408" s="118">
        <f>HYPERLINK("https://docs.google.com/spreadsheets/d/10iLNeJz1F7zdOevV3L4UPXdTRQJmJTvu", 1.67656666666667)</f>
        <v>1.676566667</v>
      </c>
      <c r="AE408" s="118">
        <f>HYPERLINK("https://docs.google.com/spreadsheets/d/1sIiwOJG7auviopBULDTbcxJvTcQSITuA", 7.11788333333333)</f>
        <v>7.117883333</v>
      </c>
      <c r="AF408" s="118">
        <f>HYPERLINK("https://docs.google.com/spreadsheets/d/1JgfVY9-A7fuQSD7uNocbDX7gmeBbG1UF", 157.657583333333)</f>
        <v>157.6575833</v>
      </c>
      <c r="AG408" s="118">
        <f>HYPERLINK("https://docs.google.com/spreadsheets/d/1-J-c9opj7gO_N7gDkzQED25VPSpcQrYp", 24.4075666666667)</f>
        <v>24.40756667</v>
      </c>
      <c r="AH408" s="118">
        <f>HYPERLINK("https://docs.google.com/spreadsheets/d/1OLcBmESzl0rfDSE7OAWumOy9UZhtJpAI", 1.06351666666667)</f>
        <v>1.063516667</v>
      </c>
      <c r="AI408" s="118">
        <f>HYPERLINK("https://docs.google.com/spreadsheets/d/1SWgOyjKYMRFWPRLiKijVQyG3ot9gG3WJ", 4.97865)</f>
        <v>4.97865</v>
      </c>
      <c r="AL408" s="118">
        <f>HYPERLINK("https://docs.google.com/spreadsheets/d/1z9EprvZeBsiYoE9i64SrLMSFpjXJmj6v", 5.39173333333333)</f>
        <v>5.391733333</v>
      </c>
      <c r="AM408" s="118">
        <f>HYPERLINK("https://docs.google.com/spreadsheets/d/1XpcK39J-8fd7EKOgAEUbenY_jr9Xzyvc", 4.04796666666667)</f>
        <v>4.047966667</v>
      </c>
      <c r="AN408" s="118">
        <f>HYPERLINK("https://docs.google.com/spreadsheets/d/1nMeC9fYy2uwprTmE0wEqAr97a998vXmc", 6.24401666666667)</f>
        <v>6.244016667</v>
      </c>
      <c r="AQ408" s="118">
        <f>HYPERLINK("https://docs.google.com/spreadsheets/d/1z9AEZoAoMKvFSafcuHxY9eX53xjkEfBK", 1.97505)</f>
        <v>1.97505</v>
      </c>
      <c r="AR408" s="118">
        <f>HYPERLINK("https://docs.google.com/spreadsheets/d/1VHbmELp4WQnc4pHh7VLWJOxyeh7-gSwR", 6.05316666666667)</f>
        <v>6.053166667</v>
      </c>
      <c r="AU408" s="118">
        <f>HYPERLINK("https://docs.google.com/spreadsheets/d/1eL3A6rgbp4joxiH3AWb4V6dh81RAxxFx", 49.81645)</f>
        <v>49.81645</v>
      </c>
    </row>
    <row r="409">
      <c r="A409" s="65" t="s">
        <v>38</v>
      </c>
      <c r="B409" s="65" t="s">
        <v>39</v>
      </c>
      <c r="C409" s="65"/>
      <c r="D409" s="64">
        <f t="shared" si="1"/>
        <v>373.4898333</v>
      </c>
      <c r="F409" s="65">
        <v>46.7498833333333</v>
      </c>
      <c r="G409" s="65">
        <v>17.8539166666667</v>
      </c>
      <c r="H409" s="65">
        <v>8.76606666666667</v>
      </c>
      <c r="I409" s="65">
        <v>1.63926666666667</v>
      </c>
      <c r="J409" s="65">
        <v>0.483733333333333</v>
      </c>
      <c r="K409" s="65">
        <v>8.43438333333333</v>
      </c>
      <c r="N409" s="65">
        <v>12.8159166666667</v>
      </c>
      <c r="Q409" s="65">
        <v>4.04228333333333</v>
      </c>
      <c r="R409" s="65">
        <v>9.99868333333333</v>
      </c>
      <c r="S409" s="65">
        <v>2.99925</v>
      </c>
      <c r="T409" s="65">
        <v>0.0</v>
      </c>
      <c r="U409" s="65">
        <v>1.18863333333333</v>
      </c>
      <c r="X409" s="65">
        <v>1.1178</v>
      </c>
      <c r="Y409" s="65">
        <v>40.2956166666667</v>
      </c>
      <c r="Z409" s="65">
        <v>3.41695</v>
      </c>
      <c r="AA409" s="65">
        <v>0.19565</v>
      </c>
      <c r="AB409" s="65">
        <v>1.42613333333333</v>
      </c>
      <c r="AE409" s="65">
        <v>6.76143333333333</v>
      </c>
      <c r="AF409" s="65">
        <v>127.2501</v>
      </c>
      <c r="AG409" s="65">
        <v>14.6476166666667</v>
      </c>
      <c r="AH409" s="65">
        <v>0.5228</v>
      </c>
      <c r="AI409" s="65">
        <v>3.89875</v>
      </c>
      <c r="AL409" s="65">
        <v>0.188066666666667</v>
      </c>
      <c r="AM409" s="65">
        <v>0.159</v>
      </c>
      <c r="AN409" s="65">
        <v>4.09126666666667</v>
      </c>
      <c r="AQ409" s="65">
        <v>1.30286666666667</v>
      </c>
      <c r="AR409" s="65">
        <v>5.47485</v>
      </c>
      <c r="AU409" s="65">
        <v>47.7689166666667</v>
      </c>
    </row>
    <row r="410">
      <c r="A410" s="119" t="s">
        <v>38</v>
      </c>
      <c r="B410" s="119" t="s">
        <v>39</v>
      </c>
      <c r="C410" s="119"/>
      <c r="D410" s="120">
        <f t="shared" si="1"/>
        <v>0</v>
      </c>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c r="AA410" s="120"/>
      <c r="AB410" s="120"/>
      <c r="AC410" s="120"/>
      <c r="AD410" s="120"/>
      <c r="AE410" s="120"/>
      <c r="AF410" s="120"/>
      <c r="AG410" s="120"/>
      <c r="AH410" s="120"/>
      <c r="AI410" s="120"/>
      <c r="AJ410" s="120"/>
      <c r="AK410" s="120"/>
      <c r="AL410" s="120"/>
      <c r="AM410" s="120"/>
      <c r="AN410" s="120"/>
      <c r="AO410" s="120"/>
      <c r="AP410" s="120"/>
      <c r="AQ410" s="120"/>
      <c r="AR410" s="120"/>
      <c r="AS410" s="120"/>
      <c r="AT410" s="120"/>
      <c r="AU410" s="120"/>
      <c r="AV410" s="120"/>
      <c r="AW410" s="120"/>
      <c r="AX410" s="120"/>
      <c r="AY410" s="120"/>
      <c r="AZ410" s="120"/>
      <c r="BA410" s="120"/>
      <c r="BB410" s="120"/>
      <c r="BC410" s="120"/>
      <c r="BD410" s="120"/>
      <c r="BE410" s="120"/>
      <c r="BF410" s="120"/>
      <c r="BG410" s="120"/>
      <c r="BH410" s="120"/>
      <c r="BI410" s="120"/>
      <c r="BJ410" s="120"/>
      <c r="BK410" s="120"/>
      <c r="BL410" s="120"/>
      <c r="BM410" s="120"/>
      <c r="BN410" s="120"/>
      <c r="BO410" s="120"/>
      <c r="BP410" s="120"/>
      <c r="BQ410" s="120"/>
      <c r="BR410" s="120"/>
      <c r="BS410" s="120"/>
      <c r="BT410" s="120"/>
      <c r="BU410" s="120"/>
      <c r="BV410" s="120"/>
      <c r="BW410" s="120"/>
      <c r="BX410" s="120"/>
      <c r="BY410" s="120"/>
      <c r="BZ410" s="120"/>
      <c r="CA410" s="120"/>
      <c r="CB410" s="120"/>
      <c r="CC410" s="120"/>
      <c r="CD410" s="120"/>
      <c r="CE410" s="120"/>
      <c r="CF410" s="120"/>
      <c r="CG410" s="120"/>
      <c r="CH410" s="120"/>
      <c r="CI410" s="120"/>
      <c r="CJ410" s="120"/>
      <c r="CK410" s="120"/>
      <c r="CL410" s="120"/>
      <c r="CM410" s="120"/>
      <c r="CN410" s="120"/>
      <c r="CO410" s="120"/>
      <c r="CP410" s="120"/>
      <c r="CQ410" s="120"/>
      <c r="CR410" s="120"/>
      <c r="CS410" s="120"/>
      <c r="CT410" s="120"/>
      <c r="CU410" s="120"/>
      <c r="CV410" s="120"/>
      <c r="CW410" s="120"/>
      <c r="CX410" s="120"/>
      <c r="CY410" s="120"/>
      <c r="CZ410" s="120"/>
      <c r="DA410" s="120"/>
      <c r="DB410" s="120"/>
      <c r="DC410" s="120"/>
      <c r="DD410" s="120"/>
      <c r="DE410" s="120"/>
      <c r="DF410" s="120"/>
      <c r="DG410" s="120"/>
      <c r="DH410" s="120"/>
      <c r="DI410" s="120"/>
      <c r="DJ410" s="120"/>
      <c r="DK410" s="120"/>
      <c r="DL410" s="120"/>
      <c r="DM410" s="120"/>
      <c r="DN410" s="120"/>
      <c r="DO410" s="120"/>
      <c r="DP410" s="120"/>
      <c r="DQ410" s="120"/>
      <c r="DR410" s="120"/>
      <c r="DS410" s="120"/>
      <c r="DT410" s="120"/>
      <c r="DU410" s="120"/>
      <c r="DV410" s="120"/>
      <c r="DW410" s="120"/>
      <c r="DX410" s="120"/>
      <c r="DY410" s="120"/>
      <c r="DZ410" s="120"/>
      <c r="EA410" s="120"/>
      <c r="EB410" s="120"/>
      <c r="EC410" s="120"/>
      <c r="ED410" s="120"/>
      <c r="EE410" s="120"/>
      <c r="EF410" s="120"/>
      <c r="EG410" s="120"/>
      <c r="EH410" s="120"/>
      <c r="EI410" s="120"/>
      <c r="EJ410" s="120"/>
      <c r="EK410" s="120"/>
      <c r="EL410" s="120"/>
      <c r="EM410" s="120"/>
      <c r="EN410" s="120"/>
      <c r="EO410" s="120"/>
      <c r="EP410" s="120"/>
      <c r="EQ410" s="120"/>
      <c r="ER410" s="120"/>
      <c r="ES410" s="120"/>
      <c r="ET410" s="120"/>
      <c r="EU410" s="120"/>
      <c r="EV410" s="120"/>
      <c r="EW410" s="120"/>
      <c r="EX410" s="120"/>
      <c r="EY410" s="120"/>
      <c r="EZ410" s="120"/>
      <c r="FA410" s="120"/>
      <c r="FB410" s="120"/>
      <c r="FC410" s="120"/>
      <c r="FD410" s="120"/>
      <c r="FE410" s="120"/>
      <c r="FF410" s="120"/>
      <c r="FG410" s="120"/>
      <c r="FH410" s="120"/>
      <c r="FI410" s="120"/>
      <c r="FJ410" s="120"/>
      <c r="FK410" s="120"/>
      <c r="FL410" s="120"/>
      <c r="FM410" s="120"/>
      <c r="FN410" s="120"/>
      <c r="FO410" s="120"/>
      <c r="FP410" s="120"/>
      <c r="FQ410" s="120"/>
      <c r="FR410" s="120"/>
      <c r="FS410" s="120"/>
      <c r="FT410" s="120"/>
      <c r="FU410" s="120"/>
      <c r="FV410" s="120"/>
      <c r="FW410" s="120"/>
      <c r="FX410" s="120"/>
      <c r="FY410" s="120"/>
      <c r="FZ410" s="120"/>
      <c r="GA410" s="120"/>
      <c r="GB410" s="120"/>
      <c r="GC410" s="120"/>
      <c r="GD410" s="120"/>
      <c r="GE410" s="120"/>
      <c r="GF410" s="120"/>
      <c r="GG410" s="120"/>
      <c r="GH410" s="120"/>
      <c r="GI410" s="120"/>
      <c r="GJ410" s="120"/>
      <c r="GK410" s="120"/>
      <c r="GL410" s="120"/>
      <c r="GM410" s="120"/>
      <c r="GN410" s="120"/>
      <c r="GO410" s="120"/>
      <c r="GP410" s="120"/>
      <c r="GQ410" s="120"/>
      <c r="GR410" s="120"/>
      <c r="GS410" s="120"/>
      <c r="GT410" s="120"/>
      <c r="GU410" s="120"/>
      <c r="GV410" s="120"/>
      <c r="GW410" s="120"/>
      <c r="GX410" s="120"/>
      <c r="GY410" s="120"/>
      <c r="GZ410" s="120"/>
      <c r="HA410" s="120"/>
      <c r="HB410" s="120"/>
      <c r="HC410" s="120"/>
      <c r="HD410" s="120"/>
      <c r="HE410" s="120"/>
      <c r="HF410" s="120"/>
      <c r="HG410" s="120"/>
      <c r="HH410" s="120"/>
      <c r="HI410" s="120"/>
      <c r="HJ410" s="120"/>
      <c r="HK410" s="120"/>
      <c r="HL410" s="120"/>
      <c r="HM410" s="120"/>
      <c r="HN410" s="120"/>
      <c r="HO410" s="120"/>
      <c r="HP410" s="120"/>
      <c r="HQ410" s="120"/>
      <c r="HR410" s="120"/>
      <c r="HS410" s="120"/>
      <c r="HT410" s="120"/>
      <c r="HU410" s="120"/>
      <c r="HV410" s="120"/>
      <c r="HW410" s="120"/>
      <c r="HX410" s="120"/>
      <c r="HY410" s="120"/>
      <c r="HZ410" s="120"/>
      <c r="IA410" s="120"/>
      <c r="IB410" s="120"/>
      <c r="IC410" s="120"/>
      <c r="ID410" s="120"/>
      <c r="IE410" s="120"/>
      <c r="IF410" s="120"/>
      <c r="IG410" s="120"/>
      <c r="IH410" s="120"/>
      <c r="II410" s="120"/>
      <c r="IJ410" s="120"/>
      <c r="IK410" s="120"/>
      <c r="IL410" s="120"/>
      <c r="IM410" s="120"/>
      <c r="IN410" s="120"/>
      <c r="IO410" s="120"/>
      <c r="IP410" s="120"/>
      <c r="IQ410" s="120"/>
      <c r="IR410" s="120"/>
      <c r="IS410" s="120"/>
      <c r="IT410" s="120"/>
      <c r="IU410" s="120"/>
      <c r="IV410" s="120"/>
      <c r="IW410" s="120"/>
      <c r="IX410" s="120"/>
      <c r="IY410" s="120"/>
      <c r="IZ410" s="120"/>
      <c r="JA410" s="120"/>
      <c r="JB410" s="120"/>
      <c r="JC410" s="120"/>
      <c r="JD410" s="120"/>
      <c r="JE410" s="120"/>
      <c r="JF410" s="120"/>
      <c r="JG410" s="120"/>
      <c r="JH410" s="120"/>
      <c r="JI410" s="120"/>
      <c r="JJ410" s="120"/>
      <c r="JK410" s="120"/>
      <c r="JL410" s="120"/>
      <c r="JM410" s="120"/>
      <c r="JN410" s="120"/>
      <c r="JO410" s="120"/>
      <c r="JP410" s="120"/>
      <c r="JQ410" s="120"/>
      <c r="JR410" s="120"/>
      <c r="JS410" s="120"/>
      <c r="JT410" s="120"/>
      <c r="JU410" s="120"/>
      <c r="JV410" s="120"/>
      <c r="JW410" s="120"/>
      <c r="JX410" s="120"/>
      <c r="JY410" s="120"/>
      <c r="JZ410" s="120"/>
      <c r="KA410" s="120"/>
      <c r="KB410" s="120"/>
      <c r="KC410" s="120"/>
      <c r="KD410" s="120"/>
      <c r="KE410" s="120"/>
      <c r="KF410" s="120"/>
      <c r="KG410" s="120"/>
      <c r="KH410" s="120"/>
      <c r="KI410" s="120"/>
      <c r="KJ410" s="120"/>
      <c r="KK410" s="120"/>
      <c r="KL410" s="120"/>
      <c r="KM410" s="120"/>
      <c r="KN410" s="120"/>
      <c r="KO410" s="120"/>
      <c r="KP410" s="120"/>
      <c r="KQ410" s="120"/>
      <c r="KR410" s="120"/>
      <c r="KS410" s="120"/>
      <c r="KT410" s="120"/>
      <c r="KU410" s="120"/>
      <c r="KV410" s="120"/>
      <c r="KW410" s="120"/>
      <c r="KX410" s="120"/>
      <c r="KY410" s="120"/>
      <c r="KZ410" s="120"/>
      <c r="LA410" s="120"/>
      <c r="LB410" s="120"/>
      <c r="LC410" s="120"/>
      <c r="LD410" s="120"/>
      <c r="LE410" s="120"/>
      <c r="LF410" s="120"/>
      <c r="LG410" s="120"/>
      <c r="LH410" s="120"/>
      <c r="LI410" s="120"/>
      <c r="LJ410" s="120"/>
      <c r="LK410" s="120"/>
      <c r="LL410" s="120"/>
      <c r="LM410" s="120"/>
      <c r="LN410" s="120"/>
      <c r="LO410" s="120"/>
      <c r="LP410" s="120"/>
      <c r="LQ410" s="120"/>
      <c r="LR410" s="120"/>
      <c r="LS410" s="120"/>
      <c r="LT410" s="120"/>
      <c r="LU410" s="120"/>
      <c r="LV410" s="120"/>
      <c r="LW410" s="120"/>
      <c r="LX410" s="120"/>
      <c r="LY410" s="120"/>
      <c r="LZ410" s="120"/>
      <c r="MA410" s="120"/>
      <c r="MB410" s="120"/>
      <c r="MC410" s="120"/>
      <c r="MD410" s="120"/>
      <c r="ME410" s="120"/>
      <c r="MF410" s="120"/>
      <c r="MG410" s="120"/>
      <c r="MH410" s="120"/>
      <c r="MI410" s="120"/>
      <c r="MJ410" s="120"/>
      <c r="MK410" s="120"/>
      <c r="ML410" s="120"/>
      <c r="MM410" s="120"/>
      <c r="MN410" s="120"/>
      <c r="MO410" s="120"/>
      <c r="MP410" s="120"/>
      <c r="MQ410" s="120"/>
      <c r="MR410" s="120"/>
      <c r="MS410" s="120"/>
      <c r="MT410" s="120"/>
      <c r="MU410" s="120"/>
      <c r="MV410" s="120"/>
      <c r="MW410" s="120"/>
      <c r="MX410" s="120"/>
      <c r="MY410" s="120"/>
      <c r="MZ410" s="120"/>
      <c r="NA410" s="120"/>
      <c r="NB410" s="120"/>
      <c r="NC410" s="120"/>
      <c r="ND410" s="120"/>
      <c r="NE410" s="120"/>
      <c r="NF410" s="120"/>
      <c r="NG410" s="120"/>
      <c r="NH410" s="120"/>
      <c r="NI410" s="120"/>
      <c r="NJ410" s="120"/>
      <c r="NK410" s="120"/>
      <c r="NL410" s="120"/>
      <c r="NM410" s="120"/>
      <c r="NN410" s="120"/>
      <c r="NO410" s="120"/>
      <c r="NP410" s="120"/>
      <c r="NQ410" s="120"/>
      <c r="NR410" s="120"/>
      <c r="NS410" s="120"/>
      <c r="NT410" s="120"/>
      <c r="NU410" s="120"/>
      <c r="NV410" s="120"/>
      <c r="NW410" s="120"/>
      <c r="NX410" s="120"/>
      <c r="NY410" s="120"/>
      <c r="NZ410" s="120"/>
      <c r="OA410" s="120"/>
      <c r="OB410" s="120"/>
      <c r="OC410" s="120"/>
      <c r="OD410" s="120"/>
      <c r="OE410" s="120"/>
      <c r="OF410" s="120"/>
      <c r="OG410" s="120"/>
      <c r="OH410" s="120"/>
      <c r="OI410" s="120"/>
      <c r="OJ410" s="120"/>
      <c r="OK410" s="120"/>
      <c r="OL410" s="120"/>
      <c r="OM410" s="120"/>
      <c r="ON410" s="120"/>
      <c r="OO410" s="120"/>
      <c r="OP410" s="120"/>
      <c r="OQ410" s="120"/>
      <c r="OR410" s="120"/>
      <c r="OS410" s="120"/>
      <c r="OT410" s="120"/>
      <c r="OU410" s="120"/>
      <c r="OV410" s="120"/>
      <c r="OW410" s="120"/>
      <c r="OX410" s="120"/>
      <c r="OY410" s="120"/>
      <c r="OZ410" s="120"/>
      <c r="PA410" s="120"/>
      <c r="PB410" s="120"/>
      <c r="PC410" s="120"/>
      <c r="PD410" s="120"/>
      <c r="PE410" s="120"/>
      <c r="PF410" s="120"/>
      <c r="PG410" s="120"/>
      <c r="PH410" s="120"/>
      <c r="PI410" s="120"/>
      <c r="PJ410" s="120"/>
      <c r="PK410" s="120"/>
      <c r="PL410" s="120"/>
      <c r="PM410" s="120"/>
      <c r="PN410" s="120"/>
      <c r="PO410" s="120"/>
      <c r="PP410" s="120"/>
      <c r="PQ410" s="120"/>
      <c r="PR410" s="120"/>
      <c r="PS410" s="120"/>
      <c r="PT410" s="120"/>
      <c r="PU410" s="120"/>
      <c r="PV410" s="120"/>
      <c r="PW410" s="120"/>
      <c r="PX410" s="120"/>
      <c r="PY410" s="120"/>
      <c r="PZ410" s="120"/>
      <c r="QA410" s="120"/>
      <c r="QB410" s="120"/>
      <c r="QC410" s="120"/>
      <c r="QD410" s="120"/>
      <c r="QE410" s="120"/>
      <c r="QF410" s="120"/>
      <c r="QG410" s="120"/>
      <c r="QH410" s="120"/>
      <c r="QI410" s="120"/>
      <c r="QJ410" s="120"/>
      <c r="QK410" s="120"/>
      <c r="QL410" s="120"/>
      <c r="QM410" s="120"/>
      <c r="QN410" s="120"/>
      <c r="QO410" s="120"/>
      <c r="QP410" s="120"/>
      <c r="QQ410" s="120"/>
      <c r="QR410" s="120"/>
      <c r="QS410" s="120"/>
      <c r="QT410" s="120"/>
      <c r="QU410" s="120"/>
      <c r="QV410" s="120"/>
      <c r="QW410" s="120"/>
      <c r="QX410" s="120"/>
      <c r="QY410" s="120"/>
      <c r="QZ410" s="120"/>
      <c r="RA410" s="120"/>
      <c r="RB410" s="120"/>
      <c r="RC410" s="120"/>
      <c r="RD410" s="120"/>
      <c r="RE410" s="120"/>
      <c r="RF410" s="120"/>
      <c r="RG410" s="120"/>
      <c r="RH410" s="120"/>
      <c r="RI410" s="120"/>
      <c r="RJ410" s="120"/>
      <c r="RK410" s="120"/>
      <c r="RL410" s="120"/>
      <c r="RM410" s="120"/>
      <c r="RN410" s="120"/>
      <c r="RO410" s="120"/>
      <c r="RP410" s="120"/>
      <c r="RQ410" s="120"/>
      <c r="RR410" s="120"/>
      <c r="RS410" s="120"/>
      <c r="RT410" s="120"/>
      <c r="RU410" s="120"/>
      <c r="RV410" s="120"/>
      <c r="RW410" s="120"/>
      <c r="RX410" s="120"/>
      <c r="RY410" s="120"/>
      <c r="RZ410" s="120"/>
      <c r="SA410" s="120"/>
      <c r="SB410" s="120"/>
      <c r="SC410" s="120"/>
      <c r="SD410" s="120"/>
      <c r="SE410" s="120"/>
      <c r="SF410" s="120"/>
      <c r="SG410" s="120"/>
      <c r="SH410" s="120"/>
      <c r="SI410" s="120"/>
      <c r="SJ410" s="120"/>
      <c r="SK410" s="120"/>
      <c r="SL410" s="120"/>
      <c r="SM410" s="120"/>
      <c r="SN410" s="120"/>
      <c r="SO410" s="120"/>
      <c r="SP410" s="120"/>
      <c r="SQ410" s="120"/>
      <c r="SR410" s="120"/>
      <c r="SS410" s="120"/>
      <c r="ST410" s="120"/>
      <c r="SU410" s="120"/>
      <c r="SV410" s="120"/>
      <c r="SW410" s="120"/>
      <c r="SX410" s="120"/>
      <c r="SY410" s="120"/>
      <c r="SZ410" s="120"/>
      <c r="TA410" s="120"/>
      <c r="TB410" s="120"/>
      <c r="TC410" s="120"/>
      <c r="TD410" s="120"/>
      <c r="TE410" s="120"/>
      <c r="TF410" s="120"/>
      <c r="TG410" s="120"/>
      <c r="TH410" s="120"/>
      <c r="TI410" s="120"/>
      <c r="TJ410" s="120"/>
      <c r="TK410" s="120"/>
      <c r="TL410" s="120"/>
      <c r="TM410" s="120"/>
      <c r="TN410" s="120"/>
      <c r="TO410" s="120"/>
      <c r="TP410" s="120"/>
      <c r="TQ410" s="120"/>
      <c r="TR410" s="120"/>
      <c r="TS410" s="120"/>
      <c r="TT410" s="120"/>
      <c r="TU410" s="120"/>
      <c r="TV410" s="120"/>
      <c r="TW410" s="120"/>
      <c r="TX410" s="120"/>
      <c r="TY410" s="120"/>
      <c r="TZ410" s="120"/>
      <c r="UA410" s="120"/>
      <c r="UB410" s="120"/>
      <c r="UC410" s="120"/>
      <c r="UD410" s="120"/>
      <c r="UE410" s="120"/>
      <c r="UF410" s="120"/>
      <c r="UG410" s="120"/>
      <c r="UH410" s="120"/>
      <c r="UI410" s="120"/>
      <c r="UJ410" s="120"/>
      <c r="UK410" s="120"/>
      <c r="UL410" s="120"/>
      <c r="UM410" s="120"/>
      <c r="UN410" s="120"/>
      <c r="UO410" s="120"/>
      <c r="UP410" s="120"/>
      <c r="UQ410" s="120"/>
      <c r="UR410" s="120"/>
      <c r="US410" s="120"/>
      <c r="UT410" s="120"/>
      <c r="UU410" s="120"/>
      <c r="UV410" s="120"/>
      <c r="UW410" s="120"/>
      <c r="UX410" s="120"/>
      <c r="UY410" s="120"/>
      <c r="UZ410" s="120"/>
      <c r="VA410" s="120"/>
      <c r="VB410" s="120"/>
      <c r="VC410" s="120"/>
      <c r="VD410" s="120"/>
      <c r="VE410" s="120"/>
      <c r="VF410" s="120"/>
      <c r="VG410" s="120"/>
      <c r="VH410" s="120"/>
      <c r="VI410" s="120"/>
      <c r="VJ410" s="120"/>
      <c r="VK410" s="120"/>
      <c r="VL410" s="120"/>
      <c r="VM410" s="120"/>
      <c r="VN410" s="120"/>
      <c r="VO410" s="120"/>
      <c r="VP410" s="120"/>
      <c r="VQ410" s="120"/>
      <c r="VR410" s="120"/>
      <c r="VS410" s="120"/>
      <c r="VT410" s="120"/>
      <c r="VU410" s="120"/>
      <c r="VV410" s="120"/>
      <c r="VW410" s="120"/>
      <c r="VX410" s="120"/>
      <c r="VY410" s="120"/>
      <c r="VZ410" s="120"/>
      <c r="WA410" s="120"/>
      <c r="WB410" s="120"/>
      <c r="WC410" s="120"/>
      <c r="WD410" s="120"/>
      <c r="WE410" s="120"/>
      <c r="WF410" s="120"/>
      <c r="WG410" s="120"/>
      <c r="WH410" s="120"/>
      <c r="WI410" s="120"/>
      <c r="WJ410" s="120"/>
      <c r="WK410" s="120"/>
      <c r="WL410" s="120"/>
      <c r="WM410" s="120"/>
      <c r="WN410" s="120"/>
      <c r="WO410" s="120"/>
      <c r="WP410" s="120"/>
      <c r="WQ410" s="120"/>
      <c r="WR410" s="120"/>
      <c r="WS410" s="120"/>
      <c r="WT410" s="120"/>
      <c r="WU410" s="120"/>
      <c r="WV410" s="120"/>
      <c r="WW410" s="120"/>
      <c r="WX410" s="120"/>
      <c r="WY410" s="120"/>
      <c r="WZ410" s="120"/>
      <c r="XA410" s="120"/>
      <c r="XB410" s="120"/>
      <c r="XC410" s="120"/>
      <c r="XD410" s="120"/>
      <c r="XE410" s="120"/>
      <c r="XF410" s="120"/>
      <c r="XG410" s="120"/>
      <c r="XH410" s="120"/>
      <c r="XI410" s="120"/>
      <c r="XJ410" s="120"/>
      <c r="XK410" s="120"/>
      <c r="XL410" s="120"/>
      <c r="XM410" s="120"/>
      <c r="XN410" s="120"/>
      <c r="XO410" s="120"/>
      <c r="XP410" s="120"/>
      <c r="XQ410" s="120"/>
      <c r="XR410" s="120"/>
      <c r="XS410" s="120"/>
      <c r="XT410" s="120"/>
      <c r="XU410" s="120"/>
      <c r="XV410" s="120"/>
      <c r="XW410" s="120"/>
      <c r="XX410" s="120"/>
      <c r="XY410" s="120"/>
      <c r="XZ410" s="120"/>
      <c r="YA410" s="120"/>
      <c r="YB410" s="120"/>
      <c r="YC410" s="120"/>
      <c r="YD410" s="120"/>
      <c r="YE410" s="120"/>
      <c r="YF410" s="120"/>
      <c r="YG410" s="120"/>
      <c r="YH410" s="120"/>
      <c r="YI410" s="120"/>
      <c r="YJ410" s="120"/>
      <c r="YK410" s="120"/>
      <c r="YL410" s="120"/>
      <c r="YM410" s="120"/>
      <c r="YN410" s="120"/>
      <c r="YO410" s="120"/>
      <c r="YP410" s="120"/>
      <c r="YQ410" s="120"/>
      <c r="YR410" s="120"/>
      <c r="YS410" s="120"/>
      <c r="YT410" s="120"/>
      <c r="YU410" s="120"/>
      <c r="YV410" s="120"/>
      <c r="YW410" s="120"/>
      <c r="YX410" s="120"/>
      <c r="YY410" s="120"/>
      <c r="YZ410" s="120"/>
      <c r="ZA410" s="120"/>
      <c r="ZB410" s="120"/>
      <c r="ZC410" s="120"/>
      <c r="ZD410" s="120"/>
      <c r="ZE410" s="120"/>
      <c r="ZF410" s="120"/>
      <c r="ZG410" s="120"/>
      <c r="ZH410" s="120"/>
      <c r="ZI410" s="120"/>
      <c r="ZJ410" s="120"/>
      <c r="ZK410" s="120"/>
      <c r="ZL410" s="120"/>
      <c r="ZM410" s="120"/>
      <c r="ZN410" s="120"/>
      <c r="ZO410" s="120"/>
      <c r="ZP410" s="120"/>
      <c r="ZQ410" s="120"/>
      <c r="ZR410" s="120"/>
      <c r="ZS410" s="120"/>
      <c r="ZT410" s="120"/>
      <c r="ZU410" s="120"/>
      <c r="ZV410" s="120"/>
      <c r="ZW410" s="120"/>
      <c r="ZX410" s="120"/>
      <c r="ZY410" s="120"/>
      <c r="ZZ410" s="120"/>
      <c r="AAA410" s="120"/>
      <c r="AAB410" s="120"/>
      <c r="AAC410" s="120"/>
      <c r="AAD410" s="120"/>
      <c r="AAE410" s="120"/>
      <c r="AAF410" s="120"/>
      <c r="AAG410" s="120"/>
      <c r="AAH410" s="120"/>
      <c r="AAI410" s="120"/>
      <c r="AAJ410" s="120"/>
      <c r="AAK410" s="120"/>
      <c r="AAL410" s="120"/>
      <c r="AAM410" s="120"/>
      <c r="AAN410" s="120"/>
      <c r="AAO410" s="120"/>
      <c r="AAP410" s="120"/>
      <c r="AAQ410" s="120"/>
      <c r="AAR410" s="120"/>
      <c r="AAS410" s="120"/>
      <c r="AAT410" s="120"/>
      <c r="AAU410" s="120"/>
      <c r="AAV410" s="120"/>
      <c r="AAW410" s="120"/>
      <c r="AAX410" s="120"/>
      <c r="AAY410" s="120"/>
      <c r="AAZ410" s="120"/>
      <c r="ABA410" s="120"/>
      <c r="ABB410" s="120"/>
      <c r="ABC410" s="120"/>
      <c r="ABD410" s="120"/>
      <c r="ABE410" s="120"/>
      <c r="ABF410" s="120"/>
      <c r="ABG410" s="120"/>
      <c r="ABH410" s="120"/>
      <c r="ABI410" s="120"/>
      <c r="ABJ410" s="120"/>
      <c r="ABK410" s="120"/>
      <c r="ABL410" s="120"/>
      <c r="ABM410" s="120"/>
      <c r="ABN410" s="120"/>
      <c r="ABO410" s="120"/>
      <c r="ABP410" s="120"/>
      <c r="ABQ410" s="120"/>
      <c r="ABR410" s="120"/>
      <c r="ABS410" s="120"/>
      <c r="ABT410" s="120"/>
      <c r="ABU410" s="120"/>
      <c r="ABV410" s="120"/>
      <c r="ABW410" s="120"/>
      <c r="ABX410" s="120"/>
      <c r="ABY410" s="120"/>
      <c r="ABZ410" s="120"/>
      <c r="ACA410" s="120"/>
      <c r="ACB410" s="120"/>
      <c r="ACC410" s="120"/>
      <c r="ACD410" s="120"/>
      <c r="ACE410" s="120"/>
      <c r="ACF410" s="120"/>
      <c r="ACG410" s="120"/>
      <c r="ACH410" s="120"/>
      <c r="ACI410" s="120"/>
      <c r="ACJ410" s="120"/>
      <c r="ACK410" s="120"/>
      <c r="ACL410" s="120"/>
      <c r="ACM410" s="120"/>
      <c r="ACN410" s="120"/>
      <c r="ACO410" s="120"/>
      <c r="ACP410" s="120"/>
      <c r="ACQ410" s="120"/>
      <c r="ACR410" s="120"/>
      <c r="ACS410" s="120"/>
      <c r="ACT410" s="120"/>
      <c r="ACU410" s="120"/>
      <c r="ACV410" s="120"/>
      <c r="ACW410" s="120"/>
      <c r="ACX410" s="120"/>
      <c r="ACY410" s="120"/>
      <c r="ACZ410" s="120"/>
      <c r="ADA410" s="120"/>
      <c r="ADB410" s="120"/>
      <c r="ADC410" s="120"/>
      <c r="ADD410" s="120"/>
      <c r="ADE410" s="120"/>
      <c r="ADF410" s="120"/>
      <c r="ADG410" s="120"/>
      <c r="ADH410" s="120"/>
      <c r="ADI410" s="120"/>
      <c r="ADJ410" s="120"/>
      <c r="ADK410" s="120"/>
      <c r="ADL410" s="120"/>
      <c r="ADM410" s="120"/>
      <c r="ADN410" s="120"/>
      <c r="ADO410" s="120"/>
      <c r="ADP410" s="120"/>
      <c r="ADQ410" s="120"/>
      <c r="ADR410" s="120"/>
      <c r="ADS410" s="120"/>
      <c r="ADT410" s="120"/>
      <c r="ADU410" s="120"/>
      <c r="ADV410" s="120"/>
      <c r="ADW410" s="120"/>
      <c r="ADX410" s="120"/>
      <c r="ADY410" s="120"/>
      <c r="ADZ410" s="120"/>
      <c r="AEA410" s="120"/>
      <c r="AEB410" s="120"/>
      <c r="AEC410" s="120"/>
      <c r="AED410" s="120"/>
      <c r="AEE410" s="120"/>
      <c r="AEF410" s="120"/>
      <c r="AEG410" s="120"/>
      <c r="AEH410" s="120"/>
      <c r="AEI410" s="120"/>
      <c r="AEJ410" s="120"/>
      <c r="AEK410" s="120"/>
      <c r="AEL410" s="120"/>
      <c r="AEM410" s="120"/>
      <c r="AEN410" s="120"/>
      <c r="AEO410" s="120"/>
      <c r="AEP410" s="120"/>
      <c r="AEQ410" s="120"/>
      <c r="AER410" s="120"/>
      <c r="AES410" s="120"/>
      <c r="AET410" s="120"/>
      <c r="AEU410" s="120"/>
      <c r="AEV410" s="120"/>
      <c r="AEW410" s="120"/>
      <c r="AEX410" s="120"/>
      <c r="AEY410" s="120"/>
      <c r="AEZ410" s="120"/>
      <c r="AFA410" s="120"/>
      <c r="AFB410" s="120"/>
      <c r="AFC410" s="120"/>
      <c r="AFD410" s="120"/>
      <c r="AFE410" s="120"/>
      <c r="AFF410" s="120"/>
      <c r="AFG410" s="120"/>
      <c r="AFH410" s="120"/>
      <c r="AFI410" s="120"/>
      <c r="AFJ410" s="120"/>
      <c r="AFK410" s="120"/>
      <c r="AFL410" s="120"/>
      <c r="AFM410" s="120"/>
      <c r="AFN410" s="120"/>
      <c r="AFO410" s="120"/>
      <c r="AFP410" s="120"/>
      <c r="AFQ410" s="120"/>
      <c r="AFR410" s="120"/>
      <c r="AFS410" s="120"/>
      <c r="AFT410" s="120"/>
      <c r="AFU410" s="120"/>
      <c r="AFV410" s="120"/>
      <c r="AFW410" s="120"/>
      <c r="AFX410" s="120"/>
      <c r="AFY410" s="120"/>
      <c r="AFZ410" s="120"/>
      <c r="AGA410" s="120"/>
      <c r="AGB410" s="120"/>
      <c r="AGC410" s="120"/>
      <c r="AGD410" s="120"/>
      <c r="AGE410" s="120"/>
      <c r="AGF410" s="120"/>
      <c r="AGG410" s="120"/>
      <c r="AGH410" s="120"/>
      <c r="AGI410" s="120"/>
      <c r="AGJ410" s="120"/>
      <c r="AGK410" s="120"/>
      <c r="AGL410" s="120"/>
      <c r="AGM410" s="120"/>
      <c r="AGN410" s="120"/>
      <c r="AGO410" s="120"/>
      <c r="AGP410" s="120"/>
      <c r="AGQ410" s="120"/>
      <c r="AGR410" s="120"/>
      <c r="AGS410" s="120"/>
      <c r="AGT410" s="120"/>
      <c r="AGU410" s="120"/>
      <c r="AGV410" s="120"/>
      <c r="AGW410" s="120"/>
      <c r="AGX410" s="120"/>
      <c r="AGY410" s="120"/>
      <c r="AGZ410" s="120"/>
      <c r="AHA410" s="120"/>
      <c r="AHB410" s="120"/>
      <c r="AHC410" s="120"/>
      <c r="AHD410" s="120"/>
      <c r="AHE410" s="120"/>
      <c r="AHF410" s="120"/>
      <c r="AHG410" s="120"/>
      <c r="AHH410" s="120"/>
      <c r="AHI410" s="120"/>
      <c r="AHJ410" s="120"/>
      <c r="AHK410" s="120"/>
      <c r="AHL410" s="120"/>
      <c r="AHM410" s="120"/>
      <c r="AHN410" s="120"/>
      <c r="AHO410" s="120"/>
      <c r="AHP410" s="120"/>
      <c r="AHQ410" s="120"/>
      <c r="AHR410" s="120"/>
      <c r="AHS410" s="120"/>
      <c r="AHT410" s="120"/>
      <c r="AHU410" s="120"/>
      <c r="AHV410" s="120"/>
      <c r="AHW410" s="120"/>
      <c r="AHX410" s="120"/>
      <c r="AHY410" s="120"/>
      <c r="AHZ410" s="120"/>
      <c r="AIA410" s="120"/>
      <c r="AIB410" s="120"/>
      <c r="AIC410" s="120"/>
      <c r="AID410" s="120"/>
      <c r="AIE410" s="120"/>
      <c r="AIF410" s="120"/>
      <c r="AIG410" s="120"/>
      <c r="AIH410" s="120"/>
      <c r="AII410" s="120"/>
      <c r="AIJ410" s="120"/>
      <c r="AIK410" s="120"/>
      <c r="AIL410" s="120"/>
      <c r="AIM410" s="120"/>
      <c r="AIN410" s="120"/>
      <c r="AIO410" s="120"/>
      <c r="AIP410" s="120"/>
      <c r="AIQ410" s="120"/>
      <c r="AIR410" s="120"/>
      <c r="AIS410" s="120"/>
      <c r="AIT410" s="120"/>
      <c r="AIU410" s="120"/>
      <c r="AIV410" s="120"/>
      <c r="AIW410" s="120"/>
      <c r="AIX410" s="120"/>
      <c r="AIY410" s="120"/>
      <c r="AIZ410" s="120"/>
    </row>
    <row r="411">
      <c r="A411" s="112" t="s">
        <v>38</v>
      </c>
      <c r="B411" s="112" t="s">
        <v>99</v>
      </c>
      <c r="C411" s="112"/>
      <c r="D411" s="113">
        <f t="shared" si="1"/>
        <v>567.7417833</v>
      </c>
      <c r="E411" s="112">
        <v>116.253183333333</v>
      </c>
      <c r="F411" s="113"/>
      <c r="G411" s="113"/>
      <c r="H411" s="113"/>
      <c r="I411" s="113"/>
      <c r="J411" s="113"/>
      <c r="K411" s="113"/>
      <c r="L411" s="112">
        <v>1.01225</v>
      </c>
      <c r="M411" s="112">
        <v>33.4313</v>
      </c>
      <c r="N411" s="113"/>
      <c r="O411" s="112">
        <v>0.23865</v>
      </c>
      <c r="P411" s="112">
        <v>68.7649833333333</v>
      </c>
      <c r="Q411" s="113"/>
      <c r="R411" s="113"/>
      <c r="S411" s="113"/>
      <c r="T411" s="113"/>
      <c r="U411" s="113"/>
      <c r="V411" s="112">
        <v>1.33265</v>
      </c>
      <c r="W411" s="112">
        <v>87.8338500000001</v>
      </c>
      <c r="X411" s="113"/>
      <c r="Y411" s="113"/>
      <c r="Z411" s="113"/>
      <c r="AA411" s="113"/>
      <c r="AB411" s="113"/>
      <c r="AC411" s="112">
        <v>2.06488333333333</v>
      </c>
      <c r="AD411" s="112">
        <v>105.958666666667</v>
      </c>
      <c r="AE411" s="113"/>
      <c r="AF411" s="113"/>
      <c r="AG411" s="113"/>
      <c r="AH411" s="113"/>
      <c r="AI411" s="113"/>
      <c r="AJ411" s="112">
        <v>2.45885</v>
      </c>
      <c r="AK411" s="112">
        <v>81.9878166666666</v>
      </c>
      <c r="AL411" s="113"/>
      <c r="AM411" s="113"/>
      <c r="AN411" s="113"/>
      <c r="AO411" s="112">
        <v>5.05505</v>
      </c>
      <c r="AP411" s="112">
        <v>10.7618333333333</v>
      </c>
      <c r="AQ411" s="113"/>
      <c r="AR411" s="113"/>
      <c r="AS411" s="112">
        <v>2.76975</v>
      </c>
      <c r="AT411" s="112">
        <v>45.3236833333333</v>
      </c>
      <c r="AU411" s="113"/>
      <c r="AV411" s="112">
        <v>1.67208333333333</v>
      </c>
      <c r="AW411" s="112">
        <v>0.8223</v>
      </c>
      <c r="AX411" s="113"/>
      <c r="AY411" s="113"/>
      <c r="AZ411" s="113"/>
      <c r="BA411" s="113"/>
      <c r="BB411" s="113"/>
      <c r="BC411" s="113"/>
      <c r="BD411" s="113"/>
      <c r="BE411" s="113"/>
      <c r="BF411" s="113"/>
      <c r="BG411" s="113"/>
      <c r="BH411" s="113"/>
      <c r="BI411" s="113"/>
      <c r="BJ411" s="113"/>
      <c r="BK411" s="113"/>
      <c r="BL411" s="113"/>
      <c r="BM411" s="113"/>
      <c r="BN411" s="113"/>
      <c r="BO411" s="113"/>
      <c r="BP411" s="113"/>
      <c r="BQ411" s="113"/>
      <c r="BR411" s="113"/>
      <c r="BS411" s="113"/>
      <c r="BT411" s="113"/>
      <c r="BU411" s="113"/>
      <c r="BV411" s="113"/>
      <c r="BW411" s="113"/>
      <c r="BX411" s="113"/>
      <c r="BY411" s="113"/>
      <c r="BZ411" s="113"/>
      <c r="CA411" s="113"/>
      <c r="CB411" s="113"/>
      <c r="CC411" s="113"/>
      <c r="CD411" s="113"/>
      <c r="CE411" s="113"/>
      <c r="CF411" s="113"/>
      <c r="CG411" s="113"/>
      <c r="CH411" s="113"/>
      <c r="CI411" s="113"/>
      <c r="CJ411" s="113"/>
      <c r="CK411" s="113"/>
      <c r="CL411" s="113"/>
      <c r="CM411" s="113"/>
      <c r="CN411" s="113"/>
      <c r="CO411" s="113"/>
      <c r="CP411" s="113"/>
      <c r="CQ411" s="113"/>
      <c r="CR411" s="113"/>
      <c r="CS411" s="113"/>
      <c r="CT411" s="113"/>
      <c r="CU411" s="113"/>
      <c r="CV411" s="113"/>
      <c r="CW411" s="113"/>
      <c r="CX411" s="113"/>
      <c r="CY411" s="113"/>
      <c r="CZ411" s="113"/>
      <c r="DA411" s="113"/>
      <c r="DB411" s="113"/>
      <c r="DC411" s="113"/>
      <c r="DD411" s="113"/>
      <c r="DE411" s="113"/>
      <c r="DF411" s="113"/>
      <c r="DG411" s="113"/>
      <c r="DH411" s="113"/>
      <c r="DI411" s="113"/>
      <c r="DJ411" s="113"/>
      <c r="DK411" s="113"/>
      <c r="DL411" s="113"/>
      <c r="DM411" s="113"/>
      <c r="DN411" s="113"/>
      <c r="DO411" s="113"/>
      <c r="DP411" s="113"/>
      <c r="DQ411" s="113"/>
      <c r="DR411" s="113"/>
      <c r="DS411" s="113"/>
      <c r="DT411" s="113"/>
      <c r="DU411" s="113"/>
      <c r="DV411" s="113"/>
      <c r="DW411" s="113"/>
      <c r="DX411" s="113"/>
      <c r="DY411" s="113"/>
      <c r="DZ411" s="113"/>
      <c r="EA411" s="113"/>
      <c r="EB411" s="113"/>
      <c r="EC411" s="113"/>
      <c r="ED411" s="113"/>
      <c r="EE411" s="113"/>
      <c r="EF411" s="113"/>
      <c r="EG411" s="113"/>
      <c r="EH411" s="113"/>
      <c r="EI411" s="113"/>
      <c r="EJ411" s="113"/>
      <c r="EK411" s="113"/>
      <c r="EL411" s="113"/>
      <c r="EM411" s="113"/>
      <c r="EN411" s="113"/>
      <c r="EO411" s="113"/>
      <c r="EP411" s="113"/>
      <c r="EQ411" s="113"/>
      <c r="ER411" s="113"/>
      <c r="ES411" s="113"/>
      <c r="ET411" s="113"/>
      <c r="EU411" s="113"/>
      <c r="EV411" s="113"/>
      <c r="EW411" s="113"/>
      <c r="EX411" s="113"/>
      <c r="EY411" s="113"/>
      <c r="EZ411" s="113"/>
      <c r="FA411" s="113"/>
      <c r="FB411" s="113"/>
      <c r="FC411" s="113"/>
      <c r="FD411" s="113"/>
      <c r="FE411" s="113"/>
      <c r="FF411" s="113"/>
      <c r="FG411" s="113"/>
      <c r="FH411" s="113"/>
      <c r="FI411" s="113"/>
      <c r="FJ411" s="113"/>
      <c r="FK411" s="113"/>
      <c r="FL411" s="113"/>
      <c r="FM411" s="113"/>
      <c r="FN411" s="113"/>
      <c r="FO411" s="113"/>
      <c r="FP411" s="113"/>
      <c r="FQ411" s="113"/>
      <c r="FR411" s="113"/>
      <c r="FS411" s="113"/>
      <c r="FT411" s="113"/>
      <c r="FU411" s="113"/>
      <c r="FV411" s="113"/>
      <c r="FW411" s="113"/>
      <c r="FX411" s="113"/>
      <c r="FY411" s="113"/>
      <c r="FZ411" s="113"/>
      <c r="GA411" s="113"/>
      <c r="GB411" s="113"/>
      <c r="GC411" s="113"/>
      <c r="GD411" s="113"/>
      <c r="GE411" s="113"/>
      <c r="GF411" s="113"/>
      <c r="GG411" s="113"/>
      <c r="GH411" s="113"/>
      <c r="GI411" s="113"/>
      <c r="GJ411" s="113"/>
      <c r="GK411" s="113"/>
      <c r="GL411" s="113"/>
      <c r="GM411" s="113"/>
      <c r="GN411" s="113"/>
      <c r="GO411" s="113"/>
      <c r="GP411" s="113"/>
      <c r="GQ411" s="113"/>
      <c r="GR411" s="113"/>
      <c r="GS411" s="113"/>
      <c r="GT411" s="113"/>
      <c r="GU411" s="113"/>
      <c r="GV411" s="113"/>
      <c r="GW411" s="113"/>
      <c r="GX411" s="113"/>
      <c r="GY411" s="113"/>
      <c r="GZ411" s="113"/>
      <c r="HA411" s="113"/>
      <c r="HB411" s="113"/>
      <c r="HC411" s="113"/>
      <c r="HD411" s="113"/>
      <c r="HE411" s="113"/>
      <c r="HF411" s="113"/>
      <c r="HG411" s="113"/>
      <c r="HH411" s="113"/>
      <c r="HI411" s="113"/>
      <c r="HJ411" s="113"/>
      <c r="HK411" s="113"/>
      <c r="HL411" s="113"/>
      <c r="HM411" s="113"/>
      <c r="HN411" s="113"/>
      <c r="HO411" s="113"/>
      <c r="HP411" s="113"/>
      <c r="HQ411" s="113"/>
      <c r="HR411" s="113"/>
      <c r="HS411" s="113"/>
      <c r="HT411" s="113"/>
      <c r="HU411" s="113"/>
      <c r="HV411" s="113"/>
      <c r="HW411" s="113"/>
      <c r="HX411" s="113"/>
      <c r="HY411" s="113"/>
      <c r="HZ411" s="113"/>
      <c r="IA411" s="113"/>
      <c r="IB411" s="113"/>
      <c r="IC411" s="113"/>
      <c r="ID411" s="113"/>
      <c r="IE411" s="113"/>
      <c r="IF411" s="113"/>
      <c r="IG411" s="113"/>
      <c r="IH411" s="113"/>
      <c r="II411" s="113"/>
      <c r="IJ411" s="113"/>
      <c r="IK411" s="113"/>
      <c r="IL411" s="113"/>
      <c r="IM411" s="113"/>
      <c r="IN411" s="113"/>
      <c r="IO411" s="113"/>
      <c r="IP411" s="113"/>
      <c r="IQ411" s="113"/>
      <c r="IR411" s="113"/>
      <c r="IS411" s="113"/>
      <c r="IT411" s="113"/>
      <c r="IU411" s="113"/>
      <c r="IV411" s="113"/>
      <c r="IW411" s="113"/>
      <c r="IX411" s="113"/>
      <c r="IY411" s="113"/>
      <c r="IZ411" s="113"/>
      <c r="JA411" s="113"/>
      <c r="JB411" s="113"/>
      <c r="JC411" s="113"/>
      <c r="JD411" s="113"/>
      <c r="JE411" s="113"/>
      <c r="JF411" s="113"/>
      <c r="JG411" s="113"/>
      <c r="JH411" s="113"/>
      <c r="JI411" s="113"/>
      <c r="JJ411" s="113"/>
      <c r="JK411" s="113"/>
      <c r="JL411" s="113"/>
      <c r="JM411" s="113"/>
      <c r="JN411" s="113"/>
      <c r="JO411" s="113"/>
      <c r="JP411" s="113"/>
      <c r="JQ411" s="113"/>
      <c r="JR411" s="113"/>
      <c r="JS411" s="113"/>
      <c r="JT411" s="113"/>
      <c r="JU411" s="113"/>
      <c r="JV411" s="113"/>
      <c r="JW411" s="113"/>
      <c r="JX411" s="113"/>
      <c r="JY411" s="113"/>
      <c r="JZ411" s="113"/>
      <c r="KA411" s="113"/>
      <c r="KB411" s="113"/>
      <c r="KC411" s="113"/>
      <c r="KD411" s="113"/>
      <c r="KE411" s="113"/>
      <c r="KF411" s="113"/>
      <c r="KG411" s="113"/>
      <c r="KH411" s="113"/>
      <c r="KI411" s="113"/>
      <c r="KJ411" s="113"/>
      <c r="KK411" s="113"/>
      <c r="KL411" s="113"/>
      <c r="KM411" s="113"/>
      <c r="KN411" s="113"/>
      <c r="KO411" s="113"/>
      <c r="KP411" s="113"/>
      <c r="KQ411" s="113"/>
      <c r="KR411" s="113"/>
      <c r="KS411" s="113"/>
      <c r="KT411" s="113"/>
      <c r="KU411" s="113"/>
      <c r="KV411" s="113"/>
      <c r="KW411" s="113"/>
      <c r="KX411" s="113"/>
      <c r="KY411" s="113"/>
      <c r="KZ411" s="113"/>
      <c r="LA411" s="113"/>
      <c r="LB411" s="113"/>
      <c r="LC411" s="113"/>
      <c r="LD411" s="113"/>
      <c r="LE411" s="113"/>
      <c r="LF411" s="113"/>
      <c r="LG411" s="113"/>
      <c r="LH411" s="113"/>
      <c r="LI411" s="113"/>
      <c r="LJ411" s="113"/>
      <c r="LK411" s="113"/>
      <c r="LL411" s="113"/>
      <c r="LM411" s="113"/>
      <c r="LN411" s="113"/>
      <c r="LO411" s="113"/>
      <c r="LP411" s="113"/>
      <c r="LQ411" s="113"/>
      <c r="LR411" s="113"/>
      <c r="LS411" s="113"/>
      <c r="LT411" s="113"/>
      <c r="LU411" s="113"/>
      <c r="LV411" s="113"/>
      <c r="LW411" s="113"/>
      <c r="LX411" s="113"/>
      <c r="LY411" s="113"/>
      <c r="LZ411" s="113"/>
      <c r="MA411" s="113"/>
      <c r="MB411" s="113"/>
      <c r="MC411" s="113"/>
      <c r="MD411" s="113"/>
      <c r="ME411" s="113"/>
      <c r="MF411" s="113"/>
      <c r="MG411" s="113"/>
      <c r="MH411" s="113"/>
      <c r="MI411" s="113"/>
      <c r="MJ411" s="113"/>
      <c r="MK411" s="113"/>
      <c r="ML411" s="113"/>
      <c r="MM411" s="113"/>
      <c r="MN411" s="113"/>
      <c r="MO411" s="113"/>
      <c r="MP411" s="113"/>
      <c r="MQ411" s="113"/>
      <c r="MR411" s="113"/>
      <c r="MS411" s="113"/>
      <c r="MT411" s="113"/>
      <c r="MU411" s="113"/>
      <c r="MV411" s="113"/>
      <c r="MW411" s="113"/>
      <c r="MX411" s="113"/>
      <c r="MY411" s="113"/>
      <c r="MZ411" s="113"/>
      <c r="NA411" s="113"/>
      <c r="NB411" s="113"/>
      <c r="NC411" s="113"/>
      <c r="ND411" s="113"/>
      <c r="NE411" s="113"/>
      <c r="NF411" s="113"/>
      <c r="NG411" s="113"/>
      <c r="NH411" s="113"/>
      <c r="NI411" s="113"/>
      <c r="NJ411" s="113"/>
      <c r="NK411" s="113"/>
      <c r="NL411" s="113"/>
      <c r="NM411" s="113"/>
      <c r="NN411" s="113"/>
      <c r="NO411" s="113"/>
      <c r="NP411" s="113"/>
      <c r="NQ411" s="113"/>
      <c r="NR411" s="113"/>
      <c r="NS411" s="113"/>
      <c r="NT411" s="113"/>
      <c r="NU411" s="113"/>
      <c r="NV411" s="113"/>
      <c r="NW411" s="113"/>
      <c r="NX411" s="113"/>
      <c r="NY411" s="113"/>
      <c r="NZ411" s="113"/>
      <c r="OA411" s="113"/>
      <c r="OB411" s="113"/>
      <c r="OC411" s="113"/>
      <c r="OD411" s="113"/>
      <c r="OE411" s="113"/>
      <c r="OF411" s="113"/>
      <c r="OG411" s="113"/>
      <c r="OH411" s="113"/>
      <c r="OI411" s="113"/>
      <c r="OJ411" s="113"/>
      <c r="OK411" s="113"/>
      <c r="OL411" s="113"/>
      <c r="OM411" s="113"/>
      <c r="ON411" s="113"/>
      <c r="OO411" s="113"/>
      <c r="OP411" s="113"/>
      <c r="OQ411" s="113"/>
      <c r="OR411" s="113"/>
      <c r="OS411" s="113"/>
      <c r="OT411" s="113"/>
      <c r="OU411" s="113"/>
      <c r="OV411" s="113"/>
      <c r="OW411" s="113"/>
      <c r="OX411" s="113"/>
      <c r="OY411" s="113"/>
      <c r="OZ411" s="113"/>
      <c r="PA411" s="113"/>
      <c r="PB411" s="113"/>
      <c r="PC411" s="113"/>
      <c r="PD411" s="113"/>
      <c r="PE411" s="113"/>
      <c r="PF411" s="113"/>
      <c r="PG411" s="113"/>
      <c r="PH411" s="113"/>
      <c r="PI411" s="113"/>
      <c r="PJ411" s="113"/>
      <c r="PK411" s="113"/>
      <c r="PL411" s="113"/>
      <c r="PM411" s="113"/>
      <c r="PN411" s="113"/>
      <c r="PO411" s="113"/>
      <c r="PP411" s="113"/>
      <c r="PQ411" s="113"/>
      <c r="PR411" s="113"/>
      <c r="PS411" s="113"/>
      <c r="PT411" s="113"/>
      <c r="PU411" s="113"/>
      <c r="PV411" s="113"/>
      <c r="PW411" s="113"/>
      <c r="PX411" s="113"/>
      <c r="PY411" s="113"/>
      <c r="PZ411" s="113"/>
      <c r="QA411" s="113"/>
      <c r="QB411" s="113"/>
      <c r="QC411" s="113"/>
      <c r="QD411" s="113"/>
      <c r="QE411" s="113"/>
      <c r="QF411" s="113"/>
      <c r="QG411" s="113"/>
      <c r="QH411" s="113"/>
      <c r="QI411" s="113"/>
      <c r="QJ411" s="113"/>
      <c r="QK411" s="113"/>
      <c r="QL411" s="113"/>
      <c r="QM411" s="113"/>
      <c r="QN411" s="113"/>
      <c r="QO411" s="113"/>
      <c r="QP411" s="113"/>
      <c r="QQ411" s="113"/>
      <c r="QR411" s="113"/>
      <c r="QS411" s="113"/>
      <c r="QT411" s="113"/>
      <c r="QU411" s="113"/>
      <c r="QV411" s="113"/>
      <c r="QW411" s="113"/>
      <c r="QX411" s="113"/>
      <c r="QY411" s="113"/>
      <c r="QZ411" s="113"/>
      <c r="RA411" s="113"/>
      <c r="RB411" s="113"/>
      <c r="RC411" s="113"/>
      <c r="RD411" s="113"/>
      <c r="RE411" s="113"/>
      <c r="RF411" s="113"/>
      <c r="RG411" s="113"/>
      <c r="RH411" s="113"/>
      <c r="RI411" s="113"/>
      <c r="RJ411" s="113"/>
      <c r="RK411" s="113"/>
      <c r="RL411" s="113"/>
      <c r="RM411" s="113"/>
      <c r="RN411" s="113"/>
      <c r="RO411" s="113"/>
      <c r="RP411" s="113"/>
      <c r="RQ411" s="113"/>
      <c r="RR411" s="113"/>
      <c r="RS411" s="113"/>
      <c r="RT411" s="113"/>
      <c r="RU411" s="113"/>
      <c r="RV411" s="113"/>
      <c r="RW411" s="113"/>
      <c r="RX411" s="113"/>
      <c r="RY411" s="113"/>
      <c r="RZ411" s="113"/>
      <c r="SA411" s="113"/>
      <c r="SB411" s="113"/>
      <c r="SC411" s="113"/>
      <c r="SD411" s="113"/>
      <c r="SE411" s="113"/>
      <c r="SF411" s="113"/>
      <c r="SG411" s="113"/>
      <c r="SH411" s="113"/>
      <c r="SI411" s="113"/>
      <c r="SJ411" s="113"/>
      <c r="SK411" s="113"/>
      <c r="SL411" s="113"/>
      <c r="SM411" s="113"/>
      <c r="SN411" s="113"/>
      <c r="SO411" s="113"/>
      <c r="SP411" s="113"/>
      <c r="SQ411" s="113"/>
      <c r="SR411" s="113"/>
      <c r="SS411" s="113"/>
      <c r="ST411" s="113"/>
      <c r="SU411" s="113"/>
      <c r="SV411" s="113"/>
      <c r="SW411" s="113"/>
      <c r="SX411" s="113"/>
      <c r="SY411" s="113"/>
      <c r="SZ411" s="113"/>
      <c r="TA411" s="113"/>
      <c r="TB411" s="113"/>
      <c r="TC411" s="113"/>
      <c r="TD411" s="113"/>
      <c r="TE411" s="113"/>
      <c r="TF411" s="113"/>
      <c r="TG411" s="113"/>
      <c r="TH411" s="113"/>
      <c r="TI411" s="113"/>
      <c r="TJ411" s="113"/>
      <c r="TK411" s="113"/>
      <c r="TL411" s="113"/>
      <c r="TM411" s="113"/>
      <c r="TN411" s="113"/>
      <c r="TO411" s="113"/>
      <c r="TP411" s="113"/>
      <c r="TQ411" s="113"/>
      <c r="TR411" s="113"/>
      <c r="TS411" s="113"/>
      <c r="TT411" s="113"/>
      <c r="TU411" s="113"/>
      <c r="TV411" s="113"/>
      <c r="TW411" s="113"/>
      <c r="TX411" s="113"/>
      <c r="TY411" s="113"/>
      <c r="TZ411" s="113"/>
      <c r="UA411" s="113"/>
      <c r="UB411" s="113"/>
      <c r="UC411" s="113"/>
      <c r="UD411" s="113"/>
      <c r="UE411" s="113"/>
      <c r="UF411" s="113"/>
      <c r="UG411" s="113"/>
      <c r="UH411" s="113"/>
      <c r="UI411" s="113"/>
      <c r="UJ411" s="113"/>
      <c r="UK411" s="113"/>
      <c r="UL411" s="113"/>
      <c r="UM411" s="113"/>
      <c r="UN411" s="113"/>
      <c r="UO411" s="113"/>
      <c r="UP411" s="113"/>
      <c r="UQ411" s="113"/>
      <c r="UR411" s="113"/>
      <c r="US411" s="113"/>
      <c r="UT411" s="113"/>
      <c r="UU411" s="113"/>
      <c r="UV411" s="113"/>
      <c r="UW411" s="113"/>
      <c r="UX411" s="113"/>
      <c r="UY411" s="113"/>
      <c r="UZ411" s="113"/>
      <c r="VA411" s="113"/>
      <c r="VB411" s="113"/>
      <c r="VC411" s="113"/>
      <c r="VD411" s="113"/>
      <c r="VE411" s="113"/>
      <c r="VF411" s="113"/>
      <c r="VG411" s="113"/>
      <c r="VH411" s="113"/>
      <c r="VI411" s="113"/>
      <c r="VJ411" s="113"/>
      <c r="VK411" s="113"/>
      <c r="VL411" s="113"/>
      <c r="VM411" s="113"/>
      <c r="VN411" s="113"/>
      <c r="VO411" s="113"/>
      <c r="VP411" s="113"/>
      <c r="VQ411" s="113"/>
      <c r="VR411" s="113"/>
      <c r="VS411" s="113"/>
      <c r="VT411" s="113"/>
      <c r="VU411" s="113"/>
      <c r="VV411" s="113"/>
      <c r="VW411" s="113"/>
      <c r="VX411" s="113"/>
      <c r="VY411" s="113"/>
      <c r="VZ411" s="113"/>
      <c r="WA411" s="113"/>
      <c r="WB411" s="113"/>
      <c r="WC411" s="113"/>
      <c r="WD411" s="113"/>
      <c r="WE411" s="113"/>
      <c r="WF411" s="113"/>
      <c r="WG411" s="113"/>
      <c r="WH411" s="113"/>
      <c r="WI411" s="113"/>
      <c r="WJ411" s="113"/>
      <c r="WK411" s="113"/>
      <c r="WL411" s="113"/>
      <c r="WM411" s="113"/>
      <c r="WN411" s="113"/>
      <c r="WO411" s="113"/>
      <c r="WP411" s="113"/>
      <c r="WQ411" s="113"/>
      <c r="WR411" s="113"/>
      <c r="WS411" s="113"/>
      <c r="WT411" s="113"/>
      <c r="WU411" s="113"/>
      <c r="WV411" s="113"/>
      <c r="WW411" s="113"/>
      <c r="WX411" s="113"/>
      <c r="WY411" s="113"/>
      <c r="WZ411" s="113"/>
      <c r="XA411" s="113"/>
      <c r="XB411" s="113"/>
      <c r="XC411" s="113"/>
      <c r="XD411" s="113"/>
      <c r="XE411" s="113"/>
      <c r="XF411" s="113"/>
      <c r="XG411" s="113"/>
      <c r="XH411" s="113"/>
      <c r="XI411" s="113"/>
      <c r="XJ411" s="113"/>
      <c r="XK411" s="113"/>
      <c r="XL411" s="113"/>
      <c r="XM411" s="113"/>
      <c r="XN411" s="113"/>
      <c r="XO411" s="113"/>
      <c r="XP411" s="113"/>
      <c r="XQ411" s="113"/>
      <c r="XR411" s="113"/>
      <c r="XS411" s="113"/>
      <c r="XT411" s="113"/>
      <c r="XU411" s="113"/>
      <c r="XV411" s="113"/>
      <c r="XW411" s="113"/>
      <c r="XX411" s="113"/>
      <c r="XY411" s="113"/>
      <c r="XZ411" s="113"/>
      <c r="YA411" s="113"/>
      <c r="YB411" s="113"/>
      <c r="YC411" s="113"/>
      <c r="YD411" s="113"/>
      <c r="YE411" s="113"/>
      <c r="YF411" s="113"/>
      <c r="YG411" s="113"/>
      <c r="YH411" s="113"/>
      <c r="YI411" s="113"/>
      <c r="YJ411" s="113"/>
      <c r="YK411" s="113"/>
      <c r="YL411" s="113"/>
      <c r="YM411" s="113"/>
      <c r="YN411" s="113"/>
      <c r="YO411" s="113"/>
      <c r="YP411" s="113"/>
      <c r="YQ411" s="113"/>
      <c r="YR411" s="113"/>
      <c r="YS411" s="113"/>
      <c r="YT411" s="113"/>
      <c r="YU411" s="113"/>
      <c r="YV411" s="113"/>
      <c r="YW411" s="113"/>
      <c r="YX411" s="113"/>
      <c r="YY411" s="113"/>
      <c r="YZ411" s="113"/>
      <c r="ZA411" s="113"/>
      <c r="ZB411" s="113"/>
      <c r="ZC411" s="113"/>
      <c r="ZD411" s="113"/>
      <c r="ZE411" s="113"/>
      <c r="ZF411" s="113"/>
      <c r="ZG411" s="113"/>
      <c r="ZH411" s="113"/>
      <c r="ZI411" s="113"/>
      <c r="ZJ411" s="113"/>
      <c r="ZK411" s="113"/>
      <c r="ZL411" s="113"/>
      <c r="ZM411" s="113"/>
      <c r="ZN411" s="113"/>
      <c r="ZO411" s="113"/>
      <c r="ZP411" s="113"/>
      <c r="ZQ411" s="113"/>
      <c r="ZR411" s="113"/>
      <c r="ZS411" s="113"/>
      <c r="ZT411" s="113"/>
      <c r="ZU411" s="113"/>
      <c r="ZV411" s="113"/>
      <c r="ZW411" s="113"/>
      <c r="ZX411" s="113"/>
      <c r="ZY411" s="113"/>
      <c r="ZZ411" s="113"/>
      <c r="AAA411" s="113"/>
      <c r="AAB411" s="113"/>
      <c r="AAC411" s="113"/>
      <c r="AAD411" s="113"/>
      <c r="AAE411" s="113"/>
      <c r="AAF411" s="113"/>
      <c r="AAG411" s="113"/>
      <c r="AAH411" s="113"/>
      <c r="AAI411" s="113"/>
      <c r="AAJ411" s="113"/>
      <c r="AAK411" s="113"/>
      <c r="AAL411" s="113"/>
      <c r="AAM411" s="113"/>
      <c r="AAN411" s="113"/>
      <c r="AAO411" s="113"/>
      <c r="AAP411" s="113"/>
      <c r="AAQ411" s="113"/>
      <c r="AAR411" s="113"/>
      <c r="AAS411" s="113"/>
      <c r="AAT411" s="113"/>
      <c r="AAU411" s="113"/>
      <c r="AAV411" s="113"/>
      <c r="AAW411" s="113"/>
      <c r="AAX411" s="113"/>
      <c r="AAY411" s="113"/>
      <c r="AAZ411" s="113"/>
      <c r="ABA411" s="113"/>
      <c r="ABB411" s="113"/>
      <c r="ABC411" s="113"/>
      <c r="ABD411" s="113"/>
      <c r="ABE411" s="113"/>
      <c r="ABF411" s="113"/>
      <c r="ABG411" s="113"/>
      <c r="ABH411" s="113"/>
      <c r="ABI411" s="113"/>
      <c r="ABJ411" s="113"/>
      <c r="ABK411" s="113"/>
      <c r="ABL411" s="113"/>
      <c r="ABM411" s="113"/>
      <c r="ABN411" s="113"/>
      <c r="ABO411" s="113"/>
      <c r="ABP411" s="113"/>
      <c r="ABQ411" s="113"/>
      <c r="ABR411" s="113"/>
      <c r="ABS411" s="113"/>
      <c r="ABT411" s="113"/>
      <c r="ABU411" s="113"/>
      <c r="ABV411" s="113"/>
      <c r="ABW411" s="113"/>
      <c r="ABX411" s="113"/>
      <c r="ABY411" s="113"/>
      <c r="ABZ411" s="113"/>
      <c r="ACA411" s="113"/>
      <c r="ACB411" s="113"/>
      <c r="ACC411" s="113"/>
      <c r="ACD411" s="113"/>
      <c r="ACE411" s="113"/>
      <c r="ACF411" s="113"/>
      <c r="ACG411" s="113"/>
      <c r="ACH411" s="113"/>
      <c r="ACI411" s="113"/>
      <c r="ACJ411" s="113"/>
      <c r="ACK411" s="113"/>
      <c r="ACL411" s="113"/>
      <c r="ACM411" s="113"/>
      <c r="ACN411" s="113"/>
      <c r="ACO411" s="113"/>
      <c r="ACP411" s="113"/>
      <c r="ACQ411" s="113"/>
      <c r="ACR411" s="113"/>
      <c r="ACS411" s="113"/>
      <c r="ACT411" s="113"/>
      <c r="ACU411" s="113"/>
      <c r="ACV411" s="113"/>
      <c r="ACW411" s="113"/>
      <c r="ACX411" s="113"/>
      <c r="ACY411" s="113"/>
      <c r="ACZ411" s="113"/>
      <c r="ADA411" s="113"/>
      <c r="ADB411" s="113"/>
      <c r="ADC411" s="113"/>
      <c r="ADD411" s="113"/>
      <c r="ADE411" s="113"/>
      <c r="ADF411" s="113"/>
      <c r="ADG411" s="113"/>
      <c r="ADH411" s="113"/>
      <c r="ADI411" s="113"/>
      <c r="ADJ411" s="113"/>
      <c r="ADK411" s="113"/>
      <c r="ADL411" s="113"/>
      <c r="ADM411" s="113"/>
      <c r="ADN411" s="113"/>
      <c r="ADO411" s="113"/>
      <c r="ADP411" s="113"/>
      <c r="ADQ411" s="113"/>
      <c r="ADR411" s="113"/>
      <c r="ADS411" s="113"/>
      <c r="ADT411" s="113"/>
      <c r="ADU411" s="113"/>
      <c r="ADV411" s="113"/>
      <c r="ADW411" s="113"/>
      <c r="ADX411" s="113"/>
      <c r="ADY411" s="113"/>
      <c r="ADZ411" s="113"/>
      <c r="AEA411" s="113"/>
      <c r="AEB411" s="113"/>
      <c r="AEC411" s="113"/>
      <c r="AED411" s="113"/>
      <c r="AEE411" s="113"/>
      <c r="AEF411" s="113"/>
      <c r="AEG411" s="113"/>
      <c r="AEH411" s="113"/>
      <c r="AEI411" s="113"/>
      <c r="AEJ411" s="113"/>
      <c r="AEK411" s="113"/>
      <c r="AEL411" s="113"/>
      <c r="AEM411" s="113"/>
      <c r="AEN411" s="113"/>
      <c r="AEO411" s="113"/>
      <c r="AEP411" s="113"/>
      <c r="AEQ411" s="113"/>
      <c r="AER411" s="113"/>
      <c r="AES411" s="113"/>
      <c r="AET411" s="113"/>
      <c r="AEU411" s="113"/>
      <c r="AEV411" s="113"/>
      <c r="AEW411" s="113"/>
      <c r="AEX411" s="113"/>
      <c r="AEY411" s="113"/>
      <c r="AEZ411" s="113"/>
      <c r="AFA411" s="113"/>
      <c r="AFB411" s="113"/>
      <c r="AFC411" s="113"/>
      <c r="AFD411" s="113"/>
      <c r="AFE411" s="113"/>
      <c r="AFF411" s="113"/>
      <c r="AFG411" s="113"/>
      <c r="AFH411" s="113"/>
      <c r="AFI411" s="113"/>
      <c r="AFJ411" s="113"/>
      <c r="AFK411" s="113"/>
      <c r="AFL411" s="113"/>
      <c r="AFM411" s="113"/>
      <c r="AFN411" s="113"/>
      <c r="AFO411" s="113"/>
      <c r="AFP411" s="113"/>
      <c r="AFQ411" s="113"/>
      <c r="AFR411" s="113"/>
      <c r="AFS411" s="113"/>
      <c r="AFT411" s="113"/>
      <c r="AFU411" s="113"/>
      <c r="AFV411" s="113"/>
      <c r="AFW411" s="113"/>
      <c r="AFX411" s="113"/>
      <c r="AFY411" s="113"/>
      <c r="AFZ411" s="113"/>
      <c r="AGA411" s="113"/>
      <c r="AGB411" s="113"/>
      <c r="AGC411" s="113"/>
      <c r="AGD411" s="113"/>
      <c r="AGE411" s="113"/>
      <c r="AGF411" s="113"/>
      <c r="AGG411" s="113"/>
      <c r="AGH411" s="113"/>
      <c r="AGI411" s="113"/>
      <c r="AGJ411" s="113"/>
      <c r="AGK411" s="113"/>
      <c r="AGL411" s="113"/>
      <c r="AGM411" s="113"/>
      <c r="AGN411" s="113"/>
      <c r="AGO411" s="113"/>
      <c r="AGP411" s="113"/>
      <c r="AGQ411" s="113"/>
      <c r="AGR411" s="113"/>
      <c r="AGS411" s="113"/>
      <c r="AGT411" s="113"/>
      <c r="AGU411" s="113"/>
      <c r="AGV411" s="113"/>
      <c r="AGW411" s="113"/>
      <c r="AGX411" s="113"/>
      <c r="AGY411" s="113"/>
      <c r="AGZ411" s="113"/>
      <c r="AHA411" s="113"/>
      <c r="AHB411" s="113"/>
      <c r="AHC411" s="113"/>
      <c r="AHD411" s="113"/>
      <c r="AHE411" s="113"/>
      <c r="AHF411" s="113"/>
      <c r="AHG411" s="113"/>
      <c r="AHH411" s="113"/>
      <c r="AHI411" s="113"/>
      <c r="AHJ411" s="113"/>
      <c r="AHK411" s="113"/>
      <c r="AHL411" s="113"/>
      <c r="AHM411" s="113"/>
      <c r="AHN411" s="113"/>
      <c r="AHO411" s="113"/>
      <c r="AHP411" s="113"/>
      <c r="AHQ411" s="113"/>
      <c r="AHR411" s="113"/>
      <c r="AHS411" s="113"/>
      <c r="AHT411" s="113"/>
      <c r="AHU411" s="113"/>
      <c r="AHV411" s="113"/>
      <c r="AHW411" s="113"/>
      <c r="AHX411" s="113"/>
      <c r="AHY411" s="113"/>
      <c r="AHZ411" s="113"/>
      <c r="AIA411" s="113"/>
      <c r="AIB411" s="113"/>
      <c r="AIC411" s="113"/>
      <c r="AID411" s="113"/>
      <c r="AIE411" s="113"/>
      <c r="AIF411" s="113"/>
      <c r="AIG411" s="113"/>
      <c r="AIH411" s="113"/>
      <c r="AII411" s="113"/>
      <c r="AIJ411" s="113"/>
      <c r="AIK411" s="113"/>
      <c r="AIL411" s="113"/>
      <c r="AIM411" s="113"/>
      <c r="AIN411" s="113"/>
      <c r="AIO411" s="113"/>
      <c r="AIP411" s="113"/>
      <c r="AIQ411" s="113"/>
      <c r="AIR411" s="113"/>
      <c r="AIS411" s="113"/>
      <c r="AIT411" s="113"/>
      <c r="AIU411" s="113"/>
      <c r="AIV411" s="113"/>
      <c r="AIW411" s="113"/>
      <c r="AIX411" s="113"/>
      <c r="AIY411" s="113"/>
      <c r="AIZ411" s="113"/>
    </row>
    <row r="412">
      <c r="A412" s="65" t="s">
        <v>38</v>
      </c>
      <c r="B412" s="65" t="s">
        <v>99</v>
      </c>
      <c r="C412" s="65"/>
      <c r="D412" s="64">
        <f t="shared" si="1"/>
        <v>511.8095333</v>
      </c>
      <c r="F412" s="65">
        <v>33.6000333333333</v>
      </c>
      <c r="G412" s="65">
        <v>52.4892833333333</v>
      </c>
      <c r="H412" s="65">
        <v>17.5337</v>
      </c>
      <c r="I412" s="65">
        <v>2.2498</v>
      </c>
      <c r="J412" s="65">
        <v>0.774016666666667</v>
      </c>
      <c r="K412" s="65">
        <v>7.44255</v>
      </c>
      <c r="N412" s="65">
        <v>30.25755</v>
      </c>
      <c r="Q412" s="65">
        <v>17.9369166666667</v>
      </c>
      <c r="R412" s="65">
        <v>35.4268333333333</v>
      </c>
      <c r="S412" s="65">
        <v>8.2634</v>
      </c>
      <c r="T412" s="65">
        <v>2.26033333333333</v>
      </c>
      <c r="U412" s="65">
        <v>1.59656666666667</v>
      </c>
      <c r="X412" s="65">
        <v>11.7323333333333</v>
      </c>
      <c r="Y412" s="65">
        <v>57.4406666666667</v>
      </c>
      <c r="Z412" s="65">
        <v>9.80935</v>
      </c>
      <c r="AA412" s="65">
        <v>2.82833333333333</v>
      </c>
      <c r="AB412" s="65">
        <v>4.98605</v>
      </c>
      <c r="AE412" s="65">
        <v>21.27885</v>
      </c>
      <c r="AF412" s="65">
        <v>66.46605</v>
      </c>
      <c r="AG412" s="65">
        <v>10.3307166666667</v>
      </c>
      <c r="AH412" s="65">
        <v>1.55628333333333</v>
      </c>
      <c r="AI412" s="65">
        <v>4.50768333333333</v>
      </c>
      <c r="AL412" s="65">
        <v>25.532</v>
      </c>
      <c r="AM412" s="65">
        <v>16.6167833333333</v>
      </c>
      <c r="AN412" s="65">
        <v>15.35315</v>
      </c>
      <c r="AQ412" s="65">
        <v>3.22706666666667</v>
      </c>
      <c r="AR412" s="65">
        <v>5.58926666666667</v>
      </c>
      <c r="AU412" s="65">
        <v>44.7239666666667</v>
      </c>
    </row>
    <row r="413">
      <c r="A413" s="65" t="s">
        <v>38</v>
      </c>
      <c r="B413" s="65" t="s">
        <v>99</v>
      </c>
      <c r="C413" s="65"/>
      <c r="D413" s="64">
        <f t="shared" si="1"/>
        <v>0</v>
      </c>
    </row>
    <row r="414">
      <c r="A414" s="65" t="s">
        <v>38</v>
      </c>
      <c r="B414" s="65" t="s">
        <v>99</v>
      </c>
      <c r="C414" s="65"/>
      <c r="D414" s="64">
        <f t="shared" si="1"/>
        <v>497.12315</v>
      </c>
      <c r="F414" s="118">
        <f>HYPERLINK("https://docs.google.com/spreadsheets/d/1rdg2wyN5ZHeTgbH1-8y-JB3PtL4o8uAW", 32.76195)</f>
        <v>32.76195</v>
      </c>
      <c r="G414" s="118">
        <f>HYPERLINK("https://docs.google.com/spreadsheets/d/1qosIy--fiPmWHpZi6MC6Js14fQYD8dxM", 52.48925)</f>
        <v>52.48925</v>
      </c>
      <c r="H414" s="118">
        <f>HYPERLINK("https://docs.google.com/spreadsheets/d/1N_w3G223ePydA2qlyOqxWMJ26HtMxmJi", 17.4329166666667)</f>
        <v>17.43291667</v>
      </c>
      <c r="I414" s="118">
        <f>HYPERLINK("https://docs.google.com/spreadsheets/d/1aQ0mbB1nKAJtS0N6dKKGGAdfnbbnEaYc", 2.2498)</f>
        <v>2.2498</v>
      </c>
      <c r="J414" s="118">
        <f>HYPERLINK("https://docs.google.com/spreadsheets/d/1RH5E5p7nzA-XZr3xfgSIj5Ta-un6USPN", 0.296733333333333)</f>
        <v>0.2967333333</v>
      </c>
      <c r="K414" s="118">
        <f>HYPERLINK("https://docs.google.com/spreadsheets/d/1ByOZUn2FrKebcbb55MuHk_z0MkfNHS_d", 7.44255)</f>
        <v>7.44255</v>
      </c>
      <c r="N414" s="118">
        <f>HYPERLINK("https://docs.google.com/spreadsheets/d/1Zkh34FVOicWOxAGMNH_WcsedYeT34xU1", 30.2575333333333)</f>
        <v>30.25753333</v>
      </c>
      <c r="Q414" s="118">
        <f>HYPERLINK("https://docs.google.com/spreadsheets/d/1kIR6sxAeBSNpql9iskKWeRdlvlZqBw0R", 14.2363)</f>
        <v>14.2363</v>
      </c>
      <c r="R414" s="118">
        <f>HYPERLINK("https://docs.google.com/spreadsheets/d/1eDmclj1vxmG2f_5JpZSm7RzRJUS0NxEF", 35.26215)</f>
        <v>35.26215</v>
      </c>
      <c r="S414" s="118">
        <f>HYPERLINK("https://docs.google.com/spreadsheets/d/1Tv9ni3TcLLnCbPlsRTsMzQ89NeDB160q", 8.26341666666667)</f>
        <v>8.263416667</v>
      </c>
      <c r="T414" s="118">
        <f>HYPERLINK("https://docs.google.com/spreadsheets/d/1i1ZjxHE4AZQz94cgo3VQ-F85oNMmCdi5", 2.02168333333333)</f>
        <v>2.021683333</v>
      </c>
      <c r="U414" s="118">
        <f>HYPERLINK("https://docs.google.com/spreadsheets/d/1ZjiHnHwafeZsd894PnU4zHhx5X9aRHyO", 1.59656666666667)</f>
        <v>1.596566667</v>
      </c>
      <c r="X414" s="118">
        <f>HYPERLINK("https://docs.google.com/spreadsheets/d/1F2xw-MbrooQBtV0ocQchMo6MZxETnf2k", 11.7323166666667)</f>
        <v>11.73231667</v>
      </c>
      <c r="Y414" s="118">
        <f>HYPERLINK("https://docs.google.com/spreadsheets/d/12RsHT9ilTngk0LXzi_2qTMB3NkjILVKT", 57.4406)</f>
        <v>57.4406</v>
      </c>
      <c r="Z414" s="118">
        <f>HYPERLINK("https://docs.google.com/spreadsheets/d/1CyxctqBDErc7rGG03lpMr_eodwel4DQn", 9.80935)</f>
        <v>9.80935</v>
      </c>
      <c r="AA414" s="118">
        <f>HYPERLINK("https://docs.google.com/spreadsheets/d/1-4Ze-3cN8Opn1ZjG0F2TH65HjLL3qsR7", 2.82833333333333)</f>
        <v>2.828333333</v>
      </c>
      <c r="AB414" s="118">
        <f>HYPERLINK("https://docs.google.com/spreadsheets/d/1PCBRZUb_Gybh74vYGSxPUAnDV5dLHoP0", 4.96138333333333)</f>
        <v>4.961383333</v>
      </c>
      <c r="AE414" s="118">
        <f>HYPERLINK("https://docs.google.com/spreadsheets/d/1AEvZxEq38Hv8NXw8wN2Lk-gIUotxGJJq", 21.2788333333333)</f>
        <v>21.27883333</v>
      </c>
      <c r="AF414" s="118">
        <f>HYPERLINK("https://docs.google.com/spreadsheets/d/1O52rocCgYMAbqFb2LxHbSTZTZFCt5q4y", 66.4659666666666)</f>
        <v>66.46596667</v>
      </c>
      <c r="AG414" s="118">
        <f>HYPERLINK("https://docs.google.com/spreadsheets/d/1-2IwELP1wq0xVbacuEEn0k6MOjOfPq1z", 10.3307)</f>
        <v>10.3307</v>
      </c>
      <c r="AH414" s="118">
        <f>HYPERLINK("https://docs.google.com/spreadsheets/d/1e3sYYRN_cPqqzcK504IoAefClTCM0s4R", 1.55628333333333)</f>
        <v>1.556283333</v>
      </c>
      <c r="AI414" s="118">
        <f>HYPERLINK("https://docs.google.com/spreadsheets/d/1zldo8-NiKXDwLUz9ft0nHkD-uBblpnpx", 4.50766666666667)</f>
        <v>4.507666667</v>
      </c>
      <c r="AL414" s="118">
        <f>HYPERLINK("https://docs.google.com/spreadsheets/d/1DWnuNGhmMv-_0bzzv0z0_U6qj1fZuVND", 19.0082166666667)</f>
        <v>19.00821667</v>
      </c>
      <c r="AM414" s="118">
        <f>HYPERLINK("https://docs.google.com/spreadsheets/d/1SQ3nVyoj1y_BFhTf7Wo6KsW6E2Py2UpF", 14.8430333333333)</f>
        <v>14.84303333</v>
      </c>
      <c r="AN414" s="118">
        <f>HYPERLINK("https://docs.google.com/spreadsheets/d/1aKHYLd3m7kFroZcAUv0SXbtD5KJ-qBaP", 15.3531166666667)</f>
        <v>15.35311667</v>
      </c>
      <c r="AQ414" s="118">
        <f>HYPERLINK("https://docs.google.com/spreadsheets/d/1pJMTpdIq5cV8SyYSo7CPOlUGXW0haFYF", 2.38328333333333)</f>
        <v>2.383283333</v>
      </c>
      <c r="AR414" s="118">
        <f>HYPERLINK("https://docs.google.com/spreadsheets/d/1bbCffqqkIkP4GGqUYPCzorSQddbZvwXj", 5.58925)</f>
        <v>5.58925</v>
      </c>
      <c r="AU414" s="118">
        <f>HYPERLINK("https://docs.google.com/spreadsheets/d/1w_eT4-ULf127ozlukpFwzNLp8Pg82NlM", 44.7239666666667)</f>
        <v>44.72396667</v>
      </c>
    </row>
    <row r="415">
      <c r="A415" s="65" t="s">
        <v>38</v>
      </c>
      <c r="B415" s="65" t="s">
        <v>99</v>
      </c>
      <c r="C415" s="65"/>
      <c r="D415" s="64">
        <f t="shared" si="1"/>
        <v>331.9224667</v>
      </c>
      <c r="F415" s="65">
        <v>24.3486333333333</v>
      </c>
      <c r="G415" s="65">
        <v>42.6247666666667</v>
      </c>
      <c r="H415" s="65">
        <v>9.85065</v>
      </c>
      <c r="I415" s="65">
        <v>1.75688333333333</v>
      </c>
      <c r="J415" s="65">
        <v>0.296733333333333</v>
      </c>
      <c r="K415" s="65">
        <v>6.15233333333333</v>
      </c>
      <c r="N415" s="65">
        <v>22.59905</v>
      </c>
      <c r="Q415" s="65">
        <v>8.45351666666667</v>
      </c>
      <c r="R415" s="65">
        <v>27.8824</v>
      </c>
      <c r="S415" s="65">
        <v>6.03646666666667</v>
      </c>
      <c r="T415" s="65">
        <v>1.03976666666667</v>
      </c>
      <c r="U415" s="65">
        <v>0.9037</v>
      </c>
      <c r="X415" s="65">
        <v>6.60851666666667</v>
      </c>
      <c r="Y415" s="65">
        <v>37.1393833333333</v>
      </c>
      <c r="Z415" s="65">
        <v>5.8992</v>
      </c>
      <c r="AA415" s="65">
        <v>1.57118333333333</v>
      </c>
      <c r="AB415" s="65">
        <v>4.39808333333333</v>
      </c>
      <c r="AE415" s="65">
        <v>6.43038333333333</v>
      </c>
      <c r="AF415" s="65">
        <v>37.9046833333333</v>
      </c>
      <c r="AG415" s="65">
        <v>4.33265</v>
      </c>
      <c r="AH415" s="65">
        <v>0.865866666666667</v>
      </c>
      <c r="AI415" s="65">
        <v>3.1959</v>
      </c>
      <c r="AL415" s="65">
        <v>6.8309</v>
      </c>
      <c r="AM415" s="65">
        <v>5.2068</v>
      </c>
      <c r="AN415" s="65">
        <v>11.50765</v>
      </c>
      <c r="AQ415" s="65">
        <v>1.96221666666667</v>
      </c>
      <c r="AR415" s="65">
        <v>4.95793333333333</v>
      </c>
      <c r="AU415" s="65">
        <v>41.1662166666667</v>
      </c>
    </row>
    <row r="416">
      <c r="A416" s="119" t="s">
        <v>38</v>
      </c>
      <c r="B416" s="119" t="s">
        <v>99</v>
      </c>
      <c r="C416" s="119"/>
      <c r="D416" s="120">
        <f t="shared" si="1"/>
        <v>0</v>
      </c>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c r="AA416" s="120"/>
      <c r="AB416" s="120"/>
      <c r="AC416" s="120"/>
      <c r="AD416" s="120"/>
      <c r="AE416" s="120"/>
      <c r="AF416" s="120"/>
      <c r="AG416" s="120"/>
      <c r="AH416" s="120"/>
      <c r="AI416" s="120"/>
      <c r="AJ416" s="120"/>
      <c r="AK416" s="120"/>
      <c r="AL416" s="120"/>
      <c r="AM416" s="120"/>
      <c r="AN416" s="120"/>
      <c r="AO416" s="120"/>
      <c r="AP416" s="120"/>
      <c r="AQ416" s="120"/>
      <c r="AR416" s="120"/>
      <c r="AS416" s="120"/>
      <c r="AT416" s="120"/>
      <c r="AU416" s="120"/>
      <c r="AV416" s="120"/>
      <c r="AW416" s="120"/>
      <c r="AX416" s="120"/>
      <c r="AY416" s="120"/>
      <c r="AZ416" s="120"/>
      <c r="BA416" s="120"/>
      <c r="BB416" s="120"/>
      <c r="BC416" s="120"/>
      <c r="BD416" s="120"/>
      <c r="BE416" s="120"/>
      <c r="BF416" s="120"/>
      <c r="BG416" s="120"/>
      <c r="BH416" s="120"/>
      <c r="BI416" s="120"/>
      <c r="BJ416" s="120"/>
      <c r="BK416" s="120"/>
      <c r="BL416" s="120"/>
      <c r="BM416" s="120"/>
      <c r="BN416" s="120"/>
      <c r="BO416" s="120"/>
      <c r="BP416" s="120"/>
      <c r="BQ416" s="120"/>
      <c r="BR416" s="120"/>
      <c r="BS416" s="120"/>
      <c r="BT416" s="120"/>
      <c r="BU416" s="120"/>
      <c r="BV416" s="120"/>
      <c r="BW416" s="120"/>
      <c r="BX416" s="120"/>
      <c r="BY416" s="120"/>
      <c r="BZ416" s="120"/>
      <c r="CA416" s="120"/>
      <c r="CB416" s="120"/>
      <c r="CC416" s="120"/>
      <c r="CD416" s="120"/>
      <c r="CE416" s="120"/>
      <c r="CF416" s="120"/>
      <c r="CG416" s="120"/>
      <c r="CH416" s="120"/>
      <c r="CI416" s="120"/>
      <c r="CJ416" s="120"/>
      <c r="CK416" s="120"/>
      <c r="CL416" s="120"/>
      <c r="CM416" s="120"/>
      <c r="CN416" s="120"/>
      <c r="CO416" s="120"/>
      <c r="CP416" s="120"/>
      <c r="CQ416" s="120"/>
      <c r="CR416" s="120"/>
      <c r="CS416" s="120"/>
      <c r="CT416" s="120"/>
      <c r="CU416" s="120"/>
      <c r="CV416" s="120"/>
      <c r="CW416" s="120"/>
      <c r="CX416" s="120"/>
      <c r="CY416" s="120"/>
      <c r="CZ416" s="120"/>
      <c r="DA416" s="120"/>
      <c r="DB416" s="120"/>
      <c r="DC416" s="120"/>
      <c r="DD416" s="120"/>
      <c r="DE416" s="120"/>
      <c r="DF416" s="120"/>
      <c r="DG416" s="120"/>
      <c r="DH416" s="120"/>
      <c r="DI416" s="120"/>
      <c r="DJ416" s="120"/>
      <c r="DK416" s="120"/>
      <c r="DL416" s="120"/>
      <c r="DM416" s="120"/>
      <c r="DN416" s="120"/>
      <c r="DO416" s="120"/>
      <c r="DP416" s="120"/>
      <c r="DQ416" s="120"/>
      <c r="DR416" s="120"/>
      <c r="DS416" s="120"/>
      <c r="DT416" s="120"/>
      <c r="DU416" s="120"/>
      <c r="DV416" s="120"/>
      <c r="DW416" s="120"/>
      <c r="DX416" s="120"/>
      <c r="DY416" s="120"/>
      <c r="DZ416" s="120"/>
      <c r="EA416" s="120"/>
      <c r="EB416" s="120"/>
      <c r="EC416" s="120"/>
      <c r="ED416" s="120"/>
      <c r="EE416" s="120"/>
      <c r="EF416" s="120"/>
      <c r="EG416" s="120"/>
      <c r="EH416" s="120"/>
      <c r="EI416" s="120"/>
      <c r="EJ416" s="120"/>
      <c r="EK416" s="120"/>
      <c r="EL416" s="120"/>
      <c r="EM416" s="120"/>
      <c r="EN416" s="120"/>
      <c r="EO416" s="120"/>
      <c r="EP416" s="120"/>
      <c r="EQ416" s="120"/>
      <c r="ER416" s="120"/>
      <c r="ES416" s="120"/>
      <c r="ET416" s="120"/>
      <c r="EU416" s="120"/>
      <c r="EV416" s="120"/>
      <c r="EW416" s="120"/>
      <c r="EX416" s="120"/>
      <c r="EY416" s="120"/>
      <c r="EZ416" s="120"/>
      <c r="FA416" s="120"/>
      <c r="FB416" s="120"/>
      <c r="FC416" s="120"/>
      <c r="FD416" s="120"/>
      <c r="FE416" s="120"/>
      <c r="FF416" s="120"/>
      <c r="FG416" s="120"/>
      <c r="FH416" s="120"/>
      <c r="FI416" s="120"/>
      <c r="FJ416" s="120"/>
      <c r="FK416" s="120"/>
      <c r="FL416" s="120"/>
      <c r="FM416" s="120"/>
      <c r="FN416" s="120"/>
      <c r="FO416" s="120"/>
      <c r="FP416" s="120"/>
      <c r="FQ416" s="120"/>
      <c r="FR416" s="120"/>
      <c r="FS416" s="120"/>
      <c r="FT416" s="120"/>
      <c r="FU416" s="120"/>
      <c r="FV416" s="120"/>
      <c r="FW416" s="120"/>
      <c r="FX416" s="120"/>
      <c r="FY416" s="120"/>
      <c r="FZ416" s="120"/>
      <c r="GA416" s="120"/>
      <c r="GB416" s="120"/>
      <c r="GC416" s="120"/>
      <c r="GD416" s="120"/>
      <c r="GE416" s="120"/>
      <c r="GF416" s="120"/>
      <c r="GG416" s="120"/>
      <c r="GH416" s="120"/>
      <c r="GI416" s="120"/>
      <c r="GJ416" s="120"/>
      <c r="GK416" s="120"/>
      <c r="GL416" s="120"/>
      <c r="GM416" s="120"/>
      <c r="GN416" s="120"/>
      <c r="GO416" s="120"/>
      <c r="GP416" s="120"/>
      <c r="GQ416" s="120"/>
      <c r="GR416" s="120"/>
      <c r="GS416" s="120"/>
      <c r="GT416" s="120"/>
      <c r="GU416" s="120"/>
      <c r="GV416" s="120"/>
      <c r="GW416" s="120"/>
      <c r="GX416" s="120"/>
      <c r="GY416" s="120"/>
      <c r="GZ416" s="120"/>
      <c r="HA416" s="120"/>
      <c r="HB416" s="120"/>
      <c r="HC416" s="120"/>
      <c r="HD416" s="120"/>
      <c r="HE416" s="120"/>
      <c r="HF416" s="120"/>
      <c r="HG416" s="120"/>
      <c r="HH416" s="120"/>
      <c r="HI416" s="120"/>
      <c r="HJ416" s="120"/>
      <c r="HK416" s="120"/>
      <c r="HL416" s="120"/>
      <c r="HM416" s="120"/>
      <c r="HN416" s="120"/>
      <c r="HO416" s="120"/>
      <c r="HP416" s="120"/>
      <c r="HQ416" s="120"/>
      <c r="HR416" s="120"/>
      <c r="HS416" s="120"/>
      <c r="HT416" s="120"/>
      <c r="HU416" s="120"/>
      <c r="HV416" s="120"/>
      <c r="HW416" s="120"/>
      <c r="HX416" s="120"/>
      <c r="HY416" s="120"/>
      <c r="HZ416" s="120"/>
      <c r="IA416" s="120"/>
      <c r="IB416" s="120"/>
      <c r="IC416" s="120"/>
      <c r="ID416" s="120"/>
      <c r="IE416" s="120"/>
      <c r="IF416" s="120"/>
      <c r="IG416" s="120"/>
      <c r="IH416" s="120"/>
      <c r="II416" s="120"/>
      <c r="IJ416" s="120"/>
      <c r="IK416" s="120"/>
      <c r="IL416" s="120"/>
      <c r="IM416" s="120"/>
      <c r="IN416" s="120"/>
      <c r="IO416" s="120"/>
      <c r="IP416" s="120"/>
      <c r="IQ416" s="120"/>
      <c r="IR416" s="120"/>
      <c r="IS416" s="120"/>
      <c r="IT416" s="120"/>
      <c r="IU416" s="120"/>
      <c r="IV416" s="120"/>
      <c r="IW416" s="120"/>
      <c r="IX416" s="120"/>
      <c r="IY416" s="120"/>
      <c r="IZ416" s="120"/>
      <c r="JA416" s="120"/>
      <c r="JB416" s="120"/>
      <c r="JC416" s="120"/>
      <c r="JD416" s="120"/>
      <c r="JE416" s="120"/>
      <c r="JF416" s="120"/>
      <c r="JG416" s="120"/>
      <c r="JH416" s="120"/>
      <c r="JI416" s="120"/>
      <c r="JJ416" s="120"/>
      <c r="JK416" s="120"/>
      <c r="JL416" s="120"/>
      <c r="JM416" s="120"/>
      <c r="JN416" s="120"/>
      <c r="JO416" s="120"/>
      <c r="JP416" s="120"/>
      <c r="JQ416" s="120"/>
      <c r="JR416" s="120"/>
      <c r="JS416" s="120"/>
      <c r="JT416" s="120"/>
      <c r="JU416" s="120"/>
      <c r="JV416" s="120"/>
      <c r="JW416" s="120"/>
      <c r="JX416" s="120"/>
      <c r="JY416" s="120"/>
      <c r="JZ416" s="120"/>
      <c r="KA416" s="120"/>
      <c r="KB416" s="120"/>
      <c r="KC416" s="120"/>
      <c r="KD416" s="120"/>
      <c r="KE416" s="120"/>
      <c r="KF416" s="120"/>
      <c r="KG416" s="120"/>
      <c r="KH416" s="120"/>
      <c r="KI416" s="120"/>
      <c r="KJ416" s="120"/>
      <c r="KK416" s="120"/>
      <c r="KL416" s="120"/>
      <c r="KM416" s="120"/>
      <c r="KN416" s="120"/>
      <c r="KO416" s="120"/>
      <c r="KP416" s="120"/>
      <c r="KQ416" s="120"/>
      <c r="KR416" s="120"/>
      <c r="KS416" s="120"/>
      <c r="KT416" s="120"/>
      <c r="KU416" s="120"/>
      <c r="KV416" s="120"/>
      <c r="KW416" s="120"/>
      <c r="KX416" s="120"/>
      <c r="KY416" s="120"/>
      <c r="KZ416" s="120"/>
      <c r="LA416" s="120"/>
      <c r="LB416" s="120"/>
      <c r="LC416" s="120"/>
      <c r="LD416" s="120"/>
      <c r="LE416" s="120"/>
      <c r="LF416" s="120"/>
      <c r="LG416" s="120"/>
      <c r="LH416" s="120"/>
      <c r="LI416" s="120"/>
      <c r="LJ416" s="120"/>
      <c r="LK416" s="120"/>
      <c r="LL416" s="120"/>
      <c r="LM416" s="120"/>
      <c r="LN416" s="120"/>
      <c r="LO416" s="120"/>
      <c r="LP416" s="120"/>
      <c r="LQ416" s="120"/>
      <c r="LR416" s="120"/>
      <c r="LS416" s="120"/>
      <c r="LT416" s="120"/>
      <c r="LU416" s="120"/>
      <c r="LV416" s="120"/>
      <c r="LW416" s="120"/>
      <c r="LX416" s="120"/>
      <c r="LY416" s="120"/>
      <c r="LZ416" s="120"/>
      <c r="MA416" s="120"/>
      <c r="MB416" s="120"/>
      <c r="MC416" s="120"/>
      <c r="MD416" s="120"/>
      <c r="ME416" s="120"/>
      <c r="MF416" s="120"/>
      <c r="MG416" s="120"/>
      <c r="MH416" s="120"/>
      <c r="MI416" s="120"/>
      <c r="MJ416" s="120"/>
      <c r="MK416" s="120"/>
      <c r="ML416" s="120"/>
      <c r="MM416" s="120"/>
      <c r="MN416" s="120"/>
      <c r="MO416" s="120"/>
      <c r="MP416" s="120"/>
      <c r="MQ416" s="120"/>
      <c r="MR416" s="120"/>
      <c r="MS416" s="120"/>
      <c r="MT416" s="120"/>
      <c r="MU416" s="120"/>
      <c r="MV416" s="120"/>
      <c r="MW416" s="120"/>
      <c r="MX416" s="120"/>
      <c r="MY416" s="120"/>
      <c r="MZ416" s="120"/>
      <c r="NA416" s="120"/>
      <c r="NB416" s="120"/>
      <c r="NC416" s="120"/>
      <c r="ND416" s="120"/>
      <c r="NE416" s="120"/>
      <c r="NF416" s="120"/>
      <c r="NG416" s="120"/>
      <c r="NH416" s="120"/>
      <c r="NI416" s="120"/>
      <c r="NJ416" s="120"/>
      <c r="NK416" s="120"/>
      <c r="NL416" s="120"/>
      <c r="NM416" s="120"/>
      <c r="NN416" s="120"/>
      <c r="NO416" s="120"/>
      <c r="NP416" s="120"/>
      <c r="NQ416" s="120"/>
      <c r="NR416" s="120"/>
      <c r="NS416" s="120"/>
      <c r="NT416" s="120"/>
      <c r="NU416" s="120"/>
      <c r="NV416" s="120"/>
      <c r="NW416" s="120"/>
      <c r="NX416" s="120"/>
      <c r="NY416" s="120"/>
      <c r="NZ416" s="120"/>
      <c r="OA416" s="120"/>
      <c r="OB416" s="120"/>
      <c r="OC416" s="120"/>
      <c r="OD416" s="120"/>
      <c r="OE416" s="120"/>
      <c r="OF416" s="120"/>
      <c r="OG416" s="120"/>
      <c r="OH416" s="120"/>
      <c r="OI416" s="120"/>
      <c r="OJ416" s="120"/>
      <c r="OK416" s="120"/>
      <c r="OL416" s="120"/>
      <c r="OM416" s="120"/>
      <c r="ON416" s="120"/>
      <c r="OO416" s="120"/>
      <c r="OP416" s="120"/>
      <c r="OQ416" s="120"/>
      <c r="OR416" s="120"/>
      <c r="OS416" s="120"/>
      <c r="OT416" s="120"/>
      <c r="OU416" s="120"/>
      <c r="OV416" s="120"/>
      <c r="OW416" s="120"/>
      <c r="OX416" s="120"/>
      <c r="OY416" s="120"/>
      <c r="OZ416" s="120"/>
      <c r="PA416" s="120"/>
      <c r="PB416" s="120"/>
      <c r="PC416" s="120"/>
      <c r="PD416" s="120"/>
      <c r="PE416" s="120"/>
      <c r="PF416" s="120"/>
      <c r="PG416" s="120"/>
      <c r="PH416" s="120"/>
      <c r="PI416" s="120"/>
      <c r="PJ416" s="120"/>
      <c r="PK416" s="120"/>
      <c r="PL416" s="120"/>
      <c r="PM416" s="120"/>
      <c r="PN416" s="120"/>
      <c r="PO416" s="120"/>
      <c r="PP416" s="120"/>
      <c r="PQ416" s="120"/>
      <c r="PR416" s="120"/>
      <c r="PS416" s="120"/>
      <c r="PT416" s="120"/>
      <c r="PU416" s="120"/>
      <c r="PV416" s="120"/>
      <c r="PW416" s="120"/>
      <c r="PX416" s="120"/>
      <c r="PY416" s="120"/>
      <c r="PZ416" s="120"/>
      <c r="QA416" s="120"/>
      <c r="QB416" s="120"/>
      <c r="QC416" s="120"/>
      <c r="QD416" s="120"/>
      <c r="QE416" s="120"/>
      <c r="QF416" s="120"/>
      <c r="QG416" s="120"/>
      <c r="QH416" s="120"/>
      <c r="QI416" s="120"/>
      <c r="QJ416" s="120"/>
      <c r="QK416" s="120"/>
      <c r="QL416" s="120"/>
      <c r="QM416" s="120"/>
      <c r="QN416" s="120"/>
      <c r="QO416" s="120"/>
      <c r="QP416" s="120"/>
      <c r="QQ416" s="120"/>
      <c r="QR416" s="120"/>
      <c r="QS416" s="120"/>
      <c r="QT416" s="120"/>
      <c r="QU416" s="120"/>
      <c r="QV416" s="120"/>
      <c r="QW416" s="120"/>
      <c r="QX416" s="120"/>
      <c r="QY416" s="120"/>
      <c r="QZ416" s="120"/>
      <c r="RA416" s="120"/>
      <c r="RB416" s="120"/>
      <c r="RC416" s="120"/>
      <c r="RD416" s="120"/>
      <c r="RE416" s="120"/>
      <c r="RF416" s="120"/>
      <c r="RG416" s="120"/>
      <c r="RH416" s="120"/>
      <c r="RI416" s="120"/>
      <c r="RJ416" s="120"/>
      <c r="RK416" s="120"/>
      <c r="RL416" s="120"/>
      <c r="RM416" s="120"/>
      <c r="RN416" s="120"/>
      <c r="RO416" s="120"/>
      <c r="RP416" s="120"/>
      <c r="RQ416" s="120"/>
      <c r="RR416" s="120"/>
      <c r="RS416" s="120"/>
      <c r="RT416" s="120"/>
      <c r="RU416" s="120"/>
      <c r="RV416" s="120"/>
      <c r="RW416" s="120"/>
      <c r="RX416" s="120"/>
      <c r="RY416" s="120"/>
      <c r="RZ416" s="120"/>
      <c r="SA416" s="120"/>
      <c r="SB416" s="120"/>
      <c r="SC416" s="120"/>
      <c r="SD416" s="120"/>
      <c r="SE416" s="120"/>
      <c r="SF416" s="120"/>
      <c r="SG416" s="120"/>
      <c r="SH416" s="120"/>
      <c r="SI416" s="120"/>
      <c r="SJ416" s="120"/>
      <c r="SK416" s="120"/>
      <c r="SL416" s="120"/>
      <c r="SM416" s="120"/>
      <c r="SN416" s="120"/>
      <c r="SO416" s="120"/>
      <c r="SP416" s="120"/>
      <c r="SQ416" s="120"/>
      <c r="SR416" s="120"/>
      <c r="SS416" s="120"/>
      <c r="ST416" s="120"/>
      <c r="SU416" s="120"/>
      <c r="SV416" s="120"/>
      <c r="SW416" s="120"/>
      <c r="SX416" s="120"/>
      <c r="SY416" s="120"/>
      <c r="SZ416" s="120"/>
      <c r="TA416" s="120"/>
      <c r="TB416" s="120"/>
      <c r="TC416" s="120"/>
      <c r="TD416" s="120"/>
      <c r="TE416" s="120"/>
      <c r="TF416" s="120"/>
      <c r="TG416" s="120"/>
      <c r="TH416" s="120"/>
      <c r="TI416" s="120"/>
      <c r="TJ416" s="120"/>
      <c r="TK416" s="120"/>
      <c r="TL416" s="120"/>
      <c r="TM416" s="120"/>
      <c r="TN416" s="120"/>
      <c r="TO416" s="120"/>
      <c r="TP416" s="120"/>
      <c r="TQ416" s="120"/>
      <c r="TR416" s="120"/>
      <c r="TS416" s="120"/>
      <c r="TT416" s="120"/>
      <c r="TU416" s="120"/>
      <c r="TV416" s="120"/>
      <c r="TW416" s="120"/>
      <c r="TX416" s="120"/>
      <c r="TY416" s="120"/>
      <c r="TZ416" s="120"/>
      <c r="UA416" s="120"/>
      <c r="UB416" s="120"/>
      <c r="UC416" s="120"/>
      <c r="UD416" s="120"/>
      <c r="UE416" s="120"/>
      <c r="UF416" s="120"/>
      <c r="UG416" s="120"/>
      <c r="UH416" s="120"/>
      <c r="UI416" s="120"/>
      <c r="UJ416" s="120"/>
      <c r="UK416" s="120"/>
      <c r="UL416" s="120"/>
      <c r="UM416" s="120"/>
      <c r="UN416" s="120"/>
      <c r="UO416" s="120"/>
      <c r="UP416" s="120"/>
      <c r="UQ416" s="120"/>
      <c r="UR416" s="120"/>
      <c r="US416" s="120"/>
      <c r="UT416" s="120"/>
      <c r="UU416" s="120"/>
      <c r="UV416" s="120"/>
      <c r="UW416" s="120"/>
      <c r="UX416" s="120"/>
      <c r="UY416" s="120"/>
      <c r="UZ416" s="120"/>
      <c r="VA416" s="120"/>
      <c r="VB416" s="120"/>
      <c r="VC416" s="120"/>
      <c r="VD416" s="120"/>
      <c r="VE416" s="120"/>
      <c r="VF416" s="120"/>
      <c r="VG416" s="120"/>
      <c r="VH416" s="120"/>
      <c r="VI416" s="120"/>
      <c r="VJ416" s="120"/>
      <c r="VK416" s="120"/>
      <c r="VL416" s="120"/>
      <c r="VM416" s="120"/>
      <c r="VN416" s="120"/>
      <c r="VO416" s="120"/>
      <c r="VP416" s="120"/>
      <c r="VQ416" s="120"/>
      <c r="VR416" s="120"/>
      <c r="VS416" s="120"/>
      <c r="VT416" s="120"/>
      <c r="VU416" s="120"/>
      <c r="VV416" s="120"/>
      <c r="VW416" s="120"/>
      <c r="VX416" s="120"/>
      <c r="VY416" s="120"/>
      <c r="VZ416" s="120"/>
      <c r="WA416" s="120"/>
      <c r="WB416" s="120"/>
      <c r="WC416" s="120"/>
      <c r="WD416" s="120"/>
      <c r="WE416" s="120"/>
      <c r="WF416" s="120"/>
      <c r="WG416" s="120"/>
      <c r="WH416" s="120"/>
      <c r="WI416" s="120"/>
      <c r="WJ416" s="120"/>
      <c r="WK416" s="120"/>
      <c r="WL416" s="120"/>
      <c r="WM416" s="120"/>
      <c r="WN416" s="120"/>
      <c r="WO416" s="120"/>
      <c r="WP416" s="120"/>
      <c r="WQ416" s="120"/>
      <c r="WR416" s="120"/>
      <c r="WS416" s="120"/>
      <c r="WT416" s="120"/>
      <c r="WU416" s="120"/>
      <c r="WV416" s="120"/>
      <c r="WW416" s="120"/>
      <c r="WX416" s="120"/>
      <c r="WY416" s="120"/>
      <c r="WZ416" s="120"/>
      <c r="XA416" s="120"/>
      <c r="XB416" s="120"/>
      <c r="XC416" s="120"/>
      <c r="XD416" s="120"/>
      <c r="XE416" s="120"/>
      <c r="XF416" s="120"/>
      <c r="XG416" s="120"/>
      <c r="XH416" s="120"/>
      <c r="XI416" s="120"/>
      <c r="XJ416" s="120"/>
      <c r="XK416" s="120"/>
      <c r="XL416" s="120"/>
      <c r="XM416" s="120"/>
      <c r="XN416" s="120"/>
      <c r="XO416" s="120"/>
      <c r="XP416" s="120"/>
      <c r="XQ416" s="120"/>
      <c r="XR416" s="120"/>
      <c r="XS416" s="120"/>
      <c r="XT416" s="120"/>
      <c r="XU416" s="120"/>
      <c r="XV416" s="120"/>
      <c r="XW416" s="120"/>
      <c r="XX416" s="120"/>
      <c r="XY416" s="120"/>
      <c r="XZ416" s="120"/>
      <c r="YA416" s="120"/>
      <c r="YB416" s="120"/>
      <c r="YC416" s="120"/>
      <c r="YD416" s="120"/>
      <c r="YE416" s="120"/>
      <c r="YF416" s="120"/>
      <c r="YG416" s="120"/>
      <c r="YH416" s="120"/>
      <c r="YI416" s="120"/>
      <c r="YJ416" s="120"/>
      <c r="YK416" s="120"/>
      <c r="YL416" s="120"/>
      <c r="YM416" s="120"/>
      <c r="YN416" s="120"/>
      <c r="YO416" s="120"/>
      <c r="YP416" s="120"/>
      <c r="YQ416" s="120"/>
      <c r="YR416" s="120"/>
      <c r="YS416" s="120"/>
      <c r="YT416" s="120"/>
      <c r="YU416" s="120"/>
      <c r="YV416" s="120"/>
      <c r="YW416" s="120"/>
      <c r="YX416" s="120"/>
      <c r="YY416" s="120"/>
      <c r="YZ416" s="120"/>
      <c r="ZA416" s="120"/>
      <c r="ZB416" s="120"/>
      <c r="ZC416" s="120"/>
      <c r="ZD416" s="120"/>
      <c r="ZE416" s="120"/>
      <c r="ZF416" s="120"/>
      <c r="ZG416" s="120"/>
      <c r="ZH416" s="120"/>
      <c r="ZI416" s="120"/>
      <c r="ZJ416" s="120"/>
      <c r="ZK416" s="120"/>
      <c r="ZL416" s="120"/>
      <c r="ZM416" s="120"/>
      <c r="ZN416" s="120"/>
      <c r="ZO416" s="120"/>
      <c r="ZP416" s="120"/>
      <c r="ZQ416" s="120"/>
      <c r="ZR416" s="120"/>
      <c r="ZS416" s="120"/>
      <c r="ZT416" s="120"/>
      <c r="ZU416" s="120"/>
      <c r="ZV416" s="120"/>
      <c r="ZW416" s="120"/>
      <c r="ZX416" s="120"/>
      <c r="ZY416" s="120"/>
      <c r="ZZ416" s="120"/>
      <c r="AAA416" s="120"/>
      <c r="AAB416" s="120"/>
      <c r="AAC416" s="120"/>
      <c r="AAD416" s="120"/>
      <c r="AAE416" s="120"/>
      <c r="AAF416" s="120"/>
      <c r="AAG416" s="120"/>
      <c r="AAH416" s="120"/>
      <c r="AAI416" s="120"/>
      <c r="AAJ416" s="120"/>
      <c r="AAK416" s="120"/>
      <c r="AAL416" s="120"/>
      <c r="AAM416" s="120"/>
      <c r="AAN416" s="120"/>
      <c r="AAO416" s="120"/>
      <c r="AAP416" s="120"/>
      <c r="AAQ416" s="120"/>
      <c r="AAR416" s="120"/>
      <c r="AAS416" s="120"/>
      <c r="AAT416" s="120"/>
      <c r="AAU416" s="120"/>
      <c r="AAV416" s="120"/>
      <c r="AAW416" s="120"/>
      <c r="AAX416" s="120"/>
      <c r="AAY416" s="120"/>
      <c r="AAZ416" s="120"/>
      <c r="ABA416" s="120"/>
      <c r="ABB416" s="120"/>
      <c r="ABC416" s="120"/>
      <c r="ABD416" s="120"/>
      <c r="ABE416" s="120"/>
      <c r="ABF416" s="120"/>
      <c r="ABG416" s="120"/>
      <c r="ABH416" s="120"/>
      <c r="ABI416" s="120"/>
      <c r="ABJ416" s="120"/>
      <c r="ABK416" s="120"/>
      <c r="ABL416" s="120"/>
      <c r="ABM416" s="120"/>
      <c r="ABN416" s="120"/>
      <c r="ABO416" s="120"/>
      <c r="ABP416" s="120"/>
      <c r="ABQ416" s="120"/>
      <c r="ABR416" s="120"/>
      <c r="ABS416" s="120"/>
      <c r="ABT416" s="120"/>
      <c r="ABU416" s="120"/>
      <c r="ABV416" s="120"/>
      <c r="ABW416" s="120"/>
      <c r="ABX416" s="120"/>
      <c r="ABY416" s="120"/>
      <c r="ABZ416" s="120"/>
      <c r="ACA416" s="120"/>
      <c r="ACB416" s="120"/>
      <c r="ACC416" s="120"/>
      <c r="ACD416" s="120"/>
      <c r="ACE416" s="120"/>
      <c r="ACF416" s="120"/>
      <c r="ACG416" s="120"/>
      <c r="ACH416" s="120"/>
      <c r="ACI416" s="120"/>
      <c r="ACJ416" s="120"/>
      <c r="ACK416" s="120"/>
      <c r="ACL416" s="120"/>
      <c r="ACM416" s="120"/>
      <c r="ACN416" s="120"/>
      <c r="ACO416" s="120"/>
      <c r="ACP416" s="120"/>
      <c r="ACQ416" s="120"/>
      <c r="ACR416" s="120"/>
      <c r="ACS416" s="120"/>
      <c r="ACT416" s="120"/>
      <c r="ACU416" s="120"/>
      <c r="ACV416" s="120"/>
      <c r="ACW416" s="120"/>
      <c r="ACX416" s="120"/>
      <c r="ACY416" s="120"/>
      <c r="ACZ416" s="120"/>
      <c r="ADA416" s="120"/>
      <c r="ADB416" s="120"/>
      <c r="ADC416" s="120"/>
      <c r="ADD416" s="120"/>
      <c r="ADE416" s="120"/>
      <c r="ADF416" s="120"/>
      <c r="ADG416" s="120"/>
      <c r="ADH416" s="120"/>
      <c r="ADI416" s="120"/>
      <c r="ADJ416" s="120"/>
      <c r="ADK416" s="120"/>
      <c r="ADL416" s="120"/>
      <c r="ADM416" s="120"/>
      <c r="ADN416" s="120"/>
      <c r="ADO416" s="120"/>
      <c r="ADP416" s="120"/>
      <c r="ADQ416" s="120"/>
      <c r="ADR416" s="120"/>
      <c r="ADS416" s="120"/>
      <c r="ADT416" s="120"/>
      <c r="ADU416" s="120"/>
      <c r="ADV416" s="120"/>
      <c r="ADW416" s="120"/>
      <c r="ADX416" s="120"/>
      <c r="ADY416" s="120"/>
      <c r="ADZ416" s="120"/>
      <c r="AEA416" s="120"/>
      <c r="AEB416" s="120"/>
      <c r="AEC416" s="120"/>
      <c r="AED416" s="120"/>
      <c r="AEE416" s="120"/>
      <c r="AEF416" s="120"/>
      <c r="AEG416" s="120"/>
      <c r="AEH416" s="120"/>
      <c r="AEI416" s="120"/>
      <c r="AEJ416" s="120"/>
      <c r="AEK416" s="120"/>
      <c r="AEL416" s="120"/>
      <c r="AEM416" s="120"/>
      <c r="AEN416" s="120"/>
      <c r="AEO416" s="120"/>
      <c r="AEP416" s="120"/>
      <c r="AEQ416" s="120"/>
      <c r="AER416" s="120"/>
      <c r="AES416" s="120"/>
      <c r="AET416" s="120"/>
      <c r="AEU416" s="120"/>
      <c r="AEV416" s="120"/>
      <c r="AEW416" s="120"/>
      <c r="AEX416" s="120"/>
      <c r="AEY416" s="120"/>
      <c r="AEZ416" s="120"/>
      <c r="AFA416" s="120"/>
      <c r="AFB416" s="120"/>
      <c r="AFC416" s="120"/>
      <c r="AFD416" s="120"/>
      <c r="AFE416" s="120"/>
      <c r="AFF416" s="120"/>
      <c r="AFG416" s="120"/>
      <c r="AFH416" s="120"/>
      <c r="AFI416" s="120"/>
      <c r="AFJ416" s="120"/>
      <c r="AFK416" s="120"/>
      <c r="AFL416" s="120"/>
      <c r="AFM416" s="120"/>
      <c r="AFN416" s="120"/>
      <c r="AFO416" s="120"/>
      <c r="AFP416" s="120"/>
      <c r="AFQ416" s="120"/>
      <c r="AFR416" s="120"/>
      <c r="AFS416" s="120"/>
      <c r="AFT416" s="120"/>
      <c r="AFU416" s="120"/>
      <c r="AFV416" s="120"/>
      <c r="AFW416" s="120"/>
      <c r="AFX416" s="120"/>
      <c r="AFY416" s="120"/>
      <c r="AFZ416" s="120"/>
      <c r="AGA416" s="120"/>
      <c r="AGB416" s="120"/>
      <c r="AGC416" s="120"/>
      <c r="AGD416" s="120"/>
      <c r="AGE416" s="120"/>
      <c r="AGF416" s="120"/>
      <c r="AGG416" s="120"/>
      <c r="AGH416" s="120"/>
      <c r="AGI416" s="120"/>
      <c r="AGJ416" s="120"/>
      <c r="AGK416" s="120"/>
      <c r="AGL416" s="120"/>
      <c r="AGM416" s="120"/>
      <c r="AGN416" s="120"/>
      <c r="AGO416" s="120"/>
      <c r="AGP416" s="120"/>
      <c r="AGQ416" s="120"/>
      <c r="AGR416" s="120"/>
      <c r="AGS416" s="120"/>
      <c r="AGT416" s="120"/>
      <c r="AGU416" s="120"/>
      <c r="AGV416" s="120"/>
      <c r="AGW416" s="120"/>
      <c r="AGX416" s="120"/>
      <c r="AGY416" s="120"/>
      <c r="AGZ416" s="120"/>
      <c r="AHA416" s="120"/>
      <c r="AHB416" s="120"/>
      <c r="AHC416" s="120"/>
      <c r="AHD416" s="120"/>
      <c r="AHE416" s="120"/>
      <c r="AHF416" s="120"/>
      <c r="AHG416" s="120"/>
      <c r="AHH416" s="120"/>
      <c r="AHI416" s="120"/>
      <c r="AHJ416" s="120"/>
      <c r="AHK416" s="120"/>
      <c r="AHL416" s="120"/>
      <c r="AHM416" s="120"/>
      <c r="AHN416" s="120"/>
      <c r="AHO416" s="120"/>
      <c r="AHP416" s="120"/>
      <c r="AHQ416" s="120"/>
      <c r="AHR416" s="120"/>
      <c r="AHS416" s="120"/>
      <c r="AHT416" s="120"/>
      <c r="AHU416" s="120"/>
      <c r="AHV416" s="120"/>
      <c r="AHW416" s="120"/>
      <c r="AHX416" s="120"/>
      <c r="AHY416" s="120"/>
      <c r="AHZ416" s="120"/>
      <c r="AIA416" s="120"/>
      <c r="AIB416" s="120"/>
      <c r="AIC416" s="120"/>
      <c r="AID416" s="120"/>
      <c r="AIE416" s="120"/>
      <c r="AIF416" s="120"/>
      <c r="AIG416" s="120"/>
      <c r="AIH416" s="120"/>
      <c r="AII416" s="120"/>
      <c r="AIJ416" s="120"/>
      <c r="AIK416" s="120"/>
      <c r="AIL416" s="120"/>
      <c r="AIM416" s="120"/>
      <c r="AIN416" s="120"/>
      <c r="AIO416" s="120"/>
      <c r="AIP416" s="120"/>
      <c r="AIQ416" s="120"/>
      <c r="AIR416" s="120"/>
      <c r="AIS416" s="120"/>
      <c r="AIT416" s="120"/>
      <c r="AIU416" s="120"/>
      <c r="AIV416" s="120"/>
      <c r="AIW416" s="120"/>
      <c r="AIX416" s="120"/>
      <c r="AIY416" s="120"/>
      <c r="AIZ416" s="120"/>
    </row>
    <row r="417">
      <c r="A417" s="112" t="s">
        <v>38</v>
      </c>
      <c r="B417" s="112" t="s">
        <v>61</v>
      </c>
      <c r="C417" s="112"/>
      <c r="D417" s="113">
        <f t="shared" si="1"/>
        <v>510.6973167</v>
      </c>
      <c r="E417" s="112">
        <v>120.47325</v>
      </c>
      <c r="F417" s="113"/>
      <c r="G417" s="113"/>
      <c r="H417" s="113"/>
      <c r="I417" s="113"/>
      <c r="J417" s="113"/>
      <c r="K417" s="113"/>
      <c r="L417" s="112">
        <v>2.00206666666667</v>
      </c>
      <c r="M417" s="112">
        <v>18.6431</v>
      </c>
      <c r="N417" s="113"/>
      <c r="O417" s="112">
        <v>0.1757</v>
      </c>
      <c r="P417" s="112">
        <v>111.388283333333</v>
      </c>
      <c r="Q417" s="113"/>
      <c r="R417" s="113"/>
      <c r="S417" s="113"/>
      <c r="T417" s="113"/>
      <c r="U417" s="113"/>
      <c r="V417" s="112">
        <v>0.902466666666667</v>
      </c>
      <c r="W417" s="112">
        <v>100.704783333333</v>
      </c>
      <c r="X417" s="113"/>
      <c r="Y417" s="113"/>
      <c r="Z417" s="113"/>
      <c r="AA417" s="113"/>
      <c r="AB417" s="113"/>
      <c r="AC417" s="112">
        <v>2.86816666666667</v>
      </c>
      <c r="AD417" s="112">
        <v>51.1507</v>
      </c>
      <c r="AE417" s="113"/>
      <c r="AF417" s="113"/>
      <c r="AG417" s="113"/>
      <c r="AH417" s="113"/>
      <c r="AI417" s="113"/>
      <c r="AJ417" s="112">
        <v>2.50165</v>
      </c>
      <c r="AK417" s="112">
        <v>39.4280333333333</v>
      </c>
      <c r="AL417" s="113"/>
      <c r="AM417" s="113"/>
      <c r="AN417" s="113"/>
      <c r="AO417" s="112">
        <v>5.10931666666667</v>
      </c>
      <c r="AP417" s="112">
        <v>6.37858333333333</v>
      </c>
      <c r="AQ417" s="113"/>
      <c r="AR417" s="113"/>
      <c r="AS417" s="112">
        <v>2.1025</v>
      </c>
      <c r="AT417" s="112">
        <v>43.6004833333333</v>
      </c>
      <c r="AU417" s="113"/>
      <c r="AV417" s="112">
        <v>3.13601666666667</v>
      </c>
      <c r="AW417" s="112">
        <v>0.132216666666667</v>
      </c>
      <c r="AX417" s="113"/>
      <c r="AY417" s="113"/>
      <c r="AZ417" s="113"/>
      <c r="BA417" s="113"/>
      <c r="BB417" s="113"/>
      <c r="BC417" s="113"/>
      <c r="BD417" s="113"/>
      <c r="BE417" s="113"/>
      <c r="BF417" s="113"/>
      <c r="BG417" s="113"/>
      <c r="BH417" s="113"/>
      <c r="BI417" s="113"/>
      <c r="BJ417" s="113"/>
      <c r="BK417" s="113"/>
      <c r="BL417" s="113"/>
      <c r="BM417" s="113"/>
      <c r="BN417" s="113"/>
      <c r="BO417" s="113"/>
      <c r="BP417" s="113"/>
      <c r="BQ417" s="113"/>
      <c r="BR417" s="113"/>
      <c r="BS417" s="113"/>
      <c r="BT417" s="113"/>
      <c r="BU417" s="113"/>
      <c r="BV417" s="113"/>
      <c r="BW417" s="113"/>
      <c r="BX417" s="113"/>
      <c r="BY417" s="113"/>
      <c r="BZ417" s="113"/>
      <c r="CA417" s="113"/>
      <c r="CB417" s="113"/>
      <c r="CC417" s="113"/>
      <c r="CD417" s="113"/>
      <c r="CE417" s="113"/>
      <c r="CF417" s="113"/>
      <c r="CG417" s="113"/>
      <c r="CH417" s="113"/>
      <c r="CI417" s="113"/>
      <c r="CJ417" s="113"/>
      <c r="CK417" s="113"/>
      <c r="CL417" s="113"/>
      <c r="CM417" s="113"/>
      <c r="CN417" s="113"/>
      <c r="CO417" s="113"/>
      <c r="CP417" s="113"/>
      <c r="CQ417" s="113"/>
      <c r="CR417" s="113"/>
      <c r="CS417" s="113"/>
      <c r="CT417" s="113"/>
      <c r="CU417" s="113"/>
      <c r="CV417" s="113"/>
      <c r="CW417" s="113"/>
      <c r="CX417" s="113"/>
      <c r="CY417" s="113"/>
      <c r="CZ417" s="113"/>
      <c r="DA417" s="113"/>
      <c r="DB417" s="113"/>
      <c r="DC417" s="113"/>
      <c r="DD417" s="113"/>
      <c r="DE417" s="113"/>
      <c r="DF417" s="113"/>
      <c r="DG417" s="113"/>
      <c r="DH417" s="113"/>
      <c r="DI417" s="113"/>
      <c r="DJ417" s="113"/>
      <c r="DK417" s="113"/>
      <c r="DL417" s="113"/>
      <c r="DM417" s="113"/>
      <c r="DN417" s="113"/>
      <c r="DO417" s="113"/>
      <c r="DP417" s="113"/>
      <c r="DQ417" s="113"/>
      <c r="DR417" s="113"/>
      <c r="DS417" s="113"/>
      <c r="DT417" s="113"/>
      <c r="DU417" s="113"/>
      <c r="DV417" s="113"/>
      <c r="DW417" s="113"/>
      <c r="DX417" s="113"/>
      <c r="DY417" s="113"/>
      <c r="DZ417" s="113"/>
      <c r="EA417" s="113"/>
      <c r="EB417" s="113"/>
      <c r="EC417" s="113"/>
      <c r="ED417" s="113"/>
      <c r="EE417" s="113"/>
      <c r="EF417" s="113"/>
      <c r="EG417" s="113"/>
      <c r="EH417" s="113"/>
      <c r="EI417" s="113"/>
      <c r="EJ417" s="113"/>
      <c r="EK417" s="113"/>
      <c r="EL417" s="113"/>
      <c r="EM417" s="113"/>
      <c r="EN417" s="113"/>
      <c r="EO417" s="113"/>
      <c r="EP417" s="113"/>
      <c r="EQ417" s="113"/>
      <c r="ER417" s="113"/>
      <c r="ES417" s="113"/>
      <c r="ET417" s="113"/>
      <c r="EU417" s="113"/>
      <c r="EV417" s="113"/>
      <c r="EW417" s="113"/>
      <c r="EX417" s="113"/>
      <c r="EY417" s="113"/>
      <c r="EZ417" s="113"/>
      <c r="FA417" s="113"/>
      <c r="FB417" s="113"/>
      <c r="FC417" s="113"/>
      <c r="FD417" s="113"/>
      <c r="FE417" s="113"/>
      <c r="FF417" s="113"/>
      <c r="FG417" s="113"/>
      <c r="FH417" s="113"/>
      <c r="FI417" s="113"/>
      <c r="FJ417" s="113"/>
      <c r="FK417" s="113"/>
      <c r="FL417" s="113"/>
      <c r="FM417" s="113"/>
      <c r="FN417" s="113"/>
      <c r="FO417" s="113"/>
      <c r="FP417" s="113"/>
      <c r="FQ417" s="113"/>
      <c r="FR417" s="113"/>
      <c r="FS417" s="113"/>
      <c r="FT417" s="113"/>
      <c r="FU417" s="113"/>
      <c r="FV417" s="113"/>
      <c r="FW417" s="113"/>
      <c r="FX417" s="113"/>
      <c r="FY417" s="113"/>
      <c r="FZ417" s="113"/>
      <c r="GA417" s="113"/>
      <c r="GB417" s="113"/>
      <c r="GC417" s="113"/>
      <c r="GD417" s="113"/>
      <c r="GE417" s="113"/>
      <c r="GF417" s="113"/>
      <c r="GG417" s="113"/>
      <c r="GH417" s="113"/>
      <c r="GI417" s="113"/>
      <c r="GJ417" s="113"/>
      <c r="GK417" s="113"/>
      <c r="GL417" s="113"/>
      <c r="GM417" s="113"/>
      <c r="GN417" s="113"/>
      <c r="GO417" s="113"/>
      <c r="GP417" s="113"/>
      <c r="GQ417" s="113"/>
      <c r="GR417" s="113"/>
      <c r="GS417" s="113"/>
      <c r="GT417" s="113"/>
      <c r="GU417" s="113"/>
      <c r="GV417" s="113"/>
      <c r="GW417" s="113"/>
      <c r="GX417" s="113"/>
      <c r="GY417" s="113"/>
      <c r="GZ417" s="113"/>
      <c r="HA417" s="113"/>
      <c r="HB417" s="113"/>
      <c r="HC417" s="113"/>
      <c r="HD417" s="113"/>
      <c r="HE417" s="113"/>
      <c r="HF417" s="113"/>
      <c r="HG417" s="113"/>
      <c r="HH417" s="113"/>
      <c r="HI417" s="113"/>
      <c r="HJ417" s="113"/>
      <c r="HK417" s="113"/>
      <c r="HL417" s="113"/>
      <c r="HM417" s="113"/>
      <c r="HN417" s="113"/>
      <c r="HO417" s="113"/>
      <c r="HP417" s="113"/>
      <c r="HQ417" s="113"/>
      <c r="HR417" s="113"/>
      <c r="HS417" s="113"/>
      <c r="HT417" s="113"/>
      <c r="HU417" s="113"/>
      <c r="HV417" s="113"/>
      <c r="HW417" s="113"/>
      <c r="HX417" s="113"/>
      <c r="HY417" s="113"/>
      <c r="HZ417" s="113"/>
      <c r="IA417" s="113"/>
      <c r="IB417" s="113"/>
      <c r="IC417" s="113"/>
      <c r="ID417" s="113"/>
      <c r="IE417" s="113"/>
      <c r="IF417" s="113"/>
      <c r="IG417" s="113"/>
      <c r="IH417" s="113"/>
      <c r="II417" s="113"/>
      <c r="IJ417" s="113"/>
      <c r="IK417" s="113"/>
      <c r="IL417" s="113"/>
      <c r="IM417" s="113"/>
      <c r="IN417" s="113"/>
      <c r="IO417" s="113"/>
      <c r="IP417" s="113"/>
      <c r="IQ417" s="113"/>
      <c r="IR417" s="113"/>
      <c r="IS417" s="113"/>
      <c r="IT417" s="113"/>
      <c r="IU417" s="113"/>
      <c r="IV417" s="113"/>
      <c r="IW417" s="113"/>
      <c r="IX417" s="113"/>
      <c r="IY417" s="113"/>
      <c r="IZ417" s="113"/>
      <c r="JA417" s="113"/>
      <c r="JB417" s="113"/>
      <c r="JC417" s="113"/>
      <c r="JD417" s="113"/>
      <c r="JE417" s="113"/>
      <c r="JF417" s="113"/>
      <c r="JG417" s="113"/>
      <c r="JH417" s="113"/>
      <c r="JI417" s="113"/>
      <c r="JJ417" s="113"/>
      <c r="JK417" s="113"/>
      <c r="JL417" s="113"/>
      <c r="JM417" s="113"/>
      <c r="JN417" s="113"/>
      <c r="JO417" s="113"/>
      <c r="JP417" s="113"/>
      <c r="JQ417" s="113"/>
      <c r="JR417" s="113"/>
      <c r="JS417" s="113"/>
      <c r="JT417" s="113"/>
      <c r="JU417" s="113"/>
      <c r="JV417" s="113"/>
      <c r="JW417" s="113"/>
      <c r="JX417" s="113"/>
      <c r="JY417" s="113"/>
      <c r="JZ417" s="113"/>
      <c r="KA417" s="113"/>
      <c r="KB417" s="113"/>
      <c r="KC417" s="113"/>
      <c r="KD417" s="113"/>
      <c r="KE417" s="113"/>
      <c r="KF417" s="113"/>
      <c r="KG417" s="113"/>
      <c r="KH417" s="113"/>
      <c r="KI417" s="113"/>
      <c r="KJ417" s="113"/>
      <c r="KK417" s="113"/>
      <c r="KL417" s="113"/>
      <c r="KM417" s="113"/>
      <c r="KN417" s="113"/>
      <c r="KO417" s="113"/>
      <c r="KP417" s="113"/>
      <c r="KQ417" s="113"/>
      <c r="KR417" s="113"/>
      <c r="KS417" s="113"/>
      <c r="KT417" s="113"/>
      <c r="KU417" s="113"/>
      <c r="KV417" s="113"/>
      <c r="KW417" s="113"/>
      <c r="KX417" s="113"/>
      <c r="KY417" s="113"/>
      <c r="KZ417" s="113"/>
      <c r="LA417" s="113"/>
      <c r="LB417" s="113"/>
      <c r="LC417" s="113"/>
      <c r="LD417" s="113"/>
      <c r="LE417" s="113"/>
      <c r="LF417" s="113"/>
      <c r="LG417" s="113"/>
      <c r="LH417" s="113"/>
      <c r="LI417" s="113"/>
      <c r="LJ417" s="113"/>
      <c r="LK417" s="113"/>
      <c r="LL417" s="113"/>
      <c r="LM417" s="113"/>
      <c r="LN417" s="113"/>
      <c r="LO417" s="113"/>
      <c r="LP417" s="113"/>
      <c r="LQ417" s="113"/>
      <c r="LR417" s="113"/>
      <c r="LS417" s="113"/>
      <c r="LT417" s="113"/>
      <c r="LU417" s="113"/>
      <c r="LV417" s="113"/>
      <c r="LW417" s="113"/>
      <c r="LX417" s="113"/>
      <c r="LY417" s="113"/>
      <c r="LZ417" s="113"/>
      <c r="MA417" s="113"/>
      <c r="MB417" s="113"/>
      <c r="MC417" s="113"/>
      <c r="MD417" s="113"/>
      <c r="ME417" s="113"/>
      <c r="MF417" s="113"/>
      <c r="MG417" s="113"/>
      <c r="MH417" s="113"/>
      <c r="MI417" s="113"/>
      <c r="MJ417" s="113"/>
      <c r="MK417" s="113"/>
      <c r="ML417" s="113"/>
      <c r="MM417" s="113"/>
      <c r="MN417" s="113"/>
      <c r="MO417" s="113"/>
      <c r="MP417" s="113"/>
      <c r="MQ417" s="113"/>
      <c r="MR417" s="113"/>
      <c r="MS417" s="113"/>
      <c r="MT417" s="113"/>
      <c r="MU417" s="113"/>
      <c r="MV417" s="113"/>
      <c r="MW417" s="113"/>
      <c r="MX417" s="113"/>
      <c r="MY417" s="113"/>
      <c r="MZ417" s="113"/>
      <c r="NA417" s="113"/>
      <c r="NB417" s="113"/>
      <c r="NC417" s="113"/>
      <c r="ND417" s="113"/>
      <c r="NE417" s="113"/>
      <c r="NF417" s="113"/>
      <c r="NG417" s="113"/>
      <c r="NH417" s="113"/>
      <c r="NI417" s="113"/>
      <c r="NJ417" s="113"/>
      <c r="NK417" s="113"/>
      <c r="NL417" s="113"/>
      <c r="NM417" s="113"/>
      <c r="NN417" s="113"/>
      <c r="NO417" s="113"/>
      <c r="NP417" s="113"/>
      <c r="NQ417" s="113"/>
      <c r="NR417" s="113"/>
      <c r="NS417" s="113"/>
      <c r="NT417" s="113"/>
      <c r="NU417" s="113"/>
      <c r="NV417" s="113"/>
      <c r="NW417" s="113"/>
      <c r="NX417" s="113"/>
      <c r="NY417" s="113"/>
      <c r="NZ417" s="113"/>
      <c r="OA417" s="113"/>
      <c r="OB417" s="113"/>
      <c r="OC417" s="113"/>
      <c r="OD417" s="113"/>
      <c r="OE417" s="113"/>
      <c r="OF417" s="113"/>
      <c r="OG417" s="113"/>
      <c r="OH417" s="113"/>
      <c r="OI417" s="113"/>
      <c r="OJ417" s="113"/>
      <c r="OK417" s="113"/>
      <c r="OL417" s="113"/>
      <c r="OM417" s="113"/>
      <c r="ON417" s="113"/>
      <c r="OO417" s="113"/>
      <c r="OP417" s="113"/>
      <c r="OQ417" s="113"/>
      <c r="OR417" s="113"/>
      <c r="OS417" s="113"/>
      <c r="OT417" s="113"/>
      <c r="OU417" s="113"/>
      <c r="OV417" s="113"/>
      <c r="OW417" s="113"/>
      <c r="OX417" s="113"/>
      <c r="OY417" s="113"/>
      <c r="OZ417" s="113"/>
      <c r="PA417" s="113"/>
      <c r="PB417" s="113"/>
      <c r="PC417" s="113"/>
      <c r="PD417" s="113"/>
      <c r="PE417" s="113"/>
      <c r="PF417" s="113"/>
      <c r="PG417" s="113"/>
      <c r="PH417" s="113"/>
      <c r="PI417" s="113"/>
      <c r="PJ417" s="113"/>
      <c r="PK417" s="113"/>
      <c r="PL417" s="113"/>
      <c r="PM417" s="113"/>
      <c r="PN417" s="113"/>
      <c r="PO417" s="113"/>
      <c r="PP417" s="113"/>
      <c r="PQ417" s="113"/>
      <c r="PR417" s="113"/>
      <c r="PS417" s="113"/>
      <c r="PT417" s="113"/>
      <c r="PU417" s="113"/>
      <c r="PV417" s="113"/>
      <c r="PW417" s="113"/>
      <c r="PX417" s="113"/>
      <c r="PY417" s="113"/>
      <c r="PZ417" s="113"/>
      <c r="QA417" s="113"/>
      <c r="QB417" s="113"/>
      <c r="QC417" s="113"/>
      <c r="QD417" s="113"/>
      <c r="QE417" s="113"/>
      <c r="QF417" s="113"/>
      <c r="QG417" s="113"/>
      <c r="QH417" s="113"/>
      <c r="QI417" s="113"/>
      <c r="QJ417" s="113"/>
      <c r="QK417" s="113"/>
      <c r="QL417" s="113"/>
      <c r="QM417" s="113"/>
      <c r="QN417" s="113"/>
      <c r="QO417" s="113"/>
      <c r="QP417" s="113"/>
      <c r="QQ417" s="113"/>
      <c r="QR417" s="113"/>
      <c r="QS417" s="113"/>
      <c r="QT417" s="113"/>
      <c r="QU417" s="113"/>
      <c r="QV417" s="113"/>
      <c r="QW417" s="113"/>
      <c r="QX417" s="113"/>
      <c r="QY417" s="113"/>
      <c r="QZ417" s="113"/>
      <c r="RA417" s="113"/>
      <c r="RB417" s="113"/>
      <c r="RC417" s="113"/>
      <c r="RD417" s="113"/>
      <c r="RE417" s="113"/>
      <c r="RF417" s="113"/>
      <c r="RG417" s="113"/>
      <c r="RH417" s="113"/>
      <c r="RI417" s="113"/>
      <c r="RJ417" s="113"/>
      <c r="RK417" s="113"/>
      <c r="RL417" s="113"/>
      <c r="RM417" s="113"/>
      <c r="RN417" s="113"/>
      <c r="RO417" s="113"/>
      <c r="RP417" s="113"/>
      <c r="RQ417" s="113"/>
      <c r="RR417" s="113"/>
      <c r="RS417" s="113"/>
      <c r="RT417" s="113"/>
      <c r="RU417" s="113"/>
      <c r="RV417" s="113"/>
      <c r="RW417" s="113"/>
      <c r="RX417" s="113"/>
      <c r="RY417" s="113"/>
      <c r="RZ417" s="113"/>
      <c r="SA417" s="113"/>
      <c r="SB417" s="113"/>
      <c r="SC417" s="113"/>
      <c r="SD417" s="113"/>
      <c r="SE417" s="113"/>
      <c r="SF417" s="113"/>
      <c r="SG417" s="113"/>
      <c r="SH417" s="113"/>
      <c r="SI417" s="113"/>
      <c r="SJ417" s="113"/>
      <c r="SK417" s="113"/>
      <c r="SL417" s="113"/>
      <c r="SM417" s="113"/>
      <c r="SN417" s="113"/>
      <c r="SO417" s="113"/>
      <c r="SP417" s="113"/>
      <c r="SQ417" s="113"/>
      <c r="SR417" s="113"/>
      <c r="SS417" s="113"/>
      <c r="ST417" s="113"/>
      <c r="SU417" s="113"/>
      <c r="SV417" s="113"/>
      <c r="SW417" s="113"/>
      <c r="SX417" s="113"/>
      <c r="SY417" s="113"/>
      <c r="SZ417" s="113"/>
      <c r="TA417" s="113"/>
      <c r="TB417" s="113"/>
      <c r="TC417" s="113"/>
      <c r="TD417" s="113"/>
      <c r="TE417" s="113"/>
      <c r="TF417" s="113"/>
      <c r="TG417" s="113"/>
      <c r="TH417" s="113"/>
      <c r="TI417" s="113"/>
      <c r="TJ417" s="113"/>
      <c r="TK417" s="113"/>
      <c r="TL417" s="113"/>
      <c r="TM417" s="113"/>
      <c r="TN417" s="113"/>
      <c r="TO417" s="113"/>
      <c r="TP417" s="113"/>
      <c r="TQ417" s="113"/>
      <c r="TR417" s="113"/>
      <c r="TS417" s="113"/>
      <c r="TT417" s="113"/>
      <c r="TU417" s="113"/>
      <c r="TV417" s="113"/>
      <c r="TW417" s="113"/>
      <c r="TX417" s="113"/>
      <c r="TY417" s="113"/>
      <c r="TZ417" s="113"/>
      <c r="UA417" s="113"/>
      <c r="UB417" s="113"/>
      <c r="UC417" s="113"/>
      <c r="UD417" s="113"/>
      <c r="UE417" s="113"/>
      <c r="UF417" s="113"/>
      <c r="UG417" s="113"/>
      <c r="UH417" s="113"/>
      <c r="UI417" s="113"/>
      <c r="UJ417" s="113"/>
      <c r="UK417" s="113"/>
      <c r="UL417" s="113"/>
      <c r="UM417" s="113"/>
      <c r="UN417" s="113"/>
      <c r="UO417" s="113"/>
      <c r="UP417" s="113"/>
      <c r="UQ417" s="113"/>
      <c r="UR417" s="113"/>
      <c r="US417" s="113"/>
      <c r="UT417" s="113"/>
      <c r="UU417" s="113"/>
      <c r="UV417" s="113"/>
      <c r="UW417" s="113"/>
      <c r="UX417" s="113"/>
      <c r="UY417" s="113"/>
      <c r="UZ417" s="113"/>
      <c r="VA417" s="113"/>
      <c r="VB417" s="113"/>
      <c r="VC417" s="113"/>
      <c r="VD417" s="113"/>
      <c r="VE417" s="113"/>
      <c r="VF417" s="113"/>
      <c r="VG417" s="113"/>
      <c r="VH417" s="113"/>
      <c r="VI417" s="113"/>
      <c r="VJ417" s="113"/>
      <c r="VK417" s="113"/>
      <c r="VL417" s="113"/>
      <c r="VM417" s="113"/>
      <c r="VN417" s="113"/>
      <c r="VO417" s="113"/>
      <c r="VP417" s="113"/>
      <c r="VQ417" s="113"/>
      <c r="VR417" s="113"/>
      <c r="VS417" s="113"/>
      <c r="VT417" s="113"/>
      <c r="VU417" s="113"/>
      <c r="VV417" s="113"/>
      <c r="VW417" s="113"/>
      <c r="VX417" s="113"/>
      <c r="VY417" s="113"/>
      <c r="VZ417" s="113"/>
      <c r="WA417" s="113"/>
      <c r="WB417" s="113"/>
      <c r="WC417" s="113"/>
      <c r="WD417" s="113"/>
      <c r="WE417" s="113"/>
      <c r="WF417" s="113"/>
      <c r="WG417" s="113"/>
      <c r="WH417" s="113"/>
      <c r="WI417" s="113"/>
      <c r="WJ417" s="113"/>
      <c r="WK417" s="113"/>
      <c r="WL417" s="113"/>
      <c r="WM417" s="113"/>
      <c r="WN417" s="113"/>
      <c r="WO417" s="113"/>
      <c r="WP417" s="113"/>
      <c r="WQ417" s="113"/>
      <c r="WR417" s="113"/>
      <c r="WS417" s="113"/>
      <c r="WT417" s="113"/>
      <c r="WU417" s="113"/>
      <c r="WV417" s="113"/>
      <c r="WW417" s="113"/>
      <c r="WX417" s="113"/>
      <c r="WY417" s="113"/>
      <c r="WZ417" s="113"/>
      <c r="XA417" s="113"/>
      <c r="XB417" s="113"/>
      <c r="XC417" s="113"/>
      <c r="XD417" s="113"/>
      <c r="XE417" s="113"/>
      <c r="XF417" s="113"/>
      <c r="XG417" s="113"/>
      <c r="XH417" s="113"/>
      <c r="XI417" s="113"/>
      <c r="XJ417" s="113"/>
      <c r="XK417" s="113"/>
      <c r="XL417" s="113"/>
      <c r="XM417" s="113"/>
      <c r="XN417" s="113"/>
      <c r="XO417" s="113"/>
      <c r="XP417" s="113"/>
      <c r="XQ417" s="113"/>
      <c r="XR417" s="113"/>
      <c r="XS417" s="113"/>
      <c r="XT417" s="113"/>
      <c r="XU417" s="113"/>
      <c r="XV417" s="113"/>
      <c r="XW417" s="113"/>
      <c r="XX417" s="113"/>
      <c r="XY417" s="113"/>
      <c r="XZ417" s="113"/>
      <c r="YA417" s="113"/>
      <c r="YB417" s="113"/>
      <c r="YC417" s="113"/>
      <c r="YD417" s="113"/>
      <c r="YE417" s="113"/>
      <c r="YF417" s="113"/>
      <c r="YG417" s="113"/>
      <c r="YH417" s="113"/>
      <c r="YI417" s="113"/>
      <c r="YJ417" s="113"/>
      <c r="YK417" s="113"/>
      <c r="YL417" s="113"/>
      <c r="YM417" s="113"/>
      <c r="YN417" s="113"/>
      <c r="YO417" s="113"/>
      <c r="YP417" s="113"/>
      <c r="YQ417" s="113"/>
      <c r="YR417" s="113"/>
      <c r="YS417" s="113"/>
      <c r="YT417" s="113"/>
      <c r="YU417" s="113"/>
      <c r="YV417" s="113"/>
      <c r="YW417" s="113"/>
      <c r="YX417" s="113"/>
      <c r="YY417" s="113"/>
      <c r="YZ417" s="113"/>
      <c r="ZA417" s="113"/>
      <c r="ZB417" s="113"/>
      <c r="ZC417" s="113"/>
      <c r="ZD417" s="113"/>
      <c r="ZE417" s="113"/>
      <c r="ZF417" s="113"/>
      <c r="ZG417" s="113"/>
      <c r="ZH417" s="113"/>
      <c r="ZI417" s="113"/>
      <c r="ZJ417" s="113"/>
      <c r="ZK417" s="113"/>
      <c r="ZL417" s="113"/>
      <c r="ZM417" s="113"/>
      <c r="ZN417" s="113"/>
      <c r="ZO417" s="113"/>
      <c r="ZP417" s="113"/>
      <c r="ZQ417" s="113"/>
      <c r="ZR417" s="113"/>
      <c r="ZS417" s="113"/>
      <c r="ZT417" s="113"/>
      <c r="ZU417" s="113"/>
      <c r="ZV417" s="113"/>
      <c r="ZW417" s="113"/>
      <c r="ZX417" s="113"/>
      <c r="ZY417" s="113"/>
      <c r="ZZ417" s="113"/>
      <c r="AAA417" s="113"/>
      <c r="AAB417" s="113"/>
      <c r="AAC417" s="113"/>
      <c r="AAD417" s="113"/>
      <c r="AAE417" s="113"/>
      <c r="AAF417" s="113"/>
      <c r="AAG417" s="113"/>
      <c r="AAH417" s="113"/>
      <c r="AAI417" s="113"/>
      <c r="AAJ417" s="113"/>
      <c r="AAK417" s="113"/>
      <c r="AAL417" s="113"/>
      <c r="AAM417" s="113"/>
      <c r="AAN417" s="113"/>
      <c r="AAO417" s="113"/>
      <c r="AAP417" s="113"/>
      <c r="AAQ417" s="113"/>
      <c r="AAR417" s="113"/>
      <c r="AAS417" s="113"/>
      <c r="AAT417" s="113"/>
      <c r="AAU417" s="113"/>
      <c r="AAV417" s="113"/>
      <c r="AAW417" s="113"/>
      <c r="AAX417" s="113"/>
      <c r="AAY417" s="113"/>
      <c r="AAZ417" s="113"/>
      <c r="ABA417" s="113"/>
      <c r="ABB417" s="113"/>
      <c r="ABC417" s="113"/>
      <c r="ABD417" s="113"/>
      <c r="ABE417" s="113"/>
      <c r="ABF417" s="113"/>
      <c r="ABG417" s="113"/>
      <c r="ABH417" s="113"/>
      <c r="ABI417" s="113"/>
      <c r="ABJ417" s="113"/>
      <c r="ABK417" s="113"/>
      <c r="ABL417" s="113"/>
      <c r="ABM417" s="113"/>
      <c r="ABN417" s="113"/>
      <c r="ABO417" s="113"/>
      <c r="ABP417" s="113"/>
      <c r="ABQ417" s="113"/>
      <c r="ABR417" s="113"/>
      <c r="ABS417" s="113"/>
      <c r="ABT417" s="113"/>
      <c r="ABU417" s="113"/>
      <c r="ABV417" s="113"/>
      <c r="ABW417" s="113"/>
      <c r="ABX417" s="113"/>
      <c r="ABY417" s="113"/>
      <c r="ABZ417" s="113"/>
      <c r="ACA417" s="113"/>
      <c r="ACB417" s="113"/>
      <c r="ACC417" s="113"/>
      <c r="ACD417" s="113"/>
      <c r="ACE417" s="113"/>
      <c r="ACF417" s="113"/>
      <c r="ACG417" s="113"/>
      <c r="ACH417" s="113"/>
      <c r="ACI417" s="113"/>
      <c r="ACJ417" s="113"/>
      <c r="ACK417" s="113"/>
      <c r="ACL417" s="113"/>
      <c r="ACM417" s="113"/>
      <c r="ACN417" s="113"/>
      <c r="ACO417" s="113"/>
      <c r="ACP417" s="113"/>
      <c r="ACQ417" s="113"/>
      <c r="ACR417" s="113"/>
      <c r="ACS417" s="113"/>
      <c r="ACT417" s="113"/>
      <c r="ACU417" s="113"/>
      <c r="ACV417" s="113"/>
      <c r="ACW417" s="113"/>
      <c r="ACX417" s="113"/>
      <c r="ACY417" s="113"/>
      <c r="ACZ417" s="113"/>
      <c r="ADA417" s="113"/>
      <c r="ADB417" s="113"/>
      <c r="ADC417" s="113"/>
      <c r="ADD417" s="113"/>
      <c r="ADE417" s="113"/>
      <c r="ADF417" s="113"/>
      <c r="ADG417" s="113"/>
      <c r="ADH417" s="113"/>
      <c r="ADI417" s="113"/>
      <c r="ADJ417" s="113"/>
      <c r="ADK417" s="113"/>
      <c r="ADL417" s="113"/>
      <c r="ADM417" s="113"/>
      <c r="ADN417" s="113"/>
      <c r="ADO417" s="113"/>
      <c r="ADP417" s="113"/>
      <c r="ADQ417" s="113"/>
      <c r="ADR417" s="113"/>
      <c r="ADS417" s="113"/>
      <c r="ADT417" s="113"/>
      <c r="ADU417" s="113"/>
      <c r="ADV417" s="113"/>
      <c r="ADW417" s="113"/>
      <c r="ADX417" s="113"/>
      <c r="ADY417" s="113"/>
      <c r="ADZ417" s="113"/>
      <c r="AEA417" s="113"/>
      <c r="AEB417" s="113"/>
      <c r="AEC417" s="113"/>
      <c r="AED417" s="113"/>
      <c r="AEE417" s="113"/>
      <c r="AEF417" s="113"/>
      <c r="AEG417" s="113"/>
      <c r="AEH417" s="113"/>
      <c r="AEI417" s="113"/>
      <c r="AEJ417" s="113"/>
      <c r="AEK417" s="113"/>
      <c r="AEL417" s="113"/>
      <c r="AEM417" s="113"/>
      <c r="AEN417" s="113"/>
      <c r="AEO417" s="113"/>
      <c r="AEP417" s="113"/>
      <c r="AEQ417" s="113"/>
      <c r="AER417" s="113"/>
      <c r="AES417" s="113"/>
      <c r="AET417" s="113"/>
      <c r="AEU417" s="113"/>
      <c r="AEV417" s="113"/>
      <c r="AEW417" s="113"/>
      <c r="AEX417" s="113"/>
      <c r="AEY417" s="113"/>
      <c r="AEZ417" s="113"/>
      <c r="AFA417" s="113"/>
      <c r="AFB417" s="113"/>
      <c r="AFC417" s="113"/>
      <c r="AFD417" s="113"/>
      <c r="AFE417" s="113"/>
      <c r="AFF417" s="113"/>
      <c r="AFG417" s="113"/>
      <c r="AFH417" s="113"/>
      <c r="AFI417" s="113"/>
      <c r="AFJ417" s="113"/>
      <c r="AFK417" s="113"/>
      <c r="AFL417" s="113"/>
      <c r="AFM417" s="113"/>
      <c r="AFN417" s="113"/>
      <c r="AFO417" s="113"/>
      <c r="AFP417" s="113"/>
      <c r="AFQ417" s="113"/>
      <c r="AFR417" s="113"/>
      <c r="AFS417" s="113"/>
      <c r="AFT417" s="113"/>
      <c r="AFU417" s="113"/>
      <c r="AFV417" s="113"/>
      <c r="AFW417" s="113"/>
      <c r="AFX417" s="113"/>
      <c r="AFY417" s="113"/>
      <c r="AFZ417" s="113"/>
      <c r="AGA417" s="113"/>
      <c r="AGB417" s="113"/>
      <c r="AGC417" s="113"/>
      <c r="AGD417" s="113"/>
      <c r="AGE417" s="113"/>
      <c r="AGF417" s="113"/>
      <c r="AGG417" s="113"/>
      <c r="AGH417" s="113"/>
      <c r="AGI417" s="113"/>
      <c r="AGJ417" s="113"/>
      <c r="AGK417" s="113"/>
      <c r="AGL417" s="113"/>
      <c r="AGM417" s="113"/>
      <c r="AGN417" s="113"/>
      <c r="AGO417" s="113"/>
      <c r="AGP417" s="113"/>
      <c r="AGQ417" s="113"/>
      <c r="AGR417" s="113"/>
      <c r="AGS417" s="113"/>
      <c r="AGT417" s="113"/>
      <c r="AGU417" s="113"/>
      <c r="AGV417" s="113"/>
      <c r="AGW417" s="113"/>
      <c r="AGX417" s="113"/>
      <c r="AGY417" s="113"/>
      <c r="AGZ417" s="113"/>
      <c r="AHA417" s="113"/>
      <c r="AHB417" s="113"/>
      <c r="AHC417" s="113"/>
      <c r="AHD417" s="113"/>
      <c r="AHE417" s="113"/>
      <c r="AHF417" s="113"/>
      <c r="AHG417" s="113"/>
      <c r="AHH417" s="113"/>
      <c r="AHI417" s="113"/>
      <c r="AHJ417" s="113"/>
      <c r="AHK417" s="113"/>
      <c r="AHL417" s="113"/>
      <c r="AHM417" s="113"/>
      <c r="AHN417" s="113"/>
      <c r="AHO417" s="113"/>
      <c r="AHP417" s="113"/>
      <c r="AHQ417" s="113"/>
      <c r="AHR417" s="113"/>
      <c r="AHS417" s="113"/>
      <c r="AHT417" s="113"/>
      <c r="AHU417" s="113"/>
      <c r="AHV417" s="113"/>
      <c r="AHW417" s="113"/>
      <c r="AHX417" s="113"/>
      <c r="AHY417" s="113"/>
      <c r="AHZ417" s="113"/>
      <c r="AIA417" s="113"/>
      <c r="AIB417" s="113"/>
      <c r="AIC417" s="113"/>
      <c r="AID417" s="113"/>
      <c r="AIE417" s="113"/>
      <c r="AIF417" s="113"/>
      <c r="AIG417" s="113"/>
      <c r="AIH417" s="113"/>
      <c r="AII417" s="113"/>
      <c r="AIJ417" s="113"/>
      <c r="AIK417" s="113"/>
      <c r="AIL417" s="113"/>
      <c r="AIM417" s="113"/>
      <c r="AIN417" s="113"/>
      <c r="AIO417" s="113"/>
      <c r="AIP417" s="113"/>
      <c r="AIQ417" s="113"/>
      <c r="AIR417" s="113"/>
      <c r="AIS417" s="113"/>
      <c r="AIT417" s="113"/>
      <c r="AIU417" s="113"/>
      <c r="AIV417" s="113"/>
      <c r="AIW417" s="113"/>
      <c r="AIX417" s="113"/>
      <c r="AIY417" s="113"/>
      <c r="AIZ417" s="113"/>
    </row>
    <row r="418">
      <c r="A418" s="65" t="s">
        <v>38</v>
      </c>
      <c r="B418" s="65" t="s">
        <v>61</v>
      </c>
      <c r="C418" s="65"/>
      <c r="D418" s="64">
        <f t="shared" si="1"/>
        <v>442.2776833</v>
      </c>
      <c r="F418" s="65">
        <v>67.7509666666666</v>
      </c>
      <c r="G418" s="65">
        <v>20.5526333333333</v>
      </c>
      <c r="H418" s="65">
        <v>8.77818333333333</v>
      </c>
      <c r="I418" s="65">
        <v>2.22206666666667</v>
      </c>
      <c r="J418" s="65">
        <v>2.633</v>
      </c>
      <c r="K418" s="65">
        <v>10.42585</v>
      </c>
      <c r="N418" s="65">
        <v>13.4818</v>
      </c>
      <c r="Q418" s="65">
        <v>34.1371</v>
      </c>
      <c r="R418" s="65">
        <v>22.9547</v>
      </c>
      <c r="S418" s="65">
        <v>17.7941833333333</v>
      </c>
      <c r="T418" s="65">
        <v>7.84558333333333</v>
      </c>
      <c r="U418" s="65">
        <v>15.3235166666667</v>
      </c>
      <c r="X418" s="65">
        <v>51.3374333333333</v>
      </c>
      <c r="Y418" s="65">
        <v>27.14695</v>
      </c>
      <c r="Z418" s="65">
        <v>8.97711666666667</v>
      </c>
      <c r="AA418" s="65">
        <v>4.32725</v>
      </c>
      <c r="AB418" s="65">
        <v>6.62138333333333</v>
      </c>
      <c r="AE418" s="65">
        <v>17.4404333333333</v>
      </c>
      <c r="AF418" s="65">
        <v>16.2418833333333</v>
      </c>
      <c r="AG418" s="65">
        <v>5.94021666666667</v>
      </c>
      <c r="AH418" s="65">
        <v>3.90065</v>
      </c>
      <c r="AI418" s="65">
        <v>5.33625</v>
      </c>
      <c r="AL418" s="65">
        <v>7.11416666666667</v>
      </c>
      <c r="AM418" s="65">
        <v>9.14473333333333</v>
      </c>
      <c r="AN418" s="65">
        <v>10.6785333333333</v>
      </c>
      <c r="AQ418" s="65">
        <v>0.9294</v>
      </c>
      <c r="AR418" s="65">
        <v>3.23538333333333</v>
      </c>
      <c r="AU418" s="65">
        <v>40.0063166666666</v>
      </c>
    </row>
    <row r="419">
      <c r="A419" s="65" t="s">
        <v>38</v>
      </c>
      <c r="B419" s="65" t="s">
        <v>61</v>
      </c>
      <c r="C419" s="65"/>
      <c r="D419" s="64">
        <f t="shared" si="1"/>
        <v>0</v>
      </c>
    </row>
    <row r="420">
      <c r="A420" s="65" t="s">
        <v>38</v>
      </c>
      <c r="B420" s="65" t="s">
        <v>61</v>
      </c>
      <c r="C420" s="65"/>
      <c r="D420" s="64">
        <f t="shared" si="1"/>
        <v>392.26145</v>
      </c>
      <c r="F420" s="118">
        <f>HYPERLINK("https://docs.google.com/spreadsheets/d/1Ueav7M1Hix9QEuqscPhRxTa9s-AUDZL1", 62.90175)</f>
        <v>62.90175</v>
      </c>
      <c r="G420" s="118">
        <f>HYPERLINK("https://docs.google.com/spreadsheets/d/1TAoUzlDqw3eXcESpjeCnzK18F2HmYVcQ", 20.3605666666667)</f>
        <v>20.36056667</v>
      </c>
      <c r="H420" s="118">
        <f>HYPERLINK("https://docs.google.com/spreadsheets/d/1ng8qfW9YtjzcyETanEktLJ3JslHtoPjH", 8.77818333333334)</f>
        <v>8.778183333</v>
      </c>
      <c r="I420" s="118">
        <f>HYPERLINK("https://docs.google.com/spreadsheets/d/1RfQMvRnxxSIqntQslN_JoXyE72Iruw-i", 2.22206666666667)</f>
        <v>2.222066667</v>
      </c>
      <c r="J420" s="118">
        <f>HYPERLINK("https://docs.google.com/spreadsheets/d/1j9XV74nWLgt_UfhuOxM6Eqe7Fm45pZvA", 1.21565)</f>
        <v>1.21565</v>
      </c>
      <c r="K420" s="118">
        <f>HYPERLINK("https://docs.google.com/spreadsheets/d/1M6B4WOd2PN5o3uohmOCdO__gFEvWTB4G", 10.2020333333333)</f>
        <v>10.20203333</v>
      </c>
      <c r="N420" s="118">
        <f>HYPERLINK("https://docs.google.com/spreadsheets/d/1wh6G3NLHOMWmaBnX5VlV0Wuh10lYiSXA", 13.4818166666667)</f>
        <v>13.48181667</v>
      </c>
      <c r="Q420" s="118">
        <f>HYPERLINK("https://docs.google.com/spreadsheets/d/1xZrsGqIKaVVDuqvSdKRODjYAvbQvO7Xw", 26.1672833333333)</f>
        <v>26.16728333</v>
      </c>
      <c r="R420" s="118">
        <f>HYPERLINK("https://docs.google.com/spreadsheets/d/1kvSaZCzjFz-CGL8NL6Qas2BA_p3HswhX", 22.8796)</f>
        <v>22.8796</v>
      </c>
      <c r="S420" s="118">
        <f>HYPERLINK("https://docs.google.com/spreadsheets/d/1_8qunvHA7rDe7MV_wFl9Ark31ZKvdDhd", 17.5793833333333)</f>
        <v>17.57938333</v>
      </c>
      <c r="T420" s="118">
        <f>HYPERLINK("https://docs.google.com/spreadsheets/d/1os407hDv-7_PN6XrWVKZbwhcR5m2Ra7w", 6.60565)</f>
        <v>6.60565</v>
      </c>
      <c r="U420" s="118">
        <f>HYPERLINK("https://docs.google.com/spreadsheets/d/1Y_tsd6pW457-YY2QScqzcc_M4WmP0tOy", 14.7389333333333)</f>
        <v>14.73893333</v>
      </c>
      <c r="X420" s="118">
        <f>HYPERLINK("https://docs.google.com/spreadsheets/d/1HZ8KA-x3fvv4gDEc6Rt2njQF9NMg5LpP", 28.2927166666667)</f>
        <v>28.29271667</v>
      </c>
      <c r="Y420" s="118">
        <f>HYPERLINK("https://docs.google.com/spreadsheets/d/1f2UJxcm1ttIouRcn_zg70IsEE6kuMc8a", 26.7005166666667)</f>
        <v>26.70051667</v>
      </c>
      <c r="Z420" s="118">
        <f>HYPERLINK("https://docs.google.com/spreadsheets/d/1m63SV1vhC7ZjpwmEmOS4JOCHLuVLQJZR", 8.83835)</f>
        <v>8.83835</v>
      </c>
      <c r="AA420" s="118">
        <f>HYPERLINK("https://docs.google.com/spreadsheets/d/1jPvKy602Ivyv408UVkWzuA4aJDvHYLic", 4.25373333333333)</f>
        <v>4.253733333</v>
      </c>
      <c r="AB420" s="118">
        <f>HYPERLINK("https://docs.google.com/spreadsheets/d/1-c-kOibjmTp6LhjBU18JJZmUqMjTxbSM", 6.2839)</f>
        <v>6.2839</v>
      </c>
      <c r="AE420" s="118">
        <f>HYPERLINK("https://docs.google.com/spreadsheets/d/1MyCY73jaa30us09RGMhB5dip4jn40iKd", 10.17825)</f>
        <v>10.17825</v>
      </c>
      <c r="AF420" s="118">
        <f>HYPERLINK("https://docs.google.com/spreadsheets/d/1cyeiD82zhHq1raYwZXOTsj8EXYK7G4VU", 16.24185)</f>
        <v>16.24185</v>
      </c>
      <c r="AG420" s="118">
        <f>HYPERLINK("https://docs.google.com/spreadsheets/d/1Bl9wnLyoHMwPt35GxR1FrE1pjkHTBiI7", 5.821)</f>
        <v>5.821</v>
      </c>
      <c r="AH420" s="118">
        <f>HYPERLINK("https://docs.google.com/spreadsheets/d/1ZDYUvWkoCH-E_r62oxuUt8DpZEY-P8gc", 3.85858333333333)</f>
        <v>3.858583333</v>
      </c>
      <c r="AI420" s="118">
        <f>HYPERLINK("https://docs.google.com/spreadsheets/d/1ikz6-XYYwBEfaaqbDLj6Gka1oYoLGR1N", 5.33625)</f>
        <v>5.33625</v>
      </c>
      <c r="AL420" s="118">
        <f>HYPERLINK("https://docs.google.com/spreadsheets/d/1t-W_6vak9gbiadb0m9MThW2pEJxqghOh", 6.09508333333333)</f>
        <v>6.095083333</v>
      </c>
      <c r="AM420" s="118">
        <f>HYPERLINK("https://docs.google.com/spreadsheets/d/1bSfhLuXWr_dV-RGLJZXNCPPJdcohbvPL", 8.37871666666667)</f>
        <v>8.378716667</v>
      </c>
      <c r="AN420" s="118">
        <f>HYPERLINK("https://docs.google.com/spreadsheets/d/1K_SHE0DeGRDcgQ6iUK5FTnVXC9CL7jHx", 10.6785333333333)</f>
        <v>10.67853333</v>
      </c>
      <c r="AQ420" s="118">
        <f>HYPERLINK("https://docs.google.com/spreadsheets/d/1-g8hCmiU00LsQppbht-ql-ZZJ7605qqn", 0.9294)</f>
        <v>0.9294</v>
      </c>
      <c r="AR420" s="118">
        <f>HYPERLINK("https://docs.google.com/spreadsheets/d/1tux6MCStvscFCowBD5V-_o6DyvCrhNGj", 3.23538333333333)</f>
        <v>3.235383333</v>
      </c>
      <c r="AU420" s="118">
        <f>HYPERLINK("https://docs.google.com/spreadsheets/d/1jnglpTz85EooPgOSq44R16Eewa4PdB_u", 40.0062666666666)</f>
        <v>40.00626667</v>
      </c>
    </row>
    <row r="421">
      <c r="A421" s="65" t="s">
        <v>38</v>
      </c>
      <c r="B421" s="65" t="s">
        <v>61</v>
      </c>
      <c r="C421" s="65"/>
      <c r="D421" s="64">
        <f t="shared" si="1"/>
        <v>251.1307333</v>
      </c>
      <c r="F421" s="65">
        <v>49.6357833333334</v>
      </c>
      <c r="G421" s="65">
        <v>6.40968333333334</v>
      </c>
      <c r="H421" s="65">
        <v>3.25996666666667</v>
      </c>
      <c r="I421" s="65">
        <v>0.824316666666667</v>
      </c>
      <c r="J421" s="65">
        <v>1.003</v>
      </c>
      <c r="K421" s="65">
        <v>8.39645</v>
      </c>
      <c r="N421" s="65">
        <v>11.9011</v>
      </c>
      <c r="Q421" s="65">
        <v>18.1684666666667</v>
      </c>
      <c r="R421" s="65">
        <v>12.1098333333333</v>
      </c>
      <c r="S421" s="65">
        <v>7.65865</v>
      </c>
      <c r="T421" s="65">
        <v>3.33318333333333</v>
      </c>
      <c r="U421" s="65">
        <v>8.9465</v>
      </c>
      <c r="X421" s="65">
        <v>21.1677333333333</v>
      </c>
      <c r="Y421" s="65">
        <v>10.5134666666667</v>
      </c>
      <c r="Z421" s="65">
        <v>1.82241666666667</v>
      </c>
      <c r="AA421" s="65">
        <v>0.84305</v>
      </c>
      <c r="AB421" s="65">
        <v>3.8181</v>
      </c>
      <c r="AE421" s="65">
        <v>5.00945</v>
      </c>
      <c r="AF421" s="65">
        <v>12.191</v>
      </c>
      <c r="AG421" s="65">
        <v>2.24408333333333</v>
      </c>
      <c r="AH421" s="65">
        <v>2.62918333333333</v>
      </c>
      <c r="AI421" s="65">
        <v>4.18566666666667</v>
      </c>
      <c r="AL421" s="65">
        <v>5.38243333333333</v>
      </c>
      <c r="AM421" s="65">
        <v>1.97998333333333</v>
      </c>
      <c r="AN421" s="65">
        <v>8.8958</v>
      </c>
      <c r="AQ421" s="65">
        <v>0.647283333333333</v>
      </c>
      <c r="AR421" s="65">
        <v>2.6514</v>
      </c>
      <c r="AU421" s="65">
        <v>35.50275</v>
      </c>
    </row>
    <row r="422">
      <c r="A422" s="119" t="s">
        <v>38</v>
      </c>
      <c r="B422" s="119" t="s">
        <v>61</v>
      </c>
      <c r="C422" s="119"/>
      <c r="D422" s="120">
        <f t="shared" si="1"/>
        <v>0</v>
      </c>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120"/>
      <c r="AM422" s="120"/>
      <c r="AN422" s="120"/>
      <c r="AO422" s="120"/>
      <c r="AP422" s="120"/>
      <c r="AQ422" s="120"/>
      <c r="AR422" s="120"/>
      <c r="AS422" s="120"/>
      <c r="AT422" s="120"/>
      <c r="AU422" s="120"/>
      <c r="AV422" s="120"/>
      <c r="AW422" s="120"/>
      <c r="AX422" s="120"/>
      <c r="AY422" s="120"/>
      <c r="AZ422" s="120"/>
      <c r="BA422" s="120"/>
      <c r="BB422" s="120"/>
      <c r="BC422" s="120"/>
      <c r="BD422" s="120"/>
      <c r="BE422" s="120"/>
      <c r="BF422" s="120"/>
      <c r="BG422" s="120"/>
      <c r="BH422" s="120"/>
      <c r="BI422" s="120"/>
      <c r="BJ422" s="120"/>
      <c r="BK422" s="120"/>
      <c r="BL422" s="120"/>
      <c r="BM422" s="120"/>
      <c r="BN422" s="120"/>
      <c r="BO422" s="120"/>
      <c r="BP422" s="120"/>
      <c r="BQ422" s="120"/>
      <c r="BR422" s="120"/>
      <c r="BS422" s="120"/>
      <c r="BT422" s="120"/>
      <c r="BU422" s="120"/>
      <c r="BV422" s="120"/>
      <c r="BW422" s="120"/>
      <c r="BX422" s="120"/>
      <c r="BY422" s="120"/>
      <c r="BZ422" s="120"/>
      <c r="CA422" s="120"/>
      <c r="CB422" s="120"/>
      <c r="CC422" s="120"/>
      <c r="CD422" s="120"/>
      <c r="CE422" s="120"/>
      <c r="CF422" s="120"/>
      <c r="CG422" s="120"/>
      <c r="CH422" s="120"/>
      <c r="CI422" s="120"/>
      <c r="CJ422" s="120"/>
      <c r="CK422" s="120"/>
      <c r="CL422" s="120"/>
      <c r="CM422" s="120"/>
      <c r="CN422" s="120"/>
      <c r="CO422" s="120"/>
      <c r="CP422" s="120"/>
      <c r="CQ422" s="120"/>
      <c r="CR422" s="120"/>
      <c r="CS422" s="120"/>
      <c r="CT422" s="120"/>
      <c r="CU422" s="120"/>
      <c r="CV422" s="120"/>
      <c r="CW422" s="120"/>
      <c r="CX422" s="120"/>
      <c r="CY422" s="120"/>
      <c r="CZ422" s="120"/>
      <c r="DA422" s="120"/>
      <c r="DB422" s="120"/>
      <c r="DC422" s="120"/>
      <c r="DD422" s="120"/>
      <c r="DE422" s="120"/>
      <c r="DF422" s="120"/>
      <c r="DG422" s="120"/>
      <c r="DH422" s="120"/>
      <c r="DI422" s="120"/>
      <c r="DJ422" s="120"/>
      <c r="DK422" s="120"/>
      <c r="DL422" s="120"/>
      <c r="DM422" s="120"/>
      <c r="DN422" s="120"/>
      <c r="DO422" s="120"/>
      <c r="DP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120"/>
      <c r="EK422" s="120"/>
      <c r="EL422" s="120"/>
      <c r="EM422" s="120"/>
      <c r="EN422" s="120"/>
      <c r="EO422" s="120"/>
      <c r="EP422" s="120"/>
      <c r="EQ422" s="120"/>
      <c r="ER422" s="120"/>
      <c r="ES422" s="120"/>
      <c r="ET422" s="120"/>
      <c r="EU422" s="120"/>
      <c r="EV422" s="120"/>
      <c r="EW422" s="120"/>
      <c r="EX422" s="120"/>
      <c r="EY422" s="120"/>
      <c r="EZ422" s="120"/>
      <c r="FA422" s="120"/>
      <c r="FB422" s="120"/>
      <c r="FC422" s="120"/>
      <c r="FD422" s="120"/>
      <c r="FE422" s="120"/>
      <c r="FF422" s="120"/>
      <c r="FG422" s="120"/>
      <c r="FH422" s="120"/>
      <c r="FI422" s="120"/>
      <c r="FJ422" s="120"/>
      <c r="FK422" s="120"/>
      <c r="FL422" s="120"/>
      <c r="FM422" s="120"/>
      <c r="FN422" s="120"/>
      <c r="FO422" s="120"/>
      <c r="FP422" s="120"/>
      <c r="FQ422" s="120"/>
      <c r="FR422" s="120"/>
      <c r="FS422" s="120"/>
      <c r="FT422" s="120"/>
      <c r="FU422" s="120"/>
      <c r="FV422" s="120"/>
      <c r="FW422" s="120"/>
      <c r="FX422" s="120"/>
      <c r="FY422" s="120"/>
      <c r="FZ422" s="120"/>
      <c r="GA422" s="120"/>
      <c r="GB422" s="120"/>
      <c r="GC422" s="120"/>
      <c r="GD422" s="120"/>
      <c r="GE422" s="120"/>
      <c r="GF422" s="120"/>
      <c r="GG422" s="120"/>
      <c r="GH422" s="120"/>
      <c r="GI422" s="120"/>
      <c r="GJ422" s="120"/>
      <c r="GK422" s="120"/>
      <c r="GL422" s="120"/>
      <c r="GM422" s="120"/>
      <c r="GN422" s="120"/>
      <c r="GO422" s="120"/>
      <c r="GP422" s="120"/>
      <c r="GQ422" s="120"/>
      <c r="GR422" s="120"/>
      <c r="GS422" s="120"/>
      <c r="GT422" s="120"/>
      <c r="GU422" s="120"/>
      <c r="GV422" s="120"/>
      <c r="GW422" s="120"/>
      <c r="GX422" s="120"/>
      <c r="GY422" s="120"/>
      <c r="GZ422" s="120"/>
      <c r="HA422" s="120"/>
      <c r="HB422" s="120"/>
      <c r="HC422" s="120"/>
      <c r="HD422" s="120"/>
      <c r="HE422" s="120"/>
      <c r="HF422" s="120"/>
      <c r="HG422" s="120"/>
      <c r="HH422" s="120"/>
      <c r="HI422" s="120"/>
      <c r="HJ422" s="120"/>
      <c r="HK422" s="120"/>
      <c r="HL422" s="120"/>
      <c r="HM422" s="120"/>
      <c r="HN422" s="120"/>
      <c r="HO422" s="120"/>
      <c r="HP422" s="120"/>
      <c r="HQ422" s="120"/>
      <c r="HR422" s="120"/>
      <c r="HS422" s="120"/>
      <c r="HT422" s="120"/>
      <c r="HU422" s="120"/>
      <c r="HV422" s="120"/>
      <c r="HW422" s="120"/>
      <c r="HX422" s="120"/>
      <c r="HY422" s="120"/>
      <c r="HZ422" s="120"/>
      <c r="IA422" s="120"/>
      <c r="IB422" s="120"/>
      <c r="IC422" s="120"/>
      <c r="ID422" s="120"/>
      <c r="IE422" s="120"/>
      <c r="IF422" s="120"/>
      <c r="IG422" s="120"/>
      <c r="IH422" s="120"/>
      <c r="II422" s="120"/>
      <c r="IJ422" s="120"/>
      <c r="IK422" s="120"/>
      <c r="IL422" s="120"/>
      <c r="IM422" s="120"/>
      <c r="IN422" s="120"/>
      <c r="IO422" s="120"/>
      <c r="IP422" s="120"/>
      <c r="IQ422" s="120"/>
      <c r="IR422" s="120"/>
      <c r="IS422" s="120"/>
      <c r="IT422" s="120"/>
      <c r="IU422" s="120"/>
      <c r="IV422" s="120"/>
      <c r="IW422" s="120"/>
      <c r="IX422" s="120"/>
      <c r="IY422" s="120"/>
      <c r="IZ422" s="120"/>
      <c r="JA422" s="120"/>
      <c r="JB422" s="120"/>
      <c r="JC422" s="120"/>
      <c r="JD422" s="120"/>
      <c r="JE422" s="120"/>
      <c r="JF422" s="120"/>
      <c r="JG422" s="120"/>
      <c r="JH422" s="120"/>
      <c r="JI422" s="120"/>
      <c r="JJ422" s="120"/>
      <c r="JK422" s="120"/>
      <c r="JL422" s="120"/>
      <c r="JM422" s="120"/>
      <c r="JN422" s="120"/>
      <c r="JO422" s="120"/>
      <c r="JP422" s="120"/>
      <c r="JQ422" s="120"/>
      <c r="JR422" s="120"/>
      <c r="JS422" s="120"/>
      <c r="JT422" s="120"/>
      <c r="JU422" s="120"/>
      <c r="JV422" s="120"/>
      <c r="JW422" s="120"/>
      <c r="JX422" s="120"/>
      <c r="JY422" s="120"/>
      <c r="JZ422" s="120"/>
      <c r="KA422" s="120"/>
      <c r="KB422" s="120"/>
      <c r="KC422" s="120"/>
      <c r="KD422" s="120"/>
      <c r="KE422" s="120"/>
      <c r="KF422" s="120"/>
      <c r="KG422" s="120"/>
      <c r="KH422" s="120"/>
      <c r="KI422" s="120"/>
      <c r="KJ422" s="120"/>
      <c r="KK422" s="120"/>
      <c r="KL422" s="120"/>
      <c r="KM422" s="120"/>
      <c r="KN422" s="120"/>
      <c r="KO422" s="120"/>
      <c r="KP422" s="120"/>
      <c r="KQ422" s="120"/>
      <c r="KR422" s="120"/>
      <c r="KS422" s="120"/>
      <c r="KT422" s="120"/>
      <c r="KU422" s="120"/>
      <c r="KV422" s="120"/>
      <c r="KW422" s="120"/>
      <c r="KX422" s="120"/>
      <c r="KY422" s="120"/>
      <c r="KZ422" s="120"/>
      <c r="LA422" s="120"/>
      <c r="LB422" s="120"/>
      <c r="LC422" s="120"/>
      <c r="LD422" s="120"/>
      <c r="LE422" s="120"/>
      <c r="LF422" s="120"/>
      <c r="LG422" s="120"/>
      <c r="LH422" s="120"/>
      <c r="LI422" s="120"/>
      <c r="LJ422" s="120"/>
      <c r="LK422" s="120"/>
      <c r="LL422" s="120"/>
      <c r="LM422" s="120"/>
      <c r="LN422" s="120"/>
      <c r="LO422" s="120"/>
      <c r="LP422" s="120"/>
      <c r="LQ422" s="120"/>
      <c r="LR422" s="120"/>
      <c r="LS422" s="120"/>
      <c r="LT422" s="120"/>
      <c r="LU422" s="120"/>
      <c r="LV422" s="120"/>
      <c r="LW422" s="120"/>
      <c r="LX422" s="120"/>
      <c r="LY422" s="120"/>
      <c r="LZ422" s="120"/>
      <c r="MA422" s="120"/>
      <c r="MB422" s="120"/>
      <c r="MC422" s="120"/>
      <c r="MD422" s="120"/>
      <c r="ME422" s="120"/>
      <c r="MF422" s="120"/>
      <c r="MG422" s="120"/>
      <c r="MH422" s="120"/>
      <c r="MI422" s="120"/>
      <c r="MJ422" s="120"/>
      <c r="MK422" s="120"/>
      <c r="ML422" s="120"/>
      <c r="MM422" s="120"/>
      <c r="MN422" s="120"/>
      <c r="MO422" s="120"/>
      <c r="MP422" s="120"/>
      <c r="MQ422" s="120"/>
      <c r="MR422" s="120"/>
      <c r="MS422" s="120"/>
      <c r="MT422" s="120"/>
      <c r="MU422" s="120"/>
      <c r="MV422" s="120"/>
      <c r="MW422" s="120"/>
      <c r="MX422" s="120"/>
      <c r="MY422" s="120"/>
      <c r="MZ422" s="120"/>
      <c r="NA422" s="120"/>
      <c r="NB422" s="120"/>
      <c r="NC422" s="120"/>
      <c r="ND422" s="120"/>
      <c r="NE422" s="120"/>
      <c r="NF422" s="120"/>
      <c r="NG422" s="120"/>
      <c r="NH422" s="120"/>
      <c r="NI422" s="120"/>
      <c r="NJ422" s="120"/>
      <c r="NK422" s="120"/>
      <c r="NL422" s="120"/>
      <c r="NM422" s="120"/>
      <c r="NN422" s="120"/>
      <c r="NO422" s="120"/>
      <c r="NP422" s="120"/>
      <c r="NQ422" s="120"/>
      <c r="NR422" s="120"/>
      <c r="NS422" s="120"/>
      <c r="NT422" s="120"/>
      <c r="NU422" s="120"/>
      <c r="NV422" s="120"/>
      <c r="NW422" s="120"/>
      <c r="NX422" s="120"/>
      <c r="NY422" s="120"/>
      <c r="NZ422" s="120"/>
      <c r="OA422" s="120"/>
      <c r="OB422" s="120"/>
      <c r="OC422" s="120"/>
      <c r="OD422" s="120"/>
      <c r="OE422" s="120"/>
      <c r="OF422" s="120"/>
      <c r="OG422" s="120"/>
      <c r="OH422" s="120"/>
      <c r="OI422" s="120"/>
      <c r="OJ422" s="120"/>
      <c r="OK422" s="120"/>
      <c r="OL422" s="120"/>
      <c r="OM422" s="120"/>
      <c r="ON422" s="120"/>
      <c r="OO422" s="120"/>
      <c r="OP422" s="120"/>
      <c r="OQ422" s="120"/>
      <c r="OR422" s="120"/>
      <c r="OS422" s="120"/>
      <c r="OT422" s="120"/>
      <c r="OU422" s="120"/>
      <c r="OV422" s="120"/>
      <c r="OW422" s="120"/>
      <c r="OX422" s="120"/>
      <c r="OY422" s="120"/>
      <c r="OZ422" s="120"/>
      <c r="PA422" s="120"/>
      <c r="PB422" s="120"/>
      <c r="PC422" s="120"/>
      <c r="PD422" s="120"/>
      <c r="PE422" s="120"/>
      <c r="PF422" s="120"/>
      <c r="PG422" s="120"/>
      <c r="PH422" s="120"/>
      <c r="PI422" s="120"/>
      <c r="PJ422" s="120"/>
      <c r="PK422" s="120"/>
      <c r="PL422" s="120"/>
      <c r="PM422" s="120"/>
      <c r="PN422" s="120"/>
      <c r="PO422" s="120"/>
      <c r="PP422" s="120"/>
      <c r="PQ422" s="120"/>
      <c r="PR422" s="120"/>
      <c r="PS422" s="120"/>
      <c r="PT422" s="120"/>
      <c r="PU422" s="120"/>
      <c r="PV422" s="120"/>
      <c r="PW422" s="120"/>
      <c r="PX422" s="120"/>
      <c r="PY422" s="120"/>
      <c r="PZ422" s="120"/>
      <c r="QA422" s="120"/>
      <c r="QB422" s="120"/>
      <c r="QC422" s="120"/>
      <c r="QD422" s="120"/>
      <c r="QE422" s="120"/>
      <c r="QF422" s="120"/>
      <c r="QG422" s="120"/>
      <c r="QH422" s="120"/>
      <c r="QI422" s="120"/>
      <c r="QJ422" s="120"/>
      <c r="QK422" s="120"/>
      <c r="QL422" s="120"/>
      <c r="QM422" s="120"/>
      <c r="QN422" s="120"/>
      <c r="QO422" s="120"/>
      <c r="QP422" s="120"/>
      <c r="QQ422" s="120"/>
      <c r="QR422" s="120"/>
      <c r="QS422" s="120"/>
      <c r="QT422" s="120"/>
      <c r="QU422" s="120"/>
      <c r="QV422" s="120"/>
      <c r="QW422" s="120"/>
      <c r="QX422" s="120"/>
      <c r="QY422" s="120"/>
      <c r="QZ422" s="120"/>
      <c r="RA422" s="120"/>
      <c r="RB422" s="120"/>
      <c r="RC422" s="120"/>
      <c r="RD422" s="120"/>
      <c r="RE422" s="120"/>
      <c r="RF422" s="120"/>
      <c r="RG422" s="120"/>
      <c r="RH422" s="120"/>
      <c r="RI422" s="120"/>
      <c r="RJ422" s="120"/>
      <c r="RK422" s="120"/>
      <c r="RL422" s="120"/>
      <c r="RM422" s="120"/>
      <c r="RN422" s="120"/>
      <c r="RO422" s="120"/>
      <c r="RP422" s="120"/>
      <c r="RQ422" s="120"/>
      <c r="RR422" s="120"/>
      <c r="RS422" s="120"/>
      <c r="RT422" s="120"/>
      <c r="RU422" s="120"/>
      <c r="RV422" s="120"/>
      <c r="RW422" s="120"/>
      <c r="RX422" s="120"/>
      <c r="RY422" s="120"/>
      <c r="RZ422" s="120"/>
      <c r="SA422" s="120"/>
      <c r="SB422" s="120"/>
      <c r="SC422" s="120"/>
      <c r="SD422" s="120"/>
      <c r="SE422" s="120"/>
      <c r="SF422" s="120"/>
      <c r="SG422" s="120"/>
      <c r="SH422" s="120"/>
      <c r="SI422" s="120"/>
      <c r="SJ422" s="120"/>
      <c r="SK422" s="120"/>
      <c r="SL422" s="120"/>
      <c r="SM422" s="120"/>
      <c r="SN422" s="120"/>
      <c r="SO422" s="120"/>
      <c r="SP422" s="120"/>
      <c r="SQ422" s="120"/>
      <c r="SR422" s="120"/>
      <c r="SS422" s="120"/>
      <c r="ST422" s="120"/>
      <c r="SU422" s="120"/>
      <c r="SV422" s="120"/>
      <c r="SW422" s="120"/>
      <c r="SX422" s="120"/>
      <c r="SY422" s="120"/>
      <c r="SZ422" s="120"/>
      <c r="TA422" s="120"/>
      <c r="TB422" s="120"/>
      <c r="TC422" s="120"/>
      <c r="TD422" s="120"/>
      <c r="TE422" s="120"/>
      <c r="TF422" s="120"/>
      <c r="TG422" s="120"/>
      <c r="TH422" s="120"/>
      <c r="TI422" s="120"/>
      <c r="TJ422" s="120"/>
      <c r="TK422" s="120"/>
      <c r="TL422" s="120"/>
      <c r="TM422" s="120"/>
      <c r="TN422" s="120"/>
      <c r="TO422" s="120"/>
      <c r="TP422" s="120"/>
      <c r="TQ422" s="120"/>
      <c r="TR422" s="120"/>
      <c r="TS422" s="120"/>
      <c r="TT422" s="120"/>
      <c r="TU422" s="120"/>
      <c r="TV422" s="120"/>
      <c r="TW422" s="120"/>
      <c r="TX422" s="120"/>
      <c r="TY422" s="120"/>
      <c r="TZ422" s="120"/>
      <c r="UA422" s="120"/>
      <c r="UB422" s="120"/>
      <c r="UC422" s="120"/>
      <c r="UD422" s="120"/>
      <c r="UE422" s="120"/>
      <c r="UF422" s="120"/>
      <c r="UG422" s="120"/>
      <c r="UH422" s="120"/>
      <c r="UI422" s="120"/>
      <c r="UJ422" s="120"/>
      <c r="UK422" s="120"/>
      <c r="UL422" s="120"/>
      <c r="UM422" s="120"/>
      <c r="UN422" s="120"/>
      <c r="UO422" s="120"/>
      <c r="UP422" s="120"/>
      <c r="UQ422" s="120"/>
      <c r="UR422" s="120"/>
      <c r="US422" s="120"/>
      <c r="UT422" s="120"/>
      <c r="UU422" s="120"/>
      <c r="UV422" s="120"/>
      <c r="UW422" s="120"/>
      <c r="UX422" s="120"/>
      <c r="UY422" s="120"/>
      <c r="UZ422" s="120"/>
      <c r="VA422" s="120"/>
      <c r="VB422" s="120"/>
      <c r="VC422" s="120"/>
      <c r="VD422" s="120"/>
      <c r="VE422" s="120"/>
      <c r="VF422" s="120"/>
      <c r="VG422" s="120"/>
      <c r="VH422" s="120"/>
      <c r="VI422" s="120"/>
      <c r="VJ422" s="120"/>
      <c r="VK422" s="120"/>
      <c r="VL422" s="120"/>
      <c r="VM422" s="120"/>
      <c r="VN422" s="120"/>
      <c r="VO422" s="120"/>
      <c r="VP422" s="120"/>
      <c r="VQ422" s="120"/>
      <c r="VR422" s="120"/>
      <c r="VS422" s="120"/>
      <c r="VT422" s="120"/>
      <c r="VU422" s="120"/>
      <c r="VV422" s="120"/>
      <c r="VW422" s="120"/>
      <c r="VX422" s="120"/>
      <c r="VY422" s="120"/>
      <c r="VZ422" s="120"/>
      <c r="WA422" s="120"/>
      <c r="WB422" s="120"/>
      <c r="WC422" s="120"/>
      <c r="WD422" s="120"/>
      <c r="WE422" s="120"/>
      <c r="WF422" s="120"/>
      <c r="WG422" s="120"/>
      <c r="WH422" s="120"/>
      <c r="WI422" s="120"/>
      <c r="WJ422" s="120"/>
      <c r="WK422" s="120"/>
      <c r="WL422" s="120"/>
      <c r="WM422" s="120"/>
      <c r="WN422" s="120"/>
      <c r="WO422" s="120"/>
      <c r="WP422" s="120"/>
      <c r="WQ422" s="120"/>
      <c r="WR422" s="120"/>
      <c r="WS422" s="120"/>
      <c r="WT422" s="120"/>
      <c r="WU422" s="120"/>
      <c r="WV422" s="120"/>
      <c r="WW422" s="120"/>
      <c r="WX422" s="120"/>
      <c r="WY422" s="120"/>
      <c r="WZ422" s="120"/>
      <c r="XA422" s="120"/>
      <c r="XB422" s="120"/>
      <c r="XC422" s="120"/>
      <c r="XD422" s="120"/>
      <c r="XE422" s="120"/>
      <c r="XF422" s="120"/>
      <c r="XG422" s="120"/>
      <c r="XH422" s="120"/>
      <c r="XI422" s="120"/>
      <c r="XJ422" s="120"/>
      <c r="XK422" s="120"/>
      <c r="XL422" s="120"/>
      <c r="XM422" s="120"/>
      <c r="XN422" s="120"/>
      <c r="XO422" s="120"/>
      <c r="XP422" s="120"/>
      <c r="XQ422" s="120"/>
      <c r="XR422" s="120"/>
      <c r="XS422" s="120"/>
      <c r="XT422" s="120"/>
      <c r="XU422" s="120"/>
      <c r="XV422" s="120"/>
      <c r="XW422" s="120"/>
      <c r="XX422" s="120"/>
      <c r="XY422" s="120"/>
      <c r="XZ422" s="120"/>
      <c r="YA422" s="120"/>
      <c r="YB422" s="120"/>
      <c r="YC422" s="120"/>
      <c r="YD422" s="120"/>
      <c r="YE422" s="120"/>
      <c r="YF422" s="120"/>
      <c r="YG422" s="120"/>
      <c r="YH422" s="120"/>
      <c r="YI422" s="120"/>
      <c r="YJ422" s="120"/>
      <c r="YK422" s="120"/>
      <c r="YL422" s="120"/>
      <c r="YM422" s="120"/>
      <c r="YN422" s="120"/>
      <c r="YO422" s="120"/>
      <c r="YP422" s="120"/>
      <c r="YQ422" s="120"/>
      <c r="YR422" s="120"/>
      <c r="YS422" s="120"/>
      <c r="YT422" s="120"/>
      <c r="YU422" s="120"/>
      <c r="YV422" s="120"/>
      <c r="YW422" s="120"/>
      <c r="YX422" s="120"/>
      <c r="YY422" s="120"/>
      <c r="YZ422" s="120"/>
      <c r="ZA422" s="120"/>
      <c r="ZB422" s="120"/>
      <c r="ZC422" s="120"/>
      <c r="ZD422" s="120"/>
      <c r="ZE422" s="120"/>
      <c r="ZF422" s="120"/>
      <c r="ZG422" s="120"/>
      <c r="ZH422" s="120"/>
      <c r="ZI422" s="120"/>
      <c r="ZJ422" s="120"/>
      <c r="ZK422" s="120"/>
      <c r="ZL422" s="120"/>
      <c r="ZM422" s="120"/>
      <c r="ZN422" s="120"/>
      <c r="ZO422" s="120"/>
      <c r="ZP422" s="120"/>
      <c r="ZQ422" s="120"/>
      <c r="ZR422" s="120"/>
      <c r="ZS422" s="120"/>
      <c r="ZT422" s="120"/>
      <c r="ZU422" s="120"/>
      <c r="ZV422" s="120"/>
      <c r="ZW422" s="120"/>
      <c r="ZX422" s="120"/>
      <c r="ZY422" s="120"/>
      <c r="ZZ422" s="120"/>
      <c r="AAA422" s="120"/>
      <c r="AAB422" s="120"/>
      <c r="AAC422" s="120"/>
      <c r="AAD422" s="120"/>
      <c r="AAE422" s="120"/>
      <c r="AAF422" s="120"/>
      <c r="AAG422" s="120"/>
      <c r="AAH422" s="120"/>
      <c r="AAI422" s="120"/>
      <c r="AAJ422" s="120"/>
      <c r="AAK422" s="120"/>
      <c r="AAL422" s="120"/>
      <c r="AAM422" s="120"/>
      <c r="AAN422" s="120"/>
      <c r="AAO422" s="120"/>
      <c r="AAP422" s="120"/>
      <c r="AAQ422" s="120"/>
      <c r="AAR422" s="120"/>
      <c r="AAS422" s="120"/>
      <c r="AAT422" s="120"/>
      <c r="AAU422" s="120"/>
      <c r="AAV422" s="120"/>
      <c r="AAW422" s="120"/>
      <c r="AAX422" s="120"/>
      <c r="AAY422" s="120"/>
      <c r="AAZ422" s="120"/>
      <c r="ABA422" s="120"/>
      <c r="ABB422" s="120"/>
      <c r="ABC422" s="120"/>
      <c r="ABD422" s="120"/>
      <c r="ABE422" s="120"/>
      <c r="ABF422" s="120"/>
      <c r="ABG422" s="120"/>
      <c r="ABH422" s="120"/>
      <c r="ABI422" s="120"/>
      <c r="ABJ422" s="120"/>
      <c r="ABK422" s="120"/>
      <c r="ABL422" s="120"/>
      <c r="ABM422" s="120"/>
      <c r="ABN422" s="120"/>
      <c r="ABO422" s="120"/>
      <c r="ABP422" s="120"/>
      <c r="ABQ422" s="120"/>
      <c r="ABR422" s="120"/>
      <c r="ABS422" s="120"/>
      <c r="ABT422" s="120"/>
      <c r="ABU422" s="120"/>
      <c r="ABV422" s="120"/>
      <c r="ABW422" s="120"/>
      <c r="ABX422" s="120"/>
      <c r="ABY422" s="120"/>
      <c r="ABZ422" s="120"/>
      <c r="ACA422" s="120"/>
      <c r="ACB422" s="120"/>
      <c r="ACC422" s="120"/>
      <c r="ACD422" s="120"/>
      <c r="ACE422" s="120"/>
      <c r="ACF422" s="120"/>
      <c r="ACG422" s="120"/>
      <c r="ACH422" s="120"/>
      <c r="ACI422" s="120"/>
      <c r="ACJ422" s="120"/>
      <c r="ACK422" s="120"/>
      <c r="ACL422" s="120"/>
      <c r="ACM422" s="120"/>
      <c r="ACN422" s="120"/>
      <c r="ACO422" s="120"/>
      <c r="ACP422" s="120"/>
      <c r="ACQ422" s="120"/>
      <c r="ACR422" s="120"/>
      <c r="ACS422" s="120"/>
      <c r="ACT422" s="120"/>
      <c r="ACU422" s="120"/>
      <c r="ACV422" s="120"/>
      <c r="ACW422" s="120"/>
      <c r="ACX422" s="120"/>
      <c r="ACY422" s="120"/>
      <c r="ACZ422" s="120"/>
      <c r="ADA422" s="120"/>
      <c r="ADB422" s="120"/>
      <c r="ADC422" s="120"/>
      <c r="ADD422" s="120"/>
      <c r="ADE422" s="120"/>
      <c r="ADF422" s="120"/>
      <c r="ADG422" s="120"/>
      <c r="ADH422" s="120"/>
      <c r="ADI422" s="120"/>
      <c r="ADJ422" s="120"/>
      <c r="ADK422" s="120"/>
      <c r="ADL422" s="120"/>
      <c r="ADM422" s="120"/>
      <c r="ADN422" s="120"/>
      <c r="ADO422" s="120"/>
      <c r="ADP422" s="120"/>
      <c r="ADQ422" s="120"/>
      <c r="ADR422" s="120"/>
      <c r="ADS422" s="120"/>
      <c r="ADT422" s="120"/>
      <c r="ADU422" s="120"/>
      <c r="ADV422" s="120"/>
      <c r="ADW422" s="120"/>
      <c r="ADX422" s="120"/>
      <c r="ADY422" s="120"/>
      <c r="ADZ422" s="120"/>
      <c r="AEA422" s="120"/>
      <c r="AEB422" s="120"/>
      <c r="AEC422" s="120"/>
      <c r="AED422" s="120"/>
      <c r="AEE422" s="120"/>
      <c r="AEF422" s="120"/>
      <c r="AEG422" s="120"/>
      <c r="AEH422" s="120"/>
      <c r="AEI422" s="120"/>
      <c r="AEJ422" s="120"/>
      <c r="AEK422" s="120"/>
      <c r="AEL422" s="120"/>
      <c r="AEM422" s="120"/>
      <c r="AEN422" s="120"/>
      <c r="AEO422" s="120"/>
      <c r="AEP422" s="120"/>
      <c r="AEQ422" s="120"/>
      <c r="AER422" s="120"/>
      <c r="AES422" s="120"/>
      <c r="AET422" s="120"/>
      <c r="AEU422" s="120"/>
      <c r="AEV422" s="120"/>
      <c r="AEW422" s="120"/>
      <c r="AEX422" s="120"/>
      <c r="AEY422" s="120"/>
      <c r="AEZ422" s="120"/>
      <c r="AFA422" s="120"/>
      <c r="AFB422" s="120"/>
      <c r="AFC422" s="120"/>
      <c r="AFD422" s="120"/>
      <c r="AFE422" s="120"/>
      <c r="AFF422" s="120"/>
      <c r="AFG422" s="120"/>
      <c r="AFH422" s="120"/>
      <c r="AFI422" s="120"/>
      <c r="AFJ422" s="120"/>
      <c r="AFK422" s="120"/>
      <c r="AFL422" s="120"/>
      <c r="AFM422" s="120"/>
      <c r="AFN422" s="120"/>
      <c r="AFO422" s="120"/>
      <c r="AFP422" s="120"/>
      <c r="AFQ422" s="120"/>
      <c r="AFR422" s="120"/>
      <c r="AFS422" s="120"/>
      <c r="AFT422" s="120"/>
      <c r="AFU422" s="120"/>
      <c r="AFV422" s="120"/>
      <c r="AFW422" s="120"/>
      <c r="AFX422" s="120"/>
      <c r="AFY422" s="120"/>
      <c r="AFZ422" s="120"/>
      <c r="AGA422" s="120"/>
      <c r="AGB422" s="120"/>
      <c r="AGC422" s="120"/>
      <c r="AGD422" s="120"/>
      <c r="AGE422" s="120"/>
      <c r="AGF422" s="120"/>
      <c r="AGG422" s="120"/>
      <c r="AGH422" s="120"/>
      <c r="AGI422" s="120"/>
      <c r="AGJ422" s="120"/>
      <c r="AGK422" s="120"/>
      <c r="AGL422" s="120"/>
      <c r="AGM422" s="120"/>
      <c r="AGN422" s="120"/>
      <c r="AGO422" s="120"/>
      <c r="AGP422" s="120"/>
      <c r="AGQ422" s="120"/>
      <c r="AGR422" s="120"/>
      <c r="AGS422" s="120"/>
      <c r="AGT422" s="120"/>
      <c r="AGU422" s="120"/>
      <c r="AGV422" s="120"/>
      <c r="AGW422" s="120"/>
      <c r="AGX422" s="120"/>
      <c r="AGY422" s="120"/>
      <c r="AGZ422" s="120"/>
      <c r="AHA422" s="120"/>
      <c r="AHB422" s="120"/>
      <c r="AHC422" s="120"/>
      <c r="AHD422" s="120"/>
      <c r="AHE422" s="120"/>
      <c r="AHF422" s="120"/>
      <c r="AHG422" s="120"/>
      <c r="AHH422" s="120"/>
      <c r="AHI422" s="120"/>
      <c r="AHJ422" s="120"/>
      <c r="AHK422" s="120"/>
      <c r="AHL422" s="120"/>
      <c r="AHM422" s="120"/>
      <c r="AHN422" s="120"/>
      <c r="AHO422" s="120"/>
      <c r="AHP422" s="120"/>
      <c r="AHQ422" s="120"/>
      <c r="AHR422" s="120"/>
      <c r="AHS422" s="120"/>
      <c r="AHT422" s="120"/>
      <c r="AHU422" s="120"/>
      <c r="AHV422" s="120"/>
      <c r="AHW422" s="120"/>
      <c r="AHX422" s="120"/>
      <c r="AHY422" s="120"/>
      <c r="AHZ422" s="120"/>
      <c r="AIA422" s="120"/>
      <c r="AIB422" s="120"/>
      <c r="AIC422" s="120"/>
      <c r="AID422" s="120"/>
      <c r="AIE422" s="120"/>
      <c r="AIF422" s="120"/>
      <c r="AIG422" s="120"/>
      <c r="AIH422" s="120"/>
      <c r="AII422" s="120"/>
      <c r="AIJ422" s="120"/>
      <c r="AIK422" s="120"/>
      <c r="AIL422" s="120"/>
      <c r="AIM422" s="120"/>
      <c r="AIN422" s="120"/>
      <c r="AIO422" s="120"/>
      <c r="AIP422" s="120"/>
      <c r="AIQ422" s="120"/>
      <c r="AIR422" s="120"/>
      <c r="AIS422" s="120"/>
      <c r="AIT422" s="120"/>
      <c r="AIU422" s="120"/>
      <c r="AIV422" s="120"/>
      <c r="AIW422" s="120"/>
      <c r="AIX422" s="120"/>
      <c r="AIY422" s="120"/>
      <c r="AIZ422" s="120"/>
    </row>
    <row r="423">
      <c r="A423" s="112" t="s">
        <v>67</v>
      </c>
      <c r="B423" s="112" t="s">
        <v>68</v>
      </c>
      <c r="C423" s="112"/>
      <c r="D423" s="113">
        <f t="shared" si="1"/>
        <v>616.8419333</v>
      </c>
      <c r="E423" s="112">
        <v>47.2151666666667</v>
      </c>
      <c r="F423" s="113"/>
      <c r="G423" s="113"/>
      <c r="H423" s="113"/>
      <c r="I423" s="113"/>
      <c r="J423" s="113"/>
      <c r="K423" s="113"/>
      <c r="L423" s="112">
        <v>0.6136</v>
      </c>
      <c r="M423" s="112">
        <v>5.0982</v>
      </c>
      <c r="N423" s="113"/>
      <c r="O423" s="113"/>
      <c r="P423" s="112">
        <v>284.285583333334</v>
      </c>
      <c r="Q423" s="113"/>
      <c r="R423" s="113"/>
      <c r="S423" s="113"/>
      <c r="T423" s="113"/>
      <c r="U423" s="113"/>
      <c r="V423" s="112">
        <v>2.8139</v>
      </c>
      <c r="W423" s="112">
        <v>37.3491666666667</v>
      </c>
      <c r="X423" s="113"/>
      <c r="Y423" s="113"/>
      <c r="Z423" s="113"/>
      <c r="AA423" s="113"/>
      <c r="AB423" s="113"/>
      <c r="AC423" s="112">
        <v>0.287483333333333</v>
      </c>
      <c r="AD423" s="112">
        <v>86.2114333333334</v>
      </c>
      <c r="AE423" s="113"/>
      <c r="AF423" s="113"/>
      <c r="AG423" s="113"/>
      <c r="AH423" s="113"/>
      <c r="AI423" s="113"/>
      <c r="AJ423" s="112">
        <v>2.00058333333333</v>
      </c>
      <c r="AK423" s="112">
        <v>80.2924666666667</v>
      </c>
      <c r="AL423" s="113"/>
      <c r="AM423" s="113"/>
      <c r="AN423" s="113"/>
      <c r="AO423" s="112">
        <v>3.28743333333333</v>
      </c>
      <c r="AP423" s="112">
        <v>22.3240833333333</v>
      </c>
      <c r="AQ423" s="113"/>
      <c r="AR423" s="113"/>
      <c r="AS423" s="112">
        <v>0.255366666666667</v>
      </c>
      <c r="AT423" s="112">
        <v>42.82465</v>
      </c>
      <c r="AU423" s="113"/>
      <c r="AV423" s="112">
        <v>1.4043</v>
      </c>
      <c r="AW423" s="112">
        <v>0.578516666666667</v>
      </c>
      <c r="AX423" s="113"/>
      <c r="AY423" s="113"/>
      <c r="AZ423" s="113"/>
      <c r="BA423" s="113"/>
      <c r="BB423" s="113"/>
      <c r="BC423" s="113"/>
      <c r="BD423" s="113"/>
      <c r="BE423" s="113"/>
      <c r="BF423" s="113"/>
      <c r="BG423" s="113"/>
      <c r="BH423" s="113"/>
      <c r="BI423" s="113"/>
      <c r="BJ423" s="113"/>
      <c r="BK423" s="113"/>
      <c r="BL423" s="113"/>
      <c r="BM423" s="113"/>
      <c r="BN423" s="113"/>
      <c r="BO423" s="113"/>
      <c r="BP423" s="113"/>
      <c r="BQ423" s="113"/>
      <c r="BR423" s="113"/>
      <c r="BS423" s="113"/>
      <c r="BT423" s="113"/>
      <c r="BU423" s="113"/>
      <c r="BV423" s="113"/>
      <c r="BW423" s="113"/>
      <c r="BX423" s="113"/>
      <c r="BY423" s="113"/>
      <c r="BZ423" s="113"/>
      <c r="CA423" s="113"/>
      <c r="CB423" s="113"/>
      <c r="CC423" s="113"/>
      <c r="CD423" s="113"/>
      <c r="CE423" s="113"/>
      <c r="CF423" s="113"/>
      <c r="CG423" s="113"/>
      <c r="CH423" s="113"/>
      <c r="CI423" s="113"/>
      <c r="CJ423" s="113"/>
      <c r="CK423" s="113"/>
      <c r="CL423" s="113"/>
      <c r="CM423" s="113"/>
      <c r="CN423" s="113"/>
      <c r="CO423" s="113"/>
      <c r="CP423" s="113"/>
      <c r="CQ423" s="113"/>
      <c r="CR423" s="113"/>
      <c r="CS423" s="113"/>
      <c r="CT423" s="113"/>
      <c r="CU423" s="113"/>
      <c r="CV423" s="113"/>
      <c r="CW423" s="113"/>
      <c r="CX423" s="113"/>
      <c r="CY423" s="113"/>
      <c r="CZ423" s="113"/>
      <c r="DA423" s="113"/>
      <c r="DB423" s="113"/>
      <c r="DC423" s="113"/>
      <c r="DD423" s="113"/>
      <c r="DE423" s="113"/>
      <c r="DF423" s="113"/>
      <c r="DG423" s="113"/>
      <c r="DH423" s="113"/>
      <c r="DI423" s="113"/>
      <c r="DJ423" s="113"/>
      <c r="DK423" s="113"/>
      <c r="DL423" s="113"/>
      <c r="DM423" s="113"/>
      <c r="DN423" s="113"/>
      <c r="DO423" s="113"/>
      <c r="DP423" s="113"/>
      <c r="DQ423" s="113"/>
      <c r="DR423" s="113"/>
      <c r="DS423" s="113"/>
      <c r="DT423" s="113"/>
      <c r="DU423" s="113"/>
      <c r="DV423" s="113"/>
      <c r="DW423" s="113"/>
      <c r="DX423" s="113"/>
      <c r="DY423" s="113"/>
      <c r="DZ423" s="113"/>
      <c r="EA423" s="113"/>
      <c r="EB423" s="113"/>
      <c r="EC423" s="113"/>
      <c r="ED423" s="113"/>
      <c r="EE423" s="113"/>
      <c r="EF423" s="113"/>
      <c r="EG423" s="113"/>
      <c r="EH423" s="113"/>
      <c r="EI423" s="113"/>
      <c r="EJ423" s="113"/>
      <c r="EK423" s="113"/>
      <c r="EL423" s="113"/>
      <c r="EM423" s="113"/>
      <c r="EN423" s="113"/>
      <c r="EO423" s="113"/>
      <c r="EP423" s="113"/>
      <c r="EQ423" s="113"/>
      <c r="ER423" s="113"/>
      <c r="ES423" s="113"/>
      <c r="ET423" s="113"/>
      <c r="EU423" s="113"/>
      <c r="EV423" s="113"/>
      <c r="EW423" s="113"/>
      <c r="EX423" s="113"/>
      <c r="EY423" s="113"/>
      <c r="EZ423" s="113"/>
      <c r="FA423" s="113"/>
      <c r="FB423" s="113"/>
      <c r="FC423" s="113"/>
      <c r="FD423" s="113"/>
      <c r="FE423" s="113"/>
      <c r="FF423" s="113"/>
      <c r="FG423" s="113"/>
      <c r="FH423" s="113"/>
      <c r="FI423" s="113"/>
      <c r="FJ423" s="113"/>
      <c r="FK423" s="113"/>
      <c r="FL423" s="113"/>
      <c r="FM423" s="113"/>
      <c r="FN423" s="113"/>
      <c r="FO423" s="113"/>
      <c r="FP423" s="113"/>
      <c r="FQ423" s="113"/>
      <c r="FR423" s="113"/>
      <c r="FS423" s="113"/>
      <c r="FT423" s="113"/>
      <c r="FU423" s="113"/>
      <c r="FV423" s="113"/>
      <c r="FW423" s="113"/>
      <c r="FX423" s="113"/>
      <c r="FY423" s="113"/>
      <c r="FZ423" s="113"/>
      <c r="GA423" s="113"/>
      <c r="GB423" s="113"/>
      <c r="GC423" s="113"/>
      <c r="GD423" s="113"/>
      <c r="GE423" s="113"/>
      <c r="GF423" s="113"/>
      <c r="GG423" s="113"/>
      <c r="GH423" s="113"/>
      <c r="GI423" s="113"/>
      <c r="GJ423" s="113"/>
      <c r="GK423" s="113"/>
      <c r="GL423" s="113"/>
      <c r="GM423" s="113"/>
      <c r="GN423" s="113"/>
      <c r="GO423" s="113"/>
      <c r="GP423" s="113"/>
      <c r="GQ423" s="113"/>
      <c r="GR423" s="113"/>
      <c r="GS423" s="113"/>
      <c r="GT423" s="113"/>
      <c r="GU423" s="113"/>
      <c r="GV423" s="113"/>
      <c r="GW423" s="113"/>
      <c r="GX423" s="113"/>
      <c r="GY423" s="113"/>
      <c r="GZ423" s="113"/>
      <c r="HA423" s="113"/>
      <c r="HB423" s="113"/>
      <c r="HC423" s="113"/>
      <c r="HD423" s="113"/>
      <c r="HE423" s="113"/>
      <c r="HF423" s="113"/>
      <c r="HG423" s="113"/>
      <c r="HH423" s="113"/>
      <c r="HI423" s="113"/>
      <c r="HJ423" s="113"/>
      <c r="HK423" s="113"/>
      <c r="HL423" s="113"/>
      <c r="HM423" s="113"/>
      <c r="HN423" s="113"/>
      <c r="HO423" s="113"/>
      <c r="HP423" s="113"/>
      <c r="HQ423" s="113"/>
      <c r="HR423" s="113"/>
      <c r="HS423" s="113"/>
      <c r="HT423" s="113"/>
      <c r="HU423" s="113"/>
      <c r="HV423" s="113"/>
      <c r="HW423" s="113"/>
      <c r="HX423" s="113"/>
      <c r="HY423" s="113"/>
      <c r="HZ423" s="113"/>
      <c r="IA423" s="113"/>
      <c r="IB423" s="113"/>
      <c r="IC423" s="113"/>
      <c r="ID423" s="113"/>
      <c r="IE423" s="113"/>
      <c r="IF423" s="113"/>
      <c r="IG423" s="113"/>
      <c r="IH423" s="113"/>
      <c r="II423" s="113"/>
      <c r="IJ423" s="113"/>
      <c r="IK423" s="113"/>
      <c r="IL423" s="113"/>
      <c r="IM423" s="113"/>
      <c r="IN423" s="113"/>
      <c r="IO423" s="113"/>
      <c r="IP423" s="113"/>
      <c r="IQ423" s="113"/>
      <c r="IR423" s="113"/>
      <c r="IS423" s="113"/>
      <c r="IT423" s="113"/>
      <c r="IU423" s="113"/>
      <c r="IV423" s="113"/>
      <c r="IW423" s="113"/>
      <c r="IX423" s="113"/>
      <c r="IY423" s="113"/>
      <c r="IZ423" s="113"/>
      <c r="JA423" s="113"/>
      <c r="JB423" s="113"/>
      <c r="JC423" s="113"/>
      <c r="JD423" s="113"/>
      <c r="JE423" s="113"/>
      <c r="JF423" s="113"/>
      <c r="JG423" s="113"/>
      <c r="JH423" s="113"/>
      <c r="JI423" s="113"/>
      <c r="JJ423" s="113"/>
      <c r="JK423" s="113"/>
      <c r="JL423" s="113"/>
      <c r="JM423" s="113"/>
      <c r="JN423" s="113"/>
      <c r="JO423" s="113"/>
      <c r="JP423" s="113"/>
      <c r="JQ423" s="113"/>
      <c r="JR423" s="113"/>
      <c r="JS423" s="113"/>
      <c r="JT423" s="113"/>
      <c r="JU423" s="113"/>
      <c r="JV423" s="113"/>
      <c r="JW423" s="113"/>
      <c r="JX423" s="113"/>
      <c r="JY423" s="113"/>
      <c r="JZ423" s="113"/>
      <c r="KA423" s="113"/>
      <c r="KB423" s="113"/>
      <c r="KC423" s="113"/>
      <c r="KD423" s="113"/>
      <c r="KE423" s="113"/>
      <c r="KF423" s="113"/>
      <c r="KG423" s="113"/>
      <c r="KH423" s="113"/>
      <c r="KI423" s="113"/>
      <c r="KJ423" s="113"/>
      <c r="KK423" s="113"/>
      <c r="KL423" s="113"/>
      <c r="KM423" s="113"/>
      <c r="KN423" s="113"/>
      <c r="KO423" s="113"/>
      <c r="KP423" s="113"/>
      <c r="KQ423" s="113"/>
      <c r="KR423" s="113"/>
      <c r="KS423" s="113"/>
      <c r="KT423" s="113"/>
      <c r="KU423" s="113"/>
      <c r="KV423" s="113"/>
      <c r="KW423" s="113"/>
      <c r="KX423" s="113"/>
      <c r="KY423" s="113"/>
      <c r="KZ423" s="113"/>
      <c r="LA423" s="113"/>
      <c r="LB423" s="113"/>
      <c r="LC423" s="113"/>
      <c r="LD423" s="113"/>
      <c r="LE423" s="113"/>
      <c r="LF423" s="113"/>
      <c r="LG423" s="113"/>
      <c r="LH423" s="113"/>
      <c r="LI423" s="113"/>
      <c r="LJ423" s="113"/>
      <c r="LK423" s="113"/>
      <c r="LL423" s="113"/>
      <c r="LM423" s="113"/>
      <c r="LN423" s="113"/>
      <c r="LO423" s="113"/>
      <c r="LP423" s="113"/>
      <c r="LQ423" s="113"/>
      <c r="LR423" s="113"/>
      <c r="LS423" s="113"/>
      <c r="LT423" s="113"/>
      <c r="LU423" s="113"/>
      <c r="LV423" s="113"/>
      <c r="LW423" s="113"/>
      <c r="LX423" s="113"/>
      <c r="LY423" s="113"/>
      <c r="LZ423" s="113"/>
      <c r="MA423" s="113"/>
      <c r="MB423" s="113"/>
      <c r="MC423" s="113"/>
      <c r="MD423" s="113"/>
      <c r="ME423" s="113"/>
      <c r="MF423" s="113"/>
      <c r="MG423" s="113"/>
      <c r="MH423" s="113"/>
      <c r="MI423" s="113"/>
      <c r="MJ423" s="113"/>
      <c r="MK423" s="113"/>
      <c r="ML423" s="113"/>
      <c r="MM423" s="113"/>
      <c r="MN423" s="113"/>
      <c r="MO423" s="113"/>
      <c r="MP423" s="113"/>
      <c r="MQ423" s="113"/>
      <c r="MR423" s="113"/>
      <c r="MS423" s="113"/>
      <c r="MT423" s="113"/>
      <c r="MU423" s="113"/>
      <c r="MV423" s="113"/>
      <c r="MW423" s="113"/>
      <c r="MX423" s="113"/>
      <c r="MY423" s="113"/>
      <c r="MZ423" s="113"/>
      <c r="NA423" s="113"/>
      <c r="NB423" s="113"/>
      <c r="NC423" s="113"/>
      <c r="ND423" s="113"/>
      <c r="NE423" s="113"/>
      <c r="NF423" s="113"/>
      <c r="NG423" s="113"/>
      <c r="NH423" s="113"/>
      <c r="NI423" s="113"/>
      <c r="NJ423" s="113"/>
      <c r="NK423" s="113"/>
      <c r="NL423" s="113"/>
      <c r="NM423" s="113"/>
      <c r="NN423" s="113"/>
      <c r="NO423" s="113"/>
      <c r="NP423" s="113"/>
      <c r="NQ423" s="113"/>
      <c r="NR423" s="113"/>
      <c r="NS423" s="113"/>
      <c r="NT423" s="113"/>
      <c r="NU423" s="113"/>
      <c r="NV423" s="113"/>
      <c r="NW423" s="113"/>
      <c r="NX423" s="113"/>
      <c r="NY423" s="113"/>
      <c r="NZ423" s="113"/>
      <c r="OA423" s="113"/>
      <c r="OB423" s="113"/>
      <c r="OC423" s="113"/>
      <c r="OD423" s="113"/>
      <c r="OE423" s="113"/>
      <c r="OF423" s="113"/>
      <c r="OG423" s="113"/>
      <c r="OH423" s="113"/>
      <c r="OI423" s="113"/>
      <c r="OJ423" s="113"/>
      <c r="OK423" s="113"/>
      <c r="OL423" s="113"/>
      <c r="OM423" s="113"/>
      <c r="ON423" s="113"/>
      <c r="OO423" s="113"/>
      <c r="OP423" s="113"/>
      <c r="OQ423" s="113"/>
      <c r="OR423" s="113"/>
      <c r="OS423" s="113"/>
      <c r="OT423" s="113"/>
      <c r="OU423" s="113"/>
      <c r="OV423" s="113"/>
      <c r="OW423" s="113"/>
      <c r="OX423" s="113"/>
      <c r="OY423" s="113"/>
      <c r="OZ423" s="113"/>
      <c r="PA423" s="113"/>
      <c r="PB423" s="113"/>
      <c r="PC423" s="113"/>
      <c r="PD423" s="113"/>
      <c r="PE423" s="113"/>
      <c r="PF423" s="113"/>
      <c r="PG423" s="113"/>
      <c r="PH423" s="113"/>
      <c r="PI423" s="113"/>
      <c r="PJ423" s="113"/>
      <c r="PK423" s="113"/>
      <c r="PL423" s="113"/>
      <c r="PM423" s="113"/>
      <c r="PN423" s="113"/>
      <c r="PO423" s="113"/>
      <c r="PP423" s="113"/>
      <c r="PQ423" s="113"/>
      <c r="PR423" s="113"/>
      <c r="PS423" s="113"/>
      <c r="PT423" s="113"/>
      <c r="PU423" s="113"/>
      <c r="PV423" s="113"/>
      <c r="PW423" s="113"/>
      <c r="PX423" s="113"/>
      <c r="PY423" s="113"/>
      <c r="PZ423" s="113"/>
      <c r="QA423" s="113"/>
      <c r="QB423" s="113"/>
      <c r="QC423" s="113"/>
      <c r="QD423" s="113"/>
      <c r="QE423" s="113"/>
      <c r="QF423" s="113"/>
      <c r="QG423" s="113"/>
      <c r="QH423" s="113"/>
      <c r="QI423" s="113"/>
      <c r="QJ423" s="113"/>
      <c r="QK423" s="113"/>
      <c r="QL423" s="113"/>
      <c r="QM423" s="113"/>
      <c r="QN423" s="113"/>
      <c r="QO423" s="113"/>
      <c r="QP423" s="113"/>
      <c r="QQ423" s="113"/>
      <c r="QR423" s="113"/>
      <c r="QS423" s="113"/>
      <c r="QT423" s="113"/>
      <c r="QU423" s="113"/>
      <c r="QV423" s="113"/>
      <c r="QW423" s="113"/>
      <c r="QX423" s="113"/>
      <c r="QY423" s="113"/>
      <c r="QZ423" s="113"/>
      <c r="RA423" s="113"/>
      <c r="RB423" s="113"/>
      <c r="RC423" s="113"/>
      <c r="RD423" s="113"/>
      <c r="RE423" s="113"/>
      <c r="RF423" s="113"/>
      <c r="RG423" s="113"/>
      <c r="RH423" s="113"/>
      <c r="RI423" s="113"/>
      <c r="RJ423" s="113"/>
      <c r="RK423" s="113"/>
      <c r="RL423" s="113"/>
      <c r="RM423" s="113"/>
      <c r="RN423" s="113"/>
      <c r="RO423" s="113"/>
      <c r="RP423" s="113"/>
      <c r="RQ423" s="113"/>
      <c r="RR423" s="113"/>
      <c r="RS423" s="113"/>
      <c r="RT423" s="113"/>
      <c r="RU423" s="113"/>
      <c r="RV423" s="113"/>
      <c r="RW423" s="113"/>
      <c r="RX423" s="113"/>
      <c r="RY423" s="113"/>
      <c r="RZ423" s="113"/>
      <c r="SA423" s="113"/>
      <c r="SB423" s="113"/>
      <c r="SC423" s="113"/>
      <c r="SD423" s="113"/>
      <c r="SE423" s="113"/>
      <c r="SF423" s="113"/>
      <c r="SG423" s="113"/>
      <c r="SH423" s="113"/>
      <c r="SI423" s="113"/>
      <c r="SJ423" s="113"/>
      <c r="SK423" s="113"/>
      <c r="SL423" s="113"/>
      <c r="SM423" s="113"/>
      <c r="SN423" s="113"/>
      <c r="SO423" s="113"/>
      <c r="SP423" s="113"/>
      <c r="SQ423" s="113"/>
      <c r="SR423" s="113"/>
      <c r="SS423" s="113"/>
      <c r="ST423" s="113"/>
      <c r="SU423" s="113"/>
      <c r="SV423" s="113"/>
      <c r="SW423" s="113"/>
      <c r="SX423" s="113"/>
      <c r="SY423" s="113"/>
      <c r="SZ423" s="113"/>
      <c r="TA423" s="113"/>
      <c r="TB423" s="113"/>
      <c r="TC423" s="113"/>
      <c r="TD423" s="113"/>
      <c r="TE423" s="113"/>
      <c r="TF423" s="113"/>
      <c r="TG423" s="113"/>
      <c r="TH423" s="113"/>
      <c r="TI423" s="113"/>
      <c r="TJ423" s="113"/>
      <c r="TK423" s="113"/>
      <c r="TL423" s="113"/>
      <c r="TM423" s="113"/>
      <c r="TN423" s="113"/>
      <c r="TO423" s="113"/>
      <c r="TP423" s="113"/>
      <c r="TQ423" s="113"/>
      <c r="TR423" s="113"/>
      <c r="TS423" s="113"/>
      <c r="TT423" s="113"/>
      <c r="TU423" s="113"/>
      <c r="TV423" s="113"/>
      <c r="TW423" s="113"/>
      <c r="TX423" s="113"/>
      <c r="TY423" s="113"/>
      <c r="TZ423" s="113"/>
      <c r="UA423" s="113"/>
      <c r="UB423" s="113"/>
      <c r="UC423" s="113"/>
      <c r="UD423" s="113"/>
      <c r="UE423" s="113"/>
      <c r="UF423" s="113"/>
      <c r="UG423" s="113"/>
      <c r="UH423" s="113"/>
      <c r="UI423" s="113"/>
      <c r="UJ423" s="113"/>
      <c r="UK423" s="113"/>
      <c r="UL423" s="113"/>
      <c r="UM423" s="113"/>
      <c r="UN423" s="113"/>
      <c r="UO423" s="113"/>
      <c r="UP423" s="113"/>
      <c r="UQ423" s="113"/>
      <c r="UR423" s="113"/>
      <c r="US423" s="113"/>
      <c r="UT423" s="113"/>
      <c r="UU423" s="113"/>
      <c r="UV423" s="113"/>
      <c r="UW423" s="113"/>
      <c r="UX423" s="113"/>
      <c r="UY423" s="113"/>
      <c r="UZ423" s="113"/>
      <c r="VA423" s="113"/>
      <c r="VB423" s="113"/>
      <c r="VC423" s="113"/>
      <c r="VD423" s="113"/>
      <c r="VE423" s="113"/>
      <c r="VF423" s="113"/>
      <c r="VG423" s="113"/>
      <c r="VH423" s="113"/>
      <c r="VI423" s="113"/>
      <c r="VJ423" s="113"/>
      <c r="VK423" s="113"/>
      <c r="VL423" s="113"/>
      <c r="VM423" s="113"/>
      <c r="VN423" s="113"/>
      <c r="VO423" s="113"/>
      <c r="VP423" s="113"/>
      <c r="VQ423" s="113"/>
      <c r="VR423" s="113"/>
      <c r="VS423" s="113"/>
      <c r="VT423" s="113"/>
      <c r="VU423" s="113"/>
      <c r="VV423" s="113"/>
      <c r="VW423" s="113"/>
      <c r="VX423" s="113"/>
      <c r="VY423" s="113"/>
      <c r="VZ423" s="113"/>
      <c r="WA423" s="113"/>
      <c r="WB423" s="113"/>
      <c r="WC423" s="113"/>
      <c r="WD423" s="113"/>
      <c r="WE423" s="113"/>
      <c r="WF423" s="113"/>
      <c r="WG423" s="113"/>
      <c r="WH423" s="113"/>
      <c r="WI423" s="113"/>
      <c r="WJ423" s="113"/>
      <c r="WK423" s="113"/>
      <c r="WL423" s="113"/>
      <c r="WM423" s="113"/>
      <c r="WN423" s="113"/>
      <c r="WO423" s="113"/>
      <c r="WP423" s="113"/>
      <c r="WQ423" s="113"/>
      <c r="WR423" s="113"/>
      <c r="WS423" s="113"/>
      <c r="WT423" s="113"/>
      <c r="WU423" s="113"/>
      <c r="WV423" s="113"/>
      <c r="WW423" s="113"/>
      <c r="WX423" s="113"/>
      <c r="WY423" s="113"/>
      <c r="WZ423" s="113"/>
      <c r="XA423" s="113"/>
      <c r="XB423" s="113"/>
      <c r="XC423" s="113"/>
      <c r="XD423" s="113"/>
      <c r="XE423" s="113"/>
      <c r="XF423" s="113"/>
      <c r="XG423" s="113"/>
      <c r="XH423" s="113"/>
      <c r="XI423" s="113"/>
      <c r="XJ423" s="113"/>
      <c r="XK423" s="113"/>
      <c r="XL423" s="113"/>
      <c r="XM423" s="113"/>
      <c r="XN423" s="113"/>
      <c r="XO423" s="113"/>
      <c r="XP423" s="113"/>
      <c r="XQ423" s="113"/>
      <c r="XR423" s="113"/>
      <c r="XS423" s="113"/>
      <c r="XT423" s="113"/>
      <c r="XU423" s="113"/>
      <c r="XV423" s="113"/>
      <c r="XW423" s="113"/>
      <c r="XX423" s="113"/>
      <c r="XY423" s="113"/>
      <c r="XZ423" s="113"/>
      <c r="YA423" s="113"/>
      <c r="YB423" s="113"/>
      <c r="YC423" s="113"/>
      <c r="YD423" s="113"/>
      <c r="YE423" s="113"/>
      <c r="YF423" s="113"/>
      <c r="YG423" s="113"/>
      <c r="YH423" s="113"/>
      <c r="YI423" s="113"/>
      <c r="YJ423" s="113"/>
      <c r="YK423" s="113"/>
      <c r="YL423" s="113"/>
      <c r="YM423" s="113"/>
      <c r="YN423" s="113"/>
      <c r="YO423" s="113"/>
      <c r="YP423" s="113"/>
      <c r="YQ423" s="113"/>
      <c r="YR423" s="113"/>
      <c r="YS423" s="113"/>
      <c r="YT423" s="113"/>
      <c r="YU423" s="113"/>
      <c r="YV423" s="113"/>
      <c r="YW423" s="113"/>
      <c r="YX423" s="113"/>
      <c r="YY423" s="113"/>
      <c r="YZ423" s="113"/>
      <c r="ZA423" s="113"/>
      <c r="ZB423" s="113"/>
      <c r="ZC423" s="113"/>
      <c r="ZD423" s="113"/>
      <c r="ZE423" s="113"/>
      <c r="ZF423" s="113"/>
      <c r="ZG423" s="113"/>
      <c r="ZH423" s="113"/>
      <c r="ZI423" s="113"/>
      <c r="ZJ423" s="113"/>
      <c r="ZK423" s="113"/>
      <c r="ZL423" s="113"/>
      <c r="ZM423" s="113"/>
      <c r="ZN423" s="113"/>
      <c r="ZO423" s="113"/>
      <c r="ZP423" s="113"/>
      <c r="ZQ423" s="113"/>
      <c r="ZR423" s="113"/>
      <c r="ZS423" s="113"/>
      <c r="ZT423" s="113"/>
      <c r="ZU423" s="113"/>
      <c r="ZV423" s="113"/>
      <c r="ZW423" s="113"/>
      <c r="ZX423" s="113"/>
      <c r="ZY423" s="113"/>
      <c r="ZZ423" s="113"/>
      <c r="AAA423" s="113"/>
      <c r="AAB423" s="113"/>
      <c r="AAC423" s="113"/>
      <c r="AAD423" s="113"/>
      <c r="AAE423" s="113"/>
      <c r="AAF423" s="113"/>
      <c r="AAG423" s="113"/>
      <c r="AAH423" s="113"/>
      <c r="AAI423" s="113"/>
      <c r="AAJ423" s="113"/>
      <c r="AAK423" s="113"/>
      <c r="AAL423" s="113"/>
      <c r="AAM423" s="113"/>
      <c r="AAN423" s="113"/>
      <c r="AAO423" s="113"/>
      <c r="AAP423" s="113"/>
      <c r="AAQ423" s="113"/>
      <c r="AAR423" s="113"/>
      <c r="AAS423" s="113"/>
      <c r="AAT423" s="113"/>
      <c r="AAU423" s="113"/>
      <c r="AAV423" s="113"/>
      <c r="AAW423" s="113"/>
      <c r="AAX423" s="113"/>
      <c r="AAY423" s="113"/>
      <c r="AAZ423" s="113"/>
      <c r="ABA423" s="113"/>
      <c r="ABB423" s="113"/>
      <c r="ABC423" s="113"/>
      <c r="ABD423" s="113"/>
      <c r="ABE423" s="113"/>
      <c r="ABF423" s="113"/>
      <c r="ABG423" s="113"/>
      <c r="ABH423" s="113"/>
      <c r="ABI423" s="113"/>
      <c r="ABJ423" s="113"/>
      <c r="ABK423" s="113"/>
      <c r="ABL423" s="113"/>
      <c r="ABM423" s="113"/>
      <c r="ABN423" s="113"/>
      <c r="ABO423" s="113"/>
      <c r="ABP423" s="113"/>
      <c r="ABQ423" s="113"/>
      <c r="ABR423" s="113"/>
      <c r="ABS423" s="113"/>
      <c r="ABT423" s="113"/>
      <c r="ABU423" s="113"/>
      <c r="ABV423" s="113"/>
      <c r="ABW423" s="113"/>
      <c r="ABX423" s="113"/>
      <c r="ABY423" s="113"/>
      <c r="ABZ423" s="113"/>
      <c r="ACA423" s="113"/>
      <c r="ACB423" s="113"/>
      <c r="ACC423" s="113"/>
      <c r="ACD423" s="113"/>
      <c r="ACE423" s="113"/>
      <c r="ACF423" s="113"/>
      <c r="ACG423" s="113"/>
      <c r="ACH423" s="113"/>
      <c r="ACI423" s="113"/>
      <c r="ACJ423" s="113"/>
      <c r="ACK423" s="113"/>
      <c r="ACL423" s="113"/>
      <c r="ACM423" s="113"/>
      <c r="ACN423" s="113"/>
      <c r="ACO423" s="113"/>
      <c r="ACP423" s="113"/>
      <c r="ACQ423" s="113"/>
      <c r="ACR423" s="113"/>
      <c r="ACS423" s="113"/>
      <c r="ACT423" s="113"/>
      <c r="ACU423" s="113"/>
      <c r="ACV423" s="113"/>
      <c r="ACW423" s="113"/>
      <c r="ACX423" s="113"/>
      <c r="ACY423" s="113"/>
      <c r="ACZ423" s="113"/>
      <c r="ADA423" s="113"/>
      <c r="ADB423" s="113"/>
      <c r="ADC423" s="113"/>
      <c r="ADD423" s="113"/>
      <c r="ADE423" s="113"/>
      <c r="ADF423" s="113"/>
      <c r="ADG423" s="113"/>
      <c r="ADH423" s="113"/>
      <c r="ADI423" s="113"/>
      <c r="ADJ423" s="113"/>
      <c r="ADK423" s="113"/>
      <c r="ADL423" s="113"/>
      <c r="ADM423" s="113"/>
      <c r="ADN423" s="113"/>
      <c r="ADO423" s="113"/>
      <c r="ADP423" s="113"/>
      <c r="ADQ423" s="113"/>
      <c r="ADR423" s="113"/>
      <c r="ADS423" s="113"/>
      <c r="ADT423" s="113"/>
      <c r="ADU423" s="113"/>
      <c r="ADV423" s="113"/>
      <c r="ADW423" s="113"/>
      <c r="ADX423" s="113"/>
      <c r="ADY423" s="113"/>
      <c r="ADZ423" s="113"/>
      <c r="AEA423" s="113"/>
      <c r="AEB423" s="113"/>
      <c r="AEC423" s="113"/>
      <c r="AED423" s="113"/>
      <c r="AEE423" s="113"/>
      <c r="AEF423" s="113"/>
      <c r="AEG423" s="113"/>
      <c r="AEH423" s="113"/>
      <c r="AEI423" s="113"/>
      <c r="AEJ423" s="113"/>
      <c r="AEK423" s="113"/>
      <c r="AEL423" s="113"/>
      <c r="AEM423" s="113"/>
      <c r="AEN423" s="113"/>
      <c r="AEO423" s="113"/>
      <c r="AEP423" s="113"/>
      <c r="AEQ423" s="113"/>
      <c r="AER423" s="113"/>
      <c r="AES423" s="113"/>
      <c r="AET423" s="113"/>
      <c r="AEU423" s="113"/>
      <c r="AEV423" s="113"/>
      <c r="AEW423" s="113"/>
      <c r="AEX423" s="113"/>
      <c r="AEY423" s="113"/>
      <c r="AEZ423" s="113"/>
      <c r="AFA423" s="113"/>
      <c r="AFB423" s="113"/>
      <c r="AFC423" s="113"/>
      <c r="AFD423" s="113"/>
      <c r="AFE423" s="113"/>
      <c r="AFF423" s="113"/>
      <c r="AFG423" s="113"/>
      <c r="AFH423" s="113"/>
      <c r="AFI423" s="113"/>
      <c r="AFJ423" s="113"/>
      <c r="AFK423" s="113"/>
      <c r="AFL423" s="113"/>
      <c r="AFM423" s="113"/>
      <c r="AFN423" s="113"/>
      <c r="AFO423" s="113"/>
      <c r="AFP423" s="113"/>
      <c r="AFQ423" s="113"/>
      <c r="AFR423" s="113"/>
      <c r="AFS423" s="113"/>
      <c r="AFT423" s="113"/>
      <c r="AFU423" s="113"/>
      <c r="AFV423" s="113"/>
      <c r="AFW423" s="113"/>
      <c r="AFX423" s="113"/>
      <c r="AFY423" s="113"/>
      <c r="AFZ423" s="113"/>
      <c r="AGA423" s="113"/>
      <c r="AGB423" s="113"/>
      <c r="AGC423" s="113"/>
      <c r="AGD423" s="113"/>
      <c r="AGE423" s="113"/>
      <c r="AGF423" s="113"/>
      <c r="AGG423" s="113"/>
      <c r="AGH423" s="113"/>
      <c r="AGI423" s="113"/>
      <c r="AGJ423" s="113"/>
      <c r="AGK423" s="113"/>
      <c r="AGL423" s="113"/>
      <c r="AGM423" s="113"/>
      <c r="AGN423" s="113"/>
      <c r="AGO423" s="113"/>
      <c r="AGP423" s="113"/>
      <c r="AGQ423" s="113"/>
      <c r="AGR423" s="113"/>
      <c r="AGS423" s="113"/>
      <c r="AGT423" s="113"/>
      <c r="AGU423" s="113"/>
      <c r="AGV423" s="113"/>
      <c r="AGW423" s="113"/>
      <c r="AGX423" s="113"/>
      <c r="AGY423" s="113"/>
      <c r="AGZ423" s="113"/>
      <c r="AHA423" s="113"/>
      <c r="AHB423" s="113"/>
      <c r="AHC423" s="113"/>
      <c r="AHD423" s="113"/>
      <c r="AHE423" s="113"/>
      <c r="AHF423" s="113"/>
      <c r="AHG423" s="113"/>
      <c r="AHH423" s="113"/>
      <c r="AHI423" s="113"/>
      <c r="AHJ423" s="113"/>
      <c r="AHK423" s="113"/>
      <c r="AHL423" s="113"/>
      <c r="AHM423" s="113"/>
      <c r="AHN423" s="113"/>
      <c r="AHO423" s="113"/>
      <c r="AHP423" s="113"/>
      <c r="AHQ423" s="113"/>
      <c r="AHR423" s="113"/>
      <c r="AHS423" s="113"/>
      <c r="AHT423" s="113"/>
      <c r="AHU423" s="113"/>
      <c r="AHV423" s="113"/>
      <c r="AHW423" s="113"/>
      <c r="AHX423" s="113"/>
      <c r="AHY423" s="113"/>
      <c r="AHZ423" s="113"/>
      <c r="AIA423" s="113"/>
      <c r="AIB423" s="113"/>
      <c r="AIC423" s="113"/>
      <c r="AID423" s="113"/>
      <c r="AIE423" s="113"/>
      <c r="AIF423" s="113"/>
      <c r="AIG423" s="113"/>
      <c r="AIH423" s="113"/>
      <c r="AII423" s="113"/>
      <c r="AIJ423" s="113"/>
      <c r="AIK423" s="113"/>
      <c r="AIL423" s="113"/>
      <c r="AIM423" s="113"/>
      <c r="AIN423" s="113"/>
      <c r="AIO423" s="113"/>
      <c r="AIP423" s="113"/>
      <c r="AIQ423" s="113"/>
      <c r="AIR423" s="113"/>
      <c r="AIS423" s="113"/>
      <c r="AIT423" s="113"/>
      <c r="AIU423" s="113"/>
      <c r="AIV423" s="113"/>
      <c r="AIW423" s="113"/>
      <c r="AIX423" s="113"/>
      <c r="AIY423" s="113"/>
      <c r="AIZ423" s="113"/>
    </row>
    <row r="424">
      <c r="A424" s="65" t="s">
        <v>67</v>
      </c>
      <c r="B424" s="65" t="s">
        <v>68</v>
      </c>
      <c r="C424" s="65"/>
      <c r="D424" s="64">
        <f t="shared" si="1"/>
        <v>479.6806</v>
      </c>
      <c r="F424" s="65">
        <v>13.06205</v>
      </c>
      <c r="G424" s="65">
        <v>6.01723333333333</v>
      </c>
      <c r="H424" s="65">
        <v>4.43545</v>
      </c>
      <c r="I424" s="65">
        <v>2.39288333333333</v>
      </c>
      <c r="J424" s="65">
        <v>3.17758333333333</v>
      </c>
      <c r="K424" s="65">
        <v>10.0576166666667</v>
      </c>
      <c r="N424" s="65">
        <v>2.81696666666667</v>
      </c>
      <c r="Q424" s="65">
        <v>29.17725</v>
      </c>
      <c r="R424" s="65">
        <v>34.6353166666667</v>
      </c>
      <c r="S424" s="65">
        <v>18.1218166666667</v>
      </c>
      <c r="T424" s="65">
        <v>21.4283</v>
      </c>
      <c r="U424" s="65">
        <v>106.905633333333</v>
      </c>
      <c r="X424" s="65">
        <v>0.3628</v>
      </c>
      <c r="Y424" s="65">
        <v>7.23016666666667</v>
      </c>
      <c r="Z424" s="65">
        <v>10.1576666666667</v>
      </c>
      <c r="AA424" s="65">
        <v>3.08681666666667</v>
      </c>
      <c r="AB424" s="65">
        <v>7.18053333333333</v>
      </c>
      <c r="AF424" s="65">
        <v>51.2662833333333</v>
      </c>
      <c r="AG424" s="65">
        <v>9.5974</v>
      </c>
      <c r="AH424" s="65">
        <v>1.8523</v>
      </c>
      <c r="AI424" s="65">
        <v>20.3080166666667</v>
      </c>
      <c r="AL424" s="65">
        <v>22.09715</v>
      </c>
      <c r="AM424" s="65">
        <v>13.1358</v>
      </c>
      <c r="AN424" s="65">
        <v>26.1435833333333</v>
      </c>
      <c r="AQ424" s="65">
        <v>4.80495</v>
      </c>
      <c r="AR424" s="65">
        <v>10.4803666666667</v>
      </c>
      <c r="AU424" s="65">
        <v>39.7486666666667</v>
      </c>
    </row>
    <row r="425">
      <c r="A425" s="65" t="s">
        <v>67</v>
      </c>
      <c r="B425" s="65" t="s">
        <v>68</v>
      </c>
      <c r="C425" s="65"/>
      <c r="D425" s="64">
        <f t="shared" si="1"/>
        <v>0</v>
      </c>
    </row>
    <row r="426">
      <c r="A426" s="65" t="s">
        <v>67</v>
      </c>
      <c r="B426" s="65" t="s">
        <v>68</v>
      </c>
      <c r="C426" s="65"/>
      <c r="D426" s="64">
        <f t="shared" si="1"/>
        <v>437.8760167</v>
      </c>
      <c r="F426" s="118">
        <f>HYPERLINK("https://docs.google.com/spreadsheets/d/1IG4UoG-BmimjBWcdSrLfrFsUW1VvZzgy", 7.48553333333333)</f>
        <v>7.485533333</v>
      </c>
      <c r="G426" s="118">
        <f>HYPERLINK("https://docs.google.com/spreadsheets/d/1SCl7ghau5MOfDR6jlcIYhUXEPpSHKSSH", 6.01723333333333)</f>
        <v>6.017233333</v>
      </c>
      <c r="H426" s="118">
        <f>HYPERLINK("https://docs.google.com/spreadsheets/d/1GMa5SnyAVP9J2eTiihdaugVfNZjyGwt4", 4.43545)</f>
        <v>4.43545</v>
      </c>
      <c r="I426" s="118">
        <f>HYPERLINK("https://docs.google.com/spreadsheets/d/1A4m4eTfwTDqM8qT0H6ohLT7VhHeNjBE3", 2.39286666666667)</f>
        <v>2.392866667</v>
      </c>
      <c r="J426" s="118">
        <f>HYPERLINK("https://docs.google.com/spreadsheets/d/1WuidY3hy9nLvGdjuW-RFx8j_X7XirxKH", 2.42888333333333)</f>
        <v>2.428883333</v>
      </c>
      <c r="K426" s="118">
        <f>HYPERLINK("https://docs.google.com/spreadsheets/d/1cVh2kspAWOVucXVrc0X1KvsUh1BiB3WW", 9.60833333333333)</f>
        <v>9.608333333</v>
      </c>
      <c r="N426" s="118">
        <f>HYPERLINK("https://docs.google.com/spreadsheets/d/1jLnRdcVcgblxA-ooqcs9Kn9NSTIo_dTu", 2.81696666666667)</f>
        <v>2.816966667</v>
      </c>
      <c r="Q426" s="118">
        <f>HYPERLINK("https://docs.google.com/spreadsheets/d/1SEOl0DftsvJUOJoCaqfDGVkqWzP_sYsv", 18.9067166666667)</f>
        <v>18.90671667</v>
      </c>
      <c r="R426" s="118">
        <f>HYPERLINK("https://docs.google.com/spreadsheets/d/1Sjc1-6ryT_Zb2ovqVR3pNp49z5oheY69", 34.215)</f>
        <v>34.215</v>
      </c>
      <c r="S426" s="118">
        <f>HYPERLINK("https://docs.google.com/spreadsheets/d/1pu-BFrUVLCnhCfBVHXdZJzHRnqQbCgUZ", 18.1218166666667)</f>
        <v>18.12181667</v>
      </c>
      <c r="T426" s="118">
        <f>HYPERLINK("https://docs.google.com/spreadsheets/d/1G-5NTRB4w6hoWSMLEatfEi96TADR32ze", 15.5014333333333)</f>
        <v>15.50143333</v>
      </c>
      <c r="U426" s="118">
        <f>HYPERLINK("https://docs.google.com/spreadsheets/d/1xKt-4pp9kfD0c1cDuerNWTUrwAszq8Nb", 106.303283333333)</f>
        <v>106.3032833</v>
      </c>
      <c r="X426" s="118">
        <f>HYPERLINK("https://docs.google.com/spreadsheets/d/1riL_YDgGeImD7YQxh72vWcIwAMZJNn9m", 0.198466666666667)</f>
        <v>0.1984666667</v>
      </c>
      <c r="Y426" s="118">
        <f>HYPERLINK("https://docs.google.com/spreadsheets/d/1tU3gI0CWLZoPc6UKIar_lCtpZBteG4x0", 7.23016666666667)</f>
        <v>7.230166667</v>
      </c>
      <c r="Z426" s="118">
        <f>HYPERLINK("https://docs.google.com/spreadsheets/d/1rg5CzJZZbXGORE3F2TuO-xSpISzsy6zj", 10.15765)</f>
        <v>10.15765</v>
      </c>
      <c r="AA426" s="118">
        <f>HYPERLINK("https://docs.google.com/spreadsheets/d/1DWHOtEEkE3cZA0rnOtDUJ-SmEGOU6Pj2", 2.36343333333333)</f>
        <v>2.363433333</v>
      </c>
      <c r="AB426" s="118">
        <f>HYPERLINK("https://docs.google.com/spreadsheets/d/1vS0D7HnJNUA_FP9x1sj5G9Fv1SAxuT35", 7.18048333333333)</f>
        <v>7.180483333</v>
      </c>
      <c r="AF426" s="118">
        <f>HYPERLINK("https://docs.google.com/spreadsheets/d/1JZ4fg5pfjyg5iaF56jS2xmA8Klnr1_oP", 51.2662666666667)</f>
        <v>51.26626667</v>
      </c>
      <c r="AG426" s="118">
        <f>HYPERLINK("https://docs.google.com/spreadsheets/d/1pw6LgWMYIyJfsW8c99qIQP72MlgUO72Z", 9.5974)</f>
        <v>9.5974</v>
      </c>
      <c r="AH426" s="118">
        <f>HYPERLINK("https://docs.google.com/spreadsheets/d/1wTShcYOZnoW8J-cD4JoYdqo-r3vd4GCW", 1.8523)</f>
        <v>1.8523</v>
      </c>
      <c r="AI426" s="118">
        <f>HYPERLINK("https://docs.google.com/spreadsheets/d/1JQesny0dHDWoJMsPIqHcbmusvz3WzTbj", 20.3079666666667)</f>
        <v>20.30796667</v>
      </c>
      <c r="AL426" s="118">
        <f>HYPERLINK("https://docs.google.com/spreadsheets/d/1RaquXrCZ_lSG0aDhOn7kU0w1eNZ_ZOLb", 6.83345)</f>
        <v>6.83345</v>
      </c>
      <c r="AM426" s="118">
        <f>HYPERLINK("https://docs.google.com/spreadsheets/d/18ESJoXUqTux8GFlGbic3OvtZuvKOTQmU", 12.5169666666667)</f>
        <v>12.51696667</v>
      </c>
      <c r="AN426" s="118">
        <f>HYPERLINK("https://docs.google.com/spreadsheets/d/1tcHR-lQ8koFuuWCgA-gOfP9IYF1UmG9p", 26.14355)</f>
        <v>26.14355</v>
      </c>
      <c r="AQ426" s="118">
        <f>HYPERLINK("https://docs.google.com/spreadsheets/d/1qbwiTmkN2QFTcv-0QdQckE_tZwHWGYgS", 3.97065)</f>
        <v>3.97065</v>
      </c>
      <c r="AR426" s="118">
        <f>HYPERLINK("https://docs.google.com/spreadsheets/d/12ZsuPgnNyReu5P1Xlso9fDEK-uhQfRoX", 10.2750833333333)</f>
        <v>10.27508333</v>
      </c>
      <c r="AU426" s="118">
        <f>HYPERLINK("https://docs.google.com/spreadsheets/d/1LSLjNgac2TOJsfLMCW2z_m12xLLwCpYh", 39.7486666666667)</f>
        <v>39.74866667</v>
      </c>
    </row>
    <row r="427">
      <c r="A427" s="65" t="s">
        <v>67</v>
      </c>
      <c r="B427" s="65" t="s">
        <v>68</v>
      </c>
      <c r="C427" s="65"/>
      <c r="D427" s="64">
        <f t="shared" si="1"/>
        <v>204.9983</v>
      </c>
      <c r="F427" s="65">
        <v>1.79165</v>
      </c>
      <c r="G427" s="65">
        <v>2.66258333333333</v>
      </c>
      <c r="H427" s="65">
        <v>0.923966666666667</v>
      </c>
      <c r="I427" s="65">
        <v>0.1714</v>
      </c>
      <c r="J427" s="65">
        <v>0.0</v>
      </c>
      <c r="K427" s="65">
        <v>1.3292</v>
      </c>
      <c r="N427" s="65">
        <v>2.0471</v>
      </c>
      <c r="Q427" s="65">
        <v>12.3545</v>
      </c>
      <c r="R427" s="65">
        <v>21.0514333333333</v>
      </c>
      <c r="S427" s="65">
        <v>10.1771666666667</v>
      </c>
      <c r="T427" s="65">
        <v>4.03996666666667</v>
      </c>
      <c r="U427" s="65">
        <v>48.6966333333334</v>
      </c>
      <c r="X427" s="65">
        <v>0.0</v>
      </c>
      <c r="Y427" s="65">
        <v>3.41896666666667</v>
      </c>
      <c r="Z427" s="65">
        <v>5.00896666666667</v>
      </c>
      <c r="AA427" s="65">
        <v>0.57495</v>
      </c>
      <c r="AB427" s="65">
        <v>2.83396666666667</v>
      </c>
      <c r="AF427" s="65">
        <v>27.7029333333333</v>
      </c>
      <c r="AG427" s="65">
        <v>4.28301666666667</v>
      </c>
      <c r="AH427" s="65">
        <v>0.893416666666667</v>
      </c>
      <c r="AI427" s="65">
        <v>11.29195</v>
      </c>
      <c r="AL427" s="65">
        <v>2.6407</v>
      </c>
      <c r="AM427" s="65">
        <v>3.0947</v>
      </c>
      <c r="AN427" s="65">
        <v>5.03043333333333</v>
      </c>
      <c r="AQ427" s="65">
        <v>2.2546</v>
      </c>
      <c r="AR427" s="65">
        <v>6.17408333333333</v>
      </c>
      <c r="AU427" s="65">
        <v>24.5500166666667</v>
      </c>
    </row>
    <row r="428">
      <c r="A428" s="119" t="s">
        <v>67</v>
      </c>
      <c r="B428" s="119" t="s">
        <v>68</v>
      </c>
      <c r="C428" s="119"/>
      <c r="D428" s="120">
        <f t="shared" si="1"/>
        <v>0</v>
      </c>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120"/>
      <c r="AM428" s="120"/>
      <c r="AN428" s="120"/>
      <c r="AO428" s="120"/>
      <c r="AP428" s="120"/>
      <c r="AQ428" s="120"/>
      <c r="AR428" s="120"/>
      <c r="AS428" s="120"/>
      <c r="AT428" s="120"/>
      <c r="AU428" s="120"/>
      <c r="AV428" s="120"/>
      <c r="AW428" s="120"/>
      <c r="AX428" s="120"/>
      <c r="AY428" s="120"/>
      <c r="AZ428" s="120"/>
      <c r="BA428" s="120"/>
      <c r="BB428" s="120"/>
      <c r="BC428" s="120"/>
      <c r="BD428" s="120"/>
      <c r="BE428" s="120"/>
      <c r="BF428" s="120"/>
      <c r="BG428" s="120"/>
      <c r="BH428" s="120"/>
      <c r="BI428" s="120"/>
      <c r="BJ428" s="120"/>
      <c r="BK428" s="120"/>
      <c r="BL428" s="120"/>
      <c r="BM428" s="120"/>
      <c r="BN428" s="120"/>
      <c r="BO428" s="120"/>
      <c r="BP428" s="120"/>
      <c r="BQ428" s="120"/>
      <c r="BR428" s="120"/>
      <c r="BS428" s="120"/>
      <c r="BT428" s="120"/>
      <c r="BU428" s="120"/>
      <c r="BV428" s="120"/>
      <c r="BW428" s="120"/>
      <c r="BX428" s="120"/>
      <c r="BY428" s="120"/>
      <c r="BZ428" s="120"/>
      <c r="CA428" s="120"/>
      <c r="CB428" s="120"/>
      <c r="CC428" s="120"/>
      <c r="CD428" s="120"/>
      <c r="CE428" s="120"/>
      <c r="CF428" s="120"/>
      <c r="CG428" s="120"/>
      <c r="CH428" s="120"/>
      <c r="CI428" s="120"/>
      <c r="CJ428" s="120"/>
      <c r="CK428" s="120"/>
      <c r="CL428" s="120"/>
      <c r="CM428" s="120"/>
      <c r="CN428" s="120"/>
      <c r="CO428" s="120"/>
      <c r="CP428" s="120"/>
      <c r="CQ428" s="120"/>
      <c r="CR428" s="120"/>
      <c r="CS428" s="120"/>
      <c r="CT428" s="120"/>
      <c r="CU428" s="120"/>
      <c r="CV428" s="120"/>
      <c r="CW428" s="120"/>
      <c r="CX428" s="120"/>
      <c r="CY428" s="120"/>
      <c r="CZ428" s="120"/>
      <c r="DA428" s="120"/>
      <c r="DB428" s="120"/>
      <c r="DC428" s="120"/>
      <c r="DD428" s="120"/>
      <c r="DE428" s="120"/>
      <c r="DF428" s="120"/>
      <c r="DG428" s="120"/>
      <c r="DH428" s="120"/>
      <c r="DI428" s="120"/>
      <c r="DJ428" s="120"/>
      <c r="DK428" s="120"/>
      <c r="DL428" s="120"/>
      <c r="DM428" s="120"/>
      <c r="DN428" s="120"/>
      <c r="DO428" s="120"/>
      <c r="DP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120"/>
      <c r="EK428" s="120"/>
      <c r="EL428" s="120"/>
      <c r="EM428" s="120"/>
      <c r="EN428" s="120"/>
      <c r="EO428" s="120"/>
      <c r="EP428" s="120"/>
      <c r="EQ428" s="120"/>
      <c r="ER428" s="120"/>
      <c r="ES428" s="120"/>
      <c r="ET428" s="120"/>
      <c r="EU428" s="120"/>
      <c r="EV428" s="120"/>
      <c r="EW428" s="120"/>
      <c r="EX428" s="120"/>
      <c r="EY428" s="120"/>
      <c r="EZ428" s="120"/>
      <c r="FA428" s="120"/>
      <c r="FB428" s="120"/>
      <c r="FC428" s="120"/>
      <c r="FD428" s="120"/>
      <c r="FE428" s="120"/>
      <c r="FF428" s="120"/>
      <c r="FG428" s="120"/>
      <c r="FH428" s="120"/>
      <c r="FI428" s="120"/>
      <c r="FJ428" s="120"/>
      <c r="FK428" s="120"/>
      <c r="FL428" s="120"/>
      <c r="FM428" s="120"/>
      <c r="FN428" s="120"/>
      <c r="FO428" s="120"/>
      <c r="FP428" s="120"/>
      <c r="FQ428" s="120"/>
      <c r="FR428" s="120"/>
      <c r="FS428" s="120"/>
      <c r="FT428" s="120"/>
      <c r="FU428" s="120"/>
      <c r="FV428" s="120"/>
      <c r="FW428" s="120"/>
      <c r="FX428" s="120"/>
      <c r="FY428" s="120"/>
      <c r="FZ428" s="120"/>
      <c r="GA428" s="120"/>
      <c r="GB428" s="120"/>
      <c r="GC428" s="120"/>
      <c r="GD428" s="120"/>
      <c r="GE428" s="120"/>
      <c r="GF428" s="120"/>
      <c r="GG428" s="120"/>
      <c r="GH428" s="120"/>
      <c r="GI428" s="120"/>
      <c r="GJ428" s="120"/>
      <c r="GK428" s="120"/>
      <c r="GL428" s="120"/>
      <c r="GM428" s="120"/>
      <c r="GN428" s="120"/>
      <c r="GO428" s="120"/>
      <c r="GP428" s="120"/>
      <c r="GQ428" s="120"/>
      <c r="GR428" s="120"/>
      <c r="GS428" s="120"/>
      <c r="GT428" s="120"/>
      <c r="GU428" s="120"/>
      <c r="GV428" s="120"/>
      <c r="GW428" s="120"/>
      <c r="GX428" s="120"/>
      <c r="GY428" s="120"/>
      <c r="GZ428" s="120"/>
      <c r="HA428" s="120"/>
      <c r="HB428" s="120"/>
      <c r="HC428" s="120"/>
      <c r="HD428" s="120"/>
      <c r="HE428" s="120"/>
      <c r="HF428" s="120"/>
      <c r="HG428" s="120"/>
      <c r="HH428" s="120"/>
      <c r="HI428" s="120"/>
      <c r="HJ428" s="120"/>
      <c r="HK428" s="120"/>
      <c r="HL428" s="120"/>
      <c r="HM428" s="120"/>
      <c r="HN428" s="120"/>
      <c r="HO428" s="120"/>
      <c r="HP428" s="120"/>
      <c r="HQ428" s="120"/>
      <c r="HR428" s="120"/>
      <c r="HS428" s="120"/>
      <c r="HT428" s="120"/>
      <c r="HU428" s="120"/>
      <c r="HV428" s="120"/>
      <c r="HW428" s="120"/>
      <c r="HX428" s="120"/>
      <c r="HY428" s="120"/>
      <c r="HZ428" s="120"/>
      <c r="IA428" s="120"/>
      <c r="IB428" s="120"/>
      <c r="IC428" s="120"/>
      <c r="ID428" s="120"/>
      <c r="IE428" s="120"/>
      <c r="IF428" s="120"/>
      <c r="IG428" s="120"/>
      <c r="IH428" s="120"/>
      <c r="II428" s="120"/>
      <c r="IJ428" s="120"/>
      <c r="IK428" s="120"/>
      <c r="IL428" s="120"/>
      <c r="IM428" s="120"/>
      <c r="IN428" s="120"/>
      <c r="IO428" s="120"/>
      <c r="IP428" s="120"/>
      <c r="IQ428" s="120"/>
      <c r="IR428" s="120"/>
      <c r="IS428" s="120"/>
      <c r="IT428" s="120"/>
      <c r="IU428" s="120"/>
      <c r="IV428" s="120"/>
      <c r="IW428" s="120"/>
      <c r="IX428" s="120"/>
      <c r="IY428" s="120"/>
      <c r="IZ428" s="120"/>
      <c r="JA428" s="120"/>
      <c r="JB428" s="120"/>
      <c r="JC428" s="120"/>
      <c r="JD428" s="120"/>
      <c r="JE428" s="120"/>
      <c r="JF428" s="120"/>
      <c r="JG428" s="120"/>
      <c r="JH428" s="120"/>
      <c r="JI428" s="120"/>
      <c r="JJ428" s="120"/>
      <c r="JK428" s="120"/>
      <c r="JL428" s="120"/>
      <c r="JM428" s="120"/>
      <c r="JN428" s="120"/>
      <c r="JO428" s="120"/>
      <c r="JP428" s="120"/>
      <c r="JQ428" s="120"/>
      <c r="JR428" s="120"/>
      <c r="JS428" s="120"/>
      <c r="JT428" s="120"/>
      <c r="JU428" s="120"/>
      <c r="JV428" s="120"/>
      <c r="JW428" s="120"/>
      <c r="JX428" s="120"/>
      <c r="JY428" s="120"/>
      <c r="JZ428" s="120"/>
      <c r="KA428" s="120"/>
      <c r="KB428" s="120"/>
      <c r="KC428" s="120"/>
      <c r="KD428" s="120"/>
      <c r="KE428" s="120"/>
      <c r="KF428" s="120"/>
      <c r="KG428" s="120"/>
      <c r="KH428" s="120"/>
      <c r="KI428" s="120"/>
      <c r="KJ428" s="120"/>
      <c r="KK428" s="120"/>
      <c r="KL428" s="120"/>
      <c r="KM428" s="120"/>
      <c r="KN428" s="120"/>
      <c r="KO428" s="120"/>
      <c r="KP428" s="120"/>
      <c r="KQ428" s="120"/>
      <c r="KR428" s="120"/>
      <c r="KS428" s="120"/>
      <c r="KT428" s="120"/>
      <c r="KU428" s="120"/>
      <c r="KV428" s="120"/>
      <c r="KW428" s="120"/>
      <c r="KX428" s="120"/>
      <c r="KY428" s="120"/>
      <c r="KZ428" s="120"/>
      <c r="LA428" s="120"/>
      <c r="LB428" s="120"/>
      <c r="LC428" s="120"/>
      <c r="LD428" s="120"/>
      <c r="LE428" s="120"/>
      <c r="LF428" s="120"/>
      <c r="LG428" s="120"/>
      <c r="LH428" s="120"/>
      <c r="LI428" s="120"/>
      <c r="LJ428" s="120"/>
      <c r="LK428" s="120"/>
      <c r="LL428" s="120"/>
      <c r="LM428" s="120"/>
      <c r="LN428" s="120"/>
      <c r="LO428" s="120"/>
      <c r="LP428" s="120"/>
      <c r="LQ428" s="120"/>
      <c r="LR428" s="120"/>
      <c r="LS428" s="120"/>
      <c r="LT428" s="120"/>
      <c r="LU428" s="120"/>
      <c r="LV428" s="120"/>
      <c r="LW428" s="120"/>
      <c r="LX428" s="120"/>
      <c r="LY428" s="120"/>
      <c r="LZ428" s="120"/>
      <c r="MA428" s="120"/>
      <c r="MB428" s="120"/>
      <c r="MC428" s="120"/>
      <c r="MD428" s="120"/>
      <c r="ME428" s="120"/>
      <c r="MF428" s="120"/>
      <c r="MG428" s="120"/>
      <c r="MH428" s="120"/>
      <c r="MI428" s="120"/>
      <c r="MJ428" s="120"/>
      <c r="MK428" s="120"/>
      <c r="ML428" s="120"/>
      <c r="MM428" s="120"/>
      <c r="MN428" s="120"/>
      <c r="MO428" s="120"/>
      <c r="MP428" s="120"/>
      <c r="MQ428" s="120"/>
      <c r="MR428" s="120"/>
      <c r="MS428" s="120"/>
      <c r="MT428" s="120"/>
      <c r="MU428" s="120"/>
      <c r="MV428" s="120"/>
      <c r="MW428" s="120"/>
      <c r="MX428" s="120"/>
      <c r="MY428" s="120"/>
      <c r="MZ428" s="120"/>
      <c r="NA428" s="120"/>
      <c r="NB428" s="120"/>
      <c r="NC428" s="120"/>
      <c r="ND428" s="120"/>
      <c r="NE428" s="120"/>
      <c r="NF428" s="120"/>
      <c r="NG428" s="120"/>
      <c r="NH428" s="120"/>
      <c r="NI428" s="120"/>
      <c r="NJ428" s="120"/>
      <c r="NK428" s="120"/>
      <c r="NL428" s="120"/>
      <c r="NM428" s="120"/>
      <c r="NN428" s="120"/>
      <c r="NO428" s="120"/>
      <c r="NP428" s="120"/>
      <c r="NQ428" s="120"/>
      <c r="NR428" s="120"/>
      <c r="NS428" s="120"/>
      <c r="NT428" s="120"/>
      <c r="NU428" s="120"/>
      <c r="NV428" s="120"/>
      <c r="NW428" s="120"/>
      <c r="NX428" s="120"/>
      <c r="NY428" s="120"/>
      <c r="NZ428" s="120"/>
      <c r="OA428" s="120"/>
      <c r="OB428" s="120"/>
      <c r="OC428" s="120"/>
      <c r="OD428" s="120"/>
      <c r="OE428" s="120"/>
      <c r="OF428" s="120"/>
      <c r="OG428" s="120"/>
      <c r="OH428" s="120"/>
      <c r="OI428" s="120"/>
      <c r="OJ428" s="120"/>
      <c r="OK428" s="120"/>
      <c r="OL428" s="120"/>
      <c r="OM428" s="120"/>
      <c r="ON428" s="120"/>
      <c r="OO428" s="120"/>
      <c r="OP428" s="120"/>
      <c r="OQ428" s="120"/>
      <c r="OR428" s="120"/>
      <c r="OS428" s="120"/>
      <c r="OT428" s="120"/>
      <c r="OU428" s="120"/>
      <c r="OV428" s="120"/>
      <c r="OW428" s="120"/>
      <c r="OX428" s="120"/>
      <c r="OY428" s="120"/>
      <c r="OZ428" s="120"/>
      <c r="PA428" s="120"/>
      <c r="PB428" s="120"/>
      <c r="PC428" s="120"/>
      <c r="PD428" s="120"/>
      <c r="PE428" s="120"/>
      <c r="PF428" s="120"/>
      <c r="PG428" s="120"/>
      <c r="PH428" s="120"/>
      <c r="PI428" s="120"/>
      <c r="PJ428" s="120"/>
      <c r="PK428" s="120"/>
      <c r="PL428" s="120"/>
      <c r="PM428" s="120"/>
      <c r="PN428" s="120"/>
      <c r="PO428" s="120"/>
      <c r="PP428" s="120"/>
      <c r="PQ428" s="120"/>
      <c r="PR428" s="120"/>
      <c r="PS428" s="120"/>
      <c r="PT428" s="120"/>
      <c r="PU428" s="120"/>
      <c r="PV428" s="120"/>
      <c r="PW428" s="120"/>
      <c r="PX428" s="120"/>
      <c r="PY428" s="120"/>
      <c r="PZ428" s="120"/>
      <c r="QA428" s="120"/>
      <c r="QB428" s="120"/>
      <c r="QC428" s="120"/>
      <c r="QD428" s="120"/>
      <c r="QE428" s="120"/>
      <c r="QF428" s="120"/>
      <c r="QG428" s="120"/>
      <c r="QH428" s="120"/>
      <c r="QI428" s="120"/>
      <c r="QJ428" s="120"/>
      <c r="QK428" s="120"/>
      <c r="QL428" s="120"/>
      <c r="QM428" s="120"/>
      <c r="QN428" s="120"/>
      <c r="QO428" s="120"/>
      <c r="QP428" s="120"/>
      <c r="QQ428" s="120"/>
      <c r="QR428" s="120"/>
      <c r="QS428" s="120"/>
      <c r="QT428" s="120"/>
      <c r="QU428" s="120"/>
      <c r="QV428" s="120"/>
      <c r="QW428" s="120"/>
      <c r="QX428" s="120"/>
      <c r="QY428" s="120"/>
      <c r="QZ428" s="120"/>
      <c r="RA428" s="120"/>
      <c r="RB428" s="120"/>
      <c r="RC428" s="120"/>
      <c r="RD428" s="120"/>
      <c r="RE428" s="120"/>
      <c r="RF428" s="120"/>
      <c r="RG428" s="120"/>
      <c r="RH428" s="120"/>
      <c r="RI428" s="120"/>
      <c r="RJ428" s="120"/>
      <c r="RK428" s="120"/>
      <c r="RL428" s="120"/>
      <c r="RM428" s="120"/>
      <c r="RN428" s="120"/>
      <c r="RO428" s="120"/>
      <c r="RP428" s="120"/>
      <c r="RQ428" s="120"/>
      <c r="RR428" s="120"/>
      <c r="RS428" s="120"/>
      <c r="RT428" s="120"/>
      <c r="RU428" s="120"/>
      <c r="RV428" s="120"/>
      <c r="RW428" s="120"/>
      <c r="RX428" s="120"/>
      <c r="RY428" s="120"/>
      <c r="RZ428" s="120"/>
      <c r="SA428" s="120"/>
      <c r="SB428" s="120"/>
      <c r="SC428" s="120"/>
      <c r="SD428" s="120"/>
      <c r="SE428" s="120"/>
      <c r="SF428" s="120"/>
      <c r="SG428" s="120"/>
      <c r="SH428" s="120"/>
      <c r="SI428" s="120"/>
      <c r="SJ428" s="120"/>
      <c r="SK428" s="120"/>
      <c r="SL428" s="120"/>
      <c r="SM428" s="120"/>
      <c r="SN428" s="120"/>
      <c r="SO428" s="120"/>
      <c r="SP428" s="120"/>
      <c r="SQ428" s="120"/>
      <c r="SR428" s="120"/>
      <c r="SS428" s="120"/>
      <c r="ST428" s="120"/>
      <c r="SU428" s="120"/>
      <c r="SV428" s="120"/>
      <c r="SW428" s="120"/>
      <c r="SX428" s="120"/>
      <c r="SY428" s="120"/>
      <c r="SZ428" s="120"/>
      <c r="TA428" s="120"/>
      <c r="TB428" s="120"/>
      <c r="TC428" s="120"/>
      <c r="TD428" s="120"/>
      <c r="TE428" s="120"/>
      <c r="TF428" s="120"/>
      <c r="TG428" s="120"/>
      <c r="TH428" s="120"/>
      <c r="TI428" s="120"/>
      <c r="TJ428" s="120"/>
      <c r="TK428" s="120"/>
      <c r="TL428" s="120"/>
      <c r="TM428" s="120"/>
      <c r="TN428" s="120"/>
      <c r="TO428" s="120"/>
      <c r="TP428" s="120"/>
      <c r="TQ428" s="120"/>
      <c r="TR428" s="120"/>
      <c r="TS428" s="120"/>
      <c r="TT428" s="120"/>
      <c r="TU428" s="120"/>
      <c r="TV428" s="120"/>
      <c r="TW428" s="120"/>
      <c r="TX428" s="120"/>
      <c r="TY428" s="120"/>
      <c r="TZ428" s="120"/>
      <c r="UA428" s="120"/>
      <c r="UB428" s="120"/>
      <c r="UC428" s="120"/>
      <c r="UD428" s="120"/>
      <c r="UE428" s="120"/>
      <c r="UF428" s="120"/>
      <c r="UG428" s="120"/>
      <c r="UH428" s="120"/>
      <c r="UI428" s="120"/>
      <c r="UJ428" s="120"/>
      <c r="UK428" s="120"/>
      <c r="UL428" s="120"/>
      <c r="UM428" s="120"/>
      <c r="UN428" s="120"/>
      <c r="UO428" s="120"/>
      <c r="UP428" s="120"/>
      <c r="UQ428" s="120"/>
      <c r="UR428" s="120"/>
      <c r="US428" s="120"/>
      <c r="UT428" s="120"/>
      <c r="UU428" s="120"/>
      <c r="UV428" s="120"/>
      <c r="UW428" s="120"/>
      <c r="UX428" s="120"/>
      <c r="UY428" s="120"/>
      <c r="UZ428" s="120"/>
      <c r="VA428" s="120"/>
      <c r="VB428" s="120"/>
      <c r="VC428" s="120"/>
      <c r="VD428" s="120"/>
      <c r="VE428" s="120"/>
      <c r="VF428" s="120"/>
      <c r="VG428" s="120"/>
      <c r="VH428" s="120"/>
      <c r="VI428" s="120"/>
      <c r="VJ428" s="120"/>
      <c r="VK428" s="120"/>
      <c r="VL428" s="120"/>
      <c r="VM428" s="120"/>
      <c r="VN428" s="120"/>
      <c r="VO428" s="120"/>
      <c r="VP428" s="120"/>
      <c r="VQ428" s="120"/>
      <c r="VR428" s="120"/>
      <c r="VS428" s="120"/>
      <c r="VT428" s="120"/>
      <c r="VU428" s="120"/>
      <c r="VV428" s="120"/>
      <c r="VW428" s="120"/>
      <c r="VX428" s="120"/>
      <c r="VY428" s="120"/>
      <c r="VZ428" s="120"/>
      <c r="WA428" s="120"/>
      <c r="WB428" s="120"/>
      <c r="WC428" s="120"/>
      <c r="WD428" s="120"/>
      <c r="WE428" s="120"/>
      <c r="WF428" s="120"/>
      <c r="WG428" s="120"/>
      <c r="WH428" s="120"/>
      <c r="WI428" s="120"/>
      <c r="WJ428" s="120"/>
      <c r="WK428" s="120"/>
      <c r="WL428" s="120"/>
      <c r="WM428" s="120"/>
      <c r="WN428" s="120"/>
      <c r="WO428" s="120"/>
      <c r="WP428" s="120"/>
      <c r="WQ428" s="120"/>
      <c r="WR428" s="120"/>
      <c r="WS428" s="120"/>
      <c r="WT428" s="120"/>
      <c r="WU428" s="120"/>
      <c r="WV428" s="120"/>
      <c r="WW428" s="120"/>
      <c r="WX428" s="120"/>
      <c r="WY428" s="120"/>
      <c r="WZ428" s="120"/>
      <c r="XA428" s="120"/>
      <c r="XB428" s="120"/>
      <c r="XC428" s="120"/>
      <c r="XD428" s="120"/>
      <c r="XE428" s="120"/>
      <c r="XF428" s="120"/>
      <c r="XG428" s="120"/>
      <c r="XH428" s="120"/>
      <c r="XI428" s="120"/>
      <c r="XJ428" s="120"/>
      <c r="XK428" s="120"/>
      <c r="XL428" s="120"/>
      <c r="XM428" s="120"/>
      <c r="XN428" s="120"/>
      <c r="XO428" s="120"/>
      <c r="XP428" s="120"/>
      <c r="XQ428" s="120"/>
      <c r="XR428" s="120"/>
      <c r="XS428" s="120"/>
      <c r="XT428" s="120"/>
      <c r="XU428" s="120"/>
      <c r="XV428" s="120"/>
      <c r="XW428" s="120"/>
      <c r="XX428" s="120"/>
      <c r="XY428" s="120"/>
      <c r="XZ428" s="120"/>
      <c r="YA428" s="120"/>
      <c r="YB428" s="120"/>
      <c r="YC428" s="120"/>
      <c r="YD428" s="120"/>
      <c r="YE428" s="120"/>
      <c r="YF428" s="120"/>
      <c r="YG428" s="120"/>
      <c r="YH428" s="120"/>
      <c r="YI428" s="120"/>
      <c r="YJ428" s="120"/>
      <c r="YK428" s="120"/>
      <c r="YL428" s="120"/>
      <c r="YM428" s="120"/>
      <c r="YN428" s="120"/>
      <c r="YO428" s="120"/>
      <c r="YP428" s="120"/>
      <c r="YQ428" s="120"/>
      <c r="YR428" s="120"/>
      <c r="YS428" s="120"/>
      <c r="YT428" s="120"/>
      <c r="YU428" s="120"/>
      <c r="YV428" s="120"/>
      <c r="YW428" s="120"/>
      <c r="YX428" s="120"/>
      <c r="YY428" s="120"/>
      <c r="YZ428" s="120"/>
      <c r="ZA428" s="120"/>
      <c r="ZB428" s="120"/>
      <c r="ZC428" s="120"/>
      <c r="ZD428" s="120"/>
      <c r="ZE428" s="120"/>
      <c r="ZF428" s="120"/>
      <c r="ZG428" s="120"/>
      <c r="ZH428" s="120"/>
      <c r="ZI428" s="120"/>
      <c r="ZJ428" s="120"/>
      <c r="ZK428" s="120"/>
      <c r="ZL428" s="120"/>
      <c r="ZM428" s="120"/>
      <c r="ZN428" s="120"/>
      <c r="ZO428" s="120"/>
      <c r="ZP428" s="120"/>
      <c r="ZQ428" s="120"/>
      <c r="ZR428" s="120"/>
      <c r="ZS428" s="120"/>
      <c r="ZT428" s="120"/>
      <c r="ZU428" s="120"/>
      <c r="ZV428" s="120"/>
      <c r="ZW428" s="120"/>
      <c r="ZX428" s="120"/>
      <c r="ZY428" s="120"/>
      <c r="ZZ428" s="120"/>
      <c r="AAA428" s="120"/>
      <c r="AAB428" s="120"/>
      <c r="AAC428" s="120"/>
      <c r="AAD428" s="120"/>
      <c r="AAE428" s="120"/>
      <c r="AAF428" s="120"/>
      <c r="AAG428" s="120"/>
      <c r="AAH428" s="120"/>
      <c r="AAI428" s="120"/>
      <c r="AAJ428" s="120"/>
      <c r="AAK428" s="120"/>
      <c r="AAL428" s="120"/>
      <c r="AAM428" s="120"/>
      <c r="AAN428" s="120"/>
      <c r="AAO428" s="120"/>
      <c r="AAP428" s="120"/>
      <c r="AAQ428" s="120"/>
      <c r="AAR428" s="120"/>
      <c r="AAS428" s="120"/>
      <c r="AAT428" s="120"/>
      <c r="AAU428" s="120"/>
      <c r="AAV428" s="120"/>
      <c r="AAW428" s="120"/>
      <c r="AAX428" s="120"/>
      <c r="AAY428" s="120"/>
      <c r="AAZ428" s="120"/>
      <c r="ABA428" s="120"/>
      <c r="ABB428" s="120"/>
      <c r="ABC428" s="120"/>
      <c r="ABD428" s="120"/>
      <c r="ABE428" s="120"/>
      <c r="ABF428" s="120"/>
      <c r="ABG428" s="120"/>
      <c r="ABH428" s="120"/>
      <c r="ABI428" s="120"/>
      <c r="ABJ428" s="120"/>
      <c r="ABK428" s="120"/>
      <c r="ABL428" s="120"/>
      <c r="ABM428" s="120"/>
      <c r="ABN428" s="120"/>
      <c r="ABO428" s="120"/>
      <c r="ABP428" s="120"/>
      <c r="ABQ428" s="120"/>
      <c r="ABR428" s="120"/>
      <c r="ABS428" s="120"/>
      <c r="ABT428" s="120"/>
      <c r="ABU428" s="120"/>
      <c r="ABV428" s="120"/>
      <c r="ABW428" s="120"/>
      <c r="ABX428" s="120"/>
      <c r="ABY428" s="120"/>
      <c r="ABZ428" s="120"/>
      <c r="ACA428" s="120"/>
      <c r="ACB428" s="120"/>
      <c r="ACC428" s="120"/>
      <c r="ACD428" s="120"/>
      <c r="ACE428" s="120"/>
      <c r="ACF428" s="120"/>
      <c r="ACG428" s="120"/>
      <c r="ACH428" s="120"/>
      <c r="ACI428" s="120"/>
      <c r="ACJ428" s="120"/>
      <c r="ACK428" s="120"/>
      <c r="ACL428" s="120"/>
      <c r="ACM428" s="120"/>
      <c r="ACN428" s="120"/>
      <c r="ACO428" s="120"/>
      <c r="ACP428" s="120"/>
      <c r="ACQ428" s="120"/>
      <c r="ACR428" s="120"/>
      <c r="ACS428" s="120"/>
      <c r="ACT428" s="120"/>
      <c r="ACU428" s="120"/>
      <c r="ACV428" s="120"/>
      <c r="ACW428" s="120"/>
      <c r="ACX428" s="120"/>
      <c r="ACY428" s="120"/>
      <c r="ACZ428" s="120"/>
      <c r="ADA428" s="120"/>
      <c r="ADB428" s="120"/>
      <c r="ADC428" s="120"/>
      <c r="ADD428" s="120"/>
      <c r="ADE428" s="120"/>
      <c r="ADF428" s="120"/>
      <c r="ADG428" s="120"/>
      <c r="ADH428" s="120"/>
      <c r="ADI428" s="120"/>
      <c r="ADJ428" s="120"/>
      <c r="ADK428" s="120"/>
      <c r="ADL428" s="120"/>
      <c r="ADM428" s="120"/>
      <c r="ADN428" s="120"/>
      <c r="ADO428" s="120"/>
      <c r="ADP428" s="120"/>
      <c r="ADQ428" s="120"/>
      <c r="ADR428" s="120"/>
      <c r="ADS428" s="120"/>
      <c r="ADT428" s="120"/>
      <c r="ADU428" s="120"/>
      <c r="ADV428" s="120"/>
      <c r="ADW428" s="120"/>
      <c r="ADX428" s="120"/>
      <c r="ADY428" s="120"/>
      <c r="ADZ428" s="120"/>
      <c r="AEA428" s="120"/>
      <c r="AEB428" s="120"/>
      <c r="AEC428" s="120"/>
      <c r="AED428" s="120"/>
      <c r="AEE428" s="120"/>
      <c r="AEF428" s="120"/>
      <c r="AEG428" s="120"/>
      <c r="AEH428" s="120"/>
      <c r="AEI428" s="120"/>
      <c r="AEJ428" s="120"/>
      <c r="AEK428" s="120"/>
      <c r="AEL428" s="120"/>
      <c r="AEM428" s="120"/>
      <c r="AEN428" s="120"/>
      <c r="AEO428" s="120"/>
      <c r="AEP428" s="120"/>
      <c r="AEQ428" s="120"/>
      <c r="AER428" s="120"/>
      <c r="AES428" s="120"/>
      <c r="AET428" s="120"/>
      <c r="AEU428" s="120"/>
      <c r="AEV428" s="120"/>
      <c r="AEW428" s="120"/>
      <c r="AEX428" s="120"/>
      <c r="AEY428" s="120"/>
      <c r="AEZ428" s="120"/>
      <c r="AFA428" s="120"/>
      <c r="AFB428" s="120"/>
      <c r="AFC428" s="120"/>
      <c r="AFD428" s="120"/>
      <c r="AFE428" s="120"/>
      <c r="AFF428" s="120"/>
      <c r="AFG428" s="120"/>
      <c r="AFH428" s="120"/>
      <c r="AFI428" s="120"/>
      <c r="AFJ428" s="120"/>
      <c r="AFK428" s="120"/>
      <c r="AFL428" s="120"/>
      <c r="AFM428" s="120"/>
      <c r="AFN428" s="120"/>
      <c r="AFO428" s="120"/>
      <c r="AFP428" s="120"/>
      <c r="AFQ428" s="120"/>
      <c r="AFR428" s="120"/>
      <c r="AFS428" s="120"/>
      <c r="AFT428" s="120"/>
      <c r="AFU428" s="120"/>
      <c r="AFV428" s="120"/>
      <c r="AFW428" s="120"/>
      <c r="AFX428" s="120"/>
      <c r="AFY428" s="120"/>
      <c r="AFZ428" s="120"/>
      <c r="AGA428" s="120"/>
      <c r="AGB428" s="120"/>
      <c r="AGC428" s="120"/>
      <c r="AGD428" s="120"/>
      <c r="AGE428" s="120"/>
      <c r="AGF428" s="120"/>
      <c r="AGG428" s="120"/>
      <c r="AGH428" s="120"/>
      <c r="AGI428" s="120"/>
      <c r="AGJ428" s="120"/>
      <c r="AGK428" s="120"/>
      <c r="AGL428" s="120"/>
      <c r="AGM428" s="120"/>
      <c r="AGN428" s="120"/>
      <c r="AGO428" s="120"/>
      <c r="AGP428" s="120"/>
      <c r="AGQ428" s="120"/>
      <c r="AGR428" s="120"/>
      <c r="AGS428" s="120"/>
      <c r="AGT428" s="120"/>
      <c r="AGU428" s="120"/>
      <c r="AGV428" s="120"/>
      <c r="AGW428" s="120"/>
      <c r="AGX428" s="120"/>
      <c r="AGY428" s="120"/>
      <c r="AGZ428" s="120"/>
      <c r="AHA428" s="120"/>
      <c r="AHB428" s="120"/>
      <c r="AHC428" s="120"/>
      <c r="AHD428" s="120"/>
      <c r="AHE428" s="120"/>
      <c r="AHF428" s="120"/>
      <c r="AHG428" s="120"/>
      <c r="AHH428" s="120"/>
      <c r="AHI428" s="120"/>
      <c r="AHJ428" s="120"/>
      <c r="AHK428" s="120"/>
      <c r="AHL428" s="120"/>
      <c r="AHM428" s="120"/>
      <c r="AHN428" s="120"/>
      <c r="AHO428" s="120"/>
      <c r="AHP428" s="120"/>
      <c r="AHQ428" s="120"/>
      <c r="AHR428" s="120"/>
      <c r="AHS428" s="120"/>
      <c r="AHT428" s="120"/>
      <c r="AHU428" s="120"/>
      <c r="AHV428" s="120"/>
      <c r="AHW428" s="120"/>
      <c r="AHX428" s="120"/>
      <c r="AHY428" s="120"/>
      <c r="AHZ428" s="120"/>
      <c r="AIA428" s="120"/>
      <c r="AIB428" s="120"/>
      <c r="AIC428" s="120"/>
      <c r="AID428" s="120"/>
      <c r="AIE428" s="120"/>
      <c r="AIF428" s="120"/>
      <c r="AIG428" s="120"/>
      <c r="AIH428" s="120"/>
      <c r="AII428" s="120"/>
      <c r="AIJ428" s="120"/>
      <c r="AIK428" s="120"/>
      <c r="AIL428" s="120"/>
      <c r="AIM428" s="120"/>
      <c r="AIN428" s="120"/>
      <c r="AIO428" s="120"/>
      <c r="AIP428" s="120"/>
      <c r="AIQ428" s="120"/>
      <c r="AIR428" s="120"/>
      <c r="AIS428" s="120"/>
      <c r="AIT428" s="120"/>
      <c r="AIU428" s="120"/>
      <c r="AIV428" s="120"/>
      <c r="AIW428" s="120"/>
      <c r="AIX428" s="120"/>
      <c r="AIY428" s="120"/>
      <c r="AIZ428" s="120"/>
    </row>
    <row r="429">
      <c r="A429" s="112" t="s">
        <v>67</v>
      </c>
      <c r="B429" s="112" t="s">
        <v>93</v>
      </c>
      <c r="C429" s="112"/>
      <c r="D429" s="113">
        <f t="shared" si="1"/>
        <v>580.2250833</v>
      </c>
      <c r="E429" s="112">
        <v>46.6729</v>
      </c>
      <c r="F429" s="113"/>
      <c r="G429" s="113"/>
      <c r="H429" s="113"/>
      <c r="I429" s="113"/>
      <c r="J429" s="113"/>
      <c r="K429" s="113"/>
      <c r="L429" s="112">
        <v>0.61235</v>
      </c>
      <c r="M429" s="112">
        <v>13.2235166666667</v>
      </c>
      <c r="N429" s="113"/>
      <c r="O429" s="112">
        <v>0.21325</v>
      </c>
      <c r="P429" s="112">
        <v>283.647816666667</v>
      </c>
      <c r="Q429" s="113"/>
      <c r="R429" s="113"/>
      <c r="S429" s="113"/>
      <c r="T429" s="113"/>
      <c r="U429" s="113"/>
      <c r="V429" s="112">
        <v>3.03406666666667</v>
      </c>
      <c r="W429" s="112">
        <v>11.0774</v>
      </c>
      <c r="X429" s="113"/>
      <c r="Y429" s="113"/>
      <c r="Z429" s="113"/>
      <c r="AA429" s="113"/>
      <c r="AB429" s="113"/>
      <c r="AC429" s="112">
        <v>0.0909</v>
      </c>
      <c r="AD429" s="112">
        <v>94.2614666666667</v>
      </c>
      <c r="AE429" s="113"/>
      <c r="AF429" s="113"/>
      <c r="AG429" s="113"/>
      <c r="AH429" s="113"/>
      <c r="AI429" s="113"/>
      <c r="AJ429" s="112">
        <v>1.5115</v>
      </c>
      <c r="AK429" s="112">
        <v>43.2085833333333</v>
      </c>
      <c r="AL429" s="113"/>
      <c r="AM429" s="113"/>
      <c r="AN429" s="113"/>
      <c r="AO429" s="112">
        <v>3.99481666666667</v>
      </c>
      <c r="AP429" s="112">
        <v>19.4255333333333</v>
      </c>
      <c r="AQ429" s="113"/>
      <c r="AR429" s="113"/>
      <c r="AS429" s="112">
        <v>2.45208333333333</v>
      </c>
      <c r="AT429" s="112">
        <v>53.8763999999999</v>
      </c>
      <c r="AU429" s="113"/>
      <c r="AV429" s="112">
        <v>2.35378333333333</v>
      </c>
      <c r="AW429" s="112">
        <v>0.568716666666667</v>
      </c>
      <c r="AX429" s="113"/>
      <c r="AY429" s="113"/>
      <c r="AZ429" s="113"/>
      <c r="BA429" s="113"/>
      <c r="BB429" s="113"/>
      <c r="BC429" s="113"/>
      <c r="BD429" s="113"/>
      <c r="BE429" s="113"/>
      <c r="BF429" s="113"/>
      <c r="BG429" s="113"/>
      <c r="BH429" s="113"/>
      <c r="BI429" s="113"/>
      <c r="BJ429" s="113"/>
      <c r="BK429" s="113"/>
      <c r="BL429" s="113"/>
      <c r="BM429" s="113"/>
      <c r="BN429" s="113"/>
      <c r="BO429" s="113"/>
      <c r="BP429" s="113"/>
      <c r="BQ429" s="113"/>
      <c r="BR429" s="113"/>
      <c r="BS429" s="113"/>
      <c r="BT429" s="113"/>
      <c r="BU429" s="113"/>
      <c r="BV429" s="113"/>
      <c r="BW429" s="113"/>
      <c r="BX429" s="113"/>
      <c r="BY429" s="113"/>
      <c r="BZ429" s="113"/>
      <c r="CA429" s="113"/>
      <c r="CB429" s="113"/>
      <c r="CC429" s="113"/>
      <c r="CD429" s="113"/>
      <c r="CE429" s="113"/>
      <c r="CF429" s="113"/>
      <c r="CG429" s="113"/>
      <c r="CH429" s="113"/>
      <c r="CI429" s="113"/>
      <c r="CJ429" s="113"/>
      <c r="CK429" s="113"/>
      <c r="CL429" s="113"/>
      <c r="CM429" s="113"/>
      <c r="CN429" s="113"/>
      <c r="CO429" s="113"/>
      <c r="CP429" s="113"/>
      <c r="CQ429" s="113"/>
      <c r="CR429" s="113"/>
      <c r="CS429" s="113"/>
      <c r="CT429" s="113"/>
      <c r="CU429" s="113"/>
      <c r="CV429" s="113"/>
      <c r="CW429" s="113"/>
      <c r="CX429" s="113"/>
      <c r="CY429" s="113"/>
      <c r="CZ429" s="113"/>
      <c r="DA429" s="113"/>
      <c r="DB429" s="113"/>
      <c r="DC429" s="113"/>
      <c r="DD429" s="113"/>
      <c r="DE429" s="113"/>
      <c r="DF429" s="113"/>
      <c r="DG429" s="113"/>
      <c r="DH429" s="113"/>
      <c r="DI429" s="113"/>
      <c r="DJ429" s="113"/>
      <c r="DK429" s="113"/>
      <c r="DL429" s="113"/>
      <c r="DM429" s="113"/>
      <c r="DN429" s="113"/>
      <c r="DO429" s="113"/>
      <c r="DP429" s="113"/>
      <c r="DQ429" s="113"/>
      <c r="DR429" s="113"/>
      <c r="DS429" s="113"/>
      <c r="DT429" s="113"/>
      <c r="DU429" s="113"/>
      <c r="DV429" s="113"/>
      <c r="DW429" s="113"/>
      <c r="DX429" s="113"/>
      <c r="DY429" s="113"/>
      <c r="DZ429" s="113"/>
      <c r="EA429" s="113"/>
      <c r="EB429" s="113"/>
      <c r="EC429" s="113"/>
      <c r="ED429" s="113"/>
      <c r="EE429" s="113"/>
      <c r="EF429" s="113"/>
      <c r="EG429" s="113"/>
      <c r="EH429" s="113"/>
      <c r="EI429" s="113"/>
      <c r="EJ429" s="113"/>
      <c r="EK429" s="113"/>
      <c r="EL429" s="113"/>
      <c r="EM429" s="113"/>
      <c r="EN429" s="113"/>
      <c r="EO429" s="113"/>
      <c r="EP429" s="113"/>
      <c r="EQ429" s="113"/>
      <c r="ER429" s="113"/>
      <c r="ES429" s="113"/>
      <c r="ET429" s="113"/>
      <c r="EU429" s="113"/>
      <c r="EV429" s="113"/>
      <c r="EW429" s="113"/>
      <c r="EX429" s="113"/>
      <c r="EY429" s="113"/>
      <c r="EZ429" s="113"/>
      <c r="FA429" s="113"/>
      <c r="FB429" s="113"/>
      <c r="FC429" s="113"/>
      <c r="FD429" s="113"/>
      <c r="FE429" s="113"/>
      <c r="FF429" s="113"/>
      <c r="FG429" s="113"/>
      <c r="FH429" s="113"/>
      <c r="FI429" s="113"/>
      <c r="FJ429" s="113"/>
      <c r="FK429" s="113"/>
      <c r="FL429" s="113"/>
      <c r="FM429" s="113"/>
      <c r="FN429" s="113"/>
      <c r="FO429" s="113"/>
      <c r="FP429" s="113"/>
      <c r="FQ429" s="113"/>
      <c r="FR429" s="113"/>
      <c r="FS429" s="113"/>
      <c r="FT429" s="113"/>
      <c r="FU429" s="113"/>
      <c r="FV429" s="113"/>
      <c r="FW429" s="113"/>
      <c r="FX429" s="113"/>
      <c r="FY429" s="113"/>
      <c r="FZ429" s="113"/>
      <c r="GA429" s="113"/>
      <c r="GB429" s="113"/>
      <c r="GC429" s="113"/>
      <c r="GD429" s="113"/>
      <c r="GE429" s="113"/>
      <c r="GF429" s="113"/>
      <c r="GG429" s="113"/>
      <c r="GH429" s="113"/>
      <c r="GI429" s="113"/>
      <c r="GJ429" s="113"/>
      <c r="GK429" s="113"/>
      <c r="GL429" s="113"/>
      <c r="GM429" s="113"/>
      <c r="GN429" s="113"/>
      <c r="GO429" s="113"/>
      <c r="GP429" s="113"/>
      <c r="GQ429" s="113"/>
      <c r="GR429" s="113"/>
      <c r="GS429" s="113"/>
      <c r="GT429" s="113"/>
      <c r="GU429" s="113"/>
      <c r="GV429" s="113"/>
      <c r="GW429" s="113"/>
      <c r="GX429" s="113"/>
      <c r="GY429" s="113"/>
      <c r="GZ429" s="113"/>
      <c r="HA429" s="113"/>
      <c r="HB429" s="113"/>
      <c r="HC429" s="113"/>
      <c r="HD429" s="113"/>
      <c r="HE429" s="113"/>
      <c r="HF429" s="113"/>
      <c r="HG429" s="113"/>
      <c r="HH429" s="113"/>
      <c r="HI429" s="113"/>
      <c r="HJ429" s="113"/>
      <c r="HK429" s="113"/>
      <c r="HL429" s="113"/>
      <c r="HM429" s="113"/>
      <c r="HN429" s="113"/>
      <c r="HO429" s="113"/>
      <c r="HP429" s="113"/>
      <c r="HQ429" s="113"/>
      <c r="HR429" s="113"/>
      <c r="HS429" s="113"/>
      <c r="HT429" s="113"/>
      <c r="HU429" s="113"/>
      <c r="HV429" s="113"/>
      <c r="HW429" s="113"/>
      <c r="HX429" s="113"/>
      <c r="HY429" s="113"/>
      <c r="HZ429" s="113"/>
      <c r="IA429" s="113"/>
      <c r="IB429" s="113"/>
      <c r="IC429" s="113"/>
      <c r="ID429" s="113"/>
      <c r="IE429" s="113"/>
      <c r="IF429" s="113"/>
      <c r="IG429" s="113"/>
      <c r="IH429" s="113"/>
      <c r="II429" s="113"/>
      <c r="IJ429" s="113"/>
      <c r="IK429" s="113"/>
      <c r="IL429" s="113"/>
      <c r="IM429" s="113"/>
      <c r="IN429" s="113"/>
      <c r="IO429" s="113"/>
      <c r="IP429" s="113"/>
      <c r="IQ429" s="113"/>
      <c r="IR429" s="113"/>
      <c r="IS429" s="113"/>
      <c r="IT429" s="113"/>
      <c r="IU429" s="113"/>
      <c r="IV429" s="113"/>
      <c r="IW429" s="113"/>
      <c r="IX429" s="113"/>
      <c r="IY429" s="113"/>
      <c r="IZ429" s="113"/>
      <c r="JA429" s="113"/>
      <c r="JB429" s="113"/>
      <c r="JC429" s="113"/>
      <c r="JD429" s="113"/>
      <c r="JE429" s="113"/>
      <c r="JF429" s="113"/>
      <c r="JG429" s="113"/>
      <c r="JH429" s="113"/>
      <c r="JI429" s="113"/>
      <c r="JJ429" s="113"/>
      <c r="JK429" s="113"/>
      <c r="JL429" s="113"/>
      <c r="JM429" s="113"/>
      <c r="JN429" s="113"/>
      <c r="JO429" s="113"/>
      <c r="JP429" s="113"/>
      <c r="JQ429" s="113"/>
      <c r="JR429" s="113"/>
      <c r="JS429" s="113"/>
      <c r="JT429" s="113"/>
      <c r="JU429" s="113"/>
      <c r="JV429" s="113"/>
      <c r="JW429" s="113"/>
      <c r="JX429" s="113"/>
      <c r="JY429" s="113"/>
      <c r="JZ429" s="113"/>
      <c r="KA429" s="113"/>
      <c r="KB429" s="113"/>
      <c r="KC429" s="113"/>
      <c r="KD429" s="113"/>
      <c r="KE429" s="113"/>
      <c r="KF429" s="113"/>
      <c r="KG429" s="113"/>
      <c r="KH429" s="113"/>
      <c r="KI429" s="113"/>
      <c r="KJ429" s="113"/>
      <c r="KK429" s="113"/>
      <c r="KL429" s="113"/>
      <c r="KM429" s="113"/>
      <c r="KN429" s="113"/>
      <c r="KO429" s="113"/>
      <c r="KP429" s="113"/>
      <c r="KQ429" s="113"/>
      <c r="KR429" s="113"/>
      <c r="KS429" s="113"/>
      <c r="KT429" s="113"/>
      <c r="KU429" s="113"/>
      <c r="KV429" s="113"/>
      <c r="KW429" s="113"/>
      <c r="KX429" s="113"/>
      <c r="KY429" s="113"/>
      <c r="KZ429" s="113"/>
      <c r="LA429" s="113"/>
      <c r="LB429" s="113"/>
      <c r="LC429" s="113"/>
      <c r="LD429" s="113"/>
      <c r="LE429" s="113"/>
      <c r="LF429" s="113"/>
      <c r="LG429" s="113"/>
      <c r="LH429" s="113"/>
      <c r="LI429" s="113"/>
      <c r="LJ429" s="113"/>
      <c r="LK429" s="113"/>
      <c r="LL429" s="113"/>
      <c r="LM429" s="113"/>
      <c r="LN429" s="113"/>
      <c r="LO429" s="113"/>
      <c r="LP429" s="113"/>
      <c r="LQ429" s="113"/>
      <c r="LR429" s="113"/>
      <c r="LS429" s="113"/>
      <c r="LT429" s="113"/>
      <c r="LU429" s="113"/>
      <c r="LV429" s="113"/>
      <c r="LW429" s="113"/>
      <c r="LX429" s="113"/>
      <c r="LY429" s="113"/>
      <c r="LZ429" s="113"/>
      <c r="MA429" s="113"/>
      <c r="MB429" s="113"/>
      <c r="MC429" s="113"/>
      <c r="MD429" s="113"/>
      <c r="ME429" s="113"/>
      <c r="MF429" s="113"/>
      <c r="MG429" s="113"/>
      <c r="MH429" s="113"/>
      <c r="MI429" s="113"/>
      <c r="MJ429" s="113"/>
      <c r="MK429" s="113"/>
      <c r="ML429" s="113"/>
      <c r="MM429" s="113"/>
      <c r="MN429" s="113"/>
      <c r="MO429" s="113"/>
      <c r="MP429" s="113"/>
      <c r="MQ429" s="113"/>
      <c r="MR429" s="113"/>
      <c r="MS429" s="113"/>
      <c r="MT429" s="113"/>
      <c r="MU429" s="113"/>
      <c r="MV429" s="113"/>
      <c r="MW429" s="113"/>
      <c r="MX429" s="113"/>
      <c r="MY429" s="113"/>
      <c r="MZ429" s="113"/>
      <c r="NA429" s="113"/>
      <c r="NB429" s="113"/>
      <c r="NC429" s="113"/>
      <c r="ND429" s="113"/>
      <c r="NE429" s="113"/>
      <c r="NF429" s="113"/>
      <c r="NG429" s="113"/>
      <c r="NH429" s="113"/>
      <c r="NI429" s="113"/>
      <c r="NJ429" s="113"/>
      <c r="NK429" s="113"/>
      <c r="NL429" s="113"/>
      <c r="NM429" s="113"/>
      <c r="NN429" s="113"/>
      <c r="NO429" s="113"/>
      <c r="NP429" s="113"/>
      <c r="NQ429" s="113"/>
      <c r="NR429" s="113"/>
      <c r="NS429" s="113"/>
      <c r="NT429" s="113"/>
      <c r="NU429" s="113"/>
      <c r="NV429" s="113"/>
      <c r="NW429" s="113"/>
      <c r="NX429" s="113"/>
      <c r="NY429" s="113"/>
      <c r="NZ429" s="113"/>
      <c r="OA429" s="113"/>
      <c r="OB429" s="113"/>
      <c r="OC429" s="113"/>
      <c r="OD429" s="113"/>
      <c r="OE429" s="113"/>
      <c r="OF429" s="113"/>
      <c r="OG429" s="113"/>
      <c r="OH429" s="113"/>
      <c r="OI429" s="113"/>
      <c r="OJ429" s="113"/>
      <c r="OK429" s="113"/>
      <c r="OL429" s="113"/>
      <c r="OM429" s="113"/>
      <c r="ON429" s="113"/>
      <c r="OO429" s="113"/>
      <c r="OP429" s="113"/>
      <c r="OQ429" s="113"/>
      <c r="OR429" s="113"/>
      <c r="OS429" s="113"/>
      <c r="OT429" s="113"/>
      <c r="OU429" s="113"/>
      <c r="OV429" s="113"/>
      <c r="OW429" s="113"/>
      <c r="OX429" s="113"/>
      <c r="OY429" s="113"/>
      <c r="OZ429" s="113"/>
      <c r="PA429" s="113"/>
      <c r="PB429" s="113"/>
      <c r="PC429" s="113"/>
      <c r="PD429" s="113"/>
      <c r="PE429" s="113"/>
      <c r="PF429" s="113"/>
      <c r="PG429" s="113"/>
      <c r="PH429" s="113"/>
      <c r="PI429" s="113"/>
      <c r="PJ429" s="113"/>
      <c r="PK429" s="113"/>
      <c r="PL429" s="113"/>
      <c r="PM429" s="113"/>
      <c r="PN429" s="113"/>
      <c r="PO429" s="113"/>
      <c r="PP429" s="113"/>
      <c r="PQ429" s="113"/>
      <c r="PR429" s="113"/>
      <c r="PS429" s="113"/>
      <c r="PT429" s="113"/>
      <c r="PU429" s="113"/>
      <c r="PV429" s="113"/>
      <c r="PW429" s="113"/>
      <c r="PX429" s="113"/>
      <c r="PY429" s="113"/>
      <c r="PZ429" s="113"/>
      <c r="QA429" s="113"/>
      <c r="QB429" s="113"/>
      <c r="QC429" s="113"/>
      <c r="QD429" s="113"/>
      <c r="QE429" s="113"/>
      <c r="QF429" s="113"/>
      <c r="QG429" s="113"/>
      <c r="QH429" s="113"/>
      <c r="QI429" s="113"/>
      <c r="QJ429" s="113"/>
      <c r="QK429" s="113"/>
      <c r="QL429" s="113"/>
      <c r="QM429" s="113"/>
      <c r="QN429" s="113"/>
      <c r="QO429" s="113"/>
      <c r="QP429" s="113"/>
      <c r="QQ429" s="113"/>
      <c r="QR429" s="113"/>
      <c r="QS429" s="113"/>
      <c r="QT429" s="113"/>
      <c r="QU429" s="113"/>
      <c r="QV429" s="113"/>
      <c r="QW429" s="113"/>
      <c r="QX429" s="113"/>
      <c r="QY429" s="113"/>
      <c r="QZ429" s="113"/>
      <c r="RA429" s="113"/>
      <c r="RB429" s="113"/>
      <c r="RC429" s="113"/>
      <c r="RD429" s="113"/>
      <c r="RE429" s="113"/>
      <c r="RF429" s="113"/>
      <c r="RG429" s="113"/>
      <c r="RH429" s="113"/>
      <c r="RI429" s="113"/>
      <c r="RJ429" s="113"/>
      <c r="RK429" s="113"/>
      <c r="RL429" s="113"/>
      <c r="RM429" s="113"/>
      <c r="RN429" s="113"/>
      <c r="RO429" s="113"/>
      <c r="RP429" s="113"/>
      <c r="RQ429" s="113"/>
      <c r="RR429" s="113"/>
      <c r="RS429" s="113"/>
      <c r="RT429" s="113"/>
      <c r="RU429" s="113"/>
      <c r="RV429" s="113"/>
      <c r="RW429" s="113"/>
      <c r="RX429" s="113"/>
      <c r="RY429" s="113"/>
      <c r="RZ429" s="113"/>
      <c r="SA429" s="113"/>
      <c r="SB429" s="113"/>
      <c r="SC429" s="113"/>
      <c r="SD429" s="113"/>
      <c r="SE429" s="113"/>
      <c r="SF429" s="113"/>
      <c r="SG429" s="113"/>
      <c r="SH429" s="113"/>
      <c r="SI429" s="113"/>
      <c r="SJ429" s="113"/>
      <c r="SK429" s="113"/>
      <c r="SL429" s="113"/>
      <c r="SM429" s="113"/>
      <c r="SN429" s="113"/>
      <c r="SO429" s="113"/>
      <c r="SP429" s="113"/>
      <c r="SQ429" s="113"/>
      <c r="SR429" s="113"/>
      <c r="SS429" s="113"/>
      <c r="ST429" s="113"/>
      <c r="SU429" s="113"/>
      <c r="SV429" s="113"/>
      <c r="SW429" s="113"/>
      <c r="SX429" s="113"/>
      <c r="SY429" s="113"/>
      <c r="SZ429" s="113"/>
      <c r="TA429" s="113"/>
      <c r="TB429" s="113"/>
      <c r="TC429" s="113"/>
      <c r="TD429" s="113"/>
      <c r="TE429" s="113"/>
      <c r="TF429" s="113"/>
      <c r="TG429" s="113"/>
      <c r="TH429" s="113"/>
      <c r="TI429" s="113"/>
      <c r="TJ429" s="113"/>
      <c r="TK429" s="113"/>
      <c r="TL429" s="113"/>
      <c r="TM429" s="113"/>
      <c r="TN429" s="113"/>
      <c r="TO429" s="113"/>
      <c r="TP429" s="113"/>
      <c r="TQ429" s="113"/>
      <c r="TR429" s="113"/>
      <c r="TS429" s="113"/>
      <c r="TT429" s="113"/>
      <c r="TU429" s="113"/>
      <c r="TV429" s="113"/>
      <c r="TW429" s="113"/>
      <c r="TX429" s="113"/>
      <c r="TY429" s="113"/>
      <c r="TZ429" s="113"/>
      <c r="UA429" s="113"/>
      <c r="UB429" s="113"/>
      <c r="UC429" s="113"/>
      <c r="UD429" s="113"/>
      <c r="UE429" s="113"/>
      <c r="UF429" s="113"/>
      <c r="UG429" s="113"/>
      <c r="UH429" s="113"/>
      <c r="UI429" s="113"/>
      <c r="UJ429" s="113"/>
      <c r="UK429" s="113"/>
      <c r="UL429" s="113"/>
      <c r="UM429" s="113"/>
      <c r="UN429" s="113"/>
      <c r="UO429" s="113"/>
      <c r="UP429" s="113"/>
      <c r="UQ429" s="113"/>
      <c r="UR429" s="113"/>
      <c r="US429" s="113"/>
      <c r="UT429" s="113"/>
      <c r="UU429" s="113"/>
      <c r="UV429" s="113"/>
      <c r="UW429" s="113"/>
      <c r="UX429" s="113"/>
      <c r="UY429" s="113"/>
      <c r="UZ429" s="113"/>
      <c r="VA429" s="113"/>
      <c r="VB429" s="113"/>
      <c r="VC429" s="113"/>
      <c r="VD429" s="113"/>
      <c r="VE429" s="113"/>
      <c r="VF429" s="113"/>
      <c r="VG429" s="113"/>
      <c r="VH429" s="113"/>
      <c r="VI429" s="113"/>
      <c r="VJ429" s="113"/>
      <c r="VK429" s="113"/>
      <c r="VL429" s="113"/>
      <c r="VM429" s="113"/>
      <c r="VN429" s="113"/>
      <c r="VO429" s="113"/>
      <c r="VP429" s="113"/>
      <c r="VQ429" s="113"/>
      <c r="VR429" s="113"/>
      <c r="VS429" s="113"/>
      <c r="VT429" s="113"/>
      <c r="VU429" s="113"/>
      <c r="VV429" s="113"/>
      <c r="VW429" s="113"/>
      <c r="VX429" s="113"/>
      <c r="VY429" s="113"/>
      <c r="VZ429" s="113"/>
      <c r="WA429" s="113"/>
      <c r="WB429" s="113"/>
      <c r="WC429" s="113"/>
      <c r="WD429" s="113"/>
      <c r="WE429" s="113"/>
      <c r="WF429" s="113"/>
      <c r="WG429" s="113"/>
      <c r="WH429" s="113"/>
      <c r="WI429" s="113"/>
      <c r="WJ429" s="113"/>
      <c r="WK429" s="113"/>
      <c r="WL429" s="113"/>
      <c r="WM429" s="113"/>
      <c r="WN429" s="113"/>
      <c r="WO429" s="113"/>
      <c r="WP429" s="113"/>
      <c r="WQ429" s="113"/>
      <c r="WR429" s="113"/>
      <c r="WS429" s="113"/>
      <c r="WT429" s="113"/>
      <c r="WU429" s="113"/>
      <c r="WV429" s="113"/>
      <c r="WW429" s="113"/>
      <c r="WX429" s="113"/>
      <c r="WY429" s="113"/>
      <c r="WZ429" s="113"/>
      <c r="XA429" s="113"/>
      <c r="XB429" s="113"/>
      <c r="XC429" s="113"/>
      <c r="XD429" s="113"/>
      <c r="XE429" s="113"/>
      <c r="XF429" s="113"/>
      <c r="XG429" s="113"/>
      <c r="XH429" s="113"/>
      <c r="XI429" s="113"/>
      <c r="XJ429" s="113"/>
      <c r="XK429" s="113"/>
      <c r="XL429" s="113"/>
      <c r="XM429" s="113"/>
      <c r="XN429" s="113"/>
      <c r="XO429" s="113"/>
      <c r="XP429" s="113"/>
      <c r="XQ429" s="113"/>
      <c r="XR429" s="113"/>
      <c r="XS429" s="113"/>
      <c r="XT429" s="113"/>
      <c r="XU429" s="113"/>
      <c r="XV429" s="113"/>
      <c r="XW429" s="113"/>
      <c r="XX429" s="113"/>
      <c r="XY429" s="113"/>
      <c r="XZ429" s="113"/>
      <c r="YA429" s="113"/>
      <c r="YB429" s="113"/>
      <c r="YC429" s="113"/>
      <c r="YD429" s="113"/>
      <c r="YE429" s="113"/>
      <c r="YF429" s="113"/>
      <c r="YG429" s="113"/>
      <c r="YH429" s="113"/>
      <c r="YI429" s="113"/>
      <c r="YJ429" s="113"/>
      <c r="YK429" s="113"/>
      <c r="YL429" s="113"/>
      <c r="YM429" s="113"/>
      <c r="YN429" s="113"/>
      <c r="YO429" s="113"/>
      <c r="YP429" s="113"/>
      <c r="YQ429" s="113"/>
      <c r="YR429" s="113"/>
      <c r="YS429" s="113"/>
      <c r="YT429" s="113"/>
      <c r="YU429" s="113"/>
      <c r="YV429" s="113"/>
      <c r="YW429" s="113"/>
      <c r="YX429" s="113"/>
      <c r="YY429" s="113"/>
      <c r="YZ429" s="113"/>
      <c r="ZA429" s="113"/>
      <c r="ZB429" s="113"/>
      <c r="ZC429" s="113"/>
      <c r="ZD429" s="113"/>
      <c r="ZE429" s="113"/>
      <c r="ZF429" s="113"/>
      <c r="ZG429" s="113"/>
      <c r="ZH429" s="113"/>
      <c r="ZI429" s="113"/>
      <c r="ZJ429" s="113"/>
      <c r="ZK429" s="113"/>
      <c r="ZL429" s="113"/>
      <c r="ZM429" s="113"/>
      <c r="ZN429" s="113"/>
      <c r="ZO429" s="113"/>
      <c r="ZP429" s="113"/>
      <c r="ZQ429" s="113"/>
      <c r="ZR429" s="113"/>
      <c r="ZS429" s="113"/>
      <c r="ZT429" s="113"/>
      <c r="ZU429" s="113"/>
      <c r="ZV429" s="113"/>
      <c r="ZW429" s="113"/>
      <c r="ZX429" s="113"/>
      <c r="ZY429" s="113"/>
      <c r="ZZ429" s="113"/>
      <c r="AAA429" s="113"/>
      <c r="AAB429" s="113"/>
      <c r="AAC429" s="113"/>
      <c r="AAD429" s="113"/>
      <c r="AAE429" s="113"/>
      <c r="AAF429" s="113"/>
      <c r="AAG429" s="113"/>
      <c r="AAH429" s="113"/>
      <c r="AAI429" s="113"/>
      <c r="AAJ429" s="113"/>
      <c r="AAK429" s="113"/>
      <c r="AAL429" s="113"/>
      <c r="AAM429" s="113"/>
      <c r="AAN429" s="113"/>
      <c r="AAO429" s="113"/>
      <c r="AAP429" s="113"/>
      <c r="AAQ429" s="113"/>
      <c r="AAR429" s="113"/>
      <c r="AAS429" s="113"/>
      <c r="AAT429" s="113"/>
      <c r="AAU429" s="113"/>
      <c r="AAV429" s="113"/>
      <c r="AAW429" s="113"/>
      <c r="AAX429" s="113"/>
      <c r="AAY429" s="113"/>
      <c r="AAZ429" s="113"/>
      <c r="ABA429" s="113"/>
      <c r="ABB429" s="113"/>
      <c r="ABC429" s="113"/>
      <c r="ABD429" s="113"/>
      <c r="ABE429" s="113"/>
      <c r="ABF429" s="113"/>
      <c r="ABG429" s="113"/>
      <c r="ABH429" s="113"/>
      <c r="ABI429" s="113"/>
      <c r="ABJ429" s="113"/>
      <c r="ABK429" s="113"/>
      <c r="ABL429" s="113"/>
      <c r="ABM429" s="113"/>
      <c r="ABN429" s="113"/>
      <c r="ABO429" s="113"/>
      <c r="ABP429" s="113"/>
      <c r="ABQ429" s="113"/>
      <c r="ABR429" s="113"/>
      <c r="ABS429" s="113"/>
      <c r="ABT429" s="113"/>
      <c r="ABU429" s="113"/>
      <c r="ABV429" s="113"/>
      <c r="ABW429" s="113"/>
      <c r="ABX429" s="113"/>
      <c r="ABY429" s="113"/>
      <c r="ABZ429" s="113"/>
      <c r="ACA429" s="113"/>
      <c r="ACB429" s="113"/>
      <c r="ACC429" s="113"/>
      <c r="ACD429" s="113"/>
      <c r="ACE429" s="113"/>
      <c r="ACF429" s="113"/>
      <c r="ACG429" s="113"/>
      <c r="ACH429" s="113"/>
      <c r="ACI429" s="113"/>
      <c r="ACJ429" s="113"/>
      <c r="ACK429" s="113"/>
      <c r="ACL429" s="113"/>
      <c r="ACM429" s="113"/>
      <c r="ACN429" s="113"/>
      <c r="ACO429" s="113"/>
      <c r="ACP429" s="113"/>
      <c r="ACQ429" s="113"/>
      <c r="ACR429" s="113"/>
      <c r="ACS429" s="113"/>
      <c r="ACT429" s="113"/>
      <c r="ACU429" s="113"/>
      <c r="ACV429" s="113"/>
      <c r="ACW429" s="113"/>
      <c r="ACX429" s="113"/>
      <c r="ACY429" s="113"/>
      <c r="ACZ429" s="113"/>
      <c r="ADA429" s="113"/>
      <c r="ADB429" s="113"/>
      <c r="ADC429" s="113"/>
      <c r="ADD429" s="113"/>
      <c r="ADE429" s="113"/>
      <c r="ADF429" s="113"/>
      <c r="ADG429" s="113"/>
      <c r="ADH429" s="113"/>
      <c r="ADI429" s="113"/>
      <c r="ADJ429" s="113"/>
      <c r="ADK429" s="113"/>
      <c r="ADL429" s="113"/>
      <c r="ADM429" s="113"/>
      <c r="ADN429" s="113"/>
      <c r="ADO429" s="113"/>
      <c r="ADP429" s="113"/>
      <c r="ADQ429" s="113"/>
      <c r="ADR429" s="113"/>
      <c r="ADS429" s="113"/>
      <c r="ADT429" s="113"/>
      <c r="ADU429" s="113"/>
      <c r="ADV429" s="113"/>
      <c r="ADW429" s="113"/>
      <c r="ADX429" s="113"/>
      <c r="ADY429" s="113"/>
      <c r="ADZ429" s="113"/>
      <c r="AEA429" s="113"/>
      <c r="AEB429" s="113"/>
      <c r="AEC429" s="113"/>
      <c r="AED429" s="113"/>
      <c r="AEE429" s="113"/>
      <c r="AEF429" s="113"/>
      <c r="AEG429" s="113"/>
      <c r="AEH429" s="113"/>
      <c r="AEI429" s="113"/>
      <c r="AEJ429" s="113"/>
      <c r="AEK429" s="113"/>
      <c r="AEL429" s="113"/>
      <c r="AEM429" s="113"/>
      <c r="AEN429" s="113"/>
      <c r="AEO429" s="113"/>
      <c r="AEP429" s="113"/>
      <c r="AEQ429" s="113"/>
      <c r="AER429" s="113"/>
      <c r="AES429" s="113"/>
      <c r="AET429" s="113"/>
      <c r="AEU429" s="113"/>
      <c r="AEV429" s="113"/>
      <c r="AEW429" s="113"/>
      <c r="AEX429" s="113"/>
      <c r="AEY429" s="113"/>
      <c r="AEZ429" s="113"/>
      <c r="AFA429" s="113"/>
      <c r="AFB429" s="113"/>
      <c r="AFC429" s="113"/>
      <c r="AFD429" s="113"/>
      <c r="AFE429" s="113"/>
      <c r="AFF429" s="113"/>
      <c r="AFG429" s="113"/>
      <c r="AFH429" s="113"/>
      <c r="AFI429" s="113"/>
      <c r="AFJ429" s="113"/>
      <c r="AFK429" s="113"/>
      <c r="AFL429" s="113"/>
      <c r="AFM429" s="113"/>
      <c r="AFN429" s="113"/>
      <c r="AFO429" s="113"/>
      <c r="AFP429" s="113"/>
      <c r="AFQ429" s="113"/>
      <c r="AFR429" s="113"/>
      <c r="AFS429" s="113"/>
      <c r="AFT429" s="113"/>
      <c r="AFU429" s="113"/>
      <c r="AFV429" s="113"/>
      <c r="AFW429" s="113"/>
      <c r="AFX429" s="113"/>
      <c r="AFY429" s="113"/>
      <c r="AFZ429" s="113"/>
      <c r="AGA429" s="113"/>
      <c r="AGB429" s="113"/>
      <c r="AGC429" s="113"/>
      <c r="AGD429" s="113"/>
      <c r="AGE429" s="113"/>
      <c r="AGF429" s="113"/>
      <c r="AGG429" s="113"/>
      <c r="AGH429" s="113"/>
      <c r="AGI429" s="113"/>
      <c r="AGJ429" s="113"/>
      <c r="AGK429" s="113"/>
      <c r="AGL429" s="113"/>
      <c r="AGM429" s="113"/>
      <c r="AGN429" s="113"/>
      <c r="AGO429" s="113"/>
      <c r="AGP429" s="113"/>
      <c r="AGQ429" s="113"/>
      <c r="AGR429" s="113"/>
      <c r="AGS429" s="113"/>
      <c r="AGT429" s="113"/>
      <c r="AGU429" s="113"/>
      <c r="AGV429" s="113"/>
      <c r="AGW429" s="113"/>
      <c r="AGX429" s="113"/>
      <c r="AGY429" s="113"/>
      <c r="AGZ429" s="113"/>
      <c r="AHA429" s="113"/>
      <c r="AHB429" s="113"/>
      <c r="AHC429" s="113"/>
      <c r="AHD429" s="113"/>
      <c r="AHE429" s="113"/>
      <c r="AHF429" s="113"/>
      <c r="AHG429" s="113"/>
      <c r="AHH429" s="113"/>
      <c r="AHI429" s="113"/>
      <c r="AHJ429" s="113"/>
      <c r="AHK429" s="113"/>
      <c r="AHL429" s="113"/>
      <c r="AHM429" s="113"/>
      <c r="AHN429" s="113"/>
      <c r="AHO429" s="113"/>
      <c r="AHP429" s="113"/>
      <c r="AHQ429" s="113"/>
      <c r="AHR429" s="113"/>
      <c r="AHS429" s="113"/>
      <c r="AHT429" s="113"/>
      <c r="AHU429" s="113"/>
      <c r="AHV429" s="113"/>
      <c r="AHW429" s="113"/>
      <c r="AHX429" s="113"/>
      <c r="AHY429" s="113"/>
      <c r="AHZ429" s="113"/>
      <c r="AIA429" s="113"/>
      <c r="AIB429" s="113"/>
      <c r="AIC429" s="113"/>
      <c r="AID429" s="113"/>
      <c r="AIE429" s="113"/>
      <c r="AIF429" s="113"/>
      <c r="AIG429" s="113"/>
      <c r="AIH429" s="113"/>
      <c r="AII429" s="113"/>
      <c r="AIJ429" s="113"/>
      <c r="AIK429" s="113"/>
      <c r="AIL429" s="113"/>
      <c r="AIM429" s="113"/>
      <c r="AIN429" s="113"/>
      <c r="AIO429" s="113"/>
      <c r="AIP429" s="113"/>
      <c r="AIQ429" s="113"/>
      <c r="AIR429" s="113"/>
      <c r="AIS429" s="113"/>
      <c r="AIT429" s="113"/>
      <c r="AIU429" s="113"/>
      <c r="AIV429" s="113"/>
      <c r="AIW429" s="113"/>
      <c r="AIX429" s="113"/>
      <c r="AIY429" s="113"/>
      <c r="AIZ429" s="113"/>
    </row>
    <row r="430">
      <c r="A430" s="65" t="s">
        <v>67</v>
      </c>
      <c r="B430" s="65" t="s">
        <v>93</v>
      </c>
      <c r="C430" s="65"/>
      <c r="D430" s="64">
        <f t="shared" si="1"/>
        <v>472.12055</v>
      </c>
      <c r="F430" s="65">
        <v>17.0268166666667</v>
      </c>
      <c r="G430" s="65">
        <v>2.93123333333333</v>
      </c>
      <c r="H430" s="65">
        <v>1.59108333333333</v>
      </c>
      <c r="J430" s="65">
        <v>0.231533333333333</v>
      </c>
      <c r="K430" s="65">
        <v>13.6833666666667</v>
      </c>
      <c r="N430" s="65">
        <v>6.4336</v>
      </c>
      <c r="Q430" s="65">
        <v>63.0317333333333</v>
      </c>
      <c r="R430" s="65">
        <v>50.8953833333333</v>
      </c>
      <c r="S430" s="65">
        <v>30.29205</v>
      </c>
      <c r="T430" s="65">
        <v>35.5218166666667</v>
      </c>
      <c r="U430" s="65">
        <v>70.6761833333333</v>
      </c>
      <c r="X430" s="65">
        <v>1.39565</v>
      </c>
      <c r="Y430" s="65">
        <v>3.66453333333333</v>
      </c>
      <c r="Z430" s="65">
        <v>0.99235</v>
      </c>
      <c r="AA430" s="65">
        <v>1.30321666666667</v>
      </c>
      <c r="AB430" s="65">
        <v>0.8743</v>
      </c>
      <c r="AE430" s="65">
        <v>13.32465</v>
      </c>
      <c r="AF430" s="65">
        <v>29.89665</v>
      </c>
      <c r="AG430" s="65">
        <v>20.4595833333333</v>
      </c>
      <c r="AH430" s="65">
        <v>5.85343333333333</v>
      </c>
      <c r="AI430" s="65">
        <v>19.0744833333333</v>
      </c>
      <c r="AL430" s="65">
        <v>9.12525</v>
      </c>
      <c r="AM430" s="65">
        <v>2.51603333333333</v>
      </c>
      <c r="AN430" s="65">
        <v>16.39655</v>
      </c>
      <c r="AQ430" s="65">
        <v>3.04951666666667</v>
      </c>
      <c r="AR430" s="65">
        <v>10.4493166666667</v>
      </c>
      <c r="AU430" s="65">
        <v>41.4302333333333</v>
      </c>
    </row>
    <row r="431">
      <c r="A431" s="65" t="s">
        <v>67</v>
      </c>
      <c r="B431" s="65" t="s">
        <v>93</v>
      </c>
      <c r="C431" s="65"/>
      <c r="D431" s="64">
        <f t="shared" si="1"/>
        <v>0</v>
      </c>
    </row>
    <row r="432">
      <c r="A432" s="65" t="s">
        <v>67</v>
      </c>
      <c r="B432" s="65" t="s">
        <v>93</v>
      </c>
      <c r="C432" s="65"/>
      <c r="D432" s="64">
        <f t="shared" si="1"/>
        <v>422.0769333</v>
      </c>
      <c r="F432" s="118">
        <f>HYPERLINK("https://docs.google.com/spreadsheets/d/1rsGMBrPmVtiUhNxW14fm39A0yECFxEqO", 13.9288833333333)</f>
        <v>13.92888333</v>
      </c>
      <c r="G432" s="118">
        <f>HYPERLINK("https://docs.google.com/spreadsheets/d/130XSQo2ybPRxCjDlimu04me73sbD8VPE", 2.93123333333333)</f>
        <v>2.931233333</v>
      </c>
      <c r="H432" s="118">
        <f>HYPERLINK("https://docs.google.com/spreadsheets/d/1klHaygOwYpFCb1owcfMjxfqPp5SF8AOo", 1.59108333333333)</f>
        <v>1.591083333</v>
      </c>
      <c r="J432" s="118">
        <f>HYPERLINK("https://docs.google.com/spreadsheets/d/1DCaqK69gMzZ8YDy-co80G80GnadKjvnY", 0)</f>
        <v>0</v>
      </c>
      <c r="K432" s="118">
        <f>HYPERLINK("https://docs.google.com/spreadsheets/d/1JVRbYVWB2flYUQA7dDxRE-qgXMLML6dL", 13.0264833333333)</f>
        <v>13.02648333</v>
      </c>
      <c r="N432" s="118">
        <f>HYPERLINK("https://docs.google.com/spreadsheets/d/1fzOXe6dIuzXFUoLN8vS577EAvSZbkX7j", 6.4336)</f>
        <v>6.4336</v>
      </c>
      <c r="Q432" s="118">
        <f>HYPERLINK("https://docs.google.com/spreadsheets/d/1R3urg4JqM3I90fw0PSfotkuqjdhHOQ7i", 28.7788166666667)</f>
        <v>28.77881667</v>
      </c>
      <c r="R432" s="118">
        <f>HYPERLINK("https://docs.google.com/spreadsheets/d/16_tPwI2k9K6CSu8OaWlAuP7Eu3UcVeH3", 50.89535)</f>
        <v>50.89535</v>
      </c>
      <c r="S432" s="118">
        <f>HYPERLINK("https://docs.google.com/spreadsheets/d/1cro6Ue_TRnqo5rVP0yBalLnGaxzOs4dl", 30.292)</f>
        <v>30.292</v>
      </c>
      <c r="T432" s="118">
        <f>HYPERLINK("https://docs.google.com/spreadsheets/d/1JCEfVcrJtoGBNpfPsOGkMl2A3bcvv92w", 32.4136833333333)</f>
        <v>32.41368333</v>
      </c>
      <c r="U432" s="118">
        <f>HYPERLINK("https://docs.google.com/spreadsheets/d/1pvOqW6VFoVPvnPcG3mhhdOGN0_hZmAmR", 70.1158666666667)</f>
        <v>70.11586667</v>
      </c>
      <c r="X432" s="118">
        <f>HYPERLINK("https://docs.google.com/spreadsheets/d/1LDnDDWvJDAT8Dsx69SawY7OIXqgtXvbJ", 0.243666666666667)</f>
        <v>0.2436666667</v>
      </c>
      <c r="Y432" s="118">
        <f>HYPERLINK("https://docs.google.com/spreadsheets/d/1X_fXmAh4kk7aeMmZS12o8vwBUMOgH6jZ", 3.66451666666667)</f>
        <v>3.664516667</v>
      </c>
      <c r="Z432" s="118">
        <f>HYPERLINK("https://docs.google.com/spreadsheets/d/1Fq1O5SyXelYGOM2-qLApGyRFQDcGzvxE", 0.99235)</f>
        <v>0.99235</v>
      </c>
      <c r="AA432" s="118">
        <f>HYPERLINK("https://docs.google.com/spreadsheets/d/1JG4-JEGy3mvLiOpbvjJJnCbEU3nb8XCZ", 0.9911)</f>
        <v>0.9911</v>
      </c>
      <c r="AB432" s="118">
        <f>HYPERLINK("https://docs.google.com/spreadsheets/d/1cu70IfPvM3GXOmDvN4q9HgQEZVYhXdsu", 0.8743)</f>
        <v>0.8743</v>
      </c>
      <c r="AE432" s="118">
        <f>HYPERLINK("https://docs.google.com/spreadsheets/d/1TzGfRMN2wKxGwz5DtBZtWxp9qn6X1eaU", 11.0687666666667)</f>
        <v>11.06876667</v>
      </c>
      <c r="AF432" s="118">
        <f>HYPERLINK("https://docs.google.com/spreadsheets/d/1RUbuLwagBRieTNCsX5HTDf_m5Rz5NxsU", 29.6956333333333)</f>
        <v>29.69563333</v>
      </c>
      <c r="AG432" s="118">
        <f>HYPERLINK("https://docs.google.com/spreadsheets/d/1bfHslzsLveJHIMDmC1J-yN5bH2p7jpIc", 20.4596)</f>
        <v>20.4596</v>
      </c>
      <c r="AH432" s="118">
        <f>HYPERLINK("https://docs.google.com/spreadsheets/d/1LDttRyd8NoBqevapAMJs4uJrAODSq88_", 5.85343333333333)</f>
        <v>5.853433333</v>
      </c>
      <c r="AI432" s="118">
        <f>HYPERLINK("https://docs.google.com/spreadsheets/d/1sydvBNi0RNzy6i0dxbXt9m68cofIuBxY", 19.0744833333333)</f>
        <v>19.07448333</v>
      </c>
      <c r="AL432" s="118">
        <f>HYPERLINK("https://docs.google.com/spreadsheets/d/19uE-R_DoxB8az_nzlyP2zxZKXw3-S1G7", 5.06821666666667)</f>
        <v>5.068216667</v>
      </c>
      <c r="AM432" s="118">
        <f>HYPERLINK("https://docs.google.com/spreadsheets/d/1UZvUzme29bQqb4SUN-LvwD8CJR4YXVlO", 2.51603333333333)</f>
        <v>2.516033333</v>
      </c>
      <c r="AN432" s="118">
        <f>HYPERLINK("https://docs.google.com/spreadsheets/d/1N913bON18XW94c1RlQRcRyLxZQPU8cIp", 16.39655)</f>
        <v>16.39655</v>
      </c>
      <c r="AQ432" s="118">
        <f>HYPERLINK("https://docs.google.com/spreadsheets/d/1ydYgg00Ai-TGmaj7KQdk-zSPy-QZfErT", 3.04951666666667)</f>
        <v>3.049516667</v>
      </c>
      <c r="AR432" s="118">
        <f>HYPERLINK("https://docs.google.com/spreadsheets/d/1eWzxeGydZQUMAy_TJ4KQScMMY1WchXVY", 10.4492666666667)</f>
        <v>10.44926667</v>
      </c>
      <c r="AU432" s="118">
        <f>HYPERLINK("https://docs.google.com/spreadsheets/d/1mvSEzygJaRsWWwr8q9YJLX_-Y1nT9yEk", 41.2725)</f>
        <v>41.2725</v>
      </c>
    </row>
    <row r="433">
      <c r="A433" s="65" t="s">
        <v>67</v>
      </c>
      <c r="B433" s="65" t="s">
        <v>93</v>
      </c>
      <c r="C433" s="65"/>
      <c r="D433" s="64">
        <f t="shared" si="1"/>
        <v>197.4681</v>
      </c>
      <c r="F433" s="65">
        <v>6.28428333333333</v>
      </c>
      <c r="G433" s="65">
        <v>1.96186666666667</v>
      </c>
      <c r="H433" s="65">
        <v>0.0</v>
      </c>
      <c r="K433" s="65">
        <v>2.54556666666667</v>
      </c>
      <c r="N433" s="65">
        <v>3.12501666666667</v>
      </c>
      <c r="Q433" s="65">
        <v>18.7529166666667</v>
      </c>
      <c r="R433" s="65">
        <v>27.0265</v>
      </c>
      <c r="S433" s="65">
        <v>21.69105</v>
      </c>
      <c r="T433" s="65">
        <v>21.39775</v>
      </c>
      <c r="U433" s="65">
        <v>29.95345</v>
      </c>
      <c r="X433" s="65">
        <v>0.243666666666667</v>
      </c>
      <c r="Y433" s="65">
        <v>0.438583333333333</v>
      </c>
      <c r="Z433" s="65">
        <v>0.227383333333333</v>
      </c>
      <c r="AA433" s="65">
        <v>0.252766666666667</v>
      </c>
      <c r="AB433" s="65">
        <v>0.270483333333333</v>
      </c>
      <c r="AE433" s="65">
        <v>3.94025</v>
      </c>
      <c r="AF433" s="65">
        <v>8.38256666666667</v>
      </c>
      <c r="AG433" s="65">
        <v>8.92578333333334</v>
      </c>
      <c r="AH433" s="65">
        <v>4.16288333333333</v>
      </c>
      <c r="AI433" s="65">
        <v>6.5665</v>
      </c>
      <c r="AL433" s="65">
        <v>1.0948</v>
      </c>
      <c r="AM433" s="65">
        <v>0.50325</v>
      </c>
      <c r="AN433" s="65">
        <v>4.15586666666667</v>
      </c>
      <c r="AQ433" s="65">
        <v>1.99105</v>
      </c>
      <c r="AR433" s="65">
        <v>6.53206666666667</v>
      </c>
      <c r="AU433" s="65">
        <v>17.0418</v>
      </c>
    </row>
    <row r="434">
      <c r="A434" s="119" t="s">
        <v>67</v>
      </c>
      <c r="B434" s="119" t="s">
        <v>93</v>
      </c>
      <c r="C434" s="119"/>
      <c r="D434" s="120">
        <f t="shared" si="1"/>
        <v>0</v>
      </c>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c r="AA434" s="120"/>
      <c r="AB434" s="120"/>
      <c r="AC434" s="120"/>
      <c r="AD434" s="120"/>
      <c r="AE434" s="120"/>
      <c r="AF434" s="120"/>
      <c r="AG434" s="120"/>
      <c r="AH434" s="120"/>
      <c r="AI434" s="120"/>
      <c r="AJ434" s="120"/>
      <c r="AK434" s="120"/>
      <c r="AL434" s="120"/>
      <c r="AM434" s="120"/>
      <c r="AN434" s="120"/>
      <c r="AO434" s="120"/>
      <c r="AP434" s="120"/>
      <c r="AQ434" s="120"/>
      <c r="AR434" s="120"/>
      <c r="AS434" s="120"/>
      <c r="AT434" s="120"/>
      <c r="AU434" s="120"/>
      <c r="AV434" s="120"/>
      <c r="AW434" s="120"/>
      <c r="AX434" s="120"/>
      <c r="AY434" s="120"/>
      <c r="AZ434" s="120"/>
      <c r="BA434" s="120"/>
      <c r="BB434" s="120"/>
      <c r="BC434" s="120"/>
      <c r="BD434" s="120"/>
      <c r="BE434" s="120"/>
      <c r="BF434" s="120"/>
      <c r="BG434" s="120"/>
      <c r="BH434" s="120"/>
      <c r="BI434" s="120"/>
      <c r="BJ434" s="120"/>
      <c r="BK434" s="120"/>
      <c r="BL434" s="120"/>
      <c r="BM434" s="120"/>
      <c r="BN434" s="120"/>
      <c r="BO434" s="120"/>
      <c r="BP434" s="120"/>
      <c r="BQ434" s="120"/>
      <c r="BR434" s="120"/>
      <c r="BS434" s="120"/>
      <c r="BT434" s="120"/>
      <c r="BU434" s="120"/>
      <c r="BV434" s="120"/>
      <c r="BW434" s="120"/>
      <c r="BX434" s="120"/>
      <c r="BY434" s="120"/>
      <c r="BZ434" s="120"/>
      <c r="CA434" s="120"/>
      <c r="CB434" s="120"/>
      <c r="CC434" s="120"/>
      <c r="CD434" s="120"/>
      <c r="CE434" s="120"/>
      <c r="CF434" s="120"/>
      <c r="CG434" s="120"/>
      <c r="CH434" s="120"/>
      <c r="CI434" s="120"/>
      <c r="CJ434" s="120"/>
      <c r="CK434" s="120"/>
      <c r="CL434" s="120"/>
      <c r="CM434" s="120"/>
      <c r="CN434" s="120"/>
      <c r="CO434" s="120"/>
      <c r="CP434" s="120"/>
      <c r="CQ434" s="120"/>
      <c r="CR434" s="120"/>
      <c r="CS434" s="120"/>
      <c r="CT434" s="120"/>
      <c r="CU434" s="120"/>
      <c r="CV434" s="120"/>
      <c r="CW434" s="120"/>
      <c r="CX434" s="120"/>
      <c r="CY434" s="120"/>
      <c r="CZ434" s="120"/>
      <c r="DA434" s="120"/>
      <c r="DB434" s="120"/>
      <c r="DC434" s="120"/>
      <c r="DD434" s="120"/>
      <c r="DE434" s="120"/>
      <c r="DF434" s="120"/>
      <c r="DG434" s="120"/>
      <c r="DH434" s="120"/>
      <c r="DI434" s="120"/>
      <c r="DJ434" s="120"/>
      <c r="DK434" s="120"/>
      <c r="DL434" s="120"/>
      <c r="DM434" s="120"/>
      <c r="DN434" s="120"/>
      <c r="DO434" s="120"/>
      <c r="DP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120"/>
      <c r="EK434" s="120"/>
      <c r="EL434" s="120"/>
      <c r="EM434" s="120"/>
      <c r="EN434" s="120"/>
      <c r="EO434" s="120"/>
      <c r="EP434" s="120"/>
      <c r="EQ434" s="120"/>
      <c r="ER434" s="120"/>
      <c r="ES434" s="120"/>
      <c r="ET434" s="120"/>
      <c r="EU434" s="120"/>
      <c r="EV434" s="120"/>
      <c r="EW434" s="120"/>
      <c r="EX434" s="120"/>
      <c r="EY434" s="120"/>
      <c r="EZ434" s="120"/>
      <c r="FA434" s="120"/>
      <c r="FB434" s="120"/>
      <c r="FC434" s="120"/>
      <c r="FD434" s="120"/>
      <c r="FE434" s="120"/>
      <c r="FF434" s="120"/>
      <c r="FG434" s="120"/>
      <c r="FH434" s="120"/>
      <c r="FI434" s="120"/>
      <c r="FJ434" s="120"/>
      <c r="FK434" s="120"/>
      <c r="FL434" s="120"/>
      <c r="FM434" s="120"/>
      <c r="FN434" s="120"/>
      <c r="FO434" s="120"/>
      <c r="FP434" s="120"/>
      <c r="FQ434" s="120"/>
      <c r="FR434" s="120"/>
      <c r="FS434" s="120"/>
      <c r="FT434" s="120"/>
      <c r="FU434" s="120"/>
      <c r="FV434" s="120"/>
      <c r="FW434" s="120"/>
      <c r="FX434" s="120"/>
      <c r="FY434" s="120"/>
      <c r="FZ434" s="120"/>
      <c r="GA434" s="120"/>
      <c r="GB434" s="120"/>
      <c r="GC434" s="120"/>
      <c r="GD434" s="120"/>
      <c r="GE434" s="120"/>
      <c r="GF434" s="120"/>
      <c r="GG434" s="120"/>
      <c r="GH434" s="120"/>
      <c r="GI434" s="120"/>
      <c r="GJ434" s="120"/>
      <c r="GK434" s="120"/>
      <c r="GL434" s="120"/>
      <c r="GM434" s="120"/>
      <c r="GN434" s="120"/>
      <c r="GO434" s="120"/>
      <c r="GP434" s="120"/>
      <c r="GQ434" s="120"/>
      <c r="GR434" s="120"/>
      <c r="GS434" s="120"/>
      <c r="GT434" s="120"/>
      <c r="GU434" s="120"/>
      <c r="GV434" s="120"/>
      <c r="GW434" s="120"/>
      <c r="GX434" s="120"/>
      <c r="GY434" s="120"/>
      <c r="GZ434" s="120"/>
      <c r="HA434" s="120"/>
      <c r="HB434" s="120"/>
      <c r="HC434" s="120"/>
      <c r="HD434" s="120"/>
      <c r="HE434" s="120"/>
      <c r="HF434" s="120"/>
      <c r="HG434" s="120"/>
      <c r="HH434" s="120"/>
      <c r="HI434" s="120"/>
      <c r="HJ434" s="120"/>
      <c r="HK434" s="120"/>
      <c r="HL434" s="120"/>
      <c r="HM434" s="120"/>
      <c r="HN434" s="120"/>
      <c r="HO434" s="120"/>
      <c r="HP434" s="120"/>
      <c r="HQ434" s="120"/>
      <c r="HR434" s="120"/>
      <c r="HS434" s="120"/>
      <c r="HT434" s="120"/>
      <c r="HU434" s="120"/>
      <c r="HV434" s="120"/>
      <c r="HW434" s="120"/>
      <c r="HX434" s="120"/>
      <c r="HY434" s="120"/>
      <c r="HZ434" s="120"/>
      <c r="IA434" s="120"/>
      <c r="IB434" s="120"/>
      <c r="IC434" s="120"/>
      <c r="ID434" s="120"/>
      <c r="IE434" s="120"/>
      <c r="IF434" s="120"/>
      <c r="IG434" s="120"/>
      <c r="IH434" s="120"/>
      <c r="II434" s="120"/>
      <c r="IJ434" s="120"/>
      <c r="IK434" s="120"/>
      <c r="IL434" s="120"/>
      <c r="IM434" s="120"/>
      <c r="IN434" s="120"/>
      <c r="IO434" s="120"/>
      <c r="IP434" s="120"/>
      <c r="IQ434" s="120"/>
      <c r="IR434" s="120"/>
      <c r="IS434" s="120"/>
      <c r="IT434" s="120"/>
      <c r="IU434" s="120"/>
      <c r="IV434" s="120"/>
      <c r="IW434" s="120"/>
      <c r="IX434" s="120"/>
      <c r="IY434" s="120"/>
      <c r="IZ434" s="120"/>
      <c r="JA434" s="120"/>
      <c r="JB434" s="120"/>
      <c r="JC434" s="120"/>
      <c r="JD434" s="120"/>
      <c r="JE434" s="120"/>
      <c r="JF434" s="120"/>
      <c r="JG434" s="120"/>
      <c r="JH434" s="120"/>
      <c r="JI434" s="120"/>
      <c r="JJ434" s="120"/>
      <c r="JK434" s="120"/>
      <c r="JL434" s="120"/>
      <c r="JM434" s="120"/>
      <c r="JN434" s="120"/>
      <c r="JO434" s="120"/>
      <c r="JP434" s="120"/>
      <c r="JQ434" s="120"/>
      <c r="JR434" s="120"/>
      <c r="JS434" s="120"/>
      <c r="JT434" s="120"/>
      <c r="JU434" s="120"/>
      <c r="JV434" s="120"/>
      <c r="JW434" s="120"/>
      <c r="JX434" s="120"/>
      <c r="JY434" s="120"/>
      <c r="JZ434" s="120"/>
      <c r="KA434" s="120"/>
      <c r="KB434" s="120"/>
      <c r="KC434" s="120"/>
      <c r="KD434" s="120"/>
      <c r="KE434" s="120"/>
      <c r="KF434" s="120"/>
      <c r="KG434" s="120"/>
      <c r="KH434" s="120"/>
      <c r="KI434" s="120"/>
      <c r="KJ434" s="120"/>
      <c r="KK434" s="120"/>
      <c r="KL434" s="120"/>
      <c r="KM434" s="120"/>
      <c r="KN434" s="120"/>
      <c r="KO434" s="120"/>
      <c r="KP434" s="120"/>
      <c r="KQ434" s="120"/>
      <c r="KR434" s="120"/>
      <c r="KS434" s="120"/>
      <c r="KT434" s="120"/>
      <c r="KU434" s="120"/>
      <c r="KV434" s="120"/>
      <c r="KW434" s="120"/>
      <c r="KX434" s="120"/>
      <c r="KY434" s="120"/>
      <c r="KZ434" s="120"/>
      <c r="LA434" s="120"/>
      <c r="LB434" s="120"/>
      <c r="LC434" s="120"/>
      <c r="LD434" s="120"/>
      <c r="LE434" s="120"/>
      <c r="LF434" s="120"/>
      <c r="LG434" s="120"/>
      <c r="LH434" s="120"/>
      <c r="LI434" s="120"/>
      <c r="LJ434" s="120"/>
      <c r="LK434" s="120"/>
      <c r="LL434" s="120"/>
      <c r="LM434" s="120"/>
      <c r="LN434" s="120"/>
      <c r="LO434" s="120"/>
      <c r="LP434" s="120"/>
      <c r="LQ434" s="120"/>
      <c r="LR434" s="120"/>
      <c r="LS434" s="120"/>
      <c r="LT434" s="120"/>
      <c r="LU434" s="120"/>
      <c r="LV434" s="120"/>
      <c r="LW434" s="120"/>
      <c r="LX434" s="120"/>
      <c r="LY434" s="120"/>
      <c r="LZ434" s="120"/>
      <c r="MA434" s="120"/>
      <c r="MB434" s="120"/>
      <c r="MC434" s="120"/>
      <c r="MD434" s="120"/>
      <c r="ME434" s="120"/>
      <c r="MF434" s="120"/>
      <c r="MG434" s="120"/>
      <c r="MH434" s="120"/>
      <c r="MI434" s="120"/>
      <c r="MJ434" s="120"/>
      <c r="MK434" s="120"/>
      <c r="ML434" s="120"/>
      <c r="MM434" s="120"/>
      <c r="MN434" s="120"/>
      <c r="MO434" s="120"/>
      <c r="MP434" s="120"/>
      <c r="MQ434" s="120"/>
      <c r="MR434" s="120"/>
      <c r="MS434" s="120"/>
      <c r="MT434" s="120"/>
      <c r="MU434" s="120"/>
      <c r="MV434" s="120"/>
      <c r="MW434" s="120"/>
      <c r="MX434" s="120"/>
      <c r="MY434" s="120"/>
      <c r="MZ434" s="120"/>
      <c r="NA434" s="120"/>
      <c r="NB434" s="120"/>
      <c r="NC434" s="120"/>
      <c r="ND434" s="120"/>
      <c r="NE434" s="120"/>
      <c r="NF434" s="120"/>
      <c r="NG434" s="120"/>
      <c r="NH434" s="120"/>
      <c r="NI434" s="120"/>
      <c r="NJ434" s="120"/>
      <c r="NK434" s="120"/>
      <c r="NL434" s="120"/>
      <c r="NM434" s="120"/>
      <c r="NN434" s="120"/>
      <c r="NO434" s="120"/>
      <c r="NP434" s="120"/>
      <c r="NQ434" s="120"/>
      <c r="NR434" s="120"/>
      <c r="NS434" s="120"/>
      <c r="NT434" s="120"/>
      <c r="NU434" s="120"/>
      <c r="NV434" s="120"/>
      <c r="NW434" s="120"/>
      <c r="NX434" s="120"/>
      <c r="NY434" s="120"/>
      <c r="NZ434" s="120"/>
      <c r="OA434" s="120"/>
      <c r="OB434" s="120"/>
      <c r="OC434" s="120"/>
      <c r="OD434" s="120"/>
      <c r="OE434" s="120"/>
      <c r="OF434" s="120"/>
      <c r="OG434" s="120"/>
      <c r="OH434" s="120"/>
      <c r="OI434" s="120"/>
      <c r="OJ434" s="120"/>
      <c r="OK434" s="120"/>
      <c r="OL434" s="120"/>
      <c r="OM434" s="120"/>
      <c r="ON434" s="120"/>
      <c r="OO434" s="120"/>
      <c r="OP434" s="120"/>
      <c r="OQ434" s="120"/>
      <c r="OR434" s="120"/>
      <c r="OS434" s="120"/>
      <c r="OT434" s="120"/>
      <c r="OU434" s="120"/>
      <c r="OV434" s="120"/>
      <c r="OW434" s="120"/>
      <c r="OX434" s="120"/>
      <c r="OY434" s="120"/>
      <c r="OZ434" s="120"/>
      <c r="PA434" s="120"/>
      <c r="PB434" s="120"/>
      <c r="PC434" s="120"/>
      <c r="PD434" s="120"/>
      <c r="PE434" s="120"/>
      <c r="PF434" s="120"/>
      <c r="PG434" s="120"/>
      <c r="PH434" s="120"/>
      <c r="PI434" s="120"/>
      <c r="PJ434" s="120"/>
      <c r="PK434" s="120"/>
      <c r="PL434" s="120"/>
      <c r="PM434" s="120"/>
      <c r="PN434" s="120"/>
      <c r="PO434" s="120"/>
      <c r="PP434" s="120"/>
      <c r="PQ434" s="120"/>
      <c r="PR434" s="120"/>
      <c r="PS434" s="120"/>
      <c r="PT434" s="120"/>
      <c r="PU434" s="120"/>
      <c r="PV434" s="120"/>
      <c r="PW434" s="120"/>
      <c r="PX434" s="120"/>
      <c r="PY434" s="120"/>
      <c r="PZ434" s="120"/>
      <c r="QA434" s="120"/>
      <c r="QB434" s="120"/>
      <c r="QC434" s="120"/>
      <c r="QD434" s="120"/>
      <c r="QE434" s="120"/>
      <c r="QF434" s="120"/>
      <c r="QG434" s="120"/>
      <c r="QH434" s="120"/>
      <c r="QI434" s="120"/>
      <c r="QJ434" s="120"/>
      <c r="QK434" s="120"/>
      <c r="QL434" s="120"/>
      <c r="QM434" s="120"/>
      <c r="QN434" s="120"/>
      <c r="QO434" s="120"/>
      <c r="QP434" s="120"/>
      <c r="QQ434" s="120"/>
      <c r="QR434" s="120"/>
      <c r="QS434" s="120"/>
      <c r="QT434" s="120"/>
      <c r="QU434" s="120"/>
      <c r="QV434" s="120"/>
      <c r="QW434" s="120"/>
      <c r="QX434" s="120"/>
      <c r="QY434" s="120"/>
      <c r="QZ434" s="120"/>
      <c r="RA434" s="120"/>
      <c r="RB434" s="120"/>
      <c r="RC434" s="120"/>
      <c r="RD434" s="120"/>
      <c r="RE434" s="120"/>
      <c r="RF434" s="120"/>
      <c r="RG434" s="120"/>
      <c r="RH434" s="120"/>
      <c r="RI434" s="120"/>
      <c r="RJ434" s="120"/>
      <c r="RK434" s="120"/>
      <c r="RL434" s="120"/>
      <c r="RM434" s="120"/>
      <c r="RN434" s="120"/>
      <c r="RO434" s="120"/>
      <c r="RP434" s="120"/>
      <c r="RQ434" s="120"/>
      <c r="RR434" s="120"/>
      <c r="RS434" s="120"/>
      <c r="RT434" s="120"/>
      <c r="RU434" s="120"/>
      <c r="RV434" s="120"/>
      <c r="RW434" s="120"/>
      <c r="RX434" s="120"/>
      <c r="RY434" s="120"/>
      <c r="RZ434" s="120"/>
      <c r="SA434" s="120"/>
      <c r="SB434" s="120"/>
      <c r="SC434" s="120"/>
      <c r="SD434" s="120"/>
      <c r="SE434" s="120"/>
      <c r="SF434" s="120"/>
      <c r="SG434" s="120"/>
      <c r="SH434" s="120"/>
      <c r="SI434" s="120"/>
      <c r="SJ434" s="120"/>
      <c r="SK434" s="120"/>
      <c r="SL434" s="120"/>
      <c r="SM434" s="120"/>
      <c r="SN434" s="120"/>
      <c r="SO434" s="120"/>
      <c r="SP434" s="120"/>
      <c r="SQ434" s="120"/>
      <c r="SR434" s="120"/>
      <c r="SS434" s="120"/>
      <c r="ST434" s="120"/>
      <c r="SU434" s="120"/>
      <c r="SV434" s="120"/>
      <c r="SW434" s="120"/>
      <c r="SX434" s="120"/>
      <c r="SY434" s="120"/>
      <c r="SZ434" s="120"/>
      <c r="TA434" s="120"/>
      <c r="TB434" s="120"/>
      <c r="TC434" s="120"/>
      <c r="TD434" s="120"/>
      <c r="TE434" s="120"/>
      <c r="TF434" s="120"/>
      <c r="TG434" s="120"/>
      <c r="TH434" s="120"/>
      <c r="TI434" s="120"/>
      <c r="TJ434" s="120"/>
      <c r="TK434" s="120"/>
      <c r="TL434" s="120"/>
      <c r="TM434" s="120"/>
      <c r="TN434" s="120"/>
      <c r="TO434" s="120"/>
      <c r="TP434" s="120"/>
      <c r="TQ434" s="120"/>
      <c r="TR434" s="120"/>
      <c r="TS434" s="120"/>
      <c r="TT434" s="120"/>
      <c r="TU434" s="120"/>
      <c r="TV434" s="120"/>
      <c r="TW434" s="120"/>
      <c r="TX434" s="120"/>
      <c r="TY434" s="120"/>
      <c r="TZ434" s="120"/>
      <c r="UA434" s="120"/>
      <c r="UB434" s="120"/>
      <c r="UC434" s="120"/>
      <c r="UD434" s="120"/>
      <c r="UE434" s="120"/>
      <c r="UF434" s="120"/>
      <c r="UG434" s="120"/>
      <c r="UH434" s="120"/>
      <c r="UI434" s="120"/>
      <c r="UJ434" s="120"/>
      <c r="UK434" s="120"/>
      <c r="UL434" s="120"/>
      <c r="UM434" s="120"/>
      <c r="UN434" s="120"/>
      <c r="UO434" s="120"/>
      <c r="UP434" s="120"/>
      <c r="UQ434" s="120"/>
      <c r="UR434" s="120"/>
      <c r="US434" s="120"/>
      <c r="UT434" s="120"/>
      <c r="UU434" s="120"/>
      <c r="UV434" s="120"/>
      <c r="UW434" s="120"/>
      <c r="UX434" s="120"/>
      <c r="UY434" s="120"/>
      <c r="UZ434" s="120"/>
      <c r="VA434" s="120"/>
      <c r="VB434" s="120"/>
      <c r="VC434" s="120"/>
      <c r="VD434" s="120"/>
      <c r="VE434" s="120"/>
      <c r="VF434" s="120"/>
      <c r="VG434" s="120"/>
      <c r="VH434" s="120"/>
      <c r="VI434" s="120"/>
      <c r="VJ434" s="120"/>
      <c r="VK434" s="120"/>
      <c r="VL434" s="120"/>
      <c r="VM434" s="120"/>
      <c r="VN434" s="120"/>
      <c r="VO434" s="120"/>
      <c r="VP434" s="120"/>
      <c r="VQ434" s="120"/>
      <c r="VR434" s="120"/>
      <c r="VS434" s="120"/>
      <c r="VT434" s="120"/>
      <c r="VU434" s="120"/>
      <c r="VV434" s="120"/>
      <c r="VW434" s="120"/>
      <c r="VX434" s="120"/>
      <c r="VY434" s="120"/>
      <c r="VZ434" s="120"/>
      <c r="WA434" s="120"/>
      <c r="WB434" s="120"/>
      <c r="WC434" s="120"/>
      <c r="WD434" s="120"/>
      <c r="WE434" s="120"/>
      <c r="WF434" s="120"/>
      <c r="WG434" s="120"/>
      <c r="WH434" s="120"/>
      <c r="WI434" s="120"/>
      <c r="WJ434" s="120"/>
      <c r="WK434" s="120"/>
      <c r="WL434" s="120"/>
      <c r="WM434" s="120"/>
      <c r="WN434" s="120"/>
      <c r="WO434" s="120"/>
      <c r="WP434" s="120"/>
      <c r="WQ434" s="120"/>
      <c r="WR434" s="120"/>
      <c r="WS434" s="120"/>
      <c r="WT434" s="120"/>
      <c r="WU434" s="120"/>
      <c r="WV434" s="120"/>
      <c r="WW434" s="120"/>
      <c r="WX434" s="120"/>
      <c r="WY434" s="120"/>
      <c r="WZ434" s="120"/>
      <c r="XA434" s="120"/>
      <c r="XB434" s="120"/>
      <c r="XC434" s="120"/>
      <c r="XD434" s="120"/>
      <c r="XE434" s="120"/>
      <c r="XF434" s="120"/>
      <c r="XG434" s="120"/>
      <c r="XH434" s="120"/>
      <c r="XI434" s="120"/>
      <c r="XJ434" s="120"/>
      <c r="XK434" s="120"/>
      <c r="XL434" s="120"/>
      <c r="XM434" s="120"/>
      <c r="XN434" s="120"/>
      <c r="XO434" s="120"/>
      <c r="XP434" s="120"/>
      <c r="XQ434" s="120"/>
      <c r="XR434" s="120"/>
      <c r="XS434" s="120"/>
      <c r="XT434" s="120"/>
      <c r="XU434" s="120"/>
      <c r="XV434" s="120"/>
      <c r="XW434" s="120"/>
      <c r="XX434" s="120"/>
      <c r="XY434" s="120"/>
      <c r="XZ434" s="120"/>
      <c r="YA434" s="120"/>
      <c r="YB434" s="120"/>
      <c r="YC434" s="120"/>
      <c r="YD434" s="120"/>
      <c r="YE434" s="120"/>
      <c r="YF434" s="120"/>
      <c r="YG434" s="120"/>
      <c r="YH434" s="120"/>
      <c r="YI434" s="120"/>
      <c r="YJ434" s="120"/>
      <c r="YK434" s="120"/>
      <c r="YL434" s="120"/>
      <c r="YM434" s="120"/>
      <c r="YN434" s="120"/>
      <c r="YO434" s="120"/>
      <c r="YP434" s="120"/>
      <c r="YQ434" s="120"/>
      <c r="YR434" s="120"/>
      <c r="YS434" s="120"/>
      <c r="YT434" s="120"/>
      <c r="YU434" s="120"/>
      <c r="YV434" s="120"/>
      <c r="YW434" s="120"/>
      <c r="YX434" s="120"/>
      <c r="YY434" s="120"/>
      <c r="YZ434" s="120"/>
      <c r="ZA434" s="120"/>
      <c r="ZB434" s="120"/>
      <c r="ZC434" s="120"/>
      <c r="ZD434" s="120"/>
      <c r="ZE434" s="120"/>
      <c r="ZF434" s="120"/>
      <c r="ZG434" s="120"/>
      <c r="ZH434" s="120"/>
      <c r="ZI434" s="120"/>
      <c r="ZJ434" s="120"/>
      <c r="ZK434" s="120"/>
      <c r="ZL434" s="120"/>
      <c r="ZM434" s="120"/>
      <c r="ZN434" s="120"/>
      <c r="ZO434" s="120"/>
      <c r="ZP434" s="120"/>
      <c r="ZQ434" s="120"/>
      <c r="ZR434" s="120"/>
      <c r="ZS434" s="120"/>
      <c r="ZT434" s="120"/>
      <c r="ZU434" s="120"/>
      <c r="ZV434" s="120"/>
      <c r="ZW434" s="120"/>
      <c r="ZX434" s="120"/>
      <c r="ZY434" s="120"/>
      <c r="ZZ434" s="120"/>
      <c r="AAA434" s="120"/>
      <c r="AAB434" s="120"/>
      <c r="AAC434" s="120"/>
      <c r="AAD434" s="120"/>
      <c r="AAE434" s="120"/>
      <c r="AAF434" s="120"/>
      <c r="AAG434" s="120"/>
      <c r="AAH434" s="120"/>
      <c r="AAI434" s="120"/>
      <c r="AAJ434" s="120"/>
      <c r="AAK434" s="120"/>
      <c r="AAL434" s="120"/>
      <c r="AAM434" s="120"/>
      <c r="AAN434" s="120"/>
      <c r="AAO434" s="120"/>
      <c r="AAP434" s="120"/>
      <c r="AAQ434" s="120"/>
      <c r="AAR434" s="120"/>
      <c r="AAS434" s="120"/>
      <c r="AAT434" s="120"/>
      <c r="AAU434" s="120"/>
      <c r="AAV434" s="120"/>
      <c r="AAW434" s="120"/>
      <c r="AAX434" s="120"/>
      <c r="AAY434" s="120"/>
      <c r="AAZ434" s="120"/>
      <c r="ABA434" s="120"/>
      <c r="ABB434" s="120"/>
      <c r="ABC434" s="120"/>
      <c r="ABD434" s="120"/>
      <c r="ABE434" s="120"/>
      <c r="ABF434" s="120"/>
      <c r="ABG434" s="120"/>
      <c r="ABH434" s="120"/>
      <c r="ABI434" s="120"/>
      <c r="ABJ434" s="120"/>
      <c r="ABK434" s="120"/>
      <c r="ABL434" s="120"/>
      <c r="ABM434" s="120"/>
      <c r="ABN434" s="120"/>
      <c r="ABO434" s="120"/>
      <c r="ABP434" s="120"/>
      <c r="ABQ434" s="120"/>
      <c r="ABR434" s="120"/>
      <c r="ABS434" s="120"/>
      <c r="ABT434" s="120"/>
      <c r="ABU434" s="120"/>
      <c r="ABV434" s="120"/>
      <c r="ABW434" s="120"/>
      <c r="ABX434" s="120"/>
      <c r="ABY434" s="120"/>
      <c r="ABZ434" s="120"/>
      <c r="ACA434" s="120"/>
      <c r="ACB434" s="120"/>
      <c r="ACC434" s="120"/>
      <c r="ACD434" s="120"/>
      <c r="ACE434" s="120"/>
      <c r="ACF434" s="120"/>
      <c r="ACG434" s="120"/>
      <c r="ACH434" s="120"/>
      <c r="ACI434" s="120"/>
      <c r="ACJ434" s="120"/>
      <c r="ACK434" s="120"/>
      <c r="ACL434" s="120"/>
      <c r="ACM434" s="120"/>
      <c r="ACN434" s="120"/>
      <c r="ACO434" s="120"/>
      <c r="ACP434" s="120"/>
      <c r="ACQ434" s="120"/>
      <c r="ACR434" s="120"/>
      <c r="ACS434" s="120"/>
      <c r="ACT434" s="120"/>
      <c r="ACU434" s="120"/>
      <c r="ACV434" s="120"/>
      <c r="ACW434" s="120"/>
      <c r="ACX434" s="120"/>
      <c r="ACY434" s="120"/>
      <c r="ACZ434" s="120"/>
      <c r="ADA434" s="120"/>
      <c r="ADB434" s="120"/>
      <c r="ADC434" s="120"/>
      <c r="ADD434" s="120"/>
      <c r="ADE434" s="120"/>
      <c r="ADF434" s="120"/>
      <c r="ADG434" s="120"/>
      <c r="ADH434" s="120"/>
      <c r="ADI434" s="120"/>
      <c r="ADJ434" s="120"/>
      <c r="ADK434" s="120"/>
      <c r="ADL434" s="120"/>
      <c r="ADM434" s="120"/>
      <c r="ADN434" s="120"/>
      <c r="ADO434" s="120"/>
      <c r="ADP434" s="120"/>
      <c r="ADQ434" s="120"/>
      <c r="ADR434" s="120"/>
      <c r="ADS434" s="120"/>
      <c r="ADT434" s="120"/>
      <c r="ADU434" s="120"/>
      <c r="ADV434" s="120"/>
      <c r="ADW434" s="120"/>
      <c r="ADX434" s="120"/>
      <c r="ADY434" s="120"/>
      <c r="ADZ434" s="120"/>
      <c r="AEA434" s="120"/>
      <c r="AEB434" s="120"/>
      <c r="AEC434" s="120"/>
      <c r="AED434" s="120"/>
      <c r="AEE434" s="120"/>
      <c r="AEF434" s="120"/>
      <c r="AEG434" s="120"/>
      <c r="AEH434" s="120"/>
      <c r="AEI434" s="120"/>
      <c r="AEJ434" s="120"/>
      <c r="AEK434" s="120"/>
      <c r="AEL434" s="120"/>
      <c r="AEM434" s="120"/>
      <c r="AEN434" s="120"/>
      <c r="AEO434" s="120"/>
      <c r="AEP434" s="120"/>
      <c r="AEQ434" s="120"/>
      <c r="AER434" s="120"/>
      <c r="AES434" s="120"/>
      <c r="AET434" s="120"/>
      <c r="AEU434" s="120"/>
      <c r="AEV434" s="120"/>
      <c r="AEW434" s="120"/>
      <c r="AEX434" s="120"/>
      <c r="AEY434" s="120"/>
      <c r="AEZ434" s="120"/>
      <c r="AFA434" s="120"/>
      <c r="AFB434" s="120"/>
      <c r="AFC434" s="120"/>
      <c r="AFD434" s="120"/>
      <c r="AFE434" s="120"/>
      <c r="AFF434" s="120"/>
      <c r="AFG434" s="120"/>
      <c r="AFH434" s="120"/>
      <c r="AFI434" s="120"/>
      <c r="AFJ434" s="120"/>
      <c r="AFK434" s="120"/>
      <c r="AFL434" s="120"/>
      <c r="AFM434" s="120"/>
      <c r="AFN434" s="120"/>
      <c r="AFO434" s="120"/>
      <c r="AFP434" s="120"/>
      <c r="AFQ434" s="120"/>
      <c r="AFR434" s="120"/>
      <c r="AFS434" s="120"/>
      <c r="AFT434" s="120"/>
      <c r="AFU434" s="120"/>
      <c r="AFV434" s="120"/>
      <c r="AFW434" s="120"/>
      <c r="AFX434" s="120"/>
      <c r="AFY434" s="120"/>
      <c r="AFZ434" s="120"/>
      <c r="AGA434" s="120"/>
      <c r="AGB434" s="120"/>
      <c r="AGC434" s="120"/>
      <c r="AGD434" s="120"/>
      <c r="AGE434" s="120"/>
      <c r="AGF434" s="120"/>
      <c r="AGG434" s="120"/>
      <c r="AGH434" s="120"/>
      <c r="AGI434" s="120"/>
      <c r="AGJ434" s="120"/>
      <c r="AGK434" s="120"/>
      <c r="AGL434" s="120"/>
      <c r="AGM434" s="120"/>
      <c r="AGN434" s="120"/>
      <c r="AGO434" s="120"/>
      <c r="AGP434" s="120"/>
      <c r="AGQ434" s="120"/>
      <c r="AGR434" s="120"/>
      <c r="AGS434" s="120"/>
      <c r="AGT434" s="120"/>
      <c r="AGU434" s="120"/>
      <c r="AGV434" s="120"/>
      <c r="AGW434" s="120"/>
      <c r="AGX434" s="120"/>
      <c r="AGY434" s="120"/>
      <c r="AGZ434" s="120"/>
      <c r="AHA434" s="120"/>
      <c r="AHB434" s="120"/>
      <c r="AHC434" s="120"/>
      <c r="AHD434" s="120"/>
      <c r="AHE434" s="120"/>
      <c r="AHF434" s="120"/>
      <c r="AHG434" s="120"/>
      <c r="AHH434" s="120"/>
      <c r="AHI434" s="120"/>
      <c r="AHJ434" s="120"/>
      <c r="AHK434" s="120"/>
      <c r="AHL434" s="120"/>
      <c r="AHM434" s="120"/>
      <c r="AHN434" s="120"/>
      <c r="AHO434" s="120"/>
      <c r="AHP434" s="120"/>
      <c r="AHQ434" s="120"/>
      <c r="AHR434" s="120"/>
      <c r="AHS434" s="120"/>
      <c r="AHT434" s="120"/>
      <c r="AHU434" s="120"/>
      <c r="AHV434" s="120"/>
      <c r="AHW434" s="120"/>
      <c r="AHX434" s="120"/>
      <c r="AHY434" s="120"/>
      <c r="AHZ434" s="120"/>
      <c r="AIA434" s="120"/>
      <c r="AIB434" s="120"/>
      <c r="AIC434" s="120"/>
      <c r="AID434" s="120"/>
      <c r="AIE434" s="120"/>
      <c r="AIF434" s="120"/>
      <c r="AIG434" s="120"/>
      <c r="AIH434" s="120"/>
      <c r="AII434" s="120"/>
      <c r="AIJ434" s="120"/>
      <c r="AIK434" s="120"/>
      <c r="AIL434" s="120"/>
      <c r="AIM434" s="120"/>
      <c r="AIN434" s="120"/>
      <c r="AIO434" s="120"/>
      <c r="AIP434" s="120"/>
      <c r="AIQ434" s="120"/>
      <c r="AIR434" s="120"/>
      <c r="AIS434" s="120"/>
      <c r="AIT434" s="120"/>
      <c r="AIU434" s="120"/>
      <c r="AIV434" s="120"/>
      <c r="AIW434" s="120"/>
      <c r="AIX434" s="120"/>
      <c r="AIY434" s="120"/>
      <c r="AIZ434" s="120"/>
    </row>
    <row r="435">
      <c r="A435" s="112" t="s">
        <v>28</v>
      </c>
      <c r="B435" s="112" t="s">
        <v>100</v>
      </c>
      <c r="C435" s="112"/>
      <c r="D435" s="113">
        <f t="shared" si="1"/>
        <v>605.0533667</v>
      </c>
      <c r="E435" s="112">
        <v>29.25385</v>
      </c>
      <c r="F435" s="113"/>
      <c r="G435" s="113"/>
      <c r="H435" s="113"/>
      <c r="I435" s="113"/>
      <c r="J435" s="113"/>
      <c r="K435" s="113"/>
      <c r="L435" s="112">
        <v>0.398316666666667</v>
      </c>
      <c r="M435" s="112">
        <v>9.95083333333333</v>
      </c>
      <c r="N435" s="113"/>
      <c r="O435" s="112">
        <v>0.229366666666667</v>
      </c>
      <c r="P435" s="112">
        <v>7.35873333333333</v>
      </c>
      <c r="Q435" s="113"/>
      <c r="R435" s="113"/>
      <c r="S435" s="113"/>
      <c r="T435" s="113"/>
      <c r="U435" s="113"/>
      <c r="V435" s="113"/>
      <c r="W435" s="112">
        <v>53.5814666666667</v>
      </c>
      <c r="X435" s="113"/>
      <c r="Y435" s="113"/>
      <c r="Z435" s="113"/>
      <c r="AA435" s="113"/>
      <c r="AB435" s="113"/>
      <c r="AC435" s="112">
        <v>0.750283333333333</v>
      </c>
      <c r="AD435" s="112">
        <v>109.444733333333</v>
      </c>
      <c r="AE435" s="113"/>
      <c r="AF435" s="113"/>
      <c r="AG435" s="113"/>
      <c r="AH435" s="113"/>
      <c r="AI435" s="113"/>
      <c r="AJ435" s="112">
        <v>0.992783333333333</v>
      </c>
      <c r="AK435" s="112">
        <v>141.027616666667</v>
      </c>
      <c r="AL435" s="113"/>
      <c r="AM435" s="113"/>
      <c r="AN435" s="113"/>
      <c r="AO435" s="112">
        <v>10.30545</v>
      </c>
      <c r="AP435" s="112">
        <v>144.237783333333</v>
      </c>
      <c r="AQ435" s="113"/>
      <c r="AR435" s="113"/>
      <c r="AS435" s="112">
        <v>6.1086</v>
      </c>
      <c r="AT435" s="112">
        <v>81.8680666666667</v>
      </c>
      <c r="AU435" s="113"/>
      <c r="AV435" s="112">
        <v>6.63623333333334</v>
      </c>
      <c r="AW435" s="112">
        <v>2.90925</v>
      </c>
      <c r="AX435" s="113"/>
      <c r="AY435" s="113"/>
      <c r="AZ435" s="113"/>
      <c r="BA435" s="113"/>
      <c r="BB435" s="113"/>
      <c r="BC435" s="113"/>
      <c r="BD435" s="113"/>
      <c r="BE435" s="113"/>
      <c r="BF435" s="113"/>
      <c r="BG435" s="113"/>
      <c r="BH435" s="113"/>
      <c r="BI435" s="113"/>
      <c r="BJ435" s="113"/>
      <c r="BK435" s="113"/>
      <c r="BL435" s="113"/>
      <c r="BM435" s="113"/>
      <c r="BN435" s="113"/>
      <c r="BO435" s="113"/>
      <c r="BP435" s="113"/>
      <c r="BQ435" s="113"/>
      <c r="BR435" s="113"/>
      <c r="BS435" s="113"/>
      <c r="BT435" s="113"/>
      <c r="BU435" s="113"/>
      <c r="BV435" s="113"/>
      <c r="BW435" s="113"/>
      <c r="BX435" s="113"/>
      <c r="BY435" s="113"/>
      <c r="BZ435" s="113"/>
      <c r="CA435" s="113"/>
      <c r="CB435" s="113"/>
      <c r="CC435" s="113"/>
      <c r="CD435" s="113"/>
      <c r="CE435" s="113"/>
      <c r="CF435" s="113"/>
      <c r="CG435" s="113"/>
      <c r="CH435" s="113"/>
      <c r="CI435" s="113"/>
      <c r="CJ435" s="113"/>
      <c r="CK435" s="113"/>
      <c r="CL435" s="113"/>
      <c r="CM435" s="113"/>
      <c r="CN435" s="113"/>
      <c r="CO435" s="113"/>
      <c r="CP435" s="113"/>
      <c r="CQ435" s="113"/>
      <c r="CR435" s="113"/>
      <c r="CS435" s="113"/>
      <c r="CT435" s="113"/>
      <c r="CU435" s="113"/>
      <c r="CV435" s="113"/>
      <c r="CW435" s="113"/>
      <c r="CX435" s="113"/>
      <c r="CY435" s="113"/>
      <c r="CZ435" s="113"/>
      <c r="DA435" s="113"/>
      <c r="DB435" s="113"/>
      <c r="DC435" s="113"/>
      <c r="DD435" s="113"/>
      <c r="DE435" s="113"/>
      <c r="DF435" s="113"/>
      <c r="DG435" s="113"/>
      <c r="DH435" s="113"/>
      <c r="DI435" s="113"/>
      <c r="DJ435" s="113"/>
      <c r="DK435" s="113"/>
      <c r="DL435" s="113"/>
      <c r="DM435" s="113"/>
      <c r="DN435" s="113"/>
      <c r="DO435" s="113"/>
      <c r="DP435" s="113"/>
      <c r="DQ435" s="113"/>
      <c r="DR435" s="113"/>
      <c r="DS435" s="113"/>
      <c r="DT435" s="113"/>
      <c r="DU435" s="113"/>
      <c r="DV435" s="113"/>
      <c r="DW435" s="113"/>
      <c r="DX435" s="113"/>
      <c r="DY435" s="113"/>
      <c r="DZ435" s="113"/>
      <c r="EA435" s="113"/>
      <c r="EB435" s="113"/>
      <c r="EC435" s="113"/>
      <c r="ED435" s="113"/>
      <c r="EE435" s="113"/>
      <c r="EF435" s="113"/>
      <c r="EG435" s="113"/>
      <c r="EH435" s="113"/>
      <c r="EI435" s="113"/>
      <c r="EJ435" s="113"/>
      <c r="EK435" s="113"/>
      <c r="EL435" s="113"/>
      <c r="EM435" s="113"/>
      <c r="EN435" s="113"/>
      <c r="EO435" s="113"/>
      <c r="EP435" s="113"/>
      <c r="EQ435" s="113"/>
      <c r="ER435" s="113"/>
      <c r="ES435" s="113"/>
      <c r="ET435" s="113"/>
      <c r="EU435" s="113"/>
      <c r="EV435" s="113"/>
      <c r="EW435" s="113"/>
      <c r="EX435" s="113"/>
      <c r="EY435" s="113"/>
      <c r="EZ435" s="113"/>
      <c r="FA435" s="113"/>
      <c r="FB435" s="113"/>
      <c r="FC435" s="113"/>
      <c r="FD435" s="113"/>
      <c r="FE435" s="113"/>
      <c r="FF435" s="113"/>
      <c r="FG435" s="113"/>
      <c r="FH435" s="113"/>
      <c r="FI435" s="113"/>
      <c r="FJ435" s="113"/>
      <c r="FK435" s="113"/>
      <c r="FL435" s="113"/>
      <c r="FM435" s="113"/>
      <c r="FN435" s="113"/>
      <c r="FO435" s="113"/>
      <c r="FP435" s="113"/>
      <c r="FQ435" s="113"/>
      <c r="FR435" s="113"/>
      <c r="FS435" s="113"/>
      <c r="FT435" s="113"/>
      <c r="FU435" s="113"/>
      <c r="FV435" s="113"/>
      <c r="FW435" s="113"/>
      <c r="FX435" s="113"/>
      <c r="FY435" s="113"/>
      <c r="FZ435" s="113"/>
      <c r="GA435" s="113"/>
      <c r="GB435" s="113"/>
      <c r="GC435" s="113"/>
      <c r="GD435" s="113"/>
      <c r="GE435" s="113"/>
      <c r="GF435" s="113"/>
      <c r="GG435" s="113"/>
      <c r="GH435" s="113"/>
      <c r="GI435" s="113"/>
      <c r="GJ435" s="113"/>
      <c r="GK435" s="113"/>
      <c r="GL435" s="113"/>
      <c r="GM435" s="113"/>
      <c r="GN435" s="113"/>
      <c r="GO435" s="113"/>
      <c r="GP435" s="113"/>
      <c r="GQ435" s="113"/>
      <c r="GR435" s="113"/>
      <c r="GS435" s="113"/>
      <c r="GT435" s="113"/>
      <c r="GU435" s="113"/>
      <c r="GV435" s="113"/>
      <c r="GW435" s="113"/>
      <c r="GX435" s="113"/>
      <c r="GY435" s="113"/>
      <c r="GZ435" s="113"/>
      <c r="HA435" s="113"/>
      <c r="HB435" s="113"/>
      <c r="HC435" s="113"/>
      <c r="HD435" s="113"/>
      <c r="HE435" s="113"/>
      <c r="HF435" s="113"/>
      <c r="HG435" s="113"/>
      <c r="HH435" s="113"/>
      <c r="HI435" s="113"/>
      <c r="HJ435" s="113"/>
      <c r="HK435" s="113"/>
      <c r="HL435" s="113"/>
      <c r="HM435" s="113"/>
      <c r="HN435" s="113"/>
      <c r="HO435" s="113"/>
      <c r="HP435" s="113"/>
      <c r="HQ435" s="113"/>
      <c r="HR435" s="113"/>
      <c r="HS435" s="113"/>
      <c r="HT435" s="113"/>
      <c r="HU435" s="113"/>
      <c r="HV435" s="113"/>
      <c r="HW435" s="113"/>
      <c r="HX435" s="113"/>
      <c r="HY435" s="113"/>
      <c r="HZ435" s="113"/>
      <c r="IA435" s="113"/>
      <c r="IB435" s="113"/>
      <c r="IC435" s="113"/>
      <c r="ID435" s="113"/>
      <c r="IE435" s="113"/>
      <c r="IF435" s="113"/>
      <c r="IG435" s="113"/>
      <c r="IH435" s="113"/>
      <c r="II435" s="113"/>
      <c r="IJ435" s="113"/>
      <c r="IK435" s="113"/>
      <c r="IL435" s="113"/>
      <c r="IM435" s="113"/>
      <c r="IN435" s="113"/>
      <c r="IO435" s="113"/>
      <c r="IP435" s="113"/>
      <c r="IQ435" s="113"/>
      <c r="IR435" s="113"/>
      <c r="IS435" s="113"/>
      <c r="IT435" s="113"/>
      <c r="IU435" s="113"/>
      <c r="IV435" s="113"/>
      <c r="IW435" s="113"/>
      <c r="IX435" s="113"/>
      <c r="IY435" s="113"/>
      <c r="IZ435" s="113"/>
      <c r="JA435" s="113"/>
      <c r="JB435" s="113"/>
      <c r="JC435" s="113"/>
      <c r="JD435" s="113"/>
      <c r="JE435" s="113"/>
      <c r="JF435" s="113"/>
      <c r="JG435" s="113"/>
      <c r="JH435" s="113"/>
      <c r="JI435" s="113"/>
      <c r="JJ435" s="113"/>
      <c r="JK435" s="113"/>
      <c r="JL435" s="113"/>
      <c r="JM435" s="113"/>
      <c r="JN435" s="113"/>
      <c r="JO435" s="113"/>
      <c r="JP435" s="113"/>
      <c r="JQ435" s="113"/>
      <c r="JR435" s="113"/>
      <c r="JS435" s="113"/>
      <c r="JT435" s="113"/>
      <c r="JU435" s="113"/>
      <c r="JV435" s="113"/>
      <c r="JW435" s="113"/>
      <c r="JX435" s="113"/>
      <c r="JY435" s="113"/>
      <c r="JZ435" s="113"/>
      <c r="KA435" s="113"/>
      <c r="KB435" s="113"/>
      <c r="KC435" s="113"/>
      <c r="KD435" s="113"/>
      <c r="KE435" s="113"/>
      <c r="KF435" s="113"/>
      <c r="KG435" s="113"/>
      <c r="KH435" s="113"/>
      <c r="KI435" s="113"/>
      <c r="KJ435" s="113"/>
      <c r="KK435" s="113"/>
      <c r="KL435" s="113"/>
      <c r="KM435" s="113"/>
      <c r="KN435" s="113"/>
      <c r="KO435" s="113"/>
      <c r="KP435" s="113"/>
      <c r="KQ435" s="113"/>
      <c r="KR435" s="113"/>
      <c r="KS435" s="113"/>
      <c r="KT435" s="113"/>
      <c r="KU435" s="113"/>
      <c r="KV435" s="113"/>
      <c r="KW435" s="113"/>
      <c r="KX435" s="113"/>
      <c r="KY435" s="113"/>
      <c r="KZ435" s="113"/>
      <c r="LA435" s="113"/>
      <c r="LB435" s="113"/>
      <c r="LC435" s="113"/>
      <c r="LD435" s="113"/>
      <c r="LE435" s="113"/>
      <c r="LF435" s="113"/>
      <c r="LG435" s="113"/>
      <c r="LH435" s="113"/>
      <c r="LI435" s="113"/>
      <c r="LJ435" s="113"/>
      <c r="LK435" s="113"/>
      <c r="LL435" s="113"/>
      <c r="LM435" s="113"/>
      <c r="LN435" s="113"/>
      <c r="LO435" s="113"/>
      <c r="LP435" s="113"/>
      <c r="LQ435" s="113"/>
      <c r="LR435" s="113"/>
      <c r="LS435" s="113"/>
      <c r="LT435" s="113"/>
      <c r="LU435" s="113"/>
      <c r="LV435" s="113"/>
      <c r="LW435" s="113"/>
      <c r="LX435" s="113"/>
      <c r="LY435" s="113"/>
      <c r="LZ435" s="113"/>
      <c r="MA435" s="113"/>
      <c r="MB435" s="113"/>
      <c r="MC435" s="113"/>
      <c r="MD435" s="113"/>
      <c r="ME435" s="113"/>
      <c r="MF435" s="113"/>
      <c r="MG435" s="113"/>
      <c r="MH435" s="113"/>
      <c r="MI435" s="113"/>
      <c r="MJ435" s="113"/>
      <c r="MK435" s="113"/>
      <c r="ML435" s="113"/>
      <c r="MM435" s="113"/>
      <c r="MN435" s="113"/>
      <c r="MO435" s="113"/>
      <c r="MP435" s="113"/>
      <c r="MQ435" s="113"/>
      <c r="MR435" s="113"/>
      <c r="MS435" s="113"/>
      <c r="MT435" s="113"/>
      <c r="MU435" s="113"/>
      <c r="MV435" s="113"/>
      <c r="MW435" s="113"/>
      <c r="MX435" s="113"/>
      <c r="MY435" s="113"/>
      <c r="MZ435" s="113"/>
      <c r="NA435" s="113"/>
      <c r="NB435" s="113"/>
      <c r="NC435" s="113"/>
      <c r="ND435" s="113"/>
      <c r="NE435" s="113"/>
      <c r="NF435" s="113"/>
      <c r="NG435" s="113"/>
      <c r="NH435" s="113"/>
      <c r="NI435" s="113"/>
      <c r="NJ435" s="113"/>
      <c r="NK435" s="113"/>
      <c r="NL435" s="113"/>
      <c r="NM435" s="113"/>
      <c r="NN435" s="113"/>
      <c r="NO435" s="113"/>
      <c r="NP435" s="113"/>
      <c r="NQ435" s="113"/>
      <c r="NR435" s="113"/>
      <c r="NS435" s="113"/>
      <c r="NT435" s="113"/>
      <c r="NU435" s="113"/>
      <c r="NV435" s="113"/>
      <c r="NW435" s="113"/>
      <c r="NX435" s="113"/>
      <c r="NY435" s="113"/>
      <c r="NZ435" s="113"/>
      <c r="OA435" s="113"/>
      <c r="OB435" s="113"/>
      <c r="OC435" s="113"/>
      <c r="OD435" s="113"/>
      <c r="OE435" s="113"/>
      <c r="OF435" s="113"/>
      <c r="OG435" s="113"/>
      <c r="OH435" s="113"/>
      <c r="OI435" s="113"/>
      <c r="OJ435" s="113"/>
      <c r="OK435" s="113"/>
      <c r="OL435" s="113"/>
      <c r="OM435" s="113"/>
      <c r="ON435" s="113"/>
      <c r="OO435" s="113"/>
      <c r="OP435" s="113"/>
      <c r="OQ435" s="113"/>
      <c r="OR435" s="113"/>
      <c r="OS435" s="113"/>
      <c r="OT435" s="113"/>
      <c r="OU435" s="113"/>
      <c r="OV435" s="113"/>
      <c r="OW435" s="113"/>
      <c r="OX435" s="113"/>
      <c r="OY435" s="113"/>
      <c r="OZ435" s="113"/>
      <c r="PA435" s="113"/>
      <c r="PB435" s="113"/>
      <c r="PC435" s="113"/>
      <c r="PD435" s="113"/>
      <c r="PE435" s="113"/>
      <c r="PF435" s="113"/>
      <c r="PG435" s="113"/>
      <c r="PH435" s="113"/>
      <c r="PI435" s="113"/>
      <c r="PJ435" s="113"/>
      <c r="PK435" s="113"/>
      <c r="PL435" s="113"/>
      <c r="PM435" s="113"/>
      <c r="PN435" s="113"/>
      <c r="PO435" s="113"/>
      <c r="PP435" s="113"/>
      <c r="PQ435" s="113"/>
      <c r="PR435" s="113"/>
      <c r="PS435" s="113"/>
      <c r="PT435" s="113"/>
      <c r="PU435" s="113"/>
      <c r="PV435" s="113"/>
      <c r="PW435" s="113"/>
      <c r="PX435" s="113"/>
      <c r="PY435" s="113"/>
      <c r="PZ435" s="113"/>
      <c r="QA435" s="113"/>
      <c r="QB435" s="113"/>
      <c r="QC435" s="113"/>
      <c r="QD435" s="113"/>
      <c r="QE435" s="113"/>
      <c r="QF435" s="113"/>
      <c r="QG435" s="113"/>
      <c r="QH435" s="113"/>
      <c r="QI435" s="113"/>
      <c r="QJ435" s="113"/>
      <c r="QK435" s="113"/>
      <c r="QL435" s="113"/>
      <c r="QM435" s="113"/>
      <c r="QN435" s="113"/>
      <c r="QO435" s="113"/>
      <c r="QP435" s="113"/>
      <c r="QQ435" s="113"/>
      <c r="QR435" s="113"/>
      <c r="QS435" s="113"/>
      <c r="QT435" s="113"/>
      <c r="QU435" s="113"/>
      <c r="QV435" s="113"/>
      <c r="QW435" s="113"/>
      <c r="QX435" s="113"/>
      <c r="QY435" s="113"/>
      <c r="QZ435" s="113"/>
      <c r="RA435" s="113"/>
      <c r="RB435" s="113"/>
      <c r="RC435" s="113"/>
      <c r="RD435" s="113"/>
      <c r="RE435" s="113"/>
      <c r="RF435" s="113"/>
      <c r="RG435" s="113"/>
      <c r="RH435" s="113"/>
      <c r="RI435" s="113"/>
      <c r="RJ435" s="113"/>
      <c r="RK435" s="113"/>
      <c r="RL435" s="113"/>
      <c r="RM435" s="113"/>
      <c r="RN435" s="113"/>
      <c r="RO435" s="113"/>
      <c r="RP435" s="113"/>
      <c r="RQ435" s="113"/>
      <c r="RR435" s="113"/>
      <c r="RS435" s="113"/>
      <c r="RT435" s="113"/>
      <c r="RU435" s="113"/>
      <c r="RV435" s="113"/>
      <c r="RW435" s="113"/>
      <c r="RX435" s="113"/>
      <c r="RY435" s="113"/>
      <c r="RZ435" s="113"/>
      <c r="SA435" s="113"/>
      <c r="SB435" s="113"/>
      <c r="SC435" s="113"/>
      <c r="SD435" s="113"/>
      <c r="SE435" s="113"/>
      <c r="SF435" s="113"/>
      <c r="SG435" s="113"/>
      <c r="SH435" s="113"/>
      <c r="SI435" s="113"/>
      <c r="SJ435" s="113"/>
      <c r="SK435" s="113"/>
      <c r="SL435" s="113"/>
      <c r="SM435" s="113"/>
      <c r="SN435" s="113"/>
      <c r="SO435" s="113"/>
      <c r="SP435" s="113"/>
      <c r="SQ435" s="113"/>
      <c r="SR435" s="113"/>
      <c r="SS435" s="113"/>
      <c r="ST435" s="113"/>
      <c r="SU435" s="113"/>
      <c r="SV435" s="113"/>
      <c r="SW435" s="113"/>
      <c r="SX435" s="113"/>
      <c r="SY435" s="113"/>
      <c r="SZ435" s="113"/>
      <c r="TA435" s="113"/>
      <c r="TB435" s="113"/>
      <c r="TC435" s="113"/>
      <c r="TD435" s="113"/>
      <c r="TE435" s="113"/>
      <c r="TF435" s="113"/>
      <c r="TG435" s="113"/>
      <c r="TH435" s="113"/>
      <c r="TI435" s="113"/>
      <c r="TJ435" s="113"/>
      <c r="TK435" s="113"/>
      <c r="TL435" s="113"/>
      <c r="TM435" s="113"/>
      <c r="TN435" s="113"/>
      <c r="TO435" s="113"/>
      <c r="TP435" s="113"/>
      <c r="TQ435" s="113"/>
      <c r="TR435" s="113"/>
      <c r="TS435" s="113"/>
      <c r="TT435" s="113"/>
      <c r="TU435" s="113"/>
      <c r="TV435" s="113"/>
      <c r="TW435" s="113"/>
      <c r="TX435" s="113"/>
      <c r="TY435" s="113"/>
      <c r="TZ435" s="113"/>
      <c r="UA435" s="113"/>
      <c r="UB435" s="113"/>
      <c r="UC435" s="113"/>
      <c r="UD435" s="113"/>
      <c r="UE435" s="113"/>
      <c r="UF435" s="113"/>
      <c r="UG435" s="113"/>
      <c r="UH435" s="113"/>
      <c r="UI435" s="113"/>
      <c r="UJ435" s="113"/>
      <c r="UK435" s="113"/>
      <c r="UL435" s="113"/>
      <c r="UM435" s="113"/>
      <c r="UN435" s="113"/>
      <c r="UO435" s="113"/>
      <c r="UP435" s="113"/>
      <c r="UQ435" s="113"/>
      <c r="UR435" s="113"/>
      <c r="US435" s="113"/>
      <c r="UT435" s="113"/>
      <c r="UU435" s="113"/>
      <c r="UV435" s="113"/>
      <c r="UW435" s="113"/>
      <c r="UX435" s="113"/>
      <c r="UY435" s="113"/>
      <c r="UZ435" s="113"/>
      <c r="VA435" s="113"/>
      <c r="VB435" s="113"/>
      <c r="VC435" s="113"/>
      <c r="VD435" s="113"/>
      <c r="VE435" s="113"/>
      <c r="VF435" s="113"/>
      <c r="VG435" s="113"/>
      <c r="VH435" s="113"/>
      <c r="VI435" s="113"/>
      <c r="VJ435" s="113"/>
      <c r="VK435" s="113"/>
      <c r="VL435" s="113"/>
      <c r="VM435" s="113"/>
      <c r="VN435" s="113"/>
      <c r="VO435" s="113"/>
      <c r="VP435" s="113"/>
      <c r="VQ435" s="113"/>
      <c r="VR435" s="113"/>
      <c r="VS435" s="113"/>
      <c r="VT435" s="113"/>
      <c r="VU435" s="113"/>
      <c r="VV435" s="113"/>
      <c r="VW435" s="113"/>
      <c r="VX435" s="113"/>
      <c r="VY435" s="113"/>
      <c r="VZ435" s="113"/>
      <c r="WA435" s="113"/>
      <c r="WB435" s="113"/>
      <c r="WC435" s="113"/>
      <c r="WD435" s="113"/>
      <c r="WE435" s="113"/>
      <c r="WF435" s="113"/>
      <c r="WG435" s="113"/>
      <c r="WH435" s="113"/>
      <c r="WI435" s="113"/>
      <c r="WJ435" s="113"/>
      <c r="WK435" s="113"/>
      <c r="WL435" s="113"/>
      <c r="WM435" s="113"/>
      <c r="WN435" s="113"/>
      <c r="WO435" s="113"/>
      <c r="WP435" s="113"/>
      <c r="WQ435" s="113"/>
      <c r="WR435" s="113"/>
      <c r="WS435" s="113"/>
      <c r="WT435" s="113"/>
      <c r="WU435" s="113"/>
      <c r="WV435" s="113"/>
      <c r="WW435" s="113"/>
      <c r="WX435" s="113"/>
      <c r="WY435" s="113"/>
      <c r="WZ435" s="113"/>
      <c r="XA435" s="113"/>
      <c r="XB435" s="113"/>
      <c r="XC435" s="113"/>
      <c r="XD435" s="113"/>
      <c r="XE435" s="113"/>
      <c r="XF435" s="113"/>
      <c r="XG435" s="113"/>
      <c r="XH435" s="113"/>
      <c r="XI435" s="113"/>
      <c r="XJ435" s="113"/>
      <c r="XK435" s="113"/>
      <c r="XL435" s="113"/>
      <c r="XM435" s="113"/>
      <c r="XN435" s="113"/>
      <c r="XO435" s="113"/>
      <c r="XP435" s="113"/>
      <c r="XQ435" s="113"/>
      <c r="XR435" s="113"/>
      <c r="XS435" s="113"/>
      <c r="XT435" s="113"/>
      <c r="XU435" s="113"/>
      <c r="XV435" s="113"/>
      <c r="XW435" s="113"/>
      <c r="XX435" s="113"/>
      <c r="XY435" s="113"/>
      <c r="XZ435" s="113"/>
      <c r="YA435" s="113"/>
      <c r="YB435" s="113"/>
      <c r="YC435" s="113"/>
      <c r="YD435" s="113"/>
      <c r="YE435" s="113"/>
      <c r="YF435" s="113"/>
      <c r="YG435" s="113"/>
      <c r="YH435" s="113"/>
      <c r="YI435" s="113"/>
      <c r="YJ435" s="113"/>
      <c r="YK435" s="113"/>
      <c r="YL435" s="113"/>
      <c r="YM435" s="113"/>
      <c r="YN435" s="113"/>
      <c r="YO435" s="113"/>
      <c r="YP435" s="113"/>
      <c r="YQ435" s="113"/>
      <c r="YR435" s="113"/>
      <c r="YS435" s="113"/>
      <c r="YT435" s="113"/>
      <c r="YU435" s="113"/>
      <c r="YV435" s="113"/>
      <c r="YW435" s="113"/>
      <c r="YX435" s="113"/>
      <c r="YY435" s="113"/>
      <c r="YZ435" s="113"/>
      <c r="ZA435" s="113"/>
      <c r="ZB435" s="113"/>
      <c r="ZC435" s="113"/>
      <c r="ZD435" s="113"/>
      <c r="ZE435" s="113"/>
      <c r="ZF435" s="113"/>
      <c r="ZG435" s="113"/>
      <c r="ZH435" s="113"/>
      <c r="ZI435" s="113"/>
      <c r="ZJ435" s="113"/>
      <c r="ZK435" s="113"/>
      <c r="ZL435" s="113"/>
      <c r="ZM435" s="113"/>
      <c r="ZN435" s="113"/>
      <c r="ZO435" s="113"/>
      <c r="ZP435" s="113"/>
      <c r="ZQ435" s="113"/>
      <c r="ZR435" s="113"/>
      <c r="ZS435" s="113"/>
      <c r="ZT435" s="113"/>
      <c r="ZU435" s="113"/>
      <c r="ZV435" s="113"/>
      <c r="ZW435" s="113"/>
      <c r="ZX435" s="113"/>
      <c r="ZY435" s="113"/>
      <c r="ZZ435" s="113"/>
      <c r="AAA435" s="113"/>
      <c r="AAB435" s="113"/>
      <c r="AAC435" s="113"/>
      <c r="AAD435" s="113"/>
      <c r="AAE435" s="113"/>
      <c r="AAF435" s="113"/>
      <c r="AAG435" s="113"/>
      <c r="AAH435" s="113"/>
      <c r="AAI435" s="113"/>
      <c r="AAJ435" s="113"/>
      <c r="AAK435" s="113"/>
      <c r="AAL435" s="113"/>
      <c r="AAM435" s="113"/>
      <c r="AAN435" s="113"/>
      <c r="AAO435" s="113"/>
      <c r="AAP435" s="113"/>
      <c r="AAQ435" s="113"/>
      <c r="AAR435" s="113"/>
      <c r="AAS435" s="113"/>
      <c r="AAT435" s="113"/>
      <c r="AAU435" s="113"/>
      <c r="AAV435" s="113"/>
      <c r="AAW435" s="113"/>
      <c r="AAX435" s="113"/>
      <c r="AAY435" s="113"/>
      <c r="AAZ435" s="113"/>
      <c r="ABA435" s="113"/>
      <c r="ABB435" s="113"/>
      <c r="ABC435" s="113"/>
      <c r="ABD435" s="113"/>
      <c r="ABE435" s="113"/>
      <c r="ABF435" s="113"/>
      <c r="ABG435" s="113"/>
      <c r="ABH435" s="113"/>
      <c r="ABI435" s="113"/>
      <c r="ABJ435" s="113"/>
      <c r="ABK435" s="113"/>
      <c r="ABL435" s="113"/>
      <c r="ABM435" s="113"/>
      <c r="ABN435" s="113"/>
      <c r="ABO435" s="113"/>
      <c r="ABP435" s="113"/>
      <c r="ABQ435" s="113"/>
      <c r="ABR435" s="113"/>
      <c r="ABS435" s="113"/>
      <c r="ABT435" s="113"/>
      <c r="ABU435" s="113"/>
      <c r="ABV435" s="113"/>
      <c r="ABW435" s="113"/>
      <c r="ABX435" s="113"/>
      <c r="ABY435" s="113"/>
      <c r="ABZ435" s="113"/>
      <c r="ACA435" s="113"/>
      <c r="ACB435" s="113"/>
      <c r="ACC435" s="113"/>
      <c r="ACD435" s="113"/>
      <c r="ACE435" s="113"/>
      <c r="ACF435" s="113"/>
      <c r="ACG435" s="113"/>
      <c r="ACH435" s="113"/>
      <c r="ACI435" s="113"/>
      <c r="ACJ435" s="113"/>
      <c r="ACK435" s="113"/>
      <c r="ACL435" s="113"/>
      <c r="ACM435" s="113"/>
      <c r="ACN435" s="113"/>
      <c r="ACO435" s="113"/>
      <c r="ACP435" s="113"/>
      <c r="ACQ435" s="113"/>
      <c r="ACR435" s="113"/>
      <c r="ACS435" s="113"/>
      <c r="ACT435" s="113"/>
      <c r="ACU435" s="113"/>
      <c r="ACV435" s="113"/>
      <c r="ACW435" s="113"/>
      <c r="ACX435" s="113"/>
      <c r="ACY435" s="113"/>
      <c r="ACZ435" s="113"/>
      <c r="ADA435" s="113"/>
      <c r="ADB435" s="113"/>
      <c r="ADC435" s="113"/>
      <c r="ADD435" s="113"/>
      <c r="ADE435" s="113"/>
      <c r="ADF435" s="113"/>
      <c r="ADG435" s="113"/>
      <c r="ADH435" s="113"/>
      <c r="ADI435" s="113"/>
      <c r="ADJ435" s="113"/>
      <c r="ADK435" s="113"/>
      <c r="ADL435" s="113"/>
      <c r="ADM435" s="113"/>
      <c r="ADN435" s="113"/>
      <c r="ADO435" s="113"/>
      <c r="ADP435" s="113"/>
      <c r="ADQ435" s="113"/>
      <c r="ADR435" s="113"/>
      <c r="ADS435" s="113"/>
      <c r="ADT435" s="113"/>
      <c r="ADU435" s="113"/>
      <c r="ADV435" s="113"/>
      <c r="ADW435" s="113"/>
      <c r="ADX435" s="113"/>
      <c r="ADY435" s="113"/>
      <c r="ADZ435" s="113"/>
      <c r="AEA435" s="113"/>
      <c r="AEB435" s="113"/>
      <c r="AEC435" s="113"/>
      <c r="AED435" s="113"/>
      <c r="AEE435" s="113"/>
      <c r="AEF435" s="113"/>
      <c r="AEG435" s="113"/>
      <c r="AEH435" s="113"/>
      <c r="AEI435" s="113"/>
      <c r="AEJ435" s="113"/>
      <c r="AEK435" s="113"/>
      <c r="AEL435" s="113"/>
      <c r="AEM435" s="113"/>
      <c r="AEN435" s="113"/>
      <c r="AEO435" s="113"/>
      <c r="AEP435" s="113"/>
      <c r="AEQ435" s="113"/>
      <c r="AER435" s="113"/>
      <c r="AES435" s="113"/>
      <c r="AET435" s="113"/>
      <c r="AEU435" s="113"/>
      <c r="AEV435" s="113"/>
      <c r="AEW435" s="113"/>
      <c r="AEX435" s="113"/>
      <c r="AEY435" s="113"/>
      <c r="AEZ435" s="113"/>
      <c r="AFA435" s="113"/>
      <c r="AFB435" s="113"/>
      <c r="AFC435" s="113"/>
      <c r="AFD435" s="113"/>
      <c r="AFE435" s="113"/>
      <c r="AFF435" s="113"/>
      <c r="AFG435" s="113"/>
      <c r="AFH435" s="113"/>
      <c r="AFI435" s="113"/>
      <c r="AFJ435" s="113"/>
      <c r="AFK435" s="113"/>
      <c r="AFL435" s="113"/>
      <c r="AFM435" s="113"/>
      <c r="AFN435" s="113"/>
      <c r="AFO435" s="113"/>
      <c r="AFP435" s="113"/>
      <c r="AFQ435" s="113"/>
      <c r="AFR435" s="113"/>
      <c r="AFS435" s="113"/>
      <c r="AFT435" s="113"/>
      <c r="AFU435" s="113"/>
      <c r="AFV435" s="113"/>
      <c r="AFW435" s="113"/>
      <c r="AFX435" s="113"/>
      <c r="AFY435" s="113"/>
      <c r="AFZ435" s="113"/>
      <c r="AGA435" s="113"/>
      <c r="AGB435" s="113"/>
      <c r="AGC435" s="113"/>
      <c r="AGD435" s="113"/>
      <c r="AGE435" s="113"/>
      <c r="AGF435" s="113"/>
      <c r="AGG435" s="113"/>
      <c r="AGH435" s="113"/>
      <c r="AGI435" s="113"/>
      <c r="AGJ435" s="113"/>
      <c r="AGK435" s="113"/>
      <c r="AGL435" s="113"/>
      <c r="AGM435" s="113"/>
      <c r="AGN435" s="113"/>
      <c r="AGO435" s="113"/>
      <c r="AGP435" s="113"/>
      <c r="AGQ435" s="113"/>
      <c r="AGR435" s="113"/>
      <c r="AGS435" s="113"/>
      <c r="AGT435" s="113"/>
      <c r="AGU435" s="113"/>
      <c r="AGV435" s="113"/>
      <c r="AGW435" s="113"/>
      <c r="AGX435" s="113"/>
      <c r="AGY435" s="113"/>
      <c r="AGZ435" s="113"/>
      <c r="AHA435" s="113"/>
      <c r="AHB435" s="113"/>
      <c r="AHC435" s="113"/>
      <c r="AHD435" s="113"/>
      <c r="AHE435" s="113"/>
      <c r="AHF435" s="113"/>
      <c r="AHG435" s="113"/>
      <c r="AHH435" s="113"/>
      <c r="AHI435" s="113"/>
      <c r="AHJ435" s="113"/>
      <c r="AHK435" s="113"/>
      <c r="AHL435" s="113"/>
      <c r="AHM435" s="113"/>
      <c r="AHN435" s="113"/>
      <c r="AHO435" s="113"/>
      <c r="AHP435" s="113"/>
      <c r="AHQ435" s="113"/>
      <c r="AHR435" s="113"/>
      <c r="AHS435" s="113"/>
      <c r="AHT435" s="113"/>
      <c r="AHU435" s="113"/>
      <c r="AHV435" s="113"/>
      <c r="AHW435" s="113"/>
      <c r="AHX435" s="113"/>
      <c r="AHY435" s="113"/>
      <c r="AHZ435" s="113"/>
      <c r="AIA435" s="113"/>
      <c r="AIB435" s="113"/>
      <c r="AIC435" s="113"/>
      <c r="AID435" s="113"/>
      <c r="AIE435" s="113"/>
      <c r="AIF435" s="113"/>
      <c r="AIG435" s="113"/>
      <c r="AIH435" s="113"/>
      <c r="AII435" s="113"/>
      <c r="AIJ435" s="113"/>
      <c r="AIK435" s="113"/>
      <c r="AIL435" s="113"/>
      <c r="AIM435" s="113"/>
      <c r="AIN435" s="113"/>
      <c r="AIO435" s="113"/>
      <c r="AIP435" s="113"/>
      <c r="AIQ435" s="113"/>
      <c r="AIR435" s="113"/>
      <c r="AIS435" s="113"/>
      <c r="AIT435" s="113"/>
      <c r="AIU435" s="113"/>
      <c r="AIV435" s="113"/>
      <c r="AIW435" s="113"/>
      <c r="AIX435" s="113"/>
      <c r="AIY435" s="113"/>
      <c r="AIZ435" s="113"/>
    </row>
    <row r="436">
      <c r="A436" s="65" t="s">
        <v>28</v>
      </c>
      <c r="B436" s="65" t="s">
        <v>100</v>
      </c>
      <c r="C436" s="65"/>
      <c r="D436" s="64">
        <f t="shared" si="1"/>
        <v>497.9683</v>
      </c>
      <c r="F436" s="65">
        <v>13.1796</v>
      </c>
      <c r="G436" s="65">
        <v>5.04053333333333</v>
      </c>
      <c r="H436" s="65">
        <v>6.6585</v>
      </c>
      <c r="I436" s="65">
        <v>0.3735</v>
      </c>
      <c r="K436" s="65">
        <v>2.81515</v>
      </c>
      <c r="N436" s="65">
        <v>8.05108333333333</v>
      </c>
      <c r="Q436" s="65">
        <v>7.23281666666667</v>
      </c>
      <c r="R436" s="65">
        <v>0.125916666666667</v>
      </c>
      <c r="X436" s="65">
        <v>33.3005333333333</v>
      </c>
      <c r="Y436" s="65">
        <v>9.43911666666667</v>
      </c>
      <c r="Z436" s="65">
        <v>3.85503333333333</v>
      </c>
      <c r="AA436" s="65">
        <v>0.451683333333333</v>
      </c>
      <c r="AB436" s="65">
        <v>4.70223333333333</v>
      </c>
      <c r="AE436" s="65">
        <v>72.1650833333334</v>
      </c>
      <c r="AF436" s="65">
        <v>16.8145666666667</v>
      </c>
      <c r="AG436" s="65">
        <v>3.53886666666667</v>
      </c>
      <c r="AH436" s="65">
        <v>1.08248333333333</v>
      </c>
      <c r="AI436" s="65">
        <v>14.2320166666667</v>
      </c>
      <c r="AL436" s="65">
        <v>95.4980333333333</v>
      </c>
      <c r="AM436" s="65">
        <v>1.4824</v>
      </c>
      <c r="AN436" s="65">
        <v>11.3447</v>
      </c>
      <c r="AQ436" s="65">
        <v>92.1039833333335</v>
      </c>
      <c r="AR436" s="65">
        <v>13.138</v>
      </c>
      <c r="AU436" s="65">
        <v>81.3424666666667</v>
      </c>
    </row>
    <row r="437">
      <c r="A437" s="65" t="s">
        <v>28</v>
      </c>
      <c r="B437" s="65" t="s">
        <v>100</v>
      </c>
      <c r="C437" s="65"/>
      <c r="D437" s="64">
        <f t="shared" si="1"/>
        <v>0</v>
      </c>
    </row>
    <row r="438">
      <c r="A438" s="65" t="s">
        <v>28</v>
      </c>
      <c r="B438" s="65" t="s">
        <v>100</v>
      </c>
      <c r="C438" s="65"/>
      <c r="D438" s="64">
        <f t="shared" si="1"/>
        <v>496.5649833</v>
      </c>
      <c r="F438" s="118">
        <f>HYPERLINK("https://docs.google.com/spreadsheets/d/1mUhg6RLIMwHXARWNyiUJW_36JDHHisQ8", 13.1796166666667)</f>
        <v>13.17961667</v>
      </c>
      <c r="G438" s="118">
        <f>HYPERLINK("https://docs.google.com/spreadsheets/d/1gtwgP7Oeh1vMvTPEeEcs8RwtAVjd7uzZ", 5.04053333333333)</f>
        <v>5.040533333</v>
      </c>
      <c r="H438" s="118">
        <f>HYPERLINK("https://docs.google.com/spreadsheets/d/1tijGAh8XO3VT7CtBMCmg1g0xhr2glITI", 6.62531666666667)</f>
        <v>6.625316667</v>
      </c>
      <c r="I438" s="118">
        <f>HYPERLINK("https://docs.google.com/spreadsheets/d/12FjfLH_2cRXeMWXnBpGajSTtm-mKi-mM", 0.3735)</f>
        <v>0.3735</v>
      </c>
      <c r="K438" s="118">
        <f>HYPERLINK("https://docs.google.com/spreadsheets/d/13YcgC7vQgq_Hff_wmoinsLVOLaikO5hU", 2.74258333333333)</f>
        <v>2.742583333</v>
      </c>
      <c r="N438" s="118">
        <f>HYPERLINK("https://docs.google.com/spreadsheets/d/17dDFrBdR3WH34r3DuINw_KFuempdJ0bd", 8.05106666666667)</f>
        <v>8.051066667</v>
      </c>
      <c r="Q438" s="118">
        <f>HYPERLINK("https://docs.google.com/spreadsheets/d/1SXxuA3frZzHhfzQQgVe24h3rtzCx1Ng5", 7.23283333333333)</f>
        <v>7.232833333</v>
      </c>
      <c r="R438" s="118">
        <f>HYPERLINK("https://docs.google.com/spreadsheets/d/1nygAv_23BIWwMY7imZqbhDDPbWi9BHDa", 0)</f>
        <v>0</v>
      </c>
      <c r="X438" s="118">
        <f>HYPERLINK("https://docs.google.com/spreadsheets/d/1QezuYbfU5bIfUU-WJWazjvuCVHX1GcJS", 33.3004833333333)</f>
        <v>33.30048333</v>
      </c>
      <c r="Y438" s="118">
        <f>HYPERLINK("https://docs.google.com/spreadsheets/d/1ENwE2GfnnNvDxhn2dHYxGlDTpWrbQsYg", 9.43908333333333)</f>
        <v>9.439083333</v>
      </c>
      <c r="Z438" s="118">
        <f>HYPERLINK("https://docs.google.com/spreadsheets/d/1f7AaAIzZD14cuL50O1NA3IpY49VSIv6Q", 3.85501666666667)</f>
        <v>3.855016667</v>
      </c>
      <c r="AA438" s="118">
        <f>HYPERLINK("https://docs.google.com/spreadsheets/d/1P5ecCA8lD--BOi3T8ZlyGCLUrumctbD0", 0.451683333333333)</f>
        <v>0.4516833333</v>
      </c>
      <c r="AB438" s="118">
        <f>HYPERLINK("https://docs.google.com/spreadsheets/d/1HzeA8pKs9ZpmrqQ3cPE5zvRWiK2TPaQs", 4.70221666666667)</f>
        <v>4.702216667</v>
      </c>
      <c r="AE438" s="118">
        <f>HYPERLINK("https://docs.google.com/spreadsheets/d/1vYjDyn4pBwgibs-DEwzaDt9Nz0tsJNGb", 72.0931666666667)</f>
        <v>72.09316667</v>
      </c>
      <c r="AF438" s="118">
        <f>HYPERLINK("https://docs.google.com/spreadsheets/d/1iaY7BqYIDKBgD5kpfI4Ilr-7mG2Ur9r8", 16.8145666666667)</f>
        <v>16.81456667</v>
      </c>
      <c r="AG438" s="118">
        <f>HYPERLINK("https://docs.google.com/spreadsheets/d/1_J7Q3eeEIGuyKwlTuVbzaGo90iwXVS-m", 3.53886666666667)</f>
        <v>3.538866667</v>
      </c>
      <c r="AH438" s="118">
        <f>HYPERLINK("https://docs.google.com/spreadsheets/d/1gEQi5ITTXFM9YfzJPxm-_lwkHN7BKzf6", 1.08248333333333)</f>
        <v>1.082483333</v>
      </c>
      <c r="AI438" s="118">
        <f>HYPERLINK("https://docs.google.com/spreadsheets/d/1xqNBvvDaei48ZBSeucDoX-gouvrZ_trU", 13.83985)</f>
        <v>13.83985</v>
      </c>
      <c r="AL438" s="118">
        <f>HYPERLINK("https://docs.google.com/spreadsheets/d/1BwJWiP6RSCDlonDZDGVNi1FhbU5QonRU", 95.4389833333333)</f>
        <v>95.43898333</v>
      </c>
      <c r="AM438" s="118">
        <f>HYPERLINK("https://docs.google.com/spreadsheets/d/1IxPCieVbNn9miFmIjdgIs6vORawW5jKq", 1.4824)</f>
        <v>1.4824</v>
      </c>
      <c r="AN438" s="118">
        <f>HYPERLINK("https://docs.google.com/spreadsheets/d/1rwePWjjWuIjWi24ooag0RBw9xR8FGurA", 11.3446833333333)</f>
        <v>11.34468333</v>
      </c>
      <c r="AQ438" s="118">
        <f>HYPERLINK("https://docs.google.com/spreadsheets/d/1oaQ9Tf4MMLSOSMjeWBmQPa_zT_uStcwl", 92.0335666666668)</f>
        <v>92.03356667</v>
      </c>
      <c r="AR438" s="118">
        <f>HYPERLINK("https://docs.google.com/spreadsheets/d/1de-qI-uV9zTAu5I-x6mtgaKY0XXxncgE", 12.8955)</f>
        <v>12.8955</v>
      </c>
      <c r="AU438" s="118">
        <f>HYPERLINK("https://docs.google.com/spreadsheets/d/1IaHRuGayZ9icYlOuyVWqrvTAhbyAdDq5", 81.0069833333333)</f>
        <v>81.00698333</v>
      </c>
    </row>
    <row r="439">
      <c r="A439" s="65" t="s">
        <v>28</v>
      </c>
      <c r="B439" s="65" t="s">
        <v>100</v>
      </c>
      <c r="C439" s="65"/>
      <c r="D439" s="64">
        <f t="shared" si="1"/>
        <v>425.2170333</v>
      </c>
      <c r="F439" s="65">
        <v>12.86825</v>
      </c>
      <c r="G439" s="65">
        <v>5.04053333333333</v>
      </c>
      <c r="H439" s="65">
        <v>6.62531666666667</v>
      </c>
      <c r="I439" s="65">
        <v>0.1718</v>
      </c>
      <c r="K439" s="65">
        <v>1.2694</v>
      </c>
      <c r="N439" s="65">
        <v>7.85778333333333</v>
      </c>
      <c r="Q439" s="65">
        <v>7.23283333333333</v>
      </c>
      <c r="X439" s="65">
        <v>31.91595</v>
      </c>
      <c r="Y439" s="65">
        <v>9.26311666666667</v>
      </c>
      <c r="Z439" s="65">
        <v>3.85501666666667</v>
      </c>
      <c r="AA439" s="65">
        <v>0.314216666666667</v>
      </c>
      <c r="AB439" s="65">
        <v>0.56615</v>
      </c>
      <c r="AE439" s="65">
        <v>66.3802666666667</v>
      </c>
      <c r="AF439" s="65">
        <v>15.9322666666667</v>
      </c>
      <c r="AG439" s="65">
        <v>3.39513333333333</v>
      </c>
      <c r="AH439" s="65">
        <v>0.985983333333333</v>
      </c>
      <c r="AI439" s="65">
        <v>0.447383333333333</v>
      </c>
      <c r="AL439" s="65">
        <v>90.9670166666667</v>
      </c>
      <c r="AM439" s="65">
        <v>1.4824</v>
      </c>
      <c r="AN439" s="65">
        <v>1.22911666666667</v>
      </c>
      <c r="AQ439" s="65">
        <v>86.6201166666668</v>
      </c>
      <c r="AR439" s="65">
        <v>1.5743</v>
      </c>
      <c r="AU439" s="65">
        <v>69.2226833333333</v>
      </c>
    </row>
    <row r="440">
      <c r="A440" s="119" t="s">
        <v>28</v>
      </c>
      <c r="B440" s="119" t="s">
        <v>100</v>
      </c>
      <c r="C440" s="119"/>
      <c r="D440" s="120">
        <f t="shared" si="1"/>
        <v>0</v>
      </c>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c r="AA440" s="120"/>
      <c r="AB440" s="120"/>
      <c r="AC440" s="120"/>
      <c r="AD440" s="120"/>
      <c r="AE440" s="120"/>
      <c r="AF440" s="120"/>
      <c r="AG440" s="120"/>
      <c r="AH440" s="120"/>
      <c r="AI440" s="120"/>
      <c r="AJ440" s="120"/>
      <c r="AK440" s="120"/>
      <c r="AL440" s="120"/>
      <c r="AM440" s="120"/>
      <c r="AN440" s="120"/>
      <c r="AO440" s="120"/>
      <c r="AP440" s="120"/>
      <c r="AQ440" s="120"/>
      <c r="AR440" s="120"/>
      <c r="AS440" s="120"/>
      <c r="AT440" s="120"/>
      <c r="AU440" s="120"/>
      <c r="AV440" s="120"/>
      <c r="AW440" s="120"/>
      <c r="AX440" s="120"/>
      <c r="AY440" s="120"/>
      <c r="AZ440" s="120"/>
      <c r="BA440" s="120"/>
      <c r="BB440" s="120"/>
      <c r="BC440" s="120"/>
      <c r="BD440" s="120"/>
      <c r="BE440" s="120"/>
      <c r="BF440" s="120"/>
      <c r="BG440" s="120"/>
      <c r="BH440" s="120"/>
      <c r="BI440" s="120"/>
      <c r="BJ440" s="120"/>
      <c r="BK440" s="120"/>
      <c r="BL440" s="120"/>
      <c r="BM440" s="120"/>
      <c r="BN440" s="120"/>
      <c r="BO440" s="120"/>
      <c r="BP440" s="120"/>
      <c r="BQ440" s="120"/>
      <c r="BR440" s="120"/>
      <c r="BS440" s="120"/>
      <c r="BT440" s="120"/>
      <c r="BU440" s="120"/>
      <c r="BV440" s="120"/>
      <c r="BW440" s="120"/>
      <c r="BX440" s="120"/>
      <c r="BY440" s="120"/>
      <c r="BZ440" s="120"/>
      <c r="CA440" s="120"/>
      <c r="CB440" s="120"/>
      <c r="CC440" s="120"/>
      <c r="CD440" s="120"/>
      <c r="CE440" s="120"/>
      <c r="CF440" s="120"/>
      <c r="CG440" s="120"/>
      <c r="CH440" s="120"/>
      <c r="CI440" s="120"/>
      <c r="CJ440" s="120"/>
      <c r="CK440" s="120"/>
      <c r="CL440" s="120"/>
      <c r="CM440" s="120"/>
      <c r="CN440" s="120"/>
      <c r="CO440" s="120"/>
      <c r="CP440" s="120"/>
      <c r="CQ440" s="120"/>
      <c r="CR440" s="120"/>
      <c r="CS440" s="120"/>
      <c r="CT440" s="120"/>
      <c r="CU440" s="120"/>
      <c r="CV440" s="120"/>
      <c r="CW440" s="120"/>
      <c r="CX440" s="120"/>
      <c r="CY440" s="120"/>
      <c r="CZ440" s="120"/>
      <c r="DA440" s="120"/>
      <c r="DB440" s="120"/>
      <c r="DC440" s="120"/>
      <c r="DD440" s="120"/>
      <c r="DE440" s="120"/>
      <c r="DF440" s="120"/>
      <c r="DG440" s="120"/>
      <c r="DH440" s="120"/>
      <c r="DI440" s="120"/>
      <c r="DJ440" s="120"/>
      <c r="DK440" s="120"/>
      <c r="DL440" s="120"/>
      <c r="DM440" s="120"/>
      <c r="DN440" s="120"/>
      <c r="DO440" s="120"/>
      <c r="DP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120"/>
      <c r="EK440" s="120"/>
      <c r="EL440" s="120"/>
      <c r="EM440" s="120"/>
      <c r="EN440" s="120"/>
      <c r="EO440" s="120"/>
      <c r="EP440" s="120"/>
      <c r="EQ440" s="120"/>
      <c r="ER440" s="120"/>
      <c r="ES440" s="120"/>
      <c r="ET440" s="120"/>
      <c r="EU440" s="120"/>
      <c r="EV440" s="120"/>
      <c r="EW440" s="120"/>
      <c r="EX440" s="120"/>
      <c r="EY440" s="120"/>
      <c r="EZ440" s="120"/>
      <c r="FA440" s="120"/>
      <c r="FB440" s="120"/>
      <c r="FC440" s="120"/>
      <c r="FD440" s="120"/>
      <c r="FE440" s="120"/>
      <c r="FF440" s="120"/>
      <c r="FG440" s="120"/>
      <c r="FH440" s="120"/>
      <c r="FI440" s="120"/>
      <c r="FJ440" s="120"/>
      <c r="FK440" s="120"/>
      <c r="FL440" s="120"/>
      <c r="FM440" s="120"/>
      <c r="FN440" s="120"/>
      <c r="FO440" s="120"/>
      <c r="FP440" s="120"/>
      <c r="FQ440" s="120"/>
      <c r="FR440" s="120"/>
      <c r="FS440" s="120"/>
      <c r="FT440" s="120"/>
      <c r="FU440" s="120"/>
      <c r="FV440" s="120"/>
      <c r="FW440" s="120"/>
      <c r="FX440" s="120"/>
      <c r="FY440" s="120"/>
      <c r="FZ440" s="120"/>
      <c r="GA440" s="120"/>
      <c r="GB440" s="120"/>
      <c r="GC440" s="120"/>
      <c r="GD440" s="120"/>
      <c r="GE440" s="120"/>
      <c r="GF440" s="120"/>
      <c r="GG440" s="120"/>
      <c r="GH440" s="120"/>
      <c r="GI440" s="120"/>
      <c r="GJ440" s="120"/>
      <c r="GK440" s="120"/>
      <c r="GL440" s="120"/>
      <c r="GM440" s="120"/>
      <c r="GN440" s="120"/>
      <c r="GO440" s="120"/>
      <c r="GP440" s="120"/>
      <c r="GQ440" s="120"/>
      <c r="GR440" s="120"/>
      <c r="GS440" s="120"/>
      <c r="GT440" s="120"/>
      <c r="GU440" s="120"/>
      <c r="GV440" s="120"/>
      <c r="GW440" s="120"/>
      <c r="GX440" s="120"/>
      <c r="GY440" s="120"/>
      <c r="GZ440" s="120"/>
      <c r="HA440" s="120"/>
      <c r="HB440" s="120"/>
      <c r="HC440" s="120"/>
      <c r="HD440" s="120"/>
      <c r="HE440" s="120"/>
      <c r="HF440" s="120"/>
      <c r="HG440" s="120"/>
      <c r="HH440" s="120"/>
      <c r="HI440" s="120"/>
      <c r="HJ440" s="120"/>
      <c r="HK440" s="120"/>
      <c r="HL440" s="120"/>
      <c r="HM440" s="120"/>
      <c r="HN440" s="120"/>
      <c r="HO440" s="120"/>
      <c r="HP440" s="120"/>
      <c r="HQ440" s="120"/>
      <c r="HR440" s="120"/>
      <c r="HS440" s="120"/>
      <c r="HT440" s="120"/>
      <c r="HU440" s="120"/>
      <c r="HV440" s="120"/>
      <c r="HW440" s="120"/>
      <c r="HX440" s="120"/>
      <c r="HY440" s="120"/>
      <c r="HZ440" s="120"/>
      <c r="IA440" s="120"/>
      <c r="IB440" s="120"/>
      <c r="IC440" s="120"/>
      <c r="ID440" s="120"/>
      <c r="IE440" s="120"/>
      <c r="IF440" s="120"/>
      <c r="IG440" s="120"/>
      <c r="IH440" s="120"/>
      <c r="II440" s="120"/>
      <c r="IJ440" s="120"/>
      <c r="IK440" s="120"/>
      <c r="IL440" s="120"/>
      <c r="IM440" s="120"/>
      <c r="IN440" s="120"/>
      <c r="IO440" s="120"/>
      <c r="IP440" s="120"/>
      <c r="IQ440" s="120"/>
      <c r="IR440" s="120"/>
      <c r="IS440" s="120"/>
      <c r="IT440" s="120"/>
      <c r="IU440" s="120"/>
      <c r="IV440" s="120"/>
      <c r="IW440" s="120"/>
      <c r="IX440" s="120"/>
      <c r="IY440" s="120"/>
      <c r="IZ440" s="120"/>
      <c r="JA440" s="120"/>
      <c r="JB440" s="120"/>
      <c r="JC440" s="120"/>
      <c r="JD440" s="120"/>
      <c r="JE440" s="120"/>
      <c r="JF440" s="120"/>
      <c r="JG440" s="120"/>
      <c r="JH440" s="120"/>
      <c r="JI440" s="120"/>
      <c r="JJ440" s="120"/>
      <c r="JK440" s="120"/>
      <c r="JL440" s="120"/>
      <c r="JM440" s="120"/>
      <c r="JN440" s="120"/>
      <c r="JO440" s="120"/>
      <c r="JP440" s="120"/>
      <c r="JQ440" s="120"/>
      <c r="JR440" s="120"/>
      <c r="JS440" s="120"/>
      <c r="JT440" s="120"/>
      <c r="JU440" s="120"/>
      <c r="JV440" s="120"/>
      <c r="JW440" s="120"/>
      <c r="JX440" s="120"/>
      <c r="JY440" s="120"/>
      <c r="JZ440" s="120"/>
      <c r="KA440" s="120"/>
      <c r="KB440" s="120"/>
      <c r="KC440" s="120"/>
      <c r="KD440" s="120"/>
      <c r="KE440" s="120"/>
      <c r="KF440" s="120"/>
      <c r="KG440" s="120"/>
      <c r="KH440" s="120"/>
      <c r="KI440" s="120"/>
      <c r="KJ440" s="120"/>
      <c r="KK440" s="120"/>
      <c r="KL440" s="120"/>
      <c r="KM440" s="120"/>
      <c r="KN440" s="120"/>
      <c r="KO440" s="120"/>
      <c r="KP440" s="120"/>
      <c r="KQ440" s="120"/>
      <c r="KR440" s="120"/>
      <c r="KS440" s="120"/>
      <c r="KT440" s="120"/>
      <c r="KU440" s="120"/>
      <c r="KV440" s="120"/>
      <c r="KW440" s="120"/>
      <c r="KX440" s="120"/>
      <c r="KY440" s="120"/>
      <c r="KZ440" s="120"/>
      <c r="LA440" s="120"/>
      <c r="LB440" s="120"/>
      <c r="LC440" s="120"/>
      <c r="LD440" s="120"/>
      <c r="LE440" s="120"/>
      <c r="LF440" s="120"/>
      <c r="LG440" s="120"/>
      <c r="LH440" s="120"/>
      <c r="LI440" s="120"/>
      <c r="LJ440" s="120"/>
      <c r="LK440" s="120"/>
      <c r="LL440" s="120"/>
      <c r="LM440" s="120"/>
      <c r="LN440" s="120"/>
      <c r="LO440" s="120"/>
      <c r="LP440" s="120"/>
      <c r="LQ440" s="120"/>
      <c r="LR440" s="120"/>
      <c r="LS440" s="120"/>
      <c r="LT440" s="120"/>
      <c r="LU440" s="120"/>
      <c r="LV440" s="120"/>
      <c r="LW440" s="120"/>
      <c r="LX440" s="120"/>
      <c r="LY440" s="120"/>
      <c r="LZ440" s="120"/>
      <c r="MA440" s="120"/>
      <c r="MB440" s="120"/>
      <c r="MC440" s="120"/>
      <c r="MD440" s="120"/>
      <c r="ME440" s="120"/>
      <c r="MF440" s="120"/>
      <c r="MG440" s="120"/>
      <c r="MH440" s="120"/>
      <c r="MI440" s="120"/>
      <c r="MJ440" s="120"/>
      <c r="MK440" s="120"/>
      <c r="ML440" s="120"/>
      <c r="MM440" s="120"/>
      <c r="MN440" s="120"/>
      <c r="MO440" s="120"/>
      <c r="MP440" s="120"/>
      <c r="MQ440" s="120"/>
      <c r="MR440" s="120"/>
      <c r="MS440" s="120"/>
      <c r="MT440" s="120"/>
      <c r="MU440" s="120"/>
      <c r="MV440" s="120"/>
      <c r="MW440" s="120"/>
      <c r="MX440" s="120"/>
      <c r="MY440" s="120"/>
      <c r="MZ440" s="120"/>
      <c r="NA440" s="120"/>
      <c r="NB440" s="120"/>
      <c r="NC440" s="120"/>
      <c r="ND440" s="120"/>
      <c r="NE440" s="120"/>
      <c r="NF440" s="120"/>
      <c r="NG440" s="120"/>
      <c r="NH440" s="120"/>
      <c r="NI440" s="120"/>
      <c r="NJ440" s="120"/>
      <c r="NK440" s="120"/>
      <c r="NL440" s="120"/>
      <c r="NM440" s="120"/>
      <c r="NN440" s="120"/>
      <c r="NO440" s="120"/>
      <c r="NP440" s="120"/>
      <c r="NQ440" s="120"/>
      <c r="NR440" s="120"/>
      <c r="NS440" s="120"/>
      <c r="NT440" s="120"/>
      <c r="NU440" s="120"/>
      <c r="NV440" s="120"/>
      <c r="NW440" s="120"/>
      <c r="NX440" s="120"/>
      <c r="NY440" s="120"/>
      <c r="NZ440" s="120"/>
      <c r="OA440" s="120"/>
      <c r="OB440" s="120"/>
      <c r="OC440" s="120"/>
      <c r="OD440" s="120"/>
      <c r="OE440" s="120"/>
      <c r="OF440" s="120"/>
      <c r="OG440" s="120"/>
      <c r="OH440" s="120"/>
      <c r="OI440" s="120"/>
      <c r="OJ440" s="120"/>
      <c r="OK440" s="120"/>
      <c r="OL440" s="120"/>
      <c r="OM440" s="120"/>
      <c r="ON440" s="120"/>
      <c r="OO440" s="120"/>
      <c r="OP440" s="120"/>
      <c r="OQ440" s="120"/>
      <c r="OR440" s="120"/>
      <c r="OS440" s="120"/>
      <c r="OT440" s="120"/>
      <c r="OU440" s="120"/>
      <c r="OV440" s="120"/>
      <c r="OW440" s="120"/>
      <c r="OX440" s="120"/>
      <c r="OY440" s="120"/>
      <c r="OZ440" s="120"/>
      <c r="PA440" s="120"/>
      <c r="PB440" s="120"/>
      <c r="PC440" s="120"/>
      <c r="PD440" s="120"/>
      <c r="PE440" s="120"/>
      <c r="PF440" s="120"/>
      <c r="PG440" s="120"/>
      <c r="PH440" s="120"/>
      <c r="PI440" s="120"/>
      <c r="PJ440" s="120"/>
      <c r="PK440" s="120"/>
      <c r="PL440" s="120"/>
      <c r="PM440" s="120"/>
      <c r="PN440" s="120"/>
      <c r="PO440" s="120"/>
      <c r="PP440" s="120"/>
      <c r="PQ440" s="120"/>
      <c r="PR440" s="120"/>
      <c r="PS440" s="120"/>
      <c r="PT440" s="120"/>
      <c r="PU440" s="120"/>
      <c r="PV440" s="120"/>
      <c r="PW440" s="120"/>
      <c r="PX440" s="120"/>
      <c r="PY440" s="120"/>
      <c r="PZ440" s="120"/>
      <c r="QA440" s="120"/>
      <c r="QB440" s="120"/>
      <c r="QC440" s="120"/>
      <c r="QD440" s="120"/>
      <c r="QE440" s="120"/>
      <c r="QF440" s="120"/>
      <c r="QG440" s="120"/>
      <c r="QH440" s="120"/>
      <c r="QI440" s="120"/>
      <c r="QJ440" s="120"/>
      <c r="QK440" s="120"/>
      <c r="QL440" s="120"/>
      <c r="QM440" s="120"/>
      <c r="QN440" s="120"/>
      <c r="QO440" s="120"/>
      <c r="QP440" s="120"/>
      <c r="QQ440" s="120"/>
      <c r="QR440" s="120"/>
      <c r="QS440" s="120"/>
      <c r="QT440" s="120"/>
      <c r="QU440" s="120"/>
      <c r="QV440" s="120"/>
      <c r="QW440" s="120"/>
      <c r="QX440" s="120"/>
      <c r="QY440" s="120"/>
      <c r="QZ440" s="120"/>
      <c r="RA440" s="120"/>
      <c r="RB440" s="120"/>
      <c r="RC440" s="120"/>
      <c r="RD440" s="120"/>
      <c r="RE440" s="120"/>
      <c r="RF440" s="120"/>
      <c r="RG440" s="120"/>
      <c r="RH440" s="120"/>
      <c r="RI440" s="120"/>
      <c r="RJ440" s="120"/>
      <c r="RK440" s="120"/>
      <c r="RL440" s="120"/>
      <c r="RM440" s="120"/>
      <c r="RN440" s="120"/>
      <c r="RO440" s="120"/>
      <c r="RP440" s="120"/>
      <c r="RQ440" s="120"/>
      <c r="RR440" s="120"/>
      <c r="RS440" s="120"/>
      <c r="RT440" s="120"/>
      <c r="RU440" s="120"/>
      <c r="RV440" s="120"/>
      <c r="RW440" s="120"/>
      <c r="RX440" s="120"/>
      <c r="RY440" s="120"/>
      <c r="RZ440" s="120"/>
      <c r="SA440" s="120"/>
      <c r="SB440" s="120"/>
      <c r="SC440" s="120"/>
      <c r="SD440" s="120"/>
      <c r="SE440" s="120"/>
      <c r="SF440" s="120"/>
      <c r="SG440" s="120"/>
      <c r="SH440" s="120"/>
      <c r="SI440" s="120"/>
      <c r="SJ440" s="120"/>
      <c r="SK440" s="120"/>
      <c r="SL440" s="120"/>
      <c r="SM440" s="120"/>
      <c r="SN440" s="120"/>
      <c r="SO440" s="120"/>
      <c r="SP440" s="120"/>
      <c r="SQ440" s="120"/>
      <c r="SR440" s="120"/>
      <c r="SS440" s="120"/>
      <c r="ST440" s="120"/>
      <c r="SU440" s="120"/>
      <c r="SV440" s="120"/>
      <c r="SW440" s="120"/>
      <c r="SX440" s="120"/>
      <c r="SY440" s="120"/>
      <c r="SZ440" s="120"/>
      <c r="TA440" s="120"/>
      <c r="TB440" s="120"/>
      <c r="TC440" s="120"/>
      <c r="TD440" s="120"/>
      <c r="TE440" s="120"/>
      <c r="TF440" s="120"/>
      <c r="TG440" s="120"/>
      <c r="TH440" s="120"/>
      <c r="TI440" s="120"/>
      <c r="TJ440" s="120"/>
      <c r="TK440" s="120"/>
      <c r="TL440" s="120"/>
      <c r="TM440" s="120"/>
      <c r="TN440" s="120"/>
      <c r="TO440" s="120"/>
      <c r="TP440" s="120"/>
      <c r="TQ440" s="120"/>
      <c r="TR440" s="120"/>
      <c r="TS440" s="120"/>
      <c r="TT440" s="120"/>
      <c r="TU440" s="120"/>
      <c r="TV440" s="120"/>
      <c r="TW440" s="120"/>
      <c r="TX440" s="120"/>
      <c r="TY440" s="120"/>
      <c r="TZ440" s="120"/>
      <c r="UA440" s="120"/>
      <c r="UB440" s="120"/>
      <c r="UC440" s="120"/>
      <c r="UD440" s="120"/>
      <c r="UE440" s="120"/>
      <c r="UF440" s="120"/>
      <c r="UG440" s="120"/>
      <c r="UH440" s="120"/>
      <c r="UI440" s="120"/>
      <c r="UJ440" s="120"/>
      <c r="UK440" s="120"/>
      <c r="UL440" s="120"/>
      <c r="UM440" s="120"/>
      <c r="UN440" s="120"/>
      <c r="UO440" s="120"/>
      <c r="UP440" s="120"/>
      <c r="UQ440" s="120"/>
      <c r="UR440" s="120"/>
      <c r="US440" s="120"/>
      <c r="UT440" s="120"/>
      <c r="UU440" s="120"/>
      <c r="UV440" s="120"/>
      <c r="UW440" s="120"/>
      <c r="UX440" s="120"/>
      <c r="UY440" s="120"/>
      <c r="UZ440" s="120"/>
      <c r="VA440" s="120"/>
      <c r="VB440" s="120"/>
      <c r="VC440" s="120"/>
      <c r="VD440" s="120"/>
      <c r="VE440" s="120"/>
      <c r="VF440" s="120"/>
      <c r="VG440" s="120"/>
      <c r="VH440" s="120"/>
      <c r="VI440" s="120"/>
      <c r="VJ440" s="120"/>
      <c r="VK440" s="120"/>
      <c r="VL440" s="120"/>
      <c r="VM440" s="120"/>
      <c r="VN440" s="120"/>
      <c r="VO440" s="120"/>
      <c r="VP440" s="120"/>
      <c r="VQ440" s="120"/>
      <c r="VR440" s="120"/>
      <c r="VS440" s="120"/>
      <c r="VT440" s="120"/>
      <c r="VU440" s="120"/>
      <c r="VV440" s="120"/>
      <c r="VW440" s="120"/>
      <c r="VX440" s="120"/>
      <c r="VY440" s="120"/>
      <c r="VZ440" s="120"/>
      <c r="WA440" s="120"/>
      <c r="WB440" s="120"/>
      <c r="WC440" s="120"/>
      <c r="WD440" s="120"/>
      <c r="WE440" s="120"/>
      <c r="WF440" s="120"/>
      <c r="WG440" s="120"/>
      <c r="WH440" s="120"/>
      <c r="WI440" s="120"/>
      <c r="WJ440" s="120"/>
      <c r="WK440" s="120"/>
      <c r="WL440" s="120"/>
      <c r="WM440" s="120"/>
      <c r="WN440" s="120"/>
      <c r="WO440" s="120"/>
      <c r="WP440" s="120"/>
      <c r="WQ440" s="120"/>
      <c r="WR440" s="120"/>
      <c r="WS440" s="120"/>
      <c r="WT440" s="120"/>
      <c r="WU440" s="120"/>
      <c r="WV440" s="120"/>
      <c r="WW440" s="120"/>
      <c r="WX440" s="120"/>
      <c r="WY440" s="120"/>
      <c r="WZ440" s="120"/>
      <c r="XA440" s="120"/>
      <c r="XB440" s="120"/>
      <c r="XC440" s="120"/>
      <c r="XD440" s="120"/>
      <c r="XE440" s="120"/>
      <c r="XF440" s="120"/>
      <c r="XG440" s="120"/>
      <c r="XH440" s="120"/>
      <c r="XI440" s="120"/>
      <c r="XJ440" s="120"/>
      <c r="XK440" s="120"/>
      <c r="XL440" s="120"/>
      <c r="XM440" s="120"/>
      <c r="XN440" s="120"/>
      <c r="XO440" s="120"/>
      <c r="XP440" s="120"/>
      <c r="XQ440" s="120"/>
      <c r="XR440" s="120"/>
      <c r="XS440" s="120"/>
      <c r="XT440" s="120"/>
      <c r="XU440" s="120"/>
      <c r="XV440" s="120"/>
      <c r="XW440" s="120"/>
      <c r="XX440" s="120"/>
      <c r="XY440" s="120"/>
      <c r="XZ440" s="120"/>
      <c r="YA440" s="120"/>
      <c r="YB440" s="120"/>
      <c r="YC440" s="120"/>
      <c r="YD440" s="120"/>
      <c r="YE440" s="120"/>
      <c r="YF440" s="120"/>
      <c r="YG440" s="120"/>
      <c r="YH440" s="120"/>
      <c r="YI440" s="120"/>
      <c r="YJ440" s="120"/>
      <c r="YK440" s="120"/>
      <c r="YL440" s="120"/>
      <c r="YM440" s="120"/>
      <c r="YN440" s="120"/>
      <c r="YO440" s="120"/>
      <c r="YP440" s="120"/>
      <c r="YQ440" s="120"/>
      <c r="YR440" s="120"/>
      <c r="YS440" s="120"/>
      <c r="YT440" s="120"/>
      <c r="YU440" s="120"/>
      <c r="YV440" s="120"/>
      <c r="YW440" s="120"/>
      <c r="YX440" s="120"/>
      <c r="YY440" s="120"/>
      <c r="YZ440" s="120"/>
      <c r="ZA440" s="120"/>
      <c r="ZB440" s="120"/>
      <c r="ZC440" s="120"/>
      <c r="ZD440" s="120"/>
      <c r="ZE440" s="120"/>
      <c r="ZF440" s="120"/>
      <c r="ZG440" s="120"/>
      <c r="ZH440" s="120"/>
      <c r="ZI440" s="120"/>
      <c r="ZJ440" s="120"/>
      <c r="ZK440" s="120"/>
      <c r="ZL440" s="120"/>
      <c r="ZM440" s="120"/>
      <c r="ZN440" s="120"/>
      <c r="ZO440" s="120"/>
      <c r="ZP440" s="120"/>
      <c r="ZQ440" s="120"/>
      <c r="ZR440" s="120"/>
      <c r="ZS440" s="120"/>
      <c r="ZT440" s="120"/>
      <c r="ZU440" s="120"/>
      <c r="ZV440" s="120"/>
      <c r="ZW440" s="120"/>
      <c r="ZX440" s="120"/>
      <c r="ZY440" s="120"/>
      <c r="ZZ440" s="120"/>
      <c r="AAA440" s="120"/>
      <c r="AAB440" s="120"/>
      <c r="AAC440" s="120"/>
      <c r="AAD440" s="120"/>
      <c r="AAE440" s="120"/>
      <c r="AAF440" s="120"/>
      <c r="AAG440" s="120"/>
      <c r="AAH440" s="120"/>
      <c r="AAI440" s="120"/>
      <c r="AAJ440" s="120"/>
      <c r="AAK440" s="120"/>
      <c r="AAL440" s="120"/>
      <c r="AAM440" s="120"/>
      <c r="AAN440" s="120"/>
      <c r="AAO440" s="120"/>
      <c r="AAP440" s="120"/>
      <c r="AAQ440" s="120"/>
      <c r="AAR440" s="120"/>
      <c r="AAS440" s="120"/>
      <c r="AAT440" s="120"/>
      <c r="AAU440" s="120"/>
      <c r="AAV440" s="120"/>
      <c r="AAW440" s="120"/>
      <c r="AAX440" s="120"/>
      <c r="AAY440" s="120"/>
      <c r="AAZ440" s="120"/>
      <c r="ABA440" s="120"/>
      <c r="ABB440" s="120"/>
      <c r="ABC440" s="120"/>
      <c r="ABD440" s="120"/>
      <c r="ABE440" s="120"/>
      <c r="ABF440" s="120"/>
      <c r="ABG440" s="120"/>
      <c r="ABH440" s="120"/>
      <c r="ABI440" s="120"/>
      <c r="ABJ440" s="120"/>
      <c r="ABK440" s="120"/>
      <c r="ABL440" s="120"/>
      <c r="ABM440" s="120"/>
      <c r="ABN440" s="120"/>
      <c r="ABO440" s="120"/>
      <c r="ABP440" s="120"/>
      <c r="ABQ440" s="120"/>
      <c r="ABR440" s="120"/>
      <c r="ABS440" s="120"/>
      <c r="ABT440" s="120"/>
      <c r="ABU440" s="120"/>
      <c r="ABV440" s="120"/>
      <c r="ABW440" s="120"/>
      <c r="ABX440" s="120"/>
      <c r="ABY440" s="120"/>
      <c r="ABZ440" s="120"/>
      <c r="ACA440" s="120"/>
      <c r="ACB440" s="120"/>
      <c r="ACC440" s="120"/>
      <c r="ACD440" s="120"/>
      <c r="ACE440" s="120"/>
      <c r="ACF440" s="120"/>
      <c r="ACG440" s="120"/>
      <c r="ACH440" s="120"/>
      <c r="ACI440" s="120"/>
      <c r="ACJ440" s="120"/>
      <c r="ACK440" s="120"/>
      <c r="ACL440" s="120"/>
      <c r="ACM440" s="120"/>
      <c r="ACN440" s="120"/>
      <c r="ACO440" s="120"/>
      <c r="ACP440" s="120"/>
      <c r="ACQ440" s="120"/>
      <c r="ACR440" s="120"/>
      <c r="ACS440" s="120"/>
      <c r="ACT440" s="120"/>
      <c r="ACU440" s="120"/>
      <c r="ACV440" s="120"/>
      <c r="ACW440" s="120"/>
      <c r="ACX440" s="120"/>
      <c r="ACY440" s="120"/>
      <c r="ACZ440" s="120"/>
      <c r="ADA440" s="120"/>
      <c r="ADB440" s="120"/>
      <c r="ADC440" s="120"/>
      <c r="ADD440" s="120"/>
      <c r="ADE440" s="120"/>
      <c r="ADF440" s="120"/>
      <c r="ADG440" s="120"/>
      <c r="ADH440" s="120"/>
      <c r="ADI440" s="120"/>
      <c r="ADJ440" s="120"/>
      <c r="ADK440" s="120"/>
      <c r="ADL440" s="120"/>
      <c r="ADM440" s="120"/>
      <c r="ADN440" s="120"/>
      <c r="ADO440" s="120"/>
      <c r="ADP440" s="120"/>
      <c r="ADQ440" s="120"/>
      <c r="ADR440" s="120"/>
      <c r="ADS440" s="120"/>
      <c r="ADT440" s="120"/>
      <c r="ADU440" s="120"/>
      <c r="ADV440" s="120"/>
      <c r="ADW440" s="120"/>
      <c r="ADX440" s="120"/>
      <c r="ADY440" s="120"/>
      <c r="ADZ440" s="120"/>
      <c r="AEA440" s="120"/>
      <c r="AEB440" s="120"/>
      <c r="AEC440" s="120"/>
      <c r="AED440" s="120"/>
      <c r="AEE440" s="120"/>
      <c r="AEF440" s="120"/>
      <c r="AEG440" s="120"/>
      <c r="AEH440" s="120"/>
      <c r="AEI440" s="120"/>
      <c r="AEJ440" s="120"/>
      <c r="AEK440" s="120"/>
      <c r="AEL440" s="120"/>
      <c r="AEM440" s="120"/>
      <c r="AEN440" s="120"/>
      <c r="AEO440" s="120"/>
      <c r="AEP440" s="120"/>
      <c r="AEQ440" s="120"/>
      <c r="AER440" s="120"/>
      <c r="AES440" s="120"/>
      <c r="AET440" s="120"/>
      <c r="AEU440" s="120"/>
      <c r="AEV440" s="120"/>
      <c r="AEW440" s="120"/>
      <c r="AEX440" s="120"/>
      <c r="AEY440" s="120"/>
      <c r="AEZ440" s="120"/>
      <c r="AFA440" s="120"/>
      <c r="AFB440" s="120"/>
      <c r="AFC440" s="120"/>
      <c r="AFD440" s="120"/>
      <c r="AFE440" s="120"/>
      <c r="AFF440" s="120"/>
      <c r="AFG440" s="120"/>
      <c r="AFH440" s="120"/>
      <c r="AFI440" s="120"/>
      <c r="AFJ440" s="120"/>
      <c r="AFK440" s="120"/>
      <c r="AFL440" s="120"/>
      <c r="AFM440" s="120"/>
      <c r="AFN440" s="120"/>
      <c r="AFO440" s="120"/>
      <c r="AFP440" s="120"/>
      <c r="AFQ440" s="120"/>
      <c r="AFR440" s="120"/>
      <c r="AFS440" s="120"/>
      <c r="AFT440" s="120"/>
      <c r="AFU440" s="120"/>
      <c r="AFV440" s="120"/>
      <c r="AFW440" s="120"/>
      <c r="AFX440" s="120"/>
      <c r="AFY440" s="120"/>
      <c r="AFZ440" s="120"/>
      <c r="AGA440" s="120"/>
      <c r="AGB440" s="120"/>
      <c r="AGC440" s="120"/>
      <c r="AGD440" s="120"/>
      <c r="AGE440" s="120"/>
      <c r="AGF440" s="120"/>
      <c r="AGG440" s="120"/>
      <c r="AGH440" s="120"/>
      <c r="AGI440" s="120"/>
      <c r="AGJ440" s="120"/>
      <c r="AGK440" s="120"/>
      <c r="AGL440" s="120"/>
      <c r="AGM440" s="120"/>
      <c r="AGN440" s="120"/>
      <c r="AGO440" s="120"/>
      <c r="AGP440" s="120"/>
      <c r="AGQ440" s="120"/>
      <c r="AGR440" s="120"/>
      <c r="AGS440" s="120"/>
      <c r="AGT440" s="120"/>
      <c r="AGU440" s="120"/>
      <c r="AGV440" s="120"/>
      <c r="AGW440" s="120"/>
      <c r="AGX440" s="120"/>
      <c r="AGY440" s="120"/>
      <c r="AGZ440" s="120"/>
      <c r="AHA440" s="120"/>
      <c r="AHB440" s="120"/>
      <c r="AHC440" s="120"/>
      <c r="AHD440" s="120"/>
      <c r="AHE440" s="120"/>
      <c r="AHF440" s="120"/>
      <c r="AHG440" s="120"/>
      <c r="AHH440" s="120"/>
      <c r="AHI440" s="120"/>
      <c r="AHJ440" s="120"/>
      <c r="AHK440" s="120"/>
      <c r="AHL440" s="120"/>
      <c r="AHM440" s="120"/>
      <c r="AHN440" s="120"/>
      <c r="AHO440" s="120"/>
      <c r="AHP440" s="120"/>
      <c r="AHQ440" s="120"/>
      <c r="AHR440" s="120"/>
      <c r="AHS440" s="120"/>
      <c r="AHT440" s="120"/>
      <c r="AHU440" s="120"/>
      <c r="AHV440" s="120"/>
      <c r="AHW440" s="120"/>
      <c r="AHX440" s="120"/>
      <c r="AHY440" s="120"/>
      <c r="AHZ440" s="120"/>
      <c r="AIA440" s="120"/>
      <c r="AIB440" s="120"/>
      <c r="AIC440" s="120"/>
      <c r="AID440" s="120"/>
      <c r="AIE440" s="120"/>
      <c r="AIF440" s="120"/>
      <c r="AIG440" s="120"/>
      <c r="AIH440" s="120"/>
      <c r="AII440" s="120"/>
      <c r="AIJ440" s="120"/>
      <c r="AIK440" s="120"/>
      <c r="AIL440" s="120"/>
      <c r="AIM440" s="120"/>
      <c r="AIN440" s="120"/>
      <c r="AIO440" s="120"/>
      <c r="AIP440" s="120"/>
      <c r="AIQ440" s="120"/>
      <c r="AIR440" s="120"/>
      <c r="AIS440" s="120"/>
      <c r="AIT440" s="120"/>
      <c r="AIU440" s="120"/>
      <c r="AIV440" s="120"/>
      <c r="AIW440" s="120"/>
      <c r="AIX440" s="120"/>
      <c r="AIY440" s="120"/>
      <c r="AIZ440" s="120"/>
    </row>
    <row r="441">
      <c r="A441" s="112" t="s">
        <v>28</v>
      </c>
      <c r="B441" s="112" t="s">
        <v>101</v>
      </c>
      <c r="C441" s="112"/>
      <c r="D441" s="113">
        <f t="shared" si="1"/>
        <v>619.91915</v>
      </c>
      <c r="E441" s="112">
        <v>30.4681666666667</v>
      </c>
      <c r="F441" s="113"/>
      <c r="G441" s="113"/>
      <c r="H441" s="113"/>
      <c r="I441" s="113"/>
      <c r="J441" s="113"/>
      <c r="K441" s="113"/>
      <c r="L441" s="112">
        <v>0.3798</v>
      </c>
      <c r="M441" s="112">
        <v>10.4539333333333</v>
      </c>
      <c r="N441" s="113"/>
      <c r="O441" s="112">
        <v>0.618616666666667</v>
      </c>
      <c r="P441" s="112">
        <v>34.2829333333333</v>
      </c>
      <c r="Q441" s="113"/>
      <c r="R441" s="113"/>
      <c r="S441" s="113"/>
      <c r="T441" s="113"/>
      <c r="U441" s="113"/>
      <c r="V441" s="112">
        <v>1.11751666666667</v>
      </c>
      <c r="W441" s="112">
        <v>65.9544</v>
      </c>
      <c r="X441" s="113"/>
      <c r="Y441" s="113"/>
      <c r="Z441" s="113"/>
      <c r="AA441" s="113"/>
      <c r="AB441" s="113"/>
      <c r="AC441" s="112">
        <v>1.44358333333333</v>
      </c>
      <c r="AD441" s="112">
        <v>101.11245</v>
      </c>
      <c r="AE441" s="113"/>
      <c r="AF441" s="113"/>
      <c r="AG441" s="113"/>
      <c r="AH441" s="113"/>
      <c r="AI441" s="113"/>
      <c r="AJ441" s="112">
        <v>0.959683333333333</v>
      </c>
      <c r="AK441" s="112">
        <v>122.739716666667</v>
      </c>
      <c r="AL441" s="113"/>
      <c r="AM441" s="113"/>
      <c r="AN441" s="113"/>
      <c r="AO441" s="112">
        <v>5.7571</v>
      </c>
      <c r="AP441" s="112">
        <v>141.668466666667</v>
      </c>
      <c r="AQ441" s="113"/>
      <c r="AR441" s="113"/>
      <c r="AS441" s="112">
        <v>7.4044</v>
      </c>
      <c r="AT441" s="112">
        <v>83.4121166666668</v>
      </c>
      <c r="AU441" s="113"/>
      <c r="AV441" s="112">
        <v>8.92803333333333</v>
      </c>
      <c r="AW441" s="112">
        <v>3.21823333333333</v>
      </c>
      <c r="AX441" s="113"/>
      <c r="AY441" s="113"/>
      <c r="AZ441" s="113"/>
      <c r="BA441" s="113"/>
      <c r="BB441" s="113"/>
      <c r="BC441" s="113"/>
      <c r="BD441" s="113"/>
      <c r="BE441" s="113"/>
      <c r="BF441" s="113"/>
      <c r="BG441" s="113"/>
      <c r="BH441" s="113"/>
      <c r="BI441" s="113"/>
      <c r="BJ441" s="113"/>
      <c r="BK441" s="113"/>
      <c r="BL441" s="113"/>
      <c r="BM441" s="113"/>
      <c r="BN441" s="113"/>
      <c r="BO441" s="113"/>
      <c r="BP441" s="113"/>
      <c r="BQ441" s="113"/>
      <c r="BR441" s="113"/>
      <c r="BS441" s="113"/>
      <c r="BT441" s="113"/>
      <c r="BU441" s="113"/>
      <c r="BV441" s="113"/>
      <c r="BW441" s="113"/>
      <c r="BX441" s="113"/>
      <c r="BY441" s="113"/>
      <c r="BZ441" s="113"/>
      <c r="CA441" s="113"/>
      <c r="CB441" s="113"/>
      <c r="CC441" s="113"/>
      <c r="CD441" s="113"/>
      <c r="CE441" s="113"/>
      <c r="CF441" s="113"/>
      <c r="CG441" s="113"/>
      <c r="CH441" s="113"/>
      <c r="CI441" s="113"/>
      <c r="CJ441" s="113"/>
      <c r="CK441" s="113"/>
      <c r="CL441" s="113"/>
      <c r="CM441" s="113"/>
      <c r="CN441" s="113"/>
      <c r="CO441" s="113"/>
      <c r="CP441" s="113"/>
      <c r="CQ441" s="113"/>
      <c r="CR441" s="113"/>
      <c r="CS441" s="113"/>
      <c r="CT441" s="113"/>
      <c r="CU441" s="113"/>
      <c r="CV441" s="113"/>
      <c r="CW441" s="113"/>
      <c r="CX441" s="113"/>
      <c r="CY441" s="113"/>
      <c r="CZ441" s="113"/>
      <c r="DA441" s="113"/>
      <c r="DB441" s="113"/>
      <c r="DC441" s="113"/>
      <c r="DD441" s="113"/>
      <c r="DE441" s="113"/>
      <c r="DF441" s="113"/>
      <c r="DG441" s="113"/>
      <c r="DH441" s="113"/>
      <c r="DI441" s="113"/>
      <c r="DJ441" s="113"/>
      <c r="DK441" s="113"/>
      <c r="DL441" s="113"/>
      <c r="DM441" s="113"/>
      <c r="DN441" s="113"/>
      <c r="DO441" s="113"/>
      <c r="DP441" s="113"/>
      <c r="DQ441" s="113"/>
      <c r="DR441" s="113"/>
      <c r="DS441" s="113"/>
      <c r="DT441" s="113"/>
      <c r="DU441" s="113"/>
      <c r="DV441" s="113"/>
      <c r="DW441" s="113"/>
      <c r="DX441" s="113"/>
      <c r="DY441" s="113"/>
      <c r="DZ441" s="113"/>
      <c r="EA441" s="113"/>
      <c r="EB441" s="113"/>
      <c r="EC441" s="113"/>
      <c r="ED441" s="113"/>
      <c r="EE441" s="113"/>
      <c r="EF441" s="113"/>
      <c r="EG441" s="113"/>
      <c r="EH441" s="113"/>
      <c r="EI441" s="113"/>
      <c r="EJ441" s="113"/>
      <c r="EK441" s="113"/>
      <c r="EL441" s="113"/>
      <c r="EM441" s="113"/>
      <c r="EN441" s="113"/>
      <c r="EO441" s="113"/>
      <c r="EP441" s="113"/>
      <c r="EQ441" s="113"/>
      <c r="ER441" s="113"/>
      <c r="ES441" s="113"/>
      <c r="ET441" s="113"/>
      <c r="EU441" s="113"/>
      <c r="EV441" s="113"/>
      <c r="EW441" s="113"/>
      <c r="EX441" s="113"/>
      <c r="EY441" s="113"/>
      <c r="EZ441" s="113"/>
      <c r="FA441" s="113"/>
      <c r="FB441" s="113"/>
      <c r="FC441" s="113"/>
      <c r="FD441" s="113"/>
      <c r="FE441" s="113"/>
      <c r="FF441" s="113"/>
      <c r="FG441" s="113"/>
      <c r="FH441" s="113"/>
      <c r="FI441" s="113"/>
      <c r="FJ441" s="113"/>
      <c r="FK441" s="113"/>
      <c r="FL441" s="113"/>
      <c r="FM441" s="113"/>
      <c r="FN441" s="113"/>
      <c r="FO441" s="113"/>
      <c r="FP441" s="113"/>
      <c r="FQ441" s="113"/>
      <c r="FR441" s="113"/>
      <c r="FS441" s="113"/>
      <c r="FT441" s="113"/>
      <c r="FU441" s="113"/>
      <c r="FV441" s="113"/>
      <c r="FW441" s="113"/>
      <c r="FX441" s="113"/>
      <c r="FY441" s="113"/>
      <c r="FZ441" s="113"/>
      <c r="GA441" s="113"/>
      <c r="GB441" s="113"/>
      <c r="GC441" s="113"/>
      <c r="GD441" s="113"/>
      <c r="GE441" s="113"/>
      <c r="GF441" s="113"/>
      <c r="GG441" s="113"/>
      <c r="GH441" s="113"/>
      <c r="GI441" s="113"/>
      <c r="GJ441" s="113"/>
      <c r="GK441" s="113"/>
      <c r="GL441" s="113"/>
      <c r="GM441" s="113"/>
      <c r="GN441" s="113"/>
      <c r="GO441" s="113"/>
      <c r="GP441" s="113"/>
      <c r="GQ441" s="113"/>
      <c r="GR441" s="113"/>
      <c r="GS441" s="113"/>
      <c r="GT441" s="113"/>
      <c r="GU441" s="113"/>
      <c r="GV441" s="113"/>
      <c r="GW441" s="113"/>
      <c r="GX441" s="113"/>
      <c r="GY441" s="113"/>
      <c r="GZ441" s="113"/>
      <c r="HA441" s="113"/>
      <c r="HB441" s="113"/>
      <c r="HC441" s="113"/>
      <c r="HD441" s="113"/>
      <c r="HE441" s="113"/>
      <c r="HF441" s="113"/>
      <c r="HG441" s="113"/>
      <c r="HH441" s="113"/>
      <c r="HI441" s="113"/>
      <c r="HJ441" s="113"/>
      <c r="HK441" s="113"/>
      <c r="HL441" s="113"/>
      <c r="HM441" s="113"/>
      <c r="HN441" s="113"/>
      <c r="HO441" s="113"/>
      <c r="HP441" s="113"/>
      <c r="HQ441" s="113"/>
      <c r="HR441" s="113"/>
      <c r="HS441" s="113"/>
      <c r="HT441" s="113"/>
      <c r="HU441" s="113"/>
      <c r="HV441" s="113"/>
      <c r="HW441" s="113"/>
      <c r="HX441" s="113"/>
      <c r="HY441" s="113"/>
      <c r="HZ441" s="113"/>
      <c r="IA441" s="113"/>
      <c r="IB441" s="113"/>
      <c r="IC441" s="113"/>
      <c r="ID441" s="113"/>
      <c r="IE441" s="113"/>
      <c r="IF441" s="113"/>
      <c r="IG441" s="113"/>
      <c r="IH441" s="113"/>
      <c r="II441" s="113"/>
      <c r="IJ441" s="113"/>
      <c r="IK441" s="113"/>
      <c r="IL441" s="113"/>
      <c r="IM441" s="113"/>
      <c r="IN441" s="113"/>
      <c r="IO441" s="113"/>
      <c r="IP441" s="113"/>
      <c r="IQ441" s="113"/>
      <c r="IR441" s="113"/>
      <c r="IS441" s="113"/>
      <c r="IT441" s="113"/>
      <c r="IU441" s="113"/>
      <c r="IV441" s="113"/>
      <c r="IW441" s="113"/>
      <c r="IX441" s="113"/>
      <c r="IY441" s="113"/>
      <c r="IZ441" s="113"/>
      <c r="JA441" s="113"/>
      <c r="JB441" s="113"/>
      <c r="JC441" s="113"/>
      <c r="JD441" s="113"/>
      <c r="JE441" s="113"/>
      <c r="JF441" s="113"/>
      <c r="JG441" s="113"/>
      <c r="JH441" s="113"/>
      <c r="JI441" s="113"/>
      <c r="JJ441" s="113"/>
      <c r="JK441" s="113"/>
      <c r="JL441" s="113"/>
      <c r="JM441" s="113"/>
      <c r="JN441" s="113"/>
      <c r="JO441" s="113"/>
      <c r="JP441" s="113"/>
      <c r="JQ441" s="113"/>
      <c r="JR441" s="113"/>
      <c r="JS441" s="113"/>
      <c r="JT441" s="113"/>
      <c r="JU441" s="113"/>
      <c r="JV441" s="113"/>
      <c r="JW441" s="113"/>
      <c r="JX441" s="113"/>
      <c r="JY441" s="113"/>
      <c r="JZ441" s="113"/>
      <c r="KA441" s="113"/>
      <c r="KB441" s="113"/>
      <c r="KC441" s="113"/>
      <c r="KD441" s="113"/>
      <c r="KE441" s="113"/>
      <c r="KF441" s="113"/>
      <c r="KG441" s="113"/>
      <c r="KH441" s="113"/>
      <c r="KI441" s="113"/>
      <c r="KJ441" s="113"/>
      <c r="KK441" s="113"/>
      <c r="KL441" s="113"/>
      <c r="KM441" s="113"/>
      <c r="KN441" s="113"/>
      <c r="KO441" s="113"/>
      <c r="KP441" s="113"/>
      <c r="KQ441" s="113"/>
      <c r="KR441" s="113"/>
      <c r="KS441" s="113"/>
      <c r="KT441" s="113"/>
      <c r="KU441" s="113"/>
      <c r="KV441" s="113"/>
      <c r="KW441" s="113"/>
      <c r="KX441" s="113"/>
      <c r="KY441" s="113"/>
      <c r="KZ441" s="113"/>
      <c r="LA441" s="113"/>
      <c r="LB441" s="113"/>
      <c r="LC441" s="113"/>
      <c r="LD441" s="113"/>
      <c r="LE441" s="113"/>
      <c r="LF441" s="113"/>
      <c r="LG441" s="113"/>
      <c r="LH441" s="113"/>
      <c r="LI441" s="113"/>
      <c r="LJ441" s="113"/>
      <c r="LK441" s="113"/>
      <c r="LL441" s="113"/>
      <c r="LM441" s="113"/>
      <c r="LN441" s="113"/>
      <c r="LO441" s="113"/>
      <c r="LP441" s="113"/>
      <c r="LQ441" s="113"/>
      <c r="LR441" s="113"/>
      <c r="LS441" s="113"/>
      <c r="LT441" s="113"/>
      <c r="LU441" s="113"/>
      <c r="LV441" s="113"/>
      <c r="LW441" s="113"/>
      <c r="LX441" s="113"/>
      <c r="LY441" s="113"/>
      <c r="LZ441" s="113"/>
      <c r="MA441" s="113"/>
      <c r="MB441" s="113"/>
      <c r="MC441" s="113"/>
      <c r="MD441" s="113"/>
      <c r="ME441" s="113"/>
      <c r="MF441" s="113"/>
      <c r="MG441" s="113"/>
      <c r="MH441" s="113"/>
      <c r="MI441" s="113"/>
      <c r="MJ441" s="113"/>
      <c r="MK441" s="113"/>
      <c r="ML441" s="113"/>
      <c r="MM441" s="113"/>
      <c r="MN441" s="113"/>
      <c r="MO441" s="113"/>
      <c r="MP441" s="113"/>
      <c r="MQ441" s="113"/>
      <c r="MR441" s="113"/>
      <c r="MS441" s="113"/>
      <c r="MT441" s="113"/>
      <c r="MU441" s="113"/>
      <c r="MV441" s="113"/>
      <c r="MW441" s="113"/>
      <c r="MX441" s="113"/>
      <c r="MY441" s="113"/>
      <c r="MZ441" s="113"/>
      <c r="NA441" s="113"/>
      <c r="NB441" s="113"/>
      <c r="NC441" s="113"/>
      <c r="ND441" s="113"/>
      <c r="NE441" s="113"/>
      <c r="NF441" s="113"/>
      <c r="NG441" s="113"/>
      <c r="NH441" s="113"/>
      <c r="NI441" s="113"/>
      <c r="NJ441" s="113"/>
      <c r="NK441" s="113"/>
      <c r="NL441" s="113"/>
      <c r="NM441" s="113"/>
      <c r="NN441" s="113"/>
      <c r="NO441" s="113"/>
      <c r="NP441" s="113"/>
      <c r="NQ441" s="113"/>
      <c r="NR441" s="113"/>
      <c r="NS441" s="113"/>
      <c r="NT441" s="113"/>
      <c r="NU441" s="113"/>
      <c r="NV441" s="113"/>
      <c r="NW441" s="113"/>
      <c r="NX441" s="113"/>
      <c r="NY441" s="113"/>
      <c r="NZ441" s="113"/>
      <c r="OA441" s="113"/>
      <c r="OB441" s="113"/>
      <c r="OC441" s="113"/>
      <c r="OD441" s="113"/>
      <c r="OE441" s="113"/>
      <c r="OF441" s="113"/>
      <c r="OG441" s="113"/>
      <c r="OH441" s="113"/>
      <c r="OI441" s="113"/>
      <c r="OJ441" s="113"/>
      <c r="OK441" s="113"/>
      <c r="OL441" s="113"/>
      <c r="OM441" s="113"/>
      <c r="ON441" s="113"/>
      <c r="OO441" s="113"/>
      <c r="OP441" s="113"/>
      <c r="OQ441" s="113"/>
      <c r="OR441" s="113"/>
      <c r="OS441" s="113"/>
      <c r="OT441" s="113"/>
      <c r="OU441" s="113"/>
      <c r="OV441" s="113"/>
      <c r="OW441" s="113"/>
      <c r="OX441" s="113"/>
      <c r="OY441" s="113"/>
      <c r="OZ441" s="113"/>
      <c r="PA441" s="113"/>
      <c r="PB441" s="113"/>
      <c r="PC441" s="113"/>
      <c r="PD441" s="113"/>
      <c r="PE441" s="113"/>
      <c r="PF441" s="113"/>
      <c r="PG441" s="113"/>
      <c r="PH441" s="113"/>
      <c r="PI441" s="113"/>
      <c r="PJ441" s="113"/>
      <c r="PK441" s="113"/>
      <c r="PL441" s="113"/>
      <c r="PM441" s="113"/>
      <c r="PN441" s="113"/>
      <c r="PO441" s="113"/>
      <c r="PP441" s="113"/>
      <c r="PQ441" s="113"/>
      <c r="PR441" s="113"/>
      <c r="PS441" s="113"/>
      <c r="PT441" s="113"/>
      <c r="PU441" s="113"/>
      <c r="PV441" s="113"/>
      <c r="PW441" s="113"/>
      <c r="PX441" s="113"/>
      <c r="PY441" s="113"/>
      <c r="PZ441" s="113"/>
      <c r="QA441" s="113"/>
      <c r="QB441" s="113"/>
      <c r="QC441" s="113"/>
      <c r="QD441" s="113"/>
      <c r="QE441" s="113"/>
      <c r="QF441" s="113"/>
      <c r="QG441" s="113"/>
      <c r="QH441" s="113"/>
      <c r="QI441" s="113"/>
      <c r="QJ441" s="113"/>
      <c r="QK441" s="113"/>
      <c r="QL441" s="113"/>
      <c r="QM441" s="113"/>
      <c r="QN441" s="113"/>
      <c r="QO441" s="113"/>
      <c r="QP441" s="113"/>
      <c r="QQ441" s="113"/>
      <c r="QR441" s="113"/>
      <c r="QS441" s="113"/>
      <c r="QT441" s="113"/>
      <c r="QU441" s="113"/>
      <c r="QV441" s="113"/>
      <c r="QW441" s="113"/>
      <c r="QX441" s="113"/>
      <c r="QY441" s="113"/>
      <c r="QZ441" s="113"/>
      <c r="RA441" s="113"/>
      <c r="RB441" s="113"/>
      <c r="RC441" s="113"/>
      <c r="RD441" s="113"/>
      <c r="RE441" s="113"/>
      <c r="RF441" s="113"/>
      <c r="RG441" s="113"/>
      <c r="RH441" s="113"/>
      <c r="RI441" s="113"/>
      <c r="RJ441" s="113"/>
      <c r="RK441" s="113"/>
      <c r="RL441" s="113"/>
      <c r="RM441" s="113"/>
      <c r="RN441" s="113"/>
      <c r="RO441" s="113"/>
      <c r="RP441" s="113"/>
      <c r="RQ441" s="113"/>
      <c r="RR441" s="113"/>
      <c r="RS441" s="113"/>
      <c r="RT441" s="113"/>
      <c r="RU441" s="113"/>
      <c r="RV441" s="113"/>
      <c r="RW441" s="113"/>
      <c r="RX441" s="113"/>
      <c r="RY441" s="113"/>
      <c r="RZ441" s="113"/>
      <c r="SA441" s="113"/>
      <c r="SB441" s="113"/>
      <c r="SC441" s="113"/>
      <c r="SD441" s="113"/>
      <c r="SE441" s="113"/>
      <c r="SF441" s="113"/>
      <c r="SG441" s="113"/>
      <c r="SH441" s="113"/>
      <c r="SI441" s="113"/>
      <c r="SJ441" s="113"/>
      <c r="SK441" s="113"/>
      <c r="SL441" s="113"/>
      <c r="SM441" s="113"/>
      <c r="SN441" s="113"/>
      <c r="SO441" s="113"/>
      <c r="SP441" s="113"/>
      <c r="SQ441" s="113"/>
      <c r="SR441" s="113"/>
      <c r="SS441" s="113"/>
      <c r="ST441" s="113"/>
      <c r="SU441" s="113"/>
      <c r="SV441" s="113"/>
      <c r="SW441" s="113"/>
      <c r="SX441" s="113"/>
      <c r="SY441" s="113"/>
      <c r="SZ441" s="113"/>
      <c r="TA441" s="113"/>
      <c r="TB441" s="113"/>
      <c r="TC441" s="113"/>
      <c r="TD441" s="113"/>
      <c r="TE441" s="113"/>
      <c r="TF441" s="113"/>
      <c r="TG441" s="113"/>
      <c r="TH441" s="113"/>
      <c r="TI441" s="113"/>
      <c r="TJ441" s="113"/>
      <c r="TK441" s="113"/>
      <c r="TL441" s="113"/>
      <c r="TM441" s="113"/>
      <c r="TN441" s="113"/>
      <c r="TO441" s="113"/>
      <c r="TP441" s="113"/>
      <c r="TQ441" s="113"/>
      <c r="TR441" s="113"/>
      <c r="TS441" s="113"/>
      <c r="TT441" s="113"/>
      <c r="TU441" s="113"/>
      <c r="TV441" s="113"/>
      <c r="TW441" s="113"/>
      <c r="TX441" s="113"/>
      <c r="TY441" s="113"/>
      <c r="TZ441" s="113"/>
      <c r="UA441" s="113"/>
      <c r="UB441" s="113"/>
      <c r="UC441" s="113"/>
      <c r="UD441" s="113"/>
      <c r="UE441" s="113"/>
      <c r="UF441" s="113"/>
      <c r="UG441" s="113"/>
      <c r="UH441" s="113"/>
      <c r="UI441" s="113"/>
      <c r="UJ441" s="113"/>
      <c r="UK441" s="113"/>
      <c r="UL441" s="113"/>
      <c r="UM441" s="113"/>
      <c r="UN441" s="113"/>
      <c r="UO441" s="113"/>
      <c r="UP441" s="113"/>
      <c r="UQ441" s="113"/>
      <c r="UR441" s="113"/>
      <c r="US441" s="113"/>
      <c r="UT441" s="113"/>
      <c r="UU441" s="113"/>
      <c r="UV441" s="113"/>
      <c r="UW441" s="113"/>
      <c r="UX441" s="113"/>
      <c r="UY441" s="113"/>
      <c r="UZ441" s="113"/>
      <c r="VA441" s="113"/>
      <c r="VB441" s="113"/>
      <c r="VC441" s="113"/>
      <c r="VD441" s="113"/>
      <c r="VE441" s="113"/>
      <c r="VF441" s="113"/>
      <c r="VG441" s="113"/>
      <c r="VH441" s="113"/>
      <c r="VI441" s="113"/>
      <c r="VJ441" s="113"/>
      <c r="VK441" s="113"/>
      <c r="VL441" s="113"/>
      <c r="VM441" s="113"/>
      <c r="VN441" s="113"/>
      <c r="VO441" s="113"/>
      <c r="VP441" s="113"/>
      <c r="VQ441" s="113"/>
      <c r="VR441" s="113"/>
      <c r="VS441" s="113"/>
      <c r="VT441" s="113"/>
      <c r="VU441" s="113"/>
      <c r="VV441" s="113"/>
      <c r="VW441" s="113"/>
      <c r="VX441" s="113"/>
      <c r="VY441" s="113"/>
      <c r="VZ441" s="113"/>
      <c r="WA441" s="113"/>
      <c r="WB441" s="113"/>
      <c r="WC441" s="113"/>
      <c r="WD441" s="113"/>
      <c r="WE441" s="113"/>
      <c r="WF441" s="113"/>
      <c r="WG441" s="113"/>
      <c r="WH441" s="113"/>
      <c r="WI441" s="113"/>
      <c r="WJ441" s="113"/>
      <c r="WK441" s="113"/>
      <c r="WL441" s="113"/>
      <c r="WM441" s="113"/>
      <c r="WN441" s="113"/>
      <c r="WO441" s="113"/>
      <c r="WP441" s="113"/>
      <c r="WQ441" s="113"/>
      <c r="WR441" s="113"/>
      <c r="WS441" s="113"/>
      <c r="WT441" s="113"/>
      <c r="WU441" s="113"/>
      <c r="WV441" s="113"/>
      <c r="WW441" s="113"/>
      <c r="WX441" s="113"/>
      <c r="WY441" s="113"/>
      <c r="WZ441" s="113"/>
      <c r="XA441" s="113"/>
      <c r="XB441" s="113"/>
      <c r="XC441" s="113"/>
      <c r="XD441" s="113"/>
      <c r="XE441" s="113"/>
      <c r="XF441" s="113"/>
      <c r="XG441" s="113"/>
      <c r="XH441" s="113"/>
      <c r="XI441" s="113"/>
      <c r="XJ441" s="113"/>
      <c r="XK441" s="113"/>
      <c r="XL441" s="113"/>
      <c r="XM441" s="113"/>
      <c r="XN441" s="113"/>
      <c r="XO441" s="113"/>
      <c r="XP441" s="113"/>
      <c r="XQ441" s="113"/>
      <c r="XR441" s="113"/>
      <c r="XS441" s="113"/>
      <c r="XT441" s="113"/>
      <c r="XU441" s="113"/>
      <c r="XV441" s="113"/>
      <c r="XW441" s="113"/>
      <c r="XX441" s="113"/>
      <c r="XY441" s="113"/>
      <c r="XZ441" s="113"/>
      <c r="YA441" s="113"/>
      <c r="YB441" s="113"/>
      <c r="YC441" s="113"/>
      <c r="YD441" s="113"/>
      <c r="YE441" s="113"/>
      <c r="YF441" s="113"/>
      <c r="YG441" s="113"/>
      <c r="YH441" s="113"/>
      <c r="YI441" s="113"/>
      <c r="YJ441" s="113"/>
      <c r="YK441" s="113"/>
      <c r="YL441" s="113"/>
      <c r="YM441" s="113"/>
      <c r="YN441" s="113"/>
      <c r="YO441" s="113"/>
      <c r="YP441" s="113"/>
      <c r="YQ441" s="113"/>
      <c r="YR441" s="113"/>
      <c r="YS441" s="113"/>
      <c r="YT441" s="113"/>
      <c r="YU441" s="113"/>
      <c r="YV441" s="113"/>
      <c r="YW441" s="113"/>
      <c r="YX441" s="113"/>
      <c r="YY441" s="113"/>
      <c r="YZ441" s="113"/>
      <c r="ZA441" s="113"/>
      <c r="ZB441" s="113"/>
      <c r="ZC441" s="113"/>
      <c r="ZD441" s="113"/>
      <c r="ZE441" s="113"/>
      <c r="ZF441" s="113"/>
      <c r="ZG441" s="113"/>
      <c r="ZH441" s="113"/>
      <c r="ZI441" s="113"/>
      <c r="ZJ441" s="113"/>
      <c r="ZK441" s="113"/>
      <c r="ZL441" s="113"/>
      <c r="ZM441" s="113"/>
      <c r="ZN441" s="113"/>
      <c r="ZO441" s="113"/>
      <c r="ZP441" s="113"/>
      <c r="ZQ441" s="113"/>
      <c r="ZR441" s="113"/>
      <c r="ZS441" s="113"/>
      <c r="ZT441" s="113"/>
      <c r="ZU441" s="113"/>
      <c r="ZV441" s="113"/>
      <c r="ZW441" s="113"/>
      <c r="ZX441" s="113"/>
      <c r="ZY441" s="113"/>
      <c r="ZZ441" s="113"/>
      <c r="AAA441" s="113"/>
      <c r="AAB441" s="113"/>
      <c r="AAC441" s="113"/>
      <c r="AAD441" s="113"/>
      <c r="AAE441" s="113"/>
      <c r="AAF441" s="113"/>
      <c r="AAG441" s="113"/>
      <c r="AAH441" s="113"/>
      <c r="AAI441" s="113"/>
      <c r="AAJ441" s="113"/>
      <c r="AAK441" s="113"/>
      <c r="AAL441" s="113"/>
      <c r="AAM441" s="113"/>
      <c r="AAN441" s="113"/>
      <c r="AAO441" s="113"/>
      <c r="AAP441" s="113"/>
      <c r="AAQ441" s="113"/>
      <c r="AAR441" s="113"/>
      <c r="AAS441" s="113"/>
      <c r="AAT441" s="113"/>
      <c r="AAU441" s="113"/>
      <c r="AAV441" s="113"/>
      <c r="AAW441" s="113"/>
      <c r="AAX441" s="113"/>
      <c r="AAY441" s="113"/>
      <c r="AAZ441" s="113"/>
      <c r="ABA441" s="113"/>
      <c r="ABB441" s="113"/>
      <c r="ABC441" s="113"/>
      <c r="ABD441" s="113"/>
      <c r="ABE441" s="113"/>
      <c r="ABF441" s="113"/>
      <c r="ABG441" s="113"/>
      <c r="ABH441" s="113"/>
      <c r="ABI441" s="113"/>
      <c r="ABJ441" s="113"/>
      <c r="ABK441" s="113"/>
      <c r="ABL441" s="113"/>
      <c r="ABM441" s="113"/>
      <c r="ABN441" s="113"/>
      <c r="ABO441" s="113"/>
      <c r="ABP441" s="113"/>
      <c r="ABQ441" s="113"/>
      <c r="ABR441" s="113"/>
      <c r="ABS441" s="113"/>
      <c r="ABT441" s="113"/>
      <c r="ABU441" s="113"/>
      <c r="ABV441" s="113"/>
      <c r="ABW441" s="113"/>
      <c r="ABX441" s="113"/>
      <c r="ABY441" s="113"/>
      <c r="ABZ441" s="113"/>
      <c r="ACA441" s="113"/>
      <c r="ACB441" s="113"/>
      <c r="ACC441" s="113"/>
      <c r="ACD441" s="113"/>
      <c r="ACE441" s="113"/>
      <c r="ACF441" s="113"/>
      <c r="ACG441" s="113"/>
      <c r="ACH441" s="113"/>
      <c r="ACI441" s="113"/>
      <c r="ACJ441" s="113"/>
      <c r="ACK441" s="113"/>
      <c r="ACL441" s="113"/>
      <c r="ACM441" s="113"/>
      <c r="ACN441" s="113"/>
      <c r="ACO441" s="113"/>
      <c r="ACP441" s="113"/>
      <c r="ACQ441" s="113"/>
      <c r="ACR441" s="113"/>
      <c r="ACS441" s="113"/>
      <c r="ACT441" s="113"/>
      <c r="ACU441" s="113"/>
      <c r="ACV441" s="113"/>
      <c r="ACW441" s="113"/>
      <c r="ACX441" s="113"/>
      <c r="ACY441" s="113"/>
      <c r="ACZ441" s="113"/>
      <c r="ADA441" s="113"/>
      <c r="ADB441" s="113"/>
      <c r="ADC441" s="113"/>
      <c r="ADD441" s="113"/>
      <c r="ADE441" s="113"/>
      <c r="ADF441" s="113"/>
      <c r="ADG441" s="113"/>
      <c r="ADH441" s="113"/>
      <c r="ADI441" s="113"/>
      <c r="ADJ441" s="113"/>
      <c r="ADK441" s="113"/>
      <c r="ADL441" s="113"/>
      <c r="ADM441" s="113"/>
      <c r="ADN441" s="113"/>
      <c r="ADO441" s="113"/>
      <c r="ADP441" s="113"/>
      <c r="ADQ441" s="113"/>
      <c r="ADR441" s="113"/>
      <c r="ADS441" s="113"/>
      <c r="ADT441" s="113"/>
      <c r="ADU441" s="113"/>
      <c r="ADV441" s="113"/>
      <c r="ADW441" s="113"/>
      <c r="ADX441" s="113"/>
      <c r="ADY441" s="113"/>
      <c r="ADZ441" s="113"/>
      <c r="AEA441" s="113"/>
      <c r="AEB441" s="113"/>
      <c r="AEC441" s="113"/>
      <c r="AED441" s="113"/>
      <c r="AEE441" s="113"/>
      <c r="AEF441" s="113"/>
      <c r="AEG441" s="113"/>
      <c r="AEH441" s="113"/>
      <c r="AEI441" s="113"/>
      <c r="AEJ441" s="113"/>
      <c r="AEK441" s="113"/>
      <c r="AEL441" s="113"/>
      <c r="AEM441" s="113"/>
      <c r="AEN441" s="113"/>
      <c r="AEO441" s="113"/>
      <c r="AEP441" s="113"/>
      <c r="AEQ441" s="113"/>
      <c r="AER441" s="113"/>
      <c r="AES441" s="113"/>
      <c r="AET441" s="113"/>
      <c r="AEU441" s="113"/>
      <c r="AEV441" s="113"/>
      <c r="AEW441" s="113"/>
      <c r="AEX441" s="113"/>
      <c r="AEY441" s="113"/>
      <c r="AEZ441" s="113"/>
      <c r="AFA441" s="113"/>
      <c r="AFB441" s="113"/>
      <c r="AFC441" s="113"/>
      <c r="AFD441" s="113"/>
      <c r="AFE441" s="113"/>
      <c r="AFF441" s="113"/>
      <c r="AFG441" s="113"/>
      <c r="AFH441" s="113"/>
      <c r="AFI441" s="113"/>
      <c r="AFJ441" s="113"/>
      <c r="AFK441" s="113"/>
      <c r="AFL441" s="113"/>
      <c r="AFM441" s="113"/>
      <c r="AFN441" s="113"/>
      <c r="AFO441" s="113"/>
      <c r="AFP441" s="113"/>
      <c r="AFQ441" s="113"/>
      <c r="AFR441" s="113"/>
      <c r="AFS441" s="113"/>
      <c r="AFT441" s="113"/>
      <c r="AFU441" s="113"/>
      <c r="AFV441" s="113"/>
      <c r="AFW441" s="113"/>
      <c r="AFX441" s="113"/>
      <c r="AFY441" s="113"/>
      <c r="AFZ441" s="113"/>
      <c r="AGA441" s="113"/>
      <c r="AGB441" s="113"/>
      <c r="AGC441" s="113"/>
      <c r="AGD441" s="113"/>
      <c r="AGE441" s="113"/>
      <c r="AGF441" s="113"/>
      <c r="AGG441" s="113"/>
      <c r="AGH441" s="113"/>
      <c r="AGI441" s="113"/>
      <c r="AGJ441" s="113"/>
      <c r="AGK441" s="113"/>
      <c r="AGL441" s="113"/>
      <c r="AGM441" s="113"/>
      <c r="AGN441" s="113"/>
      <c r="AGO441" s="113"/>
      <c r="AGP441" s="113"/>
      <c r="AGQ441" s="113"/>
      <c r="AGR441" s="113"/>
      <c r="AGS441" s="113"/>
      <c r="AGT441" s="113"/>
      <c r="AGU441" s="113"/>
      <c r="AGV441" s="113"/>
      <c r="AGW441" s="113"/>
      <c r="AGX441" s="113"/>
      <c r="AGY441" s="113"/>
      <c r="AGZ441" s="113"/>
      <c r="AHA441" s="113"/>
      <c r="AHB441" s="113"/>
      <c r="AHC441" s="113"/>
      <c r="AHD441" s="113"/>
      <c r="AHE441" s="113"/>
      <c r="AHF441" s="113"/>
      <c r="AHG441" s="113"/>
      <c r="AHH441" s="113"/>
      <c r="AHI441" s="113"/>
      <c r="AHJ441" s="113"/>
      <c r="AHK441" s="113"/>
      <c r="AHL441" s="113"/>
      <c r="AHM441" s="113"/>
      <c r="AHN441" s="113"/>
      <c r="AHO441" s="113"/>
      <c r="AHP441" s="113"/>
      <c r="AHQ441" s="113"/>
      <c r="AHR441" s="113"/>
      <c r="AHS441" s="113"/>
      <c r="AHT441" s="113"/>
      <c r="AHU441" s="113"/>
      <c r="AHV441" s="113"/>
      <c r="AHW441" s="113"/>
      <c r="AHX441" s="113"/>
      <c r="AHY441" s="113"/>
      <c r="AHZ441" s="113"/>
      <c r="AIA441" s="113"/>
      <c r="AIB441" s="113"/>
      <c r="AIC441" s="113"/>
      <c r="AID441" s="113"/>
      <c r="AIE441" s="113"/>
      <c r="AIF441" s="113"/>
      <c r="AIG441" s="113"/>
      <c r="AIH441" s="113"/>
      <c r="AII441" s="113"/>
      <c r="AIJ441" s="113"/>
      <c r="AIK441" s="113"/>
      <c r="AIL441" s="113"/>
      <c r="AIM441" s="113"/>
      <c r="AIN441" s="113"/>
      <c r="AIO441" s="113"/>
      <c r="AIP441" s="113"/>
      <c r="AIQ441" s="113"/>
      <c r="AIR441" s="113"/>
      <c r="AIS441" s="113"/>
      <c r="AIT441" s="113"/>
      <c r="AIU441" s="113"/>
      <c r="AIV441" s="113"/>
      <c r="AIW441" s="113"/>
      <c r="AIX441" s="113"/>
      <c r="AIY441" s="113"/>
      <c r="AIZ441" s="113"/>
    </row>
    <row r="442">
      <c r="A442" s="65" t="s">
        <v>28</v>
      </c>
      <c r="B442" s="65" t="s">
        <v>101</v>
      </c>
      <c r="C442" s="65"/>
      <c r="D442" s="64">
        <f t="shared" si="1"/>
        <v>512.3888</v>
      </c>
      <c r="F442" s="65">
        <v>17.5644166666667</v>
      </c>
      <c r="G442" s="65">
        <v>6.11546666666667</v>
      </c>
      <c r="H442" s="65">
        <v>0.780416666666667</v>
      </c>
      <c r="I442" s="65">
        <v>0.86335</v>
      </c>
      <c r="K442" s="65">
        <v>3.0275</v>
      </c>
      <c r="N442" s="65">
        <v>10.2348666666667</v>
      </c>
      <c r="Q442" s="65">
        <v>31.5902333333333</v>
      </c>
      <c r="R442" s="65">
        <v>2.1664</v>
      </c>
      <c r="X442" s="65">
        <v>40.2327833333333</v>
      </c>
      <c r="Y442" s="65">
        <v>10.9382</v>
      </c>
      <c r="Z442" s="65">
        <v>1.9107</v>
      </c>
      <c r="AA442" s="65">
        <v>2.53481666666667</v>
      </c>
      <c r="AB442" s="65">
        <v>4.7988</v>
      </c>
      <c r="AE442" s="65">
        <v>63.4383333333333</v>
      </c>
      <c r="AF442" s="65">
        <v>14.7843</v>
      </c>
      <c r="AG442" s="65">
        <v>4.24426666666667</v>
      </c>
      <c r="AH442" s="65">
        <v>2.59808333333333</v>
      </c>
      <c r="AI442" s="65">
        <v>14.69285</v>
      </c>
      <c r="AL442" s="65">
        <v>82.5294666666666</v>
      </c>
      <c r="AM442" s="65">
        <v>0.514566666666667</v>
      </c>
      <c r="AN442" s="65">
        <v>10.4309166666667</v>
      </c>
      <c r="AQ442" s="65">
        <v>92.1163500000001</v>
      </c>
      <c r="AR442" s="65">
        <v>12.4691</v>
      </c>
      <c r="AU442" s="65">
        <v>81.8126166666667</v>
      </c>
    </row>
    <row r="443">
      <c r="A443" s="65" t="s">
        <v>28</v>
      </c>
      <c r="B443" s="65" t="s">
        <v>101</v>
      </c>
      <c r="C443" s="65"/>
      <c r="D443" s="64">
        <f t="shared" si="1"/>
        <v>0</v>
      </c>
    </row>
    <row r="444">
      <c r="A444" s="65" t="s">
        <v>28</v>
      </c>
      <c r="B444" s="65" t="s">
        <v>101</v>
      </c>
      <c r="C444" s="65"/>
      <c r="D444" s="64">
        <f t="shared" si="1"/>
        <v>510.4529833</v>
      </c>
      <c r="F444" s="118">
        <f>HYPERLINK("https://docs.google.com/spreadsheets/d/14iPi6vC64Hs9lHZXmeQgX5xPlUO-IvSM", 17.5644333333333)</f>
        <v>17.56443333</v>
      </c>
      <c r="G444" s="118">
        <f>HYPERLINK("https://docs.google.com/spreadsheets/d/133iiBU0JogfmT5T_rOojHFpoAtZsHM92", 6.11548333333333)</f>
        <v>6.115483333</v>
      </c>
      <c r="H444" s="118">
        <f>HYPERLINK("https://docs.google.com/spreadsheets/d/1rH_rzPSVf8B2VpRJ4XA8lp5pKhhE6Wig", 0.780416666666667)</f>
        <v>0.7804166667</v>
      </c>
      <c r="I444" s="118">
        <f>HYPERLINK("https://docs.google.com/spreadsheets/d/1IxJx_DEqc4cTPrqH4qpHI0jaBdXwYdji", 0.86335)</f>
        <v>0.86335</v>
      </c>
      <c r="K444" s="118">
        <f>HYPERLINK("https://docs.google.com/spreadsheets/d/15CLmgn0Nfc7ZMOfEwuj07MUXaF6eUfhB", 3.0275)</f>
        <v>3.0275</v>
      </c>
      <c r="N444" s="118">
        <f>HYPERLINK("https://docs.google.com/spreadsheets/d/1yKtHHkebWbk5VP7H480_TElp_SMSHp2c", 10.2348666666667)</f>
        <v>10.23486667</v>
      </c>
      <c r="Q444" s="118">
        <f>HYPERLINK("https://docs.google.com/spreadsheets/d/1sXSXMrAjU8vEX2_PhOYzDI4EH9TESPZI", 31.5902166666667)</f>
        <v>31.59021667</v>
      </c>
      <c r="R444" s="118">
        <f>HYPERLINK("https://docs.google.com/spreadsheets/d/1ONlfxnELJHuki4zUoEaFOQqqIl7Svk6Y", 1.31951666666667)</f>
        <v>1.319516667</v>
      </c>
      <c r="X444" s="118">
        <f>HYPERLINK("https://docs.google.com/spreadsheets/d/1Bf1UpHYL-a2eLT1oMOCHj53fwe_shcl6", 40.2327833333333)</f>
        <v>40.23278333</v>
      </c>
      <c r="Y444" s="118">
        <f>HYPERLINK("https://docs.google.com/spreadsheets/d/1HNdpO08f0x0qZaCIj7tRrVVhSsBOGXOF", 10.9381666666667)</f>
        <v>10.93816667</v>
      </c>
      <c r="Z444" s="118">
        <f>HYPERLINK("https://docs.google.com/spreadsheets/d/1PXK8YJRgSak-Ymo-H7G_gaURpIVwbj86", 1.9107)</f>
        <v>1.9107</v>
      </c>
      <c r="AA444" s="118">
        <f>HYPERLINK("https://docs.google.com/spreadsheets/d/1yl10RAx2T0IqSjXoQvLAlFD5-JFNrD3J", 2.53481666666667)</f>
        <v>2.534816667</v>
      </c>
      <c r="AB444" s="118">
        <f>HYPERLINK("https://docs.google.com/spreadsheets/d/1ofurAl7C91zdUYBDHr4obIGUXGMHJAVH", 4.7988)</f>
        <v>4.7988</v>
      </c>
      <c r="AE444" s="118">
        <f>HYPERLINK("https://docs.google.com/spreadsheets/d/1aEIPgFLI7_UWghJk0PKv2HVbBA7v5j4-", 63.4383166666667)</f>
        <v>63.43831667</v>
      </c>
      <c r="AF444" s="118">
        <f>HYPERLINK("https://docs.google.com/spreadsheets/d/1zPH12mjFJKRurUCa97vQhgFY5UY9_gaP", 14.7843166666667)</f>
        <v>14.78431667</v>
      </c>
      <c r="AG444" s="118">
        <f>HYPERLINK("https://docs.google.com/spreadsheets/d/1YR9lEp3sXLv1MKUWstLgwuTewgPacmc0", 4.24426666666667)</f>
        <v>4.244266667</v>
      </c>
      <c r="AH444" s="118">
        <f>HYPERLINK("https://docs.google.com/spreadsheets/d/1EEKG3pGwlboxaxno9qpiq-YpUKQUEqZe", 2.59808333333333)</f>
        <v>2.598083333</v>
      </c>
      <c r="AI444" s="118">
        <f>HYPERLINK("https://docs.google.com/spreadsheets/d/1iqIOIqpaUL9WTvobRhB9bJrTNvQaxR0g", 14.3411666666667)</f>
        <v>14.34116667</v>
      </c>
      <c r="AL444" s="118">
        <f>HYPERLINK("https://docs.google.com/spreadsheets/d/1SrFk72Pulj7gsH8e5tPvGMrkYF8FJHtx", 82.3835)</f>
        <v>82.3835</v>
      </c>
      <c r="AM444" s="118">
        <f>HYPERLINK("https://docs.google.com/spreadsheets/d/15WoWh5VINmrdvmfn2Cbz733GaWCPdTNV", 0.514566666666667)</f>
        <v>0.5145666667</v>
      </c>
      <c r="AN444" s="118">
        <f>HYPERLINK("https://docs.google.com/spreadsheets/d/1IrSV1LYeON38dQWsjGzAL8i1nUe7lGjk", 10.0614166666667)</f>
        <v>10.06141667</v>
      </c>
      <c r="AQ444" s="118">
        <f>HYPERLINK("https://docs.google.com/spreadsheets/d/1ur2tbCd23W3i6xbH0sB6K3tA9UMZOtBr", 92.1163333333335)</f>
        <v>92.11633333</v>
      </c>
      <c r="AR444" s="118">
        <f>HYPERLINK("https://docs.google.com/spreadsheets/d/1D3KzVapvOog7qHHXqZz8Qd-2Ssg-fMLb", 12.32165)</f>
        <v>12.32165</v>
      </c>
      <c r="AU444" s="118">
        <f>HYPERLINK("https://docs.google.com/spreadsheets/d/1W8-exhsPYM9yn3UO13YfrE1PgMmPw7sy", 81.7383166666667)</f>
        <v>81.73831667</v>
      </c>
    </row>
    <row r="445">
      <c r="A445" s="65" t="s">
        <v>28</v>
      </c>
      <c r="B445" s="65" t="s">
        <v>101</v>
      </c>
      <c r="C445" s="65"/>
      <c r="D445" s="64">
        <f t="shared" si="1"/>
        <v>472.5358333</v>
      </c>
      <c r="F445" s="65">
        <v>16.8954166666667</v>
      </c>
      <c r="G445" s="65">
        <v>5.81746666666667</v>
      </c>
      <c r="H445" s="65">
        <v>0.686766666666667</v>
      </c>
      <c r="I445" s="65">
        <v>0.86335</v>
      </c>
      <c r="K445" s="65">
        <v>1.03516666666667</v>
      </c>
      <c r="N445" s="65">
        <v>9.91871666666666</v>
      </c>
      <c r="Q445" s="65">
        <v>31.1650166666667</v>
      </c>
      <c r="R445" s="65">
        <v>1.31951666666667</v>
      </c>
      <c r="X445" s="65">
        <v>39.17205</v>
      </c>
      <c r="Y445" s="65">
        <v>10.4875333333333</v>
      </c>
      <c r="Z445" s="65">
        <v>1.9107</v>
      </c>
      <c r="AA445" s="65">
        <v>2.53481666666667</v>
      </c>
      <c r="AB445" s="65">
        <v>3.9397</v>
      </c>
      <c r="AE445" s="65">
        <v>59.7847333333333</v>
      </c>
      <c r="AF445" s="65">
        <v>13.9412333333333</v>
      </c>
      <c r="AG445" s="65">
        <v>3.99948333333333</v>
      </c>
      <c r="AH445" s="65">
        <v>2.59808333333333</v>
      </c>
      <c r="AI445" s="65">
        <v>11.0840833333333</v>
      </c>
      <c r="AL445" s="65">
        <v>78.9656833333333</v>
      </c>
      <c r="AM445" s="65">
        <v>0.514566666666667</v>
      </c>
      <c r="AN445" s="65">
        <v>8.16168333333333</v>
      </c>
      <c r="AQ445" s="65">
        <v>86.7185000000002</v>
      </c>
      <c r="AR445" s="65">
        <v>8.49945</v>
      </c>
      <c r="AU445" s="65">
        <v>72.5221166666666</v>
      </c>
    </row>
    <row r="446">
      <c r="A446" s="119" t="s">
        <v>28</v>
      </c>
      <c r="B446" s="119" t="s">
        <v>101</v>
      </c>
      <c r="C446" s="119"/>
      <c r="D446" s="120">
        <f t="shared" si="1"/>
        <v>0</v>
      </c>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c r="AA446" s="120"/>
      <c r="AB446" s="120"/>
      <c r="AC446" s="120"/>
      <c r="AD446" s="120"/>
      <c r="AE446" s="120"/>
      <c r="AF446" s="120"/>
      <c r="AG446" s="120"/>
      <c r="AH446" s="120"/>
      <c r="AI446" s="120"/>
      <c r="AJ446" s="120"/>
      <c r="AK446" s="120"/>
      <c r="AL446" s="120"/>
      <c r="AM446" s="120"/>
      <c r="AN446" s="120"/>
      <c r="AO446" s="120"/>
      <c r="AP446" s="120"/>
      <c r="AQ446" s="120"/>
      <c r="AR446" s="120"/>
      <c r="AS446" s="120"/>
      <c r="AT446" s="120"/>
      <c r="AU446" s="120"/>
      <c r="AV446" s="120"/>
      <c r="AW446" s="120"/>
      <c r="AX446" s="120"/>
      <c r="AY446" s="120"/>
      <c r="AZ446" s="120"/>
      <c r="BA446" s="120"/>
      <c r="BB446" s="120"/>
      <c r="BC446" s="120"/>
      <c r="BD446" s="120"/>
      <c r="BE446" s="120"/>
      <c r="BF446" s="120"/>
      <c r="BG446" s="120"/>
      <c r="BH446" s="120"/>
      <c r="BI446" s="120"/>
      <c r="BJ446" s="120"/>
      <c r="BK446" s="120"/>
      <c r="BL446" s="120"/>
      <c r="BM446" s="120"/>
      <c r="BN446" s="120"/>
      <c r="BO446" s="120"/>
      <c r="BP446" s="120"/>
      <c r="BQ446" s="120"/>
      <c r="BR446" s="120"/>
      <c r="BS446" s="120"/>
      <c r="BT446" s="120"/>
      <c r="BU446" s="120"/>
      <c r="BV446" s="120"/>
      <c r="BW446" s="120"/>
      <c r="BX446" s="120"/>
      <c r="BY446" s="120"/>
      <c r="BZ446" s="120"/>
      <c r="CA446" s="120"/>
      <c r="CB446" s="120"/>
      <c r="CC446" s="120"/>
      <c r="CD446" s="120"/>
      <c r="CE446" s="120"/>
      <c r="CF446" s="120"/>
      <c r="CG446" s="120"/>
      <c r="CH446" s="120"/>
      <c r="CI446" s="120"/>
      <c r="CJ446" s="120"/>
      <c r="CK446" s="120"/>
      <c r="CL446" s="120"/>
      <c r="CM446" s="120"/>
      <c r="CN446" s="120"/>
      <c r="CO446" s="120"/>
      <c r="CP446" s="120"/>
      <c r="CQ446" s="120"/>
      <c r="CR446" s="120"/>
      <c r="CS446" s="120"/>
      <c r="CT446" s="120"/>
      <c r="CU446" s="120"/>
      <c r="CV446" s="120"/>
      <c r="CW446" s="120"/>
      <c r="CX446" s="120"/>
      <c r="CY446" s="120"/>
      <c r="CZ446" s="120"/>
      <c r="DA446" s="120"/>
      <c r="DB446" s="120"/>
      <c r="DC446" s="120"/>
      <c r="DD446" s="120"/>
      <c r="DE446" s="120"/>
      <c r="DF446" s="120"/>
      <c r="DG446" s="120"/>
      <c r="DH446" s="120"/>
      <c r="DI446" s="120"/>
      <c r="DJ446" s="120"/>
      <c r="DK446" s="120"/>
      <c r="DL446" s="120"/>
      <c r="DM446" s="120"/>
      <c r="DN446" s="120"/>
      <c r="DO446" s="120"/>
      <c r="DP446" s="120"/>
      <c r="DQ446" s="120"/>
      <c r="DR446" s="120"/>
      <c r="DS446" s="120"/>
      <c r="DT446" s="120"/>
      <c r="DU446" s="120"/>
      <c r="DV446" s="120"/>
      <c r="DW446" s="120"/>
      <c r="DX446" s="120"/>
      <c r="DY446" s="120"/>
      <c r="DZ446" s="120"/>
      <c r="EA446" s="120"/>
      <c r="EB446" s="120"/>
      <c r="EC446" s="120"/>
      <c r="ED446" s="120"/>
      <c r="EE446" s="120"/>
      <c r="EF446" s="120"/>
      <c r="EG446" s="120"/>
      <c r="EH446" s="120"/>
      <c r="EI446" s="120"/>
      <c r="EJ446" s="120"/>
      <c r="EK446" s="120"/>
      <c r="EL446" s="120"/>
      <c r="EM446" s="120"/>
      <c r="EN446" s="120"/>
      <c r="EO446" s="120"/>
      <c r="EP446" s="120"/>
      <c r="EQ446" s="120"/>
      <c r="ER446" s="120"/>
      <c r="ES446" s="120"/>
      <c r="ET446" s="120"/>
      <c r="EU446" s="120"/>
      <c r="EV446" s="120"/>
      <c r="EW446" s="120"/>
      <c r="EX446" s="120"/>
      <c r="EY446" s="120"/>
      <c r="EZ446" s="120"/>
      <c r="FA446" s="120"/>
      <c r="FB446" s="120"/>
      <c r="FC446" s="120"/>
      <c r="FD446" s="120"/>
      <c r="FE446" s="120"/>
      <c r="FF446" s="120"/>
      <c r="FG446" s="120"/>
      <c r="FH446" s="120"/>
      <c r="FI446" s="120"/>
      <c r="FJ446" s="120"/>
      <c r="FK446" s="120"/>
      <c r="FL446" s="120"/>
      <c r="FM446" s="120"/>
      <c r="FN446" s="120"/>
      <c r="FO446" s="120"/>
      <c r="FP446" s="120"/>
      <c r="FQ446" s="120"/>
      <c r="FR446" s="120"/>
      <c r="FS446" s="120"/>
      <c r="FT446" s="120"/>
      <c r="FU446" s="120"/>
      <c r="FV446" s="120"/>
      <c r="FW446" s="120"/>
      <c r="FX446" s="120"/>
      <c r="FY446" s="120"/>
      <c r="FZ446" s="120"/>
      <c r="GA446" s="120"/>
      <c r="GB446" s="120"/>
      <c r="GC446" s="120"/>
      <c r="GD446" s="120"/>
      <c r="GE446" s="120"/>
      <c r="GF446" s="120"/>
      <c r="GG446" s="120"/>
      <c r="GH446" s="120"/>
      <c r="GI446" s="120"/>
      <c r="GJ446" s="120"/>
      <c r="GK446" s="120"/>
      <c r="GL446" s="120"/>
      <c r="GM446" s="120"/>
      <c r="GN446" s="120"/>
      <c r="GO446" s="120"/>
      <c r="GP446" s="120"/>
      <c r="GQ446" s="120"/>
      <c r="GR446" s="120"/>
      <c r="GS446" s="120"/>
      <c r="GT446" s="120"/>
      <c r="GU446" s="120"/>
      <c r="GV446" s="120"/>
      <c r="GW446" s="120"/>
      <c r="GX446" s="120"/>
      <c r="GY446" s="120"/>
      <c r="GZ446" s="120"/>
      <c r="HA446" s="120"/>
      <c r="HB446" s="120"/>
      <c r="HC446" s="120"/>
      <c r="HD446" s="120"/>
      <c r="HE446" s="120"/>
      <c r="HF446" s="120"/>
      <c r="HG446" s="120"/>
      <c r="HH446" s="120"/>
      <c r="HI446" s="120"/>
      <c r="HJ446" s="120"/>
      <c r="HK446" s="120"/>
      <c r="HL446" s="120"/>
      <c r="HM446" s="120"/>
      <c r="HN446" s="120"/>
      <c r="HO446" s="120"/>
      <c r="HP446" s="120"/>
      <c r="HQ446" s="120"/>
      <c r="HR446" s="120"/>
      <c r="HS446" s="120"/>
      <c r="HT446" s="120"/>
      <c r="HU446" s="120"/>
      <c r="HV446" s="120"/>
      <c r="HW446" s="120"/>
      <c r="HX446" s="120"/>
      <c r="HY446" s="120"/>
      <c r="HZ446" s="120"/>
      <c r="IA446" s="120"/>
      <c r="IB446" s="120"/>
      <c r="IC446" s="120"/>
      <c r="ID446" s="120"/>
      <c r="IE446" s="120"/>
      <c r="IF446" s="120"/>
      <c r="IG446" s="120"/>
      <c r="IH446" s="120"/>
      <c r="II446" s="120"/>
      <c r="IJ446" s="120"/>
      <c r="IK446" s="120"/>
      <c r="IL446" s="120"/>
      <c r="IM446" s="120"/>
      <c r="IN446" s="120"/>
      <c r="IO446" s="120"/>
      <c r="IP446" s="120"/>
      <c r="IQ446" s="120"/>
      <c r="IR446" s="120"/>
      <c r="IS446" s="120"/>
      <c r="IT446" s="120"/>
      <c r="IU446" s="120"/>
      <c r="IV446" s="120"/>
      <c r="IW446" s="120"/>
      <c r="IX446" s="120"/>
      <c r="IY446" s="120"/>
      <c r="IZ446" s="120"/>
      <c r="JA446" s="120"/>
      <c r="JB446" s="120"/>
      <c r="JC446" s="120"/>
      <c r="JD446" s="120"/>
      <c r="JE446" s="120"/>
      <c r="JF446" s="120"/>
      <c r="JG446" s="120"/>
      <c r="JH446" s="120"/>
      <c r="JI446" s="120"/>
      <c r="JJ446" s="120"/>
      <c r="JK446" s="120"/>
      <c r="JL446" s="120"/>
      <c r="JM446" s="120"/>
      <c r="JN446" s="120"/>
      <c r="JO446" s="120"/>
      <c r="JP446" s="120"/>
      <c r="JQ446" s="120"/>
      <c r="JR446" s="120"/>
      <c r="JS446" s="120"/>
      <c r="JT446" s="120"/>
      <c r="JU446" s="120"/>
      <c r="JV446" s="120"/>
      <c r="JW446" s="120"/>
      <c r="JX446" s="120"/>
      <c r="JY446" s="120"/>
      <c r="JZ446" s="120"/>
      <c r="KA446" s="120"/>
      <c r="KB446" s="120"/>
      <c r="KC446" s="120"/>
      <c r="KD446" s="120"/>
      <c r="KE446" s="120"/>
      <c r="KF446" s="120"/>
      <c r="KG446" s="120"/>
      <c r="KH446" s="120"/>
      <c r="KI446" s="120"/>
      <c r="KJ446" s="120"/>
      <c r="KK446" s="120"/>
      <c r="KL446" s="120"/>
      <c r="KM446" s="120"/>
      <c r="KN446" s="120"/>
      <c r="KO446" s="120"/>
      <c r="KP446" s="120"/>
      <c r="KQ446" s="120"/>
      <c r="KR446" s="120"/>
      <c r="KS446" s="120"/>
      <c r="KT446" s="120"/>
      <c r="KU446" s="120"/>
      <c r="KV446" s="120"/>
      <c r="KW446" s="120"/>
      <c r="KX446" s="120"/>
      <c r="KY446" s="120"/>
      <c r="KZ446" s="120"/>
      <c r="LA446" s="120"/>
      <c r="LB446" s="120"/>
      <c r="LC446" s="120"/>
      <c r="LD446" s="120"/>
      <c r="LE446" s="120"/>
      <c r="LF446" s="120"/>
      <c r="LG446" s="120"/>
      <c r="LH446" s="120"/>
      <c r="LI446" s="120"/>
      <c r="LJ446" s="120"/>
      <c r="LK446" s="120"/>
      <c r="LL446" s="120"/>
      <c r="LM446" s="120"/>
      <c r="LN446" s="120"/>
      <c r="LO446" s="120"/>
      <c r="LP446" s="120"/>
      <c r="LQ446" s="120"/>
      <c r="LR446" s="120"/>
      <c r="LS446" s="120"/>
      <c r="LT446" s="120"/>
      <c r="LU446" s="120"/>
      <c r="LV446" s="120"/>
      <c r="LW446" s="120"/>
      <c r="LX446" s="120"/>
      <c r="LY446" s="120"/>
      <c r="LZ446" s="120"/>
      <c r="MA446" s="120"/>
      <c r="MB446" s="120"/>
      <c r="MC446" s="120"/>
      <c r="MD446" s="120"/>
      <c r="ME446" s="120"/>
      <c r="MF446" s="120"/>
      <c r="MG446" s="120"/>
      <c r="MH446" s="120"/>
      <c r="MI446" s="120"/>
      <c r="MJ446" s="120"/>
      <c r="MK446" s="120"/>
      <c r="ML446" s="120"/>
      <c r="MM446" s="120"/>
      <c r="MN446" s="120"/>
      <c r="MO446" s="120"/>
      <c r="MP446" s="120"/>
      <c r="MQ446" s="120"/>
      <c r="MR446" s="120"/>
      <c r="MS446" s="120"/>
      <c r="MT446" s="120"/>
      <c r="MU446" s="120"/>
      <c r="MV446" s="120"/>
      <c r="MW446" s="120"/>
      <c r="MX446" s="120"/>
      <c r="MY446" s="120"/>
      <c r="MZ446" s="120"/>
      <c r="NA446" s="120"/>
      <c r="NB446" s="120"/>
      <c r="NC446" s="120"/>
      <c r="ND446" s="120"/>
      <c r="NE446" s="120"/>
      <c r="NF446" s="120"/>
      <c r="NG446" s="120"/>
      <c r="NH446" s="120"/>
      <c r="NI446" s="120"/>
      <c r="NJ446" s="120"/>
      <c r="NK446" s="120"/>
      <c r="NL446" s="120"/>
      <c r="NM446" s="120"/>
      <c r="NN446" s="120"/>
      <c r="NO446" s="120"/>
      <c r="NP446" s="120"/>
      <c r="NQ446" s="120"/>
      <c r="NR446" s="120"/>
      <c r="NS446" s="120"/>
      <c r="NT446" s="120"/>
      <c r="NU446" s="120"/>
      <c r="NV446" s="120"/>
      <c r="NW446" s="120"/>
      <c r="NX446" s="120"/>
      <c r="NY446" s="120"/>
      <c r="NZ446" s="120"/>
      <c r="OA446" s="120"/>
      <c r="OB446" s="120"/>
      <c r="OC446" s="120"/>
      <c r="OD446" s="120"/>
      <c r="OE446" s="120"/>
      <c r="OF446" s="120"/>
      <c r="OG446" s="120"/>
      <c r="OH446" s="120"/>
      <c r="OI446" s="120"/>
      <c r="OJ446" s="120"/>
      <c r="OK446" s="120"/>
      <c r="OL446" s="120"/>
      <c r="OM446" s="120"/>
      <c r="ON446" s="120"/>
      <c r="OO446" s="120"/>
      <c r="OP446" s="120"/>
      <c r="OQ446" s="120"/>
      <c r="OR446" s="120"/>
      <c r="OS446" s="120"/>
      <c r="OT446" s="120"/>
      <c r="OU446" s="120"/>
      <c r="OV446" s="120"/>
      <c r="OW446" s="120"/>
      <c r="OX446" s="120"/>
      <c r="OY446" s="120"/>
      <c r="OZ446" s="120"/>
      <c r="PA446" s="120"/>
      <c r="PB446" s="120"/>
      <c r="PC446" s="120"/>
      <c r="PD446" s="120"/>
      <c r="PE446" s="120"/>
      <c r="PF446" s="120"/>
      <c r="PG446" s="120"/>
      <c r="PH446" s="120"/>
      <c r="PI446" s="120"/>
      <c r="PJ446" s="120"/>
      <c r="PK446" s="120"/>
      <c r="PL446" s="120"/>
      <c r="PM446" s="120"/>
      <c r="PN446" s="120"/>
      <c r="PO446" s="120"/>
      <c r="PP446" s="120"/>
      <c r="PQ446" s="120"/>
      <c r="PR446" s="120"/>
      <c r="PS446" s="120"/>
      <c r="PT446" s="120"/>
      <c r="PU446" s="120"/>
      <c r="PV446" s="120"/>
      <c r="PW446" s="120"/>
      <c r="PX446" s="120"/>
      <c r="PY446" s="120"/>
      <c r="PZ446" s="120"/>
      <c r="QA446" s="120"/>
      <c r="QB446" s="120"/>
      <c r="QC446" s="120"/>
      <c r="QD446" s="120"/>
      <c r="QE446" s="120"/>
      <c r="QF446" s="120"/>
      <c r="QG446" s="120"/>
      <c r="QH446" s="120"/>
      <c r="QI446" s="120"/>
      <c r="QJ446" s="120"/>
      <c r="QK446" s="120"/>
      <c r="QL446" s="120"/>
      <c r="QM446" s="120"/>
      <c r="QN446" s="120"/>
      <c r="QO446" s="120"/>
      <c r="QP446" s="120"/>
      <c r="QQ446" s="120"/>
      <c r="QR446" s="120"/>
      <c r="QS446" s="120"/>
      <c r="QT446" s="120"/>
      <c r="QU446" s="120"/>
      <c r="QV446" s="120"/>
      <c r="QW446" s="120"/>
      <c r="QX446" s="120"/>
      <c r="QY446" s="120"/>
      <c r="QZ446" s="120"/>
      <c r="RA446" s="120"/>
      <c r="RB446" s="120"/>
      <c r="RC446" s="120"/>
      <c r="RD446" s="120"/>
      <c r="RE446" s="120"/>
      <c r="RF446" s="120"/>
      <c r="RG446" s="120"/>
      <c r="RH446" s="120"/>
      <c r="RI446" s="120"/>
      <c r="RJ446" s="120"/>
      <c r="RK446" s="120"/>
      <c r="RL446" s="120"/>
      <c r="RM446" s="120"/>
      <c r="RN446" s="120"/>
      <c r="RO446" s="120"/>
      <c r="RP446" s="120"/>
      <c r="RQ446" s="120"/>
      <c r="RR446" s="120"/>
      <c r="RS446" s="120"/>
      <c r="RT446" s="120"/>
      <c r="RU446" s="120"/>
      <c r="RV446" s="120"/>
      <c r="RW446" s="120"/>
      <c r="RX446" s="120"/>
      <c r="RY446" s="120"/>
      <c r="RZ446" s="120"/>
      <c r="SA446" s="120"/>
      <c r="SB446" s="120"/>
      <c r="SC446" s="120"/>
      <c r="SD446" s="120"/>
      <c r="SE446" s="120"/>
      <c r="SF446" s="120"/>
      <c r="SG446" s="120"/>
      <c r="SH446" s="120"/>
      <c r="SI446" s="120"/>
      <c r="SJ446" s="120"/>
      <c r="SK446" s="120"/>
      <c r="SL446" s="120"/>
      <c r="SM446" s="120"/>
      <c r="SN446" s="120"/>
      <c r="SO446" s="120"/>
      <c r="SP446" s="120"/>
      <c r="SQ446" s="120"/>
      <c r="SR446" s="120"/>
      <c r="SS446" s="120"/>
      <c r="ST446" s="120"/>
      <c r="SU446" s="120"/>
      <c r="SV446" s="120"/>
      <c r="SW446" s="120"/>
      <c r="SX446" s="120"/>
      <c r="SY446" s="120"/>
      <c r="SZ446" s="120"/>
      <c r="TA446" s="120"/>
      <c r="TB446" s="120"/>
      <c r="TC446" s="120"/>
      <c r="TD446" s="120"/>
      <c r="TE446" s="120"/>
      <c r="TF446" s="120"/>
      <c r="TG446" s="120"/>
      <c r="TH446" s="120"/>
      <c r="TI446" s="120"/>
      <c r="TJ446" s="120"/>
      <c r="TK446" s="120"/>
      <c r="TL446" s="120"/>
      <c r="TM446" s="120"/>
      <c r="TN446" s="120"/>
      <c r="TO446" s="120"/>
      <c r="TP446" s="120"/>
      <c r="TQ446" s="120"/>
      <c r="TR446" s="120"/>
      <c r="TS446" s="120"/>
      <c r="TT446" s="120"/>
      <c r="TU446" s="120"/>
      <c r="TV446" s="120"/>
      <c r="TW446" s="120"/>
      <c r="TX446" s="120"/>
      <c r="TY446" s="120"/>
      <c r="TZ446" s="120"/>
      <c r="UA446" s="120"/>
      <c r="UB446" s="120"/>
      <c r="UC446" s="120"/>
      <c r="UD446" s="120"/>
      <c r="UE446" s="120"/>
      <c r="UF446" s="120"/>
      <c r="UG446" s="120"/>
      <c r="UH446" s="120"/>
      <c r="UI446" s="120"/>
      <c r="UJ446" s="120"/>
      <c r="UK446" s="120"/>
      <c r="UL446" s="120"/>
      <c r="UM446" s="120"/>
      <c r="UN446" s="120"/>
      <c r="UO446" s="120"/>
      <c r="UP446" s="120"/>
      <c r="UQ446" s="120"/>
      <c r="UR446" s="120"/>
      <c r="US446" s="120"/>
      <c r="UT446" s="120"/>
      <c r="UU446" s="120"/>
      <c r="UV446" s="120"/>
      <c r="UW446" s="120"/>
      <c r="UX446" s="120"/>
      <c r="UY446" s="120"/>
      <c r="UZ446" s="120"/>
      <c r="VA446" s="120"/>
      <c r="VB446" s="120"/>
      <c r="VC446" s="120"/>
      <c r="VD446" s="120"/>
      <c r="VE446" s="120"/>
      <c r="VF446" s="120"/>
      <c r="VG446" s="120"/>
      <c r="VH446" s="120"/>
      <c r="VI446" s="120"/>
      <c r="VJ446" s="120"/>
      <c r="VK446" s="120"/>
      <c r="VL446" s="120"/>
      <c r="VM446" s="120"/>
      <c r="VN446" s="120"/>
      <c r="VO446" s="120"/>
      <c r="VP446" s="120"/>
      <c r="VQ446" s="120"/>
      <c r="VR446" s="120"/>
      <c r="VS446" s="120"/>
      <c r="VT446" s="120"/>
      <c r="VU446" s="120"/>
      <c r="VV446" s="120"/>
      <c r="VW446" s="120"/>
      <c r="VX446" s="120"/>
      <c r="VY446" s="120"/>
      <c r="VZ446" s="120"/>
      <c r="WA446" s="120"/>
      <c r="WB446" s="120"/>
      <c r="WC446" s="120"/>
      <c r="WD446" s="120"/>
      <c r="WE446" s="120"/>
      <c r="WF446" s="120"/>
      <c r="WG446" s="120"/>
      <c r="WH446" s="120"/>
      <c r="WI446" s="120"/>
      <c r="WJ446" s="120"/>
      <c r="WK446" s="120"/>
      <c r="WL446" s="120"/>
      <c r="WM446" s="120"/>
      <c r="WN446" s="120"/>
      <c r="WO446" s="120"/>
      <c r="WP446" s="120"/>
      <c r="WQ446" s="120"/>
      <c r="WR446" s="120"/>
      <c r="WS446" s="120"/>
      <c r="WT446" s="120"/>
      <c r="WU446" s="120"/>
      <c r="WV446" s="120"/>
      <c r="WW446" s="120"/>
      <c r="WX446" s="120"/>
      <c r="WY446" s="120"/>
      <c r="WZ446" s="120"/>
      <c r="XA446" s="120"/>
      <c r="XB446" s="120"/>
      <c r="XC446" s="120"/>
      <c r="XD446" s="120"/>
      <c r="XE446" s="120"/>
      <c r="XF446" s="120"/>
      <c r="XG446" s="120"/>
      <c r="XH446" s="120"/>
      <c r="XI446" s="120"/>
      <c r="XJ446" s="120"/>
      <c r="XK446" s="120"/>
      <c r="XL446" s="120"/>
      <c r="XM446" s="120"/>
      <c r="XN446" s="120"/>
      <c r="XO446" s="120"/>
      <c r="XP446" s="120"/>
      <c r="XQ446" s="120"/>
      <c r="XR446" s="120"/>
      <c r="XS446" s="120"/>
      <c r="XT446" s="120"/>
      <c r="XU446" s="120"/>
      <c r="XV446" s="120"/>
      <c r="XW446" s="120"/>
      <c r="XX446" s="120"/>
      <c r="XY446" s="120"/>
      <c r="XZ446" s="120"/>
      <c r="YA446" s="120"/>
      <c r="YB446" s="120"/>
      <c r="YC446" s="120"/>
      <c r="YD446" s="120"/>
      <c r="YE446" s="120"/>
      <c r="YF446" s="120"/>
      <c r="YG446" s="120"/>
      <c r="YH446" s="120"/>
      <c r="YI446" s="120"/>
      <c r="YJ446" s="120"/>
      <c r="YK446" s="120"/>
      <c r="YL446" s="120"/>
      <c r="YM446" s="120"/>
      <c r="YN446" s="120"/>
      <c r="YO446" s="120"/>
      <c r="YP446" s="120"/>
      <c r="YQ446" s="120"/>
      <c r="YR446" s="120"/>
      <c r="YS446" s="120"/>
      <c r="YT446" s="120"/>
      <c r="YU446" s="120"/>
      <c r="YV446" s="120"/>
      <c r="YW446" s="120"/>
      <c r="YX446" s="120"/>
      <c r="YY446" s="120"/>
      <c r="YZ446" s="120"/>
      <c r="ZA446" s="120"/>
      <c r="ZB446" s="120"/>
      <c r="ZC446" s="120"/>
      <c r="ZD446" s="120"/>
      <c r="ZE446" s="120"/>
      <c r="ZF446" s="120"/>
      <c r="ZG446" s="120"/>
      <c r="ZH446" s="120"/>
      <c r="ZI446" s="120"/>
      <c r="ZJ446" s="120"/>
      <c r="ZK446" s="120"/>
      <c r="ZL446" s="120"/>
      <c r="ZM446" s="120"/>
      <c r="ZN446" s="120"/>
      <c r="ZO446" s="120"/>
      <c r="ZP446" s="120"/>
      <c r="ZQ446" s="120"/>
      <c r="ZR446" s="120"/>
      <c r="ZS446" s="120"/>
      <c r="ZT446" s="120"/>
      <c r="ZU446" s="120"/>
      <c r="ZV446" s="120"/>
      <c r="ZW446" s="120"/>
      <c r="ZX446" s="120"/>
      <c r="ZY446" s="120"/>
      <c r="ZZ446" s="120"/>
      <c r="AAA446" s="120"/>
      <c r="AAB446" s="120"/>
      <c r="AAC446" s="120"/>
      <c r="AAD446" s="120"/>
      <c r="AAE446" s="120"/>
      <c r="AAF446" s="120"/>
      <c r="AAG446" s="120"/>
      <c r="AAH446" s="120"/>
      <c r="AAI446" s="120"/>
      <c r="AAJ446" s="120"/>
      <c r="AAK446" s="120"/>
      <c r="AAL446" s="120"/>
      <c r="AAM446" s="120"/>
      <c r="AAN446" s="120"/>
      <c r="AAO446" s="120"/>
      <c r="AAP446" s="120"/>
      <c r="AAQ446" s="120"/>
      <c r="AAR446" s="120"/>
      <c r="AAS446" s="120"/>
      <c r="AAT446" s="120"/>
      <c r="AAU446" s="120"/>
      <c r="AAV446" s="120"/>
      <c r="AAW446" s="120"/>
      <c r="AAX446" s="120"/>
      <c r="AAY446" s="120"/>
      <c r="AAZ446" s="120"/>
      <c r="ABA446" s="120"/>
      <c r="ABB446" s="120"/>
      <c r="ABC446" s="120"/>
      <c r="ABD446" s="120"/>
      <c r="ABE446" s="120"/>
      <c r="ABF446" s="120"/>
      <c r="ABG446" s="120"/>
      <c r="ABH446" s="120"/>
      <c r="ABI446" s="120"/>
      <c r="ABJ446" s="120"/>
      <c r="ABK446" s="120"/>
      <c r="ABL446" s="120"/>
      <c r="ABM446" s="120"/>
      <c r="ABN446" s="120"/>
      <c r="ABO446" s="120"/>
      <c r="ABP446" s="120"/>
      <c r="ABQ446" s="120"/>
      <c r="ABR446" s="120"/>
      <c r="ABS446" s="120"/>
      <c r="ABT446" s="120"/>
      <c r="ABU446" s="120"/>
      <c r="ABV446" s="120"/>
      <c r="ABW446" s="120"/>
      <c r="ABX446" s="120"/>
      <c r="ABY446" s="120"/>
      <c r="ABZ446" s="120"/>
      <c r="ACA446" s="120"/>
      <c r="ACB446" s="120"/>
      <c r="ACC446" s="120"/>
      <c r="ACD446" s="120"/>
      <c r="ACE446" s="120"/>
      <c r="ACF446" s="120"/>
      <c r="ACG446" s="120"/>
      <c r="ACH446" s="120"/>
      <c r="ACI446" s="120"/>
      <c r="ACJ446" s="120"/>
      <c r="ACK446" s="120"/>
      <c r="ACL446" s="120"/>
      <c r="ACM446" s="120"/>
      <c r="ACN446" s="120"/>
      <c r="ACO446" s="120"/>
      <c r="ACP446" s="120"/>
      <c r="ACQ446" s="120"/>
      <c r="ACR446" s="120"/>
      <c r="ACS446" s="120"/>
      <c r="ACT446" s="120"/>
      <c r="ACU446" s="120"/>
      <c r="ACV446" s="120"/>
      <c r="ACW446" s="120"/>
      <c r="ACX446" s="120"/>
      <c r="ACY446" s="120"/>
      <c r="ACZ446" s="120"/>
      <c r="ADA446" s="120"/>
      <c r="ADB446" s="120"/>
      <c r="ADC446" s="120"/>
      <c r="ADD446" s="120"/>
      <c r="ADE446" s="120"/>
      <c r="ADF446" s="120"/>
      <c r="ADG446" s="120"/>
      <c r="ADH446" s="120"/>
      <c r="ADI446" s="120"/>
      <c r="ADJ446" s="120"/>
      <c r="ADK446" s="120"/>
      <c r="ADL446" s="120"/>
      <c r="ADM446" s="120"/>
      <c r="ADN446" s="120"/>
      <c r="ADO446" s="120"/>
      <c r="ADP446" s="120"/>
      <c r="ADQ446" s="120"/>
      <c r="ADR446" s="120"/>
      <c r="ADS446" s="120"/>
      <c r="ADT446" s="120"/>
      <c r="ADU446" s="120"/>
      <c r="ADV446" s="120"/>
      <c r="ADW446" s="120"/>
      <c r="ADX446" s="120"/>
      <c r="ADY446" s="120"/>
      <c r="ADZ446" s="120"/>
      <c r="AEA446" s="120"/>
      <c r="AEB446" s="120"/>
      <c r="AEC446" s="120"/>
      <c r="AED446" s="120"/>
      <c r="AEE446" s="120"/>
      <c r="AEF446" s="120"/>
      <c r="AEG446" s="120"/>
      <c r="AEH446" s="120"/>
      <c r="AEI446" s="120"/>
      <c r="AEJ446" s="120"/>
      <c r="AEK446" s="120"/>
      <c r="AEL446" s="120"/>
      <c r="AEM446" s="120"/>
      <c r="AEN446" s="120"/>
      <c r="AEO446" s="120"/>
      <c r="AEP446" s="120"/>
      <c r="AEQ446" s="120"/>
      <c r="AER446" s="120"/>
      <c r="AES446" s="120"/>
      <c r="AET446" s="120"/>
      <c r="AEU446" s="120"/>
      <c r="AEV446" s="120"/>
      <c r="AEW446" s="120"/>
      <c r="AEX446" s="120"/>
      <c r="AEY446" s="120"/>
      <c r="AEZ446" s="120"/>
      <c r="AFA446" s="120"/>
      <c r="AFB446" s="120"/>
      <c r="AFC446" s="120"/>
      <c r="AFD446" s="120"/>
      <c r="AFE446" s="120"/>
      <c r="AFF446" s="120"/>
      <c r="AFG446" s="120"/>
      <c r="AFH446" s="120"/>
      <c r="AFI446" s="120"/>
      <c r="AFJ446" s="120"/>
      <c r="AFK446" s="120"/>
      <c r="AFL446" s="120"/>
      <c r="AFM446" s="120"/>
      <c r="AFN446" s="120"/>
      <c r="AFO446" s="120"/>
      <c r="AFP446" s="120"/>
      <c r="AFQ446" s="120"/>
      <c r="AFR446" s="120"/>
      <c r="AFS446" s="120"/>
      <c r="AFT446" s="120"/>
      <c r="AFU446" s="120"/>
      <c r="AFV446" s="120"/>
      <c r="AFW446" s="120"/>
      <c r="AFX446" s="120"/>
      <c r="AFY446" s="120"/>
      <c r="AFZ446" s="120"/>
      <c r="AGA446" s="120"/>
      <c r="AGB446" s="120"/>
      <c r="AGC446" s="120"/>
      <c r="AGD446" s="120"/>
      <c r="AGE446" s="120"/>
      <c r="AGF446" s="120"/>
      <c r="AGG446" s="120"/>
      <c r="AGH446" s="120"/>
      <c r="AGI446" s="120"/>
      <c r="AGJ446" s="120"/>
      <c r="AGK446" s="120"/>
      <c r="AGL446" s="120"/>
      <c r="AGM446" s="120"/>
      <c r="AGN446" s="120"/>
      <c r="AGO446" s="120"/>
      <c r="AGP446" s="120"/>
      <c r="AGQ446" s="120"/>
      <c r="AGR446" s="120"/>
      <c r="AGS446" s="120"/>
      <c r="AGT446" s="120"/>
      <c r="AGU446" s="120"/>
      <c r="AGV446" s="120"/>
      <c r="AGW446" s="120"/>
      <c r="AGX446" s="120"/>
      <c r="AGY446" s="120"/>
      <c r="AGZ446" s="120"/>
      <c r="AHA446" s="120"/>
      <c r="AHB446" s="120"/>
      <c r="AHC446" s="120"/>
      <c r="AHD446" s="120"/>
      <c r="AHE446" s="120"/>
      <c r="AHF446" s="120"/>
      <c r="AHG446" s="120"/>
      <c r="AHH446" s="120"/>
      <c r="AHI446" s="120"/>
      <c r="AHJ446" s="120"/>
      <c r="AHK446" s="120"/>
      <c r="AHL446" s="120"/>
      <c r="AHM446" s="120"/>
      <c r="AHN446" s="120"/>
      <c r="AHO446" s="120"/>
      <c r="AHP446" s="120"/>
      <c r="AHQ446" s="120"/>
      <c r="AHR446" s="120"/>
      <c r="AHS446" s="120"/>
      <c r="AHT446" s="120"/>
      <c r="AHU446" s="120"/>
      <c r="AHV446" s="120"/>
      <c r="AHW446" s="120"/>
      <c r="AHX446" s="120"/>
      <c r="AHY446" s="120"/>
      <c r="AHZ446" s="120"/>
      <c r="AIA446" s="120"/>
      <c r="AIB446" s="120"/>
      <c r="AIC446" s="120"/>
      <c r="AID446" s="120"/>
      <c r="AIE446" s="120"/>
      <c r="AIF446" s="120"/>
      <c r="AIG446" s="120"/>
      <c r="AIH446" s="120"/>
      <c r="AII446" s="120"/>
      <c r="AIJ446" s="120"/>
      <c r="AIK446" s="120"/>
      <c r="AIL446" s="120"/>
      <c r="AIM446" s="120"/>
      <c r="AIN446" s="120"/>
      <c r="AIO446" s="120"/>
      <c r="AIP446" s="120"/>
      <c r="AIQ446" s="120"/>
      <c r="AIR446" s="120"/>
      <c r="AIS446" s="120"/>
      <c r="AIT446" s="120"/>
      <c r="AIU446" s="120"/>
      <c r="AIV446" s="120"/>
      <c r="AIW446" s="120"/>
      <c r="AIX446" s="120"/>
      <c r="AIY446" s="120"/>
      <c r="AIZ446" s="120"/>
    </row>
    <row r="447">
      <c r="A447" s="112" t="s">
        <v>28</v>
      </c>
      <c r="B447" s="112" t="s">
        <v>102</v>
      </c>
      <c r="C447" s="112"/>
      <c r="D447" s="113">
        <f t="shared" si="1"/>
        <v>464.61335</v>
      </c>
      <c r="E447" s="112">
        <v>21.2663</v>
      </c>
      <c r="F447" s="113"/>
      <c r="G447" s="113"/>
      <c r="H447" s="113"/>
      <c r="I447" s="113"/>
      <c r="J447" s="113"/>
      <c r="K447" s="113"/>
      <c r="L447" s="112">
        <v>0.397733333333333</v>
      </c>
      <c r="M447" s="112">
        <v>4.64921666666667</v>
      </c>
      <c r="N447" s="113"/>
      <c r="O447" s="113"/>
      <c r="P447" s="112">
        <v>1.55891666666667</v>
      </c>
      <c r="Q447" s="113"/>
      <c r="R447" s="113"/>
      <c r="S447" s="113"/>
      <c r="T447" s="113"/>
      <c r="U447" s="113"/>
      <c r="V447" s="113"/>
      <c r="W447" s="112">
        <v>58.9939333333333</v>
      </c>
      <c r="X447" s="113"/>
      <c r="Y447" s="113"/>
      <c r="Z447" s="113"/>
      <c r="AA447" s="113"/>
      <c r="AB447" s="113"/>
      <c r="AC447" s="112">
        <v>0.555183333333333</v>
      </c>
      <c r="AD447" s="112">
        <v>77.3518333333333</v>
      </c>
      <c r="AE447" s="113"/>
      <c r="AF447" s="113"/>
      <c r="AG447" s="113"/>
      <c r="AH447" s="113"/>
      <c r="AI447" s="113"/>
      <c r="AJ447" s="112">
        <v>1.72535</v>
      </c>
      <c r="AK447" s="112">
        <v>108.599</v>
      </c>
      <c r="AL447" s="113"/>
      <c r="AM447" s="113"/>
      <c r="AN447" s="113"/>
      <c r="AO447" s="112">
        <v>4.7539</v>
      </c>
      <c r="AP447" s="112">
        <v>109.731216666667</v>
      </c>
      <c r="AQ447" s="113"/>
      <c r="AR447" s="113"/>
      <c r="AS447" s="112">
        <v>2.80025</v>
      </c>
      <c r="AT447" s="112">
        <v>65.2674166666667</v>
      </c>
      <c r="AU447" s="113"/>
      <c r="AV447" s="112">
        <v>5.67661666666667</v>
      </c>
      <c r="AW447" s="112">
        <v>1.28648333333333</v>
      </c>
      <c r="AX447" s="113"/>
      <c r="AY447" s="113"/>
      <c r="AZ447" s="113"/>
      <c r="BA447" s="113"/>
      <c r="BB447" s="113"/>
      <c r="BC447" s="113"/>
      <c r="BD447" s="113"/>
      <c r="BE447" s="113"/>
      <c r="BF447" s="113"/>
      <c r="BG447" s="113"/>
      <c r="BH447" s="113"/>
      <c r="BI447" s="113"/>
      <c r="BJ447" s="113"/>
      <c r="BK447" s="113"/>
      <c r="BL447" s="113"/>
      <c r="BM447" s="113"/>
      <c r="BN447" s="113"/>
      <c r="BO447" s="113"/>
      <c r="BP447" s="113"/>
      <c r="BQ447" s="113"/>
      <c r="BR447" s="113"/>
      <c r="BS447" s="113"/>
      <c r="BT447" s="113"/>
      <c r="BU447" s="113"/>
      <c r="BV447" s="113"/>
      <c r="BW447" s="113"/>
      <c r="BX447" s="113"/>
      <c r="BY447" s="113"/>
      <c r="BZ447" s="113"/>
      <c r="CA447" s="113"/>
      <c r="CB447" s="113"/>
      <c r="CC447" s="113"/>
      <c r="CD447" s="113"/>
      <c r="CE447" s="113"/>
      <c r="CF447" s="113"/>
      <c r="CG447" s="113"/>
      <c r="CH447" s="113"/>
      <c r="CI447" s="113"/>
      <c r="CJ447" s="113"/>
      <c r="CK447" s="113"/>
      <c r="CL447" s="113"/>
      <c r="CM447" s="113"/>
      <c r="CN447" s="113"/>
      <c r="CO447" s="113"/>
      <c r="CP447" s="113"/>
      <c r="CQ447" s="113"/>
      <c r="CR447" s="113"/>
      <c r="CS447" s="113"/>
      <c r="CT447" s="113"/>
      <c r="CU447" s="113"/>
      <c r="CV447" s="113"/>
      <c r="CW447" s="113"/>
      <c r="CX447" s="113"/>
      <c r="CY447" s="113"/>
      <c r="CZ447" s="113"/>
      <c r="DA447" s="113"/>
      <c r="DB447" s="113"/>
      <c r="DC447" s="113"/>
      <c r="DD447" s="113"/>
      <c r="DE447" s="113"/>
      <c r="DF447" s="113"/>
      <c r="DG447" s="113"/>
      <c r="DH447" s="113"/>
      <c r="DI447" s="113"/>
      <c r="DJ447" s="113"/>
      <c r="DK447" s="113"/>
      <c r="DL447" s="113"/>
      <c r="DM447" s="113"/>
      <c r="DN447" s="113"/>
      <c r="DO447" s="113"/>
      <c r="DP447" s="113"/>
      <c r="DQ447" s="113"/>
      <c r="DR447" s="113"/>
      <c r="DS447" s="113"/>
      <c r="DT447" s="113"/>
      <c r="DU447" s="113"/>
      <c r="DV447" s="113"/>
      <c r="DW447" s="113"/>
      <c r="DX447" s="113"/>
      <c r="DY447" s="113"/>
      <c r="DZ447" s="113"/>
      <c r="EA447" s="113"/>
      <c r="EB447" s="113"/>
      <c r="EC447" s="113"/>
      <c r="ED447" s="113"/>
      <c r="EE447" s="113"/>
      <c r="EF447" s="113"/>
      <c r="EG447" s="113"/>
      <c r="EH447" s="113"/>
      <c r="EI447" s="113"/>
      <c r="EJ447" s="113"/>
      <c r="EK447" s="113"/>
      <c r="EL447" s="113"/>
      <c r="EM447" s="113"/>
      <c r="EN447" s="113"/>
      <c r="EO447" s="113"/>
      <c r="EP447" s="113"/>
      <c r="EQ447" s="113"/>
      <c r="ER447" s="113"/>
      <c r="ES447" s="113"/>
      <c r="ET447" s="113"/>
      <c r="EU447" s="113"/>
      <c r="EV447" s="113"/>
      <c r="EW447" s="113"/>
      <c r="EX447" s="113"/>
      <c r="EY447" s="113"/>
      <c r="EZ447" s="113"/>
      <c r="FA447" s="113"/>
      <c r="FB447" s="113"/>
      <c r="FC447" s="113"/>
      <c r="FD447" s="113"/>
      <c r="FE447" s="113"/>
      <c r="FF447" s="113"/>
      <c r="FG447" s="113"/>
      <c r="FH447" s="113"/>
      <c r="FI447" s="113"/>
      <c r="FJ447" s="113"/>
      <c r="FK447" s="113"/>
      <c r="FL447" s="113"/>
      <c r="FM447" s="113"/>
      <c r="FN447" s="113"/>
      <c r="FO447" s="113"/>
      <c r="FP447" s="113"/>
      <c r="FQ447" s="113"/>
      <c r="FR447" s="113"/>
      <c r="FS447" s="113"/>
      <c r="FT447" s="113"/>
      <c r="FU447" s="113"/>
      <c r="FV447" s="113"/>
      <c r="FW447" s="113"/>
      <c r="FX447" s="113"/>
      <c r="FY447" s="113"/>
      <c r="FZ447" s="113"/>
      <c r="GA447" s="113"/>
      <c r="GB447" s="113"/>
      <c r="GC447" s="113"/>
      <c r="GD447" s="113"/>
      <c r="GE447" s="113"/>
      <c r="GF447" s="113"/>
      <c r="GG447" s="113"/>
      <c r="GH447" s="113"/>
      <c r="GI447" s="113"/>
      <c r="GJ447" s="113"/>
      <c r="GK447" s="113"/>
      <c r="GL447" s="113"/>
      <c r="GM447" s="113"/>
      <c r="GN447" s="113"/>
      <c r="GO447" s="113"/>
      <c r="GP447" s="113"/>
      <c r="GQ447" s="113"/>
      <c r="GR447" s="113"/>
      <c r="GS447" s="113"/>
      <c r="GT447" s="113"/>
      <c r="GU447" s="113"/>
      <c r="GV447" s="113"/>
      <c r="GW447" s="113"/>
      <c r="GX447" s="113"/>
      <c r="GY447" s="113"/>
      <c r="GZ447" s="113"/>
      <c r="HA447" s="113"/>
      <c r="HB447" s="113"/>
      <c r="HC447" s="113"/>
      <c r="HD447" s="113"/>
      <c r="HE447" s="113"/>
      <c r="HF447" s="113"/>
      <c r="HG447" s="113"/>
      <c r="HH447" s="113"/>
      <c r="HI447" s="113"/>
      <c r="HJ447" s="113"/>
      <c r="HK447" s="113"/>
      <c r="HL447" s="113"/>
      <c r="HM447" s="113"/>
      <c r="HN447" s="113"/>
      <c r="HO447" s="113"/>
      <c r="HP447" s="113"/>
      <c r="HQ447" s="113"/>
      <c r="HR447" s="113"/>
      <c r="HS447" s="113"/>
      <c r="HT447" s="113"/>
      <c r="HU447" s="113"/>
      <c r="HV447" s="113"/>
      <c r="HW447" s="113"/>
      <c r="HX447" s="113"/>
      <c r="HY447" s="113"/>
      <c r="HZ447" s="113"/>
      <c r="IA447" s="113"/>
      <c r="IB447" s="113"/>
      <c r="IC447" s="113"/>
      <c r="ID447" s="113"/>
      <c r="IE447" s="113"/>
      <c r="IF447" s="113"/>
      <c r="IG447" s="113"/>
      <c r="IH447" s="113"/>
      <c r="II447" s="113"/>
      <c r="IJ447" s="113"/>
      <c r="IK447" s="113"/>
      <c r="IL447" s="113"/>
      <c r="IM447" s="113"/>
      <c r="IN447" s="113"/>
      <c r="IO447" s="113"/>
      <c r="IP447" s="113"/>
      <c r="IQ447" s="113"/>
      <c r="IR447" s="113"/>
      <c r="IS447" s="113"/>
      <c r="IT447" s="113"/>
      <c r="IU447" s="113"/>
      <c r="IV447" s="113"/>
      <c r="IW447" s="113"/>
      <c r="IX447" s="113"/>
      <c r="IY447" s="113"/>
      <c r="IZ447" s="113"/>
      <c r="JA447" s="113"/>
      <c r="JB447" s="113"/>
      <c r="JC447" s="113"/>
      <c r="JD447" s="113"/>
      <c r="JE447" s="113"/>
      <c r="JF447" s="113"/>
      <c r="JG447" s="113"/>
      <c r="JH447" s="113"/>
      <c r="JI447" s="113"/>
      <c r="JJ447" s="113"/>
      <c r="JK447" s="113"/>
      <c r="JL447" s="113"/>
      <c r="JM447" s="113"/>
      <c r="JN447" s="113"/>
      <c r="JO447" s="113"/>
      <c r="JP447" s="113"/>
      <c r="JQ447" s="113"/>
      <c r="JR447" s="113"/>
      <c r="JS447" s="113"/>
      <c r="JT447" s="113"/>
      <c r="JU447" s="113"/>
      <c r="JV447" s="113"/>
      <c r="JW447" s="113"/>
      <c r="JX447" s="113"/>
      <c r="JY447" s="113"/>
      <c r="JZ447" s="113"/>
      <c r="KA447" s="113"/>
      <c r="KB447" s="113"/>
      <c r="KC447" s="113"/>
      <c r="KD447" s="113"/>
      <c r="KE447" s="113"/>
      <c r="KF447" s="113"/>
      <c r="KG447" s="113"/>
      <c r="KH447" s="113"/>
      <c r="KI447" s="113"/>
      <c r="KJ447" s="113"/>
      <c r="KK447" s="113"/>
      <c r="KL447" s="113"/>
      <c r="KM447" s="113"/>
      <c r="KN447" s="113"/>
      <c r="KO447" s="113"/>
      <c r="KP447" s="113"/>
      <c r="KQ447" s="113"/>
      <c r="KR447" s="113"/>
      <c r="KS447" s="113"/>
      <c r="KT447" s="113"/>
      <c r="KU447" s="113"/>
      <c r="KV447" s="113"/>
      <c r="KW447" s="113"/>
      <c r="KX447" s="113"/>
      <c r="KY447" s="113"/>
      <c r="KZ447" s="113"/>
      <c r="LA447" s="113"/>
      <c r="LB447" s="113"/>
      <c r="LC447" s="113"/>
      <c r="LD447" s="113"/>
      <c r="LE447" s="113"/>
      <c r="LF447" s="113"/>
      <c r="LG447" s="113"/>
      <c r="LH447" s="113"/>
      <c r="LI447" s="113"/>
      <c r="LJ447" s="113"/>
      <c r="LK447" s="113"/>
      <c r="LL447" s="113"/>
      <c r="LM447" s="113"/>
      <c r="LN447" s="113"/>
      <c r="LO447" s="113"/>
      <c r="LP447" s="113"/>
      <c r="LQ447" s="113"/>
      <c r="LR447" s="113"/>
      <c r="LS447" s="113"/>
      <c r="LT447" s="113"/>
      <c r="LU447" s="113"/>
      <c r="LV447" s="113"/>
      <c r="LW447" s="113"/>
      <c r="LX447" s="113"/>
      <c r="LY447" s="113"/>
      <c r="LZ447" s="113"/>
      <c r="MA447" s="113"/>
      <c r="MB447" s="113"/>
      <c r="MC447" s="113"/>
      <c r="MD447" s="113"/>
      <c r="ME447" s="113"/>
      <c r="MF447" s="113"/>
      <c r="MG447" s="113"/>
      <c r="MH447" s="113"/>
      <c r="MI447" s="113"/>
      <c r="MJ447" s="113"/>
      <c r="MK447" s="113"/>
      <c r="ML447" s="113"/>
      <c r="MM447" s="113"/>
      <c r="MN447" s="113"/>
      <c r="MO447" s="113"/>
      <c r="MP447" s="113"/>
      <c r="MQ447" s="113"/>
      <c r="MR447" s="113"/>
      <c r="MS447" s="113"/>
      <c r="MT447" s="113"/>
      <c r="MU447" s="113"/>
      <c r="MV447" s="113"/>
      <c r="MW447" s="113"/>
      <c r="MX447" s="113"/>
      <c r="MY447" s="113"/>
      <c r="MZ447" s="113"/>
      <c r="NA447" s="113"/>
      <c r="NB447" s="113"/>
      <c r="NC447" s="113"/>
      <c r="ND447" s="113"/>
      <c r="NE447" s="113"/>
      <c r="NF447" s="113"/>
      <c r="NG447" s="113"/>
      <c r="NH447" s="113"/>
      <c r="NI447" s="113"/>
      <c r="NJ447" s="113"/>
      <c r="NK447" s="113"/>
      <c r="NL447" s="113"/>
      <c r="NM447" s="113"/>
      <c r="NN447" s="113"/>
      <c r="NO447" s="113"/>
      <c r="NP447" s="113"/>
      <c r="NQ447" s="113"/>
      <c r="NR447" s="113"/>
      <c r="NS447" s="113"/>
      <c r="NT447" s="113"/>
      <c r="NU447" s="113"/>
      <c r="NV447" s="113"/>
      <c r="NW447" s="113"/>
      <c r="NX447" s="113"/>
      <c r="NY447" s="113"/>
      <c r="NZ447" s="113"/>
      <c r="OA447" s="113"/>
      <c r="OB447" s="113"/>
      <c r="OC447" s="113"/>
      <c r="OD447" s="113"/>
      <c r="OE447" s="113"/>
      <c r="OF447" s="113"/>
      <c r="OG447" s="113"/>
      <c r="OH447" s="113"/>
      <c r="OI447" s="113"/>
      <c r="OJ447" s="113"/>
      <c r="OK447" s="113"/>
      <c r="OL447" s="113"/>
      <c r="OM447" s="113"/>
      <c r="ON447" s="113"/>
      <c r="OO447" s="113"/>
      <c r="OP447" s="113"/>
      <c r="OQ447" s="113"/>
      <c r="OR447" s="113"/>
      <c r="OS447" s="113"/>
      <c r="OT447" s="113"/>
      <c r="OU447" s="113"/>
      <c r="OV447" s="113"/>
      <c r="OW447" s="113"/>
      <c r="OX447" s="113"/>
      <c r="OY447" s="113"/>
      <c r="OZ447" s="113"/>
      <c r="PA447" s="113"/>
      <c r="PB447" s="113"/>
      <c r="PC447" s="113"/>
      <c r="PD447" s="113"/>
      <c r="PE447" s="113"/>
      <c r="PF447" s="113"/>
      <c r="PG447" s="113"/>
      <c r="PH447" s="113"/>
      <c r="PI447" s="113"/>
      <c r="PJ447" s="113"/>
      <c r="PK447" s="113"/>
      <c r="PL447" s="113"/>
      <c r="PM447" s="113"/>
      <c r="PN447" s="113"/>
      <c r="PO447" s="113"/>
      <c r="PP447" s="113"/>
      <c r="PQ447" s="113"/>
      <c r="PR447" s="113"/>
      <c r="PS447" s="113"/>
      <c r="PT447" s="113"/>
      <c r="PU447" s="113"/>
      <c r="PV447" s="113"/>
      <c r="PW447" s="113"/>
      <c r="PX447" s="113"/>
      <c r="PY447" s="113"/>
      <c r="PZ447" s="113"/>
      <c r="QA447" s="113"/>
      <c r="QB447" s="113"/>
      <c r="QC447" s="113"/>
      <c r="QD447" s="113"/>
      <c r="QE447" s="113"/>
      <c r="QF447" s="113"/>
      <c r="QG447" s="113"/>
      <c r="QH447" s="113"/>
      <c r="QI447" s="113"/>
      <c r="QJ447" s="113"/>
      <c r="QK447" s="113"/>
      <c r="QL447" s="113"/>
      <c r="QM447" s="113"/>
      <c r="QN447" s="113"/>
      <c r="QO447" s="113"/>
      <c r="QP447" s="113"/>
      <c r="QQ447" s="113"/>
      <c r="QR447" s="113"/>
      <c r="QS447" s="113"/>
      <c r="QT447" s="113"/>
      <c r="QU447" s="113"/>
      <c r="QV447" s="113"/>
      <c r="QW447" s="113"/>
      <c r="QX447" s="113"/>
      <c r="QY447" s="113"/>
      <c r="QZ447" s="113"/>
      <c r="RA447" s="113"/>
      <c r="RB447" s="113"/>
      <c r="RC447" s="113"/>
      <c r="RD447" s="113"/>
      <c r="RE447" s="113"/>
      <c r="RF447" s="113"/>
      <c r="RG447" s="113"/>
      <c r="RH447" s="113"/>
      <c r="RI447" s="113"/>
      <c r="RJ447" s="113"/>
      <c r="RK447" s="113"/>
      <c r="RL447" s="113"/>
      <c r="RM447" s="113"/>
      <c r="RN447" s="113"/>
      <c r="RO447" s="113"/>
      <c r="RP447" s="113"/>
      <c r="RQ447" s="113"/>
      <c r="RR447" s="113"/>
      <c r="RS447" s="113"/>
      <c r="RT447" s="113"/>
      <c r="RU447" s="113"/>
      <c r="RV447" s="113"/>
      <c r="RW447" s="113"/>
      <c r="RX447" s="113"/>
      <c r="RY447" s="113"/>
      <c r="RZ447" s="113"/>
      <c r="SA447" s="113"/>
      <c r="SB447" s="113"/>
      <c r="SC447" s="113"/>
      <c r="SD447" s="113"/>
      <c r="SE447" s="113"/>
      <c r="SF447" s="113"/>
      <c r="SG447" s="113"/>
      <c r="SH447" s="113"/>
      <c r="SI447" s="113"/>
      <c r="SJ447" s="113"/>
      <c r="SK447" s="113"/>
      <c r="SL447" s="113"/>
      <c r="SM447" s="113"/>
      <c r="SN447" s="113"/>
      <c r="SO447" s="113"/>
      <c r="SP447" s="113"/>
      <c r="SQ447" s="113"/>
      <c r="SR447" s="113"/>
      <c r="SS447" s="113"/>
      <c r="ST447" s="113"/>
      <c r="SU447" s="113"/>
      <c r="SV447" s="113"/>
      <c r="SW447" s="113"/>
      <c r="SX447" s="113"/>
      <c r="SY447" s="113"/>
      <c r="SZ447" s="113"/>
      <c r="TA447" s="113"/>
      <c r="TB447" s="113"/>
      <c r="TC447" s="113"/>
      <c r="TD447" s="113"/>
      <c r="TE447" s="113"/>
      <c r="TF447" s="113"/>
      <c r="TG447" s="113"/>
      <c r="TH447" s="113"/>
      <c r="TI447" s="113"/>
      <c r="TJ447" s="113"/>
      <c r="TK447" s="113"/>
      <c r="TL447" s="113"/>
      <c r="TM447" s="113"/>
      <c r="TN447" s="113"/>
      <c r="TO447" s="113"/>
      <c r="TP447" s="113"/>
      <c r="TQ447" s="113"/>
      <c r="TR447" s="113"/>
      <c r="TS447" s="113"/>
      <c r="TT447" s="113"/>
      <c r="TU447" s="113"/>
      <c r="TV447" s="113"/>
      <c r="TW447" s="113"/>
      <c r="TX447" s="113"/>
      <c r="TY447" s="113"/>
      <c r="TZ447" s="113"/>
      <c r="UA447" s="113"/>
      <c r="UB447" s="113"/>
      <c r="UC447" s="113"/>
      <c r="UD447" s="113"/>
      <c r="UE447" s="113"/>
      <c r="UF447" s="113"/>
      <c r="UG447" s="113"/>
      <c r="UH447" s="113"/>
      <c r="UI447" s="113"/>
      <c r="UJ447" s="113"/>
      <c r="UK447" s="113"/>
      <c r="UL447" s="113"/>
      <c r="UM447" s="113"/>
      <c r="UN447" s="113"/>
      <c r="UO447" s="113"/>
      <c r="UP447" s="113"/>
      <c r="UQ447" s="113"/>
      <c r="UR447" s="113"/>
      <c r="US447" s="113"/>
      <c r="UT447" s="113"/>
      <c r="UU447" s="113"/>
      <c r="UV447" s="113"/>
      <c r="UW447" s="113"/>
      <c r="UX447" s="113"/>
      <c r="UY447" s="113"/>
      <c r="UZ447" s="113"/>
      <c r="VA447" s="113"/>
      <c r="VB447" s="113"/>
      <c r="VC447" s="113"/>
      <c r="VD447" s="113"/>
      <c r="VE447" s="113"/>
      <c r="VF447" s="113"/>
      <c r="VG447" s="113"/>
      <c r="VH447" s="113"/>
      <c r="VI447" s="113"/>
      <c r="VJ447" s="113"/>
      <c r="VK447" s="113"/>
      <c r="VL447" s="113"/>
      <c r="VM447" s="113"/>
      <c r="VN447" s="113"/>
      <c r="VO447" s="113"/>
      <c r="VP447" s="113"/>
      <c r="VQ447" s="113"/>
      <c r="VR447" s="113"/>
      <c r="VS447" s="113"/>
      <c r="VT447" s="113"/>
      <c r="VU447" s="113"/>
      <c r="VV447" s="113"/>
      <c r="VW447" s="113"/>
      <c r="VX447" s="113"/>
      <c r="VY447" s="113"/>
      <c r="VZ447" s="113"/>
      <c r="WA447" s="113"/>
      <c r="WB447" s="113"/>
      <c r="WC447" s="113"/>
      <c r="WD447" s="113"/>
      <c r="WE447" s="113"/>
      <c r="WF447" s="113"/>
      <c r="WG447" s="113"/>
      <c r="WH447" s="113"/>
      <c r="WI447" s="113"/>
      <c r="WJ447" s="113"/>
      <c r="WK447" s="113"/>
      <c r="WL447" s="113"/>
      <c r="WM447" s="113"/>
      <c r="WN447" s="113"/>
      <c r="WO447" s="113"/>
      <c r="WP447" s="113"/>
      <c r="WQ447" s="113"/>
      <c r="WR447" s="113"/>
      <c r="WS447" s="113"/>
      <c r="WT447" s="113"/>
      <c r="WU447" s="113"/>
      <c r="WV447" s="113"/>
      <c r="WW447" s="113"/>
      <c r="WX447" s="113"/>
      <c r="WY447" s="113"/>
      <c r="WZ447" s="113"/>
      <c r="XA447" s="113"/>
      <c r="XB447" s="113"/>
      <c r="XC447" s="113"/>
      <c r="XD447" s="113"/>
      <c r="XE447" s="113"/>
      <c r="XF447" s="113"/>
      <c r="XG447" s="113"/>
      <c r="XH447" s="113"/>
      <c r="XI447" s="113"/>
      <c r="XJ447" s="113"/>
      <c r="XK447" s="113"/>
      <c r="XL447" s="113"/>
      <c r="XM447" s="113"/>
      <c r="XN447" s="113"/>
      <c r="XO447" s="113"/>
      <c r="XP447" s="113"/>
      <c r="XQ447" s="113"/>
      <c r="XR447" s="113"/>
      <c r="XS447" s="113"/>
      <c r="XT447" s="113"/>
      <c r="XU447" s="113"/>
      <c r="XV447" s="113"/>
      <c r="XW447" s="113"/>
      <c r="XX447" s="113"/>
      <c r="XY447" s="113"/>
      <c r="XZ447" s="113"/>
      <c r="YA447" s="113"/>
      <c r="YB447" s="113"/>
      <c r="YC447" s="113"/>
      <c r="YD447" s="113"/>
      <c r="YE447" s="113"/>
      <c r="YF447" s="113"/>
      <c r="YG447" s="113"/>
      <c r="YH447" s="113"/>
      <c r="YI447" s="113"/>
      <c r="YJ447" s="113"/>
      <c r="YK447" s="113"/>
      <c r="YL447" s="113"/>
      <c r="YM447" s="113"/>
      <c r="YN447" s="113"/>
      <c r="YO447" s="113"/>
      <c r="YP447" s="113"/>
      <c r="YQ447" s="113"/>
      <c r="YR447" s="113"/>
      <c r="YS447" s="113"/>
      <c r="YT447" s="113"/>
      <c r="YU447" s="113"/>
      <c r="YV447" s="113"/>
      <c r="YW447" s="113"/>
      <c r="YX447" s="113"/>
      <c r="YY447" s="113"/>
      <c r="YZ447" s="113"/>
      <c r="ZA447" s="113"/>
      <c r="ZB447" s="113"/>
      <c r="ZC447" s="113"/>
      <c r="ZD447" s="113"/>
      <c r="ZE447" s="113"/>
      <c r="ZF447" s="113"/>
      <c r="ZG447" s="113"/>
      <c r="ZH447" s="113"/>
      <c r="ZI447" s="113"/>
      <c r="ZJ447" s="113"/>
      <c r="ZK447" s="113"/>
      <c r="ZL447" s="113"/>
      <c r="ZM447" s="113"/>
      <c r="ZN447" s="113"/>
      <c r="ZO447" s="113"/>
      <c r="ZP447" s="113"/>
      <c r="ZQ447" s="113"/>
      <c r="ZR447" s="113"/>
      <c r="ZS447" s="113"/>
      <c r="ZT447" s="113"/>
      <c r="ZU447" s="113"/>
      <c r="ZV447" s="113"/>
      <c r="ZW447" s="113"/>
      <c r="ZX447" s="113"/>
      <c r="ZY447" s="113"/>
      <c r="ZZ447" s="113"/>
      <c r="AAA447" s="113"/>
      <c r="AAB447" s="113"/>
      <c r="AAC447" s="113"/>
      <c r="AAD447" s="113"/>
      <c r="AAE447" s="113"/>
      <c r="AAF447" s="113"/>
      <c r="AAG447" s="113"/>
      <c r="AAH447" s="113"/>
      <c r="AAI447" s="113"/>
      <c r="AAJ447" s="113"/>
      <c r="AAK447" s="113"/>
      <c r="AAL447" s="113"/>
      <c r="AAM447" s="113"/>
      <c r="AAN447" s="113"/>
      <c r="AAO447" s="113"/>
      <c r="AAP447" s="113"/>
      <c r="AAQ447" s="113"/>
      <c r="AAR447" s="113"/>
      <c r="AAS447" s="113"/>
      <c r="AAT447" s="113"/>
      <c r="AAU447" s="113"/>
      <c r="AAV447" s="113"/>
      <c r="AAW447" s="113"/>
      <c r="AAX447" s="113"/>
      <c r="AAY447" s="113"/>
      <c r="AAZ447" s="113"/>
      <c r="ABA447" s="113"/>
      <c r="ABB447" s="113"/>
      <c r="ABC447" s="113"/>
      <c r="ABD447" s="113"/>
      <c r="ABE447" s="113"/>
      <c r="ABF447" s="113"/>
      <c r="ABG447" s="113"/>
      <c r="ABH447" s="113"/>
      <c r="ABI447" s="113"/>
      <c r="ABJ447" s="113"/>
      <c r="ABK447" s="113"/>
      <c r="ABL447" s="113"/>
      <c r="ABM447" s="113"/>
      <c r="ABN447" s="113"/>
      <c r="ABO447" s="113"/>
      <c r="ABP447" s="113"/>
      <c r="ABQ447" s="113"/>
      <c r="ABR447" s="113"/>
      <c r="ABS447" s="113"/>
      <c r="ABT447" s="113"/>
      <c r="ABU447" s="113"/>
      <c r="ABV447" s="113"/>
      <c r="ABW447" s="113"/>
      <c r="ABX447" s="113"/>
      <c r="ABY447" s="113"/>
      <c r="ABZ447" s="113"/>
      <c r="ACA447" s="113"/>
      <c r="ACB447" s="113"/>
      <c r="ACC447" s="113"/>
      <c r="ACD447" s="113"/>
      <c r="ACE447" s="113"/>
      <c r="ACF447" s="113"/>
      <c r="ACG447" s="113"/>
      <c r="ACH447" s="113"/>
      <c r="ACI447" s="113"/>
      <c r="ACJ447" s="113"/>
      <c r="ACK447" s="113"/>
      <c r="ACL447" s="113"/>
      <c r="ACM447" s="113"/>
      <c r="ACN447" s="113"/>
      <c r="ACO447" s="113"/>
      <c r="ACP447" s="113"/>
      <c r="ACQ447" s="113"/>
      <c r="ACR447" s="113"/>
      <c r="ACS447" s="113"/>
      <c r="ACT447" s="113"/>
      <c r="ACU447" s="113"/>
      <c r="ACV447" s="113"/>
      <c r="ACW447" s="113"/>
      <c r="ACX447" s="113"/>
      <c r="ACY447" s="113"/>
      <c r="ACZ447" s="113"/>
      <c r="ADA447" s="113"/>
      <c r="ADB447" s="113"/>
      <c r="ADC447" s="113"/>
      <c r="ADD447" s="113"/>
      <c r="ADE447" s="113"/>
      <c r="ADF447" s="113"/>
      <c r="ADG447" s="113"/>
      <c r="ADH447" s="113"/>
      <c r="ADI447" s="113"/>
      <c r="ADJ447" s="113"/>
      <c r="ADK447" s="113"/>
      <c r="ADL447" s="113"/>
      <c r="ADM447" s="113"/>
      <c r="ADN447" s="113"/>
      <c r="ADO447" s="113"/>
      <c r="ADP447" s="113"/>
      <c r="ADQ447" s="113"/>
      <c r="ADR447" s="113"/>
      <c r="ADS447" s="113"/>
      <c r="ADT447" s="113"/>
      <c r="ADU447" s="113"/>
      <c r="ADV447" s="113"/>
      <c r="ADW447" s="113"/>
      <c r="ADX447" s="113"/>
      <c r="ADY447" s="113"/>
      <c r="ADZ447" s="113"/>
      <c r="AEA447" s="113"/>
      <c r="AEB447" s="113"/>
      <c r="AEC447" s="113"/>
      <c r="AED447" s="113"/>
      <c r="AEE447" s="113"/>
      <c r="AEF447" s="113"/>
      <c r="AEG447" s="113"/>
      <c r="AEH447" s="113"/>
      <c r="AEI447" s="113"/>
      <c r="AEJ447" s="113"/>
      <c r="AEK447" s="113"/>
      <c r="AEL447" s="113"/>
      <c r="AEM447" s="113"/>
      <c r="AEN447" s="113"/>
      <c r="AEO447" s="113"/>
      <c r="AEP447" s="113"/>
      <c r="AEQ447" s="113"/>
      <c r="AER447" s="113"/>
      <c r="AES447" s="113"/>
      <c r="AET447" s="113"/>
      <c r="AEU447" s="113"/>
      <c r="AEV447" s="113"/>
      <c r="AEW447" s="113"/>
      <c r="AEX447" s="113"/>
      <c r="AEY447" s="113"/>
      <c r="AEZ447" s="113"/>
      <c r="AFA447" s="113"/>
      <c r="AFB447" s="113"/>
      <c r="AFC447" s="113"/>
      <c r="AFD447" s="113"/>
      <c r="AFE447" s="113"/>
      <c r="AFF447" s="113"/>
      <c r="AFG447" s="113"/>
      <c r="AFH447" s="113"/>
      <c r="AFI447" s="113"/>
      <c r="AFJ447" s="113"/>
      <c r="AFK447" s="113"/>
      <c r="AFL447" s="113"/>
      <c r="AFM447" s="113"/>
      <c r="AFN447" s="113"/>
      <c r="AFO447" s="113"/>
      <c r="AFP447" s="113"/>
      <c r="AFQ447" s="113"/>
      <c r="AFR447" s="113"/>
      <c r="AFS447" s="113"/>
      <c r="AFT447" s="113"/>
      <c r="AFU447" s="113"/>
      <c r="AFV447" s="113"/>
      <c r="AFW447" s="113"/>
      <c r="AFX447" s="113"/>
      <c r="AFY447" s="113"/>
      <c r="AFZ447" s="113"/>
      <c r="AGA447" s="113"/>
      <c r="AGB447" s="113"/>
      <c r="AGC447" s="113"/>
      <c r="AGD447" s="113"/>
      <c r="AGE447" s="113"/>
      <c r="AGF447" s="113"/>
      <c r="AGG447" s="113"/>
      <c r="AGH447" s="113"/>
      <c r="AGI447" s="113"/>
      <c r="AGJ447" s="113"/>
      <c r="AGK447" s="113"/>
      <c r="AGL447" s="113"/>
      <c r="AGM447" s="113"/>
      <c r="AGN447" s="113"/>
      <c r="AGO447" s="113"/>
      <c r="AGP447" s="113"/>
      <c r="AGQ447" s="113"/>
      <c r="AGR447" s="113"/>
      <c r="AGS447" s="113"/>
      <c r="AGT447" s="113"/>
      <c r="AGU447" s="113"/>
      <c r="AGV447" s="113"/>
      <c r="AGW447" s="113"/>
      <c r="AGX447" s="113"/>
      <c r="AGY447" s="113"/>
      <c r="AGZ447" s="113"/>
      <c r="AHA447" s="113"/>
      <c r="AHB447" s="113"/>
      <c r="AHC447" s="113"/>
      <c r="AHD447" s="113"/>
      <c r="AHE447" s="113"/>
      <c r="AHF447" s="113"/>
      <c r="AHG447" s="113"/>
      <c r="AHH447" s="113"/>
      <c r="AHI447" s="113"/>
      <c r="AHJ447" s="113"/>
      <c r="AHK447" s="113"/>
      <c r="AHL447" s="113"/>
      <c r="AHM447" s="113"/>
      <c r="AHN447" s="113"/>
      <c r="AHO447" s="113"/>
      <c r="AHP447" s="113"/>
      <c r="AHQ447" s="113"/>
      <c r="AHR447" s="113"/>
      <c r="AHS447" s="113"/>
      <c r="AHT447" s="113"/>
      <c r="AHU447" s="113"/>
      <c r="AHV447" s="113"/>
      <c r="AHW447" s="113"/>
      <c r="AHX447" s="113"/>
      <c r="AHY447" s="113"/>
      <c r="AHZ447" s="113"/>
      <c r="AIA447" s="113"/>
      <c r="AIB447" s="113"/>
      <c r="AIC447" s="113"/>
      <c r="AID447" s="113"/>
      <c r="AIE447" s="113"/>
      <c r="AIF447" s="113"/>
      <c r="AIG447" s="113"/>
      <c r="AIH447" s="113"/>
      <c r="AII447" s="113"/>
      <c r="AIJ447" s="113"/>
      <c r="AIK447" s="113"/>
      <c r="AIL447" s="113"/>
      <c r="AIM447" s="113"/>
      <c r="AIN447" s="113"/>
      <c r="AIO447" s="113"/>
      <c r="AIP447" s="113"/>
      <c r="AIQ447" s="113"/>
      <c r="AIR447" s="113"/>
      <c r="AIS447" s="113"/>
      <c r="AIT447" s="113"/>
      <c r="AIU447" s="113"/>
      <c r="AIV447" s="113"/>
      <c r="AIW447" s="113"/>
      <c r="AIX447" s="113"/>
      <c r="AIY447" s="113"/>
      <c r="AIZ447" s="113"/>
    </row>
    <row r="448">
      <c r="A448" s="65" t="s">
        <v>28</v>
      </c>
      <c r="B448" s="65" t="s">
        <v>102</v>
      </c>
      <c r="C448" s="65"/>
      <c r="D448" s="64">
        <f t="shared" si="1"/>
        <v>377.7039667</v>
      </c>
      <c r="F448" s="65">
        <v>12.9581666666667</v>
      </c>
      <c r="G448" s="65">
        <v>0.287516666666667</v>
      </c>
      <c r="H448" s="65">
        <v>0.536366666666667</v>
      </c>
      <c r="I448" s="65">
        <v>0.942983333333334</v>
      </c>
      <c r="J448" s="65">
        <v>0.1377</v>
      </c>
      <c r="K448" s="65">
        <v>2.76756666666667</v>
      </c>
      <c r="N448" s="65">
        <v>3.66883333333333</v>
      </c>
      <c r="Q448" s="65">
        <v>1.22026666666667</v>
      </c>
      <c r="X448" s="65">
        <v>31.7867666666667</v>
      </c>
      <c r="Y448" s="65">
        <v>14.9171833333333</v>
      </c>
      <c r="Z448" s="65">
        <v>2.57108333333333</v>
      </c>
      <c r="AA448" s="65">
        <v>0.160733333333333</v>
      </c>
      <c r="AB448" s="65">
        <v>7.13923333333333</v>
      </c>
      <c r="AE448" s="65">
        <v>46.0941</v>
      </c>
      <c r="AF448" s="65">
        <v>12.1498333333333</v>
      </c>
      <c r="AG448" s="65">
        <v>2.75136666666667</v>
      </c>
      <c r="AH448" s="65">
        <v>0.51625</v>
      </c>
      <c r="AI448" s="65">
        <v>15.2331166666667</v>
      </c>
      <c r="AL448" s="65">
        <v>77.7684</v>
      </c>
      <c r="AM448" s="65">
        <v>0.66595</v>
      </c>
      <c r="AN448" s="65">
        <v>5.23506666666667</v>
      </c>
      <c r="AQ448" s="65">
        <v>69.4205</v>
      </c>
      <c r="AR448" s="65">
        <v>6.32823333333333</v>
      </c>
      <c r="AU448" s="65">
        <v>62.44675</v>
      </c>
    </row>
    <row r="449">
      <c r="A449" s="65" t="s">
        <v>28</v>
      </c>
      <c r="B449" s="65" t="s">
        <v>102</v>
      </c>
      <c r="C449" s="65"/>
      <c r="D449" s="64">
        <f t="shared" si="1"/>
        <v>0</v>
      </c>
    </row>
    <row r="450">
      <c r="A450" s="65" t="s">
        <v>28</v>
      </c>
      <c r="B450" s="65" t="s">
        <v>102</v>
      </c>
      <c r="C450" s="65"/>
      <c r="D450" s="64">
        <f t="shared" si="1"/>
        <v>376.7310333</v>
      </c>
      <c r="F450" s="118">
        <f>HYPERLINK("https://docs.google.com/spreadsheets/d/1aezmFHvfJ9z0hIAZ3osgBHLKQeB8X5ue", 12.9581666666667)</f>
        <v>12.95816667</v>
      </c>
      <c r="G450" s="118">
        <f>HYPERLINK("https://docs.google.com/spreadsheets/d/1CrFDz-kKp52GmLRA81zd3UCFWOOKot4x", 0.287516666666667)</f>
        <v>0.2875166667</v>
      </c>
      <c r="H450" s="118">
        <f>HYPERLINK("https://docs.google.com/spreadsheets/d/1lq7CxARHL-zPaWuy2O-aVdnGWn4FOHlW", 0.536366666666667)</f>
        <v>0.5363666667</v>
      </c>
      <c r="I450" s="118">
        <f>HYPERLINK("https://docs.google.com/spreadsheets/d/1WVWyA_3Dfy1Ez9E0OK8YgH0v9ozX0G1J", 0.942983333333333)</f>
        <v>0.9429833333</v>
      </c>
      <c r="J450" s="118">
        <f>HYPERLINK("https://docs.google.com/spreadsheets/d/1-n2-3Lm2EsMSKeptLLWMCA146m7zz1K_", 0.1377)</f>
        <v>0.1377</v>
      </c>
      <c r="K450" s="118">
        <f>HYPERLINK("https://docs.google.com/spreadsheets/d/1KLmpdg4Hxay_BHEFS2pTi-Iy5SUI2_sQ", 2.76756666666667)</f>
        <v>2.767566667</v>
      </c>
      <c r="N450" s="118">
        <f>HYPERLINK("https://docs.google.com/spreadsheets/d/1CIx71fNeOBiyoAnZwehSBhID_FVjMOf2", 3.66883333333333)</f>
        <v>3.668833333</v>
      </c>
      <c r="Q450" s="118">
        <f>HYPERLINK("https://docs.google.com/spreadsheets/d/1GCVFdljmBIF5lJirzWybD8Nh-I0gwFwI", 1.22026666666667)</f>
        <v>1.220266667</v>
      </c>
      <c r="X450" s="118">
        <f>HYPERLINK("https://docs.google.com/spreadsheets/d/1xnq4jN-fS3sp6MnmwUhb6Ju6rhAzGsJy", 31.78675)</f>
        <v>31.78675</v>
      </c>
      <c r="Y450" s="118">
        <f>HYPERLINK("https://docs.google.com/spreadsheets/d/1VC7FXfnWI74u8IyIOGLuGUdDaHxeh-9y", 14.9171833333333)</f>
        <v>14.91718333</v>
      </c>
      <c r="Z450" s="118">
        <f>HYPERLINK("https://docs.google.com/spreadsheets/d/1DZZBpdr1iH-m0OFgG4ujVNPJcbXUopmF", 2.57108333333333)</f>
        <v>2.571083333</v>
      </c>
      <c r="AA450" s="118">
        <f>HYPERLINK("https://docs.google.com/spreadsheets/d/1x68cws9YNnBP5rGa7uJUTzIaQsgXJWQU", 0.160733333333333)</f>
        <v>0.1607333333</v>
      </c>
      <c r="AB450" s="118">
        <f>HYPERLINK("https://docs.google.com/spreadsheets/d/1oWwUTfPLQzcgUJBH2lYCgL2vMmoSwyNb", 7.13921666666667)</f>
        <v>7.139216667</v>
      </c>
      <c r="AE450" s="118">
        <f>HYPERLINK("https://docs.google.com/spreadsheets/d/1se1ADfwfjrPThc5fCJgSA6In942B9Yc3", 46.0940666666666)</f>
        <v>46.09406667</v>
      </c>
      <c r="AF450" s="118">
        <f>HYPERLINK("https://docs.google.com/spreadsheets/d/1BtWTAwc_Q0W9bzy4rLnPGnk7nmhI4NGm", 12.1498166666667)</f>
        <v>12.14981667</v>
      </c>
      <c r="AG450" s="118">
        <f>HYPERLINK("https://docs.google.com/spreadsheets/d/1N735j9LhJ9nmEFbGLkLQD95GEAxJkXf2", 2.60995)</f>
        <v>2.60995</v>
      </c>
      <c r="AH450" s="118">
        <f>HYPERLINK("https://docs.google.com/spreadsheets/d/1fnT4kCfkMkgluLqcDkPllRFDttgAWjYb", 0.51625)</f>
        <v>0.51625</v>
      </c>
      <c r="AI450" s="118">
        <f>HYPERLINK("https://docs.google.com/spreadsheets/d/1p59oeFg-IGg_KD4IZBpErwapyWtichB3", 15.0903)</f>
        <v>15.0903</v>
      </c>
      <c r="AL450" s="118">
        <f>HYPERLINK("https://docs.google.com/spreadsheets/d/1d3IG43JbxBz2ZqWHi_zhbuk7AoFgnBrE", 77.5037333333333)</f>
        <v>77.50373333</v>
      </c>
      <c r="AM450" s="118">
        <f>HYPERLINK("https://docs.google.com/spreadsheets/d/1QkAcwX8R_j0UYfiYLbxAQN6YATktmSqq", 0.66595)</f>
        <v>0.66595</v>
      </c>
      <c r="AN450" s="118">
        <f>HYPERLINK("https://docs.google.com/spreadsheets/d/1NWqnAWlD4d8LLy-WhNV7R8vOfhUzPpI3", 5.07301666666667)</f>
        <v>5.073016667</v>
      </c>
      <c r="AQ450" s="118">
        <f>HYPERLINK("https://docs.google.com/spreadsheets/d/1_m0QT4ZZOgKViCiHYyuyJ5_QD-oGZBIT", 69.3302)</f>
        <v>69.3302</v>
      </c>
      <c r="AR450" s="118">
        <f>HYPERLINK("https://docs.google.com/spreadsheets/d/18axJRe4rZCL0QL_EIppUhPTmCGqvqveV", 6.15663333333333)</f>
        <v>6.156633333</v>
      </c>
      <c r="AU450" s="118">
        <f>HYPERLINK("https://docs.google.com/spreadsheets/d/1ORaxhubyNVtx_xSeonKay2XkqmAvI-1Q", 62.44675)</f>
        <v>62.44675</v>
      </c>
    </row>
    <row r="451">
      <c r="A451" s="65" t="s">
        <v>28</v>
      </c>
      <c r="B451" s="65" t="s">
        <v>102</v>
      </c>
      <c r="C451" s="65"/>
      <c r="D451" s="64">
        <f t="shared" si="1"/>
        <v>345.0585667</v>
      </c>
      <c r="F451" s="65">
        <v>12.57565</v>
      </c>
      <c r="G451" s="65">
        <v>0.287516666666667</v>
      </c>
      <c r="H451" s="65">
        <v>0.536366666666667</v>
      </c>
      <c r="I451" s="65">
        <v>0.942983333333333</v>
      </c>
      <c r="J451" s="65">
        <v>0.1377</v>
      </c>
      <c r="K451" s="65">
        <v>0.895016666666667</v>
      </c>
      <c r="N451" s="65">
        <v>3.66883333333333</v>
      </c>
      <c r="Q451" s="65">
        <v>1.22026666666667</v>
      </c>
      <c r="X451" s="65">
        <v>30.7020166666667</v>
      </c>
      <c r="Y451" s="65">
        <v>14.5259666666667</v>
      </c>
      <c r="Z451" s="65">
        <v>2.57108333333333</v>
      </c>
      <c r="AA451" s="65">
        <v>0.160733333333333</v>
      </c>
      <c r="AB451" s="65">
        <v>4.46493333333333</v>
      </c>
      <c r="AE451" s="65">
        <v>43.8207</v>
      </c>
      <c r="AF451" s="65">
        <v>11.3465833333333</v>
      </c>
      <c r="AG451" s="65">
        <v>2.1497</v>
      </c>
      <c r="AH451" s="65">
        <v>0.174533333333333</v>
      </c>
      <c r="AI451" s="65">
        <v>11.65685</v>
      </c>
      <c r="AL451" s="65">
        <v>72.13855</v>
      </c>
      <c r="AM451" s="65">
        <v>0.66595</v>
      </c>
      <c r="AN451" s="65">
        <v>3.74551666666667</v>
      </c>
      <c r="AQ451" s="65">
        <v>65.99595</v>
      </c>
      <c r="AR451" s="65">
        <v>3.94261666666667</v>
      </c>
      <c r="AU451" s="65">
        <v>56.73255</v>
      </c>
    </row>
    <row r="452">
      <c r="A452" s="119" t="s">
        <v>28</v>
      </c>
      <c r="B452" s="119" t="s">
        <v>102</v>
      </c>
      <c r="C452" s="119"/>
      <c r="D452" s="120">
        <f t="shared" si="1"/>
        <v>0</v>
      </c>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c r="AA452" s="120"/>
      <c r="AB452" s="120"/>
      <c r="AC452" s="120"/>
      <c r="AD452" s="120"/>
      <c r="AE452" s="120"/>
      <c r="AF452" s="120"/>
      <c r="AG452" s="120"/>
      <c r="AH452" s="120"/>
      <c r="AI452" s="120"/>
      <c r="AJ452" s="120"/>
      <c r="AK452" s="120"/>
      <c r="AL452" s="120"/>
      <c r="AM452" s="120"/>
      <c r="AN452" s="120"/>
      <c r="AO452" s="120"/>
      <c r="AP452" s="120"/>
      <c r="AQ452" s="120"/>
      <c r="AR452" s="120"/>
      <c r="AS452" s="120"/>
      <c r="AT452" s="120"/>
      <c r="AU452" s="120"/>
      <c r="AV452" s="120"/>
      <c r="AW452" s="120"/>
      <c r="AX452" s="120"/>
      <c r="AY452" s="120"/>
      <c r="AZ452" s="120"/>
      <c r="BA452" s="120"/>
      <c r="BB452" s="120"/>
      <c r="BC452" s="120"/>
      <c r="BD452" s="120"/>
      <c r="BE452" s="120"/>
      <c r="BF452" s="120"/>
      <c r="BG452" s="120"/>
      <c r="BH452" s="120"/>
      <c r="BI452" s="120"/>
      <c r="BJ452" s="120"/>
      <c r="BK452" s="120"/>
      <c r="BL452" s="120"/>
      <c r="BM452" s="120"/>
      <c r="BN452" s="120"/>
      <c r="BO452" s="120"/>
      <c r="BP452" s="120"/>
      <c r="BQ452" s="120"/>
      <c r="BR452" s="120"/>
      <c r="BS452" s="120"/>
      <c r="BT452" s="120"/>
      <c r="BU452" s="120"/>
      <c r="BV452" s="120"/>
      <c r="BW452" s="120"/>
      <c r="BX452" s="120"/>
      <c r="BY452" s="120"/>
      <c r="BZ452" s="120"/>
      <c r="CA452" s="120"/>
      <c r="CB452" s="120"/>
      <c r="CC452" s="120"/>
      <c r="CD452" s="120"/>
      <c r="CE452" s="120"/>
      <c r="CF452" s="120"/>
      <c r="CG452" s="120"/>
      <c r="CH452" s="120"/>
      <c r="CI452" s="120"/>
      <c r="CJ452" s="120"/>
      <c r="CK452" s="120"/>
      <c r="CL452" s="120"/>
      <c r="CM452" s="120"/>
      <c r="CN452" s="120"/>
      <c r="CO452" s="120"/>
      <c r="CP452" s="120"/>
      <c r="CQ452" s="120"/>
      <c r="CR452" s="120"/>
      <c r="CS452" s="120"/>
      <c r="CT452" s="120"/>
      <c r="CU452" s="120"/>
      <c r="CV452" s="120"/>
      <c r="CW452" s="120"/>
      <c r="CX452" s="120"/>
      <c r="CY452" s="120"/>
      <c r="CZ452" s="120"/>
      <c r="DA452" s="120"/>
      <c r="DB452" s="120"/>
      <c r="DC452" s="120"/>
      <c r="DD452" s="120"/>
      <c r="DE452" s="120"/>
      <c r="DF452" s="120"/>
      <c r="DG452" s="120"/>
      <c r="DH452" s="120"/>
      <c r="DI452" s="120"/>
      <c r="DJ452" s="120"/>
      <c r="DK452" s="120"/>
      <c r="DL452" s="120"/>
      <c r="DM452" s="120"/>
      <c r="DN452" s="120"/>
      <c r="DO452" s="120"/>
      <c r="DP452" s="120"/>
      <c r="DQ452" s="120"/>
      <c r="DR452" s="120"/>
      <c r="DS452" s="120"/>
      <c r="DT452" s="120"/>
      <c r="DU452" s="120"/>
      <c r="DV452" s="120"/>
      <c r="DW452" s="120"/>
      <c r="DX452" s="120"/>
      <c r="DY452" s="120"/>
      <c r="DZ452" s="120"/>
      <c r="EA452" s="120"/>
      <c r="EB452" s="120"/>
      <c r="EC452" s="120"/>
      <c r="ED452" s="120"/>
      <c r="EE452" s="120"/>
      <c r="EF452" s="120"/>
      <c r="EG452" s="120"/>
      <c r="EH452" s="120"/>
      <c r="EI452" s="120"/>
      <c r="EJ452" s="120"/>
      <c r="EK452" s="120"/>
      <c r="EL452" s="120"/>
      <c r="EM452" s="120"/>
      <c r="EN452" s="120"/>
      <c r="EO452" s="120"/>
      <c r="EP452" s="120"/>
      <c r="EQ452" s="120"/>
      <c r="ER452" s="120"/>
      <c r="ES452" s="120"/>
      <c r="ET452" s="120"/>
      <c r="EU452" s="120"/>
      <c r="EV452" s="120"/>
      <c r="EW452" s="120"/>
      <c r="EX452" s="120"/>
      <c r="EY452" s="120"/>
      <c r="EZ452" s="120"/>
      <c r="FA452" s="120"/>
      <c r="FB452" s="120"/>
      <c r="FC452" s="120"/>
      <c r="FD452" s="120"/>
      <c r="FE452" s="120"/>
      <c r="FF452" s="120"/>
      <c r="FG452" s="120"/>
      <c r="FH452" s="120"/>
      <c r="FI452" s="120"/>
      <c r="FJ452" s="120"/>
      <c r="FK452" s="120"/>
      <c r="FL452" s="120"/>
      <c r="FM452" s="120"/>
      <c r="FN452" s="120"/>
      <c r="FO452" s="120"/>
      <c r="FP452" s="120"/>
      <c r="FQ452" s="120"/>
      <c r="FR452" s="120"/>
      <c r="FS452" s="120"/>
      <c r="FT452" s="120"/>
      <c r="FU452" s="120"/>
      <c r="FV452" s="120"/>
      <c r="FW452" s="120"/>
      <c r="FX452" s="120"/>
      <c r="FY452" s="120"/>
      <c r="FZ452" s="120"/>
      <c r="GA452" s="120"/>
      <c r="GB452" s="120"/>
      <c r="GC452" s="120"/>
      <c r="GD452" s="120"/>
      <c r="GE452" s="120"/>
      <c r="GF452" s="120"/>
      <c r="GG452" s="120"/>
      <c r="GH452" s="120"/>
      <c r="GI452" s="120"/>
      <c r="GJ452" s="120"/>
      <c r="GK452" s="120"/>
      <c r="GL452" s="120"/>
      <c r="GM452" s="120"/>
      <c r="GN452" s="120"/>
      <c r="GO452" s="120"/>
      <c r="GP452" s="120"/>
      <c r="GQ452" s="120"/>
      <c r="GR452" s="120"/>
      <c r="GS452" s="120"/>
      <c r="GT452" s="120"/>
      <c r="GU452" s="120"/>
      <c r="GV452" s="120"/>
      <c r="GW452" s="120"/>
      <c r="GX452" s="120"/>
      <c r="GY452" s="120"/>
      <c r="GZ452" s="120"/>
      <c r="HA452" s="120"/>
      <c r="HB452" s="120"/>
      <c r="HC452" s="120"/>
      <c r="HD452" s="120"/>
      <c r="HE452" s="120"/>
      <c r="HF452" s="120"/>
      <c r="HG452" s="120"/>
      <c r="HH452" s="120"/>
      <c r="HI452" s="120"/>
      <c r="HJ452" s="120"/>
      <c r="HK452" s="120"/>
      <c r="HL452" s="120"/>
      <c r="HM452" s="120"/>
      <c r="HN452" s="120"/>
      <c r="HO452" s="120"/>
      <c r="HP452" s="120"/>
      <c r="HQ452" s="120"/>
      <c r="HR452" s="120"/>
      <c r="HS452" s="120"/>
      <c r="HT452" s="120"/>
      <c r="HU452" s="120"/>
      <c r="HV452" s="120"/>
      <c r="HW452" s="120"/>
      <c r="HX452" s="120"/>
      <c r="HY452" s="120"/>
      <c r="HZ452" s="120"/>
      <c r="IA452" s="120"/>
      <c r="IB452" s="120"/>
      <c r="IC452" s="120"/>
      <c r="ID452" s="120"/>
      <c r="IE452" s="120"/>
      <c r="IF452" s="120"/>
      <c r="IG452" s="120"/>
      <c r="IH452" s="120"/>
      <c r="II452" s="120"/>
      <c r="IJ452" s="120"/>
      <c r="IK452" s="120"/>
      <c r="IL452" s="120"/>
      <c r="IM452" s="120"/>
      <c r="IN452" s="120"/>
      <c r="IO452" s="120"/>
      <c r="IP452" s="120"/>
      <c r="IQ452" s="120"/>
      <c r="IR452" s="120"/>
      <c r="IS452" s="120"/>
      <c r="IT452" s="120"/>
      <c r="IU452" s="120"/>
      <c r="IV452" s="120"/>
      <c r="IW452" s="120"/>
      <c r="IX452" s="120"/>
      <c r="IY452" s="120"/>
      <c r="IZ452" s="120"/>
      <c r="JA452" s="120"/>
      <c r="JB452" s="120"/>
      <c r="JC452" s="120"/>
      <c r="JD452" s="120"/>
      <c r="JE452" s="120"/>
      <c r="JF452" s="120"/>
      <c r="JG452" s="120"/>
      <c r="JH452" s="120"/>
      <c r="JI452" s="120"/>
      <c r="JJ452" s="120"/>
      <c r="JK452" s="120"/>
      <c r="JL452" s="120"/>
      <c r="JM452" s="120"/>
      <c r="JN452" s="120"/>
      <c r="JO452" s="120"/>
      <c r="JP452" s="120"/>
      <c r="JQ452" s="120"/>
      <c r="JR452" s="120"/>
      <c r="JS452" s="120"/>
      <c r="JT452" s="120"/>
      <c r="JU452" s="120"/>
      <c r="JV452" s="120"/>
      <c r="JW452" s="120"/>
      <c r="JX452" s="120"/>
      <c r="JY452" s="120"/>
      <c r="JZ452" s="120"/>
      <c r="KA452" s="120"/>
      <c r="KB452" s="120"/>
      <c r="KC452" s="120"/>
      <c r="KD452" s="120"/>
      <c r="KE452" s="120"/>
      <c r="KF452" s="120"/>
      <c r="KG452" s="120"/>
      <c r="KH452" s="120"/>
      <c r="KI452" s="120"/>
      <c r="KJ452" s="120"/>
      <c r="KK452" s="120"/>
      <c r="KL452" s="120"/>
      <c r="KM452" s="120"/>
      <c r="KN452" s="120"/>
      <c r="KO452" s="120"/>
      <c r="KP452" s="120"/>
      <c r="KQ452" s="120"/>
      <c r="KR452" s="120"/>
      <c r="KS452" s="120"/>
      <c r="KT452" s="120"/>
      <c r="KU452" s="120"/>
      <c r="KV452" s="120"/>
      <c r="KW452" s="120"/>
      <c r="KX452" s="120"/>
      <c r="KY452" s="120"/>
      <c r="KZ452" s="120"/>
      <c r="LA452" s="120"/>
      <c r="LB452" s="120"/>
      <c r="LC452" s="120"/>
      <c r="LD452" s="120"/>
      <c r="LE452" s="120"/>
      <c r="LF452" s="120"/>
      <c r="LG452" s="120"/>
      <c r="LH452" s="120"/>
      <c r="LI452" s="120"/>
      <c r="LJ452" s="120"/>
      <c r="LK452" s="120"/>
      <c r="LL452" s="120"/>
      <c r="LM452" s="120"/>
      <c r="LN452" s="120"/>
      <c r="LO452" s="120"/>
      <c r="LP452" s="120"/>
      <c r="LQ452" s="120"/>
      <c r="LR452" s="120"/>
      <c r="LS452" s="120"/>
      <c r="LT452" s="120"/>
      <c r="LU452" s="120"/>
      <c r="LV452" s="120"/>
      <c r="LW452" s="120"/>
      <c r="LX452" s="120"/>
      <c r="LY452" s="120"/>
      <c r="LZ452" s="120"/>
      <c r="MA452" s="120"/>
      <c r="MB452" s="120"/>
      <c r="MC452" s="120"/>
      <c r="MD452" s="120"/>
      <c r="ME452" s="120"/>
      <c r="MF452" s="120"/>
      <c r="MG452" s="120"/>
      <c r="MH452" s="120"/>
      <c r="MI452" s="120"/>
      <c r="MJ452" s="120"/>
      <c r="MK452" s="120"/>
      <c r="ML452" s="120"/>
      <c r="MM452" s="120"/>
      <c r="MN452" s="120"/>
      <c r="MO452" s="120"/>
      <c r="MP452" s="120"/>
      <c r="MQ452" s="120"/>
      <c r="MR452" s="120"/>
      <c r="MS452" s="120"/>
      <c r="MT452" s="120"/>
      <c r="MU452" s="120"/>
      <c r="MV452" s="120"/>
      <c r="MW452" s="120"/>
      <c r="MX452" s="120"/>
      <c r="MY452" s="120"/>
      <c r="MZ452" s="120"/>
      <c r="NA452" s="120"/>
      <c r="NB452" s="120"/>
      <c r="NC452" s="120"/>
      <c r="ND452" s="120"/>
      <c r="NE452" s="120"/>
      <c r="NF452" s="120"/>
      <c r="NG452" s="120"/>
      <c r="NH452" s="120"/>
      <c r="NI452" s="120"/>
      <c r="NJ452" s="120"/>
      <c r="NK452" s="120"/>
      <c r="NL452" s="120"/>
      <c r="NM452" s="120"/>
      <c r="NN452" s="120"/>
      <c r="NO452" s="120"/>
      <c r="NP452" s="120"/>
      <c r="NQ452" s="120"/>
      <c r="NR452" s="120"/>
      <c r="NS452" s="120"/>
      <c r="NT452" s="120"/>
      <c r="NU452" s="120"/>
      <c r="NV452" s="120"/>
      <c r="NW452" s="120"/>
      <c r="NX452" s="120"/>
      <c r="NY452" s="120"/>
      <c r="NZ452" s="120"/>
      <c r="OA452" s="120"/>
      <c r="OB452" s="120"/>
      <c r="OC452" s="120"/>
      <c r="OD452" s="120"/>
      <c r="OE452" s="120"/>
      <c r="OF452" s="120"/>
      <c r="OG452" s="120"/>
      <c r="OH452" s="120"/>
      <c r="OI452" s="120"/>
      <c r="OJ452" s="120"/>
      <c r="OK452" s="120"/>
      <c r="OL452" s="120"/>
      <c r="OM452" s="120"/>
      <c r="ON452" s="120"/>
      <c r="OO452" s="120"/>
      <c r="OP452" s="120"/>
      <c r="OQ452" s="120"/>
      <c r="OR452" s="120"/>
      <c r="OS452" s="120"/>
      <c r="OT452" s="120"/>
      <c r="OU452" s="120"/>
      <c r="OV452" s="120"/>
      <c r="OW452" s="120"/>
      <c r="OX452" s="120"/>
      <c r="OY452" s="120"/>
      <c r="OZ452" s="120"/>
      <c r="PA452" s="120"/>
      <c r="PB452" s="120"/>
      <c r="PC452" s="120"/>
      <c r="PD452" s="120"/>
      <c r="PE452" s="120"/>
      <c r="PF452" s="120"/>
      <c r="PG452" s="120"/>
      <c r="PH452" s="120"/>
      <c r="PI452" s="120"/>
      <c r="PJ452" s="120"/>
      <c r="PK452" s="120"/>
      <c r="PL452" s="120"/>
      <c r="PM452" s="120"/>
      <c r="PN452" s="120"/>
      <c r="PO452" s="120"/>
      <c r="PP452" s="120"/>
      <c r="PQ452" s="120"/>
      <c r="PR452" s="120"/>
      <c r="PS452" s="120"/>
      <c r="PT452" s="120"/>
      <c r="PU452" s="120"/>
      <c r="PV452" s="120"/>
      <c r="PW452" s="120"/>
      <c r="PX452" s="120"/>
      <c r="PY452" s="120"/>
      <c r="PZ452" s="120"/>
      <c r="QA452" s="120"/>
      <c r="QB452" s="120"/>
      <c r="QC452" s="120"/>
      <c r="QD452" s="120"/>
      <c r="QE452" s="120"/>
      <c r="QF452" s="120"/>
      <c r="QG452" s="120"/>
      <c r="QH452" s="120"/>
      <c r="QI452" s="120"/>
      <c r="QJ452" s="120"/>
      <c r="QK452" s="120"/>
      <c r="QL452" s="120"/>
      <c r="QM452" s="120"/>
      <c r="QN452" s="120"/>
      <c r="QO452" s="120"/>
      <c r="QP452" s="120"/>
      <c r="QQ452" s="120"/>
      <c r="QR452" s="120"/>
      <c r="QS452" s="120"/>
      <c r="QT452" s="120"/>
      <c r="QU452" s="120"/>
      <c r="QV452" s="120"/>
      <c r="QW452" s="120"/>
      <c r="QX452" s="120"/>
      <c r="QY452" s="120"/>
      <c r="QZ452" s="120"/>
      <c r="RA452" s="120"/>
      <c r="RB452" s="120"/>
      <c r="RC452" s="120"/>
      <c r="RD452" s="120"/>
      <c r="RE452" s="120"/>
      <c r="RF452" s="120"/>
      <c r="RG452" s="120"/>
      <c r="RH452" s="120"/>
      <c r="RI452" s="120"/>
      <c r="RJ452" s="120"/>
      <c r="RK452" s="120"/>
      <c r="RL452" s="120"/>
      <c r="RM452" s="120"/>
      <c r="RN452" s="120"/>
      <c r="RO452" s="120"/>
      <c r="RP452" s="120"/>
      <c r="RQ452" s="120"/>
      <c r="RR452" s="120"/>
      <c r="RS452" s="120"/>
      <c r="RT452" s="120"/>
      <c r="RU452" s="120"/>
      <c r="RV452" s="120"/>
      <c r="RW452" s="120"/>
      <c r="RX452" s="120"/>
      <c r="RY452" s="120"/>
      <c r="RZ452" s="120"/>
      <c r="SA452" s="120"/>
      <c r="SB452" s="120"/>
      <c r="SC452" s="120"/>
      <c r="SD452" s="120"/>
      <c r="SE452" s="120"/>
      <c r="SF452" s="120"/>
      <c r="SG452" s="120"/>
      <c r="SH452" s="120"/>
      <c r="SI452" s="120"/>
      <c r="SJ452" s="120"/>
      <c r="SK452" s="120"/>
      <c r="SL452" s="120"/>
      <c r="SM452" s="120"/>
      <c r="SN452" s="120"/>
      <c r="SO452" s="120"/>
      <c r="SP452" s="120"/>
      <c r="SQ452" s="120"/>
      <c r="SR452" s="120"/>
      <c r="SS452" s="120"/>
      <c r="ST452" s="120"/>
      <c r="SU452" s="120"/>
      <c r="SV452" s="120"/>
      <c r="SW452" s="120"/>
      <c r="SX452" s="120"/>
      <c r="SY452" s="120"/>
      <c r="SZ452" s="120"/>
      <c r="TA452" s="120"/>
      <c r="TB452" s="120"/>
      <c r="TC452" s="120"/>
      <c r="TD452" s="120"/>
      <c r="TE452" s="120"/>
      <c r="TF452" s="120"/>
      <c r="TG452" s="120"/>
      <c r="TH452" s="120"/>
      <c r="TI452" s="120"/>
      <c r="TJ452" s="120"/>
      <c r="TK452" s="120"/>
      <c r="TL452" s="120"/>
      <c r="TM452" s="120"/>
      <c r="TN452" s="120"/>
      <c r="TO452" s="120"/>
      <c r="TP452" s="120"/>
      <c r="TQ452" s="120"/>
      <c r="TR452" s="120"/>
      <c r="TS452" s="120"/>
      <c r="TT452" s="120"/>
      <c r="TU452" s="120"/>
      <c r="TV452" s="120"/>
      <c r="TW452" s="120"/>
      <c r="TX452" s="120"/>
      <c r="TY452" s="120"/>
      <c r="TZ452" s="120"/>
      <c r="UA452" s="120"/>
      <c r="UB452" s="120"/>
      <c r="UC452" s="120"/>
      <c r="UD452" s="120"/>
      <c r="UE452" s="120"/>
      <c r="UF452" s="120"/>
      <c r="UG452" s="120"/>
      <c r="UH452" s="120"/>
      <c r="UI452" s="120"/>
      <c r="UJ452" s="120"/>
      <c r="UK452" s="120"/>
      <c r="UL452" s="120"/>
      <c r="UM452" s="120"/>
      <c r="UN452" s="120"/>
      <c r="UO452" s="120"/>
      <c r="UP452" s="120"/>
      <c r="UQ452" s="120"/>
      <c r="UR452" s="120"/>
      <c r="US452" s="120"/>
      <c r="UT452" s="120"/>
      <c r="UU452" s="120"/>
      <c r="UV452" s="120"/>
      <c r="UW452" s="120"/>
      <c r="UX452" s="120"/>
      <c r="UY452" s="120"/>
      <c r="UZ452" s="120"/>
      <c r="VA452" s="120"/>
      <c r="VB452" s="120"/>
      <c r="VC452" s="120"/>
      <c r="VD452" s="120"/>
      <c r="VE452" s="120"/>
      <c r="VF452" s="120"/>
      <c r="VG452" s="120"/>
      <c r="VH452" s="120"/>
      <c r="VI452" s="120"/>
      <c r="VJ452" s="120"/>
      <c r="VK452" s="120"/>
      <c r="VL452" s="120"/>
      <c r="VM452" s="120"/>
      <c r="VN452" s="120"/>
      <c r="VO452" s="120"/>
      <c r="VP452" s="120"/>
      <c r="VQ452" s="120"/>
      <c r="VR452" s="120"/>
      <c r="VS452" s="120"/>
      <c r="VT452" s="120"/>
      <c r="VU452" s="120"/>
      <c r="VV452" s="120"/>
      <c r="VW452" s="120"/>
      <c r="VX452" s="120"/>
      <c r="VY452" s="120"/>
      <c r="VZ452" s="120"/>
      <c r="WA452" s="120"/>
      <c r="WB452" s="120"/>
      <c r="WC452" s="120"/>
      <c r="WD452" s="120"/>
      <c r="WE452" s="120"/>
      <c r="WF452" s="120"/>
      <c r="WG452" s="120"/>
      <c r="WH452" s="120"/>
      <c r="WI452" s="120"/>
      <c r="WJ452" s="120"/>
      <c r="WK452" s="120"/>
      <c r="WL452" s="120"/>
      <c r="WM452" s="120"/>
      <c r="WN452" s="120"/>
      <c r="WO452" s="120"/>
      <c r="WP452" s="120"/>
      <c r="WQ452" s="120"/>
      <c r="WR452" s="120"/>
      <c r="WS452" s="120"/>
      <c r="WT452" s="120"/>
      <c r="WU452" s="120"/>
      <c r="WV452" s="120"/>
      <c r="WW452" s="120"/>
      <c r="WX452" s="120"/>
      <c r="WY452" s="120"/>
      <c r="WZ452" s="120"/>
      <c r="XA452" s="120"/>
      <c r="XB452" s="120"/>
      <c r="XC452" s="120"/>
      <c r="XD452" s="120"/>
      <c r="XE452" s="120"/>
      <c r="XF452" s="120"/>
      <c r="XG452" s="120"/>
      <c r="XH452" s="120"/>
      <c r="XI452" s="120"/>
      <c r="XJ452" s="120"/>
      <c r="XK452" s="120"/>
      <c r="XL452" s="120"/>
      <c r="XM452" s="120"/>
      <c r="XN452" s="120"/>
      <c r="XO452" s="120"/>
      <c r="XP452" s="120"/>
      <c r="XQ452" s="120"/>
      <c r="XR452" s="120"/>
      <c r="XS452" s="120"/>
      <c r="XT452" s="120"/>
      <c r="XU452" s="120"/>
      <c r="XV452" s="120"/>
      <c r="XW452" s="120"/>
      <c r="XX452" s="120"/>
      <c r="XY452" s="120"/>
      <c r="XZ452" s="120"/>
      <c r="YA452" s="120"/>
      <c r="YB452" s="120"/>
      <c r="YC452" s="120"/>
      <c r="YD452" s="120"/>
      <c r="YE452" s="120"/>
      <c r="YF452" s="120"/>
      <c r="YG452" s="120"/>
      <c r="YH452" s="120"/>
      <c r="YI452" s="120"/>
      <c r="YJ452" s="120"/>
      <c r="YK452" s="120"/>
      <c r="YL452" s="120"/>
      <c r="YM452" s="120"/>
      <c r="YN452" s="120"/>
      <c r="YO452" s="120"/>
      <c r="YP452" s="120"/>
      <c r="YQ452" s="120"/>
      <c r="YR452" s="120"/>
      <c r="YS452" s="120"/>
      <c r="YT452" s="120"/>
      <c r="YU452" s="120"/>
      <c r="YV452" s="120"/>
      <c r="YW452" s="120"/>
      <c r="YX452" s="120"/>
      <c r="YY452" s="120"/>
      <c r="YZ452" s="120"/>
      <c r="ZA452" s="120"/>
      <c r="ZB452" s="120"/>
      <c r="ZC452" s="120"/>
      <c r="ZD452" s="120"/>
      <c r="ZE452" s="120"/>
      <c r="ZF452" s="120"/>
      <c r="ZG452" s="120"/>
      <c r="ZH452" s="120"/>
      <c r="ZI452" s="120"/>
      <c r="ZJ452" s="120"/>
      <c r="ZK452" s="120"/>
      <c r="ZL452" s="120"/>
      <c r="ZM452" s="120"/>
      <c r="ZN452" s="120"/>
      <c r="ZO452" s="120"/>
      <c r="ZP452" s="120"/>
      <c r="ZQ452" s="120"/>
      <c r="ZR452" s="120"/>
      <c r="ZS452" s="120"/>
      <c r="ZT452" s="120"/>
      <c r="ZU452" s="120"/>
      <c r="ZV452" s="120"/>
      <c r="ZW452" s="120"/>
      <c r="ZX452" s="120"/>
      <c r="ZY452" s="120"/>
      <c r="ZZ452" s="120"/>
      <c r="AAA452" s="120"/>
      <c r="AAB452" s="120"/>
      <c r="AAC452" s="120"/>
      <c r="AAD452" s="120"/>
      <c r="AAE452" s="120"/>
      <c r="AAF452" s="120"/>
      <c r="AAG452" s="120"/>
      <c r="AAH452" s="120"/>
      <c r="AAI452" s="120"/>
      <c r="AAJ452" s="120"/>
      <c r="AAK452" s="120"/>
      <c r="AAL452" s="120"/>
      <c r="AAM452" s="120"/>
      <c r="AAN452" s="120"/>
      <c r="AAO452" s="120"/>
      <c r="AAP452" s="120"/>
      <c r="AAQ452" s="120"/>
      <c r="AAR452" s="120"/>
      <c r="AAS452" s="120"/>
      <c r="AAT452" s="120"/>
      <c r="AAU452" s="120"/>
      <c r="AAV452" s="120"/>
      <c r="AAW452" s="120"/>
      <c r="AAX452" s="120"/>
      <c r="AAY452" s="120"/>
      <c r="AAZ452" s="120"/>
      <c r="ABA452" s="120"/>
      <c r="ABB452" s="120"/>
      <c r="ABC452" s="120"/>
      <c r="ABD452" s="120"/>
      <c r="ABE452" s="120"/>
      <c r="ABF452" s="120"/>
      <c r="ABG452" s="120"/>
      <c r="ABH452" s="120"/>
      <c r="ABI452" s="120"/>
      <c r="ABJ452" s="120"/>
      <c r="ABK452" s="120"/>
      <c r="ABL452" s="120"/>
      <c r="ABM452" s="120"/>
      <c r="ABN452" s="120"/>
      <c r="ABO452" s="120"/>
      <c r="ABP452" s="120"/>
      <c r="ABQ452" s="120"/>
      <c r="ABR452" s="120"/>
      <c r="ABS452" s="120"/>
      <c r="ABT452" s="120"/>
      <c r="ABU452" s="120"/>
      <c r="ABV452" s="120"/>
      <c r="ABW452" s="120"/>
      <c r="ABX452" s="120"/>
      <c r="ABY452" s="120"/>
      <c r="ABZ452" s="120"/>
      <c r="ACA452" s="120"/>
      <c r="ACB452" s="120"/>
      <c r="ACC452" s="120"/>
      <c r="ACD452" s="120"/>
      <c r="ACE452" s="120"/>
      <c r="ACF452" s="120"/>
      <c r="ACG452" s="120"/>
      <c r="ACH452" s="120"/>
      <c r="ACI452" s="120"/>
      <c r="ACJ452" s="120"/>
      <c r="ACK452" s="120"/>
      <c r="ACL452" s="120"/>
      <c r="ACM452" s="120"/>
      <c r="ACN452" s="120"/>
      <c r="ACO452" s="120"/>
      <c r="ACP452" s="120"/>
      <c r="ACQ452" s="120"/>
      <c r="ACR452" s="120"/>
      <c r="ACS452" s="120"/>
      <c r="ACT452" s="120"/>
      <c r="ACU452" s="120"/>
      <c r="ACV452" s="120"/>
      <c r="ACW452" s="120"/>
      <c r="ACX452" s="120"/>
      <c r="ACY452" s="120"/>
      <c r="ACZ452" s="120"/>
      <c r="ADA452" s="120"/>
      <c r="ADB452" s="120"/>
      <c r="ADC452" s="120"/>
      <c r="ADD452" s="120"/>
      <c r="ADE452" s="120"/>
      <c r="ADF452" s="120"/>
      <c r="ADG452" s="120"/>
      <c r="ADH452" s="120"/>
      <c r="ADI452" s="120"/>
      <c r="ADJ452" s="120"/>
      <c r="ADK452" s="120"/>
      <c r="ADL452" s="120"/>
      <c r="ADM452" s="120"/>
      <c r="ADN452" s="120"/>
      <c r="ADO452" s="120"/>
      <c r="ADP452" s="120"/>
      <c r="ADQ452" s="120"/>
      <c r="ADR452" s="120"/>
      <c r="ADS452" s="120"/>
      <c r="ADT452" s="120"/>
      <c r="ADU452" s="120"/>
      <c r="ADV452" s="120"/>
      <c r="ADW452" s="120"/>
      <c r="ADX452" s="120"/>
      <c r="ADY452" s="120"/>
      <c r="ADZ452" s="120"/>
      <c r="AEA452" s="120"/>
      <c r="AEB452" s="120"/>
      <c r="AEC452" s="120"/>
      <c r="AED452" s="120"/>
      <c r="AEE452" s="120"/>
      <c r="AEF452" s="120"/>
      <c r="AEG452" s="120"/>
      <c r="AEH452" s="120"/>
      <c r="AEI452" s="120"/>
      <c r="AEJ452" s="120"/>
      <c r="AEK452" s="120"/>
      <c r="AEL452" s="120"/>
      <c r="AEM452" s="120"/>
      <c r="AEN452" s="120"/>
      <c r="AEO452" s="120"/>
      <c r="AEP452" s="120"/>
      <c r="AEQ452" s="120"/>
      <c r="AER452" s="120"/>
      <c r="AES452" s="120"/>
      <c r="AET452" s="120"/>
      <c r="AEU452" s="120"/>
      <c r="AEV452" s="120"/>
      <c r="AEW452" s="120"/>
      <c r="AEX452" s="120"/>
      <c r="AEY452" s="120"/>
      <c r="AEZ452" s="120"/>
      <c r="AFA452" s="120"/>
      <c r="AFB452" s="120"/>
      <c r="AFC452" s="120"/>
      <c r="AFD452" s="120"/>
      <c r="AFE452" s="120"/>
      <c r="AFF452" s="120"/>
      <c r="AFG452" s="120"/>
      <c r="AFH452" s="120"/>
      <c r="AFI452" s="120"/>
      <c r="AFJ452" s="120"/>
      <c r="AFK452" s="120"/>
      <c r="AFL452" s="120"/>
      <c r="AFM452" s="120"/>
      <c r="AFN452" s="120"/>
      <c r="AFO452" s="120"/>
      <c r="AFP452" s="120"/>
      <c r="AFQ452" s="120"/>
      <c r="AFR452" s="120"/>
      <c r="AFS452" s="120"/>
      <c r="AFT452" s="120"/>
      <c r="AFU452" s="120"/>
      <c r="AFV452" s="120"/>
      <c r="AFW452" s="120"/>
      <c r="AFX452" s="120"/>
      <c r="AFY452" s="120"/>
      <c r="AFZ452" s="120"/>
      <c r="AGA452" s="120"/>
      <c r="AGB452" s="120"/>
      <c r="AGC452" s="120"/>
      <c r="AGD452" s="120"/>
      <c r="AGE452" s="120"/>
      <c r="AGF452" s="120"/>
      <c r="AGG452" s="120"/>
      <c r="AGH452" s="120"/>
      <c r="AGI452" s="120"/>
      <c r="AGJ452" s="120"/>
      <c r="AGK452" s="120"/>
      <c r="AGL452" s="120"/>
      <c r="AGM452" s="120"/>
      <c r="AGN452" s="120"/>
      <c r="AGO452" s="120"/>
      <c r="AGP452" s="120"/>
      <c r="AGQ452" s="120"/>
      <c r="AGR452" s="120"/>
      <c r="AGS452" s="120"/>
      <c r="AGT452" s="120"/>
      <c r="AGU452" s="120"/>
      <c r="AGV452" s="120"/>
      <c r="AGW452" s="120"/>
      <c r="AGX452" s="120"/>
      <c r="AGY452" s="120"/>
      <c r="AGZ452" s="120"/>
      <c r="AHA452" s="120"/>
      <c r="AHB452" s="120"/>
      <c r="AHC452" s="120"/>
      <c r="AHD452" s="120"/>
      <c r="AHE452" s="120"/>
      <c r="AHF452" s="120"/>
      <c r="AHG452" s="120"/>
      <c r="AHH452" s="120"/>
      <c r="AHI452" s="120"/>
      <c r="AHJ452" s="120"/>
      <c r="AHK452" s="120"/>
      <c r="AHL452" s="120"/>
      <c r="AHM452" s="120"/>
      <c r="AHN452" s="120"/>
      <c r="AHO452" s="120"/>
      <c r="AHP452" s="120"/>
      <c r="AHQ452" s="120"/>
      <c r="AHR452" s="120"/>
      <c r="AHS452" s="120"/>
      <c r="AHT452" s="120"/>
      <c r="AHU452" s="120"/>
      <c r="AHV452" s="120"/>
      <c r="AHW452" s="120"/>
      <c r="AHX452" s="120"/>
      <c r="AHY452" s="120"/>
      <c r="AHZ452" s="120"/>
      <c r="AIA452" s="120"/>
      <c r="AIB452" s="120"/>
      <c r="AIC452" s="120"/>
      <c r="AID452" s="120"/>
      <c r="AIE452" s="120"/>
      <c r="AIF452" s="120"/>
      <c r="AIG452" s="120"/>
      <c r="AIH452" s="120"/>
      <c r="AII452" s="120"/>
      <c r="AIJ452" s="120"/>
      <c r="AIK452" s="120"/>
      <c r="AIL452" s="120"/>
      <c r="AIM452" s="120"/>
      <c r="AIN452" s="120"/>
      <c r="AIO452" s="120"/>
      <c r="AIP452" s="120"/>
      <c r="AIQ452" s="120"/>
      <c r="AIR452" s="120"/>
      <c r="AIS452" s="120"/>
      <c r="AIT452" s="120"/>
      <c r="AIU452" s="120"/>
      <c r="AIV452" s="120"/>
      <c r="AIW452" s="120"/>
      <c r="AIX452" s="120"/>
      <c r="AIY452" s="120"/>
      <c r="AIZ452" s="120"/>
    </row>
    <row r="453">
      <c r="A453" s="112" t="s">
        <v>28</v>
      </c>
      <c r="B453" s="112" t="s">
        <v>29</v>
      </c>
      <c r="C453" s="112"/>
      <c r="D453" s="113">
        <f t="shared" si="1"/>
        <v>673.92035</v>
      </c>
      <c r="E453" s="112">
        <v>114.615366666667</v>
      </c>
      <c r="F453" s="113"/>
      <c r="G453" s="113"/>
      <c r="H453" s="113"/>
      <c r="I453" s="113"/>
      <c r="J453" s="113"/>
      <c r="K453" s="113"/>
      <c r="L453" s="112">
        <v>2.18271666666667</v>
      </c>
      <c r="M453" s="112">
        <v>19.70255</v>
      </c>
      <c r="N453" s="113"/>
      <c r="O453" s="112">
        <v>0.0680666666666667</v>
      </c>
      <c r="P453" s="112">
        <v>5.95006666666667</v>
      </c>
      <c r="Q453" s="113"/>
      <c r="R453" s="113"/>
      <c r="S453" s="113"/>
      <c r="T453" s="113"/>
      <c r="U453" s="113"/>
      <c r="V453" s="112">
        <v>0.207533333333333</v>
      </c>
      <c r="W453" s="112">
        <v>51.5293166666667</v>
      </c>
      <c r="X453" s="113"/>
      <c r="Y453" s="113"/>
      <c r="Z453" s="113"/>
      <c r="AA453" s="113"/>
      <c r="AB453" s="113"/>
      <c r="AC453" s="112">
        <v>0.37065</v>
      </c>
      <c r="AD453" s="112">
        <v>92.0216166666667</v>
      </c>
      <c r="AE453" s="113"/>
      <c r="AF453" s="113"/>
      <c r="AG453" s="113"/>
      <c r="AH453" s="113"/>
      <c r="AI453" s="113"/>
      <c r="AJ453" s="112">
        <v>1.76478333333333</v>
      </c>
      <c r="AK453" s="112">
        <v>155.980716666667</v>
      </c>
      <c r="AL453" s="113"/>
      <c r="AM453" s="113"/>
      <c r="AN453" s="113"/>
      <c r="AO453" s="112">
        <v>8.2625</v>
      </c>
      <c r="AP453" s="112">
        <v>119.054866666667</v>
      </c>
      <c r="AQ453" s="113"/>
      <c r="AR453" s="113"/>
      <c r="AS453" s="112">
        <v>10.6662</v>
      </c>
      <c r="AT453" s="112">
        <v>85.3473</v>
      </c>
      <c r="AU453" s="113"/>
      <c r="AV453" s="112">
        <v>5.64131666666667</v>
      </c>
      <c r="AW453" s="112">
        <v>0.554783333333333</v>
      </c>
      <c r="AX453" s="113"/>
      <c r="AY453" s="113"/>
      <c r="AZ453" s="113"/>
      <c r="BA453" s="113"/>
      <c r="BB453" s="113"/>
      <c r="BC453" s="113"/>
      <c r="BD453" s="113"/>
      <c r="BE453" s="113"/>
      <c r="BF453" s="113"/>
      <c r="BG453" s="113"/>
      <c r="BH453" s="113"/>
      <c r="BI453" s="113"/>
      <c r="BJ453" s="113"/>
      <c r="BK453" s="113"/>
      <c r="BL453" s="113"/>
      <c r="BM453" s="113"/>
      <c r="BN453" s="113"/>
      <c r="BO453" s="113"/>
      <c r="BP453" s="113"/>
      <c r="BQ453" s="113"/>
      <c r="BR453" s="113"/>
      <c r="BS453" s="113"/>
      <c r="BT453" s="113"/>
      <c r="BU453" s="113"/>
      <c r="BV453" s="113"/>
      <c r="BW453" s="113"/>
      <c r="BX453" s="113"/>
      <c r="BY453" s="113"/>
      <c r="BZ453" s="113"/>
      <c r="CA453" s="113"/>
      <c r="CB453" s="113"/>
      <c r="CC453" s="113"/>
      <c r="CD453" s="113"/>
      <c r="CE453" s="113"/>
      <c r="CF453" s="113"/>
      <c r="CG453" s="113"/>
      <c r="CH453" s="113"/>
      <c r="CI453" s="113"/>
      <c r="CJ453" s="113"/>
      <c r="CK453" s="113"/>
      <c r="CL453" s="113"/>
      <c r="CM453" s="113"/>
      <c r="CN453" s="113"/>
      <c r="CO453" s="113"/>
      <c r="CP453" s="113"/>
      <c r="CQ453" s="113"/>
      <c r="CR453" s="113"/>
      <c r="CS453" s="113"/>
      <c r="CT453" s="113"/>
      <c r="CU453" s="113"/>
      <c r="CV453" s="113"/>
      <c r="CW453" s="113"/>
      <c r="CX453" s="113"/>
      <c r="CY453" s="113"/>
      <c r="CZ453" s="113"/>
      <c r="DA453" s="113"/>
      <c r="DB453" s="113"/>
      <c r="DC453" s="113"/>
      <c r="DD453" s="113"/>
      <c r="DE453" s="113"/>
      <c r="DF453" s="113"/>
      <c r="DG453" s="113"/>
      <c r="DH453" s="113"/>
      <c r="DI453" s="113"/>
      <c r="DJ453" s="113"/>
      <c r="DK453" s="113"/>
      <c r="DL453" s="113"/>
      <c r="DM453" s="113"/>
      <c r="DN453" s="113"/>
      <c r="DO453" s="113"/>
      <c r="DP453" s="113"/>
      <c r="DQ453" s="113"/>
      <c r="DR453" s="113"/>
      <c r="DS453" s="113"/>
      <c r="DT453" s="113"/>
      <c r="DU453" s="113"/>
      <c r="DV453" s="113"/>
      <c r="DW453" s="113"/>
      <c r="DX453" s="113"/>
      <c r="DY453" s="113"/>
      <c r="DZ453" s="113"/>
      <c r="EA453" s="113"/>
      <c r="EB453" s="113"/>
      <c r="EC453" s="113"/>
      <c r="ED453" s="113"/>
      <c r="EE453" s="113"/>
      <c r="EF453" s="113"/>
      <c r="EG453" s="113"/>
      <c r="EH453" s="113"/>
      <c r="EI453" s="113"/>
      <c r="EJ453" s="113"/>
      <c r="EK453" s="113"/>
      <c r="EL453" s="113"/>
      <c r="EM453" s="113"/>
      <c r="EN453" s="113"/>
      <c r="EO453" s="113"/>
      <c r="EP453" s="113"/>
      <c r="EQ453" s="113"/>
      <c r="ER453" s="113"/>
      <c r="ES453" s="113"/>
      <c r="ET453" s="113"/>
      <c r="EU453" s="113"/>
      <c r="EV453" s="113"/>
      <c r="EW453" s="113"/>
      <c r="EX453" s="113"/>
      <c r="EY453" s="113"/>
      <c r="EZ453" s="113"/>
      <c r="FA453" s="113"/>
      <c r="FB453" s="113"/>
      <c r="FC453" s="113"/>
      <c r="FD453" s="113"/>
      <c r="FE453" s="113"/>
      <c r="FF453" s="113"/>
      <c r="FG453" s="113"/>
      <c r="FH453" s="113"/>
      <c r="FI453" s="113"/>
      <c r="FJ453" s="113"/>
      <c r="FK453" s="113"/>
      <c r="FL453" s="113"/>
      <c r="FM453" s="113"/>
      <c r="FN453" s="113"/>
      <c r="FO453" s="113"/>
      <c r="FP453" s="113"/>
      <c r="FQ453" s="113"/>
      <c r="FR453" s="113"/>
      <c r="FS453" s="113"/>
      <c r="FT453" s="113"/>
      <c r="FU453" s="113"/>
      <c r="FV453" s="113"/>
      <c r="FW453" s="113"/>
      <c r="FX453" s="113"/>
      <c r="FY453" s="113"/>
      <c r="FZ453" s="113"/>
      <c r="GA453" s="113"/>
      <c r="GB453" s="113"/>
      <c r="GC453" s="113"/>
      <c r="GD453" s="113"/>
      <c r="GE453" s="113"/>
      <c r="GF453" s="113"/>
      <c r="GG453" s="113"/>
      <c r="GH453" s="113"/>
      <c r="GI453" s="113"/>
      <c r="GJ453" s="113"/>
      <c r="GK453" s="113"/>
      <c r="GL453" s="113"/>
      <c r="GM453" s="113"/>
      <c r="GN453" s="113"/>
      <c r="GO453" s="113"/>
      <c r="GP453" s="113"/>
      <c r="GQ453" s="113"/>
      <c r="GR453" s="113"/>
      <c r="GS453" s="113"/>
      <c r="GT453" s="113"/>
      <c r="GU453" s="113"/>
      <c r="GV453" s="113"/>
      <c r="GW453" s="113"/>
      <c r="GX453" s="113"/>
      <c r="GY453" s="113"/>
      <c r="GZ453" s="113"/>
      <c r="HA453" s="113"/>
      <c r="HB453" s="113"/>
      <c r="HC453" s="113"/>
      <c r="HD453" s="113"/>
      <c r="HE453" s="113"/>
      <c r="HF453" s="113"/>
      <c r="HG453" s="113"/>
      <c r="HH453" s="113"/>
      <c r="HI453" s="113"/>
      <c r="HJ453" s="113"/>
      <c r="HK453" s="113"/>
      <c r="HL453" s="113"/>
      <c r="HM453" s="113"/>
      <c r="HN453" s="113"/>
      <c r="HO453" s="113"/>
      <c r="HP453" s="113"/>
      <c r="HQ453" s="113"/>
      <c r="HR453" s="113"/>
      <c r="HS453" s="113"/>
      <c r="HT453" s="113"/>
      <c r="HU453" s="113"/>
      <c r="HV453" s="113"/>
      <c r="HW453" s="113"/>
      <c r="HX453" s="113"/>
      <c r="HY453" s="113"/>
      <c r="HZ453" s="113"/>
      <c r="IA453" s="113"/>
      <c r="IB453" s="113"/>
      <c r="IC453" s="113"/>
      <c r="ID453" s="113"/>
      <c r="IE453" s="113"/>
      <c r="IF453" s="113"/>
      <c r="IG453" s="113"/>
      <c r="IH453" s="113"/>
      <c r="II453" s="113"/>
      <c r="IJ453" s="113"/>
      <c r="IK453" s="113"/>
      <c r="IL453" s="113"/>
      <c r="IM453" s="113"/>
      <c r="IN453" s="113"/>
      <c r="IO453" s="113"/>
      <c r="IP453" s="113"/>
      <c r="IQ453" s="113"/>
      <c r="IR453" s="113"/>
      <c r="IS453" s="113"/>
      <c r="IT453" s="113"/>
      <c r="IU453" s="113"/>
      <c r="IV453" s="113"/>
      <c r="IW453" s="113"/>
      <c r="IX453" s="113"/>
      <c r="IY453" s="113"/>
      <c r="IZ453" s="113"/>
      <c r="JA453" s="113"/>
      <c r="JB453" s="113"/>
      <c r="JC453" s="113"/>
      <c r="JD453" s="113"/>
      <c r="JE453" s="113"/>
      <c r="JF453" s="113"/>
      <c r="JG453" s="113"/>
      <c r="JH453" s="113"/>
      <c r="JI453" s="113"/>
      <c r="JJ453" s="113"/>
      <c r="JK453" s="113"/>
      <c r="JL453" s="113"/>
      <c r="JM453" s="113"/>
      <c r="JN453" s="113"/>
      <c r="JO453" s="113"/>
      <c r="JP453" s="113"/>
      <c r="JQ453" s="113"/>
      <c r="JR453" s="113"/>
      <c r="JS453" s="113"/>
      <c r="JT453" s="113"/>
      <c r="JU453" s="113"/>
      <c r="JV453" s="113"/>
      <c r="JW453" s="113"/>
      <c r="JX453" s="113"/>
      <c r="JY453" s="113"/>
      <c r="JZ453" s="113"/>
      <c r="KA453" s="113"/>
      <c r="KB453" s="113"/>
      <c r="KC453" s="113"/>
      <c r="KD453" s="113"/>
      <c r="KE453" s="113"/>
      <c r="KF453" s="113"/>
      <c r="KG453" s="113"/>
      <c r="KH453" s="113"/>
      <c r="KI453" s="113"/>
      <c r="KJ453" s="113"/>
      <c r="KK453" s="113"/>
      <c r="KL453" s="113"/>
      <c r="KM453" s="113"/>
      <c r="KN453" s="113"/>
      <c r="KO453" s="113"/>
      <c r="KP453" s="113"/>
      <c r="KQ453" s="113"/>
      <c r="KR453" s="113"/>
      <c r="KS453" s="113"/>
      <c r="KT453" s="113"/>
      <c r="KU453" s="113"/>
      <c r="KV453" s="113"/>
      <c r="KW453" s="113"/>
      <c r="KX453" s="113"/>
      <c r="KY453" s="113"/>
      <c r="KZ453" s="113"/>
      <c r="LA453" s="113"/>
      <c r="LB453" s="113"/>
      <c r="LC453" s="113"/>
      <c r="LD453" s="113"/>
      <c r="LE453" s="113"/>
      <c r="LF453" s="113"/>
      <c r="LG453" s="113"/>
      <c r="LH453" s="113"/>
      <c r="LI453" s="113"/>
      <c r="LJ453" s="113"/>
      <c r="LK453" s="113"/>
      <c r="LL453" s="113"/>
      <c r="LM453" s="113"/>
      <c r="LN453" s="113"/>
      <c r="LO453" s="113"/>
      <c r="LP453" s="113"/>
      <c r="LQ453" s="113"/>
      <c r="LR453" s="113"/>
      <c r="LS453" s="113"/>
      <c r="LT453" s="113"/>
      <c r="LU453" s="113"/>
      <c r="LV453" s="113"/>
      <c r="LW453" s="113"/>
      <c r="LX453" s="113"/>
      <c r="LY453" s="113"/>
      <c r="LZ453" s="113"/>
      <c r="MA453" s="113"/>
      <c r="MB453" s="113"/>
      <c r="MC453" s="113"/>
      <c r="MD453" s="113"/>
      <c r="ME453" s="113"/>
      <c r="MF453" s="113"/>
      <c r="MG453" s="113"/>
      <c r="MH453" s="113"/>
      <c r="MI453" s="113"/>
      <c r="MJ453" s="113"/>
      <c r="MK453" s="113"/>
      <c r="ML453" s="113"/>
      <c r="MM453" s="113"/>
      <c r="MN453" s="113"/>
      <c r="MO453" s="113"/>
      <c r="MP453" s="113"/>
      <c r="MQ453" s="113"/>
      <c r="MR453" s="113"/>
      <c r="MS453" s="113"/>
      <c r="MT453" s="113"/>
      <c r="MU453" s="113"/>
      <c r="MV453" s="113"/>
      <c r="MW453" s="113"/>
      <c r="MX453" s="113"/>
      <c r="MY453" s="113"/>
      <c r="MZ453" s="113"/>
      <c r="NA453" s="113"/>
      <c r="NB453" s="113"/>
      <c r="NC453" s="113"/>
      <c r="ND453" s="113"/>
      <c r="NE453" s="113"/>
      <c r="NF453" s="113"/>
      <c r="NG453" s="113"/>
      <c r="NH453" s="113"/>
      <c r="NI453" s="113"/>
      <c r="NJ453" s="113"/>
      <c r="NK453" s="113"/>
      <c r="NL453" s="113"/>
      <c r="NM453" s="113"/>
      <c r="NN453" s="113"/>
      <c r="NO453" s="113"/>
      <c r="NP453" s="113"/>
      <c r="NQ453" s="113"/>
      <c r="NR453" s="113"/>
      <c r="NS453" s="113"/>
      <c r="NT453" s="113"/>
      <c r="NU453" s="113"/>
      <c r="NV453" s="113"/>
      <c r="NW453" s="113"/>
      <c r="NX453" s="113"/>
      <c r="NY453" s="113"/>
      <c r="NZ453" s="113"/>
      <c r="OA453" s="113"/>
      <c r="OB453" s="113"/>
      <c r="OC453" s="113"/>
      <c r="OD453" s="113"/>
      <c r="OE453" s="113"/>
      <c r="OF453" s="113"/>
      <c r="OG453" s="113"/>
      <c r="OH453" s="113"/>
      <c r="OI453" s="113"/>
      <c r="OJ453" s="113"/>
      <c r="OK453" s="113"/>
      <c r="OL453" s="113"/>
      <c r="OM453" s="113"/>
      <c r="ON453" s="113"/>
      <c r="OO453" s="113"/>
      <c r="OP453" s="113"/>
      <c r="OQ453" s="113"/>
      <c r="OR453" s="113"/>
      <c r="OS453" s="113"/>
      <c r="OT453" s="113"/>
      <c r="OU453" s="113"/>
      <c r="OV453" s="113"/>
      <c r="OW453" s="113"/>
      <c r="OX453" s="113"/>
      <c r="OY453" s="113"/>
      <c r="OZ453" s="113"/>
      <c r="PA453" s="113"/>
      <c r="PB453" s="113"/>
      <c r="PC453" s="113"/>
      <c r="PD453" s="113"/>
      <c r="PE453" s="113"/>
      <c r="PF453" s="113"/>
      <c r="PG453" s="113"/>
      <c r="PH453" s="113"/>
      <c r="PI453" s="113"/>
      <c r="PJ453" s="113"/>
      <c r="PK453" s="113"/>
      <c r="PL453" s="113"/>
      <c r="PM453" s="113"/>
      <c r="PN453" s="113"/>
      <c r="PO453" s="113"/>
      <c r="PP453" s="113"/>
      <c r="PQ453" s="113"/>
      <c r="PR453" s="113"/>
      <c r="PS453" s="113"/>
      <c r="PT453" s="113"/>
      <c r="PU453" s="113"/>
      <c r="PV453" s="113"/>
      <c r="PW453" s="113"/>
      <c r="PX453" s="113"/>
      <c r="PY453" s="113"/>
      <c r="PZ453" s="113"/>
      <c r="QA453" s="113"/>
      <c r="QB453" s="113"/>
      <c r="QC453" s="113"/>
      <c r="QD453" s="113"/>
      <c r="QE453" s="113"/>
      <c r="QF453" s="113"/>
      <c r="QG453" s="113"/>
      <c r="QH453" s="113"/>
      <c r="QI453" s="113"/>
      <c r="QJ453" s="113"/>
      <c r="QK453" s="113"/>
      <c r="QL453" s="113"/>
      <c r="QM453" s="113"/>
      <c r="QN453" s="113"/>
      <c r="QO453" s="113"/>
      <c r="QP453" s="113"/>
      <c r="QQ453" s="113"/>
      <c r="QR453" s="113"/>
      <c r="QS453" s="113"/>
      <c r="QT453" s="113"/>
      <c r="QU453" s="113"/>
      <c r="QV453" s="113"/>
      <c r="QW453" s="113"/>
      <c r="QX453" s="113"/>
      <c r="QY453" s="113"/>
      <c r="QZ453" s="113"/>
      <c r="RA453" s="113"/>
      <c r="RB453" s="113"/>
      <c r="RC453" s="113"/>
      <c r="RD453" s="113"/>
      <c r="RE453" s="113"/>
      <c r="RF453" s="113"/>
      <c r="RG453" s="113"/>
      <c r="RH453" s="113"/>
      <c r="RI453" s="113"/>
      <c r="RJ453" s="113"/>
      <c r="RK453" s="113"/>
      <c r="RL453" s="113"/>
      <c r="RM453" s="113"/>
      <c r="RN453" s="113"/>
      <c r="RO453" s="113"/>
      <c r="RP453" s="113"/>
      <c r="RQ453" s="113"/>
      <c r="RR453" s="113"/>
      <c r="RS453" s="113"/>
      <c r="RT453" s="113"/>
      <c r="RU453" s="113"/>
      <c r="RV453" s="113"/>
      <c r="RW453" s="113"/>
      <c r="RX453" s="113"/>
      <c r="RY453" s="113"/>
      <c r="RZ453" s="113"/>
      <c r="SA453" s="113"/>
      <c r="SB453" s="113"/>
      <c r="SC453" s="113"/>
      <c r="SD453" s="113"/>
      <c r="SE453" s="113"/>
      <c r="SF453" s="113"/>
      <c r="SG453" s="113"/>
      <c r="SH453" s="113"/>
      <c r="SI453" s="113"/>
      <c r="SJ453" s="113"/>
      <c r="SK453" s="113"/>
      <c r="SL453" s="113"/>
      <c r="SM453" s="113"/>
      <c r="SN453" s="113"/>
      <c r="SO453" s="113"/>
      <c r="SP453" s="113"/>
      <c r="SQ453" s="113"/>
      <c r="SR453" s="113"/>
      <c r="SS453" s="113"/>
      <c r="ST453" s="113"/>
      <c r="SU453" s="113"/>
      <c r="SV453" s="113"/>
      <c r="SW453" s="113"/>
      <c r="SX453" s="113"/>
      <c r="SY453" s="113"/>
      <c r="SZ453" s="113"/>
      <c r="TA453" s="113"/>
      <c r="TB453" s="113"/>
      <c r="TC453" s="113"/>
      <c r="TD453" s="113"/>
      <c r="TE453" s="113"/>
      <c r="TF453" s="113"/>
      <c r="TG453" s="113"/>
      <c r="TH453" s="113"/>
      <c r="TI453" s="113"/>
      <c r="TJ453" s="113"/>
      <c r="TK453" s="113"/>
      <c r="TL453" s="113"/>
      <c r="TM453" s="113"/>
      <c r="TN453" s="113"/>
      <c r="TO453" s="113"/>
      <c r="TP453" s="113"/>
      <c r="TQ453" s="113"/>
      <c r="TR453" s="113"/>
      <c r="TS453" s="113"/>
      <c r="TT453" s="113"/>
      <c r="TU453" s="113"/>
      <c r="TV453" s="113"/>
      <c r="TW453" s="113"/>
      <c r="TX453" s="113"/>
      <c r="TY453" s="113"/>
      <c r="TZ453" s="113"/>
      <c r="UA453" s="113"/>
      <c r="UB453" s="113"/>
      <c r="UC453" s="113"/>
      <c r="UD453" s="113"/>
      <c r="UE453" s="113"/>
      <c r="UF453" s="113"/>
      <c r="UG453" s="113"/>
      <c r="UH453" s="113"/>
      <c r="UI453" s="113"/>
      <c r="UJ453" s="113"/>
      <c r="UK453" s="113"/>
      <c r="UL453" s="113"/>
      <c r="UM453" s="113"/>
      <c r="UN453" s="113"/>
      <c r="UO453" s="113"/>
      <c r="UP453" s="113"/>
      <c r="UQ453" s="113"/>
      <c r="UR453" s="113"/>
      <c r="US453" s="113"/>
      <c r="UT453" s="113"/>
      <c r="UU453" s="113"/>
      <c r="UV453" s="113"/>
      <c r="UW453" s="113"/>
      <c r="UX453" s="113"/>
      <c r="UY453" s="113"/>
      <c r="UZ453" s="113"/>
      <c r="VA453" s="113"/>
      <c r="VB453" s="113"/>
      <c r="VC453" s="113"/>
      <c r="VD453" s="113"/>
      <c r="VE453" s="113"/>
      <c r="VF453" s="113"/>
      <c r="VG453" s="113"/>
      <c r="VH453" s="113"/>
      <c r="VI453" s="113"/>
      <c r="VJ453" s="113"/>
      <c r="VK453" s="113"/>
      <c r="VL453" s="113"/>
      <c r="VM453" s="113"/>
      <c r="VN453" s="113"/>
      <c r="VO453" s="113"/>
      <c r="VP453" s="113"/>
      <c r="VQ453" s="113"/>
      <c r="VR453" s="113"/>
      <c r="VS453" s="113"/>
      <c r="VT453" s="113"/>
      <c r="VU453" s="113"/>
      <c r="VV453" s="113"/>
      <c r="VW453" s="113"/>
      <c r="VX453" s="113"/>
      <c r="VY453" s="113"/>
      <c r="VZ453" s="113"/>
      <c r="WA453" s="113"/>
      <c r="WB453" s="113"/>
      <c r="WC453" s="113"/>
      <c r="WD453" s="113"/>
      <c r="WE453" s="113"/>
      <c r="WF453" s="113"/>
      <c r="WG453" s="113"/>
      <c r="WH453" s="113"/>
      <c r="WI453" s="113"/>
      <c r="WJ453" s="113"/>
      <c r="WK453" s="113"/>
      <c r="WL453" s="113"/>
      <c r="WM453" s="113"/>
      <c r="WN453" s="113"/>
      <c r="WO453" s="113"/>
      <c r="WP453" s="113"/>
      <c r="WQ453" s="113"/>
      <c r="WR453" s="113"/>
      <c r="WS453" s="113"/>
      <c r="WT453" s="113"/>
      <c r="WU453" s="113"/>
      <c r="WV453" s="113"/>
      <c r="WW453" s="113"/>
      <c r="WX453" s="113"/>
      <c r="WY453" s="113"/>
      <c r="WZ453" s="113"/>
      <c r="XA453" s="113"/>
      <c r="XB453" s="113"/>
      <c r="XC453" s="113"/>
      <c r="XD453" s="113"/>
      <c r="XE453" s="113"/>
      <c r="XF453" s="113"/>
      <c r="XG453" s="113"/>
      <c r="XH453" s="113"/>
      <c r="XI453" s="113"/>
      <c r="XJ453" s="113"/>
      <c r="XK453" s="113"/>
      <c r="XL453" s="113"/>
      <c r="XM453" s="113"/>
      <c r="XN453" s="113"/>
      <c r="XO453" s="113"/>
      <c r="XP453" s="113"/>
      <c r="XQ453" s="113"/>
      <c r="XR453" s="113"/>
      <c r="XS453" s="113"/>
      <c r="XT453" s="113"/>
      <c r="XU453" s="113"/>
      <c r="XV453" s="113"/>
      <c r="XW453" s="113"/>
      <c r="XX453" s="113"/>
      <c r="XY453" s="113"/>
      <c r="XZ453" s="113"/>
      <c r="YA453" s="113"/>
      <c r="YB453" s="113"/>
      <c r="YC453" s="113"/>
      <c r="YD453" s="113"/>
      <c r="YE453" s="113"/>
      <c r="YF453" s="113"/>
      <c r="YG453" s="113"/>
      <c r="YH453" s="113"/>
      <c r="YI453" s="113"/>
      <c r="YJ453" s="113"/>
      <c r="YK453" s="113"/>
      <c r="YL453" s="113"/>
      <c r="YM453" s="113"/>
      <c r="YN453" s="113"/>
      <c r="YO453" s="113"/>
      <c r="YP453" s="113"/>
      <c r="YQ453" s="113"/>
      <c r="YR453" s="113"/>
      <c r="YS453" s="113"/>
      <c r="YT453" s="113"/>
      <c r="YU453" s="113"/>
      <c r="YV453" s="113"/>
      <c r="YW453" s="113"/>
      <c r="YX453" s="113"/>
      <c r="YY453" s="113"/>
      <c r="YZ453" s="113"/>
      <c r="ZA453" s="113"/>
      <c r="ZB453" s="113"/>
      <c r="ZC453" s="113"/>
      <c r="ZD453" s="113"/>
      <c r="ZE453" s="113"/>
      <c r="ZF453" s="113"/>
      <c r="ZG453" s="113"/>
      <c r="ZH453" s="113"/>
      <c r="ZI453" s="113"/>
      <c r="ZJ453" s="113"/>
      <c r="ZK453" s="113"/>
      <c r="ZL453" s="113"/>
      <c r="ZM453" s="113"/>
      <c r="ZN453" s="113"/>
      <c r="ZO453" s="113"/>
      <c r="ZP453" s="113"/>
      <c r="ZQ453" s="113"/>
      <c r="ZR453" s="113"/>
      <c r="ZS453" s="113"/>
      <c r="ZT453" s="113"/>
      <c r="ZU453" s="113"/>
      <c r="ZV453" s="113"/>
      <c r="ZW453" s="113"/>
      <c r="ZX453" s="113"/>
      <c r="ZY453" s="113"/>
      <c r="ZZ453" s="113"/>
      <c r="AAA453" s="113"/>
      <c r="AAB453" s="113"/>
      <c r="AAC453" s="113"/>
      <c r="AAD453" s="113"/>
      <c r="AAE453" s="113"/>
      <c r="AAF453" s="113"/>
      <c r="AAG453" s="113"/>
      <c r="AAH453" s="113"/>
      <c r="AAI453" s="113"/>
      <c r="AAJ453" s="113"/>
      <c r="AAK453" s="113"/>
      <c r="AAL453" s="113"/>
      <c r="AAM453" s="113"/>
      <c r="AAN453" s="113"/>
      <c r="AAO453" s="113"/>
      <c r="AAP453" s="113"/>
      <c r="AAQ453" s="113"/>
      <c r="AAR453" s="113"/>
      <c r="AAS453" s="113"/>
      <c r="AAT453" s="113"/>
      <c r="AAU453" s="113"/>
      <c r="AAV453" s="113"/>
      <c r="AAW453" s="113"/>
      <c r="AAX453" s="113"/>
      <c r="AAY453" s="113"/>
      <c r="AAZ453" s="113"/>
      <c r="ABA453" s="113"/>
      <c r="ABB453" s="113"/>
      <c r="ABC453" s="113"/>
      <c r="ABD453" s="113"/>
      <c r="ABE453" s="113"/>
      <c r="ABF453" s="113"/>
      <c r="ABG453" s="113"/>
      <c r="ABH453" s="113"/>
      <c r="ABI453" s="113"/>
      <c r="ABJ453" s="113"/>
      <c r="ABK453" s="113"/>
      <c r="ABL453" s="113"/>
      <c r="ABM453" s="113"/>
      <c r="ABN453" s="113"/>
      <c r="ABO453" s="113"/>
      <c r="ABP453" s="113"/>
      <c r="ABQ453" s="113"/>
      <c r="ABR453" s="113"/>
      <c r="ABS453" s="113"/>
      <c r="ABT453" s="113"/>
      <c r="ABU453" s="113"/>
      <c r="ABV453" s="113"/>
      <c r="ABW453" s="113"/>
      <c r="ABX453" s="113"/>
      <c r="ABY453" s="113"/>
      <c r="ABZ453" s="113"/>
      <c r="ACA453" s="113"/>
      <c r="ACB453" s="113"/>
      <c r="ACC453" s="113"/>
      <c r="ACD453" s="113"/>
      <c r="ACE453" s="113"/>
      <c r="ACF453" s="113"/>
      <c r="ACG453" s="113"/>
      <c r="ACH453" s="113"/>
      <c r="ACI453" s="113"/>
      <c r="ACJ453" s="113"/>
      <c r="ACK453" s="113"/>
      <c r="ACL453" s="113"/>
      <c r="ACM453" s="113"/>
      <c r="ACN453" s="113"/>
      <c r="ACO453" s="113"/>
      <c r="ACP453" s="113"/>
      <c r="ACQ453" s="113"/>
      <c r="ACR453" s="113"/>
      <c r="ACS453" s="113"/>
      <c r="ACT453" s="113"/>
      <c r="ACU453" s="113"/>
      <c r="ACV453" s="113"/>
      <c r="ACW453" s="113"/>
      <c r="ACX453" s="113"/>
      <c r="ACY453" s="113"/>
      <c r="ACZ453" s="113"/>
      <c r="ADA453" s="113"/>
      <c r="ADB453" s="113"/>
      <c r="ADC453" s="113"/>
      <c r="ADD453" s="113"/>
      <c r="ADE453" s="113"/>
      <c r="ADF453" s="113"/>
      <c r="ADG453" s="113"/>
      <c r="ADH453" s="113"/>
      <c r="ADI453" s="113"/>
      <c r="ADJ453" s="113"/>
      <c r="ADK453" s="113"/>
      <c r="ADL453" s="113"/>
      <c r="ADM453" s="113"/>
      <c r="ADN453" s="113"/>
      <c r="ADO453" s="113"/>
      <c r="ADP453" s="113"/>
      <c r="ADQ453" s="113"/>
      <c r="ADR453" s="113"/>
      <c r="ADS453" s="113"/>
      <c r="ADT453" s="113"/>
      <c r="ADU453" s="113"/>
      <c r="ADV453" s="113"/>
      <c r="ADW453" s="113"/>
      <c r="ADX453" s="113"/>
      <c r="ADY453" s="113"/>
      <c r="ADZ453" s="113"/>
      <c r="AEA453" s="113"/>
      <c r="AEB453" s="113"/>
      <c r="AEC453" s="113"/>
      <c r="AED453" s="113"/>
      <c r="AEE453" s="113"/>
      <c r="AEF453" s="113"/>
      <c r="AEG453" s="113"/>
      <c r="AEH453" s="113"/>
      <c r="AEI453" s="113"/>
      <c r="AEJ453" s="113"/>
      <c r="AEK453" s="113"/>
      <c r="AEL453" s="113"/>
      <c r="AEM453" s="113"/>
      <c r="AEN453" s="113"/>
      <c r="AEO453" s="113"/>
      <c r="AEP453" s="113"/>
      <c r="AEQ453" s="113"/>
      <c r="AER453" s="113"/>
      <c r="AES453" s="113"/>
      <c r="AET453" s="113"/>
      <c r="AEU453" s="113"/>
      <c r="AEV453" s="113"/>
      <c r="AEW453" s="113"/>
      <c r="AEX453" s="113"/>
      <c r="AEY453" s="113"/>
      <c r="AEZ453" s="113"/>
      <c r="AFA453" s="113"/>
      <c r="AFB453" s="113"/>
      <c r="AFC453" s="113"/>
      <c r="AFD453" s="113"/>
      <c r="AFE453" s="113"/>
      <c r="AFF453" s="113"/>
      <c r="AFG453" s="113"/>
      <c r="AFH453" s="113"/>
      <c r="AFI453" s="113"/>
      <c r="AFJ453" s="113"/>
      <c r="AFK453" s="113"/>
      <c r="AFL453" s="113"/>
      <c r="AFM453" s="113"/>
      <c r="AFN453" s="113"/>
      <c r="AFO453" s="113"/>
      <c r="AFP453" s="113"/>
      <c r="AFQ453" s="113"/>
      <c r="AFR453" s="113"/>
      <c r="AFS453" s="113"/>
      <c r="AFT453" s="113"/>
      <c r="AFU453" s="113"/>
      <c r="AFV453" s="113"/>
      <c r="AFW453" s="113"/>
      <c r="AFX453" s="113"/>
      <c r="AFY453" s="113"/>
      <c r="AFZ453" s="113"/>
      <c r="AGA453" s="113"/>
      <c r="AGB453" s="113"/>
      <c r="AGC453" s="113"/>
      <c r="AGD453" s="113"/>
      <c r="AGE453" s="113"/>
      <c r="AGF453" s="113"/>
      <c r="AGG453" s="113"/>
      <c r="AGH453" s="113"/>
      <c r="AGI453" s="113"/>
      <c r="AGJ453" s="113"/>
      <c r="AGK453" s="113"/>
      <c r="AGL453" s="113"/>
      <c r="AGM453" s="113"/>
      <c r="AGN453" s="113"/>
      <c r="AGO453" s="113"/>
      <c r="AGP453" s="113"/>
      <c r="AGQ453" s="113"/>
      <c r="AGR453" s="113"/>
      <c r="AGS453" s="113"/>
      <c r="AGT453" s="113"/>
      <c r="AGU453" s="113"/>
      <c r="AGV453" s="113"/>
      <c r="AGW453" s="113"/>
      <c r="AGX453" s="113"/>
      <c r="AGY453" s="113"/>
      <c r="AGZ453" s="113"/>
      <c r="AHA453" s="113"/>
      <c r="AHB453" s="113"/>
      <c r="AHC453" s="113"/>
      <c r="AHD453" s="113"/>
      <c r="AHE453" s="113"/>
      <c r="AHF453" s="113"/>
      <c r="AHG453" s="113"/>
      <c r="AHH453" s="113"/>
      <c r="AHI453" s="113"/>
      <c r="AHJ453" s="113"/>
      <c r="AHK453" s="113"/>
      <c r="AHL453" s="113"/>
      <c r="AHM453" s="113"/>
      <c r="AHN453" s="113"/>
      <c r="AHO453" s="113"/>
      <c r="AHP453" s="113"/>
      <c r="AHQ453" s="113"/>
      <c r="AHR453" s="113"/>
      <c r="AHS453" s="113"/>
      <c r="AHT453" s="113"/>
      <c r="AHU453" s="113"/>
      <c r="AHV453" s="113"/>
      <c r="AHW453" s="113"/>
      <c r="AHX453" s="113"/>
      <c r="AHY453" s="113"/>
      <c r="AHZ453" s="113"/>
      <c r="AIA453" s="113"/>
      <c r="AIB453" s="113"/>
      <c r="AIC453" s="113"/>
      <c r="AID453" s="113"/>
      <c r="AIE453" s="113"/>
      <c r="AIF453" s="113"/>
      <c r="AIG453" s="113"/>
      <c r="AIH453" s="113"/>
      <c r="AII453" s="113"/>
      <c r="AIJ453" s="113"/>
      <c r="AIK453" s="113"/>
      <c r="AIL453" s="113"/>
      <c r="AIM453" s="113"/>
      <c r="AIN453" s="113"/>
      <c r="AIO453" s="113"/>
      <c r="AIP453" s="113"/>
      <c r="AIQ453" s="113"/>
      <c r="AIR453" s="113"/>
      <c r="AIS453" s="113"/>
      <c r="AIT453" s="113"/>
      <c r="AIU453" s="113"/>
      <c r="AIV453" s="113"/>
      <c r="AIW453" s="113"/>
      <c r="AIX453" s="113"/>
      <c r="AIY453" s="113"/>
      <c r="AIZ453" s="113"/>
    </row>
    <row r="454">
      <c r="A454" s="65" t="s">
        <v>28</v>
      </c>
      <c r="B454" s="65" t="s">
        <v>29</v>
      </c>
      <c r="C454" s="65"/>
      <c r="D454" s="64">
        <f t="shared" si="1"/>
        <v>564.4220833</v>
      </c>
      <c r="F454" s="65">
        <v>74.2750833333334</v>
      </c>
      <c r="G454" s="65">
        <v>19.0142333333333</v>
      </c>
      <c r="H454" s="65">
        <v>4.22481666666667</v>
      </c>
      <c r="I454" s="65">
        <v>2.20948333333333</v>
      </c>
      <c r="K454" s="65">
        <v>6.93111666666667</v>
      </c>
      <c r="N454" s="65">
        <v>17.50425</v>
      </c>
      <c r="Q454" s="65">
        <v>4.79531666666667</v>
      </c>
      <c r="R454" s="65">
        <v>0.557233333333333</v>
      </c>
      <c r="X454" s="65">
        <v>32.1583666666667</v>
      </c>
      <c r="Y454" s="65">
        <v>6.95393333333333</v>
      </c>
      <c r="Z454" s="65">
        <v>0.813366666666667</v>
      </c>
      <c r="AA454" s="65">
        <v>4.10385</v>
      </c>
      <c r="AB454" s="65">
        <v>5.69493333333333</v>
      </c>
      <c r="AE454" s="65">
        <v>53.9410166666666</v>
      </c>
      <c r="AF454" s="65">
        <v>12.9481666666667</v>
      </c>
      <c r="AG454" s="65">
        <v>1.60998333333333</v>
      </c>
      <c r="AH454" s="65">
        <v>3.99801666666667</v>
      </c>
      <c r="AI454" s="65">
        <v>19.216</v>
      </c>
      <c r="AL454" s="65">
        <v>106.519583333333</v>
      </c>
      <c r="AM454" s="65">
        <v>3.19558333333333</v>
      </c>
      <c r="AN454" s="65">
        <v>14.5688</v>
      </c>
      <c r="AQ454" s="65">
        <v>71.9209333333334</v>
      </c>
      <c r="AR454" s="65">
        <v>14.5306</v>
      </c>
      <c r="AU454" s="65">
        <v>82.7374166666666</v>
      </c>
    </row>
    <row r="455">
      <c r="A455" s="65" t="s">
        <v>28</v>
      </c>
      <c r="B455" s="65" t="s">
        <v>29</v>
      </c>
      <c r="C455" s="65"/>
      <c r="D455" s="64">
        <f t="shared" si="1"/>
        <v>0</v>
      </c>
    </row>
    <row r="456">
      <c r="A456" s="65" t="s">
        <v>28</v>
      </c>
      <c r="B456" s="65" t="s">
        <v>29</v>
      </c>
      <c r="C456" s="65"/>
      <c r="D456" s="64">
        <f t="shared" si="1"/>
        <v>562.4463167</v>
      </c>
      <c r="F456" s="118">
        <f>HYPERLINK("https://docs.google.com/spreadsheets/d/1OZ380BMn7QEtnVI1cK7b9PS1EDp39G7W", 73.9324166666667)</f>
        <v>73.93241667</v>
      </c>
      <c r="G456" s="118">
        <f>HYPERLINK("https://docs.google.com/spreadsheets/d/1S6za4AtCMDQmdF-DFFCIowzZ0BWFlCwF", 19.0142166666667)</f>
        <v>19.01421667</v>
      </c>
      <c r="H456" s="118">
        <f>HYPERLINK("https://docs.google.com/spreadsheets/d/1FFX1AKVzoZ-F5JPHfN1nsqaMdWwpEe2n", 4.22481666666667)</f>
        <v>4.224816667</v>
      </c>
      <c r="I456" s="118">
        <f>HYPERLINK("https://docs.google.com/spreadsheets/d/115wGyPq7kUto8l30chXj0RyOPV032lwY", 2.20948333333333)</f>
        <v>2.209483333</v>
      </c>
      <c r="K456" s="118">
        <f>HYPERLINK("https://docs.google.com/spreadsheets/d/1TQ8FC6lLuRpAIT1wTRclHx8s-A6VU0ty", 6.69623333333333)</f>
        <v>6.696233333</v>
      </c>
      <c r="N456" s="118">
        <f>HYPERLINK("https://docs.google.com/spreadsheets/d/1zcHlhOEtJZql15MVXnmTtGH061X1rFRy", 17.5042333333333)</f>
        <v>17.50423333</v>
      </c>
      <c r="Q456" s="118">
        <f>HYPERLINK("https://docs.google.com/spreadsheets/d/1yVtYEZxJXrB4QuhdkY0zyCbESJOI_Cfk", 4.72978333333333)</f>
        <v>4.729783333</v>
      </c>
      <c r="R456" s="118">
        <f>HYPERLINK("https://docs.google.com/spreadsheets/d/1zUyVMVLf5C32E8OyLsbPjY2AgoKrlImW", 0.557233333333333)</f>
        <v>0.5572333333</v>
      </c>
      <c r="X456" s="118">
        <f>HYPERLINK("https://docs.google.com/spreadsheets/d/12TRa9RtsRL6S-GIDVtqCdTKxqNg9BmMC", 32.0699166666667)</f>
        <v>32.06991667</v>
      </c>
      <c r="Y456" s="118">
        <f>HYPERLINK("https://docs.google.com/spreadsheets/d/1xfMnN8_Rak6twZWsxuzI0cUhK1hWcTI8", 6.95393333333333)</f>
        <v>6.953933333</v>
      </c>
      <c r="Z456" s="118">
        <f>HYPERLINK("https://docs.google.com/spreadsheets/d/1C597OWM20QIas6xR7zew-KMfioAyWMY8", 0.70865)</f>
        <v>0.70865</v>
      </c>
      <c r="AA456" s="118">
        <f>HYPERLINK("https://docs.google.com/spreadsheets/d/1CnVInK0ghqjaBqjkOihzqHIOVfpsKMnI", 4.10385)</f>
        <v>4.10385</v>
      </c>
      <c r="AB456" s="118">
        <f>HYPERLINK("https://docs.google.com/spreadsheets/d/15xMKC5cAB_Ma0JfsjeSJYd9REDlUJl2q", 5.69493333333333)</f>
        <v>5.694933333</v>
      </c>
      <c r="AE456" s="118">
        <f>HYPERLINK("https://docs.google.com/spreadsheets/d/1bzkkn2jOBSeKvjoudz4zNDfcwth-w0gE", 53.9410166666666)</f>
        <v>53.94101667</v>
      </c>
      <c r="AF456" s="118">
        <f>HYPERLINK("https://docs.google.com/spreadsheets/d/1hvbBDL4Wvtyrkz_mbeGHCilQS6YckUIT", 12.94815)</f>
        <v>12.94815</v>
      </c>
      <c r="AG456" s="118">
        <f>HYPERLINK("https://docs.google.com/spreadsheets/d/1E_Dzg7_HFBEc7Nzr3L3GWQuOe7dPC-A1", 1.60993333333333)</f>
        <v>1.609933333</v>
      </c>
      <c r="AH456" s="118">
        <f>HYPERLINK("https://docs.google.com/spreadsheets/d/1tMy1NKqe5UPHWNH9zNmGpo6rSm85bSYx", 3.99803333333333)</f>
        <v>3.998033333</v>
      </c>
      <c r="AI456" s="118">
        <f>HYPERLINK("https://docs.google.com/spreadsheets/d/1hoQqolfqLmObJ2yEMgNZTesalzbZFbgk", 18.8603833333333)</f>
        <v>18.86038333</v>
      </c>
      <c r="AL456" s="118">
        <f>HYPERLINK("https://docs.google.com/spreadsheets/d/1awRfMJYucP4Z0l6WopciSX_IzlCpIl5q", 106.421833333333)</f>
        <v>106.4218333</v>
      </c>
      <c r="AM456" s="118">
        <f>HYPERLINK("https://docs.google.com/spreadsheets/d/1AMfB6HHvkvpb9MWso96eqynV5rPwzCn5", 3.19558333333333)</f>
        <v>3.195583333</v>
      </c>
      <c r="AN456" s="118">
        <f>HYPERLINK("https://docs.google.com/spreadsheets/d/18LSjUh1wTUNDe0giraCyA6Mo1d7h1XYw", 14.5687666666667)</f>
        <v>14.56876667</v>
      </c>
      <c r="AQ456" s="118">
        <f>HYPERLINK("https://docs.google.com/spreadsheets/d/1u8o5Sbc9XXLZePArCczsrlkTjYjJAqJM", 71.9208833333334)</f>
        <v>71.92088333</v>
      </c>
      <c r="AR456" s="118">
        <f>HYPERLINK("https://docs.google.com/spreadsheets/d/1DWXLFxb0CuF6WpxckQwvTVZOid1dwn6r", 13.9599833333333)</f>
        <v>13.95998333</v>
      </c>
      <c r="AU456" s="118">
        <f>HYPERLINK("https://docs.google.com/spreadsheets/d/1WDsANApCdMfXWmCQg2IZNMdTVBAR8Uja", 82.62205)</f>
        <v>82.62205</v>
      </c>
    </row>
    <row r="457">
      <c r="A457" s="65" t="s">
        <v>28</v>
      </c>
      <c r="B457" s="65" t="s">
        <v>29</v>
      </c>
      <c r="C457" s="65"/>
      <c r="D457" s="64">
        <f t="shared" si="1"/>
        <v>525.1076333</v>
      </c>
      <c r="F457" s="65">
        <v>72.1770833333333</v>
      </c>
      <c r="G457" s="65">
        <v>18.3969333333333</v>
      </c>
      <c r="H457" s="65">
        <v>4.22481666666667</v>
      </c>
      <c r="I457" s="65">
        <v>2.20948333333333</v>
      </c>
      <c r="K457" s="65">
        <v>6.16978333333333</v>
      </c>
      <c r="N457" s="65">
        <v>16.9391166666667</v>
      </c>
      <c r="Q457" s="65">
        <v>4.72978333333333</v>
      </c>
      <c r="R457" s="65">
        <v>0.557233333333333</v>
      </c>
      <c r="X457" s="65">
        <v>29.7368166666667</v>
      </c>
      <c r="Y457" s="65">
        <v>6.95393333333333</v>
      </c>
      <c r="Z457" s="65">
        <v>0.70865</v>
      </c>
      <c r="AA457" s="65">
        <v>3.74031666666667</v>
      </c>
      <c r="AB457" s="65">
        <v>2.35535</v>
      </c>
      <c r="AE457" s="65">
        <v>50.4205833333333</v>
      </c>
      <c r="AF457" s="65">
        <v>12.0127166666667</v>
      </c>
      <c r="AG457" s="65">
        <v>1.36271666666667</v>
      </c>
      <c r="AH457" s="65">
        <v>3.92293333333333</v>
      </c>
      <c r="AI457" s="65">
        <v>16.4031</v>
      </c>
      <c r="AL457" s="65">
        <v>103.454383333333</v>
      </c>
      <c r="AM457" s="65">
        <v>2.99988333333333</v>
      </c>
      <c r="AN457" s="65">
        <v>11.37725</v>
      </c>
      <c r="AQ457" s="65">
        <v>66.4650166666667</v>
      </c>
      <c r="AR457" s="65">
        <v>12.5041333333333</v>
      </c>
      <c r="AU457" s="65">
        <v>75.2856166666666</v>
      </c>
    </row>
    <row r="458">
      <c r="A458" s="119" t="s">
        <v>28</v>
      </c>
      <c r="B458" s="119" t="s">
        <v>29</v>
      </c>
      <c r="C458" s="119"/>
      <c r="D458" s="120">
        <f t="shared" si="1"/>
        <v>0</v>
      </c>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c r="AA458" s="120"/>
      <c r="AB458" s="120"/>
      <c r="AC458" s="120"/>
      <c r="AD458" s="120"/>
      <c r="AE458" s="120"/>
      <c r="AF458" s="120"/>
      <c r="AG458" s="120"/>
      <c r="AH458" s="120"/>
      <c r="AI458" s="120"/>
      <c r="AJ458" s="120"/>
      <c r="AK458" s="120"/>
      <c r="AL458" s="120"/>
      <c r="AM458" s="120"/>
      <c r="AN458" s="120"/>
      <c r="AO458" s="120"/>
      <c r="AP458" s="120"/>
      <c r="AQ458" s="120"/>
      <c r="AR458" s="120"/>
      <c r="AS458" s="120"/>
      <c r="AT458" s="120"/>
      <c r="AU458" s="120"/>
      <c r="AV458" s="120"/>
      <c r="AW458" s="120"/>
      <c r="AX458" s="120"/>
      <c r="AY458" s="120"/>
      <c r="AZ458" s="120"/>
      <c r="BA458" s="120"/>
      <c r="BB458" s="120"/>
      <c r="BC458" s="120"/>
      <c r="BD458" s="120"/>
      <c r="BE458" s="120"/>
      <c r="BF458" s="120"/>
      <c r="BG458" s="120"/>
      <c r="BH458" s="120"/>
      <c r="BI458" s="120"/>
      <c r="BJ458" s="120"/>
      <c r="BK458" s="120"/>
      <c r="BL458" s="120"/>
      <c r="BM458" s="120"/>
      <c r="BN458" s="120"/>
      <c r="BO458" s="120"/>
      <c r="BP458" s="120"/>
      <c r="BQ458" s="120"/>
      <c r="BR458" s="120"/>
      <c r="BS458" s="120"/>
      <c r="BT458" s="120"/>
      <c r="BU458" s="120"/>
      <c r="BV458" s="120"/>
      <c r="BW458" s="120"/>
      <c r="BX458" s="120"/>
      <c r="BY458" s="120"/>
      <c r="BZ458" s="120"/>
      <c r="CA458" s="120"/>
      <c r="CB458" s="120"/>
      <c r="CC458" s="120"/>
      <c r="CD458" s="120"/>
      <c r="CE458" s="120"/>
      <c r="CF458" s="120"/>
      <c r="CG458" s="120"/>
      <c r="CH458" s="120"/>
      <c r="CI458" s="120"/>
      <c r="CJ458" s="120"/>
      <c r="CK458" s="120"/>
      <c r="CL458" s="120"/>
      <c r="CM458" s="120"/>
      <c r="CN458" s="120"/>
      <c r="CO458" s="120"/>
      <c r="CP458" s="120"/>
      <c r="CQ458" s="120"/>
      <c r="CR458" s="120"/>
      <c r="CS458" s="120"/>
      <c r="CT458" s="120"/>
      <c r="CU458" s="120"/>
      <c r="CV458" s="120"/>
      <c r="CW458" s="120"/>
      <c r="CX458" s="120"/>
      <c r="CY458" s="120"/>
      <c r="CZ458" s="120"/>
      <c r="DA458" s="120"/>
      <c r="DB458" s="120"/>
      <c r="DC458" s="120"/>
      <c r="DD458" s="120"/>
      <c r="DE458" s="120"/>
      <c r="DF458" s="120"/>
      <c r="DG458" s="120"/>
      <c r="DH458" s="120"/>
      <c r="DI458" s="120"/>
      <c r="DJ458" s="120"/>
      <c r="DK458" s="120"/>
      <c r="DL458" s="120"/>
      <c r="DM458" s="120"/>
      <c r="DN458" s="120"/>
      <c r="DO458" s="120"/>
      <c r="DP458" s="120"/>
      <c r="DQ458" s="120"/>
      <c r="DR458" s="120"/>
      <c r="DS458" s="120"/>
      <c r="DT458" s="120"/>
      <c r="DU458" s="120"/>
      <c r="DV458" s="120"/>
      <c r="DW458" s="120"/>
      <c r="DX458" s="120"/>
      <c r="DY458" s="120"/>
      <c r="DZ458" s="120"/>
      <c r="EA458" s="120"/>
      <c r="EB458" s="120"/>
      <c r="EC458" s="120"/>
      <c r="ED458" s="120"/>
      <c r="EE458" s="120"/>
      <c r="EF458" s="120"/>
      <c r="EG458" s="120"/>
      <c r="EH458" s="120"/>
      <c r="EI458" s="120"/>
      <c r="EJ458" s="120"/>
      <c r="EK458" s="120"/>
      <c r="EL458" s="120"/>
      <c r="EM458" s="120"/>
      <c r="EN458" s="120"/>
      <c r="EO458" s="120"/>
      <c r="EP458" s="120"/>
      <c r="EQ458" s="120"/>
      <c r="ER458" s="120"/>
      <c r="ES458" s="120"/>
      <c r="ET458" s="120"/>
      <c r="EU458" s="120"/>
      <c r="EV458" s="120"/>
      <c r="EW458" s="120"/>
      <c r="EX458" s="120"/>
      <c r="EY458" s="120"/>
      <c r="EZ458" s="120"/>
      <c r="FA458" s="120"/>
      <c r="FB458" s="120"/>
      <c r="FC458" s="120"/>
      <c r="FD458" s="120"/>
      <c r="FE458" s="120"/>
      <c r="FF458" s="120"/>
      <c r="FG458" s="120"/>
      <c r="FH458" s="120"/>
      <c r="FI458" s="120"/>
      <c r="FJ458" s="120"/>
      <c r="FK458" s="120"/>
      <c r="FL458" s="120"/>
      <c r="FM458" s="120"/>
      <c r="FN458" s="120"/>
      <c r="FO458" s="120"/>
      <c r="FP458" s="120"/>
      <c r="FQ458" s="120"/>
      <c r="FR458" s="120"/>
      <c r="FS458" s="120"/>
      <c r="FT458" s="120"/>
      <c r="FU458" s="120"/>
      <c r="FV458" s="120"/>
      <c r="FW458" s="120"/>
      <c r="FX458" s="120"/>
      <c r="FY458" s="120"/>
      <c r="FZ458" s="120"/>
      <c r="GA458" s="120"/>
      <c r="GB458" s="120"/>
      <c r="GC458" s="120"/>
      <c r="GD458" s="120"/>
      <c r="GE458" s="120"/>
      <c r="GF458" s="120"/>
      <c r="GG458" s="120"/>
      <c r="GH458" s="120"/>
      <c r="GI458" s="120"/>
      <c r="GJ458" s="120"/>
      <c r="GK458" s="120"/>
      <c r="GL458" s="120"/>
      <c r="GM458" s="120"/>
      <c r="GN458" s="120"/>
      <c r="GO458" s="120"/>
      <c r="GP458" s="120"/>
      <c r="GQ458" s="120"/>
      <c r="GR458" s="120"/>
      <c r="GS458" s="120"/>
      <c r="GT458" s="120"/>
      <c r="GU458" s="120"/>
      <c r="GV458" s="120"/>
      <c r="GW458" s="120"/>
      <c r="GX458" s="120"/>
      <c r="GY458" s="120"/>
      <c r="GZ458" s="120"/>
      <c r="HA458" s="120"/>
      <c r="HB458" s="120"/>
      <c r="HC458" s="120"/>
      <c r="HD458" s="120"/>
      <c r="HE458" s="120"/>
      <c r="HF458" s="120"/>
      <c r="HG458" s="120"/>
      <c r="HH458" s="120"/>
      <c r="HI458" s="120"/>
      <c r="HJ458" s="120"/>
      <c r="HK458" s="120"/>
      <c r="HL458" s="120"/>
      <c r="HM458" s="120"/>
      <c r="HN458" s="120"/>
      <c r="HO458" s="120"/>
      <c r="HP458" s="120"/>
      <c r="HQ458" s="120"/>
      <c r="HR458" s="120"/>
      <c r="HS458" s="120"/>
      <c r="HT458" s="120"/>
      <c r="HU458" s="120"/>
      <c r="HV458" s="120"/>
      <c r="HW458" s="120"/>
      <c r="HX458" s="120"/>
      <c r="HY458" s="120"/>
      <c r="HZ458" s="120"/>
      <c r="IA458" s="120"/>
      <c r="IB458" s="120"/>
      <c r="IC458" s="120"/>
      <c r="ID458" s="120"/>
      <c r="IE458" s="120"/>
      <c r="IF458" s="120"/>
      <c r="IG458" s="120"/>
      <c r="IH458" s="120"/>
      <c r="II458" s="120"/>
      <c r="IJ458" s="120"/>
      <c r="IK458" s="120"/>
      <c r="IL458" s="120"/>
      <c r="IM458" s="120"/>
      <c r="IN458" s="120"/>
      <c r="IO458" s="120"/>
      <c r="IP458" s="120"/>
      <c r="IQ458" s="120"/>
      <c r="IR458" s="120"/>
      <c r="IS458" s="120"/>
      <c r="IT458" s="120"/>
      <c r="IU458" s="120"/>
      <c r="IV458" s="120"/>
      <c r="IW458" s="120"/>
      <c r="IX458" s="120"/>
      <c r="IY458" s="120"/>
      <c r="IZ458" s="120"/>
      <c r="JA458" s="120"/>
      <c r="JB458" s="120"/>
      <c r="JC458" s="120"/>
      <c r="JD458" s="120"/>
      <c r="JE458" s="120"/>
      <c r="JF458" s="120"/>
      <c r="JG458" s="120"/>
      <c r="JH458" s="120"/>
      <c r="JI458" s="120"/>
      <c r="JJ458" s="120"/>
      <c r="JK458" s="120"/>
      <c r="JL458" s="120"/>
      <c r="JM458" s="120"/>
      <c r="JN458" s="120"/>
      <c r="JO458" s="120"/>
      <c r="JP458" s="120"/>
      <c r="JQ458" s="120"/>
      <c r="JR458" s="120"/>
      <c r="JS458" s="120"/>
      <c r="JT458" s="120"/>
      <c r="JU458" s="120"/>
      <c r="JV458" s="120"/>
      <c r="JW458" s="120"/>
      <c r="JX458" s="120"/>
      <c r="JY458" s="120"/>
      <c r="JZ458" s="120"/>
      <c r="KA458" s="120"/>
      <c r="KB458" s="120"/>
      <c r="KC458" s="120"/>
      <c r="KD458" s="120"/>
      <c r="KE458" s="120"/>
      <c r="KF458" s="120"/>
      <c r="KG458" s="120"/>
      <c r="KH458" s="120"/>
      <c r="KI458" s="120"/>
      <c r="KJ458" s="120"/>
      <c r="KK458" s="120"/>
      <c r="KL458" s="120"/>
      <c r="KM458" s="120"/>
      <c r="KN458" s="120"/>
      <c r="KO458" s="120"/>
      <c r="KP458" s="120"/>
      <c r="KQ458" s="120"/>
      <c r="KR458" s="120"/>
      <c r="KS458" s="120"/>
      <c r="KT458" s="120"/>
      <c r="KU458" s="120"/>
      <c r="KV458" s="120"/>
      <c r="KW458" s="120"/>
      <c r="KX458" s="120"/>
      <c r="KY458" s="120"/>
      <c r="KZ458" s="120"/>
      <c r="LA458" s="120"/>
      <c r="LB458" s="120"/>
      <c r="LC458" s="120"/>
      <c r="LD458" s="120"/>
      <c r="LE458" s="120"/>
      <c r="LF458" s="120"/>
      <c r="LG458" s="120"/>
      <c r="LH458" s="120"/>
      <c r="LI458" s="120"/>
      <c r="LJ458" s="120"/>
      <c r="LK458" s="120"/>
      <c r="LL458" s="120"/>
      <c r="LM458" s="120"/>
      <c r="LN458" s="120"/>
      <c r="LO458" s="120"/>
      <c r="LP458" s="120"/>
      <c r="LQ458" s="120"/>
      <c r="LR458" s="120"/>
      <c r="LS458" s="120"/>
      <c r="LT458" s="120"/>
      <c r="LU458" s="120"/>
      <c r="LV458" s="120"/>
      <c r="LW458" s="120"/>
      <c r="LX458" s="120"/>
      <c r="LY458" s="120"/>
      <c r="LZ458" s="120"/>
      <c r="MA458" s="120"/>
      <c r="MB458" s="120"/>
      <c r="MC458" s="120"/>
      <c r="MD458" s="120"/>
      <c r="ME458" s="120"/>
      <c r="MF458" s="120"/>
      <c r="MG458" s="120"/>
      <c r="MH458" s="120"/>
      <c r="MI458" s="120"/>
      <c r="MJ458" s="120"/>
      <c r="MK458" s="120"/>
      <c r="ML458" s="120"/>
      <c r="MM458" s="120"/>
      <c r="MN458" s="120"/>
      <c r="MO458" s="120"/>
      <c r="MP458" s="120"/>
      <c r="MQ458" s="120"/>
      <c r="MR458" s="120"/>
      <c r="MS458" s="120"/>
      <c r="MT458" s="120"/>
      <c r="MU458" s="120"/>
      <c r="MV458" s="120"/>
      <c r="MW458" s="120"/>
      <c r="MX458" s="120"/>
      <c r="MY458" s="120"/>
      <c r="MZ458" s="120"/>
      <c r="NA458" s="120"/>
      <c r="NB458" s="120"/>
      <c r="NC458" s="120"/>
      <c r="ND458" s="120"/>
      <c r="NE458" s="120"/>
      <c r="NF458" s="120"/>
      <c r="NG458" s="120"/>
      <c r="NH458" s="120"/>
      <c r="NI458" s="120"/>
      <c r="NJ458" s="120"/>
      <c r="NK458" s="120"/>
      <c r="NL458" s="120"/>
      <c r="NM458" s="120"/>
      <c r="NN458" s="120"/>
      <c r="NO458" s="120"/>
      <c r="NP458" s="120"/>
      <c r="NQ458" s="120"/>
      <c r="NR458" s="120"/>
      <c r="NS458" s="120"/>
      <c r="NT458" s="120"/>
      <c r="NU458" s="120"/>
      <c r="NV458" s="120"/>
      <c r="NW458" s="120"/>
      <c r="NX458" s="120"/>
      <c r="NY458" s="120"/>
      <c r="NZ458" s="120"/>
      <c r="OA458" s="120"/>
      <c r="OB458" s="120"/>
      <c r="OC458" s="120"/>
      <c r="OD458" s="120"/>
      <c r="OE458" s="120"/>
      <c r="OF458" s="120"/>
      <c r="OG458" s="120"/>
      <c r="OH458" s="120"/>
      <c r="OI458" s="120"/>
      <c r="OJ458" s="120"/>
      <c r="OK458" s="120"/>
      <c r="OL458" s="120"/>
      <c r="OM458" s="120"/>
      <c r="ON458" s="120"/>
      <c r="OO458" s="120"/>
      <c r="OP458" s="120"/>
      <c r="OQ458" s="120"/>
      <c r="OR458" s="120"/>
      <c r="OS458" s="120"/>
      <c r="OT458" s="120"/>
      <c r="OU458" s="120"/>
      <c r="OV458" s="120"/>
      <c r="OW458" s="120"/>
      <c r="OX458" s="120"/>
      <c r="OY458" s="120"/>
      <c r="OZ458" s="120"/>
      <c r="PA458" s="120"/>
      <c r="PB458" s="120"/>
      <c r="PC458" s="120"/>
      <c r="PD458" s="120"/>
      <c r="PE458" s="120"/>
      <c r="PF458" s="120"/>
      <c r="PG458" s="120"/>
      <c r="PH458" s="120"/>
      <c r="PI458" s="120"/>
      <c r="PJ458" s="120"/>
      <c r="PK458" s="120"/>
      <c r="PL458" s="120"/>
      <c r="PM458" s="120"/>
      <c r="PN458" s="120"/>
      <c r="PO458" s="120"/>
      <c r="PP458" s="120"/>
      <c r="PQ458" s="120"/>
      <c r="PR458" s="120"/>
      <c r="PS458" s="120"/>
      <c r="PT458" s="120"/>
      <c r="PU458" s="120"/>
      <c r="PV458" s="120"/>
      <c r="PW458" s="120"/>
      <c r="PX458" s="120"/>
      <c r="PY458" s="120"/>
      <c r="PZ458" s="120"/>
      <c r="QA458" s="120"/>
      <c r="QB458" s="120"/>
      <c r="QC458" s="120"/>
      <c r="QD458" s="120"/>
      <c r="QE458" s="120"/>
      <c r="QF458" s="120"/>
      <c r="QG458" s="120"/>
      <c r="QH458" s="120"/>
      <c r="QI458" s="120"/>
      <c r="QJ458" s="120"/>
      <c r="QK458" s="120"/>
      <c r="QL458" s="120"/>
      <c r="QM458" s="120"/>
      <c r="QN458" s="120"/>
      <c r="QO458" s="120"/>
      <c r="QP458" s="120"/>
      <c r="QQ458" s="120"/>
      <c r="QR458" s="120"/>
      <c r="QS458" s="120"/>
      <c r="QT458" s="120"/>
      <c r="QU458" s="120"/>
      <c r="QV458" s="120"/>
      <c r="QW458" s="120"/>
      <c r="QX458" s="120"/>
      <c r="QY458" s="120"/>
      <c r="QZ458" s="120"/>
      <c r="RA458" s="120"/>
      <c r="RB458" s="120"/>
      <c r="RC458" s="120"/>
      <c r="RD458" s="120"/>
      <c r="RE458" s="120"/>
      <c r="RF458" s="120"/>
      <c r="RG458" s="120"/>
      <c r="RH458" s="120"/>
      <c r="RI458" s="120"/>
      <c r="RJ458" s="120"/>
      <c r="RK458" s="120"/>
      <c r="RL458" s="120"/>
      <c r="RM458" s="120"/>
      <c r="RN458" s="120"/>
      <c r="RO458" s="120"/>
      <c r="RP458" s="120"/>
      <c r="RQ458" s="120"/>
      <c r="RR458" s="120"/>
      <c r="RS458" s="120"/>
      <c r="RT458" s="120"/>
      <c r="RU458" s="120"/>
      <c r="RV458" s="120"/>
      <c r="RW458" s="120"/>
      <c r="RX458" s="120"/>
      <c r="RY458" s="120"/>
      <c r="RZ458" s="120"/>
      <c r="SA458" s="120"/>
      <c r="SB458" s="120"/>
      <c r="SC458" s="120"/>
      <c r="SD458" s="120"/>
      <c r="SE458" s="120"/>
      <c r="SF458" s="120"/>
      <c r="SG458" s="120"/>
      <c r="SH458" s="120"/>
      <c r="SI458" s="120"/>
      <c r="SJ458" s="120"/>
      <c r="SK458" s="120"/>
      <c r="SL458" s="120"/>
      <c r="SM458" s="120"/>
      <c r="SN458" s="120"/>
      <c r="SO458" s="120"/>
      <c r="SP458" s="120"/>
      <c r="SQ458" s="120"/>
      <c r="SR458" s="120"/>
      <c r="SS458" s="120"/>
      <c r="ST458" s="120"/>
      <c r="SU458" s="120"/>
      <c r="SV458" s="120"/>
      <c r="SW458" s="120"/>
      <c r="SX458" s="120"/>
      <c r="SY458" s="120"/>
      <c r="SZ458" s="120"/>
      <c r="TA458" s="120"/>
      <c r="TB458" s="120"/>
      <c r="TC458" s="120"/>
      <c r="TD458" s="120"/>
      <c r="TE458" s="120"/>
      <c r="TF458" s="120"/>
      <c r="TG458" s="120"/>
      <c r="TH458" s="120"/>
      <c r="TI458" s="120"/>
      <c r="TJ458" s="120"/>
      <c r="TK458" s="120"/>
      <c r="TL458" s="120"/>
      <c r="TM458" s="120"/>
      <c r="TN458" s="120"/>
      <c r="TO458" s="120"/>
      <c r="TP458" s="120"/>
      <c r="TQ458" s="120"/>
      <c r="TR458" s="120"/>
      <c r="TS458" s="120"/>
      <c r="TT458" s="120"/>
      <c r="TU458" s="120"/>
      <c r="TV458" s="120"/>
      <c r="TW458" s="120"/>
      <c r="TX458" s="120"/>
      <c r="TY458" s="120"/>
      <c r="TZ458" s="120"/>
      <c r="UA458" s="120"/>
      <c r="UB458" s="120"/>
      <c r="UC458" s="120"/>
      <c r="UD458" s="120"/>
      <c r="UE458" s="120"/>
      <c r="UF458" s="120"/>
      <c r="UG458" s="120"/>
      <c r="UH458" s="120"/>
      <c r="UI458" s="120"/>
      <c r="UJ458" s="120"/>
      <c r="UK458" s="120"/>
      <c r="UL458" s="120"/>
      <c r="UM458" s="120"/>
      <c r="UN458" s="120"/>
      <c r="UO458" s="120"/>
      <c r="UP458" s="120"/>
      <c r="UQ458" s="120"/>
      <c r="UR458" s="120"/>
      <c r="US458" s="120"/>
      <c r="UT458" s="120"/>
      <c r="UU458" s="120"/>
      <c r="UV458" s="120"/>
      <c r="UW458" s="120"/>
      <c r="UX458" s="120"/>
      <c r="UY458" s="120"/>
      <c r="UZ458" s="120"/>
      <c r="VA458" s="120"/>
      <c r="VB458" s="120"/>
      <c r="VC458" s="120"/>
      <c r="VD458" s="120"/>
      <c r="VE458" s="120"/>
      <c r="VF458" s="120"/>
      <c r="VG458" s="120"/>
      <c r="VH458" s="120"/>
      <c r="VI458" s="120"/>
      <c r="VJ458" s="120"/>
      <c r="VK458" s="120"/>
      <c r="VL458" s="120"/>
      <c r="VM458" s="120"/>
      <c r="VN458" s="120"/>
      <c r="VO458" s="120"/>
      <c r="VP458" s="120"/>
      <c r="VQ458" s="120"/>
      <c r="VR458" s="120"/>
      <c r="VS458" s="120"/>
      <c r="VT458" s="120"/>
      <c r="VU458" s="120"/>
      <c r="VV458" s="120"/>
      <c r="VW458" s="120"/>
      <c r="VX458" s="120"/>
      <c r="VY458" s="120"/>
      <c r="VZ458" s="120"/>
      <c r="WA458" s="120"/>
      <c r="WB458" s="120"/>
      <c r="WC458" s="120"/>
      <c r="WD458" s="120"/>
      <c r="WE458" s="120"/>
      <c r="WF458" s="120"/>
      <c r="WG458" s="120"/>
      <c r="WH458" s="120"/>
      <c r="WI458" s="120"/>
      <c r="WJ458" s="120"/>
      <c r="WK458" s="120"/>
      <c r="WL458" s="120"/>
      <c r="WM458" s="120"/>
      <c r="WN458" s="120"/>
      <c r="WO458" s="120"/>
      <c r="WP458" s="120"/>
      <c r="WQ458" s="120"/>
      <c r="WR458" s="120"/>
      <c r="WS458" s="120"/>
      <c r="WT458" s="120"/>
      <c r="WU458" s="120"/>
      <c r="WV458" s="120"/>
      <c r="WW458" s="120"/>
      <c r="WX458" s="120"/>
      <c r="WY458" s="120"/>
      <c r="WZ458" s="120"/>
      <c r="XA458" s="120"/>
      <c r="XB458" s="120"/>
      <c r="XC458" s="120"/>
      <c r="XD458" s="120"/>
      <c r="XE458" s="120"/>
      <c r="XF458" s="120"/>
      <c r="XG458" s="120"/>
      <c r="XH458" s="120"/>
      <c r="XI458" s="120"/>
      <c r="XJ458" s="120"/>
      <c r="XK458" s="120"/>
      <c r="XL458" s="120"/>
      <c r="XM458" s="120"/>
      <c r="XN458" s="120"/>
      <c r="XO458" s="120"/>
      <c r="XP458" s="120"/>
      <c r="XQ458" s="120"/>
      <c r="XR458" s="120"/>
      <c r="XS458" s="120"/>
      <c r="XT458" s="120"/>
      <c r="XU458" s="120"/>
      <c r="XV458" s="120"/>
      <c r="XW458" s="120"/>
      <c r="XX458" s="120"/>
      <c r="XY458" s="120"/>
      <c r="XZ458" s="120"/>
      <c r="YA458" s="120"/>
      <c r="YB458" s="120"/>
      <c r="YC458" s="120"/>
      <c r="YD458" s="120"/>
      <c r="YE458" s="120"/>
      <c r="YF458" s="120"/>
      <c r="YG458" s="120"/>
      <c r="YH458" s="120"/>
      <c r="YI458" s="120"/>
      <c r="YJ458" s="120"/>
      <c r="YK458" s="120"/>
      <c r="YL458" s="120"/>
      <c r="YM458" s="120"/>
      <c r="YN458" s="120"/>
      <c r="YO458" s="120"/>
      <c r="YP458" s="120"/>
      <c r="YQ458" s="120"/>
      <c r="YR458" s="120"/>
      <c r="YS458" s="120"/>
      <c r="YT458" s="120"/>
      <c r="YU458" s="120"/>
      <c r="YV458" s="120"/>
      <c r="YW458" s="120"/>
      <c r="YX458" s="120"/>
      <c r="YY458" s="120"/>
      <c r="YZ458" s="120"/>
      <c r="ZA458" s="120"/>
      <c r="ZB458" s="120"/>
      <c r="ZC458" s="120"/>
      <c r="ZD458" s="120"/>
      <c r="ZE458" s="120"/>
      <c r="ZF458" s="120"/>
      <c r="ZG458" s="120"/>
      <c r="ZH458" s="120"/>
      <c r="ZI458" s="120"/>
      <c r="ZJ458" s="120"/>
      <c r="ZK458" s="120"/>
      <c r="ZL458" s="120"/>
      <c r="ZM458" s="120"/>
      <c r="ZN458" s="120"/>
      <c r="ZO458" s="120"/>
      <c r="ZP458" s="120"/>
      <c r="ZQ458" s="120"/>
      <c r="ZR458" s="120"/>
      <c r="ZS458" s="120"/>
      <c r="ZT458" s="120"/>
      <c r="ZU458" s="120"/>
      <c r="ZV458" s="120"/>
      <c r="ZW458" s="120"/>
      <c r="ZX458" s="120"/>
      <c r="ZY458" s="120"/>
      <c r="ZZ458" s="120"/>
      <c r="AAA458" s="120"/>
      <c r="AAB458" s="120"/>
      <c r="AAC458" s="120"/>
      <c r="AAD458" s="120"/>
      <c r="AAE458" s="120"/>
      <c r="AAF458" s="120"/>
      <c r="AAG458" s="120"/>
      <c r="AAH458" s="120"/>
      <c r="AAI458" s="120"/>
      <c r="AAJ458" s="120"/>
      <c r="AAK458" s="120"/>
      <c r="AAL458" s="120"/>
      <c r="AAM458" s="120"/>
      <c r="AAN458" s="120"/>
      <c r="AAO458" s="120"/>
      <c r="AAP458" s="120"/>
      <c r="AAQ458" s="120"/>
      <c r="AAR458" s="120"/>
      <c r="AAS458" s="120"/>
      <c r="AAT458" s="120"/>
      <c r="AAU458" s="120"/>
      <c r="AAV458" s="120"/>
      <c r="AAW458" s="120"/>
      <c r="AAX458" s="120"/>
      <c r="AAY458" s="120"/>
      <c r="AAZ458" s="120"/>
      <c r="ABA458" s="120"/>
      <c r="ABB458" s="120"/>
      <c r="ABC458" s="120"/>
      <c r="ABD458" s="120"/>
      <c r="ABE458" s="120"/>
      <c r="ABF458" s="120"/>
      <c r="ABG458" s="120"/>
      <c r="ABH458" s="120"/>
      <c r="ABI458" s="120"/>
      <c r="ABJ458" s="120"/>
      <c r="ABK458" s="120"/>
      <c r="ABL458" s="120"/>
      <c r="ABM458" s="120"/>
      <c r="ABN458" s="120"/>
      <c r="ABO458" s="120"/>
      <c r="ABP458" s="120"/>
      <c r="ABQ458" s="120"/>
      <c r="ABR458" s="120"/>
      <c r="ABS458" s="120"/>
      <c r="ABT458" s="120"/>
      <c r="ABU458" s="120"/>
      <c r="ABV458" s="120"/>
      <c r="ABW458" s="120"/>
      <c r="ABX458" s="120"/>
      <c r="ABY458" s="120"/>
      <c r="ABZ458" s="120"/>
      <c r="ACA458" s="120"/>
      <c r="ACB458" s="120"/>
      <c r="ACC458" s="120"/>
      <c r="ACD458" s="120"/>
      <c r="ACE458" s="120"/>
      <c r="ACF458" s="120"/>
      <c r="ACG458" s="120"/>
      <c r="ACH458" s="120"/>
      <c r="ACI458" s="120"/>
      <c r="ACJ458" s="120"/>
      <c r="ACK458" s="120"/>
      <c r="ACL458" s="120"/>
      <c r="ACM458" s="120"/>
      <c r="ACN458" s="120"/>
      <c r="ACO458" s="120"/>
      <c r="ACP458" s="120"/>
      <c r="ACQ458" s="120"/>
      <c r="ACR458" s="120"/>
      <c r="ACS458" s="120"/>
      <c r="ACT458" s="120"/>
      <c r="ACU458" s="120"/>
      <c r="ACV458" s="120"/>
      <c r="ACW458" s="120"/>
      <c r="ACX458" s="120"/>
      <c r="ACY458" s="120"/>
      <c r="ACZ458" s="120"/>
      <c r="ADA458" s="120"/>
      <c r="ADB458" s="120"/>
      <c r="ADC458" s="120"/>
      <c r="ADD458" s="120"/>
      <c r="ADE458" s="120"/>
      <c r="ADF458" s="120"/>
      <c r="ADG458" s="120"/>
      <c r="ADH458" s="120"/>
      <c r="ADI458" s="120"/>
      <c r="ADJ458" s="120"/>
      <c r="ADK458" s="120"/>
      <c r="ADL458" s="120"/>
      <c r="ADM458" s="120"/>
      <c r="ADN458" s="120"/>
      <c r="ADO458" s="120"/>
      <c r="ADP458" s="120"/>
      <c r="ADQ458" s="120"/>
      <c r="ADR458" s="120"/>
      <c r="ADS458" s="120"/>
      <c r="ADT458" s="120"/>
      <c r="ADU458" s="120"/>
      <c r="ADV458" s="120"/>
      <c r="ADW458" s="120"/>
      <c r="ADX458" s="120"/>
      <c r="ADY458" s="120"/>
      <c r="ADZ458" s="120"/>
      <c r="AEA458" s="120"/>
      <c r="AEB458" s="120"/>
      <c r="AEC458" s="120"/>
      <c r="AED458" s="120"/>
      <c r="AEE458" s="120"/>
      <c r="AEF458" s="120"/>
      <c r="AEG458" s="120"/>
      <c r="AEH458" s="120"/>
      <c r="AEI458" s="120"/>
      <c r="AEJ458" s="120"/>
      <c r="AEK458" s="120"/>
      <c r="AEL458" s="120"/>
      <c r="AEM458" s="120"/>
      <c r="AEN458" s="120"/>
      <c r="AEO458" s="120"/>
      <c r="AEP458" s="120"/>
      <c r="AEQ458" s="120"/>
      <c r="AER458" s="120"/>
      <c r="AES458" s="120"/>
      <c r="AET458" s="120"/>
      <c r="AEU458" s="120"/>
      <c r="AEV458" s="120"/>
      <c r="AEW458" s="120"/>
      <c r="AEX458" s="120"/>
      <c r="AEY458" s="120"/>
      <c r="AEZ458" s="120"/>
      <c r="AFA458" s="120"/>
      <c r="AFB458" s="120"/>
      <c r="AFC458" s="120"/>
      <c r="AFD458" s="120"/>
      <c r="AFE458" s="120"/>
      <c r="AFF458" s="120"/>
      <c r="AFG458" s="120"/>
      <c r="AFH458" s="120"/>
      <c r="AFI458" s="120"/>
      <c r="AFJ458" s="120"/>
      <c r="AFK458" s="120"/>
      <c r="AFL458" s="120"/>
      <c r="AFM458" s="120"/>
      <c r="AFN458" s="120"/>
      <c r="AFO458" s="120"/>
      <c r="AFP458" s="120"/>
      <c r="AFQ458" s="120"/>
      <c r="AFR458" s="120"/>
      <c r="AFS458" s="120"/>
      <c r="AFT458" s="120"/>
      <c r="AFU458" s="120"/>
      <c r="AFV458" s="120"/>
      <c r="AFW458" s="120"/>
      <c r="AFX458" s="120"/>
      <c r="AFY458" s="120"/>
      <c r="AFZ458" s="120"/>
      <c r="AGA458" s="120"/>
      <c r="AGB458" s="120"/>
      <c r="AGC458" s="120"/>
      <c r="AGD458" s="120"/>
      <c r="AGE458" s="120"/>
      <c r="AGF458" s="120"/>
      <c r="AGG458" s="120"/>
      <c r="AGH458" s="120"/>
      <c r="AGI458" s="120"/>
      <c r="AGJ458" s="120"/>
      <c r="AGK458" s="120"/>
      <c r="AGL458" s="120"/>
      <c r="AGM458" s="120"/>
      <c r="AGN458" s="120"/>
      <c r="AGO458" s="120"/>
      <c r="AGP458" s="120"/>
      <c r="AGQ458" s="120"/>
      <c r="AGR458" s="120"/>
      <c r="AGS458" s="120"/>
      <c r="AGT458" s="120"/>
      <c r="AGU458" s="120"/>
      <c r="AGV458" s="120"/>
      <c r="AGW458" s="120"/>
      <c r="AGX458" s="120"/>
      <c r="AGY458" s="120"/>
      <c r="AGZ458" s="120"/>
      <c r="AHA458" s="120"/>
      <c r="AHB458" s="120"/>
      <c r="AHC458" s="120"/>
      <c r="AHD458" s="120"/>
      <c r="AHE458" s="120"/>
      <c r="AHF458" s="120"/>
      <c r="AHG458" s="120"/>
      <c r="AHH458" s="120"/>
      <c r="AHI458" s="120"/>
      <c r="AHJ458" s="120"/>
      <c r="AHK458" s="120"/>
      <c r="AHL458" s="120"/>
      <c r="AHM458" s="120"/>
      <c r="AHN458" s="120"/>
      <c r="AHO458" s="120"/>
      <c r="AHP458" s="120"/>
      <c r="AHQ458" s="120"/>
      <c r="AHR458" s="120"/>
      <c r="AHS458" s="120"/>
      <c r="AHT458" s="120"/>
      <c r="AHU458" s="120"/>
      <c r="AHV458" s="120"/>
      <c r="AHW458" s="120"/>
      <c r="AHX458" s="120"/>
      <c r="AHY458" s="120"/>
      <c r="AHZ458" s="120"/>
      <c r="AIA458" s="120"/>
      <c r="AIB458" s="120"/>
      <c r="AIC458" s="120"/>
      <c r="AID458" s="120"/>
      <c r="AIE458" s="120"/>
      <c r="AIF458" s="120"/>
      <c r="AIG458" s="120"/>
      <c r="AIH458" s="120"/>
      <c r="AII458" s="120"/>
      <c r="AIJ458" s="120"/>
      <c r="AIK458" s="120"/>
      <c r="AIL458" s="120"/>
      <c r="AIM458" s="120"/>
      <c r="AIN458" s="120"/>
      <c r="AIO458" s="120"/>
      <c r="AIP458" s="120"/>
      <c r="AIQ458" s="120"/>
      <c r="AIR458" s="120"/>
      <c r="AIS458" s="120"/>
      <c r="AIT458" s="120"/>
      <c r="AIU458" s="120"/>
      <c r="AIV458" s="120"/>
      <c r="AIW458" s="120"/>
      <c r="AIX458" s="120"/>
      <c r="AIY458" s="120"/>
      <c r="AIZ458" s="120"/>
    </row>
    <row r="459">
      <c r="A459" s="112" t="s">
        <v>28</v>
      </c>
      <c r="B459" s="112" t="s">
        <v>103</v>
      </c>
      <c r="C459" s="112"/>
      <c r="D459" s="113">
        <f t="shared" si="1"/>
        <v>679.5339</v>
      </c>
      <c r="E459" s="112">
        <v>49.17635</v>
      </c>
      <c r="F459" s="113"/>
      <c r="G459" s="113"/>
      <c r="H459" s="113"/>
      <c r="I459" s="113"/>
      <c r="J459" s="113"/>
      <c r="K459" s="113"/>
      <c r="L459" s="112">
        <v>0.79115</v>
      </c>
      <c r="M459" s="112">
        <v>22.34115</v>
      </c>
      <c r="N459" s="113"/>
      <c r="O459" s="113"/>
      <c r="P459" s="112">
        <v>1.57156666666667</v>
      </c>
      <c r="Q459" s="113"/>
      <c r="R459" s="113"/>
      <c r="S459" s="113"/>
      <c r="T459" s="113"/>
      <c r="U459" s="113"/>
      <c r="V459" s="113"/>
      <c r="W459" s="112">
        <v>67.2606833333333</v>
      </c>
      <c r="X459" s="113"/>
      <c r="Y459" s="113"/>
      <c r="Z459" s="113"/>
      <c r="AA459" s="113"/>
      <c r="AB459" s="113"/>
      <c r="AC459" s="112">
        <v>0.23645</v>
      </c>
      <c r="AD459" s="112">
        <v>122.242866666667</v>
      </c>
      <c r="AE459" s="113"/>
      <c r="AF459" s="113"/>
      <c r="AG459" s="113"/>
      <c r="AH459" s="113"/>
      <c r="AI459" s="113"/>
      <c r="AJ459" s="112">
        <v>1.39216666666667</v>
      </c>
      <c r="AK459" s="112">
        <v>146.916383333333</v>
      </c>
      <c r="AL459" s="113"/>
      <c r="AM459" s="113"/>
      <c r="AN459" s="113"/>
      <c r="AO459" s="112">
        <v>7.37176666666667</v>
      </c>
      <c r="AP459" s="112">
        <v>157.041466666667</v>
      </c>
      <c r="AQ459" s="113"/>
      <c r="AR459" s="113"/>
      <c r="AS459" s="112">
        <v>9.40026666666667</v>
      </c>
      <c r="AT459" s="112">
        <v>83.4191166666667</v>
      </c>
      <c r="AU459" s="113"/>
      <c r="AV459" s="112">
        <v>8.69185</v>
      </c>
      <c r="AW459" s="112">
        <v>1.68066666666667</v>
      </c>
      <c r="AX459" s="113"/>
      <c r="AY459" s="113"/>
      <c r="AZ459" s="113"/>
      <c r="BA459" s="113"/>
      <c r="BB459" s="113"/>
      <c r="BC459" s="113"/>
      <c r="BD459" s="113"/>
      <c r="BE459" s="113"/>
      <c r="BF459" s="113"/>
      <c r="BG459" s="113"/>
      <c r="BH459" s="113"/>
      <c r="BI459" s="113"/>
      <c r="BJ459" s="113"/>
      <c r="BK459" s="113"/>
      <c r="BL459" s="113"/>
      <c r="BM459" s="113"/>
      <c r="BN459" s="113"/>
      <c r="BO459" s="113"/>
      <c r="BP459" s="113"/>
      <c r="BQ459" s="113"/>
      <c r="BR459" s="113"/>
      <c r="BS459" s="113"/>
      <c r="BT459" s="113"/>
      <c r="BU459" s="113"/>
      <c r="BV459" s="113"/>
      <c r="BW459" s="113"/>
      <c r="BX459" s="113"/>
      <c r="BY459" s="113"/>
      <c r="BZ459" s="113"/>
      <c r="CA459" s="113"/>
      <c r="CB459" s="113"/>
      <c r="CC459" s="113"/>
      <c r="CD459" s="113"/>
      <c r="CE459" s="113"/>
      <c r="CF459" s="113"/>
      <c r="CG459" s="113"/>
      <c r="CH459" s="113"/>
      <c r="CI459" s="113"/>
      <c r="CJ459" s="113"/>
      <c r="CK459" s="113"/>
      <c r="CL459" s="113"/>
      <c r="CM459" s="113"/>
      <c r="CN459" s="113"/>
      <c r="CO459" s="113"/>
      <c r="CP459" s="113"/>
      <c r="CQ459" s="113"/>
      <c r="CR459" s="113"/>
      <c r="CS459" s="113"/>
      <c r="CT459" s="113"/>
      <c r="CU459" s="113"/>
      <c r="CV459" s="113"/>
      <c r="CW459" s="113"/>
      <c r="CX459" s="113"/>
      <c r="CY459" s="113"/>
      <c r="CZ459" s="113"/>
      <c r="DA459" s="113"/>
      <c r="DB459" s="113"/>
      <c r="DC459" s="113"/>
      <c r="DD459" s="113"/>
      <c r="DE459" s="113"/>
      <c r="DF459" s="113"/>
      <c r="DG459" s="113"/>
      <c r="DH459" s="113"/>
      <c r="DI459" s="113"/>
      <c r="DJ459" s="113"/>
      <c r="DK459" s="113"/>
      <c r="DL459" s="113"/>
      <c r="DM459" s="113"/>
      <c r="DN459" s="113"/>
      <c r="DO459" s="113"/>
      <c r="DP459" s="113"/>
      <c r="DQ459" s="113"/>
      <c r="DR459" s="113"/>
      <c r="DS459" s="113"/>
      <c r="DT459" s="113"/>
      <c r="DU459" s="113"/>
      <c r="DV459" s="113"/>
      <c r="DW459" s="113"/>
      <c r="DX459" s="113"/>
      <c r="DY459" s="113"/>
      <c r="DZ459" s="113"/>
      <c r="EA459" s="113"/>
      <c r="EB459" s="113"/>
      <c r="EC459" s="113"/>
      <c r="ED459" s="113"/>
      <c r="EE459" s="113"/>
      <c r="EF459" s="113"/>
      <c r="EG459" s="113"/>
      <c r="EH459" s="113"/>
      <c r="EI459" s="113"/>
      <c r="EJ459" s="113"/>
      <c r="EK459" s="113"/>
      <c r="EL459" s="113"/>
      <c r="EM459" s="113"/>
      <c r="EN459" s="113"/>
      <c r="EO459" s="113"/>
      <c r="EP459" s="113"/>
      <c r="EQ459" s="113"/>
      <c r="ER459" s="113"/>
      <c r="ES459" s="113"/>
      <c r="ET459" s="113"/>
      <c r="EU459" s="113"/>
      <c r="EV459" s="113"/>
      <c r="EW459" s="113"/>
      <c r="EX459" s="113"/>
      <c r="EY459" s="113"/>
      <c r="EZ459" s="113"/>
      <c r="FA459" s="113"/>
      <c r="FB459" s="113"/>
      <c r="FC459" s="113"/>
      <c r="FD459" s="113"/>
      <c r="FE459" s="113"/>
      <c r="FF459" s="113"/>
      <c r="FG459" s="113"/>
      <c r="FH459" s="113"/>
      <c r="FI459" s="113"/>
      <c r="FJ459" s="113"/>
      <c r="FK459" s="113"/>
      <c r="FL459" s="113"/>
      <c r="FM459" s="113"/>
      <c r="FN459" s="113"/>
      <c r="FO459" s="113"/>
      <c r="FP459" s="113"/>
      <c r="FQ459" s="113"/>
      <c r="FR459" s="113"/>
      <c r="FS459" s="113"/>
      <c r="FT459" s="113"/>
      <c r="FU459" s="113"/>
      <c r="FV459" s="113"/>
      <c r="FW459" s="113"/>
      <c r="FX459" s="113"/>
      <c r="FY459" s="113"/>
      <c r="FZ459" s="113"/>
      <c r="GA459" s="113"/>
      <c r="GB459" s="113"/>
      <c r="GC459" s="113"/>
      <c r="GD459" s="113"/>
      <c r="GE459" s="113"/>
      <c r="GF459" s="113"/>
      <c r="GG459" s="113"/>
      <c r="GH459" s="113"/>
      <c r="GI459" s="113"/>
      <c r="GJ459" s="113"/>
      <c r="GK459" s="113"/>
      <c r="GL459" s="113"/>
      <c r="GM459" s="113"/>
      <c r="GN459" s="113"/>
      <c r="GO459" s="113"/>
      <c r="GP459" s="113"/>
      <c r="GQ459" s="113"/>
      <c r="GR459" s="113"/>
      <c r="GS459" s="113"/>
      <c r="GT459" s="113"/>
      <c r="GU459" s="113"/>
      <c r="GV459" s="113"/>
      <c r="GW459" s="113"/>
      <c r="GX459" s="113"/>
      <c r="GY459" s="113"/>
      <c r="GZ459" s="113"/>
      <c r="HA459" s="113"/>
      <c r="HB459" s="113"/>
      <c r="HC459" s="113"/>
      <c r="HD459" s="113"/>
      <c r="HE459" s="113"/>
      <c r="HF459" s="113"/>
      <c r="HG459" s="113"/>
      <c r="HH459" s="113"/>
      <c r="HI459" s="113"/>
      <c r="HJ459" s="113"/>
      <c r="HK459" s="113"/>
      <c r="HL459" s="113"/>
      <c r="HM459" s="113"/>
      <c r="HN459" s="113"/>
      <c r="HO459" s="113"/>
      <c r="HP459" s="113"/>
      <c r="HQ459" s="113"/>
      <c r="HR459" s="113"/>
      <c r="HS459" s="113"/>
      <c r="HT459" s="113"/>
      <c r="HU459" s="113"/>
      <c r="HV459" s="113"/>
      <c r="HW459" s="113"/>
      <c r="HX459" s="113"/>
      <c r="HY459" s="113"/>
      <c r="HZ459" s="113"/>
      <c r="IA459" s="113"/>
      <c r="IB459" s="113"/>
      <c r="IC459" s="113"/>
      <c r="ID459" s="113"/>
      <c r="IE459" s="113"/>
      <c r="IF459" s="113"/>
      <c r="IG459" s="113"/>
      <c r="IH459" s="113"/>
      <c r="II459" s="113"/>
      <c r="IJ459" s="113"/>
      <c r="IK459" s="113"/>
      <c r="IL459" s="113"/>
      <c r="IM459" s="113"/>
      <c r="IN459" s="113"/>
      <c r="IO459" s="113"/>
      <c r="IP459" s="113"/>
      <c r="IQ459" s="113"/>
      <c r="IR459" s="113"/>
      <c r="IS459" s="113"/>
      <c r="IT459" s="113"/>
      <c r="IU459" s="113"/>
      <c r="IV459" s="113"/>
      <c r="IW459" s="113"/>
      <c r="IX459" s="113"/>
      <c r="IY459" s="113"/>
      <c r="IZ459" s="113"/>
      <c r="JA459" s="113"/>
      <c r="JB459" s="113"/>
      <c r="JC459" s="113"/>
      <c r="JD459" s="113"/>
      <c r="JE459" s="113"/>
      <c r="JF459" s="113"/>
      <c r="JG459" s="113"/>
      <c r="JH459" s="113"/>
      <c r="JI459" s="113"/>
      <c r="JJ459" s="113"/>
      <c r="JK459" s="113"/>
      <c r="JL459" s="113"/>
      <c r="JM459" s="113"/>
      <c r="JN459" s="113"/>
      <c r="JO459" s="113"/>
      <c r="JP459" s="113"/>
      <c r="JQ459" s="113"/>
      <c r="JR459" s="113"/>
      <c r="JS459" s="113"/>
      <c r="JT459" s="113"/>
      <c r="JU459" s="113"/>
      <c r="JV459" s="113"/>
      <c r="JW459" s="113"/>
      <c r="JX459" s="113"/>
      <c r="JY459" s="113"/>
      <c r="JZ459" s="113"/>
      <c r="KA459" s="113"/>
      <c r="KB459" s="113"/>
      <c r="KC459" s="113"/>
      <c r="KD459" s="113"/>
      <c r="KE459" s="113"/>
      <c r="KF459" s="113"/>
      <c r="KG459" s="113"/>
      <c r="KH459" s="113"/>
      <c r="KI459" s="113"/>
      <c r="KJ459" s="113"/>
      <c r="KK459" s="113"/>
      <c r="KL459" s="113"/>
      <c r="KM459" s="113"/>
      <c r="KN459" s="113"/>
      <c r="KO459" s="113"/>
      <c r="KP459" s="113"/>
      <c r="KQ459" s="113"/>
      <c r="KR459" s="113"/>
      <c r="KS459" s="113"/>
      <c r="KT459" s="113"/>
      <c r="KU459" s="113"/>
      <c r="KV459" s="113"/>
      <c r="KW459" s="113"/>
      <c r="KX459" s="113"/>
      <c r="KY459" s="113"/>
      <c r="KZ459" s="113"/>
      <c r="LA459" s="113"/>
      <c r="LB459" s="113"/>
      <c r="LC459" s="113"/>
      <c r="LD459" s="113"/>
      <c r="LE459" s="113"/>
      <c r="LF459" s="113"/>
      <c r="LG459" s="113"/>
      <c r="LH459" s="113"/>
      <c r="LI459" s="113"/>
      <c r="LJ459" s="113"/>
      <c r="LK459" s="113"/>
      <c r="LL459" s="113"/>
      <c r="LM459" s="113"/>
      <c r="LN459" s="113"/>
      <c r="LO459" s="113"/>
      <c r="LP459" s="113"/>
      <c r="LQ459" s="113"/>
      <c r="LR459" s="113"/>
      <c r="LS459" s="113"/>
      <c r="LT459" s="113"/>
      <c r="LU459" s="113"/>
      <c r="LV459" s="113"/>
      <c r="LW459" s="113"/>
      <c r="LX459" s="113"/>
      <c r="LY459" s="113"/>
      <c r="LZ459" s="113"/>
      <c r="MA459" s="113"/>
      <c r="MB459" s="113"/>
      <c r="MC459" s="113"/>
      <c r="MD459" s="113"/>
      <c r="ME459" s="113"/>
      <c r="MF459" s="113"/>
      <c r="MG459" s="113"/>
      <c r="MH459" s="113"/>
      <c r="MI459" s="113"/>
      <c r="MJ459" s="113"/>
      <c r="MK459" s="113"/>
      <c r="ML459" s="113"/>
      <c r="MM459" s="113"/>
      <c r="MN459" s="113"/>
      <c r="MO459" s="113"/>
      <c r="MP459" s="113"/>
      <c r="MQ459" s="113"/>
      <c r="MR459" s="113"/>
      <c r="MS459" s="113"/>
      <c r="MT459" s="113"/>
      <c r="MU459" s="113"/>
      <c r="MV459" s="113"/>
      <c r="MW459" s="113"/>
      <c r="MX459" s="113"/>
      <c r="MY459" s="113"/>
      <c r="MZ459" s="113"/>
      <c r="NA459" s="113"/>
      <c r="NB459" s="113"/>
      <c r="NC459" s="113"/>
      <c r="ND459" s="113"/>
      <c r="NE459" s="113"/>
      <c r="NF459" s="113"/>
      <c r="NG459" s="113"/>
      <c r="NH459" s="113"/>
      <c r="NI459" s="113"/>
      <c r="NJ459" s="113"/>
      <c r="NK459" s="113"/>
      <c r="NL459" s="113"/>
      <c r="NM459" s="113"/>
      <c r="NN459" s="113"/>
      <c r="NO459" s="113"/>
      <c r="NP459" s="113"/>
      <c r="NQ459" s="113"/>
      <c r="NR459" s="113"/>
      <c r="NS459" s="113"/>
      <c r="NT459" s="113"/>
      <c r="NU459" s="113"/>
      <c r="NV459" s="113"/>
      <c r="NW459" s="113"/>
      <c r="NX459" s="113"/>
      <c r="NY459" s="113"/>
      <c r="NZ459" s="113"/>
      <c r="OA459" s="113"/>
      <c r="OB459" s="113"/>
      <c r="OC459" s="113"/>
      <c r="OD459" s="113"/>
      <c r="OE459" s="113"/>
      <c r="OF459" s="113"/>
      <c r="OG459" s="113"/>
      <c r="OH459" s="113"/>
      <c r="OI459" s="113"/>
      <c r="OJ459" s="113"/>
      <c r="OK459" s="113"/>
      <c r="OL459" s="113"/>
      <c r="OM459" s="113"/>
      <c r="ON459" s="113"/>
      <c r="OO459" s="113"/>
      <c r="OP459" s="113"/>
      <c r="OQ459" s="113"/>
      <c r="OR459" s="113"/>
      <c r="OS459" s="113"/>
      <c r="OT459" s="113"/>
      <c r="OU459" s="113"/>
      <c r="OV459" s="113"/>
      <c r="OW459" s="113"/>
      <c r="OX459" s="113"/>
      <c r="OY459" s="113"/>
      <c r="OZ459" s="113"/>
      <c r="PA459" s="113"/>
      <c r="PB459" s="113"/>
      <c r="PC459" s="113"/>
      <c r="PD459" s="113"/>
      <c r="PE459" s="113"/>
      <c r="PF459" s="113"/>
      <c r="PG459" s="113"/>
      <c r="PH459" s="113"/>
      <c r="PI459" s="113"/>
      <c r="PJ459" s="113"/>
      <c r="PK459" s="113"/>
      <c r="PL459" s="113"/>
      <c r="PM459" s="113"/>
      <c r="PN459" s="113"/>
      <c r="PO459" s="113"/>
      <c r="PP459" s="113"/>
      <c r="PQ459" s="113"/>
      <c r="PR459" s="113"/>
      <c r="PS459" s="113"/>
      <c r="PT459" s="113"/>
      <c r="PU459" s="113"/>
      <c r="PV459" s="113"/>
      <c r="PW459" s="113"/>
      <c r="PX459" s="113"/>
      <c r="PY459" s="113"/>
      <c r="PZ459" s="113"/>
      <c r="QA459" s="113"/>
      <c r="QB459" s="113"/>
      <c r="QC459" s="113"/>
      <c r="QD459" s="113"/>
      <c r="QE459" s="113"/>
      <c r="QF459" s="113"/>
      <c r="QG459" s="113"/>
      <c r="QH459" s="113"/>
      <c r="QI459" s="113"/>
      <c r="QJ459" s="113"/>
      <c r="QK459" s="113"/>
      <c r="QL459" s="113"/>
      <c r="QM459" s="113"/>
      <c r="QN459" s="113"/>
      <c r="QO459" s="113"/>
      <c r="QP459" s="113"/>
      <c r="QQ459" s="113"/>
      <c r="QR459" s="113"/>
      <c r="QS459" s="113"/>
      <c r="QT459" s="113"/>
      <c r="QU459" s="113"/>
      <c r="QV459" s="113"/>
      <c r="QW459" s="113"/>
      <c r="QX459" s="113"/>
      <c r="QY459" s="113"/>
      <c r="QZ459" s="113"/>
      <c r="RA459" s="113"/>
      <c r="RB459" s="113"/>
      <c r="RC459" s="113"/>
      <c r="RD459" s="113"/>
      <c r="RE459" s="113"/>
      <c r="RF459" s="113"/>
      <c r="RG459" s="113"/>
      <c r="RH459" s="113"/>
      <c r="RI459" s="113"/>
      <c r="RJ459" s="113"/>
      <c r="RK459" s="113"/>
      <c r="RL459" s="113"/>
      <c r="RM459" s="113"/>
      <c r="RN459" s="113"/>
      <c r="RO459" s="113"/>
      <c r="RP459" s="113"/>
      <c r="RQ459" s="113"/>
      <c r="RR459" s="113"/>
      <c r="RS459" s="113"/>
      <c r="RT459" s="113"/>
      <c r="RU459" s="113"/>
      <c r="RV459" s="113"/>
      <c r="RW459" s="113"/>
      <c r="RX459" s="113"/>
      <c r="RY459" s="113"/>
      <c r="RZ459" s="113"/>
      <c r="SA459" s="113"/>
      <c r="SB459" s="113"/>
      <c r="SC459" s="113"/>
      <c r="SD459" s="113"/>
      <c r="SE459" s="113"/>
      <c r="SF459" s="113"/>
      <c r="SG459" s="113"/>
      <c r="SH459" s="113"/>
      <c r="SI459" s="113"/>
      <c r="SJ459" s="113"/>
      <c r="SK459" s="113"/>
      <c r="SL459" s="113"/>
      <c r="SM459" s="113"/>
      <c r="SN459" s="113"/>
      <c r="SO459" s="113"/>
      <c r="SP459" s="113"/>
      <c r="SQ459" s="113"/>
      <c r="SR459" s="113"/>
      <c r="SS459" s="113"/>
      <c r="ST459" s="113"/>
      <c r="SU459" s="113"/>
      <c r="SV459" s="113"/>
      <c r="SW459" s="113"/>
      <c r="SX459" s="113"/>
      <c r="SY459" s="113"/>
      <c r="SZ459" s="113"/>
      <c r="TA459" s="113"/>
      <c r="TB459" s="113"/>
      <c r="TC459" s="113"/>
      <c r="TD459" s="113"/>
      <c r="TE459" s="113"/>
      <c r="TF459" s="113"/>
      <c r="TG459" s="113"/>
      <c r="TH459" s="113"/>
      <c r="TI459" s="113"/>
      <c r="TJ459" s="113"/>
      <c r="TK459" s="113"/>
      <c r="TL459" s="113"/>
      <c r="TM459" s="113"/>
      <c r="TN459" s="113"/>
      <c r="TO459" s="113"/>
      <c r="TP459" s="113"/>
      <c r="TQ459" s="113"/>
      <c r="TR459" s="113"/>
      <c r="TS459" s="113"/>
      <c r="TT459" s="113"/>
      <c r="TU459" s="113"/>
      <c r="TV459" s="113"/>
      <c r="TW459" s="113"/>
      <c r="TX459" s="113"/>
      <c r="TY459" s="113"/>
      <c r="TZ459" s="113"/>
      <c r="UA459" s="113"/>
      <c r="UB459" s="113"/>
      <c r="UC459" s="113"/>
      <c r="UD459" s="113"/>
      <c r="UE459" s="113"/>
      <c r="UF459" s="113"/>
      <c r="UG459" s="113"/>
      <c r="UH459" s="113"/>
      <c r="UI459" s="113"/>
      <c r="UJ459" s="113"/>
      <c r="UK459" s="113"/>
      <c r="UL459" s="113"/>
      <c r="UM459" s="113"/>
      <c r="UN459" s="113"/>
      <c r="UO459" s="113"/>
      <c r="UP459" s="113"/>
      <c r="UQ459" s="113"/>
      <c r="UR459" s="113"/>
      <c r="US459" s="113"/>
      <c r="UT459" s="113"/>
      <c r="UU459" s="113"/>
      <c r="UV459" s="113"/>
      <c r="UW459" s="113"/>
      <c r="UX459" s="113"/>
      <c r="UY459" s="113"/>
      <c r="UZ459" s="113"/>
      <c r="VA459" s="113"/>
      <c r="VB459" s="113"/>
      <c r="VC459" s="113"/>
      <c r="VD459" s="113"/>
      <c r="VE459" s="113"/>
      <c r="VF459" s="113"/>
      <c r="VG459" s="113"/>
      <c r="VH459" s="113"/>
      <c r="VI459" s="113"/>
      <c r="VJ459" s="113"/>
      <c r="VK459" s="113"/>
      <c r="VL459" s="113"/>
      <c r="VM459" s="113"/>
      <c r="VN459" s="113"/>
      <c r="VO459" s="113"/>
      <c r="VP459" s="113"/>
      <c r="VQ459" s="113"/>
      <c r="VR459" s="113"/>
      <c r="VS459" s="113"/>
      <c r="VT459" s="113"/>
      <c r="VU459" s="113"/>
      <c r="VV459" s="113"/>
      <c r="VW459" s="113"/>
      <c r="VX459" s="113"/>
      <c r="VY459" s="113"/>
      <c r="VZ459" s="113"/>
      <c r="WA459" s="113"/>
      <c r="WB459" s="113"/>
      <c r="WC459" s="113"/>
      <c r="WD459" s="113"/>
      <c r="WE459" s="113"/>
      <c r="WF459" s="113"/>
      <c r="WG459" s="113"/>
      <c r="WH459" s="113"/>
      <c r="WI459" s="113"/>
      <c r="WJ459" s="113"/>
      <c r="WK459" s="113"/>
      <c r="WL459" s="113"/>
      <c r="WM459" s="113"/>
      <c r="WN459" s="113"/>
      <c r="WO459" s="113"/>
      <c r="WP459" s="113"/>
      <c r="WQ459" s="113"/>
      <c r="WR459" s="113"/>
      <c r="WS459" s="113"/>
      <c r="WT459" s="113"/>
      <c r="WU459" s="113"/>
      <c r="WV459" s="113"/>
      <c r="WW459" s="113"/>
      <c r="WX459" s="113"/>
      <c r="WY459" s="113"/>
      <c r="WZ459" s="113"/>
      <c r="XA459" s="113"/>
      <c r="XB459" s="113"/>
      <c r="XC459" s="113"/>
      <c r="XD459" s="113"/>
      <c r="XE459" s="113"/>
      <c r="XF459" s="113"/>
      <c r="XG459" s="113"/>
      <c r="XH459" s="113"/>
      <c r="XI459" s="113"/>
      <c r="XJ459" s="113"/>
      <c r="XK459" s="113"/>
      <c r="XL459" s="113"/>
      <c r="XM459" s="113"/>
      <c r="XN459" s="113"/>
      <c r="XO459" s="113"/>
      <c r="XP459" s="113"/>
      <c r="XQ459" s="113"/>
      <c r="XR459" s="113"/>
      <c r="XS459" s="113"/>
      <c r="XT459" s="113"/>
      <c r="XU459" s="113"/>
      <c r="XV459" s="113"/>
      <c r="XW459" s="113"/>
      <c r="XX459" s="113"/>
      <c r="XY459" s="113"/>
      <c r="XZ459" s="113"/>
      <c r="YA459" s="113"/>
      <c r="YB459" s="113"/>
      <c r="YC459" s="113"/>
      <c r="YD459" s="113"/>
      <c r="YE459" s="113"/>
      <c r="YF459" s="113"/>
      <c r="YG459" s="113"/>
      <c r="YH459" s="113"/>
      <c r="YI459" s="113"/>
      <c r="YJ459" s="113"/>
      <c r="YK459" s="113"/>
      <c r="YL459" s="113"/>
      <c r="YM459" s="113"/>
      <c r="YN459" s="113"/>
      <c r="YO459" s="113"/>
      <c r="YP459" s="113"/>
      <c r="YQ459" s="113"/>
      <c r="YR459" s="113"/>
      <c r="YS459" s="113"/>
      <c r="YT459" s="113"/>
      <c r="YU459" s="113"/>
      <c r="YV459" s="113"/>
      <c r="YW459" s="113"/>
      <c r="YX459" s="113"/>
      <c r="YY459" s="113"/>
      <c r="YZ459" s="113"/>
      <c r="ZA459" s="113"/>
      <c r="ZB459" s="113"/>
      <c r="ZC459" s="113"/>
      <c r="ZD459" s="113"/>
      <c r="ZE459" s="113"/>
      <c r="ZF459" s="113"/>
      <c r="ZG459" s="113"/>
      <c r="ZH459" s="113"/>
      <c r="ZI459" s="113"/>
      <c r="ZJ459" s="113"/>
      <c r="ZK459" s="113"/>
      <c r="ZL459" s="113"/>
      <c r="ZM459" s="113"/>
      <c r="ZN459" s="113"/>
      <c r="ZO459" s="113"/>
      <c r="ZP459" s="113"/>
      <c r="ZQ459" s="113"/>
      <c r="ZR459" s="113"/>
      <c r="ZS459" s="113"/>
      <c r="ZT459" s="113"/>
      <c r="ZU459" s="113"/>
      <c r="ZV459" s="113"/>
      <c r="ZW459" s="113"/>
      <c r="ZX459" s="113"/>
      <c r="ZY459" s="113"/>
      <c r="ZZ459" s="113"/>
      <c r="AAA459" s="113"/>
      <c r="AAB459" s="113"/>
      <c r="AAC459" s="113"/>
      <c r="AAD459" s="113"/>
      <c r="AAE459" s="113"/>
      <c r="AAF459" s="113"/>
      <c r="AAG459" s="113"/>
      <c r="AAH459" s="113"/>
      <c r="AAI459" s="113"/>
      <c r="AAJ459" s="113"/>
      <c r="AAK459" s="113"/>
      <c r="AAL459" s="113"/>
      <c r="AAM459" s="113"/>
      <c r="AAN459" s="113"/>
      <c r="AAO459" s="113"/>
      <c r="AAP459" s="113"/>
      <c r="AAQ459" s="113"/>
      <c r="AAR459" s="113"/>
      <c r="AAS459" s="113"/>
      <c r="AAT459" s="113"/>
      <c r="AAU459" s="113"/>
      <c r="AAV459" s="113"/>
      <c r="AAW459" s="113"/>
      <c r="AAX459" s="113"/>
      <c r="AAY459" s="113"/>
      <c r="AAZ459" s="113"/>
      <c r="ABA459" s="113"/>
      <c r="ABB459" s="113"/>
      <c r="ABC459" s="113"/>
      <c r="ABD459" s="113"/>
      <c r="ABE459" s="113"/>
      <c r="ABF459" s="113"/>
      <c r="ABG459" s="113"/>
      <c r="ABH459" s="113"/>
      <c r="ABI459" s="113"/>
      <c r="ABJ459" s="113"/>
      <c r="ABK459" s="113"/>
      <c r="ABL459" s="113"/>
      <c r="ABM459" s="113"/>
      <c r="ABN459" s="113"/>
      <c r="ABO459" s="113"/>
      <c r="ABP459" s="113"/>
      <c r="ABQ459" s="113"/>
      <c r="ABR459" s="113"/>
      <c r="ABS459" s="113"/>
      <c r="ABT459" s="113"/>
      <c r="ABU459" s="113"/>
      <c r="ABV459" s="113"/>
      <c r="ABW459" s="113"/>
      <c r="ABX459" s="113"/>
      <c r="ABY459" s="113"/>
      <c r="ABZ459" s="113"/>
      <c r="ACA459" s="113"/>
      <c r="ACB459" s="113"/>
      <c r="ACC459" s="113"/>
      <c r="ACD459" s="113"/>
      <c r="ACE459" s="113"/>
      <c r="ACF459" s="113"/>
      <c r="ACG459" s="113"/>
      <c r="ACH459" s="113"/>
      <c r="ACI459" s="113"/>
      <c r="ACJ459" s="113"/>
      <c r="ACK459" s="113"/>
      <c r="ACL459" s="113"/>
      <c r="ACM459" s="113"/>
      <c r="ACN459" s="113"/>
      <c r="ACO459" s="113"/>
      <c r="ACP459" s="113"/>
      <c r="ACQ459" s="113"/>
      <c r="ACR459" s="113"/>
      <c r="ACS459" s="113"/>
      <c r="ACT459" s="113"/>
      <c r="ACU459" s="113"/>
      <c r="ACV459" s="113"/>
      <c r="ACW459" s="113"/>
      <c r="ACX459" s="113"/>
      <c r="ACY459" s="113"/>
      <c r="ACZ459" s="113"/>
      <c r="ADA459" s="113"/>
      <c r="ADB459" s="113"/>
      <c r="ADC459" s="113"/>
      <c r="ADD459" s="113"/>
      <c r="ADE459" s="113"/>
      <c r="ADF459" s="113"/>
      <c r="ADG459" s="113"/>
      <c r="ADH459" s="113"/>
      <c r="ADI459" s="113"/>
      <c r="ADJ459" s="113"/>
      <c r="ADK459" s="113"/>
      <c r="ADL459" s="113"/>
      <c r="ADM459" s="113"/>
      <c r="ADN459" s="113"/>
      <c r="ADO459" s="113"/>
      <c r="ADP459" s="113"/>
      <c r="ADQ459" s="113"/>
      <c r="ADR459" s="113"/>
      <c r="ADS459" s="113"/>
      <c r="ADT459" s="113"/>
      <c r="ADU459" s="113"/>
      <c r="ADV459" s="113"/>
      <c r="ADW459" s="113"/>
      <c r="ADX459" s="113"/>
      <c r="ADY459" s="113"/>
      <c r="ADZ459" s="113"/>
      <c r="AEA459" s="113"/>
      <c r="AEB459" s="113"/>
      <c r="AEC459" s="113"/>
      <c r="AED459" s="113"/>
      <c r="AEE459" s="113"/>
      <c r="AEF459" s="113"/>
      <c r="AEG459" s="113"/>
      <c r="AEH459" s="113"/>
      <c r="AEI459" s="113"/>
      <c r="AEJ459" s="113"/>
      <c r="AEK459" s="113"/>
      <c r="AEL459" s="113"/>
      <c r="AEM459" s="113"/>
      <c r="AEN459" s="113"/>
      <c r="AEO459" s="113"/>
      <c r="AEP459" s="113"/>
      <c r="AEQ459" s="113"/>
      <c r="AER459" s="113"/>
      <c r="AES459" s="113"/>
      <c r="AET459" s="113"/>
      <c r="AEU459" s="113"/>
      <c r="AEV459" s="113"/>
      <c r="AEW459" s="113"/>
      <c r="AEX459" s="113"/>
      <c r="AEY459" s="113"/>
      <c r="AEZ459" s="113"/>
      <c r="AFA459" s="113"/>
      <c r="AFB459" s="113"/>
      <c r="AFC459" s="113"/>
      <c r="AFD459" s="113"/>
      <c r="AFE459" s="113"/>
      <c r="AFF459" s="113"/>
      <c r="AFG459" s="113"/>
      <c r="AFH459" s="113"/>
      <c r="AFI459" s="113"/>
      <c r="AFJ459" s="113"/>
      <c r="AFK459" s="113"/>
      <c r="AFL459" s="113"/>
      <c r="AFM459" s="113"/>
      <c r="AFN459" s="113"/>
      <c r="AFO459" s="113"/>
      <c r="AFP459" s="113"/>
      <c r="AFQ459" s="113"/>
      <c r="AFR459" s="113"/>
      <c r="AFS459" s="113"/>
      <c r="AFT459" s="113"/>
      <c r="AFU459" s="113"/>
      <c r="AFV459" s="113"/>
      <c r="AFW459" s="113"/>
      <c r="AFX459" s="113"/>
      <c r="AFY459" s="113"/>
      <c r="AFZ459" s="113"/>
      <c r="AGA459" s="113"/>
      <c r="AGB459" s="113"/>
      <c r="AGC459" s="113"/>
      <c r="AGD459" s="113"/>
      <c r="AGE459" s="113"/>
      <c r="AGF459" s="113"/>
      <c r="AGG459" s="113"/>
      <c r="AGH459" s="113"/>
      <c r="AGI459" s="113"/>
      <c r="AGJ459" s="113"/>
      <c r="AGK459" s="113"/>
      <c r="AGL459" s="113"/>
      <c r="AGM459" s="113"/>
      <c r="AGN459" s="113"/>
      <c r="AGO459" s="113"/>
      <c r="AGP459" s="113"/>
      <c r="AGQ459" s="113"/>
      <c r="AGR459" s="113"/>
      <c r="AGS459" s="113"/>
      <c r="AGT459" s="113"/>
      <c r="AGU459" s="113"/>
      <c r="AGV459" s="113"/>
      <c r="AGW459" s="113"/>
      <c r="AGX459" s="113"/>
      <c r="AGY459" s="113"/>
      <c r="AGZ459" s="113"/>
      <c r="AHA459" s="113"/>
      <c r="AHB459" s="113"/>
      <c r="AHC459" s="113"/>
      <c r="AHD459" s="113"/>
      <c r="AHE459" s="113"/>
      <c r="AHF459" s="113"/>
      <c r="AHG459" s="113"/>
      <c r="AHH459" s="113"/>
      <c r="AHI459" s="113"/>
      <c r="AHJ459" s="113"/>
      <c r="AHK459" s="113"/>
      <c r="AHL459" s="113"/>
      <c r="AHM459" s="113"/>
      <c r="AHN459" s="113"/>
      <c r="AHO459" s="113"/>
      <c r="AHP459" s="113"/>
      <c r="AHQ459" s="113"/>
      <c r="AHR459" s="113"/>
      <c r="AHS459" s="113"/>
      <c r="AHT459" s="113"/>
      <c r="AHU459" s="113"/>
      <c r="AHV459" s="113"/>
      <c r="AHW459" s="113"/>
      <c r="AHX459" s="113"/>
      <c r="AHY459" s="113"/>
      <c r="AHZ459" s="113"/>
      <c r="AIA459" s="113"/>
      <c r="AIB459" s="113"/>
      <c r="AIC459" s="113"/>
      <c r="AID459" s="113"/>
      <c r="AIE459" s="113"/>
      <c r="AIF459" s="113"/>
      <c r="AIG459" s="113"/>
      <c r="AIH459" s="113"/>
      <c r="AII459" s="113"/>
      <c r="AIJ459" s="113"/>
      <c r="AIK459" s="113"/>
      <c r="AIL459" s="113"/>
      <c r="AIM459" s="113"/>
      <c r="AIN459" s="113"/>
      <c r="AIO459" s="113"/>
      <c r="AIP459" s="113"/>
      <c r="AIQ459" s="113"/>
      <c r="AIR459" s="113"/>
      <c r="AIS459" s="113"/>
      <c r="AIT459" s="113"/>
      <c r="AIU459" s="113"/>
      <c r="AIV459" s="113"/>
      <c r="AIW459" s="113"/>
      <c r="AIX459" s="113"/>
      <c r="AIY459" s="113"/>
      <c r="AIZ459" s="113"/>
    </row>
    <row r="460">
      <c r="A460" s="65" t="s">
        <v>28</v>
      </c>
      <c r="B460" s="65" t="s">
        <v>103</v>
      </c>
      <c r="C460" s="65"/>
      <c r="D460" s="64">
        <f t="shared" si="1"/>
        <v>568.4193667</v>
      </c>
      <c r="F460" s="65">
        <v>31.9752</v>
      </c>
      <c r="G460" s="65">
        <v>8.92358333333333</v>
      </c>
      <c r="H460" s="65">
        <v>0.487283333333333</v>
      </c>
      <c r="I460" s="65">
        <v>1.14676666666667</v>
      </c>
      <c r="K460" s="65">
        <v>3.39873333333333</v>
      </c>
      <c r="N460" s="65">
        <v>19.5478333333333</v>
      </c>
      <c r="Q460" s="65">
        <v>0.620116666666667</v>
      </c>
      <c r="S460" s="65">
        <v>0.95145</v>
      </c>
      <c r="X460" s="65">
        <v>39.1620333333333</v>
      </c>
      <c r="Y460" s="65">
        <v>17.0613666666667</v>
      </c>
      <c r="Z460" s="65">
        <v>4.02523333333333</v>
      </c>
      <c r="AA460" s="65">
        <v>2.30073333333333</v>
      </c>
      <c r="AB460" s="65">
        <v>4.4572</v>
      </c>
      <c r="AE460" s="65">
        <v>70.48215</v>
      </c>
      <c r="AF460" s="65">
        <v>27.5665333333333</v>
      </c>
      <c r="AG460" s="65">
        <v>10.7818166666667</v>
      </c>
      <c r="AH460" s="65">
        <v>1.91811666666667</v>
      </c>
      <c r="AI460" s="65">
        <v>10.6273</v>
      </c>
      <c r="AL460" s="65">
        <v>97.3577333333333</v>
      </c>
      <c r="AM460" s="65">
        <v>2.0666</v>
      </c>
      <c r="AN460" s="65">
        <v>14.0017</v>
      </c>
      <c r="AQ460" s="65">
        <v>106.66915</v>
      </c>
      <c r="AR460" s="65">
        <v>11.2723333333333</v>
      </c>
      <c r="AU460" s="65">
        <v>81.6184</v>
      </c>
    </row>
    <row r="461">
      <c r="A461" s="65" t="s">
        <v>28</v>
      </c>
      <c r="B461" s="65" t="s">
        <v>103</v>
      </c>
      <c r="C461" s="65"/>
      <c r="D461" s="64">
        <f t="shared" si="1"/>
        <v>0</v>
      </c>
    </row>
    <row r="462">
      <c r="A462" s="65" t="s">
        <v>28</v>
      </c>
      <c r="B462" s="65" t="s">
        <v>103</v>
      </c>
      <c r="C462" s="65"/>
      <c r="D462" s="64">
        <f t="shared" si="1"/>
        <v>566.9492833</v>
      </c>
      <c r="F462" s="118">
        <f>HYPERLINK("https://docs.google.com/spreadsheets/d/1OmCLX1fsaMi0Y46I1vgLQKQfotjgjkTi", 31.9752166666667)</f>
        <v>31.97521667</v>
      </c>
      <c r="G462" s="118">
        <f>HYPERLINK("https://docs.google.com/spreadsheets/d/1YMz7E6m-Cm5RLhXDBE8UQ-mq3NrwL79b", 8.92356666666667)</f>
        <v>8.923566667</v>
      </c>
      <c r="H462" s="118">
        <f>HYPERLINK("https://docs.google.com/spreadsheets/d/1oniXmMRBioWRxFRHIgYYzmcetQ7D4NbU", 0.487283333333333)</f>
        <v>0.4872833333</v>
      </c>
      <c r="I462" s="118">
        <f>HYPERLINK("https://docs.google.com/spreadsheets/d/1YfZY97QiNFPZP1lZTDBMQNLUF1rGojB1", 1.14676666666667)</f>
        <v>1.146766667</v>
      </c>
      <c r="K462" s="118">
        <f>HYPERLINK("https://docs.google.com/spreadsheets/d/197DL7jgBiBMkjQ83Uw_xQ0tcc8ITB-57", 3.25108333333333)</f>
        <v>3.251083333</v>
      </c>
      <c r="N462" s="118">
        <f>HYPERLINK("https://docs.google.com/spreadsheets/d/1v3hb2xNLFCgG9VRGadlyqeJhp_4LBATy", 19.5477833333333)</f>
        <v>19.54778333</v>
      </c>
      <c r="Q462" s="118">
        <f>HYPERLINK("https://docs.google.com/spreadsheets/d/1wWysGfyH4tIul_4Y0rf9YfjqPB9qZNQW", 0.620116666666667)</f>
        <v>0.6201166667</v>
      </c>
      <c r="S462" s="118">
        <f>HYPERLINK("https://docs.google.com/spreadsheets/d/1bsfB9UThAzdW6t0UqIPWvvqJwpgzynUS", 0)</f>
        <v>0</v>
      </c>
      <c r="X462" s="118">
        <f>HYPERLINK("https://docs.google.com/spreadsheets/d/1LgcWNhZ4w20vbv-Bl48KRKw00PcxYFA2", 39.16205)</f>
        <v>39.16205</v>
      </c>
      <c r="Y462" s="118">
        <f>HYPERLINK("https://docs.google.com/spreadsheets/d/1ctiXwE6jjNKeYsZCpNCcHKC02ZLe-IoJ", 17.0614)</f>
        <v>17.0614</v>
      </c>
      <c r="Z462" s="118">
        <f>HYPERLINK("https://docs.google.com/spreadsheets/d/1f7HD2vq9kayVkBgo5zdh2B0TBpR21C4g", 3.99171666666667)</f>
        <v>3.991716667</v>
      </c>
      <c r="AA462" s="118">
        <f>HYPERLINK("https://docs.google.com/spreadsheets/d/1PcsJFB1wrl0HZzBFslv8B5XoIJxOi24O", 2.30075)</f>
        <v>2.30075</v>
      </c>
      <c r="AB462" s="118">
        <f>HYPERLINK("https://docs.google.com/spreadsheets/d/1l5wHJBRZzzkRmgylwdHuAmdcaEwwNeGZ", 4.4572)</f>
        <v>4.4572</v>
      </c>
      <c r="AE462" s="118">
        <f>HYPERLINK("https://docs.google.com/spreadsheets/d/18mAFdiOU2PTWUJQoPqPwFqI_fQ8KpiG6", 70.39355)</f>
        <v>70.39355</v>
      </c>
      <c r="AF462" s="118">
        <f>HYPERLINK("https://docs.google.com/spreadsheets/d/1Gx-ctkZdR95QzSplAkdcanvcMhAu2sSz", 27.467)</f>
        <v>27.467</v>
      </c>
      <c r="AG462" s="118">
        <f>HYPERLINK("https://docs.google.com/spreadsheets/d/144HjqV-lzKuUzIWE2iONlUPucQy7PJhP", 10.7818)</f>
        <v>10.7818</v>
      </c>
      <c r="AH462" s="118">
        <f>HYPERLINK("https://docs.google.com/spreadsheets/d/1atr1T1ZtDnWvJ7D9TzhzBLQZAis174mH", 1.9181)</f>
        <v>1.9181</v>
      </c>
      <c r="AI462" s="118">
        <f>HYPERLINK("https://docs.google.com/spreadsheets/d/1tjn94zaWww99rddTH8uPfSRmyqK9FMo5", 10.6273)</f>
        <v>10.6273</v>
      </c>
      <c r="AL462" s="118">
        <f>HYPERLINK("https://docs.google.com/spreadsheets/d/1UnhtZZ5PpAoN1Qr3NiKZ3t9FuaGjgvDN", 97.3577499999999)</f>
        <v>97.35775</v>
      </c>
      <c r="AM462" s="118">
        <f>HYPERLINK("https://docs.google.com/spreadsheets/d/1SVXLahf65jJOQJlQepXVdPsTpARD8hfg", 2.0666)</f>
        <v>2.0666</v>
      </c>
      <c r="AN462" s="118">
        <f>HYPERLINK("https://docs.google.com/spreadsheets/d/1GnrcdxytRXxd_OBzEh_Kqw8tsVUOThf5", 13.8523666666667)</f>
        <v>13.85236667</v>
      </c>
      <c r="AQ462" s="118">
        <f>HYPERLINK("https://docs.google.com/spreadsheets/d/1XP1pA--sFbkutpBXsJ1oXEAQq2A3Jkwb", 106.669116666667)</f>
        <v>106.6691167</v>
      </c>
      <c r="AR462" s="118">
        <f>HYPERLINK("https://docs.google.com/spreadsheets/d/1i8j3qPnL_OznbQQo7YxsG9i4hzu2MNcR", 11.2723333333333)</f>
        <v>11.27233333</v>
      </c>
      <c r="AU462" s="118">
        <f>HYPERLINK("https://docs.google.com/spreadsheets/d/1Ie939UniXp3I3i48jfNfVx_jTqkFgm_4", 81.6184333333333)</f>
        <v>81.61843333</v>
      </c>
    </row>
    <row r="463">
      <c r="A463" s="65" t="s">
        <v>28</v>
      </c>
      <c r="B463" s="65" t="s">
        <v>103</v>
      </c>
      <c r="C463" s="65"/>
      <c r="D463" s="64">
        <f t="shared" si="1"/>
        <v>520.2143667</v>
      </c>
      <c r="F463" s="65">
        <v>31.70265</v>
      </c>
      <c r="G463" s="65">
        <v>8.92356666666667</v>
      </c>
      <c r="H463" s="65">
        <v>0.487283333333333</v>
      </c>
      <c r="I463" s="65">
        <v>1.14676666666667</v>
      </c>
      <c r="K463" s="65">
        <v>1.26783333333333</v>
      </c>
      <c r="N463" s="65">
        <v>17.6539833333333</v>
      </c>
      <c r="Q463" s="65">
        <v>0.620116666666667</v>
      </c>
      <c r="X463" s="65">
        <v>37.30565</v>
      </c>
      <c r="Y463" s="65">
        <v>16.6683</v>
      </c>
      <c r="Z463" s="65">
        <v>3.99171666666667</v>
      </c>
      <c r="AA463" s="65">
        <v>2.13041666666667</v>
      </c>
      <c r="AB463" s="65">
        <v>2.8896</v>
      </c>
      <c r="AE463" s="65">
        <v>64.1745666666667</v>
      </c>
      <c r="AF463" s="65">
        <v>25.7516333333333</v>
      </c>
      <c r="AG463" s="65">
        <v>9.25998333333333</v>
      </c>
      <c r="AH463" s="65">
        <v>1.82576666666667</v>
      </c>
      <c r="AI463" s="65">
        <v>10.04345</v>
      </c>
      <c r="AL463" s="65">
        <v>91.3115666666666</v>
      </c>
      <c r="AM463" s="65">
        <v>2.0666</v>
      </c>
      <c r="AN463" s="65">
        <v>9.32601666666667</v>
      </c>
      <c r="AQ463" s="65">
        <v>98.5703333333334</v>
      </c>
      <c r="AR463" s="65">
        <v>10.3047833333333</v>
      </c>
      <c r="AU463" s="65">
        <v>72.7917833333333</v>
      </c>
    </row>
    <row r="464">
      <c r="A464" s="119" t="s">
        <v>28</v>
      </c>
      <c r="B464" s="119" t="s">
        <v>103</v>
      </c>
      <c r="C464" s="119"/>
      <c r="D464" s="120">
        <f t="shared" si="1"/>
        <v>0</v>
      </c>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c r="AA464" s="120"/>
      <c r="AB464" s="120"/>
      <c r="AC464" s="120"/>
      <c r="AD464" s="120"/>
      <c r="AE464" s="120"/>
      <c r="AF464" s="120"/>
      <c r="AG464" s="120"/>
      <c r="AH464" s="120"/>
      <c r="AI464" s="120"/>
      <c r="AJ464" s="120"/>
      <c r="AK464" s="120"/>
      <c r="AL464" s="120"/>
      <c r="AM464" s="120"/>
      <c r="AN464" s="120"/>
      <c r="AO464" s="120"/>
      <c r="AP464" s="120"/>
      <c r="AQ464" s="120"/>
      <c r="AR464" s="120"/>
      <c r="AS464" s="120"/>
      <c r="AT464" s="120"/>
      <c r="AU464" s="120"/>
      <c r="AV464" s="120"/>
      <c r="AW464" s="120"/>
      <c r="AX464" s="120"/>
      <c r="AY464" s="120"/>
      <c r="AZ464" s="120"/>
      <c r="BA464" s="120"/>
      <c r="BB464" s="120"/>
      <c r="BC464" s="120"/>
      <c r="BD464" s="120"/>
      <c r="BE464" s="120"/>
      <c r="BF464" s="120"/>
      <c r="BG464" s="120"/>
      <c r="BH464" s="120"/>
      <c r="BI464" s="120"/>
      <c r="BJ464" s="120"/>
      <c r="BK464" s="120"/>
      <c r="BL464" s="120"/>
      <c r="BM464" s="120"/>
      <c r="BN464" s="120"/>
      <c r="BO464" s="120"/>
      <c r="BP464" s="120"/>
      <c r="BQ464" s="120"/>
      <c r="BR464" s="120"/>
      <c r="BS464" s="120"/>
      <c r="BT464" s="120"/>
      <c r="BU464" s="120"/>
      <c r="BV464" s="120"/>
      <c r="BW464" s="120"/>
      <c r="BX464" s="120"/>
      <c r="BY464" s="120"/>
      <c r="BZ464" s="120"/>
      <c r="CA464" s="120"/>
      <c r="CB464" s="120"/>
      <c r="CC464" s="120"/>
      <c r="CD464" s="120"/>
      <c r="CE464" s="120"/>
      <c r="CF464" s="120"/>
      <c r="CG464" s="120"/>
      <c r="CH464" s="120"/>
      <c r="CI464" s="120"/>
      <c r="CJ464" s="120"/>
      <c r="CK464" s="120"/>
      <c r="CL464" s="120"/>
      <c r="CM464" s="120"/>
      <c r="CN464" s="120"/>
      <c r="CO464" s="120"/>
      <c r="CP464" s="120"/>
      <c r="CQ464" s="120"/>
      <c r="CR464" s="120"/>
      <c r="CS464" s="120"/>
      <c r="CT464" s="120"/>
      <c r="CU464" s="120"/>
      <c r="CV464" s="120"/>
      <c r="CW464" s="120"/>
      <c r="CX464" s="120"/>
      <c r="CY464" s="120"/>
      <c r="CZ464" s="120"/>
      <c r="DA464" s="120"/>
      <c r="DB464" s="120"/>
      <c r="DC464" s="120"/>
      <c r="DD464" s="120"/>
      <c r="DE464" s="120"/>
      <c r="DF464" s="120"/>
      <c r="DG464" s="120"/>
      <c r="DH464" s="120"/>
      <c r="DI464" s="120"/>
      <c r="DJ464" s="120"/>
      <c r="DK464" s="120"/>
      <c r="DL464" s="120"/>
      <c r="DM464" s="120"/>
      <c r="DN464" s="120"/>
      <c r="DO464" s="120"/>
      <c r="DP464" s="120"/>
      <c r="DQ464" s="120"/>
      <c r="DR464" s="120"/>
      <c r="DS464" s="120"/>
      <c r="DT464" s="120"/>
      <c r="DU464" s="120"/>
      <c r="DV464" s="120"/>
      <c r="DW464" s="120"/>
      <c r="DX464" s="120"/>
      <c r="DY464" s="120"/>
      <c r="DZ464" s="120"/>
      <c r="EA464" s="120"/>
      <c r="EB464" s="120"/>
      <c r="EC464" s="120"/>
      <c r="ED464" s="120"/>
      <c r="EE464" s="120"/>
      <c r="EF464" s="120"/>
      <c r="EG464" s="120"/>
      <c r="EH464" s="120"/>
      <c r="EI464" s="120"/>
      <c r="EJ464" s="120"/>
      <c r="EK464" s="120"/>
      <c r="EL464" s="120"/>
      <c r="EM464" s="120"/>
      <c r="EN464" s="120"/>
      <c r="EO464" s="120"/>
      <c r="EP464" s="120"/>
      <c r="EQ464" s="120"/>
      <c r="ER464" s="120"/>
      <c r="ES464" s="120"/>
      <c r="ET464" s="120"/>
      <c r="EU464" s="120"/>
      <c r="EV464" s="120"/>
      <c r="EW464" s="120"/>
      <c r="EX464" s="120"/>
      <c r="EY464" s="120"/>
      <c r="EZ464" s="120"/>
      <c r="FA464" s="120"/>
      <c r="FB464" s="120"/>
      <c r="FC464" s="120"/>
      <c r="FD464" s="120"/>
      <c r="FE464" s="120"/>
      <c r="FF464" s="120"/>
      <c r="FG464" s="120"/>
      <c r="FH464" s="120"/>
      <c r="FI464" s="120"/>
      <c r="FJ464" s="120"/>
      <c r="FK464" s="120"/>
      <c r="FL464" s="120"/>
      <c r="FM464" s="120"/>
      <c r="FN464" s="120"/>
      <c r="FO464" s="120"/>
      <c r="FP464" s="120"/>
      <c r="FQ464" s="120"/>
      <c r="FR464" s="120"/>
      <c r="FS464" s="120"/>
      <c r="FT464" s="120"/>
      <c r="FU464" s="120"/>
      <c r="FV464" s="120"/>
      <c r="FW464" s="120"/>
      <c r="FX464" s="120"/>
      <c r="FY464" s="120"/>
      <c r="FZ464" s="120"/>
      <c r="GA464" s="120"/>
      <c r="GB464" s="120"/>
      <c r="GC464" s="120"/>
      <c r="GD464" s="120"/>
      <c r="GE464" s="120"/>
      <c r="GF464" s="120"/>
      <c r="GG464" s="120"/>
      <c r="GH464" s="120"/>
      <c r="GI464" s="120"/>
      <c r="GJ464" s="120"/>
      <c r="GK464" s="120"/>
      <c r="GL464" s="120"/>
      <c r="GM464" s="120"/>
      <c r="GN464" s="120"/>
      <c r="GO464" s="120"/>
      <c r="GP464" s="120"/>
      <c r="GQ464" s="120"/>
      <c r="GR464" s="120"/>
      <c r="GS464" s="120"/>
      <c r="GT464" s="120"/>
      <c r="GU464" s="120"/>
      <c r="GV464" s="120"/>
      <c r="GW464" s="120"/>
      <c r="GX464" s="120"/>
      <c r="GY464" s="120"/>
      <c r="GZ464" s="120"/>
      <c r="HA464" s="120"/>
      <c r="HB464" s="120"/>
      <c r="HC464" s="120"/>
      <c r="HD464" s="120"/>
      <c r="HE464" s="120"/>
      <c r="HF464" s="120"/>
      <c r="HG464" s="120"/>
      <c r="HH464" s="120"/>
      <c r="HI464" s="120"/>
      <c r="HJ464" s="120"/>
      <c r="HK464" s="120"/>
      <c r="HL464" s="120"/>
      <c r="HM464" s="120"/>
      <c r="HN464" s="120"/>
      <c r="HO464" s="120"/>
      <c r="HP464" s="120"/>
      <c r="HQ464" s="120"/>
      <c r="HR464" s="120"/>
      <c r="HS464" s="120"/>
      <c r="HT464" s="120"/>
      <c r="HU464" s="120"/>
      <c r="HV464" s="120"/>
      <c r="HW464" s="120"/>
      <c r="HX464" s="120"/>
      <c r="HY464" s="120"/>
      <c r="HZ464" s="120"/>
      <c r="IA464" s="120"/>
      <c r="IB464" s="120"/>
      <c r="IC464" s="120"/>
      <c r="ID464" s="120"/>
      <c r="IE464" s="120"/>
      <c r="IF464" s="120"/>
      <c r="IG464" s="120"/>
      <c r="IH464" s="120"/>
      <c r="II464" s="120"/>
      <c r="IJ464" s="120"/>
      <c r="IK464" s="120"/>
      <c r="IL464" s="120"/>
      <c r="IM464" s="120"/>
      <c r="IN464" s="120"/>
      <c r="IO464" s="120"/>
      <c r="IP464" s="120"/>
      <c r="IQ464" s="120"/>
      <c r="IR464" s="120"/>
      <c r="IS464" s="120"/>
      <c r="IT464" s="120"/>
      <c r="IU464" s="120"/>
      <c r="IV464" s="120"/>
      <c r="IW464" s="120"/>
      <c r="IX464" s="120"/>
      <c r="IY464" s="120"/>
      <c r="IZ464" s="120"/>
      <c r="JA464" s="120"/>
      <c r="JB464" s="120"/>
      <c r="JC464" s="120"/>
      <c r="JD464" s="120"/>
      <c r="JE464" s="120"/>
      <c r="JF464" s="120"/>
      <c r="JG464" s="120"/>
      <c r="JH464" s="120"/>
      <c r="JI464" s="120"/>
      <c r="JJ464" s="120"/>
      <c r="JK464" s="120"/>
      <c r="JL464" s="120"/>
      <c r="JM464" s="120"/>
      <c r="JN464" s="120"/>
      <c r="JO464" s="120"/>
      <c r="JP464" s="120"/>
      <c r="JQ464" s="120"/>
      <c r="JR464" s="120"/>
      <c r="JS464" s="120"/>
      <c r="JT464" s="120"/>
      <c r="JU464" s="120"/>
      <c r="JV464" s="120"/>
      <c r="JW464" s="120"/>
      <c r="JX464" s="120"/>
      <c r="JY464" s="120"/>
      <c r="JZ464" s="120"/>
      <c r="KA464" s="120"/>
      <c r="KB464" s="120"/>
      <c r="KC464" s="120"/>
      <c r="KD464" s="120"/>
      <c r="KE464" s="120"/>
      <c r="KF464" s="120"/>
      <c r="KG464" s="120"/>
      <c r="KH464" s="120"/>
      <c r="KI464" s="120"/>
      <c r="KJ464" s="120"/>
      <c r="KK464" s="120"/>
      <c r="KL464" s="120"/>
      <c r="KM464" s="120"/>
      <c r="KN464" s="120"/>
      <c r="KO464" s="120"/>
      <c r="KP464" s="120"/>
      <c r="KQ464" s="120"/>
      <c r="KR464" s="120"/>
      <c r="KS464" s="120"/>
      <c r="KT464" s="120"/>
      <c r="KU464" s="120"/>
      <c r="KV464" s="120"/>
      <c r="KW464" s="120"/>
      <c r="KX464" s="120"/>
      <c r="KY464" s="120"/>
      <c r="KZ464" s="120"/>
      <c r="LA464" s="120"/>
      <c r="LB464" s="120"/>
      <c r="LC464" s="120"/>
      <c r="LD464" s="120"/>
      <c r="LE464" s="120"/>
      <c r="LF464" s="120"/>
      <c r="LG464" s="120"/>
      <c r="LH464" s="120"/>
      <c r="LI464" s="120"/>
      <c r="LJ464" s="120"/>
      <c r="LK464" s="120"/>
      <c r="LL464" s="120"/>
      <c r="LM464" s="120"/>
      <c r="LN464" s="120"/>
      <c r="LO464" s="120"/>
      <c r="LP464" s="120"/>
      <c r="LQ464" s="120"/>
      <c r="LR464" s="120"/>
      <c r="LS464" s="120"/>
      <c r="LT464" s="120"/>
      <c r="LU464" s="120"/>
      <c r="LV464" s="120"/>
      <c r="LW464" s="120"/>
      <c r="LX464" s="120"/>
      <c r="LY464" s="120"/>
      <c r="LZ464" s="120"/>
      <c r="MA464" s="120"/>
      <c r="MB464" s="120"/>
      <c r="MC464" s="120"/>
      <c r="MD464" s="120"/>
      <c r="ME464" s="120"/>
      <c r="MF464" s="120"/>
      <c r="MG464" s="120"/>
      <c r="MH464" s="120"/>
      <c r="MI464" s="120"/>
      <c r="MJ464" s="120"/>
      <c r="MK464" s="120"/>
      <c r="ML464" s="120"/>
      <c r="MM464" s="120"/>
      <c r="MN464" s="120"/>
      <c r="MO464" s="120"/>
      <c r="MP464" s="120"/>
      <c r="MQ464" s="120"/>
      <c r="MR464" s="120"/>
      <c r="MS464" s="120"/>
      <c r="MT464" s="120"/>
      <c r="MU464" s="120"/>
      <c r="MV464" s="120"/>
      <c r="MW464" s="120"/>
      <c r="MX464" s="120"/>
      <c r="MY464" s="120"/>
      <c r="MZ464" s="120"/>
      <c r="NA464" s="120"/>
      <c r="NB464" s="120"/>
      <c r="NC464" s="120"/>
      <c r="ND464" s="120"/>
      <c r="NE464" s="120"/>
      <c r="NF464" s="120"/>
      <c r="NG464" s="120"/>
      <c r="NH464" s="120"/>
      <c r="NI464" s="120"/>
      <c r="NJ464" s="120"/>
      <c r="NK464" s="120"/>
      <c r="NL464" s="120"/>
      <c r="NM464" s="120"/>
      <c r="NN464" s="120"/>
      <c r="NO464" s="120"/>
      <c r="NP464" s="120"/>
      <c r="NQ464" s="120"/>
      <c r="NR464" s="120"/>
      <c r="NS464" s="120"/>
      <c r="NT464" s="120"/>
      <c r="NU464" s="120"/>
      <c r="NV464" s="120"/>
      <c r="NW464" s="120"/>
      <c r="NX464" s="120"/>
      <c r="NY464" s="120"/>
      <c r="NZ464" s="120"/>
      <c r="OA464" s="120"/>
      <c r="OB464" s="120"/>
      <c r="OC464" s="120"/>
      <c r="OD464" s="120"/>
      <c r="OE464" s="120"/>
      <c r="OF464" s="120"/>
      <c r="OG464" s="120"/>
      <c r="OH464" s="120"/>
      <c r="OI464" s="120"/>
      <c r="OJ464" s="120"/>
      <c r="OK464" s="120"/>
      <c r="OL464" s="120"/>
      <c r="OM464" s="120"/>
      <c r="ON464" s="120"/>
      <c r="OO464" s="120"/>
      <c r="OP464" s="120"/>
      <c r="OQ464" s="120"/>
      <c r="OR464" s="120"/>
      <c r="OS464" s="120"/>
      <c r="OT464" s="120"/>
      <c r="OU464" s="120"/>
      <c r="OV464" s="120"/>
      <c r="OW464" s="120"/>
      <c r="OX464" s="120"/>
      <c r="OY464" s="120"/>
      <c r="OZ464" s="120"/>
      <c r="PA464" s="120"/>
      <c r="PB464" s="120"/>
      <c r="PC464" s="120"/>
      <c r="PD464" s="120"/>
      <c r="PE464" s="120"/>
      <c r="PF464" s="120"/>
      <c r="PG464" s="120"/>
      <c r="PH464" s="120"/>
      <c r="PI464" s="120"/>
      <c r="PJ464" s="120"/>
      <c r="PK464" s="120"/>
      <c r="PL464" s="120"/>
      <c r="PM464" s="120"/>
      <c r="PN464" s="120"/>
      <c r="PO464" s="120"/>
      <c r="PP464" s="120"/>
      <c r="PQ464" s="120"/>
      <c r="PR464" s="120"/>
      <c r="PS464" s="120"/>
      <c r="PT464" s="120"/>
      <c r="PU464" s="120"/>
      <c r="PV464" s="120"/>
      <c r="PW464" s="120"/>
      <c r="PX464" s="120"/>
      <c r="PY464" s="120"/>
      <c r="PZ464" s="120"/>
      <c r="QA464" s="120"/>
      <c r="QB464" s="120"/>
      <c r="QC464" s="120"/>
      <c r="QD464" s="120"/>
      <c r="QE464" s="120"/>
      <c r="QF464" s="120"/>
      <c r="QG464" s="120"/>
      <c r="QH464" s="120"/>
      <c r="QI464" s="120"/>
      <c r="QJ464" s="120"/>
      <c r="QK464" s="120"/>
      <c r="QL464" s="120"/>
      <c r="QM464" s="120"/>
      <c r="QN464" s="120"/>
      <c r="QO464" s="120"/>
      <c r="QP464" s="120"/>
      <c r="QQ464" s="120"/>
      <c r="QR464" s="120"/>
      <c r="QS464" s="120"/>
      <c r="QT464" s="120"/>
      <c r="QU464" s="120"/>
      <c r="QV464" s="120"/>
      <c r="QW464" s="120"/>
      <c r="QX464" s="120"/>
      <c r="QY464" s="120"/>
      <c r="QZ464" s="120"/>
      <c r="RA464" s="120"/>
      <c r="RB464" s="120"/>
      <c r="RC464" s="120"/>
      <c r="RD464" s="120"/>
      <c r="RE464" s="120"/>
      <c r="RF464" s="120"/>
      <c r="RG464" s="120"/>
      <c r="RH464" s="120"/>
      <c r="RI464" s="120"/>
      <c r="RJ464" s="120"/>
      <c r="RK464" s="120"/>
      <c r="RL464" s="120"/>
      <c r="RM464" s="120"/>
      <c r="RN464" s="120"/>
      <c r="RO464" s="120"/>
      <c r="RP464" s="120"/>
      <c r="RQ464" s="120"/>
      <c r="RR464" s="120"/>
      <c r="RS464" s="120"/>
      <c r="RT464" s="120"/>
      <c r="RU464" s="120"/>
      <c r="RV464" s="120"/>
      <c r="RW464" s="120"/>
      <c r="RX464" s="120"/>
      <c r="RY464" s="120"/>
      <c r="RZ464" s="120"/>
      <c r="SA464" s="120"/>
      <c r="SB464" s="120"/>
      <c r="SC464" s="120"/>
      <c r="SD464" s="120"/>
      <c r="SE464" s="120"/>
      <c r="SF464" s="120"/>
      <c r="SG464" s="120"/>
      <c r="SH464" s="120"/>
      <c r="SI464" s="120"/>
      <c r="SJ464" s="120"/>
      <c r="SK464" s="120"/>
      <c r="SL464" s="120"/>
      <c r="SM464" s="120"/>
      <c r="SN464" s="120"/>
      <c r="SO464" s="120"/>
      <c r="SP464" s="120"/>
      <c r="SQ464" s="120"/>
      <c r="SR464" s="120"/>
      <c r="SS464" s="120"/>
      <c r="ST464" s="120"/>
      <c r="SU464" s="120"/>
      <c r="SV464" s="120"/>
      <c r="SW464" s="120"/>
      <c r="SX464" s="120"/>
      <c r="SY464" s="120"/>
      <c r="SZ464" s="120"/>
      <c r="TA464" s="120"/>
      <c r="TB464" s="120"/>
      <c r="TC464" s="120"/>
      <c r="TD464" s="120"/>
      <c r="TE464" s="120"/>
      <c r="TF464" s="120"/>
      <c r="TG464" s="120"/>
      <c r="TH464" s="120"/>
      <c r="TI464" s="120"/>
      <c r="TJ464" s="120"/>
      <c r="TK464" s="120"/>
      <c r="TL464" s="120"/>
      <c r="TM464" s="120"/>
      <c r="TN464" s="120"/>
      <c r="TO464" s="120"/>
      <c r="TP464" s="120"/>
      <c r="TQ464" s="120"/>
      <c r="TR464" s="120"/>
      <c r="TS464" s="120"/>
      <c r="TT464" s="120"/>
      <c r="TU464" s="120"/>
      <c r="TV464" s="120"/>
      <c r="TW464" s="120"/>
      <c r="TX464" s="120"/>
      <c r="TY464" s="120"/>
      <c r="TZ464" s="120"/>
      <c r="UA464" s="120"/>
      <c r="UB464" s="120"/>
      <c r="UC464" s="120"/>
      <c r="UD464" s="120"/>
      <c r="UE464" s="120"/>
      <c r="UF464" s="120"/>
      <c r="UG464" s="120"/>
      <c r="UH464" s="120"/>
      <c r="UI464" s="120"/>
      <c r="UJ464" s="120"/>
      <c r="UK464" s="120"/>
      <c r="UL464" s="120"/>
      <c r="UM464" s="120"/>
      <c r="UN464" s="120"/>
      <c r="UO464" s="120"/>
      <c r="UP464" s="120"/>
      <c r="UQ464" s="120"/>
      <c r="UR464" s="120"/>
      <c r="US464" s="120"/>
      <c r="UT464" s="120"/>
      <c r="UU464" s="120"/>
      <c r="UV464" s="120"/>
      <c r="UW464" s="120"/>
      <c r="UX464" s="120"/>
      <c r="UY464" s="120"/>
      <c r="UZ464" s="120"/>
      <c r="VA464" s="120"/>
      <c r="VB464" s="120"/>
      <c r="VC464" s="120"/>
      <c r="VD464" s="120"/>
      <c r="VE464" s="120"/>
      <c r="VF464" s="120"/>
      <c r="VG464" s="120"/>
      <c r="VH464" s="120"/>
      <c r="VI464" s="120"/>
      <c r="VJ464" s="120"/>
      <c r="VK464" s="120"/>
      <c r="VL464" s="120"/>
      <c r="VM464" s="120"/>
      <c r="VN464" s="120"/>
      <c r="VO464" s="120"/>
      <c r="VP464" s="120"/>
      <c r="VQ464" s="120"/>
      <c r="VR464" s="120"/>
      <c r="VS464" s="120"/>
      <c r="VT464" s="120"/>
      <c r="VU464" s="120"/>
      <c r="VV464" s="120"/>
      <c r="VW464" s="120"/>
      <c r="VX464" s="120"/>
      <c r="VY464" s="120"/>
      <c r="VZ464" s="120"/>
      <c r="WA464" s="120"/>
      <c r="WB464" s="120"/>
      <c r="WC464" s="120"/>
      <c r="WD464" s="120"/>
      <c r="WE464" s="120"/>
      <c r="WF464" s="120"/>
      <c r="WG464" s="120"/>
      <c r="WH464" s="120"/>
      <c r="WI464" s="120"/>
      <c r="WJ464" s="120"/>
      <c r="WK464" s="120"/>
      <c r="WL464" s="120"/>
      <c r="WM464" s="120"/>
      <c r="WN464" s="120"/>
      <c r="WO464" s="120"/>
      <c r="WP464" s="120"/>
      <c r="WQ464" s="120"/>
      <c r="WR464" s="120"/>
      <c r="WS464" s="120"/>
      <c r="WT464" s="120"/>
      <c r="WU464" s="120"/>
      <c r="WV464" s="120"/>
      <c r="WW464" s="120"/>
      <c r="WX464" s="120"/>
      <c r="WY464" s="120"/>
      <c r="WZ464" s="120"/>
      <c r="XA464" s="120"/>
      <c r="XB464" s="120"/>
      <c r="XC464" s="120"/>
      <c r="XD464" s="120"/>
      <c r="XE464" s="120"/>
      <c r="XF464" s="120"/>
      <c r="XG464" s="120"/>
      <c r="XH464" s="120"/>
      <c r="XI464" s="120"/>
      <c r="XJ464" s="120"/>
      <c r="XK464" s="120"/>
      <c r="XL464" s="120"/>
      <c r="XM464" s="120"/>
      <c r="XN464" s="120"/>
      <c r="XO464" s="120"/>
      <c r="XP464" s="120"/>
      <c r="XQ464" s="120"/>
      <c r="XR464" s="120"/>
      <c r="XS464" s="120"/>
      <c r="XT464" s="120"/>
      <c r="XU464" s="120"/>
      <c r="XV464" s="120"/>
      <c r="XW464" s="120"/>
      <c r="XX464" s="120"/>
      <c r="XY464" s="120"/>
      <c r="XZ464" s="120"/>
      <c r="YA464" s="120"/>
      <c r="YB464" s="120"/>
      <c r="YC464" s="120"/>
      <c r="YD464" s="120"/>
      <c r="YE464" s="120"/>
      <c r="YF464" s="120"/>
      <c r="YG464" s="120"/>
      <c r="YH464" s="120"/>
      <c r="YI464" s="120"/>
      <c r="YJ464" s="120"/>
      <c r="YK464" s="120"/>
      <c r="YL464" s="120"/>
      <c r="YM464" s="120"/>
      <c r="YN464" s="120"/>
      <c r="YO464" s="120"/>
      <c r="YP464" s="120"/>
      <c r="YQ464" s="120"/>
      <c r="YR464" s="120"/>
      <c r="YS464" s="120"/>
      <c r="YT464" s="120"/>
      <c r="YU464" s="120"/>
      <c r="YV464" s="120"/>
      <c r="YW464" s="120"/>
      <c r="YX464" s="120"/>
      <c r="YY464" s="120"/>
      <c r="YZ464" s="120"/>
      <c r="ZA464" s="120"/>
      <c r="ZB464" s="120"/>
      <c r="ZC464" s="120"/>
      <c r="ZD464" s="120"/>
      <c r="ZE464" s="120"/>
      <c r="ZF464" s="120"/>
      <c r="ZG464" s="120"/>
      <c r="ZH464" s="120"/>
      <c r="ZI464" s="120"/>
      <c r="ZJ464" s="120"/>
      <c r="ZK464" s="120"/>
      <c r="ZL464" s="120"/>
      <c r="ZM464" s="120"/>
      <c r="ZN464" s="120"/>
      <c r="ZO464" s="120"/>
      <c r="ZP464" s="120"/>
      <c r="ZQ464" s="120"/>
      <c r="ZR464" s="120"/>
      <c r="ZS464" s="120"/>
      <c r="ZT464" s="120"/>
      <c r="ZU464" s="120"/>
      <c r="ZV464" s="120"/>
      <c r="ZW464" s="120"/>
      <c r="ZX464" s="120"/>
      <c r="ZY464" s="120"/>
      <c r="ZZ464" s="120"/>
      <c r="AAA464" s="120"/>
      <c r="AAB464" s="120"/>
      <c r="AAC464" s="120"/>
      <c r="AAD464" s="120"/>
      <c r="AAE464" s="120"/>
      <c r="AAF464" s="120"/>
      <c r="AAG464" s="120"/>
      <c r="AAH464" s="120"/>
      <c r="AAI464" s="120"/>
      <c r="AAJ464" s="120"/>
      <c r="AAK464" s="120"/>
      <c r="AAL464" s="120"/>
      <c r="AAM464" s="120"/>
      <c r="AAN464" s="120"/>
      <c r="AAO464" s="120"/>
      <c r="AAP464" s="120"/>
      <c r="AAQ464" s="120"/>
      <c r="AAR464" s="120"/>
      <c r="AAS464" s="120"/>
      <c r="AAT464" s="120"/>
      <c r="AAU464" s="120"/>
      <c r="AAV464" s="120"/>
      <c r="AAW464" s="120"/>
      <c r="AAX464" s="120"/>
      <c r="AAY464" s="120"/>
      <c r="AAZ464" s="120"/>
      <c r="ABA464" s="120"/>
      <c r="ABB464" s="120"/>
      <c r="ABC464" s="120"/>
      <c r="ABD464" s="120"/>
      <c r="ABE464" s="120"/>
      <c r="ABF464" s="120"/>
      <c r="ABG464" s="120"/>
      <c r="ABH464" s="120"/>
      <c r="ABI464" s="120"/>
      <c r="ABJ464" s="120"/>
      <c r="ABK464" s="120"/>
      <c r="ABL464" s="120"/>
      <c r="ABM464" s="120"/>
      <c r="ABN464" s="120"/>
      <c r="ABO464" s="120"/>
      <c r="ABP464" s="120"/>
      <c r="ABQ464" s="120"/>
      <c r="ABR464" s="120"/>
      <c r="ABS464" s="120"/>
      <c r="ABT464" s="120"/>
      <c r="ABU464" s="120"/>
      <c r="ABV464" s="120"/>
      <c r="ABW464" s="120"/>
      <c r="ABX464" s="120"/>
      <c r="ABY464" s="120"/>
      <c r="ABZ464" s="120"/>
      <c r="ACA464" s="120"/>
      <c r="ACB464" s="120"/>
      <c r="ACC464" s="120"/>
      <c r="ACD464" s="120"/>
      <c r="ACE464" s="120"/>
      <c r="ACF464" s="120"/>
      <c r="ACG464" s="120"/>
      <c r="ACH464" s="120"/>
      <c r="ACI464" s="120"/>
      <c r="ACJ464" s="120"/>
      <c r="ACK464" s="120"/>
      <c r="ACL464" s="120"/>
      <c r="ACM464" s="120"/>
      <c r="ACN464" s="120"/>
      <c r="ACO464" s="120"/>
      <c r="ACP464" s="120"/>
      <c r="ACQ464" s="120"/>
      <c r="ACR464" s="120"/>
      <c r="ACS464" s="120"/>
      <c r="ACT464" s="120"/>
      <c r="ACU464" s="120"/>
      <c r="ACV464" s="120"/>
      <c r="ACW464" s="120"/>
      <c r="ACX464" s="120"/>
      <c r="ACY464" s="120"/>
      <c r="ACZ464" s="120"/>
      <c r="ADA464" s="120"/>
      <c r="ADB464" s="120"/>
      <c r="ADC464" s="120"/>
      <c r="ADD464" s="120"/>
      <c r="ADE464" s="120"/>
      <c r="ADF464" s="120"/>
      <c r="ADG464" s="120"/>
      <c r="ADH464" s="120"/>
      <c r="ADI464" s="120"/>
      <c r="ADJ464" s="120"/>
      <c r="ADK464" s="120"/>
      <c r="ADL464" s="120"/>
      <c r="ADM464" s="120"/>
      <c r="ADN464" s="120"/>
      <c r="ADO464" s="120"/>
      <c r="ADP464" s="120"/>
      <c r="ADQ464" s="120"/>
      <c r="ADR464" s="120"/>
      <c r="ADS464" s="120"/>
      <c r="ADT464" s="120"/>
      <c r="ADU464" s="120"/>
      <c r="ADV464" s="120"/>
      <c r="ADW464" s="120"/>
      <c r="ADX464" s="120"/>
      <c r="ADY464" s="120"/>
      <c r="ADZ464" s="120"/>
      <c r="AEA464" s="120"/>
      <c r="AEB464" s="120"/>
      <c r="AEC464" s="120"/>
      <c r="AED464" s="120"/>
      <c r="AEE464" s="120"/>
      <c r="AEF464" s="120"/>
      <c r="AEG464" s="120"/>
      <c r="AEH464" s="120"/>
      <c r="AEI464" s="120"/>
      <c r="AEJ464" s="120"/>
      <c r="AEK464" s="120"/>
      <c r="AEL464" s="120"/>
      <c r="AEM464" s="120"/>
      <c r="AEN464" s="120"/>
      <c r="AEO464" s="120"/>
      <c r="AEP464" s="120"/>
      <c r="AEQ464" s="120"/>
      <c r="AER464" s="120"/>
      <c r="AES464" s="120"/>
      <c r="AET464" s="120"/>
      <c r="AEU464" s="120"/>
      <c r="AEV464" s="120"/>
      <c r="AEW464" s="120"/>
      <c r="AEX464" s="120"/>
      <c r="AEY464" s="120"/>
      <c r="AEZ464" s="120"/>
      <c r="AFA464" s="120"/>
      <c r="AFB464" s="120"/>
      <c r="AFC464" s="120"/>
      <c r="AFD464" s="120"/>
      <c r="AFE464" s="120"/>
      <c r="AFF464" s="120"/>
      <c r="AFG464" s="120"/>
      <c r="AFH464" s="120"/>
      <c r="AFI464" s="120"/>
      <c r="AFJ464" s="120"/>
      <c r="AFK464" s="120"/>
      <c r="AFL464" s="120"/>
      <c r="AFM464" s="120"/>
      <c r="AFN464" s="120"/>
      <c r="AFO464" s="120"/>
      <c r="AFP464" s="120"/>
      <c r="AFQ464" s="120"/>
      <c r="AFR464" s="120"/>
      <c r="AFS464" s="120"/>
      <c r="AFT464" s="120"/>
      <c r="AFU464" s="120"/>
      <c r="AFV464" s="120"/>
      <c r="AFW464" s="120"/>
      <c r="AFX464" s="120"/>
      <c r="AFY464" s="120"/>
      <c r="AFZ464" s="120"/>
      <c r="AGA464" s="120"/>
      <c r="AGB464" s="120"/>
      <c r="AGC464" s="120"/>
      <c r="AGD464" s="120"/>
      <c r="AGE464" s="120"/>
      <c r="AGF464" s="120"/>
      <c r="AGG464" s="120"/>
      <c r="AGH464" s="120"/>
      <c r="AGI464" s="120"/>
      <c r="AGJ464" s="120"/>
      <c r="AGK464" s="120"/>
      <c r="AGL464" s="120"/>
      <c r="AGM464" s="120"/>
      <c r="AGN464" s="120"/>
      <c r="AGO464" s="120"/>
      <c r="AGP464" s="120"/>
      <c r="AGQ464" s="120"/>
      <c r="AGR464" s="120"/>
      <c r="AGS464" s="120"/>
      <c r="AGT464" s="120"/>
      <c r="AGU464" s="120"/>
      <c r="AGV464" s="120"/>
      <c r="AGW464" s="120"/>
      <c r="AGX464" s="120"/>
      <c r="AGY464" s="120"/>
      <c r="AGZ464" s="120"/>
      <c r="AHA464" s="120"/>
      <c r="AHB464" s="120"/>
      <c r="AHC464" s="120"/>
      <c r="AHD464" s="120"/>
      <c r="AHE464" s="120"/>
      <c r="AHF464" s="120"/>
      <c r="AHG464" s="120"/>
      <c r="AHH464" s="120"/>
      <c r="AHI464" s="120"/>
      <c r="AHJ464" s="120"/>
      <c r="AHK464" s="120"/>
      <c r="AHL464" s="120"/>
      <c r="AHM464" s="120"/>
      <c r="AHN464" s="120"/>
      <c r="AHO464" s="120"/>
      <c r="AHP464" s="120"/>
      <c r="AHQ464" s="120"/>
      <c r="AHR464" s="120"/>
      <c r="AHS464" s="120"/>
      <c r="AHT464" s="120"/>
      <c r="AHU464" s="120"/>
      <c r="AHV464" s="120"/>
      <c r="AHW464" s="120"/>
      <c r="AHX464" s="120"/>
      <c r="AHY464" s="120"/>
      <c r="AHZ464" s="120"/>
      <c r="AIA464" s="120"/>
      <c r="AIB464" s="120"/>
      <c r="AIC464" s="120"/>
      <c r="AID464" s="120"/>
      <c r="AIE464" s="120"/>
      <c r="AIF464" s="120"/>
      <c r="AIG464" s="120"/>
      <c r="AIH464" s="120"/>
      <c r="AII464" s="120"/>
      <c r="AIJ464" s="120"/>
      <c r="AIK464" s="120"/>
      <c r="AIL464" s="120"/>
      <c r="AIM464" s="120"/>
      <c r="AIN464" s="120"/>
      <c r="AIO464" s="120"/>
      <c r="AIP464" s="120"/>
      <c r="AIQ464" s="120"/>
      <c r="AIR464" s="120"/>
      <c r="AIS464" s="120"/>
      <c r="AIT464" s="120"/>
      <c r="AIU464" s="120"/>
      <c r="AIV464" s="120"/>
      <c r="AIW464" s="120"/>
      <c r="AIX464" s="120"/>
      <c r="AIY464" s="120"/>
      <c r="AIZ464" s="120"/>
    </row>
    <row r="465">
      <c r="A465" s="112" t="s">
        <v>28</v>
      </c>
      <c r="B465" s="112" t="s">
        <v>81</v>
      </c>
      <c r="C465" s="112"/>
      <c r="D465" s="113">
        <f t="shared" si="1"/>
        <v>558.2326</v>
      </c>
      <c r="E465" s="112">
        <v>66.1398833333333</v>
      </c>
      <c r="F465" s="113"/>
      <c r="G465" s="113"/>
      <c r="H465" s="113"/>
      <c r="I465" s="113"/>
      <c r="J465" s="113"/>
      <c r="K465" s="113"/>
      <c r="L465" s="112">
        <v>0.855566666666667</v>
      </c>
      <c r="M465" s="112">
        <v>36.8537833333333</v>
      </c>
      <c r="N465" s="113"/>
      <c r="O465" s="112">
        <v>0.0957166666666667</v>
      </c>
      <c r="P465" s="112">
        <v>4.45286666666667</v>
      </c>
      <c r="Q465" s="113"/>
      <c r="R465" s="113"/>
      <c r="S465" s="113"/>
      <c r="T465" s="113"/>
      <c r="U465" s="113"/>
      <c r="V465" s="112">
        <v>0.388966666666667</v>
      </c>
      <c r="W465" s="112">
        <v>47.2172</v>
      </c>
      <c r="X465" s="113"/>
      <c r="Y465" s="113"/>
      <c r="Z465" s="113"/>
      <c r="AA465" s="113"/>
      <c r="AB465" s="113"/>
      <c r="AC465" s="112">
        <v>0.202383333333333</v>
      </c>
      <c r="AD465" s="112">
        <v>72.3782</v>
      </c>
      <c r="AE465" s="113"/>
      <c r="AF465" s="113"/>
      <c r="AG465" s="113"/>
      <c r="AH465" s="113"/>
      <c r="AI465" s="113"/>
      <c r="AJ465" s="112">
        <v>2.11861666666667</v>
      </c>
      <c r="AK465" s="112">
        <v>157.622466666667</v>
      </c>
      <c r="AL465" s="113"/>
      <c r="AM465" s="113"/>
      <c r="AN465" s="113"/>
      <c r="AO465" s="112">
        <v>8.54498333333333</v>
      </c>
      <c r="AP465" s="112">
        <v>88.5044833333334</v>
      </c>
      <c r="AQ465" s="113"/>
      <c r="AR465" s="113"/>
      <c r="AS465" s="112">
        <v>4.65868333333333</v>
      </c>
      <c r="AT465" s="112">
        <v>61.7210333333334</v>
      </c>
      <c r="AU465" s="113"/>
      <c r="AV465" s="112">
        <v>5.53653333333333</v>
      </c>
      <c r="AW465" s="112">
        <v>0.941233333333333</v>
      </c>
      <c r="AX465" s="113"/>
      <c r="AY465" s="113"/>
      <c r="AZ465" s="113"/>
      <c r="BA465" s="113"/>
      <c r="BB465" s="113"/>
      <c r="BC465" s="113"/>
      <c r="BD465" s="113"/>
      <c r="BE465" s="113"/>
      <c r="BF465" s="113"/>
      <c r="BG465" s="113"/>
      <c r="BH465" s="113"/>
      <c r="BI465" s="113"/>
      <c r="BJ465" s="113"/>
      <c r="BK465" s="113"/>
      <c r="BL465" s="113"/>
      <c r="BM465" s="113"/>
      <c r="BN465" s="113"/>
      <c r="BO465" s="113"/>
      <c r="BP465" s="113"/>
      <c r="BQ465" s="113"/>
      <c r="BR465" s="113"/>
      <c r="BS465" s="113"/>
      <c r="BT465" s="113"/>
      <c r="BU465" s="113"/>
      <c r="BV465" s="113"/>
      <c r="BW465" s="113"/>
      <c r="BX465" s="113"/>
      <c r="BY465" s="113"/>
      <c r="BZ465" s="113"/>
      <c r="CA465" s="113"/>
      <c r="CB465" s="113"/>
      <c r="CC465" s="113"/>
      <c r="CD465" s="113"/>
      <c r="CE465" s="113"/>
      <c r="CF465" s="113"/>
      <c r="CG465" s="113"/>
      <c r="CH465" s="113"/>
      <c r="CI465" s="113"/>
      <c r="CJ465" s="113"/>
      <c r="CK465" s="113"/>
      <c r="CL465" s="113"/>
      <c r="CM465" s="113"/>
      <c r="CN465" s="113"/>
      <c r="CO465" s="113"/>
      <c r="CP465" s="113"/>
      <c r="CQ465" s="113"/>
      <c r="CR465" s="113"/>
      <c r="CS465" s="113"/>
      <c r="CT465" s="113"/>
      <c r="CU465" s="113"/>
      <c r="CV465" s="113"/>
      <c r="CW465" s="113"/>
      <c r="CX465" s="113"/>
      <c r="CY465" s="113"/>
      <c r="CZ465" s="113"/>
      <c r="DA465" s="113"/>
      <c r="DB465" s="113"/>
      <c r="DC465" s="113"/>
      <c r="DD465" s="113"/>
      <c r="DE465" s="113"/>
      <c r="DF465" s="113"/>
      <c r="DG465" s="113"/>
      <c r="DH465" s="113"/>
      <c r="DI465" s="113"/>
      <c r="DJ465" s="113"/>
      <c r="DK465" s="113"/>
      <c r="DL465" s="113"/>
      <c r="DM465" s="113"/>
      <c r="DN465" s="113"/>
      <c r="DO465" s="113"/>
      <c r="DP465" s="113"/>
      <c r="DQ465" s="113"/>
      <c r="DR465" s="113"/>
      <c r="DS465" s="113"/>
      <c r="DT465" s="113"/>
      <c r="DU465" s="113"/>
      <c r="DV465" s="113"/>
      <c r="DW465" s="113"/>
      <c r="DX465" s="113"/>
      <c r="DY465" s="113"/>
      <c r="DZ465" s="113"/>
      <c r="EA465" s="113"/>
      <c r="EB465" s="113"/>
      <c r="EC465" s="113"/>
      <c r="ED465" s="113"/>
      <c r="EE465" s="113"/>
      <c r="EF465" s="113"/>
      <c r="EG465" s="113"/>
      <c r="EH465" s="113"/>
      <c r="EI465" s="113"/>
      <c r="EJ465" s="113"/>
      <c r="EK465" s="113"/>
      <c r="EL465" s="113"/>
      <c r="EM465" s="113"/>
      <c r="EN465" s="113"/>
      <c r="EO465" s="113"/>
      <c r="EP465" s="113"/>
      <c r="EQ465" s="113"/>
      <c r="ER465" s="113"/>
      <c r="ES465" s="113"/>
      <c r="ET465" s="113"/>
      <c r="EU465" s="113"/>
      <c r="EV465" s="113"/>
      <c r="EW465" s="113"/>
      <c r="EX465" s="113"/>
      <c r="EY465" s="113"/>
      <c r="EZ465" s="113"/>
      <c r="FA465" s="113"/>
      <c r="FB465" s="113"/>
      <c r="FC465" s="113"/>
      <c r="FD465" s="113"/>
      <c r="FE465" s="113"/>
      <c r="FF465" s="113"/>
      <c r="FG465" s="113"/>
      <c r="FH465" s="113"/>
      <c r="FI465" s="113"/>
      <c r="FJ465" s="113"/>
      <c r="FK465" s="113"/>
      <c r="FL465" s="113"/>
      <c r="FM465" s="113"/>
      <c r="FN465" s="113"/>
      <c r="FO465" s="113"/>
      <c r="FP465" s="113"/>
      <c r="FQ465" s="113"/>
      <c r="FR465" s="113"/>
      <c r="FS465" s="113"/>
      <c r="FT465" s="113"/>
      <c r="FU465" s="113"/>
      <c r="FV465" s="113"/>
      <c r="FW465" s="113"/>
      <c r="FX465" s="113"/>
      <c r="FY465" s="113"/>
      <c r="FZ465" s="113"/>
      <c r="GA465" s="113"/>
      <c r="GB465" s="113"/>
      <c r="GC465" s="113"/>
      <c r="GD465" s="113"/>
      <c r="GE465" s="113"/>
      <c r="GF465" s="113"/>
      <c r="GG465" s="113"/>
      <c r="GH465" s="113"/>
      <c r="GI465" s="113"/>
      <c r="GJ465" s="113"/>
      <c r="GK465" s="113"/>
      <c r="GL465" s="113"/>
      <c r="GM465" s="113"/>
      <c r="GN465" s="113"/>
      <c r="GO465" s="113"/>
      <c r="GP465" s="113"/>
      <c r="GQ465" s="113"/>
      <c r="GR465" s="113"/>
      <c r="GS465" s="113"/>
      <c r="GT465" s="113"/>
      <c r="GU465" s="113"/>
      <c r="GV465" s="113"/>
      <c r="GW465" s="113"/>
      <c r="GX465" s="113"/>
      <c r="GY465" s="113"/>
      <c r="GZ465" s="113"/>
      <c r="HA465" s="113"/>
      <c r="HB465" s="113"/>
      <c r="HC465" s="113"/>
      <c r="HD465" s="113"/>
      <c r="HE465" s="113"/>
      <c r="HF465" s="113"/>
      <c r="HG465" s="113"/>
      <c r="HH465" s="113"/>
      <c r="HI465" s="113"/>
      <c r="HJ465" s="113"/>
      <c r="HK465" s="113"/>
      <c r="HL465" s="113"/>
      <c r="HM465" s="113"/>
      <c r="HN465" s="113"/>
      <c r="HO465" s="113"/>
      <c r="HP465" s="113"/>
      <c r="HQ465" s="113"/>
      <c r="HR465" s="113"/>
      <c r="HS465" s="113"/>
      <c r="HT465" s="113"/>
      <c r="HU465" s="113"/>
      <c r="HV465" s="113"/>
      <c r="HW465" s="113"/>
      <c r="HX465" s="113"/>
      <c r="HY465" s="113"/>
      <c r="HZ465" s="113"/>
      <c r="IA465" s="113"/>
      <c r="IB465" s="113"/>
      <c r="IC465" s="113"/>
      <c r="ID465" s="113"/>
      <c r="IE465" s="113"/>
      <c r="IF465" s="113"/>
      <c r="IG465" s="113"/>
      <c r="IH465" s="113"/>
      <c r="II465" s="113"/>
      <c r="IJ465" s="113"/>
      <c r="IK465" s="113"/>
      <c r="IL465" s="113"/>
      <c r="IM465" s="113"/>
      <c r="IN465" s="113"/>
      <c r="IO465" s="113"/>
      <c r="IP465" s="113"/>
      <c r="IQ465" s="113"/>
      <c r="IR465" s="113"/>
      <c r="IS465" s="113"/>
      <c r="IT465" s="113"/>
      <c r="IU465" s="113"/>
      <c r="IV465" s="113"/>
      <c r="IW465" s="113"/>
      <c r="IX465" s="113"/>
      <c r="IY465" s="113"/>
      <c r="IZ465" s="113"/>
      <c r="JA465" s="113"/>
      <c r="JB465" s="113"/>
      <c r="JC465" s="113"/>
      <c r="JD465" s="113"/>
      <c r="JE465" s="113"/>
      <c r="JF465" s="113"/>
      <c r="JG465" s="113"/>
      <c r="JH465" s="113"/>
      <c r="JI465" s="113"/>
      <c r="JJ465" s="113"/>
      <c r="JK465" s="113"/>
      <c r="JL465" s="113"/>
      <c r="JM465" s="113"/>
      <c r="JN465" s="113"/>
      <c r="JO465" s="113"/>
      <c r="JP465" s="113"/>
      <c r="JQ465" s="113"/>
      <c r="JR465" s="113"/>
      <c r="JS465" s="113"/>
      <c r="JT465" s="113"/>
      <c r="JU465" s="113"/>
      <c r="JV465" s="113"/>
      <c r="JW465" s="113"/>
      <c r="JX465" s="113"/>
      <c r="JY465" s="113"/>
      <c r="JZ465" s="113"/>
      <c r="KA465" s="113"/>
      <c r="KB465" s="113"/>
      <c r="KC465" s="113"/>
      <c r="KD465" s="113"/>
      <c r="KE465" s="113"/>
      <c r="KF465" s="113"/>
      <c r="KG465" s="113"/>
      <c r="KH465" s="113"/>
      <c r="KI465" s="113"/>
      <c r="KJ465" s="113"/>
      <c r="KK465" s="113"/>
      <c r="KL465" s="113"/>
      <c r="KM465" s="113"/>
      <c r="KN465" s="113"/>
      <c r="KO465" s="113"/>
      <c r="KP465" s="113"/>
      <c r="KQ465" s="113"/>
      <c r="KR465" s="113"/>
      <c r="KS465" s="113"/>
      <c r="KT465" s="113"/>
      <c r="KU465" s="113"/>
      <c r="KV465" s="113"/>
      <c r="KW465" s="113"/>
      <c r="KX465" s="113"/>
      <c r="KY465" s="113"/>
      <c r="KZ465" s="113"/>
      <c r="LA465" s="113"/>
      <c r="LB465" s="113"/>
      <c r="LC465" s="113"/>
      <c r="LD465" s="113"/>
      <c r="LE465" s="113"/>
      <c r="LF465" s="113"/>
      <c r="LG465" s="113"/>
      <c r="LH465" s="113"/>
      <c r="LI465" s="113"/>
      <c r="LJ465" s="113"/>
      <c r="LK465" s="113"/>
      <c r="LL465" s="113"/>
      <c r="LM465" s="113"/>
      <c r="LN465" s="113"/>
      <c r="LO465" s="113"/>
      <c r="LP465" s="113"/>
      <c r="LQ465" s="113"/>
      <c r="LR465" s="113"/>
      <c r="LS465" s="113"/>
      <c r="LT465" s="113"/>
      <c r="LU465" s="113"/>
      <c r="LV465" s="113"/>
      <c r="LW465" s="113"/>
      <c r="LX465" s="113"/>
      <c r="LY465" s="113"/>
      <c r="LZ465" s="113"/>
      <c r="MA465" s="113"/>
      <c r="MB465" s="113"/>
      <c r="MC465" s="113"/>
      <c r="MD465" s="113"/>
      <c r="ME465" s="113"/>
      <c r="MF465" s="113"/>
      <c r="MG465" s="113"/>
      <c r="MH465" s="113"/>
      <c r="MI465" s="113"/>
      <c r="MJ465" s="113"/>
      <c r="MK465" s="113"/>
      <c r="ML465" s="113"/>
      <c r="MM465" s="113"/>
      <c r="MN465" s="113"/>
      <c r="MO465" s="113"/>
      <c r="MP465" s="113"/>
      <c r="MQ465" s="113"/>
      <c r="MR465" s="113"/>
      <c r="MS465" s="113"/>
      <c r="MT465" s="113"/>
      <c r="MU465" s="113"/>
      <c r="MV465" s="113"/>
      <c r="MW465" s="113"/>
      <c r="MX465" s="113"/>
      <c r="MY465" s="113"/>
      <c r="MZ465" s="113"/>
      <c r="NA465" s="113"/>
      <c r="NB465" s="113"/>
      <c r="NC465" s="113"/>
      <c r="ND465" s="113"/>
      <c r="NE465" s="113"/>
      <c r="NF465" s="113"/>
      <c r="NG465" s="113"/>
      <c r="NH465" s="113"/>
      <c r="NI465" s="113"/>
      <c r="NJ465" s="113"/>
      <c r="NK465" s="113"/>
      <c r="NL465" s="113"/>
      <c r="NM465" s="113"/>
      <c r="NN465" s="113"/>
      <c r="NO465" s="113"/>
      <c r="NP465" s="113"/>
      <c r="NQ465" s="113"/>
      <c r="NR465" s="113"/>
      <c r="NS465" s="113"/>
      <c r="NT465" s="113"/>
      <c r="NU465" s="113"/>
      <c r="NV465" s="113"/>
      <c r="NW465" s="113"/>
      <c r="NX465" s="113"/>
      <c r="NY465" s="113"/>
      <c r="NZ465" s="113"/>
      <c r="OA465" s="113"/>
      <c r="OB465" s="113"/>
      <c r="OC465" s="113"/>
      <c r="OD465" s="113"/>
      <c r="OE465" s="113"/>
      <c r="OF465" s="113"/>
      <c r="OG465" s="113"/>
      <c r="OH465" s="113"/>
      <c r="OI465" s="113"/>
      <c r="OJ465" s="113"/>
      <c r="OK465" s="113"/>
      <c r="OL465" s="113"/>
      <c r="OM465" s="113"/>
      <c r="ON465" s="113"/>
      <c r="OO465" s="113"/>
      <c r="OP465" s="113"/>
      <c r="OQ465" s="113"/>
      <c r="OR465" s="113"/>
      <c r="OS465" s="113"/>
      <c r="OT465" s="113"/>
      <c r="OU465" s="113"/>
      <c r="OV465" s="113"/>
      <c r="OW465" s="113"/>
      <c r="OX465" s="113"/>
      <c r="OY465" s="113"/>
      <c r="OZ465" s="113"/>
      <c r="PA465" s="113"/>
      <c r="PB465" s="113"/>
      <c r="PC465" s="113"/>
      <c r="PD465" s="113"/>
      <c r="PE465" s="113"/>
      <c r="PF465" s="113"/>
      <c r="PG465" s="113"/>
      <c r="PH465" s="113"/>
      <c r="PI465" s="113"/>
      <c r="PJ465" s="113"/>
      <c r="PK465" s="113"/>
      <c r="PL465" s="113"/>
      <c r="PM465" s="113"/>
      <c r="PN465" s="113"/>
      <c r="PO465" s="113"/>
      <c r="PP465" s="113"/>
      <c r="PQ465" s="113"/>
      <c r="PR465" s="113"/>
      <c r="PS465" s="113"/>
      <c r="PT465" s="113"/>
      <c r="PU465" s="113"/>
      <c r="PV465" s="113"/>
      <c r="PW465" s="113"/>
      <c r="PX465" s="113"/>
      <c r="PY465" s="113"/>
      <c r="PZ465" s="113"/>
      <c r="QA465" s="113"/>
      <c r="QB465" s="113"/>
      <c r="QC465" s="113"/>
      <c r="QD465" s="113"/>
      <c r="QE465" s="113"/>
      <c r="QF465" s="113"/>
      <c r="QG465" s="113"/>
      <c r="QH465" s="113"/>
      <c r="QI465" s="113"/>
      <c r="QJ465" s="113"/>
      <c r="QK465" s="113"/>
      <c r="QL465" s="113"/>
      <c r="QM465" s="113"/>
      <c r="QN465" s="113"/>
      <c r="QO465" s="113"/>
      <c r="QP465" s="113"/>
      <c r="QQ465" s="113"/>
      <c r="QR465" s="113"/>
      <c r="QS465" s="113"/>
      <c r="QT465" s="113"/>
      <c r="QU465" s="113"/>
      <c r="QV465" s="113"/>
      <c r="QW465" s="113"/>
      <c r="QX465" s="113"/>
      <c r="QY465" s="113"/>
      <c r="QZ465" s="113"/>
      <c r="RA465" s="113"/>
      <c r="RB465" s="113"/>
      <c r="RC465" s="113"/>
      <c r="RD465" s="113"/>
      <c r="RE465" s="113"/>
      <c r="RF465" s="113"/>
      <c r="RG465" s="113"/>
      <c r="RH465" s="113"/>
      <c r="RI465" s="113"/>
      <c r="RJ465" s="113"/>
      <c r="RK465" s="113"/>
      <c r="RL465" s="113"/>
      <c r="RM465" s="113"/>
      <c r="RN465" s="113"/>
      <c r="RO465" s="113"/>
      <c r="RP465" s="113"/>
      <c r="RQ465" s="113"/>
      <c r="RR465" s="113"/>
      <c r="RS465" s="113"/>
      <c r="RT465" s="113"/>
      <c r="RU465" s="113"/>
      <c r="RV465" s="113"/>
      <c r="RW465" s="113"/>
      <c r="RX465" s="113"/>
      <c r="RY465" s="113"/>
      <c r="RZ465" s="113"/>
      <c r="SA465" s="113"/>
      <c r="SB465" s="113"/>
      <c r="SC465" s="113"/>
      <c r="SD465" s="113"/>
      <c r="SE465" s="113"/>
      <c r="SF465" s="113"/>
      <c r="SG465" s="113"/>
      <c r="SH465" s="113"/>
      <c r="SI465" s="113"/>
      <c r="SJ465" s="113"/>
      <c r="SK465" s="113"/>
      <c r="SL465" s="113"/>
      <c r="SM465" s="113"/>
      <c r="SN465" s="113"/>
      <c r="SO465" s="113"/>
      <c r="SP465" s="113"/>
      <c r="SQ465" s="113"/>
      <c r="SR465" s="113"/>
      <c r="SS465" s="113"/>
      <c r="ST465" s="113"/>
      <c r="SU465" s="113"/>
      <c r="SV465" s="113"/>
      <c r="SW465" s="113"/>
      <c r="SX465" s="113"/>
      <c r="SY465" s="113"/>
      <c r="SZ465" s="113"/>
      <c r="TA465" s="113"/>
      <c r="TB465" s="113"/>
      <c r="TC465" s="113"/>
      <c r="TD465" s="113"/>
      <c r="TE465" s="113"/>
      <c r="TF465" s="113"/>
      <c r="TG465" s="113"/>
      <c r="TH465" s="113"/>
      <c r="TI465" s="113"/>
      <c r="TJ465" s="113"/>
      <c r="TK465" s="113"/>
      <c r="TL465" s="113"/>
      <c r="TM465" s="113"/>
      <c r="TN465" s="113"/>
      <c r="TO465" s="113"/>
      <c r="TP465" s="113"/>
      <c r="TQ465" s="113"/>
      <c r="TR465" s="113"/>
      <c r="TS465" s="113"/>
      <c r="TT465" s="113"/>
      <c r="TU465" s="113"/>
      <c r="TV465" s="113"/>
      <c r="TW465" s="113"/>
      <c r="TX465" s="113"/>
      <c r="TY465" s="113"/>
      <c r="TZ465" s="113"/>
      <c r="UA465" s="113"/>
      <c r="UB465" s="113"/>
      <c r="UC465" s="113"/>
      <c r="UD465" s="113"/>
      <c r="UE465" s="113"/>
      <c r="UF465" s="113"/>
      <c r="UG465" s="113"/>
      <c r="UH465" s="113"/>
      <c r="UI465" s="113"/>
      <c r="UJ465" s="113"/>
      <c r="UK465" s="113"/>
      <c r="UL465" s="113"/>
      <c r="UM465" s="113"/>
      <c r="UN465" s="113"/>
      <c r="UO465" s="113"/>
      <c r="UP465" s="113"/>
      <c r="UQ465" s="113"/>
      <c r="UR465" s="113"/>
      <c r="US465" s="113"/>
      <c r="UT465" s="113"/>
      <c r="UU465" s="113"/>
      <c r="UV465" s="113"/>
      <c r="UW465" s="113"/>
      <c r="UX465" s="113"/>
      <c r="UY465" s="113"/>
      <c r="UZ465" s="113"/>
      <c r="VA465" s="113"/>
      <c r="VB465" s="113"/>
      <c r="VC465" s="113"/>
      <c r="VD465" s="113"/>
      <c r="VE465" s="113"/>
      <c r="VF465" s="113"/>
      <c r="VG465" s="113"/>
      <c r="VH465" s="113"/>
      <c r="VI465" s="113"/>
      <c r="VJ465" s="113"/>
      <c r="VK465" s="113"/>
      <c r="VL465" s="113"/>
      <c r="VM465" s="113"/>
      <c r="VN465" s="113"/>
      <c r="VO465" s="113"/>
      <c r="VP465" s="113"/>
      <c r="VQ465" s="113"/>
      <c r="VR465" s="113"/>
      <c r="VS465" s="113"/>
      <c r="VT465" s="113"/>
      <c r="VU465" s="113"/>
      <c r="VV465" s="113"/>
      <c r="VW465" s="113"/>
      <c r="VX465" s="113"/>
      <c r="VY465" s="113"/>
      <c r="VZ465" s="113"/>
      <c r="WA465" s="113"/>
      <c r="WB465" s="113"/>
      <c r="WC465" s="113"/>
      <c r="WD465" s="113"/>
      <c r="WE465" s="113"/>
      <c r="WF465" s="113"/>
      <c r="WG465" s="113"/>
      <c r="WH465" s="113"/>
      <c r="WI465" s="113"/>
      <c r="WJ465" s="113"/>
      <c r="WK465" s="113"/>
      <c r="WL465" s="113"/>
      <c r="WM465" s="113"/>
      <c r="WN465" s="113"/>
      <c r="WO465" s="113"/>
      <c r="WP465" s="113"/>
      <c r="WQ465" s="113"/>
      <c r="WR465" s="113"/>
      <c r="WS465" s="113"/>
      <c r="WT465" s="113"/>
      <c r="WU465" s="113"/>
      <c r="WV465" s="113"/>
      <c r="WW465" s="113"/>
      <c r="WX465" s="113"/>
      <c r="WY465" s="113"/>
      <c r="WZ465" s="113"/>
      <c r="XA465" s="113"/>
      <c r="XB465" s="113"/>
      <c r="XC465" s="113"/>
      <c r="XD465" s="113"/>
      <c r="XE465" s="113"/>
      <c r="XF465" s="113"/>
      <c r="XG465" s="113"/>
      <c r="XH465" s="113"/>
      <c r="XI465" s="113"/>
      <c r="XJ465" s="113"/>
      <c r="XK465" s="113"/>
      <c r="XL465" s="113"/>
      <c r="XM465" s="113"/>
      <c r="XN465" s="113"/>
      <c r="XO465" s="113"/>
      <c r="XP465" s="113"/>
      <c r="XQ465" s="113"/>
      <c r="XR465" s="113"/>
      <c r="XS465" s="113"/>
      <c r="XT465" s="113"/>
      <c r="XU465" s="113"/>
      <c r="XV465" s="113"/>
      <c r="XW465" s="113"/>
      <c r="XX465" s="113"/>
      <c r="XY465" s="113"/>
      <c r="XZ465" s="113"/>
      <c r="YA465" s="113"/>
      <c r="YB465" s="113"/>
      <c r="YC465" s="113"/>
      <c r="YD465" s="113"/>
      <c r="YE465" s="113"/>
      <c r="YF465" s="113"/>
      <c r="YG465" s="113"/>
      <c r="YH465" s="113"/>
      <c r="YI465" s="113"/>
      <c r="YJ465" s="113"/>
      <c r="YK465" s="113"/>
      <c r="YL465" s="113"/>
      <c r="YM465" s="113"/>
      <c r="YN465" s="113"/>
      <c r="YO465" s="113"/>
      <c r="YP465" s="113"/>
      <c r="YQ465" s="113"/>
      <c r="YR465" s="113"/>
      <c r="YS465" s="113"/>
      <c r="YT465" s="113"/>
      <c r="YU465" s="113"/>
      <c r="YV465" s="113"/>
      <c r="YW465" s="113"/>
      <c r="YX465" s="113"/>
      <c r="YY465" s="113"/>
      <c r="YZ465" s="113"/>
      <c r="ZA465" s="113"/>
      <c r="ZB465" s="113"/>
      <c r="ZC465" s="113"/>
      <c r="ZD465" s="113"/>
      <c r="ZE465" s="113"/>
      <c r="ZF465" s="113"/>
      <c r="ZG465" s="113"/>
      <c r="ZH465" s="113"/>
      <c r="ZI465" s="113"/>
      <c r="ZJ465" s="113"/>
      <c r="ZK465" s="113"/>
      <c r="ZL465" s="113"/>
      <c r="ZM465" s="113"/>
      <c r="ZN465" s="113"/>
      <c r="ZO465" s="113"/>
      <c r="ZP465" s="113"/>
      <c r="ZQ465" s="113"/>
      <c r="ZR465" s="113"/>
      <c r="ZS465" s="113"/>
      <c r="ZT465" s="113"/>
      <c r="ZU465" s="113"/>
      <c r="ZV465" s="113"/>
      <c r="ZW465" s="113"/>
      <c r="ZX465" s="113"/>
      <c r="ZY465" s="113"/>
      <c r="ZZ465" s="113"/>
      <c r="AAA465" s="113"/>
      <c r="AAB465" s="113"/>
      <c r="AAC465" s="113"/>
      <c r="AAD465" s="113"/>
      <c r="AAE465" s="113"/>
      <c r="AAF465" s="113"/>
      <c r="AAG465" s="113"/>
      <c r="AAH465" s="113"/>
      <c r="AAI465" s="113"/>
      <c r="AAJ465" s="113"/>
      <c r="AAK465" s="113"/>
      <c r="AAL465" s="113"/>
      <c r="AAM465" s="113"/>
      <c r="AAN465" s="113"/>
      <c r="AAO465" s="113"/>
      <c r="AAP465" s="113"/>
      <c r="AAQ465" s="113"/>
      <c r="AAR465" s="113"/>
      <c r="AAS465" s="113"/>
      <c r="AAT465" s="113"/>
      <c r="AAU465" s="113"/>
      <c r="AAV465" s="113"/>
      <c r="AAW465" s="113"/>
      <c r="AAX465" s="113"/>
      <c r="AAY465" s="113"/>
      <c r="AAZ465" s="113"/>
      <c r="ABA465" s="113"/>
      <c r="ABB465" s="113"/>
      <c r="ABC465" s="113"/>
      <c r="ABD465" s="113"/>
      <c r="ABE465" s="113"/>
      <c r="ABF465" s="113"/>
      <c r="ABG465" s="113"/>
      <c r="ABH465" s="113"/>
      <c r="ABI465" s="113"/>
      <c r="ABJ465" s="113"/>
      <c r="ABK465" s="113"/>
      <c r="ABL465" s="113"/>
      <c r="ABM465" s="113"/>
      <c r="ABN465" s="113"/>
      <c r="ABO465" s="113"/>
      <c r="ABP465" s="113"/>
      <c r="ABQ465" s="113"/>
      <c r="ABR465" s="113"/>
      <c r="ABS465" s="113"/>
      <c r="ABT465" s="113"/>
      <c r="ABU465" s="113"/>
      <c r="ABV465" s="113"/>
      <c r="ABW465" s="113"/>
      <c r="ABX465" s="113"/>
      <c r="ABY465" s="113"/>
      <c r="ABZ465" s="113"/>
      <c r="ACA465" s="113"/>
      <c r="ACB465" s="113"/>
      <c r="ACC465" s="113"/>
      <c r="ACD465" s="113"/>
      <c r="ACE465" s="113"/>
      <c r="ACF465" s="113"/>
      <c r="ACG465" s="113"/>
      <c r="ACH465" s="113"/>
      <c r="ACI465" s="113"/>
      <c r="ACJ465" s="113"/>
      <c r="ACK465" s="113"/>
      <c r="ACL465" s="113"/>
      <c r="ACM465" s="113"/>
      <c r="ACN465" s="113"/>
      <c r="ACO465" s="113"/>
      <c r="ACP465" s="113"/>
      <c r="ACQ465" s="113"/>
      <c r="ACR465" s="113"/>
      <c r="ACS465" s="113"/>
      <c r="ACT465" s="113"/>
      <c r="ACU465" s="113"/>
      <c r="ACV465" s="113"/>
      <c r="ACW465" s="113"/>
      <c r="ACX465" s="113"/>
      <c r="ACY465" s="113"/>
      <c r="ACZ465" s="113"/>
      <c r="ADA465" s="113"/>
      <c r="ADB465" s="113"/>
      <c r="ADC465" s="113"/>
      <c r="ADD465" s="113"/>
      <c r="ADE465" s="113"/>
      <c r="ADF465" s="113"/>
      <c r="ADG465" s="113"/>
      <c r="ADH465" s="113"/>
      <c r="ADI465" s="113"/>
      <c r="ADJ465" s="113"/>
      <c r="ADK465" s="113"/>
      <c r="ADL465" s="113"/>
      <c r="ADM465" s="113"/>
      <c r="ADN465" s="113"/>
      <c r="ADO465" s="113"/>
      <c r="ADP465" s="113"/>
      <c r="ADQ465" s="113"/>
      <c r="ADR465" s="113"/>
      <c r="ADS465" s="113"/>
      <c r="ADT465" s="113"/>
      <c r="ADU465" s="113"/>
      <c r="ADV465" s="113"/>
      <c r="ADW465" s="113"/>
      <c r="ADX465" s="113"/>
      <c r="ADY465" s="113"/>
      <c r="ADZ465" s="113"/>
      <c r="AEA465" s="113"/>
      <c r="AEB465" s="113"/>
      <c r="AEC465" s="113"/>
      <c r="AED465" s="113"/>
      <c r="AEE465" s="113"/>
      <c r="AEF465" s="113"/>
      <c r="AEG465" s="113"/>
      <c r="AEH465" s="113"/>
      <c r="AEI465" s="113"/>
      <c r="AEJ465" s="113"/>
      <c r="AEK465" s="113"/>
      <c r="AEL465" s="113"/>
      <c r="AEM465" s="113"/>
      <c r="AEN465" s="113"/>
      <c r="AEO465" s="113"/>
      <c r="AEP465" s="113"/>
      <c r="AEQ465" s="113"/>
      <c r="AER465" s="113"/>
      <c r="AES465" s="113"/>
      <c r="AET465" s="113"/>
      <c r="AEU465" s="113"/>
      <c r="AEV465" s="113"/>
      <c r="AEW465" s="113"/>
      <c r="AEX465" s="113"/>
      <c r="AEY465" s="113"/>
      <c r="AEZ465" s="113"/>
      <c r="AFA465" s="113"/>
      <c r="AFB465" s="113"/>
      <c r="AFC465" s="113"/>
      <c r="AFD465" s="113"/>
      <c r="AFE465" s="113"/>
      <c r="AFF465" s="113"/>
      <c r="AFG465" s="113"/>
      <c r="AFH465" s="113"/>
      <c r="AFI465" s="113"/>
      <c r="AFJ465" s="113"/>
      <c r="AFK465" s="113"/>
      <c r="AFL465" s="113"/>
      <c r="AFM465" s="113"/>
      <c r="AFN465" s="113"/>
      <c r="AFO465" s="113"/>
      <c r="AFP465" s="113"/>
      <c r="AFQ465" s="113"/>
      <c r="AFR465" s="113"/>
      <c r="AFS465" s="113"/>
      <c r="AFT465" s="113"/>
      <c r="AFU465" s="113"/>
      <c r="AFV465" s="113"/>
      <c r="AFW465" s="113"/>
      <c r="AFX465" s="113"/>
      <c r="AFY465" s="113"/>
      <c r="AFZ465" s="113"/>
      <c r="AGA465" s="113"/>
      <c r="AGB465" s="113"/>
      <c r="AGC465" s="113"/>
      <c r="AGD465" s="113"/>
      <c r="AGE465" s="113"/>
      <c r="AGF465" s="113"/>
      <c r="AGG465" s="113"/>
      <c r="AGH465" s="113"/>
      <c r="AGI465" s="113"/>
      <c r="AGJ465" s="113"/>
      <c r="AGK465" s="113"/>
      <c r="AGL465" s="113"/>
      <c r="AGM465" s="113"/>
      <c r="AGN465" s="113"/>
      <c r="AGO465" s="113"/>
      <c r="AGP465" s="113"/>
      <c r="AGQ465" s="113"/>
      <c r="AGR465" s="113"/>
      <c r="AGS465" s="113"/>
      <c r="AGT465" s="113"/>
      <c r="AGU465" s="113"/>
      <c r="AGV465" s="113"/>
      <c r="AGW465" s="113"/>
      <c r="AGX465" s="113"/>
      <c r="AGY465" s="113"/>
      <c r="AGZ465" s="113"/>
      <c r="AHA465" s="113"/>
      <c r="AHB465" s="113"/>
      <c r="AHC465" s="113"/>
      <c r="AHD465" s="113"/>
      <c r="AHE465" s="113"/>
      <c r="AHF465" s="113"/>
      <c r="AHG465" s="113"/>
      <c r="AHH465" s="113"/>
      <c r="AHI465" s="113"/>
      <c r="AHJ465" s="113"/>
      <c r="AHK465" s="113"/>
      <c r="AHL465" s="113"/>
      <c r="AHM465" s="113"/>
      <c r="AHN465" s="113"/>
      <c r="AHO465" s="113"/>
      <c r="AHP465" s="113"/>
      <c r="AHQ465" s="113"/>
      <c r="AHR465" s="113"/>
      <c r="AHS465" s="113"/>
      <c r="AHT465" s="113"/>
      <c r="AHU465" s="113"/>
      <c r="AHV465" s="113"/>
      <c r="AHW465" s="113"/>
      <c r="AHX465" s="113"/>
      <c r="AHY465" s="113"/>
      <c r="AHZ465" s="113"/>
      <c r="AIA465" s="113"/>
      <c r="AIB465" s="113"/>
      <c r="AIC465" s="113"/>
      <c r="AID465" s="113"/>
      <c r="AIE465" s="113"/>
      <c r="AIF465" s="113"/>
      <c r="AIG465" s="113"/>
      <c r="AIH465" s="113"/>
      <c r="AII465" s="113"/>
      <c r="AIJ465" s="113"/>
      <c r="AIK465" s="113"/>
      <c r="AIL465" s="113"/>
      <c r="AIM465" s="113"/>
      <c r="AIN465" s="113"/>
      <c r="AIO465" s="113"/>
      <c r="AIP465" s="113"/>
      <c r="AIQ465" s="113"/>
      <c r="AIR465" s="113"/>
      <c r="AIS465" s="113"/>
      <c r="AIT465" s="113"/>
      <c r="AIU465" s="113"/>
      <c r="AIV465" s="113"/>
      <c r="AIW465" s="113"/>
      <c r="AIX465" s="113"/>
      <c r="AIY465" s="113"/>
      <c r="AIZ465" s="113"/>
    </row>
    <row r="466">
      <c r="A466" s="65" t="s">
        <v>28</v>
      </c>
      <c r="B466" s="65" t="s">
        <v>81</v>
      </c>
      <c r="C466" s="65"/>
      <c r="D466" s="64">
        <f t="shared" si="1"/>
        <v>472.29915</v>
      </c>
      <c r="F466" s="65">
        <v>41.0729333333333</v>
      </c>
      <c r="G466" s="65">
        <v>15.4742333333333</v>
      </c>
      <c r="H466" s="65">
        <v>3.27015</v>
      </c>
      <c r="I466" s="65">
        <v>1.54673333333333</v>
      </c>
      <c r="K466" s="65">
        <v>2.15325</v>
      </c>
      <c r="N466" s="65">
        <v>34.6579333333333</v>
      </c>
      <c r="Q466" s="65">
        <v>0.975916666666667</v>
      </c>
      <c r="R466" s="65">
        <v>3.01526666666667</v>
      </c>
      <c r="S466" s="65">
        <v>0.129366666666667</v>
      </c>
      <c r="T466" s="65">
        <v>0.332316666666667</v>
      </c>
      <c r="X466" s="65">
        <v>27.4291666666667</v>
      </c>
      <c r="Y466" s="65">
        <v>16.4419333333333</v>
      </c>
      <c r="Z466" s="65">
        <v>0.750516666666667</v>
      </c>
      <c r="AA466" s="65">
        <v>0.455833333333333</v>
      </c>
      <c r="AB466" s="65">
        <v>2.10966666666667</v>
      </c>
      <c r="AE466" s="65">
        <v>35.0111666666667</v>
      </c>
      <c r="AF466" s="65">
        <v>24.1045</v>
      </c>
      <c r="AG466" s="65">
        <v>3.12483333333333</v>
      </c>
      <c r="AH466" s="65">
        <v>3.75766666666667</v>
      </c>
      <c r="AI466" s="65">
        <v>4.49248333333333</v>
      </c>
      <c r="AL466" s="65">
        <v>117.1458</v>
      </c>
      <c r="AM466" s="65">
        <v>4.06565</v>
      </c>
      <c r="AN466" s="65">
        <v>6.09253333333333</v>
      </c>
      <c r="AQ466" s="65">
        <v>60.7312333333333</v>
      </c>
      <c r="AR466" s="65">
        <v>6.22665</v>
      </c>
      <c r="AU466" s="65">
        <v>57.7314166666667</v>
      </c>
    </row>
    <row r="467">
      <c r="A467" s="65" t="s">
        <v>28</v>
      </c>
      <c r="B467" s="65" t="s">
        <v>81</v>
      </c>
      <c r="C467" s="65"/>
      <c r="D467" s="64">
        <f t="shared" si="1"/>
        <v>0</v>
      </c>
    </row>
    <row r="468">
      <c r="A468" s="65" t="s">
        <v>28</v>
      </c>
      <c r="B468" s="65" t="s">
        <v>81</v>
      </c>
      <c r="C468" s="65"/>
      <c r="D468" s="64">
        <f t="shared" si="1"/>
        <v>470.6771167</v>
      </c>
      <c r="F468" s="118">
        <f>HYPERLINK("https://docs.google.com/spreadsheets/d/1WJ66G87iYBKLjKGHCnhNFL4KnSi4lvn9", 41.0729333333333)</f>
        <v>41.07293333</v>
      </c>
      <c r="G468" s="118">
        <f>HYPERLINK("https://docs.google.com/spreadsheets/d/1jK1qZor83jGfT8ofJa1oqrd_fflw7iHa", 15.4742333333333)</f>
        <v>15.47423333</v>
      </c>
      <c r="H468" s="118">
        <f>HYPERLINK("https://docs.google.com/spreadsheets/d/1gqQ0E9z9tqEF7NoXUTM5RTzhwdEyV9EN", 3.27013333333333)</f>
        <v>3.270133333</v>
      </c>
      <c r="I468" s="118">
        <f>HYPERLINK("https://docs.google.com/spreadsheets/d/1PelH4-YJ2jWuUGTaB1rq3DXHvp_sVgr3", 1.5467)</f>
        <v>1.5467</v>
      </c>
      <c r="K468" s="118">
        <f>HYPERLINK("https://docs.google.com/spreadsheets/d/1RY8deqMTGwjNM3og77zdDoqVCGT-gQIQ", 2.15321666666667)</f>
        <v>2.153216667</v>
      </c>
      <c r="N468" s="118">
        <f>HYPERLINK("https://docs.google.com/spreadsheets/d/1tutwF66MG9DpNdhMlFJqbeHWqvBfkQ6_", 34.6579)</f>
        <v>34.6579</v>
      </c>
      <c r="Q468" s="118">
        <f>HYPERLINK("https://docs.google.com/spreadsheets/d/11vvfGIc2q6PBI-dCaY-c40idtH43uxj_", 0.975916666666667)</f>
        <v>0.9759166667</v>
      </c>
      <c r="R468" s="118">
        <f>HYPERLINK("https://docs.google.com/spreadsheets/d/1MzsBAN2_XXhrhxII4CsCgApGRhDTHmEW", 3.01525)</f>
        <v>3.01525</v>
      </c>
      <c r="S468" s="118">
        <f>HYPERLINK("https://docs.google.com/spreadsheets/d/1R0sAf2hG4UTOU7Dp6l2tWFTW_E-0o8cU", 0)</f>
        <v>0</v>
      </c>
      <c r="T468" s="118">
        <f>HYPERLINK("https://docs.google.com/spreadsheets/d/1fIwQbXw1PLu4W_eCEmmLTvQpDbKPS7Wa", 0.332316666666667)</f>
        <v>0.3323166667</v>
      </c>
      <c r="X468" s="118">
        <f>HYPERLINK("https://docs.google.com/spreadsheets/d/1yxCYwUkRSzor4WQIhFtQTocl_ixWNPJd", 27.2654166666667)</f>
        <v>27.26541667</v>
      </c>
      <c r="Y468" s="118">
        <f>HYPERLINK("https://docs.google.com/spreadsheets/d/1_bzEofQU-jMaaOQbFt-m2w8CMHw9vQu3", 16.4419333333333)</f>
        <v>16.44193333</v>
      </c>
      <c r="Z468" s="118">
        <f>HYPERLINK("https://docs.google.com/spreadsheets/d/12kpWGhkR9UzSdtiPPD9vqrLoXwgTgPJy", 0.60665)</f>
        <v>0.60665</v>
      </c>
      <c r="AA468" s="118">
        <f>HYPERLINK("https://docs.google.com/spreadsheets/d/1U3NHRvnmPPjvaQikGdqokweXra8ILRrj", 0.455833333333333)</f>
        <v>0.4558333333</v>
      </c>
      <c r="AB468" s="118">
        <f>HYPERLINK("https://docs.google.com/spreadsheets/d/1OYlsO1ZdTSDCArQUKosA3COjBwWxj_QW", 2.10966666666667)</f>
        <v>2.109666667</v>
      </c>
      <c r="AE468" s="118">
        <f>HYPERLINK("https://docs.google.com/spreadsheets/d/19IGPqyCADC1VDf9eA6DUx2rw6L1US5Gs", 34.72165)</f>
        <v>34.72165</v>
      </c>
      <c r="AF468" s="118">
        <f>HYPERLINK("https://docs.google.com/spreadsheets/d/18sJ7GTw-WMid75tzw2Awtr6VkYMUdAqe", 23.8584)</f>
        <v>23.8584</v>
      </c>
      <c r="AG468" s="118">
        <f>HYPERLINK("https://docs.google.com/spreadsheets/d/1gsPbD7iDBdzJATDnst7nuZCo0i-bdo6M", 3.09925)</f>
        <v>3.09925</v>
      </c>
      <c r="AH468" s="118">
        <f>HYPERLINK("https://docs.google.com/spreadsheets/d/14X8abah4GRq1IsH_Mb6XnK_wMgwNPMDF", 3.75768333333333)</f>
        <v>3.757683333</v>
      </c>
      <c r="AI468" s="118">
        <f>HYPERLINK("https://docs.google.com/spreadsheets/d/1jW0FJwPhaQUtZ2B3WFKVIMQsdfEEx5Hx", 4.49248333333333)</f>
        <v>4.492483333</v>
      </c>
      <c r="AL468" s="118">
        <f>HYPERLINK("https://docs.google.com/spreadsheets/d/1MMhXR2rvcV_Qo-LoMQ0sA8wvakTo4mE5", 116.901033333333)</f>
        <v>116.9010333</v>
      </c>
      <c r="AM468" s="118">
        <f>HYPERLINK("https://docs.google.com/spreadsheets/d/14WVJ9FJUxjVsxmRMoXKWP6VFvOe7cNGt", 4.06563333333333)</f>
        <v>4.065633333</v>
      </c>
      <c r="AN468" s="118">
        <f>HYPERLINK("https://docs.google.com/spreadsheets/d/1XmUULFaQjPzSoPRjzrO06xlvhLwK_rk5", 5.98768333333334)</f>
        <v>5.987683333</v>
      </c>
      <c r="AQ468" s="118">
        <f>HYPERLINK("https://docs.google.com/spreadsheets/d/155xs2PaqnfWq_ZquPiyYUSvsLFmoXJbq", 60.7312333333333)</f>
        <v>60.73123333</v>
      </c>
      <c r="AR468" s="118">
        <f>HYPERLINK("https://docs.google.com/spreadsheets/d/1GVsYIZ04Gaaw6JwarjtZcM2dnPY3wLll", 6.22663333333334)</f>
        <v>6.226633333</v>
      </c>
      <c r="AU468" s="118">
        <f>HYPERLINK("https://docs.google.com/spreadsheets/d/1QoUlyoi0ZTorLswwAmExit2Thuu6Fu58", 57.4573333333334)</f>
        <v>57.45733333</v>
      </c>
    </row>
    <row r="469">
      <c r="A469" s="65" t="s">
        <v>28</v>
      </c>
      <c r="B469" s="65" t="s">
        <v>81</v>
      </c>
      <c r="C469" s="65"/>
      <c r="D469" s="64">
        <f t="shared" si="1"/>
        <v>438.4467333</v>
      </c>
      <c r="F469" s="65">
        <v>40.3438</v>
      </c>
      <c r="G469" s="65">
        <v>15.03725</v>
      </c>
      <c r="H469" s="65">
        <v>3.27013333333333</v>
      </c>
      <c r="I469" s="65">
        <v>1.5467</v>
      </c>
      <c r="K469" s="65">
        <v>1.90583333333333</v>
      </c>
      <c r="N469" s="65">
        <v>32.75395</v>
      </c>
      <c r="Q469" s="65">
        <v>0.975916666666667</v>
      </c>
      <c r="R469" s="65">
        <v>3.01525</v>
      </c>
      <c r="T469" s="65">
        <v>0.332316666666667</v>
      </c>
      <c r="X469" s="65">
        <v>26.745</v>
      </c>
      <c r="Y469" s="65">
        <v>15.8575166666667</v>
      </c>
      <c r="Z469" s="65">
        <v>0.60665</v>
      </c>
      <c r="AA469" s="65">
        <v>0.384066666666667</v>
      </c>
      <c r="AB469" s="65">
        <v>0.473133333333333</v>
      </c>
      <c r="AE469" s="65">
        <v>32.2114</v>
      </c>
      <c r="AF469" s="65">
        <v>22.3272</v>
      </c>
      <c r="AG469" s="65">
        <v>2.64353333333333</v>
      </c>
      <c r="AH469" s="65">
        <v>2.99906666666667</v>
      </c>
      <c r="AI469" s="65">
        <v>2.54986666666667</v>
      </c>
      <c r="AL469" s="65">
        <v>110.91525</v>
      </c>
      <c r="AM469" s="65">
        <v>3.91325</v>
      </c>
      <c r="AN469" s="65">
        <v>3.60193333333333</v>
      </c>
      <c r="AQ469" s="65">
        <v>56.2519333333333</v>
      </c>
      <c r="AR469" s="65">
        <v>4.59571666666667</v>
      </c>
      <c r="AU469" s="65">
        <v>53.1900666666667</v>
      </c>
    </row>
    <row r="470">
      <c r="A470" s="119" t="s">
        <v>28</v>
      </c>
      <c r="B470" s="119" t="s">
        <v>81</v>
      </c>
      <c r="C470" s="119"/>
      <c r="D470" s="120">
        <f t="shared" si="1"/>
        <v>0</v>
      </c>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c r="AA470" s="120"/>
      <c r="AB470" s="120"/>
      <c r="AC470" s="120"/>
      <c r="AD470" s="120"/>
      <c r="AE470" s="120"/>
      <c r="AF470" s="120"/>
      <c r="AG470" s="120"/>
      <c r="AH470" s="120"/>
      <c r="AI470" s="120"/>
      <c r="AJ470" s="120"/>
      <c r="AK470" s="120"/>
      <c r="AL470" s="120"/>
      <c r="AM470" s="120"/>
      <c r="AN470" s="120"/>
      <c r="AO470" s="120"/>
      <c r="AP470" s="120"/>
      <c r="AQ470" s="120"/>
      <c r="AR470" s="120"/>
      <c r="AS470" s="120"/>
      <c r="AT470" s="120"/>
      <c r="AU470" s="120"/>
      <c r="AV470" s="120"/>
      <c r="AW470" s="120"/>
      <c r="AX470" s="120"/>
      <c r="AY470" s="120"/>
      <c r="AZ470" s="120"/>
      <c r="BA470" s="120"/>
      <c r="BB470" s="120"/>
      <c r="BC470" s="120"/>
      <c r="BD470" s="120"/>
      <c r="BE470" s="120"/>
      <c r="BF470" s="120"/>
      <c r="BG470" s="120"/>
      <c r="BH470" s="120"/>
      <c r="BI470" s="120"/>
      <c r="BJ470" s="120"/>
      <c r="BK470" s="120"/>
      <c r="BL470" s="120"/>
      <c r="BM470" s="120"/>
      <c r="BN470" s="120"/>
      <c r="BO470" s="120"/>
      <c r="BP470" s="120"/>
      <c r="BQ470" s="120"/>
      <c r="BR470" s="120"/>
      <c r="BS470" s="120"/>
      <c r="BT470" s="120"/>
      <c r="BU470" s="120"/>
      <c r="BV470" s="120"/>
      <c r="BW470" s="120"/>
      <c r="BX470" s="120"/>
      <c r="BY470" s="120"/>
      <c r="BZ470" s="120"/>
      <c r="CA470" s="120"/>
      <c r="CB470" s="120"/>
      <c r="CC470" s="120"/>
      <c r="CD470" s="120"/>
      <c r="CE470" s="120"/>
      <c r="CF470" s="120"/>
      <c r="CG470" s="120"/>
      <c r="CH470" s="120"/>
      <c r="CI470" s="120"/>
      <c r="CJ470" s="120"/>
      <c r="CK470" s="120"/>
      <c r="CL470" s="120"/>
      <c r="CM470" s="120"/>
      <c r="CN470" s="120"/>
      <c r="CO470" s="120"/>
      <c r="CP470" s="120"/>
      <c r="CQ470" s="120"/>
      <c r="CR470" s="120"/>
      <c r="CS470" s="120"/>
      <c r="CT470" s="120"/>
      <c r="CU470" s="120"/>
      <c r="CV470" s="120"/>
      <c r="CW470" s="120"/>
      <c r="CX470" s="120"/>
      <c r="CY470" s="120"/>
      <c r="CZ470" s="120"/>
      <c r="DA470" s="120"/>
      <c r="DB470" s="120"/>
      <c r="DC470" s="120"/>
      <c r="DD470" s="120"/>
      <c r="DE470" s="120"/>
      <c r="DF470" s="120"/>
      <c r="DG470" s="120"/>
      <c r="DH470" s="120"/>
      <c r="DI470" s="120"/>
      <c r="DJ470" s="120"/>
      <c r="DK470" s="120"/>
      <c r="DL470" s="120"/>
      <c r="DM470" s="120"/>
      <c r="DN470" s="120"/>
      <c r="DO470" s="120"/>
      <c r="DP470" s="120"/>
      <c r="DQ470" s="120"/>
      <c r="DR470" s="120"/>
      <c r="DS470" s="120"/>
      <c r="DT470" s="120"/>
      <c r="DU470" s="120"/>
      <c r="DV470" s="120"/>
      <c r="DW470" s="120"/>
      <c r="DX470" s="120"/>
      <c r="DY470" s="120"/>
      <c r="DZ470" s="120"/>
      <c r="EA470" s="120"/>
      <c r="EB470" s="120"/>
      <c r="EC470" s="120"/>
      <c r="ED470" s="120"/>
      <c r="EE470" s="120"/>
      <c r="EF470" s="120"/>
      <c r="EG470" s="120"/>
      <c r="EH470" s="120"/>
      <c r="EI470" s="120"/>
      <c r="EJ470" s="120"/>
      <c r="EK470" s="120"/>
      <c r="EL470" s="120"/>
      <c r="EM470" s="120"/>
      <c r="EN470" s="120"/>
      <c r="EO470" s="120"/>
      <c r="EP470" s="120"/>
      <c r="EQ470" s="120"/>
      <c r="ER470" s="120"/>
      <c r="ES470" s="120"/>
      <c r="ET470" s="120"/>
      <c r="EU470" s="120"/>
      <c r="EV470" s="120"/>
      <c r="EW470" s="120"/>
      <c r="EX470" s="120"/>
      <c r="EY470" s="120"/>
      <c r="EZ470" s="120"/>
      <c r="FA470" s="120"/>
      <c r="FB470" s="120"/>
      <c r="FC470" s="120"/>
      <c r="FD470" s="120"/>
      <c r="FE470" s="120"/>
      <c r="FF470" s="120"/>
      <c r="FG470" s="120"/>
      <c r="FH470" s="120"/>
      <c r="FI470" s="120"/>
      <c r="FJ470" s="120"/>
      <c r="FK470" s="120"/>
      <c r="FL470" s="120"/>
      <c r="FM470" s="120"/>
      <c r="FN470" s="120"/>
      <c r="FO470" s="120"/>
      <c r="FP470" s="120"/>
      <c r="FQ470" s="120"/>
      <c r="FR470" s="120"/>
      <c r="FS470" s="120"/>
      <c r="FT470" s="120"/>
      <c r="FU470" s="120"/>
      <c r="FV470" s="120"/>
      <c r="FW470" s="120"/>
      <c r="FX470" s="120"/>
      <c r="FY470" s="120"/>
      <c r="FZ470" s="120"/>
      <c r="GA470" s="120"/>
      <c r="GB470" s="120"/>
      <c r="GC470" s="120"/>
      <c r="GD470" s="120"/>
      <c r="GE470" s="120"/>
      <c r="GF470" s="120"/>
      <c r="GG470" s="120"/>
      <c r="GH470" s="120"/>
      <c r="GI470" s="120"/>
      <c r="GJ470" s="120"/>
      <c r="GK470" s="120"/>
      <c r="GL470" s="120"/>
      <c r="GM470" s="120"/>
      <c r="GN470" s="120"/>
      <c r="GO470" s="120"/>
      <c r="GP470" s="120"/>
      <c r="GQ470" s="120"/>
      <c r="GR470" s="120"/>
      <c r="GS470" s="120"/>
      <c r="GT470" s="120"/>
      <c r="GU470" s="120"/>
      <c r="GV470" s="120"/>
      <c r="GW470" s="120"/>
      <c r="GX470" s="120"/>
      <c r="GY470" s="120"/>
      <c r="GZ470" s="120"/>
      <c r="HA470" s="120"/>
      <c r="HB470" s="120"/>
      <c r="HC470" s="120"/>
      <c r="HD470" s="120"/>
      <c r="HE470" s="120"/>
      <c r="HF470" s="120"/>
      <c r="HG470" s="120"/>
      <c r="HH470" s="120"/>
      <c r="HI470" s="120"/>
      <c r="HJ470" s="120"/>
      <c r="HK470" s="120"/>
      <c r="HL470" s="120"/>
      <c r="HM470" s="120"/>
      <c r="HN470" s="120"/>
      <c r="HO470" s="120"/>
      <c r="HP470" s="120"/>
      <c r="HQ470" s="120"/>
      <c r="HR470" s="120"/>
      <c r="HS470" s="120"/>
      <c r="HT470" s="120"/>
      <c r="HU470" s="120"/>
      <c r="HV470" s="120"/>
      <c r="HW470" s="120"/>
      <c r="HX470" s="120"/>
      <c r="HY470" s="120"/>
      <c r="HZ470" s="120"/>
      <c r="IA470" s="120"/>
      <c r="IB470" s="120"/>
      <c r="IC470" s="120"/>
      <c r="ID470" s="120"/>
      <c r="IE470" s="120"/>
      <c r="IF470" s="120"/>
      <c r="IG470" s="120"/>
      <c r="IH470" s="120"/>
      <c r="II470" s="120"/>
      <c r="IJ470" s="120"/>
      <c r="IK470" s="120"/>
      <c r="IL470" s="120"/>
      <c r="IM470" s="120"/>
      <c r="IN470" s="120"/>
      <c r="IO470" s="120"/>
      <c r="IP470" s="120"/>
      <c r="IQ470" s="120"/>
      <c r="IR470" s="120"/>
      <c r="IS470" s="120"/>
      <c r="IT470" s="120"/>
      <c r="IU470" s="120"/>
      <c r="IV470" s="120"/>
      <c r="IW470" s="120"/>
      <c r="IX470" s="120"/>
      <c r="IY470" s="120"/>
      <c r="IZ470" s="120"/>
      <c r="JA470" s="120"/>
      <c r="JB470" s="120"/>
      <c r="JC470" s="120"/>
      <c r="JD470" s="120"/>
      <c r="JE470" s="120"/>
      <c r="JF470" s="120"/>
      <c r="JG470" s="120"/>
      <c r="JH470" s="120"/>
      <c r="JI470" s="120"/>
      <c r="JJ470" s="120"/>
      <c r="JK470" s="120"/>
      <c r="JL470" s="120"/>
      <c r="JM470" s="120"/>
      <c r="JN470" s="120"/>
      <c r="JO470" s="120"/>
      <c r="JP470" s="120"/>
      <c r="JQ470" s="120"/>
      <c r="JR470" s="120"/>
      <c r="JS470" s="120"/>
      <c r="JT470" s="120"/>
      <c r="JU470" s="120"/>
      <c r="JV470" s="120"/>
      <c r="JW470" s="120"/>
      <c r="JX470" s="120"/>
      <c r="JY470" s="120"/>
      <c r="JZ470" s="120"/>
      <c r="KA470" s="120"/>
      <c r="KB470" s="120"/>
      <c r="KC470" s="120"/>
      <c r="KD470" s="120"/>
      <c r="KE470" s="120"/>
      <c r="KF470" s="120"/>
      <c r="KG470" s="120"/>
      <c r="KH470" s="120"/>
      <c r="KI470" s="120"/>
      <c r="KJ470" s="120"/>
      <c r="KK470" s="120"/>
      <c r="KL470" s="120"/>
      <c r="KM470" s="120"/>
      <c r="KN470" s="120"/>
      <c r="KO470" s="120"/>
      <c r="KP470" s="120"/>
      <c r="KQ470" s="120"/>
      <c r="KR470" s="120"/>
      <c r="KS470" s="120"/>
      <c r="KT470" s="120"/>
      <c r="KU470" s="120"/>
      <c r="KV470" s="120"/>
      <c r="KW470" s="120"/>
      <c r="KX470" s="120"/>
      <c r="KY470" s="120"/>
      <c r="KZ470" s="120"/>
      <c r="LA470" s="120"/>
      <c r="LB470" s="120"/>
      <c r="LC470" s="120"/>
      <c r="LD470" s="120"/>
      <c r="LE470" s="120"/>
      <c r="LF470" s="120"/>
      <c r="LG470" s="120"/>
      <c r="LH470" s="120"/>
      <c r="LI470" s="120"/>
      <c r="LJ470" s="120"/>
      <c r="LK470" s="120"/>
      <c r="LL470" s="120"/>
      <c r="LM470" s="120"/>
      <c r="LN470" s="120"/>
      <c r="LO470" s="120"/>
      <c r="LP470" s="120"/>
      <c r="LQ470" s="120"/>
      <c r="LR470" s="120"/>
      <c r="LS470" s="120"/>
      <c r="LT470" s="120"/>
      <c r="LU470" s="120"/>
      <c r="LV470" s="120"/>
      <c r="LW470" s="120"/>
      <c r="LX470" s="120"/>
      <c r="LY470" s="120"/>
      <c r="LZ470" s="120"/>
      <c r="MA470" s="120"/>
      <c r="MB470" s="120"/>
      <c r="MC470" s="120"/>
      <c r="MD470" s="120"/>
      <c r="ME470" s="120"/>
      <c r="MF470" s="120"/>
      <c r="MG470" s="120"/>
      <c r="MH470" s="120"/>
      <c r="MI470" s="120"/>
      <c r="MJ470" s="120"/>
      <c r="MK470" s="120"/>
      <c r="ML470" s="120"/>
      <c r="MM470" s="120"/>
      <c r="MN470" s="120"/>
      <c r="MO470" s="120"/>
      <c r="MP470" s="120"/>
      <c r="MQ470" s="120"/>
      <c r="MR470" s="120"/>
      <c r="MS470" s="120"/>
      <c r="MT470" s="120"/>
      <c r="MU470" s="120"/>
      <c r="MV470" s="120"/>
      <c r="MW470" s="120"/>
      <c r="MX470" s="120"/>
      <c r="MY470" s="120"/>
      <c r="MZ470" s="120"/>
      <c r="NA470" s="120"/>
      <c r="NB470" s="120"/>
      <c r="NC470" s="120"/>
      <c r="ND470" s="120"/>
      <c r="NE470" s="120"/>
      <c r="NF470" s="120"/>
      <c r="NG470" s="120"/>
      <c r="NH470" s="120"/>
      <c r="NI470" s="120"/>
      <c r="NJ470" s="120"/>
      <c r="NK470" s="120"/>
      <c r="NL470" s="120"/>
      <c r="NM470" s="120"/>
      <c r="NN470" s="120"/>
      <c r="NO470" s="120"/>
      <c r="NP470" s="120"/>
      <c r="NQ470" s="120"/>
      <c r="NR470" s="120"/>
      <c r="NS470" s="120"/>
      <c r="NT470" s="120"/>
      <c r="NU470" s="120"/>
      <c r="NV470" s="120"/>
      <c r="NW470" s="120"/>
      <c r="NX470" s="120"/>
      <c r="NY470" s="120"/>
      <c r="NZ470" s="120"/>
      <c r="OA470" s="120"/>
      <c r="OB470" s="120"/>
      <c r="OC470" s="120"/>
      <c r="OD470" s="120"/>
      <c r="OE470" s="120"/>
      <c r="OF470" s="120"/>
      <c r="OG470" s="120"/>
      <c r="OH470" s="120"/>
      <c r="OI470" s="120"/>
      <c r="OJ470" s="120"/>
      <c r="OK470" s="120"/>
      <c r="OL470" s="120"/>
      <c r="OM470" s="120"/>
      <c r="ON470" s="120"/>
      <c r="OO470" s="120"/>
      <c r="OP470" s="120"/>
      <c r="OQ470" s="120"/>
      <c r="OR470" s="120"/>
      <c r="OS470" s="120"/>
      <c r="OT470" s="120"/>
      <c r="OU470" s="120"/>
      <c r="OV470" s="120"/>
      <c r="OW470" s="120"/>
      <c r="OX470" s="120"/>
      <c r="OY470" s="120"/>
      <c r="OZ470" s="120"/>
      <c r="PA470" s="120"/>
      <c r="PB470" s="120"/>
      <c r="PC470" s="120"/>
      <c r="PD470" s="120"/>
      <c r="PE470" s="120"/>
      <c r="PF470" s="120"/>
      <c r="PG470" s="120"/>
      <c r="PH470" s="120"/>
      <c r="PI470" s="120"/>
      <c r="PJ470" s="120"/>
      <c r="PK470" s="120"/>
      <c r="PL470" s="120"/>
      <c r="PM470" s="120"/>
      <c r="PN470" s="120"/>
      <c r="PO470" s="120"/>
      <c r="PP470" s="120"/>
      <c r="PQ470" s="120"/>
      <c r="PR470" s="120"/>
      <c r="PS470" s="120"/>
      <c r="PT470" s="120"/>
      <c r="PU470" s="120"/>
      <c r="PV470" s="120"/>
      <c r="PW470" s="120"/>
      <c r="PX470" s="120"/>
      <c r="PY470" s="120"/>
      <c r="PZ470" s="120"/>
      <c r="QA470" s="120"/>
      <c r="QB470" s="120"/>
      <c r="QC470" s="120"/>
      <c r="QD470" s="120"/>
      <c r="QE470" s="120"/>
      <c r="QF470" s="120"/>
      <c r="QG470" s="120"/>
      <c r="QH470" s="120"/>
      <c r="QI470" s="120"/>
      <c r="QJ470" s="120"/>
      <c r="QK470" s="120"/>
      <c r="QL470" s="120"/>
      <c r="QM470" s="120"/>
      <c r="QN470" s="120"/>
      <c r="QO470" s="120"/>
      <c r="QP470" s="120"/>
      <c r="QQ470" s="120"/>
      <c r="QR470" s="120"/>
      <c r="QS470" s="120"/>
      <c r="QT470" s="120"/>
      <c r="QU470" s="120"/>
      <c r="QV470" s="120"/>
      <c r="QW470" s="120"/>
      <c r="QX470" s="120"/>
      <c r="QY470" s="120"/>
      <c r="QZ470" s="120"/>
      <c r="RA470" s="120"/>
      <c r="RB470" s="120"/>
      <c r="RC470" s="120"/>
      <c r="RD470" s="120"/>
      <c r="RE470" s="120"/>
      <c r="RF470" s="120"/>
      <c r="RG470" s="120"/>
      <c r="RH470" s="120"/>
      <c r="RI470" s="120"/>
      <c r="RJ470" s="120"/>
      <c r="RK470" s="120"/>
      <c r="RL470" s="120"/>
      <c r="RM470" s="120"/>
      <c r="RN470" s="120"/>
      <c r="RO470" s="120"/>
      <c r="RP470" s="120"/>
      <c r="RQ470" s="120"/>
      <c r="RR470" s="120"/>
      <c r="RS470" s="120"/>
      <c r="RT470" s="120"/>
      <c r="RU470" s="120"/>
      <c r="RV470" s="120"/>
      <c r="RW470" s="120"/>
      <c r="RX470" s="120"/>
      <c r="RY470" s="120"/>
      <c r="RZ470" s="120"/>
      <c r="SA470" s="120"/>
      <c r="SB470" s="120"/>
      <c r="SC470" s="120"/>
      <c r="SD470" s="120"/>
      <c r="SE470" s="120"/>
      <c r="SF470" s="120"/>
      <c r="SG470" s="120"/>
      <c r="SH470" s="120"/>
      <c r="SI470" s="120"/>
      <c r="SJ470" s="120"/>
      <c r="SK470" s="120"/>
      <c r="SL470" s="120"/>
      <c r="SM470" s="120"/>
      <c r="SN470" s="120"/>
      <c r="SO470" s="120"/>
      <c r="SP470" s="120"/>
      <c r="SQ470" s="120"/>
      <c r="SR470" s="120"/>
      <c r="SS470" s="120"/>
      <c r="ST470" s="120"/>
      <c r="SU470" s="120"/>
      <c r="SV470" s="120"/>
      <c r="SW470" s="120"/>
      <c r="SX470" s="120"/>
      <c r="SY470" s="120"/>
      <c r="SZ470" s="120"/>
      <c r="TA470" s="120"/>
      <c r="TB470" s="120"/>
      <c r="TC470" s="120"/>
      <c r="TD470" s="120"/>
      <c r="TE470" s="120"/>
      <c r="TF470" s="120"/>
      <c r="TG470" s="120"/>
      <c r="TH470" s="120"/>
      <c r="TI470" s="120"/>
      <c r="TJ470" s="120"/>
      <c r="TK470" s="120"/>
      <c r="TL470" s="120"/>
      <c r="TM470" s="120"/>
      <c r="TN470" s="120"/>
      <c r="TO470" s="120"/>
      <c r="TP470" s="120"/>
      <c r="TQ470" s="120"/>
      <c r="TR470" s="120"/>
      <c r="TS470" s="120"/>
      <c r="TT470" s="120"/>
      <c r="TU470" s="120"/>
      <c r="TV470" s="120"/>
      <c r="TW470" s="120"/>
      <c r="TX470" s="120"/>
      <c r="TY470" s="120"/>
      <c r="TZ470" s="120"/>
      <c r="UA470" s="120"/>
      <c r="UB470" s="120"/>
      <c r="UC470" s="120"/>
      <c r="UD470" s="120"/>
      <c r="UE470" s="120"/>
      <c r="UF470" s="120"/>
      <c r="UG470" s="120"/>
      <c r="UH470" s="120"/>
      <c r="UI470" s="120"/>
      <c r="UJ470" s="120"/>
      <c r="UK470" s="120"/>
      <c r="UL470" s="120"/>
      <c r="UM470" s="120"/>
      <c r="UN470" s="120"/>
      <c r="UO470" s="120"/>
      <c r="UP470" s="120"/>
      <c r="UQ470" s="120"/>
      <c r="UR470" s="120"/>
      <c r="US470" s="120"/>
      <c r="UT470" s="120"/>
      <c r="UU470" s="120"/>
      <c r="UV470" s="120"/>
      <c r="UW470" s="120"/>
      <c r="UX470" s="120"/>
      <c r="UY470" s="120"/>
      <c r="UZ470" s="120"/>
      <c r="VA470" s="120"/>
      <c r="VB470" s="120"/>
      <c r="VC470" s="120"/>
      <c r="VD470" s="120"/>
      <c r="VE470" s="120"/>
      <c r="VF470" s="120"/>
      <c r="VG470" s="120"/>
      <c r="VH470" s="120"/>
      <c r="VI470" s="120"/>
      <c r="VJ470" s="120"/>
      <c r="VK470" s="120"/>
      <c r="VL470" s="120"/>
      <c r="VM470" s="120"/>
      <c r="VN470" s="120"/>
      <c r="VO470" s="120"/>
      <c r="VP470" s="120"/>
      <c r="VQ470" s="120"/>
      <c r="VR470" s="120"/>
      <c r="VS470" s="120"/>
      <c r="VT470" s="120"/>
      <c r="VU470" s="120"/>
      <c r="VV470" s="120"/>
      <c r="VW470" s="120"/>
      <c r="VX470" s="120"/>
      <c r="VY470" s="120"/>
      <c r="VZ470" s="120"/>
      <c r="WA470" s="120"/>
      <c r="WB470" s="120"/>
      <c r="WC470" s="120"/>
      <c r="WD470" s="120"/>
      <c r="WE470" s="120"/>
      <c r="WF470" s="120"/>
      <c r="WG470" s="120"/>
      <c r="WH470" s="120"/>
      <c r="WI470" s="120"/>
      <c r="WJ470" s="120"/>
      <c r="WK470" s="120"/>
      <c r="WL470" s="120"/>
      <c r="WM470" s="120"/>
      <c r="WN470" s="120"/>
      <c r="WO470" s="120"/>
      <c r="WP470" s="120"/>
      <c r="WQ470" s="120"/>
      <c r="WR470" s="120"/>
      <c r="WS470" s="120"/>
      <c r="WT470" s="120"/>
      <c r="WU470" s="120"/>
      <c r="WV470" s="120"/>
      <c r="WW470" s="120"/>
      <c r="WX470" s="120"/>
      <c r="WY470" s="120"/>
      <c r="WZ470" s="120"/>
      <c r="XA470" s="120"/>
      <c r="XB470" s="120"/>
      <c r="XC470" s="120"/>
      <c r="XD470" s="120"/>
      <c r="XE470" s="120"/>
      <c r="XF470" s="120"/>
      <c r="XG470" s="120"/>
      <c r="XH470" s="120"/>
      <c r="XI470" s="120"/>
      <c r="XJ470" s="120"/>
      <c r="XK470" s="120"/>
      <c r="XL470" s="120"/>
      <c r="XM470" s="120"/>
      <c r="XN470" s="120"/>
      <c r="XO470" s="120"/>
      <c r="XP470" s="120"/>
      <c r="XQ470" s="120"/>
      <c r="XR470" s="120"/>
      <c r="XS470" s="120"/>
      <c r="XT470" s="120"/>
      <c r="XU470" s="120"/>
      <c r="XV470" s="120"/>
      <c r="XW470" s="120"/>
      <c r="XX470" s="120"/>
      <c r="XY470" s="120"/>
      <c r="XZ470" s="120"/>
      <c r="YA470" s="120"/>
      <c r="YB470" s="120"/>
      <c r="YC470" s="120"/>
      <c r="YD470" s="120"/>
      <c r="YE470" s="120"/>
      <c r="YF470" s="120"/>
      <c r="YG470" s="120"/>
      <c r="YH470" s="120"/>
      <c r="YI470" s="120"/>
      <c r="YJ470" s="120"/>
      <c r="YK470" s="120"/>
      <c r="YL470" s="120"/>
      <c r="YM470" s="120"/>
      <c r="YN470" s="120"/>
      <c r="YO470" s="120"/>
      <c r="YP470" s="120"/>
      <c r="YQ470" s="120"/>
      <c r="YR470" s="120"/>
      <c r="YS470" s="120"/>
      <c r="YT470" s="120"/>
      <c r="YU470" s="120"/>
      <c r="YV470" s="120"/>
      <c r="YW470" s="120"/>
      <c r="YX470" s="120"/>
      <c r="YY470" s="120"/>
      <c r="YZ470" s="120"/>
      <c r="ZA470" s="120"/>
      <c r="ZB470" s="120"/>
      <c r="ZC470" s="120"/>
      <c r="ZD470" s="120"/>
      <c r="ZE470" s="120"/>
      <c r="ZF470" s="120"/>
      <c r="ZG470" s="120"/>
      <c r="ZH470" s="120"/>
      <c r="ZI470" s="120"/>
      <c r="ZJ470" s="120"/>
      <c r="ZK470" s="120"/>
      <c r="ZL470" s="120"/>
      <c r="ZM470" s="120"/>
      <c r="ZN470" s="120"/>
      <c r="ZO470" s="120"/>
      <c r="ZP470" s="120"/>
      <c r="ZQ470" s="120"/>
      <c r="ZR470" s="120"/>
      <c r="ZS470" s="120"/>
      <c r="ZT470" s="120"/>
      <c r="ZU470" s="120"/>
      <c r="ZV470" s="120"/>
      <c r="ZW470" s="120"/>
      <c r="ZX470" s="120"/>
      <c r="ZY470" s="120"/>
      <c r="ZZ470" s="120"/>
      <c r="AAA470" s="120"/>
      <c r="AAB470" s="120"/>
      <c r="AAC470" s="120"/>
      <c r="AAD470" s="120"/>
      <c r="AAE470" s="120"/>
      <c r="AAF470" s="120"/>
      <c r="AAG470" s="120"/>
      <c r="AAH470" s="120"/>
      <c r="AAI470" s="120"/>
      <c r="AAJ470" s="120"/>
      <c r="AAK470" s="120"/>
      <c r="AAL470" s="120"/>
      <c r="AAM470" s="120"/>
      <c r="AAN470" s="120"/>
      <c r="AAO470" s="120"/>
      <c r="AAP470" s="120"/>
      <c r="AAQ470" s="120"/>
      <c r="AAR470" s="120"/>
      <c r="AAS470" s="120"/>
      <c r="AAT470" s="120"/>
      <c r="AAU470" s="120"/>
      <c r="AAV470" s="120"/>
      <c r="AAW470" s="120"/>
      <c r="AAX470" s="120"/>
      <c r="AAY470" s="120"/>
      <c r="AAZ470" s="120"/>
      <c r="ABA470" s="120"/>
      <c r="ABB470" s="120"/>
      <c r="ABC470" s="120"/>
      <c r="ABD470" s="120"/>
      <c r="ABE470" s="120"/>
      <c r="ABF470" s="120"/>
      <c r="ABG470" s="120"/>
      <c r="ABH470" s="120"/>
      <c r="ABI470" s="120"/>
      <c r="ABJ470" s="120"/>
      <c r="ABK470" s="120"/>
      <c r="ABL470" s="120"/>
      <c r="ABM470" s="120"/>
      <c r="ABN470" s="120"/>
      <c r="ABO470" s="120"/>
      <c r="ABP470" s="120"/>
      <c r="ABQ470" s="120"/>
      <c r="ABR470" s="120"/>
      <c r="ABS470" s="120"/>
      <c r="ABT470" s="120"/>
      <c r="ABU470" s="120"/>
      <c r="ABV470" s="120"/>
      <c r="ABW470" s="120"/>
      <c r="ABX470" s="120"/>
      <c r="ABY470" s="120"/>
      <c r="ABZ470" s="120"/>
      <c r="ACA470" s="120"/>
      <c r="ACB470" s="120"/>
      <c r="ACC470" s="120"/>
      <c r="ACD470" s="120"/>
      <c r="ACE470" s="120"/>
      <c r="ACF470" s="120"/>
      <c r="ACG470" s="120"/>
      <c r="ACH470" s="120"/>
      <c r="ACI470" s="120"/>
      <c r="ACJ470" s="120"/>
      <c r="ACK470" s="120"/>
      <c r="ACL470" s="120"/>
      <c r="ACM470" s="120"/>
      <c r="ACN470" s="120"/>
      <c r="ACO470" s="120"/>
      <c r="ACP470" s="120"/>
      <c r="ACQ470" s="120"/>
      <c r="ACR470" s="120"/>
      <c r="ACS470" s="120"/>
      <c r="ACT470" s="120"/>
      <c r="ACU470" s="120"/>
      <c r="ACV470" s="120"/>
      <c r="ACW470" s="120"/>
      <c r="ACX470" s="120"/>
      <c r="ACY470" s="120"/>
      <c r="ACZ470" s="120"/>
      <c r="ADA470" s="120"/>
      <c r="ADB470" s="120"/>
      <c r="ADC470" s="120"/>
      <c r="ADD470" s="120"/>
      <c r="ADE470" s="120"/>
      <c r="ADF470" s="120"/>
      <c r="ADG470" s="120"/>
      <c r="ADH470" s="120"/>
      <c r="ADI470" s="120"/>
      <c r="ADJ470" s="120"/>
      <c r="ADK470" s="120"/>
      <c r="ADL470" s="120"/>
      <c r="ADM470" s="120"/>
      <c r="ADN470" s="120"/>
      <c r="ADO470" s="120"/>
      <c r="ADP470" s="120"/>
      <c r="ADQ470" s="120"/>
      <c r="ADR470" s="120"/>
      <c r="ADS470" s="120"/>
      <c r="ADT470" s="120"/>
      <c r="ADU470" s="120"/>
      <c r="ADV470" s="120"/>
      <c r="ADW470" s="120"/>
      <c r="ADX470" s="120"/>
      <c r="ADY470" s="120"/>
      <c r="ADZ470" s="120"/>
      <c r="AEA470" s="120"/>
      <c r="AEB470" s="120"/>
      <c r="AEC470" s="120"/>
      <c r="AED470" s="120"/>
      <c r="AEE470" s="120"/>
      <c r="AEF470" s="120"/>
      <c r="AEG470" s="120"/>
      <c r="AEH470" s="120"/>
      <c r="AEI470" s="120"/>
      <c r="AEJ470" s="120"/>
      <c r="AEK470" s="120"/>
      <c r="AEL470" s="120"/>
      <c r="AEM470" s="120"/>
      <c r="AEN470" s="120"/>
      <c r="AEO470" s="120"/>
      <c r="AEP470" s="120"/>
      <c r="AEQ470" s="120"/>
      <c r="AER470" s="120"/>
      <c r="AES470" s="120"/>
      <c r="AET470" s="120"/>
      <c r="AEU470" s="120"/>
      <c r="AEV470" s="120"/>
      <c r="AEW470" s="120"/>
      <c r="AEX470" s="120"/>
      <c r="AEY470" s="120"/>
      <c r="AEZ470" s="120"/>
      <c r="AFA470" s="120"/>
      <c r="AFB470" s="120"/>
      <c r="AFC470" s="120"/>
      <c r="AFD470" s="120"/>
      <c r="AFE470" s="120"/>
      <c r="AFF470" s="120"/>
      <c r="AFG470" s="120"/>
      <c r="AFH470" s="120"/>
      <c r="AFI470" s="120"/>
      <c r="AFJ470" s="120"/>
      <c r="AFK470" s="120"/>
      <c r="AFL470" s="120"/>
      <c r="AFM470" s="120"/>
      <c r="AFN470" s="120"/>
      <c r="AFO470" s="120"/>
      <c r="AFP470" s="120"/>
      <c r="AFQ470" s="120"/>
      <c r="AFR470" s="120"/>
      <c r="AFS470" s="120"/>
      <c r="AFT470" s="120"/>
      <c r="AFU470" s="120"/>
      <c r="AFV470" s="120"/>
      <c r="AFW470" s="120"/>
      <c r="AFX470" s="120"/>
      <c r="AFY470" s="120"/>
      <c r="AFZ470" s="120"/>
      <c r="AGA470" s="120"/>
      <c r="AGB470" s="120"/>
      <c r="AGC470" s="120"/>
      <c r="AGD470" s="120"/>
      <c r="AGE470" s="120"/>
      <c r="AGF470" s="120"/>
      <c r="AGG470" s="120"/>
      <c r="AGH470" s="120"/>
      <c r="AGI470" s="120"/>
      <c r="AGJ470" s="120"/>
      <c r="AGK470" s="120"/>
      <c r="AGL470" s="120"/>
      <c r="AGM470" s="120"/>
      <c r="AGN470" s="120"/>
      <c r="AGO470" s="120"/>
      <c r="AGP470" s="120"/>
      <c r="AGQ470" s="120"/>
      <c r="AGR470" s="120"/>
      <c r="AGS470" s="120"/>
      <c r="AGT470" s="120"/>
      <c r="AGU470" s="120"/>
      <c r="AGV470" s="120"/>
      <c r="AGW470" s="120"/>
      <c r="AGX470" s="120"/>
      <c r="AGY470" s="120"/>
      <c r="AGZ470" s="120"/>
      <c r="AHA470" s="120"/>
      <c r="AHB470" s="120"/>
      <c r="AHC470" s="120"/>
      <c r="AHD470" s="120"/>
      <c r="AHE470" s="120"/>
      <c r="AHF470" s="120"/>
      <c r="AHG470" s="120"/>
      <c r="AHH470" s="120"/>
      <c r="AHI470" s="120"/>
      <c r="AHJ470" s="120"/>
      <c r="AHK470" s="120"/>
      <c r="AHL470" s="120"/>
      <c r="AHM470" s="120"/>
      <c r="AHN470" s="120"/>
      <c r="AHO470" s="120"/>
      <c r="AHP470" s="120"/>
      <c r="AHQ470" s="120"/>
      <c r="AHR470" s="120"/>
      <c r="AHS470" s="120"/>
      <c r="AHT470" s="120"/>
      <c r="AHU470" s="120"/>
      <c r="AHV470" s="120"/>
      <c r="AHW470" s="120"/>
      <c r="AHX470" s="120"/>
      <c r="AHY470" s="120"/>
      <c r="AHZ470" s="120"/>
      <c r="AIA470" s="120"/>
      <c r="AIB470" s="120"/>
      <c r="AIC470" s="120"/>
      <c r="AID470" s="120"/>
      <c r="AIE470" s="120"/>
      <c r="AIF470" s="120"/>
      <c r="AIG470" s="120"/>
      <c r="AIH470" s="120"/>
      <c r="AII470" s="120"/>
      <c r="AIJ470" s="120"/>
      <c r="AIK470" s="120"/>
      <c r="AIL470" s="120"/>
      <c r="AIM470" s="120"/>
      <c r="AIN470" s="120"/>
      <c r="AIO470" s="120"/>
      <c r="AIP470" s="120"/>
      <c r="AIQ470" s="120"/>
      <c r="AIR470" s="120"/>
      <c r="AIS470" s="120"/>
      <c r="AIT470" s="120"/>
      <c r="AIU470" s="120"/>
      <c r="AIV470" s="120"/>
      <c r="AIW470" s="120"/>
      <c r="AIX470" s="120"/>
      <c r="AIY470" s="120"/>
      <c r="AIZ470" s="120"/>
    </row>
    <row r="471">
      <c r="A471" s="112" t="s">
        <v>28</v>
      </c>
      <c r="B471" s="112" t="s">
        <v>104</v>
      </c>
      <c r="C471" s="112"/>
      <c r="D471" s="113">
        <f t="shared" si="1"/>
        <v>543.7598833</v>
      </c>
      <c r="E471" s="112">
        <v>71.1868166666667</v>
      </c>
      <c r="F471" s="113"/>
      <c r="G471" s="113"/>
      <c r="H471" s="113"/>
      <c r="I471" s="113"/>
      <c r="J471" s="113"/>
      <c r="K471" s="113"/>
      <c r="L471" s="112">
        <v>1.40671666666667</v>
      </c>
      <c r="M471" s="112">
        <v>23.2853666666667</v>
      </c>
      <c r="N471" s="113"/>
      <c r="O471" s="112">
        <v>0.494533333333333</v>
      </c>
      <c r="P471" s="112">
        <v>6.20535</v>
      </c>
      <c r="Q471" s="113"/>
      <c r="R471" s="113"/>
      <c r="S471" s="113"/>
      <c r="T471" s="113"/>
      <c r="U471" s="113"/>
      <c r="V471" s="112">
        <v>0.372383333333333</v>
      </c>
      <c r="W471" s="112">
        <v>57.14815</v>
      </c>
      <c r="X471" s="113"/>
      <c r="Y471" s="113"/>
      <c r="Z471" s="113"/>
      <c r="AA471" s="113"/>
      <c r="AB471" s="113"/>
      <c r="AC471" s="112">
        <v>0.839116666666667</v>
      </c>
      <c r="AD471" s="112">
        <v>82.1625666666666</v>
      </c>
      <c r="AE471" s="113"/>
      <c r="AF471" s="113"/>
      <c r="AG471" s="113"/>
      <c r="AH471" s="113"/>
      <c r="AI471" s="113"/>
      <c r="AJ471" s="112">
        <v>2.84556666666667</v>
      </c>
      <c r="AK471" s="112">
        <v>125.452016666667</v>
      </c>
      <c r="AL471" s="113"/>
      <c r="AM471" s="113"/>
      <c r="AN471" s="113"/>
      <c r="AO471" s="112">
        <v>7.86441666666666</v>
      </c>
      <c r="AP471" s="112">
        <v>93.9698999999999</v>
      </c>
      <c r="AQ471" s="113"/>
      <c r="AR471" s="113"/>
      <c r="AS471" s="112">
        <v>4.98638333333334</v>
      </c>
      <c r="AT471" s="112">
        <v>59.6592166666667</v>
      </c>
      <c r="AU471" s="113"/>
      <c r="AV471" s="112">
        <v>4.52071666666667</v>
      </c>
      <c r="AW471" s="112">
        <v>1.36066666666667</v>
      </c>
      <c r="AX471" s="113"/>
      <c r="AY471" s="113"/>
      <c r="AZ471" s="113"/>
      <c r="BA471" s="113"/>
      <c r="BB471" s="113"/>
      <c r="BC471" s="113"/>
      <c r="BD471" s="113"/>
      <c r="BE471" s="113"/>
      <c r="BF471" s="113"/>
      <c r="BG471" s="113"/>
      <c r="BH471" s="113"/>
      <c r="BI471" s="113"/>
      <c r="BJ471" s="113"/>
      <c r="BK471" s="113"/>
      <c r="BL471" s="113"/>
      <c r="BM471" s="113"/>
      <c r="BN471" s="113"/>
      <c r="BO471" s="113"/>
      <c r="BP471" s="113"/>
      <c r="BQ471" s="113"/>
      <c r="BR471" s="113"/>
      <c r="BS471" s="113"/>
      <c r="BT471" s="113"/>
      <c r="BU471" s="113"/>
      <c r="BV471" s="113"/>
      <c r="BW471" s="113"/>
      <c r="BX471" s="113"/>
      <c r="BY471" s="113"/>
      <c r="BZ471" s="113"/>
      <c r="CA471" s="113"/>
      <c r="CB471" s="113"/>
      <c r="CC471" s="113"/>
      <c r="CD471" s="113"/>
      <c r="CE471" s="113"/>
      <c r="CF471" s="113"/>
      <c r="CG471" s="113"/>
      <c r="CH471" s="113"/>
      <c r="CI471" s="113"/>
      <c r="CJ471" s="113"/>
      <c r="CK471" s="113"/>
      <c r="CL471" s="113"/>
      <c r="CM471" s="113"/>
      <c r="CN471" s="113"/>
      <c r="CO471" s="113"/>
      <c r="CP471" s="113"/>
      <c r="CQ471" s="113"/>
      <c r="CR471" s="113"/>
      <c r="CS471" s="113"/>
      <c r="CT471" s="113"/>
      <c r="CU471" s="113"/>
      <c r="CV471" s="113"/>
      <c r="CW471" s="113"/>
      <c r="CX471" s="113"/>
      <c r="CY471" s="113"/>
      <c r="CZ471" s="113"/>
      <c r="DA471" s="113"/>
      <c r="DB471" s="113"/>
      <c r="DC471" s="113"/>
      <c r="DD471" s="113"/>
      <c r="DE471" s="113"/>
      <c r="DF471" s="113"/>
      <c r="DG471" s="113"/>
      <c r="DH471" s="113"/>
      <c r="DI471" s="113"/>
      <c r="DJ471" s="113"/>
      <c r="DK471" s="113"/>
      <c r="DL471" s="113"/>
      <c r="DM471" s="113"/>
      <c r="DN471" s="113"/>
      <c r="DO471" s="113"/>
      <c r="DP471" s="113"/>
      <c r="DQ471" s="113"/>
      <c r="DR471" s="113"/>
      <c r="DS471" s="113"/>
      <c r="DT471" s="113"/>
      <c r="DU471" s="113"/>
      <c r="DV471" s="113"/>
      <c r="DW471" s="113"/>
      <c r="DX471" s="113"/>
      <c r="DY471" s="113"/>
      <c r="DZ471" s="113"/>
      <c r="EA471" s="113"/>
      <c r="EB471" s="113"/>
      <c r="EC471" s="113"/>
      <c r="ED471" s="113"/>
      <c r="EE471" s="113"/>
      <c r="EF471" s="113"/>
      <c r="EG471" s="113"/>
      <c r="EH471" s="113"/>
      <c r="EI471" s="113"/>
      <c r="EJ471" s="113"/>
      <c r="EK471" s="113"/>
      <c r="EL471" s="113"/>
      <c r="EM471" s="113"/>
      <c r="EN471" s="113"/>
      <c r="EO471" s="113"/>
      <c r="EP471" s="113"/>
      <c r="EQ471" s="113"/>
      <c r="ER471" s="113"/>
      <c r="ES471" s="113"/>
      <c r="ET471" s="113"/>
      <c r="EU471" s="113"/>
      <c r="EV471" s="113"/>
      <c r="EW471" s="113"/>
      <c r="EX471" s="113"/>
      <c r="EY471" s="113"/>
      <c r="EZ471" s="113"/>
      <c r="FA471" s="113"/>
      <c r="FB471" s="113"/>
      <c r="FC471" s="113"/>
      <c r="FD471" s="113"/>
      <c r="FE471" s="113"/>
      <c r="FF471" s="113"/>
      <c r="FG471" s="113"/>
      <c r="FH471" s="113"/>
      <c r="FI471" s="113"/>
      <c r="FJ471" s="113"/>
      <c r="FK471" s="113"/>
      <c r="FL471" s="113"/>
      <c r="FM471" s="113"/>
      <c r="FN471" s="113"/>
      <c r="FO471" s="113"/>
      <c r="FP471" s="113"/>
      <c r="FQ471" s="113"/>
      <c r="FR471" s="113"/>
      <c r="FS471" s="113"/>
      <c r="FT471" s="113"/>
      <c r="FU471" s="113"/>
      <c r="FV471" s="113"/>
      <c r="FW471" s="113"/>
      <c r="FX471" s="113"/>
      <c r="FY471" s="113"/>
      <c r="FZ471" s="113"/>
      <c r="GA471" s="113"/>
      <c r="GB471" s="113"/>
      <c r="GC471" s="113"/>
      <c r="GD471" s="113"/>
      <c r="GE471" s="113"/>
      <c r="GF471" s="113"/>
      <c r="GG471" s="113"/>
      <c r="GH471" s="113"/>
      <c r="GI471" s="113"/>
      <c r="GJ471" s="113"/>
      <c r="GK471" s="113"/>
      <c r="GL471" s="113"/>
      <c r="GM471" s="113"/>
      <c r="GN471" s="113"/>
      <c r="GO471" s="113"/>
      <c r="GP471" s="113"/>
      <c r="GQ471" s="113"/>
      <c r="GR471" s="113"/>
      <c r="GS471" s="113"/>
      <c r="GT471" s="113"/>
      <c r="GU471" s="113"/>
      <c r="GV471" s="113"/>
      <c r="GW471" s="113"/>
      <c r="GX471" s="113"/>
      <c r="GY471" s="113"/>
      <c r="GZ471" s="113"/>
      <c r="HA471" s="113"/>
      <c r="HB471" s="113"/>
      <c r="HC471" s="113"/>
      <c r="HD471" s="113"/>
      <c r="HE471" s="113"/>
      <c r="HF471" s="113"/>
      <c r="HG471" s="113"/>
      <c r="HH471" s="113"/>
      <c r="HI471" s="113"/>
      <c r="HJ471" s="113"/>
      <c r="HK471" s="113"/>
      <c r="HL471" s="113"/>
      <c r="HM471" s="113"/>
      <c r="HN471" s="113"/>
      <c r="HO471" s="113"/>
      <c r="HP471" s="113"/>
      <c r="HQ471" s="113"/>
      <c r="HR471" s="113"/>
      <c r="HS471" s="113"/>
      <c r="HT471" s="113"/>
      <c r="HU471" s="113"/>
      <c r="HV471" s="113"/>
      <c r="HW471" s="113"/>
      <c r="HX471" s="113"/>
      <c r="HY471" s="113"/>
      <c r="HZ471" s="113"/>
      <c r="IA471" s="113"/>
      <c r="IB471" s="113"/>
      <c r="IC471" s="113"/>
      <c r="ID471" s="113"/>
      <c r="IE471" s="113"/>
      <c r="IF471" s="113"/>
      <c r="IG471" s="113"/>
      <c r="IH471" s="113"/>
      <c r="II471" s="113"/>
      <c r="IJ471" s="113"/>
      <c r="IK471" s="113"/>
      <c r="IL471" s="113"/>
      <c r="IM471" s="113"/>
      <c r="IN471" s="113"/>
      <c r="IO471" s="113"/>
      <c r="IP471" s="113"/>
      <c r="IQ471" s="113"/>
      <c r="IR471" s="113"/>
      <c r="IS471" s="113"/>
      <c r="IT471" s="113"/>
      <c r="IU471" s="113"/>
      <c r="IV471" s="113"/>
      <c r="IW471" s="113"/>
      <c r="IX471" s="113"/>
      <c r="IY471" s="113"/>
      <c r="IZ471" s="113"/>
      <c r="JA471" s="113"/>
      <c r="JB471" s="113"/>
      <c r="JC471" s="113"/>
      <c r="JD471" s="113"/>
      <c r="JE471" s="113"/>
      <c r="JF471" s="113"/>
      <c r="JG471" s="113"/>
      <c r="JH471" s="113"/>
      <c r="JI471" s="113"/>
      <c r="JJ471" s="113"/>
      <c r="JK471" s="113"/>
      <c r="JL471" s="113"/>
      <c r="JM471" s="113"/>
      <c r="JN471" s="113"/>
      <c r="JO471" s="113"/>
      <c r="JP471" s="113"/>
      <c r="JQ471" s="113"/>
      <c r="JR471" s="113"/>
      <c r="JS471" s="113"/>
      <c r="JT471" s="113"/>
      <c r="JU471" s="113"/>
      <c r="JV471" s="113"/>
      <c r="JW471" s="113"/>
      <c r="JX471" s="113"/>
      <c r="JY471" s="113"/>
      <c r="JZ471" s="113"/>
      <c r="KA471" s="113"/>
      <c r="KB471" s="113"/>
      <c r="KC471" s="113"/>
      <c r="KD471" s="113"/>
      <c r="KE471" s="113"/>
      <c r="KF471" s="113"/>
      <c r="KG471" s="113"/>
      <c r="KH471" s="113"/>
      <c r="KI471" s="113"/>
      <c r="KJ471" s="113"/>
      <c r="KK471" s="113"/>
      <c r="KL471" s="113"/>
      <c r="KM471" s="113"/>
      <c r="KN471" s="113"/>
      <c r="KO471" s="113"/>
      <c r="KP471" s="113"/>
      <c r="KQ471" s="113"/>
      <c r="KR471" s="113"/>
      <c r="KS471" s="113"/>
      <c r="KT471" s="113"/>
      <c r="KU471" s="113"/>
      <c r="KV471" s="113"/>
      <c r="KW471" s="113"/>
      <c r="KX471" s="113"/>
      <c r="KY471" s="113"/>
      <c r="KZ471" s="113"/>
      <c r="LA471" s="113"/>
      <c r="LB471" s="113"/>
      <c r="LC471" s="113"/>
      <c r="LD471" s="113"/>
      <c r="LE471" s="113"/>
      <c r="LF471" s="113"/>
      <c r="LG471" s="113"/>
      <c r="LH471" s="113"/>
      <c r="LI471" s="113"/>
      <c r="LJ471" s="113"/>
      <c r="LK471" s="113"/>
      <c r="LL471" s="113"/>
      <c r="LM471" s="113"/>
      <c r="LN471" s="113"/>
      <c r="LO471" s="113"/>
      <c r="LP471" s="113"/>
      <c r="LQ471" s="113"/>
      <c r="LR471" s="113"/>
      <c r="LS471" s="113"/>
      <c r="LT471" s="113"/>
      <c r="LU471" s="113"/>
      <c r="LV471" s="113"/>
      <c r="LW471" s="113"/>
      <c r="LX471" s="113"/>
      <c r="LY471" s="113"/>
      <c r="LZ471" s="113"/>
      <c r="MA471" s="113"/>
      <c r="MB471" s="113"/>
      <c r="MC471" s="113"/>
      <c r="MD471" s="113"/>
      <c r="ME471" s="113"/>
      <c r="MF471" s="113"/>
      <c r="MG471" s="113"/>
      <c r="MH471" s="113"/>
      <c r="MI471" s="113"/>
      <c r="MJ471" s="113"/>
      <c r="MK471" s="113"/>
      <c r="ML471" s="113"/>
      <c r="MM471" s="113"/>
      <c r="MN471" s="113"/>
      <c r="MO471" s="113"/>
      <c r="MP471" s="113"/>
      <c r="MQ471" s="113"/>
      <c r="MR471" s="113"/>
      <c r="MS471" s="113"/>
      <c r="MT471" s="113"/>
      <c r="MU471" s="113"/>
      <c r="MV471" s="113"/>
      <c r="MW471" s="113"/>
      <c r="MX471" s="113"/>
      <c r="MY471" s="113"/>
      <c r="MZ471" s="113"/>
      <c r="NA471" s="113"/>
      <c r="NB471" s="113"/>
      <c r="NC471" s="113"/>
      <c r="ND471" s="113"/>
      <c r="NE471" s="113"/>
      <c r="NF471" s="113"/>
      <c r="NG471" s="113"/>
      <c r="NH471" s="113"/>
      <c r="NI471" s="113"/>
      <c r="NJ471" s="113"/>
      <c r="NK471" s="113"/>
      <c r="NL471" s="113"/>
      <c r="NM471" s="113"/>
      <c r="NN471" s="113"/>
      <c r="NO471" s="113"/>
      <c r="NP471" s="113"/>
      <c r="NQ471" s="113"/>
      <c r="NR471" s="113"/>
      <c r="NS471" s="113"/>
      <c r="NT471" s="113"/>
      <c r="NU471" s="113"/>
      <c r="NV471" s="113"/>
      <c r="NW471" s="113"/>
      <c r="NX471" s="113"/>
      <c r="NY471" s="113"/>
      <c r="NZ471" s="113"/>
      <c r="OA471" s="113"/>
      <c r="OB471" s="113"/>
      <c r="OC471" s="113"/>
      <c r="OD471" s="113"/>
      <c r="OE471" s="113"/>
      <c r="OF471" s="113"/>
      <c r="OG471" s="113"/>
      <c r="OH471" s="113"/>
      <c r="OI471" s="113"/>
      <c r="OJ471" s="113"/>
      <c r="OK471" s="113"/>
      <c r="OL471" s="113"/>
      <c r="OM471" s="113"/>
      <c r="ON471" s="113"/>
      <c r="OO471" s="113"/>
      <c r="OP471" s="113"/>
      <c r="OQ471" s="113"/>
      <c r="OR471" s="113"/>
      <c r="OS471" s="113"/>
      <c r="OT471" s="113"/>
      <c r="OU471" s="113"/>
      <c r="OV471" s="113"/>
      <c r="OW471" s="113"/>
      <c r="OX471" s="113"/>
      <c r="OY471" s="113"/>
      <c r="OZ471" s="113"/>
      <c r="PA471" s="113"/>
      <c r="PB471" s="113"/>
      <c r="PC471" s="113"/>
      <c r="PD471" s="113"/>
      <c r="PE471" s="113"/>
      <c r="PF471" s="113"/>
      <c r="PG471" s="113"/>
      <c r="PH471" s="113"/>
      <c r="PI471" s="113"/>
      <c r="PJ471" s="113"/>
      <c r="PK471" s="113"/>
      <c r="PL471" s="113"/>
      <c r="PM471" s="113"/>
      <c r="PN471" s="113"/>
      <c r="PO471" s="113"/>
      <c r="PP471" s="113"/>
      <c r="PQ471" s="113"/>
      <c r="PR471" s="113"/>
      <c r="PS471" s="113"/>
      <c r="PT471" s="113"/>
      <c r="PU471" s="113"/>
      <c r="PV471" s="113"/>
      <c r="PW471" s="113"/>
      <c r="PX471" s="113"/>
      <c r="PY471" s="113"/>
      <c r="PZ471" s="113"/>
      <c r="QA471" s="113"/>
      <c r="QB471" s="113"/>
      <c r="QC471" s="113"/>
      <c r="QD471" s="113"/>
      <c r="QE471" s="113"/>
      <c r="QF471" s="113"/>
      <c r="QG471" s="113"/>
      <c r="QH471" s="113"/>
      <c r="QI471" s="113"/>
      <c r="QJ471" s="113"/>
      <c r="QK471" s="113"/>
      <c r="QL471" s="113"/>
      <c r="QM471" s="113"/>
      <c r="QN471" s="113"/>
      <c r="QO471" s="113"/>
      <c r="QP471" s="113"/>
      <c r="QQ471" s="113"/>
      <c r="QR471" s="113"/>
      <c r="QS471" s="113"/>
      <c r="QT471" s="113"/>
      <c r="QU471" s="113"/>
      <c r="QV471" s="113"/>
      <c r="QW471" s="113"/>
      <c r="QX471" s="113"/>
      <c r="QY471" s="113"/>
      <c r="QZ471" s="113"/>
      <c r="RA471" s="113"/>
      <c r="RB471" s="113"/>
      <c r="RC471" s="113"/>
      <c r="RD471" s="113"/>
      <c r="RE471" s="113"/>
      <c r="RF471" s="113"/>
      <c r="RG471" s="113"/>
      <c r="RH471" s="113"/>
      <c r="RI471" s="113"/>
      <c r="RJ471" s="113"/>
      <c r="RK471" s="113"/>
      <c r="RL471" s="113"/>
      <c r="RM471" s="113"/>
      <c r="RN471" s="113"/>
      <c r="RO471" s="113"/>
      <c r="RP471" s="113"/>
      <c r="RQ471" s="113"/>
      <c r="RR471" s="113"/>
      <c r="RS471" s="113"/>
      <c r="RT471" s="113"/>
      <c r="RU471" s="113"/>
      <c r="RV471" s="113"/>
      <c r="RW471" s="113"/>
      <c r="RX471" s="113"/>
      <c r="RY471" s="113"/>
      <c r="RZ471" s="113"/>
      <c r="SA471" s="113"/>
      <c r="SB471" s="113"/>
      <c r="SC471" s="113"/>
      <c r="SD471" s="113"/>
      <c r="SE471" s="113"/>
      <c r="SF471" s="113"/>
      <c r="SG471" s="113"/>
      <c r="SH471" s="113"/>
      <c r="SI471" s="113"/>
      <c r="SJ471" s="113"/>
      <c r="SK471" s="113"/>
      <c r="SL471" s="113"/>
      <c r="SM471" s="113"/>
      <c r="SN471" s="113"/>
      <c r="SO471" s="113"/>
      <c r="SP471" s="113"/>
      <c r="SQ471" s="113"/>
      <c r="SR471" s="113"/>
      <c r="SS471" s="113"/>
      <c r="ST471" s="113"/>
      <c r="SU471" s="113"/>
      <c r="SV471" s="113"/>
      <c r="SW471" s="113"/>
      <c r="SX471" s="113"/>
      <c r="SY471" s="113"/>
      <c r="SZ471" s="113"/>
      <c r="TA471" s="113"/>
      <c r="TB471" s="113"/>
      <c r="TC471" s="113"/>
      <c r="TD471" s="113"/>
      <c r="TE471" s="113"/>
      <c r="TF471" s="113"/>
      <c r="TG471" s="113"/>
      <c r="TH471" s="113"/>
      <c r="TI471" s="113"/>
      <c r="TJ471" s="113"/>
      <c r="TK471" s="113"/>
      <c r="TL471" s="113"/>
      <c r="TM471" s="113"/>
      <c r="TN471" s="113"/>
      <c r="TO471" s="113"/>
      <c r="TP471" s="113"/>
      <c r="TQ471" s="113"/>
      <c r="TR471" s="113"/>
      <c r="TS471" s="113"/>
      <c r="TT471" s="113"/>
      <c r="TU471" s="113"/>
      <c r="TV471" s="113"/>
      <c r="TW471" s="113"/>
      <c r="TX471" s="113"/>
      <c r="TY471" s="113"/>
      <c r="TZ471" s="113"/>
      <c r="UA471" s="113"/>
      <c r="UB471" s="113"/>
      <c r="UC471" s="113"/>
      <c r="UD471" s="113"/>
      <c r="UE471" s="113"/>
      <c r="UF471" s="113"/>
      <c r="UG471" s="113"/>
      <c r="UH471" s="113"/>
      <c r="UI471" s="113"/>
      <c r="UJ471" s="113"/>
      <c r="UK471" s="113"/>
      <c r="UL471" s="113"/>
      <c r="UM471" s="113"/>
      <c r="UN471" s="113"/>
      <c r="UO471" s="113"/>
      <c r="UP471" s="113"/>
      <c r="UQ471" s="113"/>
      <c r="UR471" s="113"/>
      <c r="US471" s="113"/>
      <c r="UT471" s="113"/>
      <c r="UU471" s="113"/>
      <c r="UV471" s="113"/>
      <c r="UW471" s="113"/>
      <c r="UX471" s="113"/>
      <c r="UY471" s="113"/>
      <c r="UZ471" s="113"/>
      <c r="VA471" s="113"/>
      <c r="VB471" s="113"/>
      <c r="VC471" s="113"/>
      <c r="VD471" s="113"/>
      <c r="VE471" s="113"/>
      <c r="VF471" s="113"/>
      <c r="VG471" s="113"/>
      <c r="VH471" s="113"/>
      <c r="VI471" s="113"/>
      <c r="VJ471" s="113"/>
      <c r="VK471" s="113"/>
      <c r="VL471" s="113"/>
      <c r="VM471" s="113"/>
      <c r="VN471" s="113"/>
      <c r="VO471" s="113"/>
      <c r="VP471" s="113"/>
      <c r="VQ471" s="113"/>
      <c r="VR471" s="113"/>
      <c r="VS471" s="113"/>
      <c r="VT471" s="113"/>
      <c r="VU471" s="113"/>
      <c r="VV471" s="113"/>
      <c r="VW471" s="113"/>
      <c r="VX471" s="113"/>
      <c r="VY471" s="113"/>
      <c r="VZ471" s="113"/>
      <c r="WA471" s="113"/>
      <c r="WB471" s="113"/>
      <c r="WC471" s="113"/>
      <c r="WD471" s="113"/>
      <c r="WE471" s="113"/>
      <c r="WF471" s="113"/>
      <c r="WG471" s="113"/>
      <c r="WH471" s="113"/>
      <c r="WI471" s="113"/>
      <c r="WJ471" s="113"/>
      <c r="WK471" s="113"/>
      <c r="WL471" s="113"/>
      <c r="WM471" s="113"/>
      <c r="WN471" s="113"/>
      <c r="WO471" s="113"/>
      <c r="WP471" s="113"/>
      <c r="WQ471" s="113"/>
      <c r="WR471" s="113"/>
      <c r="WS471" s="113"/>
      <c r="WT471" s="113"/>
      <c r="WU471" s="113"/>
      <c r="WV471" s="113"/>
      <c r="WW471" s="113"/>
      <c r="WX471" s="113"/>
      <c r="WY471" s="113"/>
      <c r="WZ471" s="113"/>
      <c r="XA471" s="113"/>
      <c r="XB471" s="113"/>
      <c r="XC471" s="113"/>
      <c r="XD471" s="113"/>
      <c r="XE471" s="113"/>
      <c r="XF471" s="113"/>
      <c r="XG471" s="113"/>
      <c r="XH471" s="113"/>
      <c r="XI471" s="113"/>
      <c r="XJ471" s="113"/>
      <c r="XK471" s="113"/>
      <c r="XL471" s="113"/>
      <c r="XM471" s="113"/>
      <c r="XN471" s="113"/>
      <c r="XO471" s="113"/>
      <c r="XP471" s="113"/>
      <c r="XQ471" s="113"/>
      <c r="XR471" s="113"/>
      <c r="XS471" s="113"/>
      <c r="XT471" s="113"/>
      <c r="XU471" s="113"/>
      <c r="XV471" s="113"/>
      <c r="XW471" s="113"/>
      <c r="XX471" s="113"/>
      <c r="XY471" s="113"/>
      <c r="XZ471" s="113"/>
      <c r="YA471" s="113"/>
      <c r="YB471" s="113"/>
      <c r="YC471" s="113"/>
      <c r="YD471" s="113"/>
      <c r="YE471" s="113"/>
      <c r="YF471" s="113"/>
      <c r="YG471" s="113"/>
      <c r="YH471" s="113"/>
      <c r="YI471" s="113"/>
      <c r="YJ471" s="113"/>
      <c r="YK471" s="113"/>
      <c r="YL471" s="113"/>
      <c r="YM471" s="113"/>
      <c r="YN471" s="113"/>
      <c r="YO471" s="113"/>
      <c r="YP471" s="113"/>
      <c r="YQ471" s="113"/>
      <c r="YR471" s="113"/>
      <c r="YS471" s="113"/>
      <c r="YT471" s="113"/>
      <c r="YU471" s="113"/>
      <c r="YV471" s="113"/>
      <c r="YW471" s="113"/>
      <c r="YX471" s="113"/>
      <c r="YY471" s="113"/>
      <c r="YZ471" s="113"/>
      <c r="ZA471" s="113"/>
      <c r="ZB471" s="113"/>
      <c r="ZC471" s="113"/>
      <c r="ZD471" s="113"/>
      <c r="ZE471" s="113"/>
      <c r="ZF471" s="113"/>
      <c r="ZG471" s="113"/>
      <c r="ZH471" s="113"/>
      <c r="ZI471" s="113"/>
      <c r="ZJ471" s="113"/>
      <c r="ZK471" s="113"/>
      <c r="ZL471" s="113"/>
      <c r="ZM471" s="113"/>
      <c r="ZN471" s="113"/>
      <c r="ZO471" s="113"/>
      <c r="ZP471" s="113"/>
      <c r="ZQ471" s="113"/>
      <c r="ZR471" s="113"/>
      <c r="ZS471" s="113"/>
      <c r="ZT471" s="113"/>
      <c r="ZU471" s="113"/>
      <c r="ZV471" s="113"/>
      <c r="ZW471" s="113"/>
      <c r="ZX471" s="113"/>
      <c r="ZY471" s="113"/>
      <c r="ZZ471" s="113"/>
      <c r="AAA471" s="113"/>
      <c r="AAB471" s="113"/>
      <c r="AAC471" s="113"/>
      <c r="AAD471" s="113"/>
      <c r="AAE471" s="113"/>
      <c r="AAF471" s="113"/>
      <c r="AAG471" s="113"/>
      <c r="AAH471" s="113"/>
      <c r="AAI471" s="113"/>
      <c r="AAJ471" s="113"/>
      <c r="AAK471" s="113"/>
      <c r="AAL471" s="113"/>
      <c r="AAM471" s="113"/>
      <c r="AAN471" s="113"/>
      <c r="AAO471" s="113"/>
      <c r="AAP471" s="113"/>
      <c r="AAQ471" s="113"/>
      <c r="AAR471" s="113"/>
      <c r="AAS471" s="113"/>
      <c r="AAT471" s="113"/>
      <c r="AAU471" s="113"/>
      <c r="AAV471" s="113"/>
      <c r="AAW471" s="113"/>
      <c r="AAX471" s="113"/>
      <c r="AAY471" s="113"/>
      <c r="AAZ471" s="113"/>
      <c r="ABA471" s="113"/>
      <c r="ABB471" s="113"/>
      <c r="ABC471" s="113"/>
      <c r="ABD471" s="113"/>
      <c r="ABE471" s="113"/>
      <c r="ABF471" s="113"/>
      <c r="ABG471" s="113"/>
      <c r="ABH471" s="113"/>
      <c r="ABI471" s="113"/>
      <c r="ABJ471" s="113"/>
      <c r="ABK471" s="113"/>
      <c r="ABL471" s="113"/>
      <c r="ABM471" s="113"/>
      <c r="ABN471" s="113"/>
      <c r="ABO471" s="113"/>
      <c r="ABP471" s="113"/>
      <c r="ABQ471" s="113"/>
      <c r="ABR471" s="113"/>
      <c r="ABS471" s="113"/>
      <c r="ABT471" s="113"/>
      <c r="ABU471" s="113"/>
      <c r="ABV471" s="113"/>
      <c r="ABW471" s="113"/>
      <c r="ABX471" s="113"/>
      <c r="ABY471" s="113"/>
      <c r="ABZ471" s="113"/>
      <c r="ACA471" s="113"/>
      <c r="ACB471" s="113"/>
      <c r="ACC471" s="113"/>
      <c r="ACD471" s="113"/>
      <c r="ACE471" s="113"/>
      <c r="ACF471" s="113"/>
      <c r="ACG471" s="113"/>
      <c r="ACH471" s="113"/>
      <c r="ACI471" s="113"/>
      <c r="ACJ471" s="113"/>
      <c r="ACK471" s="113"/>
      <c r="ACL471" s="113"/>
      <c r="ACM471" s="113"/>
      <c r="ACN471" s="113"/>
      <c r="ACO471" s="113"/>
      <c r="ACP471" s="113"/>
      <c r="ACQ471" s="113"/>
      <c r="ACR471" s="113"/>
      <c r="ACS471" s="113"/>
      <c r="ACT471" s="113"/>
      <c r="ACU471" s="113"/>
      <c r="ACV471" s="113"/>
      <c r="ACW471" s="113"/>
      <c r="ACX471" s="113"/>
      <c r="ACY471" s="113"/>
      <c r="ACZ471" s="113"/>
      <c r="ADA471" s="113"/>
      <c r="ADB471" s="113"/>
      <c r="ADC471" s="113"/>
      <c r="ADD471" s="113"/>
      <c r="ADE471" s="113"/>
      <c r="ADF471" s="113"/>
      <c r="ADG471" s="113"/>
      <c r="ADH471" s="113"/>
      <c r="ADI471" s="113"/>
      <c r="ADJ471" s="113"/>
      <c r="ADK471" s="113"/>
      <c r="ADL471" s="113"/>
      <c r="ADM471" s="113"/>
      <c r="ADN471" s="113"/>
      <c r="ADO471" s="113"/>
      <c r="ADP471" s="113"/>
      <c r="ADQ471" s="113"/>
      <c r="ADR471" s="113"/>
      <c r="ADS471" s="113"/>
      <c r="ADT471" s="113"/>
      <c r="ADU471" s="113"/>
      <c r="ADV471" s="113"/>
      <c r="ADW471" s="113"/>
      <c r="ADX471" s="113"/>
      <c r="ADY471" s="113"/>
      <c r="ADZ471" s="113"/>
      <c r="AEA471" s="113"/>
      <c r="AEB471" s="113"/>
      <c r="AEC471" s="113"/>
      <c r="AED471" s="113"/>
      <c r="AEE471" s="113"/>
      <c r="AEF471" s="113"/>
      <c r="AEG471" s="113"/>
      <c r="AEH471" s="113"/>
      <c r="AEI471" s="113"/>
      <c r="AEJ471" s="113"/>
      <c r="AEK471" s="113"/>
      <c r="AEL471" s="113"/>
      <c r="AEM471" s="113"/>
      <c r="AEN471" s="113"/>
      <c r="AEO471" s="113"/>
      <c r="AEP471" s="113"/>
      <c r="AEQ471" s="113"/>
      <c r="AER471" s="113"/>
      <c r="AES471" s="113"/>
      <c r="AET471" s="113"/>
      <c r="AEU471" s="113"/>
      <c r="AEV471" s="113"/>
      <c r="AEW471" s="113"/>
      <c r="AEX471" s="113"/>
      <c r="AEY471" s="113"/>
      <c r="AEZ471" s="113"/>
      <c r="AFA471" s="113"/>
      <c r="AFB471" s="113"/>
      <c r="AFC471" s="113"/>
      <c r="AFD471" s="113"/>
      <c r="AFE471" s="113"/>
      <c r="AFF471" s="113"/>
      <c r="AFG471" s="113"/>
      <c r="AFH471" s="113"/>
      <c r="AFI471" s="113"/>
      <c r="AFJ471" s="113"/>
      <c r="AFK471" s="113"/>
      <c r="AFL471" s="113"/>
      <c r="AFM471" s="113"/>
      <c r="AFN471" s="113"/>
      <c r="AFO471" s="113"/>
      <c r="AFP471" s="113"/>
      <c r="AFQ471" s="113"/>
      <c r="AFR471" s="113"/>
      <c r="AFS471" s="113"/>
      <c r="AFT471" s="113"/>
      <c r="AFU471" s="113"/>
      <c r="AFV471" s="113"/>
      <c r="AFW471" s="113"/>
      <c r="AFX471" s="113"/>
      <c r="AFY471" s="113"/>
      <c r="AFZ471" s="113"/>
      <c r="AGA471" s="113"/>
      <c r="AGB471" s="113"/>
      <c r="AGC471" s="113"/>
      <c r="AGD471" s="113"/>
      <c r="AGE471" s="113"/>
      <c r="AGF471" s="113"/>
      <c r="AGG471" s="113"/>
      <c r="AGH471" s="113"/>
      <c r="AGI471" s="113"/>
      <c r="AGJ471" s="113"/>
      <c r="AGK471" s="113"/>
      <c r="AGL471" s="113"/>
      <c r="AGM471" s="113"/>
      <c r="AGN471" s="113"/>
      <c r="AGO471" s="113"/>
      <c r="AGP471" s="113"/>
      <c r="AGQ471" s="113"/>
      <c r="AGR471" s="113"/>
      <c r="AGS471" s="113"/>
      <c r="AGT471" s="113"/>
      <c r="AGU471" s="113"/>
      <c r="AGV471" s="113"/>
      <c r="AGW471" s="113"/>
      <c r="AGX471" s="113"/>
      <c r="AGY471" s="113"/>
      <c r="AGZ471" s="113"/>
      <c r="AHA471" s="113"/>
      <c r="AHB471" s="113"/>
      <c r="AHC471" s="113"/>
      <c r="AHD471" s="113"/>
      <c r="AHE471" s="113"/>
      <c r="AHF471" s="113"/>
      <c r="AHG471" s="113"/>
      <c r="AHH471" s="113"/>
      <c r="AHI471" s="113"/>
      <c r="AHJ471" s="113"/>
      <c r="AHK471" s="113"/>
      <c r="AHL471" s="113"/>
      <c r="AHM471" s="113"/>
      <c r="AHN471" s="113"/>
      <c r="AHO471" s="113"/>
      <c r="AHP471" s="113"/>
      <c r="AHQ471" s="113"/>
      <c r="AHR471" s="113"/>
      <c r="AHS471" s="113"/>
      <c r="AHT471" s="113"/>
      <c r="AHU471" s="113"/>
      <c r="AHV471" s="113"/>
      <c r="AHW471" s="113"/>
      <c r="AHX471" s="113"/>
      <c r="AHY471" s="113"/>
      <c r="AHZ471" s="113"/>
      <c r="AIA471" s="113"/>
      <c r="AIB471" s="113"/>
      <c r="AIC471" s="113"/>
      <c r="AID471" s="113"/>
      <c r="AIE471" s="113"/>
      <c r="AIF471" s="113"/>
      <c r="AIG471" s="113"/>
      <c r="AIH471" s="113"/>
      <c r="AII471" s="113"/>
      <c r="AIJ471" s="113"/>
      <c r="AIK471" s="113"/>
      <c r="AIL471" s="113"/>
      <c r="AIM471" s="113"/>
      <c r="AIN471" s="113"/>
      <c r="AIO471" s="113"/>
      <c r="AIP471" s="113"/>
      <c r="AIQ471" s="113"/>
      <c r="AIR471" s="113"/>
      <c r="AIS471" s="113"/>
      <c r="AIT471" s="113"/>
      <c r="AIU471" s="113"/>
      <c r="AIV471" s="113"/>
      <c r="AIW471" s="113"/>
      <c r="AIX471" s="113"/>
      <c r="AIY471" s="113"/>
      <c r="AIZ471" s="113"/>
    </row>
    <row r="472">
      <c r="A472" s="65" t="s">
        <v>28</v>
      </c>
      <c r="B472" s="65" t="s">
        <v>104</v>
      </c>
      <c r="C472" s="65"/>
      <c r="D472" s="64">
        <f t="shared" si="1"/>
        <v>457.4259</v>
      </c>
      <c r="F472" s="65">
        <v>38.56025</v>
      </c>
      <c r="G472" s="65">
        <v>21.1626333333333</v>
      </c>
      <c r="H472" s="65">
        <v>4.10451666666667</v>
      </c>
      <c r="I472" s="65">
        <v>1.45326666666667</v>
      </c>
      <c r="K472" s="65">
        <v>0.580016666666667</v>
      </c>
      <c r="N472" s="65">
        <v>20.8318666666667</v>
      </c>
      <c r="Q472" s="65">
        <v>4.7737</v>
      </c>
      <c r="R472" s="65">
        <v>0.478316666666667</v>
      </c>
      <c r="S472" s="65">
        <v>0.75265</v>
      </c>
      <c r="X472" s="65">
        <v>38.9802333333333</v>
      </c>
      <c r="Y472" s="65">
        <v>5.81071666666667</v>
      </c>
      <c r="Z472" s="65">
        <v>1.83203333333333</v>
      </c>
      <c r="AA472" s="65">
        <v>0.0999666666666667</v>
      </c>
      <c r="AB472" s="65">
        <v>7.82738333333333</v>
      </c>
      <c r="AE472" s="65">
        <v>56.3065166666667</v>
      </c>
      <c r="AF472" s="65">
        <v>9.87278333333333</v>
      </c>
      <c r="AG472" s="65">
        <v>2.30315</v>
      </c>
      <c r="AH472" s="65">
        <v>0.675566666666667</v>
      </c>
      <c r="AI472" s="65">
        <v>11.4486333333333</v>
      </c>
      <c r="AL472" s="65">
        <v>93.8387833333333</v>
      </c>
      <c r="AM472" s="65">
        <v>1.3399</v>
      </c>
      <c r="AN472" s="65">
        <v>5.4742</v>
      </c>
      <c r="AQ472" s="65">
        <v>64.6719666666667</v>
      </c>
      <c r="AR472" s="65">
        <v>4.9906</v>
      </c>
      <c r="AU472" s="65">
        <v>59.25625</v>
      </c>
    </row>
    <row r="473">
      <c r="A473" s="65" t="s">
        <v>28</v>
      </c>
      <c r="B473" s="65" t="s">
        <v>104</v>
      </c>
      <c r="C473" s="65"/>
      <c r="D473" s="64">
        <f t="shared" si="1"/>
        <v>0</v>
      </c>
    </row>
    <row r="474">
      <c r="A474" s="65" t="s">
        <v>28</v>
      </c>
      <c r="B474" s="65" t="s">
        <v>104</v>
      </c>
      <c r="C474" s="65"/>
      <c r="D474" s="64">
        <f t="shared" si="1"/>
        <v>455.4819</v>
      </c>
      <c r="F474" s="118">
        <f>HYPERLINK("https://docs.google.com/spreadsheets/d/1E0iNu7BPkaA4lFBH9JdL42suZloWuGLv", 38.4021666666667)</f>
        <v>38.40216667</v>
      </c>
      <c r="G474" s="118">
        <f>HYPERLINK("https://docs.google.com/spreadsheets/d/1LkaF-8Iw0R1c58EvN9pSLNqTefxCN97O", 21.1266166666667)</f>
        <v>21.12661667</v>
      </c>
      <c r="H474" s="118">
        <f>HYPERLINK("https://docs.google.com/spreadsheets/d/1d1iNi1nvdAMEjWyrMm6EXplFFfVkGg4D", 4.10453333333333)</f>
        <v>4.104533333</v>
      </c>
      <c r="I474" s="118">
        <f>HYPERLINK("https://docs.google.com/spreadsheets/d/1SpkmO6JVt741LLdLTS98uXuNnuq9-I2r", 1.45326666666667)</f>
        <v>1.453266667</v>
      </c>
      <c r="K474" s="118">
        <f>HYPERLINK("https://docs.google.com/spreadsheets/d/17Cje3VQdXmiviZnHdCNQqQ_ZwTLVqqW8", 0.580016666666667)</f>
        <v>0.5800166667</v>
      </c>
      <c r="N474" s="118">
        <f>HYPERLINK("https://docs.google.com/spreadsheets/d/1-4BFD8-aaU1uvAL2GTzRp0fw21PosDI3", 20.7772833333333)</f>
        <v>20.77728333</v>
      </c>
      <c r="Q474" s="118">
        <f>HYPERLINK("https://docs.google.com/spreadsheets/d/1N4-eaP05E6iKzWtBg56fAGnveV8RK1Z6", 4.42748333333333)</f>
        <v>4.427483333</v>
      </c>
      <c r="R474" s="118">
        <f>HYPERLINK("https://docs.google.com/spreadsheets/d/1VxDvaqfvks-0Px3Us0RK_db7LxtqmdjH", 0.478316666666667)</f>
        <v>0.4783166667</v>
      </c>
      <c r="S474" s="118">
        <f>HYPERLINK("https://docs.google.com/spreadsheets/d/1MP6eWp704rVBAgZQDY53zBUPZGn4c0Br", 0)</f>
        <v>0</v>
      </c>
      <c r="X474" s="118">
        <f>HYPERLINK("https://docs.google.com/spreadsheets/d/1OAM3XSCZ4IOyG6u6Or0VFtpc7EfvIUj5", 38.8424)</f>
        <v>38.8424</v>
      </c>
      <c r="Y474" s="118">
        <f>HYPERLINK("https://docs.google.com/spreadsheets/d/1kXfpGt5aHcxtqoDRUNNpPBLyXBBCHQ2_", 5.8107)</f>
        <v>5.8107</v>
      </c>
      <c r="Z474" s="118">
        <f>HYPERLINK("https://docs.google.com/spreadsheets/d/1o6shJCF9Te_wF4KJ0De8Bfzv61fSxKgp", 1.83203333333333)</f>
        <v>1.832033333</v>
      </c>
      <c r="AA474" s="118">
        <f>HYPERLINK("https://docs.google.com/spreadsheets/d/1w8Wppkzdwo55HB6Y7N-Eg6GxtB85qOD0", 0.0999666666666667)</f>
        <v>0.09996666667</v>
      </c>
      <c r="AB474" s="118">
        <f>HYPERLINK("https://docs.google.com/spreadsheets/d/1PUtwLcciFqcO32_HpAu1nBAMBCVGrt1t", 7.82736666666666)</f>
        <v>7.827366667</v>
      </c>
      <c r="AE474" s="118">
        <f>HYPERLINK("https://docs.google.com/spreadsheets/d/1QUzgGrXhyKwYkphBm1K7f4Cn-ecqdG17", 56.1632666666667)</f>
        <v>56.16326667</v>
      </c>
      <c r="AF474" s="118">
        <f>HYPERLINK("https://docs.google.com/spreadsheets/d/1JbGUl_b2XP388nxBBtI4oBCGFj1R6QZ_", 9.87276666666667)</f>
        <v>9.872766667</v>
      </c>
      <c r="AG474" s="118">
        <f>HYPERLINK("https://docs.google.com/spreadsheets/d/1FvOEp_ccouSAiLew9qVjPX9uj3w3DriV", 2.30315)</f>
        <v>2.30315</v>
      </c>
      <c r="AH474" s="118">
        <f>HYPERLINK("https://docs.google.com/spreadsheets/d/1F7dj4zAwBSkqVizgrbw2Xvco7NSOer3y", 0.675566666666667)</f>
        <v>0.6755666667</v>
      </c>
      <c r="AI474" s="118">
        <f>HYPERLINK("https://docs.google.com/spreadsheets/d/1JNrCYWWYzjmrijLltvhYtkwXci7WfdvW", 11.4486333333333)</f>
        <v>11.44863333</v>
      </c>
      <c r="AL474" s="118">
        <f>HYPERLINK("https://docs.google.com/spreadsheets/d/1Qc5dTYQjwwfvHN5m1rxWYcWdFrdLlzu4", 93.83875)</f>
        <v>93.83875</v>
      </c>
      <c r="AM474" s="118">
        <f>HYPERLINK("https://docs.google.com/spreadsheets/d/1041zgUGW5XUY9xXTRqq2ABzDG-UcZf76", 1.3399)</f>
        <v>1.3399</v>
      </c>
      <c r="AN474" s="118">
        <f>HYPERLINK("https://docs.google.com/spreadsheets/d/1y47d-BYOHS-qLmUpLlw3mKyJUyHVWJPG", 5.3075)</f>
        <v>5.3075</v>
      </c>
      <c r="AQ474" s="118">
        <f>HYPERLINK("https://docs.google.com/spreadsheets/d/1Rrpo6IQDBKCvM4I0p_EeCm_AGGjo56b5", 64.5233833333333)</f>
        <v>64.52338333</v>
      </c>
      <c r="AR474" s="118">
        <f>HYPERLINK("https://docs.google.com/spreadsheets/d/1XO32OgR3PUdAU1euRmEsBgi-cLtCDoft", 4.9906)</f>
        <v>4.9906</v>
      </c>
      <c r="AU474" s="118">
        <f>HYPERLINK("https://docs.google.com/spreadsheets/d/11FrczjFVCSeWztlWbarvugxLxm0q-1Bi", 59.2562333333333)</f>
        <v>59.25623333</v>
      </c>
    </row>
    <row r="475">
      <c r="A475" s="65" t="s">
        <v>28</v>
      </c>
      <c r="B475" s="65" t="s">
        <v>104</v>
      </c>
      <c r="C475" s="65"/>
      <c r="D475" s="64">
        <f t="shared" si="1"/>
        <v>422.1067333</v>
      </c>
      <c r="F475" s="65">
        <v>36.00835</v>
      </c>
      <c r="G475" s="65">
        <v>20.0455166666667</v>
      </c>
      <c r="H475" s="65">
        <v>4.10453333333333</v>
      </c>
      <c r="I475" s="65">
        <v>1.39673333333333</v>
      </c>
      <c r="K475" s="65">
        <v>0.580016666666667</v>
      </c>
      <c r="N475" s="65">
        <v>19.4568166666667</v>
      </c>
      <c r="Q475" s="65">
        <v>4.18793333333333</v>
      </c>
      <c r="R475" s="65">
        <v>0.478316666666667</v>
      </c>
      <c r="X475" s="65">
        <v>37.2401666666666</v>
      </c>
      <c r="Y475" s="65">
        <v>5.70175</v>
      </c>
      <c r="Z475" s="65">
        <v>1.83203333333333</v>
      </c>
      <c r="AA475" s="65">
        <v>0.0</v>
      </c>
      <c r="AB475" s="65">
        <v>6.92496666666667</v>
      </c>
      <c r="AE475" s="65">
        <v>53.4906</v>
      </c>
      <c r="AF475" s="65">
        <v>8.88351666666667</v>
      </c>
      <c r="AG475" s="65">
        <v>2.30315</v>
      </c>
      <c r="AH475" s="65">
        <v>0.675566666666667</v>
      </c>
      <c r="AI475" s="65">
        <v>10.3140333333333</v>
      </c>
      <c r="AL475" s="65">
        <v>86.1681833333333</v>
      </c>
      <c r="AM475" s="65">
        <v>1.3399</v>
      </c>
      <c r="AN475" s="65">
        <v>2.6093</v>
      </c>
      <c r="AQ475" s="65">
        <v>61.0646833333333</v>
      </c>
      <c r="AR475" s="65">
        <v>4.56378333333333</v>
      </c>
      <c r="AU475" s="65">
        <v>52.7368833333333</v>
      </c>
    </row>
    <row r="476">
      <c r="A476" s="119" t="s">
        <v>28</v>
      </c>
      <c r="B476" s="119" t="s">
        <v>104</v>
      </c>
      <c r="C476" s="119"/>
      <c r="D476" s="120">
        <f t="shared" si="1"/>
        <v>0</v>
      </c>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c r="AA476" s="120"/>
      <c r="AB476" s="120"/>
      <c r="AC476" s="120"/>
      <c r="AD476" s="120"/>
      <c r="AE476" s="120"/>
      <c r="AF476" s="120"/>
      <c r="AG476" s="120"/>
      <c r="AH476" s="120"/>
      <c r="AI476" s="120"/>
      <c r="AJ476" s="120"/>
      <c r="AK476" s="120"/>
      <c r="AL476" s="120"/>
      <c r="AM476" s="120"/>
      <c r="AN476" s="120"/>
      <c r="AO476" s="120"/>
      <c r="AP476" s="120"/>
      <c r="AQ476" s="120"/>
      <c r="AR476" s="120"/>
      <c r="AS476" s="120"/>
      <c r="AT476" s="120"/>
      <c r="AU476" s="120"/>
      <c r="AV476" s="120"/>
      <c r="AW476" s="120"/>
      <c r="AX476" s="120"/>
      <c r="AY476" s="120"/>
      <c r="AZ476" s="120"/>
      <c r="BA476" s="120"/>
      <c r="BB476" s="120"/>
      <c r="BC476" s="120"/>
      <c r="BD476" s="120"/>
      <c r="BE476" s="120"/>
      <c r="BF476" s="120"/>
      <c r="BG476" s="120"/>
      <c r="BH476" s="120"/>
      <c r="BI476" s="120"/>
      <c r="BJ476" s="120"/>
      <c r="BK476" s="120"/>
      <c r="BL476" s="120"/>
      <c r="BM476" s="120"/>
      <c r="BN476" s="120"/>
      <c r="BO476" s="120"/>
      <c r="BP476" s="120"/>
      <c r="BQ476" s="120"/>
      <c r="BR476" s="120"/>
      <c r="BS476" s="120"/>
      <c r="BT476" s="120"/>
      <c r="BU476" s="120"/>
      <c r="BV476" s="120"/>
      <c r="BW476" s="120"/>
      <c r="BX476" s="120"/>
      <c r="BY476" s="120"/>
      <c r="BZ476" s="120"/>
      <c r="CA476" s="120"/>
      <c r="CB476" s="120"/>
      <c r="CC476" s="120"/>
      <c r="CD476" s="120"/>
      <c r="CE476" s="120"/>
      <c r="CF476" s="120"/>
      <c r="CG476" s="120"/>
      <c r="CH476" s="120"/>
      <c r="CI476" s="120"/>
      <c r="CJ476" s="120"/>
      <c r="CK476" s="120"/>
      <c r="CL476" s="120"/>
      <c r="CM476" s="120"/>
      <c r="CN476" s="120"/>
      <c r="CO476" s="120"/>
      <c r="CP476" s="120"/>
      <c r="CQ476" s="120"/>
      <c r="CR476" s="120"/>
      <c r="CS476" s="120"/>
      <c r="CT476" s="120"/>
      <c r="CU476" s="120"/>
      <c r="CV476" s="120"/>
      <c r="CW476" s="120"/>
      <c r="CX476" s="120"/>
      <c r="CY476" s="120"/>
      <c r="CZ476" s="120"/>
      <c r="DA476" s="120"/>
      <c r="DB476" s="120"/>
      <c r="DC476" s="120"/>
      <c r="DD476" s="120"/>
      <c r="DE476" s="120"/>
      <c r="DF476" s="120"/>
      <c r="DG476" s="120"/>
      <c r="DH476" s="120"/>
      <c r="DI476" s="120"/>
      <c r="DJ476" s="120"/>
      <c r="DK476" s="120"/>
      <c r="DL476" s="120"/>
      <c r="DM476" s="120"/>
      <c r="DN476" s="120"/>
      <c r="DO476" s="120"/>
      <c r="DP476" s="120"/>
      <c r="DQ476" s="120"/>
      <c r="DR476" s="120"/>
      <c r="DS476" s="120"/>
      <c r="DT476" s="120"/>
      <c r="DU476" s="120"/>
      <c r="DV476" s="120"/>
      <c r="DW476" s="120"/>
      <c r="DX476" s="120"/>
      <c r="DY476" s="120"/>
      <c r="DZ476" s="120"/>
      <c r="EA476" s="120"/>
      <c r="EB476" s="120"/>
      <c r="EC476" s="120"/>
      <c r="ED476" s="120"/>
      <c r="EE476" s="120"/>
      <c r="EF476" s="120"/>
      <c r="EG476" s="120"/>
      <c r="EH476" s="120"/>
      <c r="EI476" s="120"/>
      <c r="EJ476" s="120"/>
      <c r="EK476" s="120"/>
      <c r="EL476" s="120"/>
      <c r="EM476" s="120"/>
      <c r="EN476" s="120"/>
      <c r="EO476" s="120"/>
      <c r="EP476" s="120"/>
      <c r="EQ476" s="120"/>
      <c r="ER476" s="120"/>
      <c r="ES476" s="120"/>
      <c r="ET476" s="120"/>
      <c r="EU476" s="120"/>
      <c r="EV476" s="120"/>
      <c r="EW476" s="120"/>
      <c r="EX476" s="120"/>
      <c r="EY476" s="120"/>
      <c r="EZ476" s="120"/>
      <c r="FA476" s="120"/>
      <c r="FB476" s="120"/>
      <c r="FC476" s="120"/>
      <c r="FD476" s="120"/>
      <c r="FE476" s="120"/>
      <c r="FF476" s="120"/>
      <c r="FG476" s="120"/>
      <c r="FH476" s="120"/>
      <c r="FI476" s="120"/>
      <c r="FJ476" s="120"/>
      <c r="FK476" s="120"/>
      <c r="FL476" s="120"/>
      <c r="FM476" s="120"/>
      <c r="FN476" s="120"/>
      <c r="FO476" s="120"/>
      <c r="FP476" s="120"/>
      <c r="FQ476" s="120"/>
      <c r="FR476" s="120"/>
      <c r="FS476" s="120"/>
      <c r="FT476" s="120"/>
      <c r="FU476" s="120"/>
      <c r="FV476" s="120"/>
      <c r="FW476" s="120"/>
      <c r="FX476" s="120"/>
      <c r="FY476" s="120"/>
      <c r="FZ476" s="120"/>
      <c r="GA476" s="120"/>
      <c r="GB476" s="120"/>
      <c r="GC476" s="120"/>
      <c r="GD476" s="120"/>
      <c r="GE476" s="120"/>
      <c r="GF476" s="120"/>
      <c r="GG476" s="120"/>
      <c r="GH476" s="120"/>
      <c r="GI476" s="120"/>
      <c r="GJ476" s="120"/>
      <c r="GK476" s="120"/>
      <c r="GL476" s="120"/>
      <c r="GM476" s="120"/>
      <c r="GN476" s="120"/>
      <c r="GO476" s="120"/>
      <c r="GP476" s="120"/>
      <c r="GQ476" s="120"/>
      <c r="GR476" s="120"/>
      <c r="GS476" s="120"/>
      <c r="GT476" s="120"/>
      <c r="GU476" s="120"/>
      <c r="GV476" s="120"/>
      <c r="GW476" s="120"/>
      <c r="GX476" s="120"/>
      <c r="GY476" s="120"/>
      <c r="GZ476" s="120"/>
      <c r="HA476" s="120"/>
      <c r="HB476" s="120"/>
      <c r="HC476" s="120"/>
      <c r="HD476" s="120"/>
      <c r="HE476" s="120"/>
      <c r="HF476" s="120"/>
      <c r="HG476" s="120"/>
      <c r="HH476" s="120"/>
      <c r="HI476" s="120"/>
      <c r="HJ476" s="120"/>
      <c r="HK476" s="120"/>
      <c r="HL476" s="120"/>
      <c r="HM476" s="120"/>
      <c r="HN476" s="120"/>
      <c r="HO476" s="120"/>
      <c r="HP476" s="120"/>
      <c r="HQ476" s="120"/>
      <c r="HR476" s="120"/>
      <c r="HS476" s="120"/>
      <c r="HT476" s="120"/>
      <c r="HU476" s="120"/>
      <c r="HV476" s="120"/>
      <c r="HW476" s="120"/>
      <c r="HX476" s="120"/>
      <c r="HY476" s="120"/>
      <c r="HZ476" s="120"/>
      <c r="IA476" s="120"/>
      <c r="IB476" s="120"/>
      <c r="IC476" s="120"/>
      <c r="ID476" s="120"/>
      <c r="IE476" s="120"/>
      <c r="IF476" s="120"/>
      <c r="IG476" s="120"/>
      <c r="IH476" s="120"/>
      <c r="II476" s="120"/>
      <c r="IJ476" s="120"/>
      <c r="IK476" s="120"/>
      <c r="IL476" s="120"/>
      <c r="IM476" s="120"/>
      <c r="IN476" s="120"/>
      <c r="IO476" s="120"/>
      <c r="IP476" s="120"/>
      <c r="IQ476" s="120"/>
      <c r="IR476" s="120"/>
      <c r="IS476" s="120"/>
      <c r="IT476" s="120"/>
      <c r="IU476" s="120"/>
      <c r="IV476" s="120"/>
      <c r="IW476" s="120"/>
      <c r="IX476" s="120"/>
      <c r="IY476" s="120"/>
      <c r="IZ476" s="120"/>
      <c r="JA476" s="120"/>
      <c r="JB476" s="120"/>
      <c r="JC476" s="120"/>
      <c r="JD476" s="120"/>
      <c r="JE476" s="120"/>
      <c r="JF476" s="120"/>
      <c r="JG476" s="120"/>
      <c r="JH476" s="120"/>
      <c r="JI476" s="120"/>
      <c r="JJ476" s="120"/>
      <c r="JK476" s="120"/>
      <c r="JL476" s="120"/>
      <c r="JM476" s="120"/>
      <c r="JN476" s="120"/>
      <c r="JO476" s="120"/>
      <c r="JP476" s="120"/>
      <c r="JQ476" s="120"/>
      <c r="JR476" s="120"/>
      <c r="JS476" s="120"/>
      <c r="JT476" s="120"/>
      <c r="JU476" s="120"/>
      <c r="JV476" s="120"/>
      <c r="JW476" s="120"/>
      <c r="JX476" s="120"/>
      <c r="JY476" s="120"/>
      <c r="JZ476" s="120"/>
      <c r="KA476" s="120"/>
      <c r="KB476" s="120"/>
      <c r="KC476" s="120"/>
      <c r="KD476" s="120"/>
      <c r="KE476" s="120"/>
      <c r="KF476" s="120"/>
      <c r="KG476" s="120"/>
      <c r="KH476" s="120"/>
      <c r="KI476" s="120"/>
      <c r="KJ476" s="120"/>
      <c r="KK476" s="120"/>
      <c r="KL476" s="120"/>
      <c r="KM476" s="120"/>
      <c r="KN476" s="120"/>
      <c r="KO476" s="120"/>
      <c r="KP476" s="120"/>
      <c r="KQ476" s="120"/>
      <c r="KR476" s="120"/>
      <c r="KS476" s="120"/>
      <c r="KT476" s="120"/>
      <c r="KU476" s="120"/>
      <c r="KV476" s="120"/>
      <c r="KW476" s="120"/>
      <c r="KX476" s="120"/>
      <c r="KY476" s="120"/>
      <c r="KZ476" s="120"/>
      <c r="LA476" s="120"/>
      <c r="LB476" s="120"/>
      <c r="LC476" s="120"/>
      <c r="LD476" s="120"/>
      <c r="LE476" s="120"/>
      <c r="LF476" s="120"/>
      <c r="LG476" s="120"/>
      <c r="LH476" s="120"/>
      <c r="LI476" s="120"/>
      <c r="LJ476" s="120"/>
      <c r="LK476" s="120"/>
      <c r="LL476" s="120"/>
      <c r="LM476" s="120"/>
      <c r="LN476" s="120"/>
      <c r="LO476" s="120"/>
      <c r="LP476" s="120"/>
      <c r="LQ476" s="120"/>
      <c r="LR476" s="120"/>
      <c r="LS476" s="120"/>
      <c r="LT476" s="120"/>
      <c r="LU476" s="120"/>
      <c r="LV476" s="120"/>
      <c r="LW476" s="120"/>
      <c r="LX476" s="120"/>
      <c r="LY476" s="120"/>
      <c r="LZ476" s="120"/>
      <c r="MA476" s="120"/>
      <c r="MB476" s="120"/>
      <c r="MC476" s="120"/>
      <c r="MD476" s="120"/>
      <c r="ME476" s="120"/>
      <c r="MF476" s="120"/>
      <c r="MG476" s="120"/>
      <c r="MH476" s="120"/>
      <c r="MI476" s="120"/>
      <c r="MJ476" s="120"/>
      <c r="MK476" s="120"/>
      <c r="ML476" s="120"/>
      <c r="MM476" s="120"/>
      <c r="MN476" s="120"/>
      <c r="MO476" s="120"/>
      <c r="MP476" s="120"/>
      <c r="MQ476" s="120"/>
      <c r="MR476" s="120"/>
      <c r="MS476" s="120"/>
      <c r="MT476" s="120"/>
      <c r="MU476" s="120"/>
      <c r="MV476" s="120"/>
      <c r="MW476" s="120"/>
      <c r="MX476" s="120"/>
      <c r="MY476" s="120"/>
      <c r="MZ476" s="120"/>
      <c r="NA476" s="120"/>
      <c r="NB476" s="120"/>
      <c r="NC476" s="120"/>
      <c r="ND476" s="120"/>
      <c r="NE476" s="120"/>
      <c r="NF476" s="120"/>
      <c r="NG476" s="120"/>
      <c r="NH476" s="120"/>
      <c r="NI476" s="120"/>
      <c r="NJ476" s="120"/>
      <c r="NK476" s="120"/>
      <c r="NL476" s="120"/>
      <c r="NM476" s="120"/>
      <c r="NN476" s="120"/>
      <c r="NO476" s="120"/>
      <c r="NP476" s="120"/>
      <c r="NQ476" s="120"/>
      <c r="NR476" s="120"/>
      <c r="NS476" s="120"/>
      <c r="NT476" s="120"/>
      <c r="NU476" s="120"/>
      <c r="NV476" s="120"/>
      <c r="NW476" s="120"/>
      <c r="NX476" s="120"/>
      <c r="NY476" s="120"/>
      <c r="NZ476" s="120"/>
      <c r="OA476" s="120"/>
      <c r="OB476" s="120"/>
      <c r="OC476" s="120"/>
      <c r="OD476" s="120"/>
      <c r="OE476" s="120"/>
      <c r="OF476" s="120"/>
      <c r="OG476" s="120"/>
      <c r="OH476" s="120"/>
      <c r="OI476" s="120"/>
      <c r="OJ476" s="120"/>
      <c r="OK476" s="120"/>
      <c r="OL476" s="120"/>
      <c r="OM476" s="120"/>
      <c r="ON476" s="120"/>
      <c r="OO476" s="120"/>
      <c r="OP476" s="120"/>
      <c r="OQ476" s="120"/>
      <c r="OR476" s="120"/>
      <c r="OS476" s="120"/>
      <c r="OT476" s="120"/>
      <c r="OU476" s="120"/>
      <c r="OV476" s="120"/>
      <c r="OW476" s="120"/>
      <c r="OX476" s="120"/>
      <c r="OY476" s="120"/>
      <c r="OZ476" s="120"/>
      <c r="PA476" s="120"/>
      <c r="PB476" s="120"/>
      <c r="PC476" s="120"/>
      <c r="PD476" s="120"/>
      <c r="PE476" s="120"/>
      <c r="PF476" s="120"/>
      <c r="PG476" s="120"/>
      <c r="PH476" s="120"/>
      <c r="PI476" s="120"/>
      <c r="PJ476" s="120"/>
      <c r="PK476" s="120"/>
      <c r="PL476" s="120"/>
      <c r="PM476" s="120"/>
      <c r="PN476" s="120"/>
      <c r="PO476" s="120"/>
      <c r="PP476" s="120"/>
      <c r="PQ476" s="120"/>
      <c r="PR476" s="120"/>
      <c r="PS476" s="120"/>
      <c r="PT476" s="120"/>
      <c r="PU476" s="120"/>
      <c r="PV476" s="120"/>
      <c r="PW476" s="120"/>
      <c r="PX476" s="120"/>
      <c r="PY476" s="120"/>
      <c r="PZ476" s="120"/>
      <c r="QA476" s="120"/>
      <c r="QB476" s="120"/>
      <c r="QC476" s="120"/>
      <c r="QD476" s="120"/>
      <c r="QE476" s="120"/>
      <c r="QF476" s="120"/>
      <c r="QG476" s="120"/>
      <c r="QH476" s="120"/>
      <c r="QI476" s="120"/>
      <c r="QJ476" s="120"/>
      <c r="QK476" s="120"/>
      <c r="QL476" s="120"/>
      <c r="QM476" s="120"/>
      <c r="QN476" s="120"/>
      <c r="QO476" s="120"/>
      <c r="QP476" s="120"/>
      <c r="QQ476" s="120"/>
      <c r="QR476" s="120"/>
      <c r="QS476" s="120"/>
      <c r="QT476" s="120"/>
      <c r="QU476" s="120"/>
      <c r="QV476" s="120"/>
      <c r="QW476" s="120"/>
      <c r="QX476" s="120"/>
      <c r="QY476" s="120"/>
      <c r="QZ476" s="120"/>
      <c r="RA476" s="120"/>
      <c r="RB476" s="120"/>
      <c r="RC476" s="120"/>
      <c r="RD476" s="120"/>
      <c r="RE476" s="120"/>
      <c r="RF476" s="120"/>
      <c r="RG476" s="120"/>
      <c r="RH476" s="120"/>
      <c r="RI476" s="120"/>
      <c r="RJ476" s="120"/>
      <c r="RK476" s="120"/>
      <c r="RL476" s="120"/>
      <c r="RM476" s="120"/>
      <c r="RN476" s="120"/>
      <c r="RO476" s="120"/>
      <c r="RP476" s="120"/>
      <c r="RQ476" s="120"/>
      <c r="RR476" s="120"/>
      <c r="RS476" s="120"/>
      <c r="RT476" s="120"/>
      <c r="RU476" s="120"/>
      <c r="RV476" s="120"/>
      <c r="RW476" s="120"/>
      <c r="RX476" s="120"/>
      <c r="RY476" s="120"/>
      <c r="RZ476" s="120"/>
      <c r="SA476" s="120"/>
      <c r="SB476" s="120"/>
      <c r="SC476" s="120"/>
      <c r="SD476" s="120"/>
      <c r="SE476" s="120"/>
      <c r="SF476" s="120"/>
      <c r="SG476" s="120"/>
      <c r="SH476" s="120"/>
      <c r="SI476" s="120"/>
      <c r="SJ476" s="120"/>
      <c r="SK476" s="120"/>
      <c r="SL476" s="120"/>
      <c r="SM476" s="120"/>
      <c r="SN476" s="120"/>
      <c r="SO476" s="120"/>
      <c r="SP476" s="120"/>
      <c r="SQ476" s="120"/>
      <c r="SR476" s="120"/>
      <c r="SS476" s="120"/>
      <c r="ST476" s="120"/>
      <c r="SU476" s="120"/>
      <c r="SV476" s="120"/>
      <c r="SW476" s="120"/>
      <c r="SX476" s="120"/>
      <c r="SY476" s="120"/>
      <c r="SZ476" s="120"/>
      <c r="TA476" s="120"/>
      <c r="TB476" s="120"/>
      <c r="TC476" s="120"/>
      <c r="TD476" s="120"/>
      <c r="TE476" s="120"/>
      <c r="TF476" s="120"/>
      <c r="TG476" s="120"/>
      <c r="TH476" s="120"/>
      <c r="TI476" s="120"/>
      <c r="TJ476" s="120"/>
      <c r="TK476" s="120"/>
      <c r="TL476" s="120"/>
      <c r="TM476" s="120"/>
      <c r="TN476" s="120"/>
      <c r="TO476" s="120"/>
      <c r="TP476" s="120"/>
      <c r="TQ476" s="120"/>
      <c r="TR476" s="120"/>
      <c r="TS476" s="120"/>
      <c r="TT476" s="120"/>
      <c r="TU476" s="120"/>
      <c r="TV476" s="120"/>
      <c r="TW476" s="120"/>
      <c r="TX476" s="120"/>
      <c r="TY476" s="120"/>
      <c r="TZ476" s="120"/>
      <c r="UA476" s="120"/>
      <c r="UB476" s="120"/>
      <c r="UC476" s="120"/>
      <c r="UD476" s="120"/>
      <c r="UE476" s="120"/>
      <c r="UF476" s="120"/>
      <c r="UG476" s="120"/>
      <c r="UH476" s="120"/>
      <c r="UI476" s="120"/>
      <c r="UJ476" s="120"/>
      <c r="UK476" s="120"/>
      <c r="UL476" s="120"/>
      <c r="UM476" s="120"/>
      <c r="UN476" s="120"/>
      <c r="UO476" s="120"/>
      <c r="UP476" s="120"/>
      <c r="UQ476" s="120"/>
      <c r="UR476" s="120"/>
      <c r="US476" s="120"/>
      <c r="UT476" s="120"/>
      <c r="UU476" s="120"/>
      <c r="UV476" s="120"/>
      <c r="UW476" s="120"/>
      <c r="UX476" s="120"/>
      <c r="UY476" s="120"/>
      <c r="UZ476" s="120"/>
      <c r="VA476" s="120"/>
      <c r="VB476" s="120"/>
      <c r="VC476" s="120"/>
      <c r="VD476" s="120"/>
      <c r="VE476" s="120"/>
      <c r="VF476" s="120"/>
      <c r="VG476" s="120"/>
      <c r="VH476" s="120"/>
      <c r="VI476" s="120"/>
      <c r="VJ476" s="120"/>
      <c r="VK476" s="120"/>
      <c r="VL476" s="120"/>
      <c r="VM476" s="120"/>
      <c r="VN476" s="120"/>
      <c r="VO476" s="120"/>
      <c r="VP476" s="120"/>
      <c r="VQ476" s="120"/>
      <c r="VR476" s="120"/>
      <c r="VS476" s="120"/>
      <c r="VT476" s="120"/>
      <c r="VU476" s="120"/>
      <c r="VV476" s="120"/>
      <c r="VW476" s="120"/>
      <c r="VX476" s="120"/>
      <c r="VY476" s="120"/>
      <c r="VZ476" s="120"/>
      <c r="WA476" s="120"/>
      <c r="WB476" s="120"/>
      <c r="WC476" s="120"/>
      <c r="WD476" s="120"/>
      <c r="WE476" s="120"/>
      <c r="WF476" s="120"/>
      <c r="WG476" s="120"/>
      <c r="WH476" s="120"/>
      <c r="WI476" s="120"/>
      <c r="WJ476" s="120"/>
      <c r="WK476" s="120"/>
      <c r="WL476" s="120"/>
      <c r="WM476" s="120"/>
      <c r="WN476" s="120"/>
      <c r="WO476" s="120"/>
      <c r="WP476" s="120"/>
      <c r="WQ476" s="120"/>
      <c r="WR476" s="120"/>
      <c r="WS476" s="120"/>
      <c r="WT476" s="120"/>
      <c r="WU476" s="120"/>
      <c r="WV476" s="120"/>
      <c r="WW476" s="120"/>
      <c r="WX476" s="120"/>
      <c r="WY476" s="120"/>
      <c r="WZ476" s="120"/>
      <c r="XA476" s="120"/>
      <c r="XB476" s="120"/>
      <c r="XC476" s="120"/>
      <c r="XD476" s="120"/>
      <c r="XE476" s="120"/>
      <c r="XF476" s="120"/>
      <c r="XG476" s="120"/>
      <c r="XH476" s="120"/>
      <c r="XI476" s="120"/>
      <c r="XJ476" s="120"/>
      <c r="XK476" s="120"/>
      <c r="XL476" s="120"/>
      <c r="XM476" s="120"/>
      <c r="XN476" s="120"/>
      <c r="XO476" s="120"/>
      <c r="XP476" s="120"/>
      <c r="XQ476" s="120"/>
      <c r="XR476" s="120"/>
      <c r="XS476" s="120"/>
      <c r="XT476" s="120"/>
      <c r="XU476" s="120"/>
      <c r="XV476" s="120"/>
      <c r="XW476" s="120"/>
      <c r="XX476" s="120"/>
      <c r="XY476" s="120"/>
      <c r="XZ476" s="120"/>
      <c r="YA476" s="120"/>
      <c r="YB476" s="120"/>
      <c r="YC476" s="120"/>
      <c r="YD476" s="120"/>
      <c r="YE476" s="120"/>
      <c r="YF476" s="120"/>
      <c r="YG476" s="120"/>
      <c r="YH476" s="120"/>
      <c r="YI476" s="120"/>
      <c r="YJ476" s="120"/>
      <c r="YK476" s="120"/>
      <c r="YL476" s="120"/>
      <c r="YM476" s="120"/>
      <c r="YN476" s="120"/>
      <c r="YO476" s="120"/>
      <c r="YP476" s="120"/>
      <c r="YQ476" s="120"/>
      <c r="YR476" s="120"/>
      <c r="YS476" s="120"/>
      <c r="YT476" s="120"/>
      <c r="YU476" s="120"/>
      <c r="YV476" s="120"/>
      <c r="YW476" s="120"/>
      <c r="YX476" s="120"/>
      <c r="YY476" s="120"/>
      <c r="YZ476" s="120"/>
      <c r="ZA476" s="120"/>
      <c r="ZB476" s="120"/>
      <c r="ZC476" s="120"/>
      <c r="ZD476" s="120"/>
      <c r="ZE476" s="120"/>
      <c r="ZF476" s="120"/>
      <c r="ZG476" s="120"/>
      <c r="ZH476" s="120"/>
      <c r="ZI476" s="120"/>
      <c r="ZJ476" s="120"/>
      <c r="ZK476" s="120"/>
      <c r="ZL476" s="120"/>
      <c r="ZM476" s="120"/>
      <c r="ZN476" s="120"/>
      <c r="ZO476" s="120"/>
      <c r="ZP476" s="120"/>
      <c r="ZQ476" s="120"/>
      <c r="ZR476" s="120"/>
      <c r="ZS476" s="120"/>
      <c r="ZT476" s="120"/>
      <c r="ZU476" s="120"/>
      <c r="ZV476" s="120"/>
      <c r="ZW476" s="120"/>
      <c r="ZX476" s="120"/>
      <c r="ZY476" s="120"/>
      <c r="ZZ476" s="120"/>
      <c r="AAA476" s="120"/>
      <c r="AAB476" s="120"/>
      <c r="AAC476" s="120"/>
      <c r="AAD476" s="120"/>
      <c r="AAE476" s="120"/>
      <c r="AAF476" s="120"/>
      <c r="AAG476" s="120"/>
      <c r="AAH476" s="120"/>
      <c r="AAI476" s="120"/>
      <c r="AAJ476" s="120"/>
      <c r="AAK476" s="120"/>
      <c r="AAL476" s="120"/>
      <c r="AAM476" s="120"/>
      <c r="AAN476" s="120"/>
      <c r="AAO476" s="120"/>
      <c r="AAP476" s="120"/>
      <c r="AAQ476" s="120"/>
      <c r="AAR476" s="120"/>
      <c r="AAS476" s="120"/>
      <c r="AAT476" s="120"/>
      <c r="AAU476" s="120"/>
      <c r="AAV476" s="120"/>
      <c r="AAW476" s="120"/>
      <c r="AAX476" s="120"/>
      <c r="AAY476" s="120"/>
      <c r="AAZ476" s="120"/>
      <c r="ABA476" s="120"/>
      <c r="ABB476" s="120"/>
      <c r="ABC476" s="120"/>
      <c r="ABD476" s="120"/>
      <c r="ABE476" s="120"/>
      <c r="ABF476" s="120"/>
      <c r="ABG476" s="120"/>
      <c r="ABH476" s="120"/>
      <c r="ABI476" s="120"/>
      <c r="ABJ476" s="120"/>
      <c r="ABK476" s="120"/>
      <c r="ABL476" s="120"/>
      <c r="ABM476" s="120"/>
      <c r="ABN476" s="120"/>
      <c r="ABO476" s="120"/>
      <c r="ABP476" s="120"/>
      <c r="ABQ476" s="120"/>
      <c r="ABR476" s="120"/>
      <c r="ABS476" s="120"/>
      <c r="ABT476" s="120"/>
      <c r="ABU476" s="120"/>
      <c r="ABV476" s="120"/>
      <c r="ABW476" s="120"/>
      <c r="ABX476" s="120"/>
      <c r="ABY476" s="120"/>
      <c r="ABZ476" s="120"/>
      <c r="ACA476" s="120"/>
      <c r="ACB476" s="120"/>
      <c r="ACC476" s="120"/>
      <c r="ACD476" s="120"/>
      <c r="ACE476" s="120"/>
      <c r="ACF476" s="120"/>
      <c r="ACG476" s="120"/>
      <c r="ACH476" s="120"/>
      <c r="ACI476" s="120"/>
      <c r="ACJ476" s="120"/>
      <c r="ACK476" s="120"/>
      <c r="ACL476" s="120"/>
      <c r="ACM476" s="120"/>
      <c r="ACN476" s="120"/>
      <c r="ACO476" s="120"/>
      <c r="ACP476" s="120"/>
      <c r="ACQ476" s="120"/>
      <c r="ACR476" s="120"/>
      <c r="ACS476" s="120"/>
      <c r="ACT476" s="120"/>
      <c r="ACU476" s="120"/>
      <c r="ACV476" s="120"/>
      <c r="ACW476" s="120"/>
      <c r="ACX476" s="120"/>
      <c r="ACY476" s="120"/>
      <c r="ACZ476" s="120"/>
      <c r="ADA476" s="120"/>
      <c r="ADB476" s="120"/>
      <c r="ADC476" s="120"/>
      <c r="ADD476" s="120"/>
      <c r="ADE476" s="120"/>
      <c r="ADF476" s="120"/>
      <c r="ADG476" s="120"/>
      <c r="ADH476" s="120"/>
      <c r="ADI476" s="120"/>
      <c r="ADJ476" s="120"/>
      <c r="ADK476" s="120"/>
      <c r="ADL476" s="120"/>
      <c r="ADM476" s="120"/>
      <c r="ADN476" s="120"/>
      <c r="ADO476" s="120"/>
      <c r="ADP476" s="120"/>
      <c r="ADQ476" s="120"/>
      <c r="ADR476" s="120"/>
      <c r="ADS476" s="120"/>
      <c r="ADT476" s="120"/>
      <c r="ADU476" s="120"/>
      <c r="ADV476" s="120"/>
      <c r="ADW476" s="120"/>
      <c r="ADX476" s="120"/>
      <c r="ADY476" s="120"/>
      <c r="ADZ476" s="120"/>
      <c r="AEA476" s="120"/>
      <c r="AEB476" s="120"/>
      <c r="AEC476" s="120"/>
      <c r="AED476" s="120"/>
      <c r="AEE476" s="120"/>
      <c r="AEF476" s="120"/>
      <c r="AEG476" s="120"/>
      <c r="AEH476" s="120"/>
      <c r="AEI476" s="120"/>
      <c r="AEJ476" s="120"/>
      <c r="AEK476" s="120"/>
      <c r="AEL476" s="120"/>
      <c r="AEM476" s="120"/>
      <c r="AEN476" s="120"/>
      <c r="AEO476" s="120"/>
      <c r="AEP476" s="120"/>
      <c r="AEQ476" s="120"/>
      <c r="AER476" s="120"/>
      <c r="AES476" s="120"/>
      <c r="AET476" s="120"/>
      <c r="AEU476" s="120"/>
      <c r="AEV476" s="120"/>
      <c r="AEW476" s="120"/>
      <c r="AEX476" s="120"/>
      <c r="AEY476" s="120"/>
      <c r="AEZ476" s="120"/>
      <c r="AFA476" s="120"/>
      <c r="AFB476" s="120"/>
      <c r="AFC476" s="120"/>
      <c r="AFD476" s="120"/>
      <c r="AFE476" s="120"/>
      <c r="AFF476" s="120"/>
      <c r="AFG476" s="120"/>
      <c r="AFH476" s="120"/>
      <c r="AFI476" s="120"/>
      <c r="AFJ476" s="120"/>
      <c r="AFK476" s="120"/>
      <c r="AFL476" s="120"/>
      <c r="AFM476" s="120"/>
      <c r="AFN476" s="120"/>
      <c r="AFO476" s="120"/>
      <c r="AFP476" s="120"/>
      <c r="AFQ476" s="120"/>
      <c r="AFR476" s="120"/>
      <c r="AFS476" s="120"/>
      <c r="AFT476" s="120"/>
      <c r="AFU476" s="120"/>
      <c r="AFV476" s="120"/>
      <c r="AFW476" s="120"/>
      <c r="AFX476" s="120"/>
      <c r="AFY476" s="120"/>
      <c r="AFZ476" s="120"/>
      <c r="AGA476" s="120"/>
      <c r="AGB476" s="120"/>
      <c r="AGC476" s="120"/>
      <c r="AGD476" s="120"/>
      <c r="AGE476" s="120"/>
      <c r="AGF476" s="120"/>
      <c r="AGG476" s="120"/>
      <c r="AGH476" s="120"/>
      <c r="AGI476" s="120"/>
      <c r="AGJ476" s="120"/>
      <c r="AGK476" s="120"/>
      <c r="AGL476" s="120"/>
      <c r="AGM476" s="120"/>
      <c r="AGN476" s="120"/>
      <c r="AGO476" s="120"/>
      <c r="AGP476" s="120"/>
      <c r="AGQ476" s="120"/>
      <c r="AGR476" s="120"/>
      <c r="AGS476" s="120"/>
      <c r="AGT476" s="120"/>
      <c r="AGU476" s="120"/>
      <c r="AGV476" s="120"/>
      <c r="AGW476" s="120"/>
      <c r="AGX476" s="120"/>
      <c r="AGY476" s="120"/>
      <c r="AGZ476" s="120"/>
      <c r="AHA476" s="120"/>
      <c r="AHB476" s="120"/>
      <c r="AHC476" s="120"/>
      <c r="AHD476" s="120"/>
      <c r="AHE476" s="120"/>
      <c r="AHF476" s="120"/>
      <c r="AHG476" s="120"/>
      <c r="AHH476" s="120"/>
      <c r="AHI476" s="120"/>
      <c r="AHJ476" s="120"/>
      <c r="AHK476" s="120"/>
      <c r="AHL476" s="120"/>
      <c r="AHM476" s="120"/>
      <c r="AHN476" s="120"/>
      <c r="AHO476" s="120"/>
      <c r="AHP476" s="120"/>
      <c r="AHQ476" s="120"/>
      <c r="AHR476" s="120"/>
      <c r="AHS476" s="120"/>
      <c r="AHT476" s="120"/>
      <c r="AHU476" s="120"/>
      <c r="AHV476" s="120"/>
      <c r="AHW476" s="120"/>
      <c r="AHX476" s="120"/>
      <c r="AHY476" s="120"/>
      <c r="AHZ476" s="120"/>
      <c r="AIA476" s="120"/>
      <c r="AIB476" s="120"/>
      <c r="AIC476" s="120"/>
      <c r="AID476" s="120"/>
      <c r="AIE476" s="120"/>
      <c r="AIF476" s="120"/>
      <c r="AIG476" s="120"/>
      <c r="AIH476" s="120"/>
      <c r="AII476" s="120"/>
      <c r="AIJ476" s="120"/>
      <c r="AIK476" s="120"/>
      <c r="AIL476" s="120"/>
      <c r="AIM476" s="120"/>
      <c r="AIN476" s="120"/>
      <c r="AIO476" s="120"/>
      <c r="AIP476" s="120"/>
      <c r="AIQ476" s="120"/>
      <c r="AIR476" s="120"/>
      <c r="AIS476" s="120"/>
      <c r="AIT476" s="120"/>
      <c r="AIU476" s="120"/>
      <c r="AIV476" s="120"/>
      <c r="AIW476" s="120"/>
      <c r="AIX476" s="120"/>
      <c r="AIY476" s="120"/>
      <c r="AIZ476" s="120"/>
    </row>
    <row r="477">
      <c r="A477" s="112" t="s">
        <v>28</v>
      </c>
      <c r="B477" s="112" t="s">
        <v>105</v>
      </c>
      <c r="C477" s="112"/>
      <c r="D477" s="113">
        <f t="shared" si="1"/>
        <v>584.5188167</v>
      </c>
      <c r="E477" s="112">
        <v>51.3529</v>
      </c>
      <c r="F477" s="113"/>
      <c r="G477" s="113"/>
      <c r="H477" s="113"/>
      <c r="I477" s="113"/>
      <c r="J477" s="113"/>
      <c r="K477" s="113"/>
      <c r="L477" s="112">
        <v>0.735816666666667</v>
      </c>
      <c r="M477" s="112">
        <v>13.7791166666667</v>
      </c>
      <c r="N477" s="113"/>
      <c r="O477" s="113"/>
      <c r="P477" s="112">
        <v>0.66615</v>
      </c>
      <c r="Q477" s="113"/>
      <c r="R477" s="113"/>
      <c r="S477" s="113"/>
      <c r="T477" s="113"/>
      <c r="U477" s="113"/>
      <c r="V477" s="113"/>
      <c r="W477" s="112">
        <v>70.1677166666666</v>
      </c>
      <c r="X477" s="113"/>
      <c r="Y477" s="113"/>
      <c r="Z477" s="113"/>
      <c r="AA477" s="113"/>
      <c r="AB477" s="113"/>
      <c r="AC477" s="112">
        <v>0.179066666666667</v>
      </c>
      <c r="AD477" s="112">
        <v>104.471966666667</v>
      </c>
      <c r="AE477" s="113"/>
      <c r="AF477" s="113"/>
      <c r="AG477" s="113"/>
      <c r="AH477" s="113"/>
      <c r="AI477" s="113"/>
      <c r="AJ477" s="112">
        <v>1.411</v>
      </c>
      <c r="AK477" s="112">
        <v>130.723433333333</v>
      </c>
      <c r="AL477" s="113"/>
      <c r="AM477" s="113"/>
      <c r="AN477" s="113"/>
      <c r="AO477" s="112">
        <v>4.90965</v>
      </c>
      <c r="AP477" s="112">
        <v>120.152716666667</v>
      </c>
      <c r="AQ477" s="113"/>
      <c r="AR477" s="113"/>
      <c r="AS477" s="112">
        <v>5.40293333333333</v>
      </c>
      <c r="AT477" s="112">
        <v>72.4582333333334</v>
      </c>
      <c r="AU477" s="113"/>
      <c r="AV477" s="112">
        <v>6.88753333333333</v>
      </c>
      <c r="AW477" s="112">
        <v>1.22058333333333</v>
      </c>
      <c r="AX477" s="113"/>
      <c r="AY477" s="113"/>
      <c r="AZ477" s="113"/>
      <c r="BA477" s="113"/>
      <c r="BB477" s="113"/>
      <c r="BC477" s="113"/>
      <c r="BD477" s="113"/>
      <c r="BE477" s="113"/>
      <c r="BF477" s="113"/>
      <c r="BG477" s="113"/>
      <c r="BH477" s="113"/>
      <c r="BI477" s="113"/>
      <c r="BJ477" s="113"/>
      <c r="BK477" s="113"/>
      <c r="BL477" s="113"/>
      <c r="BM477" s="113"/>
      <c r="BN477" s="113"/>
      <c r="BO477" s="113"/>
      <c r="BP477" s="113"/>
      <c r="BQ477" s="113"/>
      <c r="BR477" s="113"/>
      <c r="BS477" s="113"/>
      <c r="BT477" s="113"/>
      <c r="BU477" s="113"/>
      <c r="BV477" s="113"/>
      <c r="BW477" s="113"/>
      <c r="BX477" s="113"/>
      <c r="BY477" s="113"/>
      <c r="BZ477" s="113"/>
      <c r="CA477" s="113"/>
      <c r="CB477" s="113"/>
      <c r="CC477" s="113"/>
      <c r="CD477" s="113"/>
      <c r="CE477" s="113"/>
      <c r="CF477" s="113"/>
      <c r="CG477" s="113"/>
      <c r="CH477" s="113"/>
      <c r="CI477" s="113"/>
      <c r="CJ477" s="113"/>
      <c r="CK477" s="113"/>
      <c r="CL477" s="113"/>
      <c r="CM477" s="113"/>
      <c r="CN477" s="113"/>
      <c r="CO477" s="113"/>
      <c r="CP477" s="113"/>
      <c r="CQ477" s="113"/>
      <c r="CR477" s="113"/>
      <c r="CS477" s="113"/>
      <c r="CT477" s="113"/>
      <c r="CU477" s="113"/>
      <c r="CV477" s="113"/>
      <c r="CW477" s="113"/>
      <c r="CX477" s="113"/>
      <c r="CY477" s="113"/>
      <c r="CZ477" s="113"/>
      <c r="DA477" s="113"/>
      <c r="DB477" s="113"/>
      <c r="DC477" s="113"/>
      <c r="DD477" s="113"/>
      <c r="DE477" s="113"/>
      <c r="DF477" s="113"/>
      <c r="DG477" s="113"/>
      <c r="DH477" s="113"/>
      <c r="DI477" s="113"/>
      <c r="DJ477" s="113"/>
      <c r="DK477" s="113"/>
      <c r="DL477" s="113"/>
      <c r="DM477" s="113"/>
      <c r="DN477" s="113"/>
      <c r="DO477" s="113"/>
      <c r="DP477" s="113"/>
      <c r="DQ477" s="113"/>
      <c r="DR477" s="113"/>
      <c r="DS477" s="113"/>
      <c r="DT477" s="113"/>
      <c r="DU477" s="113"/>
      <c r="DV477" s="113"/>
      <c r="DW477" s="113"/>
      <c r="DX477" s="113"/>
      <c r="DY477" s="113"/>
      <c r="DZ477" s="113"/>
      <c r="EA477" s="113"/>
      <c r="EB477" s="113"/>
      <c r="EC477" s="113"/>
      <c r="ED477" s="113"/>
      <c r="EE477" s="113"/>
      <c r="EF477" s="113"/>
      <c r="EG477" s="113"/>
      <c r="EH477" s="113"/>
      <c r="EI477" s="113"/>
      <c r="EJ477" s="113"/>
      <c r="EK477" s="113"/>
      <c r="EL477" s="113"/>
      <c r="EM477" s="113"/>
      <c r="EN477" s="113"/>
      <c r="EO477" s="113"/>
      <c r="EP477" s="113"/>
      <c r="EQ477" s="113"/>
      <c r="ER477" s="113"/>
      <c r="ES477" s="113"/>
      <c r="ET477" s="113"/>
      <c r="EU477" s="113"/>
      <c r="EV477" s="113"/>
      <c r="EW477" s="113"/>
      <c r="EX477" s="113"/>
      <c r="EY477" s="113"/>
      <c r="EZ477" s="113"/>
      <c r="FA477" s="113"/>
      <c r="FB477" s="113"/>
      <c r="FC477" s="113"/>
      <c r="FD477" s="113"/>
      <c r="FE477" s="113"/>
      <c r="FF477" s="113"/>
      <c r="FG477" s="113"/>
      <c r="FH477" s="113"/>
      <c r="FI477" s="113"/>
      <c r="FJ477" s="113"/>
      <c r="FK477" s="113"/>
      <c r="FL477" s="113"/>
      <c r="FM477" s="113"/>
      <c r="FN477" s="113"/>
      <c r="FO477" s="113"/>
      <c r="FP477" s="113"/>
      <c r="FQ477" s="113"/>
      <c r="FR477" s="113"/>
      <c r="FS477" s="113"/>
      <c r="FT477" s="113"/>
      <c r="FU477" s="113"/>
      <c r="FV477" s="113"/>
      <c r="FW477" s="113"/>
      <c r="FX477" s="113"/>
      <c r="FY477" s="113"/>
      <c r="FZ477" s="113"/>
      <c r="GA477" s="113"/>
      <c r="GB477" s="113"/>
      <c r="GC477" s="113"/>
      <c r="GD477" s="113"/>
      <c r="GE477" s="113"/>
      <c r="GF477" s="113"/>
      <c r="GG477" s="113"/>
      <c r="GH477" s="113"/>
      <c r="GI477" s="113"/>
      <c r="GJ477" s="113"/>
      <c r="GK477" s="113"/>
      <c r="GL477" s="113"/>
      <c r="GM477" s="113"/>
      <c r="GN477" s="113"/>
      <c r="GO477" s="113"/>
      <c r="GP477" s="113"/>
      <c r="GQ477" s="113"/>
      <c r="GR477" s="113"/>
      <c r="GS477" s="113"/>
      <c r="GT477" s="113"/>
      <c r="GU477" s="113"/>
      <c r="GV477" s="113"/>
      <c r="GW477" s="113"/>
      <c r="GX477" s="113"/>
      <c r="GY477" s="113"/>
      <c r="GZ477" s="113"/>
      <c r="HA477" s="113"/>
      <c r="HB477" s="113"/>
      <c r="HC477" s="113"/>
      <c r="HD477" s="113"/>
      <c r="HE477" s="113"/>
      <c r="HF477" s="113"/>
      <c r="HG477" s="113"/>
      <c r="HH477" s="113"/>
      <c r="HI477" s="113"/>
      <c r="HJ477" s="113"/>
      <c r="HK477" s="113"/>
      <c r="HL477" s="113"/>
      <c r="HM477" s="113"/>
      <c r="HN477" s="113"/>
      <c r="HO477" s="113"/>
      <c r="HP477" s="113"/>
      <c r="HQ477" s="113"/>
      <c r="HR477" s="113"/>
      <c r="HS477" s="113"/>
      <c r="HT477" s="113"/>
      <c r="HU477" s="113"/>
      <c r="HV477" s="113"/>
      <c r="HW477" s="113"/>
      <c r="HX477" s="113"/>
      <c r="HY477" s="113"/>
      <c r="HZ477" s="113"/>
      <c r="IA477" s="113"/>
      <c r="IB477" s="113"/>
      <c r="IC477" s="113"/>
      <c r="ID477" s="113"/>
      <c r="IE477" s="113"/>
      <c r="IF477" s="113"/>
      <c r="IG477" s="113"/>
      <c r="IH477" s="113"/>
      <c r="II477" s="113"/>
      <c r="IJ477" s="113"/>
      <c r="IK477" s="113"/>
      <c r="IL477" s="113"/>
      <c r="IM477" s="113"/>
      <c r="IN477" s="113"/>
      <c r="IO477" s="113"/>
      <c r="IP477" s="113"/>
      <c r="IQ477" s="113"/>
      <c r="IR477" s="113"/>
      <c r="IS477" s="113"/>
      <c r="IT477" s="113"/>
      <c r="IU477" s="113"/>
      <c r="IV477" s="113"/>
      <c r="IW477" s="113"/>
      <c r="IX477" s="113"/>
      <c r="IY477" s="113"/>
      <c r="IZ477" s="113"/>
      <c r="JA477" s="113"/>
      <c r="JB477" s="113"/>
      <c r="JC477" s="113"/>
      <c r="JD477" s="113"/>
      <c r="JE477" s="113"/>
      <c r="JF477" s="113"/>
      <c r="JG477" s="113"/>
      <c r="JH477" s="113"/>
      <c r="JI477" s="113"/>
      <c r="JJ477" s="113"/>
      <c r="JK477" s="113"/>
      <c r="JL477" s="113"/>
      <c r="JM477" s="113"/>
      <c r="JN477" s="113"/>
      <c r="JO477" s="113"/>
      <c r="JP477" s="113"/>
      <c r="JQ477" s="113"/>
      <c r="JR477" s="113"/>
      <c r="JS477" s="113"/>
      <c r="JT477" s="113"/>
      <c r="JU477" s="113"/>
      <c r="JV477" s="113"/>
      <c r="JW477" s="113"/>
      <c r="JX477" s="113"/>
      <c r="JY477" s="113"/>
      <c r="JZ477" s="113"/>
      <c r="KA477" s="113"/>
      <c r="KB477" s="113"/>
      <c r="KC477" s="113"/>
      <c r="KD477" s="113"/>
      <c r="KE477" s="113"/>
      <c r="KF477" s="113"/>
      <c r="KG477" s="113"/>
      <c r="KH477" s="113"/>
      <c r="KI477" s="113"/>
      <c r="KJ477" s="113"/>
      <c r="KK477" s="113"/>
      <c r="KL477" s="113"/>
      <c r="KM477" s="113"/>
      <c r="KN477" s="113"/>
      <c r="KO477" s="113"/>
      <c r="KP477" s="113"/>
      <c r="KQ477" s="113"/>
      <c r="KR477" s="113"/>
      <c r="KS477" s="113"/>
      <c r="KT477" s="113"/>
      <c r="KU477" s="113"/>
      <c r="KV477" s="113"/>
      <c r="KW477" s="113"/>
      <c r="KX477" s="113"/>
      <c r="KY477" s="113"/>
      <c r="KZ477" s="113"/>
      <c r="LA477" s="113"/>
      <c r="LB477" s="113"/>
      <c r="LC477" s="113"/>
      <c r="LD477" s="113"/>
      <c r="LE477" s="113"/>
      <c r="LF477" s="113"/>
      <c r="LG477" s="113"/>
      <c r="LH477" s="113"/>
      <c r="LI477" s="113"/>
      <c r="LJ477" s="113"/>
      <c r="LK477" s="113"/>
      <c r="LL477" s="113"/>
      <c r="LM477" s="113"/>
      <c r="LN477" s="113"/>
      <c r="LO477" s="113"/>
      <c r="LP477" s="113"/>
      <c r="LQ477" s="113"/>
      <c r="LR477" s="113"/>
      <c r="LS477" s="113"/>
      <c r="LT477" s="113"/>
      <c r="LU477" s="113"/>
      <c r="LV477" s="113"/>
      <c r="LW477" s="113"/>
      <c r="LX477" s="113"/>
      <c r="LY477" s="113"/>
      <c r="LZ477" s="113"/>
      <c r="MA477" s="113"/>
      <c r="MB477" s="113"/>
      <c r="MC477" s="113"/>
      <c r="MD477" s="113"/>
      <c r="ME477" s="113"/>
      <c r="MF477" s="113"/>
      <c r="MG477" s="113"/>
      <c r="MH477" s="113"/>
      <c r="MI477" s="113"/>
      <c r="MJ477" s="113"/>
      <c r="MK477" s="113"/>
      <c r="ML477" s="113"/>
      <c r="MM477" s="113"/>
      <c r="MN477" s="113"/>
      <c r="MO477" s="113"/>
      <c r="MP477" s="113"/>
      <c r="MQ477" s="113"/>
      <c r="MR477" s="113"/>
      <c r="MS477" s="113"/>
      <c r="MT477" s="113"/>
      <c r="MU477" s="113"/>
      <c r="MV477" s="113"/>
      <c r="MW477" s="113"/>
      <c r="MX477" s="113"/>
      <c r="MY477" s="113"/>
      <c r="MZ477" s="113"/>
      <c r="NA477" s="113"/>
      <c r="NB477" s="113"/>
      <c r="NC477" s="113"/>
      <c r="ND477" s="113"/>
      <c r="NE477" s="113"/>
      <c r="NF477" s="113"/>
      <c r="NG477" s="113"/>
      <c r="NH477" s="113"/>
      <c r="NI477" s="113"/>
      <c r="NJ477" s="113"/>
      <c r="NK477" s="113"/>
      <c r="NL477" s="113"/>
      <c r="NM477" s="113"/>
      <c r="NN477" s="113"/>
      <c r="NO477" s="113"/>
      <c r="NP477" s="113"/>
      <c r="NQ477" s="113"/>
      <c r="NR477" s="113"/>
      <c r="NS477" s="113"/>
      <c r="NT477" s="113"/>
      <c r="NU477" s="113"/>
      <c r="NV477" s="113"/>
      <c r="NW477" s="113"/>
      <c r="NX477" s="113"/>
      <c r="NY477" s="113"/>
      <c r="NZ477" s="113"/>
      <c r="OA477" s="113"/>
      <c r="OB477" s="113"/>
      <c r="OC477" s="113"/>
      <c r="OD477" s="113"/>
      <c r="OE477" s="113"/>
      <c r="OF477" s="113"/>
      <c r="OG477" s="113"/>
      <c r="OH477" s="113"/>
      <c r="OI477" s="113"/>
      <c r="OJ477" s="113"/>
      <c r="OK477" s="113"/>
      <c r="OL477" s="113"/>
      <c r="OM477" s="113"/>
      <c r="ON477" s="113"/>
      <c r="OO477" s="113"/>
      <c r="OP477" s="113"/>
      <c r="OQ477" s="113"/>
      <c r="OR477" s="113"/>
      <c r="OS477" s="113"/>
      <c r="OT477" s="113"/>
      <c r="OU477" s="113"/>
      <c r="OV477" s="113"/>
      <c r="OW477" s="113"/>
      <c r="OX477" s="113"/>
      <c r="OY477" s="113"/>
      <c r="OZ477" s="113"/>
      <c r="PA477" s="113"/>
      <c r="PB477" s="113"/>
      <c r="PC477" s="113"/>
      <c r="PD477" s="113"/>
      <c r="PE477" s="113"/>
      <c r="PF477" s="113"/>
      <c r="PG477" s="113"/>
      <c r="PH477" s="113"/>
      <c r="PI477" s="113"/>
      <c r="PJ477" s="113"/>
      <c r="PK477" s="113"/>
      <c r="PL477" s="113"/>
      <c r="PM477" s="113"/>
      <c r="PN477" s="113"/>
      <c r="PO477" s="113"/>
      <c r="PP477" s="113"/>
      <c r="PQ477" s="113"/>
      <c r="PR477" s="113"/>
      <c r="PS477" s="113"/>
      <c r="PT477" s="113"/>
      <c r="PU477" s="113"/>
      <c r="PV477" s="113"/>
      <c r="PW477" s="113"/>
      <c r="PX477" s="113"/>
      <c r="PY477" s="113"/>
      <c r="PZ477" s="113"/>
      <c r="QA477" s="113"/>
      <c r="QB477" s="113"/>
      <c r="QC477" s="113"/>
      <c r="QD477" s="113"/>
      <c r="QE477" s="113"/>
      <c r="QF477" s="113"/>
      <c r="QG477" s="113"/>
      <c r="QH477" s="113"/>
      <c r="QI477" s="113"/>
      <c r="QJ477" s="113"/>
      <c r="QK477" s="113"/>
      <c r="QL477" s="113"/>
      <c r="QM477" s="113"/>
      <c r="QN477" s="113"/>
      <c r="QO477" s="113"/>
      <c r="QP477" s="113"/>
      <c r="QQ477" s="113"/>
      <c r="QR477" s="113"/>
      <c r="QS477" s="113"/>
      <c r="QT477" s="113"/>
      <c r="QU477" s="113"/>
      <c r="QV477" s="113"/>
      <c r="QW477" s="113"/>
      <c r="QX477" s="113"/>
      <c r="QY477" s="113"/>
      <c r="QZ477" s="113"/>
      <c r="RA477" s="113"/>
      <c r="RB477" s="113"/>
      <c r="RC477" s="113"/>
      <c r="RD477" s="113"/>
      <c r="RE477" s="113"/>
      <c r="RF477" s="113"/>
      <c r="RG477" s="113"/>
      <c r="RH477" s="113"/>
      <c r="RI477" s="113"/>
      <c r="RJ477" s="113"/>
      <c r="RK477" s="113"/>
      <c r="RL477" s="113"/>
      <c r="RM477" s="113"/>
      <c r="RN477" s="113"/>
      <c r="RO477" s="113"/>
      <c r="RP477" s="113"/>
      <c r="RQ477" s="113"/>
      <c r="RR477" s="113"/>
      <c r="RS477" s="113"/>
      <c r="RT477" s="113"/>
      <c r="RU477" s="113"/>
      <c r="RV477" s="113"/>
      <c r="RW477" s="113"/>
      <c r="RX477" s="113"/>
      <c r="RY477" s="113"/>
      <c r="RZ477" s="113"/>
      <c r="SA477" s="113"/>
      <c r="SB477" s="113"/>
      <c r="SC477" s="113"/>
      <c r="SD477" s="113"/>
      <c r="SE477" s="113"/>
      <c r="SF477" s="113"/>
      <c r="SG477" s="113"/>
      <c r="SH477" s="113"/>
      <c r="SI477" s="113"/>
      <c r="SJ477" s="113"/>
      <c r="SK477" s="113"/>
      <c r="SL477" s="113"/>
      <c r="SM477" s="113"/>
      <c r="SN477" s="113"/>
      <c r="SO477" s="113"/>
      <c r="SP477" s="113"/>
      <c r="SQ477" s="113"/>
      <c r="SR477" s="113"/>
      <c r="SS477" s="113"/>
      <c r="ST477" s="113"/>
      <c r="SU477" s="113"/>
      <c r="SV477" s="113"/>
      <c r="SW477" s="113"/>
      <c r="SX477" s="113"/>
      <c r="SY477" s="113"/>
      <c r="SZ477" s="113"/>
      <c r="TA477" s="113"/>
      <c r="TB477" s="113"/>
      <c r="TC477" s="113"/>
      <c r="TD477" s="113"/>
      <c r="TE477" s="113"/>
      <c r="TF477" s="113"/>
      <c r="TG477" s="113"/>
      <c r="TH477" s="113"/>
      <c r="TI477" s="113"/>
      <c r="TJ477" s="113"/>
      <c r="TK477" s="113"/>
      <c r="TL477" s="113"/>
      <c r="TM477" s="113"/>
      <c r="TN477" s="113"/>
      <c r="TO477" s="113"/>
      <c r="TP477" s="113"/>
      <c r="TQ477" s="113"/>
      <c r="TR477" s="113"/>
      <c r="TS477" s="113"/>
      <c r="TT477" s="113"/>
      <c r="TU477" s="113"/>
      <c r="TV477" s="113"/>
      <c r="TW477" s="113"/>
      <c r="TX477" s="113"/>
      <c r="TY477" s="113"/>
      <c r="TZ477" s="113"/>
      <c r="UA477" s="113"/>
      <c r="UB477" s="113"/>
      <c r="UC477" s="113"/>
      <c r="UD477" s="113"/>
      <c r="UE477" s="113"/>
      <c r="UF477" s="113"/>
      <c r="UG477" s="113"/>
      <c r="UH477" s="113"/>
      <c r="UI477" s="113"/>
      <c r="UJ477" s="113"/>
      <c r="UK477" s="113"/>
      <c r="UL477" s="113"/>
      <c r="UM477" s="113"/>
      <c r="UN477" s="113"/>
      <c r="UO477" s="113"/>
      <c r="UP477" s="113"/>
      <c r="UQ477" s="113"/>
      <c r="UR477" s="113"/>
      <c r="US477" s="113"/>
      <c r="UT477" s="113"/>
      <c r="UU477" s="113"/>
      <c r="UV477" s="113"/>
      <c r="UW477" s="113"/>
      <c r="UX477" s="113"/>
      <c r="UY477" s="113"/>
      <c r="UZ477" s="113"/>
      <c r="VA477" s="113"/>
      <c r="VB477" s="113"/>
      <c r="VC477" s="113"/>
      <c r="VD477" s="113"/>
      <c r="VE477" s="113"/>
      <c r="VF477" s="113"/>
      <c r="VG477" s="113"/>
      <c r="VH477" s="113"/>
      <c r="VI477" s="113"/>
      <c r="VJ477" s="113"/>
      <c r="VK477" s="113"/>
      <c r="VL477" s="113"/>
      <c r="VM477" s="113"/>
      <c r="VN477" s="113"/>
      <c r="VO477" s="113"/>
      <c r="VP477" s="113"/>
      <c r="VQ477" s="113"/>
      <c r="VR477" s="113"/>
      <c r="VS477" s="113"/>
      <c r="VT477" s="113"/>
      <c r="VU477" s="113"/>
      <c r="VV477" s="113"/>
      <c r="VW477" s="113"/>
      <c r="VX477" s="113"/>
      <c r="VY477" s="113"/>
      <c r="VZ477" s="113"/>
      <c r="WA477" s="113"/>
      <c r="WB477" s="113"/>
      <c r="WC477" s="113"/>
      <c r="WD477" s="113"/>
      <c r="WE477" s="113"/>
      <c r="WF477" s="113"/>
      <c r="WG477" s="113"/>
      <c r="WH477" s="113"/>
      <c r="WI477" s="113"/>
      <c r="WJ477" s="113"/>
      <c r="WK477" s="113"/>
      <c r="WL477" s="113"/>
      <c r="WM477" s="113"/>
      <c r="WN477" s="113"/>
      <c r="WO477" s="113"/>
      <c r="WP477" s="113"/>
      <c r="WQ477" s="113"/>
      <c r="WR477" s="113"/>
      <c r="WS477" s="113"/>
      <c r="WT477" s="113"/>
      <c r="WU477" s="113"/>
      <c r="WV477" s="113"/>
      <c r="WW477" s="113"/>
      <c r="WX477" s="113"/>
      <c r="WY477" s="113"/>
      <c r="WZ477" s="113"/>
      <c r="XA477" s="113"/>
      <c r="XB477" s="113"/>
      <c r="XC477" s="113"/>
      <c r="XD477" s="113"/>
      <c r="XE477" s="113"/>
      <c r="XF477" s="113"/>
      <c r="XG477" s="113"/>
      <c r="XH477" s="113"/>
      <c r="XI477" s="113"/>
      <c r="XJ477" s="113"/>
      <c r="XK477" s="113"/>
      <c r="XL477" s="113"/>
      <c r="XM477" s="113"/>
      <c r="XN477" s="113"/>
      <c r="XO477" s="113"/>
      <c r="XP477" s="113"/>
      <c r="XQ477" s="113"/>
      <c r="XR477" s="113"/>
      <c r="XS477" s="113"/>
      <c r="XT477" s="113"/>
      <c r="XU477" s="113"/>
      <c r="XV477" s="113"/>
      <c r="XW477" s="113"/>
      <c r="XX477" s="113"/>
      <c r="XY477" s="113"/>
      <c r="XZ477" s="113"/>
      <c r="YA477" s="113"/>
      <c r="YB477" s="113"/>
      <c r="YC477" s="113"/>
      <c r="YD477" s="113"/>
      <c r="YE477" s="113"/>
      <c r="YF477" s="113"/>
      <c r="YG477" s="113"/>
      <c r="YH477" s="113"/>
      <c r="YI477" s="113"/>
      <c r="YJ477" s="113"/>
      <c r="YK477" s="113"/>
      <c r="YL477" s="113"/>
      <c r="YM477" s="113"/>
      <c r="YN477" s="113"/>
      <c r="YO477" s="113"/>
      <c r="YP477" s="113"/>
      <c r="YQ477" s="113"/>
      <c r="YR477" s="113"/>
      <c r="YS477" s="113"/>
      <c r="YT477" s="113"/>
      <c r="YU477" s="113"/>
      <c r="YV477" s="113"/>
      <c r="YW477" s="113"/>
      <c r="YX477" s="113"/>
      <c r="YY477" s="113"/>
      <c r="YZ477" s="113"/>
      <c r="ZA477" s="113"/>
      <c r="ZB477" s="113"/>
      <c r="ZC477" s="113"/>
      <c r="ZD477" s="113"/>
      <c r="ZE477" s="113"/>
      <c r="ZF477" s="113"/>
      <c r="ZG477" s="113"/>
      <c r="ZH477" s="113"/>
      <c r="ZI477" s="113"/>
      <c r="ZJ477" s="113"/>
      <c r="ZK477" s="113"/>
      <c r="ZL477" s="113"/>
      <c r="ZM477" s="113"/>
      <c r="ZN477" s="113"/>
      <c r="ZO477" s="113"/>
      <c r="ZP477" s="113"/>
      <c r="ZQ477" s="113"/>
      <c r="ZR477" s="113"/>
      <c r="ZS477" s="113"/>
      <c r="ZT477" s="113"/>
      <c r="ZU477" s="113"/>
      <c r="ZV477" s="113"/>
      <c r="ZW477" s="113"/>
      <c r="ZX477" s="113"/>
      <c r="ZY477" s="113"/>
      <c r="ZZ477" s="113"/>
      <c r="AAA477" s="113"/>
      <c r="AAB477" s="113"/>
      <c r="AAC477" s="113"/>
      <c r="AAD477" s="113"/>
      <c r="AAE477" s="113"/>
      <c r="AAF477" s="113"/>
      <c r="AAG477" s="113"/>
      <c r="AAH477" s="113"/>
      <c r="AAI477" s="113"/>
      <c r="AAJ477" s="113"/>
      <c r="AAK477" s="113"/>
      <c r="AAL477" s="113"/>
      <c r="AAM477" s="113"/>
      <c r="AAN477" s="113"/>
      <c r="AAO477" s="113"/>
      <c r="AAP477" s="113"/>
      <c r="AAQ477" s="113"/>
      <c r="AAR477" s="113"/>
      <c r="AAS477" s="113"/>
      <c r="AAT477" s="113"/>
      <c r="AAU477" s="113"/>
      <c r="AAV477" s="113"/>
      <c r="AAW477" s="113"/>
      <c r="AAX477" s="113"/>
      <c r="AAY477" s="113"/>
      <c r="AAZ477" s="113"/>
      <c r="ABA477" s="113"/>
      <c r="ABB477" s="113"/>
      <c r="ABC477" s="113"/>
      <c r="ABD477" s="113"/>
      <c r="ABE477" s="113"/>
      <c r="ABF477" s="113"/>
      <c r="ABG477" s="113"/>
      <c r="ABH477" s="113"/>
      <c r="ABI477" s="113"/>
      <c r="ABJ477" s="113"/>
      <c r="ABK477" s="113"/>
      <c r="ABL477" s="113"/>
      <c r="ABM477" s="113"/>
      <c r="ABN477" s="113"/>
      <c r="ABO477" s="113"/>
      <c r="ABP477" s="113"/>
      <c r="ABQ477" s="113"/>
      <c r="ABR477" s="113"/>
      <c r="ABS477" s="113"/>
      <c r="ABT477" s="113"/>
      <c r="ABU477" s="113"/>
      <c r="ABV477" s="113"/>
      <c r="ABW477" s="113"/>
      <c r="ABX477" s="113"/>
      <c r="ABY477" s="113"/>
      <c r="ABZ477" s="113"/>
      <c r="ACA477" s="113"/>
      <c r="ACB477" s="113"/>
      <c r="ACC477" s="113"/>
      <c r="ACD477" s="113"/>
      <c r="ACE477" s="113"/>
      <c r="ACF477" s="113"/>
      <c r="ACG477" s="113"/>
      <c r="ACH477" s="113"/>
      <c r="ACI477" s="113"/>
      <c r="ACJ477" s="113"/>
      <c r="ACK477" s="113"/>
      <c r="ACL477" s="113"/>
      <c r="ACM477" s="113"/>
      <c r="ACN477" s="113"/>
      <c r="ACO477" s="113"/>
      <c r="ACP477" s="113"/>
      <c r="ACQ477" s="113"/>
      <c r="ACR477" s="113"/>
      <c r="ACS477" s="113"/>
      <c r="ACT477" s="113"/>
      <c r="ACU477" s="113"/>
      <c r="ACV477" s="113"/>
      <c r="ACW477" s="113"/>
      <c r="ACX477" s="113"/>
      <c r="ACY477" s="113"/>
      <c r="ACZ477" s="113"/>
      <c r="ADA477" s="113"/>
      <c r="ADB477" s="113"/>
      <c r="ADC477" s="113"/>
      <c r="ADD477" s="113"/>
      <c r="ADE477" s="113"/>
      <c r="ADF477" s="113"/>
      <c r="ADG477" s="113"/>
      <c r="ADH477" s="113"/>
      <c r="ADI477" s="113"/>
      <c r="ADJ477" s="113"/>
      <c r="ADK477" s="113"/>
      <c r="ADL477" s="113"/>
      <c r="ADM477" s="113"/>
      <c r="ADN477" s="113"/>
      <c r="ADO477" s="113"/>
      <c r="ADP477" s="113"/>
      <c r="ADQ477" s="113"/>
      <c r="ADR477" s="113"/>
      <c r="ADS477" s="113"/>
      <c r="ADT477" s="113"/>
      <c r="ADU477" s="113"/>
      <c r="ADV477" s="113"/>
      <c r="ADW477" s="113"/>
      <c r="ADX477" s="113"/>
      <c r="ADY477" s="113"/>
      <c r="ADZ477" s="113"/>
      <c r="AEA477" s="113"/>
      <c r="AEB477" s="113"/>
      <c r="AEC477" s="113"/>
      <c r="AED477" s="113"/>
      <c r="AEE477" s="113"/>
      <c r="AEF477" s="113"/>
      <c r="AEG477" s="113"/>
      <c r="AEH477" s="113"/>
      <c r="AEI477" s="113"/>
      <c r="AEJ477" s="113"/>
      <c r="AEK477" s="113"/>
      <c r="AEL477" s="113"/>
      <c r="AEM477" s="113"/>
      <c r="AEN477" s="113"/>
      <c r="AEO477" s="113"/>
      <c r="AEP477" s="113"/>
      <c r="AEQ477" s="113"/>
      <c r="AER477" s="113"/>
      <c r="AES477" s="113"/>
      <c r="AET477" s="113"/>
      <c r="AEU477" s="113"/>
      <c r="AEV477" s="113"/>
      <c r="AEW477" s="113"/>
      <c r="AEX477" s="113"/>
      <c r="AEY477" s="113"/>
      <c r="AEZ477" s="113"/>
      <c r="AFA477" s="113"/>
      <c r="AFB477" s="113"/>
      <c r="AFC477" s="113"/>
      <c r="AFD477" s="113"/>
      <c r="AFE477" s="113"/>
      <c r="AFF477" s="113"/>
      <c r="AFG477" s="113"/>
      <c r="AFH477" s="113"/>
      <c r="AFI477" s="113"/>
      <c r="AFJ477" s="113"/>
      <c r="AFK477" s="113"/>
      <c r="AFL477" s="113"/>
      <c r="AFM477" s="113"/>
      <c r="AFN477" s="113"/>
      <c r="AFO477" s="113"/>
      <c r="AFP477" s="113"/>
      <c r="AFQ477" s="113"/>
      <c r="AFR477" s="113"/>
      <c r="AFS477" s="113"/>
      <c r="AFT477" s="113"/>
      <c r="AFU477" s="113"/>
      <c r="AFV477" s="113"/>
      <c r="AFW477" s="113"/>
      <c r="AFX477" s="113"/>
      <c r="AFY477" s="113"/>
      <c r="AFZ477" s="113"/>
      <c r="AGA477" s="113"/>
      <c r="AGB477" s="113"/>
      <c r="AGC477" s="113"/>
      <c r="AGD477" s="113"/>
      <c r="AGE477" s="113"/>
      <c r="AGF477" s="113"/>
      <c r="AGG477" s="113"/>
      <c r="AGH477" s="113"/>
      <c r="AGI477" s="113"/>
      <c r="AGJ477" s="113"/>
      <c r="AGK477" s="113"/>
      <c r="AGL477" s="113"/>
      <c r="AGM477" s="113"/>
      <c r="AGN477" s="113"/>
      <c r="AGO477" s="113"/>
      <c r="AGP477" s="113"/>
      <c r="AGQ477" s="113"/>
      <c r="AGR477" s="113"/>
      <c r="AGS477" s="113"/>
      <c r="AGT477" s="113"/>
      <c r="AGU477" s="113"/>
      <c r="AGV477" s="113"/>
      <c r="AGW477" s="113"/>
      <c r="AGX477" s="113"/>
      <c r="AGY477" s="113"/>
      <c r="AGZ477" s="113"/>
      <c r="AHA477" s="113"/>
      <c r="AHB477" s="113"/>
      <c r="AHC477" s="113"/>
      <c r="AHD477" s="113"/>
      <c r="AHE477" s="113"/>
      <c r="AHF477" s="113"/>
      <c r="AHG477" s="113"/>
      <c r="AHH477" s="113"/>
      <c r="AHI477" s="113"/>
      <c r="AHJ477" s="113"/>
      <c r="AHK477" s="113"/>
      <c r="AHL477" s="113"/>
      <c r="AHM477" s="113"/>
      <c r="AHN477" s="113"/>
      <c r="AHO477" s="113"/>
      <c r="AHP477" s="113"/>
      <c r="AHQ477" s="113"/>
      <c r="AHR477" s="113"/>
      <c r="AHS477" s="113"/>
      <c r="AHT477" s="113"/>
      <c r="AHU477" s="113"/>
      <c r="AHV477" s="113"/>
      <c r="AHW477" s="113"/>
      <c r="AHX477" s="113"/>
      <c r="AHY477" s="113"/>
      <c r="AHZ477" s="113"/>
      <c r="AIA477" s="113"/>
      <c r="AIB477" s="113"/>
      <c r="AIC477" s="113"/>
      <c r="AID477" s="113"/>
      <c r="AIE477" s="113"/>
      <c r="AIF477" s="113"/>
      <c r="AIG477" s="113"/>
      <c r="AIH477" s="113"/>
      <c r="AII477" s="113"/>
      <c r="AIJ477" s="113"/>
      <c r="AIK477" s="113"/>
      <c r="AIL477" s="113"/>
      <c r="AIM477" s="113"/>
      <c r="AIN477" s="113"/>
      <c r="AIO477" s="113"/>
      <c r="AIP477" s="113"/>
      <c r="AIQ477" s="113"/>
      <c r="AIR477" s="113"/>
      <c r="AIS477" s="113"/>
      <c r="AIT477" s="113"/>
      <c r="AIU477" s="113"/>
      <c r="AIV477" s="113"/>
      <c r="AIW477" s="113"/>
      <c r="AIX477" s="113"/>
      <c r="AIY477" s="113"/>
      <c r="AIZ477" s="113"/>
    </row>
    <row r="478">
      <c r="A478" s="65" t="s">
        <v>28</v>
      </c>
      <c r="B478" s="65" t="s">
        <v>105</v>
      </c>
      <c r="C478" s="65"/>
      <c r="D478" s="64">
        <f t="shared" si="1"/>
        <v>494.84035</v>
      </c>
      <c r="F478" s="65">
        <v>35.0644833333333</v>
      </c>
      <c r="G478" s="65">
        <v>4.92743333333333</v>
      </c>
      <c r="H478" s="65">
        <v>1.394</v>
      </c>
      <c r="I478" s="65">
        <v>1.52078333333333</v>
      </c>
      <c r="J478" s="65">
        <v>0.282733333333333</v>
      </c>
      <c r="K478" s="65">
        <v>5.98371666666667</v>
      </c>
      <c r="N478" s="65">
        <v>10.6010333333333</v>
      </c>
      <c r="T478" s="65">
        <v>0.520416666666667</v>
      </c>
      <c r="X478" s="65">
        <v>19.2831166666667</v>
      </c>
      <c r="Y478" s="65">
        <v>34.6398333333333</v>
      </c>
      <c r="Z478" s="65">
        <v>1.6963</v>
      </c>
      <c r="AA478" s="65">
        <v>8.23535</v>
      </c>
      <c r="AB478" s="65">
        <v>5.47823333333333</v>
      </c>
      <c r="AE478" s="65">
        <v>27.9178666666667</v>
      </c>
      <c r="AF478" s="65">
        <v>41.8747</v>
      </c>
      <c r="AG478" s="65">
        <v>3.23515</v>
      </c>
      <c r="AH478" s="65">
        <v>12.6590833333333</v>
      </c>
      <c r="AI478" s="65">
        <v>17.6505333333333</v>
      </c>
      <c r="AL478" s="65">
        <v>77.5942833333333</v>
      </c>
      <c r="AM478" s="65">
        <v>0.9936</v>
      </c>
      <c r="AN478" s="65">
        <v>24.3101666666667</v>
      </c>
      <c r="AQ478" s="65">
        <v>69.4397666666666</v>
      </c>
      <c r="AR478" s="65">
        <v>21.14835</v>
      </c>
      <c r="AU478" s="65">
        <v>68.3894166666666</v>
      </c>
    </row>
    <row r="479">
      <c r="A479" s="65" t="s">
        <v>28</v>
      </c>
      <c r="B479" s="65" t="s">
        <v>105</v>
      </c>
      <c r="C479" s="65"/>
      <c r="D479" s="64">
        <f t="shared" si="1"/>
        <v>0</v>
      </c>
    </row>
    <row r="480">
      <c r="A480" s="65" t="s">
        <v>28</v>
      </c>
      <c r="B480" s="65" t="s">
        <v>105</v>
      </c>
      <c r="C480" s="65"/>
      <c r="D480" s="64">
        <f t="shared" si="1"/>
        <v>492.5110167</v>
      </c>
      <c r="F480" s="118">
        <f>HYPERLINK("https://docs.google.com/spreadsheets/d/1fB1lakBV9kIKpoxIjCn_nSq9c70NjlfP", 34.94485)</f>
        <v>34.94485</v>
      </c>
      <c r="G480" s="118">
        <f>HYPERLINK("https://docs.google.com/spreadsheets/d/1Z-TXuTftCDcPzTmbzl8tMfyeLQJdGrOg", 4.92743333333333)</f>
        <v>4.927433333</v>
      </c>
      <c r="H480" s="118">
        <f>HYPERLINK("https://docs.google.com/spreadsheets/d/1yMbI5nrBjQ1lsXKyx6rYtr-DWpM_vgsf", 1.394)</f>
        <v>1.394</v>
      </c>
      <c r="I480" s="118">
        <f>HYPERLINK("https://docs.google.com/spreadsheets/d/1v0N3x9NjMZPKRmmdRJsdxJ3TGWd98-te", 1.52078333333333)</f>
        <v>1.520783333</v>
      </c>
      <c r="J480" s="118">
        <f>HYPERLINK("https://docs.google.com/spreadsheets/d/1Wv_UbLUZMFISrthAgeTC9RVmqk0LwZPp", 0.282733333333333)</f>
        <v>0.2827333333</v>
      </c>
      <c r="K480" s="118">
        <f>HYPERLINK("https://docs.google.com/spreadsheets/d/1cWtbNj2WfQCEmWWaEPeOIvdseBvUpwhI", 5.98371666666667)</f>
        <v>5.983716667</v>
      </c>
      <c r="N480" s="118">
        <f>HYPERLINK("https://docs.google.com/spreadsheets/d/11KW3VL_s3H3lgonrRv8M6OKiJh7a6LXv", 10.6010333333333)</f>
        <v>10.60103333</v>
      </c>
      <c r="T480" s="118">
        <f>HYPERLINK("https://docs.google.com/spreadsheets/d/1p6Qr-yB7T5nmuVPd24l2mzsmWiSvTXiB", 0.520416666666667)</f>
        <v>0.5204166667</v>
      </c>
      <c r="X480" s="118">
        <f>HYPERLINK("https://docs.google.com/spreadsheets/d/1bBiObuMVEqNSEQs-0Y1VHMJ55wgXthHd", 19.2830833333333)</f>
        <v>19.28308333</v>
      </c>
      <c r="Y480" s="118">
        <f>HYPERLINK("https://docs.google.com/spreadsheets/d/16UmuFwk4RBHCNjenyzpxiIiKG-Vc9Tbi", 34.5992666666667)</f>
        <v>34.59926667</v>
      </c>
      <c r="Z480" s="118">
        <f>HYPERLINK("https://docs.google.com/spreadsheets/d/1MqevHF8miGA0PaIcu6q3h9VuOsH1x6KS", 1.6963)</f>
        <v>1.6963</v>
      </c>
      <c r="AA480" s="118">
        <f>HYPERLINK("https://docs.google.com/spreadsheets/d/1nUxj_zf-tyLcqHFuxwMuPOf3ZjS7leBn", 8.23535)</f>
        <v>8.23535</v>
      </c>
      <c r="AB480" s="118">
        <f>HYPERLINK("https://docs.google.com/spreadsheets/d/1Z-hhsVIx9js-FGVJuEkcabdKVoiJ1Ysi", 5.11805)</f>
        <v>5.11805</v>
      </c>
      <c r="AE480" s="118">
        <f>HYPERLINK("https://docs.google.com/spreadsheets/d/1sVxkc_aJugYkSM2mqNY3BaBLCj2QUJLG", 27.8001333333333)</f>
        <v>27.80013333</v>
      </c>
      <c r="AF480" s="118">
        <f>HYPERLINK("https://docs.google.com/spreadsheets/d/1340kNwHciX-bu0QwjamPGCwpXrh8z-fl", 41.7833333333333)</f>
        <v>41.78333333</v>
      </c>
      <c r="AG480" s="118">
        <f>HYPERLINK("https://docs.google.com/spreadsheets/d/1XsEKARY6h8JrpfT0v9iJgb8QElvsqSJw", 3.23513333333333)</f>
        <v>3.235133333</v>
      </c>
      <c r="AH480" s="118">
        <f>HYPERLINK("https://docs.google.com/spreadsheets/d/1GeMQnS3qUm4z5J6j2GODKQv5JvtAl_1b", 12.65905)</f>
        <v>12.65905</v>
      </c>
      <c r="AI480" s="118">
        <f>HYPERLINK("https://docs.google.com/spreadsheets/d/1nPjyA7-wofJEEk1BJrrN123j0w6TT1U1", 17.4591833333333)</f>
        <v>17.45918333</v>
      </c>
      <c r="AL480" s="118">
        <f>HYPERLINK("https://docs.google.com/spreadsheets/d/1a4JC3-bH1MILXkf4rfE91hPlFSOtK8hm", 77.59425)</f>
        <v>77.59425</v>
      </c>
      <c r="AM480" s="118">
        <f>HYPERLINK("https://docs.google.com/spreadsheets/d/1JWbL4LPDr5VowbVnJQ-wY5hVTfPKIxpI", 0.9936)</f>
        <v>0.9936</v>
      </c>
      <c r="AN480" s="118">
        <f>HYPERLINK("https://docs.google.com/spreadsheets/d/1aSbrf8u-H_Plde5TatGSOwUvl2_rq2fo", 23.4861)</f>
        <v>23.4861</v>
      </c>
      <c r="AQ480" s="118">
        <f>HYPERLINK("https://docs.google.com/spreadsheets/d/1SZ3JE66klgJQPhiuL-yZNLnaVQwlxads", 69.3071)</f>
        <v>69.3071</v>
      </c>
      <c r="AR480" s="118">
        <f>HYPERLINK("https://docs.google.com/spreadsheets/d/1qfVgFrgxEdCBUEzbLaQVu5wi6LoTvB_i", 20.99035)</f>
        <v>20.99035</v>
      </c>
      <c r="AU480" s="118">
        <f>HYPERLINK("https://docs.google.com/spreadsheets/d/1vTZZwl9AfX-8q0NneEtiyA7oYiTKeFSj", 68.0957666666666)</f>
        <v>68.09576667</v>
      </c>
    </row>
    <row r="481">
      <c r="A481" s="65" t="s">
        <v>28</v>
      </c>
      <c r="B481" s="65" t="s">
        <v>105</v>
      </c>
      <c r="C481" s="65"/>
      <c r="D481" s="64">
        <f t="shared" si="1"/>
        <v>456.4628</v>
      </c>
      <c r="F481" s="65">
        <v>34.0274333333333</v>
      </c>
      <c r="G481" s="65">
        <v>4.92743333333333</v>
      </c>
      <c r="H481" s="65">
        <v>1.394</v>
      </c>
      <c r="I481" s="65">
        <v>1.52078333333333</v>
      </c>
      <c r="J481" s="65">
        <v>0.282733333333333</v>
      </c>
      <c r="K481" s="65">
        <v>5.33448333333333</v>
      </c>
      <c r="N481" s="65">
        <v>10.3300333333333</v>
      </c>
      <c r="T481" s="65">
        <v>0.520416666666667</v>
      </c>
      <c r="X481" s="65">
        <v>18.368</v>
      </c>
      <c r="Y481" s="65">
        <v>33.6118333333333</v>
      </c>
      <c r="Z481" s="65">
        <v>1.6963</v>
      </c>
      <c r="AA481" s="65">
        <v>7.26365</v>
      </c>
      <c r="AB481" s="65">
        <v>3.71031666666667</v>
      </c>
      <c r="AE481" s="65">
        <v>25.9026333333333</v>
      </c>
      <c r="AF481" s="65">
        <v>39.2774333333333</v>
      </c>
      <c r="AG481" s="65">
        <v>2.70803333333333</v>
      </c>
      <c r="AH481" s="65">
        <v>12.1655333333333</v>
      </c>
      <c r="AI481" s="65">
        <v>14.9580666666667</v>
      </c>
      <c r="AL481" s="65">
        <v>73.3291</v>
      </c>
      <c r="AM481" s="65">
        <v>0.9936</v>
      </c>
      <c r="AN481" s="65">
        <v>18.9657166666667</v>
      </c>
      <c r="AQ481" s="65">
        <v>64.9222166666667</v>
      </c>
      <c r="AR481" s="65">
        <v>19.2327833333333</v>
      </c>
      <c r="AU481" s="65">
        <v>61.0202666666666</v>
      </c>
    </row>
    <row r="482">
      <c r="A482" s="119" t="s">
        <v>28</v>
      </c>
      <c r="B482" s="119" t="s">
        <v>105</v>
      </c>
      <c r="C482" s="119"/>
      <c r="D482" s="120">
        <f t="shared" si="1"/>
        <v>0</v>
      </c>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c r="AA482" s="120"/>
      <c r="AB482" s="120"/>
      <c r="AC482" s="120"/>
      <c r="AD482" s="120"/>
      <c r="AE482" s="120"/>
      <c r="AF482" s="120"/>
      <c r="AG482" s="120"/>
      <c r="AH482" s="120"/>
      <c r="AI482" s="120"/>
      <c r="AJ482" s="120"/>
      <c r="AK482" s="120"/>
      <c r="AL482" s="120"/>
      <c r="AM482" s="120"/>
      <c r="AN482" s="120"/>
      <c r="AO482" s="120"/>
      <c r="AP482" s="120"/>
      <c r="AQ482" s="120"/>
      <c r="AR482" s="120"/>
      <c r="AS482" s="120"/>
      <c r="AT482" s="120"/>
      <c r="AU482" s="120"/>
      <c r="AV482" s="120"/>
      <c r="AW482" s="120"/>
      <c r="AX482" s="120"/>
      <c r="AY482" s="120"/>
      <c r="AZ482" s="120"/>
      <c r="BA482" s="120"/>
      <c r="BB482" s="120"/>
      <c r="BC482" s="120"/>
      <c r="BD482" s="120"/>
      <c r="BE482" s="120"/>
      <c r="BF482" s="120"/>
      <c r="BG482" s="120"/>
      <c r="BH482" s="120"/>
      <c r="BI482" s="120"/>
      <c r="BJ482" s="120"/>
      <c r="BK482" s="120"/>
      <c r="BL482" s="120"/>
      <c r="BM482" s="120"/>
      <c r="BN482" s="120"/>
      <c r="BO482" s="120"/>
      <c r="BP482" s="120"/>
      <c r="BQ482" s="120"/>
      <c r="BR482" s="120"/>
      <c r="BS482" s="120"/>
      <c r="BT482" s="120"/>
      <c r="BU482" s="120"/>
      <c r="BV482" s="120"/>
      <c r="BW482" s="120"/>
      <c r="BX482" s="120"/>
      <c r="BY482" s="120"/>
      <c r="BZ482" s="120"/>
      <c r="CA482" s="120"/>
      <c r="CB482" s="120"/>
      <c r="CC482" s="120"/>
      <c r="CD482" s="120"/>
      <c r="CE482" s="120"/>
      <c r="CF482" s="120"/>
      <c r="CG482" s="120"/>
      <c r="CH482" s="120"/>
      <c r="CI482" s="120"/>
      <c r="CJ482" s="120"/>
      <c r="CK482" s="120"/>
      <c r="CL482" s="120"/>
      <c r="CM482" s="120"/>
      <c r="CN482" s="120"/>
      <c r="CO482" s="120"/>
      <c r="CP482" s="120"/>
      <c r="CQ482" s="120"/>
      <c r="CR482" s="120"/>
      <c r="CS482" s="120"/>
      <c r="CT482" s="120"/>
      <c r="CU482" s="120"/>
      <c r="CV482" s="120"/>
      <c r="CW482" s="120"/>
      <c r="CX482" s="120"/>
      <c r="CY482" s="120"/>
      <c r="CZ482" s="120"/>
      <c r="DA482" s="120"/>
      <c r="DB482" s="120"/>
      <c r="DC482" s="120"/>
      <c r="DD482" s="120"/>
      <c r="DE482" s="120"/>
      <c r="DF482" s="120"/>
      <c r="DG482" s="120"/>
      <c r="DH482" s="120"/>
      <c r="DI482" s="120"/>
      <c r="DJ482" s="120"/>
      <c r="DK482" s="120"/>
      <c r="DL482" s="120"/>
      <c r="DM482" s="120"/>
      <c r="DN482" s="120"/>
      <c r="DO482" s="120"/>
      <c r="DP482" s="120"/>
      <c r="DQ482" s="120"/>
      <c r="DR482" s="120"/>
      <c r="DS482" s="120"/>
      <c r="DT482" s="120"/>
      <c r="DU482" s="120"/>
      <c r="DV482" s="120"/>
      <c r="DW482" s="120"/>
      <c r="DX482" s="120"/>
      <c r="DY482" s="120"/>
      <c r="DZ482" s="120"/>
      <c r="EA482" s="120"/>
      <c r="EB482" s="120"/>
      <c r="EC482" s="120"/>
      <c r="ED482" s="120"/>
      <c r="EE482" s="120"/>
      <c r="EF482" s="120"/>
      <c r="EG482" s="120"/>
      <c r="EH482" s="120"/>
      <c r="EI482" s="120"/>
      <c r="EJ482" s="120"/>
      <c r="EK482" s="120"/>
      <c r="EL482" s="120"/>
      <c r="EM482" s="120"/>
      <c r="EN482" s="120"/>
      <c r="EO482" s="120"/>
      <c r="EP482" s="120"/>
      <c r="EQ482" s="120"/>
      <c r="ER482" s="120"/>
      <c r="ES482" s="120"/>
      <c r="ET482" s="120"/>
      <c r="EU482" s="120"/>
      <c r="EV482" s="120"/>
      <c r="EW482" s="120"/>
      <c r="EX482" s="120"/>
      <c r="EY482" s="120"/>
      <c r="EZ482" s="120"/>
      <c r="FA482" s="120"/>
      <c r="FB482" s="120"/>
      <c r="FC482" s="120"/>
      <c r="FD482" s="120"/>
      <c r="FE482" s="120"/>
      <c r="FF482" s="120"/>
      <c r="FG482" s="120"/>
      <c r="FH482" s="120"/>
      <c r="FI482" s="120"/>
      <c r="FJ482" s="120"/>
      <c r="FK482" s="120"/>
      <c r="FL482" s="120"/>
      <c r="FM482" s="120"/>
      <c r="FN482" s="120"/>
      <c r="FO482" s="120"/>
      <c r="FP482" s="120"/>
      <c r="FQ482" s="120"/>
      <c r="FR482" s="120"/>
      <c r="FS482" s="120"/>
      <c r="FT482" s="120"/>
      <c r="FU482" s="120"/>
      <c r="FV482" s="120"/>
      <c r="FW482" s="120"/>
      <c r="FX482" s="120"/>
      <c r="FY482" s="120"/>
      <c r="FZ482" s="120"/>
      <c r="GA482" s="120"/>
      <c r="GB482" s="120"/>
      <c r="GC482" s="120"/>
      <c r="GD482" s="120"/>
      <c r="GE482" s="120"/>
      <c r="GF482" s="120"/>
      <c r="GG482" s="120"/>
      <c r="GH482" s="120"/>
      <c r="GI482" s="120"/>
      <c r="GJ482" s="120"/>
      <c r="GK482" s="120"/>
      <c r="GL482" s="120"/>
      <c r="GM482" s="120"/>
      <c r="GN482" s="120"/>
      <c r="GO482" s="120"/>
      <c r="GP482" s="120"/>
      <c r="GQ482" s="120"/>
      <c r="GR482" s="120"/>
      <c r="GS482" s="120"/>
      <c r="GT482" s="120"/>
      <c r="GU482" s="120"/>
      <c r="GV482" s="120"/>
      <c r="GW482" s="120"/>
      <c r="GX482" s="120"/>
      <c r="GY482" s="120"/>
      <c r="GZ482" s="120"/>
      <c r="HA482" s="120"/>
      <c r="HB482" s="120"/>
      <c r="HC482" s="120"/>
      <c r="HD482" s="120"/>
      <c r="HE482" s="120"/>
      <c r="HF482" s="120"/>
      <c r="HG482" s="120"/>
      <c r="HH482" s="120"/>
      <c r="HI482" s="120"/>
      <c r="HJ482" s="120"/>
      <c r="HK482" s="120"/>
      <c r="HL482" s="120"/>
      <c r="HM482" s="120"/>
      <c r="HN482" s="120"/>
      <c r="HO482" s="120"/>
      <c r="HP482" s="120"/>
      <c r="HQ482" s="120"/>
      <c r="HR482" s="120"/>
      <c r="HS482" s="120"/>
      <c r="HT482" s="120"/>
      <c r="HU482" s="120"/>
      <c r="HV482" s="120"/>
      <c r="HW482" s="120"/>
      <c r="HX482" s="120"/>
      <c r="HY482" s="120"/>
      <c r="HZ482" s="120"/>
      <c r="IA482" s="120"/>
      <c r="IB482" s="120"/>
      <c r="IC482" s="120"/>
      <c r="ID482" s="120"/>
      <c r="IE482" s="120"/>
      <c r="IF482" s="120"/>
      <c r="IG482" s="120"/>
      <c r="IH482" s="120"/>
      <c r="II482" s="120"/>
      <c r="IJ482" s="120"/>
      <c r="IK482" s="120"/>
      <c r="IL482" s="120"/>
      <c r="IM482" s="120"/>
      <c r="IN482" s="120"/>
      <c r="IO482" s="120"/>
      <c r="IP482" s="120"/>
      <c r="IQ482" s="120"/>
      <c r="IR482" s="120"/>
      <c r="IS482" s="120"/>
      <c r="IT482" s="120"/>
      <c r="IU482" s="120"/>
      <c r="IV482" s="120"/>
      <c r="IW482" s="120"/>
      <c r="IX482" s="120"/>
      <c r="IY482" s="120"/>
      <c r="IZ482" s="120"/>
      <c r="JA482" s="120"/>
      <c r="JB482" s="120"/>
      <c r="JC482" s="120"/>
      <c r="JD482" s="120"/>
      <c r="JE482" s="120"/>
      <c r="JF482" s="120"/>
      <c r="JG482" s="120"/>
      <c r="JH482" s="120"/>
      <c r="JI482" s="120"/>
      <c r="JJ482" s="120"/>
      <c r="JK482" s="120"/>
      <c r="JL482" s="120"/>
      <c r="JM482" s="120"/>
      <c r="JN482" s="120"/>
      <c r="JO482" s="120"/>
      <c r="JP482" s="120"/>
      <c r="JQ482" s="120"/>
      <c r="JR482" s="120"/>
      <c r="JS482" s="120"/>
      <c r="JT482" s="120"/>
      <c r="JU482" s="120"/>
      <c r="JV482" s="120"/>
      <c r="JW482" s="120"/>
      <c r="JX482" s="120"/>
      <c r="JY482" s="120"/>
      <c r="JZ482" s="120"/>
      <c r="KA482" s="120"/>
      <c r="KB482" s="120"/>
      <c r="KC482" s="120"/>
      <c r="KD482" s="120"/>
      <c r="KE482" s="120"/>
      <c r="KF482" s="120"/>
      <c r="KG482" s="120"/>
      <c r="KH482" s="120"/>
      <c r="KI482" s="120"/>
      <c r="KJ482" s="120"/>
      <c r="KK482" s="120"/>
      <c r="KL482" s="120"/>
      <c r="KM482" s="120"/>
      <c r="KN482" s="120"/>
      <c r="KO482" s="120"/>
      <c r="KP482" s="120"/>
      <c r="KQ482" s="120"/>
      <c r="KR482" s="120"/>
      <c r="KS482" s="120"/>
      <c r="KT482" s="120"/>
      <c r="KU482" s="120"/>
      <c r="KV482" s="120"/>
      <c r="KW482" s="120"/>
      <c r="KX482" s="120"/>
      <c r="KY482" s="120"/>
      <c r="KZ482" s="120"/>
      <c r="LA482" s="120"/>
      <c r="LB482" s="120"/>
      <c r="LC482" s="120"/>
      <c r="LD482" s="120"/>
      <c r="LE482" s="120"/>
      <c r="LF482" s="120"/>
      <c r="LG482" s="120"/>
      <c r="LH482" s="120"/>
      <c r="LI482" s="120"/>
      <c r="LJ482" s="120"/>
      <c r="LK482" s="120"/>
      <c r="LL482" s="120"/>
      <c r="LM482" s="120"/>
      <c r="LN482" s="120"/>
      <c r="LO482" s="120"/>
      <c r="LP482" s="120"/>
      <c r="LQ482" s="120"/>
      <c r="LR482" s="120"/>
      <c r="LS482" s="120"/>
      <c r="LT482" s="120"/>
      <c r="LU482" s="120"/>
      <c r="LV482" s="120"/>
      <c r="LW482" s="120"/>
      <c r="LX482" s="120"/>
      <c r="LY482" s="120"/>
      <c r="LZ482" s="120"/>
      <c r="MA482" s="120"/>
      <c r="MB482" s="120"/>
      <c r="MC482" s="120"/>
      <c r="MD482" s="120"/>
      <c r="ME482" s="120"/>
      <c r="MF482" s="120"/>
      <c r="MG482" s="120"/>
      <c r="MH482" s="120"/>
      <c r="MI482" s="120"/>
      <c r="MJ482" s="120"/>
      <c r="MK482" s="120"/>
      <c r="ML482" s="120"/>
      <c r="MM482" s="120"/>
      <c r="MN482" s="120"/>
      <c r="MO482" s="120"/>
      <c r="MP482" s="120"/>
      <c r="MQ482" s="120"/>
      <c r="MR482" s="120"/>
      <c r="MS482" s="120"/>
      <c r="MT482" s="120"/>
      <c r="MU482" s="120"/>
      <c r="MV482" s="120"/>
      <c r="MW482" s="120"/>
      <c r="MX482" s="120"/>
      <c r="MY482" s="120"/>
      <c r="MZ482" s="120"/>
      <c r="NA482" s="120"/>
      <c r="NB482" s="120"/>
      <c r="NC482" s="120"/>
      <c r="ND482" s="120"/>
      <c r="NE482" s="120"/>
      <c r="NF482" s="120"/>
      <c r="NG482" s="120"/>
      <c r="NH482" s="120"/>
      <c r="NI482" s="120"/>
      <c r="NJ482" s="120"/>
      <c r="NK482" s="120"/>
      <c r="NL482" s="120"/>
      <c r="NM482" s="120"/>
      <c r="NN482" s="120"/>
      <c r="NO482" s="120"/>
      <c r="NP482" s="120"/>
      <c r="NQ482" s="120"/>
      <c r="NR482" s="120"/>
      <c r="NS482" s="120"/>
      <c r="NT482" s="120"/>
      <c r="NU482" s="120"/>
      <c r="NV482" s="120"/>
      <c r="NW482" s="120"/>
      <c r="NX482" s="120"/>
      <c r="NY482" s="120"/>
      <c r="NZ482" s="120"/>
      <c r="OA482" s="120"/>
      <c r="OB482" s="120"/>
      <c r="OC482" s="120"/>
      <c r="OD482" s="120"/>
      <c r="OE482" s="120"/>
      <c r="OF482" s="120"/>
      <c r="OG482" s="120"/>
      <c r="OH482" s="120"/>
      <c r="OI482" s="120"/>
      <c r="OJ482" s="120"/>
      <c r="OK482" s="120"/>
      <c r="OL482" s="120"/>
      <c r="OM482" s="120"/>
      <c r="ON482" s="120"/>
      <c r="OO482" s="120"/>
      <c r="OP482" s="120"/>
      <c r="OQ482" s="120"/>
      <c r="OR482" s="120"/>
      <c r="OS482" s="120"/>
      <c r="OT482" s="120"/>
      <c r="OU482" s="120"/>
      <c r="OV482" s="120"/>
      <c r="OW482" s="120"/>
      <c r="OX482" s="120"/>
      <c r="OY482" s="120"/>
      <c r="OZ482" s="120"/>
      <c r="PA482" s="120"/>
      <c r="PB482" s="120"/>
      <c r="PC482" s="120"/>
      <c r="PD482" s="120"/>
      <c r="PE482" s="120"/>
      <c r="PF482" s="120"/>
      <c r="PG482" s="120"/>
      <c r="PH482" s="120"/>
      <c r="PI482" s="120"/>
      <c r="PJ482" s="120"/>
      <c r="PK482" s="120"/>
      <c r="PL482" s="120"/>
      <c r="PM482" s="120"/>
      <c r="PN482" s="120"/>
      <c r="PO482" s="120"/>
      <c r="PP482" s="120"/>
      <c r="PQ482" s="120"/>
      <c r="PR482" s="120"/>
      <c r="PS482" s="120"/>
      <c r="PT482" s="120"/>
      <c r="PU482" s="120"/>
      <c r="PV482" s="120"/>
      <c r="PW482" s="120"/>
      <c r="PX482" s="120"/>
      <c r="PY482" s="120"/>
      <c r="PZ482" s="120"/>
      <c r="QA482" s="120"/>
      <c r="QB482" s="120"/>
      <c r="QC482" s="120"/>
      <c r="QD482" s="120"/>
      <c r="QE482" s="120"/>
      <c r="QF482" s="120"/>
      <c r="QG482" s="120"/>
      <c r="QH482" s="120"/>
      <c r="QI482" s="120"/>
      <c r="QJ482" s="120"/>
      <c r="QK482" s="120"/>
      <c r="QL482" s="120"/>
      <c r="QM482" s="120"/>
      <c r="QN482" s="120"/>
      <c r="QO482" s="120"/>
      <c r="QP482" s="120"/>
      <c r="QQ482" s="120"/>
      <c r="QR482" s="120"/>
      <c r="QS482" s="120"/>
      <c r="QT482" s="120"/>
      <c r="QU482" s="120"/>
      <c r="QV482" s="120"/>
      <c r="QW482" s="120"/>
      <c r="QX482" s="120"/>
      <c r="QY482" s="120"/>
      <c r="QZ482" s="120"/>
      <c r="RA482" s="120"/>
      <c r="RB482" s="120"/>
      <c r="RC482" s="120"/>
      <c r="RD482" s="120"/>
      <c r="RE482" s="120"/>
      <c r="RF482" s="120"/>
      <c r="RG482" s="120"/>
      <c r="RH482" s="120"/>
      <c r="RI482" s="120"/>
      <c r="RJ482" s="120"/>
      <c r="RK482" s="120"/>
      <c r="RL482" s="120"/>
      <c r="RM482" s="120"/>
      <c r="RN482" s="120"/>
      <c r="RO482" s="120"/>
      <c r="RP482" s="120"/>
      <c r="RQ482" s="120"/>
      <c r="RR482" s="120"/>
      <c r="RS482" s="120"/>
      <c r="RT482" s="120"/>
      <c r="RU482" s="120"/>
      <c r="RV482" s="120"/>
      <c r="RW482" s="120"/>
      <c r="RX482" s="120"/>
      <c r="RY482" s="120"/>
      <c r="RZ482" s="120"/>
      <c r="SA482" s="120"/>
      <c r="SB482" s="120"/>
      <c r="SC482" s="120"/>
      <c r="SD482" s="120"/>
      <c r="SE482" s="120"/>
      <c r="SF482" s="120"/>
      <c r="SG482" s="120"/>
      <c r="SH482" s="120"/>
      <c r="SI482" s="120"/>
      <c r="SJ482" s="120"/>
      <c r="SK482" s="120"/>
      <c r="SL482" s="120"/>
      <c r="SM482" s="120"/>
      <c r="SN482" s="120"/>
      <c r="SO482" s="120"/>
      <c r="SP482" s="120"/>
      <c r="SQ482" s="120"/>
      <c r="SR482" s="120"/>
      <c r="SS482" s="120"/>
      <c r="ST482" s="120"/>
      <c r="SU482" s="120"/>
      <c r="SV482" s="120"/>
      <c r="SW482" s="120"/>
      <c r="SX482" s="120"/>
      <c r="SY482" s="120"/>
      <c r="SZ482" s="120"/>
      <c r="TA482" s="120"/>
      <c r="TB482" s="120"/>
      <c r="TC482" s="120"/>
      <c r="TD482" s="120"/>
      <c r="TE482" s="120"/>
      <c r="TF482" s="120"/>
      <c r="TG482" s="120"/>
      <c r="TH482" s="120"/>
      <c r="TI482" s="120"/>
      <c r="TJ482" s="120"/>
      <c r="TK482" s="120"/>
      <c r="TL482" s="120"/>
      <c r="TM482" s="120"/>
      <c r="TN482" s="120"/>
      <c r="TO482" s="120"/>
      <c r="TP482" s="120"/>
      <c r="TQ482" s="120"/>
      <c r="TR482" s="120"/>
      <c r="TS482" s="120"/>
      <c r="TT482" s="120"/>
      <c r="TU482" s="120"/>
      <c r="TV482" s="120"/>
      <c r="TW482" s="120"/>
      <c r="TX482" s="120"/>
      <c r="TY482" s="120"/>
      <c r="TZ482" s="120"/>
      <c r="UA482" s="120"/>
      <c r="UB482" s="120"/>
      <c r="UC482" s="120"/>
      <c r="UD482" s="120"/>
      <c r="UE482" s="120"/>
      <c r="UF482" s="120"/>
      <c r="UG482" s="120"/>
      <c r="UH482" s="120"/>
      <c r="UI482" s="120"/>
      <c r="UJ482" s="120"/>
      <c r="UK482" s="120"/>
      <c r="UL482" s="120"/>
      <c r="UM482" s="120"/>
      <c r="UN482" s="120"/>
      <c r="UO482" s="120"/>
      <c r="UP482" s="120"/>
      <c r="UQ482" s="120"/>
      <c r="UR482" s="120"/>
      <c r="US482" s="120"/>
      <c r="UT482" s="120"/>
      <c r="UU482" s="120"/>
      <c r="UV482" s="120"/>
      <c r="UW482" s="120"/>
      <c r="UX482" s="120"/>
      <c r="UY482" s="120"/>
      <c r="UZ482" s="120"/>
      <c r="VA482" s="120"/>
      <c r="VB482" s="120"/>
      <c r="VC482" s="120"/>
      <c r="VD482" s="120"/>
      <c r="VE482" s="120"/>
      <c r="VF482" s="120"/>
      <c r="VG482" s="120"/>
      <c r="VH482" s="120"/>
      <c r="VI482" s="120"/>
      <c r="VJ482" s="120"/>
      <c r="VK482" s="120"/>
      <c r="VL482" s="120"/>
      <c r="VM482" s="120"/>
      <c r="VN482" s="120"/>
      <c r="VO482" s="120"/>
      <c r="VP482" s="120"/>
      <c r="VQ482" s="120"/>
      <c r="VR482" s="120"/>
      <c r="VS482" s="120"/>
      <c r="VT482" s="120"/>
      <c r="VU482" s="120"/>
      <c r="VV482" s="120"/>
      <c r="VW482" s="120"/>
      <c r="VX482" s="120"/>
      <c r="VY482" s="120"/>
      <c r="VZ482" s="120"/>
      <c r="WA482" s="120"/>
      <c r="WB482" s="120"/>
      <c r="WC482" s="120"/>
      <c r="WD482" s="120"/>
      <c r="WE482" s="120"/>
      <c r="WF482" s="120"/>
      <c r="WG482" s="120"/>
      <c r="WH482" s="120"/>
      <c r="WI482" s="120"/>
      <c r="WJ482" s="120"/>
      <c r="WK482" s="120"/>
      <c r="WL482" s="120"/>
      <c r="WM482" s="120"/>
      <c r="WN482" s="120"/>
      <c r="WO482" s="120"/>
      <c r="WP482" s="120"/>
      <c r="WQ482" s="120"/>
      <c r="WR482" s="120"/>
      <c r="WS482" s="120"/>
      <c r="WT482" s="120"/>
      <c r="WU482" s="120"/>
      <c r="WV482" s="120"/>
      <c r="WW482" s="120"/>
      <c r="WX482" s="120"/>
      <c r="WY482" s="120"/>
      <c r="WZ482" s="120"/>
      <c r="XA482" s="120"/>
      <c r="XB482" s="120"/>
      <c r="XC482" s="120"/>
      <c r="XD482" s="120"/>
      <c r="XE482" s="120"/>
      <c r="XF482" s="120"/>
      <c r="XG482" s="120"/>
      <c r="XH482" s="120"/>
      <c r="XI482" s="120"/>
      <c r="XJ482" s="120"/>
      <c r="XK482" s="120"/>
      <c r="XL482" s="120"/>
      <c r="XM482" s="120"/>
      <c r="XN482" s="120"/>
      <c r="XO482" s="120"/>
      <c r="XP482" s="120"/>
      <c r="XQ482" s="120"/>
      <c r="XR482" s="120"/>
      <c r="XS482" s="120"/>
      <c r="XT482" s="120"/>
      <c r="XU482" s="120"/>
      <c r="XV482" s="120"/>
      <c r="XW482" s="120"/>
      <c r="XX482" s="120"/>
      <c r="XY482" s="120"/>
      <c r="XZ482" s="120"/>
      <c r="YA482" s="120"/>
      <c r="YB482" s="120"/>
      <c r="YC482" s="120"/>
      <c r="YD482" s="120"/>
      <c r="YE482" s="120"/>
      <c r="YF482" s="120"/>
      <c r="YG482" s="120"/>
      <c r="YH482" s="120"/>
      <c r="YI482" s="120"/>
      <c r="YJ482" s="120"/>
      <c r="YK482" s="120"/>
      <c r="YL482" s="120"/>
      <c r="YM482" s="120"/>
      <c r="YN482" s="120"/>
      <c r="YO482" s="120"/>
      <c r="YP482" s="120"/>
      <c r="YQ482" s="120"/>
      <c r="YR482" s="120"/>
      <c r="YS482" s="120"/>
      <c r="YT482" s="120"/>
      <c r="YU482" s="120"/>
      <c r="YV482" s="120"/>
      <c r="YW482" s="120"/>
      <c r="YX482" s="120"/>
      <c r="YY482" s="120"/>
      <c r="YZ482" s="120"/>
      <c r="ZA482" s="120"/>
      <c r="ZB482" s="120"/>
      <c r="ZC482" s="120"/>
      <c r="ZD482" s="120"/>
      <c r="ZE482" s="120"/>
      <c r="ZF482" s="120"/>
      <c r="ZG482" s="120"/>
      <c r="ZH482" s="120"/>
      <c r="ZI482" s="120"/>
      <c r="ZJ482" s="120"/>
      <c r="ZK482" s="120"/>
      <c r="ZL482" s="120"/>
      <c r="ZM482" s="120"/>
      <c r="ZN482" s="120"/>
      <c r="ZO482" s="120"/>
      <c r="ZP482" s="120"/>
      <c r="ZQ482" s="120"/>
      <c r="ZR482" s="120"/>
      <c r="ZS482" s="120"/>
      <c r="ZT482" s="120"/>
      <c r="ZU482" s="120"/>
      <c r="ZV482" s="120"/>
      <c r="ZW482" s="120"/>
      <c r="ZX482" s="120"/>
      <c r="ZY482" s="120"/>
      <c r="ZZ482" s="120"/>
      <c r="AAA482" s="120"/>
      <c r="AAB482" s="120"/>
      <c r="AAC482" s="120"/>
      <c r="AAD482" s="120"/>
      <c r="AAE482" s="120"/>
      <c r="AAF482" s="120"/>
      <c r="AAG482" s="120"/>
      <c r="AAH482" s="120"/>
      <c r="AAI482" s="120"/>
      <c r="AAJ482" s="120"/>
      <c r="AAK482" s="120"/>
      <c r="AAL482" s="120"/>
      <c r="AAM482" s="120"/>
      <c r="AAN482" s="120"/>
      <c r="AAO482" s="120"/>
      <c r="AAP482" s="120"/>
      <c r="AAQ482" s="120"/>
      <c r="AAR482" s="120"/>
      <c r="AAS482" s="120"/>
      <c r="AAT482" s="120"/>
      <c r="AAU482" s="120"/>
      <c r="AAV482" s="120"/>
      <c r="AAW482" s="120"/>
      <c r="AAX482" s="120"/>
      <c r="AAY482" s="120"/>
      <c r="AAZ482" s="120"/>
      <c r="ABA482" s="120"/>
      <c r="ABB482" s="120"/>
      <c r="ABC482" s="120"/>
      <c r="ABD482" s="120"/>
      <c r="ABE482" s="120"/>
      <c r="ABF482" s="120"/>
      <c r="ABG482" s="120"/>
      <c r="ABH482" s="120"/>
      <c r="ABI482" s="120"/>
      <c r="ABJ482" s="120"/>
      <c r="ABK482" s="120"/>
      <c r="ABL482" s="120"/>
      <c r="ABM482" s="120"/>
      <c r="ABN482" s="120"/>
      <c r="ABO482" s="120"/>
      <c r="ABP482" s="120"/>
      <c r="ABQ482" s="120"/>
      <c r="ABR482" s="120"/>
      <c r="ABS482" s="120"/>
      <c r="ABT482" s="120"/>
      <c r="ABU482" s="120"/>
      <c r="ABV482" s="120"/>
      <c r="ABW482" s="120"/>
      <c r="ABX482" s="120"/>
      <c r="ABY482" s="120"/>
      <c r="ABZ482" s="120"/>
      <c r="ACA482" s="120"/>
      <c r="ACB482" s="120"/>
      <c r="ACC482" s="120"/>
      <c r="ACD482" s="120"/>
      <c r="ACE482" s="120"/>
      <c r="ACF482" s="120"/>
      <c r="ACG482" s="120"/>
      <c r="ACH482" s="120"/>
      <c r="ACI482" s="120"/>
      <c r="ACJ482" s="120"/>
      <c r="ACK482" s="120"/>
      <c r="ACL482" s="120"/>
      <c r="ACM482" s="120"/>
      <c r="ACN482" s="120"/>
      <c r="ACO482" s="120"/>
      <c r="ACP482" s="120"/>
      <c r="ACQ482" s="120"/>
      <c r="ACR482" s="120"/>
      <c r="ACS482" s="120"/>
      <c r="ACT482" s="120"/>
      <c r="ACU482" s="120"/>
      <c r="ACV482" s="120"/>
      <c r="ACW482" s="120"/>
      <c r="ACX482" s="120"/>
      <c r="ACY482" s="120"/>
      <c r="ACZ482" s="120"/>
      <c r="ADA482" s="120"/>
      <c r="ADB482" s="120"/>
      <c r="ADC482" s="120"/>
      <c r="ADD482" s="120"/>
      <c r="ADE482" s="120"/>
      <c r="ADF482" s="120"/>
      <c r="ADG482" s="120"/>
      <c r="ADH482" s="120"/>
      <c r="ADI482" s="120"/>
      <c r="ADJ482" s="120"/>
      <c r="ADK482" s="120"/>
      <c r="ADL482" s="120"/>
      <c r="ADM482" s="120"/>
      <c r="ADN482" s="120"/>
      <c r="ADO482" s="120"/>
      <c r="ADP482" s="120"/>
      <c r="ADQ482" s="120"/>
      <c r="ADR482" s="120"/>
      <c r="ADS482" s="120"/>
      <c r="ADT482" s="120"/>
      <c r="ADU482" s="120"/>
      <c r="ADV482" s="120"/>
      <c r="ADW482" s="120"/>
      <c r="ADX482" s="120"/>
      <c r="ADY482" s="120"/>
      <c r="ADZ482" s="120"/>
      <c r="AEA482" s="120"/>
      <c r="AEB482" s="120"/>
      <c r="AEC482" s="120"/>
      <c r="AED482" s="120"/>
      <c r="AEE482" s="120"/>
      <c r="AEF482" s="120"/>
      <c r="AEG482" s="120"/>
      <c r="AEH482" s="120"/>
      <c r="AEI482" s="120"/>
      <c r="AEJ482" s="120"/>
      <c r="AEK482" s="120"/>
      <c r="AEL482" s="120"/>
      <c r="AEM482" s="120"/>
      <c r="AEN482" s="120"/>
      <c r="AEO482" s="120"/>
      <c r="AEP482" s="120"/>
      <c r="AEQ482" s="120"/>
      <c r="AER482" s="120"/>
      <c r="AES482" s="120"/>
      <c r="AET482" s="120"/>
      <c r="AEU482" s="120"/>
      <c r="AEV482" s="120"/>
      <c r="AEW482" s="120"/>
      <c r="AEX482" s="120"/>
      <c r="AEY482" s="120"/>
      <c r="AEZ482" s="120"/>
      <c r="AFA482" s="120"/>
      <c r="AFB482" s="120"/>
      <c r="AFC482" s="120"/>
      <c r="AFD482" s="120"/>
      <c r="AFE482" s="120"/>
      <c r="AFF482" s="120"/>
      <c r="AFG482" s="120"/>
      <c r="AFH482" s="120"/>
      <c r="AFI482" s="120"/>
      <c r="AFJ482" s="120"/>
      <c r="AFK482" s="120"/>
      <c r="AFL482" s="120"/>
      <c r="AFM482" s="120"/>
      <c r="AFN482" s="120"/>
      <c r="AFO482" s="120"/>
      <c r="AFP482" s="120"/>
      <c r="AFQ482" s="120"/>
      <c r="AFR482" s="120"/>
      <c r="AFS482" s="120"/>
      <c r="AFT482" s="120"/>
      <c r="AFU482" s="120"/>
      <c r="AFV482" s="120"/>
      <c r="AFW482" s="120"/>
      <c r="AFX482" s="120"/>
      <c r="AFY482" s="120"/>
      <c r="AFZ482" s="120"/>
      <c r="AGA482" s="120"/>
      <c r="AGB482" s="120"/>
      <c r="AGC482" s="120"/>
      <c r="AGD482" s="120"/>
      <c r="AGE482" s="120"/>
      <c r="AGF482" s="120"/>
      <c r="AGG482" s="120"/>
      <c r="AGH482" s="120"/>
      <c r="AGI482" s="120"/>
      <c r="AGJ482" s="120"/>
      <c r="AGK482" s="120"/>
      <c r="AGL482" s="120"/>
      <c r="AGM482" s="120"/>
      <c r="AGN482" s="120"/>
      <c r="AGO482" s="120"/>
      <c r="AGP482" s="120"/>
      <c r="AGQ482" s="120"/>
      <c r="AGR482" s="120"/>
      <c r="AGS482" s="120"/>
      <c r="AGT482" s="120"/>
      <c r="AGU482" s="120"/>
      <c r="AGV482" s="120"/>
      <c r="AGW482" s="120"/>
      <c r="AGX482" s="120"/>
      <c r="AGY482" s="120"/>
      <c r="AGZ482" s="120"/>
      <c r="AHA482" s="120"/>
      <c r="AHB482" s="120"/>
      <c r="AHC482" s="120"/>
      <c r="AHD482" s="120"/>
      <c r="AHE482" s="120"/>
      <c r="AHF482" s="120"/>
      <c r="AHG482" s="120"/>
      <c r="AHH482" s="120"/>
      <c r="AHI482" s="120"/>
      <c r="AHJ482" s="120"/>
      <c r="AHK482" s="120"/>
      <c r="AHL482" s="120"/>
      <c r="AHM482" s="120"/>
      <c r="AHN482" s="120"/>
      <c r="AHO482" s="120"/>
      <c r="AHP482" s="120"/>
      <c r="AHQ482" s="120"/>
      <c r="AHR482" s="120"/>
      <c r="AHS482" s="120"/>
      <c r="AHT482" s="120"/>
      <c r="AHU482" s="120"/>
      <c r="AHV482" s="120"/>
      <c r="AHW482" s="120"/>
      <c r="AHX482" s="120"/>
      <c r="AHY482" s="120"/>
      <c r="AHZ482" s="120"/>
      <c r="AIA482" s="120"/>
      <c r="AIB482" s="120"/>
      <c r="AIC482" s="120"/>
      <c r="AID482" s="120"/>
      <c r="AIE482" s="120"/>
      <c r="AIF482" s="120"/>
      <c r="AIG482" s="120"/>
      <c r="AIH482" s="120"/>
      <c r="AII482" s="120"/>
      <c r="AIJ482" s="120"/>
      <c r="AIK482" s="120"/>
      <c r="AIL482" s="120"/>
      <c r="AIM482" s="120"/>
      <c r="AIN482" s="120"/>
      <c r="AIO482" s="120"/>
      <c r="AIP482" s="120"/>
      <c r="AIQ482" s="120"/>
      <c r="AIR482" s="120"/>
      <c r="AIS482" s="120"/>
      <c r="AIT482" s="120"/>
      <c r="AIU482" s="120"/>
      <c r="AIV482" s="120"/>
      <c r="AIW482" s="120"/>
      <c r="AIX482" s="120"/>
      <c r="AIY482" s="120"/>
      <c r="AIZ482" s="120"/>
    </row>
    <row r="483">
      <c r="D483" s="64">
        <f t="shared" si="1"/>
        <v>0</v>
      </c>
    </row>
    <row r="484">
      <c r="D484" s="64">
        <f t="shared" si="1"/>
        <v>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C3" s="55" t="s">
        <v>2</v>
      </c>
      <c r="D3" s="55" t="s">
        <v>107</v>
      </c>
      <c r="E3" s="55" t="s">
        <v>108</v>
      </c>
    </row>
    <row r="4">
      <c r="C4" s="55" t="s">
        <v>409</v>
      </c>
      <c r="D4" s="128">
        <f>SUMPRODUCT((MOD(ROW(test!D3:D1000)-ROW(test!D3),6)=0)*test!D3:D1000)</f>
        <v>47617.41942</v>
      </c>
      <c r="E4" s="128">
        <f t="shared" ref="E4:E9" si="1">D4/60</f>
        <v>793.6236569</v>
      </c>
      <c r="G4" s="129">
        <v>751.7826916666667</v>
      </c>
    </row>
    <row r="5">
      <c r="C5" s="55" t="s">
        <v>410</v>
      </c>
      <c r="D5" s="128">
        <f>SUMPRODUCT((MOD(ROW(test!D4:D1000)-ROW(test!D4),6)=0)*test!D4:D1000)</f>
        <v>38946.26002</v>
      </c>
      <c r="E5" s="128">
        <f t="shared" si="1"/>
        <v>649.1043336</v>
      </c>
      <c r="G5" s="129">
        <v>649.1043336111112</v>
      </c>
    </row>
    <row r="6">
      <c r="C6" s="55" t="s">
        <v>411</v>
      </c>
      <c r="D6" s="128">
        <f>SUMPRODUCT((MOD(ROW(test!D5:D1000)-ROW(test!D5),6)=0)*test!D5:D1000)</f>
        <v>0</v>
      </c>
      <c r="E6" s="128">
        <f t="shared" si="1"/>
        <v>0</v>
      </c>
      <c r="G6" s="129">
        <v>0.0</v>
      </c>
    </row>
    <row r="7">
      <c r="C7" s="55" t="s">
        <v>412</v>
      </c>
      <c r="D7" s="128">
        <f>SUMPRODUCT((MOD(ROW(test!D6:D1000)-ROW(test!D6),6)=0)*test!D6:D1000)</f>
        <v>37719.45153</v>
      </c>
      <c r="E7" s="128">
        <f t="shared" si="1"/>
        <v>628.6575256</v>
      </c>
      <c r="G7" s="129">
        <v>628.6602197222212</v>
      </c>
    </row>
    <row r="8">
      <c r="C8" s="55" t="s">
        <v>413</v>
      </c>
      <c r="D8" s="128">
        <f>SUMPRODUCT((MOD(ROW(test!D7:D1000)-ROW(test!D7),6)=0)*test!D7:D1000)</f>
        <v>20082.76083</v>
      </c>
      <c r="E8" s="128">
        <f t="shared" si="1"/>
        <v>334.7126806</v>
      </c>
      <c r="G8" s="129">
        <v>334.71537472222224</v>
      </c>
    </row>
    <row r="9">
      <c r="C9" s="55" t="s">
        <v>414</v>
      </c>
      <c r="D9" s="128">
        <f>SUMPRODUCT((MOD(ROW(test!D8:D1000)-ROW(test!D8),6)=0)*test!D8:D1000)</f>
        <v>0</v>
      </c>
      <c r="E9" s="128">
        <f t="shared" si="1"/>
        <v>0</v>
      </c>
      <c r="G9" s="129">
        <v>0.0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8.0" topLeftCell="E9" activePane="bottomRight" state="frozen"/>
      <selection activeCell="E1" sqref="E1" pane="topRight"/>
      <selection activeCell="A9" sqref="A9" pane="bottomLeft"/>
      <selection activeCell="E9" sqref="E9" pane="bottomRight"/>
    </sheetView>
  </sheetViews>
  <sheetFormatPr customHeight="1" defaultColWidth="12.63" defaultRowHeight="15.75"/>
  <cols>
    <col customWidth="1" min="1" max="1" width="13.0"/>
    <col customWidth="1" min="2" max="2" width="22.25"/>
    <col customWidth="1" min="3" max="3" width="8.0"/>
    <col customWidth="1" min="4" max="4" width="10.13"/>
    <col customWidth="1" min="5" max="5" width="9.63"/>
    <col customWidth="1" min="6" max="6" width="7.88"/>
    <col customWidth="1" min="7" max="7" width="7.75"/>
    <col customWidth="1" min="8" max="22" width="7.88"/>
    <col customWidth="1" min="23" max="23" width="6.13"/>
    <col customWidth="1" min="24" max="24" width="7.75"/>
    <col customWidth="1" min="25" max="25" width="7.88"/>
    <col customWidth="1" min="26" max="26" width="7.75"/>
    <col customWidth="1" min="27" max="29" width="7.88"/>
    <col customWidth="1" min="30" max="30" width="7.75"/>
    <col customWidth="1" min="31" max="33" width="7.88"/>
    <col customWidth="1" min="34" max="34" width="7.75"/>
    <col customWidth="1" min="35" max="38" width="7.88"/>
    <col customWidth="1" min="39" max="39" width="7.75"/>
    <col customWidth="1" min="40" max="40" width="7.88"/>
    <col customWidth="1" min="41" max="41" width="7.0"/>
    <col customWidth="1" min="42" max="42" width="7.75"/>
    <col customWidth="1" min="43" max="45" width="7.0"/>
    <col customWidth="1" min="46" max="46" width="6.88"/>
    <col customWidth="1" min="47" max="47" width="7.0"/>
    <col customWidth="1" min="48" max="84" width="6.13"/>
  </cols>
  <sheetData>
    <row r="1">
      <c r="A1" s="130"/>
      <c r="B1" s="131"/>
      <c r="C1" s="131"/>
      <c r="D1" s="132"/>
      <c r="E1" s="133" t="s">
        <v>415</v>
      </c>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c r="AK1" s="134"/>
      <c r="AL1" s="134"/>
      <c r="AM1" s="134"/>
      <c r="AN1" s="134"/>
      <c r="AO1" s="134"/>
      <c r="AP1" s="134"/>
      <c r="AQ1" s="134"/>
      <c r="AR1" s="134"/>
      <c r="AS1" s="134"/>
      <c r="AT1" s="134"/>
      <c r="AU1" s="134"/>
      <c r="AV1" s="134"/>
      <c r="AW1" s="134"/>
      <c r="AX1" s="134"/>
      <c r="AY1" s="134"/>
      <c r="AZ1" s="134"/>
      <c r="BA1" s="134"/>
      <c r="BB1" s="134"/>
      <c r="BC1" s="134"/>
      <c r="BD1" s="134"/>
      <c r="BE1" s="134"/>
      <c r="BF1" s="134"/>
      <c r="BG1" s="134"/>
      <c r="BH1" s="134"/>
      <c r="BI1" s="134"/>
      <c r="BJ1" s="134"/>
      <c r="BK1" s="134"/>
      <c r="BL1" s="134"/>
      <c r="BM1" s="134"/>
      <c r="BN1" s="134"/>
      <c r="BO1" s="134"/>
      <c r="BP1" s="134"/>
      <c r="BQ1" s="134"/>
      <c r="BR1" s="134"/>
      <c r="BS1" s="134"/>
      <c r="BT1" s="134"/>
      <c r="BU1" s="134"/>
      <c r="BV1" s="134"/>
      <c r="BW1" s="134"/>
      <c r="BX1" s="134"/>
      <c r="BY1" s="134"/>
      <c r="BZ1" s="134"/>
      <c r="CA1" s="134"/>
      <c r="CB1" s="134"/>
      <c r="CC1" s="134"/>
      <c r="CD1" s="134"/>
      <c r="CE1" s="134"/>
      <c r="CF1" s="134"/>
    </row>
    <row r="2">
      <c r="A2" s="131"/>
      <c r="B2" s="135" t="s">
        <v>2</v>
      </c>
      <c r="C2" s="136">
        <f t="array" ref="C2">sumif(mod((row(D9:D418)-row(#REF!)+1),3),0,D9:D418)</f>
        <v>0</v>
      </c>
      <c r="D2" s="132"/>
      <c r="E2" s="134"/>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c r="BN2" s="134"/>
      <c r="BO2" s="134"/>
      <c r="BP2" s="134"/>
      <c r="BQ2" s="134"/>
      <c r="BR2" s="134"/>
      <c r="BS2" s="134"/>
      <c r="BT2" s="134"/>
      <c r="BU2" s="134"/>
      <c r="BV2" s="134"/>
      <c r="BW2" s="134"/>
      <c r="BX2" s="134"/>
      <c r="BY2" s="134"/>
      <c r="BZ2" s="134"/>
      <c r="CA2" s="134"/>
      <c r="CB2" s="134"/>
      <c r="CC2" s="134"/>
      <c r="CD2" s="134"/>
      <c r="CE2" s="134"/>
      <c r="CF2" s="134"/>
    </row>
    <row r="3">
      <c r="A3" s="131"/>
      <c r="B3" s="137" t="s">
        <v>416</v>
      </c>
      <c r="C3" s="136">
        <f t="array" ref="C3">sumif(mod((row(D9:D418)-row(#REF!)+1),3),1,D9:D418)</f>
        <v>0</v>
      </c>
      <c r="D3" s="132">
        <f>sum(E7:CF7)</f>
        <v>621.5092361</v>
      </c>
      <c r="E3" s="134"/>
      <c r="F3" s="134"/>
      <c r="G3" s="134"/>
      <c r="H3" s="134"/>
      <c r="I3" s="134"/>
      <c r="J3" s="134"/>
      <c r="K3" s="134"/>
      <c r="L3" s="134"/>
      <c r="M3" s="134"/>
      <c r="N3" s="134"/>
      <c r="O3" s="134"/>
      <c r="P3" s="134"/>
      <c r="Q3" s="134"/>
      <c r="R3" s="134"/>
      <c r="S3" s="134"/>
      <c r="T3" s="134"/>
      <c r="U3" s="134"/>
      <c r="V3" s="134"/>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c r="AZ3" s="134"/>
      <c r="BA3" s="134"/>
      <c r="BB3" s="134"/>
      <c r="BC3" s="134"/>
      <c r="BD3" s="134"/>
      <c r="BE3" s="134"/>
      <c r="BF3" s="134"/>
      <c r="BG3" s="134"/>
      <c r="BH3" s="134"/>
      <c r="BI3" s="134"/>
      <c r="BJ3" s="134"/>
      <c r="BK3" s="134"/>
      <c r="BL3" s="134"/>
      <c r="BM3" s="134"/>
      <c r="BN3" s="134"/>
      <c r="BO3" s="134"/>
      <c r="BP3" s="134"/>
      <c r="BQ3" s="134"/>
      <c r="BR3" s="134"/>
      <c r="BS3" s="134"/>
      <c r="BT3" s="134"/>
      <c r="BU3" s="134"/>
      <c r="BV3" s="134"/>
      <c r="BW3" s="134"/>
      <c r="BX3" s="134"/>
      <c r="BY3" s="134"/>
      <c r="BZ3" s="134"/>
      <c r="CA3" s="134"/>
      <c r="CB3" s="134"/>
      <c r="CC3" s="134"/>
      <c r="CD3" s="134"/>
      <c r="CE3" s="134"/>
      <c r="CF3" s="134"/>
    </row>
    <row r="4">
      <c r="A4" s="131"/>
      <c r="B4" s="137"/>
      <c r="C4" s="136">
        <f t="array" ref="C4">sumif(mod((row(D9:D418)-row(#REF!)+1),3),2,D9:D418)</f>
        <v>0</v>
      </c>
      <c r="D4" s="132"/>
      <c r="E4" s="134"/>
      <c r="F4" s="134"/>
      <c r="G4" s="134"/>
      <c r="H4" s="134"/>
      <c r="I4" s="134"/>
      <c r="J4" s="134"/>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34"/>
      <c r="BF4" s="134"/>
      <c r="BG4" s="134"/>
      <c r="BH4" s="134"/>
      <c r="BI4" s="134"/>
      <c r="BJ4" s="134"/>
      <c r="BK4" s="134"/>
      <c r="BL4" s="134"/>
      <c r="BM4" s="134"/>
      <c r="BN4" s="134"/>
      <c r="BO4" s="134"/>
      <c r="BP4" s="134"/>
      <c r="BQ4" s="134"/>
      <c r="BR4" s="134"/>
      <c r="BS4" s="134"/>
      <c r="BT4" s="134"/>
      <c r="BU4" s="134"/>
      <c r="BV4" s="134"/>
      <c r="BW4" s="134"/>
      <c r="BX4" s="134"/>
      <c r="BY4" s="134"/>
      <c r="BZ4" s="134"/>
      <c r="CA4" s="134"/>
      <c r="CB4" s="134"/>
      <c r="CC4" s="134"/>
      <c r="CD4" s="134"/>
      <c r="CE4" s="134"/>
      <c r="CF4" s="134"/>
    </row>
    <row r="5">
      <c r="A5" s="131"/>
      <c r="B5" s="137"/>
      <c r="C5" s="131"/>
      <c r="D5" s="132"/>
      <c r="E5" s="138" t="s">
        <v>417</v>
      </c>
      <c r="F5" s="134"/>
      <c r="G5" s="134"/>
      <c r="H5" s="134"/>
      <c r="I5" s="134"/>
      <c r="J5" s="134"/>
      <c r="K5" s="134"/>
      <c r="L5" s="134"/>
      <c r="M5" s="134"/>
      <c r="N5" s="134"/>
      <c r="O5" s="134"/>
      <c r="P5" s="134"/>
      <c r="Q5" s="134"/>
      <c r="R5" s="134"/>
      <c r="S5" s="134"/>
      <c r="T5" s="134"/>
      <c r="U5" s="134"/>
      <c r="V5" s="134"/>
      <c r="W5" s="134"/>
      <c r="X5" s="134"/>
      <c r="Y5" s="134"/>
      <c r="Z5" s="134"/>
      <c r="AA5" s="134"/>
      <c r="AB5" s="134"/>
      <c r="AC5" s="134"/>
      <c r="AD5" s="134"/>
      <c r="AE5" s="134"/>
      <c r="AF5" s="134"/>
      <c r="AG5" s="134"/>
      <c r="AH5" s="134"/>
      <c r="AI5" s="134"/>
      <c r="AJ5" s="134"/>
      <c r="AK5" s="134"/>
      <c r="AL5" s="134"/>
      <c r="AM5" s="134"/>
      <c r="AN5" s="134"/>
      <c r="AO5" s="134"/>
      <c r="AP5" s="134"/>
      <c r="AQ5" s="134"/>
      <c r="AR5" s="134"/>
      <c r="AS5" s="134"/>
      <c r="AT5" s="134"/>
      <c r="AU5" s="134"/>
      <c r="AV5" s="134"/>
      <c r="AW5" s="134"/>
      <c r="AX5" s="134"/>
      <c r="AY5" s="134"/>
      <c r="AZ5" s="134"/>
      <c r="BA5" s="134"/>
      <c r="BB5" s="134"/>
      <c r="BC5" s="134"/>
      <c r="BD5" s="134"/>
      <c r="BE5" s="134"/>
      <c r="BF5" s="134"/>
      <c r="BG5" s="134"/>
      <c r="BH5" s="134"/>
      <c r="BI5" s="134"/>
      <c r="BJ5" s="134"/>
      <c r="BK5" s="134"/>
      <c r="BL5" s="134"/>
      <c r="BM5" s="134"/>
      <c r="BN5" s="134"/>
      <c r="BO5" s="134"/>
      <c r="BP5" s="134"/>
      <c r="BQ5" s="134"/>
      <c r="BR5" s="134"/>
      <c r="BS5" s="134"/>
      <c r="BT5" s="134"/>
      <c r="BU5" s="134"/>
      <c r="BV5" s="134"/>
      <c r="BW5" s="134"/>
      <c r="BX5" s="134"/>
      <c r="BY5" s="134"/>
      <c r="BZ5" s="134"/>
      <c r="CA5" s="134"/>
      <c r="CB5" s="134"/>
      <c r="CC5" s="134"/>
      <c r="CD5" s="134"/>
      <c r="CE5" s="134"/>
      <c r="CF5" s="134"/>
    </row>
    <row r="6">
      <c r="A6" s="131"/>
      <c r="B6" s="131"/>
      <c r="C6" s="131"/>
      <c r="D6" s="132"/>
      <c r="E6" s="139" t="s">
        <v>418</v>
      </c>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row>
    <row r="7">
      <c r="A7" s="131"/>
      <c r="B7" s="140" t="s">
        <v>419</v>
      </c>
      <c r="C7" s="141"/>
      <c r="D7" s="141"/>
      <c r="E7" s="141">
        <f t="shared" ref="E7:CF7" si="1">(SUM(E9:E919))</f>
        <v>206.424838</v>
      </c>
      <c r="F7" s="141">
        <f t="shared" si="1"/>
        <v>5.397361111</v>
      </c>
      <c r="G7" s="141">
        <f t="shared" si="1"/>
        <v>4.829965278</v>
      </c>
      <c r="H7" s="141">
        <f t="shared" si="1"/>
        <v>6.709305556</v>
      </c>
      <c r="I7" s="141">
        <f t="shared" si="1"/>
        <v>6.75630787</v>
      </c>
      <c r="J7" s="141">
        <f t="shared" si="1"/>
        <v>5.425833333</v>
      </c>
      <c r="K7" s="141">
        <f t="shared" si="1"/>
        <v>7.31056713</v>
      </c>
      <c r="L7" s="141">
        <f t="shared" si="1"/>
        <v>5.778784722</v>
      </c>
      <c r="M7" s="141">
        <f t="shared" si="1"/>
        <v>5.234861111</v>
      </c>
      <c r="N7" s="141">
        <f t="shared" si="1"/>
        <v>6.757523148</v>
      </c>
      <c r="O7" s="141">
        <f t="shared" si="1"/>
        <v>8.040891204</v>
      </c>
      <c r="P7" s="141">
        <f t="shared" si="1"/>
        <v>11.42737269</v>
      </c>
      <c r="Q7" s="141">
        <f t="shared" si="1"/>
        <v>9.556238426</v>
      </c>
      <c r="R7" s="141">
        <f t="shared" si="1"/>
        <v>9.476828704</v>
      </c>
      <c r="S7" s="141">
        <f t="shared" si="1"/>
        <v>13.53958333</v>
      </c>
      <c r="T7" s="141">
        <f t="shared" si="1"/>
        <v>12.48523148</v>
      </c>
      <c r="U7" s="141">
        <f t="shared" si="1"/>
        <v>13.58395833</v>
      </c>
      <c r="V7" s="141">
        <f t="shared" si="1"/>
        <v>12.09719907</v>
      </c>
      <c r="W7" s="141">
        <f t="shared" si="1"/>
        <v>13.6253125</v>
      </c>
      <c r="X7" s="141">
        <f t="shared" si="1"/>
        <v>12.77936343</v>
      </c>
      <c r="Y7" s="141">
        <f t="shared" si="1"/>
        <v>13.88530093</v>
      </c>
      <c r="Z7" s="141">
        <f t="shared" si="1"/>
        <v>17.13672454</v>
      </c>
      <c r="AA7" s="141">
        <f t="shared" si="1"/>
        <v>15.68653935</v>
      </c>
      <c r="AB7" s="141">
        <f t="shared" si="1"/>
        <v>18.05627315</v>
      </c>
      <c r="AC7" s="141">
        <f t="shared" si="1"/>
        <v>15.79538194</v>
      </c>
      <c r="AD7" s="141">
        <f t="shared" si="1"/>
        <v>18.25795139</v>
      </c>
      <c r="AE7" s="141">
        <f t="shared" si="1"/>
        <v>17.17384259</v>
      </c>
      <c r="AF7" s="141">
        <f t="shared" si="1"/>
        <v>15.96515046</v>
      </c>
      <c r="AG7" s="141">
        <f t="shared" si="1"/>
        <v>19.52222222</v>
      </c>
      <c r="AH7" s="141">
        <f t="shared" si="1"/>
        <v>16.54665509</v>
      </c>
      <c r="AI7" s="141">
        <f t="shared" si="1"/>
        <v>15.26744213</v>
      </c>
      <c r="AJ7" s="141">
        <f t="shared" si="1"/>
        <v>14.75959491</v>
      </c>
      <c r="AK7" s="141">
        <f t="shared" si="1"/>
        <v>13.30434028</v>
      </c>
      <c r="AL7" s="141">
        <f t="shared" si="1"/>
        <v>5.809756944</v>
      </c>
      <c r="AM7" s="141">
        <f t="shared" si="1"/>
        <v>6.842986111</v>
      </c>
      <c r="AN7" s="141">
        <f t="shared" si="1"/>
        <v>5.969375</v>
      </c>
      <c r="AO7" s="141">
        <f t="shared" si="1"/>
        <v>2.885474537</v>
      </c>
      <c r="AP7" s="141">
        <f t="shared" si="1"/>
        <v>4.601956019</v>
      </c>
      <c r="AQ7" s="141">
        <f t="shared" si="1"/>
        <v>1.700925926</v>
      </c>
      <c r="AR7" s="141">
        <f t="shared" si="1"/>
        <v>0.5299652778</v>
      </c>
      <c r="AS7" s="141">
        <f t="shared" si="1"/>
        <v>2.217418981</v>
      </c>
      <c r="AT7" s="141">
        <f t="shared" si="1"/>
        <v>0.4633564815</v>
      </c>
      <c r="AU7" s="141">
        <f t="shared" si="1"/>
        <v>1.057430556</v>
      </c>
      <c r="AV7" s="141">
        <f t="shared" si="1"/>
        <v>0.07184027778</v>
      </c>
      <c r="AW7" s="141">
        <f t="shared" si="1"/>
        <v>0.05400462963</v>
      </c>
      <c r="AX7" s="141">
        <f t="shared" si="1"/>
        <v>0.09892361111</v>
      </c>
      <c r="AY7" s="141">
        <f t="shared" si="1"/>
        <v>0.04335648148</v>
      </c>
      <c r="AZ7" s="141">
        <f t="shared" si="1"/>
        <v>0.2009722222</v>
      </c>
      <c r="BA7" s="141">
        <f t="shared" si="1"/>
        <v>0.1620138889</v>
      </c>
      <c r="BB7" s="141">
        <f t="shared" si="1"/>
        <v>0.1314583333</v>
      </c>
      <c r="BC7" s="141">
        <f t="shared" si="1"/>
        <v>0.007858796296</v>
      </c>
      <c r="BD7" s="141">
        <f t="shared" si="1"/>
        <v>0.01199074074</v>
      </c>
      <c r="BE7" s="141">
        <f t="shared" si="1"/>
        <v>0.0334837963</v>
      </c>
      <c r="BF7" s="141">
        <f t="shared" si="1"/>
        <v>0.0100462963</v>
      </c>
      <c r="BG7" s="141">
        <f t="shared" si="1"/>
        <v>0.009768518519</v>
      </c>
      <c r="BH7" s="141">
        <f t="shared" si="1"/>
        <v>0.0001273148148</v>
      </c>
      <c r="BI7" s="141">
        <f t="shared" si="1"/>
        <v>0</v>
      </c>
      <c r="BJ7" s="141">
        <f t="shared" si="1"/>
        <v>0</v>
      </c>
      <c r="BK7" s="141">
        <f t="shared" si="1"/>
        <v>0</v>
      </c>
      <c r="BL7" s="141">
        <f t="shared" si="1"/>
        <v>0</v>
      </c>
      <c r="BM7" s="141">
        <f t="shared" si="1"/>
        <v>0</v>
      </c>
      <c r="BN7" s="141">
        <f t="shared" si="1"/>
        <v>0</v>
      </c>
      <c r="BO7" s="141">
        <f t="shared" si="1"/>
        <v>0</v>
      </c>
      <c r="BP7" s="141">
        <f t="shared" si="1"/>
        <v>0</v>
      </c>
      <c r="BQ7" s="141">
        <f t="shared" si="1"/>
        <v>0</v>
      </c>
      <c r="BR7" s="141">
        <f t="shared" si="1"/>
        <v>0</v>
      </c>
      <c r="BS7" s="141">
        <f t="shared" si="1"/>
        <v>0</v>
      </c>
      <c r="BT7" s="141">
        <f t="shared" si="1"/>
        <v>0</v>
      </c>
      <c r="BU7" s="141">
        <f t="shared" si="1"/>
        <v>0</v>
      </c>
      <c r="BV7" s="141">
        <f t="shared" si="1"/>
        <v>0</v>
      </c>
      <c r="BW7" s="141">
        <f t="shared" si="1"/>
        <v>0</v>
      </c>
      <c r="BX7" s="141">
        <f t="shared" si="1"/>
        <v>0</v>
      </c>
      <c r="BY7" s="141">
        <f t="shared" si="1"/>
        <v>0</v>
      </c>
      <c r="BZ7" s="141">
        <f t="shared" si="1"/>
        <v>0</v>
      </c>
      <c r="CA7" s="141">
        <f t="shared" si="1"/>
        <v>0</v>
      </c>
      <c r="CB7" s="141">
        <f t="shared" si="1"/>
        <v>0</v>
      </c>
      <c r="CC7" s="141">
        <f t="shared" si="1"/>
        <v>0</v>
      </c>
      <c r="CD7" s="141">
        <f t="shared" si="1"/>
        <v>0</v>
      </c>
      <c r="CE7" s="141">
        <f t="shared" si="1"/>
        <v>0</v>
      </c>
      <c r="CF7" s="141">
        <f t="shared" si="1"/>
        <v>0</v>
      </c>
    </row>
    <row r="8">
      <c r="A8" s="142" t="s">
        <v>0</v>
      </c>
      <c r="B8" s="142" t="s">
        <v>1</v>
      </c>
      <c r="C8" s="143" t="s">
        <v>2</v>
      </c>
      <c r="D8" s="144" t="s">
        <v>420</v>
      </c>
      <c r="E8" s="145">
        <v>44985.0</v>
      </c>
      <c r="F8" s="145">
        <f t="shared" ref="F8:CF8" si="2">E8+1</f>
        <v>44986</v>
      </c>
      <c r="G8" s="145">
        <f t="shared" si="2"/>
        <v>44987</v>
      </c>
      <c r="H8" s="145">
        <f t="shared" si="2"/>
        <v>44988</v>
      </c>
      <c r="I8" s="145">
        <f t="shared" si="2"/>
        <v>44989</v>
      </c>
      <c r="J8" s="145">
        <f t="shared" si="2"/>
        <v>44990</v>
      </c>
      <c r="K8" s="145">
        <f t="shared" si="2"/>
        <v>44991</v>
      </c>
      <c r="L8" s="145">
        <f t="shared" si="2"/>
        <v>44992</v>
      </c>
      <c r="M8" s="145">
        <f t="shared" si="2"/>
        <v>44993</v>
      </c>
      <c r="N8" s="145">
        <f t="shared" si="2"/>
        <v>44994</v>
      </c>
      <c r="O8" s="145">
        <f t="shared" si="2"/>
        <v>44995</v>
      </c>
      <c r="P8" s="145">
        <f t="shared" si="2"/>
        <v>44996</v>
      </c>
      <c r="Q8" s="145">
        <f t="shared" si="2"/>
        <v>44997</v>
      </c>
      <c r="R8" s="145">
        <f t="shared" si="2"/>
        <v>44998</v>
      </c>
      <c r="S8" s="145">
        <f t="shared" si="2"/>
        <v>44999</v>
      </c>
      <c r="T8" s="145">
        <f t="shared" si="2"/>
        <v>45000</v>
      </c>
      <c r="U8" s="145">
        <f t="shared" si="2"/>
        <v>45001</v>
      </c>
      <c r="V8" s="145">
        <f t="shared" si="2"/>
        <v>45002</v>
      </c>
      <c r="W8" s="145">
        <f t="shared" si="2"/>
        <v>45003</v>
      </c>
      <c r="X8" s="145">
        <f t="shared" si="2"/>
        <v>45004</v>
      </c>
      <c r="Y8" s="145">
        <f t="shared" si="2"/>
        <v>45005</v>
      </c>
      <c r="Z8" s="145">
        <f t="shared" si="2"/>
        <v>45006</v>
      </c>
      <c r="AA8" s="145">
        <f t="shared" si="2"/>
        <v>45007</v>
      </c>
      <c r="AB8" s="145">
        <f t="shared" si="2"/>
        <v>45008</v>
      </c>
      <c r="AC8" s="145">
        <f t="shared" si="2"/>
        <v>45009</v>
      </c>
      <c r="AD8" s="145">
        <f t="shared" si="2"/>
        <v>45010</v>
      </c>
      <c r="AE8" s="145">
        <f t="shared" si="2"/>
        <v>45011</v>
      </c>
      <c r="AF8" s="145">
        <f t="shared" si="2"/>
        <v>45012</v>
      </c>
      <c r="AG8" s="145">
        <f t="shared" si="2"/>
        <v>45013</v>
      </c>
      <c r="AH8" s="145">
        <f t="shared" si="2"/>
        <v>45014</v>
      </c>
      <c r="AI8" s="145">
        <f t="shared" si="2"/>
        <v>45015</v>
      </c>
      <c r="AJ8" s="145">
        <f t="shared" si="2"/>
        <v>45016</v>
      </c>
      <c r="AK8" s="145">
        <f t="shared" si="2"/>
        <v>45017</v>
      </c>
      <c r="AL8" s="145">
        <f t="shared" si="2"/>
        <v>45018</v>
      </c>
      <c r="AM8" s="145">
        <f t="shared" si="2"/>
        <v>45019</v>
      </c>
      <c r="AN8" s="145">
        <f t="shared" si="2"/>
        <v>45020</v>
      </c>
      <c r="AO8" s="145">
        <f t="shared" si="2"/>
        <v>45021</v>
      </c>
      <c r="AP8" s="145">
        <f t="shared" si="2"/>
        <v>45022</v>
      </c>
      <c r="AQ8" s="145">
        <f t="shared" si="2"/>
        <v>45023</v>
      </c>
      <c r="AR8" s="145">
        <f t="shared" si="2"/>
        <v>45024</v>
      </c>
      <c r="AS8" s="145">
        <f t="shared" si="2"/>
        <v>45025</v>
      </c>
      <c r="AT8" s="145">
        <f t="shared" si="2"/>
        <v>45026</v>
      </c>
      <c r="AU8" s="145">
        <f t="shared" si="2"/>
        <v>45027</v>
      </c>
      <c r="AV8" s="145">
        <f t="shared" si="2"/>
        <v>45028</v>
      </c>
      <c r="AW8" s="145">
        <f t="shared" si="2"/>
        <v>45029</v>
      </c>
      <c r="AX8" s="145">
        <f t="shared" si="2"/>
        <v>45030</v>
      </c>
      <c r="AY8" s="145">
        <f t="shared" si="2"/>
        <v>45031</v>
      </c>
      <c r="AZ8" s="145">
        <f t="shared" si="2"/>
        <v>45032</v>
      </c>
      <c r="BA8" s="145">
        <f t="shared" si="2"/>
        <v>45033</v>
      </c>
      <c r="BB8" s="145">
        <f t="shared" si="2"/>
        <v>45034</v>
      </c>
      <c r="BC8" s="145">
        <f t="shared" si="2"/>
        <v>45035</v>
      </c>
      <c r="BD8" s="145">
        <f t="shared" si="2"/>
        <v>45036</v>
      </c>
      <c r="BE8" s="145">
        <f t="shared" si="2"/>
        <v>45037</v>
      </c>
      <c r="BF8" s="145">
        <f t="shared" si="2"/>
        <v>45038</v>
      </c>
      <c r="BG8" s="145">
        <f t="shared" si="2"/>
        <v>45039</v>
      </c>
      <c r="BH8" s="145">
        <f t="shared" si="2"/>
        <v>45040</v>
      </c>
      <c r="BI8" s="145">
        <f t="shared" si="2"/>
        <v>45041</v>
      </c>
      <c r="BJ8" s="145">
        <f t="shared" si="2"/>
        <v>45042</v>
      </c>
      <c r="BK8" s="145">
        <f t="shared" si="2"/>
        <v>45043</v>
      </c>
      <c r="BL8" s="145">
        <f t="shared" si="2"/>
        <v>45044</v>
      </c>
      <c r="BM8" s="145">
        <f t="shared" si="2"/>
        <v>45045</v>
      </c>
      <c r="BN8" s="145">
        <f t="shared" si="2"/>
        <v>45046</v>
      </c>
      <c r="BO8" s="145">
        <f t="shared" si="2"/>
        <v>45047</v>
      </c>
      <c r="BP8" s="145">
        <f t="shared" si="2"/>
        <v>45048</v>
      </c>
      <c r="BQ8" s="145">
        <f t="shared" si="2"/>
        <v>45049</v>
      </c>
      <c r="BR8" s="145">
        <f t="shared" si="2"/>
        <v>45050</v>
      </c>
      <c r="BS8" s="145">
        <f t="shared" si="2"/>
        <v>45051</v>
      </c>
      <c r="BT8" s="145">
        <f t="shared" si="2"/>
        <v>45052</v>
      </c>
      <c r="BU8" s="145">
        <f t="shared" si="2"/>
        <v>45053</v>
      </c>
      <c r="BV8" s="145">
        <f t="shared" si="2"/>
        <v>45054</v>
      </c>
      <c r="BW8" s="145">
        <f t="shared" si="2"/>
        <v>45055</v>
      </c>
      <c r="BX8" s="145">
        <f t="shared" si="2"/>
        <v>45056</v>
      </c>
      <c r="BY8" s="145">
        <f t="shared" si="2"/>
        <v>45057</v>
      </c>
      <c r="BZ8" s="145">
        <f t="shared" si="2"/>
        <v>45058</v>
      </c>
      <c r="CA8" s="145">
        <f t="shared" si="2"/>
        <v>45059</v>
      </c>
      <c r="CB8" s="145">
        <f t="shared" si="2"/>
        <v>45060</v>
      </c>
      <c r="CC8" s="145">
        <f t="shared" si="2"/>
        <v>45061</v>
      </c>
      <c r="CD8" s="145">
        <f t="shared" si="2"/>
        <v>45062</v>
      </c>
      <c r="CE8" s="145">
        <f t="shared" si="2"/>
        <v>45063</v>
      </c>
      <c r="CF8" s="145">
        <f t="shared" si="2"/>
        <v>45064</v>
      </c>
      <c r="CG8" s="111"/>
      <c r="CH8" s="111"/>
      <c r="CI8" s="111"/>
      <c r="CJ8" s="111"/>
      <c r="CK8" s="111"/>
      <c r="CL8" s="111"/>
      <c r="CM8" s="111"/>
      <c r="CN8" s="111"/>
      <c r="CO8" s="111"/>
      <c r="CP8" s="111"/>
      <c r="CQ8" s="111"/>
      <c r="CR8" s="111"/>
      <c r="CS8" s="111"/>
      <c r="CT8" s="111"/>
      <c r="CU8" s="111"/>
      <c r="CV8" s="111"/>
      <c r="CW8" s="111"/>
      <c r="CX8" s="111"/>
      <c r="CY8" s="111"/>
      <c r="CZ8" s="111"/>
      <c r="DA8" s="111"/>
      <c r="DB8" s="111"/>
      <c r="DC8" s="111"/>
      <c r="DD8" s="111"/>
      <c r="DE8" s="111"/>
      <c r="DF8" s="111"/>
      <c r="DG8" s="111"/>
      <c r="DH8" s="111"/>
      <c r="DI8" s="111"/>
      <c r="DJ8" s="111"/>
      <c r="DK8" s="111"/>
      <c r="DL8" s="111"/>
      <c r="DM8" s="111"/>
      <c r="DN8" s="111"/>
      <c r="DO8" s="111"/>
      <c r="DP8" s="111"/>
      <c r="DQ8" s="111"/>
      <c r="DR8" s="111"/>
      <c r="DS8" s="111"/>
      <c r="DT8" s="111"/>
      <c r="DU8" s="111"/>
      <c r="DV8" s="111"/>
      <c r="DW8" s="111"/>
      <c r="DX8" s="111"/>
      <c r="DY8" s="111"/>
      <c r="DZ8" s="111"/>
      <c r="EA8" s="111"/>
      <c r="EB8" s="111"/>
      <c r="EC8" s="111"/>
      <c r="ED8" s="111"/>
      <c r="EE8" s="111"/>
      <c r="EF8" s="111"/>
      <c r="EG8" s="111"/>
      <c r="EH8" s="111"/>
      <c r="EI8" s="111"/>
      <c r="EJ8" s="111"/>
      <c r="EK8" s="111"/>
      <c r="EL8" s="111"/>
      <c r="EM8" s="111"/>
      <c r="EN8" s="111"/>
      <c r="EO8" s="111"/>
      <c r="EP8" s="111"/>
      <c r="EQ8" s="111"/>
      <c r="ER8" s="111"/>
      <c r="ES8" s="111"/>
      <c r="ET8" s="111"/>
      <c r="EU8" s="111"/>
      <c r="EV8" s="111"/>
      <c r="EW8" s="111"/>
      <c r="EX8" s="111"/>
      <c r="EY8" s="111"/>
      <c r="EZ8" s="111"/>
      <c r="FA8" s="111"/>
      <c r="FB8" s="111"/>
      <c r="FC8" s="111"/>
      <c r="FD8" s="111"/>
      <c r="FE8" s="111"/>
      <c r="FF8" s="111"/>
      <c r="FG8" s="111"/>
      <c r="FH8" s="111"/>
      <c r="FI8" s="111"/>
      <c r="FJ8" s="111"/>
      <c r="FK8" s="111"/>
      <c r="FL8" s="111"/>
      <c r="FM8" s="111"/>
      <c r="FN8" s="111"/>
      <c r="FO8" s="111"/>
      <c r="FP8" s="111"/>
      <c r="FQ8" s="111"/>
      <c r="FR8" s="111"/>
      <c r="FS8" s="111"/>
      <c r="FT8" s="111"/>
      <c r="FU8" s="111"/>
      <c r="FV8" s="111"/>
      <c r="FW8" s="111"/>
      <c r="FX8" s="111"/>
      <c r="FY8" s="111"/>
      <c r="FZ8" s="111"/>
      <c r="GA8" s="111"/>
      <c r="GB8" s="111"/>
      <c r="GC8" s="111"/>
      <c r="GD8" s="111"/>
      <c r="GE8" s="111"/>
      <c r="GF8" s="111"/>
      <c r="GG8" s="111"/>
      <c r="GH8" s="111"/>
      <c r="GI8" s="111"/>
      <c r="GJ8" s="111"/>
      <c r="GK8" s="111"/>
      <c r="GL8" s="111"/>
      <c r="GM8" s="111"/>
      <c r="GN8" s="111"/>
      <c r="GO8" s="111"/>
      <c r="GP8" s="111"/>
      <c r="GQ8" s="111"/>
      <c r="GR8" s="111"/>
      <c r="GS8" s="111"/>
      <c r="GT8" s="111"/>
      <c r="GU8" s="111"/>
      <c r="GV8" s="111"/>
      <c r="GW8" s="111"/>
      <c r="GX8" s="111"/>
      <c r="GY8" s="111"/>
      <c r="GZ8" s="111"/>
      <c r="HA8" s="111"/>
      <c r="HB8" s="111"/>
      <c r="HC8" s="111"/>
      <c r="HD8" s="111"/>
      <c r="HE8" s="111"/>
      <c r="HF8" s="111"/>
      <c r="HG8" s="111"/>
      <c r="HH8" s="111"/>
      <c r="HI8" s="111"/>
      <c r="HJ8" s="111"/>
      <c r="HK8" s="111"/>
      <c r="HL8" s="111"/>
      <c r="HM8" s="111"/>
      <c r="HN8" s="111"/>
      <c r="HO8" s="111"/>
      <c r="HP8" s="111"/>
      <c r="HQ8" s="111"/>
      <c r="HR8" s="111"/>
      <c r="HS8" s="111"/>
      <c r="HT8" s="111"/>
      <c r="HU8" s="111"/>
      <c r="HV8" s="111"/>
      <c r="HW8" s="111"/>
      <c r="HX8" s="111"/>
      <c r="HY8" s="111"/>
      <c r="HZ8" s="111"/>
      <c r="IA8" s="111"/>
      <c r="IB8" s="111"/>
      <c r="IC8" s="111"/>
      <c r="ID8" s="111"/>
      <c r="IE8" s="111"/>
      <c r="IF8" s="111"/>
      <c r="IG8" s="111"/>
      <c r="IH8" s="111"/>
    </row>
    <row r="9">
      <c r="A9" s="146" t="s">
        <v>7</v>
      </c>
      <c r="B9" s="147" t="s">
        <v>8</v>
      </c>
      <c r="C9" s="137" t="s">
        <v>421</v>
      </c>
      <c r="D9" s="148">
        <f t="shared" ref="D9:D88" si="3">sum(E9:IH9)</f>
        <v>9.265949074</v>
      </c>
      <c r="E9" s="149">
        <f>IFERROR(VLOOKUP(B9,Daily_Working_Do_Not_Delete!DG:DH,2,0))</f>
        <v>3.434293981</v>
      </c>
      <c r="F9" s="149">
        <f>IFERROR(VLOOKUP(B9,Daily_Working_Do_Not_Delete!DE:DF,2,0))</f>
        <v>0.06287037037</v>
      </c>
      <c r="G9" s="149">
        <f>IFERROR(VLOOKUP(B9,Daily_Working_Do_Not_Delete!DC:DD,2,0))</f>
        <v>0.02290509259</v>
      </c>
      <c r="H9" s="149">
        <f>IFERROR(VLOOKUP(B9,Daily_Working_Do_Not_Delete!DA:DB,2,0))</f>
        <v>0.03184027778</v>
      </c>
      <c r="I9" s="149">
        <f>IFERROR(VLOOKUP(B9,Daily_Working_Do_Not_Delete!CY:CZ,2,0))</f>
        <v>0.03116898148</v>
      </c>
      <c r="J9" s="149">
        <f>IFERROR(VLOOKUP(B9,Daily_Working_Do_Not_Delete!CW:CX,2,0))</f>
        <v>0.05608796296</v>
      </c>
      <c r="K9" s="149">
        <f>IFERROR(VLOOKUP(B9,Daily_Working_Do_Not_Delete!CU:CV,2,0))</f>
        <v>0.06533564815</v>
      </c>
      <c r="L9" s="149">
        <f>IFERROR(VLOOKUP(B9,Daily_Working_Do_Not_Delete!CS:CT,2,0))</f>
        <v>0.02502314815</v>
      </c>
      <c r="M9" s="149">
        <f>IFERROR(VLOOKUP(B9,Daily_Working_Do_Not_Delete!CQ:CR,2,0))</f>
        <v>0.0409375</v>
      </c>
      <c r="N9" s="149">
        <f>IFERROR(VLOOKUP(B9,Daily_Working_Do_Not_Delete!CO:CP,2,0))</f>
        <v>0.1453703704</v>
      </c>
      <c r="O9" s="149">
        <f>IFERROR(VLOOKUP(B9,Daily_Working_Do_Not_Delete!CM:CN,2,0))</f>
        <v>0.2639583333</v>
      </c>
      <c r="P9" s="149">
        <f>IFERROR(VLOOKUP(B9,Daily_Working_Do_Not_Delete!CK:CL,2,0))</f>
        <v>0.276875</v>
      </c>
      <c r="Q9" s="149">
        <f>IFERROR(VLOOKUP(B9,Daily_Working_Do_Not_Delete!CI:CJ,2,0))</f>
        <v>0.4309027778</v>
      </c>
      <c r="R9" s="149">
        <f>IFERROR(VLOOKUP(B9,Daily_Working_Do_Not_Delete!CG:CH,2,0))</f>
        <v>0.3509606481</v>
      </c>
      <c r="S9" s="149">
        <f>IFERROR(VLOOKUP(B9,Daily_Working_Do_Not_Delete!CE:CF,2,0))</f>
        <v>0.9474074074</v>
      </c>
      <c r="T9" s="149">
        <f>IFERROR(VLOOKUP(B9,Daily_Working_Do_Not_Delete!CC:CD,2,0))</f>
        <v>0.4159143519</v>
      </c>
      <c r="U9" s="149">
        <f>IFERROR(VLOOKUP(B9,Daily_Working_Do_Not_Delete!CA:CB,2,0))</f>
        <v>0.7643865741</v>
      </c>
      <c r="V9" s="149">
        <f>IFERROR(VLOOKUP(B9,Daily_Working_Do_Not_Delete!BY:BZ,2,0))</f>
        <v>0.2222453704</v>
      </c>
      <c r="W9" s="149">
        <f>IFERROR(VLOOKUP(B9,Daily_Working_Do_Not_Delete!BW:BX,2,0))</f>
        <v>0.1778356481</v>
      </c>
      <c r="X9" s="149">
        <f>IFERROR(VLOOKUP(B9,Daily_Working_Do_Not_Delete!BU:BV,2,0))</f>
        <v>0.1161458333</v>
      </c>
      <c r="Y9" s="149">
        <f>IFERROR(VLOOKUP(B9,Daily_Working_Do_Not_Delete!BS:BT,2,0))</f>
        <v>0.3150810185</v>
      </c>
      <c r="Z9" s="149">
        <f>IFERROR(VLOOKUP(B9,Daily_Working_Do_Not_Delete!BQ:BR,2,0))</f>
        <v>0.374849537</v>
      </c>
      <c r="AA9" s="149">
        <f>IFERROR(VLOOKUP(B9,Daily_Working_Do_Not_Delete!BO:BP,2,0))</f>
        <v>0.1318402778</v>
      </c>
      <c r="AB9" s="149">
        <f>IFERROR(VLOOKUP(B9,Daily_Working_Do_Not_Delete!BM:BN,2,0))</f>
        <v>0.1209837963</v>
      </c>
      <c r="AC9" s="149">
        <f>IFERROR(VLOOKUP(B9,Daily_Working_Do_Not_Delete!BK:BL,2,0))</f>
        <v>0.09681712963</v>
      </c>
      <c r="AD9" s="149">
        <f>IFERROR(VLOOKUP(B9,Daily_Working_Do_Not_Delete!BI:BJ,2,0))</f>
        <v>0.1177430556</v>
      </c>
      <c r="AE9" s="149">
        <f>IFERROR(VLOOKUP(B9,Daily_Working_Do_Not_Delete!BG:BH,2,0))</f>
        <v>0.04150462963</v>
      </c>
      <c r="AF9" s="149">
        <f>IFERROR(VLOOKUP(B9,Daily_Working_Do_Not_Delete!BE:BF,2,0))</f>
        <v>0.0334375</v>
      </c>
      <c r="AG9" s="149">
        <f>IFERROR(VLOOKUP(B9,Daily_Working_Do_Not_Delete!BC:BD,2,0))</f>
        <v>0.03362268519</v>
      </c>
      <c r="AH9" s="149">
        <f>IFERROR(VLOOKUP(B9,Daily_Working_Do_Not_Delete!BA:BB,2,0))</f>
        <v>0.01519675926</v>
      </c>
      <c r="AI9" s="149">
        <f>IFERROR(VLOOKUP(B9,Daily_Working_Do_Not_Delete!AY:AZ,2,0))</f>
        <v>0.01896990741</v>
      </c>
      <c r="AJ9" s="149">
        <f>IFERROR(VLOOKUP(B9,Daily_Working_Do_Not_Delete!AW:AX,2,0))</f>
        <v>0.02752314815</v>
      </c>
      <c r="AK9" s="149">
        <f>IFERROR(VLOOKUP(B9,Daily_Working_Do_Not_Delete!AU:AV,2,0))</f>
        <v>0.005555555556</v>
      </c>
      <c r="AL9" s="149">
        <f>IFERROR(VLOOKUP(B9,Daily_Working_Do_Not_Delete!AS:AT,2,0))</f>
        <v>0.001840277778</v>
      </c>
      <c r="AM9" s="149">
        <f>IFERROR(VLOOKUP(B9,Daily_Working_Do_Not_Delete!AQ:AR,2,0))</f>
        <v>0.007835648148</v>
      </c>
      <c r="AN9" s="149">
        <f>IFERROR(VLOOKUP(B9,Daily_Working_Do_Not_Delete!AO:AP,2,0))</f>
        <v>0.001365740741</v>
      </c>
      <c r="AO9" s="149">
        <f>IFERROR(VLOOKUP(B9,Daily_Working_Do_Not_Delete!AM:AN,2,0))</f>
        <v>0.000162037037</v>
      </c>
      <c r="AP9" s="149">
        <f>IFERROR(VLOOKUP(B9,Daily_Working_Do_Not_Delete!AK:AL,2,0))</f>
        <v>0.01915509259</v>
      </c>
      <c r="AQ9" s="149">
        <f>IFERROR(VLOOKUP(B9,Daily_Working_Do_Not_Delete!AI:AJ,2,0))</f>
        <v>0.002534722222</v>
      </c>
      <c r="AR9" s="149">
        <f>IFERROR(VLOOKUP(B9,Daily_Working_Do_Not_Delete!AG:AH,2,0))</f>
        <v>0.00006944444444</v>
      </c>
      <c r="AS9" s="149">
        <f>IFERROR(VLOOKUP(B9,Daily_Working_Do_Not_Delete!AE:AF,2,0))</f>
        <v>0.00002314814815</v>
      </c>
      <c r="AT9" s="149">
        <f>IFERROR(VLOOKUP(B9,Daily_Working_Do_Not_Delete!AC:AD,2,0))</f>
        <v>0.01634259259</v>
      </c>
      <c r="AU9" s="149">
        <f>IFERROR(VLOOKUP(B9,Daily_Working_Do_Not_Delete!AA:AB,2,0))</f>
        <v>0.001030092593</v>
      </c>
      <c r="AV9" s="149" t="str">
        <f>IFERROR(VLOOKUP(B9,Daily_Working_Do_Not_Delete!Y:Z,2,0))</f>
        <v/>
      </c>
      <c r="AW9" s="149" t="str">
        <f>IFERROR(VLOOKUP(B9,Daily_Working_Do_Not_Delete!W:X,2,0))</f>
        <v/>
      </c>
      <c r="AX9" s="149" t="str">
        <f>IFERROR(VLOOKUP(B9,Daily_Working_Do_Not_Delete!U:V,2,0))</f>
        <v/>
      </c>
      <c r="AY9" s="149" t="str">
        <f>IFERROR(VLOOKUP(B9,Daily_Working_Do_Not_Delete!S:T,2,0))</f>
        <v/>
      </c>
      <c r="AZ9" s="149" t="str">
        <f>IFERROR(VLOOKUP(B9,Daily_Working_Do_Not_Delete!Q:R,2,0))</f>
        <v/>
      </c>
      <c r="BA9" s="149" t="str">
        <f>IFERROR(VLOOKUP(B9,Daily_Working_Do_Not_Delete!O:P,2,0))</f>
        <v/>
      </c>
      <c r="BB9" s="149" t="str">
        <f>IFERROR(VLOOKUP(B9,Daily_Working_Do_Not_Delete!M:N,2,0))</f>
        <v/>
      </c>
      <c r="BC9" s="149" t="str">
        <f>IFERROR(VLOOKUP(B9,Daily_Working_Do_Not_Delete!K:L,2,0))</f>
        <v/>
      </c>
      <c r="BD9" s="149" t="str">
        <f>IFERROR(VLOOKUP(B9,Daily_Working_Do_Not_Delete!I:J,2,0))</f>
        <v/>
      </c>
      <c r="BE9" s="149" t="str">
        <f>IFERROR(VLOOKUP(B9,Daily_Working_Do_Not_Delete!G:H,2,0))</f>
        <v/>
      </c>
      <c r="BF9" s="149" t="str">
        <f>IFERROR(VLOOKUP(B9,Daily_Working_Do_Not_Delete!E:F,2,0))</f>
        <v/>
      </c>
      <c r="BG9" s="149" t="str">
        <f>IFERROR(VLOOKUP(B9,Daily_Working_Do_Not_Delete!C:D,2,0))</f>
        <v/>
      </c>
      <c r="BH9" s="149" t="str">
        <f>IFERROR(VLOOKUP(B9,Daily_Working_Do_Not_Delete!A:B,2,0))</f>
        <v/>
      </c>
      <c r="BI9" s="150"/>
      <c r="BJ9" s="150"/>
      <c r="BK9" s="150"/>
      <c r="BL9" s="150"/>
      <c r="BM9" s="150"/>
      <c r="BN9" s="150"/>
      <c r="BO9" s="150"/>
      <c r="BP9" s="150"/>
      <c r="BQ9" s="150"/>
      <c r="BR9" s="150"/>
      <c r="BS9" s="150"/>
      <c r="BT9" s="150"/>
      <c r="BU9" s="150"/>
      <c r="BV9" s="150"/>
      <c r="BW9" s="150"/>
      <c r="BX9" s="150"/>
      <c r="BY9" s="150"/>
      <c r="BZ9" s="150"/>
      <c r="CA9" s="150"/>
      <c r="CB9" s="150"/>
      <c r="CC9" s="150"/>
      <c r="CD9" s="150"/>
      <c r="CE9" s="150"/>
      <c r="CF9" s="150"/>
    </row>
    <row r="10">
      <c r="A10" s="146" t="s">
        <v>7</v>
      </c>
      <c r="B10" s="146" t="s">
        <v>422</v>
      </c>
      <c r="C10" s="137" t="s">
        <v>421</v>
      </c>
      <c r="D10" s="148">
        <f t="shared" si="3"/>
        <v>7.785358796</v>
      </c>
      <c r="E10" s="149">
        <f>IFERROR(VLOOKUP(B10,Daily_Working_Do_Not_Delete!DG:DH,2,0))</f>
        <v>3.238078704</v>
      </c>
      <c r="F10" s="149">
        <f>IFERROR(VLOOKUP(B10,Daily_Working_Do_Not_Delete!DE:DF,2,0))</f>
        <v>0.04811342593</v>
      </c>
      <c r="G10" s="149">
        <f>IFERROR(VLOOKUP(B10,Daily_Working_Do_Not_Delete!DC:DD,2,0))</f>
        <v>0.0007986111111</v>
      </c>
      <c r="H10" s="149" t="str">
        <f>IFERROR(VLOOKUP(B10,Daily_Working_Do_Not_Delete!DA:DB,2,0))</f>
        <v/>
      </c>
      <c r="I10" s="149" t="str">
        <f>IFERROR(VLOOKUP(B10,Daily_Working_Do_Not_Delete!CY:CZ,2,0))</f>
        <v/>
      </c>
      <c r="J10" s="149">
        <f>IFERROR(VLOOKUP(B10,Daily_Working_Do_Not_Delete!CW:CX,2,0))</f>
        <v>0.04274305556</v>
      </c>
      <c r="K10" s="149">
        <f>IFERROR(VLOOKUP(B10,Daily_Working_Do_Not_Delete!CU:CV,2,0))</f>
        <v>0.03326388889</v>
      </c>
      <c r="L10" s="149">
        <f>IFERROR(VLOOKUP(B10,Daily_Working_Do_Not_Delete!CS:CT,2,0))</f>
        <v>0.06719907407</v>
      </c>
      <c r="M10" s="149">
        <f>IFERROR(VLOOKUP(B10,Daily_Working_Do_Not_Delete!CQ:CR,2,0))</f>
        <v>0.03543981481</v>
      </c>
      <c r="N10" s="149">
        <f>IFERROR(VLOOKUP(B10,Daily_Working_Do_Not_Delete!CO:CP,2,0))</f>
        <v>0.1746759259</v>
      </c>
      <c r="O10" s="149">
        <f>IFERROR(VLOOKUP(B10,Daily_Working_Do_Not_Delete!CM:CN,2,0))</f>
        <v>0.2518865741</v>
      </c>
      <c r="P10" s="149">
        <f>IFERROR(VLOOKUP(B10,Daily_Working_Do_Not_Delete!CK:CL,2,0))</f>
        <v>0.4105787037</v>
      </c>
      <c r="Q10" s="149">
        <f>IFERROR(VLOOKUP(B10,Daily_Working_Do_Not_Delete!CI:CJ,2,0))</f>
        <v>0.3389699074</v>
      </c>
      <c r="R10" s="149">
        <f>IFERROR(VLOOKUP(B10,Daily_Working_Do_Not_Delete!CG:CH,2,0))</f>
        <v>0.2974768519</v>
      </c>
      <c r="S10" s="149">
        <f>IFERROR(VLOOKUP(B10,Daily_Working_Do_Not_Delete!CE:CF,2,0))</f>
        <v>0.341724537</v>
      </c>
      <c r="T10" s="149">
        <f>IFERROR(VLOOKUP(B10,Daily_Working_Do_Not_Delete!CC:CD,2,0))</f>
        <v>0.4189699074</v>
      </c>
      <c r="U10" s="149">
        <f>IFERROR(VLOOKUP(B10,Daily_Working_Do_Not_Delete!CA:CB,2,0))</f>
        <v>0.5046180556</v>
      </c>
      <c r="V10" s="149">
        <f>IFERROR(VLOOKUP(B10,Daily_Working_Do_Not_Delete!BY:BZ,2,0))</f>
        <v>0.2780439815</v>
      </c>
      <c r="W10" s="149">
        <f>IFERROR(VLOOKUP(B10,Daily_Working_Do_Not_Delete!BW:BX,2,0))</f>
        <v>0.2714351852</v>
      </c>
      <c r="X10" s="149">
        <f>IFERROR(VLOOKUP(B10,Daily_Working_Do_Not_Delete!BU:BV,2,0))</f>
        <v>0.2676273148</v>
      </c>
      <c r="Y10" s="149">
        <f>IFERROR(VLOOKUP(B10,Daily_Working_Do_Not_Delete!BS:BT,2,0))</f>
        <v>0.1757407407</v>
      </c>
      <c r="Z10" s="149">
        <f>IFERROR(VLOOKUP(B10,Daily_Working_Do_Not_Delete!BQ:BR,2,0))</f>
        <v>0.2060763889</v>
      </c>
      <c r="AA10" s="149">
        <f>IFERROR(VLOOKUP(B10,Daily_Working_Do_Not_Delete!BO:BP,2,0))</f>
        <v>0.1208101852</v>
      </c>
      <c r="AB10" s="149">
        <f>IFERROR(VLOOKUP(B10,Daily_Working_Do_Not_Delete!BM:BN,2,0))</f>
        <v>0.0565625</v>
      </c>
      <c r="AC10" s="149">
        <f>IFERROR(VLOOKUP(B10,Daily_Working_Do_Not_Delete!BK:BL,2,0))</f>
        <v>0.07891203704</v>
      </c>
      <c r="AD10" s="149">
        <f>IFERROR(VLOOKUP(B10,Daily_Working_Do_Not_Delete!BI:BJ,2,0))</f>
        <v>0.01989583333</v>
      </c>
      <c r="AE10" s="149">
        <f>IFERROR(VLOOKUP(B10,Daily_Working_Do_Not_Delete!BG:BH,2,0))</f>
        <v>0.01748842593</v>
      </c>
      <c r="AF10" s="149">
        <f>IFERROR(VLOOKUP(B10,Daily_Working_Do_Not_Delete!BE:BF,2,0))</f>
        <v>0.008842592593</v>
      </c>
      <c r="AG10" s="149">
        <f>IFERROR(VLOOKUP(B10,Daily_Working_Do_Not_Delete!BC:BD,2,0))</f>
        <v>0.02329861111</v>
      </c>
      <c r="AH10" s="149">
        <f>IFERROR(VLOOKUP(B10,Daily_Working_Do_Not_Delete!BA:BB,2,0))</f>
        <v>0.02563657407</v>
      </c>
      <c r="AI10" s="149">
        <f>IFERROR(VLOOKUP(B10,Daily_Working_Do_Not_Delete!AY:AZ,2,0))</f>
        <v>0.001655092593</v>
      </c>
      <c r="AJ10" s="149">
        <f>IFERROR(VLOOKUP(B10,Daily_Working_Do_Not_Delete!AW:AX,2,0))</f>
        <v>0.001099537037</v>
      </c>
      <c r="AK10" s="149" t="str">
        <f>IFERROR(VLOOKUP(B10,Daily_Working_Do_Not_Delete!AU:AV,2,0))</f>
        <v/>
      </c>
      <c r="AL10" s="149" t="str">
        <f>IFERROR(VLOOKUP(B10,Daily_Working_Do_Not_Delete!AS:AT,2,0))</f>
        <v/>
      </c>
      <c r="AM10" s="149" t="str">
        <f>IFERROR(VLOOKUP(B10,Daily_Working_Do_Not_Delete!AQ:AR,2,0))</f>
        <v/>
      </c>
      <c r="AN10" s="149">
        <f>IFERROR(VLOOKUP(B10,Daily_Working_Do_Not_Delete!AO:AP,2,0))</f>
        <v>0.00009259259259</v>
      </c>
      <c r="AO10" s="149">
        <f>IFERROR(VLOOKUP(B10,Daily_Working_Do_Not_Delete!AM:AN,2,0))</f>
        <v>0.004050925926</v>
      </c>
      <c r="AP10" s="149">
        <f>IFERROR(VLOOKUP(B10,Daily_Working_Do_Not_Delete!AK:AL,2,0))</f>
        <v>0.01321759259</v>
      </c>
      <c r="AQ10" s="149">
        <f>IFERROR(VLOOKUP(B10,Daily_Working_Do_Not_Delete!AI:AJ,2,0))</f>
        <v>0.003391203704</v>
      </c>
      <c r="AR10" s="149">
        <f>IFERROR(VLOOKUP(B10,Daily_Working_Do_Not_Delete!AG:AH,2,0))</f>
        <v>0.006759259259</v>
      </c>
      <c r="AS10" s="149" t="str">
        <f>IFERROR(VLOOKUP(B10,Daily_Working_Do_Not_Delete!AE:AF,2,0))</f>
        <v/>
      </c>
      <c r="AT10" s="149" t="str">
        <f>IFERROR(VLOOKUP(B10,Daily_Working_Do_Not_Delete!AC:AD,2,0))</f>
        <v/>
      </c>
      <c r="AU10" s="149">
        <f>IFERROR(VLOOKUP(B10,Daily_Working_Do_Not_Delete!AA:AB,2,0))</f>
        <v>0.0001851851852</v>
      </c>
      <c r="AV10" s="149" t="str">
        <f>IFERROR(VLOOKUP(B10,Daily_Working_Do_Not_Delete!Y:Z,2,0))</f>
        <v/>
      </c>
      <c r="AW10" s="149" t="str">
        <f>IFERROR(VLOOKUP(B10,Daily_Working_Do_Not_Delete!W:X,2,0))</f>
        <v/>
      </c>
      <c r="AX10" s="149" t="str">
        <f>IFERROR(VLOOKUP(B10,Daily_Working_Do_Not_Delete!U:V,2,0))</f>
        <v/>
      </c>
      <c r="AY10" s="149" t="str">
        <f>IFERROR(VLOOKUP(B10,Daily_Working_Do_Not_Delete!S:T,2,0))</f>
        <v/>
      </c>
      <c r="AZ10" s="149" t="str">
        <f>IFERROR(VLOOKUP(B10,Daily_Working_Do_Not_Delete!Q:R,2,0))</f>
        <v/>
      </c>
      <c r="BA10" s="149" t="str">
        <f>IFERROR(VLOOKUP(B10,Daily_Working_Do_Not_Delete!O:P,2,0))</f>
        <v/>
      </c>
      <c r="BB10" s="149" t="str">
        <f>IFERROR(VLOOKUP(B10,Daily_Working_Do_Not_Delete!M:N,2,0))</f>
        <v/>
      </c>
      <c r="BC10" s="149" t="str">
        <f>IFERROR(VLOOKUP(B10,Daily_Working_Do_Not_Delete!K:L,2,0))</f>
        <v/>
      </c>
      <c r="BD10" s="149" t="str">
        <f>IFERROR(VLOOKUP(B10,Daily_Working_Do_Not_Delete!I:J,2,0))</f>
        <v/>
      </c>
      <c r="BE10" s="149" t="str">
        <f>IFERROR(VLOOKUP(B10,Daily_Working_Do_Not_Delete!G:H,2,0))</f>
        <v/>
      </c>
      <c r="BF10" s="149" t="str">
        <f>IFERROR(VLOOKUP(B10,Daily_Working_Do_Not_Delete!E:F,2,0))</f>
        <v/>
      </c>
      <c r="BG10" s="149" t="str">
        <f>IFERROR(VLOOKUP(B10,Daily_Working_Do_Not_Delete!C:D,2,0))</f>
        <v/>
      </c>
      <c r="BH10" s="149" t="str">
        <f>IFERROR(VLOOKUP(B10,Daily_Working_Do_Not_Delete!A:B,2,0))</f>
        <v/>
      </c>
      <c r="BI10" s="150"/>
      <c r="BJ10" s="150"/>
      <c r="BK10" s="150"/>
      <c r="BL10" s="150"/>
      <c r="BM10" s="150"/>
      <c r="BN10" s="150"/>
      <c r="BO10" s="150"/>
      <c r="BP10" s="150"/>
      <c r="BQ10" s="150"/>
      <c r="BR10" s="150"/>
      <c r="BS10" s="150"/>
      <c r="BT10" s="150"/>
      <c r="BU10" s="150"/>
      <c r="BV10" s="150"/>
      <c r="BW10" s="150"/>
      <c r="BX10" s="150"/>
      <c r="BY10" s="150"/>
      <c r="BZ10" s="150"/>
      <c r="CA10" s="150"/>
      <c r="CB10" s="150"/>
      <c r="CC10" s="150"/>
      <c r="CD10" s="150"/>
      <c r="CE10" s="150"/>
      <c r="CF10" s="150"/>
    </row>
    <row r="11">
      <c r="A11" s="146" t="s">
        <v>7</v>
      </c>
      <c r="B11" s="146" t="s">
        <v>19</v>
      </c>
      <c r="C11" s="137" t="s">
        <v>421</v>
      </c>
      <c r="D11" s="148">
        <f t="shared" si="3"/>
        <v>8.93875</v>
      </c>
      <c r="E11" s="149">
        <f>IFERROR(VLOOKUP(B11,Daily_Working_Do_Not_Delete!DG:DH,2,0))</f>
        <v>3.311018519</v>
      </c>
      <c r="F11" s="149">
        <f>IFERROR(VLOOKUP(B11,Daily_Working_Do_Not_Delete!DE:DF,2,0))</f>
        <v>0.05818287037</v>
      </c>
      <c r="G11" s="149">
        <f>IFERROR(VLOOKUP(B11,Daily_Working_Do_Not_Delete!DC:DD,2,0))</f>
        <v>0.02115740741</v>
      </c>
      <c r="H11" s="149">
        <f>IFERROR(VLOOKUP(B11,Daily_Working_Do_Not_Delete!DA:DB,2,0))</f>
        <v>0.06025462963</v>
      </c>
      <c r="I11" s="149">
        <f>IFERROR(VLOOKUP(B11,Daily_Working_Do_Not_Delete!CY:CZ,2,0))</f>
        <v>0.09193287037</v>
      </c>
      <c r="J11" s="149">
        <f>IFERROR(VLOOKUP(B11,Daily_Working_Do_Not_Delete!CW:CX,2,0))</f>
        <v>0.1416898148</v>
      </c>
      <c r="K11" s="149">
        <f>IFERROR(VLOOKUP(B11,Daily_Working_Do_Not_Delete!CU:CV,2,0))</f>
        <v>0.1367476852</v>
      </c>
      <c r="L11" s="149">
        <f>IFERROR(VLOOKUP(B11,Daily_Working_Do_Not_Delete!CS:CT,2,0))</f>
        <v>0.2270717593</v>
      </c>
      <c r="M11" s="149">
        <f>IFERROR(VLOOKUP(B11,Daily_Working_Do_Not_Delete!CQ:CR,2,0))</f>
        <v>0.08517361111</v>
      </c>
      <c r="N11" s="149">
        <f>IFERROR(VLOOKUP(B11,Daily_Working_Do_Not_Delete!CO:CP,2,0))</f>
        <v>0.3762615741</v>
      </c>
      <c r="O11" s="149">
        <f>IFERROR(VLOOKUP(B11,Daily_Working_Do_Not_Delete!CM:CN,2,0))</f>
        <v>0.479537037</v>
      </c>
      <c r="P11" s="149">
        <f>IFERROR(VLOOKUP(B11,Daily_Working_Do_Not_Delete!CK:CL,2,0))</f>
        <v>0.5700694444</v>
      </c>
      <c r="Q11" s="149">
        <f>IFERROR(VLOOKUP(B11,Daily_Working_Do_Not_Delete!CI:CJ,2,0))</f>
        <v>0.5825925926</v>
      </c>
      <c r="R11" s="149">
        <f>IFERROR(VLOOKUP(B11,Daily_Working_Do_Not_Delete!CG:CH,2,0))</f>
        <v>0.5661921296</v>
      </c>
      <c r="S11" s="149">
        <f>IFERROR(VLOOKUP(B11,Daily_Working_Do_Not_Delete!CE:CF,2,0))</f>
        <v>0.2215162037</v>
      </c>
      <c r="T11" s="149">
        <f>IFERROR(VLOOKUP(B11,Daily_Working_Do_Not_Delete!CC:CD,2,0))</f>
        <v>0.3087731481</v>
      </c>
      <c r="U11" s="149">
        <f>IFERROR(VLOOKUP(B11,Daily_Working_Do_Not_Delete!CA:CB,2,0))</f>
        <v>0.2034606481</v>
      </c>
      <c r="V11" s="149">
        <f>IFERROR(VLOOKUP(B11,Daily_Working_Do_Not_Delete!BY:BZ,2,0))</f>
        <v>0.3725231481</v>
      </c>
      <c r="W11" s="149">
        <f>IFERROR(VLOOKUP(B11,Daily_Working_Do_Not_Delete!BW:BX,2,0))</f>
        <v>0.2902777778</v>
      </c>
      <c r="X11" s="149">
        <f>IFERROR(VLOOKUP(B11,Daily_Working_Do_Not_Delete!BU:BV,2,0))</f>
        <v>0.169212963</v>
      </c>
      <c r="Y11" s="149">
        <f>IFERROR(VLOOKUP(B11,Daily_Working_Do_Not_Delete!BS:BT,2,0))</f>
        <v>0.2378935185</v>
      </c>
      <c r="Z11" s="149">
        <f>IFERROR(VLOOKUP(B11,Daily_Working_Do_Not_Delete!BQ:BR,2,0))</f>
        <v>0.1846990741</v>
      </c>
      <c r="AA11" s="149">
        <f>IFERROR(VLOOKUP(B11,Daily_Working_Do_Not_Delete!BO:BP,2,0))</f>
        <v>0.02649305556</v>
      </c>
      <c r="AB11" s="149">
        <f>IFERROR(VLOOKUP(B11,Daily_Working_Do_Not_Delete!BM:BN,2,0))</f>
        <v>0.07334490741</v>
      </c>
      <c r="AC11" s="149">
        <f>IFERROR(VLOOKUP(B11,Daily_Working_Do_Not_Delete!BK:BL,2,0))</f>
        <v>0.02820601852</v>
      </c>
      <c r="AD11" s="149">
        <f>IFERROR(VLOOKUP(B11,Daily_Working_Do_Not_Delete!BI:BJ,2,0))</f>
        <v>0.03209490741</v>
      </c>
      <c r="AE11" s="149">
        <f>IFERROR(VLOOKUP(B11,Daily_Working_Do_Not_Delete!BG:BH,2,0))</f>
        <v>0.02106481481</v>
      </c>
      <c r="AF11" s="149">
        <f>IFERROR(VLOOKUP(B11,Daily_Working_Do_Not_Delete!BE:BF,2,0))</f>
        <v>0.03305555556</v>
      </c>
      <c r="AG11" s="149">
        <f>IFERROR(VLOOKUP(B11,Daily_Working_Do_Not_Delete!BC:BD,2,0))</f>
        <v>0.0121412037</v>
      </c>
      <c r="AH11" s="149" t="str">
        <f>IFERROR(VLOOKUP(B11,Daily_Working_Do_Not_Delete!BA:BB,2,0))</f>
        <v/>
      </c>
      <c r="AI11" s="149">
        <f>IFERROR(VLOOKUP(B11,Daily_Working_Do_Not_Delete!AY:AZ,2,0))</f>
        <v>0.004108796296</v>
      </c>
      <c r="AJ11" s="149">
        <f>IFERROR(VLOOKUP(B11,Daily_Working_Do_Not_Delete!AW:AX,2,0))</f>
        <v>0.01171296296</v>
      </c>
      <c r="AK11" s="149">
        <f>IFERROR(VLOOKUP(B11,Daily_Working_Do_Not_Delete!AU:AV,2,0))</f>
        <v>0.00009259259259</v>
      </c>
      <c r="AL11" s="149" t="str">
        <f>IFERROR(VLOOKUP(B11,Daily_Working_Do_Not_Delete!AS:AT,2,0))</f>
        <v/>
      </c>
      <c r="AM11" s="149">
        <f>IFERROR(VLOOKUP(B11,Daily_Working_Do_Not_Delete!AQ:AR,2,0))</f>
        <v>0.00001157407407</v>
      </c>
      <c r="AN11" s="149">
        <f>IFERROR(VLOOKUP(B11,Daily_Working_Do_Not_Delete!AO:AP,2,0))</f>
        <v>0.0001851851852</v>
      </c>
      <c r="AO11" s="149" t="str">
        <f>IFERROR(VLOOKUP(B11,Daily_Working_Do_Not_Delete!AM:AN,2,0))</f>
        <v/>
      </c>
      <c r="AP11" s="149" t="str">
        <f>IFERROR(VLOOKUP(B11,Daily_Working_Do_Not_Delete!AK:AL,2,0))</f>
        <v/>
      </c>
      <c r="AQ11" s="149" t="str">
        <f>IFERROR(VLOOKUP(B11,Daily_Working_Do_Not_Delete!AI:AJ,2,0))</f>
        <v/>
      </c>
      <c r="AR11" s="149" t="str">
        <f>IFERROR(VLOOKUP(B11,Daily_Working_Do_Not_Delete!AG:AH,2,0))</f>
        <v/>
      </c>
      <c r="AS11" s="149" t="str">
        <f>IFERROR(VLOOKUP(B11,Daily_Working_Do_Not_Delete!AE:AF,2,0))</f>
        <v/>
      </c>
      <c r="AT11" s="149" t="str">
        <f>IFERROR(VLOOKUP(B11,Daily_Working_Do_Not_Delete!AC:AD,2,0))</f>
        <v/>
      </c>
      <c r="AU11" s="149" t="str">
        <f>IFERROR(VLOOKUP(B11,Daily_Working_Do_Not_Delete!AA:AB,2,0))</f>
        <v/>
      </c>
      <c r="AV11" s="149" t="str">
        <f>IFERROR(VLOOKUP(B11,Daily_Working_Do_Not_Delete!Y:Z,2,0))</f>
        <v/>
      </c>
      <c r="AW11" s="149" t="str">
        <f>IFERROR(VLOOKUP(B11,Daily_Working_Do_Not_Delete!W:X,2,0))</f>
        <v/>
      </c>
      <c r="AX11" s="149" t="str">
        <f>IFERROR(VLOOKUP(B11,Daily_Working_Do_Not_Delete!U:V,2,0))</f>
        <v/>
      </c>
      <c r="AY11" s="149" t="str">
        <f>IFERROR(VLOOKUP(B11,Daily_Working_Do_Not_Delete!S:T,2,0))</f>
        <v/>
      </c>
      <c r="AZ11" s="149" t="str">
        <f>IFERROR(VLOOKUP(B11,Daily_Working_Do_Not_Delete!Q:R,2,0))</f>
        <v/>
      </c>
      <c r="BA11" s="149" t="str">
        <f>IFERROR(VLOOKUP(B11,Daily_Working_Do_Not_Delete!O:P,2,0))</f>
        <v/>
      </c>
      <c r="BB11" s="149" t="str">
        <f>IFERROR(VLOOKUP(B11,Daily_Working_Do_Not_Delete!M:N,2,0))</f>
        <v/>
      </c>
      <c r="BC11" s="149" t="str">
        <f>IFERROR(VLOOKUP(B11,Daily_Working_Do_Not_Delete!K:L,2,0))</f>
        <v/>
      </c>
      <c r="BD11" s="149" t="str">
        <f>IFERROR(VLOOKUP(B11,Daily_Working_Do_Not_Delete!I:J,2,0))</f>
        <v/>
      </c>
      <c r="BE11" s="149" t="str">
        <f>IFERROR(VLOOKUP(B11,Daily_Working_Do_Not_Delete!G:H,2,0))</f>
        <v/>
      </c>
      <c r="BF11" s="149" t="str">
        <f>IFERROR(VLOOKUP(B11,Daily_Working_Do_Not_Delete!E:F,2,0))</f>
        <v/>
      </c>
      <c r="BG11" s="149" t="str">
        <f>IFERROR(VLOOKUP(B11,Daily_Working_Do_Not_Delete!C:D,2,0))</f>
        <v/>
      </c>
      <c r="BH11" s="149" t="str">
        <f>IFERROR(VLOOKUP(B11,Daily_Working_Do_Not_Delete!A:B,2,0))</f>
        <v/>
      </c>
      <c r="BI11" s="150"/>
      <c r="BJ11" s="150"/>
      <c r="BK11" s="150"/>
      <c r="BL11" s="150"/>
      <c r="BM11" s="150"/>
      <c r="BN11" s="150"/>
      <c r="BO11" s="150"/>
      <c r="BP11" s="150"/>
      <c r="BQ11" s="150"/>
      <c r="BR11" s="150"/>
      <c r="BS11" s="150"/>
      <c r="BT11" s="150"/>
      <c r="BU11" s="150"/>
      <c r="BV11" s="150"/>
      <c r="BW11" s="150"/>
      <c r="BX11" s="150"/>
      <c r="BY11" s="150"/>
      <c r="BZ11" s="150"/>
      <c r="CA11" s="150"/>
      <c r="CB11" s="150"/>
      <c r="CC11" s="150"/>
      <c r="CD11" s="150"/>
      <c r="CE11" s="150"/>
      <c r="CF11" s="150"/>
    </row>
    <row r="12">
      <c r="A12" s="151" t="s">
        <v>7</v>
      </c>
      <c r="B12" s="151" t="s">
        <v>20</v>
      </c>
      <c r="C12" s="152" t="s">
        <v>421</v>
      </c>
      <c r="D12" s="153">
        <f t="shared" si="3"/>
        <v>9.905185185</v>
      </c>
      <c r="E12" s="149">
        <f>IFERROR(VLOOKUP(B12,Daily_Working_Do_Not_Delete!DG:DH,2,0))</f>
        <v>4.095648148</v>
      </c>
      <c r="F12" s="149">
        <f>IFERROR(VLOOKUP(B12,Daily_Working_Do_Not_Delete!DE:DF,2,0))</f>
        <v>0.006018518519</v>
      </c>
      <c r="G12" s="149">
        <f>IFERROR(VLOOKUP(B12,Daily_Working_Do_Not_Delete!DC:DD,2,0))</f>
        <v>0.05804398148</v>
      </c>
      <c r="H12" s="149">
        <f>IFERROR(VLOOKUP(B12,Daily_Working_Do_Not_Delete!DA:DB,2,0))</f>
        <v>0.07034722222</v>
      </c>
      <c r="I12" s="149">
        <f>IFERROR(VLOOKUP(B12,Daily_Working_Do_Not_Delete!CY:CZ,2,0))</f>
        <v>0.01459490741</v>
      </c>
      <c r="J12" s="149">
        <f>IFERROR(VLOOKUP(B12,Daily_Working_Do_Not_Delete!CW:CX,2,0))</f>
        <v>0.003414351852</v>
      </c>
      <c r="K12" s="149">
        <f>IFERROR(VLOOKUP(B12,Daily_Working_Do_Not_Delete!CU:CV,2,0))</f>
        <v>0.04306712963</v>
      </c>
      <c r="L12" s="149">
        <f>IFERROR(VLOOKUP(B12,Daily_Working_Do_Not_Delete!CS:CT,2,0))</f>
        <v>0.03966435185</v>
      </c>
      <c r="M12" s="149">
        <f>IFERROR(VLOOKUP(B12,Daily_Working_Do_Not_Delete!CQ:CR,2,0))</f>
        <v>0.02859953704</v>
      </c>
      <c r="N12" s="149">
        <f>IFERROR(VLOOKUP(B12,Daily_Working_Do_Not_Delete!CO:CP,2,0))</f>
        <v>0.1454050926</v>
      </c>
      <c r="O12" s="149">
        <f>IFERROR(VLOOKUP(B12,Daily_Working_Do_Not_Delete!CM:CN,2,0))</f>
        <v>0.1526851852</v>
      </c>
      <c r="P12" s="149">
        <f>IFERROR(VLOOKUP(B12,Daily_Working_Do_Not_Delete!CK:CL,2,0))</f>
        <v>0.4515856481</v>
      </c>
      <c r="Q12" s="149">
        <f>IFERROR(VLOOKUP(B12,Daily_Working_Do_Not_Delete!CI:CJ,2,0))</f>
        <v>0.7130787037</v>
      </c>
      <c r="R12" s="149">
        <f>IFERROR(VLOOKUP(B12,Daily_Working_Do_Not_Delete!CG:CH,2,0))</f>
        <v>1.143333333</v>
      </c>
      <c r="S12" s="149">
        <f>IFERROR(VLOOKUP(B12,Daily_Working_Do_Not_Delete!CE:CF,2,0))</f>
        <v>1.339965278</v>
      </c>
      <c r="T12" s="149">
        <f>IFERROR(VLOOKUP(B12,Daily_Working_Do_Not_Delete!CC:CD,2,0))</f>
        <v>0.5613078704</v>
      </c>
      <c r="U12" s="149">
        <f>IFERROR(VLOOKUP(B12,Daily_Working_Do_Not_Delete!CA:CB,2,0))</f>
        <v>0.2198958333</v>
      </c>
      <c r="V12" s="149">
        <f>IFERROR(VLOOKUP(B12,Daily_Working_Do_Not_Delete!BY:BZ,2,0))</f>
        <v>0.1227777778</v>
      </c>
      <c r="W12" s="149">
        <f>IFERROR(VLOOKUP(B12,Daily_Working_Do_Not_Delete!BW:BX,2,0))</f>
        <v>0.1115046296</v>
      </c>
      <c r="X12" s="149">
        <f>IFERROR(VLOOKUP(B12,Daily_Working_Do_Not_Delete!BU:BV,2,0))</f>
        <v>0.04853009259</v>
      </c>
      <c r="Y12" s="149">
        <f>IFERROR(VLOOKUP(B12,Daily_Working_Do_Not_Delete!BS:BT,2,0))</f>
        <v>0.09831018519</v>
      </c>
      <c r="Z12" s="149">
        <f>IFERROR(VLOOKUP(B12,Daily_Working_Do_Not_Delete!BQ:BR,2,0))</f>
        <v>0.1556944444</v>
      </c>
      <c r="AA12" s="149">
        <f>IFERROR(VLOOKUP(B12,Daily_Working_Do_Not_Delete!BO:BP,2,0))</f>
        <v>0.02517361111</v>
      </c>
      <c r="AB12" s="149">
        <f>IFERROR(VLOOKUP(B12,Daily_Working_Do_Not_Delete!BM:BN,2,0))</f>
        <v>0.1100925926</v>
      </c>
      <c r="AC12" s="149">
        <f>IFERROR(VLOOKUP(B12,Daily_Working_Do_Not_Delete!BK:BL,2,0))</f>
        <v>0.07228009259</v>
      </c>
      <c r="AD12" s="149">
        <f>IFERROR(VLOOKUP(B12,Daily_Working_Do_Not_Delete!BI:BJ,2,0))</f>
        <v>0.01788194444</v>
      </c>
      <c r="AE12" s="149">
        <f>IFERROR(VLOOKUP(B12,Daily_Working_Do_Not_Delete!BG:BH,2,0))</f>
        <v>0.005810185185</v>
      </c>
      <c r="AF12" s="149">
        <f>IFERROR(VLOOKUP(B12,Daily_Working_Do_Not_Delete!BE:BF,2,0))</f>
        <v>0.02082175926</v>
      </c>
      <c r="AG12" s="149">
        <f>IFERROR(VLOOKUP(B12,Daily_Working_Do_Not_Delete!BC:BD,2,0))</f>
        <v>0.02133101852</v>
      </c>
      <c r="AH12" s="149">
        <f>IFERROR(VLOOKUP(B12,Daily_Working_Do_Not_Delete!BA:BB,2,0))</f>
        <v>0.0002083333333</v>
      </c>
      <c r="AI12" s="149">
        <f>IFERROR(VLOOKUP(B12,Daily_Working_Do_Not_Delete!AY:AZ,2,0))</f>
        <v>0.006574074074</v>
      </c>
      <c r="AJ12" s="149" t="str">
        <f>IFERROR(VLOOKUP(B12,Daily_Working_Do_Not_Delete!AW:AX,2,0))</f>
        <v/>
      </c>
      <c r="AK12" s="149" t="str">
        <f>IFERROR(VLOOKUP(B12,Daily_Working_Do_Not_Delete!AU:AV,2,0))</f>
        <v/>
      </c>
      <c r="AL12" s="149" t="str">
        <f>IFERROR(VLOOKUP(B12,Daily_Working_Do_Not_Delete!AS:AT,2,0))</f>
        <v/>
      </c>
      <c r="AM12" s="149" t="str">
        <f>IFERROR(VLOOKUP(B12,Daily_Working_Do_Not_Delete!AQ:AR,2,0))</f>
        <v/>
      </c>
      <c r="AN12" s="149" t="str">
        <f>IFERROR(VLOOKUP(B12,Daily_Working_Do_Not_Delete!AO:AP,2,0))</f>
        <v/>
      </c>
      <c r="AO12" s="149" t="str">
        <f>IFERROR(VLOOKUP(B12,Daily_Working_Do_Not_Delete!AM:AN,2,0))</f>
        <v/>
      </c>
      <c r="AP12" s="149" t="str">
        <f>IFERROR(VLOOKUP(B12,Daily_Working_Do_Not_Delete!AK:AL,2,0))</f>
        <v/>
      </c>
      <c r="AQ12" s="149" t="str">
        <f>IFERROR(VLOOKUP(B12,Daily_Working_Do_Not_Delete!AI:AJ,2,0))</f>
        <v/>
      </c>
      <c r="AR12" s="149" t="str">
        <f>IFERROR(VLOOKUP(B12,Daily_Working_Do_Not_Delete!AG:AH,2,0))</f>
        <v/>
      </c>
      <c r="AS12" s="149" t="str">
        <f>IFERROR(VLOOKUP(B12,Daily_Working_Do_Not_Delete!AE:AF,2,0))</f>
        <v/>
      </c>
      <c r="AT12" s="149" t="str">
        <f>IFERROR(VLOOKUP(B12,Daily_Working_Do_Not_Delete!AC:AD,2,0))</f>
        <v/>
      </c>
      <c r="AU12" s="149" t="str">
        <f>IFERROR(VLOOKUP(B12,Daily_Working_Do_Not_Delete!AA:AB,2,0))</f>
        <v/>
      </c>
      <c r="AV12" s="149" t="str">
        <f>IFERROR(VLOOKUP(B12,Daily_Working_Do_Not_Delete!Y:Z,2,0))</f>
        <v/>
      </c>
      <c r="AW12" s="149" t="str">
        <f>IFERROR(VLOOKUP(B12,Daily_Working_Do_Not_Delete!W:X,2,0))</f>
        <v/>
      </c>
      <c r="AX12" s="149" t="str">
        <f>IFERROR(VLOOKUP(B12,Daily_Working_Do_Not_Delete!U:V,2,0))</f>
        <v/>
      </c>
      <c r="AY12" s="149" t="str">
        <f>IFERROR(VLOOKUP(B12,Daily_Working_Do_Not_Delete!S:T,2,0))</f>
        <v/>
      </c>
      <c r="AZ12" s="149" t="str">
        <f>IFERROR(VLOOKUP(B12,Daily_Working_Do_Not_Delete!Q:R,2,0))</f>
        <v/>
      </c>
      <c r="BA12" s="149" t="str">
        <f>IFERROR(VLOOKUP(B12,Daily_Working_Do_Not_Delete!O:P,2,0))</f>
        <v/>
      </c>
      <c r="BB12" s="149" t="str">
        <f>IFERROR(VLOOKUP(B12,Daily_Working_Do_Not_Delete!M:N,2,0))</f>
        <v/>
      </c>
      <c r="BC12" s="149" t="str">
        <f>IFERROR(VLOOKUP(B12,Daily_Working_Do_Not_Delete!K:L,2,0))</f>
        <v/>
      </c>
      <c r="BD12" s="149" t="str">
        <f>IFERROR(VLOOKUP(B12,Daily_Working_Do_Not_Delete!I:J,2,0))</f>
        <v/>
      </c>
      <c r="BE12" s="149" t="str">
        <f>IFERROR(VLOOKUP(B12,Daily_Working_Do_Not_Delete!G:H,2,0))</f>
        <v/>
      </c>
      <c r="BF12" s="149">
        <f>IFERROR(VLOOKUP(B12,Daily_Working_Do_Not_Delete!E:F,2,0))</f>
        <v>0.001539351852</v>
      </c>
      <c r="BG12" s="149" t="str">
        <f>IFERROR(VLOOKUP(B12,Daily_Working_Do_Not_Delete!C:D,2,0))</f>
        <v/>
      </c>
      <c r="BH12" s="149" t="str">
        <f>IFERROR(VLOOKUP(B12,Daily_Working_Do_Not_Delete!A:B,2,0))</f>
        <v/>
      </c>
      <c r="BI12" s="154"/>
      <c r="BJ12" s="154"/>
      <c r="BK12" s="154"/>
      <c r="BL12" s="154"/>
      <c r="BM12" s="154"/>
      <c r="BN12" s="154"/>
      <c r="BO12" s="154"/>
      <c r="BP12" s="154"/>
      <c r="BQ12" s="154"/>
      <c r="BR12" s="154"/>
      <c r="BS12" s="154"/>
      <c r="BT12" s="154"/>
      <c r="BU12" s="154"/>
      <c r="BV12" s="154"/>
      <c r="BW12" s="154"/>
      <c r="BX12" s="154"/>
      <c r="BY12" s="154"/>
      <c r="BZ12" s="154"/>
      <c r="CA12" s="154"/>
      <c r="CB12" s="154"/>
      <c r="CC12" s="154"/>
      <c r="CD12" s="154"/>
      <c r="CE12" s="154"/>
      <c r="CF12" s="154"/>
      <c r="CG12" s="155"/>
      <c r="CH12" s="155"/>
      <c r="CI12" s="155"/>
      <c r="CJ12" s="155"/>
      <c r="CK12" s="155"/>
      <c r="CL12" s="155"/>
      <c r="CM12" s="155"/>
      <c r="CN12" s="155"/>
      <c r="CO12" s="155"/>
      <c r="CP12" s="155"/>
      <c r="CQ12" s="155"/>
      <c r="CR12" s="155"/>
      <c r="CS12" s="155"/>
      <c r="CT12" s="155"/>
      <c r="CU12" s="155"/>
      <c r="CV12" s="155"/>
      <c r="CW12" s="155"/>
      <c r="CX12" s="155"/>
      <c r="CY12" s="155"/>
      <c r="CZ12" s="155"/>
      <c r="DA12" s="155"/>
      <c r="DB12" s="155"/>
      <c r="DC12" s="155"/>
      <c r="DD12" s="155"/>
      <c r="DE12" s="155"/>
      <c r="DF12" s="155"/>
      <c r="DG12" s="155"/>
      <c r="DH12" s="155"/>
      <c r="DI12" s="155"/>
      <c r="DJ12" s="155"/>
      <c r="DK12" s="155"/>
      <c r="DL12" s="155"/>
      <c r="DM12" s="155"/>
      <c r="DN12" s="155"/>
      <c r="DO12" s="155"/>
      <c r="DP12" s="155"/>
      <c r="DQ12" s="155"/>
      <c r="DR12" s="155"/>
      <c r="DS12" s="155"/>
      <c r="DT12" s="155"/>
      <c r="DU12" s="155"/>
      <c r="DV12" s="155"/>
      <c r="DW12" s="155"/>
      <c r="DX12" s="155"/>
      <c r="DY12" s="155"/>
      <c r="DZ12" s="155"/>
      <c r="EA12" s="155"/>
      <c r="EB12" s="155"/>
      <c r="EC12" s="155"/>
      <c r="ED12" s="155"/>
      <c r="EE12" s="155"/>
      <c r="EF12" s="155"/>
      <c r="EG12" s="155"/>
      <c r="EH12" s="155"/>
      <c r="EI12" s="155"/>
      <c r="EJ12" s="155"/>
      <c r="EK12" s="155"/>
      <c r="EL12" s="155"/>
      <c r="EM12" s="155"/>
      <c r="EN12" s="155"/>
      <c r="EO12" s="155"/>
      <c r="EP12" s="155"/>
      <c r="EQ12" s="155"/>
      <c r="ER12" s="155"/>
      <c r="ES12" s="155"/>
      <c r="ET12" s="155"/>
      <c r="EU12" s="155"/>
      <c r="EV12" s="155"/>
      <c r="EW12" s="155"/>
      <c r="EX12" s="155"/>
      <c r="EY12" s="155"/>
      <c r="EZ12" s="155"/>
      <c r="FA12" s="155"/>
      <c r="FB12" s="155"/>
      <c r="FC12" s="155"/>
      <c r="FD12" s="155"/>
      <c r="FE12" s="155"/>
      <c r="FF12" s="155"/>
      <c r="FG12" s="155"/>
      <c r="FH12" s="155"/>
      <c r="FI12" s="155"/>
      <c r="FJ12" s="155"/>
      <c r="FK12" s="155"/>
      <c r="FL12" s="155"/>
      <c r="FM12" s="155"/>
      <c r="FN12" s="155"/>
      <c r="FO12" s="155"/>
      <c r="FP12" s="155"/>
      <c r="FQ12" s="155"/>
      <c r="FR12" s="155"/>
      <c r="FS12" s="155"/>
      <c r="FT12" s="155"/>
      <c r="FU12" s="155"/>
      <c r="FV12" s="155"/>
      <c r="FW12" s="155"/>
      <c r="FX12" s="155"/>
      <c r="FY12" s="155"/>
      <c r="FZ12" s="155"/>
      <c r="GA12" s="155"/>
      <c r="GB12" s="155"/>
      <c r="GC12" s="155"/>
      <c r="GD12" s="155"/>
      <c r="GE12" s="155"/>
      <c r="GF12" s="155"/>
      <c r="GG12" s="155"/>
      <c r="GH12" s="155"/>
      <c r="GI12" s="155"/>
      <c r="GJ12" s="155"/>
      <c r="GK12" s="155"/>
      <c r="GL12" s="155"/>
      <c r="GM12" s="155"/>
      <c r="GN12" s="155"/>
      <c r="GO12" s="155"/>
      <c r="GP12" s="155"/>
      <c r="GQ12" s="155"/>
      <c r="GR12" s="155"/>
      <c r="GS12" s="155"/>
      <c r="GT12" s="155"/>
      <c r="GU12" s="155"/>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row>
    <row r="13">
      <c r="A13" s="146" t="s">
        <v>7</v>
      </c>
      <c r="B13" s="146" t="s">
        <v>22</v>
      </c>
      <c r="C13" s="137" t="s">
        <v>421</v>
      </c>
      <c r="D13" s="148">
        <f t="shared" si="3"/>
        <v>8.545115741</v>
      </c>
      <c r="E13" s="149">
        <f>IFERROR(VLOOKUP(B13,Daily_Working_Do_Not_Delete!DG:DH,2,0))</f>
        <v>3.332326389</v>
      </c>
      <c r="F13" s="149">
        <f>IFERROR(VLOOKUP(B13,Daily_Working_Do_Not_Delete!DE:DF,2,0))</f>
        <v>0.1111111111</v>
      </c>
      <c r="G13" s="149">
        <f>IFERROR(VLOOKUP(B13,Daily_Working_Do_Not_Delete!DC:DD,2,0))</f>
        <v>0.07747685185</v>
      </c>
      <c r="H13" s="149">
        <f>IFERROR(VLOOKUP(B13,Daily_Working_Do_Not_Delete!DA:DB,2,0))</f>
        <v>0.2204513889</v>
      </c>
      <c r="I13" s="149">
        <f>IFERROR(VLOOKUP(B13,Daily_Working_Do_Not_Delete!CY:CZ,2,0))</f>
        <v>0.2943981481</v>
      </c>
      <c r="J13" s="149">
        <f>IFERROR(VLOOKUP(B13,Daily_Working_Do_Not_Delete!CW:CX,2,0))</f>
        <v>0.171087963</v>
      </c>
      <c r="K13" s="149">
        <f>IFERROR(VLOOKUP(B13,Daily_Working_Do_Not_Delete!CU:CV,2,0))</f>
        <v>0.1492476852</v>
      </c>
      <c r="L13" s="149">
        <f>IFERROR(VLOOKUP(B13,Daily_Working_Do_Not_Delete!CS:CT,2,0))</f>
        <v>0.1875694444</v>
      </c>
      <c r="M13" s="149">
        <f>IFERROR(VLOOKUP(B13,Daily_Working_Do_Not_Delete!CQ:CR,2,0))</f>
        <v>0.09782407407</v>
      </c>
      <c r="N13" s="149">
        <f>IFERROR(VLOOKUP(B13,Daily_Working_Do_Not_Delete!CO:CP,2,0))</f>
        <v>0.2472222222</v>
      </c>
      <c r="O13" s="149">
        <f>IFERROR(VLOOKUP(B13,Daily_Working_Do_Not_Delete!CM:CN,2,0))</f>
        <v>0.1199537037</v>
      </c>
      <c r="P13" s="149">
        <f>IFERROR(VLOOKUP(B13,Daily_Working_Do_Not_Delete!CK:CL,2,0))</f>
        <v>0.2280902778</v>
      </c>
      <c r="Q13" s="149">
        <f>IFERROR(VLOOKUP(B13,Daily_Working_Do_Not_Delete!CI:CJ,2,0))</f>
        <v>0.422962963</v>
      </c>
      <c r="R13" s="149">
        <f>IFERROR(VLOOKUP(B13,Daily_Working_Do_Not_Delete!CG:CH,2,0))</f>
        <v>0.1683217593</v>
      </c>
      <c r="S13" s="149">
        <f>IFERROR(VLOOKUP(B13,Daily_Working_Do_Not_Delete!CE:CF,2,0))</f>
        <v>0.1310185185</v>
      </c>
      <c r="T13" s="149">
        <f>IFERROR(VLOOKUP(B13,Daily_Working_Do_Not_Delete!CC:CD,2,0))</f>
        <v>0.3215046296</v>
      </c>
      <c r="U13" s="149">
        <f>IFERROR(VLOOKUP(B13,Daily_Working_Do_Not_Delete!CA:CB,2,0))</f>
        <v>0.1999768519</v>
      </c>
      <c r="V13" s="149">
        <f>IFERROR(VLOOKUP(B13,Daily_Working_Do_Not_Delete!BY:BZ,2,0))</f>
        <v>0.1251967593</v>
      </c>
      <c r="W13" s="149">
        <f>IFERROR(VLOOKUP(B13,Daily_Working_Do_Not_Delete!BW:BX,2,0))</f>
        <v>0.1376736111</v>
      </c>
      <c r="X13" s="149">
        <f>IFERROR(VLOOKUP(B13,Daily_Working_Do_Not_Delete!BU:BV,2,0))</f>
        <v>0.1197453704</v>
      </c>
      <c r="Y13" s="149">
        <f>IFERROR(VLOOKUP(B13,Daily_Working_Do_Not_Delete!BS:BT,2,0))</f>
        <v>0.5650810185</v>
      </c>
      <c r="Z13" s="149">
        <f>IFERROR(VLOOKUP(B13,Daily_Working_Do_Not_Delete!BQ:BR,2,0))</f>
        <v>0.6453587963</v>
      </c>
      <c r="AA13" s="149">
        <f>IFERROR(VLOOKUP(B13,Daily_Working_Do_Not_Delete!BO:BP,2,0))</f>
        <v>0.1353009259</v>
      </c>
      <c r="AB13" s="149">
        <f>IFERROR(VLOOKUP(B13,Daily_Working_Do_Not_Delete!BM:BN,2,0))</f>
        <v>0.0905787037</v>
      </c>
      <c r="AC13" s="149">
        <f>IFERROR(VLOOKUP(B13,Daily_Working_Do_Not_Delete!BK:BL,2,0))</f>
        <v>0.05087962963</v>
      </c>
      <c r="AD13" s="149">
        <f>IFERROR(VLOOKUP(B13,Daily_Working_Do_Not_Delete!BI:BJ,2,0))</f>
        <v>0.04622685185</v>
      </c>
      <c r="AE13" s="149">
        <f>IFERROR(VLOOKUP(B13,Daily_Working_Do_Not_Delete!BG:BH,2,0))</f>
        <v>0.02486111111</v>
      </c>
      <c r="AF13" s="149">
        <f>IFERROR(VLOOKUP(B13,Daily_Working_Do_Not_Delete!BE:BF,2,0))</f>
        <v>0.02592592593</v>
      </c>
      <c r="AG13" s="149">
        <f>IFERROR(VLOOKUP(B13,Daily_Working_Do_Not_Delete!BC:BD,2,0))</f>
        <v>0.03739583333</v>
      </c>
      <c r="AH13" s="149">
        <f>IFERROR(VLOOKUP(B13,Daily_Working_Do_Not_Delete!BA:BB,2,0))</f>
        <v>0.0002199074074</v>
      </c>
      <c r="AI13" s="149">
        <f>IFERROR(VLOOKUP(B13,Daily_Working_Do_Not_Delete!AY:AZ,2,0))</f>
        <v>0.0172337963</v>
      </c>
      <c r="AJ13" s="149">
        <f>IFERROR(VLOOKUP(B13,Daily_Working_Do_Not_Delete!AW:AX,2,0))</f>
        <v>0.03122685185</v>
      </c>
      <c r="AK13" s="149" t="str">
        <f>IFERROR(VLOOKUP(B13,Daily_Working_Do_Not_Delete!AU:AV,2,0))</f>
        <v/>
      </c>
      <c r="AL13" s="149" t="str">
        <f>IFERROR(VLOOKUP(B13,Daily_Working_Do_Not_Delete!AS:AT,2,0))</f>
        <v/>
      </c>
      <c r="AM13" s="149" t="str">
        <f>IFERROR(VLOOKUP(B13,Daily_Working_Do_Not_Delete!AQ:AR,2,0))</f>
        <v/>
      </c>
      <c r="AN13" s="149" t="str">
        <f>IFERROR(VLOOKUP(B13,Daily_Working_Do_Not_Delete!AO:AP,2,0))</f>
        <v/>
      </c>
      <c r="AO13" s="149" t="str">
        <f>IFERROR(VLOOKUP(B13,Daily_Working_Do_Not_Delete!AM:AN,2,0))</f>
        <v/>
      </c>
      <c r="AP13" s="149">
        <f>IFERROR(VLOOKUP(B13,Daily_Working_Do_Not_Delete!AK:AL,2,0))</f>
        <v>0.007881944444</v>
      </c>
      <c r="AQ13" s="149" t="str">
        <f>IFERROR(VLOOKUP(B13,Daily_Working_Do_Not_Delete!AI:AJ,2,0))</f>
        <v/>
      </c>
      <c r="AR13" s="149" t="str">
        <f>IFERROR(VLOOKUP(B13,Daily_Working_Do_Not_Delete!AG:AH,2,0))</f>
        <v/>
      </c>
      <c r="AS13" s="149" t="str">
        <f>IFERROR(VLOOKUP(B13,Daily_Working_Do_Not_Delete!AE:AF,2,0))</f>
        <v/>
      </c>
      <c r="AT13" s="149" t="str">
        <f>IFERROR(VLOOKUP(B13,Daily_Working_Do_Not_Delete!AC:AD,2,0))</f>
        <v/>
      </c>
      <c r="AU13" s="149" t="str">
        <f>IFERROR(VLOOKUP(B13,Daily_Working_Do_Not_Delete!AA:AB,2,0))</f>
        <v/>
      </c>
      <c r="AV13" s="149" t="str">
        <f>IFERROR(VLOOKUP(B13,Daily_Working_Do_Not_Delete!Y:Z,2,0))</f>
        <v/>
      </c>
      <c r="AW13" s="149" t="str">
        <f>IFERROR(VLOOKUP(B13,Daily_Working_Do_Not_Delete!W:X,2,0))</f>
        <v/>
      </c>
      <c r="AX13" s="149" t="str">
        <f>IFERROR(VLOOKUP(B13,Daily_Working_Do_Not_Delete!U:V,2,0))</f>
        <v/>
      </c>
      <c r="AY13" s="149" t="str">
        <f>IFERROR(VLOOKUP(B13,Daily_Working_Do_Not_Delete!S:T,2,0))</f>
        <v/>
      </c>
      <c r="AZ13" s="149">
        <f>IFERROR(VLOOKUP(B13,Daily_Working_Do_Not_Delete!Q:R,2,0))</f>
        <v>0.001863425926</v>
      </c>
      <c r="BA13" s="149">
        <f>IFERROR(VLOOKUP(B13,Daily_Working_Do_Not_Delete!O:P,2,0))</f>
        <v>0.001921296296</v>
      </c>
      <c r="BB13" s="149" t="str">
        <f>IFERROR(VLOOKUP(B13,Daily_Working_Do_Not_Delete!M:N,2,0))</f>
        <v/>
      </c>
      <c r="BC13" s="149" t="str">
        <f>IFERROR(VLOOKUP(B13,Daily_Working_Do_Not_Delete!K:L,2,0))</f>
        <v/>
      </c>
      <c r="BD13" s="149" t="str">
        <f>IFERROR(VLOOKUP(B13,Daily_Working_Do_Not_Delete!I:J,2,0))</f>
        <v/>
      </c>
      <c r="BE13" s="149" t="str">
        <f>IFERROR(VLOOKUP(B13,Daily_Working_Do_Not_Delete!G:H,2,0))</f>
        <v/>
      </c>
      <c r="BF13" s="149" t="str">
        <f>IFERROR(VLOOKUP(B13,Daily_Working_Do_Not_Delete!E:F,2,0))</f>
        <v/>
      </c>
      <c r="BG13" s="149" t="str">
        <f>IFERROR(VLOOKUP(B13,Daily_Working_Do_Not_Delete!C:D,2,0))</f>
        <v/>
      </c>
      <c r="BH13" s="149" t="str">
        <f>IFERROR(VLOOKUP(B13,Daily_Working_Do_Not_Delete!A:B,2,0))</f>
        <v/>
      </c>
      <c r="BI13" s="150"/>
      <c r="BJ13" s="150"/>
      <c r="BK13" s="150"/>
      <c r="BL13" s="150"/>
      <c r="BM13" s="150"/>
      <c r="BN13" s="150"/>
      <c r="BO13" s="150"/>
      <c r="BP13" s="150"/>
      <c r="BQ13" s="150"/>
      <c r="BR13" s="150"/>
      <c r="BS13" s="150"/>
      <c r="BT13" s="150"/>
      <c r="BU13" s="150"/>
      <c r="BV13" s="150"/>
      <c r="BW13" s="150"/>
      <c r="BX13" s="150"/>
      <c r="BY13" s="150"/>
      <c r="BZ13" s="150"/>
      <c r="CA13" s="150"/>
      <c r="CB13" s="150"/>
      <c r="CC13" s="150"/>
      <c r="CD13" s="150"/>
      <c r="CE13" s="150"/>
      <c r="CF13" s="150"/>
    </row>
    <row r="14">
      <c r="A14" s="146" t="s">
        <v>7</v>
      </c>
      <c r="B14" s="146" t="s">
        <v>24</v>
      </c>
      <c r="C14" s="137" t="s">
        <v>421</v>
      </c>
      <c r="D14" s="148">
        <f t="shared" si="3"/>
        <v>6.04224537</v>
      </c>
      <c r="E14" s="149">
        <f>IFERROR(VLOOKUP(B14,Daily_Working_Do_Not_Delete!DG:DH,2,0))</f>
        <v>1.007800926</v>
      </c>
      <c r="F14" s="149">
        <f>IFERROR(VLOOKUP(B14,Daily_Working_Do_Not_Delete!DE:DF,2,0))</f>
        <v>0.01881944444</v>
      </c>
      <c r="G14" s="149">
        <f>IFERROR(VLOOKUP(B14,Daily_Working_Do_Not_Delete!DC:DD,2,0))</f>
        <v>0.003587962963</v>
      </c>
      <c r="H14" s="149">
        <f>IFERROR(VLOOKUP(B14,Daily_Working_Do_Not_Delete!DA:DB,2,0))</f>
        <v>0.02071759259</v>
      </c>
      <c r="I14" s="149">
        <f>IFERROR(VLOOKUP(B14,Daily_Working_Do_Not_Delete!CY:CZ,2,0))</f>
        <v>0.03134259259</v>
      </c>
      <c r="J14" s="149">
        <f>IFERROR(VLOOKUP(B14,Daily_Working_Do_Not_Delete!CW:CX,2,0))</f>
        <v>0.01296296296</v>
      </c>
      <c r="K14" s="149">
        <f>IFERROR(VLOOKUP(B14,Daily_Working_Do_Not_Delete!CU:CV,2,0))</f>
        <v>0.0234375</v>
      </c>
      <c r="L14" s="149">
        <f>IFERROR(VLOOKUP(B14,Daily_Working_Do_Not_Delete!CS:CT,2,0))</f>
        <v>0.01633101852</v>
      </c>
      <c r="M14" s="149">
        <f>IFERROR(VLOOKUP(B14,Daily_Working_Do_Not_Delete!CQ:CR,2,0))</f>
        <v>0.001157407407</v>
      </c>
      <c r="N14" s="149">
        <f>IFERROR(VLOOKUP(B14,Daily_Working_Do_Not_Delete!CO:CP,2,0))</f>
        <v>0.04082175926</v>
      </c>
      <c r="O14" s="149">
        <f>IFERROR(VLOOKUP(B14,Daily_Working_Do_Not_Delete!CM:CN,2,0))</f>
        <v>0.01365740741</v>
      </c>
      <c r="P14" s="149">
        <f>IFERROR(VLOOKUP(B14,Daily_Working_Do_Not_Delete!CK:CL,2,0))</f>
        <v>0.07303240741</v>
      </c>
      <c r="Q14" s="149">
        <f>IFERROR(VLOOKUP(B14,Daily_Working_Do_Not_Delete!CI:CJ,2,0))</f>
        <v>0.1369791667</v>
      </c>
      <c r="R14" s="149">
        <f>IFERROR(VLOOKUP(B14,Daily_Working_Do_Not_Delete!CG:CH,2,0))</f>
        <v>0.07983796296</v>
      </c>
      <c r="S14" s="149">
        <f>IFERROR(VLOOKUP(B14,Daily_Working_Do_Not_Delete!CE:CF,2,0))</f>
        <v>0.2253819444</v>
      </c>
      <c r="T14" s="149">
        <f>IFERROR(VLOOKUP(B14,Daily_Working_Do_Not_Delete!CC:CD,2,0))</f>
        <v>0.7668402778</v>
      </c>
      <c r="U14" s="149">
        <f>IFERROR(VLOOKUP(B14,Daily_Working_Do_Not_Delete!CA:CB,2,0))</f>
        <v>0.6822453704</v>
      </c>
      <c r="V14" s="149">
        <f>IFERROR(VLOOKUP(B14,Daily_Working_Do_Not_Delete!BY:BZ,2,0))</f>
        <v>0.4410763889</v>
      </c>
      <c r="W14" s="149">
        <f>IFERROR(VLOOKUP(B14,Daily_Working_Do_Not_Delete!BW:BX,2,0))</f>
        <v>0.3283101852</v>
      </c>
      <c r="X14" s="149">
        <f>IFERROR(VLOOKUP(B14,Daily_Working_Do_Not_Delete!BU:BV,2,0))</f>
        <v>0.322650463</v>
      </c>
      <c r="Y14" s="149">
        <f>IFERROR(VLOOKUP(B14,Daily_Working_Do_Not_Delete!BS:BT,2,0))</f>
        <v>0.2454166667</v>
      </c>
      <c r="Z14" s="149">
        <f>IFERROR(VLOOKUP(B14,Daily_Working_Do_Not_Delete!BQ:BR,2,0))</f>
        <v>0.2498148148</v>
      </c>
      <c r="AA14" s="149">
        <f>IFERROR(VLOOKUP(B14,Daily_Working_Do_Not_Delete!BO:BP,2,0))</f>
        <v>0.1869675926</v>
      </c>
      <c r="AB14" s="149">
        <f>IFERROR(VLOOKUP(B14,Daily_Working_Do_Not_Delete!BM:BN,2,0))</f>
        <v>0.1727314815</v>
      </c>
      <c r="AC14" s="149">
        <f>IFERROR(VLOOKUP(B14,Daily_Working_Do_Not_Delete!BK:BL,2,0))</f>
        <v>0.1061921296</v>
      </c>
      <c r="AD14" s="149">
        <f>IFERROR(VLOOKUP(B14,Daily_Working_Do_Not_Delete!BI:BJ,2,0))</f>
        <v>0.08084490741</v>
      </c>
      <c r="AE14" s="149">
        <f>IFERROR(VLOOKUP(B14,Daily_Working_Do_Not_Delete!BG:BH,2,0))</f>
        <v>0.2112152778</v>
      </c>
      <c r="AF14" s="149">
        <f>IFERROR(VLOOKUP(B14,Daily_Working_Do_Not_Delete!BE:BF,2,0))</f>
        <v>0.07386574074</v>
      </c>
      <c r="AG14" s="149">
        <f>IFERROR(VLOOKUP(B14,Daily_Working_Do_Not_Delete!BC:BD,2,0))</f>
        <v>0.07100694444</v>
      </c>
      <c r="AH14" s="149">
        <f>IFERROR(VLOOKUP(B14,Daily_Working_Do_Not_Delete!BA:BB,2,0))</f>
        <v>0.09420138889</v>
      </c>
      <c r="AI14" s="149">
        <f>IFERROR(VLOOKUP(B14,Daily_Working_Do_Not_Delete!AY:AZ,2,0))</f>
        <v>0.01293981481</v>
      </c>
      <c r="AJ14" s="149">
        <f>IFERROR(VLOOKUP(B14,Daily_Working_Do_Not_Delete!AW:AX,2,0))</f>
        <v>0.0002546296296</v>
      </c>
      <c r="AK14" s="149">
        <f>IFERROR(VLOOKUP(B14,Daily_Working_Do_Not_Delete!AU:AV,2,0))</f>
        <v>0.0318287037</v>
      </c>
      <c r="AL14" s="149">
        <f>IFERROR(VLOOKUP(B14,Daily_Working_Do_Not_Delete!AS:AT,2,0))</f>
        <v>0.02075231481</v>
      </c>
      <c r="AM14" s="149">
        <f>IFERROR(VLOOKUP(B14,Daily_Working_Do_Not_Delete!AQ:AR,2,0))</f>
        <v>0.1587152778</v>
      </c>
      <c r="AN14" s="149">
        <f>IFERROR(VLOOKUP(B14,Daily_Working_Do_Not_Delete!AO:AP,2,0))</f>
        <v>0.001319444444</v>
      </c>
      <c r="AO14" s="149">
        <f>IFERROR(VLOOKUP(B14,Daily_Working_Do_Not_Delete!AM:AN,2,0))</f>
        <v>0.0006481481481</v>
      </c>
      <c r="AP14" s="149">
        <f>IFERROR(VLOOKUP(B14,Daily_Working_Do_Not_Delete!AK:AL,2,0))</f>
        <v>0.0480787037</v>
      </c>
      <c r="AQ14" s="149" t="str">
        <f>IFERROR(VLOOKUP(B14,Daily_Working_Do_Not_Delete!AI:AJ,2,0))</f>
        <v/>
      </c>
      <c r="AR14" s="149">
        <f>IFERROR(VLOOKUP(B14,Daily_Working_Do_Not_Delete!AG:AH,2,0))</f>
        <v>0.01008101852</v>
      </c>
      <c r="AS14" s="149" t="str">
        <f>IFERROR(VLOOKUP(B14,Daily_Working_Do_Not_Delete!AE:AF,2,0))</f>
        <v/>
      </c>
      <c r="AT14" s="149" t="str">
        <f>IFERROR(VLOOKUP(B14,Daily_Working_Do_Not_Delete!AC:AD,2,0))</f>
        <v/>
      </c>
      <c r="AU14" s="149" t="str">
        <f>IFERROR(VLOOKUP(B14,Daily_Working_Do_Not_Delete!AA:AB,2,0))</f>
        <v/>
      </c>
      <c r="AV14" s="149" t="str">
        <f>IFERROR(VLOOKUP(B14,Daily_Working_Do_Not_Delete!Y:Z,2,0))</f>
        <v/>
      </c>
      <c r="AW14" s="149" t="str">
        <f>IFERROR(VLOOKUP(B14,Daily_Working_Do_Not_Delete!W:X,2,0))</f>
        <v/>
      </c>
      <c r="AX14" s="149" t="str">
        <f>IFERROR(VLOOKUP(B14,Daily_Working_Do_Not_Delete!U:V,2,0))</f>
        <v/>
      </c>
      <c r="AY14" s="149" t="str">
        <f>IFERROR(VLOOKUP(B14,Daily_Working_Do_Not_Delete!S:T,2,0))</f>
        <v/>
      </c>
      <c r="AZ14" s="149">
        <f>IFERROR(VLOOKUP(B14,Daily_Working_Do_Not_Delete!Q:R,2,0))</f>
        <v>0.01518518519</v>
      </c>
      <c r="BA14" s="149">
        <f>IFERROR(VLOOKUP(B14,Daily_Working_Do_Not_Delete!O:P,2,0))</f>
        <v>0.003194444444</v>
      </c>
      <c r="BB14" s="149" t="str">
        <f>IFERROR(VLOOKUP(B14,Daily_Working_Do_Not_Delete!M:N,2,0))</f>
        <v/>
      </c>
      <c r="BC14" s="149" t="str">
        <f>IFERROR(VLOOKUP(B14,Daily_Working_Do_Not_Delete!K:L,2,0))</f>
        <v/>
      </c>
      <c r="BD14" s="149" t="str">
        <f>IFERROR(VLOOKUP(B14,Daily_Working_Do_Not_Delete!I:J,2,0))</f>
        <v/>
      </c>
      <c r="BE14" s="149" t="str">
        <f>IFERROR(VLOOKUP(B14,Daily_Working_Do_Not_Delete!G:H,2,0))</f>
        <v/>
      </c>
      <c r="BF14" s="149" t="str">
        <f>IFERROR(VLOOKUP(B14,Daily_Working_Do_Not_Delete!E:F,2,0))</f>
        <v/>
      </c>
      <c r="BG14" s="149" t="str">
        <f>IFERROR(VLOOKUP(B14,Daily_Working_Do_Not_Delete!C:D,2,0))</f>
        <v/>
      </c>
      <c r="BH14" s="149" t="str">
        <f>IFERROR(VLOOKUP(B14,Daily_Working_Do_Not_Delete!A:B,2,0))</f>
        <v/>
      </c>
      <c r="BI14" s="150"/>
      <c r="BJ14" s="150"/>
      <c r="BK14" s="150"/>
      <c r="BL14" s="150"/>
      <c r="BM14" s="150"/>
      <c r="BN14" s="150"/>
      <c r="BO14" s="150"/>
      <c r="BP14" s="150"/>
      <c r="BQ14" s="150"/>
      <c r="BR14" s="150"/>
      <c r="BS14" s="150"/>
      <c r="BT14" s="150"/>
      <c r="BU14" s="150"/>
      <c r="BV14" s="150"/>
      <c r="BW14" s="150"/>
      <c r="BX14" s="150"/>
      <c r="BY14" s="150"/>
      <c r="BZ14" s="150"/>
      <c r="CA14" s="150"/>
      <c r="CB14" s="150"/>
      <c r="CC14" s="150"/>
      <c r="CD14" s="150"/>
      <c r="CE14" s="150"/>
      <c r="CF14" s="150"/>
    </row>
    <row r="15">
      <c r="A15" s="146" t="s">
        <v>7</v>
      </c>
      <c r="B15" s="156" t="s">
        <v>25</v>
      </c>
      <c r="C15" s="137" t="s">
        <v>421</v>
      </c>
      <c r="D15" s="148">
        <f t="shared" si="3"/>
        <v>9.32068287</v>
      </c>
      <c r="E15" s="149">
        <f>IFERROR(VLOOKUP(B15,Daily_Working_Do_Not_Delete!DG:DH,2,0))</f>
        <v>3.742511574</v>
      </c>
      <c r="F15" s="149">
        <f>IFERROR(VLOOKUP(B15,Daily_Working_Do_Not_Delete!DE:DF,2,0))</f>
        <v>0.04834490741</v>
      </c>
      <c r="G15" s="149">
        <f>IFERROR(VLOOKUP(B15,Daily_Working_Do_Not_Delete!DC:DD,2,0))</f>
        <v>0.003935185185</v>
      </c>
      <c r="H15" s="149" t="str">
        <f>IFERROR(VLOOKUP(B15,Daily_Working_Do_Not_Delete!DA:DB,2,0))</f>
        <v/>
      </c>
      <c r="I15" s="149">
        <f>IFERROR(VLOOKUP(B15,Daily_Working_Do_Not_Delete!CY:CZ,2,0))</f>
        <v>0.03184027778</v>
      </c>
      <c r="J15" s="149">
        <f>IFERROR(VLOOKUP(B15,Daily_Working_Do_Not_Delete!CW:CX,2,0))</f>
        <v>0.01210648148</v>
      </c>
      <c r="K15" s="149">
        <f>IFERROR(VLOOKUP(B15,Daily_Working_Do_Not_Delete!CU:CV,2,0))</f>
        <v>0.04884259259</v>
      </c>
      <c r="L15" s="149">
        <f>IFERROR(VLOOKUP(B15,Daily_Working_Do_Not_Delete!CS:CT,2,0))</f>
        <v>0.004594907407</v>
      </c>
      <c r="M15" s="149">
        <f>IFERROR(VLOOKUP(B15,Daily_Working_Do_Not_Delete!CQ:CR,2,0))</f>
        <v>0.02109953704</v>
      </c>
      <c r="N15" s="149">
        <f>IFERROR(VLOOKUP(B15,Daily_Working_Do_Not_Delete!CO:CP,2,0))</f>
        <v>0.007002314815</v>
      </c>
      <c r="O15" s="149">
        <f>IFERROR(VLOOKUP(B15,Daily_Working_Do_Not_Delete!CM:CN,2,0))</f>
        <v>0.02528935185</v>
      </c>
      <c r="P15" s="149">
        <f>IFERROR(VLOOKUP(B15,Daily_Working_Do_Not_Delete!CK:CL,2,0))</f>
        <v>0.04074074074</v>
      </c>
      <c r="Q15" s="149">
        <f>IFERROR(VLOOKUP(B15,Daily_Working_Do_Not_Delete!CI:CJ,2,0))</f>
        <v>0.07241898148</v>
      </c>
      <c r="R15" s="149">
        <f>IFERROR(VLOOKUP(B15,Daily_Working_Do_Not_Delete!CG:CH,2,0))</f>
        <v>0.05731481481</v>
      </c>
      <c r="S15" s="149">
        <f>IFERROR(VLOOKUP(B15,Daily_Working_Do_Not_Delete!CE:CF,2,0))</f>
        <v>0.1114699074</v>
      </c>
      <c r="T15" s="149">
        <f>IFERROR(VLOOKUP(B15,Daily_Working_Do_Not_Delete!CC:CD,2,0))</f>
        <v>0.04152777778</v>
      </c>
      <c r="U15" s="149">
        <f>IFERROR(VLOOKUP(B15,Daily_Working_Do_Not_Delete!CA:CB,2,0))</f>
        <v>0.05748842593</v>
      </c>
      <c r="V15" s="149">
        <f>IFERROR(VLOOKUP(B15,Daily_Working_Do_Not_Delete!BY:BZ,2,0))</f>
        <v>0.1177083333</v>
      </c>
      <c r="W15" s="149">
        <f>IFERROR(VLOOKUP(B15,Daily_Working_Do_Not_Delete!BW:BX,2,0))</f>
        <v>0.2347800926</v>
      </c>
      <c r="X15" s="149">
        <f>IFERROR(VLOOKUP(B15,Daily_Working_Do_Not_Delete!BU:BV,2,0))</f>
        <v>0.2141666667</v>
      </c>
      <c r="Y15" s="149">
        <f>IFERROR(VLOOKUP(B15,Daily_Working_Do_Not_Delete!BS:BT,2,0))</f>
        <v>0.1602083333</v>
      </c>
      <c r="Z15" s="149">
        <f>IFERROR(VLOOKUP(B15,Daily_Working_Do_Not_Delete!BQ:BR,2,0))</f>
        <v>0.1350810185</v>
      </c>
      <c r="AA15" s="149">
        <f>IFERROR(VLOOKUP(B15,Daily_Working_Do_Not_Delete!BO:BP,2,0))</f>
        <v>0.1740740741</v>
      </c>
      <c r="AB15" s="149">
        <f>IFERROR(VLOOKUP(B15,Daily_Working_Do_Not_Delete!BM:BN,2,0))</f>
        <v>0.232650463</v>
      </c>
      <c r="AC15" s="149">
        <f>IFERROR(VLOOKUP(B15,Daily_Working_Do_Not_Delete!BK:BL,2,0))</f>
        <v>0.3286805556</v>
      </c>
      <c r="AD15" s="149">
        <f>IFERROR(VLOOKUP(B15,Daily_Working_Do_Not_Delete!BI:BJ,2,0))</f>
        <v>0.223912037</v>
      </c>
      <c r="AE15" s="149">
        <f>IFERROR(VLOOKUP(B15,Daily_Working_Do_Not_Delete!BG:BH,2,0))</f>
        <v>0.5268865741</v>
      </c>
      <c r="AF15" s="149">
        <f>IFERROR(VLOOKUP(B15,Daily_Working_Do_Not_Delete!BE:BF,2,0))</f>
        <v>0.8927893519</v>
      </c>
      <c r="AG15" s="149">
        <f>IFERROR(VLOOKUP(B15,Daily_Working_Do_Not_Delete!BC:BD,2,0))</f>
        <v>0.6225925926</v>
      </c>
      <c r="AH15" s="149">
        <f>IFERROR(VLOOKUP(B15,Daily_Working_Do_Not_Delete!BA:BB,2,0))</f>
        <v>0.445</v>
      </c>
      <c r="AI15" s="149">
        <f>IFERROR(VLOOKUP(B15,Daily_Working_Do_Not_Delete!AY:AZ,2,0))</f>
        <v>0.2978703704</v>
      </c>
      <c r="AJ15" s="149">
        <f>IFERROR(VLOOKUP(B15,Daily_Working_Do_Not_Delete!AW:AX,2,0))</f>
        <v>0.08398148148</v>
      </c>
      <c r="AK15" s="149">
        <f>IFERROR(VLOOKUP(B15,Daily_Working_Do_Not_Delete!AU:AV,2,0))</f>
        <v>0.120162037</v>
      </c>
      <c r="AL15" s="149">
        <f>IFERROR(VLOOKUP(B15,Daily_Working_Do_Not_Delete!AS:AT,2,0))</f>
        <v>0.07061342593</v>
      </c>
      <c r="AM15" s="149">
        <f>IFERROR(VLOOKUP(B15,Daily_Working_Do_Not_Delete!AQ:AR,2,0))</f>
        <v>0.02083333333</v>
      </c>
      <c r="AN15" s="149">
        <f>IFERROR(VLOOKUP(B15,Daily_Working_Do_Not_Delete!AO:AP,2,0))</f>
        <v>0.0003009259259</v>
      </c>
      <c r="AO15" s="149">
        <f>IFERROR(VLOOKUP(B15,Daily_Working_Do_Not_Delete!AM:AN,2,0))</f>
        <v>0.02269675926</v>
      </c>
      <c r="AP15" s="149">
        <f>IFERROR(VLOOKUP(B15,Daily_Working_Do_Not_Delete!AK:AL,2,0))</f>
        <v>0.02712962963</v>
      </c>
      <c r="AQ15" s="149">
        <f>IFERROR(VLOOKUP(B15,Daily_Working_Do_Not_Delete!AI:AJ,2,0))</f>
        <v>0.03153935185</v>
      </c>
      <c r="AR15" s="149">
        <f>IFERROR(VLOOKUP(B15,Daily_Working_Do_Not_Delete!AG:AH,2,0))</f>
        <v>0.003113425926</v>
      </c>
      <c r="AS15" s="149">
        <f>IFERROR(VLOOKUP(B15,Daily_Working_Do_Not_Delete!AE:AF,2,0))</f>
        <v>0.0002199074074</v>
      </c>
      <c r="AT15" s="149">
        <f>IFERROR(VLOOKUP(B15,Daily_Working_Do_Not_Delete!AC:AD,2,0))</f>
        <v>0.0001967592593</v>
      </c>
      <c r="AU15" s="149">
        <f>IFERROR(VLOOKUP(B15,Daily_Working_Do_Not_Delete!AA:AB,2,0))</f>
        <v>0.001226851852</v>
      </c>
      <c r="AV15" s="149" t="str">
        <f>IFERROR(VLOOKUP(B15,Daily_Working_Do_Not_Delete!Y:Z,2,0))</f>
        <v/>
      </c>
      <c r="AW15" s="149" t="str">
        <f>IFERROR(VLOOKUP(B15,Daily_Working_Do_Not_Delete!W:X,2,0))</f>
        <v/>
      </c>
      <c r="AX15" s="149" t="str">
        <f>IFERROR(VLOOKUP(B15,Daily_Working_Do_Not_Delete!U:V,2,0))</f>
        <v/>
      </c>
      <c r="AY15" s="149" t="str">
        <f>IFERROR(VLOOKUP(B15,Daily_Working_Do_Not_Delete!S:T,2,0))</f>
        <v/>
      </c>
      <c r="AZ15" s="149" t="str">
        <f>IFERROR(VLOOKUP(B15,Daily_Working_Do_Not_Delete!Q:R,2,0))</f>
        <v/>
      </c>
      <c r="BA15" s="149" t="str">
        <f>IFERROR(VLOOKUP(B15,Daily_Working_Do_Not_Delete!O:P,2,0))</f>
        <v/>
      </c>
      <c r="BB15" s="149" t="str">
        <f>IFERROR(VLOOKUP(B15,Daily_Working_Do_Not_Delete!M:N,2,0))</f>
        <v/>
      </c>
      <c r="BC15" s="149" t="str">
        <f>IFERROR(VLOOKUP(B15,Daily_Working_Do_Not_Delete!K:L,2,0))</f>
        <v/>
      </c>
      <c r="BD15" s="149" t="str">
        <f>IFERROR(VLOOKUP(B15,Daily_Working_Do_Not_Delete!I:J,2,0))</f>
        <v/>
      </c>
      <c r="BE15" s="149">
        <f>IFERROR(VLOOKUP(B15,Daily_Working_Do_Not_Delete!G:H,2,0))</f>
        <v>0.005740740741</v>
      </c>
      <c r="BF15" s="149" t="str">
        <f>IFERROR(VLOOKUP(B15,Daily_Working_Do_Not_Delete!E:F,2,0))</f>
        <v/>
      </c>
      <c r="BG15" s="149" t="str">
        <f>IFERROR(VLOOKUP(B15,Daily_Working_Do_Not_Delete!C:D,2,0))</f>
        <v/>
      </c>
      <c r="BH15" s="149" t="str">
        <f>IFERROR(VLOOKUP(B15,Daily_Working_Do_Not_Delete!A:B,2,0))</f>
        <v/>
      </c>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0"/>
      <c r="CF15" s="150"/>
    </row>
    <row r="16">
      <c r="A16" s="146" t="s">
        <v>7</v>
      </c>
      <c r="B16" s="146" t="s">
        <v>26</v>
      </c>
      <c r="C16" s="137" t="s">
        <v>421</v>
      </c>
      <c r="D16" s="148">
        <f t="shared" si="3"/>
        <v>7.673923611</v>
      </c>
      <c r="E16" s="149">
        <f>IFERROR(VLOOKUP(B16,Daily_Working_Do_Not_Delete!DG:DH,2,0))</f>
        <v>2.277372685</v>
      </c>
      <c r="F16" s="149">
        <f>IFERROR(VLOOKUP(B16,Daily_Working_Do_Not_Delete!DE:DF,2,0))</f>
        <v>0.02498842593</v>
      </c>
      <c r="G16" s="149">
        <f>IFERROR(VLOOKUP(B16,Daily_Working_Do_Not_Delete!DC:DD,2,0))</f>
        <v>0.00912037037</v>
      </c>
      <c r="H16" s="149">
        <f>IFERROR(VLOOKUP(B16,Daily_Working_Do_Not_Delete!DA:DB,2,0))</f>
        <v>0.02832175926</v>
      </c>
      <c r="I16" s="149">
        <f>IFERROR(VLOOKUP(B16,Daily_Working_Do_Not_Delete!CY:CZ,2,0))</f>
        <v>0.0383912037</v>
      </c>
      <c r="J16" s="149">
        <f>IFERROR(VLOOKUP(B16,Daily_Working_Do_Not_Delete!CW:CX,2,0))</f>
        <v>0.03023148148</v>
      </c>
      <c r="K16" s="149">
        <f>IFERROR(VLOOKUP(B16,Daily_Working_Do_Not_Delete!CU:CV,2,0))</f>
        <v>0.03016203704</v>
      </c>
      <c r="L16" s="149">
        <f>IFERROR(VLOOKUP(B16,Daily_Working_Do_Not_Delete!CS:CT,2,0))</f>
        <v>0.0490162037</v>
      </c>
      <c r="M16" s="149">
        <f>IFERROR(VLOOKUP(B16,Daily_Working_Do_Not_Delete!CQ:CR,2,0))</f>
        <v>0.01583333333</v>
      </c>
      <c r="N16" s="149">
        <f>IFERROR(VLOOKUP(B16,Daily_Working_Do_Not_Delete!CO:CP,2,0))</f>
        <v>0.0234375</v>
      </c>
      <c r="O16" s="149">
        <f>IFERROR(VLOOKUP(B16,Daily_Working_Do_Not_Delete!CM:CN,2,0))</f>
        <v>0.02387731481</v>
      </c>
      <c r="P16" s="149">
        <f>IFERROR(VLOOKUP(B16,Daily_Working_Do_Not_Delete!CK:CL,2,0))</f>
        <v>0.1275578704</v>
      </c>
      <c r="Q16" s="149">
        <f>IFERROR(VLOOKUP(B16,Daily_Working_Do_Not_Delete!CI:CJ,2,0))</f>
        <v>0.0750462963</v>
      </c>
      <c r="R16" s="149">
        <f>IFERROR(VLOOKUP(B16,Daily_Working_Do_Not_Delete!CG:CH,2,0))</f>
        <v>0.03175925926</v>
      </c>
      <c r="S16" s="149">
        <f>IFERROR(VLOOKUP(B16,Daily_Working_Do_Not_Delete!CE:CF,2,0))</f>
        <v>0.1572800926</v>
      </c>
      <c r="T16" s="149">
        <f>IFERROR(VLOOKUP(B16,Daily_Working_Do_Not_Delete!CC:CD,2,0))</f>
        <v>0.1191898148</v>
      </c>
      <c r="U16" s="149">
        <f>IFERROR(VLOOKUP(B16,Daily_Working_Do_Not_Delete!CA:CB,2,0))</f>
        <v>0.1668055556</v>
      </c>
      <c r="V16" s="149">
        <f>IFERROR(VLOOKUP(B16,Daily_Working_Do_Not_Delete!BY:BZ,2,0))</f>
        <v>0.08690972222</v>
      </c>
      <c r="W16" s="149">
        <f>IFERROR(VLOOKUP(B16,Daily_Working_Do_Not_Delete!BW:BX,2,0))</f>
        <v>0.09773148148</v>
      </c>
      <c r="X16" s="149">
        <f>IFERROR(VLOOKUP(B16,Daily_Working_Do_Not_Delete!BU:BV,2,0))</f>
        <v>0.1363657407</v>
      </c>
      <c r="Y16" s="149">
        <f>IFERROR(VLOOKUP(B16,Daily_Working_Do_Not_Delete!BS:BT,2,0))</f>
        <v>0.2360185185</v>
      </c>
      <c r="Z16" s="149">
        <f>IFERROR(VLOOKUP(B16,Daily_Working_Do_Not_Delete!BQ:BR,2,0))</f>
        <v>0.4096296296</v>
      </c>
      <c r="AA16" s="149">
        <f>IFERROR(VLOOKUP(B16,Daily_Working_Do_Not_Delete!BO:BP,2,0))</f>
        <v>0.2488425926</v>
      </c>
      <c r="AB16" s="149">
        <f>IFERROR(VLOOKUP(B16,Daily_Working_Do_Not_Delete!BM:BN,2,0))</f>
        <v>0.3218402778</v>
      </c>
      <c r="AC16" s="149">
        <f>IFERROR(VLOOKUP(B16,Daily_Working_Do_Not_Delete!BK:BL,2,0))</f>
        <v>0.3429861111</v>
      </c>
      <c r="AD16" s="149">
        <f>IFERROR(VLOOKUP(B16,Daily_Working_Do_Not_Delete!BI:BJ,2,0))</f>
        <v>0.827037037</v>
      </c>
      <c r="AE16" s="149">
        <f>IFERROR(VLOOKUP(B16,Daily_Working_Do_Not_Delete!BG:BH,2,0))</f>
        <v>0.7455324074</v>
      </c>
      <c r="AF16" s="149">
        <f>IFERROR(VLOOKUP(B16,Daily_Working_Do_Not_Delete!BE:BF,2,0))</f>
        <v>0.5005787037</v>
      </c>
      <c r="AG16" s="149">
        <f>IFERROR(VLOOKUP(B16,Daily_Working_Do_Not_Delete!BC:BD,2,0))</f>
        <v>0.254212963</v>
      </c>
      <c r="AH16" s="149">
        <f>IFERROR(VLOOKUP(B16,Daily_Working_Do_Not_Delete!BA:BB,2,0))</f>
        <v>0.07778935185</v>
      </c>
      <c r="AI16" s="149">
        <f>IFERROR(VLOOKUP(B16,Daily_Working_Do_Not_Delete!AY:AZ,2,0))</f>
        <v>0.02358796296</v>
      </c>
      <c r="AJ16" s="149">
        <f>IFERROR(VLOOKUP(B16,Daily_Working_Do_Not_Delete!AW:AX,2,0))</f>
        <v>0.001655092593</v>
      </c>
      <c r="AK16" s="149">
        <f>IFERROR(VLOOKUP(B16,Daily_Working_Do_Not_Delete!AU:AV,2,0))</f>
        <v>0.005821759259</v>
      </c>
      <c r="AL16" s="149">
        <f>IFERROR(VLOOKUP(B16,Daily_Working_Do_Not_Delete!AS:AT,2,0))</f>
        <v>0.01353009259</v>
      </c>
      <c r="AM16" s="149" t="str">
        <f>IFERROR(VLOOKUP(B16,Daily_Working_Do_Not_Delete!AQ:AR,2,0))</f>
        <v/>
      </c>
      <c r="AN16" s="149">
        <f>IFERROR(VLOOKUP(B16,Daily_Working_Do_Not_Delete!AO:AP,2,0))</f>
        <v>0.001331018519</v>
      </c>
      <c r="AO16" s="149">
        <f>IFERROR(VLOOKUP(B16,Daily_Working_Do_Not_Delete!AM:AN,2,0))</f>
        <v>0.001759259259</v>
      </c>
      <c r="AP16" s="149">
        <f>IFERROR(VLOOKUP(B16,Daily_Working_Do_Not_Delete!AK:AL,2,0))</f>
        <v>0.05204861111</v>
      </c>
      <c r="AQ16" s="149">
        <f>IFERROR(VLOOKUP(B16,Daily_Working_Do_Not_Delete!AI:AJ,2,0))</f>
        <v>0.04711805556</v>
      </c>
      <c r="AR16" s="149">
        <f>IFERROR(VLOOKUP(B16,Daily_Working_Do_Not_Delete!AG:AH,2,0))</f>
        <v>0.004305555556</v>
      </c>
      <c r="AS16" s="149" t="str">
        <f>IFERROR(VLOOKUP(B16,Daily_Working_Do_Not_Delete!AE:AF,2,0))</f>
        <v/>
      </c>
      <c r="AT16" s="149" t="str">
        <f>IFERROR(VLOOKUP(B16,Daily_Working_Do_Not_Delete!AC:AD,2,0))</f>
        <v/>
      </c>
      <c r="AU16" s="149" t="str">
        <f>IFERROR(VLOOKUP(B16,Daily_Working_Do_Not_Delete!AA:AB,2,0))</f>
        <v/>
      </c>
      <c r="AV16" s="149" t="str">
        <f>IFERROR(VLOOKUP(B16,Daily_Working_Do_Not_Delete!Y:Z,2,0))</f>
        <v/>
      </c>
      <c r="AW16" s="149">
        <f>IFERROR(VLOOKUP(B16,Daily_Working_Do_Not_Delete!W:X,2,0))</f>
        <v>0.000787037037</v>
      </c>
      <c r="AX16" s="149" t="str">
        <f>IFERROR(VLOOKUP(B16,Daily_Working_Do_Not_Delete!U:V,2,0))</f>
        <v/>
      </c>
      <c r="AY16" s="149" t="str">
        <f>IFERROR(VLOOKUP(B16,Daily_Working_Do_Not_Delete!S:T,2,0))</f>
        <v/>
      </c>
      <c r="AZ16" s="149" t="str">
        <f>IFERROR(VLOOKUP(B16,Daily_Working_Do_Not_Delete!Q:R,2,0))</f>
        <v/>
      </c>
      <c r="BA16" s="149">
        <f>IFERROR(VLOOKUP(B16,Daily_Working_Do_Not_Delete!O:P,2,0))</f>
        <v>0.008113425926</v>
      </c>
      <c r="BB16" s="149" t="str">
        <f>IFERROR(VLOOKUP(B16,Daily_Working_Do_Not_Delete!M:N,2,0))</f>
        <v/>
      </c>
      <c r="BC16" s="149" t="str">
        <f>IFERROR(VLOOKUP(B16,Daily_Working_Do_Not_Delete!K:L,2,0))</f>
        <v/>
      </c>
      <c r="BD16" s="149" t="str">
        <f>IFERROR(VLOOKUP(B16,Daily_Working_Do_Not_Delete!I:J,2,0))</f>
        <v/>
      </c>
      <c r="BE16" s="149" t="str">
        <f>IFERROR(VLOOKUP(B16,Daily_Working_Do_Not_Delete!G:H,2,0))</f>
        <v/>
      </c>
      <c r="BF16" s="149" t="str">
        <f>IFERROR(VLOOKUP(B16,Daily_Working_Do_Not_Delete!E:F,2,0))</f>
        <v/>
      </c>
      <c r="BG16" s="149" t="str">
        <f>IFERROR(VLOOKUP(B16,Daily_Working_Do_Not_Delete!C:D,2,0))</f>
        <v/>
      </c>
      <c r="BH16" s="149" t="str">
        <f>IFERROR(VLOOKUP(B16,Daily_Working_Do_Not_Delete!A:B,2,0))</f>
        <v/>
      </c>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0"/>
      <c r="CF16" s="150"/>
    </row>
    <row r="17">
      <c r="A17" s="146" t="s">
        <v>7</v>
      </c>
      <c r="B17" s="157" t="s">
        <v>27</v>
      </c>
      <c r="C17" s="137" t="s">
        <v>421</v>
      </c>
      <c r="D17" s="148">
        <f t="shared" si="3"/>
        <v>11.0521412</v>
      </c>
      <c r="E17" s="149">
        <f>IFERROR(VLOOKUP(B17,Daily_Working_Do_Not_Delete!DG:DH,2,0))</f>
        <v>3.897731481</v>
      </c>
      <c r="F17" s="149">
        <f>IFERROR(VLOOKUP(B17,Daily_Working_Do_Not_Delete!DE:DF,2,0))</f>
        <v>0.01315972222</v>
      </c>
      <c r="G17" s="149">
        <f>IFERROR(VLOOKUP(B17,Daily_Working_Do_Not_Delete!DC:DD,2,0))</f>
        <v>0</v>
      </c>
      <c r="H17" s="149">
        <f>IFERROR(VLOOKUP(B17,Daily_Working_Do_Not_Delete!DA:DB,2,0))</f>
        <v>0.01505787037</v>
      </c>
      <c r="I17" s="149" t="str">
        <f>IFERROR(VLOOKUP(B17,Daily_Working_Do_Not_Delete!CY:CZ,2,0))</f>
        <v/>
      </c>
      <c r="J17" s="149">
        <f>IFERROR(VLOOKUP(B17,Daily_Working_Do_Not_Delete!CW:CX,2,0))</f>
        <v>0.01232638889</v>
      </c>
      <c r="K17" s="149">
        <f>IFERROR(VLOOKUP(B17,Daily_Working_Do_Not_Delete!CU:CV,2,0))</f>
        <v>0.03229166667</v>
      </c>
      <c r="L17" s="149">
        <f>IFERROR(VLOOKUP(B17,Daily_Working_Do_Not_Delete!CS:CT,2,0))</f>
        <v>0.02050925926</v>
      </c>
      <c r="M17" s="149">
        <f>IFERROR(VLOOKUP(B17,Daily_Working_Do_Not_Delete!CQ:CR,2,0))</f>
        <v>0.002476851852</v>
      </c>
      <c r="N17" s="149">
        <f>IFERROR(VLOOKUP(B17,Daily_Working_Do_Not_Delete!CO:CP,2,0))</f>
        <v>0.05604166667</v>
      </c>
      <c r="O17" s="149">
        <f>IFERROR(VLOOKUP(B17,Daily_Working_Do_Not_Delete!CM:CN,2,0))</f>
        <v>0.01324074074</v>
      </c>
      <c r="P17" s="149">
        <f>IFERROR(VLOOKUP(B17,Daily_Working_Do_Not_Delete!CK:CL,2,0))</f>
        <v>0.001527777778</v>
      </c>
      <c r="Q17" s="149">
        <f>IFERROR(VLOOKUP(B17,Daily_Working_Do_Not_Delete!CI:CJ,2,0))</f>
        <v>0</v>
      </c>
      <c r="R17" s="149">
        <f>IFERROR(VLOOKUP(B17,Daily_Working_Do_Not_Delete!CG:CH,2,0))</f>
        <v>0</v>
      </c>
      <c r="S17" s="149">
        <f>IFERROR(VLOOKUP(B17,Daily_Working_Do_Not_Delete!CE:CF,2,0))</f>
        <v>0.1052893519</v>
      </c>
      <c r="T17" s="149">
        <f>IFERROR(VLOOKUP(B17,Daily_Working_Do_Not_Delete!CC:CD,2,0))</f>
        <v>0.1097222222</v>
      </c>
      <c r="U17" s="149">
        <f>IFERROR(VLOOKUP(B17,Daily_Working_Do_Not_Delete!CA:CB,2,0))</f>
        <v>0.08571759259</v>
      </c>
      <c r="V17" s="149">
        <f>IFERROR(VLOOKUP(B17,Daily_Working_Do_Not_Delete!BY:BZ,2,0))</f>
        <v>0.1097106481</v>
      </c>
      <c r="W17" s="149">
        <f>IFERROR(VLOOKUP(B17,Daily_Working_Do_Not_Delete!BW:BX,2,0))</f>
        <v>0.149525463</v>
      </c>
      <c r="X17" s="149">
        <f>IFERROR(VLOOKUP(B17,Daily_Working_Do_Not_Delete!BU:BV,2,0))</f>
        <v>0.3656944444</v>
      </c>
      <c r="Y17" s="149">
        <f>IFERROR(VLOOKUP(B17,Daily_Working_Do_Not_Delete!BS:BT,2,0))</f>
        <v>0.3957407407</v>
      </c>
      <c r="Z17" s="149">
        <f>IFERROR(VLOOKUP(B17,Daily_Working_Do_Not_Delete!BQ:BR,2,0))</f>
        <v>1.015798611</v>
      </c>
      <c r="AA17" s="149">
        <f>IFERROR(VLOOKUP(B17,Daily_Working_Do_Not_Delete!BO:BP,2,0))</f>
        <v>1.635162037</v>
      </c>
      <c r="AB17" s="149">
        <f>IFERROR(VLOOKUP(B17,Daily_Working_Do_Not_Delete!BM:BN,2,0))</f>
        <v>1.209675926</v>
      </c>
      <c r="AC17" s="149">
        <f>IFERROR(VLOOKUP(B17,Daily_Working_Do_Not_Delete!BK:BL,2,0))</f>
        <v>0.6517824074</v>
      </c>
      <c r="AD17" s="149">
        <f>IFERROR(VLOOKUP(B17,Daily_Working_Do_Not_Delete!BI:BJ,2,0))</f>
        <v>0.4517592593</v>
      </c>
      <c r="AE17" s="149">
        <f>IFERROR(VLOOKUP(B17,Daily_Working_Do_Not_Delete!BG:BH,2,0))</f>
        <v>0.2101851852</v>
      </c>
      <c r="AF17" s="149">
        <f>IFERROR(VLOOKUP(B17,Daily_Working_Do_Not_Delete!BE:BF,2,0))</f>
        <v>0.1509722222</v>
      </c>
      <c r="AG17" s="149">
        <f>IFERROR(VLOOKUP(B17,Daily_Working_Do_Not_Delete!BC:BD,2,0))</f>
        <v>0.07850694444</v>
      </c>
      <c r="AH17" s="149">
        <f>IFERROR(VLOOKUP(B17,Daily_Working_Do_Not_Delete!BA:BB,2,0))</f>
        <v>0.02868055556</v>
      </c>
      <c r="AI17" s="149">
        <f>IFERROR(VLOOKUP(B17,Daily_Working_Do_Not_Delete!AY:AZ,2,0))</f>
        <v>0.02296296296</v>
      </c>
      <c r="AJ17" s="149">
        <f>IFERROR(VLOOKUP(B17,Daily_Working_Do_Not_Delete!AW:AX,2,0))</f>
        <v>0.02290509259</v>
      </c>
      <c r="AK17" s="149">
        <f>IFERROR(VLOOKUP(B17,Daily_Working_Do_Not_Delete!AU:AV,2,0))</f>
        <v>0.0687962963</v>
      </c>
      <c r="AL17" s="149">
        <f>IFERROR(VLOOKUP(B17,Daily_Working_Do_Not_Delete!AS:AT,2,0))</f>
        <v>0.03138888889</v>
      </c>
      <c r="AM17" s="149">
        <f>IFERROR(VLOOKUP(B17,Daily_Working_Do_Not_Delete!AQ:AR,2,0))</f>
        <v>0.02369212963</v>
      </c>
      <c r="AN17" s="149">
        <f>IFERROR(VLOOKUP(B17,Daily_Working_Do_Not_Delete!AO:AP,2,0))</f>
        <v>0.02730324074</v>
      </c>
      <c r="AO17" s="149">
        <f>IFERROR(VLOOKUP(B17,Daily_Working_Do_Not_Delete!AM:AN,2,0))</f>
        <v>0.02157407407</v>
      </c>
      <c r="AP17" s="149">
        <f>IFERROR(VLOOKUP(B17,Daily_Working_Do_Not_Delete!AK:AL,2,0))</f>
        <v>0.003252314815</v>
      </c>
      <c r="AQ17" s="149">
        <f>IFERROR(VLOOKUP(B17,Daily_Working_Do_Not_Delete!AI:AJ,2,0))</f>
        <v>0.0108912037</v>
      </c>
      <c r="AR17" s="149">
        <f>IFERROR(VLOOKUP(B17,Daily_Working_Do_Not_Delete!AG:AH,2,0))</f>
        <v>0.0002199074074</v>
      </c>
      <c r="AS17" s="149" t="str">
        <f>IFERROR(VLOOKUP(B17,Daily_Working_Do_Not_Delete!AE:AF,2,0))</f>
        <v/>
      </c>
      <c r="AT17" s="149" t="str">
        <f>IFERROR(VLOOKUP(B17,Daily_Working_Do_Not_Delete!AC:AD,2,0))</f>
        <v/>
      </c>
      <c r="AU17" s="149" t="str">
        <f>IFERROR(VLOOKUP(B17,Daily_Working_Do_Not_Delete!AA:AB,2,0))</f>
        <v/>
      </c>
      <c r="AV17" s="149" t="str">
        <f>IFERROR(VLOOKUP(B17,Daily_Working_Do_Not_Delete!Y:Z,2,0))</f>
        <v/>
      </c>
      <c r="AW17" s="149" t="str">
        <f>IFERROR(VLOOKUP(B17,Daily_Working_Do_Not_Delete!W:X,2,0))</f>
        <v/>
      </c>
      <c r="AX17" s="149" t="str">
        <f>IFERROR(VLOOKUP(B17,Daily_Working_Do_Not_Delete!U:V,2,0))</f>
        <v/>
      </c>
      <c r="AY17" s="149" t="str">
        <f>IFERROR(VLOOKUP(B17,Daily_Working_Do_Not_Delete!S:T,2,0))</f>
        <v/>
      </c>
      <c r="AZ17" s="149" t="str">
        <f>IFERROR(VLOOKUP(B17,Daily_Working_Do_Not_Delete!Q:R,2,0))</f>
        <v/>
      </c>
      <c r="BA17" s="149" t="str">
        <f>IFERROR(VLOOKUP(B17,Daily_Working_Do_Not_Delete!O:P,2,0))</f>
        <v/>
      </c>
      <c r="BB17" s="149">
        <f>IFERROR(VLOOKUP(B17,Daily_Working_Do_Not_Delete!M:N,2,0))</f>
        <v>0.0001736111111</v>
      </c>
      <c r="BC17" s="149" t="str">
        <f>IFERROR(VLOOKUP(B17,Daily_Working_Do_Not_Delete!K:L,2,0))</f>
        <v/>
      </c>
      <c r="BD17" s="149" t="str">
        <f>IFERROR(VLOOKUP(B17,Daily_Working_Do_Not_Delete!I:J,2,0))</f>
        <v/>
      </c>
      <c r="BE17" s="149">
        <f>IFERROR(VLOOKUP(B17,Daily_Working_Do_Not_Delete!G:H,2,0))</f>
        <v>0.0003587962963</v>
      </c>
      <c r="BF17" s="149">
        <f>IFERROR(VLOOKUP(B17,Daily_Working_Do_Not_Delete!E:F,2,0))</f>
        <v>0.0002083333333</v>
      </c>
      <c r="BG17" s="149" t="str">
        <f>IFERROR(VLOOKUP(B17,Daily_Working_Do_Not_Delete!C:D,2,0))</f>
        <v/>
      </c>
      <c r="BH17" s="149">
        <f>IFERROR(VLOOKUP(B17,Daily_Working_Do_Not_Delete!A:B,2,0))</f>
        <v>0.0001273148148</v>
      </c>
      <c r="BI17" s="150"/>
      <c r="BJ17" s="150"/>
      <c r="BK17" s="150"/>
      <c r="BL17" s="150"/>
      <c r="BM17" s="150"/>
      <c r="BN17" s="150"/>
      <c r="BO17" s="150"/>
      <c r="BP17" s="150"/>
      <c r="BQ17" s="150"/>
      <c r="BR17" s="150"/>
      <c r="BS17" s="150"/>
      <c r="BT17" s="150"/>
      <c r="BU17" s="150"/>
      <c r="BV17" s="150"/>
      <c r="BW17" s="150"/>
      <c r="BX17" s="150"/>
      <c r="BY17" s="150"/>
      <c r="BZ17" s="150"/>
      <c r="CA17" s="150"/>
      <c r="CB17" s="150"/>
      <c r="CC17" s="150"/>
      <c r="CD17" s="150"/>
      <c r="CE17" s="150"/>
      <c r="CF17" s="150"/>
    </row>
    <row r="18">
      <c r="A18" s="146" t="s">
        <v>7</v>
      </c>
      <c r="B18" s="146" t="s">
        <v>21</v>
      </c>
      <c r="C18" s="137" t="s">
        <v>421</v>
      </c>
      <c r="D18" s="148">
        <f t="shared" si="3"/>
        <v>6.661226852</v>
      </c>
      <c r="E18" s="149">
        <f>IFERROR(VLOOKUP(B18,Daily_Working_Do_Not_Delete!DG:DH,2,0))</f>
        <v>2.147511574</v>
      </c>
      <c r="F18" s="149">
        <f>IFERROR(VLOOKUP(B18,Daily_Working_Do_Not_Delete!DE:DF,2,0))</f>
        <v>0.0696875</v>
      </c>
      <c r="G18" s="149">
        <f>IFERROR(VLOOKUP(B18,Daily_Working_Do_Not_Delete!DC:DD,2,0))</f>
        <v>0.06072916667</v>
      </c>
      <c r="H18" s="149">
        <f>IFERROR(VLOOKUP(B18,Daily_Working_Do_Not_Delete!DA:DB,2,0))</f>
        <v>0.06265046296</v>
      </c>
      <c r="I18" s="149">
        <f>IFERROR(VLOOKUP(B18,Daily_Working_Do_Not_Delete!CY:CZ,2,0))</f>
        <v>0.0769212963</v>
      </c>
      <c r="J18" s="149">
        <f>IFERROR(VLOOKUP(B18,Daily_Working_Do_Not_Delete!CW:CX,2,0))</f>
        <v>0.1146180556</v>
      </c>
      <c r="K18" s="149">
        <f>IFERROR(VLOOKUP(B18,Daily_Working_Do_Not_Delete!CU:CV,2,0))</f>
        <v>0.03728009259</v>
      </c>
      <c r="L18" s="149">
        <f>IFERROR(VLOOKUP(B18,Daily_Working_Do_Not_Delete!CS:CT,2,0))</f>
        <v>0.1033333333</v>
      </c>
      <c r="M18" s="149">
        <f>IFERROR(VLOOKUP(B18,Daily_Working_Do_Not_Delete!CQ:CR,2,0))</f>
        <v>0.03478009259</v>
      </c>
      <c r="N18" s="149">
        <f>IFERROR(VLOOKUP(B18,Daily_Working_Do_Not_Delete!CO:CP,2,0))</f>
        <v>0.05521990741</v>
      </c>
      <c r="O18" s="149">
        <f>IFERROR(VLOOKUP(B18,Daily_Working_Do_Not_Delete!CM:CN,2,0))</f>
        <v>0.09207175926</v>
      </c>
      <c r="P18" s="149">
        <f>IFERROR(VLOOKUP(B18,Daily_Working_Do_Not_Delete!CK:CL,2,0))</f>
        <v>0.2049421296</v>
      </c>
      <c r="Q18" s="149">
        <f>IFERROR(VLOOKUP(B18,Daily_Working_Do_Not_Delete!CI:CJ,2,0))</f>
        <v>0.07928240741</v>
      </c>
      <c r="R18" s="149">
        <f>IFERROR(VLOOKUP(B18,Daily_Working_Do_Not_Delete!CG:CH,2,0))</f>
        <v>0.1159837963</v>
      </c>
      <c r="S18" s="149">
        <f>IFERROR(VLOOKUP(B18,Daily_Working_Do_Not_Delete!CE:CF,2,0))</f>
        <v>0.198587963</v>
      </c>
      <c r="T18" s="149">
        <f>IFERROR(VLOOKUP(B18,Daily_Working_Do_Not_Delete!CC:CD,2,0))</f>
        <v>0.1341319444</v>
      </c>
      <c r="U18" s="149">
        <f>IFERROR(VLOOKUP(B18,Daily_Working_Do_Not_Delete!CA:CB,2,0))</f>
        <v>0.07107638889</v>
      </c>
      <c r="V18" s="149">
        <f>IFERROR(VLOOKUP(B18,Daily_Working_Do_Not_Delete!BY:BZ,2,0))</f>
        <v>0.0225462963</v>
      </c>
      <c r="W18" s="149">
        <f>IFERROR(VLOOKUP(B18,Daily_Working_Do_Not_Delete!BW:BX,2,0))</f>
        <v>0.06012731481</v>
      </c>
      <c r="X18" s="149">
        <f>IFERROR(VLOOKUP(B18,Daily_Working_Do_Not_Delete!BU:BV,2,0))</f>
        <v>0.03403935185</v>
      </c>
      <c r="Y18" s="149">
        <f>IFERROR(VLOOKUP(B18,Daily_Working_Do_Not_Delete!BS:BT,2,0))</f>
        <v>0.03896990741</v>
      </c>
      <c r="Z18" s="149">
        <f>IFERROR(VLOOKUP(B18,Daily_Working_Do_Not_Delete!BQ:BR,2,0))</f>
        <v>0.3490856481</v>
      </c>
      <c r="AA18" s="149">
        <f>IFERROR(VLOOKUP(B18,Daily_Working_Do_Not_Delete!BO:BP,2,0))</f>
        <v>0.253900463</v>
      </c>
      <c r="AB18" s="149">
        <f>IFERROR(VLOOKUP(B18,Daily_Working_Do_Not_Delete!BM:BN,2,0))</f>
        <v>0.276875</v>
      </c>
      <c r="AC18" s="149">
        <f>IFERROR(VLOOKUP(B18,Daily_Working_Do_Not_Delete!BK:BL,2,0))</f>
        <v>0.4996180556</v>
      </c>
      <c r="AD18" s="149">
        <f>IFERROR(VLOOKUP(B18,Daily_Working_Do_Not_Delete!BI:BJ,2,0))</f>
        <v>0.6512731481</v>
      </c>
      <c r="AE18" s="149">
        <f>IFERROR(VLOOKUP(B18,Daily_Working_Do_Not_Delete!BG:BH,2,0))</f>
        <v>0.2705439815</v>
      </c>
      <c r="AF18" s="149">
        <f>IFERROR(VLOOKUP(B18,Daily_Working_Do_Not_Delete!BE:BF,2,0))</f>
        <v>0.2196180556</v>
      </c>
      <c r="AG18" s="149">
        <f>IFERROR(VLOOKUP(B18,Daily_Working_Do_Not_Delete!BC:BD,2,0))</f>
        <v>0.1580902778</v>
      </c>
      <c r="AH18" s="149">
        <f>IFERROR(VLOOKUP(B18,Daily_Working_Do_Not_Delete!BA:BB,2,0))</f>
        <v>0.02412037037</v>
      </c>
      <c r="AI18" s="149">
        <f>IFERROR(VLOOKUP(B18,Daily_Working_Do_Not_Delete!AY:AZ,2,0))</f>
        <v>0.04219907407</v>
      </c>
      <c r="AJ18" s="149">
        <f>IFERROR(VLOOKUP(B18,Daily_Working_Do_Not_Delete!AW:AX,2,0))</f>
        <v>0.02996527778</v>
      </c>
      <c r="AK18" s="149">
        <f>IFERROR(VLOOKUP(B18,Daily_Working_Do_Not_Delete!AU:AV,2,0))</f>
        <v>0.003888888889</v>
      </c>
      <c r="AL18" s="149" t="str">
        <f>IFERROR(VLOOKUP(B18,Daily_Working_Do_Not_Delete!AS:AT,2,0))</f>
        <v/>
      </c>
      <c r="AM18" s="149">
        <f>IFERROR(VLOOKUP(B18,Daily_Working_Do_Not_Delete!AQ:AR,2,0))</f>
        <v>0.007060185185</v>
      </c>
      <c r="AN18" s="149">
        <f>IFERROR(VLOOKUP(B18,Daily_Working_Do_Not_Delete!AO:AP,2,0))</f>
        <v>0.0001388888889</v>
      </c>
      <c r="AO18" s="149">
        <f>IFERROR(VLOOKUP(B18,Daily_Working_Do_Not_Delete!AM:AN,2,0))</f>
        <v>0.0002314814815</v>
      </c>
      <c r="AP18" s="149">
        <f>IFERROR(VLOOKUP(B18,Daily_Working_Do_Not_Delete!AK:AL,2,0))</f>
        <v>0.01280092593</v>
      </c>
      <c r="AQ18" s="149">
        <f>IFERROR(VLOOKUP(B18,Daily_Working_Do_Not_Delete!AI:AJ,2,0))</f>
        <v>0.03288194444</v>
      </c>
      <c r="AR18" s="149" t="str">
        <f>IFERROR(VLOOKUP(B18,Daily_Working_Do_Not_Delete!AG:AH,2,0))</f>
        <v/>
      </c>
      <c r="AS18" s="149" t="str">
        <f>IFERROR(VLOOKUP(B18,Daily_Working_Do_Not_Delete!AE:AF,2,0))</f>
        <v/>
      </c>
      <c r="AT18" s="149" t="str">
        <f>IFERROR(VLOOKUP(B18,Daily_Working_Do_Not_Delete!AC:AD,2,0))</f>
        <v/>
      </c>
      <c r="AU18" s="149">
        <f>IFERROR(VLOOKUP(B18,Daily_Working_Do_Not_Delete!AA:AB,2,0))</f>
        <v>0.006377314815</v>
      </c>
      <c r="AV18" s="149" t="str">
        <f>IFERROR(VLOOKUP(B18,Daily_Working_Do_Not_Delete!Y:Z,2,0))</f>
        <v/>
      </c>
      <c r="AW18" s="149" t="str">
        <f>IFERROR(VLOOKUP(B18,Daily_Working_Do_Not_Delete!W:X,2,0))</f>
        <v/>
      </c>
      <c r="AX18" s="149" t="str">
        <f>IFERROR(VLOOKUP(B18,Daily_Working_Do_Not_Delete!U:V,2,0))</f>
        <v/>
      </c>
      <c r="AY18" s="149" t="str">
        <f>IFERROR(VLOOKUP(B18,Daily_Working_Do_Not_Delete!S:T,2,0))</f>
        <v/>
      </c>
      <c r="AZ18" s="149">
        <f>IFERROR(VLOOKUP(B18,Daily_Working_Do_Not_Delete!Q:R,2,0))</f>
        <v>0.0009606481481</v>
      </c>
      <c r="BA18" s="149">
        <f>IFERROR(VLOOKUP(B18,Daily_Working_Do_Not_Delete!O:P,2,0))</f>
        <v>0.004490740741</v>
      </c>
      <c r="BB18" s="149" t="str">
        <f>IFERROR(VLOOKUP(B18,Daily_Working_Do_Not_Delete!M:N,2,0))</f>
        <v/>
      </c>
      <c r="BC18" s="149" t="str">
        <f>IFERROR(VLOOKUP(B18,Daily_Working_Do_Not_Delete!K:L,2,0))</f>
        <v/>
      </c>
      <c r="BD18" s="149" t="str">
        <f>IFERROR(VLOOKUP(B18,Daily_Working_Do_Not_Delete!I:J,2,0))</f>
        <v/>
      </c>
      <c r="BE18" s="149">
        <f>IFERROR(VLOOKUP(B18,Daily_Working_Do_Not_Delete!G:H,2,0))</f>
        <v>0.002615740741</v>
      </c>
      <c r="BF18" s="149" t="str">
        <f>IFERROR(VLOOKUP(B18,Daily_Working_Do_Not_Delete!E:F,2,0))</f>
        <v/>
      </c>
      <c r="BG18" s="149" t="str">
        <f>IFERROR(VLOOKUP(B18,Daily_Working_Do_Not_Delete!C:D,2,0))</f>
        <v/>
      </c>
      <c r="BH18" s="149" t="str">
        <f>IFERROR(VLOOKUP(B18,Daily_Working_Do_Not_Delete!A:B,2,0))</f>
        <v/>
      </c>
      <c r="BI18" s="150"/>
      <c r="BJ18" s="150"/>
      <c r="BK18" s="150"/>
      <c r="BL18" s="150"/>
      <c r="BM18" s="150"/>
      <c r="BN18" s="150"/>
      <c r="BO18" s="150"/>
      <c r="BP18" s="150"/>
      <c r="BQ18" s="150"/>
      <c r="BR18" s="150"/>
      <c r="BS18" s="150"/>
      <c r="BT18" s="150"/>
      <c r="BU18" s="150"/>
      <c r="BV18" s="150"/>
      <c r="BW18" s="150"/>
      <c r="BX18" s="150"/>
      <c r="BY18" s="150"/>
      <c r="BZ18" s="150"/>
      <c r="CA18" s="150"/>
      <c r="CB18" s="150"/>
      <c r="CC18" s="150"/>
      <c r="CD18" s="150"/>
      <c r="CE18" s="150"/>
      <c r="CF18" s="150"/>
    </row>
    <row r="19">
      <c r="A19" s="146" t="s">
        <v>7</v>
      </c>
      <c r="B19" s="146" t="s">
        <v>30</v>
      </c>
      <c r="C19" s="137" t="s">
        <v>421</v>
      </c>
      <c r="D19" s="148">
        <f t="shared" si="3"/>
        <v>8.985949074</v>
      </c>
      <c r="E19" s="149">
        <f>IFERROR(VLOOKUP(B19,Daily_Working_Do_Not_Delete!DG:DH,2,0))</f>
        <v>3.0696875</v>
      </c>
      <c r="F19" s="149">
        <f>IFERROR(VLOOKUP(B19,Daily_Working_Do_Not_Delete!DE:DF,2,0))</f>
        <v>0.1104050926</v>
      </c>
      <c r="G19" s="149">
        <f>IFERROR(VLOOKUP(B19,Daily_Working_Do_Not_Delete!DC:DD,2,0))</f>
        <v>0.1013310185</v>
      </c>
      <c r="H19" s="149">
        <f>IFERROR(VLOOKUP(B19,Daily_Working_Do_Not_Delete!DA:DB,2,0))</f>
        <v>0.08296296296</v>
      </c>
      <c r="I19" s="149">
        <f>IFERROR(VLOOKUP(B19,Daily_Working_Do_Not_Delete!CY:CZ,2,0))</f>
        <v>0.1573032407</v>
      </c>
      <c r="J19" s="149">
        <f>IFERROR(VLOOKUP(B19,Daily_Working_Do_Not_Delete!CW:CX,2,0))</f>
        <v>0.1593287037</v>
      </c>
      <c r="K19" s="149">
        <f>IFERROR(VLOOKUP(B19,Daily_Working_Do_Not_Delete!CU:CV,2,0))</f>
        <v>0.3477083333</v>
      </c>
      <c r="L19" s="149">
        <f>IFERROR(VLOOKUP(B19,Daily_Working_Do_Not_Delete!CS:CT,2,0))</f>
        <v>0.3293171296</v>
      </c>
      <c r="M19" s="149">
        <f>IFERROR(VLOOKUP(B19,Daily_Working_Do_Not_Delete!CQ:CR,2,0))</f>
        <v>0.08792824074</v>
      </c>
      <c r="N19" s="149">
        <f>IFERROR(VLOOKUP(B19,Daily_Working_Do_Not_Delete!CO:CP,2,0))</f>
        <v>0.1448958333</v>
      </c>
      <c r="O19" s="149">
        <f>IFERROR(VLOOKUP(B19,Daily_Working_Do_Not_Delete!CM:CN,2,0))</f>
        <v>0.06740740741</v>
      </c>
      <c r="P19" s="149">
        <f>IFERROR(VLOOKUP(B19,Daily_Working_Do_Not_Delete!CK:CL,2,0))</f>
        <v>0.2715625</v>
      </c>
      <c r="Q19" s="149">
        <f>IFERROR(VLOOKUP(B19,Daily_Working_Do_Not_Delete!CI:CJ,2,0))</f>
        <v>0.2928125</v>
      </c>
      <c r="R19" s="149">
        <f>IFERROR(VLOOKUP(B19,Daily_Working_Do_Not_Delete!CG:CH,2,0))</f>
        <v>0.2194791667</v>
      </c>
      <c r="S19" s="149">
        <f>IFERROR(VLOOKUP(B19,Daily_Working_Do_Not_Delete!CE:CF,2,0))</f>
        <v>0.4237037037</v>
      </c>
      <c r="T19" s="149">
        <f>IFERROR(VLOOKUP(B19,Daily_Working_Do_Not_Delete!CC:CD,2,0))</f>
        <v>0.1667013889</v>
      </c>
      <c r="U19" s="149">
        <f>IFERROR(VLOOKUP(B19,Daily_Working_Do_Not_Delete!CA:CB,2,0))</f>
        <v>0.3160532407</v>
      </c>
      <c r="V19" s="149">
        <f>IFERROR(VLOOKUP(B19,Daily_Working_Do_Not_Delete!BY:BZ,2,0))</f>
        <v>0.4209027778</v>
      </c>
      <c r="W19" s="149">
        <f>IFERROR(VLOOKUP(B19,Daily_Working_Do_Not_Delete!BW:BX,2,0))</f>
        <v>0.7905208333</v>
      </c>
      <c r="X19" s="149">
        <f>IFERROR(VLOOKUP(B19,Daily_Working_Do_Not_Delete!BU:BV,2,0))</f>
        <v>0.9113078704</v>
      </c>
      <c r="Y19" s="149">
        <f>IFERROR(VLOOKUP(B19,Daily_Working_Do_Not_Delete!BS:BT,2,0))</f>
        <v>0.1715856481</v>
      </c>
      <c r="Z19" s="149">
        <f>IFERROR(VLOOKUP(B19,Daily_Working_Do_Not_Delete!BQ:BR,2,0))</f>
        <v>0.09949074074</v>
      </c>
      <c r="AA19" s="149">
        <f>IFERROR(VLOOKUP(B19,Daily_Working_Do_Not_Delete!BO:BP,2,0))</f>
        <v>0.0475</v>
      </c>
      <c r="AB19" s="149">
        <f>IFERROR(VLOOKUP(B19,Daily_Working_Do_Not_Delete!BM:BN,2,0))</f>
        <v>0.02517361111</v>
      </c>
      <c r="AC19" s="149">
        <f>IFERROR(VLOOKUP(B19,Daily_Working_Do_Not_Delete!BK:BL,2,0))</f>
        <v>0.01642361111</v>
      </c>
      <c r="AD19" s="149">
        <f>IFERROR(VLOOKUP(B19,Daily_Working_Do_Not_Delete!BI:BJ,2,0))</f>
        <v>0.03238425926</v>
      </c>
      <c r="AE19" s="149">
        <f>IFERROR(VLOOKUP(B19,Daily_Working_Do_Not_Delete!BG:BH,2,0))</f>
        <v>0.02927083333</v>
      </c>
      <c r="AF19" s="149">
        <f>IFERROR(VLOOKUP(B19,Daily_Working_Do_Not_Delete!BE:BF,2,0))</f>
        <v>0.03885416667</v>
      </c>
      <c r="AG19" s="149">
        <f>IFERROR(VLOOKUP(B19,Daily_Working_Do_Not_Delete!BC:BD,2,0))</f>
        <v>0.03371527778</v>
      </c>
      <c r="AH19" s="149" t="str">
        <f>IFERROR(VLOOKUP(B19,Daily_Working_Do_Not_Delete!BA:BB,2,0))</f>
        <v/>
      </c>
      <c r="AI19" s="149" t="str">
        <f>IFERROR(VLOOKUP(B19,Daily_Working_Do_Not_Delete!AY:AZ,2,0))</f>
        <v/>
      </c>
      <c r="AJ19" s="149" t="str">
        <f>IFERROR(VLOOKUP(B19,Daily_Working_Do_Not_Delete!AW:AX,2,0))</f>
        <v/>
      </c>
      <c r="AK19" s="149">
        <f>IFERROR(VLOOKUP(B19,Daily_Working_Do_Not_Delete!AU:AV,2,0))</f>
        <v>0.0005902777778</v>
      </c>
      <c r="AL19" s="149" t="str">
        <f>IFERROR(VLOOKUP(B19,Daily_Working_Do_Not_Delete!AS:AT,2,0))</f>
        <v/>
      </c>
      <c r="AM19" s="149" t="str">
        <f>IFERROR(VLOOKUP(B19,Daily_Working_Do_Not_Delete!AQ:AR,2,0))</f>
        <v/>
      </c>
      <c r="AN19" s="149" t="str">
        <f>IFERROR(VLOOKUP(B19,Daily_Working_Do_Not_Delete!AO:AP,2,0))</f>
        <v/>
      </c>
      <c r="AO19" s="149" t="str">
        <f>IFERROR(VLOOKUP(B19,Daily_Working_Do_Not_Delete!AM:AN,2,0))</f>
        <v/>
      </c>
      <c r="AP19" s="149">
        <f>IFERROR(VLOOKUP(B19,Daily_Working_Do_Not_Delete!AK:AL,2,0))</f>
        <v>0.01237268519</v>
      </c>
      <c r="AQ19" s="149">
        <f>IFERROR(VLOOKUP(B19,Daily_Working_Do_Not_Delete!AI:AJ,2,0))</f>
        <v>0.004178240741</v>
      </c>
      <c r="AR19" s="149" t="str">
        <f>IFERROR(VLOOKUP(B19,Daily_Working_Do_Not_Delete!AG:AH,2,0))</f>
        <v/>
      </c>
      <c r="AS19" s="149" t="str">
        <f>IFERROR(VLOOKUP(B19,Daily_Working_Do_Not_Delete!AE:AF,2,0))</f>
        <v/>
      </c>
      <c r="AT19" s="149" t="str">
        <f>IFERROR(VLOOKUP(B19,Daily_Working_Do_Not_Delete!AC:AD,2,0))</f>
        <v/>
      </c>
      <c r="AU19" s="149" t="str">
        <f>IFERROR(VLOOKUP(B19,Daily_Working_Do_Not_Delete!AA:AB,2,0))</f>
        <v/>
      </c>
      <c r="AV19" s="149" t="str">
        <f>IFERROR(VLOOKUP(B19,Daily_Working_Do_Not_Delete!Y:Z,2,0))</f>
        <v/>
      </c>
      <c r="AW19" s="149" t="str">
        <f>IFERROR(VLOOKUP(B19,Daily_Working_Do_Not_Delete!W:X,2,0))</f>
        <v/>
      </c>
      <c r="AX19" s="149" t="str">
        <f>IFERROR(VLOOKUP(B19,Daily_Working_Do_Not_Delete!U:V,2,0))</f>
        <v/>
      </c>
      <c r="AY19" s="149" t="str">
        <f>IFERROR(VLOOKUP(B19,Daily_Working_Do_Not_Delete!S:T,2,0))</f>
        <v/>
      </c>
      <c r="AZ19" s="149" t="str">
        <f>IFERROR(VLOOKUP(B19,Daily_Working_Do_Not_Delete!Q:R,2,0))</f>
        <v/>
      </c>
      <c r="BA19" s="149" t="str">
        <f>IFERROR(VLOOKUP(B19,Daily_Working_Do_Not_Delete!O:P,2,0))</f>
        <v/>
      </c>
      <c r="BB19" s="149">
        <f>IFERROR(VLOOKUP(B19,Daily_Working_Do_Not_Delete!M:N,2,0))</f>
        <v>0.001990740741</v>
      </c>
      <c r="BC19" s="149">
        <f>IFERROR(VLOOKUP(B19,Daily_Working_Do_Not_Delete!K:L,2,0))</f>
        <v>0.001099537037</v>
      </c>
      <c r="BD19" s="149" t="str">
        <f>IFERROR(VLOOKUP(B19,Daily_Working_Do_Not_Delete!I:J,2,0))</f>
        <v/>
      </c>
      <c r="BE19" s="149" t="str">
        <f>IFERROR(VLOOKUP(B19,Daily_Working_Do_Not_Delete!G:H,2,0))</f>
        <v/>
      </c>
      <c r="BF19" s="149" t="str">
        <f>IFERROR(VLOOKUP(B19,Daily_Working_Do_Not_Delete!E:F,2,0))</f>
        <v/>
      </c>
      <c r="BG19" s="149" t="str">
        <f>IFERROR(VLOOKUP(B19,Daily_Working_Do_Not_Delete!C:D,2,0))</f>
        <v/>
      </c>
      <c r="BH19" s="149" t="str">
        <f>IFERROR(VLOOKUP(B19,Daily_Working_Do_Not_Delete!A:B,2,0))</f>
        <v/>
      </c>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row>
    <row r="20">
      <c r="A20" s="146" t="s">
        <v>7</v>
      </c>
      <c r="B20" s="156" t="s">
        <v>31</v>
      </c>
      <c r="C20" s="137" t="s">
        <v>421</v>
      </c>
      <c r="D20" s="148">
        <f t="shared" si="3"/>
        <v>6.272916667</v>
      </c>
      <c r="E20" s="149">
        <f>IFERROR(VLOOKUP(B20,Daily_Working_Do_Not_Delete!DG:DH,2,0))</f>
        <v>0.6939930556</v>
      </c>
      <c r="F20" s="149">
        <f>IFERROR(VLOOKUP(B20,Daily_Working_Do_Not_Delete!DE:DF,2,0))</f>
        <v>0.02903935185</v>
      </c>
      <c r="G20" s="149">
        <f>IFERROR(VLOOKUP(B20,Daily_Working_Do_Not_Delete!DC:DD,2,0))</f>
        <v>0.02421296296</v>
      </c>
      <c r="H20" s="149">
        <f>IFERROR(VLOOKUP(B20,Daily_Working_Do_Not_Delete!DA:DB,2,0))</f>
        <v>0.0312037037</v>
      </c>
      <c r="I20" s="149">
        <f>IFERROR(VLOOKUP(B20,Daily_Working_Do_Not_Delete!CY:CZ,2,0))</f>
        <v>0.01515046296</v>
      </c>
      <c r="J20" s="149">
        <f>IFERROR(VLOOKUP(B20,Daily_Working_Do_Not_Delete!CW:CX,2,0))</f>
        <v>0.0005902777778</v>
      </c>
      <c r="K20" s="149">
        <f>IFERROR(VLOOKUP(B20,Daily_Working_Do_Not_Delete!CU:CV,2,0))</f>
        <v>0.001122685185</v>
      </c>
      <c r="L20" s="149">
        <f>IFERROR(VLOOKUP(B20,Daily_Working_Do_Not_Delete!CS:CT,2,0))</f>
        <v>0.01665509259</v>
      </c>
      <c r="M20" s="149">
        <f>IFERROR(VLOOKUP(B20,Daily_Working_Do_Not_Delete!CQ:CR,2,0))</f>
        <v>0.01252314815</v>
      </c>
      <c r="N20" s="149" t="str">
        <f>IFERROR(VLOOKUP(B20,Daily_Working_Do_Not_Delete!CO:CP,2,0))</f>
        <v/>
      </c>
      <c r="O20" s="149">
        <f>IFERROR(VLOOKUP(B20,Daily_Working_Do_Not_Delete!CM:CN,2,0))</f>
        <v>0.01195601852</v>
      </c>
      <c r="P20" s="149" t="str">
        <f>IFERROR(VLOOKUP(B20,Daily_Working_Do_Not_Delete!CK:CL,2,0))</f>
        <v/>
      </c>
      <c r="Q20" s="149">
        <f>IFERROR(VLOOKUP(B20,Daily_Working_Do_Not_Delete!CI:CJ,2,0))</f>
        <v>0.03164351852</v>
      </c>
      <c r="R20" s="149">
        <f>IFERROR(VLOOKUP(B20,Daily_Working_Do_Not_Delete!CG:CH,2,0))</f>
        <v>0.05861111111</v>
      </c>
      <c r="S20" s="149">
        <f>IFERROR(VLOOKUP(B20,Daily_Working_Do_Not_Delete!CE:CF,2,0))</f>
        <v>0.09984953704</v>
      </c>
      <c r="T20" s="149">
        <f>IFERROR(VLOOKUP(B20,Daily_Working_Do_Not_Delete!CC:CD,2,0))</f>
        <v>0.3163773148</v>
      </c>
      <c r="U20" s="149">
        <f>IFERROR(VLOOKUP(B20,Daily_Working_Do_Not_Delete!CA:CB,2,0))</f>
        <v>0.4524421296</v>
      </c>
      <c r="V20" s="149">
        <f>IFERROR(VLOOKUP(B20,Daily_Working_Do_Not_Delete!BY:BZ,2,0))</f>
        <v>0.4928935185</v>
      </c>
      <c r="W20" s="149">
        <f>IFERROR(VLOOKUP(B20,Daily_Working_Do_Not_Delete!BW:BX,2,0))</f>
        <v>0.4820601852</v>
      </c>
      <c r="X20" s="149">
        <f>IFERROR(VLOOKUP(B20,Daily_Working_Do_Not_Delete!BU:BV,2,0))</f>
        <v>0.5300694444</v>
      </c>
      <c r="Y20" s="149">
        <f>IFERROR(VLOOKUP(B20,Daily_Working_Do_Not_Delete!BS:BT,2,0))</f>
        <v>0.7931365741</v>
      </c>
      <c r="Z20" s="149">
        <f>IFERROR(VLOOKUP(B20,Daily_Working_Do_Not_Delete!BQ:BR,2,0))</f>
        <v>0.710625</v>
      </c>
      <c r="AA20" s="149">
        <f>IFERROR(VLOOKUP(B20,Daily_Working_Do_Not_Delete!BO:BP,2,0))</f>
        <v>0.2387847222</v>
      </c>
      <c r="AB20" s="149">
        <f>IFERROR(VLOOKUP(B20,Daily_Working_Do_Not_Delete!BM:BN,2,0))</f>
        <v>0.3721527778</v>
      </c>
      <c r="AC20" s="149">
        <f>IFERROR(VLOOKUP(B20,Daily_Working_Do_Not_Delete!BK:BL,2,0))</f>
        <v>0.297337963</v>
      </c>
      <c r="AD20" s="149">
        <f>IFERROR(VLOOKUP(B20,Daily_Working_Do_Not_Delete!BI:BJ,2,0))</f>
        <v>0.1800810185</v>
      </c>
      <c r="AE20" s="149">
        <f>IFERROR(VLOOKUP(B20,Daily_Working_Do_Not_Delete!BG:BH,2,0))</f>
        <v>0.06290509259</v>
      </c>
      <c r="AF20" s="149">
        <f>IFERROR(VLOOKUP(B20,Daily_Working_Do_Not_Delete!BE:BF,2,0))</f>
        <v>0.07344907407</v>
      </c>
      <c r="AG20" s="149">
        <f>IFERROR(VLOOKUP(B20,Daily_Working_Do_Not_Delete!BC:BD,2,0))</f>
        <v>0.0190162037</v>
      </c>
      <c r="AH20" s="149">
        <f>IFERROR(VLOOKUP(B20,Daily_Working_Do_Not_Delete!BA:BB,2,0))</f>
        <v>0.04927083333</v>
      </c>
      <c r="AI20" s="149">
        <f>IFERROR(VLOOKUP(B20,Daily_Working_Do_Not_Delete!AY:AZ,2,0))</f>
        <v>0.08270833333</v>
      </c>
      <c r="AJ20" s="149">
        <f>IFERROR(VLOOKUP(B20,Daily_Working_Do_Not_Delete!AW:AX,2,0))</f>
        <v>0.01579861111</v>
      </c>
      <c r="AK20" s="149">
        <f>IFERROR(VLOOKUP(B20,Daily_Working_Do_Not_Delete!AU:AV,2,0))</f>
        <v>0.004814814815</v>
      </c>
      <c r="AL20" s="149" t="str">
        <f>IFERROR(VLOOKUP(B20,Daily_Working_Do_Not_Delete!AS:AT,2,0))</f>
        <v/>
      </c>
      <c r="AM20" s="149">
        <f>IFERROR(VLOOKUP(B20,Daily_Working_Do_Not_Delete!AQ:AR,2,0))</f>
        <v>0.01225694444</v>
      </c>
      <c r="AN20" s="149">
        <f>IFERROR(VLOOKUP(B20,Daily_Working_Do_Not_Delete!AO:AP,2,0))</f>
        <v>0.006689814815</v>
      </c>
      <c r="AO20" s="149" t="str">
        <f>IFERROR(VLOOKUP(B20,Daily_Working_Do_Not_Delete!AM:AN,2,0))</f>
        <v/>
      </c>
      <c r="AP20" s="149">
        <f>IFERROR(VLOOKUP(B20,Daily_Working_Do_Not_Delete!AK:AL,2,0))</f>
        <v>0.01293981481</v>
      </c>
      <c r="AQ20" s="149">
        <f>IFERROR(VLOOKUP(B20,Daily_Working_Do_Not_Delete!AI:AJ,2,0))</f>
        <v>0.02439814815</v>
      </c>
      <c r="AR20" s="149">
        <f>IFERROR(VLOOKUP(B20,Daily_Working_Do_Not_Delete!AG:AH,2,0))</f>
        <v>0.01615740741</v>
      </c>
      <c r="AS20" s="149" t="str">
        <f>IFERROR(VLOOKUP(B20,Daily_Working_Do_Not_Delete!AE:AF,2,0))</f>
        <v/>
      </c>
      <c r="AT20" s="149">
        <f>IFERROR(VLOOKUP(B20,Daily_Working_Do_Not_Delete!AC:AD,2,0))</f>
        <v>0</v>
      </c>
      <c r="AU20" s="149" t="str">
        <f>IFERROR(VLOOKUP(B20,Daily_Working_Do_Not_Delete!AA:AB,2,0))</f>
        <v/>
      </c>
      <c r="AV20" s="149" t="str">
        <f>IFERROR(VLOOKUP(B20,Daily_Working_Do_Not_Delete!Y:Z,2,0))</f>
        <v/>
      </c>
      <c r="AW20" s="149" t="str">
        <f>IFERROR(VLOOKUP(B20,Daily_Working_Do_Not_Delete!W:X,2,0))</f>
        <v/>
      </c>
      <c r="AX20" s="149" t="str">
        <f>IFERROR(VLOOKUP(B20,Daily_Working_Do_Not_Delete!U:V,2,0))</f>
        <v/>
      </c>
      <c r="AY20" s="149" t="str">
        <f>IFERROR(VLOOKUP(B20,Daily_Working_Do_Not_Delete!S:T,2,0))</f>
        <v/>
      </c>
      <c r="AZ20" s="149" t="str">
        <f>IFERROR(VLOOKUP(B20,Daily_Working_Do_Not_Delete!Q:R,2,0))</f>
        <v/>
      </c>
      <c r="BA20" s="149" t="str">
        <f>IFERROR(VLOOKUP(B20,Daily_Working_Do_Not_Delete!O:P,2,0))</f>
        <v/>
      </c>
      <c r="BB20" s="149" t="str">
        <f>IFERROR(VLOOKUP(B20,Daily_Working_Do_Not_Delete!M:N,2,0))</f>
        <v/>
      </c>
      <c r="BC20" s="149" t="str">
        <f>IFERROR(VLOOKUP(B20,Daily_Working_Do_Not_Delete!K:L,2,0))</f>
        <v/>
      </c>
      <c r="BD20" s="149" t="str">
        <f>IFERROR(VLOOKUP(B20,Daily_Working_Do_Not_Delete!I:J,2,0))</f>
        <v/>
      </c>
      <c r="BE20" s="149" t="str">
        <f>IFERROR(VLOOKUP(B20,Daily_Working_Do_Not_Delete!G:H,2,0))</f>
        <v/>
      </c>
      <c r="BF20" s="149" t="str">
        <f>IFERROR(VLOOKUP(B20,Daily_Working_Do_Not_Delete!E:F,2,0))</f>
        <v/>
      </c>
      <c r="BG20" s="149" t="str">
        <f>IFERROR(VLOOKUP(B20,Daily_Working_Do_Not_Delete!C:D,2,0))</f>
        <v/>
      </c>
      <c r="BH20" s="149" t="str">
        <f>IFERROR(VLOOKUP(B20,Daily_Working_Do_Not_Delete!A:B,2,0))</f>
        <v/>
      </c>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row>
    <row r="21">
      <c r="A21" s="146" t="s">
        <v>7</v>
      </c>
      <c r="B21" s="146" t="s">
        <v>32</v>
      </c>
      <c r="C21" s="137" t="s">
        <v>421</v>
      </c>
      <c r="D21" s="148">
        <f t="shared" si="3"/>
        <v>7.562060185</v>
      </c>
      <c r="E21" s="149">
        <f>IFERROR(VLOOKUP(B21,Daily_Working_Do_Not_Delete!DG:DH,2,0))</f>
        <v>3.537627315</v>
      </c>
      <c r="F21" s="149">
        <f>IFERROR(VLOOKUP(B21,Daily_Working_Do_Not_Delete!DE:DF,2,0))</f>
        <v>0.02888888889</v>
      </c>
      <c r="G21" s="149">
        <f>IFERROR(VLOOKUP(B21,Daily_Working_Do_Not_Delete!DC:DD,2,0))</f>
        <v>0.02940972222</v>
      </c>
      <c r="H21" s="149">
        <f>IFERROR(VLOOKUP(B21,Daily_Working_Do_Not_Delete!DA:DB,2,0))</f>
        <v>0.02701388889</v>
      </c>
      <c r="I21" s="149">
        <f>IFERROR(VLOOKUP(B21,Daily_Working_Do_Not_Delete!CY:CZ,2,0))</f>
        <v>0.0001967592593</v>
      </c>
      <c r="J21" s="149">
        <f>IFERROR(VLOOKUP(B21,Daily_Working_Do_Not_Delete!CW:CX,2,0))</f>
        <v>0.003113425926</v>
      </c>
      <c r="K21" s="149">
        <f>IFERROR(VLOOKUP(B21,Daily_Working_Do_Not_Delete!CU:CV,2,0))</f>
        <v>0.03851851852</v>
      </c>
      <c r="L21" s="149">
        <f>IFERROR(VLOOKUP(B21,Daily_Working_Do_Not_Delete!CS:CT,2,0))</f>
        <v>0.02298611111</v>
      </c>
      <c r="M21" s="149">
        <f>IFERROR(VLOOKUP(B21,Daily_Working_Do_Not_Delete!CQ:CR,2,0))</f>
        <v>0.003032407407</v>
      </c>
      <c r="N21" s="149" t="str">
        <f>IFERROR(VLOOKUP(B21,Daily_Working_Do_Not_Delete!CO:CP,2,0))</f>
        <v/>
      </c>
      <c r="O21" s="149">
        <f>IFERROR(VLOOKUP(B21,Daily_Working_Do_Not_Delete!CM:CN,2,0))</f>
        <v>0.005486111111</v>
      </c>
      <c r="P21" s="149">
        <f>IFERROR(VLOOKUP(B21,Daily_Working_Do_Not_Delete!CK:CL,2,0))</f>
        <v>0.08270833333</v>
      </c>
      <c r="Q21" s="149">
        <f>IFERROR(VLOOKUP(B21,Daily_Working_Do_Not_Delete!CI:CJ,2,0))</f>
        <v>0.04331018519</v>
      </c>
      <c r="R21" s="149">
        <f>IFERROR(VLOOKUP(B21,Daily_Working_Do_Not_Delete!CG:CH,2,0))</f>
        <v>0.03594907407</v>
      </c>
      <c r="S21" s="149">
        <f>IFERROR(VLOOKUP(B21,Daily_Working_Do_Not_Delete!CE:CF,2,0))</f>
        <v>0.1590856481</v>
      </c>
      <c r="T21" s="149">
        <f>IFERROR(VLOOKUP(B21,Daily_Working_Do_Not_Delete!CC:CD,2,0))</f>
        <v>0.1301041667</v>
      </c>
      <c r="U21" s="149">
        <f>IFERROR(VLOOKUP(B21,Daily_Working_Do_Not_Delete!CA:CB,2,0))</f>
        <v>0.07640046296</v>
      </c>
      <c r="V21" s="149">
        <f>IFERROR(VLOOKUP(B21,Daily_Working_Do_Not_Delete!BY:BZ,2,0))</f>
        <v>0.06872685185</v>
      </c>
      <c r="W21" s="149">
        <f>IFERROR(VLOOKUP(B21,Daily_Working_Do_Not_Delete!BW:BX,2,0))</f>
        <v>0.07127314815</v>
      </c>
      <c r="X21" s="149">
        <f>IFERROR(VLOOKUP(B21,Daily_Working_Do_Not_Delete!BU:BV,2,0))</f>
        <v>0.1309953704</v>
      </c>
      <c r="Y21" s="149">
        <f>IFERROR(VLOOKUP(B21,Daily_Working_Do_Not_Delete!BS:BT,2,0))</f>
        <v>0.117337963</v>
      </c>
      <c r="Z21" s="149">
        <f>IFERROR(VLOOKUP(B21,Daily_Working_Do_Not_Delete!BQ:BR,2,0))</f>
        <v>0.03615740741</v>
      </c>
      <c r="AA21" s="149">
        <f>IFERROR(VLOOKUP(B21,Daily_Working_Do_Not_Delete!BO:BP,2,0))</f>
        <v>0.07763888889</v>
      </c>
      <c r="AB21" s="149">
        <f>IFERROR(VLOOKUP(B21,Daily_Working_Do_Not_Delete!BM:BN,2,0))</f>
        <v>0.2585069444</v>
      </c>
      <c r="AC21" s="149">
        <f>IFERROR(VLOOKUP(B21,Daily_Working_Do_Not_Delete!BK:BL,2,0))</f>
        <v>0.2102430556</v>
      </c>
      <c r="AD21" s="149">
        <f>IFERROR(VLOOKUP(B21,Daily_Working_Do_Not_Delete!BI:BJ,2,0))</f>
        <v>0.4246180556</v>
      </c>
      <c r="AE21" s="149">
        <f>IFERROR(VLOOKUP(B21,Daily_Working_Do_Not_Delete!BG:BH,2,0))</f>
        <v>0.7640393519</v>
      </c>
      <c r="AF21" s="149">
        <f>IFERROR(VLOOKUP(B21,Daily_Working_Do_Not_Delete!BE:BF,2,0))</f>
        <v>0.4618518519</v>
      </c>
      <c r="AG21" s="149">
        <f>IFERROR(VLOOKUP(B21,Daily_Working_Do_Not_Delete!BC:BD,2,0))</f>
        <v>0.403275463</v>
      </c>
      <c r="AH21" s="149">
        <f>IFERROR(VLOOKUP(B21,Daily_Working_Do_Not_Delete!BA:BB,2,0))</f>
        <v>0.191412037</v>
      </c>
      <c r="AI21" s="149">
        <f>IFERROR(VLOOKUP(B21,Daily_Working_Do_Not_Delete!AY:AZ,2,0))</f>
        <v>0.07396990741</v>
      </c>
      <c r="AJ21" s="149">
        <f>IFERROR(VLOOKUP(B21,Daily_Working_Do_Not_Delete!AW:AX,2,0))</f>
        <v>0.0175</v>
      </c>
      <c r="AK21" s="149" t="str">
        <f>IFERROR(VLOOKUP(B21,Daily_Working_Do_Not_Delete!AU:AV,2,0))</f>
        <v/>
      </c>
      <c r="AL21" s="149">
        <f>IFERROR(VLOOKUP(B21,Daily_Working_Do_Not_Delete!AS:AT,2,0))</f>
        <v>0.004722222222</v>
      </c>
      <c r="AM21" s="149">
        <f>IFERROR(VLOOKUP(B21,Daily_Working_Do_Not_Delete!AQ:AR,2,0))</f>
        <v>0.008402777778</v>
      </c>
      <c r="AN21" s="149">
        <f>IFERROR(VLOOKUP(B21,Daily_Working_Do_Not_Delete!AO:AP,2,0))</f>
        <v>0.0006018518519</v>
      </c>
      <c r="AO21" s="149" t="str">
        <f>IFERROR(VLOOKUP(B21,Daily_Working_Do_Not_Delete!AM:AN,2,0))</f>
        <v/>
      </c>
      <c r="AP21" s="149">
        <f>IFERROR(VLOOKUP(B21,Daily_Working_Do_Not_Delete!AK:AL,2,0))</f>
        <v>0.007164351852</v>
      </c>
      <c r="AQ21" s="149">
        <f>IFERROR(VLOOKUP(B21,Daily_Working_Do_Not_Delete!AI:AJ,2,0))</f>
        <v>0</v>
      </c>
      <c r="AR21" s="149">
        <f>IFERROR(VLOOKUP(B21,Daily_Working_Do_Not_Delete!AG:AH,2,0))</f>
        <v>0.009513888889</v>
      </c>
      <c r="AS21" s="149" t="str">
        <f>IFERROR(VLOOKUP(B21,Daily_Working_Do_Not_Delete!AE:AF,2,0))</f>
        <v/>
      </c>
      <c r="AT21" s="149" t="str">
        <f>IFERROR(VLOOKUP(B21,Daily_Working_Do_Not_Delete!AC:AD,2,0))</f>
        <v/>
      </c>
      <c r="AU21" s="149" t="str">
        <f>IFERROR(VLOOKUP(B21,Daily_Working_Do_Not_Delete!AA:AB,2,0))</f>
        <v/>
      </c>
      <c r="AV21" s="149" t="str">
        <f>IFERROR(VLOOKUP(B21,Daily_Working_Do_Not_Delete!Y:Z,2,0))</f>
        <v/>
      </c>
      <c r="AW21" s="149" t="str">
        <f>IFERROR(VLOOKUP(B21,Daily_Working_Do_Not_Delete!W:X,2,0))</f>
        <v/>
      </c>
      <c r="AX21" s="149">
        <f>IFERROR(VLOOKUP(B21,Daily_Working_Do_Not_Delete!U:V,2,0))</f>
        <v>0.0002777777778</v>
      </c>
      <c r="AY21" s="149" t="str">
        <f>IFERROR(VLOOKUP(B21,Daily_Working_Do_Not_Delete!S:T,2,0))</f>
        <v/>
      </c>
      <c r="AZ21" s="149" t="str">
        <f>IFERROR(VLOOKUP(B21,Daily_Working_Do_Not_Delete!Q:R,2,0))</f>
        <v/>
      </c>
      <c r="BA21" s="149" t="str">
        <f>IFERROR(VLOOKUP(B21,Daily_Working_Do_Not_Delete!O:P,2,0))</f>
        <v/>
      </c>
      <c r="BB21" s="149" t="str">
        <f>IFERROR(VLOOKUP(B21,Daily_Working_Do_Not_Delete!M:N,2,0))</f>
        <v/>
      </c>
      <c r="BC21" s="149" t="str">
        <f>IFERROR(VLOOKUP(B21,Daily_Working_Do_Not_Delete!K:L,2,0))</f>
        <v/>
      </c>
      <c r="BD21" s="149" t="str">
        <f>IFERROR(VLOOKUP(B21,Daily_Working_Do_Not_Delete!I:J,2,0))</f>
        <v/>
      </c>
      <c r="BE21" s="149" t="str">
        <f>IFERROR(VLOOKUP(B21,Daily_Working_Do_Not_Delete!G:H,2,0))</f>
        <v/>
      </c>
      <c r="BF21" s="149" t="str">
        <f>IFERROR(VLOOKUP(B21,Daily_Working_Do_Not_Delete!E:F,2,0))</f>
        <v/>
      </c>
      <c r="BG21" s="149" t="str">
        <f>IFERROR(VLOOKUP(B21,Daily_Working_Do_Not_Delete!C:D,2,0))</f>
        <v/>
      </c>
      <c r="BH21" s="149" t="str">
        <f>IFERROR(VLOOKUP(B21,Daily_Working_Do_Not_Delete!A:B,2,0))</f>
        <v/>
      </c>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row>
    <row r="22">
      <c r="A22" s="146" t="s">
        <v>7</v>
      </c>
      <c r="B22" s="146" t="s">
        <v>33</v>
      </c>
      <c r="C22" s="137" t="s">
        <v>421</v>
      </c>
      <c r="D22" s="148">
        <f t="shared" si="3"/>
        <v>12.8047338</v>
      </c>
      <c r="E22" s="149">
        <f>IFERROR(VLOOKUP(B22,Daily_Working_Do_Not_Delete!DG:DH,2,0))</f>
        <v>8.586006944</v>
      </c>
      <c r="F22" s="149">
        <f>IFERROR(VLOOKUP(B22,Daily_Working_Do_Not_Delete!DE:DF,2,0))</f>
        <v>0.4115625</v>
      </c>
      <c r="G22" s="149">
        <f>IFERROR(VLOOKUP(B22,Daily_Working_Do_Not_Delete!DC:DD,2,0))</f>
        <v>0.5694907407</v>
      </c>
      <c r="H22" s="149">
        <f>IFERROR(VLOOKUP(B22,Daily_Working_Do_Not_Delete!DA:DB,2,0))</f>
        <v>0.3649421296</v>
      </c>
      <c r="I22" s="149">
        <f>IFERROR(VLOOKUP(B22,Daily_Working_Do_Not_Delete!CY:CZ,2,0))</f>
        <v>0.1709143519</v>
      </c>
      <c r="J22" s="149">
        <f>IFERROR(VLOOKUP(B22,Daily_Working_Do_Not_Delete!CW:CX,2,0))</f>
        <v>0.1643055556</v>
      </c>
      <c r="K22" s="149">
        <f>IFERROR(VLOOKUP(B22,Daily_Working_Do_Not_Delete!CU:CV,2,0))</f>
        <v>0.1616666667</v>
      </c>
      <c r="L22" s="149">
        <f>IFERROR(VLOOKUP(B22,Daily_Working_Do_Not_Delete!CS:CT,2,0))</f>
        <v>0.1471412037</v>
      </c>
      <c r="M22" s="149">
        <f>IFERROR(VLOOKUP(B22,Daily_Working_Do_Not_Delete!CQ:CR,2,0))</f>
        <v>0.2102777778</v>
      </c>
      <c r="N22" s="149">
        <f>IFERROR(VLOOKUP(B22,Daily_Working_Do_Not_Delete!CO:CP,2,0))</f>
        <v>0.2130092593</v>
      </c>
      <c r="O22" s="149">
        <f>IFERROR(VLOOKUP(B22,Daily_Working_Do_Not_Delete!CM:CN,2,0))</f>
        <v>0.2206597222</v>
      </c>
      <c r="P22" s="149">
        <f>IFERROR(VLOOKUP(B22,Daily_Working_Do_Not_Delete!CK:CL,2,0))</f>
        <v>0.5141319444</v>
      </c>
      <c r="Q22" s="149">
        <f>IFERROR(VLOOKUP(B22,Daily_Working_Do_Not_Delete!CI:CJ,2,0))</f>
        <v>0.4736689815</v>
      </c>
      <c r="R22" s="149">
        <f>IFERROR(VLOOKUP(B22,Daily_Working_Do_Not_Delete!CG:CH,2,0))</f>
        <v>0.2371064815</v>
      </c>
      <c r="S22" s="149">
        <f>IFERROR(VLOOKUP(B22,Daily_Working_Do_Not_Delete!CE:CF,2,0))</f>
        <v>0.07939814815</v>
      </c>
      <c r="T22" s="149">
        <f>IFERROR(VLOOKUP(B22,Daily_Working_Do_Not_Delete!CC:CD,2,0))</f>
        <v>0.04712962963</v>
      </c>
      <c r="U22" s="149">
        <f>IFERROR(VLOOKUP(B22,Daily_Working_Do_Not_Delete!CA:CB,2,0))</f>
        <v>0.03524305556</v>
      </c>
      <c r="V22" s="149">
        <f>IFERROR(VLOOKUP(B22,Daily_Working_Do_Not_Delete!BY:BZ,2,0))</f>
        <v>0.03356481481</v>
      </c>
      <c r="W22" s="149">
        <f>IFERROR(VLOOKUP(B22,Daily_Working_Do_Not_Delete!BW:BX,2,0))</f>
        <v>0.01171296296</v>
      </c>
      <c r="X22" s="149">
        <f>IFERROR(VLOOKUP(B22,Daily_Working_Do_Not_Delete!BU:BV,2,0))</f>
        <v>0.01334490741</v>
      </c>
      <c r="Y22" s="149">
        <f>IFERROR(VLOOKUP(B22,Daily_Working_Do_Not_Delete!BS:BT,2,0))</f>
        <v>0.01175925926</v>
      </c>
      <c r="Z22" s="149">
        <f>IFERROR(VLOOKUP(B22,Daily_Working_Do_Not_Delete!BQ:BR,2,0))</f>
        <v>0.01247685185</v>
      </c>
      <c r="AA22" s="149">
        <f>IFERROR(VLOOKUP(B22,Daily_Working_Do_Not_Delete!BO:BP,2,0))</f>
        <v>0.02710648148</v>
      </c>
      <c r="AB22" s="149">
        <f>IFERROR(VLOOKUP(B22,Daily_Working_Do_Not_Delete!BM:BN,2,0))</f>
        <v>0.004155092593</v>
      </c>
      <c r="AC22" s="149" t="str">
        <f>IFERROR(VLOOKUP(B22,Daily_Working_Do_Not_Delete!BK:BL,2,0))</f>
        <v/>
      </c>
      <c r="AD22" s="149" t="str">
        <f>IFERROR(VLOOKUP(B22,Daily_Working_Do_Not_Delete!BI:BJ,2,0))</f>
        <v/>
      </c>
      <c r="AE22" s="149">
        <f>IFERROR(VLOOKUP(B22,Daily_Working_Do_Not_Delete!BG:BH,2,0))</f>
        <v>0.004016203704</v>
      </c>
      <c r="AF22" s="149">
        <f>IFERROR(VLOOKUP(B22,Daily_Working_Do_Not_Delete!BE:BF,2,0))</f>
        <v>0.0003472222222</v>
      </c>
      <c r="AG22" s="149" t="str">
        <f>IFERROR(VLOOKUP(B22,Daily_Working_Do_Not_Delete!BC:BD,2,0))</f>
        <v/>
      </c>
      <c r="AH22" s="149">
        <f>IFERROR(VLOOKUP(B22,Daily_Working_Do_Not_Delete!BA:BB,2,0))</f>
        <v>0.02344907407</v>
      </c>
      <c r="AI22" s="149">
        <f>IFERROR(VLOOKUP(B22,Daily_Working_Do_Not_Delete!AY:AZ,2,0))</f>
        <v>0.007743055556</v>
      </c>
      <c r="AJ22" s="149" t="str">
        <f>IFERROR(VLOOKUP(B22,Daily_Working_Do_Not_Delete!AW:AX,2,0))</f>
        <v/>
      </c>
      <c r="AK22" s="149" t="str">
        <f>IFERROR(VLOOKUP(B22,Daily_Working_Do_Not_Delete!AU:AV,2,0))</f>
        <v/>
      </c>
      <c r="AL22" s="149" t="str">
        <f>IFERROR(VLOOKUP(B22,Daily_Working_Do_Not_Delete!AS:AT,2,0))</f>
        <v/>
      </c>
      <c r="AM22" s="149">
        <f>IFERROR(VLOOKUP(B22,Daily_Working_Do_Not_Delete!AQ:AR,2,0))</f>
        <v>0.02252314815</v>
      </c>
      <c r="AN22" s="149">
        <f>IFERROR(VLOOKUP(B22,Daily_Working_Do_Not_Delete!AO:AP,2,0))</f>
        <v>0.02368055556</v>
      </c>
      <c r="AO22" s="149" t="str">
        <f>IFERROR(VLOOKUP(B22,Daily_Working_Do_Not_Delete!AM:AN,2,0))</f>
        <v/>
      </c>
      <c r="AP22" s="149" t="str">
        <f>IFERROR(VLOOKUP(B22,Daily_Working_Do_Not_Delete!AK:AL,2,0))</f>
        <v/>
      </c>
      <c r="AQ22" s="149" t="str">
        <f>IFERROR(VLOOKUP(B22,Daily_Working_Do_Not_Delete!AI:AJ,2,0))</f>
        <v/>
      </c>
      <c r="AR22" s="149" t="str">
        <f>IFERROR(VLOOKUP(B22,Daily_Working_Do_Not_Delete!AG:AH,2,0))</f>
        <v/>
      </c>
      <c r="AS22" s="149" t="str">
        <f>IFERROR(VLOOKUP(B22,Daily_Working_Do_Not_Delete!AE:AF,2,0))</f>
        <v/>
      </c>
      <c r="AT22" s="149" t="str">
        <f>IFERROR(VLOOKUP(B22,Daily_Working_Do_Not_Delete!AC:AD,2,0))</f>
        <v/>
      </c>
      <c r="AU22" s="149" t="str">
        <f>IFERROR(VLOOKUP(B22,Daily_Working_Do_Not_Delete!AA:AB,2,0))</f>
        <v/>
      </c>
      <c r="AV22" s="149" t="str">
        <f>IFERROR(VLOOKUP(B22,Daily_Working_Do_Not_Delete!Y:Z,2,0))</f>
        <v/>
      </c>
      <c r="AW22" s="149" t="str">
        <f>IFERROR(VLOOKUP(B22,Daily_Working_Do_Not_Delete!W:X,2,0))</f>
        <v/>
      </c>
      <c r="AX22" s="149" t="str">
        <f>IFERROR(VLOOKUP(B22,Daily_Working_Do_Not_Delete!U:V,2,0))</f>
        <v/>
      </c>
      <c r="AY22" s="149">
        <f>IFERROR(VLOOKUP(B22,Daily_Working_Do_Not_Delete!S:T,2,0))</f>
        <v>0.002199074074</v>
      </c>
      <c r="AZ22" s="149" t="str">
        <f>IFERROR(VLOOKUP(B22,Daily_Working_Do_Not_Delete!Q:R,2,0))</f>
        <v/>
      </c>
      <c r="BA22" s="149" t="str">
        <f>IFERROR(VLOOKUP(B22,Daily_Working_Do_Not_Delete!O:P,2,0))</f>
        <v/>
      </c>
      <c r="BB22" s="149" t="str">
        <f>IFERROR(VLOOKUP(B22,Daily_Working_Do_Not_Delete!M:N,2,0))</f>
        <v/>
      </c>
      <c r="BC22" s="149" t="str">
        <f>IFERROR(VLOOKUP(B22,Daily_Working_Do_Not_Delete!K:L,2,0))</f>
        <v/>
      </c>
      <c r="BD22" s="149" t="str">
        <f>IFERROR(VLOOKUP(B22,Daily_Working_Do_Not_Delete!I:J,2,0))</f>
        <v/>
      </c>
      <c r="BE22" s="149" t="str">
        <f>IFERROR(VLOOKUP(B22,Daily_Working_Do_Not_Delete!G:H,2,0))</f>
        <v/>
      </c>
      <c r="BF22" s="149" t="str">
        <f>IFERROR(VLOOKUP(B22,Daily_Working_Do_Not_Delete!E:F,2,0))</f>
        <v/>
      </c>
      <c r="BG22" s="149" t="str">
        <f>IFERROR(VLOOKUP(B22,Daily_Working_Do_Not_Delete!C:D,2,0))</f>
        <v/>
      </c>
      <c r="BH22" s="149" t="str">
        <f>IFERROR(VLOOKUP(B22,Daily_Working_Do_Not_Delete!A:B,2,0))</f>
        <v/>
      </c>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row>
    <row r="23">
      <c r="A23" s="146" t="s">
        <v>7</v>
      </c>
      <c r="B23" s="146" t="s">
        <v>34</v>
      </c>
      <c r="C23" s="137" t="s">
        <v>421</v>
      </c>
      <c r="D23" s="148">
        <f t="shared" si="3"/>
        <v>7.494050926</v>
      </c>
      <c r="E23" s="149">
        <f>IFERROR(VLOOKUP(B23,Daily_Working_Do_Not_Delete!DG:DH,2,0))</f>
        <v>3.788263889</v>
      </c>
      <c r="F23" s="149">
        <f>IFERROR(VLOOKUP(B23,Daily_Working_Do_Not_Delete!DE:DF,2,0))</f>
        <v>0.02418981481</v>
      </c>
      <c r="G23" s="149">
        <f>IFERROR(VLOOKUP(B23,Daily_Working_Do_Not_Delete!DC:DD,2,0))</f>
        <v>0.003194444444</v>
      </c>
      <c r="H23" s="149">
        <f>IFERROR(VLOOKUP(B23,Daily_Working_Do_Not_Delete!DA:DB,2,0))</f>
        <v>0.01263888889</v>
      </c>
      <c r="I23" s="149">
        <f>IFERROR(VLOOKUP(B23,Daily_Working_Do_Not_Delete!CY:CZ,2,0))</f>
        <v>0.004351851852</v>
      </c>
      <c r="J23" s="149">
        <f>IFERROR(VLOOKUP(B23,Daily_Working_Do_Not_Delete!CW:CX,2,0))</f>
        <v>0.007592592593</v>
      </c>
      <c r="K23" s="149">
        <f>IFERROR(VLOOKUP(B23,Daily_Working_Do_Not_Delete!CU:CV,2,0))</f>
        <v>0.006400462963</v>
      </c>
      <c r="L23" s="149">
        <f>IFERROR(VLOOKUP(B23,Daily_Working_Do_Not_Delete!CS:CT,2,0))</f>
        <v>0.02688657407</v>
      </c>
      <c r="M23" s="149">
        <f>IFERROR(VLOOKUP(B23,Daily_Working_Do_Not_Delete!CQ:CR,2,0))</f>
        <v>0.04298611111</v>
      </c>
      <c r="N23" s="149">
        <f>IFERROR(VLOOKUP(B23,Daily_Working_Do_Not_Delete!CO:CP,2,0))</f>
        <v>0.04395833333</v>
      </c>
      <c r="O23" s="149">
        <f>IFERROR(VLOOKUP(B23,Daily_Working_Do_Not_Delete!CM:CN,2,0))</f>
        <v>0.04216435185</v>
      </c>
      <c r="P23" s="149">
        <f>IFERROR(VLOOKUP(B23,Daily_Working_Do_Not_Delete!CK:CL,2,0))</f>
        <v>0.2131134259</v>
      </c>
      <c r="Q23" s="149">
        <f>IFERROR(VLOOKUP(B23,Daily_Working_Do_Not_Delete!CI:CJ,2,0))</f>
        <v>0.08809027778</v>
      </c>
      <c r="R23" s="149">
        <f>IFERROR(VLOOKUP(B23,Daily_Working_Do_Not_Delete!CG:CH,2,0))</f>
        <v>0.07605324074</v>
      </c>
      <c r="S23" s="149">
        <f>IFERROR(VLOOKUP(B23,Daily_Working_Do_Not_Delete!CE:CF,2,0))</f>
        <v>0.06796296296</v>
      </c>
      <c r="T23" s="149">
        <f>IFERROR(VLOOKUP(B23,Daily_Working_Do_Not_Delete!CC:CD,2,0))</f>
        <v>0.04646990741</v>
      </c>
      <c r="U23" s="149">
        <f>IFERROR(VLOOKUP(B23,Daily_Working_Do_Not_Delete!CA:CB,2,0))</f>
        <v>0.4128009259</v>
      </c>
      <c r="V23" s="149">
        <f>IFERROR(VLOOKUP(B23,Daily_Working_Do_Not_Delete!BY:BZ,2,0))</f>
        <v>0.5025694444</v>
      </c>
      <c r="W23" s="149">
        <f>IFERROR(VLOOKUP(B23,Daily_Working_Do_Not_Delete!BW:BX,2,0))</f>
        <v>0.288912037</v>
      </c>
      <c r="X23" s="149">
        <f>IFERROR(VLOOKUP(B23,Daily_Working_Do_Not_Delete!BU:BV,2,0))</f>
        <v>0.2462384259</v>
      </c>
      <c r="Y23" s="149">
        <f>IFERROR(VLOOKUP(B23,Daily_Working_Do_Not_Delete!BS:BT,2,0))</f>
        <v>0.2109953704</v>
      </c>
      <c r="Z23" s="149">
        <f>IFERROR(VLOOKUP(B23,Daily_Working_Do_Not_Delete!BQ:BR,2,0))</f>
        <v>0.1489583333</v>
      </c>
      <c r="AA23" s="149">
        <f>IFERROR(VLOOKUP(B23,Daily_Working_Do_Not_Delete!BO:BP,2,0))</f>
        <v>0.3269097222</v>
      </c>
      <c r="AB23" s="149">
        <f>IFERROR(VLOOKUP(B23,Daily_Working_Do_Not_Delete!BM:BN,2,0))</f>
        <v>0.4534606481</v>
      </c>
      <c r="AC23" s="149">
        <f>IFERROR(VLOOKUP(B23,Daily_Working_Do_Not_Delete!BK:BL,2,0))</f>
        <v>0.134537037</v>
      </c>
      <c r="AD23" s="149">
        <f>IFERROR(VLOOKUP(B23,Daily_Working_Do_Not_Delete!BI:BJ,2,0))</f>
        <v>0.09738425926</v>
      </c>
      <c r="AE23" s="149">
        <f>IFERROR(VLOOKUP(B23,Daily_Working_Do_Not_Delete!BG:BH,2,0))</f>
        <v>0.0462037037</v>
      </c>
      <c r="AF23" s="149">
        <f>IFERROR(VLOOKUP(B23,Daily_Working_Do_Not_Delete!BE:BF,2,0))</f>
        <v>0.01902777778</v>
      </c>
      <c r="AG23" s="149">
        <f>IFERROR(VLOOKUP(B23,Daily_Working_Do_Not_Delete!BC:BD,2,0))</f>
        <v>0.03320601852</v>
      </c>
      <c r="AH23" s="149">
        <f>IFERROR(VLOOKUP(B23,Daily_Working_Do_Not_Delete!BA:BB,2,0))</f>
        <v>0.01146990741</v>
      </c>
      <c r="AI23" s="149">
        <f>IFERROR(VLOOKUP(B23,Daily_Working_Do_Not_Delete!AY:AZ,2,0))</f>
        <v>0.004131944444</v>
      </c>
      <c r="AJ23" s="149">
        <f>IFERROR(VLOOKUP(B23,Daily_Working_Do_Not_Delete!AW:AX,2,0))</f>
        <v>0.001053240741</v>
      </c>
      <c r="AK23" s="149">
        <f>IFERROR(VLOOKUP(B23,Daily_Working_Do_Not_Delete!AU:AV,2,0))</f>
        <v>0.01078703704</v>
      </c>
      <c r="AL23" s="149">
        <f>IFERROR(VLOOKUP(B23,Daily_Working_Do_Not_Delete!AS:AT,2,0))</f>
        <v>0.0130787037</v>
      </c>
      <c r="AM23" s="149" t="str">
        <f>IFERROR(VLOOKUP(B23,Daily_Working_Do_Not_Delete!AQ:AR,2,0))</f>
        <v/>
      </c>
      <c r="AN23" s="149" t="str">
        <f>IFERROR(VLOOKUP(B23,Daily_Working_Do_Not_Delete!AO:AP,2,0))</f>
        <v/>
      </c>
      <c r="AO23" s="149" t="str">
        <f>IFERROR(VLOOKUP(B23,Daily_Working_Do_Not_Delete!AM:AN,2,0))</f>
        <v/>
      </c>
      <c r="AP23" s="149">
        <f>IFERROR(VLOOKUP(B23,Daily_Working_Do_Not_Delete!AK:AL,2,0))</f>
        <v>0.01761574074</v>
      </c>
      <c r="AQ23" s="149">
        <f>IFERROR(VLOOKUP(B23,Daily_Working_Do_Not_Delete!AI:AJ,2,0))</f>
        <v>0.01655092593</v>
      </c>
      <c r="AR23" s="149">
        <f>IFERROR(VLOOKUP(B23,Daily_Working_Do_Not_Delete!AG:AH,2,0))</f>
        <v>0.001180555556</v>
      </c>
      <c r="AS23" s="149" t="str">
        <f>IFERROR(VLOOKUP(B23,Daily_Working_Do_Not_Delete!AE:AF,2,0))</f>
        <v/>
      </c>
      <c r="AT23" s="149" t="str">
        <f>IFERROR(VLOOKUP(B23,Daily_Working_Do_Not_Delete!AC:AD,2,0))</f>
        <v/>
      </c>
      <c r="AU23" s="149" t="str">
        <f>IFERROR(VLOOKUP(B23,Daily_Working_Do_Not_Delete!AA:AB,2,0))</f>
        <v/>
      </c>
      <c r="AV23" s="149" t="str">
        <f>IFERROR(VLOOKUP(B23,Daily_Working_Do_Not_Delete!Y:Z,2,0))</f>
        <v/>
      </c>
      <c r="AW23" s="149" t="str">
        <f>IFERROR(VLOOKUP(B23,Daily_Working_Do_Not_Delete!W:X,2,0))</f>
        <v/>
      </c>
      <c r="AX23" s="149" t="str">
        <f>IFERROR(VLOOKUP(B23,Daily_Working_Do_Not_Delete!U:V,2,0))</f>
        <v/>
      </c>
      <c r="AY23" s="149" t="str">
        <f>IFERROR(VLOOKUP(B23,Daily_Working_Do_Not_Delete!S:T,2,0))</f>
        <v/>
      </c>
      <c r="AZ23" s="149">
        <f>IFERROR(VLOOKUP(B23,Daily_Working_Do_Not_Delete!Q:R,2,0))</f>
        <v>0.001342592593</v>
      </c>
      <c r="BA23" s="149">
        <f>IFERROR(VLOOKUP(B23,Daily_Working_Do_Not_Delete!O:P,2,0))</f>
        <v>0.001319444444</v>
      </c>
      <c r="BB23" s="149" t="str">
        <f>IFERROR(VLOOKUP(B23,Daily_Working_Do_Not_Delete!M:N,2,0))</f>
        <v/>
      </c>
      <c r="BC23" s="149" t="str">
        <f>IFERROR(VLOOKUP(B23,Daily_Working_Do_Not_Delete!K:L,2,0))</f>
        <v/>
      </c>
      <c r="BD23" s="149" t="str">
        <f>IFERROR(VLOOKUP(B23,Daily_Working_Do_Not_Delete!I:J,2,0))</f>
        <v/>
      </c>
      <c r="BE23" s="149" t="str">
        <f>IFERROR(VLOOKUP(B23,Daily_Working_Do_Not_Delete!G:H,2,0))</f>
        <v/>
      </c>
      <c r="BF23" s="149" t="str">
        <f>IFERROR(VLOOKUP(B23,Daily_Working_Do_Not_Delete!E:F,2,0))</f>
        <v/>
      </c>
      <c r="BG23" s="149" t="str">
        <f>IFERROR(VLOOKUP(B23,Daily_Working_Do_Not_Delete!C:D,2,0))</f>
        <v/>
      </c>
      <c r="BH23" s="149" t="str">
        <f>IFERROR(VLOOKUP(B23,Daily_Working_Do_Not_Delete!A:B,2,0))</f>
        <v/>
      </c>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row>
    <row r="24">
      <c r="A24" s="146" t="s">
        <v>7</v>
      </c>
      <c r="B24" s="146" t="s">
        <v>37</v>
      </c>
      <c r="C24" s="137" t="s">
        <v>421</v>
      </c>
      <c r="D24" s="148">
        <f t="shared" si="3"/>
        <v>8.576053241</v>
      </c>
      <c r="E24" s="149">
        <f>IFERROR(VLOOKUP(B24,Daily_Working_Do_Not_Delete!DG:DH,2,0))</f>
        <v>3.26837963</v>
      </c>
      <c r="F24" s="149">
        <f>IFERROR(VLOOKUP(B24,Daily_Working_Do_Not_Delete!DE:DF,2,0))</f>
        <v>0.02554398148</v>
      </c>
      <c r="G24" s="149" t="str">
        <f>IFERROR(VLOOKUP(B24,Daily_Working_Do_Not_Delete!DC:DD,2,0))</f>
        <v/>
      </c>
      <c r="H24" s="149" t="str">
        <f>IFERROR(VLOOKUP(B24,Daily_Working_Do_Not_Delete!DA:DB,2,0))</f>
        <v/>
      </c>
      <c r="I24" s="149" t="str">
        <f>IFERROR(VLOOKUP(B24,Daily_Working_Do_Not_Delete!CY:CZ,2,0))</f>
        <v/>
      </c>
      <c r="J24" s="149">
        <f>IFERROR(VLOOKUP(B24,Daily_Working_Do_Not_Delete!CW:CX,2,0))</f>
        <v>0.01362268519</v>
      </c>
      <c r="K24" s="149">
        <f>IFERROR(VLOOKUP(B24,Daily_Working_Do_Not_Delete!CU:CV,2,0))</f>
        <v>0.01094907407</v>
      </c>
      <c r="L24" s="149">
        <f>IFERROR(VLOOKUP(B24,Daily_Working_Do_Not_Delete!CS:CT,2,0))</f>
        <v>0.03585648148</v>
      </c>
      <c r="M24" s="149">
        <f>IFERROR(VLOOKUP(B24,Daily_Working_Do_Not_Delete!CQ:CR,2,0))</f>
        <v>0.02116898148</v>
      </c>
      <c r="N24" s="149">
        <f>IFERROR(VLOOKUP(B24,Daily_Working_Do_Not_Delete!CO:CP,2,0))</f>
        <v>0.03454861111</v>
      </c>
      <c r="O24" s="149">
        <f>IFERROR(VLOOKUP(B24,Daily_Working_Do_Not_Delete!CM:CN,2,0))</f>
        <v>0.03884259259</v>
      </c>
      <c r="P24" s="149">
        <f>IFERROR(VLOOKUP(B24,Daily_Working_Do_Not_Delete!CK:CL,2,0))</f>
        <v>0.07802083333</v>
      </c>
      <c r="Q24" s="149">
        <f>IFERROR(VLOOKUP(B24,Daily_Working_Do_Not_Delete!CI:CJ,2,0))</f>
        <v>0.1072453704</v>
      </c>
      <c r="R24" s="149">
        <f>IFERROR(VLOOKUP(B24,Daily_Working_Do_Not_Delete!CG:CH,2,0))</f>
        <v>0.073125</v>
      </c>
      <c r="S24" s="149">
        <f>IFERROR(VLOOKUP(B24,Daily_Working_Do_Not_Delete!CE:CF,2,0))</f>
        <v>0.1829513889</v>
      </c>
      <c r="T24" s="149">
        <f>IFERROR(VLOOKUP(B24,Daily_Working_Do_Not_Delete!CC:CD,2,0))</f>
        <v>0.1044907407</v>
      </c>
      <c r="U24" s="149">
        <f>IFERROR(VLOOKUP(B24,Daily_Working_Do_Not_Delete!CA:CB,2,0))</f>
        <v>0.08674768519</v>
      </c>
      <c r="V24" s="149">
        <f>IFERROR(VLOOKUP(B24,Daily_Working_Do_Not_Delete!BY:BZ,2,0))</f>
        <v>0.05270833333</v>
      </c>
      <c r="W24" s="149">
        <f>IFERROR(VLOOKUP(B24,Daily_Working_Do_Not_Delete!BW:BX,2,0))</f>
        <v>0.216712963</v>
      </c>
      <c r="X24" s="149">
        <f>IFERROR(VLOOKUP(B24,Daily_Working_Do_Not_Delete!BU:BV,2,0))</f>
        <v>0.1939236111</v>
      </c>
      <c r="Y24" s="149">
        <f>IFERROR(VLOOKUP(B24,Daily_Working_Do_Not_Delete!BS:BT,2,0))</f>
        <v>0.1754513889</v>
      </c>
      <c r="Z24" s="149">
        <f>IFERROR(VLOOKUP(B24,Daily_Working_Do_Not_Delete!BQ:BR,2,0))</f>
        <v>0.1892361111</v>
      </c>
      <c r="AA24" s="149">
        <f>IFERROR(VLOOKUP(B24,Daily_Working_Do_Not_Delete!BO:BP,2,0))</f>
        <v>0.2343634259</v>
      </c>
      <c r="AB24" s="149">
        <f>IFERROR(VLOOKUP(B24,Daily_Working_Do_Not_Delete!BM:BN,2,0))</f>
        <v>0.2000810185</v>
      </c>
      <c r="AC24" s="149">
        <f>IFERROR(VLOOKUP(B24,Daily_Working_Do_Not_Delete!BK:BL,2,0))</f>
        <v>0.4373148148</v>
      </c>
      <c r="AD24" s="149">
        <f>IFERROR(VLOOKUP(B24,Daily_Working_Do_Not_Delete!BI:BJ,2,0))</f>
        <v>0.8939583333</v>
      </c>
      <c r="AE24" s="149">
        <f>IFERROR(VLOOKUP(B24,Daily_Working_Do_Not_Delete!BG:BH,2,0))</f>
        <v>0.5453356481</v>
      </c>
      <c r="AF24" s="149">
        <f>IFERROR(VLOOKUP(B24,Daily_Working_Do_Not_Delete!BE:BF,2,0))</f>
        <v>0.6046875</v>
      </c>
      <c r="AG24" s="149">
        <f>IFERROR(VLOOKUP(B24,Daily_Working_Do_Not_Delete!BC:BD,2,0))</f>
        <v>0.5047337963</v>
      </c>
      <c r="AH24" s="149">
        <f>IFERROR(VLOOKUP(B24,Daily_Working_Do_Not_Delete!BA:BB,2,0))</f>
        <v>0.1036689815</v>
      </c>
      <c r="AI24" s="149">
        <f>IFERROR(VLOOKUP(B24,Daily_Working_Do_Not_Delete!AY:AZ,2,0))</f>
        <v>0.06383101852</v>
      </c>
      <c r="AJ24" s="149">
        <f>IFERROR(VLOOKUP(B24,Daily_Working_Do_Not_Delete!AW:AX,2,0))</f>
        <v>0.03734953704</v>
      </c>
      <c r="AK24" s="149">
        <f>IFERROR(VLOOKUP(B24,Daily_Working_Do_Not_Delete!AU:AV,2,0))</f>
        <v>0.005358796296</v>
      </c>
      <c r="AL24" s="149" t="str">
        <f>IFERROR(VLOOKUP(B24,Daily_Working_Do_Not_Delete!AS:AT,2,0))</f>
        <v/>
      </c>
      <c r="AM24" s="149">
        <f>IFERROR(VLOOKUP(B24,Daily_Working_Do_Not_Delete!AQ:AR,2,0))</f>
        <v>0.0009027777778</v>
      </c>
      <c r="AN24" s="149">
        <f>IFERROR(VLOOKUP(B24,Daily_Working_Do_Not_Delete!AO:AP,2,0))</f>
        <v>0.01408564815</v>
      </c>
      <c r="AO24" s="149">
        <f>IFERROR(VLOOKUP(B24,Daily_Working_Do_Not_Delete!AM:AN,2,0))</f>
        <v>0.006979166667</v>
      </c>
      <c r="AP24" s="149">
        <f>IFERROR(VLOOKUP(B24,Daily_Working_Do_Not_Delete!AK:AL,2,0))</f>
        <v>0.002430555556</v>
      </c>
      <c r="AQ24" s="149">
        <f>IFERROR(VLOOKUP(B24,Daily_Working_Do_Not_Delete!AI:AJ,2,0))</f>
        <v>0.0065625</v>
      </c>
      <c r="AR24" s="149">
        <f>IFERROR(VLOOKUP(B24,Daily_Working_Do_Not_Delete!AG:AH,2,0))</f>
        <v>0.003854166667</v>
      </c>
      <c r="AS24" s="149" t="str">
        <f>IFERROR(VLOOKUP(B24,Daily_Working_Do_Not_Delete!AE:AF,2,0))</f>
        <v/>
      </c>
      <c r="AT24" s="149" t="str">
        <f>IFERROR(VLOOKUP(B24,Daily_Working_Do_Not_Delete!AC:AD,2,0))</f>
        <v/>
      </c>
      <c r="AU24" s="149">
        <f>IFERROR(VLOOKUP(B24,Daily_Working_Do_Not_Delete!AA:AB,2,0))</f>
        <v>0.001030092593</v>
      </c>
      <c r="AV24" s="149" t="str">
        <f>IFERROR(VLOOKUP(B24,Daily_Working_Do_Not_Delete!Y:Z,2,0))</f>
        <v/>
      </c>
      <c r="AW24" s="149" t="str">
        <f>IFERROR(VLOOKUP(B24,Daily_Working_Do_Not_Delete!W:X,2,0))</f>
        <v/>
      </c>
      <c r="AX24" s="149" t="str">
        <f>IFERROR(VLOOKUP(B24,Daily_Working_Do_Not_Delete!U:V,2,0))</f>
        <v/>
      </c>
      <c r="AY24" s="149" t="str">
        <f>IFERROR(VLOOKUP(B24,Daily_Working_Do_Not_Delete!S:T,2,0))</f>
        <v/>
      </c>
      <c r="AZ24" s="149" t="str">
        <f>IFERROR(VLOOKUP(B24,Daily_Working_Do_Not_Delete!Q:R,2,0))</f>
        <v/>
      </c>
      <c r="BA24" s="149" t="str">
        <f>IFERROR(VLOOKUP(B24,Daily_Working_Do_Not_Delete!O:P,2,0))</f>
        <v/>
      </c>
      <c r="BB24" s="149" t="str">
        <f>IFERROR(VLOOKUP(B24,Daily_Working_Do_Not_Delete!M:N,2,0))</f>
        <v/>
      </c>
      <c r="BC24" s="149" t="str">
        <f>IFERROR(VLOOKUP(B24,Daily_Working_Do_Not_Delete!K:L,2,0))</f>
        <v/>
      </c>
      <c r="BD24" s="149" t="str">
        <f>IFERROR(VLOOKUP(B24,Daily_Working_Do_Not_Delete!I:J,2,0))</f>
        <v/>
      </c>
      <c r="BE24" s="149" t="str">
        <f>IFERROR(VLOOKUP(B24,Daily_Working_Do_Not_Delete!G:H,2,0))</f>
        <v/>
      </c>
      <c r="BF24" s="149" t="str">
        <f>IFERROR(VLOOKUP(B24,Daily_Working_Do_Not_Delete!E:F,2,0))</f>
        <v/>
      </c>
      <c r="BG24" s="149" t="str">
        <f>IFERROR(VLOOKUP(B24,Daily_Working_Do_Not_Delete!C:D,2,0))</f>
        <v/>
      </c>
      <c r="BH24" s="149" t="str">
        <f>IFERROR(VLOOKUP(B24,Daily_Working_Do_Not_Delete!A:B,2,0))</f>
        <v/>
      </c>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row>
    <row r="25">
      <c r="A25" s="146" t="s">
        <v>7</v>
      </c>
      <c r="B25" s="146" t="s">
        <v>40</v>
      </c>
      <c r="C25" s="137" t="s">
        <v>421</v>
      </c>
      <c r="D25" s="148">
        <f t="shared" si="3"/>
        <v>6.256365741</v>
      </c>
      <c r="E25" s="149">
        <f>IFERROR(VLOOKUP(B25,Daily_Working_Do_Not_Delete!DG:DH,2,0))</f>
        <v>1.115162037</v>
      </c>
      <c r="F25" s="149">
        <f>IFERROR(VLOOKUP(B25,Daily_Working_Do_Not_Delete!DE:DF,2,0))</f>
        <v>0</v>
      </c>
      <c r="G25" s="149">
        <f>IFERROR(VLOOKUP(B25,Daily_Working_Do_Not_Delete!DC:DD,2,0))</f>
        <v>0.000462962963</v>
      </c>
      <c r="H25" s="149" t="str">
        <f>IFERROR(VLOOKUP(B25,Daily_Working_Do_Not_Delete!DA:DB,2,0))</f>
        <v/>
      </c>
      <c r="I25" s="149" t="str">
        <f>IFERROR(VLOOKUP(B25,Daily_Working_Do_Not_Delete!CY:CZ,2,0))</f>
        <v/>
      </c>
      <c r="J25" s="149" t="str">
        <f>IFERROR(VLOOKUP(B25,Daily_Working_Do_Not_Delete!CW:CX,2,0))</f>
        <v/>
      </c>
      <c r="K25" s="149">
        <f>IFERROR(VLOOKUP(B25,Daily_Working_Do_Not_Delete!CU:CV,2,0))</f>
        <v>0.009733796296</v>
      </c>
      <c r="L25" s="149">
        <f>IFERROR(VLOOKUP(B25,Daily_Working_Do_Not_Delete!CS:CT,2,0))</f>
        <v>0.02186342593</v>
      </c>
      <c r="M25" s="149" t="str">
        <f>IFERROR(VLOOKUP(B25,Daily_Working_Do_Not_Delete!CQ:CR,2,0))</f>
        <v/>
      </c>
      <c r="N25" s="149">
        <f>IFERROR(VLOOKUP(B25,Daily_Working_Do_Not_Delete!CO:CP,2,0))</f>
        <v>0.01855324074</v>
      </c>
      <c r="O25" s="149">
        <f>IFERROR(VLOOKUP(B25,Daily_Working_Do_Not_Delete!CM:CN,2,0))</f>
        <v>0.01693287037</v>
      </c>
      <c r="P25" s="149">
        <f>IFERROR(VLOOKUP(B25,Daily_Working_Do_Not_Delete!CK:CL,2,0))</f>
        <v>0.01313657407</v>
      </c>
      <c r="Q25" s="149">
        <f>IFERROR(VLOOKUP(B25,Daily_Working_Do_Not_Delete!CI:CJ,2,0))</f>
        <v>0.01510416667</v>
      </c>
      <c r="R25" s="149">
        <f>IFERROR(VLOOKUP(B25,Daily_Working_Do_Not_Delete!CG:CH,2,0))</f>
        <v>0.04385416667</v>
      </c>
      <c r="S25" s="149">
        <f>IFERROR(VLOOKUP(B25,Daily_Working_Do_Not_Delete!CE:CF,2,0))</f>
        <v>0.1033217593</v>
      </c>
      <c r="T25" s="149">
        <f>IFERROR(VLOOKUP(B25,Daily_Working_Do_Not_Delete!CC:CD,2,0))</f>
        <v>0.1589814815</v>
      </c>
      <c r="U25" s="149">
        <f>IFERROR(VLOOKUP(B25,Daily_Working_Do_Not_Delete!CA:CB,2,0))</f>
        <v>0.1247106481</v>
      </c>
      <c r="V25" s="149">
        <f>IFERROR(VLOOKUP(B25,Daily_Working_Do_Not_Delete!BY:BZ,2,0))</f>
        <v>0.2106944444</v>
      </c>
      <c r="W25" s="149">
        <f>IFERROR(VLOOKUP(B25,Daily_Working_Do_Not_Delete!BW:BX,2,0))</f>
        <v>0.3569560185</v>
      </c>
      <c r="X25" s="149">
        <f>IFERROR(VLOOKUP(B25,Daily_Working_Do_Not_Delete!BU:BV,2,0))</f>
        <v>0.4196412037</v>
      </c>
      <c r="Y25" s="149">
        <f>IFERROR(VLOOKUP(B25,Daily_Working_Do_Not_Delete!BS:BT,2,0))</f>
        <v>0.3083796296</v>
      </c>
      <c r="Z25" s="149">
        <f>IFERROR(VLOOKUP(B25,Daily_Working_Do_Not_Delete!BQ:BR,2,0))</f>
        <v>0.4062152778</v>
      </c>
      <c r="AA25" s="149">
        <f>IFERROR(VLOOKUP(B25,Daily_Working_Do_Not_Delete!BO:BP,2,0))</f>
        <v>0.2213078704</v>
      </c>
      <c r="AB25" s="149">
        <f>IFERROR(VLOOKUP(B25,Daily_Working_Do_Not_Delete!BM:BN,2,0))</f>
        <v>0.1783217593</v>
      </c>
      <c r="AC25" s="149">
        <f>IFERROR(VLOOKUP(B25,Daily_Working_Do_Not_Delete!BK:BL,2,0))</f>
        <v>0.1709490741</v>
      </c>
      <c r="AD25" s="149">
        <f>IFERROR(VLOOKUP(B25,Daily_Working_Do_Not_Delete!BI:BJ,2,0))</f>
        <v>0.276875</v>
      </c>
      <c r="AE25" s="149">
        <f>IFERROR(VLOOKUP(B25,Daily_Working_Do_Not_Delete!BG:BH,2,0))</f>
        <v>0.4439699074</v>
      </c>
      <c r="AF25" s="149">
        <f>IFERROR(VLOOKUP(B25,Daily_Working_Do_Not_Delete!BE:BF,2,0))</f>
        <v>0.3939930556</v>
      </c>
      <c r="AG25" s="149">
        <f>IFERROR(VLOOKUP(B25,Daily_Working_Do_Not_Delete!BC:BD,2,0))</f>
        <v>0.4589351852</v>
      </c>
      <c r="AH25" s="149">
        <f>IFERROR(VLOOKUP(B25,Daily_Working_Do_Not_Delete!BA:BB,2,0))</f>
        <v>0.2119444444</v>
      </c>
      <c r="AI25" s="149">
        <f>IFERROR(VLOOKUP(B25,Daily_Working_Do_Not_Delete!AY:AZ,2,0))</f>
        <v>0.175625</v>
      </c>
      <c r="AJ25" s="149">
        <f>IFERROR(VLOOKUP(B25,Daily_Working_Do_Not_Delete!AW:AX,2,0))</f>
        <v>0.1367824074</v>
      </c>
      <c r="AK25" s="149">
        <f>IFERROR(VLOOKUP(B25,Daily_Working_Do_Not_Delete!AU:AV,2,0))</f>
        <v>0.1063425926</v>
      </c>
      <c r="AL25" s="149">
        <f>IFERROR(VLOOKUP(B25,Daily_Working_Do_Not_Delete!AS:AT,2,0))</f>
        <v>0.01363425926</v>
      </c>
      <c r="AM25" s="149">
        <f>IFERROR(VLOOKUP(B25,Daily_Working_Do_Not_Delete!AQ:AR,2,0))</f>
        <v>0.001377314815</v>
      </c>
      <c r="AN25" s="149">
        <f>IFERROR(VLOOKUP(B25,Daily_Working_Do_Not_Delete!AO:AP,2,0))</f>
        <v>0.001458333333</v>
      </c>
      <c r="AO25" s="149">
        <f>IFERROR(VLOOKUP(B25,Daily_Working_Do_Not_Delete!AM:AN,2,0))</f>
        <v>0.0065625</v>
      </c>
      <c r="AP25" s="149">
        <f>IFERROR(VLOOKUP(B25,Daily_Working_Do_Not_Delete!AK:AL,2,0))</f>
        <v>0.04605324074</v>
      </c>
      <c r="AQ25" s="149">
        <f>IFERROR(VLOOKUP(B25,Daily_Working_Do_Not_Delete!AI:AJ,2,0))</f>
        <v>0.02902777778</v>
      </c>
      <c r="AR25" s="149">
        <f>IFERROR(VLOOKUP(B25,Daily_Working_Do_Not_Delete!AG:AH,2,0))</f>
        <v>0.01008101852</v>
      </c>
      <c r="AS25" s="149" t="str">
        <f>IFERROR(VLOOKUP(B25,Daily_Working_Do_Not_Delete!AE:AF,2,0))</f>
        <v/>
      </c>
      <c r="AT25" s="149">
        <f>IFERROR(VLOOKUP(B25,Daily_Working_Do_Not_Delete!AC:AD,2,0))</f>
        <v>0</v>
      </c>
      <c r="AU25" s="149" t="str">
        <f>IFERROR(VLOOKUP(B25,Daily_Working_Do_Not_Delete!AA:AB,2,0))</f>
        <v/>
      </c>
      <c r="AV25" s="149" t="str">
        <f>IFERROR(VLOOKUP(B25,Daily_Working_Do_Not_Delete!Y:Z,2,0))</f>
        <v/>
      </c>
      <c r="AW25" s="149" t="str">
        <f>IFERROR(VLOOKUP(B25,Daily_Working_Do_Not_Delete!W:X,2,0))</f>
        <v/>
      </c>
      <c r="AX25" s="149" t="str">
        <f>IFERROR(VLOOKUP(B25,Daily_Working_Do_Not_Delete!U:V,2,0))</f>
        <v/>
      </c>
      <c r="AY25" s="149" t="str">
        <f>IFERROR(VLOOKUP(B25,Daily_Working_Do_Not_Delete!S:T,2,0))</f>
        <v/>
      </c>
      <c r="AZ25" s="149">
        <f>IFERROR(VLOOKUP(B25,Daily_Working_Do_Not_Delete!Q:R,2,0))</f>
        <v>0.02103009259</v>
      </c>
      <c r="BA25" s="149">
        <f>IFERROR(VLOOKUP(B25,Daily_Working_Do_Not_Delete!O:P,2,0))</f>
        <v>0.006493055556</v>
      </c>
      <c r="BB25" s="149" t="str">
        <f>IFERROR(VLOOKUP(B25,Daily_Working_Do_Not_Delete!M:N,2,0))</f>
        <v/>
      </c>
      <c r="BC25" s="149" t="str">
        <f>IFERROR(VLOOKUP(B25,Daily_Working_Do_Not_Delete!K:L,2,0))</f>
        <v/>
      </c>
      <c r="BD25" s="149" t="str">
        <f>IFERROR(VLOOKUP(B25,Daily_Working_Do_Not_Delete!I:J,2,0))</f>
        <v/>
      </c>
      <c r="BE25" s="149">
        <f>IFERROR(VLOOKUP(B25,Daily_Working_Do_Not_Delete!G:H,2,0))</f>
        <v>0.001898148148</v>
      </c>
      <c r="BF25" s="149" t="str">
        <f>IFERROR(VLOOKUP(B25,Daily_Working_Do_Not_Delete!E:F,2,0))</f>
        <v/>
      </c>
      <c r="BG25" s="149" t="str">
        <f>IFERROR(VLOOKUP(B25,Daily_Working_Do_Not_Delete!C:D,2,0))</f>
        <v/>
      </c>
      <c r="BH25" s="149" t="str">
        <f>IFERROR(VLOOKUP(B25,Daily_Working_Do_Not_Delete!A:B,2,0))</f>
        <v/>
      </c>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row>
    <row r="26">
      <c r="A26" s="146" t="s">
        <v>7</v>
      </c>
      <c r="B26" s="146" t="s">
        <v>41</v>
      </c>
      <c r="C26" s="137" t="s">
        <v>421</v>
      </c>
      <c r="D26" s="148">
        <f t="shared" si="3"/>
        <v>9.507905093</v>
      </c>
      <c r="E26" s="149">
        <f>IFERROR(VLOOKUP(B26,Daily_Working_Do_Not_Delete!DG:DH,2,0))</f>
        <v>4.135196759</v>
      </c>
      <c r="F26" s="149">
        <f>IFERROR(VLOOKUP(B26,Daily_Working_Do_Not_Delete!DE:DF,2,0))</f>
        <v>0.01104166667</v>
      </c>
      <c r="G26" s="149">
        <f>IFERROR(VLOOKUP(B26,Daily_Working_Do_Not_Delete!DC:DD,2,0))</f>
        <v>0.01969907407</v>
      </c>
      <c r="H26" s="149">
        <f>IFERROR(VLOOKUP(B26,Daily_Working_Do_Not_Delete!DA:DB,2,0))</f>
        <v>0.0291087963</v>
      </c>
      <c r="I26" s="149">
        <f>IFERROR(VLOOKUP(B26,Daily_Working_Do_Not_Delete!CY:CZ,2,0))</f>
        <v>0.007638888889</v>
      </c>
      <c r="J26" s="149">
        <f>IFERROR(VLOOKUP(B26,Daily_Working_Do_Not_Delete!CW:CX,2,0))</f>
        <v>0.006631944444</v>
      </c>
      <c r="K26" s="149">
        <f>IFERROR(VLOOKUP(B26,Daily_Working_Do_Not_Delete!CU:CV,2,0))</f>
        <v>0.04434027778</v>
      </c>
      <c r="L26" s="149">
        <f>IFERROR(VLOOKUP(B26,Daily_Working_Do_Not_Delete!CS:CT,2,0))</f>
        <v>0.01284722222</v>
      </c>
      <c r="M26" s="149">
        <f>IFERROR(VLOOKUP(B26,Daily_Working_Do_Not_Delete!CQ:CR,2,0))</f>
        <v>0.004108796296</v>
      </c>
      <c r="N26" s="149">
        <f>IFERROR(VLOOKUP(B26,Daily_Working_Do_Not_Delete!CO:CP,2,0))</f>
        <v>0.01834490741</v>
      </c>
      <c r="O26" s="149">
        <f>IFERROR(VLOOKUP(B26,Daily_Working_Do_Not_Delete!CM:CN,2,0))</f>
        <v>0.04260416667</v>
      </c>
      <c r="P26" s="149">
        <f>IFERROR(VLOOKUP(B26,Daily_Working_Do_Not_Delete!CK:CL,2,0))</f>
        <v>0.02834490741</v>
      </c>
      <c r="Q26" s="149">
        <f>IFERROR(VLOOKUP(B26,Daily_Working_Do_Not_Delete!CI:CJ,2,0))</f>
        <v>0.03019675926</v>
      </c>
      <c r="R26" s="149">
        <f>IFERROR(VLOOKUP(B26,Daily_Working_Do_Not_Delete!CG:CH,2,0))</f>
        <v>0.06071759259</v>
      </c>
      <c r="S26" s="149">
        <f>IFERROR(VLOOKUP(B26,Daily_Working_Do_Not_Delete!CE:CF,2,0))</f>
        <v>0.1677430556</v>
      </c>
      <c r="T26" s="149">
        <f>IFERROR(VLOOKUP(B26,Daily_Working_Do_Not_Delete!CC:CD,2,0))</f>
        <v>0.07951388889</v>
      </c>
      <c r="U26" s="149">
        <f>IFERROR(VLOOKUP(B26,Daily_Working_Do_Not_Delete!CA:CB,2,0))</f>
        <v>0.05975694444</v>
      </c>
      <c r="V26" s="149">
        <f>IFERROR(VLOOKUP(B26,Daily_Working_Do_Not_Delete!BY:BZ,2,0))</f>
        <v>0.1352546296</v>
      </c>
      <c r="W26" s="149">
        <f>IFERROR(VLOOKUP(B26,Daily_Working_Do_Not_Delete!BW:BX,2,0))</f>
        <v>0.1428703704</v>
      </c>
      <c r="X26" s="149">
        <f>IFERROR(VLOOKUP(B26,Daily_Working_Do_Not_Delete!BU:BV,2,0))</f>
        <v>0.1557523148</v>
      </c>
      <c r="Y26" s="149">
        <f>IFERROR(VLOOKUP(B26,Daily_Working_Do_Not_Delete!BS:BT,2,0))</f>
        <v>0.1266319444</v>
      </c>
      <c r="Z26" s="149">
        <f>IFERROR(VLOOKUP(B26,Daily_Working_Do_Not_Delete!BQ:BR,2,0))</f>
        <v>0.1084606481</v>
      </c>
      <c r="AA26" s="149">
        <f>IFERROR(VLOOKUP(B26,Daily_Working_Do_Not_Delete!BO:BP,2,0))</f>
        <v>0.1629861111</v>
      </c>
      <c r="AB26" s="149">
        <f>IFERROR(VLOOKUP(B26,Daily_Working_Do_Not_Delete!BM:BN,2,0))</f>
        <v>0.2561805556</v>
      </c>
      <c r="AC26" s="149">
        <f>IFERROR(VLOOKUP(B26,Daily_Working_Do_Not_Delete!BK:BL,2,0))</f>
        <v>0.3602083333</v>
      </c>
      <c r="AD26" s="149">
        <f>IFERROR(VLOOKUP(B26,Daily_Working_Do_Not_Delete!BI:BJ,2,0))</f>
        <v>0.2820601852</v>
      </c>
      <c r="AE26" s="149">
        <f>IFERROR(VLOOKUP(B26,Daily_Working_Do_Not_Delete!BG:BH,2,0))</f>
        <v>0.3470949074</v>
      </c>
      <c r="AF26" s="149">
        <f>IFERROR(VLOOKUP(B26,Daily_Working_Do_Not_Delete!BE:BF,2,0))</f>
        <v>0.3656944444</v>
      </c>
      <c r="AG26" s="149">
        <f>IFERROR(VLOOKUP(B26,Daily_Working_Do_Not_Delete!BC:BD,2,0))</f>
        <v>0.4557291667</v>
      </c>
      <c r="AH26" s="149">
        <f>IFERROR(VLOOKUP(B26,Daily_Working_Do_Not_Delete!BA:BB,2,0))</f>
        <v>0.4239351852</v>
      </c>
      <c r="AI26" s="149">
        <f>IFERROR(VLOOKUP(B26,Daily_Working_Do_Not_Delete!AY:AZ,2,0))</f>
        <v>0.5001736111</v>
      </c>
      <c r="AJ26" s="149">
        <f>IFERROR(VLOOKUP(B26,Daily_Working_Do_Not_Delete!AW:AX,2,0))</f>
        <v>0.2808333333</v>
      </c>
      <c r="AK26" s="149">
        <f>IFERROR(VLOOKUP(B26,Daily_Working_Do_Not_Delete!AU:AV,2,0))</f>
        <v>0.4001273148</v>
      </c>
      <c r="AL26" s="149">
        <f>IFERROR(VLOOKUP(B26,Daily_Working_Do_Not_Delete!AS:AT,2,0))</f>
        <v>0.08409722222</v>
      </c>
      <c r="AM26" s="149">
        <f>IFERROR(VLOOKUP(B26,Daily_Working_Do_Not_Delete!AQ:AR,2,0))</f>
        <v>0.05731481481</v>
      </c>
      <c r="AN26" s="149">
        <f>IFERROR(VLOOKUP(B26,Daily_Working_Do_Not_Delete!AO:AP,2,0))</f>
        <v>0.005763888889</v>
      </c>
      <c r="AO26" s="149">
        <f>IFERROR(VLOOKUP(B26,Daily_Working_Do_Not_Delete!AM:AN,2,0))</f>
        <v>0.0134375</v>
      </c>
      <c r="AP26" s="149">
        <f>IFERROR(VLOOKUP(B26,Daily_Working_Do_Not_Delete!AK:AL,2,0))</f>
        <v>0.01630787037</v>
      </c>
      <c r="AQ26" s="149">
        <f>IFERROR(VLOOKUP(B26,Daily_Working_Do_Not_Delete!AI:AJ,2,0))</f>
        <v>0.0353587963</v>
      </c>
      <c r="AR26" s="149">
        <f>IFERROR(VLOOKUP(B26,Daily_Working_Do_Not_Delete!AG:AH,2,0))</f>
        <v>0.007384259259</v>
      </c>
      <c r="AS26" s="149" t="str">
        <f>IFERROR(VLOOKUP(B26,Daily_Working_Do_Not_Delete!AE:AF,2,0))</f>
        <v/>
      </c>
      <c r="AT26" s="149">
        <f>IFERROR(VLOOKUP(B26,Daily_Working_Do_Not_Delete!AC:AD,2,0))</f>
        <v>0.0002083333333</v>
      </c>
      <c r="AU26" s="149" t="str">
        <f>IFERROR(VLOOKUP(B26,Daily_Working_Do_Not_Delete!AA:AB,2,0))</f>
        <v/>
      </c>
      <c r="AV26" s="149" t="str">
        <f>IFERROR(VLOOKUP(B26,Daily_Working_Do_Not_Delete!Y:Z,2,0))</f>
        <v/>
      </c>
      <c r="AW26" s="149" t="str">
        <f>IFERROR(VLOOKUP(B26,Daily_Working_Do_Not_Delete!W:X,2,0))</f>
        <v/>
      </c>
      <c r="AX26" s="149" t="str">
        <f>IFERROR(VLOOKUP(B26,Daily_Working_Do_Not_Delete!U:V,2,0))</f>
        <v/>
      </c>
      <c r="AY26" s="149" t="str">
        <f>IFERROR(VLOOKUP(B26,Daily_Working_Do_Not_Delete!S:T,2,0))</f>
        <v/>
      </c>
      <c r="AZ26" s="149">
        <f>IFERROR(VLOOKUP(B26,Daily_Working_Do_Not_Delete!Q:R,2,0))</f>
        <v>0.006145833333</v>
      </c>
      <c r="BA26" s="149" t="str">
        <f>IFERROR(VLOOKUP(B26,Daily_Working_Do_Not_Delete!O:P,2,0))</f>
        <v/>
      </c>
      <c r="BB26" s="149">
        <f>IFERROR(VLOOKUP(B26,Daily_Working_Do_Not_Delete!M:N,2,0))</f>
        <v>0.006944444444</v>
      </c>
      <c r="BC26" s="149">
        <f>IFERROR(VLOOKUP(B26,Daily_Working_Do_Not_Delete!K:L,2,0))</f>
        <v>0.005</v>
      </c>
      <c r="BD26" s="149">
        <f>IFERROR(VLOOKUP(B26,Daily_Working_Do_Not_Delete!I:J,2,0))</f>
        <v>0.005277777778</v>
      </c>
      <c r="BE26" s="149">
        <f>IFERROR(VLOOKUP(B26,Daily_Working_Do_Not_Delete!G:H,2,0))</f>
        <v>0.002835648148</v>
      </c>
      <c r="BF26" s="149" t="str">
        <f>IFERROR(VLOOKUP(B26,Daily_Working_Do_Not_Delete!E:F,2,0))</f>
        <v/>
      </c>
      <c r="BG26" s="149" t="str">
        <f>IFERROR(VLOOKUP(B26,Daily_Working_Do_Not_Delete!C:D,2,0))</f>
        <v/>
      </c>
      <c r="BH26" s="149" t="str">
        <f>IFERROR(VLOOKUP(B26,Daily_Working_Do_Not_Delete!A:B,2,0))</f>
        <v/>
      </c>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row>
    <row r="27">
      <c r="A27" s="146" t="s">
        <v>7</v>
      </c>
      <c r="B27" s="146" t="s">
        <v>43</v>
      </c>
      <c r="C27" s="137" t="s">
        <v>421</v>
      </c>
      <c r="D27" s="148">
        <f t="shared" si="3"/>
        <v>8.436006944</v>
      </c>
      <c r="E27" s="149">
        <f>IFERROR(VLOOKUP(B27,Daily_Working_Do_Not_Delete!DG:DH,2,0))</f>
        <v>4.477546296</v>
      </c>
      <c r="F27" s="149">
        <f>IFERROR(VLOOKUP(B27,Daily_Working_Do_Not_Delete!DE:DF,2,0))</f>
        <v>0.005497685185</v>
      </c>
      <c r="G27" s="149">
        <f>IFERROR(VLOOKUP(B27,Daily_Working_Do_Not_Delete!DC:DD,2,0))</f>
        <v>0.001574074074</v>
      </c>
      <c r="H27" s="149">
        <f>IFERROR(VLOOKUP(B27,Daily_Working_Do_Not_Delete!DA:DB,2,0))</f>
        <v>0.002025462963</v>
      </c>
      <c r="I27" s="149">
        <f>IFERROR(VLOOKUP(B27,Daily_Working_Do_Not_Delete!CY:CZ,2,0))</f>
        <v>0.0001273148148</v>
      </c>
      <c r="J27" s="149">
        <f>IFERROR(VLOOKUP(B27,Daily_Working_Do_Not_Delete!CW:CX,2,0))</f>
        <v>0</v>
      </c>
      <c r="K27" s="149">
        <f>IFERROR(VLOOKUP(B27,Daily_Working_Do_Not_Delete!CU:CV,2,0))</f>
        <v>0.04702546296</v>
      </c>
      <c r="L27" s="149" t="str">
        <f>IFERROR(VLOOKUP(B27,Daily_Working_Do_Not_Delete!CS:CT,2,0))</f>
        <v/>
      </c>
      <c r="M27" s="149">
        <f>IFERROR(VLOOKUP(B27,Daily_Working_Do_Not_Delete!CQ:CR,2,0))</f>
        <v>0.0001851851852</v>
      </c>
      <c r="N27" s="149">
        <f>IFERROR(VLOOKUP(B27,Daily_Working_Do_Not_Delete!CO:CP,2,0))</f>
        <v>0.03131944444</v>
      </c>
      <c r="O27" s="149">
        <f>IFERROR(VLOOKUP(B27,Daily_Working_Do_Not_Delete!CM:CN,2,0))</f>
        <v>0.01364583333</v>
      </c>
      <c r="P27" s="149">
        <f>IFERROR(VLOOKUP(B27,Daily_Working_Do_Not_Delete!CK:CL,2,0))</f>
        <v>0.02929398148</v>
      </c>
      <c r="Q27" s="149">
        <f>IFERROR(VLOOKUP(B27,Daily_Working_Do_Not_Delete!CI:CJ,2,0))</f>
        <v>0.05072916667</v>
      </c>
      <c r="R27" s="149">
        <f>IFERROR(VLOOKUP(B27,Daily_Working_Do_Not_Delete!CG:CH,2,0))</f>
        <v>0.04347222222</v>
      </c>
      <c r="S27" s="149">
        <f>IFERROR(VLOOKUP(B27,Daily_Working_Do_Not_Delete!CE:CF,2,0))</f>
        <v>0.1277314815</v>
      </c>
      <c r="T27" s="149">
        <f>IFERROR(VLOOKUP(B27,Daily_Working_Do_Not_Delete!CC:CD,2,0))</f>
        <v>0.1061805556</v>
      </c>
      <c r="U27" s="149">
        <f>IFERROR(VLOOKUP(B27,Daily_Working_Do_Not_Delete!CA:CB,2,0))</f>
        <v>0.04237268519</v>
      </c>
      <c r="V27" s="149">
        <f>IFERROR(VLOOKUP(B27,Daily_Working_Do_Not_Delete!BY:BZ,2,0))</f>
        <v>0.165</v>
      </c>
      <c r="W27" s="149">
        <f>IFERROR(VLOOKUP(B27,Daily_Working_Do_Not_Delete!BW:BX,2,0))</f>
        <v>0.216400463</v>
      </c>
      <c r="X27" s="149">
        <f>IFERROR(VLOOKUP(B27,Daily_Working_Do_Not_Delete!BU:BV,2,0))</f>
        <v>0.1096643519</v>
      </c>
      <c r="Y27" s="149">
        <f>IFERROR(VLOOKUP(B27,Daily_Working_Do_Not_Delete!BS:BT,2,0))</f>
        <v>0.09219907407</v>
      </c>
      <c r="Z27" s="149">
        <f>IFERROR(VLOOKUP(B27,Daily_Working_Do_Not_Delete!BQ:BR,2,0))</f>
        <v>0.1739699074</v>
      </c>
      <c r="AA27" s="149">
        <f>IFERROR(VLOOKUP(B27,Daily_Working_Do_Not_Delete!BO:BP,2,0))</f>
        <v>0.4314583333</v>
      </c>
      <c r="AB27" s="149">
        <f>IFERROR(VLOOKUP(B27,Daily_Working_Do_Not_Delete!BM:BN,2,0))</f>
        <v>0.5334375</v>
      </c>
      <c r="AC27" s="149">
        <f>IFERROR(VLOOKUP(B27,Daily_Working_Do_Not_Delete!BK:BL,2,0))</f>
        <v>0.7049652778</v>
      </c>
      <c r="AD27" s="149">
        <f>IFERROR(VLOOKUP(B27,Daily_Working_Do_Not_Delete!BI:BJ,2,0))</f>
        <v>0.620462963</v>
      </c>
      <c r="AE27" s="149">
        <f>IFERROR(VLOOKUP(B27,Daily_Working_Do_Not_Delete!BG:BH,2,0))</f>
        <v>0.1666550926</v>
      </c>
      <c r="AF27" s="149">
        <f>IFERROR(VLOOKUP(B27,Daily_Working_Do_Not_Delete!BE:BF,2,0))</f>
        <v>0.0750462963</v>
      </c>
      <c r="AG27" s="149">
        <f>IFERROR(VLOOKUP(B27,Daily_Working_Do_Not_Delete!BC:BD,2,0))</f>
        <v>0.06009259259</v>
      </c>
      <c r="AH27" s="149">
        <f>IFERROR(VLOOKUP(B27,Daily_Working_Do_Not_Delete!BA:BB,2,0))</f>
        <v>0.02630787037</v>
      </c>
      <c r="AI27" s="149">
        <f>IFERROR(VLOOKUP(B27,Daily_Working_Do_Not_Delete!AY:AZ,2,0))</f>
        <v>0.04804398148</v>
      </c>
      <c r="AJ27" s="149">
        <f>IFERROR(VLOOKUP(B27,Daily_Working_Do_Not_Delete!AW:AX,2,0))</f>
        <v>0.01671296296</v>
      </c>
      <c r="AK27" s="149">
        <f>IFERROR(VLOOKUP(B27,Daily_Working_Do_Not_Delete!AU:AV,2,0))</f>
        <v>0.0002314814815</v>
      </c>
      <c r="AL27" s="149" t="str">
        <f>IFERROR(VLOOKUP(B27,Daily_Working_Do_Not_Delete!AS:AT,2,0))</f>
        <v/>
      </c>
      <c r="AM27" s="149" t="str">
        <f>IFERROR(VLOOKUP(B27,Daily_Working_Do_Not_Delete!AQ:AR,2,0))</f>
        <v/>
      </c>
      <c r="AN27" s="149" t="str">
        <f>IFERROR(VLOOKUP(B27,Daily_Working_Do_Not_Delete!AO:AP,2,0))</f>
        <v/>
      </c>
      <c r="AO27" s="149">
        <f>IFERROR(VLOOKUP(B27,Daily_Working_Do_Not_Delete!AM:AN,2,0))</f>
        <v>0.005856481481</v>
      </c>
      <c r="AP27" s="149" t="str">
        <f>IFERROR(VLOOKUP(B27,Daily_Working_Do_Not_Delete!AK:AL,2,0))</f>
        <v/>
      </c>
      <c r="AQ27" s="149">
        <f>IFERROR(VLOOKUP(B27,Daily_Working_Do_Not_Delete!AI:AJ,2,0))</f>
        <v>0.007962962963</v>
      </c>
      <c r="AR27" s="149">
        <f>IFERROR(VLOOKUP(B27,Daily_Working_Do_Not_Delete!AG:AH,2,0))</f>
        <v>0.0028125</v>
      </c>
      <c r="AS27" s="149" t="str">
        <f>IFERROR(VLOOKUP(B27,Daily_Working_Do_Not_Delete!AE:AF,2,0))</f>
        <v/>
      </c>
      <c r="AT27" s="149" t="str">
        <f>IFERROR(VLOOKUP(B27,Daily_Working_Do_Not_Delete!AC:AD,2,0))</f>
        <v/>
      </c>
      <c r="AU27" s="149" t="str">
        <f>IFERROR(VLOOKUP(B27,Daily_Working_Do_Not_Delete!AA:AB,2,0))</f>
        <v/>
      </c>
      <c r="AV27" s="149" t="str">
        <f>IFERROR(VLOOKUP(B27,Daily_Working_Do_Not_Delete!Y:Z,2,0))</f>
        <v/>
      </c>
      <c r="AW27" s="149" t="str">
        <f>IFERROR(VLOOKUP(B27,Daily_Working_Do_Not_Delete!W:X,2,0))</f>
        <v/>
      </c>
      <c r="AX27" s="149" t="str">
        <f>IFERROR(VLOOKUP(B27,Daily_Working_Do_Not_Delete!U:V,2,0))</f>
        <v/>
      </c>
      <c r="AY27" s="149" t="str">
        <f>IFERROR(VLOOKUP(B27,Daily_Working_Do_Not_Delete!S:T,2,0))</f>
        <v/>
      </c>
      <c r="AZ27" s="149" t="str">
        <f>IFERROR(VLOOKUP(B27,Daily_Working_Do_Not_Delete!Q:R,2,0))</f>
        <v/>
      </c>
      <c r="BA27" s="149" t="str">
        <f>IFERROR(VLOOKUP(B27,Daily_Working_Do_Not_Delete!O:P,2,0))</f>
        <v/>
      </c>
      <c r="BB27" s="149" t="str">
        <f>IFERROR(VLOOKUP(B27,Daily_Working_Do_Not_Delete!M:N,2,0))</f>
        <v/>
      </c>
      <c r="BC27" s="149" t="str">
        <f>IFERROR(VLOOKUP(B27,Daily_Working_Do_Not_Delete!K:L,2,0))</f>
        <v/>
      </c>
      <c r="BD27" s="149" t="str">
        <f>IFERROR(VLOOKUP(B27,Daily_Working_Do_Not_Delete!I:J,2,0))</f>
        <v/>
      </c>
      <c r="BE27" s="149" t="str">
        <f>IFERROR(VLOOKUP(B27,Daily_Working_Do_Not_Delete!G:H,2,0))</f>
        <v/>
      </c>
      <c r="BF27" s="149" t="str">
        <f>IFERROR(VLOOKUP(B27,Daily_Working_Do_Not_Delete!E:F,2,0))</f>
        <v/>
      </c>
      <c r="BG27" s="149" t="str">
        <f>IFERROR(VLOOKUP(B27,Daily_Working_Do_Not_Delete!C:D,2,0))</f>
        <v/>
      </c>
      <c r="BH27" s="149" t="str">
        <f>IFERROR(VLOOKUP(B27,Daily_Working_Do_Not_Delete!A:B,2,0))</f>
        <v/>
      </c>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row>
    <row r="28">
      <c r="A28" s="146" t="s">
        <v>7</v>
      </c>
      <c r="B28" s="146" t="s">
        <v>44</v>
      </c>
      <c r="C28" s="137" t="s">
        <v>421</v>
      </c>
      <c r="D28" s="148">
        <f t="shared" si="3"/>
        <v>7.797465278</v>
      </c>
      <c r="E28" s="149">
        <f>IFERROR(VLOOKUP(B28,Daily_Working_Do_Not_Delete!DG:DH,2,0))</f>
        <v>0.9606944444</v>
      </c>
      <c r="F28" s="149">
        <f>IFERROR(VLOOKUP(B28,Daily_Working_Do_Not_Delete!DE:DF,2,0))</f>
        <v>0.02071759259</v>
      </c>
      <c r="G28" s="149">
        <f>IFERROR(VLOOKUP(B28,Daily_Working_Do_Not_Delete!DC:DD,2,0))</f>
        <v>0.01246527778</v>
      </c>
      <c r="H28" s="149">
        <f>IFERROR(VLOOKUP(B28,Daily_Working_Do_Not_Delete!DA:DB,2,0))</f>
        <v>0.01193287037</v>
      </c>
      <c r="I28" s="149">
        <f>IFERROR(VLOOKUP(B28,Daily_Working_Do_Not_Delete!CY:CZ,2,0))</f>
        <v>0.02518518519</v>
      </c>
      <c r="J28" s="149" t="str">
        <f>IFERROR(VLOOKUP(B28,Daily_Working_Do_Not_Delete!CW:CX,2,0))</f>
        <v/>
      </c>
      <c r="K28" s="149">
        <f>IFERROR(VLOOKUP(B28,Daily_Working_Do_Not_Delete!CU:CV,2,0))</f>
        <v>0.02519675926</v>
      </c>
      <c r="L28" s="149" t="str">
        <f>IFERROR(VLOOKUP(B28,Daily_Working_Do_Not_Delete!CS:CT,2,0))</f>
        <v/>
      </c>
      <c r="M28" s="149">
        <f>IFERROR(VLOOKUP(B28,Daily_Working_Do_Not_Delete!CQ:CR,2,0))</f>
        <v>0.005601851852</v>
      </c>
      <c r="N28" s="149">
        <f>IFERROR(VLOOKUP(B28,Daily_Working_Do_Not_Delete!CO:CP,2,0))</f>
        <v>0.02630787037</v>
      </c>
      <c r="O28" s="149">
        <f>IFERROR(VLOOKUP(B28,Daily_Working_Do_Not_Delete!CM:CN,2,0))</f>
        <v>0.01439814815</v>
      </c>
      <c r="P28" s="149">
        <f>IFERROR(VLOOKUP(B28,Daily_Working_Do_Not_Delete!CK:CL,2,0))</f>
        <v>0.05913194444</v>
      </c>
      <c r="Q28" s="149">
        <f>IFERROR(VLOOKUP(B28,Daily_Working_Do_Not_Delete!CI:CJ,2,0))</f>
        <v>0.03046296296</v>
      </c>
      <c r="R28" s="149">
        <f>IFERROR(VLOOKUP(B28,Daily_Working_Do_Not_Delete!CG:CH,2,0))</f>
        <v>0.0403587963</v>
      </c>
      <c r="S28" s="149">
        <f>IFERROR(VLOOKUP(B28,Daily_Working_Do_Not_Delete!CE:CF,2,0))</f>
        <v>0.1978356481</v>
      </c>
      <c r="T28" s="149">
        <f>IFERROR(VLOOKUP(B28,Daily_Working_Do_Not_Delete!CC:CD,2,0))</f>
        <v>0.2613194444</v>
      </c>
      <c r="U28" s="149">
        <f>IFERROR(VLOOKUP(B28,Daily_Working_Do_Not_Delete!CA:CB,2,0))</f>
        <v>0.3224305556</v>
      </c>
      <c r="V28" s="149">
        <f>IFERROR(VLOOKUP(B28,Daily_Working_Do_Not_Delete!BY:BZ,2,0))</f>
        <v>0.5209259259</v>
      </c>
      <c r="W28" s="149">
        <f>IFERROR(VLOOKUP(B28,Daily_Working_Do_Not_Delete!BW:BX,2,0))</f>
        <v>0.6453125</v>
      </c>
      <c r="X28" s="149">
        <f>IFERROR(VLOOKUP(B28,Daily_Working_Do_Not_Delete!BU:BV,2,0))</f>
        <v>0.6542939815</v>
      </c>
      <c r="Y28" s="149">
        <f>IFERROR(VLOOKUP(B28,Daily_Working_Do_Not_Delete!BS:BT,2,0))</f>
        <v>0.7044212963</v>
      </c>
      <c r="Z28" s="149">
        <f>IFERROR(VLOOKUP(B28,Daily_Working_Do_Not_Delete!BQ:BR,2,0))</f>
        <v>0.8956597222</v>
      </c>
      <c r="AA28" s="149">
        <f>IFERROR(VLOOKUP(B28,Daily_Working_Do_Not_Delete!BO:BP,2,0))</f>
        <v>0.7625347222</v>
      </c>
      <c r="AB28" s="149">
        <f>IFERROR(VLOOKUP(B28,Daily_Working_Do_Not_Delete!BM:BN,2,0))</f>
        <v>0.4600925926</v>
      </c>
      <c r="AC28" s="149">
        <f>IFERROR(VLOOKUP(B28,Daily_Working_Do_Not_Delete!BK:BL,2,0))</f>
        <v>0.2857060185</v>
      </c>
      <c r="AD28" s="149">
        <f>IFERROR(VLOOKUP(B28,Daily_Working_Do_Not_Delete!BI:BJ,2,0))</f>
        <v>0.1951273148</v>
      </c>
      <c r="AE28" s="149">
        <f>IFERROR(VLOOKUP(B28,Daily_Working_Do_Not_Delete!BG:BH,2,0))</f>
        <v>0.1528009259</v>
      </c>
      <c r="AF28" s="149">
        <f>IFERROR(VLOOKUP(B28,Daily_Working_Do_Not_Delete!BE:BF,2,0))</f>
        <v>0.1107523148</v>
      </c>
      <c r="AG28" s="149">
        <f>IFERROR(VLOOKUP(B28,Daily_Working_Do_Not_Delete!BC:BD,2,0))</f>
        <v>0.07489583333</v>
      </c>
      <c r="AH28" s="149">
        <f>IFERROR(VLOOKUP(B28,Daily_Working_Do_Not_Delete!BA:BB,2,0))</f>
        <v>0.1051388889</v>
      </c>
      <c r="AI28" s="149">
        <f>IFERROR(VLOOKUP(B28,Daily_Working_Do_Not_Delete!AY:AZ,2,0))</f>
        <v>0.03327546296</v>
      </c>
      <c r="AJ28" s="149">
        <f>IFERROR(VLOOKUP(B28,Daily_Working_Do_Not_Delete!AW:AX,2,0))</f>
        <v>0.02538194444</v>
      </c>
      <c r="AK28" s="149">
        <f>IFERROR(VLOOKUP(B28,Daily_Working_Do_Not_Delete!AU:AV,2,0))</f>
        <v>0.01758101852</v>
      </c>
      <c r="AL28" s="149">
        <f>IFERROR(VLOOKUP(B28,Daily_Working_Do_Not_Delete!AS:AT,2,0))</f>
        <v>0.007719907407</v>
      </c>
      <c r="AM28" s="149">
        <f>IFERROR(VLOOKUP(B28,Daily_Working_Do_Not_Delete!AQ:AR,2,0))</f>
        <v>0.01127314815</v>
      </c>
      <c r="AN28" s="149">
        <f>IFERROR(VLOOKUP(B28,Daily_Working_Do_Not_Delete!AO:AP,2,0))</f>
        <v>0.01208333333</v>
      </c>
      <c r="AO28" s="149">
        <f>IFERROR(VLOOKUP(B28,Daily_Working_Do_Not_Delete!AM:AN,2,0))</f>
        <v>0.0002662037037</v>
      </c>
      <c r="AP28" s="149">
        <f>IFERROR(VLOOKUP(B28,Daily_Working_Do_Not_Delete!AK:AL,2,0))</f>
        <v>0.01341435185</v>
      </c>
      <c r="AQ28" s="149">
        <f>IFERROR(VLOOKUP(B28,Daily_Working_Do_Not_Delete!AI:AJ,2,0))</f>
        <v>0.038125</v>
      </c>
      <c r="AR28" s="149">
        <f>IFERROR(VLOOKUP(B28,Daily_Working_Do_Not_Delete!AG:AH,2,0))</f>
        <v>0.006493055556</v>
      </c>
      <c r="AS28" s="149">
        <f>IFERROR(VLOOKUP(B28,Daily_Working_Do_Not_Delete!AE:AF,2,0))</f>
        <v>0.009560185185</v>
      </c>
      <c r="AT28" s="149">
        <f>IFERROR(VLOOKUP(B28,Daily_Working_Do_Not_Delete!AC:AD,2,0))</f>
        <v>0.007581018519</v>
      </c>
      <c r="AU28" s="149">
        <f>IFERROR(VLOOKUP(B28,Daily_Working_Do_Not_Delete!AA:AB,2,0))</f>
        <v>0.006203703704</v>
      </c>
      <c r="AV28" s="149">
        <f>IFERROR(VLOOKUP(B28,Daily_Working_Do_Not_Delete!Y:Z,2,0))</f>
        <v>0.007800925926</v>
      </c>
      <c r="AW28" s="149">
        <f>IFERROR(VLOOKUP(B28,Daily_Working_Do_Not_Delete!W:X,2,0))</f>
        <v>0.004560185185</v>
      </c>
      <c r="AX28" s="149">
        <f>IFERROR(VLOOKUP(B28,Daily_Working_Do_Not_Delete!U:V,2,0))</f>
        <v>0.008946759259</v>
      </c>
      <c r="AY28" s="149">
        <f>IFERROR(VLOOKUP(B28,Daily_Working_Do_Not_Delete!S:T,2,0))</f>
        <v>0.00224537037</v>
      </c>
      <c r="AZ28" s="149" t="str">
        <f>IFERROR(VLOOKUP(B28,Daily_Working_Do_Not_Delete!Q:R,2,0))</f>
        <v/>
      </c>
      <c r="BA28" s="149">
        <f>IFERROR(VLOOKUP(B28,Daily_Working_Do_Not_Delete!O:P,2,0))</f>
        <v>0.002638888889</v>
      </c>
      <c r="BB28" s="149" t="str">
        <f>IFERROR(VLOOKUP(B28,Daily_Working_Do_Not_Delete!M:N,2,0))</f>
        <v/>
      </c>
      <c r="BC28" s="149" t="str">
        <f>IFERROR(VLOOKUP(B28,Daily_Working_Do_Not_Delete!K:L,2,0))</f>
        <v/>
      </c>
      <c r="BD28" s="149" t="str">
        <f>IFERROR(VLOOKUP(B28,Daily_Working_Do_Not_Delete!I:J,2,0))</f>
        <v/>
      </c>
      <c r="BE28" s="149" t="str">
        <f>IFERROR(VLOOKUP(B28,Daily_Working_Do_Not_Delete!G:H,2,0))</f>
        <v/>
      </c>
      <c r="BF28" s="149">
        <f>IFERROR(VLOOKUP(B28,Daily_Working_Do_Not_Delete!E:F,2,0))</f>
        <v>0.0006134259259</v>
      </c>
      <c r="BG28" s="149" t="str">
        <f>IFERROR(VLOOKUP(B28,Daily_Working_Do_Not_Delete!C:D,2,0))</f>
        <v/>
      </c>
      <c r="BH28" s="149" t="str">
        <f>IFERROR(VLOOKUP(B28,Daily_Working_Do_Not_Delete!A:B,2,0))</f>
        <v/>
      </c>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row>
    <row r="29">
      <c r="A29" s="146" t="s">
        <v>423</v>
      </c>
      <c r="B29" s="146" t="s">
        <v>48</v>
      </c>
      <c r="C29" s="137" t="s">
        <v>421</v>
      </c>
      <c r="D29" s="148">
        <f t="shared" si="3"/>
        <v>9.644895833</v>
      </c>
      <c r="E29" s="149">
        <f>IFERROR(VLOOKUP(B29,Daily_Working_Do_Not_Delete!DG:DH,2,0))</f>
        <v>1.649849537</v>
      </c>
      <c r="F29" s="149">
        <f>IFERROR(VLOOKUP(B29,Daily_Working_Do_Not_Delete!DE:DF,2,0))</f>
        <v>0.1810648148</v>
      </c>
      <c r="G29" s="149">
        <f>IFERROR(VLOOKUP(B29,Daily_Working_Do_Not_Delete!DC:DD,2,0))</f>
        <v>0.03883101852</v>
      </c>
      <c r="H29" s="149">
        <f>IFERROR(VLOOKUP(B29,Daily_Working_Do_Not_Delete!DA:DB,2,0))</f>
        <v>0.09888888889</v>
      </c>
      <c r="I29" s="149">
        <f>IFERROR(VLOOKUP(B29,Daily_Working_Do_Not_Delete!CY:CZ,2,0))</f>
        <v>0.0780787037</v>
      </c>
      <c r="J29" s="149">
        <f>IFERROR(VLOOKUP(B29,Daily_Working_Do_Not_Delete!CW:CX,2,0))</f>
        <v>0.1594560185</v>
      </c>
      <c r="K29" s="149">
        <f>IFERROR(VLOOKUP(B29,Daily_Working_Do_Not_Delete!CU:CV,2,0))</f>
        <v>0.1687268519</v>
      </c>
      <c r="L29" s="149">
        <f>IFERROR(VLOOKUP(B29,Daily_Working_Do_Not_Delete!CS:CT,2,0))</f>
        <v>0.1015972222</v>
      </c>
      <c r="M29" s="149">
        <f>IFERROR(VLOOKUP(B29,Daily_Working_Do_Not_Delete!CQ:CR,2,0))</f>
        <v>0.269849537</v>
      </c>
      <c r="N29" s="149">
        <f>IFERROR(VLOOKUP(B29,Daily_Working_Do_Not_Delete!CO:CP,2,0))</f>
        <v>0.2488078704</v>
      </c>
      <c r="O29" s="149">
        <f>IFERROR(VLOOKUP(B29,Daily_Working_Do_Not_Delete!CM:CN,2,0))</f>
        <v>0.3763194444</v>
      </c>
      <c r="P29" s="149">
        <f>IFERROR(VLOOKUP(B29,Daily_Working_Do_Not_Delete!CK:CL,2,0))</f>
        <v>0.5738888889</v>
      </c>
      <c r="Q29" s="149">
        <f>IFERROR(VLOOKUP(B29,Daily_Working_Do_Not_Delete!CI:CJ,2,0))</f>
        <v>0.1396296296</v>
      </c>
      <c r="R29" s="149">
        <f>IFERROR(VLOOKUP(B29,Daily_Working_Do_Not_Delete!CG:CH,2,0))</f>
        <v>0.5336458333</v>
      </c>
      <c r="S29" s="149">
        <f>IFERROR(VLOOKUP(B29,Daily_Working_Do_Not_Delete!CE:CF,2,0))</f>
        <v>0.6087962963</v>
      </c>
      <c r="T29" s="149">
        <f>IFERROR(VLOOKUP(B29,Daily_Working_Do_Not_Delete!CC:CD,2,0))</f>
        <v>0.6460069444</v>
      </c>
      <c r="U29" s="149">
        <f>IFERROR(VLOOKUP(B29,Daily_Working_Do_Not_Delete!CA:CB,2,0))</f>
        <v>0.9813425926</v>
      </c>
      <c r="V29" s="149">
        <f>IFERROR(VLOOKUP(B29,Daily_Working_Do_Not_Delete!BY:BZ,2,0))</f>
        <v>0.2736111111</v>
      </c>
      <c r="W29" s="149">
        <f>IFERROR(VLOOKUP(B29,Daily_Working_Do_Not_Delete!BW:BX,2,0))</f>
        <v>0.4615625</v>
      </c>
      <c r="X29" s="149">
        <f>IFERROR(VLOOKUP(B29,Daily_Working_Do_Not_Delete!BU:BV,2,0))</f>
        <v>0.4103472222</v>
      </c>
      <c r="Y29" s="149">
        <f>IFERROR(VLOOKUP(B29,Daily_Working_Do_Not_Delete!BS:BT,2,0))</f>
        <v>0.2258333333</v>
      </c>
      <c r="Z29" s="149">
        <f>IFERROR(VLOOKUP(B29,Daily_Working_Do_Not_Delete!BQ:BR,2,0))</f>
        <v>0.1561458333</v>
      </c>
      <c r="AA29" s="149">
        <f>IFERROR(VLOOKUP(B29,Daily_Working_Do_Not_Delete!BO:BP,2,0))</f>
        <v>0.1859953704</v>
      </c>
      <c r="AB29" s="149">
        <f>IFERROR(VLOOKUP(B29,Daily_Working_Do_Not_Delete!BM:BN,2,0))</f>
        <v>0.2342361111</v>
      </c>
      <c r="AC29" s="149">
        <f>IFERROR(VLOOKUP(B29,Daily_Working_Do_Not_Delete!BK:BL,2,0))</f>
        <v>0.1548032407</v>
      </c>
      <c r="AD29" s="149">
        <f>IFERROR(VLOOKUP(B29,Daily_Working_Do_Not_Delete!BI:BJ,2,0))</f>
        <v>0.162349537</v>
      </c>
      <c r="AE29" s="149">
        <f>IFERROR(VLOOKUP(B29,Daily_Working_Do_Not_Delete!BG:BH,2,0))</f>
        <v>0.08883101852</v>
      </c>
      <c r="AF29" s="149">
        <f>IFERROR(VLOOKUP(B29,Daily_Working_Do_Not_Delete!BE:BF,2,0))</f>
        <v>0.1058101852</v>
      </c>
      <c r="AG29" s="149">
        <f>IFERROR(VLOOKUP(B29,Daily_Working_Do_Not_Delete!BC:BD,2,0))</f>
        <v>0.08585648148</v>
      </c>
      <c r="AH29" s="149">
        <f>IFERROR(VLOOKUP(B29,Daily_Working_Do_Not_Delete!BA:BB,2,0))</f>
        <v>0.0605787037</v>
      </c>
      <c r="AI29" s="149">
        <f>IFERROR(VLOOKUP(B29,Daily_Working_Do_Not_Delete!AY:AZ,2,0))</f>
        <v>0.04325231481</v>
      </c>
      <c r="AJ29" s="149">
        <f>IFERROR(VLOOKUP(B29,Daily_Working_Do_Not_Delete!AW:AX,2,0))</f>
        <v>0.03053240741</v>
      </c>
      <c r="AK29" s="149">
        <f>IFERROR(VLOOKUP(B29,Daily_Working_Do_Not_Delete!AU:AV,2,0))</f>
        <v>0.05412037037</v>
      </c>
      <c r="AL29" s="149">
        <f>IFERROR(VLOOKUP(B29,Daily_Working_Do_Not_Delete!AS:AT,2,0))</f>
        <v>0</v>
      </c>
      <c r="AM29" s="149">
        <f>IFERROR(VLOOKUP(B29,Daily_Working_Do_Not_Delete!AQ:AR,2,0))</f>
        <v>0.006782407407</v>
      </c>
      <c r="AN29" s="149" t="str">
        <f>IFERROR(VLOOKUP(B29,Daily_Working_Do_Not_Delete!AO:AP,2,0))</f>
        <v/>
      </c>
      <c r="AO29" s="149">
        <f>IFERROR(VLOOKUP(B29,Daily_Working_Do_Not_Delete!AM:AN,2,0))</f>
        <v>0.01188657407</v>
      </c>
      <c r="AP29" s="149">
        <f>IFERROR(VLOOKUP(B29,Daily_Working_Do_Not_Delete!AK:AL,2,0))</f>
        <v>0.03625</v>
      </c>
      <c r="AQ29" s="149">
        <f>IFERROR(VLOOKUP(B29,Daily_Working_Do_Not_Delete!AI:AJ,2,0))</f>
        <v>0.000462962963</v>
      </c>
      <c r="AR29" s="149" t="str">
        <f>IFERROR(VLOOKUP(B29,Daily_Working_Do_Not_Delete!AG:AH,2,0))</f>
        <v/>
      </c>
      <c r="AS29" s="149">
        <f>IFERROR(VLOOKUP(B29,Daily_Working_Do_Not_Delete!AE:AF,2,0))</f>
        <v>0.0003587962963</v>
      </c>
      <c r="AT29" s="149">
        <f>IFERROR(VLOOKUP(B29,Daily_Working_Do_Not_Delete!AC:AD,2,0))</f>
        <v>0.0005092592593</v>
      </c>
      <c r="AU29" s="149" t="str">
        <f>IFERROR(VLOOKUP(B29,Daily_Working_Do_Not_Delete!AA:AB,2,0))</f>
        <v/>
      </c>
      <c r="AV29" s="149" t="str">
        <f>IFERROR(VLOOKUP(B29,Daily_Working_Do_Not_Delete!Y:Z,2,0))</f>
        <v/>
      </c>
      <c r="AW29" s="149" t="str">
        <f>IFERROR(VLOOKUP(B29,Daily_Working_Do_Not_Delete!W:X,2,0))</f>
        <v/>
      </c>
      <c r="AX29" s="149" t="str">
        <f>IFERROR(VLOOKUP(B29,Daily_Working_Do_Not_Delete!U:V,2,0))</f>
        <v/>
      </c>
      <c r="AY29" s="149" t="str">
        <f>IFERROR(VLOOKUP(B29,Daily_Working_Do_Not_Delete!S:T,2,0))</f>
        <v/>
      </c>
      <c r="AZ29" s="149" t="str">
        <f>IFERROR(VLOOKUP(B29,Daily_Working_Do_Not_Delete!Q:R,2,0))</f>
        <v/>
      </c>
      <c r="BA29" s="149" t="str">
        <f>IFERROR(VLOOKUP(B29,Daily_Working_Do_Not_Delete!O:P,2,0))</f>
        <v/>
      </c>
      <c r="BB29" s="149" t="str">
        <f>IFERROR(VLOOKUP(B29,Daily_Working_Do_Not_Delete!M:N,2,0))</f>
        <v/>
      </c>
      <c r="BC29" s="149" t="str">
        <f>IFERROR(VLOOKUP(B29,Daily_Working_Do_Not_Delete!K:L,2,0))</f>
        <v/>
      </c>
      <c r="BD29" s="149" t="str">
        <f>IFERROR(VLOOKUP(B29,Daily_Working_Do_Not_Delete!I:J,2,0))</f>
        <v/>
      </c>
      <c r="BE29" s="149" t="str">
        <f>IFERROR(VLOOKUP(B29,Daily_Working_Do_Not_Delete!G:H,2,0))</f>
        <v/>
      </c>
      <c r="BF29" s="149" t="str">
        <f>IFERROR(VLOOKUP(B29,Daily_Working_Do_Not_Delete!E:F,2,0))</f>
        <v/>
      </c>
      <c r="BG29" s="149" t="str">
        <f>IFERROR(VLOOKUP(B29,Daily_Working_Do_Not_Delete!C:D,2,0))</f>
        <v/>
      </c>
      <c r="BH29" s="149" t="str">
        <f>IFERROR(VLOOKUP(B29,Daily_Working_Do_Not_Delete!A:B,2,0))</f>
        <v/>
      </c>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row>
    <row r="30">
      <c r="A30" s="146" t="s">
        <v>423</v>
      </c>
      <c r="B30" s="146" t="s">
        <v>49</v>
      </c>
      <c r="C30" s="137" t="s">
        <v>421</v>
      </c>
      <c r="D30" s="148">
        <f t="shared" si="3"/>
        <v>8.913946759</v>
      </c>
      <c r="E30" s="149">
        <f>IFERROR(VLOOKUP(B30,Daily_Working_Do_Not_Delete!DG:DH,2,0))</f>
        <v>0.6975810185</v>
      </c>
      <c r="F30" s="149">
        <f>IFERROR(VLOOKUP(B30,Daily_Working_Do_Not_Delete!DE:DF,2,0))</f>
        <v>0.08751157407</v>
      </c>
      <c r="G30" s="149">
        <f>IFERROR(VLOOKUP(B30,Daily_Working_Do_Not_Delete!DC:DD,2,0))</f>
        <v>0.09479166667</v>
      </c>
      <c r="H30" s="149">
        <f>IFERROR(VLOOKUP(B30,Daily_Working_Do_Not_Delete!DA:DB,2,0))</f>
        <v>0.08011574074</v>
      </c>
      <c r="I30" s="149">
        <f>IFERROR(VLOOKUP(B30,Daily_Working_Do_Not_Delete!CY:CZ,2,0))</f>
        <v>0.1002430556</v>
      </c>
      <c r="J30" s="149">
        <f>IFERROR(VLOOKUP(B30,Daily_Working_Do_Not_Delete!CW:CX,2,0))</f>
        <v>0.06552083333</v>
      </c>
      <c r="K30" s="149">
        <f>IFERROR(VLOOKUP(B30,Daily_Working_Do_Not_Delete!CU:CV,2,0))</f>
        <v>0.1112731481</v>
      </c>
      <c r="L30" s="149">
        <f>IFERROR(VLOOKUP(B30,Daily_Working_Do_Not_Delete!CS:CT,2,0))</f>
        <v>0.05806712963</v>
      </c>
      <c r="M30" s="149">
        <f>IFERROR(VLOOKUP(B30,Daily_Working_Do_Not_Delete!CQ:CR,2,0))</f>
        <v>0.07494212963</v>
      </c>
      <c r="N30" s="149">
        <f>IFERROR(VLOOKUP(B30,Daily_Working_Do_Not_Delete!CO:CP,2,0))</f>
        <v>0.08815972222</v>
      </c>
      <c r="O30" s="149">
        <f>IFERROR(VLOOKUP(B30,Daily_Working_Do_Not_Delete!CM:CN,2,0))</f>
        <v>0.0566087963</v>
      </c>
      <c r="P30" s="149">
        <f>IFERROR(VLOOKUP(B30,Daily_Working_Do_Not_Delete!CK:CL,2,0))</f>
        <v>0.1053472222</v>
      </c>
      <c r="Q30" s="149">
        <f>IFERROR(VLOOKUP(B30,Daily_Working_Do_Not_Delete!CI:CJ,2,0))</f>
        <v>0.05697916667</v>
      </c>
      <c r="R30" s="149">
        <f>IFERROR(VLOOKUP(B30,Daily_Working_Do_Not_Delete!CG:CH,2,0))</f>
        <v>0.1255787037</v>
      </c>
      <c r="S30" s="149">
        <f>IFERROR(VLOOKUP(B30,Daily_Working_Do_Not_Delete!CE:CF,2,0))</f>
        <v>0.05414351852</v>
      </c>
      <c r="T30" s="149">
        <f>IFERROR(VLOOKUP(B30,Daily_Working_Do_Not_Delete!CC:CD,2,0))</f>
        <v>0.1752199074</v>
      </c>
      <c r="U30" s="149">
        <f>IFERROR(VLOOKUP(B30,Daily_Working_Do_Not_Delete!CA:CB,2,0))</f>
        <v>0.2816203704</v>
      </c>
      <c r="V30" s="149">
        <f>IFERROR(VLOOKUP(B30,Daily_Working_Do_Not_Delete!BY:BZ,2,0))</f>
        <v>0.5468287037</v>
      </c>
      <c r="W30" s="149">
        <f>IFERROR(VLOOKUP(B30,Daily_Working_Do_Not_Delete!BW:BX,2,0))</f>
        <v>0.5491435185</v>
      </c>
      <c r="X30" s="149">
        <f>IFERROR(VLOOKUP(B30,Daily_Working_Do_Not_Delete!BU:BV,2,0))</f>
        <v>0.7704166667</v>
      </c>
      <c r="Y30" s="149">
        <f>IFERROR(VLOOKUP(B30,Daily_Working_Do_Not_Delete!BS:BT,2,0))</f>
        <v>0.9265162037</v>
      </c>
      <c r="Z30" s="149">
        <f>IFERROR(VLOOKUP(B30,Daily_Working_Do_Not_Delete!BQ:BR,2,0))</f>
        <v>1.378518519</v>
      </c>
      <c r="AA30" s="149">
        <f>IFERROR(VLOOKUP(B30,Daily_Working_Do_Not_Delete!BO:BP,2,0))</f>
        <v>0.7760300926</v>
      </c>
      <c r="AB30" s="149">
        <f>IFERROR(VLOOKUP(B30,Daily_Working_Do_Not_Delete!BM:BN,2,0))</f>
        <v>0.704849537</v>
      </c>
      <c r="AC30" s="149">
        <f>IFERROR(VLOOKUP(B30,Daily_Working_Do_Not_Delete!BK:BL,2,0))</f>
        <v>0.3940972222</v>
      </c>
      <c r="AD30" s="149">
        <f>IFERROR(VLOOKUP(B30,Daily_Working_Do_Not_Delete!BI:BJ,2,0))</f>
        <v>0.09229166667</v>
      </c>
      <c r="AE30" s="149">
        <f>IFERROR(VLOOKUP(B30,Daily_Working_Do_Not_Delete!BG:BH,2,0))</f>
        <v>0.07582175926</v>
      </c>
      <c r="AF30" s="149">
        <f>IFERROR(VLOOKUP(B30,Daily_Working_Do_Not_Delete!BE:BF,2,0))</f>
        <v>0.1403819444</v>
      </c>
      <c r="AG30" s="149">
        <f>IFERROR(VLOOKUP(B30,Daily_Working_Do_Not_Delete!BC:BD,2,0))</f>
        <v>0.09553240741</v>
      </c>
      <c r="AH30" s="149">
        <f>IFERROR(VLOOKUP(B30,Daily_Working_Do_Not_Delete!BA:BB,2,0))</f>
        <v>0.01788194444</v>
      </c>
      <c r="AI30" s="149">
        <f>IFERROR(VLOOKUP(B30,Daily_Working_Do_Not_Delete!AY:AZ,2,0))</f>
        <v>0.02678240741</v>
      </c>
      <c r="AJ30" s="149">
        <f>IFERROR(VLOOKUP(B30,Daily_Working_Do_Not_Delete!AW:AX,2,0))</f>
        <v>0.01572916667</v>
      </c>
      <c r="AK30" s="149">
        <f>IFERROR(VLOOKUP(B30,Daily_Working_Do_Not_Delete!AU:AV,2,0))</f>
        <v>0.02077546296</v>
      </c>
      <c r="AL30" s="149">
        <f>IFERROR(VLOOKUP(B30,Daily_Working_Do_Not_Delete!AS:AT,2,0))</f>
        <v>0.003680555556</v>
      </c>
      <c r="AM30" s="149">
        <f>IFERROR(VLOOKUP(B30,Daily_Working_Do_Not_Delete!AQ:AR,2,0))</f>
        <v>0.00244212963</v>
      </c>
      <c r="AN30" s="149">
        <f>IFERROR(VLOOKUP(B30,Daily_Working_Do_Not_Delete!AO:AP,2,0))</f>
        <v>0.0001388888889</v>
      </c>
      <c r="AO30" s="149">
        <f>IFERROR(VLOOKUP(B30,Daily_Working_Do_Not_Delete!AM:AN,2,0))</f>
        <v>0.0025</v>
      </c>
      <c r="AP30" s="149">
        <f>IFERROR(VLOOKUP(B30,Daily_Working_Do_Not_Delete!AK:AL,2,0))</f>
        <v>0.04128472222</v>
      </c>
      <c r="AQ30" s="149">
        <f>IFERROR(VLOOKUP(B30,Daily_Working_Do_Not_Delete!AI:AJ,2,0))</f>
        <v>0.008738425926</v>
      </c>
      <c r="AR30" s="149">
        <f>IFERROR(VLOOKUP(B30,Daily_Working_Do_Not_Delete!AG:AH,2,0))</f>
        <v>0.009861111111</v>
      </c>
      <c r="AS30" s="149" t="str">
        <f>IFERROR(VLOOKUP(B30,Daily_Working_Do_Not_Delete!AE:AF,2,0))</f>
        <v/>
      </c>
      <c r="AT30" s="149" t="str">
        <f>IFERROR(VLOOKUP(B30,Daily_Working_Do_Not_Delete!AC:AD,2,0))</f>
        <v/>
      </c>
      <c r="AU30" s="149" t="str">
        <f>IFERROR(VLOOKUP(B30,Daily_Working_Do_Not_Delete!AA:AB,2,0))</f>
        <v/>
      </c>
      <c r="AV30" s="149" t="str">
        <f>IFERROR(VLOOKUP(B30,Daily_Working_Do_Not_Delete!Y:Z,2,0))</f>
        <v/>
      </c>
      <c r="AW30" s="149" t="str">
        <f>IFERROR(VLOOKUP(B30,Daily_Working_Do_Not_Delete!W:X,2,0))</f>
        <v/>
      </c>
      <c r="AX30" s="149" t="str">
        <f>IFERROR(VLOOKUP(B30,Daily_Working_Do_Not_Delete!U:V,2,0))</f>
        <v/>
      </c>
      <c r="AY30" s="149" t="str">
        <f>IFERROR(VLOOKUP(B30,Daily_Working_Do_Not_Delete!S:T,2,0))</f>
        <v/>
      </c>
      <c r="AZ30" s="149" t="str">
        <f>IFERROR(VLOOKUP(B30,Daily_Working_Do_Not_Delete!Q:R,2,0))</f>
        <v/>
      </c>
      <c r="BA30" s="149" t="str">
        <f>IFERROR(VLOOKUP(B30,Daily_Working_Do_Not_Delete!O:P,2,0))</f>
        <v/>
      </c>
      <c r="BB30" s="149" t="str">
        <f>IFERROR(VLOOKUP(B30,Daily_Working_Do_Not_Delete!M:N,2,0))</f>
        <v/>
      </c>
      <c r="BC30" s="149" t="str">
        <f>IFERROR(VLOOKUP(B30,Daily_Working_Do_Not_Delete!K:L,2,0))</f>
        <v/>
      </c>
      <c r="BD30" s="149" t="str">
        <f>IFERROR(VLOOKUP(B30,Daily_Working_Do_Not_Delete!I:J,2,0))</f>
        <v/>
      </c>
      <c r="BE30" s="149" t="str">
        <f>IFERROR(VLOOKUP(B30,Daily_Working_Do_Not_Delete!G:H,2,0))</f>
        <v/>
      </c>
      <c r="BF30" s="149" t="str">
        <f>IFERROR(VLOOKUP(B30,Daily_Working_Do_Not_Delete!E:F,2,0))</f>
        <v/>
      </c>
      <c r="BG30" s="149" t="str">
        <f>IFERROR(VLOOKUP(B30,Daily_Working_Do_Not_Delete!C:D,2,0))</f>
        <v/>
      </c>
      <c r="BH30" s="149" t="str">
        <f>IFERROR(VLOOKUP(B30,Daily_Working_Do_Not_Delete!A:B,2,0))</f>
        <v/>
      </c>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row>
    <row r="31">
      <c r="A31" s="146" t="s">
        <v>423</v>
      </c>
      <c r="B31" s="146" t="s">
        <v>50</v>
      </c>
      <c r="C31" s="137" t="s">
        <v>421</v>
      </c>
      <c r="D31" s="148">
        <f t="shared" si="3"/>
        <v>10.41643519</v>
      </c>
      <c r="E31" s="149">
        <f>IFERROR(VLOOKUP(B31,Daily_Working_Do_Not_Delete!DG:DH,2,0))</f>
        <v>2.086134259</v>
      </c>
      <c r="F31" s="149">
        <f>IFERROR(VLOOKUP(B31,Daily_Working_Do_Not_Delete!DE:DF,2,0))</f>
        <v>0.08425925926</v>
      </c>
      <c r="G31" s="149">
        <f>IFERROR(VLOOKUP(B31,Daily_Working_Do_Not_Delete!DC:DD,2,0))</f>
        <v>0.06587962963</v>
      </c>
      <c r="H31" s="149">
        <f>IFERROR(VLOOKUP(B31,Daily_Working_Do_Not_Delete!DA:DB,2,0))</f>
        <v>0.0850462963</v>
      </c>
      <c r="I31" s="149">
        <f>IFERROR(VLOOKUP(B31,Daily_Working_Do_Not_Delete!CY:CZ,2,0))</f>
        <v>0.145474537</v>
      </c>
      <c r="J31" s="149">
        <f>IFERROR(VLOOKUP(B31,Daily_Working_Do_Not_Delete!CW:CX,2,0))</f>
        <v>0.04291666667</v>
      </c>
      <c r="K31" s="149">
        <f>IFERROR(VLOOKUP(B31,Daily_Working_Do_Not_Delete!CU:CV,2,0))</f>
        <v>0.09724537037</v>
      </c>
      <c r="L31" s="149">
        <f>IFERROR(VLOOKUP(B31,Daily_Working_Do_Not_Delete!CS:CT,2,0))</f>
        <v>0.05920138889</v>
      </c>
      <c r="M31" s="149">
        <f>IFERROR(VLOOKUP(B31,Daily_Working_Do_Not_Delete!CQ:CR,2,0))</f>
        <v>0.2632060185</v>
      </c>
      <c r="N31" s="149">
        <f>IFERROR(VLOOKUP(B31,Daily_Working_Do_Not_Delete!CO:CP,2,0))</f>
        <v>0.3898842593</v>
      </c>
      <c r="O31" s="149">
        <f>IFERROR(VLOOKUP(B31,Daily_Working_Do_Not_Delete!CM:CN,2,0))</f>
        <v>0.5589236111</v>
      </c>
      <c r="P31" s="149">
        <f>IFERROR(VLOOKUP(B31,Daily_Working_Do_Not_Delete!CK:CL,2,0))</f>
        <v>0.7052777778</v>
      </c>
      <c r="Q31" s="149">
        <f>IFERROR(VLOOKUP(B31,Daily_Working_Do_Not_Delete!CI:CJ,2,0))</f>
        <v>0.829224537</v>
      </c>
      <c r="R31" s="149">
        <f>IFERROR(VLOOKUP(B31,Daily_Working_Do_Not_Delete!CG:CH,2,0))</f>
        <v>0.4304398148</v>
      </c>
      <c r="S31" s="149">
        <f>IFERROR(VLOOKUP(B31,Daily_Working_Do_Not_Delete!CE:CF,2,0))</f>
        <v>0.7562847222</v>
      </c>
      <c r="T31" s="149">
        <f>IFERROR(VLOOKUP(B31,Daily_Working_Do_Not_Delete!CC:CD,2,0))</f>
        <v>0.5706365741</v>
      </c>
      <c r="U31" s="149">
        <f>IFERROR(VLOOKUP(B31,Daily_Working_Do_Not_Delete!CA:CB,2,0))</f>
        <v>0.5242824074</v>
      </c>
      <c r="V31" s="149">
        <f>IFERROR(VLOOKUP(B31,Daily_Working_Do_Not_Delete!BY:BZ,2,0))</f>
        <v>0.3180439815</v>
      </c>
      <c r="W31" s="149">
        <f>IFERROR(VLOOKUP(B31,Daily_Working_Do_Not_Delete!BW:BX,2,0))</f>
        <v>0.1492476852</v>
      </c>
      <c r="X31" s="149">
        <f>IFERROR(VLOOKUP(B31,Daily_Working_Do_Not_Delete!BU:BV,2,0))</f>
        <v>0.05513888889</v>
      </c>
      <c r="Y31" s="149">
        <f>IFERROR(VLOOKUP(B31,Daily_Working_Do_Not_Delete!BS:BT,2,0))</f>
        <v>0.104537037</v>
      </c>
      <c r="Z31" s="149">
        <f>IFERROR(VLOOKUP(B31,Daily_Working_Do_Not_Delete!BQ:BR,2,0))</f>
        <v>0.1430208333</v>
      </c>
      <c r="AA31" s="149">
        <f>IFERROR(VLOOKUP(B31,Daily_Working_Do_Not_Delete!BO:BP,2,0))</f>
        <v>0.1181365741</v>
      </c>
      <c r="AB31" s="149">
        <f>IFERROR(VLOOKUP(B31,Daily_Working_Do_Not_Delete!BM:BN,2,0))</f>
        <v>0.1593055556</v>
      </c>
      <c r="AC31" s="149">
        <f>IFERROR(VLOOKUP(B31,Daily_Working_Do_Not_Delete!BK:BL,2,0))</f>
        <v>0.08586805556</v>
      </c>
      <c r="AD31" s="149">
        <f>IFERROR(VLOOKUP(B31,Daily_Working_Do_Not_Delete!BI:BJ,2,0))</f>
        <v>0.0821412037</v>
      </c>
      <c r="AE31" s="149">
        <f>IFERROR(VLOOKUP(B31,Daily_Working_Do_Not_Delete!BG:BH,2,0))</f>
        <v>0.08424768519</v>
      </c>
      <c r="AF31" s="149">
        <f>IFERROR(VLOOKUP(B31,Daily_Working_Do_Not_Delete!BE:BF,2,0))</f>
        <v>0.01005787037</v>
      </c>
      <c r="AG31" s="149">
        <f>IFERROR(VLOOKUP(B31,Daily_Working_Do_Not_Delete!BC:BD,2,0))</f>
        <v>0.1189236111</v>
      </c>
      <c r="AH31" s="149">
        <f>IFERROR(VLOOKUP(B31,Daily_Working_Do_Not_Delete!BA:BB,2,0))</f>
        <v>0.2553703704</v>
      </c>
      <c r="AI31" s="149">
        <f>IFERROR(VLOOKUP(B31,Daily_Working_Do_Not_Delete!AY:AZ,2,0))</f>
        <v>0.2487384259</v>
      </c>
      <c r="AJ31" s="149">
        <f>IFERROR(VLOOKUP(B31,Daily_Working_Do_Not_Delete!AW:AX,2,0))</f>
        <v>0.5974652778</v>
      </c>
      <c r="AK31" s="149">
        <f>IFERROR(VLOOKUP(B31,Daily_Working_Do_Not_Delete!AU:AV,2,0))</f>
        <v>0.05810185185</v>
      </c>
      <c r="AL31" s="149">
        <f>IFERROR(VLOOKUP(B31,Daily_Working_Do_Not_Delete!AS:AT,2,0))</f>
        <v>0.08111111111</v>
      </c>
      <c r="AM31" s="149">
        <f>IFERROR(VLOOKUP(B31,Daily_Working_Do_Not_Delete!AQ:AR,2,0))</f>
        <v>0.02</v>
      </c>
      <c r="AN31" s="149" t="str">
        <f>IFERROR(VLOOKUP(B31,Daily_Working_Do_Not_Delete!AO:AP,2,0))</f>
        <v/>
      </c>
      <c r="AO31" s="149">
        <f>IFERROR(VLOOKUP(B31,Daily_Working_Do_Not_Delete!AM:AN,2,0))</f>
        <v>0.01337962963</v>
      </c>
      <c r="AP31" s="149">
        <f>IFERROR(VLOOKUP(B31,Daily_Working_Do_Not_Delete!AK:AL,2,0))</f>
        <v>0.01928240741</v>
      </c>
      <c r="AQ31" s="149" t="str">
        <f>IFERROR(VLOOKUP(B31,Daily_Working_Do_Not_Delete!AI:AJ,2,0))</f>
        <v/>
      </c>
      <c r="AR31" s="149" t="str">
        <f>IFERROR(VLOOKUP(B31,Daily_Working_Do_Not_Delete!AG:AH,2,0))</f>
        <v/>
      </c>
      <c r="AS31" s="149" t="str">
        <f>IFERROR(VLOOKUP(B31,Daily_Working_Do_Not_Delete!AE:AF,2,0))</f>
        <v/>
      </c>
      <c r="AT31" s="149" t="str">
        <f>IFERROR(VLOOKUP(B31,Daily_Working_Do_Not_Delete!AC:AD,2,0))</f>
        <v/>
      </c>
      <c r="AU31" s="149" t="str">
        <f>IFERROR(VLOOKUP(B31,Daily_Working_Do_Not_Delete!AA:AB,2,0))</f>
        <v/>
      </c>
      <c r="AV31" s="149" t="str">
        <f>IFERROR(VLOOKUP(B31,Daily_Working_Do_Not_Delete!Y:Z,2,0))</f>
        <v/>
      </c>
      <c r="AW31" s="149" t="str">
        <f>IFERROR(VLOOKUP(B31,Daily_Working_Do_Not_Delete!W:X,2,0))</f>
        <v/>
      </c>
      <c r="AX31" s="149" t="str">
        <f>IFERROR(VLOOKUP(B31,Daily_Working_Do_Not_Delete!U:V,2,0))</f>
        <v/>
      </c>
      <c r="AY31" s="149" t="str">
        <f>IFERROR(VLOOKUP(B31,Daily_Working_Do_Not_Delete!S:T,2,0))</f>
        <v/>
      </c>
      <c r="AZ31" s="149" t="str">
        <f>IFERROR(VLOOKUP(B31,Daily_Working_Do_Not_Delete!Q:R,2,0))</f>
        <v/>
      </c>
      <c r="BA31" s="149" t="str">
        <f>IFERROR(VLOOKUP(B31,Daily_Working_Do_Not_Delete!O:P,2,0))</f>
        <v/>
      </c>
      <c r="BB31" s="149" t="str">
        <f>IFERROR(VLOOKUP(B31,Daily_Working_Do_Not_Delete!M:N,2,0))</f>
        <v/>
      </c>
      <c r="BC31" s="149" t="str">
        <f>IFERROR(VLOOKUP(B31,Daily_Working_Do_Not_Delete!K:L,2,0))</f>
        <v/>
      </c>
      <c r="BD31" s="149" t="str">
        <f>IFERROR(VLOOKUP(B31,Daily_Working_Do_Not_Delete!I:J,2,0))</f>
        <v/>
      </c>
      <c r="BE31" s="149" t="str">
        <f>IFERROR(VLOOKUP(B31,Daily_Working_Do_Not_Delete!G:H,2,0))</f>
        <v/>
      </c>
      <c r="BF31" s="149" t="str">
        <f>IFERROR(VLOOKUP(B31,Daily_Working_Do_Not_Delete!E:F,2,0))</f>
        <v/>
      </c>
      <c r="BG31" s="149" t="str">
        <f>IFERROR(VLOOKUP(B31,Daily_Working_Do_Not_Delete!C:D,2,0))</f>
        <v/>
      </c>
      <c r="BH31" s="149" t="str">
        <f>IFERROR(VLOOKUP(B31,Daily_Working_Do_Not_Delete!A:B,2,0))</f>
        <v/>
      </c>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row>
    <row r="32">
      <c r="A32" s="146" t="s">
        <v>423</v>
      </c>
      <c r="B32" s="146" t="s">
        <v>51</v>
      </c>
      <c r="C32" s="137" t="s">
        <v>421</v>
      </c>
      <c r="D32" s="148">
        <f t="shared" si="3"/>
        <v>8.718888889</v>
      </c>
      <c r="E32" s="149">
        <f>IFERROR(VLOOKUP(B32,Daily_Working_Do_Not_Delete!DG:DH,2,0))</f>
        <v>1.358819444</v>
      </c>
      <c r="F32" s="149">
        <f>IFERROR(VLOOKUP(B32,Daily_Working_Do_Not_Delete!DE:DF,2,0))</f>
        <v>0.05755787037</v>
      </c>
      <c r="G32" s="149">
        <f>IFERROR(VLOOKUP(B32,Daily_Working_Do_Not_Delete!DC:DD,2,0))</f>
        <v>0.05189814815</v>
      </c>
      <c r="H32" s="149">
        <f>IFERROR(VLOOKUP(B32,Daily_Working_Do_Not_Delete!DA:DB,2,0))</f>
        <v>0.07399305556</v>
      </c>
      <c r="I32" s="149">
        <f>IFERROR(VLOOKUP(B32,Daily_Working_Do_Not_Delete!CY:CZ,2,0))</f>
        <v>0.03380787037</v>
      </c>
      <c r="J32" s="149">
        <f>IFERROR(VLOOKUP(B32,Daily_Working_Do_Not_Delete!CW:CX,2,0))</f>
        <v>0.04336805556</v>
      </c>
      <c r="K32" s="149">
        <f>IFERROR(VLOOKUP(B32,Daily_Working_Do_Not_Delete!CU:CV,2,0))</f>
        <v>0.04482638889</v>
      </c>
      <c r="L32" s="149">
        <f>IFERROR(VLOOKUP(B32,Daily_Working_Do_Not_Delete!CS:CT,2,0))</f>
        <v>0.002384259259</v>
      </c>
      <c r="M32" s="149">
        <f>IFERROR(VLOOKUP(B32,Daily_Working_Do_Not_Delete!CQ:CR,2,0))</f>
        <v>0.06778935185</v>
      </c>
      <c r="N32" s="149">
        <f>IFERROR(VLOOKUP(B32,Daily_Working_Do_Not_Delete!CO:CP,2,0))</f>
        <v>0.0612962963</v>
      </c>
      <c r="O32" s="149">
        <f>IFERROR(VLOOKUP(B32,Daily_Working_Do_Not_Delete!CM:CN,2,0))</f>
        <v>0.09820601852</v>
      </c>
      <c r="P32" s="149">
        <f>IFERROR(VLOOKUP(B32,Daily_Working_Do_Not_Delete!CK:CL,2,0))</f>
        <v>0.061875</v>
      </c>
      <c r="Q32" s="149">
        <f>IFERROR(VLOOKUP(B32,Daily_Working_Do_Not_Delete!CI:CJ,2,0))</f>
        <v>0.07859953704</v>
      </c>
      <c r="R32" s="149">
        <f>IFERROR(VLOOKUP(B32,Daily_Working_Do_Not_Delete!CG:CH,2,0))</f>
        <v>0.1412384259</v>
      </c>
      <c r="S32" s="149">
        <f>IFERROR(VLOOKUP(B32,Daily_Working_Do_Not_Delete!CE:CF,2,0))</f>
        <v>0.4495486111</v>
      </c>
      <c r="T32" s="149">
        <f>IFERROR(VLOOKUP(B32,Daily_Working_Do_Not_Delete!CC:CD,2,0))</f>
        <v>0.3476388889</v>
      </c>
      <c r="U32" s="149">
        <f>IFERROR(VLOOKUP(B32,Daily_Working_Do_Not_Delete!CA:CB,2,0))</f>
        <v>0.4745138889</v>
      </c>
      <c r="V32" s="149">
        <f>IFERROR(VLOOKUP(B32,Daily_Working_Do_Not_Delete!BY:BZ,2,0))</f>
        <v>0.4638078704</v>
      </c>
      <c r="W32" s="149">
        <f>IFERROR(VLOOKUP(B32,Daily_Working_Do_Not_Delete!BW:BX,2,0))</f>
        <v>0.2407060185</v>
      </c>
      <c r="X32" s="149">
        <f>IFERROR(VLOOKUP(B32,Daily_Working_Do_Not_Delete!BU:BV,2,0))</f>
        <v>0.4278009259</v>
      </c>
      <c r="Y32" s="149">
        <f>IFERROR(VLOOKUP(B32,Daily_Working_Do_Not_Delete!BS:BT,2,0))</f>
        <v>0.5699189815</v>
      </c>
      <c r="Z32" s="149">
        <f>IFERROR(VLOOKUP(B32,Daily_Working_Do_Not_Delete!BQ:BR,2,0))</f>
        <v>0.7522569444</v>
      </c>
      <c r="AA32" s="149">
        <f>IFERROR(VLOOKUP(B32,Daily_Working_Do_Not_Delete!BO:BP,2,0))</f>
        <v>0.8125925926</v>
      </c>
      <c r="AB32" s="149">
        <f>IFERROR(VLOOKUP(B32,Daily_Working_Do_Not_Delete!BM:BN,2,0))</f>
        <v>0.561712963</v>
      </c>
      <c r="AC32" s="149">
        <f>IFERROR(VLOOKUP(B32,Daily_Working_Do_Not_Delete!BK:BL,2,0))</f>
        <v>0.4525578704</v>
      </c>
      <c r="AD32" s="149">
        <f>IFERROR(VLOOKUP(B32,Daily_Working_Do_Not_Delete!BI:BJ,2,0))</f>
        <v>0.275</v>
      </c>
      <c r="AE32" s="149">
        <f>IFERROR(VLOOKUP(B32,Daily_Working_Do_Not_Delete!BG:BH,2,0))</f>
        <v>0.4270023148</v>
      </c>
      <c r="AF32" s="149">
        <f>IFERROR(VLOOKUP(B32,Daily_Working_Do_Not_Delete!BE:BF,2,0))</f>
        <v>0.142650463</v>
      </c>
      <c r="AG32" s="149">
        <f>IFERROR(VLOOKUP(B32,Daily_Working_Do_Not_Delete!BC:BD,2,0))</f>
        <v>0.02556712963</v>
      </c>
      <c r="AH32" s="149">
        <f>IFERROR(VLOOKUP(B32,Daily_Working_Do_Not_Delete!BA:BB,2,0))</f>
        <v>0.02758101852</v>
      </c>
      <c r="AI32" s="149">
        <f>IFERROR(VLOOKUP(B32,Daily_Working_Do_Not_Delete!AY:AZ,2,0))</f>
        <v>0.02849537037</v>
      </c>
      <c r="AJ32" s="149">
        <f>IFERROR(VLOOKUP(B32,Daily_Working_Do_Not_Delete!AW:AX,2,0))</f>
        <v>0.005625</v>
      </c>
      <c r="AK32" s="149">
        <f>IFERROR(VLOOKUP(B32,Daily_Working_Do_Not_Delete!AU:AV,2,0))</f>
        <v>0.02398148148</v>
      </c>
      <c r="AL32" s="149" t="str">
        <f>IFERROR(VLOOKUP(B32,Daily_Working_Do_Not_Delete!AS:AT,2,0))</f>
        <v/>
      </c>
      <c r="AM32" s="149" t="str">
        <f>IFERROR(VLOOKUP(B32,Daily_Working_Do_Not_Delete!AQ:AR,2,0))</f>
        <v/>
      </c>
      <c r="AN32" s="149">
        <f>IFERROR(VLOOKUP(B32,Daily_Working_Do_Not_Delete!AO:AP,2,0))</f>
        <v>0.01170138889</v>
      </c>
      <c r="AO32" s="149">
        <f>IFERROR(VLOOKUP(B32,Daily_Working_Do_Not_Delete!AM:AN,2,0))</f>
        <v>0.002743055556</v>
      </c>
      <c r="AP32" s="149">
        <f>IFERROR(VLOOKUP(B32,Daily_Working_Do_Not_Delete!AK:AL,2,0))</f>
        <v>0.009907407407</v>
      </c>
      <c r="AQ32" s="149">
        <f>IFERROR(VLOOKUP(B32,Daily_Working_Do_Not_Delete!AI:AJ,2,0))</f>
        <v>0.0046875</v>
      </c>
      <c r="AR32" s="149">
        <f>IFERROR(VLOOKUP(B32,Daily_Working_Do_Not_Delete!AG:AH,2,0))</f>
        <v>0.005231481481</v>
      </c>
      <c r="AS32" s="149" t="str">
        <f>IFERROR(VLOOKUP(B32,Daily_Working_Do_Not_Delete!AE:AF,2,0))</f>
        <v/>
      </c>
      <c r="AT32" s="149" t="str">
        <f>IFERROR(VLOOKUP(B32,Daily_Working_Do_Not_Delete!AC:AD,2,0))</f>
        <v/>
      </c>
      <c r="AU32" s="149" t="str">
        <f>IFERROR(VLOOKUP(B32,Daily_Working_Do_Not_Delete!AA:AB,2,0))</f>
        <v/>
      </c>
      <c r="AV32" s="149" t="str">
        <f>IFERROR(VLOOKUP(B32,Daily_Working_Do_Not_Delete!Y:Z,2,0))</f>
        <v/>
      </c>
      <c r="AW32" s="149" t="str">
        <f>IFERROR(VLOOKUP(B32,Daily_Working_Do_Not_Delete!W:X,2,0))</f>
        <v/>
      </c>
      <c r="AX32" s="149" t="str">
        <f>IFERROR(VLOOKUP(B32,Daily_Working_Do_Not_Delete!U:V,2,0))</f>
        <v/>
      </c>
      <c r="AY32" s="149" t="str">
        <f>IFERROR(VLOOKUP(B32,Daily_Working_Do_Not_Delete!S:T,2,0))</f>
        <v/>
      </c>
      <c r="AZ32" s="149" t="str">
        <f>IFERROR(VLOOKUP(B32,Daily_Working_Do_Not_Delete!Q:R,2,0))</f>
        <v/>
      </c>
      <c r="BA32" s="149" t="str">
        <f>IFERROR(VLOOKUP(B32,Daily_Working_Do_Not_Delete!O:P,2,0))</f>
        <v/>
      </c>
      <c r="BB32" s="149" t="str">
        <f>IFERROR(VLOOKUP(B32,Daily_Working_Do_Not_Delete!M:N,2,0))</f>
        <v/>
      </c>
      <c r="BC32" s="149" t="str">
        <f>IFERROR(VLOOKUP(B32,Daily_Working_Do_Not_Delete!K:L,2,0))</f>
        <v/>
      </c>
      <c r="BD32" s="149" t="str">
        <f>IFERROR(VLOOKUP(B32,Daily_Working_Do_Not_Delete!I:J,2,0))</f>
        <v/>
      </c>
      <c r="BE32" s="149" t="str">
        <f>IFERROR(VLOOKUP(B32,Daily_Working_Do_Not_Delete!G:H,2,0))</f>
        <v/>
      </c>
      <c r="BF32" s="149" t="str">
        <f>IFERROR(VLOOKUP(B32,Daily_Working_Do_Not_Delete!E:F,2,0))</f>
        <v/>
      </c>
      <c r="BG32" s="149" t="str">
        <f>IFERROR(VLOOKUP(B32,Daily_Working_Do_Not_Delete!C:D,2,0))</f>
        <v/>
      </c>
      <c r="BH32" s="149" t="str">
        <f>IFERROR(VLOOKUP(B32,Daily_Working_Do_Not_Delete!A:B,2,0))</f>
        <v/>
      </c>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row>
    <row r="33">
      <c r="A33" s="146" t="s">
        <v>423</v>
      </c>
      <c r="B33" s="146" t="s">
        <v>52</v>
      </c>
      <c r="C33" s="137" t="s">
        <v>421</v>
      </c>
      <c r="D33" s="148">
        <f t="shared" si="3"/>
        <v>16.2465162</v>
      </c>
      <c r="E33" s="149">
        <f>IFERROR(VLOOKUP(B33,Daily_Working_Do_Not_Delete!DG:DH,2,0))</f>
        <v>4.967847222</v>
      </c>
      <c r="F33" s="149">
        <f>IFERROR(VLOOKUP(B33,Daily_Working_Do_Not_Delete!DE:DF,2,0))</f>
        <v>0.4086111111</v>
      </c>
      <c r="G33" s="149">
        <f>IFERROR(VLOOKUP(B33,Daily_Working_Do_Not_Delete!DC:DD,2,0))</f>
        <v>0.09835648148</v>
      </c>
      <c r="H33" s="149">
        <f>IFERROR(VLOOKUP(B33,Daily_Working_Do_Not_Delete!DA:DB,2,0))</f>
        <v>0.04186342593</v>
      </c>
      <c r="I33" s="149">
        <f>IFERROR(VLOOKUP(B33,Daily_Working_Do_Not_Delete!CY:CZ,2,0))</f>
        <v>0.0162962963</v>
      </c>
      <c r="J33" s="149">
        <f>IFERROR(VLOOKUP(B33,Daily_Working_Do_Not_Delete!CW:CX,2,0))</f>
        <v>0.0005555555556</v>
      </c>
      <c r="K33" s="149">
        <f>IFERROR(VLOOKUP(B33,Daily_Working_Do_Not_Delete!CU:CV,2,0))</f>
        <v>0.05349537037</v>
      </c>
      <c r="L33" s="149">
        <f>IFERROR(VLOOKUP(B33,Daily_Working_Do_Not_Delete!CS:CT,2,0))</f>
        <v>0.05165509259</v>
      </c>
      <c r="M33" s="149">
        <f>IFERROR(VLOOKUP(B33,Daily_Working_Do_Not_Delete!CQ:CR,2,0))</f>
        <v>0.03854166667</v>
      </c>
      <c r="N33" s="149">
        <f>IFERROR(VLOOKUP(B33,Daily_Working_Do_Not_Delete!CO:CP,2,0))</f>
        <v>0.03467592593</v>
      </c>
      <c r="O33" s="149">
        <f>IFERROR(VLOOKUP(B33,Daily_Working_Do_Not_Delete!CM:CN,2,0))</f>
        <v>0.02418981481</v>
      </c>
      <c r="P33" s="149">
        <f>IFERROR(VLOOKUP(B33,Daily_Working_Do_Not_Delete!CK:CL,2,0))</f>
        <v>0.05038194444</v>
      </c>
      <c r="Q33" s="149">
        <f>IFERROR(VLOOKUP(B33,Daily_Working_Do_Not_Delete!CI:CJ,2,0))</f>
        <v>0.01162037037</v>
      </c>
      <c r="R33" s="149">
        <f>IFERROR(VLOOKUP(B33,Daily_Working_Do_Not_Delete!CG:CH,2,0))</f>
        <v>0.03756944444</v>
      </c>
      <c r="S33" s="149">
        <f>IFERROR(VLOOKUP(B33,Daily_Working_Do_Not_Delete!CE:CF,2,0))</f>
        <v>0.004537037037</v>
      </c>
      <c r="T33" s="149">
        <f>IFERROR(VLOOKUP(B33,Daily_Working_Do_Not_Delete!CC:CD,2,0))</f>
        <v>0.01292824074</v>
      </c>
      <c r="U33" s="149">
        <f>IFERROR(VLOOKUP(B33,Daily_Working_Do_Not_Delete!CA:CB,2,0))</f>
        <v>0.02013888889</v>
      </c>
      <c r="V33" s="149">
        <f>IFERROR(VLOOKUP(B33,Daily_Working_Do_Not_Delete!BY:BZ,2,0))</f>
        <v>0.05653935185</v>
      </c>
      <c r="W33" s="149">
        <f>IFERROR(VLOOKUP(B33,Daily_Working_Do_Not_Delete!BW:BX,2,0))</f>
        <v>0.03909722222</v>
      </c>
      <c r="X33" s="149">
        <f>IFERROR(VLOOKUP(B33,Daily_Working_Do_Not_Delete!BU:BV,2,0))</f>
        <v>0.02107638889</v>
      </c>
      <c r="Y33" s="149">
        <f>IFERROR(VLOOKUP(B33,Daily_Working_Do_Not_Delete!BS:BT,2,0))</f>
        <v>0.06412037037</v>
      </c>
      <c r="Z33" s="149">
        <f>IFERROR(VLOOKUP(B33,Daily_Working_Do_Not_Delete!BQ:BR,2,0))</f>
        <v>0.06451388889</v>
      </c>
      <c r="AA33" s="149">
        <f>IFERROR(VLOOKUP(B33,Daily_Working_Do_Not_Delete!BO:BP,2,0))</f>
        <v>0.2194212963</v>
      </c>
      <c r="AB33" s="149">
        <f>IFERROR(VLOOKUP(B33,Daily_Working_Do_Not_Delete!BM:BN,2,0))</f>
        <v>0.9306365741</v>
      </c>
      <c r="AC33" s="149">
        <f>IFERROR(VLOOKUP(B33,Daily_Working_Do_Not_Delete!BK:BL,2,0))</f>
        <v>0.6143865741</v>
      </c>
      <c r="AD33" s="149">
        <f>IFERROR(VLOOKUP(B33,Daily_Working_Do_Not_Delete!BI:BJ,2,0))</f>
        <v>1.1390625</v>
      </c>
      <c r="AE33" s="149">
        <f>IFERROR(VLOOKUP(B33,Daily_Working_Do_Not_Delete!BG:BH,2,0))</f>
        <v>0.7278819444</v>
      </c>
      <c r="AF33" s="149">
        <f>IFERROR(VLOOKUP(B33,Daily_Working_Do_Not_Delete!BE:BF,2,0))</f>
        <v>1.44712963</v>
      </c>
      <c r="AG33" s="149">
        <f>IFERROR(VLOOKUP(B33,Daily_Working_Do_Not_Delete!BC:BD,2,0))</f>
        <v>1.359814815</v>
      </c>
      <c r="AH33" s="149">
        <f>IFERROR(VLOOKUP(B33,Daily_Working_Do_Not_Delete!BA:BB,2,0))</f>
        <v>0.6601273148</v>
      </c>
      <c r="AI33" s="149">
        <f>IFERROR(VLOOKUP(B33,Daily_Working_Do_Not_Delete!AY:AZ,2,0))</f>
        <v>0.4168981481</v>
      </c>
      <c r="AJ33" s="149">
        <f>IFERROR(VLOOKUP(B33,Daily_Working_Do_Not_Delete!AW:AX,2,0))</f>
        <v>0.6470601852</v>
      </c>
      <c r="AK33" s="149">
        <f>IFERROR(VLOOKUP(B33,Daily_Working_Do_Not_Delete!AU:AV,2,0))</f>
        <v>1.588425926</v>
      </c>
      <c r="AL33" s="149">
        <f>IFERROR(VLOOKUP(B33,Daily_Working_Do_Not_Delete!AS:AT,2,0))</f>
        <v>0.1583101852</v>
      </c>
      <c r="AM33" s="149">
        <f>IFERROR(VLOOKUP(B33,Daily_Working_Do_Not_Delete!AQ:AR,2,0))</f>
        <v>0.04946759259</v>
      </c>
      <c r="AN33" s="149">
        <f>IFERROR(VLOOKUP(B33,Daily_Working_Do_Not_Delete!AO:AP,2,0))</f>
        <v>0.1141898148</v>
      </c>
      <c r="AO33" s="149">
        <f>IFERROR(VLOOKUP(B33,Daily_Working_Do_Not_Delete!AM:AN,2,0))</f>
        <v>0.001851851852</v>
      </c>
      <c r="AP33" s="149">
        <f>IFERROR(VLOOKUP(B33,Daily_Working_Do_Not_Delete!AK:AL,2,0))</f>
        <v>0.04300925926</v>
      </c>
      <c r="AQ33" s="149">
        <f>IFERROR(VLOOKUP(B33,Daily_Working_Do_Not_Delete!AI:AJ,2,0))</f>
        <v>0.008356481481</v>
      </c>
      <c r="AR33" s="149" t="str">
        <f>IFERROR(VLOOKUP(B33,Daily_Working_Do_Not_Delete!AG:AH,2,0))</f>
        <v/>
      </c>
      <c r="AS33" s="149" t="str">
        <f>IFERROR(VLOOKUP(B33,Daily_Working_Do_Not_Delete!AE:AF,2,0))</f>
        <v/>
      </c>
      <c r="AT33" s="149">
        <f>IFERROR(VLOOKUP(B33,Daily_Working_Do_Not_Delete!AC:AD,2,0))</f>
        <v>0.001736111111</v>
      </c>
      <c r="AU33" s="149" t="str">
        <f>IFERROR(VLOOKUP(B33,Daily_Working_Do_Not_Delete!AA:AB,2,0))</f>
        <v/>
      </c>
      <c r="AV33" s="149" t="str">
        <f>IFERROR(VLOOKUP(B33,Daily_Working_Do_Not_Delete!Y:Z,2,0))</f>
        <v/>
      </c>
      <c r="AW33" s="149" t="str">
        <f>IFERROR(VLOOKUP(B33,Daily_Working_Do_Not_Delete!W:X,2,0))</f>
        <v/>
      </c>
      <c r="AX33" s="149" t="str">
        <f>IFERROR(VLOOKUP(B33,Daily_Working_Do_Not_Delete!U:V,2,0))</f>
        <v/>
      </c>
      <c r="AY33" s="149" t="str">
        <f>IFERROR(VLOOKUP(B33,Daily_Working_Do_Not_Delete!S:T,2,0))</f>
        <v/>
      </c>
      <c r="AZ33" s="149" t="str">
        <f>IFERROR(VLOOKUP(B33,Daily_Working_Do_Not_Delete!Q:R,2,0))</f>
        <v/>
      </c>
      <c r="BA33" s="149" t="str">
        <f>IFERROR(VLOOKUP(B33,Daily_Working_Do_Not_Delete!O:P,2,0))</f>
        <v/>
      </c>
      <c r="BB33" s="149" t="str">
        <f>IFERROR(VLOOKUP(B33,Daily_Working_Do_Not_Delete!M:N,2,0))</f>
        <v/>
      </c>
      <c r="BC33" s="149" t="str">
        <f>IFERROR(VLOOKUP(B33,Daily_Working_Do_Not_Delete!K:L,2,0))</f>
        <v/>
      </c>
      <c r="BD33" s="149" t="str">
        <f>IFERROR(VLOOKUP(B33,Daily_Working_Do_Not_Delete!I:J,2,0))</f>
        <v/>
      </c>
      <c r="BE33" s="149">
        <f>IFERROR(VLOOKUP(B33,Daily_Working_Do_Not_Delete!G:H,2,0))</f>
        <v>0</v>
      </c>
      <c r="BF33" s="149" t="str">
        <f>IFERROR(VLOOKUP(B33,Daily_Working_Do_Not_Delete!E:F,2,0))</f>
        <v/>
      </c>
      <c r="BG33" s="149">
        <f>IFERROR(VLOOKUP(B33,Daily_Working_Do_Not_Delete!C:D,2,0))</f>
        <v>0.0001388888889</v>
      </c>
      <c r="BH33" s="149" t="str">
        <f>IFERROR(VLOOKUP(B33,Daily_Working_Do_Not_Delete!A:B,2,0))</f>
        <v/>
      </c>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row>
    <row r="34">
      <c r="A34" s="146" t="s">
        <v>423</v>
      </c>
      <c r="B34" s="146" t="s">
        <v>53</v>
      </c>
      <c r="C34" s="137" t="s">
        <v>421</v>
      </c>
      <c r="D34" s="148">
        <f t="shared" si="3"/>
        <v>10.22001157</v>
      </c>
      <c r="E34" s="149">
        <f>IFERROR(VLOOKUP(B34,Daily_Working_Do_Not_Delete!DG:DH,2,0))</f>
        <v>2.121377315</v>
      </c>
      <c r="F34" s="149">
        <f>IFERROR(VLOOKUP(B34,Daily_Working_Do_Not_Delete!DE:DF,2,0))</f>
        <v>0.01609953704</v>
      </c>
      <c r="G34" s="149">
        <f>IFERROR(VLOOKUP(B34,Daily_Working_Do_Not_Delete!DC:DD,2,0))</f>
        <v>0.3128125</v>
      </c>
      <c r="H34" s="149">
        <f>IFERROR(VLOOKUP(B34,Daily_Working_Do_Not_Delete!DA:DB,2,0))</f>
        <v>0.2175694444</v>
      </c>
      <c r="I34" s="149">
        <f>IFERROR(VLOOKUP(B34,Daily_Working_Do_Not_Delete!CY:CZ,2,0))</f>
        <v>0.5519791667</v>
      </c>
      <c r="J34" s="149">
        <f>IFERROR(VLOOKUP(B34,Daily_Working_Do_Not_Delete!CW:CX,2,0))</f>
        <v>0.5523842593</v>
      </c>
      <c r="K34" s="149">
        <f>IFERROR(VLOOKUP(B34,Daily_Working_Do_Not_Delete!CU:CV,2,0))</f>
        <v>0.6759953704</v>
      </c>
      <c r="L34" s="149">
        <f>IFERROR(VLOOKUP(B34,Daily_Working_Do_Not_Delete!CS:CT,2,0))</f>
        <v>0.3009722222</v>
      </c>
      <c r="M34" s="149">
        <f>IFERROR(VLOOKUP(B34,Daily_Working_Do_Not_Delete!CQ:CR,2,0))</f>
        <v>0.5365277778</v>
      </c>
      <c r="N34" s="149">
        <f>IFERROR(VLOOKUP(B34,Daily_Working_Do_Not_Delete!CO:CP,2,0))</f>
        <v>0.2424652778</v>
      </c>
      <c r="O34" s="149">
        <f>IFERROR(VLOOKUP(B34,Daily_Working_Do_Not_Delete!CM:CN,2,0))</f>
        <v>0.6573263889</v>
      </c>
      <c r="P34" s="149">
        <f>IFERROR(VLOOKUP(B34,Daily_Working_Do_Not_Delete!CK:CL,2,0))</f>
        <v>0.9606597222</v>
      </c>
      <c r="Q34" s="149">
        <f>IFERROR(VLOOKUP(B34,Daily_Working_Do_Not_Delete!CI:CJ,2,0))</f>
        <v>0.7212962963</v>
      </c>
      <c r="R34" s="149">
        <f>IFERROR(VLOOKUP(B34,Daily_Working_Do_Not_Delete!CG:CH,2,0))</f>
        <v>0.650150463</v>
      </c>
      <c r="S34" s="149">
        <f>IFERROR(VLOOKUP(B34,Daily_Working_Do_Not_Delete!CE:CF,2,0))</f>
        <v>0.2265277778</v>
      </c>
      <c r="T34" s="149">
        <f>IFERROR(VLOOKUP(B34,Daily_Working_Do_Not_Delete!CC:CD,2,0))</f>
        <v>0.2875</v>
      </c>
      <c r="U34" s="149">
        <f>IFERROR(VLOOKUP(B34,Daily_Working_Do_Not_Delete!CA:CB,2,0))</f>
        <v>0.3084375</v>
      </c>
      <c r="V34" s="149">
        <f>IFERROR(VLOOKUP(B34,Daily_Working_Do_Not_Delete!BY:BZ,2,0))</f>
        <v>0.2363194444</v>
      </c>
      <c r="W34" s="149">
        <f>IFERROR(VLOOKUP(B34,Daily_Working_Do_Not_Delete!BW:BX,2,0))</f>
        <v>0.17125</v>
      </c>
      <c r="X34" s="149">
        <f>IFERROR(VLOOKUP(B34,Daily_Working_Do_Not_Delete!BU:BV,2,0))</f>
        <v>0.02965277778</v>
      </c>
      <c r="Y34" s="149">
        <f>IFERROR(VLOOKUP(B34,Daily_Working_Do_Not_Delete!BS:BT,2,0))</f>
        <v>0.08445601852</v>
      </c>
      <c r="Z34" s="149">
        <f>IFERROR(VLOOKUP(B34,Daily_Working_Do_Not_Delete!BQ:BR,2,0))</f>
        <v>0.04748842593</v>
      </c>
      <c r="AA34" s="149">
        <f>IFERROR(VLOOKUP(B34,Daily_Working_Do_Not_Delete!BO:BP,2,0))</f>
        <v>0.0641087963</v>
      </c>
      <c r="AB34" s="149">
        <f>IFERROR(VLOOKUP(B34,Daily_Working_Do_Not_Delete!BM:BN,2,0))</f>
        <v>0.04996527778</v>
      </c>
      <c r="AC34" s="149">
        <f>IFERROR(VLOOKUP(B34,Daily_Working_Do_Not_Delete!BK:BL,2,0))</f>
        <v>0.01376157407</v>
      </c>
      <c r="AD34" s="149">
        <f>IFERROR(VLOOKUP(B34,Daily_Working_Do_Not_Delete!BI:BJ,2,0))</f>
        <v>0.06662037037</v>
      </c>
      <c r="AE34" s="149">
        <f>IFERROR(VLOOKUP(B34,Daily_Working_Do_Not_Delete!BG:BH,2,0))</f>
        <v>0.01305555556</v>
      </c>
      <c r="AF34" s="149" t="str">
        <f>IFERROR(VLOOKUP(B34,Daily_Working_Do_Not_Delete!BE:BF,2,0))</f>
        <v/>
      </c>
      <c r="AG34" s="149">
        <f>IFERROR(VLOOKUP(B34,Daily_Working_Do_Not_Delete!BC:BD,2,0))</f>
        <v>0.00380787037</v>
      </c>
      <c r="AH34" s="149">
        <f>IFERROR(VLOOKUP(B34,Daily_Working_Do_Not_Delete!BA:BB,2,0))</f>
        <v>0.01525462963</v>
      </c>
      <c r="AI34" s="149" t="str">
        <f>IFERROR(VLOOKUP(B34,Daily_Working_Do_Not_Delete!AY:AZ,2,0))</f>
        <v/>
      </c>
      <c r="AJ34" s="149">
        <f>IFERROR(VLOOKUP(B34,Daily_Working_Do_Not_Delete!AW:AX,2,0))</f>
        <v>0.006909722222</v>
      </c>
      <c r="AK34" s="149">
        <f>IFERROR(VLOOKUP(B34,Daily_Working_Do_Not_Delete!AU:AV,2,0))</f>
        <v>0.006296296296</v>
      </c>
      <c r="AL34" s="149" t="str">
        <f>IFERROR(VLOOKUP(B34,Daily_Working_Do_Not_Delete!AS:AT,2,0))</f>
        <v/>
      </c>
      <c r="AM34" s="149">
        <f>IFERROR(VLOOKUP(B34,Daily_Working_Do_Not_Delete!AQ:AR,2,0))</f>
        <v>0.02138888889</v>
      </c>
      <c r="AN34" s="149">
        <f>IFERROR(VLOOKUP(B34,Daily_Working_Do_Not_Delete!AO:AP,2,0))</f>
        <v>0.001030092593</v>
      </c>
      <c r="AO34" s="149">
        <f>IFERROR(VLOOKUP(B34,Daily_Working_Do_Not_Delete!AM:AN,2,0))</f>
        <v>0.01224537037</v>
      </c>
      <c r="AP34" s="149">
        <f>IFERROR(VLOOKUP(B34,Daily_Working_Do_Not_Delete!AK:AL,2,0))</f>
        <v>0.01158564815</v>
      </c>
      <c r="AQ34" s="149">
        <f>IFERROR(VLOOKUP(B34,Daily_Working_Do_Not_Delete!AI:AJ,2,0))</f>
        <v>0.008101851852</v>
      </c>
      <c r="AR34" s="149">
        <f>IFERROR(VLOOKUP(B34,Daily_Working_Do_Not_Delete!AG:AH,2,0))</f>
        <v>0.01663194444</v>
      </c>
      <c r="AS34" s="149" t="str">
        <f>IFERROR(VLOOKUP(B34,Daily_Working_Do_Not_Delete!AE:AF,2,0))</f>
        <v/>
      </c>
      <c r="AT34" s="149" t="str">
        <f>IFERROR(VLOOKUP(B34,Daily_Working_Do_Not_Delete!AC:AD,2,0))</f>
        <v/>
      </c>
      <c r="AU34" s="149" t="str">
        <f>IFERROR(VLOOKUP(B34,Daily_Working_Do_Not_Delete!AA:AB,2,0))</f>
        <v/>
      </c>
      <c r="AV34" s="149" t="str">
        <f>IFERROR(VLOOKUP(B34,Daily_Working_Do_Not_Delete!Y:Z,2,0))</f>
        <v/>
      </c>
      <c r="AW34" s="149" t="str">
        <f>IFERROR(VLOOKUP(B34,Daily_Working_Do_Not_Delete!W:X,2,0))</f>
        <v/>
      </c>
      <c r="AX34" s="149" t="str">
        <f>IFERROR(VLOOKUP(B34,Daily_Working_Do_Not_Delete!U:V,2,0))</f>
        <v/>
      </c>
      <c r="AY34" s="149" t="str">
        <f>IFERROR(VLOOKUP(B34,Daily_Working_Do_Not_Delete!S:T,2,0))</f>
        <v/>
      </c>
      <c r="AZ34" s="149" t="str">
        <f>IFERROR(VLOOKUP(B34,Daily_Working_Do_Not_Delete!Q:R,2,0))</f>
        <v/>
      </c>
      <c r="BA34" s="149" t="str">
        <f>IFERROR(VLOOKUP(B34,Daily_Working_Do_Not_Delete!O:P,2,0))</f>
        <v/>
      </c>
      <c r="BB34" s="149" t="str">
        <f>IFERROR(VLOOKUP(B34,Daily_Working_Do_Not_Delete!M:N,2,0))</f>
        <v/>
      </c>
      <c r="BC34" s="149" t="str">
        <f>IFERROR(VLOOKUP(B34,Daily_Working_Do_Not_Delete!K:L,2,0))</f>
        <v/>
      </c>
      <c r="BD34" s="149" t="str">
        <f>IFERROR(VLOOKUP(B34,Daily_Working_Do_Not_Delete!I:J,2,0))</f>
        <v/>
      </c>
      <c r="BE34" s="149" t="str">
        <f>IFERROR(VLOOKUP(B34,Daily_Working_Do_Not_Delete!G:H,2,0))</f>
        <v/>
      </c>
      <c r="BF34" s="149" t="str">
        <f>IFERROR(VLOOKUP(B34,Daily_Working_Do_Not_Delete!E:F,2,0))</f>
        <v/>
      </c>
      <c r="BG34" s="149" t="str">
        <f>IFERROR(VLOOKUP(B34,Daily_Working_Do_Not_Delete!C:D,2,0))</f>
        <v/>
      </c>
      <c r="BH34" s="149" t="str">
        <f>IFERROR(VLOOKUP(B34,Daily_Working_Do_Not_Delete!A:B,2,0))</f>
        <v/>
      </c>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row>
    <row r="35">
      <c r="A35" s="146" t="s">
        <v>54</v>
      </c>
      <c r="B35" s="146" t="s">
        <v>55</v>
      </c>
      <c r="C35" s="137" t="s">
        <v>421</v>
      </c>
      <c r="D35" s="148">
        <f t="shared" si="3"/>
        <v>6.677013889</v>
      </c>
      <c r="E35" s="149">
        <f>IFERROR(VLOOKUP(B35,Daily_Working_Do_Not_Delete!DG:DH,2,0))</f>
        <v>2.531840278</v>
      </c>
      <c r="F35" s="149">
        <f>IFERROR(VLOOKUP(B35,Daily_Working_Do_Not_Delete!DE:DF,2,0))</f>
        <v>0.1257638889</v>
      </c>
      <c r="G35" s="149">
        <f>IFERROR(VLOOKUP(B35,Daily_Working_Do_Not_Delete!DC:DD,2,0))</f>
        <v>0.1429861111</v>
      </c>
      <c r="H35" s="149">
        <f>IFERROR(VLOOKUP(B35,Daily_Working_Do_Not_Delete!DA:DB,2,0))</f>
        <v>0.2120601852</v>
      </c>
      <c r="I35" s="149">
        <f>IFERROR(VLOOKUP(B35,Daily_Working_Do_Not_Delete!CY:CZ,2,0))</f>
        <v>0.2288194444</v>
      </c>
      <c r="J35" s="149">
        <f>IFERROR(VLOOKUP(B35,Daily_Working_Do_Not_Delete!CW:CX,2,0))</f>
        <v>0.05959490741</v>
      </c>
      <c r="K35" s="149">
        <f>IFERROR(VLOOKUP(B35,Daily_Working_Do_Not_Delete!CU:CV,2,0))</f>
        <v>0.05108796296</v>
      </c>
      <c r="L35" s="149">
        <f>IFERROR(VLOOKUP(B35,Daily_Working_Do_Not_Delete!CS:CT,2,0))</f>
        <v>0.1752893519</v>
      </c>
      <c r="M35" s="149">
        <f>IFERROR(VLOOKUP(B35,Daily_Working_Do_Not_Delete!CQ:CR,2,0))</f>
        <v>0.06769675926</v>
      </c>
      <c r="N35" s="149">
        <f>IFERROR(VLOOKUP(B35,Daily_Working_Do_Not_Delete!CO:CP,2,0))</f>
        <v>0.08513888889</v>
      </c>
      <c r="O35" s="149">
        <f>IFERROR(VLOOKUP(B35,Daily_Working_Do_Not_Delete!CM:CN,2,0))</f>
        <v>0.1030902778</v>
      </c>
      <c r="P35" s="149">
        <f>IFERROR(VLOOKUP(B35,Daily_Working_Do_Not_Delete!CK:CL,2,0))</f>
        <v>0.1575925926</v>
      </c>
      <c r="Q35" s="149">
        <f>IFERROR(VLOOKUP(B35,Daily_Working_Do_Not_Delete!CI:CJ,2,0))</f>
        <v>0.08542824074</v>
      </c>
      <c r="R35" s="149">
        <f>IFERROR(VLOOKUP(B35,Daily_Working_Do_Not_Delete!CG:CH,2,0))</f>
        <v>0.03784722222</v>
      </c>
      <c r="S35" s="149">
        <f>IFERROR(VLOOKUP(B35,Daily_Working_Do_Not_Delete!CE:CF,2,0))</f>
        <v>0.05070601852</v>
      </c>
      <c r="T35" s="149">
        <f>IFERROR(VLOOKUP(B35,Daily_Working_Do_Not_Delete!CC:CD,2,0))</f>
        <v>0.0365162037</v>
      </c>
      <c r="U35" s="149">
        <f>IFERROR(VLOOKUP(B35,Daily_Working_Do_Not_Delete!CA:CB,2,0))</f>
        <v>0.1557175926</v>
      </c>
      <c r="V35" s="149">
        <f>IFERROR(VLOOKUP(B35,Daily_Working_Do_Not_Delete!BY:BZ,2,0))</f>
        <v>0.05246527778</v>
      </c>
      <c r="W35" s="149">
        <f>IFERROR(VLOOKUP(B35,Daily_Working_Do_Not_Delete!BW:BX,2,0))</f>
        <v>0.1196180556</v>
      </c>
      <c r="X35" s="149">
        <f>IFERROR(VLOOKUP(B35,Daily_Working_Do_Not_Delete!BU:BV,2,0))</f>
        <v>0.0253125</v>
      </c>
      <c r="Y35" s="149">
        <f>IFERROR(VLOOKUP(B35,Daily_Working_Do_Not_Delete!BS:BT,2,0))</f>
        <v>0.04649305556</v>
      </c>
      <c r="Z35" s="149">
        <f>IFERROR(VLOOKUP(B35,Daily_Working_Do_Not_Delete!BQ:BR,2,0))</f>
        <v>0.07891203704</v>
      </c>
      <c r="AA35" s="149">
        <f>IFERROR(VLOOKUP(B35,Daily_Working_Do_Not_Delete!BO:BP,2,0))</f>
        <v>0.1157523148</v>
      </c>
      <c r="AB35" s="149">
        <f>IFERROR(VLOOKUP(B35,Daily_Working_Do_Not_Delete!BM:BN,2,0))</f>
        <v>0.2584606481</v>
      </c>
      <c r="AC35" s="149">
        <f>IFERROR(VLOOKUP(B35,Daily_Working_Do_Not_Delete!BK:BL,2,0))</f>
        <v>0.09699074074</v>
      </c>
      <c r="AD35" s="149">
        <f>IFERROR(VLOOKUP(B35,Daily_Working_Do_Not_Delete!BI:BJ,2,0))</f>
        <v>0.06145833333</v>
      </c>
      <c r="AE35" s="149">
        <f>IFERROR(VLOOKUP(B35,Daily_Working_Do_Not_Delete!BG:BH,2,0))</f>
        <v>0.07957175926</v>
      </c>
      <c r="AF35" s="149">
        <f>IFERROR(VLOOKUP(B35,Daily_Working_Do_Not_Delete!BE:BF,2,0))</f>
        <v>0.1192708333</v>
      </c>
      <c r="AG35" s="149">
        <f>IFERROR(VLOOKUP(B35,Daily_Working_Do_Not_Delete!BC:BD,2,0))</f>
        <v>0.1261574074</v>
      </c>
      <c r="AH35" s="149">
        <f>IFERROR(VLOOKUP(B35,Daily_Working_Do_Not_Delete!BA:BB,2,0))</f>
        <v>0.1154282407</v>
      </c>
      <c r="AI35" s="149">
        <f>IFERROR(VLOOKUP(B35,Daily_Working_Do_Not_Delete!AY:AZ,2,0))</f>
        <v>0.1321296296</v>
      </c>
      <c r="AJ35" s="149">
        <f>IFERROR(VLOOKUP(B35,Daily_Working_Do_Not_Delete!AW:AX,2,0))</f>
        <v>0.2301967593</v>
      </c>
      <c r="AK35" s="149">
        <f>IFERROR(VLOOKUP(B35,Daily_Working_Do_Not_Delete!AU:AV,2,0))</f>
        <v>0.1342708333</v>
      </c>
      <c r="AL35" s="149">
        <f>IFERROR(VLOOKUP(B35,Daily_Working_Do_Not_Delete!AS:AT,2,0))</f>
        <v>0.1492708333</v>
      </c>
      <c r="AM35" s="149">
        <f>IFERROR(VLOOKUP(B35,Daily_Working_Do_Not_Delete!AQ:AR,2,0))</f>
        <v>0.1894675926</v>
      </c>
      <c r="AN35" s="149">
        <f>IFERROR(VLOOKUP(B35,Daily_Working_Do_Not_Delete!AO:AP,2,0))</f>
        <v>0.1793518519</v>
      </c>
      <c r="AO35" s="149" t="str">
        <f>IFERROR(VLOOKUP(B35,Daily_Working_Do_Not_Delete!AM:AN,2,0))</f>
        <v/>
      </c>
      <c r="AP35" s="149">
        <f>IFERROR(VLOOKUP(B35,Daily_Working_Do_Not_Delete!AK:AL,2,0))</f>
        <v>0.02438657407</v>
      </c>
      <c r="AQ35" s="149">
        <f>IFERROR(VLOOKUP(B35,Daily_Working_Do_Not_Delete!AI:AJ,2,0))</f>
        <v>0.02533564815</v>
      </c>
      <c r="AR35" s="149">
        <f>IFERROR(VLOOKUP(B35,Daily_Working_Do_Not_Delete!AG:AH,2,0))</f>
        <v>0.008518518519</v>
      </c>
      <c r="AS35" s="149">
        <f>IFERROR(VLOOKUP(B35,Daily_Working_Do_Not_Delete!AE:AF,2,0))</f>
        <v>0.000462962963</v>
      </c>
      <c r="AT35" s="149" t="str">
        <f>IFERROR(VLOOKUP(B35,Daily_Working_Do_Not_Delete!AC:AD,2,0))</f>
        <v/>
      </c>
      <c r="AU35" s="149">
        <f>IFERROR(VLOOKUP(B35,Daily_Working_Do_Not_Delete!AA:AB,2,0))</f>
        <v>0.0004050925926</v>
      </c>
      <c r="AV35" s="149" t="str">
        <f>IFERROR(VLOOKUP(B35,Daily_Working_Do_Not_Delete!Y:Z,2,0))</f>
        <v/>
      </c>
      <c r="AW35" s="149">
        <f>IFERROR(VLOOKUP(B35,Daily_Working_Do_Not_Delete!W:X,2,0))</f>
        <v>0.000150462963</v>
      </c>
      <c r="AX35" s="149" t="str">
        <f>IFERROR(VLOOKUP(B35,Daily_Working_Do_Not_Delete!U:V,2,0))</f>
        <v/>
      </c>
      <c r="AY35" s="149" t="str">
        <f>IFERROR(VLOOKUP(B35,Daily_Working_Do_Not_Delete!S:T,2,0))</f>
        <v/>
      </c>
      <c r="AZ35" s="149" t="str">
        <f>IFERROR(VLOOKUP(B35,Daily_Working_Do_Not_Delete!Q:R,2,0))</f>
        <v/>
      </c>
      <c r="BA35" s="149" t="str">
        <f>IFERROR(VLOOKUP(B35,Daily_Working_Do_Not_Delete!O:P,2,0))</f>
        <v/>
      </c>
      <c r="BB35" s="149" t="str">
        <f>IFERROR(VLOOKUP(B35,Daily_Working_Do_Not_Delete!M:N,2,0))</f>
        <v/>
      </c>
      <c r="BC35" s="149" t="str">
        <f>IFERROR(VLOOKUP(B35,Daily_Working_Do_Not_Delete!K:L,2,0))</f>
        <v/>
      </c>
      <c r="BD35" s="149" t="str">
        <f>IFERROR(VLOOKUP(B35,Daily_Working_Do_Not_Delete!I:J,2,0))</f>
        <v/>
      </c>
      <c r="BE35" s="149" t="str">
        <f>IFERROR(VLOOKUP(B35,Daily_Working_Do_Not_Delete!G:H,2,0))</f>
        <v/>
      </c>
      <c r="BF35" s="149" t="str">
        <f>IFERROR(VLOOKUP(B35,Daily_Working_Do_Not_Delete!E:F,2,0))</f>
        <v/>
      </c>
      <c r="BG35" s="149" t="str">
        <f>IFERROR(VLOOKUP(B35,Daily_Working_Do_Not_Delete!C:D,2,0))</f>
        <v/>
      </c>
      <c r="BH35" s="149" t="str">
        <f>IFERROR(VLOOKUP(B35,Daily_Working_Do_Not_Delete!A:B,2,0))</f>
        <v/>
      </c>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row>
    <row r="36">
      <c r="A36" s="146" t="s">
        <v>54</v>
      </c>
      <c r="B36" s="146" t="s">
        <v>56</v>
      </c>
      <c r="C36" s="137" t="s">
        <v>421</v>
      </c>
      <c r="D36" s="148">
        <f t="shared" si="3"/>
        <v>6.671828704</v>
      </c>
      <c r="E36" s="149">
        <f>IFERROR(VLOOKUP(B36,Daily_Working_Do_Not_Delete!DG:DH,2,0))</f>
        <v>2.856006944</v>
      </c>
      <c r="F36" s="149">
        <f>IFERROR(VLOOKUP(B36,Daily_Working_Do_Not_Delete!DE:DF,2,0))</f>
        <v>0.007002314815</v>
      </c>
      <c r="G36" s="149">
        <f>IFERROR(VLOOKUP(B36,Daily_Working_Do_Not_Delete!DC:DD,2,0))</f>
        <v>0.01944444444</v>
      </c>
      <c r="H36" s="149">
        <f>IFERROR(VLOOKUP(B36,Daily_Working_Do_Not_Delete!DA:DB,2,0))</f>
        <v>0.001469907407</v>
      </c>
      <c r="I36" s="149">
        <f>IFERROR(VLOOKUP(B36,Daily_Working_Do_Not_Delete!CY:CZ,2,0))</f>
        <v>0.006574074074</v>
      </c>
      <c r="J36" s="149">
        <f>IFERROR(VLOOKUP(B36,Daily_Working_Do_Not_Delete!CW:CX,2,0))</f>
        <v>0.001296296296</v>
      </c>
      <c r="K36" s="149">
        <f>IFERROR(VLOOKUP(B36,Daily_Working_Do_Not_Delete!CU:CV,2,0))</f>
        <v>0.04211805556</v>
      </c>
      <c r="L36" s="149">
        <f>IFERROR(VLOOKUP(B36,Daily_Working_Do_Not_Delete!CS:CT,2,0))</f>
        <v>0.02200231481</v>
      </c>
      <c r="M36" s="149">
        <f>IFERROR(VLOOKUP(B36,Daily_Working_Do_Not_Delete!CQ:CR,2,0))</f>
        <v>0.01077546296</v>
      </c>
      <c r="N36" s="149">
        <f>IFERROR(VLOOKUP(B36,Daily_Working_Do_Not_Delete!CO:CP,2,0))</f>
        <v>0.08716435185</v>
      </c>
      <c r="O36" s="149">
        <f>IFERROR(VLOOKUP(B36,Daily_Working_Do_Not_Delete!CM:CN,2,0))</f>
        <v>0.07296296296</v>
      </c>
      <c r="P36" s="149">
        <f>IFERROR(VLOOKUP(B36,Daily_Working_Do_Not_Delete!CK:CL,2,0))</f>
        <v>0.05710648148</v>
      </c>
      <c r="Q36" s="149">
        <f>IFERROR(VLOOKUP(B36,Daily_Working_Do_Not_Delete!CI:CJ,2,0))</f>
        <v>0.01331018519</v>
      </c>
      <c r="R36" s="149">
        <f>IFERROR(VLOOKUP(B36,Daily_Working_Do_Not_Delete!CG:CH,2,0))</f>
        <v>0.09959490741</v>
      </c>
      <c r="S36" s="149">
        <f>IFERROR(VLOOKUP(B36,Daily_Working_Do_Not_Delete!CE:CF,2,0))</f>
        <v>0.02650462963</v>
      </c>
      <c r="T36" s="149">
        <f>IFERROR(VLOOKUP(B36,Daily_Working_Do_Not_Delete!CC:CD,2,0))</f>
        <v>0.08048611111</v>
      </c>
      <c r="U36" s="149">
        <f>IFERROR(VLOOKUP(B36,Daily_Working_Do_Not_Delete!CA:CB,2,0))</f>
        <v>0.01709490741</v>
      </c>
      <c r="V36" s="149">
        <f>IFERROR(VLOOKUP(B36,Daily_Working_Do_Not_Delete!BY:BZ,2,0))</f>
        <v>0.1430902778</v>
      </c>
      <c r="W36" s="149">
        <f>IFERROR(VLOOKUP(B36,Daily_Working_Do_Not_Delete!BW:BX,2,0))</f>
        <v>0.06475694444</v>
      </c>
      <c r="X36" s="149">
        <f>IFERROR(VLOOKUP(B36,Daily_Working_Do_Not_Delete!BU:BV,2,0))</f>
        <v>0.04328703704</v>
      </c>
      <c r="Y36" s="149">
        <f>IFERROR(VLOOKUP(B36,Daily_Working_Do_Not_Delete!BS:BT,2,0))</f>
        <v>0.02199074074</v>
      </c>
      <c r="Z36" s="149">
        <f>IFERROR(VLOOKUP(B36,Daily_Working_Do_Not_Delete!BQ:BR,2,0))</f>
        <v>0.0722337963</v>
      </c>
      <c r="AA36" s="149">
        <f>IFERROR(VLOOKUP(B36,Daily_Working_Do_Not_Delete!BO:BP,2,0))</f>
        <v>0.1102893519</v>
      </c>
      <c r="AB36" s="149">
        <f>IFERROR(VLOOKUP(B36,Daily_Working_Do_Not_Delete!BM:BN,2,0))</f>
        <v>0.2283680556</v>
      </c>
      <c r="AC36" s="149">
        <f>IFERROR(VLOOKUP(B36,Daily_Working_Do_Not_Delete!BK:BL,2,0))</f>
        <v>0.2292592593</v>
      </c>
      <c r="AD36" s="149">
        <f>IFERROR(VLOOKUP(B36,Daily_Working_Do_Not_Delete!BI:BJ,2,0))</f>
        <v>0.113587963</v>
      </c>
      <c r="AE36" s="149">
        <f>IFERROR(VLOOKUP(B36,Daily_Working_Do_Not_Delete!BG:BH,2,0))</f>
        <v>0.1813425926</v>
      </c>
      <c r="AF36" s="149">
        <f>IFERROR(VLOOKUP(B36,Daily_Working_Do_Not_Delete!BE:BF,2,0))</f>
        <v>0.1549189815</v>
      </c>
      <c r="AG36" s="149">
        <f>IFERROR(VLOOKUP(B36,Daily_Working_Do_Not_Delete!BC:BD,2,0))</f>
        <v>0.223599537</v>
      </c>
      <c r="AH36" s="149">
        <f>IFERROR(VLOOKUP(B36,Daily_Working_Do_Not_Delete!BA:BB,2,0))</f>
        <v>0.2061805556</v>
      </c>
      <c r="AI36" s="149">
        <f>IFERROR(VLOOKUP(B36,Daily_Working_Do_Not_Delete!AY:AZ,2,0))</f>
        <v>0.2911342593</v>
      </c>
      <c r="AJ36" s="149">
        <f>IFERROR(VLOOKUP(B36,Daily_Working_Do_Not_Delete!AW:AX,2,0))</f>
        <v>0.2390046296</v>
      </c>
      <c r="AK36" s="149">
        <f>IFERROR(VLOOKUP(B36,Daily_Working_Do_Not_Delete!AU:AV,2,0))</f>
        <v>0.2198611111</v>
      </c>
      <c r="AL36" s="149">
        <f>IFERROR(VLOOKUP(B36,Daily_Working_Do_Not_Delete!AS:AT,2,0))</f>
        <v>0.08179398148</v>
      </c>
      <c r="AM36" s="149">
        <f>IFERROR(VLOOKUP(B36,Daily_Working_Do_Not_Delete!AQ:AR,2,0))</f>
        <v>0.2903935185</v>
      </c>
      <c r="AN36" s="149">
        <f>IFERROR(VLOOKUP(B36,Daily_Working_Do_Not_Delete!AO:AP,2,0))</f>
        <v>0.1927083333</v>
      </c>
      <c r="AO36" s="149">
        <f>IFERROR(VLOOKUP(B36,Daily_Working_Do_Not_Delete!AM:AN,2,0))</f>
        <v>0.04833333333</v>
      </c>
      <c r="AP36" s="149">
        <f>IFERROR(VLOOKUP(B36,Daily_Working_Do_Not_Delete!AK:AL,2,0))</f>
        <v>0.02399305556</v>
      </c>
      <c r="AQ36" s="149">
        <f>IFERROR(VLOOKUP(B36,Daily_Working_Do_Not_Delete!AI:AJ,2,0))</f>
        <v>0.0433912037</v>
      </c>
      <c r="AR36" s="149">
        <f>IFERROR(VLOOKUP(B36,Daily_Working_Do_Not_Delete!AG:AH,2,0))</f>
        <v>0.01438657407</v>
      </c>
      <c r="AS36" s="149" t="str">
        <f>IFERROR(VLOOKUP(B36,Daily_Working_Do_Not_Delete!AE:AF,2,0))</f>
        <v/>
      </c>
      <c r="AT36" s="149">
        <f>IFERROR(VLOOKUP(B36,Daily_Working_Do_Not_Delete!AC:AD,2,0))</f>
        <v>0.00150462963</v>
      </c>
      <c r="AU36" s="149" t="str">
        <f>IFERROR(VLOOKUP(B36,Daily_Working_Do_Not_Delete!AA:AB,2,0))</f>
        <v/>
      </c>
      <c r="AV36" s="149" t="str">
        <f>IFERROR(VLOOKUP(B36,Daily_Working_Do_Not_Delete!Y:Z,2,0))</f>
        <v/>
      </c>
      <c r="AW36" s="149" t="str">
        <f>IFERROR(VLOOKUP(B36,Daily_Working_Do_Not_Delete!W:X,2,0))</f>
        <v/>
      </c>
      <c r="AX36" s="149">
        <f>IFERROR(VLOOKUP(B36,Daily_Working_Do_Not_Delete!U:V,2,0))</f>
        <v>0.00001157407407</v>
      </c>
      <c r="AY36" s="149" t="str">
        <f>IFERROR(VLOOKUP(B36,Daily_Working_Do_Not_Delete!S:T,2,0))</f>
        <v/>
      </c>
      <c r="AZ36" s="149">
        <f>IFERROR(VLOOKUP(B36,Daily_Working_Do_Not_Delete!Q:R,2,0))</f>
        <v>0.00875</v>
      </c>
      <c r="BA36" s="149">
        <f>IFERROR(VLOOKUP(B36,Daily_Working_Do_Not_Delete!O:P,2,0))</f>
        <v>0.002280092593</v>
      </c>
      <c r="BB36" s="149" t="str">
        <f>IFERROR(VLOOKUP(B36,Daily_Working_Do_Not_Delete!M:N,2,0))</f>
        <v/>
      </c>
      <c r="BC36" s="149" t="str">
        <f>IFERROR(VLOOKUP(B36,Daily_Working_Do_Not_Delete!K:L,2,0))</f>
        <v/>
      </c>
      <c r="BD36" s="149" t="str">
        <f>IFERROR(VLOOKUP(B36,Daily_Working_Do_Not_Delete!I:J,2,0))</f>
        <v/>
      </c>
      <c r="BE36" s="149">
        <f>IFERROR(VLOOKUP(B36,Daily_Working_Do_Not_Delete!G:H,2,0))</f>
        <v>0.000462962963</v>
      </c>
      <c r="BF36" s="149" t="str">
        <f>IFERROR(VLOOKUP(B36,Daily_Working_Do_Not_Delete!E:F,2,0))</f>
        <v/>
      </c>
      <c r="BG36" s="149" t="str">
        <f>IFERROR(VLOOKUP(B36,Daily_Working_Do_Not_Delete!C:D,2,0))</f>
        <v/>
      </c>
      <c r="BH36" s="149" t="str">
        <f>IFERROR(VLOOKUP(B36,Daily_Working_Do_Not_Delete!A:B,2,0))</f>
        <v/>
      </c>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row>
    <row r="37">
      <c r="A37" s="151" t="s">
        <v>54</v>
      </c>
      <c r="B37" s="151" t="s">
        <v>58</v>
      </c>
      <c r="C37" s="152" t="s">
        <v>421</v>
      </c>
      <c r="D37" s="153">
        <f t="shared" si="3"/>
        <v>6.703391204</v>
      </c>
      <c r="E37" s="149">
        <f>IFERROR(VLOOKUP(B37,Daily_Working_Do_Not_Delete!DG:DH,2,0))</f>
        <v>4.102372685</v>
      </c>
      <c r="F37" s="149">
        <f>IFERROR(VLOOKUP(B37,Daily_Working_Do_Not_Delete!DE:DF,2,0))</f>
        <v>0.05981481481</v>
      </c>
      <c r="G37" s="149">
        <f>IFERROR(VLOOKUP(B37,Daily_Working_Do_Not_Delete!DC:DD,2,0))</f>
        <v>0.04711805556</v>
      </c>
      <c r="H37" s="149">
        <f>IFERROR(VLOOKUP(B37,Daily_Working_Do_Not_Delete!DA:DB,2,0))</f>
        <v>0.08523148148</v>
      </c>
      <c r="I37" s="149">
        <f>IFERROR(VLOOKUP(B37,Daily_Working_Do_Not_Delete!CY:CZ,2,0))</f>
        <v>0.08960648148</v>
      </c>
      <c r="J37" s="149">
        <f>IFERROR(VLOOKUP(B37,Daily_Working_Do_Not_Delete!CW:CX,2,0))</f>
        <v>0.04673611111</v>
      </c>
      <c r="K37" s="149">
        <f>IFERROR(VLOOKUP(B37,Daily_Working_Do_Not_Delete!CU:CV,2,0))</f>
        <v>0.01486111111</v>
      </c>
      <c r="L37" s="149">
        <f>IFERROR(VLOOKUP(B37,Daily_Working_Do_Not_Delete!CS:CT,2,0))</f>
        <v>0.02232638889</v>
      </c>
      <c r="M37" s="149">
        <f>IFERROR(VLOOKUP(B37,Daily_Working_Do_Not_Delete!CQ:CR,2,0))</f>
        <v>0.008148148148</v>
      </c>
      <c r="N37" s="149">
        <f>IFERROR(VLOOKUP(B37,Daily_Working_Do_Not_Delete!CO:CP,2,0))</f>
        <v>0.004108796296</v>
      </c>
      <c r="O37" s="149">
        <f>IFERROR(VLOOKUP(B37,Daily_Working_Do_Not_Delete!CM:CN,2,0))</f>
        <v>0.07260416667</v>
      </c>
      <c r="P37" s="149">
        <f>IFERROR(VLOOKUP(B37,Daily_Working_Do_Not_Delete!CK:CL,2,0))</f>
        <v>0.1076736111</v>
      </c>
      <c r="Q37" s="149">
        <f>IFERROR(VLOOKUP(B37,Daily_Working_Do_Not_Delete!CI:CJ,2,0))</f>
        <v>0.05181712963</v>
      </c>
      <c r="R37" s="149">
        <f>IFERROR(VLOOKUP(B37,Daily_Working_Do_Not_Delete!CG:CH,2,0))</f>
        <v>0.06053240741</v>
      </c>
      <c r="S37" s="149">
        <f>IFERROR(VLOOKUP(B37,Daily_Working_Do_Not_Delete!CE:CF,2,0))</f>
        <v>0.09560185185</v>
      </c>
      <c r="T37" s="149">
        <f>IFERROR(VLOOKUP(B37,Daily_Working_Do_Not_Delete!CC:CD,2,0))</f>
        <v>0.1254861111</v>
      </c>
      <c r="U37" s="149">
        <f>IFERROR(VLOOKUP(B37,Daily_Working_Do_Not_Delete!CA:CB,2,0))</f>
        <v>0.1464583333</v>
      </c>
      <c r="V37" s="149">
        <f>IFERROR(VLOOKUP(B37,Daily_Working_Do_Not_Delete!BY:BZ,2,0))</f>
        <v>0.2954282407</v>
      </c>
      <c r="W37" s="149">
        <f>IFERROR(VLOOKUP(B37,Daily_Working_Do_Not_Delete!BW:BX,2,0))</f>
        <v>0.2561458333</v>
      </c>
      <c r="X37" s="149">
        <f>IFERROR(VLOOKUP(B37,Daily_Working_Do_Not_Delete!BU:BV,2,0))</f>
        <v>0.08540509259</v>
      </c>
      <c r="Y37" s="149">
        <f>IFERROR(VLOOKUP(B37,Daily_Working_Do_Not_Delete!BS:BT,2,0))</f>
        <v>0.1247453704</v>
      </c>
      <c r="Z37" s="149">
        <f>IFERROR(VLOOKUP(B37,Daily_Working_Do_Not_Delete!BQ:BR,2,0))</f>
        <v>0.06053240741</v>
      </c>
      <c r="AA37" s="149">
        <f>IFERROR(VLOOKUP(B37,Daily_Working_Do_Not_Delete!BO:BP,2,0))</f>
        <v>0.08800925926</v>
      </c>
      <c r="AB37" s="149">
        <f>IFERROR(VLOOKUP(B37,Daily_Working_Do_Not_Delete!BM:BN,2,0))</f>
        <v>0.1567476852</v>
      </c>
      <c r="AC37" s="149">
        <f>IFERROR(VLOOKUP(B37,Daily_Working_Do_Not_Delete!BK:BL,2,0))</f>
        <v>0.1332523148</v>
      </c>
      <c r="AD37" s="149">
        <f>IFERROR(VLOOKUP(B37,Daily_Working_Do_Not_Delete!BI:BJ,2,0))</f>
        <v>0.05694444444</v>
      </c>
      <c r="AE37" s="149">
        <f>IFERROR(VLOOKUP(B37,Daily_Working_Do_Not_Delete!BG:BH,2,0))</f>
        <v>0.02914351852</v>
      </c>
      <c r="AF37" s="149">
        <f>IFERROR(VLOOKUP(B37,Daily_Working_Do_Not_Delete!BE:BF,2,0))</f>
        <v>0.03438657407</v>
      </c>
      <c r="AG37" s="149">
        <f>IFERROR(VLOOKUP(B37,Daily_Working_Do_Not_Delete!BC:BD,2,0))</f>
        <v>0.04108796296</v>
      </c>
      <c r="AH37" s="149">
        <f>IFERROR(VLOOKUP(B37,Daily_Working_Do_Not_Delete!BA:BB,2,0))</f>
        <v>0.005763888889</v>
      </c>
      <c r="AI37" s="149">
        <f>IFERROR(VLOOKUP(B37,Daily_Working_Do_Not_Delete!AY:AZ,2,0))</f>
        <v>0.05731481481</v>
      </c>
      <c r="AJ37" s="149">
        <f>IFERROR(VLOOKUP(B37,Daily_Working_Do_Not_Delete!AW:AX,2,0))</f>
        <v>0.02871527778</v>
      </c>
      <c r="AK37" s="149">
        <f>IFERROR(VLOOKUP(B37,Daily_Working_Do_Not_Delete!AU:AV,2,0))</f>
        <v>0.02256944444</v>
      </c>
      <c r="AL37" s="149">
        <f>IFERROR(VLOOKUP(B37,Daily_Working_Do_Not_Delete!AS:AT,2,0))</f>
        <v>0.02212962963</v>
      </c>
      <c r="AM37" s="149">
        <f>IFERROR(VLOOKUP(B37,Daily_Working_Do_Not_Delete!AQ:AR,2,0))</f>
        <v>0.01657407407</v>
      </c>
      <c r="AN37" s="149" t="str">
        <f>IFERROR(VLOOKUP(B37,Daily_Working_Do_Not_Delete!AO:AP,2,0))</f>
        <v/>
      </c>
      <c r="AO37" s="149">
        <f>IFERROR(VLOOKUP(B37,Daily_Working_Do_Not_Delete!AM:AN,2,0))</f>
        <v>0.01300925926</v>
      </c>
      <c r="AP37" s="149">
        <f>IFERROR(VLOOKUP(B37,Daily_Working_Do_Not_Delete!AK:AL,2,0))</f>
        <v>0.02384259259</v>
      </c>
      <c r="AQ37" s="149" t="str">
        <f>IFERROR(VLOOKUP(B37,Daily_Working_Do_Not_Delete!AI:AJ,2,0))</f>
        <v/>
      </c>
      <c r="AR37" s="149" t="str">
        <f>IFERROR(VLOOKUP(B37,Daily_Working_Do_Not_Delete!AG:AH,2,0))</f>
        <v/>
      </c>
      <c r="AS37" s="149" t="str">
        <f>IFERROR(VLOOKUP(B37,Daily_Working_Do_Not_Delete!AE:AF,2,0))</f>
        <v/>
      </c>
      <c r="AT37" s="149" t="str">
        <f>IFERROR(VLOOKUP(B37,Daily_Working_Do_Not_Delete!AC:AD,2,0))</f>
        <v/>
      </c>
      <c r="AU37" s="149" t="str">
        <f>IFERROR(VLOOKUP(B37,Daily_Working_Do_Not_Delete!AA:AB,2,0))</f>
        <v/>
      </c>
      <c r="AV37" s="149" t="str">
        <f>IFERROR(VLOOKUP(B37,Daily_Working_Do_Not_Delete!Y:Z,2,0))</f>
        <v/>
      </c>
      <c r="AW37" s="149" t="str">
        <f>IFERROR(VLOOKUP(B37,Daily_Working_Do_Not_Delete!W:X,2,0))</f>
        <v/>
      </c>
      <c r="AX37" s="149" t="str">
        <f>IFERROR(VLOOKUP(B37,Daily_Working_Do_Not_Delete!U:V,2,0))</f>
        <v/>
      </c>
      <c r="AY37" s="149" t="str">
        <f>IFERROR(VLOOKUP(B37,Daily_Working_Do_Not_Delete!S:T,2,0))</f>
        <v/>
      </c>
      <c r="AZ37" s="149">
        <f>IFERROR(VLOOKUP(B37,Daily_Working_Do_Not_Delete!Q:R,2,0))</f>
        <v>0.006354166667</v>
      </c>
      <c r="BA37" s="149">
        <f>IFERROR(VLOOKUP(B37,Daily_Working_Do_Not_Delete!O:P,2,0))</f>
        <v>0.004791666667</v>
      </c>
      <c r="BB37" s="149" t="str">
        <f>IFERROR(VLOOKUP(B37,Daily_Working_Do_Not_Delete!M:N,2,0))</f>
        <v/>
      </c>
      <c r="BC37" s="149" t="str">
        <f>IFERROR(VLOOKUP(B37,Daily_Working_Do_Not_Delete!K:L,2,0))</f>
        <v/>
      </c>
      <c r="BD37" s="149" t="str">
        <f>IFERROR(VLOOKUP(B37,Daily_Working_Do_Not_Delete!I:J,2,0))</f>
        <v/>
      </c>
      <c r="BE37" s="149" t="str">
        <f>IFERROR(VLOOKUP(B37,Daily_Working_Do_Not_Delete!G:H,2,0))</f>
        <v/>
      </c>
      <c r="BF37" s="149" t="str">
        <f>IFERROR(VLOOKUP(B37,Daily_Working_Do_Not_Delete!E:F,2,0))</f>
        <v/>
      </c>
      <c r="BG37" s="149" t="str">
        <f>IFERROR(VLOOKUP(B37,Daily_Working_Do_Not_Delete!C:D,2,0))</f>
        <v/>
      </c>
      <c r="BH37" s="149" t="str">
        <f>IFERROR(VLOOKUP(B37,Daily_Working_Do_Not_Delete!A:B,2,0))</f>
        <v/>
      </c>
      <c r="BI37" s="154"/>
      <c r="BJ37" s="154"/>
      <c r="BK37" s="154"/>
      <c r="BL37" s="154"/>
      <c r="BM37" s="154"/>
      <c r="BN37" s="154"/>
      <c r="BO37" s="154"/>
      <c r="BP37" s="154"/>
      <c r="BQ37" s="154"/>
      <c r="BR37" s="154"/>
      <c r="BS37" s="154"/>
      <c r="BT37" s="154"/>
      <c r="BU37" s="154"/>
      <c r="BV37" s="154"/>
      <c r="BW37" s="154"/>
      <c r="BX37" s="154"/>
      <c r="BY37" s="154"/>
      <c r="BZ37" s="154"/>
      <c r="CA37" s="154"/>
      <c r="CB37" s="154"/>
      <c r="CC37" s="154"/>
      <c r="CD37" s="154"/>
      <c r="CE37" s="154"/>
      <c r="CF37" s="154"/>
      <c r="CG37" s="155"/>
      <c r="CH37" s="155"/>
      <c r="CI37" s="155"/>
      <c r="CJ37" s="155"/>
      <c r="CK37" s="155"/>
      <c r="CL37" s="155"/>
      <c r="CM37" s="155"/>
      <c r="CN37" s="155"/>
      <c r="CO37" s="155"/>
      <c r="CP37" s="155"/>
      <c r="CQ37" s="155"/>
      <c r="CR37" s="155"/>
      <c r="CS37" s="155"/>
      <c r="CT37" s="155"/>
      <c r="CU37" s="155"/>
      <c r="CV37" s="155"/>
      <c r="CW37" s="155"/>
      <c r="CX37" s="155"/>
      <c r="CY37" s="155"/>
      <c r="CZ37" s="155"/>
      <c r="DA37" s="155"/>
      <c r="DB37" s="155"/>
      <c r="DC37" s="155"/>
      <c r="DD37" s="155"/>
      <c r="DE37" s="155"/>
      <c r="DF37" s="155"/>
      <c r="DG37" s="155"/>
      <c r="DH37" s="155"/>
      <c r="DI37" s="155"/>
      <c r="DJ37" s="155"/>
      <c r="DK37" s="155"/>
      <c r="DL37" s="155"/>
      <c r="DM37" s="155"/>
      <c r="DN37" s="155"/>
      <c r="DO37" s="155"/>
      <c r="DP37" s="155"/>
      <c r="DQ37" s="155"/>
      <c r="DR37" s="155"/>
      <c r="DS37" s="155"/>
      <c r="DT37" s="155"/>
      <c r="DU37" s="155"/>
      <c r="DV37" s="155"/>
      <c r="DW37" s="155"/>
      <c r="DX37" s="155"/>
      <c r="DY37" s="155"/>
      <c r="DZ37" s="155"/>
      <c r="EA37" s="155"/>
      <c r="EB37" s="155"/>
      <c r="EC37" s="155"/>
      <c r="ED37" s="155"/>
      <c r="EE37" s="155"/>
      <c r="EF37" s="155"/>
      <c r="EG37" s="155"/>
      <c r="EH37" s="155"/>
      <c r="EI37" s="155"/>
      <c r="EJ37" s="155"/>
      <c r="EK37" s="155"/>
      <c r="EL37" s="155"/>
      <c r="EM37" s="155"/>
      <c r="EN37" s="155"/>
      <c r="EO37" s="155"/>
      <c r="EP37" s="155"/>
      <c r="EQ37" s="155"/>
      <c r="ER37" s="155"/>
      <c r="ES37" s="155"/>
      <c r="ET37" s="155"/>
      <c r="EU37" s="155"/>
      <c r="EV37" s="155"/>
      <c r="EW37" s="155"/>
      <c r="EX37" s="155"/>
      <c r="EY37" s="155"/>
      <c r="EZ37" s="155"/>
      <c r="FA37" s="155"/>
      <c r="FB37" s="155"/>
      <c r="FC37" s="155"/>
      <c r="FD37" s="155"/>
      <c r="FE37" s="155"/>
      <c r="FF37" s="155"/>
      <c r="FG37" s="155"/>
      <c r="FH37" s="155"/>
      <c r="FI37" s="155"/>
      <c r="FJ37" s="155"/>
      <c r="FK37" s="155"/>
      <c r="FL37" s="155"/>
      <c r="FM37" s="155"/>
      <c r="FN37" s="155"/>
      <c r="FO37" s="155"/>
      <c r="FP37" s="155"/>
      <c r="FQ37" s="155"/>
      <c r="FR37" s="155"/>
      <c r="FS37" s="155"/>
      <c r="FT37" s="155"/>
      <c r="FU37" s="155"/>
      <c r="FV37" s="155"/>
      <c r="FW37" s="155"/>
      <c r="FX37" s="155"/>
      <c r="FY37" s="155"/>
      <c r="FZ37" s="155"/>
      <c r="GA37" s="155"/>
      <c r="GB37" s="155"/>
      <c r="GC37" s="155"/>
      <c r="GD37" s="155"/>
      <c r="GE37" s="155"/>
      <c r="GF37" s="155"/>
      <c r="GG37" s="155"/>
      <c r="GH37" s="155"/>
      <c r="GI37" s="155"/>
      <c r="GJ37" s="155"/>
      <c r="GK37" s="155"/>
      <c r="GL37" s="155"/>
      <c r="GM37" s="155"/>
      <c r="GN37" s="155"/>
      <c r="GO37" s="155"/>
      <c r="GP37" s="155"/>
      <c r="GQ37" s="155"/>
      <c r="GR37" s="155"/>
      <c r="GS37" s="155"/>
      <c r="GT37" s="155"/>
      <c r="GU37" s="155"/>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row>
    <row r="38">
      <c r="A38" s="146" t="s">
        <v>54</v>
      </c>
      <c r="B38" s="146" t="s">
        <v>59</v>
      </c>
      <c r="C38" s="137" t="s">
        <v>421</v>
      </c>
      <c r="D38" s="148">
        <f t="shared" si="3"/>
        <v>6.646979167</v>
      </c>
      <c r="E38" s="149">
        <f>IFERROR(VLOOKUP(B38,Daily_Working_Do_Not_Delete!DG:DH,2,0))</f>
        <v>1.689479167</v>
      </c>
      <c r="F38" s="149">
        <f>IFERROR(VLOOKUP(B38,Daily_Working_Do_Not_Delete!DE:DF,2,0))</f>
        <v>0.04159722222</v>
      </c>
      <c r="G38" s="149">
        <f>IFERROR(VLOOKUP(B38,Daily_Working_Do_Not_Delete!DC:DD,2,0))</f>
        <v>0.05863425926</v>
      </c>
      <c r="H38" s="149">
        <f>IFERROR(VLOOKUP(B38,Daily_Working_Do_Not_Delete!DA:DB,2,0))</f>
        <v>0.03586805556</v>
      </c>
      <c r="I38" s="149">
        <f>IFERROR(VLOOKUP(B38,Daily_Working_Do_Not_Delete!CY:CZ,2,0))</f>
        <v>0.05920138889</v>
      </c>
      <c r="J38" s="149">
        <f>IFERROR(VLOOKUP(B38,Daily_Working_Do_Not_Delete!CW:CX,2,0))</f>
        <v>0.09770833333</v>
      </c>
      <c r="K38" s="149">
        <f>IFERROR(VLOOKUP(B38,Daily_Working_Do_Not_Delete!CU:CV,2,0))</f>
        <v>0.093125</v>
      </c>
      <c r="L38" s="149">
        <f>IFERROR(VLOOKUP(B38,Daily_Working_Do_Not_Delete!CS:CT,2,0))</f>
        <v>0.03622685185</v>
      </c>
      <c r="M38" s="149">
        <f>IFERROR(VLOOKUP(B38,Daily_Working_Do_Not_Delete!CQ:CR,2,0))</f>
        <v>0.03702546296</v>
      </c>
      <c r="N38" s="149">
        <f>IFERROR(VLOOKUP(B38,Daily_Working_Do_Not_Delete!CO:CP,2,0))</f>
        <v>0.03569444444</v>
      </c>
      <c r="O38" s="149">
        <f>IFERROR(VLOOKUP(B38,Daily_Working_Do_Not_Delete!CM:CN,2,0))</f>
        <v>0.04805555556</v>
      </c>
      <c r="P38" s="149">
        <f>IFERROR(VLOOKUP(B38,Daily_Working_Do_Not_Delete!CK:CL,2,0))</f>
        <v>0.06363425926</v>
      </c>
      <c r="Q38" s="149">
        <f>IFERROR(VLOOKUP(B38,Daily_Working_Do_Not_Delete!CI:CJ,2,0))</f>
        <v>0.08266203704</v>
      </c>
      <c r="R38" s="149">
        <f>IFERROR(VLOOKUP(B38,Daily_Working_Do_Not_Delete!CG:CH,2,0))</f>
        <v>0.04938657407</v>
      </c>
      <c r="S38" s="149">
        <f>IFERROR(VLOOKUP(B38,Daily_Working_Do_Not_Delete!CE:CF,2,0))</f>
        <v>0.04427083333</v>
      </c>
      <c r="T38" s="149">
        <f>IFERROR(VLOOKUP(B38,Daily_Working_Do_Not_Delete!CC:CD,2,0))</f>
        <v>0.05696759259</v>
      </c>
      <c r="U38" s="149">
        <f>IFERROR(VLOOKUP(B38,Daily_Working_Do_Not_Delete!CA:CB,2,0))</f>
        <v>0.04768518519</v>
      </c>
      <c r="V38" s="149">
        <f>IFERROR(VLOOKUP(B38,Daily_Working_Do_Not_Delete!BY:BZ,2,0))</f>
        <v>0.06122685185</v>
      </c>
      <c r="W38" s="149">
        <f>IFERROR(VLOOKUP(B38,Daily_Working_Do_Not_Delete!BW:BX,2,0))</f>
        <v>0.0505787037</v>
      </c>
      <c r="X38" s="149">
        <f>IFERROR(VLOOKUP(B38,Daily_Working_Do_Not_Delete!BU:BV,2,0))</f>
        <v>0.1266782407</v>
      </c>
      <c r="Y38" s="149">
        <f>IFERROR(VLOOKUP(B38,Daily_Working_Do_Not_Delete!BS:BT,2,0))</f>
        <v>0.1310185185</v>
      </c>
      <c r="Z38" s="149">
        <f>IFERROR(VLOOKUP(B38,Daily_Working_Do_Not_Delete!BQ:BR,2,0))</f>
        <v>0.2240162037</v>
      </c>
      <c r="AA38" s="149">
        <f>IFERROR(VLOOKUP(B38,Daily_Working_Do_Not_Delete!BO:BP,2,0))</f>
        <v>0.3184837963</v>
      </c>
      <c r="AB38" s="149">
        <f>IFERROR(VLOOKUP(B38,Daily_Working_Do_Not_Delete!BM:BN,2,0))</f>
        <v>0.3845601852</v>
      </c>
      <c r="AC38" s="149">
        <f>IFERROR(VLOOKUP(B38,Daily_Working_Do_Not_Delete!BK:BL,2,0))</f>
        <v>0.3774768519</v>
      </c>
      <c r="AD38" s="149">
        <f>IFERROR(VLOOKUP(B38,Daily_Working_Do_Not_Delete!BI:BJ,2,0))</f>
        <v>0.2491435185</v>
      </c>
      <c r="AE38" s="149">
        <f>IFERROR(VLOOKUP(B38,Daily_Working_Do_Not_Delete!BG:BH,2,0))</f>
        <v>0.1898726852</v>
      </c>
      <c r="AF38" s="149">
        <f>IFERROR(VLOOKUP(B38,Daily_Working_Do_Not_Delete!BE:BF,2,0))</f>
        <v>0.1084143519</v>
      </c>
      <c r="AG38" s="149">
        <f>IFERROR(VLOOKUP(B38,Daily_Working_Do_Not_Delete!BC:BD,2,0))</f>
        <v>0.2710532407</v>
      </c>
      <c r="AH38" s="149">
        <f>IFERROR(VLOOKUP(B38,Daily_Working_Do_Not_Delete!BA:BB,2,0))</f>
        <v>0.1860416667</v>
      </c>
      <c r="AI38" s="149">
        <f>IFERROR(VLOOKUP(B38,Daily_Working_Do_Not_Delete!AY:AZ,2,0))</f>
        <v>0.1947916667</v>
      </c>
      <c r="AJ38" s="149">
        <f>IFERROR(VLOOKUP(B38,Daily_Working_Do_Not_Delete!AW:AX,2,0))</f>
        <v>0.2297222222</v>
      </c>
      <c r="AK38" s="149">
        <f>IFERROR(VLOOKUP(B38,Daily_Working_Do_Not_Delete!AU:AV,2,0))</f>
        <v>0.3721296296</v>
      </c>
      <c r="AL38" s="149">
        <f>IFERROR(VLOOKUP(B38,Daily_Working_Do_Not_Delete!AS:AT,2,0))</f>
        <v>0.1280671296</v>
      </c>
      <c r="AM38" s="149">
        <f>IFERROR(VLOOKUP(B38,Daily_Working_Do_Not_Delete!AQ:AR,2,0))</f>
        <v>0.01965277778</v>
      </c>
      <c r="AN38" s="149">
        <f>IFERROR(VLOOKUP(B38,Daily_Working_Do_Not_Delete!AO:AP,2,0))</f>
        <v>0.00009259259259</v>
      </c>
      <c r="AO38" s="149" t="str">
        <f>IFERROR(VLOOKUP(B38,Daily_Working_Do_Not_Delete!AM:AN,2,0))</f>
        <v/>
      </c>
      <c r="AP38" s="149">
        <f>IFERROR(VLOOKUP(B38,Daily_Working_Do_Not_Delete!AK:AL,2,0))</f>
        <v>0.03847222222</v>
      </c>
      <c r="AQ38" s="149">
        <f>IFERROR(VLOOKUP(B38,Daily_Working_Do_Not_Delete!AI:AJ,2,0))</f>
        <v>0.0262962963</v>
      </c>
      <c r="AR38" s="149">
        <f>IFERROR(VLOOKUP(B38,Daily_Working_Do_Not_Delete!AG:AH,2,0))</f>
        <v>0.006678240741</v>
      </c>
      <c r="AS38" s="149" t="str">
        <f>IFERROR(VLOOKUP(B38,Daily_Working_Do_Not_Delete!AE:AF,2,0))</f>
        <v/>
      </c>
      <c r="AT38" s="149" t="str">
        <f>IFERROR(VLOOKUP(B38,Daily_Working_Do_Not_Delete!AC:AD,2,0))</f>
        <v/>
      </c>
      <c r="AU38" s="149" t="str">
        <f>IFERROR(VLOOKUP(B38,Daily_Working_Do_Not_Delete!AA:AB,2,0))</f>
        <v/>
      </c>
      <c r="AV38" s="149">
        <f>IFERROR(VLOOKUP(B38,Daily_Working_Do_Not_Delete!Y:Z,2,0))</f>
        <v>0.02193287037</v>
      </c>
      <c r="AW38" s="149">
        <f>IFERROR(VLOOKUP(B38,Daily_Working_Do_Not_Delete!W:X,2,0))</f>
        <v>0.01699074074</v>
      </c>
      <c r="AX38" s="149">
        <f>IFERROR(VLOOKUP(B38,Daily_Working_Do_Not_Delete!U:V,2,0))</f>
        <v>0.07851851852</v>
      </c>
      <c r="AY38" s="149">
        <f>IFERROR(VLOOKUP(B38,Daily_Working_Do_Not_Delete!S:T,2,0))</f>
        <v>0.02418981481</v>
      </c>
      <c r="AZ38" s="149">
        <f>IFERROR(VLOOKUP(B38,Daily_Working_Do_Not_Delete!Q:R,2,0))</f>
        <v>0.05157407407</v>
      </c>
      <c r="BA38" s="149">
        <f>IFERROR(VLOOKUP(B38,Daily_Working_Do_Not_Delete!O:P,2,0))</f>
        <v>0.0597337963</v>
      </c>
      <c r="BB38" s="149">
        <f>IFERROR(VLOOKUP(B38,Daily_Working_Do_Not_Delete!M:N,2,0))</f>
        <v>0.122349537</v>
      </c>
      <c r="BC38" s="149" t="str">
        <f>IFERROR(VLOOKUP(B38,Daily_Working_Do_Not_Delete!K:L,2,0))</f>
        <v/>
      </c>
      <c r="BD38" s="149" t="str">
        <f>IFERROR(VLOOKUP(B38,Daily_Working_Do_Not_Delete!I:J,2,0))</f>
        <v/>
      </c>
      <c r="BE38" s="149" t="str">
        <f>IFERROR(VLOOKUP(B38,Daily_Working_Do_Not_Delete!G:H,2,0))</f>
        <v/>
      </c>
      <c r="BF38" s="149" t="str">
        <f>IFERROR(VLOOKUP(B38,Daily_Working_Do_Not_Delete!E:F,2,0))</f>
        <v/>
      </c>
      <c r="BG38" s="149" t="str">
        <f>IFERROR(VLOOKUP(B38,Daily_Working_Do_Not_Delete!C:D,2,0))</f>
        <v/>
      </c>
      <c r="BH38" s="149" t="str">
        <f>IFERROR(VLOOKUP(B38,Daily_Working_Do_Not_Delete!A:B,2,0))</f>
        <v/>
      </c>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row>
    <row r="39">
      <c r="A39" s="146" t="s">
        <v>54</v>
      </c>
      <c r="B39" s="146" t="s">
        <v>60</v>
      </c>
      <c r="C39" s="137" t="s">
        <v>421</v>
      </c>
      <c r="D39" s="148">
        <f t="shared" si="3"/>
        <v>6.806122685</v>
      </c>
      <c r="E39" s="149">
        <f>IFERROR(VLOOKUP(B39,Daily_Working_Do_Not_Delete!DG:DH,2,0))</f>
        <v>1.670717593</v>
      </c>
      <c r="F39" s="149">
        <f>IFERROR(VLOOKUP(B39,Daily_Working_Do_Not_Delete!DE:DF,2,0))</f>
        <v>0.005555555556</v>
      </c>
      <c r="G39" s="149">
        <f>IFERROR(VLOOKUP(B39,Daily_Working_Do_Not_Delete!DC:DD,2,0))</f>
        <v>0.008310185185</v>
      </c>
      <c r="H39" s="149">
        <f>IFERROR(VLOOKUP(B39,Daily_Working_Do_Not_Delete!DA:DB,2,0))</f>
        <v>0.04329861111</v>
      </c>
      <c r="I39" s="149">
        <f>IFERROR(VLOOKUP(B39,Daily_Working_Do_Not_Delete!CY:CZ,2,0))</f>
        <v>0.02400462963</v>
      </c>
      <c r="J39" s="149" t="str">
        <f>IFERROR(VLOOKUP(B39,Daily_Working_Do_Not_Delete!CW:CX,2,0))</f>
        <v/>
      </c>
      <c r="K39" s="149">
        <f>IFERROR(VLOOKUP(B39,Daily_Working_Do_Not_Delete!CU:CV,2,0))</f>
        <v>0.04876157407</v>
      </c>
      <c r="L39" s="149">
        <f>IFERROR(VLOOKUP(B39,Daily_Working_Do_Not_Delete!CS:CT,2,0))</f>
        <v>0.002696759259</v>
      </c>
      <c r="M39" s="149">
        <f>IFERROR(VLOOKUP(B39,Daily_Working_Do_Not_Delete!CQ:CR,2,0))</f>
        <v>0.01621527778</v>
      </c>
      <c r="N39" s="149">
        <f>IFERROR(VLOOKUP(B39,Daily_Working_Do_Not_Delete!CO:CP,2,0))</f>
        <v>0.02163194444</v>
      </c>
      <c r="O39" s="149">
        <f>IFERROR(VLOOKUP(B39,Daily_Working_Do_Not_Delete!CM:CN,2,0))</f>
        <v>0.006134259259</v>
      </c>
      <c r="P39" s="149">
        <f>IFERROR(VLOOKUP(B39,Daily_Working_Do_Not_Delete!CK:CL,2,0))</f>
        <v>0.04342592593</v>
      </c>
      <c r="Q39" s="149">
        <f>IFERROR(VLOOKUP(B39,Daily_Working_Do_Not_Delete!CI:CJ,2,0))</f>
        <v>0.0162037037</v>
      </c>
      <c r="R39" s="149">
        <f>IFERROR(VLOOKUP(B39,Daily_Working_Do_Not_Delete!CG:CH,2,0))</f>
        <v>0</v>
      </c>
      <c r="S39" s="149">
        <f>IFERROR(VLOOKUP(B39,Daily_Working_Do_Not_Delete!CE:CF,2,0))</f>
        <v>0.04467592593</v>
      </c>
      <c r="T39" s="149">
        <f>IFERROR(VLOOKUP(B39,Daily_Working_Do_Not_Delete!CC:CD,2,0))</f>
        <v>0.03510416667</v>
      </c>
      <c r="U39" s="149">
        <f>IFERROR(VLOOKUP(B39,Daily_Working_Do_Not_Delete!CA:CB,2,0))</f>
        <v>0.006481481481</v>
      </c>
      <c r="V39" s="149">
        <f>IFERROR(VLOOKUP(B39,Daily_Working_Do_Not_Delete!BY:BZ,2,0))</f>
        <v>0.03578703704</v>
      </c>
      <c r="W39" s="149">
        <f>IFERROR(VLOOKUP(B39,Daily_Working_Do_Not_Delete!BW:BX,2,0))</f>
        <v>0.04668981481</v>
      </c>
      <c r="X39" s="149">
        <f>IFERROR(VLOOKUP(B39,Daily_Working_Do_Not_Delete!BU:BV,2,0))</f>
        <v>0.2010763889</v>
      </c>
      <c r="Y39" s="149">
        <f>IFERROR(VLOOKUP(B39,Daily_Working_Do_Not_Delete!BS:BT,2,0))</f>
        <v>0.1444560185</v>
      </c>
      <c r="Z39" s="149">
        <f>IFERROR(VLOOKUP(B39,Daily_Working_Do_Not_Delete!BQ:BR,2,0))</f>
        <v>0.1424421296</v>
      </c>
      <c r="AA39" s="149">
        <f>IFERROR(VLOOKUP(B39,Daily_Working_Do_Not_Delete!BO:BP,2,0))</f>
        <v>0.1751851852</v>
      </c>
      <c r="AB39" s="149">
        <f>IFERROR(VLOOKUP(B39,Daily_Working_Do_Not_Delete!BM:BN,2,0))</f>
        <v>0.28625</v>
      </c>
      <c r="AC39" s="149">
        <f>IFERROR(VLOOKUP(B39,Daily_Working_Do_Not_Delete!BK:BL,2,0))</f>
        <v>0.2846180556</v>
      </c>
      <c r="AD39" s="149">
        <f>IFERROR(VLOOKUP(B39,Daily_Working_Do_Not_Delete!BI:BJ,2,0))</f>
        <v>0.5482523148</v>
      </c>
      <c r="AE39" s="149">
        <f>IFERROR(VLOOKUP(B39,Daily_Working_Do_Not_Delete!BG:BH,2,0))</f>
        <v>0.4595486111</v>
      </c>
      <c r="AF39" s="149">
        <f>IFERROR(VLOOKUP(B39,Daily_Working_Do_Not_Delete!BE:BF,2,0))</f>
        <v>0.2772106481</v>
      </c>
      <c r="AG39" s="149">
        <f>IFERROR(VLOOKUP(B39,Daily_Working_Do_Not_Delete!BC:BD,2,0))</f>
        <v>0.4975</v>
      </c>
      <c r="AH39" s="149">
        <f>IFERROR(VLOOKUP(B39,Daily_Working_Do_Not_Delete!BA:BB,2,0))</f>
        <v>0.3377893519</v>
      </c>
      <c r="AI39" s="149">
        <f>IFERROR(VLOOKUP(B39,Daily_Working_Do_Not_Delete!AY:AZ,2,0))</f>
        <v>0.1771180556</v>
      </c>
      <c r="AJ39" s="149">
        <f>IFERROR(VLOOKUP(B39,Daily_Working_Do_Not_Delete!AW:AX,2,0))</f>
        <v>0.1688657407</v>
      </c>
      <c r="AK39" s="149">
        <f>IFERROR(VLOOKUP(B39,Daily_Working_Do_Not_Delete!AU:AV,2,0))</f>
        <v>0.3693055556</v>
      </c>
      <c r="AL39" s="149">
        <f>IFERROR(VLOOKUP(B39,Daily_Working_Do_Not_Delete!AS:AT,2,0))</f>
        <v>0.0659837963</v>
      </c>
      <c r="AM39" s="149">
        <f>IFERROR(VLOOKUP(B39,Daily_Working_Do_Not_Delete!AQ:AR,2,0))</f>
        <v>0.1809953704</v>
      </c>
      <c r="AN39" s="149">
        <f>IFERROR(VLOOKUP(B39,Daily_Working_Do_Not_Delete!AO:AP,2,0))</f>
        <v>0.1432407407</v>
      </c>
      <c r="AO39" s="149">
        <f>IFERROR(VLOOKUP(B39,Daily_Working_Do_Not_Delete!AM:AN,2,0))</f>
        <v>0.06400462963</v>
      </c>
      <c r="AP39" s="149">
        <f>IFERROR(VLOOKUP(B39,Daily_Working_Do_Not_Delete!AK:AL,2,0))</f>
        <v>0.111712963</v>
      </c>
      <c r="AQ39" s="149">
        <f>IFERROR(VLOOKUP(B39,Daily_Working_Do_Not_Delete!AI:AJ,2,0))</f>
        <v>0.02146990741</v>
      </c>
      <c r="AR39" s="149">
        <f>IFERROR(VLOOKUP(B39,Daily_Working_Do_Not_Delete!AG:AH,2,0))</f>
        <v>0.04646990741</v>
      </c>
      <c r="AS39" s="149">
        <f>IFERROR(VLOOKUP(B39,Daily_Working_Do_Not_Delete!AE:AF,2,0))</f>
        <v>0.018125</v>
      </c>
      <c r="AT39" s="149">
        <f>IFERROR(VLOOKUP(B39,Daily_Working_Do_Not_Delete!AC:AD,2,0))</f>
        <v>0.003391203704</v>
      </c>
      <c r="AU39" s="149">
        <f>IFERROR(VLOOKUP(B39,Daily_Working_Do_Not_Delete!AA:AB,2,0))</f>
        <v>0.005208333333</v>
      </c>
      <c r="AV39" s="149">
        <f>IFERROR(VLOOKUP(B39,Daily_Working_Do_Not_Delete!Y:Z,2,0))</f>
        <v>0</v>
      </c>
      <c r="AW39" s="149" t="str">
        <f>IFERROR(VLOOKUP(B39,Daily_Working_Do_Not_Delete!W:X,2,0))</f>
        <v/>
      </c>
      <c r="AX39" s="149" t="str">
        <f>IFERROR(VLOOKUP(B39,Daily_Working_Do_Not_Delete!U:V,2,0))</f>
        <v/>
      </c>
      <c r="AY39" s="149" t="str">
        <f>IFERROR(VLOOKUP(B39,Daily_Working_Do_Not_Delete!S:T,2,0))</f>
        <v/>
      </c>
      <c r="AZ39" s="149" t="str">
        <f>IFERROR(VLOOKUP(B39,Daily_Working_Do_Not_Delete!Q:R,2,0))</f>
        <v/>
      </c>
      <c r="BA39" s="149" t="str">
        <f>IFERROR(VLOOKUP(B39,Daily_Working_Do_Not_Delete!O:P,2,0))</f>
        <v/>
      </c>
      <c r="BB39" s="149" t="str">
        <f>IFERROR(VLOOKUP(B39,Daily_Working_Do_Not_Delete!M:N,2,0))</f>
        <v/>
      </c>
      <c r="BC39" s="149" t="str">
        <f>IFERROR(VLOOKUP(B39,Daily_Working_Do_Not_Delete!K:L,2,0))</f>
        <v/>
      </c>
      <c r="BD39" s="149">
        <f>IFERROR(VLOOKUP(B39,Daily_Working_Do_Not_Delete!I:J,2,0))</f>
        <v>0.0002083333333</v>
      </c>
      <c r="BE39" s="149" t="str">
        <f>IFERROR(VLOOKUP(B39,Daily_Working_Do_Not_Delete!G:H,2,0))</f>
        <v/>
      </c>
      <c r="BF39" s="149" t="str">
        <f>IFERROR(VLOOKUP(B39,Daily_Working_Do_Not_Delete!E:F,2,0))</f>
        <v/>
      </c>
      <c r="BG39" s="149" t="str">
        <f>IFERROR(VLOOKUP(B39,Daily_Working_Do_Not_Delete!C:D,2,0))</f>
        <v/>
      </c>
      <c r="BH39" s="149" t="str">
        <f>IFERROR(VLOOKUP(B39,Daily_Working_Do_Not_Delete!A:B,2,0))</f>
        <v/>
      </c>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row>
    <row r="40">
      <c r="A40" s="146" t="s">
        <v>54</v>
      </c>
      <c r="B40" s="146" t="s">
        <v>62</v>
      </c>
      <c r="C40" s="137" t="s">
        <v>421</v>
      </c>
      <c r="D40" s="148">
        <f t="shared" si="3"/>
        <v>6.911284722</v>
      </c>
      <c r="E40" s="149">
        <f>IFERROR(VLOOKUP(B40,Daily_Working_Do_Not_Delete!DG:DH,2,0))</f>
        <v>4.472858796</v>
      </c>
      <c r="F40" s="149">
        <f>IFERROR(VLOOKUP(B40,Daily_Working_Do_Not_Delete!DE:DF,2,0))</f>
        <v>0.05115740741</v>
      </c>
      <c r="G40" s="149">
        <f>IFERROR(VLOOKUP(B40,Daily_Working_Do_Not_Delete!DC:DD,2,0))</f>
        <v>0.0565162037</v>
      </c>
      <c r="H40" s="149">
        <f>IFERROR(VLOOKUP(B40,Daily_Working_Do_Not_Delete!DA:DB,2,0))</f>
        <v>0.08668981481</v>
      </c>
      <c r="I40" s="149">
        <f>IFERROR(VLOOKUP(B40,Daily_Working_Do_Not_Delete!CY:CZ,2,0))</f>
        <v>0.1260763889</v>
      </c>
      <c r="J40" s="149">
        <f>IFERROR(VLOOKUP(B40,Daily_Working_Do_Not_Delete!CW:CX,2,0))</f>
        <v>0.1038078704</v>
      </c>
      <c r="K40" s="149">
        <f>IFERROR(VLOOKUP(B40,Daily_Working_Do_Not_Delete!CU:CV,2,0))</f>
        <v>0.1774305556</v>
      </c>
      <c r="L40" s="149">
        <f>IFERROR(VLOOKUP(B40,Daily_Working_Do_Not_Delete!CS:CT,2,0))</f>
        <v>0.1363194444</v>
      </c>
      <c r="M40" s="149">
        <f>IFERROR(VLOOKUP(B40,Daily_Working_Do_Not_Delete!CQ:CR,2,0))</f>
        <v>0.06178240741</v>
      </c>
      <c r="N40" s="149">
        <f>IFERROR(VLOOKUP(B40,Daily_Working_Do_Not_Delete!CO:CP,2,0))</f>
        <v>0.1426157407</v>
      </c>
      <c r="O40" s="149">
        <f>IFERROR(VLOOKUP(B40,Daily_Working_Do_Not_Delete!CM:CN,2,0))</f>
        <v>0.11</v>
      </c>
      <c r="P40" s="149">
        <f>IFERROR(VLOOKUP(B40,Daily_Working_Do_Not_Delete!CK:CL,2,0))</f>
        <v>0.1590740741</v>
      </c>
      <c r="Q40" s="149">
        <f>IFERROR(VLOOKUP(B40,Daily_Working_Do_Not_Delete!CI:CJ,2,0))</f>
        <v>0.195625</v>
      </c>
      <c r="R40" s="149">
        <f>IFERROR(VLOOKUP(B40,Daily_Working_Do_Not_Delete!CG:CH,2,0))</f>
        <v>0.2379282407</v>
      </c>
      <c r="S40" s="149">
        <f>IFERROR(VLOOKUP(B40,Daily_Working_Do_Not_Delete!CE:CF,2,0))</f>
        <v>0.1042476852</v>
      </c>
      <c r="T40" s="149">
        <f>IFERROR(VLOOKUP(B40,Daily_Working_Do_Not_Delete!CC:CD,2,0))</f>
        <v>0.07371527778</v>
      </c>
      <c r="U40" s="149">
        <f>IFERROR(VLOOKUP(B40,Daily_Working_Do_Not_Delete!CA:CB,2,0))</f>
        <v>0.03019675926</v>
      </c>
      <c r="V40" s="149">
        <f>IFERROR(VLOOKUP(B40,Daily_Working_Do_Not_Delete!BY:BZ,2,0))</f>
        <v>0.04041666667</v>
      </c>
      <c r="W40" s="149">
        <f>IFERROR(VLOOKUP(B40,Daily_Working_Do_Not_Delete!BW:BX,2,0))</f>
        <v>0.08263888889</v>
      </c>
      <c r="X40" s="149">
        <f>IFERROR(VLOOKUP(B40,Daily_Working_Do_Not_Delete!BU:BV,2,0))</f>
        <v>0.03203703704</v>
      </c>
      <c r="Y40" s="149">
        <f>IFERROR(VLOOKUP(B40,Daily_Working_Do_Not_Delete!BS:BT,2,0))</f>
        <v>0.04876157407</v>
      </c>
      <c r="Z40" s="149">
        <f>IFERROR(VLOOKUP(B40,Daily_Working_Do_Not_Delete!BQ:BR,2,0))</f>
        <v>0.0649537037</v>
      </c>
      <c r="AA40" s="149">
        <f>IFERROR(VLOOKUP(B40,Daily_Working_Do_Not_Delete!BO:BP,2,0))</f>
        <v>0.05702546296</v>
      </c>
      <c r="AB40" s="149">
        <f>IFERROR(VLOOKUP(B40,Daily_Working_Do_Not_Delete!BM:BN,2,0))</f>
        <v>0.05194444444</v>
      </c>
      <c r="AC40" s="149">
        <f>IFERROR(VLOOKUP(B40,Daily_Working_Do_Not_Delete!BK:BL,2,0))</f>
        <v>0.0174537037</v>
      </c>
      <c r="AD40" s="149">
        <f>IFERROR(VLOOKUP(B40,Daily_Working_Do_Not_Delete!BI:BJ,2,0))</f>
        <v>0.02642361111</v>
      </c>
      <c r="AE40" s="149">
        <f>IFERROR(VLOOKUP(B40,Daily_Working_Do_Not_Delete!BG:BH,2,0))</f>
        <v>0.05715277778</v>
      </c>
      <c r="AF40" s="149">
        <f>IFERROR(VLOOKUP(B40,Daily_Working_Do_Not_Delete!BE:BF,2,0))</f>
        <v>0.01971064815</v>
      </c>
      <c r="AG40" s="149">
        <f>IFERROR(VLOOKUP(B40,Daily_Working_Do_Not_Delete!BC:BD,2,0))</f>
        <v>0.0218287037</v>
      </c>
      <c r="AH40" s="149">
        <f>IFERROR(VLOOKUP(B40,Daily_Working_Do_Not_Delete!BA:BB,2,0))</f>
        <v>0.0165625</v>
      </c>
      <c r="AI40" s="149" t="str">
        <f>IFERROR(VLOOKUP(B40,Daily_Working_Do_Not_Delete!AY:AZ,2,0))</f>
        <v/>
      </c>
      <c r="AJ40" s="149" t="str">
        <f>IFERROR(VLOOKUP(B40,Daily_Working_Do_Not_Delete!AW:AX,2,0))</f>
        <v/>
      </c>
      <c r="AK40" s="149">
        <f>IFERROR(VLOOKUP(B40,Daily_Working_Do_Not_Delete!AU:AV,2,0))</f>
        <v>0.01525462963</v>
      </c>
      <c r="AL40" s="149">
        <f>IFERROR(VLOOKUP(B40,Daily_Working_Do_Not_Delete!AS:AT,2,0))</f>
        <v>0.01643518519</v>
      </c>
      <c r="AM40" s="149" t="str">
        <f>IFERROR(VLOOKUP(B40,Daily_Working_Do_Not_Delete!AQ:AR,2,0))</f>
        <v/>
      </c>
      <c r="AN40" s="149" t="str">
        <f>IFERROR(VLOOKUP(B40,Daily_Working_Do_Not_Delete!AO:AP,2,0))</f>
        <v/>
      </c>
      <c r="AO40" s="149">
        <f>IFERROR(VLOOKUP(B40,Daily_Working_Do_Not_Delete!AM:AN,2,0))</f>
        <v>0.0003356481481</v>
      </c>
      <c r="AP40" s="149" t="str">
        <f>IFERROR(VLOOKUP(B40,Daily_Working_Do_Not_Delete!AK:AL,2,0))</f>
        <v/>
      </c>
      <c r="AQ40" s="149">
        <f>IFERROR(VLOOKUP(B40,Daily_Working_Do_Not_Delete!AI:AJ,2,0))</f>
        <v>0.01630787037</v>
      </c>
      <c r="AR40" s="149" t="str">
        <f>IFERROR(VLOOKUP(B40,Daily_Working_Do_Not_Delete!AG:AH,2,0))</f>
        <v/>
      </c>
      <c r="AS40" s="149" t="str">
        <f>IFERROR(VLOOKUP(B40,Daily_Working_Do_Not_Delete!AE:AF,2,0))</f>
        <v/>
      </c>
      <c r="AT40" s="149" t="str">
        <f>IFERROR(VLOOKUP(B40,Daily_Working_Do_Not_Delete!AC:AD,2,0))</f>
        <v/>
      </c>
      <c r="AU40" s="149" t="str">
        <f>IFERROR(VLOOKUP(B40,Daily_Working_Do_Not_Delete!AA:AB,2,0))</f>
        <v/>
      </c>
      <c r="AV40" s="149" t="str">
        <f>IFERROR(VLOOKUP(B40,Daily_Working_Do_Not_Delete!Y:Z,2,0))</f>
        <v/>
      </c>
      <c r="AW40" s="149" t="str">
        <f>IFERROR(VLOOKUP(B40,Daily_Working_Do_Not_Delete!W:X,2,0))</f>
        <v/>
      </c>
      <c r="AX40" s="149" t="str">
        <f>IFERROR(VLOOKUP(B40,Daily_Working_Do_Not_Delete!U:V,2,0))</f>
        <v/>
      </c>
      <c r="AY40" s="149" t="str">
        <f>IFERROR(VLOOKUP(B40,Daily_Working_Do_Not_Delete!S:T,2,0))</f>
        <v/>
      </c>
      <c r="AZ40" s="149" t="str">
        <f>IFERROR(VLOOKUP(B40,Daily_Working_Do_Not_Delete!Q:R,2,0))</f>
        <v/>
      </c>
      <c r="BA40" s="149" t="str">
        <f>IFERROR(VLOOKUP(B40,Daily_Working_Do_Not_Delete!O:P,2,0))</f>
        <v/>
      </c>
      <c r="BB40" s="149" t="str">
        <f>IFERROR(VLOOKUP(B40,Daily_Working_Do_Not_Delete!M:N,2,0))</f>
        <v/>
      </c>
      <c r="BC40" s="149" t="str">
        <f>IFERROR(VLOOKUP(B40,Daily_Working_Do_Not_Delete!K:L,2,0))</f>
        <v/>
      </c>
      <c r="BD40" s="149" t="str">
        <f>IFERROR(VLOOKUP(B40,Daily_Working_Do_Not_Delete!I:J,2,0))</f>
        <v/>
      </c>
      <c r="BE40" s="149" t="str">
        <f>IFERROR(VLOOKUP(B40,Daily_Working_Do_Not_Delete!G:H,2,0))</f>
        <v/>
      </c>
      <c r="BF40" s="149" t="str">
        <f>IFERROR(VLOOKUP(B40,Daily_Working_Do_Not_Delete!E:F,2,0))</f>
        <v/>
      </c>
      <c r="BG40" s="149" t="str">
        <f>IFERROR(VLOOKUP(B40,Daily_Working_Do_Not_Delete!C:D,2,0))</f>
        <v/>
      </c>
      <c r="BH40" s="149" t="str">
        <f>IFERROR(VLOOKUP(B40,Daily_Working_Do_Not_Delete!A:B,2,0))</f>
        <v/>
      </c>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row>
    <row r="41">
      <c r="A41" s="146" t="s">
        <v>54</v>
      </c>
      <c r="B41" s="146" t="s">
        <v>63</v>
      </c>
      <c r="C41" s="137" t="s">
        <v>421</v>
      </c>
      <c r="D41" s="148">
        <f t="shared" si="3"/>
        <v>5.877766204</v>
      </c>
      <c r="E41" s="149">
        <f>IFERROR(VLOOKUP(B41,Daily_Working_Do_Not_Delete!DG:DH,2,0))</f>
        <v>1.015219907</v>
      </c>
      <c r="F41" s="149">
        <f>IFERROR(VLOOKUP(B41,Daily_Working_Do_Not_Delete!DE:DF,2,0))</f>
        <v>0.05069444444</v>
      </c>
      <c r="G41" s="149">
        <f>IFERROR(VLOOKUP(B41,Daily_Working_Do_Not_Delete!DC:DD,2,0))</f>
        <v>0.03546296296</v>
      </c>
      <c r="H41" s="149">
        <f>IFERROR(VLOOKUP(B41,Daily_Working_Do_Not_Delete!DA:DB,2,0))</f>
        <v>0.03738425926</v>
      </c>
      <c r="I41" s="149">
        <f>IFERROR(VLOOKUP(B41,Daily_Working_Do_Not_Delete!CY:CZ,2,0))</f>
        <v>0.02309027778</v>
      </c>
      <c r="J41" s="149">
        <f>IFERROR(VLOOKUP(B41,Daily_Working_Do_Not_Delete!CW:CX,2,0))</f>
        <v>0.0174537037</v>
      </c>
      <c r="K41" s="149">
        <f>IFERROR(VLOOKUP(B41,Daily_Working_Do_Not_Delete!CU:CV,2,0))</f>
        <v>0.01884259259</v>
      </c>
      <c r="L41" s="149">
        <f>IFERROR(VLOOKUP(B41,Daily_Working_Do_Not_Delete!CS:CT,2,0))</f>
        <v>0.02872685185</v>
      </c>
      <c r="M41" s="149">
        <f>IFERROR(VLOOKUP(B41,Daily_Working_Do_Not_Delete!CQ:CR,2,0))</f>
        <v>0.0175</v>
      </c>
      <c r="N41" s="149">
        <f>IFERROR(VLOOKUP(B41,Daily_Working_Do_Not_Delete!CO:CP,2,0))</f>
        <v>0.02324074074</v>
      </c>
      <c r="O41" s="149">
        <f>IFERROR(VLOOKUP(B41,Daily_Working_Do_Not_Delete!CM:CN,2,0))</f>
        <v>0.01893518519</v>
      </c>
      <c r="P41" s="149">
        <f>IFERROR(VLOOKUP(B41,Daily_Working_Do_Not_Delete!CK:CL,2,0))</f>
        <v>0.03508101852</v>
      </c>
      <c r="Q41" s="149">
        <f>IFERROR(VLOOKUP(B41,Daily_Working_Do_Not_Delete!CI:CJ,2,0))</f>
        <v>0.002002314815</v>
      </c>
      <c r="R41" s="149">
        <f>IFERROR(VLOOKUP(B41,Daily_Working_Do_Not_Delete!CG:CH,2,0))</f>
        <v>0.05277777778</v>
      </c>
      <c r="S41" s="149">
        <f>IFERROR(VLOOKUP(B41,Daily_Working_Do_Not_Delete!CE:CF,2,0))</f>
        <v>0.1577430556</v>
      </c>
      <c r="T41" s="149">
        <f>IFERROR(VLOOKUP(B41,Daily_Working_Do_Not_Delete!CC:CD,2,0))</f>
        <v>0.3290972222</v>
      </c>
      <c r="U41" s="149">
        <f>IFERROR(VLOOKUP(B41,Daily_Working_Do_Not_Delete!CA:CB,2,0))</f>
        <v>0.2834143519</v>
      </c>
      <c r="V41" s="149">
        <f>IFERROR(VLOOKUP(B41,Daily_Working_Do_Not_Delete!BY:BZ,2,0))</f>
        <v>0.2051041667</v>
      </c>
      <c r="W41" s="149">
        <f>IFERROR(VLOOKUP(B41,Daily_Working_Do_Not_Delete!BW:BX,2,0))</f>
        <v>0.1903240741</v>
      </c>
      <c r="X41" s="149">
        <f>IFERROR(VLOOKUP(B41,Daily_Working_Do_Not_Delete!BU:BV,2,0))</f>
        <v>0.1404398148</v>
      </c>
      <c r="Y41" s="149">
        <f>IFERROR(VLOOKUP(B41,Daily_Working_Do_Not_Delete!BS:BT,2,0))</f>
        <v>0.107349537</v>
      </c>
      <c r="Z41" s="149">
        <f>IFERROR(VLOOKUP(B41,Daily_Working_Do_Not_Delete!BQ:BR,2,0))</f>
        <v>0.1440625</v>
      </c>
      <c r="AA41" s="149">
        <f>IFERROR(VLOOKUP(B41,Daily_Working_Do_Not_Delete!BO:BP,2,0))</f>
        <v>0.3329166667</v>
      </c>
      <c r="AB41" s="149">
        <f>IFERROR(VLOOKUP(B41,Daily_Working_Do_Not_Delete!BM:BN,2,0))</f>
        <v>0.3079166667</v>
      </c>
      <c r="AC41" s="149">
        <f>IFERROR(VLOOKUP(B41,Daily_Working_Do_Not_Delete!BK:BL,2,0))</f>
        <v>0.1817824074</v>
      </c>
      <c r="AD41" s="149">
        <f>IFERROR(VLOOKUP(B41,Daily_Working_Do_Not_Delete!BI:BJ,2,0))</f>
        <v>0.2146759259</v>
      </c>
      <c r="AE41" s="149">
        <f>IFERROR(VLOOKUP(B41,Daily_Working_Do_Not_Delete!BG:BH,2,0))</f>
        <v>0.2774537037</v>
      </c>
      <c r="AF41" s="149">
        <f>IFERROR(VLOOKUP(B41,Daily_Working_Do_Not_Delete!BE:BF,2,0))</f>
        <v>0.2081828704</v>
      </c>
      <c r="AG41" s="149">
        <f>IFERROR(VLOOKUP(B41,Daily_Working_Do_Not_Delete!BC:BD,2,0))</f>
        <v>0.3127546296</v>
      </c>
      <c r="AH41" s="149">
        <f>IFERROR(VLOOKUP(B41,Daily_Working_Do_Not_Delete!BA:BB,2,0))</f>
        <v>0.3361226852</v>
      </c>
      <c r="AI41" s="149">
        <f>IFERROR(VLOOKUP(B41,Daily_Working_Do_Not_Delete!AY:AZ,2,0))</f>
        <v>0.2008564815</v>
      </c>
      <c r="AJ41" s="149">
        <f>IFERROR(VLOOKUP(B41,Daily_Working_Do_Not_Delete!AW:AX,2,0))</f>
        <v>0.1606018519</v>
      </c>
      <c r="AK41" s="149">
        <f>IFERROR(VLOOKUP(B41,Daily_Working_Do_Not_Delete!AU:AV,2,0))</f>
        <v>0.2591087963</v>
      </c>
      <c r="AL41" s="149">
        <f>IFERROR(VLOOKUP(B41,Daily_Working_Do_Not_Delete!AS:AT,2,0))</f>
        <v>0.04689814815</v>
      </c>
      <c r="AM41" s="149">
        <f>IFERROR(VLOOKUP(B41,Daily_Working_Do_Not_Delete!AQ:AR,2,0))</f>
        <v>0.01217592593</v>
      </c>
      <c r="AN41" s="149">
        <f>IFERROR(VLOOKUP(B41,Daily_Working_Do_Not_Delete!AO:AP,2,0))</f>
        <v>0.01195601852</v>
      </c>
      <c r="AO41" s="149" t="str">
        <f>IFERROR(VLOOKUP(B41,Daily_Working_Do_Not_Delete!AM:AN,2,0))</f>
        <v/>
      </c>
      <c r="AP41" s="149">
        <f>IFERROR(VLOOKUP(B41,Daily_Working_Do_Not_Delete!AK:AL,2,0))</f>
        <v>0.05225694444</v>
      </c>
      <c r="AQ41" s="149">
        <f>IFERROR(VLOOKUP(B41,Daily_Working_Do_Not_Delete!AI:AJ,2,0))</f>
        <v>0.01165509259</v>
      </c>
      <c r="AR41" s="149">
        <f>IFERROR(VLOOKUP(B41,Daily_Working_Do_Not_Delete!AG:AH,2,0))</f>
        <v>0.01650462963</v>
      </c>
      <c r="AS41" s="149" t="str">
        <f>IFERROR(VLOOKUP(B41,Daily_Working_Do_Not_Delete!AE:AF,2,0))</f>
        <v/>
      </c>
      <c r="AT41" s="149" t="str">
        <f>IFERROR(VLOOKUP(B41,Daily_Working_Do_Not_Delete!AC:AD,2,0))</f>
        <v/>
      </c>
      <c r="AU41" s="149" t="str">
        <f>IFERROR(VLOOKUP(B41,Daily_Working_Do_Not_Delete!AA:AB,2,0))</f>
        <v/>
      </c>
      <c r="AV41" s="149" t="str">
        <f>IFERROR(VLOOKUP(B41,Daily_Working_Do_Not_Delete!Y:Z,2,0))</f>
        <v/>
      </c>
      <c r="AW41" s="149" t="str">
        <f>IFERROR(VLOOKUP(B41,Daily_Working_Do_Not_Delete!W:X,2,0))</f>
        <v/>
      </c>
      <c r="AX41" s="149" t="str">
        <f>IFERROR(VLOOKUP(B41,Daily_Working_Do_Not_Delete!U:V,2,0))</f>
        <v/>
      </c>
      <c r="AY41" s="149" t="str">
        <f>IFERROR(VLOOKUP(B41,Daily_Working_Do_Not_Delete!S:T,2,0))</f>
        <v/>
      </c>
      <c r="AZ41" s="149" t="str">
        <f>IFERROR(VLOOKUP(B41,Daily_Working_Do_Not_Delete!Q:R,2,0))</f>
        <v/>
      </c>
      <c r="BA41" s="149" t="str">
        <f>IFERROR(VLOOKUP(B41,Daily_Working_Do_Not_Delete!O:P,2,0))</f>
        <v/>
      </c>
      <c r="BB41" s="149" t="str">
        <f>IFERROR(VLOOKUP(B41,Daily_Working_Do_Not_Delete!M:N,2,0))</f>
        <v/>
      </c>
      <c r="BC41" s="149" t="str">
        <f>IFERROR(VLOOKUP(B41,Daily_Working_Do_Not_Delete!K:L,2,0))</f>
        <v/>
      </c>
      <c r="BD41" s="149" t="str">
        <f>IFERROR(VLOOKUP(B41,Daily_Working_Do_Not_Delete!I:J,2,0))</f>
        <v/>
      </c>
      <c r="BE41" s="149">
        <f>IFERROR(VLOOKUP(B41,Daily_Working_Do_Not_Delete!G:H,2,0))</f>
        <v>0</v>
      </c>
      <c r="BF41" s="149" t="str">
        <f>IFERROR(VLOOKUP(B41,Daily_Working_Do_Not_Delete!E:F,2,0))</f>
        <v/>
      </c>
      <c r="BG41" s="149" t="str">
        <f>IFERROR(VLOOKUP(B41,Daily_Working_Do_Not_Delete!C:D,2,0))</f>
        <v/>
      </c>
      <c r="BH41" s="149" t="str">
        <f>IFERROR(VLOOKUP(B41,Daily_Working_Do_Not_Delete!A:B,2,0))</f>
        <v/>
      </c>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row>
    <row r="42">
      <c r="A42" s="146" t="s">
        <v>54</v>
      </c>
      <c r="B42" s="146" t="s">
        <v>64</v>
      </c>
      <c r="C42" s="137" t="s">
        <v>421</v>
      </c>
      <c r="D42" s="148">
        <f t="shared" si="3"/>
        <v>6.358796296</v>
      </c>
      <c r="E42" s="149">
        <f>IFERROR(VLOOKUP(B42,Daily_Working_Do_Not_Delete!DG:DH,2,0))</f>
        <v>2.552893519</v>
      </c>
      <c r="F42" s="149">
        <f>IFERROR(VLOOKUP(B42,Daily_Working_Do_Not_Delete!DE:DF,2,0))</f>
        <v>0.01215277778</v>
      </c>
      <c r="G42" s="149">
        <f>IFERROR(VLOOKUP(B42,Daily_Working_Do_Not_Delete!DC:DD,2,0))</f>
        <v>0.01913194444</v>
      </c>
      <c r="H42" s="149">
        <f>IFERROR(VLOOKUP(B42,Daily_Working_Do_Not_Delete!DA:DB,2,0))</f>
        <v>0.01908564815</v>
      </c>
      <c r="I42" s="149">
        <f>IFERROR(VLOOKUP(B42,Daily_Working_Do_Not_Delete!CY:CZ,2,0))</f>
        <v>0.0002083333333</v>
      </c>
      <c r="J42" s="149">
        <f>IFERROR(VLOOKUP(B42,Daily_Working_Do_Not_Delete!CW:CX,2,0))</f>
        <v>0.003506944444</v>
      </c>
      <c r="K42" s="149">
        <f>IFERROR(VLOOKUP(B42,Daily_Working_Do_Not_Delete!CU:CV,2,0))</f>
        <v>0.06493055556</v>
      </c>
      <c r="L42" s="149">
        <f>IFERROR(VLOOKUP(B42,Daily_Working_Do_Not_Delete!CS:CT,2,0))</f>
        <v>0.02685185185</v>
      </c>
      <c r="M42" s="149">
        <f>IFERROR(VLOOKUP(B42,Daily_Working_Do_Not_Delete!CQ:CR,2,0))</f>
        <v>0.008634259259</v>
      </c>
      <c r="N42" s="149">
        <f>IFERROR(VLOOKUP(B42,Daily_Working_Do_Not_Delete!CO:CP,2,0))</f>
        <v>0.0230787037</v>
      </c>
      <c r="O42" s="149">
        <f>IFERROR(VLOOKUP(B42,Daily_Working_Do_Not_Delete!CM:CN,2,0))</f>
        <v>0.03914351852</v>
      </c>
      <c r="P42" s="149">
        <f>IFERROR(VLOOKUP(B42,Daily_Working_Do_Not_Delete!CK:CL,2,0))</f>
        <v>0.02833333333</v>
      </c>
      <c r="Q42" s="149">
        <f>IFERROR(VLOOKUP(B42,Daily_Working_Do_Not_Delete!CI:CJ,2,0))</f>
        <v>0.01626157407</v>
      </c>
      <c r="R42" s="149">
        <f>IFERROR(VLOOKUP(B42,Daily_Working_Do_Not_Delete!CG:CH,2,0))</f>
        <v>0.0409375</v>
      </c>
      <c r="S42" s="149">
        <f>IFERROR(VLOOKUP(B42,Daily_Working_Do_Not_Delete!CE:CF,2,0))</f>
        <v>0.2926273148</v>
      </c>
      <c r="T42" s="149">
        <f>IFERROR(VLOOKUP(B42,Daily_Working_Do_Not_Delete!CC:CD,2,0))</f>
        <v>0.186875</v>
      </c>
      <c r="U42" s="149">
        <f>IFERROR(VLOOKUP(B42,Daily_Working_Do_Not_Delete!CA:CB,2,0))</f>
        <v>0.2538078704</v>
      </c>
      <c r="V42" s="149">
        <f>IFERROR(VLOOKUP(B42,Daily_Working_Do_Not_Delete!BY:BZ,2,0))</f>
        <v>0.06553240741</v>
      </c>
      <c r="W42" s="149">
        <f>IFERROR(VLOOKUP(B42,Daily_Working_Do_Not_Delete!BW:BX,2,0))</f>
        <v>0.03732638889</v>
      </c>
      <c r="X42" s="149">
        <f>IFERROR(VLOOKUP(B42,Daily_Working_Do_Not_Delete!BU:BV,2,0))</f>
        <v>0.04275462963</v>
      </c>
      <c r="Y42" s="149">
        <f>IFERROR(VLOOKUP(B42,Daily_Working_Do_Not_Delete!BS:BT,2,0))</f>
        <v>0.1140046296</v>
      </c>
      <c r="Z42" s="149">
        <f>IFERROR(VLOOKUP(B42,Daily_Working_Do_Not_Delete!BQ:BR,2,0))</f>
        <v>0.1091898148</v>
      </c>
      <c r="AA42" s="149">
        <f>IFERROR(VLOOKUP(B42,Daily_Working_Do_Not_Delete!BO:BP,2,0))</f>
        <v>0.06478009259</v>
      </c>
      <c r="AB42" s="149">
        <f>IFERROR(VLOOKUP(B42,Daily_Working_Do_Not_Delete!BM:BN,2,0))</f>
        <v>0.1552893519</v>
      </c>
      <c r="AC42" s="149">
        <f>IFERROR(VLOOKUP(B42,Daily_Working_Do_Not_Delete!BK:BL,2,0))</f>
        <v>0.1017708333</v>
      </c>
      <c r="AD42" s="149">
        <f>IFERROR(VLOOKUP(B42,Daily_Working_Do_Not_Delete!BI:BJ,2,0))</f>
        <v>0.07065972222</v>
      </c>
      <c r="AE42" s="149">
        <f>IFERROR(VLOOKUP(B42,Daily_Working_Do_Not_Delete!BG:BH,2,0))</f>
        <v>0.09799768519</v>
      </c>
      <c r="AF42" s="149">
        <f>IFERROR(VLOOKUP(B42,Daily_Working_Do_Not_Delete!BE:BF,2,0))</f>
        <v>0.02501157407</v>
      </c>
      <c r="AG42" s="149">
        <f>IFERROR(VLOOKUP(B42,Daily_Working_Do_Not_Delete!BC:BD,2,0))</f>
        <v>0.1637962963</v>
      </c>
      <c r="AH42" s="149">
        <f>IFERROR(VLOOKUP(B42,Daily_Working_Do_Not_Delete!BA:BB,2,0))</f>
        <v>0.2326388889</v>
      </c>
      <c r="AI42" s="149">
        <f>IFERROR(VLOOKUP(B42,Daily_Working_Do_Not_Delete!AY:AZ,2,0))</f>
        <v>0.3352430556</v>
      </c>
      <c r="AJ42" s="149">
        <f>IFERROR(VLOOKUP(B42,Daily_Working_Do_Not_Delete!AW:AX,2,0))</f>
        <v>0.2559837963</v>
      </c>
      <c r="AK42" s="149">
        <f>IFERROR(VLOOKUP(B42,Daily_Working_Do_Not_Delete!AU:AV,2,0))</f>
        <v>0.2318055556</v>
      </c>
      <c r="AL42" s="149">
        <f>IFERROR(VLOOKUP(B42,Daily_Working_Do_Not_Delete!AS:AT,2,0))</f>
        <v>0.1062847222</v>
      </c>
      <c r="AM42" s="149">
        <f>IFERROR(VLOOKUP(B42,Daily_Working_Do_Not_Delete!AQ:AR,2,0))</f>
        <v>0.2087731481</v>
      </c>
      <c r="AN42" s="149">
        <f>IFERROR(VLOOKUP(B42,Daily_Working_Do_Not_Delete!AO:AP,2,0))</f>
        <v>0.2672453704</v>
      </c>
      <c r="AO42" s="149">
        <f>IFERROR(VLOOKUP(B42,Daily_Working_Do_Not_Delete!AM:AN,2,0))</f>
        <v>0.0001851851852</v>
      </c>
      <c r="AP42" s="149">
        <f>IFERROR(VLOOKUP(B42,Daily_Working_Do_Not_Delete!AK:AL,2,0))</f>
        <v>0.04975694444</v>
      </c>
      <c r="AQ42" s="149">
        <f>IFERROR(VLOOKUP(B42,Daily_Working_Do_Not_Delete!AI:AJ,2,0))</f>
        <v>0.01358796296</v>
      </c>
      <c r="AR42" s="149">
        <f>IFERROR(VLOOKUP(B42,Daily_Working_Do_Not_Delete!AG:AH,2,0))</f>
        <v>0.02002314815</v>
      </c>
      <c r="AS42" s="149">
        <f>IFERROR(VLOOKUP(B42,Daily_Working_Do_Not_Delete!AE:AF,2,0))</f>
        <v>0.0006944444444</v>
      </c>
      <c r="AT42" s="149" t="str">
        <f>IFERROR(VLOOKUP(B42,Daily_Working_Do_Not_Delete!AC:AD,2,0))</f>
        <v/>
      </c>
      <c r="AU42" s="149" t="str">
        <f>IFERROR(VLOOKUP(B42,Daily_Working_Do_Not_Delete!AA:AB,2,0))</f>
        <v/>
      </c>
      <c r="AV42" s="149" t="str">
        <f>IFERROR(VLOOKUP(B42,Daily_Working_Do_Not_Delete!Y:Z,2,0))</f>
        <v/>
      </c>
      <c r="AW42" s="149" t="str">
        <f>IFERROR(VLOOKUP(B42,Daily_Working_Do_Not_Delete!W:X,2,0))</f>
        <v/>
      </c>
      <c r="AX42" s="149" t="str">
        <f>IFERROR(VLOOKUP(B42,Daily_Working_Do_Not_Delete!U:V,2,0))</f>
        <v/>
      </c>
      <c r="AY42" s="149" t="str">
        <f>IFERROR(VLOOKUP(B42,Daily_Working_Do_Not_Delete!S:T,2,0))</f>
        <v/>
      </c>
      <c r="AZ42" s="149" t="str">
        <f>IFERROR(VLOOKUP(B42,Daily_Working_Do_Not_Delete!Q:R,2,0))</f>
        <v/>
      </c>
      <c r="BA42" s="149" t="str">
        <f>IFERROR(VLOOKUP(B42,Daily_Working_Do_Not_Delete!O:P,2,0))</f>
        <v/>
      </c>
      <c r="BB42" s="149" t="str">
        <f>IFERROR(VLOOKUP(B42,Daily_Working_Do_Not_Delete!M:N,2,0))</f>
        <v/>
      </c>
      <c r="BC42" s="149" t="str">
        <f>IFERROR(VLOOKUP(B42,Daily_Working_Do_Not_Delete!K:L,2,0))</f>
        <v/>
      </c>
      <c r="BD42" s="149" t="str">
        <f>IFERROR(VLOOKUP(B42,Daily_Working_Do_Not_Delete!I:J,2,0))</f>
        <v/>
      </c>
      <c r="BE42" s="149" t="str">
        <f>IFERROR(VLOOKUP(B42,Daily_Working_Do_Not_Delete!G:H,2,0))</f>
        <v/>
      </c>
      <c r="BF42" s="149" t="str">
        <f>IFERROR(VLOOKUP(B42,Daily_Working_Do_Not_Delete!E:F,2,0))</f>
        <v/>
      </c>
      <c r="BG42" s="149" t="str">
        <f>IFERROR(VLOOKUP(B42,Daily_Working_Do_Not_Delete!C:D,2,0))</f>
        <v/>
      </c>
      <c r="BH42" s="149" t="str">
        <f>IFERROR(VLOOKUP(B42,Daily_Working_Do_Not_Delete!A:B,2,0))</f>
        <v/>
      </c>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row>
    <row r="43">
      <c r="A43" s="146" t="s">
        <v>54</v>
      </c>
      <c r="B43" s="146" t="s">
        <v>65</v>
      </c>
      <c r="C43" s="137" t="s">
        <v>421</v>
      </c>
      <c r="D43" s="148">
        <f t="shared" si="3"/>
        <v>7.308194444</v>
      </c>
      <c r="E43" s="149">
        <f>IFERROR(VLOOKUP(B43,Daily_Working_Do_Not_Delete!DG:DH,2,0))</f>
        <v>2.368171296</v>
      </c>
      <c r="F43" s="149">
        <f>IFERROR(VLOOKUP(B43,Daily_Working_Do_Not_Delete!DE:DF,2,0))</f>
        <v>0.02025462963</v>
      </c>
      <c r="G43" s="149">
        <f>IFERROR(VLOOKUP(B43,Daily_Working_Do_Not_Delete!DC:DD,2,0))</f>
        <v>0.04069444444</v>
      </c>
      <c r="H43" s="149">
        <f>IFERROR(VLOOKUP(B43,Daily_Working_Do_Not_Delete!DA:DB,2,0))</f>
        <v>0.04965277778</v>
      </c>
      <c r="I43" s="149">
        <f>IFERROR(VLOOKUP(B43,Daily_Working_Do_Not_Delete!CY:CZ,2,0))</f>
        <v>0.06094907407</v>
      </c>
      <c r="J43" s="149">
        <f>IFERROR(VLOOKUP(B43,Daily_Working_Do_Not_Delete!CW:CX,2,0))</f>
        <v>0.06695601852</v>
      </c>
      <c r="K43" s="149">
        <f>IFERROR(VLOOKUP(B43,Daily_Working_Do_Not_Delete!CU:CV,2,0))</f>
        <v>0.03581018519</v>
      </c>
      <c r="L43" s="149">
        <f>IFERROR(VLOOKUP(B43,Daily_Working_Do_Not_Delete!CS:CT,2,0))</f>
        <v>0.002731481481</v>
      </c>
      <c r="M43" s="149">
        <f>IFERROR(VLOOKUP(B43,Daily_Working_Do_Not_Delete!CQ:CR,2,0))</f>
        <v>0.03077546296</v>
      </c>
      <c r="N43" s="149">
        <f>IFERROR(VLOOKUP(B43,Daily_Working_Do_Not_Delete!CO:CP,2,0))</f>
        <v>0.05811342593</v>
      </c>
      <c r="O43" s="149">
        <f>IFERROR(VLOOKUP(B43,Daily_Working_Do_Not_Delete!CM:CN,2,0))</f>
        <v>0.04835648148</v>
      </c>
      <c r="P43" s="149">
        <f>IFERROR(VLOOKUP(B43,Daily_Working_Do_Not_Delete!CK:CL,2,0))</f>
        <v>0.06841435185</v>
      </c>
      <c r="Q43" s="149">
        <f>IFERROR(VLOOKUP(B43,Daily_Working_Do_Not_Delete!CI:CJ,2,0))</f>
        <v>0.04649305556</v>
      </c>
      <c r="R43" s="149">
        <f>IFERROR(VLOOKUP(B43,Daily_Working_Do_Not_Delete!CG:CH,2,0))</f>
        <v>0.1222453704</v>
      </c>
      <c r="S43" s="149">
        <f>IFERROR(VLOOKUP(B43,Daily_Working_Do_Not_Delete!CE:CF,2,0))</f>
        <v>0.1016435185</v>
      </c>
      <c r="T43" s="149">
        <f>IFERROR(VLOOKUP(B43,Daily_Working_Do_Not_Delete!CC:CD,2,0))</f>
        <v>0.01197916667</v>
      </c>
      <c r="U43" s="149">
        <f>IFERROR(VLOOKUP(B43,Daily_Working_Do_Not_Delete!CA:CB,2,0))</f>
        <v>0.07453703704</v>
      </c>
      <c r="V43" s="149">
        <f>IFERROR(VLOOKUP(B43,Daily_Working_Do_Not_Delete!BY:BZ,2,0))</f>
        <v>0.1169212963</v>
      </c>
      <c r="W43" s="149">
        <f>IFERROR(VLOOKUP(B43,Daily_Working_Do_Not_Delete!BW:BX,2,0))</f>
        <v>0.1514699074</v>
      </c>
      <c r="X43" s="149">
        <f>IFERROR(VLOOKUP(B43,Daily_Working_Do_Not_Delete!BU:BV,2,0))</f>
        <v>0.100775463</v>
      </c>
      <c r="Y43" s="149">
        <f>IFERROR(VLOOKUP(B43,Daily_Working_Do_Not_Delete!BS:BT,2,0))</f>
        <v>0.1411805556</v>
      </c>
      <c r="Z43" s="149">
        <f>IFERROR(VLOOKUP(B43,Daily_Working_Do_Not_Delete!BQ:BR,2,0))</f>
        <v>0.1986111111</v>
      </c>
      <c r="AA43" s="149">
        <f>IFERROR(VLOOKUP(B43,Daily_Working_Do_Not_Delete!BO:BP,2,0))</f>
        <v>0.1929282407</v>
      </c>
      <c r="AB43" s="149">
        <f>IFERROR(VLOOKUP(B43,Daily_Working_Do_Not_Delete!BM:BN,2,0))</f>
        <v>0.1168518519</v>
      </c>
      <c r="AC43" s="149">
        <f>IFERROR(VLOOKUP(B43,Daily_Working_Do_Not_Delete!BK:BL,2,0))</f>
        <v>0.08518518519</v>
      </c>
      <c r="AD43" s="149">
        <f>IFERROR(VLOOKUP(B43,Daily_Working_Do_Not_Delete!BI:BJ,2,0))</f>
        <v>0.1551736111</v>
      </c>
      <c r="AE43" s="149">
        <f>IFERROR(VLOOKUP(B43,Daily_Working_Do_Not_Delete!BG:BH,2,0))</f>
        <v>0.3032407407</v>
      </c>
      <c r="AF43" s="149">
        <f>IFERROR(VLOOKUP(B43,Daily_Working_Do_Not_Delete!BE:BF,2,0))</f>
        <v>0.4914699074</v>
      </c>
      <c r="AG43" s="149">
        <f>IFERROR(VLOOKUP(B43,Daily_Working_Do_Not_Delete!BC:BD,2,0))</f>
        <v>0.4424537037</v>
      </c>
      <c r="AH43" s="149">
        <f>IFERROR(VLOOKUP(B43,Daily_Working_Do_Not_Delete!BA:BB,2,0))</f>
        <v>0.4504050926</v>
      </c>
      <c r="AI43" s="149">
        <f>IFERROR(VLOOKUP(B43,Daily_Working_Do_Not_Delete!AY:AZ,2,0))</f>
        <v>0.4501851852</v>
      </c>
      <c r="AJ43" s="149">
        <f>IFERROR(VLOOKUP(B43,Daily_Working_Do_Not_Delete!AW:AX,2,0))</f>
        <v>0.2054513889</v>
      </c>
      <c r="AK43" s="149">
        <f>IFERROR(VLOOKUP(B43,Daily_Working_Do_Not_Delete!AU:AV,2,0))</f>
        <v>0.4447337963</v>
      </c>
      <c r="AL43" s="149">
        <f>IFERROR(VLOOKUP(B43,Daily_Working_Do_Not_Delete!AS:AT,2,0))</f>
        <v>0.009641203704</v>
      </c>
      <c r="AM43" s="149">
        <f>IFERROR(VLOOKUP(B43,Daily_Working_Do_Not_Delete!AQ:AR,2,0))</f>
        <v>0.003981481481</v>
      </c>
      <c r="AN43" s="149" t="str">
        <f>IFERROR(VLOOKUP(B43,Daily_Working_Do_Not_Delete!AO:AP,2,0))</f>
        <v/>
      </c>
      <c r="AO43" s="149" t="str">
        <f>IFERROR(VLOOKUP(B43,Daily_Working_Do_Not_Delete!AM:AN,2,0))</f>
        <v/>
      </c>
      <c r="AP43" s="149">
        <f>IFERROR(VLOOKUP(B43,Daily_Working_Do_Not_Delete!AK:AL,2,0))</f>
        <v>0.03207175926</v>
      </c>
      <c r="AQ43" s="149">
        <f>IFERROR(VLOOKUP(B43,Daily_Working_Do_Not_Delete!AI:AJ,2,0))</f>
        <v>0.007650462963</v>
      </c>
      <c r="AR43" s="149" t="str">
        <f>IFERROR(VLOOKUP(B43,Daily_Working_Do_Not_Delete!AG:AH,2,0))</f>
        <v/>
      </c>
      <c r="AS43" s="149" t="str">
        <f>IFERROR(VLOOKUP(B43,Daily_Working_Do_Not_Delete!AE:AF,2,0))</f>
        <v/>
      </c>
      <c r="AT43" s="149">
        <f>IFERROR(VLOOKUP(B43,Daily_Working_Do_Not_Delete!AC:AD,2,0))</f>
        <v>0.00003472222222</v>
      </c>
      <c r="AU43" s="149" t="str">
        <f>IFERROR(VLOOKUP(B43,Daily_Working_Do_Not_Delete!AA:AB,2,0))</f>
        <v/>
      </c>
      <c r="AV43" s="149" t="str">
        <f>IFERROR(VLOOKUP(B43,Daily_Working_Do_Not_Delete!Y:Z,2,0))</f>
        <v/>
      </c>
      <c r="AW43" s="149" t="str">
        <f>IFERROR(VLOOKUP(B43,Daily_Working_Do_Not_Delete!W:X,2,0))</f>
        <v/>
      </c>
      <c r="AX43" s="149" t="str">
        <f>IFERROR(VLOOKUP(B43,Daily_Working_Do_Not_Delete!U:V,2,0))</f>
        <v/>
      </c>
      <c r="AY43" s="149" t="str">
        <f>IFERROR(VLOOKUP(B43,Daily_Working_Do_Not_Delete!S:T,2,0))</f>
        <v/>
      </c>
      <c r="AZ43" s="149" t="str">
        <f>IFERROR(VLOOKUP(B43,Daily_Working_Do_Not_Delete!Q:R,2,0))</f>
        <v/>
      </c>
      <c r="BA43" s="149" t="str">
        <f>IFERROR(VLOOKUP(B43,Daily_Working_Do_Not_Delete!O:P,2,0))</f>
        <v/>
      </c>
      <c r="BB43" s="149" t="str">
        <f>IFERROR(VLOOKUP(B43,Daily_Working_Do_Not_Delete!M:N,2,0))</f>
        <v/>
      </c>
      <c r="BC43" s="149" t="str">
        <f>IFERROR(VLOOKUP(B43,Daily_Working_Do_Not_Delete!K:L,2,0))</f>
        <v/>
      </c>
      <c r="BD43" s="149" t="str">
        <f>IFERROR(VLOOKUP(B43,Daily_Working_Do_Not_Delete!I:J,2,0))</f>
        <v/>
      </c>
      <c r="BE43" s="149" t="str">
        <f>IFERROR(VLOOKUP(B43,Daily_Working_Do_Not_Delete!G:H,2,0))</f>
        <v/>
      </c>
      <c r="BF43" s="149" t="str">
        <f>IFERROR(VLOOKUP(B43,Daily_Working_Do_Not_Delete!E:F,2,0))</f>
        <v/>
      </c>
      <c r="BG43" s="149" t="str">
        <f>IFERROR(VLOOKUP(B43,Daily_Working_Do_Not_Delete!C:D,2,0))</f>
        <v/>
      </c>
      <c r="BH43" s="149" t="str">
        <f>IFERROR(VLOOKUP(B43,Daily_Working_Do_Not_Delete!A:B,2,0))</f>
        <v/>
      </c>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row>
    <row r="44">
      <c r="A44" s="146" t="s">
        <v>54</v>
      </c>
      <c r="B44" s="146" t="s">
        <v>66</v>
      </c>
      <c r="C44" s="137" t="s">
        <v>421</v>
      </c>
      <c r="D44" s="148">
        <f t="shared" si="3"/>
        <v>2.278020833</v>
      </c>
      <c r="E44" s="149">
        <f>IFERROR(VLOOKUP(B44,Daily_Working_Do_Not_Delete!DG:DH,2,0))</f>
        <v>0.3047106481</v>
      </c>
      <c r="F44" s="149">
        <f>IFERROR(VLOOKUP(B44,Daily_Working_Do_Not_Delete!DE:DF,2,0))</f>
        <v>0.01711805556</v>
      </c>
      <c r="G44" s="149">
        <f>IFERROR(VLOOKUP(B44,Daily_Working_Do_Not_Delete!DC:DD,2,0))</f>
        <v>0.0140162037</v>
      </c>
      <c r="H44" s="149">
        <f>IFERROR(VLOOKUP(B44,Daily_Working_Do_Not_Delete!DA:DB,2,0))</f>
        <v>0.03439814815</v>
      </c>
      <c r="I44" s="149">
        <f>IFERROR(VLOOKUP(B44,Daily_Working_Do_Not_Delete!CY:CZ,2,0))</f>
        <v>0.007662037037</v>
      </c>
      <c r="J44" s="149">
        <f>IFERROR(VLOOKUP(B44,Daily_Working_Do_Not_Delete!CW:CX,2,0))</f>
        <v>0.00880787037</v>
      </c>
      <c r="K44" s="149">
        <f>IFERROR(VLOOKUP(B44,Daily_Working_Do_Not_Delete!CU:CV,2,0))</f>
        <v>0.01618055556</v>
      </c>
      <c r="L44" s="149">
        <f>IFERROR(VLOOKUP(B44,Daily_Working_Do_Not_Delete!CS:CT,2,0))</f>
        <v>0.01395833333</v>
      </c>
      <c r="M44" s="149">
        <f>IFERROR(VLOOKUP(B44,Daily_Working_Do_Not_Delete!CQ:CR,2,0))</f>
        <v>0</v>
      </c>
      <c r="N44" s="149">
        <f>IFERROR(VLOOKUP(B44,Daily_Working_Do_Not_Delete!CO:CP,2,0))</f>
        <v>0.01982638889</v>
      </c>
      <c r="O44" s="149">
        <f>IFERROR(VLOOKUP(B44,Daily_Working_Do_Not_Delete!CM:CN,2,0))</f>
        <v>0.06173611111</v>
      </c>
      <c r="P44" s="149" t="str">
        <f>IFERROR(VLOOKUP(B44,Daily_Working_Do_Not_Delete!CK:CL,2,0))</f>
        <v/>
      </c>
      <c r="Q44" s="149">
        <f>IFERROR(VLOOKUP(B44,Daily_Working_Do_Not_Delete!CI:CJ,2,0))</f>
        <v>0.001412037037</v>
      </c>
      <c r="R44" s="149">
        <f>IFERROR(VLOOKUP(B44,Daily_Working_Do_Not_Delete!CG:CH,2,0))</f>
        <v>0.005578703704</v>
      </c>
      <c r="S44" s="149">
        <f>IFERROR(VLOOKUP(B44,Daily_Working_Do_Not_Delete!CE:CF,2,0))</f>
        <v>0.4796412037</v>
      </c>
      <c r="T44" s="149">
        <f>IFERROR(VLOOKUP(B44,Daily_Working_Do_Not_Delete!CC:CD,2,0))</f>
        <v>0.2277199074</v>
      </c>
      <c r="U44" s="149">
        <f>IFERROR(VLOOKUP(B44,Daily_Working_Do_Not_Delete!CA:CB,2,0))</f>
        <v>0.1128125</v>
      </c>
      <c r="V44" s="149">
        <f>IFERROR(VLOOKUP(B44,Daily_Working_Do_Not_Delete!BY:BZ,2,0))</f>
        <v>0.1183912037</v>
      </c>
      <c r="W44" s="149">
        <f>IFERROR(VLOOKUP(B44,Daily_Working_Do_Not_Delete!BW:BX,2,0))</f>
        <v>0.1088310185</v>
      </c>
      <c r="X44" s="149">
        <f>IFERROR(VLOOKUP(B44,Daily_Working_Do_Not_Delete!BU:BV,2,0))</f>
        <v>0.07857638889</v>
      </c>
      <c r="Y44" s="149">
        <f>IFERROR(VLOOKUP(B44,Daily_Working_Do_Not_Delete!BS:BT,2,0))</f>
        <v>0.06597222222</v>
      </c>
      <c r="Z44" s="149">
        <f>IFERROR(VLOOKUP(B44,Daily_Working_Do_Not_Delete!BQ:BR,2,0))</f>
        <v>0.06726851852</v>
      </c>
      <c r="AA44" s="149">
        <f>IFERROR(VLOOKUP(B44,Daily_Working_Do_Not_Delete!BO:BP,2,0))</f>
        <v>0.1290625</v>
      </c>
      <c r="AB44" s="149">
        <f>IFERROR(VLOOKUP(B44,Daily_Working_Do_Not_Delete!BM:BN,2,0))</f>
        <v>0.09357638889</v>
      </c>
      <c r="AC44" s="149">
        <f>IFERROR(VLOOKUP(B44,Daily_Working_Do_Not_Delete!BK:BL,2,0))</f>
        <v>0.1107638889</v>
      </c>
      <c r="AD44" s="149">
        <f>IFERROR(VLOOKUP(B44,Daily_Working_Do_Not_Delete!BI:BJ,2,0))</f>
        <v>0.04478009259</v>
      </c>
      <c r="AE44" s="149">
        <f>IFERROR(VLOOKUP(B44,Daily_Working_Do_Not_Delete!BG:BH,2,0))</f>
        <v>0.1352199074</v>
      </c>
      <c r="AF44" s="149" t="str">
        <f>IFERROR(VLOOKUP(B44,Daily_Working_Do_Not_Delete!BE:BF,2,0))</f>
        <v/>
      </c>
      <c r="AG44" s="149" t="str">
        <f>IFERROR(VLOOKUP(B44,Daily_Working_Do_Not_Delete!BC:BD,2,0))</f>
        <v/>
      </c>
      <c r="AH44" s="149" t="str">
        <f>IFERROR(VLOOKUP(B44,Daily_Working_Do_Not_Delete!BA:BB,2,0))</f>
        <v/>
      </c>
      <c r="AI44" s="149" t="str">
        <f>IFERROR(VLOOKUP(B44,Daily_Working_Do_Not_Delete!AY:AZ,2,0))</f>
        <v/>
      </c>
      <c r="AJ44" s="149" t="str">
        <f>IFERROR(VLOOKUP(B44,Daily_Working_Do_Not_Delete!AW:AX,2,0))</f>
        <v/>
      </c>
      <c r="AK44" s="149" t="str">
        <f>IFERROR(VLOOKUP(B44,Daily_Working_Do_Not_Delete!AU:AV,2,0))</f>
        <v/>
      </c>
      <c r="AL44" s="149" t="str">
        <f>IFERROR(VLOOKUP(B44,Daily_Working_Do_Not_Delete!AS:AT,2,0))</f>
        <v/>
      </c>
      <c r="AM44" s="149" t="str">
        <f>IFERROR(VLOOKUP(B44,Daily_Working_Do_Not_Delete!AQ:AR,2,0))</f>
        <v/>
      </c>
      <c r="AN44" s="149" t="str">
        <f>IFERROR(VLOOKUP(B44,Daily_Working_Do_Not_Delete!AO:AP,2,0))</f>
        <v/>
      </c>
      <c r="AO44" s="149" t="str">
        <f>IFERROR(VLOOKUP(B44,Daily_Working_Do_Not_Delete!AM:AN,2,0))</f>
        <v/>
      </c>
      <c r="AP44" s="149" t="str">
        <f>IFERROR(VLOOKUP(B44,Daily_Working_Do_Not_Delete!AK:AL,2,0))</f>
        <v/>
      </c>
      <c r="AQ44" s="149" t="str">
        <f>IFERROR(VLOOKUP(B44,Daily_Working_Do_Not_Delete!AI:AJ,2,0))</f>
        <v/>
      </c>
      <c r="AR44" s="149" t="str">
        <f>IFERROR(VLOOKUP(B44,Daily_Working_Do_Not_Delete!AG:AH,2,0))</f>
        <v/>
      </c>
      <c r="AS44" s="149" t="str">
        <f>IFERROR(VLOOKUP(B44,Daily_Working_Do_Not_Delete!AE:AF,2,0))</f>
        <v/>
      </c>
      <c r="AT44" s="149" t="str">
        <f>IFERROR(VLOOKUP(B44,Daily_Working_Do_Not_Delete!AC:AD,2,0))</f>
        <v/>
      </c>
      <c r="AU44" s="149" t="str">
        <f>IFERROR(VLOOKUP(B44,Daily_Working_Do_Not_Delete!AA:AB,2,0))</f>
        <v/>
      </c>
      <c r="AV44" s="149" t="str">
        <f>IFERROR(VLOOKUP(B44,Daily_Working_Do_Not_Delete!Y:Z,2,0))</f>
        <v/>
      </c>
      <c r="AW44" s="149" t="str">
        <f>IFERROR(VLOOKUP(B44,Daily_Working_Do_Not_Delete!W:X,2,0))</f>
        <v/>
      </c>
      <c r="AX44" s="149" t="str">
        <f>IFERROR(VLOOKUP(B44,Daily_Working_Do_Not_Delete!U:V,2,0))</f>
        <v/>
      </c>
      <c r="AY44" s="149" t="str">
        <f>IFERROR(VLOOKUP(B44,Daily_Working_Do_Not_Delete!S:T,2,0))</f>
        <v/>
      </c>
      <c r="AZ44" s="149" t="str">
        <f>IFERROR(VLOOKUP(B44,Daily_Working_Do_Not_Delete!Q:R,2,0))</f>
        <v/>
      </c>
      <c r="BA44" s="149" t="str">
        <f>IFERROR(VLOOKUP(B44,Daily_Working_Do_Not_Delete!O:P,2,0))</f>
        <v/>
      </c>
      <c r="BB44" s="149" t="str">
        <f>IFERROR(VLOOKUP(B44,Daily_Working_Do_Not_Delete!M:N,2,0))</f>
        <v/>
      </c>
      <c r="BC44" s="149" t="str">
        <f>IFERROR(VLOOKUP(B44,Daily_Working_Do_Not_Delete!K:L,2,0))</f>
        <v/>
      </c>
      <c r="BD44" s="149" t="str">
        <f>IFERROR(VLOOKUP(B44,Daily_Working_Do_Not_Delete!I:J,2,0))</f>
        <v/>
      </c>
      <c r="BE44" s="149" t="str">
        <f>IFERROR(VLOOKUP(B44,Daily_Working_Do_Not_Delete!G:H,2,0))</f>
        <v/>
      </c>
      <c r="BF44" s="149" t="str">
        <f>IFERROR(VLOOKUP(B44,Daily_Working_Do_Not_Delete!E:F,2,0))</f>
        <v/>
      </c>
      <c r="BG44" s="149" t="str">
        <f>IFERROR(VLOOKUP(B44,Daily_Working_Do_Not_Delete!C:D,2,0))</f>
        <v/>
      </c>
      <c r="BH44" s="149" t="str">
        <f>IFERROR(VLOOKUP(B44,Daily_Working_Do_Not_Delete!A:B,2,0))</f>
        <v/>
      </c>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row>
    <row r="45">
      <c r="A45" s="146" t="s">
        <v>45</v>
      </c>
      <c r="B45" s="157" t="s">
        <v>424</v>
      </c>
      <c r="C45" s="137" t="s">
        <v>421</v>
      </c>
      <c r="D45" s="148">
        <f t="shared" si="3"/>
        <v>6.328576389</v>
      </c>
      <c r="E45" s="149">
        <f>IFERROR(VLOOKUP(B45,Daily_Working_Do_Not_Delete!DG:DH,2,0))</f>
        <v>2.584456019</v>
      </c>
      <c r="F45" s="149">
        <f>IFERROR(VLOOKUP(B45,Daily_Working_Do_Not_Delete!DE:DF,2,0))</f>
        <v>0.07336805556</v>
      </c>
      <c r="G45" s="149">
        <f>IFERROR(VLOOKUP(B45,Daily_Working_Do_Not_Delete!DC:DD,2,0))</f>
        <v>0.02121527778</v>
      </c>
      <c r="H45" s="149">
        <f>IFERROR(VLOOKUP(B45,Daily_Working_Do_Not_Delete!DA:DB,2,0))</f>
        <v>0.0265625</v>
      </c>
      <c r="I45" s="149">
        <f>IFERROR(VLOOKUP(B45,Daily_Working_Do_Not_Delete!CY:CZ,2,0))</f>
        <v>0.0165625</v>
      </c>
      <c r="J45" s="149">
        <f>IFERROR(VLOOKUP(B45,Daily_Working_Do_Not_Delete!CW:CX,2,0))</f>
        <v>0.03439814815</v>
      </c>
      <c r="K45" s="149">
        <f>IFERROR(VLOOKUP(B45,Daily_Working_Do_Not_Delete!CU:CV,2,0))</f>
        <v>0.07081018519</v>
      </c>
      <c r="L45" s="149">
        <f>IFERROR(VLOOKUP(B45,Daily_Working_Do_Not_Delete!CS:CT,2,0))</f>
        <v>0.04662037037</v>
      </c>
      <c r="M45" s="149">
        <f>IFERROR(VLOOKUP(B45,Daily_Working_Do_Not_Delete!CQ:CR,2,0))</f>
        <v>0.02915509259</v>
      </c>
      <c r="N45" s="149">
        <f>IFERROR(VLOOKUP(B45,Daily_Working_Do_Not_Delete!CO:CP,2,0))</f>
        <v>0.02971064815</v>
      </c>
      <c r="O45" s="149">
        <f>IFERROR(VLOOKUP(B45,Daily_Working_Do_Not_Delete!CM:CN,2,0))</f>
        <v>0.002962962963</v>
      </c>
      <c r="P45" s="149">
        <f>IFERROR(VLOOKUP(B45,Daily_Working_Do_Not_Delete!CK:CL,2,0))</f>
        <v>0.05017361111</v>
      </c>
      <c r="Q45" s="149">
        <f>IFERROR(VLOOKUP(B45,Daily_Working_Do_Not_Delete!CI:CJ,2,0))</f>
        <v>0.08563657407</v>
      </c>
      <c r="R45" s="149">
        <f>IFERROR(VLOOKUP(B45,Daily_Working_Do_Not_Delete!CG:CH,2,0))</f>
        <v>0.03892361111</v>
      </c>
      <c r="S45" s="149">
        <f>IFERROR(VLOOKUP(B45,Daily_Working_Do_Not_Delete!CE:CF,2,0))</f>
        <v>0.02362268519</v>
      </c>
      <c r="T45" s="149">
        <f>IFERROR(VLOOKUP(B45,Daily_Working_Do_Not_Delete!CC:CD,2,0))</f>
        <v>0.07148148148</v>
      </c>
      <c r="U45" s="149">
        <f>IFERROR(VLOOKUP(B45,Daily_Working_Do_Not_Delete!CA:CB,2,0))</f>
        <v>0.1524537037</v>
      </c>
      <c r="V45" s="149">
        <f>IFERROR(VLOOKUP(B45,Daily_Working_Do_Not_Delete!BY:BZ,2,0))</f>
        <v>0.1728125</v>
      </c>
      <c r="W45" s="149">
        <f>IFERROR(VLOOKUP(B45,Daily_Working_Do_Not_Delete!BW:BX,2,0))</f>
        <v>0.05827546296</v>
      </c>
      <c r="X45" s="149">
        <f>IFERROR(VLOOKUP(B45,Daily_Working_Do_Not_Delete!BU:BV,2,0))</f>
        <v>0.01618055556</v>
      </c>
      <c r="Y45" s="149">
        <f>IFERROR(VLOOKUP(B45,Daily_Working_Do_Not_Delete!BS:BT,2,0))</f>
        <v>0.08700231481</v>
      </c>
      <c r="Z45" s="149">
        <f>IFERROR(VLOOKUP(B45,Daily_Working_Do_Not_Delete!BQ:BR,2,0))</f>
        <v>0.05726851852</v>
      </c>
      <c r="AA45" s="149">
        <f>IFERROR(VLOOKUP(B45,Daily_Working_Do_Not_Delete!BO:BP,2,0))</f>
        <v>0.0231712963</v>
      </c>
      <c r="AB45" s="149">
        <f>IFERROR(VLOOKUP(B45,Daily_Working_Do_Not_Delete!BM:BN,2,0))</f>
        <v>0.03054398148</v>
      </c>
      <c r="AC45" s="149">
        <f>IFERROR(VLOOKUP(B45,Daily_Working_Do_Not_Delete!BK:BL,2,0))</f>
        <v>0.1128587963</v>
      </c>
      <c r="AD45" s="149">
        <f>IFERROR(VLOOKUP(B45,Daily_Working_Do_Not_Delete!BI:BJ,2,0))</f>
        <v>0.1319444444</v>
      </c>
      <c r="AE45" s="149">
        <f>IFERROR(VLOOKUP(B45,Daily_Working_Do_Not_Delete!BG:BH,2,0))</f>
        <v>0.2178125</v>
      </c>
      <c r="AF45" s="149">
        <f>IFERROR(VLOOKUP(B45,Daily_Working_Do_Not_Delete!BE:BF,2,0))</f>
        <v>0.1082407407</v>
      </c>
      <c r="AG45" s="149">
        <f>IFERROR(VLOOKUP(B45,Daily_Working_Do_Not_Delete!BC:BD,2,0))</f>
        <v>0.2896875</v>
      </c>
      <c r="AH45" s="149">
        <f>IFERROR(VLOOKUP(B45,Daily_Working_Do_Not_Delete!BA:BB,2,0))</f>
        <v>0.327650463</v>
      </c>
      <c r="AI45" s="149">
        <f>IFERROR(VLOOKUP(B45,Daily_Working_Do_Not_Delete!AY:AZ,2,0))</f>
        <v>0.1868171296</v>
      </c>
      <c r="AJ45" s="149">
        <f>IFERROR(VLOOKUP(B45,Daily_Working_Do_Not_Delete!AW:AX,2,0))</f>
        <v>0.2652314815</v>
      </c>
      <c r="AK45" s="149">
        <f>IFERROR(VLOOKUP(B45,Daily_Working_Do_Not_Delete!AU:AV,2,0))</f>
        <v>0.480474537</v>
      </c>
      <c r="AL45" s="149">
        <f>IFERROR(VLOOKUP(B45,Daily_Working_Do_Not_Delete!AS:AT,2,0))</f>
        <v>0.03890046296</v>
      </c>
      <c r="AM45" s="149">
        <f>IFERROR(VLOOKUP(B45,Daily_Working_Do_Not_Delete!AQ:AR,2,0))</f>
        <v>0.09240740741</v>
      </c>
      <c r="AN45" s="149">
        <f>IFERROR(VLOOKUP(B45,Daily_Working_Do_Not_Delete!AO:AP,2,0))</f>
        <v>0.09668981481</v>
      </c>
      <c r="AO45" s="149">
        <f>IFERROR(VLOOKUP(B45,Daily_Working_Do_Not_Delete!AM:AN,2,0))</f>
        <v>0.01519675926</v>
      </c>
      <c r="AP45" s="149">
        <f>IFERROR(VLOOKUP(B45,Daily_Working_Do_Not_Delete!AK:AL,2,0))</f>
        <v>0.1047222222</v>
      </c>
      <c r="AQ45" s="149">
        <f>IFERROR(VLOOKUP(B45,Daily_Working_Do_Not_Delete!AI:AJ,2,0))</f>
        <v>0.01708333333</v>
      </c>
      <c r="AR45" s="149">
        <f>IFERROR(VLOOKUP(B45,Daily_Working_Do_Not_Delete!AG:AH,2,0))</f>
        <v>0.01395833333</v>
      </c>
      <c r="AS45" s="149">
        <f>IFERROR(VLOOKUP(B45,Daily_Working_Do_Not_Delete!AE:AF,2,0))</f>
        <v>0.009861111111</v>
      </c>
      <c r="AT45" s="149">
        <f>IFERROR(VLOOKUP(B45,Daily_Working_Do_Not_Delete!AC:AD,2,0))</f>
        <v>0.0002083333333</v>
      </c>
      <c r="AU45" s="149" t="str">
        <f>IFERROR(VLOOKUP(B45,Daily_Working_Do_Not_Delete!AA:AB,2,0))</f>
        <v/>
      </c>
      <c r="AV45" s="149" t="str">
        <f>IFERROR(VLOOKUP(B45,Daily_Working_Do_Not_Delete!Y:Z,2,0))</f>
        <v/>
      </c>
      <c r="AW45" s="149">
        <f>IFERROR(VLOOKUP(B45,Daily_Working_Do_Not_Delete!W:X,2,0))</f>
        <v>0.0005787037037</v>
      </c>
      <c r="AX45" s="149">
        <f>IFERROR(VLOOKUP(B45,Daily_Working_Do_Not_Delete!U:V,2,0))</f>
        <v>0.0001967592593</v>
      </c>
      <c r="AY45" s="149" t="str">
        <f>IFERROR(VLOOKUP(B45,Daily_Working_Do_Not_Delete!S:T,2,0))</f>
        <v/>
      </c>
      <c r="AZ45" s="149">
        <f>IFERROR(VLOOKUP(B45,Daily_Working_Do_Not_Delete!Q:R,2,0))</f>
        <v>0.01121527778</v>
      </c>
      <c r="BA45" s="149">
        <f>IFERROR(VLOOKUP(B45,Daily_Working_Do_Not_Delete!O:P,2,0))</f>
        <v>0.002476851852</v>
      </c>
      <c r="BB45" s="149" t="str">
        <f>IFERROR(VLOOKUP(B45,Daily_Working_Do_Not_Delete!M:N,2,0))</f>
        <v/>
      </c>
      <c r="BC45" s="149" t="str">
        <f>IFERROR(VLOOKUP(B45,Daily_Working_Do_Not_Delete!K:L,2,0))</f>
        <v/>
      </c>
      <c r="BD45" s="149" t="str">
        <f>IFERROR(VLOOKUP(B45,Daily_Working_Do_Not_Delete!I:J,2,0))</f>
        <v/>
      </c>
      <c r="BE45" s="149" t="str">
        <f>IFERROR(VLOOKUP(B45,Daily_Working_Do_Not_Delete!G:H,2,0))</f>
        <v/>
      </c>
      <c r="BF45" s="149" t="str">
        <f>IFERROR(VLOOKUP(B45,Daily_Working_Do_Not_Delete!E:F,2,0))</f>
        <v/>
      </c>
      <c r="BG45" s="149">
        <f>IFERROR(VLOOKUP(B45,Daily_Working_Do_Not_Delete!C:D,2,0))</f>
        <v>0.0009953703704</v>
      </c>
      <c r="BH45" s="149" t="str">
        <f>IFERROR(VLOOKUP(B45,Daily_Working_Do_Not_Delete!A:B,2,0))</f>
        <v/>
      </c>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row>
    <row r="46">
      <c r="A46" s="146" t="s">
        <v>69</v>
      </c>
      <c r="B46" s="146" t="s">
        <v>70</v>
      </c>
      <c r="C46" s="137" t="s">
        <v>421</v>
      </c>
      <c r="D46" s="148">
        <f t="shared" si="3"/>
        <v>6.63837963</v>
      </c>
      <c r="E46" s="149">
        <f>IFERROR(VLOOKUP(B46,Daily_Working_Do_Not_Delete!DG:DH,2,0))</f>
        <v>0.9504513889</v>
      </c>
      <c r="F46" s="149">
        <f>IFERROR(VLOOKUP(B46,Daily_Working_Do_Not_Delete!DE:DF,2,0))</f>
        <v>0.06413194444</v>
      </c>
      <c r="G46" s="149">
        <f>IFERROR(VLOOKUP(B46,Daily_Working_Do_Not_Delete!DC:DD,2,0))</f>
        <v>0.08481481481</v>
      </c>
      <c r="H46" s="149">
        <f>IFERROR(VLOOKUP(B46,Daily_Working_Do_Not_Delete!DA:DB,2,0))</f>
        <v>0.5291319444</v>
      </c>
      <c r="I46" s="149">
        <f>IFERROR(VLOOKUP(B46,Daily_Working_Do_Not_Delete!CY:CZ,2,0))</f>
        <v>0.5270833333</v>
      </c>
      <c r="J46" s="149">
        <f>IFERROR(VLOOKUP(B46,Daily_Working_Do_Not_Delete!CW:CX,2,0))</f>
        <v>0.3041435185</v>
      </c>
      <c r="K46" s="149">
        <f>IFERROR(VLOOKUP(B46,Daily_Working_Do_Not_Delete!CU:CV,2,0))</f>
        <v>0.334224537</v>
      </c>
      <c r="L46" s="149">
        <f>IFERROR(VLOOKUP(B46,Daily_Working_Do_Not_Delete!CS:CT,2,0))</f>
        <v>0.3622453704</v>
      </c>
      <c r="M46" s="149">
        <f>IFERROR(VLOOKUP(B46,Daily_Working_Do_Not_Delete!CQ:CR,2,0))</f>
        <v>0.3063078704</v>
      </c>
      <c r="N46" s="149">
        <f>IFERROR(VLOOKUP(B46,Daily_Working_Do_Not_Delete!CO:CP,2,0))</f>
        <v>0.2397569444</v>
      </c>
      <c r="O46" s="149">
        <f>IFERROR(VLOOKUP(B46,Daily_Working_Do_Not_Delete!CM:CN,2,0))</f>
        <v>0.338587963</v>
      </c>
      <c r="P46" s="149">
        <f>IFERROR(VLOOKUP(B46,Daily_Working_Do_Not_Delete!CK:CL,2,0))</f>
        <v>0.4205902778</v>
      </c>
      <c r="Q46" s="149">
        <f>IFERROR(VLOOKUP(B46,Daily_Working_Do_Not_Delete!CI:CJ,2,0))</f>
        <v>0.2246064815</v>
      </c>
      <c r="R46" s="149">
        <f>IFERROR(VLOOKUP(B46,Daily_Working_Do_Not_Delete!CG:CH,2,0))</f>
        <v>0.2291898148</v>
      </c>
      <c r="S46" s="149">
        <f>IFERROR(VLOOKUP(B46,Daily_Working_Do_Not_Delete!CE:CF,2,0))</f>
        <v>0.2474421296</v>
      </c>
      <c r="T46" s="149">
        <f>IFERROR(VLOOKUP(B46,Daily_Working_Do_Not_Delete!CC:CD,2,0))</f>
        <v>0.1267013889</v>
      </c>
      <c r="U46" s="149">
        <f>IFERROR(VLOOKUP(B46,Daily_Working_Do_Not_Delete!CA:CB,2,0))</f>
        <v>0.169212963</v>
      </c>
      <c r="V46" s="149">
        <f>IFERROR(VLOOKUP(B46,Daily_Working_Do_Not_Delete!BY:BZ,2,0))</f>
        <v>0.05626157407</v>
      </c>
      <c r="W46" s="149">
        <f>IFERROR(VLOOKUP(B46,Daily_Working_Do_Not_Delete!BW:BX,2,0))</f>
        <v>0.1205902778</v>
      </c>
      <c r="X46" s="149">
        <f>IFERROR(VLOOKUP(B46,Daily_Working_Do_Not_Delete!BU:BV,2,0))</f>
        <v>0.03293981481</v>
      </c>
      <c r="Y46" s="149">
        <f>IFERROR(VLOOKUP(B46,Daily_Working_Do_Not_Delete!BS:BT,2,0))</f>
        <v>0.1320138889</v>
      </c>
      <c r="Z46" s="149">
        <f>IFERROR(VLOOKUP(B46,Daily_Working_Do_Not_Delete!BQ:BR,2,0))</f>
        <v>0.157662037</v>
      </c>
      <c r="AA46" s="149">
        <f>IFERROR(VLOOKUP(B46,Daily_Working_Do_Not_Delete!BO:BP,2,0))</f>
        <v>0.1030671296</v>
      </c>
      <c r="AB46" s="149">
        <f>IFERROR(VLOOKUP(B46,Daily_Working_Do_Not_Delete!BM:BN,2,0))</f>
        <v>0.1903587963</v>
      </c>
      <c r="AC46" s="149">
        <f>IFERROR(VLOOKUP(B46,Daily_Working_Do_Not_Delete!BK:BL,2,0))</f>
        <v>0.1480787037</v>
      </c>
      <c r="AD46" s="149">
        <f>IFERROR(VLOOKUP(B46,Daily_Working_Do_Not_Delete!BI:BJ,2,0))</f>
        <v>0.04475694444</v>
      </c>
      <c r="AE46" s="149">
        <f>IFERROR(VLOOKUP(B46,Daily_Working_Do_Not_Delete!BG:BH,2,0))</f>
        <v>0.04740740741</v>
      </c>
      <c r="AF46" s="149">
        <f>IFERROR(VLOOKUP(B46,Daily_Working_Do_Not_Delete!BE:BF,2,0))</f>
        <v>0.03770833333</v>
      </c>
      <c r="AG46" s="149">
        <f>IFERROR(VLOOKUP(B46,Daily_Working_Do_Not_Delete!BC:BD,2,0))</f>
        <v>0.01880787037</v>
      </c>
      <c r="AH46" s="149">
        <f>IFERROR(VLOOKUP(B46,Daily_Working_Do_Not_Delete!BA:BB,2,0))</f>
        <v>0.03928240741</v>
      </c>
      <c r="AI46" s="149">
        <f>IFERROR(VLOOKUP(B46,Daily_Working_Do_Not_Delete!AY:AZ,2,0))</f>
        <v>0.01630787037</v>
      </c>
      <c r="AJ46" s="149">
        <f>IFERROR(VLOOKUP(B46,Daily_Working_Do_Not_Delete!AW:AX,2,0))</f>
        <v>0.01644675926</v>
      </c>
      <c r="AK46" s="149" t="str">
        <f>IFERROR(VLOOKUP(B46,Daily_Working_Do_Not_Delete!AU:AV,2,0))</f>
        <v/>
      </c>
      <c r="AL46" s="149" t="str">
        <f>IFERROR(VLOOKUP(B46,Daily_Working_Do_Not_Delete!AS:AT,2,0))</f>
        <v/>
      </c>
      <c r="AM46" s="149" t="str">
        <f>IFERROR(VLOOKUP(B46,Daily_Working_Do_Not_Delete!AQ:AR,2,0))</f>
        <v/>
      </c>
      <c r="AN46" s="149">
        <f>IFERROR(VLOOKUP(B46,Daily_Working_Do_Not_Delete!AO:AP,2,0))</f>
        <v>0.0005555555556</v>
      </c>
      <c r="AO46" s="149" t="str">
        <f>IFERROR(VLOOKUP(B46,Daily_Working_Do_Not_Delete!AM:AN,2,0))</f>
        <v/>
      </c>
      <c r="AP46" s="149" t="str">
        <f>IFERROR(VLOOKUP(B46,Daily_Working_Do_Not_Delete!AK:AL,2,0))</f>
        <v/>
      </c>
      <c r="AQ46" s="149">
        <f>IFERROR(VLOOKUP(B46,Daily_Working_Do_Not_Delete!AI:AJ,2,0))</f>
        <v>0.002106481481</v>
      </c>
      <c r="AR46" s="149" t="str">
        <f>IFERROR(VLOOKUP(B46,Daily_Working_Do_Not_Delete!AG:AH,2,0))</f>
        <v/>
      </c>
      <c r="AS46" s="149" t="str">
        <f>IFERROR(VLOOKUP(B46,Daily_Working_Do_Not_Delete!AE:AF,2,0))</f>
        <v/>
      </c>
      <c r="AT46" s="149" t="str">
        <f>IFERROR(VLOOKUP(B46,Daily_Working_Do_Not_Delete!AC:AD,2,0))</f>
        <v/>
      </c>
      <c r="AU46" s="149" t="str">
        <f>IFERROR(VLOOKUP(B46,Daily_Working_Do_Not_Delete!AA:AB,2,0))</f>
        <v/>
      </c>
      <c r="AV46" s="149">
        <f>IFERROR(VLOOKUP(B46,Daily_Working_Do_Not_Delete!Y:Z,2,0))</f>
        <v>0.01540509259</v>
      </c>
      <c r="AW46" s="149" t="str">
        <f>IFERROR(VLOOKUP(B46,Daily_Working_Do_Not_Delete!W:X,2,0))</f>
        <v/>
      </c>
      <c r="AX46" s="149" t="str">
        <f>IFERROR(VLOOKUP(B46,Daily_Working_Do_Not_Delete!U:V,2,0))</f>
        <v/>
      </c>
      <c r="AY46" s="149" t="str">
        <f>IFERROR(VLOOKUP(B46,Daily_Working_Do_Not_Delete!S:T,2,0))</f>
        <v/>
      </c>
      <c r="AZ46" s="149" t="str">
        <f>IFERROR(VLOOKUP(B46,Daily_Working_Do_Not_Delete!Q:R,2,0))</f>
        <v/>
      </c>
      <c r="BA46" s="149" t="str">
        <f>IFERROR(VLOOKUP(B46,Daily_Working_Do_Not_Delete!O:P,2,0))</f>
        <v/>
      </c>
      <c r="BB46" s="149" t="str">
        <f>IFERROR(VLOOKUP(B46,Daily_Working_Do_Not_Delete!M:N,2,0))</f>
        <v/>
      </c>
      <c r="BC46" s="149" t="str">
        <f>IFERROR(VLOOKUP(B46,Daily_Working_Do_Not_Delete!K:L,2,0))</f>
        <v/>
      </c>
      <c r="BD46" s="149" t="str">
        <f>IFERROR(VLOOKUP(B46,Daily_Working_Do_Not_Delete!I:J,2,0))</f>
        <v/>
      </c>
      <c r="BE46" s="149" t="str">
        <f>IFERROR(VLOOKUP(B46,Daily_Working_Do_Not_Delete!G:H,2,0))</f>
        <v/>
      </c>
      <c r="BF46" s="149" t="str">
        <f>IFERROR(VLOOKUP(B46,Daily_Working_Do_Not_Delete!E:F,2,0))</f>
        <v/>
      </c>
      <c r="BG46" s="149" t="str">
        <f>IFERROR(VLOOKUP(B46,Daily_Working_Do_Not_Delete!C:D,2,0))</f>
        <v/>
      </c>
      <c r="BH46" s="149" t="str">
        <f>IFERROR(VLOOKUP(B46,Daily_Working_Do_Not_Delete!A:B,2,0))</f>
        <v/>
      </c>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row>
    <row r="47">
      <c r="A47" s="146" t="s">
        <v>69</v>
      </c>
      <c r="B47" s="146" t="s">
        <v>71</v>
      </c>
      <c r="C47" s="137" t="s">
        <v>421</v>
      </c>
      <c r="D47" s="148">
        <f t="shared" si="3"/>
        <v>6.181354167</v>
      </c>
      <c r="E47" s="149">
        <f>IFERROR(VLOOKUP(B47,Daily_Working_Do_Not_Delete!DG:DH,2,0))</f>
        <v>1.033738426</v>
      </c>
      <c r="F47" s="149">
        <f>IFERROR(VLOOKUP(B47,Daily_Working_Do_Not_Delete!DE:DF,2,0))</f>
        <v>0.02854166667</v>
      </c>
      <c r="G47" s="149">
        <f>IFERROR(VLOOKUP(B47,Daily_Working_Do_Not_Delete!DC:DD,2,0))</f>
        <v>0.07944444444</v>
      </c>
      <c r="H47" s="149">
        <f>IFERROR(VLOOKUP(B47,Daily_Working_Do_Not_Delete!DA:DB,2,0))</f>
        <v>0.3561111111</v>
      </c>
      <c r="I47" s="149">
        <f>IFERROR(VLOOKUP(B47,Daily_Working_Do_Not_Delete!CY:CZ,2,0))</f>
        <v>0.2369675926</v>
      </c>
      <c r="J47" s="149">
        <f>IFERROR(VLOOKUP(B47,Daily_Working_Do_Not_Delete!CW:CX,2,0))</f>
        <v>0.1110416667</v>
      </c>
      <c r="K47" s="149">
        <f>IFERROR(VLOOKUP(B47,Daily_Working_Do_Not_Delete!CU:CV,2,0))</f>
        <v>0.2945023148</v>
      </c>
      <c r="L47" s="149">
        <f>IFERROR(VLOOKUP(B47,Daily_Working_Do_Not_Delete!CS:CT,2,0))</f>
        <v>0.222974537</v>
      </c>
      <c r="M47" s="149">
        <f>IFERROR(VLOOKUP(B47,Daily_Working_Do_Not_Delete!CQ:CR,2,0))</f>
        <v>0.135625</v>
      </c>
      <c r="N47" s="149">
        <f>IFERROR(VLOOKUP(B47,Daily_Working_Do_Not_Delete!CO:CP,2,0))</f>
        <v>0.2873263889</v>
      </c>
      <c r="O47" s="149">
        <f>IFERROR(VLOOKUP(B47,Daily_Working_Do_Not_Delete!CM:CN,2,0))</f>
        <v>0.3406365741</v>
      </c>
      <c r="P47" s="149">
        <f>IFERROR(VLOOKUP(B47,Daily_Working_Do_Not_Delete!CK:CL,2,0))</f>
        <v>0.2515740741</v>
      </c>
      <c r="Q47" s="149">
        <f>IFERROR(VLOOKUP(B47,Daily_Working_Do_Not_Delete!CI:CJ,2,0))</f>
        <v>0.2462962963</v>
      </c>
      <c r="R47" s="149">
        <f>IFERROR(VLOOKUP(B47,Daily_Working_Do_Not_Delete!CG:CH,2,0))</f>
        <v>0.3806828704</v>
      </c>
      <c r="S47" s="149">
        <f>IFERROR(VLOOKUP(B47,Daily_Working_Do_Not_Delete!CE:CF,2,0))</f>
        <v>0.1326736111</v>
      </c>
      <c r="T47" s="149">
        <f>IFERROR(VLOOKUP(B47,Daily_Working_Do_Not_Delete!CC:CD,2,0))</f>
        <v>0.09494212963</v>
      </c>
      <c r="U47" s="149">
        <f>IFERROR(VLOOKUP(B47,Daily_Working_Do_Not_Delete!CA:CB,2,0))</f>
        <v>0.129212963</v>
      </c>
      <c r="V47" s="149">
        <f>IFERROR(VLOOKUP(B47,Daily_Working_Do_Not_Delete!BY:BZ,2,0))</f>
        <v>0.1011111111</v>
      </c>
      <c r="W47" s="149">
        <f>IFERROR(VLOOKUP(B47,Daily_Working_Do_Not_Delete!BW:BX,2,0))</f>
        <v>0.1400347222</v>
      </c>
      <c r="X47" s="149">
        <f>IFERROR(VLOOKUP(B47,Daily_Working_Do_Not_Delete!BU:BV,2,0))</f>
        <v>0.1180324074</v>
      </c>
      <c r="Y47" s="149">
        <f>IFERROR(VLOOKUP(B47,Daily_Working_Do_Not_Delete!BS:BT,2,0))</f>
        <v>0.2270138889</v>
      </c>
      <c r="Z47" s="149">
        <f>IFERROR(VLOOKUP(B47,Daily_Working_Do_Not_Delete!BQ:BR,2,0))</f>
        <v>0.1456828704</v>
      </c>
      <c r="AA47" s="149">
        <f>IFERROR(VLOOKUP(B47,Daily_Working_Do_Not_Delete!BO:BP,2,0))</f>
        <v>0.2184375</v>
      </c>
      <c r="AB47" s="149">
        <f>IFERROR(VLOOKUP(B47,Daily_Working_Do_Not_Delete!BM:BN,2,0))</f>
        <v>0.2754513889</v>
      </c>
      <c r="AC47" s="149">
        <f>IFERROR(VLOOKUP(B47,Daily_Working_Do_Not_Delete!BK:BL,2,0))</f>
        <v>0.1495601852</v>
      </c>
      <c r="AD47" s="149">
        <f>IFERROR(VLOOKUP(B47,Daily_Working_Do_Not_Delete!BI:BJ,2,0))</f>
        <v>0.08851851852</v>
      </c>
      <c r="AE47" s="149">
        <f>IFERROR(VLOOKUP(B47,Daily_Working_Do_Not_Delete!BG:BH,2,0))</f>
        <v>0.09425925926</v>
      </c>
      <c r="AF47" s="149">
        <f>IFERROR(VLOOKUP(B47,Daily_Working_Do_Not_Delete!BE:BF,2,0))</f>
        <v>0.01887731481</v>
      </c>
      <c r="AG47" s="149">
        <f>IFERROR(VLOOKUP(B47,Daily_Working_Do_Not_Delete!BC:BD,2,0))</f>
        <v>0.1042592593</v>
      </c>
      <c r="AH47" s="149">
        <f>IFERROR(VLOOKUP(B47,Daily_Working_Do_Not_Delete!BA:BB,2,0))</f>
        <v>0.05962962963</v>
      </c>
      <c r="AI47" s="149">
        <f>IFERROR(VLOOKUP(B47,Daily_Working_Do_Not_Delete!AY:AZ,2,0))</f>
        <v>0.02777777778</v>
      </c>
      <c r="AJ47" s="149">
        <f>IFERROR(VLOOKUP(B47,Daily_Working_Do_Not_Delete!AW:AX,2,0))</f>
        <v>0.002164351852</v>
      </c>
      <c r="AK47" s="149">
        <f>IFERROR(VLOOKUP(B47,Daily_Working_Do_Not_Delete!AU:AV,2,0))</f>
        <v>0.002881944444</v>
      </c>
      <c r="AL47" s="149">
        <f>IFERROR(VLOOKUP(B47,Daily_Working_Do_Not_Delete!AS:AT,2,0))</f>
        <v>0</v>
      </c>
      <c r="AM47" s="149" t="str">
        <f>IFERROR(VLOOKUP(B47,Daily_Working_Do_Not_Delete!AQ:AR,2,0))</f>
        <v/>
      </c>
      <c r="AN47" s="149">
        <f>IFERROR(VLOOKUP(B47,Daily_Working_Do_Not_Delete!AO:AP,2,0))</f>
        <v>0.00375</v>
      </c>
      <c r="AO47" s="149">
        <f>IFERROR(VLOOKUP(B47,Daily_Working_Do_Not_Delete!AM:AN,2,0))</f>
        <v>0.001354166667</v>
      </c>
      <c r="AP47" s="149">
        <f>IFERROR(VLOOKUP(B47,Daily_Working_Do_Not_Delete!AK:AL,2,0))</f>
        <v>0.009513888889</v>
      </c>
      <c r="AQ47" s="149">
        <f>IFERROR(VLOOKUP(B47,Daily_Working_Do_Not_Delete!AI:AJ,2,0))</f>
        <v>0.007395833333</v>
      </c>
      <c r="AR47" s="149">
        <f>IFERROR(VLOOKUP(B47,Daily_Working_Do_Not_Delete!AG:AH,2,0))</f>
        <v>0.003020833333</v>
      </c>
      <c r="AS47" s="149">
        <f>IFERROR(VLOOKUP(B47,Daily_Working_Do_Not_Delete!AE:AF,2,0))</f>
        <v>0.002997685185</v>
      </c>
      <c r="AT47" s="149">
        <f>IFERROR(VLOOKUP(B47,Daily_Working_Do_Not_Delete!AC:AD,2,0))</f>
        <v>0.007974537037</v>
      </c>
      <c r="AU47" s="149" t="str">
        <f>IFERROR(VLOOKUP(B47,Daily_Working_Do_Not_Delete!AA:AB,2,0))</f>
        <v/>
      </c>
      <c r="AV47" s="149" t="str">
        <f>IFERROR(VLOOKUP(B47,Daily_Working_Do_Not_Delete!Y:Z,2,0))</f>
        <v/>
      </c>
      <c r="AW47" s="149">
        <f>IFERROR(VLOOKUP(B47,Daily_Working_Do_Not_Delete!W:X,2,0))</f>
        <v>0</v>
      </c>
      <c r="AX47" s="149" t="str">
        <f>IFERROR(VLOOKUP(B47,Daily_Working_Do_Not_Delete!U:V,2,0))</f>
        <v/>
      </c>
      <c r="AY47" s="149" t="str">
        <f>IFERROR(VLOOKUP(B47,Daily_Working_Do_Not_Delete!S:T,2,0))</f>
        <v/>
      </c>
      <c r="AZ47" s="149">
        <f>IFERROR(VLOOKUP(B47,Daily_Working_Do_Not_Delete!Q:R,2,0))</f>
        <v>0.009363425926</v>
      </c>
      <c r="BA47" s="149" t="str">
        <f>IFERROR(VLOOKUP(B47,Daily_Working_Do_Not_Delete!O:P,2,0))</f>
        <v/>
      </c>
      <c r="BB47" s="149" t="str">
        <f>IFERROR(VLOOKUP(B47,Daily_Working_Do_Not_Delete!M:N,2,0))</f>
        <v/>
      </c>
      <c r="BC47" s="149" t="str">
        <f>IFERROR(VLOOKUP(B47,Daily_Working_Do_Not_Delete!K:L,2,0))</f>
        <v/>
      </c>
      <c r="BD47" s="149" t="str">
        <f>IFERROR(VLOOKUP(B47,Daily_Working_Do_Not_Delete!I:J,2,0))</f>
        <v/>
      </c>
      <c r="BE47" s="149" t="str">
        <f>IFERROR(VLOOKUP(B47,Daily_Working_Do_Not_Delete!G:H,2,0))</f>
        <v/>
      </c>
      <c r="BF47" s="149" t="str">
        <f>IFERROR(VLOOKUP(B47,Daily_Working_Do_Not_Delete!E:F,2,0))</f>
        <v/>
      </c>
      <c r="BG47" s="149" t="str">
        <f>IFERROR(VLOOKUP(B47,Daily_Working_Do_Not_Delete!C:D,2,0))</f>
        <v/>
      </c>
      <c r="BH47" s="149" t="str">
        <f>IFERROR(VLOOKUP(B47,Daily_Working_Do_Not_Delete!A:B,2,0))</f>
        <v/>
      </c>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row>
    <row r="48">
      <c r="A48" s="146" t="s">
        <v>35</v>
      </c>
      <c r="B48" s="146" t="s">
        <v>72</v>
      </c>
      <c r="C48" s="137" t="s">
        <v>421</v>
      </c>
      <c r="D48" s="148">
        <f t="shared" si="3"/>
        <v>5.881145833</v>
      </c>
      <c r="E48" s="149">
        <f>IFERROR(VLOOKUP(B48,Daily_Working_Do_Not_Delete!DG:DH,2,0))</f>
        <v>0.9384027778</v>
      </c>
      <c r="F48" s="149">
        <f>IFERROR(VLOOKUP(B48,Daily_Working_Do_Not_Delete!DE:DF,2,0))</f>
        <v>0.023125</v>
      </c>
      <c r="G48" s="149">
        <f>IFERROR(VLOOKUP(B48,Daily_Working_Do_Not_Delete!DC:DD,2,0))</f>
        <v>0.04027777778</v>
      </c>
      <c r="H48" s="149">
        <f>IFERROR(VLOOKUP(B48,Daily_Working_Do_Not_Delete!DA:DB,2,0))</f>
        <v>0.1936458333</v>
      </c>
      <c r="I48" s="149">
        <f>IFERROR(VLOOKUP(B48,Daily_Working_Do_Not_Delete!CY:CZ,2,0))</f>
        <v>0.07769675926</v>
      </c>
      <c r="J48" s="149">
        <f>IFERROR(VLOOKUP(B48,Daily_Working_Do_Not_Delete!CW:CX,2,0))</f>
        <v>0.05649305556</v>
      </c>
      <c r="K48" s="149">
        <f>IFERROR(VLOOKUP(B48,Daily_Working_Do_Not_Delete!CU:CV,2,0))</f>
        <v>0.09061342593</v>
      </c>
      <c r="L48" s="149">
        <f>IFERROR(VLOOKUP(B48,Daily_Working_Do_Not_Delete!CS:CT,2,0))</f>
        <v>0.1231018519</v>
      </c>
      <c r="M48" s="149">
        <f>IFERROR(VLOOKUP(B48,Daily_Working_Do_Not_Delete!CQ:CR,2,0))</f>
        <v>0.06736111111</v>
      </c>
      <c r="N48" s="149">
        <f>IFERROR(VLOOKUP(B48,Daily_Working_Do_Not_Delete!CO:CP,2,0))</f>
        <v>0.01863425926</v>
      </c>
      <c r="O48" s="149">
        <f>IFERROR(VLOOKUP(B48,Daily_Working_Do_Not_Delete!CM:CN,2,0))</f>
        <v>0.04925925926</v>
      </c>
      <c r="P48" s="149">
        <f>IFERROR(VLOOKUP(B48,Daily_Working_Do_Not_Delete!CK:CL,2,0))</f>
        <v>0.1384837963</v>
      </c>
      <c r="Q48" s="149">
        <f>IFERROR(VLOOKUP(B48,Daily_Working_Do_Not_Delete!CI:CJ,2,0))</f>
        <v>0.1218171296</v>
      </c>
      <c r="R48" s="149">
        <f>IFERROR(VLOOKUP(B48,Daily_Working_Do_Not_Delete!CG:CH,2,0))</f>
        <v>0.1585763889</v>
      </c>
      <c r="S48" s="149">
        <f>IFERROR(VLOOKUP(B48,Daily_Working_Do_Not_Delete!CE:CF,2,0))</f>
        <v>0.1802199074</v>
      </c>
      <c r="T48" s="149">
        <f>IFERROR(VLOOKUP(B48,Daily_Working_Do_Not_Delete!CC:CD,2,0))</f>
        <v>0.1986226852</v>
      </c>
      <c r="U48" s="149">
        <f>IFERROR(VLOOKUP(B48,Daily_Working_Do_Not_Delete!CA:CB,2,0))</f>
        <v>0.244375</v>
      </c>
      <c r="V48" s="149">
        <f>IFERROR(VLOOKUP(B48,Daily_Working_Do_Not_Delete!BY:BZ,2,0))</f>
        <v>0.1836458333</v>
      </c>
      <c r="W48" s="149">
        <f>IFERROR(VLOOKUP(B48,Daily_Working_Do_Not_Delete!BW:BX,2,0))</f>
        <v>0.1985300926</v>
      </c>
      <c r="X48" s="149">
        <f>IFERROR(VLOOKUP(B48,Daily_Working_Do_Not_Delete!BU:BV,2,0))</f>
        <v>0.1695486111</v>
      </c>
      <c r="Y48" s="149">
        <f>IFERROR(VLOOKUP(B48,Daily_Working_Do_Not_Delete!BS:BT,2,0))</f>
        <v>0.2360185185</v>
      </c>
      <c r="Z48" s="149">
        <f>IFERROR(VLOOKUP(B48,Daily_Working_Do_Not_Delete!BQ:BR,2,0))</f>
        <v>0.1911805556</v>
      </c>
      <c r="AA48" s="149">
        <f>IFERROR(VLOOKUP(B48,Daily_Working_Do_Not_Delete!BO:BP,2,0))</f>
        <v>0.1141898148</v>
      </c>
      <c r="AB48" s="149">
        <f>IFERROR(VLOOKUP(B48,Daily_Working_Do_Not_Delete!BM:BN,2,0))</f>
        <v>0.1908101852</v>
      </c>
      <c r="AC48" s="149">
        <f>IFERROR(VLOOKUP(B48,Daily_Working_Do_Not_Delete!BK:BL,2,0))</f>
        <v>0.2285069444</v>
      </c>
      <c r="AD48" s="149">
        <f>IFERROR(VLOOKUP(B48,Daily_Working_Do_Not_Delete!BI:BJ,2,0))</f>
        <v>0.2818055556</v>
      </c>
      <c r="AE48" s="149">
        <f>IFERROR(VLOOKUP(B48,Daily_Working_Do_Not_Delete!BG:BH,2,0))</f>
        <v>0.0974537037</v>
      </c>
      <c r="AF48" s="149">
        <f>IFERROR(VLOOKUP(B48,Daily_Working_Do_Not_Delete!BE:BF,2,0))</f>
        <v>0.1797453704</v>
      </c>
      <c r="AG48" s="149">
        <f>IFERROR(VLOOKUP(B48,Daily_Working_Do_Not_Delete!BC:BD,2,0))</f>
        <v>0.1490162037</v>
      </c>
      <c r="AH48" s="149">
        <f>IFERROR(VLOOKUP(B48,Daily_Working_Do_Not_Delete!BA:BB,2,0))</f>
        <v>0.1520949074</v>
      </c>
      <c r="AI48" s="149">
        <f>IFERROR(VLOOKUP(B48,Daily_Working_Do_Not_Delete!AY:AZ,2,0))</f>
        <v>0.05415509259</v>
      </c>
      <c r="AJ48" s="149">
        <f>IFERROR(VLOOKUP(B48,Daily_Working_Do_Not_Delete!AW:AX,2,0))</f>
        <v>0.2594907407</v>
      </c>
      <c r="AK48" s="149">
        <f>IFERROR(VLOOKUP(B48,Daily_Working_Do_Not_Delete!AU:AV,2,0))</f>
        <v>0.07070601852</v>
      </c>
      <c r="AL48" s="149">
        <f>IFERROR(VLOOKUP(B48,Daily_Working_Do_Not_Delete!AS:AT,2,0))</f>
        <v>0.07931712963</v>
      </c>
      <c r="AM48" s="149">
        <f>IFERROR(VLOOKUP(B48,Daily_Working_Do_Not_Delete!AQ:AR,2,0))</f>
        <v>0.02914351852</v>
      </c>
      <c r="AN48" s="149">
        <f>IFERROR(VLOOKUP(B48,Daily_Working_Do_Not_Delete!AO:AP,2,0))</f>
        <v>0.04163194444</v>
      </c>
      <c r="AO48" s="149">
        <f>IFERROR(VLOOKUP(B48,Daily_Working_Do_Not_Delete!AM:AN,2,0))</f>
        <v>0.06299768519</v>
      </c>
      <c r="AP48" s="149">
        <f>IFERROR(VLOOKUP(B48,Daily_Working_Do_Not_Delete!AK:AL,2,0))</f>
        <v>0.06390046296</v>
      </c>
      <c r="AQ48" s="149">
        <f>IFERROR(VLOOKUP(B48,Daily_Working_Do_Not_Delete!AI:AJ,2,0))</f>
        <v>0.05210648148</v>
      </c>
      <c r="AR48" s="149" t="str">
        <f>IFERROR(VLOOKUP(B48,Daily_Working_Do_Not_Delete!AG:AH,2,0))</f>
        <v/>
      </c>
      <c r="AS48" s="149">
        <f>IFERROR(VLOOKUP(B48,Daily_Working_Do_Not_Delete!AE:AF,2,0))</f>
        <v>0</v>
      </c>
      <c r="AT48" s="149">
        <f>IFERROR(VLOOKUP(B48,Daily_Working_Do_Not_Delete!AC:AD,2,0))</f>
        <v>0.04840277778</v>
      </c>
      <c r="AU48" s="149">
        <f>IFERROR(VLOOKUP(B48,Daily_Working_Do_Not_Delete!AA:AB,2,0))</f>
        <v>0.02604166667</v>
      </c>
      <c r="AV48" s="149" t="str">
        <f>IFERROR(VLOOKUP(B48,Daily_Working_Do_Not_Delete!Y:Z,2,0))</f>
        <v/>
      </c>
      <c r="AW48" s="149" t="str">
        <f>IFERROR(VLOOKUP(B48,Daily_Working_Do_Not_Delete!W:X,2,0))</f>
        <v/>
      </c>
      <c r="AX48" s="149" t="str">
        <f>IFERROR(VLOOKUP(B48,Daily_Working_Do_Not_Delete!U:V,2,0))</f>
        <v/>
      </c>
      <c r="AY48" s="149" t="str">
        <f>IFERROR(VLOOKUP(B48,Daily_Working_Do_Not_Delete!S:T,2,0))</f>
        <v/>
      </c>
      <c r="AZ48" s="149" t="str">
        <f>IFERROR(VLOOKUP(B48,Daily_Working_Do_Not_Delete!Q:R,2,0))</f>
        <v/>
      </c>
      <c r="BA48" s="149" t="str">
        <f>IFERROR(VLOOKUP(B48,Daily_Working_Do_Not_Delete!O:P,2,0))</f>
        <v/>
      </c>
      <c r="BB48" s="149" t="str">
        <f>IFERROR(VLOOKUP(B48,Daily_Working_Do_Not_Delete!M:N,2,0))</f>
        <v/>
      </c>
      <c r="BC48" s="149" t="str">
        <f>IFERROR(VLOOKUP(B48,Daily_Working_Do_Not_Delete!K:L,2,0))</f>
        <v/>
      </c>
      <c r="BD48" s="149" t="str">
        <f>IFERROR(VLOOKUP(B48,Daily_Working_Do_Not_Delete!I:J,2,0))</f>
        <v/>
      </c>
      <c r="BE48" s="149" t="str">
        <f>IFERROR(VLOOKUP(B48,Daily_Working_Do_Not_Delete!G:H,2,0))</f>
        <v/>
      </c>
      <c r="BF48" s="149" t="str">
        <f>IFERROR(VLOOKUP(B48,Daily_Working_Do_Not_Delete!E:F,2,0))</f>
        <v/>
      </c>
      <c r="BG48" s="149" t="str">
        <f>IFERROR(VLOOKUP(B48,Daily_Working_Do_Not_Delete!C:D,2,0))</f>
        <v/>
      </c>
      <c r="BH48" s="149" t="str">
        <f>IFERROR(VLOOKUP(B48,Daily_Working_Do_Not_Delete!A:B,2,0))</f>
        <v/>
      </c>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row>
    <row r="49">
      <c r="A49" s="146" t="s">
        <v>35</v>
      </c>
      <c r="B49" s="146" t="s">
        <v>73</v>
      </c>
      <c r="C49" s="137" t="s">
        <v>421</v>
      </c>
      <c r="D49" s="148">
        <f t="shared" si="3"/>
        <v>17.37673611</v>
      </c>
      <c r="E49" s="149">
        <f>IFERROR(VLOOKUP(B49,Daily_Working_Do_Not_Delete!DG:DH,2,0))</f>
        <v>1.926261574</v>
      </c>
      <c r="F49" s="149">
        <f>IFERROR(VLOOKUP(B49,Daily_Working_Do_Not_Delete!DE:DF,2,0))</f>
        <v>0.0128587963</v>
      </c>
      <c r="G49" s="149">
        <f>IFERROR(VLOOKUP(B49,Daily_Working_Do_Not_Delete!DC:DD,2,0))</f>
        <v>0.02471064815</v>
      </c>
      <c r="H49" s="149">
        <f>IFERROR(VLOOKUP(B49,Daily_Working_Do_Not_Delete!DA:DB,2,0))</f>
        <v>0.08113425926</v>
      </c>
      <c r="I49" s="149">
        <f>IFERROR(VLOOKUP(B49,Daily_Working_Do_Not_Delete!CY:CZ,2,0))</f>
        <v>0.09671296296</v>
      </c>
      <c r="J49" s="149">
        <f>IFERROR(VLOOKUP(B49,Daily_Working_Do_Not_Delete!CW:CX,2,0))</f>
        <v>0.001793981481</v>
      </c>
      <c r="K49" s="149">
        <f>IFERROR(VLOOKUP(B49,Daily_Working_Do_Not_Delete!CU:CV,2,0))</f>
        <v>0.06074074074</v>
      </c>
      <c r="L49" s="149">
        <f>IFERROR(VLOOKUP(B49,Daily_Working_Do_Not_Delete!CS:CT,2,0))</f>
        <v>0.04793981481</v>
      </c>
      <c r="M49" s="149">
        <f>IFERROR(VLOOKUP(B49,Daily_Working_Do_Not_Delete!CQ:CR,2,0))</f>
        <v>0.07821759259</v>
      </c>
      <c r="N49" s="149">
        <f>IFERROR(VLOOKUP(B49,Daily_Working_Do_Not_Delete!CO:CP,2,0))</f>
        <v>0.03378472222</v>
      </c>
      <c r="O49" s="149">
        <f>IFERROR(VLOOKUP(B49,Daily_Working_Do_Not_Delete!CM:CN,2,0))</f>
        <v>0.04114583333</v>
      </c>
      <c r="P49" s="149">
        <f>IFERROR(VLOOKUP(B49,Daily_Working_Do_Not_Delete!CK:CL,2,0))</f>
        <v>0.06809027778</v>
      </c>
      <c r="Q49" s="149">
        <f>IFERROR(VLOOKUP(B49,Daily_Working_Do_Not_Delete!CI:CJ,2,0))</f>
        <v>0.03621527778</v>
      </c>
      <c r="R49" s="149">
        <f>IFERROR(VLOOKUP(B49,Daily_Working_Do_Not_Delete!CG:CH,2,0))</f>
        <v>0.08112268519</v>
      </c>
      <c r="S49" s="149">
        <f>IFERROR(VLOOKUP(B49,Daily_Working_Do_Not_Delete!CE:CF,2,0))</f>
        <v>0.1570023148</v>
      </c>
      <c r="T49" s="149">
        <f>IFERROR(VLOOKUP(B49,Daily_Working_Do_Not_Delete!CC:CD,2,0))</f>
        <v>0.1950925926</v>
      </c>
      <c r="U49" s="149">
        <f>IFERROR(VLOOKUP(B49,Daily_Working_Do_Not_Delete!CA:CB,2,0))</f>
        <v>0.07693287037</v>
      </c>
      <c r="V49" s="149">
        <f>IFERROR(VLOOKUP(B49,Daily_Working_Do_Not_Delete!BY:BZ,2,0))</f>
        <v>0.1023032407</v>
      </c>
      <c r="W49" s="149">
        <f>IFERROR(VLOOKUP(B49,Daily_Working_Do_Not_Delete!BW:BX,2,0))</f>
        <v>0.04984953704</v>
      </c>
      <c r="X49" s="149">
        <f>IFERROR(VLOOKUP(B49,Daily_Working_Do_Not_Delete!BU:BV,2,0))</f>
        <v>0.04402777778</v>
      </c>
      <c r="Y49" s="149">
        <f>IFERROR(VLOOKUP(B49,Daily_Working_Do_Not_Delete!BS:BT,2,0))</f>
        <v>0.0787037037</v>
      </c>
      <c r="Z49" s="149">
        <f>IFERROR(VLOOKUP(B49,Daily_Working_Do_Not_Delete!BQ:BR,2,0))</f>
        <v>0.2296412037</v>
      </c>
      <c r="AA49" s="149">
        <f>IFERROR(VLOOKUP(B49,Daily_Working_Do_Not_Delete!BO:BP,2,0))</f>
        <v>0.2193865741</v>
      </c>
      <c r="AB49" s="149">
        <f>IFERROR(VLOOKUP(B49,Daily_Working_Do_Not_Delete!BM:BN,2,0))</f>
        <v>0.2820601852</v>
      </c>
      <c r="AC49" s="149">
        <f>IFERROR(VLOOKUP(B49,Daily_Working_Do_Not_Delete!BK:BL,2,0))</f>
        <v>0.2667939815</v>
      </c>
      <c r="AD49" s="149">
        <f>IFERROR(VLOOKUP(B49,Daily_Working_Do_Not_Delete!BI:BJ,2,0))</f>
        <v>0.2060532407</v>
      </c>
      <c r="AE49" s="149">
        <f>IFERROR(VLOOKUP(B49,Daily_Working_Do_Not_Delete!BG:BH,2,0))</f>
        <v>0.1216435185</v>
      </c>
      <c r="AF49" s="149">
        <f>IFERROR(VLOOKUP(B49,Daily_Working_Do_Not_Delete!BE:BF,2,0))</f>
        <v>0.2121990741</v>
      </c>
      <c r="AG49" s="149">
        <f>IFERROR(VLOOKUP(B49,Daily_Working_Do_Not_Delete!BC:BD,2,0))</f>
        <v>0.6034953704</v>
      </c>
      <c r="AH49" s="149">
        <f>IFERROR(VLOOKUP(B49,Daily_Working_Do_Not_Delete!BA:BB,2,0))</f>
        <v>0.6369907407</v>
      </c>
      <c r="AI49" s="149">
        <f>IFERROR(VLOOKUP(B49,Daily_Working_Do_Not_Delete!AY:AZ,2,0))</f>
        <v>0.9916087963</v>
      </c>
      <c r="AJ49" s="149">
        <f>IFERROR(VLOOKUP(B49,Daily_Working_Do_Not_Delete!AW:AX,2,0))</f>
        <v>1.628090278</v>
      </c>
      <c r="AK49" s="149">
        <f>IFERROR(VLOOKUP(B49,Daily_Working_Do_Not_Delete!AU:AV,2,0))</f>
        <v>1.281412037</v>
      </c>
      <c r="AL49" s="149">
        <f>IFERROR(VLOOKUP(B49,Daily_Working_Do_Not_Delete!AS:AT,2,0))</f>
        <v>0.6174189815</v>
      </c>
      <c r="AM49" s="149">
        <f>IFERROR(VLOOKUP(B49,Daily_Working_Do_Not_Delete!AQ:AR,2,0))</f>
        <v>1.175428241</v>
      </c>
      <c r="AN49" s="149">
        <f>IFERROR(VLOOKUP(B49,Daily_Working_Do_Not_Delete!AO:AP,2,0))</f>
        <v>0.8698032407</v>
      </c>
      <c r="AO49" s="149">
        <f>IFERROR(VLOOKUP(B49,Daily_Working_Do_Not_Delete!AM:AN,2,0))</f>
        <v>0.9590625</v>
      </c>
      <c r="AP49" s="149">
        <f>IFERROR(VLOOKUP(B49,Daily_Working_Do_Not_Delete!AK:AL,2,0))</f>
        <v>1.718842593</v>
      </c>
      <c r="AQ49" s="149">
        <f>IFERROR(VLOOKUP(B49,Daily_Working_Do_Not_Delete!AI:AJ,2,0))</f>
        <v>0.2788425926</v>
      </c>
      <c r="AR49" s="149">
        <f>IFERROR(VLOOKUP(B49,Daily_Working_Do_Not_Delete!AG:AH,2,0))</f>
        <v>0.02850694444</v>
      </c>
      <c r="AS49" s="149">
        <f>IFERROR(VLOOKUP(B49,Daily_Working_Do_Not_Delete!AE:AF,2,0))</f>
        <v>1.70474537</v>
      </c>
      <c r="AT49" s="149">
        <f>IFERROR(VLOOKUP(B49,Daily_Working_Do_Not_Delete!AC:AD,2,0))</f>
        <v>0.03233796296</v>
      </c>
      <c r="AU49" s="149">
        <f>IFERROR(VLOOKUP(B49,Daily_Working_Do_Not_Delete!AA:AB,2,0))</f>
        <v>0.01773148148</v>
      </c>
      <c r="AV49" s="149" t="str">
        <f>IFERROR(VLOOKUP(B49,Daily_Working_Do_Not_Delete!Y:Z,2,0))</f>
        <v/>
      </c>
      <c r="AW49" s="149" t="str">
        <f>IFERROR(VLOOKUP(B49,Daily_Working_Do_Not_Delete!W:X,2,0))</f>
        <v/>
      </c>
      <c r="AX49" s="149" t="str">
        <f>IFERROR(VLOOKUP(B49,Daily_Working_Do_Not_Delete!U:V,2,0))</f>
        <v/>
      </c>
      <c r="AY49" s="149" t="str">
        <f>IFERROR(VLOOKUP(B49,Daily_Working_Do_Not_Delete!S:T,2,0))</f>
        <v/>
      </c>
      <c r="AZ49" s="149">
        <f>IFERROR(VLOOKUP(B49,Daily_Working_Do_Not_Delete!Q:R,2,0))</f>
        <v>0</v>
      </c>
      <c r="BA49" s="149" t="str">
        <f>IFERROR(VLOOKUP(B49,Daily_Working_Do_Not_Delete!O:P,2,0))</f>
        <v/>
      </c>
      <c r="BB49" s="149" t="str">
        <f>IFERROR(VLOOKUP(B49,Daily_Working_Do_Not_Delete!M:N,2,0))</f>
        <v/>
      </c>
      <c r="BC49" s="149" t="str">
        <f>IFERROR(VLOOKUP(B49,Daily_Working_Do_Not_Delete!K:L,2,0))</f>
        <v/>
      </c>
      <c r="BD49" s="149" t="str">
        <f>IFERROR(VLOOKUP(B49,Daily_Working_Do_Not_Delete!I:J,2,0))</f>
        <v/>
      </c>
      <c r="BE49" s="149" t="str">
        <f>IFERROR(VLOOKUP(B49,Daily_Working_Do_Not_Delete!G:H,2,0))</f>
        <v/>
      </c>
      <c r="BF49" s="149" t="str">
        <f>IFERROR(VLOOKUP(B49,Daily_Working_Do_Not_Delete!E:F,2,0))</f>
        <v/>
      </c>
      <c r="BG49" s="149" t="str">
        <f>IFERROR(VLOOKUP(B49,Daily_Working_Do_Not_Delete!C:D,2,0))</f>
        <v/>
      </c>
      <c r="BH49" s="149" t="str">
        <f>IFERROR(VLOOKUP(B49,Daily_Working_Do_Not_Delete!A:B,2,0))</f>
        <v/>
      </c>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row>
    <row r="50">
      <c r="A50" s="146" t="s">
        <v>35</v>
      </c>
      <c r="B50" s="146" t="s">
        <v>74</v>
      </c>
      <c r="C50" s="137" t="s">
        <v>421</v>
      </c>
      <c r="D50" s="148">
        <f t="shared" si="3"/>
        <v>8.169131944</v>
      </c>
      <c r="E50" s="149">
        <f>IFERROR(VLOOKUP(B50,Daily_Working_Do_Not_Delete!DG:DH,2,0))</f>
        <v>1.181041667</v>
      </c>
      <c r="F50" s="149">
        <f>IFERROR(VLOOKUP(B50,Daily_Working_Do_Not_Delete!DE:DF,2,0))</f>
        <v>0.03273148148</v>
      </c>
      <c r="G50" s="149">
        <f>IFERROR(VLOOKUP(B50,Daily_Working_Do_Not_Delete!DC:DD,2,0))</f>
        <v>0.156875</v>
      </c>
      <c r="H50" s="149">
        <f>IFERROR(VLOOKUP(B50,Daily_Working_Do_Not_Delete!DA:DB,2,0))</f>
        <v>0.1238310185</v>
      </c>
      <c r="I50" s="149">
        <f>IFERROR(VLOOKUP(B50,Daily_Working_Do_Not_Delete!CY:CZ,2,0))</f>
        <v>0.1888194444</v>
      </c>
      <c r="J50" s="149">
        <f>IFERROR(VLOOKUP(B50,Daily_Working_Do_Not_Delete!CW:CX,2,0))</f>
        <v>0.1193171296</v>
      </c>
      <c r="K50" s="149">
        <f>IFERROR(VLOOKUP(B50,Daily_Working_Do_Not_Delete!CU:CV,2,0))</f>
        <v>0.1296759259</v>
      </c>
      <c r="L50" s="149">
        <f>IFERROR(VLOOKUP(B50,Daily_Working_Do_Not_Delete!CS:CT,2,0))</f>
        <v>0.09819444444</v>
      </c>
      <c r="M50" s="149">
        <f>IFERROR(VLOOKUP(B50,Daily_Working_Do_Not_Delete!CQ:CR,2,0))</f>
        <v>0.03601851852</v>
      </c>
      <c r="N50" s="149">
        <f>IFERROR(VLOOKUP(B50,Daily_Working_Do_Not_Delete!CO:CP,2,0))</f>
        <v>0.1341666667</v>
      </c>
      <c r="O50" s="149">
        <f>IFERROR(VLOOKUP(B50,Daily_Working_Do_Not_Delete!CM:CN,2,0))</f>
        <v>0.06545138889</v>
      </c>
      <c r="P50" s="149">
        <f>IFERROR(VLOOKUP(B50,Daily_Working_Do_Not_Delete!CK:CL,2,0))</f>
        <v>0.08385416667</v>
      </c>
      <c r="Q50" s="149">
        <f>IFERROR(VLOOKUP(B50,Daily_Working_Do_Not_Delete!CI:CJ,2,0))</f>
        <v>0.02024305556</v>
      </c>
      <c r="R50" s="149">
        <f>IFERROR(VLOOKUP(B50,Daily_Working_Do_Not_Delete!CG:CH,2,0))</f>
        <v>0.09678240741</v>
      </c>
      <c r="S50" s="149">
        <f>IFERROR(VLOOKUP(B50,Daily_Working_Do_Not_Delete!CE:CF,2,0))</f>
        <v>0.36375</v>
      </c>
      <c r="T50" s="149">
        <f>IFERROR(VLOOKUP(B50,Daily_Working_Do_Not_Delete!CC:CD,2,0))</f>
        <v>0.2548032407</v>
      </c>
      <c r="U50" s="149">
        <f>IFERROR(VLOOKUP(B50,Daily_Working_Do_Not_Delete!CA:CB,2,0))</f>
        <v>0.3297337963</v>
      </c>
      <c r="V50" s="149">
        <f>IFERROR(VLOOKUP(B50,Daily_Working_Do_Not_Delete!BY:BZ,2,0))</f>
        <v>0.1591319444</v>
      </c>
      <c r="W50" s="149">
        <f>IFERROR(VLOOKUP(B50,Daily_Working_Do_Not_Delete!BW:BX,2,0))</f>
        <v>0.1351157407</v>
      </c>
      <c r="X50" s="149">
        <f>IFERROR(VLOOKUP(B50,Daily_Working_Do_Not_Delete!BU:BV,2,0))</f>
        <v>0.1418171296</v>
      </c>
      <c r="Y50" s="149">
        <f>IFERROR(VLOOKUP(B50,Daily_Working_Do_Not_Delete!BS:BT,2,0))</f>
        <v>0.1292939815</v>
      </c>
      <c r="Z50" s="149">
        <f>IFERROR(VLOOKUP(B50,Daily_Working_Do_Not_Delete!BQ:BR,2,0))</f>
        <v>0.2448842593</v>
      </c>
      <c r="AA50" s="149">
        <f>IFERROR(VLOOKUP(B50,Daily_Working_Do_Not_Delete!BO:BP,2,0))</f>
        <v>0.1863888889</v>
      </c>
      <c r="AB50" s="149">
        <f>IFERROR(VLOOKUP(B50,Daily_Working_Do_Not_Delete!BM:BN,2,0))</f>
        <v>0.2202777778</v>
      </c>
      <c r="AC50" s="149">
        <f>IFERROR(VLOOKUP(B50,Daily_Working_Do_Not_Delete!BK:BL,2,0))</f>
        <v>0.2929398148</v>
      </c>
      <c r="AD50" s="149">
        <f>IFERROR(VLOOKUP(B50,Daily_Working_Do_Not_Delete!BI:BJ,2,0))</f>
        <v>0.2877083333</v>
      </c>
      <c r="AE50" s="149">
        <f>IFERROR(VLOOKUP(B50,Daily_Working_Do_Not_Delete!BG:BH,2,0))</f>
        <v>0.179537037</v>
      </c>
      <c r="AF50" s="149">
        <f>IFERROR(VLOOKUP(B50,Daily_Working_Do_Not_Delete!BE:BF,2,0))</f>
        <v>0.2876736111</v>
      </c>
      <c r="AG50" s="149">
        <f>IFERROR(VLOOKUP(B50,Daily_Working_Do_Not_Delete!BC:BD,2,0))</f>
        <v>0.4068055556</v>
      </c>
      <c r="AH50" s="149">
        <f>IFERROR(VLOOKUP(B50,Daily_Working_Do_Not_Delete!BA:BB,2,0))</f>
        <v>0.3314814815</v>
      </c>
      <c r="AI50" s="149">
        <f>IFERROR(VLOOKUP(B50,Daily_Working_Do_Not_Delete!AY:AZ,2,0))</f>
        <v>0.2560763889</v>
      </c>
      <c r="AJ50" s="149">
        <f>IFERROR(VLOOKUP(B50,Daily_Working_Do_Not_Delete!AW:AX,2,0))</f>
        <v>0.270474537</v>
      </c>
      <c r="AK50" s="149">
        <f>IFERROR(VLOOKUP(B50,Daily_Working_Do_Not_Delete!AU:AV,2,0))</f>
        <v>0.2653125</v>
      </c>
      <c r="AL50" s="149">
        <f>IFERROR(VLOOKUP(B50,Daily_Working_Do_Not_Delete!AS:AT,2,0))</f>
        <v>0.3113310185</v>
      </c>
      <c r="AM50" s="149">
        <f>IFERROR(VLOOKUP(B50,Daily_Working_Do_Not_Delete!AQ:AR,2,0))</f>
        <v>0.1485648148</v>
      </c>
      <c r="AN50" s="149">
        <f>IFERROR(VLOOKUP(B50,Daily_Working_Do_Not_Delete!AO:AP,2,0))</f>
        <v>0.2543055556</v>
      </c>
      <c r="AO50" s="149">
        <f>IFERROR(VLOOKUP(B50,Daily_Working_Do_Not_Delete!AM:AN,2,0))</f>
        <v>0.08576388889</v>
      </c>
      <c r="AP50" s="149">
        <f>IFERROR(VLOOKUP(B50,Daily_Working_Do_Not_Delete!AK:AL,2,0))</f>
        <v>0.04209490741</v>
      </c>
      <c r="AQ50" s="149">
        <f>IFERROR(VLOOKUP(B50,Daily_Working_Do_Not_Delete!AI:AJ,2,0))</f>
        <v>0.03887731481</v>
      </c>
      <c r="AR50" s="149">
        <f>IFERROR(VLOOKUP(B50,Daily_Working_Do_Not_Delete!AG:AH,2,0))</f>
        <v>0.01190972222</v>
      </c>
      <c r="AS50" s="149">
        <f>IFERROR(VLOOKUP(B50,Daily_Working_Do_Not_Delete!AE:AF,2,0))</f>
        <v>0.0005555555556</v>
      </c>
      <c r="AT50" s="149">
        <f>IFERROR(VLOOKUP(B50,Daily_Working_Do_Not_Delete!AC:AD,2,0))</f>
        <v>0.01475694444</v>
      </c>
      <c r="AU50" s="149">
        <f>IFERROR(VLOOKUP(B50,Daily_Working_Do_Not_Delete!AA:AB,2,0))</f>
        <v>0.04171296296</v>
      </c>
      <c r="AV50" s="149">
        <f>IFERROR(VLOOKUP(B50,Daily_Working_Do_Not_Delete!Y:Z,2,0))</f>
        <v>0.001122685185</v>
      </c>
      <c r="AW50" s="149">
        <f>IFERROR(VLOOKUP(B50,Daily_Working_Do_Not_Delete!W:X,2,0))</f>
        <v>0.005011574074</v>
      </c>
      <c r="AX50" s="149">
        <f>IFERROR(VLOOKUP(B50,Daily_Working_Do_Not_Delete!U:V,2,0))</f>
        <v>0.002916666667</v>
      </c>
      <c r="AY50" s="149" t="str">
        <f>IFERROR(VLOOKUP(B50,Daily_Working_Do_Not_Delete!S:T,2,0))</f>
        <v/>
      </c>
      <c r="AZ50" s="149" t="str">
        <f>IFERROR(VLOOKUP(B50,Daily_Working_Do_Not_Delete!Q:R,2,0))</f>
        <v/>
      </c>
      <c r="BA50" s="149" t="str">
        <f>IFERROR(VLOOKUP(B50,Daily_Working_Do_Not_Delete!O:P,2,0))</f>
        <v/>
      </c>
      <c r="BB50" s="149" t="str">
        <f>IFERROR(VLOOKUP(B50,Daily_Working_Do_Not_Delete!M:N,2,0))</f>
        <v/>
      </c>
      <c r="BC50" s="149" t="str">
        <f>IFERROR(VLOOKUP(B50,Daily_Working_Do_Not_Delete!K:L,2,0))</f>
        <v/>
      </c>
      <c r="BD50" s="149" t="str">
        <f>IFERROR(VLOOKUP(B50,Daily_Working_Do_Not_Delete!I:J,2,0))</f>
        <v/>
      </c>
      <c r="BE50" s="149" t="str">
        <f>IFERROR(VLOOKUP(B50,Daily_Working_Do_Not_Delete!G:H,2,0))</f>
        <v/>
      </c>
      <c r="BF50" s="149" t="str">
        <f>IFERROR(VLOOKUP(B50,Daily_Working_Do_Not_Delete!E:F,2,0))</f>
        <v/>
      </c>
      <c r="BG50" s="149" t="str">
        <f>IFERROR(VLOOKUP(B50,Daily_Working_Do_Not_Delete!C:D,2,0))</f>
        <v/>
      </c>
      <c r="BH50" s="149" t="str">
        <f>IFERROR(VLOOKUP(B50,Daily_Working_Do_Not_Delete!A:B,2,0))</f>
        <v/>
      </c>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row>
    <row r="51">
      <c r="A51" s="146" t="s">
        <v>35</v>
      </c>
      <c r="B51" s="146" t="s">
        <v>75</v>
      </c>
      <c r="C51" s="137" t="s">
        <v>421</v>
      </c>
      <c r="D51" s="148">
        <f t="shared" si="3"/>
        <v>6.654675926</v>
      </c>
      <c r="E51" s="149">
        <f>IFERROR(VLOOKUP(B51,Daily_Working_Do_Not_Delete!DG:DH,2,0))</f>
        <v>1.072569444</v>
      </c>
      <c r="F51" s="149">
        <f>IFERROR(VLOOKUP(B51,Daily_Working_Do_Not_Delete!DE:DF,2,0))</f>
        <v>0.01537037037</v>
      </c>
      <c r="G51" s="149">
        <f>IFERROR(VLOOKUP(B51,Daily_Working_Do_Not_Delete!DC:DD,2,0))</f>
        <v>0.0009027777778</v>
      </c>
      <c r="H51" s="149">
        <f>IFERROR(VLOOKUP(B51,Daily_Working_Do_Not_Delete!DA:DB,2,0))</f>
        <v>0.07087962963</v>
      </c>
      <c r="I51" s="149">
        <f>IFERROR(VLOOKUP(B51,Daily_Working_Do_Not_Delete!CY:CZ,2,0))</f>
        <v>0.01803240741</v>
      </c>
      <c r="J51" s="149">
        <f>IFERROR(VLOOKUP(B51,Daily_Working_Do_Not_Delete!CW:CX,2,0))</f>
        <v>0.02040509259</v>
      </c>
      <c r="K51" s="149">
        <f>IFERROR(VLOOKUP(B51,Daily_Working_Do_Not_Delete!CU:CV,2,0))</f>
        <v>0.06233796296</v>
      </c>
      <c r="L51" s="149">
        <f>IFERROR(VLOOKUP(B51,Daily_Working_Do_Not_Delete!CS:CT,2,0))</f>
        <v>0.06894675926</v>
      </c>
      <c r="M51" s="149">
        <f>IFERROR(VLOOKUP(B51,Daily_Working_Do_Not_Delete!CQ:CR,2,0))</f>
        <v>0.06106481481</v>
      </c>
      <c r="N51" s="149">
        <f>IFERROR(VLOOKUP(B51,Daily_Working_Do_Not_Delete!CO:CP,2,0))</f>
        <v>0.174525463</v>
      </c>
      <c r="O51" s="149">
        <f>IFERROR(VLOOKUP(B51,Daily_Working_Do_Not_Delete!CM:CN,2,0))</f>
        <v>0.1247800926</v>
      </c>
      <c r="P51" s="149">
        <f>IFERROR(VLOOKUP(B51,Daily_Working_Do_Not_Delete!CK:CL,2,0))</f>
        <v>0.1201041667</v>
      </c>
      <c r="Q51" s="149">
        <f>IFERROR(VLOOKUP(B51,Daily_Working_Do_Not_Delete!CI:CJ,2,0))</f>
        <v>0.02353009259</v>
      </c>
      <c r="R51" s="149">
        <f>IFERROR(VLOOKUP(B51,Daily_Working_Do_Not_Delete!CG:CH,2,0))</f>
        <v>0.05655092593</v>
      </c>
      <c r="S51" s="149">
        <f>IFERROR(VLOOKUP(B51,Daily_Working_Do_Not_Delete!CE:CF,2,0))</f>
        <v>0.1846527778</v>
      </c>
      <c r="T51" s="149">
        <f>IFERROR(VLOOKUP(B51,Daily_Working_Do_Not_Delete!CC:CD,2,0))</f>
        <v>0.1384259259</v>
      </c>
      <c r="U51" s="149">
        <f>IFERROR(VLOOKUP(B51,Daily_Working_Do_Not_Delete!CA:CB,2,0))</f>
        <v>0.2234953704</v>
      </c>
      <c r="V51" s="149">
        <f>IFERROR(VLOOKUP(B51,Daily_Working_Do_Not_Delete!BY:BZ,2,0))</f>
        <v>0.03601851852</v>
      </c>
      <c r="W51" s="149">
        <f>IFERROR(VLOOKUP(B51,Daily_Working_Do_Not_Delete!BW:BX,2,0))</f>
        <v>0.1061342593</v>
      </c>
      <c r="X51" s="149">
        <f>IFERROR(VLOOKUP(B51,Daily_Working_Do_Not_Delete!BU:BV,2,0))</f>
        <v>0.05837962963</v>
      </c>
      <c r="Y51" s="149">
        <f>IFERROR(VLOOKUP(B51,Daily_Working_Do_Not_Delete!BS:BT,2,0))</f>
        <v>0.1678935185</v>
      </c>
      <c r="Z51" s="149">
        <f>IFERROR(VLOOKUP(B51,Daily_Working_Do_Not_Delete!BQ:BR,2,0))</f>
        <v>0.2047800926</v>
      </c>
      <c r="AA51" s="149">
        <f>IFERROR(VLOOKUP(B51,Daily_Working_Do_Not_Delete!BO:BP,2,0))</f>
        <v>0.07099537037</v>
      </c>
      <c r="AB51" s="149">
        <f>IFERROR(VLOOKUP(B51,Daily_Working_Do_Not_Delete!BM:BN,2,0))</f>
        <v>0.1552314815</v>
      </c>
      <c r="AC51" s="149">
        <f>IFERROR(VLOOKUP(B51,Daily_Working_Do_Not_Delete!BK:BL,2,0))</f>
        <v>0.2818518519</v>
      </c>
      <c r="AD51" s="149">
        <f>IFERROR(VLOOKUP(B51,Daily_Working_Do_Not_Delete!BI:BJ,2,0))</f>
        <v>0.3319212963</v>
      </c>
      <c r="AE51" s="149">
        <f>IFERROR(VLOOKUP(B51,Daily_Working_Do_Not_Delete!BG:BH,2,0))</f>
        <v>0.1472453704</v>
      </c>
      <c r="AF51" s="149">
        <f>IFERROR(VLOOKUP(B51,Daily_Working_Do_Not_Delete!BE:BF,2,0))</f>
        <v>0.3665740741</v>
      </c>
      <c r="AG51" s="149">
        <f>IFERROR(VLOOKUP(B51,Daily_Working_Do_Not_Delete!BC:BD,2,0))</f>
        <v>0.3669907407</v>
      </c>
      <c r="AH51" s="149">
        <f>IFERROR(VLOOKUP(B51,Daily_Working_Do_Not_Delete!BA:BB,2,0))</f>
        <v>0.2442939815</v>
      </c>
      <c r="AI51" s="149">
        <f>IFERROR(VLOOKUP(B51,Daily_Working_Do_Not_Delete!AY:AZ,2,0))</f>
        <v>0.1000347222</v>
      </c>
      <c r="AJ51" s="149">
        <f>IFERROR(VLOOKUP(B51,Daily_Working_Do_Not_Delete!AW:AX,2,0))</f>
        <v>0.1394444444</v>
      </c>
      <c r="AK51" s="149">
        <f>IFERROR(VLOOKUP(B51,Daily_Working_Do_Not_Delete!AU:AV,2,0))</f>
        <v>0.1024652778</v>
      </c>
      <c r="AL51" s="149">
        <f>IFERROR(VLOOKUP(B51,Daily_Working_Do_Not_Delete!AS:AT,2,0))</f>
        <v>0.104224537</v>
      </c>
      <c r="AM51" s="149">
        <f>IFERROR(VLOOKUP(B51,Daily_Working_Do_Not_Delete!AQ:AR,2,0))</f>
        <v>0.1940856481</v>
      </c>
      <c r="AN51" s="149">
        <f>IFERROR(VLOOKUP(B51,Daily_Working_Do_Not_Delete!AO:AP,2,0))</f>
        <v>0.2277430556</v>
      </c>
      <c r="AO51" s="149">
        <f>IFERROR(VLOOKUP(B51,Daily_Working_Do_Not_Delete!AM:AN,2,0))</f>
        <v>0.1833796296</v>
      </c>
      <c r="AP51" s="149">
        <f>IFERROR(VLOOKUP(B51,Daily_Working_Do_Not_Delete!AK:AL,2,0))</f>
        <v>0.2973611111</v>
      </c>
      <c r="AQ51" s="149">
        <f>IFERROR(VLOOKUP(B51,Daily_Working_Do_Not_Delete!AI:AJ,2,0))</f>
        <v>0.1763425926</v>
      </c>
      <c r="AR51" s="149" t="str">
        <f>IFERROR(VLOOKUP(B51,Daily_Working_Do_Not_Delete!AG:AH,2,0))</f>
        <v/>
      </c>
      <c r="AS51" s="149">
        <f>IFERROR(VLOOKUP(B51,Daily_Working_Do_Not_Delete!AE:AF,2,0))</f>
        <v>0.01572916667</v>
      </c>
      <c r="AT51" s="149">
        <f>IFERROR(VLOOKUP(B51,Daily_Working_Do_Not_Delete!AC:AD,2,0))</f>
        <v>0.007650462963</v>
      </c>
      <c r="AU51" s="149">
        <f>IFERROR(VLOOKUP(B51,Daily_Working_Do_Not_Delete!AA:AB,2,0))</f>
        <v>0.1277546296</v>
      </c>
      <c r="AV51" s="149">
        <f>IFERROR(VLOOKUP(B51,Daily_Working_Do_Not_Delete!Y:Z,2,0))</f>
        <v>0.003576388889</v>
      </c>
      <c r="AW51" s="149" t="str">
        <f>IFERROR(VLOOKUP(B51,Daily_Working_Do_Not_Delete!W:X,2,0))</f>
        <v/>
      </c>
      <c r="AX51" s="149" t="str">
        <f>IFERROR(VLOOKUP(B51,Daily_Working_Do_Not_Delete!U:V,2,0))</f>
        <v/>
      </c>
      <c r="AY51" s="149" t="str">
        <f>IFERROR(VLOOKUP(B51,Daily_Working_Do_Not_Delete!S:T,2,0))</f>
        <v/>
      </c>
      <c r="AZ51" s="149" t="str">
        <f>IFERROR(VLOOKUP(B51,Daily_Working_Do_Not_Delete!Q:R,2,0))</f>
        <v/>
      </c>
      <c r="BA51" s="149" t="str">
        <f>IFERROR(VLOOKUP(B51,Daily_Working_Do_Not_Delete!O:P,2,0))</f>
        <v/>
      </c>
      <c r="BB51" s="149">
        <f>IFERROR(VLOOKUP(B51,Daily_Working_Do_Not_Delete!M:N,2,0))</f>
        <v>0</v>
      </c>
      <c r="BC51" s="149" t="str">
        <f>IFERROR(VLOOKUP(B51,Daily_Working_Do_Not_Delete!K:L,2,0))</f>
        <v/>
      </c>
      <c r="BD51" s="149" t="str">
        <f>IFERROR(VLOOKUP(B51,Daily_Working_Do_Not_Delete!I:J,2,0))</f>
        <v/>
      </c>
      <c r="BE51" s="149" t="str">
        <f>IFERROR(VLOOKUP(B51,Daily_Working_Do_Not_Delete!G:H,2,0))</f>
        <v/>
      </c>
      <c r="BF51" s="149" t="str">
        <f>IFERROR(VLOOKUP(B51,Daily_Working_Do_Not_Delete!E:F,2,0))</f>
        <v/>
      </c>
      <c r="BG51" s="149" t="str">
        <f>IFERROR(VLOOKUP(B51,Daily_Working_Do_Not_Delete!C:D,2,0))</f>
        <v/>
      </c>
      <c r="BH51" s="149" t="str">
        <f>IFERROR(VLOOKUP(B51,Daily_Working_Do_Not_Delete!A:B,2,0))</f>
        <v/>
      </c>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row>
    <row r="52">
      <c r="A52" s="146" t="s">
        <v>35</v>
      </c>
      <c r="B52" s="146" t="s">
        <v>425</v>
      </c>
      <c r="C52" s="137" t="s">
        <v>421</v>
      </c>
      <c r="D52" s="148">
        <f t="shared" si="3"/>
        <v>8.003125</v>
      </c>
      <c r="E52" s="149">
        <f>IFERROR(VLOOKUP(B52,Daily_Working_Do_Not_Delete!DG:DH,2,0))</f>
        <v>2.747025463</v>
      </c>
      <c r="F52" s="149">
        <f>IFERROR(VLOOKUP(B52,Daily_Working_Do_Not_Delete!DE:DF,2,0))</f>
        <v>0.02454861111</v>
      </c>
      <c r="G52" s="149">
        <f>IFERROR(VLOOKUP(B52,Daily_Working_Do_Not_Delete!DC:DD,2,0))</f>
        <v>0.02454861111</v>
      </c>
      <c r="H52" s="149">
        <f>IFERROR(VLOOKUP(B52,Daily_Working_Do_Not_Delete!DA:DB,2,0))</f>
        <v>0.1331597222</v>
      </c>
      <c r="I52" s="149">
        <f>IFERROR(VLOOKUP(B52,Daily_Working_Do_Not_Delete!CY:CZ,2,0))</f>
        <v>0.06929398148</v>
      </c>
      <c r="J52" s="149">
        <f>IFERROR(VLOOKUP(B52,Daily_Working_Do_Not_Delete!CW:CX,2,0))</f>
        <v>0.0002199074074</v>
      </c>
      <c r="K52" s="149">
        <f>IFERROR(VLOOKUP(B52,Daily_Working_Do_Not_Delete!CU:CV,2,0))</f>
        <v>0.09336805556</v>
      </c>
      <c r="L52" s="149">
        <f>IFERROR(VLOOKUP(B52,Daily_Working_Do_Not_Delete!CS:CT,2,0))</f>
        <v>0.06346064815</v>
      </c>
      <c r="M52" s="149">
        <f>IFERROR(VLOOKUP(B52,Daily_Working_Do_Not_Delete!CQ:CR,2,0))</f>
        <v>0.06565972222</v>
      </c>
      <c r="N52" s="149">
        <f>IFERROR(VLOOKUP(B52,Daily_Working_Do_Not_Delete!CO:CP,2,0))</f>
        <v>0.07172453704</v>
      </c>
      <c r="O52" s="149">
        <f>IFERROR(VLOOKUP(B52,Daily_Working_Do_Not_Delete!CM:CN,2,0))</f>
        <v>0.05878472222</v>
      </c>
      <c r="P52" s="149">
        <f>IFERROR(VLOOKUP(B52,Daily_Working_Do_Not_Delete!CK:CL,2,0))</f>
        <v>0.05855324074</v>
      </c>
      <c r="Q52" s="149">
        <f>IFERROR(VLOOKUP(B52,Daily_Working_Do_Not_Delete!CI:CJ,2,0))</f>
        <v>0.0146875</v>
      </c>
      <c r="R52" s="149">
        <f>IFERROR(VLOOKUP(B52,Daily_Working_Do_Not_Delete!CG:CH,2,0))</f>
        <v>0.04835648148</v>
      </c>
      <c r="S52" s="149">
        <f>IFERROR(VLOOKUP(B52,Daily_Working_Do_Not_Delete!CE:CF,2,0))</f>
        <v>0.07041666667</v>
      </c>
      <c r="T52" s="149">
        <f>IFERROR(VLOOKUP(B52,Daily_Working_Do_Not_Delete!CC:CD,2,0))</f>
        <v>0.1481944444</v>
      </c>
      <c r="U52" s="149">
        <f>IFERROR(VLOOKUP(B52,Daily_Working_Do_Not_Delete!CA:CB,2,0))</f>
        <v>0.07642361111</v>
      </c>
      <c r="V52" s="149">
        <f>IFERROR(VLOOKUP(B52,Daily_Working_Do_Not_Delete!BY:BZ,2,0))</f>
        <v>0.0505787037</v>
      </c>
      <c r="W52" s="149">
        <f>IFERROR(VLOOKUP(B52,Daily_Working_Do_Not_Delete!BW:BX,2,0))</f>
        <v>0.1103125</v>
      </c>
      <c r="X52" s="149">
        <f>IFERROR(VLOOKUP(B52,Daily_Working_Do_Not_Delete!BU:BV,2,0))</f>
        <v>0.02518518519</v>
      </c>
      <c r="Y52" s="149">
        <f>IFERROR(VLOOKUP(B52,Daily_Working_Do_Not_Delete!BS:BT,2,0))</f>
        <v>0.1000925926</v>
      </c>
      <c r="Z52" s="149">
        <f>IFERROR(VLOOKUP(B52,Daily_Working_Do_Not_Delete!BQ:BR,2,0))</f>
        <v>0.1823842593</v>
      </c>
      <c r="AA52" s="149">
        <f>IFERROR(VLOOKUP(B52,Daily_Working_Do_Not_Delete!BO:BP,2,0))</f>
        <v>0.1156828704</v>
      </c>
      <c r="AB52" s="149">
        <f>IFERROR(VLOOKUP(B52,Daily_Working_Do_Not_Delete!BM:BN,2,0))</f>
        <v>0.07946759259</v>
      </c>
      <c r="AC52" s="149">
        <f>IFERROR(VLOOKUP(B52,Daily_Working_Do_Not_Delete!BK:BL,2,0))</f>
        <v>0.08980324074</v>
      </c>
      <c r="AD52" s="149">
        <f>IFERROR(VLOOKUP(B52,Daily_Working_Do_Not_Delete!BI:BJ,2,0))</f>
        <v>0.1976273148</v>
      </c>
      <c r="AE52" s="149">
        <f>IFERROR(VLOOKUP(B52,Daily_Working_Do_Not_Delete!BG:BH,2,0))</f>
        <v>0.04489583333</v>
      </c>
      <c r="AF52" s="149">
        <f>IFERROR(VLOOKUP(B52,Daily_Working_Do_Not_Delete!BE:BF,2,0))</f>
        <v>0.1684375</v>
      </c>
      <c r="AG52" s="149">
        <f>IFERROR(VLOOKUP(B52,Daily_Working_Do_Not_Delete!BC:BD,2,0))</f>
        <v>0.1144212963</v>
      </c>
      <c r="AH52" s="149">
        <f>IFERROR(VLOOKUP(B52,Daily_Working_Do_Not_Delete!BA:BB,2,0))</f>
        <v>0.2782986111</v>
      </c>
      <c r="AI52" s="149">
        <f>IFERROR(VLOOKUP(B52,Daily_Working_Do_Not_Delete!AY:AZ,2,0))</f>
        <v>0.1332638889</v>
      </c>
      <c r="AJ52" s="149">
        <f>IFERROR(VLOOKUP(B52,Daily_Working_Do_Not_Delete!AW:AX,2,0))</f>
        <v>0.09430555556</v>
      </c>
      <c r="AK52" s="149">
        <f>IFERROR(VLOOKUP(B52,Daily_Working_Do_Not_Delete!AU:AV,2,0))</f>
        <v>0.3763078704</v>
      </c>
      <c r="AL52" s="149">
        <f>IFERROR(VLOOKUP(B52,Daily_Working_Do_Not_Delete!AS:AT,2,0))</f>
        <v>0.52375</v>
      </c>
      <c r="AM52" s="149">
        <f>IFERROR(VLOOKUP(B52,Daily_Working_Do_Not_Delete!AQ:AR,2,0))</f>
        <v>0.718275463</v>
      </c>
      <c r="AN52" s="149">
        <f>IFERROR(VLOOKUP(B52,Daily_Working_Do_Not_Delete!AO:AP,2,0))</f>
        <v>0.4161574074</v>
      </c>
      <c r="AO52" s="149">
        <f>IFERROR(VLOOKUP(B52,Daily_Working_Do_Not_Delete!AM:AN,2,0))</f>
        <v>0.09725694444</v>
      </c>
      <c r="AP52" s="149">
        <f>IFERROR(VLOOKUP(B52,Daily_Working_Do_Not_Delete!AK:AL,2,0))</f>
        <v>0.1086805556</v>
      </c>
      <c r="AQ52" s="149">
        <f>IFERROR(VLOOKUP(B52,Daily_Working_Do_Not_Delete!AI:AJ,2,0))</f>
        <v>0.06659722222</v>
      </c>
      <c r="AR52" s="149">
        <f>IFERROR(VLOOKUP(B52,Daily_Working_Do_Not_Delete!AG:AH,2,0))</f>
        <v>0.0001851851852</v>
      </c>
      <c r="AS52" s="149">
        <f>IFERROR(VLOOKUP(B52,Daily_Working_Do_Not_Delete!AE:AF,2,0))</f>
        <v>0.02003472222</v>
      </c>
      <c r="AT52" s="149">
        <f>IFERROR(VLOOKUP(B52,Daily_Working_Do_Not_Delete!AC:AD,2,0))</f>
        <v>0.05935185185</v>
      </c>
      <c r="AU52" s="149">
        <f>IFERROR(VLOOKUP(B52,Daily_Working_Do_Not_Delete!AA:AB,2,0))</f>
        <v>0.03443287037</v>
      </c>
      <c r="AV52" s="149">
        <f>IFERROR(VLOOKUP(B52,Daily_Working_Do_Not_Delete!Y:Z,2,0))</f>
        <v>0.01061342593</v>
      </c>
      <c r="AW52" s="149" t="str">
        <f>IFERROR(VLOOKUP(B52,Daily_Working_Do_Not_Delete!W:X,2,0))</f>
        <v/>
      </c>
      <c r="AX52" s="149" t="str">
        <f>IFERROR(VLOOKUP(B52,Daily_Working_Do_Not_Delete!U:V,2,0))</f>
        <v/>
      </c>
      <c r="AY52" s="149" t="str">
        <f>IFERROR(VLOOKUP(B52,Daily_Working_Do_Not_Delete!S:T,2,0))</f>
        <v/>
      </c>
      <c r="AZ52" s="149">
        <f>IFERROR(VLOOKUP(B52,Daily_Working_Do_Not_Delete!Q:R,2,0))</f>
        <v>0.008703703704</v>
      </c>
      <c r="BA52" s="149">
        <f>IFERROR(VLOOKUP(B52,Daily_Working_Do_Not_Delete!O:P,2,0))</f>
        <v>0.009594907407</v>
      </c>
      <c r="BB52" s="149" t="str">
        <f>IFERROR(VLOOKUP(B52,Daily_Working_Do_Not_Delete!M:N,2,0))</f>
        <v/>
      </c>
      <c r="BC52" s="149" t="str">
        <f>IFERROR(VLOOKUP(B52,Daily_Working_Do_Not_Delete!K:L,2,0))</f>
        <v/>
      </c>
      <c r="BD52" s="149" t="str">
        <f>IFERROR(VLOOKUP(B52,Daily_Working_Do_Not_Delete!I:J,2,0))</f>
        <v/>
      </c>
      <c r="BE52" s="149" t="str">
        <f>IFERROR(VLOOKUP(B52,Daily_Working_Do_Not_Delete!G:H,2,0))</f>
        <v/>
      </c>
      <c r="BF52" s="149" t="str">
        <f>IFERROR(VLOOKUP(B52,Daily_Working_Do_Not_Delete!E:F,2,0))</f>
        <v/>
      </c>
      <c r="BG52" s="149" t="str">
        <f>IFERROR(VLOOKUP(B52,Daily_Working_Do_Not_Delete!C:D,2,0))</f>
        <v/>
      </c>
      <c r="BH52" s="149" t="str">
        <f>IFERROR(VLOOKUP(B52,Daily_Working_Do_Not_Delete!A:B,2,0))</f>
        <v/>
      </c>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row>
    <row r="53">
      <c r="A53" s="146" t="s">
        <v>35</v>
      </c>
      <c r="B53" s="146" t="s">
        <v>42</v>
      </c>
      <c r="C53" s="137" t="s">
        <v>421</v>
      </c>
      <c r="D53" s="148">
        <f t="shared" si="3"/>
        <v>6.716180556</v>
      </c>
      <c r="E53" s="149">
        <f>IFERROR(VLOOKUP(B53,Daily_Working_Do_Not_Delete!DG:DH,2,0))</f>
        <v>1.111435185</v>
      </c>
      <c r="F53" s="149">
        <f>IFERROR(VLOOKUP(B53,Daily_Working_Do_Not_Delete!DE:DF,2,0))</f>
        <v>0.002638888889</v>
      </c>
      <c r="G53" s="149">
        <f>IFERROR(VLOOKUP(B53,Daily_Working_Do_Not_Delete!DC:DD,2,0))</f>
        <v>0.009513888889</v>
      </c>
      <c r="H53" s="149">
        <f>IFERROR(VLOOKUP(B53,Daily_Working_Do_Not_Delete!DA:DB,2,0))</f>
        <v>0.07997685185</v>
      </c>
      <c r="I53" s="149">
        <f>IFERROR(VLOOKUP(B53,Daily_Working_Do_Not_Delete!CY:CZ,2,0))</f>
        <v>0.08403935185</v>
      </c>
      <c r="J53" s="149">
        <f>IFERROR(VLOOKUP(B53,Daily_Working_Do_Not_Delete!CW:CX,2,0))</f>
        <v>0</v>
      </c>
      <c r="K53" s="149">
        <f>IFERROR(VLOOKUP(B53,Daily_Working_Do_Not_Delete!CU:CV,2,0))</f>
        <v>0.07158564815</v>
      </c>
      <c r="L53" s="149">
        <f>IFERROR(VLOOKUP(B53,Daily_Working_Do_Not_Delete!CS:CT,2,0))</f>
        <v>0.0640625</v>
      </c>
      <c r="M53" s="149">
        <f>IFERROR(VLOOKUP(B53,Daily_Working_Do_Not_Delete!CQ:CR,2,0))</f>
        <v>0.02832175926</v>
      </c>
      <c r="N53" s="149">
        <f>IFERROR(VLOOKUP(B53,Daily_Working_Do_Not_Delete!CO:CP,2,0))</f>
        <v>0.07586805556</v>
      </c>
      <c r="O53" s="149">
        <f>IFERROR(VLOOKUP(B53,Daily_Working_Do_Not_Delete!CM:CN,2,0))</f>
        <v>0.1230092593</v>
      </c>
      <c r="P53" s="149">
        <f>IFERROR(VLOOKUP(B53,Daily_Working_Do_Not_Delete!CK:CL,2,0))</f>
        <v>0.1986458333</v>
      </c>
      <c r="Q53" s="149">
        <f>IFERROR(VLOOKUP(B53,Daily_Working_Do_Not_Delete!CI:CJ,2,0))</f>
        <v>0.005462962963</v>
      </c>
      <c r="R53" s="149">
        <f>IFERROR(VLOOKUP(B53,Daily_Working_Do_Not_Delete!CG:CH,2,0))</f>
        <v>0.07734953704</v>
      </c>
      <c r="S53" s="149">
        <f>IFERROR(VLOOKUP(B53,Daily_Working_Do_Not_Delete!CE:CF,2,0))</f>
        <v>0.1407175926</v>
      </c>
      <c r="T53" s="149">
        <f>IFERROR(VLOOKUP(B53,Daily_Working_Do_Not_Delete!CC:CD,2,0))</f>
        <v>0.0844212963</v>
      </c>
      <c r="U53" s="149">
        <f>IFERROR(VLOOKUP(B53,Daily_Working_Do_Not_Delete!CA:CB,2,0))</f>
        <v>0.05010416667</v>
      </c>
      <c r="V53" s="149">
        <f>IFERROR(VLOOKUP(B53,Daily_Working_Do_Not_Delete!BY:BZ,2,0))</f>
        <v>0.1381018519</v>
      </c>
      <c r="W53" s="149">
        <f>IFERROR(VLOOKUP(B53,Daily_Working_Do_Not_Delete!BW:BX,2,0))</f>
        <v>0.123900463</v>
      </c>
      <c r="X53" s="149">
        <f>IFERROR(VLOOKUP(B53,Daily_Working_Do_Not_Delete!BU:BV,2,0))</f>
        <v>0.02315972222</v>
      </c>
      <c r="Y53" s="149">
        <f>IFERROR(VLOOKUP(B53,Daily_Working_Do_Not_Delete!BS:BT,2,0))</f>
        <v>0.1505902778</v>
      </c>
      <c r="Z53" s="149">
        <f>IFERROR(VLOOKUP(B53,Daily_Working_Do_Not_Delete!BQ:BR,2,0))</f>
        <v>0.1513541667</v>
      </c>
      <c r="AA53" s="149">
        <f>IFERROR(VLOOKUP(B53,Daily_Working_Do_Not_Delete!BO:BP,2,0))</f>
        <v>0.06728009259</v>
      </c>
      <c r="AB53" s="149">
        <f>IFERROR(VLOOKUP(B53,Daily_Working_Do_Not_Delete!BM:BN,2,0))</f>
        <v>0.2200810185</v>
      </c>
      <c r="AC53" s="149">
        <f>IFERROR(VLOOKUP(B53,Daily_Working_Do_Not_Delete!BK:BL,2,0))</f>
        <v>0.228275463</v>
      </c>
      <c r="AD53" s="149">
        <f>IFERROR(VLOOKUP(B53,Daily_Working_Do_Not_Delete!BI:BJ,2,0))</f>
        <v>0.2583217593</v>
      </c>
      <c r="AE53" s="149">
        <f>IFERROR(VLOOKUP(B53,Daily_Working_Do_Not_Delete!BG:BH,2,0))</f>
        <v>0.1605902778</v>
      </c>
      <c r="AF53" s="149">
        <f>IFERROR(VLOOKUP(B53,Daily_Working_Do_Not_Delete!BE:BF,2,0))</f>
        <v>0.3183680556</v>
      </c>
      <c r="AG53" s="149">
        <f>IFERROR(VLOOKUP(B53,Daily_Working_Do_Not_Delete!BC:BD,2,0))</f>
        <v>0.2594675926</v>
      </c>
      <c r="AH53" s="149">
        <f>IFERROR(VLOOKUP(B53,Daily_Working_Do_Not_Delete!BA:BB,2,0))</f>
        <v>0.2882060185</v>
      </c>
      <c r="AI53" s="149">
        <f>IFERROR(VLOOKUP(B53,Daily_Working_Do_Not_Delete!AY:AZ,2,0))</f>
        <v>0.4963541667</v>
      </c>
      <c r="AJ53" s="149">
        <f>IFERROR(VLOOKUP(B53,Daily_Working_Do_Not_Delete!AW:AX,2,0))</f>
        <v>0.3191319444</v>
      </c>
      <c r="AK53" s="149">
        <f>IFERROR(VLOOKUP(B53,Daily_Working_Do_Not_Delete!AU:AV,2,0))</f>
        <v>0.3445486111</v>
      </c>
      <c r="AL53" s="149">
        <f>IFERROR(VLOOKUP(B53,Daily_Working_Do_Not_Delete!AS:AT,2,0))</f>
        <v>0.1794675926</v>
      </c>
      <c r="AM53" s="149">
        <f>IFERROR(VLOOKUP(B53,Daily_Working_Do_Not_Delete!AQ:AR,2,0))</f>
        <v>0.2643287037</v>
      </c>
      <c r="AN53" s="149">
        <f>IFERROR(VLOOKUP(B53,Daily_Working_Do_Not_Delete!AO:AP,2,0))</f>
        <v>0.2195601852</v>
      </c>
      <c r="AO53" s="149">
        <f>IFERROR(VLOOKUP(B53,Daily_Working_Do_Not_Delete!AM:AN,2,0))</f>
        <v>0.0747337963</v>
      </c>
      <c r="AP53" s="149">
        <f>IFERROR(VLOOKUP(B53,Daily_Working_Do_Not_Delete!AK:AL,2,0))</f>
        <v>0.04123842593</v>
      </c>
      <c r="AQ53" s="149">
        <f>IFERROR(VLOOKUP(B53,Daily_Working_Do_Not_Delete!AI:AJ,2,0))</f>
        <v>0.01478009259</v>
      </c>
      <c r="AR53" s="149" t="str">
        <f>IFERROR(VLOOKUP(B53,Daily_Working_Do_Not_Delete!AG:AH,2,0))</f>
        <v/>
      </c>
      <c r="AS53" s="149">
        <f>IFERROR(VLOOKUP(B53,Daily_Working_Do_Not_Delete!AE:AF,2,0))</f>
        <v>0.01520833333</v>
      </c>
      <c r="AT53" s="149">
        <f>IFERROR(VLOOKUP(B53,Daily_Working_Do_Not_Delete!AC:AD,2,0))</f>
        <v>0.03219907407</v>
      </c>
      <c r="AU53" s="149">
        <f>IFERROR(VLOOKUP(B53,Daily_Working_Do_Not_Delete!AA:AB,2,0))</f>
        <v>0.1186458333</v>
      </c>
      <c r="AV53" s="149" t="str">
        <f>IFERROR(VLOOKUP(B53,Daily_Working_Do_Not_Delete!Y:Z,2,0))</f>
        <v/>
      </c>
      <c r="AW53" s="149" t="str">
        <f>IFERROR(VLOOKUP(B53,Daily_Working_Do_Not_Delete!W:X,2,0))</f>
        <v/>
      </c>
      <c r="AX53" s="149">
        <f>IFERROR(VLOOKUP(B53,Daily_Working_Do_Not_Delete!U:V,2,0))</f>
        <v>0.001134259259</v>
      </c>
      <c r="AY53" s="149" t="str">
        <f>IFERROR(VLOOKUP(B53,Daily_Working_Do_Not_Delete!S:T,2,0))</f>
        <v/>
      </c>
      <c r="AZ53" s="149" t="str">
        <f>IFERROR(VLOOKUP(B53,Daily_Working_Do_Not_Delete!Q:R,2,0))</f>
        <v/>
      </c>
      <c r="BA53" s="149" t="str">
        <f>IFERROR(VLOOKUP(B53,Daily_Working_Do_Not_Delete!O:P,2,0))</f>
        <v/>
      </c>
      <c r="BB53" s="149" t="str">
        <f>IFERROR(VLOOKUP(B53,Daily_Working_Do_Not_Delete!M:N,2,0))</f>
        <v/>
      </c>
      <c r="BC53" s="149" t="str">
        <f>IFERROR(VLOOKUP(B53,Daily_Working_Do_Not_Delete!K:L,2,0))</f>
        <v/>
      </c>
      <c r="BD53" s="149" t="str">
        <f>IFERROR(VLOOKUP(B53,Daily_Working_Do_Not_Delete!I:J,2,0))</f>
        <v/>
      </c>
      <c r="BE53" s="149" t="str">
        <f>IFERROR(VLOOKUP(B53,Daily_Working_Do_Not_Delete!G:H,2,0))</f>
        <v/>
      </c>
      <c r="BF53" s="149" t="str">
        <f>IFERROR(VLOOKUP(B53,Daily_Working_Do_Not_Delete!E:F,2,0))</f>
        <v/>
      </c>
      <c r="BG53" s="149" t="str">
        <f>IFERROR(VLOOKUP(B53,Daily_Working_Do_Not_Delete!C:D,2,0))</f>
        <v/>
      </c>
      <c r="BH53" s="149" t="str">
        <f>IFERROR(VLOOKUP(B53,Daily_Working_Do_Not_Delete!A:B,2,0))</f>
        <v/>
      </c>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row>
    <row r="54">
      <c r="A54" s="146" t="s">
        <v>35</v>
      </c>
      <c r="B54" s="146" t="s">
        <v>80</v>
      </c>
      <c r="C54" s="137" t="s">
        <v>421</v>
      </c>
      <c r="D54" s="148">
        <f t="shared" si="3"/>
        <v>5.932638889</v>
      </c>
      <c r="E54" s="149">
        <f>IFERROR(VLOOKUP(B54,Daily_Working_Do_Not_Delete!DG:DH,2,0))</f>
        <v>0.4395949074</v>
      </c>
      <c r="F54" s="149">
        <f>IFERROR(VLOOKUP(B54,Daily_Working_Do_Not_Delete!DE:DF,2,0))</f>
        <v>0.03234953704</v>
      </c>
      <c r="G54" s="149">
        <f>IFERROR(VLOOKUP(B54,Daily_Working_Do_Not_Delete!DC:DD,2,0))</f>
        <v>0.02505787037</v>
      </c>
      <c r="H54" s="149">
        <f>IFERROR(VLOOKUP(B54,Daily_Working_Do_Not_Delete!DA:DB,2,0))</f>
        <v>0.1057407407</v>
      </c>
      <c r="I54" s="149">
        <f>IFERROR(VLOOKUP(B54,Daily_Working_Do_Not_Delete!CY:CZ,2,0))</f>
        <v>0.07298611111</v>
      </c>
      <c r="J54" s="149">
        <f>IFERROR(VLOOKUP(B54,Daily_Working_Do_Not_Delete!CW:CX,2,0))</f>
        <v>0.01503472222</v>
      </c>
      <c r="K54" s="149">
        <f>IFERROR(VLOOKUP(B54,Daily_Working_Do_Not_Delete!CU:CV,2,0))</f>
        <v>0.04383101852</v>
      </c>
      <c r="L54" s="149">
        <f>IFERROR(VLOOKUP(B54,Daily_Working_Do_Not_Delete!CS:CT,2,0))</f>
        <v>0.09748842593</v>
      </c>
      <c r="M54" s="149">
        <f>IFERROR(VLOOKUP(B54,Daily_Working_Do_Not_Delete!CQ:CR,2,0))</f>
        <v>0.02175925926</v>
      </c>
      <c r="N54" s="149">
        <f>IFERROR(VLOOKUP(B54,Daily_Working_Do_Not_Delete!CO:CP,2,0))</f>
        <v>0.0812037037</v>
      </c>
      <c r="O54" s="149">
        <f>IFERROR(VLOOKUP(B54,Daily_Working_Do_Not_Delete!CM:CN,2,0))</f>
        <v>0.1543402778</v>
      </c>
      <c r="P54" s="149">
        <f>IFERROR(VLOOKUP(B54,Daily_Working_Do_Not_Delete!CK:CL,2,0))</f>
        <v>0.09305555556</v>
      </c>
      <c r="Q54" s="149">
        <f>IFERROR(VLOOKUP(B54,Daily_Working_Do_Not_Delete!CI:CJ,2,0))</f>
        <v>0</v>
      </c>
      <c r="R54" s="149">
        <f>IFERROR(VLOOKUP(B54,Daily_Working_Do_Not_Delete!CG:CH,2,0))</f>
        <v>0.01436342593</v>
      </c>
      <c r="S54" s="149">
        <f>IFERROR(VLOOKUP(B54,Daily_Working_Do_Not_Delete!CE:CF,2,0))</f>
        <v>0.1235069444</v>
      </c>
      <c r="T54" s="149">
        <f>IFERROR(VLOOKUP(B54,Daily_Working_Do_Not_Delete!CC:CD,2,0))</f>
        <v>0.03451388889</v>
      </c>
      <c r="U54" s="149">
        <f>IFERROR(VLOOKUP(B54,Daily_Working_Do_Not_Delete!CA:CB,2,0))</f>
        <v>0.1265625</v>
      </c>
      <c r="V54" s="149">
        <f>IFERROR(VLOOKUP(B54,Daily_Working_Do_Not_Delete!BY:BZ,2,0))</f>
        <v>0.1325231481</v>
      </c>
      <c r="W54" s="149">
        <f>IFERROR(VLOOKUP(B54,Daily_Working_Do_Not_Delete!BW:BX,2,0))</f>
        <v>0.09445601852</v>
      </c>
      <c r="X54" s="149">
        <f>IFERROR(VLOOKUP(B54,Daily_Working_Do_Not_Delete!BU:BV,2,0))</f>
        <v>0.06112268519</v>
      </c>
      <c r="Y54" s="149">
        <f>IFERROR(VLOOKUP(B54,Daily_Working_Do_Not_Delete!BS:BT,2,0))</f>
        <v>0.1395486111</v>
      </c>
      <c r="Z54" s="149">
        <f>IFERROR(VLOOKUP(B54,Daily_Working_Do_Not_Delete!BQ:BR,2,0))</f>
        <v>0.06351851852</v>
      </c>
      <c r="AA54" s="149">
        <f>IFERROR(VLOOKUP(B54,Daily_Working_Do_Not_Delete!BO:BP,2,0))</f>
        <v>0.07256944444</v>
      </c>
      <c r="AB54" s="149">
        <f>IFERROR(VLOOKUP(B54,Daily_Working_Do_Not_Delete!BM:BN,2,0))</f>
        <v>0.161099537</v>
      </c>
      <c r="AC54" s="149">
        <f>IFERROR(VLOOKUP(B54,Daily_Working_Do_Not_Delete!BK:BL,2,0))</f>
        <v>0.1371759259</v>
      </c>
      <c r="AD54" s="149">
        <f>IFERROR(VLOOKUP(B54,Daily_Working_Do_Not_Delete!BI:BJ,2,0))</f>
        <v>0.2156712963</v>
      </c>
      <c r="AE54" s="149">
        <f>IFERROR(VLOOKUP(B54,Daily_Working_Do_Not_Delete!BG:BH,2,0))</f>
        <v>0.1077314815</v>
      </c>
      <c r="AF54" s="149">
        <f>IFERROR(VLOOKUP(B54,Daily_Working_Do_Not_Delete!BE:BF,2,0))</f>
        <v>0.1697685185</v>
      </c>
      <c r="AG54" s="149">
        <f>IFERROR(VLOOKUP(B54,Daily_Working_Do_Not_Delete!BC:BD,2,0))</f>
        <v>0.3439930556</v>
      </c>
      <c r="AH54" s="149">
        <f>IFERROR(VLOOKUP(B54,Daily_Working_Do_Not_Delete!BA:BB,2,0))</f>
        <v>0.3779282407</v>
      </c>
      <c r="AI54" s="149">
        <f>IFERROR(VLOOKUP(B54,Daily_Working_Do_Not_Delete!AY:AZ,2,0))</f>
        <v>0.5588194444</v>
      </c>
      <c r="AJ54" s="149">
        <f>IFERROR(VLOOKUP(B54,Daily_Working_Do_Not_Delete!AW:AX,2,0))</f>
        <v>0.4994560185</v>
      </c>
      <c r="AK54" s="149">
        <f>IFERROR(VLOOKUP(B54,Daily_Working_Do_Not_Delete!AU:AV,2,0))</f>
        <v>0.3305555556</v>
      </c>
      <c r="AL54" s="149">
        <f>IFERROR(VLOOKUP(B54,Daily_Working_Do_Not_Delete!AS:AT,2,0))</f>
        <v>0.1605439815</v>
      </c>
      <c r="AM54" s="149">
        <f>IFERROR(VLOOKUP(B54,Daily_Working_Do_Not_Delete!AQ:AR,2,0))</f>
        <v>0.1447685185</v>
      </c>
      <c r="AN54" s="149">
        <f>IFERROR(VLOOKUP(B54,Daily_Working_Do_Not_Delete!AO:AP,2,0))</f>
        <v>0.4058912037</v>
      </c>
      <c r="AO54" s="149">
        <f>IFERROR(VLOOKUP(B54,Daily_Working_Do_Not_Delete!AM:AN,2,0))</f>
        <v>0.06236111111</v>
      </c>
      <c r="AP54" s="149">
        <f>IFERROR(VLOOKUP(B54,Daily_Working_Do_Not_Delete!AK:AL,2,0))</f>
        <v>0.05394675926</v>
      </c>
      <c r="AQ54" s="149">
        <f>IFERROR(VLOOKUP(B54,Daily_Working_Do_Not_Delete!AI:AJ,2,0))</f>
        <v>0.0458912037</v>
      </c>
      <c r="AR54" s="149" t="str">
        <f>IFERROR(VLOOKUP(B54,Daily_Working_Do_Not_Delete!AG:AH,2,0))</f>
        <v/>
      </c>
      <c r="AS54" s="149" t="str">
        <f>IFERROR(VLOOKUP(B54,Daily_Working_Do_Not_Delete!AE:AF,2,0))</f>
        <v/>
      </c>
      <c r="AT54" s="149">
        <f>IFERROR(VLOOKUP(B54,Daily_Working_Do_Not_Delete!AC:AD,2,0))</f>
        <v>0.01607638889</v>
      </c>
      <c r="AU54" s="149">
        <f>IFERROR(VLOOKUP(B54,Daily_Working_Do_Not_Delete!AA:AB,2,0))</f>
        <v>0.09583333333</v>
      </c>
      <c r="AV54" s="149" t="str">
        <f>IFERROR(VLOOKUP(B54,Daily_Working_Do_Not_Delete!Y:Z,2,0))</f>
        <v/>
      </c>
      <c r="AW54" s="149" t="str">
        <f>IFERROR(VLOOKUP(B54,Daily_Working_Do_Not_Delete!W:X,2,0))</f>
        <v/>
      </c>
      <c r="AX54" s="149" t="str">
        <f>IFERROR(VLOOKUP(B54,Daily_Working_Do_Not_Delete!U:V,2,0))</f>
        <v/>
      </c>
      <c r="AY54" s="149" t="str">
        <f>IFERROR(VLOOKUP(B54,Daily_Working_Do_Not_Delete!S:T,2,0))</f>
        <v/>
      </c>
      <c r="AZ54" s="149" t="str">
        <f>IFERROR(VLOOKUP(B54,Daily_Working_Do_Not_Delete!Q:R,2,0))</f>
        <v/>
      </c>
      <c r="BA54" s="149" t="str">
        <f>IFERROR(VLOOKUP(B54,Daily_Working_Do_Not_Delete!O:P,2,0))</f>
        <v/>
      </c>
      <c r="BB54" s="149" t="str">
        <f>IFERROR(VLOOKUP(B54,Daily_Working_Do_Not_Delete!M:N,2,0))</f>
        <v/>
      </c>
      <c r="BC54" s="149" t="str">
        <f>IFERROR(VLOOKUP(B54,Daily_Working_Do_Not_Delete!K:L,2,0))</f>
        <v/>
      </c>
      <c r="BD54" s="149" t="str">
        <f>IFERROR(VLOOKUP(B54,Daily_Working_Do_Not_Delete!I:J,2,0))</f>
        <v/>
      </c>
      <c r="BE54" s="149" t="str">
        <f>IFERROR(VLOOKUP(B54,Daily_Working_Do_Not_Delete!G:H,2,0))</f>
        <v/>
      </c>
      <c r="BF54" s="149" t="str">
        <f>IFERROR(VLOOKUP(B54,Daily_Working_Do_Not_Delete!E:F,2,0))</f>
        <v/>
      </c>
      <c r="BG54" s="149" t="str">
        <f>IFERROR(VLOOKUP(B54,Daily_Working_Do_Not_Delete!C:D,2,0))</f>
        <v/>
      </c>
      <c r="BH54" s="149" t="str">
        <f>IFERROR(VLOOKUP(B54,Daily_Working_Do_Not_Delete!A:B,2,0))</f>
        <v/>
      </c>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row>
    <row r="55">
      <c r="A55" s="146" t="s">
        <v>35</v>
      </c>
      <c r="B55" s="146" t="s">
        <v>82</v>
      </c>
      <c r="C55" s="137" t="s">
        <v>421</v>
      </c>
      <c r="D55" s="148">
        <f t="shared" si="3"/>
        <v>7.703009259</v>
      </c>
      <c r="E55" s="149">
        <f>IFERROR(VLOOKUP(B55,Daily_Working_Do_Not_Delete!DG:DH,2,0))</f>
        <v>2.288009259</v>
      </c>
      <c r="F55" s="149">
        <f>IFERROR(VLOOKUP(B55,Daily_Working_Do_Not_Delete!DE:DF,2,0))</f>
        <v>0.02987268519</v>
      </c>
      <c r="G55" s="149">
        <f>IFERROR(VLOOKUP(B55,Daily_Working_Do_Not_Delete!DC:DD,2,0))</f>
        <v>0.06390046296</v>
      </c>
      <c r="H55" s="149">
        <f>IFERROR(VLOOKUP(B55,Daily_Working_Do_Not_Delete!DA:DB,2,0))</f>
        <v>0.1257291667</v>
      </c>
      <c r="I55" s="149">
        <f>IFERROR(VLOOKUP(B55,Daily_Working_Do_Not_Delete!CY:CZ,2,0))</f>
        <v>0.03876157407</v>
      </c>
      <c r="J55" s="149">
        <f>IFERROR(VLOOKUP(B55,Daily_Working_Do_Not_Delete!CW:CX,2,0))</f>
        <v>0.003611111111</v>
      </c>
      <c r="K55" s="149">
        <f>IFERROR(VLOOKUP(B55,Daily_Working_Do_Not_Delete!CU:CV,2,0))</f>
        <v>0.07125</v>
      </c>
      <c r="L55" s="149">
        <f>IFERROR(VLOOKUP(B55,Daily_Working_Do_Not_Delete!CS:CT,2,0))</f>
        <v>0.09827546296</v>
      </c>
      <c r="M55" s="149">
        <f>IFERROR(VLOOKUP(B55,Daily_Working_Do_Not_Delete!CQ:CR,2,0))</f>
        <v>0.1062268519</v>
      </c>
      <c r="N55" s="149">
        <f>IFERROR(VLOOKUP(B55,Daily_Working_Do_Not_Delete!CO:CP,2,0))</f>
        <v>0.05584490741</v>
      </c>
      <c r="O55" s="149">
        <f>IFERROR(VLOOKUP(B55,Daily_Working_Do_Not_Delete!CM:CN,2,0))</f>
        <v>0.07784722222</v>
      </c>
      <c r="P55" s="149">
        <f>IFERROR(VLOOKUP(B55,Daily_Working_Do_Not_Delete!CK:CL,2,0))</f>
        <v>0.0869212963</v>
      </c>
      <c r="Q55" s="149">
        <f>IFERROR(VLOOKUP(B55,Daily_Working_Do_Not_Delete!CI:CJ,2,0))</f>
        <v>0.06802083333</v>
      </c>
      <c r="R55" s="149">
        <f>IFERROR(VLOOKUP(B55,Daily_Working_Do_Not_Delete!CG:CH,2,0))</f>
        <v>0.1260763889</v>
      </c>
      <c r="S55" s="149">
        <f>IFERROR(VLOOKUP(B55,Daily_Working_Do_Not_Delete!CE:CF,2,0))</f>
        <v>0.1375462963</v>
      </c>
      <c r="T55" s="149">
        <f>IFERROR(VLOOKUP(B55,Daily_Working_Do_Not_Delete!CC:CD,2,0))</f>
        <v>0.2343981481</v>
      </c>
      <c r="U55" s="149">
        <f>IFERROR(VLOOKUP(B55,Daily_Working_Do_Not_Delete!CA:CB,2,0))</f>
        <v>0.1740393519</v>
      </c>
      <c r="V55" s="149">
        <f>IFERROR(VLOOKUP(B55,Daily_Working_Do_Not_Delete!BY:BZ,2,0))</f>
        <v>0.1254050926</v>
      </c>
      <c r="W55" s="149">
        <f>IFERROR(VLOOKUP(B55,Daily_Working_Do_Not_Delete!BW:BX,2,0))</f>
        <v>0.1667708333</v>
      </c>
      <c r="X55" s="149">
        <f>IFERROR(VLOOKUP(B55,Daily_Working_Do_Not_Delete!BU:BV,2,0))</f>
        <v>0.05201388889</v>
      </c>
      <c r="Y55" s="149">
        <f>IFERROR(VLOOKUP(B55,Daily_Working_Do_Not_Delete!BS:BT,2,0))</f>
        <v>0.1685185185</v>
      </c>
      <c r="Z55" s="149">
        <f>IFERROR(VLOOKUP(B55,Daily_Working_Do_Not_Delete!BQ:BR,2,0))</f>
        <v>0.1511111111</v>
      </c>
      <c r="AA55" s="149">
        <f>IFERROR(VLOOKUP(B55,Daily_Working_Do_Not_Delete!BO:BP,2,0))</f>
        <v>0.1060763889</v>
      </c>
      <c r="AB55" s="149">
        <f>IFERROR(VLOOKUP(B55,Daily_Working_Do_Not_Delete!BM:BN,2,0))</f>
        <v>0.1344097222</v>
      </c>
      <c r="AC55" s="149">
        <f>IFERROR(VLOOKUP(B55,Daily_Working_Do_Not_Delete!BK:BL,2,0))</f>
        <v>0.2912962963</v>
      </c>
      <c r="AD55" s="149">
        <f>IFERROR(VLOOKUP(B55,Daily_Working_Do_Not_Delete!BI:BJ,2,0))</f>
        <v>0.2577777778</v>
      </c>
      <c r="AE55" s="149">
        <f>IFERROR(VLOOKUP(B55,Daily_Working_Do_Not_Delete!BG:BH,2,0))</f>
        <v>0.1015740741</v>
      </c>
      <c r="AF55" s="149">
        <f>IFERROR(VLOOKUP(B55,Daily_Working_Do_Not_Delete!BE:BF,2,0))</f>
        <v>0.2269097222</v>
      </c>
      <c r="AG55" s="149">
        <f>IFERROR(VLOOKUP(B55,Daily_Working_Do_Not_Delete!BC:BD,2,0))</f>
        <v>0.2035416667</v>
      </c>
      <c r="AH55" s="149">
        <f>IFERROR(VLOOKUP(B55,Daily_Working_Do_Not_Delete!BA:BB,2,0))</f>
        <v>0.2610069444</v>
      </c>
      <c r="AI55" s="149">
        <f>IFERROR(VLOOKUP(B55,Daily_Working_Do_Not_Delete!AY:AZ,2,0))</f>
        <v>0.1297453704</v>
      </c>
      <c r="AJ55" s="149">
        <f>IFERROR(VLOOKUP(B55,Daily_Working_Do_Not_Delete!AW:AX,2,0))</f>
        <v>0.1059606481</v>
      </c>
      <c r="AK55" s="149">
        <f>IFERROR(VLOOKUP(B55,Daily_Working_Do_Not_Delete!AU:AV,2,0))</f>
        <v>0.08306712963</v>
      </c>
      <c r="AL55" s="149">
        <f>IFERROR(VLOOKUP(B55,Daily_Working_Do_Not_Delete!AS:AT,2,0))</f>
        <v>0.1671875</v>
      </c>
      <c r="AM55" s="149">
        <f>IFERROR(VLOOKUP(B55,Daily_Working_Do_Not_Delete!AQ:AR,2,0))</f>
        <v>0.2662268519</v>
      </c>
      <c r="AN55" s="149">
        <f>IFERROR(VLOOKUP(B55,Daily_Working_Do_Not_Delete!AO:AP,2,0))</f>
        <v>0.228287037</v>
      </c>
      <c r="AO55" s="149">
        <f>IFERROR(VLOOKUP(B55,Daily_Working_Do_Not_Delete!AM:AN,2,0))</f>
        <v>0.2234490741</v>
      </c>
      <c r="AP55" s="149">
        <f>IFERROR(VLOOKUP(B55,Daily_Working_Do_Not_Delete!AK:AL,2,0))</f>
        <v>0.1623611111</v>
      </c>
      <c r="AQ55" s="149">
        <f>IFERROR(VLOOKUP(B55,Daily_Working_Do_Not_Delete!AI:AJ,2,0))</f>
        <v>0.1017708333</v>
      </c>
      <c r="AR55" s="149">
        <f>IFERROR(VLOOKUP(B55,Daily_Working_Do_Not_Delete!AG:AH,2,0))</f>
        <v>0.02060185185</v>
      </c>
      <c r="AS55" s="149">
        <f>IFERROR(VLOOKUP(B55,Daily_Working_Do_Not_Delete!AE:AF,2,0))</f>
        <v>0.018125</v>
      </c>
      <c r="AT55" s="149">
        <f>IFERROR(VLOOKUP(B55,Daily_Working_Do_Not_Delete!AC:AD,2,0))</f>
        <v>0.0250462963</v>
      </c>
      <c r="AU55" s="149">
        <f>IFERROR(VLOOKUP(B55,Daily_Working_Do_Not_Delete!AA:AB,2,0))</f>
        <v>0.1268634259</v>
      </c>
      <c r="AV55" s="149">
        <f>IFERROR(VLOOKUP(B55,Daily_Working_Do_Not_Delete!Y:Z,2,0))</f>
        <v>0.002094907407</v>
      </c>
      <c r="AW55" s="149">
        <f>IFERROR(VLOOKUP(B55,Daily_Working_Do_Not_Delete!W:X,2,0))</f>
        <v>0.005208333333</v>
      </c>
      <c r="AX55" s="149">
        <f>IFERROR(VLOOKUP(B55,Daily_Working_Do_Not_Delete!U:V,2,0))</f>
        <v>0.001041666667</v>
      </c>
      <c r="AY55" s="149" t="str">
        <f>IFERROR(VLOOKUP(B55,Daily_Working_Do_Not_Delete!S:T,2,0))</f>
        <v/>
      </c>
      <c r="AZ55" s="149" t="str">
        <f>IFERROR(VLOOKUP(B55,Daily_Working_Do_Not_Delete!Q:R,2,0))</f>
        <v/>
      </c>
      <c r="BA55" s="149" t="str">
        <f>IFERROR(VLOOKUP(B55,Daily_Working_Do_Not_Delete!O:P,2,0))</f>
        <v/>
      </c>
      <c r="BB55" s="149" t="str">
        <f>IFERROR(VLOOKUP(B55,Daily_Working_Do_Not_Delete!M:N,2,0))</f>
        <v/>
      </c>
      <c r="BC55" s="149" t="str">
        <f>IFERROR(VLOOKUP(B55,Daily_Working_Do_Not_Delete!K:L,2,0))</f>
        <v/>
      </c>
      <c r="BD55" s="149">
        <f>IFERROR(VLOOKUP(B55,Daily_Working_Do_Not_Delete!I:J,2,0))</f>
        <v>0.003229166667</v>
      </c>
      <c r="BE55" s="149" t="str">
        <f>IFERROR(VLOOKUP(B55,Daily_Working_Do_Not_Delete!G:H,2,0))</f>
        <v/>
      </c>
      <c r="BF55" s="149" t="str">
        <f>IFERROR(VLOOKUP(B55,Daily_Working_Do_Not_Delete!E:F,2,0))</f>
        <v/>
      </c>
      <c r="BG55" s="149" t="str">
        <f>IFERROR(VLOOKUP(B55,Daily_Working_Do_Not_Delete!C:D,2,0))</f>
        <v/>
      </c>
      <c r="BH55" s="149" t="str">
        <f>IFERROR(VLOOKUP(B55,Daily_Working_Do_Not_Delete!A:B,2,0))</f>
        <v/>
      </c>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row>
    <row r="56">
      <c r="A56" s="146" t="s">
        <v>35</v>
      </c>
      <c r="B56" s="146" t="s">
        <v>83</v>
      </c>
      <c r="C56" s="137" t="s">
        <v>421</v>
      </c>
      <c r="D56" s="148">
        <f t="shared" si="3"/>
        <v>9.10275463</v>
      </c>
      <c r="E56" s="149">
        <f>IFERROR(VLOOKUP(B56,Daily_Working_Do_Not_Delete!DG:DH,2,0))</f>
        <v>1.354247685</v>
      </c>
      <c r="F56" s="149">
        <f>IFERROR(VLOOKUP(B56,Daily_Working_Do_Not_Delete!DE:DF,2,0))</f>
        <v>0.0175</v>
      </c>
      <c r="G56" s="149">
        <f>IFERROR(VLOOKUP(B56,Daily_Working_Do_Not_Delete!DC:DD,2,0))</f>
        <v>0.01640046296</v>
      </c>
      <c r="H56" s="149">
        <f>IFERROR(VLOOKUP(B56,Daily_Working_Do_Not_Delete!DA:DB,2,0))</f>
        <v>0.0375462963</v>
      </c>
      <c r="I56" s="149">
        <f>IFERROR(VLOOKUP(B56,Daily_Working_Do_Not_Delete!CY:CZ,2,0))</f>
        <v>0.04674768519</v>
      </c>
      <c r="J56" s="149">
        <f>IFERROR(VLOOKUP(B56,Daily_Working_Do_Not_Delete!CW:CX,2,0))</f>
        <v>0.009212962963</v>
      </c>
      <c r="K56" s="149">
        <f>IFERROR(VLOOKUP(B56,Daily_Working_Do_Not_Delete!CU:CV,2,0))</f>
        <v>0.06518518519</v>
      </c>
      <c r="L56" s="149">
        <f>IFERROR(VLOOKUP(B56,Daily_Working_Do_Not_Delete!CS:CT,2,0))</f>
        <v>0.06478009259</v>
      </c>
      <c r="M56" s="149">
        <f>IFERROR(VLOOKUP(B56,Daily_Working_Do_Not_Delete!CQ:CR,2,0))</f>
        <v>0.05043981481</v>
      </c>
      <c r="N56" s="149">
        <f>IFERROR(VLOOKUP(B56,Daily_Working_Do_Not_Delete!CO:CP,2,0))</f>
        <v>0.07574074074</v>
      </c>
      <c r="O56" s="149">
        <f>IFERROR(VLOOKUP(B56,Daily_Working_Do_Not_Delete!CM:CN,2,0))</f>
        <v>0.05550925926</v>
      </c>
      <c r="P56" s="149">
        <f>IFERROR(VLOOKUP(B56,Daily_Working_Do_Not_Delete!CK:CL,2,0))</f>
        <v>0.05319444444</v>
      </c>
      <c r="Q56" s="149">
        <f>IFERROR(VLOOKUP(B56,Daily_Working_Do_Not_Delete!CI:CJ,2,0))</f>
        <v>0.03594907407</v>
      </c>
      <c r="R56" s="149">
        <f>IFERROR(VLOOKUP(B56,Daily_Working_Do_Not_Delete!CG:CH,2,0))</f>
        <v>0.06869212963</v>
      </c>
      <c r="S56" s="149">
        <f>IFERROR(VLOOKUP(B56,Daily_Working_Do_Not_Delete!CE:CF,2,0))</f>
        <v>0.1970601852</v>
      </c>
      <c r="T56" s="149">
        <f>IFERROR(VLOOKUP(B56,Daily_Working_Do_Not_Delete!CC:CD,2,0))</f>
        <v>0.2249305556</v>
      </c>
      <c r="U56" s="149">
        <f>IFERROR(VLOOKUP(B56,Daily_Working_Do_Not_Delete!CA:CB,2,0))</f>
        <v>0.2155092593</v>
      </c>
      <c r="V56" s="149">
        <f>IFERROR(VLOOKUP(B56,Daily_Working_Do_Not_Delete!BY:BZ,2,0))</f>
        <v>0.1090046296</v>
      </c>
      <c r="W56" s="149">
        <f>IFERROR(VLOOKUP(B56,Daily_Working_Do_Not_Delete!BW:BX,2,0))</f>
        <v>0.09612268519</v>
      </c>
      <c r="X56" s="149">
        <f>IFERROR(VLOOKUP(B56,Daily_Working_Do_Not_Delete!BU:BV,2,0))</f>
        <v>0.09085648148</v>
      </c>
      <c r="Y56" s="149">
        <f>IFERROR(VLOOKUP(B56,Daily_Working_Do_Not_Delete!BS:BT,2,0))</f>
        <v>0.08869212963</v>
      </c>
      <c r="Z56" s="149">
        <f>IFERROR(VLOOKUP(B56,Daily_Working_Do_Not_Delete!BQ:BR,2,0))</f>
        <v>0.1963425926</v>
      </c>
      <c r="AA56" s="149">
        <f>IFERROR(VLOOKUP(B56,Daily_Working_Do_Not_Delete!BO:BP,2,0))</f>
        <v>0.1297916667</v>
      </c>
      <c r="AB56" s="149">
        <f>IFERROR(VLOOKUP(B56,Daily_Working_Do_Not_Delete!BM:BN,2,0))</f>
        <v>0.1804050926</v>
      </c>
      <c r="AC56" s="149">
        <f>IFERROR(VLOOKUP(B56,Daily_Working_Do_Not_Delete!BK:BL,2,0))</f>
        <v>0.2897685185</v>
      </c>
      <c r="AD56" s="149">
        <f>IFERROR(VLOOKUP(B56,Daily_Working_Do_Not_Delete!BI:BJ,2,0))</f>
        <v>0.2196643519</v>
      </c>
      <c r="AE56" s="149">
        <f>IFERROR(VLOOKUP(B56,Daily_Working_Do_Not_Delete!BG:BH,2,0))</f>
        <v>0.1483333333</v>
      </c>
      <c r="AF56" s="149">
        <f>IFERROR(VLOOKUP(B56,Daily_Working_Do_Not_Delete!BE:BF,2,0))</f>
        <v>0.1600694444</v>
      </c>
      <c r="AG56" s="149">
        <f>IFERROR(VLOOKUP(B56,Daily_Working_Do_Not_Delete!BC:BD,2,0))</f>
        <v>0.6748263889</v>
      </c>
      <c r="AH56" s="149">
        <f>IFERROR(VLOOKUP(B56,Daily_Working_Do_Not_Delete!BA:BB,2,0))</f>
        <v>0.5564930556</v>
      </c>
      <c r="AI56" s="149">
        <f>IFERROR(VLOOKUP(B56,Daily_Working_Do_Not_Delete!AY:AZ,2,0))</f>
        <v>0.3538310185</v>
      </c>
      <c r="AJ56" s="149">
        <f>IFERROR(VLOOKUP(B56,Daily_Working_Do_Not_Delete!AW:AX,2,0))</f>
        <v>0.9584837963</v>
      </c>
      <c r="AK56" s="149">
        <f>IFERROR(VLOOKUP(B56,Daily_Working_Do_Not_Delete!AU:AV,2,0))</f>
        <v>0.3153240741</v>
      </c>
      <c r="AL56" s="149">
        <f>IFERROR(VLOOKUP(B56,Daily_Working_Do_Not_Delete!AS:AT,2,0))</f>
        <v>0.2175925926</v>
      </c>
      <c r="AM56" s="149">
        <f>IFERROR(VLOOKUP(B56,Daily_Working_Do_Not_Delete!AQ:AR,2,0))</f>
        <v>0.2661111111</v>
      </c>
      <c r="AN56" s="149">
        <f>IFERROR(VLOOKUP(B56,Daily_Working_Do_Not_Delete!AO:AP,2,0))</f>
        <v>0.3527083333</v>
      </c>
      <c r="AO56" s="149">
        <f>IFERROR(VLOOKUP(B56,Daily_Working_Do_Not_Delete!AM:AN,2,0))</f>
        <v>0.3193865741</v>
      </c>
      <c r="AP56" s="149">
        <f>IFERROR(VLOOKUP(B56,Daily_Working_Do_Not_Delete!AK:AL,2,0))</f>
        <v>0.3404976852</v>
      </c>
      <c r="AQ56" s="149">
        <f>IFERROR(VLOOKUP(B56,Daily_Working_Do_Not_Delete!AI:AJ,2,0))</f>
        <v>0.06828703704</v>
      </c>
      <c r="AR56" s="149">
        <f>IFERROR(VLOOKUP(B56,Daily_Working_Do_Not_Delete!AG:AH,2,0))</f>
        <v>0</v>
      </c>
      <c r="AS56" s="149">
        <f>IFERROR(VLOOKUP(B56,Daily_Working_Do_Not_Delete!AE:AF,2,0))</f>
        <v>0.3283564815</v>
      </c>
      <c r="AT56" s="149">
        <f>IFERROR(VLOOKUP(B56,Daily_Working_Do_Not_Delete!AC:AD,2,0))</f>
        <v>0.00775462963</v>
      </c>
      <c r="AU56" s="149">
        <f>IFERROR(VLOOKUP(B56,Daily_Working_Do_Not_Delete!AA:AB,2,0))</f>
        <v>0.03207175926</v>
      </c>
      <c r="AV56" s="149">
        <f>IFERROR(VLOOKUP(B56,Daily_Working_Do_Not_Delete!Y:Z,2,0))</f>
        <v>0.005659722222</v>
      </c>
      <c r="AW56" s="149">
        <f>IFERROR(VLOOKUP(B56,Daily_Working_Do_Not_Delete!W:X,2,0))</f>
        <v>0.007476851852</v>
      </c>
      <c r="AX56" s="149" t="str">
        <f>IFERROR(VLOOKUP(B56,Daily_Working_Do_Not_Delete!U:V,2,0))</f>
        <v/>
      </c>
      <c r="AY56" s="149" t="str">
        <f>IFERROR(VLOOKUP(B56,Daily_Working_Do_Not_Delete!S:T,2,0))</f>
        <v/>
      </c>
      <c r="AZ56" s="149" t="str">
        <f>IFERROR(VLOOKUP(B56,Daily_Working_Do_Not_Delete!Q:R,2,0))</f>
        <v/>
      </c>
      <c r="BA56" s="149">
        <f>IFERROR(VLOOKUP(B56,Daily_Working_Do_Not_Delete!O:P,2,0))</f>
        <v>0.0001967592593</v>
      </c>
      <c r="BB56" s="149">
        <f>IFERROR(VLOOKUP(B56,Daily_Working_Do_Not_Delete!M:N,2,0))</f>
        <v>0</v>
      </c>
      <c r="BC56" s="149" t="str">
        <f>IFERROR(VLOOKUP(B56,Daily_Working_Do_Not_Delete!K:L,2,0))</f>
        <v/>
      </c>
      <c r="BD56" s="149" t="str">
        <f>IFERROR(VLOOKUP(B56,Daily_Working_Do_Not_Delete!I:J,2,0))</f>
        <v/>
      </c>
      <c r="BE56" s="149" t="str">
        <f>IFERROR(VLOOKUP(B56,Daily_Working_Do_Not_Delete!G:H,2,0))</f>
        <v/>
      </c>
      <c r="BF56" s="149" t="str">
        <f>IFERROR(VLOOKUP(B56,Daily_Working_Do_Not_Delete!E:F,2,0))</f>
        <v/>
      </c>
      <c r="BG56" s="149" t="str">
        <f>IFERROR(VLOOKUP(B56,Daily_Working_Do_Not_Delete!C:D,2,0))</f>
        <v/>
      </c>
      <c r="BH56" s="149" t="str">
        <f>IFERROR(VLOOKUP(B56,Daily_Working_Do_Not_Delete!A:B,2,0))</f>
        <v/>
      </c>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row>
    <row r="57">
      <c r="A57" s="146" t="s">
        <v>35</v>
      </c>
      <c r="B57" s="146" t="s">
        <v>36</v>
      </c>
      <c r="C57" s="137" t="s">
        <v>421</v>
      </c>
      <c r="D57" s="148">
        <f t="shared" si="3"/>
        <v>6.674895833</v>
      </c>
      <c r="E57" s="149">
        <f>IFERROR(VLOOKUP(B57,Daily_Working_Do_Not_Delete!DG:DH,2,0))</f>
        <v>3.850821759</v>
      </c>
      <c r="F57" s="149">
        <f>IFERROR(VLOOKUP(B57,Daily_Working_Do_Not_Delete!DE:DF,2,0))</f>
        <v>0.0162037037</v>
      </c>
      <c r="G57" s="149">
        <f>IFERROR(VLOOKUP(B57,Daily_Working_Do_Not_Delete!DC:DD,2,0))</f>
        <v>0.03851851852</v>
      </c>
      <c r="H57" s="149">
        <f>IFERROR(VLOOKUP(B57,Daily_Working_Do_Not_Delete!DA:DB,2,0))</f>
        <v>0.1285532407</v>
      </c>
      <c r="I57" s="149">
        <f>IFERROR(VLOOKUP(B57,Daily_Working_Do_Not_Delete!CY:CZ,2,0))</f>
        <v>0.03436342593</v>
      </c>
      <c r="J57" s="149">
        <f>IFERROR(VLOOKUP(B57,Daily_Working_Do_Not_Delete!CW:CX,2,0))</f>
        <v>0.001342592593</v>
      </c>
      <c r="K57" s="149">
        <f>IFERROR(VLOOKUP(B57,Daily_Working_Do_Not_Delete!CU:CV,2,0))</f>
        <v>0.06328703704</v>
      </c>
      <c r="L57" s="149">
        <f>IFERROR(VLOOKUP(B57,Daily_Working_Do_Not_Delete!CS:CT,2,0))</f>
        <v>0.09509259259</v>
      </c>
      <c r="M57" s="149">
        <f>IFERROR(VLOOKUP(B57,Daily_Working_Do_Not_Delete!CQ:CR,2,0))</f>
        <v>0.04935185185</v>
      </c>
      <c r="N57" s="149">
        <f>IFERROR(VLOOKUP(B57,Daily_Working_Do_Not_Delete!CO:CP,2,0))</f>
        <v>0.02855324074</v>
      </c>
      <c r="O57" s="149">
        <f>IFERROR(VLOOKUP(B57,Daily_Working_Do_Not_Delete!CM:CN,2,0))</f>
        <v>0.1274189815</v>
      </c>
      <c r="P57" s="149">
        <f>IFERROR(VLOOKUP(B57,Daily_Working_Do_Not_Delete!CK:CL,2,0))</f>
        <v>0.1287731481</v>
      </c>
      <c r="Q57" s="149" t="str">
        <f>IFERROR(VLOOKUP(B57,Daily_Working_Do_Not_Delete!CI:CJ,2,0))</f>
        <v/>
      </c>
      <c r="R57" s="149">
        <f>IFERROR(VLOOKUP(B57,Daily_Working_Do_Not_Delete!CG:CH,2,0))</f>
        <v>0.1115972222</v>
      </c>
      <c r="S57" s="149">
        <f>IFERROR(VLOOKUP(B57,Daily_Working_Do_Not_Delete!CE:CF,2,0))</f>
        <v>0.08865740741</v>
      </c>
      <c r="T57" s="149">
        <f>IFERROR(VLOOKUP(B57,Daily_Working_Do_Not_Delete!CC:CD,2,0))</f>
        <v>0.04697916667</v>
      </c>
      <c r="U57" s="149">
        <f>IFERROR(VLOOKUP(B57,Daily_Working_Do_Not_Delete!CA:CB,2,0))</f>
        <v>0.09789351852</v>
      </c>
      <c r="V57" s="149">
        <f>IFERROR(VLOOKUP(B57,Daily_Working_Do_Not_Delete!BY:BZ,2,0))</f>
        <v>0.2278125</v>
      </c>
      <c r="W57" s="149">
        <f>IFERROR(VLOOKUP(B57,Daily_Working_Do_Not_Delete!BW:BX,2,0))</f>
        <v>0.1095949074</v>
      </c>
      <c r="X57" s="149">
        <f>IFERROR(VLOOKUP(B57,Daily_Working_Do_Not_Delete!BU:BV,2,0))</f>
        <v>0.0312962963</v>
      </c>
      <c r="Y57" s="149">
        <f>IFERROR(VLOOKUP(B57,Daily_Working_Do_Not_Delete!BS:BT,2,0))</f>
        <v>0.1143171296</v>
      </c>
      <c r="Z57" s="149">
        <f>IFERROR(VLOOKUP(B57,Daily_Working_Do_Not_Delete!BQ:BR,2,0))</f>
        <v>0.1325694444</v>
      </c>
      <c r="AA57" s="149">
        <f>IFERROR(VLOOKUP(B57,Daily_Working_Do_Not_Delete!BO:BP,2,0))</f>
        <v>0.03674768519</v>
      </c>
      <c r="AB57" s="149">
        <f>IFERROR(VLOOKUP(B57,Daily_Working_Do_Not_Delete!BM:BN,2,0))</f>
        <v>0.06952546296</v>
      </c>
      <c r="AC57" s="149">
        <f>IFERROR(VLOOKUP(B57,Daily_Working_Do_Not_Delete!BK:BL,2,0))</f>
        <v>0.06605324074</v>
      </c>
      <c r="AD57" s="149">
        <f>IFERROR(VLOOKUP(B57,Daily_Working_Do_Not_Delete!BI:BJ,2,0))</f>
        <v>0.0675</v>
      </c>
      <c r="AE57" s="149">
        <f>IFERROR(VLOOKUP(B57,Daily_Working_Do_Not_Delete!BG:BH,2,0))</f>
        <v>0.01122685185</v>
      </c>
      <c r="AF57" s="149">
        <f>IFERROR(VLOOKUP(B57,Daily_Working_Do_Not_Delete!BE:BF,2,0))</f>
        <v>0.04501157407</v>
      </c>
      <c r="AG57" s="149">
        <f>IFERROR(VLOOKUP(B57,Daily_Working_Do_Not_Delete!BC:BD,2,0))</f>
        <v>0.1132523148</v>
      </c>
      <c r="AH57" s="149">
        <f>IFERROR(VLOOKUP(B57,Daily_Working_Do_Not_Delete!BA:BB,2,0))</f>
        <v>0.1514930556</v>
      </c>
      <c r="AI57" s="149">
        <f>IFERROR(VLOOKUP(B57,Daily_Working_Do_Not_Delete!AY:AZ,2,0))</f>
        <v>0.14125</v>
      </c>
      <c r="AJ57" s="149">
        <f>IFERROR(VLOOKUP(B57,Daily_Working_Do_Not_Delete!AW:AX,2,0))</f>
        <v>0.0762962963</v>
      </c>
      <c r="AK57" s="149">
        <f>IFERROR(VLOOKUP(B57,Daily_Working_Do_Not_Delete!AU:AV,2,0))</f>
        <v>0.001921296296</v>
      </c>
      <c r="AL57" s="149" t="str">
        <f>IFERROR(VLOOKUP(B57,Daily_Working_Do_Not_Delete!AS:AT,2,0))</f>
        <v/>
      </c>
      <c r="AM57" s="149">
        <f>IFERROR(VLOOKUP(B57,Daily_Working_Do_Not_Delete!AQ:AR,2,0))</f>
        <v>0.009803240741</v>
      </c>
      <c r="AN57" s="149">
        <f>IFERROR(VLOOKUP(B57,Daily_Working_Do_Not_Delete!AO:AP,2,0))</f>
        <v>0.0255787037</v>
      </c>
      <c r="AO57" s="149">
        <f>IFERROR(VLOOKUP(B57,Daily_Working_Do_Not_Delete!AM:AN,2,0))</f>
        <v>0.02986111111</v>
      </c>
      <c r="AP57" s="149">
        <f>IFERROR(VLOOKUP(B57,Daily_Working_Do_Not_Delete!AK:AL,2,0))</f>
        <v>0.08055555556</v>
      </c>
      <c r="AQ57" s="149">
        <f>IFERROR(VLOOKUP(B57,Daily_Working_Do_Not_Delete!AI:AJ,2,0))</f>
        <v>0.0474537037</v>
      </c>
      <c r="AR57" s="149">
        <f>IFERROR(VLOOKUP(B57,Daily_Working_Do_Not_Delete!AG:AH,2,0))</f>
        <v>0.003159722222</v>
      </c>
      <c r="AS57" s="149" t="str">
        <f>IFERROR(VLOOKUP(B57,Daily_Working_Do_Not_Delete!AE:AF,2,0))</f>
        <v/>
      </c>
      <c r="AT57" s="149">
        <f>IFERROR(VLOOKUP(B57,Daily_Working_Do_Not_Delete!AC:AD,2,0))</f>
        <v>0.04615740741</v>
      </c>
      <c r="AU57" s="149">
        <f>IFERROR(VLOOKUP(B57,Daily_Working_Do_Not_Delete!AA:AB,2,0))</f>
        <v>0.1290509259</v>
      </c>
      <c r="AV57" s="149" t="str">
        <f>IFERROR(VLOOKUP(B57,Daily_Working_Do_Not_Delete!Y:Z,2,0))</f>
        <v/>
      </c>
      <c r="AW57" s="149" t="str">
        <f>IFERROR(VLOOKUP(B57,Daily_Working_Do_Not_Delete!W:X,2,0))</f>
        <v/>
      </c>
      <c r="AX57" s="149" t="str">
        <f>IFERROR(VLOOKUP(B57,Daily_Working_Do_Not_Delete!U:V,2,0))</f>
        <v/>
      </c>
      <c r="AY57" s="149" t="str">
        <f>IFERROR(VLOOKUP(B57,Daily_Working_Do_Not_Delete!S:T,2,0))</f>
        <v/>
      </c>
      <c r="AZ57" s="149" t="str">
        <f>IFERROR(VLOOKUP(B57,Daily_Working_Do_Not_Delete!Q:R,2,0))</f>
        <v/>
      </c>
      <c r="BA57" s="149" t="str">
        <f>IFERROR(VLOOKUP(B57,Daily_Working_Do_Not_Delete!O:P,2,0))</f>
        <v/>
      </c>
      <c r="BB57" s="149" t="str">
        <f>IFERROR(VLOOKUP(B57,Daily_Working_Do_Not_Delete!M:N,2,0))</f>
        <v/>
      </c>
      <c r="BC57" s="149" t="str">
        <f>IFERROR(VLOOKUP(B57,Daily_Working_Do_Not_Delete!K:L,2,0))</f>
        <v/>
      </c>
      <c r="BD57" s="149" t="str">
        <f>IFERROR(VLOOKUP(B57,Daily_Working_Do_Not_Delete!I:J,2,0))</f>
        <v/>
      </c>
      <c r="BE57" s="149" t="str">
        <f>IFERROR(VLOOKUP(B57,Daily_Working_Do_Not_Delete!G:H,2,0))</f>
        <v/>
      </c>
      <c r="BF57" s="149" t="str">
        <f>IFERROR(VLOOKUP(B57,Daily_Working_Do_Not_Delete!E:F,2,0))</f>
        <v/>
      </c>
      <c r="BG57" s="149" t="str">
        <f>IFERROR(VLOOKUP(B57,Daily_Working_Do_Not_Delete!C:D,2,0))</f>
        <v/>
      </c>
      <c r="BH57" s="149" t="str">
        <f>IFERROR(VLOOKUP(B57,Daily_Working_Do_Not_Delete!A:B,2,0))</f>
        <v/>
      </c>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row>
    <row r="58">
      <c r="A58" s="146" t="s">
        <v>17</v>
      </c>
      <c r="B58" s="146" t="s">
        <v>84</v>
      </c>
      <c r="C58" s="137" t="s">
        <v>421</v>
      </c>
      <c r="D58" s="148">
        <f t="shared" si="3"/>
        <v>6.916712963</v>
      </c>
      <c r="E58" s="149">
        <f>IFERROR(VLOOKUP(B58,Daily_Working_Do_Not_Delete!DG:DH,2,0))</f>
        <v>2.11869213</v>
      </c>
      <c r="F58" s="149">
        <f>IFERROR(VLOOKUP(B58,Daily_Working_Do_Not_Delete!DE:DF,2,0))</f>
        <v>0.1551273148</v>
      </c>
      <c r="G58" s="149">
        <f>IFERROR(VLOOKUP(B58,Daily_Working_Do_Not_Delete!DC:DD,2,0))</f>
        <v>0.040625</v>
      </c>
      <c r="H58" s="149">
        <f>IFERROR(VLOOKUP(B58,Daily_Working_Do_Not_Delete!DA:DB,2,0))</f>
        <v>0.06851851852</v>
      </c>
      <c r="I58" s="149">
        <f>IFERROR(VLOOKUP(B58,Daily_Working_Do_Not_Delete!CY:CZ,2,0))</f>
        <v>0.1171527778</v>
      </c>
      <c r="J58" s="149">
        <f>IFERROR(VLOOKUP(B58,Daily_Working_Do_Not_Delete!CW:CX,2,0))</f>
        <v>0.1211226852</v>
      </c>
      <c r="K58" s="149">
        <f>IFERROR(VLOOKUP(B58,Daily_Working_Do_Not_Delete!CU:CV,2,0))</f>
        <v>0.09837962963</v>
      </c>
      <c r="L58" s="149">
        <f>IFERROR(VLOOKUP(B58,Daily_Working_Do_Not_Delete!CS:CT,2,0))</f>
        <v>0.03208333333</v>
      </c>
      <c r="M58" s="149">
        <f>IFERROR(VLOOKUP(B58,Daily_Working_Do_Not_Delete!CQ:CR,2,0))</f>
        <v>0.1225347222</v>
      </c>
      <c r="N58" s="149">
        <f>IFERROR(VLOOKUP(B58,Daily_Working_Do_Not_Delete!CO:CP,2,0))</f>
        <v>0.1892939815</v>
      </c>
      <c r="O58" s="149">
        <f>IFERROR(VLOOKUP(B58,Daily_Working_Do_Not_Delete!CM:CN,2,0))</f>
        <v>0.1683680556</v>
      </c>
      <c r="P58" s="149">
        <f>IFERROR(VLOOKUP(B58,Daily_Working_Do_Not_Delete!CK:CL,2,0))</f>
        <v>0.2073032407</v>
      </c>
      <c r="Q58" s="149">
        <f>IFERROR(VLOOKUP(B58,Daily_Working_Do_Not_Delete!CI:CJ,2,0))</f>
        <v>0.2488194444</v>
      </c>
      <c r="R58" s="149">
        <f>IFERROR(VLOOKUP(B58,Daily_Working_Do_Not_Delete!CG:CH,2,0))</f>
        <v>0.1367939815</v>
      </c>
      <c r="S58" s="149">
        <f>IFERROR(VLOOKUP(B58,Daily_Working_Do_Not_Delete!CE:CF,2,0))</f>
        <v>0.1432407407</v>
      </c>
      <c r="T58" s="149">
        <f>IFERROR(VLOOKUP(B58,Daily_Working_Do_Not_Delete!CC:CD,2,0))</f>
        <v>0.1869675926</v>
      </c>
      <c r="U58" s="149">
        <f>IFERROR(VLOOKUP(B58,Daily_Working_Do_Not_Delete!CA:CB,2,0))</f>
        <v>0.08396990741</v>
      </c>
      <c r="V58" s="149">
        <f>IFERROR(VLOOKUP(B58,Daily_Working_Do_Not_Delete!BY:BZ,2,0))</f>
        <v>0.06990740741</v>
      </c>
      <c r="W58" s="149">
        <f>IFERROR(VLOOKUP(B58,Daily_Working_Do_Not_Delete!BW:BX,2,0))</f>
        <v>0.1102314815</v>
      </c>
      <c r="X58" s="149">
        <f>IFERROR(VLOOKUP(B58,Daily_Working_Do_Not_Delete!BU:BV,2,0))</f>
        <v>0.02827546296</v>
      </c>
      <c r="Y58" s="149">
        <f>IFERROR(VLOOKUP(B58,Daily_Working_Do_Not_Delete!BS:BT,2,0))</f>
        <v>0.06826388889</v>
      </c>
      <c r="Z58" s="149">
        <f>IFERROR(VLOOKUP(B58,Daily_Working_Do_Not_Delete!BQ:BR,2,0))</f>
        <v>0.1690972222</v>
      </c>
      <c r="AA58" s="149">
        <f>IFERROR(VLOOKUP(B58,Daily_Working_Do_Not_Delete!BO:BP,2,0))</f>
        <v>0.1445601852</v>
      </c>
      <c r="AB58" s="149">
        <f>IFERROR(VLOOKUP(B58,Daily_Working_Do_Not_Delete!BM:BN,2,0))</f>
        <v>0.229375</v>
      </c>
      <c r="AC58" s="149">
        <f>IFERROR(VLOOKUP(B58,Daily_Working_Do_Not_Delete!BK:BL,2,0))</f>
        <v>0.1445023148</v>
      </c>
      <c r="AD58" s="149">
        <f>IFERROR(VLOOKUP(B58,Daily_Working_Do_Not_Delete!BI:BJ,2,0))</f>
        <v>0.08019675926</v>
      </c>
      <c r="AE58" s="149">
        <f>IFERROR(VLOOKUP(B58,Daily_Working_Do_Not_Delete!BG:BH,2,0))</f>
        <v>0.2203356481</v>
      </c>
      <c r="AF58" s="149">
        <f>IFERROR(VLOOKUP(B58,Daily_Working_Do_Not_Delete!BE:BF,2,0))</f>
        <v>0.1368171296</v>
      </c>
      <c r="AG58" s="149">
        <f>IFERROR(VLOOKUP(B58,Daily_Working_Do_Not_Delete!BC:BD,2,0))</f>
        <v>0.2305208333</v>
      </c>
      <c r="AH58" s="149">
        <f>IFERROR(VLOOKUP(B58,Daily_Working_Do_Not_Delete!BA:BB,2,0))</f>
        <v>0.1748148148</v>
      </c>
      <c r="AI58" s="149">
        <f>IFERROR(VLOOKUP(B58,Daily_Working_Do_Not_Delete!AY:AZ,2,0))</f>
        <v>0.1662037037</v>
      </c>
      <c r="AJ58" s="149">
        <f>IFERROR(VLOOKUP(B58,Daily_Working_Do_Not_Delete!AW:AX,2,0))</f>
        <v>0.2797685185</v>
      </c>
      <c r="AK58" s="149">
        <f>IFERROR(VLOOKUP(B58,Daily_Working_Do_Not_Delete!AU:AV,2,0))</f>
        <v>0.142037037</v>
      </c>
      <c r="AL58" s="149">
        <f>IFERROR(VLOOKUP(B58,Daily_Working_Do_Not_Delete!AS:AT,2,0))</f>
        <v>0.07699074074</v>
      </c>
      <c r="AM58" s="149">
        <f>IFERROR(VLOOKUP(B58,Daily_Working_Do_Not_Delete!AQ:AR,2,0))</f>
        <v>0.01251157407</v>
      </c>
      <c r="AN58" s="149">
        <f>IFERROR(VLOOKUP(B58,Daily_Working_Do_Not_Delete!AO:AP,2,0))</f>
        <v>0.07207175926</v>
      </c>
      <c r="AO58" s="149">
        <f>IFERROR(VLOOKUP(B58,Daily_Working_Do_Not_Delete!AM:AN,2,0))</f>
        <v>0.0203125</v>
      </c>
      <c r="AP58" s="149">
        <f>IFERROR(VLOOKUP(B58,Daily_Working_Do_Not_Delete!AK:AL,2,0))</f>
        <v>0.05086805556</v>
      </c>
      <c r="AQ58" s="149">
        <f>IFERROR(VLOOKUP(B58,Daily_Working_Do_Not_Delete!AI:AJ,2,0))</f>
        <v>0.003032407407</v>
      </c>
      <c r="AR58" s="149">
        <f>IFERROR(VLOOKUP(B58,Daily_Working_Do_Not_Delete!AG:AH,2,0))</f>
        <v>0.02929398148</v>
      </c>
      <c r="AS58" s="149" t="str">
        <f>IFERROR(VLOOKUP(B58,Daily_Working_Do_Not_Delete!AE:AF,2,0))</f>
        <v/>
      </c>
      <c r="AT58" s="149" t="str">
        <f>IFERROR(VLOOKUP(B58,Daily_Working_Do_Not_Delete!AC:AD,2,0))</f>
        <v/>
      </c>
      <c r="AU58" s="149" t="str">
        <f>IFERROR(VLOOKUP(B58,Daily_Working_Do_Not_Delete!AA:AB,2,0))</f>
        <v/>
      </c>
      <c r="AV58" s="149" t="str">
        <f>IFERROR(VLOOKUP(B58,Daily_Working_Do_Not_Delete!Y:Z,2,0))</f>
        <v/>
      </c>
      <c r="AW58" s="149" t="str">
        <f>IFERROR(VLOOKUP(B58,Daily_Working_Do_Not_Delete!W:X,2,0))</f>
        <v/>
      </c>
      <c r="AX58" s="149" t="str">
        <f>IFERROR(VLOOKUP(B58,Daily_Working_Do_Not_Delete!U:V,2,0))</f>
        <v/>
      </c>
      <c r="AY58" s="149" t="str">
        <f>IFERROR(VLOOKUP(B58,Daily_Working_Do_Not_Delete!S:T,2,0))</f>
        <v/>
      </c>
      <c r="AZ58" s="149">
        <f>IFERROR(VLOOKUP(B58,Daily_Working_Do_Not_Delete!Q:R,2,0))</f>
        <v>0.01043981481</v>
      </c>
      <c r="BA58" s="149">
        <f>IFERROR(VLOOKUP(B58,Daily_Working_Do_Not_Delete!O:P,2,0))</f>
        <v>0.007291666667</v>
      </c>
      <c r="BB58" s="149" t="str">
        <f>IFERROR(VLOOKUP(B58,Daily_Working_Do_Not_Delete!M:N,2,0))</f>
        <v/>
      </c>
      <c r="BC58" s="149" t="str">
        <f>IFERROR(VLOOKUP(B58,Daily_Working_Do_Not_Delete!K:L,2,0))</f>
        <v/>
      </c>
      <c r="BD58" s="149" t="str">
        <f>IFERROR(VLOOKUP(B58,Daily_Working_Do_Not_Delete!I:J,2,0))</f>
        <v/>
      </c>
      <c r="BE58" s="149" t="str">
        <f>IFERROR(VLOOKUP(B58,Daily_Working_Do_Not_Delete!G:H,2,0))</f>
        <v/>
      </c>
      <c r="BF58" s="149" t="str">
        <f>IFERROR(VLOOKUP(B58,Daily_Working_Do_Not_Delete!E:F,2,0))</f>
        <v/>
      </c>
      <c r="BG58" s="149" t="str">
        <f>IFERROR(VLOOKUP(B58,Daily_Working_Do_Not_Delete!C:D,2,0))</f>
        <v/>
      </c>
      <c r="BH58" s="149" t="str">
        <f>IFERROR(VLOOKUP(B58,Daily_Working_Do_Not_Delete!A:B,2,0))</f>
        <v/>
      </c>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row>
    <row r="59">
      <c r="A59" s="146" t="s">
        <v>17</v>
      </c>
      <c r="B59" s="146" t="s">
        <v>85</v>
      </c>
      <c r="C59" s="137" t="s">
        <v>421</v>
      </c>
      <c r="D59" s="148">
        <f t="shared" si="3"/>
        <v>6.744768519</v>
      </c>
      <c r="E59" s="149">
        <f>IFERROR(VLOOKUP(B59,Daily_Working_Do_Not_Delete!DG:DH,2,0))</f>
        <v>1.286898148</v>
      </c>
      <c r="F59" s="149">
        <f>IFERROR(VLOOKUP(B59,Daily_Working_Do_Not_Delete!DE:DF,2,0))</f>
        <v>0.05178240741</v>
      </c>
      <c r="G59" s="149">
        <f>IFERROR(VLOOKUP(B59,Daily_Working_Do_Not_Delete!DC:DD,2,0))</f>
        <v>0.008553240741</v>
      </c>
      <c r="H59" s="149">
        <f>IFERROR(VLOOKUP(B59,Daily_Working_Do_Not_Delete!DA:DB,2,0))</f>
        <v>0.01454861111</v>
      </c>
      <c r="I59" s="149">
        <f>IFERROR(VLOOKUP(B59,Daily_Working_Do_Not_Delete!CY:CZ,2,0))</f>
        <v>0.000462962963</v>
      </c>
      <c r="J59" s="149">
        <f>IFERROR(VLOOKUP(B59,Daily_Working_Do_Not_Delete!CW:CX,2,0))</f>
        <v>0.01136574074</v>
      </c>
      <c r="K59" s="149">
        <f>IFERROR(VLOOKUP(B59,Daily_Working_Do_Not_Delete!CU:CV,2,0))</f>
        <v>0.02674768519</v>
      </c>
      <c r="L59" s="149">
        <f>IFERROR(VLOOKUP(B59,Daily_Working_Do_Not_Delete!CS:CT,2,0))</f>
        <v>0.02125</v>
      </c>
      <c r="M59" s="149">
        <f>IFERROR(VLOOKUP(B59,Daily_Working_Do_Not_Delete!CQ:CR,2,0))</f>
        <v>0.04351851852</v>
      </c>
      <c r="N59" s="149">
        <f>IFERROR(VLOOKUP(B59,Daily_Working_Do_Not_Delete!CO:CP,2,0))</f>
        <v>0.007974537037</v>
      </c>
      <c r="O59" s="149">
        <f>IFERROR(VLOOKUP(B59,Daily_Working_Do_Not_Delete!CM:CN,2,0))</f>
        <v>0.01855324074</v>
      </c>
      <c r="P59" s="149">
        <f>IFERROR(VLOOKUP(B59,Daily_Working_Do_Not_Delete!CK:CL,2,0))</f>
        <v>0.04015046296</v>
      </c>
      <c r="Q59" s="149">
        <f>IFERROR(VLOOKUP(B59,Daily_Working_Do_Not_Delete!CI:CJ,2,0))</f>
        <v>0.0153125</v>
      </c>
      <c r="R59" s="149">
        <f>IFERROR(VLOOKUP(B59,Daily_Working_Do_Not_Delete!CG:CH,2,0))</f>
        <v>0.01429398148</v>
      </c>
      <c r="S59" s="149" t="str">
        <f>IFERROR(VLOOKUP(B59,Daily_Working_Do_Not_Delete!CE:CF,2,0))</f>
        <v/>
      </c>
      <c r="T59" s="149">
        <f>IFERROR(VLOOKUP(B59,Daily_Working_Do_Not_Delete!CC:CD,2,0))</f>
        <v>0.08851851852</v>
      </c>
      <c r="U59" s="149">
        <f>IFERROR(VLOOKUP(B59,Daily_Working_Do_Not_Delete!CA:CB,2,0))</f>
        <v>0.08045138889</v>
      </c>
      <c r="V59" s="149">
        <f>IFERROR(VLOOKUP(B59,Daily_Working_Do_Not_Delete!BY:BZ,2,0))</f>
        <v>0.1074652778</v>
      </c>
      <c r="W59" s="149">
        <f>IFERROR(VLOOKUP(B59,Daily_Working_Do_Not_Delete!BW:BX,2,0))</f>
        <v>0.1218055556</v>
      </c>
      <c r="X59" s="149">
        <f>IFERROR(VLOOKUP(B59,Daily_Working_Do_Not_Delete!BU:BV,2,0))</f>
        <v>0.1014583333</v>
      </c>
      <c r="Y59" s="149">
        <f>IFERROR(VLOOKUP(B59,Daily_Working_Do_Not_Delete!BS:BT,2,0))</f>
        <v>0.1431018519</v>
      </c>
      <c r="Z59" s="149">
        <f>IFERROR(VLOOKUP(B59,Daily_Working_Do_Not_Delete!BQ:BR,2,0))</f>
        <v>0.196099537</v>
      </c>
      <c r="AA59" s="149">
        <f>IFERROR(VLOOKUP(B59,Daily_Working_Do_Not_Delete!BO:BP,2,0))</f>
        <v>0.2471643519</v>
      </c>
      <c r="AB59" s="149">
        <f>IFERROR(VLOOKUP(B59,Daily_Working_Do_Not_Delete!BM:BN,2,0))</f>
        <v>0.3249189815</v>
      </c>
      <c r="AC59" s="149">
        <f>IFERROR(VLOOKUP(B59,Daily_Working_Do_Not_Delete!BK:BL,2,0))</f>
        <v>0.1465625</v>
      </c>
      <c r="AD59" s="149">
        <f>IFERROR(VLOOKUP(B59,Daily_Working_Do_Not_Delete!BI:BJ,2,0))</f>
        <v>0.3241435185</v>
      </c>
      <c r="AE59" s="149">
        <f>IFERROR(VLOOKUP(B59,Daily_Working_Do_Not_Delete!BG:BH,2,0))</f>
        <v>0.2909606481</v>
      </c>
      <c r="AF59" s="149">
        <f>IFERROR(VLOOKUP(B59,Daily_Working_Do_Not_Delete!BE:BF,2,0))</f>
        <v>0.2936111111</v>
      </c>
      <c r="AG59" s="149">
        <f>IFERROR(VLOOKUP(B59,Daily_Working_Do_Not_Delete!BC:BD,2,0))</f>
        <v>0.3932291667</v>
      </c>
      <c r="AH59" s="149">
        <f>IFERROR(VLOOKUP(B59,Daily_Working_Do_Not_Delete!BA:BB,2,0))</f>
        <v>0.3658796296</v>
      </c>
      <c r="AI59" s="149">
        <f>IFERROR(VLOOKUP(B59,Daily_Working_Do_Not_Delete!AY:AZ,2,0))</f>
        <v>0.4970486111</v>
      </c>
      <c r="AJ59" s="149">
        <f>IFERROR(VLOOKUP(B59,Daily_Working_Do_Not_Delete!AW:AX,2,0))</f>
        <v>0.4619097222</v>
      </c>
      <c r="AK59" s="149">
        <f>IFERROR(VLOOKUP(B59,Daily_Working_Do_Not_Delete!AU:AV,2,0))</f>
        <v>0.440787037</v>
      </c>
      <c r="AL59" s="149">
        <f>IFERROR(VLOOKUP(B59,Daily_Working_Do_Not_Delete!AS:AT,2,0))</f>
        <v>0.1140856481</v>
      </c>
      <c r="AM59" s="149">
        <f>IFERROR(VLOOKUP(B59,Daily_Working_Do_Not_Delete!AQ:AR,2,0))</f>
        <v>0.1169328704</v>
      </c>
      <c r="AN59" s="149">
        <f>IFERROR(VLOOKUP(B59,Daily_Working_Do_Not_Delete!AO:AP,2,0))</f>
        <v>0.1042708333</v>
      </c>
      <c r="AO59" s="149">
        <f>IFERROR(VLOOKUP(B59,Daily_Working_Do_Not_Delete!AM:AN,2,0))</f>
        <v>0.09766203704</v>
      </c>
      <c r="AP59" s="149">
        <f>IFERROR(VLOOKUP(B59,Daily_Working_Do_Not_Delete!AK:AL,2,0))</f>
        <v>0.05361111111</v>
      </c>
      <c r="AQ59" s="149">
        <f>IFERROR(VLOOKUP(B59,Daily_Working_Do_Not_Delete!AI:AJ,2,0))</f>
        <v>0.01337962963</v>
      </c>
      <c r="AR59" s="149">
        <f>IFERROR(VLOOKUP(B59,Daily_Working_Do_Not_Delete!AG:AH,2,0))</f>
        <v>0.03144675926</v>
      </c>
      <c r="AS59" s="149">
        <f>IFERROR(VLOOKUP(B59,Daily_Working_Do_Not_Delete!AE:AF,2,0))</f>
        <v>0.001493055556</v>
      </c>
      <c r="AT59" s="149">
        <f>IFERROR(VLOOKUP(B59,Daily_Working_Do_Not_Delete!AC:AD,2,0))</f>
        <v>0.02210648148</v>
      </c>
      <c r="AU59" s="149">
        <f>IFERROR(VLOOKUP(B59,Daily_Working_Do_Not_Delete!AA:AB,2,0))</f>
        <v>0.001956018519</v>
      </c>
      <c r="AV59" s="149" t="str">
        <f>IFERROR(VLOOKUP(B59,Daily_Working_Do_Not_Delete!Y:Z,2,0))</f>
        <v/>
      </c>
      <c r="AW59" s="149" t="str">
        <f>IFERROR(VLOOKUP(B59,Daily_Working_Do_Not_Delete!W:X,2,0))</f>
        <v/>
      </c>
      <c r="AX59" s="149" t="str">
        <f>IFERROR(VLOOKUP(B59,Daily_Working_Do_Not_Delete!U:V,2,0))</f>
        <v/>
      </c>
      <c r="AY59" s="149" t="str">
        <f>IFERROR(VLOOKUP(B59,Daily_Working_Do_Not_Delete!S:T,2,0))</f>
        <v/>
      </c>
      <c r="AZ59" s="149" t="str">
        <f>IFERROR(VLOOKUP(B59,Daily_Working_Do_Not_Delete!Q:R,2,0))</f>
        <v/>
      </c>
      <c r="BA59" s="149" t="str">
        <f>IFERROR(VLOOKUP(B59,Daily_Working_Do_Not_Delete!O:P,2,0))</f>
        <v/>
      </c>
      <c r="BB59" s="149" t="str">
        <f>IFERROR(VLOOKUP(B59,Daily_Working_Do_Not_Delete!M:N,2,0))</f>
        <v/>
      </c>
      <c r="BC59" s="149">
        <f>IFERROR(VLOOKUP(B59,Daily_Working_Do_Not_Delete!K:L,2,0))</f>
        <v>0.001296296296</v>
      </c>
      <c r="BD59" s="149" t="str">
        <f>IFERROR(VLOOKUP(B59,Daily_Working_Do_Not_Delete!I:J,2,0))</f>
        <v/>
      </c>
      <c r="BE59" s="149" t="str">
        <f>IFERROR(VLOOKUP(B59,Daily_Working_Do_Not_Delete!G:H,2,0))</f>
        <v/>
      </c>
      <c r="BF59" s="149" t="str">
        <f>IFERROR(VLOOKUP(B59,Daily_Working_Do_Not_Delete!E:F,2,0))</f>
        <v/>
      </c>
      <c r="BG59" s="149" t="str">
        <f>IFERROR(VLOOKUP(B59,Daily_Working_Do_Not_Delete!C:D,2,0))</f>
        <v/>
      </c>
      <c r="BH59" s="149" t="str">
        <f>IFERROR(VLOOKUP(B59,Daily_Working_Do_Not_Delete!A:B,2,0))</f>
        <v/>
      </c>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row>
    <row r="60">
      <c r="A60" s="146" t="s">
        <v>17</v>
      </c>
      <c r="B60" s="146" t="s">
        <v>79</v>
      </c>
      <c r="C60" s="137" t="s">
        <v>421</v>
      </c>
      <c r="D60" s="148">
        <f t="shared" si="3"/>
        <v>6.142708333</v>
      </c>
      <c r="E60" s="149">
        <f>IFERROR(VLOOKUP(B60,Daily_Working_Do_Not_Delete!DG:DH,2,0))</f>
        <v>0.7498726852</v>
      </c>
      <c r="F60" s="149">
        <f>IFERROR(VLOOKUP(B60,Daily_Working_Do_Not_Delete!DE:DF,2,0))</f>
        <v>0.008958333333</v>
      </c>
      <c r="G60" s="149">
        <f>IFERROR(VLOOKUP(B60,Daily_Working_Do_Not_Delete!DC:DD,2,0))</f>
        <v>0.004618055556</v>
      </c>
      <c r="H60" s="149">
        <f>IFERROR(VLOOKUP(B60,Daily_Working_Do_Not_Delete!DA:DB,2,0))</f>
        <v>0.0001736111111</v>
      </c>
      <c r="I60" s="149">
        <f>IFERROR(VLOOKUP(B60,Daily_Working_Do_Not_Delete!CY:CZ,2,0))</f>
        <v>0.002476851852</v>
      </c>
      <c r="J60" s="149">
        <f>IFERROR(VLOOKUP(B60,Daily_Working_Do_Not_Delete!CW:CX,2,0))</f>
        <v>0.0103587963</v>
      </c>
      <c r="K60" s="149">
        <f>IFERROR(VLOOKUP(B60,Daily_Working_Do_Not_Delete!CU:CV,2,0))</f>
        <v>0.01146990741</v>
      </c>
      <c r="L60" s="149">
        <f>IFERROR(VLOOKUP(B60,Daily_Working_Do_Not_Delete!CS:CT,2,0))</f>
        <v>0.03070601852</v>
      </c>
      <c r="M60" s="149">
        <f>IFERROR(VLOOKUP(B60,Daily_Working_Do_Not_Delete!CQ:CR,2,0))</f>
        <v>0.01741898148</v>
      </c>
      <c r="N60" s="149">
        <f>IFERROR(VLOOKUP(B60,Daily_Working_Do_Not_Delete!CO:CP,2,0))</f>
        <v>0.0374537037</v>
      </c>
      <c r="O60" s="149">
        <f>IFERROR(VLOOKUP(B60,Daily_Working_Do_Not_Delete!CM:CN,2,0))</f>
        <v>0.04587962963</v>
      </c>
      <c r="P60" s="149">
        <f>IFERROR(VLOOKUP(B60,Daily_Working_Do_Not_Delete!CK:CL,2,0))</f>
        <v>0.01333333333</v>
      </c>
      <c r="Q60" s="149">
        <f>IFERROR(VLOOKUP(B60,Daily_Working_Do_Not_Delete!CI:CJ,2,0))</f>
        <v>0.02513888889</v>
      </c>
      <c r="R60" s="149">
        <f>IFERROR(VLOOKUP(B60,Daily_Working_Do_Not_Delete!CG:CH,2,0))</f>
        <v>0.02094907407</v>
      </c>
      <c r="S60" s="149">
        <f>IFERROR(VLOOKUP(B60,Daily_Working_Do_Not_Delete!CE:CF,2,0))</f>
        <v>0.02564814815</v>
      </c>
      <c r="T60" s="149">
        <f>IFERROR(VLOOKUP(B60,Daily_Working_Do_Not_Delete!CC:CD,2,0))</f>
        <v>0.03143518519</v>
      </c>
      <c r="U60" s="149">
        <f>IFERROR(VLOOKUP(B60,Daily_Working_Do_Not_Delete!CA:CB,2,0))</f>
        <v>0.1210069444</v>
      </c>
      <c r="V60" s="149">
        <f>IFERROR(VLOOKUP(B60,Daily_Working_Do_Not_Delete!BY:BZ,2,0))</f>
        <v>0.09471064815</v>
      </c>
      <c r="W60" s="149">
        <f>IFERROR(VLOOKUP(B60,Daily_Working_Do_Not_Delete!BW:BX,2,0))</f>
        <v>0.1206712963</v>
      </c>
      <c r="X60" s="149">
        <f>IFERROR(VLOOKUP(B60,Daily_Working_Do_Not_Delete!BU:BV,2,0))</f>
        <v>0.08834490741</v>
      </c>
      <c r="Y60" s="149">
        <f>IFERROR(VLOOKUP(B60,Daily_Working_Do_Not_Delete!BS:BT,2,0))</f>
        <v>0.1213194444</v>
      </c>
      <c r="Z60" s="149">
        <f>IFERROR(VLOOKUP(B60,Daily_Working_Do_Not_Delete!BQ:BR,2,0))</f>
        <v>0.1870949074</v>
      </c>
      <c r="AA60" s="149">
        <f>IFERROR(VLOOKUP(B60,Daily_Working_Do_Not_Delete!BO:BP,2,0))</f>
        <v>0.275474537</v>
      </c>
      <c r="AB60" s="149">
        <f>IFERROR(VLOOKUP(B60,Daily_Working_Do_Not_Delete!BM:BN,2,0))</f>
        <v>0.3490625</v>
      </c>
      <c r="AC60" s="149">
        <f>IFERROR(VLOOKUP(B60,Daily_Working_Do_Not_Delete!BK:BL,2,0))</f>
        <v>0.2897800926</v>
      </c>
      <c r="AD60" s="149">
        <f>IFERROR(VLOOKUP(B60,Daily_Working_Do_Not_Delete!BI:BJ,2,0))</f>
        <v>0.2990856481</v>
      </c>
      <c r="AE60" s="149">
        <f>IFERROR(VLOOKUP(B60,Daily_Working_Do_Not_Delete!BG:BH,2,0))</f>
        <v>0.3882523148</v>
      </c>
      <c r="AF60" s="149">
        <f>IFERROR(VLOOKUP(B60,Daily_Working_Do_Not_Delete!BE:BF,2,0))</f>
        <v>0.1517476852</v>
      </c>
      <c r="AG60" s="149">
        <f>IFERROR(VLOOKUP(B60,Daily_Working_Do_Not_Delete!BC:BD,2,0))</f>
        <v>0.5009027778</v>
      </c>
      <c r="AH60" s="149">
        <f>IFERROR(VLOOKUP(B60,Daily_Working_Do_Not_Delete!BA:BB,2,0))</f>
        <v>0.4128819444</v>
      </c>
      <c r="AI60" s="149">
        <f>IFERROR(VLOOKUP(B60,Daily_Working_Do_Not_Delete!AY:AZ,2,0))</f>
        <v>0.4818518519</v>
      </c>
      <c r="AJ60" s="149">
        <f>IFERROR(VLOOKUP(B60,Daily_Working_Do_Not_Delete!AW:AX,2,0))</f>
        <v>0.3754976852</v>
      </c>
      <c r="AK60" s="149">
        <f>IFERROR(VLOOKUP(B60,Daily_Working_Do_Not_Delete!AU:AV,2,0))</f>
        <v>0.2722222222</v>
      </c>
      <c r="AL60" s="149">
        <f>IFERROR(VLOOKUP(B60,Daily_Working_Do_Not_Delete!AS:AT,2,0))</f>
        <v>0.225</v>
      </c>
      <c r="AM60" s="149">
        <f>IFERROR(VLOOKUP(B60,Daily_Working_Do_Not_Delete!AQ:AR,2,0))</f>
        <v>0.1376388889</v>
      </c>
      <c r="AN60" s="149">
        <f>IFERROR(VLOOKUP(B60,Daily_Working_Do_Not_Delete!AO:AP,2,0))</f>
        <v>0.08481481481</v>
      </c>
      <c r="AO60" s="149">
        <f>IFERROR(VLOOKUP(B60,Daily_Working_Do_Not_Delete!AM:AN,2,0))</f>
        <v>0.02768518519</v>
      </c>
      <c r="AP60" s="149">
        <f>IFERROR(VLOOKUP(B60,Daily_Working_Do_Not_Delete!AK:AL,2,0))</f>
        <v>0.05171296296</v>
      </c>
      <c r="AQ60" s="149">
        <f>IFERROR(VLOOKUP(B60,Daily_Working_Do_Not_Delete!AI:AJ,2,0))</f>
        <v>0.02027777778</v>
      </c>
      <c r="AR60" s="149">
        <f>IFERROR(VLOOKUP(B60,Daily_Working_Do_Not_Delete!AG:AH,2,0))</f>
        <v>0.02171296296</v>
      </c>
      <c r="AS60" s="149">
        <f>IFERROR(VLOOKUP(B60,Daily_Working_Do_Not_Delete!AE:AF,2,0))</f>
        <v>0.0004282407407</v>
      </c>
      <c r="AT60" s="149" t="str">
        <f>IFERROR(VLOOKUP(B60,Daily_Working_Do_Not_Delete!AC:AD,2,0))</f>
        <v/>
      </c>
      <c r="AU60" s="149" t="str">
        <f>IFERROR(VLOOKUP(B60,Daily_Working_Do_Not_Delete!AA:AB,2,0))</f>
        <v/>
      </c>
      <c r="AV60" s="149" t="str">
        <f>IFERROR(VLOOKUP(B60,Daily_Working_Do_Not_Delete!Y:Z,2,0))</f>
        <v/>
      </c>
      <c r="AW60" s="149" t="str">
        <f>IFERROR(VLOOKUP(B60,Daily_Working_Do_Not_Delete!W:X,2,0))</f>
        <v/>
      </c>
      <c r="AX60" s="149" t="str">
        <f>IFERROR(VLOOKUP(B60,Daily_Working_Do_Not_Delete!U:V,2,0))</f>
        <v/>
      </c>
      <c r="AY60" s="149" t="str">
        <f>IFERROR(VLOOKUP(B60,Daily_Working_Do_Not_Delete!S:T,2,0))</f>
        <v/>
      </c>
      <c r="AZ60" s="149">
        <f>IFERROR(VLOOKUP(B60,Daily_Working_Do_Not_Delete!Q:R,2,0))</f>
        <v>0.006574074074</v>
      </c>
      <c r="BA60" s="149">
        <f>IFERROR(VLOOKUP(B60,Daily_Working_Do_Not_Delete!O:P,2,0))</f>
        <v>0.001064814815</v>
      </c>
      <c r="BB60" s="149" t="str">
        <f>IFERROR(VLOOKUP(B60,Daily_Working_Do_Not_Delete!M:N,2,0))</f>
        <v/>
      </c>
      <c r="BC60" s="149" t="str">
        <f>IFERROR(VLOOKUP(B60,Daily_Working_Do_Not_Delete!K:L,2,0))</f>
        <v/>
      </c>
      <c r="BD60" s="149" t="str">
        <f>IFERROR(VLOOKUP(B60,Daily_Working_Do_Not_Delete!I:J,2,0))</f>
        <v/>
      </c>
      <c r="BE60" s="149" t="str">
        <f>IFERROR(VLOOKUP(B60,Daily_Working_Do_Not_Delete!G:H,2,0))</f>
        <v/>
      </c>
      <c r="BF60" s="149" t="str">
        <f>IFERROR(VLOOKUP(B60,Daily_Working_Do_Not_Delete!E:F,2,0))</f>
        <v/>
      </c>
      <c r="BG60" s="149" t="str">
        <f>IFERROR(VLOOKUP(B60,Daily_Working_Do_Not_Delete!C:D,2,0))</f>
        <v/>
      </c>
      <c r="BH60" s="149" t="str">
        <f>IFERROR(VLOOKUP(B60,Daily_Working_Do_Not_Delete!A:B,2,0))</f>
        <v/>
      </c>
      <c r="BI60" s="150"/>
      <c r="BJ60" s="150"/>
      <c r="BK60" s="150"/>
      <c r="BL60" s="150"/>
      <c r="BM60" s="150"/>
      <c r="BN60" s="150"/>
      <c r="BO60" s="150"/>
      <c r="BP60" s="150"/>
      <c r="BQ60" s="150"/>
      <c r="BR60" s="150"/>
      <c r="BS60" s="150"/>
      <c r="BT60" s="150"/>
      <c r="BU60" s="150"/>
      <c r="BV60" s="150"/>
      <c r="BW60" s="150"/>
      <c r="BX60" s="150"/>
      <c r="BY60" s="150"/>
      <c r="BZ60" s="150"/>
      <c r="CA60" s="150"/>
      <c r="CB60" s="150"/>
      <c r="CC60" s="150"/>
      <c r="CD60" s="150"/>
      <c r="CE60" s="150"/>
      <c r="CF60" s="150"/>
    </row>
    <row r="61">
      <c r="A61" s="146" t="s">
        <v>17</v>
      </c>
      <c r="B61" s="146" t="s">
        <v>18</v>
      </c>
      <c r="C61" s="137" t="s">
        <v>421</v>
      </c>
      <c r="D61" s="148">
        <f t="shared" si="3"/>
        <v>5.911516204</v>
      </c>
      <c r="E61" s="149">
        <f>IFERROR(VLOOKUP(B61,Daily_Working_Do_Not_Delete!DG:DH,2,0))</f>
        <v>0.6095833333</v>
      </c>
      <c r="F61" s="149">
        <f>IFERROR(VLOOKUP(B61,Daily_Working_Do_Not_Delete!DE:DF,2,0))</f>
        <v>0.03186342593</v>
      </c>
      <c r="G61" s="149">
        <f>IFERROR(VLOOKUP(B61,Daily_Working_Do_Not_Delete!DC:DD,2,0))</f>
        <v>0.02821759259</v>
      </c>
      <c r="H61" s="149">
        <f>IFERROR(VLOOKUP(B61,Daily_Working_Do_Not_Delete!DA:DB,2,0))</f>
        <v>0.04289351852</v>
      </c>
      <c r="I61" s="149">
        <f>IFERROR(VLOOKUP(B61,Daily_Working_Do_Not_Delete!CY:CZ,2,0))</f>
        <v>0.01298611111</v>
      </c>
      <c r="J61" s="149">
        <f>IFERROR(VLOOKUP(B61,Daily_Working_Do_Not_Delete!CW:CX,2,0))</f>
        <v>0.01484953704</v>
      </c>
      <c r="K61" s="149">
        <f>IFERROR(VLOOKUP(B61,Daily_Working_Do_Not_Delete!CU:CV,2,0))</f>
        <v>0.03027777778</v>
      </c>
      <c r="L61" s="149">
        <f>IFERROR(VLOOKUP(B61,Daily_Working_Do_Not_Delete!CS:CT,2,0))</f>
        <v>0.02921296296</v>
      </c>
      <c r="M61" s="149">
        <f>IFERROR(VLOOKUP(B61,Daily_Working_Do_Not_Delete!CQ:CR,2,0))</f>
        <v>0.00849537037</v>
      </c>
      <c r="N61" s="149">
        <f>IFERROR(VLOOKUP(B61,Daily_Working_Do_Not_Delete!CO:CP,2,0))</f>
        <v>0.01872685185</v>
      </c>
      <c r="O61" s="149">
        <f>IFERROR(VLOOKUP(B61,Daily_Working_Do_Not_Delete!CM:CN,2,0))</f>
        <v>0.0284837963</v>
      </c>
      <c r="P61" s="149">
        <f>IFERROR(VLOOKUP(B61,Daily_Working_Do_Not_Delete!CK:CL,2,0))</f>
        <v>0.04363425926</v>
      </c>
      <c r="Q61" s="149">
        <f>IFERROR(VLOOKUP(B61,Daily_Working_Do_Not_Delete!CI:CJ,2,0))</f>
        <v>0.02678240741</v>
      </c>
      <c r="R61" s="149">
        <f>IFERROR(VLOOKUP(B61,Daily_Working_Do_Not_Delete!CG:CH,2,0))</f>
        <v>0.002256944444</v>
      </c>
      <c r="S61" s="149">
        <f>IFERROR(VLOOKUP(B61,Daily_Working_Do_Not_Delete!CE:CF,2,0))</f>
        <v>0.07082175926</v>
      </c>
      <c r="T61" s="149">
        <f>IFERROR(VLOOKUP(B61,Daily_Working_Do_Not_Delete!CC:CD,2,0))</f>
        <v>0.08726851852</v>
      </c>
      <c r="U61" s="149">
        <f>IFERROR(VLOOKUP(B61,Daily_Working_Do_Not_Delete!CA:CB,2,0))</f>
        <v>0.05949074074</v>
      </c>
      <c r="V61" s="149">
        <f>IFERROR(VLOOKUP(B61,Daily_Working_Do_Not_Delete!BY:BZ,2,0))</f>
        <v>0.1278472222</v>
      </c>
      <c r="W61" s="149">
        <f>IFERROR(VLOOKUP(B61,Daily_Working_Do_Not_Delete!BW:BX,2,0))</f>
        <v>0.1134606481</v>
      </c>
      <c r="X61" s="149">
        <f>IFERROR(VLOOKUP(B61,Daily_Working_Do_Not_Delete!BU:BV,2,0))</f>
        <v>0.04469907407</v>
      </c>
      <c r="Y61" s="149">
        <f>IFERROR(VLOOKUP(B61,Daily_Working_Do_Not_Delete!BS:BT,2,0))</f>
        <v>0.05552083333</v>
      </c>
      <c r="Z61" s="149">
        <f>IFERROR(VLOOKUP(B61,Daily_Working_Do_Not_Delete!BQ:BR,2,0))</f>
        <v>0.3138888889</v>
      </c>
      <c r="AA61" s="149">
        <f>IFERROR(VLOOKUP(B61,Daily_Working_Do_Not_Delete!BO:BP,2,0))</f>
        <v>0.2789930556</v>
      </c>
      <c r="AB61" s="149">
        <f>IFERROR(VLOOKUP(B61,Daily_Working_Do_Not_Delete!BM:BN,2,0))</f>
        <v>0.3194560185</v>
      </c>
      <c r="AC61" s="149">
        <f>IFERROR(VLOOKUP(B61,Daily_Working_Do_Not_Delete!BK:BL,2,0))</f>
        <v>0.3500347222</v>
      </c>
      <c r="AD61" s="149">
        <f>IFERROR(VLOOKUP(B61,Daily_Working_Do_Not_Delete!BI:BJ,2,0))</f>
        <v>0.3011342593</v>
      </c>
      <c r="AE61" s="149">
        <f>IFERROR(VLOOKUP(B61,Daily_Working_Do_Not_Delete!BG:BH,2,0))</f>
        <v>0.3480439815</v>
      </c>
      <c r="AF61" s="149">
        <f>IFERROR(VLOOKUP(B61,Daily_Working_Do_Not_Delete!BE:BF,2,0))</f>
        <v>0.2927662037</v>
      </c>
      <c r="AG61" s="149">
        <f>IFERROR(VLOOKUP(B61,Daily_Working_Do_Not_Delete!BC:BD,2,0))</f>
        <v>0.5388541667</v>
      </c>
      <c r="AH61" s="149">
        <f>IFERROR(VLOOKUP(B61,Daily_Working_Do_Not_Delete!BA:BB,2,0))</f>
        <v>0.4094444444</v>
      </c>
      <c r="AI61" s="149">
        <f>IFERROR(VLOOKUP(B61,Daily_Working_Do_Not_Delete!AY:AZ,2,0))</f>
        <v>0.2381712963</v>
      </c>
      <c r="AJ61" s="149">
        <f>IFERROR(VLOOKUP(B61,Daily_Working_Do_Not_Delete!AW:AX,2,0))</f>
        <v>0.3350925926</v>
      </c>
      <c r="AK61" s="149">
        <f>IFERROR(VLOOKUP(B61,Daily_Working_Do_Not_Delete!AU:AV,2,0))</f>
        <v>0.2225925926</v>
      </c>
      <c r="AL61" s="149">
        <f>IFERROR(VLOOKUP(B61,Daily_Working_Do_Not_Delete!AS:AT,2,0))</f>
        <v>0.1201041667</v>
      </c>
      <c r="AM61" s="149">
        <f>IFERROR(VLOOKUP(B61,Daily_Working_Do_Not_Delete!AQ:AR,2,0))</f>
        <v>0.05842592593</v>
      </c>
      <c r="AN61" s="149">
        <f>IFERROR(VLOOKUP(B61,Daily_Working_Do_Not_Delete!AO:AP,2,0))</f>
        <v>0.1216898148</v>
      </c>
      <c r="AO61" s="149">
        <f>IFERROR(VLOOKUP(B61,Daily_Working_Do_Not_Delete!AM:AN,2,0))</f>
        <v>0.05581018519</v>
      </c>
      <c r="AP61" s="149">
        <f>IFERROR(VLOOKUP(B61,Daily_Working_Do_Not_Delete!AK:AL,2,0))</f>
        <v>0.08481481481</v>
      </c>
      <c r="AQ61" s="149">
        <f>IFERROR(VLOOKUP(B61,Daily_Working_Do_Not_Delete!AI:AJ,2,0))</f>
        <v>0.01155092593</v>
      </c>
      <c r="AR61" s="149">
        <f>IFERROR(VLOOKUP(B61,Daily_Working_Do_Not_Delete!AG:AH,2,0))</f>
        <v>0.01033564815</v>
      </c>
      <c r="AS61" s="149" t="str">
        <f>IFERROR(VLOOKUP(B61,Daily_Working_Do_Not_Delete!AE:AF,2,0))</f>
        <v/>
      </c>
      <c r="AT61" s="149" t="str">
        <f>IFERROR(VLOOKUP(B61,Daily_Working_Do_Not_Delete!AC:AD,2,0))</f>
        <v/>
      </c>
      <c r="AU61" s="149" t="str">
        <f>IFERROR(VLOOKUP(B61,Daily_Working_Do_Not_Delete!AA:AB,2,0))</f>
        <v/>
      </c>
      <c r="AV61" s="149" t="str">
        <f>IFERROR(VLOOKUP(B61,Daily_Working_Do_Not_Delete!Y:Z,2,0))</f>
        <v/>
      </c>
      <c r="AW61" s="149">
        <f>IFERROR(VLOOKUP(B61,Daily_Working_Do_Not_Delete!W:X,2,0))</f>
        <v>0.0003240740741</v>
      </c>
      <c r="AX61" s="149" t="str">
        <f>IFERROR(VLOOKUP(B61,Daily_Working_Do_Not_Delete!U:V,2,0))</f>
        <v/>
      </c>
      <c r="AY61" s="149" t="str">
        <f>IFERROR(VLOOKUP(B61,Daily_Working_Do_Not_Delete!S:T,2,0))</f>
        <v/>
      </c>
      <c r="AZ61" s="149">
        <f>IFERROR(VLOOKUP(B61,Daily_Working_Do_Not_Delete!Q:R,2,0))</f>
        <v>0.004016203704</v>
      </c>
      <c r="BA61" s="149">
        <f>IFERROR(VLOOKUP(B61,Daily_Working_Do_Not_Delete!O:P,2,0))</f>
        <v>0.006226851852</v>
      </c>
      <c r="BB61" s="149" t="str">
        <f>IFERROR(VLOOKUP(B61,Daily_Working_Do_Not_Delete!M:N,2,0))</f>
        <v/>
      </c>
      <c r="BC61" s="149" t="str">
        <f>IFERROR(VLOOKUP(B61,Daily_Working_Do_Not_Delete!K:L,2,0))</f>
        <v/>
      </c>
      <c r="BD61" s="149" t="str">
        <f>IFERROR(VLOOKUP(B61,Daily_Working_Do_Not_Delete!I:J,2,0))</f>
        <v/>
      </c>
      <c r="BE61" s="149">
        <f>IFERROR(VLOOKUP(B61,Daily_Working_Do_Not_Delete!G:H,2,0))</f>
        <v>0.002372685185</v>
      </c>
      <c r="BF61" s="149" t="str">
        <f>IFERROR(VLOOKUP(B61,Daily_Working_Do_Not_Delete!E:F,2,0))</f>
        <v/>
      </c>
      <c r="BG61" s="149" t="str">
        <f>IFERROR(VLOOKUP(B61,Daily_Working_Do_Not_Delete!C:D,2,0))</f>
        <v/>
      </c>
      <c r="BH61" s="149" t="str">
        <f>IFERROR(VLOOKUP(B61,Daily_Working_Do_Not_Delete!A:B,2,0))</f>
        <v/>
      </c>
      <c r="BI61" s="150"/>
      <c r="BJ61" s="150"/>
      <c r="BK61" s="150"/>
      <c r="BL61" s="150"/>
      <c r="BM61" s="150"/>
      <c r="BN61" s="150"/>
      <c r="BO61" s="150"/>
      <c r="BP61" s="150"/>
      <c r="BQ61" s="150"/>
      <c r="BR61" s="150"/>
      <c r="BS61" s="150"/>
      <c r="BT61" s="150"/>
      <c r="BU61" s="150"/>
      <c r="BV61" s="150"/>
      <c r="BW61" s="150"/>
      <c r="BX61" s="150"/>
      <c r="BY61" s="150"/>
      <c r="BZ61" s="150"/>
      <c r="CA61" s="150"/>
      <c r="CB61" s="150"/>
      <c r="CC61" s="150"/>
      <c r="CD61" s="150"/>
      <c r="CE61" s="150"/>
      <c r="CF61" s="150"/>
    </row>
    <row r="62">
      <c r="A62" s="146" t="s">
        <v>17</v>
      </c>
      <c r="B62" s="146" t="s">
        <v>23</v>
      </c>
      <c r="C62" s="137" t="s">
        <v>421</v>
      </c>
      <c r="D62" s="148">
        <f t="shared" si="3"/>
        <v>6.340763889</v>
      </c>
      <c r="E62" s="149">
        <f>IFERROR(VLOOKUP(B62,Daily_Working_Do_Not_Delete!DG:DH,2,0))</f>
        <v>3.247268519</v>
      </c>
      <c r="F62" s="149">
        <f>IFERROR(VLOOKUP(B62,Daily_Working_Do_Not_Delete!DE:DF,2,0))</f>
        <v>0.1005902778</v>
      </c>
      <c r="G62" s="149">
        <f>IFERROR(VLOOKUP(B62,Daily_Working_Do_Not_Delete!DC:DD,2,0))</f>
        <v>0.0106712963</v>
      </c>
      <c r="H62" s="149">
        <f>IFERROR(VLOOKUP(B62,Daily_Working_Do_Not_Delete!DA:DB,2,0))</f>
        <v>0.01097222222</v>
      </c>
      <c r="I62" s="149">
        <f>IFERROR(VLOOKUP(B62,Daily_Working_Do_Not_Delete!CY:CZ,2,0))</f>
        <v>0.03114583333</v>
      </c>
      <c r="J62" s="149">
        <f>IFERROR(VLOOKUP(B62,Daily_Working_Do_Not_Delete!CW:CX,2,0))</f>
        <v>0.02710648148</v>
      </c>
      <c r="K62" s="149">
        <f>IFERROR(VLOOKUP(B62,Daily_Working_Do_Not_Delete!CU:CV,2,0))</f>
        <v>0.0434375</v>
      </c>
      <c r="L62" s="149">
        <f>IFERROR(VLOOKUP(B62,Daily_Working_Do_Not_Delete!CS:CT,2,0))</f>
        <v>0.01875</v>
      </c>
      <c r="M62" s="149">
        <f>IFERROR(VLOOKUP(B62,Daily_Working_Do_Not_Delete!CQ:CR,2,0))</f>
        <v>0.02528935185</v>
      </c>
      <c r="N62" s="149">
        <f>IFERROR(VLOOKUP(B62,Daily_Working_Do_Not_Delete!CO:CP,2,0))</f>
        <v>0.01039351852</v>
      </c>
      <c r="O62" s="149">
        <f>IFERROR(VLOOKUP(B62,Daily_Working_Do_Not_Delete!CM:CN,2,0))</f>
        <v>0.0553125</v>
      </c>
      <c r="P62" s="149">
        <f>IFERROR(VLOOKUP(B62,Daily_Working_Do_Not_Delete!CK:CL,2,0))</f>
        <v>0.05086805556</v>
      </c>
      <c r="Q62" s="149">
        <f>IFERROR(VLOOKUP(B62,Daily_Working_Do_Not_Delete!CI:CJ,2,0))</f>
        <v>0.05768518519</v>
      </c>
      <c r="R62" s="149">
        <f>IFERROR(VLOOKUP(B62,Daily_Working_Do_Not_Delete!CG:CH,2,0))</f>
        <v>0.03280092593</v>
      </c>
      <c r="S62" s="149">
        <f>IFERROR(VLOOKUP(B62,Daily_Working_Do_Not_Delete!CE:CF,2,0))</f>
        <v>0.07141203704</v>
      </c>
      <c r="T62" s="149">
        <f>IFERROR(VLOOKUP(B62,Daily_Working_Do_Not_Delete!CC:CD,2,0))</f>
        <v>0.1059375</v>
      </c>
      <c r="U62" s="149">
        <f>IFERROR(VLOOKUP(B62,Daily_Working_Do_Not_Delete!CA:CB,2,0))</f>
        <v>0.1003472222</v>
      </c>
      <c r="V62" s="149">
        <f>IFERROR(VLOOKUP(B62,Daily_Working_Do_Not_Delete!BY:BZ,2,0))</f>
        <v>0.1339236111</v>
      </c>
      <c r="W62" s="149">
        <f>IFERROR(VLOOKUP(B62,Daily_Working_Do_Not_Delete!BW:BX,2,0))</f>
        <v>0.1262731481</v>
      </c>
      <c r="X62" s="149">
        <f>IFERROR(VLOOKUP(B62,Daily_Working_Do_Not_Delete!BU:BV,2,0))</f>
        <v>0.1040046296</v>
      </c>
      <c r="Y62" s="149">
        <f>IFERROR(VLOOKUP(B62,Daily_Working_Do_Not_Delete!BS:BT,2,0))</f>
        <v>0.09180555556</v>
      </c>
      <c r="Z62" s="149">
        <f>IFERROR(VLOOKUP(B62,Daily_Working_Do_Not_Delete!BQ:BR,2,0))</f>
        <v>0.130625</v>
      </c>
      <c r="AA62" s="149">
        <f>IFERROR(VLOOKUP(B62,Daily_Working_Do_Not_Delete!BO:BP,2,0))</f>
        <v>0.1865046296</v>
      </c>
      <c r="AB62" s="149">
        <f>IFERROR(VLOOKUP(B62,Daily_Working_Do_Not_Delete!BM:BN,2,0))</f>
        <v>0.196724537</v>
      </c>
      <c r="AC62" s="149">
        <f>IFERROR(VLOOKUP(B62,Daily_Working_Do_Not_Delete!BK:BL,2,0))</f>
        <v>0.1382060185</v>
      </c>
      <c r="AD62" s="149">
        <f>IFERROR(VLOOKUP(B62,Daily_Working_Do_Not_Delete!BI:BJ,2,0))</f>
        <v>0.1773726852</v>
      </c>
      <c r="AE62" s="149">
        <f>IFERROR(VLOOKUP(B62,Daily_Working_Do_Not_Delete!BG:BH,2,0))</f>
        <v>0.2269791667</v>
      </c>
      <c r="AF62" s="149">
        <f>IFERROR(VLOOKUP(B62,Daily_Working_Do_Not_Delete!BE:BF,2,0))</f>
        <v>0.1149421296</v>
      </c>
      <c r="AG62" s="149">
        <f>IFERROR(VLOOKUP(B62,Daily_Working_Do_Not_Delete!BC:BD,2,0))</f>
        <v>0.1065856481</v>
      </c>
      <c r="AH62" s="149">
        <f>IFERROR(VLOOKUP(B62,Daily_Working_Do_Not_Delete!BA:BB,2,0))</f>
        <v>0.09748842593</v>
      </c>
      <c r="AI62" s="149">
        <f>IFERROR(VLOOKUP(B62,Daily_Working_Do_Not_Delete!AY:AZ,2,0))</f>
        <v>0.07289351852</v>
      </c>
      <c r="AJ62" s="149">
        <f>IFERROR(VLOOKUP(B62,Daily_Working_Do_Not_Delete!AW:AX,2,0))</f>
        <v>0.02194444444</v>
      </c>
      <c r="AK62" s="149">
        <f>IFERROR(VLOOKUP(B62,Daily_Working_Do_Not_Delete!AU:AV,2,0))</f>
        <v>0.101099537</v>
      </c>
      <c r="AL62" s="149">
        <f>IFERROR(VLOOKUP(B62,Daily_Working_Do_Not_Delete!AS:AT,2,0))</f>
        <v>0.09834490741</v>
      </c>
      <c r="AM62" s="149">
        <f>IFERROR(VLOOKUP(B62,Daily_Working_Do_Not_Delete!AQ:AR,2,0))</f>
        <v>0.07039351852</v>
      </c>
      <c r="AN62" s="149">
        <f>IFERROR(VLOOKUP(B62,Daily_Working_Do_Not_Delete!AO:AP,2,0))</f>
        <v>0.05592592593</v>
      </c>
      <c r="AO62" s="149">
        <f>IFERROR(VLOOKUP(B62,Daily_Working_Do_Not_Delete!AM:AN,2,0))</f>
        <v>0.04488425926</v>
      </c>
      <c r="AP62" s="149">
        <f>IFERROR(VLOOKUP(B62,Daily_Working_Do_Not_Delete!AK:AL,2,0))</f>
        <v>0.02258101852</v>
      </c>
      <c r="AQ62" s="149">
        <f>IFERROR(VLOOKUP(B62,Daily_Working_Do_Not_Delete!AI:AJ,2,0))</f>
        <v>0.0006944444444</v>
      </c>
      <c r="AR62" s="149" t="str">
        <f>IFERROR(VLOOKUP(B62,Daily_Working_Do_Not_Delete!AG:AH,2,0))</f>
        <v/>
      </c>
      <c r="AS62" s="149">
        <f>IFERROR(VLOOKUP(B62,Daily_Working_Do_Not_Delete!AE:AF,2,0))</f>
        <v>0.0165162037</v>
      </c>
      <c r="AT62" s="149">
        <f>IFERROR(VLOOKUP(B62,Daily_Working_Do_Not_Delete!AC:AD,2,0))</f>
        <v>0.0008564814815</v>
      </c>
      <c r="AU62" s="149">
        <f>IFERROR(VLOOKUP(B62,Daily_Working_Do_Not_Delete!AA:AB,2,0))</f>
        <v>0.0005787037037</v>
      </c>
      <c r="AV62" s="149" t="str">
        <f>IFERROR(VLOOKUP(B62,Daily_Working_Do_Not_Delete!Y:Z,2,0))</f>
        <v/>
      </c>
      <c r="AW62" s="149" t="str">
        <f>IFERROR(VLOOKUP(B62,Daily_Working_Do_Not_Delete!W:X,2,0))</f>
        <v/>
      </c>
      <c r="AX62" s="149" t="str">
        <f>IFERROR(VLOOKUP(B62,Daily_Working_Do_Not_Delete!U:V,2,0))</f>
        <v/>
      </c>
      <c r="AY62" s="149" t="str">
        <f>IFERROR(VLOOKUP(B62,Daily_Working_Do_Not_Delete!S:T,2,0))</f>
        <v/>
      </c>
      <c r="AZ62" s="149" t="str">
        <f>IFERROR(VLOOKUP(B62,Daily_Working_Do_Not_Delete!Q:R,2,0))</f>
        <v/>
      </c>
      <c r="BA62" s="149">
        <f>IFERROR(VLOOKUP(B62,Daily_Working_Do_Not_Delete!O:P,2,0))</f>
        <v>0.002037037037</v>
      </c>
      <c r="BB62" s="149" t="str">
        <f>IFERROR(VLOOKUP(B62,Daily_Working_Do_Not_Delete!M:N,2,0))</f>
        <v/>
      </c>
      <c r="BC62" s="149">
        <f>IFERROR(VLOOKUP(B62,Daily_Working_Do_Not_Delete!K:L,2,0))</f>
        <v>0.0003240740741</v>
      </c>
      <c r="BD62" s="149" t="str">
        <f>IFERROR(VLOOKUP(B62,Daily_Working_Do_Not_Delete!I:J,2,0))</f>
        <v/>
      </c>
      <c r="BE62" s="149" t="str">
        <f>IFERROR(VLOOKUP(B62,Daily_Working_Do_Not_Delete!G:H,2,0))</f>
        <v/>
      </c>
      <c r="BF62" s="149" t="str">
        <f>IFERROR(VLOOKUP(B62,Daily_Working_Do_Not_Delete!E:F,2,0))</f>
        <v/>
      </c>
      <c r="BG62" s="149">
        <f>IFERROR(VLOOKUP(B62,Daily_Working_Do_Not_Delete!C:D,2,0))</f>
        <v>0.0002662037037</v>
      </c>
      <c r="BH62" s="149" t="str">
        <f>IFERROR(VLOOKUP(B62,Daily_Working_Do_Not_Delete!A:B,2,0))</f>
        <v/>
      </c>
      <c r="BI62" s="150"/>
      <c r="BJ62" s="150"/>
      <c r="BK62" s="150"/>
      <c r="BL62" s="150"/>
      <c r="BM62" s="150"/>
      <c r="BN62" s="150"/>
      <c r="BO62" s="150"/>
      <c r="BP62" s="150"/>
      <c r="BQ62" s="150"/>
      <c r="BR62" s="150"/>
      <c r="BS62" s="150"/>
      <c r="BT62" s="150"/>
      <c r="BU62" s="150"/>
      <c r="BV62" s="150"/>
      <c r="BW62" s="150"/>
      <c r="BX62" s="150"/>
      <c r="BY62" s="150"/>
      <c r="BZ62" s="150"/>
      <c r="CA62" s="150"/>
      <c r="CB62" s="150"/>
      <c r="CC62" s="150"/>
      <c r="CD62" s="150"/>
      <c r="CE62" s="150"/>
      <c r="CF62" s="150"/>
    </row>
    <row r="63">
      <c r="A63" s="146" t="s">
        <v>17</v>
      </c>
      <c r="B63" s="146" t="s">
        <v>86</v>
      </c>
      <c r="C63" s="137" t="s">
        <v>421</v>
      </c>
      <c r="D63" s="148">
        <f t="shared" si="3"/>
        <v>6.828993056</v>
      </c>
      <c r="E63" s="149">
        <f>IFERROR(VLOOKUP(B63,Daily_Working_Do_Not_Delete!DG:DH,2,0))</f>
        <v>0.5505555556</v>
      </c>
      <c r="F63" s="149">
        <f>IFERROR(VLOOKUP(B63,Daily_Working_Do_Not_Delete!DE:DF,2,0))</f>
        <v>0.01381944444</v>
      </c>
      <c r="G63" s="149">
        <f>IFERROR(VLOOKUP(B63,Daily_Working_Do_Not_Delete!DC:DD,2,0))</f>
        <v>0.003148148148</v>
      </c>
      <c r="H63" s="149">
        <f>IFERROR(VLOOKUP(B63,Daily_Working_Do_Not_Delete!DA:DB,2,0))</f>
        <v>0.02255787037</v>
      </c>
      <c r="I63" s="149">
        <f>IFERROR(VLOOKUP(B63,Daily_Working_Do_Not_Delete!CY:CZ,2,0))</f>
        <v>0.001643518519</v>
      </c>
      <c r="J63" s="149">
        <f>IFERROR(VLOOKUP(B63,Daily_Working_Do_Not_Delete!CW:CX,2,0))</f>
        <v>0.0008217592593</v>
      </c>
      <c r="K63" s="149">
        <f>IFERROR(VLOOKUP(B63,Daily_Working_Do_Not_Delete!CU:CV,2,0))</f>
        <v>0.01741898148</v>
      </c>
      <c r="L63" s="149">
        <f>IFERROR(VLOOKUP(B63,Daily_Working_Do_Not_Delete!CS:CT,2,0))</f>
        <v>0.005763888889</v>
      </c>
      <c r="M63" s="149">
        <f>IFERROR(VLOOKUP(B63,Daily_Working_Do_Not_Delete!CQ:CR,2,0))</f>
        <v>0.005208333333</v>
      </c>
      <c r="N63" s="149">
        <f>IFERROR(VLOOKUP(B63,Daily_Working_Do_Not_Delete!CO:CP,2,0))</f>
        <v>0.04681712963</v>
      </c>
      <c r="O63" s="149">
        <f>IFERROR(VLOOKUP(B63,Daily_Working_Do_Not_Delete!CM:CN,2,0))</f>
        <v>0.02902777778</v>
      </c>
      <c r="P63" s="149">
        <f>IFERROR(VLOOKUP(B63,Daily_Working_Do_Not_Delete!CK:CL,2,0))</f>
        <v>0.06662037037</v>
      </c>
      <c r="Q63" s="149">
        <f>IFERROR(VLOOKUP(B63,Daily_Working_Do_Not_Delete!CI:CJ,2,0))</f>
        <v>0.0640625</v>
      </c>
      <c r="R63" s="149">
        <f>IFERROR(VLOOKUP(B63,Daily_Working_Do_Not_Delete!CG:CH,2,0))</f>
        <v>0.01302083333</v>
      </c>
      <c r="S63" s="149">
        <f>IFERROR(VLOOKUP(B63,Daily_Working_Do_Not_Delete!CE:CF,2,0))</f>
        <v>0.02871527778</v>
      </c>
      <c r="T63" s="149">
        <f>IFERROR(VLOOKUP(B63,Daily_Working_Do_Not_Delete!CC:CD,2,0))</f>
        <v>0.01231481481</v>
      </c>
      <c r="U63" s="149">
        <f>IFERROR(VLOOKUP(B63,Daily_Working_Do_Not_Delete!CA:CB,2,0))</f>
        <v>0.02243055556</v>
      </c>
      <c r="V63" s="149">
        <f>IFERROR(VLOOKUP(B63,Daily_Working_Do_Not_Delete!BY:BZ,2,0))</f>
        <v>0.05913194444</v>
      </c>
      <c r="W63" s="149">
        <f>IFERROR(VLOOKUP(B63,Daily_Working_Do_Not_Delete!BW:BX,2,0))</f>
        <v>0.05759259259</v>
      </c>
      <c r="X63" s="149">
        <f>IFERROR(VLOOKUP(B63,Daily_Working_Do_Not_Delete!BU:BV,2,0))</f>
        <v>0.07802083333</v>
      </c>
      <c r="Y63" s="149">
        <f>IFERROR(VLOOKUP(B63,Daily_Working_Do_Not_Delete!BS:BT,2,0))</f>
        <v>0.09321759259</v>
      </c>
      <c r="Z63" s="149">
        <f>IFERROR(VLOOKUP(B63,Daily_Working_Do_Not_Delete!BQ:BR,2,0))</f>
        <v>0.07680555556</v>
      </c>
      <c r="AA63" s="149">
        <f>IFERROR(VLOOKUP(B63,Daily_Working_Do_Not_Delete!BO:BP,2,0))</f>
        <v>0.1293402778</v>
      </c>
      <c r="AB63" s="149">
        <f>IFERROR(VLOOKUP(B63,Daily_Working_Do_Not_Delete!BM:BN,2,0))</f>
        <v>0.1761458333</v>
      </c>
      <c r="AC63" s="149">
        <f>IFERROR(VLOOKUP(B63,Daily_Working_Do_Not_Delete!BK:BL,2,0))</f>
        <v>0.3337731481</v>
      </c>
      <c r="AD63" s="149">
        <f>IFERROR(VLOOKUP(B63,Daily_Working_Do_Not_Delete!BI:BJ,2,0))</f>
        <v>0.4184722222</v>
      </c>
      <c r="AE63" s="149">
        <f>IFERROR(VLOOKUP(B63,Daily_Working_Do_Not_Delete!BG:BH,2,0))</f>
        <v>0.391400463</v>
      </c>
      <c r="AF63" s="149">
        <f>IFERROR(VLOOKUP(B63,Daily_Working_Do_Not_Delete!BE:BF,2,0))</f>
        <v>0.2991319444</v>
      </c>
      <c r="AG63" s="149">
        <f>IFERROR(VLOOKUP(B63,Daily_Working_Do_Not_Delete!BC:BD,2,0))</f>
        <v>0.6028587963</v>
      </c>
      <c r="AH63" s="149">
        <f>IFERROR(VLOOKUP(B63,Daily_Working_Do_Not_Delete!BA:BB,2,0))</f>
        <v>0.3953472222</v>
      </c>
      <c r="AI63" s="149">
        <f>IFERROR(VLOOKUP(B63,Daily_Working_Do_Not_Delete!AY:AZ,2,0))</f>
        <v>0.3875231481</v>
      </c>
      <c r="AJ63" s="149">
        <f>IFERROR(VLOOKUP(B63,Daily_Working_Do_Not_Delete!AW:AX,2,0))</f>
        <v>0.5327430556</v>
      </c>
      <c r="AK63" s="149">
        <f>IFERROR(VLOOKUP(B63,Daily_Working_Do_Not_Delete!AU:AV,2,0))</f>
        <v>0.499224537</v>
      </c>
      <c r="AL63" s="149">
        <f>IFERROR(VLOOKUP(B63,Daily_Working_Do_Not_Delete!AS:AT,2,0))</f>
        <v>0.5701273148</v>
      </c>
      <c r="AM63" s="149">
        <f>IFERROR(VLOOKUP(B63,Daily_Working_Do_Not_Delete!AQ:AR,2,0))</f>
        <v>0.3528472222</v>
      </c>
      <c r="AN63" s="149">
        <f>IFERROR(VLOOKUP(B63,Daily_Working_Do_Not_Delete!AO:AP,2,0))</f>
        <v>0.1941319444</v>
      </c>
      <c r="AO63" s="149">
        <f>IFERROR(VLOOKUP(B63,Daily_Working_Do_Not_Delete!AM:AN,2,0))</f>
        <v>0.02119212963</v>
      </c>
      <c r="AP63" s="149">
        <f>IFERROR(VLOOKUP(B63,Daily_Working_Do_Not_Delete!AK:AL,2,0))</f>
        <v>0.05412037037</v>
      </c>
      <c r="AQ63" s="149">
        <f>IFERROR(VLOOKUP(B63,Daily_Working_Do_Not_Delete!AI:AJ,2,0))</f>
        <v>0.07563657407</v>
      </c>
      <c r="AR63" s="149">
        <f>IFERROR(VLOOKUP(B63,Daily_Working_Do_Not_Delete!AG:AH,2,0))</f>
        <v>0.01987268519</v>
      </c>
      <c r="AS63" s="149">
        <f>IFERROR(VLOOKUP(B63,Daily_Working_Do_Not_Delete!AE:AF,2,0))</f>
        <v>0.0453125</v>
      </c>
      <c r="AT63" s="149">
        <f>IFERROR(VLOOKUP(B63,Daily_Working_Do_Not_Delete!AC:AD,2,0))</f>
        <v>0.04368055556</v>
      </c>
      <c r="AU63" s="149">
        <f>IFERROR(VLOOKUP(B63,Daily_Working_Do_Not_Delete!AA:AB,2,0))</f>
        <v>0.003993055556</v>
      </c>
      <c r="AV63" s="149" t="str">
        <f>IFERROR(VLOOKUP(B63,Daily_Working_Do_Not_Delete!Y:Z,2,0))</f>
        <v/>
      </c>
      <c r="AW63" s="149">
        <f>IFERROR(VLOOKUP(B63,Daily_Working_Do_Not_Delete!W:X,2,0))</f>
        <v>0.01025462963</v>
      </c>
      <c r="AX63" s="149" t="str">
        <f>IFERROR(VLOOKUP(B63,Daily_Working_Do_Not_Delete!U:V,2,0))</f>
        <v/>
      </c>
      <c r="AY63" s="149" t="str">
        <f>IFERROR(VLOOKUP(B63,Daily_Working_Do_Not_Delete!S:T,2,0))</f>
        <v/>
      </c>
      <c r="AZ63" s="149" t="str">
        <f>IFERROR(VLOOKUP(B63,Daily_Working_Do_Not_Delete!Q:R,2,0))</f>
        <v/>
      </c>
      <c r="BA63" s="149" t="str">
        <f>IFERROR(VLOOKUP(B63,Daily_Working_Do_Not_Delete!O:P,2,0))</f>
        <v/>
      </c>
      <c r="BB63" s="149" t="str">
        <f>IFERROR(VLOOKUP(B63,Daily_Working_Do_Not_Delete!M:N,2,0))</f>
        <v/>
      </c>
      <c r="BC63" s="149" t="str">
        <f>IFERROR(VLOOKUP(B63,Daily_Working_Do_Not_Delete!K:L,2,0))</f>
        <v/>
      </c>
      <c r="BD63" s="149" t="str">
        <f>IFERROR(VLOOKUP(B63,Daily_Working_Do_Not_Delete!I:J,2,0))</f>
        <v/>
      </c>
      <c r="BE63" s="149" t="str">
        <f>IFERROR(VLOOKUP(B63,Daily_Working_Do_Not_Delete!G:H,2,0))</f>
        <v/>
      </c>
      <c r="BF63" s="149" t="str">
        <f>IFERROR(VLOOKUP(B63,Daily_Working_Do_Not_Delete!E:F,2,0))</f>
        <v/>
      </c>
      <c r="BG63" s="149">
        <f>IFERROR(VLOOKUP(B63,Daily_Working_Do_Not_Delete!C:D,2,0))</f>
        <v>0.003148148148</v>
      </c>
      <c r="BH63" s="149" t="str">
        <f>IFERROR(VLOOKUP(B63,Daily_Working_Do_Not_Delete!A:B,2,0))</f>
        <v/>
      </c>
      <c r="BI63" s="150"/>
      <c r="BJ63" s="150"/>
      <c r="BK63" s="150"/>
      <c r="BL63" s="150"/>
      <c r="BM63" s="150"/>
      <c r="BN63" s="150"/>
      <c r="BO63" s="150"/>
      <c r="BP63" s="150"/>
      <c r="BQ63" s="150"/>
      <c r="BR63" s="150"/>
      <c r="BS63" s="150"/>
      <c r="BT63" s="150"/>
      <c r="BU63" s="150"/>
      <c r="BV63" s="150"/>
      <c r="BW63" s="150"/>
      <c r="BX63" s="150"/>
      <c r="BY63" s="150"/>
      <c r="BZ63" s="150"/>
      <c r="CA63" s="150"/>
      <c r="CB63" s="150"/>
      <c r="CC63" s="150"/>
      <c r="CD63" s="150"/>
      <c r="CE63" s="150"/>
      <c r="CF63" s="150"/>
    </row>
    <row r="64">
      <c r="A64" s="146" t="s">
        <v>17</v>
      </c>
      <c r="B64" s="146" t="s">
        <v>87</v>
      </c>
      <c r="C64" s="137" t="s">
        <v>421</v>
      </c>
      <c r="D64" s="148">
        <f t="shared" si="3"/>
        <v>6.93974537</v>
      </c>
      <c r="E64" s="149">
        <f>IFERROR(VLOOKUP(B64,Daily_Working_Do_Not_Delete!DG:DH,2,0))</f>
        <v>2.5025</v>
      </c>
      <c r="F64" s="149">
        <f>IFERROR(VLOOKUP(B64,Daily_Working_Do_Not_Delete!DE:DF,2,0))</f>
        <v>0.03232638889</v>
      </c>
      <c r="G64" s="149">
        <f>IFERROR(VLOOKUP(B64,Daily_Working_Do_Not_Delete!DC:DD,2,0))</f>
        <v>0.0452662037</v>
      </c>
      <c r="H64" s="149">
        <f>IFERROR(VLOOKUP(B64,Daily_Working_Do_Not_Delete!DA:DB,2,0))</f>
        <v>0.07222222222</v>
      </c>
      <c r="I64" s="149">
        <f>IFERROR(VLOOKUP(B64,Daily_Working_Do_Not_Delete!CY:CZ,2,0))</f>
        <v>0.04865740741</v>
      </c>
      <c r="J64" s="149">
        <f>IFERROR(VLOOKUP(B64,Daily_Working_Do_Not_Delete!CW:CX,2,0))</f>
        <v>0.01421296296</v>
      </c>
      <c r="K64" s="149">
        <f>IFERROR(VLOOKUP(B64,Daily_Working_Do_Not_Delete!CU:CV,2,0))</f>
        <v>0.01680555556</v>
      </c>
      <c r="L64" s="149">
        <f>IFERROR(VLOOKUP(B64,Daily_Working_Do_Not_Delete!CS:CT,2,0))</f>
        <v>0.0184837963</v>
      </c>
      <c r="M64" s="149">
        <f>IFERROR(VLOOKUP(B64,Daily_Working_Do_Not_Delete!CQ:CR,2,0))</f>
        <v>0.02253472222</v>
      </c>
      <c r="N64" s="149">
        <f>IFERROR(VLOOKUP(B64,Daily_Working_Do_Not_Delete!CO:CP,2,0))</f>
        <v>0.03375</v>
      </c>
      <c r="O64" s="149">
        <f>IFERROR(VLOOKUP(B64,Daily_Working_Do_Not_Delete!CM:CN,2,0))</f>
        <v>0.03122685185</v>
      </c>
      <c r="P64" s="149">
        <f>IFERROR(VLOOKUP(B64,Daily_Working_Do_Not_Delete!CK:CL,2,0))</f>
        <v>0.1236689815</v>
      </c>
      <c r="Q64" s="149">
        <f>IFERROR(VLOOKUP(B64,Daily_Working_Do_Not_Delete!CI:CJ,2,0))</f>
        <v>0.07511574074</v>
      </c>
      <c r="R64" s="149">
        <f>IFERROR(VLOOKUP(B64,Daily_Working_Do_Not_Delete!CG:CH,2,0))</f>
        <v>0.04746527778</v>
      </c>
      <c r="S64" s="149">
        <f>IFERROR(VLOOKUP(B64,Daily_Working_Do_Not_Delete!CE:CF,2,0))</f>
        <v>0.04241898148</v>
      </c>
      <c r="T64" s="149">
        <f>IFERROR(VLOOKUP(B64,Daily_Working_Do_Not_Delete!CC:CD,2,0))</f>
        <v>0.02552083333</v>
      </c>
      <c r="U64" s="149">
        <f>IFERROR(VLOOKUP(B64,Daily_Working_Do_Not_Delete!CA:CB,2,0))</f>
        <v>0.02819444444</v>
      </c>
      <c r="V64" s="149">
        <f>IFERROR(VLOOKUP(B64,Daily_Working_Do_Not_Delete!BY:BZ,2,0))</f>
        <v>0.04827546296</v>
      </c>
      <c r="W64" s="149">
        <f>IFERROR(VLOOKUP(B64,Daily_Working_Do_Not_Delete!BW:BX,2,0))</f>
        <v>0.1213657407</v>
      </c>
      <c r="X64" s="149">
        <f>IFERROR(VLOOKUP(B64,Daily_Working_Do_Not_Delete!BU:BV,2,0))</f>
        <v>0.03584490741</v>
      </c>
      <c r="Y64" s="149">
        <f>IFERROR(VLOOKUP(B64,Daily_Working_Do_Not_Delete!BS:BT,2,0))</f>
        <v>0.05804398148</v>
      </c>
      <c r="Z64" s="149">
        <f>IFERROR(VLOOKUP(B64,Daily_Working_Do_Not_Delete!BQ:BR,2,0))</f>
        <v>0.05719907407</v>
      </c>
      <c r="AA64" s="149">
        <f>IFERROR(VLOOKUP(B64,Daily_Working_Do_Not_Delete!BO:BP,2,0))</f>
        <v>0.165462963</v>
      </c>
      <c r="AB64" s="149">
        <f>IFERROR(VLOOKUP(B64,Daily_Working_Do_Not_Delete!BM:BN,2,0))</f>
        <v>0.2164814815</v>
      </c>
      <c r="AC64" s="149">
        <f>IFERROR(VLOOKUP(B64,Daily_Working_Do_Not_Delete!BK:BL,2,0))</f>
        <v>0.1833912037</v>
      </c>
      <c r="AD64" s="149">
        <f>IFERROR(VLOOKUP(B64,Daily_Working_Do_Not_Delete!BI:BJ,2,0))</f>
        <v>0.2119675926</v>
      </c>
      <c r="AE64" s="149">
        <f>IFERROR(VLOOKUP(B64,Daily_Working_Do_Not_Delete!BG:BH,2,0))</f>
        <v>0.2769675926</v>
      </c>
      <c r="AF64" s="149">
        <f>IFERROR(VLOOKUP(B64,Daily_Working_Do_Not_Delete!BE:BF,2,0))</f>
        <v>0.2899884259</v>
      </c>
      <c r="AG64" s="149">
        <f>IFERROR(VLOOKUP(B64,Daily_Working_Do_Not_Delete!BC:BD,2,0))</f>
        <v>0.3630324074</v>
      </c>
      <c r="AH64" s="149">
        <f>IFERROR(VLOOKUP(B64,Daily_Working_Do_Not_Delete!BA:BB,2,0))</f>
        <v>0.3204976852</v>
      </c>
      <c r="AI64" s="149">
        <f>IFERROR(VLOOKUP(B64,Daily_Working_Do_Not_Delete!AY:AZ,2,0))</f>
        <v>0.2756712963</v>
      </c>
      <c r="AJ64" s="149">
        <f>IFERROR(VLOOKUP(B64,Daily_Working_Do_Not_Delete!AW:AX,2,0))</f>
        <v>0.2793402778</v>
      </c>
      <c r="AK64" s="149">
        <f>IFERROR(VLOOKUP(B64,Daily_Working_Do_Not_Delete!AU:AV,2,0))</f>
        <v>0.4815509259</v>
      </c>
      <c r="AL64" s="149">
        <f>IFERROR(VLOOKUP(B64,Daily_Working_Do_Not_Delete!AS:AT,2,0))</f>
        <v>0.114537037</v>
      </c>
      <c r="AM64" s="149">
        <f>IFERROR(VLOOKUP(B64,Daily_Working_Do_Not_Delete!AQ:AR,2,0))</f>
        <v>0.04002314815</v>
      </c>
      <c r="AN64" s="149">
        <f>IFERROR(VLOOKUP(B64,Daily_Working_Do_Not_Delete!AO:AP,2,0))</f>
        <v>0.06040509259</v>
      </c>
      <c r="AO64" s="149">
        <f>IFERROR(VLOOKUP(B64,Daily_Working_Do_Not_Delete!AM:AN,2,0))</f>
        <v>0.01199074074</v>
      </c>
      <c r="AP64" s="149">
        <f>IFERROR(VLOOKUP(B64,Daily_Working_Do_Not_Delete!AK:AL,2,0))</f>
        <v>0.07909722222</v>
      </c>
      <c r="AQ64" s="149">
        <f>IFERROR(VLOOKUP(B64,Daily_Working_Do_Not_Delete!AI:AJ,2,0))</f>
        <v>0.008935185185</v>
      </c>
      <c r="AR64" s="149">
        <f>IFERROR(VLOOKUP(B64,Daily_Working_Do_Not_Delete!AG:AH,2,0))</f>
        <v>0.02150462963</v>
      </c>
      <c r="AS64" s="149" t="str">
        <f>IFERROR(VLOOKUP(B64,Daily_Working_Do_Not_Delete!AE:AF,2,0))</f>
        <v/>
      </c>
      <c r="AT64" s="149">
        <f>IFERROR(VLOOKUP(B64,Daily_Working_Do_Not_Delete!AC:AD,2,0))</f>
        <v>0.01622685185</v>
      </c>
      <c r="AU64" s="149" t="str">
        <f>IFERROR(VLOOKUP(B64,Daily_Working_Do_Not_Delete!AA:AB,2,0))</f>
        <v/>
      </c>
      <c r="AV64" s="149" t="str">
        <f>IFERROR(VLOOKUP(B64,Daily_Working_Do_Not_Delete!Y:Z,2,0))</f>
        <v/>
      </c>
      <c r="AW64" s="149">
        <f>IFERROR(VLOOKUP(B64,Daily_Working_Do_Not_Delete!W:X,2,0))</f>
        <v>0.002349537037</v>
      </c>
      <c r="AX64" s="149">
        <f>IFERROR(VLOOKUP(B64,Daily_Working_Do_Not_Delete!U:V,2,0))</f>
        <v>0.005648148148</v>
      </c>
      <c r="AY64" s="149" t="str">
        <f>IFERROR(VLOOKUP(B64,Daily_Working_Do_Not_Delete!S:T,2,0))</f>
        <v/>
      </c>
      <c r="AZ64" s="149" t="str">
        <f>IFERROR(VLOOKUP(B64,Daily_Working_Do_Not_Delete!Q:R,2,0))</f>
        <v/>
      </c>
      <c r="BA64" s="149">
        <f>IFERROR(VLOOKUP(B64,Daily_Working_Do_Not_Delete!O:P,2,0))</f>
        <v>0.009398148148</v>
      </c>
      <c r="BB64" s="149" t="str">
        <f>IFERROR(VLOOKUP(B64,Daily_Working_Do_Not_Delete!M:N,2,0))</f>
        <v/>
      </c>
      <c r="BC64" s="149" t="str">
        <f>IFERROR(VLOOKUP(B64,Daily_Working_Do_Not_Delete!K:L,2,0))</f>
        <v/>
      </c>
      <c r="BD64" s="149" t="str">
        <f>IFERROR(VLOOKUP(B64,Daily_Working_Do_Not_Delete!I:J,2,0))</f>
        <v/>
      </c>
      <c r="BE64" s="149">
        <f>IFERROR(VLOOKUP(B64,Daily_Working_Do_Not_Delete!G:H,2,0))</f>
        <v>0.004178240741</v>
      </c>
      <c r="BF64" s="149" t="str">
        <f>IFERROR(VLOOKUP(B64,Daily_Working_Do_Not_Delete!E:F,2,0))</f>
        <v/>
      </c>
      <c r="BG64" s="149" t="str">
        <f>IFERROR(VLOOKUP(B64,Daily_Working_Do_Not_Delete!C:D,2,0))</f>
        <v/>
      </c>
      <c r="BH64" s="149" t="str">
        <f>IFERROR(VLOOKUP(B64,Daily_Working_Do_Not_Delete!A:B,2,0))</f>
        <v/>
      </c>
      <c r="BI64" s="150"/>
      <c r="BJ64" s="150"/>
      <c r="BK64" s="150"/>
      <c r="BL64" s="150"/>
      <c r="BM64" s="150"/>
      <c r="BN64" s="150"/>
      <c r="BO64" s="150"/>
      <c r="BP64" s="150"/>
      <c r="BQ64" s="150"/>
      <c r="BR64" s="150"/>
      <c r="BS64" s="150"/>
      <c r="BT64" s="150"/>
      <c r="BU64" s="150"/>
      <c r="BV64" s="150"/>
      <c r="BW64" s="150"/>
      <c r="BX64" s="150"/>
      <c r="BY64" s="150"/>
      <c r="BZ64" s="150"/>
      <c r="CA64" s="150"/>
      <c r="CB64" s="150"/>
      <c r="CC64" s="150"/>
      <c r="CD64" s="150"/>
      <c r="CE64" s="150"/>
      <c r="CF64" s="150"/>
    </row>
    <row r="65">
      <c r="A65" s="146" t="s">
        <v>88</v>
      </c>
      <c r="B65" s="146" t="s">
        <v>89</v>
      </c>
      <c r="C65" s="137" t="s">
        <v>421</v>
      </c>
      <c r="D65" s="148">
        <f t="shared" si="3"/>
        <v>6.671539352</v>
      </c>
      <c r="E65" s="149">
        <f>IFERROR(VLOOKUP(B65,Daily_Working_Do_Not_Delete!DG:DH,2,0))</f>
        <v>3.952037037</v>
      </c>
      <c r="F65" s="149">
        <f>IFERROR(VLOOKUP(B65,Daily_Working_Do_Not_Delete!DE:DF,2,0))</f>
        <v>0.1346180556</v>
      </c>
      <c r="G65" s="149">
        <f>IFERROR(VLOOKUP(B65,Daily_Working_Do_Not_Delete!DC:DD,2,0))</f>
        <v>0.1127546296</v>
      </c>
      <c r="H65" s="149">
        <f>IFERROR(VLOOKUP(B65,Daily_Working_Do_Not_Delete!DA:DB,2,0))</f>
        <v>0.0825</v>
      </c>
      <c r="I65" s="149">
        <f>IFERROR(VLOOKUP(B65,Daily_Working_Do_Not_Delete!CY:CZ,2,0))</f>
        <v>0.005474537037</v>
      </c>
      <c r="J65" s="149">
        <f>IFERROR(VLOOKUP(B65,Daily_Working_Do_Not_Delete!CW:CX,2,0))</f>
        <v>0.02393518519</v>
      </c>
      <c r="K65" s="149">
        <f>IFERROR(VLOOKUP(B65,Daily_Working_Do_Not_Delete!CU:CV,2,0))</f>
        <v>0.04013888889</v>
      </c>
      <c r="L65" s="149">
        <f>IFERROR(VLOOKUP(B65,Daily_Working_Do_Not_Delete!CS:CT,2,0))</f>
        <v>0.003946759259</v>
      </c>
      <c r="M65" s="149">
        <f>IFERROR(VLOOKUP(B65,Daily_Working_Do_Not_Delete!CQ:CR,2,0))</f>
        <v>0.01179398148</v>
      </c>
      <c r="N65" s="149">
        <f>IFERROR(VLOOKUP(B65,Daily_Working_Do_Not_Delete!CO:CP,2,0))</f>
        <v>0.05096064815</v>
      </c>
      <c r="O65" s="149">
        <f>IFERROR(VLOOKUP(B65,Daily_Working_Do_Not_Delete!CM:CN,2,0))</f>
        <v>0.04858796296</v>
      </c>
      <c r="P65" s="149">
        <f>IFERROR(VLOOKUP(B65,Daily_Working_Do_Not_Delete!CK:CL,2,0))</f>
        <v>0.07369212963</v>
      </c>
      <c r="Q65" s="149">
        <f>IFERROR(VLOOKUP(B65,Daily_Working_Do_Not_Delete!CI:CJ,2,0))</f>
        <v>0.05664351852</v>
      </c>
      <c r="R65" s="149">
        <f>IFERROR(VLOOKUP(B65,Daily_Working_Do_Not_Delete!CG:CH,2,0))</f>
        <v>0.04689814815</v>
      </c>
      <c r="S65" s="149">
        <f>IFERROR(VLOOKUP(B65,Daily_Working_Do_Not_Delete!CE:CF,2,0))</f>
        <v>0.03146990741</v>
      </c>
      <c r="T65" s="149">
        <f>IFERROR(VLOOKUP(B65,Daily_Working_Do_Not_Delete!CC:CD,2,0))</f>
        <v>0.01230324074</v>
      </c>
      <c r="U65" s="149">
        <f>IFERROR(VLOOKUP(B65,Daily_Working_Do_Not_Delete!CA:CB,2,0))</f>
        <v>0.0684837963</v>
      </c>
      <c r="V65" s="149">
        <f>IFERROR(VLOOKUP(B65,Daily_Working_Do_Not_Delete!BY:BZ,2,0))</f>
        <v>0.04940972222</v>
      </c>
      <c r="W65" s="149">
        <f>IFERROR(VLOOKUP(B65,Daily_Working_Do_Not_Delete!BW:BX,2,0))</f>
        <v>0.07209490741</v>
      </c>
      <c r="X65" s="149">
        <f>IFERROR(VLOOKUP(B65,Daily_Working_Do_Not_Delete!BU:BV,2,0))</f>
        <v>0.04427083333</v>
      </c>
      <c r="Y65" s="149">
        <f>IFERROR(VLOOKUP(B65,Daily_Working_Do_Not_Delete!BS:BT,2,0))</f>
        <v>0.04700231481</v>
      </c>
      <c r="Z65" s="149">
        <f>IFERROR(VLOOKUP(B65,Daily_Working_Do_Not_Delete!BQ:BR,2,0))</f>
        <v>0.07196759259</v>
      </c>
      <c r="AA65" s="149">
        <f>IFERROR(VLOOKUP(B65,Daily_Working_Do_Not_Delete!BO:BP,2,0))</f>
        <v>0.04611111111</v>
      </c>
      <c r="AB65" s="149">
        <f>IFERROR(VLOOKUP(B65,Daily_Working_Do_Not_Delete!BM:BN,2,0))</f>
        <v>0.02788194444</v>
      </c>
      <c r="AC65" s="149">
        <f>IFERROR(VLOOKUP(B65,Daily_Working_Do_Not_Delete!BK:BL,2,0))</f>
        <v>0.04679398148</v>
      </c>
      <c r="AD65" s="149">
        <f>IFERROR(VLOOKUP(B65,Daily_Working_Do_Not_Delete!BI:BJ,2,0))</f>
        <v>0.04228009259</v>
      </c>
      <c r="AE65" s="149">
        <f>IFERROR(VLOOKUP(B65,Daily_Working_Do_Not_Delete!BG:BH,2,0))</f>
        <v>0.09552083333</v>
      </c>
      <c r="AF65" s="149">
        <f>IFERROR(VLOOKUP(B65,Daily_Working_Do_Not_Delete!BE:BF,2,0))</f>
        <v>0.001898148148</v>
      </c>
      <c r="AG65" s="149">
        <f>IFERROR(VLOOKUP(B65,Daily_Working_Do_Not_Delete!BC:BD,2,0))</f>
        <v>0.01571759259</v>
      </c>
      <c r="AH65" s="149">
        <f>IFERROR(VLOOKUP(B65,Daily_Working_Do_Not_Delete!BA:BB,2,0))</f>
        <v>0.219375</v>
      </c>
      <c r="AI65" s="149">
        <f>IFERROR(VLOOKUP(B65,Daily_Working_Do_Not_Delete!AY:AZ,2,0))</f>
        <v>0.2970138889</v>
      </c>
      <c r="AJ65" s="149">
        <f>IFERROR(VLOOKUP(B65,Daily_Working_Do_Not_Delete!AW:AX,2,0))</f>
        <v>0.3659027778</v>
      </c>
      <c r="AK65" s="149">
        <f>IFERROR(VLOOKUP(B65,Daily_Working_Do_Not_Delete!AU:AV,2,0))</f>
        <v>0.3545601852</v>
      </c>
      <c r="AL65" s="149">
        <f>IFERROR(VLOOKUP(B65,Daily_Working_Do_Not_Delete!AS:AT,2,0))</f>
        <v>0.0158912037</v>
      </c>
      <c r="AM65" s="149">
        <f>IFERROR(VLOOKUP(B65,Daily_Working_Do_Not_Delete!AQ:AR,2,0))</f>
        <v>0.02520833333</v>
      </c>
      <c r="AN65" s="149">
        <f>IFERROR(VLOOKUP(B65,Daily_Working_Do_Not_Delete!AO:AP,2,0))</f>
        <v>0.03359953704</v>
      </c>
      <c r="AO65" s="149" t="str">
        <f>IFERROR(VLOOKUP(B65,Daily_Working_Do_Not_Delete!AM:AN,2,0))</f>
        <v/>
      </c>
      <c r="AP65" s="149">
        <f>IFERROR(VLOOKUP(B65,Daily_Working_Do_Not_Delete!AK:AL,2,0))</f>
        <v>0.02189814815</v>
      </c>
      <c r="AQ65" s="149">
        <f>IFERROR(VLOOKUP(B65,Daily_Working_Do_Not_Delete!AI:AJ,2,0))</f>
        <v>0.02090277778</v>
      </c>
      <c r="AR65" s="149" t="str">
        <f>IFERROR(VLOOKUP(B65,Daily_Working_Do_Not_Delete!AG:AH,2,0))</f>
        <v/>
      </c>
      <c r="AS65" s="149" t="str">
        <f>IFERROR(VLOOKUP(B65,Daily_Working_Do_Not_Delete!AE:AF,2,0))</f>
        <v/>
      </c>
      <c r="AT65" s="149" t="str">
        <f>IFERROR(VLOOKUP(B65,Daily_Working_Do_Not_Delete!AC:AD,2,0))</f>
        <v/>
      </c>
      <c r="AU65" s="149" t="str">
        <f>IFERROR(VLOOKUP(B65,Daily_Working_Do_Not_Delete!AA:AB,2,0))</f>
        <v/>
      </c>
      <c r="AV65" s="149" t="str">
        <f>IFERROR(VLOOKUP(B65,Daily_Working_Do_Not_Delete!Y:Z,2,0))</f>
        <v/>
      </c>
      <c r="AW65" s="149" t="str">
        <f>IFERROR(VLOOKUP(B65,Daily_Working_Do_Not_Delete!W:X,2,0))</f>
        <v/>
      </c>
      <c r="AX65" s="149" t="str">
        <f>IFERROR(VLOOKUP(B65,Daily_Working_Do_Not_Delete!U:V,2,0))</f>
        <v/>
      </c>
      <c r="AY65" s="149" t="str">
        <f>IFERROR(VLOOKUP(B65,Daily_Working_Do_Not_Delete!S:T,2,0))</f>
        <v/>
      </c>
      <c r="AZ65" s="149" t="str">
        <f>IFERROR(VLOOKUP(B65,Daily_Working_Do_Not_Delete!Q:R,2,0))</f>
        <v/>
      </c>
      <c r="BA65" s="149" t="str">
        <f>IFERROR(VLOOKUP(B65,Daily_Working_Do_Not_Delete!O:P,2,0))</f>
        <v/>
      </c>
      <c r="BB65" s="149" t="str">
        <f>IFERROR(VLOOKUP(B65,Daily_Working_Do_Not_Delete!M:N,2,0))</f>
        <v/>
      </c>
      <c r="BC65" s="149" t="str">
        <f>IFERROR(VLOOKUP(B65,Daily_Working_Do_Not_Delete!K:L,2,0))</f>
        <v/>
      </c>
      <c r="BD65" s="149" t="str">
        <f>IFERROR(VLOOKUP(B65,Daily_Working_Do_Not_Delete!I:J,2,0))</f>
        <v/>
      </c>
      <c r="BE65" s="149" t="str">
        <f>IFERROR(VLOOKUP(B65,Daily_Working_Do_Not_Delete!G:H,2,0))</f>
        <v/>
      </c>
      <c r="BF65" s="149" t="str">
        <f>IFERROR(VLOOKUP(B65,Daily_Working_Do_Not_Delete!E:F,2,0))</f>
        <v/>
      </c>
      <c r="BG65" s="149" t="str">
        <f>IFERROR(VLOOKUP(B65,Daily_Working_Do_Not_Delete!C:D,2,0))</f>
        <v/>
      </c>
      <c r="BH65" s="149" t="str">
        <f>IFERROR(VLOOKUP(B65,Daily_Working_Do_Not_Delete!A:B,2,0))</f>
        <v/>
      </c>
      <c r="BI65" s="150"/>
      <c r="BJ65" s="150"/>
      <c r="BK65" s="150"/>
      <c r="BL65" s="150"/>
      <c r="BM65" s="150"/>
      <c r="BN65" s="150"/>
      <c r="BO65" s="150"/>
      <c r="BP65" s="150"/>
      <c r="BQ65" s="150"/>
      <c r="BR65" s="150"/>
      <c r="BS65" s="150"/>
      <c r="BT65" s="150"/>
      <c r="BU65" s="150"/>
      <c r="BV65" s="150"/>
      <c r="BW65" s="150"/>
      <c r="BX65" s="150"/>
      <c r="BY65" s="150"/>
      <c r="BZ65" s="150"/>
      <c r="CA65" s="150"/>
      <c r="CB65" s="150"/>
      <c r="CC65" s="150"/>
      <c r="CD65" s="150"/>
      <c r="CE65" s="150"/>
      <c r="CF65" s="150"/>
    </row>
    <row r="66">
      <c r="A66" s="146" t="s">
        <v>88</v>
      </c>
      <c r="B66" s="146" t="s">
        <v>90</v>
      </c>
      <c r="C66" s="137" t="s">
        <v>421</v>
      </c>
      <c r="D66" s="148">
        <f t="shared" si="3"/>
        <v>6.599328704</v>
      </c>
      <c r="E66" s="149">
        <f>IFERROR(VLOOKUP(B66,Daily_Working_Do_Not_Delete!DG:DH,2,0))</f>
        <v>3.453587963</v>
      </c>
      <c r="F66" s="149">
        <f>IFERROR(VLOOKUP(B66,Daily_Working_Do_Not_Delete!DE:DF,2,0))</f>
        <v>0.03320601852</v>
      </c>
      <c r="G66" s="149">
        <f>IFERROR(VLOOKUP(B66,Daily_Working_Do_Not_Delete!DC:DD,2,0))</f>
        <v>0.06163194444</v>
      </c>
      <c r="H66" s="149">
        <f>IFERROR(VLOOKUP(B66,Daily_Working_Do_Not_Delete!DA:DB,2,0))</f>
        <v>0.02221064815</v>
      </c>
      <c r="I66" s="149">
        <f>IFERROR(VLOOKUP(B66,Daily_Working_Do_Not_Delete!CY:CZ,2,0))</f>
        <v>0.03702546296</v>
      </c>
      <c r="J66" s="149">
        <f>IFERROR(VLOOKUP(B66,Daily_Working_Do_Not_Delete!CW:CX,2,0))</f>
        <v>0.01666666667</v>
      </c>
      <c r="K66" s="149">
        <f>IFERROR(VLOOKUP(B66,Daily_Working_Do_Not_Delete!CU:CV,2,0))</f>
        <v>0.07855324074</v>
      </c>
      <c r="L66" s="149">
        <f>IFERROR(VLOOKUP(B66,Daily_Working_Do_Not_Delete!CS:CT,2,0))</f>
        <v>0.07028935185</v>
      </c>
      <c r="M66" s="149">
        <f>IFERROR(VLOOKUP(B66,Daily_Working_Do_Not_Delete!CQ:CR,2,0))</f>
        <v>0.05887731481</v>
      </c>
      <c r="N66" s="149">
        <f>IFERROR(VLOOKUP(B66,Daily_Working_Do_Not_Delete!CO:CP,2,0))</f>
        <v>0.03832175926</v>
      </c>
      <c r="O66" s="149">
        <f>IFERROR(VLOOKUP(B66,Daily_Working_Do_Not_Delete!CM:CN,2,0))</f>
        <v>0.08417824074</v>
      </c>
      <c r="P66" s="149">
        <f>IFERROR(VLOOKUP(B66,Daily_Working_Do_Not_Delete!CK:CL,2,0))</f>
        <v>0.06608796296</v>
      </c>
      <c r="Q66" s="149">
        <f>IFERROR(VLOOKUP(B66,Daily_Working_Do_Not_Delete!CI:CJ,2,0))</f>
        <v>0.06935185185</v>
      </c>
      <c r="R66" s="149">
        <f>IFERROR(VLOOKUP(B66,Daily_Working_Do_Not_Delete!CG:CH,2,0))</f>
        <v>0.03792824074</v>
      </c>
      <c r="S66" s="149">
        <f>IFERROR(VLOOKUP(B66,Daily_Working_Do_Not_Delete!CE:CF,2,0))</f>
        <v>0.01760416667</v>
      </c>
      <c r="T66" s="149">
        <f>IFERROR(VLOOKUP(B66,Daily_Working_Do_Not_Delete!CC:CD,2,0))</f>
        <v>0.06</v>
      </c>
      <c r="U66" s="149">
        <f>IFERROR(VLOOKUP(B66,Daily_Working_Do_Not_Delete!CA:CB,2,0))</f>
        <v>0.03008101852</v>
      </c>
      <c r="V66" s="149">
        <f>IFERROR(VLOOKUP(B66,Daily_Working_Do_Not_Delete!BY:BZ,2,0))</f>
        <v>0.07512731481</v>
      </c>
      <c r="W66" s="149">
        <f>IFERROR(VLOOKUP(B66,Daily_Working_Do_Not_Delete!BW:BX,2,0))</f>
        <v>0.05054398148</v>
      </c>
      <c r="X66" s="149">
        <f>IFERROR(VLOOKUP(B66,Daily_Working_Do_Not_Delete!BU:BV,2,0))</f>
        <v>0.04375</v>
      </c>
      <c r="Y66" s="149">
        <f>IFERROR(VLOOKUP(B66,Daily_Working_Do_Not_Delete!BS:BT,2,0))</f>
        <v>0.08570601852</v>
      </c>
      <c r="Z66" s="149">
        <f>IFERROR(VLOOKUP(B66,Daily_Working_Do_Not_Delete!BQ:BR,2,0))</f>
        <v>0.03959490741</v>
      </c>
      <c r="AA66" s="149">
        <f>IFERROR(VLOOKUP(B66,Daily_Working_Do_Not_Delete!BO:BP,2,0))</f>
        <v>0.06586805556</v>
      </c>
      <c r="AB66" s="149">
        <f>IFERROR(VLOOKUP(B66,Daily_Working_Do_Not_Delete!BM:BN,2,0))</f>
        <v>0.04277777778</v>
      </c>
      <c r="AC66" s="149">
        <f>IFERROR(VLOOKUP(B66,Daily_Working_Do_Not_Delete!BK:BL,2,0))</f>
        <v>0.1038310185</v>
      </c>
      <c r="AD66" s="149">
        <f>IFERROR(VLOOKUP(B66,Daily_Working_Do_Not_Delete!BI:BJ,2,0))</f>
        <v>0.1220601852</v>
      </c>
      <c r="AE66" s="149">
        <f>IFERROR(VLOOKUP(B66,Daily_Working_Do_Not_Delete!BG:BH,2,0))</f>
        <v>0.1002314815</v>
      </c>
      <c r="AF66" s="149">
        <f>IFERROR(VLOOKUP(B66,Daily_Working_Do_Not_Delete!BE:BF,2,0))</f>
        <v>0.09061342593</v>
      </c>
      <c r="AG66" s="149">
        <f>IFERROR(VLOOKUP(B66,Daily_Working_Do_Not_Delete!BC:BD,2,0))</f>
        <v>0.1209837963</v>
      </c>
      <c r="AH66" s="149">
        <f>IFERROR(VLOOKUP(B66,Daily_Working_Do_Not_Delete!BA:BB,2,0))</f>
        <v>0.2828819444</v>
      </c>
      <c r="AI66" s="149">
        <f>IFERROR(VLOOKUP(B66,Daily_Working_Do_Not_Delete!AY:AZ,2,0))</f>
        <v>0.2268865741</v>
      </c>
      <c r="AJ66" s="149">
        <f>IFERROR(VLOOKUP(B66,Daily_Working_Do_Not_Delete!AW:AX,2,0))</f>
        <v>0.3832060185</v>
      </c>
      <c r="AK66" s="149">
        <f>IFERROR(VLOOKUP(B66,Daily_Working_Do_Not_Delete!AU:AV,2,0))</f>
        <v>0.3501967593</v>
      </c>
      <c r="AL66" s="149">
        <f>IFERROR(VLOOKUP(B66,Daily_Working_Do_Not_Delete!AS:AT,2,0))</f>
        <v>0.01537037037</v>
      </c>
      <c r="AM66" s="149">
        <f>IFERROR(VLOOKUP(B66,Daily_Working_Do_Not_Delete!AQ:AR,2,0))</f>
        <v>0.03710648148</v>
      </c>
      <c r="AN66" s="149">
        <f>IFERROR(VLOOKUP(B66,Daily_Working_Do_Not_Delete!AO:AP,2,0))</f>
        <v>0.0741087963</v>
      </c>
      <c r="AO66" s="149">
        <f>IFERROR(VLOOKUP(B66,Daily_Working_Do_Not_Delete!AM:AN,2,0))</f>
        <v>0.0134375</v>
      </c>
      <c r="AP66" s="149">
        <f>IFERROR(VLOOKUP(B66,Daily_Working_Do_Not_Delete!AK:AL,2,0))</f>
        <v>0.01712962963</v>
      </c>
      <c r="AQ66" s="149">
        <f>IFERROR(VLOOKUP(B66,Daily_Working_Do_Not_Delete!AI:AJ,2,0))</f>
        <v>0.007986111111</v>
      </c>
      <c r="AR66" s="149">
        <f>IFERROR(VLOOKUP(B66,Daily_Working_Do_Not_Delete!AG:AH,2,0))</f>
        <v>0.00818287037</v>
      </c>
      <c r="AS66" s="149" t="str">
        <f>IFERROR(VLOOKUP(B66,Daily_Working_Do_Not_Delete!AE:AF,2,0))</f>
        <v/>
      </c>
      <c r="AT66" s="149" t="str">
        <f>IFERROR(VLOOKUP(B66,Daily_Working_Do_Not_Delete!AC:AD,2,0))</f>
        <v/>
      </c>
      <c r="AU66" s="149" t="str">
        <f>IFERROR(VLOOKUP(B66,Daily_Working_Do_Not_Delete!AA:AB,2,0))</f>
        <v/>
      </c>
      <c r="AV66" s="149" t="str">
        <f>IFERROR(VLOOKUP(B66,Daily_Working_Do_Not_Delete!Y:Z,2,0))</f>
        <v/>
      </c>
      <c r="AW66" s="149" t="str">
        <f>IFERROR(VLOOKUP(B66,Daily_Working_Do_Not_Delete!W:X,2,0))</f>
        <v/>
      </c>
      <c r="AX66" s="149" t="str">
        <f>IFERROR(VLOOKUP(B66,Daily_Working_Do_Not_Delete!U:V,2,0))</f>
        <v/>
      </c>
      <c r="AY66" s="149" t="str">
        <f>IFERROR(VLOOKUP(B66,Daily_Working_Do_Not_Delete!S:T,2,0))</f>
        <v/>
      </c>
      <c r="AZ66" s="149">
        <f>IFERROR(VLOOKUP(B66,Daily_Working_Do_Not_Delete!Q:R,2,0))</f>
        <v>0.003564814815</v>
      </c>
      <c r="BA66" s="149">
        <f>IFERROR(VLOOKUP(B66,Daily_Working_Do_Not_Delete!O:P,2,0))</f>
        <v>0.002581018519</v>
      </c>
      <c r="BB66" s="149" t="str">
        <f>IFERROR(VLOOKUP(B66,Daily_Working_Do_Not_Delete!M:N,2,0))</f>
        <v/>
      </c>
      <c r="BC66" s="149" t="str">
        <f>IFERROR(VLOOKUP(B66,Daily_Working_Do_Not_Delete!K:L,2,0))</f>
        <v/>
      </c>
      <c r="BD66" s="149" t="str">
        <f>IFERROR(VLOOKUP(B66,Daily_Working_Do_Not_Delete!I:J,2,0))</f>
        <v/>
      </c>
      <c r="BE66" s="149" t="str">
        <f>IFERROR(VLOOKUP(B66,Daily_Working_Do_Not_Delete!G:H,2,0))</f>
        <v/>
      </c>
      <c r="BF66" s="149" t="str">
        <f>IFERROR(VLOOKUP(B66,Daily_Working_Do_Not_Delete!E:F,2,0))</f>
        <v/>
      </c>
      <c r="BG66" s="149" t="str">
        <f>IFERROR(VLOOKUP(B66,Daily_Working_Do_Not_Delete!C:D,2,0))</f>
        <v/>
      </c>
      <c r="BH66" s="149" t="str">
        <f>IFERROR(VLOOKUP(B66,Daily_Working_Do_Not_Delete!A:B,2,0))</f>
        <v/>
      </c>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row>
    <row r="67">
      <c r="A67" s="146" t="s">
        <v>77</v>
      </c>
      <c r="B67" s="146" t="s">
        <v>78</v>
      </c>
      <c r="C67" s="137" t="s">
        <v>421</v>
      </c>
      <c r="D67" s="148">
        <f t="shared" si="3"/>
        <v>10.48376157</v>
      </c>
      <c r="E67" s="149">
        <f>IFERROR(VLOOKUP(B67,Daily_Working_Do_Not_Delete!DG:DH,2,0))</f>
        <v>3.083414352</v>
      </c>
      <c r="F67" s="149">
        <f>IFERROR(VLOOKUP(B67,Daily_Working_Do_Not_Delete!DE:DF,2,0))</f>
        <v>0.02638888889</v>
      </c>
      <c r="G67" s="149">
        <f>IFERROR(VLOOKUP(B67,Daily_Working_Do_Not_Delete!DC:DD,2,0))</f>
        <v>0.04256944444</v>
      </c>
      <c r="H67" s="149">
        <f>IFERROR(VLOOKUP(B67,Daily_Working_Do_Not_Delete!DA:DB,2,0))</f>
        <v>0.04200231481</v>
      </c>
      <c r="I67" s="149">
        <f>IFERROR(VLOOKUP(B67,Daily_Working_Do_Not_Delete!CY:CZ,2,0))</f>
        <v>0.06398148148</v>
      </c>
      <c r="J67" s="149">
        <f>IFERROR(VLOOKUP(B67,Daily_Working_Do_Not_Delete!CW:CX,2,0))</f>
        <v>0.08482638889</v>
      </c>
      <c r="K67" s="149">
        <f>IFERROR(VLOOKUP(B67,Daily_Working_Do_Not_Delete!CU:CV,2,0))</f>
        <v>0.418275463</v>
      </c>
      <c r="L67" s="149">
        <f>IFERROR(VLOOKUP(B67,Daily_Working_Do_Not_Delete!CS:CT,2,0))</f>
        <v>0.1837268519</v>
      </c>
      <c r="M67" s="149">
        <f>IFERROR(VLOOKUP(B67,Daily_Working_Do_Not_Delete!CQ:CR,2,0))</f>
        <v>0.1752777778</v>
      </c>
      <c r="N67" s="149">
        <f>IFERROR(VLOOKUP(B67,Daily_Working_Do_Not_Delete!CO:CP,2,0))</f>
        <v>0.05576388889</v>
      </c>
      <c r="O67" s="149">
        <f>IFERROR(VLOOKUP(B67,Daily_Working_Do_Not_Delete!CM:CN,2,0))</f>
        <v>0.0353125</v>
      </c>
      <c r="P67" s="149">
        <f>IFERROR(VLOOKUP(B67,Daily_Working_Do_Not_Delete!CK:CL,2,0))</f>
        <v>0.03934027778</v>
      </c>
      <c r="Q67" s="149">
        <f>IFERROR(VLOOKUP(B67,Daily_Working_Do_Not_Delete!CI:CJ,2,0))</f>
        <v>0.04664351852</v>
      </c>
      <c r="R67" s="149">
        <f>IFERROR(VLOOKUP(B67,Daily_Working_Do_Not_Delete!CG:CH,2,0))</f>
        <v>0.1175694444</v>
      </c>
      <c r="S67" s="149">
        <f>IFERROR(VLOOKUP(B67,Daily_Working_Do_Not_Delete!CE:CF,2,0))</f>
        <v>0.09829861111</v>
      </c>
      <c r="T67" s="149">
        <f>IFERROR(VLOOKUP(B67,Daily_Working_Do_Not_Delete!CC:CD,2,0))</f>
        <v>0.06630787037</v>
      </c>
      <c r="U67" s="149">
        <f>IFERROR(VLOOKUP(B67,Daily_Working_Do_Not_Delete!CA:CB,2,0))</f>
        <v>0.1211921296</v>
      </c>
      <c r="V67" s="149">
        <f>IFERROR(VLOOKUP(B67,Daily_Working_Do_Not_Delete!BY:BZ,2,0))</f>
        <v>0.08217592593</v>
      </c>
      <c r="W67" s="149">
        <f>IFERROR(VLOOKUP(B67,Daily_Working_Do_Not_Delete!BW:BX,2,0))</f>
        <v>0.7093055556</v>
      </c>
      <c r="X67" s="149">
        <f>IFERROR(VLOOKUP(B67,Daily_Working_Do_Not_Delete!BU:BV,2,0))</f>
        <v>0.963125</v>
      </c>
      <c r="Y67" s="149">
        <f>IFERROR(VLOOKUP(B67,Daily_Working_Do_Not_Delete!BS:BT,2,0))</f>
        <v>0.6479050926</v>
      </c>
      <c r="Z67" s="149">
        <f>IFERROR(VLOOKUP(B67,Daily_Working_Do_Not_Delete!BQ:BR,2,0))</f>
        <v>0.4396296296</v>
      </c>
      <c r="AA67" s="149">
        <f>IFERROR(VLOOKUP(B67,Daily_Working_Do_Not_Delete!BO:BP,2,0))</f>
        <v>0.5191666667</v>
      </c>
      <c r="AB67" s="149">
        <f>IFERROR(VLOOKUP(B67,Daily_Working_Do_Not_Delete!BM:BN,2,0))</f>
        <v>0.470474537</v>
      </c>
      <c r="AC67" s="149">
        <f>IFERROR(VLOOKUP(B67,Daily_Working_Do_Not_Delete!BK:BL,2,0))</f>
        <v>0.1159375</v>
      </c>
      <c r="AD67" s="149">
        <f>IFERROR(VLOOKUP(B67,Daily_Working_Do_Not_Delete!BI:BJ,2,0))</f>
        <v>0.0669212963</v>
      </c>
      <c r="AE67" s="149">
        <f>IFERROR(VLOOKUP(B67,Daily_Working_Do_Not_Delete!BG:BH,2,0))</f>
        <v>0.007685185185</v>
      </c>
      <c r="AF67" s="149">
        <f>IFERROR(VLOOKUP(B67,Daily_Working_Do_Not_Delete!BE:BF,2,0))</f>
        <v>0.1152893519</v>
      </c>
      <c r="AG67" s="149">
        <f>IFERROR(VLOOKUP(B67,Daily_Working_Do_Not_Delete!BC:BD,2,0))</f>
        <v>0.0449537037</v>
      </c>
      <c r="AH67" s="149">
        <f>IFERROR(VLOOKUP(B67,Daily_Working_Do_Not_Delete!BA:BB,2,0))</f>
        <v>0.3302893519</v>
      </c>
      <c r="AI67" s="149">
        <f>IFERROR(VLOOKUP(B67,Daily_Working_Do_Not_Delete!AY:AZ,2,0))</f>
        <v>0.4864930556</v>
      </c>
      <c r="AJ67" s="149">
        <f>IFERROR(VLOOKUP(B67,Daily_Working_Do_Not_Delete!AW:AX,2,0))</f>
        <v>0.619837963</v>
      </c>
      <c r="AK67" s="149">
        <f>IFERROR(VLOOKUP(B67,Daily_Working_Do_Not_Delete!AU:AV,2,0))</f>
        <v>0.05636574074</v>
      </c>
      <c r="AL67" s="149">
        <f>IFERROR(VLOOKUP(B67,Daily_Working_Do_Not_Delete!AS:AT,2,0))</f>
        <v>0.05930555556</v>
      </c>
      <c r="AM67" s="149">
        <f>IFERROR(VLOOKUP(B67,Daily_Working_Do_Not_Delete!AQ:AR,2,0))</f>
        <v>0.011875</v>
      </c>
      <c r="AN67" s="149">
        <f>IFERROR(VLOOKUP(B67,Daily_Working_Do_Not_Delete!AO:AP,2,0))</f>
        <v>0.002777777778</v>
      </c>
      <c r="AO67" s="149" t="str">
        <f>IFERROR(VLOOKUP(B67,Daily_Working_Do_Not_Delete!AM:AN,2,0))</f>
        <v/>
      </c>
      <c r="AP67" s="149">
        <f>IFERROR(VLOOKUP(B67,Daily_Working_Do_Not_Delete!AK:AL,2,0))</f>
        <v>0.01210648148</v>
      </c>
      <c r="AQ67" s="149">
        <f>IFERROR(VLOOKUP(B67,Daily_Working_Do_Not_Delete!AI:AJ,2,0))</f>
        <v>0.003564814815</v>
      </c>
      <c r="AR67" s="149">
        <f>IFERROR(VLOOKUP(B67,Daily_Working_Do_Not_Delete!AG:AH,2,0))</f>
        <v>0.0002199074074</v>
      </c>
      <c r="AS67" s="149" t="str">
        <f>IFERROR(VLOOKUP(B67,Daily_Working_Do_Not_Delete!AE:AF,2,0))</f>
        <v/>
      </c>
      <c r="AT67" s="149" t="str">
        <f>IFERROR(VLOOKUP(B67,Daily_Working_Do_Not_Delete!AC:AD,2,0))</f>
        <v/>
      </c>
      <c r="AU67" s="149" t="str">
        <f>IFERROR(VLOOKUP(B67,Daily_Working_Do_Not_Delete!AA:AB,2,0))</f>
        <v/>
      </c>
      <c r="AV67" s="149" t="str">
        <f>IFERROR(VLOOKUP(B67,Daily_Working_Do_Not_Delete!Y:Z,2,0))</f>
        <v/>
      </c>
      <c r="AW67" s="149" t="str">
        <f>IFERROR(VLOOKUP(B67,Daily_Working_Do_Not_Delete!W:X,2,0))</f>
        <v/>
      </c>
      <c r="AX67" s="149" t="str">
        <f>IFERROR(VLOOKUP(B67,Daily_Working_Do_Not_Delete!U:V,2,0))</f>
        <v/>
      </c>
      <c r="AY67" s="149" t="str">
        <f>IFERROR(VLOOKUP(B67,Daily_Working_Do_Not_Delete!S:T,2,0))</f>
        <v/>
      </c>
      <c r="AZ67" s="149" t="str">
        <f>IFERROR(VLOOKUP(B67,Daily_Working_Do_Not_Delete!Q:R,2,0))</f>
        <v/>
      </c>
      <c r="BA67" s="149">
        <f>IFERROR(VLOOKUP(B67,Daily_Working_Do_Not_Delete!O:P,2,0))</f>
        <v>0.0000462962963</v>
      </c>
      <c r="BB67" s="149" t="str">
        <f>IFERROR(VLOOKUP(B67,Daily_Working_Do_Not_Delete!M:N,2,0))</f>
        <v/>
      </c>
      <c r="BC67" s="149" t="str">
        <f>IFERROR(VLOOKUP(B67,Daily_Working_Do_Not_Delete!K:L,2,0))</f>
        <v/>
      </c>
      <c r="BD67" s="149">
        <f>IFERROR(VLOOKUP(B67,Daily_Working_Do_Not_Delete!I:J,2,0))</f>
        <v>0.002766203704</v>
      </c>
      <c r="BE67" s="149">
        <f>IFERROR(VLOOKUP(B67,Daily_Working_Do_Not_Delete!G:H,2,0))</f>
        <v>0.003946759259</v>
      </c>
      <c r="BF67" s="149">
        <f>IFERROR(VLOOKUP(B67,Daily_Working_Do_Not_Delete!E:F,2,0))</f>
        <v>0.007685185185</v>
      </c>
      <c r="BG67" s="149">
        <f>IFERROR(VLOOKUP(B67,Daily_Working_Do_Not_Delete!C:D,2,0))</f>
        <v>0.003020833333</v>
      </c>
      <c r="BH67" s="149" t="str">
        <f>IFERROR(VLOOKUP(B67,Daily_Working_Do_Not_Delete!A:B,2,0))</f>
        <v/>
      </c>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row>
    <row r="68">
      <c r="A68" s="146" t="s">
        <v>77</v>
      </c>
      <c r="B68" s="146" t="s">
        <v>91</v>
      </c>
      <c r="C68" s="137" t="s">
        <v>421</v>
      </c>
      <c r="D68" s="148">
        <f t="shared" si="3"/>
        <v>8.382800926</v>
      </c>
      <c r="E68" s="149">
        <f>IFERROR(VLOOKUP(B68,Daily_Working_Do_Not_Delete!DG:DH,2,0))</f>
        <v>2.974768519</v>
      </c>
      <c r="F68" s="149">
        <f>IFERROR(VLOOKUP(B68,Daily_Working_Do_Not_Delete!DE:DF,2,0))</f>
        <v>0.406875</v>
      </c>
      <c r="G68" s="149">
        <f>IFERROR(VLOOKUP(B68,Daily_Working_Do_Not_Delete!DC:DD,2,0))</f>
        <v>0.3545717593</v>
      </c>
      <c r="H68" s="149">
        <f>IFERROR(VLOOKUP(B68,Daily_Working_Do_Not_Delete!DA:DB,2,0))</f>
        <v>0.2756481481</v>
      </c>
      <c r="I68" s="149">
        <f>IFERROR(VLOOKUP(B68,Daily_Working_Do_Not_Delete!CY:CZ,2,0))</f>
        <v>0.3075462963</v>
      </c>
      <c r="J68" s="149">
        <f>IFERROR(VLOOKUP(B68,Daily_Working_Do_Not_Delete!CW:CX,2,0))</f>
        <v>0.2677083333</v>
      </c>
      <c r="K68" s="149">
        <f>IFERROR(VLOOKUP(B68,Daily_Working_Do_Not_Delete!CU:CV,2,0))</f>
        <v>0.287349537</v>
      </c>
      <c r="L68" s="149">
        <f>IFERROR(VLOOKUP(B68,Daily_Working_Do_Not_Delete!CS:CT,2,0))</f>
        <v>0.1627314815</v>
      </c>
      <c r="M68" s="149">
        <f>IFERROR(VLOOKUP(B68,Daily_Working_Do_Not_Delete!CQ:CR,2,0))</f>
        <v>0.1371296296</v>
      </c>
      <c r="N68" s="149">
        <f>IFERROR(VLOOKUP(B68,Daily_Working_Do_Not_Delete!CO:CP,2,0))</f>
        <v>0.150787037</v>
      </c>
      <c r="O68" s="149">
        <f>IFERROR(VLOOKUP(B68,Daily_Working_Do_Not_Delete!CM:CN,2,0))</f>
        <v>0.1774421296</v>
      </c>
      <c r="P68" s="149">
        <f>IFERROR(VLOOKUP(B68,Daily_Working_Do_Not_Delete!CK:CL,2,0))</f>
        <v>0.2189814815</v>
      </c>
      <c r="Q68" s="149">
        <f>IFERROR(VLOOKUP(B68,Daily_Working_Do_Not_Delete!CI:CJ,2,0))</f>
        <v>0.300775463</v>
      </c>
      <c r="R68" s="149">
        <f>IFERROR(VLOOKUP(B68,Daily_Working_Do_Not_Delete!CG:CH,2,0))</f>
        <v>0.1133912037</v>
      </c>
      <c r="S68" s="149">
        <f>IFERROR(VLOOKUP(B68,Daily_Working_Do_Not_Delete!CE:CF,2,0))</f>
        <v>0.1016203704</v>
      </c>
      <c r="T68" s="149">
        <f>IFERROR(VLOOKUP(B68,Daily_Working_Do_Not_Delete!CC:CD,2,0))</f>
        <v>0.2186574074</v>
      </c>
      <c r="U68" s="149">
        <f>IFERROR(VLOOKUP(B68,Daily_Working_Do_Not_Delete!CA:CB,2,0))</f>
        <v>0.2287847222</v>
      </c>
      <c r="V68" s="149">
        <f>IFERROR(VLOOKUP(B68,Daily_Working_Do_Not_Delete!BY:BZ,2,0))</f>
        <v>0.1684259259</v>
      </c>
      <c r="W68" s="149">
        <f>IFERROR(VLOOKUP(B68,Daily_Working_Do_Not_Delete!BW:BX,2,0))</f>
        <v>0.04523148148</v>
      </c>
      <c r="X68" s="149">
        <f>IFERROR(VLOOKUP(B68,Daily_Working_Do_Not_Delete!BU:BV,2,0))</f>
        <v>0.0674537037</v>
      </c>
      <c r="Y68" s="149">
        <f>IFERROR(VLOOKUP(B68,Daily_Working_Do_Not_Delete!BS:BT,2,0))</f>
        <v>0.005</v>
      </c>
      <c r="Z68" s="149">
        <f>IFERROR(VLOOKUP(B68,Daily_Working_Do_Not_Delete!BQ:BR,2,0))</f>
        <v>0.0472337963</v>
      </c>
      <c r="AA68" s="149">
        <f>IFERROR(VLOOKUP(B68,Daily_Working_Do_Not_Delete!BO:BP,2,0))</f>
        <v>0.01106481481</v>
      </c>
      <c r="AB68" s="149">
        <f>IFERROR(VLOOKUP(B68,Daily_Working_Do_Not_Delete!BM:BN,2,0))</f>
        <v>0.05616898148</v>
      </c>
      <c r="AC68" s="149">
        <f>IFERROR(VLOOKUP(B68,Daily_Working_Do_Not_Delete!BK:BL,2,0))</f>
        <v>0.02425925926</v>
      </c>
      <c r="AD68" s="149">
        <f>IFERROR(VLOOKUP(B68,Daily_Working_Do_Not_Delete!BI:BJ,2,0))</f>
        <v>0.02420138889</v>
      </c>
      <c r="AE68" s="149">
        <f>IFERROR(VLOOKUP(B68,Daily_Working_Do_Not_Delete!BG:BH,2,0))</f>
        <v>0.005034722222</v>
      </c>
      <c r="AF68" s="149">
        <f>IFERROR(VLOOKUP(B68,Daily_Working_Do_Not_Delete!BE:BF,2,0))</f>
        <v>0.005717592593</v>
      </c>
      <c r="AG68" s="149">
        <f>IFERROR(VLOOKUP(B68,Daily_Working_Do_Not_Delete!BC:BD,2,0))</f>
        <v>0.05351851852</v>
      </c>
      <c r="AH68" s="149">
        <f>IFERROR(VLOOKUP(B68,Daily_Working_Do_Not_Delete!BA:BB,2,0))</f>
        <v>0.2762962963</v>
      </c>
      <c r="AI68" s="149">
        <f>IFERROR(VLOOKUP(B68,Daily_Working_Do_Not_Delete!AY:AZ,2,0))</f>
        <v>0.4090625</v>
      </c>
      <c r="AJ68" s="149">
        <f>IFERROR(VLOOKUP(B68,Daily_Working_Do_Not_Delete!AW:AX,2,0))</f>
        <v>0.2387847222</v>
      </c>
      <c r="AK68" s="149">
        <f>IFERROR(VLOOKUP(B68,Daily_Working_Do_Not_Delete!AU:AV,2,0))</f>
        <v>0.1552662037</v>
      </c>
      <c r="AL68" s="149">
        <f>IFERROR(VLOOKUP(B68,Daily_Working_Do_Not_Delete!AS:AT,2,0))</f>
        <v>0.05488425926</v>
      </c>
      <c r="AM68" s="149">
        <f>IFERROR(VLOOKUP(B68,Daily_Working_Do_Not_Delete!AQ:AR,2,0))</f>
        <v>0.02850694444</v>
      </c>
      <c r="AN68" s="149">
        <f>IFERROR(VLOOKUP(B68,Daily_Working_Do_Not_Delete!AO:AP,2,0))</f>
        <v>0.001331018519</v>
      </c>
      <c r="AO68" s="149" t="str">
        <f>IFERROR(VLOOKUP(B68,Daily_Working_Do_Not_Delete!AM:AN,2,0))</f>
        <v/>
      </c>
      <c r="AP68" s="149">
        <f>IFERROR(VLOOKUP(B68,Daily_Working_Do_Not_Delete!AK:AL,2,0))</f>
        <v>0.004270833333</v>
      </c>
      <c r="AQ68" s="149">
        <f>IFERROR(VLOOKUP(B68,Daily_Working_Do_Not_Delete!AI:AJ,2,0))</f>
        <v>0.0005671296296</v>
      </c>
      <c r="AR68" s="149" t="str">
        <f>IFERROR(VLOOKUP(B68,Daily_Working_Do_Not_Delete!AG:AH,2,0))</f>
        <v/>
      </c>
      <c r="AS68" s="149">
        <f>IFERROR(VLOOKUP(B68,Daily_Working_Do_Not_Delete!AE:AF,2,0))</f>
        <v>0.0009259259259</v>
      </c>
      <c r="AT68" s="149" t="str">
        <f>IFERROR(VLOOKUP(B68,Daily_Working_Do_Not_Delete!AC:AD,2,0))</f>
        <v/>
      </c>
      <c r="AU68" s="149" t="str">
        <f>IFERROR(VLOOKUP(B68,Daily_Working_Do_Not_Delete!AA:AB,2,0))</f>
        <v/>
      </c>
      <c r="AV68" s="149">
        <f>IFERROR(VLOOKUP(B68,Daily_Working_Do_Not_Delete!Y:Z,2,0))</f>
        <v>0.003368055556</v>
      </c>
      <c r="AW68" s="149" t="str">
        <f>IFERROR(VLOOKUP(B68,Daily_Working_Do_Not_Delete!W:X,2,0))</f>
        <v/>
      </c>
      <c r="AX68" s="149" t="str">
        <f>IFERROR(VLOOKUP(B68,Daily_Working_Do_Not_Delete!U:V,2,0))</f>
        <v/>
      </c>
      <c r="AY68" s="149">
        <f>IFERROR(VLOOKUP(B68,Daily_Working_Do_Not_Delete!S:T,2,0))</f>
        <v>0.01145833333</v>
      </c>
      <c r="AZ68" s="149" t="str">
        <f>IFERROR(VLOOKUP(B68,Daily_Working_Do_Not_Delete!Q:R,2,0))</f>
        <v/>
      </c>
      <c r="BA68" s="149" t="str">
        <f>IFERROR(VLOOKUP(B68,Daily_Working_Do_Not_Delete!O:P,2,0))</f>
        <v/>
      </c>
      <c r="BB68" s="149" t="str">
        <f>IFERROR(VLOOKUP(B68,Daily_Working_Do_Not_Delete!M:N,2,0))</f>
        <v/>
      </c>
      <c r="BC68" s="149" t="str">
        <f>IFERROR(VLOOKUP(B68,Daily_Working_Do_Not_Delete!K:L,2,0))</f>
        <v/>
      </c>
      <c r="BD68" s="149" t="str">
        <f>IFERROR(VLOOKUP(B68,Daily_Working_Do_Not_Delete!I:J,2,0))</f>
        <v/>
      </c>
      <c r="BE68" s="149" t="str">
        <f>IFERROR(VLOOKUP(B68,Daily_Working_Do_Not_Delete!G:H,2,0))</f>
        <v/>
      </c>
      <c r="BF68" s="149" t="str">
        <f>IFERROR(VLOOKUP(B68,Daily_Working_Do_Not_Delete!E:F,2,0))</f>
        <v/>
      </c>
      <c r="BG68" s="149" t="str">
        <f>IFERROR(VLOOKUP(B68,Daily_Working_Do_Not_Delete!C:D,2,0))</f>
        <v/>
      </c>
      <c r="BH68" s="149" t="str">
        <f>IFERROR(VLOOKUP(B68,Daily_Working_Do_Not_Delete!A:B,2,0))</f>
        <v/>
      </c>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row>
    <row r="69">
      <c r="A69" s="146" t="s">
        <v>67</v>
      </c>
      <c r="B69" s="146" t="s">
        <v>426</v>
      </c>
      <c r="C69" s="137" t="s">
        <v>421</v>
      </c>
      <c r="D69" s="148">
        <f t="shared" si="3"/>
        <v>6.16931713</v>
      </c>
      <c r="E69" s="149">
        <f>IFERROR(VLOOKUP(B69,Daily_Working_Do_Not_Delete!DG:DH,2,0))</f>
        <v>3.04087963</v>
      </c>
      <c r="F69" s="149">
        <f>IFERROR(VLOOKUP(B69,Daily_Working_Do_Not_Delete!DE:DF,2,0))</f>
        <v>0.01347222222</v>
      </c>
      <c r="G69" s="149">
        <f>IFERROR(VLOOKUP(B69,Daily_Working_Do_Not_Delete!DC:DD,2,0))</f>
        <v>0.002233796296</v>
      </c>
      <c r="H69" s="149">
        <f>IFERROR(VLOOKUP(B69,Daily_Working_Do_Not_Delete!DA:DB,2,0))</f>
        <v>0.02966435185</v>
      </c>
      <c r="I69" s="149">
        <f>IFERROR(VLOOKUP(B69,Daily_Working_Do_Not_Delete!CY:CZ,2,0))</f>
        <v>0.03575231481</v>
      </c>
      <c r="J69" s="149">
        <f>IFERROR(VLOOKUP(B69,Daily_Working_Do_Not_Delete!CW:CX,2,0))</f>
        <v>0.02819444444</v>
      </c>
      <c r="K69" s="149">
        <f>IFERROR(VLOOKUP(B69,Daily_Working_Do_Not_Delete!CU:CV,2,0))</f>
        <v>0.0241087963</v>
      </c>
      <c r="L69" s="149">
        <f>IFERROR(VLOOKUP(B69,Daily_Working_Do_Not_Delete!CS:CT,2,0))</f>
        <v>0.02646990741</v>
      </c>
      <c r="M69" s="149">
        <f>IFERROR(VLOOKUP(B69,Daily_Working_Do_Not_Delete!CQ:CR,2,0))</f>
        <v>0.008460648148</v>
      </c>
      <c r="N69" s="149">
        <f>IFERROR(VLOOKUP(B69,Daily_Working_Do_Not_Delete!CO:CP,2,0))</f>
        <v>0.03351851852</v>
      </c>
      <c r="O69" s="149">
        <f>IFERROR(VLOOKUP(B69,Daily_Working_Do_Not_Delete!CM:CN,2,0))</f>
        <v>0.02199074074</v>
      </c>
      <c r="P69" s="149">
        <f>IFERROR(VLOOKUP(B69,Daily_Working_Do_Not_Delete!CK:CL,2,0))</f>
        <v>0.02883101852</v>
      </c>
      <c r="Q69" s="149">
        <f>IFERROR(VLOOKUP(B69,Daily_Working_Do_Not_Delete!CI:CJ,2,0))</f>
        <v>0.02768518519</v>
      </c>
      <c r="R69" s="149">
        <f>IFERROR(VLOOKUP(B69,Daily_Working_Do_Not_Delete!CG:CH,2,0))</f>
        <v>0.0302662037</v>
      </c>
      <c r="S69" s="149">
        <f>IFERROR(VLOOKUP(B69,Daily_Working_Do_Not_Delete!CE:CF,2,0))</f>
        <v>0.02769675926</v>
      </c>
      <c r="T69" s="149">
        <f>IFERROR(VLOOKUP(B69,Daily_Working_Do_Not_Delete!CC:CD,2,0))</f>
        <v>0.03164351852</v>
      </c>
      <c r="U69" s="149">
        <f>IFERROR(VLOOKUP(B69,Daily_Working_Do_Not_Delete!CA:CB,2,0))</f>
        <v>0.02482638889</v>
      </c>
      <c r="V69" s="149">
        <f>IFERROR(VLOOKUP(B69,Daily_Working_Do_Not_Delete!BY:BZ,2,0))</f>
        <v>0.03226851852</v>
      </c>
      <c r="W69" s="149">
        <f>IFERROR(VLOOKUP(B69,Daily_Working_Do_Not_Delete!BW:BX,2,0))</f>
        <v>0.05159722222</v>
      </c>
      <c r="X69" s="149">
        <f>IFERROR(VLOOKUP(B69,Daily_Working_Do_Not_Delete!BU:BV,2,0))</f>
        <v>0.04700231481</v>
      </c>
      <c r="Y69" s="149">
        <f>IFERROR(VLOOKUP(B69,Daily_Working_Do_Not_Delete!BS:BT,2,0))</f>
        <v>0.025625</v>
      </c>
      <c r="Z69" s="149">
        <f>IFERROR(VLOOKUP(B69,Daily_Working_Do_Not_Delete!BQ:BR,2,0))</f>
        <v>0.02211805556</v>
      </c>
      <c r="AA69" s="149">
        <f>IFERROR(VLOOKUP(B69,Daily_Working_Do_Not_Delete!BO:BP,2,0))</f>
        <v>0.01252314815</v>
      </c>
      <c r="AB69" s="149">
        <f>IFERROR(VLOOKUP(B69,Daily_Working_Do_Not_Delete!BM:BN,2,0))</f>
        <v>0.04921296296</v>
      </c>
      <c r="AC69" s="149">
        <f>IFERROR(VLOOKUP(B69,Daily_Working_Do_Not_Delete!BK:BL,2,0))</f>
        <v>0.1234953704</v>
      </c>
      <c r="AD69" s="149">
        <f>IFERROR(VLOOKUP(B69,Daily_Working_Do_Not_Delete!BI:BJ,2,0))</f>
        <v>0.04653935185</v>
      </c>
      <c r="AE69" s="149">
        <f>IFERROR(VLOOKUP(B69,Daily_Working_Do_Not_Delete!BG:BH,2,0))</f>
        <v>0.09739583333</v>
      </c>
      <c r="AF69" s="149">
        <f>IFERROR(VLOOKUP(B69,Daily_Working_Do_Not_Delete!BE:BF,2,0))</f>
        <v>0.08865740741</v>
      </c>
      <c r="AG69" s="149">
        <f>IFERROR(VLOOKUP(B69,Daily_Working_Do_Not_Delete!BC:BD,2,0))</f>
        <v>0.0725</v>
      </c>
      <c r="AH69" s="149">
        <f>IFERROR(VLOOKUP(B69,Daily_Working_Do_Not_Delete!BA:BB,2,0))</f>
        <v>0.3498148148</v>
      </c>
      <c r="AI69" s="149">
        <f>IFERROR(VLOOKUP(B69,Daily_Working_Do_Not_Delete!AY:AZ,2,0))</f>
        <v>0.2756712963</v>
      </c>
      <c r="AJ69" s="149">
        <f>IFERROR(VLOOKUP(B69,Daily_Working_Do_Not_Delete!AW:AX,2,0))</f>
        <v>0.3153009259</v>
      </c>
      <c r="AK69" s="149">
        <f>IFERROR(VLOOKUP(B69,Daily_Working_Do_Not_Delete!AU:AV,2,0))</f>
        <v>0.2719560185</v>
      </c>
      <c r="AL69" s="149">
        <f>IFERROR(VLOOKUP(B69,Daily_Working_Do_Not_Delete!AS:AT,2,0))</f>
        <v>0.02039351852</v>
      </c>
      <c r="AM69" s="149">
        <f>IFERROR(VLOOKUP(B69,Daily_Working_Do_Not_Delete!AQ:AR,2,0))</f>
        <v>0.6575578704</v>
      </c>
      <c r="AN69" s="149">
        <f>IFERROR(VLOOKUP(B69,Daily_Working_Do_Not_Delete!AO:AP,2,0))</f>
        <v>0.1518981481</v>
      </c>
      <c r="AO69" s="149" t="str">
        <f>IFERROR(VLOOKUP(B69,Daily_Working_Do_Not_Delete!AM:AN,2,0))</f>
        <v/>
      </c>
      <c r="AP69" s="149">
        <f>IFERROR(VLOOKUP(B69,Daily_Working_Do_Not_Delete!AK:AL,2,0))</f>
        <v>0.01542824074</v>
      </c>
      <c r="AQ69" s="149" t="str">
        <f>IFERROR(VLOOKUP(B69,Daily_Working_Do_Not_Delete!AI:AJ,2,0))</f>
        <v/>
      </c>
      <c r="AR69" s="149">
        <f>IFERROR(VLOOKUP(B69,Daily_Working_Do_Not_Delete!AG:AH,2,0))</f>
        <v>0.006666666667</v>
      </c>
      <c r="AS69" s="149" t="str">
        <f>IFERROR(VLOOKUP(B69,Daily_Working_Do_Not_Delete!AE:AF,2,0))</f>
        <v/>
      </c>
      <c r="AT69" s="149" t="str">
        <f>IFERROR(VLOOKUP(B69,Daily_Working_Do_Not_Delete!AC:AD,2,0))</f>
        <v/>
      </c>
      <c r="AU69" s="149" t="str">
        <f>IFERROR(VLOOKUP(B69,Daily_Working_Do_Not_Delete!AA:AB,2,0))</f>
        <v/>
      </c>
      <c r="AV69" s="149" t="str">
        <f>IFERROR(VLOOKUP(B69,Daily_Working_Do_Not_Delete!Y:Z,2,0))</f>
        <v/>
      </c>
      <c r="AW69" s="149" t="str">
        <f>IFERROR(VLOOKUP(B69,Daily_Working_Do_Not_Delete!W:X,2,0))</f>
        <v/>
      </c>
      <c r="AX69" s="149" t="str">
        <f>IFERROR(VLOOKUP(B69,Daily_Working_Do_Not_Delete!U:V,2,0))</f>
        <v/>
      </c>
      <c r="AY69" s="149" t="str">
        <f>IFERROR(VLOOKUP(B69,Daily_Working_Do_Not_Delete!S:T,2,0))</f>
        <v/>
      </c>
      <c r="AZ69" s="149" t="str">
        <f>IFERROR(VLOOKUP(B69,Daily_Working_Do_Not_Delete!Q:R,2,0))</f>
        <v/>
      </c>
      <c r="BA69" s="149" t="str">
        <f>IFERROR(VLOOKUP(B69,Daily_Working_Do_Not_Delete!O:P,2,0))</f>
        <v/>
      </c>
      <c r="BB69" s="149" t="str">
        <f>IFERROR(VLOOKUP(B69,Daily_Working_Do_Not_Delete!M:N,2,0))</f>
        <v/>
      </c>
      <c r="BC69" s="149" t="str">
        <f>IFERROR(VLOOKUP(B69,Daily_Working_Do_Not_Delete!K:L,2,0))</f>
        <v/>
      </c>
      <c r="BD69" s="149" t="str">
        <f>IFERROR(VLOOKUP(B69,Daily_Working_Do_Not_Delete!I:J,2,0))</f>
        <v/>
      </c>
      <c r="BE69" s="149" t="str">
        <f>IFERROR(VLOOKUP(B69,Daily_Working_Do_Not_Delete!G:H,2,0))</f>
        <v/>
      </c>
      <c r="BF69" s="149" t="str">
        <f>IFERROR(VLOOKUP(B69,Daily_Working_Do_Not_Delete!E:F,2,0))</f>
        <v/>
      </c>
      <c r="BG69" s="149" t="str">
        <f>IFERROR(VLOOKUP(B69,Daily_Working_Do_Not_Delete!C:D,2,0))</f>
        <v/>
      </c>
      <c r="BH69" s="149" t="str">
        <f>IFERROR(VLOOKUP(B69,Daily_Working_Do_Not_Delete!A:B,2,0))</f>
        <v/>
      </c>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row>
    <row r="70">
      <c r="A70" s="146" t="s">
        <v>67</v>
      </c>
      <c r="B70" s="146" t="s">
        <v>93</v>
      </c>
      <c r="C70" s="137" t="s">
        <v>421</v>
      </c>
      <c r="D70" s="148">
        <f t="shared" si="3"/>
        <v>5.672534722</v>
      </c>
      <c r="E70" s="149">
        <f>IFERROR(VLOOKUP(B70,Daily_Working_Do_Not_Delete!DG:DH,2,0))</f>
        <v>2.143888889</v>
      </c>
      <c r="F70" s="149">
        <f>IFERROR(VLOOKUP(B70,Daily_Working_Do_Not_Delete!DE:DF,2,0))</f>
        <v>0.04369212963</v>
      </c>
      <c r="G70" s="149">
        <f>IFERROR(VLOOKUP(B70,Daily_Working_Do_Not_Delete!DC:DD,2,0))</f>
        <v>0.01591435185</v>
      </c>
      <c r="H70" s="149">
        <f>IFERROR(VLOOKUP(B70,Daily_Working_Do_Not_Delete!DA:DB,2,0))</f>
        <v>0.05412037037</v>
      </c>
      <c r="I70" s="149">
        <f>IFERROR(VLOOKUP(B70,Daily_Working_Do_Not_Delete!CY:CZ,2,0))</f>
        <v>0.0584375</v>
      </c>
      <c r="J70" s="149">
        <f>IFERROR(VLOOKUP(B70,Daily_Working_Do_Not_Delete!CW:CX,2,0))</f>
        <v>0.03633101852</v>
      </c>
      <c r="K70" s="149">
        <f>IFERROR(VLOOKUP(B70,Daily_Working_Do_Not_Delete!CU:CV,2,0))</f>
        <v>0.02842592593</v>
      </c>
      <c r="L70" s="149">
        <f>IFERROR(VLOOKUP(B70,Daily_Working_Do_Not_Delete!CS:CT,2,0))</f>
        <v>0.01408564815</v>
      </c>
      <c r="M70" s="149">
        <f>IFERROR(VLOOKUP(B70,Daily_Working_Do_Not_Delete!CQ:CR,2,0))</f>
        <v>0.01805555556</v>
      </c>
      <c r="N70" s="149">
        <f>IFERROR(VLOOKUP(B70,Daily_Working_Do_Not_Delete!CO:CP,2,0))</f>
        <v>0.06261574074</v>
      </c>
      <c r="O70" s="149">
        <f>IFERROR(VLOOKUP(B70,Daily_Working_Do_Not_Delete!CM:CN,2,0))</f>
        <v>0.03434027778</v>
      </c>
      <c r="P70" s="149">
        <f>IFERROR(VLOOKUP(B70,Daily_Working_Do_Not_Delete!CK:CL,2,0))</f>
        <v>0.07761574074</v>
      </c>
      <c r="Q70" s="149">
        <f>IFERROR(VLOOKUP(B70,Daily_Working_Do_Not_Delete!CI:CJ,2,0))</f>
        <v>0.02497685185</v>
      </c>
      <c r="R70" s="149">
        <f>IFERROR(VLOOKUP(B70,Daily_Working_Do_Not_Delete!CG:CH,2,0))</f>
        <v>0.03738425926</v>
      </c>
      <c r="S70" s="149">
        <f>IFERROR(VLOOKUP(B70,Daily_Working_Do_Not_Delete!CE:CF,2,0))</f>
        <v>0.03356481481</v>
      </c>
      <c r="T70" s="149">
        <f>IFERROR(VLOOKUP(B70,Daily_Working_Do_Not_Delete!CC:CD,2,0))</f>
        <v>0.06619212963</v>
      </c>
      <c r="U70" s="149">
        <f>IFERROR(VLOOKUP(B70,Daily_Working_Do_Not_Delete!CA:CB,2,0))</f>
        <v>0.0462037037</v>
      </c>
      <c r="V70" s="149">
        <f>IFERROR(VLOOKUP(B70,Daily_Working_Do_Not_Delete!BY:BZ,2,0))</f>
        <v>0.02178240741</v>
      </c>
      <c r="W70" s="149">
        <f>IFERROR(VLOOKUP(B70,Daily_Working_Do_Not_Delete!BW:BX,2,0))</f>
        <v>0.02275462963</v>
      </c>
      <c r="X70" s="149">
        <f>IFERROR(VLOOKUP(B70,Daily_Working_Do_Not_Delete!BU:BV,2,0))</f>
        <v>0.03332175926</v>
      </c>
      <c r="Y70" s="149">
        <f>IFERROR(VLOOKUP(B70,Daily_Working_Do_Not_Delete!BS:BT,2,0))</f>
        <v>0.06390046296</v>
      </c>
      <c r="Z70" s="149">
        <f>IFERROR(VLOOKUP(B70,Daily_Working_Do_Not_Delete!BQ:BR,2,0))</f>
        <v>0.05282407407</v>
      </c>
      <c r="AA70" s="149">
        <f>IFERROR(VLOOKUP(B70,Daily_Working_Do_Not_Delete!BO:BP,2,0))</f>
        <v>0.05180555556</v>
      </c>
      <c r="AB70" s="149">
        <f>IFERROR(VLOOKUP(B70,Daily_Working_Do_Not_Delete!BM:BN,2,0))</f>
        <v>0.1221875</v>
      </c>
      <c r="AC70" s="149">
        <f>IFERROR(VLOOKUP(B70,Daily_Working_Do_Not_Delete!BK:BL,2,0))</f>
        <v>0.1005208333</v>
      </c>
      <c r="AD70" s="149">
        <f>IFERROR(VLOOKUP(B70,Daily_Working_Do_Not_Delete!BI:BJ,2,0))</f>
        <v>0.0734837963</v>
      </c>
      <c r="AE70" s="149">
        <f>IFERROR(VLOOKUP(B70,Daily_Working_Do_Not_Delete!BG:BH,2,0))</f>
        <v>0.1167361111</v>
      </c>
      <c r="AF70" s="149">
        <f>IFERROR(VLOOKUP(B70,Daily_Working_Do_Not_Delete!BE:BF,2,0))</f>
        <v>0.1030555556</v>
      </c>
      <c r="AG70" s="149">
        <f>IFERROR(VLOOKUP(B70,Daily_Working_Do_Not_Delete!BC:BD,2,0))</f>
        <v>0.09371527778</v>
      </c>
      <c r="AH70" s="149">
        <f>IFERROR(VLOOKUP(B70,Daily_Working_Do_Not_Delete!BA:BB,2,0))</f>
        <v>0.3687268519</v>
      </c>
      <c r="AI70" s="149">
        <f>IFERROR(VLOOKUP(B70,Daily_Working_Do_Not_Delete!AY:AZ,2,0))</f>
        <v>0.6628935185</v>
      </c>
      <c r="AJ70" s="149">
        <f>IFERROR(VLOOKUP(B70,Daily_Working_Do_Not_Delete!AW:AX,2,0))</f>
        <v>0.3426388889</v>
      </c>
      <c r="AK70" s="149">
        <f>IFERROR(VLOOKUP(B70,Daily_Working_Do_Not_Delete!AU:AV,2,0))</f>
        <v>0.2347222222</v>
      </c>
      <c r="AL70" s="149">
        <f>IFERROR(VLOOKUP(B70,Daily_Working_Do_Not_Delete!AS:AT,2,0))</f>
        <v>0.08188657407</v>
      </c>
      <c r="AM70" s="149">
        <f>IFERROR(VLOOKUP(B70,Daily_Working_Do_Not_Delete!AQ:AR,2,0))</f>
        <v>0.2226967593</v>
      </c>
      <c r="AN70" s="149">
        <f>IFERROR(VLOOKUP(B70,Daily_Working_Do_Not_Delete!AO:AP,2,0))</f>
        <v>0.01877314815</v>
      </c>
      <c r="AO70" s="149">
        <f>IFERROR(VLOOKUP(B70,Daily_Working_Do_Not_Delete!AM:AN,2,0))</f>
        <v>0.003923611111</v>
      </c>
      <c r="AP70" s="149">
        <f>IFERROR(VLOOKUP(B70,Daily_Working_Do_Not_Delete!AK:AL,2,0))</f>
        <v>0.03423611111</v>
      </c>
      <c r="AQ70" s="149">
        <f>IFERROR(VLOOKUP(B70,Daily_Working_Do_Not_Delete!AI:AJ,2,0))</f>
        <v>0.02971064815</v>
      </c>
      <c r="AR70" s="149">
        <f>IFERROR(VLOOKUP(B70,Daily_Working_Do_Not_Delete!AG:AH,2,0))</f>
        <v>0.01033564815</v>
      </c>
      <c r="AS70" s="149">
        <f>IFERROR(VLOOKUP(B70,Daily_Working_Do_Not_Delete!AE:AF,2,0))</f>
        <v>0.005150462963</v>
      </c>
      <c r="AT70" s="149">
        <f>IFERROR(VLOOKUP(B70,Daily_Working_Do_Not_Delete!AC:AD,2,0))</f>
        <v>0.0002083333333</v>
      </c>
      <c r="AU70" s="149" t="str">
        <f>IFERROR(VLOOKUP(B70,Daily_Working_Do_Not_Delete!AA:AB,2,0))</f>
        <v/>
      </c>
      <c r="AV70" s="149" t="str">
        <f>IFERROR(VLOOKUP(B70,Daily_Working_Do_Not_Delete!Y:Z,2,0))</f>
        <v/>
      </c>
      <c r="AW70" s="149" t="str">
        <f>IFERROR(VLOOKUP(B70,Daily_Working_Do_Not_Delete!W:X,2,0))</f>
        <v/>
      </c>
      <c r="AX70" s="149">
        <f>IFERROR(VLOOKUP(B70,Daily_Working_Do_Not_Delete!U:V,2,0))</f>
        <v>0</v>
      </c>
      <c r="AY70" s="149" t="str">
        <f>IFERROR(VLOOKUP(B70,Daily_Working_Do_Not_Delete!S:T,2,0))</f>
        <v/>
      </c>
      <c r="AZ70" s="149">
        <f>IFERROR(VLOOKUP(B70,Daily_Working_Do_Not_Delete!Q:R,2,0))</f>
        <v>0.002326388889</v>
      </c>
      <c r="BA70" s="149">
        <f>IFERROR(VLOOKUP(B70,Daily_Working_Do_Not_Delete!O:P,2,0))</f>
        <v>0.002372685185</v>
      </c>
      <c r="BB70" s="149" t="str">
        <f>IFERROR(VLOOKUP(B70,Daily_Working_Do_Not_Delete!M:N,2,0))</f>
        <v/>
      </c>
      <c r="BC70" s="149" t="str">
        <f>IFERROR(VLOOKUP(B70,Daily_Working_Do_Not_Delete!K:L,2,0))</f>
        <v/>
      </c>
      <c r="BD70" s="149" t="str">
        <f>IFERROR(VLOOKUP(B70,Daily_Working_Do_Not_Delete!I:J,2,0))</f>
        <v/>
      </c>
      <c r="BE70" s="149" t="str">
        <f>IFERROR(VLOOKUP(B70,Daily_Working_Do_Not_Delete!G:H,2,0))</f>
        <v/>
      </c>
      <c r="BF70" s="149" t="str">
        <f>IFERROR(VLOOKUP(B70,Daily_Working_Do_Not_Delete!E:F,2,0))</f>
        <v/>
      </c>
      <c r="BG70" s="149" t="str">
        <f>IFERROR(VLOOKUP(B70,Daily_Working_Do_Not_Delete!C:D,2,0))</f>
        <v/>
      </c>
      <c r="BH70" s="149" t="str">
        <f>IFERROR(VLOOKUP(B70,Daily_Working_Do_Not_Delete!A:B,2,0))</f>
        <v/>
      </c>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row>
    <row r="71">
      <c r="A71" s="146" t="s">
        <v>427</v>
      </c>
      <c r="B71" s="146" t="s">
        <v>94</v>
      </c>
      <c r="C71" s="137" t="s">
        <v>421</v>
      </c>
      <c r="D71" s="148">
        <f t="shared" si="3"/>
        <v>7.567673611</v>
      </c>
      <c r="E71" s="149">
        <f>IFERROR(VLOOKUP(B71,Daily_Working_Do_Not_Delete!DG:DH,2,0))</f>
        <v>2.25306713</v>
      </c>
      <c r="F71" s="149">
        <f>IFERROR(VLOOKUP(B71,Daily_Working_Do_Not_Delete!DE:DF,2,0))</f>
        <v>0.04304398148</v>
      </c>
      <c r="G71" s="149">
        <f>IFERROR(VLOOKUP(B71,Daily_Working_Do_Not_Delete!DC:DD,2,0))</f>
        <v>0.0144212963</v>
      </c>
      <c r="H71" s="149" t="str">
        <f>IFERROR(VLOOKUP(B71,Daily_Working_Do_Not_Delete!DA:DB,2,0))</f>
        <v/>
      </c>
      <c r="I71" s="149">
        <f>IFERROR(VLOOKUP(B71,Daily_Working_Do_Not_Delete!CY:CZ,2,0))</f>
        <v>0.009918981481</v>
      </c>
      <c r="J71" s="149">
        <f>IFERROR(VLOOKUP(B71,Daily_Working_Do_Not_Delete!CW:CX,2,0))</f>
        <v>0.02395833333</v>
      </c>
      <c r="K71" s="149">
        <f>IFERROR(VLOOKUP(B71,Daily_Working_Do_Not_Delete!CU:CV,2,0))</f>
        <v>0.01291666667</v>
      </c>
      <c r="L71" s="149">
        <f>IFERROR(VLOOKUP(B71,Daily_Working_Do_Not_Delete!CS:CT,2,0))</f>
        <v>0.01332175926</v>
      </c>
      <c r="M71" s="149">
        <f>IFERROR(VLOOKUP(B71,Daily_Working_Do_Not_Delete!CQ:CR,2,0))</f>
        <v>0.01846064815</v>
      </c>
      <c r="N71" s="149">
        <f>IFERROR(VLOOKUP(B71,Daily_Working_Do_Not_Delete!CO:CP,2,0))</f>
        <v>0.006064814815</v>
      </c>
      <c r="O71" s="149">
        <f>IFERROR(VLOOKUP(B71,Daily_Working_Do_Not_Delete!CM:CN,2,0))</f>
        <v>0.03282407407</v>
      </c>
      <c r="P71" s="149">
        <f>IFERROR(VLOOKUP(B71,Daily_Working_Do_Not_Delete!CK:CL,2,0))</f>
        <v>0.04008101852</v>
      </c>
      <c r="Q71" s="149" t="str">
        <f>IFERROR(VLOOKUP(B71,Daily_Working_Do_Not_Delete!CI:CJ,2,0))</f>
        <v/>
      </c>
      <c r="R71" s="149">
        <f>IFERROR(VLOOKUP(B71,Daily_Working_Do_Not_Delete!CG:CH,2,0))</f>
        <v>0.002164351852</v>
      </c>
      <c r="S71" s="149">
        <f>IFERROR(VLOOKUP(B71,Daily_Working_Do_Not_Delete!CE:CF,2,0))</f>
        <v>0.07984953704</v>
      </c>
      <c r="T71" s="149">
        <f>IFERROR(VLOOKUP(B71,Daily_Working_Do_Not_Delete!CC:CD,2,0))</f>
        <v>0.07570601852</v>
      </c>
      <c r="U71" s="149">
        <f>IFERROR(VLOOKUP(B71,Daily_Working_Do_Not_Delete!CA:CB,2,0))</f>
        <v>0.1678240741</v>
      </c>
      <c r="V71" s="149">
        <f>IFERROR(VLOOKUP(B71,Daily_Working_Do_Not_Delete!BY:BZ,2,0))</f>
        <v>0.147650463</v>
      </c>
      <c r="W71" s="149">
        <f>IFERROR(VLOOKUP(B71,Daily_Working_Do_Not_Delete!BW:BX,2,0))</f>
        <v>0.05810185185</v>
      </c>
      <c r="X71" s="149">
        <f>IFERROR(VLOOKUP(B71,Daily_Working_Do_Not_Delete!BU:BV,2,0))</f>
        <v>0.05697916667</v>
      </c>
      <c r="Y71" s="149">
        <f>IFERROR(VLOOKUP(B71,Daily_Working_Do_Not_Delete!BS:BT,2,0))</f>
        <v>0.04359953704</v>
      </c>
      <c r="Z71" s="149">
        <f>IFERROR(VLOOKUP(B71,Daily_Working_Do_Not_Delete!BQ:BR,2,0))</f>
        <v>0.09105324074</v>
      </c>
      <c r="AA71" s="149">
        <f>IFERROR(VLOOKUP(B71,Daily_Working_Do_Not_Delete!BO:BP,2,0))</f>
        <v>0.1191319444</v>
      </c>
      <c r="AB71" s="149">
        <f>IFERROR(VLOOKUP(B71,Daily_Working_Do_Not_Delete!BM:BN,2,0))</f>
        <v>0.09457175926</v>
      </c>
      <c r="AC71" s="149">
        <f>IFERROR(VLOOKUP(B71,Daily_Working_Do_Not_Delete!BK:BL,2,0))</f>
        <v>0.1294444444</v>
      </c>
      <c r="AD71" s="149">
        <f>IFERROR(VLOOKUP(B71,Daily_Working_Do_Not_Delete!BI:BJ,2,0))</f>
        <v>0.1452893519</v>
      </c>
      <c r="AE71" s="149">
        <f>IFERROR(VLOOKUP(B71,Daily_Working_Do_Not_Delete!BG:BH,2,0))</f>
        <v>0.3444791667</v>
      </c>
      <c r="AF71" s="149">
        <f>IFERROR(VLOOKUP(B71,Daily_Working_Do_Not_Delete!BE:BF,2,0))</f>
        <v>0.1705902778</v>
      </c>
      <c r="AG71" s="149">
        <f>IFERROR(VLOOKUP(B71,Daily_Working_Do_Not_Delete!BC:BD,2,0))</f>
        <v>0.6378125</v>
      </c>
      <c r="AH71" s="149">
        <f>IFERROR(VLOOKUP(B71,Daily_Working_Do_Not_Delete!BA:BB,2,0))</f>
        <v>1.229652778</v>
      </c>
      <c r="AI71" s="149">
        <f>IFERROR(VLOOKUP(B71,Daily_Working_Do_Not_Delete!AY:AZ,2,0))</f>
        <v>0.6848032407</v>
      </c>
      <c r="AJ71" s="149">
        <f>IFERROR(VLOOKUP(B71,Daily_Working_Do_Not_Delete!AW:AX,2,0))</f>
        <v>0.3834143519</v>
      </c>
      <c r="AK71" s="149">
        <f>IFERROR(VLOOKUP(B71,Daily_Working_Do_Not_Delete!AU:AV,2,0))</f>
        <v>0.2269444444</v>
      </c>
      <c r="AL71" s="149">
        <f>IFERROR(VLOOKUP(B71,Daily_Working_Do_Not_Delete!AS:AT,2,0))</f>
        <v>0.09278935185</v>
      </c>
      <c r="AM71" s="149">
        <f>IFERROR(VLOOKUP(B71,Daily_Working_Do_Not_Delete!AQ:AR,2,0))</f>
        <v>0.02138888889</v>
      </c>
      <c r="AN71" s="149">
        <f>IFERROR(VLOOKUP(B71,Daily_Working_Do_Not_Delete!AO:AP,2,0))</f>
        <v>0.004502314815</v>
      </c>
      <c r="AO71" s="149">
        <f>IFERROR(VLOOKUP(B71,Daily_Working_Do_Not_Delete!AM:AN,2,0))</f>
        <v>0.01084490741</v>
      </c>
      <c r="AP71" s="149">
        <f>IFERROR(VLOOKUP(B71,Daily_Working_Do_Not_Delete!AK:AL,2,0))</f>
        <v>0.02615740741</v>
      </c>
      <c r="AQ71" s="149">
        <f>IFERROR(VLOOKUP(B71,Daily_Working_Do_Not_Delete!AI:AJ,2,0))</f>
        <v>0.009814814815</v>
      </c>
      <c r="AR71" s="149">
        <f>IFERROR(VLOOKUP(B71,Daily_Working_Do_Not_Delete!AG:AH,2,0))</f>
        <v>0.02201388889</v>
      </c>
      <c r="AS71" s="149">
        <f>IFERROR(VLOOKUP(B71,Daily_Working_Do_Not_Delete!AE:AF,2,0))</f>
        <v>0.0007291666667</v>
      </c>
      <c r="AT71" s="149">
        <f>IFERROR(VLOOKUP(B71,Daily_Working_Do_Not_Delete!AC:AD,2,0))</f>
        <v>0.01795138889</v>
      </c>
      <c r="AU71" s="149">
        <f>IFERROR(VLOOKUP(B71,Daily_Working_Do_Not_Delete!AA:AB,2,0))</f>
        <v>0.00400462963</v>
      </c>
      <c r="AV71" s="149" t="str">
        <f>IFERROR(VLOOKUP(B71,Daily_Working_Do_Not_Delete!Y:Z,2,0))</f>
        <v/>
      </c>
      <c r="AW71" s="149" t="str">
        <f>IFERROR(VLOOKUP(B71,Daily_Working_Do_Not_Delete!W:X,2,0))</f>
        <v/>
      </c>
      <c r="AX71" s="149">
        <f>IFERROR(VLOOKUP(B71,Daily_Working_Do_Not_Delete!U:V,2,0))</f>
        <v>0.000150462963</v>
      </c>
      <c r="AY71" s="149" t="str">
        <f>IFERROR(VLOOKUP(B71,Daily_Working_Do_Not_Delete!S:T,2,0))</f>
        <v/>
      </c>
      <c r="AZ71" s="149" t="str">
        <f>IFERROR(VLOOKUP(B71,Daily_Working_Do_Not_Delete!Q:R,2,0))</f>
        <v/>
      </c>
      <c r="BA71" s="149" t="str">
        <f>IFERROR(VLOOKUP(B71,Daily_Working_Do_Not_Delete!O:P,2,0))</f>
        <v/>
      </c>
      <c r="BB71" s="149" t="str">
        <f>IFERROR(VLOOKUP(B71,Daily_Working_Do_Not_Delete!M:N,2,0))</f>
        <v/>
      </c>
      <c r="BC71" s="149" t="str">
        <f>IFERROR(VLOOKUP(B71,Daily_Working_Do_Not_Delete!K:L,2,0))</f>
        <v/>
      </c>
      <c r="BD71" s="149" t="str">
        <f>IFERROR(VLOOKUP(B71,Daily_Working_Do_Not_Delete!I:J,2,0))</f>
        <v/>
      </c>
      <c r="BE71" s="149">
        <f>IFERROR(VLOOKUP(B71,Daily_Working_Do_Not_Delete!G:H,2,0))</f>
        <v>0.0001851851852</v>
      </c>
      <c r="BF71" s="149" t="str">
        <f>IFERROR(VLOOKUP(B71,Daily_Working_Do_Not_Delete!E:F,2,0))</f>
        <v/>
      </c>
      <c r="BG71" s="149" t="str">
        <f>IFERROR(VLOOKUP(B71,Daily_Working_Do_Not_Delete!C:D,2,0))</f>
        <v/>
      </c>
      <c r="BH71" s="149" t="str">
        <f>IFERROR(VLOOKUP(B71,Daily_Working_Do_Not_Delete!A:B,2,0))</f>
        <v/>
      </c>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row>
    <row r="72">
      <c r="A72" s="151" t="s">
        <v>427</v>
      </c>
      <c r="B72" s="151" t="s">
        <v>95</v>
      </c>
      <c r="C72" s="152" t="s">
        <v>421</v>
      </c>
      <c r="D72" s="153">
        <f t="shared" si="3"/>
        <v>6.018310185</v>
      </c>
      <c r="E72" s="149">
        <f>IFERROR(VLOOKUP(B72,Daily_Working_Do_Not_Delete!DG:DH,2,0))</f>
        <v>3.418900463</v>
      </c>
      <c r="F72" s="149">
        <f>IFERROR(VLOOKUP(B72,Daily_Working_Do_Not_Delete!DE:DF,2,0))</f>
        <v>0.04516203704</v>
      </c>
      <c r="G72" s="149">
        <f>IFERROR(VLOOKUP(B72,Daily_Working_Do_Not_Delete!DC:DD,2,0))</f>
        <v>0.02767361111</v>
      </c>
      <c r="H72" s="149">
        <f>IFERROR(VLOOKUP(B72,Daily_Working_Do_Not_Delete!DA:DB,2,0))</f>
        <v>0.08234953704</v>
      </c>
      <c r="I72" s="149">
        <f>IFERROR(VLOOKUP(B72,Daily_Working_Do_Not_Delete!CY:CZ,2,0))</f>
        <v>0.06959490741</v>
      </c>
      <c r="J72" s="149">
        <f>IFERROR(VLOOKUP(B72,Daily_Working_Do_Not_Delete!CW:CX,2,0))</f>
        <v>0.08056712963</v>
      </c>
      <c r="K72" s="149">
        <f>IFERROR(VLOOKUP(B72,Daily_Working_Do_Not_Delete!CU:CV,2,0))</f>
        <v>0.05001157407</v>
      </c>
      <c r="L72" s="149">
        <f>IFERROR(VLOOKUP(B72,Daily_Working_Do_Not_Delete!CS:CT,2,0))</f>
        <v>0.03854166667</v>
      </c>
      <c r="M72" s="149">
        <f>IFERROR(VLOOKUP(B72,Daily_Working_Do_Not_Delete!CQ:CR,2,0))</f>
        <v>0.008865740741</v>
      </c>
      <c r="N72" s="149">
        <f>IFERROR(VLOOKUP(B72,Daily_Working_Do_Not_Delete!CO:CP,2,0))</f>
        <v>0.03835648148</v>
      </c>
      <c r="O72" s="149">
        <f>IFERROR(VLOOKUP(B72,Daily_Working_Do_Not_Delete!CM:CN,2,0))</f>
        <v>0.07832175926</v>
      </c>
      <c r="P72" s="149">
        <f>IFERROR(VLOOKUP(B72,Daily_Working_Do_Not_Delete!CK:CL,2,0))</f>
        <v>0.01563657407</v>
      </c>
      <c r="Q72" s="149">
        <f>IFERROR(VLOOKUP(B72,Daily_Working_Do_Not_Delete!CI:CJ,2,0))</f>
        <v>0.04055555556</v>
      </c>
      <c r="R72" s="149">
        <f>IFERROR(VLOOKUP(B72,Daily_Working_Do_Not_Delete!CG:CH,2,0))</f>
        <v>0.05291666667</v>
      </c>
      <c r="S72" s="149">
        <f>IFERROR(VLOOKUP(B72,Daily_Working_Do_Not_Delete!CE:CF,2,0))</f>
        <v>0.01751157407</v>
      </c>
      <c r="T72" s="149">
        <f>IFERROR(VLOOKUP(B72,Daily_Working_Do_Not_Delete!CC:CD,2,0))</f>
        <v>0.05236111111</v>
      </c>
      <c r="U72" s="149">
        <f>IFERROR(VLOOKUP(B72,Daily_Working_Do_Not_Delete!CA:CB,2,0))</f>
        <v>0.06423611111</v>
      </c>
      <c r="V72" s="149">
        <f>IFERROR(VLOOKUP(B72,Daily_Working_Do_Not_Delete!BY:BZ,2,0))</f>
        <v>0.03899305556</v>
      </c>
      <c r="W72" s="149">
        <f>IFERROR(VLOOKUP(B72,Daily_Working_Do_Not_Delete!BW:BX,2,0))</f>
        <v>0.0152662037</v>
      </c>
      <c r="X72" s="149">
        <f>IFERROR(VLOOKUP(B72,Daily_Working_Do_Not_Delete!BU:BV,2,0))</f>
        <v>0.02049768519</v>
      </c>
      <c r="Y72" s="149">
        <f>IFERROR(VLOOKUP(B72,Daily_Working_Do_Not_Delete!BS:BT,2,0))</f>
        <v>0.003784722222</v>
      </c>
      <c r="Z72" s="149">
        <f>IFERROR(VLOOKUP(B72,Daily_Working_Do_Not_Delete!BQ:BR,2,0))</f>
        <v>0.02479166667</v>
      </c>
      <c r="AA72" s="149">
        <f>IFERROR(VLOOKUP(B72,Daily_Working_Do_Not_Delete!BO:BP,2,0))</f>
        <v>0.01666666667</v>
      </c>
      <c r="AB72" s="149">
        <f>IFERROR(VLOOKUP(B72,Daily_Working_Do_Not_Delete!BM:BN,2,0))</f>
        <v>0.07362268519</v>
      </c>
      <c r="AC72" s="149">
        <f>IFERROR(VLOOKUP(B72,Daily_Working_Do_Not_Delete!BK:BL,2,0))</f>
        <v>0.1903356481</v>
      </c>
      <c r="AD72" s="149">
        <f>IFERROR(VLOOKUP(B72,Daily_Working_Do_Not_Delete!BI:BJ,2,0))</f>
        <v>0.3112037037</v>
      </c>
      <c r="AE72" s="149">
        <f>IFERROR(VLOOKUP(B72,Daily_Working_Do_Not_Delete!BG:BH,2,0))</f>
        <v>0.1428472222</v>
      </c>
      <c r="AF72" s="149">
        <f>IFERROR(VLOOKUP(B72,Daily_Working_Do_Not_Delete!BE:BF,2,0))</f>
        <v>0.1669675926</v>
      </c>
      <c r="AG72" s="149">
        <f>IFERROR(VLOOKUP(B72,Daily_Working_Do_Not_Delete!BC:BD,2,0))</f>
        <v>0.510787037</v>
      </c>
      <c r="AH72" s="149">
        <f>IFERROR(VLOOKUP(B72,Daily_Working_Do_Not_Delete!BA:BB,2,0))</f>
        <v>0.04876157407</v>
      </c>
      <c r="AI72" s="149">
        <f>IFERROR(VLOOKUP(B72,Daily_Working_Do_Not_Delete!AY:AZ,2,0))</f>
        <v>0.1232523148</v>
      </c>
      <c r="AJ72" s="149">
        <f>IFERROR(VLOOKUP(B72,Daily_Working_Do_Not_Delete!AW:AX,2,0))</f>
        <v>0.01690972222</v>
      </c>
      <c r="AK72" s="149">
        <f>IFERROR(VLOOKUP(B72,Daily_Working_Do_Not_Delete!AU:AV,2,0))</f>
        <v>0.02488425926</v>
      </c>
      <c r="AL72" s="149">
        <f>IFERROR(VLOOKUP(B72,Daily_Working_Do_Not_Delete!AS:AT,2,0))</f>
        <v>0.0258912037</v>
      </c>
      <c r="AM72" s="149">
        <f>IFERROR(VLOOKUP(B72,Daily_Working_Do_Not_Delete!AQ:AR,2,0))</f>
        <v>0.01396990741</v>
      </c>
      <c r="AN72" s="149">
        <f>IFERROR(VLOOKUP(B72,Daily_Working_Do_Not_Delete!AO:AP,2,0))</f>
        <v>0.02828703704</v>
      </c>
      <c r="AO72" s="149">
        <f>IFERROR(VLOOKUP(B72,Daily_Working_Do_Not_Delete!AM:AN,2,0))</f>
        <v>0.002349537037</v>
      </c>
      <c r="AP72" s="149">
        <f>IFERROR(VLOOKUP(B72,Daily_Working_Do_Not_Delete!AK:AL,2,0))</f>
        <v>0.01313657407</v>
      </c>
      <c r="AQ72" s="149">
        <f>IFERROR(VLOOKUP(B72,Daily_Working_Do_Not_Delete!AI:AJ,2,0))</f>
        <v>0.01697916667</v>
      </c>
      <c r="AR72" s="149" t="str">
        <f>IFERROR(VLOOKUP(B72,Daily_Working_Do_Not_Delete!AG:AH,2,0))</f>
        <v/>
      </c>
      <c r="AS72" s="149" t="str">
        <f>IFERROR(VLOOKUP(B72,Daily_Working_Do_Not_Delete!AE:AF,2,0))</f>
        <v/>
      </c>
      <c r="AT72" s="149" t="str">
        <f>IFERROR(VLOOKUP(B72,Daily_Working_Do_Not_Delete!AC:AD,2,0))</f>
        <v/>
      </c>
      <c r="AU72" s="149" t="str">
        <f>IFERROR(VLOOKUP(B72,Daily_Working_Do_Not_Delete!AA:AB,2,0))</f>
        <v/>
      </c>
      <c r="AV72" s="149" t="str">
        <f>IFERROR(VLOOKUP(B72,Daily_Working_Do_Not_Delete!Y:Z,2,0))</f>
        <v/>
      </c>
      <c r="AW72" s="149" t="str">
        <f>IFERROR(VLOOKUP(B72,Daily_Working_Do_Not_Delete!W:X,2,0))</f>
        <v/>
      </c>
      <c r="AX72" s="149" t="str">
        <f>IFERROR(VLOOKUP(B72,Daily_Working_Do_Not_Delete!U:V,2,0))</f>
        <v/>
      </c>
      <c r="AY72" s="149" t="str">
        <f>IFERROR(VLOOKUP(B72,Daily_Working_Do_Not_Delete!S:T,2,0))</f>
        <v/>
      </c>
      <c r="AZ72" s="149">
        <f>IFERROR(VLOOKUP(B72,Daily_Working_Do_Not_Delete!Q:R,2,0))</f>
        <v>0.0065625</v>
      </c>
      <c r="BA72" s="149" t="str">
        <f>IFERROR(VLOOKUP(B72,Daily_Working_Do_Not_Delete!O:P,2,0))</f>
        <v/>
      </c>
      <c r="BB72" s="149" t="str">
        <f>IFERROR(VLOOKUP(B72,Daily_Working_Do_Not_Delete!M:N,2,0))</f>
        <v/>
      </c>
      <c r="BC72" s="149" t="str">
        <f>IFERROR(VLOOKUP(B72,Daily_Working_Do_Not_Delete!K:L,2,0))</f>
        <v/>
      </c>
      <c r="BD72" s="149" t="str">
        <f>IFERROR(VLOOKUP(B72,Daily_Working_Do_Not_Delete!I:J,2,0))</f>
        <v/>
      </c>
      <c r="BE72" s="149" t="str">
        <f>IFERROR(VLOOKUP(B72,Daily_Working_Do_Not_Delete!G:H,2,0))</f>
        <v/>
      </c>
      <c r="BF72" s="149" t="str">
        <f>IFERROR(VLOOKUP(B72,Daily_Working_Do_Not_Delete!E:F,2,0))</f>
        <v/>
      </c>
      <c r="BG72" s="149" t="str">
        <f>IFERROR(VLOOKUP(B72,Daily_Working_Do_Not_Delete!C:D,2,0))</f>
        <v/>
      </c>
      <c r="BH72" s="149" t="str">
        <f>IFERROR(VLOOKUP(B72,Daily_Working_Do_Not_Delete!A:B,2,0))</f>
        <v/>
      </c>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5"/>
      <c r="CH72" s="155"/>
      <c r="CI72" s="155"/>
      <c r="CJ72" s="155"/>
      <c r="CK72" s="155"/>
      <c r="CL72" s="155"/>
      <c r="CM72" s="155"/>
      <c r="CN72" s="155"/>
      <c r="CO72" s="155"/>
      <c r="CP72" s="155"/>
      <c r="CQ72" s="155"/>
      <c r="CR72" s="155"/>
      <c r="CS72" s="155"/>
      <c r="CT72" s="155"/>
      <c r="CU72" s="155"/>
      <c r="CV72" s="155"/>
      <c r="CW72" s="155"/>
      <c r="CX72" s="155"/>
      <c r="CY72" s="155"/>
      <c r="CZ72" s="155"/>
      <c r="DA72" s="155"/>
      <c r="DB72" s="155"/>
      <c r="DC72" s="155"/>
      <c r="DD72" s="155"/>
      <c r="DE72" s="155"/>
      <c r="DF72" s="155"/>
      <c r="DG72" s="155"/>
      <c r="DH72" s="155"/>
      <c r="DI72" s="155"/>
      <c r="DJ72" s="155"/>
      <c r="DK72" s="155"/>
      <c r="DL72" s="155"/>
      <c r="DM72" s="155"/>
      <c r="DN72" s="155"/>
      <c r="DO72" s="155"/>
      <c r="DP72" s="155"/>
      <c r="DQ72" s="155"/>
      <c r="DR72" s="155"/>
      <c r="DS72" s="155"/>
      <c r="DT72" s="155"/>
      <c r="DU72" s="155"/>
      <c r="DV72" s="155"/>
      <c r="DW72" s="155"/>
      <c r="DX72" s="155"/>
      <c r="DY72" s="155"/>
      <c r="DZ72" s="155"/>
      <c r="EA72" s="155"/>
      <c r="EB72" s="155"/>
      <c r="EC72" s="155"/>
      <c r="ED72" s="155"/>
      <c r="EE72" s="155"/>
      <c r="EF72" s="155"/>
      <c r="EG72" s="155"/>
      <c r="EH72" s="155"/>
      <c r="EI72" s="155"/>
      <c r="EJ72" s="155"/>
      <c r="EK72" s="155"/>
      <c r="EL72" s="155"/>
      <c r="EM72" s="155"/>
      <c r="EN72" s="155"/>
      <c r="EO72" s="155"/>
      <c r="EP72" s="155"/>
      <c r="EQ72" s="155"/>
      <c r="ER72" s="155"/>
      <c r="ES72" s="155"/>
      <c r="ET72" s="155"/>
      <c r="EU72" s="155"/>
      <c r="EV72" s="155"/>
      <c r="EW72" s="155"/>
      <c r="EX72" s="155"/>
      <c r="EY72" s="155"/>
      <c r="EZ72" s="155"/>
      <c r="FA72" s="155"/>
      <c r="FB72" s="155"/>
      <c r="FC72" s="155"/>
      <c r="FD72" s="155"/>
      <c r="FE72" s="155"/>
      <c r="FF72" s="155"/>
      <c r="FG72" s="155"/>
      <c r="FH72" s="155"/>
      <c r="FI72" s="155"/>
      <c r="FJ72" s="155"/>
      <c r="FK72" s="155"/>
      <c r="FL72" s="155"/>
      <c r="FM72" s="155"/>
      <c r="FN72" s="155"/>
      <c r="FO72" s="155"/>
      <c r="FP72" s="155"/>
      <c r="FQ72" s="155"/>
      <c r="FR72" s="155"/>
      <c r="FS72" s="155"/>
      <c r="FT72" s="155"/>
      <c r="FU72" s="155"/>
      <c r="FV72" s="155"/>
      <c r="FW72" s="155"/>
      <c r="FX72" s="155"/>
      <c r="FY72" s="155"/>
      <c r="FZ72" s="155"/>
      <c r="GA72" s="155"/>
      <c r="GB72" s="155"/>
      <c r="GC72" s="155"/>
      <c r="GD72" s="155"/>
      <c r="GE72" s="155"/>
      <c r="GF72" s="155"/>
      <c r="GG72" s="155"/>
      <c r="GH72" s="155"/>
      <c r="GI72" s="155"/>
      <c r="GJ72" s="155"/>
      <c r="GK72" s="155"/>
      <c r="GL72" s="155"/>
      <c r="GM72" s="155"/>
      <c r="GN72" s="155"/>
      <c r="GO72" s="155"/>
      <c r="GP72" s="155"/>
      <c r="GQ72" s="155"/>
      <c r="GR72" s="155"/>
      <c r="GS72" s="155"/>
      <c r="GT72" s="155"/>
      <c r="GU72" s="155"/>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row>
    <row r="73">
      <c r="A73" s="146" t="s">
        <v>427</v>
      </c>
      <c r="B73" s="146" t="s">
        <v>96</v>
      </c>
      <c r="C73" s="137" t="s">
        <v>421</v>
      </c>
      <c r="D73" s="148">
        <f t="shared" si="3"/>
        <v>9.259756944</v>
      </c>
      <c r="E73" s="149">
        <f>IFERROR(VLOOKUP(B73,Daily_Working_Do_Not_Delete!DG:DH,2,0))</f>
        <v>2.663946759</v>
      </c>
      <c r="F73" s="149">
        <f>IFERROR(VLOOKUP(B73,Daily_Working_Do_Not_Delete!DE:DF,2,0))</f>
        <v>0.02032407407</v>
      </c>
      <c r="G73" s="149">
        <f>IFERROR(VLOOKUP(B73,Daily_Working_Do_Not_Delete!DC:DD,2,0))</f>
        <v>0.02113425926</v>
      </c>
      <c r="H73" s="149">
        <f>IFERROR(VLOOKUP(B73,Daily_Working_Do_Not_Delete!DA:DB,2,0))</f>
        <v>0.01638888889</v>
      </c>
      <c r="I73" s="149">
        <f>IFERROR(VLOOKUP(B73,Daily_Working_Do_Not_Delete!CY:CZ,2,0))</f>
        <v>0.004780092593</v>
      </c>
      <c r="J73" s="149" t="str">
        <f>IFERROR(VLOOKUP(B73,Daily_Working_Do_Not_Delete!CW:CX,2,0))</f>
        <v/>
      </c>
      <c r="K73" s="149">
        <f>IFERROR(VLOOKUP(B73,Daily_Working_Do_Not_Delete!CU:CV,2,0))</f>
        <v>0.05630787037</v>
      </c>
      <c r="L73" s="149">
        <f>IFERROR(VLOOKUP(B73,Daily_Working_Do_Not_Delete!CS:CT,2,0))</f>
        <v>0.02725694444</v>
      </c>
      <c r="M73" s="149">
        <f>IFERROR(VLOOKUP(B73,Daily_Working_Do_Not_Delete!CQ:CR,2,0))</f>
        <v>0.03048611111</v>
      </c>
      <c r="N73" s="149">
        <f>IFERROR(VLOOKUP(B73,Daily_Working_Do_Not_Delete!CO:CP,2,0))</f>
        <v>0.0790162037</v>
      </c>
      <c r="O73" s="149">
        <f>IFERROR(VLOOKUP(B73,Daily_Working_Do_Not_Delete!CM:CN,2,0))</f>
        <v>0.03122685185</v>
      </c>
      <c r="P73" s="149">
        <f>IFERROR(VLOOKUP(B73,Daily_Working_Do_Not_Delete!CK:CL,2,0))</f>
        <v>0.0322337963</v>
      </c>
      <c r="Q73" s="149">
        <f>IFERROR(VLOOKUP(B73,Daily_Working_Do_Not_Delete!CI:CJ,2,0))</f>
        <v>0.02324074074</v>
      </c>
      <c r="R73" s="149">
        <f>IFERROR(VLOOKUP(B73,Daily_Working_Do_Not_Delete!CG:CH,2,0))</f>
        <v>0.02125</v>
      </c>
      <c r="S73" s="149">
        <f>IFERROR(VLOOKUP(B73,Daily_Working_Do_Not_Delete!CE:CF,2,0))</f>
        <v>0.09387731481</v>
      </c>
      <c r="T73" s="149">
        <f>IFERROR(VLOOKUP(B73,Daily_Working_Do_Not_Delete!CC:CD,2,0))</f>
        <v>0.06319444444</v>
      </c>
      <c r="U73" s="149">
        <f>IFERROR(VLOOKUP(B73,Daily_Working_Do_Not_Delete!CA:CB,2,0))</f>
        <v>0.02784722222</v>
      </c>
      <c r="V73" s="149">
        <f>IFERROR(VLOOKUP(B73,Daily_Working_Do_Not_Delete!BY:BZ,2,0))</f>
        <v>0.1278935185</v>
      </c>
      <c r="W73" s="149">
        <f>IFERROR(VLOOKUP(B73,Daily_Working_Do_Not_Delete!BW:BX,2,0))</f>
        <v>0.1204861111</v>
      </c>
      <c r="X73" s="149">
        <f>IFERROR(VLOOKUP(B73,Daily_Working_Do_Not_Delete!BU:BV,2,0))</f>
        <v>0.06810185185</v>
      </c>
      <c r="Y73" s="149">
        <f>IFERROR(VLOOKUP(B73,Daily_Working_Do_Not_Delete!BS:BT,2,0))</f>
        <v>0.1021296296</v>
      </c>
      <c r="Z73" s="149">
        <f>IFERROR(VLOOKUP(B73,Daily_Working_Do_Not_Delete!BQ:BR,2,0))</f>
        <v>0.1478009259</v>
      </c>
      <c r="AA73" s="149">
        <f>IFERROR(VLOOKUP(B73,Daily_Working_Do_Not_Delete!BO:BP,2,0))</f>
        <v>0.2371412037</v>
      </c>
      <c r="AB73" s="149">
        <f>IFERROR(VLOOKUP(B73,Daily_Working_Do_Not_Delete!BM:BN,2,0))</f>
        <v>0.2703472222</v>
      </c>
      <c r="AC73" s="149">
        <f>IFERROR(VLOOKUP(B73,Daily_Working_Do_Not_Delete!BK:BL,2,0))</f>
        <v>0.1960300926</v>
      </c>
      <c r="AD73" s="149">
        <f>IFERROR(VLOOKUP(B73,Daily_Working_Do_Not_Delete!BI:BJ,2,0))</f>
        <v>0.3886574074</v>
      </c>
      <c r="AE73" s="149">
        <f>IFERROR(VLOOKUP(B73,Daily_Working_Do_Not_Delete!BG:BH,2,0))</f>
        <v>0.5730555556</v>
      </c>
      <c r="AF73" s="149">
        <f>IFERROR(VLOOKUP(B73,Daily_Working_Do_Not_Delete!BE:BF,2,0))</f>
        <v>0.8778472222</v>
      </c>
      <c r="AG73" s="149">
        <f>IFERROR(VLOOKUP(B73,Daily_Working_Do_Not_Delete!BC:BD,2,0))</f>
        <v>1.404513889</v>
      </c>
      <c r="AH73" s="149">
        <f>IFERROR(VLOOKUP(B73,Daily_Working_Do_Not_Delete!BA:BB,2,0))</f>
        <v>0.8219444444</v>
      </c>
      <c r="AI73" s="149">
        <f>IFERROR(VLOOKUP(B73,Daily_Working_Do_Not_Delete!AY:AZ,2,0))</f>
        <v>0.4847337963</v>
      </c>
      <c r="AJ73" s="149">
        <f>IFERROR(VLOOKUP(B73,Daily_Working_Do_Not_Delete!AW:AX,2,0))</f>
        <v>0.06108796296</v>
      </c>
      <c r="AK73" s="149">
        <f>IFERROR(VLOOKUP(B73,Daily_Working_Do_Not_Delete!AU:AV,2,0))</f>
        <v>0.02917824074</v>
      </c>
      <c r="AL73" s="149">
        <f>IFERROR(VLOOKUP(B73,Daily_Working_Do_Not_Delete!AS:AT,2,0))</f>
        <v>0.02875</v>
      </c>
      <c r="AM73" s="149">
        <f>IFERROR(VLOOKUP(B73,Daily_Working_Do_Not_Delete!AQ:AR,2,0))</f>
        <v>0.01672453704</v>
      </c>
      <c r="AN73" s="149">
        <f>IFERROR(VLOOKUP(B73,Daily_Working_Do_Not_Delete!AO:AP,2,0))</f>
        <v>0.001689814815</v>
      </c>
      <c r="AO73" s="149">
        <f>IFERROR(VLOOKUP(B73,Daily_Working_Do_Not_Delete!AM:AN,2,0))</f>
        <v>0.01030092593</v>
      </c>
      <c r="AP73" s="149">
        <f>IFERROR(VLOOKUP(B73,Daily_Working_Do_Not_Delete!AK:AL,2,0))</f>
        <v>0.04085648148</v>
      </c>
      <c r="AQ73" s="149">
        <f>IFERROR(VLOOKUP(B73,Daily_Working_Do_Not_Delete!AI:AJ,2,0))</f>
        <v>0.0162962963</v>
      </c>
      <c r="AR73" s="149">
        <f>IFERROR(VLOOKUP(B73,Daily_Working_Do_Not_Delete!AG:AH,2,0))</f>
        <v>0.0001851851852</v>
      </c>
      <c r="AS73" s="149">
        <f>IFERROR(VLOOKUP(B73,Daily_Working_Do_Not_Delete!AE:AF,2,0))</f>
        <v>0.0009027777778</v>
      </c>
      <c r="AT73" s="149">
        <f>IFERROR(VLOOKUP(B73,Daily_Working_Do_Not_Delete!AC:AD,2,0))</f>
        <v>0.000150462963</v>
      </c>
      <c r="AU73" s="149">
        <f>IFERROR(VLOOKUP(B73,Daily_Working_Do_Not_Delete!AA:AB,2,0))</f>
        <v>0.01416666667</v>
      </c>
      <c r="AV73" s="149" t="str">
        <f>IFERROR(VLOOKUP(B73,Daily_Working_Do_Not_Delete!Y:Z,2,0))</f>
        <v/>
      </c>
      <c r="AW73" s="149" t="str">
        <f>IFERROR(VLOOKUP(B73,Daily_Working_Do_Not_Delete!W:X,2,0))</f>
        <v/>
      </c>
      <c r="AX73" s="149">
        <f>IFERROR(VLOOKUP(B73,Daily_Working_Do_Not_Delete!U:V,2,0))</f>
        <v>0.00008101851852</v>
      </c>
      <c r="AY73" s="149" t="str">
        <f>IFERROR(VLOOKUP(B73,Daily_Working_Do_Not_Delete!S:T,2,0))</f>
        <v/>
      </c>
      <c r="AZ73" s="149">
        <f>IFERROR(VLOOKUP(B73,Daily_Working_Do_Not_Delete!Q:R,2,0))</f>
        <v>0.0021875</v>
      </c>
      <c r="BA73" s="149">
        <f>IFERROR(VLOOKUP(B73,Daily_Working_Do_Not_Delete!O:P,2,0))</f>
        <v>0.00349537037</v>
      </c>
      <c r="BB73" s="149" t="str">
        <f>IFERROR(VLOOKUP(B73,Daily_Working_Do_Not_Delete!M:N,2,0))</f>
        <v/>
      </c>
      <c r="BC73" s="149" t="str">
        <f>IFERROR(VLOOKUP(B73,Daily_Working_Do_Not_Delete!K:L,2,0))</f>
        <v/>
      </c>
      <c r="BD73" s="149">
        <f>IFERROR(VLOOKUP(B73,Daily_Working_Do_Not_Delete!I:J,2,0))</f>
        <v>0.0005092592593</v>
      </c>
      <c r="BE73" s="149" t="str">
        <f>IFERROR(VLOOKUP(B73,Daily_Working_Do_Not_Delete!G:H,2,0))</f>
        <v/>
      </c>
      <c r="BF73" s="149" t="str">
        <f>IFERROR(VLOOKUP(B73,Daily_Working_Do_Not_Delete!E:F,2,0))</f>
        <v/>
      </c>
      <c r="BG73" s="149" t="str">
        <f>IFERROR(VLOOKUP(B73,Daily_Working_Do_Not_Delete!C:D,2,0))</f>
        <v/>
      </c>
      <c r="BH73" s="149" t="str">
        <f>IFERROR(VLOOKUP(B73,Daily_Working_Do_Not_Delete!A:B,2,0))</f>
        <v/>
      </c>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row>
    <row r="74">
      <c r="A74" s="146" t="s">
        <v>427</v>
      </c>
      <c r="B74" s="146" t="s">
        <v>92</v>
      </c>
      <c r="C74" s="137" t="s">
        <v>421</v>
      </c>
      <c r="D74" s="148">
        <f t="shared" si="3"/>
        <v>8.322592593</v>
      </c>
      <c r="E74" s="149">
        <f>IFERROR(VLOOKUP(B74,Daily_Working_Do_Not_Delete!DG:DH,2,0))</f>
        <v>4.252569444</v>
      </c>
      <c r="F74" s="149">
        <f>IFERROR(VLOOKUP(B74,Daily_Working_Do_Not_Delete!DE:DF,2,0))</f>
        <v>0.05971064815</v>
      </c>
      <c r="G74" s="149">
        <f>IFERROR(VLOOKUP(B74,Daily_Working_Do_Not_Delete!DC:DD,2,0))</f>
        <v>0.06196759259</v>
      </c>
      <c r="H74" s="149">
        <f>IFERROR(VLOOKUP(B74,Daily_Working_Do_Not_Delete!DA:DB,2,0))</f>
        <v>0.04996527778</v>
      </c>
      <c r="I74" s="149">
        <f>IFERROR(VLOOKUP(B74,Daily_Working_Do_Not_Delete!CY:CZ,2,0))</f>
        <v>0.0737962963</v>
      </c>
      <c r="J74" s="149">
        <f>IFERROR(VLOOKUP(B74,Daily_Working_Do_Not_Delete!CW:CX,2,0))</f>
        <v>0.08387731481</v>
      </c>
      <c r="K74" s="149">
        <f>IFERROR(VLOOKUP(B74,Daily_Working_Do_Not_Delete!CU:CV,2,0))</f>
        <v>0.1351273148</v>
      </c>
      <c r="L74" s="149">
        <f>IFERROR(VLOOKUP(B74,Daily_Working_Do_Not_Delete!CS:CT,2,0))</f>
        <v>0.06398148148</v>
      </c>
      <c r="M74" s="149">
        <f>IFERROR(VLOOKUP(B74,Daily_Working_Do_Not_Delete!CQ:CR,2,0))</f>
        <v>0.04431712963</v>
      </c>
      <c r="N74" s="149">
        <f>IFERROR(VLOOKUP(B74,Daily_Working_Do_Not_Delete!CO:CP,2,0))</f>
        <v>0.05287037037</v>
      </c>
      <c r="O74" s="149">
        <f>IFERROR(VLOOKUP(B74,Daily_Working_Do_Not_Delete!CM:CN,2,0))</f>
        <v>0.0512037037</v>
      </c>
      <c r="P74" s="149">
        <f>IFERROR(VLOOKUP(B74,Daily_Working_Do_Not_Delete!CK:CL,2,0))</f>
        <v>0.04247685185</v>
      </c>
      <c r="Q74" s="149">
        <f>IFERROR(VLOOKUP(B74,Daily_Working_Do_Not_Delete!CI:CJ,2,0))</f>
        <v>0.0753587963</v>
      </c>
      <c r="R74" s="149">
        <f>IFERROR(VLOOKUP(B74,Daily_Working_Do_Not_Delete!CG:CH,2,0))</f>
        <v>0.04018518519</v>
      </c>
      <c r="S74" s="149">
        <f>IFERROR(VLOOKUP(B74,Daily_Working_Do_Not_Delete!CE:CF,2,0))</f>
        <v>0.1334953704</v>
      </c>
      <c r="T74" s="149">
        <f>IFERROR(VLOOKUP(B74,Daily_Working_Do_Not_Delete!CC:CD,2,0))</f>
        <v>0.05069444444</v>
      </c>
      <c r="U74" s="149">
        <f>IFERROR(VLOOKUP(B74,Daily_Working_Do_Not_Delete!CA:CB,2,0))</f>
        <v>0.1849768519</v>
      </c>
      <c r="V74" s="149">
        <f>IFERROR(VLOOKUP(B74,Daily_Working_Do_Not_Delete!BY:BZ,2,0))</f>
        <v>0.06994212963</v>
      </c>
      <c r="W74" s="149">
        <f>IFERROR(VLOOKUP(B74,Daily_Working_Do_Not_Delete!BW:BX,2,0))</f>
        <v>0.1182986111</v>
      </c>
      <c r="X74" s="149">
        <f>IFERROR(VLOOKUP(B74,Daily_Working_Do_Not_Delete!BU:BV,2,0))</f>
        <v>0.1286689815</v>
      </c>
      <c r="Y74" s="149">
        <f>IFERROR(VLOOKUP(B74,Daily_Working_Do_Not_Delete!BS:BT,2,0))</f>
        <v>0.1653935185</v>
      </c>
      <c r="Z74" s="149">
        <f>IFERROR(VLOOKUP(B74,Daily_Working_Do_Not_Delete!BQ:BR,2,0))</f>
        <v>0.1678240741</v>
      </c>
      <c r="AA74" s="149">
        <f>IFERROR(VLOOKUP(B74,Daily_Working_Do_Not_Delete!BO:BP,2,0))</f>
        <v>0.05290509259</v>
      </c>
      <c r="AB74" s="149">
        <f>IFERROR(VLOOKUP(B74,Daily_Working_Do_Not_Delete!BM:BN,2,0))</f>
        <v>0.1351157407</v>
      </c>
      <c r="AC74" s="149">
        <f>IFERROR(VLOOKUP(B74,Daily_Working_Do_Not_Delete!BK:BL,2,0))</f>
        <v>0.04480324074</v>
      </c>
      <c r="AD74" s="149">
        <f>IFERROR(VLOOKUP(B74,Daily_Working_Do_Not_Delete!BI:BJ,2,0))</f>
        <v>0.1491435185</v>
      </c>
      <c r="AE74" s="149">
        <f>IFERROR(VLOOKUP(B74,Daily_Working_Do_Not_Delete!BG:BH,2,0))</f>
        <v>0.0916087963</v>
      </c>
      <c r="AF74" s="149">
        <f>IFERROR(VLOOKUP(B74,Daily_Working_Do_Not_Delete!BE:BF,2,0))</f>
        <v>0.03327546296</v>
      </c>
      <c r="AG74" s="149">
        <f>IFERROR(VLOOKUP(B74,Daily_Working_Do_Not_Delete!BC:BD,2,0))</f>
        <v>0.1600462963</v>
      </c>
      <c r="AH74" s="149">
        <f>IFERROR(VLOOKUP(B74,Daily_Working_Do_Not_Delete!BA:BB,2,0))</f>
        <v>0.2127430556</v>
      </c>
      <c r="AI74" s="149">
        <f>IFERROR(VLOOKUP(B74,Daily_Working_Do_Not_Delete!AY:AZ,2,0))</f>
        <v>0.3428356481</v>
      </c>
      <c r="AJ74" s="149">
        <f>IFERROR(VLOOKUP(B74,Daily_Working_Do_Not_Delete!AW:AX,2,0))</f>
        <v>0.4122685185</v>
      </c>
      <c r="AK74" s="149">
        <f>IFERROR(VLOOKUP(B74,Daily_Working_Do_Not_Delete!AU:AV,2,0))</f>
        <v>0.3585300926</v>
      </c>
      <c r="AL74" s="149">
        <f>IFERROR(VLOOKUP(B74,Daily_Working_Do_Not_Delete!AS:AT,2,0))</f>
        <v>0.1281481481</v>
      </c>
      <c r="AM74" s="149">
        <f>IFERROR(VLOOKUP(B74,Daily_Working_Do_Not_Delete!AQ:AR,2,0))</f>
        <v>0.04950231481</v>
      </c>
      <c r="AN74" s="149">
        <f>IFERROR(VLOOKUP(B74,Daily_Working_Do_Not_Delete!AO:AP,2,0))</f>
        <v>0.00003472222222</v>
      </c>
      <c r="AO74" s="149">
        <f>IFERROR(VLOOKUP(B74,Daily_Working_Do_Not_Delete!AM:AN,2,0))</f>
        <v>0.003171296296</v>
      </c>
      <c r="AP74" s="149">
        <f>IFERROR(VLOOKUP(B74,Daily_Working_Do_Not_Delete!AK:AL,2,0))</f>
        <v>0.01783564815</v>
      </c>
      <c r="AQ74" s="149">
        <f>IFERROR(VLOOKUP(B74,Daily_Working_Do_Not_Delete!AI:AJ,2,0))</f>
        <v>0.01193287037</v>
      </c>
      <c r="AR74" s="149" t="str">
        <f>IFERROR(VLOOKUP(B74,Daily_Working_Do_Not_Delete!AG:AH,2,0))</f>
        <v/>
      </c>
      <c r="AS74" s="149" t="str">
        <f>IFERROR(VLOOKUP(B74,Daily_Working_Do_Not_Delete!AE:AF,2,0))</f>
        <v/>
      </c>
      <c r="AT74" s="149" t="str">
        <f>IFERROR(VLOOKUP(B74,Daily_Working_Do_Not_Delete!AC:AD,2,0))</f>
        <v/>
      </c>
      <c r="AU74" s="149" t="str">
        <f>IFERROR(VLOOKUP(B74,Daily_Working_Do_Not_Delete!AA:AB,2,0))</f>
        <v/>
      </c>
      <c r="AV74" s="149" t="str">
        <f>IFERROR(VLOOKUP(B74,Daily_Working_Do_Not_Delete!Y:Z,2,0))</f>
        <v/>
      </c>
      <c r="AW74" s="149" t="str">
        <f>IFERROR(VLOOKUP(B74,Daily_Working_Do_Not_Delete!W:X,2,0))</f>
        <v/>
      </c>
      <c r="AX74" s="149" t="str">
        <f>IFERROR(VLOOKUP(B74,Daily_Working_Do_Not_Delete!U:V,2,0))</f>
        <v/>
      </c>
      <c r="AY74" s="149" t="str">
        <f>IFERROR(VLOOKUP(B74,Daily_Working_Do_Not_Delete!S:T,2,0))</f>
        <v/>
      </c>
      <c r="AZ74" s="149">
        <f>IFERROR(VLOOKUP(B74,Daily_Working_Do_Not_Delete!Q:R,2,0))</f>
        <v>0.004965277778</v>
      </c>
      <c r="BA74" s="149">
        <f>IFERROR(VLOOKUP(B74,Daily_Working_Do_Not_Delete!O:P,2,0))</f>
        <v>0.007025462963</v>
      </c>
      <c r="BB74" s="149" t="str">
        <f>IFERROR(VLOOKUP(B74,Daily_Working_Do_Not_Delete!M:N,2,0))</f>
        <v/>
      </c>
      <c r="BC74" s="149" t="str">
        <f>IFERROR(VLOOKUP(B74,Daily_Working_Do_Not_Delete!K:L,2,0))</f>
        <v/>
      </c>
      <c r="BD74" s="149" t="str">
        <f>IFERROR(VLOOKUP(B74,Daily_Working_Do_Not_Delete!I:J,2,0))</f>
        <v/>
      </c>
      <c r="BE74" s="149" t="str">
        <f>IFERROR(VLOOKUP(B74,Daily_Working_Do_Not_Delete!G:H,2,0))</f>
        <v/>
      </c>
      <c r="BF74" s="149" t="str">
        <f>IFERROR(VLOOKUP(B74,Daily_Working_Do_Not_Delete!E:F,2,0))</f>
        <v/>
      </c>
      <c r="BG74" s="149" t="str">
        <f>IFERROR(VLOOKUP(B74,Daily_Working_Do_Not_Delete!C:D,2,0))</f>
        <v/>
      </c>
      <c r="BH74" s="149" t="str">
        <f>IFERROR(VLOOKUP(B74,Daily_Working_Do_Not_Delete!A:B,2,0))</f>
        <v/>
      </c>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row>
    <row r="75">
      <c r="A75" s="146" t="s">
        <v>427</v>
      </c>
      <c r="B75" s="146" t="s">
        <v>97</v>
      </c>
      <c r="C75" s="137" t="s">
        <v>421</v>
      </c>
      <c r="D75" s="148">
        <f t="shared" si="3"/>
        <v>6.612268519</v>
      </c>
      <c r="E75" s="149">
        <f>IFERROR(VLOOKUP(B75,Daily_Working_Do_Not_Delete!DG:DH,2,0))</f>
        <v>2.794710648</v>
      </c>
      <c r="F75" s="149">
        <f>IFERROR(VLOOKUP(B75,Daily_Working_Do_Not_Delete!DE:DF,2,0))</f>
        <v>0.02155092593</v>
      </c>
      <c r="G75" s="149">
        <f>IFERROR(VLOOKUP(B75,Daily_Working_Do_Not_Delete!DC:DD,2,0))</f>
        <v>0.01318287037</v>
      </c>
      <c r="H75" s="149">
        <f>IFERROR(VLOOKUP(B75,Daily_Working_Do_Not_Delete!DA:DB,2,0))</f>
        <v>0.05625</v>
      </c>
      <c r="I75" s="149">
        <f>IFERROR(VLOOKUP(B75,Daily_Working_Do_Not_Delete!CY:CZ,2,0))</f>
        <v>0.08984953704</v>
      </c>
      <c r="J75" s="149">
        <f>IFERROR(VLOOKUP(B75,Daily_Working_Do_Not_Delete!CW:CX,2,0))</f>
        <v>0.04818287037</v>
      </c>
      <c r="K75" s="149">
        <f>IFERROR(VLOOKUP(B75,Daily_Working_Do_Not_Delete!CU:CV,2,0))</f>
        <v>0.05576388889</v>
      </c>
      <c r="L75" s="149">
        <f>IFERROR(VLOOKUP(B75,Daily_Working_Do_Not_Delete!CS:CT,2,0))</f>
        <v>0.06233796296</v>
      </c>
      <c r="M75" s="149">
        <f>IFERROR(VLOOKUP(B75,Daily_Working_Do_Not_Delete!CQ:CR,2,0))</f>
        <v>0.02939814815</v>
      </c>
      <c r="N75" s="149">
        <f>IFERROR(VLOOKUP(B75,Daily_Working_Do_Not_Delete!CO:CP,2,0))</f>
        <v>0.05914351852</v>
      </c>
      <c r="O75" s="149">
        <f>IFERROR(VLOOKUP(B75,Daily_Working_Do_Not_Delete!CM:CN,2,0))</f>
        <v>0.0728125</v>
      </c>
      <c r="P75" s="149">
        <f>IFERROR(VLOOKUP(B75,Daily_Working_Do_Not_Delete!CK:CL,2,0))</f>
        <v>0.08368055556</v>
      </c>
      <c r="Q75" s="149">
        <f>IFERROR(VLOOKUP(B75,Daily_Working_Do_Not_Delete!CI:CJ,2,0))</f>
        <v>0.1382986111</v>
      </c>
      <c r="R75" s="149">
        <f>IFERROR(VLOOKUP(B75,Daily_Working_Do_Not_Delete!CG:CH,2,0))</f>
        <v>0.02181712963</v>
      </c>
      <c r="S75" s="149">
        <f>IFERROR(VLOOKUP(B75,Daily_Working_Do_Not_Delete!CE:CF,2,0))</f>
        <v>0.08289351852</v>
      </c>
      <c r="T75" s="149">
        <f>IFERROR(VLOOKUP(B75,Daily_Working_Do_Not_Delete!CC:CD,2,0))</f>
        <v>0.1295717593</v>
      </c>
      <c r="U75" s="149">
        <f>IFERROR(VLOOKUP(B75,Daily_Working_Do_Not_Delete!CA:CB,2,0))</f>
        <v>0.06310185185</v>
      </c>
      <c r="V75" s="149">
        <f>IFERROR(VLOOKUP(B75,Daily_Working_Do_Not_Delete!BY:BZ,2,0))</f>
        <v>0.03668981481</v>
      </c>
      <c r="W75" s="149">
        <f>IFERROR(VLOOKUP(B75,Daily_Working_Do_Not_Delete!BW:BX,2,0))</f>
        <v>0.01616898148</v>
      </c>
      <c r="X75" s="149">
        <f>IFERROR(VLOOKUP(B75,Daily_Working_Do_Not_Delete!BU:BV,2,0))</f>
        <v>0.02700231481</v>
      </c>
      <c r="Y75" s="149">
        <f>IFERROR(VLOOKUP(B75,Daily_Working_Do_Not_Delete!BS:BT,2,0))</f>
        <v>0.04439814815</v>
      </c>
      <c r="Z75" s="149">
        <f>IFERROR(VLOOKUP(B75,Daily_Working_Do_Not_Delete!BQ:BR,2,0))</f>
        <v>0.1031365741</v>
      </c>
      <c r="AA75" s="149">
        <f>IFERROR(VLOOKUP(B75,Daily_Working_Do_Not_Delete!BO:BP,2,0))</f>
        <v>0.1400578704</v>
      </c>
      <c r="AB75" s="149">
        <f>IFERROR(VLOOKUP(B75,Daily_Working_Do_Not_Delete!BM:BN,2,0))</f>
        <v>0.1174305556</v>
      </c>
      <c r="AC75" s="149">
        <f>IFERROR(VLOOKUP(B75,Daily_Working_Do_Not_Delete!BK:BL,2,0))</f>
        <v>0.1123032407</v>
      </c>
      <c r="AD75" s="149">
        <f>IFERROR(VLOOKUP(B75,Daily_Working_Do_Not_Delete!BI:BJ,2,0))</f>
        <v>0.4004050926</v>
      </c>
      <c r="AE75" s="149">
        <f>IFERROR(VLOOKUP(B75,Daily_Working_Do_Not_Delete!BG:BH,2,0))</f>
        <v>0.415</v>
      </c>
      <c r="AF75" s="149">
        <f>IFERROR(VLOOKUP(B75,Daily_Working_Do_Not_Delete!BE:BF,2,0))</f>
        <v>0.2375462963</v>
      </c>
      <c r="AG75" s="149">
        <f>IFERROR(VLOOKUP(B75,Daily_Working_Do_Not_Delete!BC:BD,2,0))</f>
        <v>0.2720833333</v>
      </c>
      <c r="AH75" s="149">
        <f>IFERROR(VLOOKUP(B75,Daily_Working_Do_Not_Delete!BA:BB,2,0))</f>
        <v>0.09637731481</v>
      </c>
      <c r="AI75" s="149">
        <f>IFERROR(VLOOKUP(B75,Daily_Working_Do_Not_Delete!AY:AZ,2,0))</f>
        <v>0.0691087963</v>
      </c>
      <c r="AJ75" s="149">
        <f>IFERROR(VLOOKUP(B75,Daily_Working_Do_Not_Delete!AW:AX,2,0))</f>
        <v>0.1520949074</v>
      </c>
      <c r="AK75" s="149">
        <f>IFERROR(VLOOKUP(B75,Daily_Working_Do_Not_Delete!AU:AV,2,0))</f>
        <v>0.1306828704</v>
      </c>
      <c r="AL75" s="149">
        <f>IFERROR(VLOOKUP(B75,Daily_Working_Do_Not_Delete!AS:AT,2,0))</f>
        <v>0.09959490741</v>
      </c>
      <c r="AM75" s="149">
        <f>IFERROR(VLOOKUP(B75,Daily_Working_Do_Not_Delete!AQ:AR,2,0))</f>
        <v>0.06939814815</v>
      </c>
      <c r="AN75" s="149">
        <f>IFERROR(VLOOKUP(B75,Daily_Working_Do_Not_Delete!AO:AP,2,0))</f>
        <v>0.1100925926</v>
      </c>
      <c r="AO75" s="149">
        <f>IFERROR(VLOOKUP(B75,Daily_Working_Do_Not_Delete!AM:AN,2,0))</f>
        <v>0.06643518519</v>
      </c>
      <c r="AP75" s="149">
        <f>IFERROR(VLOOKUP(B75,Daily_Working_Do_Not_Delete!AK:AL,2,0))</f>
        <v>0.03388888889</v>
      </c>
      <c r="AQ75" s="149" t="str">
        <f>IFERROR(VLOOKUP(B75,Daily_Working_Do_Not_Delete!AI:AJ,2,0))</f>
        <v/>
      </c>
      <c r="AR75" s="149">
        <f>IFERROR(VLOOKUP(B75,Daily_Working_Do_Not_Delete!AG:AH,2,0))</f>
        <v>0.004571759259</v>
      </c>
      <c r="AS75" s="149">
        <f>IFERROR(VLOOKUP(B75,Daily_Working_Do_Not_Delete!AE:AF,2,0))</f>
        <v>0</v>
      </c>
      <c r="AT75" s="149">
        <f>IFERROR(VLOOKUP(B75,Daily_Working_Do_Not_Delete!AC:AD,2,0))</f>
        <v>0.0165625</v>
      </c>
      <c r="AU75" s="149">
        <f>IFERROR(VLOOKUP(B75,Daily_Working_Do_Not_Delete!AA:AB,2,0))</f>
        <v>0</v>
      </c>
      <c r="AV75" s="149">
        <f>IFERROR(VLOOKUP(B75,Daily_Working_Do_Not_Delete!Y:Z,2,0))</f>
        <v>0</v>
      </c>
      <c r="AW75" s="149">
        <f>IFERROR(VLOOKUP(B75,Daily_Working_Do_Not_Delete!W:X,2,0))</f>
        <v>0</v>
      </c>
      <c r="AX75" s="149" t="str">
        <f>IFERROR(VLOOKUP(B75,Daily_Working_Do_Not_Delete!U:V,2,0))</f>
        <v/>
      </c>
      <c r="AY75" s="149" t="str">
        <f>IFERROR(VLOOKUP(B75,Daily_Working_Do_Not_Delete!S:T,2,0))</f>
        <v/>
      </c>
      <c r="AZ75" s="149">
        <f>IFERROR(VLOOKUP(B75,Daily_Working_Do_Not_Delete!Q:R,2,0))</f>
        <v>0.01344907407</v>
      </c>
      <c r="BA75" s="149">
        <f>IFERROR(VLOOKUP(B75,Daily_Working_Do_Not_Delete!O:P,2,0))</f>
        <v>0.005104166667</v>
      </c>
      <c r="BB75" s="149" t="str">
        <f>IFERROR(VLOOKUP(B75,Daily_Working_Do_Not_Delete!M:N,2,0))</f>
        <v/>
      </c>
      <c r="BC75" s="149" t="str">
        <f>IFERROR(VLOOKUP(B75,Daily_Working_Do_Not_Delete!K:L,2,0))</f>
        <v/>
      </c>
      <c r="BD75" s="149" t="str">
        <f>IFERROR(VLOOKUP(B75,Daily_Working_Do_Not_Delete!I:J,2,0))</f>
        <v/>
      </c>
      <c r="BE75" s="149">
        <f>IFERROR(VLOOKUP(B75,Daily_Working_Do_Not_Delete!G:H,2,0))</f>
        <v>0.0001388888889</v>
      </c>
      <c r="BF75" s="149" t="str">
        <f>IFERROR(VLOOKUP(B75,Daily_Working_Do_Not_Delete!E:F,2,0))</f>
        <v/>
      </c>
      <c r="BG75" s="149" t="str">
        <f>IFERROR(VLOOKUP(B75,Daily_Working_Do_Not_Delete!C:D,2,0))</f>
        <v/>
      </c>
      <c r="BH75" s="149" t="str">
        <f>IFERROR(VLOOKUP(B75,Daily_Working_Do_Not_Delete!A:B,2,0))</f>
        <v/>
      </c>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row>
    <row r="76">
      <c r="A76" s="146" t="s">
        <v>427</v>
      </c>
      <c r="B76" s="146" t="s">
        <v>57</v>
      </c>
      <c r="C76" s="137" t="s">
        <v>421</v>
      </c>
      <c r="D76" s="148">
        <f t="shared" si="3"/>
        <v>8.919710648</v>
      </c>
      <c r="E76" s="149">
        <f>IFERROR(VLOOKUP(B76,Daily_Working_Do_Not_Delete!DG:DH,2,0))</f>
        <v>1.910902778</v>
      </c>
      <c r="F76" s="149">
        <f>IFERROR(VLOOKUP(B76,Daily_Working_Do_Not_Delete!DE:DF,2,0))</f>
        <v>0.01600694444</v>
      </c>
      <c r="G76" s="149">
        <f>IFERROR(VLOOKUP(B76,Daily_Working_Do_Not_Delete!DC:DD,2,0))</f>
        <v>0.02802083333</v>
      </c>
      <c r="H76" s="149">
        <f>IFERROR(VLOOKUP(B76,Daily_Working_Do_Not_Delete!DA:DB,2,0))</f>
        <v>0.004386574074</v>
      </c>
      <c r="I76" s="149">
        <f>IFERROR(VLOOKUP(B76,Daily_Working_Do_Not_Delete!CY:CZ,2,0))</f>
        <v>0.003761574074</v>
      </c>
      <c r="J76" s="149">
        <f>IFERROR(VLOOKUP(B76,Daily_Working_Do_Not_Delete!CW:CX,2,0))</f>
        <v>0.05702546296</v>
      </c>
      <c r="K76" s="149">
        <f>IFERROR(VLOOKUP(B76,Daily_Working_Do_Not_Delete!CU:CV,2,0))</f>
        <v>0.03108796296</v>
      </c>
      <c r="L76" s="149">
        <f>IFERROR(VLOOKUP(B76,Daily_Working_Do_Not_Delete!CS:CT,2,0))</f>
        <v>0.02986111111</v>
      </c>
      <c r="M76" s="149">
        <f>IFERROR(VLOOKUP(B76,Daily_Working_Do_Not_Delete!CQ:CR,2,0))</f>
        <v>0.05417824074</v>
      </c>
      <c r="N76" s="149">
        <f>IFERROR(VLOOKUP(B76,Daily_Working_Do_Not_Delete!CO:CP,2,0))</f>
        <v>0.03979166667</v>
      </c>
      <c r="O76" s="149">
        <f>IFERROR(VLOOKUP(B76,Daily_Working_Do_Not_Delete!CM:CN,2,0))</f>
        <v>0.0628587963</v>
      </c>
      <c r="P76" s="149">
        <f>IFERROR(VLOOKUP(B76,Daily_Working_Do_Not_Delete!CK:CL,2,0))</f>
        <v>0.07016203704</v>
      </c>
      <c r="Q76" s="149">
        <f>IFERROR(VLOOKUP(B76,Daily_Working_Do_Not_Delete!CI:CJ,2,0))</f>
        <v>0.0156712963</v>
      </c>
      <c r="R76" s="149">
        <f>IFERROR(VLOOKUP(B76,Daily_Working_Do_Not_Delete!CG:CH,2,0))</f>
        <v>0.002013888889</v>
      </c>
      <c r="S76" s="149">
        <f>IFERROR(VLOOKUP(B76,Daily_Working_Do_Not_Delete!CE:CF,2,0))</f>
        <v>0.147349537</v>
      </c>
      <c r="T76" s="149">
        <f>IFERROR(VLOOKUP(B76,Daily_Working_Do_Not_Delete!CC:CD,2,0))</f>
        <v>0.08814814815</v>
      </c>
      <c r="U76" s="149">
        <f>IFERROR(VLOOKUP(B76,Daily_Working_Do_Not_Delete!CA:CB,2,0))</f>
        <v>0.1075578704</v>
      </c>
      <c r="V76" s="149">
        <f>IFERROR(VLOOKUP(B76,Daily_Working_Do_Not_Delete!BY:BZ,2,0))</f>
        <v>0.1350115741</v>
      </c>
      <c r="W76" s="149">
        <f>IFERROR(VLOOKUP(B76,Daily_Working_Do_Not_Delete!BW:BX,2,0))</f>
        <v>0.2642013889</v>
      </c>
      <c r="X76" s="149">
        <f>IFERROR(VLOOKUP(B76,Daily_Working_Do_Not_Delete!BU:BV,2,0))</f>
        <v>0.1309027778</v>
      </c>
      <c r="Y76" s="149">
        <f>IFERROR(VLOOKUP(B76,Daily_Working_Do_Not_Delete!BS:BT,2,0))</f>
        <v>0.0790162037</v>
      </c>
      <c r="Z76" s="149">
        <f>IFERROR(VLOOKUP(B76,Daily_Working_Do_Not_Delete!BQ:BR,2,0))</f>
        <v>0.1153819444</v>
      </c>
      <c r="AA76" s="149">
        <f>IFERROR(VLOOKUP(B76,Daily_Working_Do_Not_Delete!BO:BP,2,0))</f>
        <v>0.176087963</v>
      </c>
      <c r="AB76" s="149">
        <f>IFERROR(VLOOKUP(B76,Daily_Working_Do_Not_Delete!BM:BN,2,0))</f>
        <v>0.2972685185</v>
      </c>
      <c r="AC76" s="149">
        <f>IFERROR(VLOOKUP(B76,Daily_Working_Do_Not_Delete!BK:BL,2,0))</f>
        <v>0.4728819444</v>
      </c>
      <c r="AD76" s="149">
        <f>IFERROR(VLOOKUP(B76,Daily_Working_Do_Not_Delete!BI:BJ,2,0))</f>
        <v>1.074722222</v>
      </c>
      <c r="AE76" s="149">
        <f>IFERROR(VLOOKUP(B76,Daily_Working_Do_Not_Delete!BG:BH,2,0))</f>
        <v>1.020393519</v>
      </c>
      <c r="AF76" s="149">
        <f>IFERROR(VLOOKUP(B76,Daily_Working_Do_Not_Delete!BE:BF,2,0))</f>
        <v>0.9431828704</v>
      </c>
      <c r="AG76" s="149">
        <f>IFERROR(VLOOKUP(B76,Daily_Working_Do_Not_Delete!BC:BD,2,0))</f>
        <v>0.7713888889</v>
      </c>
      <c r="AH76" s="149">
        <f>IFERROR(VLOOKUP(B76,Daily_Working_Do_Not_Delete!BA:BB,2,0))</f>
        <v>0.3480787037</v>
      </c>
      <c r="AI76" s="149">
        <f>IFERROR(VLOOKUP(B76,Daily_Working_Do_Not_Delete!AY:AZ,2,0))</f>
        <v>0.1658564815</v>
      </c>
      <c r="AJ76" s="149">
        <f>IFERROR(VLOOKUP(B76,Daily_Working_Do_Not_Delete!AW:AX,2,0))</f>
        <v>0.1238310185</v>
      </c>
      <c r="AK76" s="149">
        <f>IFERROR(VLOOKUP(B76,Daily_Working_Do_Not_Delete!AU:AV,2,0))</f>
        <v>0.06006944444</v>
      </c>
      <c r="AL76" s="149" t="str">
        <f>IFERROR(VLOOKUP(B76,Daily_Working_Do_Not_Delete!AS:AT,2,0))</f>
        <v/>
      </c>
      <c r="AM76" s="149">
        <f>IFERROR(VLOOKUP(B76,Daily_Working_Do_Not_Delete!AQ:AR,2,0))</f>
        <v>0.0006134259259</v>
      </c>
      <c r="AN76" s="149" t="str">
        <f>IFERROR(VLOOKUP(B76,Daily_Working_Do_Not_Delete!AO:AP,2,0))</f>
        <v/>
      </c>
      <c r="AO76" s="149" t="str">
        <f>IFERROR(VLOOKUP(B76,Daily_Working_Do_Not_Delete!AM:AN,2,0))</f>
        <v/>
      </c>
      <c r="AP76" s="149">
        <f>IFERROR(VLOOKUP(B76,Daily_Working_Do_Not_Delete!AK:AL,2,0))</f>
        <v>0.0216087963</v>
      </c>
      <c r="AQ76" s="149">
        <f>IFERROR(VLOOKUP(B76,Daily_Working_Do_Not_Delete!AI:AJ,2,0))</f>
        <v>0.02336805556</v>
      </c>
      <c r="AR76" s="149">
        <f>IFERROR(VLOOKUP(B76,Daily_Working_Do_Not_Delete!AG:AH,2,0))</f>
        <v>0.001828703704</v>
      </c>
      <c r="AS76" s="149">
        <f>IFERROR(VLOOKUP(B76,Daily_Working_Do_Not_Delete!AE:AF,2,0))</f>
        <v>0.000462962963</v>
      </c>
      <c r="AT76" s="149">
        <f>IFERROR(VLOOKUP(B76,Daily_Working_Do_Not_Delete!AC:AD,2,0))</f>
        <v>0.01601851852</v>
      </c>
      <c r="AU76" s="149" t="str">
        <f>IFERROR(VLOOKUP(B76,Daily_Working_Do_Not_Delete!AA:AB,2,0))</f>
        <v/>
      </c>
      <c r="AV76" s="149" t="str">
        <f>IFERROR(VLOOKUP(B76,Daily_Working_Do_Not_Delete!Y:Z,2,0))</f>
        <v/>
      </c>
      <c r="AW76" s="149" t="str">
        <f>IFERROR(VLOOKUP(B76,Daily_Working_Do_Not_Delete!W:X,2,0))</f>
        <v/>
      </c>
      <c r="AX76" s="149" t="str">
        <f>IFERROR(VLOOKUP(B76,Daily_Working_Do_Not_Delete!U:V,2,0))</f>
        <v/>
      </c>
      <c r="AY76" s="149" t="str">
        <f>IFERROR(VLOOKUP(B76,Daily_Working_Do_Not_Delete!S:T,2,0))</f>
        <v/>
      </c>
      <c r="AZ76" s="149">
        <f>IFERROR(VLOOKUP(B76,Daily_Working_Do_Not_Delete!Q:R,2,0))</f>
        <v>0.004398148148</v>
      </c>
      <c r="BA76" s="149">
        <f>IFERROR(VLOOKUP(B76,Daily_Working_Do_Not_Delete!O:P,2,0))</f>
        <v>0.004351851852</v>
      </c>
      <c r="BB76" s="149" t="str">
        <f>IFERROR(VLOOKUP(B76,Daily_Working_Do_Not_Delete!M:N,2,0))</f>
        <v/>
      </c>
      <c r="BC76" s="149" t="str">
        <f>IFERROR(VLOOKUP(B76,Daily_Working_Do_Not_Delete!K:L,2,0))</f>
        <v/>
      </c>
      <c r="BD76" s="149" t="str">
        <f>IFERROR(VLOOKUP(B76,Daily_Working_Do_Not_Delete!I:J,2,0))</f>
        <v/>
      </c>
      <c r="BE76" s="149" t="str">
        <f>IFERROR(VLOOKUP(B76,Daily_Working_Do_Not_Delete!G:H,2,0))</f>
        <v/>
      </c>
      <c r="BF76" s="149" t="str">
        <f>IFERROR(VLOOKUP(B76,Daily_Working_Do_Not_Delete!E:F,2,0))</f>
        <v/>
      </c>
      <c r="BG76" s="149" t="str">
        <f>IFERROR(VLOOKUP(B76,Daily_Working_Do_Not_Delete!C:D,2,0))</f>
        <v/>
      </c>
      <c r="BH76" s="149" t="str">
        <f>IFERROR(VLOOKUP(B76,Daily_Working_Do_Not_Delete!A:B,2,0))</f>
        <v/>
      </c>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row>
    <row r="77">
      <c r="A77" s="146" t="s">
        <v>427</v>
      </c>
      <c r="B77" s="146" t="s">
        <v>98</v>
      </c>
      <c r="C77" s="137" t="s">
        <v>421</v>
      </c>
      <c r="D77" s="148">
        <f t="shared" si="3"/>
        <v>9.942013889</v>
      </c>
      <c r="E77" s="149">
        <f>IFERROR(VLOOKUP(B77,Daily_Working_Do_Not_Delete!DG:DH,2,0))</f>
        <v>1.32806713</v>
      </c>
      <c r="F77" s="149">
        <f>IFERROR(VLOOKUP(B77,Daily_Working_Do_Not_Delete!DE:DF,2,0))</f>
        <v>0.03712962963</v>
      </c>
      <c r="G77" s="149">
        <f>IFERROR(VLOOKUP(B77,Daily_Working_Do_Not_Delete!DC:DD,2,0))</f>
        <v>0.04951388889</v>
      </c>
      <c r="H77" s="149">
        <f>IFERROR(VLOOKUP(B77,Daily_Working_Do_Not_Delete!DA:DB,2,0))</f>
        <v>0.03560185185</v>
      </c>
      <c r="I77" s="149">
        <f>IFERROR(VLOOKUP(B77,Daily_Working_Do_Not_Delete!CY:CZ,2,0))</f>
        <v>0.07613425926</v>
      </c>
      <c r="J77" s="149">
        <f>IFERROR(VLOOKUP(B77,Daily_Working_Do_Not_Delete!CW:CX,2,0))</f>
        <v>0.01630787037</v>
      </c>
      <c r="K77" s="149">
        <f>IFERROR(VLOOKUP(B77,Daily_Working_Do_Not_Delete!CU:CV,2,0))</f>
        <v>0.03184027778</v>
      </c>
      <c r="L77" s="149">
        <f>IFERROR(VLOOKUP(B77,Daily_Working_Do_Not_Delete!CS:CT,2,0))</f>
        <v>0.03545138889</v>
      </c>
      <c r="M77" s="149">
        <f>IFERROR(VLOOKUP(B77,Daily_Working_Do_Not_Delete!CQ:CR,2,0))</f>
        <v>0.01184027778</v>
      </c>
      <c r="N77" s="149">
        <f>IFERROR(VLOOKUP(B77,Daily_Working_Do_Not_Delete!CO:CP,2,0))</f>
        <v>0.06902777778</v>
      </c>
      <c r="O77" s="149">
        <f>IFERROR(VLOOKUP(B77,Daily_Working_Do_Not_Delete!CM:CN,2,0))</f>
        <v>0.08998842593</v>
      </c>
      <c r="P77" s="149">
        <f>IFERROR(VLOOKUP(B77,Daily_Working_Do_Not_Delete!CK:CL,2,0))</f>
        <v>0.02135416667</v>
      </c>
      <c r="Q77" s="149">
        <f>IFERROR(VLOOKUP(B77,Daily_Working_Do_Not_Delete!CI:CJ,2,0))</f>
        <v>0.073125</v>
      </c>
      <c r="R77" s="149">
        <f>IFERROR(VLOOKUP(B77,Daily_Working_Do_Not_Delete!CG:CH,2,0))</f>
        <v>0.156412037</v>
      </c>
      <c r="S77" s="149">
        <f>IFERROR(VLOOKUP(B77,Daily_Working_Do_Not_Delete!CE:CF,2,0))</f>
        <v>0.2703935185</v>
      </c>
      <c r="T77" s="149">
        <f>IFERROR(VLOOKUP(B77,Daily_Working_Do_Not_Delete!CC:CD,2,0))</f>
        <v>0.2100578704</v>
      </c>
      <c r="U77" s="149">
        <f>IFERROR(VLOOKUP(B77,Daily_Working_Do_Not_Delete!CA:CB,2,0))</f>
        <v>0.199375</v>
      </c>
      <c r="V77" s="149">
        <f>IFERROR(VLOOKUP(B77,Daily_Working_Do_Not_Delete!BY:BZ,2,0))</f>
        <v>0.2079166667</v>
      </c>
      <c r="W77" s="149">
        <f>IFERROR(VLOOKUP(B77,Daily_Working_Do_Not_Delete!BW:BX,2,0))</f>
        <v>0.2147453704</v>
      </c>
      <c r="X77" s="149">
        <f>IFERROR(VLOOKUP(B77,Daily_Working_Do_Not_Delete!BU:BV,2,0))</f>
        <v>0.2772569444</v>
      </c>
      <c r="Y77" s="149">
        <f>IFERROR(VLOOKUP(B77,Daily_Working_Do_Not_Delete!BS:BT,2,0))</f>
        <v>0.1344560185</v>
      </c>
      <c r="Z77" s="149">
        <f>IFERROR(VLOOKUP(B77,Daily_Working_Do_Not_Delete!BQ:BR,2,0))</f>
        <v>0.1086111111</v>
      </c>
      <c r="AA77" s="149">
        <f>IFERROR(VLOOKUP(B77,Daily_Working_Do_Not_Delete!BO:BP,2,0))</f>
        <v>0.2090162037</v>
      </c>
      <c r="AB77" s="149">
        <f>IFERROR(VLOOKUP(B77,Daily_Working_Do_Not_Delete!BM:BN,2,0))</f>
        <v>0.3517708333</v>
      </c>
      <c r="AC77" s="149">
        <f>IFERROR(VLOOKUP(B77,Daily_Working_Do_Not_Delete!BK:BL,2,0))</f>
        <v>0.6416435185</v>
      </c>
      <c r="AD77" s="149">
        <f>IFERROR(VLOOKUP(B77,Daily_Working_Do_Not_Delete!BI:BJ,2,0))</f>
        <v>0.983900463</v>
      </c>
      <c r="AE77" s="149">
        <f>IFERROR(VLOOKUP(B77,Daily_Working_Do_Not_Delete!BG:BH,2,0))</f>
        <v>1.392106481</v>
      </c>
      <c r="AF77" s="149">
        <f>IFERROR(VLOOKUP(B77,Daily_Working_Do_Not_Delete!BE:BF,2,0))</f>
        <v>0.8126736111</v>
      </c>
      <c r="AG77" s="149">
        <f>IFERROR(VLOOKUP(B77,Daily_Working_Do_Not_Delete!BC:BD,2,0))</f>
        <v>0.7154050926</v>
      </c>
      <c r="AH77" s="149">
        <f>IFERROR(VLOOKUP(B77,Daily_Working_Do_Not_Delete!BA:BB,2,0))</f>
        <v>0.172349537</v>
      </c>
      <c r="AI77" s="149">
        <f>IFERROR(VLOOKUP(B77,Daily_Working_Do_Not_Delete!AY:AZ,2,0))</f>
        <v>0.2333912037</v>
      </c>
      <c r="AJ77" s="149">
        <f>IFERROR(VLOOKUP(B77,Daily_Working_Do_Not_Delete!AW:AX,2,0))</f>
        <v>0.1106944444</v>
      </c>
      <c r="AK77" s="149">
        <f>IFERROR(VLOOKUP(B77,Daily_Working_Do_Not_Delete!AU:AV,2,0))</f>
        <v>0.1211342593</v>
      </c>
      <c r="AL77" s="149">
        <f>IFERROR(VLOOKUP(B77,Daily_Working_Do_Not_Delete!AS:AT,2,0))</f>
        <v>0.1632986111</v>
      </c>
      <c r="AM77" s="149">
        <f>IFERROR(VLOOKUP(B77,Daily_Working_Do_Not_Delete!AQ:AR,2,0))</f>
        <v>0.1369907407</v>
      </c>
      <c r="AN77" s="149">
        <f>IFERROR(VLOOKUP(B77,Daily_Working_Do_Not_Delete!AO:AP,2,0))</f>
        <v>0.1585416667</v>
      </c>
      <c r="AO77" s="149">
        <f>IFERROR(VLOOKUP(B77,Daily_Working_Do_Not_Delete!AM:AN,2,0))</f>
        <v>0.01420138889</v>
      </c>
      <c r="AP77" s="149">
        <f>IFERROR(VLOOKUP(B77,Daily_Working_Do_Not_Delete!AK:AL,2,0))</f>
        <v>0.04121527778</v>
      </c>
      <c r="AQ77" s="149">
        <f>IFERROR(VLOOKUP(B77,Daily_Working_Do_Not_Delete!AI:AJ,2,0))</f>
        <v>0.00375</v>
      </c>
      <c r="AR77" s="149">
        <f>IFERROR(VLOOKUP(B77,Daily_Working_Do_Not_Delete!AG:AH,2,0))</f>
        <v>0.02008101852</v>
      </c>
      <c r="AS77" s="149" t="str">
        <f>IFERROR(VLOOKUP(B77,Daily_Working_Do_Not_Delete!AE:AF,2,0))</f>
        <v/>
      </c>
      <c r="AT77" s="149">
        <f>IFERROR(VLOOKUP(B77,Daily_Working_Do_Not_Delete!AC:AD,2,0))</f>
        <v>0.0001736111111</v>
      </c>
      <c r="AU77" s="149" t="str">
        <f>IFERROR(VLOOKUP(B77,Daily_Working_Do_Not_Delete!AA:AB,2,0))</f>
        <v/>
      </c>
      <c r="AV77" s="149" t="str">
        <f>IFERROR(VLOOKUP(B77,Daily_Working_Do_Not_Delete!Y:Z,2,0))</f>
        <v/>
      </c>
      <c r="AW77" s="149" t="str">
        <f>IFERROR(VLOOKUP(B77,Daily_Working_Do_Not_Delete!W:X,2,0))</f>
        <v/>
      </c>
      <c r="AX77" s="149" t="str">
        <f>IFERROR(VLOOKUP(B77,Daily_Working_Do_Not_Delete!U:V,2,0))</f>
        <v/>
      </c>
      <c r="AY77" s="149" t="str">
        <f>IFERROR(VLOOKUP(B77,Daily_Working_Do_Not_Delete!S:T,2,0))</f>
        <v/>
      </c>
      <c r="AZ77" s="149" t="str">
        <f>IFERROR(VLOOKUP(B77,Daily_Working_Do_Not_Delete!Q:R,2,0))</f>
        <v/>
      </c>
      <c r="BA77" s="149" t="str">
        <f>IFERROR(VLOOKUP(B77,Daily_Working_Do_Not_Delete!O:P,2,0))</f>
        <v/>
      </c>
      <c r="BB77" s="149" t="str">
        <f>IFERROR(VLOOKUP(B77,Daily_Working_Do_Not_Delete!M:N,2,0))</f>
        <v/>
      </c>
      <c r="BC77" s="149" t="str">
        <f>IFERROR(VLOOKUP(B77,Daily_Working_Do_Not_Delete!K:L,2,0))</f>
        <v/>
      </c>
      <c r="BD77" s="149" t="str">
        <f>IFERROR(VLOOKUP(B77,Daily_Working_Do_Not_Delete!I:J,2,0))</f>
        <v/>
      </c>
      <c r="BE77" s="149">
        <f>IFERROR(VLOOKUP(B77,Daily_Working_Do_Not_Delete!G:H,2,0))</f>
        <v>0.005069444444</v>
      </c>
      <c r="BF77" s="149" t="str">
        <f>IFERROR(VLOOKUP(B77,Daily_Working_Do_Not_Delete!E:F,2,0))</f>
        <v/>
      </c>
      <c r="BG77" s="149" t="str">
        <f>IFERROR(VLOOKUP(B77,Daily_Working_Do_Not_Delete!C:D,2,0))</f>
        <v/>
      </c>
      <c r="BH77" s="149" t="str">
        <f>IFERROR(VLOOKUP(B77,Daily_Working_Do_Not_Delete!A:B,2,0))</f>
        <v/>
      </c>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row>
    <row r="78">
      <c r="A78" s="146" t="s">
        <v>427</v>
      </c>
      <c r="B78" s="146" t="s">
        <v>428</v>
      </c>
      <c r="C78" s="137" t="s">
        <v>421</v>
      </c>
      <c r="D78" s="148">
        <f t="shared" si="3"/>
        <v>6.576238426</v>
      </c>
      <c r="E78" s="149">
        <f>IFERROR(VLOOKUP(B78,Daily_Working_Do_Not_Delete!DG:DH,2,0))</f>
        <v>2.128310185</v>
      </c>
      <c r="F78" s="149">
        <f>IFERROR(VLOOKUP(B78,Daily_Working_Do_Not_Delete!DE:DF,2,0))</f>
        <v>0.005497685185</v>
      </c>
      <c r="G78" s="149">
        <f>IFERROR(VLOOKUP(B78,Daily_Working_Do_Not_Delete!DC:DD,2,0))</f>
        <v>0.02819444444</v>
      </c>
      <c r="H78" s="149">
        <f>IFERROR(VLOOKUP(B78,Daily_Working_Do_Not_Delete!DA:DB,2,0))</f>
        <v>0.02015046296</v>
      </c>
      <c r="I78" s="149">
        <f>IFERROR(VLOOKUP(B78,Daily_Working_Do_Not_Delete!CY:CZ,2,0))</f>
        <v>0.03351851852</v>
      </c>
      <c r="J78" s="149">
        <f>IFERROR(VLOOKUP(B78,Daily_Working_Do_Not_Delete!CW:CX,2,0))</f>
        <v>0.05658564815</v>
      </c>
      <c r="K78" s="149">
        <f>IFERROR(VLOOKUP(B78,Daily_Working_Do_Not_Delete!CU:CV,2,0))</f>
        <v>0.02186342593</v>
      </c>
      <c r="L78" s="149">
        <f>IFERROR(VLOOKUP(B78,Daily_Working_Do_Not_Delete!CS:CT,2,0))</f>
        <v>0.003472222222</v>
      </c>
      <c r="M78" s="149">
        <f>IFERROR(VLOOKUP(B78,Daily_Working_Do_Not_Delete!CQ:CR,2,0))</f>
        <v>0.0004976851852</v>
      </c>
      <c r="N78" s="149">
        <f>IFERROR(VLOOKUP(B78,Daily_Working_Do_Not_Delete!CO:CP,2,0))</f>
        <v>0.02216435185</v>
      </c>
      <c r="O78" s="149">
        <f>IFERROR(VLOOKUP(B78,Daily_Working_Do_Not_Delete!CM:CN,2,0))</f>
        <v>0.001886574074</v>
      </c>
      <c r="P78" s="149">
        <f>IFERROR(VLOOKUP(B78,Daily_Working_Do_Not_Delete!CK:CL,2,0))</f>
        <v>0.04472222222</v>
      </c>
      <c r="Q78" s="149">
        <f>IFERROR(VLOOKUP(B78,Daily_Working_Do_Not_Delete!CI:CJ,2,0))</f>
        <v>0.02362268519</v>
      </c>
      <c r="R78" s="149">
        <f>IFERROR(VLOOKUP(B78,Daily_Working_Do_Not_Delete!CG:CH,2,0))</f>
        <v>0.004849537037</v>
      </c>
      <c r="S78" s="149">
        <f>IFERROR(VLOOKUP(B78,Daily_Working_Do_Not_Delete!CE:CF,2,0))</f>
        <v>0.02650462963</v>
      </c>
      <c r="T78" s="149">
        <f>IFERROR(VLOOKUP(B78,Daily_Working_Do_Not_Delete!CC:CD,2,0))</f>
        <v>0.03591435185</v>
      </c>
      <c r="U78" s="149">
        <f>IFERROR(VLOOKUP(B78,Daily_Working_Do_Not_Delete!CA:CB,2,0))</f>
        <v>0.02012731481</v>
      </c>
      <c r="V78" s="149">
        <f>IFERROR(VLOOKUP(B78,Daily_Working_Do_Not_Delete!BY:BZ,2,0))</f>
        <v>0.01556712963</v>
      </c>
      <c r="W78" s="149">
        <f>IFERROR(VLOOKUP(B78,Daily_Working_Do_Not_Delete!BW:BX,2,0))</f>
        <v>0.08275462963</v>
      </c>
      <c r="X78" s="149" t="str">
        <f>IFERROR(VLOOKUP(B78,Daily_Working_Do_Not_Delete!BU:BV,2,0))</f>
        <v/>
      </c>
      <c r="Y78" s="149">
        <f>IFERROR(VLOOKUP(B78,Daily_Working_Do_Not_Delete!BS:BT,2,0))</f>
        <v>0.01831018519</v>
      </c>
      <c r="Z78" s="149">
        <f>IFERROR(VLOOKUP(B78,Daily_Working_Do_Not_Delete!BQ:BR,2,0))</f>
        <v>0.1186805556</v>
      </c>
      <c r="AA78" s="149">
        <f>IFERROR(VLOOKUP(B78,Daily_Working_Do_Not_Delete!BO:BP,2,0))</f>
        <v>0.1503009259</v>
      </c>
      <c r="AB78" s="149">
        <f>IFERROR(VLOOKUP(B78,Daily_Working_Do_Not_Delete!BM:BN,2,0))</f>
        <v>0.200162037</v>
      </c>
      <c r="AC78" s="149">
        <f>IFERROR(VLOOKUP(B78,Daily_Working_Do_Not_Delete!BK:BL,2,0))</f>
        <v>0.1574074074</v>
      </c>
      <c r="AD78" s="149">
        <f>IFERROR(VLOOKUP(B78,Daily_Working_Do_Not_Delete!BI:BJ,2,0))</f>
        <v>0.2533217593</v>
      </c>
      <c r="AE78" s="149">
        <f>IFERROR(VLOOKUP(B78,Daily_Working_Do_Not_Delete!BG:BH,2,0))</f>
        <v>0.4129513889</v>
      </c>
      <c r="AF78" s="149">
        <f>IFERROR(VLOOKUP(B78,Daily_Working_Do_Not_Delete!BE:BF,2,0))</f>
        <v>0.3281134259</v>
      </c>
      <c r="AG78" s="149">
        <f>IFERROR(VLOOKUP(B78,Daily_Working_Do_Not_Delete!BC:BD,2,0))</f>
        <v>0.3612152778</v>
      </c>
      <c r="AH78" s="149">
        <f>IFERROR(VLOOKUP(B78,Daily_Working_Do_Not_Delete!BA:BB,2,0))</f>
        <v>0.6139583333</v>
      </c>
      <c r="AI78" s="149">
        <f>IFERROR(VLOOKUP(B78,Daily_Working_Do_Not_Delete!AY:AZ,2,0))</f>
        <v>0.8198263889</v>
      </c>
      <c r="AJ78" s="149">
        <f>IFERROR(VLOOKUP(B78,Daily_Working_Do_Not_Delete!AW:AX,2,0))</f>
        <v>0.2694328704</v>
      </c>
      <c r="AK78" s="149">
        <f>IFERROR(VLOOKUP(B78,Daily_Working_Do_Not_Delete!AU:AV,2,0))</f>
        <v>0.2382060185</v>
      </c>
      <c r="AL78" s="149">
        <f>IFERROR(VLOOKUP(B78,Daily_Working_Do_Not_Delete!AS:AT,2,0))</f>
        <v>0.003402777778</v>
      </c>
      <c r="AM78" s="149">
        <f>IFERROR(VLOOKUP(B78,Daily_Working_Do_Not_Delete!AQ:AR,2,0))</f>
        <v>0.01674768519</v>
      </c>
      <c r="AN78" s="149">
        <f>IFERROR(VLOOKUP(B78,Daily_Working_Do_Not_Delete!AO:AP,2,0))</f>
        <v>0.0004976851852</v>
      </c>
      <c r="AO78" s="149">
        <f>IFERROR(VLOOKUP(B78,Daily_Working_Do_Not_Delete!AM:AN,2,0))</f>
        <v>0.001145833333</v>
      </c>
      <c r="AP78" s="149">
        <f>IFERROR(VLOOKUP(B78,Daily_Working_Do_Not_Delete!AK:AL,2,0))</f>
        <v>0.01828703704</v>
      </c>
      <c r="AQ78" s="149">
        <f>IFERROR(VLOOKUP(B78,Daily_Working_Do_Not_Delete!AI:AJ,2,0))</f>
        <v>0.003888888889</v>
      </c>
      <c r="AR78" s="149">
        <f>IFERROR(VLOOKUP(B78,Daily_Working_Do_Not_Delete!AG:AH,2,0))</f>
        <v>0.01366898148</v>
      </c>
      <c r="AS78" s="149">
        <f>IFERROR(VLOOKUP(B78,Daily_Working_Do_Not_Delete!AE:AF,2,0))</f>
        <v>0.0004398148148</v>
      </c>
      <c r="AT78" s="149" t="str">
        <f>IFERROR(VLOOKUP(B78,Daily_Working_Do_Not_Delete!AC:AD,2,0))</f>
        <v/>
      </c>
      <c r="AU78" s="149" t="str">
        <f>IFERROR(VLOOKUP(B78,Daily_Working_Do_Not_Delete!AA:AB,2,0))</f>
        <v/>
      </c>
      <c r="AV78" s="149">
        <f>IFERROR(VLOOKUP(B78,Daily_Working_Do_Not_Delete!Y:Z,2,0))</f>
        <v>0.00006944444444</v>
      </c>
      <c r="AW78" s="149" t="str">
        <f>IFERROR(VLOOKUP(B78,Daily_Working_Do_Not_Delete!W:X,2,0))</f>
        <v/>
      </c>
      <c r="AX78" s="149" t="str">
        <f>IFERROR(VLOOKUP(B78,Daily_Working_Do_Not_Delete!U:V,2,0))</f>
        <v/>
      </c>
      <c r="AY78" s="149" t="str">
        <f>IFERROR(VLOOKUP(B78,Daily_Working_Do_Not_Delete!S:T,2,0))</f>
        <v/>
      </c>
      <c r="AZ78" s="149" t="str">
        <f>IFERROR(VLOOKUP(B78,Daily_Working_Do_Not_Delete!Q:R,2,0))</f>
        <v/>
      </c>
      <c r="BA78" s="149" t="str">
        <f>IFERROR(VLOOKUP(B78,Daily_Working_Do_Not_Delete!O:P,2,0))</f>
        <v/>
      </c>
      <c r="BB78" s="149" t="str">
        <f>IFERROR(VLOOKUP(B78,Daily_Working_Do_Not_Delete!M:N,2,0))</f>
        <v/>
      </c>
      <c r="BC78" s="149" t="str">
        <f>IFERROR(VLOOKUP(B78,Daily_Working_Do_Not_Delete!K:L,2,0))</f>
        <v/>
      </c>
      <c r="BD78" s="149" t="str">
        <f>IFERROR(VLOOKUP(B78,Daily_Working_Do_Not_Delete!I:J,2,0))</f>
        <v/>
      </c>
      <c r="BE78" s="149" t="str">
        <f>IFERROR(VLOOKUP(B78,Daily_Working_Do_Not_Delete!G:H,2,0))</f>
        <v/>
      </c>
      <c r="BF78" s="149" t="str">
        <f>IFERROR(VLOOKUP(B78,Daily_Working_Do_Not_Delete!E:F,2,0))</f>
        <v/>
      </c>
      <c r="BG78" s="149" t="str">
        <f>IFERROR(VLOOKUP(B78,Daily_Working_Do_Not_Delete!C:D,2,0))</f>
        <v/>
      </c>
      <c r="BH78" s="149" t="str">
        <f>IFERROR(VLOOKUP(B78,Daily_Working_Do_Not_Delete!A:B,2,0))</f>
        <v/>
      </c>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row>
    <row r="79">
      <c r="A79" s="151" t="s">
        <v>427</v>
      </c>
      <c r="B79" s="151" t="s">
        <v>99</v>
      </c>
      <c r="C79" s="152" t="s">
        <v>421</v>
      </c>
      <c r="D79" s="153">
        <f t="shared" si="3"/>
        <v>6.6</v>
      </c>
      <c r="E79" s="149">
        <f>IFERROR(VLOOKUP(B79,Daily_Working_Do_Not_Delete!DG:DH,2,0))</f>
        <v>3.090474537</v>
      </c>
      <c r="F79" s="149">
        <f>IFERROR(VLOOKUP(B79,Daily_Working_Do_Not_Delete!DE:DF,2,0))</f>
        <v>0.02052083333</v>
      </c>
      <c r="G79" s="149">
        <f>IFERROR(VLOOKUP(B79,Daily_Working_Do_Not_Delete!DC:DD,2,0))</f>
        <v>0.002627314815</v>
      </c>
      <c r="H79" s="149">
        <f>IFERROR(VLOOKUP(B79,Daily_Working_Do_Not_Delete!DA:DB,2,0))</f>
        <v>0.005810185185</v>
      </c>
      <c r="I79" s="149">
        <f>IFERROR(VLOOKUP(B79,Daily_Working_Do_Not_Delete!CY:CZ,2,0))</f>
        <v>0.05038194444</v>
      </c>
      <c r="J79" s="149">
        <f>IFERROR(VLOOKUP(B79,Daily_Working_Do_Not_Delete!CW:CX,2,0))</f>
        <v>0.0434837963</v>
      </c>
      <c r="K79" s="149">
        <f>IFERROR(VLOOKUP(B79,Daily_Working_Do_Not_Delete!CU:CV,2,0))</f>
        <v>0.03665509259</v>
      </c>
      <c r="L79" s="149">
        <f>IFERROR(VLOOKUP(B79,Daily_Working_Do_Not_Delete!CS:CT,2,0))</f>
        <v>0.02652777778</v>
      </c>
      <c r="M79" s="149">
        <f>IFERROR(VLOOKUP(B79,Daily_Working_Do_Not_Delete!CQ:CR,2,0))</f>
        <v>0.05130787037</v>
      </c>
      <c r="N79" s="149">
        <f>IFERROR(VLOOKUP(B79,Daily_Working_Do_Not_Delete!CO:CP,2,0))</f>
        <v>0.03180555556</v>
      </c>
      <c r="O79" s="149">
        <f>IFERROR(VLOOKUP(B79,Daily_Working_Do_Not_Delete!CM:CN,2,0))</f>
        <v>0.05438657407</v>
      </c>
      <c r="P79" s="149">
        <f>IFERROR(VLOOKUP(B79,Daily_Working_Do_Not_Delete!CK:CL,2,0))</f>
        <v>0.02459490741</v>
      </c>
      <c r="Q79" s="149">
        <f>IFERROR(VLOOKUP(B79,Daily_Working_Do_Not_Delete!CI:CJ,2,0))</f>
        <v>0.06953703704</v>
      </c>
      <c r="R79" s="149">
        <f>IFERROR(VLOOKUP(B79,Daily_Working_Do_Not_Delete!CG:CH,2,0))</f>
        <v>0.08680555556</v>
      </c>
      <c r="S79" s="149">
        <f>IFERROR(VLOOKUP(B79,Daily_Working_Do_Not_Delete!CE:CF,2,0))</f>
        <v>0.008773148148</v>
      </c>
      <c r="T79" s="149">
        <f>IFERROR(VLOOKUP(B79,Daily_Working_Do_Not_Delete!CC:CD,2,0))</f>
        <v>0.02797453704</v>
      </c>
      <c r="U79" s="149">
        <f>IFERROR(VLOOKUP(B79,Daily_Working_Do_Not_Delete!CA:CB,2,0))</f>
        <v>0.09444444444</v>
      </c>
      <c r="V79" s="149">
        <f>IFERROR(VLOOKUP(B79,Daily_Working_Do_Not_Delete!BY:BZ,2,0))</f>
        <v>0.02908564815</v>
      </c>
      <c r="W79" s="149">
        <f>IFERROR(VLOOKUP(B79,Daily_Working_Do_Not_Delete!BW:BX,2,0))</f>
        <v>0.1237847222</v>
      </c>
      <c r="X79" s="149">
        <f>IFERROR(VLOOKUP(B79,Daily_Working_Do_Not_Delete!BU:BV,2,0))</f>
        <v>0.1915046296</v>
      </c>
      <c r="Y79" s="149">
        <f>IFERROR(VLOOKUP(B79,Daily_Working_Do_Not_Delete!BS:BT,2,0))</f>
        <v>0.1138657407</v>
      </c>
      <c r="Z79" s="149">
        <f>IFERROR(VLOOKUP(B79,Daily_Working_Do_Not_Delete!BQ:BR,2,0))</f>
        <v>0.1414814815</v>
      </c>
      <c r="AA79" s="149">
        <f>IFERROR(VLOOKUP(B79,Daily_Working_Do_Not_Delete!BO:BP,2,0))</f>
        <v>0.07736111111</v>
      </c>
      <c r="AB79" s="149">
        <f>IFERROR(VLOOKUP(B79,Daily_Working_Do_Not_Delete!BM:BN,2,0))</f>
        <v>0.1644675926</v>
      </c>
      <c r="AC79" s="149">
        <f>IFERROR(VLOOKUP(B79,Daily_Working_Do_Not_Delete!BK:BL,2,0))</f>
        <v>0.1382291667</v>
      </c>
      <c r="AD79" s="149">
        <f>IFERROR(VLOOKUP(B79,Daily_Working_Do_Not_Delete!BI:BJ,2,0))</f>
        <v>0.5012152778</v>
      </c>
      <c r="AE79" s="149">
        <f>IFERROR(VLOOKUP(B79,Daily_Working_Do_Not_Delete!BG:BH,2,0))</f>
        <v>0.4596412037</v>
      </c>
      <c r="AF79" s="149">
        <f>IFERROR(VLOOKUP(B79,Daily_Working_Do_Not_Delete!BE:BF,2,0))</f>
        <v>0.3516782407</v>
      </c>
      <c r="AG79" s="149">
        <f>IFERROR(VLOOKUP(B79,Daily_Working_Do_Not_Delete!BC:BD,2,0))</f>
        <v>0.3559722222</v>
      </c>
      <c r="AH79" s="149">
        <f>IFERROR(VLOOKUP(B79,Daily_Working_Do_Not_Delete!BA:BB,2,0))</f>
        <v>0.1625115741</v>
      </c>
      <c r="AI79" s="149">
        <f>IFERROR(VLOOKUP(B79,Daily_Working_Do_Not_Delete!AY:AZ,2,0))</f>
        <v>0.02946759259</v>
      </c>
      <c r="AJ79" s="149" t="str">
        <f>IFERROR(VLOOKUP(B79,Daily_Working_Do_Not_Delete!AW:AX,2,0))</f>
        <v/>
      </c>
      <c r="AK79" s="149">
        <f>IFERROR(VLOOKUP(B79,Daily_Working_Do_Not_Delete!AU:AV,2,0))</f>
        <v>0.03260416667</v>
      </c>
      <c r="AL79" s="149">
        <f>IFERROR(VLOOKUP(B79,Daily_Working_Do_Not_Delete!AS:AT,2,0))</f>
        <v>0.0001273148148</v>
      </c>
      <c r="AM79" s="149" t="str">
        <f>IFERROR(VLOOKUP(B79,Daily_Working_Do_Not_Delete!AQ:AR,2,0))</f>
        <v/>
      </c>
      <c r="AN79" s="149" t="str">
        <f>IFERROR(VLOOKUP(B79,Daily_Working_Do_Not_Delete!AO:AP,2,0))</f>
        <v/>
      </c>
      <c r="AO79" s="149" t="str">
        <f>IFERROR(VLOOKUP(B79,Daily_Working_Do_Not_Delete!AM:AN,2,0))</f>
        <v/>
      </c>
      <c r="AP79" s="149" t="str">
        <f>IFERROR(VLOOKUP(B79,Daily_Working_Do_Not_Delete!AK:AL,2,0))</f>
        <v/>
      </c>
      <c r="AQ79" s="149">
        <f>IFERROR(VLOOKUP(B79,Daily_Working_Do_Not_Delete!AI:AJ,2,0))</f>
        <v>0.0001273148148</v>
      </c>
      <c r="AR79" s="149" t="str">
        <f>IFERROR(VLOOKUP(B79,Daily_Working_Do_Not_Delete!AG:AH,2,0))</f>
        <v/>
      </c>
      <c r="AS79" s="149" t="str">
        <f>IFERROR(VLOOKUP(B79,Daily_Working_Do_Not_Delete!AE:AF,2,0))</f>
        <v/>
      </c>
      <c r="AT79" s="149" t="str">
        <f>IFERROR(VLOOKUP(B79,Daily_Working_Do_Not_Delete!AC:AD,2,0))</f>
        <v/>
      </c>
      <c r="AU79" s="149" t="str">
        <f>IFERROR(VLOOKUP(B79,Daily_Working_Do_Not_Delete!AA:AB,2,0))</f>
        <v/>
      </c>
      <c r="AV79" s="149" t="str">
        <f>IFERROR(VLOOKUP(B79,Daily_Working_Do_Not_Delete!Y:Z,2,0))</f>
        <v/>
      </c>
      <c r="AW79" s="149" t="str">
        <f>IFERROR(VLOOKUP(B79,Daily_Working_Do_Not_Delete!W:X,2,0))</f>
        <v/>
      </c>
      <c r="AX79" s="149" t="str">
        <f>IFERROR(VLOOKUP(B79,Daily_Working_Do_Not_Delete!U:V,2,0))</f>
        <v/>
      </c>
      <c r="AY79" s="149" t="str">
        <f>IFERROR(VLOOKUP(B79,Daily_Working_Do_Not_Delete!S:T,2,0))</f>
        <v/>
      </c>
      <c r="AZ79" s="149" t="str">
        <f>IFERROR(VLOOKUP(B79,Daily_Working_Do_Not_Delete!Q:R,2,0))</f>
        <v/>
      </c>
      <c r="BA79" s="149" t="str">
        <f>IFERROR(VLOOKUP(B79,Daily_Working_Do_Not_Delete!O:P,2,0))</f>
        <v/>
      </c>
      <c r="BB79" s="149" t="str">
        <f>IFERROR(VLOOKUP(B79,Daily_Working_Do_Not_Delete!M:N,2,0))</f>
        <v/>
      </c>
      <c r="BC79" s="149" t="str">
        <f>IFERROR(VLOOKUP(B79,Daily_Working_Do_Not_Delete!K:L,2,0))</f>
        <v/>
      </c>
      <c r="BD79" s="149" t="str">
        <f>IFERROR(VLOOKUP(B79,Daily_Working_Do_Not_Delete!I:J,2,0))</f>
        <v/>
      </c>
      <c r="BE79" s="149">
        <f>IFERROR(VLOOKUP(B79,Daily_Working_Do_Not_Delete!G:H,2,0))</f>
        <v>0.0007638888889</v>
      </c>
      <c r="BF79" s="149" t="str">
        <f>IFERROR(VLOOKUP(B79,Daily_Working_Do_Not_Delete!E:F,2,0))</f>
        <v/>
      </c>
      <c r="BG79" s="149" t="str">
        <f>IFERROR(VLOOKUP(B79,Daily_Working_Do_Not_Delete!C:D,2,0))</f>
        <v/>
      </c>
      <c r="BH79" s="149" t="str">
        <f>IFERROR(VLOOKUP(B79,Daily_Working_Do_Not_Delete!A:B,2,0))</f>
        <v/>
      </c>
      <c r="BI79" s="154"/>
      <c r="BJ79" s="154"/>
      <c r="BK79" s="154"/>
      <c r="BL79" s="154"/>
      <c r="BM79" s="154"/>
      <c r="BN79" s="154"/>
      <c r="BO79" s="154"/>
      <c r="BP79" s="154"/>
      <c r="BQ79" s="154"/>
      <c r="BR79" s="154"/>
      <c r="BS79" s="154"/>
      <c r="BT79" s="154"/>
      <c r="BU79" s="154"/>
      <c r="BV79" s="154"/>
      <c r="BW79" s="154"/>
      <c r="BX79" s="154"/>
      <c r="BY79" s="154"/>
      <c r="BZ79" s="154"/>
      <c r="CA79" s="154"/>
      <c r="CB79" s="154"/>
      <c r="CC79" s="154"/>
      <c r="CD79" s="154"/>
      <c r="CE79" s="154"/>
      <c r="CF79" s="154"/>
      <c r="CG79" s="155"/>
      <c r="CH79" s="155"/>
      <c r="CI79" s="155"/>
      <c r="CJ79" s="155"/>
      <c r="CK79" s="155"/>
      <c r="CL79" s="155"/>
      <c r="CM79" s="155"/>
      <c r="CN79" s="155"/>
      <c r="CO79" s="155"/>
      <c r="CP79" s="155"/>
      <c r="CQ79" s="155"/>
      <c r="CR79" s="155"/>
      <c r="CS79" s="155"/>
      <c r="CT79" s="155"/>
      <c r="CU79" s="155"/>
      <c r="CV79" s="155"/>
      <c r="CW79" s="155"/>
      <c r="CX79" s="155"/>
      <c r="CY79" s="155"/>
      <c r="CZ79" s="155"/>
      <c r="DA79" s="155"/>
      <c r="DB79" s="155"/>
      <c r="DC79" s="155"/>
      <c r="DD79" s="155"/>
      <c r="DE79" s="155"/>
      <c r="DF79" s="155"/>
      <c r="DG79" s="155"/>
      <c r="DH79" s="155"/>
      <c r="DI79" s="155"/>
      <c r="DJ79" s="155"/>
      <c r="DK79" s="155"/>
      <c r="DL79" s="155"/>
      <c r="DM79" s="155"/>
      <c r="DN79" s="155"/>
      <c r="DO79" s="155"/>
      <c r="DP79" s="155"/>
      <c r="DQ79" s="155"/>
      <c r="DR79" s="155"/>
      <c r="DS79" s="155"/>
      <c r="DT79" s="155"/>
      <c r="DU79" s="155"/>
      <c r="DV79" s="155"/>
      <c r="DW79" s="155"/>
      <c r="DX79" s="155"/>
      <c r="DY79" s="155"/>
      <c r="DZ79" s="155"/>
      <c r="EA79" s="155"/>
      <c r="EB79" s="155"/>
      <c r="EC79" s="155"/>
      <c r="ED79" s="155"/>
      <c r="EE79" s="155"/>
      <c r="EF79" s="155"/>
      <c r="EG79" s="155"/>
      <c r="EH79" s="155"/>
      <c r="EI79" s="155"/>
      <c r="EJ79" s="155"/>
      <c r="EK79" s="155"/>
      <c r="EL79" s="155"/>
      <c r="EM79" s="155"/>
      <c r="EN79" s="155"/>
      <c r="EO79" s="155"/>
      <c r="EP79" s="155"/>
      <c r="EQ79" s="155"/>
      <c r="ER79" s="155"/>
      <c r="ES79" s="155"/>
      <c r="ET79" s="155"/>
      <c r="EU79" s="155"/>
      <c r="EV79" s="155"/>
      <c r="EW79" s="155"/>
      <c r="EX79" s="155"/>
      <c r="EY79" s="155"/>
      <c r="EZ79" s="155"/>
      <c r="FA79" s="155"/>
      <c r="FB79" s="155"/>
      <c r="FC79" s="155"/>
      <c r="FD79" s="155"/>
      <c r="FE79" s="155"/>
      <c r="FF79" s="155"/>
      <c r="FG79" s="155"/>
      <c r="FH79" s="155"/>
      <c r="FI79" s="155"/>
      <c r="FJ79" s="155"/>
      <c r="FK79" s="155"/>
      <c r="FL79" s="155"/>
      <c r="FM79" s="155"/>
      <c r="FN79" s="155"/>
      <c r="FO79" s="155"/>
      <c r="FP79" s="155"/>
      <c r="FQ79" s="155"/>
      <c r="FR79" s="155"/>
      <c r="FS79" s="155"/>
      <c r="FT79" s="155"/>
      <c r="FU79" s="155"/>
      <c r="FV79" s="155"/>
      <c r="FW79" s="155"/>
      <c r="FX79" s="155"/>
      <c r="FY79" s="155"/>
      <c r="FZ79" s="155"/>
      <c r="GA79" s="155"/>
      <c r="GB79" s="155"/>
      <c r="GC79" s="155"/>
      <c r="GD79" s="155"/>
      <c r="GE79" s="155"/>
      <c r="GF79" s="155"/>
      <c r="GG79" s="155"/>
      <c r="GH79" s="155"/>
      <c r="GI79" s="155"/>
      <c r="GJ79" s="155"/>
      <c r="GK79" s="155"/>
      <c r="GL79" s="155"/>
      <c r="GM79" s="155"/>
      <c r="GN79" s="155"/>
      <c r="GO79" s="155"/>
      <c r="GP79" s="155"/>
      <c r="GQ79" s="155"/>
      <c r="GR79" s="155"/>
      <c r="GS79" s="155"/>
      <c r="GT79" s="155"/>
      <c r="GU79" s="155"/>
      <c r="GV79" s="155"/>
      <c r="GW79" s="155"/>
      <c r="GX79" s="155"/>
      <c r="GY79" s="155"/>
      <c r="GZ79" s="155"/>
      <c r="HA79" s="155"/>
      <c r="HB79" s="155"/>
      <c r="HC79" s="155"/>
      <c r="HD79" s="155"/>
      <c r="HE79" s="155"/>
      <c r="HF79" s="155"/>
      <c r="HG79" s="155"/>
      <c r="HH79" s="155"/>
      <c r="HI79" s="155"/>
      <c r="HJ79" s="155"/>
      <c r="HK79" s="155"/>
      <c r="HL79" s="155"/>
      <c r="HM79" s="155"/>
      <c r="HN79" s="155"/>
      <c r="HO79" s="155"/>
      <c r="HP79" s="155"/>
      <c r="HQ79" s="155"/>
      <c r="HR79" s="155"/>
      <c r="HS79" s="155"/>
      <c r="HT79" s="155"/>
      <c r="HU79" s="155"/>
      <c r="HV79" s="155"/>
      <c r="HW79" s="155"/>
      <c r="HX79" s="155"/>
      <c r="HY79" s="155"/>
      <c r="HZ79" s="155"/>
      <c r="IA79" s="155"/>
      <c r="IB79" s="155"/>
      <c r="IC79" s="155"/>
      <c r="ID79" s="155"/>
      <c r="IE79" s="155"/>
      <c r="IF79" s="155"/>
      <c r="IG79" s="155"/>
      <c r="IH79" s="155"/>
    </row>
    <row r="80">
      <c r="A80" s="146" t="s">
        <v>427</v>
      </c>
      <c r="B80" s="146" t="s">
        <v>61</v>
      </c>
      <c r="C80" s="137" t="s">
        <v>421</v>
      </c>
      <c r="D80" s="148">
        <f t="shared" si="3"/>
        <v>7.552430556</v>
      </c>
      <c r="E80" s="149">
        <f>IFERROR(VLOOKUP(B80,Daily_Working_Do_Not_Delete!DG:DH,2,0))</f>
        <v>3.382800926</v>
      </c>
      <c r="F80" s="149">
        <f>IFERROR(VLOOKUP(B80,Daily_Working_Do_Not_Delete!DE:DF,2,0))</f>
        <v>0.1692361111</v>
      </c>
      <c r="G80" s="149">
        <f>IFERROR(VLOOKUP(B80,Daily_Working_Do_Not_Delete!DC:DD,2,0))</f>
        <v>0.06706018519</v>
      </c>
      <c r="H80" s="149">
        <f>IFERROR(VLOOKUP(B80,Daily_Working_Do_Not_Delete!DA:DB,2,0))</f>
        <v>0.09740740741</v>
      </c>
      <c r="I80" s="149">
        <f>IFERROR(VLOOKUP(B80,Daily_Working_Do_Not_Delete!CY:CZ,2,0))</f>
        <v>0.09319444444</v>
      </c>
      <c r="J80" s="149">
        <f>IFERROR(VLOOKUP(B80,Daily_Working_Do_Not_Delete!CW:CX,2,0))</f>
        <v>0.06792824074</v>
      </c>
      <c r="K80" s="149">
        <f>IFERROR(VLOOKUP(B80,Daily_Working_Do_Not_Delete!CU:CV,2,0))</f>
        <v>0.05865740741</v>
      </c>
      <c r="L80" s="149">
        <f>IFERROR(VLOOKUP(B80,Daily_Working_Do_Not_Delete!CS:CT,2,0))</f>
        <v>0.0568287037</v>
      </c>
      <c r="M80" s="149">
        <f>IFERROR(VLOOKUP(B80,Daily_Working_Do_Not_Delete!CQ:CR,2,0))</f>
        <v>0.09409722222</v>
      </c>
      <c r="N80" s="149">
        <f>IFERROR(VLOOKUP(B80,Daily_Working_Do_Not_Delete!CO:CP,2,0))</f>
        <v>0.09763888889</v>
      </c>
      <c r="O80" s="149">
        <f>IFERROR(VLOOKUP(B80,Daily_Working_Do_Not_Delete!CM:CN,2,0))</f>
        <v>0.1227662037</v>
      </c>
      <c r="P80" s="149">
        <f>IFERROR(VLOOKUP(B80,Daily_Working_Do_Not_Delete!CK:CL,2,0))</f>
        <v>0.1564814815</v>
      </c>
      <c r="Q80" s="149">
        <f>IFERROR(VLOOKUP(B80,Daily_Working_Do_Not_Delete!CI:CJ,2,0))</f>
        <v>0.1484722222</v>
      </c>
      <c r="R80" s="149">
        <f>IFERROR(VLOOKUP(B80,Daily_Working_Do_Not_Delete!CG:CH,2,0))</f>
        <v>0.1862384259</v>
      </c>
      <c r="S80" s="149">
        <f>IFERROR(VLOOKUP(B80,Daily_Working_Do_Not_Delete!CE:CF,2,0))</f>
        <v>0.2118981481</v>
      </c>
      <c r="T80" s="149">
        <f>IFERROR(VLOOKUP(B80,Daily_Working_Do_Not_Delete!CC:CD,2,0))</f>
        <v>0.1700925926</v>
      </c>
      <c r="U80" s="149">
        <f>IFERROR(VLOOKUP(B80,Daily_Working_Do_Not_Delete!CA:CB,2,0))</f>
        <v>0.151087963</v>
      </c>
      <c r="V80" s="149">
        <f>IFERROR(VLOOKUP(B80,Daily_Working_Do_Not_Delete!BY:BZ,2,0))</f>
        <v>0.271712963</v>
      </c>
      <c r="W80" s="149">
        <f>IFERROR(VLOOKUP(B80,Daily_Working_Do_Not_Delete!BW:BX,2,0))</f>
        <v>0.3334953704</v>
      </c>
      <c r="X80" s="149">
        <f>IFERROR(VLOOKUP(B80,Daily_Working_Do_Not_Delete!BU:BV,2,0))</f>
        <v>0.3290046296</v>
      </c>
      <c r="Y80" s="149">
        <f>IFERROR(VLOOKUP(B80,Daily_Working_Do_Not_Delete!BS:BT,2,0))</f>
        <v>0.1877430556</v>
      </c>
      <c r="Z80" s="149">
        <f>IFERROR(VLOOKUP(B80,Daily_Working_Do_Not_Delete!BQ:BR,2,0))</f>
        <v>0.39375</v>
      </c>
      <c r="AA80" s="149">
        <f>IFERROR(VLOOKUP(B80,Daily_Working_Do_Not_Delete!BO:BP,2,0))</f>
        <v>0.1234953704</v>
      </c>
      <c r="AB80" s="149">
        <f>IFERROR(VLOOKUP(B80,Daily_Working_Do_Not_Delete!BM:BN,2,0))</f>
        <v>0.2244444444</v>
      </c>
      <c r="AC80" s="149">
        <f>IFERROR(VLOOKUP(B80,Daily_Working_Do_Not_Delete!BK:BL,2,0))</f>
        <v>0.1092708333</v>
      </c>
      <c r="AD80" s="149">
        <f>IFERROR(VLOOKUP(B80,Daily_Working_Do_Not_Delete!BI:BJ,2,0))</f>
        <v>0.03300925926</v>
      </c>
      <c r="AE80" s="149">
        <f>IFERROR(VLOOKUP(B80,Daily_Working_Do_Not_Delete!BG:BH,2,0))</f>
        <v>0.03071759259</v>
      </c>
      <c r="AF80" s="149">
        <f>IFERROR(VLOOKUP(B80,Daily_Working_Do_Not_Delete!BE:BF,2,0))</f>
        <v>0.03427083333</v>
      </c>
      <c r="AG80" s="149">
        <f>IFERROR(VLOOKUP(B80,Daily_Working_Do_Not_Delete!BC:BD,2,0))</f>
        <v>0.03163194444</v>
      </c>
      <c r="AH80" s="149">
        <f>IFERROR(VLOOKUP(B80,Daily_Working_Do_Not_Delete!BA:BB,2,0))</f>
        <v>0.03028935185</v>
      </c>
      <c r="AI80" s="149">
        <f>IFERROR(VLOOKUP(B80,Daily_Working_Do_Not_Delete!AY:AZ,2,0))</f>
        <v>0.0793287037</v>
      </c>
      <c r="AJ80" s="149">
        <f>IFERROR(VLOOKUP(B80,Daily_Working_Do_Not_Delete!AW:AX,2,0))</f>
        <v>0.001238425926</v>
      </c>
      <c r="AK80" s="149">
        <f>IFERROR(VLOOKUP(B80,Daily_Working_Do_Not_Delete!AU:AV,2,0))</f>
        <v>0.001678240741</v>
      </c>
      <c r="AL80" s="149" t="str">
        <f>IFERROR(VLOOKUP(B80,Daily_Working_Do_Not_Delete!AS:AT,2,0))</f>
        <v/>
      </c>
      <c r="AM80" s="149" t="str">
        <f>IFERROR(VLOOKUP(B80,Daily_Working_Do_Not_Delete!AQ:AR,2,0))</f>
        <v/>
      </c>
      <c r="AN80" s="149" t="str">
        <f>IFERROR(VLOOKUP(B80,Daily_Working_Do_Not_Delete!AO:AP,2,0))</f>
        <v/>
      </c>
      <c r="AO80" s="149" t="str">
        <f>IFERROR(VLOOKUP(B80,Daily_Working_Do_Not_Delete!AM:AN,2,0))</f>
        <v/>
      </c>
      <c r="AP80" s="149">
        <f>IFERROR(VLOOKUP(B80,Daily_Working_Do_Not_Delete!AK:AL,2,0))</f>
        <v>0</v>
      </c>
      <c r="AQ80" s="149" t="str">
        <f>IFERROR(VLOOKUP(B80,Daily_Working_Do_Not_Delete!AI:AJ,2,0))</f>
        <v/>
      </c>
      <c r="AR80" s="149" t="str">
        <f>IFERROR(VLOOKUP(B80,Daily_Working_Do_Not_Delete!AG:AH,2,0))</f>
        <v/>
      </c>
      <c r="AS80" s="149" t="str">
        <f>IFERROR(VLOOKUP(B80,Daily_Working_Do_Not_Delete!AE:AF,2,0))</f>
        <v/>
      </c>
      <c r="AT80" s="149" t="str">
        <f>IFERROR(VLOOKUP(B80,Daily_Working_Do_Not_Delete!AC:AD,2,0))</f>
        <v/>
      </c>
      <c r="AU80" s="149" t="str">
        <f>IFERROR(VLOOKUP(B80,Daily_Working_Do_Not_Delete!AA:AB,2,0))</f>
        <v/>
      </c>
      <c r="AV80" s="149" t="str">
        <f>IFERROR(VLOOKUP(B80,Daily_Working_Do_Not_Delete!Y:Z,2,0))</f>
        <v/>
      </c>
      <c r="AW80" s="149" t="str">
        <f>IFERROR(VLOOKUP(B80,Daily_Working_Do_Not_Delete!W:X,2,0))</f>
        <v/>
      </c>
      <c r="AX80" s="149" t="str">
        <f>IFERROR(VLOOKUP(B80,Daily_Working_Do_Not_Delete!U:V,2,0))</f>
        <v/>
      </c>
      <c r="AY80" s="149">
        <f>IFERROR(VLOOKUP(B80,Daily_Working_Do_Not_Delete!S:T,2,0))</f>
        <v>0.003263888889</v>
      </c>
      <c r="AZ80" s="149" t="str">
        <f>IFERROR(VLOOKUP(B80,Daily_Working_Do_Not_Delete!Q:R,2,0))</f>
        <v/>
      </c>
      <c r="BA80" s="149" t="str">
        <f>IFERROR(VLOOKUP(B80,Daily_Working_Do_Not_Delete!O:P,2,0))</f>
        <v/>
      </c>
      <c r="BB80" s="149" t="str">
        <f>IFERROR(VLOOKUP(B80,Daily_Working_Do_Not_Delete!M:N,2,0))</f>
        <v/>
      </c>
      <c r="BC80" s="149" t="str">
        <f>IFERROR(VLOOKUP(B80,Daily_Working_Do_Not_Delete!K:L,2,0))</f>
        <v/>
      </c>
      <c r="BD80" s="149" t="str">
        <f>IFERROR(VLOOKUP(B80,Daily_Working_Do_Not_Delete!I:J,2,0))</f>
        <v/>
      </c>
      <c r="BE80" s="149" t="str">
        <f>IFERROR(VLOOKUP(B80,Daily_Working_Do_Not_Delete!G:H,2,0))</f>
        <v/>
      </c>
      <c r="BF80" s="149" t="str">
        <f>IFERROR(VLOOKUP(B80,Daily_Working_Do_Not_Delete!E:F,2,0))</f>
        <v/>
      </c>
      <c r="BG80" s="149">
        <f>IFERROR(VLOOKUP(B80,Daily_Working_Do_Not_Delete!C:D,2,0))</f>
        <v>0.002199074074</v>
      </c>
      <c r="BH80" s="149" t="str">
        <f>IFERROR(VLOOKUP(B80,Daily_Working_Do_Not_Delete!A:B,2,0))</f>
        <v/>
      </c>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row>
    <row r="81">
      <c r="A81" s="146" t="s">
        <v>429</v>
      </c>
      <c r="B81" s="146" t="s">
        <v>430</v>
      </c>
      <c r="C81" s="137" t="s">
        <v>421</v>
      </c>
      <c r="D81" s="148">
        <f t="shared" si="3"/>
        <v>7.043703704</v>
      </c>
      <c r="E81" s="149">
        <f>IFERROR(VLOOKUP(B81,Daily_Working_Do_Not_Delete!DG:DH,2,0))</f>
        <v>2.139664352</v>
      </c>
      <c r="F81" s="149">
        <f>IFERROR(VLOOKUP(B81,Daily_Working_Do_Not_Delete!DE:DF,2,0))</f>
        <v>0.06644675926</v>
      </c>
      <c r="G81" s="149">
        <f>IFERROR(VLOOKUP(B81,Daily_Working_Do_Not_Delete!DC:DD,2,0))</f>
        <v>0.02141203704</v>
      </c>
      <c r="H81" s="149">
        <f>IFERROR(VLOOKUP(B81,Daily_Working_Do_Not_Delete!DA:DB,2,0))</f>
        <v>0.1098263889</v>
      </c>
      <c r="I81" s="149">
        <f>IFERROR(VLOOKUP(B81,Daily_Working_Do_Not_Delete!CY:CZ,2,0))</f>
        <v>0.06510416667</v>
      </c>
      <c r="J81" s="149">
        <f>IFERROR(VLOOKUP(B81,Daily_Working_Do_Not_Delete!CW:CX,2,0))</f>
        <v>0.08649305556</v>
      </c>
      <c r="K81" s="149">
        <f>IFERROR(VLOOKUP(B81,Daily_Working_Do_Not_Delete!CU:CV,2,0))</f>
        <v>0.04627314815</v>
      </c>
      <c r="L81" s="149">
        <f>IFERROR(VLOOKUP(B81,Daily_Working_Do_Not_Delete!CS:CT,2,0))</f>
        <v>0.07641203704</v>
      </c>
      <c r="M81" s="149">
        <f>IFERROR(VLOOKUP(B81,Daily_Working_Do_Not_Delete!CQ:CR,2,0))</f>
        <v>0.07913194444</v>
      </c>
      <c r="N81" s="149">
        <f>IFERROR(VLOOKUP(B81,Daily_Working_Do_Not_Delete!CO:CP,2,0))</f>
        <v>0.1635763889</v>
      </c>
      <c r="O81" s="149">
        <f>IFERROR(VLOOKUP(B81,Daily_Working_Do_Not_Delete!CM:CN,2,0))</f>
        <v>0.04975694444</v>
      </c>
      <c r="P81" s="149">
        <f>IFERROR(VLOOKUP(B81,Daily_Working_Do_Not_Delete!CK:CL,2,0))</f>
        <v>0.06936342593</v>
      </c>
      <c r="Q81" s="149">
        <f>IFERROR(VLOOKUP(B81,Daily_Working_Do_Not_Delete!CI:CJ,2,0))</f>
        <v>0.0881712963</v>
      </c>
      <c r="R81" s="149">
        <f>IFERROR(VLOOKUP(B81,Daily_Working_Do_Not_Delete!CG:CH,2,0))</f>
        <v>0.0428125</v>
      </c>
      <c r="S81" s="149">
        <f>IFERROR(VLOOKUP(B81,Daily_Working_Do_Not_Delete!CE:CF,2,0))</f>
        <v>0.2029861111</v>
      </c>
      <c r="T81" s="149">
        <f>IFERROR(VLOOKUP(B81,Daily_Working_Do_Not_Delete!CC:CD,2,0))</f>
        <v>0.1481365741</v>
      </c>
      <c r="U81" s="149">
        <f>IFERROR(VLOOKUP(B81,Daily_Working_Do_Not_Delete!CA:CB,2,0))</f>
        <v>0.04273148148</v>
      </c>
      <c r="V81" s="149">
        <f>IFERROR(VLOOKUP(B81,Daily_Working_Do_Not_Delete!BY:BZ,2,0))</f>
        <v>0.07273148148</v>
      </c>
      <c r="W81" s="149">
        <f>IFERROR(VLOOKUP(B81,Daily_Working_Do_Not_Delete!BW:BX,2,0))</f>
        <v>0.1313078704</v>
      </c>
      <c r="X81" s="149">
        <f>IFERROR(VLOOKUP(B81,Daily_Working_Do_Not_Delete!BU:BV,2,0))</f>
        <v>0.2189467593</v>
      </c>
      <c r="Y81" s="149">
        <f>IFERROR(VLOOKUP(B81,Daily_Working_Do_Not_Delete!BS:BT,2,0))</f>
        <v>0.2444212963</v>
      </c>
      <c r="Z81" s="149">
        <f>IFERROR(VLOOKUP(B81,Daily_Working_Do_Not_Delete!BQ:BR,2,0))</f>
        <v>0.2023842593</v>
      </c>
      <c r="AA81" s="149">
        <f>IFERROR(VLOOKUP(B81,Daily_Working_Do_Not_Delete!BO:BP,2,0))</f>
        <v>0.2981944444</v>
      </c>
      <c r="AB81" s="149">
        <f>IFERROR(VLOOKUP(B81,Daily_Working_Do_Not_Delete!BM:BN,2,0))</f>
        <v>0.3309606481</v>
      </c>
      <c r="AC81" s="149">
        <f>IFERROR(VLOOKUP(B81,Daily_Working_Do_Not_Delete!BK:BL,2,0))</f>
        <v>0.3425347222</v>
      </c>
      <c r="AD81" s="149">
        <f>IFERROR(VLOOKUP(B81,Daily_Working_Do_Not_Delete!BI:BJ,2,0))</f>
        <v>0.1941435185</v>
      </c>
      <c r="AE81" s="149">
        <f>IFERROR(VLOOKUP(B81,Daily_Working_Do_Not_Delete!BG:BH,2,0))</f>
        <v>0.1300347222</v>
      </c>
      <c r="AF81" s="149">
        <f>IFERROR(VLOOKUP(B81,Daily_Working_Do_Not_Delete!BE:BF,2,0))</f>
        <v>0.1545486111</v>
      </c>
      <c r="AG81" s="149">
        <f>IFERROR(VLOOKUP(B81,Daily_Working_Do_Not_Delete!BC:BD,2,0))</f>
        <v>0.2862037037</v>
      </c>
      <c r="AH81" s="149">
        <f>IFERROR(VLOOKUP(B81,Daily_Working_Do_Not_Delete!BA:BB,2,0))</f>
        <v>0.1390856481</v>
      </c>
      <c r="AI81" s="149">
        <f>IFERROR(VLOOKUP(B81,Daily_Working_Do_Not_Delete!AY:AZ,2,0))</f>
        <v>0.1089814815</v>
      </c>
      <c r="AJ81" s="149">
        <f>IFERROR(VLOOKUP(B81,Daily_Working_Do_Not_Delete!AW:AX,2,0))</f>
        <v>0.1961921296</v>
      </c>
      <c r="AK81" s="149">
        <f>IFERROR(VLOOKUP(B81,Daily_Working_Do_Not_Delete!AU:AV,2,0))</f>
        <v>0.1075694444</v>
      </c>
      <c r="AL81" s="149">
        <f>IFERROR(VLOOKUP(B81,Daily_Working_Do_Not_Delete!AS:AT,2,0))</f>
        <v>0.05649305556</v>
      </c>
      <c r="AM81" s="149">
        <f>IFERROR(VLOOKUP(B81,Daily_Working_Do_Not_Delete!AQ:AR,2,0))</f>
        <v>0.03998842593</v>
      </c>
      <c r="AN81" s="149">
        <f>IFERROR(VLOOKUP(B81,Daily_Working_Do_Not_Delete!AO:AP,2,0))</f>
        <v>0.1743402778</v>
      </c>
      <c r="AO81" s="149">
        <f>IFERROR(VLOOKUP(B81,Daily_Working_Do_Not_Delete!AM:AN,2,0))</f>
        <v>0.01846064815</v>
      </c>
      <c r="AP81" s="149">
        <f>IFERROR(VLOOKUP(B81,Daily_Working_Do_Not_Delete!AK:AL,2,0))</f>
        <v>0.01912037037</v>
      </c>
      <c r="AQ81" s="149">
        <f>IFERROR(VLOOKUP(B81,Daily_Working_Do_Not_Delete!AI:AJ,2,0))</f>
        <v>0.01423611111</v>
      </c>
      <c r="AR81" s="149" t="str">
        <f>IFERROR(VLOOKUP(B81,Daily_Working_Do_Not_Delete!AG:AH,2,0))</f>
        <v/>
      </c>
      <c r="AS81" s="149" t="str">
        <f>IFERROR(VLOOKUP(B81,Daily_Working_Do_Not_Delete!AE:AF,2,0))</f>
        <v/>
      </c>
      <c r="AT81" s="149" t="str">
        <f>IFERROR(VLOOKUP(B81,Daily_Working_Do_Not_Delete!AC:AD,2,0))</f>
        <v/>
      </c>
      <c r="AU81" s="149">
        <f>IFERROR(VLOOKUP(B81,Daily_Working_Do_Not_Delete!AA:AB,2,0))</f>
        <v>0.06452546296</v>
      </c>
      <c r="AV81" s="149" t="str">
        <f>IFERROR(VLOOKUP(B81,Daily_Working_Do_Not_Delete!Y:Z,2,0))</f>
        <v/>
      </c>
      <c r="AW81" s="149" t="str">
        <f>IFERROR(VLOOKUP(B81,Daily_Working_Do_Not_Delete!W:X,2,0))</f>
        <v/>
      </c>
      <c r="AX81" s="149" t="str">
        <f>IFERROR(VLOOKUP(B81,Daily_Working_Do_Not_Delete!U:V,2,0))</f>
        <v/>
      </c>
      <c r="AY81" s="149" t="str">
        <f>IFERROR(VLOOKUP(B81,Daily_Working_Do_Not_Delete!S:T,2,0))</f>
        <v/>
      </c>
      <c r="AZ81" s="149" t="str">
        <f>IFERROR(VLOOKUP(B81,Daily_Working_Do_Not_Delete!Q:R,2,0))</f>
        <v/>
      </c>
      <c r="BA81" s="149" t="str">
        <f>IFERROR(VLOOKUP(B81,Daily_Working_Do_Not_Delete!O:P,2,0))</f>
        <v/>
      </c>
      <c r="BB81" s="149" t="str">
        <f>IFERROR(VLOOKUP(B81,Daily_Working_Do_Not_Delete!M:N,2,0))</f>
        <v/>
      </c>
      <c r="BC81" s="149" t="str">
        <f>IFERROR(VLOOKUP(B81,Daily_Working_Do_Not_Delete!K:L,2,0))</f>
        <v/>
      </c>
      <c r="BD81" s="149" t="str">
        <f>IFERROR(VLOOKUP(B81,Daily_Working_Do_Not_Delete!I:J,2,0))</f>
        <v/>
      </c>
      <c r="BE81" s="149" t="str">
        <f>IFERROR(VLOOKUP(B81,Daily_Working_Do_Not_Delete!G:H,2,0))</f>
        <v/>
      </c>
      <c r="BF81" s="149" t="str">
        <f>IFERROR(VLOOKUP(B81,Daily_Working_Do_Not_Delete!E:F,2,0))</f>
        <v/>
      </c>
      <c r="BG81" s="149" t="str">
        <f>IFERROR(VLOOKUP(B81,Daily_Working_Do_Not_Delete!C:D,2,0))</f>
        <v/>
      </c>
      <c r="BH81" s="149" t="str">
        <f>IFERROR(VLOOKUP(B81,Daily_Working_Do_Not_Delete!A:B,2,0))</f>
        <v/>
      </c>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row>
    <row r="82">
      <c r="A82" s="151" t="s">
        <v>429</v>
      </c>
      <c r="B82" s="151" t="s">
        <v>101</v>
      </c>
      <c r="C82" s="152" t="s">
        <v>421</v>
      </c>
      <c r="D82" s="153">
        <f t="shared" si="3"/>
        <v>6.63806713</v>
      </c>
      <c r="E82" s="149">
        <f>IFERROR(VLOOKUP(B82,Daily_Working_Do_Not_Delete!DG:DH,2,0))</f>
        <v>3.13755787</v>
      </c>
      <c r="F82" s="149">
        <f>IFERROR(VLOOKUP(B82,Daily_Working_Do_Not_Delete!DE:DF,2,0))</f>
        <v>0.02393518519</v>
      </c>
      <c r="G82" s="149">
        <f>IFERROR(VLOOKUP(B82,Daily_Working_Do_Not_Delete!DC:DD,2,0))</f>
        <v>0.01523148148</v>
      </c>
      <c r="H82" s="149">
        <f>IFERROR(VLOOKUP(B82,Daily_Working_Do_Not_Delete!DA:DB,2,0))</f>
        <v>0.004780092593</v>
      </c>
      <c r="I82" s="149">
        <f>IFERROR(VLOOKUP(B82,Daily_Working_Do_Not_Delete!CY:CZ,2,0))</f>
        <v>0.0487962963</v>
      </c>
      <c r="J82" s="149" t="str">
        <f>IFERROR(VLOOKUP(B82,Daily_Working_Do_Not_Delete!CW:CX,2,0))</f>
        <v/>
      </c>
      <c r="K82" s="149">
        <f>IFERROR(VLOOKUP(B82,Daily_Working_Do_Not_Delete!CU:CV,2,0))</f>
        <v>0.0683912037</v>
      </c>
      <c r="L82" s="149">
        <f>IFERROR(VLOOKUP(B82,Daily_Working_Do_Not_Delete!CS:CT,2,0))</f>
        <v>0.0125</v>
      </c>
      <c r="M82" s="149" t="str">
        <f>IFERROR(VLOOKUP(B82,Daily_Working_Do_Not_Delete!CQ:CR,2,0))</f>
        <v/>
      </c>
      <c r="N82" s="149">
        <f>IFERROR(VLOOKUP(B82,Daily_Working_Do_Not_Delete!CO:CP,2,0))</f>
        <v>0.03929398148</v>
      </c>
      <c r="O82" s="149">
        <f>IFERROR(VLOOKUP(B82,Daily_Working_Do_Not_Delete!CM:CN,2,0))</f>
        <v>0.01875</v>
      </c>
      <c r="P82" s="149">
        <f>IFERROR(VLOOKUP(B82,Daily_Working_Do_Not_Delete!CK:CL,2,0))</f>
        <v>0.01018518519</v>
      </c>
      <c r="Q82" s="149">
        <f>IFERROR(VLOOKUP(B82,Daily_Working_Do_Not_Delete!CI:CJ,2,0))</f>
        <v>0.01289351852</v>
      </c>
      <c r="R82" s="149">
        <f>IFERROR(VLOOKUP(B82,Daily_Working_Do_Not_Delete!CG:CH,2,0))</f>
        <v>0.001597222222</v>
      </c>
      <c r="S82" s="149">
        <f>IFERROR(VLOOKUP(B82,Daily_Working_Do_Not_Delete!CE:CF,2,0))</f>
        <v>0.1127083333</v>
      </c>
      <c r="T82" s="149">
        <f>IFERROR(VLOOKUP(B82,Daily_Working_Do_Not_Delete!CC:CD,2,0))</f>
        <v>0.2377430556</v>
      </c>
      <c r="U82" s="149">
        <f>IFERROR(VLOOKUP(B82,Daily_Working_Do_Not_Delete!CA:CB,2,0))</f>
        <v>0.3614699074</v>
      </c>
      <c r="V82" s="149">
        <f>IFERROR(VLOOKUP(B82,Daily_Working_Do_Not_Delete!BY:BZ,2,0))</f>
        <v>0.2091782407</v>
      </c>
      <c r="W82" s="149">
        <f>IFERROR(VLOOKUP(B82,Daily_Working_Do_Not_Delete!BW:BX,2,0))</f>
        <v>0.1085763889</v>
      </c>
      <c r="X82" s="149">
        <f>IFERROR(VLOOKUP(B82,Daily_Working_Do_Not_Delete!BU:BV,2,0))</f>
        <v>0.1454166667</v>
      </c>
      <c r="Y82" s="149">
        <f>IFERROR(VLOOKUP(B82,Daily_Working_Do_Not_Delete!BS:BT,2,0))</f>
        <v>0.2083680556</v>
      </c>
      <c r="Z82" s="149">
        <f>IFERROR(VLOOKUP(B82,Daily_Working_Do_Not_Delete!BQ:BR,2,0))</f>
        <v>0.289537037</v>
      </c>
      <c r="AA82" s="149">
        <f>IFERROR(VLOOKUP(B82,Daily_Working_Do_Not_Delete!BO:BP,2,0))</f>
        <v>0.3552314815</v>
      </c>
      <c r="AB82" s="149">
        <f>IFERROR(VLOOKUP(B82,Daily_Working_Do_Not_Delete!BM:BN,2,0))</f>
        <v>0.3029398148</v>
      </c>
      <c r="AC82" s="149">
        <f>IFERROR(VLOOKUP(B82,Daily_Working_Do_Not_Delete!BK:BL,2,0))</f>
        <v>0.1056481481</v>
      </c>
      <c r="AD82" s="149">
        <f>IFERROR(VLOOKUP(B82,Daily_Working_Do_Not_Delete!BI:BJ,2,0))</f>
        <v>0.04762731481</v>
      </c>
      <c r="AE82" s="149">
        <f>IFERROR(VLOOKUP(B82,Daily_Working_Do_Not_Delete!BG:BH,2,0))</f>
        <v>0.01638888889</v>
      </c>
      <c r="AF82" s="149">
        <f>IFERROR(VLOOKUP(B82,Daily_Working_Do_Not_Delete!BE:BF,2,0))</f>
        <v>0.05484953704</v>
      </c>
      <c r="AG82" s="149">
        <f>IFERROR(VLOOKUP(B82,Daily_Working_Do_Not_Delete!BC:BD,2,0))</f>
        <v>0.04758101852</v>
      </c>
      <c r="AH82" s="149">
        <f>IFERROR(VLOOKUP(B82,Daily_Working_Do_Not_Delete!BA:BB,2,0))</f>
        <v>0.01921296296</v>
      </c>
      <c r="AI82" s="149">
        <f>IFERROR(VLOOKUP(B82,Daily_Working_Do_Not_Delete!AY:AZ,2,0))</f>
        <v>0.08646990741</v>
      </c>
      <c r="AJ82" s="149">
        <f>IFERROR(VLOOKUP(B82,Daily_Working_Do_Not_Delete!AW:AX,2,0))</f>
        <v>0.07641203704</v>
      </c>
      <c r="AK82" s="149">
        <f>IFERROR(VLOOKUP(B82,Daily_Working_Do_Not_Delete!AU:AV,2,0))</f>
        <v>0.09260416667</v>
      </c>
      <c r="AL82" s="149">
        <f>IFERROR(VLOOKUP(B82,Daily_Working_Do_Not_Delete!AS:AT,2,0))</f>
        <v>0.05399305556</v>
      </c>
      <c r="AM82" s="149">
        <f>IFERROR(VLOOKUP(B82,Daily_Working_Do_Not_Delete!AQ:AR,2,0))</f>
        <v>0.02340277778</v>
      </c>
      <c r="AN82" s="149">
        <f>IFERROR(VLOOKUP(B82,Daily_Working_Do_Not_Delete!AO:AP,2,0))</f>
        <v>0.1702546296</v>
      </c>
      <c r="AO82" s="149">
        <f>IFERROR(VLOOKUP(B82,Daily_Working_Do_Not_Delete!AM:AN,2,0))</f>
        <v>0.03797453704</v>
      </c>
      <c r="AP82" s="149">
        <f>IFERROR(VLOOKUP(B82,Daily_Working_Do_Not_Delete!AK:AL,2,0))</f>
        <v>0.000150462963</v>
      </c>
      <c r="AQ82" s="149" t="str">
        <f>IFERROR(VLOOKUP(B82,Daily_Working_Do_Not_Delete!AI:AJ,2,0))</f>
        <v/>
      </c>
      <c r="AR82" s="149" t="str">
        <f>IFERROR(VLOOKUP(B82,Daily_Working_Do_Not_Delete!AG:AH,2,0))</f>
        <v/>
      </c>
      <c r="AS82" s="149" t="str">
        <f>IFERROR(VLOOKUP(B82,Daily_Working_Do_Not_Delete!AE:AF,2,0))</f>
        <v/>
      </c>
      <c r="AT82" s="149" t="str">
        <f>IFERROR(VLOOKUP(B82,Daily_Working_Do_Not_Delete!AC:AD,2,0))</f>
        <v/>
      </c>
      <c r="AU82" s="149">
        <f>IFERROR(VLOOKUP(B82,Daily_Working_Do_Not_Delete!AA:AB,2,0))</f>
        <v>0.08021990741</v>
      </c>
      <c r="AV82" s="149">
        <f>IFERROR(VLOOKUP(B82,Daily_Working_Do_Not_Delete!Y:Z,2,0))</f>
        <v>0.0001967592593</v>
      </c>
      <c r="AW82" s="149" t="str">
        <f>IFERROR(VLOOKUP(B82,Daily_Working_Do_Not_Delete!W:X,2,0))</f>
        <v/>
      </c>
      <c r="AX82" s="149" t="str">
        <f>IFERROR(VLOOKUP(B82,Daily_Working_Do_Not_Delete!U:V,2,0))</f>
        <v/>
      </c>
      <c r="AY82" s="149" t="str">
        <f>IFERROR(VLOOKUP(B82,Daily_Working_Do_Not_Delete!S:T,2,0))</f>
        <v/>
      </c>
      <c r="AZ82" s="149" t="str">
        <f>IFERROR(VLOOKUP(B82,Daily_Working_Do_Not_Delete!Q:R,2,0))</f>
        <v/>
      </c>
      <c r="BA82" s="149" t="str">
        <f>IFERROR(VLOOKUP(B82,Daily_Working_Do_Not_Delete!O:P,2,0))</f>
        <v/>
      </c>
      <c r="BB82" s="149" t="str">
        <f>IFERROR(VLOOKUP(B82,Daily_Working_Do_Not_Delete!M:N,2,0))</f>
        <v/>
      </c>
      <c r="BC82" s="149" t="str">
        <f>IFERROR(VLOOKUP(B82,Daily_Working_Do_Not_Delete!K:L,2,0))</f>
        <v/>
      </c>
      <c r="BD82" s="149" t="str">
        <f>IFERROR(VLOOKUP(B82,Daily_Working_Do_Not_Delete!I:J,2,0))</f>
        <v/>
      </c>
      <c r="BE82" s="149" t="str">
        <f>IFERROR(VLOOKUP(B82,Daily_Working_Do_Not_Delete!G:H,2,0))</f>
        <v/>
      </c>
      <c r="BF82" s="149" t="str">
        <f>IFERROR(VLOOKUP(B82,Daily_Working_Do_Not_Delete!E:F,2,0))</f>
        <v/>
      </c>
      <c r="BG82" s="149" t="str">
        <f>IFERROR(VLOOKUP(B82,Daily_Working_Do_Not_Delete!C:D,2,0))</f>
        <v/>
      </c>
      <c r="BH82" s="149" t="str">
        <f>IFERROR(VLOOKUP(B82,Daily_Working_Do_Not_Delete!A:B,2,0))</f>
        <v/>
      </c>
      <c r="BI82" s="154"/>
      <c r="BJ82" s="154"/>
      <c r="BK82" s="154"/>
      <c r="BL82" s="154"/>
      <c r="BM82" s="154"/>
      <c r="BN82" s="154"/>
      <c r="BO82" s="154"/>
      <c r="BP82" s="154"/>
      <c r="BQ82" s="154"/>
      <c r="BR82" s="154"/>
      <c r="BS82" s="154"/>
      <c r="BT82" s="154"/>
      <c r="BU82" s="154"/>
      <c r="BV82" s="154"/>
      <c r="BW82" s="154"/>
      <c r="BX82" s="154"/>
      <c r="BY82" s="154"/>
      <c r="BZ82" s="154"/>
      <c r="CA82" s="154"/>
      <c r="CB82" s="154"/>
      <c r="CC82" s="154"/>
      <c r="CD82" s="154"/>
      <c r="CE82" s="154"/>
      <c r="CF82" s="154"/>
      <c r="CG82" s="155"/>
      <c r="CH82" s="155"/>
      <c r="CI82" s="155"/>
      <c r="CJ82" s="155"/>
      <c r="CK82" s="155"/>
      <c r="CL82" s="155"/>
      <c r="CM82" s="155"/>
      <c r="CN82" s="155"/>
      <c r="CO82" s="155"/>
      <c r="CP82" s="155"/>
      <c r="CQ82" s="155"/>
      <c r="CR82" s="155"/>
      <c r="CS82" s="155"/>
      <c r="CT82" s="155"/>
      <c r="CU82" s="155"/>
      <c r="CV82" s="155"/>
      <c r="CW82" s="155"/>
      <c r="CX82" s="155"/>
      <c r="CY82" s="155"/>
      <c r="CZ82" s="155"/>
      <c r="DA82" s="155"/>
      <c r="DB82" s="155"/>
      <c r="DC82" s="155"/>
      <c r="DD82" s="155"/>
      <c r="DE82" s="155"/>
      <c r="DF82" s="155"/>
      <c r="DG82" s="155"/>
      <c r="DH82" s="155"/>
      <c r="DI82" s="155"/>
      <c r="DJ82" s="155"/>
      <c r="DK82" s="155"/>
      <c r="DL82" s="155"/>
      <c r="DM82" s="155"/>
      <c r="DN82" s="155"/>
      <c r="DO82" s="155"/>
      <c r="DP82" s="155"/>
      <c r="DQ82" s="155"/>
      <c r="DR82" s="155"/>
      <c r="DS82" s="155"/>
      <c r="DT82" s="155"/>
      <c r="DU82" s="155"/>
      <c r="DV82" s="155"/>
      <c r="DW82" s="155"/>
      <c r="DX82" s="155"/>
      <c r="DY82" s="155"/>
      <c r="DZ82" s="155"/>
      <c r="EA82" s="155"/>
      <c r="EB82" s="155"/>
      <c r="EC82" s="155"/>
      <c r="ED82" s="155"/>
      <c r="EE82" s="155"/>
      <c r="EF82" s="155"/>
      <c r="EG82" s="155"/>
      <c r="EH82" s="155"/>
      <c r="EI82" s="155"/>
      <c r="EJ82" s="155"/>
      <c r="EK82" s="155"/>
      <c r="EL82" s="155"/>
      <c r="EM82" s="155"/>
      <c r="EN82" s="155"/>
      <c r="EO82" s="155"/>
      <c r="EP82" s="155"/>
      <c r="EQ82" s="155"/>
      <c r="ER82" s="155"/>
      <c r="ES82" s="155"/>
      <c r="ET82" s="155"/>
      <c r="EU82" s="155"/>
      <c r="EV82" s="155"/>
      <c r="EW82" s="155"/>
      <c r="EX82" s="155"/>
      <c r="EY82" s="155"/>
      <c r="EZ82" s="155"/>
      <c r="FA82" s="155"/>
      <c r="FB82" s="155"/>
      <c r="FC82" s="155"/>
      <c r="FD82" s="155"/>
      <c r="FE82" s="155"/>
      <c r="FF82" s="155"/>
      <c r="FG82" s="155"/>
      <c r="FH82" s="155"/>
      <c r="FI82" s="155"/>
      <c r="FJ82" s="155"/>
      <c r="FK82" s="155"/>
      <c r="FL82" s="155"/>
      <c r="FM82" s="155"/>
      <c r="FN82" s="155"/>
      <c r="FO82" s="155"/>
      <c r="FP82" s="155"/>
      <c r="FQ82" s="155"/>
      <c r="FR82" s="155"/>
      <c r="FS82" s="155"/>
      <c r="FT82" s="155"/>
      <c r="FU82" s="155"/>
      <c r="FV82" s="155"/>
      <c r="FW82" s="155"/>
      <c r="FX82" s="155"/>
      <c r="FY82" s="155"/>
      <c r="FZ82" s="155"/>
      <c r="GA82" s="155"/>
      <c r="GB82" s="155"/>
      <c r="GC82" s="155"/>
      <c r="GD82" s="155"/>
      <c r="GE82" s="155"/>
      <c r="GF82" s="155"/>
      <c r="GG82" s="155"/>
      <c r="GH82" s="155"/>
      <c r="GI82" s="155"/>
      <c r="GJ82" s="155"/>
      <c r="GK82" s="155"/>
      <c r="GL82" s="155"/>
      <c r="GM82" s="155"/>
      <c r="GN82" s="155"/>
      <c r="GO82" s="155"/>
      <c r="GP82" s="155"/>
      <c r="GQ82" s="155"/>
      <c r="GR82" s="155"/>
      <c r="GS82" s="155"/>
      <c r="GT82" s="155"/>
      <c r="GU82" s="155"/>
      <c r="GV82" s="155"/>
      <c r="GW82" s="155"/>
      <c r="GX82" s="155"/>
      <c r="GY82" s="155"/>
      <c r="GZ82" s="155"/>
      <c r="HA82" s="155"/>
      <c r="HB82" s="155"/>
      <c r="HC82" s="155"/>
      <c r="HD82" s="155"/>
      <c r="HE82" s="155"/>
      <c r="HF82" s="155"/>
      <c r="HG82" s="155"/>
      <c r="HH82" s="155"/>
      <c r="HI82" s="155"/>
      <c r="HJ82" s="155"/>
      <c r="HK82" s="155"/>
      <c r="HL82" s="155"/>
      <c r="HM82" s="155"/>
      <c r="HN82" s="155"/>
      <c r="HO82" s="155"/>
      <c r="HP82" s="155"/>
      <c r="HQ82" s="155"/>
      <c r="HR82" s="155"/>
      <c r="HS82" s="155"/>
      <c r="HT82" s="155"/>
      <c r="HU82" s="155"/>
      <c r="HV82" s="155"/>
      <c r="HW82" s="155"/>
      <c r="HX82" s="155"/>
      <c r="HY82" s="155"/>
      <c r="HZ82" s="155"/>
      <c r="IA82" s="155"/>
      <c r="IB82" s="155"/>
      <c r="IC82" s="155"/>
      <c r="ID82" s="155"/>
      <c r="IE82" s="155"/>
      <c r="IF82" s="155"/>
      <c r="IG82" s="155"/>
      <c r="IH82" s="155"/>
    </row>
    <row r="83">
      <c r="A83" s="146" t="s">
        <v>429</v>
      </c>
      <c r="B83" s="146" t="s">
        <v>102</v>
      </c>
      <c r="C83" s="137" t="s">
        <v>421</v>
      </c>
      <c r="D83" s="148">
        <f t="shared" si="3"/>
        <v>6.751990741</v>
      </c>
      <c r="E83" s="149">
        <f>IFERROR(VLOOKUP(B83,Daily_Working_Do_Not_Delete!DG:DH,2,0))</f>
        <v>3.139826389</v>
      </c>
      <c r="F83" s="149">
        <f>IFERROR(VLOOKUP(B83,Daily_Working_Do_Not_Delete!DE:DF,2,0))</f>
        <v>0.5332407407</v>
      </c>
      <c r="G83" s="149">
        <f>IFERROR(VLOOKUP(B83,Daily_Working_Do_Not_Delete!DC:DD,2,0))</f>
        <v>0.2625694444</v>
      </c>
      <c r="H83" s="149">
        <f>IFERROR(VLOOKUP(B83,Daily_Working_Do_Not_Delete!DA:DB,2,0))</f>
        <v>0.4559143519</v>
      </c>
      <c r="I83" s="149">
        <f>IFERROR(VLOOKUP(B83,Daily_Working_Do_Not_Delete!CY:CZ,2,0))</f>
        <v>0.492037037</v>
      </c>
      <c r="J83" s="149">
        <f>IFERROR(VLOOKUP(B83,Daily_Working_Do_Not_Delete!CW:CX,2,0))</f>
        <v>0.3861458333</v>
      </c>
      <c r="K83" s="149">
        <f>IFERROR(VLOOKUP(B83,Daily_Working_Do_Not_Delete!CU:CV,2,0))</f>
        <v>0.3109837963</v>
      </c>
      <c r="L83" s="149">
        <f>IFERROR(VLOOKUP(B83,Daily_Working_Do_Not_Delete!CS:CT,2,0))</f>
        <v>0.1733564815</v>
      </c>
      <c r="M83" s="149">
        <f>IFERROR(VLOOKUP(B83,Daily_Working_Do_Not_Delete!CQ:CR,2,0))</f>
        <v>0.2652777778</v>
      </c>
      <c r="N83" s="149">
        <f>IFERROR(VLOOKUP(B83,Daily_Working_Do_Not_Delete!CO:CP,2,0))</f>
        <v>0.1503125</v>
      </c>
      <c r="O83" s="149">
        <f>IFERROR(VLOOKUP(B83,Daily_Working_Do_Not_Delete!CM:CN,2,0))</f>
        <v>0.1222916667</v>
      </c>
      <c r="P83" s="149">
        <f>IFERROR(VLOOKUP(B83,Daily_Working_Do_Not_Delete!CK:CL,2,0))</f>
        <v>0.1068518519</v>
      </c>
      <c r="Q83" s="149">
        <f>IFERROR(VLOOKUP(B83,Daily_Working_Do_Not_Delete!CI:CJ,2,0))</f>
        <v>0.1138657407</v>
      </c>
      <c r="R83" s="149">
        <f>IFERROR(VLOOKUP(B83,Daily_Working_Do_Not_Delete!CG:CH,2,0))</f>
        <v>0.01604166667</v>
      </c>
      <c r="S83" s="149">
        <f>IFERROR(VLOOKUP(B83,Daily_Working_Do_Not_Delete!CE:CF,2,0))</f>
        <v>0.0421412037</v>
      </c>
      <c r="T83" s="149">
        <f>IFERROR(VLOOKUP(B83,Daily_Working_Do_Not_Delete!CC:CD,2,0))</f>
        <v>0.02236111111</v>
      </c>
      <c r="U83" s="149">
        <f>IFERROR(VLOOKUP(B83,Daily_Working_Do_Not_Delete!CA:CB,2,0))</f>
        <v>0.01318287037</v>
      </c>
      <c r="V83" s="149">
        <f>IFERROR(VLOOKUP(B83,Daily_Working_Do_Not_Delete!BY:BZ,2,0))</f>
        <v>0.01298611111</v>
      </c>
      <c r="W83" s="149">
        <f>IFERROR(VLOOKUP(B83,Daily_Working_Do_Not_Delete!BW:BX,2,0))</f>
        <v>0.0137037037</v>
      </c>
      <c r="X83" s="149">
        <f>IFERROR(VLOOKUP(B83,Daily_Working_Do_Not_Delete!BU:BV,2,0))</f>
        <v>0.01456018519</v>
      </c>
      <c r="Y83" s="149">
        <f>IFERROR(VLOOKUP(B83,Daily_Working_Do_Not_Delete!BS:BT,2,0))</f>
        <v>0.03383101852</v>
      </c>
      <c r="Z83" s="149">
        <f>IFERROR(VLOOKUP(B83,Daily_Working_Do_Not_Delete!BQ:BR,2,0))</f>
        <v>0.03258101852</v>
      </c>
      <c r="AA83" s="149">
        <f>IFERROR(VLOOKUP(B83,Daily_Working_Do_Not_Delete!BO:BP,2,0))</f>
        <v>0.0053125</v>
      </c>
      <c r="AB83" s="149">
        <f>IFERROR(VLOOKUP(B83,Daily_Working_Do_Not_Delete!BM:BN,2,0))</f>
        <v>0.005613425926</v>
      </c>
      <c r="AC83" s="149">
        <f>IFERROR(VLOOKUP(B83,Daily_Working_Do_Not_Delete!BK:BL,2,0))</f>
        <v>0.01199074074</v>
      </c>
      <c r="AD83" s="149" t="str">
        <f>IFERROR(VLOOKUP(B83,Daily_Working_Do_Not_Delete!BI:BJ,2,0))</f>
        <v/>
      </c>
      <c r="AE83" s="149">
        <f>IFERROR(VLOOKUP(B83,Daily_Working_Do_Not_Delete!BG:BH,2,0))</f>
        <v>0.002268518519</v>
      </c>
      <c r="AF83" s="149">
        <f>IFERROR(VLOOKUP(B83,Daily_Working_Do_Not_Delete!BE:BF,2,0))</f>
        <v>0.01274305556</v>
      </c>
      <c r="AG83" s="149" t="str">
        <f>IFERROR(VLOOKUP(B83,Daily_Working_Do_Not_Delete!BC:BD,2,0))</f>
        <v/>
      </c>
      <c r="AH83" s="149" t="str">
        <f>IFERROR(VLOOKUP(B83,Daily_Working_Do_Not_Delete!BA:BB,2,0))</f>
        <v/>
      </c>
      <c r="AI83" s="149" t="str">
        <f>IFERROR(VLOOKUP(B83,Daily_Working_Do_Not_Delete!AY:AZ,2,0))</f>
        <v/>
      </c>
      <c r="AJ83" s="149" t="str">
        <f>IFERROR(VLOOKUP(B83,Daily_Working_Do_Not_Delete!AW:AX,2,0))</f>
        <v/>
      </c>
      <c r="AK83" s="149" t="str">
        <f>IFERROR(VLOOKUP(B83,Daily_Working_Do_Not_Delete!AU:AV,2,0))</f>
        <v/>
      </c>
      <c r="AL83" s="149" t="str">
        <f>IFERROR(VLOOKUP(B83,Daily_Working_Do_Not_Delete!AS:AT,2,0))</f>
        <v/>
      </c>
      <c r="AM83" s="149" t="str">
        <f>IFERROR(VLOOKUP(B83,Daily_Working_Do_Not_Delete!AQ:AR,2,0))</f>
        <v/>
      </c>
      <c r="AN83" s="149" t="str">
        <f>IFERROR(VLOOKUP(B83,Daily_Working_Do_Not_Delete!AO:AP,2,0))</f>
        <v/>
      </c>
      <c r="AO83" s="149" t="str">
        <f>IFERROR(VLOOKUP(B83,Daily_Working_Do_Not_Delete!AM:AN,2,0))</f>
        <v/>
      </c>
      <c r="AP83" s="149" t="str">
        <f>IFERROR(VLOOKUP(B83,Daily_Working_Do_Not_Delete!AK:AL,2,0))</f>
        <v/>
      </c>
      <c r="AQ83" s="149" t="str">
        <f>IFERROR(VLOOKUP(B83,Daily_Working_Do_Not_Delete!AI:AJ,2,0))</f>
        <v/>
      </c>
      <c r="AR83" s="149" t="str">
        <f>IFERROR(VLOOKUP(B83,Daily_Working_Do_Not_Delete!AG:AH,2,0))</f>
        <v/>
      </c>
      <c r="AS83" s="149" t="str">
        <f>IFERROR(VLOOKUP(B83,Daily_Working_Do_Not_Delete!AE:AF,2,0))</f>
        <v/>
      </c>
      <c r="AT83" s="149" t="str">
        <f>IFERROR(VLOOKUP(B83,Daily_Working_Do_Not_Delete!AC:AD,2,0))</f>
        <v/>
      </c>
      <c r="AU83" s="149" t="str">
        <f>IFERROR(VLOOKUP(B83,Daily_Working_Do_Not_Delete!AA:AB,2,0))</f>
        <v/>
      </c>
      <c r="AV83" s="149" t="str">
        <f>IFERROR(VLOOKUP(B83,Daily_Working_Do_Not_Delete!Y:Z,2,0))</f>
        <v/>
      </c>
      <c r="AW83" s="149" t="str">
        <f>IFERROR(VLOOKUP(B83,Daily_Working_Do_Not_Delete!W:X,2,0))</f>
        <v/>
      </c>
      <c r="AX83" s="149" t="str">
        <f>IFERROR(VLOOKUP(B83,Daily_Working_Do_Not_Delete!U:V,2,0))</f>
        <v/>
      </c>
      <c r="AY83" s="149" t="str">
        <f>IFERROR(VLOOKUP(B83,Daily_Working_Do_Not_Delete!S:T,2,0))</f>
        <v/>
      </c>
      <c r="AZ83" s="149" t="str">
        <f>IFERROR(VLOOKUP(B83,Daily_Working_Do_Not_Delete!Q:R,2,0))</f>
        <v/>
      </c>
      <c r="BA83" s="149" t="str">
        <f>IFERROR(VLOOKUP(B83,Daily_Working_Do_Not_Delete!O:P,2,0))</f>
        <v/>
      </c>
      <c r="BB83" s="149" t="str">
        <f>IFERROR(VLOOKUP(B83,Daily_Working_Do_Not_Delete!M:N,2,0))</f>
        <v/>
      </c>
      <c r="BC83" s="149" t="str">
        <f>IFERROR(VLOOKUP(B83,Daily_Working_Do_Not_Delete!K:L,2,0))</f>
        <v/>
      </c>
      <c r="BD83" s="149" t="str">
        <f>IFERROR(VLOOKUP(B83,Daily_Working_Do_Not_Delete!I:J,2,0))</f>
        <v/>
      </c>
      <c r="BE83" s="149" t="str">
        <f>IFERROR(VLOOKUP(B83,Daily_Working_Do_Not_Delete!G:H,2,0))</f>
        <v/>
      </c>
      <c r="BF83" s="149" t="str">
        <f>IFERROR(VLOOKUP(B83,Daily_Working_Do_Not_Delete!E:F,2,0))</f>
        <v/>
      </c>
      <c r="BG83" s="149" t="str">
        <f>IFERROR(VLOOKUP(B83,Daily_Working_Do_Not_Delete!C:D,2,0))</f>
        <v/>
      </c>
      <c r="BH83" s="149" t="str">
        <f>IFERROR(VLOOKUP(B83,Daily_Working_Do_Not_Delete!A:B,2,0))</f>
        <v/>
      </c>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row>
    <row r="84">
      <c r="A84" s="146" t="s">
        <v>429</v>
      </c>
      <c r="B84" s="146" t="s">
        <v>29</v>
      </c>
      <c r="C84" s="137" t="s">
        <v>421</v>
      </c>
      <c r="D84" s="148">
        <f t="shared" si="3"/>
        <v>8.445856481</v>
      </c>
      <c r="E84" s="149">
        <f>IFERROR(VLOOKUP(B84,Daily_Working_Do_Not_Delete!DG:DH,2,0))</f>
        <v>5.544224537</v>
      </c>
      <c r="F84" s="149">
        <f>IFERROR(VLOOKUP(B84,Daily_Working_Do_Not_Delete!DE:DF,2,0))</f>
        <v>0.1091435185</v>
      </c>
      <c r="G84" s="149">
        <f>IFERROR(VLOOKUP(B84,Daily_Working_Do_Not_Delete!DC:DD,2,0))</f>
        <v>0.1286689815</v>
      </c>
      <c r="H84" s="149">
        <f>IFERROR(VLOOKUP(B84,Daily_Working_Do_Not_Delete!DA:DB,2,0))</f>
        <v>0.1876851852</v>
      </c>
      <c r="I84" s="149">
        <f>IFERROR(VLOOKUP(B84,Daily_Working_Do_Not_Delete!CY:CZ,2,0))</f>
        <v>0.2806597222</v>
      </c>
      <c r="J84" s="149">
        <f>IFERROR(VLOOKUP(B84,Daily_Working_Do_Not_Delete!CW:CX,2,0))</f>
        <v>0.2579513889</v>
      </c>
      <c r="K84" s="149">
        <f>IFERROR(VLOOKUP(B84,Daily_Working_Do_Not_Delete!CU:CV,2,0))</f>
        <v>0.2997800926</v>
      </c>
      <c r="L84" s="149">
        <f>IFERROR(VLOOKUP(B84,Daily_Working_Do_Not_Delete!CS:CT,2,0))</f>
        <v>0.07318287037</v>
      </c>
      <c r="M84" s="149">
        <f>IFERROR(VLOOKUP(B84,Daily_Working_Do_Not_Delete!CQ:CR,2,0))</f>
        <v>0.1066898148</v>
      </c>
      <c r="N84" s="149">
        <f>IFERROR(VLOOKUP(B84,Daily_Working_Do_Not_Delete!CO:CP,2,0))</f>
        <v>0.07236111111</v>
      </c>
      <c r="O84" s="149">
        <f>IFERROR(VLOOKUP(B84,Daily_Working_Do_Not_Delete!CM:CN,2,0))</f>
        <v>0.01846064815</v>
      </c>
      <c r="P84" s="149">
        <f>IFERROR(VLOOKUP(B84,Daily_Working_Do_Not_Delete!CK:CL,2,0))</f>
        <v>0.05769675926</v>
      </c>
      <c r="Q84" s="149">
        <f>IFERROR(VLOOKUP(B84,Daily_Working_Do_Not_Delete!CI:CJ,2,0))</f>
        <v>0.07390046296</v>
      </c>
      <c r="R84" s="149">
        <f>IFERROR(VLOOKUP(B84,Daily_Working_Do_Not_Delete!CG:CH,2,0))</f>
        <v>0.03331018519</v>
      </c>
      <c r="S84" s="149">
        <f>IFERROR(VLOOKUP(B84,Daily_Working_Do_Not_Delete!CE:CF,2,0))</f>
        <v>0.1149652778</v>
      </c>
      <c r="T84" s="149">
        <f>IFERROR(VLOOKUP(B84,Daily_Working_Do_Not_Delete!CC:CD,2,0))</f>
        <v>0.09638888889</v>
      </c>
      <c r="U84" s="149">
        <f>IFERROR(VLOOKUP(B84,Daily_Working_Do_Not_Delete!CA:CB,2,0))</f>
        <v>0.01806712963</v>
      </c>
      <c r="V84" s="149">
        <f>IFERROR(VLOOKUP(B84,Daily_Working_Do_Not_Delete!BY:BZ,2,0))</f>
        <v>0.02086805556</v>
      </c>
      <c r="W84" s="149">
        <f>IFERROR(VLOOKUP(B84,Daily_Working_Do_Not_Delete!BW:BX,2,0))</f>
        <v>0.09913194444</v>
      </c>
      <c r="X84" s="149">
        <f>IFERROR(VLOOKUP(B84,Daily_Working_Do_Not_Delete!BU:BV,2,0))</f>
        <v>0.0584375</v>
      </c>
      <c r="Y84" s="149">
        <f>IFERROR(VLOOKUP(B84,Daily_Working_Do_Not_Delete!BS:BT,2,0))</f>
        <v>0.1550231481</v>
      </c>
      <c r="Z84" s="149">
        <f>IFERROR(VLOOKUP(B84,Daily_Working_Do_Not_Delete!BQ:BR,2,0))</f>
        <v>0.1604166667</v>
      </c>
      <c r="AA84" s="149">
        <f>IFERROR(VLOOKUP(B84,Daily_Working_Do_Not_Delete!BO:BP,2,0))</f>
        <v>0.07240740741</v>
      </c>
      <c r="AB84" s="149">
        <f>IFERROR(VLOOKUP(B84,Daily_Working_Do_Not_Delete!BM:BN,2,0))</f>
        <v>0.04041666667</v>
      </c>
      <c r="AC84" s="149">
        <f>IFERROR(VLOOKUP(B84,Daily_Working_Do_Not_Delete!BK:BL,2,0))</f>
        <v>0.04638888889</v>
      </c>
      <c r="AD84" s="149">
        <f>IFERROR(VLOOKUP(B84,Daily_Working_Do_Not_Delete!BI:BJ,2,0))</f>
        <v>0.1055092593</v>
      </c>
      <c r="AE84" s="149">
        <f>IFERROR(VLOOKUP(B84,Daily_Working_Do_Not_Delete!BG:BH,2,0))</f>
        <v>0.1362384259</v>
      </c>
      <c r="AF84" s="149">
        <f>IFERROR(VLOOKUP(B84,Daily_Working_Do_Not_Delete!BE:BF,2,0))</f>
        <v>0.04832175926</v>
      </c>
      <c r="AG84" s="149">
        <f>IFERROR(VLOOKUP(B84,Daily_Working_Do_Not_Delete!BC:BD,2,0))</f>
        <v>0.005416666667</v>
      </c>
      <c r="AH84" s="149">
        <f>IFERROR(VLOOKUP(B84,Daily_Working_Do_Not_Delete!BA:BB,2,0))</f>
        <v>0.01648148148</v>
      </c>
      <c r="AI84" s="149" t="str">
        <f>IFERROR(VLOOKUP(B84,Daily_Working_Do_Not_Delete!AY:AZ,2,0))</f>
        <v/>
      </c>
      <c r="AJ84" s="149">
        <f>IFERROR(VLOOKUP(B84,Daily_Working_Do_Not_Delete!AW:AX,2,0))</f>
        <v>0.004606481481</v>
      </c>
      <c r="AK84" s="149">
        <f>IFERROR(VLOOKUP(B84,Daily_Working_Do_Not_Delete!AU:AV,2,0))</f>
        <v>0.000150462963</v>
      </c>
      <c r="AL84" s="149" t="str">
        <f>IFERROR(VLOOKUP(B84,Daily_Working_Do_Not_Delete!AS:AT,2,0))</f>
        <v/>
      </c>
      <c r="AM84" s="149">
        <f>IFERROR(VLOOKUP(B84,Daily_Working_Do_Not_Delete!AQ:AR,2,0))</f>
        <v>0.001435185185</v>
      </c>
      <c r="AN84" s="149">
        <f>IFERROR(VLOOKUP(B84,Daily_Working_Do_Not_Delete!AO:AP,2,0))</f>
        <v>0.001469907407</v>
      </c>
      <c r="AO84" s="149" t="str">
        <f>IFERROR(VLOOKUP(B84,Daily_Working_Do_Not_Delete!AM:AN,2,0))</f>
        <v/>
      </c>
      <c r="AP84" s="149" t="str">
        <f>IFERROR(VLOOKUP(B84,Daily_Working_Do_Not_Delete!AK:AL,2,0))</f>
        <v/>
      </c>
      <c r="AQ84" s="149" t="str">
        <f>IFERROR(VLOOKUP(B84,Daily_Working_Do_Not_Delete!AI:AJ,2,0))</f>
        <v/>
      </c>
      <c r="AR84" s="149" t="str">
        <f>IFERROR(VLOOKUP(B84,Daily_Working_Do_Not_Delete!AG:AH,2,0))</f>
        <v/>
      </c>
      <c r="AS84" s="149" t="str">
        <f>IFERROR(VLOOKUP(B84,Daily_Working_Do_Not_Delete!AE:AF,2,0))</f>
        <v/>
      </c>
      <c r="AT84" s="149" t="str">
        <f>IFERROR(VLOOKUP(B84,Daily_Working_Do_Not_Delete!AC:AD,2,0))</f>
        <v/>
      </c>
      <c r="AU84" s="149" t="str">
        <f>IFERROR(VLOOKUP(B84,Daily_Working_Do_Not_Delete!AA:AB,2,0))</f>
        <v/>
      </c>
      <c r="AV84" s="149" t="str">
        <f>IFERROR(VLOOKUP(B84,Daily_Working_Do_Not_Delete!Y:Z,2,0))</f>
        <v/>
      </c>
      <c r="AW84" s="149" t="str">
        <f>IFERROR(VLOOKUP(B84,Daily_Working_Do_Not_Delete!W:X,2,0))</f>
        <v/>
      </c>
      <c r="AX84" s="149" t="str">
        <f>IFERROR(VLOOKUP(B84,Daily_Working_Do_Not_Delete!U:V,2,0))</f>
        <v/>
      </c>
      <c r="AY84" s="149" t="str">
        <f>IFERROR(VLOOKUP(B84,Daily_Working_Do_Not_Delete!S:T,2,0))</f>
        <v/>
      </c>
      <c r="AZ84" s="149" t="str">
        <f>IFERROR(VLOOKUP(B84,Daily_Working_Do_Not_Delete!Q:R,2,0))</f>
        <v/>
      </c>
      <c r="BA84" s="149" t="str">
        <f>IFERROR(VLOOKUP(B84,Daily_Working_Do_Not_Delete!O:P,2,0))</f>
        <v/>
      </c>
      <c r="BB84" s="149" t="str">
        <f>IFERROR(VLOOKUP(B84,Daily_Working_Do_Not_Delete!M:N,2,0))</f>
        <v/>
      </c>
      <c r="BC84" s="149" t="str">
        <f>IFERROR(VLOOKUP(B84,Daily_Working_Do_Not_Delete!K:L,2,0))</f>
        <v/>
      </c>
      <c r="BD84" s="149" t="str">
        <f>IFERROR(VLOOKUP(B84,Daily_Working_Do_Not_Delete!I:J,2,0))</f>
        <v/>
      </c>
      <c r="BE84" s="149" t="str">
        <f>IFERROR(VLOOKUP(B84,Daily_Working_Do_Not_Delete!G:H,2,0))</f>
        <v/>
      </c>
      <c r="BF84" s="149" t="str">
        <f>IFERROR(VLOOKUP(B84,Daily_Working_Do_Not_Delete!E:F,2,0))</f>
        <v/>
      </c>
      <c r="BG84" s="149" t="str">
        <f>IFERROR(VLOOKUP(B84,Daily_Working_Do_Not_Delete!C:D,2,0))</f>
        <v/>
      </c>
      <c r="BH84" s="149" t="str">
        <f>IFERROR(VLOOKUP(B84,Daily_Working_Do_Not_Delete!A:B,2,0))</f>
        <v/>
      </c>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row>
    <row r="85">
      <c r="A85" s="146" t="s">
        <v>429</v>
      </c>
      <c r="B85" s="146" t="s">
        <v>103</v>
      </c>
      <c r="C85" s="137" t="s">
        <v>421</v>
      </c>
      <c r="D85" s="148">
        <f t="shared" si="3"/>
        <v>7.737766204</v>
      </c>
      <c r="E85" s="149">
        <f>IFERROR(VLOOKUP(B85,Daily_Working_Do_Not_Delete!DG:DH,2,0))</f>
        <v>1.932037037</v>
      </c>
      <c r="F85" s="149">
        <f>IFERROR(VLOOKUP(B85,Daily_Working_Do_Not_Delete!DE:DF,2,0))</f>
        <v>0.06773148148</v>
      </c>
      <c r="G85" s="149">
        <f>IFERROR(VLOOKUP(B85,Daily_Working_Do_Not_Delete!DC:DD,2,0))</f>
        <v>0.1336111111</v>
      </c>
      <c r="H85" s="149">
        <f>IFERROR(VLOOKUP(B85,Daily_Working_Do_Not_Delete!DA:DB,2,0))</f>
        <v>0.05946759259</v>
      </c>
      <c r="I85" s="149">
        <f>IFERROR(VLOOKUP(B85,Daily_Working_Do_Not_Delete!CY:CZ,2,0))</f>
        <v>0.06277777778</v>
      </c>
      <c r="J85" s="149">
        <f>IFERROR(VLOOKUP(B85,Daily_Working_Do_Not_Delete!CW:CX,2,0))</f>
        <v>0.06331018519</v>
      </c>
      <c r="K85" s="149">
        <f>IFERROR(VLOOKUP(B85,Daily_Working_Do_Not_Delete!CU:CV,2,0))</f>
        <v>0.2211342593</v>
      </c>
      <c r="L85" s="149">
        <f>IFERROR(VLOOKUP(B85,Daily_Working_Do_Not_Delete!CS:CT,2,0))</f>
        <v>0.2363888889</v>
      </c>
      <c r="M85" s="149">
        <f>IFERROR(VLOOKUP(B85,Daily_Working_Do_Not_Delete!CQ:CR,2,0))</f>
        <v>0.0325462963</v>
      </c>
      <c r="N85" s="149">
        <f>IFERROR(VLOOKUP(B85,Daily_Working_Do_Not_Delete!CO:CP,2,0))</f>
        <v>0.08688657407</v>
      </c>
      <c r="O85" s="149">
        <f>IFERROR(VLOOKUP(B85,Daily_Working_Do_Not_Delete!CM:CN,2,0))</f>
        <v>0.2184490741</v>
      </c>
      <c r="P85" s="149">
        <f>IFERROR(VLOOKUP(B85,Daily_Working_Do_Not_Delete!CK:CL,2,0))</f>
        <v>0.1542592593</v>
      </c>
      <c r="Q85" s="149">
        <f>IFERROR(VLOOKUP(B85,Daily_Working_Do_Not_Delete!CI:CJ,2,0))</f>
        <v>0.04571759259</v>
      </c>
      <c r="R85" s="149">
        <f>IFERROR(VLOOKUP(B85,Daily_Working_Do_Not_Delete!CG:CH,2,0))</f>
        <v>0.09125</v>
      </c>
      <c r="S85" s="149">
        <f>IFERROR(VLOOKUP(B85,Daily_Working_Do_Not_Delete!CE:CF,2,0))</f>
        <v>0.1710185185</v>
      </c>
      <c r="T85" s="149">
        <f>IFERROR(VLOOKUP(B85,Daily_Working_Do_Not_Delete!CC:CD,2,0))</f>
        <v>0.2838657407</v>
      </c>
      <c r="U85" s="149">
        <f>IFERROR(VLOOKUP(B85,Daily_Working_Do_Not_Delete!CA:CB,2,0))</f>
        <v>0.302962963</v>
      </c>
      <c r="V85" s="149">
        <f>IFERROR(VLOOKUP(B85,Daily_Working_Do_Not_Delete!BY:BZ,2,0))</f>
        <v>0.3292013889</v>
      </c>
      <c r="W85" s="149">
        <f>IFERROR(VLOOKUP(B85,Daily_Working_Do_Not_Delete!BW:BX,2,0))</f>
        <v>0.5097337963</v>
      </c>
      <c r="X85" s="149">
        <f>IFERROR(VLOOKUP(B85,Daily_Working_Do_Not_Delete!BU:BV,2,0))</f>
        <v>0.3653703704</v>
      </c>
      <c r="Y85" s="149">
        <f>IFERROR(VLOOKUP(B85,Daily_Working_Do_Not_Delete!BS:BT,2,0))</f>
        <v>0.3878240741</v>
      </c>
      <c r="Z85" s="149">
        <f>IFERROR(VLOOKUP(B85,Daily_Working_Do_Not_Delete!BQ:BR,2,0))</f>
        <v>0.396400463</v>
      </c>
      <c r="AA85" s="149">
        <f>IFERROR(VLOOKUP(B85,Daily_Working_Do_Not_Delete!BO:BP,2,0))</f>
        <v>0.4003935185</v>
      </c>
      <c r="AB85" s="149">
        <f>IFERROR(VLOOKUP(B85,Daily_Working_Do_Not_Delete!BM:BN,2,0))</f>
        <v>0.2841203704</v>
      </c>
      <c r="AC85" s="149">
        <f>IFERROR(VLOOKUP(B85,Daily_Working_Do_Not_Delete!BK:BL,2,0))</f>
        <v>0.01803240741</v>
      </c>
      <c r="AD85" s="149">
        <f>IFERROR(VLOOKUP(B85,Daily_Working_Do_Not_Delete!BI:BJ,2,0))</f>
        <v>0.01226851852</v>
      </c>
      <c r="AE85" s="149">
        <f>IFERROR(VLOOKUP(B85,Daily_Working_Do_Not_Delete!BG:BH,2,0))</f>
        <v>0.05447916667</v>
      </c>
      <c r="AF85" s="149">
        <f>IFERROR(VLOOKUP(B85,Daily_Working_Do_Not_Delete!BE:BF,2,0))</f>
        <v>0.04293981481</v>
      </c>
      <c r="AG85" s="149">
        <f>IFERROR(VLOOKUP(B85,Daily_Working_Do_Not_Delete!BC:BD,2,0))</f>
        <v>0.02402777778</v>
      </c>
      <c r="AH85" s="149">
        <f>IFERROR(VLOOKUP(B85,Daily_Working_Do_Not_Delete!BA:BB,2,0))</f>
        <v>0.05894675926</v>
      </c>
      <c r="AI85" s="149">
        <f>IFERROR(VLOOKUP(B85,Daily_Working_Do_Not_Delete!AY:AZ,2,0))</f>
        <v>0.04925925926</v>
      </c>
      <c r="AJ85" s="149">
        <f>IFERROR(VLOOKUP(B85,Daily_Working_Do_Not_Delete!AW:AX,2,0))</f>
        <v>0.1850578704</v>
      </c>
      <c r="AK85" s="149">
        <f>IFERROR(VLOOKUP(B85,Daily_Working_Do_Not_Delete!AU:AV,2,0))</f>
        <v>0.03402777778</v>
      </c>
      <c r="AL85" s="149">
        <f>IFERROR(VLOOKUP(B85,Daily_Working_Do_Not_Delete!AS:AT,2,0))</f>
        <v>0.05311342593</v>
      </c>
      <c r="AM85" s="149">
        <f>IFERROR(VLOOKUP(B85,Daily_Working_Do_Not_Delete!AQ:AR,2,0))</f>
        <v>0.01604166667</v>
      </c>
      <c r="AN85" s="149">
        <f>IFERROR(VLOOKUP(B85,Daily_Working_Do_Not_Delete!AO:AP,2,0))</f>
        <v>0.1695138889</v>
      </c>
      <c r="AO85" s="149">
        <f>IFERROR(VLOOKUP(B85,Daily_Working_Do_Not_Delete!AM:AN,2,0))</f>
        <v>0.05326388889</v>
      </c>
      <c r="AP85" s="149">
        <f>IFERROR(VLOOKUP(B85,Daily_Working_Do_Not_Delete!AK:AL,2,0))</f>
        <v>0.01378472222</v>
      </c>
      <c r="AQ85" s="149" t="str">
        <f>IFERROR(VLOOKUP(B85,Daily_Working_Do_Not_Delete!AI:AJ,2,0))</f>
        <v/>
      </c>
      <c r="AR85" s="149">
        <f>IFERROR(VLOOKUP(B85,Daily_Working_Do_Not_Delete!AG:AH,2,0))</f>
        <v>0.0003703703704</v>
      </c>
      <c r="AS85" s="149" t="str">
        <f>IFERROR(VLOOKUP(B85,Daily_Working_Do_Not_Delete!AE:AF,2,0))</f>
        <v/>
      </c>
      <c r="AT85" s="149" t="str">
        <f>IFERROR(VLOOKUP(B85,Daily_Working_Do_Not_Delete!AC:AD,2,0))</f>
        <v/>
      </c>
      <c r="AU85" s="149">
        <f>IFERROR(VLOOKUP(B85,Daily_Working_Do_Not_Delete!AA:AB,2,0))</f>
        <v>0.1161805556</v>
      </c>
      <c r="AV85" s="149" t="str">
        <f>IFERROR(VLOOKUP(B85,Daily_Working_Do_Not_Delete!Y:Z,2,0))</f>
        <v/>
      </c>
      <c r="AW85" s="149" t="str">
        <f>IFERROR(VLOOKUP(B85,Daily_Working_Do_Not_Delete!W:X,2,0))</f>
        <v/>
      </c>
      <c r="AX85" s="149" t="str">
        <f>IFERROR(VLOOKUP(B85,Daily_Working_Do_Not_Delete!U:V,2,0))</f>
        <v/>
      </c>
      <c r="AY85" s="149" t="str">
        <f>IFERROR(VLOOKUP(B85,Daily_Working_Do_Not_Delete!S:T,2,0))</f>
        <v/>
      </c>
      <c r="AZ85" s="149" t="str">
        <f>IFERROR(VLOOKUP(B85,Daily_Working_Do_Not_Delete!Q:R,2,0))</f>
        <v/>
      </c>
      <c r="BA85" s="149">
        <f>IFERROR(VLOOKUP(B85,Daily_Working_Do_Not_Delete!O:P,2,0))</f>
        <v>0</v>
      </c>
      <c r="BB85" s="149" t="str">
        <f>IFERROR(VLOOKUP(B85,Daily_Working_Do_Not_Delete!M:N,2,0))</f>
        <v/>
      </c>
      <c r="BC85" s="149" t="str">
        <f>IFERROR(VLOOKUP(B85,Daily_Working_Do_Not_Delete!K:L,2,0))</f>
        <v/>
      </c>
      <c r="BD85" s="149" t="str">
        <f>IFERROR(VLOOKUP(B85,Daily_Working_Do_Not_Delete!I:J,2,0))</f>
        <v/>
      </c>
      <c r="BE85" s="149" t="str">
        <f>IFERROR(VLOOKUP(B85,Daily_Working_Do_Not_Delete!G:H,2,0))</f>
        <v/>
      </c>
      <c r="BF85" s="149" t="str">
        <f>IFERROR(VLOOKUP(B85,Daily_Working_Do_Not_Delete!E:F,2,0))</f>
        <v/>
      </c>
      <c r="BG85" s="149" t="str">
        <f>IFERROR(VLOOKUP(B85,Daily_Working_Do_Not_Delete!C:D,2,0))</f>
        <v/>
      </c>
      <c r="BH85" s="149" t="str">
        <f>IFERROR(VLOOKUP(B85,Daily_Working_Do_Not_Delete!A:B,2,0))</f>
        <v/>
      </c>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row>
    <row r="86">
      <c r="A86" s="146" t="s">
        <v>429</v>
      </c>
      <c r="B86" s="157" t="s">
        <v>431</v>
      </c>
      <c r="C86" s="137" t="s">
        <v>421</v>
      </c>
      <c r="D86" s="148">
        <f t="shared" si="3"/>
        <v>7.640474537</v>
      </c>
      <c r="E86" s="149">
        <f>IFERROR(VLOOKUP(B86,Daily_Working_Do_Not_Delete!DG:DH,2,0))</f>
        <v>5.762418981</v>
      </c>
      <c r="F86" s="149">
        <f>IFERROR(VLOOKUP(B86,Daily_Working_Do_Not_Delete!DE:DF,2,0))</f>
        <v>0.2244675926</v>
      </c>
      <c r="G86" s="149">
        <f>IFERROR(VLOOKUP(B86,Daily_Working_Do_Not_Delete!DC:DD,2,0))</f>
        <v>0.1717592593</v>
      </c>
      <c r="H86" s="149">
        <f>IFERROR(VLOOKUP(B86,Daily_Working_Do_Not_Delete!DA:DB,2,0))</f>
        <v>0.2647800926</v>
      </c>
      <c r="I86" s="149">
        <f>IFERROR(VLOOKUP(B86,Daily_Working_Do_Not_Delete!CY:CZ,2,0))</f>
        <v>0.2253587963</v>
      </c>
      <c r="J86" s="149">
        <f>IFERROR(VLOOKUP(B86,Daily_Working_Do_Not_Delete!CW:CX,2,0))</f>
        <v>0.301724537</v>
      </c>
      <c r="K86" s="149">
        <f>IFERROR(VLOOKUP(B86,Daily_Working_Do_Not_Delete!CU:CV,2,0))</f>
        <v>0.1129513889</v>
      </c>
      <c r="L86" s="149">
        <f>IFERROR(VLOOKUP(B86,Daily_Working_Do_Not_Delete!CS:CT,2,0))</f>
        <v>0.1206018519</v>
      </c>
      <c r="M86" s="149">
        <f>IFERROR(VLOOKUP(B86,Daily_Working_Do_Not_Delete!CQ:CR,2,0))</f>
        <v>0.02253472222</v>
      </c>
      <c r="N86" s="149">
        <f>IFERROR(VLOOKUP(B86,Daily_Working_Do_Not_Delete!CO:CP,2,0))</f>
        <v>0.08113425926</v>
      </c>
      <c r="O86" s="149">
        <f>IFERROR(VLOOKUP(B86,Daily_Working_Do_Not_Delete!CM:CN,2,0))</f>
        <v>0.04135416667</v>
      </c>
      <c r="P86" s="149">
        <f>IFERROR(VLOOKUP(B86,Daily_Working_Do_Not_Delete!CK:CL,2,0))</f>
        <v>0.005555555556</v>
      </c>
      <c r="Q86" s="149">
        <f>IFERROR(VLOOKUP(B86,Daily_Working_Do_Not_Delete!CI:CJ,2,0))</f>
        <v>0.02262731481</v>
      </c>
      <c r="R86" s="149">
        <f>IFERROR(VLOOKUP(B86,Daily_Working_Do_Not_Delete!CG:CH,2,0))</f>
        <v>0.04365740741</v>
      </c>
      <c r="S86" s="149">
        <f>IFERROR(VLOOKUP(B86,Daily_Working_Do_Not_Delete!CE:CF,2,0))</f>
        <v>0.03983796296</v>
      </c>
      <c r="T86" s="149">
        <f>IFERROR(VLOOKUP(B86,Daily_Working_Do_Not_Delete!CC:CD,2,0))</f>
        <v>0.04266203704</v>
      </c>
      <c r="U86" s="149">
        <f>IFERROR(VLOOKUP(B86,Daily_Working_Do_Not_Delete!CA:CB,2,0))</f>
        <v>0.002974537037</v>
      </c>
      <c r="V86" s="149">
        <f>IFERROR(VLOOKUP(B86,Daily_Working_Do_Not_Delete!BY:BZ,2,0))</f>
        <v>0.01408564815</v>
      </c>
      <c r="W86" s="149">
        <f>IFERROR(VLOOKUP(B86,Daily_Working_Do_Not_Delete!BW:BX,2,0))</f>
        <v>0.01877314815</v>
      </c>
      <c r="X86" s="149">
        <f>IFERROR(VLOOKUP(B86,Daily_Working_Do_Not_Delete!BU:BV,2,0))</f>
        <v>0.002337962963</v>
      </c>
      <c r="Y86" s="149">
        <f>IFERROR(VLOOKUP(B86,Daily_Working_Do_Not_Delete!BS:BT,2,0))</f>
        <v>0.01390046296</v>
      </c>
      <c r="Z86" s="149">
        <f>IFERROR(VLOOKUP(B86,Daily_Working_Do_Not_Delete!BQ:BR,2,0))</f>
        <v>0.04195601852</v>
      </c>
      <c r="AA86" s="149">
        <f>IFERROR(VLOOKUP(B86,Daily_Working_Do_Not_Delete!BO:BP,2,0))</f>
        <v>0.01533564815</v>
      </c>
      <c r="AB86" s="149">
        <f>IFERROR(VLOOKUP(B86,Daily_Working_Do_Not_Delete!BM:BN,2,0))</f>
        <v>0.03123842593</v>
      </c>
      <c r="AC86" s="149">
        <f>IFERROR(VLOOKUP(B86,Daily_Working_Do_Not_Delete!BK:BL,2,0))</f>
        <v>0.009479166667</v>
      </c>
      <c r="AD86" s="149" t="str">
        <f>IFERROR(VLOOKUP(B86,Daily_Working_Do_Not_Delete!BI:BJ,2,0))</f>
        <v/>
      </c>
      <c r="AE86" s="149" t="str">
        <f>IFERROR(VLOOKUP(B86,Daily_Working_Do_Not_Delete!BG:BH,2,0))</f>
        <v/>
      </c>
      <c r="AF86" s="149">
        <f>IFERROR(VLOOKUP(B86,Daily_Working_Do_Not_Delete!BE:BF,2,0))</f>
        <v>0.0003240740741</v>
      </c>
      <c r="AG86" s="149" t="str">
        <f>IFERROR(VLOOKUP(B86,Daily_Working_Do_Not_Delete!BC:BD,2,0))</f>
        <v/>
      </c>
      <c r="AH86" s="149" t="str">
        <f>IFERROR(VLOOKUP(B86,Daily_Working_Do_Not_Delete!BA:BB,2,0))</f>
        <v/>
      </c>
      <c r="AI86" s="149" t="str">
        <f>IFERROR(VLOOKUP(B86,Daily_Working_Do_Not_Delete!AY:AZ,2,0))</f>
        <v/>
      </c>
      <c r="AJ86" s="149">
        <f>IFERROR(VLOOKUP(B86,Daily_Working_Do_Not_Delete!AW:AX,2,0))</f>
        <v>0.0001967592593</v>
      </c>
      <c r="AK86" s="149" t="str">
        <f>IFERROR(VLOOKUP(B86,Daily_Working_Do_Not_Delete!AU:AV,2,0))</f>
        <v/>
      </c>
      <c r="AL86" s="149">
        <f>IFERROR(VLOOKUP(B86,Daily_Working_Do_Not_Delete!AS:AT,2,0))</f>
        <v>0.00630787037</v>
      </c>
      <c r="AM86" s="149" t="str">
        <f>IFERROR(VLOOKUP(B86,Daily_Working_Do_Not_Delete!AQ:AR,2,0))</f>
        <v/>
      </c>
      <c r="AN86" s="149" t="str">
        <f>IFERROR(VLOOKUP(B86,Daily_Working_Do_Not_Delete!AO:AP,2,0))</f>
        <v/>
      </c>
      <c r="AO86" s="149" t="str">
        <f>IFERROR(VLOOKUP(B86,Daily_Working_Do_Not_Delete!AM:AN,2,0))</f>
        <v/>
      </c>
      <c r="AP86" s="149" t="str">
        <f>IFERROR(VLOOKUP(B86,Daily_Working_Do_Not_Delete!AK:AL,2,0))</f>
        <v/>
      </c>
      <c r="AQ86" s="149" t="str">
        <f>IFERROR(VLOOKUP(B86,Daily_Working_Do_Not_Delete!AI:AJ,2,0))</f>
        <v/>
      </c>
      <c r="AR86" s="149" t="str">
        <f>IFERROR(VLOOKUP(B86,Daily_Working_Do_Not_Delete!AG:AH,2,0))</f>
        <v/>
      </c>
      <c r="AS86" s="149" t="str">
        <f>IFERROR(VLOOKUP(B86,Daily_Working_Do_Not_Delete!AE:AF,2,0))</f>
        <v/>
      </c>
      <c r="AT86" s="149" t="str">
        <f>IFERROR(VLOOKUP(B86,Daily_Working_Do_Not_Delete!AC:AD,2,0))</f>
        <v/>
      </c>
      <c r="AU86" s="149" t="str">
        <f>IFERROR(VLOOKUP(B86,Daily_Working_Do_Not_Delete!AA:AB,2,0))</f>
        <v/>
      </c>
      <c r="AV86" s="149" t="str">
        <f>IFERROR(VLOOKUP(B86,Daily_Working_Do_Not_Delete!Y:Z,2,0))</f>
        <v/>
      </c>
      <c r="AW86" s="149" t="str">
        <f>IFERROR(VLOOKUP(B86,Daily_Working_Do_Not_Delete!W:X,2,0))</f>
        <v/>
      </c>
      <c r="AX86" s="149" t="str">
        <f>IFERROR(VLOOKUP(B86,Daily_Working_Do_Not_Delete!U:V,2,0))</f>
        <v/>
      </c>
      <c r="AY86" s="149" t="str">
        <f>IFERROR(VLOOKUP(B86,Daily_Working_Do_Not_Delete!S:T,2,0))</f>
        <v/>
      </c>
      <c r="AZ86" s="149" t="str">
        <f>IFERROR(VLOOKUP(B86,Daily_Working_Do_Not_Delete!Q:R,2,0))</f>
        <v/>
      </c>
      <c r="BA86" s="149" t="str">
        <f>IFERROR(VLOOKUP(B86,Daily_Working_Do_Not_Delete!O:P,2,0))</f>
        <v/>
      </c>
      <c r="BB86" s="149" t="str">
        <f>IFERROR(VLOOKUP(B86,Daily_Working_Do_Not_Delete!M:N,2,0))</f>
        <v/>
      </c>
      <c r="BC86" s="149">
        <f>IFERROR(VLOOKUP(B86,Daily_Working_Do_Not_Delete!K:L,2,0))</f>
        <v>0.0001388888889</v>
      </c>
      <c r="BD86" s="149" t="str">
        <f>IFERROR(VLOOKUP(B86,Daily_Working_Do_Not_Delete!I:J,2,0))</f>
        <v/>
      </c>
      <c r="BE86" s="149" t="str">
        <f>IFERROR(VLOOKUP(B86,Daily_Working_Do_Not_Delete!G:H,2,0))</f>
        <v/>
      </c>
      <c r="BF86" s="149" t="str">
        <f>IFERROR(VLOOKUP(B86,Daily_Working_Do_Not_Delete!E:F,2,0))</f>
        <v/>
      </c>
      <c r="BG86" s="149" t="str">
        <f>IFERROR(VLOOKUP(B86,Daily_Working_Do_Not_Delete!C:D,2,0))</f>
        <v/>
      </c>
      <c r="BH86" s="149" t="str">
        <f>IFERROR(VLOOKUP(B86,Daily_Working_Do_Not_Delete!A:B,2,0))</f>
        <v/>
      </c>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row>
    <row r="87">
      <c r="A87" s="146" t="s">
        <v>429</v>
      </c>
      <c r="B87" s="158" t="s">
        <v>432</v>
      </c>
      <c r="C87" s="137" t="s">
        <v>421</v>
      </c>
      <c r="D87" s="148">
        <f t="shared" si="3"/>
        <v>6.814780093</v>
      </c>
      <c r="E87" s="149">
        <f>IFERROR(VLOOKUP(B87,Daily_Working_Do_Not_Delete!DG:DH,2,0))</f>
        <v>4.117627315</v>
      </c>
      <c r="F87" s="149">
        <f>IFERROR(VLOOKUP(B87,Daily_Working_Do_Not_Delete!DE:DF,2,0))</f>
        <v>0.04612268519</v>
      </c>
      <c r="G87" s="149">
        <f>IFERROR(VLOOKUP(B87,Daily_Working_Do_Not_Delete!DC:DD,2,0))</f>
        <v>0.1308217593</v>
      </c>
      <c r="H87" s="149">
        <f>IFERROR(VLOOKUP(B87,Daily_Working_Do_Not_Delete!DA:DB,2,0))</f>
        <v>0.1574537037</v>
      </c>
      <c r="I87" s="149">
        <f>IFERROR(VLOOKUP(B87,Daily_Working_Do_Not_Delete!CY:CZ,2,0))</f>
        <v>0.1876967593</v>
      </c>
      <c r="J87" s="149">
        <f>IFERROR(VLOOKUP(B87,Daily_Working_Do_Not_Delete!CW:CX,2,0))</f>
        <v>0.2095486111</v>
      </c>
      <c r="K87" s="149">
        <f>IFERROR(VLOOKUP(B87,Daily_Working_Do_Not_Delete!CU:CV,2,0))</f>
        <v>0.1127893519</v>
      </c>
      <c r="L87" s="149">
        <f>IFERROR(VLOOKUP(B87,Daily_Working_Do_Not_Delete!CS:CT,2,0))</f>
        <v>0.186400463</v>
      </c>
      <c r="M87" s="149">
        <f>IFERROR(VLOOKUP(B87,Daily_Working_Do_Not_Delete!CQ:CR,2,0))</f>
        <v>0.1669444444</v>
      </c>
      <c r="N87" s="149">
        <f>IFERROR(VLOOKUP(B87,Daily_Working_Do_Not_Delete!CO:CP,2,0))</f>
        <v>0.1666319444</v>
      </c>
      <c r="O87" s="149">
        <f>IFERROR(VLOOKUP(B87,Daily_Working_Do_Not_Delete!CM:CN,2,0))</f>
        <v>0.1965277778</v>
      </c>
      <c r="P87" s="149">
        <f>IFERROR(VLOOKUP(B87,Daily_Working_Do_Not_Delete!CK:CL,2,0))</f>
        <v>0.6272569444</v>
      </c>
      <c r="Q87" s="149">
        <f>IFERROR(VLOOKUP(B87,Daily_Working_Do_Not_Delete!CI:CJ,2,0))</f>
        <v>0.1510069444</v>
      </c>
      <c r="R87" s="149">
        <f>IFERROR(VLOOKUP(B87,Daily_Working_Do_Not_Delete!CG:CH,2,0))</f>
        <v>0.09556712963</v>
      </c>
      <c r="S87" s="149">
        <f>IFERROR(VLOOKUP(B87,Daily_Working_Do_Not_Delete!CE:CF,2,0))</f>
        <v>0.03979166667</v>
      </c>
      <c r="T87" s="149">
        <f>IFERROR(VLOOKUP(B87,Daily_Working_Do_Not_Delete!CC:CD,2,0))</f>
        <v>0.002916666667</v>
      </c>
      <c r="U87" s="149">
        <f>IFERROR(VLOOKUP(B87,Daily_Working_Do_Not_Delete!CA:CB,2,0))</f>
        <v>0.00900462963</v>
      </c>
      <c r="V87" s="149">
        <f>IFERROR(VLOOKUP(B87,Daily_Working_Do_Not_Delete!BY:BZ,2,0))</f>
        <v>0.03326388889</v>
      </c>
      <c r="W87" s="149">
        <f>IFERROR(VLOOKUP(B87,Daily_Working_Do_Not_Delete!BW:BX,2,0))</f>
        <v>0.03806712963</v>
      </c>
      <c r="X87" s="149">
        <f>IFERROR(VLOOKUP(B87,Daily_Working_Do_Not_Delete!BU:BV,2,0))</f>
        <v>0.02543981481</v>
      </c>
      <c r="Y87" s="149">
        <f>IFERROR(VLOOKUP(B87,Daily_Working_Do_Not_Delete!BS:BT,2,0))</f>
        <v>0.001261574074</v>
      </c>
      <c r="Z87" s="149">
        <f>IFERROR(VLOOKUP(B87,Daily_Working_Do_Not_Delete!BQ:BR,2,0))</f>
        <v>0.05950231481</v>
      </c>
      <c r="AA87" s="149">
        <f>IFERROR(VLOOKUP(B87,Daily_Working_Do_Not_Delete!BO:BP,2,0))</f>
        <v>0.001539351852</v>
      </c>
      <c r="AB87" s="149">
        <f>IFERROR(VLOOKUP(B87,Daily_Working_Do_Not_Delete!BM:BN,2,0))</f>
        <v>0.0112037037</v>
      </c>
      <c r="AC87" s="149">
        <f>IFERROR(VLOOKUP(B87,Daily_Working_Do_Not_Delete!BK:BL,2,0))</f>
        <v>0.01104166667</v>
      </c>
      <c r="AD87" s="149">
        <f>IFERROR(VLOOKUP(B87,Daily_Working_Do_Not_Delete!BI:BJ,2,0))</f>
        <v>0</v>
      </c>
      <c r="AE87" s="149" t="str">
        <f>IFERROR(VLOOKUP(B87,Daily_Working_Do_Not_Delete!BG:BH,2,0))</f>
        <v/>
      </c>
      <c r="AF87" s="149">
        <f>IFERROR(VLOOKUP(B87,Daily_Working_Do_Not_Delete!BE:BF,2,0))</f>
        <v>0.001759259259</v>
      </c>
      <c r="AG87" s="149" t="str">
        <f>IFERROR(VLOOKUP(B87,Daily_Working_Do_Not_Delete!BC:BD,2,0))</f>
        <v/>
      </c>
      <c r="AH87" s="149">
        <f>IFERROR(VLOOKUP(B87,Daily_Working_Do_Not_Delete!BA:BB,2,0))</f>
        <v>0.01364583333</v>
      </c>
      <c r="AI87" s="149" t="str">
        <f>IFERROR(VLOOKUP(B87,Daily_Working_Do_Not_Delete!AY:AZ,2,0))</f>
        <v/>
      </c>
      <c r="AJ87" s="149" t="str">
        <f>IFERROR(VLOOKUP(B87,Daily_Working_Do_Not_Delete!AW:AX,2,0))</f>
        <v/>
      </c>
      <c r="AK87" s="149" t="str">
        <f>IFERROR(VLOOKUP(B87,Daily_Working_Do_Not_Delete!AU:AV,2,0))</f>
        <v/>
      </c>
      <c r="AL87" s="149" t="str">
        <f>IFERROR(VLOOKUP(B87,Daily_Working_Do_Not_Delete!AS:AT,2,0))</f>
        <v/>
      </c>
      <c r="AM87" s="149">
        <f>IFERROR(VLOOKUP(B87,Daily_Working_Do_Not_Delete!AQ:AR,2,0))</f>
        <v>0.0003819444444</v>
      </c>
      <c r="AN87" s="149">
        <f>IFERROR(VLOOKUP(B87,Daily_Working_Do_Not_Delete!AO:AP,2,0))</f>
        <v>0.01356481481</v>
      </c>
      <c r="AO87" s="149" t="str">
        <f>IFERROR(VLOOKUP(B87,Daily_Working_Do_Not_Delete!AM:AN,2,0))</f>
        <v/>
      </c>
      <c r="AP87" s="149" t="str">
        <f>IFERROR(VLOOKUP(B87,Daily_Working_Do_Not_Delete!AK:AL,2,0))</f>
        <v/>
      </c>
      <c r="AQ87" s="149" t="str">
        <f>IFERROR(VLOOKUP(B87,Daily_Working_Do_Not_Delete!AI:AJ,2,0))</f>
        <v/>
      </c>
      <c r="AR87" s="149" t="str">
        <f>IFERROR(VLOOKUP(B87,Daily_Working_Do_Not_Delete!AG:AH,2,0))</f>
        <v/>
      </c>
      <c r="AS87" s="149" t="str">
        <f>IFERROR(VLOOKUP(B87,Daily_Working_Do_Not_Delete!AE:AF,2,0))</f>
        <v/>
      </c>
      <c r="AT87" s="149" t="str">
        <f>IFERROR(VLOOKUP(B87,Daily_Working_Do_Not_Delete!AC:AD,2,0))</f>
        <v/>
      </c>
      <c r="AU87" s="149" t="str">
        <f>IFERROR(VLOOKUP(B87,Daily_Working_Do_Not_Delete!AA:AB,2,0))</f>
        <v/>
      </c>
      <c r="AV87" s="149" t="str">
        <f>IFERROR(VLOOKUP(B87,Daily_Working_Do_Not_Delete!Y:Z,2,0))</f>
        <v/>
      </c>
      <c r="AW87" s="149" t="str">
        <f>IFERROR(VLOOKUP(B87,Daily_Working_Do_Not_Delete!W:X,2,0))</f>
        <v/>
      </c>
      <c r="AX87" s="149" t="str">
        <f>IFERROR(VLOOKUP(B87,Daily_Working_Do_Not_Delete!U:V,2,0))</f>
        <v/>
      </c>
      <c r="AY87" s="149" t="str">
        <f>IFERROR(VLOOKUP(B87,Daily_Working_Do_Not_Delete!S:T,2,0))</f>
        <v/>
      </c>
      <c r="AZ87" s="149" t="str">
        <f>IFERROR(VLOOKUP(B87,Daily_Working_Do_Not_Delete!Q:R,2,0))</f>
        <v/>
      </c>
      <c r="BA87" s="149" t="str">
        <f>IFERROR(VLOOKUP(B87,Daily_Working_Do_Not_Delete!O:P,2,0))</f>
        <v/>
      </c>
      <c r="BB87" s="149" t="str">
        <f>IFERROR(VLOOKUP(B87,Daily_Working_Do_Not_Delete!M:N,2,0))</f>
        <v/>
      </c>
      <c r="BC87" s="149" t="str">
        <f>IFERROR(VLOOKUP(B87,Daily_Working_Do_Not_Delete!K:L,2,0))</f>
        <v/>
      </c>
      <c r="BD87" s="149" t="str">
        <f>IFERROR(VLOOKUP(B87,Daily_Working_Do_Not_Delete!I:J,2,0))</f>
        <v/>
      </c>
      <c r="BE87" s="149" t="str">
        <f>IFERROR(VLOOKUP(B87,Daily_Working_Do_Not_Delete!G:H,2,0))</f>
        <v/>
      </c>
      <c r="BF87" s="149" t="str">
        <f>IFERROR(VLOOKUP(B87,Daily_Working_Do_Not_Delete!E:F,2,0))</f>
        <v/>
      </c>
      <c r="BG87" s="149" t="str">
        <f>IFERROR(VLOOKUP(B87,Daily_Working_Do_Not_Delete!C:D,2,0))</f>
        <v/>
      </c>
      <c r="BH87" s="149" t="str">
        <f>IFERROR(VLOOKUP(B87,Daily_Working_Do_Not_Delete!A:B,2,0))</f>
        <v/>
      </c>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row>
    <row r="88">
      <c r="A88" s="146" t="s">
        <v>429</v>
      </c>
      <c r="B88" s="146" t="s">
        <v>105</v>
      </c>
      <c r="C88" s="137" t="s">
        <v>421</v>
      </c>
      <c r="D88" s="148">
        <f t="shared" si="3"/>
        <v>6.614328704</v>
      </c>
      <c r="E88" s="149">
        <f>IFERROR(VLOOKUP(B88,Daily_Working_Do_Not_Delete!DG:DH,2,0))</f>
        <v>1.672997685</v>
      </c>
      <c r="F88" s="149">
        <f>IFERROR(VLOOKUP(B88,Daily_Working_Do_Not_Delete!DE:DF,2,0))</f>
        <v>0.1077314815</v>
      </c>
      <c r="G88" s="149">
        <f>IFERROR(VLOOKUP(B88,Daily_Working_Do_Not_Delete!DC:DD,2,0))</f>
        <v>0.2106597222</v>
      </c>
      <c r="H88" s="149">
        <f>IFERROR(VLOOKUP(B88,Daily_Working_Do_Not_Delete!DA:DB,2,0))</f>
        <v>0.09696759259</v>
      </c>
      <c r="I88" s="149">
        <f>IFERROR(VLOOKUP(B88,Daily_Working_Do_Not_Delete!CY:CZ,2,0))</f>
        <v>0.1146064815</v>
      </c>
      <c r="J88" s="149">
        <f>IFERROR(VLOOKUP(B88,Daily_Working_Do_Not_Delete!CW:CX,2,0))</f>
        <v>0.08570601852</v>
      </c>
      <c r="K88" s="149">
        <f>IFERROR(VLOOKUP(B88,Daily_Working_Do_Not_Delete!CU:CV,2,0))</f>
        <v>0.06818287037</v>
      </c>
      <c r="L88" s="149">
        <f>IFERROR(VLOOKUP(B88,Daily_Working_Do_Not_Delete!CS:CT,2,0))</f>
        <v>0.07680555556</v>
      </c>
      <c r="M88" s="149">
        <f>IFERROR(VLOOKUP(B88,Daily_Working_Do_Not_Delete!CQ:CR,2,0))</f>
        <v>0.2676388889</v>
      </c>
      <c r="N88" s="149">
        <f>IFERROR(VLOOKUP(B88,Daily_Working_Do_Not_Delete!CO:CP,2,0))</f>
        <v>0.08993055556</v>
      </c>
      <c r="O88" s="149">
        <f>IFERROR(VLOOKUP(B88,Daily_Working_Do_Not_Delete!CM:CN,2,0))</f>
        <v>0.1757407407</v>
      </c>
      <c r="P88" s="149">
        <f>IFERROR(VLOOKUP(B88,Daily_Working_Do_Not_Delete!CK:CL,2,0))</f>
        <v>0.2104282407</v>
      </c>
      <c r="Q88" s="149">
        <f>IFERROR(VLOOKUP(B88,Daily_Working_Do_Not_Delete!CI:CJ,2,0))</f>
        <v>0.1546527778</v>
      </c>
      <c r="R88" s="149">
        <f>IFERROR(VLOOKUP(B88,Daily_Working_Do_Not_Delete!CG:CH,2,0))</f>
        <v>0.1132986111</v>
      </c>
      <c r="S88" s="149">
        <f>IFERROR(VLOOKUP(B88,Daily_Working_Do_Not_Delete!CE:CF,2,0))</f>
        <v>0.1170833333</v>
      </c>
      <c r="T88" s="149">
        <f>IFERROR(VLOOKUP(B88,Daily_Working_Do_Not_Delete!CC:CD,2,0))</f>
        <v>0.08184027778</v>
      </c>
      <c r="U88" s="149">
        <f>IFERROR(VLOOKUP(B88,Daily_Working_Do_Not_Delete!CA:CB,2,0))</f>
        <v>0.06840277778</v>
      </c>
      <c r="V88" s="149">
        <f>IFERROR(VLOOKUP(B88,Daily_Working_Do_Not_Delete!BY:BZ,2,0))</f>
        <v>0.1277662037</v>
      </c>
      <c r="W88" s="149">
        <f>IFERROR(VLOOKUP(B88,Daily_Working_Do_Not_Delete!BW:BX,2,0))</f>
        <v>0.3247800926</v>
      </c>
      <c r="X88" s="149">
        <f>IFERROR(VLOOKUP(B88,Daily_Working_Do_Not_Delete!BU:BV,2,0))</f>
        <v>0.4246180556</v>
      </c>
      <c r="Y88" s="149">
        <f>IFERROR(VLOOKUP(B88,Daily_Working_Do_Not_Delete!BS:BT,2,0))</f>
        <v>0.520150463</v>
      </c>
      <c r="Z88" s="149">
        <f>IFERROR(VLOOKUP(B88,Daily_Working_Do_Not_Delete!BQ:BR,2,0))</f>
        <v>0.4173726852</v>
      </c>
      <c r="AA88" s="149">
        <f>IFERROR(VLOOKUP(B88,Daily_Working_Do_Not_Delete!BO:BP,2,0))</f>
        <v>0.4082638889</v>
      </c>
      <c r="AB88" s="149">
        <f>IFERROR(VLOOKUP(B88,Daily_Working_Do_Not_Delete!BM:BN,2,0))</f>
        <v>0.2624189815</v>
      </c>
      <c r="AC88" s="149">
        <f>IFERROR(VLOOKUP(B88,Daily_Working_Do_Not_Delete!BK:BL,2,0))</f>
        <v>0.1657986111</v>
      </c>
      <c r="AD88" s="149">
        <f>IFERROR(VLOOKUP(B88,Daily_Working_Do_Not_Delete!BI:BJ,2,0))</f>
        <v>0.05021990741</v>
      </c>
      <c r="AE88" s="149">
        <f>IFERROR(VLOOKUP(B88,Daily_Working_Do_Not_Delete!BG:BH,2,0))</f>
        <v>0.0416087963</v>
      </c>
      <c r="AF88" s="149">
        <f>IFERROR(VLOOKUP(B88,Daily_Working_Do_Not_Delete!BE:BF,2,0))</f>
        <v>0.02148148148</v>
      </c>
      <c r="AG88" s="149">
        <f>IFERROR(VLOOKUP(B88,Daily_Working_Do_Not_Delete!BC:BD,2,0))</f>
        <v>0.006666666667</v>
      </c>
      <c r="AH88" s="149">
        <f>IFERROR(VLOOKUP(B88,Daily_Working_Do_Not_Delete!BA:BB,2,0))</f>
        <v>0.07265046296</v>
      </c>
      <c r="AI88" s="149">
        <f>IFERROR(VLOOKUP(B88,Daily_Working_Do_Not_Delete!AY:AZ,2,0))</f>
        <v>0.02615740741</v>
      </c>
      <c r="AJ88" s="149">
        <f>IFERROR(VLOOKUP(B88,Daily_Working_Do_Not_Delete!AW:AX,2,0))</f>
        <v>0.01561342593</v>
      </c>
      <c r="AK88" s="149">
        <f>IFERROR(VLOOKUP(B88,Daily_Working_Do_Not_Delete!AU:AV,2,0))</f>
        <v>0.005798611111</v>
      </c>
      <c r="AL88" s="149">
        <f>IFERROR(VLOOKUP(B88,Daily_Working_Do_Not_Delete!AS:AT,2,0))</f>
        <v>0.0002083333333</v>
      </c>
      <c r="AM88" s="149">
        <f>IFERROR(VLOOKUP(B88,Daily_Working_Do_Not_Delete!AQ:AR,2,0))</f>
        <v>0.001238425926</v>
      </c>
      <c r="AN88" s="149">
        <f>IFERROR(VLOOKUP(B88,Daily_Working_Do_Not_Delete!AO:AP,2,0))</f>
        <v>0.00006944444444</v>
      </c>
      <c r="AO88" s="149">
        <f>IFERROR(VLOOKUP(B88,Daily_Working_Do_Not_Delete!AM:AN,2,0))</f>
        <v>0.0009259259259</v>
      </c>
      <c r="AP88" s="149">
        <f>IFERROR(VLOOKUP(B88,Daily_Working_Do_Not_Delete!AK:AL,2,0))</f>
        <v>0.0006481481481</v>
      </c>
      <c r="AQ88" s="149">
        <f>IFERROR(VLOOKUP(B88,Daily_Working_Do_Not_Delete!AI:AJ,2,0))</f>
        <v>0.0001967592593</v>
      </c>
      <c r="AR88" s="149" t="str">
        <f>IFERROR(VLOOKUP(B88,Daily_Working_Do_Not_Delete!AG:AH,2,0))</f>
        <v/>
      </c>
      <c r="AS88" s="149" t="str">
        <f>IFERROR(VLOOKUP(B88,Daily_Working_Do_Not_Delete!AE:AF,2,0))</f>
        <v/>
      </c>
      <c r="AT88" s="149" t="str">
        <f>IFERROR(VLOOKUP(B88,Daily_Working_Do_Not_Delete!AC:AD,2,0))</f>
        <v/>
      </c>
      <c r="AU88" s="149" t="str">
        <f>IFERROR(VLOOKUP(B88,Daily_Working_Do_Not_Delete!AA:AB,2,0))</f>
        <v/>
      </c>
      <c r="AV88" s="149" t="str">
        <f>IFERROR(VLOOKUP(B88,Daily_Working_Do_Not_Delete!Y:Z,2,0))</f>
        <v/>
      </c>
      <c r="AW88" s="149">
        <f>IFERROR(VLOOKUP(B88,Daily_Working_Do_Not_Delete!W:X,2,0))</f>
        <v>0.0003125</v>
      </c>
      <c r="AX88" s="149" t="str">
        <f>IFERROR(VLOOKUP(B88,Daily_Working_Do_Not_Delete!U:V,2,0))</f>
        <v/>
      </c>
      <c r="AY88" s="149" t="str">
        <f>IFERROR(VLOOKUP(B88,Daily_Working_Do_Not_Delete!S:T,2,0))</f>
        <v/>
      </c>
      <c r="AZ88" s="149" t="str">
        <f>IFERROR(VLOOKUP(B88,Daily_Working_Do_Not_Delete!Q:R,2,0))</f>
        <v/>
      </c>
      <c r="BA88" s="149">
        <f>IFERROR(VLOOKUP(B88,Daily_Working_Do_Not_Delete!O:P,2,0))</f>
        <v>0.003773148148</v>
      </c>
      <c r="BB88" s="149" t="str">
        <f>IFERROR(VLOOKUP(B88,Daily_Working_Do_Not_Delete!M:N,2,0))</f>
        <v/>
      </c>
      <c r="BC88" s="149" t="str">
        <f>IFERROR(VLOOKUP(B88,Daily_Working_Do_Not_Delete!K:L,2,0))</f>
        <v/>
      </c>
      <c r="BD88" s="149" t="str">
        <f>IFERROR(VLOOKUP(B88,Daily_Working_Do_Not_Delete!I:J,2,0))</f>
        <v/>
      </c>
      <c r="BE88" s="149">
        <f>IFERROR(VLOOKUP(B88,Daily_Working_Do_Not_Delete!G:H,2,0))</f>
        <v>0.002916666667</v>
      </c>
      <c r="BF88" s="149" t="str">
        <f>IFERROR(VLOOKUP(B88,Daily_Working_Do_Not_Delete!E:F,2,0))</f>
        <v/>
      </c>
      <c r="BG88" s="149" t="str">
        <f>IFERROR(VLOOKUP(B88,Daily_Working_Do_Not_Delete!C:D,2,0))</f>
        <v/>
      </c>
      <c r="BH88" s="149" t="str">
        <f>IFERROR(VLOOKUP(B88,Daily_Working_Do_Not_Delete!A:B,2,0))</f>
        <v/>
      </c>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row>
    <row r="89">
      <c r="D89" s="159"/>
      <c r="E89" s="160"/>
      <c r="F89" s="160"/>
      <c r="G89" s="160"/>
      <c r="H89" s="160"/>
      <c r="I89" s="160"/>
      <c r="J89" s="160"/>
      <c r="K89" s="160"/>
      <c r="L89" s="160"/>
      <c r="M89" s="160"/>
      <c r="N89" s="160"/>
      <c r="O89" s="160"/>
      <c r="P89" s="160"/>
      <c r="Q89" s="160"/>
      <c r="R89" s="160"/>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c r="BT89" s="160"/>
      <c r="BU89" s="160"/>
      <c r="BV89" s="160"/>
      <c r="BW89" s="160"/>
      <c r="BX89" s="160"/>
      <c r="BY89" s="160"/>
      <c r="BZ89" s="160"/>
      <c r="CA89" s="160"/>
      <c r="CB89" s="160"/>
      <c r="CC89" s="160"/>
      <c r="CD89" s="160"/>
      <c r="CE89" s="160"/>
      <c r="CF89" s="160"/>
    </row>
    <row r="90">
      <c r="D90" s="159"/>
      <c r="E90" s="160"/>
      <c r="F90" s="160"/>
      <c r="G90" s="160"/>
      <c r="H90" s="160"/>
      <c r="I90" s="160"/>
      <c r="J90" s="160"/>
      <c r="K90" s="160"/>
      <c r="L90" s="160"/>
      <c r="M90" s="160"/>
      <c r="N90" s="160"/>
      <c r="O90" s="160"/>
      <c r="P90" s="160"/>
      <c r="Q90" s="160"/>
      <c r="R90" s="160"/>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c r="BT90" s="160"/>
      <c r="BU90" s="160"/>
      <c r="BV90" s="160"/>
      <c r="BW90" s="160"/>
      <c r="BX90" s="160"/>
      <c r="BY90" s="160"/>
      <c r="BZ90" s="160"/>
      <c r="CA90" s="160"/>
      <c r="CB90" s="160"/>
      <c r="CC90" s="160"/>
      <c r="CD90" s="160"/>
      <c r="CE90" s="160"/>
      <c r="CF90" s="160"/>
    </row>
    <row r="91">
      <c r="D91" s="159"/>
      <c r="E91" s="160"/>
      <c r="F91" s="160"/>
      <c r="G91" s="160"/>
      <c r="H91" s="160"/>
      <c r="I91" s="160"/>
      <c r="J91" s="160"/>
      <c r="K91" s="160"/>
      <c r="L91" s="160"/>
      <c r="M91" s="160"/>
      <c r="N91" s="160"/>
      <c r="O91" s="160"/>
      <c r="P91" s="160"/>
      <c r="Q91" s="160"/>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c r="BT91" s="160"/>
      <c r="BU91" s="160"/>
      <c r="BV91" s="160"/>
      <c r="BW91" s="160"/>
      <c r="BX91" s="160"/>
      <c r="BY91" s="160"/>
      <c r="BZ91" s="160"/>
      <c r="CA91" s="160"/>
      <c r="CB91" s="160"/>
      <c r="CC91" s="160"/>
      <c r="CD91" s="160"/>
      <c r="CE91" s="160"/>
      <c r="CF91" s="160"/>
    </row>
    <row r="92">
      <c r="D92" s="159"/>
      <c r="E92" s="160"/>
      <c r="F92" s="160"/>
      <c r="G92" s="160"/>
      <c r="H92" s="160"/>
      <c r="I92" s="160"/>
      <c r="J92" s="160"/>
      <c r="K92" s="160"/>
      <c r="L92" s="160"/>
      <c r="M92" s="160"/>
      <c r="N92" s="160"/>
      <c r="O92" s="160"/>
      <c r="P92" s="160"/>
      <c r="Q92" s="160"/>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c r="BT92" s="160"/>
      <c r="BU92" s="160"/>
      <c r="BV92" s="160"/>
      <c r="BW92" s="160"/>
      <c r="BX92" s="160"/>
      <c r="BY92" s="160"/>
      <c r="BZ92" s="160"/>
      <c r="CA92" s="160"/>
      <c r="CB92" s="160"/>
      <c r="CC92" s="160"/>
      <c r="CD92" s="160"/>
      <c r="CE92" s="160"/>
      <c r="CF92" s="160"/>
    </row>
    <row r="93">
      <c r="D93" s="159"/>
      <c r="E93" s="160"/>
      <c r="F93" s="160"/>
      <c r="G93" s="160"/>
      <c r="H93" s="160"/>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c r="BT93" s="160"/>
      <c r="BU93" s="160"/>
      <c r="BV93" s="160"/>
      <c r="BW93" s="160"/>
      <c r="BX93" s="160"/>
      <c r="BY93" s="160"/>
      <c r="BZ93" s="160"/>
      <c r="CA93" s="160"/>
      <c r="CB93" s="160"/>
      <c r="CC93" s="160"/>
      <c r="CD93" s="160"/>
      <c r="CE93" s="160"/>
      <c r="CF93" s="160"/>
    </row>
    <row r="94">
      <c r="D94" s="159"/>
      <c r="E94" s="160"/>
      <c r="F94" s="160"/>
      <c r="G94" s="160"/>
      <c r="H94" s="160"/>
      <c r="I94" s="160"/>
      <c r="J94" s="160"/>
      <c r="K94" s="160"/>
      <c r="L94" s="160"/>
      <c r="M94" s="160"/>
      <c r="N94" s="160"/>
      <c r="O94" s="160"/>
      <c r="P94" s="160"/>
      <c r="Q94" s="160"/>
      <c r="R94" s="160"/>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c r="BT94" s="160"/>
      <c r="BU94" s="160"/>
      <c r="BV94" s="160"/>
      <c r="BW94" s="160"/>
      <c r="BX94" s="160"/>
      <c r="BY94" s="160"/>
      <c r="BZ94" s="160"/>
      <c r="CA94" s="160"/>
      <c r="CB94" s="160"/>
      <c r="CC94" s="160"/>
      <c r="CD94" s="160"/>
      <c r="CE94" s="160"/>
      <c r="CF94" s="160"/>
    </row>
    <row r="95">
      <c r="D95" s="159"/>
      <c r="E95" s="160"/>
      <c r="F95" s="160"/>
      <c r="G95" s="160"/>
      <c r="H95" s="160"/>
      <c r="I95" s="160"/>
      <c r="J95" s="160"/>
      <c r="K95" s="160"/>
      <c r="L95" s="160"/>
      <c r="M95" s="160"/>
      <c r="N95" s="160"/>
      <c r="O95" s="160"/>
      <c r="P95" s="160"/>
      <c r="Q95" s="160"/>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c r="BT95" s="160"/>
      <c r="BU95" s="160"/>
      <c r="BV95" s="160"/>
      <c r="BW95" s="160"/>
      <c r="BX95" s="160"/>
      <c r="BY95" s="160"/>
      <c r="BZ95" s="160"/>
      <c r="CA95" s="160"/>
      <c r="CB95" s="160"/>
      <c r="CC95" s="160"/>
      <c r="CD95" s="160"/>
      <c r="CE95" s="160"/>
      <c r="CF95" s="160"/>
    </row>
    <row r="96">
      <c r="D96" s="159"/>
      <c r="E96" s="160"/>
      <c r="F96" s="160"/>
      <c r="G96" s="160"/>
      <c r="H96" s="160"/>
      <c r="I96" s="160"/>
      <c r="J96" s="160"/>
      <c r="K96" s="160"/>
      <c r="L96" s="160"/>
      <c r="M96" s="160"/>
      <c r="N96" s="160"/>
      <c r="O96" s="160"/>
      <c r="P96" s="160"/>
      <c r="Q96" s="160"/>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c r="BT96" s="160"/>
      <c r="BU96" s="160"/>
      <c r="BV96" s="160"/>
      <c r="BW96" s="160"/>
      <c r="BX96" s="160"/>
      <c r="BY96" s="160"/>
      <c r="BZ96" s="160"/>
      <c r="CA96" s="160"/>
      <c r="CB96" s="160"/>
      <c r="CC96" s="160"/>
      <c r="CD96" s="160"/>
      <c r="CE96" s="160"/>
      <c r="CF96" s="160"/>
    </row>
    <row r="97">
      <c r="D97" s="159"/>
      <c r="E97" s="160"/>
      <c r="F97" s="160"/>
      <c r="G97" s="160"/>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c r="BT97" s="160"/>
      <c r="BU97" s="160"/>
      <c r="BV97" s="160"/>
      <c r="BW97" s="160"/>
      <c r="BX97" s="160"/>
      <c r="BY97" s="160"/>
      <c r="BZ97" s="160"/>
      <c r="CA97" s="160"/>
      <c r="CB97" s="160"/>
      <c r="CC97" s="160"/>
      <c r="CD97" s="160"/>
      <c r="CE97" s="160"/>
      <c r="CF97" s="160"/>
    </row>
    <row r="98">
      <c r="D98" s="159"/>
      <c r="E98" s="160"/>
      <c r="F98" s="160"/>
      <c r="G98" s="160"/>
      <c r="H98" s="160"/>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c r="BT98" s="160"/>
      <c r="BU98" s="160"/>
      <c r="BV98" s="160"/>
      <c r="BW98" s="160"/>
      <c r="BX98" s="160"/>
      <c r="BY98" s="160"/>
      <c r="BZ98" s="160"/>
      <c r="CA98" s="160"/>
      <c r="CB98" s="160"/>
      <c r="CC98" s="160"/>
      <c r="CD98" s="160"/>
      <c r="CE98" s="160"/>
      <c r="CF98" s="160"/>
    </row>
    <row r="99">
      <c r="D99" s="159"/>
      <c r="E99" s="160"/>
      <c r="F99" s="160"/>
      <c r="G99" s="160"/>
      <c r="H99" s="160"/>
      <c r="I99" s="160"/>
      <c r="J99" s="160"/>
      <c r="K99" s="160"/>
      <c r="L99" s="160"/>
      <c r="M99" s="160"/>
      <c r="N99" s="160"/>
      <c r="O99" s="160"/>
      <c r="P99" s="160"/>
      <c r="Q99" s="160"/>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c r="BT99" s="160"/>
      <c r="BU99" s="160"/>
      <c r="BV99" s="160"/>
      <c r="BW99" s="160"/>
      <c r="BX99" s="160"/>
      <c r="BY99" s="160"/>
      <c r="BZ99" s="160"/>
      <c r="CA99" s="160"/>
      <c r="CB99" s="160"/>
      <c r="CC99" s="160"/>
      <c r="CD99" s="160"/>
      <c r="CE99" s="160"/>
      <c r="CF99" s="160"/>
    </row>
    <row r="100">
      <c r="D100" s="159"/>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c r="BT100" s="160"/>
      <c r="BU100" s="160"/>
      <c r="BV100" s="160"/>
      <c r="BW100" s="160"/>
      <c r="BX100" s="160"/>
      <c r="BY100" s="160"/>
      <c r="BZ100" s="160"/>
      <c r="CA100" s="160"/>
      <c r="CB100" s="160"/>
      <c r="CC100" s="160"/>
      <c r="CD100" s="160"/>
      <c r="CE100" s="160"/>
      <c r="CF100" s="160"/>
    </row>
    <row r="101">
      <c r="D101" s="159"/>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c r="BT101" s="160"/>
      <c r="BU101" s="160"/>
      <c r="BV101" s="160"/>
      <c r="BW101" s="160"/>
      <c r="BX101" s="160"/>
      <c r="BY101" s="160"/>
      <c r="BZ101" s="160"/>
      <c r="CA101" s="160"/>
      <c r="CB101" s="160"/>
      <c r="CC101" s="160"/>
      <c r="CD101" s="160"/>
      <c r="CE101" s="160"/>
      <c r="CF101" s="160"/>
    </row>
    <row r="102">
      <c r="D102" s="159"/>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c r="BT102" s="160"/>
      <c r="BU102" s="160"/>
      <c r="BV102" s="160"/>
      <c r="BW102" s="160"/>
      <c r="BX102" s="160"/>
      <c r="BY102" s="160"/>
      <c r="BZ102" s="160"/>
      <c r="CA102" s="160"/>
      <c r="CB102" s="160"/>
      <c r="CC102" s="160"/>
      <c r="CD102" s="160"/>
      <c r="CE102" s="160"/>
      <c r="CF102" s="160"/>
    </row>
    <row r="103">
      <c r="D103" s="159"/>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c r="BT103" s="160"/>
      <c r="BU103" s="160"/>
      <c r="BV103" s="160"/>
      <c r="BW103" s="160"/>
      <c r="BX103" s="160"/>
      <c r="BY103" s="160"/>
      <c r="BZ103" s="160"/>
      <c r="CA103" s="160"/>
      <c r="CB103" s="160"/>
      <c r="CC103" s="160"/>
      <c r="CD103" s="160"/>
      <c r="CE103" s="160"/>
      <c r="CF103" s="160"/>
    </row>
    <row r="104">
      <c r="D104" s="159"/>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c r="BT104" s="160"/>
      <c r="BU104" s="160"/>
      <c r="BV104" s="160"/>
      <c r="BW104" s="160"/>
      <c r="BX104" s="160"/>
      <c r="BY104" s="160"/>
      <c r="BZ104" s="160"/>
      <c r="CA104" s="160"/>
      <c r="CB104" s="160"/>
      <c r="CC104" s="160"/>
      <c r="CD104" s="160"/>
      <c r="CE104" s="160"/>
      <c r="CF104" s="160"/>
    </row>
    <row r="105">
      <c r="D105" s="159"/>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c r="BT105" s="160"/>
      <c r="BU105" s="160"/>
      <c r="BV105" s="160"/>
      <c r="BW105" s="160"/>
      <c r="BX105" s="160"/>
      <c r="BY105" s="160"/>
      <c r="BZ105" s="160"/>
      <c r="CA105" s="160"/>
      <c r="CB105" s="160"/>
      <c r="CC105" s="160"/>
      <c r="CD105" s="160"/>
      <c r="CE105" s="160"/>
      <c r="CF105" s="160"/>
    </row>
    <row r="106">
      <c r="D106" s="159"/>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c r="BT106" s="160"/>
      <c r="BU106" s="160"/>
      <c r="BV106" s="160"/>
      <c r="BW106" s="160"/>
      <c r="BX106" s="160"/>
      <c r="BY106" s="160"/>
      <c r="BZ106" s="160"/>
      <c r="CA106" s="160"/>
      <c r="CB106" s="160"/>
      <c r="CC106" s="160"/>
      <c r="CD106" s="160"/>
      <c r="CE106" s="160"/>
      <c r="CF106" s="160"/>
    </row>
    <row r="107">
      <c r="D107" s="159"/>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c r="BT107" s="160"/>
      <c r="BU107" s="160"/>
      <c r="BV107" s="160"/>
      <c r="BW107" s="160"/>
      <c r="BX107" s="160"/>
      <c r="BY107" s="160"/>
      <c r="BZ107" s="160"/>
      <c r="CA107" s="160"/>
      <c r="CB107" s="160"/>
      <c r="CC107" s="160"/>
      <c r="CD107" s="160"/>
      <c r="CE107" s="160"/>
      <c r="CF107" s="160"/>
    </row>
    <row r="108">
      <c r="D108" s="159"/>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c r="BT108" s="160"/>
      <c r="BU108" s="160"/>
      <c r="BV108" s="160"/>
      <c r="BW108" s="160"/>
      <c r="BX108" s="160"/>
      <c r="BY108" s="160"/>
      <c r="BZ108" s="160"/>
      <c r="CA108" s="160"/>
      <c r="CB108" s="160"/>
      <c r="CC108" s="160"/>
      <c r="CD108" s="160"/>
      <c r="CE108" s="160"/>
      <c r="CF108" s="160"/>
    </row>
    <row r="109">
      <c r="D109" s="159"/>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c r="BT109" s="160"/>
      <c r="BU109" s="160"/>
      <c r="BV109" s="160"/>
      <c r="BW109" s="160"/>
      <c r="BX109" s="160"/>
      <c r="BY109" s="160"/>
      <c r="BZ109" s="160"/>
      <c r="CA109" s="160"/>
      <c r="CB109" s="160"/>
      <c r="CC109" s="160"/>
      <c r="CD109" s="160"/>
      <c r="CE109" s="160"/>
      <c r="CF109" s="160"/>
    </row>
    <row r="110">
      <c r="D110" s="159"/>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c r="BT110" s="160"/>
      <c r="BU110" s="160"/>
      <c r="BV110" s="160"/>
      <c r="BW110" s="160"/>
      <c r="BX110" s="160"/>
      <c r="BY110" s="160"/>
      <c r="BZ110" s="160"/>
      <c r="CA110" s="160"/>
      <c r="CB110" s="160"/>
      <c r="CC110" s="160"/>
      <c r="CD110" s="160"/>
      <c r="CE110" s="160"/>
      <c r="CF110" s="160"/>
    </row>
    <row r="111">
      <c r="D111" s="159"/>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c r="BT111" s="160"/>
      <c r="BU111" s="160"/>
      <c r="BV111" s="160"/>
      <c r="BW111" s="160"/>
      <c r="BX111" s="160"/>
      <c r="BY111" s="160"/>
      <c r="BZ111" s="160"/>
      <c r="CA111" s="160"/>
      <c r="CB111" s="160"/>
      <c r="CC111" s="160"/>
      <c r="CD111" s="160"/>
      <c r="CE111" s="160"/>
      <c r="CF111" s="160"/>
    </row>
    <row r="112">
      <c r="D112" s="159"/>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c r="BT112" s="160"/>
      <c r="BU112" s="160"/>
      <c r="BV112" s="160"/>
      <c r="BW112" s="160"/>
      <c r="BX112" s="160"/>
      <c r="BY112" s="160"/>
      <c r="BZ112" s="160"/>
      <c r="CA112" s="160"/>
      <c r="CB112" s="160"/>
      <c r="CC112" s="160"/>
      <c r="CD112" s="160"/>
      <c r="CE112" s="160"/>
      <c r="CF112" s="160"/>
    </row>
    <row r="113">
      <c r="D113" s="159"/>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c r="BT113" s="160"/>
      <c r="BU113" s="160"/>
      <c r="BV113" s="160"/>
      <c r="BW113" s="160"/>
      <c r="BX113" s="160"/>
      <c r="BY113" s="160"/>
      <c r="BZ113" s="160"/>
      <c r="CA113" s="160"/>
      <c r="CB113" s="160"/>
      <c r="CC113" s="160"/>
      <c r="CD113" s="160"/>
      <c r="CE113" s="160"/>
      <c r="CF113" s="160"/>
    </row>
    <row r="114">
      <c r="D114" s="159"/>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c r="BT114" s="160"/>
      <c r="BU114" s="160"/>
      <c r="BV114" s="160"/>
      <c r="BW114" s="160"/>
      <c r="BX114" s="160"/>
      <c r="BY114" s="160"/>
      <c r="BZ114" s="160"/>
      <c r="CA114" s="160"/>
      <c r="CB114" s="160"/>
      <c r="CC114" s="160"/>
      <c r="CD114" s="160"/>
      <c r="CE114" s="160"/>
      <c r="CF114" s="160"/>
    </row>
    <row r="115">
      <c r="D115" s="159"/>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c r="BT115" s="160"/>
      <c r="BU115" s="160"/>
      <c r="BV115" s="160"/>
      <c r="BW115" s="160"/>
      <c r="BX115" s="160"/>
      <c r="BY115" s="160"/>
      <c r="BZ115" s="160"/>
      <c r="CA115" s="160"/>
      <c r="CB115" s="160"/>
      <c r="CC115" s="160"/>
      <c r="CD115" s="160"/>
      <c r="CE115" s="160"/>
      <c r="CF115" s="160"/>
    </row>
    <row r="116">
      <c r="D116" s="159"/>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c r="BT116" s="160"/>
      <c r="BU116" s="160"/>
      <c r="BV116" s="160"/>
      <c r="BW116" s="160"/>
      <c r="BX116" s="160"/>
      <c r="BY116" s="160"/>
      <c r="BZ116" s="160"/>
      <c r="CA116" s="160"/>
      <c r="CB116" s="160"/>
      <c r="CC116" s="160"/>
      <c r="CD116" s="160"/>
      <c r="CE116" s="160"/>
      <c r="CF116" s="160"/>
    </row>
    <row r="117">
      <c r="D117" s="159"/>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c r="BT117" s="160"/>
      <c r="BU117" s="160"/>
      <c r="BV117" s="160"/>
      <c r="BW117" s="160"/>
      <c r="BX117" s="160"/>
      <c r="BY117" s="160"/>
      <c r="BZ117" s="160"/>
      <c r="CA117" s="160"/>
      <c r="CB117" s="160"/>
      <c r="CC117" s="160"/>
      <c r="CD117" s="160"/>
      <c r="CE117" s="160"/>
      <c r="CF117" s="160"/>
    </row>
    <row r="118">
      <c r="D118" s="159"/>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c r="BT118" s="160"/>
      <c r="BU118" s="160"/>
      <c r="BV118" s="160"/>
      <c r="BW118" s="160"/>
      <c r="BX118" s="160"/>
      <c r="BY118" s="160"/>
      <c r="BZ118" s="160"/>
      <c r="CA118" s="160"/>
      <c r="CB118" s="160"/>
      <c r="CC118" s="160"/>
      <c r="CD118" s="160"/>
      <c r="CE118" s="160"/>
      <c r="CF118" s="160"/>
    </row>
    <row r="119">
      <c r="D119" s="159"/>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c r="BT119" s="160"/>
      <c r="BU119" s="160"/>
      <c r="BV119" s="160"/>
      <c r="BW119" s="160"/>
      <c r="BX119" s="160"/>
      <c r="BY119" s="160"/>
      <c r="BZ119" s="160"/>
      <c r="CA119" s="160"/>
      <c r="CB119" s="160"/>
      <c r="CC119" s="160"/>
      <c r="CD119" s="160"/>
      <c r="CE119" s="160"/>
      <c r="CF119" s="160"/>
    </row>
    <row r="120">
      <c r="D120" s="159"/>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c r="BT120" s="160"/>
      <c r="BU120" s="160"/>
      <c r="BV120" s="160"/>
      <c r="BW120" s="160"/>
      <c r="BX120" s="160"/>
      <c r="BY120" s="160"/>
      <c r="BZ120" s="160"/>
      <c r="CA120" s="160"/>
      <c r="CB120" s="160"/>
      <c r="CC120" s="160"/>
      <c r="CD120" s="160"/>
      <c r="CE120" s="160"/>
      <c r="CF120" s="160"/>
    </row>
    <row r="121">
      <c r="D121" s="159"/>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c r="BT121" s="160"/>
      <c r="BU121" s="160"/>
      <c r="BV121" s="160"/>
      <c r="BW121" s="160"/>
      <c r="BX121" s="160"/>
      <c r="BY121" s="160"/>
      <c r="BZ121" s="160"/>
      <c r="CA121" s="160"/>
      <c r="CB121" s="160"/>
      <c r="CC121" s="160"/>
      <c r="CD121" s="160"/>
      <c r="CE121" s="160"/>
      <c r="CF121" s="160"/>
    </row>
    <row r="122">
      <c r="D122" s="159"/>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c r="BT122" s="160"/>
      <c r="BU122" s="160"/>
      <c r="BV122" s="160"/>
      <c r="BW122" s="160"/>
      <c r="BX122" s="160"/>
      <c r="BY122" s="160"/>
      <c r="BZ122" s="160"/>
      <c r="CA122" s="160"/>
      <c r="CB122" s="160"/>
      <c r="CC122" s="160"/>
      <c r="CD122" s="160"/>
      <c r="CE122" s="160"/>
      <c r="CF122" s="160"/>
    </row>
    <row r="123">
      <c r="D123" s="159"/>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c r="BT123" s="160"/>
      <c r="BU123" s="160"/>
      <c r="BV123" s="160"/>
      <c r="BW123" s="160"/>
      <c r="BX123" s="160"/>
      <c r="BY123" s="160"/>
      <c r="BZ123" s="160"/>
      <c r="CA123" s="160"/>
      <c r="CB123" s="160"/>
      <c r="CC123" s="160"/>
      <c r="CD123" s="160"/>
      <c r="CE123" s="160"/>
      <c r="CF123" s="160"/>
    </row>
    <row r="124">
      <c r="D124" s="159"/>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c r="BT124" s="160"/>
      <c r="BU124" s="160"/>
      <c r="BV124" s="160"/>
      <c r="BW124" s="160"/>
      <c r="BX124" s="160"/>
      <c r="BY124" s="160"/>
      <c r="BZ124" s="160"/>
      <c r="CA124" s="160"/>
      <c r="CB124" s="160"/>
      <c r="CC124" s="160"/>
      <c r="CD124" s="160"/>
      <c r="CE124" s="160"/>
      <c r="CF124" s="160"/>
    </row>
    <row r="125">
      <c r="D125" s="159"/>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c r="BT125" s="160"/>
      <c r="BU125" s="160"/>
      <c r="BV125" s="160"/>
      <c r="BW125" s="160"/>
      <c r="BX125" s="160"/>
      <c r="BY125" s="160"/>
      <c r="BZ125" s="160"/>
      <c r="CA125" s="160"/>
      <c r="CB125" s="160"/>
      <c r="CC125" s="160"/>
      <c r="CD125" s="160"/>
      <c r="CE125" s="160"/>
      <c r="CF125" s="160"/>
    </row>
    <row r="126">
      <c r="D126" s="159"/>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c r="BT126" s="160"/>
      <c r="BU126" s="160"/>
      <c r="BV126" s="160"/>
      <c r="BW126" s="160"/>
      <c r="BX126" s="160"/>
      <c r="BY126" s="160"/>
      <c r="BZ126" s="160"/>
      <c r="CA126" s="160"/>
      <c r="CB126" s="160"/>
      <c r="CC126" s="160"/>
      <c r="CD126" s="160"/>
      <c r="CE126" s="160"/>
      <c r="CF126" s="160"/>
    </row>
    <row r="127">
      <c r="D127" s="159"/>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c r="BT127" s="160"/>
      <c r="BU127" s="160"/>
      <c r="BV127" s="160"/>
      <c r="BW127" s="160"/>
      <c r="BX127" s="160"/>
      <c r="BY127" s="160"/>
      <c r="BZ127" s="160"/>
      <c r="CA127" s="160"/>
      <c r="CB127" s="160"/>
      <c r="CC127" s="160"/>
      <c r="CD127" s="160"/>
      <c r="CE127" s="160"/>
      <c r="CF127" s="160"/>
    </row>
    <row r="128">
      <c r="D128" s="159"/>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c r="BT128" s="160"/>
      <c r="BU128" s="160"/>
      <c r="BV128" s="160"/>
      <c r="BW128" s="160"/>
      <c r="BX128" s="160"/>
      <c r="BY128" s="160"/>
      <c r="BZ128" s="160"/>
      <c r="CA128" s="160"/>
      <c r="CB128" s="160"/>
      <c r="CC128" s="160"/>
      <c r="CD128" s="160"/>
      <c r="CE128" s="160"/>
      <c r="CF128" s="160"/>
    </row>
    <row r="129">
      <c r="D129" s="159"/>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c r="BT129" s="160"/>
      <c r="BU129" s="160"/>
      <c r="BV129" s="160"/>
      <c r="BW129" s="160"/>
      <c r="BX129" s="160"/>
      <c r="BY129" s="160"/>
      <c r="BZ129" s="160"/>
      <c r="CA129" s="160"/>
      <c r="CB129" s="160"/>
      <c r="CC129" s="160"/>
      <c r="CD129" s="160"/>
      <c r="CE129" s="160"/>
      <c r="CF129" s="160"/>
    </row>
    <row r="130">
      <c r="D130" s="159"/>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c r="BT130" s="160"/>
      <c r="BU130" s="160"/>
      <c r="BV130" s="160"/>
      <c r="BW130" s="160"/>
      <c r="BX130" s="160"/>
      <c r="BY130" s="160"/>
      <c r="BZ130" s="160"/>
      <c r="CA130" s="160"/>
      <c r="CB130" s="160"/>
      <c r="CC130" s="160"/>
      <c r="CD130" s="160"/>
      <c r="CE130" s="160"/>
      <c r="CF130" s="160"/>
    </row>
    <row r="131">
      <c r="D131" s="159"/>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c r="BT131" s="160"/>
      <c r="BU131" s="160"/>
      <c r="BV131" s="160"/>
      <c r="BW131" s="160"/>
      <c r="BX131" s="160"/>
      <c r="BY131" s="160"/>
      <c r="BZ131" s="160"/>
      <c r="CA131" s="160"/>
      <c r="CB131" s="160"/>
      <c r="CC131" s="160"/>
      <c r="CD131" s="160"/>
      <c r="CE131" s="160"/>
      <c r="CF131" s="160"/>
    </row>
    <row r="132">
      <c r="D132" s="159"/>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c r="BT132" s="160"/>
      <c r="BU132" s="160"/>
      <c r="BV132" s="160"/>
      <c r="BW132" s="160"/>
      <c r="BX132" s="160"/>
      <c r="BY132" s="160"/>
      <c r="BZ132" s="160"/>
      <c r="CA132" s="160"/>
      <c r="CB132" s="160"/>
      <c r="CC132" s="160"/>
      <c r="CD132" s="160"/>
      <c r="CE132" s="160"/>
      <c r="CF132" s="160"/>
    </row>
    <row r="133">
      <c r="D133" s="159"/>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c r="BT133" s="160"/>
      <c r="BU133" s="160"/>
      <c r="BV133" s="160"/>
      <c r="BW133" s="160"/>
      <c r="BX133" s="160"/>
      <c r="BY133" s="160"/>
      <c r="BZ133" s="160"/>
      <c r="CA133" s="160"/>
      <c r="CB133" s="160"/>
      <c r="CC133" s="160"/>
      <c r="CD133" s="160"/>
      <c r="CE133" s="160"/>
      <c r="CF133" s="160"/>
    </row>
    <row r="134">
      <c r="D134" s="159"/>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c r="BT134" s="160"/>
      <c r="BU134" s="160"/>
      <c r="BV134" s="160"/>
      <c r="BW134" s="160"/>
      <c r="BX134" s="160"/>
      <c r="BY134" s="160"/>
      <c r="BZ134" s="160"/>
      <c r="CA134" s="160"/>
      <c r="CB134" s="160"/>
      <c r="CC134" s="160"/>
      <c r="CD134" s="160"/>
      <c r="CE134" s="160"/>
      <c r="CF134" s="160"/>
    </row>
    <row r="135">
      <c r="D135" s="159"/>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c r="BT135" s="160"/>
      <c r="BU135" s="160"/>
      <c r="BV135" s="160"/>
      <c r="BW135" s="160"/>
      <c r="BX135" s="160"/>
      <c r="BY135" s="160"/>
      <c r="BZ135" s="160"/>
      <c r="CA135" s="160"/>
      <c r="CB135" s="160"/>
      <c r="CC135" s="160"/>
      <c r="CD135" s="160"/>
      <c r="CE135" s="160"/>
      <c r="CF135" s="160"/>
    </row>
    <row r="136">
      <c r="D136" s="159"/>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c r="BT136" s="160"/>
      <c r="BU136" s="160"/>
      <c r="BV136" s="160"/>
      <c r="BW136" s="160"/>
      <c r="BX136" s="160"/>
      <c r="BY136" s="160"/>
      <c r="BZ136" s="160"/>
      <c r="CA136" s="160"/>
      <c r="CB136" s="160"/>
      <c r="CC136" s="160"/>
      <c r="CD136" s="160"/>
      <c r="CE136" s="160"/>
      <c r="CF136" s="160"/>
    </row>
    <row r="137">
      <c r="D137" s="159"/>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c r="BT137" s="160"/>
      <c r="BU137" s="160"/>
      <c r="BV137" s="160"/>
      <c r="BW137" s="160"/>
      <c r="BX137" s="160"/>
      <c r="BY137" s="160"/>
      <c r="BZ137" s="160"/>
      <c r="CA137" s="160"/>
      <c r="CB137" s="160"/>
      <c r="CC137" s="160"/>
      <c r="CD137" s="160"/>
      <c r="CE137" s="160"/>
      <c r="CF137" s="160"/>
    </row>
    <row r="138">
      <c r="D138" s="159"/>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c r="BT138" s="160"/>
      <c r="BU138" s="160"/>
      <c r="BV138" s="160"/>
      <c r="BW138" s="160"/>
      <c r="BX138" s="160"/>
      <c r="BY138" s="160"/>
      <c r="BZ138" s="160"/>
      <c r="CA138" s="160"/>
      <c r="CB138" s="160"/>
      <c r="CC138" s="160"/>
      <c r="CD138" s="160"/>
      <c r="CE138" s="160"/>
      <c r="CF138" s="160"/>
    </row>
    <row r="139">
      <c r="D139" s="159"/>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c r="BT139" s="160"/>
      <c r="BU139" s="160"/>
      <c r="BV139" s="160"/>
      <c r="BW139" s="160"/>
      <c r="BX139" s="160"/>
      <c r="BY139" s="160"/>
      <c r="BZ139" s="160"/>
      <c r="CA139" s="160"/>
      <c r="CB139" s="160"/>
      <c r="CC139" s="160"/>
      <c r="CD139" s="160"/>
      <c r="CE139" s="160"/>
      <c r="CF139" s="160"/>
    </row>
    <row r="140">
      <c r="D140" s="159"/>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c r="BT140" s="160"/>
      <c r="BU140" s="160"/>
      <c r="BV140" s="160"/>
      <c r="BW140" s="160"/>
      <c r="BX140" s="160"/>
      <c r="BY140" s="160"/>
      <c r="BZ140" s="160"/>
      <c r="CA140" s="160"/>
      <c r="CB140" s="160"/>
      <c r="CC140" s="160"/>
      <c r="CD140" s="160"/>
      <c r="CE140" s="160"/>
      <c r="CF140" s="160"/>
    </row>
    <row r="141">
      <c r="D141" s="159"/>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c r="BT141" s="160"/>
      <c r="BU141" s="160"/>
      <c r="BV141" s="160"/>
      <c r="BW141" s="160"/>
      <c r="BX141" s="160"/>
      <c r="BY141" s="160"/>
      <c r="BZ141" s="160"/>
      <c r="CA141" s="160"/>
      <c r="CB141" s="160"/>
      <c r="CC141" s="160"/>
      <c r="CD141" s="160"/>
      <c r="CE141" s="160"/>
      <c r="CF141" s="160"/>
    </row>
    <row r="142">
      <c r="D142" s="159"/>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c r="BT142" s="160"/>
      <c r="BU142" s="160"/>
      <c r="BV142" s="160"/>
      <c r="BW142" s="160"/>
      <c r="BX142" s="160"/>
      <c r="BY142" s="160"/>
      <c r="BZ142" s="160"/>
      <c r="CA142" s="160"/>
      <c r="CB142" s="160"/>
      <c r="CC142" s="160"/>
      <c r="CD142" s="160"/>
      <c r="CE142" s="160"/>
      <c r="CF142" s="160"/>
    </row>
    <row r="143">
      <c r="D143" s="159"/>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c r="BT143" s="160"/>
      <c r="BU143" s="160"/>
      <c r="BV143" s="160"/>
      <c r="BW143" s="160"/>
      <c r="BX143" s="160"/>
      <c r="BY143" s="160"/>
      <c r="BZ143" s="160"/>
      <c r="CA143" s="160"/>
      <c r="CB143" s="160"/>
      <c r="CC143" s="160"/>
      <c r="CD143" s="160"/>
      <c r="CE143" s="160"/>
      <c r="CF143" s="160"/>
    </row>
    <row r="144">
      <c r="D144" s="159"/>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c r="BT144" s="160"/>
      <c r="BU144" s="160"/>
      <c r="BV144" s="160"/>
      <c r="BW144" s="160"/>
      <c r="BX144" s="160"/>
      <c r="BY144" s="160"/>
      <c r="BZ144" s="160"/>
      <c r="CA144" s="160"/>
      <c r="CB144" s="160"/>
      <c r="CC144" s="160"/>
      <c r="CD144" s="160"/>
      <c r="CE144" s="160"/>
      <c r="CF144" s="160"/>
    </row>
    <row r="145">
      <c r="D145" s="159"/>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c r="BT145" s="160"/>
      <c r="BU145" s="160"/>
      <c r="BV145" s="160"/>
      <c r="BW145" s="160"/>
      <c r="BX145" s="160"/>
      <c r="BY145" s="160"/>
      <c r="BZ145" s="160"/>
      <c r="CA145" s="160"/>
      <c r="CB145" s="160"/>
      <c r="CC145" s="160"/>
      <c r="CD145" s="160"/>
      <c r="CE145" s="160"/>
      <c r="CF145" s="160"/>
    </row>
    <row r="146">
      <c r="D146" s="159"/>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c r="BT146" s="160"/>
      <c r="BU146" s="160"/>
      <c r="BV146" s="160"/>
      <c r="BW146" s="160"/>
      <c r="BX146" s="160"/>
      <c r="BY146" s="160"/>
      <c r="BZ146" s="160"/>
      <c r="CA146" s="160"/>
      <c r="CB146" s="160"/>
      <c r="CC146" s="160"/>
      <c r="CD146" s="160"/>
      <c r="CE146" s="160"/>
      <c r="CF146" s="160"/>
    </row>
    <row r="147">
      <c r="D147" s="159"/>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c r="BT147" s="160"/>
      <c r="BU147" s="160"/>
      <c r="BV147" s="160"/>
      <c r="BW147" s="160"/>
      <c r="BX147" s="160"/>
      <c r="BY147" s="160"/>
      <c r="BZ147" s="160"/>
      <c r="CA147" s="160"/>
      <c r="CB147" s="160"/>
      <c r="CC147" s="160"/>
      <c r="CD147" s="160"/>
      <c r="CE147" s="160"/>
      <c r="CF147" s="160"/>
    </row>
    <row r="148">
      <c r="D148" s="159"/>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c r="BT148" s="160"/>
      <c r="BU148" s="160"/>
      <c r="BV148" s="160"/>
      <c r="BW148" s="160"/>
      <c r="BX148" s="160"/>
      <c r="BY148" s="160"/>
      <c r="BZ148" s="160"/>
      <c r="CA148" s="160"/>
      <c r="CB148" s="160"/>
      <c r="CC148" s="160"/>
      <c r="CD148" s="160"/>
      <c r="CE148" s="160"/>
      <c r="CF148" s="160"/>
    </row>
    <row r="149">
      <c r="D149" s="159"/>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c r="BT149" s="160"/>
      <c r="BU149" s="160"/>
      <c r="BV149" s="160"/>
      <c r="BW149" s="160"/>
      <c r="BX149" s="160"/>
      <c r="BY149" s="160"/>
      <c r="BZ149" s="160"/>
      <c r="CA149" s="160"/>
      <c r="CB149" s="160"/>
      <c r="CC149" s="160"/>
      <c r="CD149" s="160"/>
      <c r="CE149" s="160"/>
      <c r="CF149" s="160"/>
    </row>
    <row r="150">
      <c r="D150" s="159"/>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c r="BT150" s="160"/>
      <c r="BU150" s="160"/>
      <c r="BV150" s="160"/>
      <c r="BW150" s="160"/>
      <c r="BX150" s="160"/>
      <c r="BY150" s="160"/>
      <c r="BZ150" s="160"/>
      <c r="CA150" s="160"/>
      <c r="CB150" s="160"/>
      <c r="CC150" s="160"/>
      <c r="CD150" s="160"/>
      <c r="CE150" s="160"/>
      <c r="CF150" s="160"/>
    </row>
    <row r="151">
      <c r="D151" s="159"/>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c r="BT151" s="160"/>
      <c r="BU151" s="160"/>
      <c r="BV151" s="160"/>
      <c r="BW151" s="160"/>
      <c r="BX151" s="160"/>
      <c r="BY151" s="160"/>
      <c r="BZ151" s="160"/>
      <c r="CA151" s="160"/>
      <c r="CB151" s="160"/>
      <c r="CC151" s="160"/>
      <c r="CD151" s="160"/>
      <c r="CE151" s="160"/>
      <c r="CF151" s="160"/>
    </row>
    <row r="152">
      <c r="D152" s="159"/>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c r="BT152" s="160"/>
      <c r="BU152" s="160"/>
      <c r="BV152" s="160"/>
      <c r="BW152" s="160"/>
      <c r="BX152" s="160"/>
      <c r="BY152" s="160"/>
      <c r="BZ152" s="160"/>
      <c r="CA152" s="160"/>
      <c r="CB152" s="160"/>
      <c r="CC152" s="160"/>
      <c r="CD152" s="160"/>
      <c r="CE152" s="160"/>
      <c r="CF152" s="160"/>
    </row>
    <row r="153">
      <c r="D153" s="159"/>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c r="BT153" s="160"/>
      <c r="BU153" s="160"/>
      <c r="BV153" s="160"/>
      <c r="BW153" s="160"/>
      <c r="BX153" s="160"/>
      <c r="BY153" s="160"/>
      <c r="BZ153" s="160"/>
      <c r="CA153" s="160"/>
      <c r="CB153" s="160"/>
      <c r="CC153" s="160"/>
      <c r="CD153" s="160"/>
      <c r="CE153" s="160"/>
      <c r="CF153" s="160"/>
    </row>
    <row r="154">
      <c r="D154" s="159"/>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c r="BT154" s="160"/>
      <c r="BU154" s="160"/>
      <c r="BV154" s="160"/>
      <c r="BW154" s="160"/>
      <c r="BX154" s="160"/>
      <c r="BY154" s="160"/>
      <c r="BZ154" s="160"/>
      <c r="CA154" s="160"/>
      <c r="CB154" s="160"/>
      <c r="CC154" s="160"/>
      <c r="CD154" s="160"/>
      <c r="CE154" s="160"/>
      <c r="CF154" s="160"/>
    </row>
    <row r="155">
      <c r="D155" s="159"/>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c r="BT155" s="160"/>
      <c r="BU155" s="160"/>
      <c r="BV155" s="160"/>
      <c r="BW155" s="160"/>
      <c r="BX155" s="160"/>
      <c r="BY155" s="160"/>
      <c r="BZ155" s="160"/>
      <c r="CA155" s="160"/>
      <c r="CB155" s="160"/>
      <c r="CC155" s="160"/>
      <c r="CD155" s="160"/>
      <c r="CE155" s="160"/>
      <c r="CF155" s="160"/>
    </row>
    <row r="156">
      <c r="D156" s="159"/>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c r="BT156" s="160"/>
      <c r="BU156" s="160"/>
      <c r="BV156" s="160"/>
      <c r="BW156" s="160"/>
      <c r="BX156" s="160"/>
      <c r="BY156" s="160"/>
      <c r="BZ156" s="160"/>
      <c r="CA156" s="160"/>
      <c r="CB156" s="160"/>
      <c r="CC156" s="160"/>
      <c r="CD156" s="160"/>
      <c r="CE156" s="160"/>
      <c r="CF156" s="160"/>
    </row>
    <row r="157">
      <c r="D157" s="159"/>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c r="BT157" s="160"/>
      <c r="BU157" s="160"/>
      <c r="BV157" s="160"/>
      <c r="BW157" s="160"/>
      <c r="BX157" s="160"/>
      <c r="BY157" s="160"/>
      <c r="BZ157" s="160"/>
      <c r="CA157" s="160"/>
      <c r="CB157" s="160"/>
      <c r="CC157" s="160"/>
      <c r="CD157" s="160"/>
      <c r="CE157" s="160"/>
      <c r="CF157" s="160"/>
    </row>
    <row r="158">
      <c r="D158" s="159"/>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c r="BT158" s="160"/>
      <c r="BU158" s="160"/>
      <c r="BV158" s="160"/>
      <c r="BW158" s="160"/>
      <c r="BX158" s="160"/>
      <c r="BY158" s="160"/>
      <c r="BZ158" s="160"/>
      <c r="CA158" s="160"/>
      <c r="CB158" s="160"/>
      <c r="CC158" s="160"/>
      <c r="CD158" s="160"/>
      <c r="CE158" s="160"/>
      <c r="CF158" s="160"/>
    </row>
    <row r="159">
      <c r="D159" s="159"/>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c r="BT159" s="160"/>
      <c r="BU159" s="160"/>
      <c r="BV159" s="160"/>
      <c r="BW159" s="160"/>
      <c r="BX159" s="160"/>
      <c r="BY159" s="160"/>
      <c r="BZ159" s="160"/>
      <c r="CA159" s="160"/>
      <c r="CB159" s="160"/>
      <c r="CC159" s="160"/>
      <c r="CD159" s="160"/>
      <c r="CE159" s="160"/>
      <c r="CF159" s="160"/>
    </row>
    <row r="160">
      <c r="D160" s="159"/>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c r="BT160" s="160"/>
      <c r="BU160" s="160"/>
      <c r="BV160" s="160"/>
      <c r="BW160" s="160"/>
      <c r="BX160" s="160"/>
      <c r="BY160" s="160"/>
      <c r="BZ160" s="160"/>
      <c r="CA160" s="160"/>
      <c r="CB160" s="160"/>
      <c r="CC160" s="160"/>
      <c r="CD160" s="160"/>
      <c r="CE160" s="160"/>
      <c r="CF160" s="160"/>
    </row>
    <row r="161">
      <c r="D161" s="159"/>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c r="BT161" s="160"/>
      <c r="BU161" s="160"/>
      <c r="BV161" s="160"/>
      <c r="BW161" s="160"/>
      <c r="BX161" s="160"/>
      <c r="BY161" s="160"/>
      <c r="BZ161" s="160"/>
      <c r="CA161" s="160"/>
      <c r="CB161" s="160"/>
      <c r="CC161" s="160"/>
      <c r="CD161" s="160"/>
      <c r="CE161" s="160"/>
      <c r="CF161" s="160"/>
    </row>
    <row r="162">
      <c r="D162" s="159"/>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c r="BT162" s="160"/>
      <c r="BU162" s="160"/>
      <c r="BV162" s="160"/>
      <c r="BW162" s="160"/>
      <c r="BX162" s="160"/>
      <c r="BY162" s="160"/>
      <c r="BZ162" s="160"/>
      <c r="CA162" s="160"/>
      <c r="CB162" s="160"/>
      <c r="CC162" s="160"/>
      <c r="CD162" s="160"/>
      <c r="CE162" s="160"/>
      <c r="CF162" s="160"/>
    </row>
    <row r="163">
      <c r="D163" s="159"/>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c r="BT163" s="160"/>
      <c r="BU163" s="160"/>
      <c r="BV163" s="160"/>
      <c r="BW163" s="160"/>
      <c r="BX163" s="160"/>
      <c r="BY163" s="160"/>
      <c r="BZ163" s="160"/>
      <c r="CA163" s="160"/>
      <c r="CB163" s="160"/>
      <c r="CC163" s="160"/>
      <c r="CD163" s="160"/>
      <c r="CE163" s="160"/>
      <c r="CF163" s="160"/>
    </row>
    <row r="164">
      <c r="D164" s="159"/>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c r="BT164" s="160"/>
      <c r="BU164" s="160"/>
      <c r="BV164" s="160"/>
      <c r="BW164" s="160"/>
      <c r="BX164" s="160"/>
      <c r="BY164" s="160"/>
      <c r="BZ164" s="160"/>
      <c r="CA164" s="160"/>
      <c r="CB164" s="160"/>
      <c r="CC164" s="160"/>
      <c r="CD164" s="160"/>
      <c r="CE164" s="160"/>
      <c r="CF164" s="160"/>
    </row>
    <row r="165">
      <c r="D165" s="159"/>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c r="BT165" s="160"/>
      <c r="BU165" s="160"/>
      <c r="BV165" s="160"/>
      <c r="BW165" s="160"/>
      <c r="BX165" s="160"/>
      <c r="BY165" s="160"/>
      <c r="BZ165" s="160"/>
      <c r="CA165" s="160"/>
      <c r="CB165" s="160"/>
      <c r="CC165" s="160"/>
      <c r="CD165" s="160"/>
      <c r="CE165" s="160"/>
      <c r="CF165" s="160"/>
    </row>
    <row r="166">
      <c r="D166" s="159"/>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c r="BT166" s="160"/>
      <c r="BU166" s="160"/>
      <c r="BV166" s="160"/>
      <c r="BW166" s="160"/>
      <c r="BX166" s="160"/>
      <c r="BY166" s="160"/>
      <c r="BZ166" s="160"/>
      <c r="CA166" s="160"/>
      <c r="CB166" s="160"/>
      <c r="CC166" s="160"/>
      <c r="CD166" s="160"/>
      <c r="CE166" s="160"/>
      <c r="CF166" s="160"/>
    </row>
    <row r="167">
      <c r="D167" s="159"/>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c r="BT167" s="160"/>
      <c r="BU167" s="160"/>
      <c r="BV167" s="160"/>
      <c r="BW167" s="160"/>
      <c r="BX167" s="160"/>
      <c r="BY167" s="160"/>
      <c r="BZ167" s="160"/>
      <c r="CA167" s="160"/>
      <c r="CB167" s="160"/>
      <c r="CC167" s="160"/>
      <c r="CD167" s="160"/>
      <c r="CE167" s="160"/>
      <c r="CF167" s="160"/>
    </row>
    <row r="168">
      <c r="D168" s="159"/>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c r="BT168" s="160"/>
      <c r="BU168" s="160"/>
      <c r="BV168" s="160"/>
      <c r="BW168" s="160"/>
      <c r="BX168" s="160"/>
      <c r="BY168" s="160"/>
      <c r="BZ168" s="160"/>
      <c r="CA168" s="160"/>
      <c r="CB168" s="160"/>
      <c r="CC168" s="160"/>
      <c r="CD168" s="160"/>
      <c r="CE168" s="160"/>
      <c r="CF168" s="160"/>
    </row>
    <row r="169">
      <c r="D169" s="159"/>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c r="BT169" s="160"/>
      <c r="BU169" s="160"/>
      <c r="BV169" s="160"/>
      <c r="BW169" s="160"/>
      <c r="BX169" s="160"/>
      <c r="BY169" s="160"/>
      <c r="BZ169" s="160"/>
      <c r="CA169" s="160"/>
      <c r="CB169" s="160"/>
      <c r="CC169" s="160"/>
      <c r="CD169" s="160"/>
      <c r="CE169" s="160"/>
      <c r="CF169" s="160"/>
    </row>
    <row r="170">
      <c r="D170" s="159"/>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c r="BT170" s="160"/>
      <c r="BU170" s="160"/>
      <c r="BV170" s="160"/>
      <c r="BW170" s="160"/>
      <c r="BX170" s="160"/>
      <c r="BY170" s="160"/>
      <c r="BZ170" s="160"/>
      <c r="CA170" s="160"/>
      <c r="CB170" s="160"/>
      <c r="CC170" s="160"/>
      <c r="CD170" s="160"/>
      <c r="CE170" s="160"/>
      <c r="CF170" s="160"/>
    </row>
    <row r="171">
      <c r="D171" s="159"/>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c r="BT171" s="160"/>
      <c r="BU171" s="160"/>
      <c r="BV171" s="160"/>
      <c r="BW171" s="160"/>
      <c r="BX171" s="160"/>
      <c r="BY171" s="160"/>
      <c r="BZ171" s="160"/>
      <c r="CA171" s="160"/>
      <c r="CB171" s="160"/>
      <c r="CC171" s="160"/>
      <c r="CD171" s="160"/>
      <c r="CE171" s="160"/>
      <c r="CF171" s="160"/>
    </row>
    <row r="172">
      <c r="D172" s="159"/>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c r="BT172" s="160"/>
      <c r="BU172" s="160"/>
      <c r="BV172" s="160"/>
      <c r="BW172" s="160"/>
      <c r="BX172" s="160"/>
      <c r="BY172" s="160"/>
      <c r="BZ172" s="160"/>
      <c r="CA172" s="160"/>
      <c r="CB172" s="160"/>
      <c r="CC172" s="160"/>
      <c r="CD172" s="160"/>
      <c r="CE172" s="160"/>
      <c r="CF172" s="160"/>
    </row>
    <row r="173">
      <c r="D173" s="159"/>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c r="BT173" s="160"/>
      <c r="BU173" s="160"/>
      <c r="BV173" s="160"/>
      <c r="BW173" s="160"/>
      <c r="BX173" s="160"/>
      <c r="BY173" s="160"/>
      <c r="BZ173" s="160"/>
      <c r="CA173" s="160"/>
      <c r="CB173" s="160"/>
      <c r="CC173" s="160"/>
      <c r="CD173" s="160"/>
      <c r="CE173" s="160"/>
      <c r="CF173" s="160"/>
    </row>
    <row r="174">
      <c r="D174" s="159"/>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c r="BT174" s="160"/>
      <c r="BU174" s="160"/>
      <c r="BV174" s="160"/>
      <c r="BW174" s="160"/>
      <c r="BX174" s="160"/>
      <c r="BY174" s="160"/>
      <c r="BZ174" s="160"/>
      <c r="CA174" s="160"/>
      <c r="CB174" s="160"/>
      <c r="CC174" s="160"/>
      <c r="CD174" s="160"/>
      <c r="CE174" s="160"/>
      <c r="CF174" s="160"/>
    </row>
    <row r="175">
      <c r="D175" s="159"/>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c r="BT175" s="160"/>
      <c r="BU175" s="160"/>
      <c r="BV175" s="160"/>
      <c r="BW175" s="160"/>
      <c r="BX175" s="160"/>
      <c r="BY175" s="160"/>
      <c r="BZ175" s="160"/>
      <c r="CA175" s="160"/>
      <c r="CB175" s="160"/>
      <c r="CC175" s="160"/>
      <c r="CD175" s="160"/>
      <c r="CE175" s="160"/>
      <c r="CF175" s="160"/>
    </row>
    <row r="176">
      <c r="D176" s="159"/>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c r="BT176" s="160"/>
      <c r="BU176" s="160"/>
      <c r="BV176" s="160"/>
      <c r="BW176" s="160"/>
      <c r="BX176" s="160"/>
      <c r="BY176" s="160"/>
      <c r="BZ176" s="160"/>
      <c r="CA176" s="160"/>
      <c r="CB176" s="160"/>
      <c r="CC176" s="160"/>
      <c r="CD176" s="160"/>
      <c r="CE176" s="160"/>
      <c r="CF176" s="160"/>
    </row>
    <row r="177">
      <c r="D177" s="159"/>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c r="BT177" s="160"/>
      <c r="BU177" s="160"/>
      <c r="BV177" s="160"/>
      <c r="BW177" s="160"/>
      <c r="BX177" s="160"/>
      <c r="BY177" s="160"/>
      <c r="BZ177" s="160"/>
      <c r="CA177" s="160"/>
      <c r="CB177" s="160"/>
      <c r="CC177" s="160"/>
      <c r="CD177" s="160"/>
      <c r="CE177" s="160"/>
      <c r="CF177" s="160"/>
    </row>
    <row r="178">
      <c r="D178" s="159"/>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c r="BT178" s="160"/>
      <c r="BU178" s="160"/>
      <c r="BV178" s="160"/>
      <c r="BW178" s="160"/>
      <c r="BX178" s="160"/>
      <c r="BY178" s="160"/>
      <c r="BZ178" s="160"/>
      <c r="CA178" s="160"/>
      <c r="CB178" s="160"/>
      <c r="CC178" s="160"/>
      <c r="CD178" s="160"/>
      <c r="CE178" s="160"/>
      <c r="CF178" s="160"/>
    </row>
    <row r="179">
      <c r="D179" s="159"/>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c r="BT179" s="160"/>
      <c r="BU179" s="160"/>
      <c r="BV179" s="160"/>
      <c r="BW179" s="160"/>
      <c r="BX179" s="160"/>
      <c r="BY179" s="160"/>
      <c r="BZ179" s="160"/>
      <c r="CA179" s="160"/>
      <c r="CB179" s="160"/>
      <c r="CC179" s="160"/>
      <c r="CD179" s="160"/>
      <c r="CE179" s="160"/>
      <c r="CF179" s="160"/>
    </row>
    <row r="180">
      <c r="D180" s="159"/>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c r="BT180" s="160"/>
      <c r="BU180" s="160"/>
      <c r="BV180" s="160"/>
      <c r="BW180" s="160"/>
      <c r="BX180" s="160"/>
      <c r="BY180" s="160"/>
      <c r="BZ180" s="160"/>
      <c r="CA180" s="160"/>
      <c r="CB180" s="160"/>
      <c r="CC180" s="160"/>
      <c r="CD180" s="160"/>
      <c r="CE180" s="160"/>
      <c r="CF180" s="160"/>
    </row>
    <row r="181">
      <c r="D181" s="159"/>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c r="BT181" s="160"/>
      <c r="BU181" s="160"/>
      <c r="BV181" s="160"/>
      <c r="BW181" s="160"/>
      <c r="BX181" s="160"/>
      <c r="BY181" s="160"/>
      <c r="BZ181" s="160"/>
      <c r="CA181" s="160"/>
      <c r="CB181" s="160"/>
      <c r="CC181" s="160"/>
      <c r="CD181" s="160"/>
      <c r="CE181" s="160"/>
      <c r="CF181" s="160"/>
    </row>
    <row r="182">
      <c r="D182" s="159"/>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c r="BT182" s="160"/>
      <c r="BU182" s="160"/>
      <c r="BV182" s="160"/>
      <c r="BW182" s="160"/>
      <c r="BX182" s="160"/>
      <c r="BY182" s="160"/>
      <c r="BZ182" s="160"/>
      <c r="CA182" s="160"/>
      <c r="CB182" s="160"/>
      <c r="CC182" s="160"/>
      <c r="CD182" s="160"/>
      <c r="CE182" s="160"/>
      <c r="CF182" s="160"/>
    </row>
    <row r="183">
      <c r="D183" s="159"/>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c r="BT183" s="160"/>
      <c r="BU183" s="160"/>
      <c r="BV183" s="160"/>
      <c r="BW183" s="160"/>
      <c r="BX183" s="160"/>
      <c r="BY183" s="160"/>
      <c r="BZ183" s="160"/>
      <c r="CA183" s="160"/>
      <c r="CB183" s="160"/>
      <c r="CC183" s="160"/>
      <c r="CD183" s="160"/>
      <c r="CE183" s="160"/>
      <c r="CF183" s="160"/>
    </row>
    <row r="184">
      <c r="D184" s="159"/>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c r="BT184" s="160"/>
      <c r="BU184" s="160"/>
      <c r="BV184" s="160"/>
      <c r="BW184" s="160"/>
      <c r="BX184" s="160"/>
      <c r="BY184" s="160"/>
      <c r="BZ184" s="160"/>
      <c r="CA184" s="160"/>
      <c r="CB184" s="160"/>
      <c r="CC184" s="160"/>
      <c r="CD184" s="160"/>
      <c r="CE184" s="160"/>
      <c r="CF184" s="160"/>
    </row>
    <row r="185">
      <c r="D185" s="159"/>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c r="BT185" s="160"/>
      <c r="BU185" s="160"/>
      <c r="BV185" s="160"/>
      <c r="BW185" s="160"/>
      <c r="BX185" s="160"/>
      <c r="BY185" s="160"/>
      <c r="BZ185" s="160"/>
      <c r="CA185" s="160"/>
      <c r="CB185" s="160"/>
      <c r="CC185" s="160"/>
      <c r="CD185" s="160"/>
      <c r="CE185" s="160"/>
      <c r="CF185" s="160"/>
    </row>
    <row r="186">
      <c r="D186" s="159"/>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c r="BT186" s="160"/>
      <c r="BU186" s="160"/>
      <c r="BV186" s="160"/>
      <c r="BW186" s="160"/>
      <c r="BX186" s="160"/>
      <c r="BY186" s="160"/>
      <c r="BZ186" s="160"/>
      <c r="CA186" s="160"/>
      <c r="CB186" s="160"/>
      <c r="CC186" s="160"/>
      <c r="CD186" s="160"/>
      <c r="CE186" s="160"/>
      <c r="CF186" s="160"/>
    </row>
    <row r="187">
      <c r="D187" s="159"/>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c r="BT187" s="160"/>
      <c r="BU187" s="160"/>
      <c r="BV187" s="160"/>
      <c r="BW187" s="160"/>
      <c r="BX187" s="160"/>
      <c r="BY187" s="160"/>
      <c r="BZ187" s="160"/>
      <c r="CA187" s="160"/>
      <c r="CB187" s="160"/>
      <c r="CC187" s="160"/>
      <c r="CD187" s="160"/>
      <c r="CE187" s="160"/>
      <c r="CF187" s="160"/>
    </row>
    <row r="188">
      <c r="D188" s="159"/>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c r="BT188" s="160"/>
      <c r="BU188" s="160"/>
      <c r="BV188" s="160"/>
      <c r="BW188" s="160"/>
      <c r="BX188" s="160"/>
      <c r="BY188" s="160"/>
      <c r="BZ188" s="160"/>
      <c r="CA188" s="160"/>
      <c r="CB188" s="160"/>
      <c r="CC188" s="160"/>
      <c r="CD188" s="160"/>
      <c r="CE188" s="160"/>
      <c r="CF188" s="160"/>
    </row>
    <row r="189">
      <c r="D189" s="159"/>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c r="BT189" s="160"/>
      <c r="BU189" s="160"/>
      <c r="BV189" s="160"/>
      <c r="BW189" s="160"/>
      <c r="BX189" s="160"/>
      <c r="BY189" s="160"/>
      <c r="BZ189" s="160"/>
      <c r="CA189" s="160"/>
      <c r="CB189" s="160"/>
      <c r="CC189" s="160"/>
      <c r="CD189" s="160"/>
      <c r="CE189" s="160"/>
      <c r="CF189" s="160"/>
    </row>
    <row r="190">
      <c r="D190" s="159"/>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c r="BT190" s="160"/>
      <c r="BU190" s="160"/>
      <c r="BV190" s="160"/>
      <c r="BW190" s="160"/>
      <c r="BX190" s="160"/>
      <c r="BY190" s="160"/>
      <c r="BZ190" s="160"/>
      <c r="CA190" s="160"/>
      <c r="CB190" s="160"/>
      <c r="CC190" s="160"/>
      <c r="CD190" s="160"/>
      <c r="CE190" s="160"/>
      <c r="CF190" s="160"/>
    </row>
    <row r="191">
      <c r="D191" s="159"/>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c r="BT191" s="160"/>
      <c r="BU191" s="160"/>
      <c r="BV191" s="160"/>
      <c r="BW191" s="160"/>
      <c r="BX191" s="160"/>
      <c r="BY191" s="160"/>
      <c r="BZ191" s="160"/>
      <c r="CA191" s="160"/>
      <c r="CB191" s="160"/>
      <c r="CC191" s="160"/>
      <c r="CD191" s="160"/>
      <c r="CE191" s="160"/>
      <c r="CF191" s="160"/>
    </row>
    <row r="192">
      <c r="D192" s="159"/>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c r="BT192" s="160"/>
      <c r="BU192" s="160"/>
      <c r="BV192" s="160"/>
      <c r="BW192" s="160"/>
      <c r="BX192" s="160"/>
      <c r="BY192" s="160"/>
      <c r="BZ192" s="160"/>
      <c r="CA192" s="160"/>
      <c r="CB192" s="160"/>
      <c r="CC192" s="160"/>
      <c r="CD192" s="160"/>
      <c r="CE192" s="160"/>
      <c r="CF192" s="160"/>
    </row>
    <row r="193">
      <c r="D193" s="159"/>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c r="BT193" s="160"/>
      <c r="BU193" s="160"/>
      <c r="BV193" s="160"/>
      <c r="BW193" s="160"/>
      <c r="BX193" s="160"/>
      <c r="BY193" s="160"/>
      <c r="BZ193" s="160"/>
      <c r="CA193" s="160"/>
      <c r="CB193" s="160"/>
      <c r="CC193" s="160"/>
      <c r="CD193" s="160"/>
      <c r="CE193" s="160"/>
      <c r="CF193" s="160"/>
    </row>
    <row r="194">
      <c r="D194" s="159"/>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c r="BT194" s="160"/>
      <c r="BU194" s="160"/>
      <c r="BV194" s="160"/>
      <c r="BW194" s="160"/>
      <c r="BX194" s="160"/>
      <c r="BY194" s="160"/>
      <c r="BZ194" s="160"/>
      <c r="CA194" s="160"/>
      <c r="CB194" s="160"/>
      <c r="CC194" s="160"/>
      <c r="CD194" s="160"/>
      <c r="CE194" s="160"/>
      <c r="CF194" s="160"/>
    </row>
    <row r="195">
      <c r="D195" s="159"/>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c r="BT195" s="160"/>
      <c r="BU195" s="160"/>
      <c r="BV195" s="160"/>
      <c r="BW195" s="160"/>
      <c r="BX195" s="160"/>
      <c r="BY195" s="160"/>
      <c r="BZ195" s="160"/>
      <c r="CA195" s="160"/>
      <c r="CB195" s="160"/>
      <c r="CC195" s="160"/>
      <c r="CD195" s="160"/>
      <c r="CE195" s="160"/>
      <c r="CF195" s="160"/>
    </row>
    <row r="196">
      <c r="D196" s="159"/>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c r="BT196" s="160"/>
      <c r="BU196" s="160"/>
      <c r="BV196" s="160"/>
      <c r="BW196" s="160"/>
      <c r="BX196" s="160"/>
      <c r="BY196" s="160"/>
      <c r="BZ196" s="160"/>
      <c r="CA196" s="160"/>
      <c r="CB196" s="160"/>
      <c r="CC196" s="160"/>
      <c r="CD196" s="160"/>
      <c r="CE196" s="160"/>
      <c r="CF196" s="160"/>
    </row>
    <row r="197">
      <c r="D197" s="159"/>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c r="BT197" s="160"/>
      <c r="BU197" s="160"/>
      <c r="BV197" s="160"/>
      <c r="BW197" s="160"/>
      <c r="BX197" s="160"/>
      <c r="BY197" s="160"/>
      <c r="BZ197" s="160"/>
      <c r="CA197" s="160"/>
      <c r="CB197" s="160"/>
      <c r="CC197" s="160"/>
      <c r="CD197" s="160"/>
      <c r="CE197" s="160"/>
      <c r="CF197" s="160"/>
    </row>
    <row r="198">
      <c r="D198" s="159"/>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c r="BT198" s="160"/>
      <c r="BU198" s="160"/>
      <c r="BV198" s="160"/>
      <c r="BW198" s="160"/>
      <c r="BX198" s="160"/>
      <c r="BY198" s="160"/>
      <c r="BZ198" s="160"/>
      <c r="CA198" s="160"/>
      <c r="CB198" s="160"/>
      <c r="CC198" s="160"/>
      <c r="CD198" s="160"/>
      <c r="CE198" s="160"/>
      <c r="CF198" s="160"/>
    </row>
    <row r="199">
      <c r="D199" s="159"/>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c r="BT199" s="160"/>
      <c r="BU199" s="160"/>
      <c r="BV199" s="160"/>
      <c r="BW199" s="160"/>
      <c r="BX199" s="160"/>
      <c r="BY199" s="160"/>
      <c r="BZ199" s="160"/>
      <c r="CA199" s="160"/>
      <c r="CB199" s="160"/>
      <c r="CC199" s="160"/>
      <c r="CD199" s="160"/>
      <c r="CE199" s="160"/>
      <c r="CF199" s="160"/>
    </row>
    <row r="200">
      <c r="D200" s="159"/>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c r="BT200" s="160"/>
      <c r="BU200" s="160"/>
      <c r="BV200" s="160"/>
      <c r="BW200" s="160"/>
      <c r="BX200" s="160"/>
      <c r="BY200" s="160"/>
      <c r="BZ200" s="160"/>
      <c r="CA200" s="160"/>
      <c r="CB200" s="160"/>
      <c r="CC200" s="160"/>
      <c r="CD200" s="160"/>
      <c r="CE200" s="160"/>
      <c r="CF200" s="160"/>
    </row>
    <row r="201">
      <c r="D201" s="159"/>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c r="BT201" s="160"/>
      <c r="BU201" s="160"/>
      <c r="BV201" s="160"/>
      <c r="BW201" s="160"/>
      <c r="BX201" s="160"/>
      <c r="BY201" s="160"/>
      <c r="BZ201" s="160"/>
      <c r="CA201" s="160"/>
      <c r="CB201" s="160"/>
      <c r="CC201" s="160"/>
      <c r="CD201" s="160"/>
      <c r="CE201" s="160"/>
      <c r="CF201" s="160"/>
    </row>
    <row r="202">
      <c r="D202" s="159"/>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c r="BT202" s="160"/>
      <c r="BU202" s="160"/>
      <c r="BV202" s="160"/>
      <c r="BW202" s="160"/>
      <c r="BX202" s="160"/>
      <c r="BY202" s="160"/>
      <c r="BZ202" s="160"/>
      <c r="CA202" s="160"/>
      <c r="CB202" s="160"/>
      <c r="CC202" s="160"/>
      <c r="CD202" s="160"/>
      <c r="CE202" s="160"/>
      <c r="CF202" s="160"/>
    </row>
    <row r="203">
      <c r="D203" s="159"/>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c r="BT203" s="160"/>
      <c r="BU203" s="160"/>
      <c r="BV203" s="160"/>
      <c r="BW203" s="160"/>
      <c r="BX203" s="160"/>
      <c r="BY203" s="160"/>
      <c r="BZ203" s="160"/>
      <c r="CA203" s="160"/>
      <c r="CB203" s="160"/>
      <c r="CC203" s="160"/>
      <c r="CD203" s="160"/>
      <c r="CE203" s="160"/>
      <c r="CF203" s="160"/>
    </row>
    <row r="204">
      <c r="D204" s="159"/>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60"/>
      <c r="AX204" s="160"/>
      <c r="AY204" s="160"/>
      <c r="AZ204" s="160"/>
      <c r="BA204" s="160"/>
      <c r="BB204" s="160"/>
      <c r="BC204" s="160"/>
      <c r="BD204" s="160"/>
      <c r="BE204" s="160"/>
      <c r="BF204" s="160"/>
      <c r="BG204" s="160"/>
      <c r="BH204" s="160"/>
      <c r="BI204" s="160"/>
      <c r="BJ204" s="160"/>
      <c r="BK204" s="160"/>
      <c r="BL204" s="160"/>
      <c r="BM204" s="160"/>
      <c r="BN204" s="160"/>
      <c r="BO204" s="160"/>
      <c r="BP204" s="160"/>
      <c r="BQ204" s="160"/>
      <c r="BR204" s="160"/>
      <c r="BS204" s="160"/>
      <c r="BT204" s="160"/>
      <c r="BU204" s="160"/>
      <c r="BV204" s="160"/>
      <c r="BW204" s="160"/>
      <c r="BX204" s="160"/>
      <c r="BY204" s="160"/>
      <c r="BZ204" s="160"/>
      <c r="CA204" s="160"/>
      <c r="CB204" s="160"/>
      <c r="CC204" s="160"/>
      <c r="CD204" s="160"/>
      <c r="CE204" s="160"/>
      <c r="CF204" s="160"/>
    </row>
    <row r="205">
      <c r="D205" s="159"/>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c r="BT205" s="160"/>
      <c r="BU205" s="160"/>
      <c r="BV205" s="160"/>
      <c r="BW205" s="160"/>
      <c r="BX205" s="160"/>
      <c r="BY205" s="160"/>
      <c r="BZ205" s="160"/>
      <c r="CA205" s="160"/>
      <c r="CB205" s="160"/>
      <c r="CC205" s="160"/>
      <c r="CD205" s="160"/>
      <c r="CE205" s="160"/>
      <c r="CF205" s="160"/>
    </row>
    <row r="206">
      <c r="D206" s="159"/>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c r="BT206" s="160"/>
      <c r="BU206" s="160"/>
      <c r="BV206" s="160"/>
      <c r="BW206" s="160"/>
      <c r="BX206" s="160"/>
      <c r="BY206" s="160"/>
      <c r="BZ206" s="160"/>
      <c r="CA206" s="160"/>
      <c r="CB206" s="160"/>
      <c r="CC206" s="160"/>
      <c r="CD206" s="160"/>
      <c r="CE206" s="160"/>
      <c r="CF206" s="160"/>
    </row>
    <row r="207">
      <c r="D207" s="159"/>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c r="BT207" s="160"/>
      <c r="BU207" s="160"/>
      <c r="BV207" s="160"/>
      <c r="BW207" s="160"/>
      <c r="BX207" s="160"/>
      <c r="BY207" s="160"/>
      <c r="BZ207" s="160"/>
      <c r="CA207" s="160"/>
      <c r="CB207" s="160"/>
      <c r="CC207" s="160"/>
      <c r="CD207" s="160"/>
      <c r="CE207" s="160"/>
      <c r="CF207" s="160"/>
    </row>
    <row r="208">
      <c r="D208" s="159"/>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c r="BT208" s="160"/>
      <c r="BU208" s="160"/>
      <c r="BV208" s="160"/>
      <c r="BW208" s="160"/>
      <c r="BX208" s="160"/>
      <c r="BY208" s="160"/>
      <c r="BZ208" s="160"/>
      <c r="CA208" s="160"/>
      <c r="CB208" s="160"/>
      <c r="CC208" s="160"/>
      <c r="CD208" s="160"/>
      <c r="CE208" s="160"/>
      <c r="CF208" s="160"/>
    </row>
    <row r="209">
      <c r="D209" s="159"/>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c r="BT209" s="160"/>
      <c r="BU209" s="160"/>
      <c r="BV209" s="160"/>
      <c r="BW209" s="160"/>
      <c r="BX209" s="160"/>
      <c r="BY209" s="160"/>
      <c r="BZ209" s="160"/>
      <c r="CA209" s="160"/>
      <c r="CB209" s="160"/>
      <c r="CC209" s="160"/>
      <c r="CD209" s="160"/>
      <c r="CE209" s="160"/>
      <c r="CF209" s="160"/>
    </row>
    <row r="210">
      <c r="D210" s="159"/>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c r="BT210" s="160"/>
      <c r="BU210" s="160"/>
      <c r="BV210" s="160"/>
      <c r="BW210" s="160"/>
      <c r="BX210" s="160"/>
      <c r="BY210" s="160"/>
      <c r="BZ210" s="160"/>
      <c r="CA210" s="160"/>
      <c r="CB210" s="160"/>
      <c r="CC210" s="160"/>
      <c r="CD210" s="160"/>
      <c r="CE210" s="160"/>
      <c r="CF210" s="160"/>
    </row>
    <row r="211">
      <c r="D211" s="159"/>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c r="BT211" s="160"/>
      <c r="BU211" s="160"/>
      <c r="BV211" s="160"/>
      <c r="BW211" s="160"/>
      <c r="BX211" s="160"/>
      <c r="BY211" s="160"/>
      <c r="BZ211" s="160"/>
      <c r="CA211" s="160"/>
      <c r="CB211" s="160"/>
      <c r="CC211" s="160"/>
      <c r="CD211" s="160"/>
      <c r="CE211" s="160"/>
      <c r="CF211" s="160"/>
    </row>
    <row r="212">
      <c r="D212" s="159"/>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c r="BT212" s="160"/>
      <c r="BU212" s="160"/>
      <c r="BV212" s="160"/>
      <c r="BW212" s="160"/>
      <c r="BX212" s="160"/>
      <c r="BY212" s="160"/>
      <c r="BZ212" s="160"/>
      <c r="CA212" s="160"/>
      <c r="CB212" s="160"/>
      <c r="CC212" s="160"/>
      <c r="CD212" s="160"/>
      <c r="CE212" s="160"/>
      <c r="CF212" s="160"/>
    </row>
    <row r="213">
      <c r="D213" s="159"/>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c r="BT213" s="160"/>
      <c r="BU213" s="160"/>
      <c r="BV213" s="160"/>
      <c r="BW213" s="160"/>
      <c r="BX213" s="160"/>
      <c r="BY213" s="160"/>
      <c r="BZ213" s="160"/>
      <c r="CA213" s="160"/>
      <c r="CB213" s="160"/>
      <c r="CC213" s="160"/>
      <c r="CD213" s="160"/>
      <c r="CE213" s="160"/>
      <c r="CF213" s="160"/>
    </row>
    <row r="214">
      <c r="D214" s="159"/>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c r="BT214" s="160"/>
      <c r="BU214" s="160"/>
      <c r="BV214" s="160"/>
      <c r="BW214" s="160"/>
      <c r="BX214" s="160"/>
      <c r="BY214" s="160"/>
      <c r="BZ214" s="160"/>
      <c r="CA214" s="160"/>
      <c r="CB214" s="160"/>
      <c r="CC214" s="160"/>
      <c r="CD214" s="160"/>
      <c r="CE214" s="160"/>
      <c r="CF214" s="160"/>
    </row>
    <row r="215">
      <c r="D215" s="159"/>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c r="BT215" s="160"/>
      <c r="BU215" s="160"/>
      <c r="BV215" s="160"/>
      <c r="BW215" s="160"/>
      <c r="BX215" s="160"/>
      <c r="BY215" s="160"/>
      <c r="BZ215" s="160"/>
      <c r="CA215" s="160"/>
      <c r="CB215" s="160"/>
      <c r="CC215" s="160"/>
      <c r="CD215" s="160"/>
      <c r="CE215" s="160"/>
      <c r="CF215" s="160"/>
    </row>
    <row r="216">
      <c r="D216" s="159"/>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c r="BT216" s="160"/>
      <c r="BU216" s="160"/>
      <c r="BV216" s="160"/>
      <c r="BW216" s="160"/>
      <c r="BX216" s="160"/>
      <c r="BY216" s="160"/>
      <c r="BZ216" s="160"/>
      <c r="CA216" s="160"/>
      <c r="CB216" s="160"/>
      <c r="CC216" s="160"/>
      <c r="CD216" s="160"/>
      <c r="CE216" s="160"/>
      <c r="CF216" s="160"/>
    </row>
    <row r="217">
      <c r="D217" s="159"/>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c r="BT217" s="160"/>
      <c r="BU217" s="160"/>
      <c r="BV217" s="160"/>
      <c r="BW217" s="160"/>
      <c r="BX217" s="160"/>
      <c r="BY217" s="160"/>
      <c r="BZ217" s="160"/>
      <c r="CA217" s="160"/>
      <c r="CB217" s="160"/>
      <c r="CC217" s="160"/>
      <c r="CD217" s="160"/>
      <c r="CE217" s="160"/>
      <c r="CF217" s="160"/>
    </row>
    <row r="218">
      <c r="D218" s="159"/>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c r="BT218" s="160"/>
      <c r="BU218" s="160"/>
      <c r="BV218" s="160"/>
      <c r="BW218" s="160"/>
      <c r="BX218" s="160"/>
      <c r="BY218" s="160"/>
      <c r="BZ218" s="160"/>
      <c r="CA218" s="160"/>
      <c r="CB218" s="160"/>
      <c r="CC218" s="160"/>
      <c r="CD218" s="160"/>
      <c r="CE218" s="160"/>
      <c r="CF218" s="160"/>
    </row>
    <row r="219">
      <c r="D219" s="159"/>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c r="BT219" s="160"/>
      <c r="BU219" s="160"/>
      <c r="BV219" s="160"/>
      <c r="BW219" s="160"/>
      <c r="BX219" s="160"/>
      <c r="BY219" s="160"/>
      <c r="BZ219" s="160"/>
      <c r="CA219" s="160"/>
      <c r="CB219" s="160"/>
      <c r="CC219" s="160"/>
      <c r="CD219" s="160"/>
      <c r="CE219" s="160"/>
      <c r="CF219" s="160"/>
    </row>
    <row r="220">
      <c r="D220" s="159"/>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c r="BT220" s="160"/>
      <c r="BU220" s="160"/>
      <c r="BV220" s="160"/>
      <c r="BW220" s="160"/>
      <c r="BX220" s="160"/>
      <c r="BY220" s="160"/>
      <c r="BZ220" s="160"/>
      <c r="CA220" s="160"/>
      <c r="CB220" s="160"/>
      <c r="CC220" s="160"/>
      <c r="CD220" s="160"/>
      <c r="CE220" s="160"/>
      <c r="CF220" s="160"/>
    </row>
    <row r="221">
      <c r="D221" s="159"/>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c r="BT221" s="160"/>
      <c r="BU221" s="160"/>
      <c r="BV221" s="160"/>
      <c r="BW221" s="160"/>
      <c r="BX221" s="160"/>
      <c r="BY221" s="160"/>
      <c r="BZ221" s="160"/>
      <c r="CA221" s="160"/>
      <c r="CB221" s="160"/>
      <c r="CC221" s="160"/>
      <c r="CD221" s="160"/>
      <c r="CE221" s="160"/>
      <c r="CF221" s="160"/>
    </row>
    <row r="222">
      <c r="D222" s="159"/>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c r="BT222" s="160"/>
      <c r="BU222" s="160"/>
      <c r="BV222" s="160"/>
      <c r="BW222" s="160"/>
      <c r="BX222" s="160"/>
      <c r="BY222" s="160"/>
      <c r="BZ222" s="160"/>
      <c r="CA222" s="160"/>
      <c r="CB222" s="160"/>
      <c r="CC222" s="160"/>
      <c r="CD222" s="160"/>
      <c r="CE222" s="160"/>
      <c r="CF222" s="160"/>
    </row>
    <row r="223">
      <c r="D223" s="159"/>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c r="BT223" s="160"/>
      <c r="BU223" s="160"/>
      <c r="BV223" s="160"/>
      <c r="BW223" s="160"/>
      <c r="BX223" s="160"/>
      <c r="BY223" s="160"/>
      <c r="BZ223" s="160"/>
      <c r="CA223" s="160"/>
      <c r="CB223" s="160"/>
      <c r="CC223" s="160"/>
      <c r="CD223" s="160"/>
      <c r="CE223" s="160"/>
      <c r="CF223" s="160"/>
    </row>
    <row r="224">
      <c r="D224" s="159"/>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c r="BT224" s="160"/>
      <c r="BU224" s="160"/>
      <c r="BV224" s="160"/>
      <c r="BW224" s="160"/>
      <c r="BX224" s="160"/>
      <c r="BY224" s="160"/>
      <c r="BZ224" s="160"/>
      <c r="CA224" s="160"/>
      <c r="CB224" s="160"/>
      <c r="CC224" s="160"/>
      <c r="CD224" s="160"/>
      <c r="CE224" s="160"/>
      <c r="CF224" s="160"/>
    </row>
    <row r="225">
      <c r="D225" s="159"/>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c r="BT225" s="160"/>
      <c r="BU225" s="160"/>
      <c r="BV225" s="160"/>
      <c r="BW225" s="160"/>
      <c r="BX225" s="160"/>
      <c r="BY225" s="160"/>
      <c r="BZ225" s="160"/>
      <c r="CA225" s="160"/>
      <c r="CB225" s="160"/>
      <c r="CC225" s="160"/>
      <c r="CD225" s="160"/>
      <c r="CE225" s="160"/>
      <c r="CF225" s="160"/>
    </row>
    <row r="226">
      <c r="D226" s="159"/>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c r="BT226" s="160"/>
      <c r="BU226" s="160"/>
      <c r="BV226" s="160"/>
      <c r="BW226" s="160"/>
      <c r="BX226" s="160"/>
      <c r="BY226" s="160"/>
      <c r="BZ226" s="160"/>
      <c r="CA226" s="160"/>
      <c r="CB226" s="160"/>
      <c r="CC226" s="160"/>
      <c r="CD226" s="160"/>
      <c r="CE226" s="160"/>
      <c r="CF226" s="160"/>
    </row>
    <row r="227">
      <c r="D227" s="159"/>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c r="BT227" s="160"/>
      <c r="BU227" s="160"/>
      <c r="BV227" s="160"/>
      <c r="BW227" s="160"/>
      <c r="BX227" s="160"/>
      <c r="BY227" s="160"/>
      <c r="BZ227" s="160"/>
      <c r="CA227" s="160"/>
      <c r="CB227" s="160"/>
      <c r="CC227" s="160"/>
      <c r="CD227" s="160"/>
      <c r="CE227" s="160"/>
      <c r="CF227" s="160"/>
    </row>
    <row r="228">
      <c r="D228" s="159"/>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c r="BT228" s="160"/>
      <c r="BU228" s="160"/>
      <c r="BV228" s="160"/>
      <c r="BW228" s="160"/>
      <c r="BX228" s="160"/>
      <c r="BY228" s="160"/>
      <c r="BZ228" s="160"/>
      <c r="CA228" s="160"/>
      <c r="CB228" s="160"/>
      <c r="CC228" s="160"/>
      <c r="CD228" s="160"/>
      <c r="CE228" s="160"/>
      <c r="CF228" s="160"/>
    </row>
    <row r="229">
      <c r="D229" s="159"/>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c r="BT229" s="160"/>
      <c r="BU229" s="160"/>
      <c r="BV229" s="160"/>
      <c r="BW229" s="160"/>
      <c r="BX229" s="160"/>
      <c r="BY229" s="160"/>
      <c r="BZ229" s="160"/>
      <c r="CA229" s="160"/>
      <c r="CB229" s="160"/>
      <c r="CC229" s="160"/>
      <c r="CD229" s="160"/>
      <c r="CE229" s="160"/>
      <c r="CF229" s="160"/>
    </row>
    <row r="230">
      <c r="D230" s="159"/>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c r="BT230" s="160"/>
      <c r="BU230" s="160"/>
      <c r="BV230" s="160"/>
      <c r="BW230" s="160"/>
      <c r="BX230" s="160"/>
      <c r="BY230" s="160"/>
      <c r="BZ230" s="160"/>
      <c r="CA230" s="160"/>
      <c r="CB230" s="160"/>
      <c r="CC230" s="160"/>
      <c r="CD230" s="160"/>
      <c r="CE230" s="160"/>
      <c r="CF230" s="160"/>
    </row>
    <row r="231">
      <c r="D231" s="159"/>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c r="BT231" s="160"/>
      <c r="BU231" s="160"/>
      <c r="BV231" s="160"/>
      <c r="BW231" s="160"/>
      <c r="BX231" s="160"/>
      <c r="BY231" s="160"/>
      <c r="BZ231" s="160"/>
      <c r="CA231" s="160"/>
      <c r="CB231" s="160"/>
      <c r="CC231" s="160"/>
      <c r="CD231" s="160"/>
      <c r="CE231" s="160"/>
      <c r="CF231" s="160"/>
    </row>
    <row r="232">
      <c r="D232" s="159"/>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c r="BT232" s="160"/>
      <c r="BU232" s="160"/>
      <c r="BV232" s="160"/>
      <c r="BW232" s="160"/>
      <c r="BX232" s="160"/>
      <c r="BY232" s="160"/>
      <c r="BZ232" s="160"/>
      <c r="CA232" s="160"/>
      <c r="CB232" s="160"/>
      <c r="CC232" s="160"/>
      <c r="CD232" s="160"/>
      <c r="CE232" s="160"/>
      <c r="CF232" s="160"/>
    </row>
    <row r="233">
      <c r="D233" s="159"/>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c r="BT233" s="160"/>
      <c r="BU233" s="160"/>
      <c r="BV233" s="160"/>
      <c r="BW233" s="160"/>
      <c r="BX233" s="160"/>
      <c r="BY233" s="160"/>
      <c r="BZ233" s="160"/>
      <c r="CA233" s="160"/>
      <c r="CB233" s="160"/>
      <c r="CC233" s="160"/>
      <c r="CD233" s="160"/>
      <c r="CE233" s="160"/>
      <c r="CF233" s="160"/>
    </row>
    <row r="234">
      <c r="D234" s="159"/>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c r="BT234" s="160"/>
      <c r="BU234" s="160"/>
      <c r="BV234" s="160"/>
      <c r="BW234" s="160"/>
      <c r="BX234" s="160"/>
      <c r="BY234" s="160"/>
      <c r="BZ234" s="160"/>
      <c r="CA234" s="160"/>
      <c r="CB234" s="160"/>
      <c r="CC234" s="160"/>
      <c r="CD234" s="160"/>
      <c r="CE234" s="160"/>
      <c r="CF234" s="160"/>
    </row>
    <row r="235">
      <c r="D235" s="159"/>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c r="BT235" s="160"/>
      <c r="BU235" s="160"/>
      <c r="BV235" s="160"/>
      <c r="BW235" s="160"/>
      <c r="BX235" s="160"/>
      <c r="BY235" s="160"/>
      <c r="BZ235" s="160"/>
      <c r="CA235" s="160"/>
      <c r="CB235" s="160"/>
      <c r="CC235" s="160"/>
      <c r="CD235" s="160"/>
      <c r="CE235" s="160"/>
      <c r="CF235" s="160"/>
    </row>
    <row r="236">
      <c r="D236" s="159"/>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c r="BT236" s="160"/>
      <c r="BU236" s="160"/>
      <c r="BV236" s="160"/>
      <c r="BW236" s="160"/>
      <c r="BX236" s="160"/>
      <c r="BY236" s="160"/>
      <c r="BZ236" s="160"/>
      <c r="CA236" s="160"/>
      <c r="CB236" s="160"/>
      <c r="CC236" s="160"/>
      <c r="CD236" s="160"/>
      <c r="CE236" s="160"/>
      <c r="CF236" s="160"/>
    </row>
    <row r="237">
      <c r="D237" s="159"/>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c r="BT237" s="160"/>
      <c r="BU237" s="160"/>
      <c r="BV237" s="160"/>
      <c r="BW237" s="160"/>
      <c r="BX237" s="160"/>
      <c r="BY237" s="160"/>
      <c r="BZ237" s="160"/>
      <c r="CA237" s="160"/>
      <c r="CB237" s="160"/>
      <c r="CC237" s="160"/>
      <c r="CD237" s="160"/>
      <c r="CE237" s="160"/>
      <c r="CF237" s="160"/>
    </row>
    <row r="238">
      <c r="D238" s="159"/>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c r="BT238" s="160"/>
      <c r="BU238" s="160"/>
      <c r="BV238" s="160"/>
      <c r="BW238" s="160"/>
      <c r="BX238" s="160"/>
      <c r="BY238" s="160"/>
      <c r="BZ238" s="160"/>
      <c r="CA238" s="160"/>
      <c r="CB238" s="160"/>
      <c r="CC238" s="160"/>
      <c r="CD238" s="160"/>
      <c r="CE238" s="160"/>
      <c r="CF238" s="160"/>
    </row>
    <row r="239">
      <c r="D239" s="159"/>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c r="BT239" s="160"/>
      <c r="BU239" s="160"/>
      <c r="BV239" s="160"/>
      <c r="BW239" s="160"/>
      <c r="BX239" s="160"/>
      <c r="BY239" s="160"/>
      <c r="BZ239" s="160"/>
      <c r="CA239" s="160"/>
      <c r="CB239" s="160"/>
      <c r="CC239" s="160"/>
      <c r="CD239" s="160"/>
      <c r="CE239" s="160"/>
      <c r="CF239" s="160"/>
    </row>
    <row r="240">
      <c r="D240" s="159"/>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c r="BT240" s="160"/>
      <c r="BU240" s="160"/>
      <c r="BV240" s="160"/>
      <c r="BW240" s="160"/>
      <c r="BX240" s="160"/>
      <c r="BY240" s="160"/>
      <c r="BZ240" s="160"/>
      <c r="CA240" s="160"/>
      <c r="CB240" s="160"/>
      <c r="CC240" s="160"/>
      <c r="CD240" s="160"/>
      <c r="CE240" s="160"/>
      <c r="CF240" s="160"/>
    </row>
    <row r="241">
      <c r="D241" s="159"/>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c r="BT241" s="160"/>
      <c r="BU241" s="160"/>
      <c r="BV241" s="160"/>
      <c r="BW241" s="160"/>
      <c r="BX241" s="160"/>
      <c r="BY241" s="160"/>
      <c r="BZ241" s="160"/>
      <c r="CA241" s="160"/>
      <c r="CB241" s="160"/>
      <c r="CC241" s="160"/>
      <c r="CD241" s="160"/>
      <c r="CE241" s="160"/>
      <c r="CF241" s="160"/>
    </row>
    <row r="242">
      <c r="D242" s="159"/>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c r="BZ242" s="160"/>
      <c r="CA242" s="160"/>
      <c r="CB242" s="160"/>
      <c r="CC242" s="160"/>
      <c r="CD242" s="160"/>
      <c r="CE242" s="160"/>
      <c r="CF242" s="160"/>
    </row>
    <row r="243">
      <c r="D243" s="159"/>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c r="BT243" s="160"/>
      <c r="BU243" s="160"/>
      <c r="BV243" s="160"/>
      <c r="BW243" s="160"/>
      <c r="BX243" s="160"/>
      <c r="BY243" s="160"/>
      <c r="BZ243" s="160"/>
      <c r="CA243" s="160"/>
      <c r="CB243" s="160"/>
      <c r="CC243" s="160"/>
      <c r="CD243" s="160"/>
      <c r="CE243" s="160"/>
      <c r="CF243" s="160"/>
    </row>
    <row r="244">
      <c r="D244" s="159"/>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c r="BT244" s="160"/>
      <c r="BU244" s="160"/>
      <c r="BV244" s="160"/>
      <c r="BW244" s="160"/>
      <c r="BX244" s="160"/>
      <c r="BY244" s="160"/>
      <c r="BZ244" s="160"/>
      <c r="CA244" s="160"/>
      <c r="CB244" s="160"/>
      <c r="CC244" s="160"/>
      <c r="CD244" s="160"/>
      <c r="CE244" s="160"/>
      <c r="CF244" s="160"/>
    </row>
    <row r="245">
      <c r="D245" s="159"/>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c r="BT245" s="160"/>
      <c r="BU245" s="160"/>
      <c r="BV245" s="160"/>
      <c r="BW245" s="160"/>
      <c r="BX245" s="160"/>
      <c r="BY245" s="160"/>
      <c r="BZ245" s="160"/>
      <c r="CA245" s="160"/>
      <c r="CB245" s="160"/>
      <c r="CC245" s="160"/>
      <c r="CD245" s="160"/>
      <c r="CE245" s="160"/>
      <c r="CF245" s="160"/>
    </row>
    <row r="246">
      <c r="D246" s="159"/>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c r="BT246" s="160"/>
      <c r="BU246" s="160"/>
      <c r="BV246" s="160"/>
      <c r="BW246" s="160"/>
      <c r="BX246" s="160"/>
      <c r="BY246" s="160"/>
      <c r="BZ246" s="160"/>
      <c r="CA246" s="160"/>
      <c r="CB246" s="160"/>
      <c r="CC246" s="160"/>
      <c r="CD246" s="160"/>
      <c r="CE246" s="160"/>
      <c r="CF246" s="160"/>
    </row>
    <row r="247">
      <c r="D247" s="159"/>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c r="BT247" s="160"/>
      <c r="BU247" s="160"/>
      <c r="BV247" s="160"/>
      <c r="BW247" s="160"/>
      <c r="BX247" s="160"/>
      <c r="BY247" s="160"/>
      <c r="BZ247" s="160"/>
      <c r="CA247" s="160"/>
      <c r="CB247" s="160"/>
      <c r="CC247" s="160"/>
      <c r="CD247" s="160"/>
      <c r="CE247" s="160"/>
      <c r="CF247" s="160"/>
    </row>
    <row r="248">
      <c r="D248" s="159"/>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c r="BT248" s="160"/>
      <c r="BU248" s="160"/>
      <c r="BV248" s="160"/>
      <c r="BW248" s="160"/>
      <c r="BX248" s="160"/>
      <c r="BY248" s="160"/>
      <c r="BZ248" s="160"/>
      <c r="CA248" s="160"/>
      <c r="CB248" s="160"/>
      <c r="CC248" s="160"/>
      <c r="CD248" s="160"/>
      <c r="CE248" s="160"/>
      <c r="CF248" s="160"/>
    </row>
    <row r="249">
      <c r="D249" s="159"/>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c r="BT249" s="160"/>
      <c r="BU249" s="160"/>
      <c r="BV249" s="160"/>
      <c r="BW249" s="160"/>
      <c r="BX249" s="160"/>
      <c r="BY249" s="160"/>
      <c r="BZ249" s="160"/>
      <c r="CA249" s="160"/>
      <c r="CB249" s="160"/>
      <c r="CC249" s="160"/>
      <c r="CD249" s="160"/>
      <c r="CE249" s="160"/>
      <c r="CF249" s="160"/>
    </row>
    <row r="250">
      <c r="D250" s="159"/>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c r="BT250" s="160"/>
      <c r="BU250" s="160"/>
      <c r="BV250" s="160"/>
      <c r="BW250" s="160"/>
      <c r="BX250" s="160"/>
      <c r="BY250" s="160"/>
      <c r="BZ250" s="160"/>
      <c r="CA250" s="160"/>
      <c r="CB250" s="160"/>
      <c r="CC250" s="160"/>
      <c r="CD250" s="160"/>
      <c r="CE250" s="160"/>
      <c r="CF250" s="160"/>
    </row>
    <row r="251">
      <c r="D251" s="159"/>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c r="BT251" s="160"/>
      <c r="BU251" s="160"/>
      <c r="BV251" s="160"/>
      <c r="BW251" s="160"/>
      <c r="BX251" s="160"/>
      <c r="BY251" s="160"/>
      <c r="BZ251" s="160"/>
      <c r="CA251" s="160"/>
      <c r="CB251" s="160"/>
      <c r="CC251" s="160"/>
      <c r="CD251" s="160"/>
      <c r="CE251" s="160"/>
      <c r="CF251" s="160"/>
    </row>
    <row r="252">
      <c r="D252" s="159"/>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c r="BT252" s="160"/>
      <c r="BU252" s="160"/>
      <c r="BV252" s="160"/>
      <c r="BW252" s="160"/>
      <c r="BX252" s="160"/>
      <c r="BY252" s="160"/>
      <c r="BZ252" s="160"/>
      <c r="CA252" s="160"/>
      <c r="CB252" s="160"/>
      <c r="CC252" s="160"/>
      <c r="CD252" s="160"/>
      <c r="CE252" s="160"/>
      <c r="CF252" s="160"/>
    </row>
    <row r="253">
      <c r="D253" s="159"/>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c r="BT253" s="160"/>
      <c r="BU253" s="160"/>
      <c r="BV253" s="160"/>
      <c r="BW253" s="160"/>
      <c r="BX253" s="160"/>
      <c r="BY253" s="160"/>
      <c r="BZ253" s="160"/>
      <c r="CA253" s="160"/>
      <c r="CB253" s="160"/>
      <c r="CC253" s="160"/>
      <c r="CD253" s="160"/>
      <c r="CE253" s="160"/>
      <c r="CF253" s="160"/>
    </row>
    <row r="254">
      <c r="D254" s="159"/>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c r="BT254" s="160"/>
      <c r="BU254" s="160"/>
      <c r="BV254" s="160"/>
      <c r="BW254" s="160"/>
      <c r="BX254" s="160"/>
      <c r="BY254" s="160"/>
      <c r="BZ254" s="160"/>
      <c r="CA254" s="160"/>
      <c r="CB254" s="160"/>
      <c r="CC254" s="160"/>
      <c r="CD254" s="160"/>
      <c r="CE254" s="160"/>
      <c r="CF254" s="160"/>
    </row>
    <row r="255">
      <c r="D255" s="159"/>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c r="BT255" s="160"/>
      <c r="BU255" s="160"/>
      <c r="BV255" s="160"/>
      <c r="BW255" s="160"/>
      <c r="BX255" s="160"/>
      <c r="BY255" s="160"/>
      <c r="BZ255" s="160"/>
      <c r="CA255" s="160"/>
      <c r="CB255" s="160"/>
      <c r="CC255" s="160"/>
      <c r="CD255" s="160"/>
      <c r="CE255" s="160"/>
      <c r="CF255" s="160"/>
    </row>
    <row r="256">
      <c r="D256" s="159"/>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c r="BT256" s="160"/>
      <c r="BU256" s="160"/>
      <c r="BV256" s="160"/>
      <c r="BW256" s="160"/>
      <c r="BX256" s="160"/>
      <c r="BY256" s="160"/>
      <c r="BZ256" s="160"/>
      <c r="CA256" s="160"/>
      <c r="CB256" s="160"/>
      <c r="CC256" s="160"/>
      <c r="CD256" s="160"/>
      <c r="CE256" s="160"/>
      <c r="CF256" s="160"/>
    </row>
    <row r="257">
      <c r="D257" s="159"/>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c r="BT257" s="160"/>
      <c r="BU257" s="160"/>
      <c r="BV257" s="160"/>
      <c r="BW257" s="160"/>
      <c r="BX257" s="160"/>
      <c r="BY257" s="160"/>
      <c r="BZ257" s="160"/>
      <c r="CA257" s="160"/>
      <c r="CB257" s="160"/>
      <c r="CC257" s="160"/>
      <c r="CD257" s="160"/>
      <c r="CE257" s="160"/>
      <c r="CF257" s="160"/>
    </row>
    <row r="258">
      <c r="D258" s="159"/>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c r="BT258" s="160"/>
      <c r="BU258" s="160"/>
      <c r="BV258" s="160"/>
      <c r="BW258" s="160"/>
      <c r="BX258" s="160"/>
      <c r="BY258" s="160"/>
      <c r="BZ258" s="160"/>
      <c r="CA258" s="160"/>
      <c r="CB258" s="160"/>
      <c r="CC258" s="160"/>
      <c r="CD258" s="160"/>
      <c r="CE258" s="160"/>
      <c r="CF258" s="160"/>
    </row>
    <row r="259">
      <c r="D259" s="159"/>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c r="BT259" s="160"/>
      <c r="BU259" s="160"/>
      <c r="BV259" s="160"/>
      <c r="BW259" s="160"/>
      <c r="BX259" s="160"/>
      <c r="BY259" s="160"/>
      <c r="BZ259" s="160"/>
      <c r="CA259" s="160"/>
      <c r="CB259" s="160"/>
      <c r="CC259" s="160"/>
      <c r="CD259" s="160"/>
      <c r="CE259" s="160"/>
      <c r="CF259" s="160"/>
    </row>
    <row r="260">
      <c r="D260" s="159"/>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c r="BT260" s="160"/>
      <c r="BU260" s="160"/>
      <c r="BV260" s="160"/>
      <c r="BW260" s="160"/>
      <c r="BX260" s="160"/>
      <c r="BY260" s="160"/>
      <c r="BZ260" s="160"/>
      <c r="CA260" s="160"/>
      <c r="CB260" s="160"/>
      <c r="CC260" s="160"/>
      <c r="CD260" s="160"/>
      <c r="CE260" s="160"/>
      <c r="CF260" s="160"/>
    </row>
    <row r="261">
      <c r="D261" s="159"/>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c r="BT261" s="160"/>
      <c r="BU261" s="160"/>
      <c r="BV261" s="160"/>
      <c r="BW261" s="160"/>
      <c r="BX261" s="160"/>
      <c r="BY261" s="160"/>
      <c r="BZ261" s="160"/>
      <c r="CA261" s="160"/>
      <c r="CB261" s="160"/>
      <c r="CC261" s="160"/>
      <c r="CD261" s="160"/>
      <c r="CE261" s="160"/>
      <c r="CF261" s="160"/>
    </row>
    <row r="262">
      <c r="D262" s="159"/>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c r="BT262" s="160"/>
      <c r="BU262" s="160"/>
      <c r="BV262" s="160"/>
      <c r="BW262" s="160"/>
      <c r="BX262" s="160"/>
      <c r="BY262" s="160"/>
      <c r="BZ262" s="160"/>
      <c r="CA262" s="160"/>
      <c r="CB262" s="160"/>
      <c r="CC262" s="160"/>
      <c r="CD262" s="160"/>
      <c r="CE262" s="160"/>
      <c r="CF262" s="160"/>
    </row>
    <row r="263">
      <c r="D263" s="159"/>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c r="BT263" s="160"/>
      <c r="BU263" s="160"/>
      <c r="BV263" s="160"/>
      <c r="BW263" s="160"/>
      <c r="BX263" s="160"/>
      <c r="BY263" s="160"/>
      <c r="BZ263" s="160"/>
      <c r="CA263" s="160"/>
      <c r="CB263" s="160"/>
      <c r="CC263" s="160"/>
      <c r="CD263" s="160"/>
      <c r="CE263" s="160"/>
      <c r="CF263" s="160"/>
    </row>
    <row r="264">
      <c r="D264" s="159"/>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c r="BT264" s="160"/>
      <c r="BU264" s="160"/>
      <c r="BV264" s="160"/>
      <c r="BW264" s="160"/>
      <c r="BX264" s="160"/>
      <c r="BY264" s="160"/>
      <c r="BZ264" s="160"/>
      <c r="CA264" s="160"/>
      <c r="CB264" s="160"/>
      <c r="CC264" s="160"/>
      <c r="CD264" s="160"/>
      <c r="CE264" s="160"/>
      <c r="CF264" s="160"/>
    </row>
    <row r="265">
      <c r="D265" s="159"/>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c r="BT265" s="160"/>
      <c r="BU265" s="160"/>
      <c r="BV265" s="160"/>
      <c r="BW265" s="160"/>
      <c r="BX265" s="160"/>
      <c r="BY265" s="160"/>
      <c r="BZ265" s="160"/>
      <c r="CA265" s="160"/>
      <c r="CB265" s="160"/>
      <c r="CC265" s="160"/>
      <c r="CD265" s="160"/>
      <c r="CE265" s="160"/>
      <c r="CF265" s="160"/>
    </row>
    <row r="266">
      <c r="D266" s="159"/>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c r="BT266" s="160"/>
      <c r="BU266" s="160"/>
      <c r="BV266" s="160"/>
      <c r="BW266" s="160"/>
      <c r="BX266" s="160"/>
      <c r="BY266" s="160"/>
      <c r="BZ266" s="160"/>
      <c r="CA266" s="160"/>
      <c r="CB266" s="160"/>
      <c r="CC266" s="160"/>
      <c r="CD266" s="160"/>
      <c r="CE266" s="160"/>
      <c r="CF266" s="160"/>
    </row>
    <row r="267">
      <c r="D267" s="159"/>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c r="BT267" s="160"/>
      <c r="BU267" s="160"/>
      <c r="BV267" s="160"/>
      <c r="BW267" s="160"/>
      <c r="BX267" s="160"/>
      <c r="BY267" s="160"/>
      <c r="BZ267" s="160"/>
      <c r="CA267" s="160"/>
      <c r="CB267" s="160"/>
      <c r="CC267" s="160"/>
      <c r="CD267" s="160"/>
      <c r="CE267" s="160"/>
      <c r="CF267" s="160"/>
    </row>
    <row r="268">
      <c r="D268" s="159"/>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c r="BT268" s="160"/>
      <c r="BU268" s="160"/>
      <c r="BV268" s="160"/>
      <c r="BW268" s="160"/>
      <c r="BX268" s="160"/>
      <c r="BY268" s="160"/>
      <c r="BZ268" s="160"/>
      <c r="CA268" s="160"/>
      <c r="CB268" s="160"/>
      <c r="CC268" s="160"/>
      <c r="CD268" s="160"/>
      <c r="CE268" s="160"/>
      <c r="CF268" s="160"/>
    </row>
    <row r="269">
      <c r="D269" s="159"/>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c r="BT269" s="160"/>
      <c r="BU269" s="160"/>
      <c r="BV269" s="160"/>
      <c r="BW269" s="160"/>
      <c r="BX269" s="160"/>
      <c r="BY269" s="160"/>
      <c r="BZ269" s="160"/>
      <c r="CA269" s="160"/>
      <c r="CB269" s="160"/>
      <c r="CC269" s="160"/>
      <c r="CD269" s="160"/>
      <c r="CE269" s="160"/>
      <c r="CF269" s="160"/>
    </row>
    <row r="270">
      <c r="D270" s="159"/>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c r="BT270" s="160"/>
      <c r="BU270" s="160"/>
      <c r="BV270" s="160"/>
      <c r="BW270" s="160"/>
      <c r="BX270" s="160"/>
      <c r="BY270" s="160"/>
      <c r="BZ270" s="160"/>
      <c r="CA270" s="160"/>
      <c r="CB270" s="160"/>
      <c r="CC270" s="160"/>
      <c r="CD270" s="160"/>
      <c r="CE270" s="160"/>
      <c r="CF270" s="160"/>
    </row>
    <row r="271">
      <c r="D271" s="159"/>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c r="BT271" s="160"/>
      <c r="BU271" s="160"/>
      <c r="BV271" s="160"/>
      <c r="BW271" s="160"/>
      <c r="BX271" s="160"/>
      <c r="BY271" s="160"/>
      <c r="BZ271" s="160"/>
      <c r="CA271" s="160"/>
      <c r="CB271" s="160"/>
      <c r="CC271" s="160"/>
      <c r="CD271" s="160"/>
      <c r="CE271" s="160"/>
      <c r="CF271" s="160"/>
    </row>
    <row r="272">
      <c r="D272" s="159"/>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c r="BT272" s="160"/>
      <c r="BU272" s="160"/>
      <c r="BV272" s="160"/>
      <c r="BW272" s="160"/>
      <c r="BX272" s="160"/>
      <c r="BY272" s="160"/>
      <c r="BZ272" s="160"/>
      <c r="CA272" s="160"/>
      <c r="CB272" s="160"/>
      <c r="CC272" s="160"/>
      <c r="CD272" s="160"/>
      <c r="CE272" s="160"/>
      <c r="CF272" s="160"/>
    </row>
    <row r="273">
      <c r="D273" s="159"/>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c r="BT273" s="160"/>
      <c r="BU273" s="160"/>
      <c r="BV273" s="160"/>
      <c r="BW273" s="160"/>
      <c r="BX273" s="160"/>
      <c r="BY273" s="160"/>
      <c r="BZ273" s="160"/>
      <c r="CA273" s="160"/>
      <c r="CB273" s="160"/>
      <c r="CC273" s="160"/>
      <c r="CD273" s="160"/>
      <c r="CE273" s="160"/>
      <c r="CF273" s="160"/>
    </row>
    <row r="274">
      <c r="D274" s="159"/>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c r="BT274" s="160"/>
      <c r="BU274" s="160"/>
      <c r="BV274" s="160"/>
      <c r="BW274" s="160"/>
      <c r="BX274" s="160"/>
      <c r="BY274" s="160"/>
      <c r="BZ274" s="160"/>
      <c r="CA274" s="160"/>
      <c r="CB274" s="160"/>
      <c r="CC274" s="160"/>
      <c r="CD274" s="160"/>
      <c r="CE274" s="160"/>
      <c r="CF274" s="160"/>
    </row>
    <row r="275">
      <c r="D275" s="159"/>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c r="BT275" s="160"/>
      <c r="BU275" s="160"/>
      <c r="BV275" s="160"/>
      <c r="BW275" s="160"/>
      <c r="BX275" s="160"/>
      <c r="BY275" s="160"/>
      <c r="BZ275" s="160"/>
      <c r="CA275" s="160"/>
      <c r="CB275" s="160"/>
      <c r="CC275" s="160"/>
      <c r="CD275" s="160"/>
      <c r="CE275" s="160"/>
      <c r="CF275" s="160"/>
    </row>
    <row r="276">
      <c r="D276" s="159"/>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c r="BT276" s="160"/>
      <c r="BU276" s="160"/>
      <c r="BV276" s="160"/>
      <c r="BW276" s="160"/>
      <c r="BX276" s="160"/>
      <c r="BY276" s="160"/>
      <c r="BZ276" s="160"/>
      <c r="CA276" s="160"/>
      <c r="CB276" s="160"/>
      <c r="CC276" s="160"/>
      <c r="CD276" s="160"/>
      <c r="CE276" s="160"/>
      <c r="CF276" s="160"/>
    </row>
    <row r="277">
      <c r="D277" s="159"/>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c r="BT277" s="160"/>
      <c r="BU277" s="160"/>
      <c r="BV277" s="160"/>
      <c r="BW277" s="160"/>
      <c r="BX277" s="160"/>
      <c r="BY277" s="160"/>
      <c r="BZ277" s="160"/>
      <c r="CA277" s="160"/>
      <c r="CB277" s="160"/>
      <c r="CC277" s="160"/>
      <c r="CD277" s="160"/>
      <c r="CE277" s="160"/>
      <c r="CF277" s="160"/>
    </row>
    <row r="278">
      <c r="D278" s="159"/>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c r="BT278" s="160"/>
      <c r="BU278" s="160"/>
      <c r="BV278" s="160"/>
      <c r="BW278" s="160"/>
      <c r="BX278" s="160"/>
      <c r="BY278" s="160"/>
      <c r="BZ278" s="160"/>
      <c r="CA278" s="160"/>
      <c r="CB278" s="160"/>
      <c r="CC278" s="160"/>
      <c r="CD278" s="160"/>
      <c r="CE278" s="160"/>
      <c r="CF278" s="160"/>
    </row>
    <row r="279">
      <c r="D279" s="159"/>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c r="BT279" s="160"/>
      <c r="BU279" s="160"/>
      <c r="BV279" s="160"/>
      <c r="BW279" s="160"/>
      <c r="BX279" s="160"/>
      <c r="BY279" s="160"/>
      <c r="BZ279" s="160"/>
      <c r="CA279" s="160"/>
      <c r="CB279" s="160"/>
      <c r="CC279" s="160"/>
      <c r="CD279" s="160"/>
      <c r="CE279" s="160"/>
      <c r="CF279" s="160"/>
    </row>
    <row r="280">
      <c r="D280" s="159"/>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c r="BT280" s="160"/>
      <c r="BU280" s="160"/>
      <c r="BV280" s="160"/>
      <c r="BW280" s="160"/>
      <c r="BX280" s="160"/>
      <c r="BY280" s="160"/>
      <c r="BZ280" s="160"/>
      <c r="CA280" s="160"/>
      <c r="CB280" s="160"/>
      <c r="CC280" s="160"/>
      <c r="CD280" s="160"/>
      <c r="CE280" s="160"/>
      <c r="CF280" s="160"/>
    </row>
    <row r="281">
      <c r="D281" s="159"/>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c r="BT281" s="160"/>
      <c r="BU281" s="160"/>
      <c r="BV281" s="160"/>
      <c r="BW281" s="160"/>
      <c r="BX281" s="160"/>
      <c r="BY281" s="160"/>
      <c r="BZ281" s="160"/>
      <c r="CA281" s="160"/>
      <c r="CB281" s="160"/>
      <c r="CC281" s="160"/>
      <c r="CD281" s="160"/>
      <c r="CE281" s="160"/>
      <c r="CF281" s="160"/>
    </row>
    <row r="282">
      <c r="D282" s="159"/>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c r="BT282" s="160"/>
      <c r="BU282" s="160"/>
      <c r="BV282" s="160"/>
      <c r="BW282" s="160"/>
      <c r="BX282" s="160"/>
      <c r="BY282" s="160"/>
      <c r="BZ282" s="160"/>
      <c r="CA282" s="160"/>
      <c r="CB282" s="160"/>
      <c r="CC282" s="160"/>
      <c r="CD282" s="160"/>
      <c r="CE282" s="160"/>
      <c r="CF282" s="160"/>
    </row>
    <row r="283">
      <c r="D283" s="159"/>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c r="BT283" s="160"/>
      <c r="BU283" s="160"/>
      <c r="BV283" s="160"/>
      <c r="BW283" s="160"/>
      <c r="BX283" s="160"/>
      <c r="BY283" s="160"/>
      <c r="BZ283" s="160"/>
      <c r="CA283" s="160"/>
      <c r="CB283" s="160"/>
      <c r="CC283" s="160"/>
      <c r="CD283" s="160"/>
      <c r="CE283" s="160"/>
      <c r="CF283" s="160"/>
    </row>
    <row r="284">
      <c r="D284" s="159"/>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c r="BT284" s="160"/>
      <c r="BU284" s="160"/>
      <c r="BV284" s="160"/>
      <c r="BW284" s="160"/>
      <c r="BX284" s="160"/>
      <c r="BY284" s="160"/>
      <c r="BZ284" s="160"/>
      <c r="CA284" s="160"/>
      <c r="CB284" s="160"/>
      <c r="CC284" s="160"/>
      <c r="CD284" s="160"/>
      <c r="CE284" s="160"/>
      <c r="CF284" s="160"/>
    </row>
    <row r="285">
      <c r="D285" s="159"/>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c r="BT285" s="160"/>
      <c r="BU285" s="160"/>
      <c r="BV285" s="160"/>
      <c r="BW285" s="160"/>
      <c r="BX285" s="160"/>
      <c r="BY285" s="160"/>
      <c r="BZ285" s="160"/>
      <c r="CA285" s="160"/>
      <c r="CB285" s="160"/>
      <c r="CC285" s="160"/>
      <c r="CD285" s="160"/>
      <c r="CE285" s="160"/>
      <c r="CF285" s="160"/>
    </row>
    <row r="286">
      <c r="D286" s="159"/>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c r="BT286" s="160"/>
      <c r="BU286" s="160"/>
      <c r="BV286" s="160"/>
      <c r="BW286" s="160"/>
      <c r="BX286" s="160"/>
      <c r="BY286" s="160"/>
      <c r="BZ286" s="160"/>
      <c r="CA286" s="160"/>
      <c r="CB286" s="160"/>
      <c r="CC286" s="160"/>
      <c r="CD286" s="160"/>
      <c r="CE286" s="160"/>
      <c r="CF286" s="160"/>
    </row>
    <row r="287">
      <c r="D287" s="159"/>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c r="BT287" s="160"/>
      <c r="BU287" s="160"/>
      <c r="BV287" s="160"/>
      <c r="BW287" s="160"/>
      <c r="BX287" s="160"/>
      <c r="BY287" s="160"/>
      <c r="BZ287" s="160"/>
      <c r="CA287" s="160"/>
      <c r="CB287" s="160"/>
      <c r="CC287" s="160"/>
      <c r="CD287" s="160"/>
      <c r="CE287" s="160"/>
      <c r="CF287" s="160"/>
    </row>
    <row r="288">
      <c r="D288" s="159"/>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c r="BT288" s="160"/>
      <c r="BU288" s="160"/>
      <c r="BV288" s="160"/>
      <c r="BW288" s="160"/>
      <c r="BX288" s="160"/>
      <c r="BY288" s="160"/>
      <c r="BZ288" s="160"/>
      <c r="CA288" s="160"/>
      <c r="CB288" s="160"/>
      <c r="CC288" s="160"/>
      <c r="CD288" s="160"/>
      <c r="CE288" s="160"/>
      <c r="CF288" s="160"/>
    </row>
    <row r="289">
      <c r="D289" s="159"/>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c r="BT289" s="160"/>
      <c r="BU289" s="160"/>
      <c r="BV289" s="160"/>
      <c r="BW289" s="160"/>
      <c r="BX289" s="160"/>
      <c r="BY289" s="160"/>
      <c r="BZ289" s="160"/>
      <c r="CA289" s="160"/>
      <c r="CB289" s="160"/>
      <c r="CC289" s="160"/>
      <c r="CD289" s="160"/>
      <c r="CE289" s="160"/>
      <c r="CF289" s="160"/>
    </row>
    <row r="290">
      <c r="D290" s="159"/>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c r="BT290" s="160"/>
      <c r="BU290" s="160"/>
      <c r="BV290" s="160"/>
      <c r="BW290" s="160"/>
      <c r="BX290" s="160"/>
      <c r="BY290" s="160"/>
      <c r="BZ290" s="160"/>
      <c r="CA290" s="160"/>
      <c r="CB290" s="160"/>
      <c r="CC290" s="160"/>
      <c r="CD290" s="160"/>
      <c r="CE290" s="160"/>
      <c r="CF290" s="160"/>
    </row>
    <row r="291">
      <c r="D291" s="159"/>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c r="BT291" s="160"/>
      <c r="BU291" s="160"/>
      <c r="BV291" s="160"/>
      <c r="BW291" s="160"/>
      <c r="BX291" s="160"/>
      <c r="BY291" s="160"/>
      <c r="BZ291" s="160"/>
      <c r="CA291" s="160"/>
      <c r="CB291" s="160"/>
      <c r="CC291" s="160"/>
      <c r="CD291" s="160"/>
      <c r="CE291" s="160"/>
      <c r="CF291" s="160"/>
    </row>
    <row r="292">
      <c r="D292" s="159"/>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c r="BT292" s="160"/>
      <c r="BU292" s="160"/>
      <c r="BV292" s="160"/>
      <c r="BW292" s="160"/>
      <c r="BX292" s="160"/>
      <c r="BY292" s="160"/>
      <c r="BZ292" s="160"/>
      <c r="CA292" s="160"/>
      <c r="CB292" s="160"/>
      <c r="CC292" s="160"/>
      <c r="CD292" s="160"/>
      <c r="CE292" s="160"/>
      <c r="CF292" s="160"/>
    </row>
    <row r="293">
      <c r="D293" s="159"/>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c r="BT293" s="160"/>
      <c r="BU293" s="160"/>
      <c r="BV293" s="160"/>
      <c r="BW293" s="160"/>
      <c r="BX293" s="160"/>
      <c r="BY293" s="160"/>
      <c r="BZ293" s="160"/>
      <c r="CA293" s="160"/>
      <c r="CB293" s="160"/>
      <c r="CC293" s="160"/>
      <c r="CD293" s="160"/>
      <c r="CE293" s="160"/>
      <c r="CF293" s="160"/>
    </row>
    <row r="294">
      <c r="D294" s="159"/>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c r="BT294" s="160"/>
      <c r="BU294" s="160"/>
      <c r="BV294" s="160"/>
      <c r="BW294" s="160"/>
      <c r="BX294" s="160"/>
      <c r="BY294" s="160"/>
      <c r="BZ294" s="160"/>
      <c r="CA294" s="160"/>
      <c r="CB294" s="160"/>
      <c r="CC294" s="160"/>
      <c r="CD294" s="160"/>
      <c r="CE294" s="160"/>
      <c r="CF294" s="160"/>
    </row>
    <row r="295">
      <c r="D295" s="159"/>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c r="BT295" s="160"/>
      <c r="BU295" s="160"/>
      <c r="BV295" s="160"/>
      <c r="BW295" s="160"/>
      <c r="BX295" s="160"/>
      <c r="BY295" s="160"/>
      <c r="BZ295" s="160"/>
      <c r="CA295" s="160"/>
      <c r="CB295" s="160"/>
      <c r="CC295" s="160"/>
      <c r="CD295" s="160"/>
      <c r="CE295" s="160"/>
      <c r="CF295" s="160"/>
    </row>
    <row r="296">
      <c r="D296" s="159"/>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c r="BT296" s="160"/>
      <c r="BU296" s="160"/>
      <c r="BV296" s="160"/>
      <c r="BW296" s="160"/>
      <c r="BX296" s="160"/>
      <c r="BY296" s="160"/>
      <c r="BZ296" s="160"/>
      <c r="CA296" s="160"/>
      <c r="CB296" s="160"/>
      <c r="CC296" s="160"/>
      <c r="CD296" s="160"/>
      <c r="CE296" s="160"/>
      <c r="CF296" s="160"/>
    </row>
    <row r="297">
      <c r="D297" s="159"/>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c r="BT297" s="160"/>
      <c r="BU297" s="160"/>
      <c r="BV297" s="160"/>
      <c r="BW297" s="160"/>
      <c r="BX297" s="160"/>
      <c r="BY297" s="160"/>
      <c r="BZ297" s="160"/>
      <c r="CA297" s="160"/>
      <c r="CB297" s="160"/>
      <c r="CC297" s="160"/>
      <c r="CD297" s="160"/>
      <c r="CE297" s="160"/>
      <c r="CF297" s="160"/>
    </row>
    <row r="298">
      <c r="D298" s="159"/>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c r="BT298" s="160"/>
      <c r="BU298" s="160"/>
      <c r="BV298" s="160"/>
      <c r="BW298" s="160"/>
      <c r="BX298" s="160"/>
      <c r="BY298" s="160"/>
      <c r="BZ298" s="160"/>
      <c r="CA298" s="160"/>
      <c r="CB298" s="160"/>
      <c r="CC298" s="160"/>
      <c r="CD298" s="160"/>
      <c r="CE298" s="160"/>
      <c r="CF298" s="160"/>
    </row>
    <row r="299">
      <c r="D299" s="159"/>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c r="BT299" s="160"/>
      <c r="BU299" s="160"/>
      <c r="BV299" s="160"/>
      <c r="BW299" s="160"/>
      <c r="BX299" s="160"/>
      <c r="BY299" s="160"/>
      <c r="BZ299" s="160"/>
      <c r="CA299" s="160"/>
      <c r="CB299" s="160"/>
      <c r="CC299" s="160"/>
      <c r="CD299" s="160"/>
      <c r="CE299" s="160"/>
      <c r="CF299" s="160"/>
    </row>
    <row r="300">
      <c r="D300" s="159"/>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c r="BT300" s="160"/>
      <c r="BU300" s="160"/>
      <c r="BV300" s="160"/>
      <c r="BW300" s="160"/>
      <c r="BX300" s="160"/>
      <c r="BY300" s="160"/>
      <c r="BZ300" s="160"/>
      <c r="CA300" s="160"/>
      <c r="CB300" s="160"/>
      <c r="CC300" s="160"/>
      <c r="CD300" s="160"/>
      <c r="CE300" s="160"/>
      <c r="CF300" s="160"/>
    </row>
    <row r="301">
      <c r="D301" s="159"/>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c r="BT301" s="160"/>
      <c r="BU301" s="160"/>
      <c r="BV301" s="160"/>
      <c r="BW301" s="160"/>
      <c r="BX301" s="160"/>
      <c r="BY301" s="160"/>
      <c r="BZ301" s="160"/>
      <c r="CA301" s="160"/>
      <c r="CB301" s="160"/>
      <c r="CC301" s="160"/>
      <c r="CD301" s="160"/>
      <c r="CE301" s="160"/>
      <c r="CF301" s="160"/>
    </row>
    <row r="302">
      <c r="D302" s="159"/>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c r="BT302" s="160"/>
      <c r="BU302" s="160"/>
      <c r="BV302" s="160"/>
      <c r="BW302" s="160"/>
      <c r="BX302" s="160"/>
      <c r="BY302" s="160"/>
      <c r="BZ302" s="160"/>
      <c r="CA302" s="160"/>
      <c r="CB302" s="160"/>
      <c r="CC302" s="160"/>
      <c r="CD302" s="160"/>
      <c r="CE302" s="160"/>
      <c r="CF302" s="160"/>
    </row>
    <row r="303">
      <c r="D303" s="159"/>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c r="BT303" s="160"/>
      <c r="BU303" s="160"/>
      <c r="BV303" s="160"/>
      <c r="BW303" s="160"/>
      <c r="BX303" s="160"/>
      <c r="BY303" s="160"/>
      <c r="BZ303" s="160"/>
      <c r="CA303" s="160"/>
      <c r="CB303" s="160"/>
      <c r="CC303" s="160"/>
      <c r="CD303" s="160"/>
      <c r="CE303" s="160"/>
      <c r="CF303" s="160"/>
    </row>
    <row r="304">
      <c r="D304" s="159"/>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c r="BT304" s="160"/>
      <c r="BU304" s="160"/>
      <c r="BV304" s="160"/>
      <c r="BW304" s="160"/>
      <c r="BX304" s="160"/>
      <c r="BY304" s="160"/>
      <c r="BZ304" s="160"/>
      <c r="CA304" s="160"/>
      <c r="CB304" s="160"/>
      <c r="CC304" s="160"/>
      <c r="CD304" s="160"/>
      <c r="CE304" s="160"/>
      <c r="CF304" s="160"/>
    </row>
    <row r="305">
      <c r="D305" s="159"/>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c r="BT305" s="160"/>
      <c r="BU305" s="160"/>
      <c r="BV305" s="160"/>
      <c r="BW305" s="160"/>
      <c r="BX305" s="160"/>
      <c r="BY305" s="160"/>
      <c r="BZ305" s="160"/>
      <c r="CA305" s="160"/>
      <c r="CB305" s="160"/>
      <c r="CC305" s="160"/>
      <c r="CD305" s="160"/>
      <c r="CE305" s="160"/>
      <c r="CF305" s="160"/>
    </row>
    <row r="306">
      <c r="D306" s="159"/>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c r="BT306" s="160"/>
      <c r="BU306" s="160"/>
      <c r="BV306" s="160"/>
      <c r="BW306" s="160"/>
      <c r="BX306" s="160"/>
      <c r="BY306" s="160"/>
      <c r="BZ306" s="160"/>
      <c r="CA306" s="160"/>
      <c r="CB306" s="160"/>
      <c r="CC306" s="160"/>
      <c r="CD306" s="160"/>
      <c r="CE306" s="160"/>
      <c r="CF306" s="160"/>
    </row>
    <row r="307">
      <c r="D307" s="159"/>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c r="BT307" s="160"/>
      <c r="BU307" s="160"/>
      <c r="BV307" s="160"/>
      <c r="BW307" s="160"/>
      <c r="BX307" s="160"/>
      <c r="BY307" s="160"/>
      <c r="BZ307" s="160"/>
      <c r="CA307" s="160"/>
      <c r="CB307" s="160"/>
      <c r="CC307" s="160"/>
      <c r="CD307" s="160"/>
      <c r="CE307" s="160"/>
      <c r="CF307" s="160"/>
    </row>
    <row r="308">
      <c r="D308" s="159"/>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c r="BT308" s="160"/>
      <c r="BU308" s="160"/>
      <c r="BV308" s="160"/>
      <c r="BW308" s="160"/>
      <c r="BX308" s="160"/>
      <c r="BY308" s="160"/>
      <c r="BZ308" s="160"/>
      <c r="CA308" s="160"/>
      <c r="CB308" s="160"/>
      <c r="CC308" s="160"/>
      <c r="CD308" s="160"/>
      <c r="CE308" s="160"/>
      <c r="CF308" s="160"/>
    </row>
    <row r="309">
      <c r="D309" s="159"/>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c r="BT309" s="160"/>
      <c r="BU309" s="160"/>
      <c r="BV309" s="160"/>
      <c r="BW309" s="160"/>
      <c r="BX309" s="160"/>
      <c r="BY309" s="160"/>
      <c r="BZ309" s="160"/>
      <c r="CA309" s="160"/>
      <c r="CB309" s="160"/>
      <c r="CC309" s="160"/>
      <c r="CD309" s="160"/>
      <c r="CE309" s="160"/>
      <c r="CF309" s="160"/>
    </row>
    <row r="310">
      <c r="D310" s="159"/>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c r="BT310" s="160"/>
      <c r="BU310" s="160"/>
      <c r="BV310" s="160"/>
      <c r="BW310" s="160"/>
      <c r="BX310" s="160"/>
      <c r="BY310" s="160"/>
      <c r="BZ310" s="160"/>
      <c r="CA310" s="160"/>
      <c r="CB310" s="160"/>
      <c r="CC310" s="160"/>
      <c r="CD310" s="160"/>
      <c r="CE310" s="160"/>
      <c r="CF310" s="160"/>
    </row>
    <row r="311">
      <c r="D311" s="159"/>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c r="BT311" s="160"/>
      <c r="BU311" s="160"/>
      <c r="BV311" s="160"/>
      <c r="BW311" s="160"/>
      <c r="BX311" s="160"/>
      <c r="BY311" s="160"/>
      <c r="BZ311" s="160"/>
      <c r="CA311" s="160"/>
      <c r="CB311" s="160"/>
      <c r="CC311" s="160"/>
      <c r="CD311" s="160"/>
      <c r="CE311" s="160"/>
      <c r="CF311" s="160"/>
    </row>
    <row r="312">
      <c r="D312" s="159"/>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c r="BT312" s="160"/>
      <c r="BU312" s="160"/>
      <c r="BV312" s="160"/>
      <c r="BW312" s="160"/>
      <c r="BX312" s="160"/>
      <c r="BY312" s="160"/>
      <c r="BZ312" s="160"/>
      <c r="CA312" s="160"/>
      <c r="CB312" s="160"/>
      <c r="CC312" s="160"/>
      <c r="CD312" s="160"/>
      <c r="CE312" s="160"/>
      <c r="CF312" s="160"/>
    </row>
    <row r="313">
      <c r="D313" s="159"/>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c r="BT313" s="160"/>
      <c r="BU313" s="160"/>
      <c r="BV313" s="160"/>
      <c r="BW313" s="160"/>
      <c r="BX313" s="160"/>
      <c r="BY313" s="160"/>
      <c r="BZ313" s="160"/>
      <c r="CA313" s="160"/>
      <c r="CB313" s="160"/>
      <c r="CC313" s="160"/>
      <c r="CD313" s="160"/>
      <c r="CE313" s="160"/>
      <c r="CF313" s="160"/>
    </row>
    <row r="314">
      <c r="D314" s="159"/>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c r="BT314" s="160"/>
      <c r="BU314" s="160"/>
      <c r="BV314" s="160"/>
      <c r="BW314" s="160"/>
      <c r="BX314" s="160"/>
      <c r="BY314" s="160"/>
      <c r="BZ314" s="160"/>
      <c r="CA314" s="160"/>
      <c r="CB314" s="160"/>
      <c r="CC314" s="160"/>
      <c r="CD314" s="160"/>
      <c r="CE314" s="160"/>
      <c r="CF314" s="160"/>
    </row>
    <row r="315">
      <c r="D315" s="159"/>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c r="BT315" s="160"/>
      <c r="BU315" s="160"/>
      <c r="BV315" s="160"/>
      <c r="BW315" s="160"/>
      <c r="BX315" s="160"/>
      <c r="BY315" s="160"/>
      <c r="BZ315" s="160"/>
      <c r="CA315" s="160"/>
      <c r="CB315" s="160"/>
      <c r="CC315" s="160"/>
      <c r="CD315" s="160"/>
      <c r="CE315" s="160"/>
      <c r="CF315" s="160"/>
    </row>
    <row r="316">
      <c r="D316" s="159"/>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c r="BT316" s="160"/>
      <c r="BU316" s="160"/>
      <c r="BV316" s="160"/>
      <c r="BW316" s="160"/>
      <c r="BX316" s="160"/>
      <c r="BY316" s="160"/>
      <c r="BZ316" s="160"/>
      <c r="CA316" s="160"/>
      <c r="CB316" s="160"/>
      <c r="CC316" s="160"/>
      <c r="CD316" s="160"/>
      <c r="CE316" s="160"/>
      <c r="CF316" s="160"/>
    </row>
    <row r="317">
      <c r="D317" s="159"/>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c r="BT317" s="160"/>
      <c r="BU317" s="160"/>
      <c r="BV317" s="160"/>
      <c r="BW317" s="160"/>
      <c r="BX317" s="160"/>
      <c r="BY317" s="160"/>
      <c r="BZ317" s="160"/>
      <c r="CA317" s="160"/>
      <c r="CB317" s="160"/>
      <c r="CC317" s="160"/>
      <c r="CD317" s="160"/>
      <c r="CE317" s="160"/>
      <c r="CF317" s="160"/>
    </row>
    <row r="318">
      <c r="D318" s="159"/>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c r="BT318" s="160"/>
      <c r="BU318" s="160"/>
      <c r="BV318" s="160"/>
      <c r="BW318" s="160"/>
      <c r="BX318" s="160"/>
      <c r="BY318" s="160"/>
      <c r="BZ318" s="160"/>
      <c r="CA318" s="160"/>
      <c r="CB318" s="160"/>
      <c r="CC318" s="160"/>
      <c r="CD318" s="160"/>
      <c r="CE318" s="160"/>
      <c r="CF318" s="160"/>
    </row>
    <row r="319">
      <c r="D319" s="159"/>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c r="BT319" s="160"/>
      <c r="BU319" s="160"/>
      <c r="BV319" s="160"/>
      <c r="BW319" s="160"/>
      <c r="BX319" s="160"/>
      <c r="BY319" s="160"/>
      <c r="BZ319" s="160"/>
      <c r="CA319" s="160"/>
      <c r="CB319" s="160"/>
      <c r="CC319" s="160"/>
      <c r="CD319" s="160"/>
      <c r="CE319" s="160"/>
      <c r="CF319" s="160"/>
    </row>
    <row r="320">
      <c r="D320" s="159"/>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c r="BT320" s="160"/>
      <c r="BU320" s="160"/>
      <c r="BV320" s="160"/>
      <c r="BW320" s="160"/>
      <c r="BX320" s="160"/>
      <c r="BY320" s="160"/>
      <c r="BZ320" s="160"/>
      <c r="CA320" s="160"/>
      <c r="CB320" s="160"/>
      <c r="CC320" s="160"/>
      <c r="CD320" s="160"/>
      <c r="CE320" s="160"/>
      <c r="CF320" s="160"/>
    </row>
    <row r="321">
      <c r="D321" s="159"/>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c r="BT321" s="160"/>
      <c r="BU321" s="160"/>
      <c r="BV321" s="160"/>
      <c r="BW321" s="160"/>
      <c r="BX321" s="160"/>
      <c r="BY321" s="160"/>
      <c r="BZ321" s="160"/>
      <c r="CA321" s="160"/>
      <c r="CB321" s="160"/>
      <c r="CC321" s="160"/>
      <c r="CD321" s="160"/>
      <c r="CE321" s="160"/>
      <c r="CF321" s="160"/>
    </row>
    <row r="322">
      <c r="D322" s="159"/>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c r="BT322" s="160"/>
      <c r="BU322" s="160"/>
      <c r="BV322" s="160"/>
      <c r="BW322" s="160"/>
      <c r="BX322" s="160"/>
      <c r="BY322" s="160"/>
      <c r="BZ322" s="160"/>
      <c r="CA322" s="160"/>
      <c r="CB322" s="160"/>
      <c r="CC322" s="160"/>
      <c r="CD322" s="160"/>
      <c r="CE322" s="160"/>
      <c r="CF322" s="160"/>
    </row>
    <row r="323">
      <c r="D323" s="159"/>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c r="BT323" s="160"/>
      <c r="BU323" s="160"/>
      <c r="BV323" s="160"/>
      <c r="BW323" s="160"/>
      <c r="BX323" s="160"/>
      <c r="BY323" s="160"/>
      <c r="BZ323" s="160"/>
      <c r="CA323" s="160"/>
      <c r="CB323" s="160"/>
      <c r="CC323" s="160"/>
      <c r="CD323" s="160"/>
      <c r="CE323" s="160"/>
      <c r="CF323" s="160"/>
    </row>
    <row r="324">
      <c r="D324" s="159"/>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c r="BD324" s="160"/>
      <c r="BE324" s="160"/>
      <c r="BF324" s="160"/>
      <c r="BG324" s="160"/>
      <c r="BH324" s="160"/>
      <c r="BI324" s="160"/>
      <c r="BJ324" s="160"/>
      <c r="BK324" s="160"/>
      <c r="BL324" s="160"/>
      <c r="BM324" s="160"/>
      <c r="BN324" s="160"/>
      <c r="BO324" s="160"/>
      <c r="BP324" s="160"/>
      <c r="BQ324" s="160"/>
      <c r="BR324" s="160"/>
      <c r="BS324" s="160"/>
      <c r="BT324" s="160"/>
      <c r="BU324" s="160"/>
      <c r="BV324" s="160"/>
      <c r="BW324" s="160"/>
      <c r="BX324" s="160"/>
      <c r="BY324" s="160"/>
      <c r="BZ324" s="160"/>
      <c r="CA324" s="160"/>
      <c r="CB324" s="160"/>
      <c r="CC324" s="160"/>
      <c r="CD324" s="160"/>
      <c r="CE324" s="160"/>
      <c r="CF324" s="160"/>
    </row>
    <row r="325">
      <c r="D325" s="159"/>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c r="BT325" s="160"/>
      <c r="BU325" s="160"/>
      <c r="BV325" s="160"/>
      <c r="BW325" s="160"/>
      <c r="BX325" s="160"/>
      <c r="BY325" s="160"/>
      <c r="BZ325" s="160"/>
      <c r="CA325" s="160"/>
      <c r="CB325" s="160"/>
      <c r="CC325" s="160"/>
      <c r="CD325" s="160"/>
      <c r="CE325" s="160"/>
      <c r="CF325" s="160"/>
    </row>
    <row r="326">
      <c r="D326" s="159"/>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c r="BT326" s="160"/>
      <c r="BU326" s="160"/>
      <c r="BV326" s="160"/>
      <c r="BW326" s="160"/>
      <c r="BX326" s="160"/>
      <c r="BY326" s="160"/>
      <c r="BZ326" s="160"/>
      <c r="CA326" s="160"/>
      <c r="CB326" s="160"/>
      <c r="CC326" s="160"/>
      <c r="CD326" s="160"/>
      <c r="CE326" s="160"/>
      <c r="CF326" s="160"/>
    </row>
    <row r="327">
      <c r="D327" s="159"/>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c r="BT327" s="160"/>
      <c r="BU327" s="160"/>
      <c r="BV327" s="160"/>
      <c r="BW327" s="160"/>
      <c r="BX327" s="160"/>
      <c r="BY327" s="160"/>
      <c r="BZ327" s="160"/>
      <c r="CA327" s="160"/>
      <c r="CB327" s="160"/>
      <c r="CC327" s="160"/>
      <c r="CD327" s="160"/>
      <c r="CE327" s="160"/>
      <c r="CF327" s="160"/>
    </row>
    <row r="328">
      <c r="D328" s="159"/>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c r="BT328" s="160"/>
      <c r="BU328" s="160"/>
      <c r="BV328" s="160"/>
      <c r="BW328" s="160"/>
      <c r="BX328" s="160"/>
      <c r="BY328" s="160"/>
      <c r="BZ328" s="160"/>
      <c r="CA328" s="160"/>
      <c r="CB328" s="160"/>
      <c r="CC328" s="160"/>
      <c r="CD328" s="160"/>
      <c r="CE328" s="160"/>
      <c r="CF328" s="160"/>
    </row>
    <row r="329">
      <c r="D329" s="159"/>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c r="BT329" s="160"/>
      <c r="BU329" s="160"/>
      <c r="BV329" s="160"/>
      <c r="BW329" s="160"/>
      <c r="BX329" s="160"/>
      <c r="BY329" s="160"/>
      <c r="BZ329" s="160"/>
      <c r="CA329" s="160"/>
      <c r="CB329" s="160"/>
      <c r="CC329" s="160"/>
      <c r="CD329" s="160"/>
      <c r="CE329" s="160"/>
      <c r="CF329" s="160"/>
    </row>
    <row r="330">
      <c r="D330" s="159"/>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c r="BT330" s="160"/>
      <c r="BU330" s="160"/>
      <c r="BV330" s="160"/>
      <c r="BW330" s="160"/>
      <c r="BX330" s="160"/>
      <c r="BY330" s="160"/>
      <c r="BZ330" s="160"/>
      <c r="CA330" s="160"/>
      <c r="CB330" s="160"/>
      <c r="CC330" s="160"/>
      <c r="CD330" s="160"/>
      <c r="CE330" s="160"/>
      <c r="CF330" s="160"/>
    </row>
    <row r="331">
      <c r="D331" s="159"/>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c r="BT331" s="160"/>
      <c r="BU331" s="160"/>
      <c r="BV331" s="160"/>
      <c r="BW331" s="160"/>
      <c r="BX331" s="160"/>
      <c r="BY331" s="160"/>
      <c r="BZ331" s="160"/>
      <c r="CA331" s="160"/>
      <c r="CB331" s="160"/>
      <c r="CC331" s="160"/>
      <c r="CD331" s="160"/>
      <c r="CE331" s="160"/>
      <c r="CF331" s="160"/>
    </row>
    <row r="332">
      <c r="D332" s="159"/>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c r="BT332" s="160"/>
      <c r="BU332" s="160"/>
      <c r="BV332" s="160"/>
      <c r="BW332" s="160"/>
      <c r="BX332" s="160"/>
      <c r="BY332" s="160"/>
      <c r="BZ332" s="160"/>
      <c r="CA332" s="160"/>
      <c r="CB332" s="160"/>
      <c r="CC332" s="160"/>
      <c r="CD332" s="160"/>
      <c r="CE332" s="160"/>
      <c r="CF332" s="160"/>
    </row>
    <row r="333">
      <c r="D333" s="159"/>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c r="BT333" s="160"/>
      <c r="BU333" s="160"/>
      <c r="BV333" s="160"/>
      <c r="BW333" s="160"/>
      <c r="BX333" s="160"/>
      <c r="BY333" s="160"/>
      <c r="BZ333" s="160"/>
      <c r="CA333" s="160"/>
      <c r="CB333" s="160"/>
      <c r="CC333" s="160"/>
      <c r="CD333" s="160"/>
      <c r="CE333" s="160"/>
      <c r="CF333" s="160"/>
    </row>
    <row r="334">
      <c r="D334" s="159"/>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c r="BT334" s="160"/>
      <c r="BU334" s="160"/>
      <c r="BV334" s="160"/>
      <c r="BW334" s="160"/>
      <c r="BX334" s="160"/>
      <c r="BY334" s="160"/>
      <c r="BZ334" s="160"/>
      <c r="CA334" s="160"/>
      <c r="CB334" s="160"/>
      <c r="CC334" s="160"/>
      <c r="CD334" s="160"/>
      <c r="CE334" s="160"/>
      <c r="CF334" s="160"/>
    </row>
    <row r="335">
      <c r="D335" s="159"/>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c r="BT335" s="160"/>
      <c r="BU335" s="160"/>
      <c r="BV335" s="160"/>
      <c r="BW335" s="160"/>
      <c r="BX335" s="160"/>
      <c r="BY335" s="160"/>
      <c r="BZ335" s="160"/>
      <c r="CA335" s="160"/>
      <c r="CB335" s="160"/>
      <c r="CC335" s="160"/>
      <c r="CD335" s="160"/>
      <c r="CE335" s="160"/>
      <c r="CF335" s="160"/>
    </row>
    <row r="336">
      <c r="D336" s="159"/>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c r="BT336" s="160"/>
      <c r="BU336" s="160"/>
      <c r="BV336" s="160"/>
      <c r="BW336" s="160"/>
      <c r="BX336" s="160"/>
      <c r="BY336" s="160"/>
      <c r="BZ336" s="160"/>
      <c r="CA336" s="160"/>
      <c r="CB336" s="160"/>
      <c r="CC336" s="160"/>
      <c r="CD336" s="160"/>
      <c r="CE336" s="160"/>
      <c r="CF336" s="160"/>
    </row>
    <row r="337">
      <c r="D337" s="159"/>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c r="BT337" s="160"/>
      <c r="BU337" s="160"/>
      <c r="BV337" s="160"/>
      <c r="BW337" s="160"/>
      <c r="BX337" s="160"/>
      <c r="BY337" s="160"/>
      <c r="BZ337" s="160"/>
      <c r="CA337" s="160"/>
      <c r="CB337" s="160"/>
      <c r="CC337" s="160"/>
      <c r="CD337" s="160"/>
      <c r="CE337" s="160"/>
      <c r="CF337" s="160"/>
    </row>
    <row r="338">
      <c r="D338" s="159"/>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c r="BT338" s="160"/>
      <c r="BU338" s="160"/>
      <c r="BV338" s="160"/>
      <c r="BW338" s="160"/>
      <c r="BX338" s="160"/>
      <c r="BY338" s="160"/>
      <c r="BZ338" s="160"/>
      <c r="CA338" s="160"/>
      <c r="CB338" s="160"/>
      <c r="CC338" s="160"/>
      <c r="CD338" s="160"/>
      <c r="CE338" s="160"/>
      <c r="CF338" s="160"/>
    </row>
    <row r="339">
      <c r="D339" s="159"/>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c r="BT339" s="160"/>
      <c r="BU339" s="160"/>
      <c r="BV339" s="160"/>
      <c r="BW339" s="160"/>
      <c r="BX339" s="160"/>
      <c r="BY339" s="160"/>
      <c r="BZ339" s="160"/>
      <c r="CA339" s="160"/>
      <c r="CB339" s="160"/>
      <c r="CC339" s="160"/>
      <c r="CD339" s="160"/>
      <c r="CE339" s="160"/>
      <c r="CF339" s="160"/>
    </row>
    <row r="340">
      <c r="D340" s="159"/>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c r="BT340" s="160"/>
      <c r="BU340" s="160"/>
      <c r="BV340" s="160"/>
      <c r="BW340" s="160"/>
      <c r="BX340" s="160"/>
      <c r="BY340" s="160"/>
      <c r="BZ340" s="160"/>
      <c r="CA340" s="160"/>
      <c r="CB340" s="160"/>
      <c r="CC340" s="160"/>
      <c r="CD340" s="160"/>
      <c r="CE340" s="160"/>
      <c r="CF340" s="160"/>
    </row>
    <row r="341">
      <c r="D341" s="159"/>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c r="BT341" s="160"/>
      <c r="BU341" s="160"/>
      <c r="BV341" s="160"/>
      <c r="BW341" s="160"/>
      <c r="BX341" s="160"/>
      <c r="BY341" s="160"/>
      <c r="BZ341" s="160"/>
      <c r="CA341" s="160"/>
      <c r="CB341" s="160"/>
      <c r="CC341" s="160"/>
      <c r="CD341" s="160"/>
      <c r="CE341" s="160"/>
      <c r="CF341" s="160"/>
    </row>
    <row r="342">
      <c r="D342" s="159"/>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c r="BT342" s="160"/>
      <c r="BU342" s="160"/>
      <c r="BV342" s="160"/>
      <c r="BW342" s="160"/>
      <c r="BX342" s="160"/>
      <c r="BY342" s="160"/>
      <c r="BZ342" s="160"/>
      <c r="CA342" s="160"/>
      <c r="CB342" s="160"/>
      <c r="CC342" s="160"/>
      <c r="CD342" s="160"/>
      <c r="CE342" s="160"/>
      <c r="CF342" s="160"/>
    </row>
    <row r="343">
      <c r="D343" s="159"/>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c r="BT343" s="160"/>
      <c r="BU343" s="160"/>
      <c r="BV343" s="160"/>
      <c r="BW343" s="160"/>
      <c r="BX343" s="160"/>
      <c r="BY343" s="160"/>
      <c r="BZ343" s="160"/>
      <c r="CA343" s="160"/>
      <c r="CB343" s="160"/>
      <c r="CC343" s="160"/>
      <c r="CD343" s="160"/>
      <c r="CE343" s="160"/>
      <c r="CF343" s="160"/>
    </row>
    <row r="344">
      <c r="D344" s="159"/>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c r="BT344" s="160"/>
      <c r="BU344" s="160"/>
      <c r="BV344" s="160"/>
      <c r="BW344" s="160"/>
      <c r="BX344" s="160"/>
      <c r="BY344" s="160"/>
      <c r="BZ344" s="160"/>
      <c r="CA344" s="160"/>
      <c r="CB344" s="160"/>
      <c r="CC344" s="160"/>
      <c r="CD344" s="160"/>
      <c r="CE344" s="160"/>
      <c r="CF344" s="160"/>
    </row>
    <row r="345">
      <c r="D345" s="159"/>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c r="BT345" s="160"/>
      <c r="BU345" s="160"/>
      <c r="BV345" s="160"/>
      <c r="BW345" s="160"/>
      <c r="BX345" s="160"/>
      <c r="BY345" s="160"/>
      <c r="BZ345" s="160"/>
      <c r="CA345" s="160"/>
      <c r="CB345" s="160"/>
      <c r="CC345" s="160"/>
      <c r="CD345" s="160"/>
      <c r="CE345" s="160"/>
      <c r="CF345" s="160"/>
    </row>
    <row r="346">
      <c r="D346" s="159"/>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c r="BT346" s="160"/>
      <c r="BU346" s="160"/>
      <c r="BV346" s="160"/>
      <c r="BW346" s="160"/>
      <c r="BX346" s="160"/>
      <c r="BY346" s="160"/>
      <c r="BZ346" s="160"/>
      <c r="CA346" s="160"/>
      <c r="CB346" s="160"/>
      <c r="CC346" s="160"/>
      <c r="CD346" s="160"/>
      <c r="CE346" s="160"/>
      <c r="CF346" s="160"/>
    </row>
    <row r="347">
      <c r="D347" s="159"/>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row>
    <row r="348">
      <c r="D348" s="159"/>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0"/>
      <c r="BE348" s="160"/>
      <c r="BF348" s="160"/>
      <c r="BG348" s="160"/>
      <c r="BH348" s="160"/>
      <c r="BI348" s="160"/>
      <c r="BJ348" s="160"/>
      <c r="BK348" s="160"/>
      <c r="BL348" s="160"/>
      <c r="BM348" s="160"/>
      <c r="BN348" s="160"/>
      <c r="BO348" s="160"/>
      <c r="BP348" s="160"/>
      <c r="BQ348" s="160"/>
      <c r="BR348" s="160"/>
      <c r="BS348" s="160"/>
      <c r="BT348" s="160"/>
      <c r="BU348" s="160"/>
      <c r="BV348" s="160"/>
      <c r="BW348" s="160"/>
      <c r="BX348" s="160"/>
      <c r="BY348" s="160"/>
      <c r="BZ348" s="160"/>
      <c r="CA348" s="160"/>
      <c r="CB348" s="160"/>
      <c r="CC348" s="160"/>
      <c r="CD348" s="160"/>
      <c r="CE348" s="160"/>
      <c r="CF348" s="160"/>
    </row>
    <row r="349">
      <c r="D349" s="159"/>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c r="BT349" s="160"/>
      <c r="BU349" s="160"/>
      <c r="BV349" s="160"/>
      <c r="BW349" s="160"/>
      <c r="BX349" s="160"/>
      <c r="BY349" s="160"/>
      <c r="BZ349" s="160"/>
      <c r="CA349" s="160"/>
      <c r="CB349" s="160"/>
      <c r="CC349" s="160"/>
      <c r="CD349" s="160"/>
      <c r="CE349" s="160"/>
      <c r="CF349" s="160"/>
    </row>
    <row r="350">
      <c r="D350" s="159"/>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c r="BT350" s="160"/>
      <c r="BU350" s="160"/>
      <c r="BV350" s="160"/>
      <c r="BW350" s="160"/>
      <c r="BX350" s="160"/>
      <c r="BY350" s="160"/>
      <c r="BZ350" s="160"/>
      <c r="CA350" s="160"/>
      <c r="CB350" s="160"/>
      <c r="CC350" s="160"/>
      <c r="CD350" s="160"/>
      <c r="CE350" s="160"/>
      <c r="CF350" s="160"/>
    </row>
    <row r="351">
      <c r="D351" s="159"/>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c r="BT351" s="160"/>
      <c r="BU351" s="160"/>
      <c r="BV351" s="160"/>
      <c r="BW351" s="160"/>
      <c r="BX351" s="160"/>
      <c r="BY351" s="160"/>
      <c r="BZ351" s="160"/>
      <c r="CA351" s="160"/>
      <c r="CB351" s="160"/>
      <c r="CC351" s="160"/>
      <c r="CD351" s="160"/>
      <c r="CE351" s="160"/>
      <c r="CF351" s="160"/>
    </row>
    <row r="352">
      <c r="D352" s="159"/>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c r="BT352" s="160"/>
      <c r="BU352" s="160"/>
      <c r="BV352" s="160"/>
      <c r="BW352" s="160"/>
      <c r="BX352" s="160"/>
      <c r="BY352" s="160"/>
      <c r="BZ352" s="160"/>
      <c r="CA352" s="160"/>
      <c r="CB352" s="160"/>
      <c r="CC352" s="160"/>
      <c r="CD352" s="160"/>
      <c r="CE352" s="160"/>
      <c r="CF352" s="160"/>
    </row>
    <row r="353">
      <c r="D353" s="159"/>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c r="BT353" s="160"/>
      <c r="BU353" s="160"/>
      <c r="BV353" s="160"/>
      <c r="BW353" s="160"/>
      <c r="BX353" s="160"/>
      <c r="BY353" s="160"/>
      <c r="BZ353" s="160"/>
      <c r="CA353" s="160"/>
      <c r="CB353" s="160"/>
      <c r="CC353" s="160"/>
      <c r="CD353" s="160"/>
      <c r="CE353" s="160"/>
      <c r="CF353" s="160"/>
    </row>
    <row r="354">
      <c r="D354" s="159"/>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c r="BD354" s="160"/>
      <c r="BE354" s="160"/>
      <c r="BF354" s="160"/>
      <c r="BG354" s="160"/>
      <c r="BH354" s="160"/>
      <c r="BI354" s="160"/>
      <c r="BJ354" s="160"/>
      <c r="BK354" s="160"/>
      <c r="BL354" s="160"/>
      <c r="BM354" s="160"/>
      <c r="BN354" s="160"/>
      <c r="BO354" s="160"/>
      <c r="BP354" s="160"/>
      <c r="BQ354" s="160"/>
      <c r="BR354" s="160"/>
      <c r="BS354" s="160"/>
      <c r="BT354" s="160"/>
      <c r="BU354" s="160"/>
      <c r="BV354" s="160"/>
      <c r="BW354" s="160"/>
      <c r="BX354" s="160"/>
      <c r="BY354" s="160"/>
      <c r="BZ354" s="160"/>
      <c r="CA354" s="160"/>
      <c r="CB354" s="160"/>
      <c r="CC354" s="160"/>
      <c r="CD354" s="160"/>
      <c r="CE354" s="160"/>
      <c r="CF354" s="160"/>
    </row>
    <row r="355">
      <c r="D355" s="159"/>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c r="BT355" s="160"/>
      <c r="BU355" s="160"/>
      <c r="BV355" s="160"/>
      <c r="BW355" s="160"/>
      <c r="BX355" s="160"/>
      <c r="BY355" s="160"/>
      <c r="BZ355" s="160"/>
      <c r="CA355" s="160"/>
      <c r="CB355" s="160"/>
      <c r="CC355" s="160"/>
      <c r="CD355" s="160"/>
      <c r="CE355" s="160"/>
      <c r="CF355" s="160"/>
    </row>
    <row r="356">
      <c r="D356" s="159"/>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c r="BT356" s="160"/>
      <c r="BU356" s="160"/>
      <c r="BV356" s="160"/>
      <c r="BW356" s="160"/>
      <c r="BX356" s="160"/>
      <c r="BY356" s="160"/>
      <c r="BZ356" s="160"/>
      <c r="CA356" s="160"/>
      <c r="CB356" s="160"/>
      <c r="CC356" s="160"/>
      <c r="CD356" s="160"/>
      <c r="CE356" s="160"/>
      <c r="CF356" s="160"/>
    </row>
    <row r="357">
      <c r="D357" s="159"/>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c r="BT357" s="160"/>
      <c r="BU357" s="160"/>
      <c r="BV357" s="160"/>
      <c r="BW357" s="160"/>
      <c r="BX357" s="160"/>
      <c r="BY357" s="160"/>
      <c r="BZ357" s="160"/>
      <c r="CA357" s="160"/>
      <c r="CB357" s="160"/>
      <c r="CC357" s="160"/>
      <c r="CD357" s="160"/>
      <c r="CE357" s="160"/>
      <c r="CF357" s="160"/>
    </row>
    <row r="358">
      <c r="D358" s="159"/>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c r="BT358" s="160"/>
      <c r="BU358" s="160"/>
      <c r="BV358" s="160"/>
      <c r="BW358" s="160"/>
      <c r="BX358" s="160"/>
      <c r="BY358" s="160"/>
      <c r="BZ358" s="160"/>
      <c r="CA358" s="160"/>
      <c r="CB358" s="160"/>
      <c r="CC358" s="160"/>
      <c r="CD358" s="160"/>
      <c r="CE358" s="160"/>
      <c r="CF358" s="160"/>
    </row>
    <row r="359">
      <c r="D359" s="159"/>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c r="BT359" s="160"/>
      <c r="BU359" s="160"/>
      <c r="BV359" s="160"/>
      <c r="BW359" s="160"/>
      <c r="BX359" s="160"/>
      <c r="BY359" s="160"/>
      <c r="BZ359" s="160"/>
      <c r="CA359" s="160"/>
      <c r="CB359" s="160"/>
      <c r="CC359" s="160"/>
      <c r="CD359" s="160"/>
      <c r="CE359" s="160"/>
      <c r="CF359" s="160"/>
    </row>
    <row r="360">
      <c r="D360" s="159"/>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c r="BT360" s="160"/>
      <c r="BU360" s="160"/>
      <c r="BV360" s="160"/>
      <c r="BW360" s="160"/>
      <c r="BX360" s="160"/>
      <c r="BY360" s="160"/>
      <c r="BZ360" s="160"/>
      <c r="CA360" s="160"/>
      <c r="CB360" s="160"/>
      <c r="CC360" s="160"/>
      <c r="CD360" s="160"/>
      <c r="CE360" s="160"/>
      <c r="CF360" s="160"/>
    </row>
    <row r="361">
      <c r="D361" s="159"/>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c r="BT361" s="160"/>
      <c r="BU361" s="160"/>
      <c r="BV361" s="160"/>
      <c r="BW361" s="160"/>
      <c r="BX361" s="160"/>
      <c r="BY361" s="160"/>
      <c r="BZ361" s="160"/>
      <c r="CA361" s="160"/>
      <c r="CB361" s="160"/>
      <c r="CC361" s="160"/>
      <c r="CD361" s="160"/>
      <c r="CE361" s="160"/>
      <c r="CF361" s="160"/>
    </row>
    <row r="362">
      <c r="D362" s="159"/>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c r="BT362" s="160"/>
      <c r="BU362" s="160"/>
      <c r="BV362" s="160"/>
      <c r="BW362" s="160"/>
      <c r="BX362" s="160"/>
      <c r="BY362" s="160"/>
      <c r="BZ362" s="160"/>
      <c r="CA362" s="160"/>
      <c r="CB362" s="160"/>
      <c r="CC362" s="160"/>
      <c r="CD362" s="160"/>
      <c r="CE362" s="160"/>
      <c r="CF362" s="160"/>
    </row>
    <row r="363">
      <c r="D363" s="159"/>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c r="BT363" s="160"/>
      <c r="BU363" s="160"/>
      <c r="BV363" s="160"/>
      <c r="BW363" s="160"/>
      <c r="BX363" s="160"/>
      <c r="BY363" s="160"/>
      <c r="BZ363" s="160"/>
      <c r="CA363" s="160"/>
      <c r="CB363" s="160"/>
      <c r="CC363" s="160"/>
      <c r="CD363" s="160"/>
      <c r="CE363" s="160"/>
      <c r="CF363" s="160"/>
    </row>
    <row r="364">
      <c r="D364" s="159"/>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c r="BT364" s="160"/>
      <c r="BU364" s="160"/>
      <c r="BV364" s="160"/>
      <c r="BW364" s="160"/>
      <c r="BX364" s="160"/>
      <c r="BY364" s="160"/>
      <c r="BZ364" s="160"/>
      <c r="CA364" s="160"/>
      <c r="CB364" s="160"/>
      <c r="CC364" s="160"/>
      <c r="CD364" s="160"/>
      <c r="CE364" s="160"/>
      <c r="CF364" s="160"/>
    </row>
    <row r="365">
      <c r="D365" s="159"/>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c r="BT365" s="160"/>
      <c r="BU365" s="160"/>
      <c r="BV365" s="160"/>
      <c r="BW365" s="160"/>
      <c r="BX365" s="160"/>
      <c r="BY365" s="160"/>
      <c r="BZ365" s="160"/>
      <c r="CA365" s="160"/>
      <c r="CB365" s="160"/>
      <c r="CC365" s="160"/>
      <c r="CD365" s="160"/>
      <c r="CE365" s="160"/>
      <c r="CF365" s="160"/>
    </row>
    <row r="366">
      <c r="D366" s="159"/>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c r="BT366" s="160"/>
      <c r="BU366" s="160"/>
      <c r="BV366" s="160"/>
      <c r="BW366" s="160"/>
      <c r="BX366" s="160"/>
      <c r="BY366" s="160"/>
      <c r="BZ366" s="160"/>
      <c r="CA366" s="160"/>
      <c r="CB366" s="160"/>
      <c r="CC366" s="160"/>
      <c r="CD366" s="160"/>
      <c r="CE366" s="160"/>
      <c r="CF366" s="160"/>
    </row>
    <row r="367">
      <c r="D367" s="159"/>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c r="BT367" s="160"/>
      <c r="BU367" s="160"/>
      <c r="BV367" s="160"/>
      <c r="BW367" s="160"/>
      <c r="BX367" s="160"/>
      <c r="BY367" s="160"/>
      <c r="BZ367" s="160"/>
      <c r="CA367" s="160"/>
      <c r="CB367" s="160"/>
      <c r="CC367" s="160"/>
      <c r="CD367" s="160"/>
      <c r="CE367" s="160"/>
      <c r="CF367" s="160"/>
    </row>
    <row r="368">
      <c r="D368" s="159"/>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c r="BT368" s="160"/>
      <c r="BU368" s="160"/>
      <c r="BV368" s="160"/>
      <c r="BW368" s="160"/>
      <c r="BX368" s="160"/>
      <c r="BY368" s="160"/>
      <c r="BZ368" s="160"/>
      <c r="CA368" s="160"/>
      <c r="CB368" s="160"/>
      <c r="CC368" s="160"/>
      <c r="CD368" s="160"/>
      <c r="CE368" s="160"/>
      <c r="CF368" s="160"/>
    </row>
    <row r="369">
      <c r="D369" s="159"/>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c r="BT369" s="160"/>
      <c r="BU369" s="160"/>
      <c r="BV369" s="160"/>
      <c r="BW369" s="160"/>
      <c r="BX369" s="160"/>
      <c r="BY369" s="160"/>
      <c r="BZ369" s="160"/>
      <c r="CA369" s="160"/>
      <c r="CB369" s="160"/>
      <c r="CC369" s="160"/>
      <c r="CD369" s="160"/>
      <c r="CE369" s="160"/>
      <c r="CF369" s="160"/>
    </row>
    <row r="370">
      <c r="D370" s="159"/>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c r="BT370" s="160"/>
      <c r="BU370" s="160"/>
      <c r="BV370" s="160"/>
      <c r="BW370" s="160"/>
      <c r="BX370" s="160"/>
      <c r="BY370" s="160"/>
      <c r="BZ370" s="160"/>
      <c r="CA370" s="160"/>
      <c r="CB370" s="160"/>
      <c r="CC370" s="160"/>
      <c r="CD370" s="160"/>
      <c r="CE370" s="160"/>
      <c r="CF370" s="160"/>
    </row>
    <row r="371">
      <c r="D371" s="159"/>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c r="BT371" s="160"/>
      <c r="BU371" s="160"/>
      <c r="BV371" s="160"/>
      <c r="BW371" s="160"/>
      <c r="BX371" s="160"/>
      <c r="BY371" s="160"/>
      <c r="BZ371" s="160"/>
      <c r="CA371" s="160"/>
      <c r="CB371" s="160"/>
      <c r="CC371" s="160"/>
      <c r="CD371" s="160"/>
      <c r="CE371" s="160"/>
      <c r="CF371" s="160"/>
    </row>
    <row r="372">
      <c r="D372" s="159"/>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c r="BD372" s="160"/>
      <c r="BE372" s="160"/>
      <c r="BF372" s="160"/>
      <c r="BG372" s="160"/>
      <c r="BH372" s="160"/>
      <c r="BI372" s="160"/>
      <c r="BJ372" s="160"/>
      <c r="BK372" s="160"/>
      <c r="BL372" s="160"/>
      <c r="BM372" s="160"/>
      <c r="BN372" s="160"/>
      <c r="BO372" s="160"/>
      <c r="BP372" s="160"/>
      <c r="BQ372" s="160"/>
      <c r="BR372" s="160"/>
      <c r="BS372" s="160"/>
      <c r="BT372" s="160"/>
      <c r="BU372" s="160"/>
      <c r="BV372" s="160"/>
      <c r="BW372" s="160"/>
      <c r="BX372" s="160"/>
      <c r="BY372" s="160"/>
      <c r="BZ372" s="160"/>
      <c r="CA372" s="160"/>
      <c r="CB372" s="160"/>
      <c r="CC372" s="160"/>
      <c r="CD372" s="160"/>
      <c r="CE372" s="160"/>
      <c r="CF372" s="160"/>
    </row>
    <row r="373">
      <c r="D373" s="159"/>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c r="BT373" s="160"/>
      <c r="BU373" s="160"/>
      <c r="BV373" s="160"/>
      <c r="BW373" s="160"/>
      <c r="BX373" s="160"/>
      <c r="BY373" s="160"/>
      <c r="BZ373" s="160"/>
      <c r="CA373" s="160"/>
      <c r="CB373" s="160"/>
      <c r="CC373" s="160"/>
      <c r="CD373" s="160"/>
      <c r="CE373" s="160"/>
      <c r="CF373" s="160"/>
    </row>
    <row r="374">
      <c r="D374" s="159"/>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c r="BT374" s="160"/>
      <c r="BU374" s="160"/>
      <c r="BV374" s="160"/>
      <c r="BW374" s="160"/>
      <c r="BX374" s="160"/>
      <c r="BY374" s="160"/>
      <c r="BZ374" s="160"/>
      <c r="CA374" s="160"/>
      <c r="CB374" s="160"/>
      <c r="CC374" s="160"/>
      <c r="CD374" s="160"/>
      <c r="CE374" s="160"/>
      <c r="CF374" s="160"/>
    </row>
    <row r="375">
      <c r="D375" s="159"/>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c r="BT375" s="160"/>
      <c r="BU375" s="160"/>
      <c r="BV375" s="160"/>
      <c r="BW375" s="160"/>
      <c r="BX375" s="160"/>
      <c r="BY375" s="160"/>
      <c r="BZ375" s="160"/>
      <c r="CA375" s="160"/>
      <c r="CB375" s="160"/>
      <c r="CC375" s="160"/>
      <c r="CD375" s="160"/>
      <c r="CE375" s="160"/>
      <c r="CF375" s="160"/>
    </row>
    <row r="376">
      <c r="D376" s="159"/>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c r="BT376" s="160"/>
      <c r="BU376" s="160"/>
      <c r="BV376" s="160"/>
      <c r="BW376" s="160"/>
      <c r="BX376" s="160"/>
      <c r="BY376" s="160"/>
      <c r="BZ376" s="160"/>
      <c r="CA376" s="160"/>
      <c r="CB376" s="160"/>
      <c r="CC376" s="160"/>
      <c r="CD376" s="160"/>
      <c r="CE376" s="160"/>
      <c r="CF376" s="160"/>
    </row>
    <row r="377">
      <c r="D377" s="159"/>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c r="BT377" s="160"/>
      <c r="BU377" s="160"/>
      <c r="BV377" s="160"/>
      <c r="BW377" s="160"/>
      <c r="BX377" s="160"/>
      <c r="BY377" s="160"/>
      <c r="BZ377" s="160"/>
      <c r="CA377" s="160"/>
      <c r="CB377" s="160"/>
      <c r="CC377" s="160"/>
      <c r="CD377" s="160"/>
      <c r="CE377" s="160"/>
      <c r="CF377" s="160"/>
    </row>
    <row r="378">
      <c r="D378" s="159"/>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c r="BT378" s="160"/>
      <c r="BU378" s="160"/>
      <c r="BV378" s="160"/>
      <c r="BW378" s="160"/>
      <c r="BX378" s="160"/>
      <c r="BY378" s="160"/>
      <c r="BZ378" s="160"/>
      <c r="CA378" s="160"/>
      <c r="CB378" s="160"/>
      <c r="CC378" s="160"/>
      <c r="CD378" s="160"/>
      <c r="CE378" s="160"/>
      <c r="CF378" s="160"/>
    </row>
    <row r="379">
      <c r="D379" s="159"/>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c r="BT379" s="160"/>
      <c r="BU379" s="160"/>
      <c r="BV379" s="160"/>
      <c r="BW379" s="160"/>
      <c r="BX379" s="160"/>
      <c r="BY379" s="160"/>
      <c r="BZ379" s="160"/>
      <c r="CA379" s="160"/>
      <c r="CB379" s="160"/>
      <c r="CC379" s="160"/>
      <c r="CD379" s="160"/>
      <c r="CE379" s="160"/>
      <c r="CF379" s="160"/>
    </row>
    <row r="380">
      <c r="D380" s="159"/>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c r="BT380" s="160"/>
      <c r="BU380" s="160"/>
      <c r="BV380" s="160"/>
      <c r="BW380" s="160"/>
      <c r="BX380" s="160"/>
      <c r="BY380" s="160"/>
      <c r="BZ380" s="160"/>
      <c r="CA380" s="160"/>
      <c r="CB380" s="160"/>
      <c r="CC380" s="160"/>
      <c r="CD380" s="160"/>
      <c r="CE380" s="160"/>
      <c r="CF380" s="160"/>
    </row>
    <row r="381">
      <c r="D381" s="159"/>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c r="BT381" s="160"/>
      <c r="BU381" s="160"/>
      <c r="BV381" s="160"/>
      <c r="BW381" s="160"/>
      <c r="BX381" s="160"/>
      <c r="BY381" s="160"/>
      <c r="BZ381" s="160"/>
      <c r="CA381" s="160"/>
      <c r="CB381" s="160"/>
      <c r="CC381" s="160"/>
      <c r="CD381" s="160"/>
      <c r="CE381" s="160"/>
      <c r="CF381" s="160"/>
    </row>
    <row r="382">
      <c r="D382" s="159"/>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c r="BT382" s="160"/>
      <c r="BU382" s="160"/>
      <c r="BV382" s="160"/>
      <c r="BW382" s="160"/>
      <c r="BX382" s="160"/>
      <c r="BY382" s="160"/>
      <c r="BZ382" s="160"/>
      <c r="CA382" s="160"/>
      <c r="CB382" s="160"/>
      <c r="CC382" s="160"/>
      <c r="CD382" s="160"/>
      <c r="CE382" s="160"/>
      <c r="CF382" s="160"/>
    </row>
    <row r="383">
      <c r="D383" s="159"/>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c r="BT383" s="160"/>
      <c r="BU383" s="160"/>
      <c r="BV383" s="160"/>
      <c r="BW383" s="160"/>
      <c r="BX383" s="160"/>
      <c r="BY383" s="160"/>
      <c r="BZ383" s="160"/>
      <c r="CA383" s="160"/>
      <c r="CB383" s="160"/>
      <c r="CC383" s="160"/>
      <c r="CD383" s="160"/>
      <c r="CE383" s="160"/>
      <c r="CF383" s="160"/>
    </row>
    <row r="384">
      <c r="D384" s="159"/>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c r="BD384" s="160"/>
      <c r="BE384" s="160"/>
      <c r="BF384" s="160"/>
      <c r="BG384" s="160"/>
      <c r="BH384" s="160"/>
      <c r="BI384" s="160"/>
      <c r="BJ384" s="160"/>
      <c r="BK384" s="160"/>
      <c r="BL384" s="160"/>
      <c r="BM384" s="160"/>
      <c r="BN384" s="160"/>
      <c r="BO384" s="160"/>
      <c r="BP384" s="160"/>
      <c r="BQ384" s="160"/>
      <c r="BR384" s="160"/>
      <c r="BS384" s="160"/>
      <c r="BT384" s="160"/>
      <c r="BU384" s="160"/>
      <c r="BV384" s="160"/>
      <c r="BW384" s="160"/>
      <c r="BX384" s="160"/>
      <c r="BY384" s="160"/>
      <c r="BZ384" s="160"/>
      <c r="CA384" s="160"/>
      <c r="CB384" s="160"/>
      <c r="CC384" s="160"/>
      <c r="CD384" s="160"/>
      <c r="CE384" s="160"/>
      <c r="CF384" s="160"/>
    </row>
    <row r="385">
      <c r="D385" s="159"/>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c r="BT385" s="160"/>
      <c r="BU385" s="160"/>
      <c r="BV385" s="160"/>
      <c r="BW385" s="160"/>
      <c r="BX385" s="160"/>
      <c r="BY385" s="160"/>
      <c r="BZ385" s="160"/>
      <c r="CA385" s="160"/>
      <c r="CB385" s="160"/>
      <c r="CC385" s="160"/>
      <c r="CD385" s="160"/>
      <c r="CE385" s="160"/>
      <c r="CF385" s="160"/>
    </row>
    <row r="386">
      <c r="D386" s="159"/>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c r="BT386" s="160"/>
      <c r="BU386" s="160"/>
      <c r="BV386" s="160"/>
      <c r="BW386" s="160"/>
      <c r="BX386" s="160"/>
      <c r="BY386" s="160"/>
      <c r="BZ386" s="160"/>
      <c r="CA386" s="160"/>
      <c r="CB386" s="160"/>
      <c r="CC386" s="160"/>
      <c r="CD386" s="160"/>
      <c r="CE386" s="160"/>
      <c r="CF386" s="160"/>
    </row>
    <row r="387">
      <c r="D387" s="159"/>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c r="BT387" s="160"/>
      <c r="BU387" s="160"/>
      <c r="BV387" s="160"/>
      <c r="BW387" s="160"/>
      <c r="BX387" s="160"/>
      <c r="BY387" s="160"/>
      <c r="BZ387" s="160"/>
      <c r="CA387" s="160"/>
      <c r="CB387" s="160"/>
      <c r="CC387" s="160"/>
      <c r="CD387" s="160"/>
      <c r="CE387" s="160"/>
      <c r="CF387" s="160"/>
    </row>
    <row r="388">
      <c r="D388" s="159"/>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c r="BT388" s="160"/>
      <c r="BU388" s="160"/>
      <c r="BV388" s="160"/>
      <c r="BW388" s="160"/>
      <c r="BX388" s="160"/>
      <c r="BY388" s="160"/>
      <c r="BZ388" s="160"/>
      <c r="CA388" s="160"/>
      <c r="CB388" s="160"/>
      <c r="CC388" s="160"/>
      <c r="CD388" s="160"/>
      <c r="CE388" s="160"/>
      <c r="CF388" s="160"/>
    </row>
    <row r="389">
      <c r="D389" s="159"/>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c r="BT389" s="160"/>
      <c r="BU389" s="160"/>
      <c r="BV389" s="160"/>
      <c r="BW389" s="160"/>
      <c r="BX389" s="160"/>
      <c r="BY389" s="160"/>
      <c r="BZ389" s="160"/>
      <c r="CA389" s="160"/>
      <c r="CB389" s="160"/>
      <c r="CC389" s="160"/>
      <c r="CD389" s="160"/>
      <c r="CE389" s="160"/>
      <c r="CF389" s="160"/>
    </row>
    <row r="390">
      <c r="D390" s="159"/>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c r="BT390" s="160"/>
      <c r="BU390" s="160"/>
      <c r="BV390" s="160"/>
      <c r="BW390" s="160"/>
      <c r="BX390" s="160"/>
      <c r="BY390" s="160"/>
      <c r="BZ390" s="160"/>
      <c r="CA390" s="160"/>
      <c r="CB390" s="160"/>
      <c r="CC390" s="160"/>
      <c r="CD390" s="160"/>
      <c r="CE390" s="160"/>
      <c r="CF390" s="160"/>
    </row>
    <row r="391">
      <c r="D391" s="159"/>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c r="BT391" s="160"/>
      <c r="BU391" s="160"/>
      <c r="BV391" s="160"/>
      <c r="BW391" s="160"/>
      <c r="BX391" s="160"/>
      <c r="BY391" s="160"/>
      <c r="BZ391" s="160"/>
      <c r="CA391" s="160"/>
      <c r="CB391" s="160"/>
      <c r="CC391" s="160"/>
      <c r="CD391" s="160"/>
      <c r="CE391" s="160"/>
      <c r="CF391" s="160"/>
    </row>
    <row r="392">
      <c r="D392" s="159"/>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c r="BT392" s="160"/>
      <c r="BU392" s="160"/>
      <c r="BV392" s="160"/>
      <c r="BW392" s="160"/>
      <c r="BX392" s="160"/>
      <c r="BY392" s="160"/>
      <c r="BZ392" s="160"/>
      <c r="CA392" s="160"/>
      <c r="CB392" s="160"/>
      <c r="CC392" s="160"/>
      <c r="CD392" s="160"/>
      <c r="CE392" s="160"/>
      <c r="CF392" s="160"/>
    </row>
    <row r="393">
      <c r="D393" s="159"/>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c r="BT393" s="160"/>
      <c r="BU393" s="160"/>
      <c r="BV393" s="160"/>
      <c r="BW393" s="160"/>
      <c r="BX393" s="160"/>
      <c r="BY393" s="160"/>
      <c r="BZ393" s="160"/>
      <c r="CA393" s="160"/>
      <c r="CB393" s="160"/>
      <c r="CC393" s="160"/>
      <c r="CD393" s="160"/>
      <c r="CE393" s="160"/>
      <c r="CF393" s="160"/>
    </row>
    <row r="394">
      <c r="D394" s="159"/>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c r="BT394" s="160"/>
      <c r="BU394" s="160"/>
      <c r="BV394" s="160"/>
      <c r="BW394" s="160"/>
      <c r="BX394" s="160"/>
      <c r="BY394" s="160"/>
      <c r="BZ394" s="160"/>
      <c r="CA394" s="160"/>
      <c r="CB394" s="160"/>
      <c r="CC394" s="160"/>
      <c r="CD394" s="160"/>
      <c r="CE394" s="160"/>
      <c r="CF394" s="160"/>
    </row>
    <row r="395">
      <c r="D395" s="159"/>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c r="BT395" s="160"/>
      <c r="BU395" s="160"/>
      <c r="BV395" s="160"/>
      <c r="BW395" s="160"/>
      <c r="BX395" s="160"/>
      <c r="BY395" s="160"/>
      <c r="BZ395" s="160"/>
      <c r="CA395" s="160"/>
      <c r="CB395" s="160"/>
      <c r="CC395" s="160"/>
      <c r="CD395" s="160"/>
      <c r="CE395" s="160"/>
      <c r="CF395" s="160"/>
    </row>
    <row r="396">
      <c r="D396" s="159"/>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c r="BD396" s="160"/>
      <c r="BE396" s="160"/>
      <c r="BF396" s="160"/>
      <c r="BG396" s="160"/>
      <c r="BH396" s="160"/>
      <c r="BI396" s="160"/>
      <c r="BJ396" s="160"/>
      <c r="BK396" s="160"/>
      <c r="BL396" s="160"/>
      <c r="BM396" s="160"/>
      <c r="BN396" s="160"/>
      <c r="BO396" s="160"/>
      <c r="BP396" s="160"/>
      <c r="BQ396" s="160"/>
      <c r="BR396" s="160"/>
      <c r="BS396" s="160"/>
      <c r="BT396" s="160"/>
      <c r="BU396" s="160"/>
      <c r="BV396" s="160"/>
      <c r="BW396" s="160"/>
      <c r="BX396" s="160"/>
      <c r="BY396" s="160"/>
      <c r="BZ396" s="160"/>
      <c r="CA396" s="160"/>
      <c r="CB396" s="160"/>
      <c r="CC396" s="160"/>
      <c r="CD396" s="160"/>
      <c r="CE396" s="160"/>
      <c r="CF396" s="160"/>
    </row>
    <row r="397">
      <c r="D397" s="159"/>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c r="BT397" s="160"/>
      <c r="BU397" s="160"/>
      <c r="BV397" s="160"/>
      <c r="BW397" s="160"/>
      <c r="BX397" s="160"/>
      <c r="BY397" s="160"/>
      <c r="BZ397" s="160"/>
      <c r="CA397" s="160"/>
      <c r="CB397" s="160"/>
      <c r="CC397" s="160"/>
      <c r="CD397" s="160"/>
      <c r="CE397" s="160"/>
      <c r="CF397" s="160"/>
    </row>
    <row r="398">
      <c r="D398" s="159"/>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c r="BT398" s="160"/>
      <c r="BU398" s="160"/>
      <c r="BV398" s="160"/>
      <c r="BW398" s="160"/>
      <c r="BX398" s="160"/>
      <c r="BY398" s="160"/>
      <c r="BZ398" s="160"/>
      <c r="CA398" s="160"/>
      <c r="CB398" s="160"/>
      <c r="CC398" s="160"/>
      <c r="CD398" s="160"/>
      <c r="CE398" s="160"/>
      <c r="CF398" s="160"/>
    </row>
    <row r="399">
      <c r="D399" s="159"/>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c r="BT399" s="160"/>
      <c r="BU399" s="160"/>
      <c r="BV399" s="160"/>
      <c r="BW399" s="160"/>
      <c r="BX399" s="160"/>
      <c r="BY399" s="160"/>
      <c r="BZ399" s="160"/>
      <c r="CA399" s="160"/>
      <c r="CB399" s="160"/>
      <c r="CC399" s="160"/>
      <c r="CD399" s="160"/>
      <c r="CE399" s="160"/>
      <c r="CF399" s="160"/>
    </row>
    <row r="400">
      <c r="D400" s="159"/>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c r="BT400" s="160"/>
      <c r="BU400" s="160"/>
      <c r="BV400" s="160"/>
      <c r="BW400" s="160"/>
      <c r="BX400" s="160"/>
      <c r="BY400" s="160"/>
      <c r="BZ400" s="160"/>
      <c r="CA400" s="160"/>
      <c r="CB400" s="160"/>
      <c r="CC400" s="160"/>
      <c r="CD400" s="160"/>
      <c r="CE400" s="160"/>
      <c r="CF400" s="160"/>
    </row>
    <row r="401">
      <c r="D401" s="159"/>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c r="BT401" s="160"/>
      <c r="BU401" s="160"/>
      <c r="BV401" s="160"/>
      <c r="BW401" s="160"/>
      <c r="BX401" s="160"/>
      <c r="BY401" s="160"/>
      <c r="BZ401" s="160"/>
      <c r="CA401" s="160"/>
      <c r="CB401" s="160"/>
      <c r="CC401" s="160"/>
      <c r="CD401" s="160"/>
      <c r="CE401" s="160"/>
      <c r="CF401" s="160"/>
    </row>
    <row r="402">
      <c r="D402" s="159"/>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c r="BT402" s="160"/>
      <c r="BU402" s="160"/>
      <c r="BV402" s="160"/>
      <c r="BW402" s="160"/>
      <c r="BX402" s="160"/>
      <c r="BY402" s="160"/>
      <c r="BZ402" s="160"/>
      <c r="CA402" s="160"/>
      <c r="CB402" s="160"/>
      <c r="CC402" s="160"/>
      <c r="CD402" s="160"/>
      <c r="CE402" s="160"/>
      <c r="CF402" s="160"/>
    </row>
    <row r="403">
      <c r="D403" s="159"/>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c r="BT403" s="160"/>
      <c r="BU403" s="160"/>
      <c r="BV403" s="160"/>
      <c r="BW403" s="160"/>
      <c r="BX403" s="160"/>
      <c r="BY403" s="160"/>
      <c r="BZ403" s="160"/>
      <c r="CA403" s="160"/>
      <c r="CB403" s="160"/>
      <c r="CC403" s="160"/>
      <c r="CD403" s="160"/>
      <c r="CE403" s="160"/>
      <c r="CF403" s="160"/>
    </row>
    <row r="404">
      <c r="D404" s="159"/>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c r="BT404" s="160"/>
      <c r="BU404" s="160"/>
      <c r="BV404" s="160"/>
      <c r="BW404" s="160"/>
      <c r="BX404" s="160"/>
      <c r="BY404" s="160"/>
      <c r="BZ404" s="160"/>
      <c r="CA404" s="160"/>
      <c r="CB404" s="160"/>
      <c r="CC404" s="160"/>
      <c r="CD404" s="160"/>
      <c r="CE404" s="160"/>
      <c r="CF404" s="160"/>
    </row>
    <row r="405">
      <c r="D405" s="159"/>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c r="BT405" s="160"/>
      <c r="BU405" s="160"/>
      <c r="BV405" s="160"/>
      <c r="BW405" s="160"/>
      <c r="BX405" s="160"/>
      <c r="BY405" s="160"/>
      <c r="BZ405" s="160"/>
      <c r="CA405" s="160"/>
      <c r="CB405" s="160"/>
      <c r="CC405" s="160"/>
      <c r="CD405" s="160"/>
      <c r="CE405" s="160"/>
      <c r="CF405" s="160"/>
    </row>
    <row r="406">
      <c r="D406" s="159"/>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c r="BT406" s="160"/>
      <c r="BU406" s="160"/>
      <c r="BV406" s="160"/>
      <c r="BW406" s="160"/>
      <c r="BX406" s="160"/>
      <c r="BY406" s="160"/>
      <c r="BZ406" s="160"/>
      <c r="CA406" s="160"/>
      <c r="CB406" s="160"/>
      <c r="CC406" s="160"/>
      <c r="CD406" s="160"/>
      <c r="CE406" s="160"/>
      <c r="CF406" s="160"/>
    </row>
    <row r="407">
      <c r="D407" s="159"/>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c r="BT407" s="160"/>
      <c r="BU407" s="160"/>
      <c r="BV407" s="160"/>
      <c r="BW407" s="160"/>
      <c r="BX407" s="160"/>
      <c r="BY407" s="160"/>
      <c r="BZ407" s="160"/>
      <c r="CA407" s="160"/>
      <c r="CB407" s="160"/>
      <c r="CC407" s="160"/>
      <c r="CD407" s="160"/>
      <c r="CE407" s="160"/>
      <c r="CF407" s="160"/>
    </row>
    <row r="408">
      <c r="D408" s="159"/>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c r="BT408" s="160"/>
      <c r="BU408" s="160"/>
      <c r="BV408" s="160"/>
      <c r="BW408" s="160"/>
      <c r="BX408" s="160"/>
      <c r="BY408" s="160"/>
      <c r="BZ408" s="160"/>
      <c r="CA408" s="160"/>
      <c r="CB408" s="160"/>
      <c r="CC408" s="160"/>
      <c r="CD408" s="160"/>
      <c r="CE408" s="160"/>
      <c r="CF408" s="160"/>
    </row>
    <row r="409">
      <c r="D409" s="159"/>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c r="BT409" s="160"/>
      <c r="BU409" s="160"/>
      <c r="BV409" s="160"/>
      <c r="BW409" s="160"/>
      <c r="BX409" s="160"/>
      <c r="BY409" s="160"/>
      <c r="BZ409" s="160"/>
      <c r="CA409" s="160"/>
      <c r="CB409" s="160"/>
      <c r="CC409" s="160"/>
      <c r="CD409" s="160"/>
      <c r="CE409" s="160"/>
      <c r="CF409" s="160"/>
    </row>
    <row r="410">
      <c r="D410" s="159"/>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c r="BT410" s="160"/>
      <c r="BU410" s="160"/>
      <c r="BV410" s="160"/>
      <c r="BW410" s="160"/>
      <c r="BX410" s="160"/>
      <c r="BY410" s="160"/>
      <c r="BZ410" s="160"/>
      <c r="CA410" s="160"/>
      <c r="CB410" s="160"/>
      <c r="CC410" s="160"/>
      <c r="CD410" s="160"/>
      <c r="CE410" s="160"/>
      <c r="CF410" s="160"/>
    </row>
    <row r="411">
      <c r="D411" s="159"/>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c r="BT411" s="160"/>
      <c r="BU411" s="160"/>
      <c r="BV411" s="160"/>
      <c r="BW411" s="160"/>
      <c r="BX411" s="160"/>
      <c r="BY411" s="160"/>
      <c r="BZ411" s="160"/>
      <c r="CA411" s="160"/>
      <c r="CB411" s="160"/>
      <c r="CC411" s="160"/>
      <c r="CD411" s="160"/>
      <c r="CE411" s="160"/>
      <c r="CF411" s="160"/>
    </row>
    <row r="412">
      <c r="D412" s="159"/>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c r="BT412" s="160"/>
      <c r="BU412" s="160"/>
      <c r="BV412" s="160"/>
      <c r="BW412" s="160"/>
      <c r="BX412" s="160"/>
      <c r="BY412" s="160"/>
      <c r="BZ412" s="160"/>
      <c r="CA412" s="160"/>
      <c r="CB412" s="160"/>
      <c r="CC412" s="160"/>
      <c r="CD412" s="160"/>
      <c r="CE412" s="160"/>
      <c r="CF412" s="160"/>
    </row>
    <row r="413">
      <c r="D413" s="159"/>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c r="BT413" s="160"/>
      <c r="BU413" s="160"/>
      <c r="BV413" s="160"/>
      <c r="BW413" s="160"/>
      <c r="BX413" s="160"/>
      <c r="BY413" s="160"/>
      <c r="BZ413" s="160"/>
      <c r="CA413" s="160"/>
      <c r="CB413" s="160"/>
      <c r="CC413" s="160"/>
      <c r="CD413" s="160"/>
      <c r="CE413" s="160"/>
      <c r="CF413" s="160"/>
    </row>
    <row r="414">
      <c r="D414" s="159"/>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c r="BD414" s="160"/>
      <c r="BE414" s="160"/>
      <c r="BF414" s="160"/>
      <c r="BG414" s="160"/>
      <c r="BH414" s="160"/>
      <c r="BI414" s="160"/>
      <c r="BJ414" s="160"/>
      <c r="BK414" s="160"/>
      <c r="BL414" s="160"/>
      <c r="BM414" s="160"/>
      <c r="BN414" s="160"/>
      <c r="BO414" s="160"/>
      <c r="BP414" s="160"/>
      <c r="BQ414" s="160"/>
      <c r="BR414" s="160"/>
      <c r="BS414" s="160"/>
      <c r="BT414" s="160"/>
      <c r="BU414" s="160"/>
      <c r="BV414" s="160"/>
      <c r="BW414" s="160"/>
      <c r="BX414" s="160"/>
      <c r="BY414" s="160"/>
      <c r="BZ414" s="160"/>
      <c r="CA414" s="160"/>
      <c r="CB414" s="160"/>
      <c r="CC414" s="160"/>
      <c r="CD414" s="160"/>
      <c r="CE414" s="160"/>
      <c r="CF414" s="160"/>
    </row>
    <row r="415">
      <c r="D415" s="159"/>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c r="BD415" s="160"/>
      <c r="BE415" s="160"/>
      <c r="BF415" s="160"/>
      <c r="BG415" s="160"/>
      <c r="BH415" s="160"/>
      <c r="BI415" s="160"/>
      <c r="BJ415" s="160"/>
      <c r="BK415" s="160"/>
      <c r="BL415" s="160"/>
      <c r="BM415" s="160"/>
      <c r="BN415" s="160"/>
      <c r="BO415" s="160"/>
      <c r="BP415" s="160"/>
      <c r="BQ415" s="160"/>
      <c r="BR415" s="160"/>
      <c r="BS415" s="160"/>
      <c r="BT415" s="160"/>
      <c r="BU415" s="160"/>
      <c r="BV415" s="160"/>
      <c r="BW415" s="160"/>
      <c r="BX415" s="160"/>
      <c r="BY415" s="160"/>
      <c r="BZ415" s="160"/>
      <c r="CA415" s="160"/>
      <c r="CB415" s="160"/>
      <c r="CC415" s="160"/>
      <c r="CD415" s="160"/>
      <c r="CE415" s="160"/>
      <c r="CF415" s="160"/>
    </row>
    <row r="416">
      <c r="D416" s="159"/>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c r="BD416" s="160"/>
      <c r="BE416" s="160"/>
      <c r="BF416" s="160"/>
      <c r="BG416" s="160"/>
      <c r="BH416" s="160"/>
      <c r="BI416" s="160"/>
      <c r="BJ416" s="160"/>
      <c r="BK416" s="160"/>
      <c r="BL416" s="160"/>
      <c r="BM416" s="160"/>
      <c r="BN416" s="160"/>
      <c r="BO416" s="160"/>
      <c r="BP416" s="160"/>
      <c r="BQ416" s="160"/>
      <c r="BR416" s="160"/>
      <c r="BS416" s="160"/>
      <c r="BT416" s="160"/>
      <c r="BU416" s="160"/>
      <c r="BV416" s="160"/>
      <c r="BW416" s="160"/>
      <c r="BX416" s="160"/>
      <c r="BY416" s="160"/>
      <c r="BZ416" s="160"/>
      <c r="CA416" s="160"/>
      <c r="CB416" s="160"/>
      <c r="CC416" s="160"/>
      <c r="CD416" s="160"/>
      <c r="CE416" s="160"/>
      <c r="CF416" s="160"/>
    </row>
    <row r="417">
      <c r="D417" s="159"/>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c r="BT417" s="160"/>
      <c r="BU417" s="160"/>
      <c r="BV417" s="160"/>
      <c r="BW417" s="160"/>
      <c r="BX417" s="160"/>
      <c r="BY417" s="160"/>
      <c r="BZ417" s="160"/>
      <c r="CA417" s="160"/>
      <c r="CB417" s="160"/>
      <c r="CC417" s="160"/>
      <c r="CD417" s="160"/>
      <c r="CE417" s="160"/>
      <c r="CF417" s="160"/>
    </row>
    <row r="418">
      <c r="D418" s="159"/>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60"/>
      <c r="AX418" s="160"/>
      <c r="AY418" s="160"/>
      <c r="AZ418" s="160"/>
      <c r="BA418" s="160"/>
      <c r="BB418" s="160"/>
      <c r="BC418" s="160"/>
      <c r="BD418" s="160"/>
      <c r="BE418" s="160"/>
      <c r="BF418" s="160"/>
      <c r="BG418" s="160"/>
      <c r="BH418" s="160"/>
      <c r="BI418" s="160"/>
      <c r="BJ418" s="160"/>
      <c r="BK418" s="160"/>
      <c r="BL418" s="160"/>
      <c r="BM418" s="160"/>
      <c r="BN418" s="160"/>
      <c r="BO418" s="160"/>
      <c r="BP418" s="160"/>
      <c r="BQ418" s="160"/>
      <c r="BR418" s="160"/>
      <c r="BS418" s="160"/>
      <c r="BT418" s="160"/>
      <c r="BU418" s="160"/>
      <c r="BV418" s="160"/>
      <c r="BW418" s="160"/>
      <c r="BX418" s="160"/>
      <c r="BY418" s="160"/>
      <c r="BZ418" s="160"/>
      <c r="CA418" s="160"/>
      <c r="CB418" s="160"/>
      <c r="CC418" s="160"/>
      <c r="CD418" s="160"/>
      <c r="CE418" s="160"/>
      <c r="CF418" s="160"/>
    </row>
    <row r="419">
      <c r="D419" s="159"/>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60"/>
      <c r="AX419" s="160"/>
      <c r="AY419" s="160"/>
      <c r="AZ419" s="160"/>
      <c r="BA419" s="160"/>
      <c r="BB419" s="160"/>
      <c r="BC419" s="160"/>
      <c r="BD419" s="160"/>
      <c r="BE419" s="160"/>
      <c r="BF419" s="160"/>
      <c r="BG419" s="160"/>
      <c r="BH419" s="160"/>
      <c r="BI419" s="160"/>
      <c r="BJ419" s="160"/>
      <c r="BK419" s="160"/>
      <c r="BL419" s="160"/>
      <c r="BM419" s="160"/>
      <c r="BN419" s="160"/>
      <c r="BO419" s="160"/>
      <c r="BP419" s="160"/>
      <c r="BQ419" s="160"/>
      <c r="BR419" s="160"/>
      <c r="BS419" s="160"/>
      <c r="BT419" s="160"/>
      <c r="BU419" s="160"/>
      <c r="BV419" s="160"/>
      <c r="BW419" s="160"/>
      <c r="BX419" s="160"/>
      <c r="BY419" s="160"/>
      <c r="BZ419" s="160"/>
      <c r="CA419" s="160"/>
      <c r="CB419" s="160"/>
      <c r="CC419" s="160"/>
      <c r="CD419" s="160"/>
      <c r="CE419" s="160"/>
      <c r="CF419" s="160"/>
    </row>
    <row r="420">
      <c r="D420" s="159"/>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60"/>
      <c r="AX420" s="160"/>
      <c r="AY420" s="160"/>
      <c r="AZ420" s="160"/>
      <c r="BA420" s="160"/>
      <c r="BB420" s="160"/>
      <c r="BC420" s="160"/>
      <c r="BD420" s="160"/>
      <c r="BE420" s="160"/>
      <c r="BF420" s="160"/>
      <c r="BG420" s="160"/>
      <c r="BH420" s="160"/>
      <c r="BI420" s="160"/>
      <c r="BJ420" s="160"/>
      <c r="BK420" s="160"/>
      <c r="BL420" s="160"/>
      <c r="BM420" s="160"/>
      <c r="BN420" s="160"/>
      <c r="BO420" s="160"/>
      <c r="BP420" s="160"/>
      <c r="BQ420" s="160"/>
      <c r="BR420" s="160"/>
      <c r="BS420" s="160"/>
      <c r="BT420" s="160"/>
      <c r="BU420" s="160"/>
      <c r="BV420" s="160"/>
      <c r="BW420" s="160"/>
      <c r="BX420" s="160"/>
      <c r="BY420" s="160"/>
      <c r="BZ420" s="160"/>
      <c r="CA420" s="160"/>
      <c r="CB420" s="160"/>
      <c r="CC420" s="160"/>
      <c r="CD420" s="160"/>
      <c r="CE420" s="160"/>
      <c r="CF420" s="160"/>
    </row>
    <row r="421">
      <c r="D421" s="159"/>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60"/>
      <c r="AX421" s="160"/>
      <c r="AY421" s="160"/>
      <c r="AZ421" s="160"/>
      <c r="BA421" s="160"/>
      <c r="BB421" s="160"/>
      <c r="BC421" s="160"/>
      <c r="BD421" s="160"/>
      <c r="BE421" s="160"/>
      <c r="BF421" s="160"/>
      <c r="BG421" s="160"/>
      <c r="BH421" s="160"/>
      <c r="BI421" s="160"/>
      <c r="BJ421" s="160"/>
      <c r="BK421" s="160"/>
      <c r="BL421" s="160"/>
      <c r="BM421" s="160"/>
      <c r="BN421" s="160"/>
      <c r="BO421" s="160"/>
      <c r="BP421" s="160"/>
      <c r="BQ421" s="160"/>
      <c r="BR421" s="160"/>
      <c r="BS421" s="160"/>
      <c r="BT421" s="160"/>
      <c r="BU421" s="160"/>
      <c r="BV421" s="160"/>
      <c r="BW421" s="160"/>
      <c r="BX421" s="160"/>
      <c r="BY421" s="160"/>
      <c r="BZ421" s="160"/>
      <c r="CA421" s="160"/>
      <c r="CB421" s="160"/>
      <c r="CC421" s="160"/>
      <c r="CD421" s="160"/>
      <c r="CE421" s="160"/>
      <c r="CF421" s="160"/>
    </row>
    <row r="422">
      <c r="D422" s="159"/>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60"/>
      <c r="AX422" s="160"/>
      <c r="AY422" s="160"/>
      <c r="AZ422" s="160"/>
      <c r="BA422" s="160"/>
      <c r="BB422" s="160"/>
      <c r="BC422" s="160"/>
      <c r="BD422" s="160"/>
      <c r="BE422" s="160"/>
      <c r="BF422" s="160"/>
      <c r="BG422" s="160"/>
      <c r="BH422" s="160"/>
      <c r="BI422" s="160"/>
      <c r="BJ422" s="160"/>
      <c r="BK422" s="160"/>
      <c r="BL422" s="160"/>
      <c r="BM422" s="160"/>
      <c r="BN422" s="160"/>
      <c r="BO422" s="160"/>
      <c r="BP422" s="160"/>
      <c r="BQ422" s="160"/>
      <c r="BR422" s="160"/>
      <c r="BS422" s="160"/>
      <c r="BT422" s="160"/>
      <c r="BU422" s="160"/>
      <c r="BV422" s="160"/>
      <c r="BW422" s="160"/>
      <c r="BX422" s="160"/>
      <c r="BY422" s="160"/>
      <c r="BZ422" s="160"/>
      <c r="CA422" s="160"/>
      <c r="CB422" s="160"/>
      <c r="CC422" s="160"/>
      <c r="CD422" s="160"/>
      <c r="CE422" s="160"/>
      <c r="CF422" s="160"/>
    </row>
    <row r="423">
      <c r="D423" s="159"/>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60"/>
      <c r="AX423" s="160"/>
      <c r="AY423" s="160"/>
      <c r="AZ423" s="160"/>
      <c r="BA423" s="160"/>
      <c r="BB423" s="160"/>
      <c r="BC423" s="160"/>
      <c r="BD423" s="160"/>
      <c r="BE423" s="160"/>
      <c r="BF423" s="160"/>
      <c r="BG423" s="160"/>
      <c r="BH423" s="160"/>
      <c r="BI423" s="160"/>
      <c r="BJ423" s="160"/>
      <c r="BK423" s="160"/>
      <c r="BL423" s="160"/>
      <c r="BM423" s="160"/>
      <c r="BN423" s="160"/>
      <c r="BO423" s="160"/>
      <c r="BP423" s="160"/>
      <c r="BQ423" s="160"/>
      <c r="BR423" s="160"/>
      <c r="BS423" s="160"/>
      <c r="BT423" s="160"/>
      <c r="BU423" s="160"/>
      <c r="BV423" s="160"/>
      <c r="BW423" s="160"/>
      <c r="BX423" s="160"/>
      <c r="BY423" s="160"/>
      <c r="BZ423" s="160"/>
      <c r="CA423" s="160"/>
      <c r="CB423" s="160"/>
      <c r="CC423" s="160"/>
      <c r="CD423" s="160"/>
      <c r="CE423" s="160"/>
      <c r="CF423" s="160"/>
    </row>
    <row r="424">
      <c r="D424" s="159"/>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60"/>
      <c r="AX424" s="160"/>
      <c r="AY424" s="160"/>
      <c r="AZ424" s="160"/>
      <c r="BA424" s="160"/>
      <c r="BB424" s="160"/>
      <c r="BC424" s="160"/>
      <c r="BD424" s="160"/>
      <c r="BE424" s="160"/>
      <c r="BF424" s="160"/>
      <c r="BG424" s="160"/>
      <c r="BH424" s="160"/>
      <c r="BI424" s="160"/>
      <c r="BJ424" s="160"/>
      <c r="BK424" s="160"/>
      <c r="BL424" s="160"/>
      <c r="BM424" s="160"/>
      <c r="BN424" s="160"/>
      <c r="BO424" s="160"/>
      <c r="BP424" s="160"/>
      <c r="BQ424" s="160"/>
      <c r="BR424" s="160"/>
      <c r="BS424" s="160"/>
      <c r="BT424" s="160"/>
      <c r="BU424" s="160"/>
      <c r="BV424" s="160"/>
      <c r="BW424" s="160"/>
      <c r="BX424" s="160"/>
      <c r="BY424" s="160"/>
      <c r="BZ424" s="160"/>
      <c r="CA424" s="160"/>
      <c r="CB424" s="160"/>
      <c r="CC424" s="160"/>
      <c r="CD424" s="160"/>
      <c r="CE424" s="160"/>
      <c r="CF424" s="160"/>
    </row>
    <row r="425">
      <c r="D425" s="159"/>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60"/>
      <c r="AX425" s="160"/>
      <c r="AY425" s="160"/>
      <c r="AZ425" s="160"/>
      <c r="BA425" s="160"/>
      <c r="BB425" s="160"/>
      <c r="BC425" s="160"/>
      <c r="BD425" s="160"/>
      <c r="BE425" s="160"/>
      <c r="BF425" s="160"/>
      <c r="BG425" s="160"/>
      <c r="BH425" s="160"/>
      <c r="BI425" s="160"/>
      <c r="BJ425" s="160"/>
      <c r="BK425" s="160"/>
      <c r="BL425" s="160"/>
      <c r="BM425" s="160"/>
      <c r="BN425" s="160"/>
      <c r="BO425" s="160"/>
      <c r="BP425" s="160"/>
      <c r="BQ425" s="160"/>
      <c r="BR425" s="160"/>
      <c r="BS425" s="160"/>
      <c r="BT425" s="160"/>
      <c r="BU425" s="160"/>
      <c r="BV425" s="160"/>
      <c r="BW425" s="160"/>
      <c r="BX425" s="160"/>
      <c r="BY425" s="160"/>
      <c r="BZ425" s="160"/>
      <c r="CA425" s="160"/>
      <c r="CB425" s="160"/>
      <c r="CC425" s="160"/>
      <c r="CD425" s="160"/>
      <c r="CE425" s="160"/>
      <c r="CF425" s="160"/>
    </row>
    <row r="426">
      <c r="D426" s="159"/>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60"/>
      <c r="AX426" s="160"/>
      <c r="AY426" s="160"/>
      <c r="AZ426" s="160"/>
      <c r="BA426" s="160"/>
      <c r="BB426" s="160"/>
      <c r="BC426" s="160"/>
      <c r="BD426" s="160"/>
      <c r="BE426" s="160"/>
      <c r="BF426" s="160"/>
      <c r="BG426" s="160"/>
      <c r="BH426" s="160"/>
      <c r="BI426" s="160"/>
      <c r="BJ426" s="160"/>
      <c r="BK426" s="160"/>
      <c r="BL426" s="160"/>
      <c r="BM426" s="160"/>
      <c r="BN426" s="160"/>
      <c r="BO426" s="160"/>
      <c r="BP426" s="160"/>
      <c r="BQ426" s="160"/>
      <c r="BR426" s="160"/>
      <c r="BS426" s="160"/>
      <c r="BT426" s="160"/>
      <c r="BU426" s="160"/>
      <c r="BV426" s="160"/>
      <c r="BW426" s="160"/>
      <c r="BX426" s="160"/>
      <c r="BY426" s="160"/>
      <c r="BZ426" s="160"/>
      <c r="CA426" s="160"/>
      <c r="CB426" s="160"/>
      <c r="CC426" s="160"/>
      <c r="CD426" s="160"/>
      <c r="CE426" s="160"/>
      <c r="CF426" s="160"/>
    </row>
    <row r="427">
      <c r="D427" s="159"/>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60"/>
      <c r="AX427" s="160"/>
      <c r="AY427" s="160"/>
      <c r="AZ427" s="160"/>
      <c r="BA427" s="160"/>
      <c r="BB427" s="160"/>
      <c r="BC427" s="160"/>
      <c r="BD427" s="160"/>
      <c r="BE427" s="160"/>
      <c r="BF427" s="160"/>
      <c r="BG427" s="160"/>
      <c r="BH427" s="160"/>
      <c r="BI427" s="160"/>
      <c r="BJ427" s="160"/>
      <c r="BK427" s="160"/>
      <c r="BL427" s="160"/>
      <c r="BM427" s="160"/>
      <c r="BN427" s="160"/>
      <c r="BO427" s="160"/>
      <c r="BP427" s="160"/>
      <c r="BQ427" s="160"/>
      <c r="BR427" s="160"/>
      <c r="BS427" s="160"/>
      <c r="BT427" s="160"/>
      <c r="BU427" s="160"/>
      <c r="BV427" s="160"/>
      <c r="BW427" s="160"/>
      <c r="BX427" s="160"/>
      <c r="BY427" s="160"/>
      <c r="BZ427" s="160"/>
      <c r="CA427" s="160"/>
      <c r="CB427" s="160"/>
      <c r="CC427" s="160"/>
      <c r="CD427" s="160"/>
      <c r="CE427" s="160"/>
      <c r="CF427" s="160"/>
    </row>
    <row r="428">
      <c r="D428" s="159"/>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60"/>
      <c r="AX428" s="160"/>
      <c r="AY428" s="160"/>
      <c r="AZ428" s="160"/>
      <c r="BA428" s="160"/>
      <c r="BB428" s="160"/>
      <c r="BC428" s="160"/>
      <c r="BD428" s="160"/>
      <c r="BE428" s="160"/>
      <c r="BF428" s="160"/>
      <c r="BG428" s="160"/>
      <c r="BH428" s="160"/>
      <c r="BI428" s="160"/>
      <c r="BJ428" s="160"/>
      <c r="BK428" s="160"/>
      <c r="BL428" s="160"/>
      <c r="BM428" s="160"/>
      <c r="BN428" s="160"/>
      <c r="BO428" s="160"/>
      <c r="BP428" s="160"/>
      <c r="BQ428" s="160"/>
      <c r="BR428" s="160"/>
      <c r="BS428" s="160"/>
      <c r="BT428" s="160"/>
      <c r="BU428" s="160"/>
      <c r="BV428" s="160"/>
      <c r="BW428" s="160"/>
      <c r="BX428" s="160"/>
      <c r="BY428" s="160"/>
      <c r="BZ428" s="160"/>
      <c r="CA428" s="160"/>
      <c r="CB428" s="160"/>
      <c r="CC428" s="160"/>
      <c r="CD428" s="160"/>
      <c r="CE428" s="160"/>
      <c r="CF428" s="160"/>
    </row>
    <row r="429">
      <c r="D429" s="159"/>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60"/>
      <c r="AX429" s="160"/>
      <c r="AY429" s="160"/>
      <c r="AZ429" s="160"/>
      <c r="BA429" s="160"/>
      <c r="BB429" s="160"/>
      <c r="BC429" s="160"/>
      <c r="BD429" s="160"/>
      <c r="BE429" s="160"/>
      <c r="BF429" s="160"/>
      <c r="BG429" s="160"/>
      <c r="BH429" s="160"/>
      <c r="BI429" s="160"/>
      <c r="BJ429" s="160"/>
      <c r="BK429" s="160"/>
      <c r="BL429" s="160"/>
      <c r="BM429" s="160"/>
      <c r="BN429" s="160"/>
      <c r="BO429" s="160"/>
      <c r="BP429" s="160"/>
      <c r="BQ429" s="160"/>
      <c r="BR429" s="160"/>
      <c r="BS429" s="160"/>
      <c r="BT429" s="160"/>
      <c r="BU429" s="160"/>
      <c r="BV429" s="160"/>
      <c r="BW429" s="160"/>
      <c r="BX429" s="160"/>
      <c r="BY429" s="160"/>
      <c r="BZ429" s="160"/>
      <c r="CA429" s="160"/>
      <c r="CB429" s="160"/>
      <c r="CC429" s="160"/>
      <c r="CD429" s="160"/>
      <c r="CE429" s="160"/>
      <c r="CF429" s="160"/>
    </row>
    <row r="430">
      <c r="D430" s="159"/>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60"/>
      <c r="AX430" s="160"/>
      <c r="AY430" s="160"/>
      <c r="AZ430" s="160"/>
      <c r="BA430" s="160"/>
      <c r="BB430" s="160"/>
      <c r="BC430" s="160"/>
      <c r="BD430" s="160"/>
      <c r="BE430" s="160"/>
      <c r="BF430" s="160"/>
      <c r="BG430" s="160"/>
      <c r="BH430" s="160"/>
      <c r="BI430" s="160"/>
      <c r="BJ430" s="160"/>
      <c r="BK430" s="160"/>
      <c r="BL430" s="160"/>
      <c r="BM430" s="160"/>
      <c r="BN430" s="160"/>
      <c r="BO430" s="160"/>
      <c r="BP430" s="160"/>
      <c r="BQ430" s="160"/>
      <c r="BR430" s="160"/>
      <c r="BS430" s="160"/>
      <c r="BT430" s="160"/>
      <c r="BU430" s="160"/>
      <c r="BV430" s="160"/>
      <c r="BW430" s="160"/>
      <c r="BX430" s="160"/>
      <c r="BY430" s="160"/>
      <c r="BZ430" s="160"/>
      <c r="CA430" s="160"/>
      <c r="CB430" s="160"/>
      <c r="CC430" s="160"/>
      <c r="CD430" s="160"/>
      <c r="CE430" s="160"/>
      <c r="CF430" s="160"/>
    </row>
    <row r="431">
      <c r="D431" s="159"/>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60"/>
      <c r="AX431" s="160"/>
      <c r="AY431" s="160"/>
      <c r="AZ431" s="160"/>
      <c r="BA431" s="160"/>
      <c r="BB431" s="160"/>
      <c r="BC431" s="160"/>
      <c r="BD431" s="160"/>
      <c r="BE431" s="160"/>
      <c r="BF431" s="160"/>
      <c r="BG431" s="160"/>
      <c r="BH431" s="160"/>
      <c r="BI431" s="160"/>
      <c r="BJ431" s="160"/>
      <c r="BK431" s="160"/>
      <c r="BL431" s="160"/>
      <c r="BM431" s="160"/>
      <c r="BN431" s="160"/>
      <c r="BO431" s="160"/>
      <c r="BP431" s="160"/>
      <c r="BQ431" s="160"/>
      <c r="BR431" s="160"/>
      <c r="BS431" s="160"/>
      <c r="BT431" s="160"/>
      <c r="BU431" s="160"/>
      <c r="BV431" s="160"/>
      <c r="BW431" s="160"/>
      <c r="BX431" s="160"/>
      <c r="BY431" s="160"/>
      <c r="BZ431" s="160"/>
      <c r="CA431" s="160"/>
      <c r="CB431" s="160"/>
      <c r="CC431" s="160"/>
      <c r="CD431" s="160"/>
      <c r="CE431" s="160"/>
      <c r="CF431" s="160"/>
    </row>
    <row r="432">
      <c r="D432" s="159"/>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60"/>
      <c r="AX432" s="160"/>
      <c r="AY432" s="160"/>
      <c r="AZ432" s="160"/>
      <c r="BA432" s="160"/>
      <c r="BB432" s="160"/>
      <c r="BC432" s="160"/>
      <c r="BD432" s="160"/>
      <c r="BE432" s="160"/>
      <c r="BF432" s="160"/>
      <c r="BG432" s="160"/>
      <c r="BH432" s="160"/>
      <c r="BI432" s="160"/>
      <c r="BJ432" s="160"/>
      <c r="BK432" s="160"/>
      <c r="BL432" s="160"/>
      <c r="BM432" s="160"/>
      <c r="BN432" s="160"/>
      <c r="BO432" s="160"/>
      <c r="BP432" s="160"/>
      <c r="BQ432" s="160"/>
      <c r="BR432" s="160"/>
      <c r="BS432" s="160"/>
      <c r="BT432" s="160"/>
      <c r="BU432" s="160"/>
      <c r="BV432" s="160"/>
      <c r="BW432" s="160"/>
      <c r="BX432" s="160"/>
      <c r="BY432" s="160"/>
      <c r="BZ432" s="160"/>
      <c r="CA432" s="160"/>
      <c r="CB432" s="160"/>
      <c r="CC432" s="160"/>
      <c r="CD432" s="160"/>
      <c r="CE432" s="160"/>
      <c r="CF432" s="160"/>
    </row>
    <row r="433">
      <c r="D433" s="159"/>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60"/>
      <c r="AX433" s="160"/>
      <c r="AY433" s="160"/>
      <c r="AZ433" s="160"/>
      <c r="BA433" s="160"/>
      <c r="BB433" s="160"/>
      <c r="BC433" s="160"/>
      <c r="BD433" s="160"/>
      <c r="BE433" s="160"/>
      <c r="BF433" s="160"/>
      <c r="BG433" s="160"/>
      <c r="BH433" s="160"/>
      <c r="BI433" s="160"/>
      <c r="BJ433" s="160"/>
      <c r="BK433" s="160"/>
      <c r="BL433" s="160"/>
      <c r="BM433" s="160"/>
      <c r="BN433" s="160"/>
      <c r="BO433" s="160"/>
      <c r="BP433" s="160"/>
      <c r="BQ433" s="160"/>
      <c r="BR433" s="160"/>
      <c r="BS433" s="160"/>
      <c r="BT433" s="160"/>
      <c r="BU433" s="160"/>
      <c r="BV433" s="160"/>
      <c r="BW433" s="160"/>
      <c r="BX433" s="160"/>
      <c r="BY433" s="160"/>
      <c r="BZ433" s="160"/>
      <c r="CA433" s="160"/>
      <c r="CB433" s="160"/>
      <c r="CC433" s="160"/>
      <c r="CD433" s="160"/>
      <c r="CE433" s="160"/>
      <c r="CF433" s="160"/>
    </row>
    <row r="434">
      <c r="D434" s="159"/>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60"/>
      <c r="AX434" s="160"/>
      <c r="AY434" s="160"/>
      <c r="AZ434" s="160"/>
      <c r="BA434" s="160"/>
      <c r="BB434" s="160"/>
      <c r="BC434" s="160"/>
      <c r="BD434" s="160"/>
      <c r="BE434" s="160"/>
      <c r="BF434" s="160"/>
      <c r="BG434" s="160"/>
      <c r="BH434" s="160"/>
      <c r="BI434" s="160"/>
      <c r="BJ434" s="160"/>
      <c r="BK434" s="160"/>
      <c r="BL434" s="160"/>
      <c r="BM434" s="160"/>
      <c r="BN434" s="160"/>
      <c r="BO434" s="160"/>
      <c r="BP434" s="160"/>
      <c r="BQ434" s="160"/>
      <c r="BR434" s="160"/>
      <c r="BS434" s="160"/>
      <c r="BT434" s="160"/>
      <c r="BU434" s="160"/>
      <c r="BV434" s="160"/>
      <c r="BW434" s="160"/>
      <c r="BX434" s="160"/>
      <c r="BY434" s="160"/>
      <c r="BZ434" s="160"/>
      <c r="CA434" s="160"/>
      <c r="CB434" s="160"/>
      <c r="CC434" s="160"/>
      <c r="CD434" s="160"/>
      <c r="CE434" s="160"/>
      <c r="CF434" s="160"/>
    </row>
    <row r="435">
      <c r="D435" s="159"/>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60"/>
      <c r="AX435" s="160"/>
      <c r="AY435" s="160"/>
      <c r="AZ435" s="160"/>
      <c r="BA435" s="160"/>
      <c r="BB435" s="160"/>
      <c r="BC435" s="160"/>
      <c r="BD435" s="160"/>
      <c r="BE435" s="160"/>
      <c r="BF435" s="160"/>
      <c r="BG435" s="160"/>
      <c r="BH435" s="160"/>
      <c r="BI435" s="160"/>
      <c r="BJ435" s="160"/>
      <c r="BK435" s="160"/>
      <c r="BL435" s="160"/>
      <c r="BM435" s="160"/>
      <c r="BN435" s="160"/>
      <c r="BO435" s="160"/>
      <c r="BP435" s="160"/>
      <c r="BQ435" s="160"/>
      <c r="BR435" s="160"/>
      <c r="BS435" s="160"/>
      <c r="BT435" s="160"/>
      <c r="BU435" s="160"/>
      <c r="BV435" s="160"/>
      <c r="BW435" s="160"/>
      <c r="BX435" s="160"/>
      <c r="BY435" s="160"/>
      <c r="BZ435" s="160"/>
      <c r="CA435" s="160"/>
      <c r="CB435" s="160"/>
      <c r="CC435" s="160"/>
      <c r="CD435" s="160"/>
      <c r="CE435" s="160"/>
      <c r="CF435" s="160"/>
    </row>
    <row r="436">
      <c r="D436" s="159"/>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60"/>
      <c r="AX436" s="160"/>
      <c r="AY436" s="160"/>
      <c r="AZ436" s="160"/>
      <c r="BA436" s="160"/>
      <c r="BB436" s="160"/>
      <c r="BC436" s="160"/>
      <c r="BD436" s="160"/>
      <c r="BE436" s="160"/>
      <c r="BF436" s="160"/>
      <c r="BG436" s="160"/>
      <c r="BH436" s="160"/>
      <c r="BI436" s="160"/>
      <c r="BJ436" s="160"/>
      <c r="BK436" s="160"/>
      <c r="BL436" s="160"/>
      <c r="BM436" s="160"/>
      <c r="BN436" s="160"/>
      <c r="BO436" s="160"/>
      <c r="BP436" s="160"/>
      <c r="BQ436" s="160"/>
      <c r="BR436" s="160"/>
      <c r="BS436" s="160"/>
      <c r="BT436" s="160"/>
      <c r="BU436" s="160"/>
      <c r="BV436" s="160"/>
      <c r="BW436" s="160"/>
      <c r="BX436" s="160"/>
      <c r="BY436" s="160"/>
      <c r="BZ436" s="160"/>
      <c r="CA436" s="160"/>
      <c r="CB436" s="160"/>
      <c r="CC436" s="160"/>
      <c r="CD436" s="160"/>
      <c r="CE436" s="160"/>
      <c r="CF436" s="160"/>
    </row>
    <row r="437">
      <c r="D437" s="159"/>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60"/>
      <c r="AX437" s="160"/>
      <c r="AY437" s="160"/>
      <c r="AZ437" s="160"/>
      <c r="BA437" s="160"/>
      <c r="BB437" s="160"/>
      <c r="BC437" s="160"/>
      <c r="BD437" s="160"/>
      <c r="BE437" s="160"/>
      <c r="BF437" s="160"/>
      <c r="BG437" s="160"/>
      <c r="BH437" s="160"/>
      <c r="BI437" s="160"/>
      <c r="BJ437" s="160"/>
      <c r="BK437" s="160"/>
      <c r="BL437" s="160"/>
      <c r="BM437" s="160"/>
      <c r="BN437" s="160"/>
      <c r="BO437" s="160"/>
      <c r="BP437" s="160"/>
      <c r="BQ437" s="160"/>
      <c r="BR437" s="160"/>
      <c r="BS437" s="160"/>
      <c r="BT437" s="160"/>
      <c r="BU437" s="160"/>
      <c r="BV437" s="160"/>
      <c r="BW437" s="160"/>
      <c r="BX437" s="160"/>
      <c r="BY437" s="160"/>
      <c r="BZ437" s="160"/>
      <c r="CA437" s="160"/>
      <c r="CB437" s="160"/>
      <c r="CC437" s="160"/>
      <c r="CD437" s="160"/>
      <c r="CE437" s="160"/>
      <c r="CF437" s="160"/>
    </row>
    <row r="438">
      <c r="D438" s="159"/>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60"/>
      <c r="AX438" s="160"/>
      <c r="AY438" s="160"/>
      <c r="AZ438" s="160"/>
      <c r="BA438" s="160"/>
      <c r="BB438" s="160"/>
      <c r="BC438" s="160"/>
      <c r="BD438" s="160"/>
      <c r="BE438" s="160"/>
      <c r="BF438" s="160"/>
      <c r="BG438" s="160"/>
      <c r="BH438" s="160"/>
      <c r="BI438" s="160"/>
      <c r="BJ438" s="160"/>
      <c r="BK438" s="160"/>
      <c r="BL438" s="160"/>
      <c r="BM438" s="160"/>
      <c r="BN438" s="160"/>
      <c r="BO438" s="160"/>
      <c r="BP438" s="160"/>
      <c r="BQ438" s="160"/>
      <c r="BR438" s="160"/>
      <c r="BS438" s="160"/>
      <c r="BT438" s="160"/>
      <c r="BU438" s="160"/>
      <c r="BV438" s="160"/>
      <c r="BW438" s="160"/>
      <c r="BX438" s="160"/>
      <c r="BY438" s="160"/>
      <c r="BZ438" s="160"/>
      <c r="CA438" s="160"/>
      <c r="CB438" s="160"/>
      <c r="CC438" s="160"/>
      <c r="CD438" s="160"/>
      <c r="CE438" s="160"/>
      <c r="CF438" s="160"/>
    </row>
    <row r="439">
      <c r="D439" s="159"/>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60"/>
      <c r="AX439" s="160"/>
      <c r="AY439" s="160"/>
      <c r="AZ439" s="160"/>
      <c r="BA439" s="160"/>
      <c r="BB439" s="160"/>
      <c r="BC439" s="160"/>
      <c r="BD439" s="160"/>
      <c r="BE439" s="160"/>
      <c r="BF439" s="160"/>
      <c r="BG439" s="160"/>
      <c r="BH439" s="160"/>
      <c r="BI439" s="160"/>
      <c r="BJ439" s="160"/>
      <c r="BK439" s="160"/>
      <c r="BL439" s="160"/>
      <c r="BM439" s="160"/>
      <c r="BN439" s="160"/>
      <c r="BO439" s="160"/>
      <c r="BP439" s="160"/>
      <c r="BQ439" s="160"/>
      <c r="BR439" s="160"/>
      <c r="BS439" s="160"/>
      <c r="BT439" s="160"/>
      <c r="BU439" s="160"/>
      <c r="BV439" s="160"/>
      <c r="BW439" s="160"/>
      <c r="BX439" s="160"/>
      <c r="BY439" s="160"/>
      <c r="BZ439" s="160"/>
      <c r="CA439" s="160"/>
      <c r="CB439" s="160"/>
      <c r="CC439" s="160"/>
      <c r="CD439" s="160"/>
      <c r="CE439" s="160"/>
      <c r="CF439" s="160"/>
    </row>
    <row r="440">
      <c r="D440" s="159"/>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60"/>
      <c r="AX440" s="160"/>
      <c r="AY440" s="160"/>
      <c r="AZ440" s="160"/>
      <c r="BA440" s="160"/>
      <c r="BB440" s="160"/>
      <c r="BC440" s="160"/>
      <c r="BD440" s="160"/>
      <c r="BE440" s="160"/>
      <c r="BF440" s="160"/>
      <c r="BG440" s="160"/>
      <c r="BH440" s="160"/>
      <c r="BI440" s="160"/>
      <c r="BJ440" s="160"/>
      <c r="BK440" s="160"/>
      <c r="BL440" s="160"/>
      <c r="BM440" s="160"/>
      <c r="BN440" s="160"/>
      <c r="BO440" s="160"/>
      <c r="BP440" s="160"/>
      <c r="BQ440" s="160"/>
      <c r="BR440" s="160"/>
      <c r="BS440" s="160"/>
      <c r="BT440" s="160"/>
      <c r="BU440" s="160"/>
      <c r="BV440" s="160"/>
      <c r="BW440" s="160"/>
      <c r="BX440" s="160"/>
      <c r="BY440" s="160"/>
      <c r="BZ440" s="160"/>
      <c r="CA440" s="160"/>
      <c r="CB440" s="160"/>
      <c r="CC440" s="160"/>
      <c r="CD440" s="160"/>
      <c r="CE440" s="160"/>
      <c r="CF440" s="160"/>
    </row>
    <row r="441">
      <c r="D441" s="159"/>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60"/>
      <c r="AX441" s="160"/>
      <c r="AY441" s="160"/>
      <c r="AZ441" s="160"/>
      <c r="BA441" s="160"/>
      <c r="BB441" s="160"/>
      <c r="BC441" s="160"/>
      <c r="BD441" s="160"/>
      <c r="BE441" s="160"/>
      <c r="BF441" s="160"/>
      <c r="BG441" s="160"/>
      <c r="BH441" s="160"/>
      <c r="BI441" s="160"/>
      <c r="BJ441" s="160"/>
      <c r="BK441" s="160"/>
      <c r="BL441" s="160"/>
      <c r="BM441" s="160"/>
      <c r="BN441" s="160"/>
      <c r="BO441" s="160"/>
      <c r="BP441" s="160"/>
      <c r="BQ441" s="160"/>
      <c r="BR441" s="160"/>
      <c r="BS441" s="160"/>
      <c r="BT441" s="160"/>
      <c r="BU441" s="160"/>
      <c r="BV441" s="160"/>
      <c r="BW441" s="160"/>
      <c r="BX441" s="160"/>
      <c r="BY441" s="160"/>
      <c r="BZ441" s="160"/>
      <c r="CA441" s="160"/>
      <c r="CB441" s="160"/>
      <c r="CC441" s="160"/>
      <c r="CD441" s="160"/>
      <c r="CE441" s="160"/>
      <c r="CF441" s="160"/>
    </row>
    <row r="442">
      <c r="D442" s="159"/>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c r="BB442" s="160"/>
      <c r="BC442" s="160"/>
      <c r="BD442" s="160"/>
      <c r="BE442" s="160"/>
      <c r="BF442" s="160"/>
      <c r="BG442" s="160"/>
      <c r="BH442" s="160"/>
      <c r="BI442" s="160"/>
      <c r="BJ442" s="160"/>
      <c r="BK442" s="160"/>
      <c r="BL442" s="160"/>
      <c r="BM442" s="160"/>
      <c r="BN442" s="160"/>
      <c r="BO442" s="160"/>
      <c r="BP442" s="160"/>
      <c r="BQ442" s="160"/>
      <c r="BR442" s="160"/>
      <c r="BS442" s="160"/>
      <c r="BT442" s="160"/>
      <c r="BU442" s="160"/>
      <c r="BV442" s="160"/>
      <c r="BW442" s="160"/>
      <c r="BX442" s="160"/>
      <c r="BY442" s="160"/>
      <c r="BZ442" s="160"/>
      <c r="CA442" s="160"/>
      <c r="CB442" s="160"/>
      <c r="CC442" s="160"/>
      <c r="CD442" s="160"/>
      <c r="CE442" s="160"/>
      <c r="CF442" s="160"/>
    </row>
    <row r="443">
      <c r="D443" s="159"/>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c r="BB443" s="160"/>
      <c r="BC443" s="160"/>
      <c r="BD443" s="160"/>
      <c r="BE443" s="160"/>
      <c r="BF443" s="160"/>
      <c r="BG443" s="160"/>
      <c r="BH443" s="160"/>
      <c r="BI443" s="160"/>
      <c r="BJ443" s="160"/>
      <c r="BK443" s="160"/>
      <c r="BL443" s="160"/>
      <c r="BM443" s="160"/>
      <c r="BN443" s="160"/>
      <c r="BO443" s="160"/>
      <c r="BP443" s="160"/>
      <c r="BQ443" s="160"/>
      <c r="BR443" s="160"/>
      <c r="BS443" s="160"/>
      <c r="BT443" s="160"/>
      <c r="BU443" s="160"/>
      <c r="BV443" s="160"/>
      <c r="BW443" s="160"/>
      <c r="BX443" s="160"/>
      <c r="BY443" s="160"/>
      <c r="BZ443" s="160"/>
      <c r="CA443" s="160"/>
      <c r="CB443" s="160"/>
      <c r="CC443" s="160"/>
      <c r="CD443" s="160"/>
      <c r="CE443" s="160"/>
      <c r="CF443" s="160"/>
    </row>
    <row r="444">
      <c r="D444" s="159"/>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c r="BB444" s="160"/>
      <c r="BC444" s="160"/>
      <c r="BD444" s="160"/>
      <c r="BE444" s="160"/>
      <c r="BF444" s="160"/>
      <c r="BG444" s="160"/>
      <c r="BH444" s="160"/>
      <c r="BI444" s="160"/>
      <c r="BJ444" s="160"/>
      <c r="BK444" s="160"/>
      <c r="BL444" s="160"/>
      <c r="BM444" s="160"/>
      <c r="BN444" s="160"/>
      <c r="BO444" s="160"/>
      <c r="BP444" s="160"/>
      <c r="BQ444" s="160"/>
      <c r="BR444" s="160"/>
      <c r="BS444" s="160"/>
      <c r="BT444" s="160"/>
      <c r="BU444" s="160"/>
      <c r="BV444" s="160"/>
      <c r="BW444" s="160"/>
      <c r="BX444" s="160"/>
      <c r="BY444" s="160"/>
      <c r="BZ444" s="160"/>
      <c r="CA444" s="160"/>
      <c r="CB444" s="160"/>
      <c r="CC444" s="160"/>
      <c r="CD444" s="160"/>
      <c r="CE444" s="160"/>
      <c r="CF444" s="160"/>
    </row>
    <row r="445">
      <c r="D445" s="159"/>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c r="BB445" s="160"/>
      <c r="BC445" s="160"/>
      <c r="BD445" s="160"/>
      <c r="BE445" s="160"/>
      <c r="BF445" s="160"/>
      <c r="BG445" s="160"/>
      <c r="BH445" s="160"/>
      <c r="BI445" s="160"/>
      <c r="BJ445" s="160"/>
      <c r="BK445" s="160"/>
      <c r="BL445" s="160"/>
      <c r="BM445" s="160"/>
      <c r="BN445" s="160"/>
      <c r="BO445" s="160"/>
      <c r="BP445" s="160"/>
      <c r="BQ445" s="160"/>
      <c r="BR445" s="160"/>
      <c r="BS445" s="160"/>
      <c r="BT445" s="160"/>
      <c r="BU445" s="160"/>
      <c r="BV445" s="160"/>
      <c r="BW445" s="160"/>
      <c r="BX445" s="160"/>
      <c r="BY445" s="160"/>
      <c r="BZ445" s="160"/>
      <c r="CA445" s="160"/>
      <c r="CB445" s="160"/>
      <c r="CC445" s="160"/>
      <c r="CD445" s="160"/>
      <c r="CE445" s="160"/>
      <c r="CF445" s="160"/>
    </row>
    <row r="446">
      <c r="D446" s="159"/>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c r="BB446" s="160"/>
      <c r="BC446" s="160"/>
      <c r="BD446" s="160"/>
      <c r="BE446" s="160"/>
      <c r="BF446" s="160"/>
      <c r="BG446" s="160"/>
      <c r="BH446" s="160"/>
      <c r="BI446" s="160"/>
      <c r="BJ446" s="160"/>
      <c r="BK446" s="160"/>
      <c r="BL446" s="160"/>
      <c r="BM446" s="160"/>
      <c r="BN446" s="160"/>
      <c r="BO446" s="160"/>
      <c r="BP446" s="160"/>
      <c r="BQ446" s="160"/>
      <c r="BR446" s="160"/>
      <c r="BS446" s="160"/>
      <c r="BT446" s="160"/>
      <c r="BU446" s="160"/>
      <c r="BV446" s="160"/>
      <c r="BW446" s="160"/>
      <c r="BX446" s="160"/>
      <c r="BY446" s="160"/>
      <c r="BZ446" s="160"/>
      <c r="CA446" s="160"/>
      <c r="CB446" s="160"/>
      <c r="CC446" s="160"/>
      <c r="CD446" s="160"/>
      <c r="CE446" s="160"/>
      <c r="CF446" s="160"/>
    </row>
    <row r="447">
      <c r="D447" s="159"/>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c r="BB447" s="160"/>
      <c r="BC447" s="160"/>
      <c r="BD447" s="160"/>
      <c r="BE447" s="160"/>
      <c r="BF447" s="160"/>
      <c r="BG447" s="160"/>
      <c r="BH447" s="160"/>
      <c r="BI447" s="160"/>
      <c r="BJ447" s="160"/>
      <c r="BK447" s="160"/>
      <c r="BL447" s="160"/>
      <c r="BM447" s="160"/>
      <c r="BN447" s="160"/>
      <c r="BO447" s="160"/>
      <c r="BP447" s="160"/>
      <c r="BQ447" s="160"/>
      <c r="BR447" s="160"/>
      <c r="BS447" s="160"/>
      <c r="BT447" s="160"/>
      <c r="BU447" s="160"/>
      <c r="BV447" s="160"/>
      <c r="BW447" s="160"/>
      <c r="BX447" s="160"/>
      <c r="BY447" s="160"/>
      <c r="BZ447" s="160"/>
      <c r="CA447" s="160"/>
      <c r="CB447" s="160"/>
      <c r="CC447" s="160"/>
      <c r="CD447" s="160"/>
      <c r="CE447" s="160"/>
      <c r="CF447" s="160"/>
    </row>
    <row r="448">
      <c r="D448" s="159"/>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c r="BB448" s="160"/>
      <c r="BC448" s="160"/>
      <c r="BD448" s="160"/>
      <c r="BE448" s="160"/>
      <c r="BF448" s="160"/>
      <c r="BG448" s="160"/>
      <c r="BH448" s="160"/>
      <c r="BI448" s="160"/>
      <c r="BJ448" s="160"/>
      <c r="BK448" s="160"/>
      <c r="BL448" s="160"/>
      <c r="BM448" s="160"/>
      <c r="BN448" s="160"/>
      <c r="BO448" s="160"/>
      <c r="BP448" s="160"/>
      <c r="BQ448" s="160"/>
      <c r="BR448" s="160"/>
      <c r="BS448" s="160"/>
      <c r="BT448" s="160"/>
      <c r="BU448" s="160"/>
      <c r="BV448" s="160"/>
      <c r="BW448" s="160"/>
      <c r="BX448" s="160"/>
      <c r="BY448" s="160"/>
      <c r="BZ448" s="160"/>
      <c r="CA448" s="160"/>
      <c r="CB448" s="160"/>
      <c r="CC448" s="160"/>
      <c r="CD448" s="160"/>
      <c r="CE448" s="160"/>
      <c r="CF448" s="160"/>
    </row>
    <row r="449">
      <c r="D449" s="159"/>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c r="BB449" s="160"/>
      <c r="BC449" s="160"/>
      <c r="BD449" s="160"/>
      <c r="BE449" s="160"/>
      <c r="BF449" s="160"/>
      <c r="BG449" s="160"/>
      <c r="BH449" s="160"/>
      <c r="BI449" s="160"/>
      <c r="BJ449" s="160"/>
      <c r="BK449" s="160"/>
      <c r="BL449" s="160"/>
      <c r="BM449" s="160"/>
      <c r="BN449" s="160"/>
      <c r="BO449" s="160"/>
      <c r="BP449" s="160"/>
      <c r="BQ449" s="160"/>
      <c r="BR449" s="160"/>
      <c r="BS449" s="160"/>
      <c r="BT449" s="160"/>
      <c r="BU449" s="160"/>
      <c r="BV449" s="160"/>
      <c r="BW449" s="160"/>
      <c r="BX449" s="160"/>
      <c r="BY449" s="160"/>
      <c r="BZ449" s="160"/>
      <c r="CA449" s="160"/>
      <c r="CB449" s="160"/>
      <c r="CC449" s="160"/>
      <c r="CD449" s="160"/>
      <c r="CE449" s="160"/>
      <c r="CF449" s="160"/>
    </row>
    <row r="450">
      <c r="D450" s="159"/>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c r="BB450" s="160"/>
      <c r="BC450" s="160"/>
      <c r="BD450" s="160"/>
      <c r="BE450" s="160"/>
      <c r="BF450" s="160"/>
      <c r="BG450" s="160"/>
      <c r="BH450" s="160"/>
      <c r="BI450" s="160"/>
      <c r="BJ450" s="160"/>
      <c r="BK450" s="160"/>
      <c r="BL450" s="160"/>
      <c r="BM450" s="160"/>
      <c r="BN450" s="160"/>
      <c r="BO450" s="160"/>
      <c r="BP450" s="160"/>
      <c r="BQ450" s="160"/>
      <c r="BR450" s="160"/>
      <c r="BS450" s="160"/>
      <c r="BT450" s="160"/>
      <c r="BU450" s="160"/>
      <c r="BV450" s="160"/>
      <c r="BW450" s="160"/>
      <c r="BX450" s="160"/>
      <c r="BY450" s="160"/>
      <c r="BZ450" s="160"/>
      <c r="CA450" s="160"/>
      <c r="CB450" s="160"/>
      <c r="CC450" s="160"/>
      <c r="CD450" s="160"/>
      <c r="CE450" s="160"/>
      <c r="CF450" s="160"/>
    </row>
    <row r="451">
      <c r="D451" s="159"/>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c r="BB451" s="160"/>
      <c r="BC451" s="160"/>
      <c r="BD451" s="160"/>
      <c r="BE451" s="160"/>
      <c r="BF451" s="160"/>
      <c r="BG451" s="160"/>
      <c r="BH451" s="160"/>
      <c r="BI451" s="160"/>
      <c r="BJ451" s="160"/>
      <c r="BK451" s="160"/>
      <c r="BL451" s="160"/>
      <c r="BM451" s="160"/>
      <c r="BN451" s="160"/>
      <c r="BO451" s="160"/>
      <c r="BP451" s="160"/>
      <c r="BQ451" s="160"/>
      <c r="BR451" s="160"/>
      <c r="BS451" s="160"/>
      <c r="BT451" s="160"/>
      <c r="BU451" s="160"/>
      <c r="BV451" s="160"/>
      <c r="BW451" s="160"/>
      <c r="BX451" s="160"/>
      <c r="BY451" s="160"/>
      <c r="BZ451" s="160"/>
      <c r="CA451" s="160"/>
      <c r="CB451" s="160"/>
      <c r="CC451" s="160"/>
      <c r="CD451" s="160"/>
      <c r="CE451" s="160"/>
      <c r="CF451" s="160"/>
    </row>
    <row r="452">
      <c r="D452" s="159"/>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c r="BB452" s="160"/>
      <c r="BC452" s="160"/>
      <c r="BD452" s="160"/>
      <c r="BE452" s="160"/>
      <c r="BF452" s="160"/>
      <c r="BG452" s="160"/>
      <c r="BH452" s="160"/>
      <c r="BI452" s="160"/>
      <c r="BJ452" s="160"/>
      <c r="BK452" s="160"/>
      <c r="BL452" s="160"/>
      <c r="BM452" s="160"/>
      <c r="BN452" s="160"/>
      <c r="BO452" s="160"/>
      <c r="BP452" s="160"/>
      <c r="BQ452" s="160"/>
      <c r="BR452" s="160"/>
      <c r="BS452" s="160"/>
      <c r="BT452" s="160"/>
      <c r="BU452" s="160"/>
      <c r="BV452" s="160"/>
      <c r="BW452" s="160"/>
      <c r="BX452" s="160"/>
      <c r="BY452" s="160"/>
      <c r="BZ452" s="160"/>
      <c r="CA452" s="160"/>
      <c r="CB452" s="160"/>
      <c r="CC452" s="160"/>
      <c r="CD452" s="160"/>
      <c r="CE452" s="160"/>
      <c r="CF452" s="160"/>
    </row>
    <row r="453">
      <c r="D453" s="159"/>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c r="BB453" s="160"/>
      <c r="BC453" s="160"/>
      <c r="BD453" s="160"/>
      <c r="BE453" s="160"/>
      <c r="BF453" s="160"/>
      <c r="BG453" s="160"/>
      <c r="BH453" s="160"/>
      <c r="BI453" s="160"/>
      <c r="BJ453" s="160"/>
      <c r="BK453" s="160"/>
      <c r="BL453" s="160"/>
      <c r="BM453" s="160"/>
      <c r="BN453" s="160"/>
      <c r="BO453" s="160"/>
      <c r="BP453" s="160"/>
      <c r="BQ453" s="160"/>
      <c r="BR453" s="160"/>
      <c r="BS453" s="160"/>
      <c r="BT453" s="160"/>
      <c r="BU453" s="160"/>
      <c r="BV453" s="160"/>
      <c r="BW453" s="160"/>
      <c r="BX453" s="160"/>
      <c r="BY453" s="160"/>
      <c r="BZ453" s="160"/>
      <c r="CA453" s="160"/>
      <c r="CB453" s="160"/>
      <c r="CC453" s="160"/>
      <c r="CD453" s="160"/>
      <c r="CE453" s="160"/>
      <c r="CF453" s="160"/>
    </row>
    <row r="454">
      <c r="D454" s="159"/>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c r="BB454" s="160"/>
      <c r="BC454" s="160"/>
      <c r="BD454" s="160"/>
      <c r="BE454" s="160"/>
      <c r="BF454" s="160"/>
      <c r="BG454" s="160"/>
      <c r="BH454" s="160"/>
      <c r="BI454" s="160"/>
      <c r="BJ454" s="160"/>
      <c r="BK454" s="160"/>
      <c r="BL454" s="160"/>
      <c r="BM454" s="160"/>
      <c r="BN454" s="160"/>
      <c r="BO454" s="160"/>
      <c r="BP454" s="160"/>
      <c r="BQ454" s="160"/>
      <c r="BR454" s="160"/>
      <c r="BS454" s="160"/>
      <c r="BT454" s="160"/>
      <c r="BU454" s="160"/>
      <c r="BV454" s="160"/>
      <c r="BW454" s="160"/>
      <c r="BX454" s="160"/>
      <c r="BY454" s="160"/>
      <c r="BZ454" s="160"/>
      <c r="CA454" s="160"/>
      <c r="CB454" s="160"/>
      <c r="CC454" s="160"/>
      <c r="CD454" s="160"/>
      <c r="CE454" s="160"/>
      <c r="CF454" s="160"/>
    </row>
    <row r="455">
      <c r="D455" s="159"/>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c r="BB455" s="160"/>
      <c r="BC455" s="160"/>
      <c r="BD455" s="160"/>
      <c r="BE455" s="160"/>
      <c r="BF455" s="160"/>
      <c r="BG455" s="160"/>
      <c r="BH455" s="160"/>
      <c r="BI455" s="160"/>
      <c r="BJ455" s="160"/>
      <c r="BK455" s="160"/>
      <c r="BL455" s="160"/>
      <c r="BM455" s="160"/>
      <c r="BN455" s="160"/>
      <c r="BO455" s="160"/>
      <c r="BP455" s="160"/>
      <c r="BQ455" s="160"/>
      <c r="BR455" s="160"/>
      <c r="BS455" s="160"/>
      <c r="BT455" s="160"/>
      <c r="BU455" s="160"/>
      <c r="BV455" s="160"/>
      <c r="BW455" s="160"/>
      <c r="BX455" s="160"/>
      <c r="BY455" s="160"/>
      <c r="BZ455" s="160"/>
      <c r="CA455" s="160"/>
      <c r="CB455" s="160"/>
      <c r="CC455" s="160"/>
      <c r="CD455" s="160"/>
      <c r="CE455" s="160"/>
      <c r="CF455" s="160"/>
    </row>
    <row r="456">
      <c r="D456" s="159"/>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c r="BB456" s="160"/>
      <c r="BC456" s="160"/>
      <c r="BD456" s="160"/>
      <c r="BE456" s="160"/>
      <c r="BF456" s="160"/>
      <c r="BG456" s="160"/>
      <c r="BH456" s="160"/>
      <c r="BI456" s="160"/>
      <c r="BJ456" s="160"/>
      <c r="BK456" s="160"/>
      <c r="BL456" s="160"/>
      <c r="BM456" s="160"/>
      <c r="BN456" s="160"/>
      <c r="BO456" s="160"/>
      <c r="BP456" s="160"/>
      <c r="BQ456" s="160"/>
      <c r="BR456" s="160"/>
      <c r="BS456" s="160"/>
      <c r="BT456" s="160"/>
      <c r="BU456" s="160"/>
      <c r="BV456" s="160"/>
      <c r="BW456" s="160"/>
      <c r="BX456" s="160"/>
      <c r="BY456" s="160"/>
      <c r="BZ456" s="160"/>
      <c r="CA456" s="160"/>
      <c r="CB456" s="160"/>
      <c r="CC456" s="160"/>
      <c r="CD456" s="160"/>
      <c r="CE456" s="160"/>
      <c r="CF456" s="160"/>
    </row>
    <row r="457">
      <c r="D457" s="159"/>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c r="BB457" s="160"/>
      <c r="BC457" s="160"/>
      <c r="BD457" s="160"/>
      <c r="BE457" s="160"/>
      <c r="BF457" s="160"/>
      <c r="BG457" s="160"/>
      <c r="BH457" s="160"/>
      <c r="BI457" s="160"/>
      <c r="BJ457" s="160"/>
      <c r="BK457" s="160"/>
      <c r="BL457" s="160"/>
      <c r="BM457" s="160"/>
      <c r="BN457" s="160"/>
      <c r="BO457" s="160"/>
      <c r="BP457" s="160"/>
      <c r="BQ457" s="160"/>
      <c r="BR457" s="160"/>
      <c r="BS457" s="160"/>
      <c r="BT457" s="160"/>
      <c r="BU457" s="160"/>
      <c r="BV457" s="160"/>
      <c r="BW457" s="160"/>
      <c r="BX457" s="160"/>
      <c r="BY457" s="160"/>
      <c r="BZ457" s="160"/>
      <c r="CA457" s="160"/>
      <c r="CB457" s="160"/>
      <c r="CC457" s="160"/>
      <c r="CD457" s="160"/>
      <c r="CE457" s="160"/>
      <c r="CF457" s="160"/>
    </row>
    <row r="458">
      <c r="D458" s="159"/>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c r="BB458" s="160"/>
      <c r="BC458" s="160"/>
      <c r="BD458" s="160"/>
      <c r="BE458" s="160"/>
      <c r="BF458" s="160"/>
      <c r="BG458" s="160"/>
      <c r="BH458" s="160"/>
      <c r="BI458" s="160"/>
      <c r="BJ458" s="160"/>
      <c r="BK458" s="160"/>
      <c r="BL458" s="160"/>
      <c r="BM458" s="160"/>
      <c r="BN458" s="160"/>
      <c r="BO458" s="160"/>
      <c r="BP458" s="160"/>
      <c r="BQ458" s="160"/>
      <c r="BR458" s="160"/>
      <c r="BS458" s="160"/>
      <c r="BT458" s="160"/>
      <c r="BU458" s="160"/>
      <c r="BV458" s="160"/>
      <c r="BW458" s="160"/>
      <c r="BX458" s="160"/>
      <c r="BY458" s="160"/>
      <c r="BZ458" s="160"/>
      <c r="CA458" s="160"/>
      <c r="CB458" s="160"/>
      <c r="CC458" s="160"/>
      <c r="CD458" s="160"/>
      <c r="CE458" s="160"/>
      <c r="CF458" s="160"/>
    </row>
    <row r="459">
      <c r="D459" s="159"/>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c r="BB459" s="160"/>
      <c r="BC459" s="160"/>
      <c r="BD459" s="160"/>
      <c r="BE459" s="160"/>
      <c r="BF459" s="160"/>
      <c r="BG459" s="160"/>
      <c r="BH459" s="160"/>
      <c r="BI459" s="160"/>
      <c r="BJ459" s="160"/>
      <c r="BK459" s="160"/>
      <c r="BL459" s="160"/>
      <c r="BM459" s="160"/>
      <c r="BN459" s="160"/>
      <c r="BO459" s="160"/>
      <c r="BP459" s="160"/>
      <c r="BQ459" s="160"/>
      <c r="BR459" s="160"/>
      <c r="BS459" s="160"/>
      <c r="BT459" s="160"/>
      <c r="BU459" s="160"/>
      <c r="BV459" s="160"/>
      <c r="BW459" s="160"/>
      <c r="BX459" s="160"/>
      <c r="BY459" s="160"/>
      <c r="BZ459" s="160"/>
      <c r="CA459" s="160"/>
      <c r="CB459" s="160"/>
      <c r="CC459" s="160"/>
      <c r="CD459" s="160"/>
      <c r="CE459" s="160"/>
      <c r="CF459" s="160"/>
    </row>
    <row r="460">
      <c r="D460" s="159"/>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c r="BB460" s="160"/>
      <c r="BC460" s="160"/>
      <c r="BD460" s="160"/>
      <c r="BE460" s="160"/>
      <c r="BF460" s="160"/>
      <c r="BG460" s="160"/>
      <c r="BH460" s="160"/>
      <c r="BI460" s="160"/>
      <c r="BJ460" s="160"/>
      <c r="BK460" s="160"/>
      <c r="BL460" s="160"/>
      <c r="BM460" s="160"/>
      <c r="BN460" s="160"/>
      <c r="BO460" s="160"/>
      <c r="BP460" s="160"/>
      <c r="BQ460" s="160"/>
      <c r="BR460" s="160"/>
      <c r="BS460" s="160"/>
      <c r="BT460" s="160"/>
      <c r="BU460" s="160"/>
      <c r="BV460" s="160"/>
      <c r="BW460" s="160"/>
      <c r="BX460" s="160"/>
      <c r="BY460" s="160"/>
      <c r="BZ460" s="160"/>
      <c r="CA460" s="160"/>
      <c r="CB460" s="160"/>
      <c r="CC460" s="160"/>
      <c r="CD460" s="160"/>
      <c r="CE460" s="160"/>
      <c r="CF460" s="160"/>
    </row>
    <row r="461">
      <c r="D461" s="159"/>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c r="BD461" s="160"/>
      <c r="BE461" s="160"/>
      <c r="BF461" s="160"/>
      <c r="BG461" s="160"/>
      <c r="BH461" s="160"/>
      <c r="BI461" s="160"/>
      <c r="BJ461" s="160"/>
      <c r="BK461" s="160"/>
      <c r="BL461" s="160"/>
      <c r="BM461" s="160"/>
      <c r="BN461" s="160"/>
      <c r="BO461" s="160"/>
      <c r="BP461" s="160"/>
      <c r="BQ461" s="160"/>
      <c r="BR461" s="160"/>
      <c r="BS461" s="160"/>
      <c r="BT461" s="160"/>
      <c r="BU461" s="160"/>
      <c r="BV461" s="160"/>
      <c r="BW461" s="160"/>
      <c r="BX461" s="160"/>
      <c r="BY461" s="160"/>
      <c r="BZ461" s="160"/>
      <c r="CA461" s="160"/>
      <c r="CB461" s="160"/>
      <c r="CC461" s="160"/>
      <c r="CD461" s="160"/>
      <c r="CE461" s="160"/>
      <c r="CF461" s="160"/>
    </row>
    <row r="462">
      <c r="D462" s="159"/>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c r="BD462" s="160"/>
      <c r="BE462" s="160"/>
      <c r="BF462" s="160"/>
      <c r="BG462" s="160"/>
      <c r="BH462" s="160"/>
      <c r="BI462" s="160"/>
      <c r="BJ462" s="160"/>
      <c r="BK462" s="160"/>
      <c r="BL462" s="160"/>
      <c r="BM462" s="160"/>
      <c r="BN462" s="160"/>
      <c r="BO462" s="160"/>
      <c r="BP462" s="160"/>
      <c r="BQ462" s="160"/>
      <c r="BR462" s="160"/>
      <c r="BS462" s="160"/>
      <c r="BT462" s="160"/>
      <c r="BU462" s="160"/>
      <c r="BV462" s="160"/>
      <c r="BW462" s="160"/>
      <c r="BX462" s="160"/>
      <c r="BY462" s="160"/>
      <c r="BZ462" s="160"/>
      <c r="CA462" s="160"/>
      <c r="CB462" s="160"/>
      <c r="CC462" s="160"/>
      <c r="CD462" s="160"/>
      <c r="CE462" s="160"/>
      <c r="CF462" s="160"/>
    </row>
    <row r="463">
      <c r="D463" s="159"/>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c r="BD463" s="160"/>
      <c r="BE463" s="160"/>
      <c r="BF463" s="160"/>
      <c r="BG463" s="160"/>
      <c r="BH463" s="160"/>
      <c r="BI463" s="160"/>
      <c r="BJ463" s="160"/>
      <c r="BK463" s="160"/>
      <c r="BL463" s="160"/>
      <c r="BM463" s="160"/>
      <c r="BN463" s="160"/>
      <c r="BO463" s="160"/>
      <c r="BP463" s="160"/>
      <c r="BQ463" s="160"/>
      <c r="BR463" s="160"/>
      <c r="BS463" s="160"/>
      <c r="BT463" s="160"/>
      <c r="BU463" s="160"/>
      <c r="BV463" s="160"/>
      <c r="BW463" s="160"/>
      <c r="BX463" s="160"/>
      <c r="BY463" s="160"/>
      <c r="BZ463" s="160"/>
      <c r="CA463" s="160"/>
      <c r="CB463" s="160"/>
      <c r="CC463" s="160"/>
      <c r="CD463" s="160"/>
      <c r="CE463" s="160"/>
      <c r="CF463" s="160"/>
    </row>
    <row r="464">
      <c r="D464" s="159"/>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c r="BD464" s="160"/>
      <c r="BE464" s="160"/>
      <c r="BF464" s="160"/>
      <c r="BG464" s="160"/>
      <c r="BH464" s="160"/>
      <c r="BI464" s="160"/>
      <c r="BJ464" s="160"/>
      <c r="BK464" s="160"/>
      <c r="BL464" s="160"/>
      <c r="BM464" s="160"/>
      <c r="BN464" s="160"/>
      <c r="BO464" s="160"/>
      <c r="BP464" s="160"/>
      <c r="BQ464" s="160"/>
      <c r="BR464" s="160"/>
      <c r="BS464" s="160"/>
      <c r="BT464" s="160"/>
      <c r="BU464" s="160"/>
      <c r="BV464" s="160"/>
      <c r="BW464" s="160"/>
      <c r="BX464" s="160"/>
      <c r="BY464" s="160"/>
      <c r="BZ464" s="160"/>
      <c r="CA464" s="160"/>
      <c r="CB464" s="160"/>
      <c r="CC464" s="160"/>
      <c r="CD464" s="160"/>
      <c r="CE464" s="160"/>
      <c r="CF464" s="160"/>
    </row>
    <row r="465">
      <c r="D465" s="159"/>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c r="BD465" s="160"/>
      <c r="BE465" s="160"/>
      <c r="BF465" s="160"/>
      <c r="BG465" s="160"/>
      <c r="BH465" s="160"/>
      <c r="BI465" s="160"/>
      <c r="BJ465" s="160"/>
      <c r="BK465" s="160"/>
      <c r="BL465" s="160"/>
      <c r="BM465" s="160"/>
      <c r="BN465" s="160"/>
      <c r="BO465" s="160"/>
      <c r="BP465" s="160"/>
      <c r="BQ465" s="160"/>
      <c r="BR465" s="160"/>
      <c r="BS465" s="160"/>
      <c r="BT465" s="160"/>
      <c r="BU465" s="160"/>
      <c r="BV465" s="160"/>
      <c r="BW465" s="160"/>
      <c r="BX465" s="160"/>
      <c r="BY465" s="160"/>
      <c r="BZ465" s="160"/>
      <c r="CA465" s="160"/>
      <c r="CB465" s="160"/>
      <c r="CC465" s="160"/>
      <c r="CD465" s="160"/>
      <c r="CE465" s="160"/>
      <c r="CF465" s="160"/>
    </row>
    <row r="466">
      <c r="D466" s="159"/>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c r="BD466" s="160"/>
      <c r="BE466" s="160"/>
      <c r="BF466" s="160"/>
      <c r="BG466" s="160"/>
      <c r="BH466" s="160"/>
      <c r="BI466" s="160"/>
      <c r="BJ466" s="160"/>
      <c r="BK466" s="160"/>
      <c r="BL466" s="160"/>
      <c r="BM466" s="160"/>
      <c r="BN466" s="160"/>
      <c r="BO466" s="160"/>
      <c r="BP466" s="160"/>
      <c r="BQ466" s="160"/>
      <c r="BR466" s="160"/>
      <c r="BS466" s="160"/>
      <c r="BT466" s="160"/>
      <c r="BU466" s="160"/>
      <c r="BV466" s="160"/>
      <c r="BW466" s="160"/>
      <c r="BX466" s="160"/>
      <c r="BY466" s="160"/>
      <c r="BZ466" s="160"/>
      <c r="CA466" s="160"/>
      <c r="CB466" s="160"/>
      <c r="CC466" s="160"/>
      <c r="CD466" s="160"/>
      <c r="CE466" s="160"/>
      <c r="CF466" s="160"/>
    </row>
    <row r="467">
      <c r="D467" s="159"/>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c r="BD467" s="160"/>
      <c r="BE467" s="160"/>
      <c r="BF467" s="160"/>
      <c r="BG467" s="160"/>
      <c r="BH467" s="160"/>
      <c r="BI467" s="160"/>
      <c r="BJ467" s="160"/>
      <c r="BK467" s="160"/>
      <c r="BL467" s="160"/>
      <c r="BM467" s="160"/>
      <c r="BN467" s="160"/>
      <c r="BO467" s="160"/>
      <c r="BP467" s="160"/>
      <c r="BQ467" s="160"/>
      <c r="BR467" s="160"/>
      <c r="BS467" s="160"/>
      <c r="BT467" s="160"/>
      <c r="BU467" s="160"/>
      <c r="BV467" s="160"/>
      <c r="BW467" s="160"/>
      <c r="BX467" s="160"/>
      <c r="BY467" s="160"/>
      <c r="BZ467" s="160"/>
      <c r="CA467" s="160"/>
      <c r="CB467" s="160"/>
      <c r="CC467" s="160"/>
      <c r="CD467" s="160"/>
      <c r="CE467" s="160"/>
      <c r="CF467" s="160"/>
    </row>
    <row r="468">
      <c r="D468" s="159"/>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c r="BB468" s="160"/>
      <c r="BC468" s="160"/>
      <c r="BD468" s="160"/>
      <c r="BE468" s="160"/>
      <c r="BF468" s="160"/>
      <c r="BG468" s="160"/>
      <c r="BH468" s="160"/>
      <c r="BI468" s="160"/>
      <c r="BJ468" s="160"/>
      <c r="BK468" s="160"/>
      <c r="BL468" s="160"/>
      <c r="BM468" s="160"/>
      <c r="BN468" s="160"/>
      <c r="BO468" s="160"/>
      <c r="BP468" s="160"/>
      <c r="BQ468" s="160"/>
      <c r="BR468" s="160"/>
      <c r="BS468" s="160"/>
      <c r="BT468" s="160"/>
      <c r="BU468" s="160"/>
      <c r="BV468" s="160"/>
      <c r="BW468" s="160"/>
      <c r="BX468" s="160"/>
      <c r="BY468" s="160"/>
      <c r="BZ468" s="160"/>
      <c r="CA468" s="160"/>
      <c r="CB468" s="160"/>
      <c r="CC468" s="160"/>
      <c r="CD468" s="160"/>
      <c r="CE468" s="160"/>
      <c r="CF468" s="160"/>
    </row>
    <row r="469">
      <c r="D469" s="159"/>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c r="BD469" s="160"/>
      <c r="BE469" s="160"/>
      <c r="BF469" s="160"/>
      <c r="BG469" s="160"/>
      <c r="BH469" s="160"/>
      <c r="BI469" s="160"/>
      <c r="BJ469" s="160"/>
      <c r="BK469" s="160"/>
      <c r="BL469" s="160"/>
      <c r="BM469" s="160"/>
      <c r="BN469" s="160"/>
      <c r="BO469" s="160"/>
      <c r="BP469" s="160"/>
      <c r="BQ469" s="160"/>
      <c r="BR469" s="160"/>
      <c r="BS469" s="160"/>
      <c r="BT469" s="160"/>
      <c r="BU469" s="160"/>
      <c r="BV469" s="160"/>
      <c r="BW469" s="160"/>
      <c r="BX469" s="160"/>
      <c r="BY469" s="160"/>
      <c r="BZ469" s="160"/>
      <c r="CA469" s="160"/>
      <c r="CB469" s="160"/>
      <c r="CC469" s="160"/>
      <c r="CD469" s="160"/>
      <c r="CE469" s="160"/>
      <c r="CF469" s="160"/>
    </row>
    <row r="470">
      <c r="D470" s="159"/>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c r="BD470" s="160"/>
      <c r="BE470" s="160"/>
      <c r="BF470" s="160"/>
      <c r="BG470" s="160"/>
      <c r="BH470" s="160"/>
      <c r="BI470" s="160"/>
      <c r="BJ470" s="160"/>
      <c r="BK470" s="160"/>
      <c r="BL470" s="160"/>
      <c r="BM470" s="160"/>
      <c r="BN470" s="160"/>
      <c r="BO470" s="160"/>
      <c r="BP470" s="160"/>
      <c r="BQ470" s="160"/>
      <c r="BR470" s="160"/>
      <c r="BS470" s="160"/>
      <c r="BT470" s="160"/>
      <c r="BU470" s="160"/>
      <c r="BV470" s="160"/>
      <c r="BW470" s="160"/>
      <c r="BX470" s="160"/>
      <c r="BY470" s="160"/>
      <c r="BZ470" s="160"/>
      <c r="CA470" s="160"/>
      <c r="CB470" s="160"/>
      <c r="CC470" s="160"/>
      <c r="CD470" s="160"/>
      <c r="CE470" s="160"/>
      <c r="CF470" s="160"/>
    </row>
    <row r="471">
      <c r="D471" s="159"/>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c r="BE471" s="160"/>
      <c r="BF471" s="160"/>
      <c r="BG471" s="160"/>
      <c r="BH471" s="160"/>
      <c r="BI471" s="160"/>
      <c r="BJ471" s="160"/>
      <c r="BK471" s="160"/>
      <c r="BL471" s="160"/>
      <c r="BM471" s="160"/>
      <c r="BN471" s="160"/>
      <c r="BO471" s="160"/>
      <c r="BP471" s="160"/>
      <c r="BQ471" s="160"/>
      <c r="BR471" s="160"/>
      <c r="BS471" s="160"/>
      <c r="BT471" s="160"/>
      <c r="BU471" s="160"/>
      <c r="BV471" s="160"/>
      <c r="BW471" s="160"/>
      <c r="BX471" s="160"/>
      <c r="BY471" s="160"/>
      <c r="BZ471" s="160"/>
      <c r="CA471" s="160"/>
      <c r="CB471" s="160"/>
      <c r="CC471" s="160"/>
      <c r="CD471" s="160"/>
      <c r="CE471" s="160"/>
      <c r="CF471" s="160"/>
    </row>
    <row r="472">
      <c r="D472" s="159"/>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c r="BF472" s="160"/>
      <c r="BG472" s="160"/>
      <c r="BH472" s="160"/>
      <c r="BI472" s="160"/>
      <c r="BJ472" s="160"/>
      <c r="BK472" s="160"/>
      <c r="BL472" s="160"/>
      <c r="BM472" s="160"/>
      <c r="BN472" s="160"/>
      <c r="BO472" s="160"/>
      <c r="BP472" s="160"/>
      <c r="BQ472" s="160"/>
      <c r="BR472" s="160"/>
      <c r="BS472" s="160"/>
      <c r="BT472" s="160"/>
      <c r="BU472" s="160"/>
      <c r="BV472" s="160"/>
      <c r="BW472" s="160"/>
      <c r="BX472" s="160"/>
      <c r="BY472" s="160"/>
      <c r="BZ472" s="160"/>
      <c r="CA472" s="160"/>
      <c r="CB472" s="160"/>
      <c r="CC472" s="160"/>
      <c r="CD472" s="160"/>
      <c r="CE472" s="160"/>
      <c r="CF472" s="160"/>
    </row>
    <row r="473">
      <c r="D473" s="159"/>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c r="BG473" s="160"/>
      <c r="BH473" s="160"/>
      <c r="BI473" s="160"/>
      <c r="BJ473" s="160"/>
      <c r="BK473" s="160"/>
      <c r="BL473" s="160"/>
      <c r="BM473" s="160"/>
      <c r="BN473" s="160"/>
      <c r="BO473" s="160"/>
      <c r="BP473" s="160"/>
      <c r="BQ473" s="160"/>
      <c r="BR473" s="160"/>
      <c r="BS473" s="160"/>
      <c r="BT473" s="160"/>
      <c r="BU473" s="160"/>
      <c r="BV473" s="160"/>
      <c r="BW473" s="160"/>
      <c r="BX473" s="160"/>
      <c r="BY473" s="160"/>
      <c r="BZ473" s="160"/>
      <c r="CA473" s="160"/>
      <c r="CB473" s="160"/>
      <c r="CC473" s="160"/>
      <c r="CD473" s="160"/>
      <c r="CE473" s="160"/>
      <c r="CF473" s="160"/>
    </row>
    <row r="474">
      <c r="D474" s="159"/>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c r="BH474" s="160"/>
      <c r="BI474" s="160"/>
      <c r="BJ474" s="160"/>
      <c r="BK474" s="160"/>
      <c r="BL474" s="160"/>
      <c r="BM474" s="160"/>
      <c r="BN474" s="160"/>
      <c r="BO474" s="160"/>
      <c r="BP474" s="160"/>
      <c r="BQ474" s="160"/>
      <c r="BR474" s="160"/>
      <c r="BS474" s="160"/>
      <c r="BT474" s="160"/>
      <c r="BU474" s="160"/>
      <c r="BV474" s="160"/>
      <c r="BW474" s="160"/>
      <c r="BX474" s="160"/>
      <c r="BY474" s="160"/>
      <c r="BZ474" s="160"/>
      <c r="CA474" s="160"/>
      <c r="CB474" s="160"/>
      <c r="CC474" s="160"/>
      <c r="CD474" s="160"/>
      <c r="CE474" s="160"/>
      <c r="CF474" s="160"/>
    </row>
    <row r="475">
      <c r="D475" s="159"/>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c r="BD475" s="160"/>
      <c r="BE475" s="160"/>
      <c r="BF475" s="160"/>
      <c r="BG475" s="160"/>
      <c r="BH475" s="160"/>
      <c r="BI475" s="160"/>
      <c r="BJ475" s="160"/>
      <c r="BK475" s="160"/>
      <c r="BL475" s="160"/>
      <c r="BM475" s="160"/>
      <c r="BN475" s="160"/>
      <c r="BO475" s="160"/>
      <c r="BP475" s="160"/>
      <c r="BQ475" s="160"/>
      <c r="BR475" s="160"/>
      <c r="BS475" s="160"/>
      <c r="BT475" s="160"/>
      <c r="BU475" s="160"/>
      <c r="BV475" s="160"/>
      <c r="BW475" s="160"/>
      <c r="BX475" s="160"/>
      <c r="BY475" s="160"/>
      <c r="BZ475" s="160"/>
      <c r="CA475" s="160"/>
      <c r="CB475" s="160"/>
      <c r="CC475" s="160"/>
      <c r="CD475" s="160"/>
      <c r="CE475" s="160"/>
      <c r="CF475" s="160"/>
    </row>
    <row r="476">
      <c r="D476" s="159"/>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c r="BD476" s="160"/>
      <c r="BE476" s="160"/>
      <c r="BF476" s="160"/>
      <c r="BG476" s="160"/>
      <c r="BH476" s="160"/>
      <c r="BI476" s="160"/>
      <c r="BJ476" s="160"/>
      <c r="BK476" s="160"/>
      <c r="BL476" s="160"/>
      <c r="BM476" s="160"/>
      <c r="BN476" s="160"/>
      <c r="BO476" s="160"/>
      <c r="BP476" s="160"/>
      <c r="BQ476" s="160"/>
      <c r="BR476" s="160"/>
      <c r="BS476" s="160"/>
      <c r="BT476" s="160"/>
      <c r="BU476" s="160"/>
      <c r="BV476" s="160"/>
      <c r="BW476" s="160"/>
      <c r="BX476" s="160"/>
      <c r="BY476" s="160"/>
      <c r="BZ476" s="160"/>
      <c r="CA476" s="160"/>
      <c r="CB476" s="160"/>
      <c r="CC476" s="160"/>
      <c r="CD476" s="160"/>
      <c r="CE476" s="160"/>
      <c r="CF476" s="160"/>
    </row>
    <row r="477">
      <c r="D477" s="159"/>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c r="BD477" s="160"/>
      <c r="BE477" s="160"/>
      <c r="BF477" s="160"/>
      <c r="BG477" s="160"/>
      <c r="BH477" s="160"/>
      <c r="BI477" s="160"/>
      <c r="BJ477" s="160"/>
      <c r="BK477" s="160"/>
      <c r="BL477" s="160"/>
      <c r="BM477" s="160"/>
      <c r="BN477" s="160"/>
      <c r="BO477" s="160"/>
      <c r="BP477" s="160"/>
      <c r="BQ477" s="160"/>
      <c r="BR477" s="160"/>
      <c r="BS477" s="160"/>
      <c r="BT477" s="160"/>
      <c r="BU477" s="160"/>
      <c r="BV477" s="160"/>
      <c r="BW477" s="160"/>
      <c r="BX477" s="160"/>
      <c r="BY477" s="160"/>
      <c r="BZ477" s="160"/>
      <c r="CA477" s="160"/>
      <c r="CB477" s="160"/>
      <c r="CC477" s="160"/>
      <c r="CD477" s="160"/>
      <c r="CE477" s="160"/>
      <c r="CF477" s="160"/>
    </row>
    <row r="478">
      <c r="D478" s="159"/>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c r="BL478" s="160"/>
      <c r="BM478" s="160"/>
      <c r="BN478" s="160"/>
      <c r="BO478" s="160"/>
      <c r="BP478" s="160"/>
      <c r="BQ478" s="160"/>
      <c r="BR478" s="160"/>
      <c r="BS478" s="160"/>
      <c r="BT478" s="160"/>
      <c r="BU478" s="160"/>
      <c r="BV478" s="160"/>
      <c r="BW478" s="160"/>
      <c r="BX478" s="160"/>
      <c r="BY478" s="160"/>
      <c r="BZ478" s="160"/>
      <c r="CA478" s="160"/>
      <c r="CB478" s="160"/>
      <c r="CC478" s="160"/>
      <c r="CD478" s="160"/>
      <c r="CE478" s="160"/>
      <c r="CF478" s="160"/>
    </row>
    <row r="479">
      <c r="D479" s="159"/>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c r="BM479" s="160"/>
      <c r="BN479" s="160"/>
      <c r="BO479" s="160"/>
      <c r="BP479" s="160"/>
      <c r="BQ479" s="160"/>
      <c r="BR479" s="160"/>
      <c r="BS479" s="160"/>
      <c r="BT479" s="160"/>
      <c r="BU479" s="160"/>
      <c r="BV479" s="160"/>
      <c r="BW479" s="160"/>
      <c r="BX479" s="160"/>
      <c r="BY479" s="160"/>
      <c r="BZ479" s="160"/>
      <c r="CA479" s="160"/>
      <c r="CB479" s="160"/>
      <c r="CC479" s="160"/>
      <c r="CD479" s="160"/>
      <c r="CE479" s="160"/>
      <c r="CF479" s="160"/>
    </row>
    <row r="480">
      <c r="D480" s="159"/>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c r="BN480" s="160"/>
      <c r="BO480" s="160"/>
      <c r="BP480" s="160"/>
      <c r="BQ480" s="160"/>
      <c r="BR480" s="160"/>
      <c r="BS480" s="160"/>
      <c r="BT480" s="160"/>
      <c r="BU480" s="160"/>
      <c r="BV480" s="160"/>
      <c r="BW480" s="160"/>
      <c r="BX480" s="160"/>
      <c r="BY480" s="160"/>
      <c r="BZ480" s="160"/>
      <c r="CA480" s="160"/>
      <c r="CB480" s="160"/>
      <c r="CC480" s="160"/>
      <c r="CD480" s="160"/>
      <c r="CE480" s="160"/>
      <c r="CF480" s="160"/>
    </row>
    <row r="481">
      <c r="D481" s="159"/>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c r="BO481" s="160"/>
      <c r="BP481" s="160"/>
      <c r="BQ481" s="160"/>
      <c r="BR481" s="160"/>
      <c r="BS481" s="160"/>
      <c r="BT481" s="160"/>
      <c r="BU481" s="160"/>
      <c r="BV481" s="160"/>
      <c r="BW481" s="160"/>
      <c r="BX481" s="160"/>
      <c r="BY481" s="160"/>
      <c r="BZ481" s="160"/>
      <c r="CA481" s="160"/>
      <c r="CB481" s="160"/>
      <c r="CC481" s="160"/>
      <c r="CD481" s="160"/>
      <c r="CE481" s="160"/>
      <c r="CF481" s="160"/>
    </row>
    <row r="482">
      <c r="D482" s="159"/>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c r="BP482" s="160"/>
      <c r="BQ482" s="160"/>
      <c r="BR482" s="160"/>
      <c r="BS482" s="160"/>
      <c r="BT482" s="160"/>
      <c r="BU482" s="160"/>
      <c r="BV482" s="160"/>
      <c r="BW482" s="160"/>
      <c r="BX482" s="160"/>
      <c r="BY482" s="160"/>
      <c r="BZ482" s="160"/>
      <c r="CA482" s="160"/>
      <c r="CB482" s="160"/>
      <c r="CC482" s="160"/>
      <c r="CD482" s="160"/>
      <c r="CE482" s="160"/>
      <c r="CF482" s="160"/>
    </row>
    <row r="483">
      <c r="D483" s="159"/>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c r="BQ483" s="160"/>
      <c r="BR483" s="160"/>
      <c r="BS483" s="160"/>
      <c r="BT483" s="160"/>
      <c r="BU483" s="160"/>
      <c r="BV483" s="160"/>
      <c r="BW483" s="160"/>
      <c r="BX483" s="160"/>
      <c r="BY483" s="160"/>
      <c r="BZ483" s="160"/>
      <c r="CA483" s="160"/>
      <c r="CB483" s="160"/>
      <c r="CC483" s="160"/>
      <c r="CD483" s="160"/>
      <c r="CE483" s="160"/>
      <c r="CF483" s="160"/>
    </row>
    <row r="484">
      <c r="D484" s="159"/>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c r="BS484" s="160"/>
      <c r="BT484" s="160"/>
      <c r="BU484" s="160"/>
      <c r="BV484" s="160"/>
      <c r="BW484" s="160"/>
      <c r="BX484" s="160"/>
      <c r="BY484" s="160"/>
      <c r="BZ484" s="160"/>
      <c r="CA484" s="160"/>
      <c r="CB484" s="160"/>
      <c r="CC484" s="160"/>
      <c r="CD484" s="160"/>
      <c r="CE484" s="160"/>
      <c r="CF484" s="160"/>
    </row>
    <row r="485">
      <c r="D485" s="159"/>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c r="BS485" s="160"/>
      <c r="BT485" s="160"/>
      <c r="BU485" s="160"/>
      <c r="BV485" s="160"/>
      <c r="BW485" s="160"/>
      <c r="BX485" s="160"/>
      <c r="BY485" s="160"/>
      <c r="BZ485" s="160"/>
      <c r="CA485" s="160"/>
      <c r="CB485" s="160"/>
      <c r="CC485" s="160"/>
      <c r="CD485" s="160"/>
      <c r="CE485" s="160"/>
      <c r="CF485" s="160"/>
    </row>
    <row r="486">
      <c r="D486" s="159"/>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c r="BT486" s="160"/>
      <c r="BU486" s="160"/>
      <c r="BV486" s="160"/>
      <c r="BW486" s="160"/>
      <c r="BX486" s="160"/>
      <c r="BY486" s="160"/>
      <c r="BZ486" s="160"/>
      <c r="CA486" s="160"/>
      <c r="CB486" s="160"/>
      <c r="CC486" s="160"/>
      <c r="CD486" s="160"/>
      <c r="CE486" s="160"/>
      <c r="CF486" s="160"/>
    </row>
    <row r="487">
      <c r="D487" s="159"/>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c r="BU487" s="160"/>
      <c r="BV487" s="160"/>
      <c r="BW487" s="160"/>
      <c r="BX487" s="160"/>
      <c r="BY487" s="160"/>
      <c r="BZ487" s="160"/>
      <c r="CA487" s="160"/>
      <c r="CB487" s="160"/>
      <c r="CC487" s="160"/>
      <c r="CD487" s="160"/>
      <c r="CE487" s="160"/>
      <c r="CF487" s="160"/>
    </row>
    <row r="488">
      <c r="D488" s="159"/>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c r="BV488" s="160"/>
      <c r="BW488" s="160"/>
      <c r="BX488" s="160"/>
      <c r="BY488" s="160"/>
      <c r="BZ488" s="160"/>
      <c r="CA488" s="160"/>
      <c r="CB488" s="160"/>
      <c r="CC488" s="160"/>
      <c r="CD488" s="160"/>
      <c r="CE488" s="160"/>
      <c r="CF488" s="160"/>
    </row>
    <row r="489">
      <c r="D489" s="159"/>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c r="BW489" s="160"/>
      <c r="BX489" s="160"/>
      <c r="BY489" s="160"/>
      <c r="BZ489" s="160"/>
      <c r="CA489" s="160"/>
      <c r="CB489" s="160"/>
      <c r="CC489" s="160"/>
      <c r="CD489" s="160"/>
      <c r="CE489" s="160"/>
      <c r="CF489" s="160"/>
    </row>
    <row r="490">
      <c r="D490" s="159"/>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c r="BX490" s="160"/>
      <c r="BY490" s="160"/>
      <c r="BZ490" s="160"/>
      <c r="CA490" s="160"/>
      <c r="CB490" s="160"/>
      <c r="CC490" s="160"/>
      <c r="CD490" s="160"/>
      <c r="CE490" s="160"/>
      <c r="CF490" s="160"/>
    </row>
    <row r="491">
      <c r="D491" s="159"/>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c r="BY491" s="160"/>
      <c r="BZ491" s="160"/>
      <c r="CA491" s="160"/>
      <c r="CB491" s="160"/>
      <c r="CC491" s="160"/>
      <c r="CD491" s="160"/>
      <c r="CE491" s="160"/>
      <c r="CF491" s="160"/>
    </row>
    <row r="492">
      <c r="D492" s="159"/>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60"/>
      <c r="AX492" s="160"/>
      <c r="AY492" s="160"/>
      <c r="AZ492" s="160"/>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c r="BZ492" s="160"/>
      <c r="CA492" s="160"/>
      <c r="CB492" s="160"/>
      <c r="CC492" s="160"/>
      <c r="CD492" s="160"/>
      <c r="CE492" s="160"/>
      <c r="CF492" s="160"/>
    </row>
    <row r="493">
      <c r="D493" s="159"/>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c r="BD493" s="160"/>
      <c r="BE493" s="160"/>
      <c r="BF493" s="160"/>
      <c r="BG493" s="160"/>
      <c r="BH493" s="160"/>
      <c r="BI493" s="160"/>
      <c r="BJ493" s="160"/>
      <c r="BK493" s="160"/>
      <c r="BL493" s="160"/>
      <c r="BM493" s="160"/>
      <c r="BN493" s="160"/>
      <c r="BO493" s="160"/>
      <c r="BP493" s="160"/>
      <c r="BQ493" s="160"/>
      <c r="BR493" s="160"/>
      <c r="BS493" s="160"/>
      <c r="BT493" s="160"/>
      <c r="BU493" s="160"/>
      <c r="BV493" s="160"/>
      <c r="BW493" s="160"/>
      <c r="BX493" s="160"/>
      <c r="BY493" s="160"/>
      <c r="BZ493" s="160"/>
      <c r="CA493" s="160"/>
      <c r="CB493" s="160"/>
      <c r="CC493" s="160"/>
      <c r="CD493" s="160"/>
      <c r="CE493" s="160"/>
      <c r="CF493" s="160"/>
    </row>
    <row r="494">
      <c r="D494" s="159"/>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c r="BD494" s="160"/>
      <c r="BE494" s="160"/>
      <c r="BF494" s="160"/>
      <c r="BG494" s="160"/>
      <c r="BH494" s="160"/>
      <c r="BI494" s="160"/>
      <c r="BJ494" s="160"/>
      <c r="BK494" s="160"/>
      <c r="BL494" s="160"/>
      <c r="BM494" s="160"/>
      <c r="BN494" s="160"/>
      <c r="BO494" s="160"/>
      <c r="BP494" s="160"/>
      <c r="BQ494" s="160"/>
      <c r="BR494" s="160"/>
      <c r="BS494" s="160"/>
      <c r="BT494" s="160"/>
      <c r="BU494" s="160"/>
      <c r="BV494" s="160"/>
      <c r="BW494" s="160"/>
      <c r="BX494" s="160"/>
      <c r="BY494" s="160"/>
      <c r="BZ494" s="160"/>
      <c r="CA494" s="160"/>
      <c r="CB494" s="160"/>
      <c r="CC494" s="160"/>
      <c r="CD494" s="160"/>
      <c r="CE494" s="160"/>
      <c r="CF494" s="160"/>
    </row>
    <row r="495">
      <c r="D495" s="159"/>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c r="BD495" s="160"/>
      <c r="BE495" s="160"/>
      <c r="BF495" s="160"/>
      <c r="BG495" s="160"/>
      <c r="BH495" s="160"/>
      <c r="BI495" s="160"/>
      <c r="BJ495" s="160"/>
      <c r="BK495" s="160"/>
      <c r="BL495" s="160"/>
      <c r="BM495" s="160"/>
      <c r="BN495" s="160"/>
      <c r="BO495" s="160"/>
      <c r="BP495" s="160"/>
      <c r="BQ495" s="160"/>
      <c r="BR495" s="160"/>
      <c r="BS495" s="160"/>
      <c r="BT495" s="160"/>
      <c r="BU495" s="160"/>
      <c r="BV495" s="160"/>
      <c r="BW495" s="160"/>
      <c r="BX495" s="160"/>
      <c r="BY495" s="160"/>
      <c r="BZ495" s="160"/>
      <c r="CA495" s="160"/>
      <c r="CB495" s="160"/>
      <c r="CC495" s="160"/>
      <c r="CD495" s="160"/>
      <c r="CE495" s="160"/>
      <c r="CF495" s="160"/>
    </row>
    <row r="496">
      <c r="D496" s="159"/>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c r="BD496" s="160"/>
      <c r="BE496" s="160"/>
      <c r="BF496" s="160"/>
      <c r="BG496" s="160"/>
      <c r="BH496" s="160"/>
      <c r="BI496" s="160"/>
      <c r="BJ496" s="160"/>
      <c r="BK496" s="160"/>
      <c r="BL496" s="160"/>
      <c r="BM496" s="160"/>
      <c r="BN496" s="160"/>
      <c r="BO496" s="160"/>
      <c r="BP496" s="160"/>
      <c r="BQ496" s="160"/>
      <c r="BR496" s="160"/>
      <c r="BS496" s="160"/>
      <c r="BT496" s="160"/>
      <c r="BU496" s="160"/>
      <c r="BV496" s="160"/>
      <c r="BW496" s="160"/>
      <c r="BX496" s="160"/>
      <c r="BY496" s="160"/>
      <c r="BZ496" s="160"/>
      <c r="CA496" s="160"/>
      <c r="CB496" s="160"/>
      <c r="CC496" s="160"/>
      <c r="CD496" s="160"/>
      <c r="CE496" s="160"/>
      <c r="CF496" s="160"/>
    </row>
    <row r="497">
      <c r="D497" s="159"/>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c r="BD497" s="160"/>
      <c r="BE497" s="160"/>
      <c r="BF497" s="160"/>
      <c r="BG497" s="160"/>
      <c r="BH497" s="160"/>
      <c r="BI497" s="160"/>
      <c r="BJ497" s="160"/>
      <c r="BK497" s="160"/>
      <c r="BL497" s="160"/>
      <c r="BM497" s="160"/>
      <c r="BN497" s="160"/>
      <c r="BO497" s="160"/>
      <c r="BP497" s="160"/>
      <c r="BQ497" s="160"/>
      <c r="BR497" s="160"/>
      <c r="BS497" s="160"/>
      <c r="BT497" s="160"/>
      <c r="BU497" s="160"/>
      <c r="BV497" s="160"/>
      <c r="BW497" s="160"/>
      <c r="BX497" s="160"/>
      <c r="BY497" s="160"/>
      <c r="BZ497" s="160"/>
      <c r="CA497" s="160"/>
      <c r="CB497" s="160"/>
      <c r="CC497" s="160"/>
      <c r="CD497" s="160"/>
      <c r="CE497" s="160"/>
      <c r="CF497" s="160"/>
    </row>
    <row r="498">
      <c r="D498" s="159"/>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c r="BD498" s="160"/>
      <c r="BE498" s="160"/>
      <c r="BF498" s="160"/>
      <c r="BG498" s="160"/>
      <c r="BH498" s="160"/>
      <c r="BI498" s="160"/>
      <c r="BJ498" s="160"/>
      <c r="BK498" s="160"/>
      <c r="BL498" s="160"/>
      <c r="BM498" s="160"/>
      <c r="BN498" s="160"/>
      <c r="BO498" s="160"/>
      <c r="BP498" s="160"/>
      <c r="BQ498" s="160"/>
      <c r="BR498" s="160"/>
      <c r="BS498" s="160"/>
      <c r="BT498" s="160"/>
      <c r="BU498" s="160"/>
      <c r="BV498" s="160"/>
      <c r="BW498" s="160"/>
      <c r="BX498" s="160"/>
      <c r="BY498" s="160"/>
      <c r="BZ498" s="160"/>
      <c r="CA498" s="160"/>
      <c r="CB498" s="160"/>
      <c r="CC498" s="160"/>
      <c r="CD498" s="160"/>
      <c r="CE498" s="160"/>
      <c r="CF498" s="160"/>
    </row>
    <row r="499">
      <c r="D499" s="159"/>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c r="BD499" s="160"/>
      <c r="BE499" s="160"/>
      <c r="BF499" s="160"/>
      <c r="BG499" s="160"/>
      <c r="BH499" s="160"/>
      <c r="BI499" s="160"/>
      <c r="BJ499" s="160"/>
      <c r="BK499" s="160"/>
      <c r="BL499" s="160"/>
      <c r="BM499" s="160"/>
      <c r="BN499" s="160"/>
      <c r="BO499" s="160"/>
      <c r="BP499" s="160"/>
      <c r="BQ499" s="160"/>
      <c r="BR499" s="160"/>
      <c r="BS499" s="160"/>
      <c r="BT499" s="160"/>
      <c r="BU499" s="160"/>
      <c r="BV499" s="160"/>
      <c r="BW499" s="160"/>
      <c r="BX499" s="160"/>
      <c r="BY499" s="160"/>
      <c r="BZ499" s="160"/>
      <c r="CA499" s="160"/>
      <c r="CB499" s="160"/>
      <c r="CC499" s="160"/>
      <c r="CD499" s="160"/>
      <c r="CE499" s="160"/>
      <c r="CF499" s="160"/>
    </row>
    <row r="500">
      <c r="D500" s="159"/>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c r="BD500" s="160"/>
      <c r="BE500" s="160"/>
      <c r="BF500" s="160"/>
      <c r="BG500" s="160"/>
      <c r="BH500" s="160"/>
      <c r="BI500" s="160"/>
      <c r="BJ500" s="160"/>
      <c r="BK500" s="160"/>
      <c r="BL500" s="160"/>
      <c r="BM500" s="160"/>
      <c r="BN500" s="160"/>
      <c r="BO500" s="160"/>
      <c r="BP500" s="160"/>
      <c r="BQ500" s="160"/>
      <c r="BR500" s="160"/>
      <c r="BS500" s="160"/>
      <c r="BT500" s="160"/>
      <c r="BU500" s="160"/>
      <c r="BV500" s="160"/>
      <c r="BW500" s="160"/>
      <c r="BX500" s="160"/>
      <c r="BY500" s="160"/>
      <c r="BZ500" s="160"/>
      <c r="CA500" s="160"/>
      <c r="CB500" s="160"/>
      <c r="CC500" s="160"/>
      <c r="CD500" s="160"/>
      <c r="CE500" s="160"/>
      <c r="CF500" s="160"/>
    </row>
    <row r="501">
      <c r="D501" s="159"/>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c r="BD501" s="160"/>
      <c r="BE501" s="160"/>
      <c r="BF501" s="160"/>
      <c r="BG501" s="160"/>
      <c r="BH501" s="160"/>
      <c r="BI501" s="160"/>
      <c r="BJ501" s="160"/>
      <c r="BK501" s="160"/>
      <c r="BL501" s="160"/>
      <c r="BM501" s="160"/>
      <c r="BN501" s="160"/>
      <c r="BO501" s="160"/>
      <c r="BP501" s="160"/>
      <c r="BQ501" s="160"/>
      <c r="BR501" s="160"/>
      <c r="BS501" s="160"/>
      <c r="BT501" s="160"/>
      <c r="BU501" s="160"/>
      <c r="BV501" s="160"/>
      <c r="BW501" s="160"/>
      <c r="BX501" s="160"/>
      <c r="BY501" s="160"/>
      <c r="BZ501" s="160"/>
      <c r="CA501" s="160"/>
      <c r="CB501" s="160"/>
      <c r="CC501" s="160"/>
      <c r="CD501" s="160"/>
      <c r="CE501" s="160"/>
      <c r="CF501" s="160"/>
    </row>
    <row r="502">
      <c r="D502" s="159"/>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c r="BD502" s="160"/>
      <c r="BE502" s="160"/>
      <c r="BF502" s="160"/>
      <c r="BG502" s="160"/>
      <c r="BH502" s="160"/>
      <c r="BI502" s="160"/>
      <c r="BJ502" s="160"/>
      <c r="BK502" s="160"/>
      <c r="BL502" s="160"/>
      <c r="BM502" s="160"/>
      <c r="BN502" s="160"/>
      <c r="BO502" s="160"/>
      <c r="BP502" s="160"/>
      <c r="BQ502" s="160"/>
      <c r="BR502" s="160"/>
      <c r="BS502" s="160"/>
      <c r="BT502" s="160"/>
      <c r="BU502" s="160"/>
      <c r="BV502" s="160"/>
      <c r="BW502" s="160"/>
      <c r="BX502" s="160"/>
      <c r="BY502" s="160"/>
      <c r="BZ502" s="160"/>
      <c r="CA502" s="160"/>
      <c r="CB502" s="160"/>
      <c r="CC502" s="160"/>
      <c r="CD502" s="160"/>
      <c r="CE502" s="160"/>
      <c r="CF502" s="160"/>
    </row>
    <row r="503">
      <c r="D503" s="159"/>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c r="BD503" s="160"/>
      <c r="BE503" s="160"/>
      <c r="BF503" s="160"/>
      <c r="BG503" s="160"/>
      <c r="BH503" s="160"/>
      <c r="BI503" s="160"/>
      <c r="BJ503" s="160"/>
      <c r="BK503" s="160"/>
      <c r="BL503" s="160"/>
      <c r="BM503" s="160"/>
      <c r="BN503" s="160"/>
      <c r="BO503" s="160"/>
      <c r="BP503" s="160"/>
      <c r="BQ503" s="160"/>
      <c r="BR503" s="160"/>
      <c r="BS503" s="160"/>
      <c r="BT503" s="160"/>
      <c r="BU503" s="160"/>
      <c r="BV503" s="160"/>
      <c r="BW503" s="160"/>
      <c r="BX503" s="160"/>
      <c r="BY503" s="160"/>
      <c r="BZ503" s="160"/>
      <c r="CA503" s="160"/>
      <c r="CB503" s="160"/>
      <c r="CC503" s="160"/>
      <c r="CD503" s="160"/>
      <c r="CE503" s="160"/>
      <c r="CF503" s="160"/>
    </row>
    <row r="504">
      <c r="D504" s="159"/>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c r="BD504" s="160"/>
      <c r="BE504" s="160"/>
      <c r="BF504" s="160"/>
      <c r="BG504" s="160"/>
      <c r="BH504" s="160"/>
      <c r="BI504" s="160"/>
      <c r="BJ504" s="160"/>
      <c r="BK504" s="160"/>
      <c r="BL504" s="160"/>
      <c r="BM504" s="160"/>
      <c r="BN504" s="160"/>
      <c r="BO504" s="160"/>
      <c r="BP504" s="160"/>
      <c r="BQ504" s="160"/>
      <c r="BR504" s="160"/>
      <c r="BS504" s="160"/>
      <c r="BT504" s="160"/>
      <c r="BU504" s="160"/>
      <c r="BV504" s="160"/>
      <c r="BW504" s="160"/>
      <c r="BX504" s="160"/>
      <c r="BY504" s="160"/>
      <c r="BZ504" s="160"/>
      <c r="CA504" s="160"/>
      <c r="CB504" s="160"/>
      <c r="CC504" s="160"/>
      <c r="CD504" s="160"/>
      <c r="CE504" s="160"/>
      <c r="CF504" s="160"/>
    </row>
    <row r="505">
      <c r="D505" s="159"/>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c r="BD505" s="160"/>
      <c r="BE505" s="160"/>
      <c r="BF505" s="160"/>
      <c r="BG505" s="160"/>
      <c r="BH505" s="160"/>
      <c r="BI505" s="160"/>
      <c r="BJ505" s="160"/>
      <c r="BK505" s="160"/>
      <c r="BL505" s="160"/>
      <c r="BM505" s="160"/>
      <c r="BN505" s="160"/>
      <c r="BO505" s="160"/>
      <c r="BP505" s="160"/>
      <c r="BQ505" s="160"/>
      <c r="BR505" s="160"/>
      <c r="BS505" s="160"/>
      <c r="BT505" s="160"/>
      <c r="BU505" s="160"/>
      <c r="BV505" s="160"/>
      <c r="BW505" s="160"/>
      <c r="BX505" s="160"/>
      <c r="BY505" s="160"/>
      <c r="BZ505" s="160"/>
      <c r="CA505" s="160"/>
      <c r="CB505" s="160"/>
      <c r="CC505" s="160"/>
      <c r="CD505" s="160"/>
      <c r="CE505" s="160"/>
      <c r="CF505" s="160"/>
    </row>
    <row r="506">
      <c r="D506" s="159"/>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c r="BD506" s="160"/>
      <c r="BE506" s="160"/>
      <c r="BF506" s="160"/>
      <c r="BG506" s="160"/>
      <c r="BH506" s="160"/>
      <c r="BI506" s="160"/>
      <c r="BJ506" s="160"/>
      <c r="BK506" s="160"/>
      <c r="BL506" s="160"/>
      <c r="BM506" s="160"/>
      <c r="BN506" s="160"/>
      <c r="BO506" s="160"/>
      <c r="BP506" s="160"/>
      <c r="BQ506" s="160"/>
      <c r="BR506" s="160"/>
      <c r="BS506" s="160"/>
      <c r="BT506" s="160"/>
      <c r="BU506" s="160"/>
      <c r="BV506" s="160"/>
      <c r="BW506" s="160"/>
      <c r="BX506" s="160"/>
      <c r="BY506" s="160"/>
      <c r="BZ506" s="160"/>
      <c r="CA506" s="160"/>
      <c r="CB506" s="160"/>
      <c r="CC506" s="160"/>
      <c r="CD506" s="160"/>
      <c r="CE506" s="160"/>
      <c r="CF506" s="160"/>
    </row>
    <row r="507">
      <c r="D507" s="159"/>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c r="BD507" s="160"/>
      <c r="BE507" s="160"/>
      <c r="BF507" s="160"/>
      <c r="BG507" s="160"/>
      <c r="BH507" s="160"/>
      <c r="BI507" s="160"/>
      <c r="BJ507" s="160"/>
      <c r="BK507" s="160"/>
      <c r="BL507" s="160"/>
      <c r="BM507" s="160"/>
      <c r="BN507" s="160"/>
      <c r="BO507" s="160"/>
      <c r="BP507" s="160"/>
      <c r="BQ507" s="160"/>
      <c r="BR507" s="160"/>
      <c r="BS507" s="160"/>
      <c r="BT507" s="160"/>
      <c r="BU507" s="160"/>
      <c r="BV507" s="160"/>
      <c r="BW507" s="160"/>
      <c r="BX507" s="160"/>
      <c r="BY507" s="160"/>
      <c r="BZ507" s="160"/>
      <c r="CA507" s="160"/>
      <c r="CB507" s="160"/>
      <c r="CC507" s="160"/>
      <c r="CD507" s="160"/>
      <c r="CE507" s="160"/>
      <c r="CF507" s="160"/>
    </row>
    <row r="508">
      <c r="D508" s="159"/>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c r="BD508" s="160"/>
      <c r="BE508" s="160"/>
      <c r="BF508" s="160"/>
      <c r="BG508" s="160"/>
      <c r="BH508" s="160"/>
      <c r="BI508" s="160"/>
      <c r="BJ508" s="160"/>
      <c r="BK508" s="160"/>
      <c r="BL508" s="160"/>
      <c r="BM508" s="160"/>
      <c r="BN508" s="160"/>
      <c r="BO508" s="160"/>
      <c r="BP508" s="160"/>
      <c r="BQ508" s="160"/>
      <c r="BR508" s="160"/>
      <c r="BS508" s="160"/>
      <c r="BT508" s="160"/>
      <c r="BU508" s="160"/>
      <c r="BV508" s="160"/>
      <c r="BW508" s="160"/>
      <c r="BX508" s="160"/>
      <c r="BY508" s="160"/>
      <c r="BZ508" s="160"/>
      <c r="CA508" s="160"/>
      <c r="CB508" s="160"/>
      <c r="CC508" s="160"/>
      <c r="CD508" s="160"/>
      <c r="CE508" s="160"/>
      <c r="CF508" s="160"/>
    </row>
    <row r="509">
      <c r="D509" s="159"/>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c r="BD509" s="160"/>
      <c r="BE509" s="160"/>
      <c r="BF509" s="160"/>
      <c r="BG509" s="160"/>
      <c r="BH509" s="160"/>
      <c r="BI509" s="160"/>
      <c r="BJ509" s="160"/>
      <c r="BK509" s="160"/>
      <c r="BL509" s="160"/>
      <c r="BM509" s="160"/>
      <c r="BN509" s="160"/>
      <c r="BO509" s="160"/>
      <c r="BP509" s="160"/>
      <c r="BQ509" s="160"/>
      <c r="BR509" s="160"/>
      <c r="BS509" s="160"/>
      <c r="BT509" s="160"/>
      <c r="BU509" s="160"/>
      <c r="BV509" s="160"/>
      <c r="BW509" s="160"/>
      <c r="BX509" s="160"/>
      <c r="BY509" s="160"/>
      <c r="BZ509" s="160"/>
      <c r="CA509" s="160"/>
      <c r="CB509" s="160"/>
      <c r="CC509" s="160"/>
      <c r="CD509" s="160"/>
      <c r="CE509" s="160"/>
      <c r="CF509" s="160"/>
    </row>
    <row r="510">
      <c r="D510" s="159"/>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c r="BD510" s="160"/>
      <c r="BE510" s="160"/>
      <c r="BF510" s="160"/>
      <c r="BG510" s="160"/>
      <c r="BH510" s="160"/>
      <c r="BI510" s="160"/>
      <c r="BJ510" s="160"/>
      <c r="BK510" s="160"/>
      <c r="BL510" s="160"/>
      <c r="BM510" s="160"/>
      <c r="BN510" s="160"/>
      <c r="BO510" s="160"/>
      <c r="BP510" s="160"/>
      <c r="BQ510" s="160"/>
      <c r="BR510" s="160"/>
      <c r="BS510" s="160"/>
      <c r="BT510" s="160"/>
      <c r="BU510" s="160"/>
      <c r="BV510" s="160"/>
      <c r="BW510" s="160"/>
      <c r="BX510" s="160"/>
      <c r="BY510" s="160"/>
      <c r="BZ510" s="160"/>
      <c r="CA510" s="160"/>
      <c r="CB510" s="160"/>
      <c r="CC510" s="160"/>
      <c r="CD510" s="160"/>
      <c r="CE510" s="160"/>
      <c r="CF510" s="160"/>
    </row>
    <row r="511">
      <c r="D511" s="159"/>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c r="BD511" s="160"/>
      <c r="BE511" s="160"/>
      <c r="BF511" s="160"/>
      <c r="BG511" s="160"/>
      <c r="BH511" s="160"/>
      <c r="BI511" s="160"/>
      <c r="BJ511" s="160"/>
      <c r="BK511" s="160"/>
      <c r="BL511" s="160"/>
      <c r="BM511" s="160"/>
      <c r="BN511" s="160"/>
      <c r="BO511" s="160"/>
      <c r="BP511" s="160"/>
      <c r="BQ511" s="160"/>
      <c r="BR511" s="160"/>
      <c r="BS511" s="160"/>
      <c r="BT511" s="160"/>
      <c r="BU511" s="160"/>
      <c r="BV511" s="160"/>
      <c r="BW511" s="160"/>
      <c r="BX511" s="160"/>
      <c r="BY511" s="160"/>
      <c r="BZ511" s="160"/>
      <c r="CA511" s="160"/>
      <c r="CB511" s="160"/>
      <c r="CC511" s="160"/>
      <c r="CD511" s="160"/>
      <c r="CE511" s="160"/>
      <c r="CF511" s="160"/>
    </row>
    <row r="512">
      <c r="D512" s="159"/>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c r="BD512" s="160"/>
      <c r="BE512" s="160"/>
      <c r="BF512" s="160"/>
      <c r="BG512" s="160"/>
      <c r="BH512" s="160"/>
      <c r="BI512" s="160"/>
      <c r="BJ512" s="160"/>
      <c r="BK512" s="160"/>
      <c r="BL512" s="160"/>
      <c r="BM512" s="160"/>
      <c r="BN512" s="160"/>
      <c r="BO512" s="160"/>
      <c r="BP512" s="160"/>
      <c r="BQ512" s="160"/>
      <c r="BR512" s="160"/>
      <c r="BS512" s="160"/>
      <c r="BT512" s="160"/>
      <c r="BU512" s="160"/>
      <c r="BV512" s="160"/>
      <c r="BW512" s="160"/>
      <c r="BX512" s="160"/>
      <c r="BY512" s="160"/>
      <c r="BZ512" s="160"/>
      <c r="CA512" s="160"/>
      <c r="CB512" s="160"/>
      <c r="CC512" s="160"/>
      <c r="CD512" s="160"/>
      <c r="CE512" s="160"/>
      <c r="CF512" s="160"/>
    </row>
    <row r="513">
      <c r="D513" s="159"/>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c r="BD513" s="160"/>
      <c r="BE513" s="160"/>
      <c r="BF513" s="160"/>
      <c r="BG513" s="160"/>
      <c r="BH513" s="160"/>
      <c r="BI513" s="160"/>
      <c r="BJ513" s="160"/>
      <c r="BK513" s="160"/>
      <c r="BL513" s="160"/>
      <c r="BM513" s="160"/>
      <c r="BN513" s="160"/>
      <c r="BO513" s="160"/>
      <c r="BP513" s="160"/>
      <c r="BQ513" s="160"/>
      <c r="BR513" s="160"/>
      <c r="BS513" s="160"/>
      <c r="BT513" s="160"/>
      <c r="BU513" s="160"/>
      <c r="BV513" s="160"/>
      <c r="BW513" s="160"/>
      <c r="BX513" s="160"/>
      <c r="BY513" s="160"/>
      <c r="BZ513" s="160"/>
      <c r="CA513" s="160"/>
      <c r="CB513" s="160"/>
      <c r="CC513" s="160"/>
      <c r="CD513" s="160"/>
      <c r="CE513" s="160"/>
      <c r="CF513" s="160"/>
    </row>
    <row r="514">
      <c r="D514" s="159"/>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c r="BD514" s="160"/>
      <c r="BE514" s="160"/>
      <c r="BF514" s="160"/>
      <c r="BG514" s="160"/>
      <c r="BH514" s="160"/>
      <c r="BI514" s="160"/>
      <c r="BJ514" s="160"/>
      <c r="BK514" s="160"/>
      <c r="BL514" s="160"/>
      <c r="BM514" s="160"/>
      <c r="BN514" s="160"/>
      <c r="BO514" s="160"/>
      <c r="BP514" s="160"/>
      <c r="BQ514" s="160"/>
      <c r="BR514" s="160"/>
      <c r="BS514" s="160"/>
      <c r="BT514" s="160"/>
      <c r="BU514" s="160"/>
      <c r="BV514" s="160"/>
      <c r="BW514" s="160"/>
      <c r="BX514" s="160"/>
      <c r="BY514" s="160"/>
      <c r="BZ514" s="160"/>
      <c r="CA514" s="160"/>
      <c r="CB514" s="160"/>
      <c r="CC514" s="160"/>
      <c r="CD514" s="160"/>
      <c r="CE514" s="160"/>
      <c r="CF514" s="160"/>
    </row>
    <row r="515">
      <c r="D515" s="159"/>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c r="BD515" s="160"/>
      <c r="BE515" s="160"/>
      <c r="BF515" s="160"/>
      <c r="BG515" s="160"/>
      <c r="BH515" s="160"/>
      <c r="BI515" s="160"/>
      <c r="BJ515" s="160"/>
      <c r="BK515" s="160"/>
      <c r="BL515" s="160"/>
      <c r="BM515" s="160"/>
      <c r="BN515" s="160"/>
      <c r="BO515" s="160"/>
      <c r="BP515" s="160"/>
      <c r="BQ515" s="160"/>
      <c r="BR515" s="160"/>
      <c r="BS515" s="160"/>
      <c r="BT515" s="160"/>
      <c r="BU515" s="160"/>
      <c r="BV515" s="160"/>
      <c r="BW515" s="160"/>
      <c r="BX515" s="160"/>
      <c r="BY515" s="160"/>
      <c r="BZ515" s="160"/>
      <c r="CA515" s="160"/>
      <c r="CB515" s="160"/>
      <c r="CC515" s="160"/>
      <c r="CD515" s="160"/>
      <c r="CE515" s="160"/>
      <c r="CF515" s="160"/>
    </row>
    <row r="516">
      <c r="D516" s="159"/>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60"/>
      <c r="AX516" s="160"/>
      <c r="AY516" s="160"/>
      <c r="AZ516" s="160"/>
      <c r="BA516" s="160"/>
      <c r="BB516" s="160"/>
      <c r="BC516" s="160"/>
      <c r="BD516" s="160"/>
      <c r="BE516" s="160"/>
      <c r="BF516" s="160"/>
      <c r="BG516" s="160"/>
      <c r="BH516" s="160"/>
      <c r="BI516" s="160"/>
      <c r="BJ516" s="160"/>
      <c r="BK516" s="160"/>
      <c r="BL516" s="160"/>
      <c r="BM516" s="160"/>
      <c r="BN516" s="160"/>
      <c r="BO516" s="160"/>
      <c r="BP516" s="160"/>
      <c r="BQ516" s="160"/>
      <c r="BR516" s="160"/>
      <c r="BS516" s="160"/>
      <c r="BT516" s="160"/>
      <c r="BU516" s="160"/>
      <c r="BV516" s="160"/>
      <c r="BW516" s="160"/>
      <c r="BX516" s="160"/>
      <c r="BY516" s="160"/>
      <c r="BZ516" s="160"/>
      <c r="CA516" s="160"/>
      <c r="CB516" s="160"/>
      <c r="CC516" s="160"/>
      <c r="CD516" s="160"/>
      <c r="CE516" s="160"/>
      <c r="CF516" s="160"/>
    </row>
    <row r="517">
      <c r="D517" s="159"/>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c r="BD517" s="160"/>
      <c r="BE517" s="160"/>
      <c r="BF517" s="160"/>
      <c r="BG517" s="160"/>
      <c r="BH517" s="160"/>
      <c r="BI517" s="160"/>
      <c r="BJ517" s="160"/>
      <c r="BK517" s="160"/>
      <c r="BL517" s="160"/>
      <c r="BM517" s="160"/>
      <c r="BN517" s="160"/>
      <c r="BO517" s="160"/>
      <c r="BP517" s="160"/>
      <c r="BQ517" s="160"/>
      <c r="BR517" s="160"/>
      <c r="BS517" s="160"/>
      <c r="BT517" s="160"/>
      <c r="BU517" s="160"/>
      <c r="BV517" s="160"/>
      <c r="BW517" s="160"/>
      <c r="BX517" s="160"/>
      <c r="BY517" s="160"/>
      <c r="BZ517" s="160"/>
      <c r="CA517" s="160"/>
      <c r="CB517" s="160"/>
      <c r="CC517" s="160"/>
      <c r="CD517" s="160"/>
      <c r="CE517" s="160"/>
      <c r="CF517" s="160"/>
    </row>
    <row r="518">
      <c r="D518" s="159"/>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c r="BD518" s="160"/>
      <c r="BE518" s="160"/>
      <c r="BF518" s="160"/>
      <c r="BG518" s="160"/>
      <c r="BH518" s="160"/>
      <c r="BI518" s="160"/>
      <c r="BJ518" s="160"/>
      <c r="BK518" s="160"/>
      <c r="BL518" s="160"/>
      <c r="BM518" s="160"/>
      <c r="BN518" s="160"/>
      <c r="BO518" s="160"/>
      <c r="BP518" s="160"/>
      <c r="BQ518" s="160"/>
      <c r="BR518" s="160"/>
      <c r="BS518" s="160"/>
      <c r="BT518" s="160"/>
      <c r="BU518" s="160"/>
      <c r="BV518" s="160"/>
      <c r="BW518" s="160"/>
      <c r="BX518" s="160"/>
      <c r="BY518" s="160"/>
      <c r="BZ518" s="160"/>
      <c r="CA518" s="160"/>
      <c r="CB518" s="160"/>
      <c r="CC518" s="160"/>
      <c r="CD518" s="160"/>
      <c r="CE518" s="160"/>
      <c r="CF518" s="160"/>
    </row>
    <row r="519">
      <c r="D519" s="159"/>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c r="BD519" s="160"/>
      <c r="BE519" s="160"/>
      <c r="BF519" s="160"/>
      <c r="BG519" s="160"/>
      <c r="BH519" s="160"/>
      <c r="BI519" s="160"/>
      <c r="BJ519" s="160"/>
      <c r="BK519" s="160"/>
      <c r="BL519" s="160"/>
      <c r="BM519" s="160"/>
      <c r="BN519" s="160"/>
      <c r="BO519" s="160"/>
      <c r="BP519" s="160"/>
      <c r="BQ519" s="160"/>
      <c r="BR519" s="160"/>
      <c r="BS519" s="160"/>
      <c r="BT519" s="160"/>
      <c r="BU519" s="160"/>
      <c r="BV519" s="160"/>
      <c r="BW519" s="160"/>
      <c r="BX519" s="160"/>
      <c r="BY519" s="160"/>
      <c r="BZ519" s="160"/>
      <c r="CA519" s="160"/>
      <c r="CB519" s="160"/>
      <c r="CC519" s="160"/>
      <c r="CD519" s="160"/>
      <c r="CE519" s="160"/>
      <c r="CF519" s="160"/>
    </row>
    <row r="520">
      <c r="D520" s="159"/>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c r="BD520" s="160"/>
      <c r="BE520" s="160"/>
      <c r="BF520" s="160"/>
      <c r="BG520" s="160"/>
      <c r="BH520" s="160"/>
      <c r="BI520" s="160"/>
      <c r="BJ520" s="160"/>
      <c r="BK520" s="160"/>
      <c r="BL520" s="160"/>
      <c r="BM520" s="160"/>
      <c r="BN520" s="160"/>
      <c r="BO520" s="160"/>
      <c r="BP520" s="160"/>
      <c r="BQ520" s="160"/>
      <c r="BR520" s="160"/>
      <c r="BS520" s="160"/>
      <c r="BT520" s="160"/>
      <c r="BU520" s="160"/>
      <c r="BV520" s="160"/>
      <c r="BW520" s="160"/>
      <c r="BX520" s="160"/>
      <c r="BY520" s="160"/>
      <c r="BZ520" s="160"/>
      <c r="CA520" s="160"/>
      <c r="CB520" s="160"/>
      <c r="CC520" s="160"/>
      <c r="CD520" s="160"/>
      <c r="CE520" s="160"/>
      <c r="CF520" s="160"/>
    </row>
    <row r="521">
      <c r="D521" s="159"/>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c r="BD521" s="160"/>
      <c r="BE521" s="160"/>
      <c r="BF521" s="160"/>
      <c r="BG521" s="160"/>
      <c r="BH521" s="160"/>
      <c r="BI521" s="160"/>
      <c r="BJ521" s="160"/>
      <c r="BK521" s="160"/>
      <c r="BL521" s="160"/>
      <c r="BM521" s="160"/>
      <c r="BN521" s="160"/>
      <c r="BO521" s="160"/>
      <c r="BP521" s="160"/>
      <c r="BQ521" s="160"/>
      <c r="BR521" s="160"/>
      <c r="BS521" s="160"/>
      <c r="BT521" s="160"/>
      <c r="BU521" s="160"/>
      <c r="BV521" s="160"/>
      <c r="BW521" s="160"/>
      <c r="BX521" s="160"/>
      <c r="BY521" s="160"/>
      <c r="BZ521" s="160"/>
      <c r="CA521" s="160"/>
      <c r="CB521" s="160"/>
      <c r="CC521" s="160"/>
      <c r="CD521" s="160"/>
      <c r="CE521" s="160"/>
      <c r="CF521" s="160"/>
    </row>
    <row r="522">
      <c r="D522" s="159"/>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c r="BD522" s="160"/>
      <c r="BE522" s="160"/>
      <c r="BF522" s="160"/>
      <c r="BG522" s="160"/>
      <c r="BH522" s="160"/>
      <c r="BI522" s="160"/>
      <c r="BJ522" s="160"/>
      <c r="BK522" s="160"/>
      <c r="BL522" s="160"/>
      <c r="BM522" s="160"/>
      <c r="BN522" s="160"/>
      <c r="BO522" s="160"/>
      <c r="BP522" s="160"/>
      <c r="BQ522" s="160"/>
      <c r="BR522" s="160"/>
      <c r="BS522" s="160"/>
      <c r="BT522" s="160"/>
      <c r="BU522" s="160"/>
      <c r="BV522" s="160"/>
      <c r="BW522" s="160"/>
      <c r="BX522" s="160"/>
      <c r="BY522" s="160"/>
      <c r="BZ522" s="160"/>
      <c r="CA522" s="160"/>
      <c r="CB522" s="160"/>
      <c r="CC522" s="160"/>
      <c r="CD522" s="160"/>
      <c r="CE522" s="160"/>
      <c r="CF522" s="160"/>
    </row>
    <row r="523">
      <c r="D523" s="159"/>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c r="BD523" s="160"/>
      <c r="BE523" s="160"/>
      <c r="BF523" s="160"/>
      <c r="BG523" s="160"/>
      <c r="BH523" s="160"/>
      <c r="BI523" s="160"/>
      <c r="BJ523" s="160"/>
      <c r="BK523" s="160"/>
      <c r="BL523" s="160"/>
      <c r="BM523" s="160"/>
      <c r="BN523" s="160"/>
      <c r="BO523" s="160"/>
      <c r="BP523" s="160"/>
      <c r="BQ523" s="160"/>
      <c r="BR523" s="160"/>
      <c r="BS523" s="160"/>
      <c r="BT523" s="160"/>
      <c r="BU523" s="160"/>
      <c r="BV523" s="160"/>
      <c r="BW523" s="160"/>
      <c r="BX523" s="160"/>
      <c r="BY523" s="160"/>
      <c r="BZ523" s="160"/>
      <c r="CA523" s="160"/>
      <c r="CB523" s="160"/>
      <c r="CC523" s="160"/>
      <c r="CD523" s="160"/>
      <c r="CE523" s="160"/>
      <c r="CF523" s="160"/>
    </row>
    <row r="524">
      <c r="D524" s="159"/>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c r="BD524" s="160"/>
      <c r="BE524" s="160"/>
      <c r="BF524" s="160"/>
      <c r="BG524" s="160"/>
      <c r="BH524" s="160"/>
      <c r="BI524" s="160"/>
      <c r="BJ524" s="160"/>
      <c r="BK524" s="160"/>
      <c r="BL524" s="160"/>
      <c r="BM524" s="160"/>
      <c r="BN524" s="160"/>
      <c r="BO524" s="160"/>
      <c r="BP524" s="160"/>
      <c r="BQ524" s="160"/>
      <c r="BR524" s="160"/>
      <c r="BS524" s="160"/>
      <c r="BT524" s="160"/>
      <c r="BU524" s="160"/>
      <c r="BV524" s="160"/>
      <c r="BW524" s="160"/>
      <c r="BX524" s="160"/>
      <c r="BY524" s="160"/>
      <c r="BZ524" s="160"/>
      <c r="CA524" s="160"/>
      <c r="CB524" s="160"/>
      <c r="CC524" s="160"/>
      <c r="CD524" s="160"/>
      <c r="CE524" s="160"/>
      <c r="CF524" s="160"/>
    </row>
    <row r="525">
      <c r="D525" s="159"/>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c r="BD525" s="160"/>
      <c r="BE525" s="160"/>
      <c r="BF525" s="160"/>
      <c r="BG525" s="160"/>
      <c r="BH525" s="160"/>
      <c r="BI525" s="160"/>
      <c r="BJ525" s="160"/>
      <c r="BK525" s="160"/>
      <c r="BL525" s="160"/>
      <c r="BM525" s="160"/>
      <c r="BN525" s="160"/>
      <c r="BO525" s="160"/>
      <c r="BP525" s="160"/>
      <c r="BQ525" s="160"/>
      <c r="BR525" s="160"/>
      <c r="BS525" s="160"/>
      <c r="BT525" s="160"/>
      <c r="BU525" s="160"/>
      <c r="BV525" s="160"/>
      <c r="BW525" s="160"/>
      <c r="BX525" s="160"/>
      <c r="BY525" s="160"/>
      <c r="BZ525" s="160"/>
      <c r="CA525" s="160"/>
      <c r="CB525" s="160"/>
      <c r="CC525" s="160"/>
      <c r="CD525" s="160"/>
      <c r="CE525" s="160"/>
      <c r="CF525" s="160"/>
    </row>
    <row r="526">
      <c r="D526" s="159"/>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c r="BD526" s="160"/>
      <c r="BE526" s="160"/>
      <c r="BF526" s="160"/>
      <c r="BG526" s="160"/>
      <c r="BH526" s="160"/>
      <c r="BI526" s="160"/>
      <c r="BJ526" s="160"/>
      <c r="BK526" s="160"/>
      <c r="BL526" s="160"/>
      <c r="BM526" s="160"/>
      <c r="BN526" s="160"/>
      <c r="BO526" s="160"/>
      <c r="BP526" s="160"/>
      <c r="BQ526" s="160"/>
      <c r="BR526" s="160"/>
      <c r="BS526" s="160"/>
      <c r="BT526" s="160"/>
      <c r="BU526" s="160"/>
      <c r="BV526" s="160"/>
      <c r="BW526" s="160"/>
      <c r="BX526" s="160"/>
      <c r="BY526" s="160"/>
      <c r="BZ526" s="160"/>
      <c r="CA526" s="160"/>
      <c r="CB526" s="160"/>
      <c r="CC526" s="160"/>
      <c r="CD526" s="160"/>
      <c r="CE526" s="160"/>
      <c r="CF526" s="160"/>
    </row>
    <row r="527">
      <c r="D527" s="159"/>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c r="BD527" s="160"/>
      <c r="BE527" s="160"/>
      <c r="BF527" s="160"/>
      <c r="BG527" s="160"/>
      <c r="BH527" s="160"/>
      <c r="BI527" s="160"/>
      <c r="BJ527" s="160"/>
      <c r="BK527" s="160"/>
      <c r="BL527" s="160"/>
      <c r="BM527" s="160"/>
      <c r="BN527" s="160"/>
      <c r="BO527" s="160"/>
      <c r="BP527" s="160"/>
      <c r="BQ527" s="160"/>
      <c r="BR527" s="160"/>
      <c r="BS527" s="160"/>
      <c r="BT527" s="160"/>
      <c r="BU527" s="160"/>
      <c r="BV527" s="160"/>
      <c r="BW527" s="160"/>
      <c r="BX527" s="160"/>
      <c r="BY527" s="160"/>
      <c r="BZ527" s="160"/>
      <c r="CA527" s="160"/>
      <c r="CB527" s="160"/>
      <c r="CC527" s="160"/>
      <c r="CD527" s="160"/>
      <c r="CE527" s="160"/>
      <c r="CF527" s="160"/>
    </row>
    <row r="528">
      <c r="D528" s="159"/>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c r="BD528" s="160"/>
      <c r="BE528" s="160"/>
      <c r="BF528" s="160"/>
      <c r="BG528" s="160"/>
      <c r="BH528" s="160"/>
      <c r="BI528" s="160"/>
      <c r="BJ528" s="160"/>
      <c r="BK528" s="160"/>
      <c r="BL528" s="160"/>
      <c r="BM528" s="160"/>
      <c r="BN528" s="160"/>
      <c r="BO528" s="160"/>
      <c r="BP528" s="160"/>
      <c r="BQ528" s="160"/>
      <c r="BR528" s="160"/>
      <c r="BS528" s="160"/>
      <c r="BT528" s="160"/>
      <c r="BU528" s="160"/>
      <c r="BV528" s="160"/>
      <c r="BW528" s="160"/>
      <c r="BX528" s="160"/>
      <c r="BY528" s="160"/>
      <c r="BZ528" s="160"/>
      <c r="CA528" s="160"/>
      <c r="CB528" s="160"/>
      <c r="CC528" s="160"/>
      <c r="CD528" s="160"/>
      <c r="CE528" s="160"/>
      <c r="CF528" s="160"/>
    </row>
    <row r="529">
      <c r="D529" s="159"/>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c r="BD529" s="160"/>
      <c r="BE529" s="160"/>
      <c r="BF529" s="160"/>
      <c r="BG529" s="160"/>
      <c r="BH529" s="160"/>
      <c r="BI529" s="160"/>
      <c r="BJ529" s="160"/>
      <c r="BK529" s="160"/>
      <c r="BL529" s="160"/>
      <c r="BM529" s="160"/>
      <c r="BN529" s="160"/>
      <c r="BO529" s="160"/>
      <c r="BP529" s="160"/>
      <c r="BQ529" s="160"/>
      <c r="BR529" s="160"/>
      <c r="BS529" s="160"/>
      <c r="BT529" s="160"/>
      <c r="BU529" s="160"/>
      <c r="BV529" s="160"/>
      <c r="BW529" s="160"/>
      <c r="BX529" s="160"/>
      <c r="BY529" s="160"/>
      <c r="BZ529" s="160"/>
      <c r="CA529" s="160"/>
      <c r="CB529" s="160"/>
      <c r="CC529" s="160"/>
      <c r="CD529" s="160"/>
      <c r="CE529" s="160"/>
      <c r="CF529" s="160"/>
    </row>
    <row r="530">
      <c r="D530" s="159"/>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c r="BD530" s="160"/>
      <c r="BE530" s="160"/>
      <c r="BF530" s="160"/>
      <c r="BG530" s="160"/>
      <c r="BH530" s="160"/>
      <c r="BI530" s="160"/>
      <c r="BJ530" s="160"/>
      <c r="BK530" s="160"/>
      <c r="BL530" s="160"/>
      <c r="BM530" s="160"/>
      <c r="BN530" s="160"/>
      <c r="BO530" s="160"/>
      <c r="BP530" s="160"/>
      <c r="BQ530" s="160"/>
      <c r="BR530" s="160"/>
      <c r="BS530" s="160"/>
      <c r="BT530" s="160"/>
      <c r="BU530" s="160"/>
      <c r="BV530" s="160"/>
      <c r="BW530" s="160"/>
      <c r="BX530" s="160"/>
      <c r="BY530" s="160"/>
      <c r="BZ530" s="160"/>
      <c r="CA530" s="160"/>
      <c r="CB530" s="160"/>
      <c r="CC530" s="160"/>
      <c r="CD530" s="160"/>
      <c r="CE530" s="160"/>
      <c r="CF530" s="160"/>
    </row>
    <row r="531">
      <c r="D531" s="159"/>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c r="BD531" s="160"/>
      <c r="BE531" s="160"/>
      <c r="BF531" s="160"/>
      <c r="BG531" s="160"/>
      <c r="BH531" s="160"/>
      <c r="BI531" s="160"/>
      <c r="BJ531" s="160"/>
      <c r="BK531" s="160"/>
      <c r="BL531" s="160"/>
      <c r="BM531" s="160"/>
      <c r="BN531" s="160"/>
      <c r="BO531" s="160"/>
      <c r="BP531" s="160"/>
      <c r="BQ531" s="160"/>
      <c r="BR531" s="160"/>
      <c r="BS531" s="160"/>
      <c r="BT531" s="160"/>
      <c r="BU531" s="160"/>
      <c r="BV531" s="160"/>
      <c r="BW531" s="160"/>
      <c r="BX531" s="160"/>
      <c r="BY531" s="160"/>
      <c r="BZ531" s="160"/>
      <c r="CA531" s="160"/>
      <c r="CB531" s="160"/>
      <c r="CC531" s="160"/>
      <c r="CD531" s="160"/>
      <c r="CE531" s="160"/>
      <c r="CF531" s="160"/>
    </row>
    <row r="532">
      <c r="D532" s="159"/>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c r="BD532" s="160"/>
      <c r="BE532" s="160"/>
      <c r="BF532" s="160"/>
      <c r="BG532" s="160"/>
      <c r="BH532" s="160"/>
      <c r="BI532" s="160"/>
      <c r="BJ532" s="160"/>
      <c r="BK532" s="160"/>
      <c r="BL532" s="160"/>
      <c r="BM532" s="160"/>
      <c r="BN532" s="160"/>
      <c r="BO532" s="160"/>
      <c r="BP532" s="160"/>
      <c r="BQ532" s="160"/>
      <c r="BR532" s="160"/>
      <c r="BS532" s="160"/>
      <c r="BT532" s="160"/>
      <c r="BU532" s="160"/>
      <c r="BV532" s="160"/>
      <c r="BW532" s="160"/>
      <c r="BX532" s="160"/>
      <c r="BY532" s="160"/>
      <c r="BZ532" s="160"/>
      <c r="CA532" s="160"/>
      <c r="CB532" s="160"/>
      <c r="CC532" s="160"/>
      <c r="CD532" s="160"/>
      <c r="CE532" s="160"/>
      <c r="CF532" s="160"/>
    </row>
    <row r="533">
      <c r="D533" s="159"/>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c r="BD533" s="160"/>
      <c r="BE533" s="160"/>
      <c r="BF533" s="160"/>
      <c r="BG533" s="160"/>
      <c r="BH533" s="160"/>
      <c r="BI533" s="160"/>
      <c r="BJ533" s="160"/>
      <c r="BK533" s="160"/>
      <c r="BL533" s="160"/>
      <c r="BM533" s="160"/>
      <c r="BN533" s="160"/>
      <c r="BO533" s="160"/>
      <c r="BP533" s="160"/>
      <c r="BQ533" s="160"/>
      <c r="BR533" s="160"/>
      <c r="BS533" s="160"/>
      <c r="BT533" s="160"/>
      <c r="BU533" s="160"/>
      <c r="BV533" s="160"/>
      <c r="BW533" s="160"/>
      <c r="BX533" s="160"/>
      <c r="BY533" s="160"/>
      <c r="BZ533" s="160"/>
      <c r="CA533" s="160"/>
      <c r="CB533" s="160"/>
      <c r="CC533" s="160"/>
      <c r="CD533" s="160"/>
      <c r="CE533" s="160"/>
      <c r="CF533" s="160"/>
    </row>
    <row r="534">
      <c r="D534" s="159"/>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c r="BD534" s="160"/>
      <c r="BE534" s="160"/>
      <c r="BF534" s="160"/>
      <c r="BG534" s="160"/>
      <c r="BH534" s="160"/>
      <c r="BI534" s="160"/>
      <c r="BJ534" s="160"/>
      <c r="BK534" s="160"/>
      <c r="BL534" s="160"/>
      <c r="BM534" s="160"/>
      <c r="BN534" s="160"/>
      <c r="BO534" s="160"/>
      <c r="BP534" s="160"/>
      <c r="BQ534" s="160"/>
      <c r="BR534" s="160"/>
      <c r="BS534" s="160"/>
      <c r="BT534" s="160"/>
      <c r="BU534" s="160"/>
      <c r="BV534" s="160"/>
      <c r="BW534" s="160"/>
      <c r="BX534" s="160"/>
      <c r="BY534" s="160"/>
      <c r="BZ534" s="160"/>
      <c r="CA534" s="160"/>
      <c r="CB534" s="160"/>
      <c r="CC534" s="160"/>
      <c r="CD534" s="160"/>
      <c r="CE534" s="160"/>
      <c r="CF534" s="160"/>
    </row>
    <row r="535">
      <c r="D535" s="159"/>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c r="BD535" s="160"/>
      <c r="BE535" s="160"/>
      <c r="BF535" s="160"/>
      <c r="BG535" s="160"/>
      <c r="BH535" s="160"/>
      <c r="BI535" s="160"/>
      <c r="BJ535" s="160"/>
      <c r="BK535" s="160"/>
      <c r="BL535" s="160"/>
      <c r="BM535" s="160"/>
      <c r="BN535" s="160"/>
      <c r="BO535" s="160"/>
      <c r="BP535" s="160"/>
      <c r="BQ535" s="160"/>
      <c r="BR535" s="160"/>
      <c r="BS535" s="160"/>
      <c r="BT535" s="160"/>
      <c r="BU535" s="160"/>
      <c r="BV535" s="160"/>
      <c r="BW535" s="160"/>
      <c r="BX535" s="160"/>
      <c r="BY535" s="160"/>
      <c r="BZ535" s="160"/>
      <c r="CA535" s="160"/>
      <c r="CB535" s="160"/>
      <c r="CC535" s="160"/>
      <c r="CD535" s="160"/>
      <c r="CE535" s="160"/>
      <c r="CF535" s="160"/>
    </row>
    <row r="536">
      <c r="D536" s="159"/>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c r="BD536" s="160"/>
      <c r="BE536" s="160"/>
      <c r="BF536" s="160"/>
      <c r="BG536" s="160"/>
      <c r="BH536" s="160"/>
      <c r="BI536" s="160"/>
      <c r="BJ536" s="160"/>
      <c r="BK536" s="160"/>
      <c r="BL536" s="160"/>
      <c r="BM536" s="160"/>
      <c r="BN536" s="160"/>
      <c r="BO536" s="160"/>
      <c r="BP536" s="160"/>
      <c r="BQ536" s="160"/>
      <c r="BR536" s="160"/>
      <c r="BS536" s="160"/>
      <c r="BT536" s="160"/>
      <c r="BU536" s="160"/>
      <c r="BV536" s="160"/>
      <c r="BW536" s="160"/>
      <c r="BX536" s="160"/>
      <c r="BY536" s="160"/>
      <c r="BZ536" s="160"/>
      <c r="CA536" s="160"/>
      <c r="CB536" s="160"/>
      <c r="CC536" s="160"/>
      <c r="CD536" s="160"/>
      <c r="CE536" s="160"/>
      <c r="CF536" s="160"/>
    </row>
    <row r="537">
      <c r="D537" s="159"/>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c r="BD537" s="160"/>
      <c r="BE537" s="160"/>
      <c r="BF537" s="160"/>
      <c r="BG537" s="160"/>
      <c r="BH537" s="160"/>
      <c r="BI537" s="160"/>
      <c r="BJ537" s="160"/>
      <c r="BK537" s="160"/>
      <c r="BL537" s="160"/>
      <c r="BM537" s="160"/>
      <c r="BN537" s="160"/>
      <c r="BO537" s="160"/>
      <c r="BP537" s="160"/>
      <c r="BQ537" s="160"/>
      <c r="BR537" s="160"/>
      <c r="BS537" s="160"/>
      <c r="BT537" s="160"/>
      <c r="BU537" s="160"/>
      <c r="BV537" s="160"/>
      <c r="BW537" s="160"/>
      <c r="BX537" s="160"/>
      <c r="BY537" s="160"/>
      <c r="BZ537" s="160"/>
      <c r="CA537" s="160"/>
      <c r="CB537" s="160"/>
      <c r="CC537" s="160"/>
      <c r="CD537" s="160"/>
      <c r="CE537" s="160"/>
      <c r="CF537" s="160"/>
    </row>
    <row r="538">
      <c r="D538" s="159"/>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c r="BD538" s="160"/>
      <c r="BE538" s="160"/>
      <c r="BF538" s="160"/>
      <c r="BG538" s="160"/>
      <c r="BH538" s="160"/>
      <c r="BI538" s="160"/>
      <c r="BJ538" s="160"/>
      <c r="BK538" s="160"/>
      <c r="BL538" s="160"/>
      <c r="BM538" s="160"/>
      <c r="BN538" s="160"/>
      <c r="BO538" s="160"/>
      <c r="BP538" s="160"/>
      <c r="BQ538" s="160"/>
      <c r="BR538" s="160"/>
      <c r="BS538" s="160"/>
      <c r="BT538" s="160"/>
      <c r="BU538" s="160"/>
      <c r="BV538" s="160"/>
      <c r="BW538" s="160"/>
      <c r="BX538" s="160"/>
      <c r="BY538" s="160"/>
      <c r="BZ538" s="160"/>
      <c r="CA538" s="160"/>
      <c r="CB538" s="160"/>
      <c r="CC538" s="160"/>
      <c r="CD538" s="160"/>
      <c r="CE538" s="160"/>
      <c r="CF538" s="160"/>
    </row>
    <row r="539">
      <c r="D539" s="159"/>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c r="BD539" s="160"/>
      <c r="BE539" s="160"/>
      <c r="BF539" s="160"/>
      <c r="BG539" s="160"/>
      <c r="BH539" s="160"/>
      <c r="BI539" s="160"/>
      <c r="BJ539" s="160"/>
      <c r="BK539" s="160"/>
      <c r="BL539" s="160"/>
      <c r="BM539" s="160"/>
      <c r="BN539" s="160"/>
      <c r="BO539" s="160"/>
      <c r="BP539" s="160"/>
      <c r="BQ539" s="160"/>
      <c r="BR539" s="160"/>
      <c r="BS539" s="160"/>
      <c r="BT539" s="160"/>
      <c r="BU539" s="160"/>
      <c r="BV539" s="160"/>
      <c r="BW539" s="160"/>
      <c r="BX539" s="160"/>
      <c r="BY539" s="160"/>
      <c r="BZ539" s="160"/>
      <c r="CA539" s="160"/>
      <c r="CB539" s="160"/>
      <c r="CC539" s="160"/>
      <c r="CD539" s="160"/>
      <c r="CE539" s="160"/>
      <c r="CF539" s="160"/>
    </row>
    <row r="540">
      <c r="D540" s="159"/>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60"/>
      <c r="AX540" s="160"/>
      <c r="AY540" s="160"/>
      <c r="AZ540" s="160"/>
      <c r="BA540" s="160"/>
      <c r="BB540" s="160"/>
      <c r="BC540" s="160"/>
      <c r="BD540" s="160"/>
      <c r="BE540" s="160"/>
      <c r="BF540" s="160"/>
      <c r="BG540" s="160"/>
      <c r="BH540" s="160"/>
      <c r="BI540" s="160"/>
      <c r="BJ540" s="160"/>
      <c r="BK540" s="160"/>
      <c r="BL540" s="160"/>
      <c r="BM540" s="160"/>
      <c r="BN540" s="160"/>
      <c r="BO540" s="160"/>
      <c r="BP540" s="160"/>
      <c r="BQ540" s="160"/>
      <c r="BR540" s="160"/>
      <c r="BS540" s="160"/>
      <c r="BT540" s="160"/>
      <c r="BU540" s="160"/>
      <c r="BV540" s="160"/>
      <c r="BW540" s="160"/>
      <c r="BX540" s="160"/>
      <c r="BY540" s="160"/>
      <c r="BZ540" s="160"/>
      <c r="CA540" s="160"/>
      <c r="CB540" s="160"/>
      <c r="CC540" s="160"/>
      <c r="CD540" s="160"/>
      <c r="CE540" s="160"/>
      <c r="CF540" s="160"/>
    </row>
    <row r="541">
      <c r="D541" s="159"/>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c r="BD541" s="160"/>
      <c r="BE541" s="160"/>
      <c r="BF541" s="160"/>
      <c r="BG541" s="160"/>
      <c r="BH541" s="160"/>
      <c r="BI541" s="160"/>
      <c r="BJ541" s="160"/>
      <c r="BK541" s="160"/>
      <c r="BL541" s="160"/>
      <c r="BM541" s="160"/>
      <c r="BN541" s="160"/>
      <c r="BO541" s="160"/>
      <c r="BP541" s="160"/>
      <c r="BQ541" s="160"/>
      <c r="BR541" s="160"/>
      <c r="BS541" s="160"/>
      <c r="BT541" s="160"/>
      <c r="BU541" s="160"/>
      <c r="BV541" s="160"/>
      <c r="BW541" s="160"/>
      <c r="BX541" s="160"/>
      <c r="BY541" s="160"/>
      <c r="BZ541" s="160"/>
      <c r="CA541" s="160"/>
      <c r="CB541" s="160"/>
      <c r="CC541" s="160"/>
      <c r="CD541" s="160"/>
      <c r="CE541" s="160"/>
      <c r="CF541" s="160"/>
    </row>
    <row r="542">
      <c r="D542" s="159"/>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c r="BD542" s="160"/>
      <c r="BE542" s="160"/>
      <c r="BF542" s="160"/>
      <c r="BG542" s="160"/>
      <c r="BH542" s="160"/>
      <c r="BI542" s="160"/>
      <c r="BJ542" s="160"/>
      <c r="BK542" s="160"/>
      <c r="BL542" s="160"/>
      <c r="BM542" s="160"/>
      <c r="BN542" s="160"/>
      <c r="BO542" s="160"/>
      <c r="BP542" s="160"/>
      <c r="BQ542" s="160"/>
      <c r="BR542" s="160"/>
      <c r="BS542" s="160"/>
      <c r="BT542" s="160"/>
      <c r="BU542" s="160"/>
      <c r="BV542" s="160"/>
      <c r="BW542" s="160"/>
      <c r="BX542" s="160"/>
      <c r="BY542" s="160"/>
      <c r="BZ542" s="160"/>
      <c r="CA542" s="160"/>
      <c r="CB542" s="160"/>
      <c r="CC542" s="160"/>
      <c r="CD542" s="160"/>
      <c r="CE542" s="160"/>
      <c r="CF542" s="160"/>
    </row>
    <row r="543">
      <c r="D543" s="159"/>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c r="BD543" s="160"/>
      <c r="BE543" s="160"/>
      <c r="BF543" s="160"/>
      <c r="BG543" s="160"/>
      <c r="BH543" s="160"/>
      <c r="BI543" s="160"/>
      <c r="BJ543" s="160"/>
      <c r="BK543" s="160"/>
      <c r="BL543" s="160"/>
      <c r="BM543" s="160"/>
      <c r="BN543" s="160"/>
      <c r="BO543" s="160"/>
      <c r="BP543" s="160"/>
      <c r="BQ543" s="160"/>
      <c r="BR543" s="160"/>
      <c r="BS543" s="160"/>
      <c r="BT543" s="160"/>
      <c r="BU543" s="160"/>
      <c r="BV543" s="160"/>
      <c r="BW543" s="160"/>
      <c r="BX543" s="160"/>
      <c r="BY543" s="160"/>
      <c r="BZ543" s="160"/>
      <c r="CA543" s="160"/>
      <c r="CB543" s="160"/>
      <c r="CC543" s="160"/>
      <c r="CD543" s="160"/>
      <c r="CE543" s="160"/>
      <c r="CF543" s="160"/>
    </row>
    <row r="544">
      <c r="D544" s="159"/>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c r="BD544" s="160"/>
      <c r="BE544" s="160"/>
      <c r="BF544" s="160"/>
      <c r="BG544" s="160"/>
      <c r="BH544" s="160"/>
      <c r="BI544" s="160"/>
      <c r="BJ544" s="160"/>
      <c r="BK544" s="160"/>
      <c r="BL544" s="160"/>
      <c r="BM544" s="160"/>
      <c r="BN544" s="160"/>
      <c r="BO544" s="160"/>
      <c r="BP544" s="160"/>
      <c r="BQ544" s="160"/>
      <c r="BR544" s="160"/>
      <c r="BS544" s="160"/>
      <c r="BT544" s="160"/>
      <c r="BU544" s="160"/>
      <c r="BV544" s="160"/>
      <c r="BW544" s="160"/>
      <c r="BX544" s="160"/>
      <c r="BY544" s="160"/>
      <c r="BZ544" s="160"/>
      <c r="CA544" s="160"/>
      <c r="CB544" s="160"/>
      <c r="CC544" s="160"/>
      <c r="CD544" s="160"/>
      <c r="CE544" s="160"/>
      <c r="CF544" s="160"/>
    </row>
    <row r="545">
      <c r="D545" s="159"/>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c r="BD545" s="160"/>
      <c r="BE545" s="160"/>
      <c r="BF545" s="160"/>
      <c r="BG545" s="160"/>
      <c r="BH545" s="160"/>
      <c r="BI545" s="160"/>
      <c r="BJ545" s="160"/>
      <c r="BK545" s="160"/>
      <c r="BL545" s="160"/>
      <c r="BM545" s="160"/>
      <c r="BN545" s="160"/>
      <c r="BO545" s="160"/>
      <c r="BP545" s="160"/>
      <c r="BQ545" s="160"/>
      <c r="BR545" s="160"/>
      <c r="BS545" s="160"/>
      <c r="BT545" s="160"/>
      <c r="BU545" s="160"/>
      <c r="BV545" s="160"/>
      <c r="BW545" s="160"/>
      <c r="BX545" s="160"/>
      <c r="BY545" s="160"/>
      <c r="BZ545" s="160"/>
      <c r="CA545" s="160"/>
      <c r="CB545" s="160"/>
      <c r="CC545" s="160"/>
      <c r="CD545" s="160"/>
      <c r="CE545" s="160"/>
      <c r="CF545" s="160"/>
    </row>
    <row r="546">
      <c r="D546" s="159"/>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c r="BD546" s="160"/>
      <c r="BE546" s="160"/>
      <c r="BF546" s="160"/>
      <c r="BG546" s="160"/>
      <c r="BH546" s="160"/>
      <c r="BI546" s="160"/>
      <c r="BJ546" s="160"/>
      <c r="BK546" s="160"/>
      <c r="BL546" s="160"/>
      <c r="BM546" s="160"/>
      <c r="BN546" s="160"/>
      <c r="BO546" s="160"/>
      <c r="BP546" s="160"/>
      <c r="BQ546" s="160"/>
      <c r="BR546" s="160"/>
      <c r="BS546" s="160"/>
      <c r="BT546" s="160"/>
      <c r="BU546" s="160"/>
      <c r="BV546" s="160"/>
      <c r="BW546" s="160"/>
      <c r="BX546" s="160"/>
      <c r="BY546" s="160"/>
      <c r="BZ546" s="160"/>
      <c r="CA546" s="160"/>
      <c r="CB546" s="160"/>
      <c r="CC546" s="160"/>
      <c r="CD546" s="160"/>
      <c r="CE546" s="160"/>
      <c r="CF546" s="160"/>
    </row>
    <row r="547">
      <c r="D547" s="159"/>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c r="BD547" s="160"/>
      <c r="BE547" s="160"/>
      <c r="BF547" s="160"/>
      <c r="BG547" s="160"/>
      <c r="BH547" s="160"/>
      <c r="BI547" s="160"/>
      <c r="BJ547" s="160"/>
      <c r="BK547" s="160"/>
      <c r="BL547" s="160"/>
      <c r="BM547" s="160"/>
      <c r="BN547" s="160"/>
      <c r="BO547" s="160"/>
      <c r="BP547" s="160"/>
      <c r="BQ547" s="160"/>
      <c r="BR547" s="160"/>
      <c r="BS547" s="160"/>
      <c r="BT547" s="160"/>
      <c r="BU547" s="160"/>
      <c r="BV547" s="160"/>
      <c r="BW547" s="160"/>
      <c r="BX547" s="160"/>
      <c r="BY547" s="160"/>
      <c r="BZ547" s="160"/>
      <c r="CA547" s="160"/>
      <c r="CB547" s="160"/>
      <c r="CC547" s="160"/>
      <c r="CD547" s="160"/>
      <c r="CE547" s="160"/>
      <c r="CF547" s="160"/>
    </row>
    <row r="548">
      <c r="D548" s="159"/>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c r="BD548" s="160"/>
      <c r="BE548" s="160"/>
      <c r="BF548" s="160"/>
      <c r="BG548" s="160"/>
      <c r="BH548" s="160"/>
      <c r="BI548" s="160"/>
      <c r="BJ548" s="160"/>
      <c r="BK548" s="160"/>
      <c r="BL548" s="160"/>
      <c r="BM548" s="160"/>
      <c r="BN548" s="160"/>
      <c r="BO548" s="160"/>
      <c r="BP548" s="160"/>
      <c r="BQ548" s="160"/>
      <c r="BR548" s="160"/>
      <c r="BS548" s="160"/>
      <c r="BT548" s="160"/>
      <c r="BU548" s="160"/>
      <c r="BV548" s="160"/>
      <c r="BW548" s="160"/>
      <c r="BX548" s="160"/>
      <c r="BY548" s="160"/>
      <c r="BZ548" s="160"/>
      <c r="CA548" s="160"/>
      <c r="CB548" s="160"/>
      <c r="CC548" s="160"/>
      <c r="CD548" s="160"/>
      <c r="CE548" s="160"/>
      <c r="CF548" s="160"/>
    </row>
    <row r="549">
      <c r="D549" s="159"/>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c r="BD549" s="160"/>
      <c r="BE549" s="160"/>
      <c r="BF549" s="160"/>
      <c r="BG549" s="160"/>
      <c r="BH549" s="160"/>
      <c r="BI549" s="160"/>
      <c r="BJ549" s="160"/>
      <c r="BK549" s="160"/>
      <c r="BL549" s="160"/>
      <c r="BM549" s="160"/>
      <c r="BN549" s="160"/>
      <c r="BO549" s="160"/>
      <c r="BP549" s="160"/>
      <c r="BQ549" s="160"/>
      <c r="BR549" s="160"/>
      <c r="BS549" s="160"/>
      <c r="BT549" s="160"/>
      <c r="BU549" s="160"/>
      <c r="BV549" s="160"/>
      <c r="BW549" s="160"/>
      <c r="BX549" s="160"/>
      <c r="BY549" s="160"/>
      <c r="BZ549" s="160"/>
      <c r="CA549" s="160"/>
      <c r="CB549" s="160"/>
      <c r="CC549" s="160"/>
      <c r="CD549" s="160"/>
      <c r="CE549" s="160"/>
      <c r="CF549" s="160"/>
    </row>
    <row r="550">
      <c r="D550" s="159"/>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c r="BD550" s="160"/>
      <c r="BE550" s="160"/>
      <c r="BF550" s="160"/>
      <c r="BG550" s="160"/>
      <c r="BH550" s="160"/>
      <c r="BI550" s="160"/>
      <c r="BJ550" s="160"/>
      <c r="BK550" s="160"/>
      <c r="BL550" s="160"/>
      <c r="BM550" s="160"/>
      <c r="BN550" s="160"/>
      <c r="BO550" s="160"/>
      <c r="BP550" s="160"/>
      <c r="BQ550" s="160"/>
      <c r="BR550" s="160"/>
      <c r="BS550" s="160"/>
      <c r="BT550" s="160"/>
      <c r="BU550" s="160"/>
      <c r="BV550" s="160"/>
      <c r="BW550" s="160"/>
      <c r="BX550" s="160"/>
      <c r="BY550" s="160"/>
      <c r="BZ550" s="160"/>
      <c r="CA550" s="160"/>
      <c r="CB550" s="160"/>
      <c r="CC550" s="160"/>
      <c r="CD550" s="160"/>
      <c r="CE550" s="160"/>
      <c r="CF550" s="160"/>
    </row>
    <row r="551">
      <c r="D551" s="159"/>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c r="BD551" s="160"/>
      <c r="BE551" s="160"/>
      <c r="BF551" s="160"/>
      <c r="BG551" s="160"/>
      <c r="BH551" s="160"/>
      <c r="BI551" s="160"/>
      <c r="BJ551" s="160"/>
      <c r="BK551" s="160"/>
      <c r="BL551" s="160"/>
      <c r="BM551" s="160"/>
      <c r="BN551" s="160"/>
      <c r="BO551" s="160"/>
      <c r="BP551" s="160"/>
      <c r="BQ551" s="160"/>
      <c r="BR551" s="160"/>
      <c r="BS551" s="160"/>
      <c r="BT551" s="160"/>
      <c r="BU551" s="160"/>
      <c r="BV551" s="160"/>
      <c r="BW551" s="160"/>
      <c r="BX551" s="160"/>
      <c r="BY551" s="160"/>
      <c r="BZ551" s="160"/>
      <c r="CA551" s="160"/>
      <c r="CB551" s="160"/>
      <c r="CC551" s="160"/>
      <c r="CD551" s="160"/>
      <c r="CE551" s="160"/>
      <c r="CF551" s="160"/>
    </row>
    <row r="552">
      <c r="D552" s="159"/>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c r="BD552" s="160"/>
      <c r="BE552" s="160"/>
      <c r="BF552" s="160"/>
      <c r="BG552" s="160"/>
      <c r="BH552" s="160"/>
      <c r="BI552" s="160"/>
      <c r="BJ552" s="160"/>
      <c r="BK552" s="160"/>
      <c r="BL552" s="160"/>
      <c r="BM552" s="160"/>
      <c r="BN552" s="160"/>
      <c r="BO552" s="160"/>
      <c r="BP552" s="160"/>
      <c r="BQ552" s="160"/>
      <c r="BR552" s="160"/>
      <c r="BS552" s="160"/>
      <c r="BT552" s="160"/>
      <c r="BU552" s="160"/>
      <c r="BV552" s="160"/>
      <c r="BW552" s="160"/>
      <c r="BX552" s="160"/>
      <c r="BY552" s="160"/>
      <c r="BZ552" s="160"/>
      <c r="CA552" s="160"/>
      <c r="CB552" s="160"/>
      <c r="CC552" s="160"/>
      <c r="CD552" s="160"/>
      <c r="CE552" s="160"/>
      <c r="CF552" s="160"/>
    </row>
    <row r="553">
      <c r="D553" s="159"/>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c r="BD553" s="160"/>
      <c r="BE553" s="160"/>
      <c r="BF553" s="160"/>
      <c r="BG553" s="160"/>
      <c r="BH553" s="160"/>
      <c r="BI553" s="160"/>
      <c r="BJ553" s="160"/>
      <c r="BK553" s="160"/>
      <c r="BL553" s="160"/>
      <c r="BM553" s="160"/>
      <c r="BN553" s="160"/>
      <c r="BO553" s="160"/>
      <c r="BP553" s="160"/>
      <c r="BQ553" s="160"/>
      <c r="BR553" s="160"/>
      <c r="BS553" s="160"/>
      <c r="BT553" s="160"/>
      <c r="BU553" s="160"/>
      <c r="BV553" s="160"/>
      <c r="BW553" s="160"/>
      <c r="BX553" s="160"/>
      <c r="BY553" s="160"/>
      <c r="BZ553" s="160"/>
      <c r="CA553" s="160"/>
      <c r="CB553" s="160"/>
      <c r="CC553" s="160"/>
      <c r="CD553" s="160"/>
      <c r="CE553" s="160"/>
      <c r="CF553" s="160"/>
    </row>
    <row r="554">
      <c r="D554" s="159"/>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c r="BD554" s="160"/>
      <c r="BE554" s="160"/>
      <c r="BF554" s="160"/>
      <c r="BG554" s="160"/>
      <c r="BH554" s="160"/>
      <c r="BI554" s="160"/>
      <c r="BJ554" s="160"/>
      <c r="BK554" s="160"/>
      <c r="BL554" s="160"/>
      <c r="BM554" s="160"/>
      <c r="BN554" s="160"/>
      <c r="BO554" s="160"/>
      <c r="BP554" s="160"/>
      <c r="BQ554" s="160"/>
      <c r="BR554" s="160"/>
      <c r="BS554" s="160"/>
      <c r="BT554" s="160"/>
      <c r="BU554" s="160"/>
      <c r="BV554" s="160"/>
      <c r="BW554" s="160"/>
      <c r="BX554" s="160"/>
      <c r="BY554" s="160"/>
      <c r="BZ554" s="160"/>
      <c r="CA554" s="160"/>
      <c r="CB554" s="160"/>
      <c r="CC554" s="160"/>
      <c r="CD554" s="160"/>
      <c r="CE554" s="160"/>
      <c r="CF554" s="160"/>
    </row>
    <row r="555">
      <c r="D555" s="159"/>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c r="BD555" s="160"/>
      <c r="BE555" s="160"/>
      <c r="BF555" s="160"/>
      <c r="BG555" s="160"/>
      <c r="BH555" s="160"/>
      <c r="BI555" s="160"/>
      <c r="BJ555" s="160"/>
      <c r="BK555" s="160"/>
      <c r="BL555" s="160"/>
      <c r="BM555" s="160"/>
      <c r="BN555" s="160"/>
      <c r="BO555" s="160"/>
      <c r="BP555" s="160"/>
      <c r="BQ555" s="160"/>
      <c r="BR555" s="160"/>
      <c r="BS555" s="160"/>
      <c r="BT555" s="160"/>
      <c r="BU555" s="160"/>
      <c r="BV555" s="160"/>
      <c r="BW555" s="160"/>
      <c r="BX555" s="160"/>
      <c r="BY555" s="160"/>
      <c r="BZ555" s="160"/>
      <c r="CA555" s="160"/>
      <c r="CB555" s="160"/>
      <c r="CC555" s="160"/>
      <c r="CD555" s="160"/>
      <c r="CE555" s="160"/>
      <c r="CF555" s="160"/>
    </row>
    <row r="556">
      <c r="D556" s="159"/>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c r="BD556" s="160"/>
      <c r="BE556" s="160"/>
      <c r="BF556" s="160"/>
      <c r="BG556" s="160"/>
      <c r="BH556" s="160"/>
      <c r="BI556" s="160"/>
      <c r="BJ556" s="160"/>
      <c r="BK556" s="160"/>
      <c r="BL556" s="160"/>
      <c r="BM556" s="160"/>
      <c r="BN556" s="160"/>
      <c r="BO556" s="160"/>
      <c r="BP556" s="160"/>
      <c r="BQ556" s="160"/>
      <c r="BR556" s="160"/>
      <c r="BS556" s="160"/>
      <c r="BT556" s="160"/>
      <c r="BU556" s="160"/>
      <c r="BV556" s="160"/>
      <c r="BW556" s="160"/>
      <c r="BX556" s="160"/>
      <c r="BY556" s="160"/>
      <c r="BZ556" s="160"/>
      <c r="CA556" s="160"/>
      <c r="CB556" s="160"/>
      <c r="CC556" s="160"/>
      <c r="CD556" s="160"/>
      <c r="CE556" s="160"/>
      <c r="CF556" s="160"/>
    </row>
    <row r="557">
      <c r="D557" s="159"/>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c r="BD557" s="160"/>
      <c r="BE557" s="160"/>
      <c r="BF557" s="160"/>
      <c r="BG557" s="160"/>
      <c r="BH557" s="160"/>
      <c r="BI557" s="160"/>
      <c r="BJ557" s="160"/>
      <c r="BK557" s="160"/>
      <c r="BL557" s="160"/>
      <c r="BM557" s="160"/>
      <c r="BN557" s="160"/>
      <c r="BO557" s="160"/>
      <c r="BP557" s="160"/>
      <c r="BQ557" s="160"/>
      <c r="BR557" s="160"/>
      <c r="BS557" s="160"/>
      <c r="BT557" s="160"/>
      <c r="BU557" s="160"/>
      <c r="BV557" s="160"/>
      <c r="BW557" s="160"/>
      <c r="BX557" s="160"/>
      <c r="BY557" s="160"/>
      <c r="BZ557" s="160"/>
      <c r="CA557" s="160"/>
      <c r="CB557" s="160"/>
      <c r="CC557" s="160"/>
      <c r="CD557" s="160"/>
      <c r="CE557" s="160"/>
      <c r="CF557" s="160"/>
    </row>
    <row r="558">
      <c r="D558" s="159"/>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c r="BD558" s="160"/>
      <c r="BE558" s="160"/>
      <c r="BF558" s="160"/>
      <c r="BG558" s="160"/>
      <c r="BH558" s="160"/>
      <c r="BI558" s="160"/>
      <c r="BJ558" s="160"/>
      <c r="BK558" s="160"/>
      <c r="BL558" s="160"/>
      <c r="BM558" s="160"/>
      <c r="BN558" s="160"/>
      <c r="BO558" s="160"/>
      <c r="BP558" s="160"/>
      <c r="BQ558" s="160"/>
      <c r="BR558" s="160"/>
      <c r="BS558" s="160"/>
      <c r="BT558" s="160"/>
      <c r="BU558" s="160"/>
      <c r="BV558" s="160"/>
      <c r="BW558" s="160"/>
      <c r="BX558" s="160"/>
      <c r="BY558" s="160"/>
      <c r="BZ558" s="160"/>
      <c r="CA558" s="160"/>
      <c r="CB558" s="160"/>
      <c r="CC558" s="160"/>
      <c r="CD558" s="160"/>
      <c r="CE558" s="160"/>
      <c r="CF558" s="160"/>
    </row>
    <row r="559">
      <c r="D559" s="159"/>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c r="BD559" s="160"/>
      <c r="BE559" s="160"/>
      <c r="BF559" s="160"/>
      <c r="BG559" s="160"/>
      <c r="BH559" s="160"/>
      <c r="BI559" s="160"/>
      <c r="BJ559" s="160"/>
      <c r="BK559" s="160"/>
      <c r="BL559" s="160"/>
      <c r="BM559" s="160"/>
      <c r="BN559" s="160"/>
      <c r="BO559" s="160"/>
      <c r="BP559" s="160"/>
      <c r="BQ559" s="160"/>
      <c r="BR559" s="160"/>
      <c r="BS559" s="160"/>
      <c r="BT559" s="160"/>
      <c r="BU559" s="160"/>
      <c r="BV559" s="160"/>
      <c r="BW559" s="160"/>
      <c r="BX559" s="160"/>
      <c r="BY559" s="160"/>
      <c r="BZ559" s="160"/>
      <c r="CA559" s="160"/>
      <c r="CB559" s="160"/>
      <c r="CC559" s="160"/>
      <c r="CD559" s="160"/>
      <c r="CE559" s="160"/>
      <c r="CF559" s="160"/>
    </row>
    <row r="560">
      <c r="D560" s="159"/>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c r="BD560" s="160"/>
      <c r="BE560" s="160"/>
      <c r="BF560" s="160"/>
      <c r="BG560" s="160"/>
      <c r="BH560" s="160"/>
      <c r="BI560" s="160"/>
      <c r="BJ560" s="160"/>
      <c r="BK560" s="160"/>
      <c r="BL560" s="160"/>
      <c r="BM560" s="160"/>
      <c r="BN560" s="160"/>
      <c r="BO560" s="160"/>
      <c r="BP560" s="160"/>
      <c r="BQ560" s="160"/>
      <c r="BR560" s="160"/>
      <c r="BS560" s="160"/>
      <c r="BT560" s="160"/>
      <c r="BU560" s="160"/>
      <c r="BV560" s="160"/>
      <c r="BW560" s="160"/>
      <c r="BX560" s="160"/>
      <c r="BY560" s="160"/>
      <c r="BZ560" s="160"/>
      <c r="CA560" s="160"/>
      <c r="CB560" s="160"/>
      <c r="CC560" s="160"/>
      <c r="CD560" s="160"/>
      <c r="CE560" s="160"/>
      <c r="CF560" s="160"/>
    </row>
    <row r="561">
      <c r="D561" s="159"/>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c r="BD561" s="160"/>
      <c r="BE561" s="160"/>
      <c r="BF561" s="160"/>
      <c r="BG561" s="160"/>
      <c r="BH561" s="160"/>
      <c r="BI561" s="160"/>
      <c r="BJ561" s="160"/>
      <c r="BK561" s="160"/>
      <c r="BL561" s="160"/>
      <c r="BM561" s="160"/>
      <c r="BN561" s="160"/>
      <c r="BO561" s="160"/>
      <c r="BP561" s="160"/>
      <c r="BQ561" s="160"/>
      <c r="BR561" s="160"/>
      <c r="BS561" s="160"/>
      <c r="BT561" s="160"/>
      <c r="BU561" s="160"/>
      <c r="BV561" s="160"/>
      <c r="BW561" s="160"/>
      <c r="BX561" s="160"/>
      <c r="BY561" s="160"/>
      <c r="BZ561" s="160"/>
      <c r="CA561" s="160"/>
      <c r="CB561" s="160"/>
      <c r="CC561" s="160"/>
      <c r="CD561" s="160"/>
      <c r="CE561" s="160"/>
      <c r="CF561" s="160"/>
    </row>
    <row r="562">
      <c r="D562" s="159"/>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c r="BD562" s="160"/>
      <c r="BE562" s="160"/>
      <c r="BF562" s="160"/>
      <c r="BG562" s="160"/>
      <c r="BH562" s="160"/>
      <c r="BI562" s="160"/>
      <c r="BJ562" s="160"/>
      <c r="BK562" s="160"/>
      <c r="BL562" s="160"/>
      <c r="BM562" s="160"/>
      <c r="BN562" s="160"/>
      <c r="BO562" s="160"/>
      <c r="BP562" s="160"/>
      <c r="BQ562" s="160"/>
      <c r="BR562" s="160"/>
      <c r="BS562" s="160"/>
      <c r="BT562" s="160"/>
      <c r="BU562" s="160"/>
      <c r="BV562" s="160"/>
      <c r="BW562" s="160"/>
      <c r="BX562" s="160"/>
      <c r="BY562" s="160"/>
      <c r="BZ562" s="160"/>
      <c r="CA562" s="160"/>
      <c r="CB562" s="160"/>
      <c r="CC562" s="160"/>
      <c r="CD562" s="160"/>
      <c r="CE562" s="160"/>
      <c r="CF562" s="160"/>
    </row>
    <row r="563">
      <c r="D563" s="159"/>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c r="BD563" s="160"/>
      <c r="BE563" s="160"/>
      <c r="BF563" s="160"/>
      <c r="BG563" s="160"/>
      <c r="BH563" s="160"/>
      <c r="BI563" s="160"/>
      <c r="BJ563" s="160"/>
      <c r="BK563" s="160"/>
      <c r="BL563" s="160"/>
      <c r="BM563" s="160"/>
      <c r="BN563" s="160"/>
      <c r="BO563" s="160"/>
      <c r="BP563" s="160"/>
      <c r="BQ563" s="160"/>
      <c r="BR563" s="160"/>
      <c r="BS563" s="160"/>
      <c r="BT563" s="160"/>
      <c r="BU563" s="160"/>
      <c r="BV563" s="160"/>
      <c r="BW563" s="160"/>
      <c r="BX563" s="160"/>
      <c r="BY563" s="160"/>
      <c r="BZ563" s="160"/>
      <c r="CA563" s="160"/>
      <c r="CB563" s="160"/>
      <c r="CC563" s="160"/>
      <c r="CD563" s="160"/>
      <c r="CE563" s="160"/>
      <c r="CF563" s="160"/>
    </row>
    <row r="564">
      <c r="D564" s="159"/>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60"/>
      <c r="AX564" s="160"/>
      <c r="AY564" s="160"/>
      <c r="AZ564" s="160"/>
      <c r="BA564" s="160"/>
      <c r="BB564" s="160"/>
      <c r="BC564" s="160"/>
      <c r="BD564" s="160"/>
      <c r="BE564" s="160"/>
      <c r="BF564" s="160"/>
      <c r="BG564" s="160"/>
      <c r="BH564" s="160"/>
      <c r="BI564" s="160"/>
      <c r="BJ564" s="160"/>
      <c r="BK564" s="160"/>
      <c r="BL564" s="160"/>
      <c r="BM564" s="160"/>
      <c r="BN564" s="160"/>
      <c r="BO564" s="160"/>
      <c r="BP564" s="160"/>
      <c r="BQ564" s="160"/>
      <c r="BR564" s="160"/>
      <c r="BS564" s="160"/>
      <c r="BT564" s="160"/>
      <c r="BU564" s="160"/>
      <c r="BV564" s="160"/>
      <c r="BW564" s="160"/>
      <c r="BX564" s="160"/>
      <c r="BY564" s="160"/>
      <c r="BZ564" s="160"/>
      <c r="CA564" s="160"/>
      <c r="CB564" s="160"/>
      <c r="CC564" s="160"/>
      <c r="CD564" s="160"/>
      <c r="CE564" s="160"/>
      <c r="CF564" s="160"/>
    </row>
    <row r="565">
      <c r="D565" s="159"/>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c r="BD565" s="160"/>
      <c r="BE565" s="160"/>
      <c r="BF565" s="160"/>
      <c r="BG565" s="160"/>
      <c r="BH565" s="160"/>
      <c r="BI565" s="160"/>
      <c r="BJ565" s="160"/>
      <c r="BK565" s="160"/>
      <c r="BL565" s="160"/>
      <c r="BM565" s="160"/>
      <c r="BN565" s="160"/>
      <c r="BO565" s="160"/>
      <c r="BP565" s="160"/>
      <c r="BQ565" s="160"/>
      <c r="BR565" s="160"/>
      <c r="BS565" s="160"/>
      <c r="BT565" s="160"/>
      <c r="BU565" s="160"/>
      <c r="BV565" s="160"/>
      <c r="BW565" s="160"/>
      <c r="BX565" s="160"/>
      <c r="BY565" s="160"/>
      <c r="BZ565" s="160"/>
      <c r="CA565" s="160"/>
      <c r="CB565" s="160"/>
      <c r="CC565" s="160"/>
      <c r="CD565" s="160"/>
      <c r="CE565" s="160"/>
      <c r="CF565" s="160"/>
    </row>
    <row r="566">
      <c r="D566" s="159"/>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c r="BD566" s="160"/>
      <c r="BE566" s="160"/>
      <c r="BF566" s="160"/>
      <c r="BG566" s="160"/>
      <c r="BH566" s="160"/>
      <c r="BI566" s="160"/>
      <c r="BJ566" s="160"/>
      <c r="BK566" s="160"/>
      <c r="BL566" s="160"/>
      <c r="BM566" s="160"/>
      <c r="BN566" s="160"/>
      <c r="BO566" s="160"/>
      <c r="BP566" s="160"/>
      <c r="BQ566" s="160"/>
      <c r="BR566" s="160"/>
      <c r="BS566" s="160"/>
      <c r="BT566" s="160"/>
      <c r="BU566" s="160"/>
      <c r="BV566" s="160"/>
      <c r="BW566" s="160"/>
      <c r="BX566" s="160"/>
      <c r="BY566" s="160"/>
      <c r="BZ566" s="160"/>
      <c r="CA566" s="160"/>
      <c r="CB566" s="160"/>
      <c r="CC566" s="160"/>
      <c r="CD566" s="160"/>
      <c r="CE566" s="160"/>
      <c r="CF566" s="160"/>
    </row>
    <row r="567">
      <c r="D567" s="159"/>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c r="BD567" s="160"/>
      <c r="BE567" s="160"/>
      <c r="BF567" s="160"/>
      <c r="BG567" s="160"/>
      <c r="BH567" s="160"/>
      <c r="BI567" s="160"/>
      <c r="BJ567" s="160"/>
      <c r="BK567" s="160"/>
      <c r="BL567" s="160"/>
      <c r="BM567" s="160"/>
      <c r="BN567" s="160"/>
      <c r="BO567" s="160"/>
      <c r="BP567" s="160"/>
      <c r="BQ567" s="160"/>
      <c r="BR567" s="160"/>
      <c r="BS567" s="160"/>
      <c r="BT567" s="160"/>
      <c r="BU567" s="160"/>
      <c r="BV567" s="160"/>
      <c r="BW567" s="160"/>
      <c r="BX567" s="160"/>
      <c r="BY567" s="160"/>
      <c r="BZ567" s="160"/>
      <c r="CA567" s="160"/>
      <c r="CB567" s="160"/>
      <c r="CC567" s="160"/>
      <c r="CD567" s="160"/>
      <c r="CE567" s="160"/>
      <c r="CF567" s="160"/>
    </row>
    <row r="568">
      <c r="D568" s="159"/>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c r="BD568" s="160"/>
      <c r="BE568" s="160"/>
      <c r="BF568" s="160"/>
      <c r="BG568" s="160"/>
      <c r="BH568" s="160"/>
      <c r="BI568" s="160"/>
      <c r="BJ568" s="160"/>
      <c r="BK568" s="160"/>
      <c r="BL568" s="160"/>
      <c r="BM568" s="160"/>
      <c r="BN568" s="160"/>
      <c r="BO568" s="160"/>
      <c r="BP568" s="160"/>
      <c r="BQ568" s="160"/>
      <c r="BR568" s="160"/>
      <c r="BS568" s="160"/>
      <c r="BT568" s="160"/>
      <c r="BU568" s="160"/>
      <c r="BV568" s="160"/>
      <c r="BW568" s="160"/>
      <c r="BX568" s="160"/>
      <c r="BY568" s="160"/>
      <c r="BZ568" s="160"/>
      <c r="CA568" s="160"/>
      <c r="CB568" s="160"/>
      <c r="CC568" s="160"/>
      <c r="CD568" s="160"/>
      <c r="CE568" s="160"/>
      <c r="CF568" s="160"/>
    </row>
    <row r="569">
      <c r="D569" s="159"/>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c r="BD569" s="160"/>
      <c r="BE569" s="160"/>
      <c r="BF569" s="160"/>
      <c r="BG569" s="160"/>
      <c r="BH569" s="160"/>
      <c r="BI569" s="160"/>
      <c r="BJ569" s="160"/>
      <c r="BK569" s="160"/>
      <c r="BL569" s="160"/>
      <c r="BM569" s="160"/>
      <c r="BN569" s="160"/>
      <c r="BO569" s="160"/>
      <c r="BP569" s="160"/>
      <c r="BQ569" s="160"/>
      <c r="BR569" s="160"/>
      <c r="BS569" s="160"/>
      <c r="BT569" s="160"/>
      <c r="BU569" s="160"/>
      <c r="BV569" s="160"/>
      <c r="BW569" s="160"/>
      <c r="BX569" s="160"/>
      <c r="BY569" s="160"/>
      <c r="BZ569" s="160"/>
      <c r="CA569" s="160"/>
      <c r="CB569" s="160"/>
      <c r="CC569" s="160"/>
      <c r="CD569" s="160"/>
      <c r="CE569" s="160"/>
      <c r="CF569" s="160"/>
    </row>
    <row r="570">
      <c r="D570" s="159"/>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c r="BD570" s="160"/>
      <c r="BE570" s="160"/>
      <c r="BF570" s="160"/>
      <c r="BG570" s="160"/>
      <c r="BH570" s="160"/>
      <c r="BI570" s="160"/>
      <c r="BJ570" s="160"/>
      <c r="BK570" s="160"/>
      <c r="BL570" s="160"/>
      <c r="BM570" s="160"/>
      <c r="BN570" s="160"/>
      <c r="BO570" s="160"/>
      <c r="BP570" s="160"/>
      <c r="BQ570" s="160"/>
      <c r="BR570" s="160"/>
      <c r="BS570" s="160"/>
      <c r="BT570" s="160"/>
      <c r="BU570" s="160"/>
      <c r="BV570" s="160"/>
      <c r="BW570" s="160"/>
      <c r="BX570" s="160"/>
      <c r="BY570" s="160"/>
      <c r="BZ570" s="160"/>
      <c r="CA570" s="160"/>
      <c r="CB570" s="160"/>
      <c r="CC570" s="160"/>
      <c r="CD570" s="160"/>
      <c r="CE570" s="160"/>
      <c r="CF570" s="160"/>
    </row>
    <row r="571">
      <c r="D571" s="159"/>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c r="BD571" s="160"/>
      <c r="BE571" s="160"/>
      <c r="BF571" s="160"/>
      <c r="BG571" s="160"/>
      <c r="BH571" s="160"/>
      <c r="BI571" s="160"/>
      <c r="BJ571" s="160"/>
      <c r="BK571" s="160"/>
      <c r="BL571" s="160"/>
      <c r="BM571" s="160"/>
      <c r="BN571" s="160"/>
      <c r="BO571" s="160"/>
      <c r="BP571" s="160"/>
      <c r="BQ571" s="160"/>
      <c r="BR571" s="160"/>
      <c r="BS571" s="160"/>
      <c r="BT571" s="160"/>
      <c r="BU571" s="160"/>
      <c r="BV571" s="160"/>
      <c r="BW571" s="160"/>
      <c r="BX571" s="160"/>
      <c r="BY571" s="160"/>
      <c r="BZ571" s="160"/>
      <c r="CA571" s="160"/>
      <c r="CB571" s="160"/>
      <c r="CC571" s="160"/>
      <c r="CD571" s="160"/>
      <c r="CE571" s="160"/>
      <c r="CF571" s="160"/>
    </row>
    <row r="572">
      <c r="D572" s="159"/>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c r="BD572" s="160"/>
      <c r="BE572" s="160"/>
      <c r="BF572" s="160"/>
      <c r="BG572" s="160"/>
      <c r="BH572" s="160"/>
      <c r="BI572" s="160"/>
      <c r="BJ572" s="160"/>
      <c r="BK572" s="160"/>
      <c r="BL572" s="160"/>
      <c r="BM572" s="160"/>
      <c r="BN572" s="160"/>
      <c r="BO572" s="160"/>
      <c r="BP572" s="160"/>
      <c r="BQ572" s="160"/>
      <c r="BR572" s="160"/>
      <c r="BS572" s="160"/>
      <c r="BT572" s="160"/>
      <c r="BU572" s="160"/>
      <c r="BV572" s="160"/>
      <c r="BW572" s="160"/>
      <c r="BX572" s="160"/>
      <c r="BY572" s="160"/>
      <c r="BZ572" s="160"/>
      <c r="CA572" s="160"/>
      <c r="CB572" s="160"/>
      <c r="CC572" s="160"/>
      <c r="CD572" s="160"/>
      <c r="CE572" s="160"/>
      <c r="CF572" s="160"/>
    </row>
    <row r="573">
      <c r="D573" s="159"/>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c r="BD573" s="160"/>
      <c r="BE573" s="160"/>
      <c r="BF573" s="160"/>
      <c r="BG573" s="160"/>
      <c r="BH573" s="160"/>
      <c r="BI573" s="160"/>
      <c r="BJ573" s="160"/>
      <c r="BK573" s="160"/>
      <c r="BL573" s="160"/>
      <c r="BM573" s="160"/>
      <c r="BN573" s="160"/>
      <c r="BO573" s="160"/>
      <c r="BP573" s="160"/>
      <c r="BQ573" s="160"/>
      <c r="BR573" s="160"/>
      <c r="BS573" s="160"/>
      <c r="BT573" s="160"/>
      <c r="BU573" s="160"/>
      <c r="BV573" s="160"/>
      <c r="BW573" s="160"/>
      <c r="BX573" s="160"/>
      <c r="BY573" s="160"/>
      <c r="BZ573" s="160"/>
      <c r="CA573" s="160"/>
      <c r="CB573" s="160"/>
      <c r="CC573" s="160"/>
      <c r="CD573" s="160"/>
      <c r="CE573" s="160"/>
      <c r="CF573" s="160"/>
    </row>
    <row r="574">
      <c r="D574" s="159"/>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c r="BD574" s="160"/>
      <c r="BE574" s="160"/>
      <c r="BF574" s="160"/>
      <c r="BG574" s="160"/>
      <c r="BH574" s="160"/>
      <c r="BI574" s="160"/>
      <c r="BJ574" s="160"/>
      <c r="BK574" s="160"/>
      <c r="BL574" s="160"/>
      <c r="BM574" s="160"/>
      <c r="BN574" s="160"/>
      <c r="BO574" s="160"/>
      <c r="BP574" s="160"/>
      <c r="BQ574" s="160"/>
      <c r="BR574" s="160"/>
      <c r="BS574" s="160"/>
      <c r="BT574" s="160"/>
      <c r="BU574" s="160"/>
      <c r="BV574" s="160"/>
      <c r="BW574" s="160"/>
      <c r="BX574" s="160"/>
      <c r="BY574" s="160"/>
      <c r="BZ574" s="160"/>
      <c r="CA574" s="160"/>
      <c r="CB574" s="160"/>
      <c r="CC574" s="160"/>
      <c r="CD574" s="160"/>
      <c r="CE574" s="160"/>
      <c r="CF574" s="160"/>
    </row>
    <row r="575">
      <c r="D575" s="159"/>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c r="BD575" s="160"/>
      <c r="BE575" s="160"/>
      <c r="BF575" s="160"/>
      <c r="BG575" s="160"/>
      <c r="BH575" s="160"/>
      <c r="BI575" s="160"/>
      <c r="BJ575" s="160"/>
      <c r="BK575" s="160"/>
      <c r="BL575" s="160"/>
      <c r="BM575" s="160"/>
      <c r="BN575" s="160"/>
      <c r="BO575" s="160"/>
      <c r="BP575" s="160"/>
      <c r="BQ575" s="160"/>
      <c r="BR575" s="160"/>
      <c r="BS575" s="160"/>
      <c r="BT575" s="160"/>
      <c r="BU575" s="160"/>
      <c r="BV575" s="160"/>
      <c r="BW575" s="160"/>
      <c r="BX575" s="160"/>
      <c r="BY575" s="160"/>
      <c r="BZ575" s="160"/>
      <c r="CA575" s="160"/>
      <c r="CB575" s="160"/>
      <c r="CC575" s="160"/>
      <c r="CD575" s="160"/>
      <c r="CE575" s="160"/>
      <c r="CF575" s="160"/>
    </row>
    <row r="576">
      <c r="D576" s="159"/>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c r="BD576" s="160"/>
      <c r="BE576" s="160"/>
      <c r="BF576" s="160"/>
      <c r="BG576" s="160"/>
      <c r="BH576" s="160"/>
      <c r="BI576" s="160"/>
      <c r="BJ576" s="160"/>
      <c r="BK576" s="160"/>
      <c r="BL576" s="160"/>
      <c r="BM576" s="160"/>
      <c r="BN576" s="160"/>
      <c r="BO576" s="160"/>
      <c r="BP576" s="160"/>
      <c r="BQ576" s="160"/>
      <c r="BR576" s="160"/>
      <c r="BS576" s="160"/>
      <c r="BT576" s="160"/>
      <c r="BU576" s="160"/>
      <c r="BV576" s="160"/>
      <c r="BW576" s="160"/>
      <c r="BX576" s="160"/>
      <c r="BY576" s="160"/>
      <c r="BZ576" s="160"/>
      <c r="CA576" s="160"/>
      <c r="CB576" s="160"/>
      <c r="CC576" s="160"/>
      <c r="CD576" s="160"/>
      <c r="CE576" s="160"/>
      <c r="CF576" s="160"/>
    </row>
    <row r="577">
      <c r="D577" s="159"/>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c r="BD577" s="160"/>
      <c r="BE577" s="160"/>
      <c r="BF577" s="160"/>
      <c r="BG577" s="160"/>
      <c r="BH577" s="160"/>
      <c r="BI577" s="160"/>
      <c r="BJ577" s="160"/>
      <c r="BK577" s="160"/>
      <c r="BL577" s="160"/>
      <c r="BM577" s="160"/>
      <c r="BN577" s="160"/>
      <c r="BO577" s="160"/>
      <c r="BP577" s="160"/>
      <c r="BQ577" s="160"/>
      <c r="BR577" s="160"/>
      <c r="BS577" s="160"/>
      <c r="BT577" s="160"/>
      <c r="BU577" s="160"/>
      <c r="BV577" s="160"/>
      <c r="BW577" s="160"/>
      <c r="BX577" s="160"/>
      <c r="BY577" s="160"/>
      <c r="BZ577" s="160"/>
      <c r="CA577" s="160"/>
      <c r="CB577" s="160"/>
      <c r="CC577" s="160"/>
      <c r="CD577" s="160"/>
      <c r="CE577" s="160"/>
      <c r="CF577" s="160"/>
    </row>
    <row r="578">
      <c r="D578" s="159"/>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c r="BD578" s="160"/>
      <c r="BE578" s="160"/>
      <c r="BF578" s="160"/>
      <c r="BG578" s="160"/>
      <c r="BH578" s="160"/>
      <c r="BI578" s="160"/>
      <c r="BJ578" s="160"/>
      <c r="BK578" s="160"/>
      <c r="BL578" s="160"/>
      <c r="BM578" s="160"/>
      <c r="BN578" s="160"/>
      <c r="BO578" s="160"/>
      <c r="BP578" s="160"/>
      <c r="BQ578" s="160"/>
      <c r="BR578" s="160"/>
      <c r="BS578" s="160"/>
      <c r="BT578" s="160"/>
      <c r="BU578" s="160"/>
      <c r="BV578" s="160"/>
      <c r="BW578" s="160"/>
      <c r="BX578" s="160"/>
      <c r="BY578" s="160"/>
      <c r="BZ578" s="160"/>
      <c r="CA578" s="160"/>
      <c r="CB578" s="160"/>
      <c r="CC578" s="160"/>
      <c r="CD578" s="160"/>
      <c r="CE578" s="160"/>
      <c r="CF578" s="160"/>
    </row>
    <row r="579">
      <c r="D579" s="159"/>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c r="BD579" s="160"/>
      <c r="BE579" s="160"/>
      <c r="BF579" s="160"/>
      <c r="BG579" s="160"/>
      <c r="BH579" s="160"/>
      <c r="BI579" s="160"/>
      <c r="BJ579" s="160"/>
      <c r="BK579" s="160"/>
      <c r="BL579" s="160"/>
      <c r="BM579" s="160"/>
      <c r="BN579" s="160"/>
      <c r="BO579" s="160"/>
      <c r="BP579" s="160"/>
      <c r="BQ579" s="160"/>
      <c r="BR579" s="160"/>
      <c r="BS579" s="160"/>
      <c r="BT579" s="160"/>
      <c r="BU579" s="160"/>
      <c r="BV579" s="160"/>
      <c r="BW579" s="160"/>
      <c r="BX579" s="160"/>
      <c r="BY579" s="160"/>
      <c r="BZ579" s="160"/>
      <c r="CA579" s="160"/>
      <c r="CB579" s="160"/>
      <c r="CC579" s="160"/>
      <c r="CD579" s="160"/>
      <c r="CE579" s="160"/>
      <c r="CF579" s="160"/>
    </row>
    <row r="580">
      <c r="D580" s="159"/>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c r="BD580" s="160"/>
      <c r="BE580" s="160"/>
      <c r="BF580" s="160"/>
      <c r="BG580" s="160"/>
      <c r="BH580" s="160"/>
      <c r="BI580" s="160"/>
      <c r="BJ580" s="160"/>
      <c r="BK580" s="160"/>
      <c r="BL580" s="160"/>
      <c r="BM580" s="160"/>
      <c r="BN580" s="160"/>
      <c r="BO580" s="160"/>
      <c r="BP580" s="160"/>
      <c r="BQ580" s="160"/>
      <c r="BR580" s="160"/>
      <c r="BS580" s="160"/>
      <c r="BT580" s="160"/>
      <c r="BU580" s="160"/>
      <c r="BV580" s="160"/>
      <c r="BW580" s="160"/>
      <c r="BX580" s="160"/>
      <c r="BY580" s="160"/>
      <c r="BZ580" s="160"/>
      <c r="CA580" s="160"/>
      <c r="CB580" s="160"/>
      <c r="CC580" s="160"/>
      <c r="CD580" s="160"/>
      <c r="CE580" s="160"/>
      <c r="CF580" s="160"/>
    </row>
    <row r="581">
      <c r="D581" s="159"/>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c r="BD581" s="160"/>
      <c r="BE581" s="160"/>
      <c r="BF581" s="160"/>
      <c r="BG581" s="160"/>
      <c r="BH581" s="160"/>
      <c r="BI581" s="160"/>
      <c r="BJ581" s="160"/>
      <c r="BK581" s="160"/>
      <c r="BL581" s="160"/>
      <c r="BM581" s="160"/>
      <c r="BN581" s="160"/>
      <c r="BO581" s="160"/>
      <c r="BP581" s="160"/>
      <c r="BQ581" s="160"/>
      <c r="BR581" s="160"/>
      <c r="BS581" s="160"/>
      <c r="BT581" s="160"/>
      <c r="BU581" s="160"/>
      <c r="BV581" s="160"/>
      <c r="BW581" s="160"/>
      <c r="BX581" s="160"/>
      <c r="BY581" s="160"/>
      <c r="BZ581" s="160"/>
      <c r="CA581" s="160"/>
      <c r="CB581" s="160"/>
      <c r="CC581" s="160"/>
      <c r="CD581" s="160"/>
      <c r="CE581" s="160"/>
      <c r="CF581" s="160"/>
    </row>
    <row r="582">
      <c r="D582" s="159"/>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c r="BD582" s="160"/>
      <c r="BE582" s="160"/>
      <c r="BF582" s="160"/>
      <c r="BG582" s="160"/>
      <c r="BH582" s="160"/>
      <c r="BI582" s="160"/>
      <c r="BJ582" s="160"/>
      <c r="BK582" s="160"/>
      <c r="BL582" s="160"/>
      <c r="BM582" s="160"/>
      <c r="BN582" s="160"/>
      <c r="BO582" s="160"/>
      <c r="BP582" s="160"/>
      <c r="BQ582" s="160"/>
      <c r="BR582" s="160"/>
      <c r="BS582" s="160"/>
      <c r="BT582" s="160"/>
      <c r="BU582" s="160"/>
      <c r="BV582" s="160"/>
      <c r="BW582" s="160"/>
      <c r="BX582" s="160"/>
      <c r="BY582" s="160"/>
      <c r="BZ582" s="160"/>
      <c r="CA582" s="160"/>
      <c r="CB582" s="160"/>
      <c r="CC582" s="160"/>
      <c r="CD582" s="160"/>
      <c r="CE582" s="160"/>
      <c r="CF582" s="160"/>
    </row>
    <row r="583">
      <c r="D583" s="159"/>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c r="BD583" s="160"/>
      <c r="BE583" s="160"/>
      <c r="BF583" s="160"/>
      <c r="BG583" s="160"/>
      <c r="BH583" s="160"/>
      <c r="BI583" s="160"/>
      <c r="BJ583" s="160"/>
      <c r="BK583" s="160"/>
      <c r="BL583" s="160"/>
      <c r="BM583" s="160"/>
      <c r="BN583" s="160"/>
      <c r="BO583" s="160"/>
      <c r="BP583" s="160"/>
      <c r="BQ583" s="160"/>
      <c r="BR583" s="160"/>
      <c r="BS583" s="160"/>
      <c r="BT583" s="160"/>
      <c r="BU583" s="160"/>
      <c r="BV583" s="160"/>
      <c r="BW583" s="160"/>
      <c r="BX583" s="160"/>
      <c r="BY583" s="160"/>
      <c r="BZ583" s="160"/>
      <c r="CA583" s="160"/>
      <c r="CB583" s="160"/>
      <c r="CC583" s="160"/>
      <c r="CD583" s="160"/>
      <c r="CE583" s="160"/>
      <c r="CF583" s="160"/>
    </row>
    <row r="584">
      <c r="D584" s="159"/>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c r="BD584" s="160"/>
      <c r="BE584" s="160"/>
      <c r="BF584" s="160"/>
      <c r="BG584" s="160"/>
      <c r="BH584" s="160"/>
      <c r="BI584" s="160"/>
      <c r="BJ584" s="160"/>
      <c r="BK584" s="160"/>
      <c r="BL584" s="160"/>
      <c r="BM584" s="160"/>
      <c r="BN584" s="160"/>
      <c r="BO584" s="160"/>
      <c r="BP584" s="160"/>
      <c r="BQ584" s="160"/>
      <c r="BR584" s="160"/>
      <c r="BS584" s="160"/>
      <c r="BT584" s="160"/>
      <c r="BU584" s="160"/>
      <c r="BV584" s="160"/>
      <c r="BW584" s="160"/>
      <c r="BX584" s="160"/>
      <c r="BY584" s="160"/>
      <c r="BZ584" s="160"/>
      <c r="CA584" s="160"/>
      <c r="CB584" s="160"/>
      <c r="CC584" s="160"/>
      <c r="CD584" s="160"/>
      <c r="CE584" s="160"/>
      <c r="CF584" s="160"/>
    </row>
    <row r="585">
      <c r="D585" s="159"/>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c r="BD585" s="160"/>
      <c r="BE585" s="160"/>
      <c r="BF585" s="160"/>
      <c r="BG585" s="160"/>
      <c r="BH585" s="160"/>
      <c r="BI585" s="160"/>
      <c r="BJ585" s="160"/>
      <c r="BK585" s="160"/>
      <c r="BL585" s="160"/>
      <c r="BM585" s="160"/>
      <c r="BN585" s="160"/>
      <c r="BO585" s="160"/>
      <c r="BP585" s="160"/>
      <c r="BQ585" s="160"/>
      <c r="BR585" s="160"/>
      <c r="BS585" s="160"/>
      <c r="BT585" s="160"/>
      <c r="BU585" s="160"/>
      <c r="BV585" s="160"/>
      <c r="BW585" s="160"/>
      <c r="BX585" s="160"/>
      <c r="BY585" s="160"/>
      <c r="BZ585" s="160"/>
      <c r="CA585" s="160"/>
      <c r="CB585" s="160"/>
      <c r="CC585" s="160"/>
      <c r="CD585" s="160"/>
      <c r="CE585" s="160"/>
      <c r="CF585" s="160"/>
    </row>
    <row r="586">
      <c r="D586" s="159"/>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c r="BD586" s="160"/>
      <c r="BE586" s="160"/>
      <c r="BF586" s="160"/>
      <c r="BG586" s="160"/>
      <c r="BH586" s="160"/>
      <c r="BI586" s="160"/>
      <c r="BJ586" s="160"/>
      <c r="BK586" s="160"/>
      <c r="BL586" s="160"/>
      <c r="BM586" s="160"/>
      <c r="BN586" s="160"/>
      <c r="BO586" s="160"/>
      <c r="BP586" s="160"/>
      <c r="BQ586" s="160"/>
      <c r="BR586" s="160"/>
      <c r="BS586" s="160"/>
      <c r="BT586" s="160"/>
      <c r="BU586" s="160"/>
      <c r="BV586" s="160"/>
      <c r="BW586" s="160"/>
      <c r="BX586" s="160"/>
      <c r="BY586" s="160"/>
      <c r="BZ586" s="160"/>
      <c r="CA586" s="160"/>
      <c r="CB586" s="160"/>
      <c r="CC586" s="160"/>
      <c r="CD586" s="160"/>
      <c r="CE586" s="160"/>
      <c r="CF586" s="160"/>
    </row>
    <row r="587">
      <c r="D587" s="159"/>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c r="BD587" s="160"/>
      <c r="BE587" s="160"/>
      <c r="BF587" s="160"/>
      <c r="BG587" s="160"/>
      <c r="BH587" s="160"/>
      <c r="BI587" s="160"/>
      <c r="BJ587" s="160"/>
      <c r="BK587" s="160"/>
      <c r="BL587" s="160"/>
      <c r="BM587" s="160"/>
      <c r="BN587" s="160"/>
      <c r="BO587" s="160"/>
      <c r="BP587" s="160"/>
      <c r="BQ587" s="160"/>
      <c r="BR587" s="160"/>
      <c r="BS587" s="160"/>
      <c r="BT587" s="160"/>
      <c r="BU587" s="160"/>
      <c r="BV587" s="160"/>
      <c r="BW587" s="160"/>
      <c r="BX587" s="160"/>
      <c r="BY587" s="160"/>
      <c r="BZ587" s="160"/>
      <c r="CA587" s="160"/>
      <c r="CB587" s="160"/>
      <c r="CC587" s="160"/>
      <c r="CD587" s="160"/>
      <c r="CE587" s="160"/>
      <c r="CF587" s="160"/>
    </row>
    <row r="588">
      <c r="D588" s="159"/>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60"/>
      <c r="AX588" s="160"/>
      <c r="AY588" s="160"/>
      <c r="AZ588" s="160"/>
      <c r="BA588" s="160"/>
      <c r="BB588" s="160"/>
      <c r="BC588" s="160"/>
      <c r="BD588" s="160"/>
      <c r="BE588" s="160"/>
      <c r="BF588" s="160"/>
      <c r="BG588" s="160"/>
      <c r="BH588" s="160"/>
      <c r="BI588" s="160"/>
      <c r="BJ588" s="160"/>
      <c r="BK588" s="160"/>
      <c r="BL588" s="160"/>
      <c r="BM588" s="160"/>
      <c r="BN588" s="160"/>
      <c r="BO588" s="160"/>
      <c r="BP588" s="160"/>
      <c r="BQ588" s="160"/>
      <c r="BR588" s="160"/>
      <c r="BS588" s="160"/>
      <c r="BT588" s="160"/>
      <c r="BU588" s="160"/>
      <c r="BV588" s="160"/>
      <c r="BW588" s="160"/>
      <c r="BX588" s="160"/>
      <c r="BY588" s="160"/>
      <c r="BZ588" s="160"/>
      <c r="CA588" s="160"/>
      <c r="CB588" s="160"/>
      <c r="CC588" s="160"/>
      <c r="CD588" s="160"/>
      <c r="CE588" s="160"/>
      <c r="CF588" s="160"/>
    </row>
    <row r="589">
      <c r="D589" s="159"/>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c r="BD589" s="160"/>
      <c r="BE589" s="160"/>
      <c r="BF589" s="160"/>
      <c r="BG589" s="160"/>
      <c r="BH589" s="160"/>
      <c r="BI589" s="160"/>
      <c r="BJ589" s="160"/>
      <c r="BK589" s="160"/>
      <c r="BL589" s="160"/>
      <c r="BM589" s="160"/>
      <c r="BN589" s="160"/>
      <c r="BO589" s="160"/>
      <c r="BP589" s="160"/>
      <c r="BQ589" s="160"/>
      <c r="BR589" s="160"/>
      <c r="BS589" s="160"/>
      <c r="BT589" s="160"/>
      <c r="BU589" s="160"/>
      <c r="BV589" s="160"/>
      <c r="BW589" s="160"/>
      <c r="BX589" s="160"/>
      <c r="BY589" s="160"/>
      <c r="BZ589" s="160"/>
      <c r="CA589" s="160"/>
      <c r="CB589" s="160"/>
      <c r="CC589" s="160"/>
      <c r="CD589" s="160"/>
      <c r="CE589" s="160"/>
      <c r="CF589" s="160"/>
    </row>
    <row r="590">
      <c r="D590" s="159"/>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c r="BD590" s="160"/>
      <c r="BE590" s="160"/>
      <c r="BF590" s="160"/>
      <c r="BG590" s="160"/>
      <c r="BH590" s="160"/>
      <c r="BI590" s="160"/>
      <c r="BJ590" s="160"/>
      <c r="BK590" s="160"/>
      <c r="BL590" s="160"/>
      <c r="BM590" s="160"/>
      <c r="BN590" s="160"/>
      <c r="BO590" s="160"/>
      <c r="BP590" s="160"/>
      <c r="BQ590" s="160"/>
      <c r="BR590" s="160"/>
      <c r="BS590" s="160"/>
      <c r="BT590" s="160"/>
      <c r="BU590" s="160"/>
      <c r="BV590" s="160"/>
      <c r="BW590" s="160"/>
      <c r="BX590" s="160"/>
      <c r="BY590" s="160"/>
      <c r="BZ590" s="160"/>
      <c r="CA590" s="160"/>
      <c r="CB590" s="160"/>
      <c r="CC590" s="160"/>
      <c r="CD590" s="160"/>
      <c r="CE590" s="160"/>
      <c r="CF590" s="160"/>
    </row>
    <row r="591">
      <c r="D591" s="159"/>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c r="BD591" s="160"/>
      <c r="BE591" s="160"/>
      <c r="BF591" s="160"/>
      <c r="BG591" s="160"/>
      <c r="BH591" s="160"/>
      <c r="BI591" s="160"/>
      <c r="BJ591" s="160"/>
      <c r="BK591" s="160"/>
      <c r="BL591" s="160"/>
      <c r="BM591" s="160"/>
      <c r="BN591" s="160"/>
      <c r="BO591" s="160"/>
      <c r="BP591" s="160"/>
      <c r="BQ591" s="160"/>
      <c r="BR591" s="160"/>
      <c r="BS591" s="160"/>
      <c r="BT591" s="160"/>
      <c r="BU591" s="160"/>
      <c r="BV591" s="160"/>
      <c r="BW591" s="160"/>
      <c r="BX591" s="160"/>
      <c r="BY591" s="160"/>
      <c r="BZ591" s="160"/>
      <c r="CA591" s="160"/>
      <c r="CB591" s="160"/>
      <c r="CC591" s="160"/>
      <c r="CD591" s="160"/>
      <c r="CE591" s="160"/>
      <c r="CF591" s="160"/>
    </row>
    <row r="592">
      <c r="D592" s="159"/>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c r="BD592" s="160"/>
      <c r="BE592" s="160"/>
      <c r="BF592" s="160"/>
      <c r="BG592" s="160"/>
      <c r="BH592" s="160"/>
      <c r="BI592" s="160"/>
      <c r="BJ592" s="160"/>
      <c r="BK592" s="160"/>
      <c r="BL592" s="160"/>
      <c r="BM592" s="160"/>
      <c r="BN592" s="160"/>
      <c r="BO592" s="160"/>
      <c r="BP592" s="160"/>
      <c r="BQ592" s="160"/>
      <c r="BR592" s="160"/>
      <c r="BS592" s="160"/>
      <c r="BT592" s="160"/>
      <c r="BU592" s="160"/>
      <c r="BV592" s="160"/>
      <c r="BW592" s="160"/>
      <c r="BX592" s="160"/>
      <c r="BY592" s="160"/>
      <c r="BZ592" s="160"/>
      <c r="CA592" s="160"/>
      <c r="CB592" s="160"/>
      <c r="CC592" s="160"/>
      <c r="CD592" s="160"/>
      <c r="CE592" s="160"/>
      <c r="CF592" s="160"/>
    </row>
    <row r="593">
      <c r="D593" s="159"/>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c r="BD593" s="160"/>
      <c r="BE593" s="160"/>
      <c r="BF593" s="160"/>
      <c r="BG593" s="160"/>
      <c r="BH593" s="160"/>
      <c r="BI593" s="160"/>
      <c r="BJ593" s="160"/>
      <c r="BK593" s="160"/>
      <c r="BL593" s="160"/>
      <c r="BM593" s="160"/>
      <c r="BN593" s="160"/>
      <c r="BO593" s="160"/>
      <c r="BP593" s="160"/>
      <c r="BQ593" s="160"/>
      <c r="BR593" s="160"/>
      <c r="BS593" s="160"/>
      <c r="BT593" s="160"/>
      <c r="BU593" s="160"/>
      <c r="BV593" s="160"/>
      <c r="BW593" s="160"/>
      <c r="BX593" s="160"/>
      <c r="BY593" s="160"/>
      <c r="BZ593" s="160"/>
      <c r="CA593" s="160"/>
      <c r="CB593" s="160"/>
      <c r="CC593" s="160"/>
      <c r="CD593" s="160"/>
      <c r="CE593" s="160"/>
      <c r="CF593" s="160"/>
    </row>
    <row r="594">
      <c r="D594" s="159"/>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c r="BD594" s="160"/>
      <c r="BE594" s="160"/>
      <c r="BF594" s="160"/>
      <c r="BG594" s="160"/>
      <c r="BH594" s="160"/>
      <c r="BI594" s="160"/>
      <c r="BJ594" s="160"/>
      <c r="BK594" s="160"/>
      <c r="BL594" s="160"/>
      <c r="BM594" s="160"/>
      <c r="BN594" s="160"/>
      <c r="BO594" s="160"/>
      <c r="BP594" s="160"/>
      <c r="BQ594" s="160"/>
      <c r="BR594" s="160"/>
      <c r="BS594" s="160"/>
      <c r="BT594" s="160"/>
      <c r="BU594" s="160"/>
      <c r="BV594" s="160"/>
      <c r="BW594" s="160"/>
      <c r="BX594" s="160"/>
      <c r="BY594" s="160"/>
      <c r="BZ594" s="160"/>
      <c r="CA594" s="160"/>
      <c r="CB594" s="160"/>
      <c r="CC594" s="160"/>
      <c r="CD594" s="160"/>
      <c r="CE594" s="160"/>
      <c r="CF594" s="160"/>
    </row>
    <row r="595">
      <c r="D595" s="159"/>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c r="BD595" s="160"/>
      <c r="BE595" s="160"/>
      <c r="BF595" s="160"/>
      <c r="BG595" s="160"/>
      <c r="BH595" s="160"/>
      <c r="BI595" s="160"/>
      <c r="BJ595" s="160"/>
      <c r="BK595" s="160"/>
      <c r="BL595" s="160"/>
      <c r="BM595" s="160"/>
      <c r="BN595" s="160"/>
      <c r="BO595" s="160"/>
      <c r="BP595" s="160"/>
      <c r="BQ595" s="160"/>
      <c r="BR595" s="160"/>
      <c r="BS595" s="160"/>
      <c r="BT595" s="160"/>
      <c r="BU595" s="160"/>
      <c r="BV595" s="160"/>
      <c r="BW595" s="160"/>
      <c r="BX595" s="160"/>
      <c r="BY595" s="160"/>
      <c r="BZ595" s="160"/>
      <c r="CA595" s="160"/>
      <c r="CB595" s="160"/>
      <c r="CC595" s="160"/>
      <c r="CD595" s="160"/>
      <c r="CE595" s="160"/>
      <c r="CF595" s="160"/>
    </row>
    <row r="596">
      <c r="D596" s="159"/>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c r="BD596" s="160"/>
      <c r="BE596" s="160"/>
      <c r="BF596" s="160"/>
      <c r="BG596" s="160"/>
      <c r="BH596" s="160"/>
      <c r="BI596" s="160"/>
      <c r="BJ596" s="160"/>
      <c r="BK596" s="160"/>
      <c r="BL596" s="160"/>
      <c r="BM596" s="160"/>
      <c r="BN596" s="160"/>
      <c r="BO596" s="160"/>
      <c r="BP596" s="160"/>
      <c r="BQ596" s="160"/>
      <c r="BR596" s="160"/>
      <c r="BS596" s="160"/>
      <c r="BT596" s="160"/>
      <c r="BU596" s="160"/>
      <c r="BV596" s="160"/>
      <c r="BW596" s="160"/>
      <c r="BX596" s="160"/>
      <c r="BY596" s="160"/>
      <c r="BZ596" s="160"/>
      <c r="CA596" s="160"/>
      <c r="CB596" s="160"/>
      <c r="CC596" s="160"/>
      <c r="CD596" s="160"/>
      <c r="CE596" s="160"/>
      <c r="CF596" s="160"/>
    </row>
    <row r="597">
      <c r="D597" s="159"/>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c r="BD597" s="160"/>
      <c r="BE597" s="160"/>
      <c r="BF597" s="160"/>
      <c r="BG597" s="160"/>
      <c r="BH597" s="160"/>
      <c r="BI597" s="160"/>
      <c r="BJ597" s="160"/>
      <c r="BK597" s="160"/>
      <c r="BL597" s="160"/>
      <c r="BM597" s="160"/>
      <c r="BN597" s="160"/>
      <c r="BO597" s="160"/>
      <c r="BP597" s="160"/>
      <c r="BQ597" s="160"/>
      <c r="BR597" s="160"/>
      <c r="BS597" s="160"/>
      <c r="BT597" s="160"/>
      <c r="BU597" s="160"/>
      <c r="BV597" s="160"/>
      <c r="BW597" s="160"/>
      <c r="BX597" s="160"/>
      <c r="BY597" s="160"/>
      <c r="BZ597" s="160"/>
      <c r="CA597" s="160"/>
      <c r="CB597" s="160"/>
      <c r="CC597" s="160"/>
      <c r="CD597" s="160"/>
      <c r="CE597" s="160"/>
      <c r="CF597" s="160"/>
    </row>
    <row r="598">
      <c r="D598" s="159"/>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c r="BD598" s="160"/>
      <c r="BE598" s="160"/>
      <c r="BF598" s="160"/>
      <c r="BG598" s="160"/>
      <c r="BH598" s="160"/>
      <c r="BI598" s="160"/>
      <c r="BJ598" s="160"/>
      <c r="BK598" s="160"/>
      <c r="BL598" s="160"/>
      <c r="BM598" s="160"/>
      <c r="BN598" s="160"/>
      <c r="BO598" s="160"/>
      <c r="BP598" s="160"/>
      <c r="BQ598" s="160"/>
      <c r="BR598" s="160"/>
      <c r="BS598" s="160"/>
      <c r="BT598" s="160"/>
      <c r="BU598" s="160"/>
      <c r="BV598" s="160"/>
      <c r="BW598" s="160"/>
      <c r="BX598" s="160"/>
      <c r="BY598" s="160"/>
      <c r="BZ598" s="160"/>
      <c r="CA598" s="160"/>
      <c r="CB598" s="160"/>
      <c r="CC598" s="160"/>
      <c r="CD598" s="160"/>
      <c r="CE598" s="160"/>
      <c r="CF598" s="160"/>
    </row>
    <row r="599">
      <c r="D599" s="159"/>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c r="BD599" s="160"/>
      <c r="BE599" s="160"/>
      <c r="BF599" s="160"/>
      <c r="BG599" s="160"/>
      <c r="BH599" s="160"/>
      <c r="BI599" s="160"/>
      <c r="BJ599" s="160"/>
      <c r="BK599" s="160"/>
      <c r="BL599" s="160"/>
      <c r="BM599" s="160"/>
      <c r="BN599" s="160"/>
      <c r="BO599" s="160"/>
      <c r="BP599" s="160"/>
      <c r="BQ599" s="160"/>
      <c r="BR599" s="160"/>
      <c r="BS599" s="160"/>
      <c r="BT599" s="160"/>
      <c r="BU599" s="160"/>
      <c r="BV599" s="160"/>
      <c r="BW599" s="160"/>
      <c r="BX599" s="160"/>
      <c r="BY599" s="160"/>
      <c r="BZ599" s="160"/>
      <c r="CA599" s="160"/>
      <c r="CB599" s="160"/>
      <c r="CC599" s="160"/>
      <c r="CD599" s="160"/>
      <c r="CE599" s="160"/>
      <c r="CF599" s="160"/>
    </row>
    <row r="600">
      <c r="D600" s="159"/>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c r="BD600" s="160"/>
      <c r="BE600" s="160"/>
      <c r="BF600" s="160"/>
      <c r="BG600" s="160"/>
      <c r="BH600" s="160"/>
      <c r="BI600" s="160"/>
      <c r="BJ600" s="160"/>
      <c r="BK600" s="160"/>
      <c r="BL600" s="160"/>
      <c r="BM600" s="160"/>
      <c r="BN600" s="160"/>
      <c r="BO600" s="160"/>
      <c r="BP600" s="160"/>
      <c r="BQ600" s="160"/>
      <c r="BR600" s="160"/>
      <c r="BS600" s="160"/>
      <c r="BT600" s="160"/>
      <c r="BU600" s="160"/>
      <c r="BV600" s="160"/>
      <c r="BW600" s="160"/>
      <c r="BX600" s="160"/>
      <c r="BY600" s="160"/>
      <c r="BZ600" s="160"/>
      <c r="CA600" s="160"/>
      <c r="CB600" s="160"/>
      <c r="CC600" s="160"/>
      <c r="CD600" s="160"/>
      <c r="CE600" s="160"/>
      <c r="CF600" s="160"/>
    </row>
    <row r="601">
      <c r="D601" s="159"/>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c r="BD601" s="160"/>
      <c r="BE601" s="160"/>
      <c r="BF601" s="160"/>
      <c r="BG601" s="160"/>
      <c r="BH601" s="160"/>
      <c r="BI601" s="160"/>
      <c r="BJ601" s="160"/>
      <c r="BK601" s="160"/>
      <c r="BL601" s="160"/>
      <c r="BM601" s="160"/>
      <c r="BN601" s="160"/>
      <c r="BO601" s="160"/>
      <c r="BP601" s="160"/>
      <c r="BQ601" s="160"/>
      <c r="BR601" s="160"/>
      <c r="BS601" s="160"/>
      <c r="BT601" s="160"/>
      <c r="BU601" s="160"/>
      <c r="BV601" s="160"/>
      <c r="BW601" s="160"/>
      <c r="BX601" s="160"/>
      <c r="BY601" s="160"/>
      <c r="BZ601" s="160"/>
      <c r="CA601" s="160"/>
      <c r="CB601" s="160"/>
      <c r="CC601" s="160"/>
      <c r="CD601" s="160"/>
      <c r="CE601" s="160"/>
      <c r="CF601" s="160"/>
    </row>
    <row r="602">
      <c r="D602" s="159"/>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c r="BD602" s="160"/>
      <c r="BE602" s="160"/>
      <c r="BF602" s="160"/>
      <c r="BG602" s="160"/>
      <c r="BH602" s="160"/>
      <c r="BI602" s="160"/>
      <c r="BJ602" s="160"/>
      <c r="BK602" s="160"/>
      <c r="BL602" s="160"/>
      <c r="BM602" s="160"/>
      <c r="BN602" s="160"/>
      <c r="BO602" s="160"/>
      <c r="BP602" s="160"/>
      <c r="BQ602" s="160"/>
      <c r="BR602" s="160"/>
      <c r="BS602" s="160"/>
      <c r="BT602" s="160"/>
      <c r="BU602" s="160"/>
      <c r="BV602" s="160"/>
      <c r="BW602" s="160"/>
      <c r="BX602" s="160"/>
      <c r="BY602" s="160"/>
      <c r="BZ602" s="160"/>
      <c r="CA602" s="160"/>
      <c r="CB602" s="160"/>
      <c r="CC602" s="160"/>
      <c r="CD602" s="160"/>
      <c r="CE602" s="160"/>
      <c r="CF602" s="160"/>
    </row>
    <row r="603">
      <c r="D603" s="159"/>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c r="BD603" s="160"/>
      <c r="BE603" s="160"/>
      <c r="BF603" s="160"/>
      <c r="BG603" s="160"/>
      <c r="BH603" s="160"/>
      <c r="BI603" s="160"/>
      <c r="BJ603" s="160"/>
      <c r="BK603" s="160"/>
      <c r="BL603" s="160"/>
      <c r="BM603" s="160"/>
      <c r="BN603" s="160"/>
      <c r="BO603" s="160"/>
      <c r="BP603" s="160"/>
      <c r="BQ603" s="160"/>
      <c r="BR603" s="160"/>
      <c r="BS603" s="160"/>
      <c r="BT603" s="160"/>
      <c r="BU603" s="160"/>
      <c r="BV603" s="160"/>
      <c r="BW603" s="160"/>
      <c r="BX603" s="160"/>
      <c r="BY603" s="160"/>
      <c r="BZ603" s="160"/>
      <c r="CA603" s="160"/>
      <c r="CB603" s="160"/>
      <c r="CC603" s="160"/>
      <c r="CD603" s="160"/>
      <c r="CE603" s="160"/>
      <c r="CF603" s="160"/>
    </row>
    <row r="604">
      <c r="D604" s="159"/>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c r="BD604" s="160"/>
      <c r="BE604" s="160"/>
      <c r="BF604" s="160"/>
      <c r="BG604" s="160"/>
      <c r="BH604" s="160"/>
      <c r="BI604" s="160"/>
      <c r="BJ604" s="160"/>
      <c r="BK604" s="160"/>
      <c r="BL604" s="160"/>
      <c r="BM604" s="160"/>
      <c r="BN604" s="160"/>
      <c r="BO604" s="160"/>
      <c r="BP604" s="160"/>
      <c r="BQ604" s="160"/>
      <c r="BR604" s="160"/>
      <c r="BS604" s="160"/>
      <c r="BT604" s="160"/>
      <c r="BU604" s="160"/>
      <c r="BV604" s="160"/>
      <c r="BW604" s="160"/>
      <c r="BX604" s="160"/>
      <c r="BY604" s="160"/>
      <c r="BZ604" s="160"/>
      <c r="CA604" s="160"/>
      <c r="CB604" s="160"/>
      <c r="CC604" s="160"/>
      <c r="CD604" s="160"/>
      <c r="CE604" s="160"/>
      <c r="CF604" s="160"/>
    </row>
    <row r="605">
      <c r="D605" s="159"/>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c r="BD605" s="160"/>
      <c r="BE605" s="160"/>
      <c r="BF605" s="160"/>
      <c r="BG605" s="160"/>
      <c r="BH605" s="160"/>
      <c r="BI605" s="160"/>
      <c r="BJ605" s="160"/>
      <c r="BK605" s="160"/>
      <c r="BL605" s="160"/>
      <c r="BM605" s="160"/>
      <c r="BN605" s="160"/>
      <c r="BO605" s="160"/>
      <c r="BP605" s="160"/>
      <c r="BQ605" s="160"/>
      <c r="BR605" s="160"/>
      <c r="BS605" s="160"/>
      <c r="BT605" s="160"/>
      <c r="BU605" s="160"/>
      <c r="BV605" s="160"/>
      <c r="BW605" s="160"/>
      <c r="BX605" s="160"/>
      <c r="BY605" s="160"/>
      <c r="BZ605" s="160"/>
      <c r="CA605" s="160"/>
      <c r="CB605" s="160"/>
      <c r="CC605" s="160"/>
      <c r="CD605" s="160"/>
      <c r="CE605" s="160"/>
      <c r="CF605" s="160"/>
    </row>
    <row r="606">
      <c r="D606" s="159"/>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c r="BD606" s="160"/>
      <c r="BE606" s="160"/>
      <c r="BF606" s="160"/>
      <c r="BG606" s="160"/>
      <c r="BH606" s="160"/>
      <c r="BI606" s="160"/>
      <c r="BJ606" s="160"/>
      <c r="BK606" s="160"/>
      <c r="BL606" s="160"/>
      <c r="BM606" s="160"/>
      <c r="BN606" s="160"/>
      <c r="BO606" s="160"/>
      <c r="BP606" s="160"/>
      <c r="BQ606" s="160"/>
      <c r="BR606" s="160"/>
      <c r="BS606" s="160"/>
      <c r="BT606" s="160"/>
      <c r="BU606" s="160"/>
      <c r="BV606" s="160"/>
      <c r="BW606" s="160"/>
      <c r="BX606" s="160"/>
      <c r="BY606" s="160"/>
      <c r="BZ606" s="160"/>
      <c r="CA606" s="160"/>
      <c r="CB606" s="160"/>
      <c r="CC606" s="160"/>
      <c r="CD606" s="160"/>
      <c r="CE606" s="160"/>
      <c r="CF606" s="160"/>
    </row>
    <row r="607">
      <c r="D607" s="159"/>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c r="BD607" s="160"/>
      <c r="BE607" s="160"/>
      <c r="BF607" s="160"/>
      <c r="BG607" s="160"/>
      <c r="BH607" s="160"/>
      <c r="BI607" s="160"/>
      <c r="BJ607" s="160"/>
      <c r="BK607" s="160"/>
      <c r="BL607" s="160"/>
      <c r="BM607" s="160"/>
      <c r="BN607" s="160"/>
      <c r="BO607" s="160"/>
      <c r="BP607" s="160"/>
      <c r="BQ607" s="160"/>
      <c r="BR607" s="160"/>
      <c r="BS607" s="160"/>
      <c r="BT607" s="160"/>
      <c r="BU607" s="160"/>
      <c r="BV607" s="160"/>
      <c r="BW607" s="160"/>
      <c r="BX607" s="160"/>
      <c r="BY607" s="160"/>
      <c r="BZ607" s="160"/>
      <c r="CA607" s="160"/>
      <c r="CB607" s="160"/>
      <c r="CC607" s="160"/>
      <c r="CD607" s="160"/>
      <c r="CE607" s="160"/>
      <c r="CF607" s="160"/>
    </row>
    <row r="608">
      <c r="D608" s="159"/>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c r="BD608" s="160"/>
      <c r="BE608" s="160"/>
      <c r="BF608" s="160"/>
      <c r="BG608" s="160"/>
      <c r="BH608" s="160"/>
      <c r="BI608" s="160"/>
      <c r="BJ608" s="160"/>
      <c r="BK608" s="160"/>
      <c r="BL608" s="160"/>
      <c r="BM608" s="160"/>
      <c r="BN608" s="160"/>
      <c r="BO608" s="160"/>
      <c r="BP608" s="160"/>
      <c r="BQ608" s="160"/>
      <c r="BR608" s="160"/>
      <c r="BS608" s="160"/>
      <c r="BT608" s="160"/>
      <c r="BU608" s="160"/>
      <c r="BV608" s="160"/>
      <c r="BW608" s="160"/>
      <c r="BX608" s="160"/>
      <c r="BY608" s="160"/>
      <c r="BZ608" s="160"/>
      <c r="CA608" s="160"/>
      <c r="CB608" s="160"/>
      <c r="CC608" s="160"/>
      <c r="CD608" s="160"/>
      <c r="CE608" s="160"/>
      <c r="CF608" s="160"/>
    </row>
    <row r="609">
      <c r="D609" s="159"/>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c r="BD609" s="160"/>
      <c r="BE609" s="160"/>
      <c r="BF609" s="160"/>
      <c r="BG609" s="160"/>
      <c r="BH609" s="160"/>
      <c r="BI609" s="160"/>
      <c r="BJ609" s="160"/>
      <c r="BK609" s="160"/>
      <c r="BL609" s="160"/>
      <c r="BM609" s="160"/>
      <c r="BN609" s="160"/>
      <c r="BO609" s="160"/>
      <c r="BP609" s="160"/>
      <c r="BQ609" s="160"/>
      <c r="BR609" s="160"/>
      <c r="BS609" s="160"/>
      <c r="BT609" s="160"/>
      <c r="BU609" s="160"/>
      <c r="BV609" s="160"/>
      <c r="BW609" s="160"/>
      <c r="BX609" s="160"/>
      <c r="BY609" s="160"/>
      <c r="BZ609" s="160"/>
      <c r="CA609" s="160"/>
      <c r="CB609" s="160"/>
      <c r="CC609" s="160"/>
      <c r="CD609" s="160"/>
      <c r="CE609" s="160"/>
      <c r="CF609" s="160"/>
    </row>
    <row r="610">
      <c r="D610" s="159"/>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c r="BD610" s="160"/>
      <c r="BE610" s="160"/>
      <c r="BF610" s="160"/>
      <c r="BG610" s="160"/>
      <c r="BH610" s="160"/>
      <c r="BI610" s="160"/>
      <c r="BJ610" s="160"/>
      <c r="BK610" s="160"/>
      <c r="BL610" s="160"/>
      <c r="BM610" s="160"/>
      <c r="BN610" s="160"/>
      <c r="BO610" s="160"/>
      <c r="BP610" s="160"/>
      <c r="BQ610" s="160"/>
      <c r="BR610" s="160"/>
      <c r="BS610" s="160"/>
      <c r="BT610" s="160"/>
      <c r="BU610" s="160"/>
      <c r="BV610" s="160"/>
      <c r="BW610" s="160"/>
      <c r="BX610" s="160"/>
      <c r="BY610" s="160"/>
      <c r="BZ610" s="160"/>
      <c r="CA610" s="160"/>
      <c r="CB610" s="160"/>
      <c r="CC610" s="160"/>
      <c r="CD610" s="160"/>
      <c r="CE610" s="160"/>
      <c r="CF610" s="160"/>
    </row>
    <row r="611">
      <c r="D611" s="159"/>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c r="BD611" s="160"/>
      <c r="BE611" s="160"/>
      <c r="BF611" s="160"/>
      <c r="BG611" s="160"/>
      <c r="BH611" s="160"/>
      <c r="BI611" s="160"/>
      <c r="BJ611" s="160"/>
      <c r="BK611" s="160"/>
      <c r="BL611" s="160"/>
      <c r="BM611" s="160"/>
      <c r="BN611" s="160"/>
      <c r="BO611" s="160"/>
      <c r="BP611" s="160"/>
      <c r="BQ611" s="160"/>
      <c r="BR611" s="160"/>
      <c r="BS611" s="160"/>
      <c r="BT611" s="160"/>
      <c r="BU611" s="160"/>
      <c r="BV611" s="160"/>
      <c r="BW611" s="160"/>
      <c r="BX611" s="160"/>
      <c r="BY611" s="160"/>
      <c r="BZ611" s="160"/>
      <c r="CA611" s="160"/>
      <c r="CB611" s="160"/>
      <c r="CC611" s="160"/>
      <c r="CD611" s="160"/>
      <c r="CE611" s="160"/>
      <c r="CF611" s="160"/>
    </row>
    <row r="612">
      <c r="D612" s="159"/>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60"/>
      <c r="AX612" s="160"/>
      <c r="AY612" s="160"/>
      <c r="AZ612" s="160"/>
      <c r="BA612" s="160"/>
      <c r="BB612" s="160"/>
      <c r="BC612" s="160"/>
      <c r="BD612" s="160"/>
      <c r="BE612" s="160"/>
      <c r="BF612" s="160"/>
      <c r="BG612" s="160"/>
      <c r="BH612" s="160"/>
      <c r="BI612" s="160"/>
      <c r="BJ612" s="160"/>
      <c r="BK612" s="160"/>
      <c r="BL612" s="160"/>
      <c r="BM612" s="160"/>
      <c r="BN612" s="160"/>
      <c r="BO612" s="160"/>
      <c r="BP612" s="160"/>
      <c r="BQ612" s="160"/>
      <c r="BR612" s="160"/>
      <c r="BS612" s="160"/>
      <c r="BT612" s="160"/>
      <c r="BU612" s="160"/>
      <c r="BV612" s="160"/>
      <c r="BW612" s="160"/>
      <c r="BX612" s="160"/>
      <c r="BY612" s="160"/>
      <c r="BZ612" s="160"/>
      <c r="CA612" s="160"/>
      <c r="CB612" s="160"/>
      <c r="CC612" s="160"/>
      <c r="CD612" s="160"/>
      <c r="CE612" s="160"/>
      <c r="CF612" s="160"/>
    </row>
    <row r="613">
      <c r="D613" s="159"/>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c r="BD613" s="160"/>
      <c r="BE613" s="160"/>
      <c r="BF613" s="160"/>
      <c r="BG613" s="160"/>
      <c r="BH613" s="160"/>
      <c r="BI613" s="160"/>
      <c r="BJ613" s="160"/>
      <c r="BK613" s="160"/>
      <c r="BL613" s="160"/>
      <c r="BM613" s="160"/>
      <c r="BN613" s="160"/>
      <c r="BO613" s="160"/>
      <c r="BP613" s="160"/>
      <c r="BQ613" s="160"/>
      <c r="BR613" s="160"/>
      <c r="BS613" s="160"/>
      <c r="BT613" s="160"/>
      <c r="BU613" s="160"/>
      <c r="BV613" s="160"/>
      <c r="BW613" s="160"/>
      <c r="BX613" s="160"/>
      <c r="BY613" s="160"/>
      <c r="BZ613" s="160"/>
      <c r="CA613" s="160"/>
      <c r="CB613" s="160"/>
      <c r="CC613" s="160"/>
      <c r="CD613" s="160"/>
      <c r="CE613" s="160"/>
      <c r="CF613" s="160"/>
    </row>
    <row r="614">
      <c r="D614" s="159"/>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c r="BD614" s="160"/>
      <c r="BE614" s="160"/>
      <c r="BF614" s="160"/>
      <c r="BG614" s="160"/>
      <c r="BH614" s="160"/>
      <c r="BI614" s="160"/>
      <c r="BJ614" s="160"/>
      <c r="BK614" s="160"/>
      <c r="BL614" s="160"/>
      <c r="BM614" s="160"/>
      <c r="BN614" s="160"/>
      <c r="BO614" s="160"/>
      <c r="BP614" s="160"/>
      <c r="BQ614" s="160"/>
      <c r="BR614" s="160"/>
      <c r="BS614" s="160"/>
      <c r="BT614" s="160"/>
      <c r="BU614" s="160"/>
      <c r="BV614" s="160"/>
      <c r="BW614" s="160"/>
      <c r="BX614" s="160"/>
      <c r="BY614" s="160"/>
      <c r="BZ614" s="160"/>
      <c r="CA614" s="160"/>
      <c r="CB614" s="160"/>
      <c r="CC614" s="160"/>
      <c r="CD614" s="160"/>
      <c r="CE614" s="160"/>
      <c r="CF614" s="160"/>
    </row>
    <row r="615">
      <c r="D615" s="159"/>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c r="BD615" s="160"/>
      <c r="BE615" s="160"/>
      <c r="BF615" s="160"/>
      <c r="BG615" s="160"/>
      <c r="BH615" s="160"/>
      <c r="BI615" s="160"/>
      <c r="BJ615" s="160"/>
      <c r="BK615" s="160"/>
      <c r="BL615" s="160"/>
      <c r="BM615" s="160"/>
      <c r="BN615" s="160"/>
      <c r="BO615" s="160"/>
      <c r="BP615" s="160"/>
      <c r="BQ615" s="160"/>
      <c r="BR615" s="160"/>
      <c r="BS615" s="160"/>
      <c r="BT615" s="160"/>
      <c r="BU615" s="160"/>
      <c r="BV615" s="160"/>
      <c r="BW615" s="160"/>
      <c r="BX615" s="160"/>
      <c r="BY615" s="160"/>
      <c r="BZ615" s="160"/>
      <c r="CA615" s="160"/>
      <c r="CB615" s="160"/>
      <c r="CC615" s="160"/>
      <c r="CD615" s="160"/>
      <c r="CE615" s="160"/>
      <c r="CF615" s="160"/>
    </row>
    <row r="616">
      <c r="D616" s="159"/>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c r="BD616" s="160"/>
      <c r="BE616" s="160"/>
      <c r="BF616" s="160"/>
      <c r="BG616" s="160"/>
      <c r="BH616" s="160"/>
      <c r="BI616" s="160"/>
      <c r="BJ616" s="160"/>
      <c r="BK616" s="160"/>
      <c r="BL616" s="160"/>
      <c r="BM616" s="160"/>
      <c r="BN616" s="160"/>
      <c r="BO616" s="160"/>
      <c r="BP616" s="160"/>
      <c r="BQ616" s="160"/>
      <c r="BR616" s="160"/>
      <c r="BS616" s="160"/>
      <c r="BT616" s="160"/>
      <c r="BU616" s="160"/>
      <c r="BV616" s="160"/>
      <c r="BW616" s="160"/>
      <c r="BX616" s="160"/>
      <c r="BY616" s="160"/>
      <c r="BZ616" s="160"/>
      <c r="CA616" s="160"/>
      <c r="CB616" s="160"/>
      <c r="CC616" s="160"/>
      <c r="CD616" s="160"/>
      <c r="CE616" s="160"/>
      <c r="CF616" s="160"/>
    </row>
    <row r="617">
      <c r="D617" s="159"/>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c r="BD617" s="160"/>
      <c r="BE617" s="160"/>
      <c r="BF617" s="160"/>
      <c r="BG617" s="160"/>
      <c r="BH617" s="160"/>
      <c r="BI617" s="160"/>
      <c r="BJ617" s="160"/>
      <c r="BK617" s="160"/>
      <c r="BL617" s="160"/>
      <c r="BM617" s="160"/>
      <c r="BN617" s="160"/>
      <c r="BO617" s="160"/>
      <c r="BP617" s="160"/>
      <c r="BQ617" s="160"/>
      <c r="BR617" s="160"/>
      <c r="BS617" s="160"/>
      <c r="BT617" s="160"/>
      <c r="BU617" s="160"/>
      <c r="BV617" s="160"/>
      <c r="BW617" s="160"/>
      <c r="BX617" s="160"/>
      <c r="BY617" s="160"/>
      <c r="BZ617" s="160"/>
      <c r="CA617" s="160"/>
      <c r="CB617" s="160"/>
      <c r="CC617" s="160"/>
      <c r="CD617" s="160"/>
      <c r="CE617" s="160"/>
      <c r="CF617" s="160"/>
    </row>
    <row r="618">
      <c r="D618" s="159"/>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c r="BD618" s="160"/>
      <c r="BE618" s="160"/>
      <c r="BF618" s="160"/>
      <c r="BG618" s="160"/>
      <c r="BH618" s="160"/>
      <c r="BI618" s="160"/>
      <c r="BJ618" s="160"/>
      <c r="BK618" s="160"/>
      <c r="BL618" s="160"/>
      <c r="BM618" s="160"/>
      <c r="BN618" s="160"/>
      <c r="BO618" s="160"/>
      <c r="BP618" s="160"/>
      <c r="BQ618" s="160"/>
      <c r="BR618" s="160"/>
      <c r="BS618" s="160"/>
      <c r="BT618" s="160"/>
      <c r="BU618" s="160"/>
      <c r="BV618" s="160"/>
      <c r="BW618" s="160"/>
      <c r="BX618" s="160"/>
      <c r="BY618" s="160"/>
      <c r="BZ618" s="160"/>
      <c r="CA618" s="160"/>
      <c r="CB618" s="160"/>
      <c r="CC618" s="160"/>
      <c r="CD618" s="160"/>
      <c r="CE618" s="160"/>
      <c r="CF618" s="160"/>
    </row>
    <row r="619">
      <c r="D619" s="159"/>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c r="BD619" s="160"/>
      <c r="BE619" s="160"/>
      <c r="BF619" s="160"/>
      <c r="BG619" s="160"/>
      <c r="BH619" s="160"/>
      <c r="BI619" s="160"/>
      <c r="BJ619" s="160"/>
      <c r="BK619" s="160"/>
      <c r="BL619" s="160"/>
      <c r="BM619" s="160"/>
      <c r="BN619" s="160"/>
      <c r="BO619" s="160"/>
      <c r="BP619" s="160"/>
      <c r="BQ619" s="160"/>
      <c r="BR619" s="160"/>
      <c r="BS619" s="160"/>
      <c r="BT619" s="160"/>
      <c r="BU619" s="160"/>
      <c r="BV619" s="160"/>
      <c r="BW619" s="160"/>
      <c r="BX619" s="160"/>
      <c r="BY619" s="160"/>
      <c r="BZ619" s="160"/>
      <c r="CA619" s="160"/>
      <c r="CB619" s="160"/>
      <c r="CC619" s="160"/>
      <c r="CD619" s="160"/>
      <c r="CE619" s="160"/>
      <c r="CF619" s="160"/>
    </row>
    <row r="620">
      <c r="D620" s="159"/>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c r="BD620" s="160"/>
      <c r="BE620" s="160"/>
      <c r="BF620" s="160"/>
      <c r="BG620" s="160"/>
      <c r="BH620" s="160"/>
      <c r="BI620" s="160"/>
      <c r="BJ620" s="160"/>
      <c r="BK620" s="160"/>
      <c r="BL620" s="160"/>
      <c r="BM620" s="160"/>
      <c r="BN620" s="160"/>
      <c r="BO620" s="160"/>
      <c r="BP620" s="160"/>
      <c r="BQ620" s="160"/>
      <c r="BR620" s="160"/>
      <c r="BS620" s="160"/>
      <c r="BT620" s="160"/>
      <c r="BU620" s="160"/>
      <c r="BV620" s="160"/>
      <c r="BW620" s="160"/>
      <c r="BX620" s="160"/>
      <c r="BY620" s="160"/>
      <c r="BZ620" s="160"/>
      <c r="CA620" s="160"/>
      <c r="CB620" s="160"/>
      <c r="CC620" s="160"/>
      <c r="CD620" s="160"/>
      <c r="CE620" s="160"/>
      <c r="CF620" s="160"/>
    </row>
    <row r="621">
      <c r="D621" s="159"/>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c r="BD621" s="160"/>
      <c r="BE621" s="160"/>
      <c r="BF621" s="160"/>
      <c r="BG621" s="160"/>
      <c r="BH621" s="160"/>
      <c r="BI621" s="160"/>
      <c r="BJ621" s="160"/>
      <c r="BK621" s="160"/>
      <c r="BL621" s="160"/>
      <c r="BM621" s="160"/>
      <c r="BN621" s="160"/>
      <c r="BO621" s="160"/>
      <c r="BP621" s="160"/>
      <c r="BQ621" s="160"/>
      <c r="BR621" s="160"/>
      <c r="BS621" s="160"/>
      <c r="BT621" s="160"/>
      <c r="BU621" s="160"/>
      <c r="BV621" s="160"/>
      <c r="BW621" s="160"/>
      <c r="BX621" s="160"/>
      <c r="BY621" s="160"/>
      <c r="BZ621" s="160"/>
      <c r="CA621" s="160"/>
      <c r="CB621" s="160"/>
      <c r="CC621" s="160"/>
      <c r="CD621" s="160"/>
      <c r="CE621" s="160"/>
      <c r="CF621" s="160"/>
    </row>
    <row r="622">
      <c r="D622" s="159"/>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c r="BD622" s="160"/>
      <c r="BE622" s="160"/>
      <c r="BF622" s="160"/>
      <c r="BG622" s="160"/>
      <c r="BH622" s="160"/>
      <c r="BI622" s="160"/>
      <c r="BJ622" s="160"/>
      <c r="BK622" s="160"/>
      <c r="BL622" s="160"/>
      <c r="BM622" s="160"/>
      <c r="BN622" s="160"/>
      <c r="BO622" s="160"/>
      <c r="BP622" s="160"/>
      <c r="BQ622" s="160"/>
      <c r="BR622" s="160"/>
      <c r="BS622" s="160"/>
      <c r="BT622" s="160"/>
      <c r="BU622" s="160"/>
      <c r="BV622" s="160"/>
      <c r="BW622" s="160"/>
      <c r="BX622" s="160"/>
      <c r="BY622" s="160"/>
      <c r="BZ622" s="160"/>
      <c r="CA622" s="160"/>
      <c r="CB622" s="160"/>
      <c r="CC622" s="160"/>
      <c r="CD622" s="160"/>
      <c r="CE622" s="160"/>
      <c r="CF622" s="160"/>
    </row>
    <row r="623">
      <c r="D623" s="159"/>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c r="BD623" s="160"/>
      <c r="BE623" s="160"/>
      <c r="BF623" s="160"/>
      <c r="BG623" s="160"/>
      <c r="BH623" s="160"/>
      <c r="BI623" s="160"/>
      <c r="BJ623" s="160"/>
      <c r="BK623" s="160"/>
      <c r="BL623" s="160"/>
      <c r="BM623" s="160"/>
      <c r="BN623" s="160"/>
      <c r="BO623" s="160"/>
      <c r="BP623" s="160"/>
      <c r="BQ623" s="160"/>
      <c r="BR623" s="160"/>
      <c r="BS623" s="160"/>
      <c r="BT623" s="160"/>
      <c r="BU623" s="160"/>
      <c r="BV623" s="160"/>
      <c r="BW623" s="160"/>
      <c r="BX623" s="160"/>
      <c r="BY623" s="160"/>
      <c r="BZ623" s="160"/>
      <c r="CA623" s="160"/>
      <c r="CB623" s="160"/>
      <c r="CC623" s="160"/>
      <c r="CD623" s="160"/>
      <c r="CE623" s="160"/>
      <c r="CF623" s="160"/>
    </row>
    <row r="624">
      <c r="D624" s="159"/>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c r="BD624" s="160"/>
      <c r="BE624" s="160"/>
      <c r="BF624" s="160"/>
      <c r="BG624" s="160"/>
      <c r="BH624" s="160"/>
      <c r="BI624" s="160"/>
      <c r="BJ624" s="160"/>
      <c r="BK624" s="160"/>
      <c r="BL624" s="160"/>
      <c r="BM624" s="160"/>
      <c r="BN624" s="160"/>
      <c r="BO624" s="160"/>
      <c r="BP624" s="160"/>
      <c r="BQ624" s="160"/>
      <c r="BR624" s="160"/>
      <c r="BS624" s="160"/>
      <c r="BT624" s="160"/>
      <c r="BU624" s="160"/>
      <c r="BV624" s="160"/>
      <c r="BW624" s="160"/>
      <c r="BX624" s="160"/>
      <c r="BY624" s="160"/>
      <c r="BZ624" s="160"/>
      <c r="CA624" s="160"/>
      <c r="CB624" s="160"/>
      <c r="CC624" s="160"/>
      <c r="CD624" s="160"/>
      <c r="CE624" s="160"/>
      <c r="CF624" s="160"/>
    </row>
    <row r="625">
      <c r="D625" s="159"/>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c r="BD625" s="160"/>
      <c r="BE625" s="160"/>
      <c r="BF625" s="160"/>
      <c r="BG625" s="160"/>
      <c r="BH625" s="160"/>
      <c r="BI625" s="160"/>
      <c r="BJ625" s="160"/>
      <c r="BK625" s="160"/>
      <c r="BL625" s="160"/>
      <c r="BM625" s="160"/>
      <c r="BN625" s="160"/>
      <c r="BO625" s="160"/>
      <c r="BP625" s="160"/>
      <c r="BQ625" s="160"/>
      <c r="BR625" s="160"/>
      <c r="BS625" s="160"/>
      <c r="BT625" s="160"/>
      <c r="BU625" s="160"/>
      <c r="BV625" s="160"/>
      <c r="BW625" s="160"/>
      <c r="BX625" s="160"/>
      <c r="BY625" s="160"/>
      <c r="BZ625" s="160"/>
      <c r="CA625" s="160"/>
      <c r="CB625" s="160"/>
      <c r="CC625" s="160"/>
      <c r="CD625" s="160"/>
      <c r="CE625" s="160"/>
      <c r="CF625" s="160"/>
    </row>
    <row r="626">
      <c r="D626" s="159"/>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c r="BD626" s="160"/>
      <c r="BE626" s="160"/>
      <c r="BF626" s="160"/>
      <c r="BG626" s="160"/>
      <c r="BH626" s="160"/>
      <c r="BI626" s="160"/>
      <c r="BJ626" s="160"/>
      <c r="BK626" s="160"/>
      <c r="BL626" s="160"/>
      <c r="BM626" s="160"/>
      <c r="BN626" s="160"/>
      <c r="BO626" s="160"/>
      <c r="BP626" s="160"/>
      <c r="BQ626" s="160"/>
      <c r="BR626" s="160"/>
      <c r="BS626" s="160"/>
      <c r="BT626" s="160"/>
      <c r="BU626" s="160"/>
      <c r="BV626" s="160"/>
      <c r="BW626" s="160"/>
      <c r="BX626" s="160"/>
      <c r="BY626" s="160"/>
      <c r="BZ626" s="160"/>
      <c r="CA626" s="160"/>
      <c r="CB626" s="160"/>
      <c r="CC626" s="160"/>
      <c r="CD626" s="160"/>
      <c r="CE626" s="160"/>
      <c r="CF626" s="160"/>
    </row>
    <row r="627">
      <c r="D627" s="159"/>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c r="BD627" s="160"/>
      <c r="BE627" s="160"/>
      <c r="BF627" s="160"/>
      <c r="BG627" s="160"/>
      <c r="BH627" s="160"/>
      <c r="BI627" s="160"/>
      <c r="BJ627" s="160"/>
      <c r="BK627" s="160"/>
      <c r="BL627" s="160"/>
      <c r="BM627" s="160"/>
      <c r="BN627" s="160"/>
      <c r="BO627" s="160"/>
      <c r="BP627" s="160"/>
      <c r="BQ627" s="160"/>
      <c r="BR627" s="160"/>
      <c r="BS627" s="160"/>
      <c r="BT627" s="160"/>
      <c r="BU627" s="160"/>
      <c r="BV627" s="160"/>
      <c r="BW627" s="160"/>
      <c r="BX627" s="160"/>
      <c r="BY627" s="160"/>
      <c r="BZ627" s="160"/>
      <c r="CA627" s="160"/>
      <c r="CB627" s="160"/>
      <c r="CC627" s="160"/>
      <c r="CD627" s="160"/>
      <c r="CE627" s="160"/>
      <c r="CF627" s="160"/>
    </row>
    <row r="628">
      <c r="D628" s="159"/>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c r="BD628" s="160"/>
      <c r="BE628" s="160"/>
      <c r="BF628" s="160"/>
      <c r="BG628" s="160"/>
      <c r="BH628" s="160"/>
      <c r="BI628" s="160"/>
      <c r="BJ628" s="160"/>
      <c r="BK628" s="160"/>
      <c r="BL628" s="160"/>
      <c r="BM628" s="160"/>
      <c r="BN628" s="160"/>
      <c r="BO628" s="160"/>
      <c r="BP628" s="160"/>
      <c r="BQ628" s="160"/>
      <c r="BR628" s="160"/>
      <c r="BS628" s="160"/>
      <c r="BT628" s="160"/>
      <c r="BU628" s="160"/>
      <c r="BV628" s="160"/>
      <c r="BW628" s="160"/>
      <c r="BX628" s="160"/>
      <c r="BY628" s="160"/>
      <c r="BZ628" s="160"/>
      <c r="CA628" s="160"/>
      <c r="CB628" s="160"/>
      <c r="CC628" s="160"/>
      <c r="CD628" s="160"/>
      <c r="CE628" s="160"/>
      <c r="CF628" s="160"/>
    </row>
    <row r="629">
      <c r="D629" s="159"/>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c r="BD629" s="160"/>
      <c r="BE629" s="160"/>
      <c r="BF629" s="160"/>
      <c r="BG629" s="160"/>
      <c r="BH629" s="160"/>
      <c r="BI629" s="160"/>
      <c r="BJ629" s="160"/>
      <c r="BK629" s="160"/>
      <c r="BL629" s="160"/>
      <c r="BM629" s="160"/>
      <c r="BN629" s="160"/>
      <c r="BO629" s="160"/>
      <c r="BP629" s="160"/>
      <c r="BQ629" s="160"/>
      <c r="BR629" s="160"/>
      <c r="BS629" s="160"/>
      <c r="BT629" s="160"/>
      <c r="BU629" s="160"/>
      <c r="BV629" s="160"/>
      <c r="BW629" s="160"/>
      <c r="BX629" s="160"/>
      <c r="BY629" s="160"/>
      <c r="BZ629" s="160"/>
      <c r="CA629" s="160"/>
      <c r="CB629" s="160"/>
      <c r="CC629" s="160"/>
      <c r="CD629" s="160"/>
      <c r="CE629" s="160"/>
      <c r="CF629" s="160"/>
    </row>
    <row r="630">
      <c r="D630" s="159"/>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c r="BD630" s="160"/>
      <c r="BE630" s="160"/>
      <c r="BF630" s="160"/>
      <c r="BG630" s="160"/>
      <c r="BH630" s="160"/>
      <c r="BI630" s="160"/>
      <c r="BJ630" s="160"/>
      <c r="BK630" s="160"/>
      <c r="BL630" s="160"/>
      <c r="BM630" s="160"/>
      <c r="BN630" s="160"/>
      <c r="BO630" s="160"/>
      <c r="BP630" s="160"/>
      <c r="BQ630" s="160"/>
      <c r="BR630" s="160"/>
      <c r="BS630" s="160"/>
      <c r="BT630" s="160"/>
      <c r="BU630" s="160"/>
      <c r="BV630" s="160"/>
      <c r="BW630" s="160"/>
      <c r="BX630" s="160"/>
      <c r="BY630" s="160"/>
      <c r="BZ630" s="160"/>
      <c r="CA630" s="160"/>
      <c r="CB630" s="160"/>
      <c r="CC630" s="160"/>
      <c r="CD630" s="160"/>
      <c r="CE630" s="160"/>
      <c r="CF630" s="160"/>
    </row>
    <row r="631">
      <c r="D631" s="159"/>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c r="BD631" s="160"/>
      <c r="BE631" s="160"/>
      <c r="BF631" s="160"/>
      <c r="BG631" s="160"/>
      <c r="BH631" s="160"/>
      <c r="BI631" s="160"/>
      <c r="BJ631" s="160"/>
      <c r="BK631" s="160"/>
      <c r="BL631" s="160"/>
      <c r="BM631" s="160"/>
      <c r="BN631" s="160"/>
      <c r="BO631" s="160"/>
      <c r="BP631" s="160"/>
      <c r="BQ631" s="160"/>
      <c r="BR631" s="160"/>
      <c r="BS631" s="160"/>
      <c r="BT631" s="160"/>
      <c r="BU631" s="160"/>
      <c r="BV631" s="160"/>
      <c r="BW631" s="160"/>
      <c r="BX631" s="160"/>
      <c r="BY631" s="160"/>
      <c r="BZ631" s="160"/>
      <c r="CA631" s="160"/>
      <c r="CB631" s="160"/>
      <c r="CC631" s="160"/>
      <c r="CD631" s="160"/>
      <c r="CE631" s="160"/>
      <c r="CF631" s="160"/>
    </row>
    <row r="632">
      <c r="D632" s="159"/>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c r="BD632" s="160"/>
      <c r="BE632" s="160"/>
      <c r="BF632" s="160"/>
      <c r="BG632" s="160"/>
      <c r="BH632" s="160"/>
      <c r="BI632" s="160"/>
      <c r="BJ632" s="160"/>
      <c r="BK632" s="160"/>
      <c r="BL632" s="160"/>
      <c r="BM632" s="160"/>
      <c r="BN632" s="160"/>
      <c r="BO632" s="160"/>
      <c r="BP632" s="160"/>
      <c r="BQ632" s="160"/>
      <c r="BR632" s="160"/>
      <c r="BS632" s="160"/>
      <c r="BT632" s="160"/>
      <c r="BU632" s="160"/>
      <c r="BV632" s="160"/>
      <c r="BW632" s="160"/>
      <c r="BX632" s="160"/>
      <c r="BY632" s="160"/>
      <c r="BZ632" s="160"/>
      <c r="CA632" s="160"/>
      <c r="CB632" s="160"/>
      <c r="CC632" s="160"/>
      <c r="CD632" s="160"/>
      <c r="CE632" s="160"/>
      <c r="CF632" s="160"/>
    </row>
    <row r="633">
      <c r="D633" s="159"/>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c r="BD633" s="160"/>
      <c r="BE633" s="160"/>
      <c r="BF633" s="160"/>
      <c r="BG633" s="160"/>
      <c r="BH633" s="160"/>
      <c r="BI633" s="160"/>
      <c r="BJ633" s="160"/>
      <c r="BK633" s="160"/>
      <c r="BL633" s="160"/>
      <c r="BM633" s="160"/>
      <c r="BN633" s="160"/>
      <c r="BO633" s="160"/>
      <c r="BP633" s="160"/>
      <c r="BQ633" s="160"/>
      <c r="BR633" s="160"/>
      <c r="BS633" s="160"/>
      <c r="BT633" s="160"/>
      <c r="BU633" s="160"/>
      <c r="BV633" s="160"/>
      <c r="BW633" s="160"/>
      <c r="BX633" s="160"/>
      <c r="BY633" s="160"/>
      <c r="BZ633" s="160"/>
      <c r="CA633" s="160"/>
      <c r="CB633" s="160"/>
      <c r="CC633" s="160"/>
      <c r="CD633" s="160"/>
      <c r="CE633" s="160"/>
      <c r="CF633" s="160"/>
    </row>
    <row r="634">
      <c r="D634" s="159"/>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c r="BD634" s="160"/>
      <c r="BE634" s="160"/>
      <c r="BF634" s="160"/>
      <c r="BG634" s="160"/>
      <c r="BH634" s="160"/>
      <c r="BI634" s="160"/>
      <c r="BJ634" s="160"/>
      <c r="BK634" s="160"/>
      <c r="BL634" s="160"/>
      <c r="BM634" s="160"/>
      <c r="BN634" s="160"/>
      <c r="BO634" s="160"/>
      <c r="BP634" s="160"/>
      <c r="BQ634" s="160"/>
      <c r="BR634" s="160"/>
      <c r="BS634" s="160"/>
      <c r="BT634" s="160"/>
      <c r="BU634" s="160"/>
      <c r="BV634" s="160"/>
      <c r="BW634" s="160"/>
      <c r="BX634" s="160"/>
      <c r="BY634" s="160"/>
      <c r="BZ634" s="160"/>
      <c r="CA634" s="160"/>
      <c r="CB634" s="160"/>
      <c r="CC634" s="160"/>
      <c r="CD634" s="160"/>
      <c r="CE634" s="160"/>
      <c r="CF634" s="160"/>
    </row>
    <row r="635">
      <c r="D635" s="159"/>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c r="BD635" s="160"/>
      <c r="BE635" s="160"/>
      <c r="BF635" s="160"/>
      <c r="BG635" s="160"/>
      <c r="BH635" s="160"/>
      <c r="BI635" s="160"/>
      <c r="BJ635" s="160"/>
      <c r="BK635" s="160"/>
      <c r="BL635" s="160"/>
      <c r="BM635" s="160"/>
      <c r="BN635" s="160"/>
      <c r="BO635" s="160"/>
      <c r="BP635" s="160"/>
      <c r="BQ635" s="160"/>
      <c r="BR635" s="160"/>
      <c r="BS635" s="160"/>
      <c r="BT635" s="160"/>
      <c r="BU635" s="160"/>
      <c r="BV635" s="160"/>
      <c r="BW635" s="160"/>
      <c r="BX635" s="160"/>
      <c r="BY635" s="160"/>
      <c r="BZ635" s="160"/>
      <c r="CA635" s="160"/>
      <c r="CB635" s="160"/>
      <c r="CC635" s="160"/>
      <c r="CD635" s="160"/>
      <c r="CE635" s="160"/>
      <c r="CF635" s="160"/>
    </row>
    <row r="636">
      <c r="D636" s="159"/>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60"/>
      <c r="AX636" s="160"/>
      <c r="AY636" s="160"/>
      <c r="AZ636" s="160"/>
      <c r="BA636" s="160"/>
      <c r="BB636" s="160"/>
      <c r="BC636" s="160"/>
      <c r="BD636" s="160"/>
      <c r="BE636" s="160"/>
      <c r="BF636" s="160"/>
      <c r="BG636" s="160"/>
      <c r="BH636" s="160"/>
      <c r="BI636" s="160"/>
      <c r="BJ636" s="160"/>
      <c r="BK636" s="160"/>
      <c r="BL636" s="160"/>
      <c r="BM636" s="160"/>
      <c r="BN636" s="160"/>
      <c r="BO636" s="160"/>
      <c r="BP636" s="160"/>
      <c r="BQ636" s="160"/>
      <c r="BR636" s="160"/>
      <c r="BS636" s="160"/>
      <c r="BT636" s="160"/>
      <c r="BU636" s="160"/>
      <c r="BV636" s="160"/>
      <c r="BW636" s="160"/>
      <c r="BX636" s="160"/>
      <c r="BY636" s="160"/>
      <c r="BZ636" s="160"/>
      <c r="CA636" s="160"/>
      <c r="CB636" s="160"/>
      <c r="CC636" s="160"/>
      <c r="CD636" s="160"/>
      <c r="CE636" s="160"/>
      <c r="CF636" s="160"/>
    </row>
    <row r="637">
      <c r="D637" s="159"/>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c r="BD637" s="160"/>
      <c r="BE637" s="160"/>
      <c r="BF637" s="160"/>
      <c r="BG637" s="160"/>
      <c r="BH637" s="160"/>
      <c r="BI637" s="160"/>
      <c r="BJ637" s="160"/>
      <c r="BK637" s="160"/>
      <c r="BL637" s="160"/>
      <c r="BM637" s="160"/>
      <c r="BN637" s="160"/>
      <c r="BO637" s="160"/>
      <c r="BP637" s="160"/>
      <c r="BQ637" s="160"/>
      <c r="BR637" s="160"/>
      <c r="BS637" s="160"/>
      <c r="BT637" s="160"/>
      <c r="BU637" s="160"/>
      <c r="BV637" s="160"/>
      <c r="BW637" s="160"/>
      <c r="BX637" s="160"/>
      <c r="BY637" s="160"/>
      <c r="BZ637" s="160"/>
      <c r="CA637" s="160"/>
      <c r="CB637" s="160"/>
      <c r="CC637" s="160"/>
      <c r="CD637" s="160"/>
      <c r="CE637" s="160"/>
      <c r="CF637" s="160"/>
    </row>
    <row r="638">
      <c r="D638" s="159"/>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c r="BD638" s="160"/>
      <c r="BE638" s="160"/>
      <c r="BF638" s="160"/>
      <c r="BG638" s="160"/>
      <c r="BH638" s="160"/>
      <c r="BI638" s="160"/>
      <c r="BJ638" s="160"/>
      <c r="BK638" s="160"/>
      <c r="BL638" s="160"/>
      <c r="BM638" s="160"/>
      <c r="BN638" s="160"/>
      <c r="BO638" s="160"/>
      <c r="BP638" s="160"/>
      <c r="BQ638" s="160"/>
      <c r="BR638" s="160"/>
      <c r="BS638" s="160"/>
      <c r="BT638" s="160"/>
      <c r="BU638" s="160"/>
      <c r="BV638" s="160"/>
      <c r="BW638" s="160"/>
      <c r="BX638" s="160"/>
      <c r="BY638" s="160"/>
      <c r="BZ638" s="160"/>
      <c r="CA638" s="160"/>
      <c r="CB638" s="160"/>
      <c r="CC638" s="160"/>
      <c r="CD638" s="160"/>
      <c r="CE638" s="160"/>
      <c r="CF638" s="160"/>
    </row>
    <row r="639">
      <c r="D639" s="159"/>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c r="BD639" s="160"/>
      <c r="BE639" s="160"/>
      <c r="BF639" s="160"/>
      <c r="BG639" s="160"/>
      <c r="BH639" s="160"/>
      <c r="BI639" s="160"/>
      <c r="BJ639" s="160"/>
      <c r="BK639" s="160"/>
      <c r="BL639" s="160"/>
      <c r="BM639" s="160"/>
      <c r="BN639" s="160"/>
      <c r="BO639" s="160"/>
      <c r="BP639" s="160"/>
      <c r="BQ639" s="160"/>
      <c r="BR639" s="160"/>
      <c r="BS639" s="160"/>
      <c r="BT639" s="160"/>
      <c r="BU639" s="160"/>
      <c r="BV639" s="160"/>
      <c r="BW639" s="160"/>
      <c r="BX639" s="160"/>
      <c r="BY639" s="160"/>
      <c r="BZ639" s="160"/>
      <c r="CA639" s="160"/>
      <c r="CB639" s="160"/>
      <c r="CC639" s="160"/>
      <c r="CD639" s="160"/>
      <c r="CE639" s="160"/>
      <c r="CF639" s="160"/>
    </row>
    <row r="640">
      <c r="D640" s="159"/>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c r="BD640" s="160"/>
      <c r="BE640" s="160"/>
      <c r="BF640" s="160"/>
      <c r="BG640" s="160"/>
      <c r="BH640" s="160"/>
      <c r="BI640" s="160"/>
      <c r="BJ640" s="160"/>
      <c r="BK640" s="160"/>
      <c r="BL640" s="160"/>
      <c r="BM640" s="160"/>
      <c r="BN640" s="160"/>
      <c r="BO640" s="160"/>
      <c r="BP640" s="160"/>
      <c r="BQ640" s="160"/>
      <c r="BR640" s="160"/>
      <c r="BS640" s="160"/>
      <c r="BT640" s="160"/>
      <c r="BU640" s="160"/>
      <c r="BV640" s="160"/>
      <c r="BW640" s="160"/>
      <c r="BX640" s="160"/>
      <c r="BY640" s="160"/>
      <c r="BZ640" s="160"/>
      <c r="CA640" s="160"/>
      <c r="CB640" s="160"/>
      <c r="CC640" s="160"/>
      <c r="CD640" s="160"/>
      <c r="CE640" s="160"/>
      <c r="CF640" s="160"/>
    </row>
    <row r="641">
      <c r="D641" s="159"/>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c r="BD641" s="160"/>
      <c r="BE641" s="160"/>
      <c r="BF641" s="160"/>
      <c r="BG641" s="160"/>
      <c r="BH641" s="160"/>
      <c r="BI641" s="160"/>
      <c r="BJ641" s="160"/>
      <c r="BK641" s="160"/>
      <c r="BL641" s="160"/>
      <c r="BM641" s="160"/>
      <c r="BN641" s="160"/>
      <c r="BO641" s="160"/>
      <c r="BP641" s="160"/>
      <c r="BQ641" s="160"/>
      <c r="BR641" s="160"/>
      <c r="BS641" s="160"/>
      <c r="BT641" s="160"/>
      <c r="BU641" s="160"/>
      <c r="BV641" s="160"/>
      <c r="BW641" s="160"/>
      <c r="BX641" s="160"/>
      <c r="BY641" s="160"/>
      <c r="BZ641" s="160"/>
      <c r="CA641" s="160"/>
      <c r="CB641" s="160"/>
      <c r="CC641" s="160"/>
      <c r="CD641" s="160"/>
      <c r="CE641" s="160"/>
      <c r="CF641" s="160"/>
    </row>
    <row r="642">
      <c r="D642" s="159"/>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c r="BD642" s="160"/>
      <c r="BE642" s="160"/>
      <c r="BF642" s="160"/>
      <c r="BG642" s="160"/>
      <c r="BH642" s="160"/>
      <c r="BI642" s="160"/>
      <c r="BJ642" s="160"/>
      <c r="BK642" s="160"/>
      <c r="BL642" s="160"/>
      <c r="BM642" s="160"/>
      <c r="BN642" s="160"/>
      <c r="BO642" s="160"/>
      <c r="BP642" s="160"/>
      <c r="BQ642" s="160"/>
      <c r="BR642" s="160"/>
      <c r="BS642" s="160"/>
      <c r="BT642" s="160"/>
      <c r="BU642" s="160"/>
      <c r="BV642" s="160"/>
      <c r="BW642" s="160"/>
      <c r="BX642" s="160"/>
      <c r="BY642" s="160"/>
      <c r="BZ642" s="160"/>
      <c r="CA642" s="160"/>
      <c r="CB642" s="160"/>
      <c r="CC642" s="160"/>
      <c r="CD642" s="160"/>
      <c r="CE642" s="160"/>
      <c r="CF642" s="160"/>
    </row>
    <row r="643">
      <c r="D643" s="159"/>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c r="BD643" s="160"/>
      <c r="BE643" s="160"/>
      <c r="BF643" s="160"/>
      <c r="BG643" s="160"/>
      <c r="BH643" s="160"/>
      <c r="BI643" s="160"/>
      <c r="BJ643" s="160"/>
      <c r="BK643" s="160"/>
      <c r="BL643" s="160"/>
      <c r="BM643" s="160"/>
      <c r="BN643" s="160"/>
      <c r="BO643" s="160"/>
      <c r="BP643" s="160"/>
      <c r="BQ643" s="160"/>
      <c r="BR643" s="160"/>
      <c r="BS643" s="160"/>
      <c r="BT643" s="160"/>
      <c r="BU643" s="160"/>
      <c r="BV643" s="160"/>
      <c r="BW643" s="160"/>
      <c r="BX643" s="160"/>
      <c r="BY643" s="160"/>
      <c r="BZ643" s="160"/>
      <c r="CA643" s="160"/>
      <c r="CB643" s="160"/>
      <c r="CC643" s="160"/>
      <c r="CD643" s="160"/>
      <c r="CE643" s="160"/>
      <c r="CF643" s="160"/>
    </row>
    <row r="644">
      <c r="D644" s="159"/>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c r="BD644" s="160"/>
      <c r="BE644" s="160"/>
      <c r="BF644" s="160"/>
      <c r="BG644" s="160"/>
      <c r="BH644" s="160"/>
      <c r="BI644" s="160"/>
      <c r="BJ644" s="160"/>
      <c r="BK644" s="160"/>
      <c r="BL644" s="160"/>
      <c r="BM644" s="160"/>
      <c r="BN644" s="160"/>
      <c r="BO644" s="160"/>
      <c r="BP644" s="160"/>
      <c r="BQ644" s="160"/>
      <c r="BR644" s="160"/>
      <c r="BS644" s="160"/>
      <c r="BT644" s="160"/>
      <c r="BU644" s="160"/>
      <c r="BV644" s="160"/>
      <c r="BW644" s="160"/>
      <c r="BX644" s="160"/>
      <c r="BY644" s="160"/>
      <c r="BZ644" s="160"/>
      <c r="CA644" s="160"/>
      <c r="CB644" s="160"/>
      <c r="CC644" s="160"/>
      <c r="CD644" s="160"/>
      <c r="CE644" s="160"/>
      <c r="CF644" s="160"/>
    </row>
    <row r="645">
      <c r="D645" s="159"/>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c r="BD645" s="160"/>
      <c r="BE645" s="160"/>
      <c r="BF645" s="160"/>
      <c r="BG645" s="160"/>
      <c r="BH645" s="160"/>
      <c r="BI645" s="160"/>
      <c r="BJ645" s="160"/>
      <c r="BK645" s="160"/>
      <c r="BL645" s="160"/>
      <c r="BM645" s="160"/>
      <c r="BN645" s="160"/>
      <c r="BO645" s="160"/>
      <c r="BP645" s="160"/>
      <c r="BQ645" s="160"/>
      <c r="BR645" s="160"/>
      <c r="BS645" s="160"/>
      <c r="BT645" s="160"/>
      <c r="BU645" s="160"/>
      <c r="BV645" s="160"/>
      <c r="BW645" s="160"/>
      <c r="BX645" s="160"/>
      <c r="BY645" s="160"/>
      <c r="BZ645" s="160"/>
      <c r="CA645" s="160"/>
      <c r="CB645" s="160"/>
      <c r="CC645" s="160"/>
      <c r="CD645" s="160"/>
      <c r="CE645" s="160"/>
      <c r="CF645" s="160"/>
    </row>
    <row r="646">
      <c r="D646" s="159"/>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c r="BD646" s="160"/>
      <c r="BE646" s="160"/>
      <c r="BF646" s="160"/>
      <c r="BG646" s="160"/>
      <c r="BH646" s="160"/>
      <c r="BI646" s="160"/>
      <c r="BJ646" s="160"/>
      <c r="BK646" s="160"/>
      <c r="BL646" s="160"/>
      <c r="BM646" s="160"/>
      <c r="BN646" s="160"/>
      <c r="BO646" s="160"/>
      <c r="BP646" s="160"/>
      <c r="BQ646" s="160"/>
      <c r="BR646" s="160"/>
      <c r="BS646" s="160"/>
      <c r="BT646" s="160"/>
      <c r="BU646" s="160"/>
      <c r="BV646" s="160"/>
      <c r="BW646" s="160"/>
      <c r="BX646" s="160"/>
      <c r="BY646" s="160"/>
      <c r="BZ646" s="160"/>
      <c r="CA646" s="160"/>
      <c r="CB646" s="160"/>
      <c r="CC646" s="160"/>
      <c r="CD646" s="160"/>
      <c r="CE646" s="160"/>
      <c r="CF646" s="160"/>
    </row>
    <row r="647">
      <c r="D647" s="159"/>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c r="BD647" s="160"/>
      <c r="BE647" s="160"/>
      <c r="BF647" s="160"/>
      <c r="BG647" s="160"/>
      <c r="BH647" s="160"/>
      <c r="BI647" s="160"/>
      <c r="BJ647" s="160"/>
      <c r="BK647" s="160"/>
      <c r="BL647" s="160"/>
      <c r="BM647" s="160"/>
      <c r="BN647" s="160"/>
      <c r="BO647" s="160"/>
      <c r="BP647" s="160"/>
      <c r="BQ647" s="160"/>
      <c r="BR647" s="160"/>
      <c r="BS647" s="160"/>
      <c r="BT647" s="160"/>
      <c r="BU647" s="160"/>
      <c r="BV647" s="160"/>
      <c r="BW647" s="160"/>
      <c r="BX647" s="160"/>
      <c r="BY647" s="160"/>
      <c r="BZ647" s="160"/>
      <c r="CA647" s="160"/>
      <c r="CB647" s="160"/>
      <c r="CC647" s="160"/>
      <c r="CD647" s="160"/>
      <c r="CE647" s="160"/>
      <c r="CF647" s="160"/>
    </row>
    <row r="648">
      <c r="D648" s="159"/>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c r="BD648" s="160"/>
      <c r="BE648" s="160"/>
      <c r="BF648" s="160"/>
      <c r="BG648" s="160"/>
      <c r="BH648" s="160"/>
      <c r="BI648" s="160"/>
      <c r="BJ648" s="160"/>
      <c r="BK648" s="160"/>
      <c r="BL648" s="160"/>
      <c r="BM648" s="160"/>
      <c r="BN648" s="160"/>
      <c r="BO648" s="160"/>
      <c r="BP648" s="160"/>
      <c r="BQ648" s="160"/>
      <c r="BR648" s="160"/>
      <c r="BS648" s="160"/>
      <c r="BT648" s="160"/>
      <c r="BU648" s="160"/>
      <c r="BV648" s="160"/>
      <c r="BW648" s="160"/>
      <c r="BX648" s="160"/>
      <c r="BY648" s="160"/>
      <c r="BZ648" s="160"/>
      <c r="CA648" s="160"/>
      <c r="CB648" s="160"/>
      <c r="CC648" s="160"/>
      <c r="CD648" s="160"/>
      <c r="CE648" s="160"/>
      <c r="CF648" s="160"/>
    </row>
    <row r="649">
      <c r="D649" s="159"/>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c r="BD649" s="160"/>
      <c r="BE649" s="160"/>
      <c r="BF649" s="160"/>
      <c r="BG649" s="160"/>
      <c r="BH649" s="160"/>
      <c r="BI649" s="160"/>
      <c r="BJ649" s="160"/>
      <c r="BK649" s="160"/>
      <c r="BL649" s="160"/>
      <c r="BM649" s="160"/>
      <c r="BN649" s="160"/>
      <c r="BO649" s="160"/>
      <c r="BP649" s="160"/>
      <c r="BQ649" s="160"/>
      <c r="BR649" s="160"/>
      <c r="BS649" s="160"/>
      <c r="BT649" s="160"/>
      <c r="BU649" s="160"/>
      <c r="BV649" s="160"/>
      <c r="BW649" s="160"/>
      <c r="BX649" s="160"/>
      <c r="BY649" s="160"/>
      <c r="BZ649" s="160"/>
      <c r="CA649" s="160"/>
      <c r="CB649" s="160"/>
      <c r="CC649" s="160"/>
      <c r="CD649" s="160"/>
      <c r="CE649" s="160"/>
      <c r="CF649" s="160"/>
    </row>
    <row r="650">
      <c r="D650" s="159"/>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c r="BD650" s="160"/>
      <c r="BE650" s="160"/>
      <c r="BF650" s="160"/>
      <c r="BG650" s="160"/>
      <c r="BH650" s="160"/>
      <c r="BI650" s="160"/>
      <c r="BJ650" s="160"/>
      <c r="BK650" s="160"/>
      <c r="BL650" s="160"/>
      <c r="BM650" s="160"/>
      <c r="BN650" s="160"/>
      <c r="BO650" s="160"/>
      <c r="BP650" s="160"/>
      <c r="BQ650" s="160"/>
      <c r="BR650" s="160"/>
      <c r="BS650" s="160"/>
      <c r="BT650" s="160"/>
      <c r="BU650" s="160"/>
      <c r="BV650" s="160"/>
      <c r="BW650" s="160"/>
      <c r="BX650" s="160"/>
      <c r="BY650" s="160"/>
      <c r="BZ650" s="160"/>
      <c r="CA650" s="160"/>
      <c r="CB650" s="160"/>
      <c r="CC650" s="160"/>
      <c r="CD650" s="160"/>
      <c r="CE650" s="160"/>
      <c r="CF650" s="160"/>
    </row>
    <row r="651">
      <c r="D651" s="159"/>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c r="BZ651" s="160"/>
      <c r="CA651" s="160"/>
      <c r="CB651" s="160"/>
      <c r="CC651" s="160"/>
      <c r="CD651" s="160"/>
      <c r="CE651" s="160"/>
      <c r="CF651" s="160"/>
    </row>
    <row r="652">
      <c r="D652" s="159"/>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c r="BD652" s="160"/>
      <c r="BE652" s="160"/>
      <c r="BF652" s="160"/>
      <c r="BG652" s="160"/>
      <c r="BH652" s="160"/>
      <c r="BI652" s="160"/>
      <c r="BJ652" s="160"/>
      <c r="BK652" s="160"/>
      <c r="BL652" s="160"/>
      <c r="BM652" s="160"/>
      <c r="BN652" s="160"/>
      <c r="BO652" s="160"/>
      <c r="BP652" s="160"/>
      <c r="BQ652" s="160"/>
      <c r="BR652" s="160"/>
      <c r="BS652" s="160"/>
      <c r="BT652" s="160"/>
      <c r="BU652" s="160"/>
      <c r="BV652" s="160"/>
      <c r="BW652" s="160"/>
      <c r="BX652" s="160"/>
      <c r="BY652" s="160"/>
      <c r="BZ652" s="160"/>
      <c r="CA652" s="160"/>
      <c r="CB652" s="160"/>
      <c r="CC652" s="160"/>
      <c r="CD652" s="160"/>
      <c r="CE652" s="160"/>
      <c r="CF652" s="160"/>
    </row>
    <row r="653">
      <c r="D653" s="159"/>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c r="BD653" s="160"/>
      <c r="BE653" s="160"/>
      <c r="BF653" s="160"/>
      <c r="BG653" s="160"/>
      <c r="BH653" s="160"/>
      <c r="BI653" s="160"/>
      <c r="BJ653" s="160"/>
      <c r="BK653" s="160"/>
      <c r="BL653" s="160"/>
      <c r="BM653" s="160"/>
      <c r="BN653" s="160"/>
      <c r="BO653" s="160"/>
      <c r="BP653" s="160"/>
      <c r="BQ653" s="160"/>
      <c r="BR653" s="160"/>
      <c r="BS653" s="160"/>
      <c r="BT653" s="160"/>
      <c r="BU653" s="160"/>
      <c r="BV653" s="160"/>
      <c r="BW653" s="160"/>
      <c r="BX653" s="160"/>
      <c r="BY653" s="160"/>
      <c r="BZ653" s="160"/>
      <c r="CA653" s="160"/>
      <c r="CB653" s="160"/>
      <c r="CC653" s="160"/>
      <c r="CD653" s="160"/>
      <c r="CE653" s="160"/>
      <c r="CF653" s="160"/>
    </row>
    <row r="654">
      <c r="D654" s="159"/>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c r="BD654" s="160"/>
      <c r="BE654" s="160"/>
      <c r="BF654" s="160"/>
      <c r="BG654" s="160"/>
      <c r="BH654" s="160"/>
      <c r="BI654" s="160"/>
      <c r="BJ654" s="160"/>
      <c r="BK654" s="160"/>
      <c r="BL654" s="160"/>
      <c r="BM654" s="160"/>
      <c r="BN654" s="160"/>
      <c r="BO654" s="160"/>
      <c r="BP654" s="160"/>
      <c r="BQ654" s="160"/>
      <c r="BR654" s="160"/>
      <c r="BS654" s="160"/>
      <c r="BT654" s="160"/>
      <c r="BU654" s="160"/>
      <c r="BV654" s="160"/>
      <c r="BW654" s="160"/>
      <c r="BX654" s="160"/>
      <c r="BY654" s="160"/>
      <c r="BZ654" s="160"/>
      <c r="CA654" s="160"/>
      <c r="CB654" s="160"/>
      <c r="CC654" s="160"/>
      <c r="CD654" s="160"/>
      <c r="CE654" s="160"/>
      <c r="CF654" s="160"/>
    </row>
    <row r="655">
      <c r="D655" s="159"/>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c r="BD655" s="160"/>
      <c r="BE655" s="160"/>
      <c r="BF655" s="160"/>
      <c r="BG655" s="160"/>
      <c r="BH655" s="160"/>
      <c r="BI655" s="160"/>
      <c r="BJ655" s="160"/>
      <c r="BK655" s="160"/>
      <c r="BL655" s="160"/>
      <c r="BM655" s="160"/>
      <c r="BN655" s="160"/>
      <c r="BO655" s="160"/>
      <c r="BP655" s="160"/>
      <c r="BQ655" s="160"/>
      <c r="BR655" s="160"/>
      <c r="BS655" s="160"/>
      <c r="BT655" s="160"/>
      <c r="BU655" s="160"/>
      <c r="BV655" s="160"/>
      <c r="BW655" s="160"/>
      <c r="BX655" s="160"/>
      <c r="BY655" s="160"/>
      <c r="BZ655" s="160"/>
      <c r="CA655" s="160"/>
      <c r="CB655" s="160"/>
      <c r="CC655" s="160"/>
      <c r="CD655" s="160"/>
      <c r="CE655" s="160"/>
      <c r="CF655" s="160"/>
    </row>
    <row r="656">
      <c r="D656" s="159"/>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c r="BD656" s="160"/>
      <c r="BE656" s="160"/>
      <c r="BF656" s="160"/>
      <c r="BG656" s="160"/>
      <c r="BH656" s="160"/>
      <c r="BI656" s="160"/>
      <c r="BJ656" s="160"/>
      <c r="BK656" s="160"/>
      <c r="BL656" s="160"/>
      <c r="BM656" s="160"/>
      <c r="BN656" s="160"/>
      <c r="BO656" s="160"/>
      <c r="BP656" s="160"/>
      <c r="BQ656" s="160"/>
      <c r="BR656" s="160"/>
      <c r="BS656" s="160"/>
      <c r="BT656" s="160"/>
      <c r="BU656" s="160"/>
      <c r="BV656" s="160"/>
      <c r="BW656" s="160"/>
      <c r="BX656" s="160"/>
      <c r="BY656" s="160"/>
      <c r="BZ656" s="160"/>
      <c r="CA656" s="160"/>
      <c r="CB656" s="160"/>
      <c r="CC656" s="160"/>
      <c r="CD656" s="160"/>
      <c r="CE656" s="160"/>
      <c r="CF656" s="160"/>
    </row>
    <row r="657">
      <c r="D657" s="159"/>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c r="BD657" s="160"/>
      <c r="BE657" s="160"/>
      <c r="BF657" s="160"/>
      <c r="BG657" s="160"/>
      <c r="BH657" s="160"/>
      <c r="BI657" s="160"/>
      <c r="BJ657" s="160"/>
      <c r="BK657" s="160"/>
      <c r="BL657" s="160"/>
      <c r="BM657" s="160"/>
      <c r="BN657" s="160"/>
      <c r="BO657" s="160"/>
      <c r="BP657" s="160"/>
      <c r="BQ657" s="160"/>
      <c r="BR657" s="160"/>
      <c r="BS657" s="160"/>
      <c r="BT657" s="160"/>
      <c r="BU657" s="160"/>
      <c r="BV657" s="160"/>
      <c r="BW657" s="160"/>
      <c r="BX657" s="160"/>
      <c r="BY657" s="160"/>
      <c r="BZ657" s="160"/>
      <c r="CA657" s="160"/>
      <c r="CB657" s="160"/>
      <c r="CC657" s="160"/>
      <c r="CD657" s="160"/>
      <c r="CE657" s="160"/>
      <c r="CF657" s="160"/>
    </row>
    <row r="658">
      <c r="D658" s="159"/>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c r="BD658" s="160"/>
      <c r="BE658" s="160"/>
      <c r="BF658" s="160"/>
      <c r="BG658" s="160"/>
      <c r="BH658" s="160"/>
      <c r="BI658" s="160"/>
      <c r="BJ658" s="160"/>
      <c r="BK658" s="160"/>
      <c r="BL658" s="160"/>
      <c r="BM658" s="160"/>
      <c r="BN658" s="160"/>
      <c r="BO658" s="160"/>
      <c r="BP658" s="160"/>
      <c r="BQ658" s="160"/>
      <c r="BR658" s="160"/>
      <c r="BS658" s="160"/>
      <c r="BT658" s="160"/>
      <c r="BU658" s="160"/>
      <c r="BV658" s="160"/>
      <c r="BW658" s="160"/>
      <c r="BX658" s="160"/>
      <c r="BY658" s="160"/>
      <c r="BZ658" s="160"/>
      <c r="CA658" s="160"/>
      <c r="CB658" s="160"/>
      <c r="CC658" s="160"/>
      <c r="CD658" s="160"/>
      <c r="CE658" s="160"/>
      <c r="CF658" s="160"/>
    </row>
    <row r="659">
      <c r="D659" s="159"/>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c r="BD659" s="160"/>
      <c r="BE659" s="160"/>
      <c r="BF659" s="160"/>
      <c r="BG659" s="160"/>
      <c r="BH659" s="160"/>
      <c r="BI659" s="160"/>
      <c r="BJ659" s="160"/>
      <c r="BK659" s="160"/>
      <c r="BL659" s="160"/>
      <c r="BM659" s="160"/>
      <c r="BN659" s="160"/>
      <c r="BO659" s="160"/>
      <c r="BP659" s="160"/>
      <c r="BQ659" s="160"/>
      <c r="BR659" s="160"/>
      <c r="BS659" s="160"/>
      <c r="BT659" s="160"/>
      <c r="BU659" s="160"/>
      <c r="BV659" s="160"/>
      <c r="BW659" s="160"/>
      <c r="BX659" s="160"/>
      <c r="BY659" s="160"/>
      <c r="BZ659" s="160"/>
      <c r="CA659" s="160"/>
      <c r="CB659" s="160"/>
      <c r="CC659" s="160"/>
      <c r="CD659" s="160"/>
      <c r="CE659" s="160"/>
      <c r="CF659" s="160"/>
    </row>
    <row r="660">
      <c r="D660" s="159"/>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60"/>
      <c r="AX660" s="160"/>
      <c r="AY660" s="160"/>
      <c r="AZ660" s="160"/>
      <c r="BA660" s="160"/>
      <c r="BB660" s="160"/>
      <c r="BC660" s="160"/>
      <c r="BD660" s="160"/>
      <c r="BE660" s="160"/>
      <c r="BF660" s="160"/>
      <c r="BG660" s="160"/>
      <c r="BH660" s="160"/>
      <c r="BI660" s="160"/>
      <c r="BJ660" s="160"/>
      <c r="BK660" s="160"/>
      <c r="BL660" s="160"/>
      <c r="BM660" s="160"/>
      <c r="BN660" s="160"/>
      <c r="BO660" s="160"/>
      <c r="BP660" s="160"/>
      <c r="BQ660" s="160"/>
      <c r="BR660" s="160"/>
      <c r="BS660" s="160"/>
      <c r="BT660" s="160"/>
      <c r="BU660" s="160"/>
      <c r="BV660" s="160"/>
      <c r="BW660" s="160"/>
      <c r="BX660" s="160"/>
      <c r="BY660" s="160"/>
      <c r="BZ660" s="160"/>
      <c r="CA660" s="160"/>
      <c r="CB660" s="160"/>
      <c r="CC660" s="160"/>
      <c r="CD660" s="160"/>
      <c r="CE660" s="160"/>
      <c r="CF660" s="160"/>
    </row>
    <row r="661">
      <c r="D661" s="159"/>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c r="BD661" s="160"/>
      <c r="BE661" s="160"/>
      <c r="BF661" s="160"/>
      <c r="BG661" s="160"/>
      <c r="BH661" s="160"/>
      <c r="BI661" s="160"/>
      <c r="BJ661" s="160"/>
      <c r="BK661" s="160"/>
      <c r="BL661" s="160"/>
      <c r="BM661" s="160"/>
      <c r="BN661" s="160"/>
      <c r="BO661" s="160"/>
      <c r="BP661" s="160"/>
      <c r="BQ661" s="160"/>
      <c r="BR661" s="160"/>
      <c r="BS661" s="160"/>
      <c r="BT661" s="160"/>
      <c r="BU661" s="160"/>
      <c r="BV661" s="160"/>
      <c r="BW661" s="160"/>
      <c r="BX661" s="160"/>
      <c r="BY661" s="160"/>
      <c r="BZ661" s="160"/>
      <c r="CA661" s="160"/>
      <c r="CB661" s="160"/>
      <c r="CC661" s="160"/>
      <c r="CD661" s="160"/>
      <c r="CE661" s="160"/>
      <c r="CF661" s="160"/>
    </row>
    <row r="662">
      <c r="D662" s="159"/>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c r="BD662" s="160"/>
      <c r="BE662" s="160"/>
      <c r="BF662" s="160"/>
      <c r="BG662" s="160"/>
      <c r="BH662" s="160"/>
      <c r="BI662" s="160"/>
      <c r="BJ662" s="160"/>
      <c r="BK662" s="160"/>
      <c r="BL662" s="160"/>
      <c r="BM662" s="160"/>
      <c r="BN662" s="160"/>
      <c r="BO662" s="160"/>
      <c r="BP662" s="160"/>
      <c r="BQ662" s="160"/>
      <c r="BR662" s="160"/>
      <c r="BS662" s="160"/>
      <c r="BT662" s="160"/>
      <c r="BU662" s="160"/>
      <c r="BV662" s="160"/>
      <c r="BW662" s="160"/>
      <c r="BX662" s="160"/>
      <c r="BY662" s="160"/>
      <c r="BZ662" s="160"/>
      <c r="CA662" s="160"/>
      <c r="CB662" s="160"/>
      <c r="CC662" s="160"/>
      <c r="CD662" s="160"/>
      <c r="CE662" s="160"/>
      <c r="CF662" s="160"/>
    </row>
    <row r="663">
      <c r="D663" s="159"/>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c r="BD663" s="160"/>
      <c r="BE663" s="160"/>
      <c r="BF663" s="160"/>
      <c r="BG663" s="160"/>
      <c r="BH663" s="160"/>
      <c r="BI663" s="160"/>
      <c r="BJ663" s="160"/>
      <c r="BK663" s="160"/>
      <c r="BL663" s="160"/>
      <c r="BM663" s="160"/>
      <c r="BN663" s="160"/>
      <c r="BO663" s="160"/>
      <c r="BP663" s="160"/>
      <c r="BQ663" s="160"/>
      <c r="BR663" s="160"/>
      <c r="BS663" s="160"/>
      <c r="BT663" s="160"/>
      <c r="BU663" s="160"/>
      <c r="BV663" s="160"/>
      <c r="BW663" s="160"/>
      <c r="BX663" s="160"/>
      <c r="BY663" s="160"/>
      <c r="BZ663" s="160"/>
      <c r="CA663" s="160"/>
      <c r="CB663" s="160"/>
      <c r="CC663" s="160"/>
      <c r="CD663" s="160"/>
      <c r="CE663" s="160"/>
      <c r="CF663" s="160"/>
    </row>
    <row r="664">
      <c r="D664" s="159"/>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c r="BD664" s="160"/>
      <c r="BE664" s="160"/>
      <c r="BF664" s="160"/>
      <c r="BG664" s="160"/>
      <c r="BH664" s="160"/>
      <c r="BI664" s="160"/>
      <c r="BJ664" s="160"/>
      <c r="BK664" s="160"/>
      <c r="BL664" s="160"/>
      <c r="BM664" s="160"/>
      <c r="BN664" s="160"/>
      <c r="BO664" s="160"/>
      <c r="BP664" s="160"/>
      <c r="BQ664" s="160"/>
      <c r="BR664" s="160"/>
      <c r="BS664" s="160"/>
      <c r="BT664" s="160"/>
      <c r="BU664" s="160"/>
      <c r="BV664" s="160"/>
      <c r="BW664" s="160"/>
      <c r="BX664" s="160"/>
      <c r="BY664" s="160"/>
      <c r="BZ664" s="160"/>
      <c r="CA664" s="160"/>
      <c r="CB664" s="160"/>
      <c r="CC664" s="160"/>
      <c r="CD664" s="160"/>
      <c r="CE664" s="160"/>
      <c r="CF664" s="160"/>
    </row>
    <row r="665">
      <c r="D665" s="159"/>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c r="BD665" s="160"/>
      <c r="BE665" s="160"/>
      <c r="BF665" s="160"/>
      <c r="BG665" s="160"/>
      <c r="BH665" s="160"/>
      <c r="BI665" s="160"/>
      <c r="BJ665" s="160"/>
      <c r="BK665" s="160"/>
      <c r="BL665" s="160"/>
      <c r="BM665" s="160"/>
      <c r="BN665" s="160"/>
      <c r="BO665" s="160"/>
      <c r="BP665" s="160"/>
      <c r="BQ665" s="160"/>
      <c r="BR665" s="160"/>
      <c r="BS665" s="160"/>
      <c r="BT665" s="160"/>
      <c r="BU665" s="160"/>
      <c r="BV665" s="160"/>
      <c r="BW665" s="160"/>
      <c r="BX665" s="160"/>
      <c r="BY665" s="160"/>
      <c r="BZ665" s="160"/>
      <c r="CA665" s="160"/>
      <c r="CB665" s="160"/>
      <c r="CC665" s="160"/>
      <c r="CD665" s="160"/>
      <c r="CE665" s="160"/>
      <c r="CF665" s="160"/>
    </row>
    <row r="666">
      <c r="D666" s="159"/>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c r="BD666" s="160"/>
      <c r="BE666" s="160"/>
      <c r="BF666" s="160"/>
      <c r="BG666" s="160"/>
      <c r="BH666" s="160"/>
      <c r="BI666" s="160"/>
      <c r="BJ666" s="160"/>
      <c r="BK666" s="160"/>
      <c r="BL666" s="160"/>
      <c r="BM666" s="160"/>
      <c r="BN666" s="160"/>
      <c r="BO666" s="160"/>
      <c r="BP666" s="160"/>
      <c r="BQ666" s="160"/>
      <c r="BR666" s="160"/>
      <c r="BS666" s="160"/>
      <c r="BT666" s="160"/>
      <c r="BU666" s="160"/>
      <c r="BV666" s="160"/>
      <c r="BW666" s="160"/>
      <c r="BX666" s="160"/>
      <c r="BY666" s="160"/>
      <c r="BZ666" s="160"/>
      <c r="CA666" s="160"/>
      <c r="CB666" s="160"/>
      <c r="CC666" s="160"/>
      <c r="CD666" s="160"/>
      <c r="CE666" s="160"/>
      <c r="CF666" s="160"/>
    </row>
    <row r="667">
      <c r="D667" s="159"/>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c r="BD667" s="160"/>
      <c r="BE667" s="160"/>
      <c r="BF667" s="160"/>
      <c r="BG667" s="160"/>
      <c r="BH667" s="160"/>
      <c r="BI667" s="160"/>
      <c r="BJ667" s="160"/>
      <c r="BK667" s="160"/>
      <c r="BL667" s="160"/>
      <c r="BM667" s="160"/>
      <c r="BN667" s="160"/>
      <c r="BO667" s="160"/>
      <c r="BP667" s="160"/>
      <c r="BQ667" s="160"/>
      <c r="BR667" s="160"/>
      <c r="BS667" s="160"/>
      <c r="BT667" s="160"/>
      <c r="BU667" s="160"/>
      <c r="BV667" s="160"/>
      <c r="BW667" s="160"/>
      <c r="BX667" s="160"/>
      <c r="BY667" s="160"/>
      <c r="BZ667" s="160"/>
      <c r="CA667" s="160"/>
      <c r="CB667" s="160"/>
      <c r="CC667" s="160"/>
      <c r="CD667" s="160"/>
      <c r="CE667" s="160"/>
      <c r="CF667" s="160"/>
    </row>
    <row r="668">
      <c r="D668" s="159"/>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c r="BD668" s="160"/>
      <c r="BE668" s="160"/>
      <c r="BF668" s="160"/>
      <c r="BG668" s="160"/>
      <c r="BH668" s="160"/>
      <c r="BI668" s="160"/>
      <c r="BJ668" s="160"/>
      <c r="BK668" s="160"/>
      <c r="BL668" s="160"/>
      <c r="BM668" s="160"/>
      <c r="BN668" s="160"/>
      <c r="BO668" s="160"/>
      <c r="BP668" s="160"/>
      <c r="BQ668" s="160"/>
      <c r="BR668" s="160"/>
      <c r="BS668" s="160"/>
      <c r="BT668" s="160"/>
      <c r="BU668" s="160"/>
      <c r="BV668" s="160"/>
      <c r="BW668" s="160"/>
      <c r="BX668" s="160"/>
      <c r="BY668" s="160"/>
      <c r="BZ668" s="160"/>
      <c r="CA668" s="160"/>
      <c r="CB668" s="160"/>
      <c r="CC668" s="160"/>
      <c r="CD668" s="160"/>
      <c r="CE668" s="160"/>
      <c r="CF668" s="160"/>
    </row>
    <row r="669">
      <c r="D669" s="159"/>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c r="BD669" s="160"/>
      <c r="BE669" s="160"/>
      <c r="BF669" s="160"/>
      <c r="BG669" s="160"/>
      <c r="BH669" s="160"/>
      <c r="BI669" s="160"/>
      <c r="BJ669" s="160"/>
      <c r="BK669" s="160"/>
      <c r="BL669" s="160"/>
      <c r="BM669" s="160"/>
      <c r="BN669" s="160"/>
      <c r="BO669" s="160"/>
      <c r="BP669" s="160"/>
      <c r="BQ669" s="160"/>
      <c r="BR669" s="160"/>
      <c r="BS669" s="160"/>
      <c r="BT669" s="160"/>
      <c r="BU669" s="160"/>
      <c r="BV669" s="160"/>
      <c r="BW669" s="160"/>
      <c r="BX669" s="160"/>
      <c r="BY669" s="160"/>
      <c r="BZ669" s="160"/>
      <c r="CA669" s="160"/>
      <c r="CB669" s="160"/>
      <c r="CC669" s="160"/>
      <c r="CD669" s="160"/>
      <c r="CE669" s="160"/>
      <c r="CF669" s="160"/>
    </row>
    <row r="670">
      <c r="D670" s="159"/>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c r="BD670" s="160"/>
      <c r="BE670" s="160"/>
      <c r="BF670" s="160"/>
      <c r="BG670" s="160"/>
      <c r="BH670" s="160"/>
      <c r="BI670" s="160"/>
      <c r="BJ670" s="160"/>
      <c r="BK670" s="160"/>
      <c r="BL670" s="160"/>
      <c r="BM670" s="160"/>
      <c r="BN670" s="160"/>
      <c r="BO670" s="160"/>
      <c r="BP670" s="160"/>
      <c r="BQ670" s="160"/>
      <c r="BR670" s="160"/>
      <c r="BS670" s="160"/>
      <c r="BT670" s="160"/>
      <c r="BU670" s="160"/>
      <c r="BV670" s="160"/>
      <c r="BW670" s="160"/>
      <c r="BX670" s="160"/>
      <c r="BY670" s="160"/>
      <c r="BZ670" s="160"/>
      <c r="CA670" s="160"/>
      <c r="CB670" s="160"/>
      <c r="CC670" s="160"/>
      <c r="CD670" s="160"/>
      <c r="CE670" s="160"/>
      <c r="CF670" s="160"/>
    </row>
    <row r="671">
      <c r="D671" s="159"/>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c r="BD671" s="160"/>
      <c r="BE671" s="160"/>
      <c r="BF671" s="160"/>
      <c r="BG671" s="160"/>
      <c r="BH671" s="160"/>
      <c r="BI671" s="160"/>
      <c r="BJ671" s="160"/>
      <c r="BK671" s="160"/>
      <c r="BL671" s="160"/>
      <c r="BM671" s="160"/>
      <c r="BN671" s="160"/>
      <c r="BO671" s="160"/>
      <c r="BP671" s="160"/>
      <c r="BQ671" s="160"/>
      <c r="BR671" s="160"/>
      <c r="BS671" s="160"/>
      <c r="BT671" s="160"/>
      <c r="BU671" s="160"/>
      <c r="BV671" s="160"/>
      <c r="BW671" s="160"/>
      <c r="BX671" s="160"/>
      <c r="BY671" s="160"/>
      <c r="BZ671" s="160"/>
      <c r="CA671" s="160"/>
      <c r="CB671" s="160"/>
      <c r="CC671" s="160"/>
      <c r="CD671" s="160"/>
      <c r="CE671" s="160"/>
      <c r="CF671" s="160"/>
    </row>
    <row r="672">
      <c r="D672" s="159"/>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c r="BD672" s="160"/>
      <c r="BE672" s="160"/>
      <c r="BF672" s="160"/>
      <c r="BG672" s="160"/>
      <c r="BH672" s="160"/>
      <c r="BI672" s="160"/>
      <c r="BJ672" s="160"/>
      <c r="BK672" s="160"/>
      <c r="BL672" s="160"/>
      <c r="BM672" s="160"/>
      <c r="BN672" s="160"/>
      <c r="BO672" s="160"/>
      <c r="BP672" s="160"/>
      <c r="BQ672" s="160"/>
      <c r="BR672" s="160"/>
      <c r="BS672" s="160"/>
      <c r="BT672" s="160"/>
      <c r="BU672" s="160"/>
      <c r="BV672" s="160"/>
      <c r="BW672" s="160"/>
      <c r="BX672" s="160"/>
      <c r="BY672" s="160"/>
      <c r="BZ672" s="160"/>
      <c r="CA672" s="160"/>
      <c r="CB672" s="160"/>
      <c r="CC672" s="160"/>
      <c r="CD672" s="160"/>
      <c r="CE672" s="160"/>
      <c r="CF672" s="160"/>
    </row>
    <row r="673">
      <c r="D673" s="159"/>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c r="BD673" s="160"/>
      <c r="BE673" s="160"/>
      <c r="BF673" s="160"/>
      <c r="BG673" s="160"/>
      <c r="BH673" s="160"/>
      <c r="BI673" s="160"/>
      <c r="BJ673" s="160"/>
      <c r="BK673" s="160"/>
      <c r="BL673" s="160"/>
      <c r="BM673" s="160"/>
      <c r="BN673" s="160"/>
      <c r="BO673" s="160"/>
      <c r="BP673" s="160"/>
      <c r="BQ673" s="160"/>
      <c r="BR673" s="160"/>
      <c r="BS673" s="160"/>
      <c r="BT673" s="160"/>
      <c r="BU673" s="160"/>
      <c r="BV673" s="160"/>
      <c r="BW673" s="160"/>
      <c r="BX673" s="160"/>
      <c r="BY673" s="160"/>
      <c r="BZ673" s="160"/>
      <c r="CA673" s="160"/>
      <c r="CB673" s="160"/>
      <c r="CC673" s="160"/>
      <c r="CD673" s="160"/>
      <c r="CE673" s="160"/>
      <c r="CF673" s="160"/>
    </row>
    <row r="674">
      <c r="D674" s="159"/>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c r="BD674" s="160"/>
      <c r="BE674" s="160"/>
      <c r="BF674" s="160"/>
      <c r="BG674" s="160"/>
      <c r="BH674" s="160"/>
      <c r="BI674" s="160"/>
      <c r="BJ674" s="160"/>
      <c r="BK674" s="160"/>
      <c r="BL674" s="160"/>
      <c r="BM674" s="160"/>
      <c r="BN674" s="160"/>
      <c r="BO674" s="160"/>
      <c r="BP674" s="160"/>
      <c r="BQ674" s="160"/>
      <c r="BR674" s="160"/>
      <c r="BS674" s="160"/>
      <c r="BT674" s="160"/>
      <c r="BU674" s="160"/>
      <c r="BV674" s="160"/>
      <c r="BW674" s="160"/>
      <c r="BX674" s="160"/>
      <c r="BY674" s="160"/>
      <c r="BZ674" s="160"/>
      <c r="CA674" s="160"/>
      <c r="CB674" s="160"/>
      <c r="CC674" s="160"/>
      <c r="CD674" s="160"/>
      <c r="CE674" s="160"/>
      <c r="CF674" s="160"/>
    </row>
    <row r="675">
      <c r="D675" s="159"/>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c r="BD675" s="160"/>
      <c r="BE675" s="160"/>
      <c r="BF675" s="160"/>
      <c r="BG675" s="160"/>
      <c r="BH675" s="160"/>
      <c r="BI675" s="160"/>
      <c r="BJ675" s="160"/>
      <c r="BK675" s="160"/>
      <c r="BL675" s="160"/>
      <c r="BM675" s="160"/>
      <c r="BN675" s="160"/>
      <c r="BO675" s="160"/>
      <c r="BP675" s="160"/>
      <c r="BQ675" s="160"/>
      <c r="BR675" s="160"/>
      <c r="BS675" s="160"/>
      <c r="BT675" s="160"/>
      <c r="BU675" s="160"/>
      <c r="BV675" s="160"/>
      <c r="BW675" s="160"/>
      <c r="BX675" s="160"/>
      <c r="BY675" s="160"/>
      <c r="BZ675" s="160"/>
      <c r="CA675" s="160"/>
      <c r="CB675" s="160"/>
      <c r="CC675" s="160"/>
      <c r="CD675" s="160"/>
      <c r="CE675" s="160"/>
      <c r="CF675" s="160"/>
    </row>
    <row r="676">
      <c r="D676" s="159"/>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c r="BD676" s="160"/>
      <c r="BE676" s="160"/>
      <c r="BF676" s="160"/>
      <c r="BG676" s="160"/>
      <c r="BH676" s="160"/>
      <c r="BI676" s="160"/>
      <c r="BJ676" s="160"/>
      <c r="BK676" s="160"/>
      <c r="BL676" s="160"/>
      <c r="BM676" s="160"/>
      <c r="BN676" s="160"/>
      <c r="BO676" s="160"/>
      <c r="BP676" s="160"/>
      <c r="BQ676" s="160"/>
      <c r="BR676" s="160"/>
      <c r="BS676" s="160"/>
      <c r="BT676" s="160"/>
      <c r="BU676" s="160"/>
      <c r="BV676" s="160"/>
      <c r="BW676" s="160"/>
      <c r="BX676" s="160"/>
      <c r="BY676" s="160"/>
      <c r="BZ676" s="160"/>
      <c r="CA676" s="160"/>
      <c r="CB676" s="160"/>
      <c r="CC676" s="160"/>
      <c r="CD676" s="160"/>
      <c r="CE676" s="160"/>
      <c r="CF676" s="160"/>
    </row>
    <row r="677">
      <c r="D677" s="159"/>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c r="BD677" s="160"/>
      <c r="BE677" s="160"/>
      <c r="BF677" s="160"/>
      <c r="BG677" s="160"/>
      <c r="BH677" s="160"/>
      <c r="BI677" s="160"/>
      <c r="BJ677" s="160"/>
      <c r="BK677" s="160"/>
      <c r="BL677" s="160"/>
      <c r="BM677" s="160"/>
      <c r="BN677" s="160"/>
      <c r="BO677" s="160"/>
      <c r="BP677" s="160"/>
      <c r="BQ677" s="160"/>
      <c r="BR677" s="160"/>
      <c r="BS677" s="160"/>
      <c r="BT677" s="160"/>
      <c r="BU677" s="160"/>
      <c r="BV677" s="160"/>
      <c r="BW677" s="160"/>
      <c r="BX677" s="160"/>
      <c r="BY677" s="160"/>
      <c r="BZ677" s="160"/>
      <c r="CA677" s="160"/>
      <c r="CB677" s="160"/>
      <c r="CC677" s="160"/>
      <c r="CD677" s="160"/>
      <c r="CE677" s="160"/>
      <c r="CF677" s="160"/>
    </row>
    <row r="678">
      <c r="D678" s="159"/>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c r="BD678" s="160"/>
      <c r="BE678" s="160"/>
      <c r="BF678" s="160"/>
      <c r="BG678" s="160"/>
      <c r="BH678" s="160"/>
      <c r="BI678" s="160"/>
      <c r="BJ678" s="160"/>
      <c r="BK678" s="160"/>
      <c r="BL678" s="160"/>
      <c r="BM678" s="160"/>
      <c r="BN678" s="160"/>
      <c r="BO678" s="160"/>
      <c r="BP678" s="160"/>
      <c r="BQ678" s="160"/>
      <c r="BR678" s="160"/>
      <c r="BS678" s="160"/>
      <c r="BT678" s="160"/>
      <c r="BU678" s="160"/>
      <c r="BV678" s="160"/>
      <c r="BW678" s="160"/>
      <c r="BX678" s="160"/>
      <c r="BY678" s="160"/>
      <c r="BZ678" s="160"/>
      <c r="CA678" s="160"/>
      <c r="CB678" s="160"/>
      <c r="CC678" s="160"/>
      <c r="CD678" s="160"/>
      <c r="CE678" s="160"/>
      <c r="CF678" s="160"/>
    </row>
    <row r="679">
      <c r="D679" s="159"/>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c r="BD679" s="160"/>
      <c r="BE679" s="160"/>
      <c r="BF679" s="160"/>
      <c r="BG679" s="160"/>
      <c r="BH679" s="160"/>
      <c r="BI679" s="160"/>
      <c r="BJ679" s="160"/>
      <c r="BK679" s="160"/>
      <c r="BL679" s="160"/>
      <c r="BM679" s="160"/>
      <c r="BN679" s="160"/>
      <c r="BO679" s="160"/>
      <c r="BP679" s="160"/>
      <c r="BQ679" s="160"/>
      <c r="BR679" s="160"/>
      <c r="BS679" s="160"/>
      <c r="BT679" s="160"/>
      <c r="BU679" s="160"/>
      <c r="BV679" s="160"/>
      <c r="BW679" s="160"/>
      <c r="BX679" s="160"/>
      <c r="BY679" s="160"/>
      <c r="BZ679" s="160"/>
      <c r="CA679" s="160"/>
      <c r="CB679" s="160"/>
      <c r="CC679" s="160"/>
      <c r="CD679" s="160"/>
      <c r="CE679" s="160"/>
      <c r="CF679" s="160"/>
    </row>
    <row r="680">
      <c r="D680" s="159"/>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c r="BD680" s="160"/>
      <c r="BE680" s="160"/>
      <c r="BF680" s="160"/>
      <c r="BG680" s="160"/>
      <c r="BH680" s="160"/>
      <c r="BI680" s="160"/>
      <c r="BJ680" s="160"/>
      <c r="BK680" s="160"/>
      <c r="BL680" s="160"/>
      <c r="BM680" s="160"/>
      <c r="BN680" s="160"/>
      <c r="BO680" s="160"/>
      <c r="BP680" s="160"/>
      <c r="BQ680" s="160"/>
      <c r="BR680" s="160"/>
      <c r="BS680" s="160"/>
      <c r="BT680" s="160"/>
      <c r="BU680" s="160"/>
      <c r="BV680" s="160"/>
      <c r="BW680" s="160"/>
      <c r="BX680" s="160"/>
      <c r="BY680" s="160"/>
      <c r="BZ680" s="160"/>
      <c r="CA680" s="160"/>
      <c r="CB680" s="160"/>
      <c r="CC680" s="160"/>
      <c r="CD680" s="160"/>
      <c r="CE680" s="160"/>
      <c r="CF680" s="160"/>
    </row>
    <row r="681">
      <c r="D681" s="159"/>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c r="BD681" s="160"/>
      <c r="BE681" s="160"/>
      <c r="BF681" s="160"/>
      <c r="BG681" s="160"/>
      <c r="BH681" s="160"/>
      <c r="BI681" s="160"/>
      <c r="BJ681" s="160"/>
      <c r="BK681" s="160"/>
      <c r="BL681" s="160"/>
      <c r="BM681" s="160"/>
      <c r="BN681" s="160"/>
      <c r="BO681" s="160"/>
      <c r="BP681" s="160"/>
      <c r="BQ681" s="160"/>
      <c r="BR681" s="160"/>
      <c r="BS681" s="160"/>
      <c r="BT681" s="160"/>
      <c r="BU681" s="160"/>
      <c r="BV681" s="160"/>
      <c r="BW681" s="160"/>
      <c r="BX681" s="160"/>
      <c r="BY681" s="160"/>
      <c r="BZ681" s="160"/>
      <c r="CA681" s="160"/>
      <c r="CB681" s="160"/>
      <c r="CC681" s="160"/>
      <c r="CD681" s="160"/>
      <c r="CE681" s="160"/>
      <c r="CF681" s="160"/>
    </row>
    <row r="682">
      <c r="D682" s="159"/>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c r="BD682" s="160"/>
      <c r="BE682" s="160"/>
      <c r="BF682" s="160"/>
      <c r="BG682" s="160"/>
      <c r="BH682" s="160"/>
      <c r="BI682" s="160"/>
      <c r="BJ682" s="160"/>
      <c r="BK682" s="160"/>
      <c r="BL682" s="160"/>
      <c r="BM682" s="160"/>
      <c r="BN682" s="160"/>
      <c r="BO682" s="160"/>
      <c r="BP682" s="160"/>
      <c r="BQ682" s="160"/>
      <c r="BR682" s="160"/>
      <c r="BS682" s="160"/>
      <c r="BT682" s="160"/>
      <c r="BU682" s="160"/>
      <c r="BV682" s="160"/>
      <c r="BW682" s="160"/>
      <c r="BX682" s="160"/>
      <c r="BY682" s="160"/>
      <c r="BZ682" s="160"/>
      <c r="CA682" s="160"/>
      <c r="CB682" s="160"/>
      <c r="CC682" s="160"/>
      <c r="CD682" s="160"/>
      <c r="CE682" s="160"/>
      <c r="CF682" s="160"/>
    </row>
    <row r="683">
      <c r="D683" s="159"/>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c r="BD683" s="160"/>
      <c r="BE683" s="160"/>
      <c r="BF683" s="160"/>
      <c r="BG683" s="160"/>
      <c r="BH683" s="160"/>
      <c r="BI683" s="160"/>
      <c r="BJ683" s="160"/>
      <c r="BK683" s="160"/>
      <c r="BL683" s="160"/>
      <c r="BM683" s="160"/>
      <c r="BN683" s="160"/>
      <c r="BO683" s="160"/>
      <c r="BP683" s="160"/>
      <c r="BQ683" s="160"/>
      <c r="BR683" s="160"/>
      <c r="BS683" s="160"/>
      <c r="BT683" s="160"/>
      <c r="BU683" s="160"/>
      <c r="BV683" s="160"/>
      <c r="BW683" s="160"/>
      <c r="BX683" s="160"/>
      <c r="BY683" s="160"/>
      <c r="BZ683" s="160"/>
      <c r="CA683" s="160"/>
      <c r="CB683" s="160"/>
      <c r="CC683" s="160"/>
      <c r="CD683" s="160"/>
      <c r="CE683" s="160"/>
      <c r="CF683" s="160"/>
    </row>
    <row r="684">
      <c r="D684" s="159"/>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c r="BB684" s="160"/>
      <c r="BC684" s="160"/>
      <c r="BD684" s="160"/>
      <c r="BE684" s="160"/>
      <c r="BF684" s="160"/>
      <c r="BG684" s="160"/>
      <c r="BH684" s="160"/>
      <c r="BI684" s="160"/>
      <c r="BJ684" s="160"/>
      <c r="BK684" s="160"/>
      <c r="BL684" s="160"/>
      <c r="BM684" s="160"/>
      <c r="BN684" s="160"/>
      <c r="BO684" s="160"/>
      <c r="BP684" s="160"/>
      <c r="BQ684" s="160"/>
      <c r="BR684" s="160"/>
      <c r="BS684" s="160"/>
      <c r="BT684" s="160"/>
      <c r="BU684" s="160"/>
      <c r="BV684" s="160"/>
      <c r="BW684" s="160"/>
      <c r="BX684" s="160"/>
      <c r="BY684" s="160"/>
      <c r="BZ684" s="160"/>
      <c r="CA684" s="160"/>
      <c r="CB684" s="160"/>
      <c r="CC684" s="160"/>
      <c r="CD684" s="160"/>
      <c r="CE684" s="160"/>
      <c r="CF684" s="160"/>
    </row>
    <row r="685">
      <c r="D685" s="159"/>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c r="BD685" s="160"/>
      <c r="BE685" s="160"/>
      <c r="BF685" s="160"/>
      <c r="BG685" s="160"/>
      <c r="BH685" s="160"/>
      <c r="BI685" s="160"/>
      <c r="BJ685" s="160"/>
      <c r="BK685" s="160"/>
      <c r="BL685" s="160"/>
      <c r="BM685" s="160"/>
      <c r="BN685" s="160"/>
      <c r="BO685" s="160"/>
      <c r="BP685" s="160"/>
      <c r="BQ685" s="160"/>
      <c r="BR685" s="160"/>
      <c r="BS685" s="160"/>
      <c r="BT685" s="160"/>
      <c r="BU685" s="160"/>
      <c r="BV685" s="160"/>
      <c r="BW685" s="160"/>
      <c r="BX685" s="160"/>
      <c r="BY685" s="160"/>
      <c r="BZ685" s="160"/>
      <c r="CA685" s="160"/>
      <c r="CB685" s="160"/>
      <c r="CC685" s="160"/>
      <c r="CD685" s="160"/>
      <c r="CE685" s="160"/>
      <c r="CF685" s="160"/>
    </row>
    <row r="686">
      <c r="D686" s="159"/>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c r="BD686" s="160"/>
      <c r="BE686" s="160"/>
      <c r="BF686" s="160"/>
      <c r="BG686" s="160"/>
      <c r="BH686" s="160"/>
      <c r="BI686" s="160"/>
      <c r="BJ686" s="160"/>
      <c r="BK686" s="160"/>
      <c r="BL686" s="160"/>
      <c r="BM686" s="160"/>
      <c r="BN686" s="160"/>
      <c r="BO686" s="160"/>
      <c r="BP686" s="160"/>
      <c r="BQ686" s="160"/>
      <c r="BR686" s="160"/>
      <c r="BS686" s="160"/>
      <c r="BT686" s="160"/>
      <c r="BU686" s="160"/>
      <c r="BV686" s="160"/>
      <c r="BW686" s="160"/>
      <c r="BX686" s="160"/>
      <c r="BY686" s="160"/>
      <c r="BZ686" s="160"/>
      <c r="CA686" s="160"/>
      <c r="CB686" s="160"/>
      <c r="CC686" s="160"/>
      <c r="CD686" s="160"/>
      <c r="CE686" s="160"/>
      <c r="CF686" s="160"/>
    </row>
    <row r="687">
      <c r="D687" s="159"/>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c r="BD687" s="160"/>
      <c r="BE687" s="160"/>
      <c r="BF687" s="160"/>
      <c r="BG687" s="160"/>
      <c r="BH687" s="160"/>
      <c r="BI687" s="160"/>
      <c r="BJ687" s="160"/>
      <c r="BK687" s="160"/>
      <c r="BL687" s="160"/>
      <c r="BM687" s="160"/>
      <c r="BN687" s="160"/>
      <c r="BO687" s="160"/>
      <c r="BP687" s="160"/>
      <c r="BQ687" s="160"/>
      <c r="BR687" s="160"/>
      <c r="BS687" s="160"/>
      <c r="BT687" s="160"/>
      <c r="BU687" s="160"/>
      <c r="BV687" s="160"/>
      <c r="BW687" s="160"/>
      <c r="BX687" s="160"/>
      <c r="BY687" s="160"/>
      <c r="BZ687" s="160"/>
      <c r="CA687" s="160"/>
      <c r="CB687" s="160"/>
      <c r="CC687" s="160"/>
      <c r="CD687" s="160"/>
      <c r="CE687" s="160"/>
      <c r="CF687" s="160"/>
    </row>
    <row r="688">
      <c r="D688" s="159"/>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c r="BD688" s="160"/>
      <c r="BE688" s="160"/>
      <c r="BF688" s="160"/>
      <c r="BG688" s="160"/>
      <c r="BH688" s="160"/>
      <c r="BI688" s="160"/>
      <c r="BJ688" s="160"/>
      <c r="BK688" s="160"/>
      <c r="BL688" s="160"/>
      <c r="BM688" s="160"/>
      <c r="BN688" s="160"/>
      <c r="BO688" s="160"/>
      <c r="BP688" s="160"/>
      <c r="BQ688" s="160"/>
      <c r="BR688" s="160"/>
      <c r="BS688" s="160"/>
      <c r="BT688" s="160"/>
      <c r="BU688" s="160"/>
      <c r="BV688" s="160"/>
      <c r="BW688" s="160"/>
      <c r="BX688" s="160"/>
      <c r="BY688" s="160"/>
      <c r="BZ688" s="160"/>
      <c r="CA688" s="160"/>
      <c r="CB688" s="160"/>
      <c r="CC688" s="160"/>
      <c r="CD688" s="160"/>
      <c r="CE688" s="160"/>
      <c r="CF688" s="160"/>
    </row>
    <row r="689">
      <c r="D689" s="159"/>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c r="BD689" s="160"/>
      <c r="BE689" s="160"/>
      <c r="BF689" s="160"/>
      <c r="BG689" s="160"/>
      <c r="BH689" s="160"/>
      <c r="BI689" s="160"/>
      <c r="BJ689" s="160"/>
      <c r="BK689" s="160"/>
      <c r="BL689" s="160"/>
      <c r="BM689" s="160"/>
      <c r="BN689" s="160"/>
      <c r="BO689" s="160"/>
      <c r="BP689" s="160"/>
      <c r="BQ689" s="160"/>
      <c r="BR689" s="160"/>
      <c r="BS689" s="160"/>
      <c r="BT689" s="160"/>
      <c r="BU689" s="160"/>
      <c r="BV689" s="160"/>
      <c r="BW689" s="160"/>
      <c r="BX689" s="160"/>
      <c r="BY689" s="160"/>
      <c r="BZ689" s="160"/>
      <c r="CA689" s="160"/>
      <c r="CB689" s="160"/>
      <c r="CC689" s="160"/>
      <c r="CD689" s="160"/>
      <c r="CE689" s="160"/>
      <c r="CF689" s="160"/>
    </row>
    <row r="690">
      <c r="D690" s="159"/>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c r="BD690" s="160"/>
      <c r="BE690" s="160"/>
      <c r="BF690" s="160"/>
      <c r="BG690" s="160"/>
      <c r="BH690" s="160"/>
      <c r="BI690" s="160"/>
      <c r="BJ690" s="160"/>
      <c r="BK690" s="160"/>
      <c r="BL690" s="160"/>
      <c r="BM690" s="160"/>
      <c r="BN690" s="160"/>
      <c r="BO690" s="160"/>
      <c r="BP690" s="160"/>
      <c r="BQ690" s="160"/>
      <c r="BR690" s="160"/>
      <c r="BS690" s="160"/>
      <c r="BT690" s="160"/>
      <c r="BU690" s="160"/>
      <c r="BV690" s="160"/>
      <c r="BW690" s="160"/>
      <c r="BX690" s="160"/>
      <c r="BY690" s="160"/>
      <c r="BZ690" s="160"/>
      <c r="CA690" s="160"/>
      <c r="CB690" s="160"/>
      <c r="CC690" s="160"/>
      <c r="CD690" s="160"/>
      <c r="CE690" s="160"/>
      <c r="CF690" s="160"/>
    </row>
    <row r="691">
      <c r="D691" s="159"/>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c r="BD691" s="160"/>
      <c r="BE691" s="160"/>
      <c r="BF691" s="160"/>
      <c r="BG691" s="160"/>
      <c r="BH691" s="160"/>
      <c r="BI691" s="160"/>
      <c r="BJ691" s="160"/>
      <c r="BK691" s="160"/>
      <c r="BL691" s="160"/>
      <c r="BM691" s="160"/>
      <c r="BN691" s="160"/>
      <c r="BO691" s="160"/>
      <c r="BP691" s="160"/>
      <c r="BQ691" s="160"/>
      <c r="BR691" s="160"/>
      <c r="BS691" s="160"/>
      <c r="BT691" s="160"/>
      <c r="BU691" s="160"/>
      <c r="BV691" s="160"/>
      <c r="BW691" s="160"/>
      <c r="BX691" s="160"/>
      <c r="BY691" s="160"/>
      <c r="BZ691" s="160"/>
      <c r="CA691" s="160"/>
      <c r="CB691" s="160"/>
      <c r="CC691" s="160"/>
      <c r="CD691" s="160"/>
      <c r="CE691" s="160"/>
      <c r="CF691" s="160"/>
    </row>
    <row r="692">
      <c r="D692" s="159"/>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c r="BD692" s="160"/>
      <c r="BE692" s="160"/>
      <c r="BF692" s="160"/>
      <c r="BG692" s="160"/>
      <c r="BH692" s="160"/>
      <c r="BI692" s="160"/>
      <c r="BJ692" s="160"/>
      <c r="BK692" s="160"/>
      <c r="BL692" s="160"/>
      <c r="BM692" s="160"/>
      <c r="BN692" s="160"/>
      <c r="BO692" s="160"/>
      <c r="BP692" s="160"/>
      <c r="BQ692" s="160"/>
      <c r="BR692" s="160"/>
      <c r="BS692" s="160"/>
      <c r="BT692" s="160"/>
      <c r="BU692" s="160"/>
      <c r="BV692" s="160"/>
      <c r="BW692" s="160"/>
      <c r="BX692" s="160"/>
      <c r="BY692" s="160"/>
      <c r="BZ692" s="160"/>
      <c r="CA692" s="160"/>
      <c r="CB692" s="160"/>
      <c r="CC692" s="160"/>
      <c r="CD692" s="160"/>
      <c r="CE692" s="160"/>
      <c r="CF692" s="160"/>
    </row>
    <row r="693">
      <c r="D693" s="159"/>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c r="BD693" s="160"/>
      <c r="BE693" s="160"/>
      <c r="BF693" s="160"/>
      <c r="BG693" s="160"/>
      <c r="BH693" s="160"/>
      <c r="BI693" s="160"/>
      <c r="BJ693" s="160"/>
      <c r="BK693" s="160"/>
      <c r="BL693" s="160"/>
      <c r="BM693" s="160"/>
      <c r="BN693" s="160"/>
      <c r="BO693" s="160"/>
      <c r="BP693" s="160"/>
      <c r="BQ693" s="160"/>
      <c r="BR693" s="160"/>
      <c r="BS693" s="160"/>
      <c r="BT693" s="160"/>
      <c r="BU693" s="160"/>
      <c r="BV693" s="160"/>
      <c r="BW693" s="160"/>
      <c r="BX693" s="160"/>
      <c r="BY693" s="160"/>
      <c r="BZ693" s="160"/>
      <c r="CA693" s="160"/>
      <c r="CB693" s="160"/>
      <c r="CC693" s="160"/>
      <c r="CD693" s="160"/>
      <c r="CE693" s="160"/>
      <c r="CF693" s="160"/>
    </row>
    <row r="694">
      <c r="D694" s="159"/>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c r="BD694" s="160"/>
      <c r="BE694" s="160"/>
      <c r="BF694" s="160"/>
      <c r="BG694" s="160"/>
      <c r="BH694" s="160"/>
      <c r="BI694" s="160"/>
      <c r="BJ694" s="160"/>
      <c r="BK694" s="160"/>
      <c r="BL694" s="160"/>
      <c r="BM694" s="160"/>
      <c r="BN694" s="160"/>
      <c r="BO694" s="160"/>
      <c r="BP694" s="160"/>
      <c r="BQ694" s="160"/>
      <c r="BR694" s="160"/>
      <c r="BS694" s="160"/>
      <c r="BT694" s="160"/>
      <c r="BU694" s="160"/>
      <c r="BV694" s="160"/>
      <c r="BW694" s="160"/>
      <c r="BX694" s="160"/>
      <c r="BY694" s="160"/>
      <c r="BZ694" s="160"/>
      <c r="CA694" s="160"/>
      <c r="CB694" s="160"/>
      <c r="CC694" s="160"/>
      <c r="CD694" s="160"/>
      <c r="CE694" s="160"/>
      <c r="CF694" s="160"/>
    </row>
    <row r="695">
      <c r="D695" s="159"/>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c r="BD695" s="160"/>
      <c r="BE695" s="160"/>
      <c r="BF695" s="160"/>
      <c r="BG695" s="160"/>
      <c r="BH695" s="160"/>
      <c r="BI695" s="160"/>
      <c r="BJ695" s="160"/>
      <c r="BK695" s="160"/>
      <c r="BL695" s="160"/>
      <c r="BM695" s="160"/>
      <c r="BN695" s="160"/>
      <c r="BO695" s="160"/>
      <c r="BP695" s="160"/>
      <c r="BQ695" s="160"/>
      <c r="BR695" s="160"/>
      <c r="BS695" s="160"/>
      <c r="BT695" s="160"/>
      <c r="BU695" s="160"/>
      <c r="BV695" s="160"/>
      <c r="BW695" s="160"/>
      <c r="BX695" s="160"/>
      <c r="BY695" s="160"/>
      <c r="BZ695" s="160"/>
      <c r="CA695" s="160"/>
      <c r="CB695" s="160"/>
      <c r="CC695" s="160"/>
      <c r="CD695" s="160"/>
      <c r="CE695" s="160"/>
      <c r="CF695" s="160"/>
    </row>
    <row r="696">
      <c r="D696" s="159"/>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c r="BD696" s="160"/>
      <c r="BE696" s="160"/>
      <c r="BF696" s="160"/>
      <c r="BG696" s="160"/>
      <c r="BH696" s="160"/>
      <c r="BI696" s="160"/>
      <c r="BJ696" s="160"/>
      <c r="BK696" s="160"/>
      <c r="BL696" s="160"/>
      <c r="BM696" s="160"/>
      <c r="BN696" s="160"/>
      <c r="BO696" s="160"/>
      <c r="BP696" s="160"/>
      <c r="BQ696" s="160"/>
      <c r="BR696" s="160"/>
      <c r="BS696" s="160"/>
      <c r="BT696" s="160"/>
      <c r="BU696" s="160"/>
      <c r="BV696" s="160"/>
      <c r="BW696" s="160"/>
      <c r="BX696" s="160"/>
      <c r="BY696" s="160"/>
      <c r="BZ696" s="160"/>
      <c r="CA696" s="160"/>
      <c r="CB696" s="160"/>
      <c r="CC696" s="160"/>
      <c r="CD696" s="160"/>
      <c r="CE696" s="160"/>
      <c r="CF696" s="160"/>
    </row>
    <row r="697">
      <c r="D697" s="159"/>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c r="BD697" s="160"/>
      <c r="BE697" s="160"/>
      <c r="BF697" s="160"/>
      <c r="BG697" s="160"/>
      <c r="BH697" s="160"/>
      <c r="BI697" s="160"/>
      <c r="BJ697" s="160"/>
      <c r="BK697" s="160"/>
      <c r="BL697" s="160"/>
      <c r="BM697" s="160"/>
      <c r="BN697" s="160"/>
      <c r="BO697" s="160"/>
      <c r="BP697" s="160"/>
      <c r="BQ697" s="160"/>
      <c r="BR697" s="160"/>
      <c r="BS697" s="160"/>
      <c r="BT697" s="160"/>
      <c r="BU697" s="160"/>
      <c r="BV697" s="160"/>
      <c r="BW697" s="160"/>
      <c r="BX697" s="160"/>
      <c r="BY697" s="160"/>
      <c r="BZ697" s="160"/>
      <c r="CA697" s="160"/>
      <c r="CB697" s="160"/>
      <c r="CC697" s="160"/>
      <c r="CD697" s="160"/>
      <c r="CE697" s="160"/>
      <c r="CF697" s="160"/>
    </row>
    <row r="698">
      <c r="D698" s="159"/>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c r="BD698" s="160"/>
      <c r="BE698" s="160"/>
      <c r="BF698" s="160"/>
      <c r="BG698" s="160"/>
      <c r="BH698" s="160"/>
      <c r="BI698" s="160"/>
      <c r="BJ698" s="160"/>
      <c r="BK698" s="160"/>
      <c r="BL698" s="160"/>
      <c r="BM698" s="160"/>
      <c r="BN698" s="160"/>
      <c r="BO698" s="160"/>
      <c r="BP698" s="160"/>
      <c r="BQ698" s="160"/>
      <c r="BR698" s="160"/>
      <c r="BS698" s="160"/>
      <c r="BT698" s="160"/>
      <c r="BU698" s="160"/>
      <c r="BV698" s="160"/>
      <c r="BW698" s="160"/>
      <c r="BX698" s="160"/>
      <c r="BY698" s="160"/>
      <c r="BZ698" s="160"/>
      <c r="CA698" s="160"/>
      <c r="CB698" s="160"/>
      <c r="CC698" s="160"/>
      <c r="CD698" s="160"/>
      <c r="CE698" s="160"/>
      <c r="CF698" s="160"/>
    </row>
    <row r="699">
      <c r="D699" s="159"/>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c r="BD699" s="160"/>
      <c r="BE699" s="160"/>
      <c r="BF699" s="160"/>
      <c r="BG699" s="160"/>
      <c r="BH699" s="160"/>
      <c r="BI699" s="160"/>
      <c r="BJ699" s="160"/>
      <c r="BK699" s="160"/>
      <c r="BL699" s="160"/>
      <c r="BM699" s="160"/>
      <c r="BN699" s="160"/>
      <c r="BO699" s="160"/>
      <c r="BP699" s="160"/>
      <c r="BQ699" s="160"/>
      <c r="BR699" s="160"/>
      <c r="BS699" s="160"/>
      <c r="BT699" s="160"/>
      <c r="BU699" s="160"/>
      <c r="BV699" s="160"/>
      <c r="BW699" s="160"/>
      <c r="BX699" s="160"/>
      <c r="BY699" s="160"/>
      <c r="BZ699" s="160"/>
      <c r="CA699" s="160"/>
      <c r="CB699" s="160"/>
      <c r="CC699" s="160"/>
      <c r="CD699" s="160"/>
      <c r="CE699" s="160"/>
      <c r="CF699" s="160"/>
    </row>
    <row r="700">
      <c r="D700" s="159"/>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c r="BD700" s="160"/>
      <c r="BE700" s="160"/>
      <c r="BF700" s="160"/>
      <c r="BG700" s="160"/>
      <c r="BH700" s="160"/>
      <c r="BI700" s="160"/>
      <c r="BJ700" s="160"/>
      <c r="BK700" s="160"/>
      <c r="BL700" s="160"/>
      <c r="BM700" s="160"/>
      <c r="BN700" s="160"/>
      <c r="BO700" s="160"/>
      <c r="BP700" s="160"/>
      <c r="BQ700" s="160"/>
      <c r="BR700" s="160"/>
      <c r="BS700" s="160"/>
      <c r="BT700" s="160"/>
      <c r="BU700" s="160"/>
      <c r="BV700" s="160"/>
      <c r="BW700" s="160"/>
      <c r="BX700" s="160"/>
      <c r="BY700" s="160"/>
      <c r="BZ700" s="160"/>
      <c r="CA700" s="160"/>
      <c r="CB700" s="160"/>
      <c r="CC700" s="160"/>
      <c r="CD700" s="160"/>
      <c r="CE700" s="160"/>
      <c r="CF700" s="160"/>
    </row>
    <row r="701">
      <c r="D701" s="159"/>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c r="BD701" s="160"/>
      <c r="BE701" s="160"/>
      <c r="BF701" s="160"/>
      <c r="BG701" s="160"/>
      <c r="BH701" s="160"/>
      <c r="BI701" s="160"/>
      <c r="BJ701" s="160"/>
      <c r="BK701" s="160"/>
      <c r="BL701" s="160"/>
      <c r="BM701" s="160"/>
      <c r="BN701" s="160"/>
      <c r="BO701" s="160"/>
      <c r="BP701" s="160"/>
      <c r="BQ701" s="160"/>
      <c r="BR701" s="160"/>
      <c r="BS701" s="160"/>
      <c r="BT701" s="160"/>
      <c r="BU701" s="160"/>
      <c r="BV701" s="160"/>
      <c r="BW701" s="160"/>
      <c r="BX701" s="160"/>
      <c r="BY701" s="160"/>
      <c r="BZ701" s="160"/>
      <c r="CA701" s="160"/>
      <c r="CB701" s="160"/>
      <c r="CC701" s="160"/>
      <c r="CD701" s="160"/>
      <c r="CE701" s="160"/>
      <c r="CF701" s="160"/>
    </row>
    <row r="702">
      <c r="D702" s="159"/>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c r="BD702" s="160"/>
      <c r="BE702" s="160"/>
      <c r="BF702" s="160"/>
      <c r="BG702" s="160"/>
      <c r="BH702" s="160"/>
      <c r="BI702" s="160"/>
      <c r="BJ702" s="160"/>
      <c r="BK702" s="160"/>
      <c r="BL702" s="160"/>
      <c r="BM702" s="160"/>
      <c r="BN702" s="160"/>
      <c r="BO702" s="160"/>
      <c r="BP702" s="160"/>
      <c r="BQ702" s="160"/>
      <c r="BR702" s="160"/>
      <c r="BS702" s="160"/>
      <c r="BT702" s="160"/>
      <c r="BU702" s="160"/>
      <c r="BV702" s="160"/>
      <c r="BW702" s="160"/>
      <c r="BX702" s="160"/>
      <c r="BY702" s="160"/>
      <c r="BZ702" s="160"/>
      <c r="CA702" s="160"/>
      <c r="CB702" s="160"/>
      <c r="CC702" s="160"/>
      <c r="CD702" s="160"/>
      <c r="CE702" s="160"/>
      <c r="CF702" s="160"/>
    </row>
    <row r="703">
      <c r="D703" s="159"/>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c r="BD703" s="160"/>
      <c r="BE703" s="160"/>
      <c r="BF703" s="160"/>
      <c r="BG703" s="160"/>
      <c r="BH703" s="160"/>
      <c r="BI703" s="160"/>
      <c r="BJ703" s="160"/>
      <c r="BK703" s="160"/>
      <c r="BL703" s="160"/>
      <c r="BM703" s="160"/>
      <c r="BN703" s="160"/>
      <c r="BO703" s="160"/>
      <c r="BP703" s="160"/>
      <c r="BQ703" s="160"/>
      <c r="BR703" s="160"/>
      <c r="BS703" s="160"/>
      <c r="BT703" s="160"/>
      <c r="BU703" s="160"/>
      <c r="BV703" s="160"/>
      <c r="BW703" s="160"/>
      <c r="BX703" s="160"/>
      <c r="BY703" s="160"/>
      <c r="BZ703" s="160"/>
      <c r="CA703" s="160"/>
      <c r="CB703" s="160"/>
      <c r="CC703" s="160"/>
      <c r="CD703" s="160"/>
      <c r="CE703" s="160"/>
      <c r="CF703" s="160"/>
    </row>
    <row r="704">
      <c r="D704" s="159"/>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c r="BD704" s="160"/>
      <c r="BE704" s="160"/>
      <c r="BF704" s="160"/>
      <c r="BG704" s="160"/>
      <c r="BH704" s="160"/>
      <c r="BI704" s="160"/>
      <c r="BJ704" s="160"/>
      <c r="BK704" s="160"/>
      <c r="BL704" s="160"/>
      <c r="BM704" s="160"/>
      <c r="BN704" s="160"/>
      <c r="BO704" s="160"/>
      <c r="BP704" s="160"/>
      <c r="BQ704" s="160"/>
      <c r="BR704" s="160"/>
      <c r="BS704" s="160"/>
      <c r="BT704" s="160"/>
      <c r="BU704" s="160"/>
      <c r="BV704" s="160"/>
      <c r="BW704" s="160"/>
      <c r="BX704" s="160"/>
      <c r="BY704" s="160"/>
      <c r="BZ704" s="160"/>
      <c r="CA704" s="160"/>
      <c r="CB704" s="160"/>
      <c r="CC704" s="160"/>
      <c r="CD704" s="160"/>
      <c r="CE704" s="160"/>
      <c r="CF704" s="160"/>
    </row>
    <row r="705">
      <c r="D705" s="159"/>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c r="BD705" s="160"/>
      <c r="BE705" s="160"/>
      <c r="BF705" s="160"/>
      <c r="BG705" s="160"/>
      <c r="BH705" s="160"/>
      <c r="BI705" s="160"/>
      <c r="BJ705" s="160"/>
      <c r="BK705" s="160"/>
      <c r="BL705" s="160"/>
      <c r="BM705" s="160"/>
      <c r="BN705" s="160"/>
      <c r="BO705" s="160"/>
      <c r="BP705" s="160"/>
      <c r="BQ705" s="160"/>
      <c r="BR705" s="160"/>
      <c r="BS705" s="160"/>
      <c r="BT705" s="160"/>
      <c r="BU705" s="160"/>
      <c r="BV705" s="160"/>
      <c r="BW705" s="160"/>
      <c r="BX705" s="160"/>
      <c r="BY705" s="160"/>
      <c r="BZ705" s="160"/>
      <c r="CA705" s="160"/>
      <c r="CB705" s="160"/>
      <c r="CC705" s="160"/>
      <c r="CD705" s="160"/>
      <c r="CE705" s="160"/>
      <c r="CF705" s="160"/>
    </row>
    <row r="706">
      <c r="D706" s="159"/>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c r="BD706" s="160"/>
      <c r="BE706" s="160"/>
      <c r="BF706" s="160"/>
      <c r="BG706" s="160"/>
      <c r="BH706" s="160"/>
      <c r="BI706" s="160"/>
      <c r="BJ706" s="160"/>
      <c r="BK706" s="160"/>
      <c r="BL706" s="160"/>
      <c r="BM706" s="160"/>
      <c r="BN706" s="160"/>
      <c r="BO706" s="160"/>
      <c r="BP706" s="160"/>
      <c r="BQ706" s="160"/>
      <c r="BR706" s="160"/>
      <c r="BS706" s="160"/>
      <c r="BT706" s="160"/>
      <c r="BU706" s="160"/>
      <c r="BV706" s="160"/>
      <c r="BW706" s="160"/>
      <c r="BX706" s="160"/>
      <c r="BY706" s="160"/>
      <c r="BZ706" s="160"/>
      <c r="CA706" s="160"/>
      <c r="CB706" s="160"/>
      <c r="CC706" s="160"/>
      <c r="CD706" s="160"/>
      <c r="CE706" s="160"/>
      <c r="CF706" s="160"/>
    </row>
    <row r="707">
      <c r="D707" s="159"/>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c r="BD707" s="160"/>
      <c r="BE707" s="160"/>
      <c r="BF707" s="160"/>
      <c r="BG707" s="160"/>
      <c r="BH707" s="160"/>
      <c r="BI707" s="160"/>
      <c r="BJ707" s="160"/>
      <c r="BK707" s="160"/>
      <c r="BL707" s="160"/>
      <c r="BM707" s="160"/>
      <c r="BN707" s="160"/>
      <c r="BO707" s="160"/>
      <c r="BP707" s="160"/>
      <c r="BQ707" s="160"/>
      <c r="BR707" s="160"/>
      <c r="BS707" s="160"/>
      <c r="BT707" s="160"/>
      <c r="BU707" s="160"/>
      <c r="BV707" s="160"/>
      <c r="BW707" s="160"/>
      <c r="BX707" s="160"/>
      <c r="BY707" s="160"/>
      <c r="BZ707" s="160"/>
      <c r="CA707" s="160"/>
      <c r="CB707" s="160"/>
      <c r="CC707" s="160"/>
      <c r="CD707" s="160"/>
      <c r="CE707" s="160"/>
      <c r="CF707" s="160"/>
    </row>
    <row r="708">
      <c r="D708" s="159"/>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c r="BD708" s="160"/>
      <c r="BE708" s="160"/>
      <c r="BF708" s="160"/>
      <c r="BG708" s="160"/>
      <c r="BH708" s="160"/>
      <c r="BI708" s="160"/>
      <c r="BJ708" s="160"/>
      <c r="BK708" s="160"/>
      <c r="BL708" s="160"/>
      <c r="BM708" s="160"/>
      <c r="BN708" s="160"/>
      <c r="BO708" s="160"/>
      <c r="BP708" s="160"/>
      <c r="BQ708" s="160"/>
      <c r="BR708" s="160"/>
      <c r="BS708" s="160"/>
      <c r="BT708" s="160"/>
      <c r="BU708" s="160"/>
      <c r="BV708" s="160"/>
      <c r="BW708" s="160"/>
      <c r="BX708" s="160"/>
      <c r="BY708" s="160"/>
      <c r="BZ708" s="160"/>
      <c r="CA708" s="160"/>
      <c r="CB708" s="160"/>
      <c r="CC708" s="160"/>
      <c r="CD708" s="160"/>
      <c r="CE708" s="160"/>
      <c r="CF708" s="160"/>
    </row>
    <row r="709">
      <c r="D709" s="159"/>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c r="BD709" s="160"/>
      <c r="BE709" s="160"/>
      <c r="BF709" s="160"/>
      <c r="BG709" s="160"/>
      <c r="BH709" s="160"/>
      <c r="BI709" s="160"/>
      <c r="BJ709" s="160"/>
      <c r="BK709" s="160"/>
      <c r="BL709" s="160"/>
      <c r="BM709" s="160"/>
      <c r="BN709" s="160"/>
      <c r="BO709" s="160"/>
      <c r="BP709" s="160"/>
      <c r="BQ709" s="160"/>
      <c r="BR709" s="160"/>
      <c r="BS709" s="160"/>
      <c r="BT709" s="160"/>
      <c r="BU709" s="160"/>
      <c r="BV709" s="160"/>
      <c r="BW709" s="160"/>
      <c r="BX709" s="160"/>
      <c r="BY709" s="160"/>
      <c r="BZ709" s="160"/>
      <c r="CA709" s="160"/>
      <c r="CB709" s="160"/>
      <c r="CC709" s="160"/>
      <c r="CD709" s="160"/>
      <c r="CE709" s="160"/>
      <c r="CF709" s="160"/>
    </row>
    <row r="710">
      <c r="D710" s="159"/>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c r="BD710" s="160"/>
      <c r="BE710" s="160"/>
      <c r="BF710" s="160"/>
      <c r="BG710" s="160"/>
      <c r="BH710" s="160"/>
      <c r="BI710" s="160"/>
      <c r="BJ710" s="160"/>
      <c r="BK710" s="160"/>
      <c r="BL710" s="160"/>
      <c r="BM710" s="160"/>
      <c r="BN710" s="160"/>
      <c r="BO710" s="160"/>
      <c r="BP710" s="160"/>
      <c r="BQ710" s="160"/>
      <c r="BR710" s="160"/>
      <c r="BS710" s="160"/>
      <c r="BT710" s="160"/>
      <c r="BU710" s="160"/>
      <c r="BV710" s="160"/>
      <c r="BW710" s="160"/>
      <c r="BX710" s="160"/>
      <c r="BY710" s="160"/>
      <c r="BZ710" s="160"/>
      <c r="CA710" s="160"/>
      <c r="CB710" s="160"/>
      <c r="CC710" s="160"/>
      <c r="CD710" s="160"/>
      <c r="CE710" s="160"/>
      <c r="CF710" s="160"/>
    </row>
    <row r="711">
      <c r="D711" s="159"/>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c r="BD711" s="160"/>
      <c r="BE711" s="160"/>
      <c r="BF711" s="160"/>
      <c r="BG711" s="160"/>
      <c r="BH711" s="160"/>
      <c r="BI711" s="160"/>
      <c r="BJ711" s="160"/>
      <c r="BK711" s="160"/>
      <c r="BL711" s="160"/>
      <c r="BM711" s="160"/>
      <c r="BN711" s="160"/>
      <c r="BO711" s="160"/>
      <c r="BP711" s="160"/>
      <c r="BQ711" s="160"/>
      <c r="BR711" s="160"/>
      <c r="BS711" s="160"/>
      <c r="BT711" s="160"/>
      <c r="BU711" s="160"/>
      <c r="BV711" s="160"/>
      <c r="BW711" s="160"/>
      <c r="BX711" s="160"/>
      <c r="BY711" s="160"/>
      <c r="BZ711" s="160"/>
      <c r="CA711" s="160"/>
      <c r="CB711" s="160"/>
      <c r="CC711" s="160"/>
      <c r="CD711" s="160"/>
      <c r="CE711" s="160"/>
      <c r="CF711" s="160"/>
    </row>
    <row r="712">
      <c r="D712" s="159"/>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c r="BD712" s="160"/>
      <c r="BE712" s="160"/>
      <c r="BF712" s="160"/>
      <c r="BG712" s="160"/>
      <c r="BH712" s="160"/>
      <c r="BI712" s="160"/>
      <c r="BJ712" s="160"/>
      <c r="BK712" s="160"/>
      <c r="BL712" s="160"/>
      <c r="BM712" s="160"/>
      <c r="BN712" s="160"/>
      <c r="BO712" s="160"/>
      <c r="BP712" s="160"/>
      <c r="BQ712" s="160"/>
      <c r="BR712" s="160"/>
      <c r="BS712" s="160"/>
      <c r="BT712" s="160"/>
      <c r="BU712" s="160"/>
      <c r="BV712" s="160"/>
      <c r="BW712" s="160"/>
      <c r="BX712" s="160"/>
      <c r="BY712" s="160"/>
      <c r="BZ712" s="160"/>
      <c r="CA712" s="160"/>
      <c r="CB712" s="160"/>
      <c r="CC712" s="160"/>
      <c r="CD712" s="160"/>
      <c r="CE712" s="160"/>
      <c r="CF712" s="160"/>
    </row>
    <row r="713">
      <c r="D713" s="159"/>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c r="BD713" s="160"/>
      <c r="BE713" s="160"/>
      <c r="BF713" s="160"/>
      <c r="BG713" s="160"/>
      <c r="BH713" s="160"/>
      <c r="BI713" s="160"/>
      <c r="BJ713" s="160"/>
      <c r="BK713" s="160"/>
      <c r="BL713" s="160"/>
      <c r="BM713" s="160"/>
      <c r="BN713" s="160"/>
      <c r="BO713" s="160"/>
      <c r="BP713" s="160"/>
      <c r="BQ713" s="160"/>
      <c r="BR713" s="160"/>
      <c r="BS713" s="160"/>
      <c r="BT713" s="160"/>
      <c r="BU713" s="160"/>
      <c r="BV713" s="160"/>
      <c r="BW713" s="160"/>
      <c r="BX713" s="160"/>
      <c r="BY713" s="160"/>
      <c r="BZ713" s="160"/>
      <c r="CA713" s="160"/>
      <c r="CB713" s="160"/>
      <c r="CC713" s="160"/>
      <c r="CD713" s="160"/>
      <c r="CE713" s="160"/>
      <c r="CF713" s="160"/>
    </row>
    <row r="714">
      <c r="D714" s="159"/>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c r="BD714" s="160"/>
      <c r="BE714" s="160"/>
      <c r="BF714" s="160"/>
      <c r="BG714" s="160"/>
      <c r="BH714" s="160"/>
      <c r="BI714" s="160"/>
      <c r="BJ714" s="160"/>
      <c r="BK714" s="160"/>
      <c r="BL714" s="160"/>
      <c r="BM714" s="160"/>
      <c r="BN714" s="160"/>
      <c r="BO714" s="160"/>
      <c r="BP714" s="160"/>
      <c r="BQ714" s="160"/>
      <c r="BR714" s="160"/>
      <c r="BS714" s="160"/>
      <c r="BT714" s="160"/>
      <c r="BU714" s="160"/>
      <c r="BV714" s="160"/>
      <c r="BW714" s="160"/>
      <c r="BX714" s="160"/>
      <c r="BY714" s="160"/>
      <c r="BZ714" s="160"/>
      <c r="CA714" s="160"/>
      <c r="CB714" s="160"/>
      <c r="CC714" s="160"/>
      <c r="CD714" s="160"/>
      <c r="CE714" s="160"/>
      <c r="CF714" s="160"/>
    </row>
    <row r="715">
      <c r="D715" s="159"/>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c r="BD715" s="160"/>
      <c r="BE715" s="160"/>
      <c r="BF715" s="160"/>
      <c r="BG715" s="160"/>
      <c r="BH715" s="160"/>
      <c r="BI715" s="160"/>
      <c r="BJ715" s="160"/>
      <c r="BK715" s="160"/>
      <c r="BL715" s="160"/>
      <c r="BM715" s="160"/>
      <c r="BN715" s="160"/>
      <c r="BO715" s="160"/>
      <c r="BP715" s="160"/>
      <c r="BQ715" s="160"/>
      <c r="BR715" s="160"/>
      <c r="BS715" s="160"/>
      <c r="BT715" s="160"/>
      <c r="BU715" s="160"/>
      <c r="BV715" s="160"/>
      <c r="BW715" s="160"/>
      <c r="BX715" s="160"/>
      <c r="BY715" s="160"/>
      <c r="BZ715" s="160"/>
      <c r="CA715" s="160"/>
      <c r="CB715" s="160"/>
      <c r="CC715" s="160"/>
      <c r="CD715" s="160"/>
      <c r="CE715" s="160"/>
      <c r="CF715" s="160"/>
    </row>
    <row r="716">
      <c r="D716" s="159"/>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c r="BD716" s="160"/>
      <c r="BE716" s="160"/>
      <c r="BF716" s="160"/>
      <c r="BG716" s="160"/>
      <c r="BH716" s="160"/>
      <c r="BI716" s="160"/>
      <c r="BJ716" s="160"/>
      <c r="BK716" s="160"/>
      <c r="BL716" s="160"/>
      <c r="BM716" s="160"/>
      <c r="BN716" s="160"/>
      <c r="BO716" s="160"/>
      <c r="BP716" s="160"/>
      <c r="BQ716" s="160"/>
      <c r="BR716" s="160"/>
      <c r="BS716" s="160"/>
      <c r="BT716" s="160"/>
      <c r="BU716" s="160"/>
      <c r="BV716" s="160"/>
      <c r="BW716" s="160"/>
      <c r="BX716" s="160"/>
      <c r="BY716" s="160"/>
      <c r="BZ716" s="160"/>
      <c r="CA716" s="160"/>
      <c r="CB716" s="160"/>
      <c r="CC716" s="160"/>
      <c r="CD716" s="160"/>
      <c r="CE716" s="160"/>
      <c r="CF716" s="160"/>
    </row>
    <row r="717">
      <c r="D717" s="159"/>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c r="BD717" s="160"/>
      <c r="BE717" s="160"/>
      <c r="BF717" s="160"/>
      <c r="BG717" s="160"/>
      <c r="BH717" s="160"/>
      <c r="BI717" s="160"/>
      <c r="BJ717" s="160"/>
      <c r="BK717" s="160"/>
      <c r="BL717" s="160"/>
      <c r="BM717" s="160"/>
      <c r="BN717" s="160"/>
      <c r="BO717" s="160"/>
      <c r="BP717" s="160"/>
      <c r="BQ717" s="160"/>
      <c r="BR717" s="160"/>
      <c r="BS717" s="160"/>
      <c r="BT717" s="160"/>
      <c r="BU717" s="160"/>
      <c r="BV717" s="160"/>
      <c r="BW717" s="160"/>
      <c r="BX717" s="160"/>
      <c r="BY717" s="160"/>
      <c r="BZ717" s="160"/>
      <c r="CA717" s="160"/>
      <c r="CB717" s="160"/>
      <c r="CC717" s="160"/>
      <c r="CD717" s="160"/>
      <c r="CE717" s="160"/>
      <c r="CF717" s="160"/>
    </row>
    <row r="718">
      <c r="D718" s="159"/>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c r="BD718" s="160"/>
      <c r="BE718" s="160"/>
      <c r="BF718" s="160"/>
      <c r="BG718" s="160"/>
      <c r="BH718" s="160"/>
      <c r="BI718" s="160"/>
      <c r="BJ718" s="160"/>
      <c r="BK718" s="160"/>
      <c r="BL718" s="160"/>
      <c r="BM718" s="160"/>
      <c r="BN718" s="160"/>
      <c r="BO718" s="160"/>
      <c r="BP718" s="160"/>
      <c r="BQ718" s="160"/>
      <c r="BR718" s="160"/>
      <c r="BS718" s="160"/>
      <c r="BT718" s="160"/>
      <c r="BU718" s="160"/>
      <c r="BV718" s="160"/>
      <c r="BW718" s="160"/>
      <c r="BX718" s="160"/>
      <c r="BY718" s="160"/>
      <c r="BZ718" s="160"/>
      <c r="CA718" s="160"/>
      <c r="CB718" s="160"/>
      <c r="CC718" s="160"/>
      <c r="CD718" s="160"/>
      <c r="CE718" s="160"/>
      <c r="CF718" s="160"/>
    </row>
    <row r="719">
      <c r="D719" s="159"/>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c r="BD719" s="160"/>
      <c r="BE719" s="160"/>
      <c r="BF719" s="160"/>
      <c r="BG719" s="160"/>
      <c r="BH719" s="160"/>
      <c r="BI719" s="160"/>
      <c r="BJ719" s="160"/>
      <c r="BK719" s="160"/>
      <c r="BL719" s="160"/>
      <c r="BM719" s="160"/>
      <c r="BN719" s="160"/>
      <c r="BO719" s="160"/>
      <c r="BP719" s="160"/>
      <c r="BQ719" s="160"/>
      <c r="BR719" s="160"/>
      <c r="BS719" s="160"/>
      <c r="BT719" s="160"/>
      <c r="BU719" s="160"/>
      <c r="BV719" s="160"/>
      <c r="BW719" s="160"/>
      <c r="BX719" s="160"/>
      <c r="BY719" s="160"/>
      <c r="BZ719" s="160"/>
      <c r="CA719" s="160"/>
      <c r="CB719" s="160"/>
      <c r="CC719" s="160"/>
      <c r="CD719" s="160"/>
      <c r="CE719" s="160"/>
      <c r="CF719" s="160"/>
    </row>
    <row r="720">
      <c r="D720" s="159"/>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c r="BD720" s="160"/>
      <c r="BE720" s="160"/>
      <c r="BF720" s="160"/>
      <c r="BG720" s="160"/>
      <c r="BH720" s="160"/>
      <c r="BI720" s="160"/>
      <c r="BJ720" s="160"/>
      <c r="BK720" s="160"/>
      <c r="BL720" s="160"/>
      <c r="BM720" s="160"/>
      <c r="BN720" s="160"/>
      <c r="BO720" s="160"/>
      <c r="BP720" s="160"/>
      <c r="BQ720" s="160"/>
      <c r="BR720" s="160"/>
      <c r="BS720" s="160"/>
      <c r="BT720" s="160"/>
      <c r="BU720" s="160"/>
      <c r="BV720" s="160"/>
      <c r="BW720" s="160"/>
      <c r="BX720" s="160"/>
      <c r="BY720" s="160"/>
      <c r="BZ720" s="160"/>
      <c r="CA720" s="160"/>
      <c r="CB720" s="160"/>
      <c r="CC720" s="160"/>
      <c r="CD720" s="160"/>
      <c r="CE720" s="160"/>
      <c r="CF720" s="160"/>
    </row>
    <row r="721">
      <c r="D721" s="159"/>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c r="BD721" s="160"/>
      <c r="BE721" s="160"/>
      <c r="BF721" s="160"/>
      <c r="BG721" s="160"/>
      <c r="BH721" s="160"/>
      <c r="BI721" s="160"/>
      <c r="BJ721" s="160"/>
      <c r="BK721" s="160"/>
      <c r="BL721" s="160"/>
      <c r="BM721" s="160"/>
      <c r="BN721" s="160"/>
      <c r="BO721" s="160"/>
      <c r="BP721" s="160"/>
      <c r="BQ721" s="160"/>
      <c r="BR721" s="160"/>
      <c r="BS721" s="160"/>
      <c r="BT721" s="160"/>
      <c r="BU721" s="160"/>
      <c r="BV721" s="160"/>
      <c r="BW721" s="160"/>
      <c r="BX721" s="160"/>
      <c r="BY721" s="160"/>
      <c r="BZ721" s="160"/>
      <c r="CA721" s="160"/>
      <c r="CB721" s="160"/>
      <c r="CC721" s="160"/>
      <c r="CD721" s="160"/>
      <c r="CE721" s="160"/>
      <c r="CF721" s="160"/>
    </row>
    <row r="722">
      <c r="D722" s="159"/>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c r="BD722" s="160"/>
      <c r="BE722" s="160"/>
      <c r="BF722" s="160"/>
      <c r="BG722" s="160"/>
      <c r="BH722" s="160"/>
      <c r="BI722" s="160"/>
      <c r="BJ722" s="160"/>
      <c r="BK722" s="160"/>
      <c r="BL722" s="160"/>
      <c r="BM722" s="160"/>
      <c r="BN722" s="160"/>
      <c r="BO722" s="160"/>
      <c r="BP722" s="160"/>
      <c r="BQ722" s="160"/>
      <c r="BR722" s="160"/>
      <c r="BS722" s="160"/>
      <c r="BT722" s="160"/>
      <c r="BU722" s="160"/>
      <c r="BV722" s="160"/>
      <c r="BW722" s="160"/>
      <c r="BX722" s="160"/>
      <c r="BY722" s="160"/>
      <c r="BZ722" s="160"/>
      <c r="CA722" s="160"/>
      <c r="CB722" s="160"/>
      <c r="CC722" s="160"/>
      <c r="CD722" s="160"/>
      <c r="CE722" s="160"/>
      <c r="CF722" s="160"/>
    </row>
    <row r="723">
      <c r="D723" s="159"/>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c r="BD723" s="160"/>
      <c r="BE723" s="160"/>
      <c r="BF723" s="160"/>
      <c r="BG723" s="160"/>
      <c r="BH723" s="160"/>
      <c r="BI723" s="160"/>
      <c r="BJ723" s="160"/>
      <c r="BK723" s="160"/>
      <c r="BL723" s="160"/>
      <c r="BM723" s="160"/>
      <c r="BN723" s="160"/>
      <c r="BO723" s="160"/>
      <c r="BP723" s="160"/>
      <c r="BQ723" s="160"/>
      <c r="BR723" s="160"/>
      <c r="BS723" s="160"/>
      <c r="BT723" s="160"/>
      <c r="BU723" s="160"/>
      <c r="BV723" s="160"/>
      <c r="BW723" s="160"/>
      <c r="BX723" s="160"/>
      <c r="BY723" s="160"/>
      <c r="BZ723" s="160"/>
      <c r="CA723" s="160"/>
      <c r="CB723" s="160"/>
      <c r="CC723" s="160"/>
      <c r="CD723" s="160"/>
      <c r="CE723" s="160"/>
      <c r="CF723" s="160"/>
    </row>
    <row r="724">
      <c r="D724" s="159"/>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c r="BD724" s="160"/>
      <c r="BE724" s="160"/>
      <c r="BF724" s="160"/>
      <c r="BG724" s="160"/>
      <c r="BH724" s="160"/>
      <c r="BI724" s="160"/>
      <c r="BJ724" s="160"/>
      <c r="BK724" s="160"/>
      <c r="BL724" s="160"/>
      <c r="BM724" s="160"/>
      <c r="BN724" s="160"/>
      <c r="BO724" s="160"/>
      <c r="BP724" s="160"/>
      <c r="BQ724" s="160"/>
      <c r="BR724" s="160"/>
      <c r="BS724" s="160"/>
      <c r="BT724" s="160"/>
      <c r="BU724" s="160"/>
      <c r="BV724" s="160"/>
      <c r="BW724" s="160"/>
      <c r="BX724" s="160"/>
      <c r="BY724" s="160"/>
      <c r="BZ724" s="160"/>
      <c r="CA724" s="160"/>
      <c r="CB724" s="160"/>
      <c r="CC724" s="160"/>
      <c r="CD724" s="160"/>
      <c r="CE724" s="160"/>
      <c r="CF724" s="160"/>
    </row>
    <row r="725">
      <c r="D725" s="159"/>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c r="BD725" s="160"/>
      <c r="BE725" s="160"/>
      <c r="BF725" s="160"/>
      <c r="BG725" s="160"/>
      <c r="BH725" s="160"/>
      <c r="BI725" s="160"/>
      <c r="BJ725" s="160"/>
      <c r="BK725" s="160"/>
      <c r="BL725" s="160"/>
      <c r="BM725" s="160"/>
      <c r="BN725" s="160"/>
      <c r="BO725" s="160"/>
      <c r="BP725" s="160"/>
      <c r="BQ725" s="160"/>
      <c r="BR725" s="160"/>
      <c r="BS725" s="160"/>
      <c r="BT725" s="160"/>
      <c r="BU725" s="160"/>
      <c r="BV725" s="160"/>
      <c r="BW725" s="160"/>
      <c r="BX725" s="160"/>
      <c r="BY725" s="160"/>
      <c r="BZ725" s="160"/>
      <c r="CA725" s="160"/>
      <c r="CB725" s="160"/>
      <c r="CC725" s="160"/>
      <c r="CD725" s="160"/>
      <c r="CE725" s="160"/>
      <c r="CF725" s="160"/>
    </row>
    <row r="726">
      <c r="D726" s="159"/>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c r="BD726" s="160"/>
      <c r="BE726" s="160"/>
      <c r="BF726" s="160"/>
      <c r="BG726" s="160"/>
      <c r="BH726" s="160"/>
      <c r="BI726" s="160"/>
      <c r="BJ726" s="160"/>
      <c r="BK726" s="160"/>
      <c r="BL726" s="160"/>
      <c r="BM726" s="160"/>
      <c r="BN726" s="160"/>
      <c r="BO726" s="160"/>
      <c r="BP726" s="160"/>
      <c r="BQ726" s="160"/>
      <c r="BR726" s="160"/>
      <c r="BS726" s="160"/>
      <c r="BT726" s="160"/>
      <c r="BU726" s="160"/>
      <c r="BV726" s="160"/>
      <c r="BW726" s="160"/>
      <c r="BX726" s="160"/>
      <c r="BY726" s="160"/>
      <c r="BZ726" s="160"/>
      <c r="CA726" s="160"/>
      <c r="CB726" s="160"/>
      <c r="CC726" s="160"/>
      <c r="CD726" s="160"/>
      <c r="CE726" s="160"/>
      <c r="CF726" s="160"/>
    </row>
    <row r="727">
      <c r="D727" s="159"/>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c r="BD727" s="160"/>
      <c r="BE727" s="160"/>
      <c r="BF727" s="160"/>
      <c r="BG727" s="160"/>
      <c r="BH727" s="160"/>
      <c r="BI727" s="160"/>
      <c r="BJ727" s="160"/>
      <c r="BK727" s="160"/>
      <c r="BL727" s="160"/>
      <c r="BM727" s="160"/>
      <c r="BN727" s="160"/>
      <c r="BO727" s="160"/>
      <c r="BP727" s="160"/>
      <c r="BQ727" s="160"/>
      <c r="BR727" s="160"/>
      <c r="BS727" s="160"/>
      <c r="BT727" s="160"/>
      <c r="BU727" s="160"/>
      <c r="BV727" s="160"/>
      <c r="BW727" s="160"/>
      <c r="BX727" s="160"/>
      <c r="BY727" s="160"/>
      <c r="BZ727" s="160"/>
      <c r="CA727" s="160"/>
      <c r="CB727" s="160"/>
      <c r="CC727" s="160"/>
      <c r="CD727" s="160"/>
      <c r="CE727" s="160"/>
      <c r="CF727" s="160"/>
    </row>
    <row r="728">
      <c r="D728" s="159"/>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c r="BD728" s="160"/>
      <c r="BE728" s="160"/>
      <c r="BF728" s="160"/>
      <c r="BG728" s="160"/>
      <c r="BH728" s="160"/>
      <c r="BI728" s="160"/>
      <c r="BJ728" s="160"/>
      <c r="BK728" s="160"/>
      <c r="BL728" s="160"/>
      <c r="BM728" s="160"/>
      <c r="BN728" s="160"/>
      <c r="BO728" s="160"/>
      <c r="BP728" s="160"/>
      <c r="BQ728" s="160"/>
      <c r="BR728" s="160"/>
      <c r="BS728" s="160"/>
      <c r="BT728" s="160"/>
      <c r="BU728" s="160"/>
      <c r="BV728" s="160"/>
      <c r="BW728" s="160"/>
      <c r="BX728" s="160"/>
      <c r="BY728" s="160"/>
      <c r="BZ728" s="160"/>
      <c r="CA728" s="160"/>
      <c r="CB728" s="160"/>
      <c r="CC728" s="160"/>
      <c r="CD728" s="160"/>
      <c r="CE728" s="160"/>
      <c r="CF728" s="160"/>
    </row>
    <row r="729">
      <c r="D729" s="159"/>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c r="BD729" s="160"/>
      <c r="BE729" s="160"/>
      <c r="BF729" s="160"/>
      <c r="BG729" s="160"/>
      <c r="BH729" s="160"/>
      <c r="BI729" s="160"/>
      <c r="BJ729" s="160"/>
      <c r="BK729" s="160"/>
      <c r="BL729" s="160"/>
      <c r="BM729" s="160"/>
      <c r="BN729" s="160"/>
      <c r="BO729" s="160"/>
      <c r="BP729" s="160"/>
      <c r="BQ729" s="160"/>
      <c r="BR729" s="160"/>
      <c r="BS729" s="160"/>
      <c r="BT729" s="160"/>
      <c r="BU729" s="160"/>
      <c r="BV729" s="160"/>
      <c r="BW729" s="160"/>
      <c r="BX729" s="160"/>
      <c r="BY729" s="160"/>
      <c r="BZ729" s="160"/>
      <c r="CA729" s="160"/>
      <c r="CB729" s="160"/>
      <c r="CC729" s="160"/>
      <c r="CD729" s="160"/>
      <c r="CE729" s="160"/>
      <c r="CF729" s="160"/>
    </row>
    <row r="730">
      <c r="D730" s="159"/>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c r="BD730" s="160"/>
      <c r="BE730" s="160"/>
      <c r="BF730" s="160"/>
      <c r="BG730" s="160"/>
      <c r="BH730" s="160"/>
      <c r="BI730" s="160"/>
      <c r="BJ730" s="160"/>
      <c r="BK730" s="160"/>
      <c r="BL730" s="160"/>
      <c r="BM730" s="160"/>
      <c r="BN730" s="160"/>
      <c r="BO730" s="160"/>
      <c r="BP730" s="160"/>
      <c r="BQ730" s="160"/>
      <c r="BR730" s="160"/>
      <c r="BS730" s="160"/>
      <c r="BT730" s="160"/>
      <c r="BU730" s="160"/>
      <c r="BV730" s="160"/>
      <c r="BW730" s="160"/>
      <c r="BX730" s="160"/>
      <c r="BY730" s="160"/>
      <c r="BZ730" s="160"/>
      <c r="CA730" s="160"/>
      <c r="CB730" s="160"/>
      <c r="CC730" s="160"/>
      <c r="CD730" s="160"/>
      <c r="CE730" s="160"/>
      <c r="CF730" s="160"/>
    </row>
    <row r="731">
      <c r="D731" s="159"/>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c r="BD731" s="160"/>
      <c r="BE731" s="160"/>
      <c r="BF731" s="160"/>
      <c r="BG731" s="160"/>
      <c r="BH731" s="160"/>
      <c r="BI731" s="160"/>
      <c r="BJ731" s="160"/>
      <c r="BK731" s="160"/>
      <c r="BL731" s="160"/>
      <c r="BM731" s="160"/>
      <c r="BN731" s="160"/>
      <c r="BO731" s="160"/>
      <c r="BP731" s="160"/>
      <c r="BQ731" s="160"/>
      <c r="BR731" s="160"/>
      <c r="BS731" s="160"/>
      <c r="BT731" s="160"/>
      <c r="BU731" s="160"/>
      <c r="BV731" s="160"/>
      <c r="BW731" s="160"/>
      <c r="BX731" s="160"/>
      <c r="BY731" s="160"/>
      <c r="BZ731" s="160"/>
      <c r="CA731" s="160"/>
      <c r="CB731" s="160"/>
      <c r="CC731" s="160"/>
      <c r="CD731" s="160"/>
      <c r="CE731" s="160"/>
      <c r="CF731" s="160"/>
    </row>
    <row r="732">
      <c r="D732" s="159"/>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c r="BD732" s="160"/>
      <c r="BE732" s="160"/>
      <c r="BF732" s="160"/>
      <c r="BG732" s="160"/>
      <c r="BH732" s="160"/>
      <c r="BI732" s="160"/>
      <c r="BJ732" s="160"/>
      <c r="BK732" s="160"/>
      <c r="BL732" s="160"/>
      <c r="BM732" s="160"/>
      <c r="BN732" s="160"/>
      <c r="BO732" s="160"/>
      <c r="BP732" s="160"/>
      <c r="BQ732" s="160"/>
      <c r="BR732" s="160"/>
      <c r="BS732" s="160"/>
      <c r="BT732" s="160"/>
      <c r="BU732" s="160"/>
      <c r="BV732" s="160"/>
      <c r="BW732" s="160"/>
      <c r="BX732" s="160"/>
      <c r="BY732" s="160"/>
      <c r="BZ732" s="160"/>
      <c r="CA732" s="160"/>
      <c r="CB732" s="160"/>
      <c r="CC732" s="160"/>
      <c r="CD732" s="160"/>
      <c r="CE732" s="160"/>
      <c r="CF732" s="160"/>
    </row>
    <row r="733">
      <c r="D733" s="159"/>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c r="BD733" s="160"/>
      <c r="BE733" s="160"/>
      <c r="BF733" s="160"/>
      <c r="BG733" s="160"/>
      <c r="BH733" s="160"/>
      <c r="BI733" s="160"/>
      <c r="BJ733" s="160"/>
      <c r="BK733" s="160"/>
      <c r="BL733" s="160"/>
      <c r="BM733" s="160"/>
      <c r="BN733" s="160"/>
      <c r="BO733" s="160"/>
      <c r="BP733" s="160"/>
      <c r="BQ733" s="160"/>
      <c r="BR733" s="160"/>
      <c r="BS733" s="160"/>
      <c r="BT733" s="160"/>
      <c r="BU733" s="160"/>
      <c r="BV733" s="160"/>
      <c r="BW733" s="160"/>
      <c r="BX733" s="160"/>
      <c r="BY733" s="160"/>
      <c r="BZ733" s="160"/>
      <c r="CA733" s="160"/>
      <c r="CB733" s="160"/>
      <c r="CC733" s="160"/>
      <c r="CD733" s="160"/>
      <c r="CE733" s="160"/>
      <c r="CF733" s="160"/>
    </row>
    <row r="734">
      <c r="D734" s="159"/>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c r="BD734" s="160"/>
      <c r="BE734" s="160"/>
      <c r="BF734" s="160"/>
      <c r="BG734" s="160"/>
      <c r="BH734" s="160"/>
      <c r="BI734" s="160"/>
      <c r="BJ734" s="160"/>
      <c r="BK734" s="160"/>
      <c r="BL734" s="160"/>
      <c r="BM734" s="160"/>
      <c r="BN734" s="160"/>
      <c r="BO734" s="160"/>
      <c r="BP734" s="160"/>
      <c r="BQ734" s="160"/>
      <c r="BR734" s="160"/>
      <c r="BS734" s="160"/>
      <c r="BT734" s="160"/>
      <c r="BU734" s="160"/>
      <c r="BV734" s="160"/>
      <c r="BW734" s="160"/>
      <c r="BX734" s="160"/>
      <c r="BY734" s="160"/>
      <c r="BZ734" s="160"/>
      <c r="CA734" s="160"/>
      <c r="CB734" s="160"/>
      <c r="CC734" s="160"/>
      <c r="CD734" s="160"/>
      <c r="CE734" s="160"/>
      <c r="CF734" s="160"/>
    </row>
    <row r="735">
      <c r="D735" s="159"/>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c r="BD735" s="160"/>
      <c r="BE735" s="160"/>
      <c r="BF735" s="160"/>
      <c r="BG735" s="160"/>
      <c r="BH735" s="160"/>
      <c r="BI735" s="160"/>
      <c r="BJ735" s="160"/>
      <c r="BK735" s="160"/>
      <c r="BL735" s="160"/>
      <c r="BM735" s="160"/>
      <c r="BN735" s="160"/>
      <c r="BO735" s="160"/>
      <c r="BP735" s="160"/>
      <c r="BQ735" s="160"/>
      <c r="BR735" s="160"/>
      <c r="BS735" s="160"/>
      <c r="BT735" s="160"/>
      <c r="BU735" s="160"/>
      <c r="BV735" s="160"/>
      <c r="BW735" s="160"/>
      <c r="BX735" s="160"/>
      <c r="BY735" s="160"/>
      <c r="BZ735" s="160"/>
      <c r="CA735" s="160"/>
      <c r="CB735" s="160"/>
      <c r="CC735" s="160"/>
      <c r="CD735" s="160"/>
      <c r="CE735" s="160"/>
      <c r="CF735" s="160"/>
    </row>
    <row r="736">
      <c r="D736" s="159"/>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c r="BD736" s="160"/>
      <c r="BE736" s="160"/>
      <c r="BF736" s="160"/>
      <c r="BG736" s="160"/>
      <c r="BH736" s="160"/>
      <c r="BI736" s="160"/>
      <c r="BJ736" s="160"/>
      <c r="BK736" s="160"/>
      <c r="BL736" s="160"/>
      <c r="BM736" s="160"/>
      <c r="BN736" s="160"/>
      <c r="BO736" s="160"/>
      <c r="BP736" s="160"/>
      <c r="BQ736" s="160"/>
      <c r="BR736" s="160"/>
      <c r="BS736" s="160"/>
      <c r="BT736" s="160"/>
      <c r="BU736" s="160"/>
      <c r="BV736" s="160"/>
      <c r="BW736" s="160"/>
      <c r="BX736" s="160"/>
      <c r="BY736" s="160"/>
      <c r="BZ736" s="160"/>
      <c r="CA736" s="160"/>
      <c r="CB736" s="160"/>
      <c r="CC736" s="160"/>
      <c r="CD736" s="160"/>
      <c r="CE736" s="160"/>
      <c r="CF736" s="160"/>
    </row>
    <row r="737">
      <c r="D737" s="159"/>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c r="BD737" s="160"/>
      <c r="BE737" s="160"/>
      <c r="BF737" s="160"/>
      <c r="BG737" s="160"/>
      <c r="BH737" s="160"/>
      <c r="BI737" s="160"/>
      <c r="BJ737" s="160"/>
      <c r="BK737" s="160"/>
      <c r="BL737" s="160"/>
      <c r="BM737" s="160"/>
      <c r="BN737" s="160"/>
      <c r="BO737" s="160"/>
      <c r="BP737" s="160"/>
      <c r="BQ737" s="160"/>
      <c r="BR737" s="160"/>
      <c r="BS737" s="160"/>
      <c r="BT737" s="160"/>
      <c r="BU737" s="160"/>
      <c r="BV737" s="160"/>
      <c r="BW737" s="160"/>
      <c r="BX737" s="160"/>
      <c r="BY737" s="160"/>
      <c r="BZ737" s="160"/>
      <c r="CA737" s="160"/>
      <c r="CB737" s="160"/>
      <c r="CC737" s="160"/>
      <c r="CD737" s="160"/>
      <c r="CE737" s="160"/>
      <c r="CF737" s="160"/>
    </row>
    <row r="738">
      <c r="D738" s="159"/>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c r="BD738" s="160"/>
      <c r="BE738" s="160"/>
      <c r="BF738" s="160"/>
      <c r="BG738" s="160"/>
      <c r="BH738" s="160"/>
      <c r="BI738" s="160"/>
      <c r="BJ738" s="160"/>
      <c r="BK738" s="160"/>
      <c r="BL738" s="160"/>
      <c r="BM738" s="160"/>
      <c r="BN738" s="160"/>
      <c r="BO738" s="160"/>
      <c r="BP738" s="160"/>
      <c r="BQ738" s="160"/>
      <c r="BR738" s="160"/>
      <c r="BS738" s="160"/>
      <c r="BT738" s="160"/>
      <c r="BU738" s="160"/>
      <c r="BV738" s="160"/>
      <c r="BW738" s="160"/>
      <c r="BX738" s="160"/>
      <c r="BY738" s="160"/>
      <c r="BZ738" s="160"/>
      <c r="CA738" s="160"/>
      <c r="CB738" s="160"/>
      <c r="CC738" s="160"/>
      <c r="CD738" s="160"/>
      <c r="CE738" s="160"/>
      <c r="CF738" s="160"/>
    </row>
    <row r="739">
      <c r="D739" s="159"/>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c r="BD739" s="160"/>
      <c r="BE739" s="160"/>
      <c r="BF739" s="160"/>
      <c r="BG739" s="160"/>
      <c r="BH739" s="160"/>
      <c r="BI739" s="160"/>
      <c r="BJ739" s="160"/>
      <c r="BK739" s="160"/>
      <c r="BL739" s="160"/>
      <c r="BM739" s="160"/>
      <c r="BN739" s="160"/>
      <c r="BO739" s="160"/>
      <c r="BP739" s="160"/>
      <c r="BQ739" s="160"/>
      <c r="BR739" s="160"/>
      <c r="BS739" s="160"/>
      <c r="BT739" s="160"/>
      <c r="BU739" s="160"/>
      <c r="BV739" s="160"/>
      <c r="BW739" s="160"/>
      <c r="BX739" s="160"/>
      <c r="BY739" s="160"/>
      <c r="BZ739" s="160"/>
      <c r="CA739" s="160"/>
      <c r="CB739" s="160"/>
      <c r="CC739" s="160"/>
      <c r="CD739" s="160"/>
      <c r="CE739" s="160"/>
      <c r="CF739" s="160"/>
    </row>
    <row r="740">
      <c r="D740" s="159"/>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c r="BD740" s="160"/>
      <c r="BE740" s="160"/>
      <c r="BF740" s="160"/>
      <c r="BG740" s="160"/>
      <c r="BH740" s="160"/>
      <c r="BI740" s="160"/>
      <c r="BJ740" s="160"/>
      <c r="BK740" s="160"/>
      <c r="BL740" s="160"/>
      <c r="BM740" s="160"/>
      <c r="BN740" s="160"/>
      <c r="BO740" s="160"/>
      <c r="BP740" s="160"/>
      <c r="BQ740" s="160"/>
      <c r="BR740" s="160"/>
      <c r="BS740" s="160"/>
      <c r="BT740" s="160"/>
      <c r="BU740" s="160"/>
      <c r="BV740" s="160"/>
      <c r="BW740" s="160"/>
      <c r="BX740" s="160"/>
      <c r="BY740" s="160"/>
      <c r="BZ740" s="160"/>
      <c r="CA740" s="160"/>
      <c r="CB740" s="160"/>
      <c r="CC740" s="160"/>
      <c r="CD740" s="160"/>
      <c r="CE740" s="160"/>
      <c r="CF740" s="160"/>
    </row>
    <row r="741">
      <c r="D741" s="159"/>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c r="BD741" s="160"/>
      <c r="BE741" s="160"/>
      <c r="BF741" s="160"/>
      <c r="BG741" s="160"/>
      <c r="BH741" s="160"/>
      <c r="BI741" s="160"/>
      <c r="BJ741" s="160"/>
      <c r="BK741" s="160"/>
      <c r="BL741" s="160"/>
      <c r="BM741" s="160"/>
      <c r="BN741" s="160"/>
      <c r="BO741" s="160"/>
      <c r="BP741" s="160"/>
      <c r="BQ741" s="160"/>
      <c r="BR741" s="160"/>
      <c r="BS741" s="160"/>
      <c r="BT741" s="160"/>
      <c r="BU741" s="160"/>
      <c r="BV741" s="160"/>
      <c r="BW741" s="160"/>
      <c r="BX741" s="160"/>
      <c r="BY741" s="160"/>
      <c r="BZ741" s="160"/>
      <c r="CA741" s="160"/>
      <c r="CB741" s="160"/>
      <c r="CC741" s="160"/>
      <c r="CD741" s="160"/>
      <c r="CE741" s="160"/>
      <c r="CF741" s="160"/>
    </row>
    <row r="742">
      <c r="D742" s="159"/>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c r="BD742" s="160"/>
      <c r="BE742" s="160"/>
      <c r="BF742" s="160"/>
      <c r="BG742" s="160"/>
      <c r="BH742" s="160"/>
      <c r="BI742" s="160"/>
      <c r="BJ742" s="160"/>
      <c r="BK742" s="160"/>
      <c r="BL742" s="160"/>
      <c r="BM742" s="160"/>
      <c r="BN742" s="160"/>
      <c r="BO742" s="160"/>
      <c r="BP742" s="160"/>
      <c r="BQ742" s="160"/>
      <c r="BR742" s="160"/>
      <c r="BS742" s="160"/>
      <c r="BT742" s="160"/>
      <c r="BU742" s="160"/>
      <c r="BV742" s="160"/>
      <c r="BW742" s="160"/>
      <c r="BX742" s="160"/>
      <c r="BY742" s="160"/>
      <c r="BZ742" s="160"/>
      <c r="CA742" s="160"/>
      <c r="CB742" s="160"/>
      <c r="CC742" s="160"/>
      <c r="CD742" s="160"/>
      <c r="CE742" s="160"/>
      <c r="CF742" s="160"/>
    </row>
    <row r="743">
      <c r="D743" s="159"/>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c r="BD743" s="160"/>
      <c r="BE743" s="160"/>
      <c r="BF743" s="160"/>
      <c r="BG743" s="160"/>
      <c r="BH743" s="160"/>
      <c r="BI743" s="160"/>
      <c r="BJ743" s="160"/>
      <c r="BK743" s="160"/>
      <c r="BL743" s="160"/>
      <c r="BM743" s="160"/>
      <c r="BN743" s="160"/>
      <c r="BO743" s="160"/>
      <c r="BP743" s="160"/>
      <c r="BQ743" s="160"/>
      <c r="BR743" s="160"/>
      <c r="BS743" s="160"/>
      <c r="BT743" s="160"/>
      <c r="BU743" s="160"/>
      <c r="BV743" s="160"/>
      <c r="BW743" s="160"/>
      <c r="BX743" s="160"/>
      <c r="BY743" s="160"/>
      <c r="BZ743" s="160"/>
      <c r="CA743" s="160"/>
      <c r="CB743" s="160"/>
      <c r="CC743" s="160"/>
      <c r="CD743" s="160"/>
      <c r="CE743" s="160"/>
      <c r="CF743" s="160"/>
    </row>
    <row r="744">
      <c r="D744" s="159"/>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c r="BD744" s="160"/>
      <c r="BE744" s="160"/>
      <c r="BF744" s="160"/>
      <c r="BG744" s="160"/>
      <c r="BH744" s="160"/>
      <c r="BI744" s="160"/>
      <c r="BJ744" s="160"/>
      <c r="BK744" s="160"/>
      <c r="BL744" s="160"/>
      <c r="BM744" s="160"/>
      <c r="BN744" s="160"/>
      <c r="BO744" s="160"/>
      <c r="BP744" s="160"/>
      <c r="BQ744" s="160"/>
      <c r="BR744" s="160"/>
      <c r="BS744" s="160"/>
      <c r="BT744" s="160"/>
      <c r="BU744" s="160"/>
      <c r="BV744" s="160"/>
      <c r="BW744" s="160"/>
      <c r="BX744" s="160"/>
      <c r="BY744" s="160"/>
      <c r="BZ744" s="160"/>
      <c r="CA744" s="160"/>
      <c r="CB744" s="160"/>
      <c r="CC744" s="160"/>
      <c r="CD744" s="160"/>
      <c r="CE744" s="160"/>
      <c r="CF744" s="160"/>
    </row>
    <row r="745">
      <c r="D745" s="159"/>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c r="BD745" s="160"/>
      <c r="BE745" s="160"/>
      <c r="BF745" s="160"/>
      <c r="BG745" s="160"/>
      <c r="BH745" s="160"/>
      <c r="BI745" s="160"/>
      <c r="BJ745" s="160"/>
      <c r="BK745" s="160"/>
      <c r="BL745" s="160"/>
      <c r="BM745" s="160"/>
      <c r="BN745" s="160"/>
      <c r="BO745" s="160"/>
      <c r="BP745" s="160"/>
      <c r="BQ745" s="160"/>
      <c r="BR745" s="160"/>
      <c r="BS745" s="160"/>
      <c r="BT745" s="160"/>
      <c r="BU745" s="160"/>
      <c r="BV745" s="160"/>
      <c r="BW745" s="160"/>
      <c r="BX745" s="160"/>
      <c r="BY745" s="160"/>
      <c r="BZ745" s="160"/>
      <c r="CA745" s="160"/>
      <c r="CB745" s="160"/>
      <c r="CC745" s="160"/>
      <c r="CD745" s="160"/>
      <c r="CE745" s="160"/>
      <c r="CF745" s="160"/>
    </row>
    <row r="746">
      <c r="D746" s="159"/>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c r="BD746" s="160"/>
      <c r="BE746" s="160"/>
      <c r="BF746" s="160"/>
      <c r="BG746" s="160"/>
      <c r="BH746" s="160"/>
      <c r="BI746" s="160"/>
      <c r="BJ746" s="160"/>
      <c r="BK746" s="160"/>
      <c r="BL746" s="160"/>
      <c r="BM746" s="160"/>
      <c r="BN746" s="160"/>
      <c r="BO746" s="160"/>
      <c r="BP746" s="160"/>
      <c r="BQ746" s="160"/>
      <c r="BR746" s="160"/>
      <c r="BS746" s="160"/>
      <c r="BT746" s="160"/>
      <c r="BU746" s="160"/>
      <c r="BV746" s="160"/>
      <c r="BW746" s="160"/>
      <c r="BX746" s="160"/>
      <c r="BY746" s="160"/>
      <c r="BZ746" s="160"/>
      <c r="CA746" s="160"/>
      <c r="CB746" s="160"/>
      <c r="CC746" s="160"/>
      <c r="CD746" s="160"/>
      <c r="CE746" s="160"/>
      <c r="CF746" s="160"/>
    </row>
    <row r="747">
      <c r="D747" s="159"/>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c r="BD747" s="160"/>
      <c r="BE747" s="160"/>
      <c r="BF747" s="160"/>
      <c r="BG747" s="160"/>
      <c r="BH747" s="160"/>
      <c r="BI747" s="160"/>
      <c r="BJ747" s="160"/>
      <c r="BK747" s="160"/>
      <c r="BL747" s="160"/>
      <c r="BM747" s="160"/>
      <c r="BN747" s="160"/>
      <c r="BO747" s="160"/>
      <c r="BP747" s="160"/>
      <c r="BQ747" s="160"/>
      <c r="BR747" s="160"/>
      <c r="BS747" s="160"/>
      <c r="BT747" s="160"/>
      <c r="BU747" s="160"/>
      <c r="BV747" s="160"/>
      <c r="BW747" s="160"/>
      <c r="BX747" s="160"/>
      <c r="BY747" s="160"/>
      <c r="BZ747" s="160"/>
      <c r="CA747" s="160"/>
      <c r="CB747" s="160"/>
      <c r="CC747" s="160"/>
      <c r="CD747" s="160"/>
      <c r="CE747" s="160"/>
      <c r="CF747" s="160"/>
    </row>
    <row r="748">
      <c r="D748" s="159"/>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c r="BD748" s="160"/>
      <c r="BE748" s="160"/>
      <c r="BF748" s="160"/>
      <c r="BG748" s="160"/>
      <c r="BH748" s="160"/>
      <c r="BI748" s="160"/>
      <c r="BJ748" s="160"/>
      <c r="BK748" s="160"/>
      <c r="BL748" s="160"/>
      <c r="BM748" s="160"/>
      <c r="BN748" s="160"/>
      <c r="BO748" s="160"/>
      <c r="BP748" s="160"/>
      <c r="BQ748" s="160"/>
      <c r="BR748" s="160"/>
      <c r="BS748" s="160"/>
      <c r="BT748" s="160"/>
      <c r="BU748" s="160"/>
      <c r="BV748" s="160"/>
      <c r="BW748" s="160"/>
      <c r="BX748" s="160"/>
      <c r="BY748" s="160"/>
      <c r="BZ748" s="160"/>
      <c r="CA748" s="160"/>
      <c r="CB748" s="160"/>
      <c r="CC748" s="160"/>
      <c r="CD748" s="160"/>
      <c r="CE748" s="160"/>
      <c r="CF748" s="160"/>
    </row>
    <row r="749">
      <c r="D749" s="159"/>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c r="BD749" s="160"/>
      <c r="BE749" s="160"/>
      <c r="BF749" s="160"/>
      <c r="BG749" s="160"/>
      <c r="BH749" s="160"/>
      <c r="BI749" s="160"/>
      <c r="BJ749" s="160"/>
      <c r="BK749" s="160"/>
      <c r="BL749" s="160"/>
      <c r="BM749" s="160"/>
      <c r="BN749" s="160"/>
      <c r="BO749" s="160"/>
      <c r="BP749" s="160"/>
      <c r="BQ749" s="160"/>
      <c r="BR749" s="160"/>
      <c r="BS749" s="160"/>
      <c r="BT749" s="160"/>
      <c r="BU749" s="160"/>
      <c r="BV749" s="160"/>
      <c r="BW749" s="160"/>
      <c r="BX749" s="160"/>
      <c r="BY749" s="160"/>
      <c r="BZ749" s="160"/>
      <c r="CA749" s="160"/>
      <c r="CB749" s="160"/>
      <c r="CC749" s="160"/>
      <c r="CD749" s="160"/>
      <c r="CE749" s="160"/>
      <c r="CF749" s="160"/>
    </row>
    <row r="750">
      <c r="D750" s="159"/>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c r="BD750" s="160"/>
      <c r="BE750" s="160"/>
      <c r="BF750" s="160"/>
      <c r="BG750" s="160"/>
      <c r="BH750" s="160"/>
      <c r="BI750" s="160"/>
      <c r="BJ750" s="160"/>
      <c r="BK750" s="160"/>
      <c r="BL750" s="160"/>
      <c r="BM750" s="160"/>
      <c r="BN750" s="160"/>
      <c r="BO750" s="160"/>
      <c r="BP750" s="160"/>
      <c r="BQ750" s="160"/>
      <c r="BR750" s="160"/>
      <c r="BS750" s="160"/>
      <c r="BT750" s="160"/>
      <c r="BU750" s="160"/>
      <c r="BV750" s="160"/>
      <c r="BW750" s="160"/>
      <c r="BX750" s="160"/>
      <c r="BY750" s="160"/>
      <c r="BZ750" s="160"/>
      <c r="CA750" s="160"/>
      <c r="CB750" s="160"/>
      <c r="CC750" s="160"/>
      <c r="CD750" s="160"/>
      <c r="CE750" s="160"/>
      <c r="CF750" s="160"/>
    </row>
    <row r="751">
      <c r="D751" s="159"/>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c r="BD751" s="160"/>
      <c r="BE751" s="160"/>
      <c r="BF751" s="160"/>
      <c r="BG751" s="160"/>
      <c r="BH751" s="160"/>
      <c r="BI751" s="160"/>
      <c r="BJ751" s="160"/>
      <c r="BK751" s="160"/>
      <c r="BL751" s="160"/>
      <c r="BM751" s="160"/>
      <c r="BN751" s="160"/>
      <c r="BO751" s="160"/>
      <c r="BP751" s="160"/>
      <c r="BQ751" s="160"/>
      <c r="BR751" s="160"/>
      <c r="BS751" s="160"/>
      <c r="BT751" s="160"/>
      <c r="BU751" s="160"/>
      <c r="BV751" s="160"/>
      <c r="BW751" s="160"/>
      <c r="BX751" s="160"/>
      <c r="BY751" s="160"/>
      <c r="BZ751" s="160"/>
      <c r="CA751" s="160"/>
      <c r="CB751" s="160"/>
      <c r="CC751" s="160"/>
      <c r="CD751" s="160"/>
      <c r="CE751" s="160"/>
      <c r="CF751" s="160"/>
    </row>
    <row r="752">
      <c r="D752" s="159"/>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c r="BD752" s="160"/>
      <c r="BE752" s="160"/>
      <c r="BF752" s="160"/>
      <c r="BG752" s="160"/>
      <c r="BH752" s="160"/>
      <c r="BI752" s="160"/>
      <c r="BJ752" s="160"/>
      <c r="BK752" s="160"/>
      <c r="BL752" s="160"/>
      <c r="BM752" s="160"/>
      <c r="BN752" s="160"/>
      <c r="BO752" s="160"/>
      <c r="BP752" s="160"/>
      <c r="BQ752" s="160"/>
      <c r="BR752" s="160"/>
      <c r="BS752" s="160"/>
      <c r="BT752" s="160"/>
      <c r="BU752" s="160"/>
      <c r="BV752" s="160"/>
      <c r="BW752" s="160"/>
      <c r="BX752" s="160"/>
      <c r="BY752" s="160"/>
      <c r="BZ752" s="160"/>
      <c r="CA752" s="160"/>
      <c r="CB752" s="160"/>
      <c r="CC752" s="160"/>
      <c r="CD752" s="160"/>
      <c r="CE752" s="160"/>
      <c r="CF752" s="160"/>
    </row>
    <row r="753">
      <c r="D753" s="159"/>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c r="BD753" s="160"/>
      <c r="BE753" s="160"/>
      <c r="BF753" s="160"/>
      <c r="BG753" s="160"/>
      <c r="BH753" s="160"/>
      <c r="BI753" s="160"/>
      <c r="BJ753" s="160"/>
      <c r="BK753" s="160"/>
      <c r="BL753" s="160"/>
      <c r="BM753" s="160"/>
      <c r="BN753" s="160"/>
      <c r="BO753" s="160"/>
      <c r="BP753" s="160"/>
      <c r="BQ753" s="160"/>
      <c r="BR753" s="160"/>
      <c r="BS753" s="160"/>
      <c r="BT753" s="160"/>
      <c r="BU753" s="160"/>
      <c r="BV753" s="160"/>
      <c r="BW753" s="160"/>
      <c r="BX753" s="160"/>
      <c r="BY753" s="160"/>
      <c r="BZ753" s="160"/>
      <c r="CA753" s="160"/>
      <c r="CB753" s="160"/>
      <c r="CC753" s="160"/>
      <c r="CD753" s="160"/>
      <c r="CE753" s="160"/>
      <c r="CF753" s="160"/>
    </row>
    <row r="754">
      <c r="D754" s="159"/>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c r="BD754" s="160"/>
      <c r="BE754" s="160"/>
      <c r="BF754" s="160"/>
      <c r="BG754" s="160"/>
      <c r="BH754" s="160"/>
      <c r="BI754" s="160"/>
      <c r="BJ754" s="160"/>
      <c r="BK754" s="160"/>
      <c r="BL754" s="160"/>
      <c r="BM754" s="160"/>
      <c r="BN754" s="160"/>
      <c r="BO754" s="160"/>
      <c r="BP754" s="160"/>
      <c r="BQ754" s="160"/>
      <c r="BR754" s="160"/>
      <c r="BS754" s="160"/>
      <c r="BT754" s="160"/>
      <c r="BU754" s="160"/>
      <c r="BV754" s="160"/>
      <c r="BW754" s="160"/>
      <c r="BX754" s="160"/>
      <c r="BY754" s="160"/>
      <c r="BZ754" s="160"/>
      <c r="CA754" s="160"/>
      <c r="CB754" s="160"/>
      <c r="CC754" s="160"/>
      <c r="CD754" s="160"/>
      <c r="CE754" s="160"/>
      <c r="CF754" s="160"/>
    </row>
    <row r="755">
      <c r="D755" s="159"/>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c r="BD755" s="160"/>
      <c r="BE755" s="160"/>
      <c r="BF755" s="160"/>
      <c r="BG755" s="160"/>
      <c r="BH755" s="160"/>
      <c r="BI755" s="160"/>
      <c r="BJ755" s="160"/>
      <c r="BK755" s="160"/>
      <c r="BL755" s="160"/>
      <c r="BM755" s="160"/>
      <c r="BN755" s="160"/>
      <c r="BO755" s="160"/>
      <c r="BP755" s="160"/>
      <c r="BQ755" s="160"/>
      <c r="BR755" s="160"/>
      <c r="BS755" s="160"/>
      <c r="BT755" s="160"/>
      <c r="BU755" s="160"/>
      <c r="BV755" s="160"/>
      <c r="BW755" s="160"/>
      <c r="BX755" s="160"/>
      <c r="BY755" s="160"/>
      <c r="BZ755" s="160"/>
      <c r="CA755" s="160"/>
      <c r="CB755" s="160"/>
      <c r="CC755" s="160"/>
      <c r="CD755" s="160"/>
      <c r="CE755" s="160"/>
      <c r="CF755" s="160"/>
    </row>
    <row r="756">
      <c r="D756" s="159"/>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c r="BD756" s="160"/>
      <c r="BE756" s="160"/>
      <c r="BF756" s="160"/>
      <c r="BG756" s="160"/>
      <c r="BH756" s="160"/>
      <c r="BI756" s="160"/>
      <c r="BJ756" s="160"/>
      <c r="BK756" s="160"/>
      <c r="BL756" s="160"/>
      <c r="BM756" s="160"/>
      <c r="BN756" s="160"/>
      <c r="BO756" s="160"/>
      <c r="BP756" s="160"/>
      <c r="BQ756" s="160"/>
      <c r="BR756" s="160"/>
      <c r="BS756" s="160"/>
      <c r="BT756" s="160"/>
      <c r="BU756" s="160"/>
      <c r="BV756" s="160"/>
      <c r="BW756" s="160"/>
      <c r="BX756" s="160"/>
      <c r="BY756" s="160"/>
      <c r="BZ756" s="160"/>
      <c r="CA756" s="160"/>
      <c r="CB756" s="160"/>
      <c r="CC756" s="160"/>
      <c r="CD756" s="160"/>
      <c r="CE756" s="160"/>
      <c r="CF756" s="160"/>
    </row>
    <row r="757">
      <c r="D757" s="159"/>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c r="BD757" s="160"/>
      <c r="BE757" s="160"/>
      <c r="BF757" s="160"/>
      <c r="BG757" s="160"/>
      <c r="BH757" s="160"/>
      <c r="BI757" s="160"/>
      <c r="BJ757" s="160"/>
      <c r="BK757" s="160"/>
      <c r="BL757" s="160"/>
      <c r="BM757" s="160"/>
      <c r="BN757" s="160"/>
      <c r="BO757" s="160"/>
      <c r="BP757" s="160"/>
      <c r="BQ757" s="160"/>
      <c r="BR757" s="160"/>
      <c r="BS757" s="160"/>
      <c r="BT757" s="160"/>
      <c r="BU757" s="160"/>
      <c r="BV757" s="160"/>
      <c r="BW757" s="160"/>
      <c r="BX757" s="160"/>
      <c r="BY757" s="160"/>
      <c r="BZ757" s="160"/>
      <c r="CA757" s="160"/>
      <c r="CB757" s="160"/>
      <c r="CC757" s="160"/>
      <c r="CD757" s="160"/>
      <c r="CE757" s="160"/>
      <c r="CF757" s="160"/>
    </row>
    <row r="758">
      <c r="D758" s="159"/>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c r="BD758" s="160"/>
      <c r="BE758" s="160"/>
      <c r="BF758" s="160"/>
      <c r="BG758" s="160"/>
      <c r="BH758" s="160"/>
      <c r="BI758" s="160"/>
      <c r="BJ758" s="160"/>
      <c r="BK758" s="160"/>
      <c r="BL758" s="160"/>
      <c r="BM758" s="160"/>
      <c r="BN758" s="160"/>
      <c r="BO758" s="160"/>
      <c r="BP758" s="160"/>
      <c r="BQ758" s="160"/>
      <c r="BR758" s="160"/>
      <c r="BS758" s="160"/>
      <c r="BT758" s="160"/>
      <c r="BU758" s="160"/>
      <c r="BV758" s="160"/>
      <c r="BW758" s="160"/>
      <c r="BX758" s="160"/>
      <c r="BY758" s="160"/>
      <c r="BZ758" s="160"/>
      <c r="CA758" s="160"/>
      <c r="CB758" s="160"/>
      <c r="CC758" s="160"/>
      <c r="CD758" s="160"/>
      <c r="CE758" s="160"/>
      <c r="CF758" s="160"/>
    </row>
    <row r="759">
      <c r="D759" s="159"/>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c r="BD759" s="160"/>
      <c r="BE759" s="160"/>
      <c r="BF759" s="160"/>
      <c r="BG759" s="160"/>
      <c r="BH759" s="160"/>
      <c r="BI759" s="160"/>
      <c r="BJ759" s="160"/>
      <c r="BK759" s="160"/>
      <c r="BL759" s="160"/>
      <c r="BM759" s="160"/>
      <c r="BN759" s="160"/>
      <c r="BO759" s="160"/>
      <c r="BP759" s="160"/>
      <c r="BQ759" s="160"/>
      <c r="BR759" s="160"/>
      <c r="BS759" s="160"/>
      <c r="BT759" s="160"/>
      <c r="BU759" s="160"/>
      <c r="BV759" s="160"/>
      <c r="BW759" s="160"/>
      <c r="BX759" s="160"/>
      <c r="BY759" s="160"/>
      <c r="BZ759" s="160"/>
      <c r="CA759" s="160"/>
      <c r="CB759" s="160"/>
      <c r="CC759" s="160"/>
      <c r="CD759" s="160"/>
      <c r="CE759" s="160"/>
      <c r="CF759" s="160"/>
    </row>
    <row r="760">
      <c r="D760" s="159"/>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c r="BD760" s="160"/>
      <c r="BE760" s="160"/>
      <c r="BF760" s="160"/>
      <c r="BG760" s="160"/>
      <c r="BH760" s="160"/>
      <c r="BI760" s="160"/>
      <c r="BJ760" s="160"/>
      <c r="BK760" s="160"/>
      <c r="BL760" s="160"/>
      <c r="BM760" s="160"/>
      <c r="BN760" s="160"/>
      <c r="BO760" s="160"/>
      <c r="BP760" s="160"/>
      <c r="BQ760" s="160"/>
      <c r="BR760" s="160"/>
      <c r="BS760" s="160"/>
      <c r="BT760" s="160"/>
      <c r="BU760" s="160"/>
      <c r="BV760" s="160"/>
      <c r="BW760" s="160"/>
      <c r="BX760" s="160"/>
      <c r="BY760" s="160"/>
      <c r="BZ760" s="160"/>
      <c r="CA760" s="160"/>
      <c r="CB760" s="160"/>
      <c r="CC760" s="160"/>
      <c r="CD760" s="160"/>
      <c r="CE760" s="160"/>
      <c r="CF760" s="160"/>
    </row>
    <row r="761">
      <c r="D761" s="159"/>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c r="BD761" s="160"/>
      <c r="BE761" s="160"/>
      <c r="BF761" s="160"/>
      <c r="BG761" s="160"/>
      <c r="BH761" s="160"/>
      <c r="BI761" s="160"/>
      <c r="BJ761" s="160"/>
      <c r="BK761" s="160"/>
      <c r="BL761" s="160"/>
      <c r="BM761" s="160"/>
      <c r="BN761" s="160"/>
      <c r="BO761" s="160"/>
      <c r="BP761" s="160"/>
      <c r="BQ761" s="160"/>
      <c r="BR761" s="160"/>
      <c r="BS761" s="160"/>
      <c r="BT761" s="160"/>
      <c r="BU761" s="160"/>
      <c r="BV761" s="160"/>
      <c r="BW761" s="160"/>
      <c r="BX761" s="160"/>
      <c r="BY761" s="160"/>
      <c r="BZ761" s="160"/>
      <c r="CA761" s="160"/>
      <c r="CB761" s="160"/>
      <c r="CC761" s="160"/>
      <c r="CD761" s="160"/>
      <c r="CE761" s="160"/>
      <c r="CF761" s="160"/>
    </row>
    <row r="762">
      <c r="D762" s="159"/>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c r="BD762" s="160"/>
      <c r="BE762" s="160"/>
      <c r="BF762" s="160"/>
      <c r="BG762" s="160"/>
      <c r="BH762" s="160"/>
      <c r="BI762" s="160"/>
      <c r="BJ762" s="160"/>
      <c r="BK762" s="160"/>
      <c r="BL762" s="160"/>
      <c r="BM762" s="160"/>
      <c r="BN762" s="160"/>
      <c r="BO762" s="160"/>
      <c r="BP762" s="160"/>
      <c r="BQ762" s="160"/>
      <c r="BR762" s="160"/>
      <c r="BS762" s="160"/>
      <c r="BT762" s="160"/>
      <c r="BU762" s="160"/>
      <c r="BV762" s="160"/>
      <c r="BW762" s="160"/>
      <c r="BX762" s="160"/>
      <c r="BY762" s="160"/>
      <c r="BZ762" s="160"/>
      <c r="CA762" s="160"/>
      <c r="CB762" s="160"/>
      <c r="CC762" s="160"/>
      <c r="CD762" s="160"/>
      <c r="CE762" s="160"/>
      <c r="CF762" s="160"/>
    </row>
    <row r="763">
      <c r="D763" s="159"/>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c r="BD763" s="160"/>
      <c r="BE763" s="160"/>
      <c r="BF763" s="160"/>
      <c r="BG763" s="160"/>
      <c r="BH763" s="160"/>
      <c r="BI763" s="160"/>
      <c r="BJ763" s="160"/>
      <c r="BK763" s="160"/>
      <c r="BL763" s="160"/>
      <c r="BM763" s="160"/>
      <c r="BN763" s="160"/>
      <c r="BO763" s="160"/>
      <c r="BP763" s="160"/>
      <c r="BQ763" s="160"/>
      <c r="BR763" s="160"/>
      <c r="BS763" s="160"/>
      <c r="BT763" s="160"/>
      <c r="BU763" s="160"/>
      <c r="BV763" s="160"/>
      <c r="BW763" s="160"/>
      <c r="BX763" s="160"/>
      <c r="BY763" s="160"/>
      <c r="BZ763" s="160"/>
      <c r="CA763" s="160"/>
      <c r="CB763" s="160"/>
      <c r="CC763" s="160"/>
      <c r="CD763" s="160"/>
      <c r="CE763" s="160"/>
      <c r="CF763" s="160"/>
    </row>
    <row r="764">
      <c r="D764" s="159"/>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c r="BD764" s="160"/>
      <c r="BE764" s="160"/>
      <c r="BF764" s="160"/>
      <c r="BG764" s="160"/>
      <c r="BH764" s="160"/>
      <c r="BI764" s="160"/>
      <c r="BJ764" s="160"/>
      <c r="BK764" s="160"/>
      <c r="BL764" s="160"/>
      <c r="BM764" s="160"/>
      <c r="BN764" s="160"/>
      <c r="BO764" s="160"/>
      <c r="BP764" s="160"/>
      <c r="BQ764" s="160"/>
      <c r="BR764" s="160"/>
      <c r="BS764" s="160"/>
      <c r="BT764" s="160"/>
      <c r="BU764" s="160"/>
      <c r="BV764" s="160"/>
      <c r="BW764" s="160"/>
      <c r="BX764" s="160"/>
      <c r="BY764" s="160"/>
      <c r="BZ764" s="160"/>
      <c r="CA764" s="160"/>
      <c r="CB764" s="160"/>
      <c r="CC764" s="160"/>
      <c r="CD764" s="160"/>
      <c r="CE764" s="160"/>
      <c r="CF764" s="160"/>
    </row>
    <row r="765">
      <c r="D765" s="159"/>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c r="BD765" s="160"/>
      <c r="BE765" s="160"/>
      <c r="BF765" s="160"/>
      <c r="BG765" s="160"/>
      <c r="BH765" s="160"/>
      <c r="BI765" s="160"/>
      <c r="BJ765" s="160"/>
      <c r="BK765" s="160"/>
      <c r="BL765" s="160"/>
      <c r="BM765" s="160"/>
      <c r="BN765" s="160"/>
      <c r="BO765" s="160"/>
      <c r="BP765" s="160"/>
      <c r="BQ765" s="160"/>
      <c r="BR765" s="160"/>
      <c r="BS765" s="160"/>
      <c r="BT765" s="160"/>
      <c r="BU765" s="160"/>
      <c r="BV765" s="160"/>
      <c r="BW765" s="160"/>
      <c r="BX765" s="160"/>
      <c r="BY765" s="160"/>
      <c r="BZ765" s="160"/>
      <c r="CA765" s="160"/>
      <c r="CB765" s="160"/>
      <c r="CC765" s="160"/>
      <c r="CD765" s="160"/>
      <c r="CE765" s="160"/>
      <c r="CF765" s="160"/>
    </row>
    <row r="766">
      <c r="D766" s="159"/>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c r="BD766" s="160"/>
      <c r="BE766" s="160"/>
      <c r="BF766" s="160"/>
      <c r="BG766" s="160"/>
      <c r="BH766" s="160"/>
      <c r="BI766" s="160"/>
      <c r="BJ766" s="160"/>
      <c r="BK766" s="160"/>
      <c r="BL766" s="160"/>
      <c r="BM766" s="160"/>
      <c r="BN766" s="160"/>
      <c r="BO766" s="160"/>
      <c r="BP766" s="160"/>
      <c r="BQ766" s="160"/>
      <c r="BR766" s="160"/>
      <c r="BS766" s="160"/>
      <c r="BT766" s="160"/>
      <c r="BU766" s="160"/>
      <c r="BV766" s="160"/>
      <c r="BW766" s="160"/>
      <c r="BX766" s="160"/>
      <c r="BY766" s="160"/>
      <c r="BZ766" s="160"/>
      <c r="CA766" s="160"/>
      <c r="CB766" s="160"/>
      <c r="CC766" s="160"/>
      <c r="CD766" s="160"/>
      <c r="CE766" s="160"/>
      <c r="CF766" s="160"/>
    </row>
    <row r="767">
      <c r="D767" s="159"/>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c r="BD767" s="160"/>
      <c r="BE767" s="160"/>
      <c r="BF767" s="160"/>
      <c r="BG767" s="160"/>
      <c r="BH767" s="160"/>
      <c r="BI767" s="160"/>
      <c r="BJ767" s="160"/>
      <c r="BK767" s="160"/>
      <c r="BL767" s="160"/>
      <c r="BM767" s="160"/>
      <c r="BN767" s="160"/>
      <c r="BO767" s="160"/>
      <c r="BP767" s="160"/>
      <c r="BQ767" s="160"/>
      <c r="BR767" s="160"/>
      <c r="BS767" s="160"/>
      <c r="BT767" s="160"/>
      <c r="BU767" s="160"/>
      <c r="BV767" s="160"/>
      <c r="BW767" s="160"/>
      <c r="BX767" s="160"/>
      <c r="BY767" s="160"/>
      <c r="BZ767" s="160"/>
      <c r="CA767" s="160"/>
      <c r="CB767" s="160"/>
      <c r="CC767" s="160"/>
      <c r="CD767" s="160"/>
      <c r="CE767" s="160"/>
      <c r="CF767" s="160"/>
    </row>
    <row r="768">
      <c r="D768" s="159"/>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c r="BD768" s="160"/>
      <c r="BE768" s="160"/>
      <c r="BF768" s="160"/>
      <c r="BG768" s="160"/>
      <c r="BH768" s="160"/>
      <c r="BI768" s="160"/>
      <c r="BJ768" s="160"/>
      <c r="BK768" s="160"/>
      <c r="BL768" s="160"/>
      <c r="BM768" s="160"/>
      <c r="BN768" s="160"/>
      <c r="BO768" s="160"/>
      <c r="BP768" s="160"/>
      <c r="BQ768" s="160"/>
      <c r="BR768" s="160"/>
      <c r="BS768" s="160"/>
      <c r="BT768" s="160"/>
      <c r="BU768" s="160"/>
      <c r="BV768" s="160"/>
      <c r="BW768" s="160"/>
      <c r="BX768" s="160"/>
      <c r="BY768" s="160"/>
      <c r="BZ768" s="160"/>
      <c r="CA768" s="160"/>
      <c r="CB768" s="160"/>
      <c r="CC768" s="160"/>
      <c r="CD768" s="160"/>
      <c r="CE768" s="160"/>
      <c r="CF768" s="160"/>
    </row>
    <row r="769">
      <c r="D769" s="159"/>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c r="BD769" s="160"/>
      <c r="BE769" s="160"/>
      <c r="BF769" s="160"/>
      <c r="BG769" s="160"/>
      <c r="BH769" s="160"/>
      <c r="BI769" s="160"/>
      <c r="BJ769" s="160"/>
      <c r="BK769" s="160"/>
      <c r="BL769" s="160"/>
      <c r="BM769" s="160"/>
      <c r="BN769" s="160"/>
      <c r="BO769" s="160"/>
      <c r="BP769" s="160"/>
      <c r="BQ769" s="160"/>
      <c r="BR769" s="160"/>
      <c r="BS769" s="160"/>
      <c r="BT769" s="160"/>
      <c r="BU769" s="160"/>
      <c r="BV769" s="160"/>
      <c r="BW769" s="160"/>
      <c r="BX769" s="160"/>
      <c r="BY769" s="160"/>
      <c r="BZ769" s="160"/>
      <c r="CA769" s="160"/>
      <c r="CB769" s="160"/>
      <c r="CC769" s="160"/>
      <c r="CD769" s="160"/>
      <c r="CE769" s="160"/>
      <c r="CF769" s="160"/>
    </row>
    <row r="770">
      <c r="D770" s="159"/>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c r="BD770" s="160"/>
      <c r="BE770" s="160"/>
      <c r="BF770" s="160"/>
      <c r="BG770" s="160"/>
      <c r="BH770" s="160"/>
      <c r="BI770" s="160"/>
      <c r="BJ770" s="160"/>
      <c r="BK770" s="160"/>
      <c r="BL770" s="160"/>
      <c r="BM770" s="160"/>
      <c r="BN770" s="160"/>
      <c r="BO770" s="160"/>
      <c r="BP770" s="160"/>
      <c r="BQ770" s="160"/>
      <c r="BR770" s="160"/>
      <c r="BS770" s="160"/>
      <c r="BT770" s="160"/>
      <c r="BU770" s="160"/>
      <c r="BV770" s="160"/>
      <c r="BW770" s="160"/>
      <c r="BX770" s="160"/>
      <c r="BY770" s="160"/>
      <c r="BZ770" s="160"/>
      <c r="CA770" s="160"/>
      <c r="CB770" s="160"/>
      <c r="CC770" s="160"/>
      <c r="CD770" s="160"/>
      <c r="CE770" s="160"/>
      <c r="CF770" s="160"/>
    </row>
    <row r="771">
      <c r="D771" s="159"/>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c r="BD771" s="160"/>
      <c r="BE771" s="160"/>
      <c r="BF771" s="160"/>
      <c r="BG771" s="160"/>
      <c r="BH771" s="160"/>
      <c r="BI771" s="160"/>
      <c r="BJ771" s="160"/>
      <c r="BK771" s="160"/>
      <c r="BL771" s="160"/>
      <c r="BM771" s="160"/>
      <c r="BN771" s="160"/>
      <c r="BO771" s="160"/>
      <c r="BP771" s="160"/>
      <c r="BQ771" s="160"/>
      <c r="BR771" s="160"/>
      <c r="BS771" s="160"/>
      <c r="BT771" s="160"/>
      <c r="BU771" s="160"/>
      <c r="BV771" s="160"/>
      <c r="BW771" s="160"/>
      <c r="BX771" s="160"/>
      <c r="BY771" s="160"/>
      <c r="BZ771" s="160"/>
      <c r="CA771" s="160"/>
      <c r="CB771" s="160"/>
      <c r="CC771" s="160"/>
      <c r="CD771" s="160"/>
      <c r="CE771" s="160"/>
      <c r="CF771" s="160"/>
    </row>
    <row r="772">
      <c r="D772" s="159"/>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c r="BD772" s="160"/>
      <c r="BE772" s="160"/>
      <c r="BF772" s="160"/>
      <c r="BG772" s="160"/>
      <c r="BH772" s="160"/>
      <c r="BI772" s="160"/>
      <c r="BJ772" s="160"/>
      <c r="BK772" s="160"/>
      <c r="BL772" s="160"/>
      <c r="BM772" s="160"/>
      <c r="BN772" s="160"/>
      <c r="BO772" s="160"/>
      <c r="BP772" s="160"/>
      <c r="BQ772" s="160"/>
      <c r="BR772" s="160"/>
      <c r="BS772" s="160"/>
      <c r="BT772" s="160"/>
      <c r="BU772" s="160"/>
      <c r="BV772" s="160"/>
      <c r="BW772" s="160"/>
      <c r="BX772" s="160"/>
      <c r="BY772" s="160"/>
      <c r="BZ772" s="160"/>
      <c r="CA772" s="160"/>
      <c r="CB772" s="160"/>
      <c r="CC772" s="160"/>
      <c r="CD772" s="160"/>
      <c r="CE772" s="160"/>
      <c r="CF772" s="160"/>
    </row>
    <row r="773">
      <c r="D773" s="159"/>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c r="BD773" s="160"/>
      <c r="BE773" s="160"/>
      <c r="BF773" s="160"/>
      <c r="BG773" s="160"/>
      <c r="BH773" s="160"/>
      <c r="BI773" s="160"/>
      <c r="BJ773" s="160"/>
      <c r="BK773" s="160"/>
      <c r="BL773" s="160"/>
      <c r="BM773" s="160"/>
      <c r="BN773" s="160"/>
      <c r="BO773" s="160"/>
      <c r="BP773" s="160"/>
      <c r="BQ773" s="160"/>
      <c r="BR773" s="160"/>
      <c r="BS773" s="160"/>
      <c r="BT773" s="160"/>
      <c r="BU773" s="160"/>
      <c r="BV773" s="160"/>
      <c r="BW773" s="160"/>
      <c r="BX773" s="160"/>
      <c r="BY773" s="160"/>
      <c r="BZ773" s="160"/>
      <c r="CA773" s="160"/>
      <c r="CB773" s="160"/>
      <c r="CC773" s="160"/>
      <c r="CD773" s="160"/>
      <c r="CE773" s="160"/>
      <c r="CF773" s="160"/>
    </row>
    <row r="774">
      <c r="D774" s="159"/>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c r="BD774" s="160"/>
      <c r="BE774" s="160"/>
      <c r="BF774" s="160"/>
      <c r="BG774" s="160"/>
      <c r="BH774" s="160"/>
      <c r="BI774" s="160"/>
      <c r="BJ774" s="160"/>
      <c r="BK774" s="160"/>
      <c r="BL774" s="160"/>
      <c r="BM774" s="160"/>
      <c r="BN774" s="160"/>
      <c r="BO774" s="160"/>
      <c r="BP774" s="160"/>
      <c r="BQ774" s="160"/>
      <c r="BR774" s="160"/>
      <c r="BS774" s="160"/>
      <c r="BT774" s="160"/>
      <c r="BU774" s="160"/>
      <c r="BV774" s="160"/>
      <c r="BW774" s="160"/>
      <c r="BX774" s="160"/>
      <c r="BY774" s="160"/>
      <c r="BZ774" s="160"/>
      <c r="CA774" s="160"/>
      <c r="CB774" s="160"/>
      <c r="CC774" s="160"/>
      <c r="CD774" s="160"/>
      <c r="CE774" s="160"/>
      <c r="CF774" s="160"/>
    </row>
    <row r="775">
      <c r="D775" s="159"/>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c r="BD775" s="160"/>
      <c r="BE775" s="160"/>
      <c r="BF775" s="160"/>
      <c r="BG775" s="160"/>
      <c r="BH775" s="160"/>
      <c r="BI775" s="160"/>
      <c r="BJ775" s="160"/>
      <c r="BK775" s="160"/>
      <c r="BL775" s="160"/>
      <c r="BM775" s="160"/>
      <c r="BN775" s="160"/>
      <c r="BO775" s="160"/>
      <c r="BP775" s="160"/>
      <c r="BQ775" s="160"/>
      <c r="BR775" s="160"/>
      <c r="BS775" s="160"/>
      <c r="BT775" s="160"/>
      <c r="BU775" s="160"/>
      <c r="BV775" s="160"/>
      <c r="BW775" s="160"/>
      <c r="BX775" s="160"/>
      <c r="BY775" s="160"/>
      <c r="BZ775" s="160"/>
      <c r="CA775" s="160"/>
      <c r="CB775" s="160"/>
      <c r="CC775" s="160"/>
      <c r="CD775" s="160"/>
      <c r="CE775" s="160"/>
      <c r="CF775" s="160"/>
    </row>
    <row r="776">
      <c r="D776" s="159"/>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c r="BD776" s="160"/>
      <c r="BE776" s="160"/>
      <c r="BF776" s="160"/>
      <c r="BG776" s="160"/>
      <c r="BH776" s="160"/>
      <c r="BI776" s="160"/>
      <c r="BJ776" s="160"/>
      <c r="BK776" s="160"/>
      <c r="BL776" s="160"/>
      <c r="BM776" s="160"/>
      <c r="BN776" s="160"/>
      <c r="BO776" s="160"/>
      <c r="BP776" s="160"/>
      <c r="BQ776" s="160"/>
      <c r="BR776" s="160"/>
      <c r="BS776" s="160"/>
      <c r="BT776" s="160"/>
      <c r="BU776" s="160"/>
      <c r="BV776" s="160"/>
      <c r="BW776" s="160"/>
      <c r="BX776" s="160"/>
      <c r="BY776" s="160"/>
      <c r="BZ776" s="160"/>
      <c r="CA776" s="160"/>
      <c r="CB776" s="160"/>
      <c r="CC776" s="160"/>
      <c r="CD776" s="160"/>
      <c r="CE776" s="160"/>
      <c r="CF776" s="160"/>
    </row>
    <row r="777">
      <c r="D777" s="159"/>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c r="BD777" s="160"/>
      <c r="BE777" s="160"/>
      <c r="BF777" s="160"/>
      <c r="BG777" s="160"/>
      <c r="BH777" s="160"/>
      <c r="BI777" s="160"/>
      <c r="BJ777" s="160"/>
      <c r="BK777" s="160"/>
      <c r="BL777" s="160"/>
      <c r="BM777" s="160"/>
      <c r="BN777" s="160"/>
      <c r="BO777" s="160"/>
      <c r="BP777" s="160"/>
      <c r="BQ777" s="160"/>
      <c r="BR777" s="160"/>
      <c r="BS777" s="160"/>
      <c r="BT777" s="160"/>
      <c r="BU777" s="160"/>
      <c r="BV777" s="160"/>
      <c r="BW777" s="160"/>
      <c r="BX777" s="160"/>
      <c r="BY777" s="160"/>
      <c r="BZ777" s="160"/>
      <c r="CA777" s="160"/>
      <c r="CB777" s="160"/>
      <c r="CC777" s="160"/>
      <c r="CD777" s="160"/>
      <c r="CE777" s="160"/>
      <c r="CF777" s="160"/>
    </row>
    <row r="778">
      <c r="D778" s="159"/>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c r="BD778" s="160"/>
      <c r="BE778" s="160"/>
      <c r="BF778" s="160"/>
      <c r="BG778" s="160"/>
      <c r="BH778" s="160"/>
      <c r="BI778" s="160"/>
      <c r="BJ778" s="160"/>
      <c r="BK778" s="160"/>
      <c r="BL778" s="160"/>
      <c r="BM778" s="160"/>
      <c r="BN778" s="160"/>
      <c r="BO778" s="160"/>
      <c r="BP778" s="160"/>
      <c r="BQ778" s="160"/>
      <c r="BR778" s="160"/>
      <c r="BS778" s="160"/>
      <c r="BT778" s="160"/>
      <c r="BU778" s="160"/>
      <c r="BV778" s="160"/>
      <c r="BW778" s="160"/>
      <c r="BX778" s="160"/>
      <c r="BY778" s="160"/>
      <c r="BZ778" s="160"/>
      <c r="CA778" s="160"/>
      <c r="CB778" s="160"/>
      <c r="CC778" s="160"/>
      <c r="CD778" s="160"/>
      <c r="CE778" s="160"/>
      <c r="CF778" s="160"/>
    </row>
    <row r="779">
      <c r="D779" s="159"/>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c r="BD779" s="160"/>
      <c r="BE779" s="160"/>
      <c r="BF779" s="160"/>
      <c r="BG779" s="160"/>
      <c r="BH779" s="160"/>
      <c r="BI779" s="160"/>
      <c r="BJ779" s="160"/>
      <c r="BK779" s="160"/>
      <c r="BL779" s="160"/>
      <c r="BM779" s="160"/>
      <c r="BN779" s="160"/>
      <c r="BO779" s="160"/>
      <c r="BP779" s="160"/>
      <c r="BQ779" s="160"/>
      <c r="BR779" s="160"/>
      <c r="BS779" s="160"/>
      <c r="BT779" s="160"/>
      <c r="BU779" s="160"/>
      <c r="BV779" s="160"/>
      <c r="BW779" s="160"/>
      <c r="BX779" s="160"/>
      <c r="BY779" s="160"/>
      <c r="BZ779" s="160"/>
      <c r="CA779" s="160"/>
      <c r="CB779" s="160"/>
      <c r="CC779" s="160"/>
      <c r="CD779" s="160"/>
      <c r="CE779" s="160"/>
      <c r="CF779" s="160"/>
    </row>
    <row r="780">
      <c r="D780" s="159"/>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c r="BD780" s="160"/>
      <c r="BE780" s="160"/>
      <c r="BF780" s="160"/>
      <c r="BG780" s="160"/>
      <c r="BH780" s="160"/>
      <c r="BI780" s="160"/>
      <c r="BJ780" s="160"/>
      <c r="BK780" s="160"/>
      <c r="BL780" s="160"/>
      <c r="BM780" s="160"/>
      <c r="BN780" s="160"/>
      <c r="BO780" s="160"/>
      <c r="BP780" s="160"/>
      <c r="BQ780" s="160"/>
      <c r="BR780" s="160"/>
      <c r="BS780" s="160"/>
      <c r="BT780" s="160"/>
      <c r="BU780" s="160"/>
      <c r="BV780" s="160"/>
      <c r="BW780" s="160"/>
      <c r="BX780" s="160"/>
      <c r="BY780" s="160"/>
      <c r="BZ780" s="160"/>
      <c r="CA780" s="160"/>
      <c r="CB780" s="160"/>
      <c r="CC780" s="160"/>
      <c r="CD780" s="160"/>
      <c r="CE780" s="160"/>
      <c r="CF780" s="160"/>
    </row>
    <row r="781">
      <c r="D781" s="159"/>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c r="BD781" s="160"/>
      <c r="BE781" s="160"/>
      <c r="BF781" s="160"/>
      <c r="BG781" s="160"/>
      <c r="BH781" s="160"/>
      <c r="BI781" s="160"/>
      <c r="BJ781" s="160"/>
      <c r="BK781" s="160"/>
      <c r="BL781" s="160"/>
      <c r="BM781" s="160"/>
      <c r="BN781" s="160"/>
      <c r="BO781" s="160"/>
      <c r="BP781" s="160"/>
      <c r="BQ781" s="160"/>
      <c r="BR781" s="160"/>
      <c r="BS781" s="160"/>
      <c r="BT781" s="160"/>
      <c r="BU781" s="160"/>
      <c r="BV781" s="160"/>
      <c r="BW781" s="160"/>
      <c r="BX781" s="160"/>
      <c r="BY781" s="160"/>
      <c r="BZ781" s="160"/>
      <c r="CA781" s="160"/>
      <c r="CB781" s="160"/>
      <c r="CC781" s="160"/>
      <c r="CD781" s="160"/>
      <c r="CE781" s="160"/>
      <c r="CF781" s="160"/>
    </row>
    <row r="782">
      <c r="D782" s="159"/>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c r="BD782" s="160"/>
      <c r="BE782" s="160"/>
      <c r="BF782" s="160"/>
      <c r="BG782" s="160"/>
      <c r="BH782" s="160"/>
      <c r="BI782" s="160"/>
      <c r="BJ782" s="160"/>
      <c r="BK782" s="160"/>
      <c r="BL782" s="160"/>
      <c r="BM782" s="160"/>
      <c r="BN782" s="160"/>
      <c r="BO782" s="160"/>
      <c r="BP782" s="160"/>
      <c r="BQ782" s="160"/>
      <c r="BR782" s="160"/>
      <c r="BS782" s="160"/>
      <c r="BT782" s="160"/>
      <c r="BU782" s="160"/>
      <c r="BV782" s="160"/>
      <c r="BW782" s="160"/>
      <c r="BX782" s="160"/>
      <c r="BY782" s="160"/>
      <c r="BZ782" s="160"/>
      <c r="CA782" s="160"/>
      <c r="CB782" s="160"/>
      <c r="CC782" s="160"/>
      <c r="CD782" s="160"/>
      <c r="CE782" s="160"/>
      <c r="CF782" s="160"/>
    </row>
    <row r="783">
      <c r="D783" s="159"/>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c r="BD783" s="160"/>
      <c r="BE783" s="160"/>
      <c r="BF783" s="160"/>
      <c r="BG783" s="160"/>
      <c r="BH783" s="160"/>
      <c r="BI783" s="160"/>
      <c r="BJ783" s="160"/>
      <c r="BK783" s="160"/>
      <c r="BL783" s="160"/>
      <c r="BM783" s="160"/>
      <c r="BN783" s="160"/>
      <c r="BO783" s="160"/>
      <c r="BP783" s="160"/>
      <c r="BQ783" s="160"/>
      <c r="BR783" s="160"/>
      <c r="BS783" s="160"/>
      <c r="BT783" s="160"/>
      <c r="BU783" s="160"/>
      <c r="BV783" s="160"/>
      <c r="BW783" s="160"/>
      <c r="BX783" s="160"/>
      <c r="BY783" s="160"/>
      <c r="BZ783" s="160"/>
      <c r="CA783" s="160"/>
      <c r="CB783" s="160"/>
      <c r="CC783" s="160"/>
      <c r="CD783" s="160"/>
      <c r="CE783" s="160"/>
      <c r="CF783" s="160"/>
    </row>
    <row r="784">
      <c r="D784" s="159"/>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c r="BD784" s="160"/>
      <c r="BE784" s="160"/>
      <c r="BF784" s="160"/>
      <c r="BG784" s="160"/>
      <c r="BH784" s="160"/>
      <c r="BI784" s="160"/>
      <c r="BJ784" s="160"/>
      <c r="BK784" s="160"/>
      <c r="BL784" s="160"/>
      <c r="BM784" s="160"/>
      <c r="BN784" s="160"/>
      <c r="BO784" s="160"/>
      <c r="BP784" s="160"/>
      <c r="BQ784" s="160"/>
      <c r="BR784" s="160"/>
      <c r="BS784" s="160"/>
      <c r="BT784" s="160"/>
      <c r="BU784" s="160"/>
      <c r="BV784" s="160"/>
      <c r="BW784" s="160"/>
      <c r="BX784" s="160"/>
      <c r="BY784" s="160"/>
      <c r="BZ784" s="160"/>
      <c r="CA784" s="160"/>
      <c r="CB784" s="160"/>
      <c r="CC784" s="160"/>
      <c r="CD784" s="160"/>
      <c r="CE784" s="160"/>
      <c r="CF784" s="160"/>
    </row>
    <row r="785">
      <c r="D785" s="159"/>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c r="BD785" s="160"/>
      <c r="BE785" s="160"/>
      <c r="BF785" s="160"/>
      <c r="BG785" s="160"/>
      <c r="BH785" s="160"/>
      <c r="BI785" s="160"/>
      <c r="BJ785" s="160"/>
      <c r="BK785" s="160"/>
      <c r="BL785" s="160"/>
      <c r="BM785" s="160"/>
      <c r="BN785" s="160"/>
      <c r="BO785" s="160"/>
      <c r="BP785" s="160"/>
      <c r="BQ785" s="160"/>
      <c r="BR785" s="160"/>
      <c r="BS785" s="160"/>
      <c r="BT785" s="160"/>
      <c r="BU785" s="160"/>
      <c r="BV785" s="160"/>
      <c r="BW785" s="160"/>
      <c r="BX785" s="160"/>
      <c r="BY785" s="160"/>
      <c r="BZ785" s="160"/>
      <c r="CA785" s="160"/>
      <c r="CB785" s="160"/>
      <c r="CC785" s="160"/>
      <c r="CD785" s="160"/>
      <c r="CE785" s="160"/>
      <c r="CF785" s="160"/>
    </row>
    <row r="786">
      <c r="D786" s="159"/>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c r="BD786" s="160"/>
      <c r="BE786" s="160"/>
      <c r="BF786" s="160"/>
      <c r="BG786" s="160"/>
      <c r="BH786" s="160"/>
      <c r="BI786" s="160"/>
      <c r="BJ786" s="160"/>
      <c r="BK786" s="160"/>
      <c r="BL786" s="160"/>
      <c r="BM786" s="160"/>
      <c r="BN786" s="160"/>
      <c r="BO786" s="160"/>
      <c r="BP786" s="160"/>
      <c r="BQ786" s="160"/>
      <c r="BR786" s="160"/>
      <c r="BS786" s="160"/>
      <c r="BT786" s="160"/>
      <c r="BU786" s="160"/>
      <c r="BV786" s="160"/>
      <c r="BW786" s="160"/>
      <c r="BX786" s="160"/>
      <c r="BY786" s="160"/>
      <c r="BZ786" s="160"/>
      <c r="CA786" s="160"/>
      <c r="CB786" s="160"/>
      <c r="CC786" s="160"/>
      <c r="CD786" s="160"/>
      <c r="CE786" s="160"/>
      <c r="CF786" s="160"/>
    </row>
    <row r="787">
      <c r="D787" s="159"/>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c r="BD787" s="160"/>
      <c r="BE787" s="160"/>
      <c r="BF787" s="160"/>
      <c r="BG787" s="160"/>
      <c r="BH787" s="160"/>
      <c r="BI787" s="160"/>
      <c r="BJ787" s="160"/>
      <c r="BK787" s="160"/>
      <c r="BL787" s="160"/>
      <c r="BM787" s="160"/>
      <c r="BN787" s="160"/>
      <c r="BO787" s="160"/>
      <c r="BP787" s="160"/>
      <c r="BQ787" s="160"/>
      <c r="BR787" s="160"/>
      <c r="BS787" s="160"/>
      <c r="BT787" s="160"/>
      <c r="BU787" s="160"/>
      <c r="BV787" s="160"/>
      <c r="BW787" s="160"/>
      <c r="BX787" s="160"/>
      <c r="BY787" s="160"/>
      <c r="BZ787" s="160"/>
      <c r="CA787" s="160"/>
      <c r="CB787" s="160"/>
      <c r="CC787" s="160"/>
      <c r="CD787" s="160"/>
      <c r="CE787" s="160"/>
      <c r="CF787" s="160"/>
    </row>
    <row r="788">
      <c r="D788" s="159"/>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c r="BD788" s="160"/>
      <c r="BE788" s="160"/>
      <c r="BF788" s="160"/>
      <c r="BG788" s="160"/>
      <c r="BH788" s="160"/>
      <c r="BI788" s="160"/>
      <c r="BJ788" s="160"/>
      <c r="BK788" s="160"/>
      <c r="BL788" s="160"/>
      <c r="BM788" s="160"/>
      <c r="BN788" s="160"/>
      <c r="BO788" s="160"/>
      <c r="BP788" s="160"/>
      <c r="BQ788" s="160"/>
      <c r="BR788" s="160"/>
      <c r="BS788" s="160"/>
      <c r="BT788" s="160"/>
      <c r="BU788" s="160"/>
      <c r="BV788" s="160"/>
      <c r="BW788" s="160"/>
      <c r="BX788" s="160"/>
      <c r="BY788" s="160"/>
      <c r="BZ788" s="160"/>
      <c r="CA788" s="160"/>
      <c r="CB788" s="160"/>
      <c r="CC788" s="160"/>
      <c r="CD788" s="160"/>
      <c r="CE788" s="160"/>
      <c r="CF788" s="160"/>
    </row>
    <row r="789">
      <c r="D789" s="159"/>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c r="BD789" s="160"/>
      <c r="BE789" s="160"/>
      <c r="BF789" s="160"/>
      <c r="BG789" s="160"/>
      <c r="BH789" s="160"/>
      <c r="BI789" s="160"/>
      <c r="BJ789" s="160"/>
      <c r="BK789" s="160"/>
      <c r="BL789" s="160"/>
      <c r="BM789" s="160"/>
      <c r="BN789" s="160"/>
      <c r="BO789" s="160"/>
      <c r="BP789" s="160"/>
      <c r="BQ789" s="160"/>
      <c r="BR789" s="160"/>
      <c r="BS789" s="160"/>
      <c r="BT789" s="160"/>
      <c r="BU789" s="160"/>
      <c r="BV789" s="160"/>
      <c r="BW789" s="160"/>
      <c r="BX789" s="160"/>
      <c r="BY789" s="160"/>
      <c r="BZ789" s="160"/>
      <c r="CA789" s="160"/>
      <c r="CB789" s="160"/>
      <c r="CC789" s="160"/>
      <c r="CD789" s="160"/>
      <c r="CE789" s="160"/>
      <c r="CF789" s="160"/>
    </row>
    <row r="790">
      <c r="D790" s="159"/>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c r="BD790" s="160"/>
      <c r="BE790" s="160"/>
      <c r="BF790" s="160"/>
      <c r="BG790" s="160"/>
      <c r="BH790" s="160"/>
      <c r="BI790" s="160"/>
      <c r="BJ790" s="160"/>
      <c r="BK790" s="160"/>
      <c r="BL790" s="160"/>
      <c r="BM790" s="160"/>
      <c r="BN790" s="160"/>
      <c r="BO790" s="160"/>
      <c r="BP790" s="160"/>
      <c r="BQ790" s="160"/>
      <c r="BR790" s="160"/>
      <c r="BS790" s="160"/>
      <c r="BT790" s="160"/>
      <c r="BU790" s="160"/>
      <c r="BV790" s="160"/>
      <c r="BW790" s="160"/>
      <c r="BX790" s="160"/>
      <c r="BY790" s="160"/>
      <c r="BZ790" s="160"/>
      <c r="CA790" s="160"/>
      <c r="CB790" s="160"/>
      <c r="CC790" s="160"/>
      <c r="CD790" s="160"/>
      <c r="CE790" s="160"/>
      <c r="CF790" s="160"/>
    </row>
    <row r="791">
      <c r="D791" s="159"/>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c r="BD791" s="160"/>
      <c r="BE791" s="160"/>
      <c r="BF791" s="160"/>
      <c r="BG791" s="160"/>
      <c r="BH791" s="160"/>
      <c r="BI791" s="160"/>
      <c r="BJ791" s="160"/>
      <c r="BK791" s="160"/>
      <c r="BL791" s="160"/>
      <c r="BM791" s="160"/>
      <c r="BN791" s="160"/>
      <c r="BO791" s="160"/>
      <c r="BP791" s="160"/>
      <c r="BQ791" s="160"/>
      <c r="BR791" s="160"/>
      <c r="BS791" s="160"/>
      <c r="BT791" s="160"/>
      <c r="BU791" s="160"/>
      <c r="BV791" s="160"/>
      <c r="BW791" s="160"/>
      <c r="BX791" s="160"/>
      <c r="BY791" s="160"/>
      <c r="BZ791" s="160"/>
      <c r="CA791" s="160"/>
      <c r="CB791" s="160"/>
      <c r="CC791" s="160"/>
      <c r="CD791" s="160"/>
      <c r="CE791" s="160"/>
      <c r="CF791" s="160"/>
    </row>
    <row r="792">
      <c r="D792" s="159"/>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c r="BD792" s="160"/>
      <c r="BE792" s="160"/>
      <c r="BF792" s="160"/>
      <c r="BG792" s="160"/>
      <c r="BH792" s="160"/>
      <c r="BI792" s="160"/>
      <c r="BJ792" s="160"/>
      <c r="BK792" s="160"/>
      <c r="BL792" s="160"/>
      <c r="BM792" s="160"/>
      <c r="BN792" s="160"/>
      <c r="BO792" s="160"/>
      <c r="BP792" s="160"/>
      <c r="BQ792" s="160"/>
      <c r="BR792" s="160"/>
      <c r="BS792" s="160"/>
      <c r="BT792" s="160"/>
      <c r="BU792" s="160"/>
      <c r="BV792" s="160"/>
      <c r="BW792" s="160"/>
      <c r="BX792" s="160"/>
      <c r="BY792" s="160"/>
      <c r="BZ792" s="160"/>
      <c r="CA792" s="160"/>
      <c r="CB792" s="160"/>
      <c r="CC792" s="160"/>
      <c r="CD792" s="160"/>
      <c r="CE792" s="160"/>
      <c r="CF792" s="160"/>
    </row>
    <row r="793">
      <c r="D793" s="159"/>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c r="BD793" s="160"/>
      <c r="BE793" s="160"/>
      <c r="BF793" s="160"/>
      <c r="BG793" s="160"/>
      <c r="BH793" s="160"/>
      <c r="BI793" s="160"/>
      <c r="BJ793" s="160"/>
      <c r="BK793" s="160"/>
      <c r="BL793" s="160"/>
      <c r="BM793" s="160"/>
      <c r="BN793" s="160"/>
      <c r="BO793" s="160"/>
      <c r="BP793" s="160"/>
      <c r="BQ793" s="160"/>
      <c r="BR793" s="160"/>
      <c r="BS793" s="160"/>
      <c r="BT793" s="160"/>
      <c r="BU793" s="160"/>
      <c r="BV793" s="160"/>
      <c r="BW793" s="160"/>
      <c r="BX793" s="160"/>
      <c r="BY793" s="160"/>
      <c r="BZ793" s="160"/>
      <c r="CA793" s="160"/>
      <c r="CB793" s="160"/>
      <c r="CC793" s="160"/>
      <c r="CD793" s="160"/>
      <c r="CE793" s="160"/>
      <c r="CF793" s="160"/>
    </row>
    <row r="794">
      <c r="D794" s="159"/>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c r="BD794" s="160"/>
      <c r="BE794" s="160"/>
      <c r="BF794" s="160"/>
      <c r="BG794" s="160"/>
      <c r="BH794" s="160"/>
      <c r="BI794" s="160"/>
      <c r="BJ794" s="160"/>
      <c r="BK794" s="160"/>
      <c r="BL794" s="160"/>
      <c r="BM794" s="160"/>
      <c r="BN794" s="160"/>
      <c r="BO794" s="160"/>
      <c r="BP794" s="160"/>
      <c r="BQ794" s="160"/>
      <c r="BR794" s="160"/>
      <c r="BS794" s="160"/>
      <c r="BT794" s="160"/>
      <c r="BU794" s="160"/>
      <c r="BV794" s="160"/>
      <c r="BW794" s="160"/>
      <c r="BX794" s="160"/>
      <c r="BY794" s="160"/>
      <c r="BZ794" s="160"/>
      <c r="CA794" s="160"/>
      <c r="CB794" s="160"/>
      <c r="CC794" s="160"/>
      <c r="CD794" s="160"/>
      <c r="CE794" s="160"/>
      <c r="CF794" s="160"/>
    </row>
    <row r="795">
      <c r="D795" s="159"/>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c r="BD795" s="160"/>
      <c r="BE795" s="160"/>
      <c r="BF795" s="160"/>
      <c r="BG795" s="160"/>
      <c r="BH795" s="160"/>
      <c r="BI795" s="160"/>
      <c r="BJ795" s="160"/>
      <c r="BK795" s="160"/>
      <c r="BL795" s="160"/>
      <c r="BM795" s="160"/>
      <c r="BN795" s="160"/>
      <c r="BO795" s="160"/>
      <c r="BP795" s="160"/>
      <c r="BQ795" s="160"/>
      <c r="BR795" s="160"/>
      <c r="BS795" s="160"/>
      <c r="BT795" s="160"/>
      <c r="BU795" s="160"/>
      <c r="BV795" s="160"/>
      <c r="BW795" s="160"/>
      <c r="BX795" s="160"/>
      <c r="BY795" s="160"/>
      <c r="BZ795" s="160"/>
      <c r="CA795" s="160"/>
      <c r="CB795" s="160"/>
      <c r="CC795" s="160"/>
      <c r="CD795" s="160"/>
      <c r="CE795" s="160"/>
      <c r="CF795" s="160"/>
    </row>
    <row r="796">
      <c r="D796" s="159"/>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c r="BD796" s="160"/>
      <c r="BE796" s="160"/>
      <c r="BF796" s="160"/>
      <c r="BG796" s="160"/>
      <c r="BH796" s="160"/>
      <c r="BI796" s="160"/>
      <c r="BJ796" s="160"/>
      <c r="BK796" s="160"/>
      <c r="BL796" s="160"/>
      <c r="BM796" s="160"/>
      <c r="BN796" s="160"/>
      <c r="BO796" s="160"/>
      <c r="BP796" s="160"/>
      <c r="BQ796" s="160"/>
      <c r="BR796" s="160"/>
      <c r="BS796" s="160"/>
      <c r="BT796" s="160"/>
      <c r="BU796" s="160"/>
      <c r="BV796" s="160"/>
      <c r="BW796" s="160"/>
      <c r="BX796" s="160"/>
      <c r="BY796" s="160"/>
      <c r="BZ796" s="160"/>
      <c r="CA796" s="160"/>
      <c r="CB796" s="160"/>
      <c r="CC796" s="160"/>
      <c r="CD796" s="160"/>
      <c r="CE796" s="160"/>
      <c r="CF796" s="160"/>
    </row>
    <row r="797">
      <c r="D797" s="159"/>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c r="BD797" s="160"/>
      <c r="BE797" s="160"/>
      <c r="BF797" s="160"/>
      <c r="BG797" s="160"/>
      <c r="BH797" s="160"/>
      <c r="BI797" s="160"/>
      <c r="BJ797" s="160"/>
      <c r="BK797" s="160"/>
      <c r="BL797" s="160"/>
      <c r="BM797" s="160"/>
      <c r="BN797" s="160"/>
      <c r="BO797" s="160"/>
      <c r="BP797" s="160"/>
      <c r="BQ797" s="160"/>
      <c r="BR797" s="160"/>
      <c r="BS797" s="160"/>
      <c r="BT797" s="160"/>
      <c r="BU797" s="160"/>
      <c r="BV797" s="160"/>
      <c r="BW797" s="160"/>
      <c r="BX797" s="160"/>
      <c r="BY797" s="160"/>
      <c r="BZ797" s="160"/>
      <c r="CA797" s="160"/>
      <c r="CB797" s="160"/>
      <c r="CC797" s="160"/>
      <c r="CD797" s="160"/>
      <c r="CE797" s="160"/>
      <c r="CF797" s="160"/>
    </row>
    <row r="798">
      <c r="D798" s="159"/>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c r="BD798" s="160"/>
      <c r="BE798" s="160"/>
      <c r="BF798" s="160"/>
      <c r="BG798" s="160"/>
      <c r="BH798" s="160"/>
      <c r="BI798" s="160"/>
      <c r="BJ798" s="160"/>
      <c r="BK798" s="160"/>
      <c r="BL798" s="160"/>
      <c r="BM798" s="160"/>
      <c r="BN798" s="160"/>
      <c r="BO798" s="160"/>
      <c r="BP798" s="160"/>
      <c r="BQ798" s="160"/>
      <c r="BR798" s="160"/>
      <c r="BS798" s="160"/>
      <c r="BT798" s="160"/>
      <c r="BU798" s="160"/>
      <c r="BV798" s="160"/>
      <c r="BW798" s="160"/>
      <c r="BX798" s="160"/>
      <c r="BY798" s="160"/>
      <c r="BZ798" s="160"/>
      <c r="CA798" s="160"/>
      <c r="CB798" s="160"/>
      <c r="CC798" s="160"/>
      <c r="CD798" s="160"/>
      <c r="CE798" s="160"/>
      <c r="CF798" s="160"/>
    </row>
    <row r="799">
      <c r="D799" s="159"/>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c r="BD799" s="160"/>
      <c r="BE799" s="160"/>
      <c r="BF799" s="160"/>
      <c r="BG799" s="160"/>
      <c r="BH799" s="160"/>
      <c r="BI799" s="160"/>
      <c r="BJ799" s="160"/>
      <c r="BK799" s="160"/>
      <c r="BL799" s="160"/>
      <c r="BM799" s="160"/>
      <c r="BN799" s="160"/>
      <c r="BO799" s="160"/>
      <c r="BP799" s="160"/>
      <c r="BQ799" s="160"/>
      <c r="BR799" s="160"/>
      <c r="BS799" s="160"/>
      <c r="BT799" s="160"/>
      <c r="BU799" s="160"/>
      <c r="BV799" s="160"/>
      <c r="BW799" s="160"/>
      <c r="BX799" s="160"/>
      <c r="BY799" s="160"/>
      <c r="BZ799" s="160"/>
      <c r="CA799" s="160"/>
      <c r="CB799" s="160"/>
      <c r="CC799" s="160"/>
      <c r="CD799" s="160"/>
      <c r="CE799" s="160"/>
      <c r="CF799" s="160"/>
    </row>
    <row r="800">
      <c r="D800" s="159"/>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c r="BD800" s="160"/>
      <c r="BE800" s="160"/>
      <c r="BF800" s="160"/>
      <c r="BG800" s="160"/>
      <c r="BH800" s="160"/>
      <c r="BI800" s="160"/>
      <c r="BJ800" s="160"/>
      <c r="BK800" s="160"/>
      <c r="BL800" s="160"/>
      <c r="BM800" s="160"/>
      <c r="BN800" s="160"/>
      <c r="BO800" s="160"/>
      <c r="BP800" s="160"/>
      <c r="BQ800" s="160"/>
      <c r="BR800" s="160"/>
      <c r="BS800" s="160"/>
      <c r="BT800" s="160"/>
      <c r="BU800" s="160"/>
      <c r="BV800" s="160"/>
      <c r="BW800" s="160"/>
      <c r="BX800" s="160"/>
      <c r="BY800" s="160"/>
      <c r="BZ800" s="160"/>
      <c r="CA800" s="160"/>
      <c r="CB800" s="160"/>
      <c r="CC800" s="160"/>
      <c r="CD800" s="160"/>
      <c r="CE800" s="160"/>
      <c r="CF800" s="160"/>
    </row>
    <row r="801">
      <c r="D801" s="159"/>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c r="BD801" s="160"/>
      <c r="BE801" s="160"/>
      <c r="BF801" s="160"/>
      <c r="BG801" s="160"/>
      <c r="BH801" s="160"/>
      <c r="BI801" s="160"/>
      <c r="BJ801" s="160"/>
      <c r="BK801" s="160"/>
      <c r="BL801" s="160"/>
      <c r="BM801" s="160"/>
      <c r="BN801" s="160"/>
      <c r="BO801" s="160"/>
      <c r="BP801" s="160"/>
      <c r="BQ801" s="160"/>
      <c r="BR801" s="160"/>
      <c r="BS801" s="160"/>
      <c r="BT801" s="160"/>
      <c r="BU801" s="160"/>
      <c r="BV801" s="160"/>
      <c r="BW801" s="160"/>
      <c r="BX801" s="160"/>
      <c r="BY801" s="160"/>
      <c r="BZ801" s="160"/>
      <c r="CA801" s="160"/>
      <c r="CB801" s="160"/>
      <c r="CC801" s="160"/>
      <c r="CD801" s="160"/>
      <c r="CE801" s="160"/>
      <c r="CF801" s="160"/>
    </row>
    <row r="802">
      <c r="D802" s="159"/>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c r="BD802" s="160"/>
      <c r="BE802" s="160"/>
      <c r="BF802" s="160"/>
      <c r="BG802" s="160"/>
      <c r="BH802" s="160"/>
      <c r="BI802" s="160"/>
      <c r="BJ802" s="160"/>
      <c r="BK802" s="160"/>
      <c r="BL802" s="160"/>
      <c r="BM802" s="160"/>
      <c r="BN802" s="160"/>
      <c r="BO802" s="160"/>
      <c r="BP802" s="160"/>
      <c r="BQ802" s="160"/>
      <c r="BR802" s="160"/>
      <c r="BS802" s="160"/>
      <c r="BT802" s="160"/>
      <c r="BU802" s="160"/>
      <c r="BV802" s="160"/>
      <c r="BW802" s="160"/>
      <c r="BX802" s="160"/>
      <c r="BY802" s="160"/>
      <c r="BZ802" s="160"/>
      <c r="CA802" s="160"/>
      <c r="CB802" s="160"/>
      <c r="CC802" s="160"/>
      <c r="CD802" s="160"/>
      <c r="CE802" s="160"/>
      <c r="CF802" s="160"/>
    </row>
    <row r="803">
      <c r="D803" s="159"/>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c r="BD803" s="160"/>
      <c r="BE803" s="160"/>
      <c r="BF803" s="160"/>
      <c r="BG803" s="160"/>
      <c r="BH803" s="160"/>
      <c r="BI803" s="160"/>
      <c r="BJ803" s="160"/>
      <c r="BK803" s="160"/>
      <c r="BL803" s="160"/>
      <c r="BM803" s="160"/>
      <c r="BN803" s="160"/>
      <c r="BO803" s="160"/>
      <c r="BP803" s="160"/>
      <c r="BQ803" s="160"/>
      <c r="BR803" s="160"/>
      <c r="BS803" s="160"/>
      <c r="BT803" s="160"/>
      <c r="BU803" s="160"/>
      <c r="BV803" s="160"/>
      <c r="BW803" s="160"/>
      <c r="BX803" s="160"/>
      <c r="BY803" s="160"/>
      <c r="BZ803" s="160"/>
      <c r="CA803" s="160"/>
      <c r="CB803" s="160"/>
      <c r="CC803" s="160"/>
      <c r="CD803" s="160"/>
      <c r="CE803" s="160"/>
      <c r="CF803" s="160"/>
    </row>
    <row r="804">
      <c r="D804" s="159"/>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c r="BD804" s="160"/>
      <c r="BE804" s="160"/>
      <c r="BF804" s="160"/>
      <c r="BG804" s="160"/>
      <c r="BH804" s="160"/>
      <c r="BI804" s="160"/>
      <c r="BJ804" s="160"/>
      <c r="BK804" s="160"/>
      <c r="BL804" s="160"/>
      <c r="BM804" s="160"/>
      <c r="BN804" s="160"/>
      <c r="BO804" s="160"/>
      <c r="BP804" s="160"/>
      <c r="BQ804" s="160"/>
      <c r="BR804" s="160"/>
      <c r="BS804" s="160"/>
      <c r="BT804" s="160"/>
      <c r="BU804" s="160"/>
      <c r="BV804" s="160"/>
      <c r="BW804" s="160"/>
      <c r="BX804" s="160"/>
      <c r="BY804" s="160"/>
      <c r="BZ804" s="160"/>
      <c r="CA804" s="160"/>
      <c r="CB804" s="160"/>
      <c r="CC804" s="160"/>
      <c r="CD804" s="160"/>
      <c r="CE804" s="160"/>
      <c r="CF804" s="160"/>
    </row>
    <row r="805">
      <c r="D805" s="159"/>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c r="BD805" s="160"/>
      <c r="BE805" s="160"/>
      <c r="BF805" s="160"/>
      <c r="BG805" s="160"/>
      <c r="BH805" s="160"/>
      <c r="BI805" s="160"/>
      <c r="BJ805" s="160"/>
      <c r="BK805" s="160"/>
      <c r="BL805" s="160"/>
      <c r="BM805" s="160"/>
      <c r="BN805" s="160"/>
      <c r="BO805" s="160"/>
      <c r="BP805" s="160"/>
      <c r="BQ805" s="160"/>
      <c r="BR805" s="160"/>
      <c r="BS805" s="160"/>
      <c r="BT805" s="160"/>
      <c r="BU805" s="160"/>
      <c r="BV805" s="160"/>
      <c r="BW805" s="160"/>
      <c r="BX805" s="160"/>
      <c r="BY805" s="160"/>
      <c r="BZ805" s="160"/>
      <c r="CA805" s="160"/>
      <c r="CB805" s="160"/>
      <c r="CC805" s="160"/>
      <c r="CD805" s="160"/>
      <c r="CE805" s="160"/>
      <c r="CF805" s="160"/>
    </row>
    <row r="806">
      <c r="D806" s="159"/>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c r="BD806" s="160"/>
      <c r="BE806" s="160"/>
      <c r="BF806" s="160"/>
      <c r="BG806" s="160"/>
      <c r="BH806" s="160"/>
      <c r="BI806" s="160"/>
      <c r="BJ806" s="160"/>
      <c r="BK806" s="160"/>
      <c r="BL806" s="160"/>
      <c r="BM806" s="160"/>
      <c r="BN806" s="160"/>
      <c r="BO806" s="160"/>
      <c r="BP806" s="160"/>
      <c r="BQ806" s="160"/>
      <c r="BR806" s="160"/>
      <c r="BS806" s="160"/>
      <c r="BT806" s="160"/>
      <c r="BU806" s="160"/>
      <c r="BV806" s="160"/>
      <c r="BW806" s="160"/>
      <c r="BX806" s="160"/>
      <c r="BY806" s="160"/>
      <c r="BZ806" s="160"/>
      <c r="CA806" s="160"/>
      <c r="CB806" s="160"/>
      <c r="CC806" s="160"/>
      <c r="CD806" s="160"/>
      <c r="CE806" s="160"/>
      <c r="CF806" s="160"/>
    </row>
    <row r="807">
      <c r="D807" s="159"/>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c r="BD807" s="160"/>
      <c r="BE807" s="160"/>
      <c r="BF807" s="160"/>
      <c r="BG807" s="160"/>
      <c r="BH807" s="160"/>
      <c r="BI807" s="160"/>
      <c r="BJ807" s="160"/>
      <c r="BK807" s="160"/>
      <c r="BL807" s="160"/>
      <c r="BM807" s="160"/>
      <c r="BN807" s="160"/>
      <c r="BO807" s="160"/>
      <c r="BP807" s="160"/>
      <c r="BQ807" s="160"/>
      <c r="BR807" s="160"/>
      <c r="BS807" s="160"/>
      <c r="BT807" s="160"/>
      <c r="BU807" s="160"/>
      <c r="BV807" s="160"/>
      <c r="BW807" s="160"/>
      <c r="BX807" s="160"/>
      <c r="BY807" s="160"/>
      <c r="BZ807" s="160"/>
      <c r="CA807" s="160"/>
      <c r="CB807" s="160"/>
      <c r="CC807" s="160"/>
      <c r="CD807" s="160"/>
      <c r="CE807" s="160"/>
      <c r="CF807" s="160"/>
    </row>
    <row r="808">
      <c r="D808" s="159"/>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c r="BD808" s="160"/>
      <c r="BE808" s="160"/>
      <c r="BF808" s="160"/>
      <c r="BG808" s="160"/>
      <c r="BH808" s="160"/>
      <c r="BI808" s="160"/>
      <c r="BJ808" s="160"/>
      <c r="BK808" s="160"/>
      <c r="BL808" s="160"/>
      <c r="BM808" s="160"/>
      <c r="BN808" s="160"/>
      <c r="BO808" s="160"/>
      <c r="BP808" s="160"/>
      <c r="BQ808" s="160"/>
      <c r="BR808" s="160"/>
      <c r="BS808" s="160"/>
      <c r="BT808" s="160"/>
      <c r="BU808" s="160"/>
      <c r="BV808" s="160"/>
      <c r="BW808" s="160"/>
      <c r="BX808" s="160"/>
      <c r="BY808" s="160"/>
      <c r="BZ808" s="160"/>
      <c r="CA808" s="160"/>
      <c r="CB808" s="160"/>
      <c r="CC808" s="160"/>
      <c r="CD808" s="160"/>
      <c r="CE808" s="160"/>
      <c r="CF808" s="160"/>
    </row>
    <row r="809">
      <c r="D809" s="159"/>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c r="BD809" s="160"/>
      <c r="BE809" s="160"/>
      <c r="BF809" s="160"/>
      <c r="BG809" s="160"/>
      <c r="BH809" s="160"/>
      <c r="BI809" s="160"/>
      <c r="BJ809" s="160"/>
      <c r="BK809" s="160"/>
      <c r="BL809" s="160"/>
      <c r="BM809" s="160"/>
      <c r="BN809" s="160"/>
      <c r="BO809" s="160"/>
      <c r="BP809" s="160"/>
      <c r="BQ809" s="160"/>
      <c r="BR809" s="160"/>
      <c r="BS809" s="160"/>
      <c r="BT809" s="160"/>
      <c r="BU809" s="160"/>
      <c r="BV809" s="160"/>
      <c r="BW809" s="160"/>
      <c r="BX809" s="160"/>
      <c r="BY809" s="160"/>
      <c r="BZ809" s="160"/>
      <c r="CA809" s="160"/>
      <c r="CB809" s="160"/>
      <c r="CC809" s="160"/>
      <c r="CD809" s="160"/>
      <c r="CE809" s="160"/>
      <c r="CF809" s="160"/>
    </row>
    <row r="810">
      <c r="D810" s="159"/>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c r="BD810" s="160"/>
      <c r="BE810" s="160"/>
      <c r="BF810" s="160"/>
      <c r="BG810" s="160"/>
      <c r="BH810" s="160"/>
      <c r="BI810" s="160"/>
      <c r="BJ810" s="160"/>
      <c r="BK810" s="160"/>
      <c r="BL810" s="160"/>
      <c r="BM810" s="160"/>
      <c r="BN810" s="160"/>
      <c r="BO810" s="160"/>
      <c r="BP810" s="160"/>
      <c r="BQ810" s="160"/>
      <c r="BR810" s="160"/>
      <c r="BS810" s="160"/>
      <c r="BT810" s="160"/>
      <c r="BU810" s="160"/>
      <c r="BV810" s="160"/>
      <c r="BW810" s="160"/>
      <c r="BX810" s="160"/>
      <c r="BY810" s="160"/>
      <c r="BZ810" s="160"/>
      <c r="CA810" s="160"/>
      <c r="CB810" s="160"/>
      <c r="CC810" s="160"/>
      <c r="CD810" s="160"/>
      <c r="CE810" s="160"/>
      <c r="CF810" s="160"/>
    </row>
    <row r="811">
      <c r="D811" s="159"/>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c r="BD811" s="160"/>
      <c r="BE811" s="160"/>
      <c r="BF811" s="160"/>
      <c r="BG811" s="160"/>
      <c r="BH811" s="160"/>
      <c r="BI811" s="160"/>
      <c r="BJ811" s="160"/>
      <c r="BK811" s="160"/>
      <c r="BL811" s="160"/>
      <c r="BM811" s="160"/>
      <c r="BN811" s="160"/>
      <c r="BO811" s="160"/>
      <c r="BP811" s="160"/>
      <c r="BQ811" s="160"/>
      <c r="BR811" s="160"/>
      <c r="BS811" s="160"/>
      <c r="BT811" s="160"/>
      <c r="BU811" s="160"/>
      <c r="BV811" s="160"/>
      <c r="BW811" s="160"/>
      <c r="BX811" s="160"/>
      <c r="BY811" s="160"/>
      <c r="BZ811" s="160"/>
      <c r="CA811" s="160"/>
      <c r="CB811" s="160"/>
      <c r="CC811" s="160"/>
      <c r="CD811" s="160"/>
      <c r="CE811" s="160"/>
      <c r="CF811" s="160"/>
    </row>
    <row r="812">
      <c r="D812" s="159"/>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c r="BD812" s="160"/>
      <c r="BE812" s="160"/>
      <c r="BF812" s="160"/>
      <c r="BG812" s="160"/>
      <c r="BH812" s="160"/>
      <c r="BI812" s="160"/>
      <c r="BJ812" s="160"/>
      <c r="BK812" s="160"/>
      <c r="BL812" s="160"/>
      <c r="BM812" s="160"/>
      <c r="BN812" s="160"/>
      <c r="BO812" s="160"/>
      <c r="BP812" s="160"/>
      <c r="BQ812" s="160"/>
      <c r="BR812" s="160"/>
      <c r="BS812" s="160"/>
      <c r="BT812" s="160"/>
      <c r="BU812" s="160"/>
      <c r="BV812" s="160"/>
      <c r="BW812" s="160"/>
      <c r="BX812" s="160"/>
      <c r="BY812" s="160"/>
      <c r="BZ812" s="160"/>
      <c r="CA812" s="160"/>
      <c r="CB812" s="160"/>
      <c r="CC812" s="160"/>
      <c r="CD812" s="160"/>
      <c r="CE812" s="160"/>
      <c r="CF812" s="160"/>
    </row>
    <row r="813">
      <c r="D813" s="159"/>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c r="BD813" s="160"/>
      <c r="BE813" s="160"/>
      <c r="BF813" s="160"/>
      <c r="BG813" s="160"/>
      <c r="BH813" s="160"/>
      <c r="BI813" s="160"/>
      <c r="BJ813" s="160"/>
      <c r="BK813" s="160"/>
      <c r="BL813" s="160"/>
      <c r="BM813" s="160"/>
      <c r="BN813" s="160"/>
      <c r="BO813" s="160"/>
      <c r="BP813" s="160"/>
      <c r="BQ813" s="160"/>
      <c r="BR813" s="160"/>
      <c r="BS813" s="160"/>
      <c r="BT813" s="160"/>
      <c r="BU813" s="160"/>
      <c r="BV813" s="160"/>
      <c r="BW813" s="160"/>
      <c r="BX813" s="160"/>
      <c r="BY813" s="160"/>
      <c r="BZ813" s="160"/>
      <c r="CA813" s="160"/>
      <c r="CB813" s="160"/>
      <c r="CC813" s="160"/>
      <c r="CD813" s="160"/>
      <c r="CE813" s="160"/>
      <c r="CF813" s="160"/>
    </row>
    <row r="814">
      <c r="D814" s="159"/>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c r="BD814" s="160"/>
      <c r="BE814" s="160"/>
      <c r="BF814" s="160"/>
      <c r="BG814" s="160"/>
      <c r="BH814" s="160"/>
      <c r="BI814" s="160"/>
      <c r="BJ814" s="160"/>
      <c r="BK814" s="160"/>
      <c r="BL814" s="160"/>
      <c r="BM814" s="160"/>
      <c r="BN814" s="160"/>
      <c r="BO814" s="160"/>
      <c r="BP814" s="160"/>
      <c r="BQ814" s="160"/>
      <c r="BR814" s="160"/>
      <c r="BS814" s="160"/>
      <c r="BT814" s="160"/>
      <c r="BU814" s="160"/>
      <c r="BV814" s="160"/>
      <c r="BW814" s="160"/>
      <c r="BX814" s="160"/>
      <c r="BY814" s="160"/>
      <c r="BZ814" s="160"/>
      <c r="CA814" s="160"/>
      <c r="CB814" s="160"/>
      <c r="CC814" s="160"/>
      <c r="CD814" s="160"/>
      <c r="CE814" s="160"/>
      <c r="CF814" s="160"/>
    </row>
    <row r="815">
      <c r="D815" s="159"/>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c r="BD815" s="160"/>
      <c r="BE815" s="160"/>
      <c r="BF815" s="160"/>
      <c r="BG815" s="160"/>
      <c r="BH815" s="160"/>
      <c r="BI815" s="160"/>
      <c r="BJ815" s="160"/>
      <c r="BK815" s="160"/>
      <c r="BL815" s="160"/>
      <c r="BM815" s="160"/>
      <c r="BN815" s="160"/>
      <c r="BO815" s="160"/>
      <c r="BP815" s="160"/>
      <c r="BQ815" s="160"/>
      <c r="BR815" s="160"/>
      <c r="BS815" s="160"/>
      <c r="BT815" s="160"/>
      <c r="BU815" s="160"/>
      <c r="BV815" s="160"/>
      <c r="BW815" s="160"/>
      <c r="BX815" s="160"/>
      <c r="BY815" s="160"/>
      <c r="BZ815" s="160"/>
      <c r="CA815" s="160"/>
      <c r="CB815" s="160"/>
      <c r="CC815" s="160"/>
      <c r="CD815" s="160"/>
      <c r="CE815" s="160"/>
      <c r="CF815" s="160"/>
    </row>
    <row r="816">
      <c r="D816" s="159"/>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c r="BD816" s="160"/>
      <c r="BE816" s="160"/>
      <c r="BF816" s="160"/>
      <c r="BG816" s="160"/>
      <c r="BH816" s="160"/>
      <c r="BI816" s="160"/>
      <c r="BJ816" s="160"/>
      <c r="BK816" s="160"/>
      <c r="BL816" s="160"/>
      <c r="BM816" s="160"/>
      <c r="BN816" s="160"/>
      <c r="BO816" s="160"/>
      <c r="BP816" s="160"/>
      <c r="BQ816" s="160"/>
      <c r="BR816" s="160"/>
      <c r="BS816" s="160"/>
      <c r="BT816" s="160"/>
      <c r="BU816" s="160"/>
      <c r="BV816" s="160"/>
      <c r="BW816" s="160"/>
      <c r="BX816" s="160"/>
      <c r="BY816" s="160"/>
      <c r="BZ816" s="160"/>
      <c r="CA816" s="160"/>
      <c r="CB816" s="160"/>
      <c r="CC816" s="160"/>
      <c r="CD816" s="160"/>
      <c r="CE816" s="160"/>
      <c r="CF816" s="160"/>
    </row>
    <row r="817">
      <c r="D817" s="159"/>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c r="BD817" s="160"/>
      <c r="BE817" s="160"/>
      <c r="BF817" s="160"/>
      <c r="BG817" s="160"/>
      <c r="BH817" s="160"/>
      <c r="BI817" s="160"/>
      <c r="BJ817" s="160"/>
      <c r="BK817" s="160"/>
      <c r="BL817" s="160"/>
      <c r="BM817" s="160"/>
      <c r="BN817" s="160"/>
      <c r="BO817" s="160"/>
      <c r="BP817" s="160"/>
      <c r="BQ817" s="160"/>
      <c r="BR817" s="160"/>
      <c r="BS817" s="160"/>
      <c r="BT817" s="160"/>
      <c r="BU817" s="160"/>
      <c r="BV817" s="160"/>
      <c r="BW817" s="160"/>
      <c r="BX817" s="160"/>
      <c r="BY817" s="160"/>
      <c r="BZ817" s="160"/>
      <c r="CA817" s="160"/>
      <c r="CB817" s="160"/>
      <c r="CC817" s="160"/>
      <c r="CD817" s="160"/>
      <c r="CE817" s="160"/>
      <c r="CF817" s="160"/>
    </row>
    <row r="818">
      <c r="D818" s="159"/>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c r="BD818" s="160"/>
      <c r="BE818" s="160"/>
      <c r="BF818" s="160"/>
      <c r="BG818" s="160"/>
      <c r="BH818" s="160"/>
      <c r="BI818" s="160"/>
      <c r="BJ818" s="160"/>
      <c r="BK818" s="160"/>
      <c r="BL818" s="160"/>
      <c r="BM818" s="160"/>
      <c r="BN818" s="160"/>
      <c r="BO818" s="160"/>
      <c r="BP818" s="160"/>
      <c r="BQ818" s="160"/>
      <c r="BR818" s="160"/>
      <c r="BS818" s="160"/>
      <c r="BT818" s="160"/>
      <c r="BU818" s="160"/>
      <c r="BV818" s="160"/>
      <c r="BW818" s="160"/>
      <c r="BX818" s="160"/>
      <c r="BY818" s="160"/>
      <c r="BZ818" s="160"/>
      <c r="CA818" s="160"/>
      <c r="CB818" s="160"/>
      <c r="CC818" s="160"/>
      <c r="CD818" s="160"/>
      <c r="CE818" s="160"/>
      <c r="CF818" s="160"/>
    </row>
    <row r="819">
      <c r="D819" s="159"/>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c r="BD819" s="160"/>
      <c r="BE819" s="160"/>
      <c r="BF819" s="160"/>
      <c r="BG819" s="160"/>
      <c r="BH819" s="160"/>
      <c r="BI819" s="160"/>
      <c r="BJ819" s="160"/>
      <c r="BK819" s="160"/>
      <c r="BL819" s="160"/>
      <c r="BM819" s="160"/>
      <c r="BN819" s="160"/>
      <c r="BO819" s="160"/>
      <c r="BP819" s="160"/>
      <c r="BQ819" s="160"/>
      <c r="BR819" s="160"/>
      <c r="BS819" s="160"/>
      <c r="BT819" s="160"/>
      <c r="BU819" s="160"/>
      <c r="BV819" s="160"/>
      <c r="BW819" s="160"/>
      <c r="BX819" s="160"/>
      <c r="BY819" s="160"/>
      <c r="BZ819" s="160"/>
      <c r="CA819" s="160"/>
      <c r="CB819" s="160"/>
      <c r="CC819" s="160"/>
      <c r="CD819" s="160"/>
      <c r="CE819" s="160"/>
      <c r="CF819" s="160"/>
    </row>
    <row r="820">
      <c r="D820" s="159"/>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c r="AQ820" s="160"/>
      <c r="AR820" s="160"/>
      <c r="AS820" s="160"/>
      <c r="AT820" s="160"/>
      <c r="AU820" s="160"/>
      <c r="AV820" s="160"/>
      <c r="AW820" s="160"/>
      <c r="AX820" s="160"/>
      <c r="AY820" s="160"/>
      <c r="AZ820" s="160"/>
      <c r="BA820" s="160"/>
      <c r="BB820" s="160"/>
      <c r="BC820" s="160"/>
      <c r="BD820" s="160"/>
      <c r="BE820" s="160"/>
      <c r="BF820" s="160"/>
      <c r="BG820" s="160"/>
      <c r="BH820" s="160"/>
      <c r="BI820" s="160"/>
      <c r="BJ820" s="160"/>
      <c r="BK820" s="160"/>
      <c r="BL820" s="160"/>
      <c r="BM820" s="160"/>
      <c r="BN820" s="160"/>
      <c r="BO820" s="160"/>
      <c r="BP820" s="160"/>
      <c r="BQ820" s="160"/>
      <c r="BR820" s="160"/>
      <c r="BS820" s="160"/>
      <c r="BT820" s="160"/>
      <c r="BU820" s="160"/>
      <c r="BV820" s="160"/>
      <c r="BW820" s="160"/>
      <c r="BX820" s="160"/>
      <c r="BY820" s="160"/>
      <c r="BZ820" s="160"/>
      <c r="CA820" s="160"/>
      <c r="CB820" s="160"/>
      <c r="CC820" s="160"/>
      <c r="CD820" s="160"/>
      <c r="CE820" s="160"/>
      <c r="CF820" s="160"/>
    </row>
    <row r="821">
      <c r="D821" s="159"/>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c r="BD821" s="160"/>
      <c r="BE821" s="160"/>
      <c r="BF821" s="160"/>
      <c r="BG821" s="160"/>
      <c r="BH821" s="160"/>
      <c r="BI821" s="160"/>
      <c r="BJ821" s="160"/>
      <c r="BK821" s="160"/>
      <c r="BL821" s="160"/>
      <c r="BM821" s="160"/>
      <c r="BN821" s="160"/>
      <c r="BO821" s="160"/>
      <c r="BP821" s="160"/>
      <c r="BQ821" s="160"/>
      <c r="BR821" s="160"/>
      <c r="BS821" s="160"/>
      <c r="BT821" s="160"/>
      <c r="BU821" s="160"/>
      <c r="BV821" s="160"/>
      <c r="BW821" s="160"/>
      <c r="BX821" s="160"/>
      <c r="BY821" s="160"/>
      <c r="BZ821" s="160"/>
      <c r="CA821" s="160"/>
      <c r="CB821" s="160"/>
      <c r="CC821" s="160"/>
      <c r="CD821" s="160"/>
      <c r="CE821" s="160"/>
      <c r="CF821" s="160"/>
    </row>
    <row r="822">
      <c r="D822" s="159"/>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c r="BD822" s="160"/>
      <c r="BE822" s="160"/>
      <c r="BF822" s="160"/>
      <c r="BG822" s="160"/>
      <c r="BH822" s="160"/>
      <c r="BI822" s="160"/>
      <c r="BJ822" s="160"/>
      <c r="BK822" s="160"/>
      <c r="BL822" s="160"/>
      <c r="BM822" s="160"/>
      <c r="BN822" s="160"/>
      <c r="BO822" s="160"/>
      <c r="BP822" s="160"/>
      <c r="BQ822" s="160"/>
      <c r="BR822" s="160"/>
      <c r="BS822" s="160"/>
      <c r="BT822" s="160"/>
      <c r="BU822" s="160"/>
      <c r="BV822" s="160"/>
      <c r="BW822" s="160"/>
      <c r="BX822" s="160"/>
      <c r="BY822" s="160"/>
      <c r="BZ822" s="160"/>
      <c r="CA822" s="160"/>
      <c r="CB822" s="160"/>
      <c r="CC822" s="160"/>
      <c r="CD822" s="160"/>
      <c r="CE822" s="160"/>
      <c r="CF822" s="160"/>
    </row>
    <row r="823">
      <c r="D823" s="159"/>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c r="BD823" s="160"/>
      <c r="BE823" s="160"/>
      <c r="BF823" s="160"/>
      <c r="BG823" s="160"/>
      <c r="BH823" s="160"/>
      <c r="BI823" s="160"/>
      <c r="BJ823" s="160"/>
      <c r="BK823" s="160"/>
      <c r="BL823" s="160"/>
      <c r="BM823" s="160"/>
      <c r="BN823" s="160"/>
      <c r="BO823" s="160"/>
      <c r="BP823" s="160"/>
      <c r="BQ823" s="160"/>
      <c r="BR823" s="160"/>
      <c r="BS823" s="160"/>
      <c r="BT823" s="160"/>
      <c r="BU823" s="160"/>
      <c r="BV823" s="160"/>
      <c r="BW823" s="160"/>
      <c r="BX823" s="160"/>
      <c r="BY823" s="160"/>
      <c r="BZ823" s="160"/>
      <c r="CA823" s="160"/>
      <c r="CB823" s="160"/>
      <c r="CC823" s="160"/>
      <c r="CD823" s="160"/>
      <c r="CE823" s="160"/>
      <c r="CF823" s="160"/>
    </row>
    <row r="824">
      <c r="D824" s="159"/>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c r="BD824" s="160"/>
      <c r="BE824" s="160"/>
      <c r="BF824" s="160"/>
      <c r="BG824" s="160"/>
      <c r="BH824" s="160"/>
      <c r="BI824" s="160"/>
      <c r="BJ824" s="160"/>
      <c r="BK824" s="160"/>
      <c r="BL824" s="160"/>
      <c r="BM824" s="160"/>
      <c r="BN824" s="160"/>
      <c r="BO824" s="160"/>
      <c r="BP824" s="160"/>
      <c r="BQ824" s="160"/>
      <c r="BR824" s="160"/>
      <c r="BS824" s="160"/>
      <c r="BT824" s="160"/>
      <c r="BU824" s="160"/>
      <c r="BV824" s="160"/>
      <c r="BW824" s="160"/>
      <c r="BX824" s="160"/>
      <c r="BY824" s="160"/>
      <c r="BZ824" s="160"/>
      <c r="CA824" s="160"/>
      <c r="CB824" s="160"/>
      <c r="CC824" s="160"/>
      <c r="CD824" s="160"/>
      <c r="CE824" s="160"/>
      <c r="CF824" s="160"/>
    </row>
    <row r="825">
      <c r="D825" s="159"/>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c r="BD825" s="160"/>
      <c r="BE825" s="160"/>
      <c r="BF825" s="160"/>
      <c r="BG825" s="160"/>
      <c r="BH825" s="160"/>
      <c r="BI825" s="160"/>
      <c r="BJ825" s="160"/>
      <c r="BK825" s="160"/>
      <c r="BL825" s="160"/>
      <c r="BM825" s="160"/>
      <c r="BN825" s="160"/>
      <c r="BO825" s="160"/>
      <c r="BP825" s="160"/>
      <c r="BQ825" s="160"/>
      <c r="BR825" s="160"/>
      <c r="BS825" s="160"/>
      <c r="BT825" s="160"/>
      <c r="BU825" s="160"/>
      <c r="BV825" s="160"/>
      <c r="BW825" s="160"/>
      <c r="BX825" s="160"/>
      <c r="BY825" s="160"/>
      <c r="BZ825" s="160"/>
      <c r="CA825" s="160"/>
      <c r="CB825" s="160"/>
      <c r="CC825" s="160"/>
      <c r="CD825" s="160"/>
      <c r="CE825" s="160"/>
      <c r="CF825" s="160"/>
    </row>
    <row r="826">
      <c r="D826" s="159"/>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c r="BD826" s="160"/>
      <c r="BE826" s="160"/>
      <c r="BF826" s="160"/>
      <c r="BG826" s="160"/>
      <c r="BH826" s="160"/>
      <c r="BI826" s="160"/>
      <c r="BJ826" s="160"/>
      <c r="BK826" s="160"/>
      <c r="BL826" s="160"/>
      <c r="BM826" s="160"/>
      <c r="BN826" s="160"/>
      <c r="BO826" s="160"/>
      <c r="BP826" s="160"/>
      <c r="BQ826" s="160"/>
      <c r="BR826" s="160"/>
      <c r="BS826" s="160"/>
      <c r="BT826" s="160"/>
      <c r="BU826" s="160"/>
      <c r="BV826" s="160"/>
      <c r="BW826" s="160"/>
      <c r="BX826" s="160"/>
      <c r="BY826" s="160"/>
      <c r="BZ826" s="160"/>
      <c r="CA826" s="160"/>
      <c r="CB826" s="160"/>
      <c r="CC826" s="160"/>
      <c r="CD826" s="160"/>
      <c r="CE826" s="160"/>
      <c r="CF826" s="160"/>
    </row>
    <row r="827">
      <c r="D827" s="159"/>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c r="BD827" s="160"/>
      <c r="BE827" s="160"/>
      <c r="BF827" s="160"/>
      <c r="BG827" s="160"/>
      <c r="BH827" s="160"/>
      <c r="BI827" s="160"/>
      <c r="BJ827" s="160"/>
      <c r="BK827" s="160"/>
      <c r="BL827" s="160"/>
      <c r="BM827" s="160"/>
      <c r="BN827" s="160"/>
      <c r="BO827" s="160"/>
      <c r="BP827" s="160"/>
      <c r="BQ827" s="160"/>
      <c r="BR827" s="160"/>
      <c r="BS827" s="160"/>
      <c r="BT827" s="160"/>
      <c r="BU827" s="160"/>
      <c r="BV827" s="160"/>
      <c r="BW827" s="160"/>
      <c r="BX827" s="160"/>
      <c r="BY827" s="160"/>
      <c r="BZ827" s="160"/>
      <c r="CA827" s="160"/>
      <c r="CB827" s="160"/>
      <c r="CC827" s="160"/>
      <c r="CD827" s="160"/>
      <c r="CE827" s="160"/>
      <c r="CF827" s="160"/>
    </row>
    <row r="828">
      <c r="D828" s="159"/>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c r="BD828" s="160"/>
      <c r="BE828" s="160"/>
      <c r="BF828" s="160"/>
      <c r="BG828" s="160"/>
      <c r="BH828" s="160"/>
      <c r="BI828" s="160"/>
      <c r="BJ828" s="160"/>
      <c r="BK828" s="160"/>
      <c r="BL828" s="160"/>
      <c r="BM828" s="160"/>
      <c r="BN828" s="160"/>
      <c r="BO828" s="160"/>
      <c r="BP828" s="160"/>
      <c r="BQ828" s="160"/>
      <c r="BR828" s="160"/>
      <c r="BS828" s="160"/>
      <c r="BT828" s="160"/>
      <c r="BU828" s="160"/>
      <c r="BV828" s="160"/>
      <c r="BW828" s="160"/>
      <c r="BX828" s="160"/>
      <c r="BY828" s="160"/>
      <c r="BZ828" s="160"/>
      <c r="CA828" s="160"/>
      <c r="CB828" s="160"/>
      <c r="CC828" s="160"/>
      <c r="CD828" s="160"/>
      <c r="CE828" s="160"/>
      <c r="CF828" s="160"/>
    </row>
    <row r="829">
      <c r="D829" s="159"/>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c r="BD829" s="160"/>
      <c r="BE829" s="160"/>
      <c r="BF829" s="160"/>
      <c r="BG829" s="160"/>
      <c r="BH829" s="160"/>
      <c r="BI829" s="160"/>
      <c r="BJ829" s="160"/>
      <c r="BK829" s="160"/>
      <c r="BL829" s="160"/>
      <c r="BM829" s="160"/>
      <c r="BN829" s="160"/>
      <c r="BO829" s="160"/>
      <c r="BP829" s="160"/>
      <c r="BQ829" s="160"/>
      <c r="BR829" s="160"/>
      <c r="BS829" s="160"/>
      <c r="BT829" s="160"/>
      <c r="BU829" s="160"/>
      <c r="BV829" s="160"/>
      <c r="BW829" s="160"/>
      <c r="BX829" s="160"/>
      <c r="BY829" s="160"/>
      <c r="BZ829" s="160"/>
      <c r="CA829" s="160"/>
      <c r="CB829" s="160"/>
      <c r="CC829" s="160"/>
      <c r="CD829" s="160"/>
      <c r="CE829" s="160"/>
      <c r="CF829" s="160"/>
    </row>
    <row r="830">
      <c r="D830" s="159"/>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c r="BD830" s="160"/>
      <c r="BE830" s="160"/>
      <c r="BF830" s="160"/>
      <c r="BG830" s="160"/>
      <c r="BH830" s="160"/>
      <c r="BI830" s="160"/>
      <c r="BJ830" s="160"/>
      <c r="BK830" s="160"/>
      <c r="BL830" s="160"/>
      <c r="BM830" s="160"/>
      <c r="BN830" s="160"/>
      <c r="BO830" s="160"/>
      <c r="BP830" s="160"/>
      <c r="BQ830" s="160"/>
      <c r="BR830" s="160"/>
      <c r="BS830" s="160"/>
      <c r="BT830" s="160"/>
      <c r="BU830" s="160"/>
      <c r="BV830" s="160"/>
      <c r="BW830" s="160"/>
      <c r="BX830" s="160"/>
      <c r="BY830" s="160"/>
      <c r="BZ830" s="160"/>
      <c r="CA830" s="160"/>
      <c r="CB830" s="160"/>
      <c r="CC830" s="160"/>
      <c r="CD830" s="160"/>
      <c r="CE830" s="160"/>
      <c r="CF830" s="160"/>
    </row>
    <row r="831">
      <c r="D831" s="159"/>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c r="BD831" s="160"/>
      <c r="BE831" s="160"/>
      <c r="BF831" s="160"/>
      <c r="BG831" s="160"/>
      <c r="BH831" s="160"/>
      <c r="BI831" s="160"/>
      <c r="BJ831" s="160"/>
      <c r="BK831" s="160"/>
      <c r="BL831" s="160"/>
      <c r="BM831" s="160"/>
      <c r="BN831" s="160"/>
      <c r="BO831" s="160"/>
      <c r="BP831" s="160"/>
      <c r="BQ831" s="160"/>
      <c r="BR831" s="160"/>
      <c r="BS831" s="160"/>
      <c r="BT831" s="160"/>
      <c r="BU831" s="160"/>
      <c r="BV831" s="160"/>
      <c r="BW831" s="160"/>
      <c r="BX831" s="160"/>
      <c r="BY831" s="160"/>
      <c r="BZ831" s="160"/>
      <c r="CA831" s="160"/>
      <c r="CB831" s="160"/>
      <c r="CC831" s="160"/>
      <c r="CD831" s="160"/>
      <c r="CE831" s="160"/>
      <c r="CF831" s="160"/>
    </row>
    <row r="832">
      <c r="D832" s="159"/>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c r="BD832" s="160"/>
      <c r="BE832" s="160"/>
      <c r="BF832" s="160"/>
      <c r="BG832" s="160"/>
      <c r="BH832" s="160"/>
      <c r="BI832" s="160"/>
      <c r="BJ832" s="160"/>
      <c r="BK832" s="160"/>
      <c r="BL832" s="160"/>
      <c r="BM832" s="160"/>
      <c r="BN832" s="160"/>
      <c r="BO832" s="160"/>
      <c r="BP832" s="160"/>
      <c r="BQ832" s="160"/>
      <c r="BR832" s="160"/>
      <c r="BS832" s="160"/>
      <c r="BT832" s="160"/>
      <c r="BU832" s="160"/>
      <c r="BV832" s="160"/>
      <c r="BW832" s="160"/>
      <c r="BX832" s="160"/>
      <c r="BY832" s="160"/>
      <c r="BZ832" s="160"/>
      <c r="CA832" s="160"/>
      <c r="CB832" s="160"/>
      <c r="CC832" s="160"/>
      <c r="CD832" s="160"/>
      <c r="CE832" s="160"/>
      <c r="CF832" s="160"/>
    </row>
    <row r="833">
      <c r="D833" s="159"/>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c r="BD833" s="160"/>
      <c r="BE833" s="160"/>
      <c r="BF833" s="160"/>
      <c r="BG833" s="160"/>
      <c r="BH833" s="160"/>
      <c r="BI833" s="160"/>
      <c r="BJ833" s="160"/>
      <c r="BK833" s="160"/>
      <c r="BL833" s="160"/>
      <c r="BM833" s="160"/>
      <c r="BN833" s="160"/>
      <c r="BO833" s="160"/>
      <c r="BP833" s="160"/>
      <c r="BQ833" s="160"/>
      <c r="BR833" s="160"/>
      <c r="BS833" s="160"/>
      <c r="BT833" s="160"/>
      <c r="BU833" s="160"/>
      <c r="BV833" s="160"/>
      <c r="BW833" s="160"/>
      <c r="BX833" s="160"/>
      <c r="BY833" s="160"/>
      <c r="BZ833" s="160"/>
      <c r="CA833" s="160"/>
      <c r="CB833" s="160"/>
      <c r="CC833" s="160"/>
      <c r="CD833" s="160"/>
      <c r="CE833" s="160"/>
      <c r="CF833" s="160"/>
    </row>
    <row r="834">
      <c r="D834" s="159"/>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c r="BD834" s="160"/>
      <c r="BE834" s="160"/>
      <c r="BF834" s="160"/>
      <c r="BG834" s="160"/>
      <c r="BH834" s="160"/>
      <c r="BI834" s="160"/>
      <c r="BJ834" s="160"/>
      <c r="BK834" s="160"/>
      <c r="BL834" s="160"/>
      <c r="BM834" s="160"/>
      <c r="BN834" s="160"/>
      <c r="BO834" s="160"/>
      <c r="BP834" s="160"/>
      <c r="BQ834" s="160"/>
      <c r="BR834" s="160"/>
      <c r="BS834" s="160"/>
      <c r="BT834" s="160"/>
      <c r="BU834" s="160"/>
      <c r="BV834" s="160"/>
      <c r="BW834" s="160"/>
      <c r="BX834" s="160"/>
      <c r="BY834" s="160"/>
      <c r="BZ834" s="160"/>
      <c r="CA834" s="160"/>
      <c r="CB834" s="160"/>
      <c r="CC834" s="160"/>
      <c r="CD834" s="160"/>
      <c r="CE834" s="160"/>
      <c r="CF834" s="160"/>
    </row>
    <row r="835">
      <c r="D835" s="159"/>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c r="BD835" s="160"/>
      <c r="BE835" s="160"/>
      <c r="BF835" s="160"/>
      <c r="BG835" s="160"/>
      <c r="BH835" s="160"/>
      <c r="BI835" s="160"/>
      <c r="BJ835" s="160"/>
      <c r="BK835" s="160"/>
      <c r="BL835" s="160"/>
      <c r="BM835" s="160"/>
      <c r="BN835" s="160"/>
      <c r="BO835" s="160"/>
      <c r="BP835" s="160"/>
      <c r="BQ835" s="160"/>
      <c r="BR835" s="160"/>
      <c r="BS835" s="160"/>
      <c r="BT835" s="160"/>
      <c r="BU835" s="160"/>
      <c r="BV835" s="160"/>
      <c r="BW835" s="160"/>
      <c r="BX835" s="160"/>
      <c r="BY835" s="160"/>
      <c r="BZ835" s="160"/>
      <c r="CA835" s="160"/>
      <c r="CB835" s="160"/>
      <c r="CC835" s="160"/>
      <c r="CD835" s="160"/>
      <c r="CE835" s="160"/>
      <c r="CF835" s="160"/>
    </row>
    <row r="836">
      <c r="D836" s="159"/>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c r="BD836" s="160"/>
      <c r="BE836" s="160"/>
      <c r="BF836" s="160"/>
      <c r="BG836" s="160"/>
      <c r="BH836" s="160"/>
      <c r="BI836" s="160"/>
      <c r="BJ836" s="160"/>
      <c r="BK836" s="160"/>
      <c r="BL836" s="160"/>
      <c r="BM836" s="160"/>
      <c r="BN836" s="160"/>
      <c r="BO836" s="160"/>
      <c r="BP836" s="160"/>
      <c r="BQ836" s="160"/>
      <c r="BR836" s="160"/>
      <c r="BS836" s="160"/>
      <c r="BT836" s="160"/>
      <c r="BU836" s="160"/>
      <c r="BV836" s="160"/>
      <c r="BW836" s="160"/>
      <c r="BX836" s="160"/>
      <c r="BY836" s="160"/>
      <c r="BZ836" s="160"/>
      <c r="CA836" s="160"/>
      <c r="CB836" s="160"/>
      <c r="CC836" s="160"/>
      <c r="CD836" s="160"/>
      <c r="CE836" s="160"/>
      <c r="CF836" s="160"/>
    </row>
    <row r="837">
      <c r="D837" s="159"/>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c r="BD837" s="160"/>
      <c r="BE837" s="160"/>
      <c r="BF837" s="160"/>
      <c r="BG837" s="160"/>
      <c r="BH837" s="160"/>
      <c r="BI837" s="160"/>
      <c r="BJ837" s="160"/>
      <c r="BK837" s="160"/>
      <c r="BL837" s="160"/>
      <c r="BM837" s="160"/>
      <c r="BN837" s="160"/>
      <c r="BO837" s="160"/>
      <c r="BP837" s="160"/>
      <c r="BQ837" s="160"/>
      <c r="BR837" s="160"/>
      <c r="BS837" s="160"/>
      <c r="BT837" s="160"/>
      <c r="BU837" s="160"/>
      <c r="BV837" s="160"/>
      <c r="BW837" s="160"/>
      <c r="BX837" s="160"/>
      <c r="BY837" s="160"/>
      <c r="BZ837" s="160"/>
      <c r="CA837" s="160"/>
      <c r="CB837" s="160"/>
      <c r="CC837" s="160"/>
      <c r="CD837" s="160"/>
      <c r="CE837" s="160"/>
      <c r="CF837" s="160"/>
    </row>
    <row r="838">
      <c r="D838" s="159"/>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c r="BD838" s="160"/>
      <c r="BE838" s="160"/>
      <c r="BF838" s="160"/>
      <c r="BG838" s="160"/>
      <c r="BH838" s="160"/>
      <c r="BI838" s="160"/>
      <c r="BJ838" s="160"/>
      <c r="BK838" s="160"/>
      <c r="BL838" s="160"/>
      <c r="BM838" s="160"/>
      <c r="BN838" s="160"/>
      <c r="BO838" s="160"/>
      <c r="BP838" s="160"/>
      <c r="BQ838" s="160"/>
      <c r="BR838" s="160"/>
      <c r="BS838" s="160"/>
      <c r="BT838" s="160"/>
      <c r="BU838" s="160"/>
      <c r="BV838" s="160"/>
      <c r="BW838" s="160"/>
      <c r="BX838" s="160"/>
      <c r="BY838" s="160"/>
      <c r="BZ838" s="160"/>
      <c r="CA838" s="160"/>
      <c r="CB838" s="160"/>
      <c r="CC838" s="160"/>
      <c r="CD838" s="160"/>
      <c r="CE838" s="160"/>
      <c r="CF838" s="160"/>
    </row>
    <row r="839">
      <c r="D839" s="159"/>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c r="BD839" s="160"/>
      <c r="BE839" s="160"/>
      <c r="BF839" s="160"/>
      <c r="BG839" s="160"/>
      <c r="BH839" s="160"/>
      <c r="BI839" s="160"/>
      <c r="BJ839" s="160"/>
      <c r="BK839" s="160"/>
      <c r="BL839" s="160"/>
      <c r="BM839" s="160"/>
      <c r="BN839" s="160"/>
      <c r="BO839" s="160"/>
      <c r="BP839" s="160"/>
      <c r="BQ839" s="160"/>
      <c r="BR839" s="160"/>
      <c r="BS839" s="160"/>
      <c r="BT839" s="160"/>
      <c r="BU839" s="160"/>
      <c r="BV839" s="160"/>
      <c r="BW839" s="160"/>
      <c r="BX839" s="160"/>
      <c r="BY839" s="160"/>
      <c r="BZ839" s="160"/>
      <c r="CA839" s="160"/>
      <c r="CB839" s="160"/>
      <c r="CC839" s="160"/>
      <c r="CD839" s="160"/>
      <c r="CE839" s="160"/>
      <c r="CF839" s="160"/>
    </row>
    <row r="840">
      <c r="D840" s="159"/>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c r="BD840" s="160"/>
      <c r="BE840" s="160"/>
      <c r="BF840" s="160"/>
      <c r="BG840" s="160"/>
      <c r="BH840" s="160"/>
      <c r="BI840" s="160"/>
      <c r="BJ840" s="160"/>
      <c r="BK840" s="160"/>
      <c r="BL840" s="160"/>
      <c r="BM840" s="160"/>
      <c r="BN840" s="160"/>
      <c r="BO840" s="160"/>
      <c r="BP840" s="160"/>
      <c r="BQ840" s="160"/>
      <c r="BR840" s="160"/>
      <c r="BS840" s="160"/>
      <c r="BT840" s="160"/>
      <c r="BU840" s="160"/>
      <c r="BV840" s="160"/>
      <c r="BW840" s="160"/>
      <c r="BX840" s="160"/>
      <c r="BY840" s="160"/>
      <c r="BZ840" s="160"/>
      <c r="CA840" s="160"/>
      <c r="CB840" s="160"/>
      <c r="CC840" s="160"/>
      <c r="CD840" s="160"/>
      <c r="CE840" s="160"/>
      <c r="CF840" s="160"/>
    </row>
    <row r="841">
      <c r="D841" s="159"/>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c r="BD841" s="160"/>
      <c r="BE841" s="160"/>
      <c r="BF841" s="160"/>
      <c r="BG841" s="160"/>
      <c r="BH841" s="160"/>
      <c r="BI841" s="160"/>
      <c r="BJ841" s="160"/>
      <c r="BK841" s="160"/>
      <c r="BL841" s="160"/>
      <c r="BM841" s="160"/>
      <c r="BN841" s="160"/>
      <c r="BO841" s="160"/>
      <c r="BP841" s="160"/>
      <c r="BQ841" s="160"/>
      <c r="BR841" s="160"/>
      <c r="BS841" s="160"/>
      <c r="BT841" s="160"/>
      <c r="BU841" s="160"/>
      <c r="BV841" s="160"/>
      <c r="BW841" s="160"/>
      <c r="BX841" s="160"/>
      <c r="BY841" s="160"/>
      <c r="BZ841" s="160"/>
      <c r="CA841" s="160"/>
      <c r="CB841" s="160"/>
      <c r="CC841" s="160"/>
      <c r="CD841" s="160"/>
      <c r="CE841" s="160"/>
      <c r="CF841" s="160"/>
    </row>
    <row r="842">
      <c r="D842" s="159"/>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c r="BD842" s="160"/>
      <c r="BE842" s="160"/>
      <c r="BF842" s="160"/>
      <c r="BG842" s="160"/>
      <c r="BH842" s="160"/>
      <c r="BI842" s="160"/>
      <c r="BJ842" s="160"/>
      <c r="BK842" s="160"/>
      <c r="BL842" s="160"/>
      <c r="BM842" s="160"/>
      <c r="BN842" s="160"/>
      <c r="BO842" s="160"/>
      <c r="BP842" s="160"/>
      <c r="BQ842" s="160"/>
      <c r="BR842" s="160"/>
      <c r="BS842" s="160"/>
      <c r="BT842" s="160"/>
      <c r="BU842" s="160"/>
      <c r="BV842" s="160"/>
      <c r="BW842" s="160"/>
      <c r="BX842" s="160"/>
      <c r="BY842" s="160"/>
      <c r="BZ842" s="160"/>
      <c r="CA842" s="160"/>
      <c r="CB842" s="160"/>
      <c r="CC842" s="160"/>
      <c r="CD842" s="160"/>
      <c r="CE842" s="160"/>
      <c r="CF842" s="160"/>
    </row>
    <row r="843">
      <c r="D843" s="159"/>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c r="BD843" s="160"/>
      <c r="BE843" s="160"/>
      <c r="BF843" s="160"/>
      <c r="BG843" s="160"/>
      <c r="BH843" s="160"/>
      <c r="BI843" s="160"/>
      <c r="BJ843" s="160"/>
      <c r="BK843" s="160"/>
      <c r="BL843" s="160"/>
      <c r="BM843" s="160"/>
      <c r="BN843" s="160"/>
      <c r="BO843" s="160"/>
      <c r="BP843" s="160"/>
      <c r="BQ843" s="160"/>
      <c r="BR843" s="160"/>
      <c r="BS843" s="160"/>
      <c r="BT843" s="160"/>
      <c r="BU843" s="160"/>
      <c r="BV843" s="160"/>
      <c r="BW843" s="160"/>
      <c r="BX843" s="160"/>
      <c r="BY843" s="160"/>
      <c r="BZ843" s="160"/>
      <c r="CA843" s="160"/>
      <c r="CB843" s="160"/>
      <c r="CC843" s="160"/>
      <c r="CD843" s="160"/>
      <c r="CE843" s="160"/>
      <c r="CF843" s="160"/>
    </row>
    <row r="844">
      <c r="D844" s="159"/>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c r="AQ844" s="160"/>
      <c r="AR844" s="160"/>
      <c r="AS844" s="160"/>
      <c r="AT844" s="160"/>
      <c r="AU844" s="160"/>
      <c r="AV844" s="160"/>
      <c r="AW844" s="160"/>
      <c r="AX844" s="160"/>
      <c r="AY844" s="160"/>
      <c r="AZ844" s="160"/>
      <c r="BA844" s="160"/>
      <c r="BB844" s="160"/>
      <c r="BC844" s="160"/>
      <c r="BD844" s="160"/>
      <c r="BE844" s="160"/>
      <c r="BF844" s="160"/>
      <c r="BG844" s="160"/>
      <c r="BH844" s="160"/>
      <c r="BI844" s="160"/>
      <c r="BJ844" s="160"/>
      <c r="BK844" s="160"/>
      <c r="BL844" s="160"/>
      <c r="BM844" s="160"/>
      <c r="BN844" s="160"/>
      <c r="BO844" s="160"/>
      <c r="BP844" s="160"/>
      <c r="BQ844" s="160"/>
      <c r="BR844" s="160"/>
      <c r="BS844" s="160"/>
      <c r="BT844" s="160"/>
      <c r="BU844" s="160"/>
      <c r="BV844" s="160"/>
      <c r="BW844" s="160"/>
      <c r="BX844" s="160"/>
      <c r="BY844" s="160"/>
      <c r="BZ844" s="160"/>
      <c r="CA844" s="160"/>
      <c r="CB844" s="160"/>
      <c r="CC844" s="160"/>
      <c r="CD844" s="160"/>
      <c r="CE844" s="160"/>
      <c r="CF844" s="160"/>
    </row>
    <row r="845">
      <c r="D845" s="159"/>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c r="BD845" s="160"/>
      <c r="BE845" s="160"/>
      <c r="BF845" s="160"/>
      <c r="BG845" s="160"/>
      <c r="BH845" s="160"/>
      <c r="BI845" s="160"/>
      <c r="BJ845" s="160"/>
      <c r="BK845" s="160"/>
      <c r="BL845" s="160"/>
      <c r="BM845" s="160"/>
      <c r="BN845" s="160"/>
      <c r="BO845" s="160"/>
      <c r="BP845" s="160"/>
      <c r="BQ845" s="160"/>
      <c r="BR845" s="160"/>
      <c r="BS845" s="160"/>
      <c r="BT845" s="160"/>
      <c r="BU845" s="160"/>
      <c r="BV845" s="160"/>
      <c r="BW845" s="160"/>
      <c r="BX845" s="160"/>
      <c r="BY845" s="160"/>
      <c r="BZ845" s="160"/>
      <c r="CA845" s="160"/>
      <c r="CB845" s="160"/>
      <c r="CC845" s="160"/>
      <c r="CD845" s="160"/>
      <c r="CE845" s="160"/>
      <c r="CF845" s="160"/>
    </row>
    <row r="846">
      <c r="D846" s="159"/>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c r="BD846" s="160"/>
      <c r="BE846" s="160"/>
      <c r="BF846" s="160"/>
      <c r="BG846" s="160"/>
      <c r="BH846" s="160"/>
      <c r="BI846" s="160"/>
      <c r="BJ846" s="160"/>
      <c r="BK846" s="160"/>
      <c r="BL846" s="160"/>
      <c r="BM846" s="160"/>
      <c r="BN846" s="160"/>
      <c r="BO846" s="160"/>
      <c r="BP846" s="160"/>
      <c r="BQ846" s="160"/>
      <c r="BR846" s="160"/>
      <c r="BS846" s="160"/>
      <c r="BT846" s="160"/>
      <c r="BU846" s="160"/>
      <c r="BV846" s="160"/>
      <c r="BW846" s="160"/>
      <c r="BX846" s="160"/>
      <c r="BY846" s="160"/>
      <c r="BZ846" s="160"/>
      <c r="CA846" s="160"/>
      <c r="CB846" s="160"/>
      <c r="CC846" s="160"/>
      <c r="CD846" s="160"/>
      <c r="CE846" s="160"/>
      <c r="CF846" s="160"/>
    </row>
    <row r="847">
      <c r="D847" s="159"/>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c r="BD847" s="160"/>
      <c r="BE847" s="160"/>
      <c r="BF847" s="160"/>
      <c r="BG847" s="160"/>
      <c r="BH847" s="160"/>
      <c r="BI847" s="160"/>
      <c r="BJ847" s="160"/>
      <c r="BK847" s="160"/>
      <c r="BL847" s="160"/>
      <c r="BM847" s="160"/>
      <c r="BN847" s="160"/>
      <c r="BO847" s="160"/>
      <c r="BP847" s="160"/>
      <c r="BQ847" s="160"/>
      <c r="BR847" s="160"/>
      <c r="BS847" s="160"/>
      <c r="BT847" s="160"/>
      <c r="BU847" s="160"/>
      <c r="BV847" s="160"/>
      <c r="BW847" s="160"/>
      <c r="BX847" s="160"/>
      <c r="BY847" s="160"/>
      <c r="BZ847" s="160"/>
      <c r="CA847" s="160"/>
      <c r="CB847" s="160"/>
      <c r="CC847" s="160"/>
      <c r="CD847" s="160"/>
      <c r="CE847" s="160"/>
      <c r="CF847" s="160"/>
    </row>
    <row r="848">
      <c r="D848" s="159"/>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c r="BD848" s="160"/>
      <c r="BE848" s="160"/>
      <c r="BF848" s="160"/>
      <c r="BG848" s="160"/>
      <c r="BH848" s="160"/>
      <c r="BI848" s="160"/>
      <c r="BJ848" s="160"/>
      <c r="BK848" s="160"/>
      <c r="BL848" s="160"/>
      <c r="BM848" s="160"/>
      <c r="BN848" s="160"/>
      <c r="BO848" s="160"/>
      <c r="BP848" s="160"/>
      <c r="BQ848" s="160"/>
      <c r="BR848" s="160"/>
      <c r="BS848" s="160"/>
      <c r="BT848" s="160"/>
      <c r="BU848" s="160"/>
      <c r="BV848" s="160"/>
      <c r="BW848" s="160"/>
      <c r="BX848" s="160"/>
      <c r="BY848" s="160"/>
      <c r="BZ848" s="160"/>
      <c r="CA848" s="160"/>
      <c r="CB848" s="160"/>
      <c r="CC848" s="160"/>
      <c r="CD848" s="160"/>
      <c r="CE848" s="160"/>
      <c r="CF848" s="160"/>
    </row>
    <row r="849">
      <c r="D849" s="159"/>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c r="BD849" s="160"/>
      <c r="BE849" s="160"/>
      <c r="BF849" s="160"/>
      <c r="BG849" s="160"/>
      <c r="BH849" s="160"/>
      <c r="BI849" s="160"/>
      <c r="BJ849" s="160"/>
      <c r="BK849" s="160"/>
      <c r="BL849" s="160"/>
      <c r="BM849" s="160"/>
      <c r="BN849" s="160"/>
      <c r="BO849" s="160"/>
      <c r="BP849" s="160"/>
      <c r="BQ849" s="160"/>
      <c r="BR849" s="160"/>
      <c r="BS849" s="160"/>
      <c r="BT849" s="160"/>
      <c r="BU849" s="160"/>
      <c r="BV849" s="160"/>
      <c r="BW849" s="160"/>
      <c r="BX849" s="160"/>
      <c r="BY849" s="160"/>
      <c r="BZ849" s="160"/>
      <c r="CA849" s="160"/>
      <c r="CB849" s="160"/>
      <c r="CC849" s="160"/>
      <c r="CD849" s="160"/>
      <c r="CE849" s="160"/>
      <c r="CF849" s="160"/>
    </row>
    <row r="850">
      <c r="D850" s="159"/>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c r="BD850" s="160"/>
      <c r="BE850" s="160"/>
      <c r="BF850" s="160"/>
      <c r="BG850" s="160"/>
      <c r="BH850" s="160"/>
      <c r="BI850" s="160"/>
      <c r="BJ850" s="160"/>
      <c r="BK850" s="160"/>
      <c r="BL850" s="160"/>
      <c r="BM850" s="160"/>
      <c r="BN850" s="160"/>
      <c r="BO850" s="160"/>
      <c r="BP850" s="160"/>
      <c r="BQ850" s="160"/>
      <c r="BR850" s="160"/>
      <c r="BS850" s="160"/>
      <c r="BT850" s="160"/>
      <c r="BU850" s="160"/>
      <c r="BV850" s="160"/>
      <c r="BW850" s="160"/>
      <c r="BX850" s="160"/>
      <c r="BY850" s="160"/>
      <c r="BZ850" s="160"/>
      <c r="CA850" s="160"/>
      <c r="CB850" s="160"/>
      <c r="CC850" s="160"/>
      <c r="CD850" s="160"/>
      <c r="CE850" s="160"/>
      <c r="CF850" s="160"/>
    </row>
    <row r="851">
      <c r="D851" s="159"/>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c r="BD851" s="160"/>
      <c r="BE851" s="160"/>
      <c r="BF851" s="160"/>
      <c r="BG851" s="160"/>
      <c r="BH851" s="160"/>
      <c r="BI851" s="160"/>
      <c r="BJ851" s="160"/>
      <c r="BK851" s="160"/>
      <c r="BL851" s="160"/>
      <c r="BM851" s="160"/>
      <c r="BN851" s="160"/>
      <c r="BO851" s="160"/>
      <c r="BP851" s="160"/>
      <c r="BQ851" s="160"/>
      <c r="BR851" s="160"/>
      <c r="BS851" s="160"/>
      <c r="BT851" s="160"/>
      <c r="BU851" s="160"/>
      <c r="BV851" s="160"/>
      <c r="BW851" s="160"/>
      <c r="BX851" s="160"/>
      <c r="BY851" s="160"/>
      <c r="BZ851" s="160"/>
      <c r="CA851" s="160"/>
      <c r="CB851" s="160"/>
      <c r="CC851" s="160"/>
      <c r="CD851" s="160"/>
      <c r="CE851" s="160"/>
      <c r="CF851" s="160"/>
    </row>
    <row r="852">
      <c r="D852" s="159"/>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c r="BD852" s="160"/>
      <c r="BE852" s="160"/>
      <c r="BF852" s="160"/>
      <c r="BG852" s="160"/>
      <c r="BH852" s="160"/>
      <c r="BI852" s="160"/>
      <c r="BJ852" s="160"/>
      <c r="BK852" s="160"/>
      <c r="BL852" s="160"/>
      <c r="BM852" s="160"/>
      <c r="BN852" s="160"/>
      <c r="BO852" s="160"/>
      <c r="BP852" s="160"/>
      <c r="BQ852" s="160"/>
      <c r="BR852" s="160"/>
      <c r="BS852" s="160"/>
      <c r="BT852" s="160"/>
      <c r="BU852" s="160"/>
      <c r="BV852" s="160"/>
      <c r="BW852" s="160"/>
      <c r="BX852" s="160"/>
      <c r="BY852" s="160"/>
      <c r="BZ852" s="160"/>
      <c r="CA852" s="160"/>
      <c r="CB852" s="160"/>
      <c r="CC852" s="160"/>
      <c r="CD852" s="160"/>
      <c r="CE852" s="160"/>
      <c r="CF852" s="160"/>
    </row>
    <row r="853">
      <c r="D853" s="159"/>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c r="BD853" s="160"/>
      <c r="BE853" s="160"/>
      <c r="BF853" s="160"/>
      <c r="BG853" s="160"/>
      <c r="BH853" s="160"/>
      <c r="BI853" s="160"/>
      <c r="BJ853" s="160"/>
      <c r="BK853" s="160"/>
      <c r="BL853" s="160"/>
      <c r="BM853" s="160"/>
      <c r="BN853" s="160"/>
      <c r="BO853" s="160"/>
      <c r="BP853" s="160"/>
      <c r="BQ853" s="160"/>
      <c r="BR853" s="160"/>
      <c r="BS853" s="160"/>
      <c r="BT853" s="160"/>
      <c r="BU853" s="160"/>
      <c r="BV853" s="160"/>
      <c r="BW853" s="160"/>
      <c r="BX853" s="160"/>
      <c r="BY853" s="160"/>
      <c r="BZ853" s="160"/>
      <c r="CA853" s="160"/>
      <c r="CB853" s="160"/>
      <c r="CC853" s="160"/>
      <c r="CD853" s="160"/>
      <c r="CE853" s="160"/>
      <c r="CF853" s="160"/>
    </row>
    <row r="854">
      <c r="D854" s="159"/>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c r="BD854" s="160"/>
      <c r="BE854" s="160"/>
      <c r="BF854" s="160"/>
      <c r="BG854" s="160"/>
      <c r="BH854" s="160"/>
      <c r="BI854" s="160"/>
      <c r="BJ854" s="160"/>
      <c r="BK854" s="160"/>
      <c r="BL854" s="160"/>
      <c r="BM854" s="160"/>
      <c r="BN854" s="160"/>
      <c r="BO854" s="160"/>
      <c r="BP854" s="160"/>
      <c r="BQ854" s="160"/>
      <c r="BR854" s="160"/>
      <c r="BS854" s="160"/>
      <c r="BT854" s="160"/>
      <c r="BU854" s="160"/>
      <c r="BV854" s="160"/>
      <c r="BW854" s="160"/>
      <c r="BX854" s="160"/>
      <c r="BY854" s="160"/>
      <c r="BZ854" s="160"/>
      <c r="CA854" s="160"/>
      <c r="CB854" s="160"/>
      <c r="CC854" s="160"/>
      <c r="CD854" s="160"/>
      <c r="CE854" s="160"/>
      <c r="CF854" s="160"/>
    </row>
    <row r="855">
      <c r="D855" s="159"/>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c r="BD855" s="160"/>
      <c r="BE855" s="160"/>
      <c r="BF855" s="160"/>
      <c r="BG855" s="160"/>
      <c r="BH855" s="160"/>
      <c r="BI855" s="160"/>
      <c r="BJ855" s="160"/>
      <c r="BK855" s="160"/>
      <c r="BL855" s="160"/>
      <c r="BM855" s="160"/>
      <c r="BN855" s="160"/>
      <c r="BO855" s="160"/>
      <c r="BP855" s="160"/>
      <c r="BQ855" s="160"/>
      <c r="BR855" s="160"/>
      <c r="BS855" s="160"/>
      <c r="BT855" s="160"/>
      <c r="BU855" s="160"/>
      <c r="BV855" s="160"/>
      <c r="BW855" s="160"/>
      <c r="BX855" s="160"/>
      <c r="BY855" s="160"/>
      <c r="BZ855" s="160"/>
      <c r="CA855" s="160"/>
      <c r="CB855" s="160"/>
      <c r="CC855" s="160"/>
      <c r="CD855" s="160"/>
      <c r="CE855" s="160"/>
      <c r="CF855" s="160"/>
    </row>
    <row r="856">
      <c r="D856" s="159"/>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c r="BD856" s="160"/>
      <c r="BE856" s="160"/>
      <c r="BF856" s="160"/>
      <c r="BG856" s="160"/>
      <c r="BH856" s="160"/>
      <c r="BI856" s="160"/>
      <c r="BJ856" s="160"/>
      <c r="BK856" s="160"/>
      <c r="BL856" s="160"/>
      <c r="BM856" s="160"/>
      <c r="BN856" s="160"/>
      <c r="BO856" s="160"/>
      <c r="BP856" s="160"/>
      <c r="BQ856" s="160"/>
      <c r="BR856" s="160"/>
      <c r="BS856" s="160"/>
      <c r="BT856" s="160"/>
      <c r="BU856" s="160"/>
      <c r="BV856" s="160"/>
      <c r="BW856" s="160"/>
      <c r="BX856" s="160"/>
      <c r="BY856" s="160"/>
      <c r="BZ856" s="160"/>
      <c r="CA856" s="160"/>
      <c r="CB856" s="160"/>
      <c r="CC856" s="160"/>
      <c r="CD856" s="160"/>
      <c r="CE856" s="160"/>
      <c r="CF856" s="160"/>
    </row>
    <row r="857">
      <c r="D857" s="159"/>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c r="BD857" s="160"/>
      <c r="BE857" s="160"/>
      <c r="BF857" s="160"/>
      <c r="BG857" s="160"/>
      <c r="BH857" s="160"/>
      <c r="BI857" s="160"/>
      <c r="BJ857" s="160"/>
      <c r="BK857" s="160"/>
      <c r="BL857" s="160"/>
      <c r="BM857" s="160"/>
      <c r="BN857" s="160"/>
      <c r="BO857" s="160"/>
      <c r="BP857" s="160"/>
      <c r="BQ857" s="160"/>
      <c r="BR857" s="160"/>
      <c r="BS857" s="160"/>
      <c r="BT857" s="160"/>
      <c r="BU857" s="160"/>
      <c r="BV857" s="160"/>
      <c r="BW857" s="160"/>
      <c r="BX857" s="160"/>
      <c r="BY857" s="160"/>
      <c r="BZ857" s="160"/>
      <c r="CA857" s="160"/>
      <c r="CB857" s="160"/>
      <c r="CC857" s="160"/>
      <c r="CD857" s="160"/>
      <c r="CE857" s="160"/>
      <c r="CF857" s="160"/>
    </row>
    <row r="858">
      <c r="D858" s="159"/>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c r="BD858" s="160"/>
      <c r="BE858" s="160"/>
      <c r="BF858" s="160"/>
      <c r="BG858" s="160"/>
      <c r="BH858" s="160"/>
      <c r="BI858" s="160"/>
      <c r="BJ858" s="160"/>
      <c r="BK858" s="160"/>
      <c r="BL858" s="160"/>
      <c r="BM858" s="160"/>
      <c r="BN858" s="160"/>
      <c r="BO858" s="160"/>
      <c r="BP858" s="160"/>
      <c r="BQ858" s="160"/>
      <c r="BR858" s="160"/>
      <c r="BS858" s="160"/>
      <c r="BT858" s="160"/>
      <c r="BU858" s="160"/>
      <c r="BV858" s="160"/>
      <c r="BW858" s="160"/>
      <c r="BX858" s="160"/>
      <c r="BY858" s="160"/>
      <c r="BZ858" s="160"/>
      <c r="CA858" s="160"/>
      <c r="CB858" s="160"/>
      <c r="CC858" s="160"/>
      <c r="CD858" s="160"/>
      <c r="CE858" s="160"/>
      <c r="CF858" s="160"/>
    </row>
    <row r="859">
      <c r="D859" s="159"/>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c r="BD859" s="160"/>
      <c r="BE859" s="160"/>
      <c r="BF859" s="160"/>
      <c r="BG859" s="160"/>
      <c r="BH859" s="160"/>
      <c r="BI859" s="160"/>
      <c r="BJ859" s="160"/>
      <c r="BK859" s="160"/>
      <c r="BL859" s="160"/>
      <c r="BM859" s="160"/>
      <c r="BN859" s="160"/>
      <c r="BO859" s="160"/>
      <c r="BP859" s="160"/>
      <c r="BQ859" s="160"/>
      <c r="BR859" s="160"/>
      <c r="BS859" s="160"/>
      <c r="BT859" s="160"/>
      <c r="BU859" s="160"/>
      <c r="BV859" s="160"/>
      <c r="BW859" s="160"/>
      <c r="BX859" s="160"/>
      <c r="BY859" s="160"/>
      <c r="BZ859" s="160"/>
      <c r="CA859" s="160"/>
      <c r="CB859" s="160"/>
      <c r="CC859" s="160"/>
      <c r="CD859" s="160"/>
      <c r="CE859" s="160"/>
      <c r="CF859" s="160"/>
    </row>
    <row r="860">
      <c r="D860" s="159"/>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c r="BD860" s="160"/>
      <c r="BE860" s="160"/>
      <c r="BF860" s="160"/>
      <c r="BG860" s="160"/>
      <c r="BH860" s="160"/>
      <c r="BI860" s="160"/>
      <c r="BJ860" s="160"/>
      <c r="BK860" s="160"/>
      <c r="BL860" s="160"/>
      <c r="BM860" s="160"/>
      <c r="BN860" s="160"/>
      <c r="BO860" s="160"/>
      <c r="BP860" s="160"/>
      <c r="BQ860" s="160"/>
      <c r="BR860" s="160"/>
      <c r="BS860" s="160"/>
      <c r="BT860" s="160"/>
      <c r="BU860" s="160"/>
      <c r="BV860" s="160"/>
      <c r="BW860" s="160"/>
      <c r="BX860" s="160"/>
      <c r="BY860" s="160"/>
      <c r="BZ860" s="160"/>
      <c r="CA860" s="160"/>
      <c r="CB860" s="160"/>
      <c r="CC860" s="160"/>
      <c r="CD860" s="160"/>
      <c r="CE860" s="160"/>
      <c r="CF860" s="160"/>
    </row>
    <row r="861">
      <c r="D861" s="159"/>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c r="BD861" s="160"/>
      <c r="BE861" s="160"/>
      <c r="BF861" s="160"/>
      <c r="BG861" s="160"/>
      <c r="BH861" s="160"/>
      <c r="BI861" s="160"/>
      <c r="BJ861" s="160"/>
      <c r="BK861" s="160"/>
      <c r="BL861" s="160"/>
      <c r="BM861" s="160"/>
      <c r="BN861" s="160"/>
      <c r="BO861" s="160"/>
      <c r="BP861" s="160"/>
      <c r="BQ861" s="160"/>
      <c r="BR861" s="160"/>
      <c r="BS861" s="160"/>
      <c r="BT861" s="160"/>
      <c r="BU861" s="160"/>
      <c r="BV861" s="160"/>
      <c r="BW861" s="160"/>
      <c r="BX861" s="160"/>
      <c r="BY861" s="160"/>
      <c r="BZ861" s="160"/>
      <c r="CA861" s="160"/>
      <c r="CB861" s="160"/>
      <c r="CC861" s="160"/>
      <c r="CD861" s="160"/>
      <c r="CE861" s="160"/>
      <c r="CF861" s="160"/>
    </row>
    <row r="862">
      <c r="D862" s="159"/>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c r="BD862" s="160"/>
      <c r="BE862" s="160"/>
      <c r="BF862" s="160"/>
      <c r="BG862" s="160"/>
      <c r="BH862" s="160"/>
      <c r="BI862" s="160"/>
      <c r="BJ862" s="160"/>
      <c r="BK862" s="160"/>
      <c r="BL862" s="160"/>
      <c r="BM862" s="160"/>
      <c r="BN862" s="160"/>
      <c r="BO862" s="160"/>
      <c r="BP862" s="160"/>
      <c r="BQ862" s="160"/>
      <c r="BR862" s="160"/>
      <c r="BS862" s="160"/>
      <c r="BT862" s="160"/>
      <c r="BU862" s="160"/>
      <c r="BV862" s="160"/>
      <c r="BW862" s="160"/>
      <c r="BX862" s="160"/>
      <c r="BY862" s="160"/>
      <c r="BZ862" s="160"/>
      <c r="CA862" s="160"/>
      <c r="CB862" s="160"/>
      <c r="CC862" s="160"/>
      <c r="CD862" s="160"/>
      <c r="CE862" s="160"/>
      <c r="CF862" s="160"/>
    </row>
    <row r="863">
      <c r="D863" s="159"/>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c r="BD863" s="160"/>
      <c r="BE863" s="160"/>
      <c r="BF863" s="160"/>
      <c r="BG863" s="160"/>
      <c r="BH863" s="160"/>
      <c r="BI863" s="160"/>
      <c r="BJ863" s="160"/>
      <c r="BK863" s="160"/>
      <c r="BL863" s="160"/>
      <c r="BM863" s="160"/>
      <c r="BN863" s="160"/>
      <c r="BO863" s="160"/>
      <c r="BP863" s="160"/>
      <c r="BQ863" s="160"/>
      <c r="BR863" s="160"/>
      <c r="BS863" s="160"/>
      <c r="BT863" s="160"/>
      <c r="BU863" s="160"/>
      <c r="BV863" s="160"/>
      <c r="BW863" s="160"/>
      <c r="BX863" s="160"/>
      <c r="BY863" s="160"/>
      <c r="BZ863" s="160"/>
      <c r="CA863" s="160"/>
      <c r="CB863" s="160"/>
      <c r="CC863" s="160"/>
      <c r="CD863" s="160"/>
      <c r="CE863" s="160"/>
      <c r="CF863" s="160"/>
    </row>
    <row r="864">
      <c r="D864" s="159"/>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c r="BD864" s="160"/>
      <c r="BE864" s="160"/>
      <c r="BF864" s="160"/>
      <c r="BG864" s="160"/>
      <c r="BH864" s="160"/>
      <c r="BI864" s="160"/>
      <c r="BJ864" s="160"/>
      <c r="BK864" s="160"/>
      <c r="BL864" s="160"/>
      <c r="BM864" s="160"/>
      <c r="BN864" s="160"/>
      <c r="BO864" s="160"/>
      <c r="BP864" s="160"/>
      <c r="BQ864" s="160"/>
      <c r="BR864" s="160"/>
      <c r="BS864" s="160"/>
      <c r="BT864" s="160"/>
      <c r="BU864" s="160"/>
      <c r="BV864" s="160"/>
      <c r="BW864" s="160"/>
      <c r="BX864" s="160"/>
      <c r="BY864" s="160"/>
      <c r="BZ864" s="160"/>
      <c r="CA864" s="160"/>
      <c r="CB864" s="160"/>
      <c r="CC864" s="160"/>
      <c r="CD864" s="160"/>
      <c r="CE864" s="160"/>
      <c r="CF864" s="160"/>
    </row>
    <row r="865">
      <c r="D865" s="159"/>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c r="BD865" s="160"/>
      <c r="BE865" s="160"/>
      <c r="BF865" s="160"/>
      <c r="BG865" s="160"/>
      <c r="BH865" s="160"/>
      <c r="BI865" s="160"/>
      <c r="BJ865" s="160"/>
      <c r="BK865" s="160"/>
      <c r="BL865" s="160"/>
      <c r="BM865" s="160"/>
      <c r="BN865" s="160"/>
      <c r="BO865" s="160"/>
      <c r="BP865" s="160"/>
      <c r="BQ865" s="160"/>
      <c r="BR865" s="160"/>
      <c r="BS865" s="160"/>
      <c r="BT865" s="160"/>
      <c r="BU865" s="160"/>
      <c r="BV865" s="160"/>
      <c r="BW865" s="160"/>
      <c r="BX865" s="160"/>
      <c r="BY865" s="160"/>
      <c r="BZ865" s="160"/>
      <c r="CA865" s="160"/>
      <c r="CB865" s="160"/>
      <c r="CC865" s="160"/>
      <c r="CD865" s="160"/>
      <c r="CE865" s="160"/>
      <c r="CF865" s="160"/>
    </row>
    <row r="866">
      <c r="D866" s="159"/>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c r="BD866" s="160"/>
      <c r="BE866" s="160"/>
      <c r="BF866" s="160"/>
      <c r="BG866" s="160"/>
      <c r="BH866" s="160"/>
      <c r="BI866" s="160"/>
      <c r="BJ866" s="160"/>
      <c r="BK866" s="160"/>
      <c r="BL866" s="160"/>
      <c r="BM866" s="160"/>
      <c r="BN866" s="160"/>
      <c r="BO866" s="160"/>
      <c r="BP866" s="160"/>
      <c r="BQ866" s="160"/>
      <c r="BR866" s="160"/>
      <c r="BS866" s="160"/>
      <c r="BT866" s="160"/>
      <c r="BU866" s="160"/>
      <c r="BV866" s="160"/>
      <c r="BW866" s="160"/>
      <c r="BX866" s="160"/>
      <c r="BY866" s="160"/>
      <c r="BZ866" s="160"/>
      <c r="CA866" s="160"/>
      <c r="CB866" s="160"/>
      <c r="CC866" s="160"/>
      <c r="CD866" s="160"/>
      <c r="CE866" s="160"/>
      <c r="CF866" s="160"/>
    </row>
    <row r="867">
      <c r="D867" s="159"/>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c r="BD867" s="160"/>
      <c r="BE867" s="160"/>
      <c r="BF867" s="160"/>
      <c r="BG867" s="160"/>
      <c r="BH867" s="160"/>
      <c r="BI867" s="160"/>
      <c r="BJ867" s="160"/>
      <c r="BK867" s="160"/>
      <c r="BL867" s="160"/>
      <c r="BM867" s="160"/>
      <c r="BN867" s="160"/>
      <c r="BO867" s="160"/>
      <c r="BP867" s="160"/>
      <c r="BQ867" s="160"/>
      <c r="BR867" s="160"/>
      <c r="BS867" s="160"/>
      <c r="BT867" s="160"/>
      <c r="BU867" s="160"/>
      <c r="BV867" s="160"/>
      <c r="BW867" s="160"/>
      <c r="BX867" s="160"/>
      <c r="BY867" s="160"/>
      <c r="BZ867" s="160"/>
      <c r="CA867" s="160"/>
      <c r="CB867" s="160"/>
      <c r="CC867" s="160"/>
      <c r="CD867" s="160"/>
      <c r="CE867" s="160"/>
      <c r="CF867" s="160"/>
    </row>
    <row r="868">
      <c r="D868" s="159"/>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c r="AQ868" s="160"/>
      <c r="AR868" s="160"/>
      <c r="AS868" s="160"/>
      <c r="AT868" s="160"/>
      <c r="AU868" s="160"/>
      <c r="AV868" s="160"/>
      <c r="AW868" s="160"/>
      <c r="AX868" s="160"/>
      <c r="AY868" s="160"/>
      <c r="AZ868" s="160"/>
      <c r="BA868" s="160"/>
      <c r="BB868" s="160"/>
      <c r="BC868" s="160"/>
      <c r="BD868" s="160"/>
      <c r="BE868" s="160"/>
      <c r="BF868" s="160"/>
      <c r="BG868" s="160"/>
      <c r="BH868" s="160"/>
      <c r="BI868" s="160"/>
      <c r="BJ868" s="160"/>
      <c r="BK868" s="160"/>
      <c r="BL868" s="160"/>
      <c r="BM868" s="160"/>
      <c r="BN868" s="160"/>
      <c r="BO868" s="160"/>
      <c r="BP868" s="160"/>
      <c r="BQ868" s="160"/>
      <c r="BR868" s="160"/>
      <c r="BS868" s="160"/>
      <c r="BT868" s="160"/>
      <c r="BU868" s="160"/>
      <c r="BV868" s="160"/>
      <c r="BW868" s="160"/>
      <c r="BX868" s="160"/>
      <c r="BY868" s="160"/>
      <c r="BZ868" s="160"/>
      <c r="CA868" s="160"/>
      <c r="CB868" s="160"/>
      <c r="CC868" s="160"/>
      <c r="CD868" s="160"/>
      <c r="CE868" s="160"/>
      <c r="CF868" s="160"/>
    </row>
    <row r="869">
      <c r="D869" s="159"/>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c r="BD869" s="160"/>
      <c r="BE869" s="160"/>
      <c r="BF869" s="160"/>
      <c r="BG869" s="160"/>
      <c r="BH869" s="160"/>
      <c r="BI869" s="160"/>
      <c r="BJ869" s="160"/>
      <c r="BK869" s="160"/>
      <c r="BL869" s="160"/>
      <c r="BM869" s="160"/>
      <c r="BN869" s="160"/>
      <c r="BO869" s="160"/>
      <c r="BP869" s="160"/>
      <c r="BQ869" s="160"/>
      <c r="BR869" s="160"/>
      <c r="BS869" s="160"/>
      <c r="BT869" s="160"/>
      <c r="BU869" s="160"/>
      <c r="BV869" s="160"/>
      <c r="BW869" s="160"/>
      <c r="BX869" s="160"/>
      <c r="BY869" s="160"/>
      <c r="BZ869" s="160"/>
      <c r="CA869" s="160"/>
      <c r="CB869" s="160"/>
      <c r="CC869" s="160"/>
      <c r="CD869" s="160"/>
      <c r="CE869" s="160"/>
      <c r="CF869" s="160"/>
    </row>
    <row r="870">
      <c r="D870" s="159"/>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c r="BD870" s="160"/>
      <c r="BE870" s="160"/>
      <c r="BF870" s="160"/>
      <c r="BG870" s="160"/>
      <c r="BH870" s="160"/>
      <c r="BI870" s="160"/>
      <c r="BJ870" s="160"/>
      <c r="BK870" s="160"/>
      <c r="BL870" s="160"/>
      <c r="BM870" s="160"/>
      <c r="BN870" s="160"/>
      <c r="BO870" s="160"/>
      <c r="BP870" s="160"/>
      <c r="BQ870" s="160"/>
      <c r="BR870" s="160"/>
      <c r="BS870" s="160"/>
      <c r="BT870" s="160"/>
      <c r="BU870" s="160"/>
      <c r="BV870" s="160"/>
      <c r="BW870" s="160"/>
      <c r="BX870" s="160"/>
      <c r="BY870" s="160"/>
      <c r="BZ870" s="160"/>
      <c r="CA870" s="160"/>
      <c r="CB870" s="160"/>
      <c r="CC870" s="160"/>
      <c r="CD870" s="160"/>
      <c r="CE870" s="160"/>
      <c r="CF870" s="160"/>
    </row>
    <row r="871">
      <c r="D871" s="159"/>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c r="BD871" s="160"/>
      <c r="BE871" s="160"/>
      <c r="BF871" s="160"/>
      <c r="BG871" s="160"/>
      <c r="BH871" s="160"/>
      <c r="BI871" s="160"/>
      <c r="BJ871" s="160"/>
      <c r="BK871" s="160"/>
      <c r="BL871" s="160"/>
      <c r="BM871" s="160"/>
      <c r="BN871" s="160"/>
      <c r="BO871" s="160"/>
      <c r="BP871" s="160"/>
      <c r="BQ871" s="160"/>
      <c r="BR871" s="160"/>
      <c r="BS871" s="160"/>
      <c r="BT871" s="160"/>
      <c r="BU871" s="160"/>
      <c r="BV871" s="160"/>
      <c r="BW871" s="160"/>
      <c r="BX871" s="160"/>
      <c r="BY871" s="160"/>
      <c r="BZ871" s="160"/>
      <c r="CA871" s="160"/>
      <c r="CB871" s="160"/>
      <c r="CC871" s="160"/>
      <c r="CD871" s="160"/>
      <c r="CE871" s="160"/>
      <c r="CF871" s="160"/>
    </row>
    <row r="872">
      <c r="D872" s="159"/>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c r="BD872" s="160"/>
      <c r="BE872" s="160"/>
      <c r="BF872" s="160"/>
      <c r="BG872" s="160"/>
      <c r="BH872" s="160"/>
      <c r="BI872" s="160"/>
      <c r="BJ872" s="160"/>
      <c r="BK872" s="160"/>
      <c r="BL872" s="160"/>
      <c r="BM872" s="160"/>
      <c r="BN872" s="160"/>
      <c r="BO872" s="160"/>
      <c r="BP872" s="160"/>
      <c r="BQ872" s="160"/>
      <c r="BR872" s="160"/>
      <c r="BS872" s="160"/>
      <c r="BT872" s="160"/>
      <c r="BU872" s="160"/>
      <c r="BV872" s="160"/>
      <c r="BW872" s="160"/>
      <c r="BX872" s="160"/>
      <c r="BY872" s="160"/>
      <c r="BZ872" s="160"/>
      <c r="CA872" s="160"/>
      <c r="CB872" s="160"/>
      <c r="CC872" s="160"/>
      <c r="CD872" s="160"/>
      <c r="CE872" s="160"/>
      <c r="CF872" s="160"/>
    </row>
    <row r="873">
      <c r="D873" s="159"/>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c r="BD873" s="160"/>
      <c r="BE873" s="160"/>
      <c r="BF873" s="160"/>
      <c r="BG873" s="160"/>
      <c r="BH873" s="160"/>
      <c r="BI873" s="160"/>
      <c r="BJ873" s="160"/>
      <c r="BK873" s="160"/>
      <c r="BL873" s="160"/>
      <c r="BM873" s="160"/>
      <c r="BN873" s="160"/>
      <c r="BO873" s="160"/>
      <c r="BP873" s="160"/>
      <c r="BQ873" s="160"/>
      <c r="BR873" s="160"/>
      <c r="BS873" s="160"/>
      <c r="BT873" s="160"/>
      <c r="BU873" s="160"/>
      <c r="BV873" s="160"/>
      <c r="BW873" s="160"/>
      <c r="BX873" s="160"/>
      <c r="BY873" s="160"/>
      <c r="BZ873" s="160"/>
      <c r="CA873" s="160"/>
      <c r="CB873" s="160"/>
      <c r="CC873" s="160"/>
      <c r="CD873" s="160"/>
      <c r="CE873" s="160"/>
      <c r="CF873" s="160"/>
    </row>
    <row r="874">
      <c r="D874" s="159"/>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c r="BD874" s="160"/>
      <c r="BE874" s="160"/>
      <c r="BF874" s="160"/>
      <c r="BG874" s="160"/>
      <c r="BH874" s="160"/>
      <c r="BI874" s="160"/>
      <c r="BJ874" s="160"/>
      <c r="BK874" s="160"/>
      <c r="BL874" s="160"/>
      <c r="BM874" s="160"/>
      <c r="BN874" s="160"/>
      <c r="BO874" s="160"/>
      <c r="BP874" s="160"/>
      <c r="BQ874" s="160"/>
      <c r="BR874" s="160"/>
      <c r="BS874" s="160"/>
      <c r="BT874" s="160"/>
      <c r="BU874" s="160"/>
      <c r="BV874" s="160"/>
      <c r="BW874" s="160"/>
      <c r="BX874" s="160"/>
      <c r="BY874" s="160"/>
      <c r="BZ874" s="160"/>
      <c r="CA874" s="160"/>
      <c r="CB874" s="160"/>
      <c r="CC874" s="160"/>
      <c r="CD874" s="160"/>
      <c r="CE874" s="160"/>
      <c r="CF874" s="160"/>
    </row>
    <row r="875">
      <c r="D875" s="159"/>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c r="BD875" s="160"/>
      <c r="BE875" s="160"/>
      <c r="BF875" s="160"/>
      <c r="BG875" s="160"/>
      <c r="BH875" s="160"/>
      <c r="BI875" s="160"/>
      <c r="BJ875" s="160"/>
      <c r="BK875" s="160"/>
      <c r="BL875" s="160"/>
      <c r="BM875" s="160"/>
      <c r="BN875" s="160"/>
      <c r="BO875" s="160"/>
      <c r="BP875" s="160"/>
      <c r="BQ875" s="160"/>
      <c r="BR875" s="160"/>
      <c r="BS875" s="160"/>
      <c r="BT875" s="160"/>
      <c r="BU875" s="160"/>
      <c r="BV875" s="160"/>
      <c r="BW875" s="160"/>
      <c r="BX875" s="160"/>
      <c r="BY875" s="160"/>
      <c r="BZ875" s="160"/>
      <c r="CA875" s="160"/>
      <c r="CB875" s="160"/>
      <c r="CC875" s="160"/>
      <c r="CD875" s="160"/>
      <c r="CE875" s="160"/>
      <c r="CF875" s="160"/>
    </row>
    <row r="876">
      <c r="D876" s="159"/>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c r="BD876" s="160"/>
      <c r="BE876" s="160"/>
      <c r="BF876" s="160"/>
      <c r="BG876" s="160"/>
      <c r="BH876" s="160"/>
      <c r="BI876" s="160"/>
      <c r="BJ876" s="160"/>
      <c r="BK876" s="160"/>
      <c r="BL876" s="160"/>
      <c r="BM876" s="160"/>
      <c r="BN876" s="160"/>
      <c r="BO876" s="160"/>
      <c r="BP876" s="160"/>
      <c r="BQ876" s="160"/>
      <c r="BR876" s="160"/>
      <c r="BS876" s="160"/>
      <c r="BT876" s="160"/>
      <c r="BU876" s="160"/>
      <c r="BV876" s="160"/>
      <c r="BW876" s="160"/>
      <c r="BX876" s="160"/>
      <c r="BY876" s="160"/>
      <c r="BZ876" s="160"/>
      <c r="CA876" s="160"/>
      <c r="CB876" s="160"/>
      <c r="CC876" s="160"/>
      <c r="CD876" s="160"/>
      <c r="CE876" s="160"/>
      <c r="CF876" s="160"/>
    </row>
    <row r="877">
      <c r="D877" s="159"/>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c r="BD877" s="160"/>
      <c r="BE877" s="160"/>
      <c r="BF877" s="160"/>
      <c r="BG877" s="160"/>
      <c r="BH877" s="160"/>
      <c r="BI877" s="160"/>
      <c r="BJ877" s="160"/>
      <c r="BK877" s="160"/>
      <c r="BL877" s="160"/>
      <c r="BM877" s="160"/>
      <c r="BN877" s="160"/>
      <c r="BO877" s="160"/>
      <c r="BP877" s="160"/>
      <c r="BQ877" s="160"/>
      <c r="BR877" s="160"/>
      <c r="BS877" s="160"/>
      <c r="BT877" s="160"/>
      <c r="BU877" s="160"/>
      <c r="BV877" s="160"/>
      <c r="BW877" s="160"/>
      <c r="BX877" s="160"/>
      <c r="BY877" s="160"/>
      <c r="BZ877" s="160"/>
      <c r="CA877" s="160"/>
      <c r="CB877" s="160"/>
      <c r="CC877" s="160"/>
      <c r="CD877" s="160"/>
      <c r="CE877" s="160"/>
      <c r="CF877" s="160"/>
    </row>
    <row r="878">
      <c r="D878" s="159"/>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c r="BD878" s="160"/>
      <c r="BE878" s="160"/>
      <c r="BF878" s="160"/>
      <c r="BG878" s="160"/>
      <c r="BH878" s="160"/>
      <c r="BI878" s="160"/>
      <c r="BJ878" s="160"/>
      <c r="BK878" s="160"/>
      <c r="BL878" s="160"/>
      <c r="BM878" s="160"/>
      <c r="BN878" s="160"/>
      <c r="BO878" s="160"/>
      <c r="BP878" s="160"/>
      <c r="BQ878" s="160"/>
      <c r="BR878" s="160"/>
      <c r="BS878" s="160"/>
      <c r="BT878" s="160"/>
      <c r="BU878" s="160"/>
      <c r="BV878" s="160"/>
      <c r="BW878" s="160"/>
      <c r="BX878" s="160"/>
      <c r="BY878" s="160"/>
      <c r="BZ878" s="160"/>
      <c r="CA878" s="160"/>
      <c r="CB878" s="160"/>
      <c r="CC878" s="160"/>
      <c r="CD878" s="160"/>
      <c r="CE878" s="160"/>
      <c r="CF878" s="160"/>
    </row>
    <row r="879">
      <c r="D879" s="159"/>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c r="BD879" s="160"/>
      <c r="BE879" s="160"/>
      <c r="BF879" s="160"/>
      <c r="BG879" s="160"/>
      <c r="BH879" s="160"/>
      <c r="BI879" s="160"/>
      <c r="BJ879" s="160"/>
      <c r="BK879" s="160"/>
      <c r="BL879" s="160"/>
      <c r="BM879" s="160"/>
      <c r="BN879" s="160"/>
      <c r="BO879" s="160"/>
      <c r="BP879" s="160"/>
      <c r="BQ879" s="160"/>
      <c r="BR879" s="160"/>
      <c r="BS879" s="160"/>
      <c r="BT879" s="160"/>
      <c r="BU879" s="160"/>
      <c r="BV879" s="160"/>
      <c r="BW879" s="160"/>
      <c r="BX879" s="160"/>
      <c r="BY879" s="160"/>
      <c r="BZ879" s="160"/>
      <c r="CA879" s="160"/>
      <c r="CB879" s="160"/>
      <c r="CC879" s="160"/>
      <c r="CD879" s="160"/>
      <c r="CE879" s="160"/>
      <c r="CF879" s="160"/>
    </row>
    <row r="880">
      <c r="D880" s="159"/>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60"/>
      <c r="BT880" s="160"/>
      <c r="BU880" s="160"/>
      <c r="BV880" s="160"/>
      <c r="BW880" s="160"/>
      <c r="BX880" s="160"/>
      <c r="BY880" s="160"/>
      <c r="BZ880" s="160"/>
      <c r="CA880" s="160"/>
      <c r="CB880" s="160"/>
      <c r="CC880" s="160"/>
      <c r="CD880" s="160"/>
      <c r="CE880" s="160"/>
      <c r="CF880" s="160"/>
    </row>
    <row r="881">
      <c r="D881" s="159"/>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c r="BD881" s="160"/>
      <c r="BE881" s="160"/>
      <c r="BF881" s="160"/>
      <c r="BG881" s="160"/>
      <c r="BH881" s="160"/>
      <c r="BI881" s="160"/>
      <c r="BJ881" s="160"/>
      <c r="BK881" s="160"/>
      <c r="BL881" s="160"/>
      <c r="BM881" s="160"/>
      <c r="BN881" s="160"/>
      <c r="BO881" s="160"/>
      <c r="BP881" s="160"/>
      <c r="BQ881" s="160"/>
      <c r="BR881" s="160"/>
      <c r="BS881" s="160"/>
      <c r="BT881" s="160"/>
      <c r="BU881" s="160"/>
      <c r="BV881" s="160"/>
      <c r="BW881" s="160"/>
      <c r="BX881" s="160"/>
      <c r="BY881" s="160"/>
      <c r="BZ881" s="160"/>
      <c r="CA881" s="160"/>
      <c r="CB881" s="160"/>
      <c r="CC881" s="160"/>
      <c r="CD881" s="160"/>
      <c r="CE881" s="160"/>
      <c r="CF881" s="160"/>
    </row>
    <row r="882">
      <c r="D882" s="159"/>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c r="BD882" s="160"/>
      <c r="BE882" s="160"/>
      <c r="BF882" s="160"/>
      <c r="BG882" s="160"/>
      <c r="BH882" s="160"/>
      <c r="BI882" s="160"/>
      <c r="BJ882" s="160"/>
      <c r="BK882" s="160"/>
      <c r="BL882" s="160"/>
      <c r="BM882" s="160"/>
      <c r="BN882" s="160"/>
      <c r="BO882" s="160"/>
      <c r="BP882" s="160"/>
      <c r="BQ882" s="160"/>
      <c r="BR882" s="160"/>
      <c r="BS882" s="160"/>
      <c r="BT882" s="160"/>
      <c r="BU882" s="160"/>
      <c r="BV882" s="160"/>
      <c r="BW882" s="160"/>
      <c r="BX882" s="160"/>
      <c r="BY882" s="160"/>
      <c r="BZ882" s="160"/>
      <c r="CA882" s="160"/>
      <c r="CB882" s="160"/>
      <c r="CC882" s="160"/>
      <c r="CD882" s="160"/>
      <c r="CE882" s="160"/>
      <c r="CF882" s="160"/>
    </row>
    <row r="883">
      <c r="D883" s="159"/>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c r="BD883" s="160"/>
      <c r="BE883" s="160"/>
      <c r="BF883" s="160"/>
      <c r="BG883" s="160"/>
      <c r="BH883" s="160"/>
      <c r="BI883" s="160"/>
      <c r="BJ883" s="160"/>
      <c r="BK883" s="160"/>
      <c r="BL883" s="160"/>
      <c r="BM883" s="160"/>
      <c r="BN883" s="160"/>
      <c r="BO883" s="160"/>
      <c r="BP883" s="160"/>
      <c r="BQ883" s="160"/>
      <c r="BR883" s="160"/>
      <c r="BS883" s="160"/>
      <c r="BT883" s="160"/>
      <c r="BU883" s="160"/>
      <c r="BV883" s="160"/>
      <c r="BW883" s="160"/>
      <c r="BX883" s="160"/>
      <c r="BY883" s="160"/>
      <c r="BZ883" s="160"/>
      <c r="CA883" s="160"/>
      <c r="CB883" s="160"/>
      <c r="CC883" s="160"/>
      <c r="CD883" s="160"/>
      <c r="CE883" s="160"/>
      <c r="CF883" s="160"/>
    </row>
    <row r="884">
      <c r="D884" s="159"/>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c r="BD884" s="160"/>
      <c r="BE884" s="160"/>
      <c r="BF884" s="160"/>
      <c r="BG884" s="160"/>
      <c r="BH884" s="160"/>
      <c r="BI884" s="160"/>
      <c r="BJ884" s="160"/>
      <c r="BK884" s="160"/>
      <c r="BL884" s="160"/>
      <c r="BM884" s="160"/>
      <c r="BN884" s="160"/>
      <c r="BO884" s="160"/>
      <c r="BP884" s="160"/>
      <c r="BQ884" s="160"/>
      <c r="BR884" s="160"/>
      <c r="BS884" s="160"/>
      <c r="BT884" s="160"/>
      <c r="BU884" s="160"/>
      <c r="BV884" s="160"/>
      <c r="BW884" s="160"/>
      <c r="BX884" s="160"/>
      <c r="BY884" s="160"/>
      <c r="BZ884" s="160"/>
      <c r="CA884" s="160"/>
      <c r="CB884" s="160"/>
      <c r="CC884" s="160"/>
      <c r="CD884" s="160"/>
      <c r="CE884" s="160"/>
      <c r="CF884" s="160"/>
    </row>
    <row r="885">
      <c r="D885" s="159"/>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c r="BD885" s="160"/>
      <c r="BE885" s="160"/>
      <c r="BF885" s="160"/>
      <c r="BG885" s="160"/>
      <c r="BH885" s="160"/>
      <c r="BI885" s="160"/>
      <c r="BJ885" s="160"/>
      <c r="BK885" s="160"/>
      <c r="BL885" s="160"/>
      <c r="BM885" s="160"/>
      <c r="BN885" s="160"/>
      <c r="BO885" s="160"/>
      <c r="BP885" s="160"/>
      <c r="BQ885" s="160"/>
      <c r="BR885" s="160"/>
      <c r="BS885" s="160"/>
      <c r="BT885" s="160"/>
      <c r="BU885" s="160"/>
      <c r="BV885" s="160"/>
      <c r="BW885" s="160"/>
      <c r="BX885" s="160"/>
      <c r="BY885" s="160"/>
      <c r="BZ885" s="160"/>
      <c r="CA885" s="160"/>
      <c r="CB885" s="160"/>
      <c r="CC885" s="160"/>
      <c r="CD885" s="160"/>
      <c r="CE885" s="160"/>
      <c r="CF885" s="160"/>
    </row>
    <row r="886">
      <c r="D886" s="159"/>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c r="BD886" s="160"/>
      <c r="BE886" s="160"/>
      <c r="BF886" s="160"/>
      <c r="BG886" s="160"/>
      <c r="BH886" s="160"/>
      <c r="BI886" s="160"/>
      <c r="BJ886" s="160"/>
      <c r="BK886" s="160"/>
      <c r="BL886" s="160"/>
      <c r="BM886" s="160"/>
      <c r="BN886" s="160"/>
      <c r="BO886" s="160"/>
      <c r="BP886" s="160"/>
      <c r="BQ886" s="160"/>
      <c r="BR886" s="160"/>
      <c r="BS886" s="160"/>
      <c r="BT886" s="160"/>
      <c r="BU886" s="160"/>
      <c r="BV886" s="160"/>
      <c r="BW886" s="160"/>
      <c r="BX886" s="160"/>
      <c r="BY886" s="160"/>
      <c r="BZ886" s="160"/>
      <c r="CA886" s="160"/>
      <c r="CB886" s="160"/>
      <c r="CC886" s="160"/>
      <c r="CD886" s="160"/>
      <c r="CE886" s="160"/>
      <c r="CF886" s="160"/>
    </row>
    <row r="887">
      <c r="D887" s="159"/>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c r="BD887" s="160"/>
      <c r="BE887" s="160"/>
      <c r="BF887" s="160"/>
      <c r="BG887" s="160"/>
      <c r="BH887" s="160"/>
      <c r="BI887" s="160"/>
      <c r="BJ887" s="160"/>
      <c r="BK887" s="160"/>
      <c r="BL887" s="160"/>
      <c r="BM887" s="160"/>
      <c r="BN887" s="160"/>
      <c r="BO887" s="160"/>
      <c r="BP887" s="160"/>
      <c r="BQ887" s="160"/>
      <c r="BR887" s="160"/>
      <c r="BS887" s="160"/>
      <c r="BT887" s="160"/>
      <c r="BU887" s="160"/>
      <c r="BV887" s="160"/>
      <c r="BW887" s="160"/>
      <c r="BX887" s="160"/>
      <c r="BY887" s="160"/>
      <c r="BZ887" s="160"/>
      <c r="CA887" s="160"/>
      <c r="CB887" s="160"/>
      <c r="CC887" s="160"/>
      <c r="CD887" s="160"/>
      <c r="CE887" s="160"/>
      <c r="CF887" s="160"/>
    </row>
    <row r="888">
      <c r="D888" s="159"/>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c r="BD888" s="160"/>
      <c r="BE888" s="160"/>
      <c r="BF888" s="160"/>
      <c r="BG888" s="160"/>
      <c r="BH888" s="160"/>
      <c r="BI888" s="160"/>
      <c r="BJ888" s="160"/>
      <c r="BK888" s="160"/>
      <c r="BL888" s="160"/>
      <c r="BM888" s="160"/>
      <c r="BN888" s="160"/>
      <c r="BO888" s="160"/>
      <c r="BP888" s="160"/>
      <c r="BQ888" s="160"/>
      <c r="BR888" s="160"/>
      <c r="BS888" s="160"/>
      <c r="BT888" s="160"/>
      <c r="BU888" s="160"/>
      <c r="BV888" s="160"/>
      <c r="BW888" s="160"/>
      <c r="BX888" s="160"/>
      <c r="BY888" s="160"/>
      <c r="BZ888" s="160"/>
      <c r="CA888" s="160"/>
      <c r="CB888" s="160"/>
      <c r="CC888" s="160"/>
      <c r="CD888" s="160"/>
      <c r="CE888" s="160"/>
      <c r="CF888" s="160"/>
    </row>
    <row r="889">
      <c r="D889" s="159"/>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c r="BD889" s="160"/>
      <c r="BE889" s="160"/>
      <c r="BF889" s="160"/>
      <c r="BG889" s="160"/>
      <c r="BH889" s="160"/>
      <c r="BI889" s="160"/>
      <c r="BJ889" s="160"/>
      <c r="BK889" s="160"/>
      <c r="BL889" s="160"/>
      <c r="BM889" s="160"/>
      <c r="BN889" s="160"/>
      <c r="BO889" s="160"/>
      <c r="BP889" s="160"/>
      <c r="BQ889" s="160"/>
      <c r="BR889" s="160"/>
      <c r="BS889" s="160"/>
      <c r="BT889" s="160"/>
      <c r="BU889" s="160"/>
      <c r="BV889" s="160"/>
      <c r="BW889" s="160"/>
      <c r="BX889" s="160"/>
      <c r="BY889" s="160"/>
      <c r="BZ889" s="160"/>
      <c r="CA889" s="160"/>
      <c r="CB889" s="160"/>
      <c r="CC889" s="160"/>
      <c r="CD889" s="160"/>
      <c r="CE889" s="160"/>
      <c r="CF889" s="160"/>
    </row>
    <row r="890">
      <c r="D890" s="159"/>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c r="BD890" s="160"/>
      <c r="BE890" s="160"/>
      <c r="BF890" s="160"/>
      <c r="BG890" s="160"/>
      <c r="BH890" s="160"/>
      <c r="BI890" s="160"/>
      <c r="BJ890" s="160"/>
      <c r="BK890" s="160"/>
      <c r="BL890" s="160"/>
      <c r="BM890" s="160"/>
      <c r="BN890" s="160"/>
      <c r="BO890" s="160"/>
      <c r="BP890" s="160"/>
      <c r="BQ890" s="160"/>
      <c r="BR890" s="160"/>
      <c r="BS890" s="160"/>
      <c r="BT890" s="160"/>
      <c r="BU890" s="160"/>
      <c r="BV890" s="160"/>
      <c r="BW890" s="160"/>
      <c r="BX890" s="160"/>
      <c r="BY890" s="160"/>
      <c r="BZ890" s="160"/>
      <c r="CA890" s="160"/>
      <c r="CB890" s="160"/>
      <c r="CC890" s="160"/>
      <c r="CD890" s="160"/>
      <c r="CE890" s="160"/>
      <c r="CF890" s="160"/>
    </row>
    <row r="891">
      <c r="D891" s="159"/>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c r="BD891" s="160"/>
      <c r="BE891" s="160"/>
      <c r="BF891" s="160"/>
      <c r="BG891" s="160"/>
      <c r="BH891" s="160"/>
      <c r="BI891" s="160"/>
      <c r="BJ891" s="160"/>
      <c r="BK891" s="160"/>
      <c r="BL891" s="160"/>
      <c r="BM891" s="160"/>
      <c r="BN891" s="160"/>
      <c r="BO891" s="160"/>
      <c r="BP891" s="160"/>
      <c r="BQ891" s="160"/>
      <c r="BR891" s="160"/>
      <c r="BS891" s="160"/>
      <c r="BT891" s="160"/>
      <c r="BU891" s="160"/>
      <c r="BV891" s="160"/>
      <c r="BW891" s="160"/>
      <c r="BX891" s="160"/>
      <c r="BY891" s="160"/>
      <c r="BZ891" s="160"/>
      <c r="CA891" s="160"/>
      <c r="CB891" s="160"/>
      <c r="CC891" s="160"/>
      <c r="CD891" s="160"/>
      <c r="CE891" s="160"/>
      <c r="CF891" s="160"/>
    </row>
    <row r="892">
      <c r="D892" s="159"/>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c r="BD892" s="160"/>
      <c r="BE892" s="160"/>
      <c r="BF892" s="160"/>
      <c r="BG892" s="160"/>
      <c r="BH892" s="160"/>
      <c r="BI892" s="160"/>
      <c r="BJ892" s="160"/>
      <c r="BK892" s="160"/>
      <c r="BL892" s="160"/>
      <c r="BM892" s="160"/>
      <c r="BN892" s="160"/>
      <c r="BO892" s="160"/>
      <c r="BP892" s="160"/>
      <c r="BQ892" s="160"/>
      <c r="BR892" s="160"/>
      <c r="BS892" s="160"/>
      <c r="BT892" s="160"/>
      <c r="BU892" s="160"/>
      <c r="BV892" s="160"/>
      <c r="BW892" s="160"/>
      <c r="BX892" s="160"/>
      <c r="BY892" s="160"/>
      <c r="BZ892" s="160"/>
      <c r="CA892" s="160"/>
      <c r="CB892" s="160"/>
      <c r="CC892" s="160"/>
      <c r="CD892" s="160"/>
      <c r="CE892" s="160"/>
      <c r="CF892" s="160"/>
    </row>
    <row r="893">
      <c r="D893" s="159"/>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c r="BD893" s="160"/>
      <c r="BE893" s="160"/>
      <c r="BF893" s="160"/>
      <c r="BG893" s="160"/>
      <c r="BH893" s="160"/>
      <c r="BI893" s="160"/>
      <c r="BJ893" s="160"/>
      <c r="BK893" s="160"/>
      <c r="BL893" s="160"/>
      <c r="BM893" s="160"/>
      <c r="BN893" s="160"/>
      <c r="BO893" s="160"/>
      <c r="BP893" s="160"/>
      <c r="BQ893" s="160"/>
      <c r="BR893" s="160"/>
      <c r="BS893" s="160"/>
      <c r="BT893" s="160"/>
      <c r="BU893" s="160"/>
      <c r="BV893" s="160"/>
      <c r="BW893" s="160"/>
      <c r="BX893" s="160"/>
      <c r="BY893" s="160"/>
      <c r="BZ893" s="160"/>
      <c r="CA893" s="160"/>
      <c r="CB893" s="160"/>
      <c r="CC893" s="160"/>
      <c r="CD893" s="160"/>
      <c r="CE893" s="160"/>
      <c r="CF893" s="160"/>
    </row>
    <row r="894">
      <c r="D894" s="159"/>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c r="BD894" s="160"/>
      <c r="BE894" s="160"/>
      <c r="BF894" s="160"/>
      <c r="BG894" s="160"/>
      <c r="BH894" s="160"/>
      <c r="BI894" s="160"/>
      <c r="BJ894" s="160"/>
      <c r="BK894" s="160"/>
      <c r="BL894" s="160"/>
      <c r="BM894" s="160"/>
      <c r="BN894" s="160"/>
      <c r="BO894" s="160"/>
      <c r="BP894" s="160"/>
      <c r="BQ894" s="160"/>
      <c r="BR894" s="160"/>
      <c r="BS894" s="160"/>
      <c r="BT894" s="160"/>
      <c r="BU894" s="160"/>
      <c r="BV894" s="160"/>
      <c r="BW894" s="160"/>
      <c r="BX894" s="160"/>
      <c r="BY894" s="160"/>
      <c r="BZ894" s="160"/>
      <c r="CA894" s="160"/>
      <c r="CB894" s="160"/>
      <c r="CC894" s="160"/>
      <c r="CD894" s="160"/>
      <c r="CE894" s="160"/>
      <c r="CF894" s="160"/>
    </row>
    <row r="895">
      <c r="D895" s="159"/>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c r="BD895" s="160"/>
      <c r="BE895" s="160"/>
      <c r="BF895" s="160"/>
      <c r="BG895" s="160"/>
      <c r="BH895" s="160"/>
      <c r="BI895" s="160"/>
      <c r="BJ895" s="160"/>
      <c r="BK895" s="160"/>
      <c r="BL895" s="160"/>
      <c r="BM895" s="160"/>
      <c r="BN895" s="160"/>
      <c r="BO895" s="160"/>
      <c r="BP895" s="160"/>
      <c r="BQ895" s="160"/>
      <c r="BR895" s="160"/>
      <c r="BS895" s="160"/>
      <c r="BT895" s="160"/>
      <c r="BU895" s="160"/>
      <c r="BV895" s="160"/>
      <c r="BW895" s="160"/>
      <c r="BX895" s="160"/>
      <c r="BY895" s="160"/>
      <c r="BZ895" s="160"/>
      <c r="CA895" s="160"/>
      <c r="CB895" s="160"/>
      <c r="CC895" s="160"/>
      <c r="CD895" s="160"/>
      <c r="CE895" s="160"/>
      <c r="CF895" s="160"/>
    </row>
    <row r="896">
      <c r="D896" s="159"/>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c r="BD896" s="160"/>
      <c r="BE896" s="160"/>
      <c r="BF896" s="160"/>
      <c r="BG896" s="160"/>
      <c r="BH896" s="160"/>
      <c r="BI896" s="160"/>
      <c r="BJ896" s="160"/>
      <c r="BK896" s="160"/>
      <c r="BL896" s="160"/>
      <c r="BM896" s="160"/>
      <c r="BN896" s="160"/>
      <c r="BO896" s="160"/>
      <c r="BP896" s="160"/>
      <c r="BQ896" s="160"/>
      <c r="BR896" s="160"/>
      <c r="BS896" s="160"/>
      <c r="BT896" s="160"/>
      <c r="BU896" s="160"/>
      <c r="BV896" s="160"/>
      <c r="BW896" s="160"/>
      <c r="BX896" s="160"/>
      <c r="BY896" s="160"/>
      <c r="BZ896" s="160"/>
      <c r="CA896" s="160"/>
      <c r="CB896" s="160"/>
      <c r="CC896" s="160"/>
      <c r="CD896" s="160"/>
      <c r="CE896" s="160"/>
      <c r="CF896" s="160"/>
    </row>
    <row r="897">
      <c r="D897" s="159"/>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c r="BD897" s="160"/>
      <c r="BE897" s="160"/>
      <c r="BF897" s="160"/>
      <c r="BG897" s="160"/>
      <c r="BH897" s="160"/>
      <c r="BI897" s="160"/>
      <c r="BJ897" s="160"/>
      <c r="BK897" s="160"/>
      <c r="BL897" s="160"/>
      <c r="BM897" s="160"/>
      <c r="BN897" s="160"/>
      <c r="BO897" s="160"/>
      <c r="BP897" s="160"/>
      <c r="BQ897" s="160"/>
      <c r="BR897" s="160"/>
      <c r="BS897" s="160"/>
      <c r="BT897" s="160"/>
      <c r="BU897" s="160"/>
      <c r="BV897" s="160"/>
      <c r="BW897" s="160"/>
      <c r="BX897" s="160"/>
      <c r="BY897" s="160"/>
      <c r="BZ897" s="160"/>
      <c r="CA897" s="160"/>
      <c r="CB897" s="160"/>
      <c r="CC897" s="160"/>
      <c r="CD897" s="160"/>
      <c r="CE897" s="160"/>
      <c r="CF897" s="160"/>
    </row>
    <row r="898">
      <c r="D898" s="159"/>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c r="BD898" s="160"/>
      <c r="BE898" s="160"/>
      <c r="BF898" s="160"/>
      <c r="BG898" s="160"/>
      <c r="BH898" s="160"/>
      <c r="BI898" s="160"/>
      <c r="BJ898" s="160"/>
      <c r="BK898" s="160"/>
      <c r="BL898" s="160"/>
      <c r="BM898" s="160"/>
      <c r="BN898" s="160"/>
      <c r="BO898" s="160"/>
      <c r="BP898" s="160"/>
      <c r="BQ898" s="160"/>
      <c r="BR898" s="160"/>
      <c r="BS898" s="160"/>
      <c r="BT898" s="160"/>
      <c r="BU898" s="160"/>
      <c r="BV898" s="160"/>
      <c r="BW898" s="160"/>
      <c r="BX898" s="160"/>
      <c r="BY898" s="160"/>
      <c r="BZ898" s="160"/>
      <c r="CA898" s="160"/>
      <c r="CB898" s="160"/>
      <c r="CC898" s="160"/>
      <c r="CD898" s="160"/>
      <c r="CE898" s="160"/>
      <c r="CF898" s="160"/>
    </row>
    <row r="899">
      <c r="D899" s="159"/>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c r="BD899" s="160"/>
      <c r="BE899" s="160"/>
      <c r="BF899" s="160"/>
      <c r="BG899" s="160"/>
      <c r="BH899" s="160"/>
      <c r="BI899" s="160"/>
      <c r="BJ899" s="160"/>
      <c r="BK899" s="160"/>
      <c r="BL899" s="160"/>
      <c r="BM899" s="160"/>
      <c r="BN899" s="160"/>
      <c r="BO899" s="160"/>
      <c r="BP899" s="160"/>
      <c r="BQ899" s="160"/>
      <c r="BR899" s="160"/>
      <c r="BS899" s="160"/>
      <c r="BT899" s="160"/>
      <c r="BU899" s="160"/>
      <c r="BV899" s="160"/>
      <c r="BW899" s="160"/>
      <c r="BX899" s="160"/>
      <c r="BY899" s="160"/>
      <c r="BZ899" s="160"/>
      <c r="CA899" s="160"/>
      <c r="CB899" s="160"/>
      <c r="CC899" s="160"/>
      <c r="CD899" s="160"/>
      <c r="CE899" s="160"/>
      <c r="CF899" s="160"/>
    </row>
    <row r="900">
      <c r="D900" s="159"/>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c r="BD900" s="160"/>
      <c r="BE900" s="160"/>
      <c r="BF900" s="160"/>
      <c r="BG900" s="160"/>
      <c r="BH900" s="160"/>
      <c r="BI900" s="160"/>
      <c r="BJ900" s="160"/>
      <c r="BK900" s="160"/>
      <c r="BL900" s="160"/>
      <c r="BM900" s="160"/>
      <c r="BN900" s="160"/>
      <c r="BO900" s="160"/>
      <c r="BP900" s="160"/>
      <c r="BQ900" s="160"/>
      <c r="BR900" s="160"/>
      <c r="BS900" s="160"/>
      <c r="BT900" s="160"/>
      <c r="BU900" s="160"/>
      <c r="BV900" s="160"/>
      <c r="BW900" s="160"/>
      <c r="BX900" s="160"/>
      <c r="BY900" s="160"/>
      <c r="BZ900" s="160"/>
      <c r="CA900" s="160"/>
      <c r="CB900" s="160"/>
      <c r="CC900" s="160"/>
      <c r="CD900" s="160"/>
      <c r="CE900" s="160"/>
      <c r="CF900" s="160"/>
    </row>
    <row r="901">
      <c r="D901" s="159"/>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c r="BD901" s="160"/>
      <c r="BE901" s="160"/>
      <c r="BF901" s="160"/>
      <c r="BG901" s="160"/>
      <c r="BH901" s="160"/>
      <c r="BI901" s="160"/>
      <c r="BJ901" s="160"/>
      <c r="BK901" s="160"/>
      <c r="BL901" s="160"/>
      <c r="BM901" s="160"/>
      <c r="BN901" s="160"/>
      <c r="BO901" s="160"/>
      <c r="BP901" s="160"/>
      <c r="BQ901" s="160"/>
      <c r="BR901" s="160"/>
      <c r="BS901" s="160"/>
      <c r="BT901" s="160"/>
      <c r="BU901" s="160"/>
      <c r="BV901" s="160"/>
      <c r="BW901" s="160"/>
      <c r="BX901" s="160"/>
      <c r="BY901" s="160"/>
      <c r="BZ901" s="160"/>
      <c r="CA901" s="160"/>
      <c r="CB901" s="160"/>
      <c r="CC901" s="160"/>
      <c r="CD901" s="160"/>
      <c r="CE901" s="160"/>
      <c r="CF901" s="160"/>
    </row>
    <row r="902">
      <c r="D902" s="159"/>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c r="BD902" s="160"/>
      <c r="BE902" s="160"/>
      <c r="BF902" s="160"/>
      <c r="BG902" s="160"/>
      <c r="BH902" s="160"/>
      <c r="BI902" s="160"/>
      <c r="BJ902" s="160"/>
      <c r="BK902" s="160"/>
      <c r="BL902" s="160"/>
      <c r="BM902" s="160"/>
      <c r="BN902" s="160"/>
      <c r="BO902" s="160"/>
      <c r="BP902" s="160"/>
      <c r="BQ902" s="160"/>
      <c r="BR902" s="160"/>
      <c r="BS902" s="160"/>
      <c r="BT902" s="160"/>
      <c r="BU902" s="160"/>
      <c r="BV902" s="160"/>
      <c r="BW902" s="160"/>
      <c r="BX902" s="160"/>
      <c r="BY902" s="160"/>
      <c r="BZ902" s="160"/>
      <c r="CA902" s="160"/>
      <c r="CB902" s="160"/>
      <c r="CC902" s="160"/>
      <c r="CD902" s="160"/>
      <c r="CE902" s="160"/>
      <c r="CF902" s="160"/>
    </row>
    <row r="903">
      <c r="D903" s="159"/>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c r="BD903" s="160"/>
      <c r="BE903" s="160"/>
      <c r="BF903" s="160"/>
      <c r="BG903" s="160"/>
      <c r="BH903" s="160"/>
      <c r="BI903" s="160"/>
      <c r="BJ903" s="160"/>
      <c r="BK903" s="160"/>
      <c r="BL903" s="160"/>
      <c r="BM903" s="160"/>
      <c r="BN903" s="160"/>
      <c r="BO903" s="160"/>
      <c r="BP903" s="160"/>
      <c r="BQ903" s="160"/>
      <c r="BR903" s="160"/>
      <c r="BS903" s="160"/>
      <c r="BT903" s="160"/>
      <c r="BU903" s="160"/>
      <c r="BV903" s="160"/>
      <c r="BW903" s="160"/>
      <c r="BX903" s="160"/>
      <c r="BY903" s="160"/>
      <c r="BZ903" s="160"/>
      <c r="CA903" s="160"/>
      <c r="CB903" s="160"/>
      <c r="CC903" s="160"/>
      <c r="CD903" s="160"/>
      <c r="CE903" s="160"/>
      <c r="CF903" s="160"/>
    </row>
    <row r="904">
      <c r="D904" s="159"/>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c r="BD904" s="160"/>
      <c r="BE904" s="160"/>
      <c r="BF904" s="160"/>
      <c r="BG904" s="160"/>
      <c r="BH904" s="160"/>
      <c r="BI904" s="160"/>
      <c r="BJ904" s="160"/>
      <c r="BK904" s="160"/>
      <c r="BL904" s="160"/>
      <c r="BM904" s="160"/>
      <c r="BN904" s="160"/>
      <c r="BO904" s="160"/>
      <c r="BP904" s="160"/>
      <c r="BQ904" s="160"/>
      <c r="BR904" s="160"/>
      <c r="BS904" s="160"/>
      <c r="BT904" s="160"/>
      <c r="BU904" s="160"/>
      <c r="BV904" s="160"/>
      <c r="BW904" s="160"/>
      <c r="BX904" s="160"/>
      <c r="BY904" s="160"/>
      <c r="BZ904" s="160"/>
      <c r="CA904" s="160"/>
      <c r="CB904" s="160"/>
      <c r="CC904" s="160"/>
      <c r="CD904" s="160"/>
      <c r="CE904" s="160"/>
      <c r="CF904" s="160"/>
    </row>
    <row r="905">
      <c r="D905" s="159"/>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c r="BD905" s="160"/>
      <c r="BE905" s="160"/>
      <c r="BF905" s="160"/>
      <c r="BG905" s="160"/>
      <c r="BH905" s="160"/>
      <c r="BI905" s="160"/>
      <c r="BJ905" s="160"/>
      <c r="BK905" s="160"/>
      <c r="BL905" s="160"/>
      <c r="BM905" s="160"/>
      <c r="BN905" s="160"/>
      <c r="BO905" s="160"/>
      <c r="BP905" s="160"/>
      <c r="BQ905" s="160"/>
      <c r="BR905" s="160"/>
      <c r="BS905" s="160"/>
      <c r="BT905" s="160"/>
      <c r="BU905" s="160"/>
      <c r="BV905" s="160"/>
      <c r="BW905" s="160"/>
      <c r="BX905" s="160"/>
      <c r="BY905" s="160"/>
      <c r="BZ905" s="160"/>
      <c r="CA905" s="160"/>
      <c r="CB905" s="160"/>
      <c r="CC905" s="160"/>
      <c r="CD905" s="160"/>
      <c r="CE905" s="160"/>
      <c r="CF905" s="160"/>
    </row>
    <row r="906">
      <c r="D906" s="159"/>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c r="BD906" s="160"/>
      <c r="BE906" s="160"/>
      <c r="BF906" s="160"/>
      <c r="BG906" s="160"/>
      <c r="BH906" s="160"/>
      <c r="BI906" s="160"/>
      <c r="BJ906" s="160"/>
      <c r="BK906" s="160"/>
      <c r="BL906" s="160"/>
      <c r="BM906" s="160"/>
      <c r="BN906" s="160"/>
      <c r="BO906" s="160"/>
      <c r="BP906" s="160"/>
      <c r="BQ906" s="160"/>
      <c r="BR906" s="160"/>
      <c r="BS906" s="160"/>
      <c r="BT906" s="160"/>
      <c r="BU906" s="160"/>
      <c r="BV906" s="160"/>
      <c r="BW906" s="160"/>
      <c r="BX906" s="160"/>
      <c r="BY906" s="160"/>
      <c r="BZ906" s="160"/>
      <c r="CA906" s="160"/>
      <c r="CB906" s="160"/>
      <c r="CC906" s="160"/>
      <c r="CD906" s="160"/>
      <c r="CE906" s="160"/>
      <c r="CF906" s="160"/>
    </row>
    <row r="907">
      <c r="D907" s="159"/>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c r="BD907" s="160"/>
      <c r="BE907" s="160"/>
      <c r="BF907" s="160"/>
      <c r="BG907" s="160"/>
      <c r="BH907" s="160"/>
      <c r="BI907" s="160"/>
      <c r="BJ907" s="160"/>
      <c r="BK907" s="160"/>
      <c r="BL907" s="160"/>
      <c r="BM907" s="160"/>
      <c r="BN907" s="160"/>
      <c r="BO907" s="160"/>
      <c r="BP907" s="160"/>
      <c r="BQ907" s="160"/>
      <c r="BR907" s="160"/>
      <c r="BS907" s="160"/>
      <c r="BT907" s="160"/>
      <c r="BU907" s="160"/>
      <c r="BV907" s="160"/>
      <c r="BW907" s="160"/>
      <c r="BX907" s="160"/>
      <c r="BY907" s="160"/>
      <c r="BZ907" s="160"/>
      <c r="CA907" s="160"/>
      <c r="CB907" s="160"/>
      <c r="CC907" s="160"/>
      <c r="CD907" s="160"/>
      <c r="CE907" s="160"/>
      <c r="CF907" s="160"/>
    </row>
    <row r="908">
      <c r="D908" s="159"/>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c r="BD908" s="160"/>
      <c r="BE908" s="160"/>
      <c r="BF908" s="160"/>
      <c r="BG908" s="160"/>
      <c r="BH908" s="160"/>
      <c r="BI908" s="160"/>
      <c r="BJ908" s="160"/>
      <c r="BK908" s="160"/>
      <c r="BL908" s="160"/>
      <c r="BM908" s="160"/>
      <c r="BN908" s="160"/>
      <c r="BO908" s="160"/>
      <c r="BP908" s="160"/>
      <c r="BQ908" s="160"/>
      <c r="BR908" s="160"/>
      <c r="BS908" s="160"/>
      <c r="BT908" s="160"/>
      <c r="BU908" s="160"/>
      <c r="BV908" s="160"/>
      <c r="BW908" s="160"/>
      <c r="BX908" s="160"/>
      <c r="BY908" s="160"/>
      <c r="BZ908" s="160"/>
      <c r="CA908" s="160"/>
      <c r="CB908" s="160"/>
      <c r="CC908" s="160"/>
      <c r="CD908" s="160"/>
      <c r="CE908" s="160"/>
      <c r="CF908" s="160"/>
    </row>
    <row r="909">
      <c r="D909" s="159"/>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c r="BD909" s="160"/>
      <c r="BE909" s="160"/>
      <c r="BF909" s="160"/>
      <c r="BG909" s="160"/>
      <c r="BH909" s="160"/>
      <c r="BI909" s="160"/>
      <c r="BJ909" s="160"/>
      <c r="BK909" s="160"/>
      <c r="BL909" s="160"/>
      <c r="BM909" s="160"/>
      <c r="BN909" s="160"/>
      <c r="BO909" s="160"/>
      <c r="BP909" s="160"/>
      <c r="BQ909" s="160"/>
      <c r="BR909" s="160"/>
      <c r="BS909" s="160"/>
      <c r="BT909" s="160"/>
      <c r="BU909" s="160"/>
      <c r="BV909" s="160"/>
      <c r="BW909" s="160"/>
      <c r="BX909" s="160"/>
      <c r="BY909" s="160"/>
      <c r="BZ909" s="160"/>
      <c r="CA909" s="160"/>
      <c r="CB909" s="160"/>
      <c r="CC909" s="160"/>
      <c r="CD909" s="160"/>
      <c r="CE909" s="160"/>
      <c r="CF909" s="160"/>
    </row>
    <row r="910">
      <c r="D910" s="159"/>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c r="BD910" s="160"/>
      <c r="BE910" s="160"/>
      <c r="BF910" s="160"/>
      <c r="BG910" s="160"/>
      <c r="BH910" s="160"/>
      <c r="BI910" s="160"/>
      <c r="BJ910" s="160"/>
      <c r="BK910" s="160"/>
      <c r="BL910" s="160"/>
      <c r="BM910" s="160"/>
      <c r="BN910" s="160"/>
      <c r="BO910" s="160"/>
      <c r="BP910" s="160"/>
      <c r="BQ910" s="160"/>
      <c r="BR910" s="160"/>
      <c r="BS910" s="160"/>
      <c r="BT910" s="160"/>
      <c r="BU910" s="160"/>
      <c r="BV910" s="160"/>
      <c r="BW910" s="160"/>
      <c r="BX910" s="160"/>
      <c r="BY910" s="160"/>
      <c r="BZ910" s="160"/>
      <c r="CA910" s="160"/>
      <c r="CB910" s="160"/>
      <c r="CC910" s="160"/>
      <c r="CD910" s="160"/>
      <c r="CE910" s="160"/>
      <c r="CF910" s="160"/>
    </row>
    <row r="911">
      <c r="D911" s="159"/>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c r="BD911" s="160"/>
      <c r="BE911" s="160"/>
      <c r="BF911" s="160"/>
      <c r="BG911" s="160"/>
      <c r="BH911" s="160"/>
      <c r="BI911" s="160"/>
      <c r="BJ911" s="160"/>
      <c r="BK911" s="160"/>
      <c r="BL911" s="160"/>
      <c r="BM911" s="160"/>
      <c r="BN911" s="160"/>
      <c r="BO911" s="160"/>
      <c r="BP911" s="160"/>
      <c r="BQ911" s="160"/>
      <c r="BR911" s="160"/>
      <c r="BS911" s="160"/>
      <c r="BT911" s="160"/>
      <c r="BU911" s="160"/>
      <c r="BV911" s="160"/>
      <c r="BW911" s="160"/>
      <c r="BX911" s="160"/>
      <c r="BY911" s="160"/>
      <c r="BZ911" s="160"/>
      <c r="CA911" s="160"/>
      <c r="CB911" s="160"/>
      <c r="CC911" s="160"/>
      <c r="CD911" s="160"/>
      <c r="CE911" s="160"/>
      <c r="CF911" s="160"/>
    </row>
    <row r="912">
      <c r="D912" s="159"/>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c r="BD912" s="160"/>
      <c r="BE912" s="160"/>
      <c r="BF912" s="160"/>
      <c r="BG912" s="160"/>
      <c r="BH912" s="160"/>
      <c r="BI912" s="160"/>
      <c r="BJ912" s="160"/>
      <c r="BK912" s="160"/>
      <c r="BL912" s="160"/>
      <c r="BM912" s="160"/>
      <c r="BN912" s="160"/>
      <c r="BO912" s="160"/>
      <c r="BP912" s="160"/>
      <c r="BQ912" s="160"/>
      <c r="BR912" s="160"/>
      <c r="BS912" s="160"/>
      <c r="BT912" s="160"/>
      <c r="BU912" s="160"/>
      <c r="BV912" s="160"/>
      <c r="BW912" s="160"/>
      <c r="BX912" s="160"/>
      <c r="BY912" s="160"/>
      <c r="BZ912" s="160"/>
      <c r="CA912" s="160"/>
      <c r="CB912" s="160"/>
      <c r="CC912" s="160"/>
      <c r="CD912" s="160"/>
      <c r="CE912" s="160"/>
      <c r="CF912" s="160"/>
    </row>
    <row r="913">
      <c r="D913" s="159"/>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c r="BD913" s="160"/>
      <c r="BE913" s="160"/>
      <c r="BF913" s="160"/>
      <c r="BG913" s="160"/>
      <c r="BH913" s="160"/>
      <c r="BI913" s="160"/>
      <c r="BJ913" s="160"/>
      <c r="BK913" s="160"/>
      <c r="BL913" s="160"/>
      <c r="BM913" s="160"/>
      <c r="BN913" s="160"/>
      <c r="BO913" s="160"/>
      <c r="BP913" s="160"/>
      <c r="BQ913" s="160"/>
      <c r="BR913" s="160"/>
      <c r="BS913" s="160"/>
      <c r="BT913" s="160"/>
      <c r="BU913" s="160"/>
      <c r="BV913" s="160"/>
      <c r="BW913" s="160"/>
      <c r="BX913" s="160"/>
      <c r="BY913" s="160"/>
      <c r="BZ913" s="160"/>
      <c r="CA913" s="160"/>
      <c r="CB913" s="160"/>
      <c r="CC913" s="160"/>
      <c r="CD913" s="160"/>
      <c r="CE913" s="160"/>
      <c r="CF913" s="160"/>
    </row>
    <row r="914">
      <c r="D914" s="159"/>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c r="BD914" s="160"/>
      <c r="BE914" s="160"/>
      <c r="BF914" s="160"/>
      <c r="BG914" s="160"/>
      <c r="BH914" s="160"/>
      <c r="BI914" s="160"/>
      <c r="BJ914" s="160"/>
      <c r="BK914" s="160"/>
      <c r="BL914" s="160"/>
      <c r="BM914" s="160"/>
      <c r="BN914" s="160"/>
      <c r="BO914" s="160"/>
      <c r="BP914" s="160"/>
      <c r="BQ914" s="160"/>
      <c r="BR914" s="160"/>
      <c r="BS914" s="160"/>
      <c r="BT914" s="160"/>
      <c r="BU914" s="160"/>
      <c r="BV914" s="160"/>
      <c r="BW914" s="160"/>
      <c r="BX914" s="160"/>
      <c r="BY914" s="160"/>
      <c r="BZ914" s="160"/>
      <c r="CA914" s="160"/>
      <c r="CB914" s="160"/>
      <c r="CC914" s="160"/>
      <c r="CD914" s="160"/>
      <c r="CE914" s="160"/>
      <c r="CF914" s="160"/>
    </row>
    <row r="915">
      <c r="D915" s="159"/>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c r="BB915" s="160"/>
      <c r="BC915" s="160"/>
      <c r="BD915" s="160"/>
      <c r="BE915" s="160"/>
      <c r="BF915" s="160"/>
      <c r="BG915" s="160"/>
      <c r="BH915" s="160"/>
      <c r="BI915" s="160"/>
      <c r="BJ915" s="160"/>
      <c r="BK915" s="160"/>
      <c r="BL915" s="160"/>
      <c r="BM915" s="160"/>
      <c r="BN915" s="160"/>
      <c r="BO915" s="160"/>
      <c r="BP915" s="160"/>
      <c r="BQ915" s="160"/>
      <c r="BR915" s="160"/>
      <c r="BS915" s="160"/>
      <c r="BT915" s="160"/>
      <c r="BU915" s="160"/>
      <c r="BV915" s="160"/>
      <c r="BW915" s="160"/>
      <c r="BX915" s="160"/>
      <c r="BY915" s="160"/>
      <c r="BZ915" s="160"/>
      <c r="CA915" s="160"/>
      <c r="CB915" s="160"/>
      <c r="CC915" s="160"/>
      <c r="CD915" s="160"/>
      <c r="CE915" s="160"/>
      <c r="CF915" s="160"/>
    </row>
    <row r="916">
      <c r="D916" s="159"/>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c r="BD916" s="160"/>
      <c r="BE916" s="160"/>
      <c r="BF916" s="160"/>
      <c r="BG916" s="160"/>
      <c r="BH916" s="160"/>
      <c r="BI916" s="160"/>
      <c r="BJ916" s="160"/>
      <c r="BK916" s="160"/>
      <c r="BL916" s="160"/>
      <c r="BM916" s="160"/>
      <c r="BN916" s="160"/>
      <c r="BO916" s="160"/>
      <c r="BP916" s="160"/>
      <c r="BQ916" s="160"/>
      <c r="BR916" s="160"/>
      <c r="BS916" s="160"/>
      <c r="BT916" s="160"/>
      <c r="BU916" s="160"/>
      <c r="BV916" s="160"/>
      <c r="BW916" s="160"/>
      <c r="BX916" s="160"/>
      <c r="BY916" s="160"/>
      <c r="BZ916" s="160"/>
      <c r="CA916" s="160"/>
      <c r="CB916" s="160"/>
      <c r="CC916" s="160"/>
      <c r="CD916" s="160"/>
      <c r="CE916" s="160"/>
      <c r="CF916" s="160"/>
    </row>
    <row r="917">
      <c r="D917" s="159"/>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c r="BD917" s="160"/>
      <c r="BE917" s="160"/>
      <c r="BF917" s="160"/>
      <c r="BG917" s="160"/>
      <c r="BH917" s="160"/>
      <c r="BI917" s="160"/>
      <c r="BJ917" s="160"/>
      <c r="BK917" s="160"/>
      <c r="BL917" s="160"/>
      <c r="BM917" s="160"/>
      <c r="BN917" s="160"/>
      <c r="BO917" s="160"/>
      <c r="BP917" s="160"/>
      <c r="BQ917" s="160"/>
      <c r="BR917" s="160"/>
      <c r="BS917" s="160"/>
      <c r="BT917" s="160"/>
      <c r="BU917" s="160"/>
      <c r="BV917" s="160"/>
      <c r="BW917" s="160"/>
      <c r="BX917" s="160"/>
      <c r="BY917" s="160"/>
      <c r="BZ917" s="160"/>
      <c r="CA917" s="160"/>
      <c r="CB917" s="160"/>
      <c r="CC917" s="160"/>
      <c r="CD917" s="160"/>
      <c r="CE917" s="160"/>
      <c r="CF917" s="160"/>
    </row>
    <row r="918">
      <c r="D918" s="159"/>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c r="BD918" s="160"/>
      <c r="BE918" s="160"/>
      <c r="BF918" s="160"/>
      <c r="BG918" s="160"/>
      <c r="BH918" s="160"/>
      <c r="BI918" s="160"/>
      <c r="BJ918" s="160"/>
      <c r="BK918" s="160"/>
      <c r="BL918" s="160"/>
      <c r="BM918" s="160"/>
      <c r="BN918" s="160"/>
      <c r="BO918" s="160"/>
      <c r="BP918" s="160"/>
      <c r="BQ918" s="160"/>
      <c r="BR918" s="160"/>
      <c r="BS918" s="160"/>
      <c r="BT918" s="160"/>
      <c r="BU918" s="160"/>
      <c r="BV918" s="160"/>
      <c r="BW918" s="160"/>
      <c r="BX918" s="160"/>
      <c r="BY918" s="160"/>
      <c r="BZ918" s="160"/>
      <c r="CA918" s="160"/>
      <c r="CB918" s="160"/>
      <c r="CC918" s="160"/>
      <c r="CD918" s="160"/>
      <c r="CE918" s="160"/>
      <c r="CF918" s="160"/>
    </row>
    <row r="919">
      <c r="D919" s="159"/>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c r="BD919" s="160"/>
      <c r="BE919" s="160"/>
      <c r="BF919" s="160"/>
      <c r="BG919" s="160"/>
      <c r="BH919" s="160"/>
      <c r="BI919" s="160"/>
      <c r="BJ919" s="160"/>
      <c r="BK919" s="160"/>
      <c r="BL919" s="160"/>
      <c r="BM919" s="160"/>
      <c r="BN919" s="160"/>
      <c r="BO919" s="160"/>
      <c r="BP919" s="160"/>
      <c r="BQ919" s="160"/>
      <c r="BR919" s="160"/>
      <c r="BS919" s="160"/>
      <c r="BT919" s="160"/>
      <c r="BU919" s="160"/>
      <c r="BV919" s="160"/>
      <c r="BW919" s="160"/>
      <c r="BX919" s="160"/>
      <c r="BY919" s="160"/>
      <c r="BZ919" s="160"/>
      <c r="CA919" s="160"/>
      <c r="CB919" s="160"/>
      <c r="CC919" s="160"/>
      <c r="CD919" s="160"/>
      <c r="CE919" s="160"/>
      <c r="CF919" s="160"/>
    </row>
  </sheetData>
  <customSheetViews>
    <customSheetView guid="{F0FDED72-B080-4917-9107-EF622265D1ED}" filter="1" showAutoFilter="1">
      <autoFilter ref="$A$1:$CF$919">
        <filterColumn colId="3">
          <filters>
            <filter val="144:26:22"/>
            <filter val="159:52:10"/>
            <filter val="181:29:22"/>
            <filter val="159:31:39"/>
            <filter val="175:23:48"/>
            <filter val="213:56:05"/>
            <filter val="142:23:00"/>
            <filter val="158:23:02"/>
            <filter val="152:36:40"/>
            <filter val="183:22:17"/>
            <filter val="265:15:05"/>
            <filter val="199:44:32"/>
            <filter val="417:02:30"/>
            <filter val="161:11:18"/>
            <filter val="205:04:58"/>
            <filter val="214:31:48"/>
            <filter val="228:11:23"/>
            <filter val="160:11:51"/>
            <filter val="237:43:28"/>
            <filter val="209:15:12"/>
            <filter val="222:14:03"/>
            <filter val="54:40:21"/>
            <filter val="150:33:00"/>
            <filter val="231:28:39"/>
            <filter val="307:18:49"/>
            <filter val="218:27:58"/>
            <filter val="141:52:35"/>
            <filter val="158:41:40"/>
            <filter val="160:52:53"/>
            <filter val="163:20:49"/>
            <filter val="222:22:58"/>
            <filter val="158:24:00"/>
            <filter val="14916:13:18"/>
            <filter val="158:44:38"/>
            <filter val="152:10:42"/>
            <filter val="160:07:01"/>
            <filter val="159:42:44"/>
            <filter val="205:49:31"/>
            <filter val="160:14:54"/>
            <filter val="251:36:37"/>
            <filter val="179:51:26"/>
            <filter val="169:02:56"/>
            <filter val="202:42:02"/>
            <filter val="185:42:23"/>
            <filter val="181:37:27"/>
            <filter val="238:36:30"/>
            <filter val="196:03:33"/>
            <filter val="202:27:51"/>
            <filter val="192:04:30"/>
            <filter val="162:02:52"/>
            <filter val="161:52:28"/>
            <filter val="184:10:27"/>
            <filter val="249:59:40"/>
            <filter val="159:19:16"/>
            <filter val="181:15:30"/>
            <filter val="159:18:49"/>
            <filter val="150:09:10"/>
            <filter val="148:21:09"/>
            <filter val="201:11:14"/>
            <filter val="141:08:51"/>
            <filter val="163:33:17"/>
            <filter val="163:53:45"/>
            <filter val="214:04:23"/>
            <filter val="166:00:04"/>
            <filter val="165:52:15"/>
            <filter val="136:08:27"/>
            <filter val="187:08:21"/>
            <filter val="157:49:47"/>
            <filter val="147:25:30"/>
            <filter val="186:50:55"/>
            <filter val="141:03:59"/>
            <filter val="160:07:26"/>
            <filter val="184:52:20"/>
            <filter val="215:39:46"/>
            <filter val="145:00:50"/>
            <filter val="245:16:49"/>
            <filter val="223:41:47"/>
            <filter val="389:54:59"/>
            <filter val="151:53:09"/>
            <filter val="166:33:14"/>
            <filter val="148:03:49"/>
          </filters>
        </filterColumn>
      </autoFilter>
    </customSheetView>
  </customSheetViews>
  <conditionalFormatting sqref="D1:D919">
    <cfRule type="cellIs" dxfId="0" priority="1" operator="greaterThanOrEqual">
      <formula>"100:00:00"</formula>
    </cfRule>
  </conditionalFormatting>
  <conditionalFormatting sqref="D1:D919">
    <cfRule type="cellIs" dxfId="1" priority="2" operator="lessThanOrEqual">
      <formula>"20:00:00"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2" max="2" width="17.13"/>
    <col customWidth="1" min="3" max="3" width="21.88"/>
    <col customWidth="1" min="4" max="4" width="8.25"/>
    <col customWidth="1" min="5" max="5" width="32.88"/>
    <col customWidth="1" min="6" max="6" width="16.38"/>
    <col customWidth="1" min="7" max="7" width="32.88"/>
    <col customWidth="1" min="8" max="8" width="11.38"/>
    <col customWidth="1" min="9" max="27" width="32.88"/>
  </cols>
  <sheetData>
    <row r="1">
      <c r="A1" s="161" t="s">
        <v>0</v>
      </c>
      <c r="B1" s="162" t="s">
        <v>362</v>
      </c>
      <c r="C1" s="161" t="s">
        <v>433</v>
      </c>
      <c r="D1" s="161" t="s">
        <v>434</v>
      </c>
      <c r="E1" s="161" t="s">
        <v>435</v>
      </c>
      <c r="F1" s="161" t="s">
        <v>436</v>
      </c>
      <c r="G1" s="162" t="s">
        <v>437</v>
      </c>
      <c r="H1" s="161" t="s">
        <v>438</v>
      </c>
      <c r="I1" s="163"/>
      <c r="J1" s="163"/>
      <c r="K1" s="163"/>
      <c r="L1" s="163"/>
      <c r="M1" s="163"/>
      <c r="N1" s="163"/>
      <c r="O1" s="163"/>
      <c r="P1" s="163"/>
      <c r="Q1" s="163"/>
      <c r="R1" s="163"/>
      <c r="S1" s="163"/>
      <c r="T1" s="163"/>
      <c r="U1" s="163"/>
      <c r="V1" s="163"/>
      <c r="W1" s="163"/>
      <c r="X1" s="163"/>
      <c r="Y1" s="163"/>
      <c r="Z1" s="163"/>
      <c r="AA1" s="163"/>
    </row>
    <row r="2" ht="15.75" customHeight="1">
      <c r="A2" s="164" t="s">
        <v>439</v>
      </c>
      <c r="B2" s="164" t="s">
        <v>439</v>
      </c>
      <c r="C2" s="164" t="s">
        <v>439</v>
      </c>
      <c r="D2" s="164">
        <v>1.0</v>
      </c>
      <c r="E2" s="165" t="s">
        <v>440</v>
      </c>
      <c r="F2" s="164" t="s">
        <v>441</v>
      </c>
      <c r="G2" s="165" t="s">
        <v>442</v>
      </c>
      <c r="H2" s="166">
        <v>44883.0</v>
      </c>
      <c r="I2" s="163"/>
      <c r="J2" s="163"/>
      <c r="K2" s="163"/>
      <c r="L2" s="163"/>
      <c r="M2" s="163"/>
      <c r="N2" s="163"/>
      <c r="O2" s="163"/>
      <c r="P2" s="163"/>
      <c r="Q2" s="163"/>
      <c r="R2" s="163"/>
      <c r="S2" s="163"/>
      <c r="T2" s="163"/>
      <c r="U2" s="163"/>
      <c r="V2" s="163"/>
      <c r="W2" s="163"/>
      <c r="X2" s="163"/>
      <c r="Y2" s="163"/>
      <c r="Z2" s="163"/>
      <c r="AA2" s="163"/>
    </row>
    <row r="3" ht="15.75" customHeight="1">
      <c r="A3" s="164" t="s">
        <v>439</v>
      </c>
      <c r="B3" s="164" t="s">
        <v>439</v>
      </c>
      <c r="C3" s="164" t="s">
        <v>439</v>
      </c>
      <c r="D3" s="164">
        <v>1.0</v>
      </c>
      <c r="E3" s="165" t="s">
        <v>443</v>
      </c>
      <c r="F3" s="164" t="s">
        <v>441</v>
      </c>
      <c r="G3" s="165"/>
      <c r="H3" s="166">
        <v>44883.0</v>
      </c>
      <c r="I3" s="163"/>
      <c r="J3" s="163"/>
      <c r="K3" s="163"/>
      <c r="L3" s="163"/>
      <c r="M3" s="163"/>
      <c r="N3" s="163"/>
      <c r="O3" s="163"/>
      <c r="P3" s="163"/>
      <c r="Q3" s="163"/>
      <c r="R3" s="163"/>
      <c r="S3" s="163"/>
      <c r="T3" s="163"/>
      <c r="U3" s="163"/>
      <c r="V3" s="163"/>
      <c r="W3" s="163"/>
      <c r="X3" s="163"/>
      <c r="Y3" s="163"/>
      <c r="Z3" s="163"/>
      <c r="AA3" s="163"/>
    </row>
    <row r="4">
      <c r="A4" s="164" t="s">
        <v>439</v>
      </c>
      <c r="B4" s="164" t="s">
        <v>439</v>
      </c>
      <c r="C4" s="164" t="s">
        <v>439</v>
      </c>
      <c r="D4" s="164">
        <v>1.0</v>
      </c>
      <c r="E4" s="165" t="s">
        <v>444</v>
      </c>
      <c r="F4" s="164" t="s">
        <v>441</v>
      </c>
      <c r="G4" s="165" t="s">
        <v>445</v>
      </c>
      <c r="H4" s="166">
        <v>44887.0</v>
      </c>
      <c r="I4" s="163"/>
      <c r="J4" s="163"/>
      <c r="K4" s="163"/>
      <c r="L4" s="163"/>
      <c r="M4" s="163"/>
      <c r="N4" s="163"/>
      <c r="O4" s="163"/>
      <c r="P4" s="163"/>
      <c r="Q4" s="163"/>
      <c r="R4" s="163"/>
      <c r="S4" s="163"/>
      <c r="T4" s="163"/>
      <c r="U4" s="163"/>
      <c r="V4" s="163"/>
      <c r="W4" s="163"/>
      <c r="X4" s="163"/>
      <c r="Y4" s="163"/>
      <c r="Z4" s="163"/>
      <c r="AA4" s="163"/>
    </row>
    <row r="5" ht="73.5" customHeight="1">
      <c r="A5" s="164" t="s">
        <v>439</v>
      </c>
      <c r="B5" s="164" t="s">
        <v>439</v>
      </c>
      <c r="C5" s="164" t="s">
        <v>439</v>
      </c>
      <c r="D5" s="164">
        <v>1.0</v>
      </c>
      <c r="E5" s="165" t="s">
        <v>446</v>
      </c>
      <c r="F5" s="164" t="s">
        <v>441</v>
      </c>
      <c r="G5" s="165" t="s">
        <v>447</v>
      </c>
      <c r="H5" s="166">
        <v>44887.0</v>
      </c>
      <c r="I5" s="163"/>
      <c r="J5" s="163"/>
      <c r="K5" s="163"/>
      <c r="L5" s="163"/>
      <c r="M5" s="163"/>
      <c r="N5" s="163"/>
      <c r="O5" s="163"/>
      <c r="P5" s="163"/>
      <c r="Q5" s="163"/>
      <c r="R5" s="163"/>
      <c r="S5" s="163"/>
      <c r="T5" s="163"/>
      <c r="U5" s="163"/>
      <c r="V5" s="163"/>
      <c r="W5" s="163"/>
      <c r="X5" s="163"/>
      <c r="Y5" s="163"/>
      <c r="Z5" s="163"/>
      <c r="AA5" s="163"/>
    </row>
    <row r="6">
      <c r="A6" s="164"/>
      <c r="B6" s="164"/>
      <c r="C6" s="164"/>
      <c r="D6" s="164">
        <v>1.0</v>
      </c>
      <c r="E6" s="164" t="s">
        <v>448</v>
      </c>
      <c r="F6" s="164" t="s">
        <v>441</v>
      </c>
      <c r="G6" s="165" t="s">
        <v>449</v>
      </c>
      <c r="H6" s="166">
        <v>44887.0</v>
      </c>
      <c r="I6" s="163"/>
      <c r="J6" s="163"/>
      <c r="K6" s="163"/>
      <c r="L6" s="163"/>
      <c r="M6" s="163"/>
      <c r="N6" s="163"/>
      <c r="O6" s="163"/>
      <c r="P6" s="163"/>
      <c r="Q6" s="163"/>
      <c r="R6" s="163"/>
      <c r="S6" s="163"/>
      <c r="T6" s="163"/>
      <c r="U6" s="163"/>
      <c r="V6" s="163"/>
      <c r="W6" s="163"/>
      <c r="X6" s="163"/>
      <c r="Y6" s="163"/>
      <c r="Z6" s="163"/>
      <c r="AA6" s="163"/>
    </row>
    <row r="7">
      <c r="A7" s="164"/>
      <c r="B7" s="164"/>
      <c r="C7" s="164"/>
      <c r="D7" s="164">
        <v>1.0</v>
      </c>
      <c r="E7" s="165" t="s">
        <v>450</v>
      </c>
      <c r="F7" s="164" t="s">
        <v>441</v>
      </c>
      <c r="G7" s="165" t="s">
        <v>451</v>
      </c>
      <c r="H7" s="166">
        <v>44887.0</v>
      </c>
      <c r="I7" s="163"/>
      <c r="J7" s="163"/>
      <c r="K7" s="163"/>
      <c r="L7" s="163"/>
      <c r="M7" s="163"/>
      <c r="N7" s="163"/>
      <c r="O7" s="163"/>
      <c r="P7" s="163"/>
      <c r="Q7" s="163"/>
      <c r="R7" s="163"/>
      <c r="S7" s="163"/>
      <c r="T7" s="163"/>
      <c r="U7" s="163"/>
      <c r="V7" s="163"/>
      <c r="W7" s="163"/>
      <c r="X7" s="163"/>
      <c r="Y7" s="163"/>
      <c r="Z7" s="163"/>
      <c r="AA7" s="163"/>
    </row>
    <row r="8">
      <c r="A8" s="164"/>
      <c r="B8" s="164"/>
      <c r="C8" s="164"/>
      <c r="D8" s="164">
        <v>1.0</v>
      </c>
      <c r="E8" s="165" t="s">
        <v>452</v>
      </c>
      <c r="F8" s="164" t="s">
        <v>441</v>
      </c>
      <c r="G8" s="165" t="s">
        <v>453</v>
      </c>
      <c r="H8" s="166">
        <v>44887.0</v>
      </c>
      <c r="I8" s="163"/>
      <c r="J8" s="163"/>
      <c r="K8" s="163"/>
      <c r="L8" s="163"/>
      <c r="M8" s="163"/>
      <c r="N8" s="163"/>
      <c r="O8" s="163"/>
      <c r="P8" s="163"/>
      <c r="Q8" s="163"/>
      <c r="R8" s="163"/>
      <c r="S8" s="163"/>
      <c r="T8" s="163"/>
      <c r="U8" s="163"/>
      <c r="V8" s="163"/>
      <c r="W8" s="163"/>
      <c r="X8" s="163"/>
      <c r="Y8" s="163"/>
      <c r="Z8" s="163"/>
      <c r="AA8" s="163"/>
    </row>
    <row r="9">
      <c r="A9" s="164"/>
      <c r="B9" s="164"/>
      <c r="C9" s="164"/>
      <c r="D9" s="164">
        <v>1.0</v>
      </c>
      <c r="E9" s="165" t="s">
        <v>454</v>
      </c>
      <c r="F9" s="164" t="s">
        <v>441</v>
      </c>
      <c r="G9" s="165" t="s">
        <v>455</v>
      </c>
      <c r="H9" s="166">
        <v>44887.0</v>
      </c>
      <c r="I9" s="163"/>
      <c r="J9" s="163"/>
      <c r="K9" s="163"/>
      <c r="L9" s="163"/>
      <c r="M9" s="163"/>
      <c r="N9" s="163"/>
      <c r="O9" s="163"/>
      <c r="P9" s="163"/>
      <c r="Q9" s="163"/>
      <c r="R9" s="163"/>
      <c r="S9" s="163"/>
      <c r="T9" s="163"/>
      <c r="U9" s="163"/>
      <c r="V9" s="163"/>
      <c r="W9" s="163"/>
      <c r="X9" s="163"/>
      <c r="Y9" s="163"/>
      <c r="Z9" s="163"/>
      <c r="AA9" s="163"/>
    </row>
    <row r="10">
      <c r="A10" s="164" t="s">
        <v>439</v>
      </c>
      <c r="B10" s="164" t="s">
        <v>439</v>
      </c>
      <c r="C10" s="164" t="s">
        <v>439</v>
      </c>
      <c r="D10" s="164" t="s">
        <v>439</v>
      </c>
      <c r="E10" s="164" t="s">
        <v>456</v>
      </c>
      <c r="F10" s="164" t="s">
        <v>441</v>
      </c>
      <c r="G10" s="164"/>
      <c r="H10" s="166">
        <v>44896.0</v>
      </c>
      <c r="I10" s="163"/>
      <c r="J10" s="163"/>
      <c r="K10" s="163"/>
      <c r="L10" s="163"/>
      <c r="M10" s="163"/>
      <c r="N10" s="163"/>
      <c r="O10" s="163"/>
      <c r="P10" s="163"/>
      <c r="Q10" s="163"/>
      <c r="R10" s="163"/>
      <c r="S10" s="163"/>
      <c r="T10" s="163"/>
      <c r="U10" s="163"/>
      <c r="V10" s="163"/>
      <c r="W10" s="163"/>
      <c r="X10" s="163"/>
      <c r="Y10" s="163"/>
      <c r="Z10" s="163"/>
      <c r="AA10" s="163"/>
    </row>
    <row r="11">
      <c r="A11" s="72"/>
      <c r="B11" s="72"/>
      <c r="C11" s="72"/>
      <c r="D11" s="72"/>
      <c r="E11" s="164" t="s">
        <v>457</v>
      </c>
      <c r="F11" s="164" t="s">
        <v>441</v>
      </c>
      <c r="G11" s="164" t="s">
        <v>458</v>
      </c>
      <c r="H11" s="166">
        <v>44907.0</v>
      </c>
      <c r="I11" s="163"/>
      <c r="J11" s="163"/>
      <c r="K11" s="163"/>
      <c r="L11" s="163"/>
      <c r="M11" s="163"/>
      <c r="N11" s="163"/>
      <c r="O11" s="163"/>
      <c r="P11" s="163"/>
      <c r="Q11" s="163"/>
      <c r="R11" s="163"/>
      <c r="S11" s="163"/>
      <c r="T11" s="163"/>
      <c r="U11" s="163"/>
      <c r="V11" s="163"/>
      <c r="W11" s="163"/>
      <c r="X11" s="163"/>
      <c r="Y11" s="163"/>
      <c r="Z11" s="163"/>
      <c r="AA11" s="163"/>
    </row>
    <row r="12">
      <c r="A12" s="72"/>
      <c r="B12" s="72"/>
      <c r="C12" s="72"/>
      <c r="D12" s="72"/>
      <c r="E12" s="164" t="s">
        <v>459</v>
      </c>
      <c r="F12" s="164" t="s">
        <v>460</v>
      </c>
      <c r="G12" s="72"/>
      <c r="H12" s="167">
        <v>44566.0</v>
      </c>
      <c r="I12" s="163"/>
      <c r="J12" s="163"/>
      <c r="K12" s="163"/>
      <c r="L12" s="163"/>
      <c r="M12" s="163"/>
      <c r="N12" s="163"/>
      <c r="O12" s="163"/>
      <c r="P12" s="163"/>
      <c r="Q12" s="163"/>
      <c r="R12" s="163"/>
      <c r="S12" s="163"/>
      <c r="T12" s="163"/>
      <c r="U12" s="163"/>
      <c r="V12" s="163"/>
      <c r="W12" s="163"/>
      <c r="X12" s="163"/>
      <c r="Y12" s="163"/>
      <c r="Z12" s="163"/>
      <c r="AA12" s="163"/>
    </row>
    <row r="13">
      <c r="A13" s="72"/>
      <c r="B13" s="72"/>
      <c r="C13" s="72"/>
      <c r="D13" s="72"/>
      <c r="E13" s="72"/>
      <c r="F13" s="72"/>
      <c r="G13" s="72"/>
      <c r="H13" s="72"/>
      <c r="I13" s="163"/>
      <c r="J13" s="163"/>
      <c r="K13" s="163"/>
      <c r="L13" s="163"/>
      <c r="M13" s="163"/>
      <c r="N13" s="163"/>
      <c r="O13" s="163"/>
      <c r="P13" s="163"/>
      <c r="Q13" s="163"/>
      <c r="R13" s="163"/>
      <c r="S13" s="163"/>
      <c r="T13" s="163"/>
      <c r="U13" s="163"/>
      <c r="V13" s="163"/>
      <c r="W13" s="163"/>
      <c r="X13" s="163"/>
      <c r="Y13" s="163"/>
      <c r="Z13" s="163"/>
      <c r="AA13" s="163"/>
    </row>
    <row r="14">
      <c r="A14" s="72"/>
      <c r="B14" s="72"/>
      <c r="C14" s="72"/>
      <c r="D14" s="72"/>
      <c r="E14" s="72"/>
      <c r="F14" s="72"/>
      <c r="G14" s="72"/>
      <c r="H14" s="72"/>
      <c r="I14" s="163"/>
      <c r="J14" s="163"/>
      <c r="K14" s="163"/>
      <c r="L14" s="163"/>
      <c r="M14" s="163"/>
      <c r="N14" s="163"/>
      <c r="O14" s="163"/>
      <c r="P14" s="163"/>
      <c r="Q14" s="163"/>
      <c r="R14" s="163"/>
      <c r="S14" s="163"/>
      <c r="T14" s="163"/>
      <c r="U14" s="163"/>
      <c r="V14" s="163"/>
      <c r="W14" s="163"/>
      <c r="X14" s="163"/>
      <c r="Y14" s="163"/>
      <c r="Z14" s="163"/>
      <c r="AA14" s="163"/>
    </row>
    <row r="15">
      <c r="A15" s="72"/>
      <c r="B15" s="72"/>
      <c r="C15" s="72"/>
      <c r="D15" s="72"/>
      <c r="E15" s="72"/>
      <c r="F15" s="72"/>
      <c r="G15" s="72"/>
      <c r="H15" s="72"/>
      <c r="I15" s="163"/>
      <c r="J15" s="163"/>
      <c r="K15" s="163"/>
      <c r="L15" s="163"/>
      <c r="M15" s="163"/>
      <c r="N15" s="163"/>
      <c r="O15" s="163"/>
      <c r="P15" s="163"/>
      <c r="Q15" s="163"/>
      <c r="R15" s="163"/>
      <c r="S15" s="163"/>
      <c r="T15" s="163"/>
      <c r="U15" s="163"/>
      <c r="V15" s="163"/>
      <c r="W15" s="163"/>
      <c r="X15" s="163"/>
      <c r="Y15" s="163"/>
      <c r="Z15" s="163"/>
      <c r="AA15" s="163"/>
    </row>
    <row r="16">
      <c r="A16" s="72"/>
      <c r="B16" s="72"/>
      <c r="C16" s="72"/>
      <c r="D16" s="72"/>
      <c r="E16" s="72"/>
      <c r="F16" s="72"/>
      <c r="G16" s="72"/>
      <c r="H16" s="72"/>
      <c r="I16" s="163"/>
      <c r="J16" s="163"/>
      <c r="K16" s="163"/>
      <c r="L16" s="163"/>
      <c r="M16" s="163"/>
      <c r="N16" s="163"/>
      <c r="O16" s="163"/>
      <c r="P16" s="163"/>
      <c r="Q16" s="163"/>
      <c r="R16" s="163"/>
      <c r="S16" s="163"/>
      <c r="T16" s="163"/>
      <c r="U16" s="163"/>
      <c r="V16" s="163"/>
      <c r="W16" s="163"/>
      <c r="X16" s="163"/>
      <c r="Y16" s="163"/>
      <c r="Z16" s="163"/>
      <c r="AA16" s="163"/>
    </row>
    <row r="17">
      <c r="A17" s="72"/>
      <c r="B17" s="72"/>
      <c r="C17" s="72"/>
      <c r="D17" s="72"/>
      <c r="E17" s="72"/>
      <c r="F17" s="72"/>
      <c r="G17" s="72"/>
      <c r="H17" s="72"/>
      <c r="I17" s="163"/>
      <c r="J17" s="163"/>
      <c r="K17" s="163"/>
      <c r="L17" s="163"/>
      <c r="M17" s="163"/>
      <c r="N17" s="163"/>
      <c r="O17" s="163"/>
      <c r="P17" s="163"/>
      <c r="Q17" s="163"/>
      <c r="R17" s="163"/>
      <c r="S17" s="163"/>
      <c r="T17" s="163"/>
      <c r="U17" s="163"/>
      <c r="V17" s="163"/>
      <c r="W17" s="163"/>
      <c r="X17" s="163"/>
      <c r="Y17" s="163"/>
      <c r="Z17" s="163"/>
      <c r="AA17" s="163"/>
    </row>
    <row r="18">
      <c r="A18" s="72"/>
      <c r="B18" s="72"/>
      <c r="C18" s="72"/>
      <c r="D18" s="72"/>
      <c r="E18" s="72"/>
      <c r="F18" s="72"/>
      <c r="G18" s="72"/>
      <c r="H18" s="72"/>
      <c r="I18" s="163"/>
      <c r="J18" s="163"/>
      <c r="K18" s="163"/>
      <c r="L18" s="163"/>
      <c r="M18" s="163"/>
      <c r="N18" s="163"/>
      <c r="O18" s="163"/>
      <c r="P18" s="163"/>
      <c r="Q18" s="163"/>
      <c r="R18" s="163"/>
      <c r="S18" s="163"/>
      <c r="T18" s="163"/>
      <c r="U18" s="163"/>
      <c r="V18" s="163"/>
      <c r="W18" s="163"/>
      <c r="X18" s="163"/>
      <c r="Y18" s="163"/>
      <c r="Z18" s="163"/>
      <c r="AA18" s="163"/>
    </row>
    <row r="19">
      <c r="A19" s="72"/>
      <c r="B19" s="72"/>
      <c r="C19" s="72"/>
      <c r="D19" s="72"/>
      <c r="E19" s="72"/>
      <c r="F19" s="72"/>
      <c r="G19" s="72"/>
      <c r="H19" s="72"/>
      <c r="I19" s="163"/>
      <c r="J19" s="163"/>
      <c r="K19" s="163"/>
      <c r="L19" s="163"/>
      <c r="M19" s="163"/>
      <c r="N19" s="163"/>
      <c r="O19" s="163"/>
      <c r="P19" s="163"/>
      <c r="Q19" s="163"/>
      <c r="R19" s="163"/>
      <c r="S19" s="163"/>
      <c r="T19" s="163"/>
      <c r="U19" s="163"/>
      <c r="V19" s="163"/>
      <c r="W19" s="163"/>
      <c r="X19" s="163"/>
      <c r="Y19" s="163"/>
      <c r="Z19" s="163"/>
      <c r="AA19" s="163"/>
    </row>
    <row r="20">
      <c r="A20" s="72"/>
      <c r="B20" s="72"/>
      <c r="C20" s="72"/>
      <c r="D20" s="72"/>
      <c r="E20" s="72"/>
      <c r="F20" s="72"/>
      <c r="G20" s="72"/>
      <c r="H20" s="72"/>
      <c r="I20" s="163"/>
      <c r="J20" s="163"/>
      <c r="K20" s="163"/>
      <c r="L20" s="163"/>
      <c r="M20" s="163"/>
      <c r="N20" s="163"/>
      <c r="O20" s="163"/>
      <c r="P20" s="163"/>
      <c r="Q20" s="163"/>
      <c r="R20" s="163"/>
      <c r="S20" s="163"/>
      <c r="T20" s="163"/>
      <c r="U20" s="163"/>
      <c r="V20" s="163"/>
      <c r="W20" s="163"/>
      <c r="X20" s="163"/>
      <c r="Y20" s="163"/>
      <c r="Z20" s="163"/>
      <c r="AA20" s="163"/>
    </row>
    <row r="21">
      <c r="A21" s="72"/>
      <c r="B21" s="72"/>
      <c r="C21" s="72"/>
      <c r="D21" s="72"/>
      <c r="E21" s="72"/>
      <c r="F21" s="72"/>
      <c r="G21" s="72"/>
      <c r="H21" s="72"/>
      <c r="I21" s="163"/>
      <c r="J21" s="163"/>
      <c r="K21" s="163"/>
      <c r="L21" s="163"/>
      <c r="M21" s="163"/>
      <c r="N21" s="163"/>
      <c r="O21" s="163"/>
      <c r="P21" s="163"/>
      <c r="Q21" s="163"/>
      <c r="R21" s="163"/>
      <c r="S21" s="163"/>
      <c r="T21" s="163"/>
      <c r="U21" s="163"/>
      <c r="V21" s="163"/>
      <c r="W21" s="163"/>
      <c r="X21" s="163"/>
      <c r="Y21" s="163"/>
      <c r="Z21" s="163"/>
      <c r="AA21" s="163"/>
    </row>
    <row r="22">
      <c r="A22" s="72"/>
      <c r="B22" s="72"/>
      <c r="C22" s="72"/>
      <c r="D22" s="72"/>
      <c r="E22" s="72"/>
      <c r="F22" s="72"/>
      <c r="G22" s="72"/>
      <c r="H22" s="72"/>
      <c r="I22" s="163"/>
      <c r="J22" s="163"/>
      <c r="K22" s="163"/>
      <c r="L22" s="163"/>
      <c r="M22" s="163"/>
      <c r="N22" s="163"/>
      <c r="O22" s="163"/>
      <c r="P22" s="163"/>
      <c r="Q22" s="163"/>
      <c r="R22" s="163"/>
      <c r="S22" s="163"/>
      <c r="T22" s="163"/>
      <c r="U22" s="163"/>
      <c r="V22" s="163"/>
      <c r="W22" s="163"/>
      <c r="X22" s="163"/>
      <c r="Y22" s="163"/>
      <c r="Z22" s="163"/>
      <c r="AA22" s="163"/>
    </row>
    <row r="23">
      <c r="A23" s="163"/>
      <c r="B23" s="163"/>
      <c r="C23" s="163"/>
      <c r="D23" s="163"/>
      <c r="E23" s="163"/>
      <c r="F23" s="163"/>
      <c r="G23" s="163"/>
      <c r="H23" s="163"/>
      <c r="I23" s="163"/>
      <c r="J23" s="163"/>
      <c r="K23" s="163"/>
      <c r="L23" s="163"/>
      <c r="M23" s="163"/>
      <c r="N23" s="163"/>
      <c r="O23" s="163"/>
      <c r="P23" s="163"/>
      <c r="Q23" s="163"/>
      <c r="R23" s="163"/>
      <c r="S23" s="163"/>
      <c r="T23" s="163"/>
      <c r="U23" s="163"/>
      <c r="V23" s="163"/>
      <c r="W23" s="163"/>
      <c r="X23" s="163"/>
      <c r="Y23" s="163"/>
      <c r="Z23" s="163"/>
      <c r="AA23" s="163"/>
    </row>
    <row r="24">
      <c r="A24" s="163"/>
      <c r="B24" s="163"/>
      <c r="C24" s="163"/>
      <c r="D24" s="163"/>
      <c r="E24" s="163"/>
      <c r="F24" s="163"/>
      <c r="G24" s="163"/>
      <c r="H24" s="163"/>
      <c r="I24" s="163"/>
      <c r="J24" s="163"/>
      <c r="K24" s="163"/>
      <c r="L24" s="163"/>
      <c r="M24" s="163"/>
      <c r="N24" s="163"/>
      <c r="O24" s="163"/>
      <c r="P24" s="163"/>
      <c r="Q24" s="163"/>
      <c r="R24" s="163"/>
      <c r="S24" s="163"/>
      <c r="T24" s="163"/>
      <c r="U24" s="163"/>
      <c r="V24" s="163"/>
      <c r="W24" s="163"/>
      <c r="X24" s="163"/>
      <c r="Y24" s="163"/>
      <c r="Z24" s="163"/>
      <c r="AA24" s="163"/>
    </row>
    <row r="25">
      <c r="A25" s="163"/>
      <c r="B25" s="163"/>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row>
    <row r="26">
      <c r="A26" s="163"/>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row>
    <row r="27">
      <c r="A27" s="163"/>
      <c r="B27" s="163"/>
      <c r="C27" s="163"/>
      <c r="D27" s="163"/>
      <c r="E27" s="163"/>
      <c r="F27" s="163"/>
      <c r="G27" s="163"/>
      <c r="H27" s="163"/>
      <c r="I27" s="163"/>
      <c r="J27" s="163"/>
      <c r="K27" s="163"/>
      <c r="L27" s="163"/>
      <c r="M27" s="163"/>
      <c r="N27" s="163"/>
      <c r="O27" s="163"/>
      <c r="P27" s="163"/>
      <c r="Q27" s="163"/>
      <c r="R27" s="163"/>
      <c r="S27" s="163"/>
      <c r="T27" s="163"/>
      <c r="U27" s="163"/>
      <c r="V27" s="163"/>
      <c r="W27" s="163"/>
      <c r="X27" s="163"/>
      <c r="Y27" s="163"/>
      <c r="Z27" s="163"/>
      <c r="AA27" s="163"/>
    </row>
    <row r="28">
      <c r="A28" s="163"/>
      <c r="B28" s="163"/>
      <c r="C28" s="163"/>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row>
    <row r="29">
      <c r="A29" s="163"/>
      <c r="B29" s="163"/>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row>
    <row r="30">
      <c r="A30" s="163"/>
      <c r="B30" s="163"/>
      <c r="C30" s="163"/>
      <c r="D30" s="163"/>
      <c r="E30" s="163"/>
      <c r="F30" s="163"/>
      <c r="G30" s="163"/>
      <c r="H30" s="163"/>
      <c r="I30" s="163"/>
      <c r="J30" s="163"/>
      <c r="K30" s="163"/>
      <c r="L30" s="163"/>
      <c r="M30" s="163"/>
      <c r="N30" s="163"/>
      <c r="O30" s="163"/>
      <c r="P30" s="163"/>
      <c r="Q30" s="163"/>
      <c r="R30" s="163"/>
      <c r="S30" s="163"/>
      <c r="T30" s="163"/>
      <c r="U30" s="163"/>
      <c r="V30" s="163"/>
      <c r="W30" s="163"/>
      <c r="X30" s="163"/>
      <c r="Y30" s="163"/>
      <c r="Z30" s="163"/>
      <c r="AA30" s="163"/>
    </row>
    <row r="31">
      <c r="A31" s="163"/>
      <c r="B31" s="163"/>
      <c r="C31" s="163"/>
      <c r="D31" s="163"/>
      <c r="E31" s="163"/>
      <c r="F31" s="163"/>
      <c r="G31" s="163"/>
      <c r="H31" s="163"/>
      <c r="I31" s="163"/>
      <c r="J31" s="163"/>
      <c r="K31" s="163"/>
      <c r="L31" s="163"/>
      <c r="M31" s="163"/>
      <c r="N31" s="163"/>
      <c r="O31" s="163"/>
      <c r="P31" s="163"/>
      <c r="Q31" s="163"/>
      <c r="R31" s="163"/>
      <c r="S31" s="163"/>
      <c r="T31" s="163"/>
      <c r="U31" s="163"/>
      <c r="V31" s="163"/>
      <c r="W31" s="163"/>
      <c r="X31" s="163"/>
      <c r="Y31" s="163"/>
      <c r="Z31" s="163"/>
      <c r="AA31" s="163"/>
    </row>
    <row r="32">
      <c r="A32" s="16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row>
    <row r="33">
      <c r="A33" s="163"/>
      <c r="B33" s="163"/>
      <c r="C33" s="163"/>
      <c r="D33" s="163"/>
      <c r="E33" s="163"/>
      <c r="F33" s="163"/>
      <c r="G33" s="163"/>
      <c r="H33" s="163"/>
      <c r="I33" s="163"/>
      <c r="J33" s="163"/>
      <c r="K33" s="163"/>
      <c r="L33" s="163"/>
      <c r="M33" s="163"/>
      <c r="N33" s="163"/>
      <c r="O33" s="163"/>
      <c r="P33" s="163"/>
      <c r="Q33" s="163"/>
      <c r="R33" s="163"/>
      <c r="S33" s="163"/>
      <c r="T33" s="163"/>
      <c r="U33" s="163"/>
      <c r="V33" s="163"/>
      <c r="W33" s="163"/>
      <c r="X33" s="163"/>
      <c r="Y33" s="163"/>
      <c r="Z33" s="163"/>
      <c r="AA33" s="163"/>
    </row>
    <row r="34">
      <c r="A34" s="163"/>
      <c r="B34" s="163"/>
      <c r="C34" s="163"/>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row>
    <row r="35">
      <c r="A35" s="163"/>
      <c r="B35" s="163"/>
      <c r="C35" s="163"/>
      <c r="D35" s="163"/>
      <c r="E35" s="163"/>
      <c r="F35" s="163"/>
      <c r="G35" s="163"/>
      <c r="H35" s="163"/>
      <c r="I35" s="163"/>
      <c r="J35" s="163"/>
      <c r="K35" s="163"/>
      <c r="L35" s="163"/>
      <c r="M35" s="163"/>
      <c r="N35" s="163"/>
      <c r="O35" s="163"/>
      <c r="P35" s="163"/>
      <c r="Q35" s="163"/>
      <c r="R35" s="163"/>
      <c r="S35" s="163"/>
      <c r="T35" s="163"/>
      <c r="U35" s="163"/>
      <c r="V35" s="163"/>
      <c r="W35" s="163"/>
      <c r="X35" s="163"/>
      <c r="Y35" s="163"/>
      <c r="Z35" s="163"/>
      <c r="AA35" s="163"/>
    </row>
    <row r="36">
      <c r="A36" s="163"/>
      <c r="B36" s="163"/>
      <c r="C36" s="163"/>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row>
    <row r="37">
      <c r="A37" s="163"/>
      <c r="B37" s="163"/>
      <c r="C37" s="163"/>
      <c r="D37" s="163"/>
      <c r="E37" s="163"/>
      <c r="F37" s="163"/>
      <c r="G37" s="163"/>
      <c r="H37" s="163"/>
      <c r="I37" s="163"/>
      <c r="J37" s="163"/>
      <c r="K37" s="163"/>
      <c r="L37" s="163"/>
      <c r="M37" s="163"/>
      <c r="N37" s="163"/>
      <c r="O37" s="163"/>
      <c r="P37" s="163"/>
      <c r="Q37" s="163"/>
      <c r="R37" s="163"/>
      <c r="S37" s="163"/>
      <c r="T37" s="163"/>
      <c r="U37" s="163"/>
      <c r="V37" s="163"/>
      <c r="W37" s="163"/>
      <c r="X37" s="163"/>
      <c r="Y37" s="163"/>
      <c r="Z37" s="163"/>
      <c r="AA37" s="163"/>
    </row>
    <row r="38">
      <c r="A38" s="163"/>
      <c r="B38" s="163"/>
      <c r="C38" s="163"/>
      <c r="D38" s="163"/>
      <c r="E38" s="163"/>
      <c r="F38" s="163"/>
      <c r="G38" s="163"/>
      <c r="H38" s="163"/>
      <c r="I38" s="163"/>
      <c r="J38" s="163"/>
      <c r="K38" s="163"/>
      <c r="L38" s="163"/>
      <c r="M38" s="163"/>
      <c r="N38" s="163"/>
      <c r="O38" s="163"/>
      <c r="P38" s="163"/>
      <c r="Q38" s="163"/>
      <c r="R38" s="163"/>
      <c r="S38" s="163"/>
      <c r="T38" s="163"/>
      <c r="U38" s="163"/>
      <c r="V38" s="163"/>
      <c r="W38" s="163"/>
      <c r="X38" s="163"/>
      <c r="Y38" s="163"/>
      <c r="Z38" s="163"/>
      <c r="AA38" s="163"/>
    </row>
    <row r="39">
      <c r="A39" s="163"/>
      <c r="B39" s="163"/>
      <c r="C39" s="163"/>
      <c r="D39" s="163"/>
      <c r="E39" s="163"/>
      <c r="F39" s="163"/>
      <c r="G39" s="163"/>
      <c r="H39" s="163"/>
      <c r="I39" s="163"/>
      <c r="J39" s="163"/>
      <c r="K39" s="163"/>
      <c r="L39" s="163"/>
      <c r="M39" s="163"/>
      <c r="N39" s="163"/>
      <c r="O39" s="163"/>
      <c r="P39" s="163"/>
      <c r="Q39" s="163"/>
      <c r="R39" s="163"/>
      <c r="S39" s="163"/>
      <c r="T39" s="163"/>
      <c r="U39" s="163"/>
      <c r="V39" s="163"/>
      <c r="W39" s="163"/>
      <c r="X39" s="163"/>
      <c r="Y39" s="163"/>
      <c r="Z39" s="163"/>
      <c r="AA39" s="163"/>
    </row>
    <row r="40">
      <c r="A40" s="163"/>
      <c r="B40" s="163"/>
      <c r="C40" s="163"/>
      <c r="D40" s="163"/>
      <c r="E40" s="163"/>
      <c r="F40" s="163"/>
      <c r="G40" s="163"/>
      <c r="H40" s="163"/>
      <c r="I40" s="163"/>
      <c r="J40" s="163"/>
      <c r="K40" s="163"/>
      <c r="L40" s="163"/>
      <c r="M40" s="163"/>
      <c r="N40" s="163"/>
      <c r="O40" s="163"/>
      <c r="P40" s="163"/>
      <c r="Q40" s="163"/>
      <c r="R40" s="163"/>
      <c r="S40" s="163"/>
      <c r="T40" s="163"/>
      <c r="U40" s="163"/>
      <c r="V40" s="163"/>
      <c r="W40" s="163"/>
      <c r="X40" s="163"/>
      <c r="Y40" s="163"/>
      <c r="Z40" s="163"/>
      <c r="AA40" s="163"/>
    </row>
    <row r="41">
      <c r="A41" s="163"/>
      <c r="B41" s="163"/>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row>
    <row r="42">
      <c r="A42" s="163"/>
      <c r="B42" s="163"/>
      <c r="C42" s="163"/>
      <c r="D42" s="163"/>
      <c r="E42" s="163"/>
      <c r="F42" s="163"/>
      <c r="G42" s="163"/>
      <c r="H42" s="163"/>
      <c r="I42" s="163"/>
      <c r="J42" s="163"/>
      <c r="K42" s="163"/>
      <c r="L42" s="163"/>
      <c r="M42" s="163"/>
      <c r="N42" s="163"/>
      <c r="O42" s="163"/>
      <c r="P42" s="163"/>
      <c r="Q42" s="163"/>
      <c r="R42" s="163"/>
      <c r="S42" s="163"/>
      <c r="T42" s="163"/>
      <c r="U42" s="163"/>
      <c r="V42" s="163"/>
      <c r="W42" s="163"/>
      <c r="X42" s="163"/>
      <c r="Y42" s="163"/>
      <c r="Z42" s="163"/>
      <c r="AA42" s="163"/>
    </row>
    <row r="43">
      <c r="A43" s="163"/>
      <c r="B43" s="163"/>
      <c r="C43" s="163"/>
      <c r="D43" s="163"/>
      <c r="E43" s="163"/>
      <c r="F43" s="163"/>
      <c r="G43" s="163"/>
      <c r="H43" s="163"/>
      <c r="I43" s="163"/>
      <c r="J43" s="163"/>
      <c r="K43" s="163"/>
      <c r="L43" s="163"/>
      <c r="M43" s="163"/>
      <c r="N43" s="163"/>
      <c r="O43" s="163"/>
      <c r="P43" s="163"/>
      <c r="Q43" s="163"/>
      <c r="R43" s="163"/>
      <c r="S43" s="163"/>
      <c r="T43" s="163"/>
      <c r="U43" s="163"/>
      <c r="V43" s="163"/>
      <c r="W43" s="163"/>
      <c r="X43" s="163"/>
      <c r="Y43" s="163"/>
      <c r="Z43" s="163"/>
      <c r="AA43" s="163"/>
    </row>
    <row r="44">
      <c r="A44" s="163"/>
      <c r="B44" s="163"/>
      <c r="C44" s="163"/>
      <c r="D44" s="163"/>
      <c r="E44" s="163"/>
      <c r="F44" s="163"/>
      <c r="G44" s="163"/>
      <c r="H44" s="163"/>
      <c r="I44" s="163"/>
      <c r="J44" s="163"/>
      <c r="K44" s="163"/>
      <c r="L44" s="163"/>
      <c r="M44" s="163"/>
      <c r="N44" s="163"/>
      <c r="O44" s="163"/>
      <c r="P44" s="163"/>
      <c r="Q44" s="163"/>
      <c r="R44" s="163"/>
      <c r="S44" s="163"/>
      <c r="T44" s="163"/>
      <c r="U44" s="163"/>
      <c r="V44" s="163"/>
      <c r="W44" s="163"/>
      <c r="X44" s="163"/>
      <c r="Y44" s="163"/>
      <c r="Z44" s="163"/>
      <c r="AA44" s="163"/>
    </row>
    <row r="45">
      <c r="A45" s="163"/>
      <c r="B45" s="163"/>
      <c r="C45" s="163"/>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row>
    <row r="46">
      <c r="A46" s="163"/>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row>
    <row r="47">
      <c r="A47" s="163"/>
      <c r="B47" s="163"/>
      <c r="C47" s="163"/>
      <c r="D47" s="163"/>
      <c r="E47" s="163"/>
      <c r="F47" s="163"/>
      <c r="G47" s="163"/>
      <c r="H47" s="163"/>
      <c r="I47" s="163"/>
      <c r="J47" s="163"/>
      <c r="K47" s="163"/>
      <c r="L47" s="163"/>
      <c r="M47" s="163"/>
      <c r="N47" s="163"/>
      <c r="O47" s="163"/>
      <c r="P47" s="163"/>
      <c r="Q47" s="163"/>
      <c r="R47" s="163"/>
      <c r="S47" s="163"/>
      <c r="T47" s="163"/>
      <c r="U47" s="163"/>
      <c r="V47" s="163"/>
      <c r="W47" s="163"/>
      <c r="X47" s="163"/>
      <c r="Y47" s="163"/>
      <c r="Z47" s="163"/>
      <c r="AA47" s="163"/>
    </row>
    <row r="48">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row>
    <row r="49">
      <c r="A49" s="163"/>
      <c r="B49" s="163"/>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row>
    <row r="50">
      <c r="A50" s="163"/>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c r="AA50" s="163"/>
    </row>
    <row r="51">
      <c r="A51" s="163"/>
      <c r="B51" s="163"/>
      <c r="C51" s="163"/>
      <c r="D51" s="163"/>
      <c r="E51" s="163"/>
      <c r="F51" s="163"/>
      <c r="G51" s="163"/>
      <c r="H51" s="163"/>
      <c r="I51" s="163"/>
      <c r="J51" s="163"/>
      <c r="K51" s="163"/>
      <c r="L51" s="163"/>
      <c r="M51" s="163"/>
      <c r="N51" s="163"/>
      <c r="O51" s="163"/>
      <c r="P51" s="163"/>
      <c r="Q51" s="163"/>
      <c r="R51" s="163"/>
      <c r="S51" s="163"/>
      <c r="T51" s="163"/>
      <c r="U51" s="163"/>
      <c r="V51" s="163"/>
      <c r="W51" s="163"/>
      <c r="X51" s="163"/>
      <c r="Y51" s="163"/>
      <c r="Z51" s="163"/>
      <c r="AA51" s="163"/>
    </row>
    <row r="52">
      <c r="A52" s="163"/>
      <c r="B52" s="163"/>
      <c r="C52" s="163"/>
      <c r="D52" s="163"/>
      <c r="E52" s="163"/>
      <c r="F52" s="163"/>
      <c r="G52" s="163"/>
      <c r="H52" s="163"/>
      <c r="I52" s="163"/>
      <c r="J52" s="163"/>
      <c r="K52" s="163"/>
      <c r="L52" s="163"/>
      <c r="M52" s="163"/>
      <c r="N52" s="163"/>
      <c r="O52" s="163"/>
      <c r="P52" s="163"/>
      <c r="Q52" s="163"/>
      <c r="R52" s="163"/>
      <c r="S52" s="163"/>
      <c r="T52" s="163"/>
      <c r="U52" s="163"/>
      <c r="V52" s="163"/>
      <c r="W52" s="163"/>
      <c r="X52" s="163"/>
      <c r="Y52" s="163"/>
      <c r="Z52" s="163"/>
      <c r="AA52" s="163"/>
    </row>
    <row r="53">
      <c r="A53" s="163"/>
      <c r="B53" s="163"/>
      <c r="C53" s="163"/>
      <c r="D53" s="163"/>
      <c r="E53" s="163"/>
      <c r="F53" s="163"/>
      <c r="G53" s="163"/>
      <c r="H53" s="163"/>
      <c r="I53" s="163"/>
      <c r="J53" s="163"/>
      <c r="K53" s="163"/>
      <c r="L53" s="163"/>
      <c r="M53" s="163"/>
      <c r="N53" s="163"/>
      <c r="O53" s="163"/>
      <c r="P53" s="163"/>
      <c r="Q53" s="163"/>
      <c r="R53" s="163"/>
      <c r="S53" s="163"/>
      <c r="T53" s="163"/>
      <c r="U53" s="163"/>
      <c r="V53" s="163"/>
      <c r="W53" s="163"/>
      <c r="X53" s="163"/>
      <c r="Y53" s="163"/>
      <c r="Z53" s="163"/>
      <c r="AA53" s="163"/>
    </row>
    <row r="54">
      <c r="A54" s="163"/>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c r="AA54" s="163"/>
    </row>
    <row r="55">
      <c r="A55" s="163"/>
      <c r="B55" s="163"/>
      <c r="C55" s="163"/>
      <c r="D55" s="163"/>
      <c r="E55" s="163"/>
      <c r="F55" s="163"/>
      <c r="G55" s="163"/>
      <c r="H55" s="163"/>
      <c r="I55" s="163"/>
      <c r="J55" s="163"/>
      <c r="K55" s="163"/>
      <c r="L55" s="163"/>
      <c r="M55" s="163"/>
      <c r="N55" s="163"/>
      <c r="O55" s="163"/>
      <c r="P55" s="163"/>
      <c r="Q55" s="163"/>
      <c r="R55" s="163"/>
      <c r="S55" s="163"/>
      <c r="T55" s="163"/>
      <c r="U55" s="163"/>
      <c r="V55" s="163"/>
      <c r="W55" s="163"/>
      <c r="X55" s="163"/>
      <c r="Y55" s="163"/>
      <c r="Z55" s="163"/>
      <c r="AA55" s="163"/>
    </row>
    <row r="56">
      <c r="A56" s="163"/>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row>
    <row r="57">
      <c r="A57" s="163"/>
      <c r="B57" s="163"/>
      <c r="C57" s="163"/>
      <c r="D57" s="163"/>
      <c r="E57" s="163"/>
      <c r="F57" s="163"/>
      <c r="G57" s="163"/>
      <c r="H57" s="163"/>
      <c r="I57" s="163"/>
      <c r="J57" s="163"/>
      <c r="K57" s="163"/>
      <c r="L57" s="163"/>
      <c r="M57" s="163"/>
      <c r="N57" s="163"/>
      <c r="O57" s="163"/>
      <c r="P57" s="163"/>
      <c r="Q57" s="163"/>
      <c r="R57" s="163"/>
      <c r="S57" s="163"/>
      <c r="T57" s="163"/>
      <c r="U57" s="163"/>
      <c r="V57" s="163"/>
      <c r="W57" s="163"/>
      <c r="X57" s="163"/>
      <c r="Y57" s="163"/>
      <c r="Z57" s="163"/>
      <c r="AA57" s="163"/>
    </row>
    <row r="58">
      <c r="A58" s="163"/>
      <c r="B58" s="163"/>
      <c r="C58" s="163"/>
      <c r="D58" s="163"/>
      <c r="E58" s="163"/>
      <c r="F58" s="163"/>
      <c r="G58" s="163"/>
      <c r="H58" s="163"/>
      <c r="I58" s="163"/>
      <c r="J58" s="163"/>
      <c r="K58" s="163"/>
      <c r="L58" s="163"/>
      <c r="M58" s="163"/>
      <c r="N58" s="163"/>
      <c r="O58" s="163"/>
      <c r="P58" s="163"/>
      <c r="Q58" s="163"/>
      <c r="R58" s="163"/>
      <c r="S58" s="163"/>
      <c r="T58" s="163"/>
      <c r="U58" s="163"/>
      <c r="V58" s="163"/>
      <c r="W58" s="163"/>
      <c r="X58" s="163"/>
      <c r="Y58" s="163"/>
      <c r="Z58" s="163"/>
      <c r="AA58" s="163"/>
    </row>
    <row r="59">
      <c r="A59" s="163"/>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c r="AA59" s="163"/>
    </row>
    <row r="60">
      <c r="A60" s="16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c r="AA60" s="163"/>
    </row>
    <row r="61">
      <c r="A61" s="163"/>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63"/>
    </row>
    <row r="62">
      <c r="A62" s="163"/>
      <c r="B62" s="163"/>
      <c r="C62" s="163"/>
      <c r="D62" s="163"/>
      <c r="E62" s="163"/>
      <c r="F62" s="163"/>
      <c r="G62" s="163"/>
      <c r="H62" s="163"/>
      <c r="I62" s="163"/>
      <c r="J62" s="163"/>
      <c r="K62" s="163"/>
      <c r="L62" s="163"/>
      <c r="M62" s="163"/>
      <c r="N62" s="163"/>
      <c r="O62" s="163"/>
      <c r="P62" s="163"/>
      <c r="Q62" s="163"/>
      <c r="R62" s="163"/>
      <c r="S62" s="163"/>
      <c r="T62" s="163"/>
      <c r="U62" s="163"/>
      <c r="V62" s="163"/>
      <c r="W62" s="163"/>
      <c r="X62" s="163"/>
      <c r="Y62" s="163"/>
      <c r="Z62" s="163"/>
      <c r="AA62" s="163"/>
    </row>
    <row r="63">
      <c r="A63" s="163"/>
      <c r="B63" s="163"/>
      <c r="C63" s="163"/>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row>
    <row r="64">
      <c r="A64" s="163"/>
      <c r="B64" s="163"/>
      <c r="C64" s="163"/>
      <c r="D64" s="163"/>
      <c r="E64" s="163"/>
      <c r="F64" s="163"/>
      <c r="G64" s="163"/>
      <c r="H64" s="163"/>
      <c r="I64" s="163"/>
      <c r="J64" s="163"/>
      <c r="K64" s="163"/>
      <c r="L64" s="163"/>
      <c r="M64" s="163"/>
      <c r="N64" s="163"/>
      <c r="O64" s="163"/>
      <c r="P64" s="163"/>
      <c r="Q64" s="163"/>
      <c r="R64" s="163"/>
      <c r="S64" s="163"/>
      <c r="T64" s="163"/>
      <c r="U64" s="163"/>
      <c r="V64" s="163"/>
      <c r="W64" s="163"/>
      <c r="X64" s="163"/>
      <c r="Y64" s="163"/>
      <c r="Z64" s="163"/>
      <c r="AA64" s="163"/>
    </row>
    <row r="65">
      <c r="A65" s="163"/>
      <c r="B65" s="163"/>
      <c r="C65" s="163"/>
      <c r="D65" s="163"/>
      <c r="E65" s="163"/>
      <c r="F65" s="163"/>
      <c r="G65" s="163"/>
      <c r="H65" s="163"/>
      <c r="I65" s="163"/>
      <c r="J65" s="163"/>
      <c r="K65" s="163"/>
      <c r="L65" s="163"/>
      <c r="M65" s="163"/>
      <c r="N65" s="163"/>
      <c r="O65" s="163"/>
      <c r="P65" s="163"/>
      <c r="Q65" s="163"/>
      <c r="R65" s="163"/>
      <c r="S65" s="163"/>
      <c r="T65" s="163"/>
      <c r="U65" s="163"/>
      <c r="V65" s="163"/>
      <c r="W65" s="163"/>
      <c r="X65" s="163"/>
      <c r="Y65" s="163"/>
      <c r="Z65" s="163"/>
      <c r="AA65" s="163"/>
    </row>
    <row r="66">
      <c r="A66" s="163"/>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63"/>
    </row>
    <row r="67">
      <c r="A67" s="163"/>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row>
    <row r="68">
      <c r="A68" s="163"/>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3"/>
    </row>
    <row r="69">
      <c r="A69" s="163"/>
      <c r="B69" s="163"/>
      <c r="C69" s="163"/>
      <c r="D69" s="163"/>
      <c r="E69" s="163"/>
      <c r="F69" s="163"/>
      <c r="G69" s="163"/>
      <c r="H69" s="163"/>
      <c r="I69" s="163"/>
      <c r="J69" s="163"/>
      <c r="K69" s="163"/>
      <c r="L69" s="163"/>
      <c r="M69" s="163"/>
      <c r="N69" s="163"/>
      <c r="O69" s="163"/>
      <c r="P69" s="163"/>
      <c r="Q69" s="163"/>
      <c r="R69" s="163"/>
      <c r="S69" s="163"/>
      <c r="T69" s="163"/>
      <c r="U69" s="163"/>
      <c r="V69" s="163"/>
      <c r="W69" s="163"/>
      <c r="X69" s="163"/>
      <c r="Y69" s="163"/>
      <c r="Z69" s="163"/>
      <c r="AA69" s="163"/>
    </row>
    <row r="70">
      <c r="A70" s="163"/>
      <c r="B70" s="163"/>
      <c r="C70" s="163"/>
      <c r="D70" s="163"/>
      <c r="E70" s="163"/>
      <c r="F70" s="163"/>
      <c r="G70" s="163"/>
      <c r="H70" s="163"/>
      <c r="I70" s="163"/>
      <c r="J70" s="163"/>
      <c r="K70" s="163"/>
      <c r="L70" s="163"/>
      <c r="M70" s="163"/>
      <c r="N70" s="163"/>
      <c r="O70" s="163"/>
      <c r="P70" s="163"/>
      <c r="Q70" s="163"/>
      <c r="R70" s="163"/>
      <c r="S70" s="163"/>
      <c r="T70" s="163"/>
      <c r="U70" s="163"/>
      <c r="V70" s="163"/>
      <c r="W70" s="163"/>
      <c r="X70" s="163"/>
      <c r="Y70" s="163"/>
      <c r="Z70" s="163"/>
      <c r="AA70" s="163"/>
    </row>
    <row r="71">
      <c r="A71" s="163"/>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row>
    <row r="72">
      <c r="A72" s="163"/>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row>
    <row r="73">
      <c r="A73" s="163"/>
      <c r="B73" s="163"/>
      <c r="C73" s="163"/>
      <c r="D73" s="163"/>
      <c r="E73" s="163"/>
      <c r="F73" s="163"/>
      <c r="G73" s="163"/>
      <c r="H73" s="163"/>
      <c r="I73" s="163"/>
      <c r="J73" s="163"/>
      <c r="K73" s="163"/>
      <c r="L73" s="163"/>
      <c r="M73" s="163"/>
      <c r="N73" s="163"/>
      <c r="O73" s="163"/>
      <c r="P73" s="163"/>
      <c r="Q73" s="163"/>
      <c r="R73" s="163"/>
      <c r="S73" s="163"/>
      <c r="T73" s="163"/>
      <c r="U73" s="163"/>
      <c r="V73" s="163"/>
      <c r="W73" s="163"/>
      <c r="X73" s="163"/>
      <c r="Y73" s="163"/>
      <c r="Z73" s="163"/>
      <c r="AA73" s="163"/>
    </row>
    <row r="74">
      <c r="A74" s="163"/>
      <c r="B74" s="163"/>
      <c r="C74" s="163"/>
      <c r="D74" s="163"/>
      <c r="E74" s="163"/>
      <c r="F74" s="163"/>
      <c r="G74" s="163"/>
      <c r="H74" s="163"/>
      <c r="I74" s="163"/>
      <c r="J74" s="163"/>
      <c r="K74" s="163"/>
      <c r="L74" s="163"/>
      <c r="M74" s="163"/>
      <c r="N74" s="163"/>
      <c r="O74" s="163"/>
      <c r="P74" s="163"/>
      <c r="Q74" s="163"/>
      <c r="R74" s="163"/>
      <c r="S74" s="163"/>
      <c r="T74" s="163"/>
      <c r="U74" s="163"/>
      <c r="V74" s="163"/>
      <c r="W74" s="163"/>
      <c r="X74" s="163"/>
      <c r="Y74" s="163"/>
      <c r="Z74" s="163"/>
      <c r="AA74" s="163"/>
    </row>
    <row r="75">
      <c r="A75" s="163"/>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c r="AA75" s="163"/>
    </row>
    <row r="76">
      <c r="A76" s="163"/>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c r="AA76" s="163"/>
    </row>
    <row r="77">
      <c r="A77" s="163"/>
      <c r="B77" s="163"/>
      <c r="C77" s="163"/>
      <c r="D77" s="163"/>
      <c r="E77" s="163"/>
      <c r="F77" s="163"/>
      <c r="G77" s="163"/>
      <c r="H77" s="163"/>
      <c r="I77" s="163"/>
      <c r="J77" s="163"/>
      <c r="K77" s="163"/>
      <c r="L77" s="163"/>
      <c r="M77" s="163"/>
      <c r="N77" s="163"/>
      <c r="O77" s="163"/>
      <c r="P77" s="163"/>
      <c r="Q77" s="163"/>
      <c r="R77" s="163"/>
      <c r="S77" s="163"/>
      <c r="T77" s="163"/>
      <c r="U77" s="163"/>
      <c r="V77" s="163"/>
      <c r="W77" s="163"/>
      <c r="X77" s="163"/>
      <c r="Y77" s="163"/>
      <c r="Z77" s="163"/>
      <c r="AA77" s="163"/>
    </row>
    <row r="78">
      <c r="A78" s="163"/>
      <c r="B78" s="163"/>
      <c r="C78" s="163"/>
      <c r="D78" s="163"/>
      <c r="E78" s="163"/>
      <c r="F78" s="163"/>
      <c r="G78" s="163"/>
      <c r="H78" s="163"/>
      <c r="I78" s="163"/>
      <c r="J78" s="163"/>
      <c r="K78" s="163"/>
      <c r="L78" s="163"/>
      <c r="M78" s="163"/>
      <c r="N78" s="163"/>
      <c r="O78" s="163"/>
      <c r="P78" s="163"/>
      <c r="Q78" s="163"/>
      <c r="R78" s="163"/>
      <c r="S78" s="163"/>
      <c r="T78" s="163"/>
      <c r="U78" s="163"/>
      <c r="V78" s="163"/>
      <c r="W78" s="163"/>
      <c r="X78" s="163"/>
      <c r="Y78" s="163"/>
      <c r="Z78" s="163"/>
      <c r="AA78" s="163"/>
    </row>
    <row r="79">
      <c r="A79" s="163"/>
      <c r="B79" s="163"/>
      <c r="C79" s="163"/>
      <c r="D79" s="163"/>
      <c r="E79" s="163"/>
      <c r="F79" s="163"/>
      <c r="G79" s="163"/>
      <c r="H79" s="163"/>
      <c r="I79" s="163"/>
      <c r="J79" s="163"/>
      <c r="K79" s="163"/>
      <c r="L79" s="163"/>
      <c r="M79" s="163"/>
      <c r="N79" s="163"/>
      <c r="O79" s="163"/>
      <c r="P79" s="163"/>
      <c r="Q79" s="163"/>
      <c r="R79" s="163"/>
      <c r="S79" s="163"/>
      <c r="T79" s="163"/>
      <c r="U79" s="163"/>
      <c r="V79" s="163"/>
      <c r="W79" s="163"/>
      <c r="X79" s="163"/>
      <c r="Y79" s="163"/>
      <c r="Z79" s="163"/>
      <c r="AA79" s="163"/>
    </row>
    <row r="80">
      <c r="A80" s="163"/>
      <c r="B80" s="163"/>
      <c r="C80" s="163"/>
      <c r="D80" s="163"/>
      <c r="E80" s="163"/>
      <c r="F80" s="163"/>
      <c r="G80" s="163"/>
      <c r="H80" s="163"/>
      <c r="I80" s="163"/>
      <c r="J80" s="163"/>
      <c r="K80" s="163"/>
      <c r="L80" s="163"/>
      <c r="M80" s="163"/>
      <c r="N80" s="163"/>
      <c r="O80" s="163"/>
      <c r="P80" s="163"/>
      <c r="Q80" s="163"/>
      <c r="R80" s="163"/>
      <c r="S80" s="163"/>
      <c r="T80" s="163"/>
      <c r="U80" s="163"/>
      <c r="V80" s="163"/>
      <c r="W80" s="163"/>
      <c r="X80" s="163"/>
      <c r="Y80" s="163"/>
      <c r="Z80" s="163"/>
      <c r="AA80" s="163"/>
    </row>
    <row r="81">
      <c r="A81" s="163"/>
      <c r="B81" s="163"/>
      <c r="C81" s="163"/>
      <c r="D81" s="163"/>
      <c r="E81" s="163"/>
      <c r="F81" s="163"/>
      <c r="G81" s="163"/>
      <c r="H81" s="163"/>
      <c r="I81" s="163"/>
      <c r="J81" s="163"/>
      <c r="K81" s="163"/>
      <c r="L81" s="163"/>
      <c r="M81" s="163"/>
      <c r="N81" s="163"/>
      <c r="O81" s="163"/>
      <c r="P81" s="163"/>
      <c r="Q81" s="163"/>
      <c r="R81" s="163"/>
      <c r="S81" s="163"/>
      <c r="T81" s="163"/>
      <c r="U81" s="163"/>
      <c r="V81" s="163"/>
      <c r="W81" s="163"/>
      <c r="X81" s="163"/>
      <c r="Y81" s="163"/>
      <c r="Z81" s="163"/>
      <c r="AA81" s="163"/>
    </row>
    <row r="82">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row>
    <row r="83">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row>
    <row r="84">
      <c r="A84" s="163"/>
      <c r="B84" s="163"/>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c r="AA84" s="163"/>
    </row>
    <row r="85">
      <c r="A85" s="163"/>
      <c r="B85" s="163"/>
      <c r="C85" s="163"/>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row>
    <row r="86">
      <c r="A86" s="163"/>
      <c r="B86" s="163"/>
      <c r="C86" s="163"/>
      <c r="D86" s="163"/>
      <c r="E86" s="163"/>
      <c r="F86" s="163"/>
      <c r="G86" s="163"/>
      <c r="H86" s="163"/>
      <c r="I86" s="163"/>
      <c r="J86" s="163"/>
      <c r="K86" s="163"/>
      <c r="L86" s="163"/>
      <c r="M86" s="163"/>
      <c r="N86" s="163"/>
      <c r="O86" s="163"/>
      <c r="P86" s="163"/>
      <c r="Q86" s="163"/>
      <c r="R86" s="163"/>
      <c r="S86" s="163"/>
      <c r="T86" s="163"/>
      <c r="U86" s="163"/>
      <c r="V86" s="163"/>
      <c r="W86" s="163"/>
      <c r="X86" s="163"/>
      <c r="Y86" s="163"/>
      <c r="Z86" s="163"/>
      <c r="AA86" s="163"/>
    </row>
    <row r="87">
      <c r="A87" s="163"/>
      <c r="B87" s="163"/>
      <c r="C87" s="163"/>
      <c r="D87" s="163"/>
      <c r="E87" s="163"/>
      <c r="F87" s="163"/>
      <c r="G87" s="163"/>
      <c r="H87" s="163"/>
      <c r="I87" s="163"/>
      <c r="J87" s="163"/>
      <c r="K87" s="163"/>
      <c r="L87" s="163"/>
      <c r="M87" s="163"/>
      <c r="N87" s="163"/>
      <c r="O87" s="163"/>
      <c r="P87" s="163"/>
      <c r="Q87" s="163"/>
      <c r="R87" s="163"/>
      <c r="S87" s="163"/>
      <c r="T87" s="163"/>
      <c r="U87" s="163"/>
      <c r="V87" s="163"/>
      <c r="W87" s="163"/>
      <c r="X87" s="163"/>
      <c r="Y87" s="163"/>
      <c r="Z87" s="163"/>
      <c r="AA87" s="163"/>
    </row>
    <row r="88">
      <c r="A88" s="163"/>
      <c r="B88" s="163"/>
      <c r="C88" s="163"/>
      <c r="D88" s="163"/>
      <c r="E88" s="163"/>
      <c r="F88" s="163"/>
      <c r="G88" s="163"/>
      <c r="H88" s="163"/>
      <c r="I88" s="163"/>
      <c r="J88" s="163"/>
      <c r="K88" s="163"/>
      <c r="L88" s="163"/>
      <c r="M88" s="163"/>
      <c r="N88" s="163"/>
      <c r="O88" s="163"/>
      <c r="P88" s="163"/>
      <c r="Q88" s="163"/>
      <c r="R88" s="163"/>
      <c r="S88" s="163"/>
      <c r="T88" s="163"/>
      <c r="U88" s="163"/>
      <c r="V88" s="163"/>
      <c r="W88" s="163"/>
      <c r="X88" s="163"/>
      <c r="Y88" s="163"/>
      <c r="Z88" s="163"/>
      <c r="AA88" s="163"/>
    </row>
    <row r="89">
      <c r="A89" s="163"/>
      <c r="B89" s="163"/>
      <c r="C89" s="163"/>
      <c r="D89" s="163"/>
      <c r="E89" s="163"/>
      <c r="F89" s="163"/>
      <c r="G89" s="163"/>
      <c r="H89" s="163"/>
      <c r="I89" s="163"/>
      <c r="J89" s="163"/>
      <c r="K89" s="163"/>
      <c r="L89" s="163"/>
      <c r="M89" s="163"/>
      <c r="N89" s="163"/>
      <c r="O89" s="163"/>
      <c r="P89" s="163"/>
      <c r="Q89" s="163"/>
      <c r="R89" s="163"/>
      <c r="S89" s="163"/>
      <c r="T89" s="163"/>
      <c r="U89" s="163"/>
      <c r="V89" s="163"/>
      <c r="W89" s="163"/>
      <c r="X89" s="163"/>
      <c r="Y89" s="163"/>
      <c r="Z89" s="163"/>
      <c r="AA89" s="163"/>
    </row>
    <row r="90">
      <c r="A90" s="163"/>
      <c r="B90" s="163"/>
      <c r="C90" s="163"/>
      <c r="D90" s="163"/>
      <c r="E90" s="163"/>
      <c r="F90" s="163"/>
      <c r="G90" s="163"/>
      <c r="H90" s="163"/>
      <c r="I90" s="163"/>
      <c r="J90" s="163"/>
      <c r="K90" s="163"/>
      <c r="L90" s="163"/>
      <c r="M90" s="163"/>
      <c r="N90" s="163"/>
      <c r="O90" s="163"/>
      <c r="P90" s="163"/>
      <c r="Q90" s="163"/>
      <c r="R90" s="163"/>
      <c r="S90" s="163"/>
      <c r="T90" s="163"/>
      <c r="U90" s="163"/>
      <c r="V90" s="163"/>
      <c r="W90" s="163"/>
      <c r="X90" s="163"/>
      <c r="Y90" s="163"/>
      <c r="Z90" s="163"/>
      <c r="AA90" s="163"/>
    </row>
    <row r="91">
      <c r="A91" s="163"/>
      <c r="B91" s="163"/>
      <c r="C91" s="163"/>
      <c r="D91" s="163"/>
      <c r="E91" s="163"/>
      <c r="F91" s="163"/>
      <c r="G91" s="163"/>
      <c r="H91" s="163"/>
      <c r="I91" s="163"/>
      <c r="J91" s="163"/>
      <c r="K91" s="163"/>
      <c r="L91" s="163"/>
      <c r="M91" s="163"/>
      <c r="N91" s="163"/>
      <c r="O91" s="163"/>
      <c r="P91" s="163"/>
      <c r="Q91" s="163"/>
      <c r="R91" s="163"/>
      <c r="S91" s="163"/>
      <c r="T91" s="163"/>
      <c r="U91" s="163"/>
      <c r="V91" s="163"/>
      <c r="W91" s="163"/>
      <c r="X91" s="163"/>
      <c r="Y91" s="163"/>
      <c r="Z91" s="163"/>
      <c r="AA91" s="163"/>
    </row>
    <row r="92">
      <c r="A92" s="163"/>
      <c r="B92" s="163"/>
      <c r="C92" s="163"/>
      <c r="D92" s="163"/>
      <c r="E92" s="163"/>
      <c r="F92" s="163"/>
      <c r="G92" s="163"/>
      <c r="H92" s="163"/>
      <c r="I92" s="163"/>
      <c r="J92" s="163"/>
      <c r="K92" s="163"/>
      <c r="L92" s="163"/>
      <c r="M92" s="163"/>
      <c r="N92" s="163"/>
      <c r="O92" s="163"/>
      <c r="P92" s="163"/>
      <c r="Q92" s="163"/>
      <c r="R92" s="163"/>
      <c r="S92" s="163"/>
      <c r="T92" s="163"/>
      <c r="U92" s="163"/>
      <c r="V92" s="163"/>
      <c r="W92" s="163"/>
      <c r="X92" s="163"/>
      <c r="Y92" s="163"/>
      <c r="Z92" s="163"/>
      <c r="AA92" s="163"/>
    </row>
    <row r="93">
      <c r="A93" s="163"/>
      <c r="B93" s="163"/>
      <c r="C93" s="163"/>
      <c r="D93" s="163"/>
      <c r="E93" s="163"/>
      <c r="F93" s="163"/>
      <c r="G93" s="163"/>
      <c r="H93" s="163"/>
      <c r="I93" s="163"/>
      <c r="J93" s="163"/>
      <c r="K93" s="163"/>
      <c r="L93" s="163"/>
      <c r="M93" s="163"/>
      <c r="N93" s="163"/>
      <c r="O93" s="163"/>
      <c r="P93" s="163"/>
      <c r="Q93" s="163"/>
      <c r="R93" s="163"/>
      <c r="S93" s="163"/>
      <c r="T93" s="163"/>
      <c r="U93" s="163"/>
      <c r="V93" s="163"/>
      <c r="W93" s="163"/>
      <c r="X93" s="163"/>
      <c r="Y93" s="163"/>
      <c r="Z93" s="163"/>
      <c r="AA93" s="163"/>
    </row>
    <row r="94">
      <c r="A94" s="163"/>
      <c r="B94" s="163"/>
      <c r="C94" s="163"/>
      <c r="D94" s="163"/>
      <c r="E94" s="163"/>
      <c r="F94" s="163"/>
      <c r="G94" s="163"/>
      <c r="H94" s="163"/>
      <c r="I94" s="163"/>
      <c r="J94" s="163"/>
      <c r="K94" s="163"/>
      <c r="L94" s="163"/>
      <c r="M94" s="163"/>
      <c r="N94" s="163"/>
      <c r="O94" s="163"/>
      <c r="P94" s="163"/>
      <c r="Q94" s="163"/>
      <c r="R94" s="163"/>
      <c r="S94" s="163"/>
      <c r="T94" s="163"/>
      <c r="U94" s="163"/>
      <c r="V94" s="163"/>
      <c r="W94" s="163"/>
      <c r="X94" s="163"/>
      <c r="Y94" s="163"/>
      <c r="Z94" s="163"/>
      <c r="AA94" s="163"/>
    </row>
    <row r="95">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row>
    <row r="96">
      <c r="A96" s="163"/>
      <c r="B96" s="163"/>
      <c r="C96" s="163"/>
      <c r="D96" s="163"/>
      <c r="E96" s="163"/>
      <c r="F96" s="163"/>
      <c r="G96" s="163"/>
      <c r="H96" s="163"/>
      <c r="I96" s="163"/>
      <c r="J96" s="163"/>
      <c r="K96" s="163"/>
      <c r="L96" s="163"/>
      <c r="M96" s="163"/>
      <c r="N96" s="163"/>
      <c r="O96" s="163"/>
      <c r="P96" s="163"/>
      <c r="Q96" s="163"/>
      <c r="R96" s="163"/>
      <c r="S96" s="163"/>
      <c r="T96" s="163"/>
      <c r="U96" s="163"/>
      <c r="V96" s="163"/>
      <c r="W96" s="163"/>
      <c r="X96" s="163"/>
      <c r="Y96" s="163"/>
      <c r="Z96" s="163"/>
      <c r="AA96" s="163"/>
    </row>
    <row r="97">
      <c r="A97" s="163"/>
      <c r="B97" s="163"/>
      <c r="C97" s="163"/>
      <c r="D97" s="163"/>
      <c r="E97" s="163"/>
      <c r="F97" s="163"/>
      <c r="G97" s="163"/>
      <c r="H97" s="163"/>
      <c r="I97" s="163"/>
      <c r="J97" s="163"/>
      <c r="K97" s="163"/>
      <c r="L97" s="163"/>
      <c r="M97" s="163"/>
      <c r="N97" s="163"/>
      <c r="O97" s="163"/>
      <c r="P97" s="163"/>
      <c r="Q97" s="163"/>
      <c r="R97" s="163"/>
      <c r="S97" s="163"/>
      <c r="T97" s="163"/>
      <c r="U97" s="163"/>
      <c r="V97" s="163"/>
      <c r="W97" s="163"/>
      <c r="X97" s="163"/>
      <c r="Y97" s="163"/>
      <c r="Z97" s="163"/>
      <c r="AA97" s="163"/>
    </row>
    <row r="98">
      <c r="A98" s="163"/>
      <c r="B98" s="163"/>
      <c r="C98" s="163"/>
      <c r="D98" s="163"/>
      <c r="E98" s="163"/>
      <c r="F98" s="163"/>
      <c r="G98" s="163"/>
      <c r="H98" s="163"/>
      <c r="I98" s="163"/>
      <c r="J98" s="163"/>
      <c r="K98" s="163"/>
      <c r="L98" s="163"/>
      <c r="M98" s="163"/>
      <c r="N98" s="163"/>
      <c r="O98" s="163"/>
      <c r="P98" s="163"/>
      <c r="Q98" s="163"/>
      <c r="R98" s="163"/>
      <c r="S98" s="163"/>
      <c r="T98" s="163"/>
      <c r="U98" s="163"/>
      <c r="V98" s="163"/>
      <c r="W98" s="163"/>
      <c r="X98" s="163"/>
      <c r="Y98" s="163"/>
      <c r="Z98" s="163"/>
      <c r="AA98" s="163"/>
    </row>
    <row r="99">
      <c r="A99" s="163"/>
      <c r="B99" s="163"/>
      <c r="C99" s="163"/>
      <c r="D99" s="163"/>
      <c r="E99" s="163"/>
      <c r="F99" s="163"/>
      <c r="G99" s="163"/>
      <c r="H99" s="163"/>
      <c r="I99" s="163"/>
      <c r="J99" s="163"/>
      <c r="K99" s="163"/>
      <c r="L99" s="163"/>
      <c r="M99" s="163"/>
      <c r="N99" s="163"/>
      <c r="O99" s="163"/>
      <c r="P99" s="163"/>
      <c r="Q99" s="163"/>
      <c r="R99" s="163"/>
      <c r="S99" s="163"/>
      <c r="T99" s="163"/>
      <c r="U99" s="163"/>
      <c r="V99" s="163"/>
      <c r="W99" s="163"/>
      <c r="X99" s="163"/>
      <c r="Y99" s="163"/>
      <c r="Z99" s="163"/>
      <c r="AA99" s="163"/>
    </row>
    <row r="100">
      <c r="A100" s="163"/>
      <c r="B100" s="163"/>
      <c r="C100" s="163"/>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c r="AA100" s="163"/>
    </row>
    <row r="101">
      <c r="A101" s="163"/>
      <c r="B101" s="163"/>
      <c r="C101" s="163"/>
      <c r="D101" s="163"/>
      <c r="E101" s="163"/>
      <c r="F101" s="163"/>
      <c r="G101" s="163"/>
      <c r="H101" s="163"/>
      <c r="I101" s="163"/>
      <c r="J101" s="163"/>
      <c r="K101" s="163"/>
      <c r="L101" s="163"/>
      <c r="M101" s="163"/>
      <c r="N101" s="163"/>
      <c r="O101" s="163"/>
      <c r="P101" s="163"/>
      <c r="Q101" s="163"/>
      <c r="R101" s="163"/>
      <c r="S101" s="163"/>
      <c r="T101" s="163"/>
      <c r="U101" s="163"/>
      <c r="V101" s="163"/>
      <c r="W101" s="163"/>
      <c r="X101" s="163"/>
      <c r="Y101" s="163"/>
      <c r="Z101" s="163"/>
      <c r="AA101" s="163"/>
    </row>
    <row r="102">
      <c r="A102" s="163"/>
      <c r="B102" s="163"/>
      <c r="C102" s="163"/>
      <c r="D102" s="163"/>
      <c r="E102" s="163"/>
      <c r="F102" s="163"/>
      <c r="G102" s="163"/>
      <c r="H102" s="163"/>
      <c r="I102" s="163"/>
      <c r="J102" s="163"/>
      <c r="K102" s="163"/>
      <c r="L102" s="163"/>
      <c r="M102" s="163"/>
      <c r="N102" s="163"/>
      <c r="O102" s="163"/>
      <c r="P102" s="163"/>
      <c r="Q102" s="163"/>
      <c r="R102" s="163"/>
      <c r="S102" s="163"/>
      <c r="T102" s="163"/>
      <c r="U102" s="163"/>
      <c r="V102" s="163"/>
      <c r="W102" s="163"/>
      <c r="X102" s="163"/>
      <c r="Y102" s="163"/>
      <c r="Z102" s="163"/>
      <c r="AA102" s="163"/>
    </row>
    <row r="103">
      <c r="A103" s="163"/>
      <c r="B103" s="163"/>
      <c r="C103" s="163"/>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c r="AA103" s="163"/>
    </row>
    <row r="104">
      <c r="A104" s="163"/>
      <c r="B104" s="163"/>
      <c r="C104" s="163"/>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c r="AA104" s="163"/>
    </row>
    <row r="105">
      <c r="A105" s="163"/>
      <c r="B105" s="163"/>
      <c r="C105" s="163"/>
      <c r="D105" s="163"/>
      <c r="E105" s="163"/>
      <c r="F105" s="163"/>
      <c r="G105" s="163"/>
      <c r="H105" s="163"/>
      <c r="I105" s="163"/>
      <c r="J105" s="163"/>
      <c r="K105" s="163"/>
      <c r="L105" s="163"/>
      <c r="M105" s="163"/>
      <c r="N105" s="163"/>
      <c r="O105" s="163"/>
      <c r="P105" s="163"/>
      <c r="Q105" s="163"/>
      <c r="R105" s="163"/>
      <c r="S105" s="163"/>
      <c r="T105" s="163"/>
      <c r="U105" s="163"/>
      <c r="V105" s="163"/>
      <c r="W105" s="163"/>
      <c r="X105" s="163"/>
      <c r="Y105" s="163"/>
      <c r="Z105" s="163"/>
      <c r="AA105" s="163"/>
    </row>
    <row r="106">
      <c r="A106" s="163"/>
      <c r="B106" s="163"/>
      <c r="C106" s="163"/>
      <c r="D106" s="163"/>
      <c r="E106" s="163"/>
      <c r="F106" s="163"/>
      <c r="G106" s="163"/>
      <c r="H106" s="163"/>
      <c r="I106" s="163"/>
      <c r="J106" s="163"/>
      <c r="K106" s="163"/>
      <c r="L106" s="163"/>
      <c r="M106" s="163"/>
      <c r="N106" s="163"/>
      <c r="O106" s="163"/>
      <c r="P106" s="163"/>
      <c r="Q106" s="163"/>
      <c r="R106" s="163"/>
      <c r="S106" s="163"/>
      <c r="T106" s="163"/>
      <c r="U106" s="163"/>
      <c r="V106" s="163"/>
      <c r="W106" s="163"/>
      <c r="X106" s="163"/>
      <c r="Y106" s="163"/>
      <c r="Z106" s="163"/>
      <c r="AA106" s="163"/>
    </row>
    <row r="107">
      <c r="A107" s="163"/>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row>
    <row r="108">
      <c r="A108" s="163"/>
      <c r="B108" s="163"/>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c r="AA108" s="163"/>
    </row>
    <row r="109">
      <c r="A109" s="163"/>
      <c r="B109" s="163"/>
      <c r="C109" s="163"/>
      <c r="D109" s="163"/>
      <c r="E109" s="163"/>
      <c r="F109" s="163"/>
      <c r="G109" s="163"/>
      <c r="H109" s="163"/>
      <c r="I109" s="163"/>
      <c r="J109" s="163"/>
      <c r="K109" s="163"/>
      <c r="L109" s="163"/>
      <c r="M109" s="163"/>
      <c r="N109" s="163"/>
      <c r="O109" s="163"/>
      <c r="P109" s="163"/>
      <c r="Q109" s="163"/>
      <c r="R109" s="163"/>
      <c r="S109" s="163"/>
      <c r="T109" s="163"/>
      <c r="U109" s="163"/>
      <c r="V109" s="163"/>
      <c r="W109" s="163"/>
      <c r="X109" s="163"/>
      <c r="Y109" s="163"/>
      <c r="Z109" s="163"/>
      <c r="AA109" s="163"/>
    </row>
    <row r="110">
      <c r="A110" s="163"/>
      <c r="B110" s="163"/>
      <c r="C110" s="163"/>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c r="AA110" s="163"/>
    </row>
    <row r="111">
      <c r="A111" s="163"/>
      <c r="B111" s="163"/>
      <c r="C111" s="163"/>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c r="AA111" s="163"/>
    </row>
    <row r="112">
      <c r="A112" s="163"/>
      <c r="B112" s="163"/>
      <c r="C112" s="163"/>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c r="AA112" s="163"/>
    </row>
    <row r="113">
      <c r="A113" s="163"/>
      <c r="B113" s="163"/>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c r="AA113" s="163"/>
    </row>
    <row r="114">
      <c r="A114" s="163"/>
      <c r="B114" s="163"/>
      <c r="C114" s="163"/>
      <c r="D114" s="163"/>
      <c r="E114" s="163"/>
      <c r="F114" s="163"/>
      <c r="G114" s="163"/>
      <c r="H114" s="163"/>
      <c r="I114" s="163"/>
      <c r="J114" s="163"/>
      <c r="K114" s="163"/>
      <c r="L114" s="163"/>
      <c r="M114" s="163"/>
      <c r="N114" s="163"/>
      <c r="O114" s="163"/>
      <c r="P114" s="163"/>
      <c r="Q114" s="163"/>
      <c r="R114" s="163"/>
      <c r="S114" s="163"/>
      <c r="T114" s="163"/>
      <c r="U114" s="163"/>
      <c r="V114" s="163"/>
      <c r="W114" s="163"/>
      <c r="X114" s="163"/>
      <c r="Y114" s="163"/>
      <c r="Z114" s="163"/>
      <c r="AA114" s="163"/>
    </row>
    <row r="115">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63"/>
      <c r="X115" s="163"/>
      <c r="Y115" s="163"/>
      <c r="Z115" s="163"/>
      <c r="AA115" s="163"/>
    </row>
    <row r="116">
      <c r="A116" s="163"/>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3"/>
    </row>
    <row r="117">
      <c r="A117" s="163"/>
      <c r="B117" s="163"/>
      <c r="C117" s="163"/>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c r="AA117" s="163"/>
    </row>
    <row r="118">
      <c r="A118" s="163"/>
      <c r="B118" s="163"/>
      <c r="C118" s="163"/>
      <c r="D118" s="163"/>
      <c r="E118" s="163"/>
      <c r="F118" s="163"/>
      <c r="G118" s="163"/>
      <c r="H118" s="163"/>
      <c r="I118" s="163"/>
      <c r="J118" s="163"/>
      <c r="K118" s="163"/>
      <c r="L118" s="163"/>
      <c r="M118" s="163"/>
      <c r="N118" s="163"/>
      <c r="O118" s="163"/>
      <c r="P118" s="163"/>
      <c r="Q118" s="163"/>
      <c r="R118" s="163"/>
      <c r="S118" s="163"/>
      <c r="T118" s="163"/>
      <c r="U118" s="163"/>
      <c r="V118" s="163"/>
      <c r="W118" s="163"/>
      <c r="X118" s="163"/>
      <c r="Y118" s="163"/>
      <c r="Z118" s="163"/>
      <c r="AA118" s="163"/>
    </row>
    <row r="119">
      <c r="A119" s="163"/>
      <c r="B119" s="163"/>
      <c r="C119" s="163"/>
      <c r="D119" s="163"/>
      <c r="E119" s="163"/>
      <c r="F119" s="163"/>
      <c r="G119" s="163"/>
      <c r="H119" s="163"/>
      <c r="I119" s="163"/>
      <c r="J119" s="163"/>
      <c r="K119" s="163"/>
      <c r="L119" s="163"/>
      <c r="M119" s="163"/>
      <c r="N119" s="163"/>
      <c r="O119" s="163"/>
      <c r="P119" s="163"/>
      <c r="Q119" s="163"/>
      <c r="R119" s="163"/>
      <c r="S119" s="163"/>
      <c r="T119" s="163"/>
      <c r="U119" s="163"/>
      <c r="V119" s="163"/>
      <c r="W119" s="163"/>
      <c r="X119" s="163"/>
      <c r="Y119" s="163"/>
      <c r="Z119" s="163"/>
      <c r="AA119" s="163"/>
    </row>
    <row r="120">
      <c r="A120" s="163"/>
      <c r="B120" s="163"/>
      <c r="C120" s="163"/>
      <c r="D120" s="163"/>
      <c r="E120" s="163"/>
      <c r="F120" s="163"/>
      <c r="G120" s="163"/>
      <c r="H120" s="163"/>
      <c r="I120" s="163"/>
      <c r="J120" s="163"/>
      <c r="K120" s="163"/>
      <c r="L120" s="163"/>
      <c r="M120" s="163"/>
      <c r="N120" s="163"/>
      <c r="O120" s="163"/>
      <c r="P120" s="163"/>
      <c r="Q120" s="163"/>
      <c r="R120" s="163"/>
      <c r="S120" s="163"/>
      <c r="T120" s="163"/>
      <c r="U120" s="163"/>
      <c r="V120" s="163"/>
      <c r="W120" s="163"/>
      <c r="X120" s="163"/>
      <c r="Y120" s="163"/>
      <c r="Z120" s="163"/>
      <c r="AA120" s="163"/>
    </row>
    <row r="121">
      <c r="A121" s="163"/>
      <c r="B121" s="163"/>
      <c r="C121" s="163"/>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c r="AA121" s="163"/>
    </row>
    <row r="122">
      <c r="A122" s="163"/>
      <c r="B122" s="163"/>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c r="AA122" s="163"/>
    </row>
    <row r="123">
      <c r="A123" s="163"/>
      <c r="B123" s="163"/>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c r="AA123" s="163"/>
    </row>
    <row r="124">
      <c r="A124" s="163"/>
      <c r="B124" s="163"/>
      <c r="C124" s="163"/>
      <c r="D124" s="163"/>
      <c r="E124" s="163"/>
      <c r="F124" s="163"/>
      <c r="G124" s="163"/>
      <c r="H124" s="163"/>
      <c r="I124" s="163"/>
      <c r="J124" s="163"/>
      <c r="K124" s="163"/>
      <c r="L124" s="163"/>
      <c r="M124" s="163"/>
      <c r="N124" s="163"/>
      <c r="O124" s="163"/>
      <c r="P124" s="163"/>
      <c r="Q124" s="163"/>
      <c r="R124" s="163"/>
      <c r="S124" s="163"/>
      <c r="T124" s="163"/>
      <c r="U124" s="163"/>
      <c r="V124" s="163"/>
      <c r="W124" s="163"/>
      <c r="X124" s="163"/>
      <c r="Y124" s="163"/>
      <c r="Z124" s="163"/>
      <c r="AA124" s="163"/>
    </row>
    <row r="125">
      <c r="A125" s="163"/>
      <c r="B125" s="163"/>
      <c r="C125" s="163"/>
      <c r="D125" s="163"/>
      <c r="E125" s="163"/>
      <c r="F125" s="163"/>
      <c r="G125" s="163"/>
      <c r="H125" s="163"/>
      <c r="I125" s="163"/>
      <c r="J125" s="163"/>
      <c r="K125" s="163"/>
      <c r="L125" s="163"/>
      <c r="M125" s="163"/>
      <c r="N125" s="163"/>
      <c r="O125" s="163"/>
      <c r="P125" s="163"/>
      <c r="Q125" s="163"/>
      <c r="R125" s="163"/>
      <c r="S125" s="163"/>
      <c r="T125" s="163"/>
      <c r="U125" s="163"/>
      <c r="V125" s="163"/>
      <c r="W125" s="163"/>
      <c r="X125" s="163"/>
      <c r="Y125" s="163"/>
      <c r="Z125" s="163"/>
      <c r="AA125" s="163"/>
    </row>
    <row r="126">
      <c r="A126" s="163"/>
      <c r="B126" s="163"/>
      <c r="C126" s="163"/>
      <c r="D126" s="163"/>
      <c r="E126" s="163"/>
      <c r="F126" s="163"/>
      <c r="G126" s="163"/>
      <c r="H126" s="163"/>
      <c r="I126" s="163"/>
      <c r="J126" s="163"/>
      <c r="K126" s="163"/>
      <c r="L126" s="163"/>
      <c r="M126" s="163"/>
      <c r="N126" s="163"/>
      <c r="O126" s="163"/>
      <c r="P126" s="163"/>
      <c r="Q126" s="163"/>
      <c r="R126" s="163"/>
      <c r="S126" s="163"/>
      <c r="T126" s="163"/>
      <c r="U126" s="163"/>
      <c r="V126" s="163"/>
      <c r="W126" s="163"/>
      <c r="X126" s="163"/>
      <c r="Y126" s="163"/>
      <c r="Z126" s="163"/>
      <c r="AA126" s="163"/>
    </row>
    <row r="127">
      <c r="A127" s="163"/>
      <c r="B127" s="163"/>
      <c r="C127" s="163"/>
      <c r="D127" s="163"/>
      <c r="E127" s="163"/>
      <c r="F127" s="163"/>
      <c r="G127" s="163"/>
      <c r="H127" s="163"/>
      <c r="I127" s="163"/>
      <c r="J127" s="163"/>
      <c r="K127" s="163"/>
      <c r="L127" s="163"/>
      <c r="M127" s="163"/>
      <c r="N127" s="163"/>
      <c r="O127" s="163"/>
      <c r="P127" s="163"/>
      <c r="Q127" s="163"/>
      <c r="R127" s="163"/>
      <c r="S127" s="163"/>
      <c r="T127" s="163"/>
      <c r="U127" s="163"/>
      <c r="V127" s="163"/>
      <c r="W127" s="163"/>
      <c r="X127" s="163"/>
      <c r="Y127" s="163"/>
      <c r="Z127" s="163"/>
      <c r="AA127" s="163"/>
    </row>
    <row r="128">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row>
    <row r="129">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row>
    <row r="130">
      <c r="A130" s="163"/>
      <c r="B130" s="163"/>
      <c r="C130" s="163"/>
      <c r="D130" s="163"/>
      <c r="E130" s="163"/>
      <c r="F130" s="163"/>
      <c r="G130" s="163"/>
      <c r="H130" s="163"/>
      <c r="I130" s="163"/>
      <c r="J130" s="163"/>
      <c r="K130" s="163"/>
      <c r="L130" s="163"/>
      <c r="M130" s="163"/>
      <c r="N130" s="163"/>
      <c r="O130" s="163"/>
      <c r="P130" s="163"/>
      <c r="Q130" s="163"/>
      <c r="R130" s="163"/>
      <c r="S130" s="163"/>
      <c r="T130" s="163"/>
      <c r="U130" s="163"/>
      <c r="V130" s="163"/>
      <c r="W130" s="163"/>
      <c r="X130" s="163"/>
      <c r="Y130" s="163"/>
      <c r="Z130" s="163"/>
      <c r="AA130" s="163"/>
    </row>
    <row r="131">
      <c r="A131" s="163"/>
      <c r="B131" s="163"/>
      <c r="C131" s="163"/>
      <c r="D131" s="163"/>
      <c r="E131" s="163"/>
      <c r="F131" s="163"/>
      <c r="G131" s="163"/>
      <c r="H131" s="163"/>
      <c r="I131" s="163"/>
      <c r="J131" s="163"/>
      <c r="K131" s="163"/>
      <c r="L131" s="163"/>
      <c r="M131" s="163"/>
      <c r="N131" s="163"/>
      <c r="O131" s="163"/>
      <c r="P131" s="163"/>
      <c r="Q131" s="163"/>
      <c r="R131" s="163"/>
      <c r="S131" s="163"/>
      <c r="T131" s="163"/>
      <c r="U131" s="163"/>
      <c r="V131" s="163"/>
      <c r="W131" s="163"/>
      <c r="X131" s="163"/>
      <c r="Y131" s="163"/>
      <c r="Z131" s="163"/>
      <c r="AA131" s="163"/>
    </row>
    <row r="132">
      <c r="A132" s="163"/>
      <c r="B132" s="163"/>
      <c r="C132" s="163"/>
      <c r="D132" s="163"/>
      <c r="E132" s="163"/>
      <c r="F132" s="163"/>
      <c r="G132" s="163"/>
      <c r="H132" s="163"/>
      <c r="I132" s="163"/>
      <c r="J132" s="163"/>
      <c r="K132" s="163"/>
      <c r="L132" s="163"/>
      <c r="M132" s="163"/>
      <c r="N132" s="163"/>
      <c r="O132" s="163"/>
      <c r="P132" s="163"/>
      <c r="Q132" s="163"/>
      <c r="R132" s="163"/>
      <c r="S132" s="163"/>
      <c r="T132" s="163"/>
      <c r="U132" s="163"/>
      <c r="V132" s="163"/>
      <c r="W132" s="163"/>
      <c r="X132" s="163"/>
      <c r="Y132" s="163"/>
      <c r="Z132" s="163"/>
      <c r="AA132" s="163"/>
    </row>
    <row r="133">
      <c r="A133" s="163"/>
      <c r="B133" s="163"/>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c r="AA133" s="163"/>
    </row>
    <row r="134">
      <c r="A134" s="163"/>
      <c r="B134" s="163"/>
      <c r="C134" s="163"/>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c r="AA134" s="163"/>
    </row>
    <row r="135">
      <c r="A135" s="163"/>
      <c r="B135" s="163"/>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c r="AA135" s="163"/>
    </row>
    <row r="136">
      <c r="A136" s="163"/>
      <c r="B136" s="163"/>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c r="AA136" s="163"/>
    </row>
    <row r="137">
      <c r="A137" s="163"/>
      <c r="B137" s="163"/>
      <c r="C137" s="163"/>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c r="AA137" s="163"/>
    </row>
    <row r="138">
      <c r="A138" s="163"/>
      <c r="B138" s="163"/>
      <c r="C138" s="163"/>
      <c r="D138" s="163"/>
      <c r="E138" s="163"/>
      <c r="F138" s="163"/>
      <c r="G138" s="163"/>
      <c r="H138" s="163"/>
      <c r="I138" s="163"/>
      <c r="J138" s="163"/>
      <c r="K138" s="163"/>
      <c r="L138" s="163"/>
      <c r="M138" s="163"/>
      <c r="N138" s="163"/>
      <c r="O138" s="163"/>
      <c r="P138" s="163"/>
      <c r="Q138" s="163"/>
      <c r="R138" s="163"/>
      <c r="S138" s="163"/>
      <c r="T138" s="163"/>
      <c r="U138" s="163"/>
      <c r="V138" s="163"/>
      <c r="W138" s="163"/>
      <c r="X138" s="163"/>
      <c r="Y138" s="163"/>
      <c r="Z138" s="163"/>
      <c r="AA138" s="163"/>
    </row>
    <row r="139">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row>
    <row r="140">
      <c r="A140" s="163"/>
      <c r="B140" s="163"/>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c r="AA140" s="163"/>
    </row>
    <row r="141">
      <c r="A141" s="163"/>
      <c r="B141" s="163"/>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row>
    <row r="142">
      <c r="A142" s="163"/>
      <c r="B142" s="163"/>
      <c r="C142" s="163"/>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c r="AA142" s="163"/>
    </row>
    <row r="143">
      <c r="A143" s="163"/>
      <c r="B143" s="163"/>
      <c r="C143" s="163"/>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c r="AA143" s="163"/>
    </row>
    <row r="144">
      <c r="A144" s="163"/>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3"/>
    </row>
    <row r="145">
      <c r="A145" s="163"/>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3"/>
    </row>
    <row r="146">
      <c r="A146" s="163"/>
      <c r="B146" s="163"/>
      <c r="C146" s="163"/>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c r="AA146" s="163"/>
    </row>
    <row r="147">
      <c r="A147" s="163"/>
      <c r="B147" s="163"/>
      <c r="C147" s="163"/>
      <c r="D147" s="163"/>
      <c r="E147" s="163"/>
      <c r="F147" s="163"/>
      <c r="G147" s="163"/>
      <c r="H147" s="163"/>
      <c r="I147" s="163"/>
      <c r="J147" s="163"/>
      <c r="K147" s="163"/>
      <c r="L147" s="163"/>
      <c r="M147" s="163"/>
      <c r="N147" s="163"/>
      <c r="O147" s="163"/>
      <c r="P147" s="163"/>
      <c r="Q147" s="163"/>
      <c r="R147" s="163"/>
      <c r="S147" s="163"/>
      <c r="T147" s="163"/>
      <c r="U147" s="163"/>
      <c r="V147" s="163"/>
      <c r="W147" s="163"/>
      <c r="X147" s="163"/>
      <c r="Y147" s="163"/>
      <c r="Z147" s="163"/>
      <c r="AA147" s="163"/>
    </row>
    <row r="148">
      <c r="A148" s="163"/>
      <c r="B148" s="163"/>
      <c r="C148" s="163"/>
      <c r="D148" s="163"/>
      <c r="E148" s="163"/>
      <c r="F148" s="163"/>
      <c r="G148" s="163"/>
      <c r="H148" s="163"/>
      <c r="I148" s="163"/>
      <c r="J148" s="163"/>
      <c r="K148" s="163"/>
      <c r="L148" s="163"/>
      <c r="M148" s="163"/>
      <c r="N148" s="163"/>
      <c r="O148" s="163"/>
      <c r="P148" s="163"/>
      <c r="Q148" s="163"/>
      <c r="R148" s="163"/>
      <c r="S148" s="163"/>
      <c r="T148" s="163"/>
      <c r="U148" s="163"/>
      <c r="V148" s="163"/>
      <c r="W148" s="163"/>
      <c r="X148" s="163"/>
      <c r="Y148" s="163"/>
      <c r="Z148" s="163"/>
      <c r="AA148" s="163"/>
    </row>
    <row r="149">
      <c r="A149" s="163"/>
      <c r="B149" s="163"/>
      <c r="C149" s="163"/>
      <c r="D149" s="163"/>
      <c r="E149" s="163"/>
      <c r="F149" s="163"/>
      <c r="G149" s="163"/>
      <c r="H149" s="163"/>
      <c r="I149" s="163"/>
      <c r="J149" s="163"/>
      <c r="K149" s="163"/>
      <c r="L149" s="163"/>
      <c r="M149" s="163"/>
      <c r="N149" s="163"/>
      <c r="O149" s="163"/>
      <c r="P149" s="163"/>
      <c r="Q149" s="163"/>
      <c r="R149" s="163"/>
      <c r="S149" s="163"/>
      <c r="T149" s="163"/>
      <c r="U149" s="163"/>
      <c r="V149" s="163"/>
      <c r="W149" s="163"/>
      <c r="X149" s="163"/>
      <c r="Y149" s="163"/>
      <c r="Z149" s="163"/>
      <c r="AA149" s="163"/>
    </row>
    <row r="150">
      <c r="A150" s="163"/>
      <c r="B150" s="163"/>
      <c r="C150" s="163"/>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c r="AA150" s="163"/>
    </row>
    <row r="151">
      <c r="A151" s="163"/>
      <c r="B151" s="163"/>
      <c r="C151" s="163"/>
      <c r="D151" s="163"/>
      <c r="E151" s="163"/>
      <c r="F151" s="163"/>
      <c r="G151" s="163"/>
      <c r="H151" s="163"/>
      <c r="I151" s="163"/>
      <c r="J151" s="163"/>
      <c r="K151" s="163"/>
      <c r="L151" s="163"/>
      <c r="M151" s="163"/>
      <c r="N151" s="163"/>
      <c r="O151" s="163"/>
      <c r="P151" s="163"/>
      <c r="Q151" s="163"/>
      <c r="R151" s="163"/>
      <c r="S151" s="163"/>
      <c r="T151" s="163"/>
      <c r="U151" s="163"/>
      <c r="V151" s="163"/>
      <c r="W151" s="163"/>
      <c r="X151" s="163"/>
      <c r="Y151" s="163"/>
      <c r="Z151" s="163"/>
      <c r="AA151" s="163"/>
    </row>
    <row r="152">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row>
    <row r="153">
      <c r="A153" s="163"/>
      <c r="B153" s="163"/>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c r="AA153" s="163"/>
    </row>
    <row r="154">
      <c r="A154" s="163"/>
      <c r="B154" s="163"/>
      <c r="C154" s="163"/>
      <c r="D154" s="163"/>
      <c r="E154" s="163"/>
      <c r="F154" s="163"/>
      <c r="G154" s="163"/>
      <c r="H154" s="163"/>
      <c r="I154" s="163"/>
      <c r="J154" s="163"/>
      <c r="K154" s="163"/>
      <c r="L154" s="163"/>
      <c r="M154" s="163"/>
      <c r="N154" s="163"/>
      <c r="O154" s="163"/>
      <c r="P154" s="163"/>
      <c r="Q154" s="163"/>
      <c r="R154" s="163"/>
      <c r="S154" s="163"/>
      <c r="T154" s="163"/>
      <c r="U154" s="163"/>
      <c r="V154" s="163"/>
      <c r="W154" s="163"/>
      <c r="X154" s="163"/>
      <c r="Y154" s="163"/>
      <c r="Z154" s="163"/>
      <c r="AA154" s="163"/>
    </row>
    <row r="155">
      <c r="A155" s="163"/>
      <c r="B155" s="163"/>
      <c r="C155" s="163"/>
      <c r="D155" s="163"/>
      <c r="E155" s="163"/>
      <c r="F155" s="163"/>
      <c r="G155" s="163"/>
      <c r="H155" s="163"/>
      <c r="I155" s="163"/>
      <c r="J155" s="163"/>
      <c r="K155" s="163"/>
      <c r="L155" s="163"/>
      <c r="M155" s="163"/>
      <c r="N155" s="163"/>
      <c r="O155" s="163"/>
      <c r="P155" s="163"/>
      <c r="Q155" s="163"/>
      <c r="R155" s="163"/>
      <c r="S155" s="163"/>
      <c r="T155" s="163"/>
      <c r="U155" s="163"/>
      <c r="V155" s="163"/>
      <c r="W155" s="163"/>
      <c r="X155" s="163"/>
      <c r="Y155" s="163"/>
      <c r="Z155" s="163"/>
      <c r="AA155" s="163"/>
    </row>
    <row r="156">
      <c r="A156" s="163"/>
      <c r="B156" s="163"/>
      <c r="C156" s="163"/>
      <c r="D156" s="163"/>
      <c r="E156" s="163"/>
      <c r="F156" s="163"/>
      <c r="G156" s="163"/>
      <c r="H156" s="163"/>
      <c r="I156" s="163"/>
      <c r="J156" s="163"/>
      <c r="K156" s="163"/>
      <c r="L156" s="163"/>
      <c r="M156" s="163"/>
      <c r="N156" s="163"/>
      <c r="O156" s="163"/>
      <c r="P156" s="163"/>
      <c r="Q156" s="163"/>
      <c r="R156" s="163"/>
      <c r="S156" s="163"/>
      <c r="T156" s="163"/>
      <c r="U156" s="163"/>
      <c r="V156" s="163"/>
      <c r="W156" s="163"/>
      <c r="X156" s="163"/>
      <c r="Y156" s="163"/>
      <c r="Z156" s="163"/>
      <c r="AA156" s="163"/>
    </row>
    <row r="157">
      <c r="A157" s="163"/>
      <c r="B157" s="163"/>
      <c r="C157" s="163"/>
      <c r="D157" s="163"/>
      <c r="E157" s="163"/>
      <c r="F157" s="163"/>
      <c r="G157" s="163"/>
      <c r="H157" s="163"/>
      <c r="I157" s="163"/>
      <c r="J157" s="163"/>
      <c r="K157" s="163"/>
      <c r="L157" s="163"/>
      <c r="M157" s="163"/>
      <c r="N157" s="163"/>
      <c r="O157" s="163"/>
      <c r="P157" s="163"/>
      <c r="Q157" s="163"/>
      <c r="R157" s="163"/>
      <c r="S157" s="163"/>
      <c r="T157" s="163"/>
      <c r="U157" s="163"/>
      <c r="V157" s="163"/>
      <c r="W157" s="163"/>
      <c r="X157" s="163"/>
      <c r="Y157" s="163"/>
      <c r="Z157" s="163"/>
      <c r="AA157" s="163"/>
    </row>
    <row r="158">
      <c r="A158" s="163"/>
      <c r="B158" s="163"/>
      <c r="C158" s="163"/>
      <c r="D158" s="163"/>
      <c r="E158" s="163"/>
      <c r="F158" s="163"/>
      <c r="G158" s="163"/>
      <c r="H158" s="163"/>
      <c r="I158" s="163"/>
      <c r="J158" s="163"/>
      <c r="K158" s="163"/>
      <c r="L158" s="163"/>
      <c r="M158" s="163"/>
      <c r="N158" s="163"/>
      <c r="O158" s="163"/>
      <c r="P158" s="163"/>
      <c r="Q158" s="163"/>
      <c r="R158" s="163"/>
      <c r="S158" s="163"/>
      <c r="T158" s="163"/>
      <c r="U158" s="163"/>
      <c r="V158" s="163"/>
      <c r="W158" s="163"/>
      <c r="X158" s="163"/>
      <c r="Y158" s="163"/>
      <c r="Z158" s="163"/>
      <c r="AA158" s="163"/>
    </row>
    <row r="159">
      <c r="A159" s="163"/>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row>
    <row r="160">
      <c r="A160" s="163"/>
      <c r="B160" s="163"/>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c r="AA160" s="163"/>
    </row>
    <row r="161">
      <c r="A161" s="163"/>
      <c r="B161" s="163"/>
      <c r="C161" s="163"/>
      <c r="D161" s="163"/>
      <c r="E161" s="163"/>
      <c r="F161" s="163"/>
      <c r="G161" s="163"/>
      <c r="H161" s="163"/>
      <c r="I161" s="163"/>
      <c r="J161" s="163"/>
      <c r="K161" s="163"/>
      <c r="L161" s="163"/>
      <c r="M161" s="163"/>
      <c r="N161" s="163"/>
      <c r="O161" s="163"/>
      <c r="P161" s="163"/>
      <c r="Q161" s="163"/>
      <c r="R161" s="163"/>
      <c r="S161" s="163"/>
      <c r="T161" s="163"/>
      <c r="U161" s="163"/>
      <c r="V161" s="163"/>
      <c r="W161" s="163"/>
      <c r="X161" s="163"/>
      <c r="Y161" s="163"/>
      <c r="Z161" s="163"/>
      <c r="AA161" s="163"/>
    </row>
    <row r="162">
      <c r="A162" s="163"/>
      <c r="B162" s="163"/>
      <c r="C162" s="163"/>
      <c r="D162" s="163"/>
      <c r="E162" s="163"/>
      <c r="F162" s="163"/>
      <c r="G162" s="163"/>
      <c r="H162" s="163"/>
      <c r="I162" s="163"/>
      <c r="J162" s="163"/>
      <c r="K162" s="163"/>
      <c r="L162" s="163"/>
      <c r="M162" s="163"/>
      <c r="N162" s="163"/>
      <c r="O162" s="163"/>
      <c r="P162" s="163"/>
      <c r="Q162" s="163"/>
      <c r="R162" s="163"/>
      <c r="S162" s="163"/>
      <c r="T162" s="163"/>
      <c r="U162" s="163"/>
      <c r="V162" s="163"/>
      <c r="W162" s="163"/>
      <c r="X162" s="163"/>
      <c r="Y162" s="163"/>
      <c r="Z162" s="163"/>
      <c r="AA162" s="163"/>
    </row>
    <row r="163">
      <c r="A163" s="163"/>
      <c r="B163" s="163"/>
      <c r="C163" s="163"/>
      <c r="D163" s="163"/>
      <c r="E163" s="163"/>
      <c r="F163" s="163"/>
      <c r="G163" s="163"/>
      <c r="H163" s="163"/>
      <c r="I163" s="163"/>
      <c r="J163" s="163"/>
      <c r="K163" s="163"/>
      <c r="L163" s="163"/>
      <c r="M163" s="163"/>
      <c r="N163" s="163"/>
      <c r="O163" s="163"/>
      <c r="P163" s="163"/>
      <c r="Q163" s="163"/>
      <c r="R163" s="163"/>
      <c r="S163" s="163"/>
      <c r="T163" s="163"/>
      <c r="U163" s="163"/>
      <c r="V163" s="163"/>
      <c r="W163" s="163"/>
      <c r="X163" s="163"/>
      <c r="Y163" s="163"/>
      <c r="Z163" s="163"/>
      <c r="AA163" s="163"/>
    </row>
    <row r="164">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row>
    <row r="165">
      <c r="A165" s="163"/>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row>
    <row r="166">
      <c r="A166" s="163"/>
      <c r="B166" s="163"/>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c r="AA166" s="163"/>
    </row>
    <row r="167">
      <c r="A167" s="163"/>
      <c r="B167" s="163"/>
      <c r="C167" s="163"/>
      <c r="D167" s="163"/>
      <c r="E167" s="163"/>
      <c r="F167" s="163"/>
      <c r="G167" s="163"/>
      <c r="H167" s="163"/>
      <c r="I167" s="163"/>
      <c r="J167" s="163"/>
      <c r="K167" s="163"/>
      <c r="L167" s="163"/>
      <c r="M167" s="163"/>
      <c r="N167" s="163"/>
      <c r="O167" s="163"/>
      <c r="P167" s="163"/>
      <c r="Q167" s="163"/>
      <c r="R167" s="163"/>
      <c r="S167" s="163"/>
      <c r="T167" s="163"/>
      <c r="U167" s="163"/>
      <c r="V167" s="163"/>
      <c r="W167" s="163"/>
      <c r="X167" s="163"/>
      <c r="Y167" s="163"/>
      <c r="Z167" s="163"/>
      <c r="AA167" s="163"/>
    </row>
    <row r="168">
      <c r="A168" s="163"/>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row>
    <row r="169">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row>
    <row r="170">
      <c r="A170" s="163"/>
      <c r="B170" s="163"/>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c r="AA170" s="163"/>
    </row>
    <row r="171">
      <c r="A171" s="163"/>
      <c r="B171" s="163"/>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c r="AA171" s="163"/>
    </row>
    <row r="172">
      <c r="A172" s="163"/>
      <c r="B172" s="163"/>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c r="AA172" s="163"/>
    </row>
    <row r="173">
      <c r="A173" s="163"/>
      <c r="B173" s="163"/>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c r="AA173" s="163"/>
    </row>
    <row r="174">
      <c r="A174" s="163"/>
      <c r="B174" s="163"/>
      <c r="C174" s="163"/>
      <c r="D174" s="163"/>
      <c r="E174" s="163"/>
      <c r="F174" s="163"/>
      <c r="G174" s="163"/>
      <c r="H174" s="163"/>
      <c r="I174" s="163"/>
      <c r="J174" s="163"/>
      <c r="K174" s="163"/>
      <c r="L174" s="163"/>
      <c r="M174" s="163"/>
      <c r="N174" s="163"/>
      <c r="O174" s="163"/>
      <c r="P174" s="163"/>
      <c r="Q174" s="163"/>
      <c r="R174" s="163"/>
      <c r="S174" s="163"/>
      <c r="T174" s="163"/>
      <c r="U174" s="163"/>
      <c r="V174" s="163"/>
      <c r="W174" s="163"/>
      <c r="X174" s="163"/>
      <c r="Y174" s="163"/>
      <c r="Z174" s="163"/>
      <c r="AA174" s="163"/>
    </row>
    <row r="175">
      <c r="A175" s="163"/>
      <c r="B175" s="163"/>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c r="AA175" s="163"/>
    </row>
    <row r="176">
      <c r="A176" s="163"/>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row>
    <row r="177">
      <c r="A177" s="163"/>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c r="AA177" s="163"/>
    </row>
    <row r="178">
      <c r="A178" s="163"/>
      <c r="B178" s="163"/>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c r="AA178" s="163"/>
    </row>
    <row r="179">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row>
    <row r="180">
      <c r="A180" s="163"/>
      <c r="B180" s="163"/>
      <c r="C180" s="163"/>
      <c r="D180" s="163"/>
      <c r="E180" s="163"/>
      <c r="F180" s="163"/>
      <c r="G180" s="163"/>
      <c r="H180" s="163"/>
      <c r="I180" s="163"/>
      <c r="J180" s="163"/>
      <c r="K180" s="163"/>
      <c r="L180" s="163"/>
      <c r="M180" s="163"/>
      <c r="N180" s="163"/>
      <c r="O180" s="163"/>
      <c r="P180" s="163"/>
      <c r="Q180" s="163"/>
      <c r="R180" s="163"/>
      <c r="S180" s="163"/>
      <c r="T180" s="163"/>
      <c r="U180" s="163"/>
      <c r="V180" s="163"/>
      <c r="W180" s="163"/>
      <c r="X180" s="163"/>
      <c r="Y180" s="163"/>
      <c r="Z180" s="163"/>
      <c r="AA180" s="163"/>
    </row>
    <row r="18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row>
    <row r="182">
      <c r="A182" s="163"/>
      <c r="B182" s="163"/>
      <c r="C182" s="163"/>
      <c r="D182" s="163"/>
      <c r="E182" s="163"/>
      <c r="F182" s="163"/>
      <c r="G182" s="163"/>
      <c r="H182" s="163"/>
      <c r="I182" s="163"/>
      <c r="J182" s="163"/>
      <c r="K182" s="163"/>
      <c r="L182" s="163"/>
      <c r="M182" s="163"/>
      <c r="N182" s="163"/>
      <c r="O182" s="163"/>
      <c r="P182" s="163"/>
      <c r="Q182" s="163"/>
      <c r="R182" s="163"/>
      <c r="S182" s="163"/>
      <c r="T182" s="163"/>
      <c r="U182" s="163"/>
      <c r="V182" s="163"/>
      <c r="W182" s="163"/>
      <c r="X182" s="163"/>
      <c r="Y182" s="163"/>
      <c r="Z182" s="163"/>
      <c r="AA182" s="163"/>
    </row>
    <row r="183">
      <c r="A183" s="163"/>
      <c r="B183" s="163"/>
      <c r="C183" s="163"/>
      <c r="D183" s="163"/>
      <c r="E183" s="163"/>
      <c r="F183" s="163"/>
      <c r="G183" s="163"/>
      <c r="H183" s="163"/>
      <c r="I183" s="163"/>
      <c r="J183" s="163"/>
      <c r="K183" s="163"/>
      <c r="L183" s="163"/>
      <c r="M183" s="163"/>
      <c r="N183" s="163"/>
      <c r="O183" s="163"/>
      <c r="P183" s="163"/>
      <c r="Q183" s="163"/>
      <c r="R183" s="163"/>
      <c r="S183" s="163"/>
      <c r="T183" s="163"/>
      <c r="U183" s="163"/>
      <c r="V183" s="163"/>
      <c r="W183" s="163"/>
      <c r="X183" s="163"/>
      <c r="Y183" s="163"/>
      <c r="Z183" s="163"/>
      <c r="AA183" s="163"/>
    </row>
    <row r="184">
      <c r="A184" s="163"/>
      <c r="B184" s="163"/>
      <c r="C184" s="163"/>
      <c r="D184" s="163"/>
      <c r="E184" s="163"/>
      <c r="F184" s="163"/>
      <c r="G184" s="163"/>
      <c r="H184" s="163"/>
      <c r="I184" s="163"/>
      <c r="J184" s="163"/>
      <c r="K184" s="163"/>
      <c r="L184" s="163"/>
      <c r="M184" s="163"/>
      <c r="N184" s="163"/>
      <c r="O184" s="163"/>
      <c r="P184" s="163"/>
      <c r="Q184" s="163"/>
      <c r="R184" s="163"/>
      <c r="S184" s="163"/>
      <c r="T184" s="163"/>
      <c r="U184" s="163"/>
      <c r="V184" s="163"/>
      <c r="W184" s="163"/>
      <c r="X184" s="163"/>
      <c r="Y184" s="163"/>
      <c r="Z184" s="163"/>
      <c r="AA184" s="163"/>
    </row>
    <row r="185">
      <c r="A185" s="163"/>
      <c r="B185" s="163"/>
      <c r="C185" s="163"/>
      <c r="D185" s="163"/>
      <c r="E185" s="163"/>
      <c r="F185" s="163"/>
      <c r="G185" s="163"/>
      <c r="H185" s="163"/>
      <c r="I185" s="163"/>
      <c r="J185" s="163"/>
      <c r="K185" s="163"/>
      <c r="L185" s="163"/>
      <c r="M185" s="163"/>
      <c r="N185" s="163"/>
      <c r="O185" s="163"/>
      <c r="P185" s="163"/>
      <c r="Q185" s="163"/>
      <c r="R185" s="163"/>
      <c r="S185" s="163"/>
      <c r="T185" s="163"/>
      <c r="U185" s="163"/>
      <c r="V185" s="163"/>
      <c r="W185" s="163"/>
      <c r="X185" s="163"/>
      <c r="Y185" s="163"/>
      <c r="Z185" s="163"/>
      <c r="AA185" s="163"/>
    </row>
    <row r="186">
      <c r="A186" s="163"/>
      <c r="B186" s="163"/>
      <c r="C186" s="163"/>
      <c r="D186" s="163"/>
      <c r="E186" s="163"/>
      <c r="F186" s="163"/>
      <c r="G186" s="163"/>
      <c r="H186" s="163"/>
      <c r="I186" s="163"/>
      <c r="J186" s="163"/>
      <c r="K186" s="163"/>
      <c r="L186" s="163"/>
      <c r="M186" s="163"/>
      <c r="N186" s="163"/>
      <c r="O186" s="163"/>
      <c r="P186" s="163"/>
      <c r="Q186" s="163"/>
      <c r="R186" s="163"/>
      <c r="S186" s="163"/>
      <c r="T186" s="163"/>
      <c r="U186" s="163"/>
      <c r="V186" s="163"/>
      <c r="W186" s="163"/>
      <c r="X186" s="163"/>
      <c r="Y186" s="163"/>
      <c r="Z186" s="163"/>
      <c r="AA186" s="163"/>
    </row>
    <row r="187">
      <c r="A187" s="163"/>
      <c r="B187" s="163"/>
      <c r="C187" s="163"/>
      <c r="D187" s="163"/>
      <c r="E187" s="163"/>
      <c r="F187" s="163"/>
      <c r="G187" s="163"/>
      <c r="H187" s="163"/>
      <c r="I187" s="163"/>
      <c r="J187" s="163"/>
      <c r="K187" s="163"/>
      <c r="L187" s="163"/>
      <c r="M187" s="163"/>
      <c r="N187" s="163"/>
      <c r="O187" s="163"/>
      <c r="P187" s="163"/>
      <c r="Q187" s="163"/>
      <c r="R187" s="163"/>
      <c r="S187" s="163"/>
      <c r="T187" s="163"/>
      <c r="U187" s="163"/>
      <c r="V187" s="163"/>
      <c r="W187" s="163"/>
      <c r="X187" s="163"/>
      <c r="Y187" s="163"/>
      <c r="Z187" s="163"/>
      <c r="AA187" s="163"/>
    </row>
    <row r="188">
      <c r="A188" s="163"/>
      <c r="B188" s="163"/>
      <c r="C188" s="163"/>
      <c r="D188" s="163"/>
      <c r="E188" s="163"/>
      <c r="F188" s="163"/>
      <c r="G188" s="163"/>
      <c r="H188" s="163"/>
      <c r="I188" s="163"/>
      <c r="J188" s="163"/>
      <c r="K188" s="163"/>
      <c r="L188" s="163"/>
      <c r="M188" s="163"/>
      <c r="N188" s="163"/>
      <c r="O188" s="163"/>
      <c r="P188" s="163"/>
      <c r="Q188" s="163"/>
      <c r="R188" s="163"/>
      <c r="S188" s="163"/>
      <c r="T188" s="163"/>
      <c r="U188" s="163"/>
      <c r="V188" s="163"/>
      <c r="W188" s="163"/>
      <c r="X188" s="163"/>
      <c r="Y188" s="163"/>
      <c r="Z188" s="163"/>
      <c r="AA188" s="163"/>
    </row>
    <row r="189">
      <c r="A189" s="163"/>
      <c r="B189" s="163"/>
      <c r="C189" s="163"/>
      <c r="D189" s="163"/>
      <c r="E189" s="163"/>
      <c r="F189" s="163"/>
      <c r="G189" s="163"/>
      <c r="H189" s="163"/>
      <c r="I189" s="163"/>
      <c r="J189" s="163"/>
      <c r="K189" s="163"/>
      <c r="L189" s="163"/>
      <c r="M189" s="163"/>
      <c r="N189" s="163"/>
      <c r="O189" s="163"/>
      <c r="P189" s="163"/>
      <c r="Q189" s="163"/>
      <c r="R189" s="163"/>
      <c r="S189" s="163"/>
      <c r="T189" s="163"/>
      <c r="U189" s="163"/>
      <c r="V189" s="163"/>
      <c r="W189" s="163"/>
      <c r="X189" s="163"/>
      <c r="Y189" s="163"/>
      <c r="Z189" s="163"/>
      <c r="AA189" s="163"/>
    </row>
    <row r="190">
      <c r="A190" s="163"/>
      <c r="B190" s="163"/>
      <c r="C190" s="163"/>
      <c r="D190" s="163"/>
      <c r="E190" s="163"/>
      <c r="F190" s="163"/>
      <c r="G190" s="163"/>
      <c r="H190" s="163"/>
      <c r="I190" s="163"/>
      <c r="J190" s="163"/>
      <c r="K190" s="163"/>
      <c r="L190" s="163"/>
      <c r="M190" s="163"/>
      <c r="N190" s="163"/>
      <c r="O190" s="163"/>
      <c r="P190" s="163"/>
      <c r="Q190" s="163"/>
      <c r="R190" s="163"/>
      <c r="S190" s="163"/>
      <c r="T190" s="163"/>
      <c r="U190" s="163"/>
      <c r="V190" s="163"/>
      <c r="W190" s="163"/>
      <c r="X190" s="163"/>
      <c r="Y190" s="163"/>
      <c r="Z190" s="163"/>
      <c r="AA190" s="163"/>
    </row>
    <row r="191">
      <c r="A191" s="163"/>
      <c r="B191" s="163"/>
      <c r="C191" s="163"/>
      <c r="D191" s="163"/>
      <c r="E191" s="163"/>
      <c r="F191" s="163"/>
      <c r="G191" s="163"/>
      <c r="H191" s="163"/>
      <c r="I191" s="163"/>
      <c r="J191" s="163"/>
      <c r="K191" s="163"/>
      <c r="L191" s="163"/>
      <c r="M191" s="163"/>
      <c r="N191" s="163"/>
      <c r="O191" s="163"/>
      <c r="P191" s="163"/>
      <c r="Q191" s="163"/>
      <c r="R191" s="163"/>
      <c r="S191" s="163"/>
      <c r="T191" s="163"/>
      <c r="U191" s="163"/>
      <c r="V191" s="163"/>
      <c r="W191" s="163"/>
      <c r="X191" s="163"/>
      <c r="Y191" s="163"/>
      <c r="Z191" s="163"/>
      <c r="AA191" s="163"/>
    </row>
    <row r="192">
      <c r="A192" s="163"/>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c r="AA192" s="163"/>
    </row>
    <row r="193">
      <c r="A193" s="163"/>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c r="AA193" s="163"/>
    </row>
    <row r="194">
      <c r="A194" s="163"/>
      <c r="B194" s="163"/>
      <c r="C194" s="163"/>
      <c r="D194" s="163"/>
      <c r="E194" s="163"/>
      <c r="F194" s="163"/>
      <c r="G194" s="163"/>
      <c r="H194" s="163"/>
      <c r="I194" s="163"/>
      <c r="J194" s="163"/>
      <c r="K194" s="163"/>
      <c r="L194" s="163"/>
      <c r="M194" s="163"/>
      <c r="N194" s="163"/>
      <c r="O194" s="163"/>
      <c r="P194" s="163"/>
      <c r="Q194" s="163"/>
      <c r="R194" s="163"/>
      <c r="S194" s="163"/>
      <c r="T194" s="163"/>
      <c r="U194" s="163"/>
      <c r="V194" s="163"/>
      <c r="W194" s="163"/>
      <c r="X194" s="163"/>
      <c r="Y194" s="163"/>
      <c r="Z194" s="163"/>
      <c r="AA194" s="163"/>
    </row>
    <row r="195">
      <c r="A195" s="163"/>
      <c r="B195" s="163"/>
      <c r="C195" s="163"/>
      <c r="D195" s="163"/>
      <c r="E195" s="163"/>
      <c r="F195" s="163"/>
      <c r="G195" s="163"/>
      <c r="H195" s="163"/>
      <c r="I195" s="163"/>
      <c r="J195" s="163"/>
      <c r="K195" s="163"/>
      <c r="L195" s="163"/>
      <c r="M195" s="163"/>
      <c r="N195" s="163"/>
      <c r="O195" s="163"/>
      <c r="P195" s="163"/>
      <c r="Q195" s="163"/>
      <c r="R195" s="163"/>
      <c r="S195" s="163"/>
      <c r="T195" s="163"/>
      <c r="U195" s="163"/>
      <c r="V195" s="163"/>
      <c r="W195" s="163"/>
      <c r="X195" s="163"/>
      <c r="Y195" s="163"/>
      <c r="Z195" s="163"/>
      <c r="AA195" s="163"/>
    </row>
    <row r="196">
      <c r="A196" s="163"/>
      <c r="B196" s="163"/>
      <c r="C196" s="163"/>
      <c r="D196" s="163"/>
      <c r="E196" s="163"/>
      <c r="F196" s="163"/>
      <c r="G196" s="163"/>
      <c r="H196" s="163"/>
      <c r="I196" s="163"/>
      <c r="J196" s="163"/>
      <c r="K196" s="163"/>
      <c r="L196" s="163"/>
      <c r="M196" s="163"/>
      <c r="N196" s="163"/>
      <c r="O196" s="163"/>
      <c r="P196" s="163"/>
      <c r="Q196" s="163"/>
      <c r="R196" s="163"/>
      <c r="S196" s="163"/>
      <c r="T196" s="163"/>
      <c r="U196" s="163"/>
      <c r="V196" s="163"/>
      <c r="W196" s="163"/>
      <c r="X196" s="163"/>
      <c r="Y196" s="163"/>
      <c r="Z196" s="163"/>
      <c r="AA196" s="163"/>
    </row>
    <row r="197">
      <c r="A197" s="163"/>
      <c r="B197" s="163"/>
      <c r="C197" s="163"/>
      <c r="D197" s="163"/>
      <c r="E197" s="163"/>
      <c r="F197" s="163"/>
      <c r="G197" s="163"/>
      <c r="H197" s="163"/>
      <c r="I197" s="163"/>
      <c r="J197" s="163"/>
      <c r="K197" s="163"/>
      <c r="L197" s="163"/>
      <c r="M197" s="163"/>
      <c r="N197" s="163"/>
      <c r="O197" s="163"/>
      <c r="P197" s="163"/>
      <c r="Q197" s="163"/>
      <c r="R197" s="163"/>
      <c r="S197" s="163"/>
      <c r="T197" s="163"/>
      <c r="U197" s="163"/>
      <c r="V197" s="163"/>
      <c r="W197" s="163"/>
      <c r="X197" s="163"/>
      <c r="Y197" s="163"/>
      <c r="Z197" s="163"/>
      <c r="AA197" s="163"/>
    </row>
    <row r="198">
      <c r="A198" s="163"/>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row>
    <row r="199">
      <c r="A199" s="163"/>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c r="AA199" s="163"/>
    </row>
    <row r="200">
      <c r="A200" s="163"/>
      <c r="B200" s="163"/>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c r="AA200" s="163"/>
    </row>
    <row r="201">
      <c r="A201" s="163"/>
      <c r="B201" s="163"/>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c r="AA201" s="163"/>
    </row>
    <row r="202">
      <c r="A202" s="163"/>
      <c r="B202" s="163"/>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c r="AA202" s="163"/>
    </row>
    <row r="203">
      <c r="A203" s="163"/>
      <c r="B203" s="163"/>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c r="AA203" s="163"/>
    </row>
    <row r="204">
      <c r="A204" s="163"/>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row>
    <row r="205">
      <c r="A205" s="163"/>
      <c r="B205" s="163"/>
      <c r="C205" s="163"/>
      <c r="D205" s="163"/>
      <c r="E205" s="163"/>
      <c r="F205" s="163"/>
      <c r="G205" s="163"/>
      <c r="H205" s="163"/>
      <c r="I205" s="163"/>
      <c r="J205" s="163"/>
      <c r="K205" s="163"/>
      <c r="L205" s="163"/>
      <c r="M205" s="163"/>
      <c r="N205" s="163"/>
      <c r="O205" s="163"/>
      <c r="P205" s="163"/>
      <c r="Q205" s="163"/>
      <c r="R205" s="163"/>
      <c r="S205" s="163"/>
      <c r="T205" s="163"/>
      <c r="U205" s="163"/>
      <c r="V205" s="163"/>
      <c r="W205" s="163"/>
      <c r="X205" s="163"/>
      <c r="Y205" s="163"/>
      <c r="Z205" s="163"/>
      <c r="AA205" s="163"/>
    </row>
    <row r="206">
      <c r="A206" s="163"/>
      <c r="B206" s="163"/>
      <c r="C206" s="163"/>
      <c r="D206" s="163"/>
      <c r="E206" s="163"/>
      <c r="F206" s="163"/>
      <c r="G206" s="163"/>
      <c r="H206" s="163"/>
      <c r="I206" s="163"/>
      <c r="J206" s="163"/>
      <c r="K206" s="163"/>
      <c r="L206" s="163"/>
      <c r="M206" s="163"/>
      <c r="N206" s="163"/>
      <c r="O206" s="163"/>
      <c r="P206" s="163"/>
      <c r="Q206" s="163"/>
      <c r="R206" s="163"/>
      <c r="S206" s="163"/>
      <c r="T206" s="163"/>
      <c r="U206" s="163"/>
      <c r="V206" s="163"/>
      <c r="W206" s="163"/>
      <c r="X206" s="163"/>
      <c r="Y206" s="163"/>
      <c r="Z206" s="163"/>
      <c r="AA206" s="163"/>
    </row>
    <row r="207">
      <c r="A207" s="163"/>
      <c r="B207" s="163"/>
      <c r="C207" s="163"/>
      <c r="D207" s="163"/>
      <c r="E207" s="163"/>
      <c r="F207" s="163"/>
      <c r="G207" s="163"/>
      <c r="H207" s="163"/>
      <c r="I207" s="163"/>
      <c r="J207" s="163"/>
      <c r="K207" s="163"/>
      <c r="L207" s="163"/>
      <c r="M207" s="163"/>
      <c r="N207" s="163"/>
      <c r="O207" s="163"/>
      <c r="P207" s="163"/>
      <c r="Q207" s="163"/>
      <c r="R207" s="163"/>
      <c r="S207" s="163"/>
      <c r="T207" s="163"/>
      <c r="U207" s="163"/>
      <c r="V207" s="163"/>
      <c r="W207" s="163"/>
      <c r="X207" s="163"/>
      <c r="Y207" s="163"/>
      <c r="Z207" s="163"/>
      <c r="AA207" s="163"/>
    </row>
    <row r="208">
      <c r="A208" s="163"/>
      <c r="B208" s="163"/>
      <c r="C208" s="163"/>
      <c r="D208" s="163"/>
      <c r="E208" s="163"/>
      <c r="F208" s="163"/>
      <c r="G208" s="163"/>
      <c r="H208" s="163"/>
      <c r="I208" s="163"/>
      <c r="J208" s="163"/>
      <c r="K208" s="163"/>
      <c r="L208" s="163"/>
      <c r="M208" s="163"/>
      <c r="N208" s="163"/>
      <c r="O208" s="163"/>
      <c r="P208" s="163"/>
      <c r="Q208" s="163"/>
      <c r="R208" s="163"/>
      <c r="S208" s="163"/>
      <c r="T208" s="163"/>
      <c r="U208" s="163"/>
      <c r="V208" s="163"/>
      <c r="W208" s="163"/>
      <c r="X208" s="163"/>
      <c r="Y208" s="163"/>
      <c r="Z208" s="163"/>
      <c r="AA208" s="163"/>
    </row>
    <row r="209">
      <c r="A209" s="163"/>
      <c r="B209" s="163"/>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c r="AA209" s="163"/>
    </row>
    <row r="210">
      <c r="A210" s="163"/>
      <c r="B210" s="163"/>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c r="AA210" s="163"/>
    </row>
    <row r="211">
      <c r="A211" s="163"/>
      <c r="B211" s="163"/>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c r="AA211" s="163"/>
    </row>
    <row r="212">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c r="AA212" s="163"/>
    </row>
    <row r="213">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c r="AA213" s="163"/>
    </row>
    <row r="214">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c r="AA214" s="163"/>
    </row>
    <row r="215">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c r="AA215" s="163"/>
    </row>
    <row r="216">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row>
    <row r="217">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c r="AA217" s="163"/>
    </row>
    <row r="218">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c r="AA218" s="163"/>
    </row>
    <row r="219">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c r="AA219" s="163"/>
    </row>
    <row r="220">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row>
    <row r="22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row>
    <row r="222">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c r="AA222" s="163"/>
    </row>
    <row r="223">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c r="AA223" s="163"/>
    </row>
    <row r="224">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c r="AA224" s="163"/>
    </row>
    <row r="225">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c r="AA225" s="163"/>
    </row>
    <row r="226">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c r="AA226" s="163"/>
    </row>
    <row r="227">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row>
    <row r="228">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row>
    <row r="229">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c r="AA229" s="163"/>
    </row>
    <row r="230">
      <c r="A230" s="163"/>
      <c r="B230" s="163"/>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c r="AA230" s="163"/>
    </row>
    <row r="231">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c r="AA231" s="163"/>
    </row>
    <row r="232">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row>
    <row r="233">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c r="AA233" s="163"/>
    </row>
    <row r="234">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c r="AA234" s="163"/>
    </row>
    <row r="235">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c r="AA235" s="163"/>
    </row>
    <row r="236">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row>
    <row r="237">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row>
    <row r="238">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row>
    <row r="239">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row>
    <row r="240">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row>
    <row r="24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c r="AA241" s="163"/>
    </row>
    <row r="242">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c r="AA242" s="163"/>
    </row>
    <row r="243">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c r="AA243" s="163"/>
    </row>
    <row r="244">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row>
    <row r="245">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row>
    <row r="246">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c r="AA246" s="163"/>
    </row>
    <row r="247">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c r="AA247" s="163"/>
    </row>
    <row r="248">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c r="AA248" s="163"/>
    </row>
    <row r="249">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c r="AA249" s="163"/>
    </row>
    <row r="250">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row>
    <row r="25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row>
    <row r="252">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row>
    <row r="253">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row>
    <row r="254">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row>
    <row r="255">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row>
    <row r="256">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row>
    <row r="257">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row>
    <row r="258">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row>
    <row r="259">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row>
    <row r="260">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row>
    <row r="26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row>
    <row r="262">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row>
    <row r="263">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row>
    <row r="264">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row>
    <row r="265">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row>
    <row r="266">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row>
    <row r="267">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row>
    <row r="268">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row>
    <row r="269">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row>
    <row r="270">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row>
    <row r="27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row>
    <row r="272">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row>
    <row r="273">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row>
    <row r="274">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row>
    <row r="275">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row>
    <row r="276">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row>
    <row r="277">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row>
    <row r="278">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row>
    <row r="279">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row>
    <row r="280">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row>
    <row r="28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row>
    <row r="282">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row>
    <row r="283">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row>
    <row r="284">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row>
    <row r="285">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row>
    <row r="286">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row>
    <row r="287">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row>
    <row r="288">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row>
    <row r="289">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row>
    <row r="290">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row>
    <row r="29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row>
    <row r="292">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row>
    <row r="293">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row>
    <row r="294">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row>
    <row r="295">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c r="AA295" s="163"/>
    </row>
    <row r="296">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c r="AA296" s="163"/>
    </row>
    <row r="297">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c r="AA297" s="163"/>
    </row>
    <row r="298">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row>
    <row r="299">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row>
    <row r="300">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c r="AA300" s="163"/>
    </row>
    <row r="30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c r="AA301" s="163"/>
    </row>
    <row r="302">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c r="AA302" s="163"/>
    </row>
    <row r="303">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row>
    <row r="304">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row>
    <row r="305">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row>
    <row r="306">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row>
    <row r="307">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row>
    <row r="308">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row>
    <row r="309">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row>
    <row r="310">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row>
    <row r="31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row>
    <row r="312">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row>
    <row r="313">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row>
    <row r="314">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row>
    <row r="315">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row>
    <row r="316">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row>
    <row r="317">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row>
    <row r="318">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row>
    <row r="319">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row>
    <row r="320">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row>
    <row r="32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row>
    <row r="322">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row>
    <row r="323">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row>
    <row r="324">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row>
    <row r="325">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row>
    <row r="326">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row>
    <row r="327">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row>
    <row r="328">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row>
    <row r="329">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row>
    <row r="330">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row>
    <row r="33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row>
    <row r="332">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row>
    <row r="333">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row>
    <row r="334">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c r="AA334" s="163"/>
    </row>
    <row r="335">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c r="AA335" s="163"/>
    </row>
    <row r="336">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c r="AA336" s="163"/>
    </row>
    <row r="337">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row>
    <row r="338">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row>
    <row r="339">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row>
    <row r="340">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row>
    <row r="34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row>
    <row r="342">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row>
    <row r="343">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c r="AA343" s="163"/>
    </row>
    <row r="344">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c r="AA344" s="163"/>
    </row>
    <row r="345">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c r="AA345" s="163"/>
    </row>
    <row r="346">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row>
    <row r="347">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row>
    <row r="348">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row>
    <row r="349">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row>
    <row r="350">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c r="AA350" s="163"/>
    </row>
    <row r="35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c r="AA351" s="163"/>
    </row>
    <row r="352">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c r="AA352" s="163"/>
    </row>
    <row r="353">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c r="AA353" s="163"/>
    </row>
    <row r="354">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c r="AA354" s="163"/>
    </row>
    <row r="355">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c r="AA355" s="163"/>
    </row>
    <row r="356">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c r="AA356" s="163"/>
    </row>
    <row r="357">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c r="AA357" s="163"/>
    </row>
    <row r="358">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c r="AA358" s="163"/>
    </row>
    <row r="359">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c r="AA359" s="163"/>
    </row>
    <row r="360">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c r="AA360" s="163"/>
    </row>
    <row r="36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c r="AA361" s="163"/>
    </row>
    <row r="362">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row>
    <row r="363">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row>
    <row r="364">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c r="AA364" s="163"/>
    </row>
    <row r="365">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c r="AA365" s="163"/>
    </row>
    <row r="366">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c r="AA366" s="163"/>
    </row>
    <row r="367">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row>
    <row r="368">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row>
    <row r="369">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row>
    <row r="370">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row>
    <row r="37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row>
    <row r="372">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row>
    <row r="373">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row>
    <row r="374">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row>
    <row r="375">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row>
    <row r="376">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row>
    <row r="377">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row>
    <row r="378">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row>
    <row r="379">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row>
    <row r="380">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row>
    <row r="38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row>
    <row r="382">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row>
    <row r="383">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row>
    <row r="384">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row>
    <row r="385">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row>
    <row r="386">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row>
    <row r="387">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row>
    <row r="388">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row>
    <row r="389">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row>
    <row r="390">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row>
    <row r="39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row>
    <row r="392">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row>
    <row r="393">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row>
    <row r="394">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row>
    <row r="395">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row>
    <row r="396">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row>
    <row r="397">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row>
    <row r="398">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row>
    <row r="399">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row>
    <row r="400">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row>
    <row r="40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row>
    <row r="402">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row>
    <row r="403">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row>
    <row r="404">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row>
    <row r="405">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row>
    <row r="406">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row>
    <row r="407">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c r="AA407" s="163"/>
    </row>
    <row r="408">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c r="AA408" s="163"/>
    </row>
    <row r="409">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c r="AA409" s="163"/>
    </row>
    <row r="410">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c r="AA410" s="163"/>
    </row>
    <row r="411">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c r="AA411" s="163"/>
    </row>
    <row r="412">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c r="AA412" s="163"/>
    </row>
    <row r="413">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c r="AA413" s="163"/>
    </row>
    <row r="414">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c r="AA414" s="163"/>
    </row>
    <row r="415">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row>
    <row r="416">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c r="AA416" s="163"/>
    </row>
    <row r="417">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c r="AA417" s="163"/>
    </row>
    <row r="418">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c r="AA418" s="163"/>
    </row>
    <row r="419">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c r="AA419" s="163"/>
    </row>
    <row r="420">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c r="AA420" s="163"/>
    </row>
    <row r="421">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c r="AA421" s="163"/>
    </row>
    <row r="422">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c r="AA422" s="163"/>
    </row>
    <row r="423">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c r="AA423" s="163"/>
    </row>
    <row r="424">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c r="AA424" s="163"/>
    </row>
    <row r="425">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row>
    <row r="426">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c r="AA426" s="163"/>
    </row>
    <row r="427">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c r="AA427" s="163"/>
    </row>
    <row r="428">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c r="AA428" s="163"/>
    </row>
    <row r="429">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row>
    <row r="430">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row>
    <row r="431">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row>
    <row r="432">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c r="AA432" s="163"/>
    </row>
    <row r="433">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c r="AA433" s="163"/>
    </row>
    <row r="434">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c r="AA434" s="163"/>
    </row>
    <row r="435">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c r="AA435" s="163"/>
    </row>
    <row r="436">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c r="AA436" s="163"/>
    </row>
    <row r="437">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c r="AA437" s="163"/>
    </row>
    <row r="438">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c r="AA438" s="163"/>
    </row>
    <row r="439">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c r="AA439" s="163"/>
    </row>
    <row r="440">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c r="AA440" s="163"/>
    </row>
    <row r="441">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c r="AA441" s="163"/>
    </row>
    <row r="442">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c r="AA442" s="163"/>
    </row>
    <row r="443">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c r="AA443" s="163"/>
    </row>
    <row r="444">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c r="AA444" s="163"/>
    </row>
    <row r="445">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c r="AA445" s="163"/>
    </row>
    <row r="446">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c r="AA446" s="163"/>
    </row>
    <row r="447">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c r="AA447" s="163"/>
    </row>
    <row r="448">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c r="AA448" s="163"/>
    </row>
    <row r="449">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c r="AA449" s="163"/>
    </row>
    <row r="450">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c r="AA450" s="163"/>
    </row>
    <row r="451">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c r="AA451" s="163"/>
    </row>
    <row r="452">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c r="AA452" s="163"/>
    </row>
    <row r="453">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c r="AA453" s="163"/>
    </row>
    <row r="454">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c r="AA454" s="163"/>
    </row>
    <row r="455">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c r="AA455" s="163"/>
    </row>
    <row r="456">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c r="AA456" s="163"/>
    </row>
    <row r="457">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c r="AA457" s="163"/>
    </row>
    <row r="458">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row>
    <row r="459">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c r="AA459" s="163"/>
    </row>
    <row r="460">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row>
    <row r="461">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row>
    <row r="462">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row>
    <row r="463">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row>
    <row r="464">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c r="AA464" s="163"/>
    </row>
    <row r="465">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c r="AA465" s="163"/>
    </row>
    <row r="466">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c r="AA466" s="163"/>
    </row>
    <row r="467">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c r="AA467" s="163"/>
    </row>
    <row r="468">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c r="AA468" s="163"/>
    </row>
    <row r="469">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c r="AA469" s="163"/>
    </row>
    <row r="470">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row>
    <row r="471">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c r="AA471" s="163"/>
    </row>
    <row r="472">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c r="AA472" s="163"/>
    </row>
    <row r="473">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c r="AA473" s="163"/>
    </row>
    <row r="474">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row>
    <row r="475">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row>
    <row r="476">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row>
    <row r="477">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row>
    <row r="478">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row>
    <row r="479">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row>
    <row r="480">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row>
    <row r="481">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row>
    <row r="482">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row>
    <row r="483">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row>
    <row r="484">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row>
    <row r="485">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row>
    <row r="486">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row>
    <row r="487">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row>
    <row r="488">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row>
    <row r="489">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row>
    <row r="490">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row>
    <row r="491">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row>
    <row r="492">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c r="AA492" s="163"/>
    </row>
    <row r="493">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c r="AA493" s="163"/>
    </row>
    <row r="494">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c r="AA494" s="163"/>
    </row>
    <row r="495">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row>
    <row r="496">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row>
    <row r="497">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row>
    <row r="498">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row>
    <row r="499">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row>
    <row r="500">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row>
    <row r="50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row>
    <row r="502">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row>
    <row r="503">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row>
    <row r="504">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row>
    <row r="505">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row>
    <row r="506">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row>
    <row r="507">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row>
    <row r="508">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row>
    <row r="509">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row>
    <row r="510">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row>
    <row r="51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row>
    <row r="512">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row>
    <row r="513">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row>
    <row r="514">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row>
    <row r="515">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row>
    <row r="516">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row>
    <row r="517">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row>
    <row r="518">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row>
    <row r="519">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row>
    <row r="520">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row>
    <row r="52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row>
    <row r="522">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row>
    <row r="523">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row>
    <row r="524">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row>
    <row r="525">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row>
    <row r="526">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row>
    <row r="527">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row>
    <row r="528">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row>
    <row r="529">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row>
    <row r="530">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row>
    <row r="53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row>
    <row r="532">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row>
    <row r="533">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row>
    <row r="534">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row>
    <row r="535">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row>
    <row r="536">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row>
    <row r="537">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row>
    <row r="538">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row>
    <row r="539">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row>
    <row r="540">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row>
    <row r="54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row>
    <row r="542">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row>
    <row r="543">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row>
    <row r="544">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row>
    <row r="545">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row>
    <row r="546">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row>
    <row r="547">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row>
    <row r="548">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row>
    <row r="549">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row>
    <row r="550">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row>
    <row r="55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row>
    <row r="552">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row>
    <row r="553">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row>
    <row r="554">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row>
    <row r="555">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row>
    <row r="556">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row>
    <row r="557">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row>
    <row r="558">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row>
    <row r="559">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row>
    <row r="560">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row>
    <row r="56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row>
    <row r="562">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row>
    <row r="563">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row>
    <row r="564">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row>
    <row r="565">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row>
    <row r="566">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row>
    <row r="567">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row>
    <row r="568">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row>
    <row r="569">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row>
    <row r="570">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row>
    <row r="57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row>
    <row r="572">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row>
    <row r="573">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row>
    <row r="574">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row>
    <row r="575">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row>
    <row r="576">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row>
    <row r="577">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row>
    <row r="578">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row>
    <row r="579">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row>
    <row r="580">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row>
    <row r="58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row>
    <row r="582">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row>
    <row r="583">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row>
    <row r="584">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row>
    <row r="585">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row>
    <row r="586">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row>
    <row r="587">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row>
    <row r="588">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row>
    <row r="589">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row>
    <row r="590">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row>
    <row r="59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row>
    <row r="592">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row>
    <row r="593">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row>
    <row r="594">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row>
    <row r="595">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row>
    <row r="596">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row>
    <row r="597">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row>
    <row r="598">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row>
    <row r="599">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row>
    <row r="600">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row>
    <row r="60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row>
    <row r="602">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row>
    <row r="603">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row>
    <row r="604">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row>
    <row r="605">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row>
    <row r="606">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row>
    <row r="607">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row>
    <row r="608">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row>
    <row r="609">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row>
    <row r="610">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row>
    <row r="61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row>
    <row r="612">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row>
    <row r="613">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row>
    <row r="614">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row>
    <row r="615">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row>
    <row r="616">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row>
    <row r="617">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row>
    <row r="618">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row>
    <row r="619">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row>
    <row r="620">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row>
    <row r="62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row>
    <row r="622">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row>
    <row r="623">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row>
    <row r="624">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row>
    <row r="625">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row>
    <row r="626">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row>
    <row r="627">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row>
    <row r="628">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row>
    <row r="629">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row>
    <row r="630">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row>
    <row r="63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row>
    <row r="632">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row>
    <row r="633">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row>
    <row r="634">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row>
    <row r="635">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row>
    <row r="636">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row>
    <row r="637">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row>
    <row r="638">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row>
    <row r="639">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row>
    <row r="640">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row>
    <row r="64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row>
    <row r="642">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row>
    <row r="643">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row>
    <row r="644">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row>
    <row r="645">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row>
    <row r="646">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row>
    <row r="647">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row>
    <row r="648">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row>
    <row r="649">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row>
    <row r="650">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row>
    <row r="65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row>
    <row r="652">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row>
    <row r="653">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row>
    <row r="654">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row>
    <row r="655">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row>
    <row r="656">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row>
    <row r="657">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row>
    <row r="658">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row>
    <row r="659">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row>
    <row r="660">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row>
    <row r="66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row>
    <row r="662">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row>
    <row r="663">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row>
    <row r="664">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row>
    <row r="665">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row>
    <row r="666">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row>
    <row r="667">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row>
    <row r="668">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row>
    <row r="669">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row>
    <row r="670">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row>
    <row r="67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row>
    <row r="672">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row>
    <row r="673">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row>
    <row r="674">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row>
    <row r="675">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row>
    <row r="676">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row>
    <row r="677">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row>
    <row r="678">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row>
    <row r="679">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row>
    <row r="680">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row>
    <row r="68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row>
    <row r="682">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row>
    <row r="683">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row>
    <row r="684">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row>
    <row r="685">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row>
    <row r="686">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row>
    <row r="687">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row>
    <row r="688">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row>
    <row r="689">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row>
    <row r="690">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row>
    <row r="69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row>
    <row r="692">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row>
    <row r="693">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row>
    <row r="694">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row>
    <row r="695">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row>
    <row r="696">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row>
    <row r="697">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row>
    <row r="698">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row>
    <row r="699">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row>
    <row r="700">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row>
    <row r="70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row>
    <row r="702">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row>
    <row r="703">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row>
    <row r="704">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row>
    <row r="705">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row>
    <row r="706">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row>
    <row r="707">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row>
    <row r="708">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row>
    <row r="709">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row>
    <row r="710">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row>
    <row r="71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row>
    <row r="712">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row>
    <row r="713">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row>
    <row r="714">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row>
    <row r="715">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row>
    <row r="716">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row>
    <row r="717">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row>
    <row r="718">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row>
    <row r="719">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row>
    <row r="720">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row>
    <row r="72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row>
    <row r="722">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row>
    <row r="723">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row>
    <row r="724">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row>
    <row r="725">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row>
    <row r="726">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row>
    <row r="727">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row>
    <row r="728">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row>
    <row r="729">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row>
    <row r="730">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row>
    <row r="73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row>
    <row r="732">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row>
    <row r="733">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row>
    <row r="734">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row>
    <row r="735">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row>
    <row r="736">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row>
    <row r="737">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row>
    <row r="738">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row>
    <row r="739">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row>
    <row r="740">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row>
    <row r="74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row>
    <row r="742">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row>
    <row r="743">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row>
    <row r="744">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row>
    <row r="745">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row>
    <row r="746">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row>
    <row r="747">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row>
    <row r="748">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row>
    <row r="749">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row>
    <row r="750">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row>
    <row r="75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row>
    <row r="752">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row>
    <row r="753">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row>
    <row r="754">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row>
    <row r="755">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row>
    <row r="756">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row>
    <row r="757">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row>
    <row r="758">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row>
    <row r="759">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row>
    <row r="760">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row>
    <row r="76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row>
    <row r="762">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row>
    <row r="763">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row>
    <row r="764">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row>
    <row r="765">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row>
    <row r="766">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row>
    <row r="767">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row>
    <row r="768">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row>
    <row r="769">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row>
    <row r="770">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row>
    <row r="77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row>
    <row r="772">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row>
    <row r="773">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row>
    <row r="774">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row>
    <row r="775">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row>
    <row r="776">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row>
    <row r="777">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row>
    <row r="778">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row>
    <row r="779">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row>
    <row r="780">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row>
    <row r="78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row>
    <row r="782">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row>
    <row r="783">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row>
    <row r="784">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row>
    <row r="785">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row>
    <row r="786">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row>
    <row r="787">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row>
    <row r="788">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row>
    <row r="789">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row>
    <row r="790">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row>
    <row r="79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row>
    <row r="792">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row>
    <row r="793">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row>
    <row r="794">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row>
    <row r="795">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row>
    <row r="796">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row>
    <row r="797">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row>
    <row r="798">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row>
    <row r="799">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row>
    <row r="800">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row>
    <row r="80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row>
    <row r="802">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row>
    <row r="803">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row>
    <row r="804">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row>
    <row r="805">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row>
    <row r="806">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row>
    <row r="807">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row>
    <row r="808">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row>
    <row r="809">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row>
    <row r="810">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row>
    <row r="81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row>
    <row r="812">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row>
    <row r="813">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row>
    <row r="814">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row>
    <row r="815">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row>
    <row r="816">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row>
    <row r="817">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row>
    <row r="818">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row>
    <row r="819">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row>
    <row r="820">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row>
    <row r="82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row>
    <row r="822">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row>
    <row r="823">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row>
    <row r="824">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row>
    <row r="825">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row>
    <row r="826">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row>
    <row r="827">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row>
    <row r="828">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row>
    <row r="829">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row>
    <row r="830">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row>
    <row r="83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row>
    <row r="832">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row>
    <row r="833">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row>
    <row r="834">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row>
    <row r="835">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row>
    <row r="836">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row>
    <row r="837">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row>
    <row r="838">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row>
    <row r="839">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row>
    <row r="840">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row>
    <row r="84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row>
    <row r="842">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row>
    <row r="843">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row>
    <row r="844">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row>
    <row r="845">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row>
    <row r="846">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row>
    <row r="847">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row>
    <row r="848">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row>
    <row r="849">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row>
    <row r="850">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row>
    <row r="85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row>
    <row r="852">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row>
    <row r="853">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row>
    <row r="854">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row>
    <row r="855">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row>
    <row r="856">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row>
    <row r="857">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row>
    <row r="858">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row>
    <row r="859">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row>
    <row r="860">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row>
    <row r="86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row>
    <row r="862">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row>
    <row r="863">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row>
    <row r="864">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row>
    <row r="865">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row>
    <row r="866">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row>
    <row r="867">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row>
    <row r="868">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row>
    <row r="869">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row>
    <row r="870">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row>
    <row r="87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row>
    <row r="872">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row>
    <row r="873">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row>
    <row r="874">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row>
    <row r="875">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row>
    <row r="876">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row>
    <row r="877">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row>
    <row r="878">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row>
    <row r="879">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row>
    <row r="880">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row>
    <row r="88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row>
    <row r="882">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row>
    <row r="883">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row>
    <row r="884">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row>
    <row r="885">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row>
    <row r="886">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row>
    <row r="887">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row>
    <row r="888">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row>
    <row r="889">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row>
    <row r="890">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row>
    <row r="89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row>
    <row r="892">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row>
    <row r="893">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row>
    <row r="894">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row>
    <row r="895">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row>
    <row r="896">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row>
    <row r="897">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row>
    <row r="898">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row>
    <row r="899">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row>
    <row r="900">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row>
    <row r="90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row>
    <row r="902">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row>
    <row r="903">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row>
    <row r="904">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row>
    <row r="905">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row>
    <row r="906">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row>
    <row r="907">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row>
    <row r="908">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row>
    <row r="909">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row>
    <row r="910">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row>
    <row r="91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row>
    <row r="912">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row>
    <row r="913">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row>
    <row r="914">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row>
    <row r="915">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row>
    <row r="916">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row>
    <row r="917">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row>
    <row r="918">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row>
    <row r="919">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row>
    <row r="920">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row>
    <row r="92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row>
    <row r="922">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row>
    <row r="923">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row>
    <row r="924">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row>
    <row r="925">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row>
    <row r="926">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row>
    <row r="927">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row>
    <row r="928">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row>
    <row r="929">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row>
    <row r="930">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row>
    <row r="93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row>
    <row r="932">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row>
    <row r="933">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row>
    <row r="934">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row>
    <row r="935">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row>
    <row r="936">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row>
    <row r="937">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row>
    <row r="938">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row>
    <row r="939">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row>
    <row r="940">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row>
    <row r="94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row>
    <row r="942">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row>
    <row r="943">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row>
    <row r="944">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row>
    <row r="945">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row>
    <row r="946">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row>
    <row r="947">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row>
    <row r="948">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row>
    <row r="949">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row>
    <row r="950">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row>
    <row r="95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row>
    <row r="952">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row>
    <row r="953">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row>
    <row r="954">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row>
    <row r="955">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row>
    <row r="956">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row>
    <row r="957">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row>
    <row r="958">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row>
    <row r="959">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row>
    <row r="960">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row>
    <row r="96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row>
    <row r="962">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row>
    <row r="963">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row>
    <row r="964">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row>
    <row r="965">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row>
    <row r="966">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row>
    <row r="967">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row>
    <row r="968">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row>
    <row r="969">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row>
    <row r="970">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row>
    <row r="97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row>
    <row r="972">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row>
    <row r="973">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row>
    <row r="974">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row>
    <row r="975">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row>
    <row r="976">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row>
    <row r="977">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row>
    <row r="978">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row>
    <row r="979">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row>
    <row r="980">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row>
    <row r="98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row>
    <row r="982">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row>
    <row r="983">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row>
    <row r="984">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row>
    <row r="985">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row>
    <row r="986">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row>
    <row r="987">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row>
    <row r="988">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row>
    <row r="989">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row>
    <row r="990">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row>
    <row r="99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row>
    <row r="992">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row>
    <row r="993">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row>
    <row r="994">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row>
    <row r="995">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row>
    <row r="996">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row>
    <row r="997">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row>
    <row r="998">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row>
    <row r="999">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row>
    <row r="1000">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row>
    <row r="1001">
      <c r="A1001" s="163"/>
      <c r="B1001" s="163"/>
      <c r="C1001" s="163"/>
      <c r="D1001" s="163"/>
      <c r="E1001" s="163"/>
      <c r="F1001" s="163"/>
      <c r="G1001" s="163"/>
      <c r="H1001" s="163"/>
      <c r="I1001" s="163"/>
      <c r="J1001" s="163"/>
      <c r="K1001" s="163"/>
      <c r="L1001" s="163"/>
      <c r="M1001" s="163"/>
      <c r="N1001" s="163"/>
      <c r="O1001" s="163"/>
      <c r="P1001" s="163"/>
      <c r="Q1001" s="163"/>
      <c r="R1001" s="163"/>
      <c r="S1001" s="163"/>
      <c r="T1001" s="163"/>
      <c r="U1001" s="163"/>
      <c r="V1001" s="163"/>
      <c r="W1001" s="163"/>
      <c r="X1001" s="163"/>
      <c r="Y1001" s="163"/>
      <c r="Z1001" s="163"/>
      <c r="AA1001" s="163"/>
    </row>
    <row r="1002">
      <c r="A1002" s="163"/>
      <c r="B1002" s="163"/>
      <c r="C1002" s="163"/>
      <c r="D1002" s="163"/>
      <c r="E1002" s="163"/>
      <c r="F1002" s="163"/>
      <c r="G1002" s="163"/>
      <c r="H1002" s="163"/>
      <c r="I1002" s="163"/>
      <c r="J1002" s="163"/>
      <c r="K1002" s="163"/>
      <c r="L1002" s="163"/>
      <c r="M1002" s="163"/>
      <c r="N1002" s="163"/>
      <c r="O1002" s="163"/>
      <c r="P1002" s="163"/>
      <c r="Q1002" s="163"/>
      <c r="R1002" s="163"/>
      <c r="S1002" s="163"/>
      <c r="T1002" s="163"/>
      <c r="U1002" s="163"/>
      <c r="V1002" s="163"/>
      <c r="W1002" s="163"/>
      <c r="X1002" s="163"/>
      <c r="Y1002" s="163"/>
      <c r="Z1002" s="163"/>
      <c r="AA1002" s="163"/>
    </row>
    <row r="1003">
      <c r="A1003" s="163"/>
      <c r="B1003" s="163"/>
      <c r="C1003" s="163"/>
      <c r="D1003" s="163"/>
      <c r="E1003" s="163"/>
      <c r="F1003" s="163"/>
      <c r="G1003" s="163"/>
      <c r="H1003" s="163"/>
      <c r="I1003" s="163"/>
      <c r="J1003" s="163"/>
      <c r="K1003" s="163"/>
      <c r="L1003" s="163"/>
      <c r="M1003" s="163"/>
      <c r="N1003" s="163"/>
      <c r="O1003" s="163"/>
      <c r="P1003" s="163"/>
      <c r="Q1003" s="163"/>
      <c r="R1003" s="163"/>
      <c r="S1003" s="163"/>
      <c r="T1003" s="163"/>
      <c r="U1003" s="163"/>
      <c r="V1003" s="163"/>
      <c r="W1003" s="163"/>
      <c r="X1003" s="163"/>
      <c r="Y1003" s="163"/>
      <c r="Z1003" s="163"/>
      <c r="AA1003" s="163"/>
    </row>
    <row r="1004">
      <c r="A1004" s="163"/>
      <c r="B1004" s="163"/>
      <c r="C1004" s="163"/>
      <c r="D1004" s="163"/>
      <c r="E1004" s="163"/>
      <c r="F1004" s="163"/>
      <c r="G1004" s="163"/>
      <c r="H1004" s="163"/>
      <c r="I1004" s="163"/>
      <c r="J1004" s="163"/>
      <c r="K1004" s="163"/>
      <c r="L1004" s="163"/>
      <c r="M1004" s="163"/>
      <c r="N1004" s="163"/>
      <c r="O1004" s="163"/>
      <c r="P1004" s="163"/>
      <c r="Q1004" s="163"/>
      <c r="R1004" s="163"/>
      <c r="S1004" s="163"/>
      <c r="T1004" s="163"/>
      <c r="U1004" s="163"/>
      <c r="V1004" s="163"/>
      <c r="W1004" s="163"/>
      <c r="X1004" s="163"/>
      <c r="Y1004" s="163"/>
      <c r="Z1004" s="163"/>
      <c r="AA1004" s="163"/>
    </row>
    <row r="1005">
      <c r="A1005" s="163"/>
      <c r="B1005" s="163"/>
      <c r="C1005" s="163"/>
      <c r="D1005" s="163"/>
      <c r="E1005" s="163"/>
      <c r="F1005" s="163"/>
      <c r="G1005" s="163"/>
      <c r="H1005" s="163"/>
      <c r="I1005" s="163"/>
      <c r="J1005" s="163"/>
      <c r="K1005" s="163"/>
      <c r="L1005" s="163"/>
      <c r="M1005" s="163"/>
      <c r="N1005" s="163"/>
      <c r="O1005" s="163"/>
      <c r="P1005" s="163"/>
      <c r="Q1005" s="163"/>
      <c r="R1005" s="163"/>
      <c r="S1005" s="163"/>
      <c r="T1005" s="163"/>
      <c r="U1005" s="163"/>
      <c r="V1005" s="163"/>
      <c r="W1005" s="163"/>
      <c r="X1005" s="163"/>
      <c r="Y1005" s="163"/>
      <c r="Z1005" s="163"/>
      <c r="AA1005" s="163"/>
    </row>
    <row r="1006">
      <c r="A1006" s="163"/>
      <c r="B1006" s="163"/>
      <c r="C1006" s="163"/>
      <c r="D1006" s="163"/>
      <c r="E1006" s="163"/>
      <c r="F1006" s="163"/>
      <c r="G1006" s="163"/>
      <c r="H1006" s="163"/>
      <c r="I1006" s="163"/>
      <c r="J1006" s="163"/>
      <c r="K1006" s="163"/>
      <c r="L1006" s="163"/>
      <c r="M1006" s="163"/>
      <c r="N1006" s="163"/>
      <c r="O1006" s="163"/>
      <c r="P1006" s="163"/>
      <c r="Q1006" s="163"/>
      <c r="R1006" s="163"/>
      <c r="S1006" s="163"/>
      <c r="T1006" s="163"/>
      <c r="U1006" s="163"/>
      <c r="V1006" s="163"/>
      <c r="W1006" s="163"/>
      <c r="X1006" s="163"/>
      <c r="Y1006" s="163"/>
      <c r="Z1006" s="163"/>
      <c r="AA1006" s="16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40" max="240" width="13.5"/>
    <col customWidth="1" min="249" max="249" width="22.13"/>
    <col customWidth="1" min="250" max="250" width="16.0"/>
    <col customWidth="1" min="252" max="252" width="22.13"/>
    <col customWidth="1" min="253" max="253" width="16.0"/>
    <col customWidth="1" min="255" max="255" width="22.13"/>
    <col customWidth="1" min="256" max="256" width="16.0"/>
    <col customWidth="1" min="258" max="258" width="22.13"/>
    <col customWidth="1" min="259" max="259" width="16.0"/>
  </cols>
  <sheetData>
    <row r="1">
      <c r="A1" s="168"/>
      <c r="B1" s="169">
        <f>SUM(B2:B81)</f>
        <v>0.0001273148148</v>
      </c>
      <c r="C1" s="168"/>
      <c r="D1" s="169">
        <f>SUM(D2:D81)</f>
        <v>0.009768518519</v>
      </c>
      <c r="E1" s="168"/>
      <c r="F1" s="169">
        <f>SUM(F2:F81)</f>
        <v>0.0100462963</v>
      </c>
      <c r="G1" s="168"/>
      <c r="H1" s="169">
        <f>SUM(H2:H81)</f>
        <v>0.0334837963</v>
      </c>
      <c r="I1" s="168"/>
      <c r="J1" s="169">
        <f>SUM(J2:J81)</f>
        <v>0.01199074074</v>
      </c>
      <c r="K1" s="168"/>
      <c r="L1" s="169">
        <f>SUM(L2:L81)</f>
        <v>0.007858796296</v>
      </c>
      <c r="M1" s="168"/>
      <c r="N1" s="169">
        <f>SUM(N2:N81)</f>
        <v>0.1314583333</v>
      </c>
      <c r="O1" s="168"/>
      <c r="P1" s="169">
        <f>SUM(P2:P81)</f>
        <v>0.1620138889</v>
      </c>
      <c r="Q1" s="168"/>
      <c r="R1" s="169">
        <f>SUM(R2:R81)</f>
        <v>0.2009722222</v>
      </c>
      <c r="S1" s="168"/>
      <c r="T1" s="169">
        <f>SUM(T2:T81)</f>
        <v>0.04335648148</v>
      </c>
      <c r="U1" s="168"/>
      <c r="V1" s="169">
        <f>SUM(V2:V81)</f>
        <v>0.09892361111</v>
      </c>
      <c r="W1" s="168"/>
      <c r="X1" s="169">
        <f>SUM(X2:X81)</f>
        <v>0.05400462963</v>
      </c>
      <c r="Y1" s="168"/>
      <c r="Z1" s="169">
        <f>SUM(Z2:Z81)</f>
        <v>0.07184027778</v>
      </c>
      <c r="AA1" s="168"/>
      <c r="AB1" s="169">
        <f>SUM(AB2:AB81)</f>
        <v>1.057430556</v>
      </c>
      <c r="AC1" s="168"/>
      <c r="AD1" s="169">
        <f>SUM(AD2:AD81)</f>
        <v>0.4633564815</v>
      </c>
      <c r="AE1" s="168"/>
      <c r="AF1" s="169">
        <f>SUM(AF2:AF81)</f>
        <v>2.217418981</v>
      </c>
      <c r="AG1" s="168"/>
      <c r="AH1" s="169">
        <f>SUM(AH2:AH81)</f>
        <v>0.5299652778</v>
      </c>
      <c r="AI1" s="168"/>
      <c r="AJ1" s="169">
        <f>SUM(AJ2:AJ81)</f>
        <v>1.700925926</v>
      </c>
      <c r="AK1" s="168"/>
      <c r="AL1" s="169">
        <f>SUM(AL2:AL81)</f>
        <v>4.601956019</v>
      </c>
      <c r="AM1" s="168"/>
      <c r="AN1" s="169">
        <f>SUM(AN2:AN81)</f>
        <v>2.885474537</v>
      </c>
      <c r="AO1" s="168"/>
      <c r="AP1" s="169">
        <f>SUM(AP2:AP81)</f>
        <v>5.969375</v>
      </c>
      <c r="AQ1" s="168"/>
      <c r="AR1" s="169">
        <f>SUM(AR2:AR81)</f>
        <v>6.842986111</v>
      </c>
      <c r="AS1" s="168"/>
      <c r="AT1" s="169">
        <f>SUM(AT2:AT81)</f>
        <v>5.809756944</v>
      </c>
      <c r="AU1" s="168"/>
      <c r="AV1" s="169">
        <f>SUM(AV2:AV81)</f>
        <v>13.30434028</v>
      </c>
      <c r="AW1" s="168"/>
      <c r="AX1" s="169">
        <f>SUM(AX2:AX81)</f>
        <v>14.75959491</v>
      </c>
      <c r="AY1" s="168"/>
      <c r="AZ1" s="169">
        <f>SUM(AZ2:AZ81)</f>
        <v>15.26744213</v>
      </c>
      <c r="BA1" s="168"/>
      <c r="BB1" s="169">
        <f>SUM(BB2:BB81)</f>
        <v>16.54665509</v>
      </c>
      <c r="BC1" s="168"/>
      <c r="BD1" s="169">
        <f>SUM(BD2:BD81)</f>
        <v>19.52222222</v>
      </c>
      <c r="BE1" s="168"/>
      <c r="BF1" s="169">
        <f>SUM(BF2:BF81)</f>
        <v>15.96515046</v>
      </c>
      <c r="BG1" s="168"/>
      <c r="BH1" s="169">
        <f>SUM(BH2:BH81)</f>
        <v>17.17384259</v>
      </c>
      <c r="BI1" s="168"/>
      <c r="BJ1" s="169">
        <f>SUM(BJ2:BJ81)</f>
        <v>18.25795139</v>
      </c>
      <c r="BK1" s="168"/>
      <c r="BL1" s="169">
        <f>SUM(BL2:BL81)</f>
        <v>15.79538194</v>
      </c>
      <c r="BM1" s="168"/>
      <c r="BN1" s="169">
        <f>SUM(BN2:BN81)</f>
        <v>18.05627315</v>
      </c>
      <c r="BO1" s="168"/>
      <c r="BP1" s="169">
        <f>SUM(BP2:BP81)</f>
        <v>15.68653935</v>
      </c>
      <c r="BQ1" s="168"/>
      <c r="BR1" s="169">
        <f>SUM(BR2:BR81)</f>
        <v>17.13672454</v>
      </c>
      <c r="BS1" s="168"/>
      <c r="BT1" s="169">
        <f>SUM(BT2:BT81)</f>
        <v>13.88530093</v>
      </c>
      <c r="BU1" s="168"/>
      <c r="BV1" s="169">
        <f>SUM(BV2:BV81)</f>
        <v>12.77936343</v>
      </c>
      <c r="BW1" s="168"/>
      <c r="BX1" s="169">
        <f>SUM(BX2:BX81)</f>
        <v>13.6253125</v>
      </c>
      <c r="BY1" s="168"/>
      <c r="BZ1" s="169">
        <f>SUM(BZ2:BZ81)</f>
        <v>12.09719907</v>
      </c>
      <c r="CA1" s="168"/>
      <c r="CB1" s="169">
        <f>SUM(CB2:CB81)</f>
        <v>13.58395833</v>
      </c>
      <c r="CC1" s="168"/>
      <c r="CD1" s="169">
        <f>SUM(CD2:CD81)</f>
        <v>12.48523148</v>
      </c>
      <c r="CE1" s="168"/>
      <c r="CF1" s="169">
        <f>SUM(CF2:CF81)</f>
        <v>13.53958333</v>
      </c>
      <c r="CG1" s="168"/>
      <c r="CH1" s="169">
        <f>SUM(CH2:CH81)</f>
        <v>9.476828704</v>
      </c>
      <c r="CI1" s="168"/>
      <c r="CJ1" s="169">
        <f>SUM(CJ2:CJ81)</f>
        <v>9.556238426</v>
      </c>
      <c r="CK1" s="168"/>
      <c r="CL1" s="169">
        <f>SUM(CL2:CL81)</f>
        <v>11.42737269</v>
      </c>
      <c r="CM1" s="168"/>
      <c r="CN1" s="169">
        <f>SUM(CN2:CN81)</f>
        <v>8.040891204</v>
      </c>
      <c r="CO1" s="168"/>
      <c r="CP1" s="169">
        <f>SUM(CP2:CP81)</f>
        <v>6.757523148</v>
      </c>
      <c r="CQ1" s="168"/>
      <c r="CR1" s="169">
        <f>SUM(CR2:CR81)</f>
        <v>5.234861111</v>
      </c>
      <c r="CS1" s="168"/>
      <c r="CT1" s="169">
        <f>SUM(CT2:CT81)</f>
        <v>5.778784722</v>
      </c>
      <c r="CU1" s="168"/>
      <c r="CV1" s="169">
        <f>SUM(CV2:CV81)</f>
        <v>7.31056713</v>
      </c>
      <c r="CW1" s="168"/>
      <c r="CX1" s="169">
        <f>SUM(CX2:CX81)</f>
        <v>5.425833333</v>
      </c>
      <c r="CY1" s="168"/>
      <c r="CZ1" s="169">
        <f>SUM(CZ2:CZ81)</f>
        <v>6.75630787</v>
      </c>
      <c r="DA1" s="168"/>
      <c r="DB1" s="169">
        <f>SUM(DB2:DB81)</f>
        <v>6.709305556</v>
      </c>
      <c r="DC1" s="168"/>
      <c r="DD1" s="169">
        <f>SUM(DD2:DD81)</f>
        <v>4.829965278</v>
      </c>
      <c r="DE1" s="168"/>
      <c r="DF1" s="169">
        <f>SUM(DF2:DF81)</f>
        <v>5.397361111</v>
      </c>
      <c r="DG1" s="168"/>
      <c r="DH1" s="169">
        <f>SUM(DH2:DH81)</f>
        <v>206.424838</v>
      </c>
      <c r="DI1" s="168"/>
      <c r="DJ1" s="169">
        <f>SUM(DJ2:DJ61)</f>
        <v>2.163530093</v>
      </c>
      <c r="DK1" s="168"/>
      <c r="DL1" s="169">
        <f>SUM(DL2:DL61)</f>
        <v>2.167986111</v>
      </c>
      <c r="DM1" s="168"/>
      <c r="DN1" s="169">
        <f>SUM(DN2:DN61)</f>
        <v>2.329178241</v>
      </c>
      <c r="DO1" s="168"/>
      <c r="DP1" s="169">
        <f>SUM(DP2:DP61)</f>
        <v>3.067789352</v>
      </c>
      <c r="DQ1" s="168"/>
      <c r="DR1" s="169">
        <f>SUM(DR2:DR61)</f>
        <v>2.132210648</v>
      </c>
      <c r="DS1" s="168"/>
      <c r="DT1" s="169">
        <f>SUM(DT2:DT61)</f>
        <v>1.709490741</v>
      </c>
      <c r="DU1" s="168"/>
      <c r="DV1" s="169">
        <f>SUM(DV2:DV61)</f>
        <v>4.040914352</v>
      </c>
      <c r="DW1" s="168"/>
      <c r="DX1" s="169">
        <f>SUM(DX2:DX61)</f>
        <v>0.7441087963</v>
      </c>
      <c r="DY1" s="168"/>
      <c r="DZ1" s="169">
        <f>SUM(DZ2:DZ61)</f>
        <v>0.3865046296</v>
      </c>
      <c r="EA1" s="168"/>
      <c r="EB1" s="169">
        <f>SUM(EB2:EB61)</f>
        <v>0.8223263889</v>
      </c>
      <c r="EC1" s="168"/>
      <c r="ED1" s="169">
        <f>SUM(ED2:ED61)</f>
        <v>1.679016204</v>
      </c>
      <c r="EE1" s="168"/>
      <c r="EF1" s="169">
        <f>SUM(EF2:EF61)</f>
        <v>1.653483796</v>
      </c>
      <c r="EG1" s="168"/>
      <c r="EH1" s="169">
        <f>SUM(EH2:EH61)</f>
        <v>2.411006944</v>
      </c>
      <c r="EI1" s="169"/>
      <c r="EJ1" s="169">
        <f>SUM(EJ2:EJ61)</f>
        <v>2.170694444</v>
      </c>
      <c r="EK1" s="168"/>
      <c r="EL1" s="169">
        <f>SUM(EL2:EL61)</f>
        <v>2.188622685</v>
      </c>
      <c r="EM1" s="168"/>
      <c r="EN1" s="169">
        <f>SUM(EN2:EN61)</f>
        <v>2.203877315</v>
      </c>
      <c r="EO1" s="168"/>
      <c r="EP1" s="169">
        <f>SUM(EP2:EP61)</f>
        <v>2.169131944</v>
      </c>
      <c r="EQ1" s="168"/>
      <c r="ER1" s="169">
        <f>SUM(ER2:ER61)</f>
        <v>1.964363426</v>
      </c>
      <c r="ES1" s="168"/>
      <c r="ET1" s="169">
        <f>SUM(ET2:ET61)</f>
        <v>1.397789352</v>
      </c>
      <c r="EU1" s="168"/>
      <c r="EV1" s="169">
        <f>SUM(EV2:EV61)</f>
        <v>1.189224537</v>
      </c>
      <c r="EW1" s="168"/>
      <c r="EX1" s="169">
        <f>SUM(EX2:EX61)</f>
        <v>1.2740625</v>
      </c>
      <c r="EY1" s="168"/>
      <c r="EZ1" s="169">
        <f>SUM(EZ2:EZ61)</f>
        <v>0.528125</v>
      </c>
      <c r="FA1" s="168"/>
      <c r="FB1" s="169">
        <f>SUM(FB2:FB61)</f>
        <v>0.9614467593</v>
      </c>
      <c r="FC1" s="168"/>
      <c r="FD1" s="169">
        <f>SUM(FD2:FD61)</f>
        <v>1.670613426</v>
      </c>
      <c r="FE1" s="168"/>
      <c r="FF1" s="169">
        <f>SUM(FF2:FF61)</f>
        <v>1.196099537</v>
      </c>
      <c r="FG1" s="168"/>
      <c r="FH1" s="169">
        <f>SUM(FH2:FH61)</f>
        <v>1.175717593</v>
      </c>
      <c r="FI1" s="168"/>
      <c r="FJ1" s="169">
        <f>SUM(FJ2:FJ61)</f>
        <v>0.8653356481</v>
      </c>
      <c r="FK1" s="168"/>
      <c r="FL1" s="169">
        <f>SUM(FL2:FL61)</f>
        <v>1.137280093</v>
      </c>
      <c r="FM1" s="168"/>
      <c r="FN1" s="169">
        <f>SUM(FN2:FN61)</f>
        <v>1.228368056</v>
      </c>
      <c r="FO1" s="168"/>
      <c r="FP1" s="169">
        <f>SUM(FP2:FP61)</f>
        <v>0.9387268519</v>
      </c>
      <c r="FQ1" s="168"/>
      <c r="FR1" s="169">
        <f>SUM(FR2:FR61)</f>
        <v>1.032118056</v>
      </c>
      <c r="FS1" s="168"/>
      <c r="FT1" s="169">
        <f>SUM(FT2:FT61)</f>
        <v>2.39994213</v>
      </c>
      <c r="FU1" s="168"/>
      <c r="FV1" s="169">
        <f>SUM(FV2:FV61)</f>
        <v>1.66150463</v>
      </c>
      <c r="FW1" s="168"/>
      <c r="FX1" s="169">
        <f>SUM(FX2:FX61)</f>
        <v>0.464849537</v>
      </c>
      <c r="FY1" s="168"/>
      <c r="FZ1" s="169">
        <f>SUM(FZ2:FZ61)</f>
        <v>0.2971412037</v>
      </c>
      <c r="GA1" s="168"/>
      <c r="GB1" s="169">
        <f>SUM(GB2:GB61)</f>
        <v>0.9263078704</v>
      </c>
      <c r="GC1" s="168"/>
      <c r="GD1" s="169">
        <f>SUM(GD2:GD61)</f>
        <v>3.812592593</v>
      </c>
      <c r="GE1" s="168"/>
      <c r="GF1" s="169">
        <f>SUM(GF2:GF61)</f>
        <v>6.511550926</v>
      </c>
      <c r="GG1" s="168"/>
      <c r="GH1" s="169">
        <f>SUM(GH2:GH61)</f>
        <v>8.361886574</v>
      </c>
      <c r="GI1" s="168"/>
      <c r="GJ1" s="169">
        <v>8.162465277777779</v>
      </c>
      <c r="GK1" s="168">
        <v>1311.0</v>
      </c>
      <c r="GL1" s="169">
        <v>8.572986111111112</v>
      </c>
      <c r="GM1" s="168">
        <v>1211.0</v>
      </c>
      <c r="GN1" s="170">
        <v>6.640405092592593</v>
      </c>
      <c r="GO1" s="168">
        <v>912.0</v>
      </c>
      <c r="GP1" s="171">
        <v>5.013819444444445</v>
      </c>
      <c r="GQ1" s="168">
        <v>1012.0</v>
      </c>
      <c r="GR1" s="171">
        <v>5.680729166666667</v>
      </c>
      <c r="GS1" s="168">
        <v>1112.0</v>
      </c>
      <c r="GT1" s="171">
        <v>5.504756944444445</v>
      </c>
      <c r="GU1" s="168">
        <v>812.0</v>
      </c>
      <c r="GV1" s="171">
        <v>4.442476851851852</v>
      </c>
      <c r="GW1" s="172">
        <v>412.0</v>
      </c>
      <c r="GX1" s="173">
        <v>2.8933333333333335</v>
      </c>
      <c r="GY1" s="172">
        <v>512.0</v>
      </c>
      <c r="GZ1" s="173">
        <v>3.966238425925926</v>
      </c>
      <c r="HA1" s="172">
        <v>612.0</v>
      </c>
      <c r="HB1" s="173">
        <v>6.266122685185185</v>
      </c>
      <c r="HC1" s="172">
        <v>712.0</v>
      </c>
      <c r="HD1" s="173">
        <v>5.131458333333334</v>
      </c>
      <c r="HE1" s="172">
        <v>24.0</v>
      </c>
      <c r="HF1" s="173">
        <v>3.050150462962963</v>
      </c>
      <c r="HG1" s="172">
        <v>25.0</v>
      </c>
      <c r="HH1" s="173">
        <v>3.3736689814814813</v>
      </c>
      <c r="HI1" s="172">
        <v>26.0</v>
      </c>
      <c r="HJ1" s="173">
        <v>4.948402777777778</v>
      </c>
      <c r="HK1" s="172">
        <v>27.0</v>
      </c>
      <c r="HL1" s="173">
        <v>4.959872685185185</v>
      </c>
      <c r="HM1" s="172">
        <v>28.0</v>
      </c>
      <c r="HN1" s="173">
        <v>3.8085185185185186</v>
      </c>
      <c r="HO1" s="172">
        <v>29.0</v>
      </c>
      <c r="HP1" s="173">
        <v>3.3439814814814817</v>
      </c>
      <c r="HQ1" s="172">
        <v>30.0</v>
      </c>
      <c r="HR1" s="173">
        <v>4.10119212962963</v>
      </c>
      <c r="HS1" s="172">
        <v>112.0</v>
      </c>
      <c r="HT1" s="173">
        <v>5.016805555555556</v>
      </c>
      <c r="HU1" s="172">
        <v>212.0</v>
      </c>
      <c r="HV1" s="173">
        <v>3.905590277777778</v>
      </c>
      <c r="HW1" s="172">
        <v>312.0</v>
      </c>
      <c r="HX1" s="173">
        <v>3.5763425925925927</v>
      </c>
      <c r="HY1" s="174"/>
      <c r="HZ1" s="174"/>
      <c r="IA1" s="174"/>
      <c r="IB1" s="174"/>
      <c r="IC1" s="174"/>
      <c r="ID1" s="174"/>
      <c r="IE1" s="175"/>
      <c r="IF1" s="176">
        <v>44879.0</v>
      </c>
      <c r="IG1" s="177"/>
      <c r="IH1" s="178"/>
      <c r="II1" s="179">
        <v>44880.0</v>
      </c>
      <c r="IJ1" s="178"/>
      <c r="IK1" s="178"/>
      <c r="IL1" s="179">
        <v>44881.0</v>
      </c>
      <c r="IM1" s="178"/>
      <c r="IN1" s="179">
        <v>44882.0</v>
      </c>
      <c r="IO1" s="180">
        <v>1811.0</v>
      </c>
      <c r="IP1" s="171">
        <v>2.0688541666666667</v>
      </c>
      <c r="IQ1" s="178"/>
      <c r="IR1" s="180">
        <v>2111.0</v>
      </c>
      <c r="IS1" s="171">
        <v>1.660925925925926</v>
      </c>
      <c r="IT1" s="178"/>
      <c r="IU1" s="180">
        <v>2211.0</v>
      </c>
      <c r="IV1" s="171">
        <v>2.018460648148148</v>
      </c>
      <c r="IW1" s="178"/>
      <c r="IX1" s="180">
        <v>2311.0</v>
      </c>
      <c r="IY1" s="171">
        <v>3.1044675925925924</v>
      </c>
      <c r="IZ1" s="180">
        <v>1911.0</v>
      </c>
      <c r="JA1" s="171">
        <v>2.186701388888889</v>
      </c>
      <c r="JB1" s="180">
        <v>2011.0</v>
      </c>
      <c r="JC1" s="171">
        <v>2.5229050925925924</v>
      </c>
      <c r="JD1" s="178"/>
    </row>
    <row r="2">
      <c r="A2" s="181" t="s">
        <v>27</v>
      </c>
      <c r="B2" s="182">
        <v>1.273148148148148E-4</v>
      </c>
      <c r="C2" s="183" t="s">
        <v>78</v>
      </c>
      <c r="D2" s="184">
        <v>0.0030208333333333333</v>
      </c>
      <c r="E2" s="183" t="s">
        <v>27</v>
      </c>
      <c r="F2" s="184">
        <v>2.0833333333333335E-4</v>
      </c>
      <c r="G2" s="183" t="s">
        <v>56</v>
      </c>
      <c r="H2" s="184">
        <v>4.62962962962963E-4</v>
      </c>
      <c r="I2" s="183" t="s">
        <v>96</v>
      </c>
      <c r="J2" s="184">
        <v>5.092592592592592E-4</v>
      </c>
      <c r="K2" s="183" t="s">
        <v>85</v>
      </c>
      <c r="L2" s="184">
        <v>0.0012962962962962963</v>
      </c>
      <c r="M2" s="183" t="s">
        <v>75</v>
      </c>
      <c r="N2" s="184">
        <v>0.0</v>
      </c>
      <c r="O2" s="183" t="s">
        <v>34</v>
      </c>
      <c r="P2" s="184">
        <v>0.0013194444444444445</v>
      </c>
      <c r="Q2" s="183" t="s">
        <v>34</v>
      </c>
      <c r="R2" s="184">
        <v>0.0013425925925925925</v>
      </c>
      <c r="S2" s="183" t="s">
        <v>44</v>
      </c>
      <c r="T2" s="184">
        <v>0.0022453703703703702</v>
      </c>
      <c r="U2" s="183" t="s">
        <v>56</v>
      </c>
      <c r="V2" s="184">
        <v>1.1574074074074073E-5</v>
      </c>
      <c r="W2" s="183" t="s">
        <v>55</v>
      </c>
      <c r="X2" s="184">
        <v>1.5046296296296297E-4</v>
      </c>
      <c r="Y2" s="183" t="s">
        <v>74</v>
      </c>
      <c r="Z2" s="184">
        <v>0.0011226851851851851</v>
      </c>
      <c r="AA2" s="183" t="s">
        <v>55</v>
      </c>
      <c r="AB2" s="184">
        <v>4.050925925925926E-4</v>
      </c>
      <c r="AC2" s="183" t="s">
        <v>48</v>
      </c>
      <c r="AD2" s="184">
        <v>5.092592592592592E-4</v>
      </c>
      <c r="AE2" s="183" t="s">
        <v>48</v>
      </c>
      <c r="AF2" s="184">
        <v>3.587962962962963E-4</v>
      </c>
      <c r="AG2" s="183" t="s">
        <v>34</v>
      </c>
      <c r="AH2" s="184">
        <v>0.0011805555555555556</v>
      </c>
      <c r="AI2" s="183" t="s">
        <v>48</v>
      </c>
      <c r="AJ2" s="184">
        <v>4.62962962962963E-4</v>
      </c>
      <c r="AK2" s="183" t="s">
        <v>48</v>
      </c>
      <c r="AL2" s="184">
        <v>0.03625</v>
      </c>
      <c r="AM2" s="183" t="s">
        <v>48</v>
      </c>
      <c r="AN2" s="184">
        <v>0.011886574074074074</v>
      </c>
      <c r="AO2" s="183" t="s">
        <v>84</v>
      </c>
      <c r="AP2" s="184">
        <v>0.07207175925925927</v>
      </c>
      <c r="AQ2" s="183" t="s">
        <v>48</v>
      </c>
      <c r="AR2" s="184">
        <v>0.006782407407407407</v>
      </c>
      <c r="AS2" s="183" t="s">
        <v>48</v>
      </c>
      <c r="AT2" s="184">
        <v>0.0</v>
      </c>
      <c r="AU2" s="183" t="s">
        <v>48</v>
      </c>
      <c r="AV2" s="184">
        <v>0.05412037037037037</v>
      </c>
      <c r="AW2" s="183" t="s">
        <v>48</v>
      </c>
      <c r="AX2" s="184">
        <v>0.030532407407407407</v>
      </c>
      <c r="AY2" s="183" t="s">
        <v>48</v>
      </c>
      <c r="AZ2" s="184">
        <v>0.04325231481481481</v>
      </c>
      <c r="BA2" s="183" t="s">
        <v>48</v>
      </c>
      <c r="BB2" s="184">
        <v>0.060578703703703704</v>
      </c>
      <c r="BC2" s="183" t="s">
        <v>48</v>
      </c>
      <c r="BD2" s="184">
        <v>0.08585648148148148</v>
      </c>
      <c r="BE2" s="183" t="s">
        <v>48</v>
      </c>
      <c r="BF2" s="184">
        <v>0.10581018518518519</v>
      </c>
      <c r="BG2" s="183" t="s">
        <v>48</v>
      </c>
      <c r="BH2" s="184">
        <v>0.08883101851851852</v>
      </c>
      <c r="BI2" s="183" t="s">
        <v>48</v>
      </c>
      <c r="BJ2" s="184">
        <v>0.16234953703703703</v>
      </c>
      <c r="BK2" s="183" t="s">
        <v>48</v>
      </c>
      <c r="BL2" s="184">
        <v>0.15480324074074073</v>
      </c>
      <c r="BM2" s="183" t="s">
        <v>48</v>
      </c>
      <c r="BN2" s="184">
        <v>0.23423611111111112</v>
      </c>
      <c r="BO2" s="183" t="s">
        <v>48</v>
      </c>
      <c r="BP2" s="184">
        <v>0.18599537037037037</v>
      </c>
      <c r="BQ2" s="183" t="s">
        <v>48</v>
      </c>
      <c r="BR2" s="184">
        <v>0.15614583333333334</v>
      </c>
      <c r="BS2" s="183" t="s">
        <v>48</v>
      </c>
      <c r="BT2" s="184">
        <v>0.22583333333333333</v>
      </c>
      <c r="BU2" s="183" t="s">
        <v>48</v>
      </c>
      <c r="BV2" s="184">
        <v>0.4103472222222222</v>
      </c>
      <c r="BW2" s="183" t="s">
        <v>48</v>
      </c>
      <c r="BX2" s="184">
        <v>0.4615625</v>
      </c>
      <c r="BY2" s="183" t="s">
        <v>48</v>
      </c>
      <c r="BZ2" s="184">
        <v>0.27361111111111114</v>
      </c>
      <c r="CA2" s="183" t="s">
        <v>48</v>
      </c>
      <c r="CB2" s="184">
        <v>0.9813425925925926</v>
      </c>
      <c r="CC2" s="183" t="s">
        <v>48</v>
      </c>
      <c r="CD2" s="184">
        <v>0.6460069444444444</v>
      </c>
      <c r="CE2" s="183" t="s">
        <v>48</v>
      </c>
      <c r="CF2" s="184">
        <v>0.6087962962962963</v>
      </c>
      <c r="CG2" s="183" t="s">
        <v>48</v>
      </c>
      <c r="CH2" s="184">
        <v>0.5336458333333334</v>
      </c>
      <c r="CI2" s="183" t="s">
        <v>48</v>
      </c>
      <c r="CJ2" s="184">
        <v>0.13962962962962963</v>
      </c>
      <c r="CK2" s="183" t="s">
        <v>48</v>
      </c>
      <c r="CL2" s="184">
        <v>0.5738888888888889</v>
      </c>
      <c r="CM2" s="183" t="s">
        <v>48</v>
      </c>
      <c r="CN2" s="184">
        <v>0.37631944444444443</v>
      </c>
      <c r="CO2" s="183" t="s">
        <v>48</v>
      </c>
      <c r="CP2" s="184">
        <v>0.24880787037037036</v>
      </c>
      <c r="CQ2" s="183" t="s">
        <v>48</v>
      </c>
      <c r="CR2" s="184">
        <v>0.269849537037037</v>
      </c>
      <c r="CS2" s="183" t="s">
        <v>48</v>
      </c>
      <c r="CT2" s="184">
        <v>0.10159722222222223</v>
      </c>
      <c r="CU2" s="183" t="s">
        <v>48</v>
      </c>
      <c r="CV2" s="184">
        <v>0.16872685185185185</v>
      </c>
      <c r="CW2" s="183" t="s">
        <v>48</v>
      </c>
      <c r="CX2" s="184">
        <v>0.1594560185185185</v>
      </c>
      <c r="CY2" s="183" t="s">
        <v>48</v>
      </c>
      <c r="CZ2" s="184">
        <v>0.0780787037037037</v>
      </c>
      <c r="DA2" s="183" t="s">
        <v>48</v>
      </c>
      <c r="DB2" s="184">
        <v>0.09888888888888889</v>
      </c>
      <c r="DC2" s="183" t="s">
        <v>48</v>
      </c>
      <c r="DD2" s="184">
        <v>0.03883101851851852</v>
      </c>
      <c r="DE2" s="183" t="s">
        <v>48</v>
      </c>
      <c r="DF2" s="184">
        <v>0.18106481481481482</v>
      </c>
      <c r="DG2" s="183" t="s">
        <v>48</v>
      </c>
      <c r="DH2" s="184">
        <v>1.6498495370370372</v>
      </c>
      <c r="DI2" s="183" t="s">
        <v>34</v>
      </c>
      <c r="DJ2" s="184">
        <v>0.01880787037037037</v>
      </c>
      <c r="DK2" s="183" t="s">
        <v>34</v>
      </c>
      <c r="DL2" s="184">
        <v>0.044097222222222225</v>
      </c>
      <c r="DM2" s="183" t="s">
        <v>55</v>
      </c>
      <c r="DN2" s="184">
        <v>0.03722222222222222</v>
      </c>
      <c r="DO2" s="183" t="s">
        <v>34</v>
      </c>
      <c r="DP2" s="184">
        <v>0.014097222222222223</v>
      </c>
      <c r="DQ2" s="183" t="s">
        <v>34</v>
      </c>
      <c r="DR2" s="184">
        <v>0.010069444444444445</v>
      </c>
      <c r="DS2" s="183" t="s">
        <v>84</v>
      </c>
      <c r="DT2" s="184">
        <v>0.003321759259259259</v>
      </c>
      <c r="DU2" s="183" t="s">
        <v>34</v>
      </c>
      <c r="DV2" s="184">
        <v>0.020636574074074075</v>
      </c>
      <c r="DW2" s="183" t="s">
        <v>34</v>
      </c>
      <c r="DX2" s="184">
        <v>0.0027083333333333334</v>
      </c>
      <c r="DY2" s="183" t="s">
        <v>84</v>
      </c>
      <c r="DZ2" s="184">
        <v>5.439814814814814E-4</v>
      </c>
      <c r="EA2" s="183" t="s">
        <v>48</v>
      </c>
      <c r="EB2" s="184">
        <v>0.006898148148148148</v>
      </c>
      <c r="EC2" s="183" t="s">
        <v>48</v>
      </c>
      <c r="ED2" s="184">
        <v>0.002349537037037037</v>
      </c>
      <c r="EE2" s="183" t="s">
        <v>48</v>
      </c>
      <c r="EF2" s="184">
        <v>0.0032175925925925926</v>
      </c>
      <c r="EG2" s="183" t="s">
        <v>48</v>
      </c>
      <c r="EH2" s="184">
        <v>0.0015162037037037036</v>
      </c>
      <c r="EI2" s="183" t="s">
        <v>56</v>
      </c>
      <c r="EJ2" s="184">
        <v>0.015856481481481482</v>
      </c>
      <c r="EK2" s="183" t="s">
        <v>55</v>
      </c>
      <c r="EL2" s="184">
        <v>4.2824074074074075E-4</v>
      </c>
      <c r="EM2" s="183" t="s">
        <v>55</v>
      </c>
      <c r="EN2" s="184">
        <v>0.011041666666666667</v>
      </c>
      <c r="EO2" s="183" t="s">
        <v>84</v>
      </c>
      <c r="EP2" s="184">
        <v>3.2407407407407406E-4</v>
      </c>
      <c r="EQ2" s="183" t="s">
        <v>72</v>
      </c>
      <c r="ER2" s="184">
        <v>2.0833333333333335E-4</v>
      </c>
      <c r="ES2" s="183" t="s">
        <v>56</v>
      </c>
      <c r="ET2" s="184">
        <v>0.017141203703703704</v>
      </c>
      <c r="EU2" s="183" t="s">
        <v>56</v>
      </c>
      <c r="EV2" s="184">
        <v>3.4722222222222224E-4</v>
      </c>
      <c r="EW2" s="183" t="s">
        <v>84</v>
      </c>
      <c r="EX2" s="184">
        <v>8.333333333333334E-4</v>
      </c>
      <c r="EY2" s="183" t="s">
        <v>55</v>
      </c>
      <c r="EZ2" s="184">
        <v>1.273148148148148E-4</v>
      </c>
      <c r="FA2" s="183" t="s">
        <v>34</v>
      </c>
      <c r="FB2" s="184">
        <v>0.014525462962962962</v>
      </c>
      <c r="FC2" s="183" t="s">
        <v>48</v>
      </c>
      <c r="FD2" s="184">
        <v>1.388888888888889E-4</v>
      </c>
      <c r="FE2" s="183" t="s">
        <v>55</v>
      </c>
      <c r="FF2" s="184">
        <v>0.0021412037037037038</v>
      </c>
      <c r="FG2" s="183" t="s">
        <v>55</v>
      </c>
      <c r="FH2" s="184">
        <v>0.006435185185185185</v>
      </c>
      <c r="FI2" s="183" t="s">
        <v>55</v>
      </c>
      <c r="FJ2" s="184">
        <v>3.4722222222222224E-4</v>
      </c>
      <c r="FK2" s="183" t="s">
        <v>48</v>
      </c>
      <c r="FL2" s="184">
        <v>4.62962962962963E-4</v>
      </c>
      <c r="FM2" s="183" t="s">
        <v>55</v>
      </c>
      <c r="FN2" s="184">
        <v>0.007789351851851852</v>
      </c>
      <c r="FO2" s="183" t="s">
        <v>55</v>
      </c>
      <c r="FP2" s="184">
        <v>0.0090625</v>
      </c>
      <c r="FQ2" s="183" t="s">
        <v>55</v>
      </c>
      <c r="FR2" s="184">
        <v>0.0021527777777777778</v>
      </c>
      <c r="FS2" s="183" t="s">
        <v>84</v>
      </c>
      <c r="FT2" s="184">
        <v>0.0011111111111111111</v>
      </c>
      <c r="FU2" s="183" t="s">
        <v>84</v>
      </c>
      <c r="FV2" s="184">
        <v>0.013587962962962963</v>
      </c>
      <c r="FW2" s="183" t="s">
        <v>55</v>
      </c>
      <c r="FX2" s="184">
        <v>3.2407407407407406E-4</v>
      </c>
      <c r="FY2" s="183" t="s">
        <v>55</v>
      </c>
      <c r="FZ2" s="184">
        <v>3.0092592592592595E-4</v>
      </c>
      <c r="GA2" s="183" t="s">
        <v>34</v>
      </c>
      <c r="GB2" s="184">
        <v>4.2824074074074075E-4</v>
      </c>
      <c r="GC2" s="183" t="s">
        <v>34</v>
      </c>
      <c r="GD2" s="184">
        <v>1.1574074074074075E-4</v>
      </c>
      <c r="GE2" s="183" t="s">
        <v>48</v>
      </c>
      <c r="GF2" s="184">
        <v>0.0021064814814814813</v>
      </c>
      <c r="GG2" s="183" t="s">
        <v>48</v>
      </c>
      <c r="GH2" s="184">
        <v>1.6203703703703703E-4</v>
      </c>
      <c r="GI2" s="185" t="s">
        <v>50</v>
      </c>
      <c r="GJ2" s="186">
        <v>0.03127314814814815</v>
      </c>
      <c r="GK2" s="185" t="s">
        <v>48</v>
      </c>
      <c r="GL2" s="186">
        <v>5.092592592592592E-4</v>
      </c>
      <c r="GM2" s="185" t="s">
        <v>48</v>
      </c>
      <c r="GN2" s="186">
        <v>1.9675925925925926E-4</v>
      </c>
      <c r="GO2" s="187" t="s">
        <v>48</v>
      </c>
      <c r="GP2" s="188">
        <v>0.012314814814814815</v>
      </c>
      <c r="GQ2" s="187" t="s">
        <v>48</v>
      </c>
      <c r="GR2" s="188">
        <v>6.481481481481481E-4</v>
      </c>
      <c r="GS2" s="187" t="s">
        <v>50</v>
      </c>
      <c r="GT2" s="188">
        <v>0.06842592592592593</v>
      </c>
      <c r="GU2" s="189" t="s">
        <v>362</v>
      </c>
      <c r="GV2" s="189" t="s">
        <v>461</v>
      </c>
      <c r="GW2" s="172" t="s">
        <v>362</v>
      </c>
      <c r="GX2" s="172" t="s">
        <v>461</v>
      </c>
      <c r="GY2" s="172" t="s">
        <v>362</v>
      </c>
      <c r="GZ2" s="172" t="s">
        <v>461</v>
      </c>
      <c r="HA2" s="172" t="s">
        <v>362</v>
      </c>
      <c r="HB2" s="172" t="s">
        <v>461</v>
      </c>
      <c r="HC2" s="172" t="s">
        <v>362</v>
      </c>
      <c r="HD2" s="172" t="s">
        <v>461</v>
      </c>
      <c r="HE2" s="172" t="s">
        <v>362</v>
      </c>
      <c r="HF2" s="172" t="s">
        <v>461</v>
      </c>
      <c r="HG2" s="172" t="s">
        <v>362</v>
      </c>
      <c r="HH2" s="172" t="s">
        <v>461</v>
      </c>
      <c r="HI2" s="172" t="s">
        <v>362</v>
      </c>
      <c r="HJ2" s="172" t="s">
        <v>461</v>
      </c>
      <c r="HK2" s="172" t="s">
        <v>362</v>
      </c>
      <c r="HL2" s="172" t="s">
        <v>461</v>
      </c>
      <c r="HM2" s="172" t="s">
        <v>362</v>
      </c>
      <c r="HN2" s="172" t="s">
        <v>461</v>
      </c>
      <c r="HO2" s="172" t="s">
        <v>362</v>
      </c>
      <c r="HP2" s="172" t="s">
        <v>461</v>
      </c>
      <c r="HQ2" s="172" t="s">
        <v>362</v>
      </c>
      <c r="HR2" s="172" t="s">
        <v>461</v>
      </c>
      <c r="HS2" s="190" t="s">
        <v>48</v>
      </c>
      <c r="HT2" s="191">
        <v>0.01787037037037037</v>
      </c>
      <c r="HU2" s="190" t="s">
        <v>48</v>
      </c>
      <c r="HV2" s="191">
        <v>0.048541666666666664</v>
      </c>
      <c r="HW2" s="190" t="s">
        <v>48</v>
      </c>
      <c r="HX2" s="191">
        <v>0.0052893518518518515</v>
      </c>
      <c r="HY2" s="174"/>
      <c r="HZ2" s="174"/>
      <c r="IA2" s="174"/>
      <c r="IB2" s="174"/>
      <c r="IC2" s="174"/>
      <c r="ID2" s="174"/>
      <c r="IE2" s="175" t="s">
        <v>362</v>
      </c>
      <c r="IF2" s="175" t="s">
        <v>462</v>
      </c>
      <c r="IG2" s="178"/>
      <c r="IH2" s="192" t="s">
        <v>362</v>
      </c>
      <c r="II2" s="192" t="s">
        <v>462</v>
      </c>
      <c r="IJ2" s="178"/>
      <c r="IK2" s="192" t="s">
        <v>362</v>
      </c>
      <c r="IL2" s="192" t="s">
        <v>462</v>
      </c>
      <c r="IM2" s="192" t="s">
        <v>362</v>
      </c>
      <c r="IN2" s="192" t="s">
        <v>461</v>
      </c>
      <c r="IO2" s="192" t="s">
        <v>362</v>
      </c>
      <c r="IP2" s="192" t="s">
        <v>461</v>
      </c>
      <c r="IQ2" s="178"/>
      <c r="IR2" s="192" t="s">
        <v>362</v>
      </c>
      <c r="IS2" s="192" t="s">
        <v>461</v>
      </c>
      <c r="IT2" s="178"/>
      <c r="IU2" s="192" t="s">
        <v>362</v>
      </c>
      <c r="IV2" s="192" t="s">
        <v>461</v>
      </c>
      <c r="IW2" s="178"/>
      <c r="IX2" s="192" t="s">
        <v>362</v>
      </c>
      <c r="IY2" s="192" t="s">
        <v>461</v>
      </c>
      <c r="IZ2" s="189" t="s">
        <v>362</v>
      </c>
      <c r="JA2" s="189" t="s">
        <v>461</v>
      </c>
      <c r="JB2" s="189" t="s">
        <v>362</v>
      </c>
      <c r="JC2" s="189" t="s">
        <v>461</v>
      </c>
      <c r="JD2" s="178"/>
    </row>
    <row r="3">
      <c r="A3" s="193"/>
      <c r="B3" s="193"/>
      <c r="C3" s="194" t="s">
        <v>424</v>
      </c>
      <c r="D3" s="195">
        <v>9.953703703703704E-4</v>
      </c>
      <c r="E3" s="194" t="s">
        <v>44</v>
      </c>
      <c r="F3" s="195">
        <v>6.134259259259259E-4</v>
      </c>
      <c r="G3" s="194" t="s">
        <v>94</v>
      </c>
      <c r="H3" s="195">
        <v>1.8518518518518518E-4</v>
      </c>
      <c r="I3" s="194" t="s">
        <v>60</v>
      </c>
      <c r="J3" s="195">
        <v>2.0833333333333335E-4</v>
      </c>
      <c r="K3" s="194" t="s">
        <v>431</v>
      </c>
      <c r="L3" s="195">
        <v>1.388888888888889E-4</v>
      </c>
      <c r="M3" s="194" t="s">
        <v>27</v>
      </c>
      <c r="N3" s="195">
        <v>1.7361111111111112E-4</v>
      </c>
      <c r="O3" s="194" t="s">
        <v>84</v>
      </c>
      <c r="P3" s="195">
        <v>0.007291666666666667</v>
      </c>
      <c r="Q3" s="194" t="s">
        <v>84</v>
      </c>
      <c r="R3" s="195">
        <v>0.010439814814814815</v>
      </c>
      <c r="S3" s="194" t="s">
        <v>59</v>
      </c>
      <c r="T3" s="195">
        <v>0.024189814814814813</v>
      </c>
      <c r="U3" s="194" t="s">
        <v>74</v>
      </c>
      <c r="V3" s="195">
        <v>0.002916666666666667</v>
      </c>
      <c r="W3" s="194" t="s">
        <v>26</v>
      </c>
      <c r="X3" s="195">
        <v>7.87037037037037E-4</v>
      </c>
      <c r="Y3" s="194" t="s">
        <v>75</v>
      </c>
      <c r="Z3" s="195">
        <v>0.003576388888888889</v>
      </c>
      <c r="AA3" s="194" t="s">
        <v>37</v>
      </c>
      <c r="AB3" s="195">
        <v>0.0010300925925925926</v>
      </c>
      <c r="AC3" s="194" t="s">
        <v>56</v>
      </c>
      <c r="AD3" s="195">
        <v>0.0015046296296296296</v>
      </c>
      <c r="AE3" s="194" t="s">
        <v>55</v>
      </c>
      <c r="AF3" s="195">
        <v>4.62962962962963E-4</v>
      </c>
      <c r="AG3" s="194" t="s">
        <v>84</v>
      </c>
      <c r="AH3" s="195">
        <v>0.02929398148148148</v>
      </c>
      <c r="AI3" s="194" t="s">
        <v>34</v>
      </c>
      <c r="AJ3" s="195">
        <v>0.016550925925925927</v>
      </c>
      <c r="AK3" s="194" t="s">
        <v>34</v>
      </c>
      <c r="AL3" s="195">
        <v>0.01761574074074074</v>
      </c>
      <c r="AM3" s="194" t="s">
        <v>84</v>
      </c>
      <c r="AN3" s="195">
        <v>0.0203125</v>
      </c>
      <c r="AO3" s="194" t="s">
        <v>55</v>
      </c>
      <c r="AP3" s="195">
        <v>0.17935185185185185</v>
      </c>
      <c r="AQ3" s="194" t="s">
        <v>84</v>
      </c>
      <c r="AR3" s="195">
        <v>0.012511574074074074</v>
      </c>
      <c r="AS3" s="194" t="s">
        <v>34</v>
      </c>
      <c r="AT3" s="195">
        <v>0.013078703703703703</v>
      </c>
      <c r="AU3" s="194" t="s">
        <v>34</v>
      </c>
      <c r="AV3" s="195">
        <v>0.010787037037037038</v>
      </c>
      <c r="AW3" s="194" t="s">
        <v>34</v>
      </c>
      <c r="AX3" s="195">
        <v>0.0010532407407407407</v>
      </c>
      <c r="AY3" s="194" t="s">
        <v>34</v>
      </c>
      <c r="AZ3" s="195">
        <v>0.004131944444444444</v>
      </c>
      <c r="BA3" s="194" t="s">
        <v>34</v>
      </c>
      <c r="BB3" s="195">
        <v>0.011469907407407408</v>
      </c>
      <c r="BC3" s="194" t="s">
        <v>34</v>
      </c>
      <c r="BD3" s="195">
        <v>0.03320601851851852</v>
      </c>
      <c r="BE3" s="194" t="s">
        <v>34</v>
      </c>
      <c r="BF3" s="195">
        <v>0.01902777777777778</v>
      </c>
      <c r="BG3" s="194" t="s">
        <v>34</v>
      </c>
      <c r="BH3" s="195">
        <v>0.046203703703703705</v>
      </c>
      <c r="BI3" s="194" t="s">
        <v>34</v>
      </c>
      <c r="BJ3" s="195">
        <v>0.09738425925925925</v>
      </c>
      <c r="BK3" s="194" t="s">
        <v>34</v>
      </c>
      <c r="BL3" s="195">
        <v>0.13453703703703704</v>
      </c>
      <c r="BM3" s="194" t="s">
        <v>34</v>
      </c>
      <c r="BN3" s="195">
        <v>0.4534606481481481</v>
      </c>
      <c r="BO3" s="194" t="s">
        <v>34</v>
      </c>
      <c r="BP3" s="195">
        <v>0.3269097222222222</v>
      </c>
      <c r="BQ3" s="194" t="s">
        <v>34</v>
      </c>
      <c r="BR3" s="195">
        <v>0.14895833333333333</v>
      </c>
      <c r="BS3" s="194" t="s">
        <v>34</v>
      </c>
      <c r="BT3" s="195">
        <v>0.21099537037037036</v>
      </c>
      <c r="BU3" s="194" t="s">
        <v>34</v>
      </c>
      <c r="BV3" s="195">
        <v>0.24623842592592593</v>
      </c>
      <c r="BW3" s="194" t="s">
        <v>34</v>
      </c>
      <c r="BX3" s="195">
        <v>0.28891203703703705</v>
      </c>
      <c r="BY3" s="194" t="s">
        <v>34</v>
      </c>
      <c r="BZ3" s="195">
        <v>0.5025694444444444</v>
      </c>
      <c r="CA3" s="194" t="s">
        <v>34</v>
      </c>
      <c r="CB3" s="195">
        <v>0.41280092592592593</v>
      </c>
      <c r="CC3" s="194" t="s">
        <v>34</v>
      </c>
      <c r="CD3" s="195">
        <v>0.046469907407407404</v>
      </c>
      <c r="CE3" s="194" t="s">
        <v>34</v>
      </c>
      <c r="CF3" s="195">
        <v>0.06796296296296296</v>
      </c>
      <c r="CG3" s="194" t="s">
        <v>34</v>
      </c>
      <c r="CH3" s="195">
        <v>0.07605324074074074</v>
      </c>
      <c r="CI3" s="194" t="s">
        <v>34</v>
      </c>
      <c r="CJ3" s="195">
        <v>0.08809027777777778</v>
      </c>
      <c r="CK3" s="194" t="s">
        <v>34</v>
      </c>
      <c r="CL3" s="195">
        <v>0.21311342592592591</v>
      </c>
      <c r="CM3" s="194" t="s">
        <v>34</v>
      </c>
      <c r="CN3" s="195">
        <v>0.04216435185185185</v>
      </c>
      <c r="CO3" s="194" t="s">
        <v>34</v>
      </c>
      <c r="CP3" s="195">
        <v>0.043958333333333335</v>
      </c>
      <c r="CQ3" s="194" t="s">
        <v>34</v>
      </c>
      <c r="CR3" s="195">
        <v>0.042986111111111114</v>
      </c>
      <c r="CS3" s="194" t="s">
        <v>34</v>
      </c>
      <c r="CT3" s="195">
        <v>0.026886574074074073</v>
      </c>
      <c r="CU3" s="194" t="s">
        <v>34</v>
      </c>
      <c r="CV3" s="195">
        <v>0.006400462962962963</v>
      </c>
      <c r="CW3" s="194" t="s">
        <v>34</v>
      </c>
      <c r="CX3" s="195">
        <v>0.007592592592592593</v>
      </c>
      <c r="CY3" s="194" t="s">
        <v>34</v>
      </c>
      <c r="CZ3" s="195">
        <v>0.0043518518518518515</v>
      </c>
      <c r="DA3" s="194" t="s">
        <v>34</v>
      </c>
      <c r="DB3" s="195">
        <v>0.012638888888888889</v>
      </c>
      <c r="DC3" s="194" t="s">
        <v>34</v>
      </c>
      <c r="DD3" s="195">
        <v>0.0031944444444444446</v>
      </c>
      <c r="DE3" s="194" t="s">
        <v>34</v>
      </c>
      <c r="DF3" s="195">
        <v>0.024189814814814813</v>
      </c>
      <c r="DG3" s="194" t="s">
        <v>34</v>
      </c>
      <c r="DH3" s="195">
        <v>3.788263888888889</v>
      </c>
      <c r="DI3" s="194" t="s">
        <v>55</v>
      </c>
      <c r="DJ3" s="195">
        <v>0.0028587962962962963</v>
      </c>
      <c r="DK3" s="194" t="s">
        <v>55</v>
      </c>
      <c r="DL3" s="195">
        <v>0.012835648148148148</v>
      </c>
      <c r="DM3" s="194" t="s">
        <v>56</v>
      </c>
      <c r="DN3" s="195">
        <v>0.024212962962962964</v>
      </c>
      <c r="DO3" s="194" t="s">
        <v>84</v>
      </c>
      <c r="DP3" s="195">
        <v>0.0012268518518518518</v>
      </c>
      <c r="DQ3" s="194" t="s">
        <v>84</v>
      </c>
      <c r="DR3" s="195">
        <v>0.0018402777777777777</v>
      </c>
      <c r="DS3" s="194" t="s">
        <v>55</v>
      </c>
      <c r="DT3" s="195">
        <v>0.005821759259259259</v>
      </c>
      <c r="DU3" s="194" t="s">
        <v>84</v>
      </c>
      <c r="DV3" s="195">
        <v>6.944444444444445E-4</v>
      </c>
      <c r="DW3" s="194" t="s">
        <v>55</v>
      </c>
      <c r="DX3" s="195">
        <v>0.0030324074074074073</v>
      </c>
      <c r="DY3" s="194" t="s">
        <v>56</v>
      </c>
      <c r="DZ3" s="195">
        <v>0.006840277777777778</v>
      </c>
      <c r="EA3" s="194" t="s">
        <v>34</v>
      </c>
      <c r="EB3" s="195">
        <v>0.0016203703703703703</v>
      </c>
      <c r="EC3" s="194" t="s">
        <v>34</v>
      </c>
      <c r="ED3" s="195">
        <v>2.199074074074074E-4</v>
      </c>
      <c r="EE3" s="194" t="s">
        <v>34</v>
      </c>
      <c r="EF3" s="195">
        <v>0.025277777777777777</v>
      </c>
      <c r="EG3" s="194" t="s">
        <v>55</v>
      </c>
      <c r="EH3" s="195">
        <v>0.017858796296296296</v>
      </c>
      <c r="EI3" s="194" t="s">
        <v>37</v>
      </c>
      <c r="EJ3" s="195">
        <v>0.0010648148148148149</v>
      </c>
      <c r="EK3" s="194" t="s">
        <v>56</v>
      </c>
      <c r="EL3" s="195">
        <v>0.012523148148148148</v>
      </c>
      <c r="EM3" s="194" t="s">
        <v>56</v>
      </c>
      <c r="EN3" s="195">
        <v>0.0954861111111111</v>
      </c>
      <c r="EO3" s="194" t="s">
        <v>55</v>
      </c>
      <c r="EP3" s="195">
        <v>0.006655092592592593</v>
      </c>
      <c r="EQ3" s="194" t="s">
        <v>73</v>
      </c>
      <c r="ER3" s="195">
        <v>0.010694444444444444</v>
      </c>
      <c r="ES3" s="194" t="s">
        <v>72</v>
      </c>
      <c r="ET3" s="195">
        <v>0.005451388888888889</v>
      </c>
      <c r="EU3" s="194" t="s">
        <v>26</v>
      </c>
      <c r="EV3" s="195">
        <v>0.055324074074074074</v>
      </c>
      <c r="EW3" s="194" t="s">
        <v>56</v>
      </c>
      <c r="EX3" s="195">
        <v>8.564814814814815E-4</v>
      </c>
      <c r="EY3" s="194" t="s">
        <v>73</v>
      </c>
      <c r="EZ3" s="195">
        <v>0.014791666666666667</v>
      </c>
      <c r="FA3" s="194" t="s">
        <v>73</v>
      </c>
      <c r="FB3" s="195">
        <v>0.028576388888888887</v>
      </c>
      <c r="FC3" s="194" t="s">
        <v>73</v>
      </c>
      <c r="FD3" s="195">
        <v>0.010925925925925926</v>
      </c>
      <c r="FE3" s="194" t="s">
        <v>73</v>
      </c>
      <c r="FF3" s="195">
        <v>0.007511574074074074</v>
      </c>
      <c r="FG3" s="194" t="s">
        <v>72</v>
      </c>
      <c r="FH3" s="195">
        <v>0.011574074074074073</v>
      </c>
      <c r="FI3" s="194" t="s">
        <v>73</v>
      </c>
      <c r="FJ3" s="195">
        <v>0.04488425925925926</v>
      </c>
      <c r="FK3" s="194" t="s">
        <v>84</v>
      </c>
      <c r="FL3" s="195">
        <v>3.7037037037037035E-4</v>
      </c>
      <c r="FM3" s="194" t="s">
        <v>56</v>
      </c>
      <c r="FN3" s="195">
        <v>0.003958333333333334</v>
      </c>
      <c r="FO3" s="194" t="s">
        <v>73</v>
      </c>
      <c r="FP3" s="195">
        <v>0.04567129629629629</v>
      </c>
      <c r="FQ3" s="194" t="s">
        <v>72</v>
      </c>
      <c r="FR3" s="195">
        <v>0.009085648148148148</v>
      </c>
      <c r="FS3" s="194" t="s">
        <v>72</v>
      </c>
      <c r="FT3" s="195">
        <v>3.8194444444444446E-4</v>
      </c>
      <c r="FU3" s="194" t="s">
        <v>55</v>
      </c>
      <c r="FV3" s="195">
        <v>0.013206018518518518</v>
      </c>
      <c r="FW3" s="194" t="s">
        <v>56</v>
      </c>
      <c r="FX3" s="195">
        <v>0.014004629629629629</v>
      </c>
      <c r="FY3" s="194" t="s">
        <v>37</v>
      </c>
      <c r="FZ3" s="195">
        <v>0.0010185185185185184</v>
      </c>
      <c r="GA3" s="194" t="s">
        <v>55</v>
      </c>
      <c r="GB3" s="195">
        <v>0.04043981481481482</v>
      </c>
      <c r="GC3" s="194" t="s">
        <v>55</v>
      </c>
      <c r="GD3" s="195">
        <v>0.08650462962962963</v>
      </c>
      <c r="GE3" s="194" t="s">
        <v>55</v>
      </c>
      <c r="GF3" s="195">
        <v>0.18141203703703704</v>
      </c>
      <c r="GG3" s="194" t="s">
        <v>55</v>
      </c>
      <c r="GH3" s="195">
        <v>0.21430555555555555</v>
      </c>
      <c r="GI3" s="185" t="s">
        <v>51</v>
      </c>
      <c r="GJ3" s="186">
        <v>0.013194444444444444</v>
      </c>
      <c r="GK3" s="185" t="s">
        <v>50</v>
      </c>
      <c r="GL3" s="186">
        <v>0.018206018518518517</v>
      </c>
      <c r="GM3" s="185" t="s">
        <v>53</v>
      </c>
      <c r="GN3" s="186">
        <v>0.14247685185185185</v>
      </c>
      <c r="GO3" s="187" t="s">
        <v>50</v>
      </c>
      <c r="GP3" s="188">
        <v>0.04601851851851852</v>
      </c>
      <c r="GQ3" s="187" t="s">
        <v>50</v>
      </c>
      <c r="GR3" s="188">
        <v>0.026296296296296297</v>
      </c>
      <c r="GS3" s="187" t="s">
        <v>51</v>
      </c>
      <c r="GT3" s="188">
        <v>0.027800925925925927</v>
      </c>
      <c r="GU3" s="187" t="s">
        <v>48</v>
      </c>
      <c r="GV3" s="188">
        <v>0.0034027777777777776</v>
      </c>
      <c r="GW3" s="190" t="s">
        <v>48</v>
      </c>
      <c r="GX3" s="191">
        <v>0.002002314814814815</v>
      </c>
      <c r="GY3" s="190" t="s">
        <v>48</v>
      </c>
      <c r="GZ3" s="191">
        <v>3.4722222222222224E-4</v>
      </c>
      <c r="HA3" s="190" t="s">
        <v>48</v>
      </c>
      <c r="HB3" s="191">
        <v>0.032025462962962964</v>
      </c>
      <c r="HC3" s="190" t="s">
        <v>48</v>
      </c>
      <c r="HD3" s="191">
        <v>0.020856481481481483</v>
      </c>
      <c r="HE3" s="190" t="s">
        <v>34</v>
      </c>
      <c r="HF3" s="191">
        <v>0.11644675925925926</v>
      </c>
      <c r="HG3" s="190" t="s">
        <v>34</v>
      </c>
      <c r="HH3" s="191">
        <v>0.11207175925925926</v>
      </c>
      <c r="HI3" s="190" t="s">
        <v>34</v>
      </c>
      <c r="HJ3" s="191">
        <v>0.24471064814814814</v>
      </c>
      <c r="HK3" s="190" t="s">
        <v>34</v>
      </c>
      <c r="HL3" s="191">
        <v>0.14475694444444445</v>
      </c>
      <c r="HM3" s="190" t="s">
        <v>48</v>
      </c>
      <c r="HN3" s="191">
        <v>3.8194444444444446E-4</v>
      </c>
      <c r="HO3" s="190" t="s">
        <v>48</v>
      </c>
      <c r="HP3" s="191">
        <v>0.0031018518518518517</v>
      </c>
      <c r="HQ3" s="190" t="s">
        <v>49</v>
      </c>
      <c r="HR3" s="191">
        <v>0.012604166666666666</v>
      </c>
      <c r="HS3" s="190" t="s">
        <v>50</v>
      </c>
      <c r="HT3" s="191">
        <v>0.04164351851851852</v>
      </c>
      <c r="HU3" s="190" t="s">
        <v>50</v>
      </c>
      <c r="HV3" s="191">
        <v>6.828703703703704E-4</v>
      </c>
      <c r="HW3" s="190" t="s">
        <v>50</v>
      </c>
      <c r="HX3" s="191">
        <v>0.013402777777777777</v>
      </c>
      <c r="HY3" s="187"/>
      <c r="HZ3" s="187"/>
      <c r="IA3" s="187"/>
      <c r="IB3" s="187"/>
      <c r="IC3" s="187"/>
      <c r="ID3" s="187"/>
      <c r="IE3" s="196" t="s">
        <v>84</v>
      </c>
      <c r="IF3" s="197">
        <v>0.02420138888888889</v>
      </c>
      <c r="IG3" s="178"/>
      <c r="IH3" s="196" t="s">
        <v>37</v>
      </c>
      <c r="II3" s="197">
        <v>0.014166666666666666</v>
      </c>
      <c r="IJ3" s="178"/>
      <c r="IK3" s="196" t="s">
        <v>37</v>
      </c>
      <c r="IL3" s="197">
        <v>0.20667824074074073</v>
      </c>
      <c r="IM3" s="196" t="s">
        <v>37</v>
      </c>
      <c r="IN3" s="197">
        <v>0.10185185185185185</v>
      </c>
      <c r="IO3" s="196" t="s">
        <v>37</v>
      </c>
      <c r="IP3" s="197">
        <v>0.12052083333333333</v>
      </c>
      <c r="IQ3" s="178"/>
      <c r="IR3" s="196" t="s">
        <v>37</v>
      </c>
      <c r="IS3" s="197">
        <v>0.10079861111111112</v>
      </c>
      <c r="IT3" s="178"/>
      <c r="IU3" s="196" t="s">
        <v>34</v>
      </c>
      <c r="IV3" s="197">
        <v>6.365740740740741E-4</v>
      </c>
      <c r="IW3" s="178"/>
      <c r="IX3" s="196" t="s">
        <v>34</v>
      </c>
      <c r="IY3" s="197">
        <v>0.11079861111111111</v>
      </c>
      <c r="IZ3" s="187" t="s">
        <v>37</v>
      </c>
      <c r="JA3" s="188">
        <v>0.09510416666666667</v>
      </c>
      <c r="JB3" s="187" t="s">
        <v>37</v>
      </c>
      <c r="JC3" s="188">
        <v>0.06436342592592592</v>
      </c>
      <c r="JD3" s="178"/>
    </row>
    <row r="4">
      <c r="A4" s="193"/>
      <c r="B4" s="193"/>
      <c r="C4" s="194" t="s">
        <v>23</v>
      </c>
      <c r="D4" s="195">
        <v>2.662037037037037E-4</v>
      </c>
      <c r="E4" s="194" t="s">
        <v>78</v>
      </c>
      <c r="F4" s="195">
        <v>0.0076851851851851855</v>
      </c>
      <c r="G4" s="194" t="s">
        <v>27</v>
      </c>
      <c r="H4" s="195">
        <v>3.587962962962963E-4</v>
      </c>
      <c r="I4" s="194" t="s">
        <v>78</v>
      </c>
      <c r="J4" s="195">
        <v>0.002766203703703704</v>
      </c>
      <c r="K4" s="194" t="s">
        <v>23</v>
      </c>
      <c r="L4" s="195">
        <v>3.2407407407407406E-4</v>
      </c>
      <c r="M4" s="194" t="s">
        <v>59</v>
      </c>
      <c r="N4" s="195">
        <v>0.12234953703703703</v>
      </c>
      <c r="O4" s="194" t="s">
        <v>56</v>
      </c>
      <c r="P4" s="195">
        <v>0.0022800925925925927</v>
      </c>
      <c r="Q4" s="194" t="s">
        <v>56</v>
      </c>
      <c r="R4" s="195">
        <v>0.00875</v>
      </c>
      <c r="S4" s="194" t="s">
        <v>91</v>
      </c>
      <c r="T4" s="195">
        <v>0.011458333333333333</v>
      </c>
      <c r="U4" s="194" t="s">
        <v>94</v>
      </c>
      <c r="V4" s="195">
        <v>1.5046296296296297E-4</v>
      </c>
      <c r="W4" s="194" t="s">
        <v>74</v>
      </c>
      <c r="X4" s="195">
        <v>0.005011574074074074</v>
      </c>
      <c r="Y4" s="194" t="s">
        <v>425</v>
      </c>
      <c r="Z4" s="195">
        <v>0.010613425925925925</v>
      </c>
      <c r="AA4" s="194" t="s">
        <v>72</v>
      </c>
      <c r="AB4" s="195">
        <v>0.026041666666666668</v>
      </c>
      <c r="AC4" s="194" t="s">
        <v>72</v>
      </c>
      <c r="AD4" s="195">
        <v>0.04840277777777778</v>
      </c>
      <c r="AE4" s="194" t="s">
        <v>72</v>
      </c>
      <c r="AF4" s="195">
        <v>0.0</v>
      </c>
      <c r="AG4" s="194" t="s">
        <v>55</v>
      </c>
      <c r="AH4" s="195">
        <v>0.008518518518518519</v>
      </c>
      <c r="AI4" s="194" t="s">
        <v>84</v>
      </c>
      <c r="AJ4" s="195">
        <v>0.0030324074074074073</v>
      </c>
      <c r="AK4" s="194" t="s">
        <v>84</v>
      </c>
      <c r="AL4" s="195">
        <v>0.050868055555555555</v>
      </c>
      <c r="AM4" s="194" t="s">
        <v>56</v>
      </c>
      <c r="AN4" s="195">
        <v>0.04833333333333333</v>
      </c>
      <c r="AO4" s="194" t="s">
        <v>56</v>
      </c>
      <c r="AP4" s="195">
        <v>0.19270833333333334</v>
      </c>
      <c r="AQ4" s="194" t="s">
        <v>55</v>
      </c>
      <c r="AR4" s="195">
        <v>0.1894675925925926</v>
      </c>
      <c r="AS4" s="194" t="s">
        <v>84</v>
      </c>
      <c r="AT4" s="195">
        <v>0.07699074074074073</v>
      </c>
      <c r="AU4" s="194" t="s">
        <v>84</v>
      </c>
      <c r="AV4" s="195">
        <v>0.14203703703703704</v>
      </c>
      <c r="AW4" s="194" t="s">
        <v>84</v>
      </c>
      <c r="AX4" s="195">
        <v>0.2797685185185185</v>
      </c>
      <c r="AY4" s="194" t="s">
        <v>84</v>
      </c>
      <c r="AZ4" s="195">
        <v>0.16620370370370371</v>
      </c>
      <c r="BA4" s="194" t="s">
        <v>84</v>
      </c>
      <c r="BB4" s="195">
        <v>0.1748148148148148</v>
      </c>
      <c r="BC4" s="194" t="s">
        <v>84</v>
      </c>
      <c r="BD4" s="195">
        <v>0.23052083333333334</v>
      </c>
      <c r="BE4" s="194" t="s">
        <v>84</v>
      </c>
      <c r="BF4" s="195">
        <v>0.13681712962962964</v>
      </c>
      <c r="BG4" s="194" t="s">
        <v>84</v>
      </c>
      <c r="BH4" s="195">
        <v>0.22033564814814816</v>
      </c>
      <c r="BI4" s="194" t="s">
        <v>84</v>
      </c>
      <c r="BJ4" s="195">
        <v>0.08019675925925926</v>
      </c>
      <c r="BK4" s="194" t="s">
        <v>84</v>
      </c>
      <c r="BL4" s="195">
        <v>0.14450231481481482</v>
      </c>
      <c r="BM4" s="194" t="s">
        <v>84</v>
      </c>
      <c r="BN4" s="195">
        <v>0.229375</v>
      </c>
      <c r="BO4" s="194" t="s">
        <v>84</v>
      </c>
      <c r="BP4" s="195">
        <v>0.14456018518518518</v>
      </c>
      <c r="BQ4" s="194" t="s">
        <v>84</v>
      </c>
      <c r="BR4" s="195">
        <v>0.16909722222222223</v>
      </c>
      <c r="BS4" s="194" t="s">
        <v>84</v>
      </c>
      <c r="BT4" s="195">
        <v>0.06826388888888889</v>
      </c>
      <c r="BU4" s="194" t="s">
        <v>84</v>
      </c>
      <c r="BV4" s="195">
        <v>0.028275462962962964</v>
      </c>
      <c r="BW4" s="194" t="s">
        <v>84</v>
      </c>
      <c r="BX4" s="195">
        <v>0.11023148148148149</v>
      </c>
      <c r="BY4" s="194" t="s">
        <v>84</v>
      </c>
      <c r="BZ4" s="195">
        <v>0.0699074074074074</v>
      </c>
      <c r="CA4" s="194" t="s">
        <v>84</v>
      </c>
      <c r="CB4" s="195">
        <v>0.08396990740740741</v>
      </c>
      <c r="CC4" s="194" t="s">
        <v>84</v>
      </c>
      <c r="CD4" s="195">
        <v>0.1869675925925926</v>
      </c>
      <c r="CE4" s="194" t="s">
        <v>84</v>
      </c>
      <c r="CF4" s="195">
        <v>0.14324074074074075</v>
      </c>
      <c r="CG4" s="194" t="s">
        <v>84</v>
      </c>
      <c r="CH4" s="195">
        <v>0.13679398148148147</v>
      </c>
      <c r="CI4" s="194" t="s">
        <v>84</v>
      </c>
      <c r="CJ4" s="195">
        <v>0.24881944444444445</v>
      </c>
      <c r="CK4" s="194" t="s">
        <v>84</v>
      </c>
      <c r="CL4" s="195">
        <v>0.20730324074074075</v>
      </c>
      <c r="CM4" s="194" t="s">
        <v>84</v>
      </c>
      <c r="CN4" s="195">
        <v>0.16836805555555556</v>
      </c>
      <c r="CO4" s="194" t="s">
        <v>84</v>
      </c>
      <c r="CP4" s="195">
        <v>0.1892939814814815</v>
      </c>
      <c r="CQ4" s="194" t="s">
        <v>84</v>
      </c>
      <c r="CR4" s="195">
        <v>0.12253472222222223</v>
      </c>
      <c r="CS4" s="194" t="s">
        <v>84</v>
      </c>
      <c r="CT4" s="195">
        <v>0.03208333333333333</v>
      </c>
      <c r="CU4" s="194" t="s">
        <v>84</v>
      </c>
      <c r="CV4" s="195">
        <v>0.09837962962962964</v>
      </c>
      <c r="CW4" s="194" t="s">
        <v>84</v>
      </c>
      <c r="CX4" s="195">
        <v>0.12112268518518518</v>
      </c>
      <c r="CY4" s="194" t="s">
        <v>84</v>
      </c>
      <c r="CZ4" s="195">
        <v>0.11715277777777777</v>
      </c>
      <c r="DA4" s="194" t="s">
        <v>84</v>
      </c>
      <c r="DB4" s="195">
        <v>0.06851851851851852</v>
      </c>
      <c r="DC4" s="194" t="s">
        <v>84</v>
      </c>
      <c r="DD4" s="195">
        <v>0.040625</v>
      </c>
      <c r="DE4" s="194" t="s">
        <v>84</v>
      </c>
      <c r="DF4" s="195">
        <v>0.15512731481481482</v>
      </c>
      <c r="DG4" s="194" t="s">
        <v>84</v>
      </c>
      <c r="DH4" s="195">
        <v>2.118692129629629</v>
      </c>
      <c r="DI4" s="194" t="s">
        <v>56</v>
      </c>
      <c r="DJ4" s="195">
        <v>0.13890046296296296</v>
      </c>
      <c r="DK4" s="194" t="s">
        <v>56</v>
      </c>
      <c r="DL4" s="195">
        <v>0.06633101851851853</v>
      </c>
      <c r="DM4" s="194" t="s">
        <v>72</v>
      </c>
      <c r="DN4" s="195">
        <v>0.00900462962962963</v>
      </c>
      <c r="DO4" s="194" t="s">
        <v>55</v>
      </c>
      <c r="DP4" s="195">
        <v>0.0039004629629629628</v>
      </c>
      <c r="DQ4" s="194" t="s">
        <v>55</v>
      </c>
      <c r="DR4" s="195">
        <v>0.013194444444444444</v>
      </c>
      <c r="DS4" s="194" t="s">
        <v>56</v>
      </c>
      <c r="DT4" s="195">
        <v>0.02201388888888889</v>
      </c>
      <c r="DU4" s="194" t="s">
        <v>55</v>
      </c>
      <c r="DV4" s="195">
        <v>0.012303240740740741</v>
      </c>
      <c r="DW4" s="194" t="s">
        <v>56</v>
      </c>
      <c r="DX4" s="195">
        <v>0.008310185185185184</v>
      </c>
      <c r="DY4" s="194" t="s">
        <v>72</v>
      </c>
      <c r="DZ4" s="195">
        <v>0.008935185185185185</v>
      </c>
      <c r="EA4" s="194" t="s">
        <v>84</v>
      </c>
      <c r="EB4" s="195">
        <v>1.5046296296296297E-4</v>
      </c>
      <c r="EC4" s="194" t="s">
        <v>84</v>
      </c>
      <c r="ED4" s="195">
        <v>0.0026157407407407405</v>
      </c>
      <c r="EE4" s="194" t="s">
        <v>56</v>
      </c>
      <c r="EF4" s="195">
        <v>0.10434027777777778</v>
      </c>
      <c r="EG4" s="194" t="s">
        <v>56</v>
      </c>
      <c r="EH4" s="195">
        <v>0.08335648148148148</v>
      </c>
      <c r="EI4" s="194" t="s">
        <v>73</v>
      </c>
      <c r="EJ4" s="195">
        <v>0.040706018518518516</v>
      </c>
      <c r="EK4" s="194" t="s">
        <v>73</v>
      </c>
      <c r="EL4" s="195">
        <v>0.04666666666666667</v>
      </c>
      <c r="EM4" s="194" t="s">
        <v>73</v>
      </c>
      <c r="EN4" s="195">
        <v>0.04760416666666667</v>
      </c>
      <c r="EO4" s="194" t="s">
        <v>56</v>
      </c>
      <c r="EP4" s="195">
        <v>0.05452546296296296</v>
      </c>
      <c r="EQ4" s="194" t="s">
        <v>26</v>
      </c>
      <c r="ER4" s="195">
        <v>0.00949074074074074</v>
      </c>
      <c r="ES4" s="194" t="s">
        <v>73</v>
      </c>
      <c r="ET4" s="195">
        <v>3.472222222222222E-5</v>
      </c>
      <c r="EU4" s="194" t="s">
        <v>74</v>
      </c>
      <c r="EV4" s="195">
        <v>0.001261574074074074</v>
      </c>
      <c r="EW4" s="194" t="s">
        <v>72</v>
      </c>
      <c r="EX4" s="195">
        <v>2.199074074074074E-4</v>
      </c>
      <c r="EY4" s="194" t="s">
        <v>26</v>
      </c>
      <c r="EZ4" s="195">
        <v>0.002777777777777778</v>
      </c>
      <c r="FA4" s="194" t="s">
        <v>26</v>
      </c>
      <c r="FB4" s="195">
        <v>0.10077546296296297</v>
      </c>
      <c r="FC4" s="194" t="s">
        <v>26</v>
      </c>
      <c r="FD4" s="195">
        <v>0.09059027777777778</v>
      </c>
      <c r="FE4" s="194" t="s">
        <v>26</v>
      </c>
      <c r="FF4" s="195">
        <v>0.1409837962962963</v>
      </c>
      <c r="FG4" s="194" t="s">
        <v>73</v>
      </c>
      <c r="FH4" s="195">
        <v>0.021701388888888888</v>
      </c>
      <c r="FI4" s="194" t="s">
        <v>26</v>
      </c>
      <c r="FJ4" s="195">
        <v>0.08164351851851852</v>
      </c>
      <c r="FK4" s="194" t="s">
        <v>55</v>
      </c>
      <c r="FL4" s="195">
        <v>0.012766203703703703</v>
      </c>
      <c r="FM4" s="194" t="s">
        <v>37</v>
      </c>
      <c r="FN4" s="195">
        <v>0.004594907407407408</v>
      </c>
      <c r="FO4" s="194" t="s">
        <v>26</v>
      </c>
      <c r="FP4" s="195">
        <v>0.001851851851851852</v>
      </c>
      <c r="FQ4" s="194" t="s">
        <v>73</v>
      </c>
      <c r="FR4" s="195">
        <v>0.06167824074074074</v>
      </c>
      <c r="FS4" s="194" t="s">
        <v>73</v>
      </c>
      <c r="FT4" s="195">
        <v>0.03490740740740741</v>
      </c>
      <c r="FU4" s="194" t="s">
        <v>56</v>
      </c>
      <c r="FV4" s="195">
        <v>1.273148148148148E-4</v>
      </c>
      <c r="FW4" s="194" t="s">
        <v>72</v>
      </c>
      <c r="FX4" s="195">
        <v>7.87037037037037E-4</v>
      </c>
      <c r="FY4" s="194" t="s">
        <v>73</v>
      </c>
      <c r="FZ4" s="195">
        <v>0.012303240740740741</v>
      </c>
      <c r="GA4" s="194" t="s">
        <v>37</v>
      </c>
      <c r="GB4" s="195">
        <v>0.008101851851851851</v>
      </c>
      <c r="GC4" s="194" t="s">
        <v>37</v>
      </c>
      <c r="GD4" s="195">
        <v>0.14480324074074075</v>
      </c>
      <c r="GE4" s="194" t="s">
        <v>37</v>
      </c>
      <c r="GF4" s="195">
        <v>0.33337962962962964</v>
      </c>
      <c r="GG4" s="194" t="s">
        <v>37</v>
      </c>
      <c r="GH4" s="195">
        <v>0.08824074074074074</v>
      </c>
      <c r="GI4" s="185" t="s">
        <v>52</v>
      </c>
      <c r="GJ4" s="186">
        <v>0.017060185185185185</v>
      </c>
      <c r="GK4" s="185" t="s">
        <v>52</v>
      </c>
      <c r="GL4" s="186">
        <v>0.013217592592592593</v>
      </c>
      <c r="GM4" s="185" t="s">
        <v>34</v>
      </c>
      <c r="GN4" s="186">
        <v>0.3385300925925926</v>
      </c>
      <c r="GO4" s="187" t="s">
        <v>53</v>
      </c>
      <c r="GP4" s="188">
        <v>0.09355324074074074</v>
      </c>
      <c r="GQ4" s="187" t="s">
        <v>51</v>
      </c>
      <c r="GR4" s="188">
        <v>0.013773148148148149</v>
      </c>
      <c r="GS4" s="187" t="s">
        <v>52</v>
      </c>
      <c r="GT4" s="188">
        <v>9.259259259259259E-5</v>
      </c>
      <c r="GU4" s="187" t="s">
        <v>50</v>
      </c>
      <c r="GV4" s="188">
        <v>0.01747685185185185</v>
      </c>
      <c r="GW4" s="190" t="s">
        <v>50</v>
      </c>
      <c r="GX4" s="191">
        <v>0.019710648148148147</v>
      </c>
      <c r="GY4" s="190" t="s">
        <v>50</v>
      </c>
      <c r="GZ4" s="191">
        <v>5.671296296296297E-4</v>
      </c>
      <c r="HA4" s="190" t="s">
        <v>49</v>
      </c>
      <c r="HB4" s="191">
        <v>0.008425925925925925</v>
      </c>
      <c r="HC4" s="190" t="s">
        <v>50</v>
      </c>
      <c r="HD4" s="191">
        <v>0.022881944444444444</v>
      </c>
      <c r="HE4" s="190" t="s">
        <v>37</v>
      </c>
      <c r="HF4" s="191">
        <v>0.23315972222222223</v>
      </c>
      <c r="HG4" s="190" t="s">
        <v>37</v>
      </c>
      <c r="HH4" s="191">
        <v>0.11172453703703704</v>
      </c>
      <c r="HI4" s="190" t="s">
        <v>37</v>
      </c>
      <c r="HJ4" s="191">
        <v>0.14561342592592594</v>
      </c>
      <c r="HK4" s="190" t="s">
        <v>37</v>
      </c>
      <c r="HL4" s="191">
        <v>0.13756944444444444</v>
      </c>
      <c r="HM4" s="190" t="s">
        <v>34</v>
      </c>
      <c r="HN4" s="191">
        <v>0.07587962962962963</v>
      </c>
      <c r="HO4" s="190" t="s">
        <v>34</v>
      </c>
      <c r="HP4" s="191">
        <v>0.08267361111111111</v>
      </c>
      <c r="HQ4" s="190" t="s">
        <v>50</v>
      </c>
      <c r="HR4" s="191">
        <v>0.011238425925925926</v>
      </c>
      <c r="HS4" s="190" t="s">
        <v>51</v>
      </c>
      <c r="HT4" s="191">
        <v>1.0416666666666667E-4</v>
      </c>
      <c r="HU4" s="190" t="s">
        <v>51</v>
      </c>
      <c r="HV4" s="191">
        <v>0.008356481481481482</v>
      </c>
      <c r="HW4" s="190" t="s">
        <v>34</v>
      </c>
      <c r="HX4" s="191">
        <v>0.20631944444444444</v>
      </c>
      <c r="HY4" s="187"/>
      <c r="HZ4" s="187"/>
      <c r="IA4" s="187"/>
      <c r="IB4" s="187"/>
      <c r="IC4" s="187"/>
      <c r="ID4" s="187"/>
      <c r="IE4" s="196" t="s">
        <v>37</v>
      </c>
      <c r="IF4" s="197">
        <v>0.01638888888888889</v>
      </c>
      <c r="IG4" s="178"/>
      <c r="IH4" s="196" t="s">
        <v>24</v>
      </c>
      <c r="II4" s="197">
        <v>0.031967592592592596</v>
      </c>
      <c r="IJ4" s="178"/>
      <c r="IK4" s="196" t="s">
        <v>24</v>
      </c>
      <c r="IL4" s="197">
        <v>0.0874074074074074</v>
      </c>
      <c r="IM4" s="196" t="s">
        <v>24</v>
      </c>
      <c r="IN4" s="197">
        <v>0.008229166666666666</v>
      </c>
      <c r="IO4" s="196" t="s">
        <v>24</v>
      </c>
      <c r="IP4" s="197">
        <v>1.273148148148148E-4</v>
      </c>
      <c r="IQ4" s="178"/>
      <c r="IR4" s="196" t="s">
        <v>26</v>
      </c>
      <c r="IS4" s="197">
        <v>1.7361111111111112E-4</v>
      </c>
      <c r="IT4" s="178"/>
      <c r="IU4" s="196" t="s">
        <v>37</v>
      </c>
      <c r="IV4" s="197">
        <v>0.17825231481481482</v>
      </c>
      <c r="IW4" s="178"/>
      <c r="IX4" s="196" t="s">
        <v>37</v>
      </c>
      <c r="IY4" s="197">
        <v>0.2300347222222222</v>
      </c>
      <c r="IZ4" s="187" t="s">
        <v>422</v>
      </c>
      <c r="JA4" s="188">
        <v>0.017858796296296296</v>
      </c>
      <c r="JB4" s="187" t="s">
        <v>26</v>
      </c>
      <c r="JC4" s="188">
        <v>2.546296296296296E-4</v>
      </c>
      <c r="JD4" s="178"/>
    </row>
    <row r="5">
      <c r="A5" s="193"/>
      <c r="B5" s="193"/>
      <c r="C5" s="194" t="s">
        <v>86</v>
      </c>
      <c r="D5" s="195">
        <v>0.003148148148148148</v>
      </c>
      <c r="E5" s="198" t="s">
        <v>20</v>
      </c>
      <c r="F5" s="199">
        <v>0.0015393518518518519</v>
      </c>
      <c r="G5" s="194" t="s">
        <v>97</v>
      </c>
      <c r="H5" s="195">
        <v>1.388888888888889E-4</v>
      </c>
      <c r="I5" s="194" t="s">
        <v>82</v>
      </c>
      <c r="J5" s="195">
        <v>0.0032291666666666666</v>
      </c>
      <c r="K5" s="194" t="s">
        <v>41</v>
      </c>
      <c r="L5" s="195">
        <v>0.005</v>
      </c>
      <c r="M5" s="194" t="s">
        <v>41</v>
      </c>
      <c r="N5" s="195">
        <v>0.006944444444444444</v>
      </c>
      <c r="O5" s="194" t="s">
        <v>26</v>
      </c>
      <c r="P5" s="195">
        <v>0.008113425925925927</v>
      </c>
      <c r="Q5" s="194" t="s">
        <v>73</v>
      </c>
      <c r="R5" s="195">
        <v>0.0</v>
      </c>
      <c r="S5" s="194" t="s">
        <v>33</v>
      </c>
      <c r="T5" s="195">
        <v>0.002199074074074074</v>
      </c>
      <c r="U5" s="194" t="s">
        <v>42</v>
      </c>
      <c r="V5" s="195">
        <v>0.0011342592592592593</v>
      </c>
      <c r="W5" s="194" t="s">
        <v>97</v>
      </c>
      <c r="X5" s="195">
        <v>0.0</v>
      </c>
      <c r="Y5" s="194" t="s">
        <v>97</v>
      </c>
      <c r="Z5" s="195">
        <v>0.0</v>
      </c>
      <c r="AA5" s="194" t="s">
        <v>73</v>
      </c>
      <c r="AB5" s="195">
        <v>0.01773148148148148</v>
      </c>
      <c r="AC5" s="194" t="s">
        <v>73</v>
      </c>
      <c r="AD5" s="195">
        <v>0.032337962962962964</v>
      </c>
      <c r="AE5" s="194" t="s">
        <v>73</v>
      </c>
      <c r="AF5" s="195">
        <v>1.7047453703703703</v>
      </c>
      <c r="AG5" s="194" t="s">
        <v>56</v>
      </c>
      <c r="AH5" s="195">
        <v>0.014386574074074074</v>
      </c>
      <c r="AI5" s="194" t="s">
        <v>55</v>
      </c>
      <c r="AJ5" s="195">
        <v>0.02533564814814815</v>
      </c>
      <c r="AK5" s="194" t="s">
        <v>55</v>
      </c>
      <c r="AL5" s="195">
        <v>0.024386574074074074</v>
      </c>
      <c r="AM5" s="194" t="s">
        <v>37</v>
      </c>
      <c r="AN5" s="195">
        <v>0.0069791666666666665</v>
      </c>
      <c r="AO5" s="194" t="s">
        <v>37</v>
      </c>
      <c r="AP5" s="195">
        <v>0.014085648148148147</v>
      </c>
      <c r="AQ5" s="194" t="s">
        <v>56</v>
      </c>
      <c r="AR5" s="195">
        <v>0.2903935185185185</v>
      </c>
      <c r="AS5" s="194" t="s">
        <v>55</v>
      </c>
      <c r="AT5" s="195">
        <v>0.14927083333333332</v>
      </c>
      <c r="AU5" s="194" t="s">
        <v>55</v>
      </c>
      <c r="AV5" s="195">
        <v>0.13427083333333334</v>
      </c>
      <c r="AW5" s="194" t="s">
        <v>55</v>
      </c>
      <c r="AX5" s="195">
        <v>0.23019675925925925</v>
      </c>
      <c r="AY5" s="194" t="s">
        <v>55</v>
      </c>
      <c r="AZ5" s="195">
        <v>0.13212962962962962</v>
      </c>
      <c r="BA5" s="194" t="s">
        <v>55</v>
      </c>
      <c r="BB5" s="195">
        <v>0.11542824074074073</v>
      </c>
      <c r="BC5" s="194" t="s">
        <v>55</v>
      </c>
      <c r="BD5" s="195">
        <v>0.1261574074074074</v>
      </c>
      <c r="BE5" s="194" t="s">
        <v>55</v>
      </c>
      <c r="BF5" s="195">
        <v>0.11927083333333334</v>
      </c>
      <c r="BG5" s="194" t="s">
        <v>55</v>
      </c>
      <c r="BH5" s="195">
        <v>0.07957175925925926</v>
      </c>
      <c r="BI5" s="194" t="s">
        <v>55</v>
      </c>
      <c r="BJ5" s="195">
        <v>0.06145833333333333</v>
      </c>
      <c r="BK5" s="194" t="s">
        <v>55</v>
      </c>
      <c r="BL5" s="195">
        <v>0.09699074074074074</v>
      </c>
      <c r="BM5" s="194" t="s">
        <v>55</v>
      </c>
      <c r="BN5" s="195">
        <v>0.2584606481481482</v>
      </c>
      <c r="BO5" s="194" t="s">
        <v>55</v>
      </c>
      <c r="BP5" s="195">
        <v>0.11575231481481481</v>
      </c>
      <c r="BQ5" s="194" t="s">
        <v>55</v>
      </c>
      <c r="BR5" s="195">
        <v>0.07891203703703703</v>
      </c>
      <c r="BS5" s="194" t="s">
        <v>55</v>
      </c>
      <c r="BT5" s="195">
        <v>0.04649305555555556</v>
      </c>
      <c r="BU5" s="194" t="s">
        <v>55</v>
      </c>
      <c r="BV5" s="195">
        <v>0.0253125</v>
      </c>
      <c r="BW5" s="194" t="s">
        <v>55</v>
      </c>
      <c r="BX5" s="195">
        <v>0.11961805555555556</v>
      </c>
      <c r="BY5" s="194" t="s">
        <v>55</v>
      </c>
      <c r="BZ5" s="195">
        <v>0.05246527777777778</v>
      </c>
      <c r="CA5" s="194" t="s">
        <v>55</v>
      </c>
      <c r="CB5" s="195">
        <v>0.1557175925925926</v>
      </c>
      <c r="CC5" s="194" t="s">
        <v>55</v>
      </c>
      <c r="CD5" s="195">
        <v>0.036516203703703703</v>
      </c>
      <c r="CE5" s="194" t="s">
        <v>55</v>
      </c>
      <c r="CF5" s="195">
        <v>0.05070601851851852</v>
      </c>
      <c r="CG5" s="194" t="s">
        <v>55</v>
      </c>
      <c r="CH5" s="195">
        <v>0.03784722222222222</v>
      </c>
      <c r="CI5" s="194" t="s">
        <v>55</v>
      </c>
      <c r="CJ5" s="195">
        <v>0.08542824074074074</v>
      </c>
      <c r="CK5" s="194" t="s">
        <v>55</v>
      </c>
      <c r="CL5" s="195">
        <v>0.1575925925925926</v>
      </c>
      <c r="CM5" s="194" t="s">
        <v>55</v>
      </c>
      <c r="CN5" s="195">
        <v>0.10309027777777778</v>
      </c>
      <c r="CO5" s="194" t="s">
        <v>55</v>
      </c>
      <c r="CP5" s="195">
        <v>0.08513888888888889</v>
      </c>
      <c r="CQ5" s="194" t="s">
        <v>55</v>
      </c>
      <c r="CR5" s="195">
        <v>0.06769675925925926</v>
      </c>
      <c r="CS5" s="194" t="s">
        <v>55</v>
      </c>
      <c r="CT5" s="195">
        <v>0.17528935185185185</v>
      </c>
      <c r="CU5" s="194" t="s">
        <v>55</v>
      </c>
      <c r="CV5" s="195">
        <v>0.05108796296296296</v>
      </c>
      <c r="CW5" s="194" t="s">
        <v>55</v>
      </c>
      <c r="CX5" s="195">
        <v>0.05959490740740741</v>
      </c>
      <c r="CY5" s="194" t="s">
        <v>55</v>
      </c>
      <c r="CZ5" s="195">
        <v>0.22881944444444444</v>
      </c>
      <c r="DA5" s="194" t="s">
        <v>55</v>
      </c>
      <c r="DB5" s="195">
        <v>0.21206018518518518</v>
      </c>
      <c r="DC5" s="194" t="s">
        <v>55</v>
      </c>
      <c r="DD5" s="195">
        <v>0.14298611111111112</v>
      </c>
      <c r="DE5" s="194" t="s">
        <v>55</v>
      </c>
      <c r="DF5" s="195">
        <v>0.1257638888888889</v>
      </c>
      <c r="DG5" s="194" t="s">
        <v>55</v>
      </c>
      <c r="DH5" s="195">
        <v>2.531840277777777</v>
      </c>
      <c r="DI5" s="194" t="s">
        <v>37</v>
      </c>
      <c r="DJ5" s="195">
        <v>2.662037037037037E-4</v>
      </c>
      <c r="DK5" s="194" t="s">
        <v>72</v>
      </c>
      <c r="DL5" s="195">
        <v>3.7037037037037035E-4</v>
      </c>
      <c r="DM5" s="194" t="s">
        <v>73</v>
      </c>
      <c r="DN5" s="195">
        <v>0.01511574074074074</v>
      </c>
      <c r="DO5" s="194" t="s">
        <v>56</v>
      </c>
      <c r="DP5" s="195">
        <v>0.0024074074074074076</v>
      </c>
      <c r="DQ5" s="194" t="s">
        <v>56</v>
      </c>
      <c r="DR5" s="195">
        <v>0.09275462962962963</v>
      </c>
      <c r="DS5" s="194" t="s">
        <v>37</v>
      </c>
      <c r="DT5" s="195">
        <v>2.199074074074074E-4</v>
      </c>
      <c r="DU5" s="194" t="s">
        <v>56</v>
      </c>
      <c r="DV5" s="195">
        <v>0.1149537037037037</v>
      </c>
      <c r="DW5" s="194" t="s">
        <v>73</v>
      </c>
      <c r="DX5" s="195">
        <v>0.001875</v>
      </c>
      <c r="DY5" s="194" t="s">
        <v>26</v>
      </c>
      <c r="DZ5" s="195">
        <v>0.0010879629629629629</v>
      </c>
      <c r="EA5" s="194" t="s">
        <v>55</v>
      </c>
      <c r="EB5" s="195">
        <v>1.7361111111111112E-4</v>
      </c>
      <c r="EC5" s="194" t="s">
        <v>55</v>
      </c>
      <c r="ED5" s="195">
        <v>0.01318287037037037</v>
      </c>
      <c r="EE5" s="194" t="s">
        <v>72</v>
      </c>
      <c r="EF5" s="195">
        <v>0.01105324074074074</v>
      </c>
      <c r="EG5" s="194" t="s">
        <v>73</v>
      </c>
      <c r="EH5" s="195">
        <v>0.06195601851851852</v>
      </c>
      <c r="EI5" s="194" t="s">
        <v>26</v>
      </c>
      <c r="EJ5" s="195">
        <v>0.023391203703703702</v>
      </c>
      <c r="EK5" s="194" t="s">
        <v>26</v>
      </c>
      <c r="EL5" s="195">
        <v>0.06305555555555556</v>
      </c>
      <c r="EM5" s="194" t="s">
        <v>26</v>
      </c>
      <c r="EN5" s="195">
        <v>0.07719907407407407</v>
      </c>
      <c r="EO5" s="194" t="s">
        <v>72</v>
      </c>
      <c r="EP5" s="195">
        <v>4.166666666666667E-4</v>
      </c>
      <c r="EQ5" s="194" t="s">
        <v>74</v>
      </c>
      <c r="ER5" s="195">
        <v>0.016030092592592592</v>
      </c>
      <c r="ES5" s="194" t="s">
        <v>26</v>
      </c>
      <c r="ET5" s="195">
        <v>0.053009259259259256</v>
      </c>
      <c r="EU5" s="194" t="s">
        <v>58</v>
      </c>
      <c r="EV5" s="195">
        <v>0.011956018518518519</v>
      </c>
      <c r="EW5" s="194" t="s">
        <v>73</v>
      </c>
      <c r="EX5" s="195">
        <v>0.014699074074074074</v>
      </c>
      <c r="EY5" s="194" t="s">
        <v>74</v>
      </c>
      <c r="EZ5" s="195">
        <v>0.028055555555555556</v>
      </c>
      <c r="FA5" s="194" t="s">
        <v>49</v>
      </c>
      <c r="FB5" s="195">
        <v>0.001412037037037037</v>
      </c>
      <c r="FC5" s="194" t="s">
        <v>75</v>
      </c>
      <c r="FD5" s="195">
        <v>0.001979166666666667</v>
      </c>
      <c r="FE5" s="194" t="s">
        <v>58</v>
      </c>
      <c r="FF5" s="195">
        <v>0.014456018518518519</v>
      </c>
      <c r="FG5" s="194" t="s">
        <v>26</v>
      </c>
      <c r="FH5" s="195">
        <v>0.09251157407407408</v>
      </c>
      <c r="FI5" s="194" t="s">
        <v>89</v>
      </c>
      <c r="FJ5" s="195">
        <v>0.021631944444444443</v>
      </c>
      <c r="FK5" s="194" t="s">
        <v>56</v>
      </c>
      <c r="FL5" s="195">
        <v>8.796296296296296E-4</v>
      </c>
      <c r="FM5" s="194" t="s">
        <v>72</v>
      </c>
      <c r="FN5" s="195">
        <v>1.5046296296296297E-4</v>
      </c>
      <c r="FO5" s="194" t="s">
        <v>74</v>
      </c>
      <c r="FP5" s="195">
        <v>0.04833333333333333</v>
      </c>
      <c r="FQ5" s="194" t="s">
        <v>26</v>
      </c>
      <c r="FR5" s="195">
        <v>0.012835648148148148</v>
      </c>
      <c r="FS5" s="194" t="s">
        <v>26</v>
      </c>
      <c r="FT5" s="195">
        <v>0.1375810185185185</v>
      </c>
      <c r="FU5" s="194" t="s">
        <v>72</v>
      </c>
      <c r="FV5" s="195">
        <v>0.010428240740740741</v>
      </c>
      <c r="FW5" s="194" t="s">
        <v>73</v>
      </c>
      <c r="FX5" s="195">
        <v>0.013113425925925926</v>
      </c>
      <c r="FY5" s="194" t="s">
        <v>74</v>
      </c>
      <c r="FZ5" s="195">
        <v>0.010914351851851852</v>
      </c>
      <c r="GA5" s="194" t="s">
        <v>73</v>
      </c>
      <c r="GB5" s="195">
        <v>0.11371527777777778</v>
      </c>
      <c r="GC5" s="194" t="s">
        <v>72</v>
      </c>
      <c r="GD5" s="195">
        <v>0.010104166666666666</v>
      </c>
      <c r="GE5" s="194" t="s">
        <v>73</v>
      </c>
      <c r="GF5" s="195">
        <v>0.1724537037037037</v>
      </c>
      <c r="GG5" s="194" t="s">
        <v>72</v>
      </c>
      <c r="GH5" s="195">
        <v>0.0036458333333333334</v>
      </c>
      <c r="GI5" s="185" t="s">
        <v>53</v>
      </c>
      <c r="GJ5" s="186">
        <v>0.06299768518518518</v>
      </c>
      <c r="GK5" s="185" t="s">
        <v>53</v>
      </c>
      <c r="GL5" s="186">
        <v>0.18335648148148148</v>
      </c>
      <c r="GM5" s="185" t="s">
        <v>37</v>
      </c>
      <c r="GN5" s="186">
        <v>0.002037037037037037</v>
      </c>
      <c r="GO5" s="187" t="s">
        <v>34</v>
      </c>
      <c r="GP5" s="188">
        <v>0.37519675925925927</v>
      </c>
      <c r="GQ5" s="187" t="s">
        <v>53</v>
      </c>
      <c r="GR5" s="188">
        <v>0.24456018518518519</v>
      </c>
      <c r="GS5" s="187" t="s">
        <v>53</v>
      </c>
      <c r="GT5" s="188">
        <v>0.13947916666666665</v>
      </c>
      <c r="GU5" s="187" t="s">
        <v>51</v>
      </c>
      <c r="GV5" s="188">
        <v>0.00949074074074074</v>
      </c>
      <c r="GW5" s="190" t="s">
        <v>51</v>
      </c>
      <c r="GX5" s="191">
        <v>1.8518518518518518E-4</v>
      </c>
      <c r="GY5" s="190" t="s">
        <v>34</v>
      </c>
      <c r="GZ5" s="191">
        <v>0.49855324074074076</v>
      </c>
      <c r="HA5" s="190" t="s">
        <v>50</v>
      </c>
      <c r="HB5" s="191">
        <v>0.03671296296296296</v>
      </c>
      <c r="HC5" s="190" t="s">
        <v>51</v>
      </c>
      <c r="HD5" s="191">
        <v>0.06393518518518519</v>
      </c>
      <c r="HE5" s="190" t="s">
        <v>26</v>
      </c>
      <c r="HF5" s="191">
        <v>1.7361111111111112E-4</v>
      </c>
      <c r="HG5" s="190" t="s">
        <v>26</v>
      </c>
      <c r="HH5" s="191">
        <v>6.944444444444444E-5</v>
      </c>
      <c r="HI5" s="190" t="s">
        <v>26</v>
      </c>
      <c r="HJ5" s="191">
        <v>0.004421296296296296</v>
      </c>
      <c r="HK5" s="190" t="s">
        <v>422</v>
      </c>
      <c r="HL5" s="191">
        <v>6.018518518518519E-4</v>
      </c>
      <c r="HM5" s="190" t="s">
        <v>37</v>
      </c>
      <c r="HN5" s="191">
        <v>0.04310185185185185</v>
      </c>
      <c r="HO5" s="190" t="s">
        <v>37</v>
      </c>
      <c r="HP5" s="191">
        <v>0.050659722222222224</v>
      </c>
      <c r="HQ5" s="190" t="s">
        <v>34</v>
      </c>
      <c r="HR5" s="191">
        <v>0.12372685185185185</v>
      </c>
      <c r="HS5" s="190" t="s">
        <v>34</v>
      </c>
      <c r="HT5" s="191">
        <v>0.1557638888888889</v>
      </c>
      <c r="HU5" s="190" t="s">
        <v>52</v>
      </c>
      <c r="HV5" s="191">
        <v>0.014756944444444444</v>
      </c>
      <c r="HW5" s="190" t="s">
        <v>37</v>
      </c>
      <c r="HX5" s="191">
        <v>0.05395833333333333</v>
      </c>
      <c r="HY5" s="187"/>
      <c r="HZ5" s="187"/>
      <c r="IA5" s="187"/>
      <c r="IB5" s="187"/>
      <c r="IC5" s="187"/>
      <c r="ID5" s="187"/>
      <c r="IE5" s="196" t="s">
        <v>58</v>
      </c>
      <c r="IF5" s="197">
        <v>0.01273148148148148</v>
      </c>
      <c r="IG5" s="178"/>
      <c r="IH5" s="196" t="s">
        <v>422</v>
      </c>
      <c r="II5" s="197">
        <v>0.01994212962962963</v>
      </c>
      <c r="IJ5" s="178"/>
      <c r="IK5" s="196" t="s">
        <v>422</v>
      </c>
      <c r="IL5" s="197">
        <v>0.011655092592592592</v>
      </c>
      <c r="IM5" s="196" t="s">
        <v>422</v>
      </c>
      <c r="IN5" s="197">
        <v>0.009340277777777777</v>
      </c>
      <c r="IO5" s="196" t="s">
        <v>422</v>
      </c>
      <c r="IP5" s="197">
        <v>0.013414351851851853</v>
      </c>
      <c r="IQ5" s="178"/>
      <c r="IR5" s="196" t="s">
        <v>24</v>
      </c>
      <c r="IS5" s="197">
        <v>0.012372685185185184</v>
      </c>
      <c r="IT5" s="178"/>
      <c r="IU5" s="196" t="s">
        <v>463</v>
      </c>
      <c r="IV5" s="197">
        <v>0.013472222222222222</v>
      </c>
      <c r="IW5" s="178"/>
      <c r="IX5" s="196" t="s">
        <v>422</v>
      </c>
      <c r="IY5" s="197">
        <v>0.003472222222222222</v>
      </c>
      <c r="IZ5" s="187" t="s">
        <v>463</v>
      </c>
      <c r="JA5" s="188">
        <v>0.02619212962962963</v>
      </c>
      <c r="JB5" s="187" t="s">
        <v>422</v>
      </c>
      <c r="JC5" s="188">
        <v>0.009930555555555555</v>
      </c>
      <c r="JD5" s="178"/>
    </row>
    <row r="6">
      <c r="A6" s="193"/>
      <c r="B6" s="193"/>
      <c r="C6" s="194" t="s">
        <v>52</v>
      </c>
      <c r="D6" s="195">
        <v>1.388888888888889E-4</v>
      </c>
      <c r="E6" s="193"/>
      <c r="F6" s="193"/>
      <c r="G6" s="194" t="s">
        <v>40</v>
      </c>
      <c r="H6" s="195">
        <v>0.0018981481481481482</v>
      </c>
      <c r="I6" s="198" t="s">
        <v>41</v>
      </c>
      <c r="J6" s="199">
        <v>0.005277777777777778</v>
      </c>
      <c r="K6" s="198" t="s">
        <v>30</v>
      </c>
      <c r="L6" s="199">
        <v>0.001099537037037037</v>
      </c>
      <c r="M6" s="194" t="s">
        <v>83</v>
      </c>
      <c r="N6" s="195">
        <v>0.0</v>
      </c>
      <c r="O6" s="194" t="s">
        <v>58</v>
      </c>
      <c r="P6" s="195">
        <v>0.004791666666666666</v>
      </c>
      <c r="Q6" s="194" t="s">
        <v>58</v>
      </c>
      <c r="R6" s="195">
        <v>0.006354166666666667</v>
      </c>
      <c r="S6" s="198" t="s">
        <v>61</v>
      </c>
      <c r="T6" s="199">
        <v>0.003263888888888889</v>
      </c>
      <c r="U6" s="194" t="s">
        <v>96</v>
      </c>
      <c r="V6" s="195">
        <v>8.101851851851852E-5</v>
      </c>
      <c r="W6" s="194" t="s">
        <v>44</v>
      </c>
      <c r="X6" s="195">
        <v>0.004560185185185185</v>
      </c>
      <c r="Y6" s="194" t="s">
        <v>101</v>
      </c>
      <c r="Z6" s="195">
        <v>1.9675925925925926E-4</v>
      </c>
      <c r="AA6" s="194" t="s">
        <v>74</v>
      </c>
      <c r="AB6" s="195">
        <v>0.041712962962962966</v>
      </c>
      <c r="AC6" s="194" t="s">
        <v>74</v>
      </c>
      <c r="AD6" s="195">
        <v>0.014756944444444444</v>
      </c>
      <c r="AE6" s="194" t="s">
        <v>74</v>
      </c>
      <c r="AF6" s="195">
        <v>5.555555555555556E-4</v>
      </c>
      <c r="AG6" s="194" t="s">
        <v>37</v>
      </c>
      <c r="AH6" s="195">
        <v>0.0038541666666666668</v>
      </c>
      <c r="AI6" s="194" t="s">
        <v>56</v>
      </c>
      <c r="AJ6" s="195">
        <v>0.0433912037037037</v>
      </c>
      <c r="AK6" s="194" t="s">
        <v>56</v>
      </c>
      <c r="AL6" s="195">
        <v>0.023993055555555556</v>
      </c>
      <c r="AM6" s="194" t="s">
        <v>72</v>
      </c>
      <c r="AN6" s="195">
        <v>0.06299768518518518</v>
      </c>
      <c r="AO6" s="194" t="s">
        <v>72</v>
      </c>
      <c r="AP6" s="195">
        <v>0.041631944444444444</v>
      </c>
      <c r="AQ6" s="194" t="s">
        <v>37</v>
      </c>
      <c r="AR6" s="195">
        <v>9.027777777777777E-4</v>
      </c>
      <c r="AS6" s="194" t="s">
        <v>56</v>
      </c>
      <c r="AT6" s="195">
        <v>0.08179398148148148</v>
      </c>
      <c r="AU6" s="194" t="s">
        <v>56</v>
      </c>
      <c r="AV6" s="195">
        <v>0.21986111111111112</v>
      </c>
      <c r="AW6" s="194" t="s">
        <v>56</v>
      </c>
      <c r="AX6" s="195">
        <v>0.23900462962962962</v>
      </c>
      <c r="AY6" s="194" t="s">
        <v>56</v>
      </c>
      <c r="AZ6" s="195">
        <v>0.29113425925925923</v>
      </c>
      <c r="BA6" s="194" t="s">
        <v>56</v>
      </c>
      <c r="BB6" s="195">
        <v>0.20618055555555556</v>
      </c>
      <c r="BC6" s="194" t="s">
        <v>56</v>
      </c>
      <c r="BD6" s="195">
        <v>0.22359953703703703</v>
      </c>
      <c r="BE6" s="194" t="s">
        <v>56</v>
      </c>
      <c r="BF6" s="195">
        <v>0.15491898148148148</v>
      </c>
      <c r="BG6" s="194" t="s">
        <v>56</v>
      </c>
      <c r="BH6" s="195">
        <v>0.18134259259259258</v>
      </c>
      <c r="BI6" s="194" t="s">
        <v>56</v>
      </c>
      <c r="BJ6" s="195">
        <v>0.11358796296296296</v>
      </c>
      <c r="BK6" s="194" t="s">
        <v>56</v>
      </c>
      <c r="BL6" s="195">
        <v>0.22925925925925925</v>
      </c>
      <c r="BM6" s="194" t="s">
        <v>56</v>
      </c>
      <c r="BN6" s="195">
        <v>0.22836805555555556</v>
      </c>
      <c r="BO6" s="194" t="s">
        <v>56</v>
      </c>
      <c r="BP6" s="195">
        <v>0.11028935185185185</v>
      </c>
      <c r="BQ6" s="194" t="s">
        <v>56</v>
      </c>
      <c r="BR6" s="195">
        <v>0.0722337962962963</v>
      </c>
      <c r="BS6" s="194" t="s">
        <v>56</v>
      </c>
      <c r="BT6" s="195">
        <v>0.02199074074074074</v>
      </c>
      <c r="BU6" s="194" t="s">
        <v>56</v>
      </c>
      <c r="BV6" s="195">
        <v>0.043287037037037034</v>
      </c>
      <c r="BW6" s="194" t="s">
        <v>56</v>
      </c>
      <c r="BX6" s="195">
        <v>0.06475694444444445</v>
      </c>
      <c r="BY6" s="194" t="s">
        <v>56</v>
      </c>
      <c r="BZ6" s="195">
        <v>0.14309027777777777</v>
      </c>
      <c r="CA6" s="194" t="s">
        <v>56</v>
      </c>
      <c r="CB6" s="195">
        <v>0.017094907407407406</v>
      </c>
      <c r="CC6" s="194" t="s">
        <v>56</v>
      </c>
      <c r="CD6" s="195">
        <v>0.0804861111111111</v>
      </c>
      <c r="CE6" s="194" t="s">
        <v>56</v>
      </c>
      <c r="CF6" s="195">
        <v>0.026504629629629628</v>
      </c>
      <c r="CG6" s="194" t="s">
        <v>56</v>
      </c>
      <c r="CH6" s="195">
        <v>0.09959490740740741</v>
      </c>
      <c r="CI6" s="194" t="s">
        <v>56</v>
      </c>
      <c r="CJ6" s="195">
        <v>0.013310185185185185</v>
      </c>
      <c r="CK6" s="194" t="s">
        <v>56</v>
      </c>
      <c r="CL6" s="195">
        <v>0.05710648148148148</v>
      </c>
      <c r="CM6" s="194" t="s">
        <v>56</v>
      </c>
      <c r="CN6" s="195">
        <v>0.07296296296296297</v>
      </c>
      <c r="CO6" s="194" t="s">
        <v>56</v>
      </c>
      <c r="CP6" s="195">
        <v>0.08716435185185185</v>
      </c>
      <c r="CQ6" s="194" t="s">
        <v>56</v>
      </c>
      <c r="CR6" s="195">
        <v>0.010775462962962962</v>
      </c>
      <c r="CS6" s="194" t="s">
        <v>56</v>
      </c>
      <c r="CT6" s="195">
        <v>0.022002314814814815</v>
      </c>
      <c r="CU6" s="194" t="s">
        <v>56</v>
      </c>
      <c r="CV6" s="195">
        <v>0.042118055555555554</v>
      </c>
      <c r="CW6" s="194" t="s">
        <v>56</v>
      </c>
      <c r="CX6" s="195">
        <v>0.0012962962962962963</v>
      </c>
      <c r="CY6" s="194" t="s">
        <v>56</v>
      </c>
      <c r="CZ6" s="195">
        <v>0.006574074074074074</v>
      </c>
      <c r="DA6" s="194" t="s">
        <v>56</v>
      </c>
      <c r="DB6" s="195">
        <v>0.0014699074074074074</v>
      </c>
      <c r="DC6" s="194" t="s">
        <v>56</v>
      </c>
      <c r="DD6" s="195">
        <v>0.019444444444444445</v>
      </c>
      <c r="DE6" s="194" t="s">
        <v>56</v>
      </c>
      <c r="DF6" s="195">
        <v>0.0070023148148148145</v>
      </c>
      <c r="DG6" s="194" t="s">
        <v>56</v>
      </c>
      <c r="DH6" s="195">
        <v>2.856006944444445</v>
      </c>
      <c r="DI6" s="194" t="s">
        <v>72</v>
      </c>
      <c r="DJ6" s="195">
        <v>0.004918981481481482</v>
      </c>
      <c r="DK6" s="194" t="s">
        <v>73</v>
      </c>
      <c r="DL6" s="195">
        <v>0.0010185185185185184</v>
      </c>
      <c r="DM6" s="194" t="s">
        <v>26</v>
      </c>
      <c r="DN6" s="195">
        <v>0.038530092592592595</v>
      </c>
      <c r="DO6" s="194" t="s">
        <v>72</v>
      </c>
      <c r="DP6" s="195">
        <v>0.021261574074074075</v>
      </c>
      <c r="DQ6" s="194" t="s">
        <v>73</v>
      </c>
      <c r="DR6" s="195">
        <v>4.398148148148148E-4</v>
      </c>
      <c r="DS6" s="194" t="s">
        <v>26</v>
      </c>
      <c r="DT6" s="195">
        <v>0.016238425925925927</v>
      </c>
      <c r="DU6" s="194" t="s">
        <v>73</v>
      </c>
      <c r="DV6" s="195">
        <v>0.003460648148148148</v>
      </c>
      <c r="DW6" s="194" t="s">
        <v>26</v>
      </c>
      <c r="DX6" s="195">
        <v>0.01957175925925926</v>
      </c>
      <c r="DY6" s="194" t="s">
        <v>75</v>
      </c>
      <c r="DZ6" s="195">
        <v>4.5138888888888887E-4</v>
      </c>
      <c r="EA6" s="194" t="s">
        <v>56</v>
      </c>
      <c r="EB6" s="195">
        <v>0.0284375</v>
      </c>
      <c r="EC6" s="194" t="s">
        <v>56</v>
      </c>
      <c r="ED6" s="195">
        <v>0.15140046296296297</v>
      </c>
      <c r="EE6" s="194" t="s">
        <v>73</v>
      </c>
      <c r="EF6" s="195">
        <v>0.021122685185185185</v>
      </c>
      <c r="EG6" s="194" t="s">
        <v>26</v>
      </c>
      <c r="EH6" s="195">
        <v>0.04203703703703704</v>
      </c>
      <c r="EI6" s="194" t="s">
        <v>89</v>
      </c>
      <c r="EJ6" s="195">
        <v>0.18068287037037037</v>
      </c>
      <c r="EK6" s="194" t="s">
        <v>49</v>
      </c>
      <c r="EL6" s="195">
        <v>0.0015162037037037036</v>
      </c>
      <c r="EM6" s="194" t="s">
        <v>75</v>
      </c>
      <c r="EN6" s="195">
        <v>5.902777777777778E-4</v>
      </c>
      <c r="EO6" s="194" t="s">
        <v>73</v>
      </c>
      <c r="EP6" s="195">
        <v>0.009305555555555555</v>
      </c>
      <c r="EQ6" s="194" t="s">
        <v>75</v>
      </c>
      <c r="ER6" s="195">
        <v>0.012789351851851852</v>
      </c>
      <c r="ES6" s="194" t="s">
        <v>74</v>
      </c>
      <c r="ET6" s="195">
        <v>0.006643518518518518</v>
      </c>
      <c r="EU6" s="194" t="s">
        <v>75</v>
      </c>
      <c r="EV6" s="195">
        <v>0.0025810185185185185</v>
      </c>
      <c r="EW6" s="194" t="s">
        <v>26</v>
      </c>
      <c r="EX6" s="195">
        <v>0.06962962962962962</v>
      </c>
      <c r="EY6" s="194" t="s">
        <v>89</v>
      </c>
      <c r="EZ6" s="195">
        <v>0.08380787037037037</v>
      </c>
      <c r="FA6" s="194" t="s">
        <v>89</v>
      </c>
      <c r="FB6" s="195">
        <v>0.014004629629629629</v>
      </c>
      <c r="FC6" s="194" t="s">
        <v>49</v>
      </c>
      <c r="FD6" s="195">
        <v>0.0015046296296296296</v>
      </c>
      <c r="FE6" s="194" t="s">
        <v>89</v>
      </c>
      <c r="FF6" s="195">
        <v>0.03803240740740741</v>
      </c>
      <c r="FG6" s="194" t="s">
        <v>74</v>
      </c>
      <c r="FH6" s="195">
        <v>0.006307870370370371</v>
      </c>
      <c r="FI6" s="194" t="s">
        <v>425</v>
      </c>
      <c r="FJ6" s="195">
        <v>0.011689814814814814</v>
      </c>
      <c r="FK6" s="194" t="s">
        <v>72</v>
      </c>
      <c r="FL6" s="195">
        <v>0.0020601851851851853</v>
      </c>
      <c r="FM6" s="194" t="s">
        <v>73</v>
      </c>
      <c r="FN6" s="195">
        <v>0.029756944444444444</v>
      </c>
      <c r="FO6" s="194" t="s">
        <v>75</v>
      </c>
      <c r="FP6" s="195">
        <v>0.014733796296296297</v>
      </c>
      <c r="FQ6" s="194" t="s">
        <v>74</v>
      </c>
      <c r="FR6" s="195">
        <v>0.05568287037037037</v>
      </c>
      <c r="FS6" s="194" t="s">
        <v>74</v>
      </c>
      <c r="FT6" s="195">
        <v>0.03636574074074074</v>
      </c>
      <c r="FU6" s="194" t="s">
        <v>73</v>
      </c>
      <c r="FV6" s="195">
        <v>0.022939814814814816</v>
      </c>
      <c r="FW6" s="194" t="s">
        <v>26</v>
      </c>
      <c r="FX6" s="195">
        <v>0.017986111111111112</v>
      </c>
      <c r="FY6" s="194" t="s">
        <v>89</v>
      </c>
      <c r="FZ6" s="195">
        <v>0.030381944444444444</v>
      </c>
      <c r="GA6" s="194" t="s">
        <v>26</v>
      </c>
      <c r="GB6" s="195">
        <v>0.002013888888888889</v>
      </c>
      <c r="GC6" s="194" t="s">
        <v>73</v>
      </c>
      <c r="GD6" s="195">
        <v>0.12260416666666667</v>
      </c>
      <c r="GE6" s="194" t="s">
        <v>26</v>
      </c>
      <c r="GF6" s="195">
        <v>0.11</v>
      </c>
      <c r="GG6" s="194" t="s">
        <v>73</v>
      </c>
      <c r="GH6" s="195">
        <v>0.2601967592592593</v>
      </c>
      <c r="GI6" s="185" t="s">
        <v>37</v>
      </c>
      <c r="GJ6" s="186">
        <v>0.08309027777777778</v>
      </c>
      <c r="GK6" s="185" t="s">
        <v>37</v>
      </c>
      <c r="GL6" s="186">
        <v>0.031377314814814816</v>
      </c>
      <c r="GM6" s="185" t="s">
        <v>26</v>
      </c>
      <c r="GN6" s="186">
        <v>0.09377314814814815</v>
      </c>
      <c r="GO6" s="187" t="s">
        <v>37</v>
      </c>
      <c r="GP6" s="188">
        <v>0.03252314814814815</v>
      </c>
      <c r="GQ6" s="187" t="s">
        <v>34</v>
      </c>
      <c r="GR6" s="188">
        <v>0.5049768518518518</v>
      </c>
      <c r="GS6" s="187" t="s">
        <v>34</v>
      </c>
      <c r="GT6" s="188">
        <v>0.29077546296296297</v>
      </c>
      <c r="GU6" s="187" t="s">
        <v>53</v>
      </c>
      <c r="GV6" s="188">
        <v>0.10203703703703704</v>
      </c>
      <c r="GW6" s="190" t="s">
        <v>53</v>
      </c>
      <c r="GX6" s="191">
        <v>0.028229166666666666</v>
      </c>
      <c r="GY6" s="190" t="s">
        <v>37</v>
      </c>
      <c r="GZ6" s="191">
        <v>0.25091435185185185</v>
      </c>
      <c r="HA6" s="190" t="s">
        <v>51</v>
      </c>
      <c r="HB6" s="191">
        <v>0.04082175925925926</v>
      </c>
      <c r="HC6" s="190" t="s">
        <v>53</v>
      </c>
      <c r="HD6" s="191">
        <v>0.14917824074074074</v>
      </c>
      <c r="HE6" s="190" t="s">
        <v>422</v>
      </c>
      <c r="HF6" s="191">
        <v>0.0032407407407407406</v>
      </c>
      <c r="HG6" s="190" t="s">
        <v>24</v>
      </c>
      <c r="HH6" s="191">
        <v>5.208333333333333E-4</v>
      </c>
      <c r="HI6" s="190" t="s">
        <v>24</v>
      </c>
      <c r="HJ6" s="191">
        <v>0.011840277777777778</v>
      </c>
      <c r="HK6" s="190" t="s">
        <v>463</v>
      </c>
      <c r="HL6" s="191">
        <v>0.05877314814814815</v>
      </c>
      <c r="HM6" s="190" t="s">
        <v>463</v>
      </c>
      <c r="HN6" s="191">
        <v>0.02119212962962963</v>
      </c>
      <c r="HO6" s="190" t="s">
        <v>422</v>
      </c>
      <c r="HP6" s="191">
        <v>0.015578703703703704</v>
      </c>
      <c r="HQ6" s="190" t="s">
        <v>37</v>
      </c>
      <c r="HR6" s="191">
        <v>0.09469907407407407</v>
      </c>
      <c r="HS6" s="190" t="s">
        <v>37</v>
      </c>
      <c r="HT6" s="191">
        <v>0.11650462962962962</v>
      </c>
      <c r="HU6" s="190" t="s">
        <v>53</v>
      </c>
      <c r="HV6" s="191">
        <v>0.03148148148148148</v>
      </c>
      <c r="HW6" s="190" t="s">
        <v>19</v>
      </c>
      <c r="HX6" s="191">
        <v>0.01287037037037037</v>
      </c>
      <c r="HY6" s="187"/>
      <c r="HZ6" s="187"/>
      <c r="IA6" s="187"/>
      <c r="IB6" s="187"/>
      <c r="IC6" s="187"/>
      <c r="ID6" s="187"/>
      <c r="IE6" s="196" t="s">
        <v>94</v>
      </c>
      <c r="IF6" s="197">
        <v>0.22920138888888889</v>
      </c>
      <c r="IG6" s="178"/>
      <c r="IH6" s="196" t="s">
        <v>463</v>
      </c>
      <c r="II6" s="197">
        <v>0.009050925925925926</v>
      </c>
      <c r="IJ6" s="178"/>
      <c r="IK6" s="196" t="s">
        <v>463</v>
      </c>
      <c r="IL6" s="197">
        <v>0.01775462962962963</v>
      </c>
      <c r="IM6" s="196" t="s">
        <v>463</v>
      </c>
      <c r="IN6" s="197">
        <v>2.662037037037037E-4</v>
      </c>
      <c r="IO6" s="196" t="s">
        <v>463</v>
      </c>
      <c r="IP6" s="197">
        <v>0.015844907407407408</v>
      </c>
      <c r="IQ6" s="178"/>
      <c r="IR6" s="196" t="s">
        <v>422</v>
      </c>
      <c r="IS6" s="197">
        <v>0.004756944444444445</v>
      </c>
      <c r="IT6" s="178"/>
      <c r="IU6" s="196" t="s">
        <v>19</v>
      </c>
      <c r="IV6" s="197">
        <v>0.012939814814814815</v>
      </c>
      <c r="IW6" s="178"/>
      <c r="IX6" s="196" t="s">
        <v>463</v>
      </c>
      <c r="IY6" s="197">
        <v>0.04748842592592593</v>
      </c>
      <c r="IZ6" s="187" t="s">
        <v>40</v>
      </c>
      <c r="JA6" s="188">
        <v>0.012465277777777778</v>
      </c>
      <c r="JB6" s="187" t="s">
        <v>463</v>
      </c>
      <c r="JC6" s="188">
        <v>0.018726851851851852</v>
      </c>
      <c r="JD6" s="178"/>
    </row>
    <row r="7">
      <c r="A7" s="193"/>
      <c r="B7" s="193"/>
      <c r="C7" s="198" t="s">
        <v>61</v>
      </c>
      <c r="D7" s="199">
        <v>0.002199074074074074</v>
      </c>
      <c r="E7" s="193"/>
      <c r="F7" s="193"/>
      <c r="G7" s="194" t="s">
        <v>98</v>
      </c>
      <c r="H7" s="195">
        <v>0.005069444444444444</v>
      </c>
      <c r="I7" s="193"/>
      <c r="J7" s="193"/>
      <c r="K7" s="193"/>
      <c r="L7" s="193"/>
      <c r="M7" s="198" t="s">
        <v>30</v>
      </c>
      <c r="N7" s="199">
        <v>0.001990740740740741</v>
      </c>
      <c r="O7" s="194" t="s">
        <v>425</v>
      </c>
      <c r="P7" s="195">
        <v>0.009594907407407408</v>
      </c>
      <c r="Q7" s="194" t="s">
        <v>425</v>
      </c>
      <c r="R7" s="195">
        <v>0.008703703703703703</v>
      </c>
      <c r="S7" s="193"/>
      <c r="T7" s="193"/>
      <c r="U7" s="194" t="s">
        <v>44</v>
      </c>
      <c r="V7" s="195">
        <v>0.008946759259259258</v>
      </c>
      <c r="W7" s="194" t="s">
        <v>59</v>
      </c>
      <c r="X7" s="195">
        <v>0.01699074074074074</v>
      </c>
      <c r="Y7" s="194" t="s">
        <v>70</v>
      </c>
      <c r="Z7" s="195">
        <v>0.015405092592592592</v>
      </c>
      <c r="AA7" s="194" t="s">
        <v>94</v>
      </c>
      <c r="AB7" s="195">
        <v>0.00400462962962963</v>
      </c>
      <c r="AC7" s="194" t="s">
        <v>94</v>
      </c>
      <c r="AD7" s="195">
        <v>0.017951388888888888</v>
      </c>
      <c r="AE7" s="194" t="s">
        <v>94</v>
      </c>
      <c r="AF7" s="195">
        <v>7.291666666666667E-4</v>
      </c>
      <c r="AG7" s="194" t="s">
        <v>73</v>
      </c>
      <c r="AH7" s="195">
        <v>0.028506944444444446</v>
      </c>
      <c r="AI7" s="194" t="s">
        <v>37</v>
      </c>
      <c r="AJ7" s="195">
        <v>0.0065625</v>
      </c>
      <c r="AK7" s="194" t="s">
        <v>37</v>
      </c>
      <c r="AL7" s="195">
        <v>0.0024305555555555556</v>
      </c>
      <c r="AM7" s="194" t="s">
        <v>73</v>
      </c>
      <c r="AN7" s="195">
        <v>0.9590625</v>
      </c>
      <c r="AO7" s="194" t="s">
        <v>73</v>
      </c>
      <c r="AP7" s="195">
        <v>0.8698032407407408</v>
      </c>
      <c r="AQ7" s="194" t="s">
        <v>72</v>
      </c>
      <c r="AR7" s="195">
        <v>0.02914351851851852</v>
      </c>
      <c r="AS7" s="194" t="s">
        <v>72</v>
      </c>
      <c r="AT7" s="195">
        <v>0.07931712962962963</v>
      </c>
      <c r="AU7" s="194" t="s">
        <v>37</v>
      </c>
      <c r="AV7" s="195">
        <v>0.005358796296296296</v>
      </c>
      <c r="AW7" s="194" t="s">
        <v>37</v>
      </c>
      <c r="AX7" s="195">
        <v>0.037349537037037035</v>
      </c>
      <c r="AY7" s="194" t="s">
        <v>37</v>
      </c>
      <c r="AZ7" s="195">
        <v>0.06383101851851852</v>
      </c>
      <c r="BA7" s="194" t="s">
        <v>37</v>
      </c>
      <c r="BB7" s="195">
        <v>0.10366898148148149</v>
      </c>
      <c r="BC7" s="194" t="s">
        <v>37</v>
      </c>
      <c r="BD7" s="195">
        <v>0.5047337962962963</v>
      </c>
      <c r="BE7" s="194" t="s">
        <v>37</v>
      </c>
      <c r="BF7" s="195">
        <v>0.6046875</v>
      </c>
      <c r="BG7" s="194" t="s">
        <v>37</v>
      </c>
      <c r="BH7" s="195">
        <v>0.5453356481481482</v>
      </c>
      <c r="BI7" s="194" t="s">
        <v>37</v>
      </c>
      <c r="BJ7" s="195">
        <v>0.8939583333333333</v>
      </c>
      <c r="BK7" s="194" t="s">
        <v>37</v>
      </c>
      <c r="BL7" s="195">
        <v>0.4373148148148148</v>
      </c>
      <c r="BM7" s="194" t="s">
        <v>37</v>
      </c>
      <c r="BN7" s="195">
        <v>0.2000810185185185</v>
      </c>
      <c r="BO7" s="194" t="s">
        <v>37</v>
      </c>
      <c r="BP7" s="195">
        <v>0.23436342592592593</v>
      </c>
      <c r="BQ7" s="194" t="s">
        <v>37</v>
      </c>
      <c r="BR7" s="195">
        <v>0.1892361111111111</v>
      </c>
      <c r="BS7" s="194" t="s">
        <v>37</v>
      </c>
      <c r="BT7" s="195">
        <v>0.1754513888888889</v>
      </c>
      <c r="BU7" s="194" t="s">
        <v>37</v>
      </c>
      <c r="BV7" s="195">
        <v>0.19392361111111112</v>
      </c>
      <c r="BW7" s="194" t="s">
        <v>37</v>
      </c>
      <c r="BX7" s="195">
        <v>0.21671296296296297</v>
      </c>
      <c r="BY7" s="194" t="s">
        <v>37</v>
      </c>
      <c r="BZ7" s="195">
        <v>0.052708333333333336</v>
      </c>
      <c r="CA7" s="194" t="s">
        <v>37</v>
      </c>
      <c r="CB7" s="195">
        <v>0.08674768518518519</v>
      </c>
      <c r="CC7" s="194" t="s">
        <v>37</v>
      </c>
      <c r="CD7" s="195">
        <v>0.10449074074074075</v>
      </c>
      <c r="CE7" s="194" t="s">
        <v>37</v>
      </c>
      <c r="CF7" s="195">
        <v>0.1829513888888889</v>
      </c>
      <c r="CG7" s="194" t="s">
        <v>37</v>
      </c>
      <c r="CH7" s="195">
        <v>0.073125</v>
      </c>
      <c r="CI7" s="194" t="s">
        <v>37</v>
      </c>
      <c r="CJ7" s="195">
        <v>0.10724537037037037</v>
      </c>
      <c r="CK7" s="194" t="s">
        <v>37</v>
      </c>
      <c r="CL7" s="195">
        <v>0.07802083333333333</v>
      </c>
      <c r="CM7" s="194" t="s">
        <v>37</v>
      </c>
      <c r="CN7" s="195">
        <v>0.038842592592592595</v>
      </c>
      <c r="CO7" s="194" t="s">
        <v>37</v>
      </c>
      <c r="CP7" s="195">
        <v>0.03454861111111111</v>
      </c>
      <c r="CQ7" s="194" t="s">
        <v>37</v>
      </c>
      <c r="CR7" s="195">
        <v>0.021168981481481483</v>
      </c>
      <c r="CS7" s="194" t="s">
        <v>37</v>
      </c>
      <c r="CT7" s="195">
        <v>0.03585648148148148</v>
      </c>
      <c r="CU7" s="194" t="s">
        <v>37</v>
      </c>
      <c r="CV7" s="195">
        <v>0.010949074074074075</v>
      </c>
      <c r="CW7" s="194" t="s">
        <v>37</v>
      </c>
      <c r="CX7" s="195">
        <v>0.013622685185185186</v>
      </c>
      <c r="CY7" s="194" t="s">
        <v>72</v>
      </c>
      <c r="CZ7" s="195">
        <v>0.07769675925925926</v>
      </c>
      <c r="DA7" s="194" t="s">
        <v>72</v>
      </c>
      <c r="DB7" s="195">
        <v>0.19364583333333332</v>
      </c>
      <c r="DC7" s="194" t="s">
        <v>72</v>
      </c>
      <c r="DD7" s="195">
        <v>0.04027777777777778</v>
      </c>
      <c r="DE7" s="194" t="s">
        <v>37</v>
      </c>
      <c r="DF7" s="195">
        <v>0.02554398148148148</v>
      </c>
      <c r="DG7" s="194" t="s">
        <v>37</v>
      </c>
      <c r="DH7" s="195">
        <v>3.2683796296296306</v>
      </c>
      <c r="DI7" s="194" t="s">
        <v>73</v>
      </c>
      <c r="DJ7" s="195">
        <v>2.314814814814815E-4</v>
      </c>
      <c r="DK7" s="194" t="s">
        <v>26</v>
      </c>
      <c r="DL7" s="195">
        <v>0.01587962962962963</v>
      </c>
      <c r="DM7" s="194" t="s">
        <v>74</v>
      </c>
      <c r="DN7" s="195">
        <v>0.010266203703703704</v>
      </c>
      <c r="DO7" s="194" t="s">
        <v>73</v>
      </c>
      <c r="DP7" s="195">
        <v>0.017314814814814814</v>
      </c>
      <c r="DQ7" s="194" t="s">
        <v>26</v>
      </c>
      <c r="DR7" s="195">
        <v>0.026296296296296297</v>
      </c>
      <c r="DS7" s="194" t="s">
        <v>75</v>
      </c>
      <c r="DT7" s="195">
        <v>0.0637962962962963</v>
      </c>
      <c r="DU7" s="194" t="s">
        <v>26</v>
      </c>
      <c r="DV7" s="195">
        <v>0.16615740740740742</v>
      </c>
      <c r="DW7" s="194" t="s">
        <v>75</v>
      </c>
      <c r="DX7" s="195">
        <v>0.02815972222222222</v>
      </c>
      <c r="DY7" s="194" t="s">
        <v>49</v>
      </c>
      <c r="DZ7" s="195">
        <v>0.0077546296296296295</v>
      </c>
      <c r="EA7" s="194" t="s">
        <v>72</v>
      </c>
      <c r="EB7" s="195">
        <v>0.007361111111111111</v>
      </c>
      <c r="EC7" s="194" t="s">
        <v>37</v>
      </c>
      <c r="ED7" s="195">
        <v>1.5046296296296297E-4</v>
      </c>
      <c r="EE7" s="194" t="s">
        <v>26</v>
      </c>
      <c r="EF7" s="195">
        <v>0.0021180555555555558</v>
      </c>
      <c r="EG7" s="194" t="s">
        <v>74</v>
      </c>
      <c r="EH7" s="195">
        <v>0.005</v>
      </c>
      <c r="EI7" s="194" t="s">
        <v>425</v>
      </c>
      <c r="EJ7" s="195">
        <v>0.012951388888888889</v>
      </c>
      <c r="EK7" s="194" t="s">
        <v>89</v>
      </c>
      <c r="EL7" s="195">
        <v>0.18528935185185186</v>
      </c>
      <c r="EM7" s="194" t="s">
        <v>49</v>
      </c>
      <c r="EN7" s="195">
        <v>2.546296296296296E-4</v>
      </c>
      <c r="EO7" s="194" t="s">
        <v>26</v>
      </c>
      <c r="EP7" s="195">
        <v>0.029074074074074075</v>
      </c>
      <c r="EQ7" s="194" t="s">
        <v>85</v>
      </c>
      <c r="ER7" s="195">
        <v>3.0092592592592595E-4</v>
      </c>
      <c r="ES7" s="194" t="s">
        <v>58</v>
      </c>
      <c r="ET7" s="195">
        <v>0.003449074074074074</v>
      </c>
      <c r="EU7" s="194" t="s">
        <v>49</v>
      </c>
      <c r="EV7" s="195">
        <v>0.01170138888888889</v>
      </c>
      <c r="EW7" s="194" t="s">
        <v>74</v>
      </c>
      <c r="EX7" s="195">
        <v>0.002199074074074074</v>
      </c>
      <c r="EY7" s="194" t="s">
        <v>42</v>
      </c>
      <c r="EZ7" s="195">
        <v>0.0016319444444444445</v>
      </c>
      <c r="FA7" s="194" t="s">
        <v>24</v>
      </c>
      <c r="FB7" s="195">
        <v>0.03087962962962963</v>
      </c>
      <c r="FC7" s="194" t="s">
        <v>89</v>
      </c>
      <c r="FD7" s="195">
        <v>0.033136574074074075</v>
      </c>
      <c r="FE7" s="194" t="s">
        <v>430</v>
      </c>
      <c r="FF7" s="195">
        <v>0.008090277777777778</v>
      </c>
      <c r="FG7" s="194" t="s">
        <v>75</v>
      </c>
      <c r="FH7" s="195">
        <v>0.008819444444444444</v>
      </c>
      <c r="FI7" s="194" t="s">
        <v>24</v>
      </c>
      <c r="FJ7" s="195">
        <v>0.012025462962962963</v>
      </c>
      <c r="FK7" s="194" t="s">
        <v>73</v>
      </c>
      <c r="FL7" s="195">
        <v>0.12342592592592593</v>
      </c>
      <c r="FM7" s="194" t="s">
        <v>26</v>
      </c>
      <c r="FN7" s="195">
        <v>0.08763888888888889</v>
      </c>
      <c r="FO7" s="194" t="s">
        <v>89</v>
      </c>
      <c r="FP7" s="195">
        <v>0.00525462962962963</v>
      </c>
      <c r="FQ7" s="194" t="s">
        <v>75</v>
      </c>
      <c r="FR7" s="195">
        <v>0.0010069444444444444</v>
      </c>
      <c r="FS7" s="194" t="s">
        <v>94</v>
      </c>
      <c r="FT7" s="195">
        <v>9.259259259259259E-5</v>
      </c>
      <c r="FU7" s="194" t="s">
        <v>26</v>
      </c>
      <c r="FV7" s="195">
        <v>0.07922453703703704</v>
      </c>
      <c r="FW7" s="194" t="s">
        <v>74</v>
      </c>
      <c r="FX7" s="195">
        <v>0.024560185185185185</v>
      </c>
      <c r="FY7" s="194" t="s">
        <v>425</v>
      </c>
      <c r="FZ7" s="195">
        <v>6.481481481481481E-4</v>
      </c>
      <c r="GA7" s="194" t="s">
        <v>89</v>
      </c>
      <c r="GB7" s="195">
        <v>0.07070601851851852</v>
      </c>
      <c r="GC7" s="194" t="s">
        <v>26</v>
      </c>
      <c r="GD7" s="195">
        <v>0.0697337962962963</v>
      </c>
      <c r="GE7" s="194" t="s">
        <v>94</v>
      </c>
      <c r="GF7" s="195">
        <v>6.018518518518519E-4</v>
      </c>
      <c r="GG7" s="194" t="s">
        <v>26</v>
      </c>
      <c r="GH7" s="195">
        <v>0.029340277777777778</v>
      </c>
      <c r="GI7" s="185" t="s">
        <v>26</v>
      </c>
      <c r="GJ7" s="186">
        <v>0.09417824074074074</v>
      </c>
      <c r="GK7" s="185" t="s">
        <v>26</v>
      </c>
      <c r="GL7" s="186">
        <v>0.07952546296296296</v>
      </c>
      <c r="GM7" s="185" t="s">
        <v>24</v>
      </c>
      <c r="GN7" s="186">
        <v>0.011666666666666667</v>
      </c>
      <c r="GO7" s="187" t="s">
        <v>26</v>
      </c>
      <c r="GP7" s="188">
        <v>0.120625</v>
      </c>
      <c r="GQ7" s="187" t="s">
        <v>37</v>
      </c>
      <c r="GR7" s="188">
        <v>2.4305555555555555E-4</v>
      </c>
      <c r="GS7" s="187" t="s">
        <v>26</v>
      </c>
      <c r="GT7" s="188">
        <v>0.039641203703703706</v>
      </c>
      <c r="GU7" s="187" t="s">
        <v>34</v>
      </c>
      <c r="GV7" s="188">
        <v>0.44807870370370373</v>
      </c>
      <c r="GW7" s="190" t="s">
        <v>34</v>
      </c>
      <c r="GX7" s="191">
        <v>0.31625</v>
      </c>
      <c r="GY7" s="190" t="s">
        <v>24</v>
      </c>
      <c r="GZ7" s="191">
        <v>0.026157407407407407</v>
      </c>
      <c r="HA7" s="190" t="s">
        <v>53</v>
      </c>
      <c r="HB7" s="191">
        <v>0.058541666666666665</v>
      </c>
      <c r="HC7" s="190" t="s">
        <v>34</v>
      </c>
      <c r="HD7" s="191">
        <v>0.3994328703703704</v>
      </c>
      <c r="HE7" s="190" t="s">
        <v>463</v>
      </c>
      <c r="HF7" s="191">
        <v>0.06122685185185185</v>
      </c>
      <c r="HG7" s="190" t="s">
        <v>422</v>
      </c>
      <c r="HH7" s="191">
        <v>0.007569444444444445</v>
      </c>
      <c r="HI7" s="190" t="s">
        <v>463</v>
      </c>
      <c r="HJ7" s="191">
        <v>0.06818287037037037</v>
      </c>
      <c r="HK7" s="190" t="s">
        <v>19</v>
      </c>
      <c r="HL7" s="191">
        <v>0.05541666666666667</v>
      </c>
      <c r="HM7" s="190" t="s">
        <v>19</v>
      </c>
      <c r="HN7" s="191">
        <v>0.045023148148148145</v>
      </c>
      <c r="HO7" s="190" t="s">
        <v>463</v>
      </c>
      <c r="HP7" s="191">
        <v>0.04697916666666667</v>
      </c>
      <c r="HQ7" s="190" t="s">
        <v>26</v>
      </c>
      <c r="HR7" s="191">
        <v>0.003958333333333334</v>
      </c>
      <c r="HS7" s="190" t="s">
        <v>26</v>
      </c>
      <c r="HT7" s="191">
        <v>0.0025694444444444445</v>
      </c>
      <c r="HU7" s="190" t="s">
        <v>34</v>
      </c>
      <c r="HV7" s="191">
        <v>0.1912962962962963</v>
      </c>
      <c r="HW7" s="190" t="s">
        <v>40</v>
      </c>
      <c r="HX7" s="191">
        <v>0.018391203703703705</v>
      </c>
      <c r="HY7" s="187"/>
      <c r="HZ7" s="187"/>
      <c r="IA7" s="187"/>
      <c r="IB7" s="187"/>
      <c r="IC7" s="187"/>
      <c r="ID7" s="187"/>
      <c r="IE7" s="196" t="s">
        <v>85</v>
      </c>
      <c r="IF7" s="197">
        <v>0.011817129629629629</v>
      </c>
      <c r="IG7" s="178"/>
      <c r="IH7" s="196" t="s">
        <v>19</v>
      </c>
      <c r="II7" s="197">
        <v>0.027291666666666665</v>
      </c>
      <c r="IJ7" s="178"/>
      <c r="IK7" s="196" t="s">
        <v>19</v>
      </c>
      <c r="IL7" s="197">
        <v>0.05291666666666667</v>
      </c>
      <c r="IM7" s="196" t="s">
        <v>19</v>
      </c>
      <c r="IN7" s="197">
        <v>0.016238425925925927</v>
      </c>
      <c r="IO7" s="196" t="s">
        <v>19</v>
      </c>
      <c r="IP7" s="197">
        <v>0.00369212962962963</v>
      </c>
      <c r="IQ7" s="178"/>
      <c r="IR7" s="196" t="s">
        <v>463</v>
      </c>
      <c r="IS7" s="197">
        <v>0.014085648148148147</v>
      </c>
      <c r="IT7" s="178"/>
      <c r="IU7" s="196" t="s">
        <v>40</v>
      </c>
      <c r="IV7" s="197">
        <v>0.026261574074074073</v>
      </c>
      <c r="IW7" s="178"/>
      <c r="IX7" s="196" t="s">
        <v>19</v>
      </c>
      <c r="IY7" s="197">
        <v>0.012060185185185186</v>
      </c>
      <c r="IZ7" s="187" t="s">
        <v>31</v>
      </c>
      <c r="JA7" s="188">
        <v>0.009027777777777777</v>
      </c>
      <c r="JB7" s="187" t="s">
        <v>44</v>
      </c>
      <c r="JC7" s="188">
        <v>0.01275462962962963</v>
      </c>
      <c r="JD7" s="178"/>
    </row>
    <row r="8">
      <c r="A8" s="193"/>
      <c r="B8" s="193"/>
      <c r="C8" s="193"/>
      <c r="D8" s="193"/>
      <c r="E8" s="193"/>
      <c r="F8" s="193"/>
      <c r="G8" s="194" t="s">
        <v>78</v>
      </c>
      <c r="H8" s="195">
        <v>0.003946759259259259</v>
      </c>
      <c r="I8" s="193"/>
      <c r="J8" s="193"/>
      <c r="K8" s="193"/>
      <c r="L8" s="193"/>
      <c r="M8" s="193"/>
      <c r="N8" s="193"/>
      <c r="O8" s="194" t="s">
        <v>24</v>
      </c>
      <c r="P8" s="195">
        <v>0.0031944444444444446</v>
      </c>
      <c r="Q8" s="194" t="s">
        <v>24</v>
      </c>
      <c r="R8" s="195">
        <v>0.015185185185185185</v>
      </c>
      <c r="S8" s="193"/>
      <c r="T8" s="193"/>
      <c r="U8" s="194" t="s">
        <v>59</v>
      </c>
      <c r="V8" s="195">
        <v>0.07851851851851852</v>
      </c>
      <c r="W8" s="194" t="s">
        <v>82</v>
      </c>
      <c r="X8" s="195">
        <v>0.005208333333333333</v>
      </c>
      <c r="Y8" s="194" t="s">
        <v>44</v>
      </c>
      <c r="Z8" s="195">
        <v>0.0078009259259259256</v>
      </c>
      <c r="AA8" s="194" t="s">
        <v>75</v>
      </c>
      <c r="AB8" s="195">
        <v>0.12775462962962963</v>
      </c>
      <c r="AC8" s="194" t="s">
        <v>75</v>
      </c>
      <c r="AD8" s="195">
        <v>0.007650462962962963</v>
      </c>
      <c r="AE8" s="194" t="s">
        <v>75</v>
      </c>
      <c r="AF8" s="195">
        <v>0.015729166666666666</v>
      </c>
      <c r="AG8" s="194" t="s">
        <v>26</v>
      </c>
      <c r="AH8" s="195">
        <v>0.0043055555555555555</v>
      </c>
      <c r="AI8" s="194" t="s">
        <v>72</v>
      </c>
      <c r="AJ8" s="195">
        <v>0.05210648148148148</v>
      </c>
      <c r="AK8" s="194" t="s">
        <v>72</v>
      </c>
      <c r="AL8" s="195">
        <v>0.06390046296296296</v>
      </c>
      <c r="AM8" s="194" t="s">
        <v>26</v>
      </c>
      <c r="AN8" s="195">
        <v>0.0017592592592592592</v>
      </c>
      <c r="AO8" s="194" t="s">
        <v>26</v>
      </c>
      <c r="AP8" s="195">
        <v>0.0013310185185185185</v>
      </c>
      <c r="AQ8" s="194" t="s">
        <v>73</v>
      </c>
      <c r="AR8" s="195">
        <v>1.1754282407407408</v>
      </c>
      <c r="AS8" s="194" t="s">
        <v>73</v>
      </c>
      <c r="AT8" s="195">
        <v>0.6174189814814814</v>
      </c>
      <c r="AU8" s="194" t="s">
        <v>72</v>
      </c>
      <c r="AV8" s="195">
        <v>0.07070601851851852</v>
      </c>
      <c r="AW8" s="194" t="s">
        <v>72</v>
      </c>
      <c r="AX8" s="195">
        <v>0.25949074074074074</v>
      </c>
      <c r="AY8" s="194" t="s">
        <v>72</v>
      </c>
      <c r="AZ8" s="195">
        <v>0.054155092592592595</v>
      </c>
      <c r="BA8" s="194" t="s">
        <v>72</v>
      </c>
      <c r="BB8" s="195">
        <v>0.15209490740740741</v>
      </c>
      <c r="BC8" s="194" t="s">
        <v>72</v>
      </c>
      <c r="BD8" s="195">
        <v>0.1490162037037037</v>
      </c>
      <c r="BE8" s="194" t="s">
        <v>72</v>
      </c>
      <c r="BF8" s="195">
        <v>0.17974537037037036</v>
      </c>
      <c r="BG8" s="194" t="s">
        <v>72</v>
      </c>
      <c r="BH8" s="195">
        <v>0.09745370370370371</v>
      </c>
      <c r="BI8" s="194" t="s">
        <v>72</v>
      </c>
      <c r="BJ8" s="195">
        <v>0.28180555555555553</v>
      </c>
      <c r="BK8" s="194" t="s">
        <v>72</v>
      </c>
      <c r="BL8" s="195">
        <v>0.22850694444444444</v>
      </c>
      <c r="BM8" s="194" t="s">
        <v>72</v>
      </c>
      <c r="BN8" s="195">
        <v>0.1908101851851852</v>
      </c>
      <c r="BO8" s="194" t="s">
        <v>72</v>
      </c>
      <c r="BP8" s="195">
        <v>0.11418981481481481</v>
      </c>
      <c r="BQ8" s="194" t="s">
        <v>72</v>
      </c>
      <c r="BR8" s="195">
        <v>0.19118055555555555</v>
      </c>
      <c r="BS8" s="194" t="s">
        <v>72</v>
      </c>
      <c r="BT8" s="195">
        <v>0.23601851851851852</v>
      </c>
      <c r="BU8" s="194" t="s">
        <v>72</v>
      </c>
      <c r="BV8" s="195">
        <v>0.1695486111111111</v>
      </c>
      <c r="BW8" s="194" t="s">
        <v>72</v>
      </c>
      <c r="BX8" s="195">
        <v>0.1985300925925926</v>
      </c>
      <c r="BY8" s="194" t="s">
        <v>72</v>
      </c>
      <c r="BZ8" s="195">
        <v>0.18364583333333334</v>
      </c>
      <c r="CA8" s="194" t="s">
        <v>72</v>
      </c>
      <c r="CB8" s="195">
        <v>0.244375</v>
      </c>
      <c r="CC8" s="194" t="s">
        <v>72</v>
      </c>
      <c r="CD8" s="195">
        <v>0.1986226851851852</v>
      </c>
      <c r="CE8" s="194" t="s">
        <v>72</v>
      </c>
      <c r="CF8" s="195">
        <v>0.1802199074074074</v>
      </c>
      <c r="CG8" s="194" t="s">
        <v>72</v>
      </c>
      <c r="CH8" s="195">
        <v>0.1585763888888889</v>
      </c>
      <c r="CI8" s="194" t="s">
        <v>72</v>
      </c>
      <c r="CJ8" s="195">
        <v>0.12181712962962964</v>
      </c>
      <c r="CK8" s="194" t="s">
        <v>72</v>
      </c>
      <c r="CL8" s="195">
        <v>0.13848379629629629</v>
      </c>
      <c r="CM8" s="194" t="s">
        <v>72</v>
      </c>
      <c r="CN8" s="195">
        <v>0.04925925925925926</v>
      </c>
      <c r="CO8" s="194" t="s">
        <v>72</v>
      </c>
      <c r="CP8" s="195">
        <v>0.01863425925925926</v>
      </c>
      <c r="CQ8" s="194" t="s">
        <v>72</v>
      </c>
      <c r="CR8" s="195">
        <v>0.06736111111111111</v>
      </c>
      <c r="CS8" s="194" t="s">
        <v>72</v>
      </c>
      <c r="CT8" s="195">
        <v>0.12310185185185185</v>
      </c>
      <c r="CU8" s="194" t="s">
        <v>72</v>
      </c>
      <c r="CV8" s="195">
        <v>0.09061342592592593</v>
      </c>
      <c r="CW8" s="194" t="s">
        <v>72</v>
      </c>
      <c r="CX8" s="195">
        <v>0.05649305555555555</v>
      </c>
      <c r="CY8" s="194" t="s">
        <v>73</v>
      </c>
      <c r="CZ8" s="195">
        <v>0.09671296296296296</v>
      </c>
      <c r="DA8" s="194" t="s">
        <v>73</v>
      </c>
      <c r="DB8" s="195">
        <v>0.08113425925925925</v>
      </c>
      <c r="DC8" s="194" t="s">
        <v>73</v>
      </c>
      <c r="DD8" s="195">
        <v>0.024710648148148148</v>
      </c>
      <c r="DE8" s="194" t="s">
        <v>72</v>
      </c>
      <c r="DF8" s="195">
        <v>0.023125</v>
      </c>
      <c r="DG8" s="194" t="s">
        <v>72</v>
      </c>
      <c r="DH8" s="195">
        <v>0.9384027777777779</v>
      </c>
      <c r="DI8" s="194" t="s">
        <v>26</v>
      </c>
      <c r="DJ8" s="195">
        <v>0.05619212962962963</v>
      </c>
      <c r="DK8" s="194" t="s">
        <v>75</v>
      </c>
      <c r="DL8" s="195">
        <v>0.016805555555555556</v>
      </c>
      <c r="DM8" s="194" t="s">
        <v>425</v>
      </c>
      <c r="DN8" s="195">
        <v>0.07342592592592592</v>
      </c>
      <c r="DO8" s="194" t="s">
        <v>26</v>
      </c>
      <c r="DP8" s="195">
        <v>0.05078703703703704</v>
      </c>
      <c r="DQ8" s="194" t="s">
        <v>75</v>
      </c>
      <c r="DR8" s="195">
        <v>0.0043287037037037035</v>
      </c>
      <c r="DS8" s="194" t="s">
        <v>425</v>
      </c>
      <c r="DT8" s="195">
        <v>0.028796296296296296</v>
      </c>
      <c r="DU8" s="194" t="s">
        <v>75</v>
      </c>
      <c r="DV8" s="195">
        <v>0.02642361111111111</v>
      </c>
      <c r="DW8" s="194" t="s">
        <v>49</v>
      </c>
      <c r="DX8" s="195">
        <v>0.0020717592592592593</v>
      </c>
      <c r="DY8" s="194" t="s">
        <v>89</v>
      </c>
      <c r="DZ8" s="195">
        <v>0.005902777777777778</v>
      </c>
      <c r="EA8" s="194" t="s">
        <v>73</v>
      </c>
      <c r="EB8" s="195">
        <v>0.0017708333333333332</v>
      </c>
      <c r="EC8" s="194" t="s">
        <v>72</v>
      </c>
      <c r="ED8" s="195">
        <v>0.0077083333333333335</v>
      </c>
      <c r="EE8" s="194" t="s">
        <v>94</v>
      </c>
      <c r="EF8" s="195">
        <v>0.0011342592592592593</v>
      </c>
      <c r="EG8" s="194" t="s">
        <v>75</v>
      </c>
      <c r="EH8" s="195">
        <v>0.0037731481481481483</v>
      </c>
      <c r="EI8" s="194" t="s">
        <v>42</v>
      </c>
      <c r="EJ8" s="195">
        <v>0.011805555555555555</v>
      </c>
      <c r="EK8" s="194" t="s">
        <v>425</v>
      </c>
      <c r="EL8" s="195">
        <v>0.007488425925925926</v>
      </c>
      <c r="EM8" s="194" t="s">
        <v>89</v>
      </c>
      <c r="EN8" s="195">
        <v>0.1321875</v>
      </c>
      <c r="EO8" s="194" t="s">
        <v>49</v>
      </c>
      <c r="EP8" s="195">
        <v>0.02039351851851852</v>
      </c>
      <c r="EQ8" s="194" t="s">
        <v>49</v>
      </c>
      <c r="ER8" s="195">
        <v>0.010023148148148147</v>
      </c>
      <c r="ES8" s="194" t="s">
        <v>75</v>
      </c>
      <c r="ET8" s="195">
        <v>0.008101851851851851</v>
      </c>
      <c r="EU8" s="194" t="s">
        <v>89</v>
      </c>
      <c r="EV8" s="195">
        <v>0.02277777777777778</v>
      </c>
      <c r="EW8" s="194" t="s">
        <v>58</v>
      </c>
      <c r="EX8" s="195">
        <v>5.555555555555556E-4</v>
      </c>
      <c r="EY8" s="194" t="s">
        <v>422</v>
      </c>
      <c r="EZ8" s="195">
        <v>0.04898148148148148</v>
      </c>
      <c r="FA8" s="194" t="s">
        <v>42</v>
      </c>
      <c r="FB8" s="195">
        <v>0.08045138888888889</v>
      </c>
      <c r="FC8" s="194" t="s">
        <v>430</v>
      </c>
      <c r="FD8" s="195">
        <v>0.008171296296296296</v>
      </c>
      <c r="FE8" s="194" t="s">
        <v>24</v>
      </c>
      <c r="FF8" s="195">
        <v>0.03519675925925926</v>
      </c>
      <c r="FG8" s="194" t="s">
        <v>89</v>
      </c>
      <c r="FH8" s="195">
        <v>0.023946759259259258</v>
      </c>
      <c r="FI8" s="194" t="s">
        <v>42</v>
      </c>
      <c r="FJ8" s="195">
        <v>0.04121527777777778</v>
      </c>
      <c r="FK8" s="194" t="s">
        <v>26</v>
      </c>
      <c r="FL8" s="195">
        <v>0.10265046296296296</v>
      </c>
      <c r="FM8" s="194" t="s">
        <v>49</v>
      </c>
      <c r="FN8" s="195">
        <v>0.005798611111111111</v>
      </c>
      <c r="FO8" s="194" t="s">
        <v>430</v>
      </c>
      <c r="FP8" s="195">
        <v>0.014861111111111111</v>
      </c>
      <c r="FQ8" s="194" t="s">
        <v>89</v>
      </c>
      <c r="FR8" s="195">
        <v>0.04958333333333333</v>
      </c>
      <c r="FS8" s="194" t="s">
        <v>75</v>
      </c>
      <c r="FT8" s="195">
        <v>0.036377314814814814</v>
      </c>
      <c r="FU8" s="194" t="s">
        <v>74</v>
      </c>
      <c r="FV8" s="195">
        <v>0.04821759259259259</v>
      </c>
      <c r="FW8" s="194" t="s">
        <v>49</v>
      </c>
      <c r="FX8" s="195">
        <v>0.007511574074074074</v>
      </c>
      <c r="FY8" s="194" t="s">
        <v>42</v>
      </c>
      <c r="FZ8" s="195">
        <v>3.356481481481481E-4</v>
      </c>
      <c r="GA8" s="194" t="s">
        <v>425</v>
      </c>
      <c r="GB8" s="195">
        <v>0.009988425925925927</v>
      </c>
      <c r="GC8" s="194" t="s">
        <v>74</v>
      </c>
      <c r="GD8" s="195">
        <v>0.014108796296296296</v>
      </c>
      <c r="GE8" s="194" t="s">
        <v>75</v>
      </c>
      <c r="GF8" s="195">
        <v>0.03630787037037037</v>
      </c>
      <c r="GG8" s="194" t="s">
        <v>74</v>
      </c>
      <c r="GH8" s="195">
        <v>0.014016203703703704</v>
      </c>
      <c r="GI8" s="185" t="s">
        <v>24</v>
      </c>
      <c r="GJ8" s="186">
        <v>0.012094907407407407</v>
      </c>
      <c r="GK8" s="185" t="s">
        <v>24</v>
      </c>
      <c r="GL8" s="186">
        <v>0.012881944444444444</v>
      </c>
      <c r="GM8" s="185" t="s">
        <v>422</v>
      </c>
      <c r="GN8" s="186">
        <v>0.04936342592592593</v>
      </c>
      <c r="GO8" s="187" t="s">
        <v>422</v>
      </c>
      <c r="GP8" s="188">
        <v>0.09940972222222222</v>
      </c>
      <c r="GQ8" s="187" t="s">
        <v>26</v>
      </c>
      <c r="GR8" s="188">
        <v>0.11618055555555555</v>
      </c>
      <c r="GS8" s="187" t="s">
        <v>422</v>
      </c>
      <c r="GT8" s="188">
        <v>1.273148148148148E-4</v>
      </c>
      <c r="GU8" s="187" t="s">
        <v>37</v>
      </c>
      <c r="GV8" s="188">
        <v>0.07116898148148149</v>
      </c>
      <c r="GW8" s="190" t="s">
        <v>37</v>
      </c>
      <c r="GX8" s="191">
        <v>0.17010416666666667</v>
      </c>
      <c r="GY8" s="190" t="s">
        <v>422</v>
      </c>
      <c r="GZ8" s="191">
        <v>0.0011689814814814816</v>
      </c>
      <c r="HA8" s="190" t="s">
        <v>34</v>
      </c>
      <c r="HB8" s="191">
        <v>0.7724768518518519</v>
      </c>
      <c r="HC8" s="190" t="s">
        <v>37</v>
      </c>
      <c r="HD8" s="191">
        <v>0.07439814814814814</v>
      </c>
      <c r="HE8" s="190" t="s">
        <v>19</v>
      </c>
      <c r="HF8" s="191">
        <v>0.02914351851851852</v>
      </c>
      <c r="HG8" s="190" t="s">
        <v>463</v>
      </c>
      <c r="HH8" s="191">
        <v>0.051724537037037034</v>
      </c>
      <c r="HI8" s="190" t="s">
        <v>19</v>
      </c>
      <c r="HJ8" s="191">
        <v>0.03770833333333334</v>
      </c>
      <c r="HK8" s="190" t="s">
        <v>44</v>
      </c>
      <c r="HL8" s="191">
        <v>0.016087962962962964</v>
      </c>
      <c r="HM8" s="190" t="s">
        <v>21</v>
      </c>
      <c r="HN8" s="191">
        <v>0.07291666666666667</v>
      </c>
      <c r="HO8" s="190" t="s">
        <v>19</v>
      </c>
      <c r="HP8" s="191">
        <v>0.010520833333333333</v>
      </c>
      <c r="HQ8" s="190" t="s">
        <v>463</v>
      </c>
      <c r="HR8" s="191">
        <v>0.01778935185185185</v>
      </c>
      <c r="HS8" s="190" t="s">
        <v>422</v>
      </c>
      <c r="HT8" s="191">
        <v>0.018055555555555554</v>
      </c>
      <c r="HU8" s="190" t="s">
        <v>37</v>
      </c>
      <c r="HV8" s="191">
        <v>0.08865740740740741</v>
      </c>
      <c r="HW8" s="190" t="s">
        <v>21</v>
      </c>
      <c r="HX8" s="191">
        <v>0.1424074074074074</v>
      </c>
      <c r="HY8" s="187"/>
      <c r="HZ8" s="187"/>
      <c r="IA8" s="187"/>
      <c r="IB8" s="187"/>
      <c r="IC8" s="187"/>
      <c r="ID8" s="187"/>
      <c r="IE8" s="196" t="s">
        <v>89</v>
      </c>
      <c r="IF8" s="197">
        <v>0.1047337962962963</v>
      </c>
      <c r="IG8" s="178"/>
      <c r="IH8" s="196" t="s">
        <v>31</v>
      </c>
      <c r="II8" s="197">
        <v>0.016550925925925927</v>
      </c>
      <c r="IJ8" s="178"/>
      <c r="IK8" s="196" t="s">
        <v>44</v>
      </c>
      <c r="IL8" s="197">
        <v>1.273148148148148E-4</v>
      </c>
      <c r="IM8" s="196" t="s">
        <v>44</v>
      </c>
      <c r="IN8" s="197">
        <v>0.005659722222222222</v>
      </c>
      <c r="IO8" s="196" t="s">
        <v>31</v>
      </c>
      <c r="IP8" s="197">
        <v>0.0016550925925925926</v>
      </c>
      <c r="IQ8" s="178"/>
      <c r="IR8" s="196" t="s">
        <v>19</v>
      </c>
      <c r="IS8" s="197">
        <v>0.013449074074074073</v>
      </c>
      <c r="IT8" s="178"/>
      <c r="IU8" s="196" t="s">
        <v>44</v>
      </c>
      <c r="IV8" s="197">
        <v>0.05017361111111111</v>
      </c>
      <c r="IW8" s="178"/>
      <c r="IX8" s="196" t="s">
        <v>44</v>
      </c>
      <c r="IY8" s="197">
        <v>9.837962962962962E-4</v>
      </c>
      <c r="IZ8" s="187" t="s">
        <v>43</v>
      </c>
      <c r="JA8" s="188">
        <v>0.0027083333333333334</v>
      </c>
      <c r="JB8" s="187" t="s">
        <v>43</v>
      </c>
      <c r="JC8" s="188">
        <v>0.01</v>
      </c>
      <c r="JD8" s="178"/>
    </row>
    <row r="9">
      <c r="A9" s="193"/>
      <c r="B9" s="193"/>
      <c r="C9" s="193"/>
      <c r="D9" s="193"/>
      <c r="E9" s="193"/>
      <c r="F9" s="193"/>
      <c r="G9" s="194" t="s">
        <v>21</v>
      </c>
      <c r="H9" s="195">
        <v>0.0026157407407407405</v>
      </c>
      <c r="I9" s="193"/>
      <c r="J9" s="193"/>
      <c r="K9" s="193"/>
      <c r="L9" s="193"/>
      <c r="M9" s="193"/>
      <c r="N9" s="193"/>
      <c r="O9" s="194" t="s">
        <v>79</v>
      </c>
      <c r="P9" s="195">
        <v>0.0010648148148148149</v>
      </c>
      <c r="Q9" s="194" t="s">
        <v>95</v>
      </c>
      <c r="R9" s="195">
        <v>0.0065625</v>
      </c>
      <c r="S9" s="193"/>
      <c r="T9" s="193"/>
      <c r="U9" s="194" t="s">
        <v>82</v>
      </c>
      <c r="V9" s="195">
        <v>0.0010416666666666667</v>
      </c>
      <c r="W9" s="194" t="s">
        <v>18</v>
      </c>
      <c r="X9" s="195">
        <v>3.2407407407407406E-4</v>
      </c>
      <c r="Y9" s="194" t="s">
        <v>59</v>
      </c>
      <c r="Z9" s="195">
        <v>0.02193287037037037</v>
      </c>
      <c r="AA9" s="194" t="s">
        <v>85</v>
      </c>
      <c r="AB9" s="195">
        <v>0.0019560185185185184</v>
      </c>
      <c r="AC9" s="194" t="s">
        <v>85</v>
      </c>
      <c r="AD9" s="195">
        <v>0.02210648148148148</v>
      </c>
      <c r="AE9" s="194" t="s">
        <v>85</v>
      </c>
      <c r="AF9" s="195">
        <v>0.0014930555555555556</v>
      </c>
      <c r="AG9" s="194" t="s">
        <v>74</v>
      </c>
      <c r="AH9" s="195">
        <v>0.011909722222222223</v>
      </c>
      <c r="AI9" s="194" t="s">
        <v>73</v>
      </c>
      <c r="AJ9" s="195">
        <v>0.2788425925925926</v>
      </c>
      <c r="AK9" s="194" t="s">
        <v>73</v>
      </c>
      <c r="AL9" s="195">
        <v>1.7188425925925925</v>
      </c>
      <c r="AM9" s="194" t="s">
        <v>74</v>
      </c>
      <c r="AN9" s="195">
        <v>0.08576388888888889</v>
      </c>
      <c r="AO9" s="194" t="s">
        <v>74</v>
      </c>
      <c r="AP9" s="195">
        <v>0.25430555555555556</v>
      </c>
      <c r="AQ9" s="194" t="s">
        <v>74</v>
      </c>
      <c r="AR9" s="195">
        <v>0.14856481481481482</v>
      </c>
      <c r="AS9" s="194" t="s">
        <v>26</v>
      </c>
      <c r="AT9" s="195">
        <v>0.013530092592592592</v>
      </c>
      <c r="AU9" s="194" t="s">
        <v>73</v>
      </c>
      <c r="AV9" s="195">
        <v>1.281412037037037</v>
      </c>
      <c r="AW9" s="194" t="s">
        <v>73</v>
      </c>
      <c r="AX9" s="195">
        <v>1.6280902777777777</v>
      </c>
      <c r="AY9" s="194" t="s">
        <v>73</v>
      </c>
      <c r="AZ9" s="195">
        <v>0.9916087962962963</v>
      </c>
      <c r="BA9" s="194" t="s">
        <v>73</v>
      </c>
      <c r="BB9" s="195">
        <v>0.6369907407407407</v>
      </c>
      <c r="BC9" s="194" t="s">
        <v>73</v>
      </c>
      <c r="BD9" s="195">
        <v>0.6034953703703704</v>
      </c>
      <c r="BE9" s="194" t="s">
        <v>73</v>
      </c>
      <c r="BF9" s="195">
        <v>0.21219907407407407</v>
      </c>
      <c r="BG9" s="194" t="s">
        <v>73</v>
      </c>
      <c r="BH9" s="195">
        <v>0.12164351851851851</v>
      </c>
      <c r="BI9" s="194" t="s">
        <v>73</v>
      </c>
      <c r="BJ9" s="195">
        <v>0.20605324074074075</v>
      </c>
      <c r="BK9" s="194" t="s">
        <v>73</v>
      </c>
      <c r="BL9" s="195">
        <v>0.2667939814814815</v>
      </c>
      <c r="BM9" s="194" t="s">
        <v>73</v>
      </c>
      <c r="BN9" s="195">
        <v>0.28206018518518516</v>
      </c>
      <c r="BO9" s="194" t="s">
        <v>73</v>
      </c>
      <c r="BP9" s="195">
        <v>0.21938657407407408</v>
      </c>
      <c r="BQ9" s="194" t="s">
        <v>73</v>
      </c>
      <c r="BR9" s="195">
        <v>0.2296412037037037</v>
      </c>
      <c r="BS9" s="194" t="s">
        <v>73</v>
      </c>
      <c r="BT9" s="195">
        <v>0.0787037037037037</v>
      </c>
      <c r="BU9" s="194" t="s">
        <v>73</v>
      </c>
      <c r="BV9" s="195">
        <v>0.04402777777777778</v>
      </c>
      <c r="BW9" s="194" t="s">
        <v>73</v>
      </c>
      <c r="BX9" s="195">
        <v>0.04984953703703704</v>
      </c>
      <c r="BY9" s="194" t="s">
        <v>73</v>
      </c>
      <c r="BZ9" s="195">
        <v>0.10230324074074074</v>
      </c>
      <c r="CA9" s="194" t="s">
        <v>73</v>
      </c>
      <c r="CB9" s="195">
        <v>0.07693287037037037</v>
      </c>
      <c r="CC9" s="194" t="s">
        <v>73</v>
      </c>
      <c r="CD9" s="195">
        <v>0.1950925925925926</v>
      </c>
      <c r="CE9" s="194" t="s">
        <v>73</v>
      </c>
      <c r="CF9" s="195">
        <v>0.1570023148148148</v>
      </c>
      <c r="CG9" s="194" t="s">
        <v>73</v>
      </c>
      <c r="CH9" s="195">
        <v>0.08112268518518519</v>
      </c>
      <c r="CI9" s="194" t="s">
        <v>73</v>
      </c>
      <c r="CJ9" s="195">
        <v>0.03621527777777778</v>
      </c>
      <c r="CK9" s="194" t="s">
        <v>73</v>
      </c>
      <c r="CL9" s="195">
        <v>0.06809027777777778</v>
      </c>
      <c r="CM9" s="194" t="s">
        <v>73</v>
      </c>
      <c r="CN9" s="195">
        <v>0.04114583333333333</v>
      </c>
      <c r="CO9" s="194" t="s">
        <v>73</v>
      </c>
      <c r="CP9" s="195">
        <v>0.03378472222222222</v>
      </c>
      <c r="CQ9" s="194" t="s">
        <v>73</v>
      </c>
      <c r="CR9" s="195">
        <v>0.07821759259259259</v>
      </c>
      <c r="CS9" s="194" t="s">
        <v>73</v>
      </c>
      <c r="CT9" s="195">
        <v>0.04793981481481482</v>
      </c>
      <c r="CU9" s="194" t="s">
        <v>73</v>
      </c>
      <c r="CV9" s="195">
        <v>0.06074074074074074</v>
      </c>
      <c r="CW9" s="194" t="s">
        <v>73</v>
      </c>
      <c r="CX9" s="195">
        <v>0.0017939814814814815</v>
      </c>
      <c r="CY9" s="194" t="s">
        <v>26</v>
      </c>
      <c r="CZ9" s="195">
        <v>0.038391203703703705</v>
      </c>
      <c r="DA9" s="194" t="s">
        <v>26</v>
      </c>
      <c r="DB9" s="195">
        <v>0.02832175925925926</v>
      </c>
      <c r="DC9" s="194" t="s">
        <v>26</v>
      </c>
      <c r="DD9" s="195">
        <v>0.00912037037037037</v>
      </c>
      <c r="DE9" s="194" t="s">
        <v>73</v>
      </c>
      <c r="DF9" s="195">
        <v>0.012858796296296297</v>
      </c>
      <c r="DG9" s="194" t="s">
        <v>73</v>
      </c>
      <c r="DH9" s="195">
        <v>1.9262615740740734</v>
      </c>
      <c r="DI9" s="194" t="s">
        <v>58</v>
      </c>
      <c r="DJ9" s="195">
        <v>9.259259259259259E-5</v>
      </c>
      <c r="DK9" s="194" t="s">
        <v>425</v>
      </c>
      <c r="DL9" s="195">
        <v>0.008252314814814815</v>
      </c>
      <c r="DM9" s="194" t="s">
        <v>24</v>
      </c>
      <c r="DN9" s="195">
        <v>0.04604166666666667</v>
      </c>
      <c r="DO9" s="194" t="s">
        <v>74</v>
      </c>
      <c r="DP9" s="195">
        <v>0.005625</v>
      </c>
      <c r="DQ9" s="194" t="s">
        <v>425</v>
      </c>
      <c r="DR9" s="195">
        <v>0.010034722222222223</v>
      </c>
      <c r="DS9" s="194" t="s">
        <v>24</v>
      </c>
      <c r="DT9" s="195">
        <v>0.022488425925925926</v>
      </c>
      <c r="DU9" s="194" t="s">
        <v>49</v>
      </c>
      <c r="DV9" s="195">
        <v>0.005821759259259259</v>
      </c>
      <c r="DW9" s="194" t="s">
        <v>89</v>
      </c>
      <c r="DX9" s="195">
        <v>1.1574074074074075E-4</v>
      </c>
      <c r="DY9" s="194" t="s">
        <v>422</v>
      </c>
      <c r="DZ9" s="195">
        <v>0.01849537037037037</v>
      </c>
      <c r="EA9" s="194" t="s">
        <v>26</v>
      </c>
      <c r="EB9" s="195">
        <v>2.8935185185185184E-4</v>
      </c>
      <c r="EC9" s="194" t="s">
        <v>73</v>
      </c>
      <c r="ED9" s="195">
        <v>0.0022916666666666667</v>
      </c>
      <c r="EE9" s="194" t="s">
        <v>75</v>
      </c>
      <c r="EF9" s="195">
        <v>0.0033449074074074076</v>
      </c>
      <c r="EG9" s="194" t="s">
        <v>49</v>
      </c>
      <c r="EH9" s="195">
        <v>2.314814814814815E-4</v>
      </c>
      <c r="EI9" s="194" t="s">
        <v>422</v>
      </c>
      <c r="EJ9" s="195">
        <v>0.044050925925925924</v>
      </c>
      <c r="EK9" s="194" t="s">
        <v>42</v>
      </c>
      <c r="EL9" s="195">
        <v>0.012939814814814815</v>
      </c>
      <c r="EM9" s="194" t="s">
        <v>425</v>
      </c>
      <c r="EN9" s="195">
        <v>0.02675925925925926</v>
      </c>
      <c r="EO9" s="194" t="s">
        <v>89</v>
      </c>
      <c r="EP9" s="195">
        <v>0.12394675925925926</v>
      </c>
      <c r="EQ9" s="194" t="s">
        <v>89</v>
      </c>
      <c r="ER9" s="195">
        <v>0.07055555555555555</v>
      </c>
      <c r="ES9" s="194" t="s">
        <v>89</v>
      </c>
      <c r="ET9" s="195">
        <v>0.06306712962962963</v>
      </c>
      <c r="EU9" s="194" t="s">
        <v>24</v>
      </c>
      <c r="EV9" s="195">
        <v>0.0033680555555555556</v>
      </c>
      <c r="EW9" s="194" t="s">
        <v>49</v>
      </c>
      <c r="EX9" s="195">
        <v>0.004583333333333333</v>
      </c>
      <c r="EY9" s="194" t="s">
        <v>92</v>
      </c>
      <c r="EZ9" s="195">
        <v>0.2456712962962963</v>
      </c>
      <c r="FA9" s="194" t="s">
        <v>422</v>
      </c>
      <c r="FB9" s="195">
        <v>0.14162037037037037</v>
      </c>
      <c r="FC9" s="194" t="s">
        <v>24</v>
      </c>
      <c r="FD9" s="195">
        <v>0.02008101851851852</v>
      </c>
      <c r="FE9" s="194" t="s">
        <v>42</v>
      </c>
      <c r="FF9" s="195">
        <v>0.034756944444444444</v>
      </c>
      <c r="FG9" s="194" t="s">
        <v>425</v>
      </c>
      <c r="FH9" s="195">
        <v>0.04840277777777778</v>
      </c>
      <c r="FI9" s="194" t="s">
        <v>79</v>
      </c>
      <c r="FJ9" s="195">
        <v>0.016215277777777776</v>
      </c>
      <c r="FK9" s="194" t="s">
        <v>74</v>
      </c>
      <c r="FL9" s="195">
        <v>0.021608796296296296</v>
      </c>
      <c r="FM9" s="194" t="s">
        <v>89</v>
      </c>
      <c r="FN9" s="195">
        <v>0.023217592592592592</v>
      </c>
      <c r="FO9" s="194" t="s">
        <v>425</v>
      </c>
      <c r="FP9" s="195">
        <v>0.012118055555555556</v>
      </c>
      <c r="FQ9" s="194" t="s">
        <v>430</v>
      </c>
      <c r="FR9" s="195">
        <v>0.028275462962962964</v>
      </c>
      <c r="FS9" s="194" t="s">
        <v>85</v>
      </c>
      <c r="FT9" s="195">
        <v>0.0034837962962962965</v>
      </c>
      <c r="FU9" s="194" t="s">
        <v>75</v>
      </c>
      <c r="FV9" s="195">
        <v>5.787037037037037E-4</v>
      </c>
      <c r="FW9" s="194" t="s">
        <v>425</v>
      </c>
      <c r="FX9" s="195">
        <v>0.016689814814814814</v>
      </c>
      <c r="FY9" s="194" t="s">
        <v>422</v>
      </c>
      <c r="FZ9" s="195">
        <v>0.02775462962962963</v>
      </c>
      <c r="GA9" s="194" t="s">
        <v>422</v>
      </c>
      <c r="GB9" s="195">
        <v>0.01826388888888889</v>
      </c>
      <c r="GC9" s="194" t="s">
        <v>75</v>
      </c>
      <c r="GD9" s="195">
        <v>0.023761574074074074</v>
      </c>
      <c r="GE9" s="194" t="s">
        <v>85</v>
      </c>
      <c r="GF9" s="195">
        <v>0.5393171296296296</v>
      </c>
      <c r="GG9" s="194" t="s">
        <v>94</v>
      </c>
      <c r="GH9" s="195">
        <v>0.00980324074074074</v>
      </c>
      <c r="GI9" s="185" t="s">
        <v>422</v>
      </c>
      <c r="GJ9" s="186">
        <v>0.03994212962962963</v>
      </c>
      <c r="GK9" s="185" t="s">
        <v>422</v>
      </c>
      <c r="GL9" s="186">
        <v>0.03270833333333333</v>
      </c>
      <c r="GM9" s="185" t="s">
        <v>463</v>
      </c>
      <c r="GN9" s="186">
        <v>0.2751736111111111</v>
      </c>
      <c r="GO9" s="187" t="s">
        <v>463</v>
      </c>
      <c r="GP9" s="188">
        <v>0.23076388888888888</v>
      </c>
      <c r="GQ9" s="187" t="s">
        <v>422</v>
      </c>
      <c r="GR9" s="188">
        <v>0.010902777777777779</v>
      </c>
      <c r="GS9" s="187" t="s">
        <v>463</v>
      </c>
      <c r="GT9" s="188">
        <v>0.14260416666666667</v>
      </c>
      <c r="GU9" s="187" t="s">
        <v>26</v>
      </c>
      <c r="GV9" s="188">
        <v>0.015347222222222222</v>
      </c>
      <c r="GW9" s="190" t="s">
        <v>463</v>
      </c>
      <c r="GX9" s="191">
        <v>0.04644675925925926</v>
      </c>
      <c r="GY9" s="190" t="s">
        <v>463</v>
      </c>
      <c r="GZ9" s="191">
        <v>0.10366898148148149</v>
      </c>
      <c r="HA9" s="190" t="s">
        <v>37</v>
      </c>
      <c r="HB9" s="191">
        <v>0.3056365740740741</v>
      </c>
      <c r="HC9" s="190" t="s">
        <v>26</v>
      </c>
      <c r="HD9" s="191">
        <v>0.0011111111111111111</v>
      </c>
      <c r="HE9" s="190" t="s">
        <v>44</v>
      </c>
      <c r="HF9" s="191">
        <v>0.042534722222222224</v>
      </c>
      <c r="HG9" s="190" t="s">
        <v>19</v>
      </c>
      <c r="HH9" s="191">
        <v>0.02008101851851852</v>
      </c>
      <c r="HI9" s="190" t="s">
        <v>40</v>
      </c>
      <c r="HJ9" s="191">
        <v>0.012372685185185184</v>
      </c>
      <c r="HK9" s="190" t="s">
        <v>21</v>
      </c>
      <c r="HL9" s="191">
        <v>0.03445601851851852</v>
      </c>
      <c r="HM9" s="190" t="s">
        <v>43</v>
      </c>
      <c r="HN9" s="191">
        <v>7.407407407407407E-4</v>
      </c>
      <c r="HO9" s="190" t="s">
        <v>21</v>
      </c>
      <c r="HP9" s="191">
        <v>0.10217592592592592</v>
      </c>
      <c r="HQ9" s="190" t="s">
        <v>19</v>
      </c>
      <c r="HR9" s="191">
        <v>0.003125</v>
      </c>
      <c r="HS9" s="190" t="s">
        <v>463</v>
      </c>
      <c r="HT9" s="191">
        <v>0.03681712962962963</v>
      </c>
      <c r="HU9" s="190" t="s">
        <v>26</v>
      </c>
      <c r="HV9" s="191">
        <v>0.001238425925925926</v>
      </c>
      <c r="HW9" s="190" t="s">
        <v>31</v>
      </c>
      <c r="HX9" s="191">
        <v>0.02662037037037037</v>
      </c>
      <c r="HY9" s="187"/>
      <c r="HZ9" s="187"/>
      <c r="IA9" s="187"/>
      <c r="IB9" s="187"/>
      <c r="IC9" s="187"/>
      <c r="ID9" s="187"/>
      <c r="IE9" s="196" t="s">
        <v>24</v>
      </c>
      <c r="IF9" s="197">
        <v>2.199074074074074E-4</v>
      </c>
      <c r="IG9" s="178"/>
      <c r="IH9" s="196" t="s">
        <v>43</v>
      </c>
      <c r="II9" s="197">
        <v>0.07905092592592593</v>
      </c>
      <c r="IJ9" s="178"/>
      <c r="IK9" s="196" t="s">
        <v>31</v>
      </c>
      <c r="IL9" s="197">
        <v>0.01832175925925926</v>
      </c>
      <c r="IM9" s="196" t="s">
        <v>31</v>
      </c>
      <c r="IN9" s="197">
        <v>0.004201388888888889</v>
      </c>
      <c r="IO9" s="196" t="s">
        <v>43</v>
      </c>
      <c r="IP9" s="197">
        <v>0.002928240740740741</v>
      </c>
      <c r="IQ9" s="178"/>
      <c r="IR9" s="196" t="s">
        <v>40</v>
      </c>
      <c r="IS9" s="197">
        <v>1.6203703703703703E-4</v>
      </c>
      <c r="IT9" s="178"/>
      <c r="IU9" s="196" t="s">
        <v>43</v>
      </c>
      <c r="IV9" s="197">
        <v>0.011180555555555555</v>
      </c>
      <c r="IW9" s="178"/>
      <c r="IX9" s="196" t="s">
        <v>43</v>
      </c>
      <c r="IY9" s="197">
        <v>0.005509259259259259</v>
      </c>
      <c r="IZ9" s="187" t="s">
        <v>22</v>
      </c>
      <c r="JA9" s="188">
        <v>0.05614583333333333</v>
      </c>
      <c r="JB9" s="187" t="s">
        <v>22</v>
      </c>
      <c r="JC9" s="188">
        <v>0.05488425925925926</v>
      </c>
      <c r="JD9" s="178"/>
    </row>
    <row r="10">
      <c r="A10" s="193"/>
      <c r="B10" s="193"/>
      <c r="C10" s="193"/>
      <c r="D10" s="193"/>
      <c r="E10" s="193"/>
      <c r="F10" s="193"/>
      <c r="G10" s="194" t="s">
        <v>25</v>
      </c>
      <c r="H10" s="195">
        <v>0.005740740740740741</v>
      </c>
      <c r="I10" s="193"/>
      <c r="J10" s="193"/>
      <c r="K10" s="193"/>
      <c r="L10" s="193"/>
      <c r="M10" s="193"/>
      <c r="N10" s="193"/>
      <c r="O10" s="194" t="s">
        <v>96</v>
      </c>
      <c r="P10" s="195">
        <v>0.0034953703703703705</v>
      </c>
      <c r="Q10" s="194" t="s">
        <v>79</v>
      </c>
      <c r="R10" s="195">
        <v>0.006574074074074074</v>
      </c>
      <c r="S10" s="193"/>
      <c r="T10" s="193"/>
      <c r="U10" s="194" t="s">
        <v>424</v>
      </c>
      <c r="V10" s="195">
        <v>1.9675925925925926E-4</v>
      </c>
      <c r="W10" s="194" t="s">
        <v>424</v>
      </c>
      <c r="X10" s="195">
        <v>5.787037037037037E-4</v>
      </c>
      <c r="Y10" s="194" t="s">
        <v>428</v>
      </c>
      <c r="Z10" s="195">
        <v>6.944444444444444E-5</v>
      </c>
      <c r="AA10" s="194" t="s">
        <v>430</v>
      </c>
      <c r="AB10" s="195">
        <v>0.06452546296296297</v>
      </c>
      <c r="AC10" s="194" t="s">
        <v>425</v>
      </c>
      <c r="AD10" s="195">
        <v>0.05935185185185185</v>
      </c>
      <c r="AE10" s="194" t="s">
        <v>425</v>
      </c>
      <c r="AF10" s="195">
        <v>0.02003472222222222</v>
      </c>
      <c r="AG10" s="194" t="s">
        <v>94</v>
      </c>
      <c r="AH10" s="195">
        <v>0.02201388888888889</v>
      </c>
      <c r="AI10" s="194" t="s">
        <v>26</v>
      </c>
      <c r="AJ10" s="195">
        <v>0.04711805555555556</v>
      </c>
      <c r="AK10" s="194" t="s">
        <v>26</v>
      </c>
      <c r="AL10" s="195">
        <v>0.05204861111111111</v>
      </c>
      <c r="AM10" s="194" t="s">
        <v>58</v>
      </c>
      <c r="AN10" s="195">
        <v>0.013009259259259259</v>
      </c>
      <c r="AO10" s="194" t="s">
        <v>94</v>
      </c>
      <c r="AP10" s="195">
        <v>0.004502314814814815</v>
      </c>
      <c r="AQ10" s="194" t="s">
        <v>58</v>
      </c>
      <c r="AR10" s="195">
        <v>0.016574074074074074</v>
      </c>
      <c r="AS10" s="194" t="s">
        <v>74</v>
      </c>
      <c r="AT10" s="195">
        <v>0.3113310185185185</v>
      </c>
      <c r="AU10" s="194" t="s">
        <v>26</v>
      </c>
      <c r="AV10" s="195">
        <v>0.005821759259259259</v>
      </c>
      <c r="AW10" s="194" t="s">
        <v>26</v>
      </c>
      <c r="AX10" s="195">
        <v>0.0016550925925925926</v>
      </c>
      <c r="AY10" s="194" t="s">
        <v>26</v>
      </c>
      <c r="AZ10" s="195">
        <v>0.023587962962962963</v>
      </c>
      <c r="BA10" s="194" t="s">
        <v>26</v>
      </c>
      <c r="BB10" s="195">
        <v>0.07778935185185185</v>
      </c>
      <c r="BC10" s="194" t="s">
        <v>26</v>
      </c>
      <c r="BD10" s="195">
        <v>0.254212962962963</v>
      </c>
      <c r="BE10" s="194" t="s">
        <v>26</v>
      </c>
      <c r="BF10" s="195">
        <v>0.5005787037037037</v>
      </c>
      <c r="BG10" s="194" t="s">
        <v>26</v>
      </c>
      <c r="BH10" s="195">
        <v>0.7455324074074074</v>
      </c>
      <c r="BI10" s="194" t="s">
        <v>26</v>
      </c>
      <c r="BJ10" s="195">
        <v>0.827037037037037</v>
      </c>
      <c r="BK10" s="194" t="s">
        <v>26</v>
      </c>
      <c r="BL10" s="195">
        <v>0.3429861111111111</v>
      </c>
      <c r="BM10" s="194" t="s">
        <v>26</v>
      </c>
      <c r="BN10" s="195">
        <v>0.3218402777777778</v>
      </c>
      <c r="BO10" s="194" t="s">
        <v>26</v>
      </c>
      <c r="BP10" s="195">
        <v>0.2488425925925926</v>
      </c>
      <c r="BQ10" s="194" t="s">
        <v>26</v>
      </c>
      <c r="BR10" s="195">
        <v>0.4096296296296296</v>
      </c>
      <c r="BS10" s="194" t="s">
        <v>26</v>
      </c>
      <c r="BT10" s="195">
        <v>0.23601851851851852</v>
      </c>
      <c r="BU10" s="194" t="s">
        <v>26</v>
      </c>
      <c r="BV10" s="195">
        <v>0.13636574074074073</v>
      </c>
      <c r="BW10" s="194" t="s">
        <v>26</v>
      </c>
      <c r="BX10" s="195">
        <v>0.09773148148148147</v>
      </c>
      <c r="BY10" s="194" t="s">
        <v>26</v>
      </c>
      <c r="BZ10" s="195">
        <v>0.08690972222222222</v>
      </c>
      <c r="CA10" s="194" t="s">
        <v>26</v>
      </c>
      <c r="CB10" s="195">
        <v>0.16680555555555557</v>
      </c>
      <c r="CC10" s="194" t="s">
        <v>26</v>
      </c>
      <c r="CD10" s="195">
        <v>0.11918981481481482</v>
      </c>
      <c r="CE10" s="194" t="s">
        <v>26</v>
      </c>
      <c r="CF10" s="195">
        <v>0.1572800925925926</v>
      </c>
      <c r="CG10" s="194" t="s">
        <v>26</v>
      </c>
      <c r="CH10" s="195">
        <v>0.03175925925925926</v>
      </c>
      <c r="CI10" s="194" t="s">
        <v>26</v>
      </c>
      <c r="CJ10" s="195">
        <v>0.07504629629629629</v>
      </c>
      <c r="CK10" s="194" t="s">
        <v>26</v>
      </c>
      <c r="CL10" s="195">
        <v>0.12755787037037036</v>
      </c>
      <c r="CM10" s="194" t="s">
        <v>26</v>
      </c>
      <c r="CN10" s="195">
        <v>0.023877314814814816</v>
      </c>
      <c r="CO10" s="194" t="s">
        <v>26</v>
      </c>
      <c r="CP10" s="195">
        <v>0.0234375</v>
      </c>
      <c r="CQ10" s="194" t="s">
        <v>26</v>
      </c>
      <c r="CR10" s="195">
        <v>0.015833333333333335</v>
      </c>
      <c r="CS10" s="194" t="s">
        <v>26</v>
      </c>
      <c r="CT10" s="195">
        <v>0.0490162037037037</v>
      </c>
      <c r="CU10" s="194" t="s">
        <v>26</v>
      </c>
      <c r="CV10" s="195">
        <v>0.030162037037037036</v>
      </c>
      <c r="CW10" s="194" t="s">
        <v>26</v>
      </c>
      <c r="CX10" s="195">
        <v>0.03023148148148148</v>
      </c>
      <c r="CY10" s="194" t="s">
        <v>74</v>
      </c>
      <c r="CZ10" s="195">
        <v>0.18881944444444446</v>
      </c>
      <c r="DA10" s="194" t="s">
        <v>74</v>
      </c>
      <c r="DB10" s="195">
        <v>0.12383101851851852</v>
      </c>
      <c r="DC10" s="194" t="s">
        <v>74</v>
      </c>
      <c r="DD10" s="195">
        <v>0.156875</v>
      </c>
      <c r="DE10" s="194" t="s">
        <v>26</v>
      </c>
      <c r="DF10" s="195">
        <v>0.024988425925925924</v>
      </c>
      <c r="DG10" s="194" t="s">
        <v>26</v>
      </c>
      <c r="DH10" s="195">
        <v>2.2773726851851848</v>
      </c>
      <c r="DI10" s="194" t="s">
        <v>75</v>
      </c>
      <c r="DJ10" s="195">
        <v>0.01324074074074074</v>
      </c>
      <c r="DK10" s="194" t="s">
        <v>24</v>
      </c>
      <c r="DL10" s="195">
        <v>0.04546296296296296</v>
      </c>
      <c r="DM10" s="194" t="s">
        <v>42</v>
      </c>
      <c r="DN10" s="195">
        <v>0.009675925925925926</v>
      </c>
      <c r="DO10" s="194" t="s">
        <v>75</v>
      </c>
      <c r="DP10" s="195">
        <v>9.027777777777777E-4</v>
      </c>
      <c r="DQ10" s="194" t="s">
        <v>24</v>
      </c>
      <c r="DR10" s="195">
        <v>0.05075231481481481</v>
      </c>
      <c r="DS10" s="194" t="s">
        <v>95</v>
      </c>
      <c r="DT10" s="195">
        <v>0.0025810185185185185</v>
      </c>
      <c r="DU10" s="194" t="s">
        <v>89</v>
      </c>
      <c r="DV10" s="195">
        <v>0.003125</v>
      </c>
      <c r="DW10" s="194" t="s">
        <v>24</v>
      </c>
      <c r="DX10" s="195">
        <v>0.0028356481481481483</v>
      </c>
      <c r="DY10" s="194" t="s">
        <v>96</v>
      </c>
      <c r="DZ10" s="195">
        <v>1.8518518518518518E-4</v>
      </c>
      <c r="EA10" s="194" t="s">
        <v>74</v>
      </c>
      <c r="EB10" s="195">
        <v>1.6203703703703703E-4</v>
      </c>
      <c r="EC10" s="194" t="s">
        <v>26</v>
      </c>
      <c r="ED10" s="195">
        <v>0.0018287037037037037</v>
      </c>
      <c r="EE10" s="194" t="s">
        <v>89</v>
      </c>
      <c r="EF10" s="195">
        <v>0.12273148148148148</v>
      </c>
      <c r="EG10" s="194" t="s">
        <v>89</v>
      </c>
      <c r="EH10" s="195">
        <v>0.18738425925925925</v>
      </c>
      <c r="EI10" s="194" t="s">
        <v>96</v>
      </c>
      <c r="EJ10" s="195">
        <v>0.007418981481481481</v>
      </c>
      <c r="EK10" s="194" t="s">
        <v>422</v>
      </c>
      <c r="EL10" s="195">
        <v>0.10484953703703703</v>
      </c>
      <c r="EM10" s="194" t="s">
        <v>42</v>
      </c>
      <c r="EN10" s="195">
        <v>0.09039351851851851</v>
      </c>
      <c r="EO10" s="194" t="s">
        <v>425</v>
      </c>
      <c r="EP10" s="195">
        <v>0.04640046296296296</v>
      </c>
      <c r="EQ10" s="194" t="s">
        <v>430</v>
      </c>
      <c r="ER10" s="195">
        <v>0.013356481481481481</v>
      </c>
      <c r="ES10" s="194" t="s">
        <v>430</v>
      </c>
      <c r="ET10" s="195">
        <v>0.01355324074074074</v>
      </c>
      <c r="EU10" s="194" t="s">
        <v>42</v>
      </c>
      <c r="EV10" s="195">
        <v>0.007835648148148149</v>
      </c>
      <c r="EW10" s="194" t="s">
        <v>89</v>
      </c>
      <c r="EX10" s="195">
        <v>0.038657407407407404</v>
      </c>
      <c r="EY10" s="194" t="s">
        <v>19</v>
      </c>
      <c r="EZ10" s="195">
        <v>9.606481481481482E-4</v>
      </c>
      <c r="FA10" s="194" t="s">
        <v>96</v>
      </c>
      <c r="FB10" s="195">
        <v>0.007013888888888889</v>
      </c>
      <c r="FC10" s="194" t="s">
        <v>42</v>
      </c>
      <c r="FD10" s="195">
        <v>0.051631944444444446</v>
      </c>
      <c r="FE10" s="194" t="s">
        <v>422</v>
      </c>
      <c r="FF10" s="195">
        <v>0.03681712962962963</v>
      </c>
      <c r="FG10" s="194" t="s">
        <v>42</v>
      </c>
      <c r="FH10" s="195">
        <v>0.043958333333333335</v>
      </c>
      <c r="FI10" s="194" t="s">
        <v>422</v>
      </c>
      <c r="FJ10" s="195">
        <v>0.0999074074074074</v>
      </c>
      <c r="FK10" s="194" t="s">
        <v>75</v>
      </c>
      <c r="FL10" s="195">
        <v>0.023159722222222224</v>
      </c>
      <c r="FM10" s="194" t="s">
        <v>425</v>
      </c>
      <c r="FN10" s="195">
        <v>0.10225694444444444</v>
      </c>
      <c r="FO10" s="194" t="s">
        <v>24</v>
      </c>
      <c r="FP10" s="195">
        <v>0.008414351851851852</v>
      </c>
      <c r="FQ10" s="194" t="s">
        <v>425</v>
      </c>
      <c r="FR10" s="195">
        <v>0.12453703703703704</v>
      </c>
      <c r="FS10" s="194" t="s">
        <v>49</v>
      </c>
      <c r="FT10" s="195">
        <v>6.018518518518519E-4</v>
      </c>
      <c r="FU10" s="194" t="s">
        <v>85</v>
      </c>
      <c r="FV10" s="195">
        <v>0.010810185185185185</v>
      </c>
      <c r="FW10" s="194" t="s">
        <v>24</v>
      </c>
      <c r="FX10" s="195">
        <v>0.04109953703703704</v>
      </c>
      <c r="FY10" s="194" t="s">
        <v>463</v>
      </c>
      <c r="FZ10" s="195">
        <v>2.777777777777778E-4</v>
      </c>
      <c r="GA10" s="194" t="s">
        <v>463</v>
      </c>
      <c r="GB10" s="195">
        <v>0.01462962962962963</v>
      </c>
      <c r="GC10" s="194" t="s">
        <v>85</v>
      </c>
      <c r="GD10" s="195">
        <v>0.07309027777777778</v>
      </c>
      <c r="GE10" s="194" t="s">
        <v>49</v>
      </c>
      <c r="GF10" s="195">
        <v>0.00832175925925926</v>
      </c>
      <c r="GG10" s="194" t="s">
        <v>75</v>
      </c>
      <c r="GH10" s="195">
        <v>0.10094907407407408</v>
      </c>
      <c r="GI10" s="185" t="s">
        <v>463</v>
      </c>
      <c r="GJ10" s="186">
        <v>0.15677083333333333</v>
      </c>
      <c r="GK10" s="185" t="s">
        <v>463</v>
      </c>
      <c r="GL10" s="186">
        <v>0.24407407407407408</v>
      </c>
      <c r="GM10" s="185" t="s">
        <v>19</v>
      </c>
      <c r="GN10" s="186">
        <v>0.01394675925925926</v>
      </c>
      <c r="GO10" s="187" t="s">
        <v>19</v>
      </c>
      <c r="GP10" s="188">
        <v>0.04106481481481482</v>
      </c>
      <c r="GQ10" s="187" t="s">
        <v>463</v>
      </c>
      <c r="GR10" s="188">
        <v>0.13697916666666668</v>
      </c>
      <c r="GS10" s="187" t="s">
        <v>40</v>
      </c>
      <c r="GT10" s="188">
        <v>0.004849537037037037</v>
      </c>
      <c r="GU10" s="187" t="s">
        <v>24</v>
      </c>
      <c r="GV10" s="188">
        <v>0.026724537037037036</v>
      </c>
      <c r="GW10" s="190" t="s">
        <v>19</v>
      </c>
      <c r="GX10" s="191">
        <v>0.017407407407407406</v>
      </c>
      <c r="GY10" s="190" t="s">
        <v>19</v>
      </c>
      <c r="GZ10" s="191">
        <v>0.09583333333333334</v>
      </c>
      <c r="HA10" s="190" t="s">
        <v>24</v>
      </c>
      <c r="HB10" s="191">
        <v>0.009236111111111112</v>
      </c>
      <c r="HC10" s="190" t="s">
        <v>24</v>
      </c>
      <c r="HD10" s="191">
        <v>0.024155092592592593</v>
      </c>
      <c r="HE10" s="190" t="s">
        <v>43</v>
      </c>
      <c r="HF10" s="191">
        <v>0.010671296296296297</v>
      </c>
      <c r="HG10" s="190" t="s">
        <v>40</v>
      </c>
      <c r="HH10" s="191">
        <v>0.011516203703703704</v>
      </c>
      <c r="HI10" s="190" t="s">
        <v>44</v>
      </c>
      <c r="HJ10" s="191">
        <v>0.09094907407407407</v>
      </c>
      <c r="HK10" s="190" t="s">
        <v>43</v>
      </c>
      <c r="HL10" s="191">
        <v>0.026203703703703705</v>
      </c>
      <c r="HM10" s="190" t="s">
        <v>22</v>
      </c>
      <c r="HN10" s="191">
        <v>0.017407407407407406</v>
      </c>
      <c r="HO10" s="190" t="s">
        <v>31</v>
      </c>
      <c r="HP10" s="191">
        <v>1.7361111111111112E-4</v>
      </c>
      <c r="HQ10" s="190" t="s">
        <v>21</v>
      </c>
      <c r="HR10" s="191">
        <v>0.18332175925925925</v>
      </c>
      <c r="HS10" s="190" t="s">
        <v>19</v>
      </c>
      <c r="HT10" s="191">
        <v>0.016840277777777777</v>
      </c>
      <c r="HU10" s="190" t="s">
        <v>24</v>
      </c>
      <c r="HV10" s="191">
        <v>1.388888888888889E-4</v>
      </c>
      <c r="HW10" s="190" t="s">
        <v>43</v>
      </c>
      <c r="HX10" s="191">
        <v>0.011828703703703704</v>
      </c>
      <c r="HY10" s="187"/>
      <c r="HZ10" s="187"/>
      <c r="IA10" s="187"/>
      <c r="IB10" s="187"/>
      <c r="IC10" s="187"/>
      <c r="ID10" s="187"/>
      <c r="IE10" s="196" t="s">
        <v>95</v>
      </c>
      <c r="IF10" s="197">
        <v>0.4008449074074074</v>
      </c>
      <c r="IG10" s="178"/>
      <c r="IH10" s="196" t="s">
        <v>22</v>
      </c>
      <c r="II10" s="197">
        <v>0.003564814814814815</v>
      </c>
      <c r="IJ10" s="178"/>
      <c r="IK10" s="196" t="s">
        <v>43</v>
      </c>
      <c r="IL10" s="197">
        <v>0.0914699074074074</v>
      </c>
      <c r="IM10" s="196" t="s">
        <v>43</v>
      </c>
      <c r="IN10" s="197">
        <v>0.02232638888888889</v>
      </c>
      <c r="IO10" s="196" t="s">
        <v>22</v>
      </c>
      <c r="IP10" s="197">
        <v>0.06799768518518519</v>
      </c>
      <c r="IQ10" s="178"/>
      <c r="IR10" s="196" t="s">
        <v>44</v>
      </c>
      <c r="IS10" s="197">
        <v>0.02939814814814815</v>
      </c>
      <c r="IT10" s="178"/>
      <c r="IU10" s="196" t="s">
        <v>22</v>
      </c>
      <c r="IV10" s="197">
        <v>0.05820601851851852</v>
      </c>
      <c r="IW10" s="178"/>
      <c r="IX10" s="196" t="s">
        <v>22</v>
      </c>
      <c r="IY10" s="197">
        <v>0.08045138888888889</v>
      </c>
      <c r="IZ10" s="187" t="s">
        <v>8</v>
      </c>
      <c r="JA10" s="188">
        <v>0.03501157407407408</v>
      </c>
      <c r="JB10" s="187" t="s">
        <v>8</v>
      </c>
      <c r="JC10" s="188">
        <v>0.0225</v>
      </c>
      <c r="JD10" s="178"/>
    </row>
    <row r="11">
      <c r="A11" s="193"/>
      <c r="B11" s="193"/>
      <c r="C11" s="193"/>
      <c r="D11" s="193"/>
      <c r="E11" s="193"/>
      <c r="F11" s="193"/>
      <c r="G11" s="194" t="s">
        <v>99</v>
      </c>
      <c r="H11" s="195">
        <v>7.638888888888889E-4</v>
      </c>
      <c r="I11" s="193"/>
      <c r="J11" s="193"/>
      <c r="K11" s="193"/>
      <c r="L11" s="193"/>
      <c r="M11" s="193"/>
      <c r="N11" s="193"/>
      <c r="O11" s="194" t="s">
        <v>92</v>
      </c>
      <c r="P11" s="195">
        <v>0.007025462962962963</v>
      </c>
      <c r="Q11" s="194" t="s">
        <v>96</v>
      </c>
      <c r="R11" s="195">
        <v>0.0021875</v>
      </c>
      <c r="S11" s="193"/>
      <c r="T11" s="193"/>
      <c r="U11" s="194" t="s">
        <v>32</v>
      </c>
      <c r="V11" s="195">
        <v>2.777777777777778E-4</v>
      </c>
      <c r="W11" s="194" t="s">
        <v>105</v>
      </c>
      <c r="X11" s="195">
        <v>3.125E-4</v>
      </c>
      <c r="Y11" s="194" t="s">
        <v>60</v>
      </c>
      <c r="Z11" s="195">
        <v>0.0</v>
      </c>
      <c r="AA11" s="194" t="s">
        <v>425</v>
      </c>
      <c r="AB11" s="195">
        <v>0.03443287037037037</v>
      </c>
      <c r="AC11" s="194" t="s">
        <v>42</v>
      </c>
      <c r="AD11" s="195">
        <v>0.032199074074074074</v>
      </c>
      <c r="AE11" s="194" t="s">
        <v>42</v>
      </c>
      <c r="AF11" s="195">
        <v>0.015208333333333334</v>
      </c>
      <c r="AG11" s="194" t="s">
        <v>85</v>
      </c>
      <c r="AH11" s="195">
        <v>0.03144675925925926</v>
      </c>
      <c r="AI11" s="194" t="s">
        <v>74</v>
      </c>
      <c r="AJ11" s="195">
        <v>0.038877314814814816</v>
      </c>
      <c r="AK11" s="194" t="s">
        <v>74</v>
      </c>
      <c r="AL11" s="195">
        <v>0.04209490740740741</v>
      </c>
      <c r="AM11" s="194" t="s">
        <v>94</v>
      </c>
      <c r="AN11" s="195">
        <v>0.010844907407407407</v>
      </c>
      <c r="AO11" s="194" t="s">
        <v>75</v>
      </c>
      <c r="AP11" s="195">
        <v>0.22774305555555555</v>
      </c>
      <c r="AQ11" s="194" t="s">
        <v>94</v>
      </c>
      <c r="AR11" s="195">
        <v>0.021388888888888888</v>
      </c>
      <c r="AS11" s="194" t="s">
        <v>58</v>
      </c>
      <c r="AT11" s="195">
        <v>0.02212962962962963</v>
      </c>
      <c r="AU11" s="194" t="s">
        <v>74</v>
      </c>
      <c r="AV11" s="195">
        <v>0.2653125</v>
      </c>
      <c r="AW11" s="194" t="s">
        <v>74</v>
      </c>
      <c r="AX11" s="195">
        <v>0.27047453703703705</v>
      </c>
      <c r="AY11" s="194" t="s">
        <v>74</v>
      </c>
      <c r="AZ11" s="195">
        <v>0.2560763888888889</v>
      </c>
      <c r="BA11" s="194" t="s">
        <v>74</v>
      </c>
      <c r="BB11" s="195">
        <v>0.3314814814814815</v>
      </c>
      <c r="BC11" s="194" t="s">
        <v>74</v>
      </c>
      <c r="BD11" s="195">
        <v>0.40680555555555553</v>
      </c>
      <c r="BE11" s="194" t="s">
        <v>74</v>
      </c>
      <c r="BF11" s="195">
        <v>0.2876736111111111</v>
      </c>
      <c r="BG11" s="194" t="s">
        <v>74</v>
      </c>
      <c r="BH11" s="195">
        <v>0.17953703703703705</v>
      </c>
      <c r="BI11" s="194" t="s">
        <v>74</v>
      </c>
      <c r="BJ11" s="195">
        <v>0.28770833333333334</v>
      </c>
      <c r="BK11" s="194" t="s">
        <v>74</v>
      </c>
      <c r="BL11" s="195">
        <v>0.2929398148148148</v>
      </c>
      <c r="BM11" s="194" t="s">
        <v>74</v>
      </c>
      <c r="BN11" s="195">
        <v>0.22027777777777777</v>
      </c>
      <c r="BO11" s="194" t="s">
        <v>74</v>
      </c>
      <c r="BP11" s="195">
        <v>0.18638888888888888</v>
      </c>
      <c r="BQ11" s="194" t="s">
        <v>74</v>
      </c>
      <c r="BR11" s="195">
        <v>0.24488425925925925</v>
      </c>
      <c r="BS11" s="194" t="s">
        <v>74</v>
      </c>
      <c r="BT11" s="195">
        <v>0.12929398148148147</v>
      </c>
      <c r="BU11" s="194" t="s">
        <v>74</v>
      </c>
      <c r="BV11" s="195">
        <v>0.14181712962962964</v>
      </c>
      <c r="BW11" s="194" t="s">
        <v>74</v>
      </c>
      <c r="BX11" s="195">
        <v>0.13511574074074073</v>
      </c>
      <c r="BY11" s="194" t="s">
        <v>74</v>
      </c>
      <c r="BZ11" s="195">
        <v>0.15913194444444445</v>
      </c>
      <c r="CA11" s="194" t="s">
        <v>74</v>
      </c>
      <c r="CB11" s="195">
        <v>0.3297337962962963</v>
      </c>
      <c r="CC11" s="194" t="s">
        <v>74</v>
      </c>
      <c r="CD11" s="195">
        <v>0.25480324074074073</v>
      </c>
      <c r="CE11" s="194" t="s">
        <v>74</v>
      </c>
      <c r="CF11" s="195">
        <v>0.36375</v>
      </c>
      <c r="CG11" s="194" t="s">
        <v>74</v>
      </c>
      <c r="CH11" s="195">
        <v>0.09678240740740741</v>
      </c>
      <c r="CI11" s="194" t="s">
        <v>74</v>
      </c>
      <c r="CJ11" s="195">
        <v>0.020243055555555556</v>
      </c>
      <c r="CK11" s="194" t="s">
        <v>74</v>
      </c>
      <c r="CL11" s="195">
        <v>0.08385416666666666</v>
      </c>
      <c r="CM11" s="194" t="s">
        <v>74</v>
      </c>
      <c r="CN11" s="195">
        <v>0.06545138888888889</v>
      </c>
      <c r="CO11" s="194" t="s">
        <v>74</v>
      </c>
      <c r="CP11" s="195">
        <v>0.13416666666666666</v>
      </c>
      <c r="CQ11" s="194" t="s">
        <v>74</v>
      </c>
      <c r="CR11" s="195">
        <v>0.03601851851851852</v>
      </c>
      <c r="CS11" s="194" t="s">
        <v>74</v>
      </c>
      <c r="CT11" s="195">
        <v>0.09819444444444445</v>
      </c>
      <c r="CU11" s="194" t="s">
        <v>74</v>
      </c>
      <c r="CV11" s="195">
        <v>0.12967592592592592</v>
      </c>
      <c r="CW11" s="194" t="s">
        <v>74</v>
      </c>
      <c r="CX11" s="195">
        <v>0.11931712962962963</v>
      </c>
      <c r="CY11" s="194" t="s">
        <v>58</v>
      </c>
      <c r="CZ11" s="195">
        <v>0.08960648148148148</v>
      </c>
      <c r="DA11" s="194" t="s">
        <v>58</v>
      </c>
      <c r="DB11" s="195">
        <v>0.08523148148148148</v>
      </c>
      <c r="DC11" s="194" t="s">
        <v>58</v>
      </c>
      <c r="DD11" s="195">
        <v>0.04711805555555556</v>
      </c>
      <c r="DE11" s="194" t="s">
        <v>74</v>
      </c>
      <c r="DF11" s="195">
        <v>0.03273148148148148</v>
      </c>
      <c r="DG11" s="194" t="s">
        <v>74</v>
      </c>
      <c r="DH11" s="195">
        <v>1.1810416666666668</v>
      </c>
      <c r="DI11" s="194" t="s">
        <v>425</v>
      </c>
      <c r="DJ11" s="195">
        <v>0.1000462962962963</v>
      </c>
      <c r="DK11" s="194" t="s">
        <v>422</v>
      </c>
      <c r="DL11" s="195">
        <v>0.015381944444444445</v>
      </c>
      <c r="DM11" s="194" t="s">
        <v>422</v>
      </c>
      <c r="DN11" s="195">
        <v>0.025590277777777778</v>
      </c>
      <c r="DO11" s="194" t="s">
        <v>425</v>
      </c>
      <c r="DP11" s="195">
        <v>0.07353009259259259</v>
      </c>
      <c r="DQ11" s="194" t="s">
        <v>42</v>
      </c>
      <c r="DR11" s="195">
        <v>0.004293981481481481</v>
      </c>
      <c r="DS11" s="194" t="s">
        <v>42</v>
      </c>
      <c r="DT11" s="195">
        <v>0.0016087962962962963</v>
      </c>
      <c r="DU11" s="194" t="s">
        <v>425</v>
      </c>
      <c r="DV11" s="195">
        <v>0.08664351851851852</v>
      </c>
      <c r="DW11" s="194" t="s">
        <v>422</v>
      </c>
      <c r="DX11" s="195">
        <v>0.031226851851851853</v>
      </c>
      <c r="DY11" s="194" t="s">
        <v>463</v>
      </c>
      <c r="DZ11" s="195">
        <v>0.04839120370370371</v>
      </c>
      <c r="EA11" s="194" t="s">
        <v>75</v>
      </c>
      <c r="EB11" s="195">
        <v>0.004768518518518518</v>
      </c>
      <c r="EC11" s="194" t="s">
        <v>74</v>
      </c>
      <c r="ED11" s="195">
        <v>0.016203703703703703</v>
      </c>
      <c r="EE11" s="194" t="s">
        <v>425</v>
      </c>
      <c r="EF11" s="195">
        <v>0.004918981481481482</v>
      </c>
      <c r="EG11" s="194" t="s">
        <v>425</v>
      </c>
      <c r="EH11" s="195">
        <v>0.007048611111111111</v>
      </c>
      <c r="EI11" s="194" t="s">
        <v>463</v>
      </c>
      <c r="EJ11" s="195">
        <v>0.05193287037037037</v>
      </c>
      <c r="EK11" s="194" t="s">
        <v>463</v>
      </c>
      <c r="EL11" s="195">
        <v>0.11902777777777777</v>
      </c>
      <c r="EM11" s="194" t="s">
        <v>422</v>
      </c>
      <c r="EN11" s="195">
        <v>0.12971064814814814</v>
      </c>
      <c r="EO11" s="194" t="s">
        <v>42</v>
      </c>
      <c r="EP11" s="195">
        <v>0.053530092592592594</v>
      </c>
      <c r="EQ11" s="194" t="s">
        <v>425</v>
      </c>
      <c r="ER11" s="195">
        <v>0.004780092592592593</v>
      </c>
      <c r="ES11" s="194" t="s">
        <v>425</v>
      </c>
      <c r="ET11" s="195">
        <v>0.001400462962962963</v>
      </c>
      <c r="EU11" s="194" t="s">
        <v>422</v>
      </c>
      <c r="EV11" s="195">
        <v>0.18582175925925926</v>
      </c>
      <c r="EW11" s="194" t="s">
        <v>430</v>
      </c>
      <c r="EX11" s="195">
        <v>0.0017824074074074075</v>
      </c>
      <c r="EY11" s="194" t="s">
        <v>97</v>
      </c>
      <c r="EZ11" s="195">
        <v>3.0092592592592595E-4</v>
      </c>
      <c r="FA11" s="194" t="s">
        <v>463</v>
      </c>
      <c r="FB11" s="195">
        <v>0.0017708333333333332</v>
      </c>
      <c r="FC11" s="194" t="s">
        <v>422</v>
      </c>
      <c r="FD11" s="195">
        <v>0.1724652777777778</v>
      </c>
      <c r="FE11" s="194" t="s">
        <v>463</v>
      </c>
      <c r="FF11" s="195">
        <v>0.09111111111111111</v>
      </c>
      <c r="FG11" s="194" t="s">
        <v>422</v>
      </c>
      <c r="FH11" s="195">
        <v>0.03954861111111111</v>
      </c>
      <c r="FI11" s="194" t="s">
        <v>96</v>
      </c>
      <c r="FJ11" s="195">
        <v>4.2824074074074075E-4</v>
      </c>
      <c r="FK11" s="194" t="s">
        <v>85</v>
      </c>
      <c r="FL11" s="195">
        <v>0.003136574074074074</v>
      </c>
      <c r="FM11" s="194" t="s">
        <v>24</v>
      </c>
      <c r="FN11" s="195">
        <v>0.039108796296296294</v>
      </c>
      <c r="FO11" s="194" t="s">
        <v>42</v>
      </c>
      <c r="FP11" s="195">
        <v>0.018935185185185187</v>
      </c>
      <c r="FQ11" s="194" t="s">
        <v>24</v>
      </c>
      <c r="FR11" s="195">
        <v>0.01778935185185185</v>
      </c>
      <c r="FS11" s="194" t="s">
        <v>89</v>
      </c>
      <c r="FT11" s="195">
        <v>0.10079861111111112</v>
      </c>
      <c r="FU11" s="194" t="s">
        <v>49</v>
      </c>
      <c r="FV11" s="195">
        <v>0.014027777777777778</v>
      </c>
      <c r="FW11" s="194" t="s">
        <v>422</v>
      </c>
      <c r="FX11" s="195">
        <v>0.005509259259259259</v>
      </c>
      <c r="FY11" s="194" t="s">
        <v>92</v>
      </c>
      <c r="FZ11" s="195">
        <v>0.010462962962962962</v>
      </c>
      <c r="GA11" s="194" t="s">
        <v>92</v>
      </c>
      <c r="GB11" s="195">
        <v>0.016574074074074074</v>
      </c>
      <c r="GC11" s="194" t="s">
        <v>49</v>
      </c>
      <c r="GD11" s="195">
        <v>0.0022222222222222222</v>
      </c>
      <c r="GE11" s="194" t="s">
        <v>89</v>
      </c>
      <c r="GF11" s="195">
        <v>0.12498842592592592</v>
      </c>
      <c r="GG11" s="194" t="s">
        <v>85</v>
      </c>
      <c r="GH11" s="195">
        <v>0.4483101851851852</v>
      </c>
      <c r="GI11" s="185" t="s">
        <v>19</v>
      </c>
      <c r="GJ11" s="186">
        <v>0.061446759259259257</v>
      </c>
      <c r="GK11" s="185" t="s">
        <v>19</v>
      </c>
      <c r="GL11" s="186">
        <v>0.00755787037037037</v>
      </c>
      <c r="GM11" s="185" t="s">
        <v>40</v>
      </c>
      <c r="GN11" s="186">
        <v>0.025</v>
      </c>
      <c r="GO11" s="187" t="s">
        <v>40</v>
      </c>
      <c r="GP11" s="188">
        <v>0.06291666666666666</v>
      </c>
      <c r="GQ11" s="187" t="s">
        <v>19</v>
      </c>
      <c r="GR11" s="188">
        <v>0.04127314814814815</v>
      </c>
      <c r="GS11" s="187" t="s">
        <v>21</v>
      </c>
      <c r="GT11" s="188">
        <v>0.1802199074074074</v>
      </c>
      <c r="GU11" s="187" t="s">
        <v>422</v>
      </c>
      <c r="GV11" s="188">
        <v>0.03818287037037037</v>
      </c>
      <c r="GW11" s="190" t="s">
        <v>21</v>
      </c>
      <c r="GX11" s="191">
        <v>0.06951388888888889</v>
      </c>
      <c r="GY11" s="190" t="s">
        <v>21</v>
      </c>
      <c r="GZ11" s="191">
        <v>0.056053240740740744</v>
      </c>
      <c r="HA11" s="190" t="s">
        <v>422</v>
      </c>
      <c r="HB11" s="191">
        <v>0.038530092592592595</v>
      </c>
      <c r="HC11" s="190" t="s">
        <v>422</v>
      </c>
      <c r="HD11" s="191">
        <v>0.05542824074074074</v>
      </c>
      <c r="HE11" s="190" t="s">
        <v>22</v>
      </c>
      <c r="HF11" s="191">
        <v>0.0840162037037037</v>
      </c>
      <c r="HG11" s="190" t="s">
        <v>44</v>
      </c>
      <c r="HH11" s="191">
        <v>0.032025462962962964</v>
      </c>
      <c r="HI11" s="190" t="s">
        <v>21</v>
      </c>
      <c r="HJ11" s="191">
        <v>0.012372685185185184</v>
      </c>
      <c r="HK11" s="190" t="s">
        <v>22</v>
      </c>
      <c r="HL11" s="191">
        <v>0.025138888888888888</v>
      </c>
      <c r="HM11" s="190" t="s">
        <v>8</v>
      </c>
      <c r="HN11" s="191">
        <v>0.11840277777777777</v>
      </c>
      <c r="HO11" s="190" t="s">
        <v>22</v>
      </c>
      <c r="HP11" s="191">
        <v>0.05631944444444444</v>
      </c>
      <c r="HQ11" s="190" t="s">
        <v>31</v>
      </c>
      <c r="HR11" s="191">
        <v>0.03456018518518519</v>
      </c>
      <c r="HS11" s="190" t="s">
        <v>40</v>
      </c>
      <c r="HT11" s="191">
        <v>0.010671296296296297</v>
      </c>
      <c r="HU11" s="190" t="s">
        <v>19</v>
      </c>
      <c r="HV11" s="191">
        <v>0.0518287037037037</v>
      </c>
      <c r="HW11" s="190" t="s">
        <v>32</v>
      </c>
      <c r="HX11" s="191">
        <v>4.166666666666667E-4</v>
      </c>
      <c r="HY11" s="187"/>
      <c r="HZ11" s="187"/>
      <c r="IA11" s="187"/>
      <c r="IB11" s="187"/>
      <c r="IC11" s="187"/>
      <c r="ID11" s="187"/>
      <c r="IE11" s="196" t="s">
        <v>79</v>
      </c>
      <c r="IF11" s="197">
        <v>0.012453703703703703</v>
      </c>
      <c r="IG11" s="178"/>
      <c r="IH11" s="196" t="s">
        <v>58</v>
      </c>
      <c r="II11" s="197">
        <v>0.028182870370370372</v>
      </c>
      <c r="IJ11" s="178"/>
      <c r="IK11" s="196" t="s">
        <v>22</v>
      </c>
      <c r="IL11" s="197">
        <v>0.038738425925925926</v>
      </c>
      <c r="IM11" s="196" t="s">
        <v>22</v>
      </c>
      <c r="IN11" s="197">
        <v>0.09392361111111111</v>
      </c>
      <c r="IO11" s="196" t="s">
        <v>8</v>
      </c>
      <c r="IP11" s="197">
        <v>0.06068287037037037</v>
      </c>
      <c r="IQ11" s="178"/>
      <c r="IR11" s="196" t="s">
        <v>22</v>
      </c>
      <c r="IS11" s="197">
        <v>0.026354166666666668</v>
      </c>
      <c r="IT11" s="178"/>
      <c r="IU11" s="196" t="s">
        <v>8</v>
      </c>
      <c r="IV11" s="197">
        <v>0.01716435185185185</v>
      </c>
      <c r="IW11" s="178"/>
      <c r="IX11" s="196" t="s">
        <v>8</v>
      </c>
      <c r="IY11" s="197">
        <v>0.07644675925925926</v>
      </c>
      <c r="IZ11" s="187" t="s">
        <v>20</v>
      </c>
      <c r="JA11" s="188">
        <v>0.10371527777777778</v>
      </c>
      <c r="JB11" s="187" t="s">
        <v>20</v>
      </c>
      <c r="JC11" s="188">
        <v>0.09284722222222222</v>
      </c>
      <c r="JD11" s="178"/>
    </row>
    <row r="12">
      <c r="A12" s="193"/>
      <c r="B12" s="193"/>
      <c r="C12" s="193"/>
      <c r="D12" s="193"/>
      <c r="E12" s="193"/>
      <c r="F12" s="193"/>
      <c r="G12" s="194" t="s">
        <v>18</v>
      </c>
      <c r="H12" s="195">
        <v>0.002372685185185185</v>
      </c>
      <c r="I12" s="193"/>
      <c r="J12" s="193"/>
      <c r="K12" s="193"/>
      <c r="L12" s="193"/>
      <c r="M12" s="193"/>
      <c r="N12" s="193"/>
      <c r="O12" s="194" t="s">
        <v>97</v>
      </c>
      <c r="P12" s="195">
        <v>0.005104166666666667</v>
      </c>
      <c r="Q12" s="194" t="s">
        <v>92</v>
      </c>
      <c r="R12" s="195">
        <v>0.004965277777777778</v>
      </c>
      <c r="S12" s="193"/>
      <c r="T12" s="193"/>
      <c r="U12" s="194" t="s">
        <v>87</v>
      </c>
      <c r="V12" s="195">
        <v>0.005648148148148148</v>
      </c>
      <c r="W12" s="194" t="s">
        <v>83</v>
      </c>
      <c r="X12" s="195">
        <v>0.007476851851851852</v>
      </c>
      <c r="Y12" s="194" t="s">
        <v>82</v>
      </c>
      <c r="Z12" s="195">
        <v>0.0020949074074074073</v>
      </c>
      <c r="AA12" s="194" t="s">
        <v>42</v>
      </c>
      <c r="AB12" s="195">
        <v>0.11864583333333334</v>
      </c>
      <c r="AC12" s="194" t="s">
        <v>96</v>
      </c>
      <c r="AD12" s="195">
        <v>1.5046296296296297E-4</v>
      </c>
      <c r="AE12" s="194" t="s">
        <v>79</v>
      </c>
      <c r="AF12" s="195">
        <v>4.2824074074074075E-4</v>
      </c>
      <c r="AG12" s="194" t="s">
        <v>49</v>
      </c>
      <c r="AH12" s="195">
        <v>0.00986111111111111</v>
      </c>
      <c r="AI12" s="194" t="s">
        <v>94</v>
      </c>
      <c r="AJ12" s="195">
        <v>0.009814814814814814</v>
      </c>
      <c r="AK12" s="194" t="s">
        <v>58</v>
      </c>
      <c r="AL12" s="195">
        <v>0.023842592592592592</v>
      </c>
      <c r="AM12" s="194" t="s">
        <v>75</v>
      </c>
      <c r="AN12" s="195">
        <v>0.18337962962962964</v>
      </c>
      <c r="AO12" s="194" t="s">
        <v>85</v>
      </c>
      <c r="AP12" s="195">
        <v>0.10427083333333333</v>
      </c>
      <c r="AQ12" s="194" t="s">
        <v>75</v>
      </c>
      <c r="AR12" s="195">
        <v>0.19408564814814816</v>
      </c>
      <c r="AS12" s="194" t="s">
        <v>94</v>
      </c>
      <c r="AT12" s="195">
        <v>0.09278935185185185</v>
      </c>
      <c r="AU12" s="194" t="s">
        <v>58</v>
      </c>
      <c r="AV12" s="195">
        <v>0.022569444444444444</v>
      </c>
      <c r="AW12" s="194" t="s">
        <v>58</v>
      </c>
      <c r="AX12" s="195">
        <v>0.028715277777777777</v>
      </c>
      <c r="AY12" s="194" t="s">
        <v>58</v>
      </c>
      <c r="AZ12" s="195">
        <v>0.05731481481481481</v>
      </c>
      <c r="BA12" s="194" t="s">
        <v>58</v>
      </c>
      <c r="BB12" s="195">
        <v>0.005763888888888889</v>
      </c>
      <c r="BC12" s="194" t="s">
        <v>58</v>
      </c>
      <c r="BD12" s="195">
        <v>0.041087962962962965</v>
      </c>
      <c r="BE12" s="194" t="s">
        <v>58</v>
      </c>
      <c r="BF12" s="195">
        <v>0.034386574074074076</v>
      </c>
      <c r="BG12" s="194" t="s">
        <v>58</v>
      </c>
      <c r="BH12" s="195">
        <v>0.02914351851851852</v>
      </c>
      <c r="BI12" s="194" t="s">
        <v>58</v>
      </c>
      <c r="BJ12" s="195">
        <v>0.05694444444444444</v>
      </c>
      <c r="BK12" s="194" t="s">
        <v>58</v>
      </c>
      <c r="BL12" s="195">
        <v>0.1332523148148148</v>
      </c>
      <c r="BM12" s="194" t="s">
        <v>58</v>
      </c>
      <c r="BN12" s="195">
        <v>0.1567476851851852</v>
      </c>
      <c r="BO12" s="194" t="s">
        <v>58</v>
      </c>
      <c r="BP12" s="195">
        <v>0.08800925925925926</v>
      </c>
      <c r="BQ12" s="194" t="s">
        <v>58</v>
      </c>
      <c r="BR12" s="195">
        <v>0.06053240740740741</v>
      </c>
      <c r="BS12" s="194" t="s">
        <v>58</v>
      </c>
      <c r="BT12" s="195">
        <v>0.12474537037037037</v>
      </c>
      <c r="BU12" s="194" t="s">
        <v>58</v>
      </c>
      <c r="BV12" s="195">
        <v>0.08540509259259259</v>
      </c>
      <c r="BW12" s="194" t="s">
        <v>58</v>
      </c>
      <c r="BX12" s="195">
        <v>0.25614583333333335</v>
      </c>
      <c r="BY12" s="194" t="s">
        <v>58</v>
      </c>
      <c r="BZ12" s="195">
        <v>0.29542824074074076</v>
      </c>
      <c r="CA12" s="194" t="s">
        <v>58</v>
      </c>
      <c r="CB12" s="195">
        <v>0.14645833333333333</v>
      </c>
      <c r="CC12" s="194" t="s">
        <v>58</v>
      </c>
      <c r="CD12" s="195">
        <v>0.1254861111111111</v>
      </c>
      <c r="CE12" s="194" t="s">
        <v>58</v>
      </c>
      <c r="CF12" s="195">
        <v>0.09560185185185185</v>
      </c>
      <c r="CG12" s="194" t="s">
        <v>58</v>
      </c>
      <c r="CH12" s="195">
        <v>0.06053240740740741</v>
      </c>
      <c r="CI12" s="194" t="s">
        <v>58</v>
      </c>
      <c r="CJ12" s="195">
        <v>0.05181712962962963</v>
      </c>
      <c r="CK12" s="194" t="s">
        <v>58</v>
      </c>
      <c r="CL12" s="195">
        <v>0.10767361111111111</v>
      </c>
      <c r="CM12" s="194" t="s">
        <v>58</v>
      </c>
      <c r="CN12" s="195">
        <v>0.07260416666666666</v>
      </c>
      <c r="CO12" s="194" t="s">
        <v>58</v>
      </c>
      <c r="CP12" s="195">
        <v>0.004108796296296296</v>
      </c>
      <c r="CQ12" s="194" t="s">
        <v>58</v>
      </c>
      <c r="CR12" s="195">
        <v>0.008148148148148147</v>
      </c>
      <c r="CS12" s="194" t="s">
        <v>58</v>
      </c>
      <c r="CT12" s="195">
        <v>0.02232638888888889</v>
      </c>
      <c r="CU12" s="194" t="s">
        <v>58</v>
      </c>
      <c r="CV12" s="195">
        <v>0.014861111111111111</v>
      </c>
      <c r="CW12" s="194" t="s">
        <v>58</v>
      </c>
      <c r="CX12" s="195">
        <v>0.04673611111111111</v>
      </c>
      <c r="CY12" s="194" t="s">
        <v>94</v>
      </c>
      <c r="CZ12" s="195">
        <v>0.009918981481481482</v>
      </c>
      <c r="DA12" s="194" t="s">
        <v>75</v>
      </c>
      <c r="DB12" s="195">
        <v>0.07087962962962963</v>
      </c>
      <c r="DC12" s="194" t="s">
        <v>94</v>
      </c>
      <c r="DD12" s="195">
        <v>0.014421296296296297</v>
      </c>
      <c r="DE12" s="194" t="s">
        <v>58</v>
      </c>
      <c r="DF12" s="195">
        <v>0.059814814814814814</v>
      </c>
      <c r="DG12" s="194" t="s">
        <v>58</v>
      </c>
      <c r="DH12" s="195">
        <v>4.102372685185186</v>
      </c>
      <c r="DI12" s="194" t="s">
        <v>24</v>
      </c>
      <c r="DJ12" s="195">
        <v>0.05243055555555556</v>
      </c>
      <c r="DK12" s="194" t="s">
        <v>463</v>
      </c>
      <c r="DL12" s="195">
        <v>0.14168981481481482</v>
      </c>
      <c r="DM12" s="194" t="s">
        <v>463</v>
      </c>
      <c r="DN12" s="195">
        <v>0.06414351851851852</v>
      </c>
      <c r="DO12" s="194" t="s">
        <v>24</v>
      </c>
      <c r="DP12" s="195">
        <v>0.031053240740740742</v>
      </c>
      <c r="DQ12" s="194" t="s">
        <v>422</v>
      </c>
      <c r="DR12" s="195">
        <v>0.017013888888888887</v>
      </c>
      <c r="DS12" s="194" t="s">
        <v>422</v>
      </c>
      <c r="DT12" s="195">
        <v>0.013136574074074075</v>
      </c>
      <c r="DU12" s="194" t="s">
        <v>24</v>
      </c>
      <c r="DV12" s="195">
        <v>0.024340277777777777</v>
      </c>
      <c r="DW12" s="194" t="s">
        <v>463</v>
      </c>
      <c r="DX12" s="195">
        <v>0.05859953703703704</v>
      </c>
      <c r="DY12" s="194" t="s">
        <v>19</v>
      </c>
      <c r="DZ12" s="195">
        <v>0.011805555555555555</v>
      </c>
      <c r="EA12" s="194" t="s">
        <v>89</v>
      </c>
      <c r="EB12" s="195">
        <v>0.0032407407407407406</v>
      </c>
      <c r="EC12" s="194" t="s">
        <v>94</v>
      </c>
      <c r="ED12" s="195">
        <v>0.012604166666666666</v>
      </c>
      <c r="EE12" s="194" t="s">
        <v>24</v>
      </c>
      <c r="EF12" s="195">
        <v>0.0018865740740740742</v>
      </c>
      <c r="EG12" s="194" t="s">
        <v>42</v>
      </c>
      <c r="EH12" s="195">
        <v>0.0019560185185185184</v>
      </c>
      <c r="EI12" s="194" t="s">
        <v>92</v>
      </c>
      <c r="EJ12" s="195">
        <v>0.24738425925925925</v>
      </c>
      <c r="EK12" s="194" t="s">
        <v>92</v>
      </c>
      <c r="EL12" s="195">
        <v>0.33391203703703703</v>
      </c>
      <c r="EM12" s="194" t="s">
        <v>463</v>
      </c>
      <c r="EN12" s="195">
        <v>0.04203703703703704</v>
      </c>
      <c r="EO12" s="194" t="s">
        <v>422</v>
      </c>
      <c r="EP12" s="195">
        <v>0.2620601851851852</v>
      </c>
      <c r="EQ12" s="194" t="s">
        <v>42</v>
      </c>
      <c r="ER12" s="195">
        <v>0.020405092592592593</v>
      </c>
      <c r="ES12" s="194" t="s">
        <v>42</v>
      </c>
      <c r="ET12" s="195">
        <v>0.02133101851851852</v>
      </c>
      <c r="EU12" s="194" t="s">
        <v>463</v>
      </c>
      <c r="EV12" s="195">
        <v>0.06640046296296297</v>
      </c>
      <c r="EW12" s="194" t="s">
        <v>24</v>
      </c>
      <c r="EX12" s="195">
        <v>0.014525462962962962</v>
      </c>
      <c r="EY12" s="194" t="s">
        <v>102</v>
      </c>
      <c r="EZ12" s="195">
        <v>0.008414351851851852</v>
      </c>
      <c r="FA12" s="194" t="s">
        <v>92</v>
      </c>
      <c r="FB12" s="195">
        <v>0.0732986111111111</v>
      </c>
      <c r="FC12" s="194" t="s">
        <v>96</v>
      </c>
      <c r="FD12" s="195">
        <v>0.0032407407407407406</v>
      </c>
      <c r="FE12" s="194" t="s">
        <v>92</v>
      </c>
      <c r="FF12" s="195">
        <v>0.11667824074074074</v>
      </c>
      <c r="FG12" s="194" t="s">
        <v>96</v>
      </c>
      <c r="FH12" s="195">
        <v>0.06703703703703703</v>
      </c>
      <c r="FI12" s="194" t="s">
        <v>463</v>
      </c>
      <c r="FJ12" s="195">
        <v>0.06465277777777778</v>
      </c>
      <c r="FK12" s="194" t="s">
        <v>89</v>
      </c>
      <c r="FL12" s="195">
        <v>0.009039351851851852</v>
      </c>
      <c r="FM12" s="194" t="s">
        <v>42</v>
      </c>
      <c r="FN12" s="195">
        <v>0.004143518518518519</v>
      </c>
      <c r="FO12" s="194" t="s">
        <v>422</v>
      </c>
      <c r="FP12" s="195">
        <v>0.05417824074074074</v>
      </c>
      <c r="FQ12" s="194" t="s">
        <v>42</v>
      </c>
      <c r="FR12" s="195">
        <v>0.050034722222222223</v>
      </c>
      <c r="FS12" s="194" t="s">
        <v>425</v>
      </c>
      <c r="FT12" s="195">
        <v>0.1228587962962963</v>
      </c>
      <c r="FU12" s="194" t="s">
        <v>89</v>
      </c>
      <c r="FV12" s="195">
        <v>0.017025462962962964</v>
      </c>
      <c r="FW12" s="194" t="s">
        <v>19</v>
      </c>
      <c r="FX12" s="195">
        <v>0.002951388888888889</v>
      </c>
      <c r="FY12" s="194" t="s">
        <v>19</v>
      </c>
      <c r="FZ12" s="195">
        <v>0.010104166666666666</v>
      </c>
      <c r="GA12" s="194" t="s">
        <v>19</v>
      </c>
      <c r="GB12" s="195">
        <v>0.03594907407407407</v>
      </c>
      <c r="GC12" s="194" t="s">
        <v>89</v>
      </c>
      <c r="GD12" s="195">
        <v>0.04472222222222222</v>
      </c>
      <c r="GE12" s="194" t="s">
        <v>425</v>
      </c>
      <c r="GF12" s="195">
        <v>0.10577546296296296</v>
      </c>
      <c r="GG12" s="194" t="s">
        <v>49</v>
      </c>
      <c r="GH12" s="195">
        <v>0.003298611111111111</v>
      </c>
      <c r="GI12" s="185" t="s">
        <v>21</v>
      </c>
      <c r="GJ12" s="186">
        <v>0.1516435185185185</v>
      </c>
      <c r="GK12" s="185" t="s">
        <v>21</v>
      </c>
      <c r="GL12" s="186">
        <v>0.08229166666666667</v>
      </c>
      <c r="GM12" s="185" t="s">
        <v>21</v>
      </c>
      <c r="GN12" s="186">
        <v>0.08612268518518519</v>
      </c>
      <c r="GO12" s="187" t="s">
        <v>21</v>
      </c>
      <c r="GP12" s="188">
        <v>0.09428240740740741</v>
      </c>
      <c r="GQ12" s="187" t="s">
        <v>40</v>
      </c>
      <c r="GR12" s="188">
        <v>0.008136574074074074</v>
      </c>
      <c r="GS12" s="187" t="s">
        <v>31</v>
      </c>
      <c r="GT12" s="188">
        <v>0.010266203703703704</v>
      </c>
      <c r="GU12" s="187" t="s">
        <v>463</v>
      </c>
      <c r="GV12" s="188">
        <v>0.09858796296296296</v>
      </c>
      <c r="GW12" s="190" t="s">
        <v>43</v>
      </c>
      <c r="GX12" s="191">
        <v>0.004733796296296297</v>
      </c>
      <c r="GY12" s="190" t="s">
        <v>43</v>
      </c>
      <c r="GZ12" s="191">
        <v>0.012118055555555556</v>
      </c>
      <c r="HA12" s="190" t="s">
        <v>463</v>
      </c>
      <c r="HB12" s="191">
        <v>0.17298611111111112</v>
      </c>
      <c r="HC12" s="190" t="s">
        <v>463</v>
      </c>
      <c r="HD12" s="191">
        <v>0.25171296296296297</v>
      </c>
      <c r="HE12" s="190" t="s">
        <v>8</v>
      </c>
      <c r="HF12" s="191">
        <v>0.06201388888888889</v>
      </c>
      <c r="HG12" s="190" t="s">
        <v>43</v>
      </c>
      <c r="HH12" s="191">
        <v>0.009872685185185186</v>
      </c>
      <c r="HI12" s="190" t="s">
        <v>43</v>
      </c>
      <c r="HJ12" s="191">
        <v>0.004293981481481481</v>
      </c>
      <c r="HK12" s="190" t="s">
        <v>8</v>
      </c>
      <c r="HL12" s="191">
        <v>0.07994212962962963</v>
      </c>
      <c r="HM12" s="190" t="s">
        <v>20</v>
      </c>
      <c r="HN12" s="191">
        <v>0.17859953703703704</v>
      </c>
      <c r="HO12" s="190" t="s">
        <v>8</v>
      </c>
      <c r="HP12" s="191">
        <v>0.0692013888888889</v>
      </c>
      <c r="HQ12" s="190" t="s">
        <v>22</v>
      </c>
      <c r="HR12" s="191">
        <v>0.03679398148148148</v>
      </c>
      <c r="HS12" s="190" t="s">
        <v>21</v>
      </c>
      <c r="HT12" s="191">
        <v>0.22047453703703704</v>
      </c>
      <c r="HU12" s="190" t="s">
        <v>21</v>
      </c>
      <c r="HV12" s="191">
        <v>0.23368055555555556</v>
      </c>
      <c r="HW12" s="190" t="s">
        <v>22</v>
      </c>
      <c r="HX12" s="191">
        <v>0.06394675925925926</v>
      </c>
      <c r="HY12" s="187"/>
      <c r="HZ12" s="187"/>
      <c r="IA12" s="187"/>
      <c r="IB12" s="187"/>
      <c r="IC12" s="187"/>
      <c r="ID12" s="187"/>
      <c r="IE12" s="196" t="s">
        <v>422</v>
      </c>
      <c r="IF12" s="197">
        <v>0.6100925925925926</v>
      </c>
      <c r="IG12" s="178"/>
      <c r="IH12" s="196" t="s">
        <v>59</v>
      </c>
      <c r="II12" s="197">
        <v>0.02423611111111111</v>
      </c>
      <c r="IJ12" s="178"/>
      <c r="IK12" s="196" t="s">
        <v>8</v>
      </c>
      <c r="IL12" s="197">
        <v>0.08140046296296297</v>
      </c>
      <c r="IM12" s="196" t="s">
        <v>8</v>
      </c>
      <c r="IN12" s="197">
        <v>0.11774305555555556</v>
      </c>
      <c r="IO12" s="196" t="s">
        <v>20</v>
      </c>
      <c r="IP12" s="197">
        <v>0.0768287037037037</v>
      </c>
      <c r="IQ12" s="178"/>
      <c r="IR12" s="196" t="s">
        <v>8</v>
      </c>
      <c r="IS12" s="197">
        <v>0.03177083333333333</v>
      </c>
      <c r="IT12" s="178"/>
      <c r="IU12" s="196" t="s">
        <v>20</v>
      </c>
      <c r="IV12" s="197">
        <v>0.1437037037037037</v>
      </c>
      <c r="IW12" s="178"/>
      <c r="IX12" s="196" t="s">
        <v>20</v>
      </c>
      <c r="IY12" s="197">
        <v>0.18400462962962963</v>
      </c>
      <c r="IZ12" s="187" t="s">
        <v>33</v>
      </c>
      <c r="JA12" s="188">
        <v>0.02454861111111111</v>
      </c>
      <c r="JB12" s="187" t="s">
        <v>33</v>
      </c>
      <c r="JC12" s="188">
        <v>0.024791666666666667</v>
      </c>
      <c r="JD12" s="178"/>
    </row>
    <row r="13">
      <c r="A13" s="193"/>
      <c r="B13" s="193"/>
      <c r="C13" s="193"/>
      <c r="D13" s="193"/>
      <c r="E13" s="193"/>
      <c r="F13" s="193"/>
      <c r="G13" s="194" t="s">
        <v>41</v>
      </c>
      <c r="H13" s="195">
        <v>0.0028356481481481483</v>
      </c>
      <c r="I13" s="193"/>
      <c r="J13" s="193"/>
      <c r="K13" s="193"/>
      <c r="L13" s="193"/>
      <c r="M13" s="193"/>
      <c r="N13" s="193"/>
      <c r="O13" s="194" t="s">
        <v>57</v>
      </c>
      <c r="P13" s="195">
        <v>0.0043518518518518515</v>
      </c>
      <c r="Q13" s="194" t="s">
        <v>97</v>
      </c>
      <c r="R13" s="195">
        <v>0.013449074074074073</v>
      </c>
      <c r="S13" s="193"/>
      <c r="T13" s="193"/>
      <c r="U13" s="198" t="s">
        <v>93</v>
      </c>
      <c r="V13" s="199">
        <v>0.0</v>
      </c>
      <c r="W13" s="194" t="s">
        <v>71</v>
      </c>
      <c r="X13" s="195">
        <v>0.0</v>
      </c>
      <c r="Y13" s="194" t="s">
        <v>91</v>
      </c>
      <c r="Z13" s="195">
        <v>0.0033680555555555556</v>
      </c>
      <c r="AA13" s="194" t="s">
        <v>422</v>
      </c>
      <c r="AB13" s="195">
        <v>1.8518518518518518E-4</v>
      </c>
      <c r="AC13" s="194" t="s">
        <v>97</v>
      </c>
      <c r="AD13" s="195">
        <v>0.0165625</v>
      </c>
      <c r="AE13" s="194" t="s">
        <v>96</v>
      </c>
      <c r="AF13" s="195">
        <v>9.027777777777777E-4</v>
      </c>
      <c r="AG13" s="194" t="s">
        <v>425</v>
      </c>
      <c r="AH13" s="195">
        <v>1.8518518518518518E-4</v>
      </c>
      <c r="AI13" s="194" t="s">
        <v>75</v>
      </c>
      <c r="AJ13" s="195">
        <v>0.1763425925925926</v>
      </c>
      <c r="AK13" s="194" t="s">
        <v>94</v>
      </c>
      <c r="AL13" s="195">
        <v>0.026157407407407407</v>
      </c>
      <c r="AM13" s="194" t="s">
        <v>85</v>
      </c>
      <c r="AN13" s="195">
        <v>0.09766203703703703</v>
      </c>
      <c r="AO13" s="194" t="s">
        <v>49</v>
      </c>
      <c r="AP13" s="195">
        <v>1.388888888888889E-4</v>
      </c>
      <c r="AQ13" s="194" t="s">
        <v>85</v>
      </c>
      <c r="AR13" s="195">
        <v>0.11693287037037037</v>
      </c>
      <c r="AS13" s="194" t="s">
        <v>75</v>
      </c>
      <c r="AT13" s="195">
        <v>0.10422453703703703</v>
      </c>
      <c r="AU13" s="194" t="s">
        <v>94</v>
      </c>
      <c r="AV13" s="195">
        <v>0.22694444444444445</v>
      </c>
      <c r="AW13" s="194" t="s">
        <v>94</v>
      </c>
      <c r="AX13" s="195">
        <v>0.38341435185185185</v>
      </c>
      <c r="AY13" s="194" t="s">
        <v>94</v>
      </c>
      <c r="AZ13" s="195">
        <v>0.6848032407407407</v>
      </c>
      <c r="BA13" s="194" t="s">
        <v>94</v>
      </c>
      <c r="BB13" s="195">
        <v>1.2296527777777777</v>
      </c>
      <c r="BC13" s="194" t="s">
        <v>94</v>
      </c>
      <c r="BD13" s="195">
        <v>0.6378125</v>
      </c>
      <c r="BE13" s="194" t="s">
        <v>94</v>
      </c>
      <c r="BF13" s="195">
        <v>0.17059027777777777</v>
      </c>
      <c r="BG13" s="194" t="s">
        <v>94</v>
      </c>
      <c r="BH13" s="195">
        <v>0.34447916666666667</v>
      </c>
      <c r="BI13" s="194" t="s">
        <v>94</v>
      </c>
      <c r="BJ13" s="195">
        <v>0.14528935185185185</v>
      </c>
      <c r="BK13" s="194" t="s">
        <v>94</v>
      </c>
      <c r="BL13" s="195">
        <v>0.12944444444444445</v>
      </c>
      <c r="BM13" s="194" t="s">
        <v>94</v>
      </c>
      <c r="BN13" s="195">
        <v>0.09457175925925926</v>
      </c>
      <c r="BO13" s="194" t="s">
        <v>94</v>
      </c>
      <c r="BP13" s="195">
        <v>0.11913194444444444</v>
      </c>
      <c r="BQ13" s="194" t="s">
        <v>94</v>
      </c>
      <c r="BR13" s="195">
        <v>0.09105324074074074</v>
      </c>
      <c r="BS13" s="194" t="s">
        <v>94</v>
      </c>
      <c r="BT13" s="195">
        <v>0.043599537037037034</v>
      </c>
      <c r="BU13" s="194" t="s">
        <v>94</v>
      </c>
      <c r="BV13" s="195">
        <v>0.056979166666666664</v>
      </c>
      <c r="BW13" s="194" t="s">
        <v>94</v>
      </c>
      <c r="BX13" s="195">
        <v>0.05810185185185185</v>
      </c>
      <c r="BY13" s="194" t="s">
        <v>94</v>
      </c>
      <c r="BZ13" s="195">
        <v>0.14765046296296297</v>
      </c>
      <c r="CA13" s="194" t="s">
        <v>94</v>
      </c>
      <c r="CB13" s="195">
        <v>0.16782407407407407</v>
      </c>
      <c r="CC13" s="194" t="s">
        <v>94</v>
      </c>
      <c r="CD13" s="195">
        <v>0.07570601851851852</v>
      </c>
      <c r="CE13" s="194" t="s">
        <v>94</v>
      </c>
      <c r="CF13" s="195">
        <v>0.07984953703703704</v>
      </c>
      <c r="CG13" s="194" t="s">
        <v>94</v>
      </c>
      <c r="CH13" s="195">
        <v>0.0021643518518518518</v>
      </c>
      <c r="CI13" s="194" t="s">
        <v>75</v>
      </c>
      <c r="CJ13" s="195">
        <v>0.023530092592592592</v>
      </c>
      <c r="CK13" s="194" t="s">
        <v>94</v>
      </c>
      <c r="CL13" s="195">
        <v>0.040081018518518516</v>
      </c>
      <c r="CM13" s="194" t="s">
        <v>94</v>
      </c>
      <c r="CN13" s="195">
        <v>0.032824074074074075</v>
      </c>
      <c r="CO13" s="194" t="s">
        <v>94</v>
      </c>
      <c r="CP13" s="195">
        <v>0.0060648148148148145</v>
      </c>
      <c r="CQ13" s="194" t="s">
        <v>94</v>
      </c>
      <c r="CR13" s="195">
        <v>0.01846064814814815</v>
      </c>
      <c r="CS13" s="194" t="s">
        <v>94</v>
      </c>
      <c r="CT13" s="195">
        <v>0.013321759259259259</v>
      </c>
      <c r="CU13" s="194" t="s">
        <v>94</v>
      </c>
      <c r="CV13" s="195">
        <v>0.012916666666666667</v>
      </c>
      <c r="CW13" s="194" t="s">
        <v>94</v>
      </c>
      <c r="CX13" s="195">
        <v>0.023958333333333335</v>
      </c>
      <c r="CY13" s="194" t="s">
        <v>75</v>
      </c>
      <c r="CZ13" s="195">
        <v>0.018032407407407407</v>
      </c>
      <c r="DA13" s="194" t="s">
        <v>85</v>
      </c>
      <c r="DB13" s="195">
        <v>0.014548611111111111</v>
      </c>
      <c r="DC13" s="194" t="s">
        <v>75</v>
      </c>
      <c r="DD13" s="195">
        <v>9.027777777777777E-4</v>
      </c>
      <c r="DE13" s="194" t="s">
        <v>94</v>
      </c>
      <c r="DF13" s="195">
        <v>0.04304398148148148</v>
      </c>
      <c r="DG13" s="194" t="s">
        <v>94</v>
      </c>
      <c r="DH13" s="195">
        <v>2.253067129629629</v>
      </c>
      <c r="DI13" s="194" t="s">
        <v>422</v>
      </c>
      <c r="DJ13" s="195">
        <v>0.0011226851851851851</v>
      </c>
      <c r="DK13" s="194" t="s">
        <v>19</v>
      </c>
      <c r="DL13" s="195">
        <v>0.011041666666666667</v>
      </c>
      <c r="DM13" s="194" t="s">
        <v>92</v>
      </c>
      <c r="DN13" s="195">
        <v>1.8518518518518518E-4</v>
      </c>
      <c r="DO13" s="194" t="s">
        <v>42</v>
      </c>
      <c r="DP13" s="195">
        <v>0.0021643518518518518</v>
      </c>
      <c r="DQ13" s="194" t="s">
        <v>96</v>
      </c>
      <c r="DR13" s="195">
        <v>3.935185185185185E-4</v>
      </c>
      <c r="DS13" s="194" t="s">
        <v>463</v>
      </c>
      <c r="DT13" s="195">
        <v>0.01650462962962963</v>
      </c>
      <c r="DU13" s="194" t="s">
        <v>422</v>
      </c>
      <c r="DV13" s="195">
        <v>0.053113425925925925</v>
      </c>
      <c r="DW13" s="194" t="s">
        <v>92</v>
      </c>
      <c r="DX13" s="195">
        <v>2.0833333333333335E-4</v>
      </c>
      <c r="DY13" s="194" t="s">
        <v>97</v>
      </c>
      <c r="DZ13" s="195">
        <v>1.0416666666666667E-4</v>
      </c>
      <c r="EA13" s="194" t="s">
        <v>425</v>
      </c>
      <c r="EB13" s="195">
        <v>0.0017013888888888888</v>
      </c>
      <c r="EC13" s="194" t="s">
        <v>75</v>
      </c>
      <c r="ED13" s="195">
        <v>0.00712962962962963</v>
      </c>
      <c r="EE13" s="194" t="s">
        <v>422</v>
      </c>
      <c r="EF13" s="195">
        <v>0.01017361111111111</v>
      </c>
      <c r="EG13" s="194" t="s">
        <v>422</v>
      </c>
      <c r="EH13" s="195">
        <v>0.054050925925925926</v>
      </c>
      <c r="EI13" s="194" t="s">
        <v>19</v>
      </c>
      <c r="EJ13" s="195">
        <v>0.051006944444444445</v>
      </c>
      <c r="EK13" s="194" t="s">
        <v>19</v>
      </c>
      <c r="EL13" s="195">
        <v>0.031435185185185184</v>
      </c>
      <c r="EM13" s="194" t="s">
        <v>92</v>
      </c>
      <c r="EN13" s="195">
        <v>0.3199537037037037</v>
      </c>
      <c r="EO13" s="194" t="s">
        <v>96</v>
      </c>
      <c r="EP13" s="195">
        <v>0.0018171296296296297</v>
      </c>
      <c r="EQ13" s="194" t="s">
        <v>422</v>
      </c>
      <c r="ER13" s="195">
        <v>0.22444444444444445</v>
      </c>
      <c r="ES13" s="194" t="s">
        <v>422</v>
      </c>
      <c r="ET13" s="195">
        <v>0.19520833333333334</v>
      </c>
      <c r="EU13" s="194" t="s">
        <v>92</v>
      </c>
      <c r="EV13" s="195">
        <v>0.27282407407407405</v>
      </c>
      <c r="EW13" s="194" t="s">
        <v>42</v>
      </c>
      <c r="EX13" s="195">
        <v>0.04537037037037037</v>
      </c>
      <c r="EY13" s="194" t="s">
        <v>78</v>
      </c>
      <c r="EZ13" s="195">
        <v>0.00369212962962963</v>
      </c>
      <c r="FA13" s="194" t="s">
        <v>19</v>
      </c>
      <c r="FB13" s="195">
        <v>0.05284722222222222</v>
      </c>
      <c r="FC13" s="194" t="s">
        <v>463</v>
      </c>
      <c r="FD13" s="195">
        <v>0.06581018518518518</v>
      </c>
      <c r="FE13" s="194" t="s">
        <v>19</v>
      </c>
      <c r="FF13" s="195">
        <v>0.044097222222222225</v>
      </c>
      <c r="FG13" s="194" t="s">
        <v>463</v>
      </c>
      <c r="FH13" s="195">
        <v>0.09192129629629629</v>
      </c>
      <c r="FI13" s="194" t="s">
        <v>92</v>
      </c>
      <c r="FJ13" s="195">
        <v>0.02974537037037037</v>
      </c>
      <c r="FK13" s="194" t="s">
        <v>425</v>
      </c>
      <c r="FL13" s="195">
        <v>0.013101851851851852</v>
      </c>
      <c r="FM13" s="194" t="s">
        <v>422</v>
      </c>
      <c r="FN13" s="195">
        <v>0.04162037037037037</v>
      </c>
      <c r="FO13" s="194" t="s">
        <v>463</v>
      </c>
      <c r="FP13" s="195">
        <v>0.030462962962962963</v>
      </c>
      <c r="FQ13" s="194" t="s">
        <v>422</v>
      </c>
      <c r="FR13" s="195">
        <v>0.050277777777777775</v>
      </c>
      <c r="FS13" s="194" t="s">
        <v>24</v>
      </c>
      <c r="FT13" s="195">
        <v>0.11260416666666667</v>
      </c>
      <c r="FU13" s="194" t="s">
        <v>425</v>
      </c>
      <c r="FV13" s="195">
        <v>0.034212962962962966</v>
      </c>
      <c r="FW13" s="194" t="s">
        <v>40</v>
      </c>
      <c r="FX13" s="195">
        <v>1.5046296296296297E-4</v>
      </c>
      <c r="FY13" s="194" t="s">
        <v>103</v>
      </c>
      <c r="FZ13" s="195">
        <v>0.0016203703703703703</v>
      </c>
      <c r="GA13" s="194" t="s">
        <v>70</v>
      </c>
      <c r="GB13" s="195">
        <v>1.7361111111111112E-4</v>
      </c>
      <c r="GC13" s="194" t="s">
        <v>425</v>
      </c>
      <c r="GD13" s="195">
        <v>0.07619212962962962</v>
      </c>
      <c r="GE13" s="194" t="s">
        <v>24</v>
      </c>
      <c r="GF13" s="195">
        <v>0.01476851851851852</v>
      </c>
      <c r="GG13" s="194" t="s">
        <v>89</v>
      </c>
      <c r="GH13" s="195">
        <v>0.24899305555555556</v>
      </c>
      <c r="GI13" s="185" t="s">
        <v>31</v>
      </c>
      <c r="GJ13" s="186">
        <v>0.0038425925925925928</v>
      </c>
      <c r="GK13" s="185" t="s">
        <v>43</v>
      </c>
      <c r="GL13" s="186">
        <v>0.7192592592592593</v>
      </c>
      <c r="GM13" s="185" t="s">
        <v>31</v>
      </c>
      <c r="GN13" s="186">
        <v>0.005138888888888889</v>
      </c>
      <c r="GO13" s="187" t="s">
        <v>31</v>
      </c>
      <c r="GP13" s="188">
        <v>0.0011689814814814816</v>
      </c>
      <c r="GQ13" s="187" t="s">
        <v>21</v>
      </c>
      <c r="GR13" s="188">
        <v>0.052349537037037035</v>
      </c>
      <c r="GS13" s="187" t="s">
        <v>43</v>
      </c>
      <c r="GT13" s="188">
        <v>0.23292824074074073</v>
      </c>
      <c r="GU13" s="187" t="s">
        <v>19</v>
      </c>
      <c r="GV13" s="188">
        <v>0.030416666666666668</v>
      </c>
      <c r="GW13" s="190" t="s">
        <v>32</v>
      </c>
      <c r="GX13" s="191">
        <v>0.01505787037037037</v>
      </c>
      <c r="GY13" s="190" t="s">
        <v>32</v>
      </c>
      <c r="GZ13" s="191">
        <v>0.03543981481481481</v>
      </c>
      <c r="HA13" s="190" t="s">
        <v>19</v>
      </c>
      <c r="HB13" s="191">
        <v>0.06622685185185186</v>
      </c>
      <c r="HC13" s="190" t="s">
        <v>19</v>
      </c>
      <c r="HD13" s="191">
        <v>0.08438657407407407</v>
      </c>
      <c r="HE13" s="190" t="s">
        <v>20</v>
      </c>
      <c r="HF13" s="191">
        <v>0.17150462962962962</v>
      </c>
      <c r="HG13" s="190" t="s">
        <v>22</v>
      </c>
      <c r="HH13" s="191">
        <v>0.04738425925925926</v>
      </c>
      <c r="HI13" s="190" t="s">
        <v>22</v>
      </c>
      <c r="HJ13" s="191">
        <v>0.07895833333333334</v>
      </c>
      <c r="HK13" s="190" t="s">
        <v>20</v>
      </c>
      <c r="HL13" s="191">
        <v>0.15475694444444443</v>
      </c>
      <c r="HM13" s="190" t="s">
        <v>58</v>
      </c>
      <c r="HN13" s="191">
        <v>0.1342361111111111</v>
      </c>
      <c r="HO13" s="190" t="s">
        <v>20</v>
      </c>
      <c r="HP13" s="191">
        <v>0.2959027777777778</v>
      </c>
      <c r="HQ13" s="190" t="s">
        <v>8</v>
      </c>
      <c r="HR13" s="191">
        <v>0.06269675925925926</v>
      </c>
      <c r="HS13" s="190" t="s">
        <v>31</v>
      </c>
      <c r="HT13" s="191">
        <v>0.04318287037037037</v>
      </c>
      <c r="HU13" s="190" t="s">
        <v>31</v>
      </c>
      <c r="HV13" s="191">
        <v>0.022037037037037036</v>
      </c>
      <c r="HW13" s="190" t="s">
        <v>8</v>
      </c>
      <c r="HX13" s="191">
        <v>0.06305555555555556</v>
      </c>
      <c r="HY13" s="187"/>
      <c r="HZ13" s="187"/>
      <c r="IA13" s="187"/>
      <c r="IB13" s="187"/>
      <c r="IC13" s="187"/>
      <c r="ID13" s="187"/>
      <c r="IE13" s="196" t="s">
        <v>96</v>
      </c>
      <c r="IF13" s="197">
        <v>0.13565972222222222</v>
      </c>
      <c r="IG13" s="178"/>
      <c r="IH13" s="196" t="s">
        <v>82</v>
      </c>
      <c r="II13" s="197">
        <v>0.012002314814814815</v>
      </c>
      <c r="IJ13" s="178"/>
      <c r="IK13" s="196" t="s">
        <v>20</v>
      </c>
      <c r="IL13" s="197">
        <v>0.04717592592592593</v>
      </c>
      <c r="IM13" s="196" t="s">
        <v>20</v>
      </c>
      <c r="IN13" s="197">
        <v>0.09225694444444445</v>
      </c>
      <c r="IO13" s="196" t="s">
        <v>33</v>
      </c>
      <c r="IP13" s="197">
        <v>0.04675925925925926</v>
      </c>
      <c r="IQ13" s="178"/>
      <c r="IR13" s="196" t="s">
        <v>20</v>
      </c>
      <c r="IS13" s="197">
        <v>0.1404050925925926</v>
      </c>
      <c r="IT13" s="178"/>
      <c r="IU13" s="196" t="s">
        <v>55</v>
      </c>
      <c r="IV13" s="197">
        <v>0.019363425925925926</v>
      </c>
      <c r="IW13" s="178"/>
      <c r="IX13" s="196" t="s">
        <v>33</v>
      </c>
      <c r="IY13" s="197">
        <v>1.9675925925925926E-4</v>
      </c>
      <c r="IZ13" s="187" t="s">
        <v>30</v>
      </c>
      <c r="JA13" s="188">
        <v>7.754629629629629E-4</v>
      </c>
      <c r="JB13" s="187" t="s">
        <v>58</v>
      </c>
      <c r="JC13" s="188">
        <v>0.1289699074074074</v>
      </c>
      <c r="JD13" s="178"/>
    </row>
    <row r="14">
      <c r="A14" s="193"/>
      <c r="B14" s="193"/>
      <c r="C14" s="193"/>
      <c r="D14" s="193"/>
      <c r="E14" s="193"/>
      <c r="F14" s="193"/>
      <c r="G14" s="194" t="s">
        <v>105</v>
      </c>
      <c r="H14" s="195">
        <v>0.002916666666666667</v>
      </c>
      <c r="I14" s="193"/>
      <c r="J14" s="193"/>
      <c r="K14" s="193"/>
      <c r="L14" s="193"/>
      <c r="M14" s="193"/>
      <c r="N14" s="193"/>
      <c r="O14" s="194" t="s">
        <v>40</v>
      </c>
      <c r="P14" s="195">
        <v>0.006493055555555556</v>
      </c>
      <c r="Q14" s="194" t="s">
        <v>57</v>
      </c>
      <c r="R14" s="195">
        <v>0.004398148148148148</v>
      </c>
      <c r="S14" s="193"/>
      <c r="T14" s="193"/>
      <c r="U14" s="193"/>
      <c r="V14" s="193"/>
      <c r="W14" s="194" t="s">
        <v>86</v>
      </c>
      <c r="X14" s="195">
        <v>0.01025462962962963</v>
      </c>
      <c r="Y14" s="198" t="s">
        <v>83</v>
      </c>
      <c r="Z14" s="199">
        <v>0.005659722222222222</v>
      </c>
      <c r="AA14" s="194" t="s">
        <v>96</v>
      </c>
      <c r="AB14" s="195">
        <v>0.014166666666666666</v>
      </c>
      <c r="AC14" s="194" t="s">
        <v>80</v>
      </c>
      <c r="AD14" s="195">
        <v>0.01607638888888889</v>
      </c>
      <c r="AE14" s="194" t="s">
        <v>97</v>
      </c>
      <c r="AF14" s="195">
        <v>0.0</v>
      </c>
      <c r="AG14" s="194" t="s">
        <v>24</v>
      </c>
      <c r="AH14" s="195">
        <v>0.010081018518518519</v>
      </c>
      <c r="AI14" s="194" t="s">
        <v>85</v>
      </c>
      <c r="AJ14" s="195">
        <v>0.01337962962962963</v>
      </c>
      <c r="AK14" s="194" t="s">
        <v>75</v>
      </c>
      <c r="AL14" s="195">
        <v>0.29736111111111113</v>
      </c>
      <c r="AM14" s="194" t="s">
        <v>49</v>
      </c>
      <c r="AN14" s="195">
        <v>0.0025</v>
      </c>
      <c r="AO14" s="194" t="s">
        <v>89</v>
      </c>
      <c r="AP14" s="195">
        <v>0.03359953703703704</v>
      </c>
      <c r="AQ14" s="194" t="s">
        <v>49</v>
      </c>
      <c r="AR14" s="195">
        <v>0.0024421296296296296</v>
      </c>
      <c r="AS14" s="194" t="s">
        <v>85</v>
      </c>
      <c r="AT14" s="195">
        <v>0.11408564814814814</v>
      </c>
      <c r="AU14" s="194" t="s">
        <v>75</v>
      </c>
      <c r="AV14" s="195">
        <v>0.10246527777777778</v>
      </c>
      <c r="AW14" s="194" t="s">
        <v>75</v>
      </c>
      <c r="AX14" s="195">
        <v>0.13944444444444445</v>
      </c>
      <c r="AY14" s="194" t="s">
        <v>75</v>
      </c>
      <c r="AZ14" s="195">
        <v>0.10003472222222222</v>
      </c>
      <c r="BA14" s="194" t="s">
        <v>75</v>
      </c>
      <c r="BB14" s="195">
        <v>0.2442939814814815</v>
      </c>
      <c r="BC14" s="194" t="s">
        <v>75</v>
      </c>
      <c r="BD14" s="195">
        <v>0.36699074074074073</v>
      </c>
      <c r="BE14" s="194" t="s">
        <v>75</v>
      </c>
      <c r="BF14" s="195">
        <v>0.36657407407407405</v>
      </c>
      <c r="BG14" s="194" t="s">
        <v>75</v>
      </c>
      <c r="BH14" s="195">
        <v>0.14724537037037036</v>
      </c>
      <c r="BI14" s="194" t="s">
        <v>75</v>
      </c>
      <c r="BJ14" s="195">
        <v>0.3319212962962963</v>
      </c>
      <c r="BK14" s="194" t="s">
        <v>75</v>
      </c>
      <c r="BL14" s="195">
        <v>0.28185185185185185</v>
      </c>
      <c r="BM14" s="194" t="s">
        <v>75</v>
      </c>
      <c r="BN14" s="195">
        <v>0.15523148148148147</v>
      </c>
      <c r="BO14" s="194" t="s">
        <v>75</v>
      </c>
      <c r="BP14" s="195">
        <v>0.07099537037037038</v>
      </c>
      <c r="BQ14" s="194" t="s">
        <v>75</v>
      </c>
      <c r="BR14" s="195">
        <v>0.20478009259259258</v>
      </c>
      <c r="BS14" s="194" t="s">
        <v>75</v>
      </c>
      <c r="BT14" s="195">
        <v>0.16789351851851853</v>
      </c>
      <c r="BU14" s="194" t="s">
        <v>75</v>
      </c>
      <c r="BV14" s="195">
        <v>0.05837962962962963</v>
      </c>
      <c r="BW14" s="194" t="s">
        <v>75</v>
      </c>
      <c r="BX14" s="195">
        <v>0.10613425925925926</v>
      </c>
      <c r="BY14" s="194" t="s">
        <v>75</v>
      </c>
      <c r="BZ14" s="195">
        <v>0.03601851851851852</v>
      </c>
      <c r="CA14" s="194" t="s">
        <v>75</v>
      </c>
      <c r="CB14" s="195">
        <v>0.22349537037037037</v>
      </c>
      <c r="CC14" s="194" t="s">
        <v>75</v>
      </c>
      <c r="CD14" s="195">
        <v>0.13842592592592592</v>
      </c>
      <c r="CE14" s="194" t="s">
        <v>75</v>
      </c>
      <c r="CF14" s="195">
        <v>0.18465277777777778</v>
      </c>
      <c r="CG14" s="194" t="s">
        <v>75</v>
      </c>
      <c r="CH14" s="195">
        <v>0.05655092592592593</v>
      </c>
      <c r="CI14" s="194" t="s">
        <v>85</v>
      </c>
      <c r="CJ14" s="195">
        <v>0.0153125</v>
      </c>
      <c r="CK14" s="194" t="s">
        <v>75</v>
      </c>
      <c r="CL14" s="195">
        <v>0.12010416666666666</v>
      </c>
      <c r="CM14" s="194" t="s">
        <v>75</v>
      </c>
      <c r="CN14" s="195">
        <v>0.1247800925925926</v>
      </c>
      <c r="CO14" s="194" t="s">
        <v>75</v>
      </c>
      <c r="CP14" s="195">
        <v>0.17452546296296295</v>
      </c>
      <c r="CQ14" s="194" t="s">
        <v>75</v>
      </c>
      <c r="CR14" s="195">
        <v>0.061064814814814815</v>
      </c>
      <c r="CS14" s="194" t="s">
        <v>75</v>
      </c>
      <c r="CT14" s="195">
        <v>0.06894675925925926</v>
      </c>
      <c r="CU14" s="194" t="s">
        <v>75</v>
      </c>
      <c r="CV14" s="195">
        <v>0.06233796296296296</v>
      </c>
      <c r="CW14" s="194" t="s">
        <v>75</v>
      </c>
      <c r="CX14" s="195">
        <v>0.020405092592592593</v>
      </c>
      <c r="CY14" s="194" t="s">
        <v>85</v>
      </c>
      <c r="CZ14" s="195">
        <v>4.62962962962963E-4</v>
      </c>
      <c r="DA14" s="194" t="s">
        <v>49</v>
      </c>
      <c r="DB14" s="195">
        <v>0.08011574074074074</v>
      </c>
      <c r="DC14" s="194" t="s">
        <v>85</v>
      </c>
      <c r="DD14" s="195">
        <v>0.008553240740740741</v>
      </c>
      <c r="DE14" s="194" t="s">
        <v>75</v>
      </c>
      <c r="DF14" s="195">
        <v>0.015370370370370371</v>
      </c>
      <c r="DG14" s="194" t="s">
        <v>75</v>
      </c>
      <c r="DH14" s="195">
        <v>1.0725694444444442</v>
      </c>
      <c r="DI14" s="194" t="s">
        <v>463</v>
      </c>
      <c r="DJ14" s="195">
        <v>0.09097222222222222</v>
      </c>
      <c r="DK14" s="194" t="s">
        <v>97</v>
      </c>
      <c r="DL14" s="195">
        <v>0.038125</v>
      </c>
      <c r="DM14" s="194" t="s">
        <v>19</v>
      </c>
      <c r="DN14" s="195">
        <v>0.0225</v>
      </c>
      <c r="DO14" s="194" t="s">
        <v>463</v>
      </c>
      <c r="DP14" s="195">
        <v>0.10630787037037037</v>
      </c>
      <c r="DQ14" s="194" t="s">
        <v>463</v>
      </c>
      <c r="DR14" s="195">
        <v>0.0059722222222222225</v>
      </c>
      <c r="DS14" s="194" t="s">
        <v>92</v>
      </c>
      <c r="DT14" s="195">
        <v>5.787037037037037E-4</v>
      </c>
      <c r="DU14" s="194" t="s">
        <v>463</v>
      </c>
      <c r="DV14" s="195">
        <v>0.2013425925925926</v>
      </c>
      <c r="DW14" s="194" t="s">
        <v>19</v>
      </c>
      <c r="DX14" s="195">
        <v>0.051412037037037034</v>
      </c>
      <c r="DY14" s="194" t="s">
        <v>57</v>
      </c>
      <c r="DZ14" s="195">
        <v>0.01105324074074074</v>
      </c>
      <c r="EA14" s="194" t="s">
        <v>42</v>
      </c>
      <c r="EB14" s="195">
        <v>9.143518518518518E-4</v>
      </c>
      <c r="EC14" s="194" t="s">
        <v>89</v>
      </c>
      <c r="ED14" s="195">
        <v>0.06785879629629629</v>
      </c>
      <c r="EE14" s="194" t="s">
        <v>463</v>
      </c>
      <c r="EF14" s="195">
        <v>0.18585648148148148</v>
      </c>
      <c r="EG14" s="194" t="s">
        <v>96</v>
      </c>
      <c r="EH14" s="195">
        <v>7.986111111111112E-4</v>
      </c>
      <c r="EI14" s="194" t="s">
        <v>40</v>
      </c>
      <c r="EJ14" s="195">
        <v>0.0061342592592592594</v>
      </c>
      <c r="EK14" s="194" t="s">
        <v>50</v>
      </c>
      <c r="EL14" s="195">
        <v>0.01085648148148148</v>
      </c>
      <c r="EM14" s="194" t="s">
        <v>19</v>
      </c>
      <c r="EN14" s="195">
        <v>0.03960648148148148</v>
      </c>
      <c r="EO14" s="194" t="s">
        <v>463</v>
      </c>
      <c r="EP14" s="195">
        <v>9.722222222222222E-4</v>
      </c>
      <c r="EQ14" s="194" t="s">
        <v>96</v>
      </c>
      <c r="ER14" s="195">
        <v>0.004525462962962963</v>
      </c>
      <c r="ES14" s="194" t="s">
        <v>463</v>
      </c>
      <c r="ET14" s="195">
        <v>0.06756944444444445</v>
      </c>
      <c r="EU14" s="194" t="s">
        <v>19</v>
      </c>
      <c r="EV14" s="195">
        <v>0.013773148148148149</v>
      </c>
      <c r="EW14" s="194" t="s">
        <v>422</v>
      </c>
      <c r="EX14" s="195">
        <v>0.14788194444444444</v>
      </c>
      <c r="EY14" s="194" t="s">
        <v>29</v>
      </c>
      <c r="EZ14" s="195">
        <v>6.134259259259259E-4</v>
      </c>
      <c r="FA14" s="194" t="s">
        <v>97</v>
      </c>
      <c r="FB14" s="195">
        <v>0.0015972222222222223</v>
      </c>
      <c r="FC14" s="194" t="s">
        <v>92</v>
      </c>
      <c r="FD14" s="195">
        <v>0.09608796296296296</v>
      </c>
      <c r="FE14" s="194" t="s">
        <v>97</v>
      </c>
      <c r="FF14" s="195">
        <v>1.8518518518518518E-4</v>
      </c>
      <c r="FG14" s="194" t="s">
        <v>92</v>
      </c>
      <c r="FH14" s="195">
        <v>0.07561342592592593</v>
      </c>
      <c r="FI14" s="194" t="s">
        <v>19</v>
      </c>
      <c r="FJ14" s="195">
        <v>0.06070601851851852</v>
      </c>
      <c r="FK14" s="194" t="s">
        <v>24</v>
      </c>
      <c r="FL14" s="195">
        <v>4.2824074074074075E-4</v>
      </c>
      <c r="FM14" s="194" t="s">
        <v>96</v>
      </c>
      <c r="FN14" s="195">
        <v>0.01105324074074074</v>
      </c>
      <c r="FO14" s="194" t="s">
        <v>92</v>
      </c>
      <c r="FP14" s="195">
        <v>0.014895833333333334</v>
      </c>
      <c r="FQ14" s="194" t="s">
        <v>463</v>
      </c>
      <c r="FR14" s="195">
        <v>0.08386574074074074</v>
      </c>
      <c r="FS14" s="194" t="s">
        <v>42</v>
      </c>
      <c r="FT14" s="195">
        <v>0.0028472222222222223</v>
      </c>
      <c r="FU14" s="194" t="s">
        <v>24</v>
      </c>
      <c r="FV14" s="195">
        <v>0.17591435185185186</v>
      </c>
      <c r="FW14" s="194" t="s">
        <v>29</v>
      </c>
      <c r="FX14" s="195">
        <v>0.013298611111111112</v>
      </c>
      <c r="FY14" s="194" t="s">
        <v>43</v>
      </c>
      <c r="FZ14" s="195">
        <v>0.007372685185185185</v>
      </c>
      <c r="GA14" s="194" t="s">
        <v>44</v>
      </c>
      <c r="GB14" s="195">
        <v>0.0024189814814814816</v>
      </c>
      <c r="GC14" s="194" t="s">
        <v>24</v>
      </c>
      <c r="GD14" s="195">
        <v>0.00738425925925926</v>
      </c>
      <c r="GE14" s="194" t="s">
        <v>42</v>
      </c>
      <c r="GF14" s="195">
        <v>0.020775462962962964</v>
      </c>
      <c r="GG14" s="194" t="s">
        <v>430</v>
      </c>
      <c r="GH14" s="195">
        <v>0.12265046296296296</v>
      </c>
      <c r="GI14" s="185" t="s">
        <v>25</v>
      </c>
      <c r="GJ14" s="186">
        <v>4.7453703703703704E-4</v>
      </c>
      <c r="GK14" s="185" t="s">
        <v>41</v>
      </c>
      <c r="GL14" s="186">
        <v>0.009375</v>
      </c>
      <c r="GM14" s="185" t="s">
        <v>43</v>
      </c>
      <c r="GN14" s="186">
        <v>0.26775462962962965</v>
      </c>
      <c r="GO14" s="187" t="s">
        <v>43</v>
      </c>
      <c r="GP14" s="188">
        <v>0.038252314814814815</v>
      </c>
      <c r="GQ14" s="187" t="s">
        <v>43</v>
      </c>
      <c r="GR14" s="188">
        <v>0.10715277777777778</v>
      </c>
      <c r="GS14" s="187" t="s">
        <v>32</v>
      </c>
      <c r="GT14" s="188">
        <v>0.01653935185185185</v>
      </c>
      <c r="GU14" s="187" t="s">
        <v>40</v>
      </c>
      <c r="GV14" s="188">
        <v>0.0893287037037037</v>
      </c>
      <c r="GW14" s="190" t="s">
        <v>22</v>
      </c>
      <c r="GX14" s="191">
        <v>0.03596064814814815</v>
      </c>
      <c r="GY14" s="190" t="s">
        <v>22</v>
      </c>
      <c r="GZ14" s="191">
        <v>0.12586805555555555</v>
      </c>
      <c r="HA14" s="190" t="s">
        <v>40</v>
      </c>
      <c r="HB14" s="191">
        <v>0.05273148148148148</v>
      </c>
      <c r="HC14" s="190" t="s">
        <v>40</v>
      </c>
      <c r="HD14" s="191">
        <v>0.06915509259259259</v>
      </c>
      <c r="HE14" s="190" t="s">
        <v>55</v>
      </c>
      <c r="HF14" s="191">
        <v>0.0012962962962962963</v>
      </c>
      <c r="HG14" s="190" t="s">
        <v>8</v>
      </c>
      <c r="HH14" s="191">
        <v>0.07319444444444445</v>
      </c>
      <c r="HI14" s="190" t="s">
        <v>8</v>
      </c>
      <c r="HJ14" s="191">
        <v>0.16546296296296295</v>
      </c>
      <c r="HK14" s="190" t="s">
        <v>55</v>
      </c>
      <c r="HL14" s="191">
        <v>4.050925925925926E-4</v>
      </c>
      <c r="HM14" s="190" t="s">
        <v>59</v>
      </c>
      <c r="HN14" s="191">
        <v>0.0011921296296296296</v>
      </c>
      <c r="HO14" s="190" t="s">
        <v>58</v>
      </c>
      <c r="HP14" s="191">
        <v>0.5440277777777778</v>
      </c>
      <c r="HQ14" s="190" t="s">
        <v>20</v>
      </c>
      <c r="HR14" s="191">
        <v>0.3434837962962963</v>
      </c>
      <c r="HS14" s="190" t="s">
        <v>43</v>
      </c>
      <c r="HT14" s="191">
        <v>0.004386574074074074</v>
      </c>
      <c r="HU14" s="190" t="s">
        <v>43</v>
      </c>
      <c r="HV14" s="191">
        <v>2.314814814814815E-4</v>
      </c>
      <c r="HW14" s="190" t="s">
        <v>20</v>
      </c>
      <c r="HX14" s="191">
        <v>0.09232638888888889</v>
      </c>
      <c r="HY14" s="187"/>
      <c r="HZ14" s="187"/>
      <c r="IA14" s="187"/>
      <c r="IB14" s="187"/>
      <c r="IC14" s="187"/>
      <c r="ID14" s="187"/>
      <c r="IE14" s="196" t="s">
        <v>463</v>
      </c>
      <c r="IF14" s="197">
        <v>0.032511574074074075</v>
      </c>
      <c r="IG14" s="178"/>
      <c r="IH14" s="196" t="s">
        <v>36</v>
      </c>
      <c r="II14" s="197">
        <v>0.03537037037037037</v>
      </c>
      <c r="IJ14" s="178"/>
      <c r="IK14" s="196" t="s">
        <v>58</v>
      </c>
      <c r="IL14" s="197">
        <v>0.1115625</v>
      </c>
      <c r="IM14" s="196" t="s">
        <v>55</v>
      </c>
      <c r="IN14" s="197">
        <v>0.0018171296296296297</v>
      </c>
      <c r="IO14" s="196" t="s">
        <v>55</v>
      </c>
      <c r="IP14" s="197">
        <v>0.009699074074074074</v>
      </c>
      <c r="IQ14" s="178"/>
      <c r="IR14" s="196" t="s">
        <v>33</v>
      </c>
      <c r="IS14" s="197">
        <v>0.005127314814814815</v>
      </c>
      <c r="IT14" s="178"/>
      <c r="IU14" s="196" t="s">
        <v>58</v>
      </c>
      <c r="IV14" s="197">
        <v>0.06042824074074074</v>
      </c>
      <c r="IW14" s="178"/>
      <c r="IX14" s="196" t="s">
        <v>55</v>
      </c>
      <c r="IY14" s="197">
        <v>0.0031134259259259257</v>
      </c>
      <c r="IZ14" s="187" t="s">
        <v>58</v>
      </c>
      <c r="JA14" s="188">
        <v>0.21987268518518518</v>
      </c>
      <c r="JB14" s="187" t="s">
        <v>63</v>
      </c>
      <c r="JC14" s="188">
        <v>0.028564814814814814</v>
      </c>
      <c r="JD14" s="178"/>
    </row>
    <row r="15">
      <c r="A15" s="193"/>
      <c r="B15" s="193"/>
      <c r="C15" s="193"/>
      <c r="D15" s="193"/>
      <c r="E15" s="193"/>
      <c r="F15" s="193"/>
      <c r="G15" s="194" t="s">
        <v>63</v>
      </c>
      <c r="H15" s="195">
        <v>0.0</v>
      </c>
      <c r="I15" s="193"/>
      <c r="J15" s="193"/>
      <c r="K15" s="193"/>
      <c r="L15" s="193"/>
      <c r="M15" s="193"/>
      <c r="N15" s="193"/>
      <c r="O15" s="194" t="s">
        <v>44</v>
      </c>
      <c r="P15" s="195">
        <v>0.002638888888888889</v>
      </c>
      <c r="Q15" s="194" t="s">
        <v>40</v>
      </c>
      <c r="R15" s="195">
        <v>0.021030092592592593</v>
      </c>
      <c r="S15" s="193"/>
      <c r="T15" s="193"/>
      <c r="U15" s="193"/>
      <c r="V15" s="193"/>
      <c r="W15" s="198" t="s">
        <v>87</v>
      </c>
      <c r="X15" s="199">
        <v>0.002349537037037037</v>
      </c>
      <c r="Y15" s="193"/>
      <c r="Z15" s="193"/>
      <c r="AA15" s="194" t="s">
        <v>97</v>
      </c>
      <c r="AB15" s="195">
        <v>0.0</v>
      </c>
      <c r="AC15" s="194" t="s">
        <v>57</v>
      </c>
      <c r="AD15" s="195">
        <v>0.01601851851851852</v>
      </c>
      <c r="AE15" s="194" t="s">
        <v>57</v>
      </c>
      <c r="AF15" s="195">
        <v>4.62962962962963E-4</v>
      </c>
      <c r="AG15" s="194" t="s">
        <v>79</v>
      </c>
      <c r="AH15" s="195">
        <v>0.02171296296296296</v>
      </c>
      <c r="AI15" s="194" t="s">
        <v>49</v>
      </c>
      <c r="AJ15" s="195">
        <v>0.008738425925925926</v>
      </c>
      <c r="AK15" s="194" t="s">
        <v>85</v>
      </c>
      <c r="AL15" s="195">
        <v>0.05361111111111111</v>
      </c>
      <c r="AM15" s="194" t="s">
        <v>430</v>
      </c>
      <c r="AN15" s="195">
        <v>0.01846064814814815</v>
      </c>
      <c r="AO15" s="194" t="s">
        <v>430</v>
      </c>
      <c r="AP15" s="195">
        <v>0.17434027777777777</v>
      </c>
      <c r="AQ15" s="194" t="s">
        <v>89</v>
      </c>
      <c r="AR15" s="195">
        <v>0.025208333333333333</v>
      </c>
      <c r="AS15" s="194" t="s">
        <v>49</v>
      </c>
      <c r="AT15" s="195">
        <v>0.0036805555555555554</v>
      </c>
      <c r="AU15" s="194" t="s">
        <v>85</v>
      </c>
      <c r="AV15" s="195">
        <v>0.44078703703703703</v>
      </c>
      <c r="AW15" s="194" t="s">
        <v>85</v>
      </c>
      <c r="AX15" s="195">
        <v>0.4619097222222222</v>
      </c>
      <c r="AY15" s="194" t="s">
        <v>85</v>
      </c>
      <c r="AZ15" s="195">
        <v>0.4970486111111111</v>
      </c>
      <c r="BA15" s="194" t="s">
        <v>85</v>
      </c>
      <c r="BB15" s="195">
        <v>0.3658796296296296</v>
      </c>
      <c r="BC15" s="194" t="s">
        <v>85</v>
      </c>
      <c r="BD15" s="195">
        <v>0.3932291666666667</v>
      </c>
      <c r="BE15" s="194" t="s">
        <v>85</v>
      </c>
      <c r="BF15" s="195">
        <v>0.2936111111111111</v>
      </c>
      <c r="BG15" s="194" t="s">
        <v>85</v>
      </c>
      <c r="BH15" s="195">
        <v>0.29096064814814815</v>
      </c>
      <c r="BI15" s="194" t="s">
        <v>85</v>
      </c>
      <c r="BJ15" s="195">
        <v>0.3241435185185185</v>
      </c>
      <c r="BK15" s="194" t="s">
        <v>85</v>
      </c>
      <c r="BL15" s="195">
        <v>0.1465625</v>
      </c>
      <c r="BM15" s="194" t="s">
        <v>85</v>
      </c>
      <c r="BN15" s="195">
        <v>0.32491898148148146</v>
      </c>
      <c r="BO15" s="194" t="s">
        <v>85</v>
      </c>
      <c r="BP15" s="195">
        <v>0.24716435185185184</v>
      </c>
      <c r="BQ15" s="194" t="s">
        <v>85</v>
      </c>
      <c r="BR15" s="195">
        <v>0.19609953703703703</v>
      </c>
      <c r="BS15" s="194" t="s">
        <v>85</v>
      </c>
      <c r="BT15" s="195">
        <v>0.14310185185185184</v>
      </c>
      <c r="BU15" s="194" t="s">
        <v>85</v>
      </c>
      <c r="BV15" s="195">
        <v>0.10145833333333333</v>
      </c>
      <c r="BW15" s="194" t="s">
        <v>85</v>
      </c>
      <c r="BX15" s="195">
        <v>0.12180555555555556</v>
      </c>
      <c r="BY15" s="194" t="s">
        <v>85</v>
      </c>
      <c r="BZ15" s="195">
        <v>0.10746527777777778</v>
      </c>
      <c r="CA15" s="194" t="s">
        <v>85</v>
      </c>
      <c r="CB15" s="195">
        <v>0.08045138888888889</v>
      </c>
      <c r="CC15" s="194" t="s">
        <v>85</v>
      </c>
      <c r="CD15" s="195">
        <v>0.08851851851851852</v>
      </c>
      <c r="CE15" s="194" t="s">
        <v>49</v>
      </c>
      <c r="CF15" s="195">
        <v>0.05414351851851852</v>
      </c>
      <c r="CG15" s="194" t="s">
        <v>85</v>
      </c>
      <c r="CH15" s="195">
        <v>0.014293981481481482</v>
      </c>
      <c r="CI15" s="194" t="s">
        <v>49</v>
      </c>
      <c r="CJ15" s="195">
        <v>0.056979166666666664</v>
      </c>
      <c r="CK15" s="194" t="s">
        <v>85</v>
      </c>
      <c r="CL15" s="195">
        <v>0.040150462962962964</v>
      </c>
      <c r="CM15" s="194" t="s">
        <v>85</v>
      </c>
      <c r="CN15" s="195">
        <v>0.01855324074074074</v>
      </c>
      <c r="CO15" s="194" t="s">
        <v>85</v>
      </c>
      <c r="CP15" s="195">
        <v>0.007974537037037037</v>
      </c>
      <c r="CQ15" s="194" t="s">
        <v>85</v>
      </c>
      <c r="CR15" s="195">
        <v>0.04351851851851852</v>
      </c>
      <c r="CS15" s="194" t="s">
        <v>85</v>
      </c>
      <c r="CT15" s="195">
        <v>0.02125</v>
      </c>
      <c r="CU15" s="194" t="s">
        <v>85</v>
      </c>
      <c r="CV15" s="195">
        <v>0.026747685185185187</v>
      </c>
      <c r="CW15" s="194" t="s">
        <v>85</v>
      </c>
      <c r="CX15" s="195">
        <v>0.01136574074074074</v>
      </c>
      <c r="CY15" s="194" t="s">
        <v>49</v>
      </c>
      <c r="CZ15" s="195">
        <v>0.10024305555555556</v>
      </c>
      <c r="DA15" s="194" t="s">
        <v>89</v>
      </c>
      <c r="DB15" s="195">
        <v>0.0825</v>
      </c>
      <c r="DC15" s="194" t="s">
        <v>49</v>
      </c>
      <c r="DD15" s="195">
        <v>0.09479166666666666</v>
      </c>
      <c r="DE15" s="194" t="s">
        <v>85</v>
      </c>
      <c r="DF15" s="195">
        <v>0.05178240740740741</v>
      </c>
      <c r="DG15" s="194" t="s">
        <v>85</v>
      </c>
      <c r="DH15" s="195">
        <v>1.286898148148148</v>
      </c>
      <c r="DI15" s="194" t="s">
        <v>19</v>
      </c>
      <c r="DJ15" s="195">
        <v>0.042951388888888886</v>
      </c>
      <c r="DK15" s="194" t="s">
        <v>50</v>
      </c>
      <c r="DL15" s="195">
        <v>0.041666666666666664</v>
      </c>
      <c r="DM15" s="194" t="s">
        <v>97</v>
      </c>
      <c r="DN15" s="195">
        <v>0.04572916666666667</v>
      </c>
      <c r="DO15" s="194" t="s">
        <v>92</v>
      </c>
      <c r="DP15" s="195">
        <v>0.019398148148148147</v>
      </c>
      <c r="DQ15" s="194" t="s">
        <v>92</v>
      </c>
      <c r="DR15" s="195">
        <v>0.016122685185185184</v>
      </c>
      <c r="DS15" s="194" t="s">
        <v>19</v>
      </c>
      <c r="DT15" s="195">
        <v>0.0078009259259259256</v>
      </c>
      <c r="DU15" s="194" t="s">
        <v>92</v>
      </c>
      <c r="DV15" s="195">
        <v>0.02560185185185185</v>
      </c>
      <c r="DW15" s="194" t="s">
        <v>97</v>
      </c>
      <c r="DX15" s="195">
        <v>5.208333333333333E-4</v>
      </c>
      <c r="DY15" s="194" t="s">
        <v>98</v>
      </c>
      <c r="DZ15" s="195">
        <v>0.020300925925925927</v>
      </c>
      <c r="EA15" s="194" t="s">
        <v>422</v>
      </c>
      <c r="EB15" s="195">
        <v>0.03356481481481482</v>
      </c>
      <c r="EC15" s="194" t="s">
        <v>430</v>
      </c>
      <c r="ED15" s="195">
        <v>2.0833333333333335E-4</v>
      </c>
      <c r="EE15" s="194" t="s">
        <v>92</v>
      </c>
      <c r="EF15" s="195">
        <v>0.11899305555555556</v>
      </c>
      <c r="EG15" s="194" t="s">
        <v>463</v>
      </c>
      <c r="EH15" s="195">
        <v>0.18099537037037036</v>
      </c>
      <c r="EI15" s="194" t="s">
        <v>44</v>
      </c>
      <c r="EJ15" s="195">
        <v>0.18385416666666668</v>
      </c>
      <c r="EK15" s="194" t="s">
        <v>57</v>
      </c>
      <c r="EL15" s="195">
        <v>0.016493055555555556</v>
      </c>
      <c r="EM15" s="194" t="s">
        <v>97</v>
      </c>
      <c r="EN15" s="195">
        <v>0.0022453703703703702</v>
      </c>
      <c r="EO15" s="194" t="s">
        <v>92</v>
      </c>
      <c r="EP15" s="195">
        <v>0.19165509259259259</v>
      </c>
      <c r="EQ15" s="194" t="s">
        <v>463</v>
      </c>
      <c r="ER15" s="195">
        <v>0.1318865740740741</v>
      </c>
      <c r="ES15" s="194" t="s">
        <v>92</v>
      </c>
      <c r="ET15" s="195">
        <v>0.23497685185185185</v>
      </c>
      <c r="EU15" s="194" t="s">
        <v>97</v>
      </c>
      <c r="EV15" s="195">
        <v>0.012777777777777779</v>
      </c>
      <c r="EW15" s="194" t="s">
        <v>463</v>
      </c>
      <c r="EX15" s="195">
        <v>0.07445601851851852</v>
      </c>
      <c r="EY15" s="194" t="s">
        <v>99</v>
      </c>
      <c r="EZ15" s="195">
        <v>2.314814814814815E-4</v>
      </c>
      <c r="FA15" s="194" t="s">
        <v>40</v>
      </c>
      <c r="FB15" s="195">
        <v>1.6203703703703703E-4</v>
      </c>
      <c r="FC15" s="194" t="s">
        <v>19</v>
      </c>
      <c r="FD15" s="195">
        <v>0.041435185185185186</v>
      </c>
      <c r="FE15" s="194" t="s">
        <v>57</v>
      </c>
      <c r="FF15" s="195">
        <v>0.0061805555555555555</v>
      </c>
      <c r="FG15" s="194" t="s">
        <v>19</v>
      </c>
      <c r="FH15" s="195">
        <v>0.032199074074074074</v>
      </c>
      <c r="FI15" s="194" t="s">
        <v>97</v>
      </c>
      <c r="FJ15" s="195">
        <v>0.00974537037037037</v>
      </c>
      <c r="FK15" s="194" t="s">
        <v>42</v>
      </c>
      <c r="FL15" s="195">
        <v>0.06761574074074074</v>
      </c>
      <c r="FM15" s="194" t="s">
        <v>463</v>
      </c>
      <c r="FN15" s="195">
        <v>0.008125</v>
      </c>
      <c r="FO15" s="194" t="s">
        <v>19</v>
      </c>
      <c r="FP15" s="195">
        <v>0.07819444444444444</v>
      </c>
      <c r="FQ15" s="194" t="s">
        <v>92</v>
      </c>
      <c r="FR15" s="195">
        <v>0.014814814814814815</v>
      </c>
      <c r="FS15" s="194" t="s">
        <v>422</v>
      </c>
      <c r="FT15" s="195">
        <v>0.052766203703703704</v>
      </c>
      <c r="FU15" s="194" t="s">
        <v>42</v>
      </c>
      <c r="FV15" s="195">
        <v>0.012280092592592592</v>
      </c>
      <c r="FW15" s="194" t="s">
        <v>103</v>
      </c>
      <c r="FX15" s="195">
        <v>0.009548611111111112</v>
      </c>
      <c r="FY15" s="194" t="s">
        <v>99</v>
      </c>
      <c r="FZ15" s="195">
        <v>0.0016087962962962963</v>
      </c>
      <c r="GA15" s="194" t="s">
        <v>428</v>
      </c>
      <c r="GB15" s="195">
        <v>0.005358796296296296</v>
      </c>
      <c r="GC15" s="194" t="s">
        <v>42</v>
      </c>
      <c r="GD15" s="195">
        <v>0.01494212962962963</v>
      </c>
      <c r="GE15" s="194" t="s">
        <v>79</v>
      </c>
      <c r="GF15" s="195">
        <v>8.101851851851852E-4</v>
      </c>
      <c r="GG15" s="194" t="s">
        <v>425</v>
      </c>
      <c r="GH15" s="195">
        <v>0.10399305555555556</v>
      </c>
      <c r="GI15" s="185" t="s">
        <v>43</v>
      </c>
      <c r="GJ15" s="186">
        <v>0.6955671296296296</v>
      </c>
      <c r="GK15" s="185" t="s">
        <v>32</v>
      </c>
      <c r="GL15" s="186">
        <v>0.40217592592592594</v>
      </c>
      <c r="GM15" s="185" t="s">
        <v>32</v>
      </c>
      <c r="GN15" s="186">
        <v>0.10299768518518519</v>
      </c>
      <c r="GO15" s="187" t="s">
        <v>32</v>
      </c>
      <c r="GP15" s="188">
        <v>0.024363425925925927</v>
      </c>
      <c r="GQ15" s="187" t="s">
        <v>32</v>
      </c>
      <c r="GR15" s="188">
        <v>0.03640046296296296</v>
      </c>
      <c r="GS15" s="187" t="s">
        <v>22</v>
      </c>
      <c r="GT15" s="188">
        <v>0.14997685185185186</v>
      </c>
      <c r="GU15" s="187" t="s">
        <v>21</v>
      </c>
      <c r="GV15" s="188">
        <v>0.004560185185185185</v>
      </c>
      <c r="GW15" s="190" t="s">
        <v>8</v>
      </c>
      <c r="GX15" s="191">
        <v>0.07829861111111111</v>
      </c>
      <c r="GY15" s="190" t="s">
        <v>8</v>
      </c>
      <c r="GZ15" s="191">
        <v>0.16902777777777778</v>
      </c>
      <c r="HA15" s="190" t="s">
        <v>44</v>
      </c>
      <c r="HB15" s="191">
        <v>0.012326388888888888</v>
      </c>
      <c r="HC15" s="190" t="s">
        <v>31</v>
      </c>
      <c r="HD15" s="191">
        <v>0.00982638888888889</v>
      </c>
      <c r="HE15" s="190" t="s">
        <v>58</v>
      </c>
      <c r="HF15" s="191">
        <v>0.026770833333333334</v>
      </c>
      <c r="HG15" s="190" t="s">
        <v>20</v>
      </c>
      <c r="HH15" s="191">
        <v>0.1165625</v>
      </c>
      <c r="HI15" s="190" t="s">
        <v>20</v>
      </c>
      <c r="HJ15" s="191">
        <v>0.3069212962962963</v>
      </c>
      <c r="HK15" s="190" t="s">
        <v>58</v>
      </c>
      <c r="HL15" s="191">
        <v>1.8518518518518518E-4</v>
      </c>
      <c r="HM15" s="190" t="s">
        <v>64</v>
      </c>
      <c r="HN15" s="191">
        <v>0.0016319444444444445</v>
      </c>
      <c r="HO15" s="190" t="s">
        <v>65</v>
      </c>
      <c r="HP15" s="191">
        <v>0.012164351851851852</v>
      </c>
      <c r="HQ15" s="190" t="s">
        <v>55</v>
      </c>
      <c r="HR15" s="191">
        <v>5.787037037037037E-5</v>
      </c>
      <c r="HS15" s="190" t="s">
        <v>22</v>
      </c>
      <c r="HT15" s="191">
        <v>0.16792824074074075</v>
      </c>
      <c r="HU15" s="190" t="s">
        <v>22</v>
      </c>
      <c r="HV15" s="191">
        <v>0.09917824074074075</v>
      </c>
      <c r="HW15" s="190" t="s">
        <v>55</v>
      </c>
      <c r="HX15" s="191">
        <v>0.0018402777777777777</v>
      </c>
      <c r="HY15" s="187"/>
      <c r="HZ15" s="187"/>
      <c r="IA15" s="187"/>
      <c r="IB15" s="187"/>
      <c r="IC15" s="187"/>
      <c r="ID15" s="187"/>
      <c r="IE15" s="196" t="s">
        <v>19</v>
      </c>
      <c r="IF15" s="197">
        <v>0.2533564814814815</v>
      </c>
      <c r="IG15" s="178"/>
      <c r="IH15" s="196" t="s">
        <v>86</v>
      </c>
      <c r="II15" s="197">
        <v>2.199074074074074E-4</v>
      </c>
      <c r="IJ15" s="178"/>
      <c r="IK15" s="196" t="s">
        <v>59</v>
      </c>
      <c r="IL15" s="197">
        <v>0.011377314814814814</v>
      </c>
      <c r="IM15" s="196" t="s">
        <v>58</v>
      </c>
      <c r="IN15" s="197">
        <v>0.10055555555555555</v>
      </c>
      <c r="IO15" s="196" t="s">
        <v>58</v>
      </c>
      <c r="IP15" s="197">
        <v>0.1869560185185185</v>
      </c>
      <c r="IQ15" s="178"/>
      <c r="IR15" s="196" t="s">
        <v>58</v>
      </c>
      <c r="IS15" s="197">
        <v>0.019178240740740742</v>
      </c>
      <c r="IT15" s="178"/>
      <c r="IU15" s="196" t="s">
        <v>59</v>
      </c>
      <c r="IV15" s="197">
        <v>0.07748842592592593</v>
      </c>
      <c r="IW15" s="178"/>
      <c r="IX15" s="196" t="s">
        <v>58</v>
      </c>
      <c r="IY15" s="197">
        <v>0.04762731481481482</v>
      </c>
      <c r="IZ15" s="187" t="s">
        <v>59</v>
      </c>
      <c r="JA15" s="188">
        <v>0.08520833333333333</v>
      </c>
      <c r="JB15" s="187" t="s">
        <v>65</v>
      </c>
      <c r="JC15" s="188">
        <v>0.0015162037037037036</v>
      </c>
      <c r="JD15" s="178"/>
    </row>
    <row r="16">
      <c r="A16" s="193"/>
      <c r="B16" s="193"/>
      <c r="C16" s="193"/>
      <c r="D16" s="193"/>
      <c r="E16" s="193"/>
      <c r="F16" s="193"/>
      <c r="G16" s="194" t="s">
        <v>87</v>
      </c>
      <c r="H16" s="195">
        <v>0.004178240740740741</v>
      </c>
      <c r="I16" s="193"/>
      <c r="J16" s="193"/>
      <c r="K16" s="193"/>
      <c r="L16" s="193"/>
      <c r="M16" s="193"/>
      <c r="N16" s="193"/>
      <c r="O16" s="194" t="s">
        <v>59</v>
      </c>
      <c r="P16" s="195">
        <v>0.0597337962962963</v>
      </c>
      <c r="Q16" s="194" t="s">
        <v>59</v>
      </c>
      <c r="R16" s="195">
        <v>0.05157407407407407</v>
      </c>
      <c r="S16" s="193"/>
      <c r="T16" s="193"/>
      <c r="U16" s="193"/>
      <c r="V16" s="193"/>
      <c r="W16" s="194"/>
      <c r="X16" s="195"/>
      <c r="Y16" s="193"/>
      <c r="Z16" s="193"/>
      <c r="AA16" s="194" t="s">
        <v>80</v>
      </c>
      <c r="AB16" s="195">
        <v>0.09583333333333334</v>
      </c>
      <c r="AC16" s="194" t="s">
        <v>40</v>
      </c>
      <c r="AD16" s="195">
        <v>0.0</v>
      </c>
      <c r="AE16" s="194" t="s">
        <v>44</v>
      </c>
      <c r="AF16" s="195">
        <v>0.009560185185185185</v>
      </c>
      <c r="AG16" s="194" t="s">
        <v>422</v>
      </c>
      <c r="AH16" s="195">
        <v>0.006759259259259259</v>
      </c>
      <c r="AI16" s="194" t="s">
        <v>89</v>
      </c>
      <c r="AJ16" s="195">
        <v>0.020902777777777777</v>
      </c>
      <c r="AK16" s="194" t="s">
        <v>49</v>
      </c>
      <c r="AL16" s="195">
        <v>0.04128472222222222</v>
      </c>
      <c r="AM16" s="194" t="s">
        <v>425</v>
      </c>
      <c r="AN16" s="195">
        <v>0.09725694444444444</v>
      </c>
      <c r="AO16" s="194" t="s">
        <v>425</v>
      </c>
      <c r="AP16" s="195">
        <v>0.4161574074074074</v>
      </c>
      <c r="AQ16" s="194" t="s">
        <v>430</v>
      </c>
      <c r="AR16" s="195">
        <v>0.03998842592592593</v>
      </c>
      <c r="AS16" s="194" t="s">
        <v>89</v>
      </c>
      <c r="AT16" s="195">
        <v>0.015891203703703703</v>
      </c>
      <c r="AU16" s="194" t="s">
        <v>49</v>
      </c>
      <c r="AV16" s="195">
        <v>0.020775462962962964</v>
      </c>
      <c r="AW16" s="194" t="s">
        <v>49</v>
      </c>
      <c r="AX16" s="195">
        <v>0.015729166666666666</v>
      </c>
      <c r="AY16" s="194" t="s">
        <v>49</v>
      </c>
      <c r="AZ16" s="195">
        <v>0.026782407407407408</v>
      </c>
      <c r="BA16" s="194" t="s">
        <v>49</v>
      </c>
      <c r="BB16" s="195">
        <v>0.017881944444444443</v>
      </c>
      <c r="BC16" s="194" t="s">
        <v>49</v>
      </c>
      <c r="BD16" s="195">
        <v>0.09553240740740741</v>
      </c>
      <c r="BE16" s="194" t="s">
        <v>49</v>
      </c>
      <c r="BF16" s="195">
        <v>0.14038194444444443</v>
      </c>
      <c r="BG16" s="194" t="s">
        <v>49</v>
      </c>
      <c r="BH16" s="195">
        <v>0.07582175925925926</v>
      </c>
      <c r="BI16" s="194" t="s">
        <v>49</v>
      </c>
      <c r="BJ16" s="195">
        <v>0.09229166666666666</v>
      </c>
      <c r="BK16" s="194" t="s">
        <v>49</v>
      </c>
      <c r="BL16" s="195">
        <v>0.3940972222222222</v>
      </c>
      <c r="BM16" s="194" t="s">
        <v>49</v>
      </c>
      <c r="BN16" s="195">
        <v>0.704849537037037</v>
      </c>
      <c r="BO16" s="194" t="s">
        <v>49</v>
      </c>
      <c r="BP16" s="195">
        <v>0.7760300925925926</v>
      </c>
      <c r="BQ16" s="194" t="s">
        <v>49</v>
      </c>
      <c r="BR16" s="195">
        <v>1.3785185185185185</v>
      </c>
      <c r="BS16" s="194" t="s">
        <v>49</v>
      </c>
      <c r="BT16" s="195">
        <v>0.9265162037037037</v>
      </c>
      <c r="BU16" s="194" t="s">
        <v>49</v>
      </c>
      <c r="BV16" s="195">
        <v>0.7704166666666666</v>
      </c>
      <c r="BW16" s="194" t="s">
        <v>49</v>
      </c>
      <c r="BX16" s="195">
        <v>0.5491435185185185</v>
      </c>
      <c r="BY16" s="194" t="s">
        <v>49</v>
      </c>
      <c r="BZ16" s="195">
        <v>0.5468287037037037</v>
      </c>
      <c r="CA16" s="194" t="s">
        <v>49</v>
      </c>
      <c r="CB16" s="195">
        <v>0.28162037037037035</v>
      </c>
      <c r="CC16" s="194" t="s">
        <v>49</v>
      </c>
      <c r="CD16" s="195">
        <v>0.1752199074074074</v>
      </c>
      <c r="CE16" s="194" t="s">
        <v>89</v>
      </c>
      <c r="CF16" s="195">
        <v>0.031469907407407405</v>
      </c>
      <c r="CG16" s="194" t="s">
        <v>49</v>
      </c>
      <c r="CH16" s="195">
        <v>0.1255787037037037</v>
      </c>
      <c r="CI16" s="194" t="s">
        <v>89</v>
      </c>
      <c r="CJ16" s="195">
        <v>0.05664351851851852</v>
      </c>
      <c r="CK16" s="194" t="s">
        <v>49</v>
      </c>
      <c r="CL16" s="195">
        <v>0.10534722222222222</v>
      </c>
      <c r="CM16" s="194" t="s">
        <v>49</v>
      </c>
      <c r="CN16" s="195">
        <v>0.056608796296296296</v>
      </c>
      <c r="CO16" s="194" t="s">
        <v>49</v>
      </c>
      <c r="CP16" s="195">
        <v>0.08815972222222222</v>
      </c>
      <c r="CQ16" s="194" t="s">
        <v>49</v>
      </c>
      <c r="CR16" s="195">
        <v>0.07494212962962964</v>
      </c>
      <c r="CS16" s="194" t="s">
        <v>49</v>
      </c>
      <c r="CT16" s="195">
        <v>0.05806712962962963</v>
      </c>
      <c r="CU16" s="194" t="s">
        <v>49</v>
      </c>
      <c r="CV16" s="195">
        <v>0.11127314814814815</v>
      </c>
      <c r="CW16" s="194" t="s">
        <v>49</v>
      </c>
      <c r="CX16" s="195">
        <v>0.06552083333333333</v>
      </c>
      <c r="CY16" s="194" t="s">
        <v>89</v>
      </c>
      <c r="CZ16" s="195">
        <v>0.005474537037037037</v>
      </c>
      <c r="DA16" s="194" t="s">
        <v>430</v>
      </c>
      <c r="DB16" s="195">
        <v>0.10982638888888889</v>
      </c>
      <c r="DC16" s="194" t="s">
        <v>89</v>
      </c>
      <c r="DD16" s="195">
        <v>0.11275462962962964</v>
      </c>
      <c r="DE16" s="194" t="s">
        <v>49</v>
      </c>
      <c r="DF16" s="195">
        <v>0.08751157407407407</v>
      </c>
      <c r="DG16" s="194" t="s">
        <v>49</v>
      </c>
      <c r="DH16" s="195">
        <v>0.6975810185185185</v>
      </c>
      <c r="DI16" s="194" t="s">
        <v>97</v>
      </c>
      <c r="DJ16" s="195">
        <v>0.0033449074074074076</v>
      </c>
      <c r="DK16" s="194" t="s">
        <v>57</v>
      </c>
      <c r="DL16" s="195">
        <v>0.0026157407407407405</v>
      </c>
      <c r="DM16" s="194" t="s">
        <v>50</v>
      </c>
      <c r="DN16" s="195">
        <v>0.010243055555555556</v>
      </c>
      <c r="DO16" s="194" t="s">
        <v>19</v>
      </c>
      <c r="DP16" s="195">
        <v>0.07302083333333333</v>
      </c>
      <c r="DQ16" s="194" t="s">
        <v>19</v>
      </c>
      <c r="DR16" s="195">
        <v>0.04278935185185185</v>
      </c>
      <c r="DS16" s="194" t="s">
        <v>97</v>
      </c>
      <c r="DT16" s="195">
        <v>6.712962962962962E-4</v>
      </c>
      <c r="DU16" s="194" t="s">
        <v>19</v>
      </c>
      <c r="DV16" s="195">
        <v>0.02133101851851852</v>
      </c>
      <c r="DW16" s="194" t="s">
        <v>57</v>
      </c>
      <c r="DX16" s="195">
        <v>0.01824074074074074</v>
      </c>
      <c r="DY16" s="194" t="s">
        <v>44</v>
      </c>
      <c r="DZ16" s="195">
        <v>0.00829861111111111</v>
      </c>
      <c r="EA16" s="194" t="s">
        <v>96</v>
      </c>
      <c r="EB16" s="195">
        <v>0.0018055555555555555</v>
      </c>
      <c r="EC16" s="194" t="s">
        <v>425</v>
      </c>
      <c r="ED16" s="195">
        <v>0.006574074074074074</v>
      </c>
      <c r="EE16" s="194" t="s">
        <v>19</v>
      </c>
      <c r="EF16" s="195">
        <v>0.06491898148148148</v>
      </c>
      <c r="EG16" s="194" t="s">
        <v>92</v>
      </c>
      <c r="EH16" s="195">
        <v>0.1977199074074074</v>
      </c>
      <c r="EI16" s="194" t="s">
        <v>59</v>
      </c>
      <c r="EJ16" s="195">
        <v>0.012141203703703704</v>
      </c>
      <c r="EK16" s="194" t="s">
        <v>98</v>
      </c>
      <c r="EL16" s="195">
        <v>0.003263888888888889</v>
      </c>
      <c r="EM16" s="194" t="s">
        <v>50</v>
      </c>
      <c r="EN16" s="195">
        <v>0.0015162037037037036</v>
      </c>
      <c r="EO16" s="194" t="s">
        <v>19</v>
      </c>
      <c r="EP16" s="195">
        <v>0.05766203703703704</v>
      </c>
      <c r="EQ16" s="194" t="s">
        <v>92</v>
      </c>
      <c r="ER16" s="195">
        <v>0.29563657407407407</v>
      </c>
      <c r="ES16" s="194" t="s">
        <v>19</v>
      </c>
      <c r="ET16" s="195">
        <v>0.022789351851851852</v>
      </c>
      <c r="EU16" s="194" t="s">
        <v>40</v>
      </c>
      <c r="EV16" s="195">
        <v>0.0028472222222222223</v>
      </c>
      <c r="EW16" s="194" t="s">
        <v>92</v>
      </c>
      <c r="EX16" s="195">
        <v>0.23618055555555556</v>
      </c>
      <c r="EY16" s="194" t="s">
        <v>82</v>
      </c>
      <c r="EZ16" s="195">
        <v>2.199074074074074E-4</v>
      </c>
      <c r="FA16" s="194" t="s">
        <v>101</v>
      </c>
      <c r="FB16" s="195">
        <v>0.015208333333333334</v>
      </c>
      <c r="FC16" s="194" t="s">
        <v>97</v>
      </c>
      <c r="FD16" s="195">
        <v>1.5046296296296297E-4</v>
      </c>
      <c r="FE16" s="194" t="s">
        <v>70</v>
      </c>
      <c r="FF16" s="195">
        <v>0.010648148148148148</v>
      </c>
      <c r="FG16" s="194" t="s">
        <v>97</v>
      </c>
      <c r="FH16" s="195">
        <v>0.015300925925925926</v>
      </c>
      <c r="FI16" s="194" t="s">
        <v>40</v>
      </c>
      <c r="FJ16" s="195">
        <v>0.0059375</v>
      </c>
      <c r="FK16" s="194" t="s">
        <v>79</v>
      </c>
      <c r="FL16" s="195">
        <v>5.902777777777778E-4</v>
      </c>
      <c r="FM16" s="194" t="s">
        <v>92</v>
      </c>
      <c r="FN16" s="195">
        <v>0.01653935185185185</v>
      </c>
      <c r="FO16" s="194" t="s">
        <v>97</v>
      </c>
      <c r="FP16" s="195">
        <v>0.0046875</v>
      </c>
      <c r="FQ16" s="194" t="s">
        <v>19</v>
      </c>
      <c r="FR16" s="195">
        <v>0.050590277777777776</v>
      </c>
      <c r="FS16" s="194" t="s">
        <v>96</v>
      </c>
      <c r="FT16" s="195">
        <v>0.013472222222222222</v>
      </c>
      <c r="FU16" s="194" t="s">
        <v>79</v>
      </c>
      <c r="FV16" s="195">
        <v>0.015787037037037037</v>
      </c>
      <c r="FW16" s="194" t="s">
        <v>43</v>
      </c>
      <c r="FX16" s="195">
        <v>0.022800925925925926</v>
      </c>
      <c r="FY16" s="194" t="s">
        <v>82</v>
      </c>
      <c r="FZ16" s="195">
        <v>0.01633101851851852</v>
      </c>
      <c r="GA16" s="194" t="s">
        <v>60</v>
      </c>
      <c r="GB16" s="195">
        <v>0.026898148148148147</v>
      </c>
      <c r="GC16" s="194" t="s">
        <v>422</v>
      </c>
      <c r="GD16" s="195">
        <v>0.046875</v>
      </c>
      <c r="GE16" s="194" t="s">
        <v>422</v>
      </c>
      <c r="GF16" s="195">
        <v>0.041840277777777775</v>
      </c>
      <c r="GG16" s="194" t="s">
        <v>95</v>
      </c>
      <c r="GH16" s="195">
        <v>1.8518518518518518E-4</v>
      </c>
      <c r="GI16" s="185" t="s">
        <v>41</v>
      </c>
      <c r="GJ16" s="186">
        <v>0.0025810185185185185</v>
      </c>
      <c r="GK16" s="185" t="s">
        <v>22</v>
      </c>
      <c r="GL16" s="186">
        <v>0.052708333333333336</v>
      </c>
      <c r="GM16" s="185" t="s">
        <v>22</v>
      </c>
      <c r="GN16" s="186">
        <v>0.031041666666666665</v>
      </c>
      <c r="GO16" s="187" t="s">
        <v>22</v>
      </c>
      <c r="GP16" s="188">
        <v>0.035173611111111114</v>
      </c>
      <c r="GQ16" s="187" t="s">
        <v>22</v>
      </c>
      <c r="GR16" s="188">
        <v>0.056539351851851855</v>
      </c>
      <c r="GS16" s="187" t="s">
        <v>8</v>
      </c>
      <c r="GT16" s="188">
        <v>0.0793287037037037</v>
      </c>
      <c r="GU16" s="187" t="s">
        <v>43</v>
      </c>
      <c r="GV16" s="188">
        <v>0.038622685185185184</v>
      </c>
      <c r="GW16" s="190" t="s">
        <v>20</v>
      </c>
      <c r="GX16" s="191">
        <v>0.0583912037037037</v>
      </c>
      <c r="GY16" s="190" t="s">
        <v>20</v>
      </c>
      <c r="GZ16" s="191">
        <v>0.21457175925925925</v>
      </c>
      <c r="HA16" s="190" t="s">
        <v>21</v>
      </c>
      <c r="HB16" s="191">
        <v>0.18101851851851852</v>
      </c>
      <c r="HC16" s="190" t="s">
        <v>43</v>
      </c>
      <c r="HD16" s="191">
        <v>0.007581018518518518</v>
      </c>
      <c r="HE16" s="190" t="s">
        <v>59</v>
      </c>
      <c r="HF16" s="191">
        <v>0.019398148148148147</v>
      </c>
      <c r="HG16" s="190" t="s">
        <v>30</v>
      </c>
      <c r="HH16" s="191">
        <v>1.7361111111111112E-4</v>
      </c>
      <c r="HI16" s="190" t="s">
        <v>30</v>
      </c>
      <c r="HJ16" s="191">
        <v>1.273148148148148E-4</v>
      </c>
      <c r="HK16" s="190" t="s">
        <v>59</v>
      </c>
      <c r="HL16" s="191">
        <v>0.016122685185185184</v>
      </c>
      <c r="HM16" s="190" t="s">
        <v>464</v>
      </c>
      <c r="HN16" s="191">
        <v>0.014293981481481482</v>
      </c>
      <c r="HO16" s="190" t="s">
        <v>464</v>
      </c>
      <c r="HP16" s="191">
        <v>0.007280092592592592</v>
      </c>
      <c r="HQ16" s="190" t="s">
        <v>58</v>
      </c>
      <c r="HR16" s="191">
        <v>0.7246412037037037</v>
      </c>
      <c r="HS16" s="190" t="s">
        <v>8</v>
      </c>
      <c r="HT16" s="191">
        <v>0.16269675925925925</v>
      </c>
      <c r="HU16" s="190" t="s">
        <v>8</v>
      </c>
      <c r="HV16" s="191">
        <v>0.1611226851851852</v>
      </c>
      <c r="HW16" s="190" t="s">
        <v>58</v>
      </c>
      <c r="HX16" s="191">
        <v>0.58</v>
      </c>
      <c r="HY16" s="187"/>
      <c r="HZ16" s="187"/>
      <c r="IA16" s="187"/>
      <c r="IB16" s="187"/>
      <c r="IC16" s="187"/>
      <c r="ID16" s="187"/>
      <c r="IE16" s="196" t="s">
        <v>97</v>
      </c>
      <c r="IF16" s="197">
        <v>0.023935185185185184</v>
      </c>
      <c r="IG16" s="178"/>
      <c r="IH16" s="196" t="s">
        <v>87</v>
      </c>
      <c r="II16" s="197">
        <v>0.016863425925925928</v>
      </c>
      <c r="IJ16" s="178"/>
      <c r="IK16" s="196" t="s">
        <v>65</v>
      </c>
      <c r="IL16" s="197">
        <v>0.0038888888888888888</v>
      </c>
      <c r="IM16" s="196" t="s">
        <v>59</v>
      </c>
      <c r="IN16" s="197">
        <v>0.030185185185185186</v>
      </c>
      <c r="IO16" s="196" t="s">
        <v>59</v>
      </c>
      <c r="IP16" s="197">
        <v>0.03869212962962963</v>
      </c>
      <c r="IQ16" s="178"/>
      <c r="IR16" s="196" t="s">
        <v>59</v>
      </c>
      <c r="IS16" s="197">
        <v>0.03642361111111111</v>
      </c>
      <c r="IT16" s="178"/>
      <c r="IU16" s="196" t="s">
        <v>63</v>
      </c>
      <c r="IV16" s="197">
        <v>0.019398148148148147</v>
      </c>
      <c r="IW16" s="178"/>
      <c r="IX16" s="196" t="s">
        <v>59</v>
      </c>
      <c r="IY16" s="197">
        <v>0.021597222222222223</v>
      </c>
      <c r="IZ16" s="187" t="s">
        <v>63</v>
      </c>
      <c r="JA16" s="188">
        <v>0.015474537037037037</v>
      </c>
      <c r="JB16" s="187" t="s">
        <v>82</v>
      </c>
      <c r="JC16" s="188">
        <v>0.017361111111111112</v>
      </c>
      <c r="JD16" s="178"/>
    </row>
    <row r="17">
      <c r="A17" s="193"/>
      <c r="B17" s="193"/>
      <c r="C17" s="193"/>
      <c r="D17" s="193"/>
      <c r="E17" s="193"/>
      <c r="F17" s="193"/>
      <c r="G17" s="198" t="s">
        <v>52</v>
      </c>
      <c r="H17" s="199">
        <v>0.0</v>
      </c>
      <c r="I17" s="193"/>
      <c r="J17" s="193"/>
      <c r="K17" s="193"/>
      <c r="L17" s="193"/>
      <c r="M17" s="193"/>
      <c r="N17" s="193"/>
      <c r="O17" s="194" t="s">
        <v>78</v>
      </c>
      <c r="P17" s="195">
        <v>4.6296296296296294E-5</v>
      </c>
      <c r="Q17" s="194" t="s">
        <v>21</v>
      </c>
      <c r="R17" s="195">
        <v>9.606481481481482E-4</v>
      </c>
      <c r="S17" s="193"/>
      <c r="T17" s="193"/>
      <c r="U17" s="193"/>
      <c r="V17" s="193"/>
      <c r="W17" s="194"/>
      <c r="X17" s="195"/>
      <c r="Y17" s="193"/>
      <c r="Z17" s="193"/>
      <c r="AA17" s="194" t="s">
        <v>101</v>
      </c>
      <c r="AB17" s="195">
        <v>0.0802199074074074</v>
      </c>
      <c r="AC17" s="194" t="s">
        <v>98</v>
      </c>
      <c r="AD17" s="195">
        <v>1.7361111111111112E-4</v>
      </c>
      <c r="AE17" s="194" t="s">
        <v>428</v>
      </c>
      <c r="AF17" s="195">
        <v>4.398148148148148E-4</v>
      </c>
      <c r="AG17" s="194" t="s">
        <v>96</v>
      </c>
      <c r="AH17" s="195">
        <v>1.8518518518518518E-4</v>
      </c>
      <c r="AI17" s="194" t="s">
        <v>430</v>
      </c>
      <c r="AJ17" s="195">
        <v>0.01423611111111111</v>
      </c>
      <c r="AK17" s="194" t="s">
        <v>89</v>
      </c>
      <c r="AL17" s="195">
        <v>0.02189814814814815</v>
      </c>
      <c r="AM17" s="194" t="s">
        <v>24</v>
      </c>
      <c r="AN17" s="195">
        <v>6.481481481481481E-4</v>
      </c>
      <c r="AO17" s="194" t="s">
        <v>24</v>
      </c>
      <c r="AP17" s="195">
        <v>0.0013194444444444445</v>
      </c>
      <c r="AQ17" s="194" t="s">
        <v>425</v>
      </c>
      <c r="AR17" s="195">
        <v>0.718275462962963</v>
      </c>
      <c r="AS17" s="194" t="s">
        <v>430</v>
      </c>
      <c r="AT17" s="195">
        <v>0.05649305555555555</v>
      </c>
      <c r="AU17" s="194" t="s">
        <v>89</v>
      </c>
      <c r="AV17" s="195">
        <v>0.3545601851851852</v>
      </c>
      <c r="AW17" s="194" t="s">
        <v>89</v>
      </c>
      <c r="AX17" s="195">
        <v>0.3659027777777778</v>
      </c>
      <c r="AY17" s="194" t="s">
        <v>89</v>
      </c>
      <c r="AZ17" s="195">
        <v>0.2970138888888889</v>
      </c>
      <c r="BA17" s="194" t="s">
        <v>89</v>
      </c>
      <c r="BB17" s="195">
        <v>0.219375</v>
      </c>
      <c r="BC17" s="194" t="s">
        <v>89</v>
      </c>
      <c r="BD17" s="195">
        <v>0.015717592592592592</v>
      </c>
      <c r="BE17" s="194" t="s">
        <v>89</v>
      </c>
      <c r="BF17" s="195">
        <v>0.0018981481481481482</v>
      </c>
      <c r="BG17" s="194" t="s">
        <v>89</v>
      </c>
      <c r="BH17" s="195">
        <v>0.09552083333333333</v>
      </c>
      <c r="BI17" s="194" t="s">
        <v>89</v>
      </c>
      <c r="BJ17" s="195">
        <v>0.04228009259259259</v>
      </c>
      <c r="BK17" s="194" t="s">
        <v>89</v>
      </c>
      <c r="BL17" s="195">
        <v>0.04679398148148148</v>
      </c>
      <c r="BM17" s="194" t="s">
        <v>89</v>
      </c>
      <c r="BN17" s="195">
        <v>0.027881944444444445</v>
      </c>
      <c r="BO17" s="194" t="s">
        <v>89</v>
      </c>
      <c r="BP17" s="195">
        <v>0.04611111111111111</v>
      </c>
      <c r="BQ17" s="194" t="s">
        <v>89</v>
      </c>
      <c r="BR17" s="195">
        <v>0.0719675925925926</v>
      </c>
      <c r="BS17" s="194" t="s">
        <v>89</v>
      </c>
      <c r="BT17" s="195">
        <v>0.047002314814814816</v>
      </c>
      <c r="BU17" s="194" t="s">
        <v>89</v>
      </c>
      <c r="BV17" s="195">
        <v>0.044270833333333336</v>
      </c>
      <c r="BW17" s="194" t="s">
        <v>89</v>
      </c>
      <c r="BX17" s="195">
        <v>0.07209490740740741</v>
      </c>
      <c r="BY17" s="194" t="s">
        <v>89</v>
      </c>
      <c r="BZ17" s="195">
        <v>0.04940972222222222</v>
      </c>
      <c r="CA17" s="194" t="s">
        <v>89</v>
      </c>
      <c r="CB17" s="195">
        <v>0.06848379629629629</v>
      </c>
      <c r="CC17" s="194" t="s">
        <v>89</v>
      </c>
      <c r="CD17" s="195">
        <v>0.012303240740740741</v>
      </c>
      <c r="CE17" s="194" t="s">
        <v>430</v>
      </c>
      <c r="CF17" s="195">
        <v>0.20298611111111112</v>
      </c>
      <c r="CG17" s="194" t="s">
        <v>89</v>
      </c>
      <c r="CH17" s="195">
        <v>0.04689814814814815</v>
      </c>
      <c r="CI17" s="194" t="s">
        <v>430</v>
      </c>
      <c r="CJ17" s="195">
        <v>0.0881712962962963</v>
      </c>
      <c r="CK17" s="194" t="s">
        <v>89</v>
      </c>
      <c r="CL17" s="195">
        <v>0.07369212962962964</v>
      </c>
      <c r="CM17" s="194" t="s">
        <v>89</v>
      </c>
      <c r="CN17" s="195">
        <v>0.048587962962962965</v>
      </c>
      <c r="CO17" s="194" t="s">
        <v>89</v>
      </c>
      <c r="CP17" s="195">
        <v>0.05096064814814815</v>
      </c>
      <c r="CQ17" s="194" t="s">
        <v>89</v>
      </c>
      <c r="CR17" s="195">
        <v>0.011793981481481482</v>
      </c>
      <c r="CS17" s="194" t="s">
        <v>89</v>
      </c>
      <c r="CT17" s="195">
        <v>0.003946759259259259</v>
      </c>
      <c r="CU17" s="194" t="s">
        <v>89</v>
      </c>
      <c r="CV17" s="195">
        <v>0.04013888888888889</v>
      </c>
      <c r="CW17" s="194" t="s">
        <v>89</v>
      </c>
      <c r="CX17" s="195">
        <v>0.023935185185185184</v>
      </c>
      <c r="CY17" s="194" t="s">
        <v>430</v>
      </c>
      <c r="CZ17" s="195">
        <v>0.06510416666666667</v>
      </c>
      <c r="DA17" s="194" t="s">
        <v>425</v>
      </c>
      <c r="DB17" s="195">
        <v>0.13315972222222222</v>
      </c>
      <c r="DC17" s="194" t="s">
        <v>430</v>
      </c>
      <c r="DD17" s="195">
        <v>0.02141203703703704</v>
      </c>
      <c r="DE17" s="194" t="s">
        <v>89</v>
      </c>
      <c r="DF17" s="195">
        <v>0.13461805555555556</v>
      </c>
      <c r="DG17" s="194" t="s">
        <v>89</v>
      </c>
      <c r="DH17" s="195">
        <v>3.952037037037038</v>
      </c>
      <c r="DI17" s="194" t="s">
        <v>50</v>
      </c>
      <c r="DJ17" s="195">
        <v>0.06525462962962963</v>
      </c>
      <c r="DK17" s="194" t="s">
        <v>98</v>
      </c>
      <c r="DL17" s="195">
        <v>0.04082175925925926</v>
      </c>
      <c r="DM17" s="194" t="s">
        <v>57</v>
      </c>
      <c r="DN17" s="195">
        <v>0.03491898148148148</v>
      </c>
      <c r="DO17" s="194" t="s">
        <v>97</v>
      </c>
      <c r="DP17" s="195">
        <v>0.007175925925925926</v>
      </c>
      <c r="DQ17" s="194" t="s">
        <v>97</v>
      </c>
      <c r="DR17" s="195">
        <v>0.010798611111111111</v>
      </c>
      <c r="DS17" s="194" t="s">
        <v>50</v>
      </c>
      <c r="DT17" s="195">
        <v>0.0020833333333333333</v>
      </c>
      <c r="DU17" s="194" t="s">
        <v>97</v>
      </c>
      <c r="DV17" s="195">
        <v>0.004560185185185185</v>
      </c>
      <c r="DW17" s="194" t="s">
        <v>98</v>
      </c>
      <c r="DX17" s="195">
        <v>0.006608796296296297</v>
      </c>
      <c r="DY17" s="194" t="s">
        <v>428</v>
      </c>
      <c r="DZ17" s="195">
        <v>0.002962962962962963</v>
      </c>
      <c r="EA17" s="194" t="s">
        <v>463</v>
      </c>
      <c r="EB17" s="195">
        <v>0.007511574074074074</v>
      </c>
      <c r="EC17" s="194" t="s">
        <v>42</v>
      </c>
      <c r="ED17" s="195">
        <v>0.012511574074074074</v>
      </c>
      <c r="EE17" s="194" t="s">
        <v>97</v>
      </c>
      <c r="EF17" s="195">
        <v>0.0019560185185185184</v>
      </c>
      <c r="EG17" s="194" t="s">
        <v>19</v>
      </c>
      <c r="EH17" s="195">
        <v>0.029386574074074075</v>
      </c>
      <c r="EI17" s="194" t="s">
        <v>428</v>
      </c>
      <c r="EJ17" s="195">
        <v>0.04832175925925926</v>
      </c>
      <c r="EK17" s="194" t="s">
        <v>44</v>
      </c>
      <c r="EL17" s="195">
        <v>0.05528935185185185</v>
      </c>
      <c r="EM17" s="194" t="s">
        <v>98</v>
      </c>
      <c r="EN17" s="195">
        <v>0.002534722222222222</v>
      </c>
      <c r="EO17" s="194" t="s">
        <v>97</v>
      </c>
      <c r="EP17" s="195">
        <v>0.010127314814814815</v>
      </c>
      <c r="EQ17" s="194" t="s">
        <v>19</v>
      </c>
      <c r="ER17" s="195">
        <v>0.024467592592592593</v>
      </c>
      <c r="ES17" s="194" t="s">
        <v>97</v>
      </c>
      <c r="ET17" s="195">
        <v>0.02767361111111111</v>
      </c>
      <c r="EU17" s="194" t="s">
        <v>98</v>
      </c>
      <c r="EV17" s="195">
        <v>0.01783564814814815</v>
      </c>
      <c r="EW17" s="194" t="s">
        <v>19</v>
      </c>
      <c r="EX17" s="195">
        <v>0.05818287037037037</v>
      </c>
      <c r="EY17" s="194" t="s">
        <v>90</v>
      </c>
      <c r="EZ17" s="195">
        <v>0.0034375</v>
      </c>
      <c r="FA17" s="194" t="s">
        <v>70</v>
      </c>
      <c r="FB17" s="195">
        <v>0.003310185185185185</v>
      </c>
      <c r="FC17" s="194" t="s">
        <v>101</v>
      </c>
      <c r="FD17" s="195">
        <v>0.017546296296296296</v>
      </c>
      <c r="FE17" s="194" t="s">
        <v>44</v>
      </c>
      <c r="FF17" s="195">
        <v>0.012337962962962964</v>
      </c>
      <c r="FG17" s="194" t="s">
        <v>57</v>
      </c>
      <c r="FH17" s="195">
        <v>0.00920138888888889</v>
      </c>
      <c r="FI17" s="194" t="s">
        <v>102</v>
      </c>
      <c r="FJ17" s="195">
        <v>1.273148148148148E-4</v>
      </c>
      <c r="FK17" s="194" t="s">
        <v>422</v>
      </c>
      <c r="FL17" s="195">
        <v>0.048796296296296296</v>
      </c>
      <c r="FM17" s="194" t="s">
        <v>19</v>
      </c>
      <c r="FN17" s="195">
        <v>0.051724537037037034</v>
      </c>
      <c r="FO17" s="194" t="s">
        <v>40</v>
      </c>
      <c r="FP17" s="195">
        <v>0.0043518518518518515</v>
      </c>
      <c r="FQ17" s="194" t="s">
        <v>97</v>
      </c>
      <c r="FR17" s="195">
        <v>0.0020601851851851853</v>
      </c>
      <c r="FS17" s="194" t="s">
        <v>463</v>
      </c>
      <c r="FT17" s="195">
        <v>0.07635416666666667</v>
      </c>
      <c r="FU17" s="194" t="s">
        <v>422</v>
      </c>
      <c r="FV17" s="195">
        <v>0.06377314814814815</v>
      </c>
      <c r="FW17" s="194" t="s">
        <v>99</v>
      </c>
      <c r="FX17" s="195">
        <v>0.0030092592592592593</v>
      </c>
      <c r="FY17" s="194" t="s">
        <v>90</v>
      </c>
      <c r="FZ17" s="195">
        <v>9.25925925925926E-4</v>
      </c>
      <c r="GA17" s="194" t="s">
        <v>29</v>
      </c>
      <c r="GB17" s="195">
        <v>0.010972222222222222</v>
      </c>
      <c r="GC17" s="194" t="s">
        <v>96</v>
      </c>
      <c r="GD17" s="195">
        <v>0.1566087962962963</v>
      </c>
      <c r="GE17" s="194" t="s">
        <v>96</v>
      </c>
      <c r="GF17" s="195">
        <v>0.1643287037037037</v>
      </c>
      <c r="GG17" s="194" t="s">
        <v>42</v>
      </c>
      <c r="GH17" s="195">
        <v>0.01931712962962963</v>
      </c>
      <c r="GI17" s="185" t="s">
        <v>32</v>
      </c>
      <c r="GJ17" s="186">
        <v>0.5116087962962963</v>
      </c>
      <c r="GK17" s="185" t="s">
        <v>8</v>
      </c>
      <c r="GL17" s="186">
        <v>0.26744212962962965</v>
      </c>
      <c r="GM17" s="185" t="s">
        <v>8</v>
      </c>
      <c r="GN17" s="186">
        <v>0.1078587962962963</v>
      </c>
      <c r="GO17" s="187" t="s">
        <v>8</v>
      </c>
      <c r="GP17" s="188">
        <v>0.09609953703703704</v>
      </c>
      <c r="GQ17" s="187" t="s">
        <v>8</v>
      </c>
      <c r="GR17" s="188">
        <v>0.12608796296296296</v>
      </c>
      <c r="GS17" s="187" t="s">
        <v>20</v>
      </c>
      <c r="GT17" s="188">
        <v>0.08207175925925926</v>
      </c>
      <c r="GU17" s="187" t="s">
        <v>32</v>
      </c>
      <c r="GV17" s="188">
        <v>0.05542824074074074</v>
      </c>
      <c r="GW17" s="190" t="s">
        <v>55</v>
      </c>
      <c r="GX17" s="191">
        <v>0.027858796296296295</v>
      </c>
      <c r="GY17" s="190" t="s">
        <v>55</v>
      </c>
      <c r="GZ17" s="191">
        <v>0.011168981481481481</v>
      </c>
      <c r="HA17" s="190" t="s">
        <v>31</v>
      </c>
      <c r="HB17" s="191">
        <v>0.0062268518518518515</v>
      </c>
      <c r="HC17" s="190" t="s">
        <v>41</v>
      </c>
      <c r="HD17" s="191">
        <v>3.0092592592592595E-4</v>
      </c>
      <c r="HE17" s="190" t="s">
        <v>63</v>
      </c>
      <c r="HF17" s="191">
        <v>0.031377314814814816</v>
      </c>
      <c r="HG17" s="190" t="s">
        <v>55</v>
      </c>
      <c r="HH17" s="191">
        <v>4.5138888888888887E-4</v>
      </c>
      <c r="HI17" s="190" t="s">
        <v>58</v>
      </c>
      <c r="HJ17" s="191">
        <v>0.044224537037037034</v>
      </c>
      <c r="HK17" s="190" t="s">
        <v>63</v>
      </c>
      <c r="HL17" s="191">
        <v>0.0028819444444444444</v>
      </c>
      <c r="HM17" s="190" t="s">
        <v>42</v>
      </c>
      <c r="HN17" s="191">
        <v>1.9675925925925926E-4</v>
      </c>
      <c r="HO17" s="190" t="s">
        <v>72</v>
      </c>
      <c r="HP17" s="191">
        <v>0.003287037037037037</v>
      </c>
      <c r="HQ17" s="190" t="s">
        <v>59</v>
      </c>
      <c r="HR17" s="191">
        <v>7.175925925925926E-4</v>
      </c>
      <c r="HS17" s="190" t="s">
        <v>20</v>
      </c>
      <c r="HT17" s="191">
        <v>0.19946759259259259</v>
      </c>
      <c r="HU17" s="190" t="s">
        <v>20</v>
      </c>
      <c r="HV17" s="191">
        <v>0.21409722222222222</v>
      </c>
      <c r="HW17" s="190" t="s">
        <v>59</v>
      </c>
      <c r="HX17" s="191">
        <v>0.005578703703703704</v>
      </c>
      <c r="HY17" s="187"/>
      <c r="HZ17" s="187"/>
      <c r="IA17" s="187"/>
      <c r="IB17" s="187"/>
      <c r="IC17" s="187"/>
      <c r="ID17" s="187"/>
      <c r="IE17" s="196" t="s">
        <v>57</v>
      </c>
      <c r="IF17" s="197">
        <v>0.11086805555555555</v>
      </c>
      <c r="IG17" s="178"/>
      <c r="IH17" s="196" t="s">
        <v>89</v>
      </c>
      <c r="II17" s="197">
        <v>0.0059375</v>
      </c>
      <c r="IJ17" s="178"/>
      <c r="IK17" s="196" t="s">
        <v>82</v>
      </c>
      <c r="IL17" s="197">
        <v>0.035729166666666666</v>
      </c>
      <c r="IM17" s="196" t="s">
        <v>65</v>
      </c>
      <c r="IN17" s="197">
        <v>0.023993055555555556</v>
      </c>
      <c r="IO17" s="196" t="s">
        <v>65</v>
      </c>
      <c r="IP17" s="197">
        <v>0.01704861111111111</v>
      </c>
      <c r="IQ17" s="178"/>
      <c r="IR17" s="196" t="s">
        <v>63</v>
      </c>
      <c r="IS17" s="197">
        <v>0.01363425925925926</v>
      </c>
      <c r="IT17" s="178"/>
      <c r="IU17" s="196" t="s">
        <v>64</v>
      </c>
      <c r="IV17" s="197">
        <v>0.03528935185185185</v>
      </c>
      <c r="IW17" s="178"/>
      <c r="IX17" s="196" t="s">
        <v>63</v>
      </c>
      <c r="IY17" s="197">
        <v>0.022939814814814816</v>
      </c>
      <c r="IZ17" s="187" t="s">
        <v>65</v>
      </c>
      <c r="JA17" s="188">
        <v>9.722222222222222E-4</v>
      </c>
      <c r="JB17" s="187" t="s">
        <v>36</v>
      </c>
      <c r="JC17" s="188">
        <v>0.07637731481481481</v>
      </c>
      <c r="JD17" s="178"/>
    </row>
    <row r="18">
      <c r="A18" s="193"/>
      <c r="B18" s="193"/>
      <c r="C18" s="193"/>
      <c r="D18" s="193"/>
      <c r="E18" s="193"/>
      <c r="F18" s="193"/>
      <c r="G18" s="193"/>
      <c r="H18" s="193"/>
      <c r="I18" s="193"/>
      <c r="J18" s="193"/>
      <c r="K18" s="193"/>
      <c r="L18" s="193"/>
      <c r="M18" s="193"/>
      <c r="N18" s="193"/>
      <c r="O18" s="194" t="s">
        <v>21</v>
      </c>
      <c r="P18" s="195">
        <v>0.0044907407407407405</v>
      </c>
      <c r="Q18" s="194" t="s">
        <v>90</v>
      </c>
      <c r="R18" s="195">
        <v>0.003564814814814815</v>
      </c>
      <c r="S18" s="193"/>
      <c r="T18" s="193"/>
      <c r="U18" s="193"/>
      <c r="V18" s="193"/>
      <c r="W18" s="194"/>
      <c r="X18" s="195"/>
      <c r="Y18" s="193"/>
      <c r="Z18" s="193"/>
      <c r="AA18" s="194" t="s">
        <v>44</v>
      </c>
      <c r="AB18" s="195">
        <v>0.0062037037037037035</v>
      </c>
      <c r="AC18" s="194" t="s">
        <v>44</v>
      </c>
      <c r="AD18" s="195">
        <v>0.007581018518518518</v>
      </c>
      <c r="AE18" s="194" t="s">
        <v>60</v>
      </c>
      <c r="AF18" s="195">
        <v>0.018125</v>
      </c>
      <c r="AG18" s="194" t="s">
        <v>27</v>
      </c>
      <c r="AH18" s="195">
        <v>2.199074074074074E-4</v>
      </c>
      <c r="AI18" s="194" t="s">
        <v>425</v>
      </c>
      <c r="AJ18" s="195">
        <v>0.06659722222222222</v>
      </c>
      <c r="AK18" s="194" t="s">
        <v>430</v>
      </c>
      <c r="AL18" s="195">
        <v>0.01912037037037037</v>
      </c>
      <c r="AM18" s="194" t="s">
        <v>95</v>
      </c>
      <c r="AN18" s="195">
        <v>0.002349537037037037</v>
      </c>
      <c r="AO18" s="194" t="s">
        <v>95</v>
      </c>
      <c r="AP18" s="195">
        <v>0.028287037037037038</v>
      </c>
      <c r="AQ18" s="194" t="s">
        <v>24</v>
      </c>
      <c r="AR18" s="195">
        <v>0.15871527777777777</v>
      </c>
      <c r="AS18" s="194" t="s">
        <v>425</v>
      </c>
      <c r="AT18" s="195">
        <v>0.52375</v>
      </c>
      <c r="AU18" s="194" t="s">
        <v>430</v>
      </c>
      <c r="AV18" s="195">
        <v>0.10756944444444444</v>
      </c>
      <c r="AW18" s="194" t="s">
        <v>430</v>
      </c>
      <c r="AX18" s="195">
        <v>0.19619212962962962</v>
      </c>
      <c r="AY18" s="194" t="s">
        <v>430</v>
      </c>
      <c r="AZ18" s="195">
        <v>0.10898148148148148</v>
      </c>
      <c r="BA18" s="194" t="s">
        <v>430</v>
      </c>
      <c r="BB18" s="195">
        <v>0.13908564814814814</v>
      </c>
      <c r="BC18" s="194" t="s">
        <v>430</v>
      </c>
      <c r="BD18" s="195">
        <v>0.2862037037037037</v>
      </c>
      <c r="BE18" s="194" t="s">
        <v>430</v>
      </c>
      <c r="BF18" s="195">
        <v>0.15454861111111112</v>
      </c>
      <c r="BG18" s="194" t="s">
        <v>430</v>
      </c>
      <c r="BH18" s="195">
        <v>0.13003472222222223</v>
      </c>
      <c r="BI18" s="194" t="s">
        <v>430</v>
      </c>
      <c r="BJ18" s="195">
        <v>0.19414351851851852</v>
      </c>
      <c r="BK18" s="194" t="s">
        <v>430</v>
      </c>
      <c r="BL18" s="195">
        <v>0.3425347222222222</v>
      </c>
      <c r="BM18" s="194" t="s">
        <v>430</v>
      </c>
      <c r="BN18" s="195">
        <v>0.33096064814814813</v>
      </c>
      <c r="BO18" s="194" t="s">
        <v>430</v>
      </c>
      <c r="BP18" s="195">
        <v>0.29819444444444443</v>
      </c>
      <c r="BQ18" s="194" t="s">
        <v>430</v>
      </c>
      <c r="BR18" s="195">
        <v>0.20238425925925926</v>
      </c>
      <c r="BS18" s="194" t="s">
        <v>430</v>
      </c>
      <c r="BT18" s="195">
        <v>0.2444212962962963</v>
      </c>
      <c r="BU18" s="194" t="s">
        <v>430</v>
      </c>
      <c r="BV18" s="195">
        <v>0.21894675925925927</v>
      </c>
      <c r="BW18" s="194" t="s">
        <v>430</v>
      </c>
      <c r="BX18" s="195">
        <v>0.13130787037037037</v>
      </c>
      <c r="BY18" s="194" t="s">
        <v>430</v>
      </c>
      <c r="BZ18" s="195">
        <v>0.07273148148148148</v>
      </c>
      <c r="CA18" s="194" t="s">
        <v>430</v>
      </c>
      <c r="CB18" s="195">
        <v>0.04273148148148148</v>
      </c>
      <c r="CC18" s="194" t="s">
        <v>430</v>
      </c>
      <c r="CD18" s="195">
        <v>0.14813657407407407</v>
      </c>
      <c r="CE18" s="194" t="s">
        <v>425</v>
      </c>
      <c r="CF18" s="195">
        <v>0.07041666666666667</v>
      </c>
      <c r="CG18" s="194" t="s">
        <v>430</v>
      </c>
      <c r="CH18" s="195">
        <v>0.0428125</v>
      </c>
      <c r="CI18" s="194" t="s">
        <v>425</v>
      </c>
      <c r="CJ18" s="195">
        <v>0.0146875</v>
      </c>
      <c r="CK18" s="194" t="s">
        <v>430</v>
      </c>
      <c r="CL18" s="195">
        <v>0.06936342592592593</v>
      </c>
      <c r="CM18" s="194" t="s">
        <v>430</v>
      </c>
      <c r="CN18" s="195">
        <v>0.049756944444444444</v>
      </c>
      <c r="CO18" s="194" t="s">
        <v>430</v>
      </c>
      <c r="CP18" s="195">
        <v>0.1635763888888889</v>
      </c>
      <c r="CQ18" s="194" t="s">
        <v>430</v>
      </c>
      <c r="CR18" s="195">
        <v>0.07913194444444445</v>
      </c>
      <c r="CS18" s="194" t="s">
        <v>430</v>
      </c>
      <c r="CT18" s="195">
        <v>0.07641203703703704</v>
      </c>
      <c r="CU18" s="194" t="s">
        <v>430</v>
      </c>
      <c r="CV18" s="195">
        <v>0.04627314814814815</v>
      </c>
      <c r="CW18" s="194" t="s">
        <v>430</v>
      </c>
      <c r="CX18" s="195">
        <v>0.08649305555555556</v>
      </c>
      <c r="CY18" s="194" t="s">
        <v>425</v>
      </c>
      <c r="CZ18" s="195">
        <v>0.06929398148148148</v>
      </c>
      <c r="DA18" s="194" t="s">
        <v>24</v>
      </c>
      <c r="DB18" s="195">
        <v>0.020717592592592593</v>
      </c>
      <c r="DC18" s="194" t="s">
        <v>425</v>
      </c>
      <c r="DD18" s="195">
        <v>0.02454861111111111</v>
      </c>
      <c r="DE18" s="194" t="s">
        <v>430</v>
      </c>
      <c r="DF18" s="195">
        <v>0.06644675925925926</v>
      </c>
      <c r="DG18" s="194" t="s">
        <v>430</v>
      </c>
      <c r="DH18" s="195">
        <v>2.139664351851852</v>
      </c>
      <c r="DI18" s="194" t="s">
        <v>57</v>
      </c>
      <c r="DJ18" s="195">
        <v>0.011712962962962963</v>
      </c>
      <c r="DK18" s="194" t="s">
        <v>59</v>
      </c>
      <c r="DL18" s="195">
        <v>0.06840277777777778</v>
      </c>
      <c r="DM18" s="194" t="s">
        <v>98</v>
      </c>
      <c r="DN18" s="195">
        <v>0.06378472222222223</v>
      </c>
      <c r="DO18" s="194" t="s">
        <v>57</v>
      </c>
      <c r="DP18" s="195">
        <v>0.014814814814814815</v>
      </c>
      <c r="DQ18" s="194" t="s">
        <v>50</v>
      </c>
      <c r="DR18" s="195">
        <v>0.0015162037037037036</v>
      </c>
      <c r="DS18" s="194" t="s">
        <v>57</v>
      </c>
      <c r="DT18" s="195">
        <v>0.00986111111111111</v>
      </c>
      <c r="DU18" s="194" t="s">
        <v>50</v>
      </c>
      <c r="DV18" s="195">
        <v>0.010821759259259258</v>
      </c>
      <c r="DW18" s="194" t="s">
        <v>44</v>
      </c>
      <c r="DX18" s="195">
        <v>0.002002314814814815</v>
      </c>
      <c r="DY18" s="194" t="s">
        <v>31</v>
      </c>
      <c r="DZ18" s="195">
        <v>0.007372685185185185</v>
      </c>
      <c r="EA18" s="194" t="s">
        <v>92</v>
      </c>
      <c r="EB18" s="195">
        <v>1.7361111111111112E-4</v>
      </c>
      <c r="EC18" s="194" t="s">
        <v>422</v>
      </c>
      <c r="ED18" s="195">
        <v>0.0278125</v>
      </c>
      <c r="EE18" s="194" t="s">
        <v>57</v>
      </c>
      <c r="EF18" s="195">
        <v>0.02300925925925926</v>
      </c>
      <c r="EG18" s="194" t="s">
        <v>97</v>
      </c>
      <c r="EH18" s="195">
        <v>2.8935185185185184E-4</v>
      </c>
      <c r="EI18" s="194" t="s">
        <v>62</v>
      </c>
      <c r="EJ18" s="195">
        <v>0.15944444444444444</v>
      </c>
      <c r="EK18" s="194" t="s">
        <v>59</v>
      </c>
      <c r="EL18" s="195">
        <v>0.011180555555555555</v>
      </c>
      <c r="EM18" s="194" t="s">
        <v>44</v>
      </c>
      <c r="EN18" s="195">
        <v>4.5138888888888887E-4</v>
      </c>
      <c r="EO18" s="194" t="s">
        <v>50</v>
      </c>
      <c r="EP18" s="195">
        <v>0.014016203703703704</v>
      </c>
      <c r="EQ18" s="194" t="s">
        <v>97</v>
      </c>
      <c r="ER18" s="195">
        <v>0.016180555555555556</v>
      </c>
      <c r="ES18" s="194" t="s">
        <v>40</v>
      </c>
      <c r="ET18" s="195">
        <v>0.012349537037037037</v>
      </c>
      <c r="EU18" s="194" t="s">
        <v>70</v>
      </c>
      <c r="EV18" s="195">
        <v>0.01056712962962963</v>
      </c>
      <c r="EW18" s="194" t="s">
        <v>97</v>
      </c>
      <c r="EX18" s="195">
        <v>0.036145833333333335</v>
      </c>
      <c r="EY18" s="194" t="s">
        <v>464</v>
      </c>
      <c r="EZ18" s="195">
        <v>0.014039351851851851</v>
      </c>
      <c r="FA18" s="194" t="s">
        <v>44</v>
      </c>
      <c r="FB18" s="195">
        <v>1.8518518518518518E-4</v>
      </c>
      <c r="FC18" s="194" t="s">
        <v>70</v>
      </c>
      <c r="FD18" s="195">
        <v>0.038796296296296294</v>
      </c>
      <c r="FE18" s="194" t="s">
        <v>428</v>
      </c>
      <c r="FF18" s="195">
        <v>0.013043981481481481</v>
      </c>
      <c r="FG18" s="194" t="s">
        <v>40</v>
      </c>
      <c r="FH18" s="195">
        <v>0.005069444444444444</v>
      </c>
      <c r="FI18" s="194" t="s">
        <v>428</v>
      </c>
      <c r="FJ18" s="195">
        <v>1.8518518518518518E-4</v>
      </c>
      <c r="FK18" s="194" t="s">
        <v>463</v>
      </c>
      <c r="FL18" s="195">
        <v>0.02613425925925926</v>
      </c>
      <c r="FM18" s="194" t="s">
        <v>97</v>
      </c>
      <c r="FN18" s="195">
        <v>0.013472222222222222</v>
      </c>
      <c r="FO18" s="194" t="s">
        <v>98</v>
      </c>
      <c r="FP18" s="195">
        <v>0.01545138888888889</v>
      </c>
      <c r="FQ18" s="194" t="s">
        <v>50</v>
      </c>
      <c r="FR18" s="195">
        <v>0.00125</v>
      </c>
      <c r="FS18" s="194" t="s">
        <v>92</v>
      </c>
      <c r="FT18" s="195">
        <v>0.04386574074074074</v>
      </c>
      <c r="FU18" s="194" t="s">
        <v>463</v>
      </c>
      <c r="FV18" s="195">
        <v>5.902777777777778E-4</v>
      </c>
      <c r="FW18" s="194" t="s">
        <v>82</v>
      </c>
      <c r="FX18" s="195">
        <v>0.011030092592592593</v>
      </c>
      <c r="FY18" s="194" t="s">
        <v>23</v>
      </c>
      <c r="FZ18" s="195">
        <v>1.7361111111111112E-4</v>
      </c>
      <c r="GA18" s="194" t="s">
        <v>62</v>
      </c>
      <c r="GB18" s="195">
        <v>0.03079861111111111</v>
      </c>
      <c r="GC18" s="194" t="s">
        <v>463</v>
      </c>
      <c r="GD18" s="195">
        <v>0.02304398148148148</v>
      </c>
      <c r="GE18" s="194" t="s">
        <v>463</v>
      </c>
      <c r="GF18" s="195">
        <v>0.07789351851851851</v>
      </c>
      <c r="GG18" s="194" t="s">
        <v>79</v>
      </c>
      <c r="GH18" s="195">
        <v>0.05454861111111111</v>
      </c>
      <c r="GI18" s="185" t="s">
        <v>22</v>
      </c>
      <c r="GJ18" s="186">
        <v>0.1290162037037037</v>
      </c>
      <c r="GK18" s="185" t="s">
        <v>20</v>
      </c>
      <c r="GL18" s="186">
        <v>0.13561342592592593</v>
      </c>
      <c r="GM18" s="185" t="s">
        <v>20</v>
      </c>
      <c r="GN18" s="186">
        <v>0.0937962962962963</v>
      </c>
      <c r="GO18" s="187" t="s">
        <v>20</v>
      </c>
      <c r="GP18" s="188">
        <v>0.1276736111111111</v>
      </c>
      <c r="GQ18" s="187" t="s">
        <v>20</v>
      </c>
      <c r="GR18" s="188">
        <v>0.0553125</v>
      </c>
      <c r="GS18" s="187" t="s">
        <v>55</v>
      </c>
      <c r="GT18" s="188">
        <v>0.07094907407407407</v>
      </c>
      <c r="GU18" s="187" t="s">
        <v>22</v>
      </c>
      <c r="GV18" s="188">
        <v>0.09206018518518519</v>
      </c>
      <c r="GW18" s="190" t="s">
        <v>58</v>
      </c>
      <c r="GX18" s="191">
        <v>0.3404513888888889</v>
      </c>
      <c r="GY18" s="190" t="s">
        <v>58</v>
      </c>
      <c r="GZ18" s="191">
        <v>0.6274537037037037</v>
      </c>
      <c r="HA18" s="190" t="s">
        <v>43</v>
      </c>
      <c r="HB18" s="191">
        <v>0.02053240740740741</v>
      </c>
      <c r="HC18" s="190" t="s">
        <v>32</v>
      </c>
      <c r="HD18" s="191">
        <v>0.022708333333333334</v>
      </c>
      <c r="HE18" s="190" t="s">
        <v>64</v>
      </c>
      <c r="HF18" s="191">
        <v>0.005069444444444444</v>
      </c>
      <c r="HG18" s="190" t="s">
        <v>58</v>
      </c>
      <c r="HH18" s="191">
        <v>0.045891203703703705</v>
      </c>
      <c r="HI18" s="190" t="s">
        <v>59</v>
      </c>
      <c r="HJ18" s="191">
        <v>0.05804398148148148</v>
      </c>
      <c r="HK18" s="190" t="s">
        <v>64</v>
      </c>
      <c r="HL18" s="191">
        <v>0.005543981481481481</v>
      </c>
      <c r="HM18" s="190" t="s">
        <v>82</v>
      </c>
      <c r="HN18" s="191">
        <v>8.217592592592593E-4</v>
      </c>
      <c r="HO18" s="190" t="s">
        <v>73</v>
      </c>
      <c r="HP18" s="191">
        <v>3.356481481481481E-4</v>
      </c>
      <c r="HQ18" s="190" t="s">
        <v>65</v>
      </c>
      <c r="HR18" s="191">
        <v>1.0416666666666667E-4</v>
      </c>
      <c r="HS18" s="190" t="s">
        <v>55</v>
      </c>
      <c r="HT18" s="191">
        <v>0.011793981481481482</v>
      </c>
      <c r="HU18" s="190" t="s">
        <v>55</v>
      </c>
      <c r="HV18" s="191">
        <v>0.008935185185185185</v>
      </c>
      <c r="HW18" s="190" t="s">
        <v>62</v>
      </c>
      <c r="HX18" s="191">
        <v>0.0010069444444444444</v>
      </c>
      <c r="HY18" s="187"/>
      <c r="HZ18" s="187"/>
      <c r="IA18" s="187"/>
      <c r="IB18" s="187"/>
      <c r="IC18" s="187"/>
      <c r="ID18" s="187"/>
      <c r="IE18" s="196" t="s">
        <v>101</v>
      </c>
      <c r="IF18" s="197">
        <v>0.040254629629629626</v>
      </c>
      <c r="IG18" s="178"/>
      <c r="IH18" s="196" t="s">
        <v>90</v>
      </c>
      <c r="II18" s="197">
        <v>0.03335648148148148</v>
      </c>
      <c r="IJ18" s="178"/>
      <c r="IK18" s="196" t="s">
        <v>36</v>
      </c>
      <c r="IL18" s="197">
        <v>0.05431712962962963</v>
      </c>
      <c r="IM18" s="196" t="s">
        <v>82</v>
      </c>
      <c r="IN18" s="197">
        <v>0.008784722222222222</v>
      </c>
      <c r="IO18" s="196" t="s">
        <v>74</v>
      </c>
      <c r="IP18" s="197">
        <v>0.004675925925925926</v>
      </c>
      <c r="IQ18" s="178"/>
      <c r="IR18" s="196" t="s">
        <v>65</v>
      </c>
      <c r="IS18" s="197">
        <v>0.005740740740740741</v>
      </c>
      <c r="IT18" s="178"/>
      <c r="IU18" s="196" t="s">
        <v>65</v>
      </c>
      <c r="IV18" s="197">
        <v>0.009398148148148149</v>
      </c>
      <c r="IW18" s="178"/>
      <c r="IX18" s="196" t="s">
        <v>64</v>
      </c>
      <c r="IY18" s="197">
        <v>0.0051967592592592595</v>
      </c>
      <c r="IZ18" s="187" t="s">
        <v>82</v>
      </c>
      <c r="JA18" s="188">
        <v>0.010277777777777778</v>
      </c>
      <c r="JB18" s="187" t="s">
        <v>84</v>
      </c>
      <c r="JC18" s="188">
        <v>4.6296296296296294E-5</v>
      </c>
      <c r="JD18" s="178"/>
    </row>
    <row r="19">
      <c r="A19" s="193"/>
      <c r="B19" s="193"/>
      <c r="C19" s="193"/>
      <c r="D19" s="193"/>
      <c r="E19" s="193"/>
      <c r="F19" s="193"/>
      <c r="G19" s="193"/>
      <c r="H19" s="193"/>
      <c r="I19" s="193"/>
      <c r="J19" s="193"/>
      <c r="K19" s="193"/>
      <c r="L19" s="193"/>
      <c r="M19" s="193"/>
      <c r="N19" s="193"/>
      <c r="O19" s="194" t="s">
        <v>103</v>
      </c>
      <c r="P19" s="195">
        <v>0.0</v>
      </c>
      <c r="Q19" s="194" t="s">
        <v>18</v>
      </c>
      <c r="R19" s="195">
        <v>0.004016203703703704</v>
      </c>
      <c r="S19" s="193"/>
      <c r="T19" s="193"/>
      <c r="U19" s="193"/>
      <c r="V19" s="193"/>
      <c r="W19" s="194"/>
      <c r="X19" s="195"/>
      <c r="Y19" s="193"/>
      <c r="Z19" s="193"/>
      <c r="AA19" s="194" t="s">
        <v>60</v>
      </c>
      <c r="AB19" s="195">
        <v>0.005208333333333333</v>
      </c>
      <c r="AC19" s="194" t="s">
        <v>60</v>
      </c>
      <c r="AD19" s="195">
        <v>0.0033912037037037036</v>
      </c>
      <c r="AE19" s="194" t="s">
        <v>25</v>
      </c>
      <c r="AF19" s="195">
        <v>2.199074074074074E-4</v>
      </c>
      <c r="AG19" s="194" t="s">
        <v>97</v>
      </c>
      <c r="AH19" s="195">
        <v>0.004571759259259259</v>
      </c>
      <c r="AI19" s="194" t="s">
        <v>95</v>
      </c>
      <c r="AJ19" s="195">
        <v>0.016979166666666667</v>
      </c>
      <c r="AK19" s="194" t="s">
        <v>425</v>
      </c>
      <c r="AL19" s="195">
        <v>0.10868055555555556</v>
      </c>
      <c r="AM19" s="194" t="s">
        <v>42</v>
      </c>
      <c r="AN19" s="195">
        <v>0.0747337962962963</v>
      </c>
      <c r="AO19" s="194" t="s">
        <v>42</v>
      </c>
      <c r="AP19" s="195">
        <v>0.2195601851851852</v>
      </c>
      <c r="AQ19" s="194" t="s">
        <v>95</v>
      </c>
      <c r="AR19" s="195">
        <v>0.013969907407407407</v>
      </c>
      <c r="AS19" s="194" t="s">
        <v>24</v>
      </c>
      <c r="AT19" s="195">
        <v>0.020752314814814814</v>
      </c>
      <c r="AU19" s="194" t="s">
        <v>425</v>
      </c>
      <c r="AV19" s="195">
        <v>0.3763078703703704</v>
      </c>
      <c r="AW19" s="194" t="s">
        <v>425</v>
      </c>
      <c r="AX19" s="195">
        <v>0.09430555555555556</v>
      </c>
      <c r="AY19" s="194" t="s">
        <v>425</v>
      </c>
      <c r="AZ19" s="195">
        <v>0.13326388888888888</v>
      </c>
      <c r="BA19" s="194" t="s">
        <v>425</v>
      </c>
      <c r="BB19" s="195">
        <v>0.2782986111111111</v>
      </c>
      <c r="BC19" s="194" t="s">
        <v>425</v>
      </c>
      <c r="BD19" s="195">
        <v>0.1144212962962963</v>
      </c>
      <c r="BE19" s="194" t="s">
        <v>425</v>
      </c>
      <c r="BF19" s="195">
        <v>0.1684375</v>
      </c>
      <c r="BG19" s="194" t="s">
        <v>425</v>
      </c>
      <c r="BH19" s="195">
        <v>0.044895833333333336</v>
      </c>
      <c r="BI19" s="194" t="s">
        <v>425</v>
      </c>
      <c r="BJ19" s="195">
        <v>0.19762731481481483</v>
      </c>
      <c r="BK19" s="194" t="s">
        <v>425</v>
      </c>
      <c r="BL19" s="195">
        <v>0.08980324074074074</v>
      </c>
      <c r="BM19" s="194" t="s">
        <v>425</v>
      </c>
      <c r="BN19" s="195">
        <v>0.07946759259259259</v>
      </c>
      <c r="BO19" s="194" t="s">
        <v>425</v>
      </c>
      <c r="BP19" s="195">
        <v>0.11568287037037037</v>
      </c>
      <c r="BQ19" s="194" t="s">
        <v>425</v>
      </c>
      <c r="BR19" s="195">
        <v>0.18238425925925925</v>
      </c>
      <c r="BS19" s="194" t="s">
        <v>425</v>
      </c>
      <c r="BT19" s="195">
        <v>0.1000925925925926</v>
      </c>
      <c r="BU19" s="194" t="s">
        <v>425</v>
      </c>
      <c r="BV19" s="195">
        <v>0.025185185185185185</v>
      </c>
      <c r="BW19" s="194" t="s">
        <v>425</v>
      </c>
      <c r="BX19" s="195">
        <v>0.1103125</v>
      </c>
      <c r="BY19" s="194" t="s">
        <v>425</v>
      </c>
      <c r="BZ19" s="195">
        <v>0.0505787037037037</v>
      </c>
      <c r="CA19" s="194" t="s">
        <v>425</v>
      </c>
      <c r="CB19" s="195">
        <v>0.07642361111111111</v>
      </c>
      <c r="CC19" s="194" t="s">
        <v>425</v>
      </c>
      <c r="CD19" s="195">
        <v>0.14819444444444443</v>
      </c>
      <c r="CE19" s="194" t="s">
        <v>24</v>
      </c>
      <c r="CF19" s="195">
        <v>0.22538194444444445</v>
      </c>
      <c r="CG19" s="194" t="s">
        <v>425</v>
      </c>
      <c r="CH19" s="195">
        <v>0.04835648148148148</v>
      </c>
      <c r="CI19" s="194" t="s">
        <v>24</v>
      </c>
      <c r="CJ19" s="195">
        <v>0.13697916666666668</v>
      </c>
      <c r="CK19" s="194" t="s">
        <v>425</v>
      </c>
      <c r="CL19" s="195">
        <v>0.05855324074074074</v>
      </c>
      <c r="CM19" s="194" t="s">
        <v>425</v>
      </c>
      <c r="CN19" s="195">
        <v>0.058784722222222224</v>
      </c>
      <c r="CO19" s="194" t="s">
        <v>425</v>
      </c>
      <c r="CP19" s="195">
        <v>0.07172453703703703</v>
      </c>
      <c r="CQ19" s="194" t="s">
        <v>425</v>
      </c>
      <c r="CR19" s="195">
        <v>0.06565972222222222</v>
      </c>
      <c r="CS19" s="194" t="s">
        <v>425</v>
      </c>
      <c r="CT19" s="195">
        <v>0.06346064814814815</v>
      </c>
      <c r="CU19" s="194" t="s">
        <v>425</v>
      </c>
      <c r="CV19" s="195">
        <v>0.09336805555555555</v>
      </c>
      <c r="CW19" s="194" t="s">
        <v>425</v>
      </c>
      <c r="CX19" s="195">
        <v>2.199074074074074E-4</v>
      </c>
      <c r="CY19" s="194" t="s">
        <v>24</v>
      </c>
      <c r="CZ19" s="195">
        <v>0.031342592592592596</v>
      </c>
      <c r="DA19" s="194" t="s">
        <v>95</v>
      </c>
      <c r="DB19" s="195">
        <v>0.08234953703703704</v>
      </c>
      <c r="DC19" s="194" t="s">
        <v>24</v>
      </c>
      <c r="DD19" s="195">
        <v>0.003587962962962963</v>
      </c>
      <c r="DE19" s="194" t="s">
        <v>425</v>
      </c>
      <c r="DF19" s="195">
        <v>0.02454861111111111</v>
      </c>
      <c r="DG19" s="194" t="s">
        <v>425</v>
      </c>
      <c r="DH19" s="195">
        <v>2.7470254629629642</v>
      </c>
      <c r="DI19" s="194" t="s">
        <v>98</v>
      </c>
      <c r="DJ19" s="195">
        <v>0.07498842592592593</v>
      </c>
      <c r="DK19" s="194" t="s">
        <v>428</v>
      </c>
      <c r="DL19" s="195">
        <v>0.08928240740740741</v>
      </c>
      <c r="DM19" s="194" t="s">
        <v>59</v>
      </c>
      <c r="DN19" s="195">
        <v>0.058993055555555556</v>
      </c>
      <c r="DO19" s="194" t="s">
        <v>98</v>
      </c>
      <c r="DP19" s="195">
        <v>0.02696759259259259</v>
      </c>
      <c r="DQ19" s="194" t="s">
        <v>40</v>
      </c>
      <c r="DR19" s="195">
        <v>0.00542824074074074</v>
      </c>
      <c r="DS19" s="194" t="s">
        <v>40</v>
      </c>
      <c r="DT19" s="195">
        <v>0.005625</v>
      </c>
      <c r="DU19" s="194" t="s">
        <v>57</v>
      </c>
      <c r="DV19" s="195">
        <v>0.012893518518518518</v>
      </c>
      <c r="DW19" s="194" t="s">
        <v>428</v>
      </c>
      <c r="DX19" s="195">
        <v>0.06112268518518518</v>
      </c>
      <c r="DY19" s="194" t="s">
        <v>25</v>
      </c>
      <c r="DZ19" s="195">
        <v>0.06313657407407407</v>
      </c>
      <c r="EA19" s="194" t="s">
        <v>19</v>
      </c>
      <c r="EB19" s="195">
        <v>0.023634259259259258</v>
      </c>
      <c r="EC19" s="194" t="s">
        <v>463</v>
      </c>
      <c r="ED19" s="195">
        <v>0.029756944444444444</v>
      </c>
      <c r="EE19" s="194" t="s">
        <v>40</v>
      </c>
      <c r="EF19" s="195">
        <v>0.011435185185185185</v>
      </c>
      <c r="EG19" s="194" t="s">
        <v>57</v>
      </c>
      <c r="EH19" s="195">
        <v>5.902777777777778E-4</v>
      </c>
      <c r="EI19" s="194" t="s">
        <v>31</v>
      </c>
      <c r="EJ19" s="195">
        <v>0.026875</v>
      </c>
      <c r="EK19" s="194" t="s">
        <v>428</v>
      </c>
      <c r="EL19" s="195">
        <v>0.03138888888888889</v>
      </c>
      <c r="EM19" s="194" t="s">
        <v>59</v>
      </c>
      <c r="EN19" s="195">
        <v>0.04210648148148148</v>
      </c>
      <c r="EO19" s="194" t="s">
        <v>57</v>
      </c>
      <c r="EP19" s="195">
        <v>0.013217592592592593</v>
      </c>
      <c r="EQ19" s="194" t="s">
        <v>50</v>
      </c>
      <c r="ER19" s="195">
        <v>1.5046296296296297E-4</v>
      </c>
      <c r="ES19" s="194" t="s">
        <v>98</v>
      </c>
      <c r="ET19" s="195">
        <v>0.001412037037037037</v>
      </c>
      <c r="EU19" s="194" t="s">
        <v>102</v>
      </c>
      <c r="EV19" s="195">
        <v>0.0190625</v>
      </c>
      <c r="EW19" s="194" t="s">
        <v>40</v>
      </c>
      <c r="EX19" s="195">
        <v>3.472222222222222E-5</v>
      </c>
      <c r="EY19" s="194" t="s">
        <v>41</v>
      </c>
      <c r="EZ19" s="195">
        <v>4.5138888888888887E-4</v>
      </c>
      <c r="FA19" s="194" t="s">
        <v>59</v>
      </c>
      <c r="FB19" s="195">
        <v>0.0027546296296296294</v>
      </c>
      <c r="FC19" s="194" t="s">
        <v>44</v>
      </c>
      <c r="FD19" s="195">
        <v>0.0038541666666666668</v>
      </c>
      <c r="FE19" s="194" t="s">
        <v>78</v>
      </c>
      <c r="FF19" s="195">
        <v>0.009699074074074074</v>
      </c>
      <c r="FG19" s="194" t="s">
        <v>59</v>
      </c>
      <c r="FH19" s="195">
        <v>0.011782407407407408</v>
      </c>
      <c r="FI19" s="194" t="s">
        <v>29</v>
      </c>
      <c r="FJ19" s="195">
        <v>0.02003472222222222</v>
      </c>
      <c r="FK19" s="194" t="s">
        <v>92</v>
      </c>
      <c r="FL19" s="195">
        <v>0.08390046296296297</v>
      </c>
      <c r="FM19" s="194" t="s">
        <v>50</v>
      </c>
      <c r="FN19" s="195">
        <v>0.0031018518518518517</v>
      </c>
      <c r="FO19" s="194" t="s">
        <v>70</v>
      </c>
      <c r="FP19" s="195">
        <v>0.008263888888888888</v>
      </c>
      <c r="FQ19" s="194" t="s">
        <v>40</v>
      </c>
      <c r="FR19" s="195">
        <v>1.8518518518518518E-4</v>
      </c>
      <c r="FS19" s="194" t="s">
        <v>19</v>
      </c>
      <c r="FT19" s="195">
        <v>0.1867824074074074</v>
      </c>
      <c r="FU19" s="194" t="s">
        <v>92</v>
      </c>
      <c r="FV19" s="195">
        <v>0.040949074074074075</v>
      </c>
      <c r="FW19" s="194" t="s">
        <v>18</v>
      </c>
      <c r="FX19" s="195">
        <v>0.003298611111111111</v>
      </c>
      <c r="FY19" s="194" t="s">
        <v>41</v>
      </c>
      <c r="FZ19" s="195">
        <v>0.058090277777777775</v>
      </c>
      <c r="GA19" s="194" t="s">
        <v>43</v>
      </c>
      <c r="GB19" s="195">
        <v>0.08795138888888888</v>
      </c>
      <c r="GC19" s="194" t="s">
        <v>92</v>
      </c>
      <c r="GD19" s="195">
        <v>0.04017361111111111</v>
      </c>
      <c r="GE19" s="194" t="s">
        <v>92</v>
      </c>
      <c r="GF19" s="195">
        <v>0.06107638888888889</v>
      </c>
      <c r="GG19" s="194" t="s">
        <v>422</v>
      </c>
      <c r="GH19" s="195">
        <v>0.08362268518518519</v>
      </c>
      <c r="GI19" s="185" t="s">
        <v>8</v>
      </c>
      <c r="GJ19" s="186">
        <v>0.16760416666666667</v>
      </c>
      <c r="GK19" s="185" t="s">
        <v>55</v>
      </c>
      <c r="GL19" s="186">
        <v>0.22074074074074074</v>
      </c>
      <c r="GM19" s="185" t="s">
        <v>55</v>
      </c>
      <c r="GN19" s="186">
        <v>0.1184837962962963</v>
      </c>
      <c r="GO19" s="187" t="s">
        <v>55</v>
      </c>
      <c r="GP19" s="188">
        <v>0.015324074074074073</v>
      </c>
      <c r="GQ19" s="187" t="s">
        <v>55</v>
      </c>
      <c r="GR19" s="188">
        <v>0.03422453703703704</v>
      </c>
      <c r="GS19" s="187" t="s">
        <v>60</v>
      </c>
      <c r="GT19" s="188">
        <v>0.15096064814814814</v>
      </c>
      <c r="GU19" s="187" t="s">
        <v>8</v>
      </c>
      <c r="GV19" s="188">
        <v>0.12555555555555556</v>
      </c>
      <c r="GW19" s="190" t="s">
        <v>59</v>
      </c>
      <c r="GX19" s="191">
        <v>0.008680555555555556</v>
      </c>
      <c r="GY19" s="190" t="s">
        <v>59</v>
      </c>
      <c r="GZ19" s="191">
        <v>0.02564814814814815</v>
      </c>
      <c r="HA19" s="190" t="s">
        <v>41</v>
      </c>
      <c r="HB19" s="191">
        <v>5.555555555555556E-4</v>
      </c>
      <c r="HC19" s="190" t="s">
        <v>22</v>
      </c>
      <c r="HD19" s="191">
        <v>0.040625</v>
      </c>
      <c r="HE19" s="190" t="s">
        <v>65</v>
      </c>
      <c r="HF19" s="191">
        <v>0.0033333333333333335</v>
      </c>
      <c r="HG19" s="190" t="s">
        <v>59</v>
      </c>
      <c r="HH19" s="191">
        <v>0.026099537037037036</v>
      </c>
      <c r="HI19" s="190" t="s">
        <v>63</v>
      </c>
      <c r="HJ19" s="191">
        <v>0.011817129629629629</v>
      </c>
      <c r="HK19" s="190" t="s">
        <v>65</v>
      </c>
      <c r="HL19" s="191">
        <v>0.0061805555555555555</v>
      </c>
      <c r="HM19" s="190" t="s">
        <v>36</v>
      </c>
      <c r="HN19" s="191">
        <v>0.016481481481481482</v>
      </c>
      <c r="HO19" s="190" t="s">
        <v>75</v>
      </c>
      <c r="HP19" s="191">
        <v>0.0014583333333333334</v>
      </c>
      <c r="HQ19" s="190" t="s">
        <v>464</v>
      </c>
      <c r="HR19" s="191">
        <v>5.208333333333333E-4</v>
      </c>
      <c r="HS19" s="190" t="s">
        <v>58</v>
      </c>
      <c r="HT19" s="191">
        <v>0.6521990740740741</v>
      </c>
      <c r="HU19" s="190" t="s">
        <v>58</v>
      </c>
      <c r="HV19" s="191">
        <v>0.06606481481481481</v>
      </c>
      <c r="HW19" s="190" t="s">
        <v>63</v>
      </c>
      <c r="HX19" s="191">
        <v>0.008067129629629629</v>
      </c>
      <c r="HY19" s="187"/>
      <c r="HZ19" s="187"/>
      <c r="IA19" s="187"/>
      <c r="IB19" s="187"/>
      <c r="IC19" s="187"/>
      <c r="ID19" s="187"/>
      <c r="IE19" s="196" t="s">
        <v>59</v>
      </c>
      <c r="IF19" s="197">
        <v>0.00619212962962963</v>
      </c>
      <c r="IG19" s="178"/>
      <c r="IH19" s="196" t="s">
        <v>426</v>
      </c>
      <c r="II19" s="197">
        <v>0.0240625</v>
      </c>
      <c r="IJ19" s="178"/>
      <c r="IK19" s="196" t="s">
        <v>87</v>
      </c>
      <c r="IL19" s="197">
        <v>0.011724537037037037</v>
      </c>
      <c r="IM19" s="196" t="s">
        <v>36</v>
      </c>
      <c r="IN19" s="197">
        <v>0.07891203703703703</v>
      </c>
      <c r="IO19" s="196" t="s">
        <v>82</v>
      </c>
      <c r="IP19" s="197">
        <v>0.026157407407407407</v>
      </c>
      <c r="IQ19" s="178"/>
      <c r="IR19" s="196" t="s">
        <v>70</v>
      </c>
      <c r="IS19" s="197">
        <v>0.0015046296296296296</v>
      </c>
      <c r="IT19" s="178"/>
      <c r="IU19" s="196" t="s">
        <v>75</v>
      </c>
      <c r="IV19" s="197">
        <v>0.002523148148148148</v>
      </c>
      <c r="IW19" s="178"/>
      <c r="IX19" s="196" t="s">
        <v>65</v>
      </c>
      <c r="IY19" s="197">
        <v>0.03135416666666667</v>
      </c>
      <c r="IZ19" s="187" t="s">
        <v>36</v>
      </c>
      <c r="JA19" s="188">
        <v>0.05880787037037037</v>
      </c>
      <c r="JB19" s="187" t="s">
        <v>23</v>
      </c>
      <c r="JC19" s="188">
        <v>0.009293981481481481</v>
      </c>
      <c r="JD19" s="178"/>
    </row>
    <row r="20">
      <c r="A20" s="193"/>
      <c r="B20" s="193"/>
      <c r="C20" s="193"/>
      <c r="D20" s="193"/>
      <c r="E20" s="193"/>
      <c r="F20" s="193"/>
      <c r="G20" s="193"/>
      <c r="H20" s="193"/>
      <c r="I20" s="193"/>
      <c r="J20" s="193"/>
      <c r="K20" s="193"/>
      <c r="L20" s="193"/>
      <c r="M20" s="193"/>
      <c r="N20" s="193"/>
      <c r="O20" s="194" t="s">
        <v>90</v>
      </c>
      <c r="P20" s="195">
        <v>0.0025810185185185185</v>
      </c>
      <c r="Q20" s="194" t="s">
        <v>424</v>
      </c>
      <c r="R20" s="195">
        <v>0.011215277777777777</v>
      </c>
      <c r="S20" s="193"/>
      <c r="T20" s="193"/>
      <c r="U20" s="193"/>
      <c r="V20" s="193"/>
      <c r="W20" s="194"/>
      <c r="X20" s="195"/>
      <c r="Y20" s="193"/>
      <c r="Z20" s="193"/>
      <c r="AA20" s="194" t="s">
        <v>21</v>
      </c>
      <c r="AB20" s="195">
        <v>0.006377314814814815</v>
      </c>
      <c r="AC20" s="194" t="s">
        <v>31</v>
      </c>
      <c r="AD20" s="195">
        <v>0.0</v>
      </c>
      <c r="AE20" s="194" t="s">
        <v>82</v>
      </c>
      <c r="AF20" s="195">
        <v>0.018125</v>
      </c>
      <c r="AG20" s="194" t="s">
        <v>57</v>
      </c>
      <c r="AH20" s="195">
        <v>0.0018287037037037037</v>
      </c>
      <c r="AI20" s="194" t="s">
        <v>42</v>
      </c>
      <c r="AJ20" s="195">
        <v>0.014780092592592593</v>
      </c>
      <c r="AK20" s="194" t="s">
        <v>24</v>
      </c>
      <c r="AL20" s="195">
        <v>0.04807870370370371</v>
      </c>
      <c r="AM20" s="194" t="s">
        <v>79</v>
      </c>
      <c r="AN20" s="195">
        <v>0.027685185185185184</v>
      </c>
      <c r="AO20" s="194" t="s">
        <v>79</v>
      </c>
      <c r="AP20" s="195">
        <v>0.08481481481481482</v>
      </c>
      <c r="AQ20" s="194" t="s">
        <v>42</v>
      </c>
      <c r="AR20" s="195">
        <v>0.2643287037037037</v>
      </c>
      <c r="AS20" s="194" t="s">
        <v>95</v>
      </c>
      <c r="AT20" s="195">
        <v>0.025891203703703704</v>
      </c>
      <c r="AU20" s="194" t="s">
        <v>24</v>
      </c>
      <c r="AV20" s="195">
        <v>0.031828703703703706</v>
      </c>
      <c r="AW20" s="194" t="s">
        <v>24</v>
      </c>
      <c r="AX20" s="195">
        <v>2.546296296296296E-4</v>
      </c>
      <c r="AY20" s="194" t="s">
        <v>24</v>
      </c>
      <c r="AZ20" s="195">
        <v>0.012939814814814815</v>
      </c>
      <c r="BA20" s="194" t="s">
        <v>24</v>
      </c>
      <c r="BB20" s="195">
        <v>0.09420138888888889</v>
      </c>
      <c r="BC20" s="194" t="s">
        <v>24</v>
      </c>
      <c r="BD20" s="195">
        <v>0.07100694444444444</v>
      </c>
      <c r="BE20" s="194" t="s">
        <v>24</v>
      </c>
      <c r="BF20" s="195">
        <v>0.07386574074074075</v>
      </c>
      <c r="BG20" s="194" t="s">
        <v>24</v>
      </c>
      <c r="BH20" s="195">
        <v>0.21121527777777777</v>
      </c>
      <c r="BI20" s="194" t="s">
        <v>24</v>
      </c>
      <c r="BJ20" s="195">
        <v>0.08084490740740741</v>
      </c>
      <c r="BK20" s="194" t="s">
        <v>24</v>
      </c>
      <c r="BL20" s="195">
        <v>0.10619212962962964</v>
      </c>
      <c r="BM20" s="194" t="s">
        <v>24</v>
      </c>
      <c r="BN20" s="195">
        <v>0.17273148148148149</v>
      </c>
      <c r="BO20" s="194" t="s">
        <v>24</v>
      </c>
      <c r="BP20" s="195">
        <v>0.1869675925925926</v>
      </c>
      <c r="BQ20" s="194" t="s">
        <v>24</v>
      </c>
      <c r="BR20" s="195">
        <v>0.24981481481481482</v>
      </c>
      <c r="BS20" s="194" t="s">
        <v>24</v>
      </c>
      <c r="BT20" s="195">
        <v>0.24541666666666667</v>
      </c>
      <c r="BU20" s="194" t="s">
        <v>24</v>
      </c>
      <c r="BV20" s="195">
        <v>0.32265046296296296</v>
      </c>
      <c r="BW20" s="194" t="s">
        <v>24</v>
      </c>
      <c r="BX20" s="195">
        <v>0.3283101851851852</v>
      </c>
      <c r="BY20" s="194" t="s">
        <v>24</v>
      </c>
      <c r="BZ20" s="195">
        <v>0.4410763888888889</v>
      </c>
      <c r="CA20" s="194" t="s">
        <v>24</v>
      </c>
      <c r="CB20" s="195">
        <v>0.6822453703703704</v>
      </c>
      <c r="CC20" s="194" t="s">
        <v>24</v>
      </c>
      <c r="CD20" s="195">
        <v>0.7668402777777777</v>
      </c>
      <c r="CE20" s="194" t="s">
        <v>95</v>
      </c>
      <c r="CF20" s="195">
        <v>0.017511574074074075</v>
      </c>
      <c r="CG20" s="194" t="s">
        <v>24</v>
      </c>
      <c r="CH20" s="195">
        <v>0.07983796296296296</v>
      </c>
      <c r="CI20" s="194" t="s">
        <v>95</v>
      </c>
      <c r="CJ20" s="195">
        <v>0.04055555555555555</v>
      </c>
      <c r="CK20" s="194" t="s">
        <v>24</v>
      </c>
      <c r="CL20" s="195">
        <v>0.07303240740740741</v>
      </c>
      <c r="CM20" s="194" t="s">
        <v>24</v>
      </c>
      <c r="CN20" s="195">
        <v>0.013657407407407408</v>
      </c>
      <c r="CO20" s="194" t="s">
        <v>24</v>
      </c>
      <c r="CP20" s="195">
        <v>0.04082175925925926</v>
      </c>
      <c r="CQ20" s="194" t="s">
        <v>24</v>
      </c>
      <c r="CR20" s="195">
        <v>0.0011574074074074073</v>
      </c>
      <c r="CS20" s="194" t="s">
        <v>24</v>
      </c>
      <c r="CT20" s="195">
        <v>0.01633101851851852</v>
      </c>
      <c r="CU20" s="194" t="s">
        <v>24</v>
      </c>
      <c r="CV20" s="195">
        <v>0.0234375</v>
      </c>
      <c r="CW20" s="194" t="s">
        <v>24</v>
      </c>
      <c r="CX20" s="195">
        <v>0.012962962962962963</v>
      </c>
      <c r="CY20" s="194" t="s">
        <v>95</v>
      </c>
      <c r="CZ20" s="195">
        <v>0.06959490740740741</v>
      </c>
      <c r="DA20" s="194" t="s">
        <v>42</v>
      </c>
      <c r="DB20" s="195">
        <v>0.07997685185185185</v>
      </c>
      <c r="DC20" s="194" t="s">
        <v>95</v>
      </c>
      <c r="DD20" s="195">
        <v>0.02767361111111111</v>
      </c>
      <c r="DE20" s="194" t="s">
        <v>24</v>
      </c>
      <c r="DF20" s="195">
        <v>0.018819444444444444</v>
      </c>
      <c r="DG20" s="194" t="s">
        <v>24</v>
      </c>
      <c r="DH20" s="195">
        <v>1.0078009259259257</v>
      </c>
      <c r="DI20" s="194" t="s">
        <v>70</v>
      </c>
      <c r="DJ20" s="195">
        <v>0.013333333333333334</v>
      </c>
      <c r="DK20" s="194" t="s">
        <v>31</v>
      </c>
      <c r="DL20" s="195">
        <v>0.010590277777777778</v>
      </c>
      <c r="DM20" s="194" t="s">
        <v>428</v>
      </c>
      <c r="DN20" s="195">
        <v>0.10063657407407407</v>
      </c>
      <c r="DO20" s="194" t="s">
        <v>44</v>
      </c>
      <c r="DP20" s="195">
        <v>0.009328703703703704</v>
      </c>
      <c r="DQ20" s="194" t="s">
        <v>98</v>
      </c>
      <c r="DR20" s="195">
        <v>0.004710648148148148</v>
      </c>
      <c r="DS20" s="194" t="s">
        <v>44</v>
      </c>
      <c r="DT20" s="195">
        <v>0.0044907407407407405</v>
      </c>
      <c r="DU20" s="194" t="s">
        <v>40</v>
      </c>
      <c r="DV20" s="195">
        <v>0.0032291666666666666</v>
      </c>
      <c r="DW20" s="194" t="s">
        <v>29</v>
      </c>
      <c r="DX20" s="195">
        <v>0.0014814814814814814</v>
      </c>
      <c r="DY20" s="194" t="s">
        <v>103</v>
      </c>
      <c r="DZ20" s="195">
        <v>0.0015509259259259259</v>
      </c>
      <c r="EA20" s="194" t="s">
        <v>57</v>
      </c>
      <c r="EB20" s="195">
        <v>0.035694444444444445</v>
      </c>
      <c r="EC20" s="194" t="s">
        <v>19</v>
      </c>
      <c r="ED20" s="195">
        <v>0.034270833333333334</v>
      </c>
      <c r="EE20" s="194" t="s">
        <v>98</v>
      </c>
      <c r="EF20" s="195">
        <v>0.002488425925925926</v>
      </c>
      <c r="EG20" s="194" t="s">
        <v>40</v>
      </c>
      <c r="EH20" s="195">
        <v>0.013472222222222222</v>
      </c>
      <c r="EI20" s="194" t="s">
        <v>25</v>
      </c>
      <c r="EJ20" s="195">
        <v>0.15260416666666668</v>
      </c>
      <c r="EK20" s="194" t="s">
        <v>62</v>
      </c>
      <c r="EL20" s="195">
        <v>0.07276620370370371</v>
      </c>
      <c r="EM20" s="194" t="s">
        <v>428</v>
      </c>
      <c r="EN20" s="195">
        <v>5.671296296296297E-4</v>
      </c>
      <c r="EO20" s="194" t="s">
        <v>98</v>
      </c>
      <c r="EP20" s="195">
        <v>0.02224537037037037</v>
      </c>
      <c r="EQ20" s="194" t="s">
        <v>57</v>
      </c>
      <c r="ER20" s="195">
        <v>0.004756944444444445</v>
      </c>
      <c r="ES20" s="194" t="s">
        <v>44</v>
      </c>
      <c r="ET20" s="195">
        <v>0.019872685185185184</v>
      </c>
      <c r="EU20" s="194" t="s">
        <v>21</v>
      </c>
      <c r="EV20" s="195">
        <v>0.006898148148148148</v>
      </c>
      <c r="EW20" s="194" t="s">
        <v>70</v>
      </c>
      <c r="EX20" s="195">
        <v>0.025092592592592593</v>
      </c>
      <c r="EY20" s="194" t="s">
        <v>83</v>
      </c>
      <c r="EZ20" s="195">
        <v>0.011909722222222223</v>
      </c>
      <c r="FA20" s="194" t="s">
        <v>102</v>
      </c>
      <c r="FB20" s="195">
        <v>0.0010648148148148149</v>
      </c>
      <c r="FC20" s="194" t="s">
        <v>59</v>
      </c>
      <c r="FD20" s="195">
        <v>0.007060185185185185</v>
      </c>
      <c r="FE20" s="194" t="s">
        <v>29</v>
      </c>
      <c r="FF20" s="195">
        <v>3.125E-4</v>
      </c>
      <c r="FG20" s="194" t="s">
        <v>102</v>
      </c>
      <c r="FH20" s="195">
        <v>0.016180555555555556</v>
      </c>
      <c r="FI20" s="194" t="s">
        <v>62</v>
      </c>
      <c r="FJ20" s="195">
        <v>0.005150462962962963</v>
      </c>
      <c r="FK20" s="194" t="s">
        <v>19</v>
      </c>
      <c r="FL20" s="195">
        <v>0.04598379629629629</v>
      </c>
      <c r="FM20" s="194" t="s">
        <v>40</v>
      </c>
      <c r="FN20" s="195">
        <v>1.273148148148148E-4</v>
      </c>
      <c r="FO20" s="194" t="s">
        <v>102</v>
      </c>
      <c r="FP20" s="195">
        <v>0.0246875</v>
      </c>
      <c r="FQ20" s="194" t="s">
        <v>70</v>
      </c>
      <c r="FR20" s="195">
        <v>0.023240740740740742</v>
      </c>
      <c r="FS20" s="194" t="s">
        <v>97</v>
      </c>
      <c r="FT20" s="195">
        <v>0.006840277777777778</v>
      </c>
      <c r="FU20" s="194" t="s">
        <v>19</v>
      </c>
      <c r="FV20" s="195">
        <v>0.024224537037037037</v>
      </c>
      <c r="FW20" s="194" t="s">
        <v>91</v>
      </c>
      <c r="FX20" s="195">
        <v>2.199074074074074E-4</v>
      </c>
      <c r="FY20" s="194" t="s">
        <v>105</v>
      </c>
      <c r="FZ20" s="195">
        <v>0.00369212962962963</v>
      </c>
      <c r="GA20" s="194" t="s">
        <v>99</v>
      </c>
      <c r="GB20" s="195">
        <v>0.0018865740740740742</v>
      </c>
      <c r="GC20" s="194" t="s">
        <v>19</v>
      </c>
      <c r="GD20" s="195">
        <v>0.053969907407407404</v>
      </c>
      <c r="GE20" s="194" t="s">
        <v>19</v>
      </c>
      <c r="GF20" s="195">
        <v>0.030208333333333334</v>
      </c>
      <c r="GG20" s="194" t="s">
        <v>96</v>
      </c>
      <c r="GH20" s="195">
        <v>0.26056712962962963</v>
      </c>
      <c r="GI20" s="185" t="s">
        <v>20</v>
      </c>
      <c r="GJ20" s="186">
        <v>0.12445601851851852</v>
      </c>
      <c r="GK20" s="185" t="s">
        <v>59</v>
      </c>
      <c r="GL20" s="186">
        <v>0.1399537037037037</v>
      </c>
      <c r="GM20" s="185" t="s">
        <v>59</v>
      </c>
      <c r="GN20" s="186">
        <v>0.0039004629629629628</v>
      </c>
      <c r="GO20" s="187" t="s">
        <v>58</v>
      </c>
      <c r="GP20" s="188">
        <v>0.0134375</v>
      </c>
      <c r="GQ20" s="187" t="s">
        <v>60</v>
      </c>
      <c r="GR20" s="188">
        <v>0.02666666666666667</v>
      </c>
      <c r="GS20" s="187" t="s">
        <v>62</v>
      </c>
      <c r="GT20" s="188">
        <v>0.4139583333333333</v>
      </c>
      <c r="GU20" s="187" t="s">
        <v>20</v>
      </c>
      <c r="GV20" s="188">
        <v>0.24979166666666666</v>
      </c>
      <c r="GW20" s="190" t="s">
        <v>62</v>
      </c>
      <c r="GX20" s="191">
        <v>1.8518518518518518E-4</v>
      </c>
      <c r="GY20" s="190" t="s">
        <v>62</v>
      </c>
      <c r="GZ20" s="191">
        <v>0.00829861111111111</v>
      </c>
      <c r="HA20" s="190" t="s">
        <v>32</v>
      </c>
      <c r="HB20" s="191">
        <v>0.05893518518518519</v>
      </c>
      <c r="HC20" s="190" t="s">
        <v>8</v>
      </c>
      <c r="HD20" s="191">
        <v>0.12725694444444444</v>
      </c>
      <c r="HE20" s="190" t="s">
        <v>464</v>
      </c>
      <c r="HF20" s="191">
        <v>0.04766203703703704</v>
      </c>
      <c r="HG20" s="190" t="s">
        <v>63</v>
      </c>
      <c r="HH20" s="191">
        <v>0.010439814814814815</v>
      </c>
      <c r="HI20" s="190" t="s">
        <v>65</v>
      </c>
      <c r="HJ20" s="191">
        <v>0.007025462962962963</v>
      </c>
      <c r="HK20" s="190" t="s">
        <v>464</v>
      </c>
      <c r="HL20" s="191">
        <v>0.15444444444444444</v>
      </c>
      <c r="HM20" s="190" t="s">
        <v>84</v>
      </c>
      <c r="HN20" s="191">
        <v>1.9675925925925926E-4</v>
      </c>
      <c r="HO20" s="190" t="s">
        <v>42</v>
      </c>
      <c r="HP20" s="191">
        <v>0.009849537037037037</v>
      </c>
      <c r="HQ20" s="190" t="s">
        <v>70</v>
      </c>
      <c r="HR20" s="191">
        <v>0.012604166666666666</v>
      </c>
      <c r="HS20" s="190" t="s">
        <v>59</v>
      </c>
      <c r="HT20" s="191">
        <v>0.026284722222222223</v>
      </c>
      <c r="HU20" s="190" t="s">
        <v>59</v>
      </c>
      <c r="HV20" s="191">
        <v>0.008576388888888889</v>
      </c>
      <c r="HW20" s="190" t="s">
        <v>65</v>
      </c>
      <c r="HX20" s="191">
        <v>0.02396990740740741</v>
      </c>
      <c r="HY20" s="187"/>
      <c r="HZ20" s="187"/>
      <c r="IA20" s="187"/>
      <c r="IB20" s="187"/>
      <c r="IC20" s="187"/>
      <c r="ID20" s="187"/>
      <c r="IE20" s="196" t="s">
        <v>102</v>
      </c>
      <c r="IF20" s="197">
        <v>0.061655092592592595</v>
      </c>
      <c r="IG20" s="178"/>
      <c r="IH20" s="196" t="s">
        <v>94</v>
      </c>
      <c r="II20" s="197">
        <v>0.26368055555555553</v>
      </c>
      <c r="IJ20" s="178"/>
      <c r="IK20" s="196" t="s">
        <v>89</v>
      </c>
      <c r="IL20" s="197">
        <v>0.001990740740740741</v>
      </c>
      <c r="IM20" s="196" t="s">
        <v>84</v>
      </c>
      <c r="IN20" s="197">
        <v>2.0833333333333335E-4</v>
      </c>
      <c r="IO20" s="196" t="s">
        <v>36</v>
      </c>
      <c r="IP20" s="197">
        <v>0.04822916666666666</v>
      </c>
      <c r="IQ20" s="178"/>
      <c r="IR20" s="196" t="s">
        <v>72</v>
      </c>
      <c r="IS20" s="197">
        <v>6.597222222222222E-4</v>
      </c>
      <c r="IT20" s="178"/>
      <c r="IU20" s="196" t="s">
        <v>82</v>
      </c>
      <c r="IV20" s="197">
        <v>0.010034722222222223</v>
      </c>
      <c r="IW20" s="178"/>
      <c r="IX20" s="196" t="s">
        <v>464</v>
      </c>
      <c r="IY20" s="197">
        <v>0.017939814814814815</v>
      </c>
      <c r="IZ20" s="187" t="s">
        <v>84</v>
      </c>
      <c r="JA20" s="188">
        <v>0.0032060185185185186</v>
      </c>
      <c r="JB20" s="187" t="s">
        <v>87</v>
      </c>
      <c r="JC20" s="188">
        <v>0.008229166666666666</v>
      </c>
      <c r="JD20" s="178"/>
    </row>
    <row r="21">
      <c r="A21" s="193"/>
      <c r="B21" s="193"/>
      <c r="C21" s="193"/>
      <c r="D21" s="193"/>
      <c r="E21" s="193"/>
      <c r="F21" s="193"/>
      <c r="G21" s="193"/>
      <c r="H21" s="193"/>
      <c r="I21" s="193"/>
      <c r="J21" s="193"/>
      <c r="K21" s="193"/>
      <c r="L21" s="193"/>
      <c r="M21" s="193"/>
      <c r="N21" s="193"/>
      <c r="O21" s="194" t="s">
        <v>18</v>
      </c>
      <c r="P21" s="195">
        <v>0.0062268518518518515</v>
      </c>
      <c r="Q21" s="194" t="s">
        <v>41</v>
      </c>
      <c r="R21" s="195">
        <v>0.006145833333333333</v>
      </c>
      <c r="S21" s="193"/>
      <c r="T21" s="193"/>
      <c r="U21" s="193"/>
      <c r="V21" s="193"/>
      <c r="W21" s="194"/>
      <c r="X21" s="195"/>
      <c r="Y21" s="193"/>
      <c r="Z21" s="193"/>
      <c r="AA21" s="194" t="s">
        <v>25</v>
      </c>
      <c r="AB21" s="195">
        <v>0.0012268518518518518</v>
      </c>
      <c r="AC21" s="194" t="s">
        <v>25</v>
      </c>
      <c r="AD21" s="195">
        <v>1.9675925925925926E-4</v>
      </c>
      <c r="AE21" s="194" t="s">
        <v>91</v>
      </c>
      <c r="AF21" s="195">
        <v>9.25925925925926E-4</v>
      </c>
      <c r="AG21" s="194" t="s">
        <v>40</v>
      </c>
      <c r="AH21" s="195">
        <v>0.010081018518518519</v>
      </c>
      <c r="AI21" s="194" t="s">
        <v>79</v>
      </c>
      <c r="AJ21" s="195">
        <v>0.020277777777777777</v>
      </c>
      <c r="AK21" s="194" t="s">
        <v>95</v>
      </c>
      <c r="AL21" s="195">
        <v>0.013136574074074075</v>
      </c>
      <c r="AM21" s="194" t="s">
        <v>422</v>
      </c>
      <c r="AN21" s="195">
        <v>0.004050925925925926</v>
      </c>
      <c r="AO21" s="194" t="s">
        <v>422</v>
      </c>
      <c r="AP21" s="195">
        <v>9.259259259259259E-5</v>
      </c>
      <c r="AQ21" s="194" t="s">
        <v>79</v>
      </c>
      <c r="AR21" s="195">
        <v>0.1376388888888889</v>
      </c>
      <c r="AS21" s="194" t="s">
        <v>42</v>
      </c>
      <c r="AT21" s="195">
        <v>0.1794675925925926</v>
      </c>
      <c r="AU21" s="194" t="s">
        <v>95</v>
      </c>
      <c r="AV21" s="195">
        <v>0.02488425925925926</v>
      </c>
      <c r="AW21" s="194" t="s">
        <v>95</v>
      </c>
      <c r="AX21" s="195">
        <v>0.016909722222222222</v>
      </c>
      <c r="AY21" s="194" t="s">
        <v>95</v>
      </c>
      <c r="AZ21" s="195">
        <v>0.12325231481481481</v>
      </c>
      <c r="BA21" s="194" t="s">
        <v>95</v>
      </c>
      <c r="BB21" s="195">
        <v>0.048761574074074075</v>
      </c>
      <c r="BC21" s="194" t="s">
        <v>95</v>
      </c>
      <c r="BD21" s="195">
        <v>0.510787037037037</v>
      </c>
      <c r="BE21" s="194" t="s">
        <v>95</v>
      </c>
      <c r="BF21" s="195">
        <v>0.16696759259259258</v>
      </c>
      <c r="BG21" s="194" t="s">
        <v>95</v>
      </c>
      <c r="BH21" s="195">
        <v>0.1428472222222222</v>
      </c>
      <c r="BI21" s="194" t="s">
        <v>95</v>
      </c>
      <c r="BJ21" s="195">
        <v>0.3112037037037037</v>
      </c>
      <c r="BK21" s="194" t="s">
        <v>95</v>
      </c>
      <c r="BL21" s="195">
        <v>0.19033564814814816</v>
      </c>
      <c r="BM21" s="194" t="s">
        <v>95</v>
      </c>
      <c r="BN21" s="195">
        <v>0.07362268518518518</v>
      </c>
      <c r="BO21" s="194" t="s">
        <v>95</v>
      </c>
      <c r="BP21" s="195">
        <v>0.016666666666666666</v>
      </c>
      <c r="BQ21" s="194" t="s">
        <v>95</v>
      </c>
      <c r="BR21" s="195">
        <v>0.024791666666666667</v>
      </c>
      <c r="BS21" s="194" t="s">
        <v>95</v>
      </c>
      <c r="BT21" s="195">
        <v>0.0037847222222222223</v>
      </c>
      <c r="BU21" s="194" t="s">
        <v>95</v>
      </c>
      <c r="BV21" s="195">
        <v>0.020497685185185185</v>
      </c>
      <c r="BW21" s="194" t="s">
        <v>95</v>
      </c>
      <c r="BX21" s="195">
        <v>0.015266203703703704</v>
      </c>
      <c r="BY21" s="194" t="s">
        <v>95</v>
      </c>
      <c r="BZ21" s="195">
        <v>0.03899305555555556</v>
      </c>
      <c r="CA21" s="194" t="s">
        <v>95</v>
      </c>
      <c r="CB21" s="195">
        <v>0.0642361111111111</v>
      </c>
      <c r="CC21" s="194" t="s">
        <v>95</v>
      </c>
      <c r="CD21" s="195">
        <v>0.05236111111111111</v>
      </c>
      <c r="CE21" s="194" t="s">
        <v>42</v>
      </c>
      <c r="CF21" s="195">
        <v>0.1407175925925926</v>
      </c>
      <c r="CG21" s="194" t="s">
        <v>95</v>
      </c>
      <c r="CH21" s="195">
        <v>0.05291666666666667</v>
      </c>
      <c r="CI21" s="194" t="s">
        <v>42</v>
      </c>
      <c r="CJ21" s="195">
        <v>0.005462962962962963</v>
      </c>
      <c r="CK21" s="194" t="s">
        <v>95</v>
      </c>
      <c r="CL21" s="195">
        <v>0.015636574074074074</v>
      </c>
      <c r="CM21" s="194" t="s">
        <v>95</v>
      </c>
      <c r="CN21" s="195">
        <v>0.07832175925925926</v>
      </c>
      <c r="CO21" s="194" t="s">
        <v>95</v>
      </c>
      <c r="CP21" s="195">
        <v>0.038356481481481484</v>
      </c>
      <c r="CQ21" s="194" t="s">
        <v>95</v>
      </c>
      <c r="CR21" s="195">
        <v>0.00886574074074074</v>
      </c>
      <c r="CS21" s="194" t="s">
        <v>95</v>
      </c>
      <c r="CT21" s="195">
        <v>0.03854166666666667</v>
      </c>
      <c r="CU21" s="194" t="s">
        <v>95</v>
      </c>
      <c r="CV21" s="195">
        <v>0.050011574074074076</v>
      </c>
      <c r="CW21" s="194" t="s">
        <v>95</v>
      </c>
      <c r="CX21" s="195">
        <v>0.08056712962962963</v>
      </c>
      <c r="CY21" s="194" t="s">
        <v>42</v>
      </c>
      <c r="CZ21" s="195">
        <v>0.08403935185185185</v>
      </c>
      <c r="DA21" s="194" t="s">
        <v>79</v>
      </c>
      <c r="DB21" s="195">
        <v>1.7361111111111112E-4</v>
      </c>
      <c r="DC21" s="194" t="s">
        <v>42</v>
      </c>
      <c r="DD21" s="195">
        <v>0.00951388888888889</v>
      </c>
      <c r="DE21" s="194" t="s">
        <v>95</v>
      </c>
      <c r="DF21" s="195">
        <v>0.045162037037037035</v>
      </c>
      <c r="DG21" s="194" t="s">
        <v>95</v>
      </c>
      <c r="DH21" s="195">
        <v>3.4189004629629633</v>
      </c>
      <c r="DI21" s="194" t="s">
        <v>59</v>
      </c>
      <c r="DJ21" s="195">
        <v>0.053738425925925926</v>
      </c>
      <c r="DK21" s="194" t="s">
        <v>25</v>
      </c>
      <c r="DL21" s="195">
        <v>0.03881944444444444</v>
      </c>
      <c r="DM21" s="194" t="s">
        <v>78</v>
      </c>
      <c r="DN21" s="195">
        <v>0.0016319444444444445</v>
      </c>
      <c r="DO21" s="194" t="s">
        <v>59</v>
      </c>
      <c r="DP21" s="195">
        <v>0.08728009259259259</v>
      </c>
      <c r="DQ21" s="194" t="s">
        <v>44</v>
      </c>
      <c r="DR21" s="195">
        <v>0.031967592592592596</v>
      </c>
      <c r="DS21" s="194" t="s">
        <v>428</v>
      </c>
      <c r="DT21" s="195">
        <v>0.14884259259259258</v>
      </c>
      <c r="DU21" s="194" t="s">
        <v>44</v>
      </c>
      <c r="DV21" s="195">
        <v>0.042118055555555554</v>
      </c>
      <c r="DW21" s="194" t="s">
        <v>31</v>
      </c>
      <c r="DX21" s="195">
        <v>0.005231481481481481</v>
      </c>
      <c r="DY21" s="194" t="s">
        <v>90</v>
      </c>
      <c r="DZ21" s="195">
        <v>0.022037037037037036</v>
      </c>
      <c r="EA21" s="194" t="s">
        <v>44</v>
      </c>
      <c r="EB21" s="195">
        <v>0.01965277777777778</v>
      </c>
      <c r="EC21" s="194" t="s">
        <v>97</v>
      </c>
      <c r="ED21" s="195">
        <v>2.0833333333333335E-4</v>
      </c>
      <c r="EE21" s="194" t="s">
        <v>44</v>
      </c>
      <c r="EF21" s="195">
        <v>0.08802083333333334</v>
      </c>
      <c r="EG21" s="194" t="s">
        <v>98</v>
      </c>
      <c r="EH21" s="195">
        <v>0.009386574074074073</v>
      </c>
      <c r="EI21" s="194" t="s">
        <v>103</v>
      </c>
      <c r="EJ21" s="195">
        <v>0.004085648148148148</v>
      </c>
      <c r="EK21" s="194" t="s">
        <v>31</v>
      </c>
      <c r="EL21" s="195">
        <v>0.020625</v>
      </c>
      <c r="EM21" s="194" t="s">
        <v>29</v>
      </c>
      <c r="EN21" s="195">
        <v>0.01587962962962963</v>
      </c>
      <c r="EO21" s="194" t="s">
        <v>101</v>
      </c>
      <c r="EP21" s="195">
        <v>0.0035416666666666665</v>
      </c>
      <c r="EQ21" s="194" t="s">
        <v>40</v>
      </c>
      <c r="ER21" s="195">
        <v>0.0038541666666666668</v>
      </c>
      <c r="ES21" s="194" t="s">
        <v>102</v>
      </c>
      <c r="ET21" s="195">
        <v>0.0036458333333333334</v>
      </c>
      <c r="EU21" s="194" t="s">
        <v>29</v>
      </c>
      <c r="EV21" s="195">
        <v>0.0038541666666666668</v>
      </c>
      <c r="EW21" s="194" t="s">
        <v>44</v>
      </c>
      <c r="EX21" s="195">
        <v>0.015370370370370371</v>
      </c>
      <c r="EY21" s="194" t="s">
        <v>32</v>
      </c>
      <c r="EZ21" s="195">
        <v>0.0031134259259259257</v>
      </c>
      <c r="FA21" s="194" t="s">
        <v>428</v>
      </c>
      <c r="FB21" s="195">
        <v>0.0032291666666666666</v>
      </c>
      <c r="FC21" s="194" t="s">
        <v>102</v>
      </c>
      <c r="FD21" s="195">
        <v>0.005046296296296296</v>
      </c>
      <c r="FE21" s="194" t="s">
        <v>62</v>
      </c>
      <c r="FF21" s="195">
        <v>0.005856481481481482</v>
      </c>
      <c r="FG21" s="194" t="s">
        <v>428</v>
      </c>
      <c r="FH21" s="195">
        <v>0.00912037037037037</v>
      </c>
      <c r="FI21" s="194" t="s">
        <v>25</v>
      </c>
      <c r="FJ21" s="195">
        <v>1.388888888888889E-4</v>
      </c>
      <c r="FK21" s="194" t="s">
        <v>97</v>
      </c>
      <c r="FL21" s="195">
        <v>0.017893518518518517</v>
      </c>
      <c r="FM21" s="194" t="s">
        <v>98</v>
      </c>
      <c r="FN21" s="195">
        <v>0.008240740740740741</v>
      </c>
      <c r="FO21" s="194" t="s">
        <v>428</v>
      </c>
      <c r="FP21" s="195">
        <v>0.0036342592592592594</v>
      </c>
      <c r="FQ21" s="194" t="s">
        <v>102</v>
      </c>
      <c r="FR21" s="195">
        <v>0.003912037037037037</v>
      </c>
      <c r="FS21" s="194" t="s">
        <v>50</v>
      </c>
      <c r="FT21" s="195">
        <v>0.030046296296296297</v>
      </c>
      <c r="FU21" s="194" t="s">
        <v>97</v>
      </c>
      <c r="FV21" s="195">
        <v>0.004131944444444444</v>
      </c>
      <c r="FW21" s="194" t="s">
        <v>464</v>
      </c>
      <c r="FX21" s="195">
        <v>2.0833333333333335E-4</v>
      </c>
      <c r="FY21" s="194" t="s">
        <v>64</v>
      </c>
      <c r="FZ21" s="195">
        <v>7.060185185185185E-4</v>
      </c>
      <c r="GA21" s="194" t="s">
        <v>82</v>
      </c>
      <c r="GB21" s="195">
        <v>0.002013888888888889</v>
      </c>
      <c r="GC21" s="194" t="s">
        <v>97</v>
      </c>
      <c r="GD21" s="195">
        <v>0.004074074074074074</v>
      </c>
      <c r="GE21" s="194" t="s">
        <v>97</v>
      </c>
      <c r="GF21" s="195">
        <v>0.006539351851851852</v>
      </c>
      <c r="GG21" s="194" t="s">
        <v>463</v>
      </c>
      <c r="GH21" s="195">
        <v>0.06675925925925925</v>
      </c>
      <c r="GI21" s="185" t="s">
        <v>55</v>
      </c>
      <c r="GJ21" s="186">
        <v>0.4008564814814815</v>
      </c>
      <c r="GK21" s="185" t="s">
        <v>60</v>
      </c>
      <c r="GL21" s="186">
        <v>0.4991203703703704</v>
      </c>
      <c r="GM21" s="185" t="s">
        <v>60</v>
      </c>
      <c r="GN21" s="186">
        <v>0.5611458333333333</v>
      </c>
      <c r="GO21" s="187" t="s">
        <v>59</v>
      </c>
      <c r="GP21" s="188">
        <v>0.01972222222222222</v>
      </c>
      <c r="GQ21" s="187" t="s">
        <v>62</v>
      </c>
      <c r="GR21" s="188">
        <v>0.1338425925925926</v>
      </c>
      <c r="GS21" s="187" t="s">
        <v>63</v>
      </c>
      <c r="GT21" s="188">
        <v>0.0011342592592592593</v>
      </c>
      <c r="GU21" s="187" t="s">
        <v>30</v>
      </c>
      <c r="GV21" s="188">
        <v>0.0039004629629629628</v>
      </c>
      <c r="GW21" s="190" t="s">
        <v>63</v>
      </c>
      <c r="GX21" s="191">
        <v>0.0025925925925925925</v>
      </c>
      <c r="GY21" s="190" t="s">
        <v>63</v>
      </c>
      <c r="GZ21" s="191">
        <v>0.005451388888888889</v>
      </c>
      <c r="HA21" s="190" t="s">
        <v>22</v>
      </c>
      <c r="HB21" s="191">
        <v>0.12518518518518518</v>
      </c>
      <c r="HC21" s="190" t="s">
        <v>20</v>
      </c>
      <c r="HD21" s="191">
        <v>0.21207175925925925</v>
      </c>
      <c r="HE21" s="190" t="s">
        <v>72</v>
      </c>
      <c r="HF21" s="191">
        <v>0.0015046296296296296</v>
      </c>
      <c r="HG21" s="190" t="s">
        <v>64</v>
      </c>
      <c r="HH21" s="191">
        <v>0.008159722222222223</v>
      </c>
      <c r="HI21" s="190" t="s">
        <v>464</v>
      </c>
      <c r="HJ21" s="191">
        <v>0.17300925925925925</v>
      </c>
      <c r="HK21" s="190" t="s">
        <v>74</v>
      </c>
      <c r="HL21" s="191">
        <v>0.006168981481481482</v>
      </c>
      <c r="HM21" s="190" t="s">
        <v>79</v>
      </c>
      <c r="HN21" s="191">
        <v>0.01601851851851852</v>
      </c>
      <c r="HO21" s="190" t="s">
        <v>80</v>
      </c>
      <c r="HP21" s="191">
        <v>0.010914351851851852</v>
      </c>
      <c r="HQ21" s="190" t="s">
        <v>72</v>
      </c>
      <c r="HR21" s="191">
        <v>0.02652777777777778</v>
      </c>
      <c r="HS21" s="190" t="s">
        <v>63</v>
      </c>
      <c r="HT21" s="191">
        <v>0.012708333333333334</v>
      </c>
      <c r="HU21" s="190" t="s">
        <v>62</v>
      </c>
      <c r="HV21" s="191">
        <v>0.001990740740740741</v>
      </c>
      <c r="HW21" s="190" t="s">
        <v>71</v>
      </c>
      <c r="HX21" s="191">
        <v>0.008541666666666666</v>
      </c>
      <c r="HY21" s="187"/>
      <c r="HZ21" s="187"/>
      <c r="IA21" s="187"/>
      <c r="IB21" s="187"/>
      <c r="IC21" s="187"/>
      <c r="ID21" s="187"/>
      <c r="IE21" s="196" t="s">
        <v>428</v>
      </c>
      <c r="IF21" s="197">
        <v>0.005416666666666667</v>
      </c>
      <c r="IG21" s="178"/>
      <c r="IH21" s="196" t="s">
        <v>95</v>
      </c>
      <c r="II21" s="197">
        <v>0.08489583333333334</v>
      </c>
      <c r="IJ21" s="178"/>
      <c r="IK21" s="196" t="s">
        <v>90</v>
      </c>
      <c r="IL21" s="197">
        <v>3.7037037037037035E-4</v>
      </c>
      <c r="IM21" s="196" t="s">
        <v>23</v>
      </c>
      <c r="IN21" s="197">
        <v>0.0037962962962962963</v>
      </c>
      <c r="IO21" s="196" t="s">
        <v>84</v>
      </c>
      <c r="IP21" s="197">
        <v>0.03377314814814815</v>
      </c>
      <c r="IQ21" s="178"/>
      <c r="IR21" s="196" t="s">
        <v>82</v>
      </c>
      <c r="IS21" s="197">
        <v>0.012303240740740741</v>
      </c>
      <c r="IT21" s="178"/>
      <c r="IU21" s="196" t="s">
        <v>36</v>
      </c>
      <c r="IV21" s="197">
        <v>0.03939814814814815</v>
      </c>
      <c r="IW21" s="178"/>
      <c r="IX21" s="196" t="s">
        <v>74</v>
      </c>
      <c r="IY21" s="197">
        <v>0.013738425925925926</v>
      </c>
      <c r="IZ21" s="187" t="s">
        <v>79</v>
      </c>
      <c r="JA21" s="188">
        <v>4.050925925925926E-4</v>
      </c>
      <c r="JB21" s="187" t="s">
        <v>89</v>
      </c>
      <c r="JC21" s="188">
        <v>0.19451388888888888</v>
      </c>
      <c r="JD21" s="178"/>
    </row>
    <row r="22">
      <c r="A22" s="193"/>
      <c r="B22" s="193"/>
      <c r="C22" s="193"/>
      <c r="D22" s="193"/>
      <c r="E22" s="193"/>
      <c r="F22" s="193"/>
      <c r="G22" s="193"/>
      <c r="H22" s="193"/>
      <c r="I22" s="193"/>
      <c r="J22" s="193"/>
      <c r="K22" s="193"/>
      <c r="L22" s="193"/>
      <c r="M22" s="193"/>
      <c r="N22" s="193"/>
      <c r="O22" s="194" t="s">
        <v>424</v>
      </c>
      <c r="P22" s="195">
        <v>0.002476851851851852</v>
      </c>
      <c r="Q22" s="194" t="s">
        <v>71</v>
      </c>
      <c r="R22" s="195">
        <v>0.009363425925925926</v>
      </c>
      <c r="S22" s="193"/>
      <c r="T22" s="193"/>
      <c r="U22" s="193"/>
      <c r="V22" s="193"/>
      <c r="W22" s="194"/>
      <c r="X22" s="195"/>
      <c r="Y22" s="193"/>
      <c r="Z22" s="193"/>
      <c r="AA22" s="194" t="s">
        <v>103</v>
      </c>
      <c r="AB22" s="195">
        <v>0.11618055555555555</v>
      </c>
      <c r="AC22" s="194" t="s">
        <v>82</v>
      </c>
      <c r="AD22" s="195">
        <v>0.025046296296296296</v>
      </c>
      <c r="AE22" s="194" t="s">
        <v>424</v>
      </c>
      <c r="AF22" s="195">
        <v>0.00986111111111111</v>
      </c>
      <c r="AG22" s="194" t="s">
        <v>98</v>
      </c>
      <c r="AH22" s="195">
        <v>0.02008101851851852</v>
      </c>
      <c r="AI22" s="194" t="s">
        <v>422</v>
      </c>
      <c r="AJ22" s="195">
        <v>0.0033912037037037036</v>
      </c>
      <c r="AK22" s="194" t="s">
        <v>42</v>
      </c>
      <c r="AL22" s="195">
        <v>0.04123842592592593</v>
      </c>
      <c r="AM22" s="194" t="s">
        <v>96</v>
      </c>
      <c r="AN22" s="195">
        <v>0.010300925925925925</v>
      </c>
      <c r="AO22" s="194" t="s">
        <v>96</v>
      </c>
      <c r="AP22" s="195">
        <v>0.0016898148148148148</v>
      </c>
      <c r="AQ22" s="194" t="s">
        <v>96</v>
      </c>
      <c r="AR22" s="195">
        <v>0.016724537037037038</v>
      </c>
      <c r="AS22" s="194" t="s">
        <v>79</v>
      </c>
      <c r="AT22" s="195">
        <v>0.225</v>
      </c>
      <c r="AU22" s="194" t="s">
        <v>42</v>
      </c>
      <c r="AV22" s="195">
        <v>0.3445486111111111</v>
      </c>
      <c r="AW22" s="194" t="s">
        <v>42</v>
      </c>
      <c r="AX22" s="195">
        <v>0.3191319444444444</v>
      </c>
      <c r="AY22" s="194" t="s">
        <v>42</v>
      </c>
      <c r="AZ22" s="195">
        <v>0.49635416666666665</v>
      </c>
      <c r="BA22" s="194" t="s">
        <v>42</v>
      </c>
      <c r="BB22" s="195">
        <v>0.2882060185185185</v>
      </c>
      <c r="BC22" s="194" t="s">
        <v>42</v>
      </c>
      <c r="BD22" s="195">
        <v>0.2594675925925926</v>
      </c>
      <c r="BE22" s="194" t="s">
        <v>42</v>
      </c>
      <c r="BF22" s="195">
        <v>0.31836805555555553</v>
      </c>
      <c r="BG22" s="194" t="s">
        <v>42</v>
      </c>
      <c r="BH22" s="195">
        <v>0.1605902777777778</v>
      </c>
      <c r="BI22" s="194" t="s">
        <v>42</v>
      </c>
      <c r="BJ22" s="195">
        <v>0.25832175925925926</v>
      </c>
      <c r="BK22" s="194" t="s">
        <v>42</v>
      </c>
      <c r="BL22" s="195">
        <v>0.22827546296296297</v>
      </c>
      <c r="BM22" s="194" t="s">
        <v>42</v>
      </c>
      <c r="BN22" s="195">
        <v>0.22008101851851852</v>
      </c>
      <c r="BO22" s="194" t="s">
        <v>42</v>
      </c>
      <c r="BP22" s="195">
        <v>0.06728009259259259</v>
      </c>
      <c r="BQ22" s="194" t="s">
        <v>42</v>
      </c>
      <c r="BR22" s="195">
        <v>0.15135416666666668</v>
      </c>
      <c r="BS22" s="194" t="s">
        <v>42</v>
      </c>
      <c r="BT22" s="195">
        <v>0.15059027777777778</v>
      </c>
      <c r="BU22" s="194" t="s">
        <v>42</v>
      </c>
      <c r="BV22" s="195">
        <v>0.023159722222222224</v>
      </c>
      <c r="BW22" s="194" t="s">
        <v>42</v>
      </c>
      <c r="BX22" s="195">
        <v>0.12390046296296296</v>
      </c>
      <c r="BY22" s="194" t="s">
        <v>42</v>
      </c>
      <c r="BZ22" s="195">
        <v>0.13810185185185186</v>
      </c>
      <c r="CA22" s="194" t="s">
        <v>42</v>
      </c>
      <c r="CB22" s="195">
        <v>0.050104166666666665</v>
      </c>
      <c r="CC22" s="194" t="s">
        <v>42</v>
      </c>
      <c r="CD22" s="195">
        <v>0.0844212962962963</v>
      </c>
      <c r="CE22" s="194" t="s">
        <v>79</v>
      </c>
      <c r="CF22" s="195">
        <v>0.02564814814814815</v>
      </c>
      <c r="CG22" s="194" t="s">
        <v>42</v>
      </c>
      <c r="CH22" s="195">
        <v>0.07734953703703704</v>
      </c>
      <c r="CI22" s="194" t="s">
        <v>79</v>
      </c>
      <c r="CJ22" s="195">
        <v>0.025138888888888888</v>
      </c>
      <c r="CK22" s="194" t="s">
        <v>42</v>
      </c>
      <c r="CL22" s="195">
        <v>0.19864583333333333</v>
      </c>
      <c r="CM22" s="194" t="s">
        <v>42</v>
      </c>
      <c r="CN22" s="195">
        <v>0.12300925925925926</v>
      </c>
      <c r="CO22" s="194" t="s">
        <v>42</v>
      </c>
      <c r="CP22" s="195">
        <v>0.07586805555555555</v>
      </c>
      <c r="CQ22" s="194" t="s">
        <v>42</v>
      </c>
      <c r="CR22" s="195">
        <v>0.02832175925925926</v>
      </c>
      <c r="CS22" s="194" t="s">
        <v>42</v>
      </c>
      <c r="CT22" s="195">
        <v>0.0640625</v>
      </c>
      <c r="CU22" s="194" t="s">
        <v>42</v>
      </c>
      <c r="CV22" s="195">
        <v>0.07158564814814815</v>
      </c>
      <c r="CW22" s="194" t="s">
        <v>42</v>
      </c>
      <c r="CX22" s="195">
        <v>0.0</v>
      </c>
      <c r="CY22" s="194" t="s">
        <v>79</v>
      </c>
      <c r="CZ22" s="195">
        <v>0.002476851851851852</v>
      </c>
      <c r="DA22" s="194" t="s">
        <v>96</v>
      </c>
      <c r="DB22" s="195">
        <v>0.01638888888888889</v>
      </c>
      <c r="DC22" s="194" t="s">
        <v>79</v>
      </c>
      <c r="DD22" s="195">
        <v>0.004618055555555556</v>
      </c>
      <c r="DE22" s="194" t="s">
        <v>42</v>
      </c>
      <c r="DF22" s="195">
        <v>0.002638888888888889</v>
      </c>
      <c r="DG22" s="194" t="s">
        <v>42</v>
      </c>
      <c r="DH22" s="195">
        <v>1.1114351851851851</v>
      </c>
      <c r="DI22" s="194" t="s">
        <v>428</v>
      </c>
      <c r="DJ22" s="195">
        <v>0.13402777777777777</v>
      </c>
      <c r="DK22" s="194" t="s">
        <v>103</v>
      </c>
      <c r="DL22" s="195">
        <v>0.0033680555555555556</v>
      </c>
      <c r="DM22" s="194" t="s">
        <v>21</v>
      </c>
      <c r="DN22" s="195">
        <v>0.0039004629629629628</v>
      </c>
      <c r="DO22" s="194" t="s">
        <v>428</v>
      </c>
      <c r="DP22" s="195">
        <v>0.124375</v>
      </c>
      <c r="DQ22" s="194" t="s">
        <v>428</v>
      </c>
      <c r="DR22" s="195">
        <v>0.0390625</v>
      </c>
      <c r="DS22" s="194" t="s">
        <v>31</v>
      </c>
      <c r="DT22" s="195">
        <v>0.004039351851851852</v>
      </c>
      <c r="DU22" s="194" t="s">
        <v>59</v>
      </c>
      <c r="DV22" s="195">
        <v>0.0032291666666666666</v>
      </c>
      <c r="DW22" s="194" t="s">
        <v>25</v>
      </c>
      <c r="DX22" s="195">
        <v>0.1754976851851852</v>
      </c>
      <c r="DY22" s="194" t="s">
        <v>464</v>
      </c>
      <c r="DZ22" s="195">
        <v>0.008969907407407407</v>
      </c>
      <c r="EA22" s="194" t="s">
        <v>428</v>
      </c>
      <c r="EB22" s="195">
        <v>0.01934027777777778</v>
      </c>
      <c r="EC22" s="194" t="s">
        <v>57</v>
      </c>
      <c r="ED22" s="195">
        <v>0.010462962962962962</v>
      </c>
      <c r="EE22" s="194" t="s">
        <v>59</v>
      </c>
      <c r="EF22" s="195">
        <v>0.027569444444444445</v>
      </c>
      <c r="EG22" s="194" t="s">
        <v>44</v>
      </c>
      <c r="EH22" s="195">
        <v>0.13824074074074075</v>
      </c>
      <c r="EI22" s="194" t="s">
        <v>82</v>
      </c>
      <c r="EJ22" s="195">
        <v>0.0024305555555555556</v>
      </c>
      <c r="EK22" s="194" t="s">
        <v>25</v>
      </c>
      <c r="EL22" s="195">
        <v>0.04003472222222222</v>
      </c>
      <c r="EM22" s="194" t="s">
        <v>62</v>
      </c>
      <c r="EN22" s="195">
        <v>0.12789351851851852</v>
      </c>
      <c r="EO22" s="194" t="s">
        <v>44</v>
      </c>
      <c r="EP22" s="195">
        <v>0.003599537037037037</v>
      </c>
      <c r="EQ22" s="194" t="s">
        <v>101</v>
      </c>
      <c r="ER22" s="195">
        <v>0.008958333333333334</v>
      </c>
      <c r="ES22" s="194" t="s">
        <v>21</v>
      </c>
      <c r="ET22" s="195">
        <v>0.0028935185185185184</v>
      </c>
      <c r="EU22" s="194" t="s">
        <v>62</v>
      </c>
      <c r="EV22" s="195">
        <v>0.09506944444444444</v>
      </c>
      <c r="EW22" s="194" t="s">
        <v>102</v>
      </c>
      <c r="EX22" s="195">
        <v>0.1154513888888889</v>
      </c>
      <c r="EY22" s="194" t="s">
        <v>22</v>
      </c>
      <c r="EZ22" s="195">
        <v>0.03439814814814815</v>
      </c>
      <c r="FA22" s="194" t="s">
        <v>78</v>
      </c>
      <c r="FB22" s="195">
        <v>0.003148148148148148</v>
      </c>
      <c r="FC22" s="194" t="s">
        <v>428</v>
      </c>
      <c r="FD22" s="195">
        <v>0.027349537037037037</v>
      </c>
      <c r="FE22" s="194" t="s">
        <v>25</v>
      </c>
      <c r="FF22" s="195">
        <v>0.007442129629629629</v>
      </c>
      <c r="FG22" s="194" t="s">
        <v>60</v>
      </c>
      <c r="FH22" s="195">
        <v>1.5046296296296297E-4</v>
      </c>
      <c r="FI22" s="194" t="s">
        <v>43</v>
      </c>
      <c r="FJ22" s="195">
        <v>0.05831018518518519</v>
      </c>
      <c r="FK22" s="194" t="s">
        <v>40</v>
      </c>
      <c r="FL22" s="195">
        <v>0.007372685185185185</v>
      </c>
      <c r="FM22" s="194" t="s">
        <v>101</v>
      </c>
      <c r="FN22" s="195">
        <v>0.0022569444444444442</v>
      </c>
      <c r="FO22" s="194" t="s">
        <v>29</v>
      </c>
      <c r="FP22" s="195">
        <v>0.12310185185185185</v>
      </c>
      <c r="FQ22" s="194" t="s">
        <v>428</v>
      </c>
      <c r="FR22" s="195">
        <v>0.019375</v>
      </c>
      <c r="FS22" s="194" t="s">
        <v>40</v>
      </c>
      <c r="FT22" s="195">
        <v>5.439814814814814E-4</v>
      </c>
      <c r="FU22" s="194" t="s">
        <v>50</v>
      </c>
      <c r="FV22" s="195">
        <v>0.0024189814814814816</v>
      </c>
      <c r="FW22" s="194" t="s">
        <v>23</v>
      </c>
      <c r="FX22" s="195">
        <v>0.013217592592592593</v>
      </c>
      <c r="FY22" s="194" t="s">
        <v>8</v>
      </c>
      <c r="FZ22" s="195">
        <v>0.04769675925925926</v>
      </c>
      <c r="GA22" s="194" t="s">
        <v>90</v>
      </c>
      <c r="GB22" s="195">
        <v>0.01574074074074074</v>
      </c>
      <c r="GC22" s="194" t="s">
        <v>40</v>
      </c>
      <c r="GD22" s="195">
        <v>0.01074074074074074</v>
      </c>
      <c r="GE22" s="194" t="s">
        <v>50</v>
      </c>
      <c r="GF22" s="195">
        <v>7.523148148148148E-4</v>
      </c>
      <c r="GG22" s="194" t="s">
        <v>92</v>
      </c>
      <c r="GH22" s="195">
        <v>0.006273148148148148</v>
      </c>
      <c r="GI22" s="185" t="s">
        <v>59</v>
      </c>
      <c r="GJ22" s="186">
        <v>0.04369212962962963</v>
      </c>
      <c r="GK22" s="185" t="s">
        <v>62</v>
      </c>
      <c r="GL22" s="186">
        <v>0.4352083333333333</v>
      </c>
      <c r="GM22" s="185" t="s">
        <v>62</v>
      </c>
      <c r="GN22" s="186">
        <v>0.2245486111111111</v>
      </c>
      <c r="GO22" s="187" t="s">
        <v>60</v>
      </c>
      <c r="GP22" s="188">
        <v>1.388888888888889E-4</v>
      </c>
      <c r="GQ22" s="187" t="s">
        <v>64</v>
      </c>
      <c r="GR22" s="188">
        <v>0.2570486111111111</v>
      </c>
      <c r="GS22" s="187" t="s">
        <v>64</v>
      </c>
      <c r="GT22" s="188">
        <v>0.2694097222222222</v>
      </c>
      <c r="GU22" s="187" t="s">
        <v>55</v>
      </c>
      <c r="GV22" s="188">
        <v>0.004652777777777777</v>
      </c>
      <c r="GW22" s="190" t="s">
        <v>65</v>
      </c>
      <c r="GX22" s="191">
        <v>0.04384259259259259</v>
      </c>
      <c r="GY22" s="190" t="s">
        <v>65</v>
      </c>
      <c r="GZ22" s="191">
        <v>0.023541666666666666</v>
      </c>
      <c r="HA22" s="190" t="s">
        <v>8</v>
      </c>
      <c r="HB22" s="191">
        <v>0.1171875</v>
      </c>
      <c r="HC22" s="190" t="s">
        <v>55</v>
      </c>
      <c r="HD22" s="191">
        <v>0.003599537037037037</v>
      </c>
      <c r="HE22" s="190" t="s">
        <v>74</v>
      </c>
      <c r="HF22" s="191">
        <v>0.01019675925925926</v>
      </c>
      <c r="HG22" s="190" t="s">
        <v>65</v>
      </c>
      <c r="HH22" s="191">
        <v>0.00738425925925926</v>
      </c>
      <c r="HI22" s="190" t="s">
        <v>70</v>
      </c>
      <c r="HJ22" s="191">
        <v>0.015023148148148148</v>
      </c>
      <c r="HK22" s="190" t="s">
        <v>42</v>
      </c>
      <c r="HL22" s="191">
        <v>0.0016435185185185185</v>
      </c>
      <c r="HM22" s="190" t="s">
        <v>23</v>
      </c>
      <c r="HN22" s="191">
        <v>0.16564814814814816</v>
      </c>
      <c r="HO22" s="190" t="s">
        <v>82</v>
      </c>
      <c r="HP22" s="191">
        <v>0.0221875</v>
      </c>
      <c r="HQ22" s="190" t="s">
        <v>73</v>
      </c>
      <c r="HR22" s="191">
        <v>0.010462962962962962</v>
      </c>
      <c r="HS22" s="190" t="s">
        <v>464</v>
      </c>
      <c r="HT22" s="191">
        <v>0.05197916666666667</v>
      </c>
      <c r="HU22" s="190" t="s">
        <v>65</v>
      </c>
      <c r="HV22" s="191">
        <v>0.010648148148148148</v>
      </c>
      <c r="HW22" s="190" t="s">
        <v>73</v>
      </c>
      <c r="HX22" s="191">
        <v>0.03418981481481481</v>
      </c>
      <c r="HY22" s="187"/>
      <c r="HZ22" s="187"/>
      <c r="IA22" s="187"/>
      <c r="IB22" s="187"/>
      <c r="IC22" s="187"/>
      <c r="ID22" s="187"/>
      <c r="IE22" s="196" t="s">
        <v>29</v>
      </c>
      <c r="IF22" s="197">
        <v>0.3083796296296296</v>
      </c>
      <c r="IG22" s="178"/>
      <c r="IH22" s="196" t="s">
        <v>57</v>
      </c>
      <c r="II22" s="197">
        <v>0.05018518518518519</v>
      </c>
      <c r="IJ22" s="178"/>
      <c r="IK22" s="196" t="s">
        <v>426</v>
      </c>
      <c r="IL22" s="197">
        <v>0.0565162037037037</v>
      </c>
      <c r="IM22" s="196" t="s">
        <v>87</v>
      </c>
      <c r="IN22" s="197">
        <v>0.010266203703703704</v>
      </c>
      <c r="IO22" s="196" t="s">
        <v>23</v>
      </c>
      <c r="IP22" s="197">
        <v>0.0025694444444444445</v>
      </c>
      <c r="IQ22" s="178"/>
      <c r="IR22" s="196" t="s">
        <v>36</v>
      </c>
      <c r="IS22" s="197">
        <v>0.025972222222222223</v>
      </c>
      <c r="IT22" s="178"/>
      <c r="IU22" s="196" t="s">
        <v>84</v>
      </c>
      <c r="IV22" s="197">
        <v>0.0020486111111111113</v>
      </c>
      <c r="IW22" s="178"/>
      <c r="IX22" s="196" t="s">
        <v>75</v>
      </c>
      <c r="IY22" s="197">
        <v>0.008877314814814815</v>
      </c>
      <c r="IZ22" s="187" t="s">
        <v>18</v>
      </c>
      <c r="JA22" s="188">
        <v>3.587962962962963E-4</v>
      </c>
      <c r="JB22" s="187" t="s">
        <v>90</v>
      </c>
      <c r="JC22" s="188">
        <v>0.037696759259259256</v>
      </c>
      <c r="JD22" s="178"/>
    </row>
    <row r="23">
      <c r="A23" s="193"/>
      <c r="B23" s="193"/>
      <c r="C23" s="193"/>
      <c r="D23" s="193"/>
      <c r="E23" s="193"/>
      <c r="F23" s="193"/>
      <c r="G23" s="193"/>
      <c r="H23" s="193"/>
      <c r="I23" s="193"/>
      <c r="J23" s="193"/>
      <c r="K23" s="193"/>
      <c r="L23" s="193"/>
      <c r="M23" s="193"/>
      <c r="N23" s="193"/>
      <c r="O23" s="194" t="s">
        <v>23</v>
      </c>
      <c r="P23" s="195">
        <v>0.002037037037037037</v>
      </c>
      <c r="Q23" s="194" t="s">
        <v>22</v>
      </c>
      <c r="R23" s="195">
        <v>0.001863425925925926</v>
      </c>
      <c r="S23" s="193"/>
      <c r="T23" s="193"/>
      <c r="U23" s="193"/>
      <c r="V23" s="193"/>
      <c r="W23" s="194"/>
      <c r="X23" s="195"/>
      <c r="Y23" s="193"/>
      <c r="Z23" s="193"/>
      <c r="AA23" s="194" t="s">
        <v>82</v>
      </c>
      <c r="AB23" s="195">
        <v>0.12686342592592592</v>
      </c>
      <c r="AC23" s="194" t="s">
        <v>424</v>
      </c>
      <c r="AD23" s="195">
        <v>2.0833333333333335E-4</v>
      </c>
      <c r="AE23" s="194" t="s">
        <v>23</v>
      </c>
      <c r="AF23" s="195">
        <v>0.016516203703703703</v>
      </c>
      <c r="AG23" s="194" t="s">
        <v>44</v>
      </c>
      <c r="AH23" s="195">
        <v>0.006493055555555556</v>
      </c>
      <c r="AI23" s="194" t="s">
        <v>96</v>
      </c>
      <c r="AJ23" s="195">
        <v>0.016296296296296295</v>
      </c>
      <c r="AK23" s="194" t="s">
        <v>79</v>
      </c>
      <c r="AL23" s="195">
        <v>0.05171296296296296</v>
      </c>
      <c r="AM23" s="194" t="s">
        <v>27</v>
      </c>
      <c r="AN23" s="195">
        <v>0.021574074074074075</v>
      </c>
      <c r="AO23" s="194" t="s">
        <v>27</v>
      </c>
      <c r="AP23" s="195">
        <v>0.02730324074074074</v>
      </c>
      <c r="AQ23" s="194" t="s">
        <v>27</v>
      </c>
      <c r="AR23" s="195">
        <v>0.02369212962962963</v>
      </c>
      <c r="AS23" s="194" t="s">
        <v>96</v>
      </c>
      <c r="AT23" s="195">
        <v>0.02875</v>
      </c>
      <c r="AU23" s="194" t="s">
        <v>79</v>
      </c>
      <c r="AV23" s="195">
        <v>0.2722222222222222</v>
      </c>
      <c r="AW23" s="194" t="s">
        <v>79</v>
      </c>
      <c r="AX23" s="195">
        <v>0.37549768518518517</v>
      </c>
      <c r="AY23" s="194" t="s">
        <v>79</v>
      </c>
      <c r="AZ23" s="195">
        <v>0.48185185185185186</v>
      </c>
      <c r="BA23" s="194" t="s">
        <v>79</v>
      </c>
      <c r="BB23" s="195">
        <v>0.4128819444444444</v>
      </c>
      <c r="BC23" s="194" t="s">
        <v>79</v>
      </c>
      <c r="BD23" s="195">
        <v>0.5009027777777778</v>
      </c>
      <c r="BE23" s="194" t="s">
        <v>79</v>
      </c>
      <c r="BF23" s="195">
        <v>0.1517476851851852</v>
      </c>
      <c r="BG23" s="194" t="s">
        <v>79</v>
      </c>
      <c r="BH23" s="195">
        <v>0.3882523148148148</v>
      </c>
      <c r="BI23" s="194" t="s">
        <v>79</v>
      </c>
      <c r="BJ23" s="195">
        <v>0.29908564814814814</v>
      </c>
      <c r="BK23" s="194" t="s">
        <v>79</v>
      </c>
      <c r="BL23" s="195">
        <v>0.2897800925925926</v>
      </c>
      <c r="BM23" s="194" t="s">
        <v>79</v>
      </c>
      <c r="BN23" s="195">
        <v>0.3490625</v>
      </c>
      <c r="BO23" s="194" t="s">
        <v>79</v>
      </c>
      <c r="BP23" s="195">
        <v>0.27547453703703706</v>
      </c>
      <c r="BQ23" s="194" t="s">
        <v>79</v>
      </c>
      <c r="BR23" s="195">
        <v>0.18709490740740742</v>
      </c>
      <c r="BS23" s="194" t="s">
        <v>79</v>
      </c>
      <c r="BT23" s="195">
        <v>0.12131944444444444</v>
      </c>
      <c r="BU23" s="194" t="s">
        <v>79</v>
      </c>
      <c r="BV23" s="195">
        <v>0.08834490740740741</v>
      </c>
      <c r="BW23" s="194" t="s">
        <v>79</v>
      </c>
      <c r="BX23" s="195">
        <v>0.12067129629629629</v>
      </c>
      <c r="BY23" s="194" t="s">
        <v>79</v>
      </c>
      <c r="BZ23" s="195">
        <v>0.09471064814814815</v>
      </c>
      <c r="CA23" s="194" t="s">
        <v>79</v>
      </c>
      <c r="CB23" s="195">
        <v>0.12100694444444444</v>
      </c>
      <c r="CC23" s="194" t="s">
        <v>79</v>
      </c>
      <c r="CD23" s="195">
        <v>0.031435185185185184</v>
      </c>
      <c r="CE23" s="194" t="s">
        <v>422</v>
      </c>
      <c r="CF23" s="195">
        <v>0.34172453703703703</v>
      </c>
      <c r="CG23" s="194" t="s">
        <v>79</v>
      </c>
      <c r="CH23" s="195">
        <v>0.020949074074074075</v>
      </c>
      <c r="CI23" s="194" t="s">
        <v>422</v>
      </c>
      <c r="CJ23" s="195">
        <v>0.3389699074074074</v>
      </c>
      <c r="CK23" s="194" t="s">
        <v>79</v>
      </c>
      <c r="CL23" s="195">
        <v>0.013333333333333334</v>
      </c>
      <c r="CM23" s="194" t="s">
        <v>79</v>
      </c>
      <c r="CN23" s="195">
        <v>0.04587962962962963</v>
      </c>
      <c r="CO23" s="194" t="s">
        <v>79</v>
      </c>
      <c r="CP23" s="195">
        <v>0.037453703703703704</v>
      </c>
      <c r="CQ23" s="194" t="s">
        <v>79</v>
      </c>
      <c r="CR23" s="195">
        <v>0.017418981481481483</v>
      </c>
      <c r="CS23" s="194" t="s">
        <v>79</v>
      </c>
      <c r="CT23" s="195">
        <v>0.030706018518518518</v>
      </c>
      <c r="CU23" s="194" t="s">
        <v>79</v>
      </c>
      <c r="CV23" s="195">
        <v>0.011469907407407408</v>
      </c>
      <c r="CW23" s="194" t="s">
        <v>79</v>
      </c>
      <c r="CX23" s="195">
        <v>0.010358796296296297</v>
      </c>
      <c r="CY23" s="194" t="s">
        <v>96</v>
      </c>
      <c r="CZ23" s="195">
        <v>0.004780092592592593</v>
      </c>
      <c r="DA23" s="194" t="s">
        <v>27</v>
      </c>
      <c r="DB23" s="195">
        <v>0.01505787037037037</v>
      </c>
      <c r="DC23" s="194" t="s">
        <v>422</v>
      </c>
      <c r="DD23" s="195">
        <v>7.986111111111112E-4</v>
      </c>
      <c r="DE23" s="194" t="s">
        <v>79</v>
      </c>
      <c r="DF23" s="195">
        <v>0.008958333333333334</v>
      </c>
      <c r="DG23" s="194" t="s">
        <v>79</v>
      </c>
      <c r="DH23" s="195">
        <v>0.7498726851851851</v>
      </c>
      <c r="DI23" s="194" t="s">
        <v>21</v>
      </c>
      <c r="DJ23" s="195">
        <v>0.002534722222222222</v>
      </c>
      <c r="DK23" s="194" t="s">
        <v>82</v>
      </c>
      <c r="DL23" s="195">
        <v>0.012974537037037038</v>
      </c>
      <c r="DM23" s="194" t="s">
        <v>29</v>
      </c>
      <c r="DN23" s="195">
        <v>1.273148148148148E-4</v>
      </c>
      <c r="DO23" s="194" t="s">
        <v>78</v>
      </c>
      <c r="DP23" s="195">
        <v>0.0045138888888888885</v>
      </c>
      <c r="DQ23" s="194" t="s">
        <v>78</v>
      </c>
      <c r="DR23" s="195">
        <v>0.010266203703703704</v>
      </c>
      <c r="DS23" s="194" t="s">
        <v>25</v>
      </c>
      <c r="DT23" s="195">
        <v>0.3835763888888889</v>
      </c>
      <c r="DU23" s="194" t="s">
        <v>428</v>
      </c>
      <c r="DV23" s="195">
        <v>0.19686342592592593</v>
      </c>
      <c r="DW23" s="194" t="s">
        <v>103</v>
      </c>
      <c r="DX23" s="195">
        <v>0.0011342592592592593</v>
      </c>
      <c r="DY23" s="194" t="s">
        <v>41</v>
      </c>
      <c r="DZ23" s="195">
        <v>0.036898148148148145</v>
      </c>
      <c r="EA23" s="194" t="s">
        <v>62</v>
      </c>
      <c r="EB23" s="195">
        <v>4.976851851851852E-4</v>
      </c>
      <c r="EC23" s="194" t="s">
        <v>44</v>
      </c>
      <c r="ED23" s="195">
        <v>0.011226851851851852</v>
      </c>
      <c r="EE23" s="194" t="s">
        <v>428</v>
      </c>
      <c r="EF23" s="195">
        <v>0.04178240740740741</v>
      </c>
      <c r="EG23" s="194" t="s">
        <v>59</v>
      </c>
      <c r="EH23" s="195">
        <v>1.9675925925925926E-4</v>
      </c>
      <c r="EI23" s="194" t="s">
        <v>90</v>
      </c>
      <c r="EJ23" s="195">
        <v>0.21282407407407408</v>
      </c>
      <c r="EK23" s="194" t="s">
        <v>103</v>
      </c>
      <c r="EL23" s="195">
        <v>0.0078125</v>
      </c>
      <c r="EM23" s="194" t="s">
        <v>31</v>
      </c>
      <c r="EN23" s="195">
        <v>0.09648148148148149</v>
      </c>
      <c r="EO23" s="194" t="s">
        <v>59</v>
      </c>
      <c r="EP23" s="195">
        <v>0.015289351851851853</v>
      </c>
      <c r="EQ23" s="194" t="s">
        <v>70</v>
      </c>
      <c r="ER23" s="195">
        <v>2.0833333333333335E-4</v>
      </c>
      <c r="ES23" s="194" t="s">
        <v>29</v>
      </c>
      <c r="ET23" s="195">
        <v>0.002210648148148148</v>
      </c>
      <c r="EU23" s="194" t="s">
        <v>31</v>
      </c>
      <c r="EV23" s="195">
        <v>0.03085648148148148</v>
      </c>
      <c r="EW23" s="194" t="s">
        <v>428</v>
      </c>
      <c r="EX23" s="195">
        <v>3.587962962962963E-4</v>
      </c>
      <c r="EY23" s="194" t="s">
        <v>8</v>
      </c>
      <c r="EZ23" s="195">
        <v>0.0010416666666666667</v>
      </c>
      <c r="FA23" s="194" t="s">
        <v>29</v>
      </c>
      <c r="FB23" s="195">
        <v>0.01885416666666667</v>
      </c>
      <c r="FC23" s="194" t="s">
        <v>78</v>
      </c>
      <c r="FD23" s="195">
        <v>0.005162037037037037</v>
      </c>
      <c r="FE23" s="194" t="s">
        <v>43</v>
      </c>
      <c r="FF23" s="195">
        <v>1.7361111111111112E-4</v>
      </c>
      <c r="FG23" s="194" t="s">
        <v>78</v>
      </c>
      <c r="FH23" s="195">
        <v>0.003460648148148148</v>
      </c>
      <c r="FI23" s="194" t="s">
        <v>99</v>
      </c>
      <c r="FJ23" s="195">
        <v>8.217592592592593E-4</v>
      </c>
      <c r="FK23" s="194" t="s">
        <v>101</v>
      </c>
      <c r="FL23" s="195">
        <v>6.018518518518519E-4</v>
      </c>
      <c r="FM23" s="194" t="s">
        <v>70</v>
      </c>
      <c r="FN23" s="195">
        <v>0.012175925925925925</v>
      </c>
      <c r="FO23" s="194" t="s">
        <v>25</v>
      </c>
      <c r="FP23" s="195">
        <v>3.7037037037037035E-4</v>
      </c>
      <c r="FQ23" s="194" t="s">
        <v>78</v>
      </c>
      <c r="FR23" s="195">
        <v>0.014421296296296297</v>
      </c>
      <c r="FS23" s="194" t="s">
        <v>101</v>
      </c>
      <c r="FT23" s="195">
        <v>0.007766203703703704</v>
      </c>
      <c r="FU23" s="194" t="s">
        <v>101</v>
      </c>
      <c r="FV23" s="195">
        <v>0.10128472222222222</v>
      </c>
      <c r="FW23" s="194" t="s">
        <v>41</v>
      </c>
      <c r="FX23" s="195">
        <v>0.07400462962962963</v>
      </c>
      <c r="FY23" s="194" t="s">
        <v>65</v>
      </c>
      <c r="FZ23" s="195">
        <v>2.0833333333333335E-4</v>
      </c>
      <c r="GA23" s="194" t="s">
        <v>18</v>
      </c>
      <c r="GB23" s="195">
        <v>7.986111111111112E-4</v>
      </c>
      <c r="GC23" s="194" t="s">
        <v>101</v>
      </c>
      <c r="GD23" s="195">
        <v>1.1574074074074075E-4</v>
      </c>
      <c r="GE23" s="194" t="s">
        <v>40</v>
      </c>
      <c r="GF23" s="195">
        <v>0.014456018518518519</v>
      </c>
      <c r="GG23" s="194" t="s">
        <v>19</v>
      </c>
      <c r="GH23" s="195">
        <v>0.06763888888888889</v>
      </c>
      <c r="GI23" s="185" t="s">
        <v>60</v>
      </c>
      <c r="GJ23" s="186">
        <v>0.35908564814814814</v>
      </c>
      <c r="GK23" s="185" t="s">
        <v>63</v>
      </c>
      <c r="GL23" s="186">
        <v>0.015</v>
      </c>
      <c r="GM23" s="185" t="s">
        <v>64</v>
      </c>
      <c r="GN23" s="186">
        <v>0.2042013888888889</v>
      </c>
      <c r="GO23" s="187" t="s">
        <v>62</v>
      </c>
      <c r="GP23" s="188">
        <v>0.24130787037037038</v>
      </c>
      <c r="GQ23" s="187" t="s">
        <v>65</v>
      </c>
      <c r="GR23" s="188">
        <v>0.1824537037037037</v>
      </c>
      <c r="GS23" s="187" t="s">
        <v>65</v>
      </c>
      <c r="GT23" s="188">
        <v>0.10733796296296297</v>
      </c>
      <c r="GU23" s="187" t="s">
        <v>58</v>
      </c>
      <c r="GV23" s="188">
        <v>0.0590162037037037</v>
      </c>
      <c r="GW23" s="190" t="s">
        <v>464</v>
      </c>
      <c r="GX23" s="191">
        <v>0.040625</v>
      </c>
      <c r="GY23" s="190" t="s">
        <v>464</v>
      </c>
      <c r="GZ23" s="191">
        <v>0.023564814814814816</v>
      </c>
      <c r="HA23" s="190" t="s">
        <v>20</v>
      </c>
      <c r="HB23" s="191">
        <v>0.3362847222222222</v>
      </c>
      <c r="HC23" s="190" t="s">
        <v>58</v>
      </c>
      <c r="HD23" s="191">
        <v>0.1766435185185185</v>
      </c>
      <c r="HE23" s="190" t="s">
        <v>75</v>
      </c>
      <c r="HF23" s="191">
        <v>0.0011342592592592593</v>
      </c>
      <c r="HG23" s="190" t="s">
        <v>464</v>
      </c>
      <c r="HH23" s="191">
        <v>0.08729166666666667</v>
      </c>
      <c r="HI23" s="190" t="s">
        <v>72</v>
      </c>
      <c r="HJ23" s="191">
        <v>0.009768518518518518</v>
      </c>
      <c r="HK23" s="190" t="s">
        <v>80</v>
      </c>
      <c r="HL23" s="191">
        <v>0.002650462962962963</v>
      </c>
      <c r="HM23" s="190" t="s">
        <v>89</v>
      </c>
      <c r="HN23" s="191">
        <v>0.05604166666666666</v>
      </c>
      <c r="HO23" s="190" t="s">
        <v>83</v>
      </c>
      <c r="HP23" s="191">
        <v>0.0042361111111111115</v>
      </c>
      <c r="HQ23" s="190" t="s">
        <v>75</v>
      </c>
      <c r="HR23" s="191">
        <v>0.008113425925925927</v>
      </c>
      <c r="HS23" s="190" t="s">
        <v>72</v>
      </c>
      <c r="HT23" s="191">
        <v>0.002534722222222222</v>
      </c>
      <c r="HU23" s="190" t="s">
        <v>71</v>
      </c>
      <c r="HV23" s="191">
        <v>0.006689814814814815</v>
      </c>
      <c r="HW23" s="190" t="s">
        <v>74</v>
      </c>
      <c r="HX23" s="191">
        <v>0.011354166666666667</v>
      </c>
      <c r="HY23" s="187"/>
      <c r="HZ23" s="187"/>
      <c r="IA23" s="187"/>
      <c r="IB23" s="187"/>
      <c r="IC23" s="187"/>
      <c r="ID23" s="187"/>
      <c r="IE23" s="196" t="s">
        <v>31</v>
      </c>
      <c r="IF23" s="197">
        <v>0.009722222222222222</v>
      </c>
      <c r="IG23" s="178"/>
      <c r="IH23" s="196" t="s">
        <v>428</v>
      </c>
      <c r="II23" s="197">
        <v>0.007824074074074074</v>
      </c>
      <c r="IJ23" s="178"/>
      <c r="IK23" s="196" t="s">
        <v>94</v>
      </c>
      <c r="IL23" s="197">
        <v>0.44785879629629627</v>
      </c>
      <c r="IM23" s="196" t="s">
        <v>89</v>
      </c>
      <c r="IN23" s="197">
        <v>0.027453703703703702</v>
      </c>
      <c r="IO23" s="196" t="s">
        <v>87</v>
      </c>
      <c r="IP23" s="197">
        <v>0.04204861111111111</v>
      </c>
      <c r="IQ23" s="178"/>
      <c r="IR23" s="196" t="s">
        <v>23</v>
      </c>
      <c r="IS23" s="197">
        <v>1.5046296296296297E-4</v>
      </c>
      <c r="IT23" s="178"/>
      <c r="IU23" s="196" t="s">
        <v>23</v>
      </c>
      <c r="IV23" s="197">
        <v>0.0012037037037037038</v>
      </c>
      <c r="IW23" s="178"/>
      <c r="IX23" s="196" t="s">
        <v>42</v>
      </c>
      <c r="IY23" s="197">
        <v>0.03509259259259259</v>
      </c>
      <c r="IZ23" s="187" t="s">
        <v>23</v>
      </c>
      <c r="JA23" s="188">
        <v>0.012094907407407407</v>
      </c>
      <c r="JB23" s="187" t="s">
        <v>94</v>
      </c>
      <c r="JC23" s="188">
        <v>0.10096064814814815</v>
      </c>
      <c r="JD23" s="178"/>
    </row>
    <row r="24">
      <c r="A24" s="193"/>
      <c r="B24" s="193"/>
      <c r="C24" s="193"/>
      <c r="D24" s="193"/>
      <c r="E24" s="193"/>
      <c r="F24" s="193"/>
      <c r="G24" s="193"/>
      <c r="H24" s="193"/>
      <c r="I24" s="193"/>
      <c r="J24" s="193"/>
      <c r="K24" s="193"/>
      <c r="L24" s="193"/>
      <c r="M24" s="193"/>
      <c r="N24" s="193"/>
      <c r="O24" s="194" t="s">
        <v>105</v>
      </c>
      <c r="P24" s="195">
        <v>0.0037731481481481483</v>
      </c>
      <c r="Q24" s="198" t="s">
        <v>93</v>
      </c>
      <c r="R24" s="199">
        <v>0.0023263888888888887</v>
      </c>
      <c r="S24" s="193"/>
      <c r="T24" s="193"/>
      <c r="U24" s="193"/>
      <c r="V24" s="193"/>
      <c r="W24" s="194"/>
      <c r="X24" s="195"/>
      <c r="Y24" s="193"/>
      <c r="Z24" s="193"/>
      <c r="AA24" s="194" t="s">
        <v>23</v>
      </c>
      <c r="AB24" s="195">
        <v>5.787037037037037E-4</v>
      </c>
      <c r="AC24" s="194" t="s">
        <v>23</v>
      </c>
      <c r="AD24" s="195">
        <v>8.564814814814815E-4</v>
      </c>
      <c r="AE24" s="194" t="s">
        <v>83</v>
      </c>
      <c r="AF24" s="195">
        <v>0.3283564814814815</v>
      </c>
      <c r="AG24" s="194" t="s">
        <v>59</v>
      </c>
      <c r="AH24" s="195">
        <v>0.006678240740740741</v>
      </c>
      <c r="AI24" s="194" t="s">
        <v>27</v>
      </c>
      <c r="AJ24" s="195">
        <v>0.010891203703703703</v>
      </c>
      <c r="AK24" s="194" t="s">
        <v>422</v>
      </c>
      <c r="AL24" s="195">
        <v>0.013217592592592593</v>
      </c>
      <c r="AM24" s="194" t="s">
        <v>92</v>
      </c>
      <c r="AN24" s="195">
        <v>0.003171296296296296</v>
      </c>
      <c r="AO24" s="194" t="s">
        <v>92</v>
      </c>
      <c r="AP24" s="195">
        <v>3.472222222222222E-5</v>
      </c>
      <c r="AQ24" s="194" t="s">
        <v>92</v>
      </c>
      <c r="AR24" s="195">
        <v>0.04950231481481481</v>
      </c>
      <c r="AS24" s="194" t="s">
        <v>27</v>
      </c>
      <c r="AT24" s="195">
        <v>0.03138888888888889</v>
      </c>
      <c r="AU24" s="194" t="s">
        <v>96</v>
      </c>
      <c r="AV24" s="195">
        <v>0.02917824074074074</v>
      </c>
      <c r="AW24" s="194" t="s">
        <v>422</v>
      </c>
      <c r="AX24" s="195">
        <v>0.001099537037037037</v>
      </c>
      <c r="AY24" s="194" t="s">
        <v>422</v>
      </c>
      <c r="AZ24" s="195">
        <v>0.0016550925925925926</v>
      </c>
      <c r="BA24" s="194" t="s">
        <v>422</v>
      </c>
      <c r="BB24" s="195">
        <v>0.025636574074074076</v>
      </c>
      <c r="BC24" s="194" t="s">
        <v>422</v>
      </c>
      <c r="BD24" s="195">
        <v>0.02329861111111111</v>
      </c>
      <c r="BE24" s="194" t="s">
        <v>422</v>
      </c>
      <c r="BF24" s="195">
        <v>0.008842592592592593</v>
      </c>
      <c r="BG24" s="194" t="s">
        <v>422</v>
      </c>
      <c r="BH24" s="195">
        <v>0.017488425925925925</v>
      </c>
      <c r="BI24" s="194" t="s">
        <v>422</v>
      </c>
      <c r="BJ24" s="195">
        <v>0.019895833333333335</v>
      </c>
      <c r="BK24" s="194" t="s">
        <v>422</v>
      </c>
      <c r="BL24" s="195">
        <v>0.07891203703703703</v>
      </c>
      <c r="BM24" s="194" t="s">
        <v>422</v>
      </c>
      <c r="BN24" s="195">
        <v>0.0565625</v>
      </c>
      <c r="BO24" s="194" t="s">
        <v>422</v>
      </c>
      <c r="BP24" s="195">
        <v>0.12081018518518519</v>
      </c>
      <c r="BQ24" s="194" t="s">
        <v>422</v>
      </c>
      <c r="BR24" s="195">
        <v>0.20607638888888888</v>
      </c>
      <c r="BS24" s="194" t="s">
        <v>422</v>
      </c>
      <c r="BT24" s="195">
        <v>0.17574074074074075</v>
      </c>
      <c r="BU24" s="194" t="s">
        <v>422</v>
      </c>
      <c r="BV24" s="195">
        <v>0.26762731481481483</v>
      </c>
      <c r="BW24" s="194" t="s">
        <v>422</v>
      </c>
      <c r="BX24" s="195">
        <v>0.27143518518518517</v>
      </c>
      <c r="BY24" s="194" t="s">
        <v>422</v>
      </c>
      <c r="BZ24" s="195">
        <v>0.27804398148148146</v>
      </c>
      <c r="CA24" s="194" t="s">
        <v>422</v>
      </c>
      <c r="CB24" s="195">
        <v>0.5046180555555555</v>
      </c>
      <c r="CC24" s="194" t="s">
        <v>422</v>
      </c>
      <c r="CD24" s="195">
        <v>0.4189699074074074</v>
      </c>
      <c r="CE24" s="194" t="s">
        <v>96</v>
      </c>
      <c r="CF24" s="195">
        <v>0.09387731481481482</v>
      </c>
      <c r="CG24" s="194" t="s">
        <v>422</v>
      </c>
      <c r="CH24" s="195">
        <v>0.29747685185185185</v>
      </c>
      <c r="CI24" s="194" t="s">
        <v>96</v>
      </c>
      <c r="CJ24" s="195">
        <v>0.023240740740740742</v>
      </c>
      <c r="CK24" s="194" t="s">
        <v>422</v>
      </c>
      <c r="CL24" s="195">
        <v>0.4105787037037037</v>
      </c>
      <c r="CM24" s="194" t="s">
        <v>422</v>
      </c>
      <c r="CN24" s="195">
        <v>0.25188657407407405</v>
      </c>
      <c r="CO24" s="194" t="s">
        <v>422</v>
      </c>
      <c r="CP24" s="195">
        <v>0.17467592592592593</v>
      </c>
      <c r="CQ24" s="194" t="s">
        <v>422</v>
      </c>
      <c r="CR24" s="195">
        <v>0.03543981481481481</v>
      </c>
      <c r="CS24" s="194" t="s">
        <v>422</v>
      </c>
      <c r="CT24" s="195">
        <v>0.06719907407407408</v>
      </c>
      <c r="CU24" s="194" t="s">
        <v>422</v>
      </c>
      <c r="CV24" s="195">
        <v>0.03326388888888889</v>
      </c>
      <c r="CW24" s="194" t="s">
        <v>422</v>
      </c>
      <c r="CX24" s="195">
        <v>0.042743055555555555</v>
      </c>
      <c r="CY24" s="194" t="s">
        <v>92</v>
      </c>
      <c r="CZ24" s="195">
        <v>0.07379629629629629</v>
      </c>
      <c r="DA24" s="194" t="s">
        <v>92</v>
      </c>
      <c r="DB24" s="195">
        <v>0.049965277777777775</v>
      </c>
      <c r="DC24" s="194" t="s">
        <v>96</v>
      </c>
      <c r="DD24" s="195">
        <v>0.02113425925925926</v>
      </c>
      <c r="DE24" s="194" t="s">
        <v>422</v>
      </c>
      <c r="DF24" s="195">
        <v>0.04811342592592593</v>
      </c>
      <c r="DG24" s="194" t="s">
        <v>422</v>
      </c>
      <c r="DH24" s="195">
        <v>3.238078703703704</v>
      </c>
      <c r="DI24" s="194" t="s">
        <v>25</v>
      </c>
      <c r="DJ24" s="195">
        <v>0.026493055555555554</v>
      </c>
      <c r="DK24" s="194" t="s">
        <v>18</v>
      </c>
      <c r="DL24" s="195">
        <v>0.021689814814814815</v>
      </c>
      <c r="DM24" s="194" t="s">
        <v>31</v>
      </c>
      <c r="DN24" s="195">
        <v>0.008576388888888889</v>
      </c>
      <c r="DO24" s="194" t="s">
        <v>21</v>
      </c>
      <c r="DP24" s="195">
        <v>0.008796296296296297</v>
      </c>
      <c r="DQ24" s="194" t="s">
        <v>31</v>
      </c>
      <c r="DR24" s="195">
        <v>0.019988425925925927</v>
      </c>
      <c r="DS24" s="194" t="s">
        <v>103</v>
      </c>
      <c r="DT24" s="195">
        <v>0.01824074074074074</v>
      </c>
      <c r="DU24" s="194" t="s">
        <v>78</v>
      </c>
      <c r="DV24" s="195">
        <v>0.014027777777777778</v>
      </c>
      <c r="DW24" s="194" t="s">
        <v>82</v>
      </c>
      <c r="DX24" s="195">
        <v>9.375E-4</v>
      </c>
      <c r="DY24" s="194" t="s">
        <v>105</v>
      </c>
      <c r="DZ24" s="195">
        <v>3.8194444444444446E-4</v>
      </c>
      <c r="EA24" s="194" t="s">
        <v>31</v>
      </c>
      <c r="EB24" s="195">
        <v>0.0013425925925925925</v>
      </c>
      <c r="EC24" s="194" t="s">
        <v>59</v>
      </c>
      <c r="ED24" s="195">
        <v>0.0026041666666666665</v>
      </c>
      <c r="EE24" s="194" t="s">
        <v>29</v>
      </c>
      <c r="EF24" s="195">
        <v>1.388888888888889E-4</v>
      </c>
      <c r="EG24" s="194" t="s">
        <v>102</v>
      </c>
      <c r="EH24" s="195">
        <v>0.0062037037037037035</v>
      </c>
      <c r="EI24" s="194" t="s">
        <v>464</v>
      </c>
      <c r="EJ24" s="195">
        <v>0.03914351851851852</v>
      </c>
      <c r="EK24" s="194" t="s">
        <v>82</v>
      </c>
      <c r="EL24" s="195">
        <v>6.712962962962962E-4</v>
      </c>
      <c r="EM24" s="194" t="s">
        <v>25</v>
      </c>
      <c r="EN24" s="195">
        <v>0.05292824074074074</v>
      </c>
      <c r="EO24" s="194" t="s">
        <v>428</v>
      </c>
      <c r="EP24" s="195">
        <v>0.004340277777777778</v>
      </c>
      <c r="EQ24" s="194" t="s">
        <v>44</v>
      </c>
      <c r="ER24" s="195">
        <v>0.015069444444444444</v>
      </c>
      <c r="ES24" s="194" t="s">
        <v>62</v>
      </c>
      <c r="ET24" s="195">
        <v>0.05677083333333333</v>
      </c>
      <c r="EU24" s="194" t="s">
        <v>25</v>
      </c>
      <c r="EV24" s="195">
        <v>0.04013888888888889</v>
      </c>
      <c r="EW24" s="194" t="s">
        <v>21</v>
      </c>
      <c r="EX24" s="195">
        <v>0.0033912037037037036</v>
      </c>
      <c r="EY24" s="194" t="s">
        <v>65</v>
      </c>
      <c r="EZ24" s="195">
        <v>0.0022222222222222222</v>
      </c>
      <c r="FA24" s="194" t="s">
        <v>82</v>
      </c>
      <c r="FB24" s="195">
        <v>4.166666666666667E-4</v>
      </c>
      <c r="FC24" s="194" t="s">
        <v>29</v>
      </c>
      <c r="FD24" s="195">
        <v>0.021087962962962965</v>
      </c>
      <c r="FE24" s="194" t="s">
        <v>82</v>
      </c>
      <c r="FF24" s="195">
        <v>0.017407407407407406</v>
      </c>
      <c r="FG24" s="194" t="s">
        <v>29</v>
      </c>
      <c r="FH24" s="195">
        <v>0.018136574074074076</v>
      </c>
      <c r="FI24" s="194" t="s">
        <v>82</v>
      </c>
      <c r="FJ24" s="195">
        <v>0.0196875</v>
      </c>
      <c r="FK24" s="194" t="s">
        <v>102</v>
      </c>
      <c r="FL24" s="195">
        <v>0.001585648148148148</v>
      </c>
      <c r="FM24" s="194" t="s">
        <v>44</v>
      </c>
      <c r="FN24" s="195">
        <v>1.7361111111111112E-4</v>
      </c>
      <c r="FO24" s="194" t="s">
        <v>43</v>
      </c>
      <c r="FP24" s="195">
        <v>0.015555555555555555</v>
      </c>
      <c r="FQ24" s="194" t="s">
        <v>29</v>
      </c>
      <c r="FR24" s="195">
        <v>0.010555555555555556</v>
      </c>
      <c r="FS24" s="194" t="s">
        <v>70</v>
      </c>
      <c r="FT24" s="195">
        <v>0.07644675925925926</v>
      </c>
      <c r="FU24" s="194" t="s">
        <v>70</v>
      </c>
      <c r="FV24" s="195">
        <v>0.02357638888888889</v>
      </c>
      <c r="FW24" s="194" t="s">
        <v>83</v>
      </c>
      <c r="FX24" s="195">
        <v>3.125E-4</v>
      </c>
      <c r="FY24" s="194" t="s">
        <v>36</v>
      </c>
      <c r="FZ24" s="195">
        <v>0.014328703703703703</v>
      </c>
      <c r="GA24" s="194" t="s">
        <v>465</v>
      </c>
      <c r="GB24" s="195">
        <v>0.004803240740740741</v>
      </c>
      <c r="GC24" s="194" t="s">
        <v>44</v>
      </c>
      <c r="GD24" s="195">
        <v>0.0010300925925925926</v>
      </c>
      <c r="GE24" s="194" t="s">
        <v>101</v>
      </c>
      <c r="GF24" s="195">
        <v>0.03184027777777778</v>
      </c>
      <c r="GG24" s="194" t="s">
        <v>97</v>
      </c>
      <c r="GH24" s="195">
        <v>0.01150462962962963</v>
      </c>
      <c r="GI24" s="185" t="s">
        <v>62</v>
      </c>
      <c r="GJ24" s="186">
        <v>0.3819328703703704</v>
      </c>
      <c r="GK24" s="185" t="s">
        <v>64</v>
      </c>
      <c r="GL24" s="186">
        <v>0.30128472222222225</v>
      </c>
      <c r="GM24" s="185" t="s">
        <v>65</v>
      </c>
      <c r="GN24" s="186">
        <v>0.1616087962962963</v>
      </c>
      <c r="GO24" s="187" t="s">
        <v>64</v>
      </c>
      <c r="GP24" s="188">
        <v>0.4878472222222222</v>
      </c>
      <c r="GQ24" s="187" t="s">
        <v>464</v>
      </c>
      <c r="GR24" s="188">
        <v>0.3243171296296296</v>
      </c>
      <c r="GS24" s="187" t="s">
        <v>464</v>
      </c>
      <c r="GT24" s="188">
        <v>0.34335648148148146</v>
      </c>
      <c r="GU24" s="187" t="s">
        <v>62</v>
      </c>
      <c r="GV24" s="188">
        <v>0.2737384259259259</v>
      </c>
      <c r="GW24" s="190" t="s">
        <v>72</v>
      </c>
      <c r="GX24" s="191">
        <v>1.9675925925925926E-4</v>
      </c>
      <c r="GY24" s="190" t="s">
        <v>70</v>
      </c>
      <c r="GZ24" s="191">
        <v>0.012777777777777779</v>
      </c>
      <c r="HA24" s="190" t="s">
        <v>55</v>
      </c>
      <c r="HB24" s="191">
        <v>0.035347222222222224</v>
      </c>
      <c r="HC24" s="190" t="s">
        <v>59</v>
      </c>
      <c r="HD24" s="191">
        <v>2.0833333333333335E-4</v>
      </c>
      <c r="HE24" s="190" t="s">
        <v>42</v>
      </c>
      <c r="HF24" s="191">
        <v>0.017962962962962962</v>
      </c>
      <c r="HG24" s="190" t="s">
        <v>70</v>
      </c>
      <c r="HH24" s="191">
        <v>0.012847222222222222</v>
      </c>
      <c r="HI24" s="190" t="s">
        <v>73</v>
      </c>
      <c r="HJ24" s="191">
        <v>0.029502314814814815</v>
      </c>
      <c r="HK24" s="190" t="s">
        <v>82</v>
      </c>
      <c r="HL24" s="191">
        <v>0.0028356481481481483</v>
      </c>
      <c r="HM24" s="190" t="s">
        <v>90</v>
      </c>
      <c r="HN24" s="191">
        <v>0.0766087962962963</v>
      </c>
      <c r="HO24" s="190" t="s">
        <v>36</v>
      </c>
      <c r="HP24" s="191">
        <v>0.11535879629629629</v>
      </c>
      <c r="HQ24" s="190" t="s">
        <v>425</v>
      </c>
      <c r="HR24" s="191">
        <v>0.004479166666666667</v>
      </c>
      <c r="HS24" s="190" t="s">
        <v>73</v>
      </c>
      <c r="HT24" s="191">
        <v>0.01885416666666667</v>
      </c>
      <c r="HU24" s="190" t="s">
        <v>72</v>
      </c>
      <c r="HV24" s="191">
        <v>0.00587962962962963</v>
      </c>
      <c r="HW24" s="190" t="s">
        <v>75</v>
      </c>
      <c r="HX24" s="191">
        <v>0.01726851851851852</v>
      </c>
      <c r="HY24" s="187"/>
      <c r="HZ24" s="187"/>
      <c r="IA24" s="187"/>
      <c r="IB24" s="187"/>
      <c r="IC24" s="187"/>
      <c r="ID24" s="187"/>
      <c r="IE24" s="196" t="s">
        <v>43</v>
      </c>
      <c r="IF24" s="197">
        <v>0.07358796296296297</v>
      </c>
      <c r="IG24" s="178"/>
      <c r="IH24" s="196" t="s">
        <v>99</v>
      </c>
      <c r="II24" s="197">
        <v>0.4466203703703704</v>
      </c>
      <c r="IJ24" s="178"/>
      <c r="IK24" s="196" t="s">
        <v>95</v>
      </c>
      <c r="IL24" s="197">
        <v>0.12674768518518517</v>
      </c>
      <c r="IM24" s="196" t="s">
        <v>90</v>
      </c>
      <c r="IN24" s="197">
        <v>0.05181712962962963</v>
      </c>
      <c r="IO24" s="196" t="s">
        <v>89</v>
      </c>
      <c r="IP24" s="197">
        <v>0.013564814814814814</v>
      </c>
      <c r="IQ24" s="178"/>
      <c r="IR24" s="196" t="s">
        <v>87</v>
      </c>
      <c r="IS24" s="197">
        <v>0.006712962962962963</v>
      </c>
      <c r="IT24" s="178"/>
      <c r="IU24" s="196" t="s">
        <v>87</v>
      </c>
      <c r="IV24" s="197">
        <v>0.023101851851851853</v>
      </c>
      <c r="IW24" s="178"/>
      <c r="IX24" s="196" t="s">
        <v>82</v>
      </c>
      <c r="IY24" s="197">
        <v>0.010787037037037038</v>
      </c>
      <c r="IZ24" s="187" t="s">
        <v>87</v>
      </c>
      <c r="JA24" s="188">
        <v>0.03966435185185185</v>
      </c>
      <c r="JB24" s="187" t="s">
        <v>95</v>
      </c>
      <c r="JC24" s="188">
        <v>0.3096875</v>
      </c>
      <c r="JD24" s="178"/>
    </row>
    <row r="25">
      <c r="A25" s="193"/>
      <c r="B25" s="193"/>
      <c r="C25" s="193"/>
      <c r="D25" s="193"/>
      <c r="E25" s="193"/>
      <c r="F25" s="193"/>
      <c r="G25" s="193"/>
      <c r="H25" s="193"/>
      <c r="I25" s="193"/>
      <c r="J25" s="193"/>
      <c r="K25" s="193"/>
      <c r="L25" s="193"/>
      <c r="M25" s="193"/>
      <c r="N25" s="193"/>
      <c r="O25" s="194" t="s">
        <v>83</v>
      </c>
      <c r="P25" s="195">
        <v>1.9675925925925926E-4</v>
      </c>
      <c r="Q25" s="193"/>
      <c r="R25" s="193"/>
      <c r="S25" s="193"/>
      <c r="T25" s="193"/>
      <c r="U25" s="193"/>
      <c r="V25" s="193"/>
      <c r="W25" s="194"/>
      <c r="X25" s="195"/>
      <c r="Y25" s="193"/>
      <c r="Z25" s="193"/>
      <c r="AA25" s="194" t="s">
        <v>83</v>
      </c>
      <c r="AB25" s="195">
        <v>0.03207175925925926</v>
      </c>
      <c r="AC25" s="194" t="s">
        <v>41</v>
      </c>
      <c r="AD25" s="195">
        <v>2.0833333333333335E-4</v>
      </c>
      <c r="AE25" s="194" t="s">
        <v>64</v>
      </c>
      <c r="AF25" s="195">
        <v>6.944444444444445E-4</v>
      </c>
      <c r="AG25" s="194" t="s">
        <v>428</v>
      </c>
      <c r="AH25" s="195">
        <v>0.013668981481481482</v>
      </c>
      <c r="AI25" s="194" t="s">
        <v>92</v>
      </c>
      <c r="AJ25" s="195">
        <v>0.01193287037037037</v>
      </c>
      <c r="AK25" s="194" t="s">
        <v>96</v>
      </c>
      <c r="AL25" s="195">
        <v>0.04085648148148148</v>
      </c>
      <c r="AM25" s="194" t="s">
        <v>97</v>
      </c>
      <c r="AN25" s="195">
        <v>0.06643518518518518</v>
      </c>
      <c r="AO25" s="194" t="s">
        <v>19</v>
      </c>
      <c r="AP25" s="195">
        <v>1.8518518518518518E-4</v>
      </c>
      <c r="AQ25" s="194" t="s">
        <v>19</v>
      </c>
      <c r="AR25" s="195">
        <v>1.1574074074074073E-5</v>
      </c>
      <c r="AS25" s="194" t="s">
        <v>92</v>
      </c>
      <c r="AT25" s="195">
        <v>0.12814814814814815</v>
      </c>
      <c r="AU25" s="194" t="s">
        <v>27</v>
      </c>
      <c r="AV25" s="195">
        <v>0.0687962962962963</v>
      </c>
      <c r="AW25" s="194" t="s">
        <v>96</v>
      </c>
      <c r="AX25" s="195">
        <v>0.06108796296296296</v>
      </c>
      <c r="AY25" s="194" t="s">
        <v>96</v>
      </c>
      <c r="AZ25" s="195">
        <v>0.4847337962962963</v>
      </c>
      <c r="BA25" s="194" t="s">
        <v>96</v>
      </c>
      <c r="BB25" s="195">
        <v>0.8219444444444445</v>
      </c>
      <c r="BC25" s="194" t="s">
        <v>96</v>
      </c>
      <c r="BD25" s="195">
        <v>1.4045138888888888</v>
      </c>
      <c r="BE25" s="194" t="s">
        <v>96</v>
      </c>
      <c r="BF25" s="195">
        <v>0.8778472222222222</v>
      </c>
      <c r="BG25" s="194" t="s">
        <v>96</v>
      </c>
      <c r="BH25" s="195">
        <v>0.5730555555555555</v>
      </c>
      <c r="BI25" s="194" t="s">
        <v>96</v>
      </c>
      <c r="BJ25" s="195">
        <v>0.3886574074074074</v>
      </c>
      <c r="BK25" s="194" t="s">
        <v>96</v>
      </c>
      <c r="BL25" s="195">
        <v>0.1960300925925926</v>
      </c>
      <c r="BM25" s="194" t="s">
        <v>96</v>
      </c>
      <c r="BN25" s="195">
        <v>0.27034722222222224</v>
      </c>
      <c r="BO25" s="194" t="s">
        <v>96</v>
      </c>
      <c r="BP25" s="195">
        <v>0.2371412037037037</v>
      </c>
      <c r="BQ25" s="194" t="s">
        <v>96</v>
      </c>
      <c r="BR25" s="195">
        <v>0.14780092592592592</v>
      </c>
      <c r="BS25" s="194" t="s">
        <v>96</v>
      </c>
      <c r="BT25" s="195">
        <v>0.10212962962962963</v>
      </c>
      <c r="BU25" s="194" t="s">
        <v>96</v>
      </c>
      <c r="BV25" s="195">
        <v>0.06810185185185186</v>
      </c>
      <c r="BW25" s="194" t="s">
        <v>96</v>
      </c>
      <c r="BX25" s="195">
        <v>0.12048611111111111</v>
      </c>
      <c r="BY25" s="194" t="s">
        <v>96</v>
      </c>
      <c r="BZ25" s="195">
        <v>0.12789351851851852</v>
      </c>
      <c r="CA25" s="194" t="s">
        <v>96</v>
      </c>
      <c r="CB25" s="195">
        <v>0.02784722222222222</v>
      </c>
      <c r="CC25" s="194" t="s">
        <v>96</v>
      </c>
      <c r="CD25" s="195">
        <v>0.06319444444444444</v>
      </c>
      <c r="CE25" s="194" t="s">
        <v>27</v>
      </c>
      <c r="CF25" s="195">
        <v>0.10528935185185186</v>
      </c>
      <c r="CG25" s="194" t="s">
        <v>96</v>
      </c>
      <c r="CH25" s="195">
        <v>0.02125</v>
      </c>
      <c r="CI25" s="194" t="s">
        <v>27</v>
      </c>
      <c r="CJ25" s="195">
        <v>0.0</v>
      </c>
      <c r="CK25" s="194" t="s">
        <v>96</v>
      </c>
      <c r="CL25" s="195">
        <v>0.032233796296296295</v>
      </c>
      <c r="CM25" s="194" t="s">
        <v>96</v>
      </c>
      <c r="CN25" s="195">
        <v>0.031226851851851853</v>
      </c>
      <c r="CO25" s="194" t="s">
        <v>96</v>
      </c>
      <c r="CP25" s="195">
        <v>0.0790162037037037</v>
      </c>
      <c r="CQ25" s="194" t="s">
        <v>96</v>
      </c>
      <c r="CR25" s="195">
        <v>0.03048611111111111</v>
      </c>
      <c r="CS25" s="194" t="s">
        <v>96</v>
      </c>
      <c r="CT25" s="195">
        <v>0.027256944444444445</v>
      </c>
      <c r="CU25" s="194" t="s">
        <v>96</v>
      </c>
      <c r="CV25" s="195">
        <v>0.05630787037037037</v>
      </c>
      <c r="CW25" s="194" t="s">
        <v>27</v>
      </c>
      <c r="CX25" s="195">
        <v>0.012326388888888888</v>
      </c>
      <c r="CY25" s="194" t="s">
        <v>19</v>
      </c>
      <c r="CZ25" s="195">
        <v>0.09193287037037037</v>
      </c>
      <c r="DA25" s="194" t="s">
        <v>19</v>
      </c>
      <c r="DB25" s="195">
        <v>0.06025462962962963</v>
      </c>
      <c r="DC25" s="194" t="s">
        <v>27</v>
      </c>
      <c r="DD25" s="195">
        <v>0.0</v>
      </c>
      <c r="DE25" s="194" t="s">
        <v>96</v>
      </c>
      <c r="DF25" s="195">
        <v>0.020324074074074074</v>
      </c>
      <c r="DG25" s="194" t="s">
        <v>96</v>
      </c>
      <c r="DH25" s="195">
        <v>2.663946759259259</v>
      </c>
      <c r="DI25" s="194" t="s">
        <v>82</v>
      </c>
      <c r="DJ25" s="195">
        <v>0.010462962962962962</v>
      </c>
      <c r="DK25" s="194" t="s">
        <v>91</v>
      </c>
      <c r="DL25" s="195">
        <v>0.001412037037037037</v>
      </c>
      <c r="DM25" s="194" t="s">
        <v>25</v>
      </c>
      <c r="DN25" s="195">
        <v>0.12100694444444444</v>
      </c>
      <c r="DO25" s="194" t="s">
        <v>31</v>
      </c>
      <c r="DP25" s="195">
        <v>0.023773148148148147</v>
      </c>
      <c r="DQ25" s="194" t="s">
        <v>25</v>
      </c>
      <c r="DR25" s="195">
        <v>0.5154398148148148</v>
      </c>
      <c r="DS25" s="194" t="s">
        <v>82</v>
      </c>
      <c r="DT25" s="195">
        <v>0.007025462962962963</v>
      </c>
      <c r="DU25" s="194" t="s">
        <v>21</v>
      </c>
      <c r="DV25" s="195">
        <v>0.0014351851851851852</v>
      </c>
      <c r="DW25" s="194" t="s">
        <v>90</v>
      </c>
      <c r="DX25" s="195">
        <v>0.06259259259259259</v>
      </c>
      <c r="DY25" s="194" t="s">
        <v>83</v>
      </c>
      <c r="DZ25" s="195">
        <v>0.011620370370370371</v>
      </c>
      <c r="EA25" s="194" t="s">
        <v>25</v>
      </c>
      <c r="EB25" s="195">
        <v>0.3425462962962963</v>
      </c>
      <c r="EC25" s="194" t="s">
        <v>428</v>
      </c>
      <c r="ED25" s="195">
        <v>0.024212962962962964</v>
      </c>
      <c r="EE25" s="194" t="s">
        <v>62</v>
      </c>
      <c r="EF25" s="195">
        <v>0.009432870370370371</v>
      </c>
      <c r="EG25" s="194" t="s">
        <v>428</v>
      </c>
      <c r="EH25" s="195">
        <v>0.08361111111111111</v>
      </c>
      <c r="EI25" s="194" t="s">
        <v>465</v>
      </c>
      <c r="EJ25" s="195">
        <v>0.03960648148148148</v>
      </c>
      <c r="EK25" s="194" t="s">
        <v>90</v>
      </c>
      <c r="EL25" s="195">
        <v>0.15222222222222223</v>
      </c>
      <c r="EM25" s="194" t="s">
        <v>103</v>
      </c>
      <c r="EN25" s="195">
        <v>0.02207175925925926</v>
      </c>
      <c r="EO25" s="194" t="s">
        <v>78</v>
      </c>
      <c r="EP25" s="195">
        <v>0.0039004629629629628</v>
      </c>
      <c r="EQ25" s="194" t="s">
        <v>59</v>
      </c>
      <c r="ER25" s="195">
        <v>0.026805555555555555</v>
      </c>
      <c r="ES25" s="194" t="s">
        <v>31</v>
      </c>
      <c r="ET25" s="195">
        <v>0.02585648148148148</v>
      </c>
      <c r="EU25" s="194" t="s">
        <v>103</v>
      </c>
      <c r="EV25" s="195">
        <v>0.009548611111111112</v>
      </c>
      <c r="EW25" s="194" t="s">
        <v>29</v>
      </c>
      <c r="EX25" s="195">
        <v>0.010277777777777778</v>
      </c>
      <c r="EY25" s="194" t="s">
        <v>87</v>
      </c>
      <c r="EZ25" s="195">
        <v>3.935185185185185E-4</v>
      </c>
      <c r="FA25" s="194" t="s">
        <v>90</v>
      </c>
      <c r="FB25" s="195">
        <v>0.009143518518518518</v>
      </c>
      <c r="FC25" s="194" t="s">
        <v>25</v>
      </c>
      <c r="FD25" s="195">
        <v>0.02101851851851852</v>
      </c>
      <c r="FE25" s="194" t="s">
        <v>90</v>
      </c>
      <c r="FF25" s="195">
        <v>0.02221064814814815</v>
      </c>
      <c r="FG25" s="194" t="s">
        <v>62</v>
      </c>
      <c r="FH25" s="195">
        <v>0.018333333333333333</v>
      </c>
      <c r="FI25" s="194" t="s">
        <v>464</v>
      </c>
      <c r="FJ25" s="195">
        <v>0.0878125</v>
      </c>
      <c r="FK25" s="194" t="s">
        <v>428</v>
      </c>
      <c r="FL25" s="195">
        <v>0.03295138888888889</v>
      </c>
      <c r="FM25" s="194" t="s">
        <v>102</v>
      </c>
      <c r="FN25" s="195">
        <v>5.324074074074074E-4</v>
      </c>
      <c r="FO25" s="194" t="s">
        <v>99</v>
      </c>
      <c r="FP25" s="195">
        <v>0.0013078703703703703</v>
      </c>
      <c r="FQ25" s="194" t="s">
        <v>51</v>
      </c>
      <c r="FR25" s="195">
        <v>0.001388888888888889</v>
      </c>
      <c r="FS25" s="194" t="s">
        <v>44</v>
      </c>
      <c r="FT25" s="195">
        <v>4.2824074074074075E-4</v>
      </c>
      <c r="FU25" s="194" t="s">
        <v>102</v>
      </c>
      <c r="FV25" s="195">
        <v>0.015358796296296296</v>
      </c>
      <c r="FW25" s="194" t="s">
        <v>32</v>
      </c>
      <c r="FX25" s="195">
        <v>0.007083333333333333</v>
      </c>
      <c r="FY25" s="194" t="s">
        <v>33</v>
      </c>
      <c r="FZ25" s="195">
        <v>0.0026967592592592594</v>
      </c>
      <c r="GA25" s="194" t="s">
        <v>23</v>
      </c>
      <c r="GB25" s="195">
        <v>0.010405092592592593</v>
      </c>
      <c r="GC25" s="194" t="s">
        <v>59</v>
      </c>
      <c r="GD25" s="195">
        <v>0.04488425925925926</v>
      </c>
      <c r="GE25" s="194" t="s">
        <v>59</v>
      </c>
      <c r="GF25" s="195">
        <v>0.052523148148148145</v>
      </c>
      <c r="GG25" s="194" t="s">
        <v>50</v>
      </c>
      <c r="GH25" s="195">
        <v>0.03142361111111111</v>
      </c>
      <c r="GI25" s="185" t="s">
        <v>64</v>
      </c>
      <c r="GJ25" s="186">
        <v>0.2955787037037037</v>
      </c>
      <c r="GK25" s="185" t="s">
        <v>65</v>
      </c>
      <c r="GL25" s="186">
        <v>0.12902777777777777</v>
      </c>
      <c r="GM25" s="185" t="s">
        <v>464</v>
      </c>
      <c r="GN25" s="186">
        <v>0.22528935185185187</v>
      </c>
      <c r="GO25" s="187" t="s">
        <v>65</v>
      </c>
      <c r="GP25" s="188">
        <v>0.23328703703703704</v>
      </c>
      <c r="GQ25" s="187" t="s">
        <v>72</v>
      </c>
      <c r="GR25" s="188">
        <v>7.291666666666667E-4</v>
      </c>
      <c r="GS25" s="187" t="s">
        <v>72</v>
      </c>
      <c r="GT25" s="188">
        <v>1.5046296296296297E-4</v>
      </c>
      <c r="GU25" s="187" t="s">
        <v>64</v>
      </c>
      <c r="GV25" s="188">
        <v>0.0946412037037037</v>
      </c>
      <c r="GW25" s="190" t="s">
        <v>73</v>
      </c>
      <c r="GX25" s="191">
        <v>0.10556712962962964</v>
      </c>
      <c r="GY25" s="190" t="s">
        <v>72</v>
      </c>
      <c r="GZ25" s="191">
        <v>0.008263888888888888</v>
      </c>
      <c r="HA25" s="190" t="s">
        <v>58</v>
      </c>
      <c r="HB25" s="191">
        <v>0.29920138888888886</v>
      </c>
      <c r="HC25" s="190" t="s">
        <v>62</v>
      </c>
      <c r="HD25" s="191">
        <v>0.2732060185185185</v>
      </c>
      <c r="HE25" s="190" t="s">
        <v>80</v>
      </c>
      <c r="HF25" s="191">
        <v>0.002361111111111111</v>
      </c>
      <c r="HG25" s="190" t="s">
        <v>72</v>
      </c>
      <c r="HH25" s="191">
        <v>6.365740740740741E-4</v>
      </c>
      <c r="HI25" s="190" t="s">
        <v>74</v>
      </c>
      <c r="HJ25" s="191">
        <v>0.031099537037037037</v>
      </c>
      <c r="HK25" s="190" t="s">
        <v>36</v>
      </c>
      <c r="HL25" s="191">
        <v>0.07995370370370371</v>
      </c>
      <c r="HM25" s="190" t="s">
        <v>426</v>
      </c>
      <c r="HN25" s="191">
        <v>0.05430555555555556</v>
      </c>
      <c r="HO25" s="190" t="s">
        <v>84</v>
      </c>
      <c r="HP25" s="191">
        <v>0.019560185185185184</v>
      </c>
      <c r="HQ25" s="190" t="s">
        <v>42</v>
      </c>
      <c r="HR25" s="191">
        <v>0.02087962962962963</v>
      </c>
      <c r="HS25" s="190" t="s">
        <v>74</v>
      </c>
      <c r="HT25" s="191">
        <v>0.024895833333333332</v>
      </c>
      <c r="HU25" s="190" t="s">
        <v>73</v>
      </c>
      <c r="HV25" s="191">
        <v>0.07813657407407408</v>
      </c>
      <c r="HW25" s="190" t="s">
        <v>82</v>
      </c>
      <c r="HX25" s="191">
        <v>0.06564814814814815</v>
      </c>
      <c r="HY25" s="187"/>
      <c r="HZ25" s="187"/>
      <c r="IA25" s="187"/>
      <c r="IB25" s="187"/>
      <c r="IC25" s="187"/>
      <c r="ID25" s="187"/>
      <c r="IE25" s="196" t="s">
        <v>99</v>
      </c>
      <c r="IF25" s="200">
        <v>1.0689236111111111</v>
      </c>
      <c r="IG25" s="178"/>
      <c r="IH25" s="196" t="s">
        <v>61</v>
      </c>
      <c r="II25" s="200">
        <v>0.013113425925925926</v>
      </c>
      <c r="IJ25" s="178"/>
      <c r="IK25" s="196" t="s">
        <v>92</v>
      </c>
      <c r="IL25" s="197">
        <v>0.01752314814814815</v>
      </c>
      <c r="IM25" s="196" t="s">
        <v>426</v>
      </c>
      <c r="IN25" s="197">
        <v>0.07464120370370371</v>
      </c>
      <c r="IO25" s="196" t="s">
        <v>90</v>
      </c>
      <c r="IP25" s="197">
        <v>0.12555555555555556</v>
      </c>
      <c r="IQ25" s="178"/>
      <c r="IR25" s="196" t="s">
        <v>89</v>
      </c>
      <c r="IS25" s="197">
        <v>0.05228009259259259</v>
      </c>
      <c r="IT25" s="178"/>
      <c r="IU25" s="196" t="s">
        <v>89</v>
      </c>
      <c r="IV25" s="197">
        <v>0.04805555555555555</v>
      </c>
      <c r="IW25" s="178"/>
      <c r="IX25" s="196" t="s">
        <v>36</v>
      </c>
      <c r="IY25" s="197">
        <v>0.06378472222222223</v>
      </c>
      <c r="IZ25" s="187" t="s">
        <v>89</v>
      </c>
      <c r="JA25" s="188">
        <v>0.013078703703703703</v>
      </c>
      <c r="JB25" s="187" t="s">
        <v>97</v>
      </c>
      <c r="JC25" s="188">
        <v>0.0687962962962963</v>
      </c>
      <c r="JD25" s="178"/>
    </row>
    <row r="26">
      <c r="A26" s="193"/>
      <c r="B26" s="193"/>
      <c r="C26" s="193"/>
      <c r="D26" s="193"/>
      <c r="E26" s="193"/>
      <c r="F26" s="193"/>
      <c r="G26" s="193"/>
      <c r="H26" s="193"/>
      <c r="I26" s="193"/>
      <c r="J26" s="193"/>
      <c r="K26" s="193"/>
      <c r="L26" s="193"/>
      <c r="M26" s="193"/>
      <c r="N26" s="193"/>
      <c r="O26" s="194" t="s">
        <v>22</v>
      </c>
      <c r="P26" s="195">
        <v>0.0019212962962962964</v>
      </c>
      <c r="Q26" s="193"/>
      <c r="R26" s="193"/>
      <c r="S26" s="193"/>
      <c r="T26" s="193"/>
      <c r="U26" s="193"/>
      <c r="V26" s="193"/>
      <c r="W26" s="194"/>
      <c r="X26" s="195"/>
      <c r="Y26" s="193"/>
      <c r="Z26" s="193"/>
      <c r="AA26" s="194" t="s">
        <v>8</v>
      </c>
      <c r="AB26" s="195">
        <v>0.0010300925925925926</v>
      </c>
      <c r="AC26" s="194" t="s">
        <v>83</v>
      </c>
      <c r="AD26" s="195">
        <v>0.0077546296296296295</v>
      </c>
      <c r="AE26" s="194" t="s">
        <v>71</v>
      </c>
      <c r="AF26" s="195">
        <v>0.0029976851851851853</v>
      </c>
      <c r="AG26" s="194" t="s">
        <v>60</v>
      </c>
      <c r="AH26" s="195">
        <v>0.046469907407407404</v>
      </c>
      <c r="AI26" s="194" t="s">
        <v>80</v>
      </c>
      <c r="AJ26" s="195">
        <v>0.045891203703703705</v>
      </c>
      <c r="AK26" s="194" t="s">
        <v>27</v>
      </c>
      <c r="AL26" s="195">
        <v>0.0032523148148148147</v>
      </c>
      <c r="AM26" s="194" t="s">
        <v>80</v>
      </c>
      <c r="AN26" s="195">
        <v>0.06236111111111111</v>
      </c>
      <c r="AO26" s="194" t="s">
        <v>97</v>
      </c>
      <c r="AP26" s="195">
        <v>0.11009259259259259</v>
      </c>
      <c r="AQ26" s="194" t="s">
        <v>97</v>
      </c>
      <c r="AR26" s="195">
        <v>0.06939814814814815</v>
      </c>
      <c r="AS26" s="194" t="s">
        <v>97</v>
      </c>
      <c r="AT26" s="195">
        <v>0.09959490740740741</v>
      </c>
      <c r="AU26" s="194" t="s">
        <v>92</v>
      </c>
      <c r="AV26" s="195">
        <v>0.3585300925925926</v>
      </c>
      <c r="AW26" s="194" t="s">
        <v>27</v>
      </c>
      <c r="AX26" s="195">
        <v>0.02290509259259259</v>
      </c>
      <c r="AY26" s="194" t="s">
        <v>27</v>
      </c>
      <c r="AZ26" s="195">
        <v>0.022962962962962963</v>
      </c>
      <c r="BA26" s="194" t="s">
        <v>27</v>
      </c>
      <c r="BB26" s="195">
        <v>0.028680555555555556</v>
      </c>
      <c r="BC26" s="194" t="s">
        <v>27</v>
      </c>
      <c r="BD26" s="195">
        <v>0.07850694444444445</v>
      </c>
      <c r="BE26" s="194" t="s">
        <v>27</v>
      </c>
      <c r="BF26" s="195">
        <v>0.15097222222222223</v>
      </c>
      <c r="BG26" s="194" t="s">
        <v>27</v>
      </c>
      <c r="BH26" s="195">
        <v>0.2101851851851852</v>
      </c>
      <c r="BI26" s="194" t="s">
        <v>27</v>
      </c>
      <c r="BJ26" s="195">
        <v>0.45175925925925925</v>
      </c>
      <c r="BK26" s="194" t="s">
        <v>27</v>
      </c>
      <c r="BL26" s="195">
        <v>0.6517824074074074</v>
      </c>
      <c r="BM26" s="194" t="s">
        <v>27</v>
      </c>
      <c r="BN26" s="195">
        <v>1.209675925925926</v>
      </c>
      <c r="BO26" s="194" t="s">
        <v>27</v>
      </c>
      <c r="BP26" s="195">
        <v>1.635162037037037</v>
      </c>
      <c r="BQ26" s="194" t="s">
        <v>27</v>
      </c>
      <c r="BR26" s="195">
        <v>1.015798611111111</v>
      </c>
      <c r="BS26" s="194" t="s">
        <v>27</v>
      </c>
      <c r="BT26" s="195">
        <v>0.3957407407407407</v>
      </c>
      <c r="BU26" s="194" t="s">
        <v>27</v>
      </c>
      <c r="BV26" s="195">
        <v>0.36569444444444443</v>
      </c>
      <c r="BW26" s="194" t="s">
        <v>27</v>
      </c>
      <c r="BX26" s="195">
        <v>0.14952546296296296</v>
      </c>
      <c r="BY26" s="194" t="s">
        <v>27</v>
      </c>
      <c r="BZ26" s="195">
        <v>0.10971064814814815</v>
      </c>
      <c r="CA26" s="194" t="s">
        <v>27</v>
      </c>
      <c r="CB26" s="195">
        <v>0.0857175925925926</v>
      </c>
      <c r="CC26" s="194" t="s">
        <v>27</v>
      </c>
      <c r="CD26" s="195">
        <v>0.10972222222222222</v>
      </c>
      <c r="CE26" s="194" t="s">
        <v>92</v>
      </c>
      <c r="CF26" s="195">
        <v>0.13349537037037038</v>
      </c>
      <c r="CG26" s="194" t="s">
        <v>27</v>
      </c>
      <c r="CH26" s="195">
        <v>0.0</v>
      </c>
      <c r="CI26" s="194" t="s">
        <v>92</v>
      </c>
      <c r="CJ26" s="195">
        <v>0.0753587962962963</v>
      </c>
      <c r="CK26" s="194" t="s">
        <v>27</v>
      </c>
      <c r="CL26" s="195">
        <v>0.0015277777777777779</v>
      </c>
      <c r="CM26" s="194" t="s">
        <v>27</v>
      </c>
      <c r="CN26" s="195">
        <v>0.01324074074074074</v>
      </c>
      <c r="CO26" s="194" t="s">
        <v>27</v>
      </c>
      <c r="CP26" s="195">
        <v>0.05604166666666666</v>
      </c>
      <c r="CQ26" s="194" t="s">
        <v>27</v>
      </c>
      <c r="CR26" s="195">
        <v>0.002476851851851852</v>
      </c>
      <c r="CS26" s="194" t="s">
        <v>27</v>
      </c>
      <c r="CT26" s="195">
        <v>0.02050925925925926</v>
      </c>
      <c r="CU26" s="194" t="s">
        <v>27</v>
      </c>
      <c r="CV26" s="195">
        <v>0.03229166666666667</v>
      </c>
      <c r="CW26" s="194" t="s">
        <v>92</v>
      </c>
      <c r="CX26" s="195">
        <v>0.08387731481481482</v>
      </c>
      <c r="CY26" s="194" t="s">
        <v>97</v>
      </c>
      <c r="CZ26" s="195">
        <v>0.08984953703703703</v>
      </c>
      <c r="DA26" s="194" t="s">
        <v>97</v>
      </c>
      <c r="DB26" s="195">
        <v>0.05625</v>
      </c>
      <c r="DC26" s="194" t="s">
        <v>92</v>
      </c>
      <c r="DD26" s="195">
        <v>0.061967592592592595</v>
      </c>
      <c r="DE26" s="194" t="s">
        <v>27</v>
      </c>
      <c r="DF26" s="195">
        <v>0.013159722222222222</v>
      </c>
      <c r="DG26" s="194" t="s">
        <v>27</v>
      </c>
      <c r="DH26" s="195">
        <v>3.897731481481482</v>
      </c>
      <c r="DI26" s="194" t="s">
        <v>18</v>
      </c>
      <c r="DJ26" s="195">
        <v>0.025231481481481483</v>
      </c>
      <c r="DK26" s="194" t="s">
        <v>464</v>
      </c>
      <c r="DL26" s="195">
        <v>0.008333333333333333</v>
      </c>
      <c r="DM26" s="194" t="s">
        <v>103</v>
      </c>
      <c r="DN26" s="195">
        <v>0.023287037037037037</v>
      </c>
      <c r="DO26" s="194" t="s">
        <v>25</v>
      </c>
      <c r="DP26" s="195">
        <v>0.37903935185185184</v>
      </c>
      <c r="DQ26" s="194" t="s">
        <v>103</v>
      </c>
      <c r="DR26" s="195">
        <v>0.07983796296296296</v>
      </c>
      <c r="DS26" s="194" t="s">
        <v>18</v>
      </c>
      <c r="DT26" s="195">
        <v>0.02236111111111111</v>
      </c>
      <c r="DU26" s="194" t="s">
        <v>31</v>
      </c>
      <c r="DV26" s="195">
        <v>0.015543981481481482</v>
      </c>
      <c r="DW26" s="194" t="s">
        <v>464</v>
      </c>
      <c r="DX26" s="195">
        <v>4.050925925925926E-4</v>
      </c>
      <c r="DY26" s="194" t="s">
        <v>63</v>
      </c>
      <c r="DZ26" s="195">
        <v>0.0030092592592592593</v>
      </c>
      <c r="EA26" s="194" t="s">
        <v>103</v>
      </c>
      <c r="EB26" s="195">
        <v>0.0015972222222222223</v>
      </c>
      <c r="EC26" s="194" t="s">
        <v>21</v>
      </c>
      <c r="ED26" s="195">
        <v>0.013969907407407407</v>
      </c>
      <c r="EE26" s="194" t="s">
        <v>51</v>
      </c>
      <c r="EF26" s="195">
        <v>0.001851851851851852</v>
      </c>
      <c r="EG26" s="194" t="s">
        <v>29</v>
      </c>
      <c r="EH26" s="195">
        <v>0.002488425925925926</v>
      </c>
      <c r="EI26" s="194" t="s">
        <v>432</v>
      </c>
      <c r="EJ26" s="195">
        <v>0.04456018518518518</v>
      </c>
      <c r="EK26" s="194" t="s">
        <v>464</v>
      </c>
      <c r="EL26" s="195">
        <v>0.042326388888888886</v>
      </c>
      <c r="EM26" s="194" t="s">
        <v>82</v>
      </c>
      <c r="EN26" s="195">
        <v>0.003310185185185185</v>
      </c>
      <c r="EO26" s="194" t="s">
        <v>29</v>
      </c>
      <c r="EP26" s="195">
        <v>0.009189814814814816</v>
      </c>
      <c r="EQ26" s="194" t="s">
        <v>102</v>
      </c>
      <c r="ER26" s="195">
        <v>0.005775462962962963</v>
      </c>
      <c r="ES26" s="194" t="s">
        <v>25</v>
      </c>
      <c r="ET26" s="195">
        <v>0.09324074074074074</v>
      </c>
      <c r="EU26" s="194" t="s">
        <v>82</v>
      </c>
      <c r="EV26" s="195">
        <v>0.03212962962962963</v>
      </c>
      <c r="EW26" s="194" t="s">
        <v>25</v>
      </c>
      <c r="EX26" s="195">
        <v>0.015034722222222222</v>
      </c>
      <c r="EY26" s="194" t="s">
        <v>61</v>
      </c>
      <c r="EZ26" s="195">
        <v>0.010972222222222222</v>
      </c>
      <c r="FA26" s="194" t="s">
        <v>464</v>
      </c>
      <c r="FB26" s="195">
        <v>0.03561342592592592</v>
      </c>
      <c r="FC26" s="194" t="s">
        <v>103</v>
      </c>
      <c r="FD26" s="195">
        <v>0.01638888888888889</v>
      </c>
      <c r="FE26" s="194" t="s">
        <v>464</v>
      </c>
      <c r="FF26" s="195">
        <v>0.0011574074074074073</v>
      </c>
      <c r="FG26" s="194" t="s">
        <v>25</v>
      </c>
      <c r="FH26" s="195">
        <v>0.013402777777777777</v>
      </c>
      <c r="FI26" s="194" t="s">
        <v>432</v>
      </c>
      <c r="FJ26" s="195">
        <v>0.019594907407407408</v>
      </c>
      <c r="FK26" s="194" t="s">
        <v>29</v>
      </c>
      <c r="FL26" s="195">
        <v>0.079375</v>
      </c>
      <c r="FM26" s="194" t="s">
        <v>428</v>
      </c>
      <c r="FN26" s="195">
        <v>0.03935185185185185</v>
      </c>
      <c r="FO26" s="194" t="s">
        <v>82</v>
      </c>
      <c r="FP26" s="195">
        <v>0.018506944444444444</v>
      </c>
      <c r="FQ26" s="194" t="s">
        <v>43</v>
      </c>
      <c r="FR26" s="195">
        <v>0.012314814814814815</v>
      </c>
      <c r="FS26" s="194" t="s">
        <v>428</v>
      </c>
      <c r="FT26" s="195">
        <v>0.03732638888888889</v>
      </c>
      <c r="FU26" s="194" t="s">
        <v>428</v>
      </c>
      <c r="FV26" s="195">
        <v>0.006597222222222222</v>
      </c>
      <c r="FW26" s="194" t="s">
        <v>22</v>
      </c>
      <c r="FX26" s="195">
        <v>0.03961805555555555</v>
      </c>
      <c r="FY26" s="194" t="s">
        <v>426</v>
      </c>
      <c r="FZ26" s="195">
        <v>0.008101851851851851</v>
      </c>
      <c r="GA26" s="194" t="s">
        <v>41</v>
      </c>
      <c r="GB26" s="195">
        <v>0.07398148148148148</v>
      </c>
      <c r="GC26" s="194" t="s">
        <v>102</v>
      </c>
      <c r="GD26" s="195">
        <v>3.8194444444444446E-4</v>
      </c>
      <c r="GE26" s="194" t="s">
        <v>102</v>
      </c>
      <c r="GF26" s="195">
        <v>0.07708333333333334</v>
      </c>
      <c r="GG26" s="194" t="s">
        <v>101</v>
      </c>
      <c r="GH26" s="195">
        <v>0.046342592592592595</v>
      </c>
      <c r="GI26" s="185" t="s">
        <v>65</v>
      </c>
      <c r="GJ26" s="186">
        <v>0.2465625</v>
      </c>
      <c r="GK26" s="185" t="s">
        <v>464</v>
      </c>
      <c r="GL26" s="186">
        <v>0.43975694444444446</v>
      </c>
      <c r="GM26" s="185" t="s">
        <v>73</v>
      </c>
      <c r="GN26" s="186">
        <v>0.09430555555555556</v>
      </c>
      <c r="GO26" s="187" t="s">
        <v>464</v>
      </c>
      <c r="GP26" s="188">
        <v>0.13179398148148147</v>
      </c>
      <c r="GQ26" s="187" t="s">
        <v>73</v>
      </c>
      <c r="GR26" s="188">
        <v>0.1436689814814815</v>
      </c>
      <c r="GS26" s="187" t="s">
        <v>73</v>
      </c>
      <c r="GT26" s="188">
        <v>0.069375</v>
      </c>
      <c r="GU26" s="187" t="s">
        <v>65</v>
      </c>
      <c r="GV26" s="188">
        <v>0.17299768518518518</v>
      </c>
      <c r="GW26" s="190" t="s">
        <v>75</v>
      </c>
      <c r="GX26" s="191">
        <v>0.017962962962962962</v>
      </c>
      <c r="GY26" s="190" t="s">
        <v>73</v>
      </c>
      <c r="GZ26" s="191">
        <v>0.026805555555555555</v>
      </c>
      <c r="HA26" s="190" t="s">
        <v>62</v>
      </c>
      <c r="HB26" s="191">
        <v>0.32297453703703705</v>
      </c>
      <c r="HC26" s="190" t="s">
        <v>65</v>
      </c>
      <c r="HD26" s="191">
        <v>0.14054398148148148</v>
      </c>
      <c r="HE26" s="190" t="s">
        <v>82</v>
      </c>
      <c r="HF26" s="191">
        <v>0.010636574074074074</v>
      </c>
      <c r="HG26" s="190" t="s">
        <v>74</v>
      </c>
      <c r="HH26" s="191">
        <v>0.03019675925925926</v>
      </c>
      <c r="HI26" s="190" t="s">
        <v>42</v>
      </c>
      <c r="HJ26" s="191">
        <v>0.03603009259259259</v>
      </c>
      <c r="HK26" s="190" t="s">
        <v>84</v>
      </c>
      <c r="HL26" s="191">
        <v>0.0014467592592592592</v>
      </c>
      <c r="HM26" s="190" t="s">
        <v>93</v>
      </c>
      <c r="HN26" s="191">
        <v>0.21077546296296296</v>
      </c>
      <c r="HO26" s="190" t="s">
        <v>79</v>
      </c>
      <c r="HP26" s="191">
        <v>0.017395833333333333</v>
      </c>
      <c r="HQ26" s="190" t="s">
        <v>80</v>
      </c>
      <c r="HR26" s="191">
        <v>1.7361111111111112E-4</v>
      </c>
      <c r="HS26" s="190" t="s">
        <v>75</v>
      </c>
      <c r="HT26" s="191">
        <v>0.0030787037037037037</v>
      </c>
      <c r="HU26" s="190" t="s">
        <v>74</v>
      </c>
      <c r="HV26" s="191">
        <v>2.199074074074074E-4</v>
      </c>
      <c r="HW26" s="190" t="s">
        <v>83</v>
      </c>
      <c r="HX26" s="191">
        <v>0.014409722222222223</v>
      </c>
      <c r="HY26" s="187"/>
      <c r="HZ26" s="187"/>
      <c r="IA26" s="187"/>
      <c r="IB26" s="187"/>
      <c r="IC26" s="187"/>
      <c r="ID26" s="187"/>
      <c r="IE26" s="196" t="s">
        <v>82</v>
      </c>
      <c r="IF26" s="197">
        <v>0.039594907407407405</v>
      </c>
      <c r="IG26" s="178"/>
      <c r="IH26" s="196" t="s">
        <v>101</v>
      </c>
      <c r="II26" s="197">
        <v>0.00625</v>
      </c>
      <c r="IJ26" s="178"/>
      <c r="IK26" s="196" t="s">
        <v>97</v>
      </c>
      <c r="IL26" s="197">
        <v>0.03533564814814815</v>
      </c>
      <c r="IM26" s="196" t="s">
        <v>93</v>
      </c>
      <c r="IN26" s="197">
        <v>0.035208333333333335</v>
      </c>
      <c r="IO26" s="196" t="s">
        <v>426</v>
      </c>
      <c r="IP26" s="197">
        <v>0.09796296296296296</v>
      </c>
      <c r="IQ26" s="178"/>
      <c r="IR26" s="196" t="s">
        <v>90</v>
      </c>
      <c r="IS26" s="197">
        <v>0.029768518518518517</v>
      </c>
      <c r="IT26" s="178"/>
      <c r="IU26" s="196" t="s">
        <v>90</v>
      </c>
      <c r="IV26" s="197">
        <v>0.02150462962962963</v>
      </c>
      <c r="IW26" s="178"/>
      <c r="IX26" s="196" t="s">
        <v>23</v>
      </c>
      <c r="IY26" s="197">
        <v>0.03726851851851852</v>
      </c>
      <c r="IZ26" s="187" t="s">
        <v>90</v>
      </c>
      <c r="JA26" s="188">
        <v>0.03606481481481481</v>
      </c>
      <c r="JB26" s="187" t="s">
        <v>57</v>
      </c>
      <c r="JC26" s="188">
        <v>0.20987268518518518</v>
      </c>
      <c r="JD26" s="178"/>
    </row>
    <row r="27">
      <c r="A27" s="193"/>
      <c r="B27" s="193"/>
      <c r="C27" s="193"/>
      <c r="D27" s="193"/>
      <c r="E27" s="193"/>
      <c r="F27" s="193"/>
      <c r="G27" s="193"/>
      <c r="H27" s="193"/>
      <c r="I27" s="193"/>
      <c r="J27" s="193"/>
      <c r="K27" s="193"/>
      <c r="L27" s="193"/>
      <c r="M27" s="193"/>
      <c r="N27" s="193"/>
      <c r="O27" s="194" t="s">
        <v>87</v>
      </c>
      <c r="P27" s="195">
        <v>0.009398148148148149</v>
      </c>
      <c r="Q27" s="193"/>
      <c r="R27" s="193"/>
      <c r="S27" s="193"/>
      <c r="T27" s="193"/>
      <c r="U27" s="193"/>
      <c r="V27" s="193"/>
      <c r="W27" s="194"/>
      <c r="X27" s="195"/>
      <c r="Y27" s="193"/>
      <c r="Z27" s="193"/>
      <c r="AA27" s="194" t="s">
        <v>36</v>
      </c>
      <c r="AB27" s="195">
        <v>0.12905092592592593</v>
      </c>
      <c r="AC27" s="194" t="s">
        <v>71</v>
      </c>
      <c r="AD27" s="195">
        <v>0.007974537037037037</v>
      </c>
      <c r="AE27" s="194" t="s">
        <v>8</v>
      </c>
      <c r="AF27" s="195">
        <v>2.3148148148148147E-5</v>
      </c>
      <c r="AG27" s="194" t="s">
        <v>78</v>
      </c>
      <c r="AH27" s="195">
        <v>2.199074074074074E-4</v>
      </c>
      <c r="AI27" s="194" t="s">
        <v>57</v>
      </c>
      <c r="AJ27" s="195">
        <v>0.023368055555555555</v>
      </c>
      <c r="AK27" s="194" t="s">
        <v>92</v>
      </c>
      <c r="AL27" s="195">
        <v>0.01783564814814815</v>
      </c>
      <c r="AM27" s="194" t="s">
        <v>50</v>
      </c>
      <c r="AN27" s="195">
        <v>0.01337962962962963</v>
      </c>
      <c r="AO27" s="194" t="s">
        <v>80</v>
      </c>
      <c r="AP27" s="195">
        <v>0.4058912037037037</v>
      </c>
      <c r="AQ27" s="194" t="s">
        <v>80</v>
      </c>
      <c r="AR27" s="195">
        <v>0.14476851851851852</v>
      </c>
      <c r="AS27" s="194" t="s">
        <v>80</v>
      </c>
      <c r="AT27" s="195">
        <v>0.16054398148148147</v>
      </c>
      <c r="AU27" s="194" t="s">
        <v>19</v>
      </c>
      <c r="AV27" s="195">
        <v>9.259259259259259E-5</v>
      </c>
      <c r="AW27" s="194" t="s">
        <v>92</v>
      </c>
      <c r="AX27" s="195">
        <v>0.41226851851851853</v>
      </c>
      <c r="AY27" s="194" t="s">
        <v>92</v>
      </c>
      <c r="AZ27" s="195">
        <v>0.34283564814814815</v>
      </c>
      <c r="BA27" s="194" t="s">
        <v>92</v>
      </c>
      <c r="BB27" s="195">
        <v>0.21274305555555556</v>
      </c>
      <c r="BC27" s="194" t="s">
        <v>92</v>
      </c>
      <c r="BD27" s="195">
        <v>0.1600462962962963</v>
      </c>
      <c r="BE27" s="194" t="s">
        <v>92</v>
      </c>
      <c r="BF27" s="195">
        <v>0.033275462962962965</v>
      </c>
      <c r="BG27" s="194" t="s">
        <v>92</v>
      </c>
      <c r="BH27" s="195">
        <v>0.0916087962962963</v>
      </c>
      <c r="BI27" s="194" t="s">
        <v>92</v>
      </c>
      <c r="BJ27" s="195">
        <v>0.1491435185185185</v>
      </c>
      <c r="BK27" s="194" t="s">
        <v>92</v>
      </c>
      <c r="BL27" s="195">
        <v>0.04480324074074074</v>
      </c>
      <c r="BM27" s="194" t="s">
        <v>92</v>
      </c>
      <c r="BN27" s="195">
        <v>0.13511574074074073</v>
      </c>
      <c r="BO27" s="194" t="s">
        <v>92</v>
      </c>
      <c r="BP27" s="195">
        <v>0.052905092592592594</v>
      </c>
      <c r="BQ27" s="194" t="s">
        <v>92</v>
      </c>
      <c r="BR27" s="195">
        <v>0.16782407407407407</v>
      </c>
      <c r="BS27" s="194" t="s">
        <v>92</v>
      </c>
      <c r="BT27" s="195">
        <v>0.16539351851851852</v>
      </c>
      <c r="BU27" s="194" t="s">
        <v>92</v>
      </c>
      <c r="BV27" s="195">
        <v>0.12866898148148148</v>
      </c>
      <c r="BW27" s="194" t="s">
        <v>92</v>
      </c>
      <c r="BX27" s="195">
        <v>0.1182986111111111</v>
      </c>
      <c r="BY27" s="194" t="s">
        <v>92</v>
      </c>
      <c r="BZ27" s="195">
        <v>0.06994212962962963</v>
      </c>
      <c r="CA27" s="194" t="s">
        <v>92</v>
      </c>
      <c r="CB27" s="195">
        <v>0.18497685185185186</v>
      </c>
      <c r="CC27" s="194" t="s">
        <v>92</v>
      </c>
      <c r="CD27" s="195">
        <v>0.050694444444444445</v>
      </c>
      <c r="CE27" s="194" t="s">
        <v>19</v>
      </c>
      <c r="CF27" s="195">
        <v>0.2215162037037037</v>
      </c>
      <c r="CG27" s="194" t="s">
        <v>92</v>
      </c>
      <c r="CH27" s="195">
        <v>0.040185185185185185</v>
      </c>
      <c r="CI27" s="194" t="s">
        <v>19</v>
      </c>
      <c r="CJ27" s="195">
        <v>0.5825925925925926</v>
      </c>
      <c r="CK27" s="194" t="s">
        <v>92</v>
      </c>
      <c r="CL27" s="195">
        <v>0.04247685185185185</v>
      </c>
      <c r="CM27" s="194" t="s">
        <v>92</v>
      </c>
      <c r="CN27" s="195">
        <v>0.0512037037037037</v>
      </c>
      <c r="CO27" s="194" t="s">
        <v>92</v>
      </c>
      <c r="CP27" s="195">
        <v>0.05287037037037037</v>
      </c>
      <c r="CQ27" s="194" t="s">
        <v>92</v>
      </c>
      <c r="CR27" s="195">
        <v>0.04431712962962963</v>
      </c>
      <c r="CS27" s="194" t="s">
        <v>92</v>
      </c>
      <c r="CT27" s="195">
        <v>0.06398148148148149</v>
      </c>
      <c r="CU27" s="194" t="s">
        <v>92</v>
      </c>
      <c r="CV27" s="195">
        <v>0.13512731481481483</v>
      </c>
      <c r="CW27" s="194" t="s">
        <v>19</v>
      </c>
      <c r="CX27" s="195">
        <v>0.14168981481481482</v>
      </c>
      <c r="CY27" s="194" t="s">
        <v>80</v>
      </c>
      <c r="CZ27" s="195">
        <v>0.07298611111111111</v>
      </c>
      <c r="DA27" s="194" t="s">
        <v>80</v>
      </c>
      <c r="DB27" s="195">
        <v>0.10574074074074075</v>
      </c>
      <c r="DC27" s="194" t="s">
        <v>19</v>
      </c>
      <c r="DD27" s="195">
        <v>0.021157407407407406</v>
      </c>
      <c r="DE27" s="194" t="s">
        <v>92</v>
      </c>
      <c r="DF27" s="195">
        <v>0.05971064814814815</v>
      </c>
      <c r="DG27" s="194" t="s">
        <v>92</v>
      </c>
      <c r="DH27" s="195">
        <v>4.252569444444444</v>
      </c>
      <c r="DI27" s="194" t="s">
        <v>464</v>
      </c>
      <c r="DJ27" s="195">
        <v>0.003287037037037037</v>
      </c>
      <c r="DK27" s="194" t="s">
        <v>465</v>
      </c>
      <c r="DL27" s="195">
        <v>0.022928240740740742</v>
      </c>
      <c r="DM27" s="194" t="s">
        <v>82</v>
      </c>
      <c r="DN27" s="195">
        <v>0.028333333333333332</v>
      </c>
      <c r="DO27" s="194" t="s">
        <v>103</v>
      </c>
      <c r="DP27" s="195">
        <v>0.07731481481481481</v>
      </c>
      <c r="DQ27" s="194" t="s">
        <v>82</v>
      </c>
      <c r="DR27" s="195">
        <v>0.002962962962962963</v>
      </c>
      <c r="DS27" s="194" t="s">
        <v>464</v>
      </c>
      <c r="DT27" s="195">
        <v>4.7453703703703704E-4</v>
      </c>
      <c r="DU27" s="194" t="s">
        <v>25</v>
      </c>
      <c r="DV27" s="195">
        <v>1.1913657407407408</v>
      </c>
      <c r="DW27" s="194" t="s">
        <v>465</v>
      </c>
      <c r="DX27" s="195">
        <v>0.04085648148148148</v>
      </c>
      <c r="DY27" s="194" t="s">
        <v>32</v>
      </c>
      <c r="DZ27" s="195">
        <v>0.003148148148148148</v>
      </c>
      <c r="EA27" s="194" t="s">
        <v>90</v>
      </c>
      <c r="EB27" s="195">
        <v>0.04006944444444444</v>
      </c>
      <c r="EC27" s="194" t="s">
        <v>29</v>
      </c>
      <c r="ED27" s="195">
        <v>6.25E-4</v>
      </c>
      <c r="EE27" s="194" t="s">
        <v>25</v>
      </c>
      <c r="EF27" s="195">
        <v>0.09408564814814815</v>
      </c>
      <c r="EG27" s="194" t="s">
        <v>62</v>
      </c>
      <c r="EH27" s="195">
        <v>0.1640625</v>
      </c>
      <c r="EI27" s="194" t="s">
        <v>23</v>
      </c>
      <c r="EJ27" s="195">
        <v>0.0025810185185185185</v>
      </c>
      <c r="EK27" s="194" t="s">
        <v>465</v>
      </c>
      <c r="EL27" s="195">
        <v>0.04346064814814815</v>
      </c>
      <c r="EM27" s="194" t="s">
        <v>90</v>
      </c>
      <c r="EN27" s="195">
        <v>0.1343287037037037</v>
      </c>
      <c r="EO27" s="194" t="s">
        <v>62</v>
      </c>
      <c r="EP27" s="195">
        <v>0.09393518518518519</v>
      </c>
      <c r="EQ27" s="194" t="s">
        <v>428</v>
      </c>
      <c r="ER27" s="195">
        <v>0.03386574074074074</v>
      </c>
      <c r="ES27" s="194" t="s">
        <v>103</v>
      </c>
      <c r="ET27" s="195">
        <v>0.006261574074074074</v>
      </c>
      <c r="EU27" s="194" t="s">
        <v>464</v>
      </c>
      <c r="EV27" s="195">
        <v>0.02162037037037037</v>
      </c>
      <c r="EW27" s="194" t="s">
        <v>103</v>
      </c>
      <c r="EX27" s="195">
        <v>0.01642361111111111</v>
      </c>
      <c r="EY27" s="198" t="s">
        <v>53</v>
      </c>
      <c r="EZ27" s="199">
        <v>0.005868055555555555</v>
      </c>
      <c r="FA27" s="194" t="s">
        <v>23</v>
      </c>
      <c r="FB27" s="195">
        <v>2.0833333333333335E-4</v>
      </c>
      <c r="FC27" s="194" t="s">
        <v>43</v>
      </c>
      <c r="FD27" s="195">
        <v>0.019837962962962963</v>
      </c>
      <c r="FE27" s="194" t="s">
        <v>432</v>
      </c>
      <c r="FF27" s="195">
        <v>0.028310185185185185</v>
      </c>
      <c r="FG27" s="194" t="s">
        <v>43</v>
      </c>
      <c r="FH27" s="195">
        <v>0.07627314814814815</v>
      </c>
      <c r="FI27" s="194" t="s">
        <v>23</v>
      </c>
      <c r="FJ27" s="195">
        <v>0.022233796296296297</v>
      </c>
      <c r="FK27" s="194" t="s">
        <v>62</v>
      </c>
      <c r="FL27" s="195">
        <v>1.6203703703703703E-4</v>
      </c>
      <c r="FM27" s="194" t="s">
        <v>60</v>
      </c>
      <c r="FN27" s="195">
        <v>0.008287037037037037</v>
      </c>
      <c r="FO27" s="194" t="s">
        <v>464</v>
      </c>
      <c r="FP27" s="195">
        <v>0.018692129629629628</v>
      </c>
      <c r="FQ27" s="194" t="s">
        <v>99</v>
      </c>
      <c r="FR27" s="195">
        <v>0.009594907407407408</v>
      </c>
      <c r="FS27" s="194" t="s">
        <v>60</v>
      </c>
      <c r="FT27" s="195">
        <v>4.62962962962963E-4</v>
      </c>
      <c r="FU27" s="194" t="s">
        <v>29</v>
      </c>
      <c r="FV27" s="195">
        <v>0.06674768518518519</v>
      </c>
      <c r="FW27" s="194" t="s">
        <v>36</v>
      </c>
      <c r="FX27" s="195">
        <v>5.439814814814814E-4</v>
      </c>
      <c r="FY27" s="194" t="s">
        <v>93</v>
      </c>
      <c r="FZ27" s="195">
        <v>0.0022916666666666667</v>
      </c>
      <c r="GA27" s="194" t="s">
        <v>105</v>
      </c>
      <c r="GB27" s="195">
        <v>0.02082175925925926</v>
      </c>
      <c r="GC27" s="194" t="s">
        <v>428</v>
      </c>
      <c r="GD27" s="195">
        <v>0.022534722222222223</v>
      </c>
      <c r="GE27" s="194" t="s">
        <v>428</v>
      </c>
      <c r="GF27" s="195">
        <v>0.007916666666666667</v>
      </c>
      <c r="GG27" s="194" t="s">
        <v>70</v>
      </c>
      <c r="GH27" s="195">
        <v>0.002002314814814815</v>
      </c>
      <c r="GI27" s="185" t="s">
        <v>464</v>
      </c>
      <c r="GJ27" s="186">
        <v>0.07017361111111112</v>
      </c>
      <c r="GK27" s="185" t="s">
        <v>72</v>
      </c>
      <c r="GL27" s="186">
        <v>0.002928240740740741</v>
      </c>
      <c r="GM27" s="185" t="s">
        <v>74</v>
      </c>
      <c r="GN27" s="186">
        <v>0.059988425925925924</v>
      </c>
      <c r="GO27" s="187" t="s">
        <v>70</v>
      </c>
      <c r="GP27" s="188">
        <v>0.014930555555555556</v>
      </c>
      <c r="GQ27" s="187" t="s">
        <v>74</v>
      </c>
      <c r="GR27" s="188">
        <v>0.030567129629629628</v>
      </c>
      <c r="GS27" s="187" t="s">
        <v>74</v>
      </c>
      <c r="GT27" s="188">
        <v>0.011018518518518518</v>
      </c>
      <c r="GU27" s="187" t="s">
        <v>464</v>
      </c>
      <c r="GV27" s="188">
        <v>0.2968402777777778</v>
      </c>
      <c r="GW27" s="190" t="s">
        <v>80</v>
      </c>
      <c r="GX27" s="191">
        <v>0.002511574074074074</v>
      </c>
      <c r="GY27" s="190" t="s">
        <v>75</v>
      </c>
      <c r="GZ27" s="191">
        <v>0.03194444444444444</v>
      </c>
      <c r="HA27" s="190" t="s">
        <v>65</v>
      </c>
      <c r="HB27" s="191">
        <v>0.06743055555555555</v>
      </c>
      <c r="HC27" s="190" t="s">
        <v>464</v>
      </c>
      <c r="HD27" s="191">
        <v>0.12479166666666666</v>
      </c>
      <c r="HE27" s="190" t="s">
        <v>36</v>
      </c>
      <c r="HF27" s="191">
        <v>0.006458333333333333</v>
      </c>
      <c r="HG27" s="190" t="s">
        <v>75</v>
      </c>
      <c r="HH27" s="191">
        <v>0.001574074074074074</v>
      </c>
      <c r="HI27" s="190" t="s">
        <v>80</v>
      </c>
      <c r="HJ27" s="191">
        <v>0.050868055555555555</v>
      </c>
      <c r="HK27" s="190" t="s">
        <v>79</v>
      </c>
      <c r="HL27" s="191">
        <v>0.014189814814814815</v>
      </c>
      <c r="HM27" s="190" t="s">
        <v>94</v>
      </c>
      <c r="HN27" s="191">
        <v>0.03553240740740741</v>
      </c>
      <c r="HO27" s="190" t="s">
        <v>23</v>
      </c>
      <c r="HP27" s="191">
        <v>0.23875</v>
      </c>
      <c r="HQ27" s="190" t="s">
        <v>82</v>
      </c>
      <c r="HR27" s="191">
        <v>0.05148148148148148</v>
      </c>
      <c r="HS27" s="190" t="s">
        <v>425</v>
      </c>
      <c r="HT27" s="191">
        <v>0.020925925925925924</v>
      </c>
      <c r="HU27" s="190" t="s">
        <v>75</v>
      </c>
      <c r="HV27" s="191">
        <v>0.013784722222222223</v>
      </c>
      <c r="HW27" s="190" t="s">
        <v>36</v>
      </c>
      <c r="HX27" s="191">
        <v>0.030983796296296297</v>
      </c>
      <c r="HY27" s="187"/>
      <c r="HZ27" s="187"/>
      <c r="IA27" s="187"/>
      <c r="IB27" s="187"/>
      <c r="IC27" s="187"/>
      <c r="ID27" s="187"/>
      <c r="IE27" s="196" t="s">
        <v>90</v>
      </c>
      <c r="IF27" s="197">
        <v>0.20152777777777778</v>
      </c>
      <c r="IG27" s="178"/>
      <c r="IH27" s="196" t="s">
        <v>102</v>
      </c>
      <c r="II27" s="197">
        <v>6.712962962962962E-4</v>
      </c>
      <c r="IJ27" s="178"/>
      <c r="IK27" s="196" t="s">
        <v>57</v>
      </c>
      <c r="IL27" s="197">
        <v>0.0846875</v>
      </c>
      <c r="IM27" s="196" t="s">
        <v>94</v>
      </c>
      <c r="IN27" s="197">
        <v>0.10096064814814815</v>
      </c>
      <c r="IO27" s="196" t="s">
        <v>93</v>
      </c>
      <c r="IP27" s="197">
        <v>0.005625</v>
      </c>
      <c r="IQ27" s="178"/>
      <c r="IR27" s="196" t="s">
        <v>426</v>
      </c>
      <c r="IS27" s="197">
        <v>0.03898148148148148</v>
      </c>
      <c r="IT27" s="178"/>
      <c r="IU27" s="196" t="s">
        <v>426</v>
      </c>
      <c r="IV27" s="197">
        <v>0.022569444444444444</v>
      </c>
      <c r="IW27" s="178"/>
      <c r="IX27" s="196" t="s">
        <v>87</v>
      </c>
      <c r="IY27" s="197">
        <v>0.027962962962962964</v>
      </c>
      <c r="IZ27" s="187" t="s">
        <v>426</v>
      </c>
      <c r="JA27" s="188">
        <v>0.015266203703703704</v>
      </c>
      <c r="JB27" s="187" t="s">
        <v>428</v>
      </c>
      <c r="JC27" s="188">
        <v>0.0010763888888888889</v>
      </c>
      <c r="JD27" s="178"/>
    </row>
    <row r="28">
      <c r="A28" s="193"/>
      <c r="B28" s="193"/>
      <c r="C28" s="193"/>
      <c r="D28" s="193"/>
      <c r="E28" s="193"/>
      <c r="F28" s="193"/>
      <c r="G28" s="193"/>
      <c r="H28" s="193"/>
      <c r="I28" s="193"/>
      <c r="J28" s="193"/>
      <c r="K28" s="193"/>
      <c r="L28" s="193"/>
      <c r="M28" s="193"/>
      <c r="N28" s="193"/>
      <c r="O28" s="198" t="s">
        <v>93</v>
      </c>
      <c r="P28" s="199">
        <v>0.002372685185185185</v>
      </c>
      <c r="Q28" s="193"/>
      <c r="R28" s="193"/>
      <c r="S28" s="193"/>
      <c r="T28" s="193"/>
      <c r="U28" s="193"/>
      <c r="V28" s="193"/>
      <c r="W28" s="194"/>
      <c r="X28" s="195"/>
      <c r="Y28" s="193"/>
      <c r="Z28" s="193"/>
      <c r="AA28" s="198" t="s">
        <v>86</v>
      </c>
      <c r="AB28" s="199">
        <v>0.003993055555555555</v>
      </c>
      <c r="AC28" s="194" t="s">
        <v>8</v>
      </c>
      <c r="AD28" s="195">
        <v>0.016342592592592593</v>
      </c>
      <c r="AE28" s="194" t="s">
        <v>86</v>
      </c>
      <c r="AF28" s="195">
        <v>0.0453125</v>
      </c>
      <c r="AG28" s="194" t="s">
        <v>51</v>
      </c>
      <c r="AH28" s="195">
        <v>0.005231481481481481</v>
      </c>
      <c r="AI28" s="194" t="s">
        <v>40</v>
      </c>
      <c r="AJ28" s="195">
        <v>0.029027777777777777</v>
      </c>
      <c r="AK28" s="194" t="s">
        <v>97</v>
      </c>
      <c r="AL28" s="195">
        <v>0.03388888888888889</v>
      </c>
      <c r="AM28" s="194" t="s">
        <v>40</v>
      </c>
      <c r="AN28" s="195">
        <v>0.0065625</v>
      </c>
      <c r="AO28" s="194" t="s">
        <v>40</v>
      </c>
      <c r="AP28" s="195">
        <v>0.0014583333333333334</v>
      </c>
      <c r="AQ28" s="194" t="s">
        <v>50</v>
      </c>
      <c r="AR28" s="195">
        <v>0.02</v>
      </c>
      <c r="AS28" s="194" t="s">
        <v>50</v>
      </c>
      <c r="AT28" s="195">
        <v>0.0811111111111111</v>
      </c>
      <c r="AU28" s="194" t="s">
        <v>97</v>
      </c>
      <c r="AV28" s="195">
        <v>0.13068287037037038</v>
      </c>
      <c r="AW28" s="194" t="s">
        <v>19</v>
      </c>
      <c r="AX28" s="195">
        <v>0.011712962962962963</v>
      </c>
      <c r="AY28" s="194" t="s">
        <v>19</v>
      </c>
      <c r="AZ28" s="195">
        <v>0.004108796296296296</v>
      </c>
      <c r="BA28" s="194" t="s">
        <v>97</v>
      </c>
      <c r="BB28" s="195">
        <v>0.09637731481481482</v>
      </c>
      <c r="BC28" s="194" t="s">
        <v>19</v>
      </c>
      <c r="BD28" s="195">
        <v>0.012141203703703704</v>
      </c>
      <c r="BE28" s="194" t="s">
        <v>19</v>
      </c>
      <c r="BF28" s="195">
        <v>0.03305555555555555</v>
      </c>
      <c r="BG28" s="194" t="s">
        <v>19</v>
      </c>
      <c r="BH28" s="195">
        <v>0.021064814814814814</v>
      </c>
      <c r="BI28" s="194" t="s">
        <v>19</v>
      </c>
      <c r="BJ28" s="195">
        <v>0.032094907407407405</v>
      </c>
      <c r="BK28" s="194" t="s">
        <v>19</v>
      </c>
      <c r="BL28" s="195">
        <v>0.02820601851851852</v>
      </c>
      <c r="BM28" s="194" t="s">
        <v>19</v>
      </c>
      <c r="BN28" s="195">
        <v>0.07334490740740741</v>
      </c>
      <c r="BO28" s="194" t="s">
        <v>19</v>
      </c>
      <c r="BP28" s="195">
        <v>0.026493055555555554</v>
      </c>
      <c r="BQ28" s="194" t="s">
        <v>19</v>
      </c>
      <c r="BR28" s="195">
        <v>0.18469907407407407</v>
      </c>
      <c r="BS28" s="194" t="s">
        <v>19</v>
      </c>
      <c r="BT28" s="195">
        <v>0.23789351851851853</v>
      </c>
      <c r="BU28" s="194" t="s">
        <v>19</v>
      </c>
      <c r="BV28" s="195">
        <v>0.16921296296296295</v>
      </c>
      <c r="BW28" s="194" t="s">
        <v>19</v>
      </c>
      <c r="BX28" s="195">
        <v>0.2902777777777778</v>
      </c>
      <c r="BY28" s="194" t="s">
        <v>19</v>
      </c>
      <c r="BZ28" s="195">
        <v>0.37252314814814813</v>
      </c>
      <c r="CA28" s="194" t="s">
        <v>19</v>
      </c>
      <c r="CB28" s="195">
        <v>0.20346064814814815</v>
      </c>
      <c r="CC28" s="194" t="s">
        <v>19</v>
      </c>
      <c r="CD28" s="195">
        <v>0.30877314814814816</v>
      </c>
      <c r="CE28" s="194" t="s">
        <v>97</v>
      </c>
      <c r="CF28" s="195">
        <v>0.08289351851851852</v>
      </c>
      <c r="CG28" s="194" t="s">
        <v>19</v>
      </c>
      <c r="CH28" s="195">
        <v>0.5661921296296296</v>
      </c>
      <c r="CI28" s="194" t="s">
        <v>97</v>
      </c>
      <c r="CJ28" s="195">
        <v>0.1382986111111111</v>
      </c>
      <c r="CK28" s="194" t="s">
        <v>19</v>
      </c>
      <c r="CL28" s="195">
        <v>0.5700694444444444</v>
      </c>
      <c r="CM28" s="194" t="s">
        <v>19</v>
      </c>
      <c r="CN28" s="195">
        <v>0.47953703703703704</v>
      </c>
      <c r="CO28" s="194" t="s">
        <v>19</v>
      </c>
      <c r="CP28" s="195">
        <v>0.37626157407407407</v>
      </c>
      <c r="CQ28" s="194" t="s">
        <v>19</v>
      </c>
      <c r="CR28" s="195">
        <v>0.08517361111111112</v>
      </c>
      <c r="CS28" s="194" t="s">
        <v>19</v>
      </c>
      <c r="CT28" s="195">
        <v>0.22707175925925926</v>
      </c>
      <c r="CU28" s="194" t="s">
        <v>19</v>
      </c>
      <c r="CV28" s="195">
        <v>0.13674768518518518</v>
      </c>
      <c r="CW28" s="194" t="s">
        <v>97</v>
      </c>
      <c r="CX28" s="195">
        <v>0.04818287037037037</v>
      </c>
      <c r="CY28" s="194" t="s">
        <v>50</v>
      </c>
      <c r="CZ28" s="195">
        <v>0.14547453703703703</v>
      </c>
      <c r="DA28" s="194" t="s">
        <v>50</v>
      </c>
      <c r="DB28" s="195">
        <v>0.0850462962962963</v>
      </c>
      <c r="DC28" s="194" t="s">
        <v>97</v>
      </c>
      <c r="DD28" s="195">
        <v>0.01318287037037037</v>
      </c>
      <c r="DE28" s="194" t="s">
        <v>19</v>
      </c>
      <c r="DF28" s="195">
        <v>0.05818287037037037</v>
      </c>
      <c r="DG28" s="194" t="s">
        <v>19</v>
      </c>
      <c r="DH28" s="195">
        <v>3.3110185185185177</v>
      </c>
      <c r="DI28" s="194" t="s">
        <v>465</v>
      </c>
      <c r="DJ28" s="195">
        <v>0.03466435185185185</v>
      </c>
      <c r="DK28" s="194" t="s">
        <v>23</v>
      </c>
      <c r="DL28" s="195">
        <v>1.1574074074074075E-4</v>
      </c>
      <c r="DM28" s="194" t="s">
        <v>18</v>
      </c>
      <c r="DN28" s="195">
        <v>0.012025462962962963</v>
      </c>
      <c r="DO28" s="194" t="s">
        <v>82</v>
      </c>
      <c r="DP28" s="195">
        <v>0.04849537037037037</v>
      </c>
      <c r="DQ28" s="194" t="s">
        <v>90</v>
      </c>
      <c r="DR28" s="195">
        <v>1.5046296296296297E-4</v>
      </c>
      <c r="DS28" s="194" t="s">
        <v>432</v>
      </c>
      <c r="DT28" s="195">
        <v>1.9675925925925926E-4</v>
      </c>
      <c r="DU28" s="194" t="s">
        <v>103</v>
      </c>
      <c r="DV28" s="195">
        <v>0.036412037037037034</v>
      </c>
      <c r="DW28" s="194" t="s">
        <v>432</v>
      </c>
      <c r="DX28" s="195">
        <v>1.8518518518518518E-4</v>
      </c>
      <c r="DY28" s="194" t="s">
        <v>22</v>
      </c>
      <c r="DZ28" s="195">
        <v>3.587962962962963E-4</v>
      </c>
      <c r="EA28" s="194" t="s">
        <v>18</v>
      </c>
      <c r="EB28" s="195">
        <v>0.009155092592592593</v>
      </c>
      <c r="EC28" s="194" t="s">
        <v>62</v>
      </c>
      <c r="ED28" s="195">
        <v>0.010115740740740741</v>
      </c>
      <c r="EE28" s="194" t="s">
        <v>103</v>
      </c>
      <c r="EF28" s="195">
        <v>0.012256944444444445</v>
      </c>
      <c r="EG28" s="194" t="s">
        <v>31</v>
      </c>
      <c r="EH28" s="195">
        <v>0.02332175925925926</v>
      </c>
      <c r="EI28" s="194" t="s">
        <v>41</v>
      </c>
      <c r="EJ28" s="195">
        <v>0.018726851851851852</v>
      </c>
      <c r="EK28" s="194" t="s">
        <v>432</v>
      </c>
      <c r="EL28" s="195">
        <v>0.0021180555555555558</v>
      </c>
      <c r="EM28" s="194" t="s">
        <v>91</v>
      </c>
      <c r="EN28" s="195">
        <v>0.030462962962962963</v>
      </c>
      <c r="EO28" s="194" t="s">
        <v>51</v>
      </c>
      <c r="EP28" s="195">
        <v>0.006759259259259259</v>
      </c>
      <c r="EQ28" s="194" t="s">
        <v>78</v>
      </c>
      <c r="ER28" s="195">
        <v>0.0011921296296296296</v>
      </c>
      <c r="ES28" s="194" t="s">
        <v>82</v>
      </c>
      <c r="ET28" s="195">
        <v>0.04137731481481482</v>
      </c>
      <c r="EU28" s="194" t="s">
        <v>465</v>
      </c>
      <c r="EV28" s="195">
        <v>0.10111111111111111</v>
      </c>
      <c r="EW28" s="194" t="s">
        <v>82</v>
      </c>
      <c r="EX28" s="195">
        <v>0.0014930555555555556</v>
      </c>
      <c r="EY28" s="193"/>
      <c r="EZ28" s="193"/>
      <c r="FA28" s="194" t="s">
        <v>41</v>
      </c>
      <c r="FB28" s="195">
        <v>0.06547453703703704</v>
      </c>
      <c r="FC28" s="194" t="s">
        <v>82</v>
      </c>
      <c r="FD28" s="195">
        <v>6.944444444444445E-4</v>
      </c>
      <c r="FE28" s="194" t="s">
        <v>23</v>
      </c>
      <c r="FF28" s="195">
        <v>1.9675925925925926E-4</v>
      </c>
      <c r="FG28" s="194" t="s">
        <v>82</v>
      </c>
      <c r="FH28" s="195">
        <v>0.06097222222222222</v>
      </c>
      <c r="FI28" s="194" t="s">
        <v>41</v>
      </c>
      <c r="FJ28" s="195">
        <v>0.04085648148148148</v>
      </c>
      <c r="FK28" s="194" t="s">
        <v>31</v>
      </c>
      <c r="FL28" s="195">
        <v>1.0416666666666667E-4</v>
      </c>
      <c r="FM28" s="194" t="s">
        <v>78</v>
      </c>
      <c r="FN28" s="195">
        <v>2.314814814814815E-4</v>
      </c>
      <c r="FO28" s="194" t="s">
        <v>465</v>
      </c>
      <c r="FP28" s="195">
        <v>1.7361111111111112E-4</v>
      </c>
      <c r="FQ28" s="194" t="s">
        <v>82</v>
      </c>
      <c r="FR28" s="195">
        <v>0.01273148148148148</v>
      </c>
      <c r="FS28" s="194" t="s">
        <v>29</v>
      </c>
      <c r="FT28" s="195">
        <v>0.03377314814814815</v>
      </c>
      <c r="FU28" s="194" t="s">
        <v>62</v>
      </c>
      <c r="FV28" s="195">
        <v>4.398148148148148E-4</v>
      </c>
      <c r="FW28" s="194" t="s">
        <v>33</v>
      </c>
      <c r="FX28" s="195">
        <v>3.4722222222222224E-4</v>
      </c>
      <c r="FY28" s="194" t="s">
        <v>30</v>
      </c>
      <c r="FZ28" s="195">
        <v>1.7361111111111112E-4</v>
      </c>
      <c r="GA28" s="194" t="s">
        <v>83</v>
      </c>
      <c r="GB28" s="195">
        <v>0.04928240740740741</v>
      </c>
      <c r="GC28" s="194" t="s">
        <v>60</v>
      </c>
      <c r="GD28" s="195">
        <v>0.14075231481481482</v>
      </c>
      <c r="GE28" s="194" t="s">
        <v>60</v>
      </c>
      <c r="GF28" s="195">
        <v>0.21171296296296296</v>
      </c>
      <c r="GG28" s="194" t="s">
        <v>59</v>
      </c>
      <c r="GH28" s="195">
        <v>0.039560185185185184</v>
      </c>
      <c r="GI28" s="185" t="s">
        <v>72</v>
      </c>
      <c r="GJ28" s="186">
        <v>0.013622685185185186</v>
      </c>
      <c r="GK28" s="185" t="s">
        <v>73</v>
      </c>
      <c r="GL28" s="186">
        <v>0.14780092592592592</v>
      </c>
      <c r="GM28" s="185" t="s">
        <v>75</v>
      </c>
      <c r="GN28" s="186">
        <v>0.07199074074074074</v>
      </c>
      <c r="GO28" s="187" t="s">
        <v>72</v>
      </c>
      <c r="GP28" s="188">
        <v>0.013159722222222222</v>
      </c>
      <c r="GQ28" s="187" t="s">
        <v>75</v>
      </c>
      <c r="GR28" s="188">
        <v>0.09497685185185185</v>
      </c>
      <c r="GS28" s="187" t="s">
        <v>75</v>
      </c>
      <c r="GT28" s="188">
        <v>0.0021759259259259258</v>
      </c>
      <c r="GU28" s="187" t="s">
        <v>70</v>
      </c>
      <c r="GV28" s="188">
        <v>0.0010416666666666667</v>
      </c>
      <c r="GW28" s="190" t="s">
        <v>82</v>
      </c>
      <c r="GX28" s="191">
        <v>0.13516203703703702</v>
      </c>
      <c r="GY28" s="190" t="s">
        <v>425</v>
      </c>
      <c r="GZ28" s="191">
        <v>0.003958333333333334</v>
      </c>
      <c r="HA28" s="190" t="s">
        <v>464</v>
      </c>
      <c r="HB28" s="191">
        <v>0.11863425925925926</v>
      </c>
      <c r="HC28" s="190" t="s">
        <v>71</v>
      </c>
      <c r="HD28" s="191">
        <v>0.008055555555555555</v>
      </c>
      <c r="HE28" s="190" t="s">
        <v>23</v>
      </c>
      <c r="HF28" s="191">
        <v>0.055185185185185184</v>
      </c>
      <c r="HG28" s="190" t="s">
        <v>42</v>
      </c>
      <c r="HH28" s="191">
        <v>0.020694444444444446</v>
      </c>
      <c r="HI28" s="190" t="s">
        <v>82</v>
      </c>
      <c r="HJ28" s="191">
        <v>0.03601851851851852</v>
      </c>
      <c r="HK28" s="190" t="s">
        <v>23</v>
      </c>
      <c r="HL28" s="191">
        <v>0.08637731481481481</v>
      </c>
      <c r="HM28" s="190" t="s">
        <v>95</v>
      </c>
      <c r="HN28" s="191">
        <v>0.08098379629629629</v>
      </c>
      <c r="HO28" s="190" t="s">
        <v>89</v>
      </c>
      <c r="HP28" s="191">
        <v>0.06543981481481481</v>
      </c>
      <c r="HQ28" s="190" t="s">
        <v>83</v>
      </c>
      <c r="HR28" s="191">
        <v>0.02457175925925926</v>
      </c>
      <c r="HS28" s="190" t="s">
        <v>42</v>
      </c>
      <c r="HT28" s="191">
        <v>0.012256944444444445</v>
      </c>
      <c r="HU28" s="190" t="s">
        <v>42</v>
      </c>
      <c r="HV28" s="191">
        <v>0.015069444444444444</v>
      </c>
      <c r="HW28" s="190" t="s">
        <v>18</v>
      </c>
      <c r="HX28" s="191">
        <v>0.015555555555555555</v>
      </c>
      <c r="HY28" s="187"/>
      <c r="HZ28" s="187"/>
      <c r="IA28" s="187"/>
      <c r="IB28" s="187"/>
      <c r="IC28" s="187"/>
      <c r="ID28" s="187"/>
      <c r="IE28" s="196" t="s">
        <v>18</v>
      </c>
      <c r="IF28" s="197">
        <v>5.208333333333333E-4</v>
      </c>
      <c r="IG28" s="178"/>
      <c r="IH28" s="196" t="s">
        <v>29</v>
      </c>
      <c r="II28" s="197">
        <v>0.06243055555555556</v>
      </c>
      <c r="IJ28" s="178"/>
      <c r="IK28" s="196" t="s">
        <v>428</v>
      </c>
      <c r="IL28" s="197">
        <v>0.02383101851851852</v>
      </c>
      <c r="IM28" s="196" t="s">
        <v>95</v>
      </c>
      <c r="IN28" s="197">
        <v>0.07461805555555556</v>
      </c>
      <c r="IO28" s="196" t="s">
        <v>94</v>
      </c>
      <c r="IP28" s="197">
        <v>0.16868055555555556</v>
      </c>
      <c r="IQ28" s="178"/>
      <c r="IR28" s="196" t="s">
        <v>93</v>
      </c>
      <c r="IS28" s="197">
        <v>0.04212962962962963</v>
      </c>
      <c r="IT28" s="178"/>
      <c r="IU28" s="196" t="s">
        <v>93</v>
      </c>
      <c r="IV28" s="197">
        <v>0.03980324074074074</v>
      </c>
      <c r="IW28" s="178"/>
      <c r="IX28" s="196" t="s">
        <v>89</v>
      </c>
      <c r="IY28" s="197">
        <v>0.05576388888888889</v>
      </c>
      <c r="IZ28" s="187" t="s">
        <v>94</v>
      </c>
      <c r="JA28" s="188">
        <v>0.05348379629629629</v>
      </c>
      <c r="JB28" s="187" t="s">
        <v>99</v>
      </c>
      <c r="JC28" s="188">
        <v>0.06903935185185185</v>
      </c>
      <c r="JD28" s="178"/>
    </row>
    <row r="29">
      <c r="A29" s="193"/>
      <c r="B29" s="193"/>
      <c r="C29" s="193"/>
      <c r="D29" s="193"/>
      <c r="E29" s="193"/>
      <c r="F29" s="193"/>
      <c r="G29" s="193"/>
      <c r="H29" s="193"/>
      <c r="I29" s="193"/>
      <c r="J29" s="193"/>
      <c r="K29" s="193"/>
      <c r="L29" s="193"/>
      <c r="M29" s="193"/>
      <c r="N29" s="193"/>
      <c r="O29" s="193"/>
      <c r="P29" s="193"/>
      <c r="Q29" s="193"/>
      <c r="R29" s="193"/>
      <c r="S29" s="193"/>
      <c r="T29" s="193"/>
      <c r="U29" s="193"/>
      <c r="V29" s="193"/>
      <c r="W29" s="194"/>
      <c r="X29" s="195"/>
      <c r="Y29" s="193"/>
      <c r="Z29" s="193"/>
      <c r="AA29" s="193"/>
      <c r="AB29" s="193"/>
      <c r="AC29" s="194" t="s">
        <v>65</v>
      </c>
      <c r="AD29" s="195">
        <v>3.472222222222222E-5</v>
      </c>
      <c r="AE29" s="198" t="s">
        <v>93</v>
      </c>
      <c r="AF29" s="199">
        <v>0.005150462962962963</v>
      </c>
      <c r="AG29" s="194" t="s">
        <v>31</v>
      </c>
      <c r="AH29" s="195">
        <v>0.01615740740740741</v>
      </c>
      <c r="AI29" s="194" t="s">
        <v>98</v>
      </c>
      <c r="AJ29" s="195">
        <v>0.00375</v>
      </c>
      <c r="AK29" s="194" t="s">
        <v>80</v>
      </c>
      <c r="AL29" s="195">
        <v>0.05394675925925926</v>
      </c>
      <c r="AM29" s="194" t="s">
        <v>98</v>
      </c>
      <c r="AN29" s="195">
        <v>0.014201388888888888</v>
      </c>
      <c r="AO29" s="194" t="s">
        <v>98</v>
      </c>
      <c r="AP29" s="195">
        <v>0.15854166666666666</v>
      </c>
      <c r="AQ29" s="194" t="s">
        <v>57</v>
      </c>
      <c r="AR29" s="195">
        <v>6.134259259259259E-4</v>
      </c>
      <c r="AS29" s="194" t="s">
        <v>40</v>
      </c>
      <c r="AT29" s="195">
        <v>0.01363425925925926</v>
      </c>
      <c r="AU29" s="194" t="s">
        <v>80</v>
      </c>
      <c r="AV29" s="195">
        <v>0.33055555555555555</v>
      </c>
      <c r="AW29" s="194" t="s">
        <v>97</v>
      </c>
      <c r="AX29" s="195">
        <v>0.15209490740740741</v>
      </c>
      <c r="AY29" s="194" t="s">
        <v>97</v>
      </c>
      <c r="AZ29" s="195">
        <v>0.0691087962962963</v>
      </c>
      <c r="BA29" s="194" t="s">
        <v>80</v>
      </c>
      <c r="BB29" s="195">
        <v>0.3779282407407407</v>
      </c>
      <c r="BC29" s="194" t="s">
        <v>97</v>
      </c>
      <c r="BD29" s="195">
        <v>0.27208333333333334</v>
      </c>
      <c r="BE29" s="194" t="s">
        <v>97</v>
      </c>
      <c r="BF29" s="195">
        <v>0.23754629629629628</v>
      </c>
      <c r="BG29" s="194" t="s">
        <v>97</v>
      </c>
      <c r="BH29" s="195">
        <v>0.415</v>
      </c>
      <c r="BI29" s="194" t="s">
        <v>97</v>
      </c>
      <c r="BJ29" s="195">
        <v>0.4004050925925926</v>
      </c>
      <c r="BK29" s="194" t="s">
        <v>97</v>
      </c>
      <c r="BL29" s="195">
        <v>0.11230324074074075</v>
      </c>
      <c r="BM29" s="194" t="s">
        <v>97</v>
      </c>
      <c r="BN29" s="195">
        <v>0.11743055555555555</v>
      </c>
      <c r="BO29" s="194" t="s">
        <v>97</v>
      </c>
      <c r="BP29" s="195">
        <v>0.14005787037037037</v>
      </c>
      <c r="BQ29" s="194" t="s">
        <v>97</v>
      </c>
      <c r="BR29" s="195">
        <v>0.10313657407407407</v>
      </c>
      <c r="BS29" s="194" t="s">
        <v>97</v>
      </c>
      <c r="BT29" s="195">
        <v>0.044398148148148145</v>
      </c>
      <c r="BU29" s="194" t="s">
        <v>97</v>
      </c>
      <c r="BV29" s="195">
        <v>0.027002314814814816</v>
      </c>
      <c r="BW29" s="194" t="s">
        <v>97</v>
      </c>
      <c r="BX29" s="195">
        <v>0.016168981481481482</v>
      </c>
      <c r="BY29" s="194" t="s">
        <v>97</v>
      </c>
      <c r="BZ29" s="195">
        <v>0.036689814814814814</v>
      </c>
      <c r="CA29" s="194" t="s">
        <v>97</v>
      </c>
      <c r="CB29" s="195">
        <v>0.06310185185185185</v>
      </c>
      <c r="CC29" s="194" t="s">
        <v>97</v>
      </c>
      <c r="CD29" s="195">
        <v>0.12957175925925926</v>
      </c>
      <c r="CE29" s="194" t="s">
        <v>80</v>
      </c>
      <c r="CF29" s="195">
        <v>0.12350694444444445</v>
      </c>
      <c r="CG29" s="194" t="s">
        <v>97</v>
      </c>
      <c r="CH29" s="195">
        <v>0.02181712962962963</v>
      </c>
      <c r="CI29" s="194" t="s">
        <v>80</v>
      </c>
      <c r="CJ29" s="195">
        <v>0.0</v>
      </c>
      <c r="CK29" s="194" t="s">
        <v>97</v>
      </c>
      <c r="CL29" s="195">
        <v>0.08368055555555555</v>
      </c>
      <c r="CM29" s="194" t="s">
        <v>97</v>
      </c>
      <c r="CN29" s="195">
        <v>0.0728125</v>
      </c>
      <c r="CO29" s="194" t="s">
        <v>97</v>
      </c>
      <c r="CP29" s="195">
        <v>0.05914351851851852</v>
      </c>
      <c r="CQ29" s="194" t="s">
        <v>97</v>
      </c>
      <c r="CR29" s="195">
        <v>0.02939814814814815</v>
      </c>
      <c r="CS29" s="194" t="s">
        <v>97</v>
      </c>
      <c r="CT29" s="195">
        <v>0.06233796296296296</v>
      </c>
      <c r="CU29" s="194" t="s">
        <v>97</v>
      </c>
      <c r="CV29" s="195">
        <v>0.05576388888888889</v>
      </c>
      <c r="CW29" s="194" t="s">
        <v>80</v>
      </c>
      <c r="CX29" s="195">
        <v>0.015034722222222222</v>
      </c>
      <c r="CY29" s="194" t="s">
        <v>57</v>
      </c>
      <c r="CZ29" s="195">
        <v>0.003761574074074074</v>
      </c>
      <c r="DA29" s="194" t="s">
        <v>57</v>
      </c>
      <c r="DB29" s="195">
        <v>0.004386574074074074</v>
      </c>
      <c r="DC29" s="194" t="s">
        <v>80</v>
      </c>
      <c r="DD29" s="195">
        <v>0.02505787037037037</v>
      </c>
      <c r="DE29" s="194" t="s">
        <v>97</v>
      </c>
      <c r="DF29" s="195">
        <v>0.021550925925925925</v>
      </c>
      <c r="DG29" s="194" t="s">
        <v>97</v>
      </c>
      <c r="DH29" s="195">
        <v>2.7947106481481487</v>
      </c>
      <c r="DI29" s="194" t="s">
        <v>41</v>
      </c>
      <c r="DJ29" s="195">
        <v>0.10471064814814815</v>
      </c>
      <c r="DK29" s="194" t="s">
        <v>41</v>
      </c>
      <c r="DL29" s="195">
        <v>0.19969907407407408</v>
      </c>
      <c r="DM29" s="194" t="s">
        <v>91</v>
      </c>
      <c r="DN29" s="195">
        <v>0.0024652777777777776</v>
      </c>
      <c r="DO29" s="194" t="s">
        <v>464</v>
      </c>
      <c r="DP29" s="195">
        <v>0.0240625</v>
      </c>
      <c r="DQ29" s="194" t="s">
        <v>18</v>
      </c>
      <c r="DR29" s="195">
        <v>0.008460648148148148</v>
      </c>
      <c r="DS29" s="194" t="s">
        <v>41</v>
      </c>
      <c r="DT29" s="195">
        <v>0.46644675925925927</v>
      </c>
      <c r="DU29" s="194" t="s">
        <v>43</v>
      </c>
      <c r="DV29" s="195">
        <v>0.0013541666666666667</v>
      </c>
      <c r="DW29" s="194" t="s">
        <v>23</v>
      </c>
      <c r="DX29" s="195">
        <v>2.314814814814815E-4</v>
      </c>
      <c r="DY29" s="194" t="s">
        <v>30</v>
      </c>
      <c r="DZ29" s="195">
        <v>0.06871527777777778</v>
      </c>
      <c r="EA29" s="194" t="s">
        <v>464</v>
      </c>
      <c r="EB29" s="195">
        <v>0.0044907407407407405</v>
      </c>
      <c r="EC29" s="194" t="s">
        <v>51</v>
      </c>
      <c r="ED29" s="195">
        <v>0.0038078703703703703</v>
      </c>
      <c r="EE29" s="194" t="s">
        <v>43</v>
      </c>
      <c r="EF29" s="195">
        <v>0.010949074074074075</v>
      </c>
      <c r="EG29" s="194" t="s">
        <v>25</v>
      </c>
      <c r="EH29" s="195">
        <v>0.11282407407407408</v>
      </c>
      <c r="EI29" s="194" t="s">
        <v>83</v>
      </c>
      <c r="EJ29" s="195">
        <v>0.03497685185185185</v>
      </c>
      <c r="EK29" s="194" t="s">
        <v>23</v>
      </c>
      <c r="EL29" s="195">
        <v>0.022094907407407407</v>
      </c>
      <c r="EM29" s="194" t="s">
        <v>464</v>
      </c>
      <c r="EN29" s="195">
        <v>0.048275462962962964</v>
      </c>
      <c r="EO29" s="194" t="s">
        <v>31</v>
      </c>
      <c r="EP29" s="195">
        <v>0.044409722222222225</v>
      </c>
      <c r="EQ29" s="194" t="s">
        <v>62</v>
      </c>
      <c r="ER29" s="195">
        <v>0.14305555555555555</v>
      </c>
      <c r="ES29" s="194" t="s">
        <v>464</v>
      </c>
      <c r="ET29" s="195">
        <v>0.06835648148148148</v>
      </c>
      <c r="EU29" s="194" t="s">
        <v>41</v>
      </c>
      <c r="EV29" s="195">
        <v>1.273148148148148E-4</v>
      </c>
      <c r="EW29" s="194" t="s">
        <v>90</v>
      </c>
      <c r="EX29" s="195">
        <v>0.0016782407407407408</v>
      </c>
      <c r="EY29" s="193"/>
      <c r="EZ29" s="193"/>
      <c r="FA29" s="194" t="s">
        <v>105</v>
      </c>
      <c r="FB29" s="195">
        <v>0.006608796296296297</v>
      </c>
      <c r="FC29" s="194" t="s">
        <v>90</v>
      </c>
      <c r="FD29" s="195">
        <v>0.015960648148148147</v>
      </c>
      <c r="FE29" s="194" t="s">
        <v>41</v>
      </c>
      <c r="FF29" s="195">
        <v>0.15559027777777779</v>
      </c>
      <c r="FG29" s="194" t="s">
        <v>90</v>
      </c>
      <c r="FH29" s="195">
        <v>0.028900462962962965</v>
      </c>
      <c r="FI29" s="194" t="s">
        <v>83</v>
      </c>
      <c r="FJ29" s="195">
        <v>0.034722222222222224</v>
      </c>
      <c r="FK29" s="194" t="s">
        <v>43</v>
      </c>
      <c r="FL29" s="195">
        <v>0.0037731481481481483</v>
      </c>
      <c r="FM29" s="194" t="s">
        <v>29</v>
      </c>
      <c r="FN29" s="195">
        <v>0.05976851851851852</v>
      </c>
      <c r="FO29" s="194" t="s">
        <v>432</v>
      </c>
      <c r="FP29" s="195">
        <v>0.047453703703703706</v>
      </c>
      <c r="FQ29" s="194" t="s">
        <v>18</v>
      </c>
      <c r="FR29" s="195">
        <v>0.002372685185185185</v>
      </c>
      <c r="FS29" s="194" t="s">
        <v>51</v>
      </c>
      <c r="FT29" s="195">
        <v>3.125E-4</v>
      </c>
      <c r="FU29" s="194" t="s">
        <v>51</v>
      </c>
      <c r="FV29" s="195">
        <v>4.2824074074074075E-4</v>
      </c>
      <c r="FW29" s="194" t="s">
        <v>426</v>
      </c>
      <c r="FX29" s="195">
        <v>0.005046296296296296</v>
      </c>
      <c r="FY29" s="198" t="s">
        <v>61</v>
      </c>
      <c r="FZ29" s="199">
        <v>0.02662037037037037</v>
      </c>
      <c r="GA29" s="194" t="s">
        <v>63</v>
      </c>
      <c r="GB29" s="195">
        <v>0.007199074074074074</v>
      </c>
      <c r="GC29" s="194" t="s">
        <v>29</v>
      </c>
      <c r="GD29" s="195">
        <v>0.0646412037037037</v>
      </c>
      <c r="GE29" s="194" t="s">
        <v>21</v>
      </c>
      <c r="GF29" s="195">
        <v>0.015844907407407408</v>
      </c>
      <c r="GG29" s="194" t="s">
        <v>102</v>
      </c>
      <c r="GH29" s="195">
        <v>0.07440972222222222</v>
      </c>
      <c r="GI29" s="185" t="s">
        <v>73</v>
      </c>
      <c r="GJ29" s="186">
        <v>0.2569444444444444</v>
      </c>
      <c r="GK29" s="185" t="s">
        <v>74</v>
      </c>
      <c r="GL29" s="186">
        <v>0.03675925925925926</v>
      </c>
      <c r="GM29" s="185" t="s">
        <v>425</v>
      </c>
      <c r="GN29" s="186">
        <v>0.07836805555555555</v>
      </c>
      <c r="GO29" s="187" t="s">
        <v>73</v>
      </c>
      <c r="GP29" s="188">
        <v>0.016863425925925928</v>
      </c>
      <c r="GQ29" s="187" t="s">
        <v>425</v>
      </c>
      <c r="GR29" s="188">
        <v>0.04833333333333333</v>
      </c>
      <c r="GS29" s="187" t="s">
        <v>425</v>
      </c>
      <c r="GT29" s="188">
        <v>0.05403935185185185</v>
      </c>
      <c r="GU29" s="187" t="s">
        <v>71</v>
      </c>
      <c r="GV29" s="188">
        <v>0.015462962962962963</v>
      </c>
      <c r="GW29" s="190" t="s">
        <v>36</v>
      </c>
      <c r="GX29" s="191">
        <v>0.10775462962962963</v>
      </c>
      <c r="GY29" s="190" t="s">
        <v>80</v>
      </c>
      <c r="GZ29" s="191">
        <v>0.005474537037037037</v>
      </c>
      <c r="HA29" s="190" t="s">
        <v>71</v>
      </c>
      <c r="HB29" s="191">
        <v>0.006701388888888889</v>
      </c>
      <c r="HC29" s="190" t="s">
        <v>73</v>
      </c>
      <c r="HD29" s="191">
        <v>0.04434027777777778</v>
      </c>
      <c r="HE29" s="190" t="s">
        <v>87</v>
      </c>
      <c r="HF29" s="191">
        <v>0.032928240740740744</v>
      </c>
      <c r="HG29" s="190" t="s">
        <v>80</v>
      </c>
      <c r="HH29" s="191">
        <v>0.03337962962962963</v>
      </c>
      <c r="HI29" s="190" t="s">
        <v>36</v>
      </c>
      <c r="HJ29" s="191">
        <v>0.10675925925925926</v>
      </c>
      <c r="HK29" s="190" t="s">
        <v>87</v>
      </c>
      <c r="HL29" s="191">
        <v>0.005983796296296296</v>
      </c>
      <c r="HM29" s="190" t="s">
        <v>96</v>
      </c>
      <c r="HN29" s="191">
        <v>0.07769675925925926</v>
      </c>
      <c r="HO29" s="190" t="s">
        <v>90</v>
      </c>
      <c r="HP29" s="191">
        <v>0.20077546296296298</v>
      </c>
      <c r="HQ29" s="190" t="s">
        <v>36</v>
      </c>
      <c r="HR29" s="191">
        <v>0.13625</v>
      </c>
      <c r="HS29" s="190" t="s">
        <v>80</v>
      </c>
      <c r="HT29" s="191">
        <v>1.0416666666666667E-4</v>
      </c>
      <c r="HU29" s="190" t="s">
        <v>80</v>
      </c>
      <c r="HV29" s="191">
        <v>0.01292824074074074</v>
      </c>
      <c r="HW29" s="190" t="s">
        <v>23</v>
      </c>
      <c r="HX29" s="191">
        <v>0.2172337962962963</v>
      </c>
      <c r="HY29" s="187"/>
      <c r="HZ29" s="187"/>
      <c r="IA29" s="187"/>
      <c r="IB29" s="187"/>
      <c r="IC29" s="187"/>
      <c r="ID29" s="187"/>
      <c r="IE29" s="196" t="s">
        <v>465</v>
      </c>
      <c r="IF29" s="197">
        <v>0.2883912037037037</v>
      </c>
      <c r="IG29" s="178"/>
      <c r="IH29" s="196" t="s">
        <v>465</v>
      </c>
      <c r="II29" s="197">
        <v>0.031053240740740742</v>
      </c>
      <c r="IJ29" s="178"/>
      <c r="IK29" s="196" t="s">
        <v>99</v>
      </c>
      <c r="IL29" s="197">
        <v>0.6183449074074074</v>
      </c>
      <c r="IM29" s="196" t="s">
        <v>92</v>
      </c>
      <c r="IN29" s="197">
        <v>0.007893518518518518</v>
      </c>
      <c r="IO29" s="196" t="s">
        <v>95</v>
      </c>
      <c r="IP29" s="197">
        <v>0.2539699074074074</v>
      </c>
      <c r="IQ29" s="178"/>
      <c r="IR29" s="196" t="s">
        <v>94</v>
      </c>
      <c r="IS29" s="197">
        <v>0.23543981481481482</v>
      </c>
      <c r="IT29" s="178"/>
      <c r="IU29" s="196" t="s">
        <v>94</v>
      </c>
      <c r="IV29" s="197">
        <v>0.22288194444444445</v>
      </c>
      <c r="IW29" s="178"/>
      <c r="IX29" s="196" t="s">
        <v>90</v>
      </c>
      <c r="IY29" s="197">
        <v>0.03954861111111111</v>
      </c>
      <c r="IZ29" s="187" t="s">
        <v>95</v>
      </c>
      <c r="JA29" s="188">
        <v>0.23599537037037038</v>
      </c>
      <c r="JB29" s="187" t="s">
        <v>61</v>
      </c>
      <c r="JC29" s="188">
        <v>0.0051967592592592595</v>
      </c>
      <c r="JD29" s="178"/>
    </row>
    <row r="30">
      <c r="A30" s="193"/>
      <c r="B30" s="193"/>
      <c r="C30" s="193"/>
      <c r="D30" s="193"/>
      <c r="E30" s="193"/>
      <c r="F30" s="193"/>
      <c r="G30" s="193"/>
      <c r="H30" s="193"/>
      <c r="I30" s="193"/>
      <c r="J30" s="193"/>
      <c r="K30" s="193"/>
      <c r="L30" s="193"/>
      <c r="M30" s="193"/>
      <c r="N30" s="193"/>
      <c r="O30" s="193"/>
      <c r="P30" s="193"/>
      <c r="Q30" s="193"/>
      <c r="R30" s="193"/>
      <c r="S30" s="193"/>
      <c r="T30" s="193"/>
      <c r="U30" s="193"/>
      <c r="V30" s="193"/>
      <c r="W30" s="194"/>
      <c r="X30" s="195"/>
      <c r="Y30" s="193"/>
      <c r="Z30" s="193"/>
      <c r="AA30" s="193"/>
      <c r="AB30" s="193"/>
      <c r="AC30" s="194" t="s">
        <v>36</v>
      </c>
      <c r="AD30" s="195">
        <v>0.046157407407407404</v>
      </c>
      <c r="AE30" s="193"/>
      <c r="AF30" s="193"/>
      <c r="AG30" s="194" t="s">
        <v>25</v>
      </c>
      <c r="AH30" s="195">
        <v>0.0031134259259259257</v>
      </c>
      <c r="AI30" s="194" t="s">
        <v>70</v>
      </c>
      <c r="AJ30" s="195">
        <v>0.0021064814814814813</v>
      </c>
      <c r="AK30" s="194" t="s">
        <v>50</v>
      </c>
      <c r="AL30" s="195">
        <v>0.019282407407407408</v>
      </c>
      <c r="AM30" s="194" t="s">
        <v>101</v>
      </c>
      <c r="AN30" s="195">
        <v>0.037974537037037036</v>
      </c>
      <c r="AO30" s="194" t="s">
        <v>101</v>
      </c>
      <c r="AP30" s="195">
        <v>0.17025462962962962</v>
      </c>
      <c r="AQ30" s="194" t="s">
        <v>40</v>
      </c>
      <c r="AR30" s="195">
        <v>0.0013773148148148147</v>
      </c>
      <c r="AS30" s="194" t="s">
        <v>98</v>
      </c>
      <c r="AT30" s="195">
        <v>0.1632986111111111</v>
      </c>
      <c r="AU30" s="194" t="s">
        <v>50</v>
      </c>
      <c r="AV30" s="195">
        <v>0.05810185185185185</v>
      </c>
      <c r="AW30" s="194" t="s">
        <v>80</v>
      </c>
      <c r="AX30" s="195">
        <v>0.4994560185185185</v>
      </c>
      <c r="AY30" s="194" t="s">
        <v>80</v>
      </c>
      <c r="AZ30" s="195">
        <v>0.5588194444444444</v>
      </c>
      <c r="BA30" s="194" t="s">
        <v>50</v>
      </c>
      <c r="BB30" s="195">
        <v>0.25537037037037036</v>
      </c>
      <c r="BC30" s="194" t="s">
        <v>80</v>
      </c>
      <c r="BD30" s="195">
        <v>0.34399305555555554</v>
      </c>
      <c r="BE30" s="194" t="s">
        <v>80</v>
      </c>
      <c r="BF30" s="195">
        <v>0.1697685185185185</v>
      </c>
      <c r="BG30" s="194" t="s">
        <v>80</v>
      </c>
      <c r="BH30" s="195">
        <v>0.10773148148148148</v>
      </c>
      <c r="BI30" s="194" t="s">
        <v>80</v>
      </c>
      <c r="BJ30" s="195">
        <v>0.2156712962962963</v>
      </c>
      <c r="BK30" s="194" t="s">
        <v>80</v>
      </c>
      <c r="BL30" s="195">
        <v>0.13717592592592592</v>
      </c>
      <c r="BM30" s="194" t="s">
        <v>80</v>
      </c>
      <c r="BN30" s="195">
        <v>0.16109953703703703</v>
      </c>
      <c r="BO30" s="194" t="s">
        <v>80</v>
      </c>
      <c r="BP30" s="195">
        <v>0.07256944444444445</v>
      </c>
      <c r="BQ30" s="194" t="s">
        <v>80</v>
      </c>
      <c r="BR30" s="195">
        <v>0.06351851851851852</v>
      </c>
      <c r="BS30" s="194" t="s">
        <v>80</v>
      </c>
      <c r="BT30" s="195">
        <v>0.1395486111111111</v>
      </c>
      <c r="BU30" s="194" t="s">
        <v>80</v>
      </c>
      <c r="BV30" s="195">
        <v>0.06112268518518518</v>
      </c>
      <c r="BW30" s="194" t="s">
        <v>80</v>
      </c>
      <c r="BX30" s="195">
        <v>0.09445601851851852</v>
      </c>
      <c r="BY30" s="194" t="s">
        <v>80</v>
      </c>
      <c r="BZ30" s="195">
        <v>0.13252314814814814</v>
      </c>
      <c r="CA30" s="194" t="s">
        <v>80</v>
      </c>
      <c r="CB30" s="195">
        <v>0.1265625</v>
      </c>
      <c r="CC30" s="194" t="s">
        <v>80</v>
      </c>
      <c r="CD30" s="195">
        <v>0.034513888888888886</v>
      </c>
      <c r="CE30" s="194" t="s">
        <v>50</v>
      </c>
      <c r="CF30" s="195">
        <v>0.7562847222222222</v>
      </c>
      <c r="CG30" s="194" t="s">
        <v>80</v>
      </c>
      <c r="CH30" s="195">
        <v>0.014363425925925925</v>
      </c>
      <c r="CI30" s="194" t="s">
        <v>50</v>
      </c>
      <c r="CJ30" s="195">
        <v>0.829224537037037</v>
      </c>
      <c r="CK30" s="194" t="s">
        <v>80</v>
      </c>
      <c r="CL30" s="195">
        <v>0.09305555555555556</v>
      </c>
      <c r="CM30" s="194" t="s">
        <v>80</v>
      </c>
      <c r="CN30" s="195">
        <v>0.15434027777777778</v>
      </c>
      <c r="CO30" s="194" t="s">
        <v>80</v>
      </c>
      <c r="CP30" s="195">
        <v>0.08120370370370371</v>
      </c>
      <c r="CQ30" s="194" t="s">
        <v>80</v>
      </c>
      <c r="CR30" s="195">
        <v>0.02175925925925926</v>
      </c>
      <c r="CS30" s="194" t="s">
        <v>80</v>
      </c>
      <c r="CT30" s="195">
        <v>0.09748842592592592</v>
      </c>
      <c r="CU30" s="194" t="s">
        <v>80</v>
      </c>
      <c r="CV30" s="195">
        <v>0.04383101851851852</v>
      </c>
      <c r="CW30" s="194" t="s">
        <v>50</v>
      </c>
      <c r="CX30" s="195">
        <v>0.042916666666666665</v>
      </c>
      <c r="CY30" s="194" t="s">
        <v>98</v>
      </c>
      <c r="CZ30" s="195">
        <v>0.07613425925925926</v>
      </c>
      <c r="DA30" s="194" t="s">
        <v>98</v>
      </c>
      <c r="DB30" s="195">
        <v>0.03560185185185185</v>
      </c>
      <c r="DC30" s="194" t="s">
        <v>50</v>
      </c>
      <c r="DD30" s="195">
        <v>0.06587962962962964</v>
      </c>
      <c r="DE30" s="194" t="s">
        <v>80</v>
      </c>
      <c r="DF30" s="195">
        <v>0.03234953703703704</v>
      </c>
      <c r="DG30" s="194" t="s">
        <v>80</v>
      </c>
      <c r="DH30" s="195">
        <v>0.4395949074074075</v>
      </c>
      <c r="DI30" s="194" t="s">
        <v>105</v>
      </c>
      <c r="DJ30" s="195">
        <v>0.0077314814814814815</v>
      </c>
      <c r="DK30" s="194" t="s">
        <v>105</v>
      </c>
      <c r="DL30" s="195">
        <v>5.208333333333333E-4</v>
      </c>
      <c r="DM30" s="194" t="s">
        <v>464</v>
      </c>
      <c r="DN30" s="195">
        <v>8.680555555555555E-4</v>
      </c>
      <c r="DO30" s="194" t="s">
        <v>41</v>
      </c>
      <c r="DP30" s="195">
        <v>0.3334837962962963</v>
      </c>
      <c r="DQ30" s="194" t="s">
        <v>464</v>
      </c>
      <c r="DR30" s="195">
        <v>0.001585648148148148</v>
      </c>
      <c r="DS30" s="194" t="s">
        <v>105</v>
      </c>
      <c r="DT30" s="195">
        <v>0.007222222222222222</v>
      </c>
      <c r="DU30" s="194" t="s">
        <v>82</v>
      </c>
      <c r="DV30" s="195">
        <v>0.09729166666666667</v>
      </c>
      <c r="DW30" s="194" t="s">
        <v>41</v>
      </c>
      <c r="DX30" s="195">
        <v>0.01832175925925926</v>
      </c>
      <c r="DY30" s="194" t="s">
        <v>61</v>
      </c>
      <c r="DZ30" s="195">
        <v>0.005983796296296296</v>
      </c>
      <c r="EA30" s="194" t="s">
        <v>465</v>
      </c>
      <c r="EB30" s="195">
        <v>0.026504629629629628</v>
      </c>
      <c r="EC30" s="194" t="s">
        <v>31</v>
      </c>
      <c r="ED30" s="195">
        <v>2.199074074074074E-4</v>
      </c>
      <c r="EE30" s="194" t="s">
        <v>82</v>
      </c>
      <c r="EF30" s="195">
        <v>1.9675925925925926E-4</v>
      </c>
      <c r="EG30" s="194" t="s">
        <v>103</v>
      </c>
      <c r="EH30" s="195">
        <v>0.009525462962962963</v>
      </c>
      <c r="EI30" s="194" t="s">
        <v>63</v>
      </c>
      <c r="EJ30" s="195">
        <v>0.0013541666666666667</v>
      </c>
      <c r="EK30" s="194" t="s">
        <v>41</v>
      </c>
      <c r="EL30" s="195">
        <v>0.03369212962962963</v>
      </c>
      <c r="EM30" s="194" t="s">
        <v>465</v>
      </c>
      <c r="EN30" s="195">
        <v>0.05834490740740741</v>
      </c>
      <c r="EO30" s="194" t="s">
        <v>25</v>
      </c>
      <c r="EP30" s="195">
        <v>0.10288194444444444</v>
      </c>
      <c r="EQ30" s="194" t="s">
        <v>31</v>
      </c>
      <c r="ER30" s="195">
        <v>0.018391203703703705</v>
      </c>
      <c r="ES30" s="194" t="s">
        <v>465</v>
      </c>
      <c r="ET30" s="195">
        <v>0.05119212962962963</v>
      </c>
      <c r="EU30" s="194" t="s">
        <v>83</v>
      </c>
      <c r="EV30" s="195">
        <v>0.04569444444444445</v>
      </c>
      <c r="EW30" s="194" t="s">
        <v>464</v>
      </c>
      <c r="EX30" s="195">
        <v>0.03715277777777778</v>
      </c>
      <c r="EY30" s="193"/>
      <c r="EZ30" s="193"/>
      <c r="FA30" s="194" t="s">
        <v>83</v>
      </c>
      <c r="FB30" s="195">
        <v>0.004872685185185185</v>
      </c>
      <c r="FC30" s="194" t="s">
        <v>18</v>
      </c>
      <c r="FD30" s="195">
        <v>0.004583333333333333</v>
      </c>
      <c r="FE30" s="194" t="s">
        <v>105</v>
      </c>
      <c r="FF30" s="195">
        <v>0.0040625</v>
      </c>
      <c r="FG30" s="194" t="s">
        <v>464</v>
      </c>
      <c r="FH30" s="195">
        <v>0.03113425925925926</v>
      </c>
      <c r="FI30" s="194" t="s">
        <v>63</v>
      </c>
      <c r="FJ30" s="195">
        <v>0.012418981481481482</v>
      </c>
      <c r="FK30" s="194" t="s">
        <v>99</v>
      </c>
      <c r="FL30" s="195">
        <v>0.001238425925925926</v>
      </c>
      <c r="FM30" s="194" t="s">
        <v>62</v>
      </c>
      <c r="FN30" s="195">
        <v>0.004166666666666667</v>
      </c>
      <c r="FO30" s="194" t="s">
        <v>23</v>
      </c>
      <c r="FP30" s="195">
        <v>0.007569444444444445</v>
      </c>
      <c r="FQ30" s="194" t="s">
        <v>464</v>
      </c>
      <c r="FR30" s="195">
        <v>0.020127314814814813</v>
      </c>
      <c r="FS30" s="194" t="s">
        <v>25</v>
      </c>
      <c r="FT30" s="195">
        <v>0.005798611111111111</v>
      </c>
      <c r="FU30" s="194" t="s">
        <v>31</v>
      </c>
      <c r="FV30" s="195">
        <v>0.003159722222222222</v>
      </c>
      <c r="FW30" s="194" t="s">
        <v>93</v>
      </c>
      <c r="FX30" s="195">
        <v>0.0015625</v>
      </c>
      <c r="FY30" s="193"/>
      <c r="FZ30" s="193"/>
      <c r="GA30" s="194" t="s">
        <v>64</v>
      </c>
      <c r="GB30" s="195">
        <v>0.09940972222222222</v>
      </c>
      <c r="GC30" s="194" t="s">
        <v>62</v>
      </c>
      <c r="GD30" s="195">
        <v>0.10875</v>
      </c>
      <c r="GE30" s="194" t="s">
        <v>29</v>
      </c>
      <c r="GF30" s="195">
        <v>0.23488425925925926</v>
      </c>
      <c r="GG30" s="194" t="s">
        <v>428</v>
      </c>
      <c r="GH30" s="195">
        <v>0.01704861111111111</v>
      </c>
      <c r="GI30" s="185" t="s">
        <v>74</v>
      </c>
      <c r="GJ30" s="186">
        <v>0.08871527777777778</v>
      </c>
      <c r="GK30" s="185" t="s">
        <v>75</v>
      </c>
      <c r="GL30" s="186">
        <v>0.10563657407407408</v>
      </c>
      <c r="GM30" s="185" t="s">
        <v>42</v>
      </c>
      <c r="GN30" s="186">
        <v>0.07041666666666667</v>
      </c>
      <c r="GO30" s="187" t="s">
        <v>74</v>
      </c>
      <c r="GP30" s="188">
        <v>0.06674768518518519</v>
      </c>
      <c r="GQ30" s="187" t="s">
        <v>42</v>
      </c>
      <c r="GR30" s="188">
        <v>0.016226851851851853</v>
      </c>
      <c r="GS30" s="187" t="s">
        <v>42</v>
      </c>
      <c r="GT30" s="188">
        <v>0.019537037037037037</v>
      </c>
      <c r="GU30" s="187" t="s">
        <v>73</v>
      </c>
      <c r="GV30" s="188">
        <v>0.039837962962962964</v>
      </c>
      <c r="GW30" s="190" t="s">
        <v>23</v>
      </c>
      <c r="GX30" s="191">
        <v>0.07866898148148148</v>
      </c>
      <c r="GY30" s="190" t="s">
        <v>82</v>
      </c>
      <c r="GZ30" s="191">
        <v>0.06010416666666667</v>
      </c>
      <c r="HA30" s="190" t="s">
        <v>72</v>
      </c>
      <c r="HB30" s="191">
        <v>0.014791666666666667</v>
      </c>
      <c r="HC30" s="190" t="s">
        <v>74</v>
      </c>
      <c r="HD30" s="191">
        <v>0.08134259259259259</v>
      </c>
      <c r="HE30" s="190" t="s">
        <v>89</v>
      </c>
      <c r="HF30" s="191">
        <v>0.022372685185185186</v>
      </c>
      <c r="HG30" s="190" t="s">
        <v>82</v>
      </c>
      <c r="HH30" s="191">
        <v>0.032789351851851854</v>
      </c>
      <c r="HI30" s="190" t="s">
        <v>84</v>
      </c>
      <c r="HJ30" s="191">
        <v>0.006585648148148148</v>
      </c>
      <c r="HK30" s="190" t="s">
        <v>89</v>
      </c>
      <c r="HL30" s="191">
        <v>0.11182870370370371</v>
      </c>
      <c r="HM30" s="190" t="s">
        <v>97</v>
      </c>
      <c r="HN30" s="191">
        <v>0.1761574074074074</v>
      </c>
      <c r="HO30" s="190" t="s">
        <v>78</v>
      </c>
      <c r="HP30" s="191">
        <v>0.012430555555555556</v>
      </c>
      <c r="HQ30" s="190" t="s">
        <v>84</v>
      </c>
      <c r="HR30" s="191">
        <v>0.017256944444444443</v>
      </c>
      <c r="HS30" s="190" t="s">
        <v>82</v>
      </c>
      <c r="HT30" s="191">
        <v>0.048854166666666664</v>
      </c>
      <c r="HU30" s="190" t="s">
        <v>82</v>
      </c>
      <c r="HV30" s="191">
        <v>0.030462962962962963</v>
      </c>
      <c r="HW30" s="190" t="s">
        <v>89</v>
      </c>
      <c r="HX30" s="191">
        <v>0.08903935185185186</v>
      </c>
      <c r="HY30" s="187"/>
      <c r="HZ30" s="187"/>
      <c r="IA30" s="187"/>
      <c r="IB30" s="187"/>
      <c r="IC30" s="187"/>
      <c r="ID30" s="187"/>
      <c r="IE30" s="196" t="s">
        <v>23</v>
      </c>
      <c r="IF30" s="197">
        <v>3.472222222222222E-5</v>
      </c>
      <c r="IG30" s="178"/>
      <c r="IH30" s="196" t="s">
        <v>61</v>
      </c>
      <c r="II30" s="197">
        <v>0.017743055555555557</v>
      </c>
      <c r="IJ30" s="178"/>
      <c r="IK30" s="196" t="s">
        <v>61</v>
      </c>
      <c r="IL30" s="197">
        <v>0.017743055555555557</v>
      </c>
      <c r="IM30" s="196" t="s">
        <v>97</v>
      </c>
      <c r="IN30" s="197">
        <v>0.017314814814814814</v>
      </c>
      <c r="IO30" s="196" t="s">
        <v>92</v>
      </c>
      <c r="IP30" s="197">
        <v>0.010694444444444444</v>
      </c>
      <c r="IQ30" s="178"/>
      <c r="IR30" s="196" t="s">
        <v>95</v>
      </c>
      <c r="IS30" s="197">
        <v>0.30886574074074075</v>
      </c>
      <c r="IT30" s="178"/>
      <c r="IU30" s="196" t="s">
        <v>95</v>
      </c>
      <c r="IV30" s="197">
        <v>0.3911921296296296</v>
      </c>
      <c r="IW30" s="178"/>
      <c r="IX30" s="196" t="s">
        <v>426</v>
      </c>
      <c r="IY30" s="197">
        <v>0.09425925925925926</v>
      </c>
      <c r="IZ30" s="187" t="s">
        <v>92</v>
      </c>
      <c r="JA30" s="188">
        <v>0.0084375</v>
      </c>
      <c r="JB30" s="187" t="s">
        <v>101</v>
      </c>
      <c r="JC30" s="188">
        <v>0.04099537037037037</v>
      </c>
      <c r="JD30" s="178"/>
    </row>
    <row r="31">
      <c r="A31" s="193"/>
      <c r="B31" s="193"/>
      <c r="C31" s="193"/>
      <c r="D31" s="193"/>
      <c r="E31" s="193"/>
      <c r="F31" s="193"/>
      <c r="G31" s="193"/>
      <c r="H31" s="193"/>
      <c r="I31" s="193"/>
      <c r="J31" s="193"/>
      <c r="K31" s="193"/>
      <c r="L31" s="193"/>
      <c r="M31" s="193"/>
      <c r="N31" s="193"/>
      <c r="O31" s="193"/>
      <c r="P31" s="193"/>
      <c r="Q31" s="193"/>
      <c r="R31" s="193"/>
      <c r="S31" s="193"/>
      <c r="T31" s="193"/>
      <c r="U31" s="193"/>
      <c r="V31" s="193"/>
      <c r="W31" s="194"/>
      <c r="X31" s="195"/>
      <c r="Y31" s="193"/>
      <c r="Z31" s="193"/>
      <c r="AA31" s="193"/>
      <c r="AB31" s="193"/>
      <c r="AC31" s="194" t="s">
        <v>86</v>
      </c>
      <c r="AD31" s="195">
        <v>0.043680555555555556</v>
      </c>
      <c r="AE31" s="193"/>
      <c r="AF31" s="193"/>
      <c r="AG31" s="194" t="s">
        <v>103</v>
      </c>
      <c r="AH31" s="195">
        <v>3.7037037037037035E-4</v>
      </c>
      <c r="AI31" s="194" t="s">
        <v>44</v>
      </c>
      <c r="AJ31" s="195">
        <v>0.038125</v>
      </c>
      <c r="AK31" s="194" t="s">
        <v>57</v>
      </c>
      <c r="AL31" s="195">
        <v>0.021608796296296296</v>
      </c>
      <c r="AM31" s="194" t="s">
        <v>44</v>
      </c>
      <c r="AN31" s="195">
        <v>2.662037037037037E-4</v>
      </c>
      <c r="AO31" s="194" t="s">
        <v>70</v>
      </c>
      <c r="AP31" s="195">
        <v>5.555555555555556E-4</v>
      </c>
      <c r="AQ31" s="194" t="s">
        <v>98</v>
      </c>
      <c r="AR31" s="195">
        <v>0.13699074074074075</v>
      </c>
      <c r="AS31" s="194" t="s">
        <v>101</v>
      </c>
      <c r="AT31" s="195">
        <v>0.05399305555555556</v>
      </c>
      <c r="AU31" s="194" t="s">
        <v>57</v>
      </c>
      <c r="AV31" s="195">
        <v>0.060069444444444446</v>
      </c>
      <c r="AW31" s="194" t="s">
        <v>50</v>
      </c>
      <c r="AX31" s="195">
        <v>0.5974652777777778</v>
      </c>
      <c r="AY31" s="194" t="s">
        <v>50</v>
      </c>
      <c r="AZ31" s="195">
        <v>0.24873842592592593</v>
      </c>
      <c r="BA31" s="194" t="s">
        <v>57</v>
      </c>
      <c r="BB31" s="195">
        <v>0.3480787037037037</v>
      </c>
      <c r="BC31" s="194" t="s">
        <v>50</v>
      </c>
      <c r="BD31" s="195">
        <v>0.1189236111111111</v>
      </c>
      <c r="BE31" s="194" t="s">
        <v>50</v>
      </c>
      <c r="BF31" s="195">
        <v>0.01005787037037037</v>
      </c>
      <c r="BG31" s="194" t="s">
        <v>50</v>
      </c>
      <c r="BH31" s="195">
        <v>0.08424768518518519</v>
      </c>
      <c r="BI31" s="194" t="s">
        <v>50</v>
      </c>
      <c r="BJ31" s="195">
        <v>0.0821412037037037</v>
      </c>
      <c r="BK31" s="194" t="s">
        <v>50</v>
      </c>
      <c r="BL31" s="195">
        <v>0.08586805555555556</v>
      </c>
      <c r="BM31" s="194" t="s">
        <v>50</v>
      </c>
      <c r="BN31" s="195">
        <v>0.15930555555555556</v>
      </c>
      <c r="BO31" s="194" t="s">
        <v>50</v>
      </c>
      <c r="BP31" s="195">
        <v>0.11813657407407407</v>
      </c>
      <c r="BQ31" s="194" t="s">
        <v>50</v>
      </c>
      <c r="BR31" s="195">
        <v>0.14302083333333335</v>
      </c>
      <c r="BS31" s="194" t="s">
        <v>50</v>
      </c>
      <c r="BT31" s="195">
        <v>0.10453703703703704</v>
      </c>
      <c r="BU31" s="194" t="s">
        <v>50</v>
      </c>
      <c r="BV31" s="195">
        <v>0.05513888888888889</v>
      </c>
      <c r="BW31" s="194" t="s">
        <v>50</v>
      </c>
      <c r="BX31" s="195">
        <v>0.1492476851851852</v>
      </c>
      <c r="BY31" s="194" t="s">
        <v>50</v>
      </c>
      <c r="BZ31" s="195">
        <v>0.3180439814814815</v>
      </c>
      <c r="CA31" s="194" t="s">
        <v>50</v>
      </c>
      <c r="CB31" s="195">
        <v>0.5242824074074074</v>
      </c>
      <c r="CC31" s="194" t="s">
        <v>50</v>
      </c>
      <c r="CD31" s="195">
        <v>0.5706365740740741</v>
      </c>
      <c r="CE31" s="194" t="s">
        <v>57</v>
      </c>
      <c r="CF31" s="195">
        <v>0.14734953703703704</v>
      </c>
      <c r="CG31" s="194" t="s">
        <v>50</v>
      </c>
      <c r="CH31" s="195">
        <v>0.4304398148148148</v>
      </c>
      <c r="CI31" s="194" t="s">
        <v>57</v>
      </c>
      <c r="CJ31" s="195">
        <v>0.015671296296296298</v>
      </c>
      <c r="CK31" s="194" t="s">
        <v>50</v>
      </c>
      <c r="CL31" s="195">
        <v>0.7052777777777778</v>
      </c>
      <c r="CM31" s="194" t="s">
        <v>50</v>
      </c>
      <c r="CN31" s="195">
        <v>0.5589236111111111</v>
      </c>
      <c r="CO31" s="194" t="s">
        <v>50</v>
      </c>
      <c r="CP31" s="195">
        <v>0.38988425925925924</v>
      </c>
      <c r="CQ31" s="194" t="s">
        <v>50</v>
      </c>
      <c r="CR31" s="195">
        <v>0.2632060185185185</v>
      </c>
      <c r="CS31" s="194" t="s">
        <v>50</v>
      </c>
      <c r="CT31" s="195">
        <v>0.05920138888888889</v>
      </c>
      <c r="CU31" s="194" t="s">
        <v>50</v>
      </c>
      <c r="CV31" s="195">
        <v>0.09724537037037037</v>
      </c>
      <c r="CW31" s="194" t="s">
        <v>57</v>
      </c>
      <c r="CX31" s="195">
        <v>0.057025462962962965</v>
      </c>
      <c r="CY31" s="194" t="s">
        <v>101</v>
      </c>
      <c r="CZ31" s="195">
        <v>0.048796296296296296</v>
      </c>
      <c r="DA31" s="194" t="s">
        <v>101</v>
      </c>
      <c r="DB31" s="195">
        <v>0.004780092592592593</v>
      </c>
      <c r="DC31" s="194" t="s">
        <v>57</v>
      </c>
      <c r="DD31" s="195">
        <v>0.02802083333333333</v>
      </c>
      <c r="DE31" s="194" t="s">
        <v>50</v>
      </c>
      <c r="DF31" s="195">
        <v>0.08425925925925926</v>
      </c>
      <c r="DG31" s="194" t="s">
        <v>50</v>
      </c>
      <c r="DH31" s="195">
        <v>2.0861342592592593</v>
      </c>
      <c r="DI31" s="194" t="s">
        <v>83</v>
      </c>
      <c r="DJ31" s="195">
        <v>0.07099537037037038</v>
      </c>
      <c r="DK31" s="194" t="s">
        <v>83</v>
      </c>
      <c r="DL31" s="195">
        <v>0.09142361111111111</v>
      </c>
      <c r="DM31" s="194" t="s">
        <v>465</v>
      </c>
      <c r="DN31" s="195">
        <v>0.05123842592592592</v>
      </c>
      <c r="DO31" s="194" t="s">
        <v>105</v>
      </c>
      <c r="DP31" s="195">
        <v>0.044131944444444446</v>
      </c>
      <c r="DQ31" s="194" t="s">
        <v>41</v>
      </c>
      <c r="DR31" s="195">
        <v>0.6064930555555555</v>
      </c>
      <c r="DS31" s="194" t="s">
        <v>83</v>
      </c>
      <c r="DT31" s="195">
        <v>0.06313657407407407</v>
      </c>
      <c r="DU31" s="194" t="s">
        <v>90</v>
      </c>
      <c r="DV31" s="195">
        <v>0.047141203703703706</v>
      </c>
      <c r="DW31" s="194" t="s">
        <v>105</v>
      </c>
      <c r="DX31" s="195">
        <v>0.007476851851851852</v>
      </c>
      <c r="DY31" s="198" t="s">
        <v>53</v>
      </c>
      <c r="DZ31" s="199">
        <v>2.0833333333333335E-4</v>
      </c>
      <c r="EA31" s="194" t="s">
        <v>41</v>
      </c>
      <c r="EB31" s="195">
        <v>0.0661574074074074</v>
      </c>
      <c r="EC31" s="194" t="s">
        <v>25</v>
      </c>
      <c r="ED31" s="195">
        <v>0.15769675925925927</v>
      </c>
      <c r="EE31" s="194" t="s">
        <v>90</v>
      </c>
      <c r="EF31" s="195">
        <v>0.12215277777777778</v>
      </c>
      <c r="EG31" s="194" t="s">
        <v>43</v>
      </c>
      <c r="EH31" s="195">
        <v>4.166666666666667E-4</v>
      </c>
      <c r="EI31" s="194" t="s">
        <v>64</v>
      </c>
      <c r="EJ31" s="195">
        <v>2.314814814814815E-4</v>
      </c>
      <c r="EK31" s="194" t="s">
        <v>83</v>
      </c>
      <c r="EL31" s="195">
        <v>0.2687731481481481</v>
      </c>
      <c r="EM31" s="194" t="s">
        <v>432</v>
      </c>
      <c r="EN31" s="195">
        <v>0.005069444444444444</v>
      </c>
      <c r="EO31" s="194" t="s">
        <v>103</v>
      </c>
      <c r="EP31" s="195">
        <v>0.026828703703703705</v>
      </c>
      <c r="EQ31" s="194" t="s">
        <v>25</v>
      </c>
      <c r="ER31" s="195">
        <v>0.16372685185185185</v>
      </c>
      <c r="ES31" s="194" t="s">
        <v>41</v>
      </c>
      <c r="ET31" s="195">
        <v>0.044988425925925925</v>
      </c>
      <c r="EU31" s="194" t="s">
        <v>32</v>
      </c>
      <c r="EV31" s="195">
        <v>0.010868055555555556</v>
      </c>
      <c r="EW31" s="194" t="s">
        <v>465</v>
      </c>
      <c r="EX31" s="195">
        <v>0.0015972222222222223</v>
      </c>
      <c r="EY31" s="193"/>
      <c r="EZ31" s="193"/>
      <c r="FA31" s="194" t="s">
        <v>63</v>
      </c>
      <c r="FB31" s="195">
        <v>0.0018055555555555555</v>
      </c>
      <c r="FC31" s="194" t="s">
        <v>464</v>
      </c>
      <c r="FD31" s="195">
        <v>0.0719212962962963</v>
      </c>
      <c r="FE31" s="194" t="s">
        <v>83</v>
      </c>
      <c r="FF31" s="195">
        <v>0.04710648148148148</v>
      </c>
      <c r="FG31" s="194" t="s">
        <v>432</v>
      </c>
      <c r="FH31" s="195">
        <v>0.011631944444444445</v>
      </c>
      <c r="FI31" s="194" t="s">
        <v>64</v>
      </c>
      <c r="FJ31" s="195">
        <v>2.199074074074074E-4</v>
      </c>
      <c r="FK31" s="194" t="s">
        <v>82</v>
      </c>
      <c r="FL31" s="195">
        <v>0.030034722222222223</v>
      </c>
      <c r="FM31" s="194" t="s">
        <v>51</v>
      </c>
      <c r="FN31" s="195">
        <v>0.0028935185185185184</v>
      </c>
      <c r="FO31" s="194" t="s">
        <v>105</v>
      </c>
      <c r="FP31" s="195">
        <v>0.0028356481481481483</v>
      </c>
      <c r="FQ31" s="194" t="s">
        <v>23</v>
      </c>
      <c r="FR31" s="195">
        <v>0.014085648148148147</v>
      </c>
      <c r="FS31" s="194" t="s">
        <v>103</v>
      </c>
      <c r="FT31" s="195">
        <v>4.398148148148148E-4</v>
      </c>
      <c r="FU31" s="194" t="s">
        <v>103</v>
      </c>
      <c r="FV31" s="195">
        <v>0.05362268518518518</v>
      </c>
      <c r="FW31" s="194" t="s">
        <v>30</v>
      </c>
      <c r="FX31" s="195">
        <v>0.10712962962962963</v>
      </c>
      <c r="FY31" s="193"/>
      <c r="FZ31" s="193"/>
      <c r="GA31" s="194" t="s">
        <v>32</v>
      </c>
      <c r="GB31" s="195">
        <v>0.009155092592592593</v>
      </c>
      <c r="GC31" s="194" t="s">
        <v>31</v>
      </c>
      <c r="GD31" s="195">
        <v>0.0015162037037037036</v>
      </c>
      <c r="GE31" s="194" t="s">
        <v>62</v>
      </c>
      <c r="GF31" s="195">
        <v>0.19653935185185184</v>
      </c>
      <c r="GG31" s="194" t="s">
        <v>60</v>
      </c>
      <c r="GH31" s="195">
        <v>0.2937268518518519</v>
      </c>
      <c r="GI31" s="185" t="s">
        <v>75</v>
      </c>
      <c r="GJ31" s="186">
        <v>0.15278935185185186</v>
      </c>
      <c r="GK31" s="185" t="s">
        <v>425</v>
      </c>
      <c r="GL31" s="186">
        <v>0.14296296296296296</v>
      </c>
      <c r="GM31" s="185" t="s">
        <v>82</v>
      </c>
      <c r="GN31" s="186">
        <v>0.07466435185185186</v>
      </c>
      <c r="GO31" s="187" t="s">
        <v>75</v>
      </c>
      <c r="GP31" s="188">
        <v>0.056261574074074075</v>
      </c>
      <c r="GQ31" s="187" t="s">
        <v>80</v>
      </c>
      <c r="GR31" s="188">
        <v>1.6203703703703703E-4</v>
      </c>
      <c r="GS31" s="187" t="s">
        <v>82</v>
      </c>
      <c r="GT31" s="188">
        <v>0.09050925925925926</v>
      </c>
      <c r="GU31" s="187" t="s">
        <v>74</v>
      </c>
      <c r="GV31" s="188">
        <v>0.018703703703703705</v>
      </c>
      <c r="GW31" s="190" t="s">
        <v>86</v>
      </c>
      <c r="GX31" s="191">
        <v>2.314814814814815E-4</v>
      </c>
      <c r="GY31" s="190" t="s">
        <v>83</v>
      </c>
      <c r="GZ31" s="191">
        <v>0.012638888888888889</v>
      </c>
      <c r="HA31" s="190" t="s">
        <v>73</v>
      </c>
      <c r="HB31" s="191">
        <v>0.13546296296296295</v>
      </c>
      <c r="HC31" s="190" t="s">
        <v>75</v>
      </c>
      <c r="HD31" s="191">
        <v>0.07780092592592593</v>
      </c>
      <c r="HE31" s="190" t="s">
        <v>90</v>
      </c>
      <c r="HF31" s="191">
        <v>0.034722222222222224</v>
      </c>
      <c r="HG31" s="190" t="s">
        <v>36</v>
      </c>
      <c r="HH31" s="191">
        <v>0.0975462962962963</v>
      </c>
      <c r="HI31" s="190" t="s">
        <v>79</v>
      </c>
      <c r="HJ31" s="191">
        <v>0.0016782407407407408</v>
      </c>
      <c r="HK31" s="190" t="s">
        <v>90</v>
      </c>
      <c r="HL31" s="191">
        <v>0.08423611111111111</v>
      </c>
      <c r="HM31" s="190" t="s">
        <v>57</v>
      </c>
      <c r="HN31" s="191">
        <v>0.033726851851851855</v>
      </c>
      <c r="HO31" s="190" t="s">
        <v>426</v>
      </c>
      <c r="HP31" s="191">
        <v>0.041747685185185186</v>
      </c>
      <c r="HQ31" s="190" t="s">
        <v>79</v>
      </c>
      <c r="HR31" s="191">
        <v>0.07833333333333334</v>
      </c>
      <c r="HS31" s="190" t="s">
        <v>36</v>
      </c>
      <c r="HT31" s="191">
        <v>0.0952199074074074</v>
      </c>
      <c r="HU31" s="190" t="s">
        <v>83</v>
      </c>
      <c r="HV31" s="191">
        <v>0.0036805555555555554</v>
      </c>
      <c r="HW31" s="190" t="s">
        <v>90</v>
      </c>
      <c r="HX31" s="191">
        <v>0.05037037037037037</v>
      </c>
      <c r="HY31" s="187"/>
      <c r="HZ31" s="187"/>
      <c r="IA31" s="187"/>
      <c r="IB31" s="187"/>
      <c r="IC31" s="187"/>
      <c r="ID31" s="187"/>
      <c r="IE31" s="196" t="s">
        <v>63</v>
      </c>
      <c r="IF31" s="197">
        <v>0.039768518518518516</v>
      </c>
      <c r="IG31" s="178"/>
      <c r="IH31" s="196" t="s">
        <v>101</v>
      </c>
      <c r="II31" s="197">
        <v>0.052453703703703704</v>
      </c>
      <c r="IJ31" s="178"/>
      <c r="IK31" s="196" t="s">
        <v>101</v>
      </c>
      <c r="IL31" s="197">
        <v>0.052453703703703704</v>
      </c>
      <c r="IM31" s="196" t="s">
        <v>57</v>
      </c>
      <c r="IN31" s="197">
        <v>0.11880787037037037</v>
      </c>
      <c r="IO31" s="196" t="s">
        <v>97</v>
      </c>
      <c r="IP31" s="197">
        <v>0.02228009259259259</v>
      </c>
      <c r="IQ31" s="178"/>
      <c r="IR31" s="196" t="s">
        <v>97</v>
      </c>
      <c r="IS31" s="197">
        <v>0.07287037037037038</v>
      </c>
      <c r="IT31" s="178"/>
      <c r="IU31" s="196" t="s">
        <v>96</v>
      </c>
      <c r="IV31" s="197">
        <v>1.388888888888889E-4</v>
      </c>
      <c r="IW31" s="178"/>
      <c r="IX31" s="196" t="s">
        <v>93</v>
      </c>
      <c r="IY31" s="197">
        <v>0.07076388888888889</v>
      </c>
      <c r="IZ31" s="187" t="s">
        <v>97</v>
      </c>
      <c r="JA31" s="188">
        <v>0.044780092592592594</v>
      </c>
      <c r="JB31" s="187" t="s">
        <v>102</v>
      </c>
      <c r="JC31" s="188">
        <v>0.026898148148148147</v>
      </c>
      <c r="JD31" s="178"/>
    </row>
    <row r="32">
      <c r="A32" s="193"/>
      <c r="B32" s="193"/>
      <c r="C32" s="193"/>
      <c r="D32" s="193"/>
      <c r="E32" s="193"/>
      <c r="F32" s="193"/>
      <c r="G32" s="193"/>
      <c r="H32" s="193"/>
      <c r="I32" s="193"/>
      <c r="J32" s="193"/>
      <c r="K32" s="193"/>
      <c r="L32" s="193"/>
      <c r="M32" s="193"/>
      <c r="N32" s="193"/>
      <c r="O32" s="193"/>
      <c r="P32" s="193"/>
      <c r="Q32" s="193"/>
      <c r="R32" s="193"/>
      <c r="S32" s="193"/>
      <c r="T32" s="193"/>
      <c r="U32" s="193"/>
      <c r="V32" s="193"/>
      <c r="W32" s="194"/>
      <c r="X32" s="195"/>
      <c r="Y32" s="193"/>
      <c r="Z32" s="193"/>
      <c r="AA32" s="193"/>
      <c r="AB32" s="193"/>
      <c r="AC32" s="194" t="s">
        <v>87</v>
      </c>
      <c r="AD32" s="195">
        <v>0.016226851851851853</v>
      </c>
      <c r="AE32" s="193"/>
      <c r="AF32" s="193"/>
      <c r="AG32" s="194" t="s">
        <v>43</v>
      </c>
      <c r="AH32" s="195">
        <v>0.0028125</v>
      </c>
      <c r="AI32" s="194" t="s">
        <v>59</v>
      </c>
      <c r="AJ32" s="195">
        <v>0.026296296296296297</v>
      </c>
      <c r="AK32" s="194" t="s">
        <v>40</v>
      </c>
      <c r="AL32" s="195">
        <v>0.04605324074074074</v>
      </c>
      <c r="AM32" s="194" t="s">
        <v>428</v>
      </c>
      <c r="AN32" s="195">
        <v>0.0011458333333333333</v>
      </c>
      <c r="AO32" s="194" t="s">
        <v>44</v>
      </c>
      <c r="AP32" s="195">
        <v>0.012083333333333333</v>
      </c>
      <c r="AQ32" s="194" t="s">
        <v>101</v>
      </c>
      <c r="AR32" s="195">
        <v>0.02340277777777778</v>
      </c>
      <c r="AS32" s="194" t="s">
        <v>44</v>
      </c>
      <c r="AT32" s="195">
        <v>0.007719907407407407</v>
      </c>
      <c r="AU32" s="194" t="s">
        <v>40</v>
      </c>
      <c r="AV32" s="195">
        <v>0.10634259259259259</v>
      </c>
      <c r="AW32" s="194" t="s">
        <v>57</v>
      </c>
      <c r="AX32" s="195">
        <v>0.12383101851851852</v>
      </c>
      <c r="AY32" s="194" t="s">
        <v>57</v>
      </c>
      <c r="AZ32" s="195">
        <v>0.1658564814814815</v>
      </c>
      <c r="BA32" s="194" t="s">
        <v>40</v>
      </c>
      <c r="BB32" s="195">
        <v>0.21194444444444444</v>
      </c>
      <c r="BC32" s="194" t="s">
        <v>57</v>
      </c>
      <c r="BD32" s="195">
        <v>0.7713888888888889</v>
      </c>
      <c r="BE32" s="194" t="s">
        <v>57</v>
      </c>
      <c r="BF32" s="195">
        <v>0.9431828703703704</v>
      </c>
      <c r="BG32" s="194" t="s">
        <v>57</v>
      </c>
      <c r="BH32" s="195">
        <v>1.0203935185185184</v>
      </c>
      <c r="BI32" s="194" t="s">
        <v>57</v>
      </c>
      <c r="BJ32" s="195">
        <v>1.0747222222222221</v>
      </c>
      <c r="BK32" s="194" t="s">
        <v>57</v>
      </c>
      <c r="BL32" s="195">
        <v>0.4728819444444444</v>
      </c>
      <c r="BM32" s="194" t="s">
        <v>57</v>
      </c>
      <c r="BN32" s="195">
        <v>0.29726851851851854</v>
      </c>
      <c r="BO32" s="194" t="s">
        <v>57</v>
      </c>
      <c r="BP32" s="195">
        <v>0.17608796296296297</v>
      </c>
      <c r="BQ32" s="194" t="s">
        <v>57</v>
      </c>
      <c r="BR32" s="195">
        <v>0.11538194444444444</v>
      </c>
      <c r="BS32" s="194" t="s">
        <v>57</v>
      </c>
      <c r="BT32" s="195">
        <v>0.0790162037037037</v>
      </c>
      <c r="BU32" s="194" t="s">
        <v>57</v>
      </c>
      <c r="BV32" s="195">
        <v>0.13090277777777778</v>
      </c>
      <c r="BW32" s="194" t="s">
        <v>57</v>
      </c>
      <c r="BX32" s="195">
        <v>0.2642013888888889</v>
      </c>
      <c r="BY32" s="194" t="s">
        <v>57</v>
      </c>
      <c r="BZ32" s="195">
        <v>0.13501157407407408</v>
      </c>
      <c r="CA32" s="194" t="s">
        <v>57</v>
      </c>
      <c r="CB32" s="195">
        <v>0.10755787037037037</v>
      </c>
      <c r="CC32" s="194" t="s">
        <v>57</v>
      </c>
      <c r="CD32" s="195">
        <v>0.08814814814814814</v>
      </c>
      <c r="CE32" s="194" t="s">
        <v>40</v>
      </c>
      <c r="CF32" s="195">
        <v>0.10332175925925927</v>
      </c>
      <c r="CG32" s="194" t="s">
        <v>57</v>
      </c>
      <c r="CH32" s="195">
        <v>0.002013888888888889</v>
      </c>
      <c r="CI32" s="194" t="s">
        <v>40</v>
      </c>
      <c r="CJ32" s="195">
        <v>0.015104166666666667</v>
      </c>
      <c r="CK32" s="194" t="s">
        <v>57</v>
      </c>
      <c r="CL32" s="195">
        <v>0.07016203703703704</v>
      </c>
      <c r="CM32" s="194" t="s">
        <v>57</v>
      </c>
      <c r="CN32" s="195">
        <v>0.0628587962962963</v>
      </c>
      <c r="CO32" s="194" t="s">
        <v>57</v>
      </c>
      <c r="CP32" s="195">
        <v>0.03979166666666667</v>
      </c>
      <c r="CQ32" s="194" t="s">
        <v>57</v>
      </c>
      <c r="CR32" s="195">
        <v>0.05417824074074074</v>
      </c>
      <c r="CS32" s="194" t="s">
        <v>57</v>
      </c>
      <c r="CT32" s="195">
        <v>0.029861111111111113</v>
      </c>
      <c r="CU32" s="194" t="s">
        <v>57</v>
      </c>
      <c r="CV32" s="195">
        <v>0.031087962962962963</v>
      </c>
      <c r="CW32" s="194" t="s">
        <v>98</v>
      </c>
      <c r="CX32" s="195">
        <v>0.016307870370370372</v>
      </c>
      <c r="CY32" s="194" t="s">
        <v>70</v>
      </c>
      <c r="CZ32" s="195">
        <v>0.5270833333333333</v>
      </c>
      <c r="DA32" s="194" t="s">
        <v>70</v>
      </c>
      <c r="DB32" s="195">
        <v>0.5291319444444444</v>
      </c>
      <c r="DC32" s="194" t="s">
        <v>40</v>
      </c>
      <c r="DD32" s="195">
        <v>4.62962962962963E-4</v>
      </c>
      <c r="DE32" s="194" t="s">
        <v>57</v>
      </c>
      <c r="DF32" s="195">
        <v>0.016006944444444445</v>
      </c>
      <c r="DG32" s="194" t="s">
        <v>57</v>
      </c>
      <c r="DH32" s="195">
        <v>1.9109027777777776</v>
      </c>
      <c r="DI32" s="194" t="s">
        <v>63</v>
      </c>
      <c r="DJ32" s="195">
        <v>0.025069444444444443</v>
      </c>
      <c r="DK32" s="194" t="s">
        <v>63</v>
      </c>
      <c r="DL32" s="195">
        <v>0.01019675925925926</v>
      </c>
      <c r="DM32" s="194" t="s">
        <v>41</v>
      </c>
      <c r="DN32" s="195">
        <v>0.2716898148148148</v>
      </c>
      <c r="DO32" s="194" t="s">
        <v>83</v>
      </c>
      <c r="DP32" s="195">
        <v>0.19391203703703705</v>
      </c>
      <c r="DQ32" s="194" t="s">
        <v>105</v>
      </c>
      <c r="DR32" s="195">
        <v>0.006574074074074074</v>
      </c>
      <c r="DS32" s="194" t="s">
        <v>63</v>
      </c>
      <c r="DT32" s="195">
        <v>0.04386574074074074</v>
      </c>
      <c r="DU32" s="194" t="s">
        <v>18</v>
      </c>
      <c r="DV32" s="195">
        <v>0.03383101851851852</v>
      </c>
      <c r="DW32" s="194" t="s">
        <v>83</v>
      </c>
      <c r="DX32" s="195">
        <v>0.066875</v>
      </c>
      <c r="DY32" s="193"/>
      <c r="DZ32" s="193"/>
      <c r="EA32" s="194" t="s">
        <v>105</v>
      </c>
      <c r="EB32" s="195">
        <v>0.014340277777777778</v>
      </c>
      <c r="EC32" s="194" t="s">
        <v>103</v>
      </c>
      <c r="ED32" s="195">
        <v>0.04090277777777778</v>
      </c>
      <c r="EE32" s="194" t="s">
        <v>18</v>
      </c>
      <c r="EF32" s="195">
        <v>0.016064814814814816</v>
      </c>
      <c r="EG32" s="194" t="s">
        <v>82</v>
      </c>
      <c r="EH32" s="195">
        <v>0.0011226851851851851</v>
      </c>
      <c r="EI32" s="194" t="s">
        <v>32</v>
      </c>
      <c r="EJ32" s="195">
        <v>0.04627314814814815</v>
      </c>
      <c r="EK32" s="194" t="s">
        <v>63</v>
      </c>
      <c r="EL32" s="195">
        <v>0.02017361111111111</v>
      </c>
      <c r="EM32" s="194" t="s">
        <v>23</v>
      </c>
      <c r="EN32" s="195">
        <v>0.023275462962962963</v>
      </c>
      <c r="EO32" s="194" t="s">
        <v>82</v>
      </c>
      <c r="EP32" s="195">
        <v>0.019166666666666665</v>
      </c>
      <c r="EQ32" s="194" t="s">
        <v>103</v>
      </c>
      <c r="ER32" s="195">
        <v>0.02849537037037037</v>
      </c>
      <c r="ES32" s="194" t="s">
        <v>105</v>
      </c>
      <c r="ET32" s="195">
        <v>3.935185185185185E-4</v>
      </c>
      <c r="EU32" s="194" t="s">
        <v>22</v>
      </c>
      <c r="EV32" s="195">
        <v>0.041539351851851855</v>
      </c>
      <c r="EW32" s="194" t="s">
        <v>41</v>
      </c>
      <c r="EX32" s="195">
        <v>0.11418981481481481</v>
      </c>
      <c r="EY32" s="193"/>
      <c r="EZ32" s="193"/>
      <c r="FA32" s="194" t="s">
        <v>32</v>
      </c>
      <c r="FB32" s="195">
        <v>0.028564814814814814</v>
      </c>
      <c r="FC32" s="194" t="s">
        <v>432</v>
      </c>
      <c r="FD32" s="195">
        <v>0.01747685185185185</v>
      </c>
      <c r="FE32" s="194" t="s">
        <v>63</v>
      </c>
      <c r="FF32" s="195">
        <v>0.008217592592592592</v>
      </c>
      <c r="FG32" s="194" t="s">
        <v>23</v>
      </c>
      <c r="FH32" s="195">
        <v>0.005138888888888889</v>
      </c>
      <c r="FI32" s="194" t="s">
        <v>22</v>
      </c>
      <c r="FJ32" s="195">
        <v>7.407407407407407E-4</v>
      </c>
      <c r="FK32" s="194" t="s">
        <v>18</v>
      </c>
      <c r="FL32" s="195">
        <v>0.006724537037037037</v>
      </c>
      <c r="FM32" s="194" t="s">
        <v>31</v>
      </c>
      <c r="FN32" s="195">
        <v>0.0034027777777777776</v>
      </c>
      <c r="FO32" s="194" t="s">
        <v>83</v>
      </c>
      <c r="FP32" s="195">
        <v>0.07555555555555556</v>
      </c>
      <c r="FQ32" s="194" t="s">
        <v>83</v>
      </c>
      <c r="FR32" s="195">
        <v>0.051805555555555556</v>
      </c>
      <c r="FS32" s="194" t="s">
        <v>43</v>
      </c>
      <c r="FT32" s="195">
        <v>0.03009259259259259</v>
      </c>
      <c r="FU32" s="194" t="s">
        <v>43</v>
      </c>
      <c r="FV32" s="195">
        <v>0.012905092592592593</v>
      </c>
      <c r="FW32" s="194" t="s">
        <v>61</v>
      </c>
      <c r="FX32" s="195">
        <v>0.007141203703703703</v>
      </c>
      <c r="FY32" s="193"/>
      <c r="FZ32" s="193"/>
      <c r="GA32" s="194" t="s">
        <v>71</v>
      </c>
      <c r="GB32" s="195">
        <v>0.011782407407407408</v>
      </c>
      <c r="GC32" s="194" t="s">
        <v>25</v>
      </c>
      <c r="GD32" s="195">
        <v>0.0060416666666666665</v>
      </c>
      <c r="GE32" s="194" t="s">
        <v>31</v>
      </c>
      <c r="GF32" s="195">
        <v>0.006145833333333333</v>
      </c>
      <c r="GG32" s="194" t="s">
        <v>21</v>
      </c>
      <c r="GH32" s="195">
        <v>0.12418981481481481</v>
      </c>
      <c r="GI32" s="185" t="s">
        <v>425</v>
      </c>
      <c r="GJ32" s="186">
        <v>0.0846412037037037</v>
      </c>
      <c r="GK32" s="185" t="s">
        <v>42</v>
      </c>
      <c r="GL32" s="186">
        <v>0.018113425925925925</v>
      </c>
      <c r="GM32" s="185" t="s">
        <v>83</v>
      </c>
      <c r="GN32" s="186">
        <v>0.007974537037037037</v>
      </c>
      <c r="GO32" s="187" t="s">
        <v>425</v>
      </c>
      <c r="GP32" s="188">
        <v>0.06303240740740741</v>
      </c>
      <c r="GQ32" s="187" t="s">
        <v>82</v>
      </c>
      <c r="GR32" s="188">
        <v>0.03175925925925926</v>
      </c>
      <c r="GS32" s="187" t="s">
        <v>83</v>
      </c>
      <c r="GT32" s="188">
        <v>0.005138888888888889</v>
      </c>
      <c r="GU32" s="187" t="s">
        <v>75</v>
      </c>
      <c r="GV32" s="188">
        <v>0.0340162037037037</v>
      </c>
      <c r="GW32" s="190" t="s">
        <v>89</v>
      </c>
      <c r="GX32" s="191">
        <v>0.1544675925925926</v>
      </c>
      <c r="GY32" s="190" t="s">
        <v>36</v>
      </c>
      <c r="GZ32" s="191">
        <v>0.17275462962962962</v>
      </c>
      <c r="HA32" s="190" t="s">
        <v>74</v>
      </c>
      <c r="HB32" s="191">
        <v>0.02337962962962963</v>
      </c>
      <c r="HC32" s="190" t="s">
        <v>425</v>
      </c>
      <c r="HD32" s="191">
        <v>0.03128472222222222</v>
      </c>
      <c r="HE32" s="190" t="s">
        <v>426</v>
      </c>
      <c r="HF32" s="191">
        <v>0.09067129629629629</v>
      </c>
      <c r="HG32" s="190" t="s">
        <v>23</v>
      </c>
      <c r="HH32" s="191">
        <v>0.10996527777777777</v>
      </c>
      <c r="HI32" s="190" t="s">
        <v>23</v>
      </c>
      <c r="HJ32" s="191">
        <v>0.26481481481481484</v>
      </c>
      <c r="HK32" s="190" t="s">
        <v>426</v>
      </c>
      <c r="HL32" s="191">
        <v>0.19391203703703705</v>
      </c>
      <c r="HM32" s="190" t="s">
        <v>98</v>
      </c>
      <c r="HN32" s="191">
        <v>0.09305555555555556</v>
      </c>
      <c r="HO32" s="190" t="s">
        <v>93</v>
      </c>
      <c r="HP32" s="191">
        <v>0.0014814814814814814</v>
      </c>
      <c r="HQ32" s="190" t="s">
        <v>23</v>
      </c>
      <c r="HR32" s="191">
        <v>0.4100578703703704</v>
      </c>
      <c r="HS32" s="190" t="s">
        <v>84</v>
      </c>
      <c r="HT32" s="191">
        <v>0.011666666666666667</v>
      </c>
      <c r="HU32" s="190" t="s">
        <v>36</v>
      </c>
      <c r="HV32" s="191">
        <v>0.16648148148148148</v>
      </c>
      <c r="HW32" s="190" t="s">
        <v>93</v>
      </c>
      <c r="HX32" s="191">
        <v>0.044328703703703703</v>
      </c>
      <c r="HY32" s="187"/>
      <c r="HZ32" s="187"/>
      <c r="IA32" s="187"/>
      <c r="IB32" s="187"/>
      <c r="IC32" s="187"/>
      <c r="ID32" s="187"/>
      <c r="IE32" s="196" t="s">
        <v>22</v>
      </c>
      <c r="IF32" s="197">
        <v>1.6203703703703703E-4</v>
      </c>
      <c r="IG32" s="178"/>
      <c r="IH32" s="196" t="s">
        <v>102</v>
      </c>
      <c r="II32" s="197">
        <v>0.02693287037037037</v>
      </c>
      <c r="IJ32" s="178"/>
      <c r="IK32" s="196" t="s">
        <v>102</v>
      </c>
      <c r="IL32" s="197">
        <v>0.02693287037037037</v>
      </c>
      <c r="IM32" s="196" t="s">
        <v>428</v>
      </c>
      <c r="IN32" s="197">
        <v>0.025983796296296297</v>
      </c>
      <c r="IO32" s="196" t="s">
        <v>57</v>
      </c>
      <c r="IP32" s="197">
        <v>0.16681712962962963</v>
      </c>
      <c r="IQ32" s="178"/>
      <c r="IR32" s="196" t="s">
        <v>57</v>
      </c>
      <c r="IS32" s="197">
        <v>0.11710648148148148</v>
      </c>
      <c r="IT32" s="178"/>
      <c r="IU32" s="196" t="s">
        <v>92</v>
      </c>
      <c r="IV32" s="197">
        <v>0.0027083333333333334</v>
      </c>
      <c r="IW32" s="178"/>
      <c r="IX32" s="196" t="s">
        <v>94</v>
      </c>
      <c r="IY32" s="197">
        <v>0.12399305555555555</v>
      </c>
      <c r="IZ32" s="187" t="s">
        <v>57</v>
      </c>
      <c r="JA32" s="188">
        <v>0.08798611111111111</v>
      </c>
      <c r="JB32" s="187" t="s">
        <v>29</v>
      </c>
      <c r="JC32" s="188">
        <v>0.015046296296296295</v>
      </c>
      <c r="JD32" s="178"/>
    </row>
    <row r="33">
      <c r="A33" s="193"/>
      <c r="B33" s="193"/>
      <c r="C33" s="193"/>
      <c r="D33" s="193"/>
      <c r="E33" s="193"/>
      <c r="F33" s="193"/>
      <c r="G33" s="193"/>
      <c r="H33" s="193"/>
      <c r="I33" s="193"/>
      <c r="J33" s="193"/>
      <c r="K33" s="193"/>
      <c r="L33" s="193"/>
      <c r="M33" s="193"/>
      <c r="N33" s="193"/>
      <c r="O33" s="193"/>
      <c r="P33" s="193"/>
      <c r="Q33" s="193"/>
      <c r="R33" s="193"/>
      <c r="S33" s="193"/>
      <c r="T33" s="193"/>
      <c r="U33" s="193"/>
      <c r="V33" s="193"/>
      <c r="W33" s="194"/>
      <c r="X33" s="195"/>
      <c r="Y33" s="193"/>
      <c r="Z33" s="193"/>
      <c r="AA33" s="193"/>
      <c r="AB33" s="193"/>
      <c r="AC33" s="194" t="s">
        <v>52</v>
      </c>
      <c r="AD33" s="195">
        <v>0.001736111111111111</v>
      </c>
      <c r="AE33" s="193"/>
      <c r="AF33" s="193"/>
      <c r="AG33" s="194" t="s">
        <v>82</v>
      </c>
      <c r="AH33" s="195">
        <v>0.02060185185185185</v>
      </c>
      <c r="AI33" s="194" t="s">
        <v>428</v>
      </c>
      <c r="AJ33" s="195">
        <v>0.0038888888888888888</v>
      </c>
      <c r="AK33" s="194" t="s">
        <v>98</v>
      </c>
      <c r="AL33" s="195">
        <v>0.04121527777777778</v>
      </c>
      <c r="AM33" s="194" t="s">
        <v>60</v>
      </c>
      <c r="AN33" s="195">
        <v>0.06400462962962963</v>
      </c>
      <c r="AO33" s="194" t="s">
        <v>59</v>
      </c>
      <c r="AP33" s="195">
        <v>9.259259259259259E-5</v>
      </c>
      <c r="AQ33" s="194" t="s">
        <v>44</v>
      </c>
      <c r="AR33" s="195">
        <v>0.011273148148148148</v>
      </c>
      <c r="AS33" s="194" t="s">
        <v>59</v>
      </c>
      <c r="AT33" s="195">
        <v>0.12806712962962963</v>
      </c>
      <c r="AU33" s="194" t="s">
        <v>98</v>
      </c>
      <c r="AV33" s="195">
        <v>0.12113425925925926</v>
      </c>
      <c r="AW33" s="194" t="s">
        <v>40</v>
      </c>
      <c r="AX33" s="195">
        <v>0.1367824074074074</v>
      </c>
      <c r="AY33" s="194" t="s">
        <v>40</v>
      </c>
      <c r="AZ33" s="195">
        <v>0.175625</v>
      </c>
      <c r="BA33" s="194" t="s">
        <v>98</v>
      </c>
      <c r="BB33" s="195">
        <v>0.17234953703703704</v>
      </c>
      <c r="BC33" s="194" t="s">
        <v>40</v>
      </c>
      <c r="BD33" s="195">
        <v>0.45893518518518517</v>
      </c>
      <c r="BE33" s="194" t="s">
        <v>40</v>
      </c>
      <c r="BF33" s="195">
        <v>0.3939930555555556</v>
      </c>
      <c r="BG33" s="194" t="s">
        <v>40</v>
      </c>
      <c r="BH33" s="195">
        <v>0.4439699074074074</v>
      </c>
      <c r="BI33" s="194" t="s">
        <v>40</v>
      </c>
      <c r="BJ33" s="195">
        <v>0.276875</v>
      </c>
      <c r="BK33" s="194" t="s">
        <v>40</v>
      </c>
      <c r="BL33" s="195">
        <v>0.1709490740740741</v>
      </c>
      <c r="BM33" s="194" t="s">
        <v>40</v>
      </c>
      <c r="BN33" s="195">
        <v>0.17832175925925925</v>
      </c>
      <c r="BO33" s="194" t="s">
        <v>40</v>
      </c>
      <c r="BP33" s="195">
        <v>0.22130787037037036</v>
      </c>
      <c r="BQ33" s="194" t="s">
        <v>40</v>
      </c>
      <c r="BR33" s="195">
        <v>0.4062152777777778</v>
      </c>
      <c r="BS33" s="194" t="s">
        <v>40</v>
      </c>
      <c r="BT33" s="195">
        <v>0.3083796296296296</v>
      </c>
      <c r="BU33" s="194" t="s">
        <v>40</v>
      </c>
      <c r="BV33" s="195">
        <v>0.4196412037037037</v>
      </c>
      <c r="BW33" s="194" t="s">
        <v>40</v>
      </c>
      <c r="BX33" s="195">
        <v>0.3569560185185185</v>
      </c>
      <c r="BY33" s="194" t="s">
        <v>40</v>
      </c>
      <c r="BZ33" s="195">
        <v>0.21069444444444443</v>
      </c>
      <c r="CA33" s="194" t="s">
        <v>40</v>
      </c>
      <c r="CB33" s="195">
        <v>0.12471064814814815</v>
      </c>
      <c r="CC33" s="194" t="s">
        <v>40</v>
      </c>
      <c r="CD33" s="195">
        <v>0.15898148148148147</v>
      </c>
      <c r="CE33" s="194" t="s">
        <v>98</v>
      </c>
      <c r="CF33" s="195">
        <v>0.2703935185185185</v>
      </c>
      <c r="CG33" s="194" t="s">
        <v>40</v>
      </c>
      <c r="CH33" s="195">
        <v>0.043854166666666666</v>
      </c>
      <c r="CI33" s="194" t="s">
        <v>98</v>
      </c>
      <c r="CJ33" s="195">
        <v>0.073125</v>
      </c>
      <c r="CK33" s="194" t="s">
        <v>40</v>
      </c>
      <c r="CL33" s="195">
        <v>0.013136574074074075</v>
      </c>
      <c r="CM33" s="194" t="s">
        <v>40</v>
      </c>
      <c r="CN33" s="195">
        <v>0.01693287037037037</v>
      </c>
      <c r="CO33" s="194" t="s">
        <v>40</v>
      </c>
      <c r="CP33" s="195">
        <v>0.01855324074074074</v>
      </c>
      <c r="CQ33" s="194" t="s">
        <v>98</v>
      </c>
      <c r="CR33" s="195">
        <v>0.011840277777777778</v>
      </c>
      <c r="CS33" s="194" t="s">
        <v>40</v>
      </c>
      <c r="CT33" s="195">
        <v>0.021863425925925925</v>
      </c>
      <c r="CU33" s="194" t="s">
        <v>40</v>
      </c>
      <c r="CV33" s="195">
        <v>0.009733796296296296</v>
      </c>
      <c r="CW33" s="194" t="s">
        <v>70</v>
      </c>
      <c r="CX33" s="195">
        <v>0.3041435185185185</v>
      </c>
      <c r="CY33" s="194" t="s">
        <v>44</v>
      </c>
      <c r="CZ33" s="195">
        <v>0.025185185185185185</v>
      </c>
      <c r="DA33" s="194" t="s">
        <v>44</v>
      </c>
      <c r="DB33" s="195">
        <v>0.01193287037037037</v>
      </c>
      <c r="DC33" s="194" t="s">
        <v>98</v>
      </c>
      <c r="DD33" s="195">
        <v>0.04951388888888889</v>
      </c>
      <c r="DE33" s="194" t="s">
        <v>40</v>
      </c>
      <c r="DF33" s="195">
        <v>0.0</v>
      </c>
      <c r="DG33" s="194" t="s">
        <v>40</v>
      </c>
      <c r="DH33" s="195">
        <v>1.115162037037037</v>
      </c>
      <c r="DI33" s="194" t="s">
        <v>32</v>
      </c>
      <c r="DJ33" s="195">
        <v>0.029594907407407407</v>
      </c>
      <c r="DK33" s="194" t="s">
        <v>32</v>
      </c>
      <c r="DL33" s="195">
        <v>0.028182870370370372</v>
      </c>
      <c r="DM33" s="194" t="s">
        <v>105</v>
      </c>
      <c r="DN33" s="195">
        <v>0.021747685185185186</v>
      </c>
      <c r="DO33" s="194" t="s">
        <v>63</v>
      </c>
      <c r="DP33" s="195">
        <v>0.015509259259259259</v>
      </c>
      <c r="DQ33" s="194" t="s">
        <v>83</v>
      </c>
      <c r="DR33" s="195">
        <v>0.10135416666666666</v>
      </c>
      <c r="DS33" s="194" t="s">
        <v>64</v>
      </c>
      <c r="DT33" s="195">
        <v>0.0509375</v>
      </c>
      <c r="DU33" s="194" t="s">
        <v>464</v>
      </c>
      <c r="DV33" s="195">
        <v>0.017569444444444443</v>
      </c>
      <c r="DW33" s="194" t="s">
        <v>63</v>
      </c>
      <c r="DX33" s="195">
        <v>0.0023263888888888887</v>
      </c>
      <c r="DY33" s="193"/>
      <c r="DZ33" s="193"/>
      <c r="EA33" s="194" t="s">
        <v>83</v>
      </c>
      <c r="EB33" s="195">
        <v>0.010972222222222222</v>
      </c>
      <c r="EC33" s="194" t="s">
        <v>82</v>
      </c>
      <c r="ED33" s="195">
        <v>0.0019560185185185184</v>
      </c>
      <c r="EE33" s="194" t="s">
        <v>91</v>
      </c>
      <c r="EF33" s="195">
        <v>0.006516203703703704</v>
      </c>
      <c r="EG33" s="194" t="s">
        <v>90</v>
      </c>
      <c r="EH33" s="195">
        <v>0.23873842592592592</v>
      </c>
      <c r="EI33" s="194" t="s">
        <v>22</v>
      </c>
      <c r="EJ33" s="195">
        <v>0.010486111111111111</v>
      </c>
      <c r="EK33" s="194" t="s">
        <v>32</v>
      </c>
      <c r="EL33" s="195">
        <v>0.023333333333333334</v>
      </c>
      <c r="EM33" s="194" t="s">
        <v>41</v>
      </c>
      <c r="EN33" s="195">
        <v>0.055983796296296295</v>
      </c>
      <c r="EO33" s="194" t="s">
        <v>90</v>
      </c>
      <c r="EP33" s="195">
        <v>0.033310185185185186</v>
      </c>
      <c r="EQ33" s="194" t="s">
        <v>82</v>
      </c>
      <c r="ER33" s="195">
        <v>0.02962962962962963</v>
      </c>
      <c r="ES33" s="194" t="s">
        <v>83</v>
      </c>
      <c r="ET33" s="195">
        <v>0.023125</v>
      </c>
      <c r="EU33" s="194" t="s">
        <v>8</v>
      </c>
      <c r="EV33" s="195">
        <v>1.8518518518518518E-4</v>
      </c>
      <c r="EW33" s="194" t="s">
        <v>105</v>
      </c>
      <c r="EX33" s="195">
        <v>0.0038773148148148148</v>
      </c>
      <c r="EY33" s="193"/>
      <c r="EZ33" s="193"/>
      <c r="FA33" s="194" t="s">
        <v>22</v>
      </c>
      <c r="FB33" s="195">
        <v>2.546296296296296E-4</v>
      </c>
      <c r="FC33" s="194" t="s">
        <v>41</v>
      </c>
      <c r="FD33" s="195">
        <v>0.199375</v>
      </c>
      <c r="FE33" s="194" t="s">
        <v>64</v>
      </c>
      <c r="FF33" s="195">
        <v>0.0010185185185185184</v>
      </c>
      <c r="FG33" s="194" t="s">
        <v>41</v>
      </c>
      <c r="FH33" s="195">
        <v>0.07001157407407407</v>
      </c>
      <c r="FI33" s="194" t="s">
        <v>8</v>
      </c>
      <c r="FJ33" s="195">
        <v>0.02207175925925926</v>
      </c>
      <c r="FK33" s="194" t="s">
        <v>464</v>
      </c>
      <c r="FL33" s="195">
        <v>0.0715162037037037</v>
      </c>
      <c r="FM33" s="194" t="s">
        <v>25</v>
      </c>
      <c r="FN33" s="195">
        <v>0.0016898148148148148</v>
      </c>
      <c r="FO33" s="194" t="s">
        <v>63</v>
      </c>
      <c r="FP33" s="195">
        <v>0.05162037037037037</v>
      </c>
      <c r="FQ33" s="194" t="s">
        <v>22</v>
      </c>
      <c r="FR33" s="195">
        <v>2.8935185185185184E-4</v>
      </c>
      <c r="FS33" s="194" t="s">
        <v>99</v>
      </c>
      <c r="FT33" s="195">
        <v>0.0050347222222222225</v>
      </c>
      <c r="FU33" s="194" t="s">
        <v>99</v>
      </c>
      <c r="FV33" s="195">
        <v>0.011446759259259259</v>
      </c>
      <c r="FW33" s="198" t="s">
        <v>53</v>
      </c>
      <c r="FX33" s="199">
        <v>7.407407407407407E-4</v>
      </c>
      <c r="FY33" s="193"/>
      <c r="FZ33" s="193"/>
      <c r="GA33" s="194" t="s">
        <v>22</v>
      </c>
      <c r="GB33" s="195">
        <v>0.017916666666666668</v>
      </c>
      <c r="GC33" s="194" t="s">
        <v>103</v>
      </c>
      <c r="GD33" s="195">
        <v>2.0833333333333335E-4</v>
      </c>
      <c r="GE33" s="194" t="s">
        <v>103</v>
      </c>
      <c r="GF33" s="195">
        <v>4.398148148148148E-4</v>
      </c>
      <c r="GG33" s="194" t="s">
        <v>29</v>
      </c>
      <c r="GH33" s="195">
        <v>0.2746412037037037</v>
      </c>
      <c r="GI33" s="185" t="s">
        <v>42</v>
      </c>
      <c r="GJ33" s="186">
        <v>0.016840277777777777</v>
      </c>
      <c r="GK33" s="185" t="s">
        <v>82</v>
      </c>
      <c r="GL33" s="186">
        <v>0.15591435185185185</v>
      </c>
      <c r="GM33" s="185" t="s">
        <v>36</v>
      </c>
      <c r="GN33" s="186">
        <v>0.30192129629629627</v>
      </c>
      <c r="GO33" s="187" t="s">
        <v>42</v>
      </c>
      <c r="GP33" s="188">
        <v>0.009907407407407408</v>
      </c>
      <c r="GQ33" s="187" t="s">
        <v>36</v>
      </c>
      <c r="GR33" s="188">
        <v>0.15667824074074074</v>
      </c>
      <c r="GS33" s="187" t="s">
        <v>36</v>
      </c>
      <c r="GT33" s="188">
        <v>0.1825462962962963</v>
      </c>
      <c r="GU33" s="187" t="s">
        <v>425</v>
      </c>
      <c r="GV33" s="188">
        <v>0.05277777777777778</v>
      </c>
      <c r="GW33" s="190" t="s">
        <v>90</v>
      </c>
      <c r="GX33" s="191">
        <v>0.07341435185185186</v>
      </c>
      <c r="GY33" s="190" t="s">
        <v>79</v>
      </c>
      <c r="GZ33" s="191">
        <v>0.025868055555555554</v>
      </c>
      <c r="HA33" s="190" t="s">
        <v>75</v>
      </c>
      <c r="HB33" s="191">
        <v>0.05224537037037037</v>
      </c>
      <c r="HC33" s="190" t="s">
        <v>42</v>
      </c>
      <c r="HD33" s="191">
        <v>5.092592592592592E-4</v>
      </c>
      <c r="HE33" s="190" t="s">
        <v>93</v>
      </c>
      <c r="HF33" s="191">
        <v>0.011909722222222223</v>
      </c>
      <c r="HG33" s="190" t="s">
        <v>87</v>
      </c>
      <c r="HH33" s="191">
        <v>0.027916666666666666</v>
      </c>
      <c r="HI33" s="190" t="s">
        <v>87</v>
      </c>
      <c r="HJ33" s="191">
        <v>0.010208333333333333</v>
      </c>
      <c r="HK33" s="190" t="s">
        <v>93</v>
      </c>
      <c r="HL33" s="191">
        <v>0.2187962962962963</v>
      </c>
      <c r="HM33" s="190" t="s">
        <v>99</v>
      </c>
      <c r="HN33" s="191">
        <v>0.025219907407407406</v>
      </c>
      <c r="HO33" s="190" t="s">
        <v>94</v>
      </c>
      <c r="HP33" s="191">
        <v>0.011550925925925926</v>
      </c>
      <c r="HQ33" s="190" t="s">
        <v>87</v>
      </c>
      <c r="HR33" s="191">
        <v>0.010474537037037037</v>
      </c>
      <c r="HS33" s="190" t="s">
        <v>79</v>
      </c>
      <c r="HT33" s="191">
        <v>0.11211805555555555</v>
      </c>
      <c r="HU33" s="190" t="s">
        <v>23</v>
      </c>
      <c r="HV33" s="191">
        <v>0.30505787037037035</v>
      </c>
      <c r="HW33" s="190" t="s">
        <v>94</v>
      </c>
      <c r="HX33" s="191">
        <v>0.0013657407407407407</v>
      </c>
      <c r="HY33" s="187"/>
      <c r="HZ33" s="187"/>
      <c r="IA33" s="187"/>
      <c r="IB33" s="187"/>
      <c r="IC33" s="187"/>
      <c r="ID33" s="187"/>
      <c r="IE33" s="196" t="s">
        <v>8</v>
      </c>
      <c r="IF33" s="197">
        <v>0.05613425925925926</v>
      </c>
      <c r="IG33" s="178"/>
      <c r="IH33" s="196" t="s">
        <v>29</v>
      </c>
      <c r="II33" s="197">
        <v>0.10589120370370371</v>
      </c>
      <c r="IJ33" s="178"/>
      <c r="IK33" s="196" t="s">
        <v>29</v>
      </c>
      <c r="IL33" s="197">
        <v>0.10589120370370371</v>
      </c>
      <c r="IM33" s="196" t="s">
        <v>99</v>
      </c>
      <c r="IN33" s="197">
        <v>0.2720601851851852</v>
      </c>
      <c r="IO33" s="196" t="s">
        <v>98</v>
      </c>
      <c r="IP33" s="197">
        <v>0.006782407407407407</v>
      </c>
      <c r="IQ33" s="178"/>
      <c r="IR33" s="196" t="s">
        <v>99</v>
      </c>
      <c r="IS33" s="197">
        <v>0.03013888888888889</v>
      </c>
      <c r="IT33" s="178"/>
      <c r="IU33" s="196" t="s">
        <v>97</v>
      </c>
      <c r="IV33" s="197">
        <v>0.05568287037037037</v>
      </c>
      <c r="IW33" s="178"/>
      <c r="IX33" s="196" t="s">
        <v>95</v>
      </c>
      <c r="IY33" s="197">
        <v>0.5456365740740741</v>
      </c>
      <c r="IZ33" s="187" t="s">
        <v>428</v>
      </c>
      <c r="JA33" s="188">
        <v>6.134259259259259E-4</v>
      </c>
      <c r="JB33" s="187" t="s">
        <v>428</v>
      </c>
      <c r="JC33" s="188">
        <v>6.134259259259259E-4</v>
      </c>
      <c r="JD33" s="178"/>
    </row>
    <row r="34">
      <c r="A34" s="193"/>
      <c r="B34" s="193"/>
      <c r="C34" s="193"/>
      <c r="D34" s="193"/>
      <c r="E34" s="193"/>
      <c r="F34" s="193"/>
      <c r="G34" s="193"/>
      <c r="H34" s="193"/>
      <c r="I34" s="193"/>
      <c r="J34" s="193"/>
      <c r="K34" s="193"/>
      <c r="L34" s="193"/>
      <c r="M34" s="193"/>
      <c r="N34" s="193"/>
      <c r="O34" s="193"/>
      <c r="P34" s="193"/>
      <c r="Q34" s="193"/>
      <c r="R34" s="193"/>
      <c r="S34" s="193"/>
      <c r="T34" s="193"/>
      <c r="U34" s="193"/>
      <c r="V34" s="193"/>
      <c r="W34" s="194"/>
      <c r="X34" s="195"/>
      <c r="Y34" s="193"/>
      <c r="Z34" s="193"/>
      <c r="AA34" s="193"/>
      <c r="AB34" s="193"/>
      <c r="AC34" s="198" t="s">
        <v>93</v>
      </c>
      <c r="AD34" s="199">
        <v>2.0833333333333335E-4</v>
      </c>
      <c r="AE34" s="193"/>
      <c r="AF34" s="193"/>
      <c r="AG34" s="194" t="s">
        <v>90</v>
      </c>
      <c r="AH34" s="195">
        <v>0.00818287037037037</v>
      </c>
      <c r="AI34" s="194" t="s">
        <v>60</v>
      </c>
      <c r="AJ34" s="195">
        <v>0.021469907407407406</v>
      </c>
      <c r="AK34" s="194" t="s">
        <v>101</v>
      </c>
      <c r="AL34" s="195">
        <v>1.5046296296296297E-4</v>
      </c>
      <c r="AM34" s="194" t="s">
        <v>21</v>
      </c>
      <c r="AN34" s="195">
        <v>2.314814814814815E-4</v>
      </c>
      <c r="AO34" s="194" t="s">
        <v>428</v>
      </c>
      <c r="AP34" s="195">
        <v>4.976851851851852E-4</v>
      </c>
      <c r="AQ34" s="194" t="s">
        <v>59</v>
      </c>
      <c r="AR34" s="195">
        <v>0.01965277777777778</v>
      </c>
      <c r="AS34" s="194" t="s">
        <v>428</v>
      </c>
      <c r="AT34" s="195">
        <v>0.0034027777777777776</v>
      </c>
      <c r="AU34" s="194" t="s">
        <v>101</v>
      </c>
      <c r="AV34" s="195">
        <v>0.09260416666666667</v>
      </c>
      <c r="AW34" s="194" t="s">
        <v>98</v>
      </c>
      <c r="AX34" s="195">
        <v>0.11069444444444444</v>
      </c>
      <c r="AY34" s="194" t="s">
        <v>98</v>
      </c>
      <c r="AZ34" s="195">
        <v>0.2333912037037037</v>
      </c>
      <c r="BA34" s="194" t="s">
        <v>101</v>
      </c>
      <c r="BB34" s="195">
        <v>0.019212962962962963</v>
      </c>
      <c r="BC34" s="194" t="s">
        <v>98</v>
      </c>
      <c r="BD34" s="195">
        <v>0.7154050925925926</v>
      </c>
      <c r="BE34" s="194" t="s">
        <v>98</v>
      </c>
      <c r="BF34" s="195">
        <v>0.8126736111111111</v>
      </c>
      <c r="BG34" s="194" t="s">
        <v>98</v>
      </c>
      <c r="BH34" s="195">
        <v>1.3921064814814814</v>
      </c>
      <c r="BI34" s="194" t="s">
        <v>98</v>
      </c>
      <c r="BJ34" s="195">
        <v>0.983900462962963</v>
      </c>
      <c r="BK34" s="194" t="s">
        <v>98</v>
      </c>
      <c r="BL34" s="195">
        <v>0.6416435185185185</v>
      </c>
      <c r="BM34" s="194" t="s">
        <v>98</v>
      </c>
      <c r="BN34" s="195">
        <v>0.3517708333333333</v>
      </c>
      <c r="BO34" s="194" t="s">
        <v>98</v>
      </c>
      <c r="BP34" s="195">
        <v>0.2090162037037037</v>
      </c>
      <c r="BQ34" s="194" t="s">
        <v>98</v>
      </c>
      <c r="BR34" s="195">
        <v>0.10861111111111112</v>
      </c>
      <c r="BS34" s="194" t="s">
        <v>98</v>
      </c>
      <c r="BT34" s="195">
        <v>0.13445601851851852</v>
      </c>
      <c r="BU34" s="194" t="s">
        <v>98</v>
      </c>
      <c r="BV34" s="195">
        <v>0.27725694444444443</v>
      </c>
      <c r="BW34" s="194" t="s">
        <v>98</v>
      </c>
      <c r="BX34" s="195">
        <v>0.21474537037037036</v>
      </c>
      <c r="BY34" s="194" t="s">
        <v>98</v>
      </c>
      <c r="BZ34" s="195">
        <v>0.20791666666666667</v>
      </c>
      <c r="CA34" s="194" t="s">
        <v>98</v>
      </c>
      <c r="CB34" s="195">
        <v>0.199375</v>
      </c>
      <c r="CC34" s="194" t="s">
        <v>98</v>
      </c>
      <c r="CD34" s="195">
        <v>0.21005787037037038</v>
      </c>
      <c r="CE34" s="194" t="s">
        <v>101</v>
      </c>
      <c r="CF34" s="195">
        <v>0.11270833333333333</v>
      </c>
      <c r="CG34" s="194" t="s">
        <v>98</v>
      </c>
      <c r="CH34" s="195">
        <v>0.15641203703703704</v>
      </c>
      <c r="CI34" s="194" t="s">
        <v>101</v>
      </c>
      <c r="CJ34" s="195">
        <v>0.012893518518518518</v>
      </c>
      <c r="CK34" s="194" t="s">
        <v>98</v>
      </c>
      <c r="CL34" s="195">
        <v>0.021354166666666667</v>
      </c>
      <c r="CM34" s="194" t="s">
        <v>98</v>
      </c>
      <c r="CN34" s="195">
        <v>0.08998842592592593</v>
      </c>
      <c r="CO34" s="194" t="s">
        <v>98</v>
      </c>
      <c r="CP34" s="195">
        <v>0.06902777777777777</v>
      </c>
      <c r="CQ34" s="194" t="s">
        <v>70</v>
      </c>
      <c r="CR34" s="195">
        <v>0.3063078703703704</v>
      </c>
      <c r="CS34" s="194" t="s">
        <v>98</v>
      </c>
      <c r="CT34" s="195">
        <v>0.035451388888888886</v>
      </c>
      <c r="CU34" s="194" t="s">
        <v>98</v>
      </c>
      <c r="CV34" s="195">
        <v>0.03184027777777778</v>
      </c>
      <c r="CW34" s="194" t="s">
        <v>59</v>
      </c>
      <c r="CX34" s="195">
        <v>0.09770833333333333</v>
      </c>
      <c r="CY34" s="194" t="s">
        <v>59</v>
      </c>
      <c r="CZ34" s="195">
        <v>0.05920138888888889</v>
      </c>
      <c r="DA34" s="194" t="s">
        <v>59</v>
      </c>
      <c r="DB34" s="195">
        <v>0.035868055555555556</v>
      </c>
      <c r="DC34" s="194" t="s">
        <v>101</v>
      </c>
      <c r="DD34" s="195">
        <v>0.015231481481481481</v>
      </c>
      <c r="DE34" s="194" t="s">
        <v>98</v>
      </c>
      <c r="DF34" s="195">
        <v>0.03712962962962963</v>
      </c>
      <c r="DG34" s="194" t="s">
        <v>98</v>
      </c>
      <c r="DH34" s="195">
        <v>1.328067129629629</v>
      </c>
      <c r="DI34" s="194" t="s">
        <v>71</v>
      </c>
      <c r="DJ34" s="195">
        <v>0.02172453703703704</v>
      </c>
      <c r="DK34" s="194" t="s">
        <v>71</v>
      </c>
      <c r="DL34" s="195">
        <v>0.012824074074074075</v>
      </c>
      <c r="DM34" s="194" t="s">
        <v>83</v>
      </c>
      <c r="DN34" s="195">
        <v>0.12275462962962963</v>
      </c>
      <c r="DO34" s="194" t="s">
        <v>64</v>
      </c>
      <c r="DP34" s="195">
        <v>0.023958333333333335</v>
      </c>
      <c r="DQ34" s="194" t="s">
        <v>63</v>
      </c>
      <c r="DR34" s="195">
        <v>0.017361111111111112</v>
      </c>
      <c r="DS34" s="194" t="s">
        <v>71</v>
      </c>
      <c r="DT34" s="195">
        <v>4.050925925925926E-4</v>
      </c>
      <c r="DU34" s="194" t="s">
        <v>465</v>
      </c>
      <c r="DV34" s="195">
        <v>0.06386574074074074</v>
      </c>
      <c r="DW34" s="194" t="s">
        <v>64</v>
      </c>
      <c r="DX34" s="195">
        <v>0.003993055555555555</v>
      </c>
      <c r="DY34" s="193"/>
      <c r="DZ34" s="193"/>
      <c r="EA34" s="194" t="s">
        <v>63</v>
      </c>
      <c r="EB34" s="195">
        <v>0.0033912037037037036</v>
      </c>
      <c r="EC34" s="194" t="s">
        <v>90</v>
      </c>
      <c r="ED34" s="195">
        <v>0.06638888888888889</v>
      </c>
      <c r="EE34" s="194" t="s">
        <v>464</v>
      </c>
      <c r="EF34" s="195">
        <v>0.0022800925925925927</v>
      </c>
      <c r="EG34" s="194" t="s">
        <v>91</v>
      </c>
      <c r="EH34" s="195">
        <v>6.365740740740741E-4</v>
      </c>
      <c r="EI34" s="194" t="s">
        <v>8</v>
      </c>
      <c r="EJ34" s="195">
        <v>0.005925925925925926</v>
      </c>
      <c r="EK34" s="194" t="s">
        <v>22</v>
      </c>
      <c r="EL34" s="195">
        <v>0.014097222222222223</v>
      </c>
      <c r="EM34" s="194" t="s">
        <v>83</v>
      </c>
      <c r="EN34" s="195">
        <v>0.14645833333333333</v>
      </c>
      <c r="EO34" s="194" t="s">
        <v>91</v>
      </c>
      <c r="EP34" s="195">
        <v>0.015208333333333334</v>
      </c>
      <c r="EQ34" s="194" t="s">
        <v>90</v>
      </c>
      <c r="ER34" s="195">
        <v>0.009016203703703703</v>
      </c>
      <c r="ES34" s="194" t="s">
        <v>63</v>
      </c>
      <c r="ET34" s="195">
        <v>0.007349537037037037</v>
      </c>
      <c r="EU34" s="194" t="s">
        <v>65</v>
      </c>
      <c r="EV34" s="195">
        <v>0.0028819444444444444</v>
      </c>
      <c r="EW34" s="194" t="s">
        <v>32</v>
      </c>
      <c r="EX34" s="195">
        <v>0.03332175925925926</v>
      </c>
      <c r="EY34" s="193"/>
      <c r="EZ34" s="193"/>
      <c r="FA34" s="194" t="s">
        <v>8</v>
      </c>
      <c r="FB34" s="195">
        <v>0.04412037037037037</v>
      </c>
      <c r="FC34" s="194" t="s">
        <v>105</v>
      </c>
      <c r="FD34" s="195">
        <v>0.020717592592592593</v>
      </c>
      <c r="FE34" s="194" t="s">
        <v>32</v>
      </c>
      <c r="FF34" s="195">
        <v>0.0038194444444444443</v>
      </c>
      <c r="FG34" s="194" t="s">
        <v>83</v>
      </c>
      <c r="FH34" s="195">
        <v>0.027743055555555556</v>
      </c>
      <c r="FI34" s="194" t="s">
        <v>20</v>
      </c>
      <c r="FJ34" s="195">
        <v>0.0022337962962962962</v>
      </c>
      <c r="FK34" s="194" t="s">
        <v>432</v>
      </c>
      <c r="FL34" s="195">
        <v>0.02329861111111111</v>
      </c>
      <c r="FM34" s="194" t="s">
        <v>103</v>
      </c>
      <c r="FN34" s="195">
        <v>0.018645833333333334</v>
      </c>
      <c r="FO34" s="194" t="s">
        <v>22</v>
      </c>
      <c r="FP34" s="195">
        <v>1.7361111111111112E-4</v>
      </c>
      <c r="FQ34" s="194" t="s">
        <v>8</v>
      </c>
      <c r="FR34" s="195">
        <v>0.04179398148148148</v>
      </c>
      <c r="FS34" s="194" t="s">
        <v>82</v>
      </c>
      <c r="FT34" s="195">
        <v>0.10322916666666666</v>
      </c>
      <c r="FU34" s="194" t="s">
        <v>82</v>
      </c>
      <c r="FV34" s="195">
        <v>0.03733796296296296</v>
      </c>
      <c r="FW34" s="193"/>
      <c r="FX34" s="193"/>
      <c r="FY34" s="193"/>
      <c r="FZ34" s="193"/>
      <c r="GA34" s="194" t="s">
        <v>8</v>
      </c>
      <c r="GB34" s="195">
        <v>0.03150462962962963</v>
      </c>
      <c r="GC34" s="194" t="s">
        <v>43</v>
      </c>
      <c r="GD34" s="195">
        <v>0.5944560185185185</v>
      </c>
      <c r="GE34" s="194" t="s">
        <v>43</v>
      </c>
      <c r="GF34" s="195">
        <v>1.1109143518518518</v>
      </c>
      <c r="GG34" s="194" t="s">
        <v>62</v>
      </c>
      <c r="GH34" s="195">
        <v>0.3626388888888889</v>
      </c>
      <c r="GI34" s="185" t="s">
        <v>82</v>
      </c>
      <c r="GJ34" s="186">
        <v>0.2045486111111111</v>
      </c>
      <c r="GK34" s="185" t="s">
        <v>36</v>
      </c>
      <c r="GL34" s="186">
        <v>0.20721064814814816</v>
      </c>
      <c r="GM34" s="185" t="s">
        <v>84</v>
      </c>
      <c r="GN34" s="186">
        <v>1.6203703703703703E-4</v>
      </c>
      <c r="GO34" s="187" t="s">
        <v>80</v>
      </c>
      <c r="GP34" s="188">
        <v>0.0020833333333333333</v>
      </c>
      <c r="GQ34" s="187" t="s">
        <v>84</v>
      </c>
      <c r="GR34" s="188">
        <v>0.0015277777777777779</v>
      </c>
      <c r="GS34" s="187" t="s">
        <v>84</v>
      </c>
      <c r="GT34" s="188">
        <v>0.01659722222222222</v>
      </c>
      <c r="GU34" s="187" t="s">
        <v>42</v>
      </c>
      <c r="GV34" s="188">
        <v>0.012858796296296297</v>
      </c>
      <c r="GW34" s="190" t="s">
        <v>426</v>
      </c>
      <c r="GX34" s="191">
        <v>0.014212962962962964</v>
      </c>
      <c r="GY34" s="190" t="s">
        <v>23</v>
      </c>
      <c r="GZ34" s="191">
        <v>0.06723379629629629</v>
      </c>
      <c r="HA34" s="190" t="s">
        <v>425</v>
      </c>
      <c r="HB34" s="191">
        <v>0.01105324074074074</v>
      </c>
      <c r="HC34" s="190" t="s">
        <v>80</v>
      </c>
      <c r="HD34" s="191">
        <v>0.0012962962962962963</v>
      </c>
      <c r="HE34" s="190" t="s">
        <v>94</v>
      </c>
      <c r="HF34" s="191">
        <v>0.17039351851851853</v>
      </c>
      <c r="HG34" s="190" t="s">
        <v>89</v>
      </c>
      <c r="HH34" s="191">
        <v>0.03488425925925926</v>
      </c>
      <c r="HI34" s="190" t="s">
        <v>89</v>
      </c>
      <c r="HJ34" s="191">
        <v>0.07585648148148148</v>
      </c>
      <c r="HK34" s="190" t="s">
        <v>94</v>
      </c>
      <c r="HL34" s="191">
        <v>0.14895833333333333</v>
      </c>
      <c r="HM34" s="190" t="s">
        <v>61</v>
      </c>
      <c r="HN34" s="191">
        <v>0.0043055555555555555</v>
      </c>
      <c r="HO34" s="190" t="s">
        <v>95</v>
      </c>
      <c r="HP34" s="191">
        <v>0.006342592592592592</v>
      </c>
      <c r="HQ34" s="190" t="s">
        <v>89</v>
      </c>
      <c r="HR34" s="191">
        <v>0.12287037037037037</v>
      </c>
      <c r="HS34" s="190" t="s">
        <v>23</v>
      </c>
      <c r="HT34" s="191">
        <v>0.38814814814814813</v>
      </c>
      <c r="HU34" s="190" t="s">
        <v>86</v>
      </c>
      <c r="HV34" s="191">
        <v>0.04269675925925926</v>
      </c>
      <c r="HW34" s="190" t="s">
        <v>96</v>
      </c>
      <c r="HX34" s="191">
        <v>0.017488425925925925</v>
      </c>
      <c r="HY34" s="187"/>
      <c r="HZ34" s="187"/>
      <c r="IA34" s="187"/>
      <c r="IB34" s="187"/>
      <c r="IC34" s="187"/>
      <c r="ID34" s="187"/>
      <c r="IE34" s="196" t="s">
        <v>65</v>
      </c>
      <c r="IF34" s="197">
        <v>1.1574074074074075E-4</v>
      </c>
      <c r="IG34" s="178"/>
      <c r="IH34" s="196" t="s">
        <v>465</v>
      </c>
      <c r="II34" s="197">
        <v>0.09628472222222222</v>
      </c>
      <c r="IJ34" s="178"/>
      <c r="IK34" s="196" t="s">
        <v>465</v>
      </c>
      <c r="IL34" s="197">
        <v>0.09628472222222222</v>
      </c>
      <c r="IM34" s="196" t="s">
        <v>61</v>
      </c>
      <c r="IN34" s="197">
        <v>0.021215277777777777</v>
      </c>
      <c r="IO34" s="196" t="s">
        <v>428</v>
      </c>
      <c r="IP34" s="197">
        <v>0.03417824074074074</v>
      </c>
      <c r="IQ34" s="178"/>
      <c r="IR34" s="196" t="s">
        <v>61</v>
      </c>
      <c r="IS34" s="197">
        <v>0.016770833333333332</v>
      </c>
      <c r="IT34" s="178"/>
      <c r="IU34" s="196" t="s">
        <v>57</v>
      </c>
      <c r="IV34" s="197">
        <v>0.11325231481481482</v>
      </c>
      <c r="IW34" s="178"/>
      <c r="IX34" s="196" t="s">
        <v>97</v>
      </c>
      <c r="IY34" s="197">
        <v>0.22060185185185185</v>
      </c>
      <c r="IZ34" s="187" t="s">
        <v>99</v>
      </c>
      <c r="JA34" s="188">
        <v>0.12153935185185186</v>
      </c>
      <c r="JB34" s="187" t="s">
        <v>99</v>
      </c>
      <c r="JC34" s="188">
        <v>0.12153935185185186</v>
      </c>
      <c r="JD34" s="178"/>
    </row>
    <row r="35">
      <c r="A35" s="193"/>
      <c r="B35" s="193"/>
      <c r="C35" s="193"/>
      <c r="D35" s="193"/>
      <c r="E35" s="193"/>
      <c r="F35" s="193"/>
      <c r="G35" s="193"/>
      <c r="H35" s="193"/>
      <c r="I35" s="193"/>
      <c r="J35" s="193"/>
      <c r="K35" s="193"/>
      <c r="L35" s="193"/>
      <c r="M35" s="193"/>
      <c r="N35" s="193"/>
      <c r="O35" s="193"/>
      <c r="P35" s="193"/>
      <c r="Q35" s="193"/>
      <c r="R35" s="193"/>
      <c r="S35" s="193"/>
      <c r="T35" s="193"/>
      <c r="U35" s="193"/>
      <c r="V35" s="193"/>
      <c r="W35" s="194"/>
      <c r="X35" s="195"/>
      <c r="Y35" s="193"/>
      <c r="Z35" s="193"/>
      <c r="AA35" s="193"/>
      <c r="AB35" s="193"/>
      <c r="AC35" s="193"/>
      <c r="AD35" s="193"/>
      <c r="AE35" s="193"/>
      <c r="AF35" s="193"/>
      <c r="AG35" s="194" t="s">
        <v>18</v>
      </c>
      <c r="AH35" s="195">
        <v>0.010335648148148148</v>
      </c>
      <c r="AI35" s="194" t="s">
        <v>78</v>
      </c>
      <c r="AJ35" s="195">
        <v>0.003564814814814815</v>
      </c>
      <c r="AK35" s="194" t="s">
        <v>44</v>
      </c>
      <c r="AL35" s="195">
        <v>0.013414351851851853</v>
      </c>
      <c r="AM35" s="194" t="s">
        <v>62</v>
      </c>
      <c r="AN35" s="195">
        <v>3.356481481481481E-4</v>
      </c>
      <c r="AO35" s="194" t="s">
        <v>60</v>
      </c>
      <c r="AP35" s="195">
        <v>0.14324074074074075</v>
      </c>
      <c r="AQ35" s="194" t="s">
        <v>428</v>
      </c>
      <c r="AR35" s="195">
        <v>0.016747685185185185</v>
      </c>
      <c r="AS35" s="194" t="s">
        <v>60</v>
      </c>
      <c r="AT35" s="195">
        <v>0.06598379629629629</v>
      </c>
      <c r="AU35" s="194" t="s">
        <v>44</v>
      </c>
      <c r="AV35" s="195">
        <v>0.01758101851851852</v>
      </c>
      <c r="AW35" s="194" t="s">
        <v>101</v>
      </c>
      <c r="AX35" s="195">
        <v>0.07641203703703704</v>
      </c>
      <c r="AY35" s="194" t="s">
        <v>101</v>
      </c>
      <c r="AZ35" s="195">
        <v>0.08646990740740741</v>
      </c>
      <c r="BA35" s="194" t="s">
        <v>70</v>
      </c>
      <c r="BB35" s="195">
        <v>0.039282407407407405</v>
      </c>
      <c r="BC35" s="194" t="s">
        <v>101</v>
      </c>
      <c r="BD35" s="195">
        <v>0.047581018518518516</v>
      </c>
      <c r="BE35" s="194" t="s">
        <v>101</v>
      </c>
      <c r="BF35" s="195">
        <v>0.05484953703703704</v>
      </c>
      <c r="BG35" s="194" t="s">
        <v>101</v>
      </c>
      <c r="BH35" s="195">
        <v>0.01638888888888889</v>
      </c>
      <c r="BI35" s="194" t="s">
        <v>101</v>
      </c>
      <c r="BJ35" s="195">
        <v>0.04762731481481482</v>
      </c>
      <c r="BK35" s="194" t="s">
        <v>101</v>
      </c>
      <c r="BL35" s="195">
        <v>0.10564814814814814</v>
      </c>
      <c r="BM35" s="194" t="s">
        <v>101</v>
      </c>
      <c r="BN35" s="195">
        <v>0.3029398148148148</v>
      </c>
      <c r="BO35" s="194" t="s">
        <v>101</v>
      </c>
      <c r="BP35" s="195">
        <v>0.3552314814814815</v>
      </c>
      <c r="BQ35" s="194" t="s">
        <v>101</v>
      </c>
      <c r="BR35" s="195">
        <v>0.28953703703703704</v>
      </c>
      <c r="BS35" s="194" t="s">
        <v>101</v>
      </c>
      <c r="BT35" s="195">
        <v>0.20836805555555554</v>
      </c>
      <c r="BU35" s="194" t="s">
        <v>101</v>
      </c>
      <c r="BV35" s="195">
        <v>0.14541666666666667</v>
      </c>
      <c r="BW35" s="194" t="s">
        <v>101</v>
      </c>
      <c r="BX35" s="195">
        <v>0.10857638888888889</v>
      </c>
      <c r="BY35" s="194" t="s">
        <v>101</v>
      </c>
      <c r="BZ35" s="195">
        <v>0.20917824074074073</v>
      </c>
      <c r="CA35" s="194" t="s">
        <v>101</v>
      </c>
      <c r="CB35" s="195">
        <v>0.3614699074074074</v>
      </c>
      <c r="CC35" s="194" t="s">
        <v>101</v>
      </c>
      <c r="CD35" s="195">
        <v>0.23774305555555555</v>
      </c>
      <c r="CE35" s="194" t="s">
        <v>70</v>
      </c>
      <c r="CF35" s="195">
        <v>0.24744212962962964</v>
      </c>
      <c r="CG35" s="194" t="s">
        <v>101</v>
      </c>
      <c r="CH35" s="195">
        <v>0.0015972222222222223</v>
      </c>
      <c r="CI35" s="194" t="s">
        <v>70</v>
      </c>
      <c r="CJ35" s="195">
        <v>0.2246064814814815</v>
      </c>
      <c r="CK35" s="194" t="s">
        <v>101</v>
      </c>
      <c r="CL35" s="195">
        <v>0.010185185185185186</v>
      </c>
      <c r="CM35" s="194" t="s">
        <v>101</v>
      </c>
      <c r="CN35" s="195">
        <v>0.01875</v>
      </c>
      <c r="CO35" s="194" t="s">
        <v>101</v>
      </c>
      <c r="CP35" s="195">
        <v>0.03929398148148148</v>
      </c>
      <c r="CQ35" s="194" t="s">
        <v>44</v>
      </c>
      <c r="CR35" s="195">
        <v>0.005601851851851852</v>
      </c>
      <c r="CS35" s="194" t="s">
        <v>101</v>
      </c>
      <c r="CT35" s="195">
        <v>0.0125</v>
      </c>
      <c r="CU35" s="194" t="s">
        <v>101</v>
      </c>
      <c r="CV35" s="195">
        <v>0.0683912037037037</v>
      </c>
      <c r="CW35" s="194" t="s">
        <v>102</v>
      </c>
      <c r="CX35" s="195">
        <v>0.38614583333333335</v>
      </c>
      <c r="CY35" s="194" t="s">
        <v>102</v>
      </c>
      <c r="CZ35" s="195">
        <v>0.49203703703703705</v>
      </c>
      <c r="DA35" s="194" t="s">
        <v>102</v>
      </c>
      <c r="DB35" s="195">
        <v>0.45591435185185186</v>
      </c>
      <c r="DC35" s="194" t="s">
        <v>70</v>
      </c>
      <c r="DD35" s="195">
        <v>0.08481481481481482</v>
      </c>
      <c r="DE35" s="194" t="s">
        <v>101</v>
      </c>
      <c r="DF35" s="195">
        <v>0.023935185185185184</v>
      </c>
      <c r="DG35" s="194" t="s">
        <v>101</v>
      </c>
      <c r="DH35" s="195">
        <v>3.1375578703703697</v>
      </c>
      <c r="DI35" s="194" t="s">
        <v>8</v>
      </c>
      <c r="DJ35" s="195">
        <v>3.935185185185185E-4</v>
      </c>
      <c r="DK35" s="194" t="s">
        <v>65</v>
      </c>
      <c r="DL35" s="195">
        <v>0.010497685185185185</v>
      </c>
      <c r="DM35" s="194" t="s">
        <v>63</v>
      </c>
      <c r="DN35" s="195">
        <v>0.001851851851851852</v>
      </c>
      <c r="DO35" s="194" t="s">
        <v>32</v>
      </c>
      <c r="DP35" s="195">
        <v>0.9189236111111111</v>
      </c>
      <c r="DQ35" s="194" t="s">
        <v>64</v>
      </c>
      <c r="DR35" s="195">
        <v>0.02994212962962963</v>
      </c>
      <c r="DS35" s="194" t="s">
        <v>22</v>
      </c>
      <c r="DT35" s="195">
        <v>0.031655092592592596</v>
      </c>
      <c r="DU35" s="194" t="s">
        <v>432</v>
      </c>
      <c r="DV35" s="195">
        <v>4.6296296296296294E-5</v>
      </c>
      <c r="DW35" s="194" t="s">
        <v>22</v>
      </c>
      <c r="DX35" s="195">
        <v>2.199074074074074E-4</v>
      </c>
      <c r="DY35" s="193"/>
      <c r="DZ35" s="193"/>
      <c r="EA35" s="194" t="s">
        <v>32</v>
      </c>
      <c r="EB35" s="195">
        <v>8.333333333333334E-4</v>
      </c>
      <c r="EC35" s="194" t="s">
        <v>18</v>
      </c>
      <c r="ED35" s="195">
        <v>4.398148148148148E-4</v>
      </c>
      <c r="EE35" s="194" t="s">
        <v>465</v>
      </c>
      <c r="EF35" s="195">
        <v>0.021469907407407406</v>
      </c>
      <c r="EG35" s="194" t="s">
        <v>464</v>
      </c>
      <c r="EH35" s="195">
        <v>0.023078703703703702</v>
      </c>
      <c r="EI35" s="194" t="s">
        <v>65</v>
      </c>
      <c r="EJ35" s="195">
        <v>0.11763888888888889</v>
      </c>
      <c r="EK35" s="194" t="s">
        <v>8</v>
      </c>
      <c r="EL35" s="195">
        <v>2.314814814814815E-4</v>
      </c>
      <c r="EM35" s="194" t="s">
        <v>63</v>
      </c>
      <c r="EN35" s="195">
        <v>8.564814814814815E-4</v>
      </c>
      <c r="EO35" s="194" t="s">
        <v>464</v>
      </c>
      <c r="EP35" s="195">
        <v>0.0857175925925926</v>
      </c>
      <c r="EQ35" s="194" t="s">
        <v>91</v>
      </c>
      <c r="ER35" s="195">
        <v>6.944444444444445E-4</v>
      </c>
      <c r="ES35" s="194" t="s">
        <v>32</v>
      </c>
      <c r="ET35" s="195">
        <v>0.030740740740740742</v>
      </c>
      <c r="EU35" s="194" t="s">
        <v>36</v>
      </c>
      <c r="EV35" s="195">
        <v>3.125E-4</v>
      </c>
      <c r="EW35" s="194" t="s">
        <v>71</v>
      </c>
      <c r="EX35" s="195">
        <v>0.013449074074074073</v>
      </c>
      <c r="EY35" s="193"/>
      <c r="EZ35" s="193"/>
      <c r="FA35" s="194" t="s">
        <v>65</v>
      </c>
      <c r="FB35" s="195">
        <v>0.014780092592592593</v>
      </c>
      <c r="FC35" s="194" t="s">
        <v>83</v>
      </c>
      <c r="FD35" s="195">
        <v>0.1703587962962963</v>
      </c>
      <c r="FE35" s="194" t="s">
        <v>71</v>
      </c>
      <c r="FF35" s="195">
        <v>0.0065625</v>
      </c>
      <c r="FG35" s="194" t="s">
        <v>63</v>
      </c>
      <c r="FH35" s="195">
        <v>2.0833333333333335E-4</v>
      </c>
      <c r="FI35" s="194" t="s">
        <v>33</v>
      </c>
      <c r="FJ35" s="195">
        <v>0.01238425925925926</v>
      </c>
      <c r="FK35" s="194" t="s">
        <v>23</v>
      </c>
      <c r="FL35" s="195">
        <v>0.04010416666666667</v>
      </c>
      <c r="FM35" s="194" t="s">
        <v>43</v>
      </c>
      <c r="FN35" s="195">
        <v>0.029189814814814814</v>
      </c>
      <c r="FO35" s="194" t="s">
        <v>8</v>
      </c>
      <c r="FP35" s="195">
        <v>0.021030092592592593</v>
      </c>
      <c r="FQ35" s="194" t="s">
        <v>65</v>
      </c>
      <c r="FR35" s="195">
        <v>0.0010185185185185184</v>
      </c>
      <c r="FS35" s="194" t="s">
        <v>90</v>
      </c>
      <c r="FT35" s="195">
        <v>0.014479166666666666</v>
      </c>
      <c r="FU35" s="194" t="s">
        <v>90</v>
      </c>
      <c r="FV35" s="195">
        <v>3.935185185185185E-4</v>
      </c>
      <c r="FW35" s="193"/>
      <c r="FX35" s="193"/>
      <c r="FY35" s="193"/>
      <c r="FZ35" s="193"/>
      <c r="GA35" s="194" t="s">
        <v>65</v>
      </c>
      <c r="GB35" s="195">
        <v>0.011423611111111112</v>
      </c>
      <c r="GC35" s="194" t="s">
        <v>99</v>
      </c>
      <c r="GD35" s="195">
        <v>0.006458333333333333</v>
      </c>
      <c r="GE35" s="194" t="s">
        <v>99</v>
      </c>
      <c r="GF35" s="195">
        <v>0.016516203703703703</v>
      </c>
      <c r="GG35" s="194" t="s">
        <v>31</v>
      </c>
      <c r="GH35" s="195">
        <v>0.0043055555555555555</v>
      </c>
      <c r="GI35" s="185" t="s">
        <v>36</v>
      </c>
      <c r="GJ35" s="186">
        <v>0.45493055555555556</v>
      </c>
      <c r="GK35" s="185" t="s">
        <v>84</v>
      </c>
      <c r="GL35" s="186">
        <v>0.003310185185185185</v>
      </c>
      <c r="GM35" s="185" t="s">
        <v>79</v>
      </c>
      <c r="GN35" s="186">
        <v>0.011851851851851851</v>
      </c>
      <c r="GO35" s="187" t="s">
        <v>82</v>
      </c>
      <c r="GP35" s="188">
        <v>0.04116898148148148</v>
      </c>
      <c r="GQ35" s="187" t="s">
        <v>23</v>
      </c>
      <c r="GR35" s="188">
        <v>0.03954861111111111</v>
      </c>
      <c r="GS35" s="187" t="s">
        <v>23</v>
      </c>
      <c r="GT35" s="188">
        <v>1.7361111111111112E-4</v>
      </c>
      <c r="GU35" s="187" t="s">
        <v>82</v>
      </c>
      <c r="GV35" s="188">
        <v>0.03630787037037037</v>
      </c>
      <c r="GW35" s="190" t="s">
        <v>93</v>
      </c>
      <c r="GX35" s="191">
        <v>0.059895833333333336</v>
      </c>
      <c r="GY35" s="190" t="s">
        <v>86</v>
      </c>
      <c r="GZ35" s="191">
        <v>0.0061574074074074074</v>
      </c>
      <c r="HA35" s="190" t="s">
        <v>42</v>
      </c>
      <c r="HB35" s="191">
        <v>0.017858796296296296</v>
      </c>
      <c r="HC35" s="190" t="s">
        <v>82</v>
      </c>
      <c r="HD35" s="191">
        <v>0.08071759259259259</v>
      </c>
      <c r="HE35" s="190" t="s">
        <v>95</v>
      </c>
      <c r="HF35" s="191">
        <v>0.3675347222222222</v>
      </c>
      <c r="HG35" s="190" t="s">
        <v>90</v>
      </c>
      <c r="HH35" s="191">
        <v>0.018391203703703705</v>
      </c>
      <c r="HI35" s="190" t="s">
        <v>90</v>
      </c>
      <c r="HJ35" s="191">
        <v>0.02900462962962963</v>
      </c>
      <c r="HK35" s="190" t="s">
        <v>95</v>
      </c>
      <c r="HL35" s="191">
        <v>0.6117939814814815</v>
      </c>
      <c r="HM35" s="190" t="s">
        <v>101</v>
      </c>
      <c r="HN35" s="191">
        <v>0.14491898148148147</v>
      </c>
      <c r="HO35" s="190" t="s">
        <v>96</v>
      </c>
      <c r="HP35" s="191">
        <v>0.1474537037037037</v>
      </c>
      <c r="HQ35" s="190" t="s">
        <v>90</v>
      </c>
      <c r="HR35" s="191">
        <v>0.05543981481481482</v>
      </c>
      <c r="HS35" s="190" t="s">
        <v>86</v>
      </c>
      <c r="HT35" s="191">
        <v>0.023078703703703702</v>
      </c>
      <c r="HU35" s="190" t="s">
        <v>89</v>
      </c>
      <c r="HV35" s="191">
        <v>0.18891203703703704</v>
      </c>
      <c r="HW35" s="190" t="s">
        <v>92</v>
      </c>
      <c r="HX35" s="191">
        <v>0.0140625</v>
      </c>
      <c r="HY35" s="187"/>
      <c r="HZ35" s="187"/>
      <c r="IA35" s="187"/>
      <c r="IB35" s="187"/>
      <c r="IC35" s="187"/>
      <c r="ID35" s="187"/>
      <c r="IE35" s="196" t="s">
        <v>36</v>
      </c>
      <c r="IF35" s="197">
        <v>0.025069444444444443</v>
      </c>
      <c r="IG35" s="178"/>
      <c r="IH35" s="196" t="s">
        <v>432</v>
      </c>
      <c r="II35" s="197">
        <v>0.010671296296296297</v>
      </c>
      <c r="IJ35" s="178"/>
      <c r="IK35" s="196" t="s">
        <v>432</v>
      </c>
      <c r="IL35" s="197">
        <v>0.010671296296296297</v>
      </c>
      <c r="IM35" s="196" t="s">
        <v>101</v>
      </c>
      <c r="IN35" s="197">
        <v>0.03556712962962963</v>
      </c>
      <c r="IO35" s="196" t="s">
        <v>99</v>
      </c>
      <c r="IP35" s="197">
        <v>0.14311342592592594</v>
      </c>
      <c r="IQ35" s="178"/>
      <c r="IR35" s="196" t="s">
        <v>101</v>
      </c>
      <c r="IS35" s="197">
        <v>0.016840277777777777</v>
      </c>
      <c r="IT35" s="178"/>
      <c r="IU35" s="196" t="s">
        <v>98</v>
      </c>
      <c r="IV35" s="197">
        <v>0.01707175925925926</v>
      </c>
      <c r="IW35" s="178"/>
      <c r="IX35" s="196" t="s">
        <v>57</v>
      </c>
      <c r="IY35" s="197">
        <v>0.15325231481481483</v>
      </c>
      <c r="IZ35" s="187" t="s">
        <v>61</v>
      </c>
      <c r="JA35" s="188">
        <v>0.033587962962962965</v>
      </c>
      <c r="JB35" s="187" t="s">
        <v>61</v>
      </c>
      <c r="JC35" s="188">
        <v>0.033587962962962965</v>
      </c>
      <c r="JD35" s="178"/>
    </row>
    <row r="36">
      <c r="A36" s="193"/>
      <c r="B36" s="193"/>
      <c r="C36" s="193"/>
      <c r="D36" s="193"/>
      <c r="E36" s="193"/>
      <c r="F36" s="193"/>
      <c r="G36" s="193"/>
      <c r="H36" s="193"/>
      <c r="I36" s="193"/>
      <c r="J36" s="193"/>
      <c r="K36" s="193"/>
      <c r="L36" s="193"/>
      <c r="M36" s="193"/>
      <c r="N36" s="193"/>
      <c r="O36" s="193"/>
      <c r="P36" s="193"/>
      <c r="Q36" s="193"/>
      <c r="R36" s="193"/>
      <c r="S36" s="193"/>
      <c r="T36" s="193"/>
      <c r="U36" s="193"/>
      <c r="V36" s="193"/>
      <c r="W36" s="194"/>
      <c r="X36" s="195"/>
      <c r="Y36" s="193"/>
      <c r="Z36" s="193"/>
      <c r="AA36" s="193"/>
      <c r="AB36" s="193"/>
      <c r="AC36" s="193"/>
      <c r="AD36" s="193"/>
      <c r="AE36" s="193"/>
      <c r="AF36" s="193"/>
      <c r="AG36" s="194" t="s">
        <v>424</v>
      </c>
      <c r="AH36" s="195">
        <v>0.013958333333333333</v>
      </c>
      <c r="AI36" s="194" t="s">
        <v>21</v>
      </c>
      <c r="AJ36" s="195">
        <v>0.03288194444444444</v>
      </c>
      <c r="AK36" s="194" t="s">
        <v>59</v>
      </c>
      <c r="AL36" s="195">
        <v>0.03847222222222222</v>
      </c>
      <c r="AM36" s="194" t="s">
        <v>51</v>
      </c>
      <c r="AN36" s="195">
        <v>0.0027430555555555554</v>
      </c>
      <c r="AO36" s="194" t="s">
        <v>78</v>
      </c>
      <c r="AP36" s="195">
        <v>0.002777777777777778</v>
      </c>
      <c r="AQ36" s="194" t="s">
        <v>60</v>
      </c>
      <c r="AR36" s="195">
        <v>0.18099537037037036</v>
      </c>
      <c r="AS36" s="194" t="s">
        <v>78</v>
      </c>
      <c r="AT36" s="195">
        <v>0.059305555555555556</v>
      </c>
      <c r="AU36" s="194" t="s">
        <v>59</v>
      </c>
      <c r="AV36" s="195">
        <v>0.37212962962962964</v>
      </c>
      <c r="AW36" s="194" t="s">
        <v>70</v>
      </c>
      <c r="AX36" s="195">
        <v>0.016446759259259258</v>
      </c>
      <c r="AY36" s="194" t="s">
        <v>70</v>
      </c>
      <c r="AZ36" s="195">
        <v>0.016307870370370372</v>
      </c>
      <c r="BA36" s="194" t="s">
        <v>44</v>
      </c>
      <c r="BB36" s="195">
        <v>0.10513888888888889</v>
      </c>
      <c r="BC36" s="194" t="s">
        <v>70</v>
      </c>
      <c r="BD36" s="195">
        <v>0.01880787037037037</v>
      </c>
      <c r="BE36" s="194" t="s">
        <v>70</v>
      </c>
      <c r="BF36" s="195">
        <v>0.03770833333333334</v>
      </c>
      <c r="BG36" s="194" t="s">
        <v>70</v>
      </c>
      <c r="BH36" s="195">
        <v>0.047407407407407405</v>
      </c>
      <c r="BI36" s="194" t="s">
        <v>70</v>
      </c>
      <c r="BJ36" s="195">
        <v>0.044756944444444446</v>
      </c>
      <c r="BK36" s="194" t="s">
        <v>70</v>
      </c>
      <c r="BL36" s="195">
        <v>0.1480787037037037</v>
      </c>
      <c r="BM36" s="194" t="s">
        <v>70</v>
      </c>
      <c r="BN36" s="195">
        <v>0.1903587962962963</v>
      </c>
      <c r="BO36" s="194" t="s">
        <v>70</v>
      </c>
      <c r="BP36" s="195">
        <v>0.10306712962962963</v>
      </c>
      <c r="BQ36" s="194" t="s">
        <v>70</v>
      </c>
      <c r="BR36" s="195">
        <v>0.15766203703703704</v>
      </c>
      <c r="BS36" s="194" t="s">
        <v>70</v>
      </c>
      <c r="BT36" s="195">
        <v>0.13201388888888888</v>
      </c>
      <c r="BU36" s="194" t="s">
        <v>70</v>
      </c>
      <c r="BV36" s="195">
        <v>0.03293981481481482</v>
      </c>
      <c r="BW36" s="194" t="s">
        <v>70</v>
      </c>
      <c r="BX36" s="195">
        <v>0.12059027777777778</v>
      </c>
      <c r="BY36" s="194" t="s">
        <v>70</v>
      </c>
      <c r="BZ36" s="195">
        <v>0.056261574074074075</v>
      </c>
      <c r="CA36" s="194" t="s">
        <v>70</v>
      </c>
      <c r="CB36" s="195">
        <v>0.16921296296296295</v>
      </c>
      <c r="CC36" s="194" t="s">
        <v>70</v>
      </c>
      <c r="CD36" s="195">
        <v>0.12670138888888888</v>
      </c>
      <c r="CE36" s="194" t="s">
        <v>44</v>
      </c>
      <c r="CF36" s="195">
        <v>0.19783564814814814</v>
      </c>
      <c r="CG36" s="194" t="s">
        <v>70</v>
      </c>
      <c r="CH36" s="195">
        <v>0.22918981481481482</v>
      </c>
      <c r="CI36" s="194" t="s">
        <v>44</v>
      </c>
      <c r="CJ36" s="195">
        <v>0.030462962962962963</v>
      </c>
      <c r="CK36" s="194" t="s">
        <v>70</v>
      </c>
      <c r="CL36" s="195">
        <v>0.4205902777777778</v>
      </c>
      <c r="CM36" s="194" t="s">
        <v>70</v>
      </c>
      <c r="CN36" s="195">
        <v>0.33858796296296295</v>
      </c>
      <c r="CO36" s="194" t="s">
        <v>70</v>
      </c>
      <c r="CP36" s="195">
        <v>0.23975694444444445</v>
      </c>
      <c r="CQ36" s="194" t="s">
        <v>59</v>
      </c>
      <c r="CR36" s="195">
        <v>0.03702546296296296</v>
      </c>
      <c r="CS36" s="194" t="s">
        <v>70</v>
      </c>
      <c r="CT36" s="195">
        <v>0.36224537037037036</v>
      </c>
      <c r="CU36" s="194" t="s">
        <v>70</v>
      </c>
      <c r="CV36" s="195">
        <v>0.33422453703703703</v>
      </c>
      <c r="CW36" s="194" t="s">
        <v>428</v>
      </c>
      <c r="CX36" s="195">
        <v>0.05658564814814815</v>
      </c>
      <c r="CY36" s="194" t="s">
        <v>428</v>
      </c>
      <c r="CZ36" s="195">
        <v>0.03351851851851852</v>
      </c>
      <c r="DA36" s="194" t="s">
        <v>428</v>
      </c>
      <c r="DB36" s="195">
        <v>0.020150462962962964</v>
      </c>
      <c r="DC36" s="194" t="s">
        <v>44</v>
      </c>
      <c r="DD36" s="195">
        <v>0.012465277777777778</v>
      </c>
      <c r="DE36" s="194" t="s">
        <v>70</v>
      </c>
      <c r="DF36" s="195">
        <v>0.06413194444444445</v>
      </c>
      <c r="DG36" s="194" t="s">
        <v>70</v>
      </c>
      <c r="DH36" s="195">
        <v>0.9504513888888888</v>
      </c>
      <c r="DI36" s="194" t="s">
        <v>65</v>
      </c>
      <c r="DJ36" s="195">
        <v>0.02304398148148148</v>
      </c>
      <c r="DK36" s="194" t="s">
        <v>33</v>
      </c>
      <c r="DL36" s="195">
        <v>0.9551273148148148</v>
      </c>
      <c r="DM36" s="194" t="s">
        <v>32</v>
      </c>
      <c r="DN36" s="195">
        <v>0.5328009259259259</v>
      </c>
      <c r="DO36" s="194" t="s">
        <v>22</v>
      </c>
      <c r="DP36" s="195">
        <v>0.008842592592592593</v>
      </c>
      <c r="DQ36" s="194" t="s">
        <v>32</v>
      </c>
      <c r="DR36" s="195">
        <v>0.09950231481481482</v>
      </c>
      <c r="DS36" s="194" t="s">
        <v>65</v>
      </c>
      <c r="DT36" s="195">
        <v>0.028078703703703703</v>
      </c>
      <c r="DU36" s="194" t="s">
        <v>23</v>
      </c>
      <c r="DV36" s="195">
        <v>9.375E-4</v>
      </c>
      <c r="DW36" s="194" t="s">
        <v>65</v>
      </c>
      <c r="DX36" s="195">
        <v>1.0416666666666667E-4</v>
      </c>
      <c r="DY36" s="193"/>
      <c r="DZ36" s="193"/>
      <c r="EA36" s="194" t="s">
        <v>22</v>
      </c>
      <c r="EB36" s="195">
        <v>0.001585648148148148</v>
      </c>
      <c r="EC36" s="194" t="s">
        <v>91</v>
      </c>
      <c r="ED36" s="195">
        <v>8.449074074074074E-4</v>
      </c>
      <c r="EE36" s="194" t="s">
        <v>432</v>
      </c>
      <c r="EF36" s="195">
        <v>0.0034953703703703705</v>
      </c>
      <c r="EG36" s="194" t="s">
        <v>465</v>
      </c>
      <c r="EH36" s="195">
        <v>0.02347222222222222</v>
      </c>
      <c r="EI36" s="194" t="s">
        <v>86</v>
      </c>
      <c r="EJ36" s="195">
        <v>0.014201388888888888</v>
      </c>
      <c r="EK36" s="194" t="s">
        <v>65</v>
      </c>
      <c r="EL36" s="195">
        <v>0.0829513888888889</v>
      </c>
      <c r="EM36" s="194" t="s">
        <v>32</v>
      </c>
      <c r="EN36" s="195">
        <v>0.012337962962962964</v>
      </c>
      <c r="EO36" s="194" t="s">
        <v>465</v>
      </c>
      <c r="EP36" s="195">
        <v>0.1371412037037037</v>
      </c>
      <c r="EQ36" s="194" t="s">
        <v>464</v>
      </c>
      <c r="ER36" s="195">
        <v>0.054560185185185184</v>
      </c>
      <c r="ES36" s="194" t="s">
        <v>22</v>
      </c>
      <c r="ET36" s="195">
        <v>0.07686342592592593</v>
      </c>
      <c r="EU36" s="194" t="s">
        <v>20</v>
      </c>
      <c r="EV36" s="195">
        <v>1.8518518518518518E-4</v>
      </c>
      <c r="EW36" s="194" t="s">
        <v>22</v>
      </c>
      <c r="EX36" s="195">
        <v>0.02802083333333333</v>
      </c>
      <c r="EY36" s="193"/>
      <c r="EZ36" s="193"/>
      <c r="FA36" s="194" t="s">
        <v>86</v>
      </c>
      <c r="FB36" s="195">
        <v>6.712962962962962E-4</v>
      </c>
      <c r="FC36" s="194" t="s">
        <v>63</v>
      </c>
      <c r="FD36" s="195">
        <v>0.047141203703703706</v>
      </c>
      <c r="FE36" s="194" t="s">
        <v>22</v>
      </c>
      <c r="FF36" s="195">
        <v>0.15556712962962962</v>
      </c>
      <c r="FG36" s="194" t="s">
        <v>64</v>
      </c>
      <c r="FH36" s="195">
        <v>0.0013541666666666667</v>
      </c>
      <c r="FI36" s="198" t="s">
        <v>61</v>
      </c>
      <c r="FJ36" s="199">
        <v>0.004814814814814815</v>
      </c>
      <c r="FK36" s="194" t="s">
        <v>41</v>
      </c>
      <c r="FL36" s="195">
        <v>0.021296296296296296</v>
      </c>
      <c r="FM36" s="194" t="s">
        <v>99</v>
      </c>
      <c r="FN36" s="195">
        <v>0.012488425925925925</v>
      </c>
      <c r="FO36" s="194" t="s">
        <v>65</v>
      </c>
      <c r="FP36" s="195">
        <v>0.004131944444444444</v>
      </c>
      <c r="FQ36" s="194" t="s">
        <v>36</v>
      </c>
      <c r="FR36" s="195">
        <v>0.002488425925925926</v>
      </c>
      <c r="FS36" s="194" t="s">
        <v>18</v>
      </c>
      <c r="FT36" s="195">
        <v>0.0020833333333333333</v>
      </c>
      <c r="FU36" s="194" t="s">
        <v>18</v>
      </c>
      <c r="FV36" s="195">
        <v>0.016041666666666666</v>
      </c>
      <c r="FW36" s="193"/>
      <c r="FX36" s="193"/>
      <c r="FY36" s="193"/>
      <c r="FZ36" s="193"/>
      <c r="GA36" s="194" t="s">
        <v>20</v>
      </c>
      <c r="GB36" s="195">
        <v>0.001099537037037037</v>
      </c>
      <c r="GC36" s="194" t="s">
        <v>82</v>
      </c>
      <c r="GD36" s="195">
        <v>0.032060185185185185</v>
      </c>
      <c r="GE36" s="194" t="s">
        <v>82</v>
      </c>
      <c r="GF36" s="195">
        <v>0.2237962962962963</v>
      </c>
      <c r="GG36" s="194" t="s">
        <v>103</v>
      </c>
      <c r="GH36" s="195">
        <v>0.08059027777777777</v>
      </c>
      <c r="GI36" s="185" t="s">
        <v>84</v>
      </c>
      <c r="GJ36" s="186">
        <v>0.00542824074074074</v>
      </c>
      <c r="GK36" s="185" t="s">
        <v>23</v>
      </c>
      <c r="GL36" s="186">
        <v>0.01954861111111111</v>
      </c>
      <c r="GM36" s="185" t="s">
        <v>23</v>
      </c>
      <c r="GN36" s="186">
        <v>0.017280092592592593</v>
      </c>
      <c r="GO36" s="187" t="s">
        <v>83</v>
      </c>
      <c r="GP36" s="188">
        <v>0.016134259259259258</v>
      </c>
      <c r="GQ36" s="187" t="s">
        <v>87</v>
      </c>
      <c r="GR36" s="188">
        <v>0.2687847222222222</v>
      </c>
      <c r="GS36" s="187" t="s">
        <v>87</v>
      </c>
      <c r="GT36" s="188">
        <v>0.21760416666666665</v>
      </c>
      <c r="GU36" s="187" t="s">
        <v>83</v>
      </c>
      <c r="GV36" s="188">
        <v>0.014016203703703704</v>
      </c>
      <c r="GW36" s="190" t="s">
        <v>94</v>
      </c>
      <c r="GX36" s="191">
        <v>0.01306712962962963</v>
      </c>
      <c r="GY36" s="190" t="s">
        <v>89</v>
      </c>
      <c r="GZ36" s="191">
        <v>0.4636458333333333</v>
      </c>
      <c r="HA36" s="190" t="s">
        <v>80</v>
      </c>
      <c r="HB36" s="191">
        <v>0.01875</v>
      </c>
      <c r="HC36" s="190" t="s">
        <v>83</v>
      </c>
      <c r="HD36" s="191">
        <v>0.01885416666666667</v>
      </c>
      <c r="HE36" s="190" t="s">
        <v>92</v>
      </c>
      <c r="HF36" s="191">
        <v>9.490740740740741E-4</v>
      </c>
      <c r="HG36" s="190" t="s">
        <v>426</v>
      </c>
      <c r="HH36" s="191">
        <v>0.05619212962962963</v>
      </c>
      <c r="HI36" s="190" t="s">
        <v>426</v>
      </c>
      <c r="HJ36" s="191">
        <v>0.2083449074074074</v>
      </c>
      <c r="HK36" s="190" t="s">
        <v>97</v>
      </c>
      <c r="HL36" s="191">
        <v>0.4191435185185185</v>
      </c>
      <c r="HM36" s="190" t="s">
        <v>102</v>
      </c>
      <c r="HN36" s="191">
        <v>2.8935185185185184E-4</v>
      </c>
      <c r="HO36" s="190" t="s">
        <v>97</v>
      </c>
      <c r="HP36" s="191">
        <v>0.07364583333333333</v>
      </c>
      <c r="HQ36" s="190" t="s">
        <v>91</v>
      </c>
      <c r="HR36" s="191">
        <v>0.012662037037037038</v>
      </c>
      <c r="HS36" s="190" t="s">
        <v>87</v>
      </c>
      <c r="HT36" s="191">
        <v>3.587962962962963E-4</v>
      </c>
      <c r="HU36" s="190" t="s">
        <v>90</v>
      </c>
      <c r="HV36" s="191">
        <v>0.07155092592592592</v>
      </c>
      <c r="HW36" s="190" t="s">
        <v>97</v>
      </c>
      <c r="HX36" s="191">
        <v>0.04857638888888889</v>
      </c>
      <c r="HY36" s="187"/>
      <c r="HZ36" s="187"/>
      <c r="IA36" s="187"/>
      <c r="IB36" s="187"/>
      <c r="IC36" s="187"/>
      <c r="ID36" s="187"/>
      <c r="IE36" s="196" t="s">
        <v>86</v>
      </c>
      <c r="IF36" s="197">
        <v>0.001574074074074074</v>
      </c>
      <c r="IG36" s="178"/>
      <c r="IH36" s="196" t="s">
        <v>102</v>
      </c>
      <c r="II36" s="197">
        <v>0.002905092592592593</v>
      </c>
      <c r="IJ36" s="178"/>
      <c r="IK36" s="196" t="s">
        <v>102</v>
      </c>
      <c r="IL36" s="197">
        <v>0.002905092592592593</v>
      </c>
      <c r="IM36" s="196" t="s">
        <v>102</v>
      </c>
      <c r="IN36" s="197">
        <v>0.002905092592592593</v>
      </c>
      <c r="IO36" s="196" t="s">
        <v>61</v>
      </c>
      <c r="IP36" s="197">
        <v>0.0045138888888888885</v>
      </c>
      <c r="IQ36" s="178"/>
      <c r="IR36" s="196" t="s">
        <v>102</v>
      </c>
      <c r="IS36" s="197">
        <v>0.012905092592592593</v>
      </c>
      <c r="IT36" s="178"/>
      <c r="IU36" s="196" t="s">
        <v>99</v>
      </c>
      <c r="IV36" s="197">
        <v>0.06876157407407407</v>
      </c>
      <c r="IW36" s="178"/>
      <c r="IX36" s="196" t="s">
        <v>98</v>
      </c>
      <c r="IY36" s="197">
        <v>0.03048611111111111</v>
      </c>
      <c r="IZ36" s="187" t="s">
        <v>101</v>
      </c>
      <c r="JA36" s="188">
        <v>0.06184027777777778</v>
      </c>
      <c r="JB36" s="187" t="s">
        <v>101</v>
      </c>
      <c r="JC36" s="188">
        <v>0.06184027777777778</v>
      </c>
      <c r="JD36" s="178"/>
    </row>
    <row r="37">
      <c r="A37" s="193"/>
      <c r="B37" s="193"/>
      <c r="C37" s="193"/>
      <c r="D37" s="193"/>
      <c r="E37" s="193"/>
      <c r="F37" s="193"/>
      <c r="G37" s="193"/>
      <c r="H37" s="193"/>
      <c r="I37" s="193"/>
      <c r="J37" s="193"/>
      <c r="K37" s="193"/>
      <c r="L37" s="193"/>
      <c r="M37" s="193"/>
      <c r="N37" s="193"/>
      <c r="O37" s="193"/>
      <c r="P37" s="193"/>
      <c r="Q37" s="193"/>
      <c r="R37" s="193"/>
      <c r="S37" s="193"/>
      <c r="T37" s="193"/>
      <c r="U37" s="193"/>
      <c r="V37" s="193"/>
      <c r="W37" s="194"/>
      <c r="X37" s="195"/>
      <c r="Y37" s="193"/>
      <c r="Z37" s="193"/>
      <c r="AA37" s="193"/>
      <c r="AB37" s="193"/>
      <c r="AC37" s="193"/>
      <c r="AD37" s="193"/>
      <c r="AE37" s="193"/>
      <c r="AF37" s="193"/>
      <c r="AG37" s="194" t="s">
        <v>41</v>
      </c>
      <c r="AH37" s="195">
        <v>0.00738425925925926</v>
      </c>
      <c r="AI37" s="194" t="s">
        <v>62</v>
      </c>
      <c r="AJ37" s="195">
        <v>0.016307870370370372</v>
      </c>
      <c r="AK37" s="194" t="s">
        <v>428</v>
      </c>
      <c r="AL37" s="195">
        <v>0.018287037037037036</v>
      </c>
      <c r="AM37" s="194" t="s">
        <v>25</v>
      </c>
      <c r="AN37" s="195">
        <v>0.02269675925925926</v>
      </c>
      <c r="AO37" s="194" t="s">
        <v>21</v>
      </c>
      <c r="AP37" s="195">
        <v>1.388888888888889E-4</v>
      </c>
      <c r="AQ37" s="194" t="s">
        <v>78</v>
      </c>
      <c r="AR37" s="195">
        <v>0.011875</v>
      </c>
      <c r="AS37" s="194" t="s">
        <v>62</v>
      </c>
      <c r="AT37" s="195">
        <v>0.016435185185185185</v>
      </c>
      <c r="AU37" s="194" t="s">
        <v>428</v>
      </c>
      <c r="AV37" s="195">
        <v>0.23820601851851853</v>
      </c>
      <c r="AW37" s="194" t="s">
        <v>44</v>
      </c>
      <c r="AX37" s="195">
        <v>0.025381944444444443</v>
      </c>
      <c r="AY37" s="194" t="s">
        <v>44</v>
      </c>
      <c r="AZ37" s="195">
        <v>0.033275462962962965</v>
      </c>
      <c r="BA37" s="194" t="s">
        <v>59</v>
      </c>
      <c r="BB37" s="195">
        <v>0.18604166666666666</v>
      </c>
      <c r="BC37" s="194" t="s">
        <v>44</v>
      </c>
      <c r="BD37" s="195">
        <v>0.07489583333333333</v>
      </c>
      <c r="BE37" s="194" t="s">
        <v>44</v>
      </c>
      <c r="BF37" s="195">
        <v>0.11075231481481482</v>
      </c>
      <c r="BG37" s="194" t="s">
        <v>44</v>
      </c>
      <c r="BH37" s="195">
        <v>0.15280092592592592</v>
      </c>
      <c r="BI37" s="194" t="s">
        <v>44</v>
      </c>
      <c r="BJ37" s="195">
        <v>0.19512731481481482</v>
      </c>
      <c r="BK37" s="194" t="s">
        <v>44</v>
      </c>
      <c r="BL37" s="195">
        <v>0.2857060185185185</v>
      </c>
      <c r="BM37" s="194" t="s">
        <v>44</v>
      </c>
      <c r="BN37" s="195">
        <v>0.4600925925925926</v>
      </c>
      <c r="BO37" s="194" t="s">
        <v>44</v>
      </c>
      <c r="BP37" s="195">
        <v>0.7625347222222222</v>
      </c>
      <c r="BQ37" s="194" t="s">
        <v>44</v>
      </c>
      <c r="BR37" s="195">
        <v>0.8956597222222222</v>
      </c>
      <c r="BS37" s="194" t="s">
        <v>44</v>
      </c>
      <c r="BT37" s="195">
        <v>0.7044212962962964</v>
      </c>
      <c r="BU37" s="194" t="s">
        <v>44</v>
      </c>
      <c r="BV37" s="195">
        <v>0.6542939814814814</v>
      </c>
      <c r="BW37" s="194" t="s">
        <v>44</v>
      </c>
      <c r="BX37" s="195">
        <v>0.6453125</v>
      </c>
      <c r="BY37" s="194" t="s">
        <v>44</v>
      </c>
      <c r="BZ37" s="195">
        <v>0.5209259259259259</v>
      </c>
      <c r="CA37" s="194" t="s">
        <v>44</v>
      </c>
      <c r="CB37" s="195">
        <v>0.32243055555555555</v>
      </c>
      <c r="CC37" s="194" t="s">
        <v>44</v>
      </c>
      <c r="CD37" s="195">
        <v>0.26131944444444444</v>
      </c>
      <c r="CE37" s="194" t="s">
        <v>59</v>
      </c>
      <c r="CF37" s="195">
        <v>0.044270833333333336</v>
      </c>
      <c r="CG37" s="194" t="s">
        <v>44</v>
      </c>
      <c r="CH37" s="195">
        <v>0.040358796296296295</v>
      </c>
      <c r="CI37" s="194" t="s">
        <v>59</v>
      </c>
      <c r="CJ37" s="195">
        <v>0.08266203703703703</v>
      </c>
      <c r="CK37" s="194" t="s">
        <v>44</v>
      </c>
      <c r="CL37" s="195">
        <v>0.059131944444444445</v>
      </c>
      <c r="CM37" s="194" t="s">
        <v>44</v>
      </c>
      <c r="CN37" s="195">
        <v>0.014398148148148148</v>
      </c>
      <c r="CO37" s="194" t="s">
        <v>44</v>
      </c>
      <c r="CP37" s="195">
        <v>0.02630787037037037</v>
      </c>
      <c r="CQ37" s="194" t="s">
        <v>102</v>
      </c>
      <c r="CR37" s="195">
        <v>0.2652777777777778</v>
      </c>
      <c r="CS37" s="194" t="s">
        <v>59</v>
      </c>
      <c r="CT37" s="195">
        <v>0.03622685185185185</v>
      </c>
      <c r="CU37" s="194" t="s">
        <v>44</v>
      </c>
      <c r="CV37" s="195">
        <v>0.02519675925925926</v>
      </c>
      <c r="CW37" s="194" t="s">
        <v>78</v>
      </c>
      <c r="CX37" s="195">
        <v>0.0848263888888889</v>
      </c>
      <c r="CY37" s="194" t="s">
        <v>60</v>
      </c>
      <c r="CZ37" s="195">
        <v>0.02400462962962963</v>
      </c>
      <c r="DA37" s="194" t="s">
        <v>60</v>
      </c>
      <c r="DB37" s="195">
        <v>0.043298611111111114</v>
      </c>
      <c r="DC37" s="194" t="s">
        <v>59</v>
      </c>
      <c r="DD37" s="195">
        <v>0.05863425925925926</v>
      </c>
      <c r="DE37" s="194" t="s">
        <v>44</v>
      </c>
      <c r="DF37" s="195">
        <v>0.020717592592592593</v>
      </c>
      <c r="DG37" s="194" t="s">
        <v>44</v>
      </c>
      <c r="DH37" s="195">
        <v>0.9606944444444444</v>
      </c>
      <c r="DI37" s="194" t="s">
        <v>36</v>
      </c>
      <c r="DJ37" s="195">
        <v>2.314814814814815E-4</v>
      </c>
      <c r="DK37" s="194" t="s">
        <v>30</v>
      </c>
      <c r="DL37" s="195">
        <v>0.04642361111111111</v>
      </c>
      <c r="DM37" s="194" t="s">
        <v>71</v>
      </c>
      <c r="DN37" s="195">
        <v>0.016574074074074074</v>
      </c>
      <c r="DO37" s="194" t="s">
        <v>8</v>
      </c>
      <c r="DP37" s="195">
        <v>0.006516203703703704</v>
      </c>
      <c r="DQ37" s="194" t="s">
        <v>71</v>
      </c>
      <c r="DR37" s="195">
        <v>0.0029976851851851853</v>
      </c>
      <c r="DS37" s="194" t="s">
        <v>33</v>
      </c>
      <c r="DT37" s="195">
        <v>0.09240740740740741</v>
      </c>
      <c r="DU37" s="194" t="s">
        <v>41</v>
      </c>
      <c r="DV37" s="195">
        <v>0.47443287037037035</v>
      </c>
      <c r="DW37" s="194" t="s">
        <v>33</v>
      </c>
      <c r="DX37" s="195">
        <v>0.006446759259259259</v>
      </c>
      <c r="DY37" s="193"/>
      <c r="DZ37" s="193"/>
      <c r="EA37" s="194" t="s">
        <v>33</v>
      </c>
      <c r="EB37" s="195">
        <v>0.004502314814814815</v>
      </c>
      <c r="EC37" s="194" t="s">
        <v>465</v>
      </c>
      <c r="ED37" s="195">
        <v>0.16894675925925925</v>
      </c>
      <c r="EE37" s="194" t="s">
        <v>41</v>
      </c>
      <c r="EF37" s="195">
        <v>0.21128472222222222</v>
      </c>
      <c r="EG37" s="194" t="s">
        <v>432</v>
      </c>
      <c r="EH37" s="195">
        <v>0.016793981481481483</v>
      </c>
      <c r="EI37" s="194" t="s">
        <v>87</v>
      </c>
      <c r="EJ37" s="195">
        <v>0.0028472222222222223</v>
      </c>
      <c r="EK37" s="194" t="s">
        <v>33</v>
      </c>
      <c r="EL37" s="195">
        <v>0.011574074074074073</v>
      </c>
      <c r="EM37" s="194" t="s">
        <v>22</v>
      </c>
      <c r="EN37" s="195">
        <v>0.0010879629629629629</v>
      </c>
      <c r="EO37" s="194" t="s">
        <v>23</v>
      </c>
      <c r="EP37" s="195">
        <v>0.00880787037037037</v>
      </c>
      <c r="EQ37" s="194" t="s">
        <v>465</v>
      </c>
      <c r="ER37" s="195">
        <v>0.02644675925925926</v>
      </c>
      <c r="ES37" s="194" t="s">
        <v>8</v>
      </c>
      <c r="ET37" s="195">
        <v>0.004270833333333333</v>
      </c>
      <c r="EU37" s="194" t="s">
        <v>87</v>
      </c>
      <c r="EV37" s="195">
        <v>8.101851851851852E-4</v>
      </c>
      <c r="EW37" s="194" t="s">
        <v>8</v>
      </c>
      <c r="EX37" s="195">
        <v>0.018564814814814815</v>
      </c>
      <c r="EY37" s="193"/>
      <c r="EZ37" s="193"/>
      <c r="FA37" s="194" t="s">
        <v>87</v>
      </c>
      <c r="FB37" s="195">
        <v>0.003726851851851852</v>
      </c>
      <c r="FC37" s="194" t="s">
        <v>32</v>
      </c>
      <c r="FD37" s="195">
        <v>0.033368055555555554</v>
      </c>
      <c r="FE37" s="194" t="s">
        <v>8</v>
      </c>
      <c r="FF37" s="195">
        <v>0.0059953703703703705</v>
      </c>
      <c r="FG37" s="194" t="s">
        <v>32</v>
      </c>
      <c r="FH37" s="195">
        <v>0.0315625</v>
      </c>
      <c r="FI37" s="193"/>
      <c r="FJ37" s="193"/>
      <c r="FK37" s="194" t="s">
        <v>83</v>
      </c>
      <c r="FL37" s="195">
        <v>0.008113425925925927</v>
      </c>
      <c r="FM37" s="194" t="s">
        <v>82</v>
      </c>
      <c r="FN37" s="195">
        <v>0.0015393518518518519</v>
      </c>
      <c r="FO37" s="194" t="s">
        <v>36</v>
      </c>
      <c r="FP37" s="195">
        <v>3.0092592592592595E-4</v>
      </c>
      <c r="FQ37" s="194" t="s">
        <v>52</v>
      </c>
      <c r="FR37" s="195">
        <v>0.01375</v>
      </c>
      <c r="FS37" s="194" t="s">
        <v>464</v>
      </c>
      <c r="FT37" s="195">
        <v>0.07302083333333333</v>
      </c>
      <c r="FU37" s="194" t="s">
        <v>91</v>
      </c>
      <c r="FV37" s="195">
        <v>0.01361111111111111</v>
      </c>
      <c r="FW37" s="193"/>
      <c r="FX37" s="193"/>
      <c r="FY37" s="193"/>
      <c r="FZ37" s="193"/>
      <c r="GA37" s="194" t="s">
        <v>33</v>
      </c>
      <c r="GB37" s="195">
        <v>0.0034953703703703705</v>
      </c>
      <c r="GC37" s="194" t="s">
        <v>90</v>
      </c>
      <c r="GD37" s="195">
        <v>0.0030902777777777777</v>
      </c>
      <c r="GE37" s="194" t="s">
        <v>90</v>
      </c>
      <c r="GF37" s="195">
        <v>0.04640046296296296</v>
      </c>
      <c r="GG37" s="194" t="s">
        <v>43</v>
      </c>
      <c r="GH37" s="195">
        <v>0.8703240740740741</v>
      </c>
      <c r="GI37" s="185" t="s">
        <v>79</v>
      </c>
      <c r="GJ37" s="186">
        <v>0.056053240740740744</v>
      </c>
      <c r="GK37" s="185" t="s">
        <v>86</v>
      </c>
      <c r="GL37" s="186">
        <v>0.0016203703703703703</v>
      </c>
      <c r="GM37" s="185" t="s">
        <v>87</v>
      </c>
      <c r="GN37" s="186">
        <v>0.4048148148148148</v>
      </c>
      <c r="GO37" s="187" t="s">
        <v>36</v>
      </c>
      <c r="GP37" s="188">
        <v>0.14438657407407407</v>
      </c>
      <c r="GQ37" s="187" t="s">
        <v>89</v>
      </c>
      <c r="GR37" s="188">
        <v>0.06700231481481482</v>
      </c>
      <c r="GS37" s="187" t="s">
        <v>89</v>
      </c>
      <c r="GT37" s="188">
        <v>0.058506944444444445</v>
      </c>
      <c r="GU37" s="187" t="s">
        <v>36</v>
      </c>
      <c r="GV37" s="188">
        <v>0.19688657407407406</v>
      </c>
      <c r="GW37" s="190" t="s">
        <v>96</v>
      </c>
      <c r="GX37" s="191">
        <v>0.2410300925925926</v>
      </c>
      <c r="GY37" s="190" t="s">
        <v>90</v>
      </c>
      <c r="GZ37" s="191">
        <v>0.25395833333333334</v>
      </c>
      <c r="HA37" s="190" t="s">
        <v>82</v>
      </c>
      <c r="HB37" s="191">
        <v>0.04269675925925926</v>
      </c>
      <c r="HC37" s="190" t="s">
        <v>36</v>
      </c>
      <c r="HD37" s="191">
        <v>0.1769675925925926</v>
      </c>
      <c r="HE37" s="190" t="s">
        <v>97</v>
      </c>
      <c r="HF37" s="191">
        <v>0.09591435185185185</v>
      </c>
      <c r="HG37" s="190" t="s">
        <v>93</v>
      </c>
      <c r="HH37" s="191">
        <v>0.08608796296296296</v>
      </c>
      <c r="HI37" s="190" t="s">
        <v>93</v>
      </c>
      <c r="HJ37" s="191">
        <v>0.023113425925925926</v>
      </c>
      <c r="HK37" s="190" t="s">
        <v>57</v>
      </c>
      <c r="HL37" s="191">
        <v>0.06538194444444445</v>
      </c>
      <c r="HM37" s="190" t="s">
        <v>29</v>
      </c>
      <c r="HN37" s="191">
        <v>0.03775462962962963</v>
      </c>
      <c r="HO37" s="190" t="s">
        <v>57</v>
      </c>
      <c r="HP37" s="191">
        <v>0.0022222222222222222</v>
      </c>
      <c r="HQ37" s="190" t="s">
        <v>426</v>
      </c>
      <c r="HR37" s="191">
        <v>0.17126157407407408</v>
      </c>
      <c r="HS37" s="190" t="s">
        <v>89</v>
      </c>
      <c r="HT37" s="191">
        <v>0.25377314814814816</v>
      </c>
      <c r="HU37" s="190" t="s">
        <v>93</v>
      </c>
      <c r="HV37" s="191">
        <v>0.07273148148148148</v>
      </c>
      <c r="HW37" s="190" t="s">
        <v>57</v>
      </c>
      <c r="HX37" s="191">
        <v>0.012453703703703703</v>
      </c>
      <c r="HY37" s="187"/>
      <c r="HZ37" s="187"/>
      <c r="IA37" s="187"/>
      <c r="IB37" s="187"/>
      <c r="IC37" s="187"/>
      <c r="ID37" s="187"/>
      <c r="IE37" s="196" t="s">
        <v>20</v>
      </c>
      <c r="IF37" s="197">
        <v>0.11578703703703704</v>
      </c>
      <c r="IG37" s="178"/>
      <c r="IH37" s="196" t="s">
        <v>465</v>
      </c>
      <c r="II37" s="197">
        <v>0.026041666666666668</v>
      </c>
      <c r="IJ37" s="178"/>
      <c r="IK37" s="196" t="s">
        <v>465</v>
      </c>
      <c r="IL37" s="197">
        <v>0.026041666666666668</v>
      </c>
      <c r="IM37" s="196" t="s">
        <v>465</v>
      </c>
      <c r="IN37" s="197">
        <v>0.026041666666666668</v>
      </c>
      <c r="IO37" s="196" t="s">
        <v>101</v>
      </c>
      <c r="IP37" s="197">
        <v>0.05835648148148148</v>
      </c>
      <c r="IQ37" s="178"/>
      <c r="IR37" s="196" t="s">
        <v>29</v>
      </c>
      <c r="IS37" s="197">
        <v>0.04423611111111111</v>
      </c>
      <c r="IT37" s="178"/>
      <c r="IU37" s="196" t="s">
        <v>61</v>
      </c>
      <c r="IV37" s="197">
        <v>0.021319444444444443</v>
      </c>
      <c r="IW37" s="178"/>
      <c r="IX37" s="196" t="s">
        <v>99</v>
      </c>
      <c r="IY37" s="197">
        <v>0.04446759259259259</v>
      </c>
      <c r="IZ37" s="187" t="s">
        <v>29</v>
      </c>
      <c r="JA37" s="188">
        <v>0.007962962962962963</v>
      </c>
      <c r="JB37" s="187" t="s">
        <v>29</v>
      </c>
      <c r="JC37" s="188">
        <v>0.007962962962962963</v>
      </c>
      <c r="JD37" s="178"/>
    </row>
    <row r="38">
      <c r="A38" s="193"/>
      <c r="B38" s="193"/>
      <c r="C38" s="193"/>
      <c r="D38" s="193"/>
      <c r="E38" s="193"/>
      <c r="F38" s="193"/>
      <c r="G38" s="193"/>
      <c r="H38" s="193"/>
      <c r="I38" s="193"/>
      <c r="J38" s="193"/>
      <c r="K38" s="193"/>
      <c r="L38" s="193"/>
      <c r="M38" s="193"/>
      <c r="N38" s="193"/>
      <c r="O38" s="193"/>
      <c r="P38" s="193"/>
      <c r="Q38" s="193"/>
      <c r="R38" s="193"/>
      <c r="S38" s="193"/>
      <c r="T38" s="193"/>
      <c r="U38" s="193"/>
      <c r="V38" s="193"/>
      <c r="W38" s="194"/>
      <c r="X38" s="195"/>
      <c r="Y38" s="193"/>
      <c r="Z38" s="193"/>
      <c r="AA38" s="193"/>
      <c r="AB38" s="193"/>
      <c r="AC38" s="193"/>
      <c r="AD38" s="193"/>
      <c r="AE38" s="193"/>
      <c r="AF38" s="193"/>
      <c r="AG38" s="194" t="s">
        <v>83</v>
      </c>
      <c r="AH38" s="195">
        <v>0.0</v>
      </c>
      <c r="AI38" s="194" t="s">
        <v>51</v>
      </c>
      <c r="AJ38" s="195">
        <v>0.0046875</v>
      </c>
      <c r="AK38" s="194" t="s">
        <v>60</v>
      </c>
      <c r="AL38" s="195">
        <v>0.11171296296296296</v>
      </c>
      <c r="AM38" s="194" t="s">
        <v>103</v>
      </c>
      <c r="AN38" s="195">
        <v>0.05326388888888889</v>
      </c>
      <c r="AO38" s="194" t="s">
        <v>29</v>
      </c>
      <c r="AP38" s="195">
        <v>0.0014699074074074074</v>
      </c>
      <c r="AQ38" s="194" t="s">
        <v>21</v>
      </c>
      <c r="AR38" s="195">
        <v>0.007060185185185185</v>
      </c>
      <c r="AS38" s="194" t="s">
        <v>25</v>
      </c>
      <c r="AT38" s="195">
        <v>0.07061342592592593</v>
      </c>
      <c r="AU38" s="194" t="s">
        <v>60</v>
      </c>
      <c r="AV38" s="195">
        <v>0.36930555555555555</v>
      </c>
      <c r="AW38" s="194" t="s">
        <v>59</v>
      </c>
      <c r="AX38" s="195">
        <v>0.22972222222222222</v>
      </c>
      <c r="AY38" s="194" t="s">
        <v>59</v>
      </c>
      <c r="AZ38" s="195">
        <v>0.19479166666666667</v>
      </c>
      <c r="BA38" s="194" t="s">
        <v>428</v>
      </c>
      <c r="BB38" s="195">
        <v>0.6139583333333334</v>
      </c>
      <c r="BC38" s="194" t="s">
        <v>59</v>
      </c>
      <c r="BD38" s="195">
        <v>0.2710532407407407</v>
      </c>
      <c r="BE38" s="194" t="s">
        <v>59</v>
      </c>
      <c r="BF38" s="195">
        <v>0.10841435185185185</v>
      </c>
      <c r="BG38" s="194" t="s">
        <v>59</v>
      </c>
      <c r="BH38" s="195">
        <v>0.18987268518518519</v>
      </c>
      <c r="BI38" s="194" t="s">
        <v>59</v>
      </c>
      <c r="BJ38" s="195">
        <v>0.24914351851851851</v>
      </c>
      <c r="BK38" s="194" t="s">
        <v>59</v>
      </c>
      <c r="BL38" s="195">
        <v>0.37747685185185187</v>
      </c>
      <c r="BM38" s="194" t="s">
        <v>59</v>
      </c>
      <c r="BN38" s="195">
        <v>0.3845601851851852</v>
      </c>
      <c r="BO38" s="194" t="s">
        <v>59</v>
      </c>
      <c r="BP38" s="195">
        <v>0.3184837962962963</v>
      </c>
      <c r="BQ38" s="194" t="s">
        <v>59</v>
      </c>
      <c r="BR38" s="195">
        <v>0.2240162037037037</v>
      </c>
      <c r="BS38" s="194" t="s">
        <v>59</v>
      </c>
      <c r="BT38" s="195">
        <v>0.1310185185185185</v>
      </c>
      <c r="BU38" s="194" t="s">
        <v>59</v>
      </c>
      <c r="BV38" s="195">
        <v>0.12667824074074074</v>
      </c>
      <c r="BW38" s="194" t="s">
        <v>59</v>
      </c>
      <c r="BX38" s="195">
        <v>0.0505787037037037</v>
      </c>
      <c r="BY38" s="194" t="s">
        <v>59</v>
      </c>
      <c r="BZ38" s="195">
        <v>0.06122685185185185</v>
      </c>
      <c r="CA38" s="194" t="s">
        <v>59</v>
      </c>
      <c r="CB38" s="195">
        <v>0.047685185185185185</v>
      </c>
      <c r="CC38" s="194" t="s">
        <v>59</v>
      </c>
      <c r="CD38" s="195">
        <v>0.05696759259259259</v>
      </c>
      <c r="CE38" s="194" t="s">
        <v>102</v>
      </c>
      <c r="CF38" s="195">
        <v>0.0421412037037037</v>
      </c>
      <c r="CG38" s="194" t="s">
        <v>59</v>
      </c>
      <c r="CH38" s="195">
        <v>0.049386574074074076</v>
      </c>
      <c r="CI38" s="194" t="s">
        <v>102</v>
      </c>
      <c r="CJ38" s="195">
        <v>0.11386574074074074</v>
      </c>
      <c r="CK38" s="194" t="s">
        <v>59</v>
      </c>
      <c r="CL38" s="195">
        <v>0.06363425925925927</v>
      </c>
      <c r="CM38" s="194" t="s">
        <v>59</v>
      </c>
      <c r="CN38" s="195">
        <v>0.04805555555555555</v>
      </c>
      <c r="CO38" s="194" t="s">
        <v>59</v>
      </c>
      <c r="CP38" s="195">
        <v>0.035694444444444445</v>
      </c>
      <c r="CQ38" s="194" t="s">
        <v>428</v>
      </c>
      <c r="CR38" s="195">
        <v>4.976851851851852E-4</v>
      </c>
      <c r="CS38" s="194" t="s">
        <v>102</v>
      </c>
      <c r="CT38" s="195">
        <v>0.17335648148148147</v>
      </c>
      <c r="CU38" s="194" t="s">
        <v>59</v>
      </c>
      <c r="CV38" s="195">
        <v>0.093125</v>
      </c>
      <c r="CW38" s="194" t="s">
        <v>21</v>
      </c>
      <c r="CX38" s="195">
        <v>0.11461805555555556</v>
      </c>
      <c r="CY38" s="194" t="s">
        <v>78</v>
      </c>
      <c r="CZ38" s="195">
        <v>0.06398148148148149</v>
      </c>
      <c r="DA38" s="194" t="s">
        <v>78</v>
      </c>
      <c r="DB38" s="195">
        <v>0.04200231481481481</v>
      </c>
      <c r="DC38" s="194" t="s">
        <v>102</v>
      </c>
      <c r="DD38" s="195">
        <v>0.26256944444444447</v>
      </c>
      <c r="DE38" s="194" t="s">
        <v>59</v>
      </c>
      <c r="DF38" s="195">
        <v>0.04159722222222222</v>
      </c>
      <c r="DG38" s="194" t="s">
        <v>59</v>
      </c>
      <c r="DH38" s="195">
        <v>1.6894791666666666</v>
      </c>
      <c r="DI38" s="194" t="s">
        <v>33</v>
      </c>
      <c r="DJ38" s="195">
        <v>0.7769444444444444</v>
      </c>
      <c r="DK38" s="194" t="s">
        <v>61</v>
      </c>
      <c r="DL38" s="195">
        <v>0.016168981481481482</v>
      </c>
      <c r="DM38" s="194" t="s">
        <v>22</v>
      </c>
      <c r="DN38" s="195">
        <v>0.0010300925925925926</v>
      </c>
      <c r="DO38" s="194" t="s">
        <v>65</v>
      </c>
      <c r="DP38" s="195">
        <v>1.8518518518518518E-4</v>
      </c>
      <c r="DQ38" s="194" t="s">
        <v>22</v>
      </c>
      <c r="DR38" s="195">
        <v>0.04990740740740741</v>
      </c>
      <c r="DS38" s="194" t="s">
        <v>30</v>
      </c>
      <c r="DT38" s="195">
        <v>0.05898148148148148</v>
      </c>
      <c r="DU38" s="194" t="s">
        <v>105</v>
      </c>
      <c r="DV38" s="195">
        <v>0.02798611111111111</v>
      </c>
      <c r="DW38" s="194" t="s">
        <v>30</v>
      </c>
      <c r="DX38" s="195">
        <v>0.03259259259259259</v>
      </c>
      <c r="DY38" s="193"/>
      <c r="DZ38" s="193"/>
      <c r="EA38" s="194" t="s">
        <v>93</v>
      </c>
      <c r="EB38" s="195">
        <v>2.199074074074074E-4</v>
      </c>
      <c r="EC38" s="194" t="s">
        <v>23</v>
      </c>
      <c r="ED38" s="195">
        <v>5.902777777777778E-4</v>
      </c>
      <c r="EE38" s="194" t="s">
        <v>105</v>
      </c>
      <c r="EF38" s="195">
        <v>1.5046296296296297E-4</v>
      </c>
      <c r="EG38" s="194" t="s">
        <v>23</v>
      </c>
      <c r="EH38" s="195">
        <v>6.944444444444444E-5</v>
      </c>
      <c r="EI38" s="194" t="s">
        <v>66</v>
      </c>
      <c r="EJ38" s="195">
        <v>1.6203703703703703E-4</v>
      </c>
      <c r="EK38" s="194" t="s">
        <v>30</v>
      </c>
      <c r="EL38" s="195">
        <v>0.1903125</v>
      </c>
      <c r="EM38" s="194" t="s">
        <v>8</v>
      </c>
      <c r="EN38" s="195">
        <v>0.002361111111111111</v>
      </c>
      <c r="EO38" s="194" t="s">
        <v>41</v>
      </c>
      <c r="EP38" s="195">
        <v>0.045</v>
      </c>
      <c r="EQ38" s="194" t="s">
        <v>41</v>
      </c>
      <c r="ER38" s="195">
        <v>0.042847222222222224</v>
      </c>
      <c r="ES38" s="194" t="s">
        <v>65</v>
      </c>
      <c r="ET38" s="195">
        <v>0.010648148148148148</v>
      </c>
      <c r="EU38" s="194" t="s">
        <v>52</v>
      </c>
      <c r="EV38" s="195">
        <v>1.0416666666666667E-4</v>
      </c>
      <c r="EW38" s="194" t="s">
        <v>65</v>
      </c>
      <c r="EX38" s="195">
        <v>0.00988425925925926</v>
      </c>
      <c r="EY38" s="193"/>
      <c r="EZ38" s="193"/>
      <c r="FA38" s="194" t="s">
        <v>52</v>
      </c>
      <c r="FB38" s="195">
        <v>3.4722222222222224E-4</v>
      </c>
      <c r="FC38" s="194" t="s">
        <v>71</v>
      </c>
      <c r="FD38" s="195">
        <v>0.02746527777777778</v>
      </c>
      <c r="FE38" s="194" t="s">
        <v>20</v>
      </c>
      <c r="FF38" s="195">
        <v>1.8518518518518518E-4</v>
      </c>
      <c r="FG38" s="194" t="s">
        <v>22</v>
      </c>
      <c r="FH38" s="195">
        <v>0.01945601851851852</v>
      </c>
      <c r="FI38" s="193"/>
      <c r="FJ38" s="193"/>
      <c r="FK38" s="194" t="s">
        <v>63</v>
      </c>
      <c r="FL38" s="195">
        <v>0.007581018518518518</v>
      </c>
      <c r="FM38" s="194" t="s">
        <v>90</v>
      </c>
      <c r="FN38" s="195">
        <v>0.0024652777777777776</v>
      </c>
      <c r="FO38" s="194" t="s">
        <v>20</v>
      </c>
      <c r="FP38" s="195">
        <v>1.273148148148148E-4</v>
      </c>
      <c r="FQ38" s="194" t="s">
        <v>66</v>
      </c>
      <c r="FR38" s="195">
        <v>0.0030324074074074073</v>
      </c>
      <c r="FS38" s="194" t="s">
        <v>23</v>
      </c>
      <c r="FT38" s="195">
        <v>0.06086805555555556</v>
      </c>
      <c r="FU38" s="194" t="s">
        <v>464</v>
      </c>
      <c r="FV38" s="195">
        <v>0.04856481481481482</v>
      </c>
      <c r="FW38" s="193"/>
      <c r="FX38" s="193"/>
      <c r="FY38" s="193"/>
      <c r="FZ38" s="193"/>
      <c r="GA38" s="194" t="s">
        <v>426</v>
      </c>
      <c r="GB38" s="195">
        <v>0.024293981481481482</v>
      </c>
      <c r="GC38" s="194" t="s">
        <v>18</v>
      </c>
      <c r="GD38" s="195">
        <v>0.015219907407407408</v>
      </c>
      <c r="GE38" s="194" t="s">
        <v>464</v>
      </c>
      <c r="GF38" s="195">
        <v>3.935185185185185E-4</v>
      </c>
      <c r="GG38" s="194" t="s">
        <v>99</v>
      </c>
      <c r="GH38" s="195">
        <v>0.0014814814814814814</v>
      </c>
      <c r="GI38" s="185" t="s">
        <v>23</v>
      </c>
      <c r="GJ38" s="186">
        <v>0.011087962962962963</v>
      </c>
      <c r="GK38" s="185" t="s">
        <v>87</v>
      </c>
      <c r="GL38" s="186">
        <v>0.3980208333333333</v>
      </c>
      <c r="GM38" s="185" t="s">
        <v>89</v>
      </c>
      <c r="GN38" s="186">
        <v>0.18819444444444444</v>
      </c>
      <c r="GO38" s="187" t="s">
        <v>84</v>
      </c>
      <c r="GP38" s="188">
        <v>0.01792824074074074</v>
      </c>
      <c r="GQ38" s="187" t="s">
        <v>90</v>
      </c>
      <c r="GR38" s="188">
        <v>0.12828703703703703</v>
      </c>
      <c r="GS38" s="187" t="s">
        <v>90</v>
      </c>
      <c r="GT38" s="188">
        <v>0.2061111111111111</v>
      </c>
      <c r="GU38" s="187" t="s">
        <v>84</v>
      </c>
      <c r="GV38" s="188">
        <v>0.004050925925925926</v>
      </c>
      <c r="GW38" s="190" t="s">
        <v>97</v>
      </c>
      <c r="GX38" s="191">
        <v>0.02130787037037037</v>
      </c>
      <c r="GY38" s="190" t="s">
        <v>426</v>
      </c>
      <c r="GZ38" s="191">
        <v>0.060787037037037035</v>
      </c>
      <c r="HA38" s="190" t="s">
        <v>83</v>
      </c>
      <c r="HB38" s="191">
        <v>0.006296296296296296</v>
      </c>
      <c r="HC38" s="190" t="s">
        <v>84</v>
      </c>
      <c r="HD38" s="191">
        <v>0.015243055555555555</v>
      </c>
      <c r="HE38" s="190" t="s">
        <v>57</v>
      </c>
      <c r="HF38" s="191">
        <v>0.14929398148148149</v>
      </c>
      <c r="HG38" s="190" t="s">
        <v>94</v>
      </c>
      <c r="HH38" s="191">
        <v>0.29886574074074074</v>
      </c>
      <c r="HI38" s="190" t="s">
        <v>94</v>
      </c>
      <c r="HJ38" s="191">
        <v>0.13667824074074075</v>
      </c>
      <c r="HK38" s="190" t="s">
        <v>98</v>
      </c>
      <c r="HL38" s="191">
        <v>0.19681712962962963</v>
      </c>
      <c r="HM38" s="190" t="s">
        <v>465</v>
      </c>
      <c r="HN38" s="191">
        <v>0.04951388888888889</v>
      </c>
      <c r="HO38" s="190" t="s">
        <v>98</v>
      </c>
      <c r="HP38" s="191">
        <v>0.0666550925925926</v>
      </c>
      <c r="HQ38" s="190" t="s">
        <v>93</v>
      </c>
      <c r="HR38" s="191">
        <v>0.06136574074074074</v>
      </c>
      <c r="HS38" s="190" t="s">
        <v>90</v>
      </c>
      <c r="HT38" s="191">
        <v>0.11747685185185185</v>
      </c>
      <c r="HU38" s="190" t="s">
        <v>94</v>
      </c>
      <c r="HV38" s="191">
        <v>0.013414351851851853</v>
      </c>
      <c r="HW38" s="190" t="s">
        <v>98</v>
      </c>
      <c r="HX38" s="191">
        <v>6.018518518518519E-4</v>
      </c>
      <c r="HY38" s="187"/>
      <c r="HZ38" s="187"/>
      <c r="IA38" s="187"/>
      <c r="IB38" s="187"/>
      <c r="IC38" s="187"/>
      <c r="ID38" s="187"/>
      <c r="IE38" s="196" t="s">
        <v>87</v>
      </c>
      <c r="IF38" s="197">
        <v>0.023564814814814816</v>
      </c>
      <c r="IG38" s="178"/>
      <c r="IH38" s="196" t="s">
        <v>432</v>
      </c>
      <c r="II38" s="197">
        <v>0.004178240740740741</v>
      </c>
      <c r="IJ38" s="178"/>
      <c r="IK38" s="196" t="s">
        <v>432</v>
      </c>
      <c r="IL38" s="197">
        <v>0.004178240740740741</v>
      </c>
      <c r="IM38" s="196" t="s">
        <v>432</v>
      </c>
      <c r="IN38" s="197">
        <v>0.004178240740740741</v>
      </c>
      <c r="IO38" s="196" t="s">
        <v>102</v>
      </c>
      <c r="IP38" s="197">
        <v>0.013402777777777777</v>
      </c>
      <c r="IQ38" s="178"/>
      <c r="IR38" s="196" t="s">
        <v>465</v>
      </c>
      <c r="IS38" s="197">
        <v>0.04082175925925926</v>
      </c>
      <c r="IT38" s="178"/>
      <c r="IU38" s="196" t="s">
        <v>101</v>
      </c>
      <c r="IV38" s="197">
        <v>0.018831018518518518</v>
      </c>
      <c r="IW38" s="178"/>
      <c r="IX38" s="196" t="s">
        <v>61</v>
      </c>
      <c r="IY38" s="197">
        <v>0.005185185185185185</v>
      </c>
      <c r="IZ38" s="187" t="s">
        <v>465</v>
      </c>
      <c r="JA38" s="188">
        <v>0.014386574074074074</v>
      </c>
      <c r="JB38" s="187" t="s">
        <v>465</v>
      </c>
      <c r="JC38" s="188">
        <v>0.014386574074074074</v>
      </c>
      <c r="JD38" s="178"/>
    </row>
    <row r="39">
      <c r="A39" s="193"/>
      <c r="B39" s="193"/>
      <c r="C39" s="193"/>
      <c r="D39" s="193"/>
      <c r="E39" s="193"/>
      <c r="F39" s="193"/>
      <c r="G39" s="193"/>
      <c r="H39" s="193"/>
      <c r="I39" s="193"/>
      <c r="J39" s="193"/>
      <c r="K39" s="193"/>
      <c r="L39" s="193"/>
      <c r="M39" s="193"/>
      <c r="N39" s="193"/>
      <c r="O39" s="193"/>
      <c r="P39" s="193"/>
      <c r="Q39" s="193"/>
      <c r="R39" s="193"/>
      <c r="S39" s="193"/>
      <c r="T39" s="193"/>
      <c r="U39" s="193"/>
      <c r="V39" s="193"/>
      <c r="W39" s="194"/>
      <c r="X39" s="195"/>
      <c r="Y39" s="193"/>
      <c r="Z39" s="193"/>
      <c r="AA39" s="193"/>
      <c r="AB39" s="193"/>
      <c r="AC39" s="193"/>
      <c r="AD39" s="193"/>
      <c r="AE39" s="193"/>
      <c r="AF39" s="193"/>
      <c r="AG39" s="194" t="s">
        <v>63</v>
      </c>
      <c r="AH39" s="195">
        <v>0.01650462962962963</v>
      </c>
      <c r="AI39" s="194" t="s">
        <v>31</v>
      </c>
      <c r="AJ39" s="195">
        <v>0.024398148148148148</v>
      </c>
      <c r="AK39" s="194" t="s">
        <v>78</v>
      </c>
      <c r="AL39" s="195">
        <v>0.012106481481481482</v>
      </c>
      <c r="AM39" s="194" t="s">
        <v>43</v>
      </c>
      <c r="AN39" s="195">
        <v>0.005856481481481482</v>
      </c>
      <c r="AO39" s="194" t="s">
        <v>51</v>
      </c>
      <c r="AP39" s="195">
        <v>0.01170138888888889</v>
      </c>
      <c r="AQ39" s="194" t="s">
        <v>29</v>
      </c>
      <c r="AR39" s="195">
        <v>0.0014351851851851852</v>
      </c>
      <c r="AS39" s="194" t="s">
        <v>103</v>
      </c>
      <c r="AT39" s="195">
        <v>0.053113425925925925</v>
      </c>
      <c r="AU39" s="194" t="s">
        <v>78</v>
      </c>
      <c r="AV39" s="195">
        <v>0.056365740740740744</v>
      </c>
      <c r="AW39" s="194" t="s">
        <v>428</v>
      </c>
      <c r="AX39" s="195">
        <v>0.2694328703703704</v>
      </c>
      <c r="AY39" s="194" t="s">
        <v>428</v>
      </c>
      <c r="AZ39" s="195">
        <v>0.8198263888888889</v>
      </c>
      <c r="BA39" s="194" t="s">
        <v>60</v>
      </c>
      <c r="BB39" s="195">
        <v>0.3377893518518518</v>
      </c>
      <c r="BC39" s="194" t="s">
        <v>428</v>
      </c>
      <c r="BD39" s="195">
        <v>0.3612152777777778</v>
      </c>
      <c r="BE39" s="194" t="s">
        <v>102</v>
      </c>
      <c r="BF39" s="195">
        <v>0.012743055555555556</v>
      </c>
      <c r="BG39" s="194" t="s">
        <v>102</v>
      </c>
      <c r="BH39" s="195">
        <v>0.0022685185185185187</v>
      </c>
      <c r="BI39" s="194" t="s">
        <v>428</v>
      </c>
      <c r="BJ39" s="195">
        <v>0.25332175925925926</v>
      </c>
      <c r="BK39" s="194" t="s">
        <v>102</v>
      </c>
      <c r="BL39" s="195">
        <v>0.011990740740740741</v>
      </c>
      <c r="BM39" s="194" t="s">
        <v>102</v>
      </c>
      <c r="BN39" s="195">
        <v>0.005613425925925926</v>
      </c>
      <c r="BO39" s="194" t="s">
        <v>102</v>
      </c>
      <c r="BP39" s="195">
        <v>0.0053125</v>
      </c>
      <c r="BQ39" s="194" t="s">
        <v>102</v>
      </c>
      <c r="BR39" s="195">
        <v>0.032581018518518516</v>
      </c>
      <c r="BS39" s="194" t="s">
        <v>102</v>
      </c>
      <c r="BT39" s="195">
        <v>0.03383101851851852</v>
      </c>
      <c r="BU39" s="194" t="s">
        <v>102</v>
      </c>
      <c r="BV39" s="195">
        <v>0.014560185185185185</v>
      </c>
      <c r="BW39" s="194" t="s">
        <v>102</v>
      </c>
      <c r="BX39" s="195">
        <v>0.013703703703703704</v>
      </c>
      <c r="BY39" s="194" t="s">
        <v>102</v>
      </c>
      <c r="BZ39" s="195">
        <v>0.012986111111111111</v>
      </c>
      <c r="CA39" s="194" t="s">
        <v>102</v>
      </c>
      <c r="CB39" s="195">
        <v>0.01318287037037037</v>
      </c>
      <c r="CC39" s="194" t="s">
        <v>102</v>
      </c>
      <c r="CD39" s="195">
        <v>0.02236111111111111</v>
      </c>
      <c r="CE39" s="194" t="s">
        <v>428</v>
      </c>
      <c r="CF39" s="195">
        <v>0.026504629629629628</v>
      </c>
      <c r="CG39" s="194" t="s">
        <v>102</v>
      </c>
      <c r="CH39" s="195">
        <v>0.016041666666666666</v>
      </c>
      <c r="CI39" s="194" t="s">
        <v>428</v>
      </c>
      <c r="CJ39" s="195">
        <v>0.023622685185185184</v>
      </c>
      <c r="CK39" s="194" t="s">
        <v>102</v>
      </c>
      <c r="CL39" s="195">
        <v>0.10685185185185185</v>
      </c>
      <c r="CM39" s="194" t="s">
        <v>102</v>
      </c>
      <c r="CN39" s="195">
        <v>0.12229166666666667</v>
      </c>
      <c r="CO39" s="194" t="s">
        <v>102</v>
      </c>
      <c r="CP39" s="195">
        <v>0.1503125</v>
      </c>
      <c r="CQ39" s="194" t="s">
        <v>60</v>
      </c>
      <c r="CR39" s="195">
        <v>0.016215277777777776</v>
      </c>
      <c r="CS39" s="194" t="s">
        <v>428</v>
      </c>
      <c r="CT39" s="195">
        <v>0.003472222222222222</v>
      </c>
      <c r="CU39" s="194" t="s">
        <v>102</v>
      </c>
      <c r="CV39" s="195">
        <v>0.3109837962962963</v>
      </c>
      <c r="CW39" s="194" t="s">
        <v>29</v>
      </c>
      <c r="CX39" s="195">
        <v>0.2579513888888889</v>
      </c>
      <c r="CY39" s="194" t="s">
        <v>21</v>
      </c>
      <c r="CZ39" s="195">
        <v>0.0769212962962963</v>
      </c>
      <c r="DA39" s="194" t="s">
        <v>21</v>
      </c>
      <c r="DB39" s="195">
        <v>0.06265046296296296</v>
      </c>
      <c r="DC39" s="194" t="s">
        <v>428</v>
      </c>
      <c r="DD39" s="195">
        <v>0.028194444444444446</v>
      </c>
      <c r="DE39" s="194" t="s">
        <v>102</v>
      </c>
      <c r="DF39" s="195">
        <v>0.5332407407407408</v>
      </c>
      <c r="DG39" s="194" t="s">
        <v>102</v>
      </c>
      <c r="DH39" s="195">
        <v>3.139826388888888</v>
      </c>
      <c r="DI39" s="194" t="s">
        <v>30</v>
      </c>
      <c r="DJ39" s="195">
        <v>0.10623842592592593</v>
      </c>
      <c r="DK39" s="198" t="s">
        <v>53</v>
      </c>
      <c r="DL39" s="199">
        <v>0.016608796296296295</v>
      </c>
      <c r="DM39" s="194" t="s">
        <v>33</v>
      </c>
      <c r="DN39" s="195">
        <v>0.31962962962962965</v>
      </c>
      <c r="DO39" s="194" t="s">
        <v>33</v>
      </c>
      <c r="DP39" s="195">
        <v>0.10439814814814814</v>
      </c>
      <c r="DQ39" s="194" t="s">
        <v>8</v>
      </c>
      <c r="DR39" s="195">
        <v>1.7361111111111112E-4</v>
      </c>
      <c r="DS39" s="194" t="s">
        <v>61</v>
      </c>
      <c r="DT39" s="195">
        <v>0.0521875</v>
      </c>
      <c r="DU39" s="194" t="s">
        <v>83</v>
      </c>
      <c r="DV39" s="195">
        <v>0.20554398148148148</v>
      </c>
      <c r="DW39" s="198" t="s">
        <v>61</v>
      </c>
      <c r="DX39" s="199">
        <v>0.01857638888888889</v>
      </c>
      <c r="DY39" s="193"/>
      <c r="DZ39" s="193"/>
      <c r="EA39" s="194" t="s">
        <v>30</v>
      </c>
      <c r="EB39" s="195">
        <v>0.06484953703703704</v>
      </c>
      <c r="EC39" s="194" t="s">
        <v>41</v>
      </c>
      <c r="ED39" s="195">
        <v>0.3683101851851852</v>
      </c>
      <c r="EE39" s="194" t="s">
        <v>83</v>
      </c>
      <c r="EF39" s="195">
        <v>0.0060185185185185185</v>
      </c>
      <c r="EG39" s="194" t="s">
        <v>41</v>
      </c>
      <c r="EH39" s="195">
        <v>0.18784722222222222</v>
      </c>
      <c r="EI39" s="194" t="s">
        <v>33</v>
      </c>
      <c r="EJ39" s="195">
        <v>0.0596875</v>
      </c>
      <c r="EK39" s="194" t="s">
        <v>61</v>
      </c>
      <c r="EL39" s="195">
        <v>0.08518518518518518</v>
      </c>
      <c r="EM39" s="194" t="s">
        <v>65</v>
      </c>
      <c r="EN39" s="195">
        <v>0.03199074074074074</v>
      </c>
      <c r="EO39" s="194" t="s">
        <v>105</v>
      </c>
      <c r="EP39" s="195">
        <v>0.0084375</v>
      </c>
      <c r="EQ39" s="194" t="s">
        <v>105</v>
      </c>
      <c r="ER39" s="195">
        <v>0.017604166666666667</v>
      </c>
      <c r="ES39" s="194" t="s">
        <v>86</v>
      </c>
      <c r="ET39" s="195">
        <v>0.0021643518518518518</v>
      </c>
      <c r="EU39" s="194" t="s">
        <v>66</v>
      </c>
      <c r="EV39" s="195">
        <v>0.0013194444444444445</v>
      </c>
      <c r="EW39" s="194" t="s">
        <v>86</v>
      </c>
      <c r="EX39" s="195">
        <v>1.9675925925925926E-4</v>
      </c>
      <c r="EY39" s="193"/>
      <c r="EZ39" s="193"/>
      <c r="FA39" s="194" t="s">
        <v>93</v>
      </c>
      <c r="FB39" s="195">
        <v>0.002384259259259259</v>
      </c>
      <c r="FC39" s="194" t="s">
        <v>22</v>
      </c>
      <c r="FD39" s="195">
        <v>0.05982638888888889</v>
      </c>
      <c r="FE39" s="194" t="s">
        <v>52</v>
      </c>
      <c r="FF39" s="195">
        <v>7.638888888888889E-4</v>
      </c>
      <c r="FG39" s="194" t="s">
        <v>8</v>
      </c>
      <c r="FH39" s="195">
        <v>0.012337962962962964</v>
      </c>
      <c r="FI39" s="193"/>
      <c r="FJ39" s="193"/>
      <c r="FK39" s="194" t="s">
        <v>8</v>
      </c>
      <c r="FL39" s="195">
        <v>0.013310185185185185</v>
      </c>
      <c r="FM39" s="194" t="s">
        <v>91</v>
      </c>
      <c r="FN39" s="195">
        <v>6.597222222222222E-4</v>
      </c>
      <c r="FO39" s="194" t="s">
        <v>52</v>
      </c>
      <c r="FP39" s="195">
        <v>0.013194444444444444</v>
      </c>
      <c r="FQ39" s="194" t="s">
        <v>33</v>
      </c>
      <c r="FR39" s="195">
        <v>0.007233796296296296</v>
      </c>
      <c r="FS39" s="194" t="s">
        <v>41</v>
      </c>
      <c r="FT39" s="195">
        <v>0.12873842592592594</v>
      </c>
      <c r="FU39" s="194" t="s">
        <v>23</v>
      </c>
      <c r="FV39" s="195">
        <v>0.028506944444444446</v>
      </c>
      <c r="FW39" s="193"/>
      <c r="FX39" s="193"/>
      <c r="FY39" s="193"/>
      <c r="FZ39" s="193"/>
      <c r="GA39" s="194" t="s">
        <v>93</v>
      </c>
      <c r="GB39" s="195">
        <v>0.0038078703703703703</v>
      </c>
      <c r="GC39" s="194" t="s">
        <v>464</v>
      </c>
      <c r="GD39" s="195">
        <v>0.0061574074074074074</v>
      </c>
      <c r="GE39" s="194" t="s">
        <v>432</v>
      </c>
      <c r="GF39" s="195">
        <v>0.015717592592592592</v>
      </c>
      <c r="GG39" s="194" t="s">
        <v>82</v>
      </c>
      <c r="GH39" s="195">
        <v>0.34724537037037034</v>
      </c>
      <c r="GI39" s="185" t="s">
        <v>87</v>
      </c>
      <c r="GJ39" s="186">
        <v>0.4560416666666667</v>
      </c>
      <c r="GK39" s="185" t="s">
        <v>89</v>
      </c>
      <c r="GL39" s="186">
        <v>0.14680555555555555</v>
      </c>
      <c r="GM39" s="185" t="s">
        <v>90</v>
      </c>
      <c r="GN39" s="186">
        <v>0.2806712962962963</v>
      </c>
      <c r="GO39" s="187" t="s">
        <v>23</v>
      </c>
      <c r="GP39" s="188">
        <v>0.18680555555555556</v>
      </c>
      <c r="GQ39" s="187" t="s">
        <v>426</v>
      </c>
      <c r="GR39" s="188">
        <v>0.2519328703703704</v>
      </c>
      <c r="GS39" s="187" t="s">
        <v>426</v>
      </c>
      <c r="GT39" s="188">
        <v>0.18881944444444446</v>
      </c>
      <c r="GU39" s="187" t="s">
        <v>23</v>
      </c>
      <c r="GV39" s="188">
        <v>0.3750925925925926</v>
      </c>
      <c r="GW39" s="190" t="s">
        <v>57</v>
      </c>
      <c r="GX39" s="191">
        <v>0.013356481481481481</v>
      </c>
      <c r="GY39" s="190" t="s">
        <v>93</v>
      </c>
      <c r="GZ39" s="191">
        <v>0.07180555555555555</v>
      </c>
      <c r="HA39" s="190" t="s">
        <v>36</v>
      </c>
      <c r="HB39" s="191">
        <v>0.1799537037037037</v>
      </c>
      <c r="HC39" s="190" t="s">
        <v>23</v>
      </c>
      <c r="HD39" s="191">
        <v>0.28609953703703705</v>
      </c>
      <c r="HE39" s="190" t="s">
        <v>98</v>
      </c>
      <c r="HF39" s="191">
        <v>0.02684027777777778</v>
      </c>
      <c r="HG39" s="190" t="s">
        <v>95</v>
      </c>
      <c r="HH39" s="191">
        <v>0.3452314814814815</v>
      </c>
      <c r="HI39" s="190" t="s">
        <v>95</v>
      </c>
      <c r="HJ39" s="191">
        <v>0.47453703703703703</v>
      </c>
      <c r="HK39" s="190" t="s">
        <v>99</v>
      </c>
      <c r="HL39" s="191">
        <v>0.0625</v>
      </c>
      <c r="HM39" s="190" t="s">
        <v>432</v>
      </c>
      <c r="HN39" s="191">
        <v>0.010613425925925925</v>
      </c>
      <c r="HO39" s="190" t="s">
        <v>428</v>
      </c>
      <c r="HP39" s="191">
        <v>0.012951388888888889</v>
      </c>
      <c r="HQ39" s="190" t="s">
        <v>94</v>
      </c>
      <c r="HR39" s="191">
        <v>1.273148148148148E-4</v>
      </c>
      <c r="HS39" s="190" t="s">
        <v>426</v>
      </c>
      <c r="HT39" s="191">
        <v>0.35689814814814813</v>
      </c>
      <c r="HU39" s="190" t="s">
        <v>96</v>
      </c>
      <c r="HV39" s="191">
        <v>0.18726851851851853</v>
      </c>
      <c r="HW39" s="190" t="s">
        <v>99</v>
      </c>
      <c r="HX39" s="191">
        <v>0.05732638888888889</v>
      </c>
      <c r="HY39" s="187"/>
      <c r="HZ39" s="187"/>
      <c r="IA39" s="187"/>
      <c r="IB39" s="187"/>
      <c r="IC39" s="187"/>
      <c r="ID39" s="187"/>
      <c r="IE39" s="196" t="s">
        <v>426</v>
      </c>
      <c r="IF39" s="197">
        <v>0.4903125</v>
      </c>
      <c r="IG39" s="178"/>
      <c r="IH39" s="196" t="s">
        <v>426</v>
      </c>
      <c r="II39" s="197">
        <v>0.5185069444444445</v>
      </c>
      <c r="IJ39" s="178"/>
      <c r="IK39" s="178"/>
      <c r="IL39" s="178"/>
      <c r="IM39" s="178"/>
      <c r="IN39" s="178"/>
      <c r="IO39" s="196" t="s">
        <v>29</v>
      </c>
      <c r="IP39" s="197">
        <v>0.03940972222222222</v>
      </c>
      <c r="IQ39" s="178"/>
      <c r="IR39" s="196" t="s">
        <v>432</v>
      </c>
      <c r="IS39" s="197">
        <v>0.01699074074074074</v>
      </c>
      <c r="IT39" s="178"/>
      <c r="IU39" s="196" t="s">
        <v>102</v>
      </c>
      <c r="IV39" s="197">
        <v>0.011296296296296296</v>
      </c>
      <c r="IW39" s="178"/>
      <c r="IX39" s="196" t="s">
        <v>101</v>
      </c>
      <c r="IY39" s="197">
        <v>0.04167824074074074</v>
      </c>
      <c r="IZ39" s="187" t="s">
        <v>101</v>
      </c>
      <c r="JA39" s="188">
        <v>0.04167824074074074</v>
      </c>
      <c r="JB39" s="187" t="s">
        <v>101</v>
      </c>
      <c r="JC39" s="188">
        <v>0.04167824074074074</v>
      </c>
      <c r="JD39" s="178"/>
    </row>
    <row r="40">
      <c r="A40" s="193"/>
      <c r="B40" s="193"/>
      <c r="C40" s="193"/>
      <c r="D40" s="193"/>
      <c r="E40" s="193"/>
      <c r="F40" s="193"/>
      <c r="G40" s="193"/>
      <c r="H40" s="193"/>
      <c r="I40" s="193"/>
      <c r="J40" s="193"/>
      <c r="K40" s="193"/>
      <c r="L40" s="193"/>
      <c r="M40" s="193"/>
      <c r="N40" s="193"/>
      <c r="O40" s="193"/>
      <c r="P40" s="193"/>
      <c r="Q40" s="193"/>
      <c r="R40" s="193"/>
      <c r="S40" s="193"/>
      <c r="T40" s="193"/>
      <c r="U40" s="193"/>
      <c r="V40" s="193"/>
      <c r="W40" s="194"/>
      <c r="X40" s="195"/>
      <c r="Y40" s="193"/>
      <c r="Z40" s="193"/>
      <c r="AA40" s="193"/>
      <c r="AB40" s="193"/>
      <c r="AC40" s="193"/>
      <c r="AD40" s="193"/>
      <c r="AE40" s="193"/>
      <c r="AF40" s="193"/>
      <c r="AG40" s="194" t="s">
        <v>64</v>
      </c>
      <c r="AH40" s="195">
        <v>0.020023148148148148</v>
      </c>
      <c r="AI40" s="194" t="s">
        <v>25</v>
      </c>
      <c r="AJ40" s="195">
        <v>0.03153935185185185</v>
      </c>
      <c r="AK40" s="194" t="s">
        <v>21</v>
      </c>
      <c r="AL40" s="195">
        <v>0.012800925925925926</v>
      </c>
      <c r="AM40" s="194" t="s">
        <v>82</v>
      </c>
      <c r="AN40" s="195">
        <v>0.22344907407407408</v>
      </c>
      <c r="AO40" s="194" t="s">
        <v>31</v>
      </c>
      <c r="AP40" s="195">
        <v>0.006689814814814815</v>
      </c>
      <c r="AQ40" s="194" t="s">
        <v>31</v>
      </c>
      <c r="AR40" s="195">
        <v>0.012256944444444445</v>
      </c>
      <c r="AS40" s="194" t="s">
        <v>99</v>
      </c>
      <c r="AT40" s="195">
        <v>1.273148148148148E-4</v>
      </c>
      <c r="AU40" s="194" t="s">
        <v>21</v>
      </c>
      <c r="AV40" s="195">
        <v>0.0038888888888888888</v>
      </c>
      <c r="AW40" s="194" t="s">
        <v>60</v>
      </c>
      <c r="AX40" s="195">
        <v>0.16886574074074073</v>
      </c>
      <c r="AY40" s="194" t="s">
        <v>60</v>
      </c>
      <c r="AZ40" s="195">
        <v>0.17711805555555554</v>
      </c>
      <c r="BA40" s="194" t="s">
        <v>78</v>
      </c>
      <c r="BB40" s="195">
        <v>0.3302893518518519</v>
      </c>
      <c r="BC40" s="194" t="s">
        <v>60</v>
      </c>
      <c r="BD40" s="195">
        <v>0.4975</v>
      </c>
      <c r="BE40" s="194" t="s">
        <v>428</v>
      </c>
      <c r="BF40" s="195">
        <v>0.3281134259259259</v>
      </c>
      <c r="BG40" s="194" t="s">
        <v>428</v>
      </c>
      <c r="BH40" s="195">
        <v>0.4129513888888889</v>
      </c>
      <c r="BI40" s="194" t="s">
        <v>60</v>
      </c>
      <c r="BJ40" s="195">
        <v>0.5482523148148148</v>
      </c>
      <c r="BK40" s="194" t="s">
        <v>428</v>
      </c>
      <c r="BL40" s="195">
        <v>0.1574074074074074</v>
      </c>
      <c r="BM40" s="194" t="s">
        <v>428</v>
      </c>
      <c r="BN40" s="195">
        <v>0.20016203703703703</v>
      </c>
      <c r="BO40" s="194" t="s">
        <v>428</v>
      </c>
      <c r="BP40" s="195">
        <v>0.15030092592592592</v>
      </c>
      <c r="BQ40" s="194" t="s">
        <v>428</v>
      </c>
      <c r="BR40" s="195">
        <v>0.11868055555555555</v>
      </c>
      <c r="BS40" s="194" t="s">
        <v>428</v>
      </c>
      <c r="BT40" s="195">
        <v>0.018310185185185186</v>
      </c>
      <c r="BU40" s="194" t="s">
        <v>60</v>
      </c>
      <c r="BV40" s="195">
        <v>0.2010763888888889</v>
      </c>
      <c r="BW40" s="194" t="s">
        <v>428</v>
      </c>
      <c r="BX40" s="195">
        <v>0.08275462962962964</v>
      </c>
      <c r="BY40" s="194" t="s">
        <v>428</v>
      </c>
      <c r="BZ40" s="195">
        <v>0.01556712962962963</v>
      </c>
      <c r="CA40" s="194" t="s">
        <v>428</v>
      </c>
      <c r="CB40" s="195">
        <v>0.020127314814814813</v>
      </c>
      <c r="CC40" s="194" t="s">
        <v>428</v>
      </c>
      <c r="CD40" s="195">
        <v>0.03591435185185185</v>
      </c>
      <c r="CE40" s="194" t="s">
        <v>60</v>
      </c>
      <c r="CF40" s="195">
        <v>0.044675925925925924</v>
      </c>
      <c r="CG40" s="194" t="s">
        <v>428</v>
      </c>
      <c r="CH40" s="195">
        <v>0.004849537037037037</v>
      </c>
      <c r="CI40" s="194" t="s">
        <v>60</v>
      </c>
      <c r="CJ40" s="195">
        <v>0.016203703703703703</v>
      </c>
      <c r="CK40" s="194" t="s">
        <v>428</v>
      </c>
      <c r="CL40" s="195">
        <v>0.04472222222222222</v>
      </c>
      <c r="CM40" s="194" t="s">
        <v>428</v>
      </c>
      <c r="CN40" s="195">
        <v>0.0018865740740740742</v>
      </c>
      <c r="CO40" s="194" t="s">
        <v>428</v>
      </c>
      <c r="CP40" s="195">
        <v>0.022164351851851852</v>
      </c>
      <c r="CQ40" s="194" t="s">
        <v>78</v>
      </c>
      <c r="CR40" s="195">
        <v>0.17527777777777778</v>
      </c>
      <c r="CS40" s="194" t="s">
        <v>60</v>
      </c>
      <c r="CT40" s="195">
        <v>0.0026967592592592594</v>
      </c>
      <c r="CU40" s="194" t="s">
        <v>428</v>
      </c>
      <c r="CV40" s="195">
        <v>0.021863425925925925</v>
      </c>
      <c r="CW40" s="194" t="s">
        <v>62</v>
      </c>
      <c r="CX40" s="195">
        <v>0.10380787037037037</v>
      </c>
      <c r="CY40" s="194" t="s">
        <v>29</v>
      </c>
      <c r="CZ40" s="195">
        <v>0.28065972222222224</v>
      </c>
      <c r="DA40" s="194" t="s">
        <v>29</v>
      </c>
      <c r="DB40" s="195">
        <v>0.18768518518518518</v>
      </c>
      <c r="DC40" s="194" t="s">
        <v>60</v>
      </c>
      <c r="DD40" s="195">
        <v>0.008310185185185184</v>
      </c>
      <c r="DE40" s="194" t="s">
        <v>428</v>
      </c>
      <c r="DF40" s="195">
        <v>0.005497685185185185</v>
      </c>
      <c r="DG40" s="194" t="s">
        <v>428</v>
      </c>
      <c r="DH40" s="195">
        <v>2.1283101851851858</v>
      </c>
      <c r="DI40" s="194" t="s">
        <v>61</v>
      </c>
      <c r="DJ40" s="195">
        <v>0.004664351851851852</v>
      </c>
      <c r="DK40" s="193"/>
      <c r="DL40" s="193"/>
      <c r="DM40" s="194" t="s">
        <v>30</v>
      </c>
      <c r="DN40" s="195">
        <v>0.06657407407407408</v>
      </c>
      <c r="DO40" s="194" t="s">
        <v>30</v>
      </c>
      <c r="DP40" s="195">
        <v>0.04798611111111111</v>
      </c>
      <c r="DQ40" s="194" t="s">
        <v>65</v>
      </c>
      <c r="DR40" s="195">
        <v>0.004097222222222223</v>
      </c>
      <c r="DS40" s="198" t="s">
        <v>53</v>
      </c>
      <c r="DT40" s="199">
        <v>0.0017708333333333332</v>
      </c>
      <c r="DU40" s="194" t="s">
        <v>63</v>
      </c>
      <c r="DV40" s="195">
        <v>0.03858796296296296</v>
      </c>
      <c r="DW40" s="193"/>
      <c r="DX40" s="193"/>
      <c r="DY40" s="193"/>
      <c r="DZ40" s="193"/>
      <c r="EA40" s="194" t="s">
        <v>61</v>
      </c>
      <c r="EB40" s="195">
        <v>0.01734953703703704</v>
      </c>
      <c r="EC40" s="194" t="s">
        <v>105</v>
      </c>
      <c r="ED40" s="195">
        <v>0.018090277777777778</v>
      </c>
      <c r="EE40" s="194" t="s">
        <v>32</v>
      </c>
      <c r="EF40" s="195">
        <v>0.016770833333333332</v>
      </c>
      <c r="EG40" s="194" t="s">
        <v>105</v>
      </c>
      <c r="EH40" s="195">
        <v>0.0026157407407407405</v>
      </c>
      <c r="EI40" s="194" t="s">
        <v>30</v>
      </c>
      <c r="EJ40" s="195">
        <v>0.12619212962962964</v>
      </c>
      <c r="EK40" s="198" t="s">
        <v>53</v>
      </c>
      <c r="EL40" s="199">
        <v>0.0065625</v>
      </c>
      <c r="EM40" s="194" t="s">
        <v>86</v>
      </c>
      <c r="EN40" s="195">
        <v>0.009548611111111112</v>
      </c>
      <c r="EO40" s="194" t="s">
        <v>83</v>
      </c>
      <c r="EP40" s="195">
        <v>0.11917824074074074</v>
      </c>
      <c r="EQ40" s="194" t="s">
        <v>83</v>
      </c>
      <c r="ER40" s="195">
        <v>0.06578703703703703</v>
      </c>
      <c r="ES40" s="194" t="s">
        <v>87</v>
      </c>
      <c r="ET40" s="195">
        <v>0.0018402777777777777</v>
      </c>
      <c r="EU40" s="194" t="s">
        <v>33</v>
      </c>
      <c r="EV40" s="195">
        <v>0.006168981481481482</v>
      </c>
      <c r="EW40" s="194" t="s">
        <v>20</v>
      </c>
      <c r="EX40" s="195">
        <v>1.6203703703703703E-4</v>
      </c>
      <c r="EY40" s="193"/>
      <c r="EZ40" s="193"/>
      <c r="FA40" s="194" t="s">
        <v>61</v>
      </c>
      <c r="FB40" s="195">
        <v>0.13902777777777778</v>
      </c>
      <c r="FC40" s="194" t="s">
        <v>8</v>
      </c>
      <c r="FD40" s="195">
        <v>0.022407407407407407</v>
      </c>
      <c r="FE40" s="194" t="s">
        <v>33</v>
      </c>
      <c r="FF40" s="195">
        <v>0.012881944444444444</v>
      </c>
      <c r="FG40" s="194" t="s">
        <v>65</v>
      </c>
      <c r="FH40" s="195">
        <v>1.388888888888889E-4</v>
      </c>
      <c r="FI40" s="193"/>
      <c r="FJ40" s="193"/>
      <c r="FK40" s="194" t="s">
        <v>36</v>
      </c>
      <c r="FL40" s="195">
        <v>0.013518518518518518</v>
      </c>
      <c r="FM40" s="194" t="s">
        <v>464</v>
      </c>
      <c r="FN40" s="195">
        <v>0.01778935185185185</v>
      </c>
      <c r="FO40" s="194" t="s">
        <v>33</v>
      </c>
      <c r="FP40" s="195">
        <v>0.0078009259259259256</v>
      </c>
      <c r="FQ40" s="194" t="s">
        <v>426</v>
      </c>
      <c r="FR40" s="195">
        <v>0.011493055555555555</v>
      </c>
      <c r="FS40" s="194" t="s">
        <v>83</v>
      </c>
      <c r="FT40" s="195">
        <v>0.06644675925925926</v>
      </c>
      <c r="FU40" s="194" t="s">
        <v>41</v>
      </c>
      <c r="FV40" s="195">
        <v>0.03824074074074074</v>
      </c>
      <c r="FW40" s="193"/>
      <c r="FX40" s="193"/>
      <c r="FY40" s="193"/>
      <c r="FZ40" s="193"/>
      <c r="GA40" s="194" t="s">
        <v>61</v>
      </c>
      <c r="GB40" s="195">
        <v>0.025555555555555557</v>
      </c>
      <c r="GC40" s="194" t="s">
        <v>432</v>
      </c>
      <c r="GD40" s="195">
        <v>0.013206018518518518</v>
      </c>
      <c r="GE40" s="194" t="s">
        <v>23</v>
      </c>
      <c r="GF40" s="195">
        <v>0.04465277777777778</v>
      </c>
      <c r="GG40" s="194" t="s">
        <v>90</v>
      </c>
      <c r="GH40" s="195">
        <v>0.43702546296296296</v>
      </c>
      <c r="GI40" s="185" t="s">
        <v>89</v>
      </c>
      <c r="GJ40" s="186">
        <v>0.13243055555555555</v>
      </c>
      <c r="GK40" s="185" t="s">
        <v>90</v>
      </c>
      <c r="GL40" s="186">
        <v>0.31550925925925927</v>
      </c>
      <c r="GM40" s="185" t="s">
        <v>91</v>
      </c>
      <c r="GN40" s="186">
        <v>1.9675925925925926E-4</v>
      </c>
      <c r="GO40" s="187" t="s">
        <v>87</v>
      </c>
      <c r="GP40" s="188">
        <v>0.07965277777777778</v>
      </c>
      <c r="GQ40" s="187" t="s">
        <v>93</v>
      </c>
      <c r="GR40" s="188">
        <v>0.18144675925925927</v>
      </c>
      <c r="GS40" s="187" t="s">
        <v>93</v>
      </c>
      <c r="GT40" s="188">
        <v>0.13096064814814815</v>
      </c>
      <c r="GU40" s="187" t="s">
        <v>89</v>
      </c>
      <c r="GV40" s="188">
        <v>0.022662037037037036</v>
      </c>
      <c r="GW40" s="190" t="s">
        <v>98</v>
      </c>
      <c r="GX40" s="191">
        <v>0.057962962962962966</v>
      </c>
      <c r="GY40" s="190" t="s">
        <v>92</v>
      </c>
      <c r="GZ40" s="191">
        <v>0.024305555555555556</v>
      </c>
      <c r="HA40" s="190" t="s">
        <v>23</v>
      </c>
      <c r="HB40" s="191">
        <v>0.38880787037037035</v>
      </c>
      <c r="HC40" s="190" t="s">
        <v>86</v>
      </c>
      <c r="HD40" s="191">
        <v>0.004768518518518518</v>
      </c>
      <c r="HE40" s="190" t="s">
        <v>99</v>
      </c>
      <c r="HF40" s="191">
        <v>0.029016203703703704</v>
      </c>
      <c r="HG40" s="190" t="s">
        <v>92</v>
      </c>
      <c r="HH40" s="191">
        <v>0.0015393518518518519</v>
      </c>
      <c r="HI40" s="190" t="s">
        <v>92</v>
      </c>
      <c r="HJ40" s="191">
        <v>2.546296296296296E-4</v>
      </c>
      <c r="HK40" s="190" t="s">
        <v>61</v>
      </c>
      <c r="HL40" s="191">
        <v>0.017743055555555557</v>
      </c>
      <c r="HM40" s="190" t="s">
        <v>105</v>
      </c>
      <c r="HN40" s="191">
        <v>0.008611111111111111</v>
      </c>
      <c r="HO40" s="190" t="s">
        <v>99</v>
      </c>
      <c r="HP40" s="191">
        <v>0.01513888888888889</v>
      </c>
      <c r="HQ40" s="190" t="s">
        <v>95</v>
      </c>
      <c r="HR40" s="191">
        <v>0.009722222222222222</v>
      </c>
      <c r="HS40" s="190" t="s">
        <v>93</v>
      </c>
      <c r="HT40" s="191">
        <v>0.05115740740740741</v>
      </c>
      <c r="HU40" s="190" t="s">
        <v>92</v>
      </c>
      <c r="HV40" s="191">
        <v>0.0033680555555555556</v>
      </c>
      <c r="HW40" s="190" t="s">
        <v>61</v>
      </c>
      <c r="HX40" s="191">
        <v>0.027280092592592592</v>
      </c>
      <c r="HY40" s="187"/>
      <c r="HZ40" s="187"/>
      <c r="IA40" s="187"/>
      <c r="IB40" s="187"/>
      <c r="IC40" s="187"/>
      <c r="ID40" s="187"/>
      <c r="IE40" s="196" t="s">
        <v>93</v>
      </c>
      <c r="IF40" s="197">
        <v>0.0096875</v>
      </c>
      <c r="IG40" s="178"/>
      <c r="IH40" s="196" t="s">
        <v>93</v>
      </c>
      <c r="II40" s="197">
        <v>0.009583333333333333</v>
      </c>
      <c r="IJ40" s="178"/>
      <c r="IK40" s="178"/>
      <c r="IL40" s="178"/>
      <c r="IM40" s="178"/>
      <c r="IN40" s="178"/>
      <c r="IO40" s="196" t="s">
        <v>465</v>
      </c>
      <c r="IP40" s="197">
        <v>0.0764699074074074</v>
      </c>
      <c r="IQ40" s="178"/>
      <c r="IR40" s="196" t="s">
        <v>465</v>
      </c>
      <c r="IS40" s="197">
        <v>0.0764699074074074</v>
      </c>
      <c r="IT40" s="178"/>
      <c r="IU40" s="196" t="s">
        <v>29</v>
      </c>
      <c r="IV40" s="197">
        <v>0.004120370370370371</v>
      </c>
      <c r="IW40" s="178"/>
      <c r="IX40" s="196" t="s">
        <v>102</v>
      </c>
      <c r="IY40" s="197">
        <v>0.02568287037037037</v>
      </c>
      <c r="IZ40" s="187" t="s">
        <v>102</v>
      </c>
      <c r="JA40" s="188">
        <v>0.02568287037037037</v>
      </c>
      <c r="JB40" s="187" t="s">
        <v>102</v>
      </c>
      <c r="JC40" s="188">
        <v>0.02568287037037037</v>
      </c>
      <c r="JD40" s="178"/>
    </row>
    <row r="41">
      <c r="A41" s="193"/>
      <c r="B41" s="193"/>
      <c r="C41" s="193"/>
      <c r="D41" s="193"/>
      <c r="E41" s="193"/>
      <c r="F41" s="193"/>
      <c r="G41" s="193"/>
      <c r="H41" s="193"/>
      <c r="I41" s="193"/>
      <c r="J41" s="193"/>
      <c r="K41" s="193"/>
      <c r="L41" s="193"/>
      <c r="M41" s="193"/>
      <c r="N41" s="193"/>
      <c r="O41" s="193"/>
      <c r="P41" s="193"/>
      <c r="Q41" s="193"/>
      <c r="R41" s="193"/>
      <c r="S41" s="193"/>
      <c r="T41" s="193"/>
      <c r="U41" s="193"/>
      <c r="V41" s="193"/>
      <c r="W41" s="194"/>
      <c r="X41" s="195"/>
      <c r="Y41" s="193"/>
      <c r="Z41" s="193"/>
      <c r="AA41" s="193"/>
      <c r="AB41" s="193"/>
      <c r="AC41" s="193"/>
      <c r="AD41" s="193"/>
      <c r="AE41" s="193"/>
      <c r="AF41" s="193"/>
      <c r="AG41" s="194" t="s">
        <v>32</v>
      </c>
      <c r="AH41" s="195">
        <v>0.00951388888888889</v>
      </c>
      <c r="AI41" s="194" t="s">
        <v>43</v>
      </c>
      <c r="AJ41" s="195">
        <v>0.007962962962962963</v>
      </c>
      <c r="AK41" s="194" t="s">
        <v>51</v>
      </c>
      <c r="AL41" s="195">
        <v>0.009907407407407408</v>
      </c>
      <c r="AM41" s="194" t="s">
        <v>90</v>
      </c>
      <c r="AN41" s="195">
        <v>0.0134375</v>
      </c>
      <c r="AO41" s="194" t="s">
        <v>25</v>
      </c>
      <c r="AP41" s="195">
        <v>3.0092592592592595E-4</v>
      </c>
      <c r="AQ41" s="194" t="s">
        <v>25</v>
      </c>
      <c r="AR41" s="195">
        <v>0.020833333333333332</v>
      </c>
      <c r="AS41" s="194" t="s">
        <v>82</v>
      </c>
      <c r="AT41" s="195">
        <v>0.1671875</v>
      </c>
      <c r="AU41" s="194" t="s">
        <v>29</v>
      </c>
      <c r="AV41" s="195">
        <v>1.5046296296296297E-4</v>
      </c>
      <c r="AW41" s="194" t="s">
        <v>78</v>
      </c>
      <c r="AX41" s="195">
        <v>0.619837962962963</v>
      </c>
      <c r="AY41" s="194" t="s">
        <v>78</v>
      </c>
      <c r="AZ41" s="195">
        <v>0.48649305555555555</v>
      </c>
      <c r="BA41" s="194" t="s">
        <v>21</v>
      </c>
      <c r="BB41" s="195">
        <v>0.024120370370370372</v>
      </c>
      <c r="BC41" s="194" t="s">
        <v>78</v>
      </c>
      <c r="BD41" s="195">
        <v>0.044953703703703704</v>
      </c>
      <c r="BE41" s="194" t="s">
        <v>60</v>
      </c>
      <c r="BF41" s="195">
        <v>0.27721064814814816</v>
      </c>
      <c r="BG41" s="194" t="s">
        <v>60</v>
      </c>
      <c r="BH41" s="195">
        <v>0.4595486111111111</v>
      </c>
      <c r="BI41" s="194" t="s">
        <v>78</v>
      </c>
      <c r="BJ41" s="195">
        <v>0.0669212962962963</v>
      </c>
      <c r="BK41" s="194" t="s">
        <v>60</v>
      </c>
      <c r="BL41" s="195">
        <v>0.2846180555555556</v>
      </c>
      <c r="BM41" s="194" t="s">
        <v>60</v>
      </c>
      <c r="BN41" s="195">
        <v>0.28625</v>
      </c>
      <c r="BO41" s="194" t="s">
        <v>60</v>
      </c>
      <c r="BP41" s="195">
        <v>0.1751851851851852</v>
      </c>
      <c r="BQ41" s="194" t="s">
        <v>60</v>
      </c>
      <c r="BR41" s="195">
        <v>0.14244212962962963</v>
      </c>
      <c r="BS41" s="194" t="s">
        <v>60</v>
      </c>
      <c r="BT41" s="195">
        <v>0.14445601851851853</v>
      </c>
      <c r="BU41" s="194" t="s">
        <v>78</v>
      </c>
      <c r="BV41" s="195">
        <v>0.963125</v>
      </c>
      <c r="BW41" s="194" t="s">
        <v>60</v>
      </c>
      <c r="BX41" s="195">
        <v>0.046689814814814816</v>
      </c>
      <c r="BY41" s="194" t="s">
        <v>60</v>
      </c>
      <c r="BZ41" s="195">
        <v>0.035787037037037034</v>
      </c>
      <c r="CA41" s="194" t="s">
        <v>60</v>
      </c>
      <c r="CB41" s="195">
        <v>0.006481481481481481</v>
      </c>
      <c r="CC41" s="194" t="s">
        <v>60</v>
      </c>
      <c r="CD41" s="195">
        <v>0.035104166666666665</v>
      </c>
      <c r="CE41" s="194" t="s">
        <v>78</v>
      </c>
      <c r="CF41" s="195">
        <v>0.09829861111111111</v>
      </c>
      <c r="CG41" s="194" t="s">
        <v>60</v>
      </c>
      <c r="CH41" s="195">
        <v>0.0</v>
      </c>
      <c r="CI41" s="194" t="s">
        <v>78</v>
      </c>
      <c r="CJ41" s="195">
        <v>0.04664351851851852</v>
      </c>
      <c r="CK41" s="194" t="s">
        <v>60</v>
      </c>
      <c r="CL41" s="195">
        <v>0.04342592592592592</v>
      </c>
      <c r="CM41" s="194" t="s">
        <v>60</v>
      </c>
      <c r="CN41" s="195">
        <v>0.0061342592592592594</v>
      </c>
      <c r="CO41" s="194" t="s">
        <v>60</v>
      </c>
      <c r="CP41" s="195">
        <v>0.021631944444444443</v>
      </c>
      <c r="CQ41" s="194" t="s">
        <v>21</v>
      </c>
      <c r="CR41" s="195">
        <v>0.03478009259259259</v>
      </c>
      <c r="CS41" s="194" t="s">
        <v>78</v>
      </c>
      <c r="CT41" s="195">
        <v>0.18372685185185186</v>
      </c>
      <c r="CU41" s="194" t="s">
        <v>60</v>
      </c>
      <c r="CV41" s="195">
        <v>0.048761574074074075</v>
      </c>
      <c r="CW41" s="194" t="s">
        <v>51</v>
      </c>
      <c r="CX41" s="195">
        <v>0.043368055555555556</v>
      </c>
      <c r="CY41" s="194" t="s">
        <v>62</v>
      </c>
      <c r="CZ41" s="195">
        <v>0.1260763888888889</v>
      </c>
      <c r="DA41" s="194" t="s">
        <v>62</v>
      </c>
      <c r="DB41" s="195">
        <v>0.08668981481481482</v>
      </c>
      <c r="DC41" s="194" t="s">
        <v>78</v>
      </c>
      <c r="DD41" s="195">
        <v>0.042569444444444444</v>
      </c>
      <c r="DE41" s="194" t="s">
        <v>60</v>
      </c>
      <c r="DF41" s="195">
        <v>0.005555555555555556</v>
      </c>
      <c r="DG41" s="194" t="s">
        <v>60</v>
      </c>
      <c r="DH41" s="195">
        <v>1.670717592592593</v>
      </c>
      <c r="DI41" s="198" t="s">
        <v>53</v>
      </c>
      <c r="DJ41" s="199">
        <v>0.010081018518518519</v>
      </c>
      <c r="DK41" s="193"/>
      <c r="DL41" s="193"/>
      <c r="DM41" s="194" t="s">
        <v>61</v>
      </c>
      <c r="DN41" s="195">
        <v>0.02903935185185185</v>
      </c>
      <c r="DO41" s="194" t="s">
        <v>61</v>
      </c>
      <c r="DP41" s="195">
        <v>0.09430555555555556</v>
      </c>
      <c r="DQ41" s="194" t="s">
        <v>33</v>
      </c>
      <c r="DR41" s="195">
        <v>0.07359953703703703</v>
      </c>
      <c r="DS41" s="193"/>
      <c r="DT41" s="193"/>
      <c r="DU41" s="194" t="s">
        <v>64</v>
      </c>
      <c r="DV41" s="195">
        <v>0.26211805555555556</v>
      </c>
      <c r="DW41" s="193"/>
      <c r="DX41" s="193"/>
      <c r="DY41" s="193"/>
      <c r="DZ41" s="193"/>
      <c r="EA41" s="198" t="s">
        <v>53</v>
      </c>
      <c r="EB41" s="199">
        <v>0.013055555555555556</v>
      </c>
      <c r="EC41" s="194" t="s">
        <v>83</v>
      </c>
      <c r="ED41" s="195">
        <v>0.04597222222222222</v>
      </c>
      <c r="EE41" s="194" t="s">
        <v>22</v>
      </c>
      <c r="EF41" s="195">
        <v>0.003564814814814815</v>
      </c>
      <c r="EG41" s="194" t="s">
        <v>83</v>
      </c>
      <c r="EH41" s="195">
        <v>0.005868055555555555</v>
      </c>
      <c r="EI41" s="194" t="s">
        <v>61</v>
      </c>
      <c r="EJ41" s="195">
        <v>0.10670138888888889</v>
      </c>
      <c r="EK41" s="193"/>
      <c r="EL41" s="193"/>
      <c r="EM41" s="194" t="s">
        <v>52</v>
      </c>
      <c r="EN41" s="195">
        <v>0.001585648148148148</v>
      </c>
      <c r="EO41" s="194" t="s">
        <v>63</v>
      </c>
      <c r="EP41" s="195">
        <v>0.0034953703703703705</v>
      </c>
      <c r="EQ41" s="194" t="s">
        <v>63</v>
      </c>
      <c r="ER41" s="195">
        <v>0.0010879629629629629</v>
      </c>
      <c r="ES41" s="194" t="s">
        <v>52</v>
      </c>
      <c r="ET41" s="195">
        <v>2.546296296296296E-4</v>
      </c>
      <c r="EU41" s="194" t="s">
        <v>61</v>
      </c>
      <c r="EV41" s="195">
        <v>0.01857638888888889</v>
      </c>
      <c r="EW41" s="194" t="s">
        <v>33</v>
      </c>
      <c r="EX41" s="195">
        <v>0.0052199074074074075</v>
      </c>
      <c r="EY41" s="193"/>
      <c r="EZ41" s="193"/>
      <c r="FA41" s="198" t="s">
        <v>53</v>
      </c>
      <c r="FB41" s="199">
        <v>0.006736111111111111</v>
      </c>
      <c r="FC41" s="194" t="s">
        <v>65</v>
      </c>
      <c r="FD41" s="195">
        <v>0.014849537037037038</v>
      </c>
      <c r="FE41" s="194" t="s">
        <v>30</v>
      </c>
      <c r="FF41" s="195">
        <v>9.259259259259259E-5</v>
      </c>
      <c r="FG41" s="194" t="s">
        <v>20</v>
      </c>
      <c r="FH41" s="195">
        <v>0.026921296296296297</v>
      </c>
      <c r="FI41" s="193"/>
      <c r="FJ41" s="193"/>
      <c r="FK41" s="194" t="s">
        <v>52</v>
      </c>
      <c r="FL41" s="195">
        <v>0.016064814814814816</v>
      </c>
      <c r="FM41" s="194" t="s">
        <v>432</v>
      </c>
      <c r="FN41" s="195">
        <v>0.05991898148148148</v>
      </c>
      <c r="FO41" s="194" t="s">
        <v>426</v>
      </c>
      <c r="FP41" s="195">
        <v>0.0021643518518518518</v>
      </c>
      <c r="FQ41" s="194" t="s">
        <v>30</v>
      </c>
      <c r="FR41" s="195">
        <v>0.05712962962962963</v>
      </c>
      <c r="FS41" s="194" t="s">
        <v>64</v>
      </c>
      <c r="FT41" s="195">
        <v>0.009907407407407408</v>
      </c>
      <c r="FU41" s="194" t="s">
        <v>105</v>
      </c>
      <c r="FV41" s="195">
        <v>0.003946759259259259</v>
      </c>
      <c r="FW41" s="193"/>
      <c r="FX41" s="193"/>
      <c r="FY41" s="193"/>
      <c r="FZ41" s="193"/>
      <c r="GA41" s="198" t="s">
        <v>53</v>
      </c>
      <c r="GB41" s="199">
        <v>0.004548611111111111</v>
      </c>
      <c r="GC41" s="194" t="s">
        <v>23</v>
      </c>
      <c r="GD41" s="195">
        <v>0.01752314814814815</v>
      </c>
      <c r="GE41" s="194" t="s">
        <v>41</v>
      </c>
      <c r="GF41" s="195">
        <v>0.06552083333333333</v>
      </c>
      <c r="GG41" s="194" t="s">
        <v>91</v>
      </c>
      <c r="GH41" s="195">
        <v>6.365740740740741E-4</v>
      </c>
      <c r="GI41" s="185" t="s">
        <v>90</v>
      </c>
      <c r="GJ41" s="186">
        <v>0.2824421296296296</v>
      </c>
      <c r="GK41" s="185" t="s">
        <v>426</v>
      </c>
      <c r="GL41" s="186">
        <v>0.26219907407407406</v>
      </c>
      <c r="GM41" s="185" t="s">
        <v>426</v>
      </c>
      <c r="GN41" s="186">
        <v>0.31831018518518517</v>
      </c>
      <c r="GO41" s="187" t="s">
        <v>89</v>
      </c>
      <c r="GP41" s="188">
        <v>3.8194444444444446E-4</v>
      </c>
      <c r="GQ41" s="187" t="s">
        <v>94</v>
      </c>
      <c r="GR41" s="188">
        <v>0.12649305555555557</v>
      </c>
      <c r="GS41" s="187" t="s">
        <v>94</v>
      </c>
      <c r="GT41" s="188">
        <v>0.03962962962962963</v>
      </c>
      <c r="GU41" s="187" t="s">
        <v>90</v>
      </c>
      <c r="GV41" s="188">
        <v>0.0528125</v>
      </c>
      <c r="GW41" s="190" t="s">
        <v>99</v>
      </c>
      <c r="GX41" s="191">
        <v>0.08267361111111111</v>
      </c>
      <c r="GY41" s="190" t="s">
        <v>97</v>
      </c>
      <c r="GZ41" s="191">
        <v>0.009305555555555555</v>
      </c>
      <c r="HA41" s="190" t="s">
        <v>86</v>
      </c>
      <c r="HB41" s="191">
        <v>9.375E-4</v>
      </c>
      <c r="HC41" s="190" t="s">
        <v>89</v>
      </c>
      <c r="HD41" s="191">
        <v>0.11576388888888889</v>
      </c>
      <c r="HE41" s="190" t="s">
        <v>61</v>
      </c>
      <c r="HF41" s="191">
        <v>0.028310185185185185</v>
      </c>
      <c r="HG41" s="190" t="s">
        <v>97</v>
      </c>
      <c r="HH41" s="191">
        <v>0.11427083333333334</v>
      </c>
      <c r="HI41" s="190" t="s">
        <v>97</v>
      </c>
      <c r="HJ41" s="191">
        <v>0.26622685185185185</v>
      </c>
      <c r="HK41" s="190" t="s">
        <v>430</v>
      </c>
      <c r="HL41" s="191">
        <v>0.1352199074074074</v>
      </c>
      <c r="HM41" s="190" t="s">
        <v>430</v>
      </c>
      <c r="HN41" s="191">
        <v>0.1352199074074074</v>
      </c>
      <c r="HO41" s="190" t="s">
        <v>61</v>
      </c>
      <c r="HP41" s="191">
        <v>0.030601851851851852</v>
      </c>
      <c r="HQ41" s="190" t="s">
        <v>96</v>
      </c>
      <c r="HR41" s="191">
        <v>0.10107638888888888</v>
      </c>
      <c r="HS41" s="190" t="s">
        <v>94</v>
      </c>
      <c r="HT41" s="191">
        <v>1.5046296296296297E-4</v>
      </c>
      <c r="HU41" s="190" t="s">
        <v>97</v>
      </c>
      <c r="HV41" s="191">
        <v>0.02943287037037037</v>
      </c>
      <c r="HW41" s="190" t="s">
        <v>97</v>
      </c>
      <c r="HX41" s="191">
        <v>0.02943287037037037</v>
      </c>
      <c r="HY41" s="187"/>
      <c r="HZ41" s="187"/>
      <c r="IA41" s="187"/>
      <c r="IB41" s="187"/>
      <c r="IC41" s="187"/>
      <c r="ID41" s="187"/>
      <c r="IE41" s="196" t="s">
        <v>30</v>
      </c>
      <c r="IF41" s="197">
        <v>0.020763888888888887</v>
      </c>
      <c r="IG41" s="178"/>
      <c r="IH41" s="196" t="s">
        <v>30</v>
      </c>
      <c r="II41" s="197">
        <v>0.02017361111111111</v>
      </c>
      <c r="IJ41" s="178"/>
      <c r="IK41" s="178"/>
      <c r="IL41" s="178"/>
      <c r="IM41" s="178"/>
      <c r="IN41" s="178"/>
      <c r="IO41" s="196" t="s">
        <v>432</v>
      </c>
      <c r="IP41" s="197">
        <v>0.007175925925925926</v>
      </c>
      <c r="IQ41" s="178"/>
      <c r="IR41" s="196" t="s">
        <v>432</v>
      </c>
      <c r="IS41" s="197">
        <v>0.007175925925925926</v>
      </c>
      <c r="IT41" s="178"/>
      <c r="IU41" s="196" t="s">
        <v>465</v>
      </c>
      <c r="IV41" s="197">
        <v>0.058125</v>
      </c>
      <c r="IW41" s="178"/>
      <c r="IX41" s="196" t="s">
        <v>29</v>
      </c>
      <c r="IY41" s="197">
        <v>0.05023148148148148</v>
      </c>
      <c r="IZ41" s="187" t="s">
        <v>29</v>
      </c>
      <c r="JA41" s="188">
        <v>0.05023148148148148</v>
      </c>
      <c r="JB41" s="187" t="s">
        <v>29</v>
      </c>
      <c r="JC41" s="188">
        <v>0.05023148148148148</v>
      </c>
      <c r="JD41" s="178"/>
    </row>
    <row r="42">
      <c r="A42" s="193"/>
      <c r="B42" s="193"/>
      <c r="C42" s="193"/>
      <c r="D42" s="193"/>
      <c r="E42" s="193"/>
      <c r="F42" s="193"/>
      <c r="G42" s="193"/>
      <c r="H42" s="193"/>
      <c r="I42" s="193"/>
      <c r="J42" s="193"/>
      <c r="K42" s="193"/>
      <c r="L42" s="193"/>
      <c r="M42" s="193"/>
      <c r="N42" s="193"/>
      <c r="O42" s="193"/>
      <c r="P42" s="193"/>
      <c r="Q42" s="193"/>
      <c r="R42" s="193"/>
      <c r="S42" s="193"/>
      <c r="T42" s="193"/>
      <c r="U42" s="193"/>
      <c r="V42" s="193"/>
      <c r="W42" s="194"/>
      <c r="X42" s="195"/>
      <c r="Y42" s="193"/>
      <c r="Z42" s="193"/>
      <c r="AA42" s="193"/>
      <c r="AB42" s="193"/>
      <c r="AC42" s="193"/>
      <c r="AD42" s="193"/>
      <c r="AE42" s="193"/>
      <c r="AF42" s="193"/>
      <c r="AG42" s="194" t="s">
        <v>71</v>
      </c>
      <c r="AH42" s="195">
        <v>0.0030208333333333333</v>
      </c>
      <c r="AI42" s="194" t="s">
        <v>99</v>
      </c>
      <c r="AJ42" s="195">
        <v>1.273148148148148E-4</v>
      </c>
      <c r="AK42" s="194" t="s">
        <v>31</v>
      </c>
      <c r="AL42" s="195">
        <v>0.012939814814814815</v>
      </c>
      <c r="AM42" s="194" t="s">
        <v>18</v>
      </c>
      <c r="AN42" s="195">
        <v>0.055810185185185185</v>
      </c>
      <c r="AO42" s="194" t="s">
        <v>103</v>
      </c>
      <c r="AP42" s="195">
        <v>0.16951388888888888</v>
      </c>
      <c r="AQ42" s="194" t="s">
        <v>103</v>
      </c>
      <c r="AR42" s="195">
        <v>0.016041666666666666</v>
      </c>
      <c r="AS42" s="194" t="s">
        <v>90</v>
      </c>
      <c r="AT42" s="195">
        <v>0.015370370370370371</v>
      </c>
      <c r="AU42" s="194" t="s">
        <v>62</v>
      </c>
      <c r="AV42" s="195">
        <v>0.01525462962962963</v>
      </c>
      <c r="AW42" s="194" t="s">
        <v>21</v>
      </c>
      <c r="AX42" s="195">
        <v>0.029965277777777778</v>
      </c>
      <c r="AY42" s="194" t="s">
        <v>21</v>
      </c>
      <c r="AZ42" s="195">
        <v>0.042199074074074076</v>
      </c>
      <c r="BA42" s="194" t="s">
        <v>29</v>
      </c>
      <c r="BB42" s="195">
        <v>0.016481481481481482</v>
      </c>
      <c r="BC42" s="194" t="s">
        <v>21</v>
      </c>
      <c r="BD42" s="195">
        <v>0.1580902777777778</v>
      </c>
      <c r="BE42" s="194" t="s">
        <v>78</v>
      </c>
      <c r="BF42" s="195">
        <v>0.11528935185185185</v>
      </c>
      <c r="BG42" s="194" t="s">
        <v>78</v>
      </c>
      <c r="BH42" s="195">
        <v>0.0076851851851851855</v>
      </c>
      <c r="BI42" s="194" t="s">
        <v>21</v>
      </c>
      <c r="BJ42" s="195">
        <v>0.6512731481481482</v>
      </c>
      <c r="BK42" s="194" t="s">
        <v>78</v>
      </c>
      <c r="BL42" s="195">
        <v>0.1159375</v>
      </c>
      <c r="BM42" s="194" t="s">
        <v>78</v>
      </c>
      <c r="BN42" s="195">
        <v>0.470474537037037</v>
      </c>
      <c r="BO42" s="194" t="s">
        <v>78</v>
      </c>
      <c r="BP42" s="195">
        <v>0.5191666666666667</v>
      </c>
      <c r="BQ42" s="194" t="s">
        <v>78</v>
      </c>
      <c r="BR42" s="195">
        <v>0.43962962962962965</v>
      </c>
      <c r="BS42" s="194" t="s">
        <v>78</v>
      </c>
      <c r="BT42" s="195">
        <v>0.6479050925925925</v>
      </c>
      <c r="BU42" s="194" t="s">
        <v>21</v>
      </c>
      <c r="BV42" s="195">
        <v>0.03403935185185185</v>
      </c>
      <c r="BW42" s="194" t="s">
        <v>78</v>
      </c>
      <c r="BX42" s="195">
        <v>0.7093055555555555</v>
      </c>
      <c r="BY42" s="194" t="s">
        <v>78</v>
      </c>
      <c r="BZ42" s="195">
        <v>0.08217592592592593</v>
      </c>
      <c r="CA42" s="194" t="s">
        <v>78</v>
      </c>
      <c r="CB42" s="195">
        <v>0.12119212962962964</v>
      </c>
      <c r="CC42" s="194" t="s">
        <v>78</v>
      </c>
      <c r="CD42" s="195">
        <v>0.06630787037037036</v>
      </c>
      <c r="CE42" s="194" t="s">
        <v>21</v>
      </c>
      <c r="CF42" s="195">
        <v>0.19858796296296297</v>
      </c>
      <c r="CG42" s="194" t="s">
        <v>78</v>
      </c>
      <c r="CH42" s="195">
        <v>0.11756944444444445</v>
      </c>
      <c r="CI42" s="194" t="s">
        <v>21</v>
      </c>
      <c r="CJ42" s="195">
        <v>0.07928240740740741</v>
      </c>
      <c r="CK42" s="194" t="s">
        <v>78</v>
      </c>
      <c r="CL42" s="195">
        <v>0.03934027777777778</v>
      </c>
      <c r="CM42" s="194" t="s">
        <v>78</v>
      </c>
      <c r="CN42" s="195">
        <v>0.0353125</v>
      </c>
      <c r="CO42" s="194" t="s">
        <v>78</v>
      </c>
      <c r="CP42" s="195">
        <v>0.05576388888888889</v>
      </c>
      <c r="CQ42" s="194" t="s">
        <v>29</v>
      </c>
      <c r="CR42" s="195">
        <v>0.10668981481481482</v>
      </c>
      <c r="CS42" s="194" t="s">
        <v>21</v>
      </c>
      <c r="CT42" s="195">
        <v>0.10333333333333333</v>
      </c>
      <c r="CU42" s="194" t="s">
        <v>78</v>
      </c>
      <c r="CV42" s="195">
        <v>0.418275462962963</v>
      </c>
      <c r="CW42" s="194" t="s">
        <v>31</v>
      </c>
      <c r="CX42" s="195">
        <v>5.902777777777778E-4</v>
      </c>
      <c r="CY42" s="194" t="s">
        <v>51</v>
      </c>
      <c r="CZ42" s="195">
        <v>0.03380787037037037</v>
      </c>
      <c r="DA42" s="194" t="s">
        <v>51</v>
      </c>
      <c r="DB42" s="195">
        <v>0.07399305555555556</v>
      </c>
      <c r="DC42" s="194" t="s">
        <v>21</v>
      </c>
      <c r="DD42" s="195">
        <v>0.06072916666666667</v>
      </c>
      <c r="DE42" s="194" t="s">
        <v>78</v>
      </c>
      <c r="DF42" s="195">
        <v>0.02638888888888889</v>
      </c>
      <c r="DG42" s="194" t="s">
        <v>78</v>
      </c>
      <c r="DH42" s="195">
        <v>3.0834143518518524</v>
      </c>
      <c r="DI42" s="193"/>
      <c r="DJ42" s="193"/>
      <c r="DK42" s="193"/>
      <c r="DL42" s="193"/>
      <c r="DM42" s="198" t="s">
        <v>53</v>
      </c>
      <c r="DN42" s="199">
        <v>0.0018055555555555555</v>
      </c>
      <c r="DO42" s="198" t="s">
        <v>53</v>
      </c>
      <c r="DP42" s="199">
        <v>0.01670138888888889</v>
      </c>
      <c r="DQ42" s="194" t="s">
        <v>30</v>
      </c>
      <c r="DR42" s="195">
        <v>0.028923611111111112</v>
      </c>
      <c r="DS42" s="193"/>
      <c r="DT42" s="193"/>
      <c r="DU42" s="194" t="s">
        <v>32</v>
      </c>
      <c r="DV42" s="195">
        <v>0.03971064814814815</v>
      </c>
      <c r="DW42" s="193"/>
      <c r="DX42" s="193"/>
      <c r="DY42" s="193"/>
      <c r="DZ42" s="193"/>
      <c r="EA42" s="193"/>
      <c r="EB42" s="193"/>
      <c r="EC42" s="194" t="s">
        <v>63</v>
      </c>
      <c r="ED42" s="195">
        <v>0.012743055555555556</v>
      </c>
      <c r="EE42" s="194" t="s">
        <v>65</v>
      </c>
      <c r="EF42" s="195">
        <v>0.051319444444444445</v>
      </c>
      <c r="EG42" s="194" t="s">
        <v>63</v>
      </c>
      <c r="EH42" s="195">
        <v>1.1574074074074075E-4</v>
      </c>
      <c r="EI42" s="198" t="s">
        <v>53</v>
      </c>
      <c r="EJ42" s="199">
        <v>0.0024305555555555556</v>
      </c>
      <c r="EK42" s="193"/>
      <c r="EL42" s="193"/>
      <c r="EM42" s="194" t="s">
        <v>66</v>
      </c>
      <c r="EN42" s="195">
        <v>1.7361111111111112E-4</v>
      </c>
      <c r="EO42" s="194" t="s">
        <v>32</v>
      </c>
      <c r="EP42" s="195">
        <v>0.028993055555555557</v>
      </c>
      <c r="EQ42" s="194" t="s">
        <v>32</v>
      </c>
      <c r="ER42" s="195">
        <v>0.008541666666666666</v>
      </c>
      <c r="ES42" s="194" t="s">
        <v>66</v>
      </c>
      <c r="ET42" s="195">
        <v>1.8518518518518518E-4</v>
      </c>
      <c r="EU42" s="198" t="s">
        <v>53</v>
      </c>
      <c r="EV42" s="199">
        <v>1.6203703703703703E-4</v>
      </c>
      <c r="EW42" s="194" t="s">
        <v>30</v>
      </c>
      <c r="EX42" s="195">
        <v>0.0019212962962962964</v>
      </c>
      <c r="EY42" s="193"/>
      <c r="EZ42" s="193"/>
      <c r="FA42" s="193"/>
      <c r="FB42" s="193"/>
      <c r="FC42" s="194" t="s">
        <v>20</v>
      </c>
      <c r="FD42" s="195">
        <v>0.0021527777777777778</v>
      </c>
      <c r="FE42" s="194" t="s">
        <v>61</v>
      </c>
      <c r="FF42" s="195">
        <v>0.0884375</v>
      </c>
      <c r="FG42" s="194" t="s">
        <v>52</v>
      </c>
      <c r="FH42" s="195">
        <v>1.7361111111111112E-4</v>
      </c>
      <c r="FI42" s="193"/>
      <c r="FJ42" s="193"/>
      <c r="FK42" s="194" t="s">
        <v>33</v>
      </c>
      <c r="FL42" s="195">
        <v>0.01726851851851852</v>
      </c>
      <c r="FM42" s="194" t="s">
        <v>41</v>
      </c>
      <c r="FN42" s="195">
        <v>0.05331018518518518</v>
      </c>
      <c r="FO42" s="194" t="s">
        <v>93</v>
      </c>
      <c r="FP42" s="195">
        <v>0.0011458333333333333</v>
      </c>
      <c r="FQ42" s="194" t="s">
        <v>61</v>
      </c>
      <c r="FR42" s="195">
        <v>0.05261574074074074</v>
      </c>
      <c r="FS42" s="194" t="s">
        <v>32</v>
      </c>
      <c r="FT42" s="195">
        <v>2.199074074074074E-4</v>
      </c>
      <c r="FU42" s="194" t="s">
        <v>83</v>
      </c>
      <c r="FV42" s="195">
        <v>0.02003472222222222</v>
      </c>
      <c r="FW42" s="193"/>
      <c r="FX42" s="193"/>
      <c r="FY42" s="193"/>
      <c r="FZ42" s="193"/>
      <c r="GA42" s="193"/>
      <c r="GB42" s="193"/>
      <c r="GC42" s="194" t="s">
        <v>41</v>
      </c>
      <c r="GD42" s="195">
        <v>0.2390625</v>
      </c>
      <c r="GE42" s="194" t="s">
        <v>105</v>
      </c>
      <c r="GF42" s="195">
        <v>0.18981481481481483</v>
      </c>
      <c r="GG42" s="194" t="s">
        <v>464</v>
      </c>
      <c r="GH42" s="195">
        <v>4.62962962962963E-4</v>
      </c>
      <c r="GI42" s="185" t="s">
        <v>426</v>
      </c>
      <c r="GJ42" s="186">
        <v>0.21693287037037037</v>
      </c>
      <c r="GK42" s="185" t="s">
        <v>93</v>
      </c>
      <c r="GL42" s="186">
        <v>0.12356481481481481</v>
      </c>
      <c r="GM42" s="185" t="s">
        <v>93</v>
      </c>
      <c r="GN42" s="186">
        <v>0.1009837962962963</v>
      </c>
      <c r="GO42" s="187" t="s">
        <v>90</v>
      </c>
      <c r="GP42" s="188">
        <v>1.273148148148148E-4</v>
      </c>
      <c r="GQ42" s="187" t="s">
        <v>92</v>
      </c>
      <c r="GR42" s="188">
        <v>0.03222222222222222</v>
      </c>
      <c r="GS42" s="187" t="s">
        <v>95</v>
      </c>
      <c r="GT42" s="188">
        <v>8.333333333333334E-4</v>
      </c>
      <c r="GU42" s="187" t="s">
        <v>78</v>
      </c>
      <c r="GV42" s="188">
        <v>0.00920138888888889</v>
      </c>
      <c r="GW42" s="190" t="s">
        <v>61</v>
      </c>
      <c r="GX42" s="191">
        <v>0.009756944444444445</v>
      </c>
      <c r="GY42" s="190" t="s">
        <v>57</v>
      </c>
      <c r="GZ42" s="191">
        <v>0.006354166666666667</v>
      </c>
      <c r="HA42" s="190" t="s">
        <v>89</v>
      </c>
      <c r="HB42" s="191">
        <v>0.2026273148148148</v>
      </c>
      <c r="HC42" s="190" t="s">
        <v>90</v>
      </c>
      <c r="HD42" s="191">
        <v>0.2968865740740741</v>
      </c>
      <c r="HE42" s="190" t="s">
        <v>101</v>
      </c>
      <c r="HF42" s="191">
        <v>0.08792824074074074</v>
      </c>
      <c r="HG42" s="190" t="s">
        <v>57</v>
      </c>
      <c r="HH42" s="191">
        <v>0.09105324074074074</v>
      </c>
      <c r="HI42" s="190" t="s">
        <v>57</v>
      </c>
      <c r="HJ42" s="191">
        <v>0.09666666666666666</v>
      </c>
      <c r="HK42" s="190" t="s">
        <v>101</v>
      </c>
      <c r="HL42" s="191">
        <v>0.2810648148148148</v>
      </c>
      <c r="HM42" s="190" t="s">
        <v>101</v>
      </c>
      <c r="HN42" s="191">
        <v>0.2810648148148148</v>
      </c>
      <c r="HO42" s="190" t="s">
        <v>430</v>
      </c>
      <c r="HP42" s="191">
        <v>0.09768518518518518</v>
      </c>
      <c r="HQ42" s="190" t="s">
        <v>97</v>
      </c>
      <c r="HR42" s="191">
        <v>0.035034722222222224</v>
      </c>
      <c r="HS42" s="190" t="s">
        <v>96</v>
      </c>
      <c r="HT42" s="191">
        <v>0.0738425925925926</v>
      </c>
      <c r="HU42" s="190" t="s">
        <v>98</v>
      </c>
      <c r="HV42" s="191">
        <v>0.05732638888888889</v>
      </c>
      <c r="HW42" s="190" t="s">
        <v>98</v>
      </c>
      <c r="HX42" s="191">
        <v>0.05732638888888889</v>
      </c>
      <c r="HY42" s="187"/>
      <c r="HZ42" s="187"/>
      <c r="IA42" s="187"/>
      <c r="IB42" s="187"/>
      <c r="IC42" s="187"/>
      <c r="ID42" s="187"/>
      <c r="IE42" s="196" t="s">
        <v>61</v>
      </c>
      <c r="IF42" s="197">
        <v>0.018900462962962963</v>
      </c>
      <c r="IG42" s="178"/>
      <c r="IH42" s="196" t="s">
        <v>61</v>
      </c>
      <c r="II42" s="197">
        <v>0.03190972222222222</v>
      </c>
      <c r="IJ42" s="178"/>
      <c r="IK42" s="178"/>
      <c r="IL42" s="178"/>
      <c r="IM42" s="178"/>
      <c r="IN42" s="178"/>
      <c r="IO42" s="178"/>
      <c r="IP42" s="178"/>
      <c r="IQ42" s="178"/>
      <c r="IR42" s="178"/>
      <c r="IS42" s="178"/>
      <c r="IT42" s="178"/>
      <c r="IU42" s="196" t="s">
        <v>432</v>
      </c>
      <c r="IV42" s="197">
        <v>0.08947916666666667</v>
      </c>
      <c r="IW42" s="178"/>
      <c r="IX42" s="196" t="s">
        <v>465</v>
      </c>
      <c r="IY42" s="197">
        <v>0.16688657407407406</v>
      </c>
      <c r="IZ42" s="187" t="s">
        <v>465</v>
      </c>
      <c r="JA42" s="188">
        <v>0.16688657407407406</v>
      </c>
      <c r="JB42" s="187" t="s">
        <v>465</v>
      </c>
      <c r="JC42" s="188">
        <v>0.16688657407407406</v>
      </c>
      <c r="JD42" s="178"/>
    </row>
    <row r="43">
      <c r="A43" s="193"/>
      <c r="B43" s="193"/>
      <c r="C43" s="193"/>
      <c r="D43" s="193"/>
      <c r="E43" s="193"/>
      <c r="F43" s="193"/>
      <c r="G43" s="193"/>
      <c r="H43" s="193"/>
      <c r="I43" s="193"/>
      <c r="J43" s="193"/>
      <c r="K43" s="193"/>
      <c r="L43" s="193"/>
      <c r="M43" s="193"/>
      <c r="N43" s="193"/>
      <c r="O43" s="193"/>
      <c r="P43" s="193"/>
      <c r="Q43" s="193"/>
      <c r="R43" s="193"/>
      <c r="S43" s="193"/>
      <c r="T43" s="193"/>
      <c r="U43" s="193"/>
      <c r="V43" s="193"/>
      <c r="W43" s="194"/>
      <c r="X43" s="195"/>
      <c r="Y43" s="193"/>
      <c r="Z43" s="193"/>
      <c r="AA43" s="193"/>
      <c r="AB43" s="193"/>
      <c r="AC43" s="193"/>
      <c r="AD43" s="193"/>
      <c r="AE43" s="193"/>
      <c r="AF43" s="193"/>
      <c r="AG43" s="194" t="s">
        <v>8</v>
      </c>
      <c r="AH43" s="195">
        <v>6.944444444444444E-5</v>
      </c>
      <c r="AI43" s="194" t="s">
        <v>82</v>
      </c>
      <c r="AJ43" s="195">
        <v>0.10177083333333334</v>
      </c>
      <c r="AK43" s="194" t="s">
        <v>25</v>
      </c>
      <c r="AL43" s="195">
        <v>0.02712962962962963</v>
      </c>
      <c r="AM43" s="194" t="s">
        <v>424</v>
      </c>
      <c r="AN43" s="195">
        <v>0.015196759259259259</v>
      </c>
      <c r="AO43" s="194" t="s">
        <v>82</v>
      </c>
      <c r="AP43" s="195">
        <v>0.22828703703703704</v>
      </c>
      <c r="AQ43" s="194" t="s">
        <v>82</v>
      </c>
      <c r="AR43" s="195">
        <v>0.26622685185185185</v>
      </c>
      <c r="AS43" s="194" t="s">
        <v>18</v>
      </c>
      <c r="AT43" s="195">
        <v>0.12010416666666666</v>
      </c>
      <c r="AU43" s="194" t="s">
        <v>51</v>
      </c>
      <c r="AV43" s="195">
        <v>0.023981481481481482</v>
      </c>
      <c r="AW43" s="194" t="s">
        <v>29</v>
      </c>
      <c r="AX43" s="195">
        <v>0.004606481481481481</v>
      </c>
      <c r="AY43" s="194" t="s">
        <v>51</v>
      </c>
      <c r="AZ43" s="195">
        <v>0.02849537037037037</v>
      </c>
      <c r="BA43" s="194" t="s">
        <v>62</v>
      </c>
      <c r="BB43" s="195">
        <v>0.0165625</v>
      </c>
      <c r="BC43" s="194" t="s">
        <v>29</v>
      </c>
      <c r="BD43" s="195">
        <v>0.005416666666666667</v>
      </c>
      <c r="BE43" s="194" t="s">
        <v>21</v>
      </c>
      <c r="BF43" s="195">
        <v>0.21961805555555555</v>
      </c>
      <c r="BG43" s="194" t="s">
        <v>21</v>
      </c>
      <c r="BH43" s="195">
        <v>0.27054398148148145</v>
      </c>
      <c r="BI43" s="194" t="s">
        <v>29</v>
      </c>
      <c r="BJ43" s="195">
        <v>0.10550925925925926</v>
      </c>
      <c r="BK43" s="194" t="s">
        <v>21</v>
      </c>
      <c r="BL43" s="195">
        <v>0.49961805555555555</v>
      </c>
      <c r="BM43" s="194" t="s">
        <v>21</v>
      </c>
      <c r="BN43" s="195">
        <v>0.276875</v>
      </c>
      <c r="BO43" s="194" t="s">
        <v>21</v>
      </c>
      <c r="BP43" s="195">
        <v>0.253900462962963</v>
      </c>
      <c r="BQ43" s="194" t="s">
        <v>21</v>
      </c>
      <c r="BR43" s="195">
        <v>0.34908564814814813</v>
      </c>
      <c r="BS43" s="194" t="s">
        <v>21</v>
      </c>
      <c r="BT43" s="195">
        <v>0.038969907407407404</v>
      </c>
      <c r="BU43" s="194" t="s">
        <v>29</v>
      </c>
      <c r="BV43" s="195">
        <v>0.0584375</v>
      </c>
      <c r="BW43" s="194" t="s">
        <v>21</v>
      </c>
      <c r="BX43" s="195">
        <v>0.060127314814814814</v>
      </c>
      <c r="BY43" s="194" t="s">
        <v>21</v>
      </c>
      <c r="BZ43" s="195">
        <v>0.022546296296296297</v>
      </c>
      <c r="CA43" s="194" t="s">
        <v>21</v>
      </c>
      <c r="CB43" s="195">
        <v>0.07107638888888888</v>
      </c>
      <c r="CC43" s="194" t="s">
        <v>21</v>
      </c>
      <c r="CD43" s="195">
        <v>0.13413194444444446</v>
      </c>
      <c r="CE43" s="194" t="s">
        <v>29</v>
      </c>
      <c r="CF43" s="195">
        <v>0.11496527777777778</v>
      </c>
      <c r="CG43" s="194" t="s">
        <v>21</v>
      </c>
      <c r="CH43" s="195">
        <v>0.1159837962962963</v>
      </c>
      <c r="CI43" s="194" t="s">
        <v>29</v>
      </c>
      <c r="CJ43" s="195">
        <v>0.07390046296296296</v>
      </c>
      <c r="CK43" s="194" t="s">
        <v>21</v>
      </c>
      <c r="CL43" s="195">
        <v>0.20494212962962963</v>
      </c>
      <c r="CM43" s="194" t="s">
        <v>21</v>
      </c>
      <c r="CN43" s="195">
        <v>0.09207175925925926</v>
      </c>
      <c r="CO43" s="194" t="s">
        <v>21</v>
      </c>
      <c r="CP43" s="195">
        <v>0.055219907407407405</v>
      </c>
      <c r="CQ43" s="194" t="s">
        <v>62</v>
      </c>
      <c r="CR43" s="195">
        <v>0.061782407407407404</v>
      </c>
      <c r="CS43" s="194" t="s">
        <v>29</v>
      </c>
      <c r="CT43" s="195">
        <v>0.07318287037037037</v>
      </c>
      <c r="CU43" s="194" t="s">
        <v>21</v>
      </c>
      <c r="CV43" s="195">
        <v>0.037280092592592594</v>
      </c>
      <c r="CW43" s="194" t="s">
        <v>25</v>
      </c>
      <c r="CX43" s="195">
        <v>0.012106481481481482</v>
      </c>
      <c r="CY43" s="194" t="s">
        <v>31</v>
      </c>
      <c r="CZ43" s="195">
        <v>0.015150462962962963</v>
      </c>
      <c r="DA43" s="194" t="s">
        <v>31</v>
      </c>
      <c r="DB43" s="195">
        <v>0.031203703703703702</v>
      </c>
      <c r="DC43" s="194" t="s">
        <v>29</v>
      </c>
      <c r="DD43" s="195">
        <v>0.12866898148148148</v>
      </c>
      <c r="DE43" s="194" t="s">
        <v>21</v>
      </c>
      <c r="DF43" s="195">
        <v>0.0696875</v>
      </c>
      <c r="DG43" s="194" t="s">
        <v>21</v>
      </c>
      <c r="DH43" s="195">
        <v>2.1475115740740733</v>
      </c>
      <c r="DI43" s="193"/>
      <c r="DJ43" s="193"/>
      <c r="DK43" s="193"/>
      <c r="DL43" s="193"/>
      <c r="DM43" s="193"/>
      <c r="DN43" s="193"/>
      <c r="DO43" s="193"/>
      <c r="DP43" s="193"/>
      <c r="DQ43" s="194" t="s">
        <v>61</v>
      </c>
      <c r="DR43" s="195">
        <v>0.060925925925925925</v>
      </c>
      <c r="DS43" s="193"/>
      <c r="DT43" s="193"/>
      <c r="DU43" s="194" t="s">
        <v>71</v>
      </c>
      <c r="DV43" s="195">
        <v>6.597222222222222E-4</v>
      </c>
      <c r="DW43" s="193"/>
      <c r="DX43" s="193"/>
      <c r="DY43" s="193"/>
      <c r="DZ43" s="193"/>
      <c r="EA43" s="193"/>
      <c r="EB43" s="193"/>
      <c r="EC43" s="194" t="s">
        <v>32</v>
      </c>
      <c r="ED43" s="195">
        <v>8.101851851851852E-4</v>
      </c>
      <c r="EE43" s="194" t="s">
        <v>86</v>
      </c>
      <c r="EF43" s="195">
        <v>0.007418981481481481</v>
      </c>
      <c r="EG43" s="194" t="s">
        <v>32</v>
      </c>
      <c r="EH43" s="195">
        <v>0.02789351851851852</v>
      </c>
      <c r="EI43" s="193"/>
      <c r="EJ43" s="193"/>
      <c r="EK43" s="193"/>
      <c r="EL43" s="193"/>
      <c r="EM43" s="194" t="s">
        <v>33</v>
      </c>
      <c r="EN43" s="195">
        <v>0.005405092592592592</v>
      </c>
      <c r="EO43" s="194" t="s">
        <v>71</v>
      </c>
      <c r="EP43" s="195">
        <v>0.0037731481481481483</v>
      </c>
      <c r="EQ43" s="194" t="s">
        <v>71</v>
      </c>
      <c r="ER43" s="195">
        <v>0.015439814814814814</v>
      </c>
      <c r="ES43" s="194" t="s">
        <v>33</v>
      </c>
      <c r="ET43" s="195">
        <v>0.0031944444444444446</v>
      </c>
      <c r="EU43" s="193"/>
      <c r="EV43" s="193"/>
      <c r="EW43" s="194" t="s">
        <v>61</v>
      </c>
      <c r="EX43" s="195">
        <v>0.03225694444444444</v>
      </c>
      <c r="EY43" s="193"/>
      <c r="EZ43" s="193"/>
      <c r="FA43" s="193"/>
      <c r="FB43" s="193"/>
      <c r="FC43" s="194" t="s">
        <v>52</v>
      </c>
      <c r="FD43" s="195">
        <v>0.0019212962962962964</v>
      </c>
      <c r="FE43" s="198" t="s">
        <v>53</v>
      </c>
      <c r="FF43" s="199">
        <v>7.638888888888889E-4</v>
      </c>
      <c r="FG43" s="194" t="s">
        <v>33</v>
      </c>
      <c r="FH43" s="195">
        <v>0.006805555555555555</v>
      </c>
      <c r="FI43" s="193"/>
      <c r="FJ43" s="193"/>
      <c r="FK43" s="194" t="s">
        <v>426</v>
      </c>
      <c r="FL43" s="195">
        <v>5.671296296296297E-4</v>
      </c>
      <c r="FM43" s="194" t="s">
        <v>105</v>
      </c>
      <c r="FN43" s="195">
        <v>0.016793981481481483</v>
      </c>
      <c r="FO43" s="194" t="s">
        <v>30</v>
      </c>
      <c r="FP43" s="195">
        <v>0.002002314814814815</v>
      </c>
      <c r="FQ43" s="198" t="s">
        <v>53</v>
      </c>
      <c r="FR43" s="199">
        <v>0.029641203703703704</v>
      </c>
      <c r="FS43" s="194" t="s">
        <v>22</v>
      </c>
      <c r="FT43" s="195">
        <v>0.163125</v>
      </c>
      <c r="FU43" s="194" t="s">
        <v>63</v>
      </c>
      <c r="FV43" s="195">
        <v>8.680555555555555E-4</v>
      </c>
      <c r="FW43" s="193"/>
      <c r="FX43" s="193"/>
      <c r="FY43" s="193"/>
      <c r="FZ43" s="193"/>
      <c r="GA43" s="193"/>
      <c r="GB43" s="193"/>
      <c r="GC43" s="194" t="s">
        <v>105</v>
      </c>
      <c r="GD43" s="195">
        <v>0.1032175925925926</v>
      </c>
      <c r="GE43" s="194" t="s">
        <v>83</v>
      </c>
      <c r="GF43" s="195">
        <v>0.012951388888888889</v>
      </c>
      <c r="GG43" s="194" t="s">
        <v>465</v>
      </c>
      <c r="GH43" s="195">
        <v>0.01902777777777778</v>
      </c>
      <c r="GI43" s="185" t="s">
        <v>93</v>
      </c>
      <c r="GJ43" s="186">
        <v>0.045891203703703705</v>
      </c>
      <c r="GK43" s="185" t="s">
        <v>94</v>
      </c>
      <c r="GL43" s="186">
        <v>0.02443287037037037</v>
      </c>
      <c r="GM43" s="185" t="s">
        <v>94</v>
      </c>
      <c r="GN43" s="186">
        <v>0.049791666666666665</v>
      </c>
      <c r="GO43" s="187" t="s">
        <v>78</v>
      </c>
      <c r="GP43" s="188">
        <v>0.0024074074074074076</v>
      </c>
      <c r="GQ43" s="187" t="s">
        <v>97</v>
      </c>
      <c r="GR43" s="188">
        <v>0.023252314814814816</v>
      </c>
      <c r="GS43" s="187" t="s">
        <v>92</v>
      </c>
      <c r="GT43" s="188">
        <v>0.0878125</v>
      </c>
      <c r="GU43" s="187" t="s">
        <v>426</v>
      </c>
      <c r="GV43" s="188">
        <v>0.06609953703703704</v>
      </c>
      <c r="GW43" s="190" t="s">
        <v>430</v>
      </c>
      <c r="GX43" s="191">
        <v>0.07819444444444444</v>
      </c>
      <c r="GY43" s="190" t="s">
        <v>98</v>
      </c>
      <c r="GZ43" s="191">
        <v>0.00986111111111111</v>
      </c>
      <c r="HA43" s="190" t="s">
        <v>90</v>
      </c>
      <c r="HB43" s="191">
        <v>0.3921296296296296</v>
      </c>
      <c r="HC43" s="190" t="s">
        <v>426</v>
      </c>
      <c r="HD43" s="191">
        <v>0.04805555555555555</v>
      </c>
      <c r="HE43" s="190" t="s">
        <v>102</v>
      </c>
      <c r="HF43" s="191">
        <v>0.47769675925925925</v>
      </c>
      <c r="HG43" s="190" t="s">
        <v>98</v>
      </c>
      <c r="HH43" s="191">
        <v>0.09177083333333333</v>
      </c>
      <c r="HI43" s="190" t="s">
        <v>98</v>
      </c>
      <c r="HJ43" s="191">
        <v>0.1661226851851852</v>
      </c>
      <c r="HK43" s="190" t="s">
        <v>102</v>
      </c>
      <c r="HL43" s="191">
        <v>0.27542824074074074</v>
      </c>
      <c r="HM43" s="190" t="s">
        <v>102</v>
      </c>
      <c r="HN43" s="191">
        <v>0.27542824074074074</v>
      </c>
      <c r="HO43" s="190" t="s">
        <v>101</v>
      </c>
      <c r="HP43" s="191">
        <v>0.20756944444444445</v>
      </c>
      <c r="HQ43" s="190" t="s">
        <v>57</v>
      </c>
      <c r="HR43" s="191">
        <v>0.01412037037037037</v>
      </c>
      <c r="HS43" s="190" t="s">
        <v>97</v>
      </c>
      <c r="HT43" s="191">
        <v>0.04027777777777778</v>
      </c>
      <c r="HU43" s="190" t="s">
        <v>99</v>
      </c>
      <c r="HV43" s="191">
        <v>0.10001157407407407</v>
      </c>
      <c r="HW43" s="190" t="s">
        <v>99</v>
      </c>
      <c r="HX43" s="191">
        <v>0.10001157407407407</v>
      </c>
      <c r="IE43" s="178"/>
      <c r="IF43" s="201">
        <v>4.8853125</v>
      </c>
      <c r="IG43" s="178"/>
      <c r="IH43" s="178"/>
      <c r="II43" s="202">
        <v>6.287199074074074</v>
      </c>
      <c r="IJ43" s="178"/>
      <c r="IK43" s="178"/>
      <c r="IL43" s="178"/>
      <c r="IM43" s="178"/>
      <c r="IN43" s="178"/>
      <c r="IO43" s="178"/>
      <c r="IP43" s="178"/>
      <c r="IQ43" s="178"/>
      <c r="IR43" s="178"/>
      <c r="IS43" s="178"/>
      <c r="IT43" s="178"/>
      <c r="IU43" s="178"/>
      <c r="IV43" s="178"/>
      <c r="IW43" s="178"/>
      <c r="IX43" s="196" t="s">
        <v>432</v>
      </c>
      <c r="IY43" s="197">
        <v>0.33730324074074075</v>
      </c>
      <c r="IZ43" s="187" t="s">
        <v>432</v>
      </c>
      <c r="JA43" s="188">
        <v>0.33730324074074075</v>
      </c>
      <c r="JB43" s="187" t="s">
        <v>432</v>
      </c>
      <c r="JC43" s="188">
        <v>0.33730324074074075</v>
      </c>
      <c r="JD43" s="178"/>
    </row>
    <row r="44">
      <c r="A44" s="193"/>
      <c r="B44" s="193"/>
      <c r="C44" s="193"/>
      <c r="D44" s="193"/>
      <c r="E44" s="193"/>
      <c r="F44" s="193"/>
      <c r="G44" s="193"/>
      <c r="H44" s="193"/>
      <c r="I44" s="193"/>
      <c r="J44" s="193"/>
      <c r="K44" s="193"/>
      <c r="L44" s="193"/>
      <c r="M44" s="193"/>
      <c r="N44" s="193"/>
      <c r="O44" s="193"/>
      <c r="P44" s="193"/>
      <c r="Q44" s="193"/>
      <c r="R44" s="193"/>
      <c r="S44" s="193"/>
      <c r="T44" s="193"/>
      <c r="U44" s="193"/>
      <c r="V44" s="193"/>
      <c r="W44" s="194"/>
      <c r="X44" s="195"/>
      <c r="Y44" s="193"/>
      <c r="Z44" s="193"/>
      <c r="AA44" s="193"/>
      <c r="AB44" s="193"/>
      <c r="AC44" s="193"/>
      <c r="AD44" s="193"/>
      <c r="AE44" s="193"/>
      <c r="AF44" s="193"/>
      <c r="AG44" s="194" t="s">
        <v>36</v>
      </c>
      <c r="AH44" s="195">
        <v>0.003159722222222222</v>
      </c>
      <c r="AI44" s="194" t="s">
        <v>90</v>
      </c>
      <c r="AJ44" s="195">
        <v>0.00798611111111111</v>
      </c>
      <c r="AK44" s="194" t="s">
        <v>103</v>
      </c>
      <c r="AL44" s="195">
        <v>0.013784722222222223</v>
      </c>
      <c r="AM44" s="194" t="s">
        <v>23</v>
      </c>
      <c r="AN44" s="195">
        <v>0.04488425925925926</v>
      </c>
      <c r="AO44" s="194" t="s">
        <v>90</v>
      </c>
      <c r="AP44" s="195">
        <v>0.0741087962962963</v>
      </c>
      <c r="AQ44" s="194" t="s">
        <v>90</v>
      </c>
      <c r="AR44" s="195">
        <v>0.03710648148148148</v>
      </c>
      <c r="AS44" s="194" t="s">
        <v>91</v>
      </c>
      <c r="AT44" s="195">
        <v>0.05488425925925926</v>
      </c>
      <c r="AU44" s="194" t="s">
        <v>31</v>
      </c>
      <c r="AV44" s="195">
        <v>0.004814814814814815</v>
      </c>
      <c r="AW44" s="194" t="s">
        <v>51</v>
      </c>
      <c r="AX44" s="195">
        <v>0.005625</v>
      </c>
      <c r="AY44" s="194" t="s">
        <v>31</v>
      </c>
      <c r="AZ44" s="195">
        <v>0.08270833333333333</v>
      </c>
      <c r="BA44" s="194" t="s">
        <v>51</v>
      </c>
      <c r="BB44" s="195">
        <v>0.02758101851851852</v>
      </c>
      <c r="BC44" s="194" t="s">
        <v>62</v>
      </c>
      <c r="BD44" s="195">
        <v>0.021828703703703704</v>
      </c>
      <c r="BE44" s="194" t="s">
        <v>29</v>
      </c>
      <c r="BF44" s="195">
        <v>0.04832175925925926</v>
      </c>
      <c r="BG44" s="194" t="s">
        <v>29</v>
      </c>
      <c r="BH44" s="195">
        <v>0.13623842592592592</v>
      </c>
      <c r="BI44" s="194" t="s">
        <v>62</v>
      </c>
      <c r="BJ44" s="195">
        <v>0.02642361111111111</v>
      </c>
      <c r="BK44" s="194" t="s">
        <v>29</v>
      </c>
      <c r="BL44" s="195">
        <v>0.04638888888888889</v>
      </c>
      <c r="BM44" s="194" t="s">
        <v>29</v>
      </c>
      <c r="BN44" s="195">
        <v>0.04041666666666666</v>
      </c>
      <c r="BO44" s="194" t="s">
        <v>29</v>
      </c>
      <c r="BP44" s="195">
        <v>0.0724074074074074</v>
      </c>
      <c r="BQ44" s="194" t="s">
        <v>29</v>
      </c>
      <c r="BR44" s="195">
        <v>0.16041666666666668</v>
      </c>
      <c r="BS44" s="194" t="s">
        <v>29</v>
      </c>
      <c r="BT44" s="195">
        <v>0.15502314814814816</v>
      </c>
      <c r="BU44" s="194" t="s">
        <v>62</v>
      </c>
      <c r="BV44" s="195">
        <v>0.03203703703703704</v>
      </c>
      <c r="BW44" s="194" t="s">
        <v>29</v>
      </c>
      <c r="BX44" s="195">
        <v>0.09913194444444444</v>
      </c>
      <c r="BY44" s="194" t="s">
        <v>29</v>
      </c>
      <c r="BZ44" s="195">
        <v>0.020868055555555556</v>
      </c>
      <c r="CA44" s="194" t="s">
        <v>29</v>
      </c>
      <c r="CB44" s="195">
        <v>0.01806712962962963</v>
      </c>
      <c r="CC44" s="194" t="s">
        <v>29</v>
      </c>
      <c r="CD44" s="195">
        <v>0.09638888888888889</v>
      </c>
      <c r="CE44" s="194" t="s">
        <v>62</v>
      </c>
      <c r="CF44" s="195">
        <v>0.10424768518518518</v>
      </c>
      <c r="CG44" s="194" t="s">
        <v>29</v>
      </c>
      <c r="CH44" s="195">
        <v>0.033310185185185186</v>
      </c>
      <c r="CI44" s="194" t="s">
        <v>62</v>
      </c>
      <c r="CJ44" s="195">
        <v>0.195625</v>
      </c>
      <c r="CK44" s="194" t="s">
        <v>29</v>
      </c>
      <c r="CL44" s="195">
        <v>0.05769675925925926</v>
      </c>
      <c r="CM44" s="194" t="s">
        <v>29</v>
      </c>
      <c r="CN44" s="195">
        <v>0.01846064814814815</v>
      </c>
      <c r="CO44" s="194" t="s">
        <v>29</v>
      </c>
      <c r="CP44" s="195">
        <v>0.07236111111111111</v>
      </c>
      <c r="CQ44" s="194" t="s">
        <v>51</v>
      </c>
      <c r="CR44" s="195">
        <v>0.06778935185185185</v>
      </c>
      <c r="CS44" s="194" t="s">
        <v>62</v>
      </c>
      <c r="CT44" s="195">
        <v>0.13631944444444444</v>
      </c>
      <c r="CU44" s="194" t="s">
        <v>29</v>
      </c>
      <c r="CV44" s="195">
        <v>0.2997800925925926</v>
      </c>
      <c r="CW44" s="194" t="s">
        <v>103</v>
      </c>
      <c r="CX44" s="195">
        <v>0.06331018518518519</v>
      </c>
      <c r="CY44" s="194" t="s">
        <v>25</v>
      </c>
      <c r="CZ44" s="195">
        <v>0.03184027777777778</v>
      </c>
      <c r="DA44" s="194" t="s">
        <v>103</v>
      </c>
      <c r="DB44" s="195">
        <v>0.05946759259259259</v>
      </c>
      <c r="DC44" s="194" t="s">
        <v>62</v>
      </c>
      <c r="DD44" s="195">
        <v>0.0565162037037037</v>
      </c>
      <c r="DE44" s="194" t="s">
        <v>29</v>
      </c>
      <c r="DF44" s="195">
        <v>0.10914351851851851</v>
      </c>
      <c r="DG44" s="194" t="s">
        <v>29</v>
      </c>
      <c r="DH44" s="195">
        <v>5.544224537037038</v>
      </c>
      <c r="DI44" s="193"/>
      <c r="DJ44" s="193"/>
      <c r="DK44" s="193"/>
      <c r="DL44" s="193"/>
      <c r="DM44" s="193"/>
      <c r="DN44" s="193"/>
      <c r="DO44" s="193"/>
      <c r="DP44" s="193"/>
      <c r="DQ44" s="198" t="s">
        <v>53</v>
      </c>
      <c r="DR44" s="199">
        <v>0.021886574074074076</v>
      </c>
      <c r="DS44" s="193"/>
      <c r="DT44" s="193"/>
      <c r="DU44" s="194" t="s">
        <v>22</v>
      </c>
      <c r="DV44" s="195">
        <v>0.025497685185185186</v>
      </c>
      <c r="DW44" s="193"/>
      <c r="DX44" s="193"/>
      <c r="DY44" s="193"/>
      <c r="DZ44" s="193"/>
      <c r="EA44" s="193"/>
      <c r="EB44" s="193"/>
      <c r="EC44" s="194" t="s">
        <v>22</v>
      </c>
      <c r="ED44" s="195">
        <v>0.0022916666666666667</v>
      </c>
      <c r="EE44" s="194" t="s">
        <v>20</v>
      </c>
      <c r="EF44" s="195">
        <v>0.005231481481481481</v>
      </c>
      <c r="EG44" s="194" t="s">
        <v>71</v>
      </c>
      <c r="EH44" s="195">
        <v>0.014409722222222223</v>
      </c>
      <c r="EI44" s="193"/>
      <c r="EJ44" s="193"/>
      <c r="EK44" s="193"/>
      <c r="EL44" s="193"/>
      <c r="EM44" s="194" t="s">
        <v>93</v>
      </c>
      <c r="EN44" s="195">
        <v>0.013368055555555555</v>
      </c>
      <c r="EO44" s="194" t="s">
        <v>22</v>
      </c>
      <c r="EP44" s="195">
        <v>0.10096064814814815</v>
      </c>
      <c r="EQ44" s="194" t="s">
        <v>22</v>
      </c>
      <c r="ER44" s="195">
        <v>0.14163194444444444</v>
      </c>
      <c r="ES44" s="194" t="s">
        <v>93</v>
      </c>
      <c r="ET44" s="195">
        <v>0.00625</v>
      </c>
      <c r="EU44" s="193"/>
      <c r="EV44" s="193"/>
      <c r="EW44" s="198" t="s">
        <v>53</v>
      </c>
      <c r="EX44" s="199">
        <v>0.022881944444444444</v>
      </c>
      <c r="EY44" s="193"/>
      <c r="EZ44" s="193"/>
      <c r="FA44" s="193"/>
      <c r="FB44" s="193"/>
      <c r="FC44" s="194" t="s">
        <v>93</v>
      </c>
      <c r="FD44" s="195">
        <v>0.004768518518518518</v>
      </c>
      <c r="FE44" s="193"/>
      <c r="FF44" s="193"/>
      <c r="FG44" s="194" t="s">
        <v>426</v>
      </c>
      <c r="FH44" s="195">
        <v>1.273148148148148E-4</v>
      </c>
      <c r="FI44" s="193"/>
      <c r="FJ44" s="193"/>
      <c r="FK44" s="194" t="s">
        <v>93</v>
      </c>
      <c r="FL44" s="195">
        <v>2.199074074074074E-4</v>
      </c>
      <c r="FM44" s="194" t="s">
        <v>83</v>
      </c>
      <c r="FN44" s="195">
        <v>0.07293981481481482</v>
      </c>
      <c r="FO44" s="194" t="s">
        <v>61</v>
      </c>
      <c r="FP44" s="195">
        <v>0.09858796296296296</v>
      </c>
      <c r="FQ44" s="193"/>
      <c r="FR44" s="193"/>
      <c r="FS44" s="194" t="s">
        <v>8</v>
      </c>
      <c r="FT44" s="195">
        <v>0.08888888888888889</v>
      </c>
      <c r="FU44" s="194" t="s">
        <v>64</v>
      </c>
      <c r="FV44" s="195">
        <v>0.0015393518518518519</v>
      </c>
      <c r="FW44" s="193"/>
      <c r="FX44" s="193"/>
      <c r="FY44" s="193"/>
      <c r="FZ44" s="193"/>
      <c r="GA44" s="193"/>
      <c r="GB44" s="193"/>
      <c r="GC44" s="194" t="s">
        <v>83</v>
      </c>
      <c r="GD44" s="195">
        <v>0.029155092592592594</v>
      </c>
      <c r="GE44" s="194" t="s">
        <v>63</v>
      </c>
      <c r="GF44" s="195">
        <v>0.05695601851851852</v>
      </c>
      <c r="GG44" s="194" t="s">
        <v>432</v>
      </c>
      <c r="GH44" s="195">
        <v>0.011087962962962963</v>
      </c>
      <c r="GI44" s="185" t="s">
        <v>95</v>
      </c>
      <c r="GJ44" s="186">
        <v>0.003148148148148148</v>
      </c>
      <c r="GK44" s="185" t="s">
        <v>95</v>
      </c>
      <c r="GL44" s="186">
        <v>0.0027314814814814814</v>
      </c>
      <c r="GM44" s="185" t="s">
        <v>96</v>
      </c>
      <c r="GN44" s="186">
        <v>0.08256944444444445</v>
      </c>
      <c r="GO44" s="187" t="s">
        <v>426</v>
      </c>
      <c r="GP44" s="188">
        <v>0.06846064814814815</v>
      </c>
      <c r="GQ44" s="187" t="s">
        <v>428</v>
      </c>
      <c r="GR44" s="188">
        <v>0.02347222222222222</v>
      </c>
      <c r="GS44" s="187" t="s">
        <v>97</v>
      </c>
      <c r="GT44" s="188">
        <v>9.606481481481482E-4</v>
      </c>
      <c r="GU44" s="187" t="s">
        <v>93</v>
      </c>
      <c r="GV44" s="188">
        <v>0.15540509259259258</v>
      </c>
      <c r="GW44" s="190" t="s">
        <v>101</v>
      </c>
      <c r="GX44" s="191">
        <v>0.06086805555555556</v>
      </c>
      <c r="GY44" s="190" t="s">
        <v>99</v>
      </c>
      <c r="GZ44" s="191">
        <v>0.040601851851851854</v>
      </c>
      <c r="HA44" s="190" t="s">
        <v>426</v>
      </c>
      <c r="HB44" s="191">
        <v>0.06954861111111112</v>
      </c>
      <c r="HC44" s="190" t="s">
        <v>93</v>
      </c>
      <c r="HD44" s="191">
        <v>0.17752314814814815</v>
      </c>
      <c r="HE44" s="190" t="s">
        <v>29</v>
      </c>
      <c r="HF44" s="191">
        <v>0.0509375</v>
      </c>
      <c r="HG44" s="190" t="s">
        <v>99</v>
      </c>
      <c r="HH44" s="191">
        <v>0.051099537037037034</v>
      </c>
      <c r="HI44" s="190" t="s">
        <v>99</v>
      </c>
      <c r="HJ44" s="191">
        <v>0.1540162037037037</v>
      </c>
      <c r="HK44" s="190" t="s">
        <v>29</v>
      </c>
      <c r="HL44" s="191">
        <v>0.32729166666666665</v>
      </c>
      <c r="HM44" s="190" t="s">
        <v>29</v>
      </c>
      <c r="HN44" s="191">
        <v>0.32729166666666665</v>
      </c>
      <c r="HO44" s="190" t="s">
        <v>102</v>
      </c>
      <c r="HP44" s="191">
        <v>0.01019675925925926</v>
      </c>
      <c r="HQ44" s="190" t="s">
        <v>98</v>
      </c>
      <c r="HR44" s="191">
        <v>0.025671296296296296</v>
      </c>
      <c r="HS44" s="190" t="s">
        <v>57</v>
      </c>
      <c r="HT44" s="191">
        <v>0.1237962962962963</v>
      </c>
      <c r="HU44" s="190" t="s">
        <v>61</v>
      </c>
      <c r="HV44" s="191">
        <v>2.199074074074074E-4</v>
      </c>
      <c r="HW44" s="190" t="s">
        <v>61</v>
      </c>
      <c r="HX44" s="191">
        <v>2.199074074074074E-4</v>
      </c>
      <c r="IE44" s="178"/>
      <c r="IF44" s="178"/>
      <c r="IG44" s="178"/>
      <c r="IH44" s="178"/>
      <c r="II44" s="178"/>
      <c r="IJ44" s="178"/>
      <c r="IK44" s="178"/>
      <c r="IL44" s="178"/>
      <c r="IM44" s="178"/>
      <c r="IN44" s="178"/>
      <c r="IO44" s="178"/>
      <c r="IP44" s="178"/>
      <c r="IQ44" s="178"/>
      <c r="IR44" s="178"/>
      <c r="IS44" s="178"/>
      <c r="IT44" s="178"/>
      <c r="IU44" s="178"/>
      <c r="IV44" s="178"/>
      <c r="IW44" s="178"/>
      <c r="IX44" s="178"/>
      <c r="IY44" s="178"/>
      <c r="IZ44" s="178"/>
      <c r="JA44" s="178"/>
      <c r="JB44" s="178"/>
      <c r="JC44" s="178"/>
      <c r="JD44" s="178"/>
    </row>
    <row r="45">
      <c r="A45" s="193"/>
      <c r="B45" s="193"/>
      <c r="C45" s="193"/>
      <c r="D45" s="193"/>
      <c r="E45" s="193"/>
      <c r="F45" s="193"/>
      <c r="G45" s="193"/>
      <c r="H45" s="193"/>
      <c r="I45" s="193"/>
      <c r="J45" s="193"/>
      <c r="K45" s="193"/>
      <c r="L45" s="193"/>
      <c r="M45" s="193"/>
      <c r="N45" s="193"/>
      <c r="O45" s="193"/>
      <c r="P45" s="193"/>
      <c r="Q45" s="193"/>
      <c r="R45" s="193"/>
      <c r="S45" s="193"/>
      <c r="T45" s="193"/>
      <c r="U45" s="193"/>
      <c r="V45" s="193"/>
      <c r="W45" s="194"/>
      <c r="X45" s="195"/>
      <c r="Y45" s="193"/>
      <c r="Z45" s="193"/>
      <c r="AA45" s="193"/>
      <c r="AB45" s="193"/>
      <c r="AC45" s="193"/>
      <c r="AD45" s="193"/>
      <c r="AE45" s="193"/>
      <c r="AF45" s="193"/>
      <c r="AG45" s="194" t="s">
        <v>86</v>
      </c>
      <c r="AH45" s="195">
        <v>0.019872685185185184</v>
      </c>
      <c r="AI45" s="194" t="s">
        <v>18</v>
      </c>
      <c r="AJ45" s="195">
        <v>0.011550925925925926</v>
      </c>
      <c r="AK45" s="194" t="s">
        <v>82</v>
      </c>
      <c r="AL45" s="195">
        <v>0.16236111111111112</v>
      </c>
      <c r="AM45" s="194" t="s">
        <v>41</v>
      </c>
      <c r="AN45" s="195">
        <v>0.0134375</v>
      </c>
      <c r="AO45" s="194" t="s">
        <v>18</v>
      </c>
      <c r="AP45" s="195">
        <v>0.12168981481481482</v>
      </c>
      <c r="AQ45" s="194" t="s">
        <v>18</v>
      </c>
      <c r="AR45" s="195">
        <v>0.05842592592592592</v>
      </c>
      <c r="AS45" s="194" t="s">
        <v>431</v>
      </c>
      <c r="AT45" s="195">
        <v>0.006307870370370371</v>
      </c>
      <c r="AU45" s="194" t="s">
        <v>25</v>
      </c>
      <c r="AV45" s="195">
        <v>0.12016203703703704</v>
      </c>
      <c r="AW45" s="194" t="s">
        <v>31</v>
      </c>
      <c r="AX45" s="195">
        <v>0.01579861111111111</v>
      </c>
      <c r="AY45" s="194" t="s">
        <v>25</v>
      </c>
      <c r="AZ45" s="195">
        <v>0.2978703703703704</v>
      </c>
      <c r="BA45" s="194" t="s">
        <v>31</v>
      </c>
      <c r="BB45" s="195">
        <v>0.04927083333333333</v>
      </c>
      <c r="BC45" s="194" t="s">
        <v>51</v>
      </c>
      <c r="BD45" s="195">
        <v>0.02556712962962963</v>
      </c>
      <c r="BE45" s="194" t="s">
        <v>62</v>
      </c>
      <c r="BF45" s="195">
        <v>0.019710648148148147</v>
      </c>
      <c r="BG45" s="194" t="s">
        <v>62</v>
      </c>
      <c r="BH45" s="195">
        <v>0.057152777777777775</v>
      </c>
      <c r="BI45" s="194" t="s">
        <v>51</v>
      </c>
      <c r="BJ45" s="195">
        <v>0.275</v>
      </c>
      <c r="BK45" s="194" t="s">
        <v>62</v>
      </c>
      <c r="BL45" s="195">
        <v>0.017453703703703704</v>
      </c>
      <c r="BM45" s="194" t="s">
        <v>62</v>
      </c>
      <c r="BN45" s="195">
        <v>0.051944444444444446</v>
      </c>
      <c r="BO45" s="194" t="s">
        <v>62</v>
      </c>
      <c r="BP45" s="195">
        <v>0.057025462962962965</v>
      </c>
      <c r="BQ45" s="194" t="s">
        <v>62</v>
      </c>
      <c r="BR45" s="195">
        <v>0.06495370370370371</v>
      </c>
      <c r="BS45" s="194" t="s">
        <v>62</v>
      </c>
      <c r="BT45" s="195">
        <v>0.048761574074074075</v>
      </c>
      <c r="BU45" s="194" t="s">
        <v>51</v>
      </c>
      <c r="BV45" s="195">
        <v>0.42780092592592595</v>
      </c>
      <c r="BW45" s="194" t="s">
        <v>62</v>
      </c>
      <c r="BX45" s="195">
        <v>0.08263888888888889</v>
      </c>
      <c r="BY45" s="194" t="s">
        <v>62</v>
      </c>
      <c r="BZ45" s="195">
        <v>0.04041666666666666</v>
      </c>
      <c r="CA45" s="194" t="s">
        <v>62</v>
      </c>
      <c r="CB45" s="195">
        <v>0.03019675925925926</v>
      </c>
      <c r="CC45" s="194" t="s">
        <v>62</v>
      </c>
      <c r="CD45" s="195">
        <v>0.07371527777777778</v>
      </c>
      <c r="CE45" s="194" t="s">
        <v>51</v>
      </c>
      <c r="CF45" s="195">
        <v>0.4495486111111111</v>
      </c>
      <c r="CG45" s="194" t="s">
        <v>62</v>
      </c>
      <c r="CH45" s="195">
        <v>0.23792824074074073</v>
      </c>
      <c r="CI45" s="194" t="s">
        <v>51</v>
      </c>
      <c r="CJ45" s="195">
        <v>0.07859953703703704</v>
      </c>
      <c r="CK45" s="194" t="s">
        <v>62</v>
      </c>
      <c r="CL45" s="195">
        <v>0.15907407407407406</v>
      </c>
      <c r="CM45" s="194" t="s">
        <v>62</v>
      </c>
      <c r="CN45" s="195">
        <v>0.11</v>
      </c>
      <c r="CO45" s="194" t="s">
        <v>62</v>
      </c>
      <c r="CP45" s="195">
        <v>0.14261574074074074</v>
      </c>
      <c r="CQ45" s="194" t="s">
        <v>31</v>
      </c>
      <c r="CR45" s="195">
        <v>0.012523148148148148</v>
      </c>
      <c r="CS45" s="194" t="s">
        <v>51</v>
      </c>
      <c r="CT45" s="195">
        <v>0.002384259259259259</v>
      </c>
      <c r="CU45" s="194" t="s">
        <v>62</v>
      </c>
      <c r="CV45" s="195">
        <v>0.17743055555555556</v>
      </c>
      <c r="CW45" s="194" t="s">
        <v>43</v>
      </c>
      <c r="CX45" s="195">
        <v>0.0</v>
      </c>
      <c r="CY45" s="194" t="s">
        <v>103</v>
      </c>
      <c r="CZ45" s="195">
        <v>0.06277777777777778</v>
      </c>
      <c r="DA45" s="194" t="s">
        <v>43</v>
      </c>
      <c r="DB45" s="195">
        <v>0.002025462962962963</v>
      </c>
      <c r="DC45" s="194" t="s">
        <v>51</v>
      </c>
      <c r="DD45" s="195">
        <v>0.05189814814814815</v>
      </c>
      <c r="DE45" s="194" t="s">
        <v>62</v>
      </c>
      <c r="DF45" s="195">
        <v>0.05115740740740741</v>
      </c>
      <c r="DG45" s="194" t="s">
        <v>62</v>
      </c>
      <c r="DH45" s="195">
        <v>4.472858796296297</v>
      </c>
      <c r="DI45" s="193"/>
      <c r="DJ45" s="193"/>
      <c r="DK45" s="193"/>
      <c r="DL45" s="193"/>
      <c r="DM45" s="193"/>
      <c r="DN45" s="193"/>
      <c r="DO45" s="193"/>
      <c r="DP45" s="193"/>
      <c r="DQ45" s="193"/>
      <c r="DR45" s="193"/>
      <c r="DS45" s="193"/>
      <c r="DT45" s="193"/>
      <c r="DU45" s="194" t="s">
        <v>65</v>
      </c>
      <c r="DV45" s="195">
        <v>0.0012731481481481483</v>
      </c>
      <c r="DW45" s="193"/>
      <c r="DX45" s="193"/>
      <c r="DY45" s="193"/>
      <c r="DZ45" s="193"/>
      <c r="EA45" s="193"/>
      <c r="EB45" s="193"/>
      <c r="EC45" s="194" t="s">
        <v>86</v>
      </c>
      <c r="ED45" s="195">
        <v>0.020763888888888887</v>
      </c>
      <c r="EE45" s="194" t="s">
        <v>33</v>
      </c>
      <c r="EF45" s="195">
        <v>0.04711805555555556</v>
      </c>
      <c r="EG45" s="194" t="s">
        <v>22</v>
      </c>
      <c r="EH45" s="195">
        <v>0.0038541666666666668</v>
      </c>
      <c r="EI45" s="193"/>
      <c r="EJ45" s="193"/>
      <c r="EK45" s="193"/>
      <c r="EL45" s="193"/>
      <c r="EM45" s="194" t="s">
        <v>30</v>
      </c>
      <c r="EN45" s="195">
        <v>0.14856481481481482</v>
      </c>
      <c r="EO45" s="194" t="s">
        <v>8</v>
      </c>
      <c r="EP45" s="195">
        <v>6.828703703703704E-4</v>
      </c>
      <c r="EQ45" s="194" t="s">
        <v>8</v>
      </c>
      <c r="ER45" s="195">
        <v>0.0011689814814814816</v>
      </c>
      <c r="ES45" s="194" t="s">
        <v>30</v>
      </c>
      <c r="ET45" s="195">
        <v>0.0012847222222222223</v>
      </c>
      <c r="EU45" s="193"/>
      <c r="EV45" s="193"/>
      <c r="EW45" s="193"/>
      <c r="EX45" s="193"/>
      <c r="EY45" s="193"/>
      <c r="EZ45" s="193"/>
      <c r="FA45" s="193"/>
      <c r="FB45" s="193"/>
      <c r="FC45" s="194" t="s">
        <v>30</v>
      </c>
      <c r="FD45" s="195">
        <v>0.016886574074074075</v>
      </c>
      <c r="FE45" s="193"/>
      <c r="FF45" s="193"/>
      <c r="FG45" s="194" t="s">
        <v>61</v>
      </c>
      <c r="FH45" s="195">
        <v>0.07444444444444444</v>
      </c>
      <c r="FI45" s="193"/>
      <c r="FJ45" s="193"/>
      <c r="FK45" s="194" t="s">
        <v>61</v>
      </c>
      <c r="FL45" s="195">
        <v>0.09798611111111111</v>
      </c>
      <c r="FM45" s="194" t="s">
        <v>63</v>
      </c>
      <c r="FN45" s="195">
        <v>0.014826388888888889</v>
      </c>
      <c r="FO45" s="198" t="s">
        <v>53</v>
      </c>
      <c r="FP45" s="199">
        <v>0.007280092592592592</v>
      </c>
      <c r="FQ45" s="193"/>
      <c r="FR45" s="193"/>
      <c r="FS45" s="194" t="s">
        <v>65</v>
      </c>
      <c r="FT45" s="195">
        <v>0.030046296296296297</v>
      </c>
      <c r="FU45" s="194" t="s">
        <v>32</v>
      </c>
      <c r="FV45" s="195">
        <v>0.02267361111111111</v>
      </c>
      <c r="FW45" s="193"/>
      <c r="FX45" s="193"/>
      <c r="FY45" s="193"/>
      <c r="FZ45" s="193"/>
      <c r="GA45" s="193"/>
      <c r="GB45" s="193"/>
      <c r="GC45" s="194" t="s">
        <v>63</v>
      </c>
      <c r="GD45" s="195">
        <v>0.06668981481481481</v>
      </c>
      <c r="GE45" s="194" t="s">
        <v>64</v>
      </c>
      <c r="GF45" s="195">
        <v>0.32210648148148147</v>
      </c>
      <c r="GG45" s="194" t="s">
        <v>23</v>
      </c>
      <c r="GH45" s="195">
        <v>0.027627314814814816</v>
      </c>
      <c r="GI45" s="185" t="s">
        <v>96</v>
      </c>
      <c r="GJ45" s="186">
        <v>0.17583333333333334</v>
      </c>
      <c r="GK45" s="185" t="s">
        <v>96</v>
      </c>
      <c r="GL45" s="186">
        <v>0.30386574074074074</v>
      </c>
      <c r="GM45" s="185" t="s">
        <v>92</v>
      </c>
      <c r="GN45" s="186">
        <v>0.1796875</v>
      </c>
      <c r="GO45" s="187" t="s">
        <v>93</v>
      </c>
      <c r="GP45" s="188">
        <v>0.16896990740740742</v>
      </c>
      <c r="GQ45" s="187" t="s">
        <v>99</v>
      </c>
      <c r="GR45" s="188">
        <v>0.06277777777777778</v>
      </c>
      <c r="GS45" s="187" t="s">
        <v>428</v>
      </c>
      <c r="GT45" s="188">
        <v>0.04622685185185185</v>
      </c>
      <c r="GU45" s="187" t="s">
        <v>94</v>
      </c>
      <c r="GV45" s="188">
        <v>0.08369212962962963</v>
      </c>
      <c r="GW45" s="190" t="s">
        <v>102</v>
      </c>
      <c r="GX45" s="191">
        <v>0.039386574074074074</v>
      </c>
      <c r="GY45" s="190" t="s">
        <v>61</v>
      </c>
      <c r="GZ45" s="191">
        <v>0.02505787037037037</v>
      </c>
      <c r="HA45" s="190" t="s">
        <v>93</v>
      </c>
      <c r="HB45" s="191">
        <v>0.07231481481481482</v>
      </c>
      <c r="HC45" s="190" t="s">
        <v>94</v>
      </c>
      <c r="HD45" s="191">
        <v>0.045474537037037036</v>
      </c>
      <c r="HE45" s="190" t="s">
        <v>465</v>
      </c>
      <c r="HF45" s="191">
        <v>0.16650462962962964</v>
      </c>
      <c r="HG45" s="190" t="s">
        <v>61</v>
      </c>
      <c r="HH45" s="191">
        <v>0.008576388888888889</v>
      </c>
      <c r="HI45" s="190" t="s">
        <v>61</v>
      </c>
      <c r="HJ45" s="191">
        <v>0.03145833333333333</v>
      </c>
      <c r="HK45" s="190" t="s">
        <v>103</v>
      </c>
      <c r="HL45" s="191">
        <v>0.007152777777777778</v>
      </c>
      <c r="HM45" s="190" t="s">
        <v>103</v>
      </c>
      <c r="HN45" s="191">
        <v>0.007152777777777778</v>
      </c>
      <c r="HO45" s="190" t="s">
        <v>29</v>
      </c>
      <c r="HP45" s="191">
        <v>0.08776620370370371</v>
      </c>
      <c r="HQ45" s="190" t="s">
        <v>99</v>
      </c>
      <c r="HR45" s="191">
        <v>0.02849537037037037</v>
      </c>
      <c r="HS45" s="190" t="s">
        <v>98</v>
      </c>
      <c r="HT45" s="191">
        <v>0.05625</v>
      </c>
      <c r="HU45" s="190" t="s">
        <v>98</v>
      </c>
      <c r="HV45" s="191">
        <v>0.05625</v>
      </c>
      <c r="HW45" s="190" t="s">
        <v>98</v>
      </c>
      <c r="HX45" s="191">
        <v>0.05625</v>
      </c>
      <c r="IE45" s="178"/>
      <c r="IF45" s="178"/>
      <c r="IG45" s="178"/>
      <c r="IH45" s="178"/>
      <c r="II45" s="178"/>
      <c r="IJ45" s="178"/>
      <c r="IK45" s="178"/>
      <c r="IL45" s="178"/>
      <c r="IM45" s="178"/>
      <c r="IN45" s="178"/>
      <c r="IO45" s="178"/>
      <c r="IP45" s="178"/>
      <c r="IQ45" s="178"/>
      <c r="IR45" s="178"/>
      <c r="IS45" s="178"/>
      <c r="IT45" s="178"/>
      <c r="IU45" s="178"/>
      <c r="IV45" s="178"/>
      <c r="IW45" s="178"/>
      <c r="IX45" s="178"/>
      <c r="IY45" s="178"/>
      <c r="IZ45" s="178"/>
      <c r="JA45" s="178"/>
      <c r="JB45" s="178"/>
      <c r="JC45" s="178"/>
      <c r="JD45" s="178"/>
    </row>
    <row r="46">
      <c r="A46" s="193"/>
      <c r="B46" s="193"/>
      <c r="C46" s="193"/>
      <c r="D46" s="193"/>
      <c r="E46" s="193"/>
      <c r="F46" s="193"/>
      <c r="G46" s="193"/>
      <c r="H46" s="193"/>
      <c r="I46" s="193"/>
      <c r="J46" s="193"/>
      <c r="K46" s="193"/>
      <c r="L46" s="193"/>
      <c r="M46" s="193"/>
      <c r="N46" s="193"/>
      <c r="O46" s="193"/>
      <c r="P46" s="193"/>
      <c r="Q46" s="193"/>
      <c r="R46" s="193"/>
      <c r="S46" s="193"/>
      <c r="T46" s="193"/>
      <c r="U46" s="193"/>
      <c r="V46" s="193"/>
      <c r="W46" s="194"/>
      <c r="X46" s="195"/>
      <c r="Y46" s="193"/>
      <c r="Z46" s="193"/>
      <c r="AA46" s="193"/>
      <c r="AB46" s="193"/>
      <c r="AC46" s="193"/>
      <c r="AD46" s="193"/>
      <c r="AE46" s="193"/>
      <c r="AF46" s="193"/>
      <c r="AG46" s="194" t="s">
        <v>87</v>
      </c>
      <c r="AH46" s="195">
        <v>0.02150462962962963</v>
      </c>
      <c r="AI46" s="194" t="s">
        <v>91</v>
      </c>
      <c r="AJ46" s="195">
        <v>5.671296296296297E-4</v>
      </c>
      <c r="AK46" s="194" t="s">
        <v>90</v>
      </c>
      <c r="AL46" s="195">
        <v>0.01712962962962963</v>
      </c>
      <c r="AM46" s="194" t="s">
        <v>105</v>
      </c>
      <c r="AN46" s="195">
        <v>9.25925925925926E-4</v>
      </c>
      <c r="AO46" s="194" t="s">
        <v>91</v>
      </c>
      <c r="AP46" s="195">
        <v>0.0013310185185185185</v>
      </c>
      <c r="AQ46" s="194" t="s">
        <v>91</v>
      </c>
      <c r="AR46" s="195">
        <v>0.028506944444444446</v>
      </c>
      <c r="AS46" s="194" t="s">
        <v>424</v>
      </c>
      <c r="AT46" s="195">
        <v>0.03890046296296296</v>
      </c>
      <c r="AU46" s="194" t="s">
        <v>103</v>
      </c>
      <c r="AV46" s="195">
        <v>0.034027777777777775</v>
      </c>
      <c r="AW46" s="194" t="s">
        <v>25</v>
      </c>
      <c r="AX46" s="195">
        <v>0.08398148148148148</v>
      </c>
      <c r="AY46" s="194" t="s">
        <v>103</v>
      </c>
      <c r="AZ46" s="195">
        <v>0.04925925925925926</v>
      </c>
      <c r="BA46" s="194" t="s">
        <v>25</v>
      </c>
      <c r="BB46" s="195">
        <v>0.445</v>
      </c>
      <c r="BC46" s="194" t="s">
        <v>31</v>
      </c>
      <c r="BD46" s="195">
        <v>0.019016203703703705</v>
      </c>
      <c r="BE46" s="194" t="s">
        <v>51</v>
      </c>
      <c r="BF46" s="195">
        <v>0.14265046296296297</v>
      </c>
      <c r="BG46" s="194" t="s">
        <v>51</v>
      </c>
      <c r="BH46" s="195">
        <v>0.4270023148148148</v>
      </c>
      <c r="BI46" s="194" t="s">
        <v>31</v>
      </c>
      <c r="BJ46" s="195">
        <v>0.18008101851851852</v>
      </c>
      <c r="BK46" s="194" t="s">
        <v>51</v>
      </c>
      <c r="BL46" s="195">
        <v>0.4525578703703704</v>
      </c>
      <c r="BM46" s="194" t="s">
        <v>51</v>
      </c>
      <c r="BN46" s="195">
        <v>0.5617129629629629</v>
      </c>
      <c r="BO46" s="194" t="s">
        <v>51</v>
      </c>
      <c r="BP46" s="195">
        <v>0.8125925925925926</v>
      </c>
      <c r="BQ46" s="194" t="s">
        <v>51</v>
      </c>
      <c r="BR46" s="195">
        <v>0.7522569444444445</v>
      </c>
      <c r="BS46" s="194" t="s">
        <v>51</v>
      </c>
      <c r="BT46" s="195">
        <v>0.5699189814814815</v>
      </c>
      <c r="BU46" s="194" t="s">
        <v>31</v>
      </c>
      <c r="BV46" s="195">
        <v>0.5300694444444445</v>
      </c>
      <c r="BW46" s="194" t="s">
        <v>51</v>
      </c>
      <c r="BX46" s="195">
        <v>0.24070601851851853</v>
      </c>
      <c r="BY46" s="194" t="s">
        <v>51</v>
      </c>
      <c r="BZ46" s="195">
        <v>0.46380787037037036</v>
      </c>
      <c r="CA46" s="194" t="s">
        <v>51</v>
      </c>
      <c r="CB46" s="195">
        <v>0.4745138888888889</v>
      </c>
      <c r="CC46" s="194" t="s">
        <v>51</v>
      </c>
      <c r="CD46" s="195">
        <v>0.3476388888888889</v>
      </c>
      <c r="CE46" s="194" t="s">
        <v>31</v>
      </c>
      <c r="CF46" s="195">
        <v>0.09984953703703704</v>
      </c>
      <c r="CG46" s="194" t="s">
        <v>51</v>
      </c>
      <c r="CH46" s="195">
        <v>0.14123842592592592</v>
      </c>
      <c r="CI46" s="194" t="s">
        <v>31</v>
      </c>
      <c r="CJ46" s="195">
        <v>0.031643518518518515</v>
      </c>
      <c r="CK46" s="194" t="s">
        <v>51</v>
      </c>
      <c r="CL46" s="195">
        <v>0.061875</v>
      </c>
      <c r="CM46" s="194" t="s">
        <v>51</v>
      </c>
      <c r="CN46" s="195">
        <v>0.09820601851851851</v>
      </c>
      <c r="CO46" s="194" t="s">
        <v>51</v>
      </c>
      <c r="CP46" s="195">
        <v>0.06129629629629629</v>
      </c>
      <c r="CQ46" s="194" t="s">
        <v>25</v>
      </c>
      <c r="CR46" s="195">
        <v>0.021099537037037038</v>
      </c>
      <c r="CS46" s="194" t="s">
        <v>31</v>
      </c>
      <c r="CT46" s="195">
        <v>0.016655092592592593</v>
      </c>
      <c r="CU46" s="194" t="s">
        <v>51</v>
      </c>
      <c r="CV46" s="195">
        <v>0.04482638888888889</v>
      </c>
      <c r="CW46" s="194" t="s">
        <v>99</v>
      </c>
      <c r="CX46" s="195">
        <v>0.0434837962962963</v>
      </c>
      <c r="CY46" s="194" t="s">
        <v>43</v>
      </c>
      <c r="CZ46" s="195">
        <v>1.273148148148148E-4</v>
      </c>
      <c r="DA46" s="194" t="s">
        <v>99</v>
      </c>
      <c r="DB46" s="195">
        <v>0.005810185185185186</v>
      </c>
      <c r="DC46" s="194" t="s">
        <v>31</v>
      </c>
      <c r="DD46" s="195">
        <v>0.024212962962962964</v>
      </c>
      <c r="DE46" s="194" t="s">
        <v>51</v>
      </c>
      <c r="DF46" s="195">
        <v>0.05755787037037037</v>
      </c>
      <c r="DG46" s="194" t="s">
        <v>51</v>
      </c>
      <c r="DH46" s="195">
        <v>1.3588194444444448</v>
      </c>
      <c r="DI46" s="193"/>
      <c r="DJ46" s="193"/>
      <c r="DK46" s="193"/>
      <c r="DL46" s="193"/>
      <c r="DM46" s="193"/>
      <c r="DN46" s="193"/>
      <c r="DO46" s="193"/>
      <c r="DP46" s="193"/>
      <c r="DQ46" s="193"/>
      <c r="DR46" s="193"/>
      <c r="DS46" s="193"/>
      <c r="DT46" s="193"/>
      <c r="DU46" s="194" t="s">
        <v>86</v>
      </c>
      <c r="DV46" s="195">
        <v>0.006863425925925926</v>
      </c>
      <c r="DW46" s="193"/>
      <c r="DX46" s="193"/>
      <c r="DY46" s="193"/>
      <c r="DZ46" s="193"/>
      <c r="EA46" s="193"/>
      <c r="EB46" s="193"/>
      <c r="EC46" s="194" t="s">
        <v>52</v>
      </c>
      <c r="ED46" s="195">
        <v>0.0033449074074074076</v>
      </c>
      <c r="EE46" s="194" t="s">
        <v>30</v>
      </c>
      <c r="EF46" s="195">
        <v>0.08771990740740741</v>
      </c>
      <c r="EG46" s="194" t="s">
        <v>8</v>
      </c>
      <c r="EH46" s="195">
        <v>0.0013194444444444445</v>
      </c>
      <c r="EI46" s="193"/>
      <c r="EJ46" s="193"/>
      <c r="EK46" s="193"/>
      <c r="EL46" s="193"/>
      <c r="EM46" s="194" t="s">
        <v>61</v>
      </c>
      <c r="EN46" s="195">
        <v>0.06756944444444445</v>
      </c>
      <c r="EO46" s="194" t="s">
        <v>65</v>
      </c>
      <c r="EP46" s="195">
        <v>0.01170138888888889</v>
      </c>
      <c r="EQ46" s="194" t="s">
        <v>65</v>
      </c>
      <c r="ER46" s="195">
        <v>0.017430555555555557</v>
      </c>
      <c r="ES46" s="194" t="s">
        <v>61</v>
      </c>
      <c r="ET46" s="195">
        <v>0.031226851851851853</v>
      </c>
      <c r="EU46" s="193"/>
      <c r="EV46" s="193"/>
      <c r="EW46" s="193"/>
      <c r="EX46" s="193"/>
      <c r="EY46" s="193"/>
      <c r="EZ46" s="193"/>
      <c r="FA46" s="193"/>
      <c r="FB46" s="193"/>
      <c r="FC46" s="194" t="s">
        <v>61</v>
      </c>
      <c r="FD46" s="195">
        <v>0.13960648148148147</v>
      </c>
      <c r="FE46" s="193"/>
      <c r="FF46" s="193"/>
      <c r="FG46" s="198" t="s">
        <v>53</v>
      </c>
      <c r="FH46" s="199">
        <v>2.662037037037037E-4</v>
      </c>
      <c r="FI46" s="193"/>
      <c r="FJ46" s="193"/>
      <c r="FK46" s="198" t="s">
        <v>53</v>
      </c>
      <c r="FL46" s="199">
        <v>0.03850694444444445</v>
      </c>
      <c r="FM46" s="194" t="s">
        <v>64</v>
      </c>
      <c r="FN46" s="195">
        <v>0.012569444444444444</v>
      </c>
      <c r="FO46" s="193"/>
      <c r="FP46" s="193"/>
      <c r="FQ46" s="193"/>
      <c r="FR46" s="193"/>
      <c r="FS46" s="194" t="s">
        <v>36</v>
      </c>
      <c r="FT46" s="195">
        <v>9.490740740740741E-4</v>
      </c>
      <c r="FU46" s="194" t="s">
        <v>22</v>
      </c>
      <c r="FV46" s="195">
        <v>0.032615740740740744</v>
      </c>
      <c r="FW46" s="193"/>
      <c r="FX46" s="193"/>
      <c r="FY46" s="193"/>
      <c r="FZ46" s="193"/>
      <c r="GA46" s="193"/>
      <c r="GB46" s="193"/>
      <c r="GC46" s="194" t="s">
        <v>64</v>
      </c>
      <c r="GD46" s="195">
        <v>0.16385416666666666</v>
      </c>
      <c r="GE46" s="194" t="s">
        <v>32</v>
      </c>
      <c r="GF46" s="195">
        <v>0.16137731481481482</v>
      </c>
      <c r="GG46" s="194" t="s">
        <v>41</v>
      </c>
      <c r="GH46" s="195">
        <v>0.20244212962962962</v>
      </c>
      <c r="GI46" s="185" t="s">
        <v>92</v>
      </c>
      <c r="GJ46" s="186">
        <v>0.011620370370370371</v>
      </c>
      <c r="GK46" s="185" t="s">
        <v>92</v>
      </c>
      <c r="GL46" s="186">
        <v>0.12251157407407408</v>
      </c>
      <c r="GM46" s="185" t="s">
        <v>97</v>
      </c>
      <c r="GN46" s="186">
        <v>0.01025462962962963</v>
      </c>
      <c r="GO46" s="187" t="s">
        <v>94</v>
      </c>
      <c r="GP46" s="188">
        <v>0.24708333333333332</v>
      </c>
      <c r="GQ46" s="187" t="s">
        <v>61</v>
      </c>
      <c r="GR46" s="188">
        <v>0.0863425925925926</v>
      </c>
      <c r="GS46" s="187" t="s">
        <v>99</v>
      </c>
      <c r="GT46" s="188">
        <v>0.036516203703703703</v>
      </c>
      <c r="GU46" s="187" t="s">
        <v>96</v>
      </c>
      <c r="GV46" s="188">
        <v>3.0092592592592595E-4</v>
      </c>
      <c r="GW46" s="190" t="s">
        <v>29</v>
      </c>
      <c r="GX46" s="191">
        <v>0.05317129629629629</v>
      </c>
      <c r="GY46" s="190" t="s">
        <v>430</v>
      </c>
      <c r="GZ46" s="191">
        <v>0.010046296296296296</v>
      </c>
      <c r="HA46" s="190" t="s">
        <v>94</v>
      </c>
      <c r="HB46" s="191">
        <v>0.01105324074074074</v>
      </c>
      <c r="HC46" s="190" t="s">
        <v>96</v>
      </c>
      <c r="HD46" s="191">
        <v>0.3766319444444444</v>
      </c>
      <c r="HE46" s="190" t="s">
        <v>432</v>
      </c>
      <c r="HF46" s="191">
        <v>0.1517476851851852</v>
      </c>
      <c r="HG46" s="190" t="s">
        <v>101</v>
      </c>
      <c r="HH46" s="191">
        <v>0.13652777777777778</v>
      </c>
      <c r="HI46" s="190" t="s">
        <v>430</v>
      </c>
      <c r="HJ46" s="191">
        <v>0.1880787037037037</v>
      </c>
      <c r="HK46" s="190" t="s">
        <v>465</v>
      </c>
      <c r="HL46" s="191">
        <v>0.04836805555555555</v>
      </c>
      <c r="HM46" s="190" t="s">
        <v>465</v>
      </c>
      <c r="HN46" s="191">
        <v>0.04836805555555555</v>
      </c>
      <c r="HO46" s="190" t="s">
        <v>465</v>
      </c>
      <c r="HP46" s="191">
        <v>0.022094907407407407</v>
      </c>
      <c r="HQ46" s="190" t="s">
        <v>61</v>
      </c>
      <c r="HR46" s="191">
        <v>0.04628472222222222</v>
      </c>
      <c r="HS46" s="190" t="s">
        <v>428</v>
      </c>
      <c r="HT46" s="191">
        <v>0.028703703703703703</v>
      </c>
      <c r="HU46" s="190" t="s">
        <v>428</v>
      </c>
      <c r="HV46" s="191">
        <v>0.028703703703703703</v>
      </c>
      <c r="HW46" s="190" t="s">
        <v>428</v>
      </c>
      <c r="HX46" s="191">
        <v>0.028703703703703703</v>
      </c>
      <c r="IE46" s="178"/>
      <c r="IF46" s="178"/>
      <c r="IG46" s="178"/>
      <c r="IH46" s="178"/>
      <c r="II46" s="178"/>
      <c r="IJ46" s="178"/>
      <c r="IK46" s="178"/>
      <c r="IL46" s="178"/>
      <c r="IM46" s="178"/>
      <c r="IN46" s="178"/>
      <c r="IO46" s="178"/>
      <c r="IP46" s="178"/>
      <c r="IQ46" s="178"/>
      <c r="IR46" s="178"/>
      <c r="IS46" s="178"/>
      <c r="IT46" s="178"/>
      <c r="IU46" s="178"/>
      <c r="IV46" s="178"/>
      <c r="IW46" s="178"/>
      <c r="IX46" s="178"/>
      <c r="IY46" s="178"/>
      <c r="IZ46" s="178"/>
      <c r="JA46" s="178"/>
      <c r="JB46" s="178"/>
      <c r="JC46" s="178"/>
      <c r="JD46" s="178"/>
    </row>
    <row r="47">
      <c r="A47" s="193"/>
      <c r="B47" s="193"/>
      <c r="C47" s="193"/>
      <c r="D47" s="193"/>
      <c r="E47" s="193"/>
      <c r="F47" s="193"/>
      <c r="G47" s="193"/>
      <c r="H47" s="193"/>
      <c r="I47" s="193"/>
      <c r="J47" s="193"/>
      <c r="K47" s="193"/>
      <c r="L47" s="193"/>
      <c r="M47" s="193"/>
      <c r="N47" s="193"/>
      <c r="O47" s="193"/>
      <c r="P47" s="193"/>
      <c r="Q47" s="193"/>
      <c r="R47" s="193"/>
      <c r="S47" s="193"/>
      <c r="T47" s="193"/>
      <c r="U47" s="193"/>
      <c r="V47" s="193"/>
      <c r="W47" s="194"/>
      <c r="X47" s="195"/>
      <c r="Y47" s="193"/>
      <c r="Z47" s="193"/>
      <c r="AA47" s="193"/>
      <c r="AB47" s="193"/>
      <c r="AC47" s="193"/>
      <c r="AD47" s="193"/>
      <c r="AE47" s="193"/>
      <c r="AF47" s="193"/>
      <c r="AG47" s="194" t="s">
        <v>426</v>
      </c>
      <c r="AH47" s="195">
        <v>0.006666666666666667</v>
      </c>
      <c r="AI47" s="194" t="s">
        <v>424</v>
      </c>
      <c r="AJ47" s="195">
        <v>0.017083333333333332</v>
      </c>
      <c r="AK47" s="194" t="s">
        <v>18</v>
      </c>
      <c r="AL47" s="195">
        <v>0.08481481481481482</v>
      </c>
      <c r="AM47" s="194" t="s">
        <v>83</v>
      </c>
      <c r="AN47" s="195">
        <v>0.31938657407407406</v>
      </c>
      <c r="AO47" s="194" t="s">
        <v>424</v>
      </c>
      <c r="AP47" s="195">
        <v>0.09668981481481481</v>
      </c>
      <c r="AQ47" s="194" t="s">
        <v>424</v>
      </c>
      <c r="AR47" s="195">
        <v>0.09240740740740741</v>
      </c>
      <c r="AS47" s="194" t="s">
        <v>23</v>
      </c>
      <c r="AT47" s="195">
        <v>0.09834490740740741</v>
      </c>
      <c r="AU47" s="194" t="s">
        <v>43</v>
      </c>
      <c r="AV47" s="195">
        <v>2.314814814814815E-4</v>
      </c>
      <c r="AW47" s="194" t="s">
        <v>103</v>
      </c>
      <c r="AX47" s="195">
        <v>0.18505787037037036</v>
      </c>
      <c r="AY47" s="194" t="s">
        <v>43</v>
      </c>
      <c r="AZ47" s="195">
        <v>0.04804398148148148</v>
      </c>
      <c r="BA47" s="194" t="s">
        <v>103</v>
      </c>
      <c r="BB47" s="195">
        <v>0.05894675925925926</v>
      </c>
      <c r="BC47" s="194" t="s">
        <v>25</v>
      </c>
      <c r="BD47" s="195">
        <v>0.6225925925925926</v>
      </c>
      <c r="BE47" s="194" t="s">
        <v>31</v>
      </c>
      <c r="BF47" s="195">
        <v>0.07344907407407407</v>
      </c>
      <c r="BG47" s="194" t="s">
        <v>31</v>
      </c>
      <c r="BH47" s="195">
        <v>0.0629050925925926</v>
      </c>
      <c r="BI47" s="194" t="s">
        <v>25</v>
      </c>
      <c r="BJ47" s="195">
        <v>0.22391203703703705</v>
      </c>
      <c r="BK47" s="194" t="s">
        <v>31</v>
      </c>
      <c r="BL47" s="195">
        <v>0.29733796296296294</v>
      </c>
      <c r="BM47" s="194" t="s">
        <v>31</v>
      </c>
      <c r="BN47" s="195">
        <v>0.3721527777777778</v>
      </c>
      <c r="BO47" s="194" t="s">
        <v>31</v>
      </c>
      <c r="BP47" s="195">
        <v>0.23878472222222222</v>
      </c>
      <c r="BQ47" s="194" t="s">
        <v>31</v>
      </c>
      <c r="BR47" s="195">
        <v>0.710625</v>
      </c>
      <c r="BS47" s="194" t="s">
        <v>31</v>
      </c>
      <c r="BT47" s="195">
        <v>0.7931365740740741</v>
      </c>
      <c r="BU47" s="194" t="s">
        <v>25</v>
      </c>
      <c r="BV47" s="195">
        <v>0.21416666666666667</v>
      </c>
      <c r="BW47" s="194" t="s">
        <v>31</v>
      </c>
      <c r="BX47" s="195">
        <v>0.4820601851851852</v>
      </c>
      <c r="BY47" s="194" t="s">
        <v>31</v>
      </c>
      <c r="BZ47" s="195">
        <v>0.49289351851851854</v>
      </c>
      <c r="CA47" s="194" t="s">
        <v>31</v>
      </c>
      <c r="CB47" s="195">
        <v>0.45244212962962965</v>
      </c>
      <c r="CC47" s="194" t="s">
        <v>31</v>
      </c>
      <c r="CD47" s="195">
        <v>0.3163773148148148</v>
      </c>
      <c r="CE47" s="194" t="s">
        <v>25</v>
      </c>
      <c r="CF47" s="195">
        <v>0.1114699074074074</v>
      </c>
      <c r="CG47" s="194" t="s">
        <v>31</v>
      </c>
      <c r="CH47" s="195">
        <v>0.058611111111111114</v>
      </c>
      <c r="CI47" s="194" t="s">
        <v>25</v>
      </c>
      <c r="CJ47" s="195">
        <v>0.07241898148148149</v>
      </c>
      <c r="CK47" s="194" t="s">
        <v>25</v>
      </c>
      <c r="CL47" s="195">
        <v>0.040740740740740744</v>
      </c>
      <c r="CM47" s="194" t="s">
        <v>31</v>
      </c>
      <c r="CN47" s="195">
        <v>0.011956018518518519</v>
      </c>
      <c r="CO47" s="194" t="s">
        <v>25</v>
      </c>
      <c r="CP47" s="195">
        <v>0.0070023148148148145</v>
      </c>
      <c r="CQ47" s="194" t="s">
        <v>103</v>
      </c>
      <c r="CR47" s="195">
        <v>0.032546296296296295</v>
      </c>
      <c r="CS47" s="194" t="s">
        <v>25</v>
      </c>
      <c r="CT47" s="195">
        <v>0.004594907407407408</v>
      </c>
      <c r="CU47" s="194" t="s">
        <v>31</v>
      </c>
      <c r="CV47" s="195">
        <v>0.0011226851851851851</v>
      </c>
      <c r="CW47" s="194" t="s">
        <v>82</v>
      </c>
      <c r="CX47" s="195">
        <v>0.003611111111111111</v>
      </c>
      <c r="CY47" s="194" t="s">
        <v>99</v>
      </c>
      <c r="CZ47" s="195">
        <v>0.050381944444444444</v>
      </c>
      <c r="DA47" s="194" t="s">
        <v>82</v>
      </c>
      <c r="DB47" s="195">
        <v>0.12572916666666667</v>
      </c>
      <c r="DC47" s="194" t="s">
        <v>25</v>
      </c>
      <c r="DD47" s="195">
        <v>0.003935185185185185</v>
      </c>
      <c r="DE47" s="194" t="s">
        <v>31</v>
      </c>
      <c r="DF47" s="195">
        <v>0.02903935185185185</v>
      </c>
      <c r="DG47" s="194" t="s">
        <v>31</v>
      </c>
      <c r="DH47" s="195">
        <v>0.6939930555555556</v>
      </c>
      <c r="DI47" s="193"/>
      <c r="DJ47" s="193"/>
      <c r="DK47" s="193"/>
      <c r="DL47" s="193"/>
      <c r="DM47" s="193"/>
      <c r="DN47" s="193"/>
      <c r="DO47" s="193"/>
      <c r="DP47" s="193"/>
      <c r="DQ47" s="193"/>
      <c r="DR47" s="193"/>
      <c r="DS47" s="193"/>
      <c r="DT47" s="193"/>
      <c r="DU47" s="194" t="s">
        <v>66</v>
      </c>
      <c r="DV47" s="195">
        <v>1.9675925925925926E-4</v>
      </c>
      <c r="DW47" s="193"/>
      <c r="DX47" s="193"/>
      <c r="DY47" s="193"/>
      <c r="DZ47" s="193"/>
      <c r="EA47" s="193"/>
      <c r="EB47" s="193"/>
      <c r="EC47" s="194" t="s">
        <v>33</v>
      </c>
      <c r="ED47" s="195">
        <v>0.03777777777777778</v>
      </c>
      <c r="EE47" s="194" t="s">
        <v>61</v>
      </c>
      <c r="EF47" s="195">
        <v>0.037083333333333336</v>
      </c>
      <c r="EG47" s="194" t="s">
        <v>65</v>
      </c>
      <c r="EH47" s="195">
        <v>0.038113425925925926</v>
      </c>
      <c r="EI47" s="193"/>
      <c r="EJ47" s="193"/>
      <c r="EK47" s="193"/>
      <c r="EL47" s="193"/>
      <c r="EM47" s="198" t="s">
        <v>53</v>
      </c>
      <c r="EN47" s="199">
        <v>0.026018518518518517</v>
      </c>
      <c r="EO47" s="194" t="s">
        <v>86</v>
      </c>
      <c r="EP47" s="195">
        <v>0.006493055555555556</v>
      </c>
      <c r="EQ47" s="194" t="s">
        <v>86</v>
      </c>
      <c r="ER47" s="195">
        <v>0.013935185185185186</v>
      </c>
      <c r="ES47" s="198" t="s">
        <v>53</v>
      </c>
      <c r="ET47" s="199">
        <v>0.02616898148148148</v>
      </c>
      <c r="EU47" s="193"/>
      <c r="EV47" s="193"/>
      <c r="EW47" s="193"/>
      <c r="EX47" s="193"/>
      <c r="EY47" s="193"/>
      <c r="EZ47" s="193"/>
      <c r="FA47" s="193"/>
      <c r="FB47" s="193"/>
      <c r="FC47" s="198" t="s">
        <v>53</v>
      </c>
      <c r="FD47" s="199">
        <v>0.01863425925925926</v>
      </c>
      <c r="FE47" s="193"/>
      <c r="FF47" s="193"/>
      <c r="FG47" s="193"/>
      <c r="FH47" s="193"/>
      <c r="FI47" s="193"/>
      <c r="FJ47" s="193"/>
      <c r="FK47" s="193"/>
      <c r="FL47" s="193"/>
      <c r="FM47" s="194" t="s">
        <v>32</v>
      </c>
      <c r="FN47" s="195">
        <v>0.017627314814814814</v>
      </c>
      <c r="FO47" s="193"/>
      <c r="FP47" s="193"/>
      <c r="FQ47" s="193"/>
      <c r="FR47" s="193"/>
      <c r="FS47" s="194" t="s">
        <v>52</v>
      </c>
      <c r="FT47" s="195">
        <v>0.028310185185185185</v>
      </c>
      <c r="FU47" s="194" t="s">
        <v>8</v>
      </c>
      <c r="FV47" s="195">
        <v>0.06253472222222223</v>
      </c>
      <c r="FW47" s="193"/>
      <c r="FX47" s="193"/>
      <c r="FY47" s="193"/>
      <c r="FZ47" s="193"/>
      <c r="GA47" s="193"/>
      <c r="GB47" s="193"/>
      <c r="GC47" s="194" t="s">
        <v>32</v>
      </c>
      <c r="GD47" s="195">
        <v>0.04675925925925926</v>
      </c>
      <c r="GE47" s="194" t="s">
        <v>71</v>
      </c>
      <c r="GF47" s="195">
        <v>0.005347222222222222</v>
      </c>
      <c r="GG47" s="194" t="s">
        <v>105</v>
      </c>
      <c r="GH47" s="195">
        <v>0.18112268518518518</v>
      </c>
      <c r="GI47" s="185" t="s">
        <v>97</v>
      </c>
      <c r="GJ47" s="186">
        <v>1.5046296296296297E-4</v>
      </c>
      <c r="GK47" s="185" t="s">
        <v>97</v>
      </c>
      <c r="GL47" s="186">
        <v>0.07233796296296297</v>
      </c>
      <c r="GM47" s="185" t="s">
        <v>428</v>
      </c>
      <c r="GN47" s="186">
        <v>0.0575</v>
      </c>
      <c r="GO47" s="187" t="s">
        <v>92</v>
      </c>
      <c r="GP47" s="188">
        <v>0.04690972222222222</v>
      </c>
      <c r="GQ47" s="187" t="s">
        <v>430</v>
      </c>
      <c r="GR47" s="188">
        <v>0.07825231481481482</v>
      </c>
      <c r="GS47" s="187" t="s">
        <v>61</v>
      </c>
      <c r="GT47" s="188">
        <v>0.06462962962962963</v>
      </c>
      <c r="GU47" s="187" t="s">
        <v>92</v>
      </c>
      <c r="GV47" s="188">
        <v>0.018159722222222223</v>
      </c>
      <c r="GW47" s="190" t="s">
        <v>103</v>
      </c>
      <c r="GX47" s="191">
        <v>0.0024189814814814816</v>
      </c>
      <c r="GY47" s="190" t="s">
        <v>101</v>
      </c>
      <c r="GZ47" s="191">
        <v>0.027060185185185184</v>
      </c>
      <c r="HA47" s="190" t="s">
        <v>96</v>
      </c>
      <c r="HB47" s="191">
        <v>0.21377314814814816</v>
      </c>
      <c r="HC47" s="190" t="s">
        <v>92</v>
      </c>
      <c r="HD47" s="191">
        <v>0.07708333333333334</v>
      </c>
      <c r="HE47" s="131"/>
      <c r="HF47" s="131"/>
      <c r="HG47" s="190" t="s">
        <v>102</v>
      </c>
      <c r="HH47" s="191">
        <v>0.4188425925925926</v>
      </c>
      <c r="HI47" s="190" t="s">
        <v>101</v>
      </c>
      <c r="HJ47" s="191">
        <v>0.18760416666666666</v>
      </c>
      <c r="HK47" s="190" t="s">
        <v>432</v>
      </c>
      <c r="HL47" s="191">
        <v>0.17159722222222223</v>
      </c>
      <c r="HM47" s="190" t="s">
        <v>432</v>
      </c>
      <c r="HN47" s="191">
        <v>0.17159722222222223</v>
      </c>
      <c r="HO47" s="190" t="s">
        <v>432</v>
      </c>
      <c r="HP47" s="191">
        <v>0.027083333333333334</v>
      </c>
      <c r="HQ47" s="190" t="s">
        <v>430</v>
      </c>
      <c r="HR47" s="191">
        <v>0.23100694444444445</v>
      </c>
      <c r="HS47" s="190" t="s">
        <v>99</v>
      </c>
      <c r="HT47" s="191">
        <v>0.04506944444444445</v>
      </c>
      <c r="HU47" s="190" t="s">
        <v>99</v>
      </c>
      <c r="HV47" s="191">
        <v>0.04506944444444445</v>
      </c>
      <c r="HW47" s="190" t="s">
        <v>99</v>
      </c>
      <c r="HX47" s="191">
        <v>0.04506944444444445</v>
      </c>
      <c r="IE47" s="178"/>
      <c r="IF47" s="178"/>
      <c r="IG47" s="178"/>
      <c r="IH47" s="178"/>
      <c r="II47" s="178"/>
      <c r="IJ47" s="178"/>
      <c r="IK47" s="178"/>
      <c r="IL47" s="178"/>
      <c r="IM47" s="178"/>
      <c r="IN47" s="178"/>
      <c r="IO47" s="178"/>
      <c r="IP47" s="178"/>
      <c r="IQ47" s="178"/>
      <c r="IR47" s="178"/>
      <c r="IS47" s="178"/>
      <c r="IT47" s="178"/>
      <c r="IU47" s="178"/>
      <c r="IV47" s="178"/>
      <c r="IW47" s="178"/>
      <c r="IX47" s="178"/>
      <c r="IY47" s="178"/>
      <c r="IZ47" s="178"/>
      <c r="JA47" s="178"/>
      <c r="JB47" s="178"/>
      <c r="JC47" s="178"/>
      <c r="JD47" s="178"/>
    </row>
    <row r="48">
      <c r="A48" s="193"/>
      <c r="B48" s="193"/>
      <c r="C48" s="193"/>
      <c r="D48" s="193"/>
      <c r="E48" s="193"/>
      <c r="F48" s="193"/>
      <c r="G48" s="193"/>
      <c r="H48" s="193"/>
      <c r="I48" s="193"/>
      <c r="J48" s="193"/>
      <c r="K48" s="193"/>
      <c r="L48" s="193"/>
      <c r="M48" s="193"/>
      <c r="N48" s="193"/>
      <c r="O48" s="193"/>
      <c r="P48" s="193"/>
      <c r="Q48" s="193"/>
      <c r="R48" s="193"/>
      <c r="S48" s="193"/>
      <c r="T48" s="193"/>
      <c r="U48" s="193"/>
      <c r="V48" s="193"/>
      <c r="W48" s="194"/>
      <c r="X48" s="195"/>
      <c r="Y48" s="193"/>
      <c r="Z48" s="193"/>
      <c r="AA48" s="193"/>
      <c r="AB48" s="193"/>
      <c r="AC48" s="193"/>
      <c r="AD48" s="193"/>
      <c r="AE48" s="193"/>
      <c r="AF48" s="193"/>
      <c r="AG48" s="194" t="s">
        <v>93</v>
      </c>
      <c r="AH48" s="195">
        <v>0.010335648148148148</v>
      </c>
      <c r="AI48" s="194" t="s">
        <v>23</v>
      </c>
      <c r="AJ48" s="195">
        <v>6.944444444444445E-4</v>
      </c>
      <c r="AK48" s="194" t="s">
        <v>91</v>
      </c>
      <c r="AL48" s="195">
        <v>0.004270833333333333</v>
      </c>
      <c r="AM48" s="194" t="s">
        <v>64</v>
      </c>
      <c r="AN48" s="195">
        <v>1.8518518518518518E-4</v>
      </c>
      <c r="AO48" s="194" t="s">
        <v>432</v>
      </c>
      <c r="AP48" s="195">
        <v>0.013564814814814814</v>
      </c>
      <c r="AQ48" s="194" t="s">
        <v>432</v>
      </c>
      <c r="AR48" s="195">
        <v>3.8194444444444446E-4</v>
      </c>
      <c r="AS48" s="194" t="s">
        <v>41</v>
      </c>
      <c r="AT48" s="195">
        <v>0.08409722222222223</v>
      </c>
      <c r="AU48" s="194" t="s">
        <v>99</v>
      </c>
      <c r="AV48" s="195">
        <v>0.03260416666666666</v>
      </c>
      <c r="AW48" s="194" t="s">
        <v>43</v>
      </c>
      <c r="AX48" s="195">
        <v>0.016712962962962964</v>
      </c>
      <c r="AY48" s="194" t="s">
        <v>99</v>
      </c>
      <c r="AZ48" s="195">
        <v>0.029467592592592594</v>
      </c>
      <c r="BA48" s="194" t="s">
        <v>43</v>
      </c>
      <c r="BB48" s="195">
        <v>0.02630787037037037</v>
      </c>
      <c r="BC48" s="194" t="s">
        <v>103</v>
      </c>
      <c r="BD48" s="195">
        <v>0.024027777777777776</v>
      </c>
      <c r="BE48" s="194" t="s">
        <v>25</v>
      </c>
      <c r="BF48" s="195">
        <v>0.8927893518518518</v>
      </c>
      <c r="BG48" s="194" t="s">
        <v>25</v>
      </c>
      <c r="BH48" s="195">
        <v>0.526886574074074</v>
      </c>
      <c r="BI48" s="194" t="s">
        <v>103</v>
      </c>
      <c r="BJ48" s="195">
        <v>0.012268518518518519</v>
      </c>
      <c r="BK48" s="194" t="s">
        <v>25</v>
      </c>
      <c r="BL48" s="195">
        <v>0.32868055555555553</v>
      </c>
      <c r="BM48" s="194" t="s">
        <v>25</v>
      </c>
      <c r="BN48" s="195">
        <v>0.23265046296296296</v>
      </c>
      <c r="BO48" s="194" t="s">
        <v>25</v>
      </c>
      <c r="BP48" s="195">
        <v>0.17407407407407408</v>
      </c>
      <c r="BQ48" s="194" t="s">
        <v>25</v>
      </c>
      <c r="BR48" s="195">
        <v>0.13508101851851853</v>
      </c>
      <c r="BS48" s="194" t="s">
        <v>25</v>
      </c>
      <c r="BT48" s="195">
        <v>0.16020833333333334</v>
      </c>
      <c r="BU48" s="194" t="s">
        <v>103</v>
      </c>
      <c r="BV48" s="195">
        <v>0.36537037037037035</v>
      </c>
      <c r="BW48" s="194" t="s">
        <v>25</v>
      </c>
      <c r="BX48" s="195">
        <v>0.23478009259259258</v>
      </c>
      <c r="BY48" s="194" t="s">
        <v>25</v>
      </c>
      <c r="BZ48" s="195">
        <v>0.11770833333333333</v>
      </c>
      <c r="CA48" s="194" t="s">
        <v>25</v>
      </c>
      <c r="CB48" s="195">
        <v>0.05748842592592593</v>
      </c>
      <c r="CC48" s="194" t="s">
        <v>25</v>
      </c>
      <c r="CD48" s="195">
        <v>0.041527777777777775</v>
      </c>
      <c r="CE48" s="194" t="s">
        <v>103</v>
      </c>
      <c r="CF48" s="195">
        <v>0.17101851851851851</v>
      </c>
      <c r="CG48" s="194" t="s">
        <v>25</v>
      </c>
      <c r="CH48" s="195">
        <v>0.05731481481481481</v>
      </c>
      <c r="CI48" s="194" t="s">
        <v>103</v>
      </c>
      <c r="CJ48" s="195">
        <v>0.045717592592592594</v>
      </c>
      <c r="CK48" s="194" t="s">
        <v>103</v>
      </c>
      <c r="CL48" s="195">
        <v>0.15425925925925926</v>
      </c>
      <c r="CM48" s="194" t="s">
        <v>25</v>
      </c>
      <c r="CN48" s="195">
        <v>0.02528935185185185</v>
      </c>
      <c r="CO48" s="194" t="s">
        <v>103</v>
      </c>
      <c r="CP48" s="195">
        <v>0.08688657407407407</v>
      </c>
      <c r="CQ48" s="194" t="s">
        <v>43</v>
      </c>
      <c r="CR48" s="195">
        <v>1.8518518518518518E-4</v>
      </c>
      <c r="CS48" s="194" t="s">
        <v>103</v>
      </c>
      <c r="CT48" s="195">
        <v>0.2363888888888889</v>
      </c>
      <c r="CU48" s="194" t="s">
        <v>25</v>
      </c>
      <c r="CV48" s="195">
        <v>0.04884259259259259</v>
      </c>
      <c r="CW48" s="194" t="s">
        <v>90</v>
      </c>
      <c r="CX48" s="195">
        <v>0.016666666666666666</v>
      </c>
      <c r="CY48" s="194" t="s">
        <v>82</v>
      </c>
      <c r="CZ48" s="195">
        <v>0.03876157407407407</v>
      </c>
      <c r="DA48" s="194" t="s">
        <v>90</v>
      </c>
      <c r="DB48" s="195">
        <v>0.02221064814814815</v>
      </c>
      <c r="DC48" s="194" t="s">
        <v>103</v>
      </c>
      <c r="DD48" s="195">
        <v>0.13361111111111112</v>
      </c>
      <c r="DE48" s="194" t="s">
        <v>25</v>
      </c>
      <c r="DF48" s="195">
        <v>0.048344907407407406</v>
      </c>
      <c r="DG48" s="194" t="s">
        <v>25</v>
      </c>
      <c r="DH48" s="195">
        <v>3.7425115740740744</v>
      </c>
      <c r="DI48" s="193"/>
      <c r="DJ48" s="193"/>
      <c r="DK48" s="193"/>
      <c r="DL48" s="193"/>
      <c r="DM48" s="193"/>
      <c r="DN48" s="193"/>
      <c r="DO48" s="193"/>
      <c r="DP48" s="193"/>
      <c r="DQ48" s="193"/>
      <c r="DR48" s="193"/>
      <c r="DS48" s="193"/>
      <c r="DT48" s="193"/>
      <c r="DU48" s="194" t="s">
        <v>33</v>
      </c>
      <c r="DV48" s="195">
        <v>0.1103125</v>
      </c>
      <c r="DW48" s="193"/>
      <c r="DX48" s="193"/>
      <c r="DY48" s="193"/>
      <c r="DZ48" s="193"/>
      <c r="EA48" s="193"/>
      <c r="EB48" s="193"/>
      <c r="EC48" s="194" t="s">
        <v>426</v>
      </c>
      <c r="ED48" s="195">
        <v>2.314814814814815E-4</v>
      </c>
      <c r="EE48" s="198" t="s">
        <v>53</v>
      </c>
      <c r="EF48" s="199">
        <v>0.0015625</v>
      </c>
      <c r="EG48" s="194" t="s">
        <v>36</v>
      </c>
      <c r="EH48" s="195">
        <v>7.986111111111112E-4</v>
      </c>
      <c r="EI48" s="193"/>
      <c r="EJ48" s="193"/>
      <c r="EK48" s="193"/>
      <c r="EL48" s="193"/>
      <c r="EM48" s="193"/>
      <c r="EN48" s="193"/>
      <c r="EO48" s="194" t="s">
        <v>87</v>
      </c>
      <c r="EP48" s="195">
        <v>0.0014814814814814814</v>
      </c>
      <c r="EQ48" s="194" t="s">
        <v>52</v>
      </c>
      <c r="ER48" s="195">
        <v>6.944444444444445E-4</v>
      </c>
      <c r="ES48" s="193"/>
      <c r="ET48" s="193"/>
      <c r="EU48" s="193"/>
      <c r="EV48" s="193"/>
      <c r="EW48" s="193"/>
      <c r="EX48" s="193"/>
      <c r="EY48" s="193"/>
      <c r="EZ48" s="193"/>
      <c r="FA48" s="193"/>
      <c r="FB48" s="193"/>
      <c r="FC48" s="193"/>
      <c r="FD48" s="193"/>
      <c r="FE48" s="193"/>
      <c r="FF48" s="193"/>
      <c r="FG48" s="193"/>
      <c r="FH48" s="193"/>
      <c r="FI48" s="193"/>
      <c r="FJ48" s="193"/>
      <c r="FK48" s="193"/>
      <c r="FL48" s="193"/>
      <c r="FM48" s="194" t="s">
        <v>71</v>
      </c>
      <c r="FN48" s="195">
        <v>7.87037037037037E-4</v>
      </c>
      <c r="FO48" s="193"/>
      <c r="FP48" s="193"/>
      <c r="FQ48" s="193"/>
      <c r="FR48" s="193"/>
      <c r="FS48" s="194" t="s">
        <v>426</v>
      </c>
      <c r="FT48" s="195">
        <v>0.002361111111111111</v>
      </c>
      <c r="FU48" s="194" t="s">
        <v>65</v>
      </c>
      <c r="FV48" s="195">
        <v>0.04572916666666667</v>
      </c>
      <c r="FW48" s="193"/>
      <c r="FX48" s="193"/>
      <c r="FY48" s="193"/>
      <c r="FZ48" s="193"/>
      <c r="GA48" s="193"/>
      <c r="GB48" s="193"/>
      <c r="GC48" s="194" t="s">
        <v>71</v>
      </c>
      <c r="GD48" s="195">
        <v>0.01005787037037037</v>
      </c>
      <c r="GE48" s="194" t="s">
        <v>22</v>
      </c>
      <c r="GF48" s="195">
        <v>0.06815972222222222</v>
      </c>
      <c r="GG48" s="194" t="s">
        <v>83</v>
      </c>
      <c r="GH48" s="195">
        <v>0.027546296296296298</v>
      </c>
      <c r="GI48" s="185" t="s">
        <v>428</v>
      </c>
      <c r="GJ48" s="186">
        <v>0.0959837962962963</v>
      </c>
      <c r="GK48" s="185" t="s">
        <v>428</v>
      </c>
      <c r="GL48" s="186">
        <v>0.02679398148148148</v>
      </c>
      <c r="GM48" s="185" t="s">
        <v>99</v>
      </c>
      <c r="GN48" s="186">
        <v>0.02101851851851852</v>
      </c>
      <c r="GO48" s="187" t="s">
        <v>97</v>
      </c>
      <c r="GP48" s="188">
        <v>0.11799768518518519</v>
      </c>
      <c r="GQ48" s="187" t="s">
        <v>101</v>
      </c>
      <c r="GR48" s="188">
        <v>0.09633101851851852</v>
      </c>
      <c r="GS48" s="187" t="s">
        <v>430</v>
      </c>
      <c r="GT48" s="188">
        <v>0.12302083333333333</v>
      </c>
      <c r="GU48" s="187" t="s">
        <v>97</v>
      </c>
      <c r="GV48" s="188">
        <v>0.03457175925925926</v>
      </c>
      <c r="GW48" s="190" t="s">
        <v>465</v>
      </c>
      <c r="GX48" s="191">
        <v>0.11180555555555556</v>
      </c>
      <c r="GY48" s="190" t="s">
        <v>102</v>
      </c>
      <c r="GZ48" s="191">
        <v>0.050208333333333334</v>
      </c>
      <c r="HA48" s="190" t="s">
        <v>92</v>
      </c>
      <c r="HB48" s="191">
        <v>0.09512731481481482</v>
      </c>
      <c r="HC48" s="190" t="s">
        <v>97</v>
      </c>
      <c r="HD48" s="191">
        <v>0.008483796296296297</v>
      </c>
      <c r="HE48" s="131"/>
      <c r="HF48" s="131"/>
      <c r="HG48" s="190" t="s">
        <v>29</v>
      </c>
      <c r="HH48" s="191">
        <v>0.05457175925925926</v>
      </c>
      <c r="HI48" s="190" t="s">
        <v>102</v>
      </c>
      <c r="HJ48" s="191">
        <v>0.38362268518518516</v>
      </c>
      <c r="HK48" s="190" t="s">
        <v>105</v>
      </c>
      <c r="HL48" s="191">
        <v>0.011516203703703704</v>
      </c>
      <c r="HM48" s="190" t="s">
        <v>105</v>
      </c>
      <c r="HN48" s="191">
        <v>0.011516203703703704</v>
      </c>
      <c r="HO48" s="190" t="s">
        <v>105</v>
      </c>
      <c r="HP48" s="191">
        <v>0.012650462962962962</v>
      </c>
      <c r="HQ48" s="190" t="s">
        <v>101</v>
      </c>
      <c r="HR48" s="191">
        <v>0.506724537037037</v>
      </c>
      <c r="HS48" s="190" t="s">
        <v>61</v>
      </c>
      <c r="HT48" s="191">
        <v>0.03359953703703704</v>
      </c>
      <c r="HU48" s="190" t="s">
        <v>61</v>
      </c>
      <c r="HV48" s="191">
        <v>0.03359953703703704</v>
      </c>
      <c r="HW48" s="190" t="s">
        <v>61</v>
      </c>
      <c r="HX48" s="191">
        <v>0.03359953703703704</v>
      </c>
      <c r="IE48" s="178"/>
      <c r="IF48" s="178"/>
      <c r="IG48" s="178"/>
      <c r="IH48" s="178"/>
      <c r="II48" s="178"/>
      <c r="IJ48" s="178"/>
      <c r="IK48" s="178"/>
      <c r="IL48" s="178"/>
      <c r="IM48" s="178"/>
      <c r="IN48" s="178"/>
      <c r="IO48" s="178"/>
      <c r="IP48" s="178"/>
      <c r="IQ48" s="178"/>
      <c r="IR48" s="178"/>
      <c r="IS48" s="178"/>
      <c r="IT48" s="178"/>
      <c r="IU48" s="178"/>
      <c r="IV48" s="178"/>
      <c r="IW48" s="178"/>
      <c r="IX48" s="178"/>
      <c r="IY48" s="178"/>
      <c r="IZ48" s="178"/>
      <c r="JA48" s="178"/>
      <c r="JB48" s="178"/>
      <c r="JC48" s="178"/>
      <c r="JD48" s="178"/>
    </row>
    <row r="49">
      <c r="A49" s="193"/>
      <c r="B49" s="193"/>
      <c r="C49" s="193"/>
      <c r="D49" s="193"/>
      <c r="E49" s="193"/>
      <c r="F49" s="193"/>
      <c r="G49" s="193"/>
      <c r="H49" s="193"/>
      <c r="I49" s="193"/>
      <c r="J49" s="193"/>
      <c r="K49" s="193"/>
      <c r="L49" s="193"/>
      <c r="M49" s="193"/>
      <c r="N49" s="193"/>
      <c r="O49" s="193"/>
      <c r="P49" s="193"/>
      <c r="Q49" s="193"/>
      <c r="R49" s="193"/>
      <c r="S49" s="193"/>
      <c r="T49" s="193"/>
      <c r="U49" s="193"/>
      <c r="V49" s="193"/>
      <c r="W49" s="194"/>
      <c r="X49" s="195"/>
      <c r="Y49" s="193"/>
      <c r="Z49" s="193"/>
      <c r="AA49" s="193"/>
      <c r="AB49" s="193"/>
      <c r="AC49" s="193"/>
      <c r="AD49" s="193"/>
      <c r="AE49" s="193"/>
      <c r="AF49" s="193"/>
      <c r="AG49" s="198" t="s">
        <v>53</v>
      </c>
      <c r="AH49" s="199">
        <v>0.016631944444444446</v>
      </c>
      <c r="AI49" s="194" t="s">
        <v>41</v>
      </c>
      <c r="AJ49" s="195">
        <v>0.0353587962962963</v>
      </c>
      <c r="AK49" s="194" t="s">
        <v>424</v>
      </c>
      <c r="AL49" s="195">
        <v>0.10472222222222222</v>
      </c>
      <c r="AM49" s="194" t="s">
        <v>71</v>
      </c>
      <c r="AN49" s="195">
        <v>0.0013541666666666667</v>
      </c>
      <c r="AO49" s="194" t="s">
        <v>23</v>
      </c>
      <c r="AP49" s="195">
        <v>0.05592592592592593</v>
      </c>
      <c r="AQ49" s="194" t="s">
        <v>23</v>
      </c>
      <c r="AR49" s="195">
        <v>0.07039351851851852</v>
      </c>
      <c r="AS49" s="194" t="s">
        <v>105</v>
      </c>
      <c r="AT49" s="195">
        <v>2.0833333333333335E-4</v>
      </c>
      <c r="AU49" s="194" t="s">
        <v>82</v>
      </c>
      <c r="AV49" s="195">
        <v>0.08306712962962963</v>
      </c>
      <c r="AW49" s="194" t="s">
        <v>82</v>
      </c>
      <c r="AX49" s="195">
        <v>0.10596064814814815</v>
      </c>
      <c r="AY49" s="194" t="s">
        <v>82</v>
      </c>
      <c r="AZ49" s="195">
        <v>0.12974537037037037</v>
      </c>
      <c r="BA49" s="194" t="s">
        <v>99</v>
      </c>
      <c r="BB49" s="195">
        <v>0.16251157407407407</v>
      </c>
      <c r="BC49" s="194" t="s">
        <v>43</v>
      </c>
      <c r="BD49" s="195">
        <v>0.06009259259259259</v>
      </c>
      <c r="BE49" s="194" t="s">
        <v>103</v>
      </c>
      <c r="BF49" s="195">
        <v>0.04293981481481481</v>
      </c>
      <c r="BG49" s="194" t="s">
        <v>103</v>
      </c>
      <c r="BH49" s="195">
        <v>0.05447916666666667</v>
      </c>
      <c r="BI49" s="194" t="s">
        <v>43</v>
      </c>
      <c r="BJ49" s="195">
        <v>0.620462962962963</v>
      </c>
      <c r="BK49" s="194" t="s">
        <v>103</v>
      </c>
      <c r="BL49" s="195">
        <v>0.018032407407407407</v>
      </c>
      <c r="BM49" s="194" t="s">
        <v>103</v>
      </c>
      <c r="BN49" s="195">
        <v>0.28412037037037036</v>
      </c>
      <c r="BO49" s="194" t="s">
        <v>103</v>
      </c>
      <c r="BP49" s="195">
        <v>0.4003935185185185</v>
      </c>
      <c r="BQ49" s="194" t="s">
        <v>103</v>
      </c>
      <c r="BR49" s="195">
        <v>0.39640046296296294</v>
      </c>
      <c r="BS49" s="194" t="s">
        <v>103</v>
      </c>
      <c r="BT49" s="195">
        <v>0.3878240740740741</v>
      </c>
      <c r="BU49" s="194" t="s">
        <v>43</v>
      </c>
      <c r="BV49" s="195">
        <v>0.10966435185185185</v>
      </c>
      <c r="BW49" s="194" t="s">
        <v>103</v>
      </c>
      <c r="BX49" s="195">
        <v>0.5097337962962963</v>
      </c>
      <c r="BY49" s="194" t="s">
        <v>103</v>
      </c>
      <c r="BZ49" s="195">
        <v>0.3292013888888889</v>
      </c>
      <c r="CA49" s="194" t="s">
        <v>103</v>
      </c>
      <c r="CB49" s="195">
        <v>0.302962962962963</v>
      </c>
      <c r="CC49" s="194" t="s">
        <v>103</v>
      </c>
      <c r="CD49" s="195">
        <v>0.2838657407407407</v>
      </c>
      <c r="CE49" s="194" t="s">
        <v>43</v>
      </c>
      <c r="CF49" s="195">
        <v>0.12773148148148147</v>
      </c>
      <c r="CG49" s="194" t="s">
        <v>103</v>
      </c>
      <c r="CH49" s="195">
        <v>0.09125</v>
      </c>
      <c r="CI49" s="194" t="s">
        <v>43</v>
      </c>
      <c r="CJ49" s="195">
        <v>0.050729166666666665</v>
      </c>
      <c r="CK49" s="194" t="s">
        <v>43</v>
      </c>
      <c r="CL49" s="195">
        <v>0.02929398148148148</v>
      </c>
      <c r="CM49" s="194" t="s">
        <v>103</v>
      </c>
      <c r="CN49" s="195">
        <v>0.21844907407407407</v>
      </c>
      <c r="CO49" s="194" t="s">
        <v>43</v>
      </c>
      <c r="CP49" s="195">
        <v>0.03131944444444444</v>
      </c>
      <c r="CQ49" s="194" t="s">
        <v>99</v>
      </c>
      <c r="CR49" s="195">
        <v>0.05130787037037037</v>
      </c>
      <c r="CS49" s="194" t="s">
        <v>99</v>
      </c>
      <c r="CT49" s="195">
        <v>0.02652777777777778</v>
      </c>
      <c r="CU49" s="194" t="s">
        <v>103</v>
      </c>
      <c r="CV49" s="195">
        <v>0.22113425925925925</v>
      </c>
      <c r="CW49" s="194" t="s">
        <v>18</v>
      </c>
      <c r="CX49" s="195">
        <v>0.014849537037037038</v>
      </c>
      <c r="CY49" s="194" t="s">
        <v>90</v>
      </c>
      <c r="CZ49" s="195">
        <v>0.03702546296296296</v>
      </c>
      <c r="DA49" s="194" t="s">
        <v>18</v>
      </c>
      <c r="DB49" s="195">
        <v>0.04289351851851852</v>
      </c>
      <c r="DC49" s="194" t="s">
        <v>43</v>
      </c>
      <c r="DD49" s="195">
        <v>0.001574074074074074</v>
      </c>
      <c r="DE49" s="194" t="s">
        <v>103</v>
      </c>
      <c r="DF49" s="195">
        <v>0.06773148148148148</v>
      </c>
      <c r="DG49" s="194" t="s">
        <v>103</v>
      </c>
      <c r="DH49" s="195">
        <v>1.9320370370370368</v>
      </c>
      <c r="DI49" s="193"/>
      <c r="DJ49" s="193"/>
      <c r="DK49" s="193"/>
      <c r="DL49" s="193"/>
      <c r="DM49" s="193"/>
      <c r="DN49" s="193"/>
      <c r="DO49" s="193"/>
      <c r="DP49" s="193"/>
      <c r="DQ49" s="193"/>
      <c r="DR49" s="193"/>
      <c r="DS49" s="193"/>
      <c r="DT49" s="193"/>
      <c r="DU49" s="194" t="s">
        <v>30</v>
      </c>
      <c r="DV49" s="195">
        <v>0.2316550925925926</v>
      </c>
      <c r="DW49" s="193"/>
      <c r="DX49" s="193"/>
      <c r="DY49" s="193"/>
      <c r="DZ49" s="193"/>
      <c r="EA49" s="193"/>
      <c r="EB49" s="193"/>
      <c r="EC49" s="194" t="s">
        <v>30</v>
      </c>
      <c r="ED49" s="195">
        <v>0.19984953703703703</v>
      </c>
      <c r="EE49" s="193"/>
      <c r="EF49" s="193"/>
      <c r="EG49" s="194" t="s">
        <v>66</v>
      </c>
      <c r="EH49" s="195">
        <v>1.5046296296296297E-4</v>
      </c>
      <c r="EI49" s="193"/>
      <c r="EJ49" s="193"/>
      <c r="EK49" s="193"/>
      <c r="EL49" s="193"/>
      <c r="EM49" s="193"/>
      <c r="EN49" s="193"/>
      <c r="EO49" s="194" t="s">
        <v>52</v>
      </c>
      <c r="EP49" s="195">
        <v>0.04259259259259259</v>
      </c>
      <c r="EQ49" s="194" t="s">
        <v>66</v>
      </c>
      <c r="ER49" s="195">
        <v>1.9675925925925926E-4</v>
      </c>
      <c r="ES49" s="193"/>
      <c r="ET49" s="193"/>
      <c r="EU49" s="193"/>
      <c r="EV49" s="193"/>
      <c r="EW49" s="193"/>
      <c r="EX49" s="193"/>
      <c r="EY49" s="193"/>
      <c r="EZ49" s="193"/>
      <c r="FA49" s="193"/>
      <c r="FB49" s="193"/>
      <c r="FC49" s="193"/>
      <c r="FD49" s="193"/>
      <c r="FE49" s="193"/>
      <c r="FF49" s="193"/>
      <c r="FG49" s="193"/>
      <c r="FH49" s="193"/>
      <c r="FI49" s="193"/>
      <c r="FJ49" s="193"/>
      <c r="FK49" s="193"/>
      <c r="FL49" s="193"/>
      <c r="FM49" s="194" t="s">
        <v>22</v>
      </c>
      <c r="FN49" s="195">
        <v>0.018599537037037036</v>
      </c>
      <c r="FO49" s="193"/>
      <c r="FP49" s="193"/>
      <c r="FQ49" s="193"/>
      <c r="FR49" s="193"/>
      <c r="FS49" s="194" t="s">
        <v>93</v>
      </c>
      <c r="FT49" s="195">
        <v>0.0060185185185185185</v>
      </c>
      <c r="FU49" s="194" t="s">
        <v>36</v>
      </c>
      <c r="FV49" s="195">
        <v>1.6203703703703703E-4</v>
      </c>
      <c r="FW49" s="193"/>
      <c r="FX49" s="193"/>
      <c r="FY49" s="193"/>
      <c r="FZ49" s="193"/>
      <c r="GA49" s="193"/>
      <c r="GB49" s="193"/>
      <c r="GC49" s="194" t="s">
        <v>22</v>
      </c>
      <c r="GD49" s="195">
        <v>0.055</v>
      </c>
      <c r="GE49" s="194" t="s">
        <v>8</v>
      </c>
      <c r="GF49" s="195">
        <v>0.1872800925925926</v>
      </c>
      <c r="GG49" s="194" t="s">
        <v>64</v>
      </c>
      <c r="GH49" s="195">
        <v>0.11797453703703703</v>
      </c>
      <c r="GI49" s="185" t="s">
        <v>99</v>
      </c>
      <c r="GJ49" s="186">
        <v>0.04057870370370371</v>
      </c>
      <c r="GK49" s="185" t="s">
        <v>99</v>
      </c>
      <c r="GL49" s="186">
        <v>0.08478009259259259</v>
      </c>
      <c r="GM49" s="185" t="s">
        <v>61</v>
      </c>
      <c r="GN49" s="186">
        <v>0.039502314814814816</v>
      </c>
      <c r="GO49" s="187" t="s">
        <v>428</v>
      </c>
      <c r="GP49" s="188">
        <v>0.03626157407407407</v>
      </c>
      <c r="GQ49" s="187" t="s">
        <v>102</v>
      </c>
      <c r="GR49" s="188">
        <v>0.09361111111111112</v>
      </c>
      <c r="GS49" s="187" t="s">
        <v>101</v>
      </c>
      <c r="GT49" s="188">
        <v>0.09667824074074075</v>
      </c>
      <c r="GU49" s="187" t="s">
        <v>428</v>
      </c>
      <c r="GV49" s="188">
        <v>0.031469907407407405</v>
      </c>
      <c r="GW49" s="190" t="s">
        <v>432</v>
      </c>
      <c r="GX49" s="191">
        <v>0.033761574074074076</v>
      </c>
      <c r="GY49" s="190" t="s">
        <v>29</v>
      </c>
      <c r="GZ49" s="191">
        <v>0.06571759259259259</v>
      </c>
      <c r="HA49" s="190" t="s">
        <v>97</v>
      </c>
      <c r="HB49" s="191">
        <v>0.03478009259259259</v>
      </c>
      <c r="HC49" s="190" t="s">
        <v>57</v>
      </c>
      <c r="HD49" s="191">
        <v>0.02065972222222222</v>
      </c>
      <c r="HE49" s="131"/>
      <c r="HF49" s="131"/>
      <c r="HG49" s="190" t="s">
        <v>465</v>
      </c>
      <c r="HH49" s="191">
        <v>0.10748842592592593</v>
      </c>
      <c r="HI49" s="190" t="s">
        <v>29</v>
      </c>
      <c r="HJ49" s="191">
        <v>0.042465277777777775</v>
      </c>
      <c r="HK49" s="190" t="s">
        <v>29</v>
      </c>
      <c r="HL49" s="191">
        <v>0.042465277777777775</v>
      </c>
      <c r="HM49" s="190" t="s">
        <v>29</v>
      </c>
      <c r="HN49" s="191">
        <v>0.042465277777777775</v>
      </c>
      <c r="HO49" s="190" t="s">
        <v>29</v>
      </c>
      <c r="HP49" s="191">
        <v>0.042465277777777775</v>
      </c>
      <c r="HQ49" s="190" t="s">
        <v>102</v>
      </c>
      <c r="HR49" s="191">
        <v>0.0036574074074074074</v>
      </c>
      <c r="HS49" s="190" t="s">
        <v>430</v>
      </c>
      <c r="HT49" s="191">
        <v>0.2371875</v>
      </c>
      <c r="HU49" s="190" t="s">
        <v>430</v>
      </c>
      <c r="HV49" s="191">
        <v>0.2371875</v>
      </c>
      <c r="HW49" s="190" t="s">
        <v>430</v>
      </c>
      <c r="HX49" s="191">
        <v>0.2371875</v>
      </c>
      <c r="IE49" s="178"/>
      <c r="IF49" s="178"/>
      <c r="IG49" s="178"/>
      <c r="IH49" s="178"/>
      <c r="II49" s="178"/>
      <c r="IJ49" s="178"/>
      <c r="IK49" s="178"/>
      <c r="IL49" s="178"/>
      <c r="IM49" s="178"/>
      <c r="IN49" s="178"/>
      <c r="IO49" s="178"/>
      <c r="IP49" s="178"/>
      <c r="IQ49" s="178"/>
      <c r="IR49" s="178"/>
      <c r="IS49" s="178"/>
      <c r="IT49" s="178"/>
      <c r="IU49" s="178"/>
      <c r="IV49" s="178"/>
      <c r="IW49" s="178"/>
      <c r="IX49" s="178"/>
      <c r="IY49" s="178"/>
      <c r="IZ49" s="178"/>
      <c r="JA49" s="178"/>
      <c r="JB49" s="178"/>
      <c r="JC49" s="178"/>
      <c r="JD49" s="178"/>
    </row>
    <row r="50">
      <c r="A50" s="193"/>
      <c r="B50" s="193"/>
      <c r="C50" s="193"/>
      <c r="D50" s="193"/>
      <c r="E50" s="193"/>
      <c r="F50" s="193"/>
      <c r="G50" s="193"/>
      <c r="H50" s="193"/>
      <c r="I50" s="193"/>
      <c r="J50" s="193"/>
      <c r="K50" s="193"/>
      <c r="L50" s="193"/>
      <c r="M50" s="193"/>
      <c r="N50" s="193"/>
      <c r="O50" s="193"/>
      <c r="P50" s="193"/>
      <c r="Q50" s="193"/>
      <c r="R50" s="193"/>
      <c r="S50" s="193"/>
      <c r="T50" s="193"/>
      <c r="U50" s="193"/>
      <c r="V50" s="193"/>
      <c r="W50" s="194"/>
      <c r="X50" s="195"/>
      <c r="Y50" s="193"/>
      <c r="Z50" s="193"/>
      <c r="AA50" s="193"/>
      <c r="AB50" s="193"/>
      <c r="AC50" s="193"/>
      <c r="AD50" s="193"/>
      <c r="AE50" s="193"/>
      <c r="AF50" s="193"/>
      <c r="AG50" s="193"/>
      <c r="AH50" s="193"/>
      <c r="AI50" s="194" t="s">
        <v>105</v>
      </c>
      <c r="AJ50" s="195">
        <v>1.9675925925925926E-4</v>
      </c>
      <c r="AK50" s="194" t="s">
        <v>23</v>
      </c>
      <c r="AL50" s="195">
        <v>0.022581018518518518</v>
      </c>
      <c r="AM50" s="194" t="s">
        <v>8</v>
      </c>
      <c r="AN50" s="195">
        <v>1.6203703703703703E-4</v>
      </c>
      <c r="AO50" s="194" t="s">
        <v>41</v>
      </c>
      <c r="AP50" s="195">
        <v>0.005763888888888889</v>
      </c>
      <c r="AQ50" s="194" t="s">
        <v>41</v>
      </c>
      <c r="AR50" s="195">
        <v>0.05731481481481481</v>
      </c>
      <c r="AS50" s="194" t="s">
        <v>83</v>
      </c>
      <c r="AT50" s="195">
        <v>0.2175925925925926</v>
      </c>
      <c r="AU50" s="194" t="s">
        <v>90</v>
      </c>
      <c r="AV50" s="195">
        <v>0.35019675925925925</v>
      </c>
      <c r="AW50" s="194" t="s">
        <v>90</v>
      </c>
      <c r="AX50" s="195">
        <v>0.38320601851851854</v>
      </c>
      <c r="AY50" s="194" t="s">
        <v>90</v>
      </c>
      <c r="AZ50" s="195">
        <v>0.2268865740740741</v>
      </c>
      <c r="BA50" s="194" t="s">
        <v>82</v>
      </c>
      <c r="BB50" s="195">
        <v>0.26100694444444444</v>
      </c>
      <c r="BC50" s="194" t="s">
        <v>99</v>
      </c>
      <c r="BD50" s="195">
        <v>0.35597222222222225</v>
      </c>
      <c r="BE50" s="194" t="s">
        <v>43</v>
      </c>
      <c r="BF50" s="195">
        <v>0.07504629629629629</v>
      </c>
      <c r="BG50" s="194" t="s">
        <v>43</v>
      </c>
      <c r="BH50" s="195">
        <v>0.1666550925925926</v>
      </c>
      <c r="BI50" s="194" t="s">
        <v>99</v>
      </c>
      <c r="BJ50" s="195">
        <v>0.5012152777777777</v>
      </c>
      <c r="BK50" s="194" t="s">
        <v>43</v>
      </c>
      <c r="BL50" s="195">
        <v>0.7049652777777777</v>
      </c>
      <c r="BM50" s="194" t="s">
        <v>43</v>
      </c>
      <c r="BN50" s="195">
        <v>0.5334375</v>
      </c>
      <c r="BO50" s="194" t="s">
        <v>43</v>
      </c>
      <c r="BP50" s="195">
        <v>0.43145833333333333</v>
      </c>
      <c r="BQ50" s="194" t="s">
        <v>43</v>
      </c>
      <c r="BR50" s="195">
        <v>0.17396990740740742</v>
      </c>
      <c r="BS50" s="194" t="s">
        <v>43</v>
      </c>
      <c r="BT50" s="195">
        <v>0.09219907407407407</v>
      </c>
      <c r="BU50" s="194" t="s">
        <v>99</v>
      </c>
      <c r="BV50" s="195">
        <v>0.19150462962962964</v>
      </c>
      <c r="BW50" s="194" t="s">
        <v>43</v>
      </c>
      <c r="BX50" s="195">
        <v>0.21640046296296298</v>
      </c>
      <c r="BY50" s="194" t="s">
        <v>43</v>
      </c>
      <c r="BZ50" s="195">
        <v>0.165</v>
      </c>
      <c r="CA50" s="194" t="s">
        <v>43</v>
      </c>
      <c r="CB50" s="195">
        <v>0.04237268518518519</v>
      </c>
      <c r="CC50" s="194" t="s">
        <v>43</v>
      </c>
      <c r="CD50" s="195">
        <v>0.10618055555555556</v>
      </c>
      <c r="CE50" s="194" t="s">
        <v>99</v>
      </c>
      <c r="CF50" s="195">
        <v>0.008773148148148148</v>
      </c>
      <c r="CG50" s="194" t="s">
        <v>43</v>
      </c>
      <c r="CH50" s="195">
        <v>0.043472222222222225</v>
      </c>
      <c r="CI50" s="194" t="s">
        <v>99</v>
      </c>
      <c r="CJ50" s="195">
        <v>0.06953703703703704</v>
      </c>
      <c r="CK50" s="194" t="s">
        <v>99</v>
      </c>
      <c r="CL50" s="195">
        <v>0.02459490740740741</v>
      </c>
      <c r="CM50" s="194" t="s">
        <v>43</v>
      </c>
      <c r="CN50" s="195">
        <v>0.013645833333333333</v>
      </c>
      <c r="CO50" s="194" t="s">
        <v>99</v>
      </c>
      <c r="CP50" s="195">
        <v>0.03180555555555555</v>
      </c>
      <c r="CQ50" s="194" t="s">
        <v>82</v>
      </c>
      <c r="CR50" s="195">
        <v>0.10622685185185185</v>
      </c>
      <c r="CS50" s="194" t="s">
        <v>82</v>
      </c>
      <c r="CT50" s="195">
        <v>0.09827546296296297</v>
      </c>
      <c r="CU50" s="194" t="s">
        <v>43</v>
      </c>
      <c r="CV50" s="195">
        <v>0.04702546296296296</v>
      </c>
      <c r="CW50" s="194" t="s">
        <v>91</v>
      </c>
      <c r="CX50" s="195">
        <v>0.2677083333333333</v>
      </c>
      <c r="CY50" s="194" t="s">
        <v>18</v>
      </c>
      <c r="CZ50" s="195">
        <v>0.012986111111111111</v>
      </c>
      <c r="DA50" s="194" t="s">
        <v>91</v>
      </c>
      <c r="DB50" s="195">
        <v>0.27564814814814814</v>
      </c>
      <c r="DC50" s="194" t="s">
        <v>99</v>
      </c>
      <c r="DD50" s="195">
        <v>0.002627314814814815</v>
      </c>
      <c r="DE50" s="194" t="s">
        <v>43</v>
      </c>
      <c r="DF50" s="195">
        <v>0.005497685185185185</v>
      </c>
      <c r="DG50" s="194" t="s">
        <v>43</v>
      </c>
      <c r="DH50" s="195">
        <v>4.4775462962962935</v>
      </c>
      <c r="DI50" s="193"/>
      <c r="DJ50" s="193"/>
      <c r="DK50" s="193"/>
      <c r="DL50" s="193"/>
      <c r="DM50" s="193"/>
      <c r="DN50" s="193"/>
      <c r="DO50" s="193"/>
      <c r="DP50" s="193"/>
      <c r="DQ50" s="193"/>
      <c r="DR50" s="193"/>
      <c r="DS50" s="193"/>
      <c r="DT50" s="193"/>
      <c r="DU50" s="198" t="s">
        <v>61</v>
      </c>
      <c r="DV50" s="199">
        <v>0.05559027777777778</v>
      </c>
      <c r="DW50" s="193"/>
      <c r="DX50" s="193"/>
      <c r="DY50" s="193"/>
      <c r="DZ50" s="193"/>
      <c r="EA50" s="193"/>
      <c r="EB50" s="193"/>
      <c r="EC50" s="194" t="s">
        <v>61</v>
      </c>
      <c r="ED50" s="195">
        <v>0.039421296296296295</v>
      </c>
      <c r="EE50" s="193"/>
      <c r="EF50" s="193"/>
      <c r="EG50" s="194" t="s">
        <v>33</v>
      </c>
      <c r="EH50" s="195">
        <v>0.1571875</v>
      </c>
      <c r="EI50" s="193"/>
      <c r="EJ50" s="193"/>
      <c r="EK50" s="193"/>
      <c r="EL50" s="193"/>
      <c r="EM50" s="193"/>
      <c r="EN50" s="193"/>
      <c r="EO50" s="194" t="s">
        <v>66</v>
      </c>
      <c r="EP50" s="195">
        <v>1.7361111111111112E-4</v>
      </c>
      <c r="EQ50" s="194" t="s">
        <v>33</v>
      </c>
      <c r="ER50" s="195">
        <v>0.01207175925925926</v>
      </c>
      <c r="ES50" s="193"/>
      <c r="ET50" s="193"/>
      <c r="EU50" s="193"/>
      <c r="EV50" s="193"/>
      <c r="EW50" s="193"/>
      <c r="EX50" s="193"/>
      <c r="EY50" s="193"/>
      <c r="EZ50" s="193"/>
      <c r="FA50" s="193"/>
      <c r="FB50" s="193"/>
      <c r="FC50" s="193"/>
      <c r="FD50" s="193"/>
      <c r="FE50" s="193"/>
      <c r="FF50" s="193"/>
      <c r="FG50" s="193"/>
      <c r="FH50" s="193"/>
      <c r="FI50" s="193"/>
      <c r="FJ50" s="193"/>
      <c r="FK50" s="193"/>
      <c r="FL50" s="193"/>
      <c r="FM50" s="194" t="s">
        <v>8</v>
      </c>
      <c r="FN50" s="195">
        <v>0.034722222222222224</v>
      </c>
      <c r="FO50" s="193"/>
      <c r="FP50" s="193"/>
      <c r="FQ50" s="193"/>
      <c r="FR50" s="193"/>
      <c r="FS50" s="194" t="s">
        <v>30</v>
      </c>
      <c r="FT50" s="195">
        <v>0.1674074074074074</v>
      </c>
      <c r="FU50" s="194" t="s">
        <v>20</v>
      </c>
      <c r="FV50" s="195">
        <v>0.0033912037037037036</v>
      </c>
      <c r="FW50" s="193"/>
      <c r="FX50" s="193"/>
      <c r="FY50" s="193"/>
      <c r="FZ50" s="193"/>
      <c r="GA50" s="193"/>
      <c r="GB50" s="193"/>
      <c r="GC50" s="194" t="s">
        <v>8</v>
      </c>
      <c r="GD50" s="195">
        <v>0.1542013888888889</v>
      </c>
      <c r="GE50" s="194" t="s">
        <v>65</v>
      </c>
      <c r="GF50" s="195">
        <v>0.07859953703703704</v>
      </c>
      <c r="GG50" s="194" t="s">
        <v>32</v>
      </c>
      <c r="GH50" s="195">
        <v>0.45957175925925925</v>
      </c>
      <c r="GI50" s="185" t="s">
        <v>61</v>
      </c>
      <c r="GJ50" s="186">
        <v>0.17526620370370372</v>
      </c>
      <c r="GK50" s="185" t="s">
        <v>61</v>
      </c>
      <c r="GL50" s="186">
        <v>0.2682638888888889</v>
      </c>
      <c r="GM50" s="185" t="s">
        <v>430</v>
      </c>
      <c r="GN50" s="186">
        <v>0.1544560185185185</v>
      </c>
      <c r="GO50" s="187" t="s">
        <v>99</v>
      </c>
      <c r="GP50" s="188">
        <v>0.12077546296296296</v>
      </c>
      <c r="GQ50" s="187" t="s">
        <v>29</v>
      </c>
      <c r="GR50" s="188">
        <v>0.12114583333333333</v>
      </c>
      <c r="GS50" s="187" t="s">
        <v>102</v>
      </c>
      <c r="GT50" s="188">
        <v>0.18931712962962963</v>
      </c>
      <c r="GU50" s="187" t="s">
        <v>99</v>
      </c>
      <c r="GV50" s="188">
        <v>0.05747685185185185</v>
      </c>
      <c r="GW50" s="131"/>
      <c r="GX50" s="131"/>
      <c r="GY50" s="190" t="s">
        <v>465</v>
      </c>
      <c r="GZ50" s="191">
        <v>0.0450462962962963</v>
      </c>
      <c r="HA50" s="190" t="s">
        <v>98</v>
      </c>
      <c r="HB50" s="191">
        <v>0.012118055555555556</v>
      </c>
      <c r="HC50" s="190" t="s">
        <v>61</v>
      </c>
      <c r="HD50" s="191">
        <v>0.04601851851851852</v>
      </c>
      <c r="HE50" s="131"/>
      <c r="HF50" s="131"/>
      <c r="HG50" s="190" t="s">
        <v>432</v>
      </c>
      <c r="HH50" s="191">
        <v>0.31052083333333336</v>
      </c>
      <c r="HI50" s="190" t="s">
        <v>465</v>
      </c>
      <c r="HJ50" s="191">
        <v>0.16702546296296297</v>
      </c>
      <c r="HK50" s="190" t="s">
        <v>465</v>
      </c>
      <c r="HL50" s="191">
        <v>0.16702546296296297</v>
      </c>
      <c r="HM50" s="190" t="s">
        <v>465</v>
      </c>
      <c r="HN50" s="191">
        <v>0.16702546296296297</v>
      </c>
      <c r="HO50" s="190" t="s">
        <v>465</v>
      </c>
      <c r="HP50" s="191">
        <v>0.16702546296296297</v>
      </c>
      <c r="HQ50" s="190" t="s">
        <v>29</v>
      </c>
      <c r="HR50" s="191">
        <v>0.11256944444444444</v>
      </c>
      <c r="HS50" s="190" t="s">
        <v>101</v>
      </c>
      <c r="HT50" s="191">
        <v>0.4482638888888889</v>
      </c>
      <c r="HU50" s="190" t="s">
        <v>101</v>
      </c>
      <c r="HV50" s="191">
        <v>0.4482638888888889</v>
      </c>
      <c r="HW50" s="190" t="s">
        <v>101</v>
      </c>
      <c r="HX50" s="191">
        <v>0.4482638888888889</v>
      </c>
      <c r="IE50" s="178"/>
      <c r="IF50" s="178"/>
      <c r="IG50" s="178"/>
      <c r="IH50" s="178"/>
      <c r="II50" s="178"/>
      <c r="IJ50" s="178"/>
      <c r="IK50" s="178"/>
      <c r="IL50" s="178"/>
      <c r="IM50" s="178"/>
      <c r="IN50" s="178"/>
      <c r="IO50" s="178"/>
      <c r="IP50" s="178"/>
      <c r="IQ50" s="178"/>
      <c r="IR50" s="178"/>
      <c r="IS50" s="178"/>
      <c r="IT50" s="178"/>
      <c r="IU50" s="178"/>
      <c r="IV50" s="178"/>
      <c r="IW50" s="178"/>
      <c r="IX50" s="178"/>
      <c r="IY50" s="178"/>
      <c r="IZ50" s="178"/>
      <c r="JA50" s="178"/>
      <c r="JB50" s="178"/>
      <c r="JC50" s="178"/>
      <c r="JD50" s="178"/>
    </row>
    <row r="51">
      <c r="A51" s="193"/>
      <c r="B51" s="193"/>
      <c r="C51" s="193"/>
      <c r="D51" s="193"/>
      <c r="E51" s="193"/>
      <c r="F51" s="193"/>
      <c r="G51" s="193"/>
      <c r="H51" s="193"/>
      <c r="I51" s="193"/>
      <c r="J51" s="193"/>
      <c r="K51" s="193"/>
      <c r="L51" s="193"/>
      <c r="M51" s="193"/>
      <c r="N51" s="193"/>
      <c r="O51" s="193"/>
      <c r="P51" s="193"/>
      <c r="Q51" s="193"/>
      <c r="R51" s="193"/>
      <c r="S51" s="193"/>
      <c r="T51" s="193"/>
      <c r="U51" s="193"/>
      <c r="V51" s="193"/>
      <c r="W51" s="194"/>
      <c r="X51" s="195"/>
      <c r="Y51" s="193"/>
      <c r="Z51" s="193"/>
      <c r="AA51" s="193"/>
      <c r="AB51" s="193"/>
      <c r="AC51" s="193"/>
      <c r="AD51" s="193"/>
      <c r="AE51" s="193"/>
      <c r="AF51" s="193"/>
      <c r="AG51" s="193"/>
      <c r="AH51" s="193"/>
      <c r="AI51" s="194" t="s">
        <v>83</v>
      </c>
      <c r="AJ51" s="195">
        <v>0.06828703703703703</v>
      </c>
      <c r="AK51" s="194" t="s">
        <v>41</v>
      </c>
      <c r="AL51" s="195">
        <v>0.016307870370370372</v>
      </c>
      <c r="AM51" s="194" t="s">
        <v>36</v>
      </c>
      <c r="AN51" s="195">
        <v>0.029861111111111113</v>
      </c>
      <c r="AO51" s="194" t="s">
        <v>105</v>
      </c>
      <c r="AP51" s="195">
        <v>6.944444444444444E-5</v>
      </c>
      <c r="AQ51" s="194" t="s">
        <v>105</v>
      </c>
      <c r="AR51" s="195">
        <v>0.001238425925925926</v>
      </c>
      <c r="AS51" s="194" t="s">
        <v>63</v>
      </c>
      <c r="AT51" s="195">
        <v>0.04689814814814815</v>
      </c>
      <c r="AU51" s="194" t="s">
        <v>18</v>
      </c>
      <c r="AV51" s="195">
        <v>0.2225925925925926</v>
      </c>
      <c r="AW51" s="194" t="s">
        <v>18</v>
      </c>
      <c r="AX51" s="195">
        <v>0.3350925925925926</v>
      </c>
      <c r="AY51" s="194" t="s">
        <v>18</v>
      </c>
      <c r="AZ51" s="195">
        <v>0.2381712962962963</v>
      </c>
      <c r="BA51" s="194" t="s">
        <v>90</v>
      </c>
      <c r="BB51" s="195">
        <v>0.2828819444444444</v>
      </c>
      <c r="BC51" s="194" t="s">
        <v>82</v>
      </c>
      <c r="BD51" s="195">
        <v>0.20354166666666668</v>
      </c>
      <c r="BE51" s="194" t="s">
        <v>99</v>
      </c>
      <c r="BF51" s="195">
        <v>0.3516782407407407</v>
      </c>
      <c r="BG51" s="194" t="s">
        <v>99</v>
      </c>
      <c r="BH51" s="195">
        <v>0.4596412037037037</v>
      </c>
      <c r="BI51" s="194" t="s">
        <v>82</v>
      </c>
      <c r="BJ51" s="195">
        <v>0.2577777777777778</v>
      </c>
      <c r="BK51" s="194" t="s">
        <v>99</v>
      </c>
      <c r="BL51" s="195">
        <v>0.13822916666666665</v>
      </c>
      <c r="BM51" s="194" t="s">
        <v>99</v>
      </c>
      <c r="BN51" s="195">
        <v>0.16446759259259258</v>
      </c>
      <c r="BO51" s="194" t="s">
        <v>99</v>
      </c>
      <c r="BP51" s="195">
        <v>0.07736111111111112</v>
      </c>
      <c r="BQ51" s="194" t="s">
        <v>99</v>
      </c>
      <c r="BR51" s="195">
        <v>0.14148148148148149</v>
      </c>
      <c r="BS51" s="194" t="s">
        <v>99</v>
      </c>
      <c r="BT51" s="195">
        <v>0.11386574074074074</v>
      </c>
      <c r="BU51" s="194" t="s">
        <v>82</v>
      </c>
      <c r="BV51" s="195">
        <v>0.05201388888888889</v>
      </c>
      <c r="BW51" s="194" t="s">
        <v>99</v>
      </c>
      <c r="BX51" s="195">
        <v>0.12378472222222223</v>
      </c>
      <c r="BY51" s="194" t="s">
        <v>99</v>
      </c>
      <c r="BZ51" s="195">
        <v>0.02908564814814815</v>
      </c>
      <c r="CA51" s="194" t="s">
        <v>99</v>
      </c>
      <c r="CB51" s="195">
        <v>0.09444444444444444</v>
      </c>
      <c r="CC51" s="194" t="s">
        <v>99</v>
      </c>
      <c r="CD51" s="195">
        <v>0.027974537037037037</v>
      </c>
      <c r="CE51" s="194" t="s">
        <v>82</v>
      </c>
      <c r="CF51" s="195">
        <v>0.1375462962962963</v>
      </c>
      <c r="CG51" s="194" t="s">
        <v>99</v>
      </c>
      <c r="CH51" s="195">
        <v>0.08680555555555555</v>
      </c>
      <c r="CI51" s="194" t="s">
        <v>82</v>
      </c>
      <c r="CJ51" s="195">
        <v>0.06802083333333334</v>
      </c>
      <c r="CK51" s="194" t="s">
        <v>82</v>
      </c>
      <c r="CL51" s="195">
        <v>0.0869212962962963</v>
      </c>
      <c r="CM51" s="194" t="s">
        <v>99</v>
      </c>
      <c r="CN51" s="195">
        <v>0.05438657407407407</v>
      </c>
      <c r="CO51" s="194" t="s">
        <v>82</v>
      </c>
      <c r="CP51" s="195">
        <v>0.055844907407407406</v>
      </c>
      <c r="CQ51" s="194" t="s">
        <v>90</v>
      </c>
      <c r="CR51" s="195">
        <v>0.05887731481481481</v>
      </c>
      <c r="CS51" s="194" t="s">
        <v>90</v>
      </c>
      <c r="CT51" s="195">
        <v>0.07028935185185185</v>
      </c>
      <c r="CU51" s="194" t="s">
        <v>99</v>
      </c>
      <c r="CV51" s="195">
        <v>0.03665509259259259</v>
      </c>
      <c r="CW51" s="194" t="s">
        <v>431</v>
      </c>
      <c r="CX51" s="195">
        <v>0.30172453703703705</v>
      </c>
      <c r="CY51" s="194" t="s">
        <v>91</v>
      </c>
      <c r="CZ51" s="195">
        <v>0.3075462962962963</v>
      </c>
      <c r="DA51" s="194" t="s">
        <v>431</v>
      </c>
      <c r="DB51" s="195">
        <v>0.2647800925925926</v>
      </c>
      <c r="DC51" s="194" t="s">
        <v>82</v>
      </c>
      <c r="DD51" s="195">
        <v>0.06390046296296296</v>
      </c>
      <c r="DE51" s="194" t="s">
        <v>99</v>
      </c>
      <c r="DF51" s="195">
        <v>0.020520833333333332</v>
      </c>
      <c r="DG51" s="194" t="s">
        <v>99</v>
      </c>
      <c r="DH51" s="195">
        <v>3.090474537037038</v>
      </c>
      <c r="DI51" s="193"/>
      <c r="DJ51" s="193"/>
      <c r="DK51" s="193"/>
      <c r="DL51" s="193"/>
      <c r="DM51" s="193"/>
      <c r="DN51" s="193"/>
      <c r="DO51" s="193"/>
      <c r="DP51" s="193"/>
      <c r="DQ51" s="193"/>
      <c r="DR51" s="193"/>
      <c r="DS51" s="193"/>
      <c r="DT51" s="193"/>
      <c r="DU51" s="193"/>
      <c r="DV51" s="193"/>
      <c r="DW51" s="193"/>
      <c r="DX51" s="193"/>
      <c r="DY51" s="193"/>
      <c r="DZ51" s="193"/>
      <c r="EA51" s="193"/>
      <c r="EB51" s="193"/>
      <c r="EC51" s="198" t="s">
        <v>53</v>
      </c>
      <c r="ED51" s="199">
        <v>0.017511574074074075</v>
      </c>
      <c r="EE51" s="193"/>
      <c r="EF51" s="193"/>
      <c r="EG51" s="194" t="s">
        <v>30</v>
      </c>
      <c r="EH51" s="195">
        <v>0.15802083333333333</v>
      </c>
      <c r="EI51" s="193"/>
      <c r="EJ51" s="193"/>
      <c r="EK51" s="193"/>
      <c r="EL51" s="193"/>
      <c r="EM51" s="193"/>
      <c r="EN51" s="193"/>
      <c r="EO51" s="194" t="s">
        <v>33</v>
      </c>
      <c r="EP51" s="195">
        <v>0.002488425925925926</v>
      </c>
      <c r="EQ51" s="194" t="s">
        <v>30</v>
      </c>
      <c r="ER51" s="195">
        <v>0.06927083333333334</v>
      </c>
      <c r="ES51" s="193"/>
      <c r="ET51" s="193"/>
      <c r="EU51" s="193"/>
      <c r="EV51" s="193"/>
      <c r="EW51" s="193"/>
      <c r="EX51" s="193"/>
      <c r="EY51" s="193"/>
      <c r="EZ51" s="193"/>
      <c r="FA51" s="193"/>
      <c r="FB51" s="193"/>
      <c r="FC51" s="193"/>
      <c r="FD51" s="193"/>
      <c r="FE51" s="193"/>
      <c r="FF51" s="193"/>
      <c r="FG51" s="193"/>
      <c r="FH51" s="193"/>
      <c r="FI51" s="193"/>
      <c r="FJ51" s="193"/>
      <c r="FK51" s="193"/>
      <c r="FL51" s="193"/>
      <c r="FM51" s="194" t="s">
        <v>65</v>
      </c>
      <c r="FN51" s="195">
        <v>0.046030092592592595</v>
      </c>
      <c r="FO51" s="193"/>
      <c r="FP51" s="193"/>
      <c r="FQ51" s="193"/>
      <c r="FR51" s="193"/>
      <c r="FS51" s="194" t="s">
        <v>61</v>
      </c>
      <c r="FT51" s="195">
        <v>0.1629050925925926</v>
      </c>
      <c r="FU51" s="194" t="s">
        <v>33</v>
      </c>
      <c r="FV51" s="195">
        <v>8.101851851851852E-5</v>
      </c>
      <c r="FW51" s="193"/>
      <c r="FX51" s="193"/>
      <c r="FY51" s="193"/>
      <c r="FZ51" s="193"/>
      <c r="GA51" s="193"/>
      <c r="GB51" s="193"/>
      <c r="GC51" s="194" t="s">
        <v>65</v>
      </c>
      <c r="GD51" s="195">
        <v>0.05313657407407407</v>
      </c>
      <c r="GE51" s="194" t="s">
        <v>36</v>
      </c>
      <c r="GF51" s="195">
        <v>0.4116550925925926</v>
      </c>
      <c r="GG51" s="194" t="s">
        <v>22</v>
      </c>
      <c r="GH51" s="195">
        <v>0.06081018518518518</v>
      </c>
      <c r="GI51" s="185" t="s">
        <v>430</v>
      </c>
      <c r="GJ51" s="186">
        <v>0.09157407407407407</v>
      </c>
      <c r="GK51" s="185" t="s">
        <v>430</v>
      </c>
      <c r="GL51" s="186">
        <v>0.15381944444444445</v>
      </c>
      <c r="GM51" s="185" t="s">
        <v>101</v>
      </c>
      <c r="GN51" s="186">
        <v>0.1439699074074074</v>
      </c>
      <c r="GO51" s="187" t="s">
        <v>61</v>
      </c>
      <c r="GP51" s="188">
        <v>0.09222222222222222</v>
      </c>
      <c r="GQ51" s="187" t="s">
        <v>103</v>
      </c>
      <c r="GR51" s="188">
        <v>0.12145833333333333</v>
      </c>
      <c r="GS51" s="187" t="s">
        <v>29</v>
      </c>
      <c r="GT51" s="188">
        <v>0.08399305555555556</v>
      </c>
      <c r="GU51" s="187" t="s">
        <v>61</v>
      </c>
      <c r="GV51" s="188">
        <v>0.08684027777777778</v>
      </c>
      <c r="GW51" s="131"/>
      <c r="GX51" s="131"/>
      <c r="GY51" s="190" t="s">
        <v>432</v>
      </c>
      <c r="GZ51" s="191">
        <v>0.020497685185185185</v>
      </c>
      <c r="HA51" s="190" t="s">
        <v>428</v>
      </c>
      <c r="HB51" s="191">
        <v>0.0019675925925925924</v>
      </c>
      <c r="HC51" s="190" t="s">
        <v>101</v>
      </c>
      <c r="HD51" s="191">
        <v>0.04075231481481482</v>
      </c>
      <c r="HE51" s="131"/>
      <c r="HF51" s="131"/>
      <c r="HG51" s="131"/>
      <c r="HH51" s="131"/>
      <c r="HI51" s="190" t="s">
        <v>432</v>
      </c>
      <c r="HJ51" s="191">
        <v>0.22890046296296296</v>
      </c>
      <c r="HK51" s="190" t="s">
        <v>432</v>
      </c>
      <c r="HL51" s="191">
        <v>0.22890046296296296</v>
      </c>
      <c r="HM51" s="190" t="s">
        <v>432</v>
      </c>
      <c r="HN51" s="191">
        <v>0.22890046296296296</v>
      </c>
      <c r="HO51" s="190" t="s">
        <v>432</v>
      </c>
      <c r="HP51" s="191">
        <v>0.22890046296296296</v>
      </c>
      <c r="HQ51" s="190" t="s">
        <v>465</v>
      </c>
      <c r="HR51" s="191">
        <v>0.06487268518518519</v>
      </c>
      <c r="HS51" s="190" t="s">
        <v>102</v>
      </c>
      <c r="HT51" s="191">
        <v>0.1508449074074074</v>
      </c>
      <c r="HU51" s="190" t="s">
        <v>102</v>
      </c>
      <c r="HV51" s="191">
        <v>0.1508449074074074</v>
      </c>
      <c r="HW51" s="190" t="s">
        <v>102</v>
      </c>
      <c r="HX51" s="191">
        <v>0.1508449074074074</v>
      </c>
      <c r="IE51" s="178"/>
      <c r="IF51" s="178"/>
      <c r="IG51" s="178"/>
      <c r="IH51" s="178"/>
      <c r="II51" s="178"/>
      <c r="IJ51" s="178"/>
      <c r="IK51" s="178"/>
      <c r="IL51" s="178"/>
      <c r="IM51" s="178"/>
      <c r="IN51" s="178"/>
      <c r="IO51" s="178"/>
      <c r="IP51" s="178"/>
      <c r="IQ51" s="178"/>
      <c r="IR51" s="178"/>
      <c r="IS51" s="178"/>
      <c r="IT51" s="178"/>
      <c r="IU51" s="178"/>
      <c r="IV51" s="178"/>
      <c r="IW51" s="178"/>
      <c r="IX51" s="178"/>
      <c r="IY51" s="178"/>
      <c r="IZ51" s="178"/>
      <c r="JA51" s="178"/>
      <c r="JB51" s="178"/>
      <c r="JC51" s="178"/>
      <c r="JD51" s="178"/>
    </row>
    <row r="52">
      <c r="A52" s="193"/>
      <c r="B52" s="193"/>
      <c r="C52" s="193"/>
      <c r="D52" s="193"/>
      <c r="E52" s="193"/>
      <c r="F52" s="193"/>
      <c r="G52" s="193"/>
      <c r="H52" s="193"/>
      <c r="I52" s="193"/>
      <c r="J52" s="193"/>
      <c r="K52" s="193"/>
      <c r="L52" s="193"/>
      <c r="M52" s="193"/>
      <c r="N52" s="193"/>
      <c r="O52" s="193"/>
      <c r="P52" s="193"/>
      <c r="Q52" s="193"/>
      <c r="R52" s="193"/>
      <c r="S52" s="193"/>
      <c r="T52" s="193"/>
      <c r="U52" s="193"/>
      <c r="V52" s="193"/>
      <c r="W52" s="194"/>
      <c r="X52" s="195"/>
      <c r="Y52" s="193"/>
      <c r="Z52" s="193"/>
      <c r="AA52" s="193"/>
      <c r="AB52" s="193"/>
      <c r="AC52" s="193"/>
      <c r="AD52" s="193"/>
      <c r="AE52" s="193"/>
      <c r="AF52" s="193"/>
      <c r="AG52" s="193"/>
      <c r="AH52" s="193"/>
      <c r="AI52" s="194" t="s">
        <v>63</v>
      </c>
      <c r="AJ52" s="195">
        <v>0.011655092592592592</v>
      </c>
      <c r="AK52" s="194" t="s">
        <v>105</v>
      </c>
      <c r="AL52" s="195">
        <v>6.481481481481481E-4</v>
      </c>
      <c r="AM52" s="194" t="s">
        <v>86</v>
      </c>
      <c r="AN52" s="195">
        <v>0.02119212962962963</v>
      </c>
      <c r="AO52" s="194" t="s">
        <v>83</v>
      </c>
      <c r="AP52" s="195">
        <v>0.35270833333333335</v>
      </c>
      <c r="AQ52" s="194" t="s">
        <v>83</v>
      </c>
      <c r="AR52" s="195">
        <v>0.26611111111111113</v>
      </c>
      <c r="AS52" s="194" t="s">
        <v>64</v>
      </c>
      <c r="AT52" s="195">
        <v>0.10628472222222222</v>
      </c>
      <c r="AU52" s="194" t="s">
        <v>91</v>
      </c>
      <c r="AV52" s="195">
        <v>0.1552662037037037</v>
      </c>
      <c r="AW52" s="194" t="s">
        <v>91</v>
      </c>
      <c r="AX52" s="195">
        <v>0.23878472222222222</v>
      </c>
      <c r="AY52" s="194" t="s">
        <v>91</v>
      </c>
      <c r="AZ52" s="195">
        <v>0.4090625</v>
      </c>
      <c r="BA52" s="194" t="s">
        <v>18</v>
      </c>
      <c r="BB52" s="195">
        <v>0.40944444444444444</v>
      </c>
      <c r="BC52" s="194" t="s">
        <v>90</v>
      </c>
      <c r="BD52" s="195">
        <v>0.1209837962962963</v>
      </c>
      <c r="BE52" s="194" t="s">
        <v>82</v>
      </c>
      <c r="BF52" s="195">
        <v>0.22690972222222222</v>
      </c>
      <c r="BG52" s="194" t="s">
        <v>82</v>
      </c>
      <c r="BH52" s="195">
        <v>0.10157407407407408</v>
      </c>
      <c r="BI52" s="194" t="s">
        <v>90</v>
      </c>
      <c r="BJ52" s="195">
        <v>0.12206018518518519</v>
      </c>
      <c r="BK52" s="194" t="s">
        <v>82</v>
      </c>
      <c r="BL52" s="195">
        <v>0.2912962962962963</v>
      </c>
      <c r="BM52" s="194" t="s">
        <v>82</v>
      </c>
      <c r="BN52" s="195">
        <v>0.13440972222222222</v>
      </c>
      <c r="BO52" s="194" t="s">
        <v>82</v>
      </c>
      <c r="BP52" s="195">
        <v>0.10607638888888889</v>
      </c>
      <c r="BQ52" s="194" t="s">
        <v>82</v>
      </c>
      <c r="BR52" s="195">
        <v>0.1511111111111111</v>
      </c>
      <c r="BS52" s="194" t="s">
        <v>82</v>
      </c>
      <c r="BT52" s="195">
        <v>0.1685185185185185</v>
      </c>
      <c r="BU52" s="194" t="s">
        <v>90</v>
      </c>
      <c r="BV52" s="195">
        <v>0.04375</v>
      </c>
      <c r="BW52" s="194" t="s">
        <v>82</v>
      </c>
      <c r="BX52" s="195">
        <v>0.16677083333333334</v>
      </c>
      <c r="BY52" s="194" t="s">
        <v>82</v>
      </c>
      <c r="BZ52" s="195">
        <v>0.12540509259259258</v>
      </c>
      <c r="CA52" s="194" t="s">
        <v>82</v>
      </c>
      <c r="CB52" s="195">
        <v>0.17403935185185185</v>
      </c>
      <c r="CC52" s="194" t="s">
        <v>82</v>
      </c>
      <c r="CD52" s="195">
        <v>0.23439814814814816</v>
      </c>
      <c r="CE52" s="194" t="s">
        <v>90</v>
      </c>
      <c r="CF52" s="195">
        <v>0.017604166666666667</v>
      </c>
      <c r="CG52" s="194" t="s">
        <v>82</v>
      </c>
      <c r="CH52" s="195">
        <v>0.1260763888888889</v>
      </c>
      <c r="CI52" s="194" t="s">
        <v>90</v>
      </c>
      <c r="CJ52" s="195">
        <v>0.06935185185185185</v>
      </c>
      <c r="CK52" s="194" t="s">
        <v>90</v>
      </c>
      <c r="CL52" s="195">
        <v>0.06608796296296296</v>
      </c>
      <c r="CM52" s="194" t="s">
        <v>82</v>
      </c>
      <c r="CN52" s="195">
        <v>0.07784722222222222</v>
      </c>
      <c r="CO52" s="194" t="s">
        <v>90</v>
      </c>
      <c r="CP52" s="195">
        <v>0.03832175925925926</v>
      </c>
      <c r="CQ52" s="194" t="s">
        <v>18</v>
      </c>
      <c r="CR52" s="195">
        <v>0.00849537037037037</v>
      </c>
      <c r="CS52" s="194" t="s">
        <v>18</v>
      </c>
      <c r="CT52" s="195">
        <v>0.02921296296296296</v>
      </c>
      <c r="CU52" s="194" t="s">
        <v>82</v>
      </c>
      <c r="CV52" s="195">
        <v>0.07125</v>
      </c>
      <c r="CW52" s="194" t="s">
        <v>424</v>
      </c>
      <c r="CX52" s="195">
        <v>0.03439814814814815</v>
      </c>
      <c r="CY52" s="194" t="s">
        <v>431</v>
      </c>
      <c r="CZ52" s="195">
        <v>0.2253587962962963</v>
      </c>
      <c r="DA52" s="194" t="s">
        <v>424</v>
      </c>
      <c r="DB52" s="195">
        <v>0.0265625</v>
      </c>
      <c r="DC52" s="194" t="s">
        <v>90</v>
      </c>
      <c r="DD52" s="195">
        <v>0.06163194444444445</v>
      </c>
      <c r="DE52" s="194" t="s">
        <v>82</v>
      </c>
      <c r="DF52" s="195">
        <v>0.029872685185185186</v>
      </c>
      <c r="DG52" s="194" t="s">
        <v>82</v>
      </c>
      <c r="DH52" s="195">
        <v>2.2880092592592582</v>
      </c>
      <c r="DI52" s="193"/>
      <c r="DJ52" s="193"/>
      <c r="DK52" s="193"/>
      <c r="DL52" s="193"/>
      <c r="DM52" s="193"/>
      <c r="DN52" s="193"/>
      <c r="DO52" s="193"/>
      <c r="DP52" s="193"/>
      <c r="DQ52" s="193"/>
      <c r="DR52" s="193"/>
      <c r="DS52" s="193"/>
      <c r="DT52" s="193"/>
      <c r="DU52" s="193"/>
      <c r="DV52" s="193"/>
      <c r="DW52" s="193"/>
      <c r="DX52" s="193"/>
      <c r="DY52" s="193"/>
      <c r="DZ52" s="193"/>
      <c r="EA52" s="193"/>
      <c r="EB52" s="193"/>
      <c r="EC52" s="193"/>
      <c r="ED52" s="193"/>
      <c r="EE52" s="193"/>
      <c r="EF52" s="193"/>
      <c r="EG52" s="194" t="s">
        <v>61</v>
      </c>
      <c r="EH52" s="195">
        <v>0.06696759259259259</v>
      </c>
      <c r="EI52" s="193"/>
      <c r="EJ52" s="193"/>
      <c r="EK52" s="193"/>
      <c r="EL52" s="193"/>
      <c r="EM52" s="193"/>
      <c r="EN52" s="193"/>
      <c r="EO52" s="194" t="s">
        <v>93</v>
      </c>
      <c r="EP52" s="195">
        <v>0.0011111111111111111</v>
      </c>
      <c r="EQ52" s="194" t="s">
        <v>61</v>
      </c>
      <c r="ER52" s="195">
        <v>0.09644675925925926</v>
      </c>
      <c r="ES52" s="193"/>
      <c r="ET52" s="193"/>
      <c r="EU52" s="193"/>
      <c r="EV52" s="193"/>
      <c r="EW52" s="193"/>
      <c r="EX52" s="193"/>
      <c r="EY52" s="193"/>
      <c r="EZ52" s="193"/>
      <c r="FA52" s="193"/>
      <c r="FB52" s="193"/>
      <c r="FC52" s="193"/>
      <c r="FD52" s="193"/>
      <c r="FE52" s="193"/>
      <c r="FF52" s="193"/>
      <c r="FG52" s="193"/>
      <c r="FH52" s="193"/>
      <c r="FI52" s="193"/>
      <c r="FJ52" s="193"/>
      <c r="FK52" s="193"/>
      <c r="FL52" s="193"/>
      <c r="FM52" s="194" t="s">
        <v>20</v>
      </c>
      <c r="FN52" s="195">
        <v>5.439814814814814E-4</v>
      </c>
      <c r="FO52" s="193"/>
      <c r="FP52" s="193"/>
      <c r="FQ52" s="193"/>
      <c r="FR52" s="193"/>
      <c r="FS52" s="198" t="s">
        <v>53</v>
      </c>
      <c r="FT52" s="199">
        <v>0.09237268518518518</v>
      </c>
      <c r="FU52" s="194" t="s">
        <v>426</v>
      </c>
      <c r="FV52" s="195">
        <v>0.025636574074074076</v>
      </c>
      <c r="FW52" s="193"/>
      <c r="FX52" s="193"/>
      <c r="FY52" s="193"/>
      <c r="FZ52" s="193"/>
      <c r="GA52" s="193"/>
      <c r="GB52" s="193"/>
      <c r="GC52" s="194" t="s">
        <v>36</v>
      </c>
      <c r="GD52" s="195">
        <v>0.48431712962962964</v>
      </c>
      <c r="GE52" s="194" t="s">
        <v>20</v>
      </c>
      <c r="GF52" s="195">
        <v>0.0358912037037037</v>
      </c>
      <c r="GG52" s="194" t="s">
        <v>8</v>
      </c>
      <c r="GH52" s="195">
        <v>0.2670023148148148</v>
      </c>
      <c r="GI52" s="185" t="s">
        <v>101</v>
      </c>
      <c r="GJ52" s="186">
        <v>0.1486111111111111</v>
      </c>
      <c r="GK52" s="185" t="s">
        <v>101</v>
      </c>
      <c r="GL52" s="186">
        <v>0.1400925925925926</v>
      </c>
      <c r="GM52" s="185" t="s">
        <v>102</v>
      </c>
      <c r="GN52" s="186">
        <v>0.13306712962962963</v>
      </c>
      <c r="GO52" s="187" t="s">
        <v>101</v>
      </c>
      <c r="GP52" s="188">
        <v>0.10375</v>
      </c>
      <c r="GQ52" s="187" t="s">
        <v>465</v>
      </c>
      <c r="GR52" s="188">
        <v>0.10438657407407408</v>
      </c>
      <c r="GS52" s="187" t="s">
        <v>103</v>
      </c>
      <c r="GT52" s="188">
        <v>0.09616898148148148</v>
      </c>
      <c r="GU52" s="187" t="s">
        <v>101</v>
      </c>
      <c r="GV52" s="188">
        <v>0.099375</v>
      </c>
      <c r="GW52" s="131"/>
      <c r="GX52" s="131"/>
      <c r="GY52" s="190" t="s">
        <v>105</v>
      </c>
      <c r="GZ52" s="191">
        <v>0.02815972222222222</v>
      </c>
      <c r="HA52" s="190" t="s">
        <v>99</v>
      </c>
      <c r="HB52" s="191">
        <v>0.017314814814814814</v>
      </c>
      <c r="HC52" s="190" t="s">
        <v>102</v>
      </c>
      <c r="HD52" s="191">
        <v>0.13943287037037036</v>
      </c>
      <c r="HE52" s="131"/>
      <c r="HF52" s="131"/>
      <c r="HG52" s="131"/>
      <c r="HH52" s="131"/>
      <c r="HI52" s="190" t="s">
        <v>105</v>
      </c>
      <c r="HJ52" s="191">
        <v>0.012013888888888888</v>
      </c>
      <c r="HK52" s="190" t="s">
        <v>105</v>
      </c>
      <c r="HL52" s="191">
        <v>0.012013888888888888</v>
      </c>
      <c r="HM52" s="190" t="s">
        <v>105</v>
      </c>
      <c r="HN52" s="191">
        <v>0.012013888888888888</v>
      </c>
      <c r="HO52" s="190" t="s">
        <v>105</v>
      </c>
      <c r="HP52" s="191">
        <v>0.012013888888888888</v>
      </c>
      <c r="HQ52" s="190" t="s">
        <v>432</v>
      </c>
      <c r="HR52" s="191">
        <v>0.002523148148148148</v>
      </c>
      <c r="HS52" s="190" t="s">
        <v>29</v>
      </c>
      <c r="HT52" s="191">
        <v>0.15993055555555555</v>
      </c>
      <c r="HU52" s="190" t="s">
        <v>29</v>
      </c>
      <c r="HV52" s="191">
        <v>0.15993055555555555</v>
      </c>
      <c r="HW52" s="190" t="s">
        <v>29</v>
      </c>
      <c r="HX52" s="191">
        <v>0.15993055555555555</v>
      </c>
      <c r="IE52" s="178"/>
      <c r="IF52" s="178"/>
      <c r="IG52" s="178"/>
      <c r="IH52" s="178"/>
      <c r="II52" s="178"/>
      <c r="IJ52" s="178"/>
      <c r="IK52" s="178"/>
      <c r="IL52" s="178"/>
      <c r="IM52" s="178"/>
      <c r="IN52" s="178"/>
      <c r="IO52" s="178"/>
      <c r="IP52" s="178"/>
      <c r="IQ52" s="178"/>
      <c r="IR52" s="178"/>
      <c r="IS52" s="178"/>
      <c r="IT52" s="178"/>
      <c r="IU52" s="178"/>
      <c r="IV52" s="178"/>
      <c r="IW52" s="178"/>
      <c r="IX52" s="178"/>
      <c r="IY52" s="178"/>
      <c r="IZ52" s="178"/>
      <c r="JA52" s="178"/>
      <c r="JB52" s="178"/>
      <c r="JC52" s="178"/>
      <c r="JD52" s="178"/>
    </row>
    <row r="53">
      <c r="A53" s="193"/>
      <c r="B53" s="193"/>
      <c r="C53" s="193"/>
      <c r="D53" s="193"/>
      <c r="E53" s="193"/>
      <c r="F53" s="193"/>
      <c r="G53" s="193"/>
      <c r="H53" s="193"/>
      <c r="I53" s="193"/>
      <c r="J53" s="193"/>
      <c r="K53" s="193"/>
      <c r="L53" s="193"/>
      <c r="M53" s="193"/>
      <c r="N53" s="193"/>
      <c r="O53" s="193"/>
      <c r="P53" s="193"/>
      <c r="Q53" s="193"/>
      <c r="R53" s="193"/>
      <c r="S53" s="193"/>
      <c r="T53" s="193"/>
      <c r="U53" s="193"/>
      <c r="V53" s="193"/>
      <c r="W53" s="194"/>
      <c r="X53" s="195"/>
      <c r="Y53" s="193"/>
      <c r="Z53" s="193"/>
      <c r="AA53" s="193"/>
      <c r="AB53" s="193"/>
      <c r="AC53" s="193"/>
      <c r="AD53" s="193"/>
      <c r="AE53" s="193"/>
      <c r="AF53" s="193"/>
      <c r="AG53" s="193"/>
      <c r="AH53" s="193"/>
      <c r="AI53" s="194" t="s">
        <v>64</v>
      </c>
      <c r="AJ53" s="195">
        <v>0.013587962962962963</v>
      </c>
      <c r="AK53" s="194" t="s">
        <v>83</v>
      </c>
      <c r="AL53" s="195">
        <v>0.3404976851851852</v>
      </c>
      <c r="AM53" s="194" t="s">
        <v>87</v>
      </c>
      <c r="AN53" s="195">
        <v>0.011990740740740741</v>
      </c>
      <c r="AO53" s="194" t="s">
        <v>63</v>
      </c>
      <c r="AP53" s="195">
        <v>0.011956018518518519</v>
      </c>
      <c r="AQ53" s="194" t="s">
        <v>63</v>
      </c>
      <c r="AR53" s="195">
        <v>0.012175925925925925</v>
      </c>
      <c r="AS53" s="194" t="s">
        <v>32</v>
      </c>
      <c r="AT53" s="195">
        <v>0.004722222222222222</v>
      </c>
      <c r="AU53" s="194" t="s">
        <v>424</v>
      </c>
      <c r="AV53" s="195">
        <v>0.480474537037037</v>
      </c>
      <c r="AW53" s="194" t="s">
        <v>431</v>
      </c>
      <c r="AX53" s="195">
        <v>1.9675925925925926E-4</v>
      </c>
      <c r="AY53" s="194" t="s">
        <v>424</v>
      </c>
      <c r="AZ53" s="195">
        <v>0.18681712962962962</v>
      </c>
      <c r="BA53" s="194" t="s">
        <v>91</v>
      </c>
      <c r="BB53" s="195">
        <v>0.2762962962962963</v>
      </c>
      <c r="BC53" s="194" t="s">
        <v>18</v>
      </c>
      <c r="BD53" s="195">
        <v>0.5388541666666666</v>
      </c>
      <c r="BE53" s="194" t="s">
        <v>90</v>
      </c>
      <c r="BF53" s="195">
        <v>0.09061342592592593</v>
      </c>
      <c r="BG53" s="194" t="s">
        <v>90</v>
      </c>
      <c r="BH53" s="195">
        <v>0.10023148148148148</v>
      </c>
      <c r="BI53" s="194" t="s">
        <v>18</v>
      </c>
      <c r="BJ53" s="195">
        <v>0.30113425925925924</v>
      </c>
      <c r="BK53" s="194" t="s">
        <v>90</v>
      </c>
      <c r="BL53" s="195">
        <v>0.10383101851851852</v>
      </c>
      <c r="BM53" s="194" t="s">
        <v>90</v>
      </c>
      <c r="BN53" s="195">
        <v>0.042777777777777776</v>
      </c>
      <c r="BO53" s="194" t="s">
        <v>90</v>
      </c>
      <c r="BP53" s="195">
        <v>0.06586805555555555</v>
      </c>
      <c r="BQ53" s="194" t="s">
        <v>90</v>
      </c>
      <c r="BR53" s="195">
        <v>0.039594907407407405</v>
      </c>
      <c r="BS53" s="194" t="s">
        <v>90</v>
      </c>
      <c r="BT53" s="195">
        <v>0.08570601851851851</v>
      </c>
      <c r="BU53" s="194" t="s">
        <v>18</v>
      </c>
      <c r="BV53" s="195">
        <v>0.04469907407407407</v>
      </c>
      <c r="BW53" s="194" t="s">
        <v>90</v>
      </c>
      <c r="BX53" s="195">
        <v>0.05054398148148148</v>
      </c>
      <c r="BY53" s="194" t="s">
        <v>90</v>
      </c>
      <c r="BZ53" s="195">
        <v>0.07512731481481481</v>
      </c>
      <c r="CA53" s="194" t="s">
        <v>90</v>
      </c>
      <c r="CB53" s="195">
        <v>0.030081018518518517</v>
      </c>
      <c r="CC53" s="194" t="s">
        <v>90</v>
      </c>
      <c r="CD53" s="195">
        <v>0.06</v>
      </c>
      <c r="CE53" s="194" t="s">
        <v>18</v>
      </c>
      <c r="CF53" s="195">
        <v>0.07082175925925926</v>
      </c>
      <c r="CG53" s="194" t="s">
        <v>90</v>
      </c>
      <c r="CH53" s="195">
        <v>0.03792824074074074</v>
      </c>
      <c r="CI53" s="194" t="s">
        <v>18</v>
      </c>
      <c r="CJ53" s="195">
        <v>0.026782407407407408</v>
      </c>
      <c r="CK53" s="194" t="s">
        <v>18</v>
      </c>
      <c r="CL53" s="195">
        <v>0.04363425925925926</v>
      </c>
      <c r="CM53" s="194" t="s">
        <v>90</v>
      </c>
      <c r="CN53" s="195">
        <v>0.08417824074074073</v>
      </c>
      <c r="CO53" s="194" t="s">
        <v>18</v>
      </c>
      <c r="CP53" s="195">
        <v>0.018726851851851852</v>
      </c>
      <c r="CQ53" s="194" t="s">
        <v>91</v>
      </c>
      <c r="CR53" s="195">
        <v>0.13712962962962963</v>
      </c>
      <c r="CS53" s="194" t="s">
        <v>91</v>
      </c>
      <c r="CT53" s="195">
        <v>0.16273148148148148</v>
      </c>
      <c r="CU53" s="194" t="s">
        <v>90</v>
      </c>
      <c r="CV53" s="195">
        <v>0.07855324074074074</v>
      </c>
      <c r="CW53" s="194" t="s">
        <v>432</v>
      </c>
      <c r="CX53" s="195">
        <v>0.20954861111111112</v>
      </c>
      <c r="CY53" s="194" t="s">
        <v>424</v>
      </c>
      <c r="CZ53" s="195">
        <v>0.0165625</v>
      </c>
      <c r="DA53" s="194" t="s">
        <v>432</v>
      </c>
      <c r="DB53" s="195">
        <v>0.1574537037037037</v>
      </c>
      <c r="DC53" s="194" t="s">
        <v>18</v>
      </c>
      <c r="DD53" s="195">
        <v>0.028217592592592593</v>
      </c>
      <c r="DE53" s="194" t="s">
        <v>90</v>
      </c>
      <c r="DF53" s="195">
        <v>0.03320601851851852</v>
      </c>
      <c r="DG53" s="194" t="s">
        <v>90</v>
      </c>
      <c r="DH53" s="195">
        <v>3.4535879629629633</v>
      </c>
      <c r="DI53" s="193"/>
      <c r="DJ53" s="193"/>
      <c r="DK53" s="193"/>
      <c r="DL53" s="193"/>
      <c r="DM53" s="193"/>
      <c r="DN53" s="193"/>
      <c r="DO53" s="193"/>
      <c r="DP53" s="193"/>
      <c r="DQ53" s="193"/>
      <c r="DR53" s="193"/>
      <c r="DS53" s="193"/>
      <c r="DT53" s="193"/>
      <c r="DU53" s="193"/>
      <c r="DV53" s="193"/>
      <c r="DW53" s="193"/>
      <c r="DX53" s="193"/>
      <c r="DY53" s="193"/>
      <c r="DZ53" s="193"/>
      <c r="EA53" s="193"/>
      <c r="EB53" s="193"/>
      <c r="EC53" s="193"/>
      <c r="ED53" s="193"/>
      <c r="EE53" s="193"/>
      <c r="EF53" s="193"/>
      <c r="EG53" s="198" t="s">
        <v>53</v>
      </c>
      <c r="EH53" s="199">
        <v>0.0022337962962962962</v>
      </c>
      <c r="EI53" s="193"/>
      <c r="EJ53" s="193"/>
      <c r="EK53" s="193"/>
      <c r="EL53" s="193"/>
      <c r="EM53" s="193"/>
      <c r="EN53" s="193"/>
      <c r="EO53" s="194" t="s">
        <v>30</v>
      </c>
      <c r="EP53" s="195">
        <v>0.12373842592592593</v>
      </c>
      <c r="EQ53" s="198" t="s">
        <v>53</v>
      </c>
      <c r="ER53" s="199">
        <v>0.019780092592592592</v>
      </c>
      <c r="ES53" s="193"/>
      <c r="ET53" s="193"/>
      <c r="EU53" s="193"/>
      <c r="EV53" s="193"/>
      <c r="EW53" s="193"/>
      <c r="EX53" s="193"/>
      <c r="EY53" s="193"/>
      <c r="EZ53" s="193"/>
      <c r="FA53" s="193"/>
      <c r="FB53" s="193"/>
      <c r="FC53" s="193"/>
      <c r="FD53" s="193"/>
      <c r="FE53" s="193"/>
      <c r="FF53" s="193"/>
      <c r="FG53" s="193"/>
      <c r="FH53" s="193"/>
      <c r="FI53" s="193"/>
      <c r="FJ53" s="193"/>
      <c r="FK53" s="193"/>
      <c r="FL53" s="193"/>
      <c r="FM53" s="194" t="s">
        <v>52</v>
      </c>
      <c r="FN53" s="195">
        <v>0.0034837962962962965</v>
      </c>
      <c r="FO53" s="193"/>
      <c r="FP53" s="193"/>
      <c r="FQ53" s="193"/>
      <c r="FR53" s="193"/>
      <c r="FS53" s="193"/>
      <c r="FT53" s="193"/>
      <c r="FU53" s="194" t="s">
        <v>93</v>
      </c>
      <c r="FV53" s="195">
        <v>0.010648148148148148</v>
      </c>
      <c r="FW53" s="193"/>
      <c r="FX53" s="193"/>
      <c r="FY53" s="193"/>
      <c r="FZ53" s="193"/>
      <c r="GA53" s="193"/>
      <c r="GB53" s="193"/>
      <c r="GC53" s="194" t="s">
        <v>52</v>
      </c>
      <c r="GD53" s="195">
        <v>0.003587962962962963</v>
      </c>
      <c r="GE53" s="194" t="s">
        <v>87</v>
      </c>
      <c r="GF53" s="195">
        <v>6.365740740740741E-4</v>
      </c>
      <c r="GG53" s="194" t="s">
        <v>65</v>
      </c>
      <c r="GH53" s="195">
        <v>0.25327546296296294</v>
      </c>
      <c r="GI53" s="185" t="s">
        <v>102</v>
      </c>
      <c r="GJ53" s="186">
        <v>0.168125</v>
      </c>
      <c r="GK53" s="185" t="s">
        <v>102</v>
      </c>
      <c r="GL53" s="186">
        <v>0.15079861111111112</v>
      </c>
      <c r="GM53" s="185" t="s">
        <v>29</v>
      </c>
      <c r="GN53" s="186">
        <v>0.15113425925925925</v>
      </c>
      <c r="GO53" s="187" t="s">
        <v>102</v>
      </c>
      <c r="GP53" s="188">
        <v>0.006284722222222222</v>
      </c>
      <c r="GQ53" s="187" t="s">
        <v>432</v>
      </c>
      <c r="GR53" s="188">
        <v>0.1424537037037037</v>
      </c>
      <c r="GS53" s="187" t="s">
        <v>465</v>
      </c>
      <c r="GT53" s="188">
        <v>0.03140046296296296</v>
      </c>
      <c r="GU53" s="187" t="s">
        <v>102</v>
      </c>
      <c r="GV53" s="188">
        <v>0.0038310185185185183</v>
      </c>
      <c r="GW53" s="131"/>
      <c r="GX53" s="131"/>
      <c r="GY53" s="131"/>
      <c r="GZ53" s="131"/>
      <c r="HA53" s="190" t="s">
        <v>61</v>
      </c>
      <c r="HB53" s="191">
        <v>0.0625</v>
      </c>
      <c r="HC53" s="190" t="s">
        <v>29</v>
      </c>
      <c r="HD53" s="191">
        <v>0.026099537037037036</v>
      </c>
      <c r="HE53" s="131"/>
      <c r="HF53" s="131"/>
      <c r="HG53" s="131"/>
      <c r="HH53" s="131"/>
      <c r="HI53" s="131"/>
      <c r="HJ53" s="131"/>
      <c r="HK53" s="131"/>
      <c r="HL53" s="131"/>
      <c r="HM53" s="131"/>
      <c r="HN53" s="131"/>
      <c r="HO53" s="131"/>
      <c r="HP53" s="131"/>
      <c r="HQ53" s="190" t="s">
        <v>105</v>
      </c>
      <c r="HR53" s="191">
        <v>0.03</v>
      </c>
      <c r="HS53" s="190" t="s">
        <v>465</v>
      </c>
      <c r="HT53" s="191">
        <v>0.12541666666666668</v>
      </c>
      <c r="HU53" s="190" t="s">
        <v>465</v>
      </c>
      <c r="HV53" s="191">
        <v>0.12541666666666668</v>
      </c>
      <c r="HW53" s="190" t="s">
        <v>465</v>
      </c>
      <c r="HX53" s="191">
        <v>0.12541666666666668</v>
      </c>
      <c r="IE53" s="178"/>
      <c r="IF53" s="178"/>
      <c r="IG53" s="178"/>
      <c r="IH53" s="178"/>
      <c r="II53" s="178"/>
      <c r="IJ53" s="178"/>
      <c r="IK53" s="178"/>
      <c r="IL53" s="178"/>
      <c r="IM53" s="178"/>
      <c r="IN53" s="178"/>
      <c r="IO53" s="178"/>
      <c r="IP53" s="178"/>
      <c r="IQ53" s="178"/>
      <c r="IR53" s="178"/>
      <c r="IS53" s="178"/>
      <c r="IT53" s="178"/>
      <c r="IU53" s="178"/>
      <c r="IV53" s="178"/>
      <c r="IW53" s="178"/>
      <c r="IX53" s="178"/>
      <c r="IY53" s="178"/>
      <c r="IZ53" s="178"/>
      <c r="JA53" s="178"/>
      <c r="JB53" s="178"/>
      <c r="JC53" s="178"/>
      <c r="JD53" s="178"/>
    </row>
    <row r="54">
      <c r="A54" s="193"/>
      <c r="B54" s="193"/>
      <c r="C54" s="193"/>
      <c r="D54" s="193"/>
      <c r="E54" s="193"/>
      <c r="F54" s="193"/>
      <c r="G54" s="193"/>
      <c r="H54" s="193"/>
      <c r="I54" s="193"/>
      <c r="J54" s="193"/>
      <c r="K54" s="193"/>
      <c r="L54" s="193"/>
      <c r="M54" s="193"/>
      <c r="N54" s="193"/>
      <c r="O54" s="193"/>
      <c r="P54" s="193"/>
      <c r="Q54" s="193"/>
      <c r="R54" s="193"/>
      <c r="S54" s="193"/>
      <c r="T54" s="193"/>
      <c r="U54" s="193"/>
      <c r="V54" s="193"/>
      <c r="W54" s="194"/>
      <c r="X54" s="195"/>
      <c r="Y54" s="193"/>
      <c r="Z54" s="193"/>
      <c r="AA54" s="193"/>
      <c r="AB54" s="193"/>
      <c r="AC54" s="193"/>
      <c r="AD54" s="193"/>
      <c r="AE54" s="193"/>
      <c r="AF54" s="193"/>
      <c r="AG54" s="193"/>
      <c r="AH54" s="193"/>
      <c r="AI54" s="194" t="s">
        <v>32</v>
      </c>
      <c r="AJ54" s="195">
        <v>0.0</v>
      </c>
      <c r="AK54" s="194" t="s">
        <v>63</v>
      </c>
      <c r="AL54" s="195">
        <v>0.052256944444444446</v>
      </c>
      <c r="AM54" s="194" t="s">
        <v>52</v>
      </c>
      <c r="AN54" s="195">
        <v>0.001851851851851852</v>
      </c>
      <c r="AO54" s="194" t="s">
        <v>64</v>
      </c>
      <c r="AP54" s="195">
        <v>0.2672453703703704</v>
      </c>
      <c r="AQ54" s="194" t="s">
        <v>64</v>
      </c>
      <c r="AR54" s="195">
        <v>0.20877314814814815</v>
      </c>
      <c r="AS54" s="194" t="s">
        <v>71</v>
      </c>
      <c r="AT54" s="195">
        <v>0.0</v>
      </c>
      <c r="AU54" s="194" t="s">
        <v>23</v>
      </c>
      <c r="AV54" s="195">
        <v>0.10109953703703704</v>
      </c>
      <c r="AW54" s="194" t="s">
        <v>424</v>
      </c>
      <c r="AX54" s="195">
        <v>0.26523148148148146</v>
      </c>
      <c r="AY54" s="194" t="s">
        <v>23</v>
      </c>
      <c r="AZ54" s="195">
        <v>0.07289351851851852</v>
      </c>
      <c r="BA54" s="194" t="s">
        <v>424</v>
      </c>
      <c r="BB54" s="195">
        <v>0.32765046296296296</v>
      </c>
      <c r="BC54" s="194" t="s">
        <v>91</v>
      </c>
      <c r="BD54" s="195">
        <v>0.05351851851851852</v>
      </c>
      <c r="BE54" s="194" t="s">
        <v>18</v>
      </c>
      <c r="BF54" s="195">
        <v>0.2927662037037037</v>
      </c>
      <c r="BG54" s="194" t="s">
        <v>18</v>
      </c>
      <c r="BH54" s="195">
        <v>0.34804398148148147</v>
      </c>
      <c r="BI54" s="194" t="s">
        <v>91</v>
      </c>
      <c r="BJ54" s="195">
        <v>0.02420138888888889</v>
      </c>
      <c r="BK54" s="194" t="s">
        <v>18</v>
      </c>
      <c r="BL54" s="195">
        <v>0.3500347222222222</v>
      </c>
      <c r="BM54" s="194" t="s">
        <v>18</v>
      </c>
      <c r="BN54" s="195">
        <v>0.3194560185185185</v>
      </c>
      <c r="BO54" s="194" t="s">
        <v>18</v>
      </c>
      <c r="BP54" s="195">
        <v>0.27899305555555554</v>
      </c>
      <c r="BQ54" s="194" t="s">
        <v>18</v>
      </c>
      <c r="BR54" s="195">
        <v>0.3138888888888889</v>
      </c>
      <c r="BS54" s="194" t="s">
        <v>18</v>
      </c>
      <c r="BT54" s="195">
        <v>0.05552083333333333</v>
      </c>
      <c r="BU54" s="194" t="s">
        <v>91</v>
      </c>
      <c r="BV54" s="195">
        <v>0.06745370370370371</v>
      </c>
      <c r="BW54" s="194" t="s">
        <v>18</v>
      </c>
      <c r="BX54" s="195">
        <v>0.11346064814814814</v>
      </c>
      <c r="BY54" s="194" t="s">
        <v>18</v>
      </c>
      <c r="BZ54" s="195">
        <v>0.12784722222222222</v>
      </c>
      <c r="CA54" s="194" t="s">
        <v>18</v>
      </c>
      <c r="CB54" s="195">
        <v>0.05949074074074074</v>
      </c>
      <c r="CC54" s="194" t="s">
        <v>18</v>
      </c>
      <c r="CD54" s="195">
        <v>0.08726851851851852</v>
      </c>
      <c r="CE54" s="194" t="s">
        <v>91</v>
      </c>
      <c r="CF54" s="195">
        <v>0.10162037037037037</v>
      </c>
      <c r="CG54" s="194" t="s">
        <v>18</v>
      </c>
      <c r="CH54" s="195">
        <v>0.0022569444444444442</v>
      </c>
      <c r="CI54" s="194" t="s">
        <v>91</v>
      </c>
      <c r="CJ54" s="195">
        <v>0.300775462962963</v>
      </c>
      <c r="CK54" s="194" t="s">
        <v>91</v>
      </c>
      <c r="CL54" s="195">
        <v>0.21898148148148147</v>
      </c>
      <c r="CM54" s="194" t="s">
        <v>18</v>
      </c>
      <c r="CN54" s="195">
        <v>0.028483796296296295</v>
      </c>
      <c r="CO54" s="194" t="s">
        <v>91</v>
      </c>
      <c r="CP54" s="195">
        <v>0.15078703703703702</v>
      </c>
      <c r="CQ54" s="194" t="s">
        <v>431</v>
      </c>
      <c r="CR54" s="195">
        <v>0.022534722222222223</v>
      </c>
      <c r="CS54" s="194" t="s">
        <v>431</v>
      </c>
      <c r="CT54" s="195">
        <v>0.12060185185185185</v>
      </c>
      <c r="CU54" s="194" t="s">
        <v>18</v>
      </c>
      <c r="CV54" s="195">
        <v>0.03027777777777778</v>
      </c>
      <c r="CW54" s="194" t="s">
        <v>23</v>
      </c>
      <c r="CX54" s="195">
        <v>0.02710648148148148</v>
      </c>
      <c r="CY54" s="194" t="s">
        <v>432</v>
      </c>
      <c r="CZ54" s="195">
        <v>0.18769675925925927</v>
      </c>
      <c r="DA54" s="194" t="s">
        <v>23</v>
      </c>
      <c r="DB54" s="195">
        <v>0.010972222222222222</v>
      </c>
      <c r="DC54" s="194" t="s">
        <v>91</v>
      </c>
      <c r="DD54" s="195">
        <v>0.35457175925925927</v>
      </c>
      <c r="DE54" s="194" t="s">
        <v>18</v>
      </c>
      <c r="DF54" s="195">
        <v>0.03186342592592593</v>
      </c>
      <c r="DG54" s="194" t="s">
        <v>18</v>
      </c>
      <c r="DH54" s="195">
        <v>0.6095833333333334</v>
      </c>
      <c r="DI54" s="193"/>
      <c r="DJ54" s="193"/>
      <c r="DK54" s="193"/>
      <c r="DL54" s="193"/>
      <c r="DM54" s="193"/>
      <c r="DN54" s="193"/>
      <c r="DO54" s="193"/>
      <c r="DP54" s="193"/>
      <c r="DQ54" s="193"/>
      <c r="DR54" s="193"/>
      <c r="DS54" s="193"/>
      <c r="DT54" s="193"/>
      <c r="DU54" s="193"/>
      <c r="DV54" s="193"/>
      <c r="DW54" s="193"/>
      <c r="DX54" s="193"/>
      <c r="DY54" s="193"/>
      <c r="DZ54" s="193"/>
      <c r="EA54" s="193"/>
      <c r="EB54" s="193"/>
      <c r="EC54" s="193"/>
      <c r="ED54" s="193"/>
      <c r="EE54" s="193"/>
      <c r="EF54" s="193"/>
      <c r="EG54" s="193"/>
      <c r="EH54" s="193"/>
      <c r="EI54" s="193"/>
      <c r="EJ54" s="193"/>
      <c r="EK54" s="193"/>
      <c r="EL54" s="193"/>
      <c r="EM54" s="193"/>
      <c r="EN54" s="193"/>
      <c r="EO54" s="194" t="s">
        <v>61</v>
      </c>
      <c r="EP54" s="195">
        <v>0.07219907407407407</v>
      </c>
      <c r="EQ54" s="193"/>
      <c r="ER54" s="193"/>
      <c r="ES54" s="193"/>
      <c r="ET54" s="193"/>
      <c r="EU54" s="193"/>
      <c r="EV54" s="193"/>
      <c r="EW54" s="193"/>
      <c r="EX54" s="193"/>
      <c r="EY54" s="193"/>
      <c r="EZ54" s="193"/>
      <c r="FA54" s="193"/>
      <c r="FB54" s="193"/>
      <c r="FC54" s="193"/>
      <c r="FD54" s="193"/>
      <c r="FE54" s="193"/>
      <c r="FF54" s="193"/>
      <c r="FG54" s="193"/>
      <c r="FH54" s="193"/>
      <c r="FI54" s="193"/>
      <c r="FJ54" s="193"/>
      <c r="FK54" s="193"/>
      <c r="FL54" s="193"/>
      <c r="FM54" s="194" t="s">
        <v>33</v>
      </c>
      <c r="FN54" s="195">
        <v>4.050925925925926E-4</v>
      </c>
      <c r="FO54" s="193"/>
      <c r="FP54" s="193"/>
      <c r="FQ54" s="193"/>
      <c r="FR54" s="193"/>
      <c r="FS54" s="193"/>
      <c r="FT54" s="193"/>
      <c r="FU54" s="194" t="s">
        <v>30</v>
      </c>
      <c r="FV54" s="195">
        <v>0.2841782407407407</v>
      </c>
      <c r="FW54" s="193"/>
      <c r="FX54" s="193"/>
      <c r="FY54" s="193"/>
      <c r="FZ54" s="193"/>
      <c r="GA54" s="193"/>
      <c r="GB54" s="193"/>
      <c r="GC54" s="194" t="s">
        <v>33</v>
      </c>
      <c r="GD54" s="195">
        <v>0.0016666666666666668</v>
      </c>
      <c r="GE54" s="194" t="s">
        <v>52</v>
      </c>
      <c r="GF54" s="195">
        <v>0.03809027777777778</v>
      </c>
      <c r="GG54" s="194" t="s">
        <v>36</v>
      </c>
      <c r="GH54" s="195">
        <v>0.6007638888888889</v>
      </c>
      <c r="GI54" s="185" t="s">
        <v>29</v>
      </c>
      <c r="GJ54" s="186">
        <v>0.28375</v>
      </c>
      <c r="GK54" s="185" t="s">
        <v>29</v>
      </c>
      <c r="GL54" s="186">
        <v>0.3504976851851852</v>
      </c>
      <c r="GM54" s="185" t="s">
        <v>103</v>
      </c>
      <c r="GN54" s="186">
        <v>0.04734953703703704</v>
      </c>
      <c r="GO54" s="187" t="s">
        <v>29</v>
      </c>
      <c r="GP54" s="188">
        <v>0.1358912037037037</v>
      </c>
      <c r="GQ54" s="187" t="s">
        <v>29</v>
      </c>
      <c r="GR54" s="188">
        <v>0.1358912037037037</v>
      </c>
      <c r="GS54" s="187" t="s">
        <v>432</v>
      </c>
      <c r="GT54" s="188">
        <v>0.12520833333333334</v>
      </c>
      <c r="GU54" s="187" t="s">
        <v>29</v>
      </c>
      <c r="GV54" s="188">
        <v>0.17878472222222222</v>
      </c>
      <c r="GW54" s="131"/>
      <c r="GX54" s="131"/>
      <c r="GY54" s="131"/>
      <c r="GZ54" s="131"/>
      <c r="HA54" s="190" t="s">
        <v>430</v>
      </c>
      <c r="HB54" s="191">
        <v>0.12909722222222222</v>
      </c>
      <c r="HC54" s="190" t="s">
        <v>103</v>
      </c>
      <c r="HD54" s="191">
        <v>0.10568287037037037</v>
      </c>
      <c r="HE54" s="131"/>
      <c r="HF54" s="131"/>
      <c r="HG54" s="131"/>
      <c r="HH54" s="131"/>
      <c r="HI54" s="131"/>
      <c r="HJ54" s="131"/>
      <c r="HK54" s="131"/>
      <c r="HL54" s="131"/>
      <c r="HM54" s="131"/>
      <c r="HN54" s="131"/>
      <c r="HO54" s="131"/>
      <c r="HP54" s="131"/>
      <c r="HQ54" s="131"/>
      <c r="HR54" s="131"/>
      <c r="HS54" s="131"/>
      <c r="HT54" s="131"/>
      <c r="HU54" s="131"/>
      <c r="HV54" s="131"/>
      <c r="HW54" s="131"/>
      <c r="HX54" s="131"/>
      <c r="IE54" s="178"/>
      <c r="IF54" s="178"/>
      <c r="IG54" s="178"/>
      <c r="IH54" s="178"/>
      <c r="II54" s="178"/>
      <c r="IJ54" s="178"/>
      <c r="IK54" s="178"/>
      <c r="IL54" s="178"/>
      <c r="IM54" s="178"/>
      <c r="IN54" s="178"/>
      <c r="IO54" s="178"/>
      <c r="IP54" s="178"/>
      <c r="IQ54" s="178"/>
      <c r="IR54" s="178"/>
      <c r="IS54" s="178"/>
      <c r="IT54" s="178"/>
      <c r="IU54" s="178"/>
      <c r="IV54" s="178"/>
      <c r="IW54" s="178"/>
      <c r="IX54" s="178"/>
      <c r="IY54" s="178"/>
      <c r="IZ54" s="178"/>
      <c r="JA54" s="178"/>
      <c r="JB54" s="178"/>
      <c r="JC54" s="178"/>
      <c r="JD54" s="178"/>
    </row>
    <row r="55">
      <c r="A55" s="193"/>
      <c r="B55" s="193"/>
      <c r="C55" s="193"/>
      <c r="D55" s="193"/>
      <c r="E55" s="193"/>
      <c r="F55" s="193"/>
      <c r="G55" s="193"/>
      <c r="H55" s="193"/>
      <c r="I55" s="193"/>
      <c r="J55" s="193"/>
      <c r="K55" s="193"/>
      <c r="L55" s="193"/>
      <c r="M55" s="193"/>
      <c r="N55" s="193"/>
      <c r="O55" s="193"/>
      <c r="P55" s="193"/>
      <c r="Q55" s="193"/>
      <c r="R55" s="193"/>
      <c r="S55" s="193"/>
      <c r="T55" s="193"/>
      <c r="U55" s="193"/>
      <c r="V55" s="193"/>
      <c r="W55" s="194"/>
      <c r="X55" s="195"/>
      <c r="Y55" s="193"/>
      <c r="Z55" s="193"/>
      <c r="AA55" s="193"/>
      <c r="AB55" s="193"/>
      <c r="AC55" s="193"/>
      <c r="AD55" s="193"/>
      <c r="AE55" s="193"/>
      <c r="AF55" s="193"/>
      <c r="AG55" s="193"/>
      <c r="AH55" s="193"/>
      <c r="AI55" s="194" t="s">
        <v>71</v>
      </c>
      <c r="AJ55" s="195">
        <v>0.007395833333333333</v>
      </c>
      <c r="AK55" s="194" t="s">
        <v>64</v>
      </c>
      <c r="AL55" s="195">
        <v>0.049756944444444444</v>
      </c>
      <c r="AM55" s="194" t="s">
        <v>93</v>
      </c>
      <c r="AN55" s="195">
        <v>0.003923611111111111</v>
      </c>
      <c r="AO55" s="194" t="s">
        <v>32</v>
      </c>
      <c r="AP55" s="195">
        <v>6.018518518518519E-4</v>
      </c>
      <c r="AQ55" s="194" t="s">
        <v>32</v>
      </c>
      <c r="AR55" s="195">
        <v>0.008402777777777778</v>
      </c>
      <c r="AS55" s="194" t="s">
        <v>8</v>
      </c>
      <c r="AT55" s="195">
        <v>0.0018402777777777777</v>
      </c>
      <c r="AU55" s="194" t="s">
        <v>41</v>
      </c>
      <c r="AV55" s="195">
        <v>0.40012731481481484</v>
      </c>
      <c r="AW55" s="194" t="s">
        <v>23</v>
      </c>
      <c r="AX55" s="195">
        <v>0.021944444444444444</v>
      </c>
      <c r="AY55" s="194" t="s">
        <v>41</v>
      </c>
      <c r="AZ55" s="195">
        <v>0.5001736111111111</v>
      </c>
      <c r="BA55" s="194" t="s">
        <v>432</v>
      </c>
      <c r="BB55" s="195">
        <v>0.013645833333333333</v>
      </c>
      <c r="BC55" s="194" t="s">
        <v>424</v>
      </c>
      <c r="BD55" s="195">
        <v>0.2896875</v>
      </c>
      <c r="BE55" s="194" t="s">
        <v>91</v>
      </c>
      <c r="BF55" s="195">
        <v>0.005717592592592593</v>
      </c>
      <c r="BG55" s="194" t="s">
        <v>91</v>
      </c>
      <c r="BH55" s="195">
        <v>0.0050347222222222225</v>
      </c>
      <c r="BI55" s="194" t="s">
        <v>424</v>
      </c>
      <c r="BJ55" s="195">
        <v>0.13194444444444445</v>
      </c>
      <c r="BK55" s="194" t="s">
        <v>91</v>
      </c>
      <c r="BL55" s="195">
        <v>0.024259259259259258</v>
      </c>
      <c r="BM55" s="194" t="s">
        <v>91</v>
      </c>
      <c r="BN55" s="195">
        <v>0.05616898148148148</v>
      </c>
      <c r="BO55" s="194" t="s">
        <v>91</v>
      </c>
      <c r="BP55" s="195">
        <v>0.011064814814814816</v>
      </c>
      <c r="BQ55" s="194" t="s">
        <v>91</v>
      </c>
      <c r="BR55" s="195">
        <v>0.047233796296296295</v>
      </c>
      <c r="BS55" s="194" t="s">
        <v>91</v>
      </c>
      <c r="BT55" s="195">
        <v>0.005</v>
      </c>
      <c r="BU55" s="194" t="s">
        <v>431</v>
      </c>
      <c r="BV55" s="195">
        <v>0.002337962962962963</v>
      </c>
      <c r="BW55" s="194" t="s">
        <v>91</v>
      </c>
      <c r="BX55" s="195">
        <v>0.045231481481481484</v>
      </c>
      <c r="BY55" s="194" t="s">
        <v>91</v>
      </c>
      <c r="BZ55" s="195">
        <v>0.16842592592592592</v>
      </c>
      <c r="CA55" s="194" t="s">
        <v>91</v>
      </c>
      <c r="CB55" s="195">
        <v>0.2287847222222222</v>
      </c>
      <c r="CC55" s="194" t="s">
        <v>91</v>
      </c>
      <c r="CD55" s="195">
        <v>0.2186574074074074</v>
      </c>
      <c r="CE55" s="194" t="s">
        <v>431</v>
      </c>
      <c r="CF55" s="195">
        <v>0.039837962962962964</v>
      </c>
      <c r="CG55" s="194" t="s">
        <v>91</v>
      </c>
      <c r="CH55" s="195">
        <v>0.1133912037037037</v>
      </c>
      <c r="CI55" s="194" t="s">
        <v>431</v>
      </c>
      <c r="CJ55" s="195">
        <v>0.022627314814814815</v>
      </c>
      <c r="CK55" s="194" t="s">
        <v>431</v>
      </c>
      <c r="CL55" s="195">
        <v>0.005555555555555556</v>
      </c>
      <c r="CM55" s="194" t="s">
        <v>91</v>
      </c>
      <c r="CN55" s="195">
        <v>0.17744212962962963</v>
      </c>
      <c r="CO55" s="194" t="s">
        <v>431</v>
      </c>
      <c r="CP55" s="195">
        <v>0.08113425925925925</v>
      </c>
      <c r="CQ55" s="194" t="s">
        <v>424</v>
      </c>
      <c r="CR55" s="195">
        <v>0.029155092592592594</v>
      </c>
      <c r="CS55" s="194" t="s">
        <v>424</v>
      </c>
      <c r="CT55" s="195">
        <v>0.04662037037037037</v>
      </c>
      <c r="CU55" s="194" t="s">
        <v>91</v>
      </c>
      <c r="CV55" s="195">
        <v>0.28734953703703703</v>
      </c>
      <c r="CW55" s="194" t="s">
        <v>41</v>
      </c>
      <c r="CX55" s="195">
        <v>0.006631944444444445</v>
      </c>
      <c r="CY55" s="194" t="s">
        <v>23</v>
      </c>
      <c r="CZ55" s="195">
        <v>0.031145833333333334</v>
      </c>
      <c r="DA55" s="194" t="s">
        <v>41</v>
      </c>
      <c r="DB55" s="195">
        <v>0.029108796296296296</v>
      </c>
      <c r="DC55" s="194" t="s">
        <v>431</v>
      </c>
      <c r="DD55" s="195">
        <v>0.17175925925925925</v>
      </c>
      <c r="DE55" s="194" t="s">
        <v>91</v>
      </c>
      <c r="DF55" s="195">
        <v>0.406875</v>
      </c>
      <c r="DG55" s="194" t="s">
        <v>91</v>
      </c>
      <c r="DH55" s="195">
        <v>2.974768518518518</v>
      </c>
      <c r="DI55" s="193"/>
      <c r="DJ55" s="193"/>
      <c r="DK55" s="193"/>
      <c r="DL55" s="193"/>
      <c r="DM55" s="193"/>
      <c r="DN55" s="193"/>
      <c r="DO55" s="193"/>
      <c r="DP55" s="193"/>
      <c r="DQ55" s="193"/>
      <c r="DR55" s="193"/>
      <c r="DS55" s="193"/>
      <c r="DT55" s="193"/>
      <c r="DU55" s="193"/>
      <c r="DV55" s="193"/>
      <c r="DW55" s="193"/>
      <c r="DX55" s="193"/>
      <c r="DY55" s="193"/>
      <c r="DZ55" s="193"/>
      <c r="EA55" s="193"/>
      <c r="EB55" s="193"/>
      <c r="EC55" s="193"/>
      <c r="ED55" s="193"/>
      <c r="EE55" s="193"/>
      <c r="EF55" s="193"/>
      <c r="EG55" s="193"/>
      <c r="EH55" s="193"/>
      <c r="EI55" s="193"/>
      <c r="EJ55" s="193"/>
      <c r="EK55" s="193"/>
      <c r="EL55" s="193"/>
      <c r="EM55" s="193"/>
      <c r="EN55" s="193"/>
      <c r="EO55" s="198" t="s">
        <v>53</v>
      </c>
      <c r="EP55" s="199">
        <v>0.06425925925925927</v>
      </c>
      <c r="EQ55" s="193"/>
      <c r="ER55" s="193"/>
      <c r="ES55" s="193"/>
      <c r="ET55" s="193"/>
      <c r="EU55" s="193"/>
      <c r="EV55" s="193"/>
      <c r="EW55" s="193"/>
      <c r="EX55" s="193"/>
      <c r="EY55" s="193"/>
      <c r="EZ55" s="193"/>
      <c r="FA55" s="193"/>
      <c r="FB55" s="193"/>
      <c r="FC55" s="193"/>
      <c r="FD55" s="193"/>
      <c r="FE55" s="193"/>
      <c r="FF55" s="193"/>
      <c r="FG55" s="193"/>
      <c r="FH55" s="193"/>
      <c r="FI55" s="193"/>
      <c r="FJ55" s="193"/>
      <c r="FK55" s="193"/>
      <c r="FL55" s="193"/>
      <c r="FM55" s="194" t="s">
        <v>426</v>
      </c>
      <c r="FN55" s="195">
        <v>0.0014467592592592592</v>
      </c>
      <c r="FO55" s="193"/>
      <c r="FP55" s="193"/>
      <c r="FQ55" s="193"/>
      <c r="FR55" s="193"/>
      <c r="FS55" s="193"/>
      <c r="FT55" s="193"/>
      <c r="FU55" s="194" t="s">
        <v>61</v>
      </c>
      <c r="FV55" s="195">
        <v>0.02982638888888889</v>
      </c>
      <c r="FW55" s="193"/>
      <c r="FX55" s="193"/>
      <c r="FY55" s="193"/>
      <c r="FZ55" s="193"/>
      <c r="GA55" s="193"/>
      <c r="GB55" s="193"/>
      <c r="GC55" s="194" t="s">
        <v>426</v>
      </c>
      <c r="GD55" s="195">
        <v>0.014224537037037037</v>
      </c>
      <c r="GE55" s="194" t="s">
        <v>33</v>
      </c>
      <c r="GF55" s="195">
        <v>0.0023263888888888887</v>
      </c>
      <c r="GG55" s="194" t="s">
        <v>20</v>
      </c>
      <c r="GH55" s="195">
        <v>0.11572916666666666</v>
      </c>
      <c r="GI55" s="185" t="s">
        <v>103</v>
      </c>
      <c r="GJ55" s="186">
        <v>0.07585648148148148</v>
      </c>
      <c r="GK55" s="185" t="s">
        <v>103</v>
      </c>
      <c r="GL55" s="186">
        <v>0.15938657407407408</v>
      </c>
      <c r="GM55" s="185" t="s">
        <v>465</v>
      </c>
      <c r="GN55" s="186">
        <v>0.002824074074074074</v>
      </c>
      <c r="GO55" s="187" t="s">
        <v>103</v>
      </c>
      <c r="GP55" s="188">
        <v>0.06975694444444444</v>
      </c>
      <c r="GQ55" s="187" t="s">
        <v>103</v>
      </c>
      <c r="GR55" s="188">
        <v>0.06975694444444444</v>
      </c>
      <c r="GS55" s="187" t="s">
        <v>103</v>
      </c>
      <c r="GT55" s="188">
        <v>0.06975694444444444</v>
      </c>
      <c r="GU55" s="187" t="s">
        <v>103</v>
      </c>
      <c r="GV55" s="188">
        <v>0.13813657407407406</v>
      </c>
      <c r="GW55" s="131"/>
      <c r="GX55" s="131"/>
      <c r="GY55" s="131"/>
      <c r="GZ55" s="131"/>
      <c r="HA55" s="190" t="s">
        <v>101</v>
      </c>
      <c r="HB55" s="191">
        <v>0.012708333333333334</v>
      </c>
      <c r="HC55" s="190" t="s">
        <v>465</v>
      </c>
      <c r="HD55" s="191">
        <v>0.09646990740740741</v>
      </c>
      <c r="HE55" s="131"/>
      <c r="HF55" s="131"/>
      <c r="HG55" s="131"/>
      <c r="HH55" s="131"/>
      <c r="HI55" s="131"/>
      <c r="HJ55" s="131"/>
      <c r="HK55" s="131"/>
      <c r="HL55" s="131"/>
      <c r="HM55" s="131"/>
      <c r="HN55" s="131"/>
      <c r="HO55" s="131"/>
      <c r="HP55" s="131"/>
      <c r="HQ55" s="131"/>
      <c r="HR55" s="131"/>
      <c r="HS55" s="131"/>
      <c r="HT55" s="131"/>
      <c r="HU55" s="131"/>
      <c r="HV55" s="131"/>
      <c r="HW55" s="131"/>
      <c r="HX55" s="131"/>
      <c r="IE55" s="178"/>
      <c r="IF55" s="178"/>
      <c r="IG55" s="178"/>
      <c r="IH55" s="178"/>
      <c r="II55" s="178"/>
      <c r="IJ55" s="178"/>
      <c r="IK55" s="178"/>
      <c r="IL55" s="178"/>
      <c r="IM55" s="178"/>
      <c r="IN55" s="178"/>
      <c r="IO55" s="178"/>
      <c r="IP55" s="178"/>
      <c r="IQ55" s="178"/>
      <c r="IR55" s="178"/>
      <c r="IS55" s="178"/>
      <c r="IT55" s="178"/>
      <c r="IU55" s="178"/>
      <c r="IV55" s="178"/>
      <c r="IW55" s="178"/>
      <c r="IX55" s="178"/>
      <c r="IY55" s="178"/>
      <c r="IZ55" s="178"/>
      <c r="JA55" s="178"/>
      <c r="JB55" s="178"/>
      <c r="JC55" s="178"/>
      <c r="JD55" s="178"/>
    </row>
    <row r="56">
      <c r="A56" s="193"/>
      <c r="B56" s="193"/>
      <c r="C56" s="193"/>
      <c r="D56" s="193"/>
      <c r="E56" s="193"/>
      <c r="F56" s="193"/>
      <c r="G56" s="193"/>
      <c r="H56" s="193"/>
      <c r="I56" s="193"/>
      <c r="J56" s="193"/>
      <c r="K56" s="193"/>
      <c r="L56" s="193"/>
      <c r="M56" s="193"/>
      <c r="N56" s="193"/>
      <c r="O56" s="193"/>
      <c r="P56" s="193"/>
      <c r="Q56" s="193"/>
      <c r="R56" s="193"/>
      <c r="S56" s="193"/>
      <c r="T56" s="193"/>
      <c r="U56" s="193"/>
      <c r="V56" s="193"/>
      <c r="W56" s="198"/>
      <c r="X56" s="199"/>
      <c r="Y56" s="193"/>
      <c r="Z56" s="193"/>
      <c r="AA56" s="193"/>
      <c r="AB56" s="193"/>
      <c r="AC56" s="193"/>
      <c r="AD56" s="193"/>
      <c r="AE56" s="193"/>
      <c r="AF56" s="193"/>
      <c r="AG56" s="193"/>
      <c r="AH56" s="193"/>
      <c r="AI56" s="194" t="s">
        <v>8</v>
      </c>
      <c r="AJ56" s="195">
        <v>0.002534722222222222</v>
      </c>
      <c r="AK56" s="194" t="s">
        <v>32</v>
      </c>
      <c r="AL56" s="195">
        <v>0.0071643518518518514</v>
      </c>
      <c r="AM56" s="198" t="s">
        <v>53</v>
      </c>
      <c r="AN56" s="199">
        <v>0.01224537037037037</v>
      </c>
      <c r="AO56" s="194" t="s">
        <v>71</v>
      </c>
      <c r="AP56" s="195">
        <v>0.00375</v>
      </c>
      <c r="AQ56" s="194" t="s">
        <v>8</v>
      </c>
      <c r="AR56" s="195">
        <v>0.007835648148148149</v>
      </c>
      <c r="AS56" s="194" t="s">
        <v>65</v>
      </c>
      <c r="AT56" s="195">
        <v>0.009641203703703704</v>
      </c>
      <c r="AU56" s="194" t="s">
        <v>105</v>
      </c>
      <c r="AV56" s="195">
        <v>0.005798611111111111</v>
      </c>
      <c r="AW56" s="194" t="s">
        <v>41</v>
      </c>
      <c r="AX56" s="195">
        <v>0.2808333333333333</v>
      </c>
      <c r="AY56" s="194" t="s">
        <v>105</v>
      </c>
      <c r="AZ56" s="195">
        <v>0.026157407407407407</v>
      </c>
      <c r="BA56" s="194" t="s">
        <v>23</v>
      </c>
      <c r="BB56" s="195">
        <v>0.09748842592592592</v>
      </c>
      <c r="BC56" s="194" t="s">
        <v>23</v>
      </c>
      <c r="BD56" s="195">
        <v>0.10658564814814815</v>
      </c>
      <c r="BE56" s="194" t="s">
        <v>431</v>
      </c>
      <c r="BF56" s="195">
        <v>3.2407407407407406E-4</v>
      </c>
      <c r="BG56" s="194" t="s">
        <v>424</v>
      </c>
      <c r="BH56" s="195">
        <v>0.2178125</v>
      </c>
      <c r="BI56" s="194" t="s">
        <v>432</v>
      </c>
      <c r="BJ56" s="195">
        <v>0.0</v>
      </c>
      <c r="BK56" s="194" t="s">
        <v>431</v>
      </c>
      <c r="BL56" s="195">
        <v>0.009479166666666667</v>
      </c>
      <c r="BM56" s="194" t="s">
        <v>431</v>
      </c>
      <c r="BN56" s="195">
        <v>0.031238425925925926</v>
      </c>
      <c r="BO56" s="194" t="s">
        <v>431</v>
      </c>
      <c r="BP56" s="195">
        <v>0.015335648148148149</v>
      </c>
      <c r="BQ56" s="194" t="s">
        <v>431</v>
      </c>
      <c r="BR56" s="195">
        <v>0.04195601851851852</v>
      </c>
      <c r="BS56" s="194" t="s">
        <v>431</v>
      </c>
      <c r="BT56" s="195">
        <v>0.013900462962962963</v>
      </c>
      <c r="BU56" s="194" t="s">
        <v>424</v>
      </c>
      <c r="BV56" s="195">
        <v>0.016180555555555556</v>
      </c>
      <c r="BW56" s="194" t="s">
        <v>431</v>
      </c>
      <c r="BX56" s="195">
        <v>0.018773148148148146</v>
      </c>
      <c r="BY56" s="194" t="s">
        <v>431</v>
      </c>
      <c r="BZ56" s="195">
        <v>0.014085648148148147</v>
      </c>
      <c r="CA56" s="194" t="s">
        <v>431</v>
      </c>
      <c r="CB56" s="195">
        <v>0.0029745370370370373</v>
      </c>
      <c r="CC56" s="194" t="s">
        <v>431</v>
      </c>
      <c r="CD56" s="195">
        <v>0.04266203703703704</v>
      </c>
      <c r="CE56" s="194" t="s">
        <v>424</v>
      </c>
      <c r="CF56" s="195">
        <v>0.023622685185185184</v>
      </c>
      <c r="CG56" s="194" t="s">
        <v>431</v>
      </c>
      <c r="CH56" s="195">
        <v>0.04365740740740741</v>
      </c>
      <c r="CI56" s="194" t="s">
        <v>424</v>
      </c>
      <c r="CJ56" s="195">
        <v>0.08563657407407407</v>
      </c>
      <c r="CK56" s="194" t="s">
        <v>424</v>
      </c>
      <c r="CL56" s="195">
        <v>0.05017361111111111</v>
      </c>
      <c r="CM56" s="194" t="s">
        <v>431</v>
      </c>
      <c r="CN56" s="195">
        <v>0.041354166666666664</v>
      </c>
      <c r="CO56" s="194" t="s">
        <v>424</v>
      </c>
      <c r="CP56" s="195">
        <v>0.02971064814814815</v>
      </c>
      <c r="CQ56" s="194" t="s">
        <v>432</v>
      </c>
      <c r="CR56" s="195">
        <v>0.16694444444444445</v>
      </c>
      <c r="CS56" s="194" t="s">
        <v>432</v>
      </c>
      <c r="CT56" s="195">
        <v>0.18640046296296298</v>
      </c>
      <c r="CU56" s="194" t="s">
        <v>431</v>
      </c>
      <c r="CV56" s="195">
        <v>0.11295138888888889</v>
      </c>
      <c r="CW56" s="194" t="s">
        <v>105</v>
      </c>
      <c r="CX56" s="195">
        <v>0.08570601851851851</v>
      </c>
      <c r="CY56" s="194" t="s">
        <v>41</v>
      </c>
      <c r="CZ56" s="195">
        <v>0.007638888888888889</v>
      </c>
      <c r="DA56" s="194" t="s">
        <v>105</v>
      </c>
      <c r="DB56" s="195">
        <v>0.09696759259259259</v>
      </c>
      <c r="DC56" s="194" t="s">
        <v>424</v>
      </c>
      <c r="DD56" s="195">
        <v>0.021215277777777777</v>
      </c>
      <c r="DE56" s="194" t="s">
        <v>431</v>
      </c>
      <c r="DF56" s="195">
        <v>0.22446759259259258</v>
      </c>
      <c r="DG56" s="194" t="s">
        <v>431</v>
      </c>
      <c r="DH56" s="195">
        <v>5.762418981481481</v>
      </c>
      <c r="DI56" s="193"/>
      <c r="DJ56" s="193"/>
      <c r="DK56" s="193"/>
      <c r="DL56" s="193"/>
      <c r="DM56" s="193"/>
      <c r="DN56" s="193"/>
      <c r="DO56" s="193"/>
      <c r="DP56" s="193"/>
      <c r="DQ56" s="193"/>
      <c r="DR56" s="193"/>
      <c r="DS56" s="193"/>
      <c r="DT56" s="193"/>
      <c r="DU56" s="193"/>
      <c r="DV56" s="193"/>
      <c r="DW56" s="193"/>
      <c r="DX56" s="193"/>
      <c r="DY56" s="193"/>
      <c r="DZ56" s="193"/>
      <c r="EA56" s="193"/>
      <c r="EB56" s="193"/>
      <c r="EC56" s="193"/>
      <c r="ED56" s="193"/>
      <c r="EE56" s="193"/>
      <c r="EF56" s="193"/>
      <c r="EG56" s="193"/>
      <c r="EH56" s="193"/>
      <c r="EI56" s="193"/>
      <c r="EJ56" s="193"/>
      <c r="EK56" s="193"/>
      <c r="EL56" s="193"/>
      <c r="EM56" s="193"/>
      <c r="EN56" s="193"/>
      <c r="EO56" s="193"/>
      <c r="EP56" s="193"/>
      <c r="EQ56" s="193"/>
      <c r="ER56" s="193"/>
      <c r="ES56" s="193"/>
      <c r="ET56" s="193"/>
      <c r="EU56" s="193"/>
      <c r="EV56" s="193"/>
      <c r="EW56" s="193"/>
      <c r="EX56" s="193"/>
      <c r="EY56" s="193"/>
      <c r="EZ56" s="193"/>
      <c r="FA56" s="193"/>
      <c r="FB56" s="193"/>
      <c r="FC56" s="193"/>
      <c r="FD56" s="193"/>
      <c r="FE56" s="193"/>
      <c r="FF56" s="193"/>
      <c r="FG56" s="193"/>
      <c r="FH56" s="193"/>
      <c r="FI56" s="193"/>
      <c r="FJ56" s="193"/>
      <c r="FK56" s="193"/>
      <c r="FL56" s="193"/>
      <c r="FM56" s="194" t="s">
        <v>93</v>
      </c>
      <c r="FN56" s="195">
        <v>1.8518518518518518E-4</v>
      </c>
      <c r="FO56" s="193"/>
      <c r="FP56" s="193"/>
      <c r="FQ56" s="193"/>
      <c r="FR56" s="193"/>
      <c r="FS56" s="193"/>
      <c r="FT56" s="193"/>
      <c r="FU56" s="198" t="s">
        <v>53</v>
      </c>
      <c r="FV56" s="199">
        <v>0.03491898148148148</v>
      </c>
      <c r="FW56" s="193"/>
      <c r="FX56" s="193"/>
      <c r="FY56" s="193"/>
      <c r="FZ56" s="193"/>
      <c r="GA56" s="193"/>
      <c r="GB56" s="193"/>
      <c r="GC56" s="194" t="s">
        <v>93</v>
      </c>
      <c r="GD56" s="195">
        <v>0.048796296296296296</v>
      </c>
      <c r="GE56" s="194" t="s">
        <v>426</v>
      </c>
      <c r="GF56" s="195">
        <v>0.19380787037037037</v>
      </c>
      <c r="GG56" s="194" t="s">
        <v>87</v>
      </c>
      <c r="GH56" s="195">
        <v>0.20238425925925926</v>
      </c>
      <c r="GI56" s="185" t="s">
        <v>465</v>
      </c>
      <c r="GJ56" s="186">
        <v>0.04755787037037037</v>
      </c>
      <c r="GK56" s="185" t="s">
        <v>465</v>
      </c>
      <c r="GL56" s="186">
        <v>0.04207175925925926</v>
      </c>
      <c r="GM56" s="185" t="s">
        <v>432</v>
      </c>
      <c r="GN56" s="186">
        <v>0.33913194444444444</v>
      </c>
      <c r="GO56" s="187" t="s">
        <v>465</v>
      </c>
      <c r="GP56" s="188">
        <v>0.27836805555555555</v>
      </c>
      <c r="GQ56" s="187" t="s">
        <v>465</v>
      </c>
      <c r="GR56" s="188">
        <v>0.27836805555555555</v>
      </c>
      <c r="GS56" s="187" t="s">
        <v>465</v>
      </c>
      <c r="GT56" s="188">
        <v>0.27836805555555555</v>
      </c>
      <c r="GU56" s="187" t="s">
        <v>465</v>
      </c>
      <c r="GV56" s="188">
        <v>0.02378472222222222</v>
      </c>
      <c r="GW56" s="131"/>
      <c r="GX56" s="131"/>
      <c r="GY56" s="131"/>
      <c r="GZ56" s="131"/>
      <c r="HA56" s="190" t="s">
        <v>102</v>
      </c>
      <c r="HB56" s="191">
        <v>0.45591435185185186</v>
      </c>
      <c r="HC56" s="190" t="s">
        <v>432</v>
      </c>
      <c r="HD56" s="191">
        <v>0.05664351851851852</v>
      </c>
      <c r="HE56" s="131"/>
      <c r="HF56" s="131"/>
      <c r="HG56" s="131"/>
      <c r="HH56" s="131"/>
      <c r="HI56" s="131"/>
      <c r="HJ56" s="131"/>
      <c r="HK56" s="131"/>
      <c r="HL56" s="131"/>
      <c r="HM56" s="131"/>
      <c r="HN56" s="131"/>
      <c r="HO56" s="131"/>
      <c r="HP56" s="131"/>
      <c r="HQ56" s="131"/>
      <c r="HR56" s="131"/>
      <c r="HS56" s="131"/>
      <c r="HT56" s="131"/>
      <c r="HU56" s="131"/>
      <c r="HV56" s="131"/>
      <c r="HW56" s="131"/>
      <c r="HX56" s="131"/>
      <c r="IE56" s="178"/>
      <c r="IF56" s="178"/>
      <c r="IG56" s="178"/>
      <c r="IH56" s="178"/>
      <c r="II56" s="178"/>
      <c r="IJ56" s="178"/>
      <c r="IK56" s="178"/>
      <c r="IL56" s="178"/>
      <c r="IM56" s="178"/>
      <c r="IN56" s="178"/>
      <c r="IO56" s="178"/>
      <c r="IP56" s="178"/>
      <c r="IQ56" s="178"/>
      <c r="IR56" s="178"/>
      <c r="IS56" s="178"/>
      <c r="IT56" s="178"/>
      <c r="IU56" s="178"/>
      <c r="IV56" s="178"/>
      <c r="IW56" s="178"/>
      <c r="IX56" s="178"/>
      <c r="IY56" s="178"/>
      <c r="IZ56" s="178"/>
      <c r="JA56" s="178"/>
      <c r="JB56" s="178"/>
      <c r="JC56" s="178"/>
      <c r="JD56" s="178"/>
    </row>
    <row r="57">
      <c r="A57" s="193"/>
      <c r="B57" s="193"/>
      <c r="C57" s="193"/>
      <c r="D57" s="193"/>
      <c r="E57" s="193"/>
      <c r="F57" s="193"/>
      <c r="G57" s="193"/>
      <c r="H57" s="193"/>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c r="AF57" s="193"/>
      <c r="AG57" s="193"/>
      <c r="AH57" s="193"/>
      <c r="AI57" s="194" t="s">
        <v>65</v>
      </c>
      <c r="AJ57" s="195">
        <v>0.007650462962962963</v>
      </c>
      <c r="AK57" s="194" t="s">
        <v>71</v>
      </c>
      <c r="AL57" s="195">
        <v>0.00951388888888889</v>
      </c>
      <c r="AM57" s="193"/>
      <c r="AN57" s="193"/>
      <c r="AO57" s="194" t="s">
        <v>8</v>
      </c>
      <c r="AP57" s="195">
        <v>0.0013657407407407407</v>
      </c>
      <c r="AQ57" s="194" t="s">
        <v>65</v>
      </c>
      <c r="AR57" s="195">
        <v>0.003981481481481482</v>
      </c>
      <c r="AS57" s="194" t="s">
        <v>86</v>
      </c>
      <c r="AT57" s="195">
        <v>0.5701273148148148</v>
      </c>
      <c r="AU57" s="194" t="s">
        <v>83</v>
      </c>
      <c r="AV57" s="195">
        <v>0.3153240740740741</v>
      </c>
      <c r="AW57" s="194" t="s">
        <v>105</v>
      </c>
      <c r="AX57" s="195">
        <v>0.015613425925925926</v>
      </c>
      <c r="AY57" s="194" t="s">
        <v>83</v>
      </c>
      <c r="AZ57" s="195">
        <v>0.3538310185185185</v>
      </c>
      <c r="BA57" s="194" t="s">
        <v>41</v>
      </c>
      <c r="BB57" s="195">
        <v>0.4239351851851852</v>
      </c>
      <c r="BC57" s="194" t="s">
        <v>41</v>
      </c>
      <c r="BD57" s="195">
        <v>0.4557291666666667</v>
      </c>
      <c r="BE57" s="194" t="s">
        <v>424</v>
      </c>
      <c r="BF57" s="195">
        <v>0.10824074074074073</v>
      </c>
      <c r="BG57" s="194" t="s">
        <v>23</v>
      </c>
      <c r="BH57" s="195">
        <v>0.22697916666666668</v>
      </c>
      <c r="BI57" s="194" t="s">
        <v>23</v>
      </c>
      <c r="BJ57" s="195">
        <v>0.17737268518518517</v>
      </c>
      <c r="BK57" s="194" t="s">
        <v>424</v>
      </c>
      <c r="BL57" s="195">
        <v>0.11285879629629629</v>
      </c>
      <c r="BM57" s="194" t="s">
        <v>424</v>
      </c>
      <c r="BN57" s="195">
        <v>0.03054398148148148</v>
      </c>
      <c r="BO57" s="194" t="s">
        <v>424</v>
      </c>
      <c r="BP57" s="195">
        <v>0.023171296296296297</v>
      </c>
      <c r="BQ57" s="194" t="s">
        <v>424</v>
      </c>
      <c r="BR57" s="195">
        <v>0.05726851851851852</v>
      </c>
      <c r="BS57" s="194" t="s">
        <v>424</v>
      </c>
      <c r="BT57" s="195">
        <v>0.08700231481481481</v>
      </c>
      <c r="BU57" s="194" t="s">
        <v>432</v>
      </c>
      <c r="BV57" s="195">
        <v>0.025439814814814814</v>
      </c>
      <c r="BW57" s="194" t="s">
        <v>424</v>
      </c>
      <c r="BX57" s="195">
        <v>0.058275462962962966</v>
      </c>
      <c r="BY57" s="194" t="s">
        <v>424</v>
      </c>
      <c r="BZ57" s="195">
        <v>0.1728125</v>
      </c>
      <c r="CA57" s="194" t="s">
        <v>424</v>
      </c>
      <c r="CB57" s="195">
        <v>0.1524537037037037</v>
      </c>
      <c r="CC57" s="194" t="s">
        <v>424</v>
      </c>
      <c r="CD57" s="195">
        <v>0.07148148148148148</v>
      </c>
      <c r="CE57" s="194" t="s">
        <v>432</v>
      </c>
      <c r="CF57" s="195">
        <v>0.03979166666666667</v>
      </c>
      <c r="CG57" s="194" t="s">
        <v>424</v>
      </c>
      <c r="CH57" s="195">
        <v>0.03892361111111111</v>
      </c>
      <c r="CI57" s="194" t="s">
        <v>432</v>
      </c>
      <c r="CJ57" s="195">
        <v>0.15100694444444446</v>
      </c>
      <c r="CK57" s="194" t="s">
        <v>432</v>
      </c>
      <c r="CL57" s="195">
        <v>0.6272569444444445</v>
      </c>
      <c r="CM57" s="194" t="s">
        <v>424</v>
      </c>
      <c r="CN57" s="195">
        <v>0.002962962962962963</v>
      </c>
      <c r="CO57" s="194" t="s">
        <v>432</v>
      </c>
      <c r="CP57" s="195">
        <v>0.16663194444444446</v>
      </c>
      <c r="CQ57" s="194" t="s">
        <v>23</v>
      </c>
      <c r="CR57" s="195">
        <v>0.02528935185185185</v>
      </c>
      <c r="CS57" s="194" t="s">
        <v>23</v>
      </c>
      <c r="CT57" s="195">
        <v>0.01875</v>
      </c>
      <c r="CU57" s="194" t="s">
        <v>424</v>
      </c>
      <c r="CV57" s="195">
        <v>0.07081018518518518</v>
      </c>
      <c r="CW57" s="194" t="s">
        <v>83</v>
      </c>
      <c r="CX57" s="195">
        <v>0.009212962962962963</v>
      </c>
      <c r="CY57" s="194" t="s">
        <v>105</v>
      </c>
      <c r="CZ57" s="195">
        <v>0.11460648148148148</v>
      </c>
      <c r="DA57" s="194" t="s">
        <v>83</v>
      </c>
      <c r="DB57" s="195">
        <v>0.03754629629629629</v>
      </c>
      <c r="DC57" s="194" t="s">
        <v>432</v>
      </c>
      <c r="DD57" s="195">
        <v>0.13082175925925926</v>
      </c>
      <c r="DE57" s="194" t="s">
        <v>424</v>
      </c>
      <c r="DF57" s="195">
        <v>0.07336805555555556</v>
      </c>
      <c r="DG57" s="194" t="s">
        <v>424</v>
      </c>
      <c r="DH57" s="195">
        <v>2.5844560185185173</v>
      </c>
      <c r="DI57" s="193"/>
      <c r="DJ57" s="193"/>
      <c r="DK57" s="193"/>
      <c r="DL57" s="193"/>
      <c r="DM57" s="193"/>
      <c r="DN57" s="193"/>
      <c r="DO57" s="193"/>
      <c r="DP57" s="193"/>
      <c r="DQ57" s="193"/>
      <c r="DR57" s="193"/>
      <c r="DS57" s="193"/>
      <c r="DT57" s="193"/>
      <c r="DU57" s="193"/>
      <c r="DV57" s="193"/>
      <c r="DW57" s="193"/>
      <c r="DX57" s="193"/>
      <c r="DY57" s="193"/>
      <c r="DZ57" s="193"/>
      <c r="EA57" s="193"/>
      <c r="EB57" s="193"/>
      <c r="EC57" s="193"/>
      <c r="ED57" s="193"/>
      <c r="EE57" s="193"/>
      <c r="EF57" s="193"/>
      <c r="EG57" s="193"/>
      <c r="EH57" s="193"/>
      <c r="EI57" s="193"/>
      <c r="EJ57" s="193"/>
      <c r="EK57" s="193"/>
      <c r="EL57" s="193"/>
      <c r="EM57" s="193"/>
      <c r="EN57" s="193"/>
      <c r="EO57" s="193"/>
      <c r="EP57" s="193"/>
      <c r="EQ57" s="193"/>
      <c r="ER57" s="193"/>
      <c r="ES57" s="193"/>
      <c r="ET57" s="193"/>
      <c r="EU57" s="193"/>
      <c r="EV57" s="193"/>
      <c r="EW57" s="193"/>
      <c r="EX57" s="193"/>
      <c r="EY57" s="193"/>
      <c r="EZ57" s="193"/>
      <c r="FA57" s="193"/>
      <c r="FB57" s="193"/>
      <c r="FC57" s="193"/>
      <c r="FD57" s="193"/>
      <c r="FE57" s="193"/>
      <c r="FF57" s="193"/>
      <c r="FG57" s="193"/>
      <c r="FH57" s="193"/>
      <c r="FI57" s="193"/>
      <c r="FJ57" s="193"/>
      <c r="FK57" s="193"/>
      <c r="FL57" s="193"/>
      <c r="FM57" s="194" t="s">
        <v>30</v>
      </c>
      <c r="FN57" s="195">
        <v>0.08190972222222222</v>
      </c>
      <c r="FO57" s="193"/>
      <c r="FP57" s="193"/>
      <c r="FQ57" s="193"/>
      <c r="FR57" s="193"/>
      <c r="FS57" s="193"/>
      <c r="FT57" s="193"/>
      <c r="FU57" s="193"/>
      <c r="FV57" s="193"/>
      <c r="FW57" s="193"/>
      <c r="FX57" s="193"/>
      <c r="FY57" s="193"/>
      <c r="FZ57" s="193"/>
      <c r="GA57" s="193"/>
      <c r="GB57" s="193"/>
      <c r="GC57" s="194" t="s">
        <v>61</v>
      </c>
      <c r="GD57" s="195">
        <v>0.13041666666666665</v>
      </c>
      <c r="GE57" s="194" t="s">
        <v>93</v>
      </c>
      <c r="GF57" s="195">
        <v>0.08987268518518518</v>
      </c>
      <c r="GG57" s="194" t="s">
        <v>52</v>
      </c>
      <c r="GH57" s="195">
        <v>0.029976851851851852</v>
      </c>
      <c r="GI57" s="185" t="s">
        <v>432</v>
      </c>
      <c r="GJ57" s="186">
        <v>0.18762731481481482</v>
      </c>
      <c r="GK57" s="185" t="s">
        <v>432</v>
      </c>
      <c r="GL57" s="186">
        <v>0.11032407407407407</v>
      </c>
      <c r="GM57" s="187"/>
      <c r="GN57" s="187"/>
      <c r="GO57" s="187" t="s">
        <v>432</v>
      </c>
      <c r="GP57" s="188">
        <v>0.12716435185185185</v>
      </c>
      <c r="GQ57" s="187" t="s">
        <v>432</v>
      </c>
      <c r="GR57" s="188">
        <v>0.12716435185185185</v>
      </c>
      <c r="GS57" s="187" t="s">
        <v>432</v>
      </c>
      <c r="GT57" s="188">
        <v>0.12716435185185185</v>
      </c>
      <c r="GU57" s="187" t="s">
        <v>432</v>
      </c>
      <c r="GV57" s="188">
        <v>0.15677083333333333</v>
      </c>
      <c r="GW57" s="131"/>
      <c r="GX57" s="131"/>
      <c r="GY57" s="131"/>
      <c r="GZ57" s="131"/>
      <c r="HA57" s="190" t="s">
        <v>29</v>
      </c>
      <c r="HB57" s="191">
        <v>0.058298611111111114</v>
      </c>
      <c r="HC57" s="190" t="s">
        <v>29</v>
      </c>
      <c r="HD57" s="191">
        <v>0.058298611111111114</v>
      </c>
      <c r="HE57" s="131"/>
      <c r="HF57" s="131"/>
      <c r="HG57" s="131"/>
      <c r="HH57" s="131"/>
      <c r="HI57" s="131"/>
      <c r="HJ57" s="131"/>
      <c r="HK57" s="131"/>
      <c r="HL57" s="131"/>
      <c r="HM57" s="131"/>
      <c r="HN57" s="131"/>
      <c r="HO57" s="131"/>
      <c r="HP57" s="131"/>
      <c r="HQ57" s="131"/>
      <c r="HR57" s="131"/>
      <c r="HS57" s="131"/>
      <c r="HT57" s="131"/>
      <c r="HU57" s="131"/>
      <c r="HV57" s="131"/>
      <c r="HW57" s="131"/>
      <c r="HX57" s="131"/>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row>
    <row r="58">
      <c r="A58" s="193"/>
      <c r="B58" s="193"/>
      <c r="C58" s="193"/>
      <c r="D58" s="193"/>
      <c r="E58" s="193"/>
      <c r="F58" s="193"/>
      <c r="G58" s="193"/>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3"/>
      <c r="AH58" s="193"/>
      <c r="AI58" s="194" t="s">
        <v>36</v>
      </c>
      <c r="AJ58" s="195">
        <v>0.047453703703703706</v>
      </c>
      <c r="AK58" s="194" t="s">
        <v>22</v>
      </c>
      <c r="AL58" s="195">
        <v>0.007881944444444445</v>
      </c>
      <c r="AM58" s="193"/>
      <c r="AN58" s="193"/>
      <c r="AO58" s="194" t="s">
        <v>36</v>
      </c>
      <c r="AP58" s="195">
        <v>0.025578703703703704</v>
      </c>
      <c r="AQ58" s="194" t="s">
        <v>36</v>
      </c>
      <c r="AR58" s="195">
        <v>0.00980324074074074</v>
      </c>
      <c r="AS58" s="194" t="s">
        <v>87</v>
      </c>
      <c r="AT58" s="195">
        <v>0.11453703703703703</v>
      </c>
      <c r="AU58" s="194" t="s">
        <v>63</v>
      </c>
      <c r="AV58" s="195">
        <v>0.2591087962962963</v>
      </c>
      <c r="AW58" s="194" t="s">
        <v>83</v>
      </c>
      <c r="AX58" s="195">
        <v>0.9584837962962963</v>
      </c>
      <c r="AY58" s="194" t="s">
        <v>63</v>
      </c>
      <c r="AZ58" s="195">
        <v>0.20085648148148147</v>
      </c>
      <c r="BA58" s="194" t="s">
        <v>105</v>
      </c>
      <c r="BB58" s="195">
        <v>0.07265046296296296</v>
      </c>
      <c r="BC58" s="194" t="s">
        <v>105</v>
      </c>
      <c r="BD58" s="195">
        <v>0.006666666666666667</v>
      </c>
      <c r="BE58" s="194" t="s">
        <v>432</v>
      </c>
      <c r="BF58" s="195">
        <v>0.0017592592592592592</v>
      </c>
      <c r="BG58" s="194" t="s">
        <v>41</v>
      </c>
      <c r="BH58" s="195">
        <v>0.3470949074074074</v>
      </c>
      <c r="BI58" s="194" t="s">
        <v>41</v>
      </c>
      <c r="BJ58" s="195">
        <v>0.28206018518518516</v>
      </c>
      <c r="BK58" s="194" t="s">
        <v>432</v>
      </c>
      <c r="BL58" s="195">
        <v>0.011041666666666667</v>
      </c>
      <c r="BM58" s="194" t="s">
        <v>432</v>
      </c>
      <c r="BN58" s="195">
        <v>0.011203703703703704</v>
      </c>
      <c r="BO58" s="194" t="s">
        <v>432</v>
      </c>
      <c r="BP58" s="195">
        <v>0.0015393518518518519</v>
      </c>
      <c r="BQ58" s="194" t="s">
        <v>432</v>
      </c>
      <c r="BR58" s="195">
        <v>0.05950231481481481</v>
      </c>
      <c r="BS58" s="194" t="s">
        <v>432</v>
      </c>
      <c r="BT58" s="195">
        <v>0.001261574074074074</v>
      </c>
      <c r="BU58" s="194" t="s">
        <v>23</v>
      </c>
      <c r="BV58" s="195">
        <v>0.10400462962962963</v>
      </c>
      <c r="BW58" s="194" t="s">
        <v>432</v>
      </c>
      <c r="BX58" s="195">
        <v>0.03806712962962963</v>
      </c>
      <c r="BY58" s="194" t="s">
        <v>432</v>
      </c>
      <c r="BZ58" s="195">
        <v>0.03326388888888889</v>
      </c>
      <c r="CA58" s="194" t="s">
        <v>432</v>
      </c>
      <c r="CB58" s="195">
        <v>0.00900462962962963</v>
      </c>
      <c r="CC58" s="194" t="s">
        <v>432</v>
      </c>
      <c r="CD58" s="195">
        <v>0.002916666666666667</v>
      </c>
      <c r="CE58" s="194" t="s">
        <v>23</v>
      </c>
      <c r="CF58" s="195">
        <v>0.07141203703703704</v>
      </c>
      <c r="CG58" s="194" t="s">
        <v>432</v>
      </c>
      <c r="CH58" s="195">
        <v>0.09556712962962963</v>
      </c>
      <c r="CI58" s="194" t="s">
        <v>23</v>
      </c>
      <c r="CJ58" s="195">
        <v>0.05768518518518519</v>
      </c>
      <c r="CK58" s="194" t="s">
        <v>23</v>
      </c>
      <c r="CL58" s="195">
        <v>0.050868055555555555</v>
      </c>
      <c r="CM58" s="194" t="s">
        <v>432</v>
      </c>
      <c r="CN58" s="195">
        <v>0.19652777777777777</v>
      </c>
      <c r="CO58" s="194" t="s">
        <v>23</v>
      </c>
      <c r="CP58" s="195">
        <v>0.010393518518518519</v>
      </c>
      <c r="CQ58" s="194" t="s">
        <v>41</v>
      </c>
      <c r="CR58" s="195">
        <v>0.004108796296296296</v>
      </c>
      <c r="CS58" s="194" t="s">
        <v>41</v>
      </c>
      <c r="CT58" s="195">
        <v>0.012847222222222222</v>
      </c>
      <c r="CU58" s="194" t="s">
        <v>432</v>
      </c>
      <c r="CV58" s="195">
        <v>0.11278935185185185</v>
      </c>
      <c r="CW58" s="194" t="s">
        <v>63</v>
      </c>
      <c r="CX58" s="195">
        <v>0.017453703703703704</v>
      </c>
      <c r="CY58" s="194" t="s">
        <v>83</v>
      </c>
      <c r="CZ58" s="195">
        <v>0.046747685185185184</v>
      </c>
      <c r="DA58" s="194" t="s">
        <v>63</v>
      </c>
      <c r="DB58" s="195">
        <v>0.037384259259259256</v>
      </c>
      <c r="DC58" s="194" t="s">
        <v>23</v>
      </c>
      <c r="DD58" s="195">
        <v>0.010671296296296297</v>
      </c>
      <c r="DE58" s="194" t="s">
        <v>432</v>
      </c>
      <c r="DF58" s="195">
        <v>0.04612268518518518</v>
      </c>
      <c r="DG58" s="194" t="s">
        <v>432</v>
      </c>
      <c r="DH58" s="195">
        <v>4.117627314814814</v>
      </c>
      <c r="DI58" s="193"/>
      <c r="DJ58" s="193"/>
      <c r="DK58" s="193"/>
      <c r="DL58" s="193"/>
      <c r="DM58" s="193"/>
      <c r="DN58" s="193"/>
      <c r="DO58" s="193"/>
      <c r="DP58" s="193"/>
      <c r="DQ58" s="193"/>
      <c r="DR58" s="193"/>
      <c r="DS58" s="193"/>
      <c r="DT58" s="193"/>
      <c r="DU58" s="193"/>
      <c r="DV58" s="193"/>
      <c r="DW58" s="193"/>
      <c r="DX58" s="193"/>
      <c r="DY58" s="193"/>
      <c r="DZ58" s="193"/>
      <c r="EA58" s="193"/>
      <c r="EB58" s="193"/>
      <c r="EC58" s="193"/>
      <c r="ED58" s="193"/>
      <c r="EE58" s="193"/>
      <c r="EF58" s="193"/>
      <c r="EG58" s="193"/>
      <c r="EH58" s="193"/>
      <c r="EI58" s="193"/>
      <c r="EJ58" s="193"/>
      <c r="EK58" s="193"/>
      <c r="EL58" s="193"/>
      <c r="EM58" s="193"/>
      <c r="EN58" s="193"/>
      <c r="EO58" s="193"/>
      <c r="EP58" s="193"/>
      <c r="EQ58" s="193"/>
      <c r="ER58" s="193"/>
      <c r="ES58" s="193"/>
      <c r="ET58" s="193"/>
      <c r="EU58" s="193"/>
      <c r="EV58" s="193"/>
      <c r="EW58" s="193"/>
      <c r="EX58" s="193"/>
      <c r="EY58" s="193"/>
      <c r="EZ58" s="193"/>
      <c r="FA58" s="193"/>
      <c r="FB58" s="193"/>
      <c r="FC58" s="193"/>
      <c r="FD58" s="193"/>
      <c r="FE58" s="193"/>
      <c r="FF58" s="193"/>
      <c r="FG58" s="193"/>
      <c r="FH58" s="193"/>
      <c r="FI58" s="193"/>
      <c r="FJ58" s="193"/>
      <c r="FK58" s="193"/>
      <c r="FL58" s="193"/>
      <c r="FM58" s="194" t="s">
        <v>61</v>
      </c>
      <c r="FN58" s="195">
        <v>0.0848263888888889</v>
      </c>
      <c r="FO58" s="193"/>
      <c r="FP58" s="193"/>
      <c r="FQ58" s="193"/>
      <c r="FR58" s="193"/>
      <c r="FS58" s="193"/>
      <c r="FT58" s="193"/>
      <c r="FU58" s="193"/>
      <c r="FV58" s="193"/>
      <c r="FW58" s="193"/>
      <c r="FX58" s="193"/>
      <c r="FY58" s="193"/>
      <c r="FZ58" s="193"/>
      <c r="GA58" s="193"/>
      <c r="GB58" s="193"/>
      <c r="GC58" s="198" t="s">
        <v>53</v>
      </c>
      <c r="GD58" s="199">
        <v>0.10364583333333334</v>
      </c>
      <c r="GE58" s="194" t="s">
        <v>61</v>
      </c>
      <c r="GF58" s="195">
        <v>0.13952546296296298</v>
      </c>
      <c r="GG58" s="194" t="s">
        <v>426</v>
      </c>
      <c r="GH58" s="195">
        <v>0.23811342592592594</v>
      </c>
      <c r="GI58" s="185" t="s">
        <v>105</v>
      </c>
      <c r="GJ58" s="186">
        <v>0.020717592592592593</v>
      </c>
      <c r="GK58" s="203"/>
      <c r="GL58" s="203"/>
      <c r="GM58" s="203"/>
      <c r="GN58" s="203"/>
      <c r="GO58" s="203"/>
      <c r="GP58" s="203"/>
      <c r="GQ58" s="203"/>
      <c r="GR58" s="203"/>
      <c r="GS58" s="203"/>
      <c r="GT58" s="203"/>
      <c r="GU58" s="203"/>
      <c r="GV58" s="203"/>
      <c r="GW58" s="131"/>
      <c r="GX58" s="131"/>
      <c r="GY58" s="131"/>
      <c r="GZ58" s="131"/>
      <c r="HA58" s="190" t="s">
        <v>103</v>
      </c>
      <c r="HB58" s="191">
        <v>0.05672453703703704</v>
      </c>
      <c r="HC58" s="190" t="s">
        <v>103</v>
      </c>
      <c r="HD58" s="191">
        <v>0.05672453703703704</v>
      </c>
      <c r="HE58" s="131"/>
      <c r="HF58" s="131"/>
      <c r="HG58" s="131"/>
      <c r="HH58" s="131"/>
      <c r="HI58" s="131"/>
      <c r="HJ58" s="131"/>
      <c r="HK58" s="131"/>
      <c r="HL58" s="131"/>
      <c r="HM58" s="131"/>
      <c r="HN58" s="131"/>
      <c r="HO58" s="131"/>
      <c r="HP58" s="131"/>
      <c r="HQ58" s="131"/>
      <c r="HR58" s="131"/>
      <c r="HS58" s="131"/>
      <c r="HT58" s="131"/>
      <c r="HU58" s="131"/>
      <c r="HV58" s="131"/>
      <c r="HW58" s="131"/>
      <c r="HX58" s="131"/>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row>
    <row r="59">
      <c r="A59" s="193"/>
      <c r="B59" s="193"/>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3"/>
      <c r="AH59" s="193"/>
      <c r="AI59" s="194" t="s">
        <v>86</v>
      </c>
      <c r="AJ59" s="195">
        <v>0.07563657407407408</v>
      </c>
      <c r="AK59" s="194" t="s">
        <v>8</v>
      </c>
      <c r="AL59" s="195">
        <v>0.01915509259259259</v>
      </c>
      <c r="AM59" s="193"/>
      <c r="AN59" s="193"/>
      <c r="AO59" s="194" t="s">
        <v>86</v>
      </c>
      <c r="AP59" s="195">
        <v>0.19413194444444445</v>
      </c>
      <c r="AQ59" s="194" t="s">
        <v>86</v>
      </c>
      <c r="AR59" s="195">
        <v>0.3528472222222222</v>
      </c>
      <c r="AS59" s="194" t="s">
        <v>52</v>
      </c>
      <c r="AT59" s="195">
        <v>0.1583101851851852</v>
      </c>
      <c r="AU59" s="194" t="s">
        <v>64</v>
      </c>
      <c r="AV59" s="195">
        <v>0.23180555555555554</v>
      </c>
      <c r="AW59" s="194" t="s">
        <v>63</v>
      </c>
      <c r="AX59" s="195">
        <v>0.16060185185185186</v>
      </c>
      <c r="AY59" s="194" t="s">
        <v>64</v>
      </c>
      <c r="AZ59" s="195">
        <v>0.33524305555555556</v>
      </c>
      <c r="BA59" s="194" t="s">
        <v>83</v>
      </c>
      <c r="BB59" s="195">
        <v>0.5564930555555555</v>
      </c>
      <c r="BC59" s="194" t="s">
        <v>83</v>
      </c>
      <c r="BD59" s="195">
        <v>0.6748263888888889</v>
      </c>
      <c r="BE59" s="194" t="s">
        <v>23</v>
      </c>
      <c r="BF59" s="195">
        <v>0.11494212962962963</v>
      </c>
      <c r="BG59" s="194" t="s">
        <v>105</v>
      </c>
      <c r="BH59" s="195">
        <v>0.041608796296296297</v>
      </c>
      <c r="BI59" s="194" t="s">
        <v>105</v>
      </c>
      <c r="BJ59" s="195">
        <v>0.05021990740740741</v>
      </c>
      <c r="BK59" s="194" t="s">
        <v>23</v>
      </c>
      <c r="BL59" s="195">
        <v>0.13820601851851852</v>
      </c>
      <c r="BM59" s="194" t="s">
        <v>23</v>
      </c>
      <c r="BN59" s="195">
        <v>0.19672453703703704</v>
      </c>
      <c r="BO59" s="194" t="s">
        <v>23</v>
      </c>
      <c r="BP59" s="195">
        <v>0.18650462962962963</v>
      </c>
      <c r="BQ59" s="194" t="s">
        <v>23</v>
      </c>
      <c r="BR59" s="195">
        <v>0.130625</v>
      </c>
      <c r="BS59" s="194" t="s">
        <v>23</v>
      </c>
      <c r="BT59" s="195">
        <v>0.09180555555555556</v>
      </c>
      <c r="BU59" s="194" t="s">
        <v>41</v>
      </c>
      <c r="BV59" s="195">
        <v>0.1557523148148148</v>
      </c>
      <c r="BW59" s="194" t="s">
        <v>23</v>
      </c>
      <c r="BX59" s="195">
        <v>0.12627314814814813</v>
      </c>
      <c r="BY59" s="194" t="s">
        <v>23</v>
      </c>
      <c r="BZ59" s="195">
        <v>0.13392361111111112</v>
      </c>
      <c r="CA59" s="194" t="s">
        <v>23</v>
      </c>
      <c r="CB59" s="195">
        <v>0.10034722222222223</v>
      </c>
      <c r="CC59" s="194" t="s">
        <v>23</v>
      </c>
      <c r="CD59" s="195">
        <v>0.1059375</v>
      </c>
      <c r="CE59" s="194" t="s">
        <v>41</v>
      </c>
      <c r="CF59" s="195">
        <v>0.16774305555555555</v>
      </c>
      <c r="CG59" s="194" t="s">
        <v>23</v>
      </c>
      <c r="CH59" s="195">
        <v>0.03280092592592593</v>
      </c>
      <c r="CI59" s="194" t="s">
        <v>41</v>
      </c>
      <c r="CJ59" s="195">
        <v>0.03019675925925926</v>
      </c>
      <c r="CK59" s="194" t="s">
        <v>41</v>
      </c>
      <c r="CL59" s="195">
        <v>0.02834490740740741</v>
      </c>
      <c r="CM59" s="194" t="s">
        <v>23</v>
      </c>
      <c r="CN59" s="195">
        <v>0.0553125</v>
      </c>
      <c r="CO59" s="194" t="s">
        <v>41</v>
      </c>
      <c r="CP59" s="195">
        <v>0.018344907407407407</v>
      </c>
      <c r="CQ59" s="194" t="s">
        <v>105</v>
      </c>
      <c r="CR59" s="195">
        <v>0.26763888888888887</v>
      </c>
      <c r="CS59" s="194" t="s">
        <v>105</v>
      </c>
      <c r="CT59" s="195">
        <v>0.07680555555555556</v>
      </c>
      <c r="CU59" s="194" t="s">
        <v>23</v>
      </c>
      <c r="CV59" s="195">
        <v>0.0434375</v>
      </c>
      <c r="CW59" s="194" t="s">
        <v>64</v>
      </c>
      <c r="CX59" s="195">
        <v>0.0035069444444444445</v>
      </c>
      <c r="CY59" s="194" t="s">
        <v>63</v>
      </c>
      <c r="CZ59" s="195">
        <v>0.02309027777777778</v>
      </c>
      <c r="DA59" s="194" t="s">
        <v>64</v>
      </c>
      <c r="DB59" s="195">
        <v>0.019085648148148147</v>
      </c>
      <c r="DC59" s="194" t="s">
        <v>41</v>
      </c>
      <c r="DD59" s="195">
        <v>0.019699074074074074</v>
      </c>
      <c r="DE59" s="194" t="s">
        <v>23</v>
      </c>
      <c r="DF59" s="195">
        <v>0.10059027777777778</v>
      </c>
      <c r="DG59" s="194" t="s">
        <v>23</v>
      </c>
      <c r="DH59" s="195">
        <v>3.2472685185185184</v>
      </c>
      <c r="DI59" s="193"/>
      <c r="DJ59" s="193"/>
      <c r="DK59" s="193"/>
      <c r="DL59" s="193"/>
      <c r="DM59" s="193"/>
      <c r="DN59" s="193"/>
      <c r="DO59" s="193"/>
      <c r="DP59" s="193"/>
      <c r="DQ59" s="193"/>
      <c r="DR59" s="193"/>
      <c r="DS59" s="193"/>
      <c r="DT59" s="193"/>
      <c r="DU59" s="193"/>
      <c r="DV59" s="193"/>
      <c r="DW59" s="193"/>
      <c r="DX59" s="193"/>
      <c r="DY59" s="193"/>
      <c r="DZ59" s="193"/>
      <c r="EA59" s="193"/>
      <c r="EB59" s="193"/>
      <c r="EC59" s="193"/>
      <c r="ED59" s="193"/>
      <c r="EE59" s="193"/>
      <c r="EF59" s="193"/>
      <c r="EG59" s="193"/>
      <c r="EH59" s="193"/>
      <c r="EI59" s="193"/>
      <c r="EJ59" s="193"/>
      <c r="EK59" s="193"/>
      <c r="EL59" s="193"/>
      <c r="EM59" s="193"/>
      <c r="EN59" s="193"/>
      <c r="EO59" s="193"/>
      <c r="EP59" s="193"/>
      <c r="EQ59" s="193"/>
      <c r="ER59" s="193"/>
      <c r="ES59" s="193"/>
      <c r="ET59" s="193"/>
      <c r="EU59" s="193"/>
      <c r="EV59" s="193"/>
      <c r="EW59" s="193"/>
      <c r="EX59" s="193"/>
      <c r="EY59" s="193"/>
      <c r="EZ59" s="193"/>
      <c r="FA59" s="193"/>
      <c r="FB59" s="193"/>
      <c r="FC59" s="193"/>
      <c r="FD59" s="193"/>
      <c r="FE59" s="193"/>
      <c r="FF59" s="193"/>
      <c r="FG59" s="193"/>
      <c r="FH59" s="193"/>
      <c r="FI59" s="193"/>
      <c r="FJ59" s="193"/>
      <c r="FK59" s="193"/>
      <c r="FL59" s="193"/>
      <c r="FM59" s="198" t="s">
        <v>53</v>
      </c>
      <c r="FN59" s="199">
        <v>0.027314814814814816</v>
      </c>
      <c r="FO59" s="193"/>
      <c r="FP59" s="193"/>
      <c r="FQ59" s="193"/>
      <c r="FR59" s="193"/>
      <c r="FS59" s="193"/>
      <c r="FT59" s="193"/>
      <c r="FU59" s="193"/>
      <c r="FV59" s="193"/>
      <c r="FW59" s="193"/>
      <c r="FX59" s="193"/>
      <c r="FY59" s="193"/>
      <c r="FZ59" s="193"/>
      <c r="GA59" s="193"/>
      <c r="GB59" s="193"/>
      <c r="GC59" s="193"/>
      <c r="GD59" s="193"/>
      <c r="GE59" s="198" t="s">
        <v>53</v>
      </c>
      <c r="GF59" s="199">
        <v>0.11019675925925926</v>
      </c>
      <c r="GG59" s="194" t="s">
        <v>93</v>
      </c>
      <c r="GH59" s="195">
        <v>0.139375</v>
      </c>
      <c r="GI59" s="203"/>
      <c r="GJ59" s="203"/>
      <c r="GK59" s="203"/>
      <c r="GL59" s="203"/>
      <c r="GM59" s="203"/>
      <c r="GN59" s="203"/>
      <c r="GO59" s="203"/>
      <c r="GP59" s="203"/>
      <c r="GQ59" s="203"/>
      <c r="GR59" s="203"/>
      <c r="GS59" s="203"/>
      <c r="GT59" s="203"/>
      <c r="GU59" s="203"/>
      <c r="GV59" s="203"/>
      <c r="GW59" s="131"/>
      <c r="GX59" s="131"/>
      <c r="GY59" s="131"/>
      <c r="GZ59" s="131"/>
      <c r="HA59" s="190" t="s">
        <v>465</v>
      </c>
      <c r="HB59" s="191">
        <v>0.05709490740740741</v>
      </c>
      <c r="HC59" s="190" t="s">
        <v>465</v>
      </c>
      <c r="HD59" s="191">
        <v>0.05709490740740741</v>
      </c>
      <c r="HE59" s="131"/>
      <c r="HF59" s="131"/>
      <c r="HG59" s="131"/>
      <c r="HH59" s="131"/>
      <c r="HI59" s="131"/>
      <c r="HJ59" s="131"/>
      <c r="HK59" s="131"/>
      <c r="HL59" s="131"/>
      <c r="HM59" s="131"/>
      <c r="HN59" s="131"/>
      <c r="HO59" s="131"/>
      <c r="HP59" s="131"/>
      <c r="HQ59" s="131"/>
      <c r="HR59" s="131"/>
      <c r="HS59" s="131"/>
      <c r="HT59" s="131"/>
      <c r="HU59" s="131"/>
      <c r="HV59" s="131"/>
      <c r="HW59" s="131"/>
      <c r="HX59" s="131"/>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row>
    <row r="60">
      <c r="A60" s="193"/>
      <c r="B60" s="193"/>
      <c r="C60" s="193"/>
      <c r="D60" s="193"/>
      <c r="E60" s="193"/>
      <c r="F60" s="193"/>
      <c r="G60" s="193"/>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c r="AF60" s="193"/>
      <c r="AG60" s="193"/>
      <c r="AH60" s="193"/>
      <c r="AI60" s="194" t="s">
        <v>87</v>
      </c>
      <c r="AJ60" s="195">
        <v>0.008935185185185185</v>
      </c>
      <c r="AK60" s="194" t="s">
        <v>65</v>
      </c>
      <c r="AL60" s="195">
        <v>0.03207175925925926</v>
      </c>
      <c r="AM60" s="193"/>
      <c r="AN60" s="193"/>
      <c r="AO60" s="194" t="s">
        <v>87</v>
      </c>
      <c r="AP60" s="195">
        <v>0.060405092592592594</v>
      </c>
      <c r="AQ60" s="194" t="s">
        <v>87</v>
      </c>
      <c r="AR60" s="195">
        <v>0.04002314814814815</v>
      </c>
      <c r="AS60" s="194" t="s">
        <v>426</v>
      </c>
      <c r="AT60" s="195">
        <v>0.02039351851851852</v>
      </c>
      <c r="AU60" s="194" t="s">
        <v>71</v>
      </c>
      <c r="AV60" s="195">
        <v>0.0028819444444444444</v>
      </c>
      <c r="AW60" s="194" t="s">
        <v>64</v>
      </c>
      <c r="AX60" s="195">
        <v>0.2559837962962963</v>
      </c>
      <c r="AY60" s="194" t="s">
        <v>32</v>
      </c>
      <c r="AZ60" s="195">
        <v>0.0739699074074074</v>
      </c>
      <c r="BA60" s="194" t="s">
        <v>63</v>
      </c>
      <c r="BB60" s="195">
        <v>0.3361226851851852</v>
      </c>
      <c r="BC60" s="194" t="s">
        <v>63</v>
      </c>
      <c r="BD60" s="195">
        <v>0.31275462962962963</v>
      </c>
      <c r="BE60" s="194" t="s">
        <v>41</v>
      </c>
      <c r="BF60" s="195">
        <v>0.36569444444444443</v>
      </c>
      <c r="BG60" s="194" t="s">
        <v>83</v>
      </c>
      <c r="BH60" s="195">
        <v>0.14833333333333334</v>
      </c>
      <c r="BI60" s="194" t="s">
        <v>83</v>
      </c>
      <c r="BJ60" s="195">
        <v>0.21966435185185185</v>
      </c>
      <c r="BK60" s="194" t="s">
        <v>41</v>
      </c>
      <c r="BL60" s="195">
        <v>0.36020833333333335</v>
      </c>
      <c r="BM60" s="194" t="s">
        <v>41</v>
      </c>
      <c r="BN60" s="195">
        <v>0.2561805555555556</v>
      </c>
      <c r="BO60" s="194" t="s">
        <v>41</v>
      </c>
      <c r="BP60" s="195">
        <v>0.1629861111111111</v>
      </c>
      <c r="BQ60" s="194" t="s">
        <v>41</v>
      </c>
      <c r="BR60" s="195">
        <v>0.10846064814814815</v>
      </c>
      <c r="BS60" s="194" t="s">
        <v>41</v>
      </c>
      <c r="BT60" s="195">
        <v>0.12663194444444445</v>
      </c>
      <c r="BU60" s="194" t="s">
        <v>105</v>
      </c>
      <c r="BV60" s="195">
        <v>0.42461805555555554</v>
      </c>
      <c r="BW60" s="194" t="s">
        <v>41</v>
      </c>
      <c r="BX60" s="195">
        <v>0.14287037037037037</v>
      </c>
      <c r="BY60" s="194" t="s">
        <v>41</v>
      </c>
      <c r="BZ60" s="195">
        <v>0.13525462962962964</v>
      </c>
      <c r="CA60" s="194" t="s">
        <v>41</v>
      </c>
      <c r="CB60" s="195">
        <v>0.059756944444444446</v>
      </c>
      <c r="CC60" s="194" t="s">
        <v>41</v>
      </c>
      <c r="CD60" s="195">
        <v>0.07951388888888888</v>
      </c>
      <c r="CE60" s="194" t="s">
        <v>105</v>
      </c>
      <c r="CF60" s="195">
        <v>0.11708333333333333</v>
      </c>
      <c r="CG60" s="194" t="s">
        <v>41</v>
      </c>
      <c r="CH60" s="195">
        <v>0.060717592592592594</v>
      </c>
      <c r="CI60" s="194" t="s">
        <v>105</v>
      </c>
      <c r="CJ60" s="195">
        <v>0.15465277777777778</v>
      </c>
      <c r="CK60" s="194" t="s">
        <v>105</v>
      </c>
      <c r="CL60" s="195">
        <v>0.21042824074074074</v>
      </c>
      <c r="CM60" s="194" t="s">
        <v>41</v>
      </c>
      <c r="CN60" s="195">
        <v>0.042604166666666665</v>
      </c>
      <c r="CO60" s="194" t="s">
        <v>105</v>
      </c>
      <c r="CP60" s="195">
        <v>0.08993055555555556</v>
      </c>
      <c r="CQ60" s="194" t="s">
        <v>83</v>
      </c>
      <c r="CR60" s="195">
        <v>0.05043981481481481</v>
      </c>
      <c r="CS60" s="194" t="s">
        <v>83</v>
      </c>
      <c r="CT60" s="195">
        <v>0.0647800925925926</v>
      </c>
      <c r="CU60" s="194" t="s">
        <v>41</v>
      </c>
      <c r="CV60" s="195">
        <v>0.04434027777777778</v>
      </c>
      <c r="CW60" s="194" t="s">
        <v>32</v>
      </c>
      <c r="CX60" s="195">
        <v>0.0031134259259259257</v>
      </c>
      <c r="CY60" s="194" t="s">
        <v>64</v>
      </c>
      <c r="CZ60" s="195">
        <v>2.0833333333333335E-4</v>
      </c>
      <c r="DA60" s="194" t="s">
        <v>32</v>
      </c>
      <c r="DB60" s="195">
        <v>0.02701388888888889</v>
      </c>
      <c r="DC60" s="194" t="s">
        <v>105</v>
      </c>
      <c r="DD60" s="195">
        <v>0.21065972222222223</v>
      </c>
      <c r="DE60" s="194" t="s">
        <v>41</v>
      </c>
      <c r="DF60" s="195">
        <v>0.011041666666666667</v>
      </c>
      <c r="DG60" s="194" t="s">
        <v>41</v>
      </c>
      <c r="DH60" s="195">
        <v>4.135196759259259</v>
      </c>
      <c r="DI60" s="193"/>
      <c r="DJ60" s="193"/>
      <c r="DK60" s="193"/>
      <c r="DL60" s="193"/>
      <c r="DM60" s="193"/>
      <c r="DN60" s="193"/>
      <c r="DO60" s="193"/>
      <c r="DP60" s="193"/>
      <c r="DQ60" s="193"/>
      <c r="DR60" s="193"/>
      <c r="DS60" s="193"/>
      <c r="DT60" s="193"/>
      <c r="DU60" s="193"/>
      <c r="DV60" s="193"/>
      <c r="DW60" s="193"/>
      <c r="DX60" s="193"/>
      <c r="DY60" s="193"/>
      <c r="DZ60" s="193"/>
      <c r="EA60" s="193"/>
      <c r="EB60" s="193"/>
      <c r="EC60" s="193"/>
      <c r="ED60" s="193"/>
      <c r="EE60" s="193"/>
      <c r="EF60" s="193"/>
      <c r="EG60" s="193"/>
      <c r="EH60" s="193"/>
      <c r="EI60" s="193"/>
      <c r="EJ60" s="193"/>
      <c r="EK60" s="193"/>
      <c r="EL60" s="193"/>
      <c r="EM60" s="193"/>
      <c r="EN60" s="193"/>
      <c r="EO60" s="193"/>
      <c r="EP60" s="193"/>
      <c r="EQ60" s="193"/>
      <c r="ER60" s="193"/>
      <c r="ES60" s="193"/>
      <c r="ET60" s="193"/>
      <c r="EU60" s="193"/>
      <c r="EV60" s="193"/>
      <c r="EW60" s="193"/>
      <c r="EX60" s="193"/>
      <c r="EY60" s="193"/>
      <c r="EZ60" s="193"/>
      <c r="FA60" s="193"/>
      <c r="FB60" s="193"/>
      <c r="FC60" s="193"/>
      <c r="FD60" s="193"/>
      <c r="FE60" s="193"/>
      <c r="FF60" s="193"/>
      <c r="FG60" s="193"/>
      <c r="FH60" s="193"/>
      <c r="FI60" s="193"/>
      <c r="FJ60" s="193"/>
      <c r="FK60" s="193"/>
      <c r="FL60" s="193"/>
      <c r="FM60" s="193"/>
      <c r="FN60" s="193"/>
      <c r="FO60" s="193"/>
      <c r="FP60" s="193"/>
      <c r="FQ60" s="193"/>
      <c r="FR60" s="193"/>
      <c r="FS60" s="193"/>
      <c r="FT60" s="193"/>
      <c r="FU60" s="193"/>
      <c r="FV60" s="193"/>
      <c r="FW60" s="193"/>
      <c r="FX60" s="193"/>
      <c r="FY60" s="193"/>
      <c r="FZ60" s="193"/>
      <c r="GA60" s="193"/>
      <c r="GB60" s="193"/>
      <c r="GC60" s="193"/>
      <c r="GD60" s="193"/>
      <c r="GE60" s="193"/>
      <c r="GF60" s="193"/>
      <c r="GG60" s="194" t="s">
        <v>61</v>
      </c>
      <c r="GH60" s="195">
        <v>0.04293981481481481</v>
      </c>
      <c r="GI60" s="203"/>
      <c r="GJ60" s="203"/>
      <c r="GK60" s="203"/>
      <c r="GL60" s="203"/>
      <c r="GM60" s="203"/>
      <c r="GN60" s="203"/>
      <c r="GO60" s="203"/>
      <c r="GP60" s="203"/>
      <c r="GQ60" s="203"/>
      <c r="GR60" s="203"/>
      <c r="GS60" s="203"/>
      <c r="GT60" s="203"/>
      <c r="GU60" s="203"/>
      <c r="GV60" s="203"/>
      <c r="GW60" s="131"/>
      <c r="GX60" s="131"/>
      <c r="GY60" s="131"/>
      <c r="GZ60" s="131"/>
      <c r="HA60" s="190" t="s">
        <v>432</v>
      </c>
      <c r="HB60" s="191">
        <v>0.08027777777777778</v>
      </c>
      <c r="HC60" s="190" t="s">
        <v>432</v>
      </c>
      <c r="HD60" s="191">
        <v>0.08027777777777778</v>
      </c>
      <c r="HE60" s="131"/>
      <c r="HF60" s="131"/>
      <c r="HG60" s="131"/>
      <c r="HH60" s="131"/>
      <c r="HI60" s="131"/>
      <c r="HJ60" s="131"/>
      <c r="HK60" s="131"/>
      <c r="HL60" s="131"/>
      <c r="HM60" s="131"/>
      <c r="HN60" s="131"/>
      <c r="HO60" s="131"/>
      <c r="HP60" s="131"/>
      <c r="HQ60" s="131"/>
      <c r="HR60" s="131"/>
      <c r="HS60" s="131"/>
      <c r="HT60" s="131"/>
      <c r="HU60" s="131"/>
      <c r="HV60" s="131"/>
      <c r="HW60" s="131"/>
      <c r="HX60" s="131"/>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row>
    <row r="61">
      <c r="A61" s="204"/>
      <c r="B61" s="204"/>
      <c r="C61" s="204"/>
      <c r="D61" s="204"/>
      <c r="E61" s="204"/>
      <c r="F61" s="204"/>
      <c r="G61" s="204"/>
      <c r="H61" s="204"/>
      <c r="I61" s="204"/>
      <c r="J61" s="204"/>
      <c r="K61" s="204"/>
      <c r="L61" s="204"/>
      <c r="M61" s="204"/>
      <c r="N61" s="204"/>
      <c r="O61" s="204"/>
      <c r="P61" s="204"/>
      <c r="Q61" s="204"/>
      <c r="R61" s="204"/>
      <c r="S61" s="204"/>
      <c r="T61" s="204"/>
      <c r="U61" s="204"/>
      <c r="V61" s="204"/>
      <c r="W61" s="204"/>
      <c r="X61" s="204"/>
      <c r="Y61" s="204"/>
      <c r="Z61" s="204"/>
      <c r="AA61" s="204"/>
      <c r="AB61" s="204"/>
      <c r="AC61" s="204"/>
      <c r="AD61" s="204"/>
      <c r="AE61" s="204"/>
      <c r="AF61" s="204"/>
      <c r="AG61" s="204"/>
      <c r="AH61" s="204"/>
      <c r="AI61" s="205" t="s">
        <v>52</v>
      </c>
      <c r="AJ61" s="195">
        <v>0.008356481481481482</v>
      </c>
      <c r="AK61" s="205" t="s">
        <v>36</v>
      </c>
      <c r="AL61" s="195">
        <v>0.08055555555555556</v>
      </c>
      <c r="AM61" s="204"/>
      <c r="AN61" s="204"/>
      <c r="AO61" s="205" t="s">
        <v>52</v>
      </c>
      <c r="AP61" s="195">
        <v>0.11418981481481481</v>
      </c>
      <c r="AQ61" s="205" t="s">
        <v>52</v>
      </c>
      <c r="AR61" s="195">
        <v>0.04946759259259259</v>
      </c>
      <c r="AS61" s="206" t="s">
        <v>93</v>
      </c>
      <c r="AT61" s="199">
        <v>0.08188657407407407</v>
      </c>
      <c r="AU61" s="205" t="s">
        <v>8</v>
      </c>
      <c r="AV61" s="195">
        <v>0.005555555555555556</v>
      </c>
      <c r="AW61" s="205" t="s">
        <v>32</v>
      </c>
      <c r="AX61" s="195">
        <v>0.0175</v>
      </c>
      <c r="AY61" s="205" t="s">
        <v>71</v>
      </c>
      <c r="AZ61" s="195">
        <v>0.027777777777777776</v>
      </c>
      <c r="BA61" s="205" t="s">
        <v>64</v>
      </c>
      <c r="BB61" s="195">
        <v>0.2326388888888889</v>
      </c>
      <c r="BC61" s="205" t="s">
        <v>64</v>
      </c>
      <c r="BD61" s="195">
        <v>0.1637962962962963</v>
      </c>
      <c r="BE61" s="205" t="s">
        <v>105</v>
      </c>
      <c r="BF61" s="195">
        <v>0.02148148148148148</v>
      </c>
      <c r="BG61" s="205" t="s">
        <v>63</v>
      </c>
      <c r="BH61" s="195">
        <v>0.2774537037037037</v>
      </c>
      <c r="BI61" s="205" t="s">
        <v>63</v>
      </c>
      <c r="BJ61" s="195">
        <v>0.21467592592592594</v>
      </c>
      <c r="BK61" s="205" t="s">
        <v>105</v>
      </c>
      <c r="BL61" s="195">
        <v>0.1657986111111111</v>
      </c>
      <c r="BM61" s="205" t="s">
        <v>105</v>
      </c>
      <c r="BN61" s="195">
        <v>0.26241898148148146</v>
      </c>
      <c r="BO61" s="205" t="s">
        <v>105</v>
      </c>
      <c r="BP61" s="195">
        <v>0.40826388888888887</v>
      </c>
      <c r="BQ61" s="205" t="s">
        <v>105</v>
      </c>
      <c r="BR61" s="195">
        <v>0.41737268518518517</v>
      </c>
      <c r="BS61" s="205" t="s">
        <v>105</v>
      </c>
      <c r="BT61" s="195">
        <v>0.520150462962963</v>
      </c>
      <c r="BU61" s="205" t="s">
        <v>83</v>
      </c>
      <c r="BV61" s="195">
        <v>0.09085648148148148</v>
      </c>
      <c r="BW61" s="205" t="s">
        <v>105</v>
      </c>
      <c r="BX61" s="195">
        <v>0.3247800925925926</v>
      </c>
      <c r="BY61" s="205" t="s">
        <v>105</v>
      </c>
      <c r="BZ61" s="195">
        <v>0.1277662037037037</v>
      </c>
      <c r="CA61" s="205" t="s">
        <v>105</v>
      </c>
      <c r="CB61" s="195">
        <v>0.06840277777777778</v>
      </c>
      <c r="CC61" s="205" t="s">
        <v>105</v>
      </c>
      <c r="CD61" s="195">
        <v>0.08184027777777778</v>
      </c>
      <c r="CE61" s="205" t="s">
        <v>83</v>
      </c>
      <c r="CF61" s="195">
        <v>0.19706018518518517</v>
      </c>
      <c r="CG61" s="205" t="s">
        <v>105</v>
      </c>
      <c r="CH61" s="195">
        <v>0.11329861111111111</v>
      </c>
      <c r="CI61" s="205" t="s">
        <v>83</v>
      </c>
      <c r="CJ61" s="195">
        <v>0.03594907407407407</v>
      </c>
      <c r="CK61" s="205" t="s">
        <v>83</v>
      </c>
      <c r="CL61" s="195">
        <v>0.05319444444444445</v>
      </c>
      <c r="CM61" s="205" t="s">
        <v>105</v>
      </c>
      <c r="CN61" s="195">
        <v>0.17574074074074075</v>
      </c>
      <c r="CO61" s="205" t="s">
        <v>83</v>
      </c>
      <c r="CP61" s="195">
        <v>0.07574074074074075</v>
      </c>
      <c r="CQ61" s="205" t="s">
        <v>63</v>
      </c>
      <c r="CR61" s="195">
        <v>0.0175</v>
      </c>
      <c r="CS61" s="205" t="s">
        <v>63</v>
      </c>
      <c r="CT61" s="195">
        <v>0.02872685185185185</v>
      </c>
      <c r="CU61" s="205" t="s">
        <v>105</v>
      </c>
      <c r="CV61" s="195">
        <v>0.06818287037037037</v>
      </c>
      <c r="CW61" s="205" t="s">
        <v>71</v>
      </c>
      <c r="CX61" s="195">
        <v>0.11104166666666666</v>
      </c>
      <c r="CY61" s="205" t="s">
        <v>32</v>
      </c>
      <c r="CZ61" s="195">
        <v>1.9675925925925926E-4</v>
      </c>
      <c r="DA61" s="205" t="s">
        <v>71</v>
      </c>
      <c r="DB61" s="195">
        <v>0.3561111111111111</v>
      </c>
      <c r="DC61" s="205" t="s">
        <v>83</v>
      </c>
      <c r="DD61" s="195">
        <v>0.016400462962962964</v>
      </c>
      <c r="DE61" s="205" t="s">
        <v>105</v>
      </c>
      <c r="DF61" s="195">
        <v>0.10773148148148148</v>
      </c>
      <c r="DG61" s="205" t="s">
        <v>105</v>
      </c>
      <c r="DH61" s="195">
        <v>1.6729976851851847</v>
      </c>
      <c r="DI61" s="204"/>
      <c r="DJ61" s="204"/>
      <c r="DK61" s="204"/>
      <c r="DL61" s="204"/>
      <c r="DM61" s="204"/>
      <c r="DN61" s="204"/>
      <c r="DO61" s="204"/>
      <c r="DP61" s="204"/>
      <c r="DQ61" s="204"/>
      <c r="DR61" s="204"/>
      <c r="DS61" s="204"/>
      <c r="DT61" s="204"/>
      <c r="DU61" s="204"/>
      <c r="DV61" s="204"/>
      <c r="DW61" s="204"/>
      <c r="DX61" s="204"/>
      <c r="DY61" s="204"/>
      <c r="DZ61" s="204"/>
      <c r="EA61" s="204"/>
      <c r="EB61" s="204"/>
      <c r="EC61" s="204"/>
      <c r="ED61" s="204"/>
      <c r="EE61" s="204"/>
      <c r="EF61" s="204"/>
      <c r="EG61" s="204"/>
      <c r="EH61" s="204"/>
      <c r="EI61" s="204"/>
      <c r="EJ61" s="204"/>
      <c r="EK61" s="204"/>
      <c r="EL61" s="204"/>
      <c r="EM61" s="204"/>
      <c r="EN61" s="204"/>
      <c r="EO61" s="204"/>
      <c r="EP61" s="204"/>
      <c r="EQ61" s="204"/>
      <c r="ER61" s="204"/>
      <c r="ES61" s="204"/>
      <c r="ET61" s="204"/>
      <c r="EU61" s="204"/>
      <c r="EV61" s="204"/>
      <c r="EW61" s="204"/>
      <c r="EX61" s="204"/>
      <c r="EY61" s="204"/>
      <c r="EZ61" s="204"/>
      <c r="FA61" s="204"/>
      <c r="FB61" s="204"/>
      <c r="FC61" s="204"/>
      <c r="FD61" s="204"/>
      <c r="FE61" s="204"/>
      <c r="FF61" s="204"/>
      <c r="FG61" s="204"/>
      <c r="FH61" s="204"/>
      <c r="FI61" s="204"/>
      <c r="FJ61" s="204"/>
      <c r="FK61" s="204"/>
      <c r="FL61" s="204"/>
      <c r="FM61" s="204"/>
      <c r="FN61" s="204"/>
      <c r="FO61" s="204"/>
      <c r="FP61" s="204"/>
      <c r="FQ61" s="204"/>
      <c r="FR61" s="204"/>
      <c r="FS61" s="204"/>
      <c r="FT61" s="204"/>
      <c r="FU61" s="204"/>
      <c r="FV61" s="204"/>
      <c r="FW61" s="204"/>
      <c r="FX61" s="204"/>
      <c r="FY61" s="204"/>
      <c r="FZ61" s="204"/>
      <c r="GA61" s="204"/>
      <c r="GB61" s="204"/>
      <c r="GC61" s="204"/>
      <c r="GD61" s="204"/>
      <c r="GE61" s="204"/>
      <c r="GF61" s="204"/>
      <c r="GG61" s="206" t="s">
        <v>53</v>
      </c>
      <c r="GH61" s="199">
        <v>0.13873842592592592</v>
      </c>
      <c r="GI61" s="203"/>
      <c r="GJ61" s="203"/>
      <c r="GK61" s="203"/>
      <c r="GL61" s="203"/>
      <c r="GM61" s="203"/>
      <c r="GN61" s="203"/>
      <c r="GO61" s="203"/>
      <c r="GP61" s="203"/>
      <c r="GQ61" s="203"/>
      <c r="GR61" s="203"/>
      <c r="GS61" s="203"/>
      <c r="GT61" s="203"/>
      <c r="GU61" s="203"/>
      <c r="GV61" s="203"/>
      <c r="GW61" s="131"/>
      <c r="GX61" s="131"/>
      <c r="GY61" s="131"/>
      <c r="GZ61" s="131"/>
      <c r="HA61" s="190" t="s">
        <v>105</v>
      </c>
      <c r="HB61" s="191">
        <v>0.012372685185185184</v>
      </c>
      <c r="HC61" s="190" t="s">
        <v>105</v>
      </c>
      <c r="HD61" s="191">
        <v>0.012372685185185184</v>
      </c>
      <c r="HE61" s="131"/>
      <c r="HF61" s="131"/>
      <c r="HG61" s="131"/>
      <c r="HH61" s="131"/>
      <c r="HI61" s="131"/>
      <c r="HJ61" s="131"/>
      <c r="HK61" s="131"/>
      <c r="HL61" s="131"/>
      <c r="HM61" s="131"/>
      <c r="HN61" s="131"/>
      <c r="HO61" s="131"/>
      <c r="HP61" s="131"/>
      <c r="HQ61" s="131"/>
      <c r="HR61" s="131"/>
      <c r="HS61" s="131"/>
      <c r="HT61" s="131"/>
      <c r="HU61" s="131"/>
      <c r="HV61" s="131"/>
      <c r="HW61" s="131"/>
      <c r="HX61" s="131"/>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row>
    <row r="62">
      <c r="A62" s="204"/>
      <c r="B62" s="204"/>
      <c r="C62" s="204"/>
      <c r="D62" s="204"/>
      <c r="E62" s="204"/>
      <c r="F62" s="204"/>
      <c r="G62" s="204"/>
      <c r="H62" s="204"/>
      <c r="I62" s="204"/>
      <c r="J62" s="204"/>
      <c r="K62" s="204"/>
      <c r="L62" s="204"/>
      <c r="M62" s="204"/>
      <c r="N62" s="204"/>
      <c r="O62" s="204"/>
      <c r="P62" s="204"/>
      <c r="Q62" s="204"/>
      <c r="R62" s="204"/>
      <c r="S62" s="204"/>
      <c r="T62" s="204"/>
      <c r="U62" s="204"/>
      <c r="V62" s="204"/>
      <c r="W62" s="204"/>
      <c r="X62" s="204"/>
      <c r="Y62" s="204"/>
      <c r="Z62" s="204"/>
      <c r="AA62" s="204"/>
      <c r="AB62" s="204"/>
      <c r="AC62" s="204"/>
      <c r="AD62" s="204"/>
      <c r="AE62" s="204"/>
      <c r="AF62" s="204"/>
      <c r="AG62" s="204"/>
      <c r="AH62" s="204"/>
      <c r="AI62" s="205" t="s">
        <v>93</v>
      </c>
      <c r="AJ62" s="195">
        <v>0.02971064814814815</v>
      </c>
      <c r="AK62" s="205" t="s">
        <v>86</v>
      </c>
      <c r="AL62" s="195">
        <v>0.05412037037037037</v>
      </c>
      <c r="AM62" s="204"/>
      <c r="AN62" s="204"/>
      <c r="AO62" s="205" t="s">
        <v>33</v>
      </c>
      <c r="AP62" s="195">
        <v>0.023680555555555555</v>
      </c>
      <c r="AQ62" s="205" t="s">
        <v>33</v>
      </c>
      <c r="AR62" s="195">
        <v>0.02252314814814815</v>
      </c>
      <c r="AS62" s="204"/>
      <c r="AT62" s="204"/>
      <c r="AU62" s="205" t="s">
        <v>65</v>
      </c>
      <c r="AV62" s="195">
        <v>0.4447337962962963</v>
      </c>
      <c r="AW62" s="205" t="s">
        <v>71</v>
      </c>
      <c r="AX62" s="195">
        <v>0.0021643518518518518</v>
      </c>
      <c r="AY62" s="205" t="s">
        <v>22</v>
      </c>
      <c r="AZ62" s="195">
        <v>0.017233796296296296</v>
      </c>
      <c r="BA62" s="205" t="s">
        <v>32</v>
      </c>
      <c r="BB62" s="195">
        <v>0.19141203703703705</v>
      </c>
      <c r="BC62" s="205" t="s">
        <v>32</v>
      </c>
      <c r="BD62" s="195">
        <v>0.40327546296296296</v>
      </c>
      <c r="BE62" s="205" t="s">
        <v>83</v>
      </c>
      <c r="BF62" s="195">
        <v>0.16006944444444443</v>
      </c>
      <c r="BG62" s="205" t="s">
        <v>64</v>
      </c>
      <c r="BH62" s="195">
        <v>0.09799768518518519</v>
      </c>
      <c r="BI62" s="205" t="s">
        <v>64</v>
      </c>
      <c r="BJ62" s="195">
        <v>0.07065972222222222</v>
      </c>
      <c r="BK62" s="205" t="s">
        <v>83</v>
      </c>
      <c r="BL62" s="195">
        <v>0.28976851851851854</v>
      </c>
      <c r="BM62" s="205" t="s">
        <v>83</v>
      </c>
      <c r="BN62" s="195">
        <v>0.1804050925925926</v>
      </c>
      <c r="BO62" s="205" t="s">
        <v>83</v>
      </c>
      <c r="BP62" s="195">
        <v>0.12979166666666667</v>
      </c>
      <c r="BQ62" s="205" t="s">
        <v>83</v>
      </c>
      <c r="BR62" s="195">
        <v>0.1963425925925926</v>
      </c>
      <c r="BS62" s="205" t="s">
        <v>83</v>
      </c>
      <c r="BT62" s="195">
        <v>0.08869212962962963</v>
      </c>
      <c r="BU62" s="205" t="s">
        <v>63</v>
      </c>
      <c r="BV62" s="195">
        <v>0.14043981481481482</v>
      </c>
      <c r="BW62" s="205" t="s">
        <v>83</v>
      </c>
      <c r="BX62" s="195">
        <v>0.09612268518518519</v>
      </c>
      <c r="BY62" s="205" t="s">
        <v>83</v>
      </c>
      <c r="BZ62" s="195">
        <v>0.10900462962962963</v>
      </c>
      <c r="CA62" s="205" t="s">
        <v>83</v>
      </c>
      <c r="CB62" s="195">
        <v>0.21550925925925926</v>
      </c>
      <c r="CC62" s="205" t="s">
        <v>83</v>
      </c>
      <c r="CD62" s="195">
        <v>0.22493055555555555</v>
      </c>
      <c r="CE62" s="205" t="s">
        <v>63</v>
      </c>
      <c r="CF62" s="195">
        <v>0.15774305555555557</v>
      </c>
      <c r="CG62" s="205" t="s">
        <v>83</v>
      </c>
      <c r="CH62" s="195">
        <v>0.06869212962962963</v>
      </c>
      <c r="CI62" s="205" t="s">
        <v>63</v>
      </c>
      <c r="CJ62" s="195">
        <v>0.002002314814814815</v>
      </c>
      <c r="CK62" s="205" t="s">
        <v>63</v>
      </c>
      <c r="CL62" s="195">
        <v>0.03508101851851852</v>
      </c>
      <c r="CM62" s="205" t="s">
        <v>83</v>
      </c>
      <c r="CN62" s="195">
        <v>0.05550925925925926</v>
      </c>
      <c r="CO62" s="205" t="s">
        <v>63</v>
      </c>
      <c r="CP62" s="195">
        <v>0.023240740740740742</v>
      </c>
      <c r="CQ62" s="205" t="s">
        <v>64</v>
      </c>
      <c r="CR62" s="195">
        <v>0.00863425925925926</v>
      </c>
      <c r="CS62" s="205" t="s">
        <v>64</v>
      </c>
      <c r="CT62" s="195">
        <v>0.026851851851851852</v>
      </c>
      <c r="CU62" s="205" t="s">
        <v>83</v>
      </c>
      <c r="CV62" s="195">
        <v>0.06518518518518518</v>
      </c>
      <c r="CW62" s="205" t="s">
        <v>22</v>
      </c>
      <c r="CX62" s="195">
        <v>0.17108796296296297</v>
      </c>
      <c r="CY62" s="205" t="s">
        <v>71</v>
      </c>
      <c r="CZ62" s="195">
        <v>0.2369675925925926</v>
      </c>
      <c r="DA62" s="205" t="s">
        <v>22</v>
      </c>
      <c r="DB62" s="195">
        <v>0.22045138888888888</v>
      </c>
      <c r="DC62" s="205" t="s">
        <v>63</v>
      </c>
      <c r="DD62" s="195">
        <v>0.03546296296296296</v>
      </c>
      <c r="DE62" s="205" t="s">
        <v>83</v>
      </c>
      <c r="DF62" s="195">
        <v>0.0175</v>
      </c>
      <c r="DG62" s="205" t="s">
        <v>83</v>
      </c>
      <c r="DH62" s="195">
        <v>1.354247685185185</v>
      </c>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row>
    <row r="63">
      <c r="A63" s="204"/>
      <c r="B63" s="204"/>
      <c r="C63" s="204"/>
      <c r="D63" s="204"/>
      <c r="E63" s="204"/>
      <c r="F63" s="204"/>
      <c r="G63" s="204"/>
      <c r="H63" s="204"/>
      <c r="I63" s="204"/>
      <c r="J63" s="204"/>
      <c r="K63" s="204"/>
      <c r="L63" s="204"/>
      <c r="M63" s="204"/>
      <c r="N63" s="204"/>
      <c r="O63" s="204"/>
      <c r="P63" s="204"/>
      <c r="Q63" s="204"/>
      <c r="R63" s="204"/>
      <c r="S63" s="204"/>
      <c r="T63" s="204"/>
      <c r="U63" s="204"/>
      <c r="V63" s="204"/>
      <c r="W63" s="204"/>
      <c r="X63" s="204"/>
      <c r="Y63" s="204"/>
      <c r="Z63" s="204"/>
      <c r="AA63" s="204"/>
      <c r="AB63" s="204"/>
      <c r="AC63" s="204"/>
      <c r="AD63" s="204"/>
      <c r="AE63" s="204"/>
      <c r="AF63" s="204"/>
      <c r="AG63" s="204"/>
      <c r="AH63" s="204"/>
      <c r="AI63" s="205" t="s">
        <v>30</v>
      </c>
      <c r="AJ63" s="195">
        <v>0.004178240740740741</v>
      </c>
      <c r="AK63" s="205" t="s">
        <v>87</v>
      </c>
      <c r="AL63" s="195">
        <v>0.07909722222222222</v>
      </c>
      <c r="AM63" s="204"/>
      <c r="AN63" s="204"/>
      <c r="AO63" s="205" t="s">
        <v>426</v>
      </c>
      <c r="AP63" s="195">
        <v>0.15189814814814814</v>
      </c>
      <c r="AQ63" s="205" t="s">
        <v>426</v>
      </c>
      <c r="AR63" s="195">
        <v>0.6575578703703704</v>
      </c>
      <c r="AS63" s="204"/>
      <c r="AT63" s="204"/>
      <c r="AU63" s="205" t="s">
        <v>36</v>
      </c>
      <c r="AV63" s="195">
        <v>0.0019212962962962964</v>
      </c>
      <c r="AW63" s="205" t="s">
        <v>22</v>
      </c>
      <c r="AX63" s="195">
        <v>0.031226851851851853</v>
      </c>
      <c r="AY63" s="205" t="s">
        <v>8</v>
      </c>
      <c r="AZ63" s="195">
        <v>0.018969907407407408</v>
      </c>
      <c r="BA63" s="205" t="s">
        <v>71</v>
      </c>
      <c r="BB63" s="195">
        <v>0.05962962962962963</v>
      </c>
      <c r="BC63" s="205" t="s">
        <v>71</v>
      </c>
      <c r="BD63" s="195">
        <v>0.10425925925925926</v>
      </c>
      <c r="BE63" s="205" t="s">
        <v>63</v>
      </c>
      <c r="BF63" s="195">
        <v>0.20818287037037037</v>
      </c>
      <c r="BG63" s="205" t="s">
        <v>32</v>
      </c>
      <c r="BH63" s="195">
        <v>0.7640393518518519</v>
      </c>
      <c r="BI63" s="205" t="s">
        <v>32</v>
      </c>
      <c r="BJ63" s="195">
        <v>0.42461805555555554</v>
      </c>
      <c r="BK63" s="205" t="s">
        <v>63</v>
      </c>
      <c r="BL63" s="195">
        <v>0.18178240740740742</v>
      </c>
      <c r="BM63" s="205" t="s">
        <v>63</v>
      </c>
      <c r="BN63" s="195">
        <v>0.30791666666666667</v>
      </c>
      <c r="BO63" s="205" t="s">
        <v>63</v>
      </c>
      <c r="BP63" s="195">
        <v>0.3329166666666667</v>
      </c>
      <c r="BQ63" s="205" t="s">
        <v>63</v>
      </c>
      <c r="BR63" s="195">
        <v>0.1440625</v>
      </c>
      <c r="BS63" s="205" t="s">
        <v>63</v>
      </c>
      <c r="BT63" s="195">
        <v>0.10734953703703703</v>
      </c>
      <c r="BU63" s="205" t="s">
        <v>64</v>
      </c>
      <c r="BV63" s="195">
        <v>0.04275462962962963</v>
      </c>
      <c r="BW63" s="205" t="s">
        <v>63</v>
      </c>
      <c r="BX63" s="195">
        <v>0.19032407407407406</v>
      </c>
      <c r="BY63" s="205" t="s">
        <v>63</v>
      </c>
      <c r="BZ63" s="195">
        <v>0.20510416666666667</v>
      </c>
      <c r="CA63" s="205" t="s">
        <v>63</v>
      </c>
      <c r="CB63" s="195">
        <v>0.2834143518518519</v>
      </c>
      <c r="CC63" s="205" t="s">
        <v>63</v>
      </c>
      <c r="CD63" s="195">
        <v>0.3290972222222222</v>
      </c>
      <c r="CE63" s="205" t="s">
        <v>64</v>
      </c>
      <c r="CF63" s="195">
        <v>0.2926273148148148</v>
      </c>
      <c r="CG63" s="205" t="s">
        <v>63</v>
      </c>
      <c r="CH63" s="195">
        <v>0.05277777777777778</v>
      </c>
      <c r="CI63" s="205" t="s">
        <v>64</v>
      </c>
      <c r="CJ63" s="195">
        <v>0.016261574074074074</v>
      </c>
      <c r="CK63" s="205" t="s">
        <v>64</v>
      </c>
      <c r="CL63" s="195">
        <v>0.028333333333333332</v>
      </c>
      <c r="CM63" s="205" t="s">
        <v>63</v>
      </c>
      <c r="CN63" s="195">
        <v>0.018935185185185187</v>
      </c>
      <c r="CO63" s="205" t="s">
        <v>64</v>
      </c>
      <c r="CP63" s="195">
        <v>0.023078703703703702</v>
      </c>
      <c r="CQ63" s="205" t="s">
        <v>32</v>
      </c>
      <c r="CR63" s="195">
        <v>0.0030324074074074073</v>
      </c>
      <c r="CS63" s="205" t="s">
        <v>32</v>
      </c>
      <c r="CT63" s="195">
        <v>0.02298611111111111</v>
      </c>
      <c r="CU63" s="205" t="s">
        <v>63</v>
      </c>
      <c r="CV63" s="195">
        <v>0.01884259259259259</v>
      </c>
      <c r="CW63" s="205" t="s">
        <v>8</v>
      </c>
      <c r="CX63" s="195">
        <v>0.056087962962962964</v>
      </c>
      <c r="CY63" s="205" t="s">
        <v>22</v>
      </c>
      <c r="CZ63" s="195">
        <v>0.29439814814814813</v>
      </c>
      <c r="DA63" s="205" t="s">
        <v>8</v>
      </c>
      <c r="DB63" s="195">
        <v>0.03184027777777778</v>
      </c>
      <c r="DC63" s="205" t="s">
        <v>64</v>
      </c>
      <c r="DD63" s="195">
        <v>0.019131944444444444</v>
      </c>
      <c r="DE63" s="205" t="s">
        <v>63</v>
      </c>
      <c r="DF63" s="195">
        <v>0.050694444444444445</v>
      </c>
      <c r="DG63" s="205" t="s">
        <v>63</v>
      </c>
      <c r="DH63" s="195">
        <v>1.0152199074074075</v>
      </c>
      <c r="IE63" s="178"/>
      <c r="IF63" s="178"/>
      <c r="IG63" s="178"/>
      <c r="IH63" s="178"/>
      <c r="II63" s="178"/>
      <c r="IJ63" s="178"/>
      <c r="IK63" s="178"/>
      <c r="IL63" s="178"/>
      <c r="IM63" s="178"/>
      <c r="IN63" s="178"/>
      <c r="IO63" s="178"/>
      <c r="IP63" s="178"/>
      <c r="IQ63" s="178"/>
      <c r="IR63" s="178"/>
      <c r="IS63" s="178"/>
      <c r="IT63" s="178"/>
      <c r="IU63" s="178"/>
      <c r="IV63" s="178"/>
      <c r="IW63" s="178"/>
      <c r="IX63" s="178"/>
      <c r="IY63" s="178"/>
      <c r="IZ63" s="178"/>
      <c r="JA63" s="178"/>
      <c r="JB63" s="178"/>
      <c r="JC63" s="178"/>
      <c r="JD63" s="178"/>
    </row>
    <row r="64">
      <c r="A64" s="204"/>
      <c r="B64" s="204"/>
      <c r="C64" s="204"/>
      <c r="D64" s="204"/>
      <c r="E64" s="204"/>
      <c r="F64" s="204"/>
      <c r="G64" s="204"/>
      <c r="H64" s="204"/>
      <c r="I64" s="204"/>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4"/>
      <c r="AG64" s="204"/>
      <c r="AH64" s="204"/>
      <c r="AI64" s="206" t="s">
        <v>53</v>
      </c>
      <c r="AJ64" s="199">
        <v>0.008101851851851851</v>
      </c>
      <c r="AK64" s="205" t="s">
        <v>52</v>
      </c>
      <c r="AL64" s="195">
        <v>0.04300925925925926</v>
      </c>
      <c r="AM64" s="204"/>
      <c r="AN64" s="204"/>
      <c r="AO64" s="205" t="s">
        <v>93</v>
      </c>
      <c r="AP64" s="195">
        <v>0.018773148148148146</v>
      </c>
      <c r="AQ64" s="205" t="s">
        <v>93</v>
      </c>
      <c r="AR64" s="195">
        <v>0.22269675925925925</v>
      </c>
      <c r="AS64" s="204"/>
      <c r="AT64" s="204"/>
      <c r="AU64" s="205" t="s">
        <v>86</v>
      </c>
      <c r="AV64" s="195">
        <v>0.49922453703703706</v>
      </c>
      <c r="AW64" s="205" t="s">
        <v>8</v>
      </c>
      <c r="AX64" s="195">
        <v>0.027523148148148147</v>
      </c>
      <c r="AY64" s="205" t="s">
        <v>65</v>
      </c>
      <c r="AZ64" s="195">
        <v>0.4501851851851852</v>
      </c>
      <c r="BA64" s="205" t="s">
        <v>22</v>
      </c>
      <c r="BB64" s="195">
        <v>2.199074074074074E-4</v>
      </c>
      <c r="BC64" s="205" t="s">
        <v>22</v>
      </c>
      <c r="BD64" s="195">
        <v>0.037395833333333336</v>
      </c>
      <c r="BE64" s="205" t="s">
        <v>64</v>
      </c>
      <c r="BF64" s="195">
        <v>0.025011574074074075</v>
      </c>
      <c r="BG64" s="205" t="s">
        <v>71</v>
      </c>
      <c r="BH64" s="195">
        <v>0.09425925925925926</v>
      </c>
      <c r="BI64" s="205" t="s">
        <v>71</v>
      </c>
      <c r="BJ64" s="195">
        <v>0.08851851851851852</v>
      </c>
      <c r="BK64" s="205" t="s">
        <v>64</v>
      </c>
      <c r="BL64" s="195">
        <v>0.10177083333333334</v>
      </c>
      <c r="BM64" s="205" t="s">
        <v>64</v>
      </c>
      <c r="BN64" s="195">
        <v>0.15528935185185186</v>
      </c>
      <c r="BO64" s="205" t="s">
        <v>64</v>
      </c>
      <c r="BP64" s="195">
        <v>0.0647800925925926</v>
      </c>
      <c r="BQ64" s="205" t="s">
        <v>64</v>
      </c>
      <c r="BR64" s="195">
        <v>0.10918981481481481</v>
      </c>
      <c r="BS64" s="205" t="s">
        <v>64</v>
      </c>
      <c r="BT64" s="195">
        <v>0.11400462962962964</v>
      </c>
      <c r="BU64" s="205" t="s">
        <v>32</v>
      </c>
      <c r="BV64" s="195">
        <v>0.13099537037037037</v>
      </c>
      <c r="BW64" s="205" t="s">
        <v>64</v>
      </c>
      <c r="BX64" s="195">
        <v>0.03732638888888889</v>
      </c>
      <c r="BY64" s="205" t="s">
        <v>64</v>
      </c>
      <c r="BZ64" s="195">
        <v>0.06553240740740741</v>
      </c>
      <c r="CA64" s="205" t="s">
        <v>64</v>
      </c>
      <c r="CB64" s="195">
        <v>0.2538078703703704</v>
      </c>
      <c r="CC64" s="205" t="s">
        <v>64</v>
      </c>
      <c r="CD64" s="195">
        <v>0.186875</v>
      </c>
      <c r="CE64" s="205" t="s">
        <v>32</v>
      </c>
      <c r="CF64" s="195">
        <v>0.15908564814814816</v>
      </c>
      <c r="CG64" s="205" t="s">
        <v>64</v>
      </c>
      <c r="CH64" s="195">
        <v>0.0409375</v>
      </c>
      <c r="CI64" s="205" t="s">
        <v>32</v>
      </c>
      <c r="CJ64" s="195">
        <v>0.04331018518518519</v>
      </c>
      <c r="CK64" s="205" t="s">
        <v>32</v>
      </c>
      <c r="CL64" s="195">
        <v>0.08270833333333333</v>
      </c>
      <c r="CM64" s="205" t="s">
        <v>64</v>
      </c>
      <c r="CN64" s="195">
        <v>0.03914351851851852</v>
      </c>
      <c r="CO64" s="205" t="s">
        <v>71</v>
      </c>
      <c r="CP64" s="195">
        <v>0.2873263888888889</v>
      </c>
      <c r="CQ64" s="205" t="s">
        <v>71</v>
      </c>
      <c r="CR64" s="195">
        <v>0.135625</v>
      </c>
      <c r="CS64" s="205" t="s">
        <v>71</v>
      </c>
      <c r="CT64" s="195">
        <v>0.22297453703703704</v>
      </c>
      <c r="CU64" s="205" t="s">
        <v>64</v>
      </c>
      <c r="CV64" s="195">
        <v>0.06493055555555556</v>
      </c>
      <c r="CW64" s="205" t="s">
        <v>65</v>
      </c>
      <c r="CX64" s="195">
        <v>0.06695601851851851</v>
      </c>
      <c r="CY64" s="205" t="s">
        <v>8</v>
      </c>
      <c r="CZ64" s="195">
        <v>0.03116898148148148</v>
      </c>
      <c r="DA64" s="205" t="s">
        <v>65</v>
      </c>
      <c r="DB64" s="195">
        <v>0.049652777777777775</v>
      </c>
      <c r="DC64" s="205" t="s">
        <v>32</v>
      </c>
      <c r="DD64" s="195">
        <v>0.029409722222222223</v>
      </c>
      <c r="DE64" s="205" t="s">
        <v>64</v>
      </c>
      <c r="DF64" s="195">
        <v>0.012152777777777778</v>
      </c>
      <c r="DG64" s="205" t="s">
        <v>64</v>
      </c>
      <c r="DH64" s="195">
        <v>2.552893518518518</v>
      </c>
      <c r="IE64" s="178"/>
      <c r="IF64" s="178"/>
      <c r="IG64" s="178"/>
      <c r="IH64" s="178"/>
      <c r="II64" s="178"/>
      <c r="IJ64" s="178"/>
      <c r="IK64" s="178"/>
      <c r="IL64" s="178"/>
      <c r="IM64" s="178"/>
      <c r="IN64" s="178"/>
      <c r="IO64" s="178"/>
      <c r="IP64" s="178"/>
      <c r="IQ64" s="178"/>
      <c r="IR64" s="178"/>
      <c r="IS64" s="178"/>
      <c r="IT64" s="178"/>
      <c r="IU64" s="178"/>
      <c r="IV64" s="178"/>
      <c r="IW64" s="178"/>
      <c r="IX64" s="178"/>
      <c r="IY64" s="178"/>
      <c r="IZ64" s="178"/>
      <c r="JA64" s="178"/>
      <c r="JB64" s="178"/>
      <c r="JC64" s="178"/>
      <c r="JD64" s="178"/>
    </row>
    <row r="65">
      <c r="A65" s="204"/>
      <c r="B65" s="204"/>
      <c r="C65" s="204"/>
      <c r="D65" s="204"/>
      <c r="E65" s="204"/>
      <c r="F65" s="204"/>
      <c r="G65" s="204"/>
      <c r="H65" s="204"/>
      <c r="I65" s="204"/>
      <c r="J65" s="204"/>
      <c r="K65" s="204"/>
      <c r="L65" s="204"/>
      <c r="M65" s="204"/>
      <c r="N65" s="204"/>
      <c r="O65" s="204"/>
      <c r="P65" s="204"/>
      <c r="Q65" s="204"/>
      <c r="R65" s="204"/>
      <c r="S65" s="204"/>
      <c r="T65" s="204"/>
      <c r="U65" s="204"/>
      <c r="V65" s="204"/>
      <c r="W65" s="204"/>
      <c r="X65" s="204"/>
      <c r="Y65" s="204"/>
      <c r="Z65" s="204"/>
      <c r="AA65" s="204"/>
      <c r="AB65" s="204"/>
      <c r="AC65" s="204"/>
      <c r="AD65" s="204"/>
      <c r="AE65" s="204"/>
      <c r="AF65" s="204"/>
      <c r="AG65" s="204"/>
      <c r="AH65" s="204"/>
      <c r="AI65" s="204"/>
      <c r="AJ65" s="204"/>
      <c r="AK65" s="205" t="s">
        <v>426</v>
      </c>
      <c r="AL65" s="195">
        <v>0.01542824074074074</v>
      </c>
      <c r="AM65" s="204"/>
      <c r="AN65" s="204"/>
      <c r="AO65" s="206" t="s">
        <v>53</v>
      </c>
      <c r="AP65" s="199">
        <v>0.0010300925925925926</v>
      </c>
      <c r="AQ65" s="206" t="s">
        <v>53</v>
      </c>
      <c r="AR65" s="199">
        <v>0.021388888888888888</v>
      </c>
      <c r="AS65" s="204"/>
      <c r="AT65" s="204"/>
      <c r="AU65" s="205" t="s">
        <v>87</v>
      </c>
      <c r="AV65" s="195">
        <v>0.4815509259259259</v>
      </c>
      <c r="AW65" s="205" t="s">
        <v>65</v>
      </c>
      <c r="AX65" s="195">
        <v>0.2054513888888889</v>
      </c>
      <c r="AY65" s="205" t="s">
        <v>36</v>
      </c>
      <c r="AZ65" s="195">
        <v>0.14125</v>
      </c>
      <c r="BA65" s="205" t="s">
        <v>8</v>
      </c>
      <c r="BB65" s="195">
        <v>0.015196759259259259</v>
      </c>
      <c r="BC65" s="205" t="s">
        <v>8</v>
      </c>
      <c r="BD65" s="195">
        <v>0.033622685185185186</v>
      </c>
      <c r="BE65" s="205" t="s">
        <v>32</v>
      </c>
      <c r="BF65" s="195">
        <v>0.46185185185185185</v>
      </c>
      <c r="BG65" s="205" t="s">
        <v>22</v>
      </c>
      <c r="BH65" s="195">
        <v>0.02486111111111111</v>
      </c>
      <c r="BI65" s="205" t="s">
        <v>22</v>
      </c>
      <c r="BJ65" s="195">
        <v>0.04622685185185185</v>
      </c>
      <c r="BK65" s="205" t="s">
        <v>32</v>
      </c>
      <c r="BL65" s="195">
        <v>0.21024305555555556</v>
      </c>
      <c r="BM65" s="205" t="s">
        <v>32</v>
      </c>
      <c r="BN65" s="195">
        <v>0.25850694444444444</v>
      </c>
      <c r="BO65" s="205" t="s">
        <v>32</v>
      </c>
      <c r="BP65" s="195">
        <v>0.07763888888888888</v>
      </c>
      <c r="BQ65" s="205" t="s">
        <v>32</v>
      </c>
      <c r="BR65" s="195">
        <v>0.03615740740740741</v>
      </c>
      <c r="BS65" s="205" t="s">
        <v>32</v>
      </c>
      <c r="BT65" s="195">
        <v>0.11733796296296296</v>
      </c>
      <c r="BU65" s="205" t="s">
        <v>71</v>
      </c>
      <c r="BV65" s="195">
        <v>0.1180324074074074</v>
      </c>
      <c r="BW65" s="205" t="s">
        <v>32</v>
      </c>
      <c r="BX65" s="195">
        <v>0.07127314814814815</v>
      </c>
      <c r="BY65" s="205" t="s">
        <v>32</v>
      </c>
      <c r="BZ65" s="195">
        <v>0.06872685185185186</v>
      </c>
      <c r="CA65" s="205" t="s">
        <v>32</v>
      </c>
      <c r="CB65" s="195">
        <v>0.07640046296296296</v>
      </c>
      <c r="CC65" s="205" t="s">
        <v>32</v>
      </c>
      <c r="CD65" s="195">
        <v>0.13010416666666666</v>
      </c>
      <c r="CE65" s="205" t="s">
        <v>71</v>
      </c>
      <c r="CF65" s="195">
        <v>0.13267361111111112</v>
      </c>
      <c r="CG65" s="205" t="s">
        <v>32</v>
      </c>
      <c r="CH65" s="195">
        <v>0.03594907407407407</v>
      </c>
      <c r="CI65" s="205" t="s">
        <v>71</v>
      </c>
      <c r="CJ65" s="195">
        <v>0.2462962962962963</v>
      </c>
      <c r="CK65" s="205" t="s">
        <v>71</v>
      </c>
      <c r="CL65" s="195">
        <v>0.25157407407407406</v>
      </c>
      <c r="CM65" s="205" t="s">
        <v>32</v>
      </c>
      <c r="CN65" s="195">
        <v>0.005486111111111111</v>
      </c>
      <c r="CO65" s="205" t="s">
        <v>22</v>
      </c>
      <c r="CP65" s="195">
        <v>0.24722222222222223</v>
      </c>
      <c r="CQ65" s="205" t="s">
        <v>22</v>
      </c>
      <c r="CR65" s="195">
        <v>0.09782407407407408</v>
      </c>
      <c r="CS65" s="205" t="s">
        <v>22</v>
      </c>
      <c r="CT65" s="195">
        <v>0.18756944444444446</v>
      </c>
      <c r="CU65" s="205" t="s">
        <v>32</v>
      </c>
      <c r="CV65" s="195">
        <v>0.03851851851851852</v>
      </c>
      <c r="CW65" s="205" t="s">
        <v>36</v>
      </c>
      <c r="CX65" s="195">
        <v>0.0013425925925925925</v>
      </c>
      <c r="CY65" s="205" t="s">
        <v>65</v>
      </c>
      <c r="CZ65" s="195">
        <v>0.06094907407407407</v>
      </c>
      <c r="DA65" s="205" t="s">
        <v>36</v>
      </c>
      <c r="DB65" s="195">
        <v>0.12855324074074073</v>
      </c>
      <c r="DC65" s="205" t="s">
        <v>71</v>
      </c>
      <c r="DD65" s="195">
        <v>0.07944444444444444</v>
      </c>
      <c r="DE65" s="205" t="s">
        <v>32</v>
      </c>
      <c r="DF65" s="195">
        <v>0.028888888888888888</v>
      </c>
      <c r="DG65" s="205" t="s">
        <v>32</v>
      </c>
      <c r="DH65" s="195">
        <v>3.5376273148148147</v>
      </c>
      <c r="IE65" s="178"/>
      <c r="IF65" s="178"/>
      <c r="IG65" s="178"/>
      <c r="IH65" s="178"/>
      <c r="II65" s="178"/>
      <c r="IJ65" s="178"/>
      <c r="IK65" s="178"/>
      <c r="IL65" s="178"/>
      <c r="IM65" s="178"/>
      <c r="IN65" s="178"/>
      <c r="IO65" s="178"/>
      <c r="IP65" s="178"/>
      <c r="IQ65" s="178"/>
      <c r="IR65" s="178"/>
      <c r="IS65" s="178"/>
      <c r="IT65" s="178"/>
      <c r="IU65" s="178"/>
      <c r="IV65" s="178"/>
      <c r="IW65" s="178"/>
      <c r="IX65" s="178"/>
      <c r="IY65" s="178"/>
      <c r="IZ65" s="178"/>
      <c r="JA65" s="178"/>
      <c r="JB65" s="178"/>
      <c r="JC65" s="178"/>
      <c r="JD65" s="178"/>
    </row>
    <row r="66">
      <c r="A66" s="204"/>
      <c r="B66" s="204"/>
      <c r="C66" s="204"/>
      <c r="D66" s="204"/>
      <c r="E66" s="204"/>
      <c r="F66" s="204"/>
      <c r="G66" s="204"/>
      <c r="H66" s="204"/>
      <c r="I66" s="204"/>
      <c r="J66" s="204"/>
      <c r="K66" s="204"/>
      <c r="L66" s="204"/>
      <c r="M66" s="204"/>
      <c r="N66" s="204"/>
      <c r="O66" s="204"/>
      <c r="P66" s="204"/>
      <c r="Q66" s="204"/>
      <c r="R66" s="204"/>
      <c r="S66" s="204"/>
      <c r="T66" s="204"/>
      <c r="U66" s="204"/>
      <c r="V66" s="204"/>
      <c r="W66" s="204"/>
      <c r="X66" s="204"/>
      <c r="Y66" s="204"/>
      <c r="Z66" s="204"/>
      <c r="AA66" s="204"/>
      <c r="AB66" s="204"/>
      <c r="AC66" s="204"/>
      <c r="AD66" s="204"/>
      <c r="AE66" s="204"/>
      <c r="AF66" s="204"/>
      <c r="AG66" s="204"/>
      <c r="AH66" s="204"/>
      <c r="AI66" s="204"/>
      <c r="AJ66" s="204"/>
      <c r="AK66" s="205" t="s">
        <v>93</v>
      </c>
      <c r="AL66" s="195">
        <v>0.03423611111111111</v>
      </c>
      <c r="AM66" s="204"/>
      <c r="AN66" s="204"/>
      <c r="AO66" s="204"/>
      <c r="AP66" s="204"/>
      <c r="AQ66" s="204"/>
      <c r="AR66" s="204"/>
      <c r="AS66" s="204"/>
      <c r="AT66" s="204"/>
      <c r="AU66" s="205" t="s">
        <v>52</v>
      </c>
      <c r="AV66" s="195">
        <v>1.588425925925926</v>
      </c>
      <c r="AW66" s="205" t="s">
        <v>36</v>
      </c>
      <c r="AX66" s="195">
        <v>0.07629629629629629</v>
      </c>
      <c r="AY66" s="205" t="s">
        <v>86</v>
      </c>
      <c r="AZ66" s="195">
        <v>0.38752314814814814</v>
      </c>
      <c r="BA66" s="205" t="s">
        <v>65</v>
      </c>
      <c r="BB66" s="195">
        <v>0.4504050925925926</v>
      </c>
      <c r="BC66" s="205" t="s">
        <v>65</v>
      </c>
      <c r="BD66" s="195">
        <v>0.4424537037037037</v>
      </c>
      <c r="BE66" s="205" t="s">
        <v>71</v>
      </c>
      <c r="BF66" s="195">
        <v>0.018877314814814816</v>
      </c>
      <c r="BG66" s="205" t="s">
        <v>8</v>
      </c>
      <c r="BH66" s="195">
        <v>0.04150462962962963</v>
      </c>
      <c r="BI66" s="205" t="s">
        <v>8</v>
      </c>
      <c r="BJ66" s="195">
        <v>0.11774305555555556</v>
      </c>
      <c r="BK66" s="205" t="s">
        <v>71</v>
      </c>
      <c r="BL66" s="195">
        <v>0.14956018518518518</v>
      </c>
      <c r="BM66" s="205" t="s">
        <v>71</v>
      </c>
      <c r="BN66" s="195">
        <v>0.27545138888888887</v>
      </c>
      <c r="BO66" s="205" t="s">
        <v>71</v>
      </c>
      <c r="BP66" s="195">
        <v>0.2184375</v>
      </c>
      <c r="BQ66" s="205" t="s">
        <v>71</v>
      </c>
      <c r="BR66" s="195">
        <v>0.14568287037037037</v>
      </c>
      <c r="BS66" s="205" t="s">
        <v>71</v>
      </c>
      <c r="BT66" s="195">
        <v>0.22701388888888888</v>
      </c>
      <c r="BU66" s="205" t="s">
        <v>22</v>
      </c>
      <c r="BV66" s="195">
        <v>0.11974537037037038</v>
      </c>
      <c r="BW66" s="205" t="s">
        <v>71</v>
      </c>
      <c r="BX66" s="195">
        <v>0.1400347222222222</v>
      </c>
      <c r="BY66" s="205" t="s">
        <v>71</v>
      </c>
      <c r="BZ66" s="195">
        <v>0.10111111111111111</v>
      </c>
      <c r="CA66" s="205" t="s">
        <v>71</v>
      </c>
      <c r="CB66" s="195">
        <v>0.12921296296296297</v>
      </c>
      <c r="CC66" s="205" t="s">
        <v>71</v>
      </c>
      <c r="CD66" s="195">
        <v>0.09494212962962963</v>
      </c>
      <c r="CE66" s="205" t="s">
        <v>22</v>
      </c>
      <c r="CF66" s="195">
        <v>0.1310185185185185</v>
      </c>
      <c r="CG66" s="205" t="s">
        <v>71</v>
      </c>
      <c r="CH66" s="195">
        <v>0.38068287037037035</v>
      </c>
      <c r="CI66" s="205" t="s">
        <v>22</v>
      </c>
      <c r="CJ66" s="195">
        <v>0.422962962962963</v>
      </c>
      <c r="CK66" s="205" t="s">
        <v>22</v>
      </c>
      <c r="CL66" s="195">
        <v>0.22809027777777777</v>
      </c>
      <c r="CM66" s="205" t="s">
        <v>71</v>
      </c>
      <c r="CN66" s="195">
        <v>0.34063657407407405</v>
      </c>
      <c r="CO66" s="205" t="s">
        <v>8</v>
      </c>
      <c r="CP66" s="195">
        <v>0.14537037037037037</v>
      </c>
      <c r="CQ66" s="205" t="s">
        <v>8</v>
      </c>
      <c r="CR66" s="195">
        <v>0.0409375</v>
      </c>
      <c r="CS66" s="205" t="s">
        <v>8</v>
      </c>
      <c r="CT66" s="195">
        <v>0.02502314814814815</v>
      </c>
      <c r="CU66" s="205" t="s">
        <v>71</v>
      </c>
      <c r="CV66" s="195">
        <v>0.2945023148148148</v>
      </c>
      <c r="CW66" s="205" t="s">
        <v>86</v>
      </c>
      <c r="CX66" s="195">
        <v>8.217592592592593E-4</v>
      </c>
      <c r="CY66" s="205" t="s">
        <v>36</v>
      </c>
      <c r="CZ66" s="195">
        <v>0.03436342592592593</v>
      </c>
      <c r="DA66" s="205" t="s">
        <v>86</v>
      </c>
      <c r="DB66" s="195">
        <v>0.02255787037037037</v>
      </c>
      <c r="DC66" s="205" t="s">
        <v>22</v>
      </c>
      <c r="DD66" s="195">
        <v>0.07747685185185185</v>
      </c>
      <c r="DE66" s="205" t="s">
        <v>71</v>
      </c>
      <c r="DF66" s="195">
        <v>0.028541666666666667</v>
      </c>
      <c r="DG66" s="205" t="s">
        <v>71</v>
      </c>
      <c r="DH66" s="195">
        <v>1.033738425925926</v>
      </c>
      <c r="IE66" s="178"/>
      <c r="IF66" s="178"/>
      <c r="IG66" s="178"/>
      <c r="IH66" s="178"/>
      <c r="II66" s="178"/>
      <c r="IJ66" s="178"/>
      <c r="IK66" s="178"/>
      <c r="IL66" s="178"/>
      <c r="IM66" s="178"/>
      <c r="IN66" s="178"/>
      <c r="IO66" s="178"/>
      <c r="IP66" s="178"/>
      <c r="IQ66" s="178"/>
      <c r="IR66" s="178"/>
      <c r="IS66" s="178"/>
      <c r="IT66" s="178"/>
      <c r="IU66" s="178"/>
      <c r="IV66" s="178"/>
      <c r="IW66" s="178"/>
      <c r="IX66" s="178"/>
      <c r="IY66" s="178"/>
      <c r="IZ66" s="178"/>
      <c r="JA66" s="178"/>
      <c r="JB66" s="178"/>
      <c r="JC66" s="178"/>
      <c r="JD66" s="178"/>
    </row>
    <row r="67">
      <c r="A67" s="204"/>
      <c r="B67" s="204"/>
      <c r="C67" s="204"/>
      <c r="D67" s="204"/>
      <c r="E67" s="204"/>
      <c r="F67" s="204"/>
      <c r="G67" s="204"/>
      <c r="H67" s="204"/>
      <c r="I67" s="204"/>
      <c r="J67" s="204"/>
      <c r="K67" s="204"/>
      <c r="L67" s="204"/>
      <c r="M67" s="204"/>
      <c r="N67" s="204"/>
      <c r="O67" s="204"/>
      <c r="P67" s="204"/>
      <c r="Q67" s="204"/>
      <c r="R67" s="204"/>
      <c r="S67" s="204"/>
      <c r="T67" s="204"/>
      <c r="U67" s="204"/>
      <c r="V67" s="204"/>
      <c r="W67" s="204"/>
      <c r="X67" s="204"/>
      <c r="Y67" s="204"/>
      <c r="Z67" s="204"/>
      <c r="AA67" s="204"/>
      <c r="AB67" s="204"/>
      <c r="AC67" s="204"/>
      <c r="AD67" s="204"/>
      <c r="AE67" s="204"/>
      <c r="AF67" s="204"/>
      <c r="AG67" s="204"/>
      <c r="AH67" s="204"/>
      <c r="AI67" s="204"/>
      <c r="AJ67" s="204"/>
      <c r="AK67" s="205" t="s">
        <v>30</v>
      </c>
      <c r="AL67" s="195">
        <v>0.012372685185185184</v>
      </c>
      <c r="AM67" s="204"/>
      <c r="AN67" s="204"/>
      <c r="AO67" s="204"/>
      <c r="AP67" s="204"/>
      <c r="AQ67" s="204"/>
      <c r="AR67" s="204"/>
      <c r="AS67" s="204"/>
      <c r="AT67" s="204"/>
      <c r="AU67" s="205" t="s">
        <v>426</v>
      </c>
      <c r="AV67" s="195">
        <v>0.2719560185185185</v>
      </c>
      <c r="AW67" s="205" t="s">
        <v>86</v>
      </c>
      <c r="AX67" s="195">
        <v>0.5327430555555556</v>
      </c>
      <c r="AY67" s="205" t="s">
        <v>20</v>
      </c>
      <c r="AZ67" s="195">
        <v>0.006574074074074074</v>
      </c>
      <c r="BA67" s="205" t="s">
        <v>36</v>
      </c>
      <c r="BB67" s="195">
        <v>0.15149305555555556</v>
      </c>
      <c r="BC67" s="205" t="s">
        <v>36</v>
      </c>
      <c r="BD67" s="195">
        <v>0.11325231481481482</v>
      </c>
      <c r="BE67" s="205" t="s">
        <v>22</v>
      </c>
      <c r="BF67" s="195">
        <v>0.025925925925925925</v>
      </c>
      <c r="BG67" s="205" t="s">
        <v>65</v>
      </c>
      <c r="BH67" s="195">
        <v>0.30324074074074076</v>
      </c>
      <c r="BI67" s="205" t="s">
        <v>65</v>
      </c>
      <c r="BJ67" s="195">
        <v>0.1551736111111111</v>
      </c>
      <c r="BK67" s="205" t="s">
        <v>22</v>
      </c>
      <c r="BL67" s="195">
        <v>0.05087962962962963</v>
      </c>
      <c r="BM67" s="205" t="s">
        <v>22</v>
      </c>
      <c r="BN67" s="195">
        <v>0.0905787037037037</v>
      </c>
      <c r="BO67" s="205" t="s">
        <v>22</v>
      </c>
      <c r="BP67" s="195">
        <v>0.13530092592592594</v>
      </c>
      <c r="BQ67" s="205" t="s">
        <v>22</v>
      </c>
      <c r="BR67" s="195">
        <v>0.6453587962962963</v>
      </c>
      <c r="BS67" s="205" t="s">
        <v>22</v>
      </c>
      <c r="BT67" s="195">
        <v>0.5650810185185186</v>
      </c>
      <c r="BU67" s="205" t="s">
        <v>8</v>
      </c>
      <c r="BV67" s="195">
        <v>0.11614583333333334</v>
      </c>
      <c r="BW67" s="205" t="s">
        <v>22</v>
      </c>
      <c r="BX67" s="195">
        <v>0.13767361111111112</v>
      </c>
      <c r="BY67" s="205" t="s">
        <v>22</v>
      </c>
      <c r="BZ67" s="195">
        <v>0.12519675925925927</v>
      </c>
      <c r="CA67" s="205" t="s">
        <v>22</v>
      </c>
      <c r="CB67" s="195">
        <v>0.19997685185185185</v>
      </c>
      <c r="CC67" s="205" t="s">
        <v>22</v>
      </c>
      <c r="CD67" s="195">
        <v>0.3215046296296296</v>
      </c>
      <c r="CE67" s="205" t="s">
        <v>8</v>
      </c>
      <c r="CF67" s="195">
        <v>0.9474074074074074</v>
      </c>
      <c r="CG67" s="205" t="s">
        <v>22</v>
      </c>
      <c r="CH67" s="195">
        <v>0.16832175925925927</v>
      </c>
      <c r="CI67" s="205" t="s">
        <v>8</v>
      </c>
      <c r="CJ67" s="195">
        <v>0.4309027777777778</v>
      </c>
      <c r="CK67" s="205" t="s">
        <v>8</v>
      </c>
      <c r="CL67" s="195">
        <v>0.276875</v>
      </c>
      <c r="CM67" s="205" t="s">
        <v>22</v>
      </c>
      <c r="CN67" s="195">
        <v>0.1199537037037037</v>
      </c>
      <c r="CO67" s="205" t="s">
        <v>65</v>
      </c>
      <c r="CP67" s="195">
        <v>0.05811342592592592</v>
      </c>
      <c r="CQ67" s="205" t="s">
        <v>65</v>
      </c>
      <c r="CR67" s="195">
        <v>0.030775462962962963</v>
      </c>
      <c r="CS67" s="205" t="s">
        <v>65</v>
      </c>
      <c r="CT67" s="195">
        <v>0.0027314814814814814</v>
      </c>
      <c r="CU67" s="205" t="s">
        <v>22</v>
      </c>
      <c r="CV67" s="195">
        <v>0.1492476851851852</v>
      </c>
      <c r="CW67" s="205" t="s">
        <v>20</v>
      </c>
      <c r="CX67" s="195">
        <v>0.003414351851851852</v>
      </c>
      <c r="CY67" s="205" t="s">
        <v>86</v>
      </c>
      <c r="CZ67" s="195">
        <v>0.0016435185185185185</v>
      </c>
      <c r="DA67" s="205" t="s">
        <v>20</v>
      </c>
      <c r="DB67" s="195">
        <v>0.07034722222222223</v>
      </c>
      <c r="DC67" s="205" t="s">
        <v>8</v>
      </c>
      <c r="DD67" s="195">
        <v>0.02290509259259259</v>
      </c>
      <c r="DE67" s="205" t="s">
        <v>22</v>
      </c>
      <c r="DF67" s="195">
        <v>0.1111111111111111</v>
      </c>
      <c r="DG67" s="205" t="s">
        <v>22</v>
      </c>
      <c r="DH67" s="195">
        <v>3.3323263888888883</v>
      </c>
      <c r="IE67" s="178"/>
      <c r="IF67" s="178"/>
      <c r="IG67" s="178"/>
      <c r="IH67" s="178"/>
      <c r="II67" s="178"/>
      <c r="IJ67" s="178"/>
      <c r="IK67" s="178"/>
      <c r="IL67" s="178"/>
      <c r="IM67" s="178"/>
      <c r="IN67" s="178"/>
      <c r="IO67" s="178"/>
      <c r="IP67" s="178"/>
      <c r="IQ67" s="178"/>
      <c r="IR67" s="178"/>
      <c r="IS67" s="178"/>
      <c r="IT67" s="178"/>
      <c r="IU67" s="178"/>
      <c r="IV67" s="178"/>
      <c r="IW67" s="178"/>
      <c r="IX67" s="178"/>
      <c r="IY67" s="178"/>
      <c r="IZ67" s="178"/>
      <c r="JA67" s="178"/>
      <c r="JB67" s="178"/>
      <c r="JC67" s="178"/>
      <c r="JD67" s="178"/>
    </row>
    <row r="68">
      <c r="A68" s="204"/>
      <c r="B68" s="204"/>
      <c r="C68" s="204"/>
      <c r="D68" s="204"/>
      <c r="E68" s="204"/>
      <c r="F68" s="204"/>
      <c r="G68" s="204"/>
      <c r="H68" s="204"/>
      <c r="I68" s="204"/>
      <c r="J68" s="204"/>
      <c r="K68" s="204"/>
      <c r="L68" s="204"/>
      <c r="M68" s="204"/>
      <c r="N68" s="204"/>
      <c r="O68" s="204"/>
      <c r="P68" s="204"/>
      <c r="Q68" s="204"/>
      <c r="R68" s="204"/>
      <c r="S68" s="204"/>
      <c r="T68" s="204"/>
      <c r="U68" s="204"/>
      <c r="V68" s="204"/>
      <c r="W68" s="204"/>
      <c r="X68" s="204"/>
      <c r="Y68" s="204"/>
      <c r="Z68" s="204"/>
      <c r="AA68" s="204"/>
      <c r="AB68" s="204"/>
      <c r="AC68" s="204"/>
      <c r="AD68" s="204"/>
      <c r="AE68" s="204"/>
      <c r="AF68" s="204"/>
      <c r="AG68" s="204"/>
      <c r="AH68" s="204"/>
      <c r="AI68" s="204"/>
      <c r="AJ68" s="204"/>
      <c r="AK68" s="205" t="s">
        <v>61</v>
      </c>
      <c r="AL68" s="195">
        <v>0.0</v>
      </c>
      <c r="AM68" s="204"/>
      <c r="AN68" s="204"/>
      <c r="AO68" s="204"/>
      <c r="AP68" s="204"/>
      <c r="AQ68" s="204"/>
      <c r="AR68" s="204"/>
      <c r="AS68" s="204"/>
      <c r="AT68" s="204"/>
      <c r="AU68" s="205" t="s">
        <v>93</v>
      </c>
      <c r="AV68" s="195">
        <v>0.23472222222222222</v>
      </c>
      <c r="AW68" s="205" t="s">
        <v>87</v>
      </c>
      <c r="AX68" s="195">
        <v>0.27934027777777776</v>
      </c>
      <c r="AY68" s="205" t="s">
        <v>87</v>
      </c>
      <c r="AZ68" s="195">
        <v>0.2756712962962963</v>
      </c>
      <c r="BA68" s="205" t="s">
        <v>86</v>
      </c>
      <c r="BB68" s="195">
        <v>0.39534722222222224</v>
      </c>
      <c r="BC68" s="205" t="s">
        <v>86</v>
      </c>
      <c r="BD68" s="195">
        <v>0.6028587962962964</v>
      </c>
      <c r="BE68" s="205" t="s">
        <v>8</v>
      </c>
      <c r="BF68" s="195">
        <v>0.0334375</v>
      </c>
      <c r="BG68" s="205" t="s">
        <v>36</v>
      </c>
      <c r="BH68" s="195">
        <v>0.011226851851851852</v>
      </c>
      <c r="BI68" s="205" t="s">
        <v>36</v>
      </c>
      <c r="BJ68" s="195">
        <v>0.0675</v>
      </c>
      <c r="BK68" s="205" t="s">
        <v>8</v>
      </c>
      <c r="BL68" s="195">
        <v>0.09681712962962963</v>
      </c>
      <c r="BM68" s="205" t="s">
        <v>8</v>
      </c>
      <c r="BN68" s="195">
        <v>0.1209837962962963</v>
      </c>
      <c r="BO68" s="205" t="s">
        <v>8</v>
      </c>
      <c r="BP68" s="195">
        <v>0.13184027777777776</v>
      </c>
      <c r="BQ68" s="205" t="s">
        <v>8</v>
      </c>
      <c r="BR68" s="195">
        <v>0.37484953703703705</v>
      </c>
      <c r="BS68" s="205" t="s">
        <v>8</v>
      </c>
      <c r="BT68" s="195">
        <v>0.3150810185185185</v>
      </c>
      <c r="BU68" s="205" t="s">
        <v>65</v>
      </c>
      <c r="BV68" s="195">
        <v>0.10077546296296297</v>
      </c>
      <c r="BW68" s="205" t="s">
        <v>8</v>
      </c>
      <c r="BX68" s="195">
        <v>0.17783564814814815</v>
      </c>
      <c r="BY68" s="205" t="s">
        <v>8</v>
      </c>
      <c r="BZ68" s="195">
        <v>0.22224537037037037</v>
      </c>
      <c r="CA68" s="205" t="s">
        <v>8</v>
      </c>
      <c r="CB68" s="195">
        <v>0.7643865740740741</v>
      </c>
      <c r="CC68" s="205" t="s">
        <v>8</v>
      </c>
      <c r="CD68" s="195">
        <v>0.4159143518518518</v>
      </c>
      <c r="CE68" s="205" t="s">
        <v>65</v>
      </c>
      <c r="CF68" s="195">
        <v>0.10164351851851852</v>
      </c>
      <c r="CG68" s="205" t="s">
        <v>8</v>
      </c>
      <c r="CH68" s="195">
        <v>0.35096064814814815</v>
      </c>
      <c r="CI68" s="205" t="s">
        <v>65</v>
      </c>
      <c r="CJ68" s="195">
        <v>0.04649305555555556</v>
      </c>
      <c r="CK68" s="205" t="s">
        <v>65</v>
      </c>
      <c r="CL68" s="195">
        <v>0.06841435185185185</v>
      </c>
      <c r="CM68" s="205" t="s">
        <v>8</v>
      </c>
      <c r="CN68" s="195">
        <v>0.26395833333333335</v>
      </c>
      <c r="CO68" s="205" t="s">
        <v>36</v>
      </c>
      <c r="CP68" s="195">
        <v>0.02855324074074074</v>
      </c>
      <c r="CQ68" s="205" t="s">
        <v>36</v>
      </c>
      <c r="CR68" s="195">
        <v>0.049351851851851855</v>
      </c>
      <c r="CS68" s="205" t="s">
        <v>36</v>
      </c>
      <c r="CT68" s="195">
        <v>0.09509259259259259</v>
      </c>
      <c r="CU68" s="205" t="s">
        <v>8</v>
      </c>
      <c r="CV68" s="195">
        <v>0.06533564814814814</v>
      </c>
      <c r="CW68" s="205" t="s">
        <v>87</v>
      </c>
      <c r="CX68" s="195">
        <v>0.014212962962962964</v>
      </c>
      <c r="CY68" s="205" t="s">
        <v>20</v>
      </c>
      <c r="CZ68" s="195">
        <v>0.014594907407407407</v>
      </c>
      <c r="DA68" s="205" t="s">
        <v>87</v>
      </c>
      <c r="DB68" s="195">
        <v>0.07222222222222222</v>
      </c>
      <c r="DC68" s="205" t="s">
        <v>65</v>
      </c>
      <c r="DD68" s="195">
        <v>0.04069444444444444</v>
      </c>
      <c r="DE68" s="205" t="s">
        <v>8</v>
      </c>
      <c r="DF68" s="195">
        <v>0.06287037037037037</v>
      </c>
      <c r="DG68" s="205" t="s">
        <v>8</v>
      </c>
      <c r="DH68" s="195">
        <v>3.4342939814814817</v>
      </c>
      <c r="IE68" s="178"/>
      <c r="IF68" s="178"/>
      <c r="IG68" s="178"/>
      <c r="IH68" s="178"/>
      <c r="II68" s="178"/>
      <c r="IJ68" s="178"/>
      <c r="IK68" s="178"/>
      <c r="IL68" s="178"/>
      <c r="IM68" s="178"/>
      <c r="IN68" s="178"/>
      <c r="IO68" s="178"/>
      <c r="IP68" s="178"/>
      <c r="IQ68" s="178"/>
      <c r="IR68" s="178"/>
      <c r="IS68" s="178"/>
      <c r="IT68" s="178"/>
      <c r="IU68" s="178"/>
      <c r="IV68" s="178"/>
      <c r="IW68" s="178"/>
      <c r="IX68" s="178"/>
      <c r="IY68" s="178"/>
      <c r="IZ68" s="178"/>
      <c r="JA68" s="178"/>
      <c r="JB68" s="178"/>
      <c r="JC68" s="178"/>
      <c r="JD68" s="178"/>
    </row>
    <row r="69">
      <c r="A69" s="204"/>
      <c r="B69" s="204"/>
      <c r="C69" s="204"/>
      <c r="D69" s="204"/>
      <c r="E69" s="204"/>
      <c r="F69" s="204"/>
      <c r="G69" s="204"/>
      <c r="H69" s="204"/>
      <c r="I69" s="204"/>
      <c r="J69" s="204"/>
      <c r="K69" s="204"/>
      <c r="L69" s="204"/>
      <c r="M69" s="204"/>
      <c r="N69" s="204"/>
      <c r="O69" s="204"/>
      <c r="P69" s="204"/>
      <c r="Q69" s="204"/>
      <c r="R69" s="204"/>
      <c r="S69" s="204"/>
      <c r="T69" s="204"/>
      <c r="U69" s="204"/>
      <c r="V69" s="204"/>
      <c r="W69" s="204"/>
      <c r="X69" s="204"/>
      <c r="Y69" s="204"/>
      <c r="Z69" s="204"/>
      <c r="AA69" s="204"/>
      <c r="AB69" s="204"/>
      <c r="AC69" s="204"/>
      <c r="AD69" s="204"/>
      <c r="AE69" s="204"/>
      <c r="AF69" s="204"/>
      <c r="AG69" s="204"/>
      <c r="AH69" s="204"/>
      <c r="AI69" s="204"/>
      <c r="AJ69" s="204"/>
      <c r="AK69" s="206" t="s">
        <v>53</v>
      </c>
      <c r="AL69" s="199">
        <v>0.011585648148148149</v>
      </c>
      <c r="AM69" s="204"/>
      <c r="AN69" s="204"/>
      <c r="AO69" s="204"/>
      <c r="AP69" s="204"/>
      <c r="AQ69" s="204"/>
      <c r="AR69" s="204"/>
      <c r="AS69" s="204"/>
      <c r="AT69" s="204"/>
      <c r="AU69" s="205" t="s">
        <v>30</v>
      </c>
      <c r="AV69" s="195">
        <v>5.902777777777778E-4</v>
      </c>
      <c r="AW69" s="205" t="s">
        <v>52</v>
      </c>
      <c r="AX69" s="195">
        <v>0.6470601851851852</v>
      </c>
      <c r="AY69" s="205" t="s">
        <v>52</v>
      </c>
      <c r="AZ69" s="195">
        <v>0.41689814814814813</v>
      </c>
      <c r="BA69" s="205" t="s">
        <v>20</v>
      </c>
      <c r="BB69" s="195">
        <v>2.0833333333333335E-4</v>
      </c>
      <c r="BC69" s="205" t="s">
        <v>20</v>
      </c>
      <c r="BD69" s="195">
        <v>0.02133101851851852</v>
      </c>
      <c r="BE69" s="205" t="s">
        <v>65</v>
      </c>
      <c r="BF69" s="195">
        <v>0.4914699074074074</v>
      </c>
      <c r="BG69" s="205" t="s">
        <v>86</v>
      </c>
      <c r="BH69" s="195">
        <v>0.39140046296296294</v>
      </c>
      <c r="BI69" s="205" t="s">
        <v>86</v>
      </c>
      <c r="BJ69" s="195">
        <v>0.41847222222222225</v>
      </c>
      <c r="BK69" s="205" t="s">
        <v>65</v>
      </c>
      <c r="BL69" s="195">
        <v>0.08518518518518518</v>
      </c>
      <c r="BM69" s="205" t="s">
        <v>65</v>
      </c>
      <c r="BN69" s="195">
        <v>0.11685185185185185</v>
      </c>
      <c r="BO69" s="205" t="s">
        <v>65</v>
      </c>
      <c r="BP69" s="195">
        <v>0.19292824074074075</v>
      </c>
      <c r="BQ69" s="205" t="s">
        <v>65</v>
      </c>
      <c r="BR69" s="195">
        <v>0.1986111111111111</v>
      </c>
      <c r="BS69" s="205" t="s">
        <v>65</v>
      </c>
      <c r="BT69" s="195">
        <v>0.14118055555555556</v>
      </c>
      <c r="BU69" s="205" t="s">
        <v>36</v>
      </c>
      <c r="BV69" s="195">
        <v>0.031296296296296294</v>
      </c>
      <c r="BW69" s="205" t="s">
        <v>65</v>
      </c>
      <c r="BX69" s="195">
        <v>0.1514699074074074</v>
      </c>
      <c r="BY69" s="205" t="s">
        <v>65</v>
      </c>
      <c r="BZ69" s="195">
        <v>0.1169212962962963</v>
      </c>
      <c r="CA69" s="205" t="s">
        <v>65</v>
      </c>
      <c r="CB69" s="195">
        <v>0.07453703703703704</v>
      </c>
      <c r="CC69" s="205" t="s">
        <v>65</v>
      </c>
      <c r="CD69" s="195">
        <v>0.011979166666666667</v>
      </c>
      <c r="CE69" s="205" t="s">
        <v>36</v>
      </c>
      <c r="CF69" s="195">
        <v>0.08865740740740741</v>
      </c>
      <c r="CG69" s="205" t="s">
        <v>65</v>
      </c>
      <c r="CH69" s="195">
        <v>0.12224537037037037</v>
      </c>
      <c r="CI69" s="205" t="s">
        <v>86</v>
      </c>
      <c r="CJ69" s="195">
        <v>0.0640625</v>
      </c>
      <c r="CK69" s="205" t="s">
        <v>36</v>
      </c>
      <c r="CL69" s="195">
        <v>0.12877314814814814</v>
      </c>
      <c r="CM69" s="205" t="s">
        <v>65</v>
      </c>
      <c r="CN69" s="195">
        <v>0.04835648148148148</v>
      </c>
      <c r="CO69" s="205" t="s">
        <v>86</v>
      </c>
      <c r="CP69" s="195">
        <v>0.04681712962962963</v>
      </c>
      <c r="CQ69" s="205" t="s">
        <v>86</v>
      </c>
      <c r="CR69" s="195">
        <v>0.005208333333333333</v>
      </c>
      <c r="CS69" s="205" t="s">
        <v>86</v>
      </c>
      <c r="CT69" s="195">
        <v>0.005763888888888889</v>
      </c>
      <c r="CU69" s="205" t="s">
        <v>65</v>
      </c>
      <c r="CV69" s="195">
        <v>0.03581018518518519</v>
      </c>
      <c r="CW69" s="205" t="s">
        <v>52</v>
      </c>
      <c r="CX69" s="195">
        <v>5.555555555555556E-4</v>
      </c>
      <c r="CY69" s="205" t="s">
        <v>87</v>
      </c>
      <c r="CZ69" s="195">
        <v>0.048657407407407406</v>
      </c>
      <c r="DA69" s="205" t="s">
        <v>52</v>
      </c>
      <c r="DB69" s="195">
        <v>0.04186342592592593</v>
      </c>
      <c r="DC69" s="205" t="s">
        <v>36</v>
      </c>
      <c r="DD69" s="195">
        <v>0.03851851851851852</v>
      </c>
      <c r="DE69" s="205" t="s">
        <v>65</v>
      </c>
      <c r="DF69" s="195">
        <v>0.02025462962962963</v>
      </c>
      <c r="DG69" s="205" t="s">
        <v>65</v>
      </c>
      <c r="DH69" s="195">
        <v>2.368171296296296</v>
      </c>
      <c r="IE69" s="178"/>
      <c r="IF69" s="178"/>
      <c r="IG69" s="178"/>
      <c r="IH69" s="178"/>
      <c r="II69" s="178"/>
      <c r="IJ69" s="178"/>
      <c r="IK69" s="178"/>
      <c r="IL69" s="178"/>
      <c r="IM69" s="178"/>
      <c r="IN69" s="178"/>
      <c r="IO69" s="178"/>
      <c r="IP69" s="178"/>
      <c r="IQ69" s="178"/>
      <c r="IR69" s="178"/>
      <c r="IS69" s="178"/>
      <c r="IT69" s="178"/>
      <c r="IU69" s="178"/>
      <c r="IV69" s="178"/>
      <c r="IW69" s="178"/>
      <c r="IX69" s="178"/>
      <c r="IY69" s="178"/>
      <c r="IZ69" s="178"/>
      <c r="JA69" s="178"/>
      <c r="JB69" s="178"/>
      <c r="JC69" s="178"/>
      <c r="JD69" s="178"/>
    </row>
    <row r="70">
      <c r="A70" s="204"/>
      <c r="B70" s="204"/>
      <c r="C70" s="204"/>
      <c r="D70" s="204"/>
      <c r="E70" s="204"/>
      <c r="F70" s="204"/>
      <c r="G70" s="204"/>
      <c r="H70" s="204"/>
      <c r="I70" s="204"/>
      <c r="J70" s="204"/>
      <c r="K70" s="204"/>
      <c r="L70" s="204"/>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c r="AK70" s="204"/>
      <c r="AL70" s="204"/>
      <c r="AM70" s="204"/>
      <c r="AN70" s="204"/>
      <c r="AO70" s="204"/>
      <c r="AP70" s="204"/>
      <c r="AQ70" s="204"/>
      <c r="AR70" s="204"/>
      <c r="AS70" s="204"/>
      <c r="AT70" s="204"/>
      <c r="AU70" s="205" t="s">
        <v>61</v>
      </c>
      <c r="AV70" s="195">
        <v>0.0016782407407407408</v>
      </c>
      <c r="AW70" s="205" t="s">
        <v>426</v>
      </c>
      <c r="AX70" s="195">
        <v>0.3153009259259259</v>
      </c>
      <c r="AY70" s="205" t="s">
        <v>33</v>
      </c>
      <c r="AZ70" s="195">
        <v>0.007743055555555556</v>
      </c>
      <c r="BA70" s="205" t="s">
        <v>87</v>
      </c>
      <c r="BB70" s="195">
        <v>0.3204976851851852</v>
      </c>
      <c r="BC70" s="205" t="s">
        <v>87</v>
      </c>
      <c r="BD70" s="195">
        <v>0.3630324074074074</v>
      </c>
      <c r="BE70" s="205" t="s">
        <v>36</v>
      </c>
      <c r="BF70" s="195">
        <v>0.04501157407407407</v>
      </c>
      <c r="BG70" s="205" t="s">
        <v>20</v>
      </c>
      <c r="BH70" s="195">
        <v>0.005810185185185186</v>
      </c>
      <c r="BI70" s="205" t="s">
        <v>20</v>
      </c>
      <c r="BJ70" s="195">
        <v>0.017881944444444443</v>
      </c>
      <c r="BK70" s="205" t="s">
        <v>36</v>
      </c>
      <c r="BL70" s="195">
        <v>0.06605324074074075</v>
      </c>
      <c r="BM70" s="205" t="s">
        <v>36</v>
      </c>
      <c r="BN70" s="195">
        <v>0.06952546296296297</v>
      </c>
      <c r="BO70" s="205" t="s">
        <v>36</v>
      </c>
      <c r="BP70" s="195">
        <v>0.03674768518518518</v>
      </c>
      <c r="BQ70" s="205" t="s">
        <v>36</v>
      </c>
      <c r="BR70" s="195">
        <v>0.13256944444444443</v>
      </c>
      <c r="BS70" s="205" t="s">
        <v>36</v>
      </c>
      <c r="BT70" s="195">
        <v>0.11431712962962963</v>
      </c>
      <c r="BU70" s="205" t="s">
        <v>86</v>
      </c>
      <c r="BV70" s="195">
        <v>0.07802083333333333</v>
      </c>
      <c r="BW70" s="205" t="s">
        <v>36</v>
      </c>
      <c r="BX70" s="195">
        <v>0.1095949074074074</v>
      </c>
      <c r="BY70" s="205" t="s">
        <v>36</v>
      </c>
      <c r="BZ70" s="195">
        <v>0.2278125</v>
      </c>
      <c r="CA70" s="205" t="s">
        <v>36</v>
      </c>
      <c r="CB70" s="195">
        <v>0.09789351851851852</v>
      </c>
      <c r="CC70" s="205" t="s">
        <v>36</v>
      </c>
      <c r="CD70" s="195">
        <v>0.04697916666666667</v>
      </c>
      <c r="CE70" s="205" t="s">
        <v>86</v>
      </c>
      <c r="CF70" s="195">
        <v>0.028715277777777777</v>
      </c>
      <c r="CG70" s="205" t="s">
        <v>36</v>
      </c>
      <c r="CH70" s="195">
        <v>0.11159722222222222</v>
      </c>
      <c r="CI70" s="205" t="s">
        <v>20</v>
      </c>
      <c r="CJ70" s="195">
        <v>0.7130787037037037</v>
      </c>
      <c r="CK70" s="205" t="s">
        <v>86</v>
      </c>
      <c r="CL70" s="195">
        <v>0.06662037037037037</v>
      </c>
      <c r="CM70" s="205" t="s">
        <v>36</v>
      </c>
      <c r="CN70" s="195">
        <v>0.12741898148148148</v>
      </c>
      <c r="CO70" s="205" t="s">
        <v>20</v>
      </c>
      <c r="CP70" s="195">
        <v>0.1454050925925926</v>
      </c>
      <c r="CQ70" s="205" t="s">
        <v>20</v>
      </c>
      <c r="CR70" s="195">
        <v>0.028599537037037038</v>
      </c>
      <c r="CS70" s="205" t="s">
        <v>20</v>
      </c>
      <c r="CT70" s="195">
        <v>0.03966435185185185</v>
      </c>
      <c r="CU70" s="205" t="s">
        <v>36</v>
      </c>
      <c r="CV70" s="195">
        <v>0.06328703703703703</v>
      </c>
      <c r="CW70" s="205" t="s">
        <v>66</v>
      </c>
      <c r="CX70" s="195">
        <v>0.00880787037037037</v>
      </c>
      <c r="CY70" s="205" t="s">
        <v>52</v>
      </c>
      <c r="CZ70" s="195">
        <v>0.016296296296296295</v>
      </c>
      <c r="DA70" s="205" t="s">
        <v>66</v>
      </c>
      <c r="DB70" s="195">
        <v>0.03439814814814815</v>
      </c>
      <c r="DC70" s="205" t="s">
        <v>86</v>
      </c>
      <c r="DD70" s="195">
        <v>0.003148148148148148</v>
      </c>
      <c r="DE70" s="205" t="s">
        <v>36</v>
      </c>
      <c r="DF70" s="195">
        <v>0.016203703703703703</v>
      </c>
      <c r="DG70" s="205" t="s">
        <v>36</v>
      </c>
      <c r="DH70" s="195">
        <v>3.850821759259258</v>
      </c>
      <c r="IE70" s="178"/>
      <c r="IF70" s="178"/>
      <c r="IG70" s="178"/>
      <c r="IH70" s="178"/>
      <c r="II70" s="178"/>
      <c r="IJ70" s="178"/>
      <c r="IK70" s="178"/>
      <c r="IL70" s="178"/>
      <c r="IM70" s="178"/>
      <c r="IN70" s="178"/>
      <c r="IO70" s="178"/>
      <c r="IP70" s="178"/>
      <c r="IQ70" s="178"/>
      <c r="IR70" s="178"/>
      <c r="IS70" s="178"/>
      <c r="IT70" s="178"/>
      <c r="IU70" s="178"/>
      <c r="IV70" s="178"/>
      <c r="IW70" s="178"/>
      <c r="IX70" s="178"/>
      <c r="IY70" s="178"/>
      <c r="IZ70" s="178"/>
      <c r="JA70" s="178"/>
      <c r="JB70" s="178"/>
      <c r="JC70" s="178"/>
      <c r="JD70" s="178"/>
    </row>
    <row r="71">
      <c r="A71" s="204"/>
      <c r="B71" s="204"/>
      <c r="C71" s="204"/>
      <c r="D71" s="204"/>
      <c r="E71" s="204"/>
      <c r="F71" s="204"/>
      <c r="G71" s="204"/>
      <c r="H71" s="204"/>
      <c r="I71" s="204"/>
      <c r="J71" s="204"/>
      <c r="K71" s="204"/>
      <c r="L71" s="204"/>
      <c r="M71" s="204"/>
      <c r="N71" s="204"/>
      <c r="O71" s="204"/>
      <c r="P71" s="204"/>
      <c r="Q71" s="204"/>
      <c r="R71" s="204"/>
      <c r="S71" s="204"/>
      <c r="T71" s="204"/>
      <c r="U71" s="204"/>
      <c r="V71" s="204"/>
      <c r="W71" s="204"/>
      <c r="X71" s="204"/>
      <c r="Y71" s="204"/>
      <c r="Z71" s="204"/>
      <c r="AA71" s="204"/>
      <c r="AB71" s="204"/>
      <c r="AC71" s="204"/>
      <c r="AD71" s="204"/>
      <c r="AE71" s="204"/>
      <c r="AF71" s="204"/>
      <c r="AG71" s="204"/>
      <c r="AH71" s="204"/>
      <c r="AI71" s="204"/>
      <c r="AJ71" s="204"/>
      <c r="AK71" s="204"/>
      <c r="AL71" s="204"/>
      <c r="AM71" s="204"/>
      <c r="AN71" s="204"/>
      <c r="AO71" s="204"/>
      <c r="AP71" s="204"/>
      <c r="AQ71" s="204"/>
      <c r="AR71" s="204"/>
      <c r="AS71" s="204"/>
      <c r="AT71" s="204"/>
      <c r="AU71" s="206" t="s">
        <v>53</v>
      </c>
      <c r="AV71" s="199">
        <v>0.006296296296296296</v>
      </c>
      <c r="AW71" s="205" t="s">
        <v>93</v>
      </c>
      <c r="AX71" s="195">
        <v>0.3426388888888889</v>
      </c>
      <c r="AY71" s="205" t="s">
        <v>426</v>
      </c>
      <c r="AZ71" s="195">
        <v>0.2756712962962963</v>
      </c>
      <c r="BA71" s="205" t="s">
        <v>52</v>
      </c>
      <c r="BB71" s="195">
        <v>0.6601273148148148</v>
      </c>
      <c r="BC71" s="205" t="s">
        <v>52</v>
      </c>
      <c r="BD71" s="195">
        <v>1.3598148148148148</v>
      </c>
      <c r="BE71" s="205" t="s">
        <v>86</v>
      </c>
      <c r="BF71" s="195">
        <v>0.29913194444444446</v>
      </c>
      <c r="BG71" s="205" t="s">
        <v>87</v>
      </c>
      <c r="BH71" s="195">
        <v>0.27696759259259257</v>
      </c>
      <c r="BI71" s="205" t="s">
        <v>87</v>
      </c>
      <c r="BJ71" s="195">
        <v>0.2119675925925926</v>
      </c>
      <c r="BK71" s="205" t="s">
        <v>86</v>
      </c>
      <c r="BL71" s="195">
        <v>0.3337731481481481</v>
      </c>
      <c r="BM71" s="205" t="s">
        <v>86</v>
      </c>
      <c r="BN71" s="195">
        <v>0.17614583333333333</v>
      </c>
      <c r="BO71" s="205" t="s">
        <v>86</v>
      </c>
      <c r="BP71" s="195">
        <v>0.1293402777777778</v>
      </c>
      <c r="BQ71" s="205" t="s">
        <v>86</v>
      </c>
      <c r="BR71" s="195">
        <v>0.07680555555555556</v>
      </c>
      <c r="BS71" s="205" t="s">
        <v>86</v>
      </c>
      <c r="BT71" s="195">
        <v>0.09321759259259259</v>
      </c>
      <c r="BU71" s="205" t="s">
        <v>20</v>
      </c>
      <c r="BV71" s="195">
        <v>0.04853009259259259</v>
      </c>
      <c r="BW71" s="205" t="s">
        <v>86</v>
      </c>
      <c r="BX71" s="195">
        <v>0.05759259259259259</v>
      </c>
      <c r="BY71" s="205" t="s">
        <v>86</v>
      </c>
      <c r="BZ71" s="195">
        <v>0.059131944444444445</v>
      </c>
      <c r="CA71" s="205" t="s">
        <v>86</v>
      </c>
      <c r="CB71" s="195">
        <v>0.022430555555555554</v>
      </c>
      <c r="CC71" s="205" t="s">
        <v>86</v>
      </c>
      <c r="CD71" s="195">
        <v>0.012314814814814815</v>
      </c>
      <c r="CE71" s="205" t="s">
        <v>20</v>
      </c>
      <c r="CF71" s="195">
        <v>1.3399652777777777</v>
      </c>
      <c r="CG71" s="205" t="s">
        <v>86</v>
      </c>
      <c r="CH71" s="195">
        <v>0.013020833333333334</v>
      </c>
      <c r="CI71" s="205" t="s">
        <v>87</v>
      </c>
      <c r="CJ71" s="195">
        <v>0.07511574074074075</v>
      </c>
      <c r="CK71" s="205" t="s">
        <v>20</v>
      </c>
      <c r="CL71" s="195">
        <v>0.45158564814814817</v>
      </c>
      <c r="CM71" s="205" t="s">
        <v>86</v>
      </c>
      <c r="CN71" s="195">
        <v>0.029027777777777777</v>
      </c>
      <c r="CO71" s="205" t="s">
        <v>87</v>
      </c>
      <c r="CP71" s="195">
        <v>0.03375</v>
      </c>
      <c r="CQ71" s="205" t="s">
        <v>87</v>
      </c>
      <c r="CR71" s="195">
        <v>0.022534722222222223</v>
      </c>
      <c r="CS71" s="205" t="s">
        <v>87</v>
      </c>
      <c r="CT71" s="195">
        <v>0.018483796296296297</v>
      </c>
      <c r="CU71" s="205" t="s">
        <v>86</v>
      </c>
      <c r="CV71" s="195">
        <v>0.017418981481481483</v>
      </c>
      <c r="CW71" s="205" t="s">
        <v>33</v>
      </c>
      <c r="CX71" s="195">
        <v>0.16430555555555557</v>
      </c>
      <c r="CY71" s="205" t="s">
        <v>66</v>
      </c>
      <c r="CZ71" s="195">
        <v>0.007662037037037037</v>
      </c>
      <c r="DA71" s="205" t="s">
        <v>33</v>
      </c>
      <c r="DB71" s="195">
        <v>0.36494212962962963</v>
      </c>
      <c r="DC71" s="205" t="s">
        <v>20</v>
      </c>
      <c r="DD71" s="195">
        <v>0.05804398148148148</v>
      </c>
      <c r="DE71" s="205" t="s">
        <v>86</v>
      </c>
      <c r="DF71" s="195">
        <v>0.013819444444444445</v>
      </c>
      <c r="DG71" s="205" t="s">
        <v>86</v>
      </c>
      <c r="DH71" s="195">
        <v>0.5505555555555555</v>
      </c>
      <c r="IE71" s="178"/>
      <c r="IF71" s="178"/>
      <c r="IG71" s="178"/>
      <c r="IH71" s="178"/>
      <c r="II71" s="178"/>
      <c r="IJ71" s="178"/>
      <c r="IK71" s="178"/>
      <c r="IL71" s="178"/>
      <c r="IM71" s="178"/>
      <c r="IN71" s="178"/>
      <c r="IO71" s="178"/>
      <c r="IP71" s="178"/>
      <c r="IQ71" s="178"/>
      <c r="IR71" s="178"/>
      <c r="IS71" s="178"/>
      <c r="IT71" s="178"/>
      <c r="IU71" s="178"/>
      <c r="IV71" s="178"/>
      <c r="IW71" s="178"/>
      <c r="IX71" s="178"/>
      <c r="IY71" s="178"/>
      <c r="IZ71" s="178"/>
      <c r="JA71" s="178"/>
      <c r="JB71" s="178"/>
      <c r="JC71" s="178"/>
      <c r="JD71" s="178"/>
    </row>
    <row r="72">
      <c r="A72" s="204"/>
      <c r="B72" s="204"/>
      <c r="C72" s="204"/>
      <c r="D72" s="204"/>
      <c r="E72" s="204"/>
      <c r="F72" s="204"/>
      <c r="G72" s="204"/>
      <c r="H72" s="204"/>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c r="AK72" s="204"/>
      <c r="AL72" s="204"/>
      <c r="AM72" s="204"/>
      <c r="AN72" s="204"/>
      <c r="AO72" s="204"/>
      <c r="AP72" s="204"/>
      <c r="AQ72" s="204"/>
      <c r="AR72" s="204"/>
      <c r="AS72" s="204"/>
      <c r="AT72" s="204"/>
      <c r="AU72" s="204"/>
      <c r="AV72" s="204"/>
      <c r="AW72" s="205" t="s">
        <v>61</v>
      </c>
      <c r="AX72" s="195">
        <v>0.001238425925925926</v>
      </c>
      <c r="AY72" s="205" t="s">
        <v>93</v>
      </c>
      <c r="AZ72" s="195">
        <v>0.6628935185185185</v>
      </c>
      <c r="BA72" s="205" t="s">
        <v>33</v>
      </c>
      <c r="BB72" s="195">
        <v>0.023449074074074074</v>
      </c>
      <c r="BC72" s="205" t="s">
        <v>426</v>
      </c>
      <c r="BD72" s="195">
        <v>0.0725</v>
      </c>
      <c r="BE72" s="205" t="s">
        <v>20</v>
      </c>
      <c r="BF72" s="195">
        <v>0.02082175925925926</v>
      </c>
      <c r="BG72" s="205" t="s">
        <v>52</v>
      </c>
      <c r="BH72" s="195">
        <v>0.7278819444444444</v>
      </c>
      <c r="BI72" s="205" t="s">
        <v>52</v>
      </c>
      <c r="BJ72" s="195">
        <v>1.1390625</v>
      </c>
      <c r="BK72" s="205" t="s">
        <v>20</v>
      </c>
      <c r="BL72" s="195">
        <v>0.07228009259259259</v>
      </c>
      <c r="BM72" s="205" t="s">
        <v>20</v>
      </c>
      <c r="BN72" s="195">
        <v>0.11009259259259259</v>
      </c>
      <c r="BO72" s="205" t="s">
        <v>20</v>
      </c>
      <c r="BP72" s="195">
        <v>0.025173611111111112</v>
      </c>
      <c r="BQ72" s="205" t="s">
        <v>20</v>
      </c>
      <c r="BR72" s="195">
        <v>0.15569444444444444</v>
      </c>
      <c r="BS72" s="205" t="s">
        <v>20</v>
      </c>
      <c r="BT72" s="195">
        <v>0.09831018518518518</v>
      </c>
      <c r="BU72" s="205" t="s">
        <v>87</v>
      </c>
      <c r="BV72" s="195">
        <v>0.03584490740740741</v>
      </c>
      <c r="BW72" s="205" t="s">
        <v>20</v>
      </c>
      <c r="BX72" s="195">
        <v>0.11150462962962963</v>
      </c>
      <c r="BY72" s="205" t="s">
        <v>20</v>
      </c>
      <c r="BZ72" s="195">
        <v>0.12277777777777778</v>
      </c>
      <c r="CA72" s="205" t="s">
        <v>20</v>
      </c>
      <c r="CB72" s="195">
        <v>0.21989583333333335</v>
      </c>
      <c r="CC72" s="205" t="s">
        <v>20</v>
      </c>
      <c r="CD72" s="195">
        <v>0.5613078703703703</v>
      </c>
      <c r="CE72" s="205" t="s">
        <v>87</v>
      </c>
      <c r="CF72" s="195">
        <v>0.04241898148148148</v>
      </c>
      <c r="CG72" s="205" t="s">
        <v>20</v>
      </c>
      <c r="CH72" s="195">
        <v>1.1433333333333333</v>
      </c>
      <c r="CI72" s="205" t="s">
        <v>52</v>
      </c>
      <c r="CJ72" s="195">
        <v>0.011620370370370371</v>
      </c>
      <c r="CK72" s="205" t="s">
        <v>87</v>
      </c>
      <c r="CL72" s="195">
        <v>0.12366898148148148</v>
      </c>
      <c r="CM72" s="205" t="s">
        <v>20</v>
      </c>
      <c r="CN72" s="195">
        <v>0.15268518518518517</v>
      </c>
      <c r="CO72" s="205" t="s">
        <v>52</v>
      </c>
      <c r="CP72" s="195">
        <v>0.03467592592592592</v>
      </c>
      <c r="CQ72" s="205" t="s">
        <v>52</v>
      </c>
      <c r="CR72" s="195">
        <v>0.03854166666666667</v>
      </c>
      <c r="CS72" s="205" t="s">
        <v>52</v>
      </c>
      <c r="CT72" s="195">
        <v>0.05165509259259259</v>
      </c>
      <c r="CU72" s="205" t="s">
        <v>20</v>
      </c>
      <c r="CV72" s="195">
        <v>0.04306712962962963</v>
      </c>
      <c r="CW72" s="205" t="s">
        <v>426</v>
      </c>
      <c r="CX72" s="195">
        <v>0.028194444444444446</v>
      </c>
      <c r="CY72" s="205" t="s">
        <v>33</v>
      </c>
      <c r="CZ72" s="195">
        <v>0.17091435185185186</v>
      </c>
      <c r="DA72" s="205" t="s">
        <v>426</v>
      </c>
      <c r="DB72" s="195">
        <v>0.02966435185185185</v>
      </c>
      <c r="DC72" s="205" t="s">
        <v>87</v>
      </c>
      <c r="DD72" s="195">
        <v>0.045266203703703704</v>
      </c>
      <c r="DE72" s="205" t="s">
        <v>20</v>
      </c>
      <c r="DF72" s="195">
        <v>0.0060185185185185185</v>
      </c>
      <c r="DG72" s="205" t="s">
        <v>20</v>
      </c>
      <c r="DH72" s="195">
        <v>4.095648148148149</v>
      </c>
      <c r="IE72" s="178"/>
      <c r="IF72" s="178"/>
      <c r="IG72" s="178"/>
      <c r="IH72" s="178"/>
      <c r="II72" s="178"/>
      <c r="IJ72" s="178"/>
      <c r="IK72" s="178"/>
      <c r="IL72" s="178"/>
      <c r="IM72" s="178"/>
      <c r="IN72" s="178"/>
      <c r="IO72" s="178"/>
      <c r="IP72" s="178"/>
      <c r="IQ72" s="178"/>
      <c r="IR72" s="178"/>
      <c r="IS72" s="178"/>
      <c r="IT72" s="178"/>
      <c r="IU72" s="178"/>
      <c r="IV72" s="178"/>
      <c r="IW72" s="178"/>
      <c r="IX72" s="178"/>
      <c r="IY72" s="178"/>
      <c r="IZ72" s="178"/>
      <c r="JA72" s="178"/>
      <c r="JB72" s="178"/>
      <c r="JC72" s="178"/>
      <c r="JD72" s="178"/>
    </row>
    <row r="73">
      <c r="A73" s="204"/>
      <c r="B73" s="204"/>
      <c r="C73" s="204"/>
      <c r="D73" s="204"/>
      <c r="E73" s="204"/>
      <c r="F73" s="204"/>
      <c r="G73" s="204"/>
      <c r="H73" s="204"/>
      <c r="I73" s="204"/>
      <c r="J73" s="204"/>
      <c r="K73" s="204"/>
      <c r="L73" s="204"/>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c r="AK73" s="204"/>
      <c r="AL73" s="204"/>
      <c r="AM73" s="204"/>
      <c r="AN73" s="204"/>
      <c r="AO73" s="204"/>
      <c r="AP73" s="204"/>
      <c r="AQ73" s="204"/>
      <c r="AR73" s="204"/>
      <c r="AS73" s="204"/>
      <c r="AT73" s="204"/>
      <c r="AU73" s="204"/>
      <c r="AV73" s="204"/>
      <c r="AW73" s="206" t="s">
        <v>53</v>
      </c>
      <c r="AX73" s="199">
        <v>0.0069097222222222225</v>
      </c>
      <c r="AY73" s="206" t="s">
        <v>61</v>
      </c>
      <c r="AZ73" s="199">
        <v>0.0793287037037037</v>
      </c>
      <c r="BA73" s="205" t="s">
        <v>426</v>
      </c>
      <c r="BB73" s="195">
        <v>0.3498148148148148</v>
      </c>
      <c r="BC73" s="205" t="s">
        <v>93</v>
      </c>
      <c r="BD73" s="195">
        <v>0.09371527777777777</v>
      </c>
      <c r="BE73" s="205" t="s">
        <v>87</v>
      </c>
      <c r="BF73" s="195">
        <v>0.28998842592592594</v>
      </c>
      <c r="BG73" s="205" t="s">
        <v>66</v>
      </c>
      <c r="BH73" s="195">
        <v>0.1352199074074074</v>
      </c>
      <c r="BI73" s="205" t="s">
        <v>66</v>
      </c>
      <c r="BJ73" s="195">
        <v>0.044780092592592594</v>
      </c>
      <c r="BK73" s="205" t="s">
        <v>87</v>
      </c>
      <c r="BL73" s="195">
        <v>0.1833912037037037</v>
      </c>
      <c r="BM73" s="205" t="s">
        <v>87</v>
      </c>
      <c r="BN73" s="195">
        <v>0.21648148148148147</v>
      </c>
      <c r="BO73" s="205" t="s">
        <v>87</v>
      </c>
      <c r="BP73" s="195">
        <v>0.16546296296296295</v>
      </c>
      <c r="BQ73" s="205" t="s">
        <v>87</v>
      </c>
      <c r="BR73" s="195">
        <v>0.057199074074074076</v>
      </c>
      <c r="BS73" s="205" t="s">
        <v>87</v>
      </c>
      <c r="BT73" s="195">
        <v>0.05804398148148148</v>
      </c>
      <c r="BU73" s="205" t="s">
        <v>52</v>
      </c>
      <c r="BV73" s="195">
        <v>0.021076388888888888</v>
      </c>
      <c r="BW73" s="205" t="s">
        <v>87</v>
      </c>
      <c r="BX73" s="195">
        <v>0.12136574074074075</v>
      </c>
      <c r="BY73" s="205" t="s">
        <v>87</v>
      </c>
      <c r="BZ73" s="195">
        <v>0.048275462962962964</v>
      </c>
      <c r="CA73" s="205" t="s">
        <v>87</v>
      </c>
      <c r="CB73" s="195">
        <v>0.028194444444444446</v>
      </c>
      <c r="CC73" s="205" t="s">
        <v>87</v>
      </c>
      <c r="CD73" s="195">
        <v>0.025520833333333333</v>
      </c>
      <c r="CE73" s="205" t="s">
        <v>52</v>
      </c>
      <c r="CF73" s="195">
        <v>0.004537037037037037</v>
      </c>
      <c r="CG73" s="205" t="s">
        <v>87</v>
      </c>
      <c r="CH73" s="195">
        <v>0.04746527777777778</v>
      </c>
      <c r="CI73" s="205" t="s">
        <v>66</v>
      </c>
      <c r="CJ73" s="195">
        <v>0.001412037037037037</v>
      </c>
      <c r="CK73" s="205" t="s">
        <v>52</v>
      </c>
      <c r="CL73" s="195">
        <v>0.050381944444444444</v>
      </c>
      <c r="CM73" s="205" t="s">
        <v>87</v>
      </c>
      <c r="CN73" s="195">
        <v>0.031226851851851853</v>
      </c>
      <c r="CO73" s="205" t="s">
        <v>66</v>
      </c>
      <c r="CP73" s="195">
        <v>0.01982638888888889</v>
      </c>
      <c r="CQ73" s="205" t="s">
        <v>66</v>
      </c>
      <c r="CR73" s="195">
        <v>0.0</v>
      </c>
      <c r="CS73" s="205" t="s">
        <v>66</v>
      </c>
      <c r="CT73" s="195">
        <v>0.013958333333333333</v>
      </c>
      <c r="CU73" s="205" t="s">
        <v>87</v>
      </c>
      <c r="CV73" s="195">
        <v>0.016805555555555556</v>
      </c>
      <c r="CW73" s="205" t="s">
        <v>93</v>
      </c>
      <c r="CX73" s="195">
        <v>0.03633101851851852</v>
      </c>
      <c r="CY73" s="205" t="s">
        <v>426</v>
      </c>
      <c r="CZ73" s="195">
        <v>0.03575231481481481</v>
      </c>
      <c r="DA73" s="205" t="s">
        <v>93</v>
      </c>
      <c r="DB73" s="195">
        <v>0.05412037037037037</v>
      </c>
      <c r="DC73" s="205" t="s">
        <v>52</v>
      </c>
      <c r="DD73" s="195">
        <v>0.09835648148148148</v>
      </c>
      <c r="DE73" s="205" t="s">
        <v>87</v>
      </c>
      <c r="DF73" s="195">
        <v>0.03232638888888889</v>
      </c>
      <c r="DG73" s="205" t="s">
        <v>87</v>
      </c>
      <c r="DH73" s="195">
        <v>2.5025</v>
      </c>
      <c r="IE73" s="178"/>
      <c r="IF73" s="178"/>
      <c r="IG73" s="178"/>
      <c r="IH73" s="178"/>
      <c r="II73" s="178"/>
      <c r="IJ73" s="178"/>
      <c r="IK73" s="178"/>
      <c r="IL73" s="178"/>
      <c r="IM73" s="178"/>
      <c r="IN73" s="178"/>
      <c r="IO73" s="178"/>
      <c r="IP73" s="178"/>
      <c r="IQ73" s="178"/>
      <c r="IR73" s="178"/>
      <c r="IS73" s="178"/>
      <c r="IT73" s="178"/>
      <c r="IU73" s="178"/>
      <c r="IV73" s="178"/>
      <c r="IW73" s="178"/>
      <c r="IX73" s="178"/>
      <c r="IY73" s="178"/>
      <c r="IZ73" s="178"/>
      <c r="JA73" s="178"/>
      <c r="JB73" s="178"/>
      <c r="JC73" s="178"/>
      <c r="JD73" s="178"/>
    </row>
    <row r="74">
      <c r="A74" s="204"/>
      <c r="B74" s="204"/>
      <c r="C74" s="204"/>
      <c r="D74" s="204"/>
      <c r="E74" s="204"/>
      <c r="F74" s="204"/>
      <c r="G74" s="204"/>
      <c r="H74" s="204"/>
      <c r="I74" s="204"/>
      <c r="J74" s="204"/>
      <c r="K74" s="204"/>
      <c r="L74" s="204"/>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5" t="s">
        <v>93</v>
      </c>
      <c r="BB74" s="195">
        <v>0.36872685185185183</v>
      </c>
      <c r="BC74" s="205" t="s">
        <v>30</v>
      </c>
      <c r="BD74" s="195">
        <v>0.033715277777777775</v>
      </c>
      <c r="BE74" s="205" t="s">
        <v>52</v>
      </c>
      <c r="BF74" s="195">
        <v>1.4471296296296297</v>
      </c>
      <c r="BG74" s="205" t="s">
        <v>33</v>
      </c>
      <c r="BH74" s="195">
        <v>0.004016203703703704</v>
      </c>
      <c r="BI74" s="205" t="s">
        <v>426</v>
      </c>
      <c r="BJ74" s="195">
        <v>0.04653935185185185</v>
      </c>
      <c r="BK74" s="205" t="s">
        <v>52</v>
      </c>
      <c r="BL74" s="195">
        <v>0.614386574074074</v>
      </c>
      <c r="BM74" s="205" t="s">
        <v>52</v>
      </c>
      <c r="BN74" s="195">
        <v>0.9306365740740741</v>
      </c>
      <c r="BO74" s="205" t="s">
        <v>52</v>
      </c>
      <c r="BP74" s="195">
        <v>0.2194212962962963</v>
      </c>
      <c r="BQ74" s="205" t="s">
        <v>52</v>
      </c>
      <c r="BR74" s="195">
        <v>0.06451388888888888</v>
      </c>
      <c r="BS74" s="205" t="s">
        <v>52</v>
      </c>
      <c r="BT74" s="195">
        <v>0.06412037037037037</v>
      </c>
      <c r="BU74" s="205" t="s">
        <v>66</v>
      </c>
      <c r="BV74" s="195">
        <v>0.07857638888888889</v>
      </c>
      <c r="BW74" s="205" t="s">
        <v>52</v>
      </c>
      <c r="BX74" s="195">
        <v>0.03909722222222222</v>
      </c>
      <c r="BY74" s="205" t="s">
        <v>52</v>
      </c>
      <c r="BZ74" s="195">
        <v>0.056539351851851855</v>
      </c>
      <c r="CA74" s="205" t="s">
        <v>52</v>
      </c>
      <c r="CB74" s="195">
        <v>0.02013888888888889</v>
      </c>
      <c r="CC74" s="205" t="s">
        <v>52</v>
      </c>
      <c r="CD74" s="195">
        <v>0.01292824074074074</v>
      </c>
      <c r="CE74" s="205" t="s">
        <v>66</v>
      </c>
      <c r="CF74" s="195">
        <v>0.4796412037037037</v>
      </c>
      <c r="CG74" s="205" t="s">
        <v>52</v>
      </c>
      <c r="CH74" s="195">
        <v>0.03756944444444445</v>
      </c>
      <c r="CI74" s="205" t="s">
        <v>33</v>
      </c>
      <c r="CJ74" s="195">
        <v>0.47366898148148145</v>
      </c>
      <c r="CK74" s="205" t="s">
        <v>33</v>
      </c>
      <c r="CL74" s="195">
        <v>0.5141319444444444</v>
      </c>
      <c r="CM74" s="205" t="s">
        <v>52</v>
      </c>
      <c r="CN74" s="195">
        <v>0.024189814814814813</v>
      </c>
      <c r="CO74" s="205" t="s">
        <v>33</v>
      </c>
      <c r="CP74" s="195">
        <v>0.21300925925925926</v>
      </c>
      <c r="CQ74" s="205" t="s">
        <v>33</v>
      </c>
      <c r="CR74" s="195">
        <v>0.21027777777777779</v>
      </c>
      <c r="CS74" s="205" t="s">
        <v>33</v>
      </c>
      <c r="CT74" s="195">
        <v>0.1471412037037037</v>
      </c>
      <c r="CU74" s="205" t="s">
        <v>52</v>
      </c>
      <c r="CV74" s="195">
        <v>0.053495370370370374</v>
      </c>
      <c r="CW74" s="205" t="s">
        <v>30</v>
      </c>
      <c r="CX74" s="195">
        <v>0.1593287037037037</v>
      </c>
      <c r="CY74" s="205" t="s">
        <v>93</v>
      </c>
      <c r="CZ74" s="195">
        <v>0.0584375</v>
      </c>
      <c r="DA74" s="205" t="s">
        <v>30</v>
      </c>
      <c r="DB74" s="195">
        <v>0.08296296296296296</v>
      </c>
      <c r="DC74" s="205" t="s">
        <v>66</v>
      </c>
      <c r="DD74" s="195">
        <v>0.014016203703703704</v>
      </c>
      <c r="DE74" s="205" t="s">
        <v>52</v>
      </c>
      <c r="DF74" s="195">
        <v>0.4086111111111111</v>
      </c>
      <c r="DG74" s="205" t="s">
        <v>52</v>
      </c>
      <c r="DH74" s="195">
        <v>4.967847222222223</v>
      </c>
      <c r="IE74" s="178"/>
      <c r="IF74" s="178"/>
      <c r="IG74" s="178"/>
      <c r="IH74" s="178"/>
      <c r="II74" s="178"/>
      <c r="IJ74" s="178"/>
      <c r="IK74" s="178"/>
      <c r="IL74" s="178"/>
      <c r="IM74" s="178"/>
      <c r="IN74" s="178"/>
      <c r="IO74" s="178"/>
      <c r="IP74" s="178"/>
      <c r="IQ74" s="178"/>
      <c r="IR74" s="178"/>
      <c r="IS74" s="178"/>
      <c r="IT74" s="178"/>
      <c r="IU74" s="178"/>
      <c r="IV74" s="178"/>
      <c r="IW74" s="178"/>
      <c r="IX74" s="178"/>
      <c r="IY74" s="178"/>
      <c r="IZ74" s="178"/>
      <c r="JA74" s="178"/>
      <c r="JB74" s="178"/>
      <c r="JC74" s="178"/>
      <c r="JD74" s="178"/>
    </row>
    <row r="75">
      <c r="A75" s="204"/>
      <c r="B75" s="204"/>
      <c r="C75" s="204"/>
      <c r="D75" s="204"/>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c r="AF75" s="204"/>
      <c r="AG75" s="204"/>
      <c r="AH75" s="204"/>
      <c r="AI75" s="204"/>
      <c r="AJ75" s="204"/>
      <c r="AK75" s="204"/>
      <c r="AL75" s="204"/>
      <c r="AM75" s="204"/>
      <c r="AN75" s="204"/>
      <c r="AO75" s="204"/>
      <c r="AP75" s="204"/>
      <c r="AQ75" s="204"/>
      <c r="AR75" s="204"/>
      <c r="AS75" s="204"/>
      <c r="AT75" s="204"/>
      <c r="AU75" s="204"/>
      <c r="AV75" s="204"/>
      <c r="AW75" s="204"/>
      <c r="AX75" s="204"/>
      <c r="AY75" s="204"/>
      <c r="AZ75" s="204"/>
      <c r="BA75" s="205" t="s">
        <v>61</v>
      </c>
      <c r="BB75" s="195">
        <v>0.030289351851851852</v>
      </c>
      <c r="BC75" s="205" t="s">
        <v>61</v>
      </c>
      <c r="BD75" s="195">
        <v>0.03163194444444444</v>
      </c>
      <c r="BE75" s="205" t="s">
        <v>33</v>
      </c>
      <c r="BF75" s="195">
        <v>3.4722222222222224E-4</v>
      </c>
      <c r="BG75" s="205" t="s">
        <v>426</v>
      </c>
      <c r="BH75" s="195">
        <v>0.09739583333333333</v>
      </c>
      <c r="BI75" s="205" t="s">
        <v>93</v>
      </c>
      <c r="BJ75" s="195">
        <v>0.0734837962962963</v>
      </c>
      <c r="BK75" s="205" t="s">
        <v>66</v>
      </c>
      <c r="BL75" s="195">
        <v>0.11076388888888888</v>
      </c>
      <c r="BM75" s="205" t="s">
        <v>66</v>
      </c>
      <c r="BN75" s="195">
        <v>0.09357638888888889</v>
      </c>
      <c r="BO75" s="205" t="s">
        <v>66</v>
      </c>
      <c r="BP75" s="195">
        <v>0.1290625</v>
      </c>
      <c r="BQ75" s="205" t="s">
        <v>66</v>
      </c>
      <c r="BR75" s="195">
        <v>0.06726851851851852</v>
      </c>
      <c r="BS75" s="205" t="s">
        <v>66</v>
      </c>
      <c r="BT75" s="195">
        <v>0.06597222222222222</v>
      </c>
      <c r="BU75" s="205" t="s">
        <v>33</v>
      </c>
      <c r="BV75" s="195">
        <v>0.013344907407407408</v>
      </c>
      <c r="BW75" s="205" t="s">
        <v>66</v>
      </c>
      <c r="BX75" s="195">
        <v>0.10883101851851852</v>
      </c>
      <c r="BY75" s="205" t="s">
        <v>66</v>
      </c>
      <c r="BZ75" s="195">
        <v>0.1183912037037037</v>
      </c>
      <c r="CA75" s="205" t="s">
        <v>66</v>
      </c>
      <c r="CB75" s="195">
        <v>0.1128125</v>
      </c>
      <c r="CC75" s="205" t="s">
        <v>66</v>
      </c>
      <c r="CD75" s="195">
        <v>0.2277199074074074</v>
      </c>
      <c r="CE75" s="205" t="s">
        <v>33</v>
      </c>
      <c r="CF75" s="195">
        <v>0.07939814814814815</v>
      </c>
      <c r="CG75" s="205" t="s">
        <v>66</v>
      </c>
      <c r="CH75" s="195">
        <v>0.005578703703703704</v>
      </c>
      <c r="CI75" s="205" t="s">
        <v>426</v>
      </c>
      <c r="CJ75" s="195">
        <v>0.027685185185185184</v>
      </c>
      <c r="CK75" s="205" t="s">
        <v>426</v>
      </c>
      <c r="CL75" s="195">
        <v>0.02883101851851852</v>
      </c>
      <c r="CM75" s="205" t="s">
        <v>66</v>
      </c>
      <c r="CN75" s="195">
        <v>0.06173611111111111</v>
      </c>
      <c r="CO75" s="205" t="s">
        <v>426</v>
      </c>
      <c r="CP75" s="195">
        <v>0.03351851851851852</v>
      </c>
      <c r="CQ75" s="205" t="s">
        <v>426</v>
      </c>
      <c r="CR75" s="195">
        <v>0.008460648148148148</v>
      </c>
      <c r="CS75" s="205" t="s">
        <v>426</v>
      </c>
      <c r="CT75" s="195">
        <v>0.026469907407407407</v>
      </c>
      <c r="CU75" s="205" t="s">
        <v>66</v>
      </c>
      <c r="CV75" s="195">
        <v>0.016180555555555556</v>
      </c>
      <c r="CW75" s="205" t="s">
        <v>61</v>
      </c>
      <c r="CX75" s="195">
        <v>0.06792824074074075</v>
      </c>
      <c r="CY75" s="205" t="s">
        <v>30</v>
      </c>
      <c r="CZ75" s="195">
        <v>0.15730324074074073</v>
      </c>
      <c r="DA75" s="205" t="s">
        <v>61</v>
      </c>
      <c r="DB75" s="195">
        <v>0.0974074074074074</v>
      </c>
      <c r="DC75" s="205" t="s">
        <v>33</v>
      </c>
      <c r="DD75" s="195">
        <v>0.5694907407407407</v>
      </c>
      <c r="DE75" s="205" t="s">
        <v>66</v>
      </c>
      <c r="DF75" s="195">
        <v>0.017118055555555556</v>
      </c>
      <c r="DG75" s="205" t="s">
        <v>66</v>
      </c>
      <c r="DH75" s="195">
        <v>0.3047106481481482</v>
      </c>
      <c r="IE75" s="178"/>
      <c r="IF75" s="178"/>
      <c r="IG75" s="178"/>
      <c r="IH75" s="178"/>
      <c r="II75" s="178"/>
      <c r="IJ75" s="178"/>
      <c r="IK75" s="178"/>
      <c r="IL75" s="178"/>
      <c r="IM75" s="178"/>
      <c r="IN75" s="178"/>
      <c r="IO75" s="178"/>
      <c r="IP75" s="178"/>
      <c r="IQ75" s="178"/>
      <c r="IR75" s="178"/>
      <c r="IS75" s="178"/>
      <c r="IT75" s="178"/>
      <c r="IU75" s="178"/>
      <c r="IV75" s="178"/>
      <c r="IW75" s="178"/>
      <c r="IX75" s="178"/>
      <c r="IY75" s="178"/>
      <c r="IZ75" s="178"/>
      <c r="JA75" s="178"/>
      <c r="JB75" s="178"/>
      <c r="JC75" s="178"/>
      <c r="JD75" s="178"/>
    </row>
    <row r="76">
      <c r="A76" s="204"/>
      <c r="B76" s="204"/>
      <c r="C76" s="204"/>
      <c r="D76" s="204"/>
      <c r="E76" s="204"/>
      <c r="F76" s="204"/>
      <c r="G76" s="204"/>
      <c r="H76" s="204"/>
      <c r="I76" s="204"/>
      <c r="J76" s="204"/>
      <c r="K76" s="204"/>
      <c r="L76" s="204"/>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c r="AK76" s="204"/>
      <c r="AL76" s="204"/>
      <c r="AM76" s="204"/>
      <c r="AN76" s="204"/>
      <c r="AO76" s="204"/>
      <c r="AP76" s="204"/>
      <c r="AQ76" s="204"/>
      <c r="AR76" s="204"/>
      <c r="AS76" s="204"/>
      <c r="AT76" s="204"/>
      <c r="AU76" s="204"/>
      <c r="AV76" s="204"/>
      <c r="AW76" s="204"/>
      <c r="AX76" s="204"/>
      <c r="AY76" s="204"/>
      <c r="AZ76" s="204"/>
      <c r="BA76" s="206" t="s">
        <v>53</v>
      </c>
      <c r="BB76" s="199">
        <v>0.01525462962962963</v>
      </c>
      <c r="BC76" s="206" t="s">
        <v>53</v>
      </c>
      <c r="BD76" s="199">
        <v>0.0038078703703703703</v>
      </c>
      <c r="BE76" s="205" t="s">
        <v>426</v>
      </c>
      <c r="BF76" s="195">
        <v>0.08865740740740741</v>
      </c>
      <c r="BG76" s="205" t="s">
        <v>93</v>
      </c>
      <c r="BH76" s="195">
        <v>0.11673611111111111</v>
      </c>
      <c r="BI76" s="205" t="s">
        <v>30</v>
      </c>
      <c r="BJ76" s="195">
        <v>0.03238425925925926</v>
      </c>
      <c r="BK76" s="205" t="s">
        <v>426</v>
      </c>
      <c r="BL76" s="195">
        <v>0.12349537037037037</v>
      </c>
      <c r="BM76" s="205" t="s">
        <v>33</v>
      </c>
      <c r="BN76" s="195">
        <v>0.004155092592592592</v>
      </c>
      <c r="BO76" s="205" t="s">
        <v>33</v>
      </c>
      <c r="BP76" s="195">
        <v>0.02710648148148148</v>
      </c>
      <c r="BQ76" s="205" t="s">
        <v>33</v>
      </c>
      <c r="BR76" s="195">
        <v>0.012476851851851852</v>
      </c>
      <c r="BS76" s="205" t="s">
        <v>33</v>
      </c>
      <c r="BT76" s="195">
        <v>0.01175925925925926</v>
      </c>
      <c r="BU76" s="205" t="s">
        <v>426</v>
      </c>
      <c r="BV76" s="195">
        <v>0.047002314814814816</v>
      </c>
      <c r="BW76" s="205" t="s">
        <v>33</v>
      </c>
      <c r="BX76" s="195">
        <v>0.011712962962962963</v>
      </c>
      <c r="BY76" s="205" t="s">
        <v>33</v>
      </c>
      <c r="BZ76" s="195">
        <v>0.03356481481481482</v>
      </c>
      <c r="CA76" s="205" t="s">
        <v>33</v>
      </c>
      <c r="CB76" s="195">
        <v>0.035243055555555555</v>
      </c>
      <c r="CC76" s="205" t="s">
        <v>33</v>
      </c>
      <c r="CD76" s="195">
        <v>0.04712962962962963</v>
      </c>
      <c r="CE76" s="205" t="s">
        <v>426</v>
      </c>
      <c r="CF76" s="195">
        <v>0.027696759259259258</v>
      </c>
      <c r="CG76" s="205" t="s">
        <v>33</v>
      </c>
      <c r="CH76" s="195">
        <v>0.23710648148148147</v>
      </c>
      <c r="CI76" s="205" t="s">
        <v>93</v>
      </c>
      <c r="CJ76" s="195">
        <v>0.02497685185185185</v>
      </c>
      <c r="CK76" s="205" t="s">
        <v>93</v>
      </c>
      <c r="CL76" s="195">
        <v>0.07761574074074074</v>
      </c>
      <c r="CM76" s="205" t="s">
        <v>33</v>
      </c>
      <c r="CN76" s="195">
        <v>0.22065972222222222</v>
      </c>
      <c r="CO76" s="205" t="s">
        <v>93</v>
      </c>
      <c r="CP76" s="195">
        <v>0.06261574074074074</v>
      </c>
      <c r="CQ76" s="205" t="s">
        <v>93</v>
      </c>
      <c r="CR76" s="195">
        <v>0.018055555555555554</v>
      </c>
      <c r="CS76" s="205" t="s">
        <v>93</v>
      </c>
      <c r="CT76" s="195">
        <v>0.014085648148148147</v>
      </c>
      <c r="CU76" s="205" t="s">
        <v>33</v>
      </c>
      <c r="CV76" s="195">
        <v>0.16166666666666665</v>
      </c>
      <c r="CW76" s="206" t="s">
        <v>53</v>
      </c>
      <c r="CX76" s="199">
        <v>0.5523842592592593</v>
      </c>
      <c r="CY76" s="205" t="s">
        <v>61</v>
      </c>
      <c r="CZ76" s="195">
        <v>0.09319444444444444</v>
      </c>
      <c r="DA76" s="206" t="s">
        <v>53</v>
      </c>
      <c r="DB76" s="199">
        <v>0.21756944444444445</v>
      </c>
      <c r="DC76" s="205" t="s">
        <v>426</v>
      </c>
      <c r="DD76" s="195">
        <v>0.0022337962962962962</v>
      </c>
      <c r="DE76" s="205" t="s">
        <v>33</v>
      </c>
      <c r="DF76" s="195">
        <v>0.4115625</v>
      </c>
      <c r="DG76" s="205" t="s">
        <v>33</v>
      </c>
      <c r="DH76" s="195">
        <v>8.586006944444444</v>
      </c>
      <c r="IE76" s="178"/>
      <c r="IF76" s="178"/>
      <c r="IG76" s="178"/>
      <c r="IH76" s="178"/>
      <c r="II76" s="178"/>
      <c r="IJ76" s="178"/>
      <c r="IK76" s="178"/>
      <c r="IL76" s="178"/>
      <c r="IM76" s="178"/>
      <c r="IN76" s="178"/>
      <c r="IO76" s="178"/>
      <c r="IP76" s="178"/>
      <c r="IQ76" s="178"/>
      <c r="IR76" s="178"/>
      <c r="IS76" s="178"/>
      <c r="IT76" s="178"/>
      <c r="IU76" s="178"/>
      <c r="IV76" s="178"/>
      <c r="IW76" s="178"/>
      <c r="IX76" s="178"/>
      <c r="IY76" s="178"/>
      <c r="IZ76" s="178"/>
      <c r="JA76" s="178"/>
      <c r="JB76" s="178"/>
      <c r="JC76" s="178"/>
      <c r="JD76" s="178"/>
    </row>
    <row r="77">
      <c r="A77" s="204"/>
      <c r="B77" s="204"/>
      <c r="C77" s="204"/>
      <c r="D77" s="204"/>
      <c r="E77" s="204"/>
      <c r="F77" s="204"/>
      <c r="G77" s="204"/>
      <c r="H77" s="204"/>
      <c r="I77" s="204"/>
      <c r="J77" s="204"/>
      <c r="K77" s="204"/>
      <c r="L77" s="204"/>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c r="AK77" s="204"/>
      <c r="AL77" s="204"/>
      <c r="AM77" s="204"/>
      <c r="AN77" s="204"/>
      <c r="AO77" s="204"/>
      <c r="AP77" s="204"/>
      <c r="AQ77" s="204"/>
      <c r="AR77" s="204"/>
      <c r="AS77" s="204"/>
      <c r="AT77" s="204"/>
      <c r="AU77" s="204"/>
      <c r="AV77" s="204"/>
      <c r="AW77" s="204"/>
      <c r="AX77" s="204"/>
      <c r="AY77" s="204"/>
      <c r="AZ77" s="204"/>
      <c r="BA77" s="204"/>
      <c r="BB77" s="204"/>
      <c r="BC77" s="204"/>
      <c r="BD77" s="204"/>
      <c r="BE77" s="205" t="s">
        <v>93</v>
      </c>
      <c r="BF77" s="195">
        <v>0.10305555555555555</v>
      </c>
      <c r="BG77" s="205" t="s">
        <v>30</v>
      </c>
      <c r="BH77" s="195">
        <v>0.029270833333333333</v>
      </c>
      <c r="BI77" s="205" t="s">
        <v>61</v>
      </c>
      <c r="BJ77" s="195">
        <v>0.03300925925925926</v>
      </c>
      <c r="BK77" s="205" t="s">
        <v>93</v>
      </c>
      <c r="BL77" s="195">
        <v>0.10052083333333334</v>
      </c>
      <c r="BM77" s="205" t="s">
        <v>426</v>
      </c>
      <c r="BN77" s="195">
        <v>0.049212962962962965</v>
      </c>
      <c r="BO77" s="205" t="s">
        <v>426</v>
      </c>
      <c r="BP77" s="195">
        <v>0.012523148148148148</v>
      </c>
      <c r="BQ77" s="205" t="s">
        <v>426</v>
      </c>
      <c r="BR77" s="195">
        <v>0.022118055555555554</v>
      </c>
      <c r="BS77" s="205" t="s">
        <v>426</v>
      </c>
      <c r="BT77" s="195">
        <v>0.025625</v>
      </c>
      <c r="BU77" s="205" t="s">
        <v>93</v>
      </c>
      <c r="BV77" s="195">
        <v>0.03332175925925926</v>
      </c>
      <c r="BW77" s="205" t="s">
        <v>426</v>
      </c>
      <c r="BX77" s="195">
        <v>0.051597222222222225</v>
      </c>
      <c r="BY77" s="205" t="s">
        <v>426</v>
      </c>
      <c r="BZ77" s="195">
        <v>0.032268518518518516</v>
      </c>
      <c r="CA77" s="205" t="s">
        <v>426</v>
      </c>
      <c r="CB77" s="195">
        <v>0.024826388888888887</v>
      </c>
      <c r="CC77" s="205" t="s">
        <v>426</v>
      </c>
      <c r="CD77" s="195">
        <v>0.031643518518518515</v>
      </c>
      <c r="CE77" s="205" t="s">
        <v>93</v>
      </c>
      <c r="CF77" s="195">
        <v>0.03356481481481482</v>
      </c>
      <c r="CG77" s="205" t="s">
        <v>426</v>
      </c>
      <c r="CH77" s="195">
        <v>0.030266203703703705</v>
      </c>
      <c r="CI77" s="205" t="s">
        <v>30</v>
      </c>
      <c r="CJ77" s="195">
        <v>0.2928125</v>
      </c>
      <c r="CK77" s="205" t="s">
        <v>30</v>
      </c>
      <c r="CL77" s="195">
        <v>0.2715625</v>
      </c>
      <c r="CM77" s="205" t="s">
        <v>426</v>
      </c>
      <c r="CN77" s="195">
        <v>0.02199074074074074</v>
      </c>
      <c r="CO77" s="205" t="s">
        <v>30</v>
      </c>
      <c r="CP77" s="195">
        <v>0.14489583333333333</v>
      </c>
      <c r="CQ77" s="205" t="s">
        <v>30</v>
      </c>
      <c r="CR77" s="195">
        <v>0.08792824074074074</v>
      </c>
      <c r="CS77" s="205" t="s">
        <v>30</v>
      </c>
      <c r="CT77" s="195">
        <v>0.3293171296296296</v>
      </c>
      <c r="CU77" s="205" t="s">
        <v>426</v>
      </c>
      <c r="CV77" s="195">
        <v>0.024108796296296295</v>
      </c>
      <c r="CW77" s="204"/>
      <c r="CX77" s="204"/>
      <c r="CY77" s="206" t="s">
        <v>53</v>
      </c>
      <c r="CZ77" s="199">
        <v>0.5519791666666667</v>
      </c>
      <c r="DA77" s="204"/>
      <c r="DB77" s="204"/>
      <c r="DC77" s="205" t="s">
        <v>93</v>
      </c>
      <c r="DD77" s="195">
        <v>0.015914351851851853</v>
      </c>
      <c r="DE77" s="205" t="s">
        <v>426</v>
      </c>
      <c r="DF77" s="195">
        <v>0.013472222222222222</v>
      </c>
      <c r="DG77" s="205" t="s">
        <v>426</v>
      </c>
      <c r="DH77" s="195">
        <v>3.040879629629629</v>
      </c>
      <c r="IE77" s="178"/>
      <c r="IF77" s="178"/>
      <c r="IG77" s="178"/>
      <c r="IH77" s="178"/>
      <c r="II77" s="178"/>
      <c r="IJ77" s="178"/>
      <c r="IK77" s="178"/>
      <c r="IL77" s="178"/>
      <c r="IM77" s="178"/>
      <c r="IN77" s="178"/>
      <c r="IO77" s="178"/>
      <c r="IP77" s="178"/>
      <c r="IQ77" s="178"/>
      <c r="IR77" s="178"/>
      <c r="IS77" s="178"/>
      <c r="IT77" s="178"/>
      <c r="IU77" s="178"/>
      <c r="IV77" s="178"/>
      <c r="IW77" s="178"/>
      <c r="IX77" s="178"/>
      <c r="IY77" s="178"/>
      <c r="IZ77" s="178"/>
      <c r="JA77" s="178"/>
      <c r="JB77" s="178"/>
      <c r="JC77" s="178"/>
      <c r="JD77" s="178"/>
    </row>
    <row r="78">
      <c r="A78" s="204"/>
      <c r="B78" s="204"/>
      <c r="C78" s="20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c r="AD78" s="204"/>
      <c r="AE78" s="204"/>
      <c r="AF78" s="204"/>
      <c r="AG78" s="204"/>
      <c r="AH78" s="204"/>
      <c r="AI78" s="204"/>
      <c r="AJ78" s="204"/>
      <c r="AK78" s="204"/>
      <c r="AL78" s="204"/>
      <c r="AM78" s="204"/>
      <c r="AN78" s="204"/>
      <c r="AO78" s="204"/>
      <c r="AP78" s="204"/>
      <c r="AQ78" s="204"/>
      <c r="AR78" s="204"/>
      <c r="AS78" s="204"/>
      <c r="AT78" s="204"/>
      <c r="AU78" s="204"/>
      <c r="AV78" s="204"/>
      <c r="AW78" s="204"/>
      <c r="AX78" s="204"/>
      <c r="AY78" s="204"/>
      <c r="AZ78" s="204"/>
      <c r="BA78" s="204"/>
      <c r="BB78" s="204"/>
      <c r="BC78" s="204"/>
      <c r="BD78" s="204"/>
      <c r="BE78" s="205" t="s">
        <v>30</v>
      </c>
      <c r="BF78" s="195">
        <v>0.03885416666666667</v>
      </c>
      <c r="BG78" s="205" t="s">
        <v>61</v>
      </c>
      <c r="BH78" s="195">
        <v>0.03071759259259259</v>
      </c>
      <c r="BI78" s="206" t="s">
        <v>53</v>
      </c>
      <c r="BJ78" s="199">
        <v>0.06662037037037037</v>
      </c>
      <c r="BK78" s="205" t="s">
        <v>30</v>
      </c>
      <c r="BL78" s="195">
        <v>0.01642361111111111</v>
      </c>
      <c r="BM78" s="205" t="s">
        <v>93</v>
      </c>
      <c r="BN78" s="195">
        <v>0.1221875</v>
      </c>
      <c r="BO78" s="205" t="s">
        <v>93</v>
      </c>
      <c r="BP78" s="195">
        <v>0.051805555555555556</v>
      </c>
      <c r="BQ78" s="205" t="s">
        <v>93</v>
      </c>
      <c r="BR78" s="195">
        <v>0.05282407407407407</v>
      </c>
      <c r="BS78" s="205" t="s">
        <v>93</v>
      </c>
      <c r="BT78" s="195">
        <v>0.06390046296296296</v>
      </c>
      <c r="BU78" s="205" t="s">
        <v>30</v>
      </c>
      <c r="BV78" s="195">
        <v>0.9113078703703704</v>
      </c>
      <c r="BW78" s="205" t="s">
        <v>93</v>
      </c>
      <c r="BX78" s="195">
        <v>0.022754629629629628</v>
      </c>
      <c r="BY78" s="205" t="s">
        <v>93</v>
      </c>
      <c r="BZ78" s="195">
        <v>0.021782407407407407</v>
      </c>
      <c r="CA78" s="205" t="s">
        <v>93</v>
      </c>
      <c r="CB78" s="195">
        <v>0.046203703703703705</v>
      </c>
      <c r="CC78" s="205" t="s">
        <v>93</v>
      </c>
      <c r="CD78" s="195">
        <v>0.06619212962962963</v>
      </c>
      <c r="CE78" s="205" t="s">
        <v>30</v>
      </c>
      <c r="CF78" s="195">
        <v>0.4237037037037037</v>
      </c>
      <c r="CG78" s="205" t="s">
        <v>93</v>
      </c>
      <c r="CH78" s="195">
        <v>0.037384259259259256</v>
      </c>
      <c r="CI78" s="205" t="s">
        <v>61</v>
      </c>
      <c r="CJ78" s="195">
        <v>0.14847222222222223</v>
      </c>
      <c r="CK78" s="205" t="s">
        <v>61</v>
      </c>
      <c r="CL78" s="195">
        <v>0.15648148148148147</v>
      </c>
      <c r="CM78" s="205" t="s">
        <v>93</v>
      </c>
      <c r="CN78" s="195">
        <v>0.034340277777777775</v>
      </c>
      <c r="CO78" s="205" t="s">
        <v>61</v>
      </c>
      <c r="CP78" s="195">
        <v>0.09763888888888889</v>
      </c>
      <c r="CQ78" s="205" t="s">
        <v>61</v>
      </c>
      <c r="CR78" s="195">
        <v>0.09409722222222222</v>
      </c>
      <c r="CS78" s="205" t="s">
        <v>61</v>
      </c>
      <c r="CT78" s="195">
        <v>0.0568287037037037</v>
      </c>
      <c r="CU78" s="205" t="s">
        <v>93</v>
      </c>
      <c r="CV78" s="195">
        <v>0.028425925925925927</v>
      </c>
      <c r="CW78" s="204"/>
      <c r="CX78" s="204"/>
      <c r="CY78" s="204"/>
      <c r="CZ78" s="204"/>
      <c r="DA78" s="204"/>
      <c r="DB78" s="204"/>
      <c r="DC78" s="205" t="s">
        <v>30</v>
      </c>
      <c r="DD78" s="195">
        <v>0.10133101851851851</v>
      </c>
      <c r="DE78" s="205" t="s">
        <v>93</v>
      </c>
      <c r="DF78" s="195">
        <v>0.04369212962962963</v>
      </c>
      <c r="DG78" s="205" t="s">
        <v>93</v>
      </c>
      <c r="DH78" s="195">
        <v>2.1438888888888896</v>
      </c>
      <c r="IE78" s="178"/>
      <c r="IF78" s="178"/>
      <c r="IG78" s="178"/>
      <c r="IH78" s="178"/>
      <c r="II78" s="178"/>
      <c r="IJ78" s="178"/>
      <c r="IK78" s="178"/>
      <c r="IL78" s="178"/>
      <c r="IM78" s="178"/>
      <c r="IN78" s="178"/>
      <c r="IO78" s="178"/>
      <c r="IP78" s="178"/>
      <c r="IQ78" s="178"/>
      <c r="IR78" s="178"/>
      <c r="IS78" s="178"/>
      <c r="IT78" s="178"/>
      <c r="IU78" s="178"/>
      <c r="IV78" s="178"/>
      <c r="IW78" s="178"/>
      <c r="IX78" s="178"/>
      <c r="IY78" s="178"/>
      <c r="IZ78" s="178"/>
      <c r="JA78" s="178"/>
      <c r="JB78" s="178"/>
      <c r="JC78" s="178"/>
      <c r="JD78" s="178"/>
    </row>
    <row r="79">
      <c r="A79" s="204"/>
      <c r="B79" s="204"/>
      <c r="C79" s="204"/>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c r="AK79" s="204"/>
      <c r="AL79" s="204"/>
      <c r="AM79" s="204"/>
      <c r="AN79" s="204"/>
      <c r="AO79" s="204"/>
      <c r="AP79" s="204"/>
      <c r="AQ79" s="204"/>
      <c r="AR79" s="204"/>
      <c r="AS79" s="204"/>
      <c r="AT79" s="204"/>
      <c r="AU79" s="204"/>
      <c r="AV79" s="204"/>
      <c r="AW79" s="204"/>
      <c r="AX79" s="204"/>
      <c r="AY79" s="204"/>
      <c r="AZ79" s="204"/>
      <c r="BA79" s="204"/>
      <c r="BB79" s="204"/>
      <c r="BC79" s="204"/>
      <c r="BD79" s="204"/>
      <c r="BE79" s="206" t="s">
        <v>61</v>
      </c>
      <c r="BF79" s="199">
        <v>0.034270833333333334</v>
      </c>
      <c r="BG79" s="206" t="s">
        <v>53</v>
      </c>
      <c r="BH79" s="199">
        <v>0.013055555555555556</v>
      </c>
      <c r="BI79" s="204"/>
      <c r="BJ79" s="204"/>
      <c r="BK79" s="205" t="s">
        <v>61</v>
      </c>
      <c r="BL79" s="195">
        <v>0.10927083333333333</v>
      </c>
      <c r="BM79" s="205" t="s">
        <v>30</v>
      </c>
      <c r="BN79" s="195">
        <v>0.025173611111111112</v>
      </c>
      <c r="BO79" s="205" t="s">
        <v>30</v>
      </c>
      <c r="BP79" s="195">
        <v>0.0475</v>
      </c>
      <c r="BQ79" s="205" t="s">
        <v>30</v>
      </c>
      <c r="BR79" s="195">
        <v>0.09949074074074074</v>
      </c>
      <c r="BS79" s="205" t="s">
        <v>30</v>
      </c>
      <c r="BT79" s="195">
        <v>0.17158564814814814</v>
      </c>
      <c r="BU79" s="205" t="s">
        <v>61</v>
      </c>
      <c r="BV79" s="195">
        <v>0.3290046296296296</v>
      </c>
      <c r="BW79" s="205" t="s">
        <v>30</v>
      </c>
      <c r="BX79" s="195">
        <v>0.7905208333333333</v>
      </c>
      <c r="BY79" s="205" t="s">
        <v>30</v>
      </c>
      <c r="BZ79" s="195">
        <v>0.4209027777777778</v>
      </c>
      <c r="CA79" s="205" t="s">
        <v>30</v>
      </c>
      <c r="CB79" s="195">
        <v>0.31605324074074076</v>
      </c>
      <c r="CC79" s="205" t="s">
        <v>30</v>
      </c>
      <c r="CD79" s="195">
        <v>0.16670138888888889</v>
      </c>
      <c r="CE79" s="205" t="s">
        <v>61</v>
      </c>
      <c r="CF79" s="195">
        <v>0.21189814814814814</v>
      </c>
      <c r="CG79" s="205" t="s">
        <v>30</v>
      </c>
      <c r="CH79" s="195">
        <v>0.21947916666666667</v>
      </c>
      <c r="CI79" s="206" t="s">
        <v>53</v>
      </c>
      <c r="CJ79" s="199">
        <v>0.7212962962962963</v>
      </c>
      <c r="CK79" s="206" t="s">
        <v>53</v>
      </c>
      <c r="CL79" s="199">
        <v>0.9606597222222222</v>
      </c>
      <c r="CM79" s="205" t="s">
        <v>30</v>
      </c>
      <c r="CN79" s="195">
        <v>0.0674074074074074</v>
      </c>
      <c r="CO79" s="206" t="s">
        <v>53</v>
      </c>
      <c r="CP79" s="199">
        <v>0.24246527777777777</v>
      </c>
      <c r="CQ79" s="206" t="s">
        <v>53</v>
      </c>
      <c r="CR79" s="199">
        <v>0.5365277777777778</v>
      </c>
      <c r="CS79" s="206" t="s">
        <v>53</v>
      </c>
      <c r="CT79" s="199">
        <v>0.3009722222222222</v>
      </c>
      <c r="CU79" s="205" t="s">
        <v>30</v>
      </c>
      <c r="CV79" s="195">
        <v>0.34770833333333334</v>
      </c>
      <c r="CW79" s="204"/>
      <c r="CX79" s="204"/>
      <c r="CY79" s="204"/>
      <c r="CZ79" s="204"/>
      <c r="DA79" s="204"/>
      <c r="DB79" s="204"/>
      <c r="DC79" s="205" t="s">
        <v>61</v>
      </c>
      <c r="DD79" s="195">
        <v>0.06706018518518518</v>
      </c>
      <c r="DE79" s="205" t="s">
        <v>30</v>
      </c>
      <c r="DF79" s="195">
        <v>0.1104050925925926</v>
      </c>
      <c r="DG79" s="205" t="s">
        <v>30</v>
      </c>
      <c r="DH79" s="195">
        <v>3.069687500000001</v>
      </c>
      <c r="IE79" s="178"/>
      <c r="IF79" s="178"/>
      <c r="IG79" s="178"/>
      <c r="IH79" s="178"/>
      <c r="II79" s="178"/>
      <c r="IJ79" s="178"/>
      <c r="IK79" s="178"/>
      <c r="IL79" s="178"/>
      <c r="IM79" s="178"/>
      <c r="IN79" s="178"/>
      <c r="IO79" s="178"/>
      <c r="IP79" s="178"/>
      <c r="IQ79" s="178"/>
      <c r="IR79" s="178"/>
      <c r="IS79" s="178"/>
      <c r="IT79" s="178"/>
      <c r="IU79" s="178"/>
      <c r="IV79" s="178"/>
      <c r="IW79" s="178"/>
      <c r="IX79" s="178"/>
      <c r="IY79" s="178"/>
      <c r="IZ79" s="178"/>
      <c r="JA79" s="178"/>
      <c r="JB79" s="178"/>
      <c r="JC79" s="178"/>
      <c r="JD79" s="178"/>
    </row>
    <row r="80">
      <c r="A80" s="204"/>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204"/>
      <c r="AB80" s="204"/>
      <c r="AC80" s="204"/>
      <c r="AD80" s="204"/>
      <c r="AE80" s="204"/>
      <c r="AF80" s="204"/>
      <c r="AG80" s="204"/>
      <c r="AH80" s="204"/>
      <c r="AI80" s="204"/>
      <c r="AJ80" s="204"/>
      <c r="AK80" s="204"/>
      <c r="AL80" s="204"/>
      <c r="AM80" s="204"/>
      <c r="AN80" s="204"/>
      <c r="AO80" s="204"/>
      <c r="AP80" s="204"/>
      <c r="AQ80" s="204"/>
      <c r="AR80" s="204"/>
      <c r="AS80" s="204"/>
      <c r="AT80" s="204"/>
      <c r="AU80" s="204"/>
      <c r="AV80" s="204"/>
      <c r="AW80" s="204"/>
      <c r="AX80" s="204"/>
      <c r="AY80" s="204"/>
      <c r="AZ80" s="204"/>
      <c r="BA80" s="204"/>
      <c r="BB80" s="204"/>
      <c r="BC80" s="204"/>
      <c r="BD80" s="204"/>
      <c r="BE80" s="204"/>
      <c r="BF80" s="204"/>
      <c r="BG80" s="204"/>
      <c r="BH80" s="204"/>
      <c r="BI80" s="204"/>
      <c r="BJ80" s="204"/>
      <c r="BK80" s="206" t="s">
        <v>53</v>
      </c>
      <c r="BL80" s="199">
        <v>0.013761574074074074</v>
      </c>
      <c r="BM80" s="205" t="s">
        <v>61</v>
      </c>
      <c r="BN80" s="195">
        <v>0.22444444444444445</v>
      </c>
      <c r="BO80" s="205" t="s">
        <v>61</v>
      </c>
      <c r="BP80" s="195">
        <v>0.12349537037037037</v>
      </c>
      <c r="BQ80" s="205" t="s">
        <v>61</v>
      </c>
      <c r="BR80" s="195">
        <v>0.39375</v>
      </c>
      <c r="BS80" s="205" t="s">
        <v>61</v>
      </c>
      <c r="BT80" s="195">
        <v>0.18774305555555557</v>
      </c>
      <c r="BU80" s="206" t="s">
        <v>53</v>
      </c>
      <c r="BV80" s="199">
        <v>0.029652777777777778</v>
      </c>
      <c r="BW80" s="205" t="s">
        <v>61</v>
      </c>
      <c r="BX80" s="195">
        <v>0.33349537037037036</v>
      </c>
      <c r="BY80" s="205" t="s">
        <v>61</v>
      </c>
      <c r="BZ80" s="195">
        <v>0.271712962962963</v>
      </c>
      <c r="CA80" s="205" t="s">
        <v>61</v>
      </c>
      <c r="CB80" s="195">
        <v>0.15108796296296295</v>
      </c>
      <c r="CC80" s="205" t="s">
        <v>61</v>
      </c>
      <c r="CD80" s="195">
        <v>0.1700925925925926</v>
      </c>
      <c r="CE80" s="206" t="s">
        <v>53</v>
      </c>
      <c r="CF80" s="199">
        <v>0.22652777777777777</v>
      </c>
      <c r="CG80" s="205" t="s">
        <v>61</v>
      </c>
      <c r="CH80" s="195">
        <v>0.18623842592592593</v>
      </c>
      <c r="CI80" s="204"/>
      <c r="CJ80" s="204"/>
      <c r="CK80" s="204"/>
      <c r="CL80" s="204"/>
      <c r="CM80" s="205" t="s">
        <v>61</v>
      </c>
      <c r="CN80" s="195">
        <v>0.1227662037037037</v>
      </c>
      <c r="CO80" s="204"/>
      <c r="CP80" s="204"/>
      <c r="CQ80" s="204"/>
      <c r="CR80" s="204"/>
      <c r="CS80" s="204"/>
      <c r="CT80" s="204"/>
      <c r="CU80" s="205" t="s">
        <v>61</v>
      </c>
      <c r="CV80" s="195">
        <v>0.05865740740740741</v>
      </c>
      <c r="CW80" s="204"/>
      <c r="CX80" s="204"/>
      <c r="CY80" s="204"/>
      <c r="CZ80" s="204"/>
      <c r="DA80" s="204"/>
      <c r="DB80" s="204"/>
      <c r="DC80" s="206" t="s">
        <v>53</v>
      </c>
      <c r="DD80" s="199">
        <v>0.3128125</v>
      </c>
      <c r="DE80" s="205" t="s">
        <v>61</v>
      </c>
      <c r="DF80" s="195">
        <v>0.16923611111111111</v>
      </c>
      <c r="DG80" s="205" t="s">
        <v>61</v>
      </c>
      <c r="DH80" s="195">
        <v>3.382800925925926</v>
      </c>
      <c r="IE80" s="178"/>
      <c r="IF80" s="178"/>
      <c r="IG80" s="178"/>
      <c r="IH80" s="178"/>
      <c r="II80" s="178"/>
      <c r="IJ80" s="178"/>
      <c r="IK80" s="178"/>
      <c r="IL80" s="178"/>
      <c r="IM80" s="178"/>
      <c r="IN80" s="178"/>
      <c r="IO80" s="178"/>
      <c r="IP80" s="178"/>
      <c r="IQ80" s="178"/>
      <c r="IR80" s="178"/>
      <c r="IS80" s="178"/>
      <c r="IT80" s="178"/>
      <c r="IU80" s="178"/>
      <c r="IV80" s="178"/>
      <c r="IW80" s="178"/>
      <c r="IX80" s="178"/>
      <c r="IY80" s="178"/>
      <c r="IZ80" s="178"/>
      <c r="JA80" s="178"/>
      <c r="JB80" s="178"/>
      <c r="JC80" s="178"/>
      <c r="JD80" s="178"/>
    </row>
    <row r="81">
      <c r="A81" s="204"/>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204"/>
      <c r="AB81" s="204"/>
      <c r="AC81" s="204"/>
      <c r="AD81" s="204"/>
      <c r="AE81" s="204"/>
      <c r="AF81" s="204"/>
      <c r="AG81" s="204"/>
      <c r="AH81" s="204"/>
      <c r="AI81" s="204"/>
      <c r="AJ81" s="204"/>
      <c r="AK81" s="204"/>
      <c r="AL81" s="204"/>
      <c r="AM81" s="204"/>
      <c r="AN81" s="204"/>
      <c r="AO81" s="204"/>
      <c r="AP81" s="204"/>
      <c r="AQ81" s="204"/>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6" t="s">
        <v>53</v>
      </c>
      <c r="BN81" s="199">
        <v>0.049965277777777775</v>
      </c>
      <c r="BO81" s="206" t="s">
        <v>53</v>
      </c>
      <c r="BP81" s="199">
        <v>0.0641087962962963</v>
      </c>
      <c r="BQ81" s="206" t="s">
        <v>53</v>
      </c>
      <c r="BR81" s="199">
        <v>0.04748842592592593</v>
      </c>
      <c r="BS81" s="206" t="s">
        <v>53</v>
      </c>
      <c r="BT81" s="199">
        <v>0.08445601851851851</v>
      </c>
      <c r="BU81" s="204"/>
      <c r="BV81" s="204"/>
      <c r="BW81" s="206" t="s">
        <v>53</v>
      </c>
      <c r="BX81" s="199">
        <v>0.17125</v>
      </c>
      <c r="BY81" s="206" t="s">
        <v>53</v>
      </c>
      <c r="BZ81" s="199">
        <v>0.23631944444444444</v>
      </c>
      <c r="CA81" s="206" t="s">
        <v>53</v>
      </c>
      <c r="CB81" s="199">
        <v>0.3084375</v>
      </c>
      <c r="CC81" s="206" t="s">
        <v>53</v>
      </c>
      <c r="CD81" s="199">
        <v>0.2875</v>
      </c>
      <c r="CE81" s="204"/>
      <c r="CF81" s="204"/>
      <c r="CG81" s="206" t="s">
        <v>53</v>
      </c>
      <c r="CH81" s="199">
        <v>0.650150462962963</v>
      </c>
      <c r="CI81" s="204"/>
      <c r="CJ81" s="204"/>
      <c r="CK81" s="204"/>
      <c r="CL81" s="204"/>
      <c r="CM81" s="206" t="s">
        <v>53</v>
      </c>
      <c r="CN81" s="199">
        <v>0.6573263888888888</v>
      </c>
      <c r="CO81" s="204"/>
      <c r="CP81" s="204"/>
      <c r="CQ81" s="204"/>
      <c r="CR81" s="204"/>
      <c r="CS81" s="204"/>
      <c r="CT81" s="204"/>
      <c r="CU81" s="206" t="s">
        <v>53</v>
      </c>
      <c r="CV81" s="199">
        <v>0.6759953703703704</v>
      </c>
      <c r="CW81" s="204"/>
      <c r="CX81" s="204"/>
      <c r="CY81" s="204"/>
      <c r="CZ81" s="204"/>
      <c r="DA81" s="204"/>
      <c r="DB81" s="204"/>
      <c r="DC81" s="204"/>
      <c r="DD81" s="204"/>
      <c r="DE81" s="206" t="s">
        <v>53</v>
      </c>
      <c r="DF81" s="199">
        <v>0.016099537037037037</v>
      </c>
      <c r="DG81" s="206" t="s">
        <v>53</v>
      </c>
      <c r="DH81" s="199">
        <v>2.1213773148148145</v>
      </c>
      <c r="IE81" s="178"/>
      <c r="IF81" s="178"/>
      <c r="IG81" s="178"/>
      <c r="IH81" s="178"/>
      <c r="II81" s="178"/>
      <c r="IJ81" s="178"/>
      <c r="IK81" s="178"/>
      <c r="IL81" s="178"/>
      <c r="IM81" s="178"/>
      <c r="IN81" s="178"/>
      <c r="IO81" s="178"/>
      <c r="IP81" s="178"/>
      <c r="IQ81" s="178"/>
      <c r="IR81" s="178"/>
      <c r="IS81" s="178"/>
      <c r="IT81" s="178"/>
      <c r="IU81" s="178"/>
      <c r="IV81" s="178"/>
      <c r="IW81" s="178"/>
      <c r="IX81" s="178"/>
      <c r="IY81" s="178"/>
      <c r="IZ81" s="178"/>
      <c r="JA81" s="178"/>
      <c r="JB81" s="178"/>
      <c r="JC81" s="178"/>
      <c r="JD81" s="178"/>
    </row>
    <row r="82">
      <c r="IE82" s="178"/>
      <c r="IF82" s="178"/>
      <c r="IG82" s="178"/>
      <c r="IH82" s="178"/>
      <c r="II82" s="178"/>
      <c r="IJ82" s="178"/>
      <c r="IK82" s="178"/>
      <c r="IL82" s="178"/>
      <c r="IM82" s="178"/>
      <c r="IN82" s="178"/>
      <c r="IO82" s="178"/>
      <c r="IP82" s="178"/>
      <c r="IQ82" s="178"/>
      <c r="IR82" s="178"/>
      <c r="IS82" s="178"/>
      <c r="IT82" s="178"/>
      <c r="IU82" s="178"/>
      <c r="IV82" s="178"/>
      <c r="IW82" s="178"/>
      <c r="IX82" s="178"/>
      <c r="IY82" s="178"/>
      <c r="IZ82" s="178"/>
      <c r="JA82" s="178"/>
      <c r="JB82" s="178"/>
      <c r="JC82" s="178"/>
      <c r="JD82" s="178"/>
    </row>
    <row r="83">
      <c r="IE83" s="178"/>
      <c r="IF83" s="178"/>
      <c r="IG83" s="178"/>
      <c r="IH83" s="178"/>
      <c r="II83" s="178"/>
      <c r="IJ83" s="178"/>
      <c r="IK83" s="178"/>
      <c r="IL83" s="178"/>
      <c r="IM83" s="178"/>
      <c r="IN83" s="178"/>
      <c r="IO83" s="178"/>
      <c r="IP83" s="178"/>
      <c r="IQ83" s="178"/>
      <c r="IR83" s="178"/>
      <c r="IS83" s="178"/>
      <c r="IT83" s="178"/>
      <c r="IU83" s="178"/>
      <c r="IV83" s="178"/>
      <c r="IW83" s="178"/>
      <c r="IX83" s="178"/>
      <c r="IY83" s="178"/>
      <c r="IZ83" s="178"/>
      <c r="JA83" s="178"/>
      <c r="JB83" s="178"/>
      <c r="JC83" s="178"/>
      <c r="JD83" s="178"/>
    </row>
    <row r="84">
      <c r="IE84" s="178"/>
      <c r="IF84" s="178"/>
      <c r="IG84" s="178"/>
      <c r="IH84" s="178"/>
      <c r="II84" s="178"/>
      <c r="IJ84" s="178"/>
      <c r="IK84" s="178"/>
      <c r="IL84" s="178"/>
      <c r="IM84" s="178"/>
      <c r="IN84" s="178"/>
      <c r="IO84" s="178"/>
      <c r="IP84" s="178"/>
      <c r="IQ84" s="178"/>
      <c r="IR84" s="178"/>
      <c r="IS84" s="178"/>
      <c r="IT84" s="178"/>
      <c r="IU84" s="178"/>
      <c r="IV84" s="178"/>
      <c r="IW84" s="178"/>
      <c r="IX84" s="178"/>
      <c r="IY84" s="178"/>
      <c r="IZ84" s="178"/>
      <c r="JA84" s="178"/>
      <c r="JB84" s="178"/>
      <c r="JC84" s="178"/>
      <c r="JD84" s="178"/>
    </row>
    <row r="85">
      <c r="IE85" s="178"/>
      <c r="IF85" s="178"/>
      <c r="IG85" s="178"/>
      <c r="IH85" s="178"/>
      <c r="II85" s="178"/>
      <c r="IJ85" s="178"/>
      <c r="IK85" s="178"/>
      <c r="IL85" s="178"/>
      <c r="IM85" s="178"/>
      <c r="IN85" s="178"/>
      <c r="IO85" s="178"/>
      <c r="IP85" s="178"/>
      <c r="IQ85" s="178"/>
      <c r="IR85" s="178"/>
      <c r="IS85" s="178"/>
      <c r="IT85" s="178"/>
      <c r="IU85" s="178"/>
      <c r="IV85" s="178"/>
      <c r="IW85" s="178"/>
      <c r="IX85" s="178"/>
      <c r="IY85" s="178"/>
      <c r="IZ85" s="178"/>
      <c r="JA85" s="178"/>
      <c r="JB85" s="178"/>
      <c r="JC85" s="178"/>
      <c r="JD85" s="178"/>
    </row>
    <row r="86">
      <c r="IE86" s="178"/>
      <c r="IF86" s="178"/>
      <c r="IG86" s="178"/>
      <c r="IH86" s="178"/>
      <c r="II86" s="178"/>
      <c r="IJ86" s="178"/>
      <c r="IK86" s="178"/>
      <c r="IL86" s="178"/>
      <c r="IM86" s="178"/>
      <c r="IN86" s="178"/>
      <c r="IO86" s="178"/>
      <c r="IP86" s="178"/>
      <c r="IQ86" s="178"/>
      <c r="IR86" s="178"/>
      <c r="IS86" s="178"/>
      <c r="IT86" s="178"/>
      <c r="IU86" s="178"/>
      <c r="IV86" s="178"/>
      <c r="IW86" s="178"/>
      <c r="IX86" s="178"/>
      <c r="IY86" s="178"/>
      <c r="IZ86" s="178"/>
      <c r="JA86" s="178"/>
      <c r="JB86" s="178"/>
      <c r="JC86" s="178"/>
      <c r="JD86" s="178"/>
    </row>
    <row r="87">
      <c r="IE87" s="178"/>
      <c r="IF87" s="178"/>
      <c r="IG87" s="178"/>
      <c r="IH87" s="178"/>
      <c r="II87" s="178"/>
      <c r="IJ87" s="178"/>
      <c r="IK87" s="178"/>
      <c r="IL87" s="178"/>
      <c r="IM87" s="178"/>
      <c r="IN87" s="178"/>
      <c r="IO87" s="178"/>
      <c r="IP87" s="178"/>
      <c r="IQ87" s="178"/>
      <c r="IR87" s="178"/>
      <c r="IS87" s="178"/>
      <c r="IT87" s="178"/>
      <c r="IU87" s="178"/>
      <c r="IV87" s="178"/>
      <c r="IW87" s="178"/>
      <c r="IX87" s="178"/>
      <c r="IY87" s="178"/>
      <c r="IZ87" s="178"/>
      <c r="JA87" s="178"/>
      <c r="JB87" s="178"/>
      <c r="JC87" s="178"/>
      <c r="JD87" s="178"/>
    </row>
    <row r="88">
      <c r="IE88" s="178"/>
      <c r="IF88" s="178"/>
      <c r="IG88" s="178"/>
      <c r="IH88" s="178"/>
      <c r="II88" s="178"/>
      <c r="IJ88" s="178"/>
      <c r="IK88" s="178"/>
      <c r="IL88" s="178"/>
      <c r="IM88" s="178"/>
      <c r="IN88" s="178"/>
      <c r="IO88" s="178"/>
      <c r="IP88" s="178"/>
      <c r="IQ88" s="178"/>
      <c r="IR88" s="178"/>
      <c r="IS88" s="178"/>
      <c r="IT88" s="178"/>
      <c r="IU88" s="178"/>
      <c r="IV88" s="178"/>
      <c r="IW88" s="178"/>
      <c r="IX88" s="178"/>
      <c r="IY88" s="178"/>
      <c r="IZ88" s="178"/>
      <c r="JA88" s="178"/>
      <c r="JB88" s="178"/>
      <c r="JC88" s="178"/>
      <c r="JD88" s="178"/>
    </row>
    <row r="89">
      <c r="IE89" s="178"/>
      <c r="IF89" s="178"/>
      <c r="IG89" s="178"/>
      <c r="IH89" s="178"/>
      <c r="II89" s="178"/>
      <c r="IJ89" s="178"/>
      <c r="IK89" s="178"/>
      <c r="IL89" s="178"/>
      <c r="IM89" s="178"/>
      <c r="IN89" s="178"/>
      <c r="IO89" s="178"/>
      <c r="IP89" s="178"/>
      <c r="IQ89" s="178"/>
      <c r="IR89" s="178"/>
      <c r="IS89" s="178"/>
      <c r="IT89" s="178"/>
      <c r="IU89" s="178"/>
      <c r="IV89" s="178"/>
      <c r="IW89" s="178"/>
      <c r="IX89" s="178"/>
      <c r="IY89" s="178"/>
      <c r="IZ89" s="178"/>
      <c r="JA89" s="178"/>
      <c r="JB89" s="178"/>
      <c r="JC89" s="178"/>
      <c r="JD89" s="178"/>
    </row>
    <row r="90">
      <c r="IE90" s="178"/>
      <c r="IF90" s="178"/>
      <c r="IG90" s="178"/>
      <c r="IH90" s="178"/>
      <c r="II90" s="178"/>
      <c r="IJ90" s="178"/>
      <c r="IK90" s="178"/>
      <c r="IL90" s="178"/>
      <c r="IM90" s="178"/>
      <c r="IN90" s="178"/>
      <c r="IO90" s="178"/>
      <c r="IP90" s="178"/>
      <c r="IQ90" s="178"/>
      <c r="IR90" s="178"/>
      <c r="IS90" s="178"/>
      <c r="IT90" s="178"/>
      <c r="IU90" s="178"/>
      <c r="IV90" s="178"/>
      <c r="IW90" s="178"/>
      <c r="IX90" s="178"/>
      <c r="IY90" s="178"/>
      <c r="IZ90" s="178"/>
      <c r="JA90" s="178"/>
      <c r="JB90" s="178"/>
      <c r="JC90" s="178"/>
      <c r="JD90" s="178"/>
    </row>
    <row r="91">
      <c r="IE91" s="178"/>
      <c r="IF91" s="178"/>
      <c r="IG91" s="178"/>
      <c r="IH91" s="178"/>
      <c r="II91" s="178"/>
      <c r="IJ91" s="178"/>
      <c r="IK91" s="178"/>
      <c r="IL91" s="178"/>
      <c r="IM91" s="178"/>
      <c r="IN91" s="178"/>
      <c r="IO91" s="178"/>
      <c r="IP91" s="178"/>
      <c r="IQ91" s="178"/>
      <c r="IR91" s="178"/>
      <c r="IS91" s="178"/>
      <c r="IT91" s="178"/>
      <c r="IU91" s="178"/>
      <c r="IV91" s="178"/>
      <c r="IW91" s="178"/>
      <c r="IX91" s="178"/>
      <c r="IY91" s="178"/>
      <c r="IZ91" s="178"/>
      <c r="JA91" s="178"/>
      <c r="JB91" s="178"/>
      <c r="JC91" s="178"/>
      <c r="JD91" s="178"/>
    </row>
    <row r="92">
      <c r="IE92" s="178"/>
      <c r="IF92" s="178"/>
      <c r="IG92" s="178"/>
      <c r="IH92" s="178"/>
      <c r="II92" s="178"/>
      <c r="IJ92" s="178"/>
      <c r="IK92" s="178"/>
      <c r="IL92" s="178"/>
      <c r="IM92" s="178"/>
      <c r="IN92" s="178"/>
      <c r="IO92" s="178"/>
      <c r="IP92" s="178"/>
      <c r="IQ92" s="178"/>
      <c r="IR92" s="178"/>
      <c r="IS92" s="178"/>
      <c r="IT92" s="178"/>
      <c r="IU92" s="178"/>
      <c r="IV92" s="178"/>
      <c r="IW92" s="178"/>
      <c r="IX92" s="178"/>
      <c r="IY92" s="178"/>
      <c r="IZ92" s="178"/>
      <c r="JA92" s="178"/>
      <c r="JB92" s="178"/>
      <c r="JC92" s="178"/>
      <c r="JD92" s="178"/>
    </row>
    <row r="93">
      <c r="IE93" s="178"/>
      <c r="IF93" s="178"/>
      <c r="IG93" s="178"/>
      <c r="IH93" s="178"/>
      <c r="II93" s="178"/>
      <c r="IJ93" s="178"/>
      <c r="IK93" s="178"/>
      <c r="IL93" s="178"/>
      <c r="IM93" s="178"/>
      <c r="IN93" s="178"/>
      <c r="IO93" s="178"/>
      <c r="IP93" s="178"/>
      <c r="IQ93" s="178"/>
      <c r="IR93" s="178"/>
      <c r="IS93" s="178"/>
      <c r="IT93" s="178"/>
      <c r="IU93" s="178"/>
      <c r="IV93" s="178"/>
      <c r="IW93" s="178"/>
      <c r="IX93" s="178"/>
      <c r="IY93" s="178"/>
      <c r="IZ93" s="178"/>
      <c r="JA93" s="178"/>
      <c r="JB93" s="178"/>
      <c r="JC93" s="178"/>
      <c r="JD93" s="178"/>
    </row>
    <row r="94">
      <c r="IE94" s="178"/>
      <c r="IF94" s="178"/>
      <c r="IG94" s="178"/>
      <c r="IH94" s="178"/>
      <c r="II94" s="178"/>
      <c r="IJ94" s="178"/>
      <c r="IK94" s="178"/>
      <c r="IL94" s="178"/>
      <c r="IM94" s="178"/>
      <c r="IN94" s="178"/>
      <c r="IO94" s="178"/>
      <c r="IP94" s="178"/>
      <c r="IQ94" s="178"/>
      <c r="IR94" s="178"/>
      <c r="IS94" s="178"/>
      <c r="IT94" s="178"/>
      <c r="IU94" s="178"/>
      <c r="IV94" s="178"/>
      <c r="IW94" s="178"/>
      <c r="IX94" s="178"/>
      <c r="IY94" s="178"/>
      <c r="IZ94" s="178"/>
      <c r="JA94" s="178"/>
      <c r="JB94" s="178"/>
      <c r="JC94" s="178"/>
      <c r="JD94" s="178"/>
    </row>
    <row r="95">
      <c r="IE95" s="178"/>
      <c r="IF95" s="178"/>
      <c r="IG95" s="178"/>
      <c r="IH95" s="178"/>
      <c r="II95" s="178"/>
      <c r="IJ95" s="178"/>
      <c r="IK95" s="178"/>
      <c r="IL95" s="178"/>
      <c r="IM95" s="178"/>
      <c r="IN95" s="178"/>
      <c r="IO95" s="178"/>
      <c r="IP95" s="178"/>
      <c r="IQ95" s="178"/>
      <c r="IR95" s="178"/>
      <c r="IS95" s="178"/>
      <c r="IT95" s="178"/>
      <c r="IU95" s="178"/>
      <c r="IV95" s="178"/>
      <c r="IW95" s="178"/>
      <c r="IX95" s="178"/>
      <c r="IY95" s="178"/>
      <c r="IZ95" s="178"/>
      <c r="JA95" s="178"/>
      <c r="JB95" s="178"/>
      <c r="JC95" s="178"/>
      <c r="JD95" s="178"/>
    </row>
    <row r="96">
      <c r="IE96" s="178"/>
      <c r="IF96" s="178"/>
      <c r="IG96" s="178"/>
      <c r="IH96" s="178"/>
      <c r="II96" s="178"/>
      <c r="IJ96" s="178"/>
      <c r="IK96" s="178"/>
      <c r="IL96" s="178"/>
      <c r="IM96" s="178"/>
      <c r="IN96" s="178"/>
      <c r="IO96" s="178"/>
      <c r="IP96" s="178"/>
      <c r="IQ96" s="178"/>
      <c r="IR96" s="178"/>
      <c r="IS96" s="178"/>
      <c r="IT96" s="178"/>
      <c r="IU96" s="178"/>
      <c r="IV96" s="178"/>
      <c r="IW96" s="178"/>
      <c r="IX96" s="178"/>
      <c r="IY96" s="178"/>
      <c r="IZ96" s="178"/>
      <c r="JA96" s="178"/>
      <c r="JB96" s="178"/>
      <c r="JC96" s="178"/>
      <c r="JD96" s="178"/>
    </row>
    <row r="97">
      <c r="IE97" s="178"/>
      <c r="IF97" s="178"/>
      <c r="IG97" s="178"/>
      <c r="IH97" s="178"/>
      <c r="II97" s="178"/>
      <c r="IJ97" s="178"/>
      <c r="IK97" s="178"/>
      <c r="IL97" s="178"/>
      <c r="IM97" s="178"/>
      <c r="IN97" s="178"/>
      <c r="IO97" s="178"/>
      <c r="IP97" s="178"/>
      <c r="IQ97" s="178"/>
      <c r="IR97" s="178"/>
      <c r="IS97" s="178"/>
      <c r="IT97" s="178"/>
      <c r="IU97" s="178"/>
      <c r="IV97" s="178"/>
      <c r="IW97" s="178"/>
      <c r="IX97" s="178"/>
      <c r="IY97" s="178"/>
      <c r="IZ97" s="178"/>
      <c r="JA97" s="178"/>
      <c r="JB97" s="178"/>
      <c r="JC97" s="178"/>
      <c r="JD97" s="178"/>
    </row>
    <row r="98">
      <c r="IE98" s="178"/>
      <c r="IF98" s="178"/>
      <c r="IG98" s="178"/>
      <c r="IH98" s="178"/>
      <c r="II98" s="178"/>
      <c r="IJ98" s="178"/>
      <c r="IK98" s="178"/>
      <c r="IL98" s="178"/>
      <c r="IM98" s="178"/>
      <c r="IN98" s="178"/>
      <c r="IO98" s="178"/>
      <c r="IP98" s="178"/>
      <c r="IQ98" s="178"/>
      <c r="IR98" s="178"/>
      <c r="IS98" s="178"/>
      <c r="IT98" s="178"/>
      <c r="IU98" s="178"/>
      <c r="IV98" s="178"/>
      <c r="IW98" s="178"/>
      <c r="IX98" s="178"/>
      <c r="IY98" s="178"/>
      <c r="IZ98" s="178"/>
      <c r="JA98" s="178"/>
      <c r="JB98" s="178"/>
      <c r="JC98" s="178"/>
      <c r="JD98" s="178"/>
    </row>
    <row r="99">
      <c r="IE99" s="178"/>
      <c r="IF99" s="178"/>
      <c r="IG99" s="178"/>
      <c r="IH99" s="178"/>
      <c r="II99" s="178"/>
      <c r="IJ99" s="178"/>
      <c r="IK99" s="178"/>
      <c r="IL99" s="178"/>
      <c r="IM99" s="178"/>
      <c r="IN99" s="178"/>
      <c r="IO99" s="178"/>
      <c r="IP99" s="178"/>
      <c r="IQ99" s="178"/>
      <c r="IR99" s="178"/>
      <c r="IS99" s="178"/>
      <c r="IT99" s="178"/>
      <c r="IU99" s="178"/>
      <c r="IV99" s="178"/>
      <c r="IW99" s="178"/>
      <c r="IX99" s="178"/>
      <c r="IY99" s="178"/>
      <c r="IZ99" s="178"/>
      <c r="JA99" s="178"/>
      <c r="JB99" s="178"/>
      <c r="JC99" s="178"/>
      <c r="JD99" s="178"/>
    </row>
    <row r="100">
      <c r="IE100" s="178"/>
      <c r="IF100" s="178"/>
      <c r="IG100" s="178"/>
      <c r="IH100" s="178"/>
      <c r="II100" s="178"/>
      <c r="IJ100" s="178"/>
      <c r="IK100" s="178"/>
      <c r="IL100" s="178"/>
      <c r="IM100" s="178"/>
      <c r="IN100" s="178"/>
      <c r="IO100" s="178"/>
      <c r="IP100" s="178"/>
      <c r="IQ100" s="178"/>
      <c r="IR100" s="178"/>
      <c r="IS100" s="178"/>
      <c r="IT100" s="178"/>
      <c r="IU100" s="178"/>
      <c r="IV100" s="178"/>
      <c r="IW100" s="178"/>
      <c r="IX100" s="178"/>
      <c r="IY100" s="178"/>
      <c r="IZ100" s="178"/>
      <c r="JA100" s="178"/>
      <c r="JB100" s="178"/>
      <c r="JC100" s="178"/>
      <c r="JD100" s="178"/>
    </row>
    <row r="101">
      <c r="IE101" s="178"/>
      <c r="IF101" s="178"/>
      <c r="IG101" s="178"/>
      <c r="IH101" s="178"/>
      <c r="II101" s="178"/>
      <c r="IJ101" s="178"/>
      <c r="IK101" s="178"/>
      <c r="IL101" s="178"/>
      <c r="IM101" s="178"/>
      <c r="IN101" s="178"/>
      <c r="IO101" s="178"/>
      <c r="IP101" s="178"/>
      <c r="IQ101" s="178"/>
      <c r="IR101" s="178"/>
      <c r="IS101" s="178"/>
      <c r="IT101" s="178"/>
      <c r="IU101" s="178"/>
      <c r="IV101" s="178"/>
      <c r="IW101" s="178"/>
      <c r="IX101" s="178"/>
      <c r="IY101" s="178"/>
      <c r="IZ101" s="178"/>
      <c r="JA101" s="178"/>
      <c r="JB101" s="178"/>
      <c r="JC101" s="178"/>
      <c r="JD101" s="178"/>
    </row>
    <row r="102">
      <c r="IE102" s="178"/>
      <c r="IF102" s="178"/>
      <c r="IG102" s="178"/>
      <c r="IH102" s="178"/>
      <c r="II102" s="178"/>
      <c r="IJ102" s="178"/>
      <c r="IK102" s="178"/>
      <c r="IL102" s="178"/>
      <c r="IM102" s="178"/>
      <c r="IN102" s="178"/>
      <c r="IO102" s="178"/>
      <c r="IP102" s="178"/>
      <c r="IQ102" s="178"/>
      <c r="IR102" s="178"/>
      <c r="IS102" s="178"/>
      <c r="IT102" s="178"/>
      <c r="IU102" s="178"/>
      <c r="IV102" s="178"/>
      <c r="IW102" s="178"/>
      <c r="IX102" s="178"/>
      <c r="IY102" s="178"/>
      <c r="IZ102" s="178"/>
      <c r="JA102" s="178"/>
      <c r="JB102" s="178"/>
      <c r="JC102" s="178"/>
      <c r="JD102" s="178"/>
    </row>
    <row r="103">
      <c r="IE103" s="178"/>
      <c r="IF103" s="178"/>
      <c r="IG103" s="178"/>
      <c r="IH103" s="178"/>
      <c r="II103" s="178"/>
      <c r="IJ103" s="178"/>
      <c r="IK103" s="178"/>
      <c r="IL103" s="178"/>
      <c r="IM103" s="178"/>
      <c r="IN103" s="178"/>
      <c r="IO103" s="178"/>
      <c r="IP103" s="178"/>
      <c r="IQ103" s="178"/>
      <c r="IR103" s="178"/>
      <c r="IS103" s="178"/>
      <c r="IT103" s="178"/>
      <c r="IU103" s="178"/>
      <c r="IV103" s="178"/>
      <c r="IW103" s="178"/>
      <c r="IX103" s="178"/>
      <c r="IY103" s="178"/>
      <c r="IZ103" s="178"/>
      <c r="JA103" s="178"/>
      <c r="JB103" s="178"/>
      <c r="JC103" s="178"/>
      <c r="JD103" s="178"/>
    </row>
    <row r="104">
      <c r="IE104" s="178"/>
      <c r="IF104" s="178"/>
      <c r="IG104" s="178"/>
      <c r="IH104" s="178"/>
      <c r="II104" s="178"/>
      <c r="IJ104" s="178"/>
      <c r="IK104" s="178"/>
      <c r="IL104" s="178"/>
      <c r="IM104" s="178"/>
      <c r="IN104" s="178"/>
      <c r="IO104" s="178"/>
      <c r="IP104" s="178"/>
      <c r="IQ104" s="178"/>
      <c r="IR104" s="178"/>
      <c r="IS104" s="178"/>
      <c r="IT104" s="178"/>
      <c r="IU104" s="178"/>
      <c r="IV104" s="178"/>
      <c r="IW104" s="178"/>
      <c r="IX104" s="178"/>
      <c r="IY104" s="178"/>
      <c r="IZ104" s="178"/>
      <c r="JA104" s="178"/>
      <c r="JB104" s="178"/>
      <c r="JC104" s="178"/>
      <c r="JD104" s="178"/>
    </row>
    <row r="105">
      <c r="IE105" s="178"/>
      <c r="IF105" s="178"/>
      <c r="IG105" s="178"/>
      <c r="IH105" s="178"/>
      <c r="II105" s="178"/>
      <c r="IJ105" s="178"/>
      <c r="IK105" s="178"/>
      <c r="IL105" s="178"/>
      <c r="IM105" s="178"/>
      <c r="IN105" s="178"/>
      <c r="IO105" s="178"/>
      <c r="IP105" s="178"/>
      <c r="IQ105" s="178"/>
      <c r="IR105" s="178"/>
      <c r="IS105" s="178"/>
      <c r="IT105" s="178"/>
      <c r="IU105" s="178"/>
      <c r="IV105" s="178"/>
      <c r="IW105" s="178"/>
      <c r="IX105" s="178"/>
      <c r="IY105" s="178"/>
      <c r="IZ105" s="178"/>
      <c r="JA105" s="178"/>
      <c r="JB105" s="178"/>
      <c r="JC105" s="178"/>
      <c r="JD105" s="178"/>
    </row>
    <row r="106">
      <c r="IE106" s="178"/>
      <c r="IF106" s="178"/>
      <c r="IG106" s="178"/>
      <c r="IH106" s="178"/>
      <c r="II106" s="178"/>
      <c r="IJ106" s="178"/>
      <c r="IK106" s="178"/>
      <c r="IL106" s="178"/>
      <c r="IM106" s="178"/>
      <c r="IN106" s="178"/>
      <c r="IO106" s="178"/>
      <c r="IP106" s="178"/>
      <c r="IQ106" s="178"/>
      <c r="IR106" s="178"/>
      <c r="IS106" s="178"/>
      <c r="IT106" s="178"/>
      <c r="IU106" s="178"/>
      <c r="IV106" s="178"/>
      <c r="IW106" s="178"/>
      <c r="IX106" s="178"/>
      <c r="IY106" s="178"/>
      <c r="IZ106" s="178"/>
      <c r="JA106" s="178"/>
      <c r="JB106" s="178"/>
      <c r="JC106" s="178"/>
      <c r="JD106" s="178"/>
    </row>
    <row r="107">
      <c r="IE107" s="178"/>
      <c r="IF107" s="178"/>
      <c r="IG107" s="178"/>
      <c r="IH107" s="178"/>
      <c r="II107" s="178"/>
      <c r="IJ107" s="178"/>
      <c r="IK107" s="178"/>
      <c r="IL107" s="178"/>
      <c r="IM107" s="178"/>
      <c r="IN107" s="178"/>
      <c r="IO107" s="178"/>
      <c r="IP107" s="178"/>
      <c r="IQ107" s="178"/>
      <c r="IR107" s="178"/>
      <c r="IS107" s="178"/>
      <c r="IT107" s="178"/>
      <c r="IU107" s="178"/>
      <c r="IV107" s="178"/>
      <c r="IW107" s="178"/>
      <c r="IX107" s="178"/>
      <c r="IY107" s="178"/>
      <c r="IZ107" s="178"/>
      <c r="JA107" s="178"/>
      <c r="JB107" s="178"/>
      <c r="JC107" s="178"/>
      <c r="JD107" s="178"/>
    </row>
    <row r="108">
      <c r="IE108" s="178"/>
      <c r="IF108" s="178"/>
      <c r="IG108" s="178"/>
      <c r="IH108" s="178"/>
      <c r="II108" s="178"/>
      <c r="IJ108" s="178"/>
      <c r="IK108" s="178"/>
      <c r="IL108" s="178"/>
      <c r="IM108" s="178"/>
      <c r="IN108" s="178"/>
      <c r="IO108" s="178"/>
      <c r="IP108" s="178"/>
      <c r="IQ108" s="178"/>
      <c r="IR108" s="178"/>
      <c r="IS108" s="178"/>
      <c r="IT108" s="178"/>
      <c r="IU108" s="178"/>
      <c r="IV108" s="178"/>
      <c r="IW108" s="178"/>
      <c r="IX108" s="178"/>
      <c r="IY108" s="178"/>
      <c r="IZ108" s="178"/>
      <c r="JA108" s="178"/>
      <c r="JB108" s="178"/>
      <c r="JC108" s="178"/>
      <c r="JD108" s="178"/>
    </row>
    <row r="109">
      <c r="IE109" s="178"/>
      <c r="IF109" s="178"/>
      <c r="IG109" s="178"/>
      <c r="IH109" s="178"/>
      <c r="II109" s="178"/>
      <c r="IJ109" s="178"/>
      <c r="IK109" s="178"/>
      <c r="IL109" s="178"/>
      <c r="IM109" s="178"/>
      <c r="IN109" s="178"/>
      <c r="IO109" s="178"/>
      <c r="IP109" s="178"/>
      <c r="IQ109" s="178"/>
      <c r="IR109" s="178"/>
      <c r="IS109" s="178"/>
      <c r="IT109" s="178"/>
      <c r="IU109" s="178"/>
      <c r="IV109" s="178"/>
      <c r="IW109" s="178"/>
      <c r="IX109" s="178"/>
      <c r="IY109" s="178"/>
      <c r="IZ109" s="178"/>
      <c r="JA109" s="178"/>
      <c r="JB109" s="178"/>
      <c r="JC109" s="178"/>
      <c r="JD109" s="178"/>
    </row>
    <row r="110">
      <c r="IE110" s="178"/>
      <c r="IF110" s="178"/>
      <c r="IG110" s="178"/>
      <c r="IH110" s="178"/>
      <c r="II110" s="178"/>
      <c r="IJ110" s="178"/>
      <c r="IK110" s="178"/>
      <c r="IL110" s="178"/>
      <c r="IM110" s="178"/>
      <c r="IN110" s="178"/>
      <c r="IO110" s="178"/>
      <c r="IP110" s="178"/>
      <c r="IQ110" s="178"/>
      <c r="IR110" s="178"/>
      <c r="IS110" s="178"/>
      <c r="IT110" s="178"/>
      <c r="IU110" s="178"/>
      <c r="IV110" s="178"/>
      <c r="IW110" s="178"/>
      <c r="IX110" s="178"/>
      <c r="IY110" s="178"/>
      <c r="IZ110" s="178"/>
      <c r="JA110" s="178"/>
      <c r="JB110" s="178"/>
      <c r="JC110" s="178"/>
      <c r="JD110" s="178"/>
    </row>
    <row r="111">
      <c r="IE111" s="178"/>
      <c r="IF111" s="178"/>
      <c r="IG111" s="178"/>
      <c r="IH111" s="178"/>
      <c r="II111" s="178"/>
      <c r="IJ111" s="178"/>
      <c r="IK111" s="178"/>
      <c r="IL111" s="178"/>
      <c r="IM111" s="178"/>
      <c r="IN111" s="178"/>
      <c r="IO111" s="178"/>
      <c r="IP111" s="178"/>
      <c r="IQ111" s="178"/>
      <c r="IR111" s="178"/>
      <c r="IS111" s="178"/>
      <c r="IT111" s="178"/>
      <c r="IU111" s="178"/>
      <c r="IV111" s="178"/>
      <c r="IW111" s="178"/>
      <c r="IX111" s="178"/>
      <c r="IY111" s="178"/>
      <c r="IZ111" s="178"/>
      <c r="JA111" s="178"/>
      <c r="JB111" s="178"/>
      <c r="JC111" s="178"/>
      <c r="JD111" s="178"/>
    </row>
    <row r="112">
      <c r="IE112" s="178"/>
      <c r="IF112" s="178"/>
      <c r="IG112" s="178"/>
      <c r="IH112" s="178"/>
      <c r="II112" s="178"/>
      <c r="IJ112" s="178"/>
      <c r="IK112" s="178"/>
      <c r="IL112" s="178"/>
      <c r="IM112" s="178"/>
      <c r="IN112" s="178"/>
      <c r="IO112" s="178"/>
      <c r="IP112" s="178"/>
      <c r="IQ112" s="178"/>
      <c r="IR112" s="178"/>
      <c r="IS112" s="178"/>
      <c r="IT112" s="178"/>
      <c r="IU112" s="178"/>
      <c r="IV112" s="178"/>
      <c r="IW112" s="178"/>
      <c r="IX112" s="178"/>
      <c r="IY112" s="178"/>
      <c r="IZ112" s="178"/>
      <c r="JA112" s="178"/>
      <c r="JB112" s="178"/>
      <c r="JC112" s="178"/>
      <c r="JD112" s="178"/>
    </row>
    <row r="113">
      <c r="IE113" s="178"/>
      <c r="IF113" s="178"/>
      <c r="IG113" s="178"/>
      <c r="IH113" s="178"/>
      <c r="II113" s="178"/>
      <c r="IJ113" s="178"/>
      <c r="IK113" s="178"/>
      <c r="IL113" s="178"/>
      <c r="IM113" s="178"/>
      <c r="IN113" s="178"/>
      <c r="IO113" s="178"/>
      <c r="IP113" s="178"/>
      <c r="IQ113" s="178"/>
      <c r="IR113" s="178"/>
      <c r="IS113" s="178"/>
      <c r="IT113" s="178"/>
      <c r="IU113" s="178"/>
      <c r="IV113" s="178"/>
      <c r="IW113" s="178"/>
      <c r="IX113" s="178"/>
      <c r="IY113" s="178"/>
      <c r="IZ113" s="178"/>
      <c r="JA113" s="178"/>
      <c r="JB113" s="178"/>
      <c r="JC113" s="178"/>
      <c r="JD113" s="178"/>
    </row>
    <row r="114">
      <c r="IE114" s="178"/>
      <c r="IF114" s="178"/>
      <c r="IG114" s="178"/>
      <c r="IH114" s="178"/>
      <c r="II114" s="178"/>
      <c r="IJ114" s="178"/>
      <c r="IK114" s="178"/>
      <c r="IL114" s="178"/>
      <c r="IM114" s="178"/>
      <c r="IN114" s="178"/>
      <c r="IO114" s="178"/>
      <c r="IP114" s="178"/>
      <c r="IQ114" s="178"/>
      <c r="IR114" s="178"/>
      <c r="IS114" s="178"/>
      <c r="IT114" s="178"/>
      <c r="IU114" s="178"/>
      <c r="IV114" s="178"/>
      <c r="IW114" s="178"/>
      <c r="IX114" s="178"/>
      <c r="IY114" s="178"/>
      <c r="IZ114" s="178"/>
      <c r="JA114" s="178"/>
      <c r="JB114" s="178"/>
      <c r="JC114" s="178"/>
      <c r="JD114" s="178"/>
    </row>
    <row r="115">
      <c r="IE115" s="178"/>
      <c r="IF115" s="178"/>
      <c r="IG115" s="178"/>
      <c r="IH115" s="178"/>
      <c r="II115" s="178"/>
      <c r="IJ115" s="178"/>
      <c r="IK115" s="178"/>
      <c r="IL115" s="178"/>
      <c r="IM115" s="178"/>
      <c r="IN115" s="178"/>
      <c r="IO115" s="178"/>
      <c r="IP115" s="178"/>
      <c r="IQ115" s="178"/>
      <c r="IR115" s="178"/>
      <c r="IS115" s="178"/>
      <c r="IT115" s="178"/>
      <c r="IU115" s="178"/>
      <c r="IV115" s="178"/>
      <c r="IW115" s="178"/>
      <c r="IX115" s="178"/>
      <c r="IY115" s="178"/>
      <c r="IZ115" s="178"/>
      <c r="JA115" s="178"/>
      <c r="JB115" s="178"/>
      <c r="JC115" s="178"/>
      <c r="JD115" s="178"/>
    </row>
    <row r="116">
      <c r="IE116" s="178"/>
      <c r="IF116" s="178"/>
      <c r="IG116" s="178"/>
      <c r="IH116" s="178"/>
      <c r="II116" s="178"/>
      <c r="IJ116" s="178"/>
      <c r="IK116" s="178"/>
      <c r="IL116" s="178"/>
      <c r="IM116" s="178"/>
      <c r="IN116" s="178"/>
      <c r="IO116" s="178"/>
      <c r="IP116" s="178"/>
      <c r="IQ116" s="178"/>
      <c r="IR116" s="178"/>
      <c r="IS116" s="178"/>
      <c r="IT116" s="178"/>
      <c r="IU116" s="178"/>
      <c r="IV116" s="178"/>
      <c r="IW116" s="178"/>
      <c r="IX116" s="178"/>
      <c r="IY116" s="178"/>
      <c r="IZ116" s="178"/>
      <c r="JA116" s="178"/>
      <c r="JB116" s="178"/>
      <c r="JC116" s="178"/>
      <c r="JD116" s="178"/>
    </row>
    <row r="117">
      <c r="IE117" s="178"/>
      <c r="IF117" s="178"/>
      <c r="IG117" s="178"/>
      <c r="IH117" s="178"/>
      <c r="II117" s="178"/>
      <c r="IJ117" s="178"/>
      <c r="IK117" s="178"/>
      <c r="IL117" s="178"/>
      <c r="IM117" s="178"/>
      <c r="IN117" s="178"/>
      <c r="IO117" s="178"/>
      <c r="IP117" s="178"/>
      <c r="IQ117" s="178"/>
      <c r="IR117" s="178"/>
      <c r="IS117" s="178"/>
      <c r="IT117" s="178"/>
      <c r="IU117" s="178"/>
      <c r="IV117" s="178"/>
      <c r="IW117" s="178"/>
      <c r="IX117" s="178"/>
      <c r="IY117" s="178"/>
      <c r="IZ117" s="178"/>
      <c r="JA117" s="178"/>
      <c r="JB117" s="178"/>
      <c r="JC117" s="178"/>
      <c r="JD117" s="178"/>
    </row>
    <row r="118">
      <c r="IE118" s="178"/>
      <c r="IF118" s="178"/>
      <c r="IG118" s="178"/>
      <c r="IH118" s="178"/>
      <c r="II118" s="178"/>
      <c r="IJ118" s="178"/>
      <c r="IK118" s="178"/>
      <c r="IL118" s="178"/>
      <c r="IM118" s="178"/>
      <c r="IN118" s="178"/>
      <c r="IO118" s="178"/>
      <c r="IP118" s="178"/>
      <c r="IQ118" s="178"/>
      <c r="IR118" s="178"/>
      <c r="IS118" s="178"/>
      <c r="IT118" s="178"/>
      <c r="IU118" s="178"/>
      <c r="IV118" s="178"/>
      <c r="IW118" s="178"/>
      <c r="IX118" s="178"/>
      <c r="IY118" s="178"/>
      <c r="IZ118" s="178"/>
      <c r="JA118" s="178"/>
      <c r="JB118" s="178"/>
      <c r="JC118" s="178"/>
      <c r="JD118" s="178"/>
    </row>
    <row r="119">
      <c r="IE119" s="178"/>
      <c r="IF119" s="178"/>
      <c r="IG119" s="178"/>
      <c r="IH119" s="178"/>
      <c r="II119" s="178"/>
      <c r="IJ119" s="178"/>
      <c r="IK119" s="178"/>
      <c r="IL119" s="178"/>
      <c r="IM119" s="178"/>
      <c r="IN119" s="178"/>
      <c r="IO119" s="178"/>
      <c r="IP119" s="178"/>
      <c r="IQ119" s="178"/>
      <c r="IR119" s="178"/>
      <c r="IS119" s="178"/>
      <c r="IT119" s="178"/>
      <c r="IU119" s="178"/>
      <c r="IV119" s="178"/>
      <c r="IW119" s="178"/>
      <c r="IX119" s="178"/>
      <c r="IY119" s="178"/>
      <c r="IZ119" s="178"/>
      <c r="JA119" s="178"/>
      <c r="JB119" s="178"/>
      <c r="JC119" s="178"/>
      <c r="JD119" s="178"/>
    </row>
    <row r="120">
      <c r="IE120" s="178"/>
      <c r="IF120" s="178"/>
      <c r="IG120" s="178"/>
      <c r="IH120" s="178"/>
      <c r="II120" s="178"/>
      <c r="IJ120" s="178"/>
      <c r="IK120" s="178"/>
      <c r="IL120" s="178"/>
      <c r="IM120" s="178"/>
      <c r="IN120" s="178"/>
      <c r="IO120" s="178"/>
      <c r="IP120" s="178"/>
      <c r="IQ120" s="178"/>
      <c r="IR120" s="178"/>
      <c r="IS120" s="178"/>
      <c r="IT120" s="178"/>
      <c r="IU120" s="178"/>
      <c r="IV120" s="178"/>
      <c r="IW120" s="178"/>
      <c r="IX120" s="178"/>
      <c r="IY120" s="178"/>
      <c r="IZ120" s="178"/>
      <c r="JA120" s="178"/>
      <c r="JB120" s="178"/>
      <c r="JC120" s="178"/>
      <c r="JD120" s="178"/>
    </row>
    <row r="121">
      <c r="IE121" s="178"/>
      <c r="IF121" s="178"/>
      <c r="IG121" s="178"/>
      <c r="IH121" s="178"/>
      <c r="II121" s="178"/>
      <c r="IJ121" s="178"/>
      <c r="IK121" s="178"/>
      <c r="IL121" s="178"/>
      <c r="IM121" s="178"/>
      <c r="IN121" s="178"/>
      <c r="IO121" s="178"/>
      <c r="IP121" s="178"/>
      <c r="IQ121" s="178"/>
      <c r="IR121" s="178"/>
      <c r="IS121" s="178"/>
      <c r="IT121" s="178"/>
      <c r="IU121" s="178"/>
      <c r="IV121" s="178"/>
      <c r="IW121" s="178"/>
      <c r="IX121" s="178"/>
      <c r="IY121" s="178"/>
      <c r="IZ121" s="178"/>
      <c r="JA121" s="178"/>
      <c r="JB121" s="178"/>
      <c r="JC121" s="178"/>
      <c r="JD121" s="178"/>
    </row>
    <row r="122">
      <c r="IE122" s="178"/>
      <c r="IF122" s="178"/>
      <c r="IG122" s="178"/>
      <c r="IH122" s="178"/>
      <c r="II122" s="178"/>
      <c r="IJ122" s="178"/>
      <c r="IK122" s="178"/>
      <c r="IL122" s="178"/>
      <c r="IM122" s="178"/>
      <c r="IN122" s="178"/>
      <c r="IO122" s="178"/>
      <c r="IP122" s="178"/>
      <c r="IQ122" s="178"/>
      <c r="IR122" s="178"/>
      <c r="IS122" s="178"/>
      <c r="IT122" s="178"/>
      <c r="IU122" s="178"/>
      <c r="IV122" s="178"/>
      <c r="IW122" s="178"/>
      <c r="IX122" s="178"/>
      <c r="IY122" s="178"/>
      <c r="IZ122" s="178"/>
      <c r="JA122" s="178"/>
      <c r="JB122" s="178"/>
      <c r="JC122" s="178"/>
      <c r="JD122" s="178"/>
    </row>
    <row r="123">
      <c r="IE123" s="178"/>
      <c r="IF123" s="178"/>
      <c r="IG123" s="178"/>
      <c r="IH123" s="178"/>
      <c r="II123" s="178"/>
      <c r="IJ123" s="178"/>
      <c r="IK123" s="178"/>
      <c r="IL123" s="178"/>
      <c r="IM123" s="178"/>
      <c r="IN123" s="178"/>
      <c r="IO123" s="178"/>
      <c r="IP123" s="178"/>
      <c r="IQ123" s="178"/>
      <c r="IR123" s="178"/>
      <c r="IS123" s="178"/>
      <c r="IT123" s="178"/>
      <c r="IU123" s="178"/>
      <c r="IV123" s="178"/>
      <c r="IW123" s="178"/>
      <c r="IX123" s="178"/>
      <c r="IY123" s="178"/>
      <c r="IZ123" s="178"/>
      <c r="JA123" s="178"/>
      <c r="JB123" s="178"/>
      <c r="JC123" s="178"/>
      <c r="JD123" s="178"/>
    </row>
    <row r="124">
      <c r="IE124" s="178"/>
      <c r="IF124" s="178"/>
      <c r="IG124" s="178"/>
      <c r="IH124" s="178"/>
      <c r="II124" s="178"/>
      <c r="IJ124" s="178"/>
      <c r="IK124" s="178"/>
      <c r="IL124" s="178"/>
      <c r="IM124" s="178"/>
      <c r="IN124" s="178"/>
      <c r="IO124" s="178"/>
      <c r="IP124" s="178"/>
      <c r="IQ124" s="178"/>
      <c r="IR124" s="178"/>
      <c r="IS124" s="178"/>
      <c r="IT124" s="178"/>
      <c r="IU124" s="178"/>
      <c r="IV124" s="178"/>
      <c r="IW124" s="178"/>
      <c r="IX124" s="178"/>
      <c r="IY124" s="178"/>
      <c r="IZ124" s="178"/>
      <c r="JA124" s="178"/>
      <c r="JB124" s="178"/>
      <c r="JC124" s="178"/>
      <c r="JD124" s="178"/>
    </row>
    <row r="125">
      <c r="IE125" s="178"/>
      <c r="IF125" s="178"/>
      <c r="IG125" s="178"/>
      <c r="IH125" s="178"/>
      <c r="II125" s="178"/>
      <c r="IJ125" s="178"/>
      <c r="IK125" s="178"/>
      <c r="IL125" s="178"/>
      <c r="IM125" s="178"/>
      <c r="IN125" s="178"/>
      <c r="IO125" s="178"/>
      <c r="IP125" s="178"/>
      <c r="IQ125" s="178"/>
      <c r="IR125" s="178"/>
      <c r="IS125" s="178"/>
      <c r="IT125" s="178"/>
      <c r="IU125" s="178"/>
      <c r="IV125" s="178"/>
      <c r="IW125" s="178"/>
      <c r="IX125" s="178"/>
      <c r="IY125" s="178"/>
      <c r="IZ125" s="178"/>
      <c r="JA125" s="178"/>
      <c r="JB125" s="178"/>
      <c r="JC125" s="178"/>
      <c r="JD125" s="178"/>
    </row>
    <row r="126">
      <c r="IE126" s="178"/>
      <c r="IF126" s="178"/>
      <c r="IG126" s="178"/>
      <c r="IH126" s="178"/>
      <c r="II126" s="178"/>
      <c r="IJ126" s="178"/>
      <c r="IK126" s="178"/>
      <c r="IL126" s="178"/>
      <c r="IM126" s="178"/>
      <c r="IN126" s="178"/>
      <c r="IO126" s="178"/>
      <c r="IP126" s="178"/>
      <c r="IQ126" s="178"/>
      <c r="IR126" s="178"/>
      <c r="IS126" s="178"/>
      <c r="IT126" s="178"/>
      <c r="IU126" s="178"/>
      <c r="IV126" s="178"/>
      <c r="IW126" s="178"/>
      <c r="IX126" s="178"/>
      <c r="IY126" s="178"/>
      <c r="IZ126" s="178"/>
      <c r="JA126" s="178"/>
      <c r="JB126" s="178"/>
      <c r="JC126" s="178"/>
      <c r="JD126" s="178"/>
    </row>
    <row r="127">
      <c r="IE127" s="178"/>
      <c r="IF127" s="178"/>
      <c r="IG127" s="178"/>
      <c r="IH127" s="178"/>
      <c r="II127" s="178"/>
      <c r="IJ127" s="178"/>
      <c r="IK127" s="178"/>
      <c r="IL127" s="178"/>
      <c r="IM127" s="178"/>
      <c r="IN127" s="178"/>
      <c r="IO127" s="178"/>
      <c r="IP127" s="178"/>
      <c r="IQ127" s="178"/>
      <c r="IR127" s="178"/>
      <c r="IS127" s="178"/>
      <c r="IT127" s="178"/>
      <c r="IU127" s="178"/>
      <c r="IV127" s="178"/>
      <c r="IW127" s="178"/>
      <c r="IX127" s="178"/>
      <c r="IY127" s="178"/>
      <c r="IZ127" s="178"/>
      <c r="JA127" s="178"/>
      <c r="JB127" s="178"/>
      <c r="JC127" s="178"/>
      <c r="JD127" s="178"/>
    </row>
    <row r="128">
      <c r="IE128" s="178"/>
      <c r="IF128" s="178"/>
      <c r="IG128" s="178"/>
      <c r="IH128" s="178"/>
      <c r="II128" s="178"/>
      <c r="IJ128" s="178"/>
      <c r="IK128" s="178"/>
      <c r="IL128" s="178"/>
      <c r="IM128" s="178"/>
      <c r="IN128" s="178"/>
      <c r="IO128" s="178"/>
      <c r="IP128" s="178"/>
      <c r="IQ128" s="178"/>
      <c r="IR128" s="178"/>
      <c r="IS128" s="178"/>
      <c r="IT128" s="178"/>
      <c r="IU128" s="178"/>
      <c r="IV128" s="178"/>
      <c r="IW128" s="178"/>
      <c r="IX128" s="178"/>
      <c r="IY128" s="178"/>
      <c r="IZ128" s="178"/>
      <c r="JA128" s="178"/>
      <c r="JB128" s="178"/>
      <c r="JC128" s="178"/>
      <c r="JD128" s="178"/>
    </row>
    <row r="129">
      <c r="IE129" s="178"/>
      <c r="IF129" s="178"/>
      <c r="IG129" s="178"/>
      <c r="IH129" s="178"/>
      <c r="II129" s="178"/>
      <c r="IJ129" s="178"/>
      <c r="IK129" s="178"/>
      <c r="IL129" s="178"/>
      <c r="IM129" s="178"/>
      <c r="IN129" s="178"/>
      <c r="IO129" s="178"/>
      <c r="IP129" s="178"/>
      <c r="IQ129" s="178"/>
      <c r="IR129" s="178"/>
      <c r="IS129" s="178"/>
      <c r="IT129" s="178"/>
      <c r="IU129" s="178"/>
      <c r="IV129" s="178"/>
      <c r="IW129" s="178"/>
      <c r="IX129" s="178"/>
      <c r="IY129" s="178"/>
      <c r="IZ129" s="178"/>
      <c r="JA129" s="178"/>
      <c r="JB129" s="178"/>
      <c r="JC129" s="178"/>
      <c r="JD129" s="178"/>
    </row>
    <row r="130">
      <c r="IE130" s="178"/>
      <c r="IF130" s="178"/>
      <c r="IG130" s="178"/>
      <c r="IH130" s="178"/>
      <c r="II130" s="178"/>
      <c r="IJ130" s="178"/>
      <c r="IK130" s="178"/>
      <c r="IL130" s="178"/>
      <c r="IM130" s="178"/>
      <c r="IN130" s="178"/>
      <c r="IO130" s="178"/>
      <c r="IP130" s="178"/>
      <c r="IQ130" s="178"/>
      <c r="IR130" s="178"/>
      <c r="IS130" s="178"/>
      <c r="IT130" s="178"/>
      <c r="IU130" s="178"/>
      <c r="IV130" s="178"/>
      <c r="IW130" s="178"/>
      <c r="IX130" s="178"/>
      <c r="IY130" s="178"/>
      <c r="IZ130" s="178"/>
      <c r="JA130" s="178"/>
      <c r="JB130" s="178"/>
      <c r="JC130" s="178"/>
      <c r="JD130" s="178"/>
    </row>
    <row r="131">
      <c r="IE131" s="178"/>
      <c r="IF131" s="178"/>
      <c r="IG131" s="178"/>
      <c r="IH131" s="178"/>
      <c r="II131" s="178"/>
      <c r="IJ131" s="178"/>
      <c r="IK131" s="178"/>
      <c r="IL131" s="178"/>
      <c r="IM131" s="178"/>
      <c r="IN131" s="178"/>
      <c r="IO131" s="178"/>
      <c r="IP131" s="178"/>
      <c r="IQ131" s="178"/>
      <c r="IR131" s="178"/>
      <c r="IS131" s="178"/>
      <c r="IT131" s="178"/>
      <c r="IU131" s="178"/>
      <c r="IV131" s="178"/>
      <c r="IW131" s="178"/>
      <c r="IX131" s="178"/>
      <c r="IY131" s="178"/>
      <c r="IZ131" s="178"/>
      <c r="JA131" s="178"/>
      <c r="JB131" s="178"/>
      <c r="JC131" s="178"/>
      <c r="JD131" s="178"/>
    </row>
    <row r="132">
      <c r="IE132" s="178"/>
      <c r="IF132" s="178"/>
      <c r="IG132" s="178"/>
      <c r="IH132" s="178"/>
      <c r="II132" s="178"/>
      <c r="IJ132" s="178"/>
      <c r="IK132" s="178"/>
      <c r="IL132" s="178"/>
      <c r="IM132" s="178"/>
      <c r="IN132" s="178"/>
      <c r="IO132" s="178"/>
      <c r="IP132" s="178"/>
      <c r="IQ132" s="178"/>
      <c r="IR132" s="178"/>
      <c r="IS132" s="178"/>
      <c r="IT132" s="178"/>
      <c r="IU132" s="178"/>
      <c r="IV132" s="178"/>
      <c r="IW132" s="178"/>
      <c r="IX132" s="178"/>
      <c r="IY132" s="178"/>
      <c r="IZ132" s="178"/>
      <c r="JA132" s="178"/>
      <c r="JB132" s="178"/>
      <c r="JC132" s="178"/>
      <c r="JD132" s="178"/>
    </row>
    <row r="133">
      <c r="IE133" s="178"/>
      <c r="IF133" s="178"/>
      <c r="IG133" s="178"/>
      <c r="IH133" s="178"/>
      <c r="II133" s="178"/>
      <c r="IJ133" s="178"/>
      <c r="IK133" s="178"/>
      <c r="IL133" s="178"/>
      <c r="IM133" s="178"/>
      <c r="IN133" s="178"/>
      <c r="IO133" s="178"/>
      <c r="IP133" s="178"/>
      <c r="IQ133" s="178"/>
      <c r="IR133" s="178"/>
      <c r="IS133" s="178"/>
      <c r="IT133" s="178"/>
      <c r="IU133" s="178"/>
      <c r="IV133" s="178"/>
      <c r="IW133" s="178"/>
      <c r="IX133" s="178"/>
      <c r="IY133" s="178"/>
      <c r="IZ133" s="178"/>
      <c r="JA133" s="178"/>
      <c r="JB133" s="178"/>
      <c r="JC133" s="178"/>
      <c r="JD133" s="178"/>
    </row>
    <row r="134">
      <c r="IE134" s="178"/>
      <c r="IF134" s="178"/>
      <c r="IG134" s="178"/>
      <c r="IH134" s="178"/>
      <c r="II134" s="178"/>
      <c r="IJ134" s="178"/>
      <c r="IK134" s="178"/>
      <c r="IL134" s="178"/>
      <c r="IM134" s="178"/>
      <c r="IN134" s="178"/>
      <c r="IO134" s="178"/>
      <c r="IP134" s="178"/>
      <c r="IQ134" s="178"/>
      <c r="IR134" s="178"/>
      <c r="IS134" s="178"/>
      <c r="IT134" s="178"/>
      <c r="IU134" s="178"/>
      <c r="IV134" s="178"/>
      <c r="IW134" s="178"/>
      <c r="IX134" s="178"/>
      <c r="IY134" s="178"/>
      <c r="IZ134" s="178"/>
      <c r="JA134" s="178"/>
      <c r="JB134" s="178"/>
      <c r="JC134" s="178"/>
      <c r="JD134" s="178"/>
    </row>
    <row r="135">
      <c r="IE135" s="178"/>
      <c r="IF135" s="178"/>
      <c r="IG135" s="178"/>
      <c r="IH135" s="178"/>
      <c r="II135" s="178"/>
      <c r="IJ135" s="178"/>
      <c r="IK135" s="178"/>
      <c r="IL135" s="178"/>
      <c r="IM135" s="178"/>
      <c r="IN135" s="178"/>
      <c r="IO135" s="178"/>
      <c r="IP135" s="178"/>
      <c r="IQ135" s="178"/>
      <c r="IR135" s="178"/>
      <c r="IS135" s="178"/>
      <c r="IT135" s="178"/>
      <c r="IU135" s="178"/>
      <c r="IV135" s="178"/>
      <c r="IW135" s="178"/>
      <c r="IX135" s="178"/>
      <c r="IY135" s="178"/>
      <c r="IZ135" s="178"/>
      <c r="JA135" s="178"/>
      <c r="JB135" s="178"/>
      <c r="JC135" s="178"/>
      <c r="JD135" s="178"/>
    </row>
    <row r="136">
      <c r="IE136" s="178"/>
      <c r="IF136" s="178"/>
      <c r="IG136" s="178"/>
      <c r="IH136" s="178"/>
      <c r="II136" s="178"/>
      <c r="IJ136" s="178"/>
      <c r="IK136" s="178"/>
      <c r="IL136" s="178"/>
      <c r="IM136" s="178"/>
      <c r="IN136" s="178"/>
      <c r="IO136" s="178"/>
      <c r="IP136" s="178"/>
      <c r="IQ136" s="178"/>
      <c r="IR136" s="178"/>
      <c r="IS136" s="178"/>
      <c r="IT136" s="178"/>
      <c r="IU136" s="178"/>
      <c r="IV136" s="178"/>
      <c r="IW136" s="178"/>
      <c r="IX136" s="178"/>
      <c r="IY136" s="178"/>
      <c r="IZ136" s="178"/>
      <c r="JA136" s="178"/>
      <c r="JB136" s="178"/>
      <c r="JC136" s="178"/>
      <c r="JD136" s="178"/>
    </row>
    <row r="137">
      <c r="IE137" s="178"/>
      <c r="IF137" s="178"/>
      <c r="IG137" s="178"/>
      <c r="IH137" s="178"/>
      <c r="II137" s="178"/>
      <c r="IJ137" s="178"/>
      <c r="IK137" s="178"/>
      <c r="IL137" s="178"/>
      <c r="IM137" s="178"/>
      <c r="IN137" s="178"/>
      <c r="IO137" s="178"/>
      <c r="IP137" s="178"/>
      <c r="IQ137" s="178"/>
      <c r="IR137" s="178"/>
      <c r="IS137" s="178"/>
      <c r="IT137" s="178"/>
      <c r="IU137" s="178"/>
      <c r="IV137" s="178"/>
      <c r="IW137" s="178"/>
      <c r="IX137" s="178"/>
      <c r="IY137" s="178"/>
      <c r="IZ137" s="178"/>
      <c r="JA137" s="178"/>
      <c r="JB137" s="178"/>
      <c r="JC137" s="178"/>
      <c r="JD137" s="178"/>
    </row>
    <row r="138">
      <c r="IE138" s="178"/>
      <c r="IF138" s="178"/>
      <c r="IG138" s="178"/>
      <c r="IH138" s="178"/>
      <c r="II138" s="178"/>
      <c r="IJ138" s="178"/>
      <c r="IK138" s="178"/>
      <c r="IL138" s="178"/>
      <c r="IM138" s="178"/>
      <c r="IN138" s="178"/>
      <c r="IO138" s="178"/>
      <c r="IP138" s="178"/>
      <c r="IQ138" s="178"/>
      <c r="IR138" s="178"/>
      <c r="IS138" s="178"/>
      <c r="IT138" s="178"/>
      <c r="IU138" s="178"/>
      <c r="IV138" s="178"/>
      <c r="IW138" s="178"/>
      <c r="IX138" s="178"/>
      <c r="IY138" s="178"/>
      <c r="IZ138" s="178"/>
      <c r="JA138" s="178"/>
      <c r="JB138" s="178"/>
      <c r="JC138" s="178"/>
      <c r="JD138" s="178"/>
    </row>
    <row r="139">
      <c r="IE139" s="178"/>
      <c r="IF139" s="178"/>
      <c r="IG139" s="178"/>
      <c r="IH139" s="178"/>
      <c r="II139" s="178"/>
      <c r="IJ139" s="178"/>
      <c r="IK139" s="178"/>
      <c r="IL139" s="178"/>
      <c r="IM139" s="178"/>
      <c r="IN139" s="178"/>
      <c r="IO139" s="178"/>
      <c r="IP139" s="178"/>
      <c r="IQ139" s="178"/>
      <c r="IR139" s="178"/>
      <c r="IS139" s="178"/>
      <c r="IT139" s="178"/>
      <c r="IU139" s="178"/>
      <c r="IV139" s="178"/>
      <c r="IW139" s="178"/>
      <c r="IX139" s="178"/>
      <c r="IY139" s="178"/>
      <c r="IZ139" s="178"/>
      <c r="JA139" s="178"/>
      <c r="JB139" s="178"/>
      <c r="JC139" s="178"/>
      <c r="JD139" s="178"/>
    </row>
    <row r="140">
      <c r="IE140" s="178"/>
      <c r="IF140" s="178"/>
      <c r="IG140" s="178"/>
      <c r="IH140" s="178"/>
      <c r="II140" s="178"/>
      <c r="IJ140" s="178"/>
      <c r="IK140" s="178"/>
      <c r="IL140" s="178"/>
      <c r="IM140" s="178"/>
      <c r="IN140" s="178"/>
      <c r="IO140" s="178"/>
      <c r="IP140" s="178"/>
      <c r="IQ140" s="178"/>
      <c r="IR140" s="178"/>
      <c r="IS140" s="178"/>
      <c r="IT140" s="178"/>
      <c r="IU140" s="178"/>
      <c r="IV140" s="178"/>
      <c r="IW140" s="178"/>
      <c r="IX140" s="178"/>
      <c r="IY140" s="178"/>
      <c r="IZ140" s="178"/>
      <c r="JA140" s="178"/>
      <c r="JB140" s="178"/>
      <c r="JC140" s="178"/>
      <c r="JD140" s="178"/>
    </row>
    <row r="141">
      <c r="IE141" s="178"/>
      <c r="IF141" s="178"/>
      <c r="IG141" s="178"/>
      <c r="IH141" s="178"/>
      <c r="II141" s="178"/>
      <c r="IJ141" s="178"/>
      <c r="IK141" s="178"/>
      <c r="IL141" s="178"/>
      <c r="IM141" s="178"/>
      <c r="IN141" s="178"/>
      <c r="IO141" s="178"/>
      <c r="IP141" s="178"/>
      <c r="IQ141" s="178"/>
      <c r="IR141" s="178"/>
      <c r="IS141" s="178"/>
      <c r="IT141" s="178"/>
      <c r="IU141" s="178"/>
      <c r="IV141" s="178"/>
      <c r="IW141" s="178"/>
      <c r="IX141" s="178"/>
      <c r="IY141" s="178"/>
      <c r="IZ141" s="178"/>
      <c r="JA141" s="178"/>
      <c r="JB141" s="178"/>
      <c r="JC141" s="178"/>
      <c r="JD141" s="178"/>
    </row>
    <row r="142">
      <c r="IE142" s="178"/>
      <c r="IF142" s="178"/>
      <c r="IG142" s="178"/>
      <c r="IH142" s="178"/>
      <c r="II142" s="178"/>
      <c r="IJ142" s="178"/>
      <c r="IK142" s="178"/>
      <c r="IL142" s="178"/>
      <c r="IM142" s="178"/>
      <c r="IN142" s="178"/>
      <c r="IO142" s="178"/>
      <c r="IP142" s="178"/>
      <c r="IQ142" s="178"/>
      <c r="IR142" s="178"/>
      <c r="IS142" s="178"/>
      <c r="IT142" s="178"/>
      <c r="IU142" s="178"/>
      <c r="IV142" s="178"/>
      <c r="IW142" s="178"/>
      <c r="IX142" s="178"/>
      <c r="IY142" s="178"/>
      <c r="IZ142" s="178"/>
      <c r="JA142" s="178"/>
      <c r="JB142" s="178"/>
      <c r="JC142" s="178"/>
      <c r="JD142" s="178"/>
    </row>
    <row r="143">
      <c r="IE143" s="178"/>
      <c r="IF143" s="178"/>
      <c r="IG143" s="178"/>
      <c r="IH143" s="178"/>
      <c r="II143" s="178"/>
      <c r="IJ143" s="178"/>
      <c r="IK143" s="178"/>
      <c r="IL143" s="178"/>
      <c r="IM143" s="178"/>
      <c r="IN143" s="178"/>
      <c r="IO143" s="178"/>
      <c r="IP143" s="178"/>
      <c r="IQ143" s="178"/>
      <c r="IR143" s="178"/>
      <c r="IS143" s="178"/>
      <c r="IT143" s="178"/>
      <c r="IU143" s="178"/>
      <c r="IV143" s="178"/>
      <c r="IW143" s="178"/>
      <c r="IX143" s="178"/>
      <c r="IY143" s="178"/>
      <c r="IZ143" s="178"/>
      <c r="JA143" s="178"/>
      <c r="JB143" s="178"/>
      <c r="JC143" s="178"/>
      <c r="JD143" s="178"/>
    </row>
    <row r="144">
      <c r="IE144" s="178"/>
      <c r="IF144" s="178"/>
      <c r="IG144" s="178"/>
      <c r="IH144" s="178"/>
      <c r="II144" s="178"/>
      <c r="IJ144" s="178"/>
      <c r="IK144" s="178"/>
      <c r="IL144" s="178"/>
      <c r="IM144" s="178"/>
      <c r="IN144" s="178"/>
      <c r="IO144" s="178"/>
      <c r="IP144" s="178"/>
      <c r="IQ144" s="178"/>
      <c r="IR144" s="178"/>
      <c r="IS144" s="178"/>
      <c r="IT144" s="178"/>
      <c r="IU144" s="178"/>
      <c r="IV144" s="178"/>
      <c r="IW144" s="178"/>
      <c r="IX144" s="178"/>
      <c r="IY144" s="178"/>
      <c r="IZ144" s="178"/>
      <c r="JA144" s="178"/>
      <c r="JB144" s="178"/>
      <c r="JC144" s="178"/>
      <c r="JD144" s="178"/>
    </row>
    <row r="145">
      <c r="IE145" s="178"/>
      <c r="IF145" s="178"/>
      <c r="IG145" s="178"/>
      <c r="IH145" s="178"/>
      <c r="II145" s="178"/>
      <c r="IJ145" s="178"/>
      <c r="IK145" s="178"/>
      <c r="IL145" s="178"/>
      <c r="IM145" s="178"/>
      <c r="IN145" s="178"/>
      <c r="IO145" s="178"/>
      <c r="IP145" s="178"/>
      <c r="IQ145" s="178"/>
      <c r="IR145" s="178"/>
      <c r="IS145" s="178"/>
      <c r="IT145" s="178"/>
      <c r="IU145" s="178"/>
      <c r="IV145" s="178"/>
      <c r="IW145" s="178"/>
      <c r="IX145" s="178"/>
      <c r="IY145" s="178"/>
      <c r="IZ145" s="178"/>
      <c r="JA145" s="178"/>
      <c r="JB145" s="178"/>
      <c r="JC145" s="178"/>
      <c r="JD145" s="178"/>
    </row>
    <row r="146">
      <c r="IE146" s="178"/>
      <c r="IF146" s="178"/>
      <c r="IG146" s="178"/>
      <c r="IH146" s="178"/>
      <c r="II146" s="178"/>
      <c r="IJ146" s="178"/>
      <c r="IK146" s="178"/>
      <c r="IL146" s="178"/>
      <c r="IM146" s="178"/>
      <c r="IN146" s="178"/>
      <c r="IO146" s="178"/>
      <c r="IP146" s="178"/>
      <c r="IQ146" s="178"/>
      <c r="IR146" s="178"/>
      <c r="IS146" s="178"/>
      <c r="IT146" s="178"/>
      <c r="IU146" s="178"/>
      <c r="IV146" s="178"/>
      <c r="IW146" s="178"/>
      <c r="IX146" s="178"/>
      <c r="IY146" s="178"/>
      <c r="IZ146" s="178"/>
      <c r="JA146" s="178"/>
      <c r="JB146" s="178"/>
      <c r="JC146" s="178"/>
      <c r="JD146" s="178"/>
    </row>
    <row r="147">
      <c r="IE147" s="178"/>
      <c r="IF147" s="178"/>
      <c r="IG147" s="178"/>
      <c r="IH147" s="178"/>
      <c r="II147" s="178"/>
      <c r="IJ147" s="178"/>
      <c r="IK147" s="178"/>
      <c r="IL147" s="178"/>
      <c r="IM147" s="178"/>
      <c r="IN147" s="178"/>
      <c r="IO147" s="178"/>
      <c r="IP147" s="178"/>
      <c r="IQ147" s="178"/>
      <c r="IR147" s="178"/>
      <c r="IS147" s="178"/>
      <c r="IT147" s="178"/>
      <c r="IU147" s="178"/>
      <c r="IV147" s="178"/>
      <c r="IW147" s="178"/>
      <c r="IX147" s="178"/>
      <c r="IY147" s="178"/>
      <c r="IZ147" s="178"/>
      <c r="JA147" s="178"/>
      <c r="JB147" s="178"/>
      <c r="JC147" s="178"/>
      <c r="JD147" s="178"/>
    </row>
    <row r="148">
      <c r="IE148" s="178"/>
      <c r="IF148" s="178"/>
      <c r="IG148" s="178"/>
      <c r="IH148" s="178"/>
      <c r="II148" s="178"/>
      <c r="IJ148" s="178"/>
      <c r="IK148" s="178"/>
      <c r="IL148" s="178"/>
      <c r="IM148" s="178"/>
      <c r="IN148" s="178"/>
      <c r="IO148" s="178"/>
      <c r="IP148" s="178"/>
      <c r="IQ148" s="178"/>
      <c r="IR148" s="178"/>
      <c r="IS148" s="178"/>
      <c r="IT148" s="178"/>
      <c r="IU148" s="178"/>
      <c r="IV148" s="178"/>
      <c r="IW148" s="178"/>
      <c r="IX148" s="178"/>
      <c r="IY148" s="178"/>
      <c r="IZ148" s="178"/>
      <c r="JA148" s="178"/>
      <c r="JB148" s="178"/>
      <c r="JC148" s="178"/>
      <c r="JD148" s="178"/>
    </row>
    <row r="149">
      <c r="IE149" s="178"/>
      <c r="IF149" s="178"/>
      <c r="IG149" s="178"/>
      <c r="IH149" s="178"/>
      <c r="II149" s="178"/>
      <c r="IJ149" s="178"/>
      <c r="IK149" s="178"/>
      <c r="IL149" s="178"/>
      <c r="IM149" s="178"/>
      <c r="IN149" s="178"/>
      <c r="IO149" s="178"/>
      <c r="IP149" s="178"/>
      <c r="IQ149" s="178"/>
      <c r="IR149" s="178"/>
      <c r="IS149" s="178"/>
      <c r="IT149" s="178"/>
      <c r="IU149" s="178"/>
      <c r="IV149" s="178"/>
      <c r="IW149" s="178"/>
      <c r="IX149" s="178"/>
      <c r="IY149" s="178"/>
      <c r="IZ149" s="178"/>
      <c r="JA149" s="178"/>
      <c r="JB149" s="178"/>
      <c r="JC149" s="178"/>
      <c r="JD149" s="178"/>
    </row>
    <row r="150">
      <c r="IE150" s="178"/>
      <c r="IF150" s="178"/>
      <c r="IG150" s="178"/>
      <c r="IH150" s="178"/>
      <c r="II150" s="178"/>
      <c r="IJ150" s="178"/>
      <c r="IK150" s="178"/>
      <c r="IL150" s="178"/>
      <c r="IM150" s="178"/>
      <c r="IN150" s="178"/>
      <c r="IO150" s="178"/>
      <c r="IP150" s="178"/>
      <c r="IQ150" s="178"/>
      <c r="IR150" s="178"/>
      <c r="IS150" s="178"/>
      <c r="IT150" s="178"/>
      <c r="IU150" s="178"/>
      <c r="IV150" s="178"/>
      <c r="IW150" s="178"/>
      <c r="IX150" s="178"/>
      <c r="IY150" s="178"/>
      <c r="IZ150" s="178"/>
      <c r="JA150" s="178"/>
      <c r="JB150" s="178"/>
      <c r="JC150" s="178"/>
      <c r="JD150" s="178"/>
    </row>
    <row r="151">
      <c r="IE151" s="178"/>
      <c r="IF151" s="178"/>
      <c r="IG151" s="178"/>
      <c r="IH151" s="178"/>
      <c r="II151" s="178"/>
      <c r="IJ151" s="178"/>
      <c r="IK151" s="178"/>
      <c r="IL151" s="178"/>
      <c r="IM151" s="178"/>
      <c r="IN151" s="178"/>
      <c r="IO151" s="178"/>
      <c r="IP151" s="178"/>
      <c r="IQ151" s="178"/>
      <c r="IR151" s="178"/>
      <c r="IS151" s="178"/>
      <c r="IT151" s="178"/>
      <c r="IU151" s="178"/>
      <c r="IV151" s="178"/>
      <c r="IW151" s="178"/>
      <c r="IX151" s="178"/>
      <c r="IY151" s="178"/>
      <c r="IZ151" s="178"/>
      <c r="JA151" s="178"/>
      <c r="JB151" s="178"/>
      <c r="JC151" s="178"/>
      <c r="JD151" s="178"/>
    </row>
    <row r="152">
      <c r="IE152" s="178"/>
      <c r="IF152" s="178"/>
      <c r="IG152" s="178"/>
      <c r="IH152" s="178"/>
      <c r="II152" s="178"/>
      <c r="IJ152" s="178"/>
      <c r="IK152" s="178"/>
      <c r="IL152" s="178"/>
      <c r="IM152" s="178"/>
      <c r="IN152" s="178"/>
      <c r="IO152" s="178"/>
      <c r="IP152" s="178"/>
      <c r="IQ152" s="178"/>
      <c r="IR152" s="178"/>
      <c r="IS152" s="178"/>
      <c r="IT152" s="178"/>
      <c r="IU152" s="178"/>
      <c r="IV152" s="178"/>
      <c r="IW152" s="178"/>
      <c r="IX152" s="178"/>
      <c r="IY152" s="178"/>
      <c r="IZ152" s="178"/>
      <c r="JA152" s="178"/>
      <c r="JB152" s="178"/>
      <c r="JC152" s="178"/>
      <c r="JD152" s="178"/>
    </row>
    <row r="153">
      <c r="IE153" s="178"/>
      <c r="IF153" s="178"/>
      <c r="IG153" s="178"/>
      <c r="IH153" s="178"/>
      <c r="II153" s="178"/>
      <c r="IJ153" s="178"/>
      <c r="IK153" s="178"/>
      <c r="IL153" s="178"/>
      <c r="IM153" s="178"/>
      <c r="IN153" s="178"/>
      <c r="IO153" s="178"/>
      <c r="IP153" s="178"/>
      <c r="IQ153" s="178"/>
      <c r="IR153" s="178"/>
      <c r="IS153" s="178"/>
      <c r="IT153" s="178"/>
      <c r="IU153" s="178"/>
      <c r="IV153" s="178"/>
      <c r="IW153" s="178"/>
      <c r="IX153" s="178"/>
      <c r="IY153" s="178"/>
      <c r="IZ153" s="178"/>
      <c r="JA153" s="178"/>
      <c r="JB153" s="178"/>
      <c r="JC153" s="178"/>
      <c r="JD153" s="178"/>
    </row>
    <row r="154">
      <c r="IE154" s="178"/>
      <c r="IF154" s="178"/>
      <c r="IG154" s="178"/>
      <c r="IH154" s="178"/>
      <c r="II154" s="178"/>
      <c r="IJ154" s="178"/>
      <c r="IK154" s="178"/>
      <c r="IL154" s="178"/>
      <c r="IM154" s="178"/>
      <c r="IN154" s="178"/>
      <c r="IO154" s="178"/>
      <c r="IP154" s="178"/>
      <c r="IQ154" s="178"/>
      <c r="IR154" s="178"/>
      <c r="IS154" s="178"/>
      <c r="IT154" s="178"/>
      <c r="IU154" s="178"/>
      <c r="IV154" s="178"/>
      <c r="IW154" s="178"/>
      <c r="IX154" s="178"/>
      <c r="IY154" s="178"/>
      <c r="IZ154" s="178"/>
      <c r="JA154" s="178"/>
      <c r="JB154" s="178"/>
      <c r="JC154" s="178"/>
      <c r="JD154" s="178"/>
    </row>
    <row r="155">
      <c r="IE155" s="178"/>
      <c r="IF155" s="178"/>
      <c r="IG155" s="178"/>
      <c r="IH155" s="178"/>
      <c r="II155" s="178"/>
      <c r="IJ155" s="178"/>
      <c r="IK155" s="178"/>
      <c r="IL155" s="178"/>
      <c r="IM155" s="178"/>
      <c r="IN155" s="178"/>
      <c r="IO155" s="178"/>
      <c r="IP155" s="178"/>
      <c r="IQ155" s="178"/>
      <c r="IR155" s="178"/>
      <c r="IS155" s="178"/>
      <c r="IT155" s="178"/>
      <c r="IU155" s="178"/>
      <c r="IV155" s="178"/>
      <c r="IW155" s="178"/>
      <c r="IX155" s="178"/>
      <c r="IY155" s="178"/>
      <c r="IZ155" s="178"/>
      <c r="JA155" s="178"/>
      <c r="JB155" s="178"/>
      <c r="JC155" s="178"/>
      <c r="JD155" s="178"/>
    </row>
    <row r="156">
      <c r="IE156" s="178"/>
      <c r="IF156" s="178"/>
      <c r="IG156" s="178"/>
      <c r="IH156" s="178"/>
      <c r="II156" s="178"/>
      <c r="IJ156" s="178"/>
      <c r="IK156" s="178"/>
      <c r="IL156" s="178"/>
      <c r="IM156" s="178"/>
      <c r="IN156" s="178"/>
      <c r="IO156" s="178"/>
      <c r="IP156" s="178"/>
      <c r="IQ156" s="178"/>
      <c r="IR156" s="178"/>
      <c r="IS156" s="178"/>
      <c r="IT156" s="178"/>
      <c r="IU156" s="178"/>
      <c r="IV156" s="178"/>
      <c r="IW156" s="178"/>
      <c r="IX156" s="178"/>
      <c r="IY156" s="178"/>
      <c r="IZ156" s="178"/>
      <c r="JA156" s="178"/>
      <c r="JB156" s="178"/>
      <c r="JC156" s="178"/>
      <c r="JD156" s="178"/>
    </row>
    <row r="157">
      <c r="IE157" s="178"/>
      <c r="IF157" s="178"/>
      <c r="IG157" s="178"/>
      <c r="IH157" s="178"/>
      <c r="II157" s="178"/>
      <c r="IJ157" s="178"/>
      <c r="IK157" s="178"/>
      <c r="IL157" s="178"/>
      <c r="IM157" s="178"/>
      <c r="IN157" s="178"/>
      <c r="IO157" s="178"/>
      <c r="IP157" s="178"/>
      <c r="IQ157" s="178"/>
      <c r="IR157" s="178"/>
      <c r="IS157" s="178"/>
      <c r="IT157" s="178"/>
      <c r="IU157" s="178"/>
      <c r="IV157" s="178"/>
      <c r="IW157" s="178"/>
      <c r="IX157" s="178"/>
      <c r="IY157" s="178"/>
      <c r="IZ157" s="178"/>
      <c r="JA157" s="178"/>
      <c r="JB157" s="178"/>
      <c r="JC157" s="178"/>
      <c r="JD157" s="178"/>
    </row>
    <row r="158">
      <c r="IE158" s="178"/>
      <c r="IF158" s="178"/>
      <c r="IG158" s="178"/>
      <c r="IH158" s="178"/>
      <c r="II158" s="178"/>
      <c r="IJ158" s="178"/>
      <c r="IK158" s="178"/>
      <c r="IL158" s="178"/>
      <c r="IM158" s="178"/>
      <c r="IN158" s="178"/>
      <c r="IO158" s="178"/>
      <c r="IP158" s="178"/>
      <c r="IQ158" s="178"/>
      <c r="IR158" s="178"/>
      <c r="IS158" s="178"/>
      <c r="IT158" s="178"/>
      <c r="IU158" s="178"/>
      <c r="IV158" s="178"/>
      <c r="IW158" s="178"/>
      <c r="IX158" s="178"/>
      <c r="IY158" s="178"/>
      <c r="IZ158" s="178"/>
      <c r="JA158" s="178"/>
      <c r="JB158" s="178"/>
      <c r="JC158" s="178"/>
      <c r="JD158" s="178"/>
    </row>
    <row r="159">
      <c r="IE159" s="178"/>
      <c r="IF159" s="178"/>
      <c r="IG159" s="178"/>
      <c r="IH159" s="178"/>
      <c r="II159" s="178"/>
      <c r="IJ159" s="178"/>
      <c r="IK159" s="178"/>
      <c r="IL159" s="178"/>
      <c r="IM159" s="178"/>
      <c r="IN159" s="178"/>
      <c r="IO159" s="178"/>
      <c r="IP159" s="178"/>
      <c r="IQ159" s="178"/>
      <c r="IR159" s="178"/>
      <c r="IS159" s="178"/>
      <c r="IT159" s="178"/>
      <c r="IU159" s="178"/>
      <c r="IV159" s="178"/>
      <c r="IW159" s="178"/>
      <c r="IX159" s="178"/>
      <c r="IY159" s="178"/>
      <c r="IZ159" s="178"/>
      <c r="JA159" s="178"/>
      <c r="JB159" s="178"/>
      <c r="JC159" s="178"/>
      <c r="JD159" s="178"/>
    </row>
    <row r="160">
      <c r="IE160" s="178"/>
      <c r="IF160" s="178"/>
      <c r="IG160" s="178"/>
      <c r="IH160" s="178"/>
      <c r="II160" s="178"/>
      <c r="IJ160" s="178"/>
      <c r="IK160" s="178"/>
      <c r="IL160" s="178"/>
      <c r="IM160" s="178"/>
      <c r="IN160" s="178"/>
      <c r="IO160" s="178"/>
      <c r="IP160" s="178"/>
      <c r="IQ160" s="178"/>
      <c r="IR160" s="178"/>
      <c r="IS160" s="178"/>
      <c r="IT160" s="178"/>
      <c r="IU160" s="178"/>
      <c r="IV160" s="178"/>
      <c r="IW160" s="178"/>
      <c r="IX160" s="178"/>
      <c r="IY160" s="178"/>
      <c r="IZ160" s="178"/>
      <c r="JA160" s="178"/>
      <c r="JB160" s="178"/>
      <c r="JC160" s="178"/>
      <c r="JD160" s="178"/>
    </row>
    <row r="161">
      <c r="IE161" s="178"/>
      <c r="IF161" s="178"/>
      <c r="IG161" s="178"/>
      <c r="IH161" s="178"/>
      <c r="II161" s="178"/>
      <c r="IJ161" s="178"/>
      <c r="IK161" s="178"/>
      <c r="IL161" s="178"/>
      <c r="IM161" s="178"/>
      <c r="IN161" s="178"/>
      <c r="IO161" s="178"/>
      <c r="IP161" s="178"/>
      <c r="IQ161" s="178"/>
      <c r="IR161" s="178"/>
      <c r="IS161" s="178"/>
      <c r="IT161" s="178"/>
      <c r="IU161" s="178"/>
      <c r="IV161" s="178"/>
      <c r="IW161" s="178"/>
      <c r="IX161" s="178"/>
      <c r="IY161" s="178"/>
      <c r="IZ161" s="178"/>
      <c r="JA161" s="178"/>
      <c r="JB161" s="178"/>
      <c r="JC161" s="178"/>
      <c r="JD161" s="178"/>
    </row>
    <row r="162">
      <c r="IE162" s="178"/>
      <c r="IF162" s="178"/>
      <c r="IG162" s="178"/>
      <c r="IH162" s="178"/>
      <c r="II162" s="178"/>
      <c r="IJ162" s="178"/>
      <c r="IK162" s="178"/>
      <c r="IL162" s="178"/>
      <c r="IM162" s="178"/>
      <c r="IN162" s="178"/>
      <c r="IO162" s="178"/>
      <c r="IP162" s="178"/>
      <c r="IQ162" s="178"/>
      <c r="IR162" s="178"/>
      <c r="IS162" s="178"/>
      <c r="IT162" s="178"/>
      <c r="IU162" s="178"/>
      <c r="IV162" s="178"/>
      <c r="IW162" s="178"/>
      <c r="IX162" s="178"/>
      <c r="IY162" s="178"/>
      <c r="IZ162" s="178"/>
      <c r="JA162" s="178"/>
      <c r="JB162" s="178"/>
      <c r="JC162" s="178"/>
      <c r="JD162" s="178"/>
    </row>
    <row r="163">
      <c r="IE163" s="178"/>
      <c r="IF163" s="178"/>
      <c r="IG163" s="178"/>
      <c r="IH163" s="178"/>
      <c r="II163" s="178"/>
      <c r="IJ163" s="178"/>
      <c r="IK163" s="178"/>
      <c r="IL163" s="178"/>
      <c r="IM163" s="178"/>
      <c r="IN163" s="178"/>
      <c r="IO163" s="178"/>
      <c r="IP163" s="178"/>
      <c r="IQ163" s="178"/>
      <c r="IR163" s="178"/>
      <c r="IS163" s="178"/>
      <c r="IT163" s="178"/>
      <c r="IU163" s="178"/>
      <c r="IV163" s="178"/>
      <c r="IW163" s="178"/>
      <c r="IX163" s="178"/>
      <c r="IY163" s="178"/>
      <c r="IZ163" s="178"/>
      <c r="JA163" s="178"/>
      <c r="JB163" s="178"/>
      <c r="JC163" s="178"/>
      <c r="JD163" s="178"/>
    </row>
    <row r="164">
      <c r="IE164" s="178"/>
      <c r="IF164" s="178"/>
      <c r="IG164" s="178"/>
      <c r="IH164" s="178"/>
      <c r="II164" s="178"/>
      <c r="IJ164" s="178"/>
      <c r="IK164" s="178"/>
      <c r="IL164" s="178"/>
      <c r="IM164" s="178"/>
      <c r="IN164" s="178"/>
      <c r="IO164" s="178"/>
      <c r="IP164" s="178"/>
      <c r="IQ164" s="178"/>
      <c r="IR164" s="178"/>
      <c r="IS164" s="178"/>
      <c r="IT164" s="178"/>
      <c r="IU164" s="178"/>
      <c r="IV164" s="178"/>
      <c r="IW164" s="178"/>
      <c r="IX164" s="178"/>
      <c r="IY164" s="178"/>
      <c r="IZ164" s="178"/>
      <c r="JA164" s="178"/>
      <c r="JB164" s="178"/>
      <c r="JC164" s="178"/>
      <c r="JD164" s="178"/>
    </row>
    <row r="165">
      <c r="IE165" s="178"/>
      <c r="IF165" s="178"/>
      <c r="IG165" s="178"/>
      <c r="IH165" s="178"/>
      <c r="II165" s="178"/>
      <c r="IJ165" s="178"/>
      <c r="IK165" s="178"/>
      <c r="IL165" s="178"/>
      <c r="IM165" s="178"/>
      <c r="IN165" s="178"/>
      <c r="IO165" s="178"/>
      <c r="IP165" s="178"/>
      <c r="IQ165" s="178"/>
      <c r="IR165" s="178"/>
      <c r="IS165" s="178"/>
      <c r="IT165" s="178"/>
      <c r="IU165" s="178"/>
      <c r="IV165" s="178"/>
      <c r="IW165" s="178"/>
      <c r="IX165" s="178"/>
      <c r="IY165" s="178"/>
      <c r="IZ165" s="178"/>
      <c r="JA165" s="178"/>
      <c r="JB165" s="178"/>
      <c r="JC165" s="178"/>
      <c r="JD165" s="178"/>
    </row>
    <row r="166">
      <c r="IE166" s="178"/>
      <c r="IF166" s="178"/>
      <c r="IG166" s="178"/>
      <c r="IH166" s="178"/>
      <c r="II166" s="178"/>
      <c r="IJ166" s="178"/>
      <c r="IK166" s="178"/>
      <c r="IL166" s="178"/>
      <c r="IM166" s="178"/>
      <c r="IN166" s="178"/>
      <c r="IO166" s="178"/>
      <c r="IP166" s="178"/>
      <c r="IQ166" s="178"/>
      <c r="IR166" s="178"/>
      <c r="IS166" s="178"/>
      <c r="IT166" s="178"/>
      <c r="IU166" s="178"/>
      <c r="IV166" s="178"/>
      <c r="IW166" s="178"/>
      <c r="IX166" s="178"/>
      <c r="IY166" s="178"/>
      <c r="IZ166" s="178"/>
      <c r="JA166" s="178"/>
      <c r="JB166" s="178"/>
      <c r="JC166" s="178"/>
      <c r="JD166" s="178"/>
    </row>
    <row r="167">
      <c r="IE167" s="178"/>
      <c r="IF167" s="178"/>
      <c r="IG167" s="178"/>
      <c r="IH167" s="178"/>
      <c r="II167" s="178"/>
      <c r="IJ167" s="178"/>
      <c r="IK167" s="178"/>
      <c r="IL167" s="178"/>
      <c r="IM167" s="178"/>
      <c r="IN167" s="178"/>
      <c r="IO167" s="178"/>
      <c r="IP167" s="178"/>
      <c r="IQ167" s="178"/>
      <c r="IR167" s="178"/>
      <c r="IS167" s="178"/>
      <c r="IT167" s="178"/>
      <c r="IU167" s="178"/>
      <c r="IV167" s="178"/>
      <c r="IW167" s="178"/>
      <c r="IX167" s="178"/>
      <c r="IY167" s="178"/>
      <c r="IZ167" s="178"/>
      <c r="JA167" s="178"/>
      <c r="JB167" s="178"/>
      <c r="JC167" s="178"/>
      <c r="JD167" s="178"/>
    </row>
    <row r="168">
      <c r="IE168" s="178"/>
      <c r="IF168" s="178"/>
      <c r="IG168" s="178"/>
      <c r="IH168" s="178"/>
      <c r="II168" s="178"/>
      <c r="IJ168" s="178"/>
      <c r="IK168" s="178"/>
      <c r="IL168" s="178"/>
      <c r="IM168" s="178"/>
      <c r="IN168" s="178"/>
      <c r="IO168" s="178"/>
      <c r="IP168" s="178"/>
      <c r="IQ168" s="178"/>
      <c r="IR168" s="178"/>
      <c r="IS168" s="178"/>
      <c r="IT168" s="178"/>
      <c r="IU168" s="178"/>
      <c r="IV168" s="178"/>
      <c r="IW168" s="178"/>
      <c r="IX168" s="178"/>
      <c r="IY168" s="178"/>
      <c r="IZ168" s="178"/>
      <c r="JA168" s="178"/>
      <c r="JB168" s="178"/>
      <c r="JC168" s="178"/>
      <c r="JD168" s="178"/>
    </row>
    <row r="169">
      <c r="IE169" s="178"/>
      <c r="IF169" s="178"/>
      <c r="IG169" s="178"/>
      <c r="IH169" s="178"/>
      <c r="II169" s="178"/>
      <c r="IJ169" s="178"/>
      <c r="IK169" s="178"/>
      <c r="IL169" s="178"/>
      <c r="IM169" s="178"/>
      <c r="IN169" s="178"/>
      <c r="IO169" s="178"/>
      <c r="IP169" s="178"/>
      <c r="IQ169" s="178"/>
      <c r="IR169" s="178"/>
      <c r="IS169" s="178"/>
      <c r="IT169" s="178"/>
      <c r="IU169" s="178"/>
      <c r="IV169" s="178"/>
      <c r="IW169" s="178"/>
      <c r="IX169" s="178"/>
      <c r="IY169" s="178"/>
      <c r="IZ169" s="178"/>
      <c r="JA169" s="178"/>
      <c r="JB169" s="178"/>
      <c r="JC169" s="178"/>
      <c r="JD169" s="178"/>
    </row>
    <row r="170">
      <c r="IE170" s="178"/>
      <c r="IF170" s="178"/>
      <c r="IG170" s="178"/>
      <c r="IH170" s="178"/>
      <c r="II170" s="178"/>
      <c r="IJ170" s="178"/>
      <c r="IK170" s="178"/>
      <c r="IL170" s="178"/>
      <c r="IM170" s="178"/>
      <c r="IN170" s="178"/>
      <c r="IO170" s="178"/>
      <c r="IP170" s="178"/>
      <c r="IQ170" s="178"/>
      <c r="IR170" s="178"/>
      <c r="IS170" s="178"/>
      <c r="IT170" s="178"/>
      <c r="IU170" s="178"/>
      <c r="IV170" s="178"/>
      <c r="IW170" s="178"/>
      <c r="IX170" s="178"/>
      <c r="IY170" s="178"/>
      <c r="IZ170" s="178"/>
      <c r="JA170" s="178"/>
      <c r="JB170" s="178"/>
      <c r="JC170" s="178"/>
      <c r="JD170" s="178"/>
    </row>
    <row r="171">
      <c r="IE171" s="178"/>
      <c r="IF171" s="178"/>
      <c r="IG171" s="178"/>
      <c r="IH171" s="178"/>
      <c r="II171" s="178"/>
      <c r="IJ171" s="178"/>
      <c r="IK171" s="178"/>
      <c r="IL171" s="178"/>
      <c r="IM171" s="178"/>
      <c r="IN171" s="178"/>
      <c r="IO171" s="178"/>
      <c r="IP171" s="178"/>
      <c r="IQ171" s="178"/>
      <c r="IR171" s="178"/>
      <c r="IS171" s="178"/>
      <c r="IT171" s="178"/>
      <c r="IU171" s="178"/>
      <c r="IV171" s="178"/>
      <c r="IW171" s="178"/>
      <c r="IX171" s="178"/>
      <c r="IY171" s="178"/>
      <c r="IZ171" s="178"/>
      <c r="JA171" s="178"/>
      <c r="JB171" s="178"/>
      <c r="JC171" s="178"/>
      <c r="JD171" s="178"/>
    </row>
    <row r="172">
      <c r="IE172" s="178"/>
      <c r="IF172" s="178"/>
      <c r="IG172" s="178"/>
      <c r="IH172" s="178"/>
      <c r="II172" s="178"/>
      <c r="IJ172" s="178"/>
      <c r="IK172" s="178"/>
      <c r="IL172" s="178"/>
      <c r="IM172" s="178"/>
      <c r="IN172" s="178"/>
      <c r="IO172" s="178"/>
      <c r="IP172" s="178"/>
      <c r="IQ172" s="178"/>
      <c r="IR172" s="178"/>
      <c r="IS172" s="178"/>
      <c r="IT172" s="178"/>
      <c r="IU172" s="178"/>
      <c r="IV172" s="178"/>
      <c r="IW172" s="178"/>
      <c r="IX172" s="178"/>
      <c r="IY172" s="178"/>
      <c r="IZ172" s="178"/>
      <c r="JA172" s="178"/>
      <c r="JB172" s="178"/>
      <c r="JC172" s="178"/>
      <c r="JD172" s="178"/>
    </row>
    <row r="173">
      <c r="IE173" s="178"/>
      <c r="IF173" s="178"/>
      <c r="IG173" s="178"/>
      <c r="IH173" s="178"/>
      <c r="II173" s="178"/>
      <c r="IJ173" s="178"/>
      <c r="IK173" s="178"/>
      <c r="IL173" s="178"/>
      <c r="IM173" s="178"/>
      <c r="IN173" s="178"/>
      <c r="IO173" s="178"/>
      <c r="IP173" s="178"/>
      <c r="IQ173" s="178"/>
      <c r="IR173" s="178"/>
      <c r="IS173" s="178"/>
      <c r="IT173" s="178"/>
      <c r="IU173" s="178"/>
      <c r="IV173" s="178"/>
      <c r="IW173" s="178"/>
      <c r="IX173" s="178"/>
      <c r="IY173" s="178"/>
      <c r="IZ173" s="178"/>
      <c r="JA173" s="178"/>
      <c r="JB173" s="178"/>
      <c r="JC173" s="178"/>
      <c r="JD173" s="178"/>
    </row>
    <row r="174">
      <c r="IE174" s="178"/>
      <c r="IF174" s="178"/>
      <c r="IG174" s="178"/>
      <c r="IH174" s="178"/>
      <c r="II174" s="178"/>
      <c r="IJ174" s="178"/>
      <c r="IK174" s="178"/>
      <c r="IL174" s="178"/>
      <c r="IM174" s="178"/>
      <c r="IN174" s="178"/>
      <c r="IO174" s="178"/>
      <c r="IP174" s="178"/>
      <c r="IQ174" s="178"/>
      <c r="IR174" s="178"/>
      <c r="IS174" s="178"/>
      <c r="IT174" s="178"/>
      <c r="IU174" s="178"/>
      <c r="IV174" s="178"/>
      <c r="IW174" s="178"/>
      <c r="IX174" s="178"/>
      <c r="IY174" s="178"/>
      <c r="IZ174" s="178"/>
      <c r="JA174" s="178"/>
      <c r="JB174" s="178"/>
      <c r="JC174" s="178"/>
      <c r="JD174" s="178"/>
    </row>
    <row r="175">
      <c r="IE175" s="178"/>
      <c r="IF175" s="178"/>
      <c r="IG175" s="178"/>
      <c r="IH175" s="178"/>
      <c r="II175" s="178"/>
      <c r="IJ175" s="178"/>
      <c r="IK175" s="178"/>
      <c r="IL175" s="178"/>
      <c r="IM175" s="178"/>
      <c r="IN175" s="178"/>
      <c r="IO175" s="178"/>
      <c r="IP175" s="178"/>
      <c r="IQ175" s="178"/>
      <c r="IR175" s="178"/>
      <c r="IS175" s="178"/>
      <c r="IT175" s="178"/>
      <c r="IU175" s="178"/>
      <c r="IV175" s="178"/>
      <c r="IW175" s="178"/>
      <c r="IX175" s="178"/>
      <c r="IY175" s="178"/>
      <c r="IZ175" s="178"/>
      <c r="JA175" s="178"/>
      <c r="JB175" s="178"/>
      <c r="JC175" s="178"/>
      <c r="JD175" s="178"/>
    </row>
    <row r="176">
      <c r="IE176" s="178"/>
      <c r="IF176" s="178"/>
      <c r="IG176" s="178"/>
      <c r="IH176" s="178"/>
      <c r="II176" s="178"/>
      <c r="IJ176" s="178"/>
      <c r="IK176" s="178"/>
      <c r="IL176" s="178"/>
      <c r="IM176" s="178"/>
      <c r="IN176" s="178"/>
      <c r="IO176" s="178"/>
      <c r="IP176" s="178"/>
      <c r="IQ176" s="178"/>
      <c r="IR176" s="178"/>
      <c r="IS176" s="178"/>
      <c r="IT176" s="178"/>
      <c r="IU176" s="178"/>
      <c r="IV176" s="178"/>
      <c r="IW176" s="178"/>
      <c r="IX176" s="178"/>
      <c r="IY176" s="178"/>
      <c r="IZ176" s="178"/>
      <c r="JA176" s="178"/>
      <c r="JB176" s="178"/>
      <c r="JC176" s="178"/>
      <c r="JD176" s="178"/>
    </row>
    <row r="177">
      <c r="IE177" s="178"/>
      <c r="IF177" s="178"/>
      <c r="IG177" s="178"/>
      <c r="IH177" s="178"/>
      <c r="II177" s="178"/>
      <c r="IJ177" s="178"/>
      <c r="IK177" s="178"/>
      <c r="IL177" s="178"/>
      <c r="IM177" s="178"/>
      <c r="IN177" s="178"/>
      <c r="IO177" s="178"/>
      <c r="IP177" s="178"/>
      <c r="IQ177" s="178"/>
      <c r="IR177" s="178"/>
      <c r="IS177" s="178"/>
      <c r="IT177" s="178"/>
      <c r="IU177" s="178"/>
      <c r="IV177" s="178"/>
      <c r="IW177" s="178"/>
      <c r="IX177" s="178"/>
      <c r="IY177" s="178"/>
      <c r="IZ177" s="178"/>
      <c r="JA177" s="178"/>
      <c r="JB177" s="178"/>
      <c r="JC177" s="178"/>
      <c r="JD177" s="178"/>
    </row>
    <row r="178">
      <c r="IE178" s="178"/>
      <c r="IF178" s="178"/>
      <c r="IG178" s="178"/>
      <c r="IH178" s="178"/>
      <c r="II178" s="178"/>
      <c r="IJ178" s="178"/>
      <c r="IK178" s="178"/>
      <c r="IL178" s="178"/>
      <c r="IM178" s="178"/>
      <c r="IN178" s="178"/>
      <c r="IO178" s="178"/>
      <c r="IP178" s="178"/>
      <c r="IQ178" s="178"/>
      <c r="IR178" s="178"/>
      <c r="IS178" s="178"/>
      <c r="IT178" s="178"/>
      <c r="IU178" s="178"/>
      <c r="IV178" s="178"/>
      <c r="IW178" s="178"/>
      <c r="IX178" s="178"/>
      <c r="IY178" s="178"/>
      <c r="IZ178" s="178"/>
      <c r="JA178" s="178"/>
      <c r="JB178" s="178"/>
      <c r="JC178" s="178"/>
      <c r="JD178" s="178"/>
    </row>
    <row r="179">
      <c r="IE179" s="178"/>
      <c r="IF179" s="178"/>
      <c r="IG179" s="178"/>
      <c r="IH179" s="178"/>
      <c r="II179" s="178"/>
      <c r="IJ179" s="178"/>
      <c r="IK179" s="178"/>
      <c r="IL179" s="178"/>
      <c r="IM179" s="178"/>
      <c r="IN179" s="178"/>
      <c r="IO179" s="178"/>
      <c r="IP179" s="178"/>
      <c r="IQ179" s="178"/>
      <c r="IR179" s="178"/>
      <c r="IS179" s="178"/>
      <c r="IT179" s="178"/>
      <c r="IU179" s="178"/>
      <c r="IV179" s="178"/>
      <c r="IW179" s="178"/>
      <c r="IX179" s="178"/>
      <c r="IY179" s="178"/>
      <c r="IZ179" s="178"/>
      <c r="JA179" s="178"/>
      <c r="JB179" s="178"/>
      <c r="JC179" s="178"/>
      <c r="JD179" s="178"/>
    </row>
    <row r="180">
      <c r="IE180" s="178"/>
      <c r="IF180" s="178"/>
      <c r="IG180" s="178"/>
      <c r="IH180" s="178"/>
      <c r="II180" s="178"/>
      <c r="IJ180" s="178"/>
      <c r="IK180" s="178"/>
      <c r="IL180" s="178"/>
      <c r="IM180" s="178"/>
      <c r="IN180" s="178"/>
      <c r="IO180" s="178"/>
      <c r="IP180" s="178"/>
      <c r="IQ180" s="178"/>
      <c r="IR180" s="178"/>
      <c r="IS180" s="178"/>
      <c r="IT180" s="178"/>
      <c r="IU180" s="178"/>
      <c r="IV180" s="178"/>
      <c r="IW180" s="178"/>
      <c r="IX180" s="178"/>
      <c r="IY180" s="178"/>
      <c r="IZ180" s="178"/>
      <c r="JA180" s="178"/>
      <c r="JB180" s="178"/>
      <c r="JC180" s="178"/>
      <c r="JD180" s="178"/>
    </row>
    <row r="181">
      <c r="IE181" s="178"/>
      <c r="IF181" s="178"/>
      <c r="IG181" s="178"/>
      <c r="IH181" s="178"/>
      <c r="II181" s="178"/>
      <c r="IJ181" s="178"/>
      <c r="IK181" s="178"/>
      <c r="IL181" s="178"/>
      <c r="IM181" s="178"/>
      <c r="IN181" s="178"/>
      <c r="IO181" s="178"/>
      <c r="IP181" s="178"/>
      <c r="IQ181" s="178"/>
      <c r="IR181" s="178"/>
      <c r="IS181" s="178"/>
      <c r="IT181" s="178"/>
      <c r="IU181" s="178"/>
      <c r="IV181" s="178"/>
      <c r="IW181" s="178"/>
      <c r="IX181" s="178"/>
      <c r="IY181" s="178"/>
      <c r="IZ181" s="178"/>
      <c r="JA181" s="178"/>
      <c r="JB181" s="178"/>
      <c r="JC181" s="178"/>
      <c r="JD181" s="178"/>
    </row>
    <row r="182">
      <c r="IE182" s="178"/>
      <c r="IF182" s="178"/>
      <c r="IG182" s="178"/>
      <c r="IH182" s="178"/>
      <c r="II182" s="178"/>
      <c r="IJ182" s="178"/>
      <c r="IK182" s="178"/>
      <c r="IL182" s="178"/>
      <c r="IM182" s="178"/>
      <c r="IN182" s="178"/>
      <c r="IO182" s="178"/>
      <c r="IP182" s="178"/>
      <c r="IQ182" s="178"/>
      <c r="IR182" s="178"/>
      <c r="IS182" s="178"/>
      <c r="IT182" s="178"/>
      <c r="IU182" s="178"/>
      <c r="IV182" s="178"/>
      <c r="IW182" s="178"/>
      <c r="IX182" s="178"/>
      <c r="IY182" s="178"/>
      <c r="IZ182" s="178"/>
      <c r="JA182" s="178"/>
      <c r="JB182" s="178"/>
      <c r="JC182" s="178"/>
      <c r="JD182" s="178"/>
    </row>
    <row r="183">
      <c r="IE183" s="178"/>
      <c r="IF183" s="178"/>
      <c r="IG183" s="178"/>
      <c r="IH183" s="178"/>
      <c r="II183" s="178"/>
      <c r="IJ183" s="178"/>
      <c r="IK183" s="178"/>
      <c r="IL183" s="178"/>
      <c r="IM183" s="178"/>
      <c r="IN183" s="178"/>
      <c r="IO183" s="178"/>
      <c r="IP183" s="178"/>
      <c r="IQ183" s="178"/>
      <c r="IR183" s="178"/>
      <c r="IS183" s="178"/>
      <c r="IT183" s="178"/>
      <c r="IU183" s="178"/>
      <c r="IV183" s="178"/>
      <c r="IW183" s="178"/>
      <c r="IX183" s="178"/>
      <c r="IY183" s="178"/>
      <c r="IZ183" s="178"/>
      <c r="JA183" s="178"/>
      <c r="JB183" s="178"/>
      <c r="JC183" s="178"/>
      <c r="JD183" s="178"/>
    </row>
    <row r="184">
      <c r="IE184" s="178"/>
      <c r="IF184" s="178"/>
      <c r="IG184" s="178"/>
      <c r="IH184" s="178"/>
      <c r="II184" s="178"/>
      <c r="IJ184" s="178"/>
      <c r="IK184" s="178"/>
      <c r="IL184" s="178"/>
      <c r="IM184" s="178"/>
      <c r="IN184" s="178"/>
      <c r="IO184" s="178"/>
      <c r="IP184" s="178"/>
      <c r="IQ184" s="178"/>
      <c r="IR184" s="178"/>
      <c r="IS184" s="178"/>
      <c r="IT184" s="178"/>
      <c r="IU184" s="178"/>
      <c r="IV184" s="178"/>
      <c r="IW184" s="178"/>
      <c r="IX184" s="178"/>
      <c r="IY184" s="178"/>
      <c r="IZ184" s="178"/>
      <c r="JA184" s="178"/>
      <c r="JB184" s="178"/>
      <c r="JC184" s="178"/>
      <c r="JD184" s="178"/>
    </row>
    <row r="185">
      <c r="IE185" s="178"/>
      <c r="IF185" s="178"/>
      <c r="IG185" s="178"/>
      <c r="IH185" s="178"/>
      <c r="II185" s="178"/>
      <c r="IJ185" s="178"/>
      <c r="IK185" s="178"/>
      <c r="IL185" s="178"/>
      <c r="IM185" s="178"/>
      <c r="IN185" s="178"/>
      <c r="IO185" s="178"/>
      <c r="IP185" s="178"/>
      <c r="IQ185" s="178"/>
      <c r="IR185" s="178"/>
      <c r="IS185" s="178"/>
      <c r="IT185" s="178"/>
      <c r="IU185" s="178"/>
      <c r="IV185" s="178"/>
      <c r="IW185" s="178"/>
      <c r="IX185" s="178"/>
      <c r="IY185" s="178"/>
      <c r="IZ185" s="178"/>
      <c r="JA185" s="178"/>
      <c r="JB185" s="178"/>
      <c r="JC185" s="178"/>
      <c r="JD185" s="178"/>
    </row>
    <row r="186">
      <c r="IE186" s="178"/>
      <c r="IF186" s="178"/>
      <c r="IG186" s="178"/>
      <c r="IH186" s="178"/>
      <c r="II186" s="178"/>
      <c r="IJ186" s="178"/>
      <c r="IK186" s="178"/>
      <c r="IL186" s="178"/>
      <c r="IM186" s="178"/>
      <c r="IN186" s="178"/>
      <c r="IO186" s="178"/>
      <c r="IP186" s="178"/>
      <c r="IQ186" s="178"/>
      <c r="IR186" s="178"/>
      <c r="IS186" s="178"/>
      <c r="IT186" s="178"/>
      <c r="IU186" s="178"/>
      <c r="IV186" s="178"/>
      <c r="IW186" s="178"/>
      <c r="IX186" s="178"/>
      <c r="IY186" s="178"/>
      <c r="IZ186" s="178"/>
      <c r="JA186" s="178"/>
      <c r="JB186" s="178"/>
      <c r="JC186" s="178"/>
      <c r="JD186" s="178"/>
    </row>
    <row r="187">
      <c r="IE187" s="178"/>
      <c r="IF187" s="178"/>
      <c r="IG187" s="178"/>
      <c r="IH187" s="178"/>
      <c r="II187" s="178"/>
      <c r="IJ187" s="178"/>
      <c r="IK187" s="178"/>
      <c r="IL187" s="178"/>
      <c r="IM187" s="178"/>
      <c r="IN187" s="178"/>
      <c r="IO187" s="178"/>
      <c r="IP187" s="178"/>
      <c r="IQ187" s="178"/>
      <c r="IR187" s="178"/>
      <c r="IS187" s="178"/>
      <c r="IT187" s="178"/>
      <c r="IU187" s="178"/>
      <c r="IV187" s="178"/>
      <c r="IW187" s="178"/>
      <c r="IX187" s="178"/>
      <c r="IY187" s="178"/>
      <c r="IZ187" s="178"/>
      <c r="JA187" s="178"/>
      <c r="JB187" s="178"/>
      <c r="JC187" s="178"/>
      <c r="JD187" s="178"/>
    </row>
    <row r="188">
      <c r="IE188" s="178"/>
      <c r="IF188" s="178"/>
      <c r="IG188" s="178"/>
      <c r="IH188" s="178"/>
      <c r="II188" s="178"/>
      <c r="IJ188" s="178"/>
      <c r="IK188" s="178"/>
      <c r="IL188" s="178"/>
      <c r="IM188" s="178"/>
      <c r="IN188" s="178"/>
      <c r="IO188" s="178"/>
      <c r="IP188" s="178"/>
      <c r="IQ188" s="178"/>
      <c r="IR188" s="178"/>
      <c r="IS188" s="178"/>
      <c r="IT188" s="178"/>
      <c r="IU188" s="178"/>
      <c r="IV188" s="178"/>
      <c r="IW188" s="178"/>
      <c r="IX188" s="178"/>
      <c r="IY188" s="178"/>
      <c r="IZ188" s="178"/>
      <c r="JA188" s="178"/>
      <c r="JB188" s="178"/>
      <c r="JC188" s="178"/>
      <c r="JD188" s="178"/>
    </row>
    <row r="189">
      <c r="IE189" s="178"/>
      <c r="IF189" s="178"/>
      <c r="IG189" s="178"/>
      <c r="IH189" s="178"/>
      <c r="II189" s="178"/>
      <c r="IJ189" s="178"/>
      <c r="IK189" s="178"/>
      <c r="IL189" s="178"/>
      <c r="IM189" s="178"/>
      <c r="IN189" s="178"/>
      <c r="IO189" s="178"/>
      <c r="IP189" s="178"/>
      <c r="IQ189" s="178"/>
      <c r="IR189" s="178"/>
      <c r="IS189" s="178"/>
      <c r="IT189" s="178"/>
      <c r="IU189" s="178"/>
      <c r="IV189" s="178"/>
      <c r="IW189" s="178"/>
      <c r="IX189" s="178"/>
      <c r="IY189" s="178"/>
      <c r="IZ189" s="178"/>
      <c r="JA189" s="178"/>
      <c r="JB189" s="178"/>
      <c r="JC189" s="178"/>
      <c r="JD189" s="178"/>
    </row>
    <row r="190">
      <c r="IE190" s="178"/>
      <c r="IF190" s="178"/>
      <c r="IG190" s="178"/>
      <c r="IH190" s="178"/>
      <c r="II190" s="178"/>
      <c r="IJ190" s="178"/>
      <c r="IK190" s="178"/>
      <c r="IL190" s="178"/>
      <c r="IM190" s="178"/>
      <c r="IN190" s="178"/>
      <c r="IO190" s="178"/>
      <c r="IP190" s="178"/>
      <c r="IQ190" s="178"/>
      <c r="IR190" s="178"/>
      <c r="IS190" s="178"/>
      <c r="IT190" s="178"/>
      <c r="IU190" s="178"/>
      <c r="IV190" s="178"/>
      <c r="IW190" s="178"/>
      <c r="IX190" s="178"/>
      <c r="IY190" s="178"/>
      <c r="IZ190" s="178"/>
      <c r="JA190" s="178"/>
      <c r="JB190" s="178"/>
      <c r="JC190" s="178"/>
      <c r="JD190" s="178"/>
    </row>
    <row r="191">
      <c r="IE191" s="178"/>
      <c r="IF191" s="178"/>
      <c r="IG191" s="178"/>
      <c r="IH191" s="178"/>
      <c r="II191" s="178"/>
      <c r="IJ191" s="178"/>
      <c r="IK191" s="178"/>
      <c r="IL191" s="178"/>
      <c r="IM191" s="178"/>
      <c r="IN191" s="178"/>
      <c r="IO191" s="178"/>
      <c r="IP191" s="178"/>
      <c r="IQ191" s="178"/>
      <c r="IR191" s="178"/>
      <c r="IS191" s="178"/>
      <c r="IT191" s="178"/>
      <c r="IU191" s="178"/>
      <c r="IV191" s="178"/>
      <c r="IW191" s="178"/>
      <c r="IX191" s="178"/>
      <c r="IY191" s="178"/>
      <c r="IZ191" s="178"/>
      <c r="JA191" s="178"/>
      <c r="JB191" s="178"/>
      <c r="JC191" s="178"/>
      <c r="JD191" s="178"/>
    </row>
    <row r="192">
      <c r="IE192" s="178"/>
      <c r="IF192" s="178"/>
      <c r="IG192" s="178"/>
      <c r="IH192" s="178"/>
      <c r="II192" s="178"/>
      <c r="IJ192" s="178"/>
      <c r="IK192" s="178"/>
      <c r="IL192" s="178"/>
      <c r="IM192" s="178"/>
      <c r="IN192" s="178"/>
      <c r="IO192" s="178"/>
      <c r="IP192" s="178"/>
      <c r="IQ192" s="178"/>
      <c r="IR192" s="178"/>
      <c r="IS192" s="178"/>
      <c r="IT192" s="178"/>
      <c r="IU192" s="178"/>
      <c r="IV192" s="178"/>
      <c r="IW192" s="178"/>
      <c r="IX192" s="178"/>
      <c r="IY192" s="178"/>
      <c r="IZ192" s="178"/>
      <c r="JA192" s="178"/>
      <c r="JB192" s="178"/>
      <c r="JC192" s="178"/>
      <c r="JD192" s="178"/>
    </row>
    <row r="193">
      <c r="IE193" s="178"/>
      <c r="IF193" s="178"/>
      <c r="IG193" s="178"/>
      <c r="IH193" s="178"/>
      <c r="II193" s="178"/>
      <c r="IJ193" s="178"/>
      <c r="IK193" s="178"/>
      <c r="IL193" s="178"/>
      <c r="IM193" s="178"/>
      <c r="IN193" s="178"/>
      <c r="IO193" s="178"/>
      <c r="IP193" s="178"/>
      <c r="IQ193" s="178"/>
      <c r="IR193" s="178"/>
      <c r="IS193" s="178"/>
      <c r="IT193" s="178"/>
      <c r="IU193" s="178"/>
      <c r="IV193" s="178"/>
      <c r="IW193" s="178"/>
      <c r="IX193" s="178"/>
      <c r="IY193" s="178"/>
      <c r="IZ193" s="178"/>
      <c r="JA193" s="178"/>
      <c r="JB193" s="178"/>
      <c r="JC193" s="178"/>
      <c r="JD193" s="178"/>
    </row>
    <row r="194">
      <c r="IE194" s="178"/>
      <c r="IF194" s="178"/>
      <c r="IG194" s="178"/>
      <c r="IH194" s="178"/>
      <c r="II194" s="178"/>
      <c r="IJ194" s="178"/>
      <c r="IK194" s="178"/>
      <c r="IL194" s="178"/>
      <c r="IM194" s="178"/>
      <c r="IN194" s="178"/>
      <c r="IO194" s="178"/>
      <c r="IP194" s="178"/>
      <c r="IQ194" s="178"/>
      <c r="IR194" s="178"/>
      <c r="IS194" s="178"/>
      <c r="IT194" s="178"/>
      <c r="IU194" s="178"/>
      <c r="IV194" s="178"/>
      <c r="IW194" s="178"/>
      <c r="IX194" s="178"/>
      <c r="IY194" s="178"/>
      <c r="IZ194" s="178"/>
      <c r="JA194" s="178"/>
      <c r="JB194" s="178"/>
      <c r="JC194" s="178"/>
      <c r="JD194" s="178"/>
    </row>
    <row r="195">
      <c r="IE195" s="178"/>
      <c r="IF195" s="178"/>
      <c r="IG195" s="178"/>
      <c r="IH195" s="178"/>
      <c r="II195" s="178"/>
      <c r="IJ195" s="178"/>
      <c r="IK195" s="178"/>
      <c r="IL195" s="178"/>
      <c r="IM195" s="178"/>
      <c r="IN195" s="178"/>
      <c r="IO195" s="178"/>
      <c r="IP195" s="178"/>
      <c r="IQ195" s="178"/>
      <c r="IR195" s="178"/>
      <c r="IS195" s="178"/>
      <c r="IT195" s="178"/>
      <c r="IU195" s="178"/>
      <c r="IV195" s="178"/>
      <c r="IW195" s="178"/>
      <c r="IX195" s="178"/>
      <c r="IY195" s="178"/>
      <c r="IZ195" s="178"/>
      <c r="JA195" s="178"/>
      <c r="JB195" s="178"/>
      <c r="JC195" s="178"/>
      <c r="JD195" s="178"/>
    </row>
    <row r="196">
      <c r="IE196" s="178"/>
      <c r="IF196" s="178"/>
      <c r="IG196" s="178"/>
      <c r="IH196" s="178"/>
      <c r="II196" s="178"/>
      <c r="IJ196" s="178"/>
      <c r="IK196" s="178"/>
      <c r="IL196" s="178"/>
      <c r="IM196" s="178"/>
      <c r="IN196" s="178"/>
      <c r="IO196" s="178"/>
      <c r="IP196" s="178"/>
      <c r="IQ196" s="178"/>
      <c r="IR196" s="178"/>
      <c r="IS196" s="178"/>
      <c r="IT196" s="178"/>
      <c r="IU196" s="178"/>
      <c r="IV196" s="178"/>
      <c r="IW196" s="178"/>
      <c r="IX196" s="178"/>
      <c r="IY196" s="178"/>
      <c r="IZ196" s="178"/>
      <c r="JA196" s="178"/>
      <c r="JB196" s="178"/>
      <c r="JC196" s="178"/>
      <c r="JD196" s="178"/>
    </row>
    <row r="197">
      <c r="IE197" s="178"/>
      <c r="IF197" s="178"/>
      <c r="IG197" s="178"/>
      <c r="IH197" s="178"/>
      <c r="II197" s="178"/>
      <c r="IJ197" s="178"/>
      <c r="IK197" s="178"/>
      <c r="IL197" s="178"/>
      <c r="IM197" s="178"/>
      <c r="IN197" s="178"/>
      <c r="IO197" s="178"/>
      <c r="IP197" s="178"/>
      <c r="IQ197" s="178"/>
      <c r="IR197" s="178"/>
      <c r="IS197" s="178"/>
      <c r="IT197" s="178"/>
      <c r="IU197" s="178"/>
      <c r="IV197" s="178"/>
      <c r="IW197" s="178"/>
      <c r="IX197" s="178"/>
      <c r="IY197" s="178"/>
      <c r="IZ197" s="178"/>
      <c r="JA197" s="178"/>
      <c r="JB197" s="178"/>
      <c r="JC197" s="178"/>
      <c r="JD197" s="178"/>
    </row>
    <row r="198">
      <c r="IE198" s="178"/>
      <c r="IF198" s="178"/>
      <c r="IG198" s="178"/>
      <c r="IH198" s="178"/>
      <c r="II198" s="178"/>
      <c r="IJ198" s="178"/>
      <c r="IK198" s="178"/>
      <c r="IL198" s="178"/>
      <c r="IM198" s="178"/>
      <c r="IN198" s="178"/>
      <c r="IO198" s="178"/>
      <c r="IP198" s="178"/>
      <c r="IQ198" s="178"/>
      <c r="IR198" s="178"/>
      <c r="IS198" s="178"/>
      <c r="IT198" s="178"/>
      <c r="IU198" s="178"/>
      <c r="IV198" s="178"/>
      <c r="IW198" s="178"/>
      <c r="IX198" s="178"/>
      <c r="IY198" s="178"/>
      <c r="IZ198" s="178"/>
      <c r="JA198" s="178"/>
      <c r="JB198" s="178"/>
      <c r="JC198" s="178"/>
      <c r="JD198" s="178"/>
    </row>
    <row r="199">
      <c r="IE199" s="178"/>
      <c r="IF199" s="178"/>
      <c r="IG199" s="178"/>
      <c r="IH199" s="178"/>
      <c r="II199" s="178"/>
      <c r="IJ199" s="178"/>
      <c r="IK199" s="178"/>
      <c r="IL199" s="178"/>
      <c r="IM199" s="178"/>
      <c r="IN199" s="178"/>
      <c r="IO199" s="178"/>
      <c r="IP199" s="178"/>
      <c r="IQ199" s="178"/>
      <c r="IR199" s="178"/>
      <c r="IS199" s="178"/>
      <c r="IT199" s="178"/>
      <c r="IU199" s="178"/>
      <c r="IV199" s="178"/>
      <c r="IW199" s="178"/>
      <c r="IX199" s="178"/>
      <c r="IY199" s="178"/>
      <c r="IZ199" s="178"/>
      <c r="JA199" s="178"/>
      <c r="JB199" s="178"/>
      <c r="JC199" s="178"/>
      <c r="JD199" s="178"/>
    </row>
    <row r="200">
      <c r="IE200" s="178"/>
      <c r="IF200" s="178"/>
      <c r="IG200" s="178"/>
      <c r="IH200" s="178"/>
      <c r="II200" s="178"/>
      <c r="IJ200" s="178"/>
      <c r="IK200" s="178"/>
      <c r="IL200" s="178"/>
      <c r="IM200" s="178"/>
      <c r="IN200" s="178"/>
      <c r="IO200" s="178"/>
      <c r="IP200" s="178"/>
      <c r="IQ200" s="178"/>
      <c r="IR200" s="178"/>
      <c r="IS200" s="178"/>
      <c r="IT200" s="178"/>
      <c r="IU200" s="178"/>
      <c r="IV200" s="178"/>
      <c r="IW200" s="178"/>
      <c r="IX200" s="178"/>
      <c r="IY200" s="178"/>
      <c r="IZ200" s="178"/>
      <c r="JA200" s="178"/>
      <c r="JB200" s="178"/>
      <c r="JC200" s="178"/>
      <c r="JD200" s="178"/>
    </row>
    <row r="201">
      <c r="IE201" s="178"/>
      <c r="IF201" s="178"/>
      <c r="IG201" s="178"/>
      <c r="IH201" s="178"/>
      <c r="II201" s="178"/>
      <c r="IJ201" s="178"/>
      <c r="IK201" s="178"/>
      <c r="IL201" s="178"/>
      <c r="IM201" s="178"/>
      <c r="IN201" s="178"/>
      <c r="IO201" s="178"/>
      <c r="IP201" s="178"/>
      <c r="IQ201" s="178"/>
      <c r="IR201" s="178"/>
      <c r="IS201" s="178"/>
      <c r="IT201" s="178"/>
      <c r="IU201" s="178"/>
      <c r="IV201" s="178"/>
      <c r="IW201" s="178"/>
      <c r="IX201" s="178"/>
      <c r="IY201" s="178"/>
      <c r="IZ201" s="178"/>
      <c r="JA201" s="178"/>
      <c r="JB201" s="178"/>
      <c r="JC201" s="178"/>
      <c r="JD201" s="178"/>
    </row>
    <row r="202">
      <c r="IE202" s="178"/>
      <c r="IF202" s="178"/>
      <c r="IG202" s="178"/>
      <c r="IH202" s="178"/>
      <c r="II202" s="178"/>
      <c r="IJ202" s="178"/>
      <c r="IK202" s="178"/>
      <c r="IL202" s="178"/>
      <c r="IM202" s="178"/>
      <c r="IN202" s="178"/>
      <c r="IO202" s="178"/>
      <c r="IP202" s="178"/>
      <c r="IQ202" s="178"/>
      <c r="IR202" s="178"/>
      <c r="IS202" s="178"/>
      <c r="IT202" s="178"/>
      <c r="IU202" s="178"/>
      <c r="IV202" s="178"/>
      <c r="IW202" s="178"/>
      <c r="IX202" s="178"/>
      <c r="IY202" s="178"/>
      <c r="IZ202" s="178"/>
      <c r="JA202" s="178"/>
      <c r="JB202" s="178"/>
      <c r="JC202" s="178"/>
      <c r="JD202" s="178"/>
    </row>
    <row r="203">
      <c r="IE203" s="178"/>
      <c r="IF203" s="178"/>
      <c r="IG203" s="178"/>
      <c r="IH203" s="178"/>
      <c r="II203" s="178"/>
      <c r="IJ203" s="178"/>
      <c r="IK203" s="178"/>
      <c r="IL203" s="178"/>
      <c r="IM203" s="178"/>
      <c r="IN203" s="178"/>
      <c r="IO203" s="178"/>
      <c r="IP203" s="178"/>
      <c r="IQ203" s="178"/>
      <c r="IR203" s="178"/>
      <c r="IS203" s="178"/>
      <c r="IT203" s="178"/>
      <c r="IU203" s="178"/>
      <c r="IV203" s="178"/>
      <c r="IW203" s="178"/>
      <c r="IX203" s="178"/>
      <c r="IY203" s="178"/>
      <c r="IZ203" s="178"/>
      <c r="JA203" s="178"/>
      <c r="JB203" s="178"/>
      <c r="JC203" s="178"/>
      <c r="JD203" s="178"/>
    </row>
    <row r="204">
      <c r="IE204" s="178"/>
      <c r="IF204" s="178"/>
      <c r="IG204" s="178"/>
      <c r="IH204" s="178"/>
      <c r="II204" s="178"/>
      <c r="IJ204" s="178"/>
      <c r="IK204" s="178"/>
      <c r="IL204" s="178"/>
      <c r="IM204" s="178"/>
      <c r="IN204" s="178"/>
      <c r="IO204" s="178"/>
      <c r="IP204" s="178"/>
      <c r="IQ204" s="178"/>
      <c r="IR204" s="178"/>
      <c r="IS204" s="178"/>
      <c r="IT204" s="178"/>
      <c r="IU204" s="178"/>
      <c r="IV204" s="178"/>
      <c r="IW204" s="178"/>
      <c r="IX204" s="178"/>
      <c r="IY204" s="178"/>
      <c r="IZ204" s="178"/>
      <c r="JA204" s="178"/>
      <c r="JB204" s="178"/>
      <c r="JC204" s="178"/>
      <c r="JD204" s="178"/>
    </row>
    <row r="205">
      <c r="IE205" s="178"/>
      <c r="IF205" s="178"/>
      <c r="IG205" s="178"/>
      <c r="IH205" s="178"/>
      <c r="II205" s="178"/>
      <c r="IJ205" s="178"/>
      <c r="IK205" s="178"/>
      <c r="IL205" s="178"/>
      <c r="IM205" s="178"/>
      <c r="IN205" s="178"/>
      <c r="IO205" s="178"/>
      <c r="IP205" s="178"/>
      <c r="IQ205" s="178"/>
      <c r="IR205" s="178"/>
      <c r="IS205" s="178"/>
      <c r="IT205" s="178"/>
      <c r="IU205" s="178"/>
      <c r="IV205" s="178"/>
      <c r="IW205" s="178"/>
      <c r="IX205" s="178"/>
      <c r="IY205" s="178"/>
      <c r="IZ205" s="178"/>
      <c r="JA205" s="178"/>
      <c r="JB205" s="178"/>
      <c r="JC205" s="178"/>
      <c r="JD205" s="178"/>
    </row>
    <row r="206">
      <c r="IE206" s="178"/>
      <c r="IF206" s="178"/>
      <c r="IG206" s="178"/>
      <c r="IH206" s="178"/>
      <c r="II206" s="178"/>
      <c r="IJ206" s="178"/>
      <c r="IK206" s="178"/>
      <c r="IL206" s="178"/>
      <c r="IM206" s="178"/>
      <c r="IN206" s="178"/>
      <c r="IO206" s="178"/>
      <c r="IP206" s="178"/>
      <c r="IQ206" s="178"/>
      <c r="IR206" s="178"/>
      <c r="IS206" s="178"/>
      <c r="IT206" s="178"/>
      <c r="IU206" s="178"/>
      <c r="IV206" s="178"/>
      <c r="IW206" s="178"/>
      <c r="IX206" s="178"/>
      <c r="IY206" s="178"/>
      <c r="IZ206" s="178"/>
      <c r="JA206" s="178"/>
      <c r="JB206" s="178"/>
      <c r="JC206" s="178"/>
      <c r="JD206" s="178"/>
    </row>
    <row r="207">
      <c r="IE207" s="178"/>
      <c r="IF207" s="178"/>
      <c r="IG207" s="178"/>
      <c r="IH207" s="178"/>
      <c r="II207" s="178"/>
      <c r="IJ207" s="178"/>
      <c r="IK207" s="178"/>
      <c r="IL207" s="178"/>
      <c r="IM207" s="178"/>
      <c r="IN207" s="178"/>
      <c r="IO207" s="178"/>
      <c r="IP207" s="178"/>
      <c r="IQ207" s="178"/>
      <c r="IR207" s="178"/>
      <c r="IS207" s="178"/>
      <c r="IT207" s="178"/>
      <c r="IU207" s="178"/>
      <c r="IV207" s="178"/>
      <c r="IW207" s="178"/>
      <c r="IX207" s="178"/>
      <c r="IY207" s="178"/>
      <c r="IZ207" s="178"/>
      <c r="JA207" s="178"/>
      <c r="JB207" s="178"/>
      <c r="JC207" s="178"/>
      <c r="JD207" s="178"/>
    </row>
    <row r="208">
      <c r="IE208" s="178"/>
      <c r="IF208" s="178"/>
      <c r="IG208" s="178"/>
      <c r="IH208" s="178"/>
      <c r="II208" s="178"/>
      <c r="IJ208" s="178"/>
      <c r="IK208" s="178"/>
      <c r="IL208" s="178"/>
      <c r="IM208" s="178"/>
      <c r="IN208" s="178"/>
      <c r="IO208" s="178"/>
      <c r="IP208" s="178"/>
      <c r="IQ208" s="178"/>
      <c r="IR208" s="178"/>
      <c r="IS208" s="178"/>
      <c r="IT208" s="178"/>
      <c r="IU208" s="178"/>
      <c r="IV208" s="178"/>
      <c r="IW208" s="178"/>
      <c r="IX208" s="178"/>
      <c r="IY208" s="178"/>
      <c r="IZ208" s="178"/>
      <c r="JA208" s="178"/>
      <c r="JB208" s="178"/>
      <c r="JC208" s="178"/>
      <c r="JD208" s="178"/>
    </row>
    <row r="209">
      <c r="IE209" s="178"/>
      <c r="IF209" s="178"/>
      <c r="IG209" s="178"/>
      <c r="IH209" s="178"/>
      <c r="II209" s="178"/>
      <c r="IJ209" s="178"/>
      <c r="IK209" s="178"/>
      <c r="IL209" s="178"/>
      <c r="IM209" s="178"/>
      <c r="IN209" s="178"/>
      <c r="IO209" s="178"/>
      <c r="IP209" s="178"/>
      <c r="IQ209" s="178"/>
      <c r="IR209" s="178"/>
      <c r="IS209" s="178"/>
      <c r="IT209" s="178"/>
      <c r="IU209" s="178"/>
      <c r="IV209" s="178"/>
      <c r="IW209" s="178"/>
      <c r="IX209" s="178"/>
      <c r="IY209" s="178"/>
      <c r="IZ209" s="178"/>
      <c r="JA209" s="178"/>
      <c r="JB209" s="178"/>
      <c r="JC209" s="178"/>
      <c r="JD209" s="178"/>
    </row>
    <row r="210">
      <c r="IE210" s="178"/>
      <c r="IF210" s="178"/>
      <c r="IG210" s="178"/>
      <c r="IH210" s="178"/>
      <c r="II210" s="178"/>
      <c r="IJ210" s="178"/>
      <c r="IK210" s="178"/>
      <c r="IL210" s="178"/>
      <c r="IM210" s="178"/>
      <c r="IN210" s="178"/>
      <c r="IO210" s="178"/>
      <c r="IP210" s="178"/>
      <c r="IQ210" s="178"/>
      <c r="IR210" s="178"/>
      <c r="IS210" s="178"/>
      <c r="IT210" s="178"/>
      <c r="IU210" s="178"/>
      <c r="IV210" s="178"/>
      <c r="IW210" s="178"/>
      <c r="IX210" s="178"/>
      <c r="IY210" s="178"/>
      <c r="IZ210" s="178"/>
      <c r="JA210" s="178"/>
      <c r="JB210" s="178"/>
      <c r="JC210" s="178"/>
      <c r="JD210" s="178"/>
    </row>
    <row r="211">
      <c r="IE211" s="178"/>
      <c r="IF211" s="178"/>
      <c r="IG211" s="178"/>
      <c r="IH211" s="178"/>
      <c r="II211" s="178"/>
      <c r="IJ211" s="178"/>
      <c r="IK211" s="178"/>
      <c r="IL211" s="178"/>
      <c r="IM211" s="178"/>
      <c r="IN211" s="178"/>
      <c r="IO211" s="178"/>
      <c r="IP211" s="178"/>
      <c r="IQ211" s="178"/>
      <c r="IR211" s="178"/>
      <c r="IS211" s="178"/>
      <c r="IT211" s="178"/>
      <c r="IU211" s="178"/>
      <c r="IV211" s="178"/>
      <c r="IW211" s="178"/>
      <c r="IX211" s="178"/>
      <c r="IY211" s="178"/>
      <c r="IZ211" s="178"/>
      <c r="JA211" s="178"/>
      <c r="JB211" s="178"/>
      <c r="JC211" s="178"/>
      <c r="JD211" s="178"/>
    </row>
    <row r="212">
      <c r="IE212" s="178"/>
      <c r="IF212" s="178"/>
      <c r="IG212" s="178"/>
      <c r="IH212" s="178"/>
      <c r="II212" s="178"/>
      <c r="IJ212" s="178"/>
      <c r="IK212" s="178"/>
      <c r="IL212" s="178"/>
      <c r="IM212" s="178"/>
      <c r="IN212" s="178"/>
      <c r="IO212" s="178"/>
      <c r="IP212" s="178"/>
      <c r="IQ212" s="178"/>
      <c r="IR212" s="178"/>
      <c r="IS212" s="178"/>
      <c r="IT212" s="178"/>
      <c r="IU212" s="178"/>
      <c r="IV212" s="178"/>
      <c r="IW212" s="178"/>
      <c r="IX212" s="178"/>
      <c r="IY212" s="178"/>
      <c r="IZ212" s="178"/>
      <c r="JA212" s="178"/>
      <c r="JB212" s="178"/>
      <c r="JC212" s="178"/>
      <c r="JD212" s="178"/>
    </row>
    <row r="213">
      <c r="IE213" s="178"/>
      <c r="IF213" s="178"/>
      <c r="IG213" s="178"/>
      <c r="IH213" s="178"/>
      <c r="II213" s="178"/>
      <c r="IJ213" s="178"/>
      <c r="IK213" s="178"/>
      <c r="IL213" s="178"/>
      <c r="IM213" s="178"/>
      <c r="IN213" s="178"/>
      <c r="IO213" s="178"/>
      <c r="IP213" s="178"/>
      <c r="IQ213" s="178"/>
      <c r="IR213" s="178"/>
      <c r="IS213" s="178"/>
      <c r="IT213" s="178"/>
      <c r="IU213" s="178"/>
      <c r="IV213" s="178"/>
      <c r="IW213" s="178"/>
      <c r="IX213" s="178"/>
      <c r="IY213" s="178"/>
      <c r="IZ213" s="178"/>
      <c r="JA213" s="178"/>
      <c r="JB213" s="178"/>
      <c r="JC213" s="178"/>
      <c r="JD213" s="178"/>
    </row>
    <row r="214">
      <c r="IE214" s="178"/>
      <c r="IF214" s="178"/>
      <c r="IG214" s="178"/>
      <c r="IH214" s="178"/>
      <c r="II214" s="178"/>
      <c r="IJ214" s="178"/>
      <c r="IK214" s="178"/>
      <c r="IL214" s="178"/>
      <c r="IM214" s="178"/>
      <c r="IN214" s="178"/>
      <c r="IO214" s="178"/>
      <c r="IP214" s="178"/>
      <c r="IQ214" s="178"/>
      <c r="IR214" s="178"/>
      <c r="IS214" s="178"/>
      <c r="IT214" s="178"/>
      <c r="IU214" s="178"/>
      <c r="IV214" s="178"/>
      <c r="IW214" s="178"/>
      <c r="IX214" s="178"/>
      <c r="IY214" s="178"/>
      <c r="IZ214" s="178"/>
      <c r="JA214" s="178"/>
      <c r="JB214" s="178"/>
      <c r="JC214" s="178"/>
      <c r="JD214" s="178"/>
    </row>
    <row r="215">
      <c r="IE215" s="178"/>
      <c r="IF215" s="178"/>
      <c r="IG215" s="178"/>
      <c r="IH215" s="178"/>
      <c r="II215" s="178"/>
      <c r="IJ215" s="178"/>
      <c r="IK215" s="178"/>
      <c r="IL215" s="178"/>
      <c r="IM215" s="178"/>
      <c r="IN215" s="178"/>
      <c r="IO215" s="178"/>
      <c r="IP215" s="178"/>
      <c r="IQ215" s="178"/>
      <c r="IR215" s="178"/>
      <c r="IS215" s="178"/>
      <c r="IT215" s="178"/>
      <c r="IU215" s="178"/>
      <c r="IV215" s="178"/>
      <c r="IW215" s="178"/>
      <c r="IX215" s="178"/>
      <c r="IY215" s="178"/>
      <c r="IZ215" s="178"/>
      <c r="JA215" s="178"/>
      <c r="JB215" s="178"/>
      <c r="JC215" s="178"/>
      <c r="JD215" s="178"/>
    </row>
    <row r="216">
      <c r="IE216" s="178"/>
      <c r="IF216" s="178"/>
      <c r="IG216" s="178"/>
      <c r="IH216" s="178"/>
      <c r="II216" s="178"/>
      <c r="IJ216" s="178"/>
      <c r="IK216" s="178"/>
      <c r="IL216" s="178"/>
      <c r="IM216" s="178"/>
      <c r="IN216" s="178"/>
      <c r="IO216" s="178"/>
      <c r="IP216" s="178"/>
      <c r="IQ216" s="178"/>
      <c r="IR216" s="178"/>
      <c r="IS216" s="178"/>
      <c r="IT216" s="178"/>
      <c r="IU216" s="178"/>
      <c r="IV216" s="178"/>
      <c r="IW216" s="178"/>
      <c r="IX216" s="178"/>
      <c r="IY216" s="178"/>
      <c r="IZ216" s="178"/>
      <c r="JA216" s="178"/>
      <c r="JB216" s="178"/>
      <c r="JC216" s="178"/>
      <c r="JD216" s="178"/>
    </row>
    <row r="217">
      <c r="IE217" s="178"/>
      <c r="IF217" s="178"/>
      <c r="IG217" s="178"/>
      <c r="IH217" s="178"/>
      <c r="II217" s="178"/>
      <c r="IJ217" s="178"/>
      <c r="IK217" s="178"/>
      <c r="IL217" s="178"/>
      <c r="IM217" s="178"/>
      <c r="IN217" s="178"/>
      <c r="IO217" s="178"/>
      <c r="IP217" s="178"/>
      <c r="IQ217" s="178"/>
      <c r="IR217" s="178"/>
      <c r="IS217" s="178"/>
      <c r="IT217" s="178"/>
      <c r="IU217" s="178"/>
      <c r="IV217" s="178"/>
      <c r="IW217" s="178"/>
      <c r="IX217" s="178"/>
      <c r="IY217" s="178"/>
      <c r="IZ217" s="178"/>
      <c r="JA217" s="178"/>
      <c r="JB217" s="178"/>
      <c r="JC217" s="178"/>
      <c r="JD217" s="178"/>
    </row>
    <row r="218">
      <c r="IE218" s="178"/>
      <c r="IF218" s="178"/>
      <c r="IG218" s="178"/>
      <c r="IH218" s="178"/>
      <c r="II218" s="178"/>
      <c r="IJ218" s="178"/>
      <c r="IK218" s="178"/>
      <c r="IL218" s="178"/>
      <c r="IM218" s="178"/>
      <c r="IN218" s="178"/>
      <c r="IO218" s="178"/>
      <c r="IP218" s="178"/>
      <c r="IQ218" s="178"/>
      <c r="IR218" s="178"/>
      <c r="IS218" s="178"/>
      <c r="IT218" s="178"/>
      <c r="IU218" s="178"/>
      <c r="IV218" s="178"/>
      <c r="IW218" s="178"/>
      <c r="IX218" s="178"/>
      <c r="IY218" s="178"/>
      <c r="IZ218" s="178"/>
      <c r="JA218" s="178"/>
      <c r="JB218" s="178"/>
      <c r="JC218" s="178"/>
      <c r="JD218" s="178"/>
    </row>
    <row r="219">
      <c r="IE219" s="178"/>
      <c r="IF219" s="178"/>
      <c r="IG219" s="178"/>
      <c r="IH219" s="178"/>
      <c r="II219" s="178"/>
      <c r="IJ219" s="178"/>
      <c r="IK219" s="178"/>
      <c r="IL219" s="178"/>
      <c r="IM219" s="178"/>
      <c r="IN219" s="178"/>
      <c r="IO219" s="178"/>
      <c r="IP219" s="178"/>
      <c r="IQ219" s="178"/>
      <c r="IR219" s="178"/>
      <c r="IS219" s="178"/>
      <c r="IT219" s="178"/>
      <c r="IU219" s="178"/>
      <c r="IV219" s="178"/>
      <c r="IW219" s="178"/>
      <c r="IX219" s="178"/>
      <c r="IY219" s="178"/>
      <c r="IZ219" s="178"/>
      <c r="JA219" s="178"/>
      <c r="JB219" s="178"/>
      <c r="JC219" s="178"/>
      <c r="JD219" s="178"/>
    </row>
    <row r="220">
      <c r="IE220" s="178"/>
      <c r="IF220" s="178"/>
      <c r="IG220" s="178"/>
      <c r="IH220" s="178"/>
      <c r="II220" s="178"/>
      <c r="IJ220" s="178"/>
      <c r="IK220" s="178"/>
      <c r="IL220" s="178"/>
      <c r="IM220" s="178"/>
      <c r="IN220" s="178"/>
      <c r="IO220" s="178"/>
      <c r="IP220" s="178"/>
      <c r="IQ220" s="178"/>
      <c r="IR220" s="178"/>
      <c r="IS220" s="178"/>
      <c r="IT220" s="178"/>
      <c r="IU220" s="178"/>
      <c r="IV220" s="178"/>
      <c r="IW220" s="178"/>
      <c r="IX220" s="178"/>
      <c r="IY220" s="178"/>
      <c r="IZ220" s="178"/>
      <c r="JA220" s="178"/>
      <c r="JB220" s="178"/>
      <c r="JC220" s="178"/>
      <c r="JD220" s="178"/>
    </row>
    <row r="221">
      <c r="IE221" s="178"/>
      <c r="IF221" s="178"/>
      <c r="IG221" s="178"/>
      <c r="IH221" s="178"/>
      <c r="II221" s="178"/>
      <c r="IJ221" s="178"/>
      <c r="IK221" s="178"/>
      <c r="IL221" s="178"/>
      <c r="IM221" s="178"/>
      <c r="IN221" s="178"/>
      <c r="IO221" s="178"/>
      <c r="IP221" s="178"/>
      <c r="IQ221" s="178"/>
      <c r="IR221" s="178"/>
      <c r="IS221" s="178"/>
      <c r="IT221" s="178"/>
      <c r="IU221" s="178"/>
      <c r="IV221" s="178"/>
      <c r="IW221" s="178"/>
      <c r="IX221" s="178"/>
      <c r="IY221" s="178"/>
      <c r="IZ221" s="178"/>
      <c r="JA221" s="178"/>
      <c r="JB221" s="178"/>
      <c r="JC221" s="178"/>
      <c r="JD221" s="178"/>
    </row>
    <row r="222">
      <c r="IE222" s="178"/>
      <c r="IF222" s="178"/>
      <c r="IG222" s="178"/>
      <c r="IH222" s="178"/>
      <c r="II222" s="178"/>
      <c r="IJ222" s="178"/>
      <c r="IK222" s="178"/>
      <c r="IL222" s="178"/>
      <c r="IM222" s="178"/>
      <c r="IN222" s="178"/>
      <c r="IO222" s="178"/>
      <c r="IP222" s="178"/>
      <c r="IQ222" s="178"/>
      <c r="IR222" s="178"/>
      <c r="IS222" s="178"/>
      <c r="IT222" s="178"/>
      <c r="IU222" s="178"/>
      <c r="IV222" s="178"/>
      <c r="IW222" s="178"/>
      <c r="IX222" s="178"/>
      <c r="IY222" s="178"/>
      <c r="IZ222" s="178"/>
      <c r="JA222" s="178"/>
      <c r="JB222" s="178"/>
      <c r="JC222" s="178"/>
      <c r="JD222" s="178"/>
    </row>
    <row r="223">
      <c r="IE223" s="178"/>
      <c r="IF223" s="178"/>
      <c r="IG223" s="178"/>
      <c r="IH223" s="178"/>
      <c r="II223" s="178"/>
      <c r="IJ223" s="178"/>
      <c r="IK223" s="178"/>
      <c r="IL223" s="178"/>
      <c r="IM223" s="178"/>
      <c r="IN223" s="178"/>
      <c r="IO223" s="178"/>
      <c r="IP223" s="178"/>
      <c r="IQ223" s="178"/>
      <c r="IR223" s="178"/>
      <c r="IS223" s="178"/>
      <c r="IT223" s="178"/>
      <c r="IU223" s="178"/>
      <c r="IV223" s="178"/>
      <c r="IW223" s="178"/>
      <c r="IX223" s="178"/>
      <c r="IY223" s="178"/>
      <c r="IZ223" s="178"/>
      <c r="JA223" s="178"/>
      <c r="JB223" s="178"/>
      <c r="JC223" s="178"/>
      <c r="JD223" s="178"/>
    </row>
    <row r="224">
      <c r="IE224" s="178"/>
      <c r="IF224" s="178"/>
      <c r="IG224" s="178"/>
      <c r="IH224" s="178"/>
      <c r="II224" s="178"/>
      <c r="IJ224" s="178"/>
      <c r="IK224" s="178"/>
      <c r="IL224" s="178"/>
      <c r="IM224" s="178"/>
      <c r="IN224" s="178"/>
      <c r="IO224" s="178"/>
      <c r="IP224" s="178"/>
      <c r="IQ224" s="178"/>
      <c r="IR224" s="178"/>
      <c r="IS224" s="178"/>
      <c r="IT224" s="178"/>
      <c r="IU224" s="178"/>
      <c r="IV224" s="178"/>
      <c r="IW224" s="178"/>
      <c r="IX224" s="178"/>
      <c r="IY224" s="178"/>
      <c r="IZ224" s="178"/>
      <c r="JA224" s="178"/>
      <c r="JB224" s="178"/>
      <c r="JC224" s="178"/>
      <c r="JD224" s="178"/>
    </row>
    <row r="225">
      <c r="IE225" s="178"/>
      <c r="IF225" s="178"/>
      <c r="IG225" s="178"/>
      <c r="IH225" s="178"/>
      <c r="II225" s="178"/>
      <c r="IJ225" s="178"/>
      <c r="IK225" s="178"/>
      <c r="IL225" s="178"/>
      <c r="IM225" s="178"/>
      <c r="IN225" s="178"/>
      <c r="IO225" s="178"/>
      <c r="IP225" s="178"/>
      <c r="IQ225" s="178"/>
      <c r="IR225" s="178"/>
      <c r="IS225" s="178"/>
      <c r="IT225" s="178"/>
      <c r="IU225" s="178"/>
      <c r="IV225" s="178"/>
      <c r="IW225" s="178"/>
      <c r="IX225" s="178"/>
      <c r="IY225" s="178"/>
      <c r="IZ225" s="178"/>
      <c r="JA225" s="178"/>
      <c r="JB225" s="178"/>
      <c r="JC225" s="178"/>
      <c r="JD225" s="178"/>
    </row>
    <row r="226">
      <c r="IE226" s="178"/>
      <c r="IF226" s="178"/>
      <c r="IG226" s="178"/>
      <c r="IH226" s="178"/>
      <c r="II226" s="178"/>
      <c r="IJ226" s="178"/>
      <c r="IK226" s="178"/>
      <c r="IL226" s="178"/>
      <c r="IM226" s="178"/>
      <c r="IN226" s="178"/>
      <c r="IO226" s="178"/>
      <c r="IP226" s="178"/>
      <c r="IQ226" s="178"/>
      <c r="IR226" s="178"/>
      <c r="IS226" s="178"/>
      <c r="IT226" s="178"/>
      <c r="IU226" s="178"/>
      <c r="IV226" s="178"/>
      <c r="IW226" s="178"/>
      <c r="IX226" s="178"/>
      <c r="IY226" s="178"/>
      <c r="IZ226" s="178"/>
      <c r="JA226" s="178"/>
      <c r="JB226" s="178"/>
      <c r="JC226" s="178"/>
      <c r="JD226" s="178"/>
    </row>
    <row r="227">
      <c r="IE227" s="178"/>
      <c r="IF227" s="178"/>
      <c r="IG227" s="178"/>
      <c r="IH227" s="178"/>
      <c r="II227" s="178"/>
      <c r="IJ227" s="178"/>
      <c r="IK227" s="178"/>
      <c r="IL227" s="178"/>
      <c r="IM227" s="178"/>
      <c r="IN227" s="178"/>
      <c r="IO227" s="178"/>
      <c r="IP227" s="178"/>
      <c r="IQ227" s="178"/>
      <c r="IR227" s="178"/>
      <c r="IS227" s="178"/>
      <c r="IT227" s="178"/>
      <c r="IU227" s="178"/>
      <c r="IV227" s="178"/>
      <c r="IW227" s="178"/>
      <c r="IX227" s="178"/>
      <c r="IY227" s="178"/>
      <c r="IZ227" s="178"/>
      <c r="JA227" s="178"/>
      <c r="JB227" s="178"/>
      <c r="JC227" s="178"/>
      <c r="JD227" s="178"/>
    </row>
    <row r="228">
      <c r="IE228" s="178"/>
      <c r="IF228" s="178"/>
      <c r="IG228" s="178"/>
      <c r="IH228" s="178"/>
      <c r="II228" s="178"/>
      <c r="IJ228" s="178"/>
      <c r="IK228" s="178"/>
      <c r="IL228" s="178"/>
      <c r="IM228" s="178"/>
      <c r="IN228" s="178"/>
      <c r="IO228" s="178"/>
      <c r="IP228" s="178"/>
      <c r="IQ228" s="178"/>
      <c r="IR228" s="178"/>
      <c r="IS228" s="178"/>
      <c r="IT228" s="178"/>
      <c r="IU228" s="178"/>
      <c r="IV228" s="178"/>
      <c r="IW228" s="178"/>
      <c r="IX228" s="178"/>
      <c r="IY228" s="178"/>
      <c r="IZ228" s="178"/>
      <c r="JA228" s="178"/>
      <c r="JB228" s="178"/>
      <c r="JC228" s="178"/>
      <c r="JD228" s="178"/>
    </row>
    <row r="229">
      <c r="IE229" s="178"/>
      <c r="IF229" s="178"/>
      <c r="IG229" s="178"/>
      <c r="IH229" s="178"/>
      <c r="II229" s="178"/>
      <c r="IJ229" s="178"/>
      <c r="IK229" s="178"/>
      <c r="IL229" s="178"/>
      <c r="IM229" s="178"/>
      <c r="IN229" s="178"/>
      <c r="IO229" s="178"/>
      <c r="IP229" s="178"/>
      <c r="IQ229" s="178"/>
      <c r="IR229" s="178"/>
      <c r="IS229" s="178"/>
      <c r="IT229" s="178"/>
      <c r="IU229" s="178"/>
      <c r="IV229" s="178"/>
      <c r="IW229" s="178"/>
      <c r="IX229" s="178"/>
      <c r="IY229" s="178"/>
      <c r="IZ229" s="178"/>
      <c r="JA229" s="178"/>
      <c r="JB229" s="178"/>
      <c r="JC229" s="178"/>
      <c r="JD229" s="178"/>
    </row>
    <row r="230">
      <c r="IE230" s="178"/>
      <c r="IF230" s="178"/>
      <c r="IG230" s="178"/>
      <c r="IH230" s="178"/>
      <c r="II230" s="178"/>
      <c r="IJ230" s="178"/>
      <c r="IK230" s="178"/>
      <c r="IL230" s="178"/>
      <c r="IM230" s="178"/>
      <c r="IN230" s="178"/>
      <c r="IO230" s="178"/>
      <c r="IP230" s="178"/>
      <c r="IQ230" s="178"/>
      <c r="IR230" s="178"/>
      <c r="IS230" s="178"/>
      <c r="IT230" s="178"/>
      <c r="IU230" s="178"/>
      <c r="IV230" s="178"/>
      <c r="IW230" s="178"/>
      <c r="IX230" s="178"/>
      <c r="IY230" s="178"/>
      <c r="IZ230" s="178"/>
      <c r="JA230" s="178"/>
      <c r="JB230" s="178"/>
      <c r="JC230" s="178"/>
      <c r="JD230" s="178"/>
    </row>
    <row r="231">
      <c r="IE231" s="178"/>
      <c r="IF231" s="178"/>
      <c r="IG231" s="178"/>
      <c r="IH231" s="178"/>
      <c r="II231" s="178"/>
      <c r="IJ231" s="178"/>
      <c r="IK231" s="178"/>
      <c r="IL231" s="178"/>
      <c r="IM231" s="178"/>
      <c r="IN231" s="178"/>
      <c r="IO231" s="178"/>
      <c r="IP231" s="178"/>
      <c r="IQ231" s="178"/>
      <c r="IR231" s="178"/>
      <c r="IS231" s="178"/>
      <c r="IT231" s="178"/>
      <c r="IU231" s="178"/>
      <c r="IV231" s="178"/>
      <c r="IW231" s="178"/>
      <c r="IX231" s="178"/>
      <c r="IY231" s="178"/>
      <c r="IZ231" s="178"/>
      <c r="JA231" s="178"/>
      <c r="JB231" s="178"/>
      <c r="JC231" s="178"/>
      <c r="JD231" s="178"/>
    </row>
    <row r="232">
      <c r="IE232" s="178"/>
      <c r="IF232" s="178"/>
      <c r="IG232" s="178"/>
      <c r="IH232" s="178"/>
      <c r="II232" s="178"/>
      <c r="IJ232" s="178"/>
      <c r="IK232" s="178"/>
      <c r="IL232" s="178"/>
      <c r="IM232" s="178"/>
      <c r="IN232" s="178"/>
      <c r="IO232" s="178"/>
      <c r="IP232" s="178"/>
      <c r="IQ232" s="178"/>
      <c r="IR232" s="178"/>
      <c r="IS232" s="178"/>
      <c r="IT232" s="178"/>
      <c r="IU232" s="178"/>
      <c r="IV232" s="178"/>
      <c r="IW232" s="178"/>
      <c r="IX232" s="178"/>
      <c r="IY232" s="178"/>
      <c r="IZ232" s="178"/>
      <c r="JA232" s="178"/>
      <c r="JB232" s="178"/>
      <c r="JC232" s="178"/>
      <c r="JD232" s="178"/>
    </row>
    <row r="233">
      <c r="IE233" s="178"/>
      <c r="IF233" s="178"/>
      <c r="IG233" s="178"/>
      <c r="IH233" s="178"/>
      <c r="II233" s="178"/>
      <c r="IJ233" s="178"/>
      <c r="IK233" s="178"/>
      <c r="IL233" s="178"/>
      <c r="IM233" s="178"/>
      <c r="IN233" s="178"/>
      <c r="IO233" s="178"/>
      <c r="IP233" s="178"/>
      <c r="IQ233" s="178"/>
      <c r="IR233" s="178"/>
      <c r="IS233" s="178"/>
      <c r="IT233" s="178"/>
      <c r="IU233" s="178"/>
      <c r="IV233" s="178"/>
      <c r="IW233" s="178"/>
      <c r="IX233" s="178"/>
      <c r="IY233" s="178"/>
      <c r="IZ233" s="178"/>
      <c r="JA233" s="178"/>
      <c r="JB233" s="178"/>
      <c r="JC233" s="178"/>
      <c r="JD233" s="178"/>
    </row>
    <row r="234">
      <c r="IE234" s="178"/>
      <c r="IF234" s="178"/>
      <c r="IG234" s="178"/>
      <c r="IH234" s="178"/>
      <c r="II234" s="178"/>
      <c r="IJ234" s="178"/>
      <c r="IK234" s="178"/>
      <c r="IL234" s="178"/>
      <c r="IM234" s="178"/>
      <c r="IN234" s="178"/>
      <c r="IO234" s="178"/>
      <c r="IP234" s="178"/>
      <c r="IQ234" s="178"/>
      <c r="IR234" s="178"/>
      <c r="IS234" s="178"/>
      <c r="IT234" s="178"/>
      <c r="IU234" s="178"/>
      <c r="IV234" s="178"/>
      <c r="IW234" s="178"/>
      <c r="IX234" s="178"/>
      <c r="IY234" s="178"/>
      <c r="IZ234" s="178"/>
      <c r="JA234" s="178"/>
      <c r="JB234" s="178"/>
      <c r="JC234" s="178"/>
      <c r="JD234" s="178"/>
    </row>
    <row r="235">
      <c r="IE235" s="178"/>
      <c r="IF235" s="178"/>
      <c r="IG235" s="178"/>
      <c r="IH235" s="178"/>
      <c r="II235" s="178"/>
      <c r="IJ235" s="178"/>
      <c r="IK235" s="178"/>
      <c r="IL235" s="178"/>
      <c r="IM235" s="178"/>
      <c r="IN235" s="178"/>
      <c r="IO235" s="178"/>
      <c r="IP235" s="178"/>
      <c r="IQ235" s="178"/>
      <c r="IR235" s="178"/>
      <c r="IS235" s="178"/>
      <c r="IT235" s="178"/>
      <c r="IU235" s="178"/>
      <c r="IV235" s="178"/>
      <c r="IW235" s="178"/>
      <c r="IX235" s="178"/>
      <c r="IY235" s="178"/>
      <c r="IZ235" s="178"/>
      <c r="JA235" s="178"/>
      <c r="JB235" s="178"/>
      <c r="JC235" s="178"/>
      <c r="JD235" s="178"/>
    </row>
    <row r="236">
      <c r="IE236" s="178"/>
      <c r="IF236" s="178"/>
      <c r="IG236" s="178"/>
      <c r="IH236" s="178"/>
      <c r="II236" s="178"/>
      <c r="IJ236" s="178"/>
      <c r="IK236" s="178"/>
      <c r="IL236" s="178"/>
      <c r="IM236" s="178"/>
      <c r="IN236" s="178"/>
      <c r="IO236" s="178"/>
      <c r="IP236" s="178"/>
      <c r="IQ236" s="178"/>
      <c r="IR236" s="178"/>
      <c r="IS236" s="178"/>
      <c r="IT236" s="178"/>
      <c r="IU236" s="178"/>
      <c r="IV236" s="178"/>
      <c r="IW236" s="178"/>
      <c r="IX236" s="178"/>
      <c r="IY236" s="178"/>
      <c r="IZ236" s="178"/>
      <c r="JA236" s="178"/>
      <c r="JB236" s="178"/>
      <c r="JC236" s="178"/>
      <c r="JD236" s="178"/>
    </row>
    <row r="237">
      <c r="IE237" s="178"/>
      <c r="IF237" s="178"/>
      <c r="IG237" s="178"/>
      <c r="IH237" s="178"/>
      <c r="II237" s="178"/>
      <c r="IJ237" s="178"/>
      <c r="IK237" s="178"/>
      <c r="IL237" s="178"/>
      <c r="IM237" s="178"/>
      <c r="IN237" s="178"/>
      <c r="IO237" s="178"/>
      <c r="IP237" s="178"/>
      <c r="IQ237" s="178"/>
      <c r="IR237" s="178"/>
      <c r="IS237" s="178"/>
      <c r="IT237" s="178"/>
      <c r="IU237" s="178"/>
      <c r="IV237" s="178"/>
      <c r="IW237" s="178"/>
      <c r="IX237" s="178"/>
      <c r="IY237" s="178"/>
      <c r="IZ237" s="178"/>
      <c r="JA237" s="178"/>
      <c r="JB237" s="178"/>
      <c r="JC237" s="178"/>
      <c r="JD237" s="178"/>
    </row>
    <row r="238">
      <c r="IE238" s="178"/>
      <c r="IF238" s="178"/>
      <c r="IG238" s="178"/>
      <c r="IH238" s="178"/>
      <c r="II238" s="178"/>
      <c r="IJ238" s="178"/>
      <c r="IK238" s="178"/>
      <c r="IL238" s="178"/>
      <c r="IM238" s="178"/>
      <c r="IN238" s="178"/>
      <c r="IO238" s="178"/>
      <c r="IP238" s="178"/>
      <c r="IQ238" s="178"/>
      <c r="IR238" s="178"/>
      <c r="IS238" s="178"/>
      <c r="IT238" s="178"/>
      <c r="IU238" s="178"/>
      <c r="IV238" s="178"/>
      <c r="IW238" s="178"/>
      <c r="IX238" s="178"/>
      <c r="IY238" s="178"/>
      <c r="IZ238" s="178"/>
      <c r="JA238" s="178"/>
      <c r="JB238" s="178"/>
      <c r="JC238" s="178"/>
      <c r="JD238" s="178"/>
    </row>
    <row r="239">
      <c r="IE239" s="178"/>
      <c r="IF239" s="178"/>
      <c r="IG239" s="178"/>
      <c r="IH239" s="178"/>
      <c r="II239" s="178"/>
      <c r="IJ239" s="178"/>
      <c r="IK239" s="178"/>
      <c r="IL239" s="178"/>
      <c r="IM239" s="178"/>
      <c r="IN239" s="178"/>
      <c r="IO239" s="178"/>
      <c r="IP239" s="178"/>
      <c r="IQ239" s="178"/>
      <c r="IR239" s="178"/>
      <c r="IS239" s="178"/>
      <c r="IT239" s="178"/>
      <c r="IU239" s="178"/>
      <c r="IV239" s="178"/>
      <c r="IW239" s="178"/>
      <c r="IX239" s="178"/>
      <c r="IY239" s="178"/>
      <c r="IZ239" s="178"/>
      <c r="JA239" s="178"/>
      <c r="JB239" s="178"/>
      <c r="JC239" s="178"/>
      <c r="JD239" s="178"/>
    </row>
    <row r="240">
      <c r="IE240" s="178"/>
      <c r="IF240" s="178"/>
      <c r="IG240" s="178"/>
      <c r="IH240" s="178"/>
      <c r="II240" s="178"/>
      <c r="IJ240" s="178"/>
      <c r="IK240" s="178"/>
      <c r="IL240" s="178"/>
      <c r="IM240" s="178"/>
      <c r="IN240" s="178"/>
      <c r="IO240" s="178"/>
      <c r="IP240" s="178"/>
      <c r="IQ240" s="178"/>
      <c r="IR240" s="178"/>
      <c r="IS240" s="178"/>
      <c r="IT240" s="178"/>
      <c r="IU240" s="178"/>
      <c r="IV240" s="178"/>
      <c r="IW240" s="178"/>
      <c r="IX240" s="178"/>
      <c r="IY240" s="178"/>
      <c r="IZ240" s="178"/>
      <c r="JA240" s="178"/>
      <c r="JB240" s="178"/>
      <c r="JC240" s="178"/>
      <c r="JD240" s="178"/>
    </row>
    <row r="241">
      <c r="IE241" s="178"/>
      <c r="IF241" s="178"/>
      <c r="IG241" s="178"/>
      <c r="IH241" s="178"/>
      <c r="II241" s="178"/>
      <c r="IJ241" s="178"/>
      <c r="IK241" s="178"/>
      <c r="IL241" s="178"/>
      <c r="IM241" s="178"/>
      <c r="IN241" s="178"/>
      <c r="IO241" s="178"/>
      <c r="IP241" s="178"/>
      <c r="IQ241" s="178"/>
      <c r="IR241" s="178"/>
      <c r="IS241" s="178"/>
      <c r="IT241" s="178"/>
      <c r="IU241" s="178"/>
      <c r="IV241" s="178"/>
      <c r="IW241" s="178"/>
      <c r="IX241" s="178"/>
      <c r="IY241" s="178"/>
      <c r="IZ241" s="178"/>
      <c r="JA241" s="178"/>
      <c r="JB241" s="178"/>
      <c r="JC241" s="178"/>
      <c r="JD241" s="178"/>
    </row>
    <row r="242">
      <c r="IE242" s="178"/>
      <c r="IF242" s="178"/>
      <c r="IG242" s="178"/>
      <c r="IH242" s="178"/>
      <c r="II242" s="178"/>
      <c r="IJ242" s="178"/>
      <c r="IK242" s="178"/>
      <c r="IL242" s="178"/>
      <c r="IM242" s="178"/>
      <c r="IN242" s="178"/>
      <c r="IO242" s="178"/>
      <c r="IP242" s="178"/>
      <c r="IQ242" s="178"/>
      <c r="IR242" s="178"/>
      <c r="IS242" s="178"/>
      <c r="IT242" s="178"/>
      <c r="IU242" s="178"/>
      <c r="IV242" s="178"/>
      <c r="IW242" s="178"/>
      <c r="IX242" s="178"/>
      <c r="IY242" s="178"/>
      <c r="IZ242" s="178"/>
      <c r="JA242" s="178"/>
      <c r="JB242" s="178"/>
      <c r="JC242" s="178"/>
      <c r="JD242" s="178"/>
    </row>
    <row r="243">
      <c r="IE243" s="178"/>
      <c r="IF243" s="178"/>
      <c r="IG243" s="178"/>
      <c r="IH243" s="178"/>
      <c r="II243" s="178"/>
      <c r="IJ243" s="178"/>
      <c r="IK243" s="178"/>
      <c r="IL243" s="178"/>
      <c r="IM243" s="178"/>
      <c r="IN243" s="178"/>
      <c r="IO243" s="178"/>
      <c r="IP243" s="178"/>
      <c r="IQ243" s="178"/>
      <c r="IR243" s="178"/>
      <c r="IS243" s="178"/>
      <c r="IT243" s="178"/>
      <c r="IU243" s="178"/>
      <c r="IV243" s="178"/>
      <c r="IW243" s="178"/>
      <c r="IX243" s="178"/>
      <c r="IY243" s="178"/>
      <c r="IZ243" s="178"/>
      <c r="JA243" s="178"/>
      <c r="JB243" s="178"/>
      <c r="JC243" s="178"/>
      <c r="JD243" s="178"/>
    </row>
    <row r="244">
      <c r="IE244" s="178"/>
      <c r="IF244" s="178"/>
      <c r="IG244" s="178"/>
      <c r="IH244" s="178"/>
      <c r="II244" s="178"/>
      <c r="IJ244" s="178"/>
      <c r="IK244" s="178"/>
      <c r="IL244" s="178"/>
      <c r="IM244" s="178"/>
      <c r="IN244" s="178"/>
      <c r="IO244" s="178"/>
      <c r="IP244" s="178"/>
      <c r="IQ244" s="178"/>
      <c r="IR244" s="178"/>
      <c r="IS244" s="178"/>
      <c r="IT244" s="178"/>
      <c r="IU244" s="178"/>
      <c r="IV244" s="178"/>
      <c r="IW244" s="178"/>
      <c r="IX244" s="178"/>
      <c r="IY244" s="178"/>
      <c r="IZ244" s="178"/>
      <c r="JA244" s="178"/>
      <c r="JB244" s="178"/>
      <c r="JC244" s="178"/>
      <c r="JD244" s="178"/>
    </row>
    <row r="245">
      <c r="IE245" s="178"/>
      <c r="IF245" s="178"/>
      <c r="IG245" s="178"/>
      <c r="IH245" s="178"/>
      <c r="II245" s="178"/>
      <c r="IJ245" s="178"/>
      <c r="IK245" s="178"/>
      <c r="IL245" s="178"/>
      <c r="IM245" s="178"/>
      <c r="IN245" s="178"/>
      <c r="IO245" s="178"/>
      <c r="IP245" s="178"/>
      <c r="IQ245" s="178"/>
      <c r="IR245" s="178"/>
      <c r="IS245" s="178"/>
      <c r="IT245" s="178"/>
      <c r="IU245" s="178"/>
      <c r="IV245" s="178"/>
      <c r="IW245" s="178"/>
      <c r="IX245" s="178"/>
      <c r="IY245" s="178"/>
      <c r="IZ245" s="178"/>
      <c r="JA245" s="178"/>
      <c r="JB245" s="178"/>
      <c r="JC245" s="178"/>
      <c r="JD245" s="178"/>
    </row>
    <row r="246">
      <c r="IE246" s="178"/>
      <c r="IF246" s="178"/>
      <c r="IG246" s="178"/>
      <c r="IH246" s="178"/>
      <c r="II246" s="178"/>
      <c r="IJ246" s="178"/>
      <c r="IK246" s="178"/>
      <c r="IL246" s="178"/>
      <c r="IM246" s="178"/>
      <c r="IN246" s="178"/>
      <c r="IO246" s="178"/>
      <c r="IP246" s="178"/>
      <c r="IQ246" s="178"/>
      <c r="IR246" s="178"/>
      <c r="IS246" s="178"/>
      <c r="IT246" s="178"/>
      <c r="IU246" s="178"/>
      <c r="IV246" s="178"/>
      <c r="IW246" s="178"/>
      <c r="IX246" s="178"/>
      <c r="IY246" s="178"/>
      <c r="IZ246" s="178"/>
      <c r="JA246" s="178"/>
      <c r="JB246" s="178"/>
      <c r="JC246" s="178"/>
      <c r="JD246" s="178"/>
    </row>
    <row r="247">
      <c r="IE247" s="178"/>
      <c r="IF247" s="178"/>
      <c r="IG247" s="178"/>
      <c r="IH247" s="178"/>
      <c r="II247" s="178"/>
      <c r="IJ247" s="178"/>
      <c r="IK247" s="178"/>
      <c r="IL247" s="178"/>
      <c r="IM247" s="178"/>
      <c r="IN247" s="178"/>
      <c r="IO247" s="178"/>
      <c r="IP247" s="178"/>
      <c r="IQ247" s="178"/>
      <c r="IR247" s="178"/>
      <c r="IS247" s="178"/>
      <c r="IT247" s="178"/>
      <c r="IU247" s="178"/>
      <c r="IV247" s="178"/>
      <c r="IW247" s="178"/>
      <c r="IX247" s="178"/>
      <c r="IY247" s="178"/>
      <c r="IZ247" s="178"/>
      <c r="JA247" s="178"/>
      <c r="JB247" s="178"/>
      <c r="JC247" s="178"/>
      <c r="JD247" s="178"/>
    </row>
    <row r="248">
      <c r="IE248" s="178"/>
      <c r="IF248" s="178"/>
      <c r="IG248" s="178"/>
      <c r="IH248" s="178"/>
      <c r="II248" s="178"/>
      <c r="IJ248" s="178"/>
      <c r="IK248" s="178"/>
      <c r="IL248" s="178"/>
      <c r="IM248" s="178"/>
      <c r="IN248" s="178"/>
      <c r="IO248" s="178"/>
      <c r="IP248" s="178"/>
      <c r="IQ248" s="178"/>
      <c r="IR248" s="178"/>
      <c r="IS248" s="178"/>
      <c r="IT248" s="178"/>
      <c r="IU248" s="178"/>
      <c r="IV248" s="178"/>
      <c r="IW248" s="178"/>
      <c r="IX248" s="178"/>
      <c r="IY248" s="178"/>
      <c r="IZ248" s="178"/>
      <c r="JA248" s="178"/>
      <c r="JB248" s="178"/>
      <c r="JC248" s="178"/>
      <c r="JD248" s="178"/>
    </row>
    <row r="249">
      <c r="IE249" s="178"/>
      <c r="IF249" s="178"/>
      <c r="IG249" s="178"/>
      <c r="IH249" s="178"/>
      <c r="II249" s="178"/>
      <c r="IJ249" s="178"/>
      <c r="IK249" s="178"/>
      <c r="IL249" s="178"/>
      <c r="IM249" s="178"/>
      <c r="IN249" s="178"/>
      <c r="IO249" s="178"/>
      <c r="IP249" s="178"/>
      <c r="IQ249" s="178"/>
      <c r="IR249" s="178"/>
      <c r="IS249" s="178"/>
      <c r="IT249" s="178"/>
      <c r="IU249" s="178"/>
      <c r="IV249" s="178"/>
      <c r="IW249" s="178"/>
      <c r="IX249" s="178"/>
      <c r="IY249" s="178"/>
      <c r="IZ249" s="178"/>
      <c r="JA249" s="178"/>
      <c r="JB249" s="178"/>
      <c r="JC249" s="178"/>
      <c r="JD249" s="178"/>
    </row>
    <row r="250">
      <c r="IE250" s="178"/>
      <c r="IF250" s="178"/>
      <c r="IG250" s="178"/>
      <c r="IH250" s="178"/>
      <c r="II250" s="178"/>
      <c r="IJ250" s="178"/>
      <c r="IK250" s="178"/>
      <c r="IL250" s="178"/>
      <c r="IM250" s="178"/>
      <c r="IN250" s="178"/>
      <c r="IO250" s="178"/>
      <c r="IP250" s="178"/>
      <c r="IQ250" s="178"/>
      <c r="IR250" s="178"/>
      <c r="IS250" s="178"/>
      <c r="IT250" s="178"/>
      <c r="IU250" s="178"/>
      <c r="IV250" s="178"/>
      <c r="IW250" s="178"/>
      <c r="IX250" s="178"/>
      <c r="IY250" s="178"/>
      <c r="IZ250" s="178"/>
      <c r="JA250" s="178"/>
      <c r="JB250" s="178"/>
      <c r="JC250" s="178"/>
      <c r="JD250" s="178"/>
    </row>
    <row r="251">
      <c r="IE251" s="178"/>
      <c r="IF251" s="178"/>
      <c r="IG251" s="178"/>
      <c r="IH251" s="178"/>
      <c r="II251" s="178"/>
      <c r="IJ251" s="178"/>
      <c r="IK251" s="178"/>
      <c r="IL251" s="178"/>
      <c r="IM251" s="178"/>
      <c r="IN251" s="178"/>
      <c r="IO251" s="178"/>
      <c r="IP251" s="178"/>
      <c r="IQ251" s="178"/>
      <c r="IR251" s="178"/>
      <c r="IS251" s="178"/>
      <c r="IT251" s="178"/>
      <c r="IU251" s="178"/>
      <c r="IV251" s="178"/>
      <c r="IW251" s="178"/>
      <c r="IX251" s="178"/>
      <c r="IY251" s="178"/>
      <c r="IZ251" s="178"/>
      <c r="JA251" s="178"/>
      <c r="JB251" s="178"/>
      <c r="JC251" s="178"/>
      <c r="JD251" s="178"/>
    </row>
    <row r="252">
      <c r="IE252" s="178"/>
      <c r="IF252" s="178"/>
      <c r="IG252" s="178"/>
      <c r="IH252" s="178"/>
      <c r="II252" s="178"/>
      <c r="IJ252" s="178"/>
      <c r="IK252" s="178"/>
      <c r="IL252" s="178"/>
      <c r="IM252" s="178"/>
      <c r="IN252" s="178"/>
      <c r="IO252" s="178"/>
      <c r="IP252" s="178"/>
      <c r="IQ252" s="178"/>
      <c r="IR252" s="178"/>
      <c r="IS252" s="178"/>
      <c r="IT252" s="178"/>
      <c r="IU252" s="178"/>
      <c r="IV252" s="178"/>
      <c r="IW252" s="178"/>
      <c r="IX252" s="178"/>
      <c r="IY252" s="178"/>
      <c r="IZ252" s="178"/>
      <c r="JA252" s="178"/>
      <c r="JB252" s="178"/>
      <c r="JC252" s="178"/>
      <c r="JD252" s="178"/>
    </row>
    <row r="253">
      <c r="IE253" s="178"/>
      <c r="IF253" s="178"/>
      <c r="IG253" s="178"/>
      <c r="IH253" s="178"/>
      <c r="II253" s="178"/>
      <c r="IJ253" s="178"/>
      <c r="IK253" s="178"/>
      <c r="IL253" s="178"/>
      <c r="IM253" s="178"/>
      <c r="IN253" s="178"/>
      <c r="IO253" s="178"/>
      <c r="IP253" s="178"/>
      <c r="IQ253" s="178"/>
      <c r="IR253" s="178"/>
      <c r="IS253" s="178"/>
      <c r="IT253" s="178"/>
      <c r="IU253" s="178"/>
      <c r="IV253" s="178"/>
      <c r="IW253" s="178"/>
      <c r="IX253" s="178"/>
      <c r="IY253" s="178"/>
      <c r="IZ253" s="178"/>
      <c r="JA253" s="178"/>
      <c r="JB253" s="178"/>
      <c r="JC253" s="178"/>
      <c r="JD253" s="178"/>
    </row>
    <row r="254">
      <c r="IE254" s="178"/>
      <c r="IF254" s="178"/>
      <c r="IG254" s="178"/>
      <c r="IH254" s="178"/>
      <c r="II254" s="178"/>
      <c r="IJ254" s="178"/>
      <c r="IK254" s="178"/>
      <c r="IL254" s="178"/>
      <c r="IM254" s="178"/>
      <c r="IN254" s="178"/>
      <c r="IO254" s="178"/>
      <c r="IP254" s="178"/>
      <c r="IQ254" s="178"/>
      <c r="IR254" s="178"/>
      <c r="IS254" s="178"/>
      <c r="IT254" s="178"/>
      <c r="IU254" s="178"/>
      <c r="IV254" s="178"/>
      <c r="IW254" s="178"/>
      <c r="IX254" s="178"/>
      <c r="IY254" s="178"/>
      <c r="IZ254" s="178"/>
      <c r="JA254" s="178"/>
      <c r="JB254" s="178"/>
      <c r="JC254" s="178"/>
      <c r="JD254" s="178"/>
    </row>
    <row r="255">
      <c r="IE255" s="178"/>
      <c r="IF255" s="178"/>
      <c r="IG255" s="178"/>
      <c r="IH255" s="178"/>
      <c r="II255" s="178"/>
      <c r="IJ255" s="178"/>
      <c r="IK255" s="178"/>
      <c r="IL255" s="178"/>
      <c r="IM255" s="178"/>
      <c r="IN255" s="178"/>
      <c r="IO255" s="178"/>
      <c r="IP255" s="178"/>
      <c r="IQ255" s="178"/>
      <c r="IR255" s="178"/>
      <c r="IS255" s="178"/>
      <c r="IT255" s="178"/>
      <c r="IU255" s="178"/>
      <c r="IV255" s="178"/>
      <c r="IW255" s="178"/>
      <c r="IX255" s="178"/>
      <c r="IY255" s="178"/>
      <c r="IZ255" s="178"/>
      <c r="JA255" s="178"/>
      <c r="JB255" s="178"/>
      <c r="JC255" s="178"/>
      <c r="JD255" s="178"/>
    </row>
    <row r="256">
      <c r="IE256" s="178"/>
      <c r="IF256" s="178"/>
      <c r="IG256" s="178"/>
      <c r="IH256" s="178"/>
      <c r="II256" s="178"/>
      <c r="IJ256" s="178"/>
      <c r="IK256" s="178"/>
      <c r="IL256" s="178"/>
      <c r="IM256" s="178"/>
      <c r="IN256" s="178"/>
      <c r="IO256" s="178"/>
      <c r="IP256" s="178"/>
      <c r="IQ256" s="178"/>
      <c r="IR256" s="178"/>
      <c r="IS256" s="178"/>
      <c r="IT256" s="178"/>
      <c r="IU256" s="178"/>
      <c r="IV256" s="178"/>
      <c r="IW256" s="178"/>
      <c r="IX256" s="178"/>
      <c r="IY256" s="178"/>
      <c r="IZ256" s="178"/>
      <c r="JA256" s="178"/>
      <c r="JB256" s="178"/>
      <c r="JC256" s="178"/>
      <c r="JD256" s="178"/>
    </row>
    <row r="257">
      <c r="IE257" s="178"/>
      <c r="IF257" s="178"/>
      <c r="IG257" s="178"/>
      <c r="IH257" s="178"/>
      <c r="II257" s="178"/>
      <c r="IJ257" s="178"/>
      <c r="IK257" s="178"/>
      <c r="IL257" s="178"/>
      <c r="IM257" s="178"/>
      <c r="IN257" s="178"/>
      <c r="IO257" s="178"/>
      <c r="IP257" s="178"/>
      <c r="IQ257" s="178"/>
      <c r="IR257" s="178"/>
      <c r="IS257" s="178"/>
      <c r="IT257" s="178"/>
      <c r="IU257" s="178"/>
      <c r="IV257" s="178"/>
      <c r="IW257" s="178"/>
      <c r="IX257" s="178"/>
      <c r="IY257" s="178"/>
      <c r="IZ257" s="178"/>
      <c r="JA257" s="178"/>
      <c r="JB257" s="178"/>
      <c r="JC257" s="178"/>
      <c r="JD257" s="178"/>
    </row>
    <row r="258">
      <c r="IE258" s="178"/>
      <c r="IF258" s="178"/>
      <c r="IG258" s="178"/>
      <c r="IH258" s="178"/>
      <c r="II258" s="178"/>
      <c r="IJ258" s="178"/>
      <c r="IK258" s="178"/>
      <c r="IL258" s="178"/>
      <c r="IM258" s="178"/>
      <c r="IN258" s="178"/>
      <c r="IO258" s="178"/>
      <c r="IP258" s="178"/>
      <c r="IQ258" s="178"/>
      <c r="IR258" s="178"/>
      <c r="IS258" s="178"/>
      <c r="IT258" s="178"/>
      <c r="IU258" s="178"/>
      <c r="IV258" s="178"/>
      <c r="IW258" s="178"/>
      <c r="IX258" s="178"/>
      <c r="IY258" s="178"/>
      <c r="IZ258" s="178"/>
      <c r="JA258" s="178"/>
      <c r="JB258" s="178"/>
      <c r="JC258" s="178"/>
      <c r="JD258" s="178"/>
    </row>
    <row r="259">
      <c r="IE259" s="178"/>
      <c r="IF259" s="178"/>
      <c r="IG259" s="178"/>
      <c r="IH259" s="178"/>
      <c r="II259" s="178"/>
      <c r="IJ259" s="178"/>
      <c r="IK259" s="178"/>
      <c r="IL259" s="178"/>
      <c r="IM259" s="178"/>
      <c r="IN259" s="178"/>
      <c r="IO259" s="178"/>
      <c r="IP259" s="178"/>
      <c r="IQ259" s="178"/>
      <c r="IR259" s="178"/>
      <c r="IS259" s="178"/>
      <c r="IT259" s="178"/>
      <c r="IU259" s="178"/>
      <c r="IV259" s="178"/>
      <c r="IW259" s="178"/>
      <c r="IX259" s="178"/>
      <c r="IY259" s="178"/>
      <c r="IZ259" s="178"/>
      <c r="JA259" s="178"/>
      <c r="JB259" s="178"/>
      <c r="JC259" s="178"/>
      <c r="JD259" s="178"/>
    </row>
    <row r="260">
      <c r="IE260" s="178"/>
      <c r="IF260" s="178"/>
      <c r="IG260" s="178"/>
      <c r="IH260" s="178"/>
      <c r="II260" s="178"/>
      <c r="IJ260" s="178"/>
      <c r="IK260" s="178"/>
      <c r="IL260" s="178"/>
      <c r="IM260" s="178"/>
      <c r="IN260" s="178"/>
      <c r="IO260" s="178"/>
      <c r="IP260" s="178"/>
      <c r="IQ260" s="178"/>
      <c r="IR260" s="178"/>
      <c r="IS260" s="178"/>
      <c r="IT260" s="178"/>
      <c r="IU260" s="178"/>
      <c r="IV260" s="178"/>
      <c r="IW260" s="178"/>
      <c r="IX260" s="178"/>
      <c r="IY260" s="178"/>
      <c r="IZ260" s="178"/>
      <c r="JA260" s="178"/>
      <c r="JB260" s="178"/>
      <c r="JC260" s="178"/>
      <c r="JD260" s="178"/>
    </row>
    <row r="261">
      <c r="IE261" s="178"/>
      <c r="IF261" s="178"/>
      <c r="IG261" s="178"/>
      <c r="IH261" s="178"/>
      <c r="II261" s="178"/>
      <c r="IJ261" s="178"/>
      <c r="IK261" s="178"/>
      <c r="IL261" s="178"/>
      <c r="IM261" s="178"/>
      <c r="IN261" s="178"/>
      <c r="IO261" s="178"/>
      <c r="IP261" s="178"/>
      <c r="IQ261" s="178"/>
      <c r="IR261" s="178"/>
      <c r="IS261" s="178"/>
      <c r="IT261" s="178"/>
      <c r="IU261" s="178"/>
      <c r="IV261" s="178"/>
      <c r="IW261" s="178"/>
      <c r="IX261" s="178"/>
      <c r="IY261" s="178"/>
      <c r="IZ261" s="178"/>
      <c r="JA261" s="178"/>
      <c r="JB261" s="178"/>
      <c r="JC261" s="178"/>
      <c r="JD261" s="178"/>
    </row>
    <row r="262">
      <c r="IE262" s="178"/>
      <c r="IF262" s="178"/>
      <c r="IG262" s="178"/>
      <c r="IH262" s="178"/>
      <c r="II262" s="178"/>
      <c r="IJ262" s="178"/>
      <c r="IK262" s="178"/>
      <c r="IL262" s="178"/>
      <c r="IM262" s="178"/>
      <c r="IN262" s="178"/>
      <c r="IO262" s="178"/>
      <c r="IP262" s="178"/>
      <c r="IQ262" s="178"/>
      <c r="IR262" s="178"/>
      <c r="IS262" s="178"/>
      <c r="IT262" s="178"/>
      <c r="IU262" s="178"/>
      <c r="IV262" s="178"/>
      <c r="IW262" s="178"/>
      <c r="IX262" s="178"/>
      <c r="IY262" s="178"/>
      <c r="IZ262" s="178"/>
      <c r="JA262" s="178"/>
      <c r="JB262" s="178"/>
      <c r="JC262" s="178"/>
      <c r="JD262" s="178"/>
    </row>
    <row r="263">
      <c r="IE263" s="178"/>
      <c r="IF263" s="178"/>
      <c r="IG263" s="178"/>
      <c r="IH263" s="178"/>
      <c r="II263" s="178"/>
      <c r="IJ263" s="178"/>
      <c r="IK263" s="178"/>
      <c r="IL263" s="178"/>
      <c r="IM263" s="178"/>
      <c r="IN263" s="178"/>
      <c r="IO263" s="178"/>
      <c r="IP263" s="178"/>
      <c r="IQ263" s="178"/>
      <c r="IR263" s="178"/>
      <c r="IS263" s="178"/>
      <c r="IT263" s="178"/>
      <c r="IU263" s="178"/>
      <c r="IV263" s="178"/>
      <c r="IW263" s="178"/>
      <c r="IX263" s="178"/>
      <c r="IY263" s="178"/>
      <c r="IZ263" s="178"/>
      <c r="JA263" s="178"/>
      <c r="JB263" s="178"/>
      <c r="JC263" s="178"/>
      <c r="JD263" s="178"/>
    </row>
    <row r="264">
      <c r="IE264" s="178"/>
      <c r="IF264" s="178"/>
      <c r="IG264" s="178"/>
      <c r="IH264" s="178"/>
      <c r="II264" s="178"/>
      <c r="IJ264" s="178"/>
      <c r="IK264" s="178"/>
      <c r="IL264" s="178"/>
      <c r="IM264" s="178"/>
      <c r="IN264" s="178"/>
      <c r="IO264" s="178"/>
      <c r="IP264" s="178"/>
      <c r="IQ264" s="178"/>
      <c r="IR264" s="178"/>
      <c r="IS264" s="178"/>
      <c r="IT264" s="178"/>
      <c r="IU264" s="178"/>
      <c r="IV264" s="178"/>
      <c r="IW264" s="178"/>
      <c r="IX264" s="178"/>
      <c r="IY264" s="178"/>
      <c r="IZ264" s="178"/>
      <c r="JA264" s="178"/>
      <c r="JB264" s="178"/>
      <c r="JC264" s="178"/>
      <c r="JD264" s="178"/>
    </row>
    <row r="265">
      <c r="IE265" s="178"/>
      <c r="IF265" s="178"/>
      <c r="IG265" s="178"/>
      <c r="IH265" s="178"/>
      <c r="II265" s="178"/>
      <c r="IJ265" s="178"/>
      <c r="IK265" s="178"/>
      <c r="IL265" s="178"/>
      <c r="IM265" s="178"/>
      <c r="IN265" s="178"/>
      <c r="IO265" s="178"/>
      <c r="IP265" s="178"/>
      <c r="IQ265" s="178"/>
      <c r="IR265" s="178"/>
      <c r="IS265" s="178"/>
      <c r="IT265" s="178"/>
      <c r="IU265" s="178"/>
      <c r="IV265" s="178"/>
      <c r="IW265" s="178"/>
      <c r="IX265" s="178"/>
      <c r="IY265" s="178"/>
      <c r="IZ265" s="178"/>
      <c r="JA265" s="178"/>
      <c r="JB265" s="178"/>
      <c r="JC265" s="178"/>
      <c r="JD265" s="178"/>
    </row>
    <row r="266">
      <c r="IE266" s="178"/>
      <c r="IF266" s="178"/>
      <c r="IG266" s="178"/>
      <c r="IH266" s="178"/>
      <c r="II266" s="178"/>
      <c r="IJ266" s="178"/>
      <c r="IK266" s="178"/>
      <c r="IL266" s="178"/>
      <c r="IM266" s="178"/>
      <c r="IN266" s="178"/>
      <c r="IO266" s="178"/>
      <c r="IP266" s="178"/>
      <c r="IQ266" s="178"/>
      <c r="IR266" s="178"/>
      <c r="IS266" s="178"/>
      <c r="IT266" s="178"/>
      <c r="IU266" s="178"/>
      <c r="IV266" s="178"/>
      <c r="IW266" s="178"/>
      <c r="IX266" s="178"/>
      <c r="IY266" s="178"/>
      <c r="IZ266" s="178"/>
      <c r="JA266" s="178"/>
      <c r="JB266" s="178"/>
      <c r="JC266" s="178"/>
      <c r="JD266" s="178"/>
    </row>
    <row r="267">
      <c r="IE267" s="178"/>
      <c r="IF267" s="178"/>
      <c r="IG267" s="178"/>
      <c r="IH267" s="178"/>
      <c r="II267" s="178"/>
      <c r="IJ267" s="178"/>
      <c r="IK267" s="178"/>
      <c r="IL267" s="178"/>
      <c r="IM267" s="178"/>
      <c r="IN267" s="178"/>
      <c r="IO267" s="178"/>
      <c r="IP267" s="178"/>
      <c r="IQ267" s="178"/>
      <c r="IR267" s="178"/>
      <c r="IS267" s="178"/>
      <c r="IT267" s="178"/>
      <c r="IU267" s="178"/>
      <c r="IV267" s="178"/>
      <c r="IW267" s="178"/>
      <c r="IX267" s="178"/>
      <c r="IY267" s="178"/>
      <c r="IZ267" s="178"/>
      <c r="JA267" s="178"/>
      <c r="JB267" s="178"/>
      <c r="JC267" s="178"/>
      <c r="JD267" s="178"/>
    </row>
    <row r="268">
      <c r="IE268" s="178"/>
      <c r="IF268" s="178"/>
      <c r="IG268" s="178"/>
      <c r="IH268" s="178"/>
      <c r="II268" s="178"/>
      <c r="IJ268" s="178"/>
      <c r="IK268" s="178"/>
      <c r="IL268" s="178"/>
      <c r="IM268" s="178"/>
      <c r="IN268" s="178"/>
      <c r="IO268" s="178"/>
      <c r="IP268" s="178"/>
      <c r="IQ268" s="178"/>
      <c r="IR268" s="178"/>
      <c r="IS268" s="178"/>
      <c r="IT268" s="178"/>
      <c r="IU268" s="178"/>
      <c r="IV268" s="178"/>
      <c r="IW268" s="178"/>
      <c r="IX268" s="178"/>
      <c r="IY268" s="178"/>
      <c r="IZ268" s="178"/>
      <c r="JA268" s="178"/>
      <c r="JB268" s="178"/>
      <c r="JC268" s="178"/>
      <c r="JD268" s="178"/>
    </row>
    <row r="269">
      <c r="IE269" s="178"/>
      <c r="IF269" s="178"/>
      <c r="IG269" s="178"/>
      <c r="IH269" s="178"/>
      <c r="II269" s="178"/>
      <c r="IJ269" s="178"/>
      <c r="IK269" s="178"/>
      <c r="IL269" s="178"/>
      <c r="IM269" s="178"/>
      <c r="IN269" s="178"/>
      <c r="IO269" s="178"/>
      <c r="IP269" s="178"/>
      <c r="IQ269" s="178"/>
      <c r="IR269" s="178"/>
      <c r="IS269" s="178"/>
      <c r="IT269" s="178"/>
      <c r="IU269" s="178"/>
      <c r="IV269" s="178"/>
      <c r="IW269" s="178"/>
      <c r="IX269" s="178"/>
      <c r="IY269" s="178"/>
      <c r="IZ269" s="178"/>
      <c r="JA269" s="178"/>
      <c r="JB269" s="178"/>
      <c r="JC269" s="178"/>
      <c r="JD269" s="178"/>
    </row>
    <row r="270">
      <c r="IE270" s="178"/>
      <c r="IF270" s="178"/>
      <c r="IG270" s="178"/>
      <c r="IH270" s="178"/>
      <c r="II270" s="178"/>
      <c r="IJ270" s="178"/>
      <c r="IK270" s="178"/>
      <c r="IL270" s="178"/>
      <c r="IM270" s="178"/>
      <c r="IN270" s="178"/>
      <c r="IO270" s="178"/>
      <c r="IP270" s="178"/>
      <c r="IQ270" s="178"/>
      <c r="IR270" s="178"/>
      <c r="IS270" s="178"/>
      <c r="IT270" s="178"/>
      <c r="IU270" s="178"/>
      <c r="IV270" s="178"/>
      <c r="IW270" s="178"/>
      <c r="IX270" s="178"/>
      <c r="IY270" s="178"/>
      <c r="IZ270" s="178"/>
      <c r="JA270" s="178"/>
      <c r="JB270" s="178"/>
      <c r="JC270" s="178"/>
      <c r="JD270" s="178"/>
    </row>
    <row r="271">
      <c r="IE271" s="178"/>
      <c r="IF271" s="178"/>
      <c r="IG271" s="178"/>
      <c r="IH271" s="178"/>
      <c r="II271" s="178"/>
      <c r="IJ271" s="178"/>
      <c r="IK271" s="178"/>
      <c r="IL271" s="178"/>
      <c r="IM271" s="178"/>
      <c r="IN271" s="178"/>
      <c r="IO271" s="178"/>
      <c r="IP271" s="178"/>
      <c r="IQ271" s="178"/>
      <c r="IR271" s="178"/>
      <c r="IS271" s="178"/>
      <c r="IT271" s="178"/>
      <c r="IU271" s="178"/>
      <c r="IV271" s="178"/>
      <c r="IW271" s="178"/>
      <c r="IX271" s="178"/>
      <c r="IY271" s="178"/>
      <c r="IZ271" s="178"/>
      <c r="JA271" s="178"/>
      <c r="JB271" s="178"/>
      <c r="JC271" s="178"/>
      <c r="JD271" s="178"/>
    </row>
    <row r="272">
      <c r="IE272" s="178"/>
      <c r="IF272" s="178"/>
      <c r="IG272" s="178"/>
      <c r="IH272" s="178"/>
      <c r="II272" s="178"/>
      <c r="IJ272" s="178"/>
      <c r="IK272" s="178"/>
      <c r="IL272" s="178"/>
      <c r="IM272" s="178"/>
      <c r="IN272" s="178"/>
      <c r="IO272" s="178"/>
      <c r="IP272" s="178"/>
      <c r="IQ272" s="178"/>
      <c r="IR272" s="178"/>
      <c r="IS272" s="178"/>
      <c r="IT272" s="178"/>
      <c r="IU272" s="178"/>
      <c r="IV272" s="178"/>
      <c r="IW272" s="178"/>
      <c r="IX272" s="178"/>
      <c r="IY272" s="178"/>
      <c r="IZ272" s="178"/>
      <c r="JA272" s="178"/>
      <c r="JB272" s="178"/>
      <c r="JC272" s="178"/>
      <c r="JD272" s="178"/>
    </row>
    <row r="273">
      <c r="IE273" s="178"/>
      <c r="IF273" s="178"/>
      <c r="IG273" s="178"/>
      <c r="IH273" s="178"/>
      <c r="II273" s="178"/>
      <c r="IJ273" s="178"/>
      <c r="IK273" s="178"/>
      <c r="IL273" s="178"/>
      <c r="IM273" s="178"/>
      <c r="IN273" s="178"/>
      <c r="IO273" s="178"/>
      <c r="IP273" s="178"/>
      <c r="IQ273" s="178"/>
      <c r="IR273" s="178"/>
      <c r="IS273" s="178"/>
      <c r="IT273" s="178"/>
      <c r="IU273" s="178"/>
      <c r="IV273" s="178"/>
      <c r="IW273" s="178"/>
      <c r="IX273" s="178"/>
      <c r="IY273" s="178"/>
      <c r="IZ273" s="178"/>
      <c r="JA273" s="178"/>
      <c r="JB273" s="178"/>
      <c r="JC273" s="178"/>
      <c r="JD273" s="178"/>
    </row>
    <row r="274">
      <c r="IE274" s="178"/>
      <c r="IF274" s="178"/>
      <c r="IG274" s="178"/>
      <c r="IH274" s="178"/>
      <c r="II274" s="178"/>
      <c r="IJ274" s="178"/>
      <c r="IK274" s="178"/>
      <c r="IL274" s="178"/>
      <c r="IM274" s="178"/>
      <c r="IN274" s="178"/>
      <c r="IO274" s="178"/>
      <c r="IP274" s="178"/>
      <c r="IQ274" s="178"/>
      <c r="IR274" s="178"/>
      <c r="IS274" s="178"/>
      <c r="IT274" s="178"/>
      <c r="IU274" s="178"/>
      <c r="IV274" s="178"/>
      <c r="IW274" s="178"/>
      <c r="IX274" s="178"/>
      <c r="IY274" s="178"/>
      <c r="IZ274" s="178"/>
      <c r="JA274" s="178"/>
      <c r="JB274" s="178"/>
      <c r="JC274" s="178"/>
      <c r="JD274" s="178"/>
    </row>
    <row r="275">
      <c r="IE275" s="178"/>
      <c r="IF275" s="178"/>
      <c r="IG275" s="178"/>
      <c r="IH275" s="178"/>
      <c r="II275" s="178"/>
      <c r="IJ275" s="178"/>
      <c r="IK275" s="178"/>
      <c r="IL275" s="178"/>
      <c r="IM275" s="178"/>
      <c r="IN275" s="178"/>
      <c r="IO275" s="178"/>
      <c r="IP275" s="178"/>
      <c r="IQ275" s="178"/>
      <c r="IR275" s="178"/>
      <c r="IS275" s="178"/>
      <c r="IT275" s="178"/>
      <c r="IU275" s="178"/>
      <c r="IV275" s="178"/>
      <c r="IW275" s="178"/>
      <c r="IX275" s="178"/>
      <c r="IY275" s="178"/>
      <c r="IZ275" s="178"/>
      <c r="JA275" s="178"/>
      <c r="JB275" s="178"/>
      <c r="JC275" s="178"/>
      <c r="JD275" s="178"/>
    </row>
    <row r="276">
      <c r="IE276" s="178"/>
      <c r="IF276" s="178"/>
      <c r="IG276" s="178"/>
      <c r="IH276" s="178"/>
      <c r="II276" s="178"/>
      <c r="IJ276" s="178"/>
      <c r="IK276" s="178"/>
      <c r="IL276" s="178"/>
      <c r="IM276" s="178"/>
      <c r="IN276" s="178"/>
      <c r="IO276" s="178"/>
      <c r="IP276" s="178"/>
      <c r="IQ276" s="178"/>
      <c r="IR276" s="178"/>
      <c r="IS276" s="178"/>
      <c r="IT276" s="178"/>
      <c r="IU276" s="178"/>
      <c r="IV276" s="178"/>
      <c r="IW276" s="178"/>
      <c r="IX276" s="178"/>
      <c r="IY276" s="178"/>
      <c r="IZ276" s="178"/>
      <c r="JA276" s="178"/>
      <c r="JB276" s="178"/>
      <c r="JC276" s="178"/>
      <c r="JD276" s="178"/>
    </row>
    <row r="277">
      <c r="IE277" s="178"/>
      <c r="IF277" s="178"/>
      <c r="IG277" s="178"/>
      <c r="IH277" s="178"/>
      <c r="II277" s="178"/>
      <c r="IJ277" s="178"/>
      <c r="IK277" s="178"/>
      <c r="IL277" s="178"/>
      <c r="IM277" s="178"/>
      <c r="IN277" s="178"/>
      <c r="IO277" s="178"/>
      <c r="IP277" s="178"/>
      <c r="IQ277" s="178"/>
      <c r="IR277" s="178"/>
      <c r="IS277" s="178"/>
      <c r="IT277" s="178"/>
      <c r="IU277" s="178"/>
      <c r="IV277" s="178"/>
      <c r="IW277" s="178"/>
      <c r="IX277" s="178"/>
      <c r="IY277" s="178"/>
      <c r="IZ277" s="178"/>
      <c r="JA277" s="178"/>
      <c r="JB277" s="178"/>
      <c r="JC277" s="178"/>
      <c r="JD277" s="178"/>
    </row>
    <row r="278">
      <c r="IE278" s="178"/>
      <c r="IF278" s="178"/>
      <c r="IG278" s="178"/>
      <c r="IH278" s="178"/>
      <c r="II278" s="178"/>
      <c r="IJ278" s="178"/>
      <c r="IK278" s="178"/>
      <c r="IL278" s="178"/>
      <c r="IM278" s="178"/>
      <c r="IN278" s="178"/>
      <c r="IO278" s="178"/>
      <c r="IP278" s="178"/>
      <c r="IQ278" s="178"/>
      <c r="IR278" s="178"/>
      <c r="IS278" s="178"/>
      <c r="IT278" s="178"/>
      <c r="IU278" s="178"/>
      <c r="IV278" s="178"/>
      <c r="IW278" s="178"/>
      <c r="IX278" s="178"/>
      <c r="IY278" s="178"/>
      <c r="IZ278" s="178"/>
      <c r="JA278" s="178"/>
      <c r="JB278" s="178"/>
      <c r="JC278" s="178"/>
      <c r="JD278" s="178"/>
    </row>
    <row r="279">
      <c r="IE279" s="178"/>
      <c r="IF279" s="178"/>
      <c r="IG279" s="178"/>
      <c r="IH279" s="178"/>
      <c r="II279" s="178"/>
      <c r="IJ279" s="178"/>
      <c r="IK279" s="178"/>
      <c r="IL279" s="178"/>
      <c r="IM279" s="178"/>
      <c r="IN279" s="178"/>
      <c r="IO279" s="178"/>
      <c r="IP279" s="178"/>
      <c r="IQ279" s="178"/>
      <c r="IR279" s="178"/>
      <c r="IS279" s="178"/>
      <c r="IT279" s="178"/>
      <c r="IU279" s="178"/>
      <c r="IV279" s="178"/>
      <c r="IW279" s="178"/>
      <c r="IX279" s="178"/>
      <c r="IY279" s="178"/>
      <c r="IZ279" s="178"/>
      <c r="JA279" s="178"/>
      <c r="JB279" s="178"/>
      <c r="JC279" s="178"/>
      <c r="JD279" s="178"/>
    </row>
    <row r="280">
      <c r="IE280" s="178"/>
      <c r="IF280" s="178"/>
      <c r="IG280" s="178"/>
      <c r="IH280" s="178"/>
      <c r="II280" s="178"/>
      <c r="IJ280" s="178"/>
      <c r="IK280" s="178"/>
      <c r="IL280" s="178"/>
      <c r="IM280" s="178"/>
      <c r="IN280" s="178"/>
      <c r="IO280" s="178"/>
      <c r="IP280" s="178"/>
      <c r="IQ280" s="178"/>
      <c r="IR280" s="178"/>
      <c r="IS280" s="178"/>
      <c r="IT280" s="178"/>
      <c r="IU280" s="178"/>
      <c r="IV280" s="178"/>
      <c r="IW280" s="178"/>
      <c r="IX280" s="178"/>
      <c r="IY280" s="178"/>
      <c r="IZ280" s="178"/>
      <c r="JA280" s="178"/>
      <c r="JB280" s="178"/>
      <c r="JC280" s="178"/>
      <c r="JD280" s="178"/>
    </row>
    <row r="281">
      <c r="IE281" s="178"/>
      <c r="IF281" s="178"/>
      <c r="IG281" s="178"/>
      <c r="IH281" s="178"/>
      <c r="II281" s="178"/>
      <c r="IJ281" s="178"/>
      <c r="IK281" s="178"/>
      <c r="IL281" s="178"/>
      <c r="IM281" s="178"/>
      <c r="IN281" s="178"/>
      <c r="IO281" s="178"/>
      <c r="IP281" s="178"/>
      <c r="IQ281" s="178"/>
      <c r="IR281" s="178"/>
      <c r="IS281" s="178"/>
      <c r="IT281" s="178"/>
      <c r="IU281" s="178"/>
      <c r="IV281" s="178"/>
      <c r="IW281" s="178"/>
      <c r="IX281" s="178"/>
      <c r="IY281" s="178"/>
      <c r="IZ281" s="178"/>
      <c r="JA281" s="178"/>
      <c r="JB281" s="178"/>
      <c r="JC281" s="178"/>
      <c r="JD281" s="178"/>
    </row>
    <row r="282">
      <c r="IE282" s="178"/>
      <c r="IF282" s="178"/>
      <c r="IG282" s="178"/>
      <c r="IH282" s="178"/>
      <c r="II282" s="178"/>
      <c r="IJ282" s="178"/>
      <c r="IK282" s="178"/>
      <c r="IL282" s="178"/>
      <c r="IM282" s="178"/>
      <c r="IN282" s="178"/>
      <c r="IO282" s="178"/>
      <c r="IP282" s="178"/>
      <c r="IQ282" s="178"/>
      <c r="IR282" s="178"/>
      <c r="IS282" s="178"/>
      <c r="IT282" s="178"/>
      <c r="IU282" s="178"/>
      <c r="IV282" s="178"/>
      <c r="IW282" s="178"/>
      <c r="IX282" s="178"/>
      <c r="IY282" s="178"/>
      <c r="IZ282" s="178"/>
      <c r="JA282" s="178"/>
      <c r="JB282" s="178"/>
      <c r="JC282" s="178"/>
      <c r="JD282" s="178"/>
    </row>
    <row r="283">
      <c r="IE283" s="178"/>
      <c r="IF283" s="178"/>
      <c r="IG283" s="178"/>
      <c r="IH283" s="178"/>
      <c r="II283" s="178"/>
      <c r="IJ283" s="178"/>
      <c r="IK283" s="178"/>
      <c r="IL283" s="178"/>
      <c r="IM283" s="178"/>
      <c r="IN283" s="178"/>
      <c r="IO283" s="178"/>
      <c r="IP283" s="178"/>
      <c r="IQ283" s="178"/>
      <c r="IR283" s="178"/>
      <c r="IS283" s="178"/>
      <c r="IT283" s="178"/>
      <c r="IU283" s="178"/>
      <c r="IV283" s="178"/>
      <c r="IW283" s="178"/>
      <c r="IX283" s="178"/>
      <c r="IY283" s="178"/>
      <c r="IZ283" s="178"/>
      <c r="JA283" s="178"/>
      <c r="JB283" s="178"/>
      <c r="JC283" s="178"/>
      <c r="JD283" s="178"/>
    </row>
    <row r="284">
      <c r="IE284" s="178"/>
      <c r="IF284" s="178"/>
      <c r="IG284" s="178"/>
      <c r="IH284" s="178"/>
      <c r="II284" s="178"/>
      <c r="IJ284" s="178"/>
      <c r="IK284" s="178"/>
      <c r="IL284" s="178"/>
      <c r="IM284" s="178"/>
      <c r="IN284" s="178"/>
      <c r="IO284" s="178"/>
      <c r="IP284" s="178"/>
      <c r="IQ284" s="178"/>
      <c r="IR284" s="178"/>
      <c r="IS284" s="178"/>
      <c r="IT284" s="178"/>
      <c r="IU284" s="178"/>
      <c r="IV284" s="178"/>
      <c r="IW284" s="178"/>
      <c r="IX284" s="178"/>
      <c r="IY284" s="178"/>
      <c r="IZ284" s="178"/>
      <c r="JA284" s="178"/>
      <c r="JB284" s="178"/>
      <c r="JC284" s="178"/>
      <c r="JD284" s="178"/>
    </row>
    <row r="285">
      <c r="IE285" s="178"/>
      <c r="IF285" s="178"/>
      <c r="IG285" s="178"/>
      <c r="IH285" s="178"/>
      <c r="II285" s="178"/>
      <c r="IJ285" s="178"/>
      <c r="IK285" s="178"/>
      <c r="IL285" s="178"/>
      <c r="IM285" s="178"/>
      <c r="IN285" s="178"/>
      <c r="IO285" s="178"/>
      <c r="IP285" s="178"/>
      <c r="IQ285" s="178"/>
      <c r="IR285" s="178"/>
      <c r="IS285" s="178"/>
      <c r="IT285" s="178"/>
      <c r="IU285" s="178"/>
      <c r="IV285" s="178"/>
      <c r="IW285" s="178"/>
      <c r="IX285" s="178"/>
      <c r="IY285" s="178"/>
      <c r="IZ285" s="178"/>
      <c r="JA285" s="178"/>
      <c r="JB285" s="178"/>
      <c r="JC285" s="178"/>
      <c r="JD285" s="178"/>
    </row>
    <row r="286">
      <c r="IE286" s="178"/>
      <c r="IF286" s="178"/>
      <c r="IG286" s="178"/>
      <c r="IH286" s="178"/>
      <c r="II286" s="178"/>
      <c r="IJ286" s="178"/>
      <c r="IK286" s="178"/>
      <c r="IL286" s="178"/>
      <c r="IM286" s="178"/>
      <c r="IN286" s="178"/>
      <c r="IO286" s="178"/>
      <c r="IP286" s="178"/>
      <c r="IQ286" s="178"/>
      <c r="IR286" s="178"/>
      <c r="IS286" s="178"/>
      <c r="IT286" s="178"/>
      <c r="IU286" s="178"/>
      <c r="IV286" s="178"/>
      <c r="IW286" s="178"/>
      <c r="IX286" s="178"/>
      <c r="IY286" s="178"/>
      <c r="IZ286" s="178"/>
      <c r="JA286" s="178"/>
      <c r="JB286" s="178"/>
      <c r="JC286" s="178"/>
      <c r="JD286" s="178"/>
    </row>
    <row r="287">
      <c r="IE287" s="178"/>
      <c r="IF287" s="178"/>
      <c r="IG287" s="178"/>
      <c r="IH287" s="178"/>
      <c r="II287" s="178"/>
      <c r="IJ287" s="178"/>
      <c r="IK287" s="178"/>
      <c r="IL287" s="178"/>
      <c r="IM287" s="178"/>
      <c r="IN287" s="178"/>
      <c r="IO287" s="178"/>
      <c r="IP287" s="178"/>
      <c r="IQ287" s="178"/>
      <c r="IR287" s="178"/>
      <c r="IS287" s="178"/>
      <c r="IT287" s="178"/>
      <c r="IU287" s="178"/>
      <c r="IV287" s="178"/>
      <c r="IW287" s="178"/>
      <c r="IX287" s="178"/>
      <c r="IY287" s="178"/>
      <c r="IZ287" s="178"/>
      <c r="JA287" s="178"/>
      <c r="JB287" s="178"/>
      <c r="JC287" s="178"/>
      <c r="JD287" s="178"/>
    </row>
    <row r="288">
      <c r="IE288" s="178"/>
      <c r="IF288" s="178"/>
      <c r="IG288" s="178"/>
      <c r="IH288" s="178"/>
      <c r="II288" s="178"/>
      <c r="IJ288" s="178"/>
      <c r="IK288" s="178"/>
      <c r="IL288" s="178"/>
      <c r="IM288" s="178"/>
      <c r="IN288" s="178"/>
      <c r="IO288" s="178"/>
      <c r="IP288" s="178"/>
      <c r="IQ288" s="178"/>
      <c r="IR288" s="178"/>
      <c r="IS288" s="178"/>
      <c r="IT288" s="178"/>
      <c r="IU288" s="178"/>
      <c r="IV288" s="178"/>
      <c r="IW288" s="178"/>
      <c r="IX288" s="178"/>
      <c r="IY288" s="178"/>
      <c r="IZ288" s="178"/>
      <c r="JA288" s="178"/>
      <c r="JB288" s="178"/>
      <c r="JC288" s="178"/>
      <c r="JD288" s="178"/>
    </row>
    <row r="289">
      <c r="IE289" s="178"/>
      <c r="IF289" s="178"/>
      <c r="IG289" s="178"/>
      <c r="IH289" s="178"/>
      <c r="II289" s="178"/>
      <c r="IJ289" s="178"/>
      <c r="IK289" s="178"/>
      <c r="IL289" s="178"/>
      <c r="IM289" s="178"/>
      <c r="IN289" s="178"/>
      <c r="IO289" s="178"/>
      <c r="IP289" s="178"/>
      <c r="IQ289" s="178"/>
      <c r="IR289" s="178"/>
      <c r="IS289" s="178"/>
      <c r="IT289" s="178"/>
      <c r="IU289" s="178"/>
      <c r="IV289" s="178"/>
      <c r="IW289" s="178"/>
      <c r="IX289" s="178"/>
      <c r="IY289" s="178"/>
      <c r="IZ289" s="178"/>
      <c r="JA289" s="178"/>
      <c r="JB289" s="178"/>
      <c r="JC289" s="178"/>
      <c r="JD289" s="178"/>
    </row>
    <row r="290">
      <c r="IE290" s="178"/>
      <c r="IF290" s="178"/>
      <c r="IG290" s="178"/>
      <c r="IH290" s="178"/>
      <c r="II290" s="178"/>
      <c r="IJ290" s="178"/>
      <c r="IK290" s="178"/>
      <c r="IL290" s="178"/>
      <c r="IM290" s="178"/>
      <c r="IN290" s="178"/>
      <c r="IO290" s="178"/>
      <c r="IP290" s="178"/>
      <c r="IQ290" s="178"/>
      <c r="IR290" s="178"/>
      <c r="IS290" s="178"/>
      <c r="IT290" s="178"/>
      <c r="IU290" s="178"/>
      <c r="IV290" s="178"/>
      <c r="IW290" s="178"/>
      <c r="IX290" s="178"/>
      <c r="IY290" s="178"/>
      <c r="IZ290" s="178"/>
      <c r="JA290" s="178"/>
      <c r="JB290" s="178"/>
      <c r="JC290" s="178"/>
      <c r="JD290" s="178"/>
    </row>
    <row r="291">
      <c r="IE291" s="178"/>
      <c r="IF291" s="178"/>
      <c r="IG291" s="178"/>
      <c r="IH291" s="178"/>
      <c r="II291" s="178"/>
      <c r="IJ291" s="178"/>
      <c r="IK291" s="178"/>
      <c r="IL291" s="178"/>
      <c r="IM291" s="178"/>
      <c r="IN291" s="178"/>
      <c r="IO291" s="178"/>
      <c r="IP291" s="178"/>
      <c r="IQ291" s="178"/>
      <c r="IR291" s="178"/>
      <c r="IS291" s="178"/>
      <c r="IT291" s="178"/>
      <c r="IU291" s="178"/>
      <c r="IV291" s="178"/>
      <c r="IW291" s="178"/>
      <c r="IX291" s="178"/>
      <c r="IY291" s="178"/>
      <c r="IZ291" s="178"/>
      <c r="JA291" s="178"/>
      <c r="JB291" s="178"/>
      <c r="JC291" s="178"/>
      <c r="JD291" s="178"/>
    </row>
    <row r="292">
      <c r="IE292" s="178"/>
      <c r="IF292" s="178"/>
      <c r="IG292" s="178"/>
      <c r="IH292" s="178"/>
      <c r="II292" s="178"/>
      <c r="IJ292" s="178"/>
      <c r="IK292" s="178"/>
      <c r="IL292" s="178"/>
      <c r="IM292" s="178"/>
      <c r="IN292" s="178"/>
      <c r="IO292" s="178"/>
      <c r="IP292" s="178"/>
      <c r="IQ292" s="178"/>
      <c r="IR292" s="178"/>
      <c r="IS292" s="178"/>
      <c r="IT292" s="178"/>
      <c r="IU292" s="178"/>
      <c r="IV292" s="178"/>
      <c r="IW292" s="178"/>
      <c r="IX292" s="178"/>
      <c r="IY292" s="178"/>
      <c r="IZ292" s="178"/>
      <c r="JA292" s="178"/>
      <c r="JB292" s="178"/>
      <c r="JC292" s="178"/>
      <c r="JD292" s="178"/>
    </row>
    <row r="293">
      <c r="IE293" s="178"/>
      <c r="IF293" s="178"/>
      <c r="IG293" s="178"/>
      <c r="IH293" s="178"/>
      <c r="II293" s="178"/>
      <c r="IJ293" s="178"/>
      <c r="IK293" s="178"/>
      <c r="IL293" s="178"/>
      <c r="IM293" s="178"/>
      <c r="IN293" s="178"/>
      <c r="IO293" s="178"/>
      <c r="IP293" s="178"/>
      <c r="IQ293" s="178"/>
      <c r="IR293" s="178"/>
      <c r="IS293" s="178"/>
      <c r="IT293" s="178"/>
      <c r="IU293" s="178"/>
      <c r="IV293" s="178"/>
      <c r="IW293" s="178"/>
      <c r="IX293" s="178"/>
      <c r="IY293" s="178"/>
      <c r="IZ293" s="178"/>
      <c r="JA293" s="178"/>
      <c r="JB293" s="178"/>
      <c r="JC293" s="178"/>
      <c r="JD293" s="178"/>
    </row>
    <row r="294">
      <c r="IE294" s="178"/>
      <c r="IF294" s="178"/>
      <c r="IG294" s="178"/>
      <c r="IH294" s="178"/>
      <c r="II294" s="178"/>
      <c r="IJ294" s="178"/>
      <c r="IK294" s="178"/>
      <c r="IL294" s="178"/>
      <c r="IM294" s="178"/>
      <c r="IN294" s="178"/>
      <c r="IO294" s="178"/>
      <c r="IP294" s="178"/>
      <c r="IQ294" s="178"/>
      <c r="IR294" s="178"/>
      <c r="IS294" s="178"/>
      <c r="IT294" s="178"/>
      <c r="IU294" s="178"/>
      <c r="IV294" s="178"/>
      <c r="IW294" s="178"/>
      <c r="IX294" s="178"/>
      <c r="IY294" s="178"/>
      <c r="IZ294" s="178"/>
      <c r="JA294" s="178"/>
      <c r="JB294" s="178"/>
      <c r="JC294" s="178"/>
      <c r="JD294" s="178"/>
    </row>
    <row r="295">
      <c r="IE295" s="178"/>
      <c r="IF295" s="178"/>
      <c r="IG295" s="178"/>
      <c r="IH295" s="178"/>
      <c r="II295" s="178"/>
      <c r="IJ295" s="178"/>
      <c r="IK295" s="178"/>
      <c r="IL295" s="178"/>
      <c r="IM295" s="178"/>
      <c r="IN295" s="178"/>
      <c r="IO295" s="178"/>
      <c r="IP295" s="178"/>
      <c r="IQ295" s="178"/>
      <c r="IR295" s="178"/>
      <c r="IS295" s="178"/>
      <c r="IT295" s="178"/>
      <c r="IU295" s="178"/>
      <c r="IV295" s="178"/>
      <c r="IW295" s="178"/>
      <c r="IX295" s="178"/>
      <c r="IY295" s="178"/>
      <c r="IZ295" s="178"/>
      <c r="JA295" s="178"/>
      <c r="JB295" s="178"/>
      <c r="JC295" s="178"/>
      <c r="JD295" s="178"/>
    </row>
    <row r="296">
      <c r="IE296" s="178"/>
      <c r="IF296" s="178"/>
      <c r="IG296" s="178"/>
      <c r="IH296" s="178"/>
      <c r="II296" s="178"/>
      <c r="IJ296" s="178"/>
      <c r="IK296" s="178"/>
      <c r="IL296" s="178"/>
      <c r="IM296" s="178"/>
      <c r="IN296" s="178"/>
      <c r="IO296" s="178"/>
      <c r="IP296" s="178"/>
      <c r="IQ296" s="178"/>
      <c r="IR296" s="178"/>
      <c r="IS296" s="178"/>
      <c r="IT296" s="178"/>
      <c r="IU296" s="178"/>
      <c r="IV296" s="178"/>
      <c r="IW296" s="178"/>
      <c r="IX296" s="178"/>
      <c r="IY296" s="178"/>
      <c r="IZ296" s="178"/>
      <c r="JA296" s="178"/>
      <c r="JB296" s="178"/>
      <c r="JC296" s="178"/>
      <c r="JD296" s="178"/>
    </row>
    <row r="297">
      <c r="IE297" s="178"/>
      <c r="IF297" s="178"/>
      <c r="IG297" s="178"/>
      <c r="IH297" s="178"/>
      <c r="II297" s="178"/>
      <c r="IJ297" s="178"/>
      <c r="IK297" s="178"/>
      <c r="IL297" s="178"/>
      <c r="IM297" s="178"/>
      <c r="IN297" s="178"/>
      <c r="IO297" s="178"/>
      <c r="IP297" s="178"/>
      <c r="IQ297" s="178"/>
      <c r="IR297" s="178"/>
      <c r="IS297" s="178"/>
      <c r="IT297" s="178"/>
      <c r="IU297" s="178"/>
      <c r="IV297" s="178"/>
      <c r="IW297" s="178"/>
      <c r="IX297" s="178"/>
      <c r="IY297" s="178"/>
      <c r="IZ297" s="178"/>
      <c r="JA297" s="178"/>
      <c r="JB297" s="178"/>
      <c r="JC297" s="178"/>
      <c r="JD297" s="178"/>
    </row>
    <row r="298">
      <c r="IE298" s="178"/>
      <c r="IF298" s="178"/>
      <c r="IG298" s="178"/>
      <c r="IH298" s="178"/>
      <c r="II298" s="178"/>
      <c r="IJ298" s="178"/>
      <c r="IK298" s="178"/>
      <c r="IL298" s="178"/>
      <c r="IM298" s="178"/>
      <c r="IN298" s="178"/>
      <c r="IO298" s="178"/>
      <c r="IP298" s="178"/>
      <c r="IQ298" s="178"/>
      <c r="IR298" s="178"/>
      <c r="IS298" s="178"/>
      <c r="IT298" s="178"/>
      <c r="IU298" s="178"/>
      <c r="IV298" s="178"/>
      <c r="IW298" s="178"/>
      <c r="IX298" s="178"/>
      <c r="IY298" s="178"/>
      <c r="IZ298" s="178"/>
      <c r="JA298" s="178"/>
      <c r="JB298" s="178"/>
      <c r="JC298" s="178"/>
      <c r="JD298" s="178"/>
    </row>
    <row r="299">
      <c r="IE299" s="178"/>
      <c r="IF299" s="178"/>
      <c r="IG299" s="178"/>
      <c r="IH299" s="178"/>
      <c r="II299" s="178"/>
      <c r="IJ299" s="178"/>
      <c r="IK299" s="178"/>
      <c r="IL299" s="178"/>
      <c r="IM299" s="178"/>
      <c r="IN299" s="178"/>
      <c r="IO299" s="178"/>
      <c r="IP299" s="178"/>
      <c r="IQ299" s="178"/>
      <c r="IR299" s="178"/>
      <c r="IS299" s="178"/>
      <c r="IT299" s="178"/>
      <c r="IU299" s="178"/>
      <c r="IV299" s="178"/>
      <c r="IW299" s="178"/>
      <c r="IX299" s="178"/>
      <c r="IY299" s="178"/>
      <c r="IZ299" s="178"/>
      <c r="JA299" s="178"/>
      <c r="JB299" s="178"/>
      <c r="JC299" s="178"/>
      <c r="JD299" s="178"/>
    </row>
    <row r="300">
      <c r="IE300" s="178"/>
      <c r="IF300" s="178"/>
      <c r="IG300" s="178"/>
      <c r="IH300" s="178"/>
      <c r="II300" s="178"/>
      <c r="IJ300" s="178"/>
      <c r="IK300" s="178"/>
      <c r="IL300" s="178"/>
      <c r="IM300" s="178"/>
      <c r="IN300" s="178"/>
      <c r="IO300" s="178"/>
      <c r="IP300" s="178"/>
      <c r="IQ300" s="178"/>
      <c r="IR300" s="178"/>
      <c r="IS300" s="178"/>
      <c r="IT300" s="178"/>
      <c r="IU300" s="178"/>
      <c r="IV300" s="178"/>
      <c r="IW300" s="178"/>
      <c r="IX300" s="178"/>
      <c r="IY300" s="178"/>
      <c r="IZ300" s="178"/>
      <c r="JA300" s="178"/>
      <c r="JB300" s="178"/>
      <c r="JC300" s="178"/>
      <c r="JD300" s="178"/>
    </row>
    <row r="301">
      <c r="IE301" s="178"/>
      <c r="IF301" s="178"/>
      <c r="IG301" s="178"/>
      <c r="IH301" s="178"/>
      <c r="II301" s="178"/>
      <c r="IJ301" s="178"/>
      <c r="IK301" s="178"/>
      <c r="IL301" s="178"/>
      <c r="IM301" s="178"/>
      <c r="IN301" s="178"/>
      <c r="IO301" s="178"/>
      <c r="IP301" s="178"/>
      <c r="IQ301" s="178"/>
      <c r="IR301" s="178"/>
      <c r="IS301" s="178"/>
      <c r="IT301" s="178"/>
      <c r="IU301" s="178"/>
      <c r="IV301" s="178"/>
      <c r="IW301" s="178"/>
      <c r="IX301" s="178"/>
      <c r="IY301" s="178"/>
      <c r="IZ301" s="178"/>
      <c r="JA301" s="178"/>
      <c r="JB301" s="178"/>
      <c r="JC301" s="178"/>
      <c r="JD301" s="178"/>
    </row>
    <row r="302">
      <c r="IE302" s="178"/>
      <c r="IF302" s="178"/>
      <c r="IG302" s="178"/>
      <c r="IH302" s="178"/>
      <c r="II302" s="178"/>
      <c r="IJ302" s="178"/>
      <c r="IK302" s="178"/>
      <c r="IL302" s="178"/>
      <c r="IM302" s="178"/>
      <c r="IN302" s="178"/>
      <c r="IO302" s="178"/>
      <c r="IP302" s="178"/>
      <c r="IQ302" s="178"/>
      <c r="IR302" s="178"/>
      <c r="IS302" s="178"/>
      <c r="IT302" s="178"/>
      <c r="IU302" s="178"/>
      <c r="IV302" s="178"/>
      <c r="IW302" s="178"/>
      <c r="IX302" s="178"/>
      <c r="IY302" s="178"/>
      <c r="IZ302" s="178"/>
      <c r="JA302" s="178"/>
      <c r="JB302" s="178"/>
      <c r="JC302" s="178"/>
      <c r="JD302" s="178"/>
    </row>
    <row r="303">
      <c r="IE303" s="178"/>
      <c r="IF303" s="178"/>
      <c r="IG303" s="178"/>
      <c r="IH303" s="178"/>
      <c r="II303" s="178"/>
      <c r="IJ303" s="178"/>
      <c r="IK303" s="178"/>
      <c r="IL303" s="178"/>
      <c r="IM303" s="178"/>
      <c r="IN303" s="178"/>
      <c r="IO303" s="178"/>
      <c r="IP303" s="178"/>
      <c r="IQ303" s="178"/>
      <c r="IR303" s="178"/>
      <c r="IS303" s="178"/>
      <c r="IT303" s="178"/>
      <c r="IU303" s="178"/>
      <c r="IV303" s="178"/>
      <c r="IW303" s="178"/>
      <c r="IX303" s="178"/>
      <c r="IY303" s="178"/>
      <c r="IZ303" s="178"/>
      <c r="JA303" s="178"/>
      <c r="JB303" s="178"/>
      <c r="JC303" s="178"/>
      <c r="JD303" s="178"/>
    </row>
    <row r="304">
      <c r="IE304" s="178"/>
      <c r="IF304" s="178"/>
      <c r="IG304" s="178"/>
      <c r="IH304" s="178"/>
      <c r="II304" s="178"/>
      <c r="IJ304" s="178"/>
      <c r="IK304" s="178"/>
      <c r="IL304" s="178"/>
      <c r="IM304" s="178"/>
      <c r="IN304" s="178"/>
      <c r="IO304" s="178"/>
      <c r="IP304" s="178"/>
      <c r="IQ304" s="178"/>
      <c r="IR304" s="178"/>
      <c r="IS304" s="178"/>
      <c r="IT304" s="178"/>
      <c r="IU304" s="178"/>
      <c r="IV304" s="178"/>
      <c r="IW304" s="178"/>
      <c r="IX304" s="178"/>
      <c r="IY304" s="178"/>
      <c r="IZ304" s="178"/>
      <c r="JA304" s="178"/>
      <c r="JB304" s="178"/>
      <c r="JC304" s="178"/>
      <c r="JD304" s="178"/>
    </row>
    <row r="305">
      <c r="IE305" s="178"/>
      <c r="IF305" s="178"/>
      <c r="IG305" s="178"/>
      <c r="IH305" s="178"/>
      <c r="II305" s="178"/>
      <c r="IJ305" s="178"/>
      <c r="IK305" s="178"/>
      <c r="IL305" s="178"/>
      <c r="IM305" s="178"/>
      <c r="IN305" s="178"/>
      <c r="IO305" s="178"/>
      <c r="IP305" s="178"/>
      <c r="IQ305" s="178"/>
      <c r="IR305" s="178"/>
      <c r="IS305" s="178"/>
      <c r="IT305" s="178"/>
      <c r="IU305" s="178"/>
      <c r="IV305" s="178"/>
      <c r="IW305" s="178"/>
      <c r="IX305" s="178"/>
      <c r="IY305" s="178"/>
      <c r="IZ305" s="178"/>
      <c r="JA305" s="178"/>
      <c r="JB305" s="178"/>
      <c r="JC305" s="178"/>
      <c r="JD305" s="178"/>
    </row>
    <row r="306">
      <c r="IE306" s="178"/>
      <c r="IF306" s="178"/>
      <c r="IG306" s="178"/>
      <c r="IH306" s="178"/>
      <c r="II306" s="178"/>
      <c r="IJ306" s="178"/>
      <c r="IK306" s="178"/>
      <c r="IL306" s="178"/>
      <c r="IM306" s="178"/>
      <c r="IN306" s="178"/>
      <c r="IO306" s="178"/>
      <c r="IP306" s="178"/>
      <c r="IQ306" s="178"/>
      <c r="IR306" s="178"/>
      <c r="IS306" s="178"/>
      <c r="IT306" s="178"/>
      <c r="IU306" s="178"/>
      <c r="IV306" s="178"/>
      <c r="IW306" s="178"/>
      <c r="IX306" s="178"/>
      <c r="IY306" s="178"/>
      <c r="IZ306" s="178"/>
      <c r="JA306" s="178"/>
      <c r="JB306" s="178"/>
      <c r="JC306" s="178"/>
      <c r="JD306" s="178"/>
    </row>
    <row r="307">
      <c r="IE307" s="178"/>
      <c r="IF307" s="178"/>
      <c r="IG307" s="178"/>
      <c r="IH307" s="178"/>
      <c r="II307" s="178"/>
      <c r="IJ307" s="178"/>
      <c r="IK307" s="178"/>
      <c r="IL307" s="178"/>
      <c r="IM307" s="178"/>
      <c r="IN307" s="178"/>
      <c r="IO307" s="178"/>
      <c r="IP307" s="178"/>
      <c r="IQ307" s="178"/>
      <c r="IR307" s="178"/>
      <c r="IS307" s="178"/>
      <c r="IT307" s="178"/>
      <c r="IU307" s="178"/>
      <c r="IV307" s="178"/>
      <c r="IW307" s="178"/>
      <c r="IX307" s="178"/>
      <c r="IY307" s="178"/>
      <c r="IZ307" s="178"/>
      <c r="JA307" s="178"/>
      <c r="JB307" s="178"/>
      <c r="JC307" s="178"/>
      <c r="JD307" s="178"/>
    </row>
    <row r="308">
      <c r="IE308" s="178"/>
      <c r="IF308" s="178"/>
      <c r="IG308" s="178"/>
      <c r="IH308" s="178"/>
      <c r="II308" s="178"/>
      <c r="IJ308" s="178"/>
      <c r="IK308" s="178"/>
      <c r="IL308" s="178"/>
      <c r="IM308" s="178"/>
      <c r="IN308" s="178"/>
      <c r="IO308" s="178"/>
      <c r="IP308" s="178"/>
      <c r="IQ308" s="178"/>
      <c r="IR308" s="178"/>
      <c r="IS308" s="178"/>
      <c r="IT308" s="178"/>
      <c r="IU308" s="178"/>
      <c r="IV308" s="178"/>
      <c r="IW308" s="178"/>
      <c r="IX308" s="178"/>
      <c r="IY308" s="178"/>
      <c r="IZ308" s="178"/>
      <c r="JA308" s="178"/>
      <c r="JB308" s="178"/>
      <c r="JC308" s="178"/>
      <c r="JD308" s="178"/>
    </row>
    <row r="309">
      <c r="IE309" s="178"/>
      <c r="IF309" s="178"/>
      <c r="IG309" s="178"/>
      <c r="IH309" s="178"/>
      <c r="II309" s="178"/>
      <c r="IJ309" s="178"/>
      <c r="IK309" s="178"/>
      <c r="IL309" s="178"/>
      <c r="IM309" s="178"/>
      <c r="IN309" s="178"/>
      <c r="IO309" s="178"/>
      <c r="IP309" s="178"/>
      <c r="IQ309" s="178"/>
      <c r="IR309" s="178"/>
      <c r="IS309" s="178"/>
      <c r="IT309" s="178"/>
      <c r="IU309" s="178"/>
      <c r="IV309" s="178"/>
      <c r="IW309" s="178"/>
      <c r="IX309" s="178"/>
      <c r="IY309" s="178"/>
      <c r="IZ309" s="178"/>
      <c r="JA309" s="178"/>
      <c r="JB309" s="178"/>
      <c r="JC309" s="178"/>
      <c r="JD309" s="178"/>
    </row>
    <row r="310">
      <c r="IE310" s="178"/>
      <c r="IF310" s="178"/>
      <c r="IG310" s="178"/>
      <c r="IH310" s="178"/>
      <c r="II310" s="178"/>
      <c r="IJ310" s="178"/>
      <c r="IK310" s="178"/>
      <c r="IL310" s="178"/>
      <c r="IM310" s="178"/>
      <c r="IN310" s="178"/>
      <c r="IO310" s="178"/>
      <c r="IP310" s="178"/>
      <c r="IQ310" s="178"/>
      <c r="IR310" s="178"/>
      <c r="IS310" s="178"/>
      <c r="IT310" s="178"/>
      <c r="IU310" s="178"/>
      <c r="IV310" s="178"/>
      <c r="IW310" s="178"/>
      <c r="IX310" s="178"/>
      <c r="IY310" s="178"/>
      <c r="IZ310" s="178"/>
      <c r="JA310" s="178"/>
      <c r="JB310" s="178"/>
      <c r="JC310" s="178"/>
      <c r="JD310" s="178"/>
    </row>
    <row r="311">
      <c r="IE311" s="178"/>
      <c r="IF311" s="178"/>
      <c r="IG311" s="178"/>
      <c r="IH311" s="178"/>
      <c r="II311" s="178"/>
      <c r="IJ311" s="178"/>
      <c r="IK311" s="178"/>
      <c r="IL311" s="178"/>
      <c r="IM311" s="178"/>
      <c r="IN311" s="178"/>
      <c r="IO311" s="178"/>
      <c r="IP311" s="178"/>
      <c r="IQ311" s="178"/>
      <c r="IR311" s="178"/>
      <c r="IS311" s="178"/>
      <c r="IT311" s="178"/>
      <c r="IU311" s="178"/>
      <c r="IV311" s="178"/>
      <c r="IW311" s="178"/>
      <c r="IX311" s="178"/>
      <c r="IY311" s="178"/>
      <c r="IZ311" s="178"/>
      <c r="JA311" s="178"/>
      <c r="JB311" s="178"/>
      <c r="JC311" s="178"/>
      <c r="JD311" s="178"/>
    </row>
    <row r="312">
      <c r="IE312" s="178"/>
      <c r="IF312" s="178"/>
      <c r="IG312" s="178"/>
      <c r="IH312" s="178"/>
      <c r="II312" s="178"/>
      <c r="IJ312" s="178"/>
      <c r="IK312" s="178"/>
      <c r="IL312" s="178"/>
      <c r="IM312" s="178"/>
      <c r="IN312" s="178"/>
      <c r="IO312" s="178"/>
      <c r="IP312" s="178"/>
      <c r="IQ312" s="178"/>
      <c r="IR312" s="178"/>
      <c r="IS312" s="178"/>
      <c r="IT312" s="178"/>
      <c r="IU312" s="178"/>
      <c r="IV312" s="178"/>
      <c r="IW312" s="178"/>
      <c r="IX312" s="178"/>
      <c r="IY312" s="178"/>
      <c r="IZ312" s="178"/>
      <c r="JA312" s="178"/>
      <c r="JB312" s="178"/>
      <c r="JC312" s="178"/>
      <c r="JD312" s="178"/>
    </row>
    <row r="313">
      <c r="IE313" s="178"/>
      <c r="IF313" s="178"/>
      <c r="IG313" s="178"/>
      <c r="IH313" s="178"/>
      <c r="II313" s="178"/>
      <c r="IJ313" s="178"/>
      <c r="IK313" s="178"/>
      <c r="IL313" s="178"/>
      <c r="IM313" s="178"/>
      <c r="IN313" s="178"/>
      <c r="IO313" s="178"/>
      <c r="IP313" s="178"/>
      <c r="IQ313" s="178"/>
      <c r="IR313" s="178"/>
      <c r="IS313" s="178"/>
      <c r="IT313" s="178"/>
      <c r="IU313" s="178"/>
      <c r="IV313" s="178"/>
      <c r="IW313" s="178"/>
      <c r="IX313" s="178"/>
      <c r="IY313" s="178"/>
      <c r="IZ313" s="178"/>
      <c r="JA313" s="178"/>
      <c r="JB313" s="178"/>
      <c r="JC313" s="178"/>
      <c r="JD313" s="178"/>
    </row>
    <row r="314">
      <c r="IE314" s="178"/>
      <c r="IF314" s="178"/>
      <c r="IG314" s="178"/>
      <c r="IH314" s="178"/>
      <c r="II314" s="178"/>
      <c r="IJ314" s="178"/>
      <c r="IK314" s="178"/>
      <c r="IL314" s="178"/>
      <c r="IM314" s="178"/>
      <c r="IN314" s="178"/>
      <c r="IO314" s="178"/>
      <c r="IP314" s="178"/>
      <c r="IQ314" s="178"/>
      <c r="IR314" s="178"/>
      <c r="IS314" s="178"/>
      <c r="IT314" s="178"/>
      <c r="IU314" s="178"/>
      <c r="IV314" s="178"/>
      <c r="IW314" s="178"/>
      <c r="IX314" s="178"/>
      <c r="IY314" s="178"/>
      <c r="IZ314" s="178"/>
      <c r="JA314" s="178"/>
      <c r="JB314" s="178"/>
      <c r="JC314" s="178"/>
      <c r="JD314" s="178"/>
    </row>
    <row r="315">
      <c r="IE315" s="178"/>
      <c r="IF315" s="178"/>
      <c r="IG315" s="178"/>
      <c r="IH315" s="178"/>
      <c r="II315" s="178"/>
      <c r="IJ315" s="178"/>
      <c r="IK315" s="178"/>
      <c r="IL315" s="178"/>
      <c r="IM315" s="178"/>
      <c r="IN315" s="178"/>
      <c r="IO315" s="178"/>
      <c r="IP315" s="178"/>
      <c r="IQ315" s="178"/>
      <c r="IR315" s="178"/>
      <c r="IS315" s="178"/>
      <c r="IT315" s="178"/>
      <c r="IU315" s="178"/>
      <c r="IV315" s="178"/>
      <c r="IW315" s="178"/>
      <c r="IX315" s="178"/>
      <c r="IY315" s="178"/>
      <c r="IZ315" s="178"/>
      <c r="JA315" s="178"/>
      <c r="JB315" s="178"/>
      <c r="JC315" s="178"/>
      <c r="JD315" s="178"/>
    </row>
    <row r="316">
      <c r="IE316" s="178"/>
      <c r="IF316" s="178"/>
      <c r="IG316" s="178"/>
      <c r="IH316" s="178"/>
      <c r="II316" s="178"/>
      <c r="IJ316" s="178"/>
      <c r="IK316" s="178"/>
      <c r="IL316" s="178"/>
      <c r="IM316" s="178"/>
      <c r="IN316" s="178"/>
      <c r="IO316" s="178"/>
      <c r="IP316" s="178"/>
      <c r="IQ316" s="178"/>
      <c r="IR316" s="178"/>
      <c r="IS316" s="178"/>
      <c r="IT316" s="178"/>
      <c r="IU316" s="178"/>
      <c r="IV316" s="178"/>
      <c r="IW316" s="178"/>
      <c r="IX316" s="178"/>
      <c r="IY316" s="178"/>
      <c r="IZ316" s="178"/>
      <c r="JA316" s="178"/>
      <c r="JB316" s="178"/>
      <c r="JC316" s="178"/>
      <c r="JD316" s="178"/>
    </row>
    <row r="317">
      <c r="IE317" s="178"/>
      <c r="IF317" s="178"/>
      <c r="IG317" s="178"/>
      <c r="IH317" s="178"/>
      <c r="II317" s="178"/>
      <c r="IJ317" s="178"/>
      <c r="IK317" s="178"/>
      <c r="IL317" s="178"/>
      <c r="IM317" s="178"/>
      <c r="IN317" s="178"/>
      <c r="IO317" s="178"/>
      <c r="IP317" s="178"/>
      <c r="IQ317" s="178"/>
      <c r="IR317" s="178"/>
      <c r="IS317" s="178"/>
      <c r="IT317" s="178"/>
      <c r="IU317" s="178"/>
      <c r="IV317" s="178"/>
      <c r="IW317" s="178"/>
      <c r="IX317" s="178"/>
      <c r="IY317" s="178"/>
      <c r="IZ317" s="178"/>
      <c r="JA317" s="178"/>
      <c r="JB317" s="178"/>
      <c r="JC317" s="178"/>
      <c r="JD317" s="178"/>
    </row>
    <row r="318">
      <c r="IE318" s="178"/>
      <c r="IF318" s="178"/>
      <c r="IG318" s="178"/>
      <c r="IH318" s="178"/>
      <c r="II318" s="178"/>
      <c r="IJ318" s="178"/>
      <c r="IK318" s="178"/>
      <c r="IL318" s="178"/>
      <c r="IM318" s="178"/>
      <c r="IN318" s="178"/>
      <c r="IO318" s="178"/>
      <c r="IP318" s="178"/>
      <c r="IQ318" s="178"/>
      <c r="IR318" s="178"/>
      <c r="IS318" s="178"/>
      <c r="IT318" s="178"/>
      <c r="IU318" s="178"/>
      <c r="IV318" s="178"/>
      <c r="IW318" s="178"/>
      <c r="IX318" s="178"/>
      <c r="IY318" s="178"/>
      <c r="IZ318" s="178"/>
      <c r="JA318" s="178"/>
      <c r="JB318" s="178"/>
      <c r="JC318" s="178"/>
      <c r="JD318" s="178"/>
    </row>
    <row r="319">
      <c r="IE319" s="178"/>
      <c r="IF319" s="178"/>
      <c r="IG319" s="178"/>
      <c r="IH319" s="178"/>
      <c r="II319" s="178"/>
      <c r="IJ319" s="178"/>
      <c r="IK319" s="178"/>
      <c r="IL319" s="178"/>
      <c r="IM319" s="178"/>
      <c r="IN319" s="178"/>
      <c r="IO319" s="178"/>
      <c r="IP319" s="178"/>
      <c r="IQ319" s="178"/>
      <c r="IR319" s="178"/>
      <c r="IS319" s="178"/>
      <c r="IT319" s="178"/>
      <c r="IU319" s="178"/>
      <c r="IV319" s="178"/>
      <c r="IW319" s="178"/>
      <c r="IX319" s="178"/>
      <c r="IY319" s="178"/>
      <c r="IZ319" s="178"/>
      <c r="JA319" s="178"/>
      <c r="JB319" s="178"/>
      <c r="JC319" s="178"/>
      <c r="JD319" s="178"/>
    </row>
    <row r="320">
      <c r="IE320" s="178"/>
      <c r="IF320" s="178"/>
      <c r="IG320" s="178"/>
      <c r="IH320" s="178"/>
      <c r="II320" s="178"/>
      <c r="IJ320" s="178"/>
      <c r="IK320" s="178"/>
      <c r="IL320" s="178"/>
      <c r="IM320" s="178"/>
      <c r="IN320" s="178"/>
      <c r="IO320" s="178"/>
      <c r="IP320" s="178"/>
      <c r="IQ320" s="178"/>
      <c r="IR320" s="178"/>
      <c r="IS320" s="178"/>
      <c r="IT320" s="178"/>
      <c r="IU320" s="178"/>
      <c r="IV320" s="178"/>
      <c r="IW320" s="178"/>
      <c r="IX320" s="178"/>
      <c r="IY320" s="178"/>
      <c r="IZ320" s="178"/>
      <c r="JA320" s="178"/>
      <c r="JB320" s="178"/>
      <c r="JC320" s="178"/>
      <c r="JD320" s="178"/>
    </row>
    <row r="321">
      <c r="IE321" s="178"/>
      <c r="IF321" s="178"/>
      <c r="IG321" s="178"/>
      <c r="IH321" s="178"/>
      <c r="II321" s="178"/>
      <c r="IJ321" s="178"/>
      <c r="IK321" s="178"/>
      <c r="IL321" s="178"/>
      <c r="IM321" s="178"/>
      <c r="IN321" s="178"/>
      <c r="IO321" s="178"/>
      <c r="IP321" s="178"/>
      <c r="IQ321" s="178"/>
      <c r="IR321" s="178"/>
      <c r="IS321" s="178"/>
      <c r="IT321" s="178"/>
      <c r="IU321" s="178"/>
      <c r="IV321" s="178"/>
      <c r="IW321" s="178"/>
      <c r="IX321" s="178"/>
      <c r="IY321" s="178"/>
      <c r="IZ321" s="178"/>
      <c r="JA321" s="178"/>
      <c r="JB321" s="178"/>
      <c r="JC321" s="178"/>
      <c r="JD321" s="178"/>
    </row>
    <row r="322">
      <c r="IE322" s="178"/>
      <c r="IF322" s="178"/>
      <c r="IG322" s="178"/>
      <c r="IH322" s="178"/>
      <c r="II322" s="178"/>
      <c r="IJ322" s="178"/>
      <c r="IK322" s="178"/>
      <c r="IL322" s="178"/>
      <c r="IM322" s="178"/>
      <c r="IN322" s="178"/>
      <c r="IO322" s="178"/>
      <c r="IP322" s="178"/>
      <c r="IQ322" s="178"/>
      <c r="IR322" s="178"/>
      <c r="IS322" s="178"/>
      <c r="IT322" s="178"/>
      <c r="IU322" s="178"/>
      <c r="IV322" s="178"/>
      <c r="IW322" s="178"/>
      <c r="IX322" s="178"/>
      <c r="IY322" s="178"/>
      <c r="IZ322" s="178"/>
      <c r="JA322" s="178"/>
      <c r="JB322" s="178"/>
      <c r="JC322" s="178"/>
      <c r="JD322" s="178"/>
    </row>
    <row r="323">
      <c r="IE323" s="178"/>
      <c r="IF323" s="178"/>
      <c r="IG323" s="178"/>
      <c r="IH323" s="178"/>
      <c r="II323" s="178"/>
      <c r="IJ323" s="178"/>
      <c r="IK323" s="178"/>
      <c r="IL323" s="178"/>
      <c r="IM323" s="178"/>
      <c r="IN323" s="178"/>
      <c r="IO323" s="178"/>
      <c r="IP323" s="178"/>
      <c r="IQ323" s="178"/>
      <c r="IR323" s="178"/>
      <c r="IS323" s="178"/>
      <c r="IT323" s="178"/>
      <c r="IU323" s="178"/>
      <c r="IV323" s="178"/>
      <c r="IW323" s="178"/>
      <c r="IX323" s="178"/>
      <c r="IY323" s="178"/>
      <c r="IZ323" s="178"/>
      <c r="JA323" s="178"/>
      <c r="JB323" s="178"/>
      <c r="JC323" s="178"/>
      <c r="JD323" s="178"/>
    </row>
    <row r="324">
      <c r="IE324" s="178"/>
      <c r="IF324" s="178"/>
      <c r="IG324" s="178"/>
      <c r="IH324" s="178"/>
      <c r="II324" s="178"/>
      <c r="IJ324" s="178"/>
      <c r="IK324" s="178"/>
      <c r="IL324" s="178"/>
      <c r="IM324" s="178"/>
      <c r="IN324" s="178"/>
      <c r="IO324" s="178"/>
      <c r="IP324" s="178"/>
      <c r="IQ324" s="178"/>
      <c r="IR324" s="178"/>
      <c r="IS324" s="178"/>
      <c r="IT324" s="178"/>
      <c r="IU324" s="178"/>
      <c r="IV324" s="178"/>
      <c r="IW324" s="178"/>
      <c r="IX324" s="178"/>
      <c r="IY324" s="178"/>
      <c r="IZ324" s="178"/>
      <c r="JA324" s="178"/>
      <c r="JB324" s="178"/>
      <c r="JC324" s="178"/>
      <c r="JD324" s="178"/>
    </row>
    <row r="325">
      <c r="IE325" s="178"/>
      <c r="IF325" s="178"/>
      <c r="IG325" s="178"/>
      <c r="IH325" s="178"/>
      <c r="II325" s="178"/>
      <c r="IJ325" s="178"/>
      <c r="IK325" s="178"/>
      <c r="IL325" s="178"/>
      <c r="IM325" s="178"/>
      <c r="IN325" s="178"/>
      <c r="IO325" s="178"/>
      <c r="IP325" s="178"/>
      <c r="IQ325" s="178"/>
      <c r="IR325" s="178"/>
      <c r="IS325" s="178"/>
      <c r="IT325" s="178"/>
      <c r="IU325" s="178"/>
      <c r="IV325" s="178"/>
      <c r="IW325" s="178"/>
      <c r="IX325" s="178"/>
      <c r="IY325" s="178"/>
      <c r="IZ325" s="178"/>
      <c r="JA325" s="178"/>
      <c r="JB325" s="178"/>
      <c r="JC325" s="178"/>
      <c r="JD325" s="178"/>
    </row>
    <row r="326">
      <c r="IE326" s="178"/>
      <c r="IF326" s="178"/>
      <c r="IG326" s="178"/>
      <c r="IH326" s="178"/>
      <c r="II326" s="178"/>
      <c r="IJ326" s="178"/>
      <c r="IK326" s="178"/>
      <c r="IL326" s="178"/>
      <c r="IM326" s="178"/>
      <c r="IN326" s="178"/>
      <c r="IO326" s="178"/>
      <c r="IP326" s="178"/>
      <c r="IQ326" s="178"/>
      <c r="IR326" s="178"/>
      <c r="IS326" s="178"/>
      <c r="IT326" s="178"/>
      <c r="IU326" s="178"/>
      <c r="IV326" s="178"/>
      <c r="IW326" s="178"/>
      <c r="IX326" s="178"/>
      <c r="IY326" s="178"/>
      <c r="IZ326" s="178"/>
      <c r="JA326" s="178"/>
      <c r="JB326" s="178"/>
      <c r="JC326" s="178"/>
      <c r="JD326" s="178"/>
    </row>
    <row r="327">
      <c r="IE327" s="178"/>
      <c r="IF327" s="178"/>
      <c r="IG327" s="178"/>
      <c r="IH327" s="178"/>
      <c r="II327" s="178"/>
      <c r="IJ327" s="178"/>
      <c r="IK327" s="178"/>
      <c r="IL327" s="178"/>
      <c r="IM327" s="178"/>
      <c r="IN327" s="178"/>
      <c r="IO327" s="178"/>
      <c r="IP327" s="178"/>
      <c r="IQ327" s="178"/>
      <c r="IR327" s="178"/>
      <c r="IS327" s="178"/>
      <c r="IT327" s="178"/>
      <c r="IU327" s="178"/>
      <c r="IV327" s="178"/>
      <c r="IW327" s="178"/>
      <c r="IX327" s="178"/>
      <c r="IY327" s="178"/>
      <c r="IZ327" s="178"/>
      <c r="JA327" s="178"/>
      <c r="JB327" s="178"/>
      <c r="JC327" s="178"/>
      <c r="JD327" s="178"/>
    </row>
    <row r="328">
      <c r="IE328" s="178"/>
      <c r="IF328" s="178"/>
      <c r="IG328" s="178"/>
      <c r="IH328" s="178"/>
      <c r="II328" s="178"/>
      <c r="IJ328" s="178"/>
      <c r="IK328" s="178"/>
      <c r="IL328" s="178"/>
      <c r="IM328" s="178"/>
      <c r="IN328" s="178"/>
      <c r="IO328" s="178"/>
      <c r="IP328" s="178"/>
      <c r="IQ328" s="178"/>
      <c r="IR328" s="178"/>
      <c r="IS328" s="178"/>
      <c r="IT328" s="178"/>
      <c r="IU328" s="178"/>
      <c r="IV328" s="178"/>
      <c r="IW328" s="178"/>
      <c r="IX328" s="178"/>
      <c r="IY328" s="178"/>
      <c r="IZ328" s="178"/>
      <c r="JA328" s="178"/>
      <c r="JB328" s="178"/>
      <c r="JC328" s="178"/>
      <c r="JD328" s="178"/>
    </row>
    <row r="329">
      <c r="IE329" s="178"/>
      <c r="IF329" s="178"/>
      <c r="IG329" s="178"/>
      <c r="IH329" s="178"/>
      <c r="II329" s="178"/>
      <c r="IJ329" s="178"/>
      <c r="IK329" s="178"/>
      <c r="IL329" s="178"/>
      <c r="IM329" s="178"/>
      <c r="IN329" s="178"/>
      <c r="IO329" s="178"/>
      <c r="IP329" s="178"/>
      <c r="IQ329" s="178"/>
      <c r="IR329" s="178"/>
      <c r="IS329" s="178"/>
      <c r="IT329" s="178"/>
      <c r="IU329" s="178"/>
      <c r="IV329" s="178"/>
      <c r="IW329" s="178"/>
      <c r="IX329" s="178"/>
      <c r="IY329" s="178"/>
      <c r="IZ329" s="178"/>
      <c r="JA329" s="178"/>
      <c r="JB329" s="178"/>
      <c r="JC329" s="178"/>
      <c r="JD329" s="178"/>
    </row>
    <row r="330">
      <c r="IE330" s="178"/>
      <c r="IF330" s="178"/>
      <c r="IG330" s="178"/>
      <c r="IH330" s="178"/>
      <c r="II330" s="178"/>
      <c r="IJ330" s="178"/>
      <c r="IK330" s="178"/>
      <c r="IL330" s="178"/>
      <c r="IM330" s="178"/>
      <c r="IN330" s="178"/>
      <c r="IO330" s="178"/>
      <c r="IP330" s="178"/>
      <c r="IQ330" s="178"/>
      <c r="IR330" s="178"/>
      <c r="IS330" s="178"/>
      <c r="IT330" s="178"/>
      <c r="IU330" s="178"/>
      <c r="IV330" s="178"/>
      <c r="IW330" s="178"/>
      <c r="IX330" s="178"/>
      <c r="IY330" s="178"/>
      <c r="IZ330" s="178"/>
      <c r="JA330" s="178"/>
      <c r="JB330" s="178"/>
      <c r="JC330" s="178"/>
      <c r="JD330" s="178"/>
    </row>
    <row r="331">
      <c r="IE331" s="178"/>
      <c r="IF331" s="178"/>
      <c r="IG331" s="178"/>
      <c r="IH331" s="178"/>
      <c r="II331" s="178"/>
      <c r="IJ331" s="178"/>
      <c r="IK331" s="178"/>
      <c r="IL331" s="178"/>
      <c r="IM331" s="178"/>
      <c r="IN331" s="178"/>
      <c r="IO331" s="178"/>
      <c r="IP331" s="178"/>
      <c r="IQ331" s="178"/>
      <c r="IR331" s="178"/>
      <c r="IS331" s="178"/>
      <c r="IT331" s="178"/>
      <c r="IU331" s="178"/>
      <c r="IV331" s="178"/>
      <c r="IW331" s="178"/>
      <c r="IX331" s="178"/>
      <c r="IY331" s="178"/>
      <c r="IZ331" s="178"/>
      <c r="JA331" s="178"/>
      <c r="JB331" s="178"/>
      <c r="JC331" s="178"/>
      <c r="JD331" s="178"/>
    </row>
    <row r="332">
      <c r="IE332" s="178"/>
      <c r="IF332" s="178"/>
      <c r="IG332" s="178"/>
      <c r="IH332" s="178"/>
      <c r="II332" s="178"/>
      <c r="IJ332" s="178"/>
      <c r="IK332" s="178"/>
      <c r="IL332" s="178"/>
      <c r="IM332" s="178"/>
      <c r="IN332" s="178"/>
      <c r="IO332" s="178"/>
      <c r="IP332" s="178"/>
      <c r="IQ332" s="178"/>
      <c r="IR332" s="178"/>
      <c r="IS332" s="178"/>
      <c r="IT332" s="178"/>
      <c r="IU332" s="178"/>
      <c r="IV332" s="178"/>
      <c r="IW332" s="178"/>
      <c r="IX332" s="178"/>
      <c r="IY332" s="178"/>
      <c r="IZ332" s="178"/>
      <c r="JA332" s="178"/>
      <c r="JB332" s="178"/>
      <c r="JC332" s="178"/>
      <c r="JD332" s="178"/>
    </row>
    <row r="333">
      <c r="IE333" s="178"/>
      <c r="IF333" s="178"/>
      <c r="IG333" s="178"/>
      <c r="IH333" s="178"/>
      <c r="II333" s="178"/>
      <c r="IJ333" s="178"/>
      <c r="IK333" s="178"/>
      <c r="IL333" s="178"/>
      <c r="IM333" s="178"/>
      <c r="IN333" s="178"/>
      <c r="IO333" s="178"/>
      <c r="IP333" s="178"/>
      <c r="IQ333" s="178"/>
      <c r="IR333" s="178"/>
      <c r="IS333" s="178"/>
      <c r="IT333" s="178"/>
      <c r="IU333" s="178"/>
      <c r="IV333" s="178"/>
      <c r="IW333" s="178"/>
      <c r="IX333" s="178"/>
      <c r="IY333" s="178"/>
      <c r="IZ333" s="178"/>
      <c r="JA333" s="178"/>
      <c r="JB333" s="178"/>
      <c r="JC333" s="178"/>
      <c r="JD333" s="178"/>
    </row>
    <row r="334">
      <c r="IE334" s="178"/>
      <c r="IF334" s="178"/>
      <c r="IG334" s="178"/>
      <c r="IH334" s="178"/>
      <c r="II334" s="178"/>
      <c r="IJ334" s="178"/>
      <c r="IK334" s="178"/>
      <c r="IL334" s="178"/>
      <c r="IM334" s="178"/>
      <c r="IN334" s="178"/>
      <c r="IO334" s="178"/>
      <c r="IP334" s="178"/>
      <c r="IQ334" s="178"/>
      <c r="IR334" s="178"/>
      <c r="IS334" s="178"/>
      <c r="IT334" s="178"/>
      <c r="IU334" s="178"/>
      <c r="IV334" s="178"/>
      <c r="IW334" s="178"/>
      <c r="IX334" s="178"/>
      <c r="IY334" s="178"/>
      <c r="IZ334" s="178"/>
      <c r="JA334" s="178"/>
      <c r="JB334" s="178"/>
      <c r="JC334" s="178"/>
      <c r="JD334" s="178"/>
    </row>
    <row r="335">
      <c r="IE335" s="178"/>
      <c r="IF335" s="178"/>
      <c r="IG335" s="178"/>
      <c r="IH335" s="178"/>
      <c r="II335" s="178"/>
      <c r="IJ335" s="178"/>
      <c r="IK335" s="178"/>
      <c r="IL335" s="178"/>
      <c r="IM335" s="178"/>
      <c r="IN335" s="178"/>
      <c r="IO335" s="178"/>
      <c r="IP335" s="178"/>
      <c r="IQ335" s="178"/>
      <c r="IR335" s="178"/>
      <c r="IS335" s="178"/>
      <c r="IT335" s="178"/>
      <c r="IU335" s="178"/>
      <c r="IV335" s="178"/>
      <c r="IW335" s="178"/>
      <c r="IX335" s="178"/>
      <c r="IY335" s="178"/>
      <c r="IZ335" s="178"/>
      <c r="JA335" s="178"/>
      <c r="JB335" s="178"/>
      <c r="JC335" s="178"/>
      <c r="JD335" s="178"/>
    </row>
    <row r="336">
      <c r="IE336" s="178"/>
      <c r="IF336" s="178"/>
      <c r="IG336" s="178"/>
      <c r="IH336" s="178"/>
      <c r="II336" s="178"/>
      <c r="IJ336" s="178"/>
      <c r="IK336" s="178"/>
      <c r="IL336" s="178"/>
      <c r="IM336" s="178"/>
      <c r="IN336" s="178"/>
      <c r="IO336" s="178"/>
      <c r="IP336" s="178"/>
      <c r="IQ336" s="178"/>
      <c r="IR336" s="178"/>
      <c r="IS336" s="178"/>
      <c r="IT336" s="178"/>
      <c r="IU336" s="178"/>
      <c r="IV336" s="178"/>
      <c r="IW336" s="178"/>
      <c r="IX336" s="178"/>
      <c r="IY336" s="178"/>
      <c r="IZ336" s="178"/>
      <c r="JA336" s="178"/>
      <c r="JB336" s="178"/>
      <c r="JC336" s="178"/>
      <c r="JD336" s="178"/>
    </row>
    <row r="337">
      <c r="IE337" s="178"/>
      <c r="IF337" s="178"/>
      <c r="IG337" s="178"/>
      <c r="IH337" s="178"/>
      <c r="II337" s="178"/>
      <c r="IJ337" s="178"/>
      <c r="IK337" s="178"/>
      <c r="IL337" s="178"/>
      <c r="IM337" s="178"/>
      <c r="IN337" s="178"/>
      <c r="IO337" s="178"/>
      <c r="IP337" s="178"/>
      <c r="IQ337" s="178"/>
      <c r="IR337" s="178"/>
      <c r="IS337" s="178"/>
      <c r="IT337" s="178"/>
      <c r="IU337" s="178"/>
      <c r="IV337" s="178"/>
      <c r="IW337" s="178"/>
      <c r="IX337" s="178"/>
      <c r="IY337" s="178"/>
      <c r="IZ337" s="178"/>
      <c r="JA337" s="178"/>
      <c r="JB337" s="178"/>
      <c r="JC337" s="178"/>
      <c r="JD337" s="178"/>
    </row>
    <row r="338">
      <c r="IE338" s="178"/>
      <c r="IF338" s="178"/>
      <c r="IG338" s="178"/>
      <c r="IH338" s="178"/>
      <c r="II338" s="178"/>
      <c r="IJ338" s="178"/>
      <c r="IK338" s="178"/>
      <c r="IL338" s="178"/>
      <c r="IM338" s="178"/>
      <c r="IN338" s="178"/>
      <c r="IO338" s="178"/>
      <c r="IP338" s="178"/>
      <c r="IQ338" s="178"/>
      <c r="IR338" s="178"/>
      <c r="IS338" s="178"/>
      <c r="IT338" s="178"/>
      <c r="IU338" s="178"/>
      <c r="IV338" s="178"/>
      <c r="IW338" s="178"/>
      <c r="IX338" s="178"/>
      <c r="IY338" s="178"/>
      <c r="IZ338" s="178"/>
      <c r="JA338" s="178"/>
      <c r="JB338" s="178"/>
      <c r="JC338" s="178"/>
      <c r="JD338" s="178"/>
    </row>
    <row r="339">
      <c r="IE339" s="178"/>
      <c r="IF339" s="178"/>
      <c r="IG339" s="178"/>
      <c r="IH339" s="178"/>
      <c r="II339" s="178"/>
      <c r="IJ339" s="178"/>
      <c r="IK339" s="178"/>
      <c r="IL339" s="178"/>
      <c r="IM339" s="178"/>
      <c r="IN339" s="178"/>
      <c r="IO339" s="178"/>
      <c r="IP339" s="178"/>
      <c r="IQ339" s="178"/>
      <c r="IR339" s="178"/>
      <c r="IS339" s="178"/>
      <c r="IT339" s="178"/>
      <c r="IU339" s="178"/>
      <c r="IV339" s="178"/>
      <c r="IW339" s="178"/>
      <c r="IX339" s="178"/>
      <c r="IY339" s="178"/>
      <c r="IZ339" s="178"/>
      <c r="JA339" s="178"/>
      <c r="JB339" s="178"/>
      <c r="JC339" s="178"/>
      <c r="JD339" s="178"/>
    </row>
    <row r="340">
      <c r="IE340" s="178"/>
      <c r="IF340" s="178"/>
      <c r="IG340" s="178"/>
      <c r="IH340" s="178"/>
      <c r="II340" s="178"/>
      <c r="IJ340" s="178"/>
      <c r="IK340" s="178"/>
      <c r="IL340" s="178"/>
      <c r="IM340" s="178"/>
      <c r="IN340" s="178"/>
      <c r="IO340" s="178"/>
      <c r="IP340" s="178"/>
      <c r="IQ340" s="178"/>
      <c r="IR340" s="178"/>
      <c r="IS340" s="178"/>
      <c r="IT340" s="178"/>
      <c r="IU340" s="178"/>
      <c r="IV340" s="178"/>
      <c r="IW340" s="178"/>
      <c r="IX340" s="178"/>
      <c r="IY340" s="178"/>
      <c r="IZ340" s="178"/>
      <c r="JA340" s="178"/>
      <c r="JB340" s="178"/>
      <c r="JC340" s="178"/>
      <c r="JD340" s="178"/>
    </row>
    <row r="341">
      <c r="IE341" s="178"/>
      <c r="IF341" s="178"/>
      <c r="IG341" s="178"/>
      <c r="IH341" s="178"/>
      <c r="II341" s="178"/>
      <c r="IJ341" s="178"/>
      <c r="IK341" s="178"/>
      <c r="IL341" s="178"/>
      <c r="IM341" s="178"/>
      <c r="IN341" s="178"/>
      <c r="IO341" s="178"/>
      <c r="IP341" s="178"/>
      <c r="IQ341" s="178"/>
      <c r="IR341" s="178"/>
      <c r="IS341" s="178"/>
      <c r="IT341" s="178"/>
      <c r="IU341" s="178"/>
      <c r="IV341" s="178"/>
      <c r="IW341" s="178"/>
      <c r="IX341" s="178"/>
      <c r="IY341" s="178"/>
      <c r="IZ341" s="178"/>
      <c r="JA341" s="178"/>
      <c r="JB341" s="178"/>
      <c r="JC341" s="178"/>
      <c r="JD341" s="178"/>
    </row>
    <row r="342">
      <c r="IE342" s="178"/>
      <c r="IF342" s="178"/>
      <c r="IG342" s="178"/>
      <c r="IH342" s="178"/>
      <c r="II342" s="178"/>
      <c r="IJ342" s="178"/>
      <c r="IK342" s="178"/>
      <c r="IL342" s="178"/>
      <c r="IM342" s="178"/>
      <c r="IN342" s="178"/>
      <c r="IO342" s="178"/>
      <c r="IP342" s="178"/>
      <c r="IQ342" s="178"/>
      <c r="IR342" s="178"/>
      <c r="IS342" s="178"/>
      <c r="IT342" s="178"/>
      <c r="IU342" s="178"/>
      <c r="IV342" s="178"/>
      <c r="IW342" s="178"/>
      <c r="IX342" s="178"/>
      <c r="IY342" s="178"/>
      <c r="IZ342" s="178"/>
      <c r="JA342" s="178"/>
      <c r="JB342" s="178"/>
      <c r="JC342" s="178"/>
      <c r="JD342" s="178"/>
    </row>
    <row r="343">
      <c r="IE343" s="178"/>
      <c r="IF343" s="178"/>
      <c r="IG343" s="178"/>
      <c r="IH343" s="178"/>
      <c r="II343" s="178"/>
      <c r="IJ343" s="178"/>
      <c r="IK343" s="178"/>
      <c r="IL343" s="178"/>
      <c r="IM343" s="178"/>
      <c r="IN343" s="178"/>
      <c r="IO343" s="178"/>
      <c r="IP343" s="178"/>
      <c r="IQ343" s="178"/>
      <c r="IR343" s="178"/>
      <c r="IS343" s="178"/>
      <c r="IT343" s="178"/>
      <c r="IU343" s="178"/>
      <c r="IV343" s="178"/>
      <c r="IW343" s="178"/>
      <c r="IX343" s="178"/>
      <c r="IY343" s="178"/>
      <c r="IZ343" s="178"/>
      <c r="JA343" s="178"/>
      <c r="JB343" s="178"/>
      <c r="JC343" s="178"/>
      <c r="JD343" s="178"/>
    </row>
    <row r="344">
      <c r="IE344" s="178"/>
      <c r="IF344" s="178"/>
      <c r="IG344" s="178"/>
      <c r="IH344" s="178"/>
      <c r="II344" s="178"/>
      <c r="IJ344" s="178"/>
      <c r="IK344" s="178"/>
      <c r="IL344" s="178"/>
      <c r="IM344" s="178"/>
      <c r="IN344" s="178"/>
      <c r="IO344" s="178"/>
      <c r="IP344" s="178"/>
      <c r="IQ344" s="178"/>
      <c r="IR344" s="178"/>
      <c r="IS344" s="178"/>
      <c r="IT344" s="178"/>
      <c r="IU344" s="178"/>
      <c r="IV344" s="178"/>
      <c r="IW344" s="178"/>
      <c r="IX344" s="178"/>
      <c r="IY344" s="178"/>
      <c r="IZ344" s="178"/>
      <c r="JA344" s="178"/>
      <c r="JB344" s="178"/>
      <c r="JC344" s="178"/>
      <c r="JD344" s="178"/>
    </row>
    <row r="345">
      <c r="IE345" s="178"/>
      <c r="IF345" s="178"/>
      <c r="IG345" s="178"/>
      <c r="IH345" s="178"/>
      <c r="II345" s="178"/>
      <c r="IJ345" s="178"/>
      <c r="IK345" s="178"/>
      <c r="IL345" s="178"/>
      <c r="IM345" s="178"/>
      <c r="IN345" s="178"/>
      <c r="IO345" s="178"/>
      <c r="IP345" s="178"/>
      <c r="IQ345" s="178"/>
      <c r="IR345" s="178"/>
      <c r="IS345" s="178"/>
      <c r="IT345" s="178"/>
      <c r="IU345" s="178"/>
      <c r="IV345" s="178"/>
      <c r="IW345" s="178"/>
      <c r="IX345" s="178"/>
      <c r="IY345" s="178"/>
      <c r="IZ345" s="178"/>
      <c r="JA345" s="178"/>
      <c r="JB345" s="178"/>
      <c r="JC345" s="178"/>
      <c r="JD345" s="178"/>
    </row>
    <row r="346">
      <c r="IE346" s="178"/>
      <c r="IF346" s="178"/>
      <c r="IG346" s="178"/>
      <c r="IH346" s="178"/>
      <c r="II346" s="178"/>
      <c r="IJ346" s="178"/>
      <c r="IK346" s="178"/>
      <c r="IL346" s="178"/>
      <c r="IM346" s="178"/>
      <c r="IN346" s="178"/>
      <c r="IO346" s="178"/>
      <c r="IP346" s="178"/>
      <c r="IQ346" s="178"/>
      <c r="IR346" s="178"/>
      <c r="IS346" s="178"/>
      <c r="IT346" s="178"/>
      <c r="IU346" s="178"/>
      <c r="IV346" s="178"/>
      <c r="IW346" s="178"/>
      <c r="IX346" s="178"/>
      <c r="IY346" s="178"/>
      <c r="IZ346" s="178"/>
      <c r="JA346" s="178"/>
      <c r="JB346" s="178"/>
      <c r="JC346" s="178"/>
      <c r="JD346" s="178"/>
    </row>
    <row r="347">
      <c r="IE347" s="178"/>
      <c r="IF347" s="178"/>
      <c r="IG347" s="178"/>
      <c r="IH347" s="178"/>
      <c r="II347" s="178"/>
      <c r="IJ347" s="178"/>
      <c r="IK347" s="178"/>
      <c r="IL347" s="178"/>
      <c r="IM347" s="178"/>
      <c r="IN347" s="178"/>
      <c r="IO347" s="178"/>
      <c r="IP347" s="178"/>
      <c r="IQ347" s="178"/>
      <c r="IR347" s="178"/>
      <c r="IS347" s="178"/>
      <c r="IT347" s="178"/>
      <c r="IU347" s="178"/>
      <c r="IV347" s="178"/>
      <c r="IW347" s="178"/>
      <c r="IX347" s="178"/>
      <c r="IY347" s="178"/>
      <c r="IZ347" s="178"/>
      <c r="JA347" s="178"/>
      <c r="JB347" s="178"/>
      <c r="JC347" s="178"/>
      <c r="JD347" s="178"/>
    </row>
    <row r="348">
      <c r="IE348" s="178"/>
      <c r="IF348" s="178"/>
      <c r="IG348" s="178"/>
      <c r="IH348" s="178"/>
      <c r="II348" s="178"/>
      <c r="IJ348" s="178"/>
      <c r="IK348" s="178"/>
      <c r="IL348" s="178"/>
      <c r="IM348" s="178"/>
      <c r="IN348" s="178"/>
      <c r="IO348" s="178"/>
      <c r="IP348" s="178"/>
      <c r="IQ348" s="178"/>
      <c r="IR348" s="178"/>
      <c r="IS348" s="178"/>
      <c r="IT348" s="178"/>
      <c r="IU348" s="178"/>
      <c r="IV348" s="178"/>
      <c r="IW348" s="178"/>
      <c r="IX348" s="178"/>
      <c r="IY348" s="178"/>
      <c r="IZ348" s="178"/>
      <c r="JA348" s="178"/>
      <c r="JB348" s="178"/>
      <c r="JC348" s="178"/>
      <c r="JD348" s="178"/>
    </row>
    <row r="349">
      <c r="IE349" s="178"/>
      <c r="IF349" s="178"/>
      <c r="IG349" s="178"/>
      <c r="IH349" s="178"/>
      <c r="II349" s="178"/>
      <c r="IJ349" s="178"/>
      <c r="IK349" s="178"/>
      <c r="IL349" s="178"/>
      <c r="IM349" s="178"/>
      <c r="IN349" s="178"/>
      <c r="IO349" s="178"/>
      <c r="IP349" s="178"/>
      <c r="IQ349" s="178"/>
      <c r="IR349" s="178"/>
      <c r="IS349" s="178"/>
      <c r="IT349" s="178"/>
      <c r="IU349" s="178"/>
      <c r="IV349" s="178"/>
      <c r="IW349" s="178"/>
      <c r="IX349" s="178"/>
      <c r="IY349" s="178"/>
      <c r="IZ349" s="178"/>
      <c r="JA349" s="178"/>
      <c r="JB349" s="178"/>
      <c r="JC349" s="178"/>
      <c r="JD349" s="178"/>
    </row>
    <row r="350">
      <c r="IE350" s="178"/>
      <c r="IF350" s="178"/>
      <c r="IG350" s="178"/>
      <c r="IH350" s="178"/>
      <c r="II350" s="178"/>
      <c r="IJ350" s="178"/>
      <c r="IK350" s="178"/>
      <c r="IL350" s="178"/>
      <c r="IM350" s="178"/>
      <c r="IN350" s="178"/>
      <c r="IO350" s="178"/>
      <c r="IP350" s="178"/>
      <c r="IQ350" s="178"/>
      <c r="IR350" s="178"/>
      <c r="IS350" s="178"/>
      <c r="IT350" s="178"/>
      <c r="IU350" s="178"/>
      <c r="IV350" s="178"/>
      <c r="IW350" s="178"/>
      <c r="IX350" s="178"/>
      <c r="IY350" s="178"/>
      <c r="IZ350" s="178"/>
      <c r="JA350" s="178"/>
      <c r="JB350" s="178"/>
      <c r="JC350" s="178"/>
      <c r="JD350" s="178"/>
    </row>
    <row r="351">
      <c r="IE351" s="178"/>
      <c r="IF351" s="178"/>
      <c r="IG351" s="178"/>
      <c r="IH351" s="178"/>
      <c r="II351" s="178"/>
      <c r="IJ351" s="178"/>
      <c r="IK351" s="178"/>
      <c r="IL351" s="178"/>
      <c r="IM351" s="178"/>
      <c r="IN351" s="178"/>
      <c r="IO351" s="178"/>
      <c r="IP351" s="178"/>
      <c r="IQ351" s="178"/>
      <c r="IR351" s="178"/>
      <c r="IS351" s="178"/>
      <c r="IT351" s="178"/>
      <c r="IU351" s="178"/>
      <c r="IV351" s="178"/>
      <c r="IW351" s="178"/>
      <c r="IX351" s="178"/>
      <c r="IY351" s="178"/>
      <c r="IZ351" s="178"/>
      <c r="JA351" s="178"/>
      <c r="JB351" s="178"/>
      <c r="JC351" s="178"/>
      <c r="JD351" s="178"/>
    </row>
    <row r="352">
      <c r="IE352" s="178"/>
      <c r="IF352" s="178"/>
      <c r="IG352" s="178"/>
      <c r="IH352" s="178"/>
      <c r="II352" s="178"/>
      <c r="IJ352" s="178"/>
      <c r="IK352" s="178"/>
      <c r="IL352" s="178"/>
      <c r="IM352" s="178"/>
      <c r="IN352" s="178"/>
      <c r="IO352" s="178"/>
      <c r="IP352" s="178"/>
      <c r="IQ352" s="178"/>
      <c r="IR352" s="178"/>
      <c r="IS352" s="178"/>
      <c r="IT352" s="178"/>
      <c r="IU352" s="178"/>
      <c r="IV352" s="178"/>
      <c r="IW352" s="178"/>
      <c r="IX352" s="178"/>
      <c r="IY352" s="178"/>
      <c r="IZ352" s="178"/>
      <c r="JA352" s="178"/>
      <c r="JB352" s="178"/>
      <c r="JC352" s="178"/>
      <c r="JD352" s="178"/>
    </row>
    <row r="353">
      <c r="IE353" s="178"/>
      <c r="IF353" s="178"/>
      <c r="IG353" s="178"/>
      <c r="IH353" s="178"/>
      <c r="II353" s="178"/>
      <c r="IJ353" s="178"/>
      <c r="IK353" s="178"/>
      <c r="IL353" s="178"/>
      <c r="IM353" s="178"/>
      <c r="IN353" s="178"/>
      <c r="IO353" s="178"/>
      <c r="IP353" s="178"/>
      <c r="IQ353" s="178"/>
      <c r="IR353" s="178"/>
      <c r="IS353" s="178"/>
      <c r="IT353" s="178"/>
      <c r="IU353" s="178"/>
      <c r="IV353" s="178"/>
      <c r="IW353" s="178"/>
      <c r="IX353" s="178"/>
      <c r="IY353" s="178"/>
      <c r="IZ353" s="178"/>
      <c r="JA353" s="178"/>
      <c r="JB353" s="178"/>
      <c r="JC353" s="178"/>
      <c r="JD353" s="178"/>
    </row>
    <row r="354">
      <c r="IE354" s="178"/>
      <c r="IF354" s="178"/>
      <c r="IG354" s="178"/>
      <c r="IH354" s="178"/>
      <c r="II354" s="178"/>
      <c r="IJ354" s="178"/>
      <c r="IK354" s="178"/>
      <c r="IL354" s="178"/>
      <c r="IM354" s="178"/>
      <c r="IN354" s="178"/>
      <c r="IO354" s="178"/>
      <c r="IP354" s="178"/>
      <c r="IQ354" s="178"/>
      <c r="IR354" s="178"/>
      <c r="IS354" s="178"/>
      <c r="IT354" s="178"/>
      <c r="IU354" s="178"/>
      <c r="IV354" s="178"/>
      <c r="IW354" s="178"/>
      <c r="IX354" s="178"/>
      <c r="IY354" s="178"/>
      <c r="IZ354" s="178"/>
      <c r="JA354" s="178"/>
      <c r="JB354" s="178"/>
      <c r="JC354" s="178"/>
      <c r="JD354" s="178"/>
    </row>
    <row r="355">
      <c r="IE355" s="178"/>
      <c r="IF355" s="178"/>
      <c r="IG355" s="178"/>
      <c r="IH355" s="178"/>
      <c r="II355" s="178"/>
      <c r="IJ355" s="178"/>
      <c r="IK355" s="178"/>
      <c r="IL355" s="178"/>
      <c r="IM355" s="178"/>
      <c r="IN355" s="178"/>
      <c r="IO355" s="178"/>
      <c r="IP355" s="178"/>
      <c r="IQ355" s="178"/>
      <c r="IR355" s="178"/>
      <c r="IS355" s="178"/>
      <c r="IT355" s="178"/>
      <c r="IU355" s="178"/>
      <c r="IV355" s="178"/>
      <c r="IW355" s="178"/>
      <c r="IX355" s="178"/>
      <c r="IY355" s="178"/>
      <c r="IZ355" s="178"/>
      <c r="JA355" s="178"/>
      <c r="JB355" s="178"/>
      <c r="JC355" s="178"/>
      <c r="JD355" s="178"/>
    </row>
    <row r="356">
      <c r="IE356" s="178"/>
      <c r="IF356" s="178"/>
      <c r="IG356" s="178"/>
      <c r="IH356" s="178"/>
      <c r="II356" s="178"/>
      <c r="IJ356" s="178"/>
      <c r="IK356" s="178"/>
      <c r="IL356" s="178"/>
      <c r="IM356" s="178"/>
      <c r="IN356" s="178"/>
      <c r="IO356" s="178"/>
      <c r="IP356" s="178"/>
      <c r="IQ356" s="178"/>
      <c r="IR356" s="178"/>
      <c r="IS356" s="178"/>
      <c r="IT356" s="178"/>
      <c r="IU356" s="178"/>
      <c r="IV356" s="178"/>
      <c r="IW356" s="178"/>
      <c r="IX356" s="178"/>
      <c r="IY356" s="178"/>
      <c r="IZ356" s="178"/>
      <c r="JA356" s="178"/>
      <c r="JB356" s="178"/>
      <c r="JC356" s="178"/>
      <c r="JD356" s="178"/>
    </row>
    <row r="357">
      <c r="IE357" s="178"/>
      <c r="IF357" s="178"/>
      <c r="IG357" s="178"/>
      <c r="IH357" s="178"/>
      <c r="II357" s="178"/>
      <c r="IJ357" s="178"/>
      <c r="IK357" s="178"/>
      <c r="IL357" s="178"/>
      <c r="IM357" s="178"/>
      <c r="IN357" s="178"/>
      <c r="IO357" s="178"/>
      <c r="IP357" s="178"/>
      <c r="IQ357" s="178"/>
      <c r="IR357" s="178"/>
      <c r="IS357" s="178"/>
      <c r="IT357" s="178"/>
      <c r="IU357" s="178"/>
      <c r="IV357" s="178"/>
      <c r="IW357" s="178"/>
      <c r="IX357" s="178"/>
      <c r="IY357" s="178"/>
      <c r="IZ357" s="178"/>
      <c r="JA357" s="178"/>
      <c r="JB357" s="178"/>
      <c r="JC357" s="178"/>
      <c r="JD357" s="178"/>
    </row>
    <row r="358">
      <c r="IE358" s="178"/>
      <c r="IF358" s="178"/>
      <c r="IG358" s="178"/>
      <c r="IH358" s="178"/>
      <c r="II358" s="178"/>
      <c r="IJ358" s="178"/>
      <c r="IK358" s="178"/>
      <c r="IL358" s="178"/>
      <c r="IM358" s="178"/>
      <c r="IN358" s="178"/>
      <c r="IO358" s="178"/>
      <c r="IP358" s="178"/>
      <c r="IQ358" s="178"/>
      <c r="IR358" s="178"/>
      <c r="IS358" s="178"/>
      <c r="IT358" s="178"/>
      <c r="IU358" s="178"/>
      <c r="IV358" s="178"/>
      <c r="IW358" s="178"/>
      <c r="IX358" s="178"/>
      <c r="IY358" s="178"/>
      <c r="IZ358" s="178"/>
      <c r="JA358" s="178"/>
      <c r="JB358" s="178"/>
      <c r="JC358" s="178"/>
      <c r="JD358" s="178"/>
    </row>
    <row r="359">
      <c r="IE359" s="178"/>
      <c r="IF359" s="178"/>
      <c r="IG359" s="178"/>
      <c r="IH359" s="178"/>
      <c r="II359" s="178"/>
      <c r="IJ359" s="178"/>
      <c r="IK359" s="178"/>
      <c r="IL359" s="178"/>
      <c r="IM359" s="178"/>
      <c r="IN359" s="178"/>
      <c r="IO359" s="178"/>
      <c r="IP359" s="178"/>
      <c r="IQ359" s="178"/>
      <c r="IR359" s="178"/>
      <c r="IS359" s="178"/>
      <c r="IT359" s="178"/>
      <c r="IU359" s="178"/>
      <c r="IV359" s="178"/>
      <c r="IW359" s="178"/>
      <c r="IX359" s="178"/>
      <c r="IY359" s="178"/>
      <c r="IZ359" s="178"/>
      <c r="JA359" s="178"/>
      <c r="JB359" s="178"/>
      <c r="JC359" s="178"/>
      <c r="JD359" s="178"/>
    </row>
    <row r="360">
      <c r="IE360" s="178"/>
      <c r="IF360" s="178"/>
      <c r="IG360" s="178"/>
      <c r="IH360" s="178"/>
      <c r="II360" s="178"/>
      <c r="IJ360" s="178"/>
      <c r="IK360" s="178"/>
      <c r="IL360" s="178"/>
      <c r="IM360" s="178"/>
      <c r="IN360" s="178"/>
      <c r="IO360" s="178"/>
      <c r="IP360" s="178"/>
      <c r="IQ360" s="178"/>
      <c r="IR360" s="178"/>
      <c r="IS360" s="178"/>
      <c r="IT360" s="178"/>
      <c r="IU360" s="178"/>
      <c r="IV360" s="178"/>
      <c r="IW360" s="178"/>
      <c r="IX360" s="178"/>
      <c r="IY360" s="178"/>
      <c r="IZ360" s="178"/>
      <c r="JA360" s="178"/>
      <c r="JB360" s="178"/>
      <c r="JC360" s="178"/>
      <c r="JD360" s="178"/>
    </row>
    <row r="361">
      <c r="IE361" s="178"/>
      <c r="IF361" s="178"/>
      <c r="IG361" s="178"/>
      <c r="IH361" s="178"/>
      <c r="II361" s="178"/>
      <c r="IJ361" s="178"/>
      <c r="IK361" s="178"/>
      <c r="IL361" s="178"/>
      <c r="IM361" s="178"/>
      <c r="IN361" s="178"/>
      <c r="IO361" s="178"/>
      <c r="IP361" s="178"/>
      <c r="IQ361" s="178"/>
      <c r="IR361" s="178"/>
      <c r="IS361" s="178"/>
      <c r="IT361" s="178"/>
      <c r="IU361" s="178"/>
      <c r="IV361" s="178"/>
      <c r="IW361" s="178"/>
      <c r="IX361" s="178"/>
      <c r="IY361" s="178"/>
      <c r="IZ361" s="178"/>
      <c r="JA361" s="178"/>
      <c r="JB361" s="178"/>
      <c r="JC361" s="178"/>
      <c r="JD361" s="178"/>
    </row>
    <row r="362">
      <c r="IE362" s="178"/>
      <c r="IF362" s="178"/>
      <c r="IG362" s="178"/>
      <c r="IH362" s="178"/>
      <c r="II362" s="178"/>
      <c r="IJ362" s="178"/>
      <c r="IK362" s="178"/>
      <c r="IL362" s="178"/>
      <c r="IM362" s="178"/>
      <c r="IN362" s="178"/>
      <c r="IO362" s="178"/>
      <c r="IP362" s="178"/>
      <c r="IQ362" s="178"/>
      <c r="IR362" s="178"/>
      <c r="IS362" s="178"/>
      <c r="IT362" s="178"/>
      <c r="IU362" s="178"/>
      <c r="IV362" s="178"/>
      <c r="IW362" s="178"/>
      <c r="IX362" s="178"/>
      <c r="IY362" s="178"/>
      <c r="IZ362" s="178"/>
      <c r="JA362" s="178"/>
      <c r="JB362" s="178"/>
      <c r="JC362" s="178"/>
      <c r="JD362" s="178"/>
    </row>
    <row r="363">
      <c r="IE363" s="178"/>
      <c r="IF363" s="178"/>
      <c r="IG363" s="178"/>
      <c r="IH363" s="178"/>
      <c r="II363" s="178"/>
      <c r="IJ363" s="178"/>
      <c r="IK363" s="178"/>
      <c r="IL363" s="178"/>
      <c r="IM363" s="178"/>
      <c r="IN363" s="178"/>
      <c r="IO363" s="178"/>
      <c r="IP363" s="178"/>
      <c r="IQ363" s="178"/>
      <c r="IR363" s="178"/>
      <c r="IS363" s="178"/>
      <c r="IT363" s="178"/>
      <c r="IU363" s="178"/>
      <c r="IV363" s="178"/>
      <c r="IW363" s="178"/>
      <c r="IX363" s="178"/>
      <c r="IY363" s="178"/>
      <c r="IZ363" s="178"/>
      <c r="JA363" s="178"/>
      <c r="JB363" s="178"/>
      <c r="JC363" s="178"/>
      <c r="JD363" s="178"/>
    </row>
    <row r="364">
      <c r="IE364" s="178"/>
      <c r="IF364" s="178"/>
      <c r="IG364" s="178"/>
      <c r="IH364" s="178"/>
      <c r="II364" s="178"/>
      <c r="IJ364" s="178"/>
      <c r="IK364" s="178"/>
      <c r="IL364" s="178"/>
      <c r="IM364" s="178"/>
      <c r="IN364" s="178"/>
      <c r="IO364" s="178"/>
      <c r="IP364" s="178"/>
      <c r="IQ364" s="178"/>
      <c r="IR364" s="178"/>
      <c r="IS364" s="178"/>
      <c r="IT364" s="178"/>
      <c r="IU364" s="178"/>
      <c r="IV364" s="178"/>
      <c r="IW364" s="178"/>
      <c r="IX364" s="178"/>
      <c r="IY364" s="178"/>
      <c r="IZ364" s="178"/>
      <c r="JA364" s="178"/>
      <c r="JB364" s="178"/>
      <c r="JC364" s="178"/>
      <c r="JD364" s="178"/>
    </row>
    <row r="365">
      <c r="IE365" s="178"/>
      <c r="IF365" s="178"/>
      <c r="IG365" s="178"/>
      <c r="IH365" s="178"/>
      <c r="II365" s="178"/>
      <c r="IJ365" s="178"/>
      <c r="IK365" s="178"/>
      <c r="IL365" s="178"/>
      <c r="IM365" s="178"/>
      <c r="IN365" s="178"/>
      <c r="IO365" s="178"/>
      <c r="IP365" s="178"/>
      <c r="IQ365" s="178"/>
      <c r="IR365" s="178"/>
      <c r="IS365" s="178"/>
      <c r="IT365" s="178"/>
      <c r="IU365" s="178"/>
      <c r="IV365" s="178"/>
      <c r="IW365" s="178"/>
      <c r="IX365" s="178"/>
      <c r="IY365" s="178"/>
      <c r="IZ365" s="178"/>
      <c r="JA365" s="178"/>
      <c r="JB365" s="178"/>
      <c r="JC365" s="178"/>
      <c r="JD365" s="178"/>
    </row>
    <row r="366">
      <c r="IE366" s="178"/>
      <c r="IF366" s="178"/>
      <c r="IG366" s="178"/>
      <c r="IH366" s="178"/>
      <c r="II366" s="178"/>
      <c r="IJ366" s="178"/>
      <c r="IK366" s="178"/>
      <c r="IL366" s="178"/>
      <c r="IM366" s="178"/>
      <c r="IN366" s="178"/>
      <c r="IO366" s="178"/>
      <c r="IP366" s="178"/>
      <c r="IQ366" s="178"/>
      <c r="IR366" s="178"/>
      <c r="IS366" s="178"/>
      <c r="IT366" s="178"/>
      <c r="IU366" s="178"/>
      <c r="IV366" s="178"/>
      <c r="IW366" s="178"/>
      <c r="IX366" s="178"/>
      <c r="IY366" s="178"/>
      <c r="IZ366" s="178"/>
      <c r="JA366" s="178"/>
      <c r="JB366" s="178"/>
      <c r="JC366" s="178"/>
      <c r="JD366" s="178"/>
    </row>
    <row r="367">
      <c r="IE367" s="178"/>
      <c r="IF367" s="178"/>
      <c r="IG367" s="178"/>
      <c r="IH367" s="178"/>
      <c r="II367" s="178"/>
      <c r="IJ367" s="178"/>
      <c r="IK367" s="178"/>
      <c r="IL367" s="178"/>
      <c r="IM367" s="178"/>
      <c r="IN367" s="178"/>
      <c r="IO367" s="178"/>
      <c r="IP367" s="178"/>
      <c r="IQ367" s="178"/>
      <c r="IR367" s="178"/>
      <c r="IS367" s="178"/>
      <c r="IT367" s="178"/>
      <c r="IU367" s="178"/>
      <c r="IV367" s="178"/>
      <c r="IW367" s="178"/>
      <c r="IX367" s="178"/>
      <c r="IY367" s="178"/>
      <c r="IZ367" s="178"/>
      <c r="JA367" s="178"/>
      <c r="JB367" s="178"/>
      <c r="JC367" s="178"/>
      <c r="JD367" s="178"/>
    </row>
    <row r="368">
      <c r="IE368" s="178"/>
      <c r="IF368" s="178"/>
      <c r="IG368" s="178"/>
      <c r="IH368" s="178"/>
      <c r="II368" s="178"/>
      <c r="IJ368" s="178"/>
      <c r="IK368" s="178"/>
      <c r="IL368" s="178"/>
      <c r="IM368" s="178"/>
      <c r="IN368" s="178"/>
      <c r="IO368" s="178"/>
      <c r="IP368" s="178"/>
      <c r="IQ368" s="178"/>
      <c r="IR368" s="178"/>
      <c r="IS368" s="178"/>
      <c r="IT368" s="178"/>
      <c r="IU368" s="178"/>
      <c r="IV368" s="178"/>
      <c r="IW368" s="178"/>
      <c r="IX368" s="178"/>
      <c r="IY368" s="178"/>
      <c r="IZ368" s="178"/>
      <c r="JA368" s="178"/>
      <c r="JB368" s="178"/>
      <c r="JC368" s="178"/>
      <c r="JD368" s="178"/>
    </row>
    <row r="369">
      <c r="IE369" s="178"/>
      <c r="IF369" s="178"/>
      <c r="IG369" s="178"/>
      <c r="IH369" s="178"/>
      <c r="II369" s="178"/>
      <c r="IJ369" s="178"/>
      <c r="IK369" s="178"/>
      <c r="IL369" s="178"/>
      <c r="IM369" s="178"/>
      <c r="IN369" s="178"/>
      <c r="IO369" s="178"/>
      <c r="IP369" s="178"/>
      <c r="IQ369" s="178"/>
      <c r="IR369" s="178"/>
      <c r="IS369" s="178"/>
      <c r="IT369" s="178"/>
      <c r="IU369" s="178"/>
      <c r="IV369" s="178"/>
      <c r="IW369" s="178"/>
      <c r="IX369" s="178"/>
      <c r="IY369" s="178"/>
      <c r="IZ369" s="178"/>
      <c r="JA369" s="178"/>
      <c r="JB369" s="178"/>
      <c r="JC369" s="178"/>
      <c r="JD369" s="178"/>
    </row>
    <row r="370">
      <c r="IE370" s="178"/>
      <c r="IF370" s="178"/>
      <c r="IG370" s="178"/>
      <c r="IH370" s="178"/>
      <c r="II370" s="178"/>
      <c r="IJ370" s="178"/>
      <c r="IK370" s="178"/>
      <c r="IL370" s="178"/>
      <c r="IM370" s="178"/>
      <c r="IN370" s="178"/>
      <c r="IO370" s="178"/>
      <c r="IP370" s="178"/>
      <c r="IQ370" s="178"/>
      <c r="IR370" s="178"/>
      <c r="IS370" s="178"/>
      <c r="IT370" s="178"/>
      <c r="IU370" s="178"/>
      <c r="IV370" s="178"/>
      <c r="IW370" s="178"/>
      <c r="IX370" s="178"/>
      <c r="IY370" s="178"/>
      <c r="IZ370" s="178"/>
      <c r="JA370" s="178"/>
      <c r="JB370" s="178"/>
      <c r="JC370" s="178"/>
      <c r="JD370" s="178"/>
    </row>
    <row r="371">
      <c r="IE371" s="178"/>
      <c r="IF371" s="178"/>
      <c r="IG371" s="178"/>
      <c r="IH371" s="178"/>
      <c r="II371" s="178"/>
      <c r="IJ371" s="178"/>
      <c r="IK371" s="178"/>
      <c r="IL371" s="178"/>
      <c r="IM371" s="178"/>
      <c r="IN371" s="178"/>
      <c r="IO371" s="178"/>
      <c r="IP371" s="178"/>
      <c r="IQ371" s="178"/>
      <c r="IR371" s="178"/>
      <c r="IS371" s="178"/>
      <c r="IT371" s="178"/>
      <c r="IU371" s="178"/>
      <c r="IV371" s="178"/>
      <c r="IW371" s="178"/>
      <c r="IX371" s="178"/>
      <c r="IY371" s="178"/>
      <c r="IZ371" s="178"/>
      <c r="JA371" s="178"/>
      <c r="JB371" s="178"/>
      <c r="JC371" s="178"/>
      <c r="JD371" s="178"/>
    </row>
    <row r="372">
      <c r="IE372" s="178"/>
      <c r="IF372" s="178"/>
      <c r="IG372" s="178"/>
      <c r="IH372" s="178"/>
      <c r="II372" s="178"/>
      <c r="IJ372" s="178"/>
      <c r="IK372" s="178"/>
      <c r="IL372" s="178"/>
      <c r="IM372" s="178"/>
      <c r="IN372" s="178"/>
      <c r="IO372" s="178"/>
      <c r="IP372" s="178"/>
      <c r="IQ372" s="178"/>
      <c r="IR372" s="178"/>
      <c r="IS372" s="178"/>
      <c r="IT372" s="178"/>
      <c r="IU372" s="178"/>
      <c r="IV372" s="178"/>
      <c r="IW372" s="178"/>
      <c r="IX372" s="178"/>
      <c r="IY372" s="178"/>
      <c r="IZ372" s="178"/>
      <c r="JA372" s="178"/>
      <c r="JB372" s="178"/>
      <c r="JC372" s="178"/>
      <c r="JD372" s="178"/>
    </row>
    <row r="373">
      <c r="IE373" s="178"/>
      <c r="IF373" s="178"/>
      <c r="IG373" s="178"/>
      <c r="IH373" s="178"/>
      <c r="II373" s="178"/>
      <c r="IJ373" s="178"/>
      <c r="IK373" s="178"/>
      <c r="IL373" s="178"/>
      <c r="IM373" s="178"/>
      <c r="IN373" s="178"/>
      <c r="IO373" s="178"/>
      <c r="IP373" s="178"/>
      <c r="IQ373" s="178"/>
      <c r="IR373" s="178"/>
      <c r="IS373" s="178"/>
      <c r="IT373" s="178"/>
      <c r="IU373" s="178"/>
      <c r="IV373" s="178"/>
      <c r="IW373" s="178"/>
      <c r="IX373" s="178"/>
      <c r="IY373" s="178"/>
      <c r="IZ373" s="178"/>
      <c r="JA373" s="178"/>
      <c r="JB373" s="178"/>
      <c r="JC373" s="178"/>
      <c r="JD373" s="178"/>
    </row>
    <row r="374">
      <c r="IE374" s="178"/>
      <c r="IF374" s="178"/>
      <c r="IG374" s="178"/>
      <c r="IH374" s="178"/>
      <c r="II374" s="178"/>
      <c r="IJ374" s="178"/>
      <c r="IK374" s="178"/>
      <c r="IL374" s="178"/>
      <c r="IM374" s="178"/>
      <c r="IN374" s="178"/>
      <c r="IO374" s="178"/>
      <c r="IP374" s="178"/>
      <c r="IQ374" s="178"/>
      <c r="IR374" s="178"/>
      <c r="IS374" s="178"/>
      <c r="IT374" s="178"/>
      <c r="IU374" s="178"/>
      <c r="IV374" s="178"/>
      <c r="IW374" s="178"/>
      <c r="IX374" s="178"/>
      <c r="IY374" s="178"/>
      <c r="IZ374" s="178"/>
      <c r="JA374" s="178"/>
      <c r="JB374" s="178"/>
      <c r="JC374" s="178"/>
      <c r="JD374" s="178"/>
    </row>
    <row r="375">
      <c r="IE375" s="178"/>
      <c r="IF375" s="178"/>
      <c r="IG375" s="178"/>
      <c r="IH375" s="178"/>
      <c r="II375" s="178"/>
      <c r="IJ375" s="178"/>
      <c r="IK375" s="178"/>
      <c r="IL375" s="178"/>
      <c r="IM375" s="178"/>
      <c r="IN375" s="178"/>
      <c r="IO375" s="178"/>
      <c r="IP375" s="178"/>
      <c r="IQ375" s="178"/>
      <c r="IR375" s="178"/>
      <c r="IS375" s="178"/>
      <c r="IT375" s="178"/>
      <c r="IU375" s="178"/>
      <c r="IV375" s="178"/>
      <c r="IW375" s="178"/>
      <c r="IX375" s="178"/>
      <c r="IY375" s="178"/>
      <c r="IZ375" s="178"/>
      <c r="JA375" s="178"/>
      <c r="JB375" s="178"/>
      <c r="JC375" s="178"/>
      <c r="JD375" s="178"/>
    </row>
    <row r="376">
      <c r="IE376" s="178"/>
      <c r="IF376" s="178"/>
      <c r="IG376" s="178"/>
      <c r="IH376" s="178"/>
      <c r="II376" s="178"/>
      <c r="IJ376" s="178"/>
      <c r="IK376" s="178"/>
      <c r="IL376" s="178"/>
      <c r="IM376" s="178"/>
      <c r="IN376" s="178"/>
      <c r="IO376" s="178"/>
      <c r="IP376" s="178"/>
      <c r="IQ376" s="178"/>
      <c r="IR376" s="178"/>
      <c r="IS376" s="178"/>
      <c r="IT376" s="178"/>
      <c r="IU376" s="178"/>
      <c r="IV376" s="178"/>
      <c r="IW376" s="178"/>
      <c r="IX376" s="178"/>
      <c r="IY376" s="178"/>
      <c r="IZ376" s="178"/>
      <c r="JA376" s="178"/>
      <c r="JB376" s="178"/>
      <c r="JC376" s="178"/>
      <c r="JD376" s="178"/>
    </row>
    <row r="377">
      <c r="IE377" s="178"/>
      <c r="IF377" s="178"/>
      <c r="IG377" s="178"/>
      <c r="IH377" s="178"/>
      <c r="II377" s="178"/>
      <c r="IJ377" s="178"/>
      <c r="IK377" s="178"/>
      <c r="IL377" s="178"/>
      <c r="IM377" s="178"/>
      <c r="IN377" s="178"/>
      <c r="IO377" s="178"/>
      <c r="IP377" s="178"/>
      <c r="IQ377" s="178"/>
      <c r="IR377" s="178"/>
      <c r="IS377" s="178"/>
      <c r="IT377" s="178"/>
      <c r="IU377" s="178"/>
      <c r="IV377" s="178"/>
      <c r="IW377" s="178"/>
      <c r="IX377" s="178"/>
      <c r="IY377" s="178"/>
      <c r="IZ377" s="178"/>
      <c r="JA377" s="178"/>
      <c r="JB377" s="178"/>
      <c r="JC377" s="178"/>
      <c r="JD377" s="178"/>
    </row>
    <row r="378">
      <c r="IE378" s="178"/>
      <c r="IF378" s="178"/>
      <c r="IG378" s="178"/>
      <c r="IH378" s="178"/>
      <c r="II378" s="178"/>
      <c r="IJ378" s="178"/>
      <c r="IK378" s="178"/>
      <c r="IL378" s="178"/>
      <c r="IM378" s="178"/>
      <c r="IN378" s="178"/>
      <c r="IO378" s="178"/>
      <c r="IP378" s="178"/>
      <c r="IQ378" s="178"/>
      <c r="IR378" s="178"/>
      <c r="IS378" s="178"/>
      <c r="IT378" s="178"/>
      <c r="IU378" s="178"/>
      <c r="IV378" s="178"/>
      <c r="IW378" s="178"/>
      <c r="IX378" s="178"/>
      <c r="IY378" s="178"/>
      <c r="IZ378" s="178"/>
      <c r="JA378" s="178"/>
      <c r="JB378" s="178"/>
      <c r="JC378" s="178"/>
      <c r="JD378" s="178"/>
    </row>
    <row r="379">
      <c r="IE379" s="178"/>
      <c r="IF379" s="178"/>
      <c r="IG379" s="178"/>
      <c r="IH379" s="178"/>
      <c r="II379" s="178"/>
      <c r="IJ379" s="178"/>
      <c r="IK379" s="178"/>
      <c r="IL379" s="178"/>
      <c r="IM379" s="178"/>
      <c r="IN379" s="178"/>
      <c r="IO379" s="178"/>
      <c r="IP379" s="178"/>
      <c r="IQ379" s="178"/>
      <c r="IR379" s="178"/>
      <c r="IS379" s="178"/>
      <c r="IT379" s="178"/>
      <c r="IU379" s="178"/>
      <c r="IV379" s="178"/>
      <c r="IW379" s="178"/>
      <c r="IX379" s="178"/>
      <c r="IY379" s="178"/>
      <c r="IZ379" s="178"/>
      <c r="JA379" s="178"/>
      <c r="JB379" s="178"/>
      <c r="JC379" s="178"/>
      <c r="JD379" s="178"/>
    </row>
    <row r="380">
      <c r="IE380" s="178"/>
      <c r="IF380" s="178"/>
      <c r="IG380" s="178"/>
      <c r="IH380" s="178"/>
      <c r="II380" s="178"/>
      <c r="IJ380" s="178"/>
      <c r="IK380" s="178"/>
      <c r="IL380" s="178"/>
      <c r="IM380" s="178"/>
      <c r="IN380" s="178"/>
      <c r="IO380" s="178"/>
      <c r="IP380" s="178"/>
      <c r="IQ380" s="178"/>
      <c r="IR380" s="178"/>
      <c r="IS380" s="178"/>
      <c r="IT380" s="178"/>
      <c r="IU380" s="178"/>
      <c r="IV380" s="178"/>
      <c r="IW380" s="178"/>
      <c r="IX380" s="178"/>
      <c r="IY380" s="178"/>
      <c r="IZ380" s="178"/>
      <c r="JA380" s="178"/>
      <c r="JB380" s="178"/>
      <c r="JC380" s="178"/>
      <c r="JD380" s="178"/>
    </row>
    <row r="381">
      <c r="IE381" s="178"/>
      <c r="IF381" s="178"/>
      <c r="IG381" s="178"/>
      <c r="IH381" s="178"/>
      <c r="II381" s="178"/>
      <c r="IJ381" s="178"/>
      <c r="IK381" s="178"/>
      <c r="IL381" s="178"/>
      <c r="IM381" s="178"/>
      <c r="IN381" s="178"/>
      <c r="IO381" s="178"/>
      <c r="IP381" s="178"/>
      <c r="IQ381" s="178"/>
      <c r="IR381" s="178"/>
      <c r="IS381" s="178"/>
      <c r="IT381" s="178"/>
      <c r="IU381" s="178"/>
      <c r="IV381" s="178"/>
      <c r="IW381" s="178"/>
      <c r="IX381" s="178"/>
      <c r="IY381" s="178"/>
      <c r="IZ381" s="178"/>
      <c r="JA381" s="178"/>
      <c r="JB381" s="178"/>
      <c r="JC381" s="178"/>
      <c r="JD381" s="178"/>
    </row>
    <row r="382">
      <c r="IE382" s="178"/>
      <c r="IF382" s="178"/>
      <c r="IG382" s="178"/>
      <c r="IH382" s="178"/>
      <c r="II382" s="178"/>
      <c r="IJ382" s="178"/>
      <c r="IK382" s="178"/>
      <c r="IL382" s="178"/>
      <c r="IM382" s="178"/>
      <c r="IN382" s="178"/>
      <c r="IO382" s="178"/>
      <c r="IP382" s="178"/>
      <c r="IQ382" s="178"/>
      <c r="IR382" s="178"/>
      <c r="IS382" s="178"/>
      <c r="IT382" s="178"/>
      <c r="IU382" s="178"/>
      <c r="IV382" s="178"/>
      <c r="IW382" s="178"/>
      <c r="IX382" s="178"/>
      <c r="IY382" s="178"/>
      <c r="IZ382" s="178"/>
      <c r="JA382" s="178"/>
      <c r="JB382" s="178"/>
      <c r="JC382" s="178"/>
      <c r="JD382" s="178"/>
    </row>
    <row r="383">
      <c r="IE383" s="178"/>
      <c r="IF383" s="178"/>
      <c r="IG383" s="178"/>
      <c r="IH383" s="178"/>
      <c r="II383" s="178"/>
      <c r="IJ383" s="178"/>
      <c r="IK383" s="178"/>
      <c r="IL383" s="178"/>
      <c r="IM383" s="178"/>
      <c r="IN383" s="178"/>
      <c r="IO383" s="178"/>
      <c r="IP383" s="178"/>
      <c r="IQ383" s="178"/>
      <c r="IR383" s="178"/>
      <c r="IS383" s="178"/>
      <c r="IT383" s="178"/>
      <c r="IU383" s="178"/>
      <c r="IV383" s="178"/>
      <c r="IW383" s="178"/>
      <c r="IX383" s="178"/>
      <c r="IY383" s="178"/>
      <c r="IZ383" s="178"/>
      <c r="JA383" s="178"/>
      <c r="JB383" s="178"/>
      <c r="JC383" s="178"/>
      <c r="JD383" s="178"/>
    </row>
    <row r="384">
      <c r="IE384" s="178"/>
      <c r="IF384" s="178"/>
      <c r="IG384" s="178"/>
      <c r="IH384" s="178"/>
      <c r="II384" s="178"/>
      <c r="IJ384" s="178"/>
      <c r="IK384" s="178"/>
      <c r="IL384" s="178"/>
      <c r="IM384" s="178"/>
      <c r="IN384" s="178"/>
      <c r="IO384" s="178"/>
      <c r="IP384" s="178"/>
      <c r="IQ384" s="178"/>
      <c r="IR384" s="178"/>
      <c r="IS384" s="178"/>
      <c r="IT384" s="178"/>
      <c r="IU384" s="178"/>
      <c r="IV384" s="178"/>
      <c r="IW384" s="178"/>
      <c r="IX384" s="178"/>
      <c r="IY384" s="178"/>
      <c r="IZ384" s="178"/>
      <c r="JA384" s="178"/>
      <c r="JB384" s="178"/>
      <c r="JC384" s="178"/>
      <c r="JD384" s="178"/>
    </row>
    <row r="385">
      <c r="IE385" s="178"/>
      <c r="IF385" s="178"/>
      <c r="IG385" s="178"/>
      <c r="IH385" s="178"/>
      <c r="II385" s="178"/>
      <c r="IJ385" s="178"/>
      <c r="IK385" s="178"/>
      <c r="IL385" s="178"/>
      <c r="IM385" s="178"/>
      <c r="IN385" s="178"/>
      <c r="IO385" s="178"/>
      <c r="IP385" s="178"/>
      <c r="IQ385" s="178"/>
      <c r="IR385" s="178"/>
      <c r="IS385" s="178"/>
      <c r="IT385" s="178"/>
      <c r="IU385" s="178"/>
      <c r="IV385" s="178"/>
      <c r="IW385" s="178"/>
      <c r="IX385" s="178"/>
      <c r="IY385" s="178"/>
      <c r="IZ385" s="178"/>
      <c r="JA385" s="178"/>
      <c r="JB385" s="178"/>
      <c r="JC385" s="178"/>
      <c r="JD385" s="178"/>
    </row>
    <row r="386">
      <c r="IE386" s="178"/>
      <c r="IF386" s="178"/>
      <c r="IG386" s="178"/>
      <c r="IH386" s="178"/>
      <c r="II386" s="178"/>
      <c r="IJ386" s="178"/>
      <c r="IK386" s="178"/>
      <c r="IL386" s="178"/>
      <c r="IM386" s="178"/>
      <c r="IN386" s="178"/>
      <c r="IO386" s="178"/>
      <c r="IP386" s="178"/>
      <c r="IQ386" s="178"/>
      <c r="IR386" s="178"/>
      <c r="IS386" s="178"/>
      <c r="IT386" s="178"/>
      <c r="IU386" s="178"/>
      <c r="IV386" s="178"/>
      <c r="IW386" s="178"/>
      <c r="IX386" s="178"/>
      <c r="IY386" s="178"/>
      <c r="IZ386" s="178"/>
      <c r="JA386" s="178"/>
      <c r="JB386" s="178"/>
      <c r="JC386" s="178"/>
      <c r="JD386" s="178"/>
    </row>
    <row r="387">
      <c r="IE387" s="178"/>
      <c r="IF387" s="178"/>
      <c r="IG387" s="178"/>
      <c r="IH387" s="178"/>
      <c r="II387" s="178"/>
      <c r="IJ387" s="178"/>
      <c r="IK387" s="178"/>
      <c r="IL387" s="178"/>
      <c r="IM387" s="178"/>
      <c r="IN387" s="178"/>
      <c r="IO387" s="178"/>
      <c r="IP387" s="178"/>
      <c r="IQ387" s="178"/>
      <c r="IR387" s="178"/>
      <c r="IS387" s="178"/>
      <c r="IT387" s="178"/>
      <c r="IU387" s="178"/>
      <c r="IV387" s="178"/>
      <c r="IW387" s="178"/>
      <c r="IX387" s="178"/>
      <c r="IY387" s="178"/>
      <c r="IZ387" s="178"/>
      <c r="JA387" s="178"/>
      <c r="JB387" s="178"/>
      <c r="JC387" s="178"/>
      <c r="JD387" s="178"/>
    </row>
    <row r="388">
      <c r="IE388" s="178"/>
      <c r="IF388" s="178"/>
      <c r="IG388" s="178"/>
      <c r="IH388" s="178"/>
      <c r="II388" s="178"/>
      <c r="IJ388" s="178"/>
      <c r="IK388" s="178"/>
      <c r="IL388" s="178"/>
      <c r="IM388" s="178"/>
      <c r="IN388" s="178"/>
      <c r="IO388" s="178"/>
      <c r="IP388" s="178"/>
      <c r="IQ388" s="178"/>
      <c r="IR388" s="178"/>
      <c r="IS388" s="178"/>
      <c r="IT388" s="178"/>
      <c r="IU388" s="178"/>
      <c r="IV388" s="178"/>
      <c r="IW388" s="178"/>
      <c r="IX388" s="178"/>
      <c r="IY388" s="178"/>
      <c r="IZ388" s="178"/>
      <c r="JA388" s="178"/>
      <c r="JB388" s="178"/>
      <c r="JC388" s="178"/>
      <c r="JD388" s="178"/>
    </row>
    <row r="389">
      <c r="IE389" s="178"/>
      <c r="IF389" s="178"/>
      <c r="IG389" s="178"/>
      <c r="IH389" s="178"/>
      <c r="II389" s="178"/>
      <c r="IJ389" s="178"/>
      <c r="IK389" s="178"/>
      <c r="IL389" s="178"/>
      <c r="IM389" s="178"/>
      <c r="IN389" s="178"/>
      <c r="IO389" s="178"/>
      <c r="IP389" s="178"/>
      <c r="IQ389" s="178"/>
      <c r="IR389" s="178"/>
      <c r="IS389" s="178"/>
      <c r="IT389" s="178"/>
      <c r="IU389" s="178"/>
      <c r="IV389" s="178"/>
      <c r="IW389" s="178"/>
      <c r="IX389" s="178"/>
      <c r="IY389" s="178"/>
      <c r="IZ389" s="178"/>
      <c r="JA389" s="178"/>
      <c r="JB389" s="178"/>
      <c r="JC389" s="178"/>
      <c r="JD389" s="178"/>
    </row>
    <row r="390">
      <c r="IE390" s="178"/>
      <c r="IF390" s="178"/>
      <c r="IG390" s="178"/>
      <c r="IH390" s="178"/>
      <c r="II390" s="178"/>
      <c r="IJ390" s="178"/>
      <c r="IK390" s="178"/>
      <c r="IL390" s="178"/>
      <c r="IM390" s="178"/>
      <c r="IN390" s="178"/>
      <c r="IO390" s="178"/>
      <c r="IP390" s="178"/>
      <c r="IQ390" s="178"/>
      <c r="IR390" s="178"/>
      <c r="IS390" s="178"/>
      <c r="IT390" s="178"/>
      <c r="IU390" s="178"/>
      <c r="IV390" s="178"/>
      <c r="IW390" s="178"/>
      <c r="IX390" s="178"/>
      <c r="IY390" s="178"/>
      <c r="IZ390" s="178"/>
      <c r="JA390" s="178"/>
      <c r="JB390" s="178"/>
      <c r="JC390" s="178"/>
      <c r="JD390" s="178"/>
    </row>
    <row r="391">
      <c r="IE391" s="178"/>
      <c r="IF391" s="178"/>
      <c r="IG391" s="178"/>
      <c r="IH391" s="178"/>
      <c r="II391" s="178"/>
      <c r="IJ391" s="178"/>
      <c r="IK391" s="178"/>
      <c r="IL391" s="178"/>
      <c r="IM391" s="178"/>
      <c r="IN391" s="178"/>
      <c r="IO391" s="178"/>
      <c r="IP391" s="178"/>
      <c r="IQ391" s="178"/>
      <c r="IR391" s="178"/>
      <c r="IS391" s="178"/>
      <c r="IT391" s="178"/>
      <c r="IU391" s="178"/>
      <c r="IV391" s="178"/>
      <c r="IW391" s="178"/>
      <c r="IX391" s="178"/>
      <c r="IY391" s="178"/>
      <c r="IZ391" s="178"/>
      <c r="JA391" s="178"/>
      <c r="JB391" s="178"/>
      <c r="JC391" s="178"/>
      <c r="JD391" s="178"/>
    </row>
    <row r="392">
      <c r="IE392" s="178"/>
      <c r="IF392" s="178"/>
      <c r="IG392" s="178"/>
      <c r="IH392" s="178"/>
      <c r="II392" s="178"/>
      <c r="IJ392" s="178"/>
      <c r="IK392" s="178"/>
      <c r="IL392" s="178"/>
      <c r="IM392" s="178"/>
      <c r="IN392" s="178"/>
      <c r="IO392" s="178"/>
      <c r="IP392" s="178"/>
      <c r="IQ392" s="178"/>
      <c r="IR392" s="178"/>
      <c r="IS392" s="178"/>
      <c r="IT392" s="178"/>
      <c r="IU392" s="178"/>
      <c r="IV392" s="178"/>
      <c r="IW392" s="178"/>
      <c r="IX392" s="178"/>
      <c r="IY392" s="178"/>
      <c r="IZ392" s="178"/>
      <c r="JA392" s="178"/>
      <c r="JB392" s="178"/>
      <c r="JC392" s="178"/>
      <c r="JD392" s="178"/>
    </row>
    <row r="393">
      <c r="IE393" s="178"/>
      <c r="IF393" s="178"/>
      <c r="IG393" s="178"/>
      <c r="IH393" s="178"/>
      <c r="II393" s="178"/>
      <c r="IJ393" s="178"/>
      <c r="IK393" s="178"/>
      <c r="IL393" s="178"/>
      <c r="IM393" s="178"/>
      <c r="IN393" s="178"/>
      <c r="IO393" s="178"/>
      <c r="IP393" s="178"/>
      <c r="IQ393" s="178"/>
      <c r="IR393" s="178"/>
      <c r="IS393" s="178"/>
      <c r="IT393" s="178"/>
      <c r="IU393" s="178"/>
      <c r="IV393" s="178"/>
      <c r="IW393" s="178"/>
      <c r="IX393" s="178"/>
      <c r="IY393" s="178"/>
      <c r="IZ393" s="178"/>
      <c r="JA393" s="178"/>
      <c r="JB393" s="178"/>
      <c r="JC393" s="178"/>
      <c r="JD393" s="178"/>
    </row>
    <row r="394">
      <c r="IE394" s="178"/>
      <c r="IF394" s="178"/>
      <c r="IG394" s="178"/>
      <c r="IH394" s="178"/>
      <c r="II394" s="178"/>
      <c r="IJ394" s="178"/>
      <c r="IK394" s="178"/>
      <c r="IL394" s="178"/>
      <c r="IM394" s="178"/>
      <c r="IN394" s="178"/>
      <c r="IO394" s="178"/>
      <c r="IP394" s="178"/>
      <c r="IQ394" s="178"/>
      <c r="IR394" s="178"/>
      <c r="IS394" s="178"/>
      <c r="IT394" s="178"/>
      <c r="IU394" s="178"/>
      <c r="IV394" s="178"/>
      <c r="IW394" s="178"/>
      <c r="IX394" s="178"/>
      <c r="IY394" s="178"/>
      <c r="IZ394" s="178"/>
      <c r="JA394" s="178"/>
      <c r="JB394" s="178"/>
      <c r="JC394" s="178"/>
      <c r="JD394" s="178"/>
    </row>
    <row r="395">
      <c r="IE395" s="178"/>
      <c r="IF395" s="178"/>
      <c r="IG395" s="178"/>
      <c r="IH395" s="178"/>
      <c r="II395" s="178"/>
      <c r="IJ395" s="178"/>
      <c r="IK395" s="178"/>
      <c r="IL395" s="178"/>
      <c r="IM395" s="178"/>
      <c r="IN395" s="178"/>
      <c r="IO395" s="178"/>
      <c r="IP395" s="178"/>
      <c r="IQ395" s="178"/>
      <c r="IR395" s="178"/>
      <c r="IS395" s="178"/>
      <c r="IT395" s="178"/>
      <c r="IU395" s="178"/>
      <c r="IV395" s="178"/>
      <c r="IW395" s="178"/>
      <c r="IX395" s="178"/>
      <c r="IY395" s="178"/>
      <c r="IZ395" s="178"/>
      <c r="JA395" s="178"/>
      <c r="JB395" s="178"/>
      <c r="JC395" s="178"/>
      <c r="JD395" s="178"/>
    </row>
    <row r="396">
      <c r="IE396" s="178"/>
      <c r="IF396" s="178"/>
      <c r="IG396" s="178"/>
      <c r="IH396" s="178"/>
      <c r="II396" s="178"/>
      <c r="IJ396" s="178"/>
      <c r="IK396" s="178"/>
      <c r="IL396" s="178"/>
      <c r="IM396" s="178"/>
      <c r="IN396" s="178"/>
      <c r="IO396" s="178"/>
      <c r="IP396" s="178"/>
      <c r="IQ396" s="178"/>
      <c r="IR396" s="178"/>
      <c r="IS396" s="178"/>
      <c r="IT396" s="178"/>
      <c r="IU396" s="178"/>
      <c r="IV396" s="178"/>
      <c r="IW396" s="178"/>
      <c r="IX396" s="178"/>
      <c r="IY396" s="178"/>
      <c r="IZ396" s="178"/>
      <c r="JA396" s="178"/>
      <c r="JB396" s="178"/>
      <c r="JC396" s="178"/>
      <c r="JD396" s="178"/>
    </row>
    <row r="397">
      <c r="IE397" s="178"/>
      <c r="IF397" s="178"/>
      <c r="IG397" s="178"/>
      <c r="IH397" s="178"/>
      <c r="II397" s="178"/>
      <c r="IJ397" s="178"/>
      <c r="IK397" s="178"/>
      <c r="IL397" s="178"/>
      <c r="IM397" s="178"/>
      <c r="IN397" s="178"/>
      <c r="IO397" s="178"/>
      <c r="IP397" s="178"/>
      <c r="IQ397" s="178"/>
      <c r="IR397" s="178"/>
      <c r="IS397" s="178"/>
      <c r="IT397" s="178"/>
      <c r="IU397" s="178"/>
      <c r="IV397" s="178"/>
      <c r="IW397" s="178"/>
      <c r="IX397" s="178"/>
      <c r="IY397" s="178"/>
      <c r="IZ397" s="178"/>
      <c r="JA397" s="178"/>
      <c r="JB397" s="178"/>
      <c r="JC397" s="178"/>
      <c r="JD397" s="178"/>
    </row>
    <row r="398">
      <c r="IE398" s="178"/>
      <c r="IF398" s="178"/>
      <c r="IG398" s="178"/>
      <c r="IH398" s="178"/>
      <c r="II398" s="178"/>
      <c r="IJ398" s="178"/>
      <c r="IK398" s="178"/>
      <c r="IL398" s="178"/>
      <c r="IM398" s="178"/>
      <c r="IN398" s="178"/>
      <c r="IO398" s="178"/>
      <c r="IP398" s="178"/>
      <c r="IQ398" s="178"/>
      <c r="IR398" s="178"/>
      <c r="IS398" s="178"/>
      <c r="IT398" s="178"/>
      <c r="IU398" s="178"/>
      <c r="IV398" s="178"/>
      <c r="IW398" s="178"/>
      <c r="IX398" s="178"/>
      <c r="IY398" s="178"/>
      <c r="IZ398" s="178"/>
      <c r="JA398" s="178"/>
      <c r="JB398" s="178"/>
      <c r="JC398" s="178"/>
      <c r="JD398" s="178"/>
    </row>
    <row r="399">
      <c r="IE399" s="178"/>
      <c r="IF399" s="178"/>
      <c r="IG399" s="178"/>
      <c r="IH399" s="178"/>
      <c r="II399" s="178"/>
      <c r="IJ399" s="178"/>
      <c r="IK399" s="178"/>
      <c r="IL399" s="178"/>
      <c r="IM399" s="178"/>
      <c r="IN399" s="178"/>
      <c r="IO399" s="178"/>
      <c r="IP399" s="178"/>
      <c r="IQ399" s="178"/>
      <c r="IR399" s="178"/>
      <c r="IS399" s="178"/>
      <c r="IT399" s="178"/>
      <c r="IU399" s="178"/>
      <c r="IV399" s="178"/>
      <c r="IW399" s="178"/>
      <c r="IX399" s="178"/>
      <c r="IY399" s="178"/>
      <c r="IZ399" s="178"/>
      <c r="JA399" s="178"/>
      <c r="JB399" s="178"/>
      <c r="JC399" s="178"/>
      <c r="JD399" s="178"/>
    </row>
    <row r="400">
      <c r="IE400" s="178"/>
      <c r="IF400" s="178"/>
      <c r="IG400" s="178"/>
      <c r="IH400" s="178"/>
      <c r="II400" s="178"/>
      <c r="IJ400" s="178"/>
      <c r="IK400" s="178"/>
      <c r="IL400" s="178"/>
      <c r="IM400" s="178"/>
      <c r="IN400" s="178"/>
      <c r="IO400" s="178"/>
      <c r="IP400" s="178"/>
      <c r="IQ400" s="178"/>
      <c r="IR400" s="178"/>
      <c r="IS400" s="178"/>
      <c r="IT400" s="178"/>
      <c r="IU400" s="178"/>
      <c r="IV400" s="178"/>
      <c r="IW400" s="178"/>
      <c r="IX400" s="178"/>
      <c r="IY400" s="178"/>
      <c r="IZ400" s="178"/>
      <c r="JA400" s="178"/>
      <c r="JB400" s="178"/>
      <c r="JC400" s="178"/>
      <c r="JD400" s="178"/>
    </row>
    <row r="401">
      <c r="IE401" s="178"/>
      <c r="IF401" s="178"/>
      <c r="IG401" s="178"/>
      <c r="IH401" s="178"/>
      <c r="II401" s="178"/>
      <c r="IJ401" s="178"/>
      <c r="IK401" s="178"/>
      <c r="IL401" s="178"/>
      <c r="IM401" s="178"/>
      <c r="IN401" s="178"/>
      <c r="IO401" s="178"/>
      <c r="IP401" s="178"/>
      <c r="IQ401" s="178"/>
      <c r="IR401" s="178"/>
      <c r="IS401" s="178"/>
      <c r="IT401" s="178"/>
      <c r="IU401" s="178"/>
      <c r="IV401" s="178"/>
      <c r="IW401" s="178"/>
      <c r="IX401" s="178"/>
      <c r="IY401" s="178"/>
      <c r="IZ401" s="178"/>
      <c r="JA401" s="178"/>
      <c r="JB401" s="178"/>
      <c r="JC401" s="178"/>
      <c r="JD401" s="178"/>
    </row>
    <row r="402">
      <c r="IE402" s="178"/>
      <c r="IF402" s="178"/>
      <c r="IG402" s="178"/>
      <c r="IH402" s="178"/>
      <c r="II402" s="178"/>
      <c r="IJ402" s="178"/>
      <c r="IK402" s="178"/>
      <c r="IL402" s="178"/>
      <c r="IM402" s="178"/>
      <c r="IN402" s="178"/>
      <c r="IO402" s="178"/>
      <c r="IP402" s="178"/>
      <c r="IQ402" s="178"/>
      <c r="IR402" s="178"/>
      <c r="IS402" s="178"/>
      <c r="IT402" s="178"/>
      <c r="IU402" s="178"/>
      <c r="IV402" s="178"/>
      <c r="IW402" s="178"/>
      <c r="IX402" s="178"/>
      <c r="IY402" s="178"/>
      <c r="IZ402" s="178"/>
      <c r="JA402" s="178"/>
      <c r="JB402" s="178"/>
      <c r="JC402" s="178"/>
      <c r="JD402" s="178"/>
    </row>
    <row r="403">
      <c r="IE403" s="178"/>
      <c r="IF403" s="178"/>
      <c r="IG403" s="178"/>
      <c r="IH403" s="178"/>
      <c r="II403" s="178"/>
      <c r="IJ403" s="178"/>
      <c r="IK403" s="178"/>
      <c r="IL403" s="178"/>
      <c r="IM403" s="178"/>
      <c r="IN403" s="178"/>
      <c r="IO403" s="178"/>
      <c r="IP403" s="178"/>
      <c r="IQ403" s="178"/>
      <c r="IR403" s="178"/>
      <c r="IS403" s="178"/>
      <c r="IT403" s="178"/>
      <c r="IU403" s="178"/>
      <c r="IV403" s="178"/>
      <c r="IW403" s="178"/>
      <c r="IX403" s="178"/>
      <c r="IY403" s="178"/>
      <c r="IZ403" s="178"/>
      <c r="JA403" s="178"/>
      <c r="JB403" s="178"/>
      <c r="JC403" s="178"/>
      <c r="JD403" s="178"/>
    </row>
    <row r="404">
      <c r="IE404" s="178"/>
      <c r="IF404" s="178"/>
      <c r="IG404" s="178"/>
      <c r="IH404" s="178"/>
      <c r="II404" s="178"/>
      <c r="IJ404" s="178"/>
      <c r="IK404" s="178"/>
      <c r="IL404" s="178"/>
      <c r="IM404" s="178"/>
      <c r="IN404" s="178"/>
      <c r="IO404" s="178"/>
      <c r="IP404" s="178"/>
      <c r="IQ404" s="178"/>
      <c r="IR404" s="178"/>
      <c r="IS404" s="178"/>
      <c r="IT404" s="178"/>
      <c r="IU404" s="178"/>
      <c r="IV404" s="178"/>
      <c r="IW404" s="178"/>
      <c r="IX404" s="178"/>
      <c r="IY404" s="178"/>
      <c r="IZ404" s="178"/>
      <c r="JA404" s="178"/>
      <c r="JB404" s="178"/>
      <c r="JC404" s="178"/>
      <c r="JD404" s="178"/>
    </row>
    <row r="405">
      <c r="IE405" s="178"/>
      <c r="IF405" s="178"/>
      <c r="IG405" s="178"/>
      <c r="IH405" s="178"/>
      <c r="II405" s="178"/>
      <c r="IJ405" s="178"/>
      <c r="IK405" s="178"/>
      <c r="IL405" s="178"/>
      <c r="IM405" s="178"/>
      <c r="IN405" s="178"/>
      <c r="IO405" s="178"/>
      <c r="IP405" s="178"/>
      <c r="IQ405" s="178"/>
      <c r="IR405" s="178"/>
      <c r="IS405" s="178"/>
      <c r="IT405" s="178"/>
      <c r="IU405" s="178"/>
      <c r="IV405" s="178"/>
      <c r="IW405" s="178"/>
      <c r="IX405" s="178"/>
      <c r="IY405" s="178"/>
      <c r="IZ405" s="178"/>
      <c r="JA405" s="178"/>
      <c r="JB405" s="178"/>
      <c r="JC405" s="178"/>
      <c r="JD405" s="178"/>
    </row>
    <row r="406">
      <c r="IE406" s="178"/>
      <c r="IF406" s="178"/>
      <c r="IG406" s="178"/>
      <c r="IH406" s="178"/>
      <c r="II406" s="178"/>
      <c r="IJ406" s="178"/>
      <c r="IK406" s="178"/>
      <c r="IL406" s="178"/>
      <c r="IM406" s="178"/>
      <c r="IN406" s="178"/>
      <c r="IO406" s="178"/>
      <c r="IP406" s="178"/>
      <c r="IQ406" s="178"/>
      <c r="IR406" s="178"/>
      <c r="IS406" s="178"/>
      <c r="IT406" s="178"/>
      <c r="IU406" s="178"/>
      <c r="IV406" s="178"/>
      <c r="IW406" s="178"/>
      <c r="IX406" s="178"/>
      <c r="IY406" s="178"/>
      <c r="IZ406" s="178"/>
      <c r="JA406" s="178"/>
      <c r="JB406" s="178"/>
      <c r="JC406" s="178"/>
      <c r="JD406" s="178"/>
    </row>
    <row r="407">
      <c r="IE407" s="178"/>
      <c r="IF407" s="178"/>
      <c r="IG407" s="178"/>
      <c r="IH407" s="178"/>
      <c r="II407" s="178"/>
      <c r="IJ407" s="178"/>
      <c r="IK407" s="178"/>
      <c r="IL407" s="178"/>
      <c r="IM407" s="178"/>
      <c r="IN407" s="178"/>
      <c r="IO407" s="178"/>
      <c r="IP407" s="178"/>
      <c r="IQ407" s="178"/>
      <c r="IR407" s="178"/>
      <c r="IS407" s="178"/>
      <c r="IT407" s="178"/>
      <c r="IU407" s="178"/>
      <c r="IV407" s="178"/>
      <c r="IW407" s="178"/>
      <c r="IX407" s="178"/>
      <c r="IY407" s="178"/>
      <c r="IZ407" s="178"/>
      <c r="JA407" s="178"/>
      <c r="JB407" s="178"/>
      <c r="JC407" s="178"/>
      <c r="JD407" s="178"/>
    </row>
    <row r="408">
      <c r="IE408" s="178"/>
      <c r="IF408" s="178"/>
      <c r="IG408" s="178"/>
      <c r="IH408" s="178"/>
      <c r="II408" s="178"/>
      <c r="IJ408" s="178"/>
      <c r="IK408" s="178"/>
      <c r="IL408" s="178"/>
      <c r="IM408" s="178"/>
      <c r="IN408" s="178"/>
      <c r="IO408" s="178"/>
      <c r="IP408" s="178"/>
      <c r="IQ408" s="178"/>
      <c r="IR408" s="178"/>
      <c r="IS408" s="178"/>
      <c r="IT408" s="178"/>
      <c r="IU408" s="178"/>
      <c r="IV408" s="178"/>
      <c r="IW408" s="178"/>
      <c r="IX408" s="178"/>
      <c r="IY408" s="178"/>
      <c r="IZ408" s="178"/>
      <c r="JA408" s="178"/>
      <c r="JB408" s="178"/>
      <c r="JC408" s="178"/>
      <c r="JD408" s="178"/>
    </row>
    <row r="409">
      <c r="IE409" s="178"/>
      <c r="IF409" s="178"/>
      <c r="IG409" s="178"/>
      <c r="IH409" s="178"/>
      <c r="II409" s="178"/>
      <c r="IJ409" s="178"/>
      <c r="IK409" s="178"/>
      <c r="IL409" s="178"/>
      <c r="IM409" s="178"/>
      <c r="IN409" s="178"/>
      <c r="IO409" s="178"/>
      <c r="IP409" s="178"/>
      <c r="IQ409" s="178"/>
      <c r="IR409" s="178"/>
      <c r="IS409" s="178"/>
      <c r="IT409" s="178"/>
      <c r="IU409" s="178"/>
      <c r="IV409" s="178"/>
      <c r="IW409" s="178"/>
      <c r="IX409" s="178"/>
      <c r="IY409" s="178"/>
      <c r="IZ409" s="178"/>
      <c r="JA409" s="178"/>
      <c r="JB409" s="178"/>
      <c r="JC409" s="178"/>
      <c r="JD409" s="178"/>
    </row>
    <row r="410">
      <c r="IE410" s="178"/>
      <c r="IF410" s="178"/>
      <c r="IG410" s="178"/>
      <c r="IH410" s="178"/>
      <c r="II410" s="178"/>
      <c r="IJ410" s="178"/>
      <c r="IK410" s="178"/>
      <c r="IL410" s="178"/>
      <c r="IM410" s="178"/>
      <c r="IN410" s="178"/>
      <c r="IO410" s="178"/>
      <c r="IP410" s="178"/>
      <c r="IQ410" s="178"/>
      <c r="IR410" s="178"/>
      <c r="IS410" s="178"/>
      <c r="IT410" s="178"/>
      <c r="IU410" s="178"/>
      <c r="IV410" s="178"/>
      <c r="IW410" s="178"/>
      <c r="IX410" s="178"/>
      <c r="IY410" s="178"/>
      <c r="IZ410" s="178"/>
      <c r="JA410" s="178"/>
      <c r="JB410" s="178"/>
      <c r="JC410" s="178"/>
      <c r="JD410" s="178"/>
    </row>
    <row r="411">
      <c r="IE411" s="178"/>
      <c r="IF411" s="178"/>
      <c r="IG411" s="178"/>
      <c r="IH411" s="178"/>
      <c r="II411" s="178"/>
      <c r="IJ411" s="178"/>
      <c r="IK411" s="178"/>
      <c r="IL411" s="178"/>
      <c r="IM411" s="178"/>
      <c r="IN411" s="178"/>
      <c r="IO411" s="178"/>
      <c r="IP411" s="178"/>
      <c r="IQ411" s="178"/>
      <c r="IR411" s="178"/>
      <c r="IS411" s="178"/>
      <c r="IT411" s="178"/>
      <c r="IU411" s="178"/>
      <c r="IV411" s="178"/>
      <c r="IW411" s="178"/>
      <c r="IX411" s="178"/>
      <c r="IY411" s="178"/>
      <c r="IZ411" s="178"/>
      <c r="JA411" s="178"/>
      <c r="JB411" s="178"/>
      <c r="JC411" s="178"/>
      <c r="JD411" s="178"/>
    </row>
    <row r="412">
      <c r="IE412" s="178"/>
      <c r="IF412" s="178"/>
      <c r="IG412" s="178"/>
      <c r="IH412" s="178"/>
      <c r="II412" s="178"/>
      <c r="IJ412" s="178"/>
      <c r="IK412" s="178"/>
      <c r="IL412" s="178"/>
      <c r="IM412" s="178"/>
      <c r="IN412" s="178"/>
      <c r="IO412" s="178"/>
      <c r="IP412" s="178"/>
      <c r="IQ412" s="178"/>
      <c r="IR412" s="178"/>
      <c r="IS412" s="178"/>
      <c r="IT412" s="178"/>
      <c r="IU412" s="178"/>
      <c r="IV412" s="178"/>
      <c r="IW412" s="178"/>
      <c r="IX412" s="178"/>
      <c r="IY412" s="178"/>
      <c r="IZ412" s="178"/>
      <c r="JA412" s="178"/>
      <c r="JB412" s="178"/>
      <c r="JC412" s="178"/>
      <c r="JD412" s="178"/>
    </row>
    <row r="413">
      <c r="IE413" s="178"/>
      <c r="IF413" s="178"/>
      <c r="IG413" s="178"/>
      <c r="IH413" s="178"/>
      <c r="II413" s="178"/>
      <c r="IJ413" s="178"/>
      <c r="IK413" s="178"/>
      <c r="IL413" s="178"/>
      <c r="IM413" s="178"/>
      <c r="IN413" s="178"/>
      <c r="IO413" s="178"/>
      <c r="IP413" s="178"/>
      <c r="IQ413" s="178"/>
      <c r="IR413" s="178"/>
      <c r="IS413" s="178"/>
      <c r="IT413" s="178"/>
      <c r="IU413" s="178"/>
      <c r="IV413" s="178"/>
      <c r="IW413" s="178"/>
      <c r="IX413" s="178"/>
      <c r="IY413" s="178"/>
      <c r="IZ413" s="178"/>
      <c r="JA413" s="178"/>
      <c r="JB413" s="178"/>
      <c r="JC413" s="178"/>
      <c r="JD413" s="178"/>
    </row>
    <row r="414">
      <c r="IE414" s="178"/>
      <c r="IF414" s="178"/>
      <c r="IG414" s="178"/>
      <c r="IH414" s="178"/>
      <c r="II414" s="178"/>
      <c r="IJ414" s="178"/>
      <c r="IK414" s="178"/>
      <c r="IL414" s="178"/>
      <c r="IM414" s="178"/>
      <c r="IN414" s="178"/>
      <c r="IO414" s="178"/>
      <c r="IP414" s="178"/>
      <c r="IQ414" s="178"/>
      <c r="IR414" s="178"/>
      <c r="IS414" s="178"/>
      <c r="IT414" s="178"/>
      <c r="IU414" s="178"/>
      <c r="IV414" s="178"/>
      <c r="IW414" s="178"/>
      <c r="IX414" s="178"/>
      <c r="IY414" s="178"/>
      <c r="IZ414" s="178"/>
      <c r="JA414" s="178"/>
      <c r="JB414" s="178"/>
      <c r="JC414" s="178"/>
      <c r="JD414" s="178"/>
    </row>
    <row r="415">
      <c r="IE415" s="178"/>
      <c r="IF415" s="178"/>
      <c r="IG415" s="178"/>
      <c r="IH415" s="178"/>
      <c r="II415" s="178"/>
      <c r="IJ415" s="178"/>
      <c r="IK415" s="178"/>
      <c r="IL415" s="178"/>
      <c r="IM415" s="178"/>
      <c r="IN415" s="178"/>
      <c r="IO415" s="178"/>
      <c r="IP415" s="178"/>
      <c r="IQ415" s="178"/>
      <c r="IR415" s="178"/>
      <c r="IS415" s="178"/>
      <c r="IT415" s="178"/>
      <c r="IU415" s="178"/>
      <c r="IV415" s="178"/>
      <c r="IW415" s="178"/>
      <c r="IX415" s="178"/>
      <c r="IY415" s="178"/>
      <c r="IZ415" s="178"/>
      <c r="JA415" s="178"/>
      <c r="JB415" s="178"/>
      <c r="JC415" s="178"/>
      <c r="JD415" s="178"/>
    </row>
    <row r="416">
      <c r="IE416" s="178"/>
      <c r="IF416" s="178"/>
      <c r="IG416" s="178"/>
      <c r="IH416" s="178"/>
      <c r="II416" s="178"/>
      <c r="IJ416" s="178"/>
      <c r="IK416" s="178"/>
      <c r="IL416" s="178"/>
      <c r="IM416" s="178"/>
      <c r="IN416" s="178"/>
      <c r="IO416" s="178"/>
      <c r="IP416" s="178"/>
      <c r="IQ416" s="178"/>
      <c r="IR416" s="178"/>
      <c r="IS416" s="178"/>
      <c r="IT416" s="178"/>
      <c r="IU416" s="178"/>
      <c r="IV416" s="178"/>
      <c r="IW416" s="178"/>
      <c r="IX416" s="178"/>
      <c r="IY416" s="178"/>
      <c r="IZ416" s="178"/>
      <c r="JA416" s="178"/>
      <c r="JB416" s="178"/>
      <c r="JC416" s="178"/>
      <c r="JD416" s="178"/>
    </row>
    <row r="417">
      <c r="IE417" s="178"/>
      <c r="IF417" s="178"/>
      <c r="IG417" s="178"/>
      <c r="IH417" s="178"/>
      <c r="II417" s="178"/>
      <c r="IJ417" s="178"/>
      <c r="IK417" s="178"/>
      <c r="IL417" s="178"/>
      <c r="IM417" s="178"/>
      <c r="IN417" s="178"/>
      <c r="IO417" s="178"/>
      <c r="IP417" s="178"/>
      <c r="IQ417" s="178"/>
      <c r="IR417" s="178"/>
      <c r="IS417" s="178"/>
      <c r="IT417" s="178"/>
      <c r="IU417" s="178"/>
      <c r="IV417" s="178"/>
      <c r="IW417" s="178"/>
      <c r="IX417" s="178"/>
      <c r="IY417" s="178"/>
      <c r="IZ417" s="178"/>
      <c r="JA417" s="178"/>
      <c r="JB417" s="178"/>
      <c r="JC417" s="178"/>
      <c r="JD417" s="178"/>
    </row>
    <row r="418">
      <c r="IE418" s="178"/>
      <c r="IF418" s="178"/>
      <c r="IG418" s="178"/>
      <c r="IH418" s="178"/>
      <c r="II418" s="178"/>
      <c r="IJ418" s="178"/>
      <c r="IK418" s="178"/>
      <c r="IL418" s="178"/>
      <c r="IM418" s="178"/>
      <c r="IN418" s="178"/>
      <c r="IO418" s="178"/>
      <c r="IP418" s="178"/>
      <c r="IQ418" s="178"/>
      <c r="IR418" s="178"/>
      <c r="IS418" s="178"/>
      <c r="IT418" s="178"/>
      <c r="IU418" s="178"/>
      <c r="IV418" s="178"/>
      <c r="IW418" s="178"/>
      <c r="IX418" s="178"/>
      <c r="IY418" s="178"/>
      <c r="IZ418" s="178"/>
      <c r="JA418" s="178"/>
      <c r="JB418" s="178"/>
      <c r="JC418" s="178"/>
      <c r="JD418" s="178"/>
    </row>
    <row r="419">
      <c r="IE419" s="178"/>
      <c r="IF419" s="178"/>
      <c r="IG419" s="178"/>
      <c r="IH419" s="178"/>
      <c r="II419" s="178"/>
      <c r="IJ419" s="178"/>
      <c r="IK419" s="178"/>
      <c r="IL419" s="178"/>
      <c r="IM419" s="178"/>
      <c r="IN419" s="178"/>
      <c r="IO419" s="178"/>
      <c r="IP419" s="178"/>
      <c r="IQ419" s="178"/>
      <c r="IR419" s="178"/>
      <c r="IS419" s="178"/>
      <c r="IT419" s="178"/>
      <c r="IU419" s="178"/>
      <c r="IV419" s="178"/>
      <c r="IW419" s="178"/>
      <c r="IX419" s="178"/>
      <c r="IY419" s="178"/>
      <c r="IZ419" s="178"/>
      <c r="JA419" s="178"/>
      <c r="JB419" s="178"/>
      <c r="JC419" s="178"/>
      <c r="JD419" s="178"/>
    </row>
    <row r="420">
      <c r="IE420" s="178"/>
      <c r="IF420" s="178"/>
      <c r="IG420" s="178"/>
      <c r="IH420" s="178"/>
      <c r="II420" s="178"/>
      <c r="IJ420" s="178"/>
      <c r="IK420" s="178"/>
      <c r="IL420" s="178"/>
      <c r="IM420" s="178"/>
      <c r="IN420" s="178"/>
      <c r="IO420" s="178"/>
      <c r="IP420" s="178"/>
      <c r="IQ420" s="178"/>
      <c r="IR420" s="178"/>
      <c r="IS420" s="178"/>
      <c r="IT420" s="178"/>
      <c r="IU420" s="178"/>
      <c r="IV420" s="178"/>
      <c r="IW420" s="178"/>
      <c r="IX420" s="178"/>
      <c r="IY420" s="178"/>
      <c r="IZ420" s="178"/>
      <c r="JA420" s="178"/>
      <c r="JB420" s="178"/>
      <c r="JC420" s="178"/>
      <c r="JD420" s="178"/>
    </row>
    <row r="421">
      <c r="IE421" s="178"/>
      <c r="IF421" s="178"/>
      <c r="IG421" s="178"/>
      <c r="IH421" s="178"/>
      <c r="II421" s="178"/>
      <c r="IJ421" s="178"/>
      <c r="IK421" s="178"/>
      <c r="IL421" s="178"/>
      <c r="IM421" s="178"/>
      <c r="IN421" s="178"/>
      <c r="IO421" s="178"/>
      <c r="IP421" s="178"/>
      <c r="IQ421" s="178"/>
      <c r="IR421" s="178"/>
      <c r="IS421" s="178"/>
      <c r="IT421" s="178"/>
      <c r="IU421" s="178"/>
      <c r="IV421" s="178"/>
      <c r="IW421" s="178"/>
      <c r="IX421" s="178"/>
      <c r="IY421" s="178"/>
      <c r="IZ421" s="178"/>
      <c r="JA421" s="178"/>
      <c r="JB421" s="178"/>
      <c r="JC421" s="178"/>
      <c r="JD421" s="178"/>
    </row>
    <row r="422">
      <c r="IE422" s="178"/>
      <c r="IF422" s="178"/>
      <c r="IG422" s="178"/>
      <c r="IH422" s="178"/>
      <c r="II422" s="178"/>
      <c r="IJ422" s="178"/>
      <c r="IK422" s="178"/>
      <c r="IL422" s="178"/>
      <c r="IM422" s="178"/>
      <c r="IN422" s="178"/>
      <c r="IO422" s="178"/>
      <c r="IP422" s="178"/>
      <c r="IQ422" s="178"/>
      <c r="IR422" s="178"/>
      <c r="IS422" s="178"/>
      <c r="IT422" s="178"/>
      <c r="IU422" s="178"/>
      <c r="IV422" s="178"/>
      <c r="IW422" s="178"/>
      <c r="IX422" s="178"/>
      <c r="IY422" s="178"/>
      <c r="IZ422" s="178"/>
      <c r="JA422" s="178"/>
      <c r="JB422" s="178"/>
      <c r="JC422" s="178"/>
      <c r="JD422" s="178"/>
    </row>
    <row r="423">
      <c r="IE423" s="178"/>
      <c r="IF423" s="178"/>
      <c r="IG423" s="178"/>
      <c r="IH423" s="178"/>
      <c r="II423" s="178"/>
      <c r="IJ423" s="178"/>
      <c r="IK423" s="178"/>
      <c r="IL423" s="178"/>
      <c r="IM423" s="178"/>
      <c r="IN423" s="178"/>
      <c r="IO423" s="178"/>
      <c r="IP423" s="178"/>
      <c r="IQ423" s="178"/>
      <c r="IR423" s="178"/>
      <c r="IS423" s="178"/>
      <c r="IT423" s="178"/>
      <c r="IU423" s="178"/>
      <c r="IV423" s="178"/>
      <c r="IW423" s="178"/>
      <c r="IX423" s="178"/>
      <c r="IY423" s="178"/>
      <c r="IZ423" s="178"/>
      <c r="JA423" s="178"/>
      <c r="JB423" s="178"/>
      <c r="JC423" s="178"/>
      <c r="JD423" s="178"/>
    </row>
    <row r="424">
      <c r="IE424" s="178"/>
      <c r="IF424" s="178"/>
      <c r="IG424" s="178"/>
      <c r="IH424" s="178"/>
      <c r="II424" s="178"/>
      <c r="IJ424" s="178"/>
      <c r="IK424" s="178"/>
      <c r="IL424" s="178"/>
      <c r="IM424" s="178"/>
      <c r="IN424" s="178"/>
      <c r="IO424" s="178"/>
      <c r="IP424" s="178"/>
      <c r="IQ424" s="178"/>
      <c r="IR424" s="178"/>
      <c r="IS424" s="178"/>
      <c r="IT424" s="178"/>
      <c r="IU424" s="178"/>
      <c r="IV424" s="178"/>
      <c r="IW424" s="178"/>
      <c r="IX424" s="178"/>
      <c r="IY424" s="178"/>
      <c r="IZ424" s="178"/>
      <c r="JA424" s="178"/>
      <c r="JB424" s="178"/>
      <c r="JC424" s="178"/>
      <c r="JD424" s="178"/>
    </row>
    <row r="425">
      <c r="IE425" s="178"/>
      <c r="IF425" s="178"/>
      <c r="IG425" s="178"/>
      <c r="IH425" s="178"/>
      <c r="II425" s="178"/>
      <c r="IJ425" s="178"/>
      <c r="IK425" s="178"/>
      <c r="IL425" s="178"/>
      <c r="IM425" s="178"/>
      <c r="IN425" s="178"/>
      <c r="IO425" s="178"/>
      <c r="IP425" s="178"/>
      <c r="IQ425" s="178"/>
      <c r="IR425" s="178"/>
      <c r="IS425" s="178"/>
      <c r="IT425" s="178"/>
      <c r="IU425" s="178"/>
      <c r="IV425" s="178"/>
      <c r="IW425" s="178"/>
      <c r="IX425" s="178"/>
      <c r="IY425" s="178"/>
      <c r="IZ425" s="178"/>
      <c r="JA425" s="178"/>
      <c r="JB425" s="178"/>
      <c r="JC425" s="178"/>
      <c r="JD425" s="178"/>
    </row>
    <row r="426">
      <c r="IE426" s="178"/>
      <c r="IF426" s="178"/>
      <c r="IG426" s="178"/>
      <c r="IH426" s="178"/>
      <c r="II426" s="178"/>
      <c r="IJ426" s="178"/>
      <c r="IK426" s="178"/>
      <c r="IL426" s="178"/>
      <c r="IM426" s="178"/>
      <c r="IN426" s="178"/>
      <c r="IO426" s="178"/>
      <c r="IP426" s="178"/>
      <c r="IQ426" s="178"/>
      <c r="IR426" s="178"/>
      <c r="IS426" s="178"/>
      <c r="IT426" s="178"/>
      <c r="IU426" s="178"/>
      <c r="IV426" s="178"/>
      <c r="IW426" s="178"/>
      <c r="IX426" s="178"/>
      <c r="IY426" s="178"/>
      <c r="IZ426" s="178"/>
      <c r="JA426" s="178"/>
      <c r="JB426" s="178"/>
      <c r="JC426" s="178"/>
      <c r="JD426" s="178"/>
    </row>
    <row r="427">
      <c r="IE427" s="178"/>
      <c r="IF427" s="178"/>
      <c r="IG427" s="178"/>
      <c r="IH427" s="178"/>
      <c r="II427" s="178"/>
      <c r="IJ427" s="178"/>
      <c r="IK427" s="178"/>
      <c r="IL427" s="178"/>
      <c r="IM427" s="178"/>
      <c r="IN427" s="178"/>
      <c r="IO427" s="178"/>
      <c r="IP427" s="178"/>
      <c r="IQ427" s="178"/>
      <c r="IR427" s="178"/>
      <c r="IS427" s="178"/>
      <c r="IT427" s="178"/>
      <c r="IU427" s="178"/>
      <c r="IV427" s="178"/>
      <c r="IW427" s="178"/>
      <c r="IX427" s="178"/>
      <c r="IY427" s="178"/>
      <c r="IZ427" s="178"/>
      <c r="JA427" s="178"/>
      <c r="JB427" s="178"/>
      <c r="JC427" s="178"/>
      <c r="JD427" s="178"/>
    </row>
    <row r="428">
      <c r="IE428" s="178"/>
      <c r="IF428" s="178"/>
      <c r="IG428" s="178"/>
      <c r="IH428" s="178"/>
      <c r="II428" s="178"/>
      <c r="IJ428" s="178"/>
      <c r="IK428" s="178"/>
      <c r="IL428" s="178"/>
      <c r="IM428" s="178"/>
      <c r="IN428" s="178"/>
      <c r="IO428" s="178"/>
      <c r="IP428" s="178"/>
      <c r="IQ428" s="178"/>
      <c r="IR428" s="178"/>
      <c r="IS428" s="178"/>
      <c r="IT428" s="178"/>
      <c r="IU428" s="178"/>
      <c r="IV428" s="178"/>
      <c r="IW428" s="178"/>
      <c r="IX428" s="178"/>
      <c r="IY428" s="178"/>
      <c r="IZ428" s="178"/>
      <c r="JA428" s="178"/>
      <c r="JB428" s="178"/>
      <c r="JC428" s="178"/>
      <c r="JD428" s="178"/>
    </row>
    <row r="429">
      <c r="IE429" s="178"/>
      <c r="IF429" s="178"/>
      <c r="IG429" s="178"/>
      <c r="IH429" s="178"/>
      <c r="II429" s="178"/>
      <c r="IJ429" s="178"/>
      <c r="IK429" s="178"/>
      <c r="IL429" s="178"/>
      <c r="IM429" s="178"/>
      <c r="IN429" s="178"/>
      <c r="IO429" s="178"/>
      <c r="IP429" s="178"/>
      <c r="IQ429" s="178"/>
      <c r="IR429" s="178"/>
      <c r="IS429" s="178"/>
      <c r="IT429" s="178"/>
      <c r="IU429" s="178"/>
      <c r="IV429" s="178"/>
      <c r="IW429" s="178"/>
      <c r="IX429" s="178"/>
      <c r="IY429" s="178"/>
      <c r="IZ429" s="178"/>
      <c r="JA429" s="178"/>
      <c r="JB429" s="178"/>
      <c r="JC429" s="178"/>
      <c r="JD429" s="178"/>
    </row>
    <row r="430">
      <c r="IE430" s="178"/>
      <c r="IF430" s="178"/>
      <c r="IG430" s="178"/>
      <c r="IH430" s="178"/>
      <c r="II430" s="178"/>
      <c r="IJ430" s="178"/>
      <c r="IK430" s="178"/>
      <c r="IL430" s="178"/>
      <c r="IM430" s="178"/>
      <c r="IN430" s="178"/>
      <c r="IO430" s="178"/>
      <c r="IP430" s="178"/>
      <c r="IQ430" s="178"/>
      <c r="IR430" s="178"/>
      <c r="IS430" s="178"/>
      <c r="IT430" s="178"/>
      <c r="IU430" s="178"/>
      <c r="IV430" s="178"/>
      <c r="IW430" s="178"/>
      <c r="IX430" s="178"/>
      <c r="IY430" s="178"/>
      <c r="IZ430" s="178"/>
      <c r="JA430" s="178"/>
      <c r="JB430" s="178"/>
      <c r="JC430" s="178"/>
      <c r="JD430" s="178"/>
    </row>
    <row r="431">
      <c r="IE431" s="178"/>
      <c r="IF431" s="178"/>
      <c r="IG431" s="178"/>
      <c r="IH431" s="178"/>
      <c r="II431" s="178"/>
      <c r="IJ431" s="178"/>
      <c r="IK431" s="178"/>
      <c r="IL431" s="178"/>
      <c r="IM431" s="178"/>
      <c r="IN431" s="178"/>
      <c r="IO431" s="178"/>
      <c r="IP431" s="178"/>
      <c r="IQ431" s="178"/>
      <c r="IR431" s="178"/>
      <c r="IS431" s="178"/>
      <c r="IT431" s="178"/>
      <c r="IU431" s="178"/>
      <c r="IV431" s="178"/>
      <c r="IW431" s="178"/>
      <c r="IX431" s="178"/>
      <c r="IY431" s="178"/>
      <c r="IZ431" s="178"/>
      <c r="JA431" s="178"/>
      <c r="JB431" s="178"/>
      <c r="JC431" s="178"/>
      <c r="JD431" s="178"/>
    </row>
    <row r="432">
      <c r="IE432" s="178"/>
      <c r="IF432" s="178"/>
      <c r="IG432" s="178"/>
      <c r="IH432" s="178"/>
      <c r="II432" s="178"/>
      <c r="IJ432" s="178"/>
      <c r="IK432" s="178"/>
      <c r="IL432" s="178"/>
      <c r="IM432" s="178"/>
      <c r="IN432" s="178"/>
      <c r="IO432" s="178"/>
      <c r="IP432" s="178"/>
      <c r="IQ432" s="178"/>
      <c r="IR432" s="178"/>
      <c r="IS432" s="178"/>
      <c r="IT432" s="178"/>
      <c r="IU432" s="178"/>
      <c r="IV432" s="178"/>
      <c r="IW432" s="178"/>
      <c r="IX432" s="178"/>
      <c r="IY432" s="178"/>
      <c r="IZ432" s="178"/>
      <c r="JA432" s="178"/>
      <c r="JB432" s="178"/>
      <c r="JC432" s="178"/>
      <c r="JD432" s="178"/>
    </row>
    <row r="433">
      <c r="IE433" s="178"/>
      <c r="IF433" s="178"/>
      <c r="IG433" s="178"/>
      <c r="IH433" s="178"/>
      <c r="II433" s="178"/>
      <c r="IJ433" s="178"/>
      <c r="IK433" s="178"/>
      <c r="IL433" s="178"/>
      <c r="IM433" s="178"/>
      <c r="IN433" s="178"/>
      <c r="IO433" s="178"/>
      <c r="IP433" s="178"/>
      <c r="IQ433" s="178"/>
      <c r="IR433" s="178"/>
      <c r="IS433" s="178"/>
      <c r="IT433" s="178"/>
      <c r="IU433" s="178"/>
      <c r="IV433" s="178"/>
      <c r="IW433" s="178"/>
      <c r="IX433" s="178"/>
      <c r="IY433" s="178"/>
      <c r="IZ433" s="178"/>
      <c r="JA433" s="178"/>
      <c r="JB433" s="178"/>
      <c r="JC433" s="178"/>
      <c r="JD433" s="178"/>
    </row>
    <row r="434">
      <c r="IE434" s="178"/>
      <c r="IF434" s="178"/>
      <c r="IG434" s="178"/>
      <c r="IH434" s="178"/>
      <c r="II434" s="178"/>
      <c r="IJ434" s="178"/>
      <c r="IK434" s="178"/>
      <c r="IL434" s="178"/>
      <c r="IM434" s="178"/>
      <c r="IN434" s="178"/>
      <c r="IO434" s="178"/>
      <c r="IP434" s="178"/>
      <c r="IQ434" s="178"/>
      <c r="IR434" s="178"/>
      <c r="IS434" s="178"/>
      <c r="IT434" s="178"/>
      <c r="IU434" s="178"/>
      <c r="IV434" s="178"/>
      <c r="IW434" s="178"/>
      <c r="IX434" s="178"/>
      <c r="IY434" s="178"/>
      <c r="IZ434" s="178"/>
      <c r="JA434" s="178"/>
      <c r="JB434" s="178"/>
      <c r="JC434" s="178"/>
      <c r="JD434" s="178"/>
    </row>
    <row r="435">
      <c r="IE435" s="178"/>
      <c r="IF435" s="178"/>
      <c r="IG435" s="178"/>
      <c r="IH435" s="178"/>
      <c r="II435" s="178"/>
      <c r="IJ435" s="178"/>
      <c r="IK435" s="178"/>
      <c r="IL435" s="178"/>
      <c r="IM435" s="178"/>
      <c r="IN435" s="178"/>
      <c r="IO435" s="178"/>
      <c r="IP435" s="178"/>
      <c r="IQ435" s="178"/>
      <c r="IR435" s="178"/>
      <c r="IS435" s="178"/>
      <c r="IT435" s="178"/>
      <c r="IU435" s="178"/>
      <c r="IV435" s="178"/>
      <c r="IW435" s="178"/>
      <c r="IX435" s="178"/>
      <c r="IY435" s="178"/>
      <c r="IZ435" s="178"/>
      <c r="JA435" s="178"/>
      <c r="JB435" s="178"/>
      <c r="JC435" s="178"/>
      <c r="JD435" s="178"/>
    </row>
    <row r="436">
      <c r="IE436" s="178"/>
      <c r="IF436" s="178"/>
      <c r="IG436" s="178"/>
      <c r="IH436" s="178"/>
      <c r="II436" s="178"/>
      <c r="IJ436" s="178"/>
      <c r="IK436" s="178"/>
      <c r="IL436" s="178"/>
      <c r="IM436" s="178"/>
      <c r="IN436" s="178"/>
      <c r="IO436" s="178"/>
      <c r="IP436" s="178"/>
      <c r="IQ436" s="178"/>
      <c r="IR436" s="178"/>
      <c r="IS436" s="178"/>
      <c r="IT436" s="178"/>
      <c r="IU436" s="178"/>
      <c r="IV436" s="178"/>
      <c r="IW436" s="178"/>
      <c r="IX436" s="178"/>
      <c r="IY436" s="178"/>
      <c r="IZ436" s="178"/>
      <c r="JA436" s="178"/>
      <c r="JB436" s="178"/>
      <c r="JC436" s="178"/>
      <c r="JD436" s="178"/>
    </row>
    <row r="437">
      <c r="IE437" s="178"/>
      <c r="IF437" s="178"/>
      <c r="IG437" s="178"/>
      <c r="IH437" s="178"/>
      <c r="II437" s="178"/>
      <c r="IJ437" s="178"/>
      <c r="IK437" s="178"/>
      <c r="IL437" s="178"/>
      <c r="IM437" s="178"/>
      <c r="IN437" s="178"/>
      <c r="IO437" s="178"/>
      <c r="IP437" s="178"/>
      <c r="IQ437" s="178"/>
      <c r="IR437" s="178"/>
      <c r="IS437" s="178"/>
      <c r="IT437" s="178"/>
      <c r="IU437" s="178"/>
      <c r="IV437" s="178"/>
      <c r="IW437" s="178"/>
      <c r="IX437" s="178"/>
      <c r="IY437" s="178"/>
      <c r="IZ437" s="178"/>
      <c r="JA437" s="178"/>
      <c r="JB437" s="178"/>
      <c r="JC437" s="178"/>
      <c r="JD437" s="178"/>
    </row>
    <row r="438">
      <c r="IE438" s="178"/>
      <c r="IF438" s="178"/>
      <c r="IG438" s="178"/>
      <c r="IH438" s="178"/>
      <c r="II438" s="178"/>
      <c r="IJ438" s="178"/>
      <c r="IK438" s="178"/>
      <c r="IL438" s="178"/>
      <c r="IM438" s="178"/>
      <c r="IN438" s="178"/>
      <c r="IO438" s="178"/>
      <c r="IP438" s="178"/>
      <c r="IQ438" s="178"/>
      <c r="IR438" s="178"/>
      <c r="IS438" s="178"/>
      <c r="IT438" s="178"/>
      <c r="IU438" s="178"/>
      <c r="IV438" s="178"/>
      <c r="IW438" s="178"/>
      <c r="IX438" s="178"/>
      <c r="IY438" s="178"/>
      <c r="IZ438" s="178"/>
      <c r="JA438" s="178"/>
      <c r="JB438" s="178"/>
      <c r="JC438" s="178"/>
      <c r="JD438" s="178"/>
    </row>
    <row r="439">
      <c r="IE439" s="178"/>
      <c r="IF439" s="178"/>
      <c r="IG439" s="178"/>
      <c r="IH439" s="178"/>
      <c r="II439" s="178"/>
      <c r="IJ439" s="178"/>
      <c r="IK439" s="178"/>
      <c r="IL439" s="178"/>
      <c r="IM439" s="178"/>
      <c r="IN439" s="178"/>
      <c r="IO439" s="178"/>
      <c r="IP439" s="178"/>
      <c r="IQ439" s="178"/>
      <c r="IR439" s="178"/>
      <c r="IS439" s="178"/>
      <c r="IT439" s="178"/>
      <c r="IU439" s="178"/>
      <c r="IV439" s="178"/>
      <c r="IW439" s="178"/>
      <c r="IX439" s="178"/>
      <c r="IY439" s="178"/>
      <c r="IZ439" s="178"/>
      <c r="JA439" s="178"/>
      <c r="JB439" s="178"/>
      <c r="JC439" s="178"/>
      <c r="JD439" s="178"/>
    </row>
    <row r="440">
      <c r="IE440" s="178"/>
      <c r="IF440" s="178"/>
      <c r="IG440" s="178"/>
      <c r="IH440" s="178"/>
      <c r="II440" s="178"/>
      <c r="IJ440" s="178"/>
      <c r="IK440" s="178"/>
      <c r="IL440" s="178"/>
      <c r="IM440" s="178"/>
      <c r="IN440" s="178"/>
      <c r="IO440" s="178"/>
      <c r="IP440" s="178"/>
      <c r="IQ440" s="178"/>
      <c r="IR440" s="178"/>
      <c r="IS440" s="178"/>
      <c r="IT440" s="178"/>
      <c r="IU440" s="178"/>
      <c r="IV440" s="178"/>
      <c r="IW440" s="178"/>
      <c r="IX440" s="178"/>
      <c r="IY440" s="178"/>
      <c r="IZ440" s="178"/>
      <c r="JA440" s="178"/>
      <c r="JB440" s="178"/>
      <c r="JC440" s="178"/>
      <c r="JD440" s="178"/>
    </row>
    <row r="441">
      <c r="IE441" s="178"/>
      <c r="IF441" s="178"/>
      <c r="IG441" s="178"/>
      <c r="IH441" s="178"/>
      <c r="II441" s="178"/>
      <c r="IJ441" s="178"/>
      <c r="IK441" s="178"/>
      <c r="IL441" s="178"/>
      <c r="IM441" s="178"/>
      <c r="IN441" s="178"/>
      <c r="IO441" s="178"/>
      <c r="IP441" s="178"/>
      <c r="IQ441" s="178"/>
      <c r="IR441" s="178"/>
      <c r="IS441" s="178"/>
      <c r="IT441" s="178"/>
      <c r="IU441" s="178"/>
      <c r="IV441" s="178"/>
      <c r="IW441" s="178"/>
      <c r="IX441" s="178"/>
      <c r="IY441" s="178"/>
      <c r="IZ441" s="178"/>
      <c r="JA441" s="178"/>
      <c r="JB441" s="178"/>
      <c r="JC441" s="178"/>
      <c r="JD441" s="178"/>
    </row>
    <row r="442">
      <c r="IE442" s="178"/>
      <c r="IF442" s="178"/>
      <c r="IG442" s="178"/>
      <c r="IH442" s="178"/>
      <c r="II442" s="178"/>
      <c r="IJ442" s="178"/>
      <c r="IK442" s="178"/>
      <c r="IL442" s="178"/>
      <c r="IM442" s="178"/>
      <c r="IN442" s="178"/>
      <c r="IO442" s="178"/>
      <c r="IP442" s="178"/>
      <c r="IQ442" s="178"/>
      <c r="IR442" s="178"/>
      <c r="IS442" s="178"/>
      <c r="IT442" s="178"/>
      <c r="IU442" s="178"/>
      <c r="IV442" s="178"/>
      <c r="IW442" s="178"/>
      <c r="IX442" s="178"/>
      <c r="IY442" s="178"/>
      <c r="IZ442" s="178"/>
      <c r="JA442" s="178"/>
      <c r="JB442" s="178"/>
      <c r="JC442" s="178"/>
      <c r="JD442" s="178"/>
    </row>
    <row r="443">
      <c r="IE443" s="178"/>
      <c r="IF443" s="178"/>
      <c r="IG443" s="178"/>
      <c r="IH443" s="178"/>
      <c r="II443" s="178"/>
      <c r="IJ443" s="178"/>
      <c r="IK443" s="178"/>
      <c r="IL443" s="178"/>
      <c r="IM443" s="178"/>
      <c r="IN443" s="178"/>
      <c r="IO443" s="178"/>
      <c r="IP443" s="178"/>
      <c r="IQ443" s="178"/>
      <c r="IR443" s="178"/>
      <c r="IS443" s="178"/>
      <c r="IT443" s="178"/>
      <c r="IU443" s="178"/>
      <c r="IV443" s="178"/>
      <c r="IW443" s="178"/>
      <c r="IX443" s="178"/>
      <c r="IY443" s="178"/>
      <c r="IZ443" s="178"/>
      <c r="JA443" s="178"/>
      <c r="JB443" s="178"/>
      <c r="JC443" s="178"/>
      <c r="JD443" s="178"/>
    </row>
    <row r="444">
      <c r="IE444" s="178"/>
      <c r="IF444" s="178"/>
      <c r="IG444" s="178"/>
      <c r="IH444" s="178"/>
      <c r="II444" s="178"/>
      <c r="IJ444" s="178"/>
      <c r="IK444" s="178"/>
      <c r="IL444" s="178"/>
      <c r="IM444" s="178"/>
      <c r="IN444" s="178"/>
      <c r="IO444" s="178"/>
      <c r="IP444" s="178"/>
      <c r="IQ444" s="178"/>
      <c r="IR444" s="178"/>
      <c r="IS444" s="178"/>
      <c r="IT444" s="178"/>
      <c r="IU444" s="178"/>
      <c r="IV444" s="178"/>
      <c r="IW444" s="178"/>
      <c r="IX444" s="178"/>
      <c r="IY444" s="178"/>
      <c r="IZ444" s="178"/>
      <c r="JA444" s="178"/>
      <c r="JB444" s="178"/>
      <c r="JC444" s="178"/>
      <c r="JD444" s="178"/>
    </row>
    <row r="445">
      <c r="IE445" s="178"/>
      <c r="IF445" s="178"/>
      <c r="IG445" s="178"/>
      <c r="IH445" s="178"/>
      <c r="II445" s="178"/>
      <c r="IJ445" s="178"/>
      <c r="IK445" s="178"/>
      <c r="IL445" s="178"/>
      <c r="IM445" s="178"/>
      <c r="IN445" s="178"/>
      <c r="IO445" s="178"/>
      <c r="IP445" s="178"/>
      <c r="IQ445" s="178"/>
      <c r="IR445" s="178"/>
      <c r="IS445" s="178"/>
      <c r="IT445" s="178"/>
      <c r="IU445" s="178"/>
      <c r="IV445" s="178"/>
      <c r="IW445" s="178"/>
      <c r="IX445" s="178"/>
      <c r="IY445" s="178"/>
      <c r="IZ445" s="178"/>
      <c r="JA445" s="178"/>
      <c r="JB445" s="178"/>
      <c r="JC445" s="178"/>
      <c r="JD445" s="178"/>
    </row>
    <row r="446">
      <c r="IE446" s="178"/>
      <c r="IF446" s="178"/>
      <c r="IG446" s="178"/>
      <c r="IH446" s="178"/>
      <c r="II446" s="178"/>
      <c r="IJ446" s="178"/>
      <c r="IK446" s="178"/>
      <c r="IL446" s="178"/>
      <c r="IM446" s="178"/>
      <c r="IN446" s="178"/>
      <c r="IO446" s="178"/>
      <c r="IP446" s="178"/>
      <c r="IQ446" s="178"/>
      <c r="IR446" s="178"/>
      <c r="IS446" s="178"/>
      <c r="IT446" s="178"/>
      <c r="IU446" s="178"/>
      <c r="IV446" s="178"/>
      <c r="IW446" s="178"/>
      <c r="IX446" s="178"/>
      <c r="IY446" s="178"/>
      <c r="IZ446" s="178"/>
      <c r="JA446" s="178"/>
      <c r="JB446" s="178"/>
      <c r="JC446" s="178"/>
      <c r="JD446" s="178"/>
    </row>
    <row r="447">
      <c r="IE447" s="178"/>
      <c r="IF447" s="178"/>
      <c r="IG447" s="178"/>
      <c r="IH447" s="178"/>
      <c r="II447" s="178"/>
      <c r="IJ447" s="178"/>
      <c r="IK447" s="178"/>
      <c r="IL447" s="178"/>
      <c r="IM447" s="178"/>
      <c r="IN447" s="178"/>
      <c r="IO447" s="178"/>
      <c r="IP447" s="178"/>
      <c r="IQ447" s="178"/>
      <c r="IR447" s="178"/>
      <c r="IS447" s="178"/>
      <c r="IT447" s="178"/>
      <c r="IU447" s="178"/>
      <c r="IV447" s="178"/>
      <c r="IW447" s="178"/>
      <c r="IX447" s="178"/>
      <c r="IY447" s="178"/>
      <c r="IZ447" s="178"/>
      <c r="JA447" s="178"/>
      <c r="JB447" s="178"/>
      <c r="JC447" s="178"/>
      <c r="JD447" s="178"/>
    </row>
    <row r="448">
      <c r="IE448" s="178"/>
      <c r="IF448" s="178"/>
      <c r="IG448" s="178"/>
      <c r="IH448" s="178"/>
      <c r="II448" s="178"/>
      <c r="IJ448" s="178"/>
      <c r="IK448" s="178"/>
      <c r="IL448" s="178"/>
      <c r="IM448" s="178"/>
      <c r="IN448" s="178"/>
      <c r="IO448" s="178"/>
      <c r="IP448" s="178"/>
      <c r="IQ448" s="178"/>
      <c r="IR448" s="178"/>
      <c r="IS448" s="178"/>
      <c r="IT448" s="178"/>
      <c r="IU448" s="178"/>
      <c r="IV448" s="178"/>
      <c r="IW448" s="178"/>
      <c r="IX448" s="178"/>
      <c r="IY448" s="178"/>
      <c r="IZ448" s="178"/>
      <c r="JA448" s="178"/>
      <c r="JB448" s="178"/>
      <c r="JC448" s="178"/>
      <c r="JD448" s="178"/>
    </row>
    <row r="449">
      <c r="IE449" s="178"/>
      <c r="IF449" s="178"/>
      <c r="IG449" s="178"/>
      <c r="IH449" s="178"/>
      <c r="II449" s="178"/>
      <c r="IJ449" s="178"/>
      <c r="IK449" s="178"/>
      <c r="IL449" s="178"/>
      <c r="IM449" s="178"/>
      <c r="IN449" s="178"/>
      <c r="IO449" s="178"/>
      <c r="IP449" s="178"/>
      <c r="IQ449" s="178"/>
      <c r="IR449" s="178"/>
      <c r="IS449" s="178"/>
      <c r="IT449" s="178"/>
      <c r="IU449" s="178"/>
      <c r="IV449" s="178"/>
      <c r="IW449" s="178"/>
      <c r="IX449" s="178"/>
      <c r="IY449" s="178"/>
      <c r="IZ449" s="178"/>
      <c r="JA449" s="178"/>
      <c r="JB449" s="178"/>
      <c r="JC449" s="178"/>
      <c r="JD449" s="178"/>
    </row>
    <row r="450">
      <c r="IE450" s="178"/>
      <c r="IF450" s="178"/>
      <c r="IG450" s="178"/>
      <c r="IH450" s="178"/>
      <c r="II450" s="178"/>
      <c r="IJ450" s="178"/>
      <c r="IK450" s="178"/>
      <c r="IL450" s="178"/>
      <c r="IM450" s="178"/>
      <c r="IN450" s="178"/>
      <c r="IO450" s="178"/>
      <c r="IP450" s="178"/>
      <c r="IQ450" s="178"/>
      <c r="IR450" s="178"/>
      <c r="IS450" s="178"/>
      <c r="IT450" s="178"/>
      <c r="IU450" s="178"/>
      <c r="IV450" s="178"/>
      <c r="IW450" s="178"/>
      <c r="IX450" s="178"/>
      <c r="IY450" s="178"/>
      <c r="IZ450" s="178"/>
      <c r="JA450" s="178"/>
      <c r="JB450" s="178"/>
      <c r="JC450" s="178"/>
      <c r="JD450" s="178"/>
    </row>
    <row r="451">
      <c r="IE451" s="178"/>
      <c r="IF451" s="178"/>
      <c r="IG451" s="178"/>
      <c r="IH451" s="178"/>
      <c r="II451" s="178"/>
      <c r="IJ451" s="178"/>
      <c r="IK451" s="178"/>
      <c r="IL451" s="178"/>
      <c r="IM451" s="178"/>
      <c r="IN451" s="178"/>
      <c r="IO451" s="178"/>
      <c r="IP451" s="178"/>
      <c r="IQ451" s="178"/>
      <c r="IR451" s="178"/>
      <c r="IS451" s="178"/>
      <c r="IT451" s="178"/>
      <c r="IU451" s="178"/>
      <c r="IV451" s="178"/>
      <c r="IW451" s="178"/>
      <c r="IX451" s="178"/>
      <c r="IY451" s="178"/>
      <c r="IZ451" s="178"/>
      <c r="JA451" s="178"/>
      <c r="JB451" s="178"/>
      <c r="JC451" s="178"/>
      <c r="JD451" s="178"/>
    </row>
    <row r="452">
      <c r="IE452" s="178"/>
      <c r="IF452" s="178"/>
      <c r="IG452" s="178"/>
      <c r="IH452" s="178"/>
      <c r="II452" s="178"/>
      <c r="IJ452" s="178"/>
      <c r="IK452" s="178"/>
      <c r="IL452" s="178"/>
      <c r="IM452" s="178"/>
      <c r="IN452" s="178"/>
      <c r="IO452" s="178"/>
      <c r="IP452" s="178"/>
      <c r="IQ452" s="178"/>
      <c r="IR452" s="178"/>
      <c r="IS452" s="178"/>
      <c r="IT452" s="178"/>
      <c r="IU452" s="178"/>
      <c r="IV452" s="178"/>
      <c r="IW452" s="178"/>
      <c r="IX452" s="178"/>
      <c r="IY452" s="178"/>
      <c r="IZ452" s="178"/>
      <c r="JA452" s="178"/>
      <c r="JB452" s="178"/>
      <c r="JC452" s="178"/>
      <c r="JD452" s="178"/>
    </row>
    <row r="453">
      <c r="IE453" s="178"/>
      <c r="IF453" s="178"/>
      <c r="IG453" s="178"/>
      <c r="IH453" s="178"/>
      <c r="II453" s="178"/>
      <c r="IJ453" s="178"/>
      <c r="IK453" s="178"/>
      <c r="IL453" s="178"/>
      <c r="IM453" s="178"/>
      <c r="IN453" s="178"/>
      <c r="IO453" s="178"/>
      <c r="IP453" s="178"/>
      <c r="IQ453" s="178"/>
      <c r="IR453" s="178"/>
      <c r="IS453" s="178"/>
      <c r="IT453" s="178"/>
      <c r="IU453" s="178"/>
      <c r="IV453" s="178"/>
      <c r="IW453" s="178"/>
      <c r="IX453" s="178"/>
      <c r="IY453" s="178"/>
      <c r="IZ453" s="178"/>
      <c r="JA453" s="178"/>
      <c r="JB453" s="178"/>
      <c r="JC453" s="178"/>
      <c r="JD453" s="178"/>
    </row>
    <row r="454">
      <c r="IE454" s="178"/>
      <c r="IF454" s="178"/>
      <c r="IG454" s="178"/>
      <c r="IH454" s="178"/>
      <c r="II454" s="178"/>
      <c r="IJ454" s="178"/>
      <c r="IK454" s="178"/>
      <c r="IL454" s="178"/>
      <c r="IM454" s="178"/>
      <c r="IN454" s="178"/>
      <c r="IO454" s="178"/>
      <c r="IP454" s="178"/>
      <c r="IQ454" s="178"/>
      <c r="IR454" s="178"/>
      <c r="IS454" s="178"/>
      <c r="IT454" s="178"/>
      <c r="IU454" s="178"/>
      <c r="IV454" s="178"/>
      <c r="IW454" s="178"/>
      <c r="IX454" s="178"/>
      <c r="IY454" s="178"/>
      <c r="IZ454" s="178"/>
      <c r="JA454" s="178"/>
      <c r="JB454" s="178"/>
      <c r="JC454" s="178"/>
      <c r="JD454" s="178"/>
    </row>
    <row r="455">
      <c r="IE455" s="178"/>
      <c r="IF455" s="178"/>
      <c r="IG455" s="178"/>
      <c r="IH455" s="178"/>
      <c r="II455" s="178"/>
      <c r="IJ455" s="178"/>
      <c r="IK455" s="178"/>
      <c r="IL455" s="178"/>
      <c r="IM455" s="178"/>
      <c r="IN455" s="178"/>
      <c r="IO455" s="178"/>
      <c r="IP455" s="178"/>
      <c r="IQ455" s="178"/>
      <c r="IR455" s="178"/>
      <c r="IS455" s="178"/>
      <c r="IT455" s="178"/>
      <c r="IU455" s="178"/>
      <c r="IV455" s="178"/>
      <c r="IW455" s="178"/>
      <c r="IX455" s="178"/>
      <c r="IY455" s="178"/>
      <c r="IZ455" s="178"/>
      <c r="JA455" s="178"/>
      <c r="JB455" s="178"/>
      <c r="JC455" s="178"/>
      <c r="JD455" s="178"/>
    </row>
    <row r="456">
      <c r="IE456" s="178"/>
      <c r="IF456" s="178"/>
      <c r="IG456" s="178"/>
      <c r="IH456" s="178"/>
      <c r="II456" s="178"/>
      <c r="IJ456" s="178"/>
      <c r="IK456" s="178"/>
      <c r="IL456" s="178"/>
      <c r="IM456" s="178"/>
      <c r="IN456" s="178"/>
      <c r="IO456" s="178"/>
      <c r="IP456" s="178"/>
      <c r="IQ456" s="178"/>
      <c r="IR456" s="178"/>
      <c r="IS456" s="178"/>
      <c r="IT456" s="178"/>
      <c r="IU456" s="178"/>
      <c r="IV456" s="178"/>
      <c r="IW456" s="178"/>
      <c r="IX456" s="178"/>
      <c r="IY456" s="178"/>
      <c r="IZ456" s="178"/>
      <c r="JA456" s="178"/>
      <c r="JB456" s="178"/>
      <c r="JC456" s="178"/>
      <c r="JD456" s="178"/>
    </row>
    <row r="457">
      <c r="IE457" s="178"/>
      <c r="IF457" s="178"/>
      <c r="IG457" s="178"/>
      <c r="IH457" s="178"/>
      <c r="II457" s="178"/>
      <c r="IJ457" s="178"/>
      <c r="IK457" s="178"/>
      <c r="IL457" s="178"/>
      <c r="IM457" s="178"/>
      <c r="IN457" s="178"/>
      <c r="IO457" s="178"/>
      <c r="IP457" s="178"/>
      <c r="IQ457" s="178"/>
      <c r="IR457" s="178"/>
      <c r="IS457" s="178"/>
      <c r="IT457" s="178"/>
      <c r="IU457" s="178"/>
      <c r="IV457" s="178"/>
      <c r="IW457" s="178"/>
      <c r="IX457" s="178"/>
      <c r="IY457" s="178"/>
      <c r="IZ457" s="178"/>
      <c r="JA457" s="178"/>
      <c r="JB457" s="178"/>
      <c r="JC457" s="178"/>
      <c r="JD457" s="178"/>
    </row>
    <row r="458">
      <c r="IE458" s="178"/>
      <c r="IF458" s="178"/>
      <c r="IG458" s="178"/>
      <c r="IH458" s="178"/>
      <c r="II458" s="178"/>
      <c r="IJ458" s="178"/>
      <c r="IK458" s="178"/>
      <c r="IL458" s="178"/>
      <c r="IM458" s="178"/>
      <c r="IN458" s="178"/>
      <c r="IO458" s="178"/>
      <c r="IP458" s="178"/>
      <c r="IQ458" s="178"/>
      <c r="IR458" s="178"/>
      <c r="IS458" s="178"/>
      <c r="IT458" s="178"/>
      <c r="IU458" s="178"/>
      <c r="IV458" s="178"/>
      <c r="IW458" s="178"/>
      <c r="IX458" s="178"/>
      <c r="IY458" s="178"/>
      <c r="IZ458" s="178"/>
      <c r="JA458" s="178"/>
      <c r="JB458" s="178"/>
      <c r="JC458" s="178"/>
      <c r="JD458" s="178"/>
    </row>
    <row r="459">
      <c r="IE459" s="178"/>
      <c r="IF459" s="178"/>
      <c r="IG459" s="178"/>
      <c r="IH459" s="178"/>
      <c r="II459" s="178"/>
      <c r="IJ459" s="178"/>
      <c r="IK459" s="178"/>
      <c r="IL459" s="178"/>
      <c r="IM459" s="178"/>
      <c r="IN459" s="178"/>
      <c r="IO459" s="178"/>
      <c r="IP459" s="178"/>
      <c r="IQ459" s="178"/>
      <c r="IR459" s="178"/>
      <c r="IS459" s="178"/>
      <c r="IT459" s="178"/>
      <c r="IU459" s="178"/>
      <c r="IV459" s="178"/>
      <c r="IW459" s="178"/>
      <c r="IX459" s="178"/>
      <c r="IY459" s="178"/>
      <c r="IZ459" s="178"/>
      <c r="JA459" s="178"/>
      <c r="JB459" s="178"/>
      <c r="JC459" s="178"/>
      <c r="JD459" s="178"/>
    </row>
    <row r="460">
      <c r="IE460" s="178"/>
      <c r="IF460" s="178"/>
      <c r="IG460" s="178"/>
      <c r="IH460" s="178"/>
      <c r="II460" s="178"/>
      <c r="IJ460" s="178"/>
      <c r="IK460" s="178"/>
      <c r="IL460" s="178"/>
      <c r="IM460" s="178"/>
      <c r="IN460" s="178"/>
      <c r="IO460" s="178"/>
      <c r="IP460" s="178"/>
      <c r="IQ460" s="178"/>
      <c r="IR460" s="178"/>
      <c r="IS460" s="178"/>
      <c r="IT460" s="178"/>
      <c r="IU460" s="178"/>
      <c r="IV460" s="178"/>
      <c r="IW460" s="178"/>
      <c r="IX460" s="178"/>
      <c r="IY460" s="178"/>
      <c r="IZ460" s="178"/>
      <c r="JA460" s="178"/>
      <c r="JB460" s="178"/>
      <c r="JC460" s="178"/>
      <c r="JD460" s="178"/>
    </row>
    <row r="461">
      <c r="IE461" s="178"/>
      <c r="IF461" s="178"/>
      <c r="IG461" s="178"/>
      <c r="IH461" s="178"/>
      <c r="II461" s="178"/>
      <c r="IJ461" s="178"/>
      <c r="IK461" s="178"/>
      <c r="IL461" s="178"/>
      <c r="IM461" s="178"/>
      <c r="IN461" s="178"/>
      <c r="IO461" s="178"/>
      <c r="IP461" s="178"/>
      <c r="IQ461" s="178"/>
      <c r="IR461" s="178"/>
      <c r="IS461" s="178"/>
      <c r="IT461" s="178"/>
      <c r="IU461" s="178"/>
      <c r="IV461" s="178"/>
      <c r="IW461" s="178"/>
      <c r="IX461" s="178"/>
      <c r="IY461" s="178"/>
      <c r="IZ461" s="178"/>
      <c r="JA461" s="178"/>
      <c r="JB461" s="178"/>
      <c r="JC461" s="178"/>
      <c r="JD461" s="178"/>
    </row>
    <row r="462">
      <c r="IE462" s="178"/>
      <c r="IF462" s="178"/>
      <c r="IG462" s="178"/>
      <c r="IH462" s="178"/>
      <c r="II462" s="178"/>
      <c r="IJ462" s="178"/>
      <c r="IK462" s="178"/>
      <c r="IL462" s="178"/>
      <c r="IM462" s="178"/>
      <c r="IN462" s="178"/>
      <c r="IO462" s="178"/>
      <c r="IP462" s="178"/>
      <c r="IQ462" s="178"/>
      <c r="IR462" s="178"/>
      <c r="IS462" s="178"/>
      <c r="IT462" s="178"/>
      <c r="IU462" s="178"/>
      <c r="IV462" s="178"/>
      <c r="IW462" s="178"/>
      <c r="IX462" s="178"/>
      <c r="IY462" s="178"/>
      <c r="IZ462" s="178"/>
      <c r="JA462" s="178"/>
      <c r="JB462" s="178"/>
      <c r="JC462" s="178"/>
      <c r="JD462" s="178"/>
    </row>
    <row r="463">
      <c r="IE463" s="178"/>
      <c r="IF463" s="178"/>
      <c r="IG463" s="178"/>
      <c r="IH463" s="178"/>
      <c r="II463" s="178"/>
      <c r="IJ463" s="178"/>
      <c r="IK463" s="178"/>
      <c r="IL463" s="178"/>
      <c r="IM463" s="178"/>
      <c r="IN463" s="178"/>
      <c r="IO463" s="178"/>
      <c r="IP463" s="178"/>
      <c r="IQ463" s="178"/>
      <c r="IR463" s="178"/>
      <c r="IS463" s="178"/>
      <c r="IT463" s="178"/>
      <c r="IU463" s="178"/>
      <c r="IV463" s="178"/>
      <c r="IW463" s="178"/>
      <c r="IX463" s="178"/>
      <c r="IY463" s="178"/>
      <c r="IZ463" s="178"/>
      <c r="JA463" s="178"/>
      <c r="JB463" s="178"/>
      <c r="JC463" s="178"/>
      <c r="JD463" s="178"/>
    </row>
    <row r="464">
      <c r="IE464" s="178"/>
      <c r="IF464" s="178"/>
      <c r="IG464" s="178"/>
      <c r="IH464" s="178"/>
      <c r="II464" s="178"/>
      <c r="IJ464" s="178"/>
      <c r="IK464" s="178"/>
      <c r="IL464" s="178"/>
      <c r="IM464" s="178"/>
      <c r="IN464" s="178"/>
      <c r="IO464" s="178"/>
      <c r="IP464" s="178"/>
      <c r="IQ464" s="178"/>
      <c r="IR464" s="178"/>
      <c r="IS464" s="178"/>
      <c r="IT464" s="178"/>
      <c r="IU464" s="178"/>
      <c r="IV464" s="178"/>
      <c r="IW464" s="178"/>
      <c r="IX464" s="178"/>
      <c r="IY464" s="178"/>
      <c r="IZ464" s="178"/>
      <c r="JA464" s="178"/>
      <c r="JB464" s="178"/>
      <c r="JC464" s="178"/>
      <c r="JD464" s="178"/>
    </row>
    <row r="465">
      <c r="IE465" s="178"/>
      <c r="IF465" s="178"/>
      <c r="IG465" s="178"/>
      <c r="IH465" s="178"/>
      <c r="II465" s="178"/>
      <c r="IJ465" s="178"/>
      <c r="IK465" s="178"/>
      <c r="IL465" s="178"/>
      <c r="IM465" s="178"/>
      <c r="IN465" s="178"/>
      <c r="IO465" s="178"/>
      <c r="IP465" s="178"/>
      <c r="IQ465" s="178"/>
      <c r="IR465" s="178"/>
      <c r="IS465" s="178"/>
      <c r="IT465" s="178"/>
      <c r="IU465" s="178"/>
      <c r="IV465" s="178"/>
      <c r="IW465" s="178"/>
      <c r="IX465" s="178"/>
      <c r="IY465" s="178"/>
      <c r="IZ465" s="178"/>
      <c r="JA465" s="178"/>
      <c r="JB465" s="178"/>
      <c r="JC465" s="178"/>
      <c r="JD465" s="178"/>
    </row>
    <row r="466">
      <c r="IE466" s="178"/>
      <c r="IF466" s="178"/>
      <c r="IG466" s="178"/>
      <c r="IH466" s="178"/>
      <c r="II466" s="178"/>
      <c r="IJ466" s="178"/>
      <c r="IK466" s="178"/>
      <c r="IL466" s="178"/>
      <c r="IM466" s="178"/>
      <c r="IN466" s="178"/>
      <c r="IO466" s="178"/>
      <c r="IP466" s="178"/>
      <c r="IQ466" s="178"/>
      <c r="IR466" s="178"/>
      <c r="IS466" s="178"/>
      <c r="IT466" s="178"/>
      <c r="IU466" s="178"/>
      <c r="IV466" s="178"/>
      <c r="IW466" s="178"/>
      <c r="IX466" s="178"/>
      <c r="IY466" s="178"/>
      <c r="IZ466" s="178"/>
      <c r="JA466" s="178"/>
      <c r="JB466" s="178"/>
      <c r="JC466" s="178"/>
      <c r="JD466" s="178"/>
    </row>
    <row r="467">
      <c r="IE467" s="178"/>
      <c r="IF467" s="178"/>
      <c r="IG467" s="178"/>
      <c r="IH467" s="178"/>
      <c r="II467" s="178"/>
      <c r="IJ467" s="178"/>
      <c r="IK467" s="178"/>
      <c r="IL467" s="178"/>
      <c r="IM467" s="178"/>
      <c r="IN467" s="178"/>
      <c r="IO467" s="178"/>
      <c r="IP467" s="178"/>
      <c r="IQ467" s="178"/>
      <c r="IR467" s="178"/>
      <c r="IS467" s="178"/>
      <c r="IT467" s="178"/>
      <c r="IU467" s="178"/>
      <c r="IV467" s="178"/>
      <c r="IW467" s="178"/>
      <c r="IX467" s="178"/>
      <c r="IY467" s="178"/>
      <c r="IZ467" s="178"/>
      <c r="JA467" s="178"/>
      <c r="JB467" s="178"/>
      <c r="JC467" s="178"/>
      <c r="JD467" s="178"/>
    </row>
    <row r="468">
      <c r="IE468" s="178"/>
      <c r="IF468" s="178"/>
      <c r="IG468" s="178"/>
      <c r="IH468" s="178"/>
      <c r="II468" s="178"/>
      <c r="IJ468" s="178"/>
      <c r="IK468" s="178"/>
      <c r="IL468" s="178"/>
      <c r="IM468" s="178"/>
      <c r="IN468" s="178"/>
      <c r="IO468" s="178"/>
      <c r="IP468" s="178"/>
      <c r="IQ468" s="178"/>
      <c r="IR468" s="178"/>
      <c r="IS468" s="178"/>
      <c r="IT468" s="178"/>
      <c r="IU468" s="178"/>
      <c r="IV468" s="178"/>
      <c r="IW468" s="178"/>
      <c r="IX468" s="178"/>
      <c r="IY468" s="178"/>
      <c r="IZ468" s="178"/>
      <c r="JA468" s="178"/>
      <c r="JB468" s="178"/>
      <c r="JC468" s="178"/>
      <c r="JD468" s="178"/>
    </row>
    <row r="469">
      <c r="IE469" s="178"/>
      <c r="IF469" s="178"/>
      <c r="IG469" s="178"/>
      <c r="IH469" s="178"/>
      <c r="II469" s="178"/>
      <c r="IJ469" s="178"/>
      <c r="IK469" s="178"/>
      <c r="IL469" s="178"/>
      <c r="IM469" s="178"/>
      <c r="IN469" s="178"/>
      <c r="IO469" s="178"/>
      <c r="IP469" s="178"/>
      <c r="IQ469" s="178"/>
      <c r="IR469" s="178"/>
      <c r="IS469" s="178"/>
      <c r="IT469" s="178"/>
      <c r="IU469" s="178"/>
      <c r="IV469" s="178"/>
      <c r="IW469" s="178"/>
      <c r="IX469" s="178"/>
      <c r="IY469" s="178"/>
      <c r="IZ469" s="178"/>
      <c r="JA469" s="178"/>
      <c r="JB469" s="178"/>
      <c r="JC469" s="178"/>
      <c r="JD469" s="178"/>
    </row>
    <row r="470">
      <c r="IE470" s="178"/>
      <c r="IF470" s="178"/>
      <c r="IG470" s="178"/>
      <c r="IH470" s="178"/>
      <c r="II470" s="178"/>
      <c r="IJ470" s="178"/>
      <c r="IK470" s="178"/>
      <c r="IL470" s="178"/>
      <c r="IM470" s="178"/>
      <c r="IN470" s="178"/>
      <c r="IO470" s="178"/>
      <c r="IP470" s="178"/>
      <c r="IQ470" s="178"/>
      <c r="IR470" s="178"/>
      <c r="IS470" s="178"/>
      <c r="IT470" s="178"/>
      <c r="IU470" s="178"/>
      <c r="IV470" s="178"/>
      <c r="IW470" s="178"/>
      <c r="IX470" s="178"/>
      <c r="IY470" s="178"/>
      <c r="IZ470" s="178"/>
      <c r="JA470" s="178"/>
      <c r="JB470" s="178"/>
      <c r="JC470" s="178"/>
      <c r="JD470" s="178"/>
    </row>
    <row r="471">
      <c r="IE471" s="178"/>
      <c r="IF471" s="178"/>
      <c r="IG471" s="178"/>
      <c r="IH471" s="178"/>
      <c r="II471" s="178"/>
      <c r="IJ471" s="178"/>
      <c r="IK471" s="178"/>
      <c r="IL471" s="178"/>
      <c r="IM471" s="178"/>
      <c r="IN471" s="178"/>
      <c r="IO471" s="178"/>
      <c r="IP471" s="178"/>
      <c r="IQ471" s="178"/>
      <c r="IR471" s="178"/>
      <c r="IS471" s="178"/>
      <c r="IT471" s="178"/>
      <c r="IU471" s="178"/>
      <c r="IV471" s="178"/>
      <c r="IW471" s="178"/>
      <c r="IX471" s="178"/>
      <c r="IY471" s="178"/>
      <c r="IZ471" s="178"/>
      <c r="JA471" s="178"/>
      <c r="JB471" s="178"/>
      <c r="JC471" s="178"/>
      <c r="JD471" s="178"/>
    </row>
    <row r="472">
      <c r="IE472" s="178"/>
      <c r="IF472" s="178"/>
      <c r="IG472" s="178"/>
      <c r="IH472" s="178"/>
      <c r="II472" s="178"/>
      <c r="IJ472" s="178"/>
      <c r="IK472" s="178"/>
      <c r="IL472" s="178"/>
      <c r="IM472" s="178"/>
      <c r="IN472" s="178"/>
      <c r="IO472" s="178"/>
      <c r="IP472" s="178"/>
      <c r="IQ472" s="178"/>
      <c r="IR472" s="178"/>
      <c r="IS472" s="178"/>
      <c r="IT472" s="178"/>
      <c r="IU472" s="178"/>
      <c r="IV472" s="178"/>
      <c r="IW472" s="178"/>
      <c r="IX472" s="178"/>
      <c r="IY472" s="178"/>
      <c r="IZ472" s="178"/>
      <c r="JA472" s="178"/>
      <c r="JB472" s="178"/>
      <c r="JC472" s="178"/>
      <c r="JD472" s="178"/>
    </row>
    <row r="473">
      <c r="IE473" s="178"/>
      <c r="IF473" s="178"/>
      <c r="IG473" s="178"/>
      <c r="IH473" s="178"/>
      <c r="II473" s="178"/>
      <c r="IJ473" s="178"/>
      <c r="IK473" s="178"/>
      <c r="IL473" s="178"/>
      <c r="IM473" s="178"/>
      <c r="IN473" s="178"/>
      <c r="IO473" s="178"/>
      <c r="IP473" s="178"/>
      <c r="IQ473" s="178"/>
      <c r="IR473" s="178"/>
      <c r="IS473" s="178"/>
      <c r="IT473" s="178"/>
      <c r="IU473" s="178"/>
      <c r="IV473" s="178"/>
      <c r="IW473" s="178"/>
      <c r="IX473" s="178"/>
      <c r="IY473" s="178"/>
      <c r="IZ473" s="178"/>
      <c r="JA473" s="178"/>
      <c r="JB473" s="178"/>
      <c r="JC473" s="178"/>
      <c r="JD473" s="178"/>
    </row>
    <row r="474">
      <c r="IE474" s="178"/>
      <c r="IF474" s="178"/>
      <c r="IG474" s="178"/>
      <c r="IH474" s="178"/>
      <c r="II474" s="178"/>
      <c r="IJ474" s="178"/>
      <c r="IK474" s="178"/>
      <c r="IL474" s="178"/>
      <c r="IM474" s="178"/>
      <c r="IN474" s="178"/>
      <c r="IO474" s="178"/>
      <c r="IP474" s="178"/>
      <c r="IQ474" s="178"/>
      <c r="IR474" s="178"/>
      <c r="IS474" s="178"/>
      <c r="IT474" s="178"/>
      <c r="IU474" s="178"/>
      <c r="IV474" s="178"/>
      <c r="IW474" s="178"/>
      <c r="IX474" s="178"/>
      <c r="IY474" s="178"/>
      <c r="IZ474" s="178"/>
      <c r="JA474" s="178"/>
      <c r="JB474" s="178"/>
      <c r="JC474" s="178"/>
      <c r="JD474" s="178"/>
    </row>
    <row r="475">
      <c r="IE475" s="178"/>
      <c r="IF475" s="178"/>
      <c r="IG475" s="178"/>
      <c r="IH475" s="178"/>
      <c r="II475" s="178"/>
      <c r="IJ475" s="178"/>
      <c r="IK475" s="178"/>
      <c r="IL475" s="178"/>
      <c r="IM475" s="178"/>
      <c r="IN475" s="178"/>
      <c r="IO475" s="178"/>
      <c r="IP475" s="178"/>
      <c r="IQ475" s="178"/>
      <c r="IR475" s="178"/>
      <c r="IS475" s="178"/>
      <c r="IT475" s="178"/>
      <c r="IU475" s="178"/>
      <c r="IV475" s="178"/>
      <c r="IW475" s="178"/>
      <c r="IX475" s="178"/>
      <c r="IY475" s="178"/>
      <c r="IZ475" s="178"/>
      <c r="JA475" s="178"/>
      <c r="JB475" s="178"/>
      <c r="JC475" s="178"/>
      <c r="JD475" s="178"/>
    </row>
    <row r="476">
      <c r="IE476" s="178"/>
      <c r="IF476" s="178"/>
      <c r="IG476" s="178"/>
      <c r="IH476" s="178"/>
      <c r="II476" s="178"/>
      <c r="IJ476" s="178"/>
      <c r="IK476" s="178"/>
      <c r="IL476" s="178"/>
      <c r="IM476" s="178"/>
      <c r="IN476" s="178"/>
      <c r="IO476" s="178"/>
      <c r="IP476" s="178"/>
      <c r="IQ476" s="178"/>
      <c r="IR476" s="178"/>
      <c r="IS476" s="178"/>
      <c r="IT476" s="178"/>
      <c r="IU476" s="178"/>
      <c r="IV476" s="178"/>
      <c r="IW476" s="178"/>
      <c r="IX476" s="178"/>
      <c r="IY476" s="178"/>
      <c r="IZ476" s="178"/>
      <c r="JA476" s="178"/>
      <c r="JB476" s="178"/>
      <c r="JC476" s="178"/>
      <c r="JD476" s="178"/>
    </row>
    <row r="477">
      <c r="IE477" s="178"/>
      <c r="IF477" s="178"/>
      <c r="IG477" s="178"/>
      <c r="IH477" s="178"/>
      <c r="II477" s="178"/>
      <c r="IJ477" s="178"/>
      <c r="IK477" s="178"/>
      <c r="IL477" s="178"/>
      <c r="IM477" s="178"/>
      <c r="IN477" s="178"/>
      <c r="IO477" s="178"/>
      <c r="IP477" s="178"/>
      <c r="IQ477" s="178"/>
      <c r="IR477" s="178"/>
      <c r="IS477" s="178"/>
      <c r="IT477" s="178"/>
      <c r="IU477" s="178"/>
      <c r="IV477" s="178"/>
      <c r="IW477" s="178"/>
      <c r="IX477" s="178"/>
      <c r="IY477" s="178"/>
      <c r="IZ477" s="178"/>
      <c r="JA477" s="178"/>
      <c r="JB477" s="178"/>
      <c r="JC477" s="178"/>
      <c r="JD477" s="178"/>
    </row>
    <row r="478">
      <c r="IE478" s="178"/>
      <c r="IF478" s="178"/>
      <c r="IG478" s="178"/>
      <c r="IH478" s="178"/>
      <c r="II478" s="178"/>
      <c r="IJ478" s="178"/>
      <c r="IK478" s="178"/>
      <c r="IL478" s="178"/>
      <c r="IM478" s="178"/>
      <c r="IN478" s="178"/>
      <c r="IO478" s="178"/>
      <c r="IP478" s="178"/>
      <c r="IQ478" s="178"/>
      <c r="IR478" s="178"/>
      <c r="IS478" s="178"/>
      <c r="IT478" s="178"/>
      <c r="IU478" s="178"/>
      <c r="IV478" s="178"/>
      <c r="IW478" s="178"/>
      <c r="IX478" s="178"/>
      <c r="IY478" s="178"/>
      <c r="IZ478" s="178"/>
      <c r="JA478" s="178"/>
      <c r="JB478" s="178"/>
      <c r="JC478" s="178"/>
      <c r="JD478" s="178"/>
    </row>
    <row r="479">
      <c r="IE479" s="178"/>
      <c r="IF479" s="178"/>
      <c r="IG479" s="178"/>
      <c r="IH479" s="178"/>
      <c r="II479" s="178"/>
      <c r="IJ479" s="178"/>
      <c r="IK479" s="178"/>
      <c r="IL479" s="178"/>
      <c r="IM479" s="178"/>
      <c r="IN479" s="178"/>
      <c r="IO479" s="178"/>
      <c r="IP479" s="178"/>
      <c r="IQ479" s="178"/>
      <c r="IR479" s="178"/>
      <c r="IS479" s="178"/>
      <c r="IT479" s="178"/>
      <c r="IU479" s="178"/>
      <c r="IV479" s="178"/>
      <c r="IW479" s="178"/>
      <c r="IX479" s="178"/>
      <c r="IY479" s="178"/>
      <c r="IZ479" s="178"/>
      <c r="JA479" s="178"/>
      <c r="JB479" s="178"/>
      <c r="JC479" s="178"/>
      <c r="JD479" s="178"/>
    </row>
    <row r="480">
      <c r="IE480" s="178"/>
      <c r="IF480" s="178"/>
      <c r="IG480" s="178"/>
      <c r="IH480" s="178"/>
      <c r="II480" s="178"/>
      <c r="IJ480" s="178"/>
      <c r="IK480" s="178"/>
      <c r="IL480" s="178"/>
      <c r="IM480" s="178"/>
      <c r="IN480" s="178"/>
      <c r="IO480" s="178"/>
      <c r="IP480" s="178"/>
      <c r="IQ480" s="178"/>
      <c r="IR480" s="178"/>
      <c r="IS480" s="178"/>
      <c r="IT480" s="178"/>
      <c r="IU480" s="178"/>
      <c r="IV480" s="178"/>
      <c r="IW480" s="178"/>
      <c r="IX480" s="178"/>
      <c r="IY480" s="178"/>
      <c r="IZ480" s="178"/>
      <c r="JA480" s="178"/>
      <c r="JB480" s="178"/>
      <c r="JC480" s="178"/>
      <c r="JD480" s="178"/>
    </row>
    <row r="481">
      <c r="IE481" s="178"/>
      <c r="IF481" s="178"/>
      <c r="IG481" s="178"/>
      <c r="IH481" s="178"/>
      <c r="II481" s="178"/>
      <c r="IJ481" s="178"/>
      <c r="IK481" s="178"/>
      <c r="IL481" s="178"/>
      <c r="IM481" s="178"/>
      <c r="IN481" s="178"/>
      <c r="IO481" s="178"/>
      <c r="IP481" s="178"/>
      <c r="IQ481" s="178"/>
      <c r="IR481" s="178"/>
      <c r="IS481" s="178"/>
      <c r="IT481" s="178"/>
      <c r="IU481" s="178"/>
      <c r="IV481" s="178"/>
      <c r="IW481" s="178"/>
      <c r="IX481" s="178"/>
      <c r="IY481" s="178"/>
      <c r="IZ481" s="178"/>
      <c r="JA481" s="178"/>
      <c r="JB481" s="178"/>
      <c r="JC481" s="178"/>
      <c r="JD481" s="178"/>
    </row>
    <row r="482">
      <c r="IE482" s="178"/>
      <c r="IF482" s="178"/>
      <c r="IG482" s="178"/>
      <c r="IH482" s="178"/>
      <c r="II482" s="178"/>
      <c r="IJ482" s="178"/>
      <c r="IK482" s="178"/>
      <c r="IL482" s="178"/>
      <c r="IM482" s="178"/>
      <c r="IN482" s="178"/>
      <c r="IO482" s="178"/>
      <c r="IP482" s="178"/>
      <c r="IQ482" s="178"/>
      <c r="IR482" s="178"/>
      <c r="IS482" s="178"/>
      <c r="IT482" s="178"/>
      <c r="IU482" s="178"/>
      <c r="IV482" s="178"/>
      <c r="IW482" s="178"/>
      <c r="IX482" s="178"/>
      <c r="IY482" s="178"/>
      <c r="IZ482" s="178"/>
      <c r="JA482" s="178"/>
      <c r="JB482" s="178"/>
      <c r="JC482" s="178"/>
      <c r="JD482" s="178"/>
    </row>
    <row r="483">
      <c r="IE483" s="178"/>
      <c r="IF483" s="178"/>
      <c r="IG483" s="178"/>
      <c r="IH483" s="178"/>
      <c r="II483" s="178"/>
      <c r="IJ483" s="178"/>
      <c r="IK483" s="178"/>
      <c r="IL483" s="178"/>
      <c r="IM483" s="178"/>
      <c r="IN483" s="178"/>
      <c r="IO483" s="178"/>
      <c r="IP483" s="178"/>
      <c r="IQ483" s="178"/>
      <c r="IR483" s="178"/>
      <c r="IS483" s="178"/>
      <c r="IT483" s="178"/>
      <c r="IU483" s="178"/>
      <c r="IV483" s="178"/>
      <c r="IW483" s="178"/>
      <c r="IX483" s="178"/>
      <c r="IY483" s="178"/>
      <c r="IZ483" s="178"/>
      <c r="JA483" s="178"/>
      <c r="JB483" s="178"/>
      <c r="JC483" s="178"/>
      <c r="JD483" s="178"/>
    </row>
    <row r="484">
      <c r="IE484" s="178"/>
      <c r="IF484" s="178"/>
      <c r="IG484" s="178"/>
      <c r="IH484" s="178"/>
      <c r="II484" s="178"/>
      <c r="IJ484" s="178"/>
      <c r="IK484" s="178"/>
      <c r="IL484" s="178"/>
      <c r="IM484" s="178"/>
      <c r="IN484" s="178"/>
      <c r="IO484" s="178"/>
      <c r="IP484" s="178"/>
      <c r="IQ484" s="178"/>
      <c r="IR484" s="178"/>
      <c r="IS484" s="178"/>
      <c r="IT484" s="178"/>
      <c r="IU484" s="178"/>
      <c r="IV484" s="178"/>
      <c r="IW484" s="178"/>
      <c r="IX484" s="178"/>
      <c r="IY484" s="178"/>
      <c r="IZ484" s="178"/>
      <c r="JA484" s="178"/>
      <c r="JB484" s="178"/>
      <c r="JC484" s="178"/>
      <c r="JD484" s="178"/>
    </row>
    <row r="485">
      <c r="IE485" s="178"/>
      <c r="IF485" s="178"/>
      <c r="IG485" s="178"/>
      <c r="IH485" s="178"/>
      <c r="II485" s="178"/>
      <c r="IJ485" s="178"/>
      <c r="IK485" s="178"/>
      <c r="IL485" s="178"/>
      <c r="IM485" s="178"/>
      <c r="IN485" s="178"/>
      <c r="IO485" s="178"/>
      <c r="IP485" s="178"/>
      <c r="IQ485" s="178"/>
      <c r="IR485" s="178"/>
      <c r="IS485" s="178"/>
      <c r="IT485" s="178"/>
      <c r="IU485" s="178"/>
      <c r="IV485" s="178"/>
      <c r="IW485" s="178"/>
      <c r="IX485" s="178"/>
      <c r="IY485" s="178"/>
      <c r="IZ485" s="178"/>
      <c r="JA485" s="178"/>
      <c r="JB485" s="178"/>
      <c r="JC485" s="178"/>
      <c r="JD485" s="178"/>
    </row>
    <row r="486">
      <c r="IE486" s="178"/>
      <c r="IF486" s="178"/>
      <c r="IG486" s="178"/>
      <c r="IH486" s="178"/>
      <c r="II486" s="178"/>
      <c r="IJ486" s="178"/>
      <c r="IK486" s="178"/>
      <c r="IL486" s="178"/>
      <c r="IM486" s="178"/>
      <c r="IN486" s="178"/>
      <c r="IO486" s="178"/>
      <c r="IP486" s="178"/>
      <c r="IQ486" s="178"/>
      <c r="IR486" s="178"/>
      <c r="IS486" s="178"/>
      <c r="IT486" s="178"/>
      <c r="IU486" s="178"/>
      <c r="IV486" s="178"/>
      <c r="IW486" s="178"/>
      <c r="IX486" s="178"/>
      <c r="IY486" s="178"/>
      <c r="IZ486" s="178"/>
      <c r="JA486" s="178"/>
      <c r="JB486" s="178"/>
      <c r="JC486" s="178"/>
      <c r="JD486" s="178"/>
    </row>
    <row r="487">
      <c r="IE487" s="178"/>
      <c r="IF487" s="178"/>
      <c r="IG487" s="178"/>
      <c r="IH487" s="178"/>
      <c r="II487" s="178"/>
      <c r="IJ487" s="178"/>
      <c r="IK487" s="178"/>
      <c r="IL487" s="178"/>
      <c r="IM487" s="178"/>
      <c r="IN487" s="178"/>
      <c r="IO487" s="178"/>
      <c r="IP487" s="178"/>
      <c r="IQ487" s="178"/>
      <c r="IR487" s="178"/>
      <c r="IS487" s="178"/>
      <c r="IT487" s="178"/>
      <c r="IU487" s="178"/>
      <c r="IV487" s="178"/>
      <c r="IW487" s="178"/>
      <c r="IX487" s="178"/>
      <c r="IY487" s="178"/>
      <c r="IZ487" s="178"/>
      <c r="JA487" s="178"/>
      <c r="JB487" s="178"/>
      <c r="JC487" s="178"/>
      <c r="JD487" s="178"/>
    </row>
    <row r="488">
      <c r="IE488" s="178"/>
      <c r="IF488" s="178"/>
      <c r="IG488" s="178"/>
      <c r="IH488" s="178"/>
      <c r="II488" s="178"/>
      <c r="IJ488" s="178"/>
      <c r="IK488" s="178"/>
      <c r="IL488" s="178"/>
      <c r="IM488" s="178"/>
      <c r="IN488" s="178"/>
      <c r="IO488" s="178"/>
      <c r="IP488" s="178"/>
      <c r="IQ488" s="178"/>
      <c r="IR488" s="178"/>
      <c r="IS488" s="178"/>
      <c r="IT488" s="178"/>
      <c r="IU488" s="178"/>
      <c r="IV488" s="178"/>
      <c r="IW488" s="178"/>
      <c r="IX488" s="178"/>
      <c r="IY488" s="178"/>
      <c r="IZ488" s="178"/>
      <c r="JA488" s="178"/>
      <c r="JB488" s="178"/>
      <c r="JC488" s="178"/>
      <c r="JD488" s="178"/>
    </row>
    <row r="489">
      <c r="IE489" s="178"/>
      <c r="IF489" s="178"/>
      <c r="IG489" s="178"/>
      <c r="IH489" s="178"/>
      <c r="II489" s="178"/>
      <c r="IJ489" s="178"/>
      <c r="IK489" s="178"/>
      <c r="IL489" s="178"/>
      <c r="IM489" s="178"/>
      <c r="IN489" s="178"/>
      <c r="IO489" s="178"/>
      <c r="IP489" s="178"/>
      <c r="IQ489" s="178"/>
      <c r="IR489" s="178"/>
      <c r="IS489" s="178"/>
      <c r="IT489" s="178"/>
      <c r="IU489" s="178"/>
      <c r="IV489" s="178"/>
      <c r="IW489" s="178"/>
      <c r="IX489" s="178"/>
      <c r="IY489" s="178"/>
      <c r="IZ489" s="178"/>
      <c r="JA489" s="178"/>
      <c r="JB489" s="178"/>
      <c r="JC489" s="178"/>
      <c r="JD489" s="178"/>
    </row>
    <row r="490">
      <c r="IE490" s="178"/>
      <c r="IF490" s="178"/>
      <c r="IG490" s="178"/>
      <c r="IH490" s="178"/>
      <c r="II490" s="178"/>
      <c r="IJ490" s="178"/>
      <c r="IK490" s="178"/>
      <c r="IL490" s="178"/>
      <c r="IM490" s="178"/>
      <c r="IN490" s="178"/>
      <c r="IO490" s="178"/>
      <c r="IP490" s="178"/>
      <c r="IQ490" s="178"/>
      <c r="IR490" s="178"/>
      <c r="IS490" s="178"/>
      <c r="IT490" s="178"/>
      <c r="IU490" s="178"/>
      <c r="IV490" s="178"/>
      <c r="IW490" s="178"/>
      <c r="IX490" s="178"/>
      <c r="IY490" s="178"/>
      <c r="IZ490" s="178"/>
      <c r="JA490" s="178"/>
      <c r="JB490" s="178"/>
      <c r="JC490" s="178"/>
      <c r="JD490" s="178"/>
    </row>
    <row r="491">
      <c r="IE491" s="178"/>
      <c r="IF491" s="178"/>
      <c r="IG491" s="178"/>
      <c r="IH491" s="178"/>
      <c r="II491" s="178"/>
      <c r="IJ491" s="178"/>
      <c r="IK491" s="178"/>
      <c r="IL491" s="178"/>
      <c r="IM491" s="178"/>
      <c r="IN491" s="178"/>
      <c r="IO491" s="178"/>
      <c r="IP491" s="178"/>
      <c r="IQ491" s="178"/>
      <c r="IR491" s="178"/>
      <c r="IS491" s="178"/>
      <c r="IT491" s="178"/>
      <c r="IU491" s="178"/>
      <c r="IV491" s="178"/>
      <c r="IW491" s="178"/>
      <c r="IX491" s="178"/>
      <c r="IY491" s="178"/>
      <c r="IZ491" s="178"/>
      <c r="JA491" s="178"/>
      <c r="JB491" s="178"/>
      <c r="JC491" s="178"/>
      <c r="JD491" s="178"/>
    </row>
    <row r="492">
      <c r="IE492" s="178"/>
      <c r="IF492" s="178"/>
      <c r="IG492" s="178"/>
      <c r="IH492" s="178"/>
      <c r="II492" s="178"/>
      <c r="IJ492" s="178"/>
      <c r="IK492" s="178"/>
      <c r="IL492" s="178"/>
      <c r="IM492" s="178"/>
      <c r="IN492" s="178"/>
      <c r="IO492" s="178"/>
      <c r="IP492" s="178"/>
      <c r="IQ492" s="178"/>
      <c r="IR492" s="178"/>
      <c r="IS492" s="178"/>
      <c r="IT492" s="178"/>
      <c r="IU492" s="178"/>
      <c r="IV492" s="178"/>
      <c r="IW492" s="178"/>
      <c r="IX492" s="178"/>
      <c r="IY492" s="178"/>
      <c r="IZ492" s="178"/>
      <c r="JA492" s="178"/>
      <c r="JB492" s="178"/>
      <c r="JC492" s="178"/>
      <c r="JD492" s="178"/>
    </row>
    <row r="493">
      <c r="IE493" s="178"/>
      <c r="IF493" s="178"/>
      <c r="IG493" s="178"/>
      <c r="IH493" s="178"/>
      <c r="II493" s="178"/>
      <c r="IJ493" s="178"/>
      <c r="IK493" s="178"/>
      <c r="IL493" s="178"/>
      <c r="IM493" s="178"/>
      <c r="IN493" s="178"/>
      <c r="IO493" s="178"/>
      <c r="IP493" s="178"/>
      <c r="IQ493" s="178"/>
      <c r="IR493" s="178"/>
      <c r="IS493" s="178"/>
      <c r="IT493" s="178"/>
      <c r="IU493" s="178"/>
      <c r="IV493" s="178"/>
      <c r="IW493" s="178"/>
      <c r="IX493" s="178"/>
      <c r="IY493" s="178"/>
      <c r="IZ493" s="178"/>
      <c r="JA493" s="178"/>
      <c r="JB493" s="178"/>
      <c r="JC493" s="178"/>
      <c r="JD493" s="178"/>
    </row>
    <row r="494">
      <c r="IE494" s="178"/>
      <c r="IF494" s="178"/>
      <c r="IG494" s="178"/>
      <c r="IH494" s="178"/>
      <c r="II494" s="178"/>
      <c r="IJ494" s="178"/>
      <c r="IK494" s="178"/>
      <c r="IL494" s="178"/>
      <c r="IM494" s="178"/>
      <c r="IN494" s="178"/>
      <c r="IO494" s="178"/>
      <c r="IP494" s="178"/>
      <c r="IQ494" s="178"/>
      <c r="IR494" s="178"/>
      <c r="IS494" s="178"/>
      <c r="IT494" s="178"/>
      <c r="IU494" s="178"/>
      <c r="IV494" s="178"/>
      <c r="IW494" s="178"/>
      <c r="IX494" s="178"/>
      <c r="IY494" s="178"/>
      <c r="IZ494" s="178"/>
      <c r="JA494" s="178"/>
      <c r="JB494" s="178"/>
      <c r="JC494" s="178"/>
      <c r="JD494" s="178"/>
    </row>
    <row r="495">
      <c r="IE495" s="178"/>
      <c r="IF495" s="178"/>
      <c r="IG495" s="178"/>
      <c r="IH495" s="178"/>
      <c r="II495" s="178"/>
      <c r="IJ495" s="178"/>
      <c r="IK495" s="178"/>
      <c r="IL495" s="178"/>
      <c r="IM495" s="178"/>
      <c r="IN495" s="178"/>
      <c r="IO495" s="178"/>
      <c r="IP495" s="178"/>
      <c r="IQ495" s="178"/>
      <c r="IR495" s="178"/>
      <c r="IS495" s="178"/>
      <c r="IT495" s="178"/>
      <c r="IU495" s="178"/>
      <c r="IV495" s="178"/>
      <c r="IW495" s="178"/>
      <c r="IX495" s="178"/>
      <c r="IY495" s="178"/>
      <c r="IZ495" s="178"/>
      <c r="JA495" s="178"/>
      <c r="JB495" s="178"/>
      <c r="JC495" s="178"/>
      <c r="JD495" s="178"/>
    </row>
    <row r="496">
      <c r="IE496" s="178"/>
      <c r="IF496" s="178"/>
      <c r="IG496" s="178"/>
      <c r="IH496" s="178"/>
      <c r="II496" s="178"/>
      <c r="IJ496" s="178"/>
      <c r="IK496" s="178"/>
      <c r="IL496" s="178"/>
      <c r="IM496" s="178"/>
      <c r="IN496" s="178"/>
      <c r="IO496" s="178"/>
      <c r="IP496" s="178"/>
      <c r="IQ496" s="178"/>
      <c r="IR496" s="178"/>
      <c r="IS496" s="178"/>
      <c r="IT496" s="178"/>
      <c r="IU496" s="178"/>
      <c r="IV496" s="178"/>
      <c r="IW496" s="178"/>
      <c r="IX496" s="178"/>
      <c r="IY496" s="178"/>
      <c r="IZ496" s="178"/>
      <c r="JA496" s="178"/>
      <c r="JB496" s="178"/>
      <c r="JC496" s="178"/>
      <c r="JD496" s="178"/>
    </row>
    <row r="497">
      <c r="IE497" s="178"/>
      <c r="IF497" s="178"/>
      <c r="IG497" s="178"/>
      <c r="IH497" s="178"/>
      <c r="II497" s="178"/>
      <c r="IJ497" s="178"/>
      <c r="IK497" s="178"/>
      <c r="IL497" s="178"/>
      <c r="IM497" s="178"/>
      <c r="IN497" s="178"/>
      <c r="IO497" s="178"/>
      <c r="IP497" s="178"/>
      <c r="IQ497" s="178"/>
      <c r="IR497" s="178"/>
      <c r="IS497" s="178"/>
      <c r="IT497" s="178"/>
      <c r="IU497" s="178"/>
      <c r="IV497" s="178"/>
      <c r="IW497" s="178"/>
      <c r="IX497" s="178"/>
      <c r="IY497" s="178"/>
      <c r="IZ497" s="178"/>
      <c r="JA497" s="178"/>
      <c r="JB497" s="178"/>
      <c r="JC497" s="178"/>
      <c r="JD497" s="178"/>
    </row>
    <row r="498">
      <c r="IE498" s="178"/>
      <c r="IF498" s="178"/>
      <c r="IG498" s="178"/>
      <c r="IH498" s="178"/>
      <c r="II498" s="178"/>
      <c r="IJ498" s="178"/>
      <c r="IK498" s="178"/>
      <c r="IL498" s="178"/>
      <c r="IM498" s="178"/>
      <c r="IN498" s="178"/>
      <c r="IO498" s="178"/>
      <c r="IP498" s="178"/>
      <c r="IQ498" s="178"/>
      <c r="IR498" s="178"/>
      <c r="IS498" s="178"/>
      <c r="IT498" s="178"/>
      <c r="IU498" s="178"/>
      <c r="IV498" s="178"/>
      <c r="IW498" s="178"/>
      <c r="IX498" s="178"/>
      <c r="IY498" s="178"/>
      <c r="IZ498" s="178"/>
      <c r="JA498" s="178"/>
      <c r="JB498" s="178"/>
      <c r="JC498" s="178"/>
      <c r="JD498" s="178"/>
    </row>
    <row r="499">
      <c r="IE499" s="178"/>
      <c r="IF499" s="178"/>
      <c r="IG499" s="178"/>
      <c r="IH499" s="178"/>
      <c r="II499" s="178"/>
      <c r="IJ499" s="178"/>
      <c r="IK499" s="178"/>
      <c r="IL499" s="178"/>
      <c r="IM499" s="178"/>
      <c r="IN499" s="178"/>
      <c r="IO499" s="178"/>
      <c r="IP499" s="178"/>
      <c r="IQ499" s="178"/>
      <c r="IR499" s="178"/>
      <c r="IS499" s="178"/>
      <c r="IT499" s="178"/>
      <c r="IU499" s="178"/>
      <c r="IV499" s="178"/>
      <c r="IW499" s="178"/>
      <c r="IX499" s="178"/>
      <c r="IY499" s="178"/>
      <c r="IZ499" s="178"/>
      <c r="JA499" s="178"/>
      <c r="JB499" s="178"/>
      <c r="JC499" s="178"/>
      <c r="JD499" s="178"/>
    </row>
    <row r="500">
      <c r="IE500" s="178"/>
      <c r="IF500" s="178"/>
      <c r="IG500" s="178"/>
      <c r="IH500" s="178"/>
      <c r="II500" s="178"/>
      <c r="IJ500" s="178"/>
      <c r="IK500" s="178"/>
      <c r="IL500" s="178"/>
      <c r="IM500" s="178"/>
      <c r="IN500" s="178"/>
      <c r="IO500" s="178"/>
      <c r="IP500" s="178"/>
      <c r="IQ500" s="178"/>
      <c r="IR500" s="178"/>
      <c r="IS500" s="178"/>
      <c r="IT500" s="178"/>
      <c r="IU500" s="178"/>
      <c r="IV500" s="178"/>
      <c r="IW500" s="178"/>
      <c r="IX500" s="178"/>
      <c r="IY500" s="178"/>
      <c r="IZ500" s="178"/>
      <c r="JA500" s="178"/>
      <c r="JB500" s="178"/>
      <c r="JC500" s="178"/>
      <c r="JD500" s="178"/>
    </row>
    <row r="501">
      <c r="IE501" s="178"/>
      <c r="IF501" s="178"/>
      <c r="IG501" s="178"/>
      <c r="IH501" s="178"/>
      <c r="II501" s="178"/>
      <c r="IJ501" s="178"/>
      <c r="IK501" s="178"/>
      <c r="IL501" s="178"/>
      <c r="IM501" s="178"/>
      <c r="IN501" s="178"/>
      <c r="IO501" s="178"/>
      <c r="IP501" s="178"/>
      <c r="IQ501" s="178"/>
      <c r="IR501" s="178"/>
      <c r="IS501" s="178"/>
      <c r="IT501" s="178"/>
      <c r="IU501" s="178"/>
      <c r="IV501" s="178"/>
      <c r="IW501" s="178"/>
      <c r="IX501" s="178"/>
      <c r="IY501" s="178"/>
      <c r="IZ501" s="178"/>
      <c r="JA501" s="178"/>
      <c r="JB501" s="178"/>
      <c r="JC501" s="178"/>
      <c r="JD501" s="178"/>
    </row>
    <row r="502">
      <c r="IE502" s="178"/>
      <c r="IF502" s="178"/>
      <c r="IG502" s="178"/>
      <c r="IH502" s="178"/>
      <c r="II502" s="178"/>
      <c r="IJ502" s="178"/>
      <c r="IK502" s="178"/>
      <c r="IL502" s="178"/>
      <c r="IM502" s="178"/>
      <c r="IN502" s="178"/>
      <c r="IO502" s="178"/>
      <c r="IP502" s="178"/>
      <c r="IQ502" s="178"/>
      <c r="IR502" s="178"/>
      <c r="IS502" s="178"/>
      <c r="IT502" s="178"/>
      <c r="IU502" s="178"/>
      <c r="IV502" s="178"/>
      <c r="IW502" s="178"/>
      <c r="IX502" s="178"/>
      <c r="IY502" s="178"/>
      <c r="IZ502" s="178"/>
      <c r="JA502" s="178"/>
      <c r="JB502" s="178"/>
      <c r="JC502" s="178"/>
      <c r="JD502" s="178"/>
    </row>
    <row r="503">
      <c r="IE503" s="178"/>
      <c r="IF503" s="178"/>
      <c r="IG503" s="178"/>
      <c r="IH503" s="178"/>
      <c r="II503" s="178"/>
      <c r="IJ503" s="178"/>
      <c r="IK503" s="178"/>
      <c r="IL503" s="178"/>
      <c r="IM503" s="178"/>
      <c r="IN503" s="178"/>
      <c r="IO503" s="178"/>
      <c r="IP503" s="178"/>
      <c r="IQ503" s="178"/>
      <c r="IR503" s="178"/>
      <c r="IS503" s="178"/>
      <c r="IT503" s="178"/>
      <c r="IU503" s="178"/>
      <c r="IV503" s="178"/>
      <c r="IW503" s="178"/>
      <c r="IX503" s="178"/>
      <c r="IY503" s="178"/>
      <c r="IZ503" s="178"/>
      <c r="JA503" s="178"/>
      <c r="JB503" s="178"/>
      <c r="JC503" s="178"/>
      <c r="JD503" s="178"/>
    </row>
    <row r="504">
      <c r="IE504" s="178"/>
      <c r="IF504" s="178"/>
      <c r="IG504" s="178"/>
      <c r="IH504" s="178"/>
      <c r="II504" s="178"/>
      <c r="IJ504" s="178"/>
      <c r="IK504" s="178"/>
      <c r="IL504" s="178"/>
      <c r="IM504" s="178"/>
      <c r="IN504" s="178"/>
      <c r="IO504" s="178"/>
      <c r="IP504" s="178"/>
      <c r="IQ504" s="178"/>
      <c r="IR504" s="178"/>
      <c r="IS504" s="178"/>
      <c r="IT504" s="178"/>
      <c r="IU504" s="178"/>
      <c r="IV504" s="178"/>
      <c r="IW504" s="178"/>
      <c r="IX504" s="178"/>
      <c r="IY504" s="178"/>
      <c r="IZ504" s="178"/>
      <c r="JA504" s="178"/>
      <c r="JB504" s="178"/>
      <c r="JC504" s="178"/>
      <c r="JD504" s="178"/>
    </row>
    <row r="505">
      <c r="IE505" s="178"/>
      <c r="IF505" s="178"/>
      <c r="IG505" s="178"/>
      <c r="IH505" s="178"/>
      <c r="II505" s="178"/>
      <c r="IJ505" s="178"/>
      <c r="IK505" s="178"/>
      <c r="IL505" s="178"/>
      <c r="IM505" s="178"/>
      <c r="IN505" s="178"/>
      <c r="IO505" s="178"/>
      <c r="IP505" s="178"/>
      <c r="IQ505" s="178"/>
      <c r="IR505" s="178"/>
      <c r="IS505" s="178"/>
      <c r="IT505" s="178"/>
      <c r="IU505" s="178"/>
      <c r="IV505" s="178"/>
      <c r="IW505" s="178"/>
      <c r="IX505" s="178"/>
      <c r="IY505" s="178"/>
      <c r="IZ505" s="178"/>
      <c r="JA505" s="178"/>
      <c r="JB505" s="178"/>
      <c r="JC505" s="178"/>
      <c r="JD505" s="178"/>
    </row>
    <row r="506">
      <c r="IE506" s="178"/>
      <c r="IF506" s="178"/>
      <c r="IG506" s="178"/>
      <c r="IH506" s="178"/>
      <c r="II506" s="178"/>
      <c r="IJ506" s="178"/>
      <c r="IK506" s="178"/>
      <c r="IL506" s="178"/>
      <c r="IM506" s="178"/>
      <c r="IN506" s="178"/>
      <c r="IO506" s="178"/>
      <c r="IP506" s="178"/>
      <c r="IQ506" s="178"/>
      <c r="IR506" s="178"/>
      <c r="IS506" s="178"/>
      <c r="IT506" s="178"/>
      <c r="IU506" s="178"/>
      <c r="IV506" s="178"/>
      <c r="IW506" s="178"/>
      <c r="IX506" s="178"/>
      <c r="IY506" s="178"/>
      <c r="IZ506" s="178"/>
      <c r="JA506" s="178"/>
      <c r="JB506" s="178"/>
      <c r="JC506" s="178"/>
      <c r="JD506" s="178"/>
    </row>
    <row r="507">
      <c r="IE507" s="178"/>
      <c r="IF507" s="178"/>
      <c r="IG507" s="178"/>
      <c r="IH507" s="178"/>
      <c r="II507" s="178"/>
      <c r="IJ507" s="178"/>
      <c r="IK507" s="178"/>
      <c r="IL507" s="178"/>
      <c r="IM507" s="178"/>
      <c r="IN507" s="178"/>
      <c r="IO507" s="178"/>
      <c r="IP507" s="178"/>
      <c r="IQ507" s="178"/>
      <c r="IR507" s="178"/>
      <c r="IS507" s="178"/>
      <c r="IT507" s="178"/>
      <c r="IU507" s="178"/>
      <c r="IV507" s="178"/>
      <c r="IW507" s="178"/>
      <c r="IX507" s="178"/>
      <c r="IY507" s="178"/>
      <c r="IZ507" s="178"/>
      <c r="JA507" s="178"/>
      <c r="JB507" s="178"/>
      <c r="JC507" s="178"/>
      <c r="JD507" s="178"/>
    </row>
    <row r="508">
      <c r="IE508" s="178"/>
      <c r="IF508" s="178"/>
      <c r="IG508" s="178"/>
      <c r="IH508" s="178"/>
      <c r="II508" s="178"/>
      <c r="IJ508" s="178"/>
      <c r="IK508" s="178"/>
      <c r="IL508" s="178"/>
      <c r="IM508" s="178"/>
      <c r="IN508" s="178"/>
      <c r="IO508" s="178"/>
      <c r="IP508" s="178"/>
      <c r="IQ508" s="178"/>
      <c r="IR508" s="178"/>
      <c r="IS508" s="178"/>
      <c r="IT508" s="178"/>
      <c r="IU508" s="178"/>
      <c r="IV508" s="178"/>
      <c r="IW508" s="178"/>
      <c r="IX508" s="178"/>
      <c r="IY508" s="178"/>
      <c r="IZ508" s="178"/>
      <c r="JA508" s="178"/>
      <c r="JB508" s="178"/>
      <c r="JC508" s="178"/>
      <c r="JD508" s="178"/>
    </row>
    <row r="509">
      <c r="IE509" s="178"/>
      <c r="IF509" s="178"/>
      <c r="IG509" s="178"/>
      <c r="IH509" s="178"/>
      <c r="II509" s="178"/>
      <c r="IJ509" s="178"/>
      <c r="IK509" s="178"/>
      <c r="IL509" s="178"/>
      <c r="IM509" s="178"/>
      <c r="IN509" s="178"/>
      <c r="IO509" s="178"/>
      <c r="IP509" s="178"/>
      <c r="IQ509" s="178"/>
      <c r="IR509" s="178"/>
      <c r="IS509" s="178"/>
      <c r="IT509" s="178"/>
      <c r="IU509" s="178"/>
      <c r="IV509" s="178"/>
      <c r="IW509" s="178"/>
      <c r="IX509" s="178"/>
      <c r="IY509" s="178"/>
      <c r="IZ509" s="178"/>
      <c r="JA509" s="178"/>
      <c r="JB509" s="178"/>
      <c r="JC509" s="178"/>
      <c r="JD509" s="178"/>
    </row>
    <row r="510">
      <c r="IE510" s="178"/>
      <c r="IF510" s="178"/>
      <c r="IG510" s="178"/>
      <c r="IH510" s="178"/>
      <c r="II510" s="178"/>
      <c r="IJ510" s="178"/>
      <c r="IK510" s="178"/>
      <c r="IL510" s="178"/>
      <c r="IM510" s="178"/>
      <c r="IN510" s="178"/>
      <c r="IO510" s="178"/>
      <c r="IP510" s="178"/>
      <c r="IQ510" s="178"/>
      <c r="IR510" s="178"/>
      <c r="IS510" s="178"/>
      <c r="IT510" s="178"/>
      <c r="IU510" s="178"/>
      <c r="IV510" s="178"/>
      <c r="IW510" s="178"/>
      <c r="IX510" s="178"/>
      <c r="IY510" s="178"/>
      <c r="IZ510" s="178"/>
      <c r="JA510" s="178"/>
      <c r="JB510" s="178"/>
      <c r="JC510" s="178"/>
      <c r="JD510" s="178"/>
    </row>
    <row r="511">
      <c r="IE511" s="178"/>
      <c r="IF511" s="178"/>
      <c r="IG511" s="178"/>
      <c r="IH511" s="178"/>
      <c r="II511" s="178"/>
      <c r="IJ511" s="178"/>
      <c r="IK511" s="178"/>
      <c r="IL511" s="178"/>
      <c r="IM511" s="178"/>
      <c r="IN511" s="178"/>
      <c r="IO511" s="178"/>
      <c r="IP511" s="178"/>
      <c r="IQ511" s="178"/>
      <c r="IR511" s="178"/>
      <c r="IS511" s="178"/>
      <c r="IT511" s="178"/>
      <c r="IU511" s="178"/>
      <c r="IV511" s="178"/>
      <c r="IW511" s="178"/>
      <c r="IX511" s="178"/>
      <c r="IY511" s="178"/>
      <c r="IZ511" s="178"/>
      <c r="JA511" s="178"/>
      <c r="JB511" s="178"/>
      <c r="JC511" s="178"/>
      <c r="JD511" s="178"/>
    </row>
    <row r="512">
      <c r="IE512" s="178"/>
      <c r="IF512" s="178"/>
      <c r="IG512" s="178"/>
      <c r="IH512" s="178"/>
      <c r="II512" s="178"/>
      <c r="IJ512" s="178"/>
      <c r="IK512" s="178"/>
      <c r="IL512" s="178"/>
      <c r="IM512" s="178"/>
      <c r="IN512" s="178"/>
      <c r="IO512" s="178"/>
      <c r="IP512" s="178"/>
      <c r="IQ512" s="178"/>
      <c r="IR512" s="178"/>
      <c r="IS512" s="178"/>
      <c r="IT512" s="178"/>
      <c r="IU512" s="178"/>
      <c r="IV512" s="178"/>
      <c r="IW512" s="178"/>
      <c r="IX512" s="178"/>
      <c r="IY512" s="178"/>
      <c r="IZ512" s="178"/>
      <c r="JA512" s="178"/>
      <c r="JB512" s="178"/>
      <c r="JC512" s="178"/>
      <c r="JD512" s="178"/>
    </row>
    <row r="513">
      <c r="IE513" s="178"/>
      <c r="IF513" s="178"/>
      <c r="IG513" s="178"/>
      <c r="IH513" s="178"/>
      <c r="II513" s="178"/>
      <c r="IJ513" s="178"/>
      <c r="IK513" s="178"/>
      <c r="IL513" s="178"/>
      <c r="IM513" s="178"/>
      <c r="IN513" s="178"/>
      <c r="IO513" s="178"/>
      <c r="IP513" s="178"/>
      <c r="IQ513" s="178"/>
      <c r="IR513" s="178"/>
      <c r="IS513" s="178"/>
      <c r="IT513" s="178"/>
      <c r="IU513" s="178"/>
      <c r="IV513" s="178"/>
      <c r="IW513" s="178"/>
      <c r="IX513" s="178"/>
      <c r="IY513" s="178"/>
      <c r="IZ513" s="178"/>
      <c r="JA513" s="178"/>
      <c r="JB513" s="178"/>
      <c r="JC513" s="178"/>
      <c r="JD513" s="178"/>
    </row>
    <row r="514">
      <c r="IE514" s="178"/>
      <c r="IF514" s="178"/>
      <c r="IG514" s="178"/>
      <c r="IH514" s="178"/>
      <c r="II514" s="178"/>
      <c r="IJ514" s="178"/>
      <c r="IK514" s="178"/>
      <c r="IL514" s="178"/>
      <c r="IM514" s="178"/>
      <c r="IN514" s="178"/>
      <c r="IO514" s="178"/>
      <c r="IP514" s="178"/>
      <c r="IQ514" s="178"/>
      <c r="IR514" s="178"/>
      <c r="IS514" s="178"/>
      <c r="IT514" s="178"/>
      <c r="IU514" s="178"/>
      <c r="IV514" s="178"/>
      <c r="IW514" s="178"/>
      <c r="IX514" s="178"/>
      <c r="IY514" s="178"/>
      <c r="IZ514" s="178"/>
      <c r="JA514" s="178"/>
      <c r="JB514" s="178"/>
      <c r="JC514" s="178"/>
      <c r="JD514" s="178"/>
    </row>
    <row r="515">
      <c r="IE515" s="178"/>
      <c r="IF515" s="178"/>
      <c r="IG515" s="178"/>
      <c r="IH515" s="178"/>
      <c r="II515" s="178"/>
      <c r="IJ515" s="178"/>
      <c r="IK515" s="178"/>
      <c r="IL515" s="178"/>
      <c r="IM515" s="178"/>
      <c r="IN515" s="178"/>
      <c r="IO515" s="178"/>
      <c r="IP515" s="178"/>
      <c r="IQ515" s="178"/>
      <c r="IR515" s="178"/>
      <c r="IS515" s="178"/>
      <c r="IT515" s="178"/>
      <c r="IU515" s="178"/>
      <c r="IV515" s="178"/>
      <c r="IW515" s="178"/>
      <c r="IX515" s="178"/>
      <c r="IY515" s="178"/>
      <c r="IZ515" s="178"/>
      <c r="JA515" s="178"/>
      <c r="JB515" s="178"/>
      <c r="JC515" s="178"/>
      <c r="JD515" s="178"/>
    </row>
    <row r="516">
      <c r="IE516" s="178"/>
      <c r="IF516" s="178"/>
      <c r="IG516" s="178"/>
      <c r="IH516" s="178"/>
      <c r="II516" s="178"/>
      <c r="IJ516" s="178"/>
      <c r="IK516" s="178"/>
      <c r="IL516" s="178"/>
      <c r="IM516" s="178"/>
      <c r="IN516" s="178"/>
      <c r="IO516" s="178"/>
      <c r="IP516" s="178"/>
      <c r="IQ516" s="178"/>
      <c r="IR516" s="178"/>
      <c r="IS516" s="178"/>
      <c r="IT516" s="178"/>
      <c r="IU516" s="178"/>
      <c r="IV516" s="178"/>
      <c r="IW516" s="178"/>
      <c r="IX516" s="178"/>
      <c r="IY516" s="178"/>
      <c r="IZ516" s="178"/>
      <c r="JA516" s="178"/>
      <c r="JB516" s="178"/>
      <c r="JC516" s="178"/>
      <c r="JD516" s="178"/>
    </row>
    <row r="517">
      <c r="IE517" s="178"/>
      <c r="IF517" s="178"/>
      <c r="IG517" s="178"/>
      <c r="IH517" s="178"/>
      <c r="II517" s="178"/>
      <c r="IJ517" s="178"/>
      <c r="IK517" s="178"/>
      <c r="IL517" s="178"/>
      <c r="IM517" s="178"/>
      <c r="IN517" s="178"/>
      <c r="IO517" s="178"/>
      <c r="IP517" s="178"/>
      <c r="IQ517" s="178"/>
      <c r="IR517" s="178"/>
      <c r="IS517" s="178"/>
      <c r="IT517" s="178"/>
      <c r="IU517" s="178"/>
      <c r="IV517" s="178"/>
      <c r="IW517" s="178"/>
      <c r="IX517" s="178"/>
      <c r="IY517" s="178"/>
      <c r="IZ517" s="178"/>
      <c r="JA517" s="178"/>
      <c r="JB517" s="178"/>
      <c r="JC517" s="178"/>
      <c r="JD517" s="178"/>
    </row>
    <row r="518">
      <c r="IE518" s="178"/>
      <c r="IF518" s="178"/>
      <c r="IG518" s="178"/>
      <c r="IH518" s="178"/>
      <c r="II518" s="178"/>
      <c r="IJ518" s="178"/>
      <c r="IK518" s="178"/>
      <c r="IL518" s="178"/>
      <c r="IM518" s="178"/>
      <c r="IN518" s="178"/>
      <c r="IO518" s="178"/>
      <c r="IP518" s="178"/>
      <c r="IQ518" s="178"/>
      <c r="IR518" s="178"/>
      <c r="IS518" s="178"/>
      <c r="IT518" s="178"/>
      <c r="IU518" s="178"/>
      <c r="IV518" s="178"/>
      <c r="IW518" s="178"/>
      <c r="IX518" s="178"/>
      <c r="IY518" s="178"/>
      <c r="IZ518" s="178"/>
      <c r="JA518" s="178"/>
      <c r="JB518" s="178"/>
      <c r="JC518" s="178"/>
      <c r="JD518" s="178"/>
    </row>
    <row r="519">
      <c r="IE519" s="178"/>
      <c r="IF519" s="178"/>
      <c r="IG519" s="178"/>
      <c r="IH519" s="178"/>
      <c r="II519" s="178"/>
      <c r="IJ519" s="178"/>
      <c r="IK519" s="178"/>
      <c r="IL519" s="178"/>
      <c r="IM519" s="178"/>
      <c r="IN519" s="178"/>
      <c r="IO519" s="178"/>
      <c r="IP519" s="178"/>
      <c r="IQ519" s="178"/>
      <c r="IR519" s="178"/>
      <c r="IS519" s="178"/>
      <c r="IT519" s="178"/>
      <c r="IU519" s="178"/>
      <c r="IV519" s="178"/>
      <c r="IW519" s="178"/>
      <c r="IX519" s="178"/>
      <c r="IY519" s="178"/>
      <c r="IZ519" s="178"/>
      <c r="JA519" s="178"/>
      <c r="JB519" s="178"/>
      <c r="JC519" s="178"/>
      <c r="JD519" s="178"/>
    </row>
    <row r="520">
      <c r="IE520" s="178"/>
      <c r="IF520" s="178"/>
      <c r="IG520" s="178"/>
      <c r="IH520" s="178"/>
      <c r="II520" s="178"/>
      <c r="IJ520" s="178"/>
      <c r="IK520" s="178"/>
      <c r="IL520" s="178"/>
      <c r="IM520" s="178"/>
      <c r="IN520" s="178"/>
      <c r="IO520" s="178"/>
      <c r="IP520" s="178"/>
      <c r="IQ520" s="178"/>
      <c r="IR520" s="178"/>
      <c r="IS520" s="178"/>
      <c r="IT520" s="178"/>
      <c r="IU520" s="178"/>
      <c r="IV520" s="178"/>
      <c r="IW520" s="178"/>
      <c r="IX520" s="178"/>
      <c r="IY520" s="178"/>
      <c r="IZ520" s="178"/>
      <c r="JA520" s="178"/>
      <c r="JB520" s="178"/>
      <c r="JC520" s="178"/>
      <c r="JD520" s="178"/>
    </row>
    <row r="521">
      <c r="IE521" s="178"/>
      <c r="IF521" s="178"/>
      <c r="IG521" s="178"/>
      <c r="IH521" s="178"/>
      <c r="II521" s="178"/>
      <c r="IJ521" s="178"/>
      <c r="IK521" s="178"/>
      <c r="IL521" s="178"/>
      <c r="IM521" s="178"/>
      <c r="IN521" s="178"/>
      <c r="IO521" s="178"/>
      <c r="IP521" s="178"/>
      <c r="IQ521" s="178"/>
      <c r="IR521" s="178"/>
      <c r="IS521" s="178"/>
      <c r="IT521" s="178"/>
      <c r="IU521" s="178"/>
      <c r="IV521" s="178"/>
      <c r="IW521" s="178"/>
      <c r="IX521" s="178"/>
      <c r="IY521" s="178"/>
      <c r="IZ521" s="178"/>
      <c r="JA521" s="178"/>
      <c r="JB521" s="178"/>
      <c r="JC521" s="178"/>
      <c r="JD521" s="178"/>
    </row>
    <row r="522">
      <c r="IE522" s="178"/>
      <c r="IF522" s="178"/>
      <c r="IG522" s="178"/>
      <c r="IH522" s="178"/>
      <c r="II522" s="178"/>
      <c r="IJ522" s="178"/>
      <c r="IK522" s="178"/>
      <c r="IL522" s="178"/>
      <c r="IM522" s="178"/>
      <c r="IN522" s="178"/>
      <c r="IO522" s="178"/>
      <c r="IP522" s="178"/>
      <c r="IQ522" s="178"/>
      <c r="IR522" s="178"/>
      <c r="IS522" s="178"/>
      <c r="IT522" s="178"/>
      <c r="IU522" s="178"/>
      <c r="IV522" s="178"/>
      <c r="IW522" s="178"/>
      <c r="IX522" s="178"/>
      <c r="IY522" s="178"/>
      <c r="IZ522" s="178"/>
      <c r="JA522" s="178"/>
      <c r="JB522" s="178"/>
      <c r="JC522" s="178"/>
      <c r="JD522" s="178"/>
    </row>
    <row r="523">
      <c r="IE523" s="178"/>
      <c r="IF523" s="178"/>
      <c r="IG523" s="178"/>
      <c r="IH523" s="178"/>
      <c r="II523" s="178"/>
      <c r="IJ523" s="178"/>
      <c r="IK523" s="178"/>
      <c r="IL523" s="178"/>
      <c r="IM523" s="178"/>
      <c r="IN523" s="178"/>
      <c r="IO523" s="178"/>
      <c r="IP523" s="178"/>
      <c r="IQ523" s="178"/>
      <c r="IR523" s="178"/>
      <c r="IS523" s="178"/>
      <c r="IT523" s="178"/>
      <c r="IU523" s="178"/>
      <c r="IV523" s="178"/>
      <c r="IW523" s="178"/>
      <c r="IX523" s="178"/>
      <c r="IY523" s="178"/>
      <c r="IZ523" s="178"/>
      <c r="JA523" s="178"/>
      <c r="JB523" s="178"/>
      <c r="JC523" s="178"/>
      <c r="JD523" s="178"/>
    </row>
    <row r="524">
      <c r="IE524" s="178"/>
      <c r="IF524" s="178"/>
      <c r="IG524" s="178"/>
      <c r="IH524" s="178"/>
      <c r="II524" s="178"/>
      <c r="IJ524" s="178"/>
      <c r="IK524" s="178"/>
      <c r="IL524" s="178"/>
      <c r="IM524" s="178"/>
      <c r="IN524" s="178"/>
      <c r="IO524" s="178"/>
      <c r="IP524" s="178"/>
      <c r="IQ524" s="178"/>
      <c r="IR524" s="178"/>
      <c r="IS524" s="178"/>
      <c r="IT524" s="178"/>
      <c r="IU524" s="178"/>
      <c r="IV524" s="178"/>
      <c r="IW524" s="178"/>
      <c r="IX524" s="178"/>
      <c r="IY524" s="178"/>
      <c r="IZ524" s="178"/>
      <c r="JA524" s="178"/>
      <c r="JB524" s="178"/>
      <c r="JC524" s="178"/>
      <c r="JD524" s="178"/>
    </row>
    <row r="525">
      <c r="IE525" s="178"/>
      <c r="IF525" s="178"/>
      <c r="IG525" s="178"/>
      <c r="IH525" s="178"/>
      <c r="II525" s="178"/>
      <c r="IJ525" s="178"/>
      <c r="IK525" s="178"/>
      <c r="IL525" s="178"/>
      <c r="IM525" s="178"/>
      <c r="IN525" s="178"/>
      <c r="IO525" s="178"/>
      <c r="IP525" s="178"/>
      <c r="IQ525" s="178"/>
      <c r="IR525" s="178"/>
      <c r="IS525" s="178"/>
      <c r="IT525" s="178"/>
      <c r="IU525" s="178"/>
      <c r="IV525" s="178"/>
      <c r="IW525" s="178"/>
      <c r="IX525" s="178"/>
      <c r="IY525" s="178"/>
      <c r="IZ525" s="178"/>
      <c r="JA525" s="178"/>
      <c r="JB525" s="178"/>
      <c r="JC525" s="178"/>
      <c r="JD525" s="178"/>
    </row>
    <row r="526">
      <c r="IE526" s="178"/>
      <c r="IF526" s="178"/>
      <c r="IG526" s="178"/>
      <c r="IH526" s="178"/>
      <c r="II526" s="178"/>
      <c r="IJ526" s="178"/>
      <c r="IK526" s="178"/>
      <c r="IL526" s="178"/>
      <c r="IM526" s="178"/>
      <c r="IN526" s="178"/>
      <c r="IO526" s="178"/>
      <c r="IP526" s="178"/>
      <c r="IQ526" s="178"/>
      <c r="IR526" s="178"/>
      <c r="IS526" s="178"/>
      <c r="IT526" s="178"/>
      <c r="IU526" s="178"/>
      <c r="IV526" s="178"/>
      <c r="IW526" s="178"/>
      <c r="IX526" s="178"/>
      <c r="IY526" s="178"/>
      <c r="IZ526" s="178"/>
      <c r="JA526" s="178"/>
      <c r="JB526" s="178"/>
      <c r="JC526" s="178"/>
      <c r="JD526" s="178"/>
    </row>
    <row r="527">
      <c r="IE527" s="178"/>
      <c r="IF527" s="178"/>
      <c r="IG527" s="178"/>
      <c r="IH527" s="178"/>
      <c r="II527" s="178"/>
      <c r="IJ527" s="178"/>
      <c r="IK527" s="178"/>
      <c r="IL527" s="178"/>
      <c r="IM527" s="178"/>
      <c r="IN527" s="178"/>
      <c r="IO527" s="178"/>
      <c r="IP527" s="178"/>
      <c r="IQ527" s="178"/>
      <c r="IR527" s="178"/>
      <c r="IS527" s="178"/>
      <c r="IT527" s="178"/>
      <c r="IU527" s="178"/>
      <c r="IV527" s="178"/>
      <c r="IW527" s="178"/>
      <c r="IX527" s="178"/>
      <c r="IY527" s="178"/>
      <c r="IZ527" s="178"/>
      <c r="JA527" s="178"/>
      <c r="JB527" s="178"/>
      <c r="JC527" s="178"/>
      <c r="JD527" s="178"/>
    </row>
    <row r="528">
      <c r="IE528" s="178"/>
      <c r="IF528" s="178"/>
      <c r="IG528" s="178"/>
      <c r="IH528" s="178"/>
      <c r="II528" s="178"/>
      <c r="IJ528" s="178"/>
      <c r="IK528" s="178"/>
      <c r="IL528" s="178"/>
      <c r="IM528" s="178"/>
      <c r="IN528" s="178"/>
      <c r="IO528" s="178"/>
      <c r="IP528" s="178"/>
      <c r="IQ528" s="178"/>
      <c r="IR528" s="178"/>
      <c r="IS528" s="178"/>
      <c r="IT528" s="178"/>
      <c r="IU528" s="178"/>
      <c r="IV528" s="178"/>
      <c r="IW528" s="178"/>
      <c r="IX528" s="178"/>
      <c r="IY528" s="178"/>
      <c r="IZ528" s="178"/>
      <c r="JA528" s="178"/>
      <c r="JB528" s="178"/>
      <c r="JC528" s="178"/>
      <c r="JD528" s="178"/>
    </row>
    <row r="529">
      <c r="IE529" s="178"/>
      <c r="IF529" s="178"/>
      <c r="IG529" s="178"/>
      <c r="IH529" s="178"/>
      <c r="II529" s="178"/>
      <c r="IJ529" s="178"/>
      <c r="IK529" s="178"/>
      <c r="IL529" s="178"/>
      <c r="IM529" s="178"/>
      <c r="IN529" s="178"/>
      <c r="IO529" s="178"/>
      <c r="IP529" s="178"/>
      <c r="IQ529" s="178"/>
      <c r="IR529" s="178"/>
      <c r="IS529" s="178"/>
      <c r="IT529" s="178"/>
      <c r="IU529" s="178"/>
      <c r="IV529" s="178"/>
      <c r="IW529" s="178"/>
      <c r="IX529" s="178"/>
      <c r="IY529" s="178"/>
      <c r="IZ529" s="178"/>
      <c r="JA529" s="178"/>
      <c r="JB529" s="178"/>
      <c r="JC529" s="178"/>
      <c r="JD529" s="178"/>
    </row>
    <row r="530">
      <c r="IE530" s="178"/>
      <c r="IF530" s="178"/>
      <c r="IG530" s="178"/>
      <c r="IH530" s="178"/>
      <c r="II530" s="178"/>
      <c r="IJ530" s="178"/>
      <c r="IK530" s="178"/>
      <c r="IL530" s="178"/>
      <c r="IM530" s="178"/>
      <c r="IN530" s="178"/>
      <c r="IO530" s="178"/>
      <c r="IP530" s="178"/>
      <c r="IQ530" s="178"/>
      <c r="IR530" s="178"/>
      <c r="IS530" s="178"/>
      <c r="IT530" s="178"/>
      <c r="IU530" s="178"/>
      <c r="IV530" s="178"/>
      <c r="IW530" s="178"/>
      <c r="IX530" s="178"/>
      <c r="IY530" s="178"/>
      <c r="IZ530" s="178"/>
      <c r="JA530" s="178"/>
      <c r="JB530" s="178"/>
      <c r="JC530" s="178"/>
      <c r="JD530" s="178"/>
    </row>
    <row r="531">
      <c r="IE531" s="178"/>
      <c r="IF531" s="178"/>
      <c r="IG531" s="178"/>
      <c r="IH531" s="178"/>
      <c r="II531" s="178"/>
      <c r="IJ531" s="178"/>
      <c r="IK531" s="178"/>
      <c r="IL531" s="178"/>
      <c r="IM531" s="178"/>
      <c r="IN531" s="178"/>
      <c r="IO531" s="178"/>
      <c r="IP531" s="178"/>
      <c r="IQ531" s="178"/>
      <c r="IR531" s="178"/>
      <c r="IS531" s="178"/>
      <c r="IT531" s="178"/>
      <c r="IU531" s="178"/>
      <c r="IV531" s="178"/>
      <c r="IW531" s="178"/>
      <c r="IX531" s="178"/>
      <c r="IY531" s="178"/>
      <c r="IZ531" s="178"/>
      <c r="JA531" s="178"/>
      <c r="JB531" s="178"/>
      <c r="JC531" s="178"/>
      <c r="JD531" s="178"/>
    </row>
    <row r="532">
      <c r="IE532" s="178"/>
      <c r="IF532" s="178"/>
      <c r="IG532" s="178"/>
      <c r="IH532" s="178"/>
      <c r="II532" s="178"/>
      <c r="IJ532" s="178"/>
      <c r="IK532" s="178"/>
      <c r="IL532" s="178"/>
      <c r="IM532" s="178"/>
      <c r="IN532" s="178"/>
      <c r="IO532" s="178"/>
      <c r="IP532" s="178"/>
      <c r="IQ532" s="178"/>
      <c r="IR532" s="178"/>
      <c r="IS532" s="178"/>
      <c r="IT532" s="178"/>
      <c r="IU532" s="178"/>
      <c r="IV532" s="178"/>
      <c r="IW532" s="178"/>
      <c r="IX532" s="178"/>
      <c r="IY532" s="178"/>
      <c r="IZ532" s="178"/>
      <c r="JA532" s="178"/>
      <c r="JB532" s="178"/>
      <c r="JC532" s="178"/>
      <c r="JD532" s="178"/>
    </row>
    <row r="533">
      <c r="IE533" s="178"/>
      <c r="IF533" s="178"/>
      <c r="IG533" s="178"/>
      <c r="IH533" s="178"/>
      <c r="II533" s="178"/>
      <c r="IJ533" s="178"/>
      <c r="IK533" s="178"/>
      <c r="IL533" s="178"/>
      <c r="IM533" s="178"/>
      <c r="IN533" s="178"/>
      <c r="IO533" s="178"/>
      <c r="IP533" s="178"/>
      <c r="IQ533" s="178"/>
      <c r="IR533" s="178"/>
      <c r="IS533" s="178"/>
      <c r="IT533" s="178"/>
      <c r="IU533" s="178"/>
      <c r="IV533" s="178"/>
      <c r="IW533" s="178"/>
      <c r="IX533" s="178"/>
      <c r="IY533" s="178"/>
      <c r="IZ533" s="178"/>
      <c r="JA533" s="178"/>
      <c r="JB533" s="178"/>
      <c r="JC533" s="178"/>
      <c r="JD533" s="178"/>
    </row>
    <row r="534">
      <c r="IE534" s="178"/>
      <c r="IF534" s="178"/>
      <c r="IG534" s="178"/>
      <c r="IH534" s="178"/>
      <c r="II534" s="178"/>
      <c r="IJ534" s="178"/>
      <c r="IK534" s="178"/>
      <c r="IL534" s="178"/>
      <c r="IM534" s="178"/>
      <c r="IN534" s="178"/>
      <c r="IO534" s="178"/>
      <c r="IP534" s="178"/>
      <c r="IQ534" s="178"/>
      <c r="IR534" s="178"/>
      <c r="IS534" s="178"/>
      <c r="IT534" s="178"/>
      <c r="IU534" s="178"/>
      <c r="IV534" s="178"/>
      <c r="IW534" s="178"/>
      <c r="IX534" s="178"/>
      <c r="IY534" s="178"/>
      <c r="IZ534" s="178"/>
      <c r="JA534" s="178"/>
      <c r="JB534" s="178"/>
      <c r="JC534" s="178"/>
      <c r="JD534" s="178"/>
    </row>
    <row r="535">
      <c r="IE535" s="178"/>
      <c r="IF535" s="178"/>
      <c r="IG535" s="178"/>
      <c r="IH535" s="178"/>
      <c r="II535" s="178"/>
      <c r="IJ535" s="178"/>
      <c r="IK535" s="178"/>
      <c r="IL535" s="178"/>
      <c r="IM535" s="178"/>
      <c r="IN535" s="178"/>
      <c r="IO535" s="178"/>
      <c r="IP535" s="178"/>
      <c r="IQ535" s="178"/>
      <c r="IR535" s="178"/>
      <c r="IS535" s="178"/>
      <c r="IT535" s="178"/>
      <c r="IU535" s="178"/>
      <c r="IV535" s="178"/>
      <c r="IW535" s="178"/>
      <c r="IX535" s="178"/>
      <c r="IY535" s="178"/>
      <c r="IZ535" s="178"/>
      <c r="JA535" s="178"/>
      <c r="JB535" s="178"/>
      <c r="JC535" s="178"/>
      <c r="JD535" s="178"/>
    </row>
    <row r="536">
      <c r="IE536" s="178"/>
      <c r="IF536" s="178"/>
      <c r="IG536" s="178"/>
      <c r="IH536" s="178"/>
      <c r="II536" s="178"/>
      <c r="IJ536" s="178"/>
      <c r="IK536" s="178"/>
      <c r="IL536" s="178"/>
      <c r="IM536" s="178"/>
      <c r="IN536" s="178"/>
      <c r="IO536" s="178"/>
      <c r="IP536" s="178"/>
      <c r="IQ536" s="178"/>
      <c r="IR536" s="178"/>
      <c r="IS536" s="178"/>
      <c r="IT536" s="178"/>
      <c r="IU536" s="178"/>
      <c r="IV536" s="178"/>
      <c r="IW536" s="178"/>
      <c r="IX536" s="178"/>
      <c r="IY536" s="178"/>
      <c r="IZ536" s="178"/>
      <c r="JA536" s="178"/>
      <c r="JB536" s="178"/>
      <c r="JC536" s="178"/>
      <c r="JD536" s="178"/>
    </row>
    <row r="537">
      <c r="IE537" s="178"/>
      <c r="IF537" s="178"/>
      <c r="IG537" s="178"/>
      <c r="IH537" s="178"/>
      <c r="II537" s="178"/>
      <c r="IJ537" s="178"/>
      <c r="IK537" s="178"/>
      <c r="IL537" s="178"/>
      <c r="IM537" s="178"/>
      <c r="IN537" s="178"/>
      <c r="IO537" s="178"/>
      <c r="IP537" s="178"/>
      <c r="IQ537" s="178"/>
      <c r="IR537" s="178"/>
      <c r="IS537" s="178"/>
      <c r="IT537" s="178"/>
      <c r="IU537" s="178"/>
      <c r="IV537" s="178"/>
      <c r="IW537" s="178"/>
      <c r="IX537" s="178"/>
      <c r="IY537" s="178"/>
      <c r="IZ537" s="178"/>
      <c r="JA537" s="178"/>
      <c r="JB537" s="178"/>
      <c r="JC537" s="178"/>
      <c r="JD537" s="178"/>
    </row>
    <row r="538">
      <c r="IE538" s="178"/>
      <c r="IF538" s="178"/>
      <c r="IG538" s="178"/>
      <c r="IH538" s="178"/>
      <c r="II538" s="178"/>
      <c r="IJ538" s="178"/>
      <c r="IK538" s="178"/>
      <c r="IL538" s="178"/>
      <c r="IM538" s="178"/>
      <c r="IN538" s="178"/>
      <c r="IO538" s="178"/>
      <c r="IP538" s="178"/>
      <c r="IQ538" s="178"/>
      <c r="IR538" s="178"/>
      <c r="IS538" s="178"/>
      <c r="IT538" s="178"/>
      <c r="IU538" s="178"/>
      <c r="IV538" s="178"/>
      <c r="IW538" s="178"/>
      <c r="IX538" s="178"/>
      <c r="IY538" s="178"/>
      <c r="IZ538" s="178"/>
      <c r="JA538" s="178"/>
      <c r="JB538" s="178"/>
      <c r="JC538" s="178"/>
      <c r="JD538" s="178"/>
    </row>
    <row r="539">
      <c r="IE539" s="178"/>
      <c r="IF539" s="178"/>
      <c r="IG539" s="178"/>
      <c r="IH539" s="178"/>
      <c r="II539" s="178"/>
      <c r="IJ539" s="178"/>
      <c r="IK539" s="178"/>
      <c r="IL539" s="178"/>
      <c r="IM539" s="178"/>
      <c r="IN539" s="178"/>
      <c r="IO539" s="178"/>
      <c r="IP539" s="178"/>
      <c r="IQ539" s="178"/>
      <c r="IR539" s="178"/>
      <c r="IS539" s="178"/>
      <c r="IT539" s="178"/>
      <c r="IU539" s="178"/>
      <c r="IV539" s="178"/>
      <c r="IW539" s="178"/>
      <c r="IX539" s="178"/>
      <c r="IY539" s="178"/>
      <c r="IZ539" s="178"/>
      <c r="JA539" s="178"/>
      <c r="JB539" s="178"/>
      <c r="JC539" s="178"/>
      <c r="JD539" s="178"/>
    </row>
    <row r="540">
      <c r="IE540" s="178"/>
      <c r="IF540" s="178"/>
      <c r="IG540" s="178"/>
      <c r="IH540" s="178"/>
      <c r="II540" s="178"/>
      <c r="IJ540" s="178"/>
      <c r="IK540" s="178"/>
      <c r="IL540" s="178"/>
      <c r="IM540" s="178"/>
      <c r="IN540" s="178"/>
      <c r="IO540" s="178"/>
      <c r="IP540" s="178"/>
      <c r="IQ540" s="178"/>
      <c r="IR540" s="178"/>
      <c r="IS540" s="178"/>
      <c r="IT540" s="178"/>
      <c r="IU540" s="178"/>
      <c r="IV540" s="178"/>
      <c r="IW540" s="178"/>
      <c r="IX540" s="178"/>
      <c r="IY540" s="178"/>
      <c r="IZ540" s="178"/>
      <c r="JA540" s="178"/>
      <c r="JB540" s="178"/>
      <c r="JC540" s="178"/>
      <c r="JD540" s="178"/>
    </row>
    <row r="541">
      <c r="IE541" s="178"/>
      <c r="IF541" s="178"/>
      <c r="IG541" s="178"/>
      <c r="IH541" s="178"/>
      <c r="II541" s="178"/>
      <c r="IJ541" s="178"/>
      <c r="IK541" s="178"/>
      <c r="IL541" s="178"/>
      <c r="IM541" s="178"/>
      <c r="IN541" s="178"/>
      <c r="IO541" s="178"/>
      <c r="IP541" s="178"/>
      <c r="IQ541" s="178"/>
      <c r="IR541" s="178"/>
      <c r="IS541" s="178"/>
      <c r="IT541" s="178"/>
      <c r="IU541" s="178"/>
      <c r="IV541" s="178"/>
      <c r="IW541" s="178"/>
      <c r="IX541" s="178"/>
      <c r="IY541" s="178"/>
      <c r="IZ541" s="178"/>
      <c r="JA541" s="178"/>
      <c r="JB541" s="178"/>
      <c r="JC541" s="178"/>
      <c r="JD541" s="178"/>
    </row>
    <row r="542">
      <c r="IE542" s="178"/>
      <c r="IF542" s="178"/>
      <c r="IG542" s="178"/>
      <c r="IH542" s="178"/>
      <c r="II542" s="178"/>
      <c r="IJ542" s="178"/>
      <c r="IK542" s="178"/>
      <c r="IL542" s="178"/>
      <c r="IM542" s="178"/>
      <c r="IN542" s="178"/>
      <c r="IO542" s="178"/>
      <c r="IP542" s="178"/>
      <c r="IQ542" s="178"/>
      <c r="IR542" s="178"/>
      <c r="IS542" s="178"/>
      <c r="IT542" s="178"/>
      <c r="IU542" s="178"/>
      <c r="IV542" s="178"/>
      <c r="IW542" s="178"/>
      <c r="IX542" s="178"/>
      <c r="IY542" s="178"/>
      <c r="IZ542" s="178"/>
      <c r="JA542" s="178"/>
      <c r="JB542" s="178"/>
      <c r="JC542" s="178"/>
      <c r="JD542" s="178"/>
    </row>
    <row r="543">
      <c r="IE543" s="178"/>
      <c r="IF543" s="178"/>
      <c r="IG543" s="178"/>
      <c r="IH543" s="178"/>
      <c r="II543" s="178"/>
      <c r="IJ543" s="178"/>
      <c r="IK543" s="178"/>
      <c r="IL543" s="178"/>
      <c r="IM543" s="178"/>
      <c r="IN543" s="178"/>
      <c r="IO543" s="178"/>
      <c r="IP543" s="178"/>
      <c r="IQ543" s="178"/>
      <c r="IR543" s="178"/>
      <c r="IS543" s="178"/>
      <c r="IT543" s="178"/>
      <c r="IU543" s="178"/>
      <c r="IV543" s="178"/>
      <c r="IW543" s="178"/>
      <c r="IX543" s="178"/>
      <c r="IY543" s="178"/>
      <c r="IZ543" s="178"/>
      <c r="JA543" s="178"/>
      <c r="JB543" s="178"/>
      <c r="JC543" s="178"/>
      <c r="JD543" s="178"/>
    </row>
    <row r="544">
      <c r="IE544" s="178"/>
      <c r="IF544" s="178"/>
      <c r="IG544" s="178"/>
      <c r="IH544" s="178"/>
      <c r="II544" s="178"/>
      <c r="IJ544" s="178"/>
      <c r="IK544" s="178"/>
      <c r="IL544" s="178"/>
      <c r="IM544" s="178"/>
      <c r="IN544" s="178"/>
      <c r="IO544" s="178"/>
      <c r="IP544" s="178"/>
      <c r="IQ544" s="178"/>
      <c r="IR544" s="178"/>
      <c r="IS544" s="178"/>
      <c r="IT544" s="178"/>
      <c r="IU544" s="178"/>
      <c r="IV544" s="178"/>
      <c r="IW544" s="178"/>
      <c r="IX544" s="178"/>
      <c r="IY544" s="178"/>
      <c r="IZ544" s="178"/>
      <c r="JA544" s="178"/>
      <c r="JB544" s="178"/>
      <c r="JC544" s="178"/>
      <c r="JD544" s="178"/>
    </row>
    <row r="545">
      <c r="IE545" s="178"/>
      <c r="IF545" s="178"/>
      <c r="IG545" s="178"/>
      <c r="IH545" s="178"/>
      <c r="II545" s="178"/>
      <c r="IJ545" s="178"/>
      <c r="IK545" s="178"/>
      <c r="IL545" s="178"/>
      <c r="IM545" s="178"/>
      <c r="IN545" s="178"/>
      <c r="IO545" s="178"/>
      <c r="IP545" s="178"/>
      <c r="IQ545" s="178"/>
      <c r="IR545" s="178"/>
      <c r="IS545" s="178"/>
      <c r="IT545" s="178"/>
      <c r="IU545" s="178"/>
      <c r="IV545" s="178"/>
      <c r="IW545" s="178"/>
      <c r="IX545" s="178"/>
      <c r="IY545" s="178"/>
      <c r="IZ545" s="178"/>
      <c r="JA545" s="178"/>
      <c r="JB545" s="178"/>
      <c r="JC545" s="178"/>
      <c r="JD545" s="178"/>
    </row>
    <row r="546">
      <c r="IE546" s="178"/>
      <c r="IF546" s="178"/>
      <c r="IG546" s="178"/>
      <c r="IH546" s="178"/>
      <c r="II546" s="178"/>
      <c r="IJ546" s="178"/>
      <c r="IK546" s="178"/>
      <c r="IL546" s="178"/>
      <c r="IM546" s="178"/>
      <c r="IN546" s="178"/>
      <c r="IO546" s="178"/>
      <c r="IP546" s="178"/>
      <c r="IQ546" s="178"/>
      <c r="IR546" s="178"/>
      <c r="IS546" s="178"/>
      <c r="IT546" s="178"/>
      <c r="IU546" s="178"/>
      <c r="IV546" s="178"/>
      <c r="IW546" s="178"/>
      <c r="IX546" s="178"/>
      <c r="IY546" s="178"/>
      <c r="IZ546" s="178"/>
      <c r="JA546" s="178"/>
      <c r="JB546" s="178"/>
      <c r="JC546" s="178"/>
      <c r="JD546" s="178"/>
    </row>
    <row r="547">
      <c r="IE547" s="178"/>
      <c r="IF547" s="178"/>
      <c r="IG547" s="178"/>
      <c r="IH547" s="178"/>
      <c r="II547" s="178"/>
      <c r="IJ547" s="178"/>
      <c r="IK547" s="178"/>
      <c r="IL547" s="178"/>
      <c r="IM547" s="178"/>
      <c r="IN547" s="178"/>
      <c r="IO547" s="178"/>
      <c r="IP547" s="178"/>
      <c r="IQ547" s="178"/>
      <c r="IR547" s="178"/>
      <c r="IS547" s="178"/>
      <c r="IT547" s="178"/>
      <c r="IU547" s="178"/>
      <c r="IV547" s="178"/>
      <c r="IW547" s="178"/>
      <c r="IX547" s="178"/>
      <c r="IY547" s="178"/>
      <c r="IZ547" s="178"/>
      <c r="JA547" s="178"/>
      <c r="JB547" s="178"/>
      <c r="JC547" s="178"/>
      <c r="JD547" s="178"/>
    </row>
    <row r="548">
      <c r="IE548" s="178"/>
      <c r="IF548" s="178"/>
      <c r="IG548" s="178"/>
      <c r="IH548" s="178"/>
      <c r="II548" s="178"/>
      <c r="IJ548" s="178"/>
      <c r="IK548" s="178"/>
      <c r="IL548" s="178"/>
      <c r="IM548" s="178"/>
      <c r="IN548" s="178"/>
      <c r="IO548" s="178"/>
      <c r="IP548" s="178"/>
      <c r="IQ548" s="178"/>
      <c r="IR548" s="178"/>
      <c r="IS548" s="178"/>
      <c r="IT548" s="178"/>
      <c r="IU548" s="178"/>
      <c r="IV548" s="178"/>
      <c r="IW548" s="178"/>
      <c r="IX548" s="178"/>
      <c r="IY548" s="178"/>
      <c r="IZ548" s="178"/>
      <c r="JA548" s="178"/>
      <c r="JB548" s="178"/>
      <c r="JC548" s="178"/>
      <c r="JD548" s="178"/>
    </row>
    <row r="549">
      <c r="IE549" s="178"/>
      <c r="IF549" s="178"/>
      <c r="IG549" s="178"/>
      <c r="IH549" s="178"/>
      <c r="II549" s="178"/>
      <c r="IJ549" s="178"/>
      <c r="IK549" s="178"/>
      <c r="IL549" s="178"/>
      <c r="IM549" s="178"/>
      <c r="IN549" s="178"/>
      <c r="IO549" s="178"/>
      <c r="IP549" s="178"/>
      <c r="IQ549" s="178"/>
      <c r="IR549" s="178"/>
      <c r="IS549" s="178"/>
      <c r="IT549" s="178"/>
      <c r="IU549" s="178"/>
      <c r="IV549" s="178"/>
      <c r="IW549" s="178"/>
      <c r="IX549" s="178"/>
      <c r="IY549" s="178"/>
      <c r="IZ549" s="178"/>
      <c r="JA549" s="178"/>
      <c r="JB549" s="178"/>
      <c r="JC549" s="178"/>
      <c r="JD549" s="178"/>
    </row>
    <row r="550">
      <c r="IE550" s="178"/>
      <c r="IF550" s="178"/>
      <c r="IG550" s="178"/>
      <c r="IH550" s="178"/>
      <c r="II550" s="178"/>
      <c r="IJ550" s="178"/>
      <c r="IK550" s="178"/>
      <c r="IL550" s="178"/>
      <c r="IM550" s="178"/>
      <c r="IN550" s="178"/>
      <c r="IO550" s="178"/>
      <c r="IP550" s="178"/>
      <c r="IQ550" s="178"/>
      <c r="IR550" s="178"/>
      <c r="IS550" s="178"/>
      <c r="IT550" s="178"/>
      <c r="IU550" s="178"/>
      <c r="IV550" s="178"/>
      <c r="IW550" s="178"/>
      <c r="IX550" s="178"/>
      <c r="IY550" s="178"/>
      <c r="IZ550" s="178"/>
      <c r="JA550" s="178"/>
      <c r="JB550" s="178"/>
      <c r="JC550" s="178"/>
      <c r="JD550" s="178"/>
    </row>
    <row r="551">
      <c r="IE551" s="178"/>
      <c r="IF551" s="178"/>
      <c r="IG551" s="178"/>
      <c r="IH551" s="178"/>
      <c r="II551" s="178"/>
      <c r="IJ551" s="178"/>
      <c r="IK551" s="178"/>
      <c r="IL551" s="178"/>
      <c r="IM551" s="178"/>
      <c r="IN551" s="178"/>
      <c r="IO551" s="178"/>
      <c r="IP551" s="178"/>
      <c r="IQ551" s="178"/>
      <c r="IR551" s="178"/>
      <c r="IS551" s="178"/>
      <c r="IT551" s="178"/>
      <c r="IU551" s="178"/>
      <c r="IV551" s="178"/>
      <c r="IW551" s="178"/>
      <c r="IX551" s="178"/>
      <c r="IY551" s="178"/>
      <c r="IZ551" s="178"/>
      <c r="JA551" s="178"/>
      <c r="JB551" s="178"/>
      <c r="JC551" s="178"/>
      <c r="JD551" s="178"/>
    </row>
    <row r="552">
      <c r="IE552" s="178"/>
      <c r="IF552" s="178"/>
      <c r="IG552" s="178"/>
      <c r="IH552" s="178"/>
      <c r="II552" s="178"/>
      <c r="IJ552" s="178"/>
      <c r="IK552" s="178"/>
      <c r="IL552" s="178"/>
      <c r="IM552" s="178"/>
      <c r="IN552" s="178"/>
      <c r="IO552" s="178"/>
      <c r="IP552" s="178"/>
      <c r="IQ552" s="178"/>
      <c r="IR552" s="178"/>
      <c r="IS552" s="178"/>
      <c r="IT552" s="178"/>
      <c r="IU552" s="178"/>
      <c r="IV552" s="178"/>
      <c r="IW552" s="178"/>
      <c r="IX552" s="178"/>
      <c r="IY552" s="178"/>
      <c r="IZ552" s="178"/>
      <c r="JA552" s="178"/>
      <c r="JB552" s="178"/>
      <c r="JC552" s="178"/>
      <c r="JD552" s="178"/>
    </row>
    <row r="553">
      <c r="IE553" s="178"/>
      <c r="IF553" s="178"/>
      <c r="IG553" s="178"/>
      <c r="IH553" s="178"/>
      <c r="II553" s="178"/>
      <c r="IJ553" s="178"/>
      <c r="IK553" s="178"/>
      <c r="IL553" s="178"/>
      <c r="IM553" s="178"/>
      <c r="IN553" s="178"/>
      <c r="IO553" s="178"/>
      <c r="IP553" s="178"/>
      <c r="IQ553" s="178"/>
      <c r="IR553" s="178"/>
      <c r="IS553" s="178"/>
      <c r="IT553" s="178"/>
      <c r="IU553" s="178"/>
      <c r="IV553" s="178"/>
      <c r="IW553" s="178"/>
      <c r="IX553" s="178"/>
      <c r="IY553" s="178"/>
      <c r="IZ553" s="178"/>
      <c r="JA553" s="178"/>
      <c r="JB553" s="178"/>
      <c r="JC553" s="178"/>
      <c r="JD553" s="178"/>
    </row>
    <row r="554">
      <c r="IE554" s="178"/>
      <c r="IF554" s="178"/>
      <c r="IG554" s="178"/>
      <c r="IH554" s="178"/>
      <c r="II554" s="178"/>
      <c r="IJ554" s="178"/>
      <c r="IK554" s="178"/>
      <c r="IL554" s="178"/>
      <c r="IM554" s="178"/>
      <c r="IN554" s="178"/>
      <c r="IO554" s="178"/>
      <c r="IP554" s="178"/>
      <c r="IQ554" s="178"/>
      <c r="IR554" s="178"/>
      <c r="IS554" s="178"/>
      <c r="IT554" s="178"/>
      <c r="IU554" s="178"/>
      <c r="IV554" s="178"/>
      <c r="IW554" s="178"/>
      <c r="IX554" s="178"/>
      <c r="IY554" s="178"/>
      <c r="IZ554" s="178"/>
      <c r="JA554" s="178"/>
      <c r="JB554" s="178"/>
      <c r="JC554" s="178"/>
      <c r="JD554" s="178"/>
    </row>
    <row r="555">
      <c r="IE555" s="178"/>
      <c r="IF555" s="178"/>
      <c r="IG555" s="178"/>
      <c r="IH555" s="178"/>
      <c r="II555" s="178"/>
      <c r="IJ555" s="178"/>
      <c r="IK555" s="178"/>
      <c r="IL555" s="178"/>
      <c r="IM555" s="178"/>
      <c r="IN555" s="178"/>
      <c r="IO555" s="178"/>
      <c r="IP555" s="178"/>
      <c r="IQ555" s="178"/>
      <c r="IR555" s="178"/>
      <c r="IS555" s="178"/>
      <c r="IT555" s="178"/>
      <c r="IU555" s="178"/>
      <c r="IV555" s="178"/>
      <c r="IW555" s="178"/>
      <c r="IX555" s="178"/>
      <c r="IY555" s="178"/>
      <c r="IZ555" s="178"/>
      <c r="JA555" s="178"/>
      <c r="JB555" s="178"/>
      <c r="JC555" s="178"/>
      <c r="JD555" s="178"/>
    </row>
    <row r="556">
      <c r="IE556" s="178"/>
      <c r="IF556" s="178"/>
      <c r="IG556" s="178"/>
      <c r="IH556" s="178"/>
      <c r="II556" s="178"/>
      <c r="IJ556" s="178"/>
      <c r="IK556" s="178"/>
      <c r="IL556" s="178"/>
      <c r="IM556" s="178"/>
      <c r="IN556" s="178"/>
      <c r="IO556" s="178"/>
      <c r="IP556" s="178"/>
      <c r="IQ556" s="178"/>
      <c r="IR556" s="178"/>
      <c r="IS556" s="178"/>
      <c r="IT556" s="178"/>
      <c r="IU556" s="178"/>
      <c r="IV556" s="178"/>
      <c r="IW556" s="178"/>
      <c r="IX556" s="178"/>
      <c r="IY556" s="178"/>
      <c r="IZ556" s="178"/>
      <c r="JA556" s="178"/>
      <c r="JB556" s="178"/>
      <c r="JC556" s="178"/>
      <c r="JD556" s="178"/>
    </row>
    <row r="557">
      <c r="IE557" s="178"/>
      <c r="IF557" s="178"/>
      <c r="IG557" s="178"/>
      <c r="IH557" s="178"/>
      <c r="II557" s="178"/>
      <c r="IJ557" s="178"/>
      <c r="IK557" s="178"/>
      <c r="IL557" s="178"/>
      <c r="IM557" s="178"/>
      <c r="IN557" s="178"/>
      <c r="IO557" s="178"/>
      <c r="IP557" s="178"/>
      <c r="IQ557" s="178"/>
      <c r="IR557" s="178"/>
      <c r="IS557" s="178"/>
      <c r="IT557" s="178"/>
      <c r="IU557" s="178"/>
      <c r="IV557" s="178"/>
      <c r="IW557" s="178"/>
      <c r="IX557" s="178"/>
      <c r="IY557" s="178"/>
      <c r="IZ557" s="178"/>
      <c r="JA557" s="178"/>
      <c r="JB557" s="178"/>
      <c r="JC557" s="178"/>
      <c r="JD557" s="178"/>
    </row>
    <row r="558">
      <c r="IE558" s="178"/>
      <c r="IF558" s="178"/>
      <c r="IG558" s="178"/>
      <c r="IH558" s="178"/>
      <c r="II558" s="178"/>
      <c r="IJ558" s="178"/>
      <c r="IK558" s="178"/>
      <c r="IL558" s="178"/>
      <c r="IM558" s="178"/>
      <c r="IN558" s="178"/>
      <c r="IO558" s="178"/>
      <c r="IP558" s="178"/>
      <c r="IQ558" s="178"/>
      <c r="IR558" s="178"/>
      <c r="IS558" s="178"/>
      <c r="IT558" s="178"/>
      <c r="IU558" s="178"/>
      <c r="IV558" s="178"/>
      <c r="IW558" s="178"/>
      <c r="IX558" s="178"/>
      <c r="IY558" s="178"/>
      <c r="IZ558" s="178"/>
      <c r="JA558" s="178"/>
      <c r="JB558" s="178"/>
      <c r="JC558" s="178"/>
      <c r="JD558" s="178"/>
    </row>
    <row r="559">
      <c r="IE559" s="178"/>
      <c r="IF559" s="178"/>
      <c r="IG559" s="178"/>
      <c r="IH559" s="178"/>
      <c r="II559" s="178"/>
      <c r="IJ559" s="178"/>
      <c r="IK559" s="178"/>
      <c r="IL559" s="178"/>
      <c r="IM559" s="178"/>
      <c r="IN559" s="178"/>
      <c r="IO559" s="178"/>
      <c r="IP559" s="178"/>
      <c r="IQ559" s="178"/>
      <c r="IR559" s="178"/>
      <c r="IS559" s="178"/>
      <c r="IT559" s="178"/>
      <c r="IU559" s="178"/>
      <c r="IV559" s="178"/>
      <c r="IW559" s="178"/>
      <c r="IX559" s="178"/>
      <c r="IY559" s="178"/>
      <c r="IZ559" s="178"/>
      <c r="JA559" s="178"/>
      <c r="JB559" s="178"/>
      <c r="JC559" s="178"/>
      <c r="JD559" s="178"/>
    </row>
    <row r="560">
      <c r="IE560" s="178"/>
      <c r="IF560" s="178"/>
      <c r="IG560" s="178"/>
      <c r="IH560" s="178"/>
      <c r="II560" s="178"/>
      <c r="IJ560" s="178"/>
      <c r="IK560" s="178"/>
      <c r="IL560" s="178"/>
      <c r="IM560" s="178"/>
      <c r="IN560" s="178"/>
      <c r="IO560" s="178"/>
      <c r="IP560" s="178"/>
      <c r="IQ560" s="178"/>
      <c r="IR560" s="178"/>
      <c r="IS560" s="178"/>
      <c r="IT560" s="178"/>
      <c r="IU560" s="178"/>
      <c r="IV560" s="178"/>
      <c r="IW560" s="178"/>
      <c r="IX560" s="178"/>
      <c r="IY560" s="178"/>
      <c r="IZ560" s="178"/>
      <c r="JA560" s="178"/>
      <c r="JB560" s="178"/>
      <c r="JC560" s="178"/>
      <c r="JD560" s="178"/>
    </row>
    <row r="561">
      <c r="IE561" s="178"/>
      <c r="IF561" s="178"/>
      <c r="IG561" s="178"/>
      <c r="IH561" s="178"/>
      <c r="II561" s="178"/>
      <c r="IJ561" s="178"/>
      <c r="IK561" s="178"/>
      <c r="IL561" s="178"/>
      <c r="IM561" s="178"/>
      <c r="IN561" s="178"/>
      <c r="IO561" s="178"/>
      <c r="IP561" s="178"/>
      <c r="IQ561" s="178"/>
      <c r="IR561" s="178"/>
      <c r="IS561" s="178"/>
      <c r="IT561" s="178"/>
      <c r="IU561" s="178"/>
      <c r="IV561" s="178"/>
      <c r="IW561" s="178"/>
      <c r="IX561" s="178"/>
      <c r="IY561" s="178"/>
      <c r="IZ561" s="178"/>
      <c r="JA561" s="178"/>
      <c r="JB561" s="178"/>
      <c r="JC561" s="178"/>
      <c r="JD561" s="178"/>
    </row>
    <row r="562">
      <c r="IE562" s="178"/>
      <c r="IF562" s="178"/>
      <c r="IG562" s="178"/>
      <c r="IH562" s="178"/>
      <c r="II562" s="178"/>
      <c r="IJ562" s="178"/>
      <c r="IK562" s="178"/>
      <c r="IL562" s="178"/>
      <c r="IM562" s="178"/>
      <c r="IN562" s="178"/>
      <c r="IO562" s="178"/>
      <c r="IP562" s="178"/>
      <c r="IQ562" s="178"/>
      <c r="IR562" s="178"/>
      <c r="IS562" s="178"/>
      <c r="IT562" s="178"/>
      <c r="IU562" s="178"/>
      <c r="IV562" s="178"/>
      <c r="IW562" s="178"/>
      <c r="IX562" s="178"/>
      <c r="IY562" s="178"/>
      <c r="IZ562" s="178"/>
      <c r="JA562" s="178"/>
      <c r="JB562" s="178"/>
      <c r="JC562" s="178"/>
      <c r="JD562" s="178"/>
    </row>
    <row r="563">
      <c r="IE563" s="178"/>
      <c r="IF563" s="178"/>
      <c r="IG563" s="178"/>
      <c r="IH563" s="178"/>
      <c r="II563" s="178"/>
      <c r="IJ563" s="178"/>
      <c r="IK563" s="178"/>
      <c r="IL563" s="178"/>
      <c r="IM563" s="178"/>
      <c r="IN563" s="178"/>
      <c r="IO563" s="178"/>
      <c r="IP563" s="178"/>
      <c r="IQ563" s="178"/>
      <c r="IR563" s="178"/>
      <c r="IS563" s="178"/>
      <c r="IT563" s="178"/>
      <c r="IU563" s="178"/>
      <c r="IV563" s="178"/>
      <c r="IW563" s="178"/>
      <c r="IX563" s="178"/>
      <c r="IY563" s="178"/>
      <c r="IZ563" s="178"/>
      <c r="JA563" s="178"/>
      <c r="JB563" s="178"/>
      <c r="JC563" s="178"/>
      <c r="JD563" s="178"/>
    </row>
    <row r="564">
      <c r="IE564" s="178"/>
      <c r="IF564" s="178"/>
      <c r="IG564" s="178"/>
      <c r="IH564" s="178"/>
      <c r="II564" s="178"/>
      <c r="IJ564" s="178"/>
      <c r="IK564" s="178"/>
      <c r="IL564" s="178"/>
      <c r="IM564" s="178"/>
      <c r="IN564" s="178"/>
      <c r="IO564" s="178"/>
      <c r="IP564" s="178"/>
      <c r="IQ564" s="178"/>
      <c r="IR564" s="178"/>
      <c r="IS564" s="178"/>
      <c r="IT564" s="178"/>
      <c r="IU564" s="178"/>
      <c r="IV564" s="178"/>
      <c r="IW564" s="178"/>
      <c r="IX564" s="178"/>
      <c r="IY564" s="178"/>
      <c r="IZ564" s="178"/>
      <c r="JA564" s="178"/>
      <c r="JB564" s="178"/>
      <c r="JC564" s="178"/>
      <c r="JD564" s="178"/>
    </row>
    <row r="565">
      <c r="IE565" s="178"/>
      <c r="IF565" s="178"/>
      <c r="IG565" s="178"/>
      <c r="IH565" s="178"/>
      <c r="II565" s="178"/>
      <c r="IJ565" s="178"/>
      <c r="IK565" s="178"/>
      <c r="IL565" s="178"/>
      <c r="IM565" s="178"/>
      <c r="IN565" s="178"/>
      <c r="IO565" s="178"/>
      <c r="IP565" s="178"/>
      <c r="IQ565" s="178"/>
      <c r="IR565" s="178"/>
      <c r="IS565" s="178"/>
      <c r="IT565" s="178"/>
      <c r="IU565" s="178"/>
      <c r="IV565" s="178"/>
      <c r="IW565" s="178"/>
      <c r="IX565" s="178"/>
      <c r="IY565" s="178"/>
      <c r="IZ565" s="178"/>
      <c r="JA565" s="178"/>
      <c r="JB565" s="178"/>
      <c r="JC565" s="178"/>
      <c r="JD565" s="178"/>
    </row>
    <row r="566">
      <c r="IE566" s="178"/>
      <c r="IF566" s="178"/>
      <c r="IG566" s="178"/>
      <c r="IH566" s="178"/>
      <c r="II566" s="178"/>
      <c r="IJ566" s="178"/>
      <c r="IK566" s="178"/>
      <c r="IL566" s="178"/>
      <c r="IM566" s="178"/>
      <c r="IN566" s="178"/>
      <c r="IO566" s="178"/>
      <c r="IP566" s="178"/>
      <c r="IQ566" s="178"/>
      <c r="IR566" s="178"/>
      <c r="IS566" s="178"/>
      <c r="IT566" s="178"/>
      <c r="IU566" s="178"/>
      <c r="IV566" s="178"/>
      <c r="IW566" s="178"/>
      <c r="IX566" s="178"/>
      <c r="IY566" s="178"/>
      <c r="IZ566" s="178"/>
      <c r="JA566" s="178"/>
      <c r="JB566" s="178"/>
      <c r="JC566" s="178"/>
      <c r="JD566" s="178"/>
    </row>
    <row r="567">
      <c r="IE567" s="178"/>
      <c r="IF567" s="178"/>
      <c r="IG567" s="178"/>
      <c r="IH567" s="178"/>
      <c r="II567" s="178"/>
      <c r="IJ567" s="178"/>
      <c r="IK567" s="178"/>
      <c r="IL567" s="178"/>
      <c r="IM567" s="178"/>
      <c r="IN567" s="178"/>
      <c r="IO567" s="178"/>
      <c r="IP567" s="178"/>
      <c r="IQ567" s="178"/>
      <c r="IR567" s="178"/>
      <c r="IS567" s="178"/>
      <c r="IT567" s="178"/>
      <c r="IU567" s="178"/>
      <c r="IV567" s="178"/>
      <c r="IW567" s="178"/>
      <c r="IX567" s="178"/>
      <c r="IY567" s="178"/>
      <c r="IZ567" s="178"/>
      <c r="JA567" s="178"/>
      <c r="JB567" s="178"/>
      <c r="JC567" s="178"/>
      <c r="JD567" s="178"/>
    </row>
    <row r="568">
      <c r="IE568" s="178"/>
      <c r="IF568" s="178"/>
      <c r="IG568" s="178"/>
      <c r="IH568" s="178"/>
      <c r="II568" s="178"/>
      <c r="IJ568" s="178"/>
      <c r="IK568" s="178"/>
      <c r="IL568" s="178"/>
      <c r="IM568" s="178"/>
      <c r="IN568" s="178"/>
      <c r="IO568" s="178"/>
      <c r="IP568" s="178"/>
      <c r="IQ568" s="178"/>
      <c r="IR568" s="178"/>
      <c r="IS568" s="178"/>
      <c r="IT568" s="178"/>
      <c r="IU568" s="178"/>
      <c r="IV568" s="178"/>
      <c r="IW568" s="178"/>
      <c r="IX568" s="178"/>
      <c r="IY568" s="178"/>
      <c r="IZ568" s="178"/>
      <c r="JA568" s="178"/>
      <c r="JB568" s="178"/>
      <c r="JC568" s="178"/>
      <c r="JD568" s="178"/>
    </row>
    <row r="569">
      <c r="IE569" s="178"/>
      <c r="IF569" s="178"/>
      <c r="IG569" s="178"/>
      <c r="IH569" s="178"/>
      <c r="II569" s="178"/>
      <c r="IJ569" s="178"/>
      <c r="IK569" s="178"/>
      <c r="IL569" s="178"/>
      <c r="IM569" s="178"/>
      <c r="IN569" s="178"/>
      <c r="IO569" s="178"/>
      <c r="IP569" s="178"/>
      <c r="IQ569" s="178"/>
      <c r="IR569" s="178"/>
      <c r="IS569" s="178"/>
      <c r="IT569" s="178"/>
      <c r="IU569" s="178"/>
      <c r="IV569" s="178"/>
      <c r="IW569" s="178"/>
      <c r="IX569" s="178"/>
      <c r="IY569" s="178"/>
      <c r="IZ569" s="178"/>
      <c r="JA569" s="178"/>
      <c r="JB569" s="178"/>
      <c r="JC569" s="178"/>
      <c r="JD569" s="178"/>
    </row>
    <row r="570">
      <c r="IE570" s="178"/>
      <c r="IF570" s="178"/>
      <c r="IG570" s="178"/>
      <c r="IH570" s="178"/>
      <c r="II570" s="178"/>
      <c r="IJ570" s="178"/>
      <c r="IK570" s="178"/>
      <c r="IL570" s="178"/>
      <c r="IM570" s="178"/>
      <c r="IN570" s="178"/>
      <c r="IO570" s="178"/>
      <c r="IP570" s="178"/>
      <c r="IQ570" s="178"/>
      <c r="IR570" s="178"/>
      <c r="IS570" s="178"/>
      <c r="IT570" s="178"/>
      <c r="IU570" s="178"/>
      <c r="IV570" s="178"/>
      <c r="IW570" s="178"/>
      <c r="IX570" s="178"/>
      <c r="IY570" s="178"/>
      <c r="IZ570" s="178"/>
      <c r="JA570" s="178"/>
      <c r="JB570" s="178"/>
      <c r="JC570" s="178"/>
      <c r="JD570" s="178"/>
    </row>
    <row r="571">
      <c r="IE571" s="178"/>
      <c r="IF571" s="178"/>
      <c r="IG571" s="178"/>
      <c r="IH571" s="178"/>
      <c r="II571" s="178"/>
      <c r="IJ571" s="178"/>
      <c r="IK571" s="178"/>
      <c r="IL571" s="178"/>
      <c r="IM571" s="178"/>
      <c r="IN571" s="178"/>
      <c r="IO571" s="178"/>
      <c r="IP571" s="178"/>
      <c r="IQ571" s="178"/>
      <c r="IR571" s="178"/>
      <c r="IS571" s="178"/>
      <c r="IT571" s="178"/>
      <c r="IU571" s="178"/>
      <c r="IV571" s="178"/>
      <c r="IW571" s="178"/>
      <c r="IX571" s="178"/>
      <c r="IY571" s="178"/>
      <c r="IZ571" s="178"/>
      <c r="JA571" s="178"/>
      <c r="JB571" s="178"/>
      <c r="JC571" s="178"/>
      <c r="JD571" s="178"/>
    </row>
    <row r="572">
      <c r="IE572" s="178"/>
      <c r="IF572" s="178"/>
      <c r="IG572" s="178"/>
      <c r="IH572" s="178"/>
      <c r="II572" s="178"/>
      <c r="IJ572" s="178"/>
      <c r="IK572" s="178"/>
      <c r="IL572" s="178"/>
      <c r="IM572" s="178"/>
      <c r="IN572" s="178"/>
      <c r="IO572" s="178"/>
      <c r="IP572" s="178"/>
      <c r="IQ572" s="178"/>
      <c r="IR572" s="178"/>
      <c r="IS572" s="178"/>
      <c r="IT572" s="178"/>
      <c r="IU572" s="178"/>
      <c r="IV572" s="178"/>
      <c r="IW572" s="178"/>
      <c r="IX572" s="178"/>
      <c r="IY572" s="178"/>
      <c r="IZ572" s="178"/>
      <c r="JA572" s="178"/>
      <c r="JB572" s="178"/>
      <c r="JC572" s="178"/>
      <c r="JD572" s="178"/>
    </row>
    <row r="573">
      <c r="IE573" s="178"/>
      <c r="IF573" s="178"/>
      <c r="IG573" s="178"/>
      <c r="IH573" s="178"/>
      <c r="II573" s="178"/>
      <c r="IJ573" s="178"/>
      <c r="IK573" s="178"/>
      <c r="IL573" s="178"/>
      <c r="IM573" s="178"/>
      <c r="IN573" s="178"/>
      <c r="IO573" s="178"/>
      <c r="IP573" s="178"/>
      <c r="IQ573" s="178"/>
      <c r="IR573" s="178"/>
      <c r="IS573" s="178"/>
      <c r="IT573" s="178"/>
      <c r="IU573" s="178"/>
      <c r="IV573" s="178"/>
      <c r="IW573" s="178"/>
      <c r="IX573" s="178"/>
      <c r="IY573" s="178"/>
      <c r="IZ573" s="178"/>
      <c r="JA573" s="178"/>
      <c r="JB573" s="178"/>
      <c r="JC573" s="178"/>
      <c r="JD573" s="178"/>
    </row>
    <row r="574">
      <c r="IE574" s="178"/>
      <c r="IF574" s="178"/>
      <c r="IG574" s="178"/>
      <c r="IH574" s="178"/>
      <c r="II574" s="178"/>
      <c r="IJ574" s="178"/>
      <c r="IK574" s="178"/>
      <c r="IL574" s="178"/>
      <c r="IM574" s="178"/>
      <c r="IN574" s="178"/>
      <c r="IO574" s="178"/>
      <c r="IP574" s="178"/>
      <c r="IQ574" s="178"/>
      <c r="IR574" s="178"/>
      <c r="IS574" s="178"/>
      <c r="IT574" s="178"/>
      <c r="IU574" s="178"/>
      <c r="IV574" s="178"/>
      <c r="IW574" s="178"/>
      <c r="IX574" s="178"/>
      <c r="IY574" s="178"/>
      <c r="IZ574" s="178"/>
      <c r="JA574" s="178"/>
      <c r="JB574" s="178"/>
      <c r="JC574" s="178"/>
      <c r="JD574" s="178"/>
    </row>
    <row r="575">
      <c r="IE575" s="178"/>
      <c r="IF575" s="178"/>
      <c r="IG575" s="178"/>
      <c r="IH575" s="178"/>
      <c r="II575" s="178"/>
      <c r="IJ575" s="178"/>
      <c r="IK575" s="178"/>
      <c r="IL575" s="178"/>
      <c r="IM575" s="178"/>
      <c r="IN575" s="178"/>
      <c r="IO575" s="178"/>
      <c r="IP575" s="178"/>
      <c r="IQ575" s="178"/>
      <c r="IR575" s="178"/>
      <c r="IS575" s="178"/>
      <c r="IT575" s="178"/>
      <c r="IU575" s="178"/>
      <c r="IV575" s="178"/>
      <c r="IW575" s="178"/>
      <c r="IX575" s="178"/>
      <c r="IY575" s="178"/>
      <c r="IZ575" s="178"/>
      <c r="JA575" s="178"/>
      <c r="JB575" s="178"/>
      <c r="JC575" s="178"/>
      <c r="JD575" s="178"/>
    </row>
    <row r="576">
      <c r="IE576" s="178"/>
      <c r="IF576" s="178"/>
      <c r="IG576" s="178"/>
      <c r="IH576" s="178"/>
      <c r="II576" s="178"/>
      <c r="IJ576" s="178"/>
      <c r="IK576" s="178"/>
      <c r="IL576" s="178"/>
      <c r="IM576" s="178"/>
      <c r="IN576" s="178"/>
      <c r="IO576" s="178"/>
      <c r="IP576" s="178"/>
      <c r="IQ576" s="178"/>
      <c r="IR576" s="178"/>
      <c r="IS576" s="178"/>
      <c r="IT576" s="178"/>
      <c r="IU576" s="178"/>
      <c r="IV576" s="178"/>
      <c r="IW576" s="178"/>
      <c r="IX576" s="178"/>
      <c r="IY576" s="178"/>
      <c r="IZ576" s="178"/>
      <c r="JA576" s="178"/>
      <c r="JB576" s="178"/>
      <c r="JC576" s="178"/>
      <c r="JD576" s="178"/>
    </row>
    <row r="577">
      <c r="IE577" s="178"/>
      <c r="IF577" s="178"/>
      <c r="IG577" s="178"/>
      <c r="IH577" s="178"/>
      <c r="II577" s="178"/>
      <c r="IJ577" s="178"/>
      <c r="IK577" s="178"/>
      <c r="IL577" s="178"/>
      <c r="IM577" s="178"/>
      <c r="IN577" s="178"/>
      <c r="IO577" s="178"/>
      <c r="IP577" s="178"/>
      <c r="IQ577" s="178"/>
      <c r="IR577" s="178"/>
      <c r="IS577" s="178"/>
      <c r="IT577" s="178"/>
      <c r="IU577" s="178"/>
      <c r="IV577" s="178"/>
      <c r="IW577" s="178"/>
      <c r="IX577" s="178"/>
      <c r="IY577" s="178"/>
      <c r="IZ577" s="178"/>
      <c r="JA577" s="178"/>
      <c r="JB577" s="178"/>
      <c r="JC577" s="178"/>
      <c r="JD577" s="178"/>
    </row>
    <row r="578">
      <c r="IE578" s="178"/>
      <c r="IF578" s="178"/>
      <c r="IG578" s="178"/>
      <c r="IH578" s="178"/>
      <c r="II578" s="178"/>
      <c r="IJ578" s="178"/>
      <c r="IK578" s="178"/>
      <c r="IL578" s="178"/>
      <c r="IM578" s="178"/>
      <c r="IN578" s="178"/>
      <c r="IO578" s="178"/>
      <c r="IP578" s="178"/>
      <c r="IQ578" s="178"/>
      <c r="IR578" s="178"/>
      <c r="IS578" s="178"/>
      <c r="IT578" s="178"/>
      <c r="IU578" s="178"/>
      <c r="IV578" s="178"/>
      <c r="IW578" s="178"/>
      <c r="IX578" s="178"/>
      <c r="IY578" s="178"/>
      <c r="IZ578" s="178"/>
      <c r="JA578" s="178"/>
      <c r="JB578" s="178"/>
      <c r="JC578" s="178"/>
      <c r="JD578" s="178"/>
    </row>
    <row r="579">
      <c r="IE579" s="178"/>
      <c r="IF579" s="178"/>
      <c r="IG579" s="178"/>
      <c r="IH579" s="178"/>
      <c r="II579" s="178"/>
      <c r="IJ579" s="178"/>
      <c r="IK579" s="178"/>
      <c r="IL579" s="178"/>
      <c r="IM579" s="178"/>
      <c r="IN579" s="178"/>
      <c r="IO579" s="178"/>
      <c r="IP579" s="178"/>
      <c r="IQ579" s="178"/>
      <c r="IR579" s="178"/>
      <c r="IS579" s="178"/>
      <c r="IT579" s="178"/>
      <c r="IU579" s="178"/>
      <c r="IV579" s="178"/>
      <c r="IW579" s="178"/>
      <c r="IX579" s="178"/>
      <c r="IY579" s="178"/>
      <c r="IZ579" s="178"/>
      <c r="JA579" s="178"/>
      <c r="JB579" s="178"/>
      <c r="JC579" s="178"/>
      <c r="JD579" s="178"/>
    </row>
    <row r="580">
      <c r="IE580" s="178"/>
      <c r="IF580" s="178"/>
      <c r="IG580" s="178"/>
      <c r="IH580" s="178"/>
      <c r="II580" s="178"/>
      <c r="IJ580" s="178"/>
      <c r="IK580" s="178"/>
      <c r="IL580" s="178"/>
      <c r="IM580" s="178"/>
      <c r="IN580" s="178"/>
      <c r="IO580" s="178"/>
      <c r="IP580" s="178"/>
      <c r="IQ580" s="178"/>
      <c r="IR580" s="178"/>
      <c r="IS580" s="178"/>
      <c r="IT580" s="178"/>
      <c r="IU580" s="178"/>
      <c r="IV580" s="178"/>
      <c r="IW580" s="178"/>
      <c r="IX580" s="178"/>
      <c r="IY580" s="178"/>
      <c r="IZ580" s="178"/>
      <c r="JA580" s="178"/>
      <c r="JB580" s="178"/>
      <c r="JC580" s="178"/>
      <c r="JD580" s="178"/>
    </row>
    <row r="581">
      <c r="IE581" s="178"/>
      <c r="IF581" s="178"/>
      <c r="IG581" s="178"/>
      <c r="IH581" s="178"/>
      <c r="II581" s="178"/>
      <c r="IJ581" s="178"/>
      <c r="IK581" s="178"/>
      <c r="IL581" s="178"/>
      <c r="IM581" s="178"/>
      <c r="IN581" s="178"/>
      <c r="IO581" s="178"/>
      <c r="IP581" s="178"/>
      <c r="IQ581" s="178"/>
      <c r="IR581" s="178"/>
      <c r="IS581" s="178"/>
      <c r="IT581" s="178"/>
      <c r="IU581" s="178"/>
      <c r="IV581" s="178"/>
      <c r="IW581" s="178"/>
      <c r="IX581" s="178"/>
      <c r="IY581" s="178"/>
      <c r="IZ581" s="178"/>
      <c r="JA581" s="178"/>
      <c r="JB581" s="178"/>
      <c r="JC581" s="178"/>
      <c r="JD581" s="178"/>
    </row>
    <row r="582">
      <c r="IE582" s="178"/>
      <c r="IF582" s="178"/>
      <c r="IG582" s="178"/>
      <c r="IH582" s="178"/>
      <c r="II582" s="178"/>
      <c r="IJ582" s="178"/>
      <c r="IK582" s="178"/>
      <c r="IL582" s="178"/>
      <c r="IM582" s="178"/>
      <c r="IN582" s="178"/>
      <c r="IO582" s="178"/>
      <c r="IP582" s="178"/>
      <c r="IQ582" s="178"/>
      <c r="IR582" s="178"/>
      <c r="IS582" s="178"/>
      <c r="IT582" s="178"/>
      <c r="IU582" s="178"/>
      <c r="IV582" s="178"/>
      <c r="IW582" s="178"/>
      <c r="IX582" s="178"/>
      <c r="IY582" s="178"/>
      <c r="IZ582" s="178"/>
      <c r="JA582" s="178"/>
      <c r="JB582" s="178"/>
      <c r="JC582" s="178"/>
      <c r="JD582" s="178"/>
    </row>
    <row r="583">
      <c r="IE583" s="178"/>
      <c r="IF583" s="178"/>
      <c r="IG583" s="178"/>
      <c r="IH583" s="178"/>
      <c r="II583" s="178"/>
      <c r="IJ583" s="178"/>
      <c r="IK583" s="178"/>
      <c r="IL583" s="178"/>
      <c r="IM583" s="178"/>
      <c r="IN583" s="178"/>
      <c r="IO583" s="178"/>
      <c r="IP583" s="178"/>
      <c r="IQ583" s="178"/>
      <c r="IR583" s="178"/>
      <c r="IS583" s="178"/>
      <c r="IT583" s="178"/>
      <c r="IU583" s="178"/>
      <c r="IV583" s="178"/>
      <c r="IW583" s="178"/>
      <c r="IX583" s="178"/>
      <c r="IY583" s="178"/>
      <c r="IZ583" s="178"/>
      <c r="JA583" s="178"/>
      <c r="JB583" s="178"/>
      <c r="JC583" s="178"/>
      <c r="JD583" s="178"/>
    </row>
    <row r="584">
      <c r="IE584" s="178"/>
      <c r="IF584" s="178"/>
      <c r="IG584" s="178"/>
      <c r="IH584" s="178"/>
      <c r="II584" s="178"/>
      <c r="IJ584" s="178"/>
      <c r="IK584" s="178"/>
      <c r="IL584" s="178"/>
      <c r="IM584" s="178"/>
      <c r="IN584" s="178"/>
      <c r="IO584" s="178"/>
      <c r="IP584" s="178"/>
      <c r="IQ584" s="178"/>
      <c r="IR584" s="178"/>
      <c r="IS584" s="178"/>
      <c r="IT584" s="178"/>
      <c r="IU584" s="178"/>
      <c r="IV584" s="178"/>
      <c r="IW584" s="178"/>
      <c r="IX584" s="178"/>
      <c r="IY584" s="178"/>
      <c r="IZ584" s="178"/>
      <c r="JA584" s="178"/>
      <c r="JB584" s="178"/>
      <c r="JC584" s="178"/>
      <c r="JD584" s="178"/>
    </row>
    <row r="585">
      <c r="IE585" s="178"/>
      <c r="IF585" s="178"/>
      <c r="IG585" s="178"/>
      <c r="IH585" s="178"/>
      <c r="II585" s="178"/>
      <c r="IJ585" s="178"/>
      <c r="IK585" s="178"/>
      <c r="IL585" s="178"/>
      <c r="IM585" s="178"/>
      <c r="IN585" s="178"/>
      <c r="IO585" s="178"/>
      <c r="IP585" s="178"/>
      <c r="IQ585" s="178"/>
      <c r="IR585" s="178"/>
      <c r="IS585" s="178"/>
      <c r="IT585" s="178"/>
      <c r="IU585" s="178"/>
      <c r="IV585" s="178"/>
      <c r="IW585" s="178"/>
      <c r="IX585" s="178"/>
      <c r="IY585" s="178"/>
      <c r="IZ585" s="178"/>
      <c r="JA585" s="178"/>
      <c r="JB585" s="178"/>
      <c r="JC585" s="178"/>
      <c r="JD585" s="178"/>
    </row>
    <row r="586">
      <c r="IE586" s="178"/>
      <c r="IF586" s="178"/>
      <c r="IG586" s="178"/>
      <c r="IH586" s="178"/>
      <c r="II586" s="178"/>
      <c r="IJ586" s="178"/>
      <c r="IK586" s="178"/>
      <c r="IL586" s="178"/>
      <c r="IM586" s="178"/>
      <c r="IN586" s="178"/>
      <c r="IO586" s="178"/>
      <c r="IP586" s="178"/>
      <c r="IQ586" s="178"/>
      <c r="IR586" s="178"/>
      <c r="IS586" s="178"/>
      <c r="IT586" s="178"/>
      <c r="IU586" s="178"/>
      <c r="IV586" s="178"/>
      <c r="IW586" s="178"/>
      <c r="IX586" s="178"/>
      <c r="IY586" s="178"/>
      <c r="IZ586" s="178"/>
      <c r="JA586" s="178"/>
      <c r="JB586" s="178"/>
      <c r="JC586" s="178"/>
      <c r="JD586" s="178"/>
    </row>
    <row r="587">
      <c r="IE587" s="178"/>
      <c r="IF587" s="178"/>
      <c r="IG587" s="178"/>
      <c r="IH587" s="178"/>
      <c r="II587" s="178"/>
      <c r="IJ587" s="178"/>
      <c r="IK587" s="178"/>
      <c r="IL587" s="178"/>
      <c r="IM587" s="178"/>
      <c r="IN587" s="178"/>
      <c r="IO587" s="178"/>
      <c r="IP587" s="178"/>
      <c r="IQ587" s="178"/>
      <c r="IR587" s="178"/>
      <c r="IS587" s="178"/>
      <c r="IT587" s="178"/>
      <c r="IU587" s="178"/>
      <c r="IV587" s="178"/>
      <c r="IW587" s="178"/>
      <c r="IX587" s="178"/>
      <c r="IY587" s="178"/>
      <c r="IZ587" s="178"/>
      <c r="JA587" s="178"/>
      <c r="JB587" s="178"/>
      <c r="JC587" s="178"/>
      <c r="JD587" s="178"/>
    </row>
    <row r="588">
      <c r="IE588" s="178"/>
      <c r="IF588" s="178"/>
      <c r="IG588" s="178"/>
      <c r="IH588" s="178"/>
      <c r="II588" s="178"/>
      <c r="IJ588" s="178"/>
      <c r="IK588" s="178"/>
      <c r="IL588" s="178"/>
      <c r="IM588" s="178"/>
      <c r="IN588" s="178"/>
      <c r="IO588" s="178"/>
      <c r="IP588" s="178"/>
      <c r="IQ588" s="178"/>
      <c r="IR588" s="178"/>
      <c r="IS588" s="178"/>
      <c r="IT588" s="178"/>
      <c r="IU588" s="178"/>
      <c r="IV588" s="178"/>
      <c r="IW588" s="178"/>
      <c r="IX588" s="178"/>
      <c r="IY588" s="178"/>
      <c r="IZ588" s="178"/>
      <c r="JA588" s="178"/>
      <c r="JB588" s="178"/>
      <c r="JC588" s="178"/>
      <c r="JD588" s="178"/>
    </row>
    <row r="589">
      <c r="IE589" s="178"/>
      <c r="IF589" s="178"/>
      <c r="IG589" s="178"/>
      <c r="IH589" s="178"/>
      <c r="II589" s="178"/>
      <c r="IJ589" s="178"/>
      <c r="IK589" s="178"/>
      <c r="IL589" s="178"/>
      <c r="IM589" s="178"/>
      <c r="IN589" s="178"/>
      <c r="IO589" s="178"/>
      <c r="IP589" s="178"/>
      <c r="IQ589" s="178"/>
      <c r="IR589" s="178"/>
      <c r="IS589" s="178"/>
      <c r="IT589" s="178"/>
      <c r="IU589" s="178"/>
      <c r="IV589" s="178"/>
      <c r="IW589" s="178"/>
      <c r="IX589" s="178"/>
      <c r="IY589" s="178"/>
      <c r="IZ589" s="178"/>
      <c r="JA589" s="178"/>
      <c r="JB589" s="178"/>
      <c r="JC589" s="178"/>
      <c r="JD589" s="178"/>
    </row>
    <row r="590">
      <c r="IE590" s="178"/>
      <c r="IF590" s="178"/>
      <c r="IG590" s="178"/>
      <c r="IH590" s="178"/>
      <c r="II590" s="178"/>
      <c r="IJ590" s="178"/>
      <c r="IK590" s="178"/>
      <c r="IL590" s="178"/>
      <c r="IM590" s="178"/>
      <c r="IN590" s="178"/>
      <c r="IO590" s="178"/>
      <c r="IP590" s="178"/>
      <c r="IQ590" s="178"/>
      <c r="IR590" s="178"/>
      <c r="IS590" s="178"/>
      <c r="IT590" s="178"/>
      <c r="IU590" s="178"/>
      <c r="IV590" s="178"/>
      <c r="IW590" s="178"/>
      <c r="IX590" s="178"/>
      <c r="IY590" s="178"/>
      <c r="IZ590" s="178"/>
      <c r="JA590" s="178"/>
      <c r="JB590" s="178"/>
      <c r="JC590" s="178"/>
      <c r="JD590" s="178"/>
    </row>
    <row r="591">
      <c r="IE591" s="178"/>
      <c r="IF591" s="178"/>
      <c r="IG591" s="178"/>
      <c r="IH591" s="178"/>
      <c r="II591" s="178"/>
      <c r="IJ591" s="178"/>
      <c r="IK591" s="178"/>
      <c r="IL591" s="178"/>
      <c r="IM591" s="178"/>
      <c r="IN591" s="178"/>
      <c r="IO591" s="178"/>
      <c r="IP591" s="178"/>
      <c r="IQ591" s="178"/>
      <c r="IR591" s="178"/>
      <c r="IS591" s="178"/>
      <c r="IT591" s="178"/>
      <c r="IU591" s="178"/>
      <c r="IV591" s="178"/>
      <c r="IW591" s="178"/>
      <c r="IX591" s="178"/>
      <c r="IY591" s="178"/>
      <c r="IZ591" s="178"/>
      <c r="JA591" s="178"/>
      <c r="JB591" s="178"/>
      <c r="JC591" s="178"/>
      <c r="JD591" s="178"/>
    </row>
    <row r="592">
      <c r="IE592" s="178"/>
      <c r="IF592" s="178"/>
      <c r="IG592" s="178"/>
      <c r="IH592" s="178"/>
      <c r="II592" s="178"/>
      <c r="IJ592" s="178"/>
      <c r="IK592" s="178"/>
      <c r="IL592" s="178"/>
      <c r="IM592" s="178"/>
      <c r="IN592" s="178"/>
      <c r="IO592" s="178"/>
      <c r="IP592" s="178"/>
      <c r="IQ592" s="178"/>
      <c r="IR592" s="178"/>
      <c r="IS592" s="178"/>
      <c r="IT592" s="178"/>
      <c r="IU592" s="178"/>
      <c r="IV592" s="178"/>
      <c r="IW592" s="178"/>
      <c r="IX592" s="178"/>
      <c r="IY592" s="178"/>
      <c r="IZ592" s="178"/>
      <c r="JA592" s="178"/>
      <c r="JB592" s="178"/>
      <c r="JC592" s="178"/>
      <c r="JD592" s="178"/>
    </row>
    <row r="593">
      <c r="IE593" s="178"/>
      <c r="IF593" s="178"/>
      <c r="IG593" s="178"/>
      <c r="IH593" s="178"/>
      <c r="II593" s="178"/>
      <c r="IJ593" s="178"/>
      <c r="IK593" s="178"/>
      <c r="IL593" s="178"/>
      <c r="IM593" s="178"/>
      <c r="IN593" s="178"/>
      <c r="IO593" s="178"/>
      <c r="IP593" s="178"/>
      <c r="IQ593" s="178"/>
      <c r="IR593" s="178"/>
      <c r="IS593" s="178"/>
      <c r="IT593" s="178"/>
      <c r="IU593" s="178"/>
      <c r="IV593" s="178"/>
      <c r="IW593" s="178"/>
      <c r="IX593" s="178"/>
      <c r="IY593" s="178"/>
      <c r="IZ593" s="178"/>
      <c r="JA593" s="178"/>
      <c r="JB593" s="178"/>
      <c r="JC593" s="178"/>
      <c r="JD593" s="178"/>
    </row>
    <row r="594">
      <c r="IE594" s="178"/>
      <c r="IF594" s="178"/>
      <c r="IG594" s="178"/>
      <c r="IH594" s="178"/>
      <c r="II594" s="178"/>
      <c r="IJ594" s="178"/>
      <c r="IK594" s="178"/>
      <c r="IL594" s="178"/>
      <c r="IM594" s="178"/>
      <c r="IN594" s="178"/>
      <c r="IO594" s="178"/>
      <c r="IP594" s="178"/>
      <c r="IQ594" s="178"/>
      <c r="IR594" s="178"/>
      <c r="IS594" s="178"/>
      <c r="IT594" s="178"/>
      <c r="IU594" s="178"/>
      <c r="IV594" s="178"/>
      <c r="IW594" s="178"/>
      <c r="IX594" s="178"/>
      <c r="IY594" s="178"/>
      <c r="IZ594" s="178"/>
      <c r="JA594" s="178"/>
      <c r="JB594" s="178"/>
      <c r="JC594" s="178"/>
      <c r="JD594" s="178"/>
    </row>
    <row r="595">
      <c r="IE595" s="178"/>
      <c r="IF595" s="178"/>
      <c r="IG595" s="178"/>
      <c r="IH595" s="178"/>
      <c r="II595" s="178"/>
      <c r="IJ595" s="178"/>
      <c r="IK595" s="178"/>
      <c r="IL595" s="178"/>
      <c r="IM595" s="178"/>
      <c r="IN595" s="178"/>
      <c r="IO595" s="178"/>
      <c r="IP595" s="178"/>
      <c r="IQ595" s="178"/>
      <c r="IR595" s="178"/>
      <c r="IS595" s="178"/>
      <c r="IT595" s="178"/>
      <c r="IU595" s="178"/>
      <c r="IV595" s="178"/>
      <c r="IW595" s="178"/>
      <c r="IX595" s="178"/>
      <c r="IY595" s="178"/>
      <c r="IZ595" s="178"/>
      <c r="JA595" s="178"/>
      <c r="JB595" s="178"/>
      <c r="JC595" s="178"/>
      <c r="JD595" s="178"/>
    </row>
    <row r="596">
      <c r="IE596" s="178"/>
      <c r="IF596" s="178"/>
      <c r="IG596" s="178"/>
      <c r="IH596" s="178"/>
      <c r="II596" s="178"/>
      <c r="IJ596" s="178"/>
      <c r="IK596" s="178"/>
      <c r="IL596" s="178"/>
      <c r="IM596" s="178"/>
      <c r="IN596" s="178"/>
      <c r="IO596" s="178"/>
      <c r="IP596" s="178"/>
      <c r="IQ596" s="178"/>
      <c r="IR596" s="178"/>
      <c r="IS596" s="178"/>
      <c r="IT596" s="178"/>
      <c r="IU596" s="178"/>
      <c r="IV596" s="178"/>
      <c r="IW596" s="178"/>
      <c r="IX596" s="178"/>
      <c r="IY596" s="178"/>
      <c r="IZ596" s="178"/>
      <c r="JA596" s="178"/>
      <c r="JB596" s="178"/>
      <c r="JC596" s="178"/>
      <c r="JD596" s="178"/>
    </row>
    <row r="597">
      <c r="IE597" s="178"/>
      <c r="IF597" s="178"/>
      <c r="IG597" s="178"/>
      <c r="IH597" s="178"/>
      <c r="II597" s="178"/>
      <c r="IJ597" s="178"/>
      <c r="IK597" s="178"/>
      <c r="IL597" s="178"/>
      <c r="IM597" s="178"/>
      <c r="IN597" s="178"/>
      <c r="IO597" s="178"/>
      <c r="IP597" s="178"/>
      <c r="IQ597" s="178"/>
      <c r="IR597" s="178"/>
      <c r="IS597" s="178"/>
      <c r="IT597" s="178"/>
      <c r="IU597" s="178"/>
      <c r="IV597" s="178"/>
      <c r="IW597" s="178"/>
      <c r="IX597" s="178"/>
      <c r="IY597" s="178"/>
      <c r="IZ597" s="178"/>
      <c r="JA597" s="178"/>
      <c r="JB597" s="178"/>
      <c r="JC597" s="178"/>
      <c r="JD597" s="178"/>
    </row>
    <row r="598">
      <c r="IE598" s="178"/>
      <c r="IF598" s="178"/>
      <c r="IG598" s="178"/>
      <c r="IH598" s="178"/>
      <c r="II598" s="178"/>
      <c r="IJ598" s="178"/>
      <c r="IK598" s="178"/>
      <c r="IL598" s="178"/>
      <c r="IM598" s="178"/>
      <c r="IN598" s="178"/>
      <c r="IO598" s="178"/>
      <c r="IP598" s="178"/>
      <c r="IQ598" s="178"/>
      <c r="IR598" s="178"/>
      <c r="IS598" s="178"/>
      <c r="IT598" s="178"/>
      <c r="IU598" s="178"/>
      <c r="IV598" s="178"/>
      <c r="IW598" s="178"/>
      <c r="IX598" s="178"/>
      <c r="IY598" s="178"/>
      <c r="IZ598" s="178"/>
      <c r="JA598" s="178"/>
      <c r="JB598" s="178"/>
      <c r="JC598" s="178"/>
      <c r="JD598" s="178"/>
    </row>
    <row r="599">
      <c r="IE599" s="178"/>
      <c r="IF599" s="178"/>
      <c r="IG599" s="178"/>
      <c r="IH599" s="178"/>
      <c r="II599" s="178"/>
      <c r="IJ599" s="178"/>
      <c r="IK599" s="178"/>
      <c r="IL599" s="178"/>
      <c r="IM599" s="178"/>
      <c r="IN599" s="178"/>
      <c r="IO599" s="178"/>
      <c r="IP599" s="178"/>
      <c r="IQ599" s="178"/>
      <c r="IR599" s="178"/>
      <c r="IS599" s="178"/>
      <c r="IT599" s="178"/>
      <c r="IU599" s="178"/>
      <c r="IV599" s="178"/>
      <c r="IW599" s="178"/>
      <c r="IX599" s="178"/>
      <c r="IY599" s="178"/>
      <c r="IZ599" s="178"/>
      <c r="JA599" s="178"/>
      <c r="JB599" s="178"/>
      <c r="JC599" s="178"/>
      <c r="JD599" s="178"/>
    </row>
    <row r="600">
      <c r="IE600" s="178"/>
      <c r="IF600" s="178"/>
      <c r="IG600" s="178"/>
      <c r="IH600" s="178"/>
      <c r="II600" s="178"/>
      <c r="IJ600" s="178"/>
      <c r="IK600" s="178"/>
      <c r="IL600" s="178"/>
      <c r="IM600" s="178"/>
      <c r="IN600" s="178"/>
      <c r="IO600" s="178"/>
      <c r="IP600" s="178"/>
      <c r="IQ600" s="178"/>
      <c r="IR600" s="178"/>
      <c r="IS600" s="178"/>
      <c r="IT600" s="178"/>
      <c r="IU600" s="178"/>
      <c r="IV600" s="178"/>
      <c r="IW600" s="178"/>
      <c r="IX600" s="178"/>
      <c r="IY600" s="178"/>
      <c r="IZ600" s="178"/>
      <c r="JA600" s="178"/>
      <c r="JB600" s="178"/>
      <c r="JC600" s="178"/>
      <c r="JD600" s="178"/>
    </row>
    <row r="601">
      <c r="IE601" s="178"/>
      <c r="IF601" s="178"/>
      <c r="IG601" s="178"/>
      <c r="IH601" s="178"/>
      <c r="II601" s="178"/>
      <c r="IJ601" s="178"/>
      <c r="IK601" s="178"/>
      <c r="IL601" s="178"/>
      <c r="IM601" s="178"/>
      <c r="IN601" s="178"/>
      <c r="IO601" s="178"/>
      <c r="IP601" s="178"/>
      <c r="IQ601" s="178"/>
      <c r="IR601" s="178"/>
      <c r="IS601" s="178"/>
      <c r="IT601" s="178"/>
      <c r="IU601" s="178"/>
      <c r="IV601" s="178"/>
      <c r="IW601" s="178"/>
      <c r="IX601" s="178"/>
      <c r="IY601" s="178"/>
      <c r="IZ601" s="178"/>
      <c r="JA601" s="178"/>
      <c r="JB601" s="178"/>
      <c r="JC601" s="178"/>
      <c r="JD601" s="178"/>
    </row>
    <row r="602">
      <c r="IE602" s="178"/>
      <c r="IF602" s="178"/>
      <c r="IG602" s="178"/>
      <c r="IH602" s="178"/>
      <c r="II602" s="178"/>
      <c r="IJ602" s="178"/>
      <c r="IK602" s="178"/>
      <c r="IL602" s="178"/>
      <c r="IM602" s="178"/>
      <c r="IN602" s="178"/>
      <c r="IO602" s="178"/>
      <c r="IP602" s="178"/>
      <c r="IQ602" s="178"/>
      <c r="IR602" s="178"/>
      <c r="IS602" s="178"/>
      <c r="IT602" s="178"/>
      <c r="IU602" s="178"/>
      <c r="IV602" s="178"/>
      <c r="IW602" s="178"/>
      <c r="IX602" s="178"/>
      <c r="IY602" s="178"/>
      <c r="IZ602" s="178"/>
      <c r="JA602" s="178"/>
      <c r="JB602" s="178"/>
      <c r="JC602" s="178"/>
      <c r="JD602" s="178"/>
    </row>
    <row r="603">
      <c r="IE603" s="178"/>
      <c r="IF603" s="178"/>
      <c r="IG603" s="178"/>
      <c r="IH603" s="178"/>
      <c r="II603" s="178"/>
      <c r="IJ603" s="178"/>
      <c r="IK603" s="178"/>
      <c r="IL603" s="178"/>
      <c r="IM603" s="178"/>
      <c r="IN603" s="178"/>
      <c r="IO603" s="178"/>
      <c r="IP603" s="178"/>
      <c r="IQ603" s="178"/>
      <c r="IR603" s="178"/>
      <c r="IS603" s="178"/>
      <c r="IT603" s="178"/>
      <c r="IU603" s="178"/>
      <c r="IV603" s="178"/>
      <c r="IW603" s="178"/>
      <c r="IX603" s="178"/>
      <c r="IY603" s="178"/>
      <c r="IZ603" s="178"/>
      <c r="JA603" s="178"/>
      <c r="JB603" s="178"/>
      <c r="JC603" s="178"/>
      <c r="JD603" s="178"/>
    </row>
    <row r="604">
      <c r="IE604" s="178"/>
      <c r="IF604" s="178"/>
      <c r="IG604" s="178"/>
      <c r="IH604" s="178"/>
      <c r="II604" s="178"/>
      <c r="IJ604" s="178"/>
      <c r="IK604" s="178"/>
      <c r="IL604" s="178"/>
      <c r="IM604" s="178"/>
      <c r="IN604" s="178"/>
      <c r="IO604" s="178"/>
      <c r="IP604" s="178"/>
      <c r="IQ604" s="178"/>
      <c r="IR604" s="178"/>
      <c r="IS604" s="178"/>
      <c r="IT604" s="178"/>
      <c r="IU604" s="178"/>
      <c r="IV604" s="178"/>
      <c r="IW604" s="178"/>
      <c r="IX604" s="178"/>
      <c r="IY604" s="178"/>
      <c r="IZ604" s="178"/>
      <c r="JA604" s="178"/>
      <c r="JB604" s="178"/>
      <c r="JC604" s="178"/>
      <c r="JD604" s="178"/>
    </row>
    <row r="605">
      <c r="IE605" s="178"/>
      <c r="IF605" s="178"/>
      <c r="IG605" s="178"/>
      <c r="IH605" s="178"/>
      <c r="II605" s="178"/>
      <c r="IJ605" s="178"/>
      <c r="IK605" s="178"/>
      <c r="IL605" s="178"/>
      <c r="IM605" s="178"/>
      <c r="IN605" s="178"/>
      <c r="IO605" s="178"/>
      <c r="IP605" s="178"/>
      <c r="IQ605" s="178"/>
      <c r="IR605" s="178"/>
      <c r="IS605" s="178"/>
      <c r="IT605" s="178"/>
      <c r="IU605" s="178"/>
      <c r="IV605" s="178"/>
      <c r="IW605" s="178"/>
      <c r="IX605" s="178"/>
      <c r="IY605" s="178"/>
      <c r="IZ605" s="178"/>
      <c r="JA605" s="178"/>
      <c r="JB605" s="178"/>
      <c r="JC605" s="178"/>
      <c r="JD605" s="178"/>
    </row>
    <row r="606">
      <c r="IE606" s="178"/>
      <c r="IF606" s="178"/>
      <c r="IG606" s="178"/>
      <c r="IH606" s="178"/>
      <c r="II606" s="178"/>
      <c r="IJ606" s="178"/>
      <c r="IK606" s="178"/>
      <c r="IL606" s="178"/>
      <c r="IM606" s="178"/>
      <c r="IN606" s="178"/>
      <c r="IO606" s="178"/>
      <c r="IP606" s="178"/>
      <c r="IQ606" s="178"/>
      <c r="IR606" s="178"/>
      <c r="IS606" s="178"/>
      <c r="IT606" s="178"/>
      <c r="IU606" s="178"/>
      <c r="IV606" s="178"/>
      <c r="IW606" s="178"/>
      <c r="IX606" s="178"/>
      <c r="IY606" s="178"/>
      <c r="IZ606" s="178"/>
      <c r="JA606" s="178"/>
      <c r="JB606" s="178"/>
      <c r="JC606" s="178"/>
      <c r="JD606" s="178"/>
    </row>
    <row r="607">
      <c r="IE607" s="178"/>
      <c r="IF607" s="178"/>
      <c r="IG607" s="178"/>
      <c r="IH607" s="178"/>
      <c r="II607" s="178"/>
      <c r="IJ607" s="178"/>
      <c r="IK607" s="178"/>
      <c r="IL607" s="178"/>
      <c r="IM607" s="178"/>
      <c r="IN607" s="178"/>
      <c r="IO607" s="178"/>
      <c r="IP607" s="178"/>
      <c r="IQ607" s="178"/>
      <c r="IR607" s="178"/>
      <c r="IS607" s="178"/>
      <c r="IT607" s="178"/>
      <c r="IU607" s="178"/>
      <c r="IV607" s="178"/>
      <c r="IW607" s="178"/>
      <c r="IX607" s="178"/>
      <c r="IY607" s="178"/>
      <c r="IZ607" s="178"/>
      <c r="JA607" s="178"/>
      <c r="JB607" s="178"/>
      <c r="JC607" s="178"/>
      <c r="JD607" s="178"/>
    </row>
    <row r="608">
      <c r="IE608" s="178"/>
      <c r="IF608" s="178"/>
      <c r="IG608" s="178"/>
      <c r="IH608" s="178"/>
      <c r="II608" s="178"/>
      <c r="IJ608" s="178"/>
      <c r="IK608" s="178"/>
      <c r="IL608" s="178"/>
      <c r="IM608" s="178"/>
      <c r="IN608" s="178"/>
      <c r="IO608" s="178"/>
      <c r="IP608" s="178"/>
      <c r="IQ608" s="178"/>
      <c r="IR608" s="178"/>
      <c r="IS608" s="178"/>
      <c r="IT608" s="178"/>
      <c r="IU608" s="178"/>
      <c r="IV608" s="178"/>
      <c r="IW608" s="178"/>
      <c r="IX608" s="178"/>
      <c r="IY608" s="178"/>
      <c r="IZ608" s="178"/>
      <c r="JA608" s="178"/>
      <c r="JB608" s="178"/>
      <c r="JC608" s="178"/>
      <c r="JD608" s="178"/>
    </row>
    <row r="609">
      <c r="IE609" s="178"/>
      <c r="IF609" s="178"/>
      <c r="IG609" s="178"/>
      <c r="IH609" s="178"/>
      <c r="II609" s="178"/>
      <c r="IJ609" s="178"/>
      <c r="IK609" s="178"/>
      <c r="IL609" s="178"/>
      <c r="IM609" s="178"/>
      <c r="IN609" s="178"/>
      <c r="IO609" s="178"/>
      <c r="IP609" s="178"/>
      <c r="IQ609" s="178"/>
      <c r="IR609" s="178"/>
      <c r="IS609" s="178"/>
      <c r="IT609" s="178"/>
      <c r="IU609" s="178"/>
      <c r="IV609" s="178"/>
      <c r="IW609" s="178"/>
      <c r="IX609" s="178"/>
      <c r="IY609" s="178"/>
      <c r="IZ609" s="178"/>
      <c r="JA609" s="178"/>
      <c r="JB609" s="178"/>
      <c r="JC609" s="178"/>
      <c r="JD609" s="178"/>
    </row>
    <row r="610">
      <c r="IE610" s="178"/>
      <c r="IF610" s="178"/>
      <c r="IG610" s="178"/>
      <c r="IH610" s="178"/>
      <c r="II610" s="178"/>
      <c r="IJ610" s="178"/>
      <c r="IK610" s="178"/>
      <c r="IL610" s="178"/>
      <c r="IM610" s="178"/>
      <c r="IN610" s="178"/>
      <c r="IO610" s="178"/>
      <c r="IP610" s="178"/>
      <c r="IQ610" s="178"/>
      <c r="IR610" s="178"/>
      <c r="IS610" s="178"/>
      <c r="IT610" s="178"/>
      <c r="IU610" s="178"/>
      <c r="IV610" s="178"/>
      <c r="IW610" s="178"/>
      <c r="IX610" s="178"/>
      <c r="IY610" s="178"/>
      <c r="IZ610" s="178"/>
      <c r="JA610" s="178"/>
      <c r="JB610" s="178"/>
      <c r="JC610" s="178"/>
      <c r="JD610" s="178"/>
    </row>
    <row r="611">
      <c r="IE611" s="178"/>
      <c r="IF611" s="178"/>
      <c r="IG611" s="178"/>
      <c r="IH611" s="178"/>
      <c r="II611" s="178"/>
      <c r="IJ611" s="178"/>
      <c r="IK611" s="178"/>
      <c r="IL611" s="178"/>
      <c r="IM611" s="178"/>
      <c r="IN611" s="178"/>
      <c r="IO611" s="178"/>
      <c r="IP611" s="178"/>
      <c r="IQ611" s="178"/>
      <c r="IR611" s="178"/>
      <c r="IS611" s="178"/>
      <c r="IT611" s="178"/>
      <c r="IU611" s="178"/>
      <c r="IV611" s="178"/>
      <c r="IW611" s="178"/>
      <c r="IX611" s="178"/>
      <c r="IY611" s="178"/>
      <c r="IZ611" s="178"/>
      <c r="JA611" s="178"/>
      <c r="JB611" s="178"/>
      <c r="JC611" s="178"/>
      <c r="JD611" s="178"/>
    </row>
    <row r="612">
      <c r="IE612" s="178"/>
      <c r="IF612" s="178"/>
      <c r="IG612" s="178"/>
      <c r="IH612" s="178"/>
      <c r="II612" s="178"/>
      <c r="IJ612" s="178"/>
      <c r="IK612" s="178"/>
      <c r="IL612" s="178"/>
      <c r="IM612" s="178"/>
      <c r="IN612" s="178"/>
      <c r="IO612" s="178"/>
      <c r="IP612" s="178"/>
      <c r="IQ612" s="178"/>
      <c r="IR612" s="178"/>
      <c r="IS612" s="178"/>
      <c r="IT612" s="178"/>
      <c r="IU612" s="178"/>
      <c r="IV612" s="178"/>
      <c r="IW612" s="178"/>
      <c r="IX612" s="178"/>
      <c r="IY612" s="178"/>
      <c r="IZ612" s="178"/>
      <c r="JA612" s="178"/>
      <c r="JB612" s="178"/>
      <c r="JC612" s="178"/>
      <c r="JD612" s="178"/>
    </row>
    <row r="613">
      <c r="IE613" s="178"/>
      <c r="IF613" s="178"/>
      <c r="IG613" s="178"/>
      <c r="IH613" s="178"/>
      <c r="II613" s="178"/>
      <c r="IJ613" s="178"/>
      <c r="IK613" s="178"/>
      <c r="IL613" s="178"/>
      <c r="IM613" s="178"/>
      <c r="IN613" s="178"/>
      <c r="IO613" s="178"/>
      <c r="IP613" s="178"/>
      <c r="IQ613" s="178"/>
      <c r="IR613" s="178"/>
      <c r="IS613" s="178"/>
      <c r="IT613" s="178"/>
      <c r="IU613" s="178"/>
      <c r="IV613" s="178"/>
      <c r="IW613" s="178"/>
      <c r="IX613" s="178"/>
      <c r="IY613" s="178"/>
      <c r="IZ613" s="178"/>
      <c r="JA613" s="178"/>
      <c r="JB613" s="178"/>
      <c r="JC613" s="178"/>
      <c r="JD613" s="178"/>
    </row>
    <row r="614">
      <c r="IE614" s="178"/>
      <c r="IF614" s="178"/>
      <c r="IG614" s="178"/>
      <c r="IH614" s="178"/>
      <c r="II614" s="178"/>
      <c r="IJ614" s="178"/>
      <c r="IK614" s="178"/>
      <c r="IL614" s="178"/>
      <c r="IM614" s="178"/>
      <c r="IN614" s="178"/>
      <c r="IO614" s="178"/>
      <c r="IP614" s="178"/>
      <c r="IQ614" s="178"/>
      <c r="IR614" s="178"/>
      <c r="IS614" s="178"/>
      <c r="IT614" s="178"/>
      <c r="IU614" s="178"/>
      <c r="IV614" s="178"/>
      <c r="IW614" s="178"/>
      <c r="IX614" s="178"/>
      <c r="IY614" s="178"/>
      <c r="IZ614" s="178"/>
      <c r="JA614" s="178"/>
      <c r="JB614" s="178"/>
      <c r="JC614" s="178"/>
      <c r="JD614" s="178"/>
    </row>
    <row r="615">
      <c r="IE615" s="178"/>
      <c r="IF615" s="178"/>
      <c r="IG615" s="178"/>
      <c r="IH615" s="178"/>
      <c r="II615" s="178"/>
      <c r="IJ615" s="178"/>
      <c r="IK615" s="178"/>
      <c r="IL615" s="178"/>
      <c r="IM615" s="178"/>
      <c r="IN615" s="178"/>
      <c r="IO615" s="178"/>
      <c r="IP615" s="178"/>
      <c r="IQ615" s="178"/>
      <c r="IR615" s="178"/>
      <c r="IS615" s="178"/>
      <c r="IT615" s="178"/>
      <c r="IU615" s="178"/>
      <c r="IV615" s="178"/>
      <c r="IW615" s="178"/>
      <c r="IX615" s="178"/>
      <c r="IY615" s="178"/>
      <c r="IZ615" s="178"/>
      <c r="JA615" s="178"/>
      <c r="JB615" s="178"/>
      <c r="JC615" s="178"/>
      <c r="JD615" s="178"/>
    </row>
    <row r="616">
      <c r="IE616" s="178"/>
      <c r="IF616" s="178"/>
      <c r="IG616" s="178"/>
      <c r="IH616" s="178"/>
      <c r="II616" s="178"/>
      <c r="IJ616" s="178"/>
      <c r="IK616" s="178"/>
      <c r="IL616" s="178"/>
      <c r="IM616" s="178"/>
      <c r="IN616" s="178"/>
      <c r="IO616" s="178"/>
      <c r="IP616" s="178"/>
      <c r="IQ616" s="178"/>
      <c r="IR616" s="178"/>
      <c r="IS616" s="178"/>
      <c r="IT616" s="178"/>
      <c r="IU616" s="178"/>
      <c r="IV616" s="178"/>
      <c r="IW616" s="178"/>
      <c r="IX616" s="178"/>
      <c r="IY616" s="178"/>
      <c r="IZ616" s="178"/>
      <c r="JA616" s="178"/>
      <c r="JB616" s="178"/>
      <c r="JC616" s="178"/>
      <c r="JD616" s="178"/>
    </row>
    <row r="617">
      <c r="IE617" s="178"/>
      <c r="IF617" s="178"/>
      <c r="IG617" s="178"/>
      <c r="IH617" s="178"/>
      <c r="II617" s="178"/>
      <c r="IJ617" s="178"/>
      <c r="IK617" s="178"/>
      <c r="IL617" s="178"/>
      <c r="IM617" s="178"/>
      <c r="IN617" s="178"/>
      <c r="IO617" s="178"/>
      <c r="IP617" s="178"/>
      <c r="IQ617" s="178"/>
      <c r="IR617" s="178"/>
      <c r="IS617" s="178"/>
      <c r="IT617" s="178"/>
      <c r="IU617" s="178"/>
      <c r="IV617" s="178"/>
      <c r="IW617" s="178"/>
      <c r="IX617" s="178"/>
      <c r="IY617" s="178"/>
      <c r="IZ617" s="178"/>
      <c r="JA617" s="178"/>
      <c r="JB617" s="178"/>
      <c r="JC617" s="178"/>
      <c r="JD617" s="178"/>
    </row>
    <row r="618">
      <c r="IE618" s="178"/>
      <c r="IF618" s="178"/>
      <c r="IG618" s="178"/>
      <c r="IH618" s="178"/>
      <c r="II618" s="178"/>
      <c r="IJ618" s="178"/>
      <c r="IK618" s="178"/>
      <c r="IL618" s="178"/>
      <c r="IM618" s="178"/>
      <c r="IN618" s="178"/>
      <c r="IO618" s="178"/>
      <c r="IP618" s="178"/>
      <c r="IQ618" s="178"/>
      <c r="IR618" s="178"/>
      <c r="IS618" s="178"/>
      <c r="IT618" s="178"/>
      <c r="IU618" s="178"/>
      <c r="IV618" s="178"/>
      <c r="IW618" s="178"/>
      <c r="IX618" s="178"/>
      <c r="IY618" s="178"/>
      <c r="IZ618" s="178"/>
      <c r="JA618" s="178"/>
      <c r="JB618" s="178"/>
      <c r="JC618" s="178"/>
      <c r="JD618" s="178"/>
    </row>
    <row r="619">
      <c r="IE619" s="178"/>
      <c r="IF619" s="178"/>
      <c r="IG619" s="178"/>
      <c r="IH619" s="178"/>
      <c r="II619" s="178"/>
      <c r="IJ619" s="178"/>
      <c r="IK619" s="178"/>
      <c r="IL619" s="178"/>
      <c r="IM619" s="178"/>
      <c r="IN619" s="178"/>
      <c r="IO619" s="178"/>
      <c r="IP619" s="178"/>
      <c r="IQ619" s="178"/>
      <c r="IR619" s="178"/>
      <c r="IS619" s="178"/>
      <c r="IT619" s="178"/>
      <c r="IU619" s="178"/>
      <c r="IV619" s="178"/>
      <c r="IW619" s="178"/>
      <c r="IX619" s="178"/>
      <c r="IY619" s="178"/>
      <c r="IZ619" s="178"/>
      <c r="JA619" s="178"/>
      <c r="JB619" s="178"/>
      <c r="JC619" s="178"/>
      <c r="JD619" s="178"/>
    </row>
    <row r="620">
      <c r="IE620" s="178"/>
      <c r="IF620" s="178"/>
      <c r="IG620" s="178"/>
      <c r="IH620" s="178"/>
      <c r="II620" s="178"/>
      <c r="IJ620" s="178"/>
      <c r="IK620" s="178"/>
      <c r="IL620" s="178"/>
      <c r="IM620" s="178"/>
      <c r="IN620" s="178"/>
      <c r="IO620" s="178"/>
      <c r="IP620" s="178"/>
      <c r="IQ620" s="178"/>
      <c r="IR620" s="178"/>
      <c r="IS620" s="178"/>
      <c r="IT620" s="178"/>
      <c r="IU620" s="178"/>
      <c r="IV620" s="178"/>
      <c r="IW620" s="178"/>
      <c r="IX620" s="178"/>
      <c r="IY620" s="178"/>
      <c r="IZ620" s="178"/>
      <c r="JA620" s="178"/>
      <c r="JB620" s="178"/>
      <c r="JC620" s="178"/>
      <c r="JD620" s="178"/>
    </row>
    <row r="621">
      <c r="IE621" s="178"/>
      <c r="IF621" s="178"/>
      <c r="IG621" s="178"/>
      <c r="IH621" s="178"/>
      <c r="II621" s="178"/>
      <c r="IJ621" s="178"/>
      <c r="IK621" s="178"/>
      <c r="IL621" s="178"/>
      <c r="IM621" s="178"/>
      <c r="IN621" s="178"/>
      <c r="IO621" s="178"/>
      <c r="IP621" s="178"/>
      <c r="IQ621" s="178"/>
      <c r="IR621" s="178"/>
      <c r="IS621" s="178"/>
      <c r="IT621" s="178"/>
      <c r="IU621" s="178"/>
      <c r="IV621" s="178"/>
      <c r="IW621" s="178"/>
      <c r="IX621" s="178"/>
      <c r="IY621" s="178"/>
      <c r="IZ621" s="178"/>
      <c r="JA621" s="178"/>
      <c r="JB621" s="178"/>
      <c r="JC621" s="178"/>
      <c r="JD621" s="178"/>
    </row>
    <row r="622">
      <c r="IE622" s="178"/>
      <c r="IF622" s="178"/>
      <c r="IG622" s="178"/>
      <c r="IH622" s="178"/>
      <c r="II622" s="178"/>
      <c r="IJ622" s="178"/>
      <c r="IK622" s="178"/>
      <c r="IL622" s="178"/>
      <c r="IM622" s="178"/>
      <c r="IN622" s="178"/>
      <c r="IO622" s="178"/>
      <c r="IP622" s="178"/>
      <c r="IQ622" s="178"/>
      <c r="IR622" s="178"/>
      <c r="IS622" s="178"/>
      <c r="IT622" s="178"/>
      <c r="IU622" s="178"/>
      <c r="IV622" s="178"/>
      <c r="IW622" s="178"/>
      <c r="IX622" s="178"/>
      <c r="IY622" s="178"/>
      <c r="IZ622" s="178"/>
      <c r="JA622" s="178"/>
      <c r="JB622" s="178"/>
      <c r="JC622" s="178"/>
      <c r="JD622" s="178"/>
    </row>
    <row r="623">
      <c r="IE623" s="178"/>
      <c r="IF623" s="178"/>
      <c r="IG623" s="178"/>
      <c r="IH623" s="178"/>
      <c r="II623" s="178"/>
      <c r="IJ623" s="178"/>
      <c r="IK623" s="178"/>
      <c r="IL623" s="178"/>
      <c r="IM623" s="178"/>
      <c r="IN623" s="178"/>
      <c r="IO623" s="178"/>
      <c r="IP623" s="178"/>
      <c r="IQ623" s="178"/>
      <c r="IR623" s="178"/>
      <c r="IS623" s="178"/>
      <c r="IT623" s="178"/>
      <c r="IU623" s="178"/>
      <c r="IV623" s="178"/>
      <c r="IW623" s="178"/>
      <c r="IX623" s="178"/>
      <c r="IY623" s="178"/>
      <c r="IZ623" s="178"/>
      <c r="JA623" s="178"/>
      <c r="JB623" s="178"/>
      <c r="JC623" s="178"/>
      <c r="JD623" s="178"/>
    </row>
    <row r="624">
      <c r="IE624" s="178"/>
      <c r="IF624" s="178"/>
      <c r="IG624" s="178"/>
      <c r="IH624" s="178"/>
      <c r="II624" s="178"/>
      <c r="IJ624" s="178"/>
      <c r="IK624" s="178"/>
      <c r="IL624" s="178"/>
      <c r="IM624" s="178"/>
      <c r="IN624" s="178"/>
      <c r="IO624" s="178"/>
      <c r="IP624" s="178"/>
      <c r="IQ624" s="178"/>
      <c r="IR624" s="178"/>
      <c r="IS624" s="178"/>
      <c r="IT624" s="178"/>
      <c r="IU624" s="178"/>
      <c r="IV624" s="178"/>
      <c r="IW624" s="178"/>
      <c r="IX624" s="178"/>
      <c r="IY624" s="178"/>
      <c r="IZ624" s="178"/>
      <c r="JA624" s="178"/>
      <c r="JB624" s="178"/>
      <c r="JC624" s="178"/>
      <c r="JD624" s="178"/>
    </row>
    <row r="625">
      <c r="IE625" s="178"/>
      <c r="IF625" s="178"/>
      <c r="IG625" s="178"/>
      <c r="IH625" s="178"/>
      <c r="II625" s="178"/>
      <c r="IJ625" s="178"/>
      <c r="IK625" s="178"/>
      <c r="IL625" s="178"/>
      <c r="IM625" s="178"/>
      <c r="IN625" s="178"/>
      <c r="IO625" s="178"/>
      <c r="IP625" s="178"/>
      <c r="IQ625" s="178"/>
      <c r="IR625" s="178"/>
      <c r="IS625" s="178"/>
      <c r="IT625" s="178"/>
      <c r="IU625" s="178"/>
      <c r="IV625" s="178"/>
      <c r="IW625" s="178"/>
      <c r="IX625" s="178"/>
      <c r="IY625" s="178"/>
      <c r="IZ625" s="178"/>
      <c r="JA625" s="178"/>
      <c r="JB625" s="178"/>
      <c r="JC625" s="178"/>
      <c r="JD625" s="178"/>
    </row>
    <row r="626">
      <c r="IE626" s="178"/>
      <c r="IF626" s="178"/>
      <c r="IG626" s="178"/>
      <c r="IH626" s="178"/>
      <c r="II626" s="178"/>
      <c r="IJ626" s="178"/>
      <c r="IK626" s="178"/>
      <c r="IL626" s="178"/>
      <c r="IM626" s="178"/>
      <c r="IN626" s="178"/>
      <c r="IO626" s="178"/>
      <c r="IP626" s="178"/>
      <c r="IQ626" s="178"/>
      <c r="IR626" s="178"/>
      <c r="IS626" s="178"/>
      <c r="IT626" s="178"/>
      <c r="IU626" s="178"/>
      <c r="IV626" s="178"/>
      <c r="IW626" s="178"/>
      <c r="IX626" s="178"/>
      <c r="IY626" s="178"/>
      <c r="IZ626" s="178"/>
      <c r="JA626" s="178"/>
      <c r="JB626" s="178"/>
      <c r="JC626" s="178"/>
      <c r="JD626" s="178"/>
    </row>
    <row r="627">
      <c r="IE627" s="178"/>
      <c r="IF627" s="178"/>
      <c r="IG627" s="178"/>
      <c r="IH627" s="178"/>
      <c r="II627" s="178"/>
      <c r="IJ627" s="178"/>
      <c r="IK627" s="178"/>
      <c r="IL627" s="178"/>
      <c r="IM627" s="178"/>
      <c r="IN627" s="178"/>
      <c r="IO627" s="178"/>
      <c r="IP627" s="178"/>
      <c r="IQ627" s="178"/>
      <c r="IR627" s="178"/>
      <c r="IS627" s="178"/>
      <c r="IT627" s="178"/>
      <c r="IU627" s="178"/>
      <c r="IV627" s="178"/>
      <c r="IW627" s="178"/>
      <c r="IX627" s="178"/>
      <c r="IY627" s="178"/>
      <c r="IZ627" s="178"/>
      <c r="JA627" s="178"/>
      <c r="JB627" s="178"/>
      <c r="JC627" s="178"/>
      <c r="JD627" s="178"/>
    </row>
    <row r="628">
      <c r="IE628" s="178"/>
      <c r="IF628" s="178"/>
      <c r="IG628" s="178"/>
      <c r="IH628" s="178"/>
      <c r="II628" s="178"/>
      <c r="IJ628" s="178"/>
      <c r="IK628" s="178"/>
      <c r="IL628" s="178"/>
      <c r="IM628" s="178"/>
      <c r="IN628" s="178"/>
      <c r="IO628" s="178"/>
      <c r="IP628" s="178"/>
      <c r="IQ628" s="178"/>
      <c r="IR628" s="178"/>
      <c r="IS628" s="178"/>
      <c r="IT628" s="178"/>
      <c r="IU628" s="178"/>
      <c r="IV628" s="178"/>
      <c r="IW628" s="178"/>
      <c r="IX628" s="178"/>
      <c r="IY628" s="178"/>
      <c r="IZ628" s="178"/>
      <c r="JA628" s="178"/>
      <c r="JB628" s="178"/>
      <c r="JC628" s="178"/>
      <c r="JD628" s="178"/>
    </row>
    <row r="629">
      <c r="IE629" s="178"/>
      <c r="IF629" s="178"/>
      <c r="IG629" s="178"/>
      <c r="IH629" s="178"/>
      <c r="II629" s="178"/>
      <c r="IJ629" s="178"/>
      <c r="IK629" s="178"/>
      <c r="IL629" s="178"/>
      <c r="IM629" s="178"/>
      <c r="IN629" s="178"/>
      <c r="IO629" s="178"/>
      <c r="IP629" s="178"/>
      <c r="IQ629" s="178"/>
      <c r="IR629" s="178"/>
      <c r="IS629" s="178"/>
      <c r="IT629" s="178"/>
      <c r="IU629" s="178"/>
      <c r="IV629" s="178"/>
      <c r="IW629" s="178"/>
      <c r="IX629" s="178"/>
      <c r="IY629" s="178"/>
      <c r="IZ629" s="178"/>
      <c r="JA629" s="178"/>
      <c r="JB629" s="178"/>
      <c r="JC629" s="178"/>
      <c r="JD629" s="178"/>
    </row>
    <row r="630">
      <c r="IE630" s="178"/>
      <c r="IF630" s="178"/>
      <c r="IG630" s="178"/>
      <c r="IH630" s="178"/>
      <c r="II630" s="178"/>
      <c r="IJ630" s="178"/>
      <c r="IK630" s="178"/>
      <c r="IL630" s="178"/>
      <c r="IM630" s="178"/>
      <c r="IN630" s="178"/>
      <c r="IO630" s="178"/>
      <c r="IP630" s="178"/>
      <c r="IQ630" s="178"/>
      <c r="IR630" s="178"/>
      <c r="IS630" s="178"/>
      <c r="IT630" s="178"/>
      <c r="IU630" s="178"/>
      <c r="IV630" s="178"/>
      <c r="IW630" s="178"/>
      <c r="IX630" s="178"/>
      <c r="IY630" s="178"/>
      <c r="IZ630" s="178"/>
      <c r="JA630" s="178"/>
      <c r="JB630" s="178"/>
      <c r="JC630" s="178"/>
      <c r="JD630" s="178"/>
    </row>
    <row r="631">
      <c r="IE631" s="178"/>
      <c r="IF631" s="178"/>
      <c r="IG631" s="178"/>
      <c r="IH631" s="178"/>
      <c r="II631" s="178"/>
      <c r="IJ631" s="178"/>
      <c r="IK631" s="178"/>
      <c r="IL631" s="178"/>
      <c r="IM631" s="178"/>
      <c r="IN631" s="178"/>
      <c r="IO631" s="178"/>
      <c r="IP631" s="178"/>
      <c r="IQ631" s="178"/>
      <c r="IR631" s="178"/>
      <c r="IS631" s="178"/>
      <c r="IT631" s="178"/>
      <c r="IU631" s="178"/>
      <c r="IV631" s="178"/>
      <c r="IW631" s="178"/>
      <c r="IX631" s="178"/>
      <c r="IY631" s="178"/>
      <c r="IZ631" s="178"/>
      <c r="JA631" s="178"/>
      <c r="JB631" s="178"/>
      <c r="JC631" s="178"/>
      <c r="JD631" s="178"/>
    </row>
    <row r="632">
      <c r="IE632" s="178"/>
      <c r="IF632" s="178"/>
      <c r="IG632" s="178"/>
      <c r="IH632" s="178"/>
      <c r="II632" s="178"/>
      <c r="IJ632" s="178"/>
      <c r="IK632" s="178"/>
      <c r="IL632" s="178"/>
      <c r="IM632" s="178"/>
      <c r="IN632" s="178"/>
      <c r="IO632" s="178"/>
      <c r="IP632" s="178"/>
      <c r="IQ632" s="178"/>
      <c r="IR632" s="178"/>
      <c r="IS632" s="178"/>
      <c r="IT632" s="178"/>
      <c r="IU632" s="178"/>
      <c r="IV632" s="178"/>
      <c r="IW632" s="178"/>
      <c r="IX632" s="178"/>
      <c r="IY632" s="178"/>
      <c r="IZ632" s="178"/>
      <c r="JA632" s="178"/>
      <c r="JB632" s="178"/>
      <c r="JC632" s="178"/>
      <c r="JD632" s="178"/>
    </row>
    <row r="633">
      <c r="IE633" s="178"/>
      <c r="IF633" s="178"/>
      <c r="IG633" s="178"/>
      <c r="IH633" s="178"/>
      <c r="II633" s="178"/>
      <c r="IJ633" s="178"/>
      <c r="IK633" s="178"/>
      <c r="IL633" s="178"/>
      <c r="IM633" s="178"/>
      <c r="IN633" s="178"/>
      <c r="IO633" s="178"/>
      <c r="IP633" s="178"/>
      <c r="IQ633" s="178"/>
      <c r="IR633" s="178"/>
      <c r="IS633" s="178"/>
      <c r="IT633" s="178"/>
      <c r="IU633" s="178"/>
      <c r="IV633" s="178"/>
      <c r="IW633" s="178"/>
      <c r="IX633" s="178"/>
      <c r="IY633" s="178"/>
      <c r="IZ633" s="178"/>
      <c r="JA633" s="178"/>
      <c r="JB633" s="178"/>
      <c r="JC633" s="178"/>
      <c r="JD633" s="178"/>
    </row>
    <row r="634">
      <c r="IE634" s="178"/>
      <c r="IF634" s="178"/>
      <c r="IG634" s="178"/>
      <c r="IH634" s="178"/>
      <c r="II634" s="178"/>
      <c r="IJ634" s="178"/>
      <c r="IK634" s="178"/>
      <c r="IL634" s="178"/>
      <c r="IM634" s="178"/>
      <c r="IN634" s="178"/>
      <c r="IO634" s="178"/>
      <c r="IP634" s="178"/>
      <c r="IQ634" s="178"/>
      <c r="IR634" s="178"/>
      <c r="IS634" s="178"/>
      <c r="IT634" s="178"/>
      <c r="IU634" s="178"/>
      <c r="IV634" s="178"/>
      <c r="IW634" s="178"/>
      <c r="IX634" s="178"/>
      <c r="IY634" s="178"/>
      <c r="IZ634" s="178"/>
      <c r="JA634" s="178"/>
      <c r="JB634" s="178"/>
      <c r="JC634" s="178"/>
      <c r="JD634" s="178"/>
    </row>
    <row r="635">
      <c r="IE635" s="178"/>
      <c r="IF635" s="178"/>
      <c r="IG635" s="178"/>
      <c r="IH635" s="178"/>
      <c r="II635" s="178"/>
      <c r="IJ635" s="178"/>
      <c r="IK635" s="178"/>
      <c r="IL635" s="178"/>
      <c r="IM635" s="178"/>
      <c r="IN635" s="178"/>
      <c r="IO635" s="178"/>
      <c r="IP635" s="178"/>
      <c r="IQ635" s="178"/>
      <c r="IR635" s="178"/>
      <c r="IS635" s="178"/>
      <c r="IT635" s="178"/>
      <c r="IU635" s="178"/>
      <c r="IV635" s="178"/>
      <c r="IW635" s="178"/>
      <c r="IX635" s="178"/>
      <c r="IY635" s="178"/>
      <c r="IZ635" s="178"/>
      <c r="JA635" s="178"/>
      <c r="JB635" s="178"/>
      <c r="JC635" s="178"/>
      <c r="JD635" s="178"/>
    </row>
    <row r="636">
      <c r="IE636" s="178"/>
      <c r="IF636" s="178"/>
      <c r="IG636" s="178"/>
      <c r="IH636" s="178"/>
      <c r="II636" s="178"/>
      <c r="IJ636" s="178"/>
      <c r="IK636" s="178"/>
      <c r="IL636" s="178"/>
      <c r="IM636" s="178"/>
      <c r="IN636" s="178"/>
      <c r="IO636" s="178"/>
      <c r="IP636" s="178"/>
      <c r="IQ636" s="178"/>
      <c r="IR636" s="178"/>
      <c r="IS636" s="178"/>
      <c r="IT636" s="178"/>
      <c r="IU636" s="178"/>
      <c r="IV636" s="178"/>
      <c r="IW636" s="178"/>
      <c r="IX636" s="178"/>
      <c r="IY636" s="178"/>
      <c r="IZ636" s="178"/>
      <c r="JA636" s="178"/>
      <c r="JB636" s="178"/>
      <c r="JC636" s="178"/>
      <c r="JD636" s="178"/>
    </row>
    <row r="637">
      <c r="IE637" s="178"/>
      <c r="IF637" s="178"/>
      <c r="IG637" s="178"/>
      <c r="IH637" s="178"/>
      <c r="II637" s="178"/>
      <c r="IJ637" s="178"/>
      <c r="IK637" s="178"/>
      <c r="IL637" s="178"/>
      <c r="IM637" s="178"/>
      <c r="IN637" s="178"/>
      <c r="IO637" s="178"/>
      <c r="IP637" s="178"/>
      <c r="IQ637" s="178"/>
      <c r="IR637" s="178"/>
      <c r="IS637" s="178"/>
      <c r="IT637" s="178"/>
      <c r="IU637" s="178"/>
      <c r="IV637" s="178"/>
      <c r="IW637" s="178"/>
      <c r="IX637" s="178"/>
      <c r="IY637" s="178"/>
      <c r="IZ637" s="178"/>
      <c r="JA637" s="178"/>
      <c r="JB637" s="178"/>
      <c r="JC637" s="178"/>
      <c r="JD637" s="178"/>
    </row>
    <row r="638">
      <c r="IE638" s="178"/>
      <c r="IF638" s="178"/>
      <c r="IG638" s="178"/>
      <c r="IH638" s="178"/>
      <c r="II638" s="178"/>
      <c r="IJ638" s="178"/>
      <c r="IK638" s="178"/>
      <c r="IL638" s="178"/>
      <c r="IM638" s="178"/>
      <c r="IN638" s="178"/>
      <c r="IO638" s="178"/>
      <c r="IP638" s="178"/>
      <c r="IQ638" s="178"/>
      <c r="IR638" s="178"/>
      <c r="IS638" s="178"/>
      <c r="IT638" s="178"/>
      <c r="IU638" s="178"/>
      <c r="IV638" s="178"/>
      <c r="IW638" s="178"/>
      <c r="IX638" s="178"/>
      <c r="IY638" s="178"/>
      <c r="IZ638" s="178"/>
      <c r="JA638" s="178"/>
      <c r="JB638" s="178"/>
      <c r="JC638" s="178"/>
      <c r="JD638" s="178"/>
    </row>
    <row r="639">
      <c r="IE639" s="178"/>
      <c r="IF639" s="178"/>
      <c r="IG639" s="178"/>
      <c r="IH639" s="178"/>
      <c r="II639" s="178"/>
      <c r="IJ639" s="178"/>
      <c r="IK639" s="178"/>
      <c r="IL639" s="178"/>
      <c r="IM639" s="178"/>
      <c r="IN639" s="178"/>
      <c r="IO639" s="178"/>
      <c r="IP639" s="178"/>
      <c r="IQ639" s="178"/>
      <c r="IR639" s="178"/>
      <c r="IS639" s="178"/>
      <c r="IT639" s="178"/>
      <c r="IU639" s="178"/>
      <c r="IV639" s="178"/>
      <c r="IW639" s="178"/>
      <c r="IX639" s="178"/>
      <c r="IY639" s="178"/>
      <c r="IZ639" s="178"/>
      <c r="JA639" s="178"/>
      <c r="JB639" s="178"/>
      <c r="JC639" s="178"/>
      <c r="JD639" s="178"/>
    </row>
    <row r="640">
      <c r="IE640" s="178"/>
      <c r="IF640" s="178"/>
      <c r="IG640" s="178"/>
      <c r="IH640" s="178"/>
      <c r="II640" s="178"/>
      <c r="IJ640" s="178"/>
      <c r="IK640" s="178"/>
      <c r="IL640" s="178"/>
      <c r="IM640" s="178"/>
      <c r="IN640" s="178"/>
      <c r="IO640" s="178"/>
      <c r="IP640" s="178"/>
      <c r="IQ640" s="178"/>
      <c r="IR640" s="178"/>
      <c r="IS640" s="178"/>
      <c r="IT640" s="178"/>
      <c r="IU640" s="178"/>
      <c r="IV640" s="178"/>
      <c r="IW640" s="178"/>
      <c r="IX640" s="178"/>
      <c r="IY640" s="178"/>
      <c r="IZ640" s="178"/>
      <c r="JA640" s="178"/>
      <c r="JB640" s="178"/>
      <c r="JC640" s="178"/>
      <c r="JD640" s="178"/>
    </row>
    <row r="641">
      <c r="IE641" s="178"/>
      <c r="IF641" s="178"/>
      <c r="IG641" s="178"/>
      <c r="IH641" s="178"/>
      <c r="II641" s="178"/>
      <c r="IJ641" s="178"/>
      <c r="IK641" s="178"/>
      <c r="IL641" s="178"/>
      <c r="IM641" s="178"/>
      <c r="IN641" s="178"/>
      <c r="IO641" s="178"/>
      <c r="IP641" s="178"/>
      <c r="IQ641" s="178"/>
      <c r="IR641" s="178"/>
      <c r="IS641" s="178"/>
      <c r="IT641" s="178"/>
      <c r="IU641" s="178"/>
      <c r="IV641" s="178"/>
      <c r="IW641" s="178"/>
      <c r="IX641" s="178"/>
      <c r="IY641" s="178"/>
      <c r="IZ641" s="178"/>
      <c r="JA641" s="178"/>
      <c r="JB641" s="178"/>
      <c r="JC641" s="178"/>
      <c r="JD641" s="178"/>
    </row>
    <row r="642">
      <c r="IE642" s="178"/>
      <c r="IF642" s="178"/>
      <c r="IG642" s="178"/>
      <c r="IH642" s="178"/>
      <c r="II642" s="178"/>
      <c r="IJ642" s="178"/>
      <c r="IK642" s="178"/>
      <c r="IL642" s="178"/>
      <c r="IM642" s="178"/>
      <c r="IN642" s="178"/>
      <c r="IO642" s="178"/>
      <c r="IP642" s="178"/>
      <c r="IQ642" s="178"/>
      <c r="IR642" s="178"/>
      <c r="IS642" s="178"/>
      <c r="IT642" s="178"/>
      <c r="IU642" s="178"/>
      <c r="IV642" s="178"/>
      <c r="IW642" s="178"/>
      <c r="IX642" s="178"/>
      <c r="IY642" s="178"/>
      <c r="IZ642" s="178"/>
      <c r="JA642" s="178"/>
      <c r="JB642" s="178"/>
      <c r="JC642" s="178"/>
      <c r="JD642" s="178"/>
    </row>
    <row r="643">
      <c r="IE643" s="178"/>
      <c r="IF643" s="178"/>
      <c r="IG643" s="178"/>
      <c r="IH643" s="178"/>
      <c r="II643" s="178"/>
      <c r="IJ643" s="178"/>
      <c r="IK643" s="178"/>
      <c r="IL643" s="178"/>
      <c r="IM643" s="178"/>
      <c r="IN643" s="178"/>
      <c r="IO643" s="178"/>
      <c r="IP643" s="178"/>
      <c r="IQ643" s="178"/>
      <c r="IR643" s="178"/>
      <c r="IS643" s="178"/>
      <c r="IT643" s="178"/>
      <c r="IU643" s="178"/>
      <c r="IV643" s="178"/>
      <c r="IW643" s="178"/>
      <c r="IX643" s="178"/>
      <c r="IY643" s="178"/>
      <c r="IZ643" s="178"/>
      <c r="JA643" s="178"/>
      <c r="JB643" s="178"/>
      <c r="JC643" s="178"/>
      <c r="JD643" s="178"/>
    </row>
    <row r="644">
      <c r="IE644" s="178"/>
      <c r="IF644" s="178"/>
      <c r="IG644" s="178"/>
      <c r="IH644" s="178"/>
      <c r="II644" s="178"/>
      <c r="IJ644" s="178"/>
      <c r="IK644" s="178"/>
      <c r="IL644" s="178"/>
      <c r="IM644" s="178"/>
      <c r="IN644" s="178"/>
      <c r="IO644" s="178"/>
      <c r="IP644" s="178"/>
      <c r="IQ644" s="178"/>
      <c r="IR644" s="178"/>
      <c r="IS644" s="178"/>
      <c r="IT644" s="178"/>
      <c r="IU644" s="178"/>
      <c r="IV644" s="178"/>
      <c r="IW644" s="178"/>
      <c r="IX644" s="178"/>
      <c r="IY644" s="178"/>
      <c r="IZ644" s="178"/>
      <c r="JA644" s="178"/>
      <c r="JB644" s="178"/>
      <c r="JC644" s="178"/>
      <c r="JD644" s="178"/>
    </row>
    <row r="645">
      <c r="IE645" s="178"/>
      <c r="IF645" s="178"/>
      <c r="IG645" s="178"/>
      <c r="IH645" s="178"/>
      <c r="II645" s="178"/>
      <c r="IJ645" s="178"/>
      <c r="IK645" s="178"/>
      <c r="IL645" s="178"/>
      <c r="IM645" s="178"/>
      <c r="IN645" s="178"/>
      <c r="IO645" s="178"/>
      <c r="IP645" s="178"/>
      <c r="IQ645" s="178"/>
      <c r="IR645" s="178"/>
      <c r="IS645" s="178"/>
      <c r="IT645" s="178"/>
      <c r="IU645" s="178"/>
      <c r="IV645" s="178"/>
      <c r="IW645" s="178"/>
      <c r="IX645" s="178"/>
      <c r="IY645" s="178"/>
      <c r="IZ645" s="178"/>
      <c r="JA645" s="178"/>
      <c r="JB645" s="178"/>
      <c r="JC645" s="178"/>
      <c r="JD645" s="178"/>
    </row>
    <row r="646">
      <c r="IE646" s="178"/>
      <c r="IF646" s="178"/>
      <c r="IG646" s="178"/>
      <c r="IH646" s="178"/>
      <c r="II646" s="178"/>
      <c r="IJ646" s="178"/>
      <c r="IK646" s="178"/>
      <c r="IL646" s="178"/>
      <c r="IM646" s="178"/>
      <c r="IN646" s="178"/>
      <c r="IO646" s="178"/>
      <c r="IP646" s="178"/>
      <c r="IQ646" s="178"/>
      <c r="IR646" s="178"/>
      <c r="IS646" s="178"/>
      <c r="IT646" s="178"/>
      <c r="IU646" s="178"/>
      <c r="IV646" s="178"/>
      <c r="IW646" s="178"/>
      <c r="IX646" s="178"/>
      <c r="IY646" s="178"/>
      <c r="IZ646" s="178"/>
      <c r="JA646" s="178"/>
      <c r="JB646" s="178"/>
      <c r="JC646" s="178"/>
      <c r="JD646" s="178"/>
    </row>
    <row r="647">
      <c r="IE647" s="178"/>
      <c r="IF647" s="178"/>
      <c r="IG647" s="178"/>
      <c r="IH647" s="178"/>
      <c r="II647" s="178"/>
      <c r="IJ647" s="178"/>
      <c r="IK647" s="178"/>
      <c r="IL647" s="178"/>
      <c r="IM647" s="178"/>
      <c r="IN647" s="178"/>
      <c r="IO647" s="178"/>
      <c r="IP647" s="178"/>
      <c r="IQ647" s="178"/>
      <c r="IR647" s="178"/>
      <c r="IS647" s="178"/>
      <c r="IT647" s="178"/>
      <c r="IU647" s="178"/>
      <c r="IV647" s="178"/>
      <c r="IW647" s="178"/>
      <c r="IX647" s="178"/>
      <c r="IY647" s="178"/>
      <c r="IZ647" s="178"/>
      <c r="JA647" s="178"/>
      <c r="JB647" s="178"/>
      <c r="JC647" s="178"/>
      <c r="JD647" s="178"/>
    </row>
    <row r="648">
      <c r="IE648" s="178"/>
      <c r="IF648" s="178"/>
      <c r="IG648" s="178"/>
      <c r="IH648" s="178"/>
      <c r="II648" s="178"/>
      <c r="IJ648" s="178"/>
      <c r="IK648" s="178"/>
      <c r="IL648" s="178"/>
      <c r="IM648" s="178"/>
      <c r="IN648" s="178"/>
      <c r="IO648" s="178"/>
      <c r="IP648" s="178"/>
      <c r="IQ648" s="178"/>
      <c r="IR648" s="178"/>
      <c r="IS648" s="178"/>
      <c r="IT648" s="178"/>
      <c r="IU648" s="178"/>
      <c r="IV648" s="178"/>
      <c r="IW648" s="178"/>
      <c r="IX648" s="178"/>
      <c r="IY648" s="178"/>
      <c r="IZ648" s="178"/>
      <c r="JA648" s="178"/>
      <c r="JB648" s="178"/>
      <c r="JC648" s="178"/>
      <c r="JD648" s="178"/>
    </row>
    <row r="649">
      <c r="IE649" s="178"/>
      <c r="IF649" s="178"/>
      <c r="IG649" s="178"/>
      <c r="IH649" s="178"/>
      <c r="II649" s="178"/>
      <c r="IJ649" s="178"/>
      <c r="IK649" s="178"/>
      <c r="IL649" s="178"/>
      <c r="IM649" s="178"/>
      <c r="IN649" s="178"/>
      <c r="IO649" s="178"/>
      <c r="IP649" s="178"/>
      <c r="IQ649" s="178"/>
      <c r="IR649" s="178"/>
      <c r="IS649" s="178"/>
      <c r="IT649" s="178"/>
      <c r="IU649" s="178"/>
      <c r="IV649" s="178"/>
      <c r="IW649" s="178"/>
      <c r="IX649" s="178"/>
      <c r="IY649" s="178"/>
      <c r="IZ649" s="178"/>
      <c r="JA649" s="178"/>
      <c r="JB649" s="178"/>
      <c r="JC649" s="178"/>
      <c r="JD649" s="178"/>
    </row>
    <row r="650">
      <c r="IE650" s="178"/>
      <c r="IF650" s="178"/>
      <c r="IG650" s="178"/>
      <c r="IH650" s="178"/>
      <c r="II650" s="178"/>
      <c r="IJ650" s="178"/>
      <c r="IK650" s="178"/>
      <c r="IL650" s="178"/>
      <c r="IM650" s="178"/>
      <c r="IN650" s="178"/>
      <c r="IO650" s="178"/>
      <c r="IP650" s="178"/>
      <c r="IQ650" s="178"/>
      <c r="IR650" s="178"/>
      <c r="IS650" s="178"/>
      <c r="IT650" s="178"/>
      <c r="IU650" s="178"/>
      <c r="IV650" s="178"/>
      <c r="IW650" s="178"/>
      <c r="IX650" s="178"/>
      <c r="IY650" s="178"/>
      <c r="IZ650" s="178"/>
      <c r="JA650" s="178"/>
      <c r="JB650" s="178"/>
      <c r="JC650" s="178"/>
      <c r="JD650" s="178"/>
    </row>
    <row r="651">
      <c r="IE651" s="178"/>
      <c r="IF651" s="178"/>
      <c r="IG651" s="178"/>
      <c r="IH651" s="178"/>
      <c r="II651" s="178"/>
      <c r="IJ651" s="178"/>
      <c r="IK651" s="178"/>
      <c r="IL651" s="178"/>
      <c r="IM651" s="178"/>
      <c r="IN651" s="178"/>
      <c r="IO651" s="178"/>
      <c r="IP651" s="178"/>
      <c r="IQ651" s="178"/>
      <c r="IR651" s="178"/>
      <c r="IS651" s="178"/>
      <c r="IT651" s="178"/>
      <c r="IU651" s="178"/>
      <c r="IV651" s="178"/>
      <c r="IW651" s="178"/>
      <c r="IX651" s="178"/>
      <c r="IY651" s="178"/>
      <c r="IZ651" s="178"/>
      <c r="JA651" s="178"/>
      <c r="JB651" s="178"/>
      <c r="JC651" s="178"/>
      <c r="JD651" s="178"/>
    </row>
    <row r="652">
      <c r="IE652" s="178"/>
      <c r="IF652" s="178"/>
      <c r="IG652" s="178"/>
      <c r="IH652" s="178"/>
      <c r="II652" s="178"/>
      <c r="IJ652" s="178"/>
      <c r="IK652" s="178"/>
      <c r="IL652" s="178"/>
      <c r="IM652" s="178"/>
      <c r="IN652" s="178"/>
      <c r="IO652" s="178"/>
      <c r="IP652" s="178"/>
      <c r="IQ652" s="178"/>
      <c r="IR652" s="178"/>
      <c r="IS652" s="178"/>
      <c r="IT652" s="178"/>
      <c r="IU652" s="178"/>
      <c r="IV652" s="178"/>
      <c r="IW652" s="178"/>
      <c r="IX652" s="178"/>
      <c r="IY652" s="178"/>
      <c r="IZ652" s="178"/>
      <c r="JA652" s="178"/>
      <c r="JB652" s="178"/>
      <c r="JC652" s="178"/>
      <c r="JD652" s="178"/>
    </row>
    <row r="653">
      <c r="IE653" s="178"/>
      <c r="IF653" s="178"/>
      <c r="IG653" s="178"/>
      <c r="IH653" s="178"/>
      <c r="II653" s="178"/>
      <c r="IJ653" s="178"/>
      <c r="IK653" s="178"/>
      <c r="IL653" s="178"/>
      <c r="IM653" s="178"/>
      <c r="IN653" s="178"/>
      <c r="IO653" s="178"/>
      <c r="IP653" s="178"/>
      <c r="IQ653" s="178"/>
      <c r="IR653" s="178"/>
      <c r="IS653" s="178"/>
      <c r="IT653" s="178"/>
      <c r="IU653" s="178"/>
      <c r="IV653" s="178"/>
      <c r="IW653" s="178"/>
      <c r="IX653" s="178"/>
      <c r="IY653" s="178"/>
      <c r="IZ653" s="178"/>
      <c r="JA653" s="178"/>
      <c r="JB653" s="178"/>
      <c r="JC653" s="178"/>
      <c r="JD653" s="178"/>
    </row>
    <row r="654">
      <c r="IE654" s="178"/>
      <c r="IF654" s="178"/>
      <c r="IG654" s="178"/>
      <c r="IH654" s="178"/>
      <c r="II654" s="178"/>
      <c r="IJ654" s="178"/>
      <c r="IK654" s="178"/>
      <c r="IL654" s="178"/>
      <c r="IM654" s="178"/>
      <c r="IN654" s="178"/>
      <c r="IO654" s="178"/>
      <c r="IP654" s="178"/>
      <c r="IQ654" s="178"/>
      <c r="IR654" s="178"/>
      <c r="IS654" s="178"/>
      <c r="IT654" s="178"/>
      <c r="IU654" s="178"/>
      <c r="IV654" s="178"/>
      <c r="IW654" s="178"/>
      <c r="IX654" s="178"/>
      <c r="IY654" s="178"/>
      <c r="IZ654" s="178"/>
      <c r="JA654" s="178"/>
      <c r="JB654" s="178"/>
      <c r="JC654" s="178"/>
      <c r="JD654" s="178"/>
    </row>
    <row r="655">
      <c r="IE655" s="178"/>
      <c r="IF655" s="178"/>
      <c r="IG655" s="178"/>
      <c r="IH655" s="178"/>
      <c r="II655" s="178"/>
      <c r="IJ655" s="178"/>
      <c r="IK655" s="178"/>
      <c r="IL655" s="178"/>
      <c r="IM655" s="178"/>
      <c r="IN655" s="178"/>
      <c r="IO655" s="178"/>
      <c r="IP655" s="178"/>
      <c r="IQ655" s="178"/>
      <c r="IR655" s="178"/>
      <c r="IS655" s="178"/>
      <c r="IT655" s="178"/>
      <c r="IU655" s="178"/>
      <c r="IV655" s="178"/>
      <c r="IW655" s="178"/>
      <c r="IX655" s="178"/>
      <c r="IY655" s="178"/>
      <c r="IZ655" s="178"/>
      <c r="JA655" s="178"/>
      <c r="JB655" s="178"/>
      <c r="JC655" s="178"/>
      <c r="JD655" s="178"/>
    </row>
    <row r="656">
      <c r="IE656" s="178"/>
      <c r="IF656" s="178"/>
      <c r="IG656" s="178"/>
      <c r="IH656" s="178"/>
      <c r="II656" s="178"/>
      <c r="IJ656" s="178"/>
      <c r="IK656" s="178"/>
      <c r="IL656" s="178"/>
      <c r="IM656" s="178"/>
      <c r="IN656" s="178"/>
      <c r="IO656" s="178"/>
      <c r="IP656" s="178"/>
      <c r="IQ656" s="178"/>
      <c r="IR656" s="178"/>
      <c r="IS656" s="178"/>
      <c r="IT656" s="178"/>
      <c r="IU656" s="178"/>
      <c r="IV656" s="178"/>
      <c r="IW656" s="178"/>
      <c r="IX656" s="178"/>
      <c r="IY656" s="178"/>
      <c r="IZ656" s="178"/>
      <c r="JA656" s="178"/>
      <c r="JB656" s="178"/>
      <c r="JC656" s="178"/>
      <c r="JD656" s="178"/>
    </row>
    <row r="657">
      <c r="IE657" s="178"/>
      <c r="IF657" s="178"/>
      <c r="IG657" s="178"/>
      <c r="IH657" s="178"/>
      <c r="II657" s="178"/>
      <c r="IJ657" s="178"/>
      <c r="IK657" s="178"/>
      <c r="IL657" s="178"/>
      <c r="IM657" s="178"/>
      <c r="IN657" s="178"/>
      <c r="IO657" s="178"/>
      <c r="IP657" s="178"/>
      <c r="IQ657" s="178"/>
      <c r="IR657" s="178"/>
      <c r="IS657" s="178"/>
      <c r="IT657" s="178"/>
      <c r="IU657" s="178"/>
      <c r="IV657" s="178"/>
      <c r="IW657" s="178"/>
      <c r="IX657" s="178"/>
      <c r="IY657" s="178"/>
      <c r="IZ657" s="178"/>
      <c r="JA657" s="178"/>
      <c r="JB657" s="178"/>
      <c r="JC657" s="178"/>
      <c r="JD657" s="178"/>
    </row>
    <row r="658">
      <c r="IE658" s="178"/>
      <c r="IF658" s="178"/>
      <c r="IG658" s="178"/>
      <c r="IH658" s="178"/>
      <c r="II658" s="178"/>
      <c r="IJ658" s="178"/>
      <c r="IK658" s="178"/>
      <c r="IL658" s="178"/>
      <c r="IM658" s="178"/>
      <c r="IN658" s="178"/>
      <c r="IO658" s="178"/>
      <c r="IP658" s="178"/>
      <c r="IQ658" s="178"/>
      <c r="IR658" s="178"/>
      <c r="IS658" s="178"/>
      <c r="IT658" s="178"/>
      <c r="IU658" s="178"/>
      <c r="IV658" s="178"/>
      <c r="IW658" s="178"/>
      <c r="IX658" s="178"/>
      <c r="IY658" s="178"/>
      <c r="IZ658" s="178"/>
      <c r="JA658" s="178"/>
      <c r="JB658" s="178"/>
      <c r="JC658" s="178"/>
      <c r="JD658" s="178"/>
    </row>
    <row r="659">
      <c r="IE659" s="178"/>
      <c r="IF659" s="178"/>
      <c r="IG659" s="178"/>
      <c r="IH659" s="178"/>
      <c r="II659" s="178"/>
      <c r="IJ659" s="178"/>
      <c r="IK659" s="178"/>
      <c r="IL659" s="178"/>
      <c r="IM659" s="178"/>
      <c r="IN659" s="178"/>
      <c r="IO659" s="178"/>
      <c r="IP659" s="178"/>
      <c r="IQ659" s="178"/>
      <c r="IR659" s="178"/>
      <c r="IS659" s="178"/>
      <c r="IT659" s="178"/>
      <c r="IU659" s="178"/>
      <c r="IV659" s="178"/>
      <c r="IW659" s="178"/>
      <c r="IX659" s="178"/>
      <c r="IY659" s="178"/>
      <c r="IZ659" s="178"/>
      <c r="JA659" s="178"/>
      <c r="JB659" s="178"/>
      <c r="JC659" s="178"/>
      <c r="JD659" s="178"/>
    </row>
    <row r="660">
      <c r="IE660" s="178"/>
      <c r="IF660" s="178"/>
      <c r="IG660" s="178"/>
      <c r="IH660" s="178"/>
      <c r="II660" s="178"/>
      <c r="IJ660" s="178"/>
      <c r="IK660" s="178"/>
      <c r="IL660" s="178"/>
      <c r="IM660" s="178"/>
      <c r="IN660" s="178"/>
      <c r="IO660" s="178"/>
      <c r="IP660" s="178"/>
      <c r="IQ660" s="178"/>
      <c r="IR660" s="178"/>
      <c r="IS660" s="178"/>
      <c r="IT660" s="178"/>
      <c r="IU660" s="178"/>
      <c r="IV660" s="178"/>
      <c r="IW660" s="178"/>
      <c r="IX660" s="178"/>
      <c r="IY660" s="178"/>
      <c r="IZ660" s="178"/>
      <c r="JA660" s="178"/>
      <c r="JB660" s="178"/>
      <c r="JC660" s="178"/>
      <c r="JD660" s="178"/>
    </row>
    <row r="661">
      <c r="IE661" s="178"/>
      <c r="IF661" s="178"/>
      <c r="IG661" s="178"/>
      <c r="IH661" s="178"/>
      <c r="II661" s="178"/>
      <c r="IJ661" s="178"/>
      <c r="IK661" s="178"/>
      <c r="IL661" s="178"/>
      <c r="IM661" s="178"/>
      <c r="IN661" s="178"/>
      <c r="IO661" s="178"/>
      <c r="IP661" s="178"/>
      <c r="IQ661" s="178"/>
      <c r="IR661" s="178"/>
      <c r="IS661" s="178"/>
      <c r="IT661" s="178"/>
      <c r="IU661" s="178"/>
      <c r="IV661" s="178"/>
      <c r="IW661" s="178"/>
      <c r="IX661" s="178"/>
      <c r="IY661" s="178"/>
      <c r="IZ661" s="178"/>
      <c r="JA661" s="178"/>
      <c r="JB661" s="178"/>
      <c r="JC661" s="178"/>
      <c r="JD661" s="178"/>
    </row>
    <row r="662">
      <c r="IE662" s="178"/>
      <c r="IF662" s="178"/>
      <c r="IG662" s="178"/>
      <c r="IH662" s="178"/>
      <c r="II662" s="178"/>
      <c r="IJ662" s="178"/>
      <c r="IK662" s="178"/>
      <c r="IL662" s="178"/>
      <c r="IM662" s="178"/>
      <c r="IN662" s="178"/>
      <c r="IO662" s="178"/>
      <c r="IP662" s="178"/>
      <c r="IQ662" s="178"/>
      <c r="IR662" s="178"/>
      <c r="IS662" s="178"/>
      <c r="IT662" s="178"/>
      <c r="IU662" s="178"/>
      <c r="IV662" s="178"/>
      <c r="IW662" s="178"/>
      <c r="IX662" s="178"/>
      <c r="IY662" s="178"/>
      <c r="IZ662" s="178"/>
      <c r="JA662" s="178"/>
      <c r="JB662" s="178"/>
      <c r="JC662" s="178"/>
      <c r="JD662" s="178"/>
    </row>
    <row r="663">
      <c r="IE663" s="178"/>
      <c r="IF663" s="178"/>
      <c r="IG663" s="178"/>
      <c r="IH663" s="178"/>
      <c r="II663" s="178"/>
      <c r="IJ663" s="178"/>
      <c r="IK663" s="178"/>
      <c r="IL663" s="178"/>
      <c r="IM663" s="178"/>
      <c r="IN663" s="178"/>
      <c r="IO663" s="178"/>
      <c r="IP663" s="178"/>
      <c r="IQ663" s="178"/>
      <c r="IR663" s="178"/>
      <c r="IS663" s="178"/>
      <c r="IT663" s="178"/>
      <c r="IU663" s="178"/>
      <c r="IV663" s="178"/>
      <c r="IW663" s="178"/>
      <c r="IX663" s="178"/>
      <c r="IY663" s="178"/>
      <c r="IZ663" s="178"/>
      <c r="JA663" s="178"/>
      <c r="JB663" s="178"/>
      <c r="JC663" s="178"/>
      <c r="JD663" s="178"/>
    </row>
    <row r="664">
      <c r="IE664" s="178"/>
      <c r="IF664" s="178"/>
      <c r="IG664" s="178"/>
      <c r="IH664" s="178"/>
      <c r="II664" s="178"/>
      <c r="IJ664" s="178"/>
      <c r="IK664" s="178"/>
      <c r="IL664" s="178"/>
      <c r="IM664" s="178"/>
      <c r="IN664" s="178"/>
      <c r="IO664" s="178"/>
      <c r="IP664" s="178"/>
      <c r="IQ664" s="178"/>
      <c r="IR664" s="178"/>
      <c r="IS664" s="178"/>
      <c r="IT664" s="178"/>
      <c r="IU664" s="178"/>
      <c r="IV664" s="178"/>
      <c r="IW664" s="178"/>
      <c r="IX664" s="178"/>
      <c r="IY664" s="178"/>
      <c r="IZ664" s="178"/>
      <c r="JA664" s="178"/>
      <c r="JB664" s="178"/>
      <c r="JC664" s="178"/>
      <c r="JD664" s="178"/>
    </row>
    <row r="665">
      <c r="IE665" s="178"/>
      <c r="IF665" s="178"/>
      <c r="IG665" s="178"/>
      <c r="IH665" s="178"/>
      <c r="II665" s="178"/>
      <c r="IJ665" s="178"/>
      <c r="IK665" s="178"/>
      <c r="IL665" s="178"/>
      <c r="IM665" s="178"/>
      <c r="IN665" s="178"/>
      <c r="IO665" s="178"/>
      <c r="IP665" s="178"/>
      <c r="IQ665" s="178"/>
      <c r="IR665" s="178"/>
      <c r="IS665" s="178"/>
      <c r="IT665" s="178"/>
      <c r="IU665" s="178"/>
      <c r="IV665" s="178"/>
      <c r="IW665" s="178"/>
      <c r="IX665" s="178"/>
      <c r="IY665" s="178"/>
      <c r="IZ665" s="178"/>
      <c r="JA665" s="178"/>
      <c r="JB665" s="178"/>
      <c r="JC665" s="178"/>
      <c r="JD665" s="178"/>
    </row>
    <row r="666">
      <c r="IE666" s="178"/>
      <c r="IF666" s="178"/>
      <c r="IG666" s="178"/>
      <c r="IH666" s="178"/>
      <c r="II666" s="178"/>
      <c r="IJ666" s="178"/>
      <c r="IK666" s="178"/>
      <c r="IL666" s="178"/>
      <c r="IM666" s="178"/>
      <c r="IN666" s="178"/>
      <c r="IO666" s="178"/>
      <c r="IP666" s="178"/>
      <c r="IQ666" s="178"/>
      <c r="IR666" s="178"/>
      <c r="IS666" s="178"/>
      <c r="IT666" s="178"/>
      <c r="IU666" s="178"/>
      <c r="IV666" s="178"/>
      <c r="IW666" s="178"/>
      <c r="IX666" s="178"/>
      <c r="IY666" s="178"/>
      <c r="IZ666" s="178"/>
      <c r="JA666" s="178"/>
      <c r="JB666" s="178"/>
      <c r="JC666" s="178"/>
      <c r="JD666" s="178"/>
    </row>
    <row r="667">
      <c r="IE667" s="178"/>
      <c r="IF667" s="178"/>
      <c r="IG667" s="178"/>
      <c r="IH667" s="178"/>
      <c r="II667" s="178"/>
      <c r="IJ667" s="178"/>
      <c r="IK667" s="178"/>
      <c r="IL667" s="178"/>
      <c r="IM667" s="178"/>
      <c r="IN667" s="178"/>
      <c r="IO667" s="178"/>
      <c r="IP667" s="178"/>
      <c r="IQ667" s="178"/>
      <c r="IR667" s="178"/>
      <c r="IS667" s="178"/>
      <c r="IT667" s="178"/>
      <c r="IU667" s="178"/>
      <c r="IV667" s="178"/>
      <c r="IW667" s="178"/>
      <c r="IX667" s="178"/>
      <c r="IY667" s="178"/>
      <c r="IZ667" s="178"/>
      <c r="JA667" s="178"/>
      <c r="JB667" s="178"/>
      <c r="JC667" s="178"/>
      <c r="JD667" s="178"/>
    </row>
    <row r="668">
      <c r="IE668" s="178"/>
      <c r="IF668" s="178"/>
      <c r="IG668" s="178"/>
      <c r="IH668" s="178"/>
      <c r="II668" s="178"/>
      <c r="IJ668" s="178"/>
      <c r="IK668" s="178"/>
      <c r="IL668" s="178"/>
      <c r="IM668" s="178"/>
      <c r="IN668" s="178"/>
      <c r="IO668" s="178"/>
      <c r="IP668" s="178"/>
      <c r="IQ668" s="178"/>
      <c r="IR668" s="178"/>
      <c r="IS668" s="178"/>
      <c r="IT668" s="178"/>
      <c r="IU668" s="178"/>
      <c r="IV668" s="178"/>
      <c r="IW668" s="178"/>
      <c r="IX668" s="178"/>
      <c r="IY668" s="178"/>
      <c r="IZ668" s="178"/>
      <c r="JA668" s="178"/>
      <c r="JB668" s="178"/>
      <c r="JC668" s="178"/>
      <c r="JD668" s="178"/>
    </row>
    <row r="669">
      <c r="IE669" s="178"/>
      <c r="IF669" s="178"/>
      <c r="IG669" s="178"/>
      <c r="IH669" s="178"/>
      <c r="II669" s="178"/>
      <c r="IJ669" s="178"/>
      <c r="IK669" s="178"/>
      <c r="IL669" s="178"/>
      <c r="IM669" s="178"/>
      <c r="IN669" s="178"/>
      <c r="IO669" s="178"/>
      <c r="IP669" s="178"/>
      <c r="IQ669" s="178"/>
      <c r="IR669" s="178"/>
      <c r="IS669" s="178"/>
      <c r="IT669" s="178"/>
      <c r="IU669" s="178"/>
      <c r="IV669" s="178"/>
      <c r="IW669" s="178"/>
      <c r="IX669" s="178"/>
      <c r="IY669" s="178"/>
      <c r="IZ669" s="178"/>
      <c r="JA669" s="178"/>
      <c r="JB669" s="178"/>
      <c r="JC669" s="178"/>
      <c r="JD669" s="178"/>
    </row>
    <row r="670">
      <c r="IE670" s="178"/>
      <c r="IF670" s="178"/>
      <c r="IG670" s="178"/>
      <c r="IH670" s="178"/>
      <c r="II670" s="178"/>
      <c r="IJ670" s="178"/>
      <c r="IK670" s="178"/>
      <c r="IL670" s="178"/>
      <c r="IM670" s="178"/>
      <c r="IN670" s="178"/>
      <c r="IO670" s="178"/>
      <c r="IP670" s="178"/>
      <c r="IQ670" s="178"/>
      <c r="IR670" s="178"/>
      <c r="IS670" s="178"/>
      <c r="IT670" s="178"/>
      <c r="IU670" s="178"/>
      <c r="IV670" s="178"/>
      <c r="IW670" s="178"/>
      <c r="IX670" s="178"/>
      <c r="IY670" s="178"/>
      <c r="IZ670" s="178"/>
      <c r="JA670" s="178"/>
      <c r="JB670" s="178"/>
      <c r="JC670" s="178"/>
      <c r="JD670" s="178"/>
    </row>
    <row r="671">
      <c r="IE671" s="178"/>
      <c r="IF671" s="178"/>
      <c r="IG671" s="178"/>
      <c r="IH671" s="178"/>
      <c r="II671" s="178"/>
      <c r="IJ671" s="178"/>
      <c r="IK671" s="178"/>
      <c r="IL671" s="178"/>
      <c r="IM671" s="178"/>
      <c r="IN671" s="178"/>
      <c r="IO671" s="178"/>
      <c r="IP671" s="178"/>
      <c r="IQ671" s="178"/>
      <c r="IR671" s="178"/>
      <c r="IS671" s="178"/>
      <c r="IT671" s="178"/>
      <c r="IU671" s="178"/>
      <c r="IV671" s="178"/>
      <c r="IW671" s="178"/>
      <c r="IX671" s="178"/>
      <c r="IY671" s="178"/>
      <c r="IZ671" s="178"/>
      <c r="JA671" s="178"/>
      <c r="JB671" s="178"/>
      <c r="JC671" s="178"/>
      <c r="JD671" s="178"/>
    </row>
    <row r="672">
      <c r="IE672" s="178"/>
      <c r="IF672" s="178"/>
      <c r="IG672" s="178"/>
      <c r="IH672" s="178"/>
      <c r="II672" s="178"/>
      <c r="IJ672" s="178"/>
      <c r="IK672" s="178"/>
      <c r="IL672" s="178"/>
      <c r="IM672" s="178"/>
      <c r="IN672" s="178"/>
      <c r="IO672" s="178"/>
      <c r="IP672" s="178"/>
      <c r="IQ672" s="178"/>
      <c r="IR672" s="178"/>
      <c r="IS672" s="178"/>
      <c r="IT672" s="178"/>
      <c r="IU672" s="178"/>
      <c r="IV672" s="178"/>
      <c r="IW672" s="178"/>
      <c r="IX672" s="178"/>
      <c r="IY672" s="178"/>
      <c r="IZ672" s="178"/>
      <c r="JA672" s="178"/>
      <c r="JB672" s="178"/>
      <c r="JC672" s="178"/>
      <c r="JD672" s="178"/>
    </row>
    <row r="673">
      <c r="IE673" s="178"/>
      <c r="IF673" s="178"/>
      <c r="IG673" s="178"/>
      <c r="IH673" s="178"/>
      <c r="II673" s="178"/>
      <c r="IJ673" s="178"/>
      <c r="IK673" s="178"/>
      <c r="IL673" s="178"/>
      <c r="IM673" s="178"/>
      <c r="IN673" s="178"/>
      <c r="IO673" s="178"/>
      <c r="IP673" s="178"/>
      <c r="IQ673" s="178"/>
      <c r="IR673" s="178"/>
      <c r="IS673" s="178"/>
      <c r="IT673" s="178"/>
      <c r="IU673" s="178"/>
      <c r="IV673" s="178"/>
      <c r="IW673" s="178"/>
      <c r="IX673" s="178"/>
      <c r="IY673" s="178"/>
      <c r="IZ673" s="178"/>
      <c r="JA673" s="178"/>
      <c r="JB673" s="178"/>
      <c r="JC673" s="178"/>
      <c r="JD673" s="178"/>
    </row>
    <row r="674">
      <c r="IE674" s="178"/>
      <c r="IF674" s="178"/>
      <c r="IG674" s="178"/>
      <c r="IH674" s="178"/>
      <c r="II674" s="178"/>
      <c r="IJ674" s="178"/>
      <c r="IK674" s="178"/>
      <c r="IL674" s="178"/>
      <c r="IM674" s="178"/>
      <c r="IN674" s="178"/>
      <c r="IO674" s="178"/>
      <c r="IP674" s="178"/>
      <c r="IQ674" s="178"/>
      <c r="IR674" s="178"/>
      <c r="IS674" s="178"/>
      <c r="IT674" s="178"/>
      <c r="IU674" s="178"/>
      <c r="IV674" s="178"/>
      <c r="IW674" s="178"/>
      <c r="IX674" s="178"/>
      <c r="IY674" s="178"/>
      <c r="IZ674" s="178"/>
      <c r="JA674" s="178"/>
      <c r="JB674" s="178"/>
      <c r="JC674" s="178"/>
      <c r="JD674" s="178"/>
    </row>
    <row r="675">
      <c r="IE675" s="178"/>
      <c r="IF675" s="178"/>
      <c r="IG675" s="178"/>
      <c r="IH675" s="178"/>
      <c r="II675" s="178"/>
      <c r="IJ675" s="178"/>
      <c r="IK675" s="178"/>
      <c r="IL675" s="178"/>
      <c r="IM675" s="178"/>
      <c r="IN675" s="178"/>
      <c r="IO675" s="178"/>
      <c r="IP675" s="178"/>
      <c r="IQ675" s="178"/>
      <c r="IR675" s="178"/>
      <c r="IS675" s="178"/>
      <c r="IT675" s="178"/>
      <c r="IU675" s="178"/>
      <c r="IV675" s="178"/>
      <c r="IW675" s="178"/>
      <c r="IX675" s="178"/>
      <c r="IY675" s="178"/>
      <c r="IZ675" s="178"/>
      <c r="JA675" s="178"/>
      <c r="JB675" s="178"/>
      <c r="JC675" s="178"/>
      <c r="JD675" s="178"/>
    </row>
    <row r="676">
      <c r="IE676" s="178"/>
      <c r="IF676" s="178"/>
      <c r="IG676" s="178"/>
      <c r="IH676" s="178"/>
      <c r="II676" s="178"/>
      <c r="IJ676" s="178"/>
      <c r="IK676" s="178"/>
      <c r="IL676" s="178"/>
      <c r="IM676" s="178"/>
      <c r="IN676" s="178"/>
      <c r="IO676" s="178"/>
      <c r="IP676" s="178"/>
      <c r="IQ676" s="178"/>
      <c r="IR676" s="178"/>
      <c r="IS676" s="178"/>
      <c r="IT676" s="178"/>
      <c r="IU676" s="178"/>
      <c r="IV676" s="178"/>
      <c r="IW676" s="178"/>
      <c r="IX676" s="178"/>
      <c r="IY676" s="178"/>
      <c r="IZ676" s="178"/>
      <c r="JA676" s="178"/>
      <c r="JB676" s="178"/>
      <c r="JC676" s="178"/>
      <c r="JD676" s="178"/>
    </row>
    <row r="677">
      <c r="IE677" s="178"/>
      <c r="IF677" s="178"/>
      <c r="IG677" s="178"/>
      <c r="IH677" s="178"/>
      <c r="II677" s="178"/>
      <c r="IJ677" s="178"/>
      <c r="IK677" s="178"/>
      <c r="IL677" s="178"/>
      <c r="IM677" s="178"/>
      <c r="IN677" s="178"/>
      <c r="IO677" s="178"/>
      <c r="IP677" s="178"/>
      <c r="IQ677" s="178"/>
      <c r="IR677" s="178"/>
      <c r="IS677" s="178"/>
      <c r="IT677" s="178"/>
      <c r="IU677" s="178"/>
      <c r="IV677" s="178"/>
      <c r="IW677" s="178"/>
      <c r="IX677" s="178"/>
      <c r="IY677" s="178"/>
      <c r="IZ677" s="178"/>
      <c r="JA677" s="178"/>
      <c r="JB677" s="178"/>
      <c r="JC677" s="178"/>
      <c r="JD677" s="178"/>
    </row>
    <row r="678">
      <c r="IE678" s="178"/>
      <c r="IF678" s="178"/>
      <c r="IG678" s="178"/>
      <c r="IH678" s="178"/>
      <c r="II678" s="178"/>
      <c r="IJ678" s="178"/>
      <c r="IK678" s="178"/>
      <c r="IL678" s="178"/>
      <c r="IM678" s="178"/>
      <c r="IN678" s="178"/>
      <c r="IO678" s="178"/>
      <c r="IP678" s="178"/>
      <c r="IQ678" s="178"/>
      <c r="IR678" s="178"/>
      <c r="IS678" s="178"/>
      <c r="IT678" s="178"/>
      <c r="IU678" s="178"/>
      <c r="IV678" s="178"/>
      <c r="IW678" s="178"/>
      <c r="IX678" s="178"/>
      <c r="IY678" s="178"/>
      <c r="IZ678" s="178"/>
      <c r="JA678" s="178"/>
      <c r="JB678" s="178"/>
      <c r="JC678" s="178"/>
      <c r="JD678" s="178"/>
    </row>
    <row r="679">
      <c r="IE679" s="178"/>
      <c r="IF679" s="178"/>
      <c r="IG679" s="178"/>
      <c r="IH679" s="178"/>
      <c r="II679" s="178"/>
      <c r="IJ679" s="178"/>
      <c r="IK679" s="178"/>
      <c r="IL679" s="178"/>
      <c r="IM679" s="178"/>
      <c r="IN679" s="178"/>
      <c r="IO679" s="178"/>
      <c r="IP679" s="178"/>
      <c r="IQ679" s="178"/>
      <c r="IR679" s="178"/>
      <c r="IS679" s="178"/>
      <c r="IT679" s="178"/>
      <c r="IU679" s="178"/>
      <c r="IV679" s="178"/>
      <c r="IW679" s="178"/>
      <c r="IX679" s="178"/>
      <c r="IY679" s="178"/>
      <c r="IZ679" s="178"/>
      <c r="JA679" s="178"/>
      <c r="JB679" s="178"/>
      <c r="JC679" s="178"/>
      <c r="JD679" s="178"/>
    </row>
    <row r="680">
      <c r="IE680" s="178"/>
      <c r="IF680" s="178"/>
      <c r="IG680" s="178"/>
      <c r="IH680" s="178"/>
      <c r="II680" s="178"/>
      <c r="IJ680" s="178"/>
      <c r="IK680" s="178"/>
      <c r="IL680" s="178"/>
      <c r="IM680" s="178"/>
      <c r="IN680" s="178"/>
      <c r="IO680" s="178"/>
      <c r="IP680" s="178"/>
      <c r="IQ680" s="178"/>
      <c r="IR680" s="178"/>
      <c r="IS680" s="178"/>
      <c r="IT680" s="178"/>
      <c r="IU680" s="178"/>
      <c r="IV680" s="178"/>
      <c r="IW680" s="178"/>
      <c r="IX680" s="178"/>
      <c r="IY680" s="178"/>
      <c r="IZ680" s="178"/>
      <c r="JA680" s="178"/>
      <c r="JB680" s="178"/>
      <c r="JC680" s="178"/>
      <c r="JD680" s="178"/>
    </row>
    <row r="681">
      <c r="IE681" s="178"/>
      <c r="IF681" s="178"/>
      <c r="IG681" s="178"/>
      <c r="IH681" s="178"/>
      <c r="II681" s="178"/>
      <c r="IJ681" s="178"/>
      <c r="IK681" s="178"/>
      <c r="IL681" s="178"/>
      <c r="IM681" s="178"/>
      <c r="IN681" s="178"/>
      <c r="IO681" s="178"/>
      <c r="IP681" s="178"/>
      <c r="IQ681" s="178"/>
      <c r="IR681" s="178"/>
      <c r="IS681" s="178"/>
      <c r="IT681" s="178"/>
      <c r="IU681" s="178"/>
      <c r="IV681" s="178"/>
      <c r="IW681" s="178"/>
      <c r="IX681" s="178"/>
      <c r="IY681" s="178"/>
      <c r="IZ681" s="178"/>
      <c r="JA681" s="178"/>
      <c r="JB681" s="178"/>
      <c r="JC681" s="178"/>
      <c r="JD681" s="178"/>
    </row>
    <row r="682">
      <c r="IE682" s="178"/>
      <c r="IF682" s="178"/>
      <c r="IG682" s="178"/>
      <c r="IH682" s="178"/>
      <c r="II682" s="178"/>
      <c r="IJ682" s="178"/>
      <c r="IK682" s="178"/>
      <c r="IL682" s="178"/>
      <c r="IM682" s="178"/>
      <c r="IN682" s="178"/>
      <c r="IO682" s="178"/>
      <c r="IP682" s="178"/>
      <c r="IQ682" s="178"/>
      <c r="IR682" s="178"/>
      <c r="IS682" s="178"/>
      <c r="IT682" s="178"/>
      <c r="IU682" s="178"/>
      <c r="IV682" s="178"/>
      <c r="IW682" s="178"/>
      <c r="IX682" s="178"/>
      <c r="IY682" s="178"/>
      <c r="IZ682" s="178"/>
      <c r="JA682" s="178"/>
      <c r="JB682" s="178"/>
      <c r="JC682" s="178"/>
      <c r="JD682" s="178"/>
    </row>
    <row r="683">
      <c r="IE683" s="178"/>
      <c r="IF683" s="178"/>
      <c r="IG683" s="178"/>
      <c r="IH683" s="178"/>
      <c r="II683" s="178"/>
      <c r="IJ683" s="178"/>
      <c r="IK683" s="178"/>
      <c r="IL683" s="178"/>
      <c r="IM683" s="178"/>
      <c r="IN683" s="178"/>
      <c r="IO683" s="178"/>
      <c r="IP683" s="178"/>
      <c r="IQ683" s="178"/>
      <c r="IR683" s="178"/>
      <c r="IS683" s="178"/>
      <c r="IT683" s="178"/>
      <c r="IU683" s="178"/>
      <c r="IV683" s="178"/>
      <c r="IW683" s="178"/>
      <c r="IX683" s="178"/>
      <c r="IY683" s="178"/>
      <c r="IZ683" s="178"/>
      <c r="JA683" s="178"/>
      <c r="JB683" s="178"/>
      <c r="JC683" s="178"/>
      <c r="JD683" s="178"/>
    </row>
    <row r="684">
      <c r="IE684" s="178"/>
      <c r="IF684" s="178"/>
      <c r="IG684" s="178"/>
      <c r="IH684" s="178"/>
      <c r="II684" s="178"/>
      <c r="IJ684" s="178"/>
      <c r="IK684" s="178"/>
      <c r="IL684" s="178"/>
      <c r="IM684" s="178"/>
      <c r="IN684" s="178"/>
      <c r="IO684" s="178"/>
      <c r="IP684" s="178"/>
      <c r="IQ684" s="178"/>
      <c r="IR684" s="178"/>
      <c r="IS684" s="178"/>
      <c r="IT684" s="178"/>
      <c r="IU684" s="178"/>
      <c r="IV684" s="178"/>
      <c r="IW684" s="178"/>
      <c r="IX684" s="178"/>
      <c r="IY684" s="178"/>
      <c r="IZ684" s="178"/>
      <c r="JA684" s="178"/>
      <c r="JB684" s="178"/>
      <c r="JC684" s="178"/>
      <c r="JD684" s="178"/>
    </row>
    <row r="685">
      <c r="IE685" s="178"/>
      <c r="IF685" s="178"/>
      <c r="IG685" s="178"/>
      <c r="IH685" s="178"/>
      <c r="II685" s="178"/>
      <c r="IJ685" s="178"/>
      <c r="IK685" s="178"/>
      <c r="IL685" s="178"/>
      <c r="IM685" s="178"/>
      <c r="IN685" s="178"/>
      <c r="IO685" s="178"/>
      <c r="IP685" s="178"/>
      <c r="IQ685" s="178"/>
      <c r="IR685" s="178"/>
      <c r="IS685" s="178"/>
      <c r="IT685" s="178"/>
      <c r="IU685" s="178"/>
      <c r="IV685" s="178"/>
      <c r="IW685" s="178"/>
      <c r="IX685" s="178"/>
      <c r="IY685" s="178"/>
      <c r="IZ685" s="178"/>
      <c r="JA685" s="178"/>
      <c r="JB685" s="178"/>
      <c r="JC685" s="178"/>
      <c r="JD685" s="178"/>
    </row>
    <row r="686">
      <c r="IE686" s="178"/>
      <c r="IF686" s="178"/>
      <c r="IG686" s="178"/>
      <c r="IH686" s="178"/>
      <c r="II686" s="178"/>
      <c r="IJ686" s="178"/>
      <c r="IK686" s="178"/>
      <c r="IL686" s="178"/>
      <c r="IM686" s="178"/>
      <c r="IN686" s="178"/>
      <c r="IO686" s="178"/>
      <c r="IP686" s="178"/>
      <c r="IQ686" s="178"/>
      <c r="IR686" s="178"/>
      <c r="IS686" s="178"/>
      <c r="IT686" s="178"/>
      <c r="IU686" s="178"/>
      <c r="IV686" s="178"/>
      <c r="IW686" s="178"/>
      <c r="IX686" s="178"/>
      <c r="IY686" s="178"/>
      <c r="IZ686" s="178"/>
      <c r="JA686" s="178"/>
      <c r="JB686" s="178"/>
      <c r="JC686" s="178"/>
      <c r="JD686" s="178"/>
    </row>
    <row r="687">
      <c r="IE687" s="178"/>
      <c r="IF687" s="178"/>
      <c r="IG687" s="178"/>
      <c r="IH687" s="178"/>
      <c r="II687" s="178"/>
      <c r="IJ687" s="178"/>
      <c r="IK687" s="178"/>
      <c r="IL687" s="178"/>
      <c r="IM687" s="178"/>
      <c r="IN687" s="178"/>
      <c r="IO687" s="178"/>
      <c r="IP687" s="178"/>
      <c r="IQ687" s="178"/>
      <c r="IR687" s="178"/>
      <c r="IS687" s="178"/>
      <c r="IT687" s="178"/>
      <c r="IU687" s="178"/>
      <c r="IV687" s="178"/>
      <c r="IW687" s="178"/>
      <c r="IX687" s="178"/>
      <c r="IY687" s="178"/>
      <c r="IZ687" s="178"/>
      <c r="JA687" s="178"/>
      <c r="JB687" s="178"/>
      <c r="JC687" s="178"/>
      <c r="JD687" s="178"/>
    </row>
    <row r="688">
      <c r="IE688" s="178"/>
      <c r="IF688" s="178"/>
      <c r="IG688" s="178"/>
      <c r="IH688" s="178"/>
      <c r="II688" s="178"/>
      <c r="IJ688" s="178"/>
      <c r="IK688" s="178"/>
      <c r="IL688" s="178"/>
      <c r="IM688" s="178"/>
      <c r="IN688" s="178"/>
      <c r="IO688" s="178"/>
      <c r="IP688" s="178"/>
      <c r="IQ688" s="178"/>
      <c r="IR688" s="178"/>
      <c r="IS688" s="178"/>
      <c r="IT688" s="178"/>
      <c r="IU688" s="178"/>
      <c r="IV688" s="178"/>
      <c r="IW688" s="178"/>
      <c r="IX688" s="178"/>
      <c r="IY688" s="178"/>
      <c r="IZ688" s="178"/>
      <c r="JA688" s="178"/>
      <c r="JB688" s="178"/>
      <c r="JC688" s="178"/>
      <c r="JD688" s="178"/>
    </row>
    <row r="689">
      <c r="IE689" s="178"/>
      <c r="IF689" s="178"/>
      <c r="IG689" s="178"/>
      <c r="IH689" s="178"/>
      <c r="II689" s="178"/>
      <c r="IJ689" s="178"/>
      <c r="IK689" s="178"/>
      <c r="IL689" s="178"/>
      <c r="IM689" s="178"/>
      <c r="IN689" s="178"/>
      <c r="IO689" s="178"/>
      <c r="IP689" s="178"/>
      <c r="IQ689" s="178"/>
      <c r="IR689" s="178"/>
      <c r="IS689" s="178"/>
      <c r="IT689" s="178"/>
      <c r="IU689" s="178"/>
      <c r="IV689" s="178"/>
      <c r="IW689" s="178"/>
      <c r="IX689" s="178"/>
      <c r="IY689" s="178"/>
      <c r="IZ689" s="178"/>
      <c r="JA689" s="178"/>
      <c r="JB689" s="178"/>
      <c r="JC689" s="178"/>
      <c r="JD689" s="178"/>
    </row>
    <row r="690">
      <c r="IE690" s="178"/>
      <c r="IF690" s="178"/>
      <c r="IG690" s="178"/>
      <c r="IH690" s="178"/>
      <c r="II690" s="178"/>
      <c r="IJ690" s="178"/>
      <c r="IK690" s="178"/>
      <c r="IL690" s="178"/>
      <c r="IM690" s="178"/>
      <c r="IN690" s="178"/>
      <c r="IO690" s="178"/>
      <c r="IP690" s="178"/>
      <c r="IQ690" s="178"/>
      <c r="IR690" s="178"/>
      <c r="IS690" s="178"/>
      <c r="IT690" s="178"/>
      <c r="IU690" s="178"/>
      <c r="IV690" s="178"/>
      <c r="IW690" s="178"/>
      <c r="IX690" s="178"/>
      <c r="IY690" s="178"/>
      <c r="IZ690" s="178"/>
      <c r="JA690" s="178"/>
      <c r="JB690" s="178"/>
      <c r="JC690" s="178"/>
      <c r="JD690" s="178"/>
    </row>
    <row r="691">
      <c r="IE691" s="178"/>
      <c r="IF691" s="178"/>
      <c r="IG691" s="178"/>
      <c r="IH691" s="178"/>
      <c r="II691" s="178"/>
      <c r="IJ691" s="178"/>
      <c r="IK691" s="178"/>
      <c r="IL691" s="178"/>
      <c r="IM691" s="178"/>
      <c r="IN691" s="178"/>
      <c r="IO691" s="178"/>
      <c r="IP691" s="178"/>
      <c r="IQ691" s="178"/>
      <c r="IR691" s="178"/>
      <c r="IS691" s="178"/>
      <c r="IT691" s="178"/>
      <c r="IU691" s="178"/>
      <c r="IV691" s="178"/>
      <c r="IW691" s="178"/>
      <c r="IX691" s="178"/>
      <c r="IY691" s="178"/>
      <c r="IZ691" s="178"/>
      <c r="JA691" s="178"/>
      <c r="JB691" s="178"/>
      <c r="JC691" s="178"/>
      <c r="JD691" s="178"/>
    </row>
    <row r="692">
      <c r="IE692" s="178"/>
      <c r="IF692" s="178"/>
      <c r="IG692" s="178"/>
      <c r="IH692" s="178"/>
      <c r="II692" s="178"/>
      <c r="IJ692" s="178"/>
      <c r="IK692" s="178"/>
      <c r="IL692" s="178"/>
      <c r="IM692" s="178"/>
      <c r="IN692" s="178"/>
      <c r="IO692" s="178"/>
      <c r="IP692" s="178"/>
      <c r="IQ692" s="178"/>
      <c r="IR692" s="178"/>
      <c r="IS692" s="178"/>
      <c r="IT692" s="178"/>
      <c r="IU692" s="178"/>
      <c r="IV692" s="178"/>
      <c r="IW692" s="178"/>
      <c r="IX692" s="178"/>
      <c r="IY692" s="178"/>
      <c r="IZ692" s="178"/>
      <c r="JA692" s="178"/>
      <c r="JB692" s="178"/>
      <c r="JC692" s="178"/>
      <c r="JD692" s="178"/>
    </row>
    <row r="693">
      <c r="IE693" s="178"/>
      <c r="IF693" s="178"/>
      <c r="IG693" s="178"/>
      <c r="IH693" s="178"/>
      <c r="II693" s="178"/>
      <c r="IJ693" s="178"/>
      <c r="IK693" s="178"/>
      <c r="IL693" s="178"/>
      <c r="IM693" s="178"/>
      <c r="IN693" s="178"/>
      <c r="IO693" s="178"/>
      <c r="IP693" s="178"/>
      <c r="IQ693" s="178"/>
      <c r="IR693" s="178"/>
      <c r="IS693" s="178"/>
      <c r="IT693" s="178"/>
      <c r="IU693" s="178"/>
      <c r="IV693" s="178"/>
      <c r="IW693" s="178"/>
      <c r="IX693" s="178"/>
      <c r="IY693" s="178"/>
      <c r="IZ693" s="178"/>
      <c r="JA693" s="178"/>
      <c r="JB693" s="178"/>
      <c r="JC693" s="178"/>
      <c r="JD693" s="178"/>
    </row>
    <row r="694">
      <c r="IE694" s="178"/>
      <c r="IF694" s="178"/>
      <c r="IG694" s="178"/>
      <c r="IH694" s="178"/>
      <c r="II694" s="178"/>
      <c r="IJ694" s="178"/>
      <c r="IK694" s="178"/>
      <c r="IL694" s="178"/>
      <c r="IM694" s="178"/>
      <c r="IN694" s="178"/>
      <c r="IO694" s="178"/>
      <c r="IP694" s="178"/>
      <c r="IQ694" s="178"/>
      <c r="IR694" s="178"/>
      <c r="IS694" s="178"/>
      <c r="IT694" s="178"/>
      <c r="IU694" s="178"/>
      <c r="IV694" s="178"/>
      <c r="IW694" s="178"/>
      <c r="IX694" s="178"/>
      <c r="IY694" s="178"/>
      <c r="IZ694" s="178"/>
      <c r="JA694" s="178"/>
      <c r="JB694" s="178"/>
      <c r="JC694" s="178"/>
      <c r="JD694" s="178"/>
    </row>
    <row r="695">
      <c r="IE695" s="178"/>
      <c r="IF695" s="178"/>
      <c r="IG695" s="178"/>
      <c r="IH695" s="178"/>
      <c r="II695" s="178"/>
      <c r="IJ695" s="178"/>
      <c r="IK695" s="178"/>
      <c r="IL695" s="178"/>
      <c r="IM695" s="178"/>
      <c r="IN695" s="178"/>
      <c r="IO695" s="178"/>
      <c r="IP695" s="178"/>
      <c r="IQ695" s="178"/>
      <c r="IR695" s="178"/>
      <c r="IS695" s="178"/>
      <c r="IT695" s="178"/>
      <c r="IU695" s="178"/>
      <c r="IV695" s="178"/>
      <c r="IW695" s="178"/>
      <c r="IX695" s="178"/>
      <c r="IY695" s="178"/>
      <c r="IZ695" s="178"/>
      <c r="JA695" s="178"/>
      <c r="JB695" s="178"/>
      <c r="JC695" s="178"/>
      <c r="JD695" s="178"/>
    </row>
    <row r="696">
      <c r="IE696" s="178"/>
      <c r="IF696" s="178"/>
      <c r="IG696" s="178"/>
      <c r="IH696" s="178"/>
      <c r="II696" s="178"/>
      <c r="IJ696" s="178"/>
      <c r="IK696" s="178"/>
      <c r="IL696" s="178"/>
      <c r="IM696" s="178"/>
      <c r="IN696" s="178"/>
      <c r="IO696" s="178"/>
      <c r="IP696" s="178"/>
      <c r="IQ696" s="178"/>
      <c r="IR696" s="178"/>
      <c r="IS696" s="178"/>
      <c r="IT696" s="178"/>
      <c r="IU696" s="178"/>
      <c r="IV696" s="178"/>
      <c r="IW696" s="178"/>
      <c r="IX696" s="178"/>
      <c r="IY696" s="178"/>
      <c r="IZ696" s="178"/>
      <c r="JA696" s="178"/>
      <c r="JB696" s="178"/>
      <c r="JC696" s="178"/>
      <c r="JD696" s="178"/>
    </row>
    <row r="697">
      <c r="IE697" s="178"/>
      <c r="IF697" s="178"/>
      <c r="IG697" s="178"/>
      <c r="IH697" s="178"/>
      <c r="II697" s="178"/>
      <c r="IJ697" s="178"/>
      <c r="IK697" s="178"/>
      <c r="IL697" s="178"/>
      <c r="IM697" s="178"/>
      <c r="IN697" s="178"/>
      <c r="IO697" s="178"/>
      <c r="IP697" s="178"/>
      <c r="IQ697" s="178"/>
      <c r="IR697" s="178"/>
      <c r="IS697" s="178"/>
      <c r="IT697" s="178"/>
      <c r="IU697" s="178"/>
      <c r="IV697" s="178"/>
      <c r="IW697" s="178"/>
      <c r="IX697" s="178"/>
      <c r="IY697" s="178"/>
      <c r="IZ697" s="178"/>
      <c r="JA697" s="178"/>
      <c r="JB697" s="178"/>
      <c r="JC697" s="178"/>
      <c r="JD697" s="178"/>
    </row>
    <row r="698">
      <c r="IE698" s="178"/>
      <c r="IF698" s="178"/>
      <c r="IG698" s="178"/>
      <c r="IH698" s="178"/>
      <c r="II698" s="178"/>
      <c r="IJ698" s="178"/>
      <c r="IK698" s="178"/>
      <c r="IL698" s="178"/>
      <c r="IM698" s="178"/>
      <c r="IN698" s="178"/>
      <c r="IO698" s="178"/>
      <c r="IP698" s="178"/>
      <c r="IQ698" s="178"/>
      <c r="IR698" s="178"/>
      <c r="IS698" s="178"/>
      <c r="IT698" s="178"/>
      <c r="IU698" s="178"/>
      <c r="IV698" s="178"/>
      <c r="IW698" s="178"/>
      <c r="IX698" s="178"/>
      <c r="IY698" s="178"/>
      <c r="IZ698" s="178"/>
      <c r="JA698" s="178"/>
      <c r="JB698" s="178"/>
      <c r="JC698" s="178"/>
      <c r="JD698" s="178"/>
    </row>
    <row r="699">
      <c r="IE699" s="178"/>
      <c r="IF699" s="178"/>
      <c r="IG699" s="178"/>
      <c r="IH699" s="178"/>
      <c r="II699" s="178"/>
      <c r="IJ699" s="178"/>
      <c r="IK699" s="178"/>
      <c r="IL699" s="178"/>
      <c r="IM699" s="178"/>
      <c r="IN699" s="178"/>
      <c r="IO699" s="178"/>
      <c r="IP699" s="178"/>
      <c r="IQ699" s="178"/>
      <c r="IR699" s="178"/>
      <c r="IS699" s="178"/>
      <c r="IT699" s="178"/>
      <c r="IU699" s="178"/>
      <c r="IV699" s="178"/>
      <c r="IW699" s="178"/>
      <c r="IX699" s="178"/>
      <c r="IY699" s="178"/>
      <c r="IZ699" s="178"/>
      <c r="JA699" s="178"/>
      <c r="JB699" s="178"/>
      <c r="JC699" s="178"/>
      <c r="JD699" s="178"/>
    </row>
    <row r="700">
      <c r="IE700" s="178"/>
      <c r="IF700" s="178"/>
      <c r="IG700" s="178"/>
      <c r="IH700" s="178"/>
      <c r="II700" s="178"/>
      <c r="IJ700" s="178"/>
      <c r="IK700" s="178"/>
      <c r="IL700" s="178"/>
      <c r="IM700" s="178"/>
      <c r="IN700" s="178"/>
      <c r="IO700" s="178"/>
      <c r="IP700" s="178"/>
      <c r="IQ700" s="178"/>
      <c r="IR700" s="178"/>
      <c r="IS700" s="178"/>
      <c r="IT700" s="178"/>
      <c r="IU700" s="178"/>
      <c r="IV700" s="178"/>
      <c r="IW700" s="178"/>
      <c r="IX700" s="178"/>
      <c r="IY700" s="178"/>
      <c r="IZ700" s="178"/>
      <c r="JA700" s="178"/>
      <c r="JB700" s="178"/>
      <c r="JC700" s="178"/>
      <c r="JD700" s="178"/>
    </row>
    <row r="701">
      <c r="IE701" s="178"/>
      <c r="IF701" s="178"/>
      <c r="IG701" s="178"/>
      <c r="IH701" s="178"/>
      <c r="II701" s="178"/>
      <c r="IJ701" s="178"/>
      <c r="IK701" s="178"/>
      <c r="IL701" s="178"/>
      <c r="IM701" s="178"/>
      <c r="IN701" s="178"/>
      <c r="IO701" s="178"/>
      <c r="IP701" s="178"/>
      <c r="IQ701" s="178"/>
      <c r="IR701" s="178"/>
      <c r="IS701" s="178"/>
      <c r="IT701" s="178"/>
      <c r="IU701" s="178"/>
      <c r="IV701" s="178"/>
      <c r="IW701" s="178"/>
      <c r="IX701" s="178"/>
      <c r="IY701" s="178"/>
      <c r="IZ701" s="178"/>
      <c r="JA701" s="178"/>
      <c r="JB701" s="178"/>
      <c r="JC701" s="178"/>
      <c r="JD701" s="178"/>
    </row>
    <row r="702">
      <c r="IE702" s="178"/>
      <c r="IF702" s="178"/>
      <c r="IG702" s="178"/>
      <c r="IH702" s="178"/>
      <c r="II702" s="178"/>
      <c r="IJ702" s="178"/>
      <c r="IK702" s="178"/>
      <c r="IL702" s="178"/>
      <c r="IM702" s="178"/>
      <c r="IN702" s="178"/>
      <c r="IO702" s="178"/>
      <c r="IP702" s="178"/>
      <c r="IQ702" s="178"/>
      <c r="IR702" s="178"/>
      <c r="IS702" s="178"/>
      <c r="IT702" s="178"/>
      <c r="IU702" s="178"/>
      <c r="IV702" s="178"/>
      <c r="IW702" s="178"/>
      <c r="IX702" s="178"/>
      <c r="IY702" s="178"/>
      <c r="IZ702" s="178"/>
      <c r="JA702" s="178"/>
      <c r="JB702" s="178"/>
      <c r="JC702" s="178"/>
      <c r="JD702" s="178"/>
    </row>
    <row r="703">
      <c r="IE703" s="178"/>
      <c r="IF703" s="178"/>
      <c r="IG703" s="178"/>
      <c r="IH703" s="178"/>
      <c r="II703" s="178"/>
      <c r="IJ703" s="178"/>
      <c r="IK703" s="178"/>
      <c r="IL703" s="178"/>
      <c r="IM703" s="178"/>
      <c r="IN703" s="178"/>
      <c r="IO703" s="178"/>
      <c r="IP703" s="178"/>
      <c r="IQ703" s="178"/>
      <c r="IR703" s="178"/>
      <c r="IS703" s="178"/>
      <c r="IT703" s="178"/>
      <c r="IU703" s="178"/>
      <c r="IV703" s="178"/>
      <c r="IW703" s="178"/>
      <c r="IX703" s="178"/>
      <c r="IY703" s="178"/>
      <c r="IZ703" s="178"/>
      <c r="JA703" s="178"/>
      <c r="JB703" s="178"/>
      <c r="JC703" s="178"/>
      <c r="JD703" s="178"/>
    </row>
    <row r="704">
      <c r="IE704" s="178"/>
      <c r="IF704" s="178"/>
      <c r="IG704" s="178"/>
      <c r="IH704" s="178"/>
      <c r="II704" s="178"/>
      <c r="IJ704" s="178"/>
      <c r="IK704" s="178"/>
      <c r="IL704" s="178"/>
      <c r="IM704" s="178"/>
      <c r="IN704" s="178"/>
      <c r="IO704" s="178"/>
      <c r="IP704" s="178"/>
      <c r="IQ704" s="178"/>
      <c r="IR704" s="178"/>
      <c r="IS704" s="178"/>
      <c r="IT704" s="178"/>
      <c r="IU704" s="178"/>
      <c r="IV704" s="178"/>
      <c r="IW704" s="178"/>
      <c r="IX704" s="178"/>
      <c r="IY704" s="178"/>
      <c r="IZ704" s="178"/>
      <c r="JA704" s="178"/>
      <c r="JB704" s="178"/>
      <c r="JC704" s="178"/>
      <c r="JD704" s="178"/>
    </row>
    <row r="705">
      <c r="IE705" s="178"/>
      <c r="IF705" s="178"/>
      <c r="IG705" s="178"/>
      <c r="IH705" s="178"/>
      <c r="II705" s="178"/>
      <c r="IJ705" s="178"/>
      <c r="IK705" s="178"/>
      <c r="IL705" s="178"/>
      <c r="IM705" s="178"/>
      <c r="IN705" s="178"/>
      <c r="IO705" s="178"/>
      <c r="IP705" s="178"/>
      <c r="IQ705" s="178"/>
      <c r="IR705" s="178"/>
      <c r="IS705" s="178"/>
      <c r="IT705" s="178"/>
      <c r="IU705" s="178"/>
      <c r="IV705" s="178"/>
      <c r="IW705" s="178"/>
      <c r="IX705" s="178"/>
      <c r="IY705" s="178"/>
      <c r="IZ705" s="178"/>
      <c r="JA705" s="178"/>
      <c r="JB705" s="178"/>
      <c r="JC705" s="178"/>
      <c r="JD705" s="178"/>
    </row>
    <row r="706">
      <c r="IE706" s="178"/>
      <c r="IF706" s="178"/>
      <c r="IG706" s="178"/>
      <c r="IH706" s="178"/>
      <c r="II706" s="178"/>
      <c r="IJ706" s="178"/>
      <c r="IK706" s="178"/>
      <c r="IL706" s="178"/>
      <c r="IM706" s="178"/>
      <c r="IN706" s="178"/>
      <c r="IO706" s="178"/>
      <c r="IP706" s="178"/>
      <c r="IQ706" s="178"/>
      <c r="IR706" s="178"/>
      <c r="IS706" s="178"/>
      <c r="IT706" s="178"/>
      <c r="IU706" s="178"/>
      <c r="IV706" s="178"/>
      <c r="IW706" s="178"/>
      <c r="IX706" s="178"/>
      <c r="IY706" s="178"/>
      <c r="IZ706" s="178"/>
      <c r="JA706" s="178"/>
      <c r="JB706" s="178"/>
      <c r="JC706" s="178"/>
      <c r="JD706" s="178"/>
    </row>
    <row r="707">
      <c r="IE707" s="178"/>
      <c r="IF707" s="178"/>
      <c r="IG707" s="178"/>
      <c r="IH707" s="178"/>
      <c r="II707" s="178"/>
      <c r="IJ707" s="178"/>
      <c r="IK707" s="178"/>
      <c r="IL707" s="178"/>
      <c r="IM707" s="178"/>
      <c r="IN707" s="178"/>
      <c r="IO707" s="178"/>
      <c r="IP707" s="178"/>
      <c r="IQ707" s="178"/>
      <c r="IR707" s="178"/>
      <c r="IS707" s="178"/>
      <c r="IT707" s="178"/>
      <c r="IU707" s="178"/>
      <c r="IV707" s="178"/>
      <c r="IW707" s="178"/>
      <c r="IX707" s="178"/>
      <c r="IY707" s="178"/>
      <c r="IZ707" s="178"/>
      <c r="JA707" s="178"/>
      <c r="JB707" s="178"/>
      <c r="JC707" s="178"/>
      <c r="JD707" s="178"/>
    </row>
    <row r="708">
      <c r="IE708" s="178"/>
      <c r="IF708" s="178"/>
      <c r="IG708" s="178"/>
      <c r="IH708" s="178"/>
      <c r="II708" s="178"/>
      <c r="IJ708" s="178"/>
      <c r="IK708" s="178"/>
      <c r="IL708" s="178"/>
      <c r="IM708" s="178"/>
      <c r="IN708" s="178"/>
      <c r="IO708" s="178"/>
      <c r="IP708" s="178"/>
      <c r="IQ708" s="178"/>
      <c r="IR708" s="178"/>
      <c r="IS708" s="178"/>
      <c r="IT708" s="178"/>
      <c r="IU708" s="178"/>
      <c r="IV708" s="178"/>
      <c r="IW708" s="178"/>
      <c r="IX708" s="178"/>
      <c r="IY708" s="178"/>
      <c r="IZ708" s="178"/>
      <c r="JA708" s="178"/>
      <c r="JB708" s="178"/>
      <c r="JC708" s="178"/>
      <c r="JD708" s="178"/>
    </row>
    <row r="709">
      <c r="IE709" s="178"/>
      <c r="IF709" s="178"/>
      <c r="IG709" s="178"/>
      <c r="IH709" s="178"/>
      <c r="II709" s="178"/>
      <c r="IJ709" s="178"/>
      <c r="IK709" s="178"/>
      <c r="IL709" s="178"/>
      <c r="IM709" s="178"/>
      <c r="IN709" s="178"/>
      <c r="IO709" s="178"/>
      <c r="IP709" s="178"/>
      <c r="IQ709" s="178"/>
      <c r="IR709" s="178"/>
      <c r="IS709" s="178"/>
      <c r="IT709" s="178"/>
      <c r="IU709" s="178"/>
      <c r="IV709" s="178"/>
      <c r="IW709" s="178"/>
      <c r="IX709" s="178"/>
      <c r="IY709" s="178"/>
      <c r="IZ709" s="178"/>
      <c r="JA709" s="178"/>
      <c r="JB709" s="178"/>
      <c r="JC709" s="178"/>
      <c r="JD709" s="178"/>
    </row>
    <row r="710">
      <c r="IE710" s="178"/>
      <c r="IF710" s="178"/>
      <c r="IG710" s="178"/>
      <c r="IH710" s="178"/>
      <c r="II710" s="178"/>
      <c r="IJ710" s="178"/>
      <c r="IK710" s="178"/>
      <c r="IL710" s="178"/>
      <c r="IM710" s="178"/>
      <c r="IN710" s="178"/>
      <c r="IO710" s="178"/>
      <c r="IP710" s="178"/>
      <c r="IQ710" s="178"/>
      <c r="IR710" s="178"/>
      <c r="IS710" s="178"/>
      <c r="IT710" s="178"/>
      <c r="IU710" s="178"/>
      <c r="IV710" s="178"/>
      <c r="IW710" s="178"/>
      <c r="IX710" s="178"/>
      <c r="IY710" s="178"/>
      <c r="IZ710" s="178"/>
      <c r="JA710" s="178"/>
      <c r="JB710" s="178"/>
      <c r="JC710" s="178"/>
      <c r="JD710" s="178"/>
    </row>
    <row r="711">
      <c r="IE711" s="178"/>
      <c r="IF711" s="178"/>
      <c r="IG711" s="178"/>
      <c r="IH711" s="178"/>
      <c r="II711" s="178"/>
      <c r="IJ711" s="178"/>
      <c r="IK711" s="178"/>
      <c r="IL711" s="178"/>
      <c r="IM711" s="178"/>
      <c r="IN711" s="178"/>
      <c r="IO711" s="178"/>
      <c r="IP711" s="178"/>
      <c r="IQ711" s="178"/>
      <c r="IR711" s="178"/>
      <c r="IS711" s="178"/>
      <c r="IT711" s="178"/>
      <c r="IU711" s="178"/>
      <c r="IV711" s="178"/>
      <c r="IW711" s="178"/>
      <c r="IX711" s="178"/>
      <c r="IY711" s="178"/>
      <c r="IZ711" s="178"/>
      <c r="JA711" s="178"/>
      <c r="JB711" s="178"/>
      <c r="JC711" s="178"/>
      <c r="JD711" s="178"/>
    </row>
    <row r="712">
      <c r="IE712" s="178"/>
      <c r="IF712" s="178"/>
      <c r="IG712" s="178"/>
      <c r="IH712" s="178"/>
      <c r="II712" s="178"/>
      <c r="IJ712" s="178"/>
      <c r="IK712" s="178"/>
      <c r="IL712" s="178"/>
      <c r="IM712" s="178"/>
      <c r="IN712" s="178"/>
      <c r="IO712" s="178"/>
      <c r="IP712" s="178"/>
      <c r="IQ712" s="178"/>
      <c r="IR712" s="178"/>
      <c r="IS712" s="178"/>
      <c r="IT712" s="178"/>
      <c r="IU712" s="178"/>
      <c r="IV712" s="178"/>
      <c r="IW712" s="178"/>
      <c r="IX712" s="178"/>
      <c r="IY712" s="178"/>
      <c r="IZ712" s="178"/>
      <c r="JA712" s="178"/>
      <c r="JB712" s="178"/>
      <c r="JC712" s="178"/>
      <c r="JD712" s="178"/>
    </row>
    <row r="713">
      <c r="IE713" s="178"/>
      <c r="IF713" s="178"/>
      <c r="IG713" s="178"/>
      <c r="IH713" s="178"/>
      <c r="II713" s="178"/>
      <c r="IJ713" s="178"/>
      <c r="IK713" s="178"/>
      <c r="IL713" s="178"/>
      <c r="IM713" s="178"/>
      <c r="IN713" s="178"/>
      <c r="IO713" s="178"/>
      <c r="IP713" s="178"/>
      <c r="IQ713" s="178"/>
      <c r="IR713" s="178"/>
      <c r="IS713" s="178"/>
      <c r="IT713" s="178"/>
      <c r="IU713" s="178"/>
      <c r="IV713" s="178"/>
      <c r="IW713" s="178"/>
      <c r="IX713" s="178"/>
      <c r="IY713" s="178"/>
      <c r="IZ713" s="178"/>
      <c r="JA713" s="178"/>
      <c r="JB713" s="178"/>
      <c r="JC713" s="178"/>
      <c r="JD713" s="178"/>
    </row>
    <row r="714">
      <c r="IE714" s="178"/>
      <c r="IF714" s="178"/>
      <c r="IG714" s="178"/>
      <c r="IH714" s="178"/>
      <c r="II714" s="178"/>
      <c r="IJ714" s="178"/>
      <c r="IK714" s="178"/>
      <c r="IL714" s="178"/>
      <c r="IM714" s="178"/>
      <c r="IN714" s="178"/>
      <c r="IO714" s="178"/>
      <c r="IP714" s="178"/>
      <c r="IQ714" s="178"/>
      <c r="IR714" s="178"/>
      <c r="IS714" s="178"/>
      <c r="IT714" s="178"/>
      <c r="IU714" s="178"/>
      <c r="IV714" s="178"/>
      <c r="IW714" s="178"/>
      <c r="IX714" s="178"/>
      <c r="IY714" s="178"/>
      <c r="IZ714" s="178"/>
      <c r="JA714" s="178"/>
      <c r="JB714" s="178"/>
      <c r="JC714" s="178"/>
      <c r="JD714" s="178"/>
    </row>
    <row r="715">
      <c r="IE715" s="178"/>
      <c r="IF715" s="178"/>
      <c r="IG715" s="178"/>
      <c r="IH715" s="178"/>
      <c r="II715" s="178"/>
      <c r="IJ715" s="178"/>
      <c r="IK715" s="178"/>
      <c r="IL715" s="178"/>
      <c r="IM715" s="178"/>
      <c r="IN715" s="178"/>
      <c r="IO715" s="178"/>
      <c r="IP715" s="178"/>
      <c r="IQ715" s="178"/>
      <c r="IR715" s="178"/>
      <c r="IS715" s="178"/>
      <c r="IT715" s="178"/>
      <c r="IU715" s="178"/>
      <c r="IV715" s="178"/>
      <c r="IW715" s="178"/>
      <c r="IX715" s="178"/>
      <c r="IY715" s="178"/>
      <c r="IZ715" s="178"/>
      <c r="JA715" s="178"/>
      <c r="JB715" s="178"/>
      <c r="JC715" s="178"/>
      <c r="JD715" s="178"/>
    </row>
    <row r="716">
      <c r="IE716" s="178"/>
      <c r="IF716" s="178"/>
      <c r="IG716" s="178"/>
      <c r="IH716" s="178"/>
      <c r="II716" s="178"/>
      <c r="IJ716" s="178"/>
      <c r="IK716" s="178"/>
      <c r="IL716" s="178"/>
      <c r="IM716" s="178"/>
      <c r="IN716" s="178"/>
      <c r="IO716" s="178"/>
      <c r="IP716" s="178"/>
      <c r="IQ716" s="178"/>
      <c r="IR716" s="178"/>
      <c r="IS716" s="178"/>
      <c r="IT716" s="178"/>
      <c r="IU716" s="178"/>
      <c r="IV716" s="178"/>
      <c r="IW716" s="178"/>
      <c r="IX716" s="178"/>
      <c r="IY716" s="178"/>
      <c r="IZ716" s="178"/>
      <c r="JA716" s="178"/>
      <c r="JB716" s="178"/>
      <c r="JC716" s="178"/>
      <c r="JD716" s="178"/>
    </row>
    <row r="717">
      <c r="IE717" s="178"/>
      <c r="IF717" s="178"/>
      <c r="IG717" s="178"/>
      <c r="IH717" s="178"/>
      <c r="II717" s="178"/>
      <c r="IJ717" s="178"/>
      <c r="IK717" s="178"/>
      <c r="IL717" s="178"/>
      <c r="IM717" s="178"/>
      <c r="IN717" s="178"/>
      <c r="IO717" s="178"/>
      <c r="IP717" s="178"/>
      <c r="IQ717" s="178"/>
      <c r="IR717" s="178"/>
      <c r="IS717" s="178"/>
      <c r="IT717" s="178"/>
      <c r="IU717" s="178"/>
      <c r="IV717" s="178"/>
      <c r="IW717" s="178"/>
      <c r="IX717" s="178"/>
      <c r="IY717" s="178"/>
      <c r="IZ717" s="178"/>
      <c r="JA717" s="178"/>
      <c r="JB717" s="178"/>
      <c r="JC717" s="178"/>
      <c r="JD717" s="178"/>
    </row>
    <row r="718">
      <c r="IE718" s="178"/>
      <c r="IF718" s="178"/>
      <c r="IG718" s="178"/>
      <c r="IH718" s="178"/>
      <c r="II718" s="178"/>
      <c r="IJ718" s="178"/>
      <c r="IK718" s="178"/>
      <c r="IL718" s="178"/>
      <c r="IM718" s="178"/>
      <c r="IN718" s="178"/>
      <c r="IO718" s="178"/>
      <c r="IP718" s="178"/>
      <c r="IQ718" s="178"/>
      <c r="IR718" s="178"/>
      <c r="IS718" s="178"/>
      <c r="IT718" s="178"/>
      <c r="IU718" s="178"/>
      <c r="IV718" s="178"/>
      <c r="IW718" s="178"/>
      <c r="IX718" s="178"/>
      <c r="IY718" s="178"/>
      <c r="IZ718" s="178"/>
      <c r="JA718" s="178"/>
      <c r="JB718" s="178"/>
      <c r="JC718" s="178"/>
      <c r="JD718" s="178"/>
    </row>
    <row r="719">
      <c r="IE719" s="178"/>
      <c r="IF719" s="178"/>
      <c r="IG719" s="178"/>
      <c r="IH719" s="178"/>
      <c r="II719" s="178"/>
      <c r="IJ719" s="178"/>
      <c r="IK719" s="178"/>
      <c r="IL719" s="178"/>
      <c r="IM719" s="178"/>
      <c r="IN719" s="178"/>
      <c r="IO719" s="178"/>
      <c r="IP719" s="178"/>
      <c r="IQ719" s="178"/>
      <c r="IR719" s="178"/>
      <c r="IS719" s="178"/>
      <c r="IT719" s="178"/>
      <c r="IU719" s="178"/>
      <c r="IV719" s="178"/>
      <c r="IW719" s="178"/>
      <c r="IX719" s="178"/>
      <c r="IY719" s="178"/>
      <c r="IZ719" s="178"/>
      <c r="JA719" s="178"/>
      <c r="JB719" s="178"/>
      <c r="JC719" s="178"/>
      <c r="JD719" s="178"/>
    </row>
    <row r="720">
      <c r="IE720" s="178"/>
      <c r="IF720" s="178"/>
      <c r="IG720" s="178"/>
      <c r="IH720" s="178"/>
      <c r="II720" s="178"/>
      <c r="IJ720" s="178"/>
      <c r="IK720" s="178"/>
      <c r="IL720" s="178"/>
      <c r="IM720" s="178"/>
      <c r="IN720" s="178"/>
      <c r="IO720" s="178"/>
      <c r="IP720" s="178"/>
      <c r="IQ720" s="178"/>
      <c r="IR720" s="178"/>
      <c r="IS720" s="178"/>
      <c r="IT720" s="178"/>
      <c r="IU720" s="178"/>
      <c r="IV720" s="178"/>
      <c r="IW720" s="178"/>
      <c r="IX720" s="178"/>
      <c r="IY720" s="178"/>
      <c r="IZ720" s="178"/>
      <c r="JA720" s="178"/>
      <c r="JB720" s="178"/>
      <c r="JC720" s="178"/>
      <c r="JD720" s="178"/>
    </row>
    <row r="721">
      <c r="IE721" s="178"/>
      <c r="IF721" s="178"/>
      <c r="IG721" s="178"/>
      <c r="IH721" s="178"/>
      <c r="II721" s="178"/>
      <c r="IJ721" s="178"/>
      <c r="IK721" s="178"/>
      <c r="IL721" s="178"/>
      <c r="IM721" s="178"/>
      <c r="IN721" s="178"/>
      <c r="IO721" s="178"/>
      <c r="IP721" s="178"/>
      <c r="IQ721" s="178"/>
      <c r="IR721" s="178"/>
      <c r="IS721" s="178"/>
      <c r="IT721" s="178"/>
      <c r="IU721" s="178"/>
      <c r="IV721" s="178"/>
      <c r="IW721" s="178"/>
      <c r="IX721" s="178"/>
      <c r="IY721" s="178"/>
      <c r="IZ721" s="178"/>
      <c r="JA721" s="178"/>
      <c r="JB721" s="178"/>
      <c r="JC721" s="178"/>
      <c r="JD721" s="178"/>
    </row>
    <row r="722">
      <c r="IE722" s="178"/>
      <c r="IF722" s="178"/>
      <c r="IG722" s="178"/>
      <c r="IH722" s="178"/>
      <c r="II722" s="178"/>
      <c r="IJ722" s="178"/>
      <c r="IK722" s="178"/>
      <c r="IL722" s="178"/>
      <c r="IM722" s="178"/>
      <c r="IN722" s="178"/>
      <c r="IO722" s="178"/>
      <c r="IP722" s="178"/>
      <c r="IQ722" s="178"/>
      <c r="IR722" s="178"/>
      <c r="IS722" s="178"/>
      <c r="IT722" s="178"/>
      <c r="IU722" s="178"/>
      <c r="IV722" s="178"/>
      <c r="IW722" s="178"/>
      <c r="IX722" s="178"/>
      <c r="IY722" s="178"/>
      <c r="IZ722" s="178"/>
      <c r="JA722" s="178"/>
      <c r="JB722" s="178"/>
      <c r="JC722" s="178"/>
      <c r="JD722" s="178"/>
    </row>
    <row r="723">
      <c r="IE723" s="178"/>
      <c r="IF723" s="178"/>
      <c r="IG723" s="178"/>
      <c r="IH723" s="178"/>
      <c r="II723" s="178"/>
      <c r="IJ723" s="178"/>
      <c r="IK723" s="178"/>
      <c r="IL723" s="178"/>
      <c r="IM723" s="178"/>
      <c r="IN723" s="178"/>
      <c r="IO723" s="178"/>
      <c r="IP723" s="178"/>
      <c r="IQ723" s="178"/>
      <c r="IR723" s="178"/>
      <c r="IS723" s="178"/>
      <c r="IT723" s="178"/>
      <c r="IU723" s="178"/>
      <c r="IV723" s="178"/>
      <c r="IW723" s="178"/>
      <c r="IX723" s="178"/>
      <c r="IY723" s="178"/>
      <c r="IZ723" s="178"/>
      <c r="JA723" s="178"/>
      <c r="JB723" s="178"/>
      <c r="JC723" s="178"/>
      <c r="JD723" s="178"/>
    </row>
    <row r="724">
      <c r="IE724" s="178"/>
      <c r="IF724" s="178"/>
      <c r="IG724" s="178"/>
      <c r="IH724" s="178"/>
      <c r="II724" s="178"/>
      <c r="IJ724" s="178"/>
      <c r="IK724" s="178"/>
      <c r="IL724" s="178"/>
      <c r="IM724" s="178"/>
      <c r="IN724" s="178"/>
      <c r="IO724" s="178"/>
      <c r="IP724" s="178"/>
      <c r="IQ724" s="178"/>
      <c r="IR724" s="178"/>
      <c r="IS724" s="178"/>
      <c r="IT724" s="178"/>
      <c r="IU724" s="178"/>
      <c r="IV724" s="178"/>
      <c r="IW724" s="178"/>
      <c r="IX724" s="178"/>
      <c r="IY724" s="178"/>
      <c r="IZ724" s="178"/>
      <c r="JA724" s="178"/>
      <c r="JB724" s="178"/>
      <c r="JC724" s="178"/>
      <c r="JD724" s="178"/>
    </row>
    <row r="725">
      <c r="IE725" s="178"/>
      <c r="IF725" s="178"/>
      <c r="IG725" s="178"/>
      <c r="IH725" s="178"/>
      <c r="II725" s="178"/>
      <c r="IJ725" s="178"/>
      <c r="IK725" s="178"/>
      <c r="IL725" s="178"/>
      <c r="IM725" s="178"/>
      <c r="IN725" s="178"/>
      <c r="IO725" s="178"/>
      <c r="IP725" s="178"/>
      <c r="IQ725" s="178"/>
      <c r="IR725" s="178"/>
      <c r="IS725" s="178"/>
      <c r="IT725" s="178"/>
      <c r="IU725" s="178"/>
      <c r="IV725" s="178"/>
      <c r="IW725" s="178"/>
      <c r="IX725" s="178"/>
      <c r="IY725" s="178"/>
      <c r="IZ725" s="178"/>
      <c r="JA725" s="178"/>
      <c r="JB725" s="178"/>
      <c r="JC725" s="178"/>
      <c r="JD725" s="178"/>
    </row>
    <row r="726">
      <c r="IE726" s="178"/>
      <c r="IF726" s="178"/>
      <c r="IG726" s="178"/>
      <c r="IH726" s="178"/>
      <c r="II726" s="178"/>
      <c r="IJ726" s="178"/>
      <c r="IK726" s="178"/>
      <c r="IL726" s="178"/>
      <c r="IM726" s="178"/>
      <c r="IN726" s="178"/>
      <c r="IO726" s="178"/>
      <c r="IP726" s="178"/>
      <c r="IQ726" s="178"/>
      <c r="IR726" s="178"/>
      <c r="IS726" s="178"/>
      <c r="IT726" s="178"/>
      <c r="IU726" s="178"/>
      <c r="IV726" s="178"/>
      <c r="IW726" s="178"/>
      <c r="IX726" s="178"/>
      <c r="IY726" s="178"/>
      <c r="IZ726" s="178"/>
      <c r="JA726" s="178"/>
      <c r="JB726" s="178"/>
      <c r="JC726" s="178"/>
      <c r="JD726" s="178"/>
    </row>
    <row r="727">
      <c r="IE727" s="178"/>
      <c r="IF727" s="178"/>
      <c r="IG727" s="178"/>
      <c r="IH727" s="178"/>
      <c r="II727" s="178"/>
      <c r="IJ727" s="178"/>
      <c r="IK727" s="178"/>
      <c r="IL727" s="178"/>
      <c r="IM727" s="178"/>
      <c r="IN727" s="178"/>
      <c r="IO727" s="178"/>
      <c r="IP727" s="178"/>
      <c r="IQ727" s="178"/>
      <c r="IR727" s="178"/>
      <c r="IS727" s="178"/>
      <c r="IT727" s="178"/>
      <c r="IU727" s="178"/>
      <c r="IV727" s="178"/>
      <c r="IW727" s="178"/>
      <c r="IX727" s="178"/>
      <c r="IY727" s="178"/>
      <c r="IZ727" s="178"/>
      <c r="JA727" s="178"/>
      <c r="JB727" s="178"/>
      <c r="JC727" s="178"/>
      <c r="JD727" s="178"/>
    </row>
    <row r="728">
      <c r="IE728" s="178"/>
      <c r="IF728" s="178"/>
      <c r="IG728" s="178"/>
      <c r="IH728" s="178"/>
      <c r="II728" s="178"/>
      <c r="IJ728" s="178"/>
      <c r="IK728" s="178"/>
      <c r="IL728" s="178"/>
      <c r="IM728" s="178"/>
      <c r="IN728" s="178"/>
      <c r="IO728" s="178"/>
      <c r="IP728" s="178"/>
      <c r="IQ728" s="178"/>
      <c r="IR728" s="178"/>
      <c r="IS728" s="178"/>
      <c r="IT728" s="178"/>
      <c r="IU728" s="178"/>
      <c r="IV728" s="178"/>
      <c r="IW728" s="178"/>
      <c r="IX728" s="178"/>
      <c r="IY728" s="178"/>
      <c r="IZ728" s="178"/>
      <c r="JA728" s="178"/>
      <c r="JB728" s="178"/>
      <c r="JC728" s="178"/>
      <c r="JD728" s="178"/>
    </row>
    <row r="729">
      <c r="IE729" s="178"/>
      <c r="IF729" s="178"/>
      <c r="IG729" s="178"/>
      <c r="IH729" s="178"/>
      <c r="II729" s="178"/>
      <c r="IJ729" s="178"/>
      <c r="IK729" s="178"/>
      <c r="IL729" s="178"/>
      <c r="IM729" s="178"/>
      <c r="IN729" s="178"/>
      <c r="IO729" s="178"/>
      <c r="IP729" s="178"/>
      <c r="IQ729" s="178"/>
      <c r="IR729" s="178"/>
      <c r="IS729" s="178"/>
      <c r="IT729" s="178"/>
      <c r="IU729" s="178"/>
      <c r="IV729" s="178"/>
      <c r="IW729" s="178"/>
      <c r="IX729" s="178"/>
      <c r="IY729" s="178"/>
      <c r="IZ729" s="178"/>
      <c r="JA729" s="178"/>
      <c r="JB729" s="178"/>
      <c r="JC729" s="178"/>
      <c r="JD729" s="178"/>
    </row>
    <row r="730">
      <c r="IE730" s="178"/>
      <c r="IF730" s="178"/>
      <c r="IG730" s="178"/>
      <c r="IH730" s="178"/>
      <c r="II730" s="178"/>
      <c r="IJ730" s="178"/>
      <c r="IK730" s="178"/>
      <c r="IL730" s="178"/>
      <c r="IM730" s="178"/>
      <c r="IN730" s="178"/>
      <c r="IO730" s="178"/>
      <c r="IP730" s="178"/>
      <c r="IQ730" s="178"/>
      <c r="IR730" s="178"/>
      <c r="IS730" s="178"/>
      <c r="IT730" s="178"/>
      <c r="IU730" s="178"/>
      <c r="IV730" s="178"/>
      <c r="IW730" s="178"/>
      <c r="IX730" s="178"/>
      <c r="IY730" s="178"/>
      <c r="IZ730" s="178"/>
      <c r="JA730" s="178"/>
      <c r="JB730" s="178"/>
      <c r="JC730" s="178"/>
      <c r="JD730" s="178"/>
    </row>
    <row r="731">
      <c r="IE731" s="178"/>
      <c r="IF731" s="178"/>
      <c r="IG731" s="178"/>
      <c r="IH731" s="178"/>
      <c r="II731" s="178"/>
      <c r="IJ731" s="178"/>
      <c r="IK731" s="178"/>
      <c r="IL731" s="178"/>
      <c r="IM731" s="178"/>
      <c r="IN731" s="178"/>
      <c r="IO731" s="178"/>
      <c r="IP731" s="178"/>
      <c r="IQ731" s="178"/>
      <c r="IR731" s="178"/>
      <c r="IS731" s="178"/>
      <c r="IT731" s="178"/>
      <c r="IU731" s="178"/>
      <c r="IV731" s="178"/>
      <c r="IW731" s="178"/>
      <c r="IX731" s="178"/>
      <c r="IY731" s="178"/>
      <c r="IZ731" s="178"/>
      <c r="JA731" s="178"/>
      <c r="JB731" s="178"/>
      <c r="JC731" s="178"/>
      <c r="JD731" s="178"/>
    </row>
    <row r="732">
      <c r="IE732" s="178"/>
      <c r="IF732" s="178"/>
      <c r="IG732" s="178"/>
      <c r="IH732" s="178"/>
      <c r="II732" s="178"/>
      <c r="IJ732" s="178"/>
      <c r="IK732" s="178"/>
      <c r="IL732" s="178"/>
      <c r="IM732" s="178"/>
      <c r="IN732" s="178"/>
      <c r="IO732" s="178"/>
      <c r="IP732" s="178"/>
      <c r="IQ732" s="178"/>
      <c r="IR732" s="178"/>
      <c r="IS732" s="178"/>
      <c r="IT732" s="178"/>
      <c r="IU732" s="178"/>
      <c r="IV732" s="178"/>
      <c r="IW732" s="178"/>
      <c r="IX732" s="178"/>
      <c r="IY732" s="178"/>
      <c r="IZ732" s="178"/>
      <c r="JA732" s="178"/>
      <c r="JB732" s="178"/>
      <c r="JC732" s="178"/>
      <c r="JD732" s="178"/>
    </row>
    <row r="733">
      <c r="IE733" s="178"/>
      <c r="IF733" s="178"/>
      <c r="IG733" s="178"/>
      <c r="IH733" s="178"/>
      <c r="II733" s="178"/>
      <c r="IJ733" s="178"/>
      <c r="IK733" s="178"/>
      <c r="IL733" s="178"/>
      <c r="IM733" s="178"/>
      <c r="IN733" s="178"/>
      <c r="IO733" s="178"/>
      <c r="IP733" s="178"/>
      <c r="IQ733" s="178"/>
      <c r="IR733" s="178"/>
      <c r="IS733" s="178"/>
      <c r="IT733" s="178"/>
      <c r="IU733" s="178"/>
      <c r="IV733" s="178"/>
      <c r="IW733" s="178"/>
      <c r="IX733" s="178"/>
      <c r="IY733" s="178"/>
      <c r="IZ733" s="178"/>
      <c r="JA733" s="178"/>
      <c r="JB733" s="178"/>
      <c r="JC733" s="178"/>
      <c r="JD733" s="178"/>
    </row>
    <row r="734">
      <c r="IE734" s="178"/>
      <c r="IF734" s="178"/>
      <c r="IG734" s="178"/>
      <c r="IH734" s="178"/>
      <c r="II734" s="178"/>
      <c r="IJ734" s="178"/>
      <c r="IK734" s="178"/>
      <c r="IL734" s="178"/>
      <c r="IM734" s="178"/>
      <c r="IN734" s="178"/>
      <c r="IO734" s="178"/>
      <c r="IP734" s="178"/>
      <c r="IQ734" s="178"/>
      <c r="IR734" s="178"/>
      <c r="IS734" s="178"/>
      <c r="IT734" s="178"/>
      <c r="IU734" s="178"/>
      <c r="IV734" s="178"/>
      <c r="IW734" s="178"/>
      <c r="IX734" s="178"/>
      <c r="IY734" s="178"/>
      <c r="IZ734" s="178"/>
      <c r="JA734" s="178"/>
      <c r="JB734" s="178"/>
      <c r="JC734" s="178"/>
      <c r="JD734" s="178"/>
    </row>
    <row r="735">
      <c r="IE735" s="178"/>
      <c r="IF735" s="178"/>
      <c r="IG735" s="178"/>
      <c r="IH735" s="178"/>
      <c r="II735" s="178"/>
      <c r="IJ735" s="178"/>
      <c r="IK735" s="178"/>
      <c r="IL735" s="178"/>
      <c r="IM735" s="178"/>
      <c r="IN735" s="178"/>
      <c r="IO735" s="178"/>
      <c r="IP735" s="178"/>
      <c r="IQ735" s="178"/>
      <c r="IR735" s="178"/>
      <c r="IS735" s="178"/>
      <c r="IT735" s="178"/>
      <c r="IU735" s="178"/>
      <c r="IV735" s="178"/>
      <c r="IW735" s="178"/>
      <c r="IX735" s="178"/>
      <c r="IY735" s="178"/>
      <c r="IZ735" s="178"/>
      <c r="JA735" s="178"/>
      <c r="JB735" s="178"/>
      <c r="JC735" s="178"/>
      <c r="JD735" s="178"/>
    </row>
    <row r="736">
      <c r="IE736" s="178"/>
      <c r="IF736" s="178"/>
      <c r="IG736" s="178"/>
      <c r="IH736" s="178"/>
      <c r="II736" s="178"/>
      <c r="IJ736" s="178"/>
      <c r="IK736" s="178"/>
      <c r="IL736" s="178"/>
      <c r="IM736" s="178"/>
      <c r="IN736" s="178"/>
      <c r="IO736" s="178"/>
      <c r="IP736" s="178"/>
      <c r="IQ736" s="178"/>
      <c r="IR736" s="178"/>
      <c r="IS736" s="178"/>
      <c r="IT736" s="178"/>
      <c r="IU736" s="178"/>
      <c r="IV736" s="178"/>
      <c r="IW736" s="178"/>
      <c r="IX736" s="178"/>
      <c r="IY736" s="178"/>
      <c r="IZ736" s="178"/>
      <c r="JA736" s="178"/>
      <c r="JB736" s="178"/>
      <c r="JC736" s="178"/>
      <c r="JD736" s="178"/>
    </row>
    <row r="737">
      <c r="IE737" s="178"/>
      <c r="IF737" s="178"/>
      <c r="IG737" s="178"/>
      <c r="IH737" s="178"/>
      <c r="II737" s="178"/>
      <c r="IJ737" s="178"/>
      <c r="IK737" s="178"/>
      <c r="IL737" s="178"/>
      <c r="IM737" s="178"/>
      <c r="IN737" s="178"/>
      <c r="IO737" s="178"/>
      <c r="IP737" s="178"/>
      <c r="IQ737" s="178"/>
      <c r="IR737" s="178"/>
      <c r="IS737" s="178"/>
      <c r="IT737" s="178"/>
      <c r="IU737" s="178"/>
      <c r="IV737" s="178"/>
      <c r="IW737" s="178"/>
      <c r="IX737" s="178"/>
      <c r="IY737" s="178"/>
      <c r="IZ737" s="178"/>
      <c r="JA737" s="178"/>
      <c r="JB737" s="178"/>
      <c r="JC737" s="178"/>
      <c r="JD737" s="178"/>
    </row>
    <row r="738">
      <c r="IE738" s="178"/>
      <c r="IF738" s="178"/>
      <c r="IG738" s="178"/>
      <c r="IH738" s="178"/>
      <c r="II738" s="178"/>
      <c r="IJ738" s="178"/>
      <c r="IK738" s="178"/>
      <c r="IL738" s="178"/>
      <c r="IM738" s="178"/>
      <c r="IN738" s="178"/>
      <c r="IO738" s="178"/>
      <c r="IP738" s="178"/>
      <c r="IQ738" s="178"/>
      <c r="IR738" s="178"/>
      <c r="IS738" s="178"/>
      <c r="IT738" s="178"/>
      <c r="IU738" s="178"/>
      <c r="IV738" s="178"/>
      <c r="IW738" s="178"/>
      <c r="IX738" s="178"/>
      <c r="IY738" s="178"/>
      <c r="IZ738" s="178"/>
      <c r="JA738" s="178"/>
      <c r="JB738" s="178"/>
      <c r="JC738" s="178"/>
      <c r="JD738" s="178"/>
    </row>
    <row r="739">
      <c r="IE739" s="178"/>
      <c r="IF739" s="178"/>
      <c r="IG739" s="178"/>
      <c r="IH739" s="178"/>
      <c r="II739" s="178"/>
      <c r="IJ739" s="178"/>
      <c r="IK739" s="178"/>
      <c r="IL739" s="178"/>
      <c r="IM739" s="178"/>
      <c r="IN739" s="178"/>
      <c r="IO739" s="178"/>
      <c r="IP739" s="178"/>
      <c r="IQ739" s="178"/>
      <c r="IR739" s="178"/>
      <c r="IS739" s="178"/>
      <c r="IT739" s="178"/>
      <c r="IU739" s="178"/>
      <c r="IV739" s="178"/>
      <c r="IW739" s="178"/>
      <c r="IX739" s="178"/>
      <c r="IY739" s="178"/>
      <c r="IZ739" s="178"/>
      <c r="JA739" s="178"/>
      <c r="JB739" s="178"/>
      <c r="JC739" s="178"/>
      <c r="JD739" s="178"/>
    </row>
    <row r="740">
      <c r="IE740" s="178"/>
      <c r="IF740" s="178"/>
      <c r="IG740" s="178"/>
      <c r="IH740" s="178"/>
      <c r="II740" s="178"/>
      <c r="IJ740" s="178"/>
      <c r="IK740" s="178"/>
      <c r="IL740" s="178"/>
      <c r="IM740" s="178"/>
      <c r="IN740" s="178"/>
      <c r="IO740" s="178"/>
      <c r="IP740" s="178"/>
      <c r="IQ740" s="178"/>
      <c r="IR740" s="178"/>
      <c r="IS740" s="178"/>
      <c r="IT740" s="178"/>
      <c r="IU740" s="178"/>
      <c r="IV740" s="178"/>
      <c r="IW740" s="178"/>
      <c r="IX740" s="178"/>
      <c r="IY740" s="178"/>
      <c r="IZ740" s="178"/>
      <c r="JA740" s="178"/>
      <c r="JB740" s="178"/>
      <c r="JC740" s="178"/>
      <c r="JD740" s="178"/>
    </row>
    <row r="741">
      <c r="IE741" s="178"/>
      <c r="IF741" s="178"/>
      <c r="IG741" s="178"/>
      <c r="IH741" s="178"/>
      <c r="II741" s="178"/>
      <c r="IJ741" s="178"/>
      <c r="IK741" s="178"/>
      <c r="IL741" s="178"/>
      <c r="IM741" s="178"/>
      <c r="IN741" s="178"/>
      <c r="IO741" s="178"/>
      <c r="IP741" s="178"/>
      <c r="IQ741" s="178"/>
      <c r="IR741" s="178"/>
      <c r="IS741" s="178"/>
      <c r="IT741" s="178"/>
      <c r="IU741" s="178"/>
      <c r="IV741" s="178"/>
      <c r="IW741" s="178"/>
      <c r="IX741" s="178"/>
      <c r="IY741" s="178"/>
      <c r="IZ741" s="178"/>
      <c r="JA741" s="178"/>
      <c r="JB741" s="178"/>
      <c r="JC741" s="178"/>
      <c r="JD741" s="178"/>
    </row>
    <row r="742">
      <c r="IE742" s="178"/>
      <c r="IF742" s="178"/>
      <c r="IG742" s="178"/>
      <c r="IH742" s="178"/>
      <c r="II742" s="178"/>
      <c r="IJ742" s="178"/>
      <c r="IK742" s="178"/>
      <c r="IL742" s="178"/>
      <c r="IM742" s="178"/>
      <c r="IN742" s="178"/>
      <c r="IO742" s="178"/>
      <c r="IP742" s="178"/>
      <c r="IQ742" s="178"/>
      <c r="IR742" s="178"/>
      <c r="IS742" s="178"/>
      <c r="IT742" s="178"/>
      <c r="IU742" s="178"/>
      <c r="IV742" s="178"/>
      <c r="IW742" s="178"/>
      <c r="IX742" s="178"/>
      <c r="IY742" s="178"/>
      <c r="IZ742" s="178"/>
      <c r="JA742" s="178"/>
      <c r="JB742" s="178"/>
      <c r="JC742" s="178"/>
      <c r="JD742" s="178"/>
    </row>
    <row r="743">
      <c r="IE743" s="178"/>
      <c r="IF743" s="178"/>
      <c r="IG743" s="178"/>
      <c r="IH743" s="178"/>
      <c r="II743" s="178"/>
      <c r="IJ743" s="178"/>
      <c r="IK743" s="178"/>
      <c r="IL743" s="178"/>
      <c r="IM743" s="178"/>
      <c r="IN743" s="178"/>
      <c r="IO743" s="178"/>
      <c r="IP743" s="178"/>
      <c r="IQ743" s="178"/>
      <c r="IR743" s="178"/>
      <c r="IS743" s="178"/>
      <c r="IT743" s="178"/>
      <c r="IU743" s="178"/>
      <c r="IV743" s="178"/>
      <c r="IW743" s="178"/>
      <c r="IX743" s="178"/>
      <c r="IY743" s="178"/>
      <c r="IZ743" s="178"/>
      <c r="JA743" s="178"/>
      <c r="JB743" s="178"/>
      <c r="JC743" s="178"/>
      <c r="JD743" s="178"/>
    </row>
    <row r="744">
      <c r="IE744" s="178"/>
      <c r="IF744" s="178"/>
      <c r="IG744" s="178"/>
      <c r="IH744" s="178"/>
      <c r="II744" s="178"/>
      <c r="IJ744" s="178"/>
      <c r="IK744" s="178"/>
      <c r="IL744" s="178"/>
      <c r="IM744" s="178"/>
      <c r="IN744" s="178"/>
      <c r="IO744" s="178"/>
      <c r="IP744" s="178"/>
      <c r="IQ744" s="178"/>
      <c r="IR744" s="178"/>
      <c r="IS744" s="178"/>
      <c r="IT744" s="178"/>
      <c r="IU744" s="178"/>
      <c r="IV744" s="178"/>
      <c r="IW744" s="178"/>
      <c r="IX744" s="178"/>
      <c r="IY744" s="178"/>
      <c r="IZ744" s="178"/>
      <c r="JA744" s="178"/>
      <c r="JB744" s="178"/>
      <c r="JC744" s="178"/>
      <c r="JD744" s="178"/>
    </row>
    <row r="745">
      <c r="IE745" s="178"/>
      <c r="IF745" s="178"/>
      <c r="IG745" s="178"/>
      <c r="IH745" s="178"/>
      <c r="II745" s="178"/>
      <c r="IJ745" s="178"/>
      <c r="IK745" s="178"/>
      <c r="IL745" s="178"/>
      <c r="IM745" s="178"/>
      <c r="IN745" s="178"/>
      <c r="IO745" s="178"/>
      <c r="IP745" s="178"/>
      <c r="IQ745" s="178"/>
      <c r="IR745" s="178"/>
      <c r="IS745" s="178"/>
      <c r="IT745" s="178"/>
      <c r="IU745" s="178"/>
      <c r="IV745" s="178"/>
      <c r="IW745" s="178"/>
      <c r="IX745" s="178"/>
      <c r="IY745" s="178"/>
      <c r="IZ745" s="178"/>
      <c r="JA745" s="178"/>
      <c r="JB745" s="178"/>
      <c r="JC745" s="178"/>
      <c r="JD745" s="178"/>
    </row>
    <row r="746">
      <c r="IE746" s="178"/>
      <c r="IF746" s="178"/>
      <c r="IG746" s="178"/>
      <c r="IH746" s="178"/>
      <c r="II746" s="178"/>
      <c r="IJ746" s="178"/>
      <c r="IK746" s="178"/>
      <c r="IL746" s="178"/>
      <c r="IM746" s="178"/>
      <c r="IN746" s="178"/>
      <c r="IO746" s="178"/>
      <c r="IP746" s="178"/>
      <c r="IQ746" s="178"/>
      <c r="IR746" s="178"/>
      <c r="IS746" s="178"/>
      <c r="IT746" s="178"/>
      <c r="IU746" s="178"/>
      <c r="IV746" s="178"/>
      <c r="IW746" s="178"/>
      <c r="IX746" s="178"/>
      <c r="IY746" s="178"/>
      <c r="IZ746" s="178"/>
      <c r="JA746" s="178"/>
      <c r="JB746" s="178"/>
      <c r="JC746" s="178"/>
      <c r="JD746" s="178"/>
    </row>
    <row r="747">
      <c r="IE747" s="178"/>
      <c r="IF747" s="178"/>
      <c r="IG747" s="178"/>
      <c r="IH747" s="178"/>
      <c r="II747" s="178"/>
      <c r="IJ747" s="178"/>
      <c r="IK747" s="178"/>
      <c r="IL747" s="178"/>
      <c r="IM747" s="178"/>
      <c r="IN747" s="178"/>
      <c r="IO747" s="178"/>
      <c r="IP747" s="178"/>
      <c r="IQ747" s="178"/>
      <c r="IR747" s="178"/>
      <c r="IS747" s="178"/>
      <c r="IT747" s="178"/>
      <c r="IU747" s="178"/>
      <c r="IV747" s="178"/>
      <c r="IW747" s="178"/>
      <c r="IX747" s="178"/>
      <c r="IY747" s="178"/>
      <c r="IZ747" s="178"/>
      <c r="JA747" s="178"/>
      <c r="JB747" s="178"/>
      <c r="JC747" s="178"/>
      <c r="JD747" s="178"/>
    </row>
    <row r="748">
      <c r="IE748" s="178"/>
      <c r="IF748" s="178"/>
      <c r="IG748" s="178"/>
      <c r="IH748" s="178"/>
      <c r="II748" s="178"/>
      <c r="IJ748" s="178"/>
      <c r="IK748" s="178"/>
      <c r="IL748" s="178"/>
      <c r="IM748" s="178"/>
      <c r="IN748" s="178"/>
      <c r="IO748" s="178"/>
      <c r="IP748" s="178"/>
      <c r="IQ748" s="178"/>
      <c r="IR748" s="178"/>
      <c r="IS748" s="178"/>
      <c r="IT748" s="178"/>
      <c r="IU748" s="178"/>
      <c r="IV748" s="178"/>
      <c r="IW748" s="178"/>
      <c r="IX748" s="178"/>
      <c r="IY748" s="178"/>
      <c r="IZ748" s="178"/>
      <c r="JA748" s="178"/>
      <c r="JB748" s="178"/>
      <c r="JC748" s="178"/>
      <c r="JD748" s="178"/>
    </row>
    <row r="749">
      <c r="IE749" s="178"/>
      <c r="IF749" s="178"/>
      <c r="IG749" s="178"/>
      <c r="IH749" s="178"/>
      <c r="II749" s="178"/>
      <c r="IJ749" s="178"/>
      <c r="IK749" s="178"/>
      <c r="IL749" s="178"/>
      <c r="IM749" s="178"/>
      <c r="IN749" s="178"/>
      <c r="IO749" s="178"/>
      <c r="IP749" s="178"/>
      <c r="IQ749" s="178"/>
      <c r="IR749" s="178"/>
      <c r="IS749" s="178"/>
      <c r="IT749" s="178"/>
      <c r="IU749" s="178"/>
      <c r="IV749" s="178"/>
      <c r="IW749" s="178"/>
      <c r="IX749" s="178"/>
      <c r="IY749" s="178"/>
      <c r="IZ749" s="178"/>
      <c r="JA749" s="178"/>
      <c r="JB749" s="178"/>
      <c r="JC749" s="178"/>
      <c r="JD749" s="178"/>
    </row>
    <row r="750">
      <c r="IE750" s="178"/>
      <c r="IF750" s="178"/>
      <c r="IG750" s="178"/>
      <c r="IH750" s="178"/>
      <c r="II750" s="178"/>
      <c r="IJ750" s="178"/>
      <c r="IK750" s="178"/>
      <c r="IL750" s="178"/>
      <c r="IM750" s="178"/>
      <c r="IN750" s="178"/>
      <c r="IO750" s="178"/>
      <c r="IP750" s="178"/>
      <c r="IQ750" s="178"/>
      <c r="IR750" s="178"/>
      <c r="IS750" s="178"/>
      <c r="IT750" s="178"/>
      <c r="IU750" s="178"/>
      <c r="IV750" s="178"/>
      <c r="IW750" s="178"/>
      <c r="IX750" s="178"/>
      <c r="IY750" s="178"/>
      <c r="IZ750" s="178"/>
      <c r="JA750" s="178"/>
      <c r="JB750" s="178"/>
      <c r="JC750" s="178"/>
      <c r="JD750" s="178"/>
    </row>
    <row r="751">
      <c r="IE751" s="178"/>
      <c r="IF751" s="178"/>
      <c r="IG751" s="178"/>
      <c r="IH751" s="178"/>
      <c r="II751" s="178"/>
      <c r="IJ751" s="178"/>
      <c r="IK751" s="178"/>
      <c r="IL751" s="178"/>
      <c r="IM751" s="178"/>
      <c r="IN751" s="178"/>
      <c r="IO751" s="178"/>
      <c r="IP751" s="178"/>
      <c r="IQ751" s="178"/>
      <c r="IR751" s="178"/>
      <c r="IS751" s="178"/>
      <c r="IT751" s="178"/>
      <c r="IU751" s="178"/>
      <c r="IV751" s="178"/>
      <c r="IW751" s="178"/>
      <c r="IX751" s="178"/>
      <c r="IY751" s="178"/>
      <c r="IZ751" s="178"/>
      <c r="JA751" s="178"/>
      <c r="JB751" s="178"/>
      <c r="JC751" s="178"/>
      <c r="JD751" s="178"/>
    </row>
    <row r="752">
      <c r="IE752" s="178"/>
      <c r="IF752" s="178"/>
      <c r="IG752" s="178"/>
      <c r="IH752" s="178"/>
      <c r="II752" s="178"/>
      <c r="IJ752" s="178"/>
      <c r="IK752" s="178"/>
      <c r="IL752" s="178"/>
      <c r="IM752" s="178"/>
      <c r="IN752" s="178"/>
      <c r="IO752" s="178"/>
      <c r="IP752" s="178"/>
      <c r="IQ752" s="178"/>
      <c r="IR752" s="178"/>
      <c r="IS752" s="178"/>
      <c r="IT752" s="178"/>
      <c r="IU752" s="178"/>
      <c r="IV752" s="178"/>
      <c r="IW752" s="178"/>
      <c r="IX752" s="178"/>
      <c r="IY752" s="178"/>
      <c r="IZ752" s="178"/>
      <c r="JA752" s="178"/>
      <c r="JB752" s="178"/>
      <c r="JC752" s="178"/>
      <c r="JD752" s="178"/>
    </row>
    <row r="753">
      <c r="IE753" s="178"/>
      <c r="IF753" s="178"/>
      <c r="IG753" s="178"/>
      <c r="IH753" s="178"/>
      <c r="II753" s="178"/>
      <c r="IJ753" s="178"/>
      <c r="IK753" s="178"/>
      <c r="IL753" s="178"/>
      <c r="IM753" s="178"/>
      <c r="IN753" s="178"/>
      <c r="IO753" s="178"/>
      <c r="IP753" s="178"/>
      <c r="IQ753" s="178"/>
      <c r="IR753" s="178"/>
      <c r="IS753" s="178"/>
      <c r="IT753" s="178"/>
      <c r="IU753" s="178"/>
      <c r="IV753" s="178"/>
      <c r="IW753" s="178"/>
      <c r="IX753" s="178"/>
      <c r="IY753" s="178"/>
      <c r="IZ753" s="178"/>
      <c r="JA753" s="178"/>
      <c r="JB753" s="178"/>
      <c r="JC753" s="178"/>
      <c r="JD753" s="178"/>
    </row>
    <row r="754">
      <c r="IE754" s="178"/>
      <c r="IF754" s="178"/>
      <c r="IG754" s="178"/>
      <c r="IH754" s="178"/>
      <c r="II754" s="178"/>
      <c r="IJ754" s="178"/>
      <c r="IK754" s="178"/>
      <c r="IL754" s="178"/>
      <c r="IM754" s="178"/>
      <c r="IN754" s="178"/>
      <c r="IO754" s="178"/>
      <c r="IP754" s="178"/>
      <c r="IQ754" s="178"/>
      <c r="IR754" s="178"/>
      <c r="IS754" s="178"/>
      <c r="IT754" s="178"/>
      <c r="IU754" s="178"/>
      <c r="IV754" s="178"/>
      <c r="IW754" s="178"/>
      <c r="IX754" s="178"/>
      <c r="IY754" s="178"/>
      <c r="IZ754" s="178"/>
      <c r="JA754" s="178"/>
      <c r="JB754" s="178"/>
      <c r="JC754" s="178"/>
      <c r="JD754" s="178"/>
    </row>
    <row r="755">
      <c r="IE755" s="178"/>
      <c r="IF755" s="178"/>
      <c r="IG755" s="178"/>
      <c r="IH755" s="178"/>
      <c r="II755" s="178"/>
      <c r="IJ755" s="178"/>
      <c r="IK755" s="178"/>
      <c r="IL755" s="178"/>
      <c r="IM755" s="178"/>
      <c r="IN755" s="178"/>
      <c r="IO755" s="178"/>
      <c r="IP755" s="178"/>
      <c r="IQ755" s="178"/>
      <c r="IR755" s="178"/>
      <c r="IS755" s="178"/>
      <c r="IT755" s="178"/>
      <c r="IU755" s="178"/>
      <c r="IV755" s="178"/>
      <c r="IW755" s="178"/>
      <c r="IX755" s="178"/>
      <c r="IY755" s="178"/>
      <c r="IZ755" s="178"/>
      <c r="JA755" s="178"/>
      <c r="JB755" s="178"/>
      <c r="JC755" s="178"/>
      <c r="JD755" s="178"/>
    </row>
    <row r="756">
      <c r="IE756" s="178"/>
      <c r="IF756" s="178"/>
      <c r="IG756" s="178"/>
      <c r="IH756" s="178"/>
      <c r="II756" s="178"/>
      <c r="IJ756" s="178"/>
      <c r="IK756" s="178"/>
      <c r="IL756" s="178"/>
      <c r="IM756" s="178"/>
      <c r="IN756" s="178"/>
      <c r="IO756" s="178"/>
      <c r="IP756" s="178"/>
      <c r="IQ756" s="178"/>
      <c r="IR756" s="178"/>
      <c r="IS756" s="178"/>
      <c r="IT756" s="178"/>
      <c r="IU756" s="178"/>
      <c r="IV756" s="178"/>
      <c r="IW756" s="178"/>
      <c r="IX756" s="178"/>
      <c r="IY756" s="178"/>
      <c r="IZ756" s="178"/>
      <c r="JA756" s="178"/>
      <c r="JB756" s="178"/>
      <c r="JC756" s="178"/>
      <c r="JD756" s="178"/>
    </row>
    <row r="757">
      <c r="IE757" s="178"/>
      <c r="IF757" s="178"/>
      <c r="IG757" s="178"/>
      <c r="IH757" s="178"/>
      <c r="II757" s="178"/>
      <c r="IJ757" s="178"/>
      <c r="IK757" s="178"/>
      <c r="IL757" s="178"/>
      <c r="IM757" s="178"/>
      <c r="IN757" s="178"/>
      <c r="IO757" s="178"/>
      <c r="IP757" s="178"/>
      <c r="IQ757" s="178"/>
      <c r="IR757" s="178"/>
      <c r="IS757" s="178"/>
      <c r="IT757" s="178"/>
      <c r="IU757" s="178"/>
      <c r="IV757" s="178"/>
      <c r="IW757" s="178"/>
      <c r="IX757" s="178"/>
      <c r="IY757" s="178"/>
      <c r="IZ757" s="178"/>
      <c r="JA757" s="178"/>
      <c r="JB757" s="178"/>
      <c r="JC757" s="178"/>
      <c r="JD757" s="178"/>
    </row>
    <row r="758">
      <c r="IE758" s="178"/>
      <c r="IF758" s="178"/>
      <c r="IG758" s="178"/>
      <c r="IH758" s="178"/>
      <c r="II758" s="178"/>
      <c r="IJ758" s="178"/>
      <c r="IK758" s="178"/>
      <c r="IL758" s="178"/>
      <c r="IM758" s="178"/>
      <c r="IN758" s="178"/>
      <c r="IO758" s="178"/>
      <c r="IP758" s="178"/>
      <c r="IQ758" s="178"/>
      <c r="IR758" s="178"/>
      <c r="IS758" s="178"/>
      <c r="IT758" s="178"/>
      <c r="IU758" s="178"/>
      <c r="IV758" s="178"/>
      <c r="IW758" s="178"/>
      <c r="IX758" s="178"/>
      <c r="IY758" s="178"/>
      <c r="IZ758" s="178"/>
      <c r="JA758" s="178"/>
      <c r="JB758" s="178"/>
      <c r="JC758" s="178"/>
      <c r="JD758" s="178"/>
    </row>
    <row r="759">
      <c r="IE759" s="178"/>
      <c r="IF759" s="178"/>
      <c r="IG759" s="178"/>
      <c r="IH759" s="178"/>
      <c r="II759" s="178"/>
      <c r="IJ759" s="178"/>
      <c r="IK759" s="178"/>
      <c r="IL759" s="178"/>
      <c r="IM759" s="178"/>
      <c r="IN759" s="178"/>
      <c r="IO759" s="178"/>
      <c r="IP759" s="178"/>
      <c r="IQ759" s="178"/>
      <c r="IR759" s="178"/>
      <c r="IS759" s="178"/>
      <c r="IT759" s="178"/>
      <c r="IU759" s="178"/>
      <c r="IV759" s="178"/>
      <c r="IW759" s="178"/>
      <c r="IX759" s="178"/>
      <c r="IY759" s="178"/>
      <c r="IZ759" s="178"/>
      <c r="JA759" s="178"/>
      <c r="JB759" s="178"/>
      <c r="JC759" s="178"/>
      <c r="JD759" s="178"/>
    </row>
    <row r="760">
      <c r="IE760" s="178"/>
      <c r="IF760" s="178"/>
      <c r="IG760" s="178"/>
      <c r="IH760" s="178"/>
      <c r="II760" s="178"/>
      <c r="IJ760" s="178"/>
      <c r="IK760" s="178"/>
      <c r="IL760" s="178"/>
      <c r="IM760" s="178"/>
      <c r="IN760" s="178"/>
      <c r="IO760" s="178"/>
      <c r="IP760" s="178"/>
      <c r="IQ760" s="178"/>
      <c r="IR760" s="178"/>
      <c r="IS760" s="178"/>
      <c r="IT760" s="178"/>
      <c r="IU760" s="178"/>
      <c r="IV760" s="178"/>
      <c r="IW760" s="178"/>
      <c r="IX760" s="178"/>
      <c r="IY760" s="178"/>
      <c r="IZ760" s="178"/>
      <c r="JA760" s="178"/>
      <c r="JB760" s="178"/>
      <c r="JC760" s="178"/>
      <c r="JD760" s="178"/>
    </row>
    <row r="761">
      <c r="IE761" s="178"/>
      <c r="IF761" s="178"/>
      <c r="IG761" s="178"/>
      <c r="IH761" s="178"/>
      <c r="II761" s="178"/>
      <c r="IJ761" s="178"/>
      <c r="IK761" s="178"/>
      <c r="IL761" s="178"/>
      <c r="IM761" s="178"/>
      <c r="IN761" s="178"/>
      <c r="IO761" s="178"/>
      <c r="IP761" s="178"/>
      <c r="IQ761" s="178"/>
      <c r="IR761" s="178"/>
      <c r="IS761" s="178"/>
      <c r="IT761" s="178"/>
      <c r="IU761" s="178"/>
      <c r="IV761" s="178"/>
      <c r="IW761" s="178"/>
      <c r="IX761" s="178"/>
      <c r="IY761" s="178"/>
      <c r="IZ761" s="178"/>
      <c r="JA761" s="178"/>
      <c r="JB761" s="178"/>
      <c r="JC761" s="178"/>
      <c r="JD761" s="178"/>
    </row>
    <row r="762">
      <c r="IE762" s="178"/>
      <c r="IF762" s="178"/>
      <c r="IG762" s="178"/>
      <c r="IH762" s="178"/>
      <c r="II762" s="178"/>
      <c r="IJ762" s="178"/>
      <c r="IK762" s="178"/>
      <c r="IL762" s="178"/>
      <c r="IM762" s="178"/>
      <c r="IN762" s="178"/>
      <c r="IO762" s="178"/>
      <c r="IP762" s="178"/>
      <c r="IQ762" s="178"/>
      <c r="IR762" s="178"/>
      <c r="IS762" s="178"/>
      <c r="IT762" s="178"/>
      <c r="IU762" s="178"/>
      <c r="IV762" s="178"/>
      <c r="IW762" s="178"/>
      <c r="IX762" s="178"/>
      <c r="IY762" s="178"/>
      <c r="IZ762" s="178"/>
      <c r="JA762" s="178"/>
      <c r="JB762" s="178"/>
      <c r="JC762" s="178"/>
      <c r="JD762" s="178"/>
    </row>
    <row r="763">
      <c r="IE763" s="178"/>
      <c r="IF763" s="178"/>
      <c r="IG763" s="178"/>
      <c r="IH763" s="178"/>
      <c r="II763" s="178"/>
      <c r="IJ763" s="178"/>
      <c r="IK763" s="178"/>
      <c r="IL763" s="178"/>
      <c r="IM763" s="178"/>
      <c r="IN763" s="178"/>
      <c r="IO763" s="178"/>
      <c r="IP763" s="178"/>
      <c r="IQ763" s="178"/>
      <c r="IR763" s="178"/>
      <c r="IS763" s="178"/>
      <c r="IT763" s="178"/>
      <c r="IU763" s="178"/>
      <c r="IV763" s="178"/>
      <c r="IW763" s="178"/>
      <c r="IX763" s="178"/>
      <c r="IY763" s="178"/>
      <c r="IZ763" s="178"/>
      <c r="JA763" s="178"/>
      <c r="JB763" s="178"/>
      <c r="JC763" s="178"/>
      <c r="JD763" s="178"/>
    </row>
    <row r="764">
      <c r="IE764" s="178"/>
      <c r="IF764" s="178"/>
      <c r="IG764" s="178"/>
      <c r="IH764" s="178"/>
      <c r="II764" s="178"/>
      <c r="IJ764" s="178"/>
      <c r="IK764" s="178"/>
      <c r="IL764" s="178"/>
      <c r="IM764" s="178"/>
      <c r="IN764" s="178"/>
      <c r="IO764" s="178"/>
      <c r="IP764" s="178"/>
      <c r="IQ764" s="178"/>
      <c r="IR764" s="178"/>
      <c r="IS764" s="178"/>
      <c r="IT764" s="178"/>
      <c r="IU764" s="178"/>
      <c r="IV764" s="178"/>
      <c r="IW764" s="178"/>
      <c r="IX764" s="178"/>
      <c r="IY764" s="178"/>
      <c r="IZ764" s="178"/>
      <c r="JA764" s="178"/>
      <c r="JB764" s="178"/>
      <c r="JC764" s="178"/>
      <c r="JD764" s="178"/>
    </row>
    <row r="765">
      <c r="IE765" s="178"/>
      <c r="IF765" s="178"/>
      <c r="IG765" s="178"/>
      <c r="IH765" s="178"/>
      <c r="II765" s="178"/>
      <c r="IJ765" s="178"/>
      <c r="IK765" s="178"/>
      <c r="IL765" s="178"/>
      <c r="IM765" s="178"/>
      <c r="IN765" s="178"/>
      <c r="IO765" s="178"/>
      <c r="IP765" s="178"/>
      <c r="IQ765" s="178"/>
      <c r="IR765" s="178"/>
      <c r="IS765" s="178"/>
      <c r="IT765" s="178"/>
      <c r="IU765" s="178"/>
      <c r="IV765" s="178"/>
      <c r="IW765" s="178"/>
      <c r="IX765" s="178"/>
      <c r="IY765" s="178"/>
      <c r="IZ765" s="178"/>
      <c r="JA765" s="178"/>
      <c r="JB765" s="178"/>
      <c r="JC765" s="178"/>
      <c r="JD765" s="178"/>
    </row>
    <row r="766">
      <c r="IE766" s="178"/>
      <c r="IF766" s="178"/>
      <c r="IG766" s="178"/>
      <c r="IH766" s="178"/>
      <c r="II766" s="178"/>
      <c r="IJ766" s="178"/>
      <c r="IK766" s="178"/>
      <c r="IL766" s="178"/>
      <c r="IM766" s="178"/>
      <c r="IN766" s="178"/>
      <c r="IO766" s="178"/>
      <c r="IP766" s="178"/>
      <c r="IQ766" s="178"/>
      <c r="IR766" s="178"/>
      <c r="IS766" s="178"/>
      <c r="IT766" s="178"/>
      <c r="IU766" s="178"/>
      <c r="IV766" s="178"/>
      <c r="IW766" s="178"/>
      <c r="IX766" s="178"/>
      <c r="IY766" s="178"/>
      <c r="IZ766" s="178"/>
      <c r="JA766" s="178"/>
      <c r="JB766" s="178"/>
      <c r="JC766" s="178"/>
      <c r="JD766" s="178"/>
    </row>
    <row r="767">
      <c r="IE767" s="178"/>
      <c r="IF767" s="178"/>
      <c r="IG767" s="178"/>
      <c r="IH767" s="178"/>
      <c r="II767" s="178"/>
      <c r="IJ767" s="178"/>
      <c r="IK767" s="178"/>
      <c r="IL767" s="178"/>
      <c r="IM767" s="178"/>
      <c r="IN767" s="178"/>
      <c r="IO767" s="178"/>
      <c r="IP767" s="178"/>
      <c r="IQ767" s="178"/>
      <c r="IR767" s="178"/>
      <c r="IS767" s="178"/>
      <c r="IT767" s="178"/>
      <c r="IU767" s="178"/>
      <c r="IV767" s="178"/>
      <c r="IW767" s="178"/>
      <c r="IX767" s="178"/>
      <c r="IY767" s="178"/>
      <c r="IZ767" s="178"/>
      <c r="JA767" s="178"/>
      <c r="JB767" s="178"/>
      <c r="JC767" s="178"/>
      <c r="JD767" s="178"/>
    </row>
    <row r="768">
      <c r="IE768" s="178"/>
      <c r="IF768" s="178"/>
      <c r="IG768" s="178"/>
      <c r="IH768" s="178"/>
      <c r="II768" s="178"/>
      <c r="IJ768" s="178"/>
      <c r="IK768" s="178"/>
      <c r="IL768" s="178"/>
      <c r="IM768" s="178"/>
      <c r="IN768" s="178"/>
      <c r="IO768" s="178"/>
      <c r="IP768" s="178"/>
      <c r="IQ768" s="178"/>
      <c r="IR768" s="178"/>
      <c r="IS768" s="178"/>
      <c r="IT768" s="178"/>
      <c r="IU768" s="178"/>
      <c r="IV768" s="178"/>
      <c r="IW768" s="178"/>
      <c r="IX768" s="178"/>
      <c r="IY768" s="178"/>
      <c r="IZ768" s="178"/>
      <c r="JA768" s="178"/>
      <c r="JB768" s="178"/>
      <c r="JC768" s="178"/>
      <c r="JD768" s="178"/>
    </row>
    <row r="769">
      <c r="IE769" s="178"/>
      <c r="IF769" s="178"/>
      <c r="IG769" s="178"/>
      <c r="IH769" s="178"/>
      <c r="II769" s="178"/>
      <c r="IJ769" s="178"/>
      <c r="IK769" s="178"/>
      <c r="IL769" s="178"/>
      <c r="IM769" s="178"/>
      <c r="IN769" s="178"/>
      <c r="IO769" s="178"/>
      <c r="IP769" s="178"/>
      <c r="IQ769" s="178"/>
      <c r="IR769" s="178"/>
      <c r="IS769" s="178"/>
      <c r="IT769" s="178"/>
      <c r="IU769" s="178"/>
      <c r="IV769" s="178"/>
      <c r="IW769" s="178"/>
      <c r="IX769" s="178"/>
      <c r="IY769" s="178"/>
      <c r="IZ769" s="178"/>
      <c r="JA769" s="178"/>
      <c r="JB769" s="178"/>
      <c r="JC769" s="178"/>
      <c r="JD769" s="178"/>
    </row>
    <row r="770">
      <c r="IE770" s="178"/>
      <c r="IF770" s="178"/>
      <c r="IG770" s="178"/>
      <c r="IH770" s="178"/>
      <c r="II770" s="178"/>
      <c r="IJ770" s="178"/>
      <c r="IK770" s="178"/>
      <c r="IL770" s="178"/>
      <c r="IM770" s="178"/>
      <c r="IN770" s="178"/>
      <c r="IO770" s="178"/>
      <c r="IP770" s="178"/>
      <c r="IQ770" s="178"/>
      <c r="IR770" s="178"/>
      <c r="IS770" s="178"/>
      <c r="IT770" s="178"/>
      <c r="IU770" s="178"/>
      <c r="IV770" s="178"/>
      <c r="IW770" s="178"/>
      <c r="IX770" s="178"/>
      <c r="IY770" s="178"/>
      <c r="IZ770" s="178"/>
      <c r="JA770" s="178"/>
      <c r="JB770" s="178"/>
      <c r="JC770" s="178"/>
      <c r="JD770" s="178"/>
    </row>
    <row r="771">
      <c r="IE771" s="178"/>
      <c r="IF771" s="178"/>
      <c r="IG771" s="178"/>
      <c r="IH771" s="178"/>
      <c r="II771" s="178"/>
      <c r="IJ771" s="178"/>
      <c r="IK771" s="178"/>
      <c r="IL771" s="178"/>
      <c r="IM771" s="178"/>
      <c r="IN771" s="178"/>
      <c r="IO771" s="178"/>
      <c r="IP771" s="178"/>
      <c r="IQ771" s="178"/>
      <c r="IR771" s="178"/>
      <c r="IS771" s="178"/>
      <c r="IT771" s="178"/>
      <c r="IU771" s="178"/>
      <c r="IV771" s="178"/>
      <c r="IW771" s="178"/>
      <c r="IX771" s="178"/>
      <c r="IY771" s="178"/>
      <c r="IZ771" s="178"/>
      <c r="JA771" s="178"/>
      <c r="JB771" s="178"/>
      <c r="JC771" s="178"/>
      <c r="JD771" s="178"/>
    </row>
    <row r="772">
      <c r="IE772" s="178"/>
      <c r="IF772" s="178"/>
      <c r="IG772" s="178"/>
      <c r="IH772" s="178"/>
      <c r="II772" s="178"/>
      <c r="IJ772" s="178"/>
      <c r="IK772" s="178"/>
      <c r="IL772" s="178"/>
      <c r="IM772" s="178"/>
      <c r="IN772" s="178"/>
      <c r="IO772" s="178"/>
      <c r="IP772" s="178"/>
      <c r="IQ772" s="178"/>
      <c r="IR772" s="178"/>
      <c r="IS772" s="178"/>
      <c r="IT772" s="178"/>
      <c r="IU772" s="178"/>
      <c r="IV772" s="178"/>
      <c r="IW772" s="178"/>
      <c r="IX772" s="178"/>
      <c r="IY772" s="178"/>
      <c r="IZ772" s="178"/>
      <c r="JA772" s="178"/>
      <c r="JB772" s="178"/>
      <c r="JC772" s="178"/>
      <c r="JD772" s="178"/>
    </row>
    <row r="773">
      <c r="IE773" s="178"/>
      <c r="IF773" s="178"/>
      <c r="IG773" s="178"/>
      <c r="IH773" s="178"/>
      <c r="II773" s="178"/>
      <c r="IJ773" s="178"/>
      <c r="IK773" s="178"/>
      <c r="IL773" s="178"/>
      <c r="IM773" s="178"/>
      <c r="IN773" s="178"/>
      <c r="IO773" s="178"/>
      <c r="IP773" s="178"/>
      <c r="IQ773" s="178"/>
      <c r="IR773" s="178"/>
      <c r="IS773" s="178"/>
      <c r="IT773" s="178"/>
      <c r="IU773" s="178"/>
      <c r="IV773" s="178"/>
      <c r="IW773" s="178"/>
      <c r="IX773" s="178"/>
      <c r="IY773" s="178"/>
      <c r="IZ773" s="178"/>
      <c r="JA773" s="178"/>
      <c r="JB773" s="178"/>
      <c r="JC773" s="178"/>
      <c r="JD773" s="178"/>
    </row>
    <row r="774">
      <c r="IE774" s="178"/>
      <c r="IF774" s="178"/>
      <c r="IG774" s="178"/>
      <c r="IH774" s="178"/>
      <c r="II774" s="178"/>
      <c r="IJ774" s="178"/>
      <c r="IK774" s="178"/>
      <c r="IL774" s="178"/>
      <c r="IM774" s="178"/>
      <c r="IN774" s="178"/>
      <c r="IO774" s="178"/>
      <c r="IP774" s="178"/>
      <c r="IQ774" s="178"/>
      <c r="IR774" s="178"/>
      <c r="IS774" s="178"/>
      <c r="IT774" s="178"/>
      <c r="IU774" s="178"/>
      <c r="IV774" s="178"/>
      <c r="IW774" s="178"/>
      <c r="IX774" s="178"/>
      <c r="IY774" s="178"/>
      <c r="IZ774" s="178"/>
      <c r="JA774" s="178"/>
      <c r="JB774" s="178"/>
      <c r="JC774" s="178"/>
      <c r="JD774" s="178"/>
    </row>
    <row r="775">
      <c r="IE775" s="178"/>
      <c r="IF775" s="178"/>
      <c r="IG775" s="178"/>
      <c r="IH775" s="178"/>
      <c r="II775" s="178"/>
      <c r="IJ775" s="178"/>
      <c r="IK775" s="178"/>
      <c r="IL775" s="178"/>
      <c r="IM775" s="178"/>
      <c r="IN775" s="178"/>
      <c r="IO775" s="178"/>
      <c r="IP775" s="178"/>
      <c r="IQ775" s="178"/>
      <c r="IR775" s="178"/>
      <c r="IS775" s="178"/>
      <c r="IT775" s="178"/>
      <c r="IU775" s="178"/>
      <c r="IV775" s="178"/>
      <c r="IW775" s="178"/>
      <c r="IX775" s="178"/>
      <c r="IY775" s="178"/>
      <c r="IZ775" s="178"/>
      <c r="JA775" s="178"/>
      <c r="JB775" s="178"/>
      <c r="JC775" s="178"/>
      <c r="JD775" s="178"/>
    </row>
    <row r="776">
      <c r="IE776" s="178"/>
      <c r="IF776" s="178"/>
      <c r="IG776" s="178"/>
      <c r="IH776" s="178"/>
      <c r="II776" s="178"/>
      <c r="IJ776" s="178"/>
      <c r="IK776" s="178"/>
      <c r="IL776" s="178"/>
      <c r="IM776" s="178"/>
      <c r="IN776" s="178"/>
      <c r="IO776" s="178"/>
      <c r="IP776" s="178"/>
      <c r="IQ776" s="178"/>
      <c r="IR776" s="178"/>
      <c r="IS776" s="178"/>
      <c r="IT776" s="178"/>
      <c r="IU776" s="178"/>
      <c r="IV776" s="178"/>
      <c r="IW776" s="178"/>
      <c r="IX776" s="178"/>
      <c r="IY776" s="178"/>
      <c r="IZ776" s="178"/>
      <c r="JA776" s="178"/>
      <c r="JB776" s="178"/>
      <c r="JC776" s="178"/>
      <c r="JD776" s="178"/>
    </row>
    <row r="777">
      <c r="IE777" s="178"/>
      <c r="IF777" s="178"/>
      <c r="IG777" s="178"/>
      <c r="IH777" s="178"/>
      <c r="II777" s="178"/>
      <c r="IJ777" s="178"/>
      <c r="IK777" s="178"/>
      <c r="IL777" s="178"/>
      <c r="IM777" s="178"/>
      <c r="IN777" s="178"/>
      <c r="IO777" s="178"/>
      <c r="IP777" s="178"/>
      <c r="IQ777" s="178"/>
      <c r="IR777" s="178"/>
      <c r="IS777" s="178"/>
      <c r="IT777" s="178"/>
      <c r="IU777" s="178"/>
      <c r="IV777" s="178"/>
      <c r="IW777" s="178"/>
      <c r="IX777" s="178"/>
      <c r="IY777" s="178"/>
      <c r="IZ777" s="178"/>
      <c r="JA777" s="178"/>
      <c r="JB777" s="178"/>
      <c r="JC777" s="178"/>
      <c r="JD777" s="178"/>
    </row>
    <row r="778">
      <c r="IE778" s="178"/>
      <c r="IF778" s="178"/>
      <c r="IG778" s="178"/>
      <c r="IH778" s="178"/>
      <c r="II778" s="178"/>
      <c r="IJ778" s="178"/>
      <c r="IK778" s="178"/>
      <c r="IL778" s="178"/>
      <c r="IM778" s="178"/>
      <c r="IN778" s="178"/>
      <c r="IO778" s="178"/>
      <c r="IP778" s="178"/>
      <c r="IQ778" s="178"/>
      <c r="IR778" s="178"/>
      <c r="IS778" s="178"/>
      <c r="IT778" s="178"/>
      <c r="IU778" s="178"/>
      <c r="IV778" s="178"/>
      <c r="IW778" s="178"/>
      <c r="IX778" s="178"/>
      <c r="IY778" s="178"/>
      <c r="IZ778" s="178"/>
      <c r="JA778" s="178"/>
      <c r="JB778" s="178"/>
      <c r="JC778" s="178"/>
      <c r="JD778" s="178"/>
    </row>
    <row r="779">
      <c r="IE779" s="178"/>
      <c r="IF779" s="178"/>
      <c r="IG779" s="178"/>
      <c r="IH779" s="178"/>
      <c r="II779" s="178"/>
      <c r="IJ779" s="178"/>
      <c r="IK779" s="178"/>
      <c r="IL779" s="178"/>
      <c r="IM779" s="178"/>
      <c r="IN779" s="178"/>
      <c r="IO779" s="178"/>
      <c r="IP779" s="178"/>
      <c r="IQ779" s="178"/>
      <c r="IR779" s="178"/>
      <c r="IS779" s="178"/>
      <c r="IT779" s="178"/>
      <c r="IU779" s="178"/>
      <c r="IV779" s="178"/>
      <c r="IW779" s="178"/>
      <c r="IX779" s="178"/>
      <c r="IY779" s="178"/>
      <c r="IZ779" s="178"/>
      <c r="JA779" s="178"/>
      <c r="JB779" s="178"/>
      <c r="JC779" s="178"/>
      <c r="JD779" s="178"/>
    </row>
    <row r="780">
      <c r="IE780" s="178"/>
      <c r="IF780" s="178"/>
      <c r="IG780" s="178"/>
      <c r="IH780" s="178"/>
      <c r="II780" s="178"/>
      <c r="IJ780" s="178"/>
      <c r="IK780" s="178"/>
      <c r="IL780" s="178"/>
      <c r="IM780" s="178"/>
      <c r="IN780" s="178"/>
      <c r="IO780" s="178"/>
      <c r="IP780" s="178"/>
      <c r="IQ780" s="178"/>
      <c r="IR780" s="178"/>
      <c r="IS780" s="178"/>
      <c r="IT780" s="178"/>
      <c r="IU780" s="178"/>
      <c r="IV780" s="178"/>
      <c r="IW780" s="178"/>
      <c r="IX780" s="178"/>
      <c r="IY780" s="178"/>
      <c r="IZ780" s="178"/>
      <c r="JA780" s="178"/>
      <c r="JB780" s="178"/>
      <c r="JC780" s="178"/>
      <c r="JD780" s="178"/>
    </row>
    <row r="781">
      <c r="IE781" s="178"/>
      <c r="IF781" s="178"/>
      <c r="IG781" s="178"/>
      <c r="IH781" s="178"/>
      <c r="II781" s="178"/>
      <c r="IJ781" s="178"/>
      <c r="IK781" s="178"/>
      <c r="IL781" s="178"/>
      <c r="IM781" s="178"/>
      <c r="IN781" s="178"/>
      <c r="IO781" s="178"/>
      <c r="IP781" s="178"/>
      <c r="IQ781" s="178"/>
      <c r="IR781" s="178"/>
      <c r="IS781" s="178"/>
      <c r="IT781" s="178"/>
      <c r="IU781" s="178"/>
      <c r="IV781" s="178"/>
      <c r="IW781" s="178"/>
      <c r="IX781" s="178"/>
      <c r="IY781" s="178"/>
      <c r="IZ781" s="178"/>
      <c r="JA781" s="178"/>
      <c r="JB781" s="178"/>
      <c r="JC781" s="178"/>
      <c r="JD781" s="178"/>
    </row>
    <row r="782">
      <c r="IE782" s="178"/>
      <c r="IF782" s="178"/>
      <c r="IG782" s="178"/>
      <c r="IH782" s="178"/>
      <c r="II782" s="178"/>
      <c r="IJ782" s="178"/>
      <c r="IK782" s="178"/>
      <c r="IL782" s="178"/>
      <c r="IM782" s="178"/>
      <c r="IN782" s="178"/>
      <c r="IO782" s="178"/>
      <c r="IP782" s="178"/>
      <c r="IQ782" s="178"/>
      <c r="IR782" s="178"/>
      <c r="IS782" s="178"/>
      <c r="IT782" s="178"/>
      <c r="IU782" s="178"/>
      <c r="IV782" s="178"/>
      <c r="IW782" s="178"/>
      <c r="IX782" s="178"/>
      <c r="IY782" s="178"/>
      <c r="IZ782" s="178"/>
      <c r="JA782" s="178"/>
      <c r="JB782" s="178"/>
      <c r="JC782" s="178"/>
      <c r="JD782" s="178"/>
    </row>
    <row r="783">
      <c r="IE783" s="178"/>
      <c r="IF783" s="178"/>
      <c r="IG783" s="178"/>
      <c r="IH783" s="178"/>
      <c r="II783" s="178"/>
      <c r="IJ783" s="178"/>
      <c r="IK783" s="178"/>
      <c r="IL783" s="178"/>
      <c r="IM783" s="178"/>
      <c r="IN783" s="178"/>
      <c r="IO783" s="178"/>
      <c r="IP783" s="178"/>
      <c r="IQ783" s="178"/>
      <c r="IR783" s="178"/>
      <c r="IS783" s="178"/>
      <c r="IT783" s="178"/>
      <c r="IU783" s="178"/>
      <c r="IV783" s="178"/>
      <c r="IW783" s="178"/>
      <c r="IX783" s="178"/>
      <c r="IY783" s="178"/>
      <c r="IZ783" s="178"/>
      <c r="JA783" s="178"/>
      <c r="JB783" s="178"/>
      <c r="JC783" s="178"/>
      <c r="JD783" s="178"/>
    </row>
    <row r="784">
      <c r="IE784" s="178"/>
      <c r="IF784" s="178"/>
      <c r="IG784" s="178"/>
      <c r="IH784" s="178"/>
      <c r="II784" s="178"/>
      <c r="IJ784" s="178"/>
      <c r="IK784" s="178"/>
      <c r="IL784" s="178"/>
      <c r="IM784" s="178"/>
      <c r="IN784" s="178"/>
      <c r="IO784" s="178"/>
      <c r="IP784" s="178"/>
      <c r="IQ784" s="178"/>
      <c r="IR784" s="178"/>
      <c r="IS784" s="178"/>
      <c r="IT784" s="178"/>
      <c r="IU784" s="178"/>
      <c r="IV784" s="178"/>
      <c r="IW784" s="178"/>
      <c r="IX784" s="178"/>
      <c r="IY784" s="178"/>
      <c r="IZ784" s="178"/>
      <c r="JA784" s="178"/>
      <c r="JB784" s="178"/>
      <c r="JC784" s="178"/>
      <c r="JD784" s="178"/>
    </row>
    <row r="785">
      <c r="IE785" s="178"/>
      <c r="IF785" s="178"/>
      <c r="IG785" s="178"/>
      <c r="IH785" s="178"/>
      <c r="II785" s="178"/>
      <c r="IJ785" s="178"/>
      <c r="IK785" s="178"/>
      <c r="IL785" s="178"/>
      <c r="IM785" s="178"/>
      <c r="IN785" s="178"/>
      <c r="IO785" s="178"/>
      <c r="IP785" s="178"/>
      <c r="IQ785" s="178"/>
      <c r="IR785" s="178"/>
      <c r="IS785" s="178"/>
      <c r="IT785" s="178"/>
      <c r="IU785" s="178"/>
      <c r="IV785" s="178"/>
      <c r="IW785" s="178"/>
      <c r="IX785" s="178"/>
      <c r="IY785" s="178"/>
      <c r="IZ785" s="178"/>
      <c r="JA785" s="178"/>
      <c r="JB785" s="178"/>
      <c r="JC785" s="178"/>
      <c r="JD785" s="178"/>
    </row>
    <row r="786">
      <c r="IE786" s="178"/>
      <c r="IF786" s="178"/>
      <c r="IG786" s="178"/>
      <c r="IH786" s="178"/>
      <c r="II786" s="178"/>
      <c r="IJ786" s="178"/>
      <c r="IK786" s="178"/>
      <c r="IL786" s="178"/>
      <c r="IM786" s="178"/>
      <c r="IN786" s="178"/>
      <c r="IO786" s="178"/>
      <c r="IP786" s="178"/>
      <c r="IQ786" s="178"/>
      <c r="IR786" s="178"/>
      <c r="IS786" s="178"/>
      <c r="IT786" s="178"/>
      <c r="IU786" s="178"/>
      <c r="IV786" s="178"/>
      <c r="IW786" s="178"/>
      <c r="IX786" s="178"/>
      <c r="IY786" s="178"/>
      <c r="IZ786" s="178"/>
      <c r="JA786" s="178"/>
      <c r="JB786" s="178"/>
      <c r="JC786" s="178"/>
      <c r="JD786" s="178"/>
    </row>
    <row r="787">
      <c r="IE787" s="178"/>
      <c r="IF787" s="178"/>
      <c r="IG787" s="178"/>
      <c r="IH787" s="178"/>
      <c r="II787" s="178"/>
      <c r="IJ787" s="178"/>
      <c r="IK787" s="178"/>
      <c r="IL787" s="178"/>
      <c r="IM787" s="178"/>
      <c r="IN787" s="178"/>
      <c r="IO787" s="178"/>
      <c r="IP787" s="178"/>
      <c r="IQ787" s="178"/>
      <c r="IR787" s="178"/>
      <c r="IS787" s="178"/>
      <c r="IT787" s="178"/>
      <c r="IU787" s="178"/>
      <c r="IV787" s="178"/>
      <c r="IW787" s="178"/>
      <c r="IX787" s="178"/>
      <c r="IY787" s="178"/>
      <c r="IZ787" s="178"/>
      <c r="JA787" s="178"/>
      <c r="JB787" s="178"/>
      <c r="JC787" s="178"/>
      <c r="JD787" s="178"/>
    </row>
    <row r="788">
      <c r="IE788" s="178"/>
      <c r="IF788" s="178"/>
      <c r="IG788" s="178"/>
      <c r="IH788" s="178"/>
      <c r="II788" s="178"/>
      <c r="IJ788" s="178"/>
      <c r="IK788" s="178"/>
      <c r="IL788" s="178"/>
      <c r="IM788" s="178"/>
      <c r="IN788" s="178"/>
      <c r="IO788" s="178"/>
      <c r="IP788" s="178"/>
      <c r="IQ788" s="178"/>
      <c r="IR788" s="178"/>
      <c r="IS788" s="178"/>
      <c r="IT788" s="178"/>
      <c r="IU788" s="178"/>
      <c r="IV788" s="178"/>
      <c r="IW788" s="178"/>
      <c r="IX788" s="178"/>
      <c r="IY788" s="178"/>
      <c r="IZ788" s="178"/>
      <c r="JA788" s="178"/>
      <c r="JB788" s="178"/>
      <c r="JC788" s="178"/>
      <c r="JD788" s="178"/>
    </row>
    <row r="789">
      <c r="IE789" s="178"/>
      <c r="IF789" s="178"/>
      <c r="IG789" s="178"/>
      <c r="IH789" s="178"/>
      <c r="II789" s="178"/>
      <c r="IJ789" s="178"/>
      <c r="IK789" s="178"/>
      <c r="IL789" s="178"/>
      <c r="IM789" s="178"/>
      <c r="IN789" s="178"/>
      <c r="IO789" s="178"/>
      <c r="IP789" s="178"/>
      <c r="IQ789" s="178"/>
      <c r="IR789" s="178"/>
      <c r="IS789" s="178"/>
      <c r="IT789" s="178"/>
      <c r="IU789" s="178"/>
      <c r="IV789" s="178"/>
      <c r="IW789" s="178"/>
      <c r="IX789" s="178"/>
      <c r="IY789" s="178"/>
      <c r="IZ789" s="178"/>
      <c r="JA789" s="178"/>
      <c r="JB789" s="178"/>
      <c r="JC789" s="178"/>
      <c r="JD789" s="178"/>
    </row>
    <row r="790">
      <c r="IE790" s="178"/>
      <c r="IF790" s="178"/>
      <c r="IG790" s="178"/>
      <c r="IH790" s="178"/>
      <c r="II790" s="178"/>
      <c r="IJ790" s="178"/>
      <c r="IK790" s="178"/>
      <c r="IL790" s="178"/>
      <c r="IM790" s="178"/>
      <c r="IN790" s="178"/>
      <c r="IO790" s="178"/>
      <c r="IP790" s="178"/>
      <c r="IQ790" s="178"/>
      <c r="IR790" s="178"/>
      <c r="IS790" s="178"/>
      <c r="IT790" s="178"/>
      <c r="IU790" s="178"/>
      <c r="IV790" s="178"/>
      <c r="IW790" s="178"/>
      <c r="IX790" s="178"/>
      <c r="IY790" s="178"/>
      <c r="IZ790" s="178"/>
      <c r="JA790" s="178"/>
      <c r="JB790" s="178"/>
      <c r="JC790" s="178"/>
      <c r="JD790" s="178"/>
    </row>
    <row r="791">
      <c r="IE791" s="178"/>
      <c r="IF791" s="178"/>
      <c r="IG791" s="178"/>
      <c r="IH791" s="178"/>
      <c r="II791" s="178"/>
      <c r="IJ791" s="178"/>
      <c r="IK791" s="178"/>
      <c r="IL791" s="178"/>
      <c r="IM791" s="178"/>
      <c r="IN791" s="178"/>
      <c r="IO791" s="178"/>
      <c r="IP791" s="178"/>
      <c r="IQ791" s="178"/>
      <c r="IR791" s="178"/>
      <c r="IS791" s="178"/>
      <c r="IT791" s="178"/>
      <c r="IU791" s="178"/>
      <c r="IV791" s="178"/>
      <c r="IW791" s="178"/>
      <c r="IX791" s="178"/>
      <c r="IY791" s="178"/>
      <c r="IZ791" s="178"/>
      <c r="JA791" s="178"/>
      <c r="JB791" s="178"/>
      <c r="JC791" s="178"/>
      <c r="JD791" s="178"/>
    </row>
    <row r="792">
      <c r="IE792" s="178"/>
      <c r="IF792" s="178"/>
      <c r="IG792" s="178"/>
      <c r="IH792" s="178"/>
      <c r="II792" s="178"/>
      <c r="IJ792" s="178"/>
      <c r="IK792" s="178"/>
      <c r="IL792" s="178"/>
      <c r="IM792" s="178"/>
      <c r="IN792" s="178"/>
      <c r="IO792" s="178"/>
      <c r="IP792" s="178"/>
      <c r="IQ792" s="178"/>
      <c r="IR792" s="178"/>
      <c r="IS792" s="178"/>
      <c r="IT792" s="178"/>
      <c r="IU792" s="178"/>
      <c r="IV792" s="178"/>
      <c r="IW792" s="178"/>
      <c r="IX792" s="178"/>
      <c r="IY792" s="178"/>
      <c r="IZ792" s="178"/>
      <c r="JA792" s="178"/>
      <c r="JB792" s="178"/>
      <c r="JC792" s="178"/>
      <c r="JD792" s="178"/>
    </row>
    <row r="793">
      <c r="IE793" s="178"/>
      <c r="IF793" s="178"/>
      <c r="IG793" s="178"/>
      <c r="IH793" s="178"/>
      <c r="II793" s="178"/>
      <c r="IJ793" s="178"/>
      <c r="IK793" s="178"/>
      <c r="IL793" s="178"/>
      <c r="IM793" s="178"/>
      <c r="IN793" s="178"/>
      <c r="IO793" s="178"/>
      <c r="IP793" s="178"/>
      <c r="IQ793" s="178"/>
      <c r="IR793" s="178"/>
      <c r="IS793" s="178"/>
      <c r="IT793" s="178"/>
      <c r="IU793" s="178"/>
      <c r="IV793" s="178"/>
      <c r="IW793" s="178"/>
      <c r="IX793" s="178"/>
      <c r="IY793" s="178"/>
      <c r="IZ793" s="178"/>
      <c r="JA793" s="178"/>
      <c r="JB793" s="178"/>
      <c r="JC793" s="178"/>
      <c r="JD793" s="178"/>
    </row>
    <row r="794">
      <c r="IE794" s="178"/>
      <c r="IF794" s="178"/>
      <c r="IG794" s="178"/>
      <c r="IH794" s="178"/>
      <c r="II794" s="178"/>
      <c r="IJ794" s="178"/>
      <c r="IK794" s="178"/>
      <c r="IL794" s="178"/>
      <c r="IM794" s="178"/>
      <c r="IN794" s="178"/>
      <c r="IO794" s="178"/>
      <c r="IP794" s="178"/>
      <c r="IQ794" s="178"/>
      <c r="IR794" s="178"/>
      <c r="IS794" s="178"/>
      <c r="IT794" s="178"/>
      <c r="IU794" s="178"/>
      <c r="IV794" s="178"/>
      <c r="IW794" s="178"/>
      <c r="IX794" s="178"/>
      <c r="IY794" s="178"/>
      <c r="IZ794" s="178"/>
      <c r="JA794" s="178"/>
      <c r="JB794" s="178"/>
      <c r="JC794" s="178"/>
      <c r="JD794" s="178"/>
    </row>
    <row r="795">
      <c r="IE795" s="178"/>
      <c r="IF795" s="178"/>
      <c r="IG795" s="178"/>
      <c r="IH795" s="178"/>
      <c r="II795" s="178"/>
      <c r="IJ795" s="178"/>
      <c r="IK795" s="178"/>
      <c r="IL795" s="178"/>
      <c r="IM795" s="178"/>
      <c r="IN795" s="178"/>
      <c r="IO795" s="178"/>
      <c r="IP795" s="178"/>
      <c r="IQ795" s="178"/>
      <c r="IR795" s="178"/>
      <c r="IS795" s="178"/>
      <c r="IT795" s="178"/>
      <c r="IU795" s="178"/>
      <c r="IV795" s="178"/>
      <c r="IW795" s="178"/>
      <c r="IX795" s="178"/>
      <c r="IY795" s="178"/>
      <c r="IZ795" s="178"/>
      <c r="JA795" s="178"/>
      <c r="JB795" s="178"/>
      <c r="JC795" s="178"/>
      <c r="JD795" s="178"/>
    </row>
    <row r="796">
      <c r="IE796" s="178"/>
      <c r="IF796" s="178"/>
      <c r="IG796" s="178"/>
      <c r="IH796" s="178"/>
      <c r="II796" s="178"/>
      <c r="IJ796" s="178"/>
      <c r="IK796" s="178"/>
      <c r="IL796" s="178"/>
      <c r="IM796" s="178"/>
      <c r="IN796" s="178"/>
      <c r="IO796" s="178"/>
      <c r="IP796" s="178"/>
      <c r="IQ796" s="178"/>
      <c r="IR796" s="178"/>
      <c r="IS796" s="178"/>
      <c r="IT796" s="178"/>
      <c r="IU796" s="178"/>
      <c r="IV796" s="178"/>
      <c r="IW796" s="178"/>
      <c r="IX796" s="178"/>
      <c r="IY796" s="178"/>
      <c r="IZ796" s="178"/>
      <c r="JA796" s="178"/>
      <c r="JB796" s="178"/>
      <c r="JC796" s="178"/>
      <c r="JD796" s="178"/>
    </row>
    <row r="797">
      <c r="IE797" s="178"/>
      <c r="IF797" s="178"/>
      <c r="IG797" s="178"/>
      <c r="IH797" s="178"/>
      <c r="II797" s="178"/>
      <c r="IJ797" s="178"/>
      <c r="IK797" s="178"/>
      <c r="IL797" s="178"/>
      <c r="IM797" s="178"/>
      <c r="IN797" s="178"/>
      <c r="IO797" s="178"/>
      <c r="IP797" s="178"/>
      <c r="IQ797" s="178"/>
      <c r="IR797" s="178"/>
      <c r="IS797" s="178"/>
      <c r="IT797" s="178"/>
      <c r="IU797" s="178"/>
      <c r="IV797" s="178"/>
      <c r="IW797" s="178"/>
      <c r="IX797" s="178"/>
      <c r="IY797" s="178"/>
      <c r="IZ797" s="178"/>
      <c r="JA797" s="178"/>
      <c r="JB797" s="178"/>
      <c r="JC797" s="178"/>
      <c r="JD797" s="178"/>
    </row>
    <row r="798">
      <c r="IE798" s="178"/>
      <c r="IF798" s="178"/>
      <c r="IG798" s="178"/>
      <c r="IH798" s="178"/>
      <c r="II798" s="178"/>
      <c r="IJ798" s="178"/>
      <c r="IK798" s="178"/>
      <c r="IL798" s="178"/>
      <c r="IM798" s="178"/>
      <c r="IN798" s="178"/>
      <c r="IO798" s="178"/>
      <c r="IP798" s="178"/>
      <c r="IQ798" s="178"/>
      <c r="IR798" s="178"/>
      <c r="IS798" s="178"/>
      <c r="IT798" s="178"/>
      <c r="IU798" s="178"/>
      <c r="IV798" s="178"/>
      <c r="IW798" s="178"/>
      <c r="IX798" s="178"/>
      <c r="IY798" s="178"/>
      <c r="IZ798" s="178"/>
      <c r="JA798" s="178"/>
      <c r="JB798" s="178"/>
      <c r="JC798" s="178"/>
      <c r="JD798" s="178"/>
    </row>
    <row r="799">
      <c r="IE799" s="178"/>
      <c r="IF799" s="178"/>
      <c r="IG799" s="178"/>
      <c r="IH799" s="178"/>
      <c r="II799" s="178"/>
      <c r="IJ799" s="178"/>
      <c r="IK799" s="178"/>
      <c r="IL799" s="178"/>
      <c r="IM799" s="178"/>
      <c r="IN799" s="178"/>
      <c r="IO799" s="178"/>
      <c r="IP799" s="178"/>
      <c r="IQ799" s="178"/>
      <c r="IR799" s="178"/>
      <c r="IS799" s="178"/>
      <c r="IT799" s="178"/>
      <c r="IU799" s="178"/>
      <c r="IV799" s="178"/>
      <c r="IW799" s="178"/>
      <c r="IX799" s="178"/>
      <c r="IY799" s="178"/>
      <c r="IZ799" s="178"/>
      <c r="JA799" s="178"/>
      <c r="JB799" s="178"/>
      <c r="JC799" s="178"/>
      <c r="JD799" s="178"/>
    </row>
    <row r="800">
      <c r="IE800" s="178"/>
      <c r="IF800" s="178"/>
      <c r="IG800" s="178"/>
      <c r="IH800" s="178"/>
      <c r="II800" s="178"/>
      <c r="IJ800" s="178"/>
      <c r="IK800" s="178"/>
      <c r="IL800" s="178"/>
      <c r="IM800" s="178"/>
      <c r="IN800" s="178"/>
      <c r="IO800" s="178"/>
      <c r="IP800" s="178"/>
      <c r="IQ800" s="178"/>
      <c r="IR800" s="178"/>
      <c r="IS800" s="178"/>
      <c r="IT800" s="178"/>
      <c r="IU800" s="178"/>
      <c r="IV800" s="178"/>
      <c r="IW800" s="178"/>
      <c r="IX800" s="178"/>
      <c r="IY800" s="178"/>
      <c r="IZ800" s="178"/>
      <c r="JA800" s="178"/>
      <c r="JB800" s="178"/>
      <c r="JC800" s="178"/>
      <c r="JD800" s="178"/>
    </row>
    <row r="801">
      <c r="IE801" s="178"/>
      <c r="IF801" s="178"/>
      <c r="IG801" s="178"/>
      <c r="IH801" s="178"/>
      <c r="II801" s="178"/>
      <c r="IJ801" s="178"/>
      <c r="IK801" s="178"/>
      <c r="IL801" s="178"/>
      <c r="IM801" s="178"/>
      <c r="IN801" s="178"/>
      <c r="IO801" s="178"/>
      <c r="IP801" s="178"/>
      <c r="IQ801" s="178"/>
      <c r="IR801" s="178"/>
      <c r="IS801" s="178"/>
      <c r="IT801" s="178"/>
      <c r="IU801" s="178"/>
      <c r="IV801" s="178"/>
      <c r="IW801" s="178"/>
      <c r="IX801" s="178"/>
      <c r="IY801" s="178"/>
      <c r="IZ801" s="178"/>
      <c r="JA801" s="178"/>
      <c r="JB801" s="178"/>
      <c r="JC801" s="178"/>
      <c r="JD801" s="178"/>
    </row>
    <row r="802">
      <c r="IE802" s="178"/>
      <c r="IF802" s="178"/>
      <c r="IG802" s="178"/>
      <c r="IH802" s="178"/>
      <c r="II802" s="178"/>
      <c r="IJ802" s="178"/>
      <c r="IK802" s="178"/>
      <c r="IL802" s="178"/>
      <c r="IM802" s="178"/>
      <c r="IN802" s="178"/>
      <c r="IO802" s="178"/>
      <c r="IP802" s="178"/>
      <c r="IQ802" s="178"/>
      <c r="IR802" s="178"/>
      <c r="IS802" s="178"/>
      <c r="IT802" s="178"/>
      <c r="IU802" s="178"/>
      <c r="IV802" s="178"/>
      <c r="IW802" s="178"/>
      <c r="IX802" s="178"/>
      <c r="IY802" s="178"/>
      <c r="IZ802" s="178"/>
      <c r="JA802" s="178"/>
      <c r="JB802" s="178"/>
      <c r="JC802" s="178"/>
      <c r="JD802" s="178"/>
    </row>
    <row r="803">
      <c r="IE803" s="178"/>
      <c r="IF803" s="178"/>
      <c r="IG803" s="178"/>
      <c r="IH803" s="178"/>
      <c r="II803" s="178"/>
      <c r="IJ803" s="178"/>
      <c r="IK803" s="178"/>
      <c r="IL803" s="178"/>
      <c r="IM803" s="178"/>
      <c r="IN803" s="178"/>
      <c r="IO803" s="178"/>
      <c r="IP803" s="178"/>
      <c r="IQ803" s="178"/>
      <c r="IR803" s="178"/>
      <c r="IS803" s="178"/>
      <c r="IT803" s="178"/>
      <c r="IU803" s="178"/>
      <c r="IV803" s="178"/>
      <c r="IW803" s="178"/>
      <c r="IX803" s="178"/>
      <c r="IY803" s="178"/>
      <c r="IZ803" s="178"/>
      <c r="JA803" s="178"/>
      <c r="JB803" s="178"/>
      <c r="JC803" s="178"/>
      <c r="JD803" s="178"/>
    </row>
    <row r="804">
      <c r="IE804" s="178"/>
      <c r="IF804" s="178"/>
      <c r="IG804" s="178"/>
      <c r="IH804" s="178"/>
      <c r="II804" s="178"/>
      <c r="IJ804" s="178"/>
      <c r="IK804" s="178"/>
      <c r="IL804" s="178"/>
      <c r="IM804" s="178"/>
      <c r="IN804" s="178"/>
      <c r="IO804" s="178"/>
      <c r="IP804" s="178"/>
      <c r="IQ804" s="178"/>
      <c r="IR804" s="178"/>
      <c r="IS804" s="178"/>
      <c r="IT804" s="178"/>
      <c r="IU804" s="178"/>
      <c r="IV804" s="178"/>
      <c r="IW804" s="178"/>
      <c r="IX804" s="178"/>
      <c r="IY804" s="178"/>
      <c r="IZ804" s="178"/>
      <c r="JA804" s="178"/>
      <c r="JB804" s="178"/>
      <c r="JC804" s="178"/>
      <c r="JD804" s="178"/>
    </row>
    <row r="805">
      <c r="IE805" s="178"/>
      <c r="IF805" s="178"/>
      <c r="IG805" s="178"/>
      <c r="IH805" s="178"/>
      <c r="II805" s="178"/>
      <c r="IJ805" s="178"/>
      <c r="IK805" s="178"/>
      <c r="IL805" s="178"/>
      <c r="IM805" s="178"/>
      <c r="IN805" s="178"/>
      <c r="IO805" s="178"/>
      <c r="IP805" s="178"/>
      <c r="IQ805" s="178"/>
      <c r="IR805" s="178"/>
      <c r="IS805" s="178"/>
      <c r="IT805" s="178"/>
      <c r="IU805" s="178"/>
      <c r="IV805" s="178"/>
      <c r="IW805" s="178"/>
      <c r="IX805" s="178"/>
      <c r="IY805" s="178"/>
      <c r="IZ805" s="178"/>
      <c r="JA805" s="178"/>
      <c r="JB805" s="178"/>
      <c r="JC805" s="178"/>
      <c r="JD805" s="178"/>
    </row>
    <row r="806">
      <c r="IE806" s="178"/>
      <c r="IF806" s="178"/>
      <c r="IG806" s="178"/>
      <c r="IH806" s="178"/>
      <c r="II806" s="178"/>
      <c r="IJ806" s="178"/>
      <c r="IK806" s="178"/>
      <c r="IL806" s="178"/>
      <c r="IM806" s="178"/>
      <c r="IN806" s="178"/>
      <c r="IO806" s="178"/>
      <c r="IP806" s="178"/>
      <c r="IQ806" s="178"/>
      <c r="IR806" s="178"/>
      <c r="IS806" s="178"/>
      <c r="IT806" s="178"/>
      <c r="IU806" s="178"/>
      <c r="IV806" s="178"/>
      <c r="IW806" s="178"/>
      <c r="IX806" s="178"/>
      <c r="IY806" s="178"/>
      <c r="IZ806" s="178"/>
      <c r="JA806" s="178"/>
      <c r="JB806" s="178"/>
      <c r="JC806" s="178"/>
      <c r="JD806" s="178"/>
    </row>
    <row r="807">
      <c r="IE807" s="178"/>
      <c r="IF807" s="178"/>
      <c r="IG807" s="178"/>
      <c r="IH807" s="178"/>
      <c r="II807" s="178"/>
      <c r="IJ807" s="178"/>
      <c r="IK807" s="178"/>
      <c r="IL807" s="178"/>
      <c r="IM807" s="178"/>
      <c r="IN807" s="178"/>
      <c r="IO807" s="178"/>
      <c r="IP807" s="178"/>
      <c r="IQ807" s="178"/>
      <c r="IR807" s="178"/>
      <c r="IS807" s="178"/>
      <c r="IT807" s="178"/>
      <c r="IU807" s="178"/>
      <c r="IV807" s="178"/>
      <c r="IW807" s="178"/>
      <c r="IX807" s="178"/>
      <c r="IY807" s="178"/>
      <c r="IZ807" s="178"/>
      <c r="JA807" s="178"/>
      <c r="JB807" s="178"/>
      <c r="JC807" s="178"/>
      <c r="JD807" s="178"/>
    </row>
    <row r="808">
      <c r="IE808" s="178"/>
      <c r="IF808" s="178"/>
      <c r="IG808" s="178"/>
      <c r="IH808" s="178"/>
      <c r="II808" s="178"/>
      <c r="IJ808" s="178"/>
      <c r="IK808" s="178"/>
      <c r="IL808" s="178"/>
      <c r="IM808" s="178"/>
      <c r="IN808" s="178"/>
      <c r="IO808" s="178"/>
      <c r="IP808" s="178"/>
      <c r="IQ808" s="178"/>
      <c r="IR808" s="178"/>
      <c r="IS808" s="178"/>
      <c r="IT808" s="178"/>
      <c r="IU808" s="178"/>
      <c r="IV808" s="178"/>
      <c r="IW808" s="178"/>
      <c r="IX808" s="178"/>
      <c r="IY808" s="178"/>
      <c r="IZ808" s="178"/>
      <c r="JA808" s="178"/>
      <c r="JB808" s="178"/>
      <c r="JC808" s="178"/>
      <c r="JD808" s="178"/>
    </row>
    <row r="809">
      <c r="IE809" s="178"/>
      <c r="IF809" s="178"/>
      <c r="IG809" s="178"/>
      <c r="IH809" s="178"/>
      <c r="II809" s="178"/>
      <c r="IJ809" s="178"/>
      <c r="IK809" s="178"/>
      <c r="IL809" s="178"/>
      <c r="IM809" s="178"/>
      <c r="IN809" s="178"/>
      <c r="IO809" s="178"/>
      <c r="IP809" s="178"/>
      <c r="IQ809" s="178"/>
      <c r="IR809" s="178"/>
      <c r="IS809" s="178"/>
      <c r="IT809" s="178"/>
      <c r="IU809" s="178"/>
      <c r="IV809" s="178"/>
      <c r="IW809" s="178"/>
      <c r="IX809" s="178"/>
      <c r="IY809" s="178"/>
      <c r="IZ809" s="178"/>
      <c r="JA809" s="178"/>
      <c r="JB809" s="178"/>
      <c r="JC809" s="178"/>
      <c r="JD809" s="178"/>
    </row>
    <row r="810">
      <c r="IE810" s="178"/>
      <c r="IF810" s="178"/>
      <c r="IG810" s="178"/>
      <c r="IH810" s="178"/>
      <c r="II810" s="178"/>
      <c r="IJ810" s="178"/>
      <c r="IK810" s="178"/>
      <c r="IL810" s="178"/>
      <c r="IM810" s="178"/>
      <c r="IN810" s="178"/>
      <c r="IO810" s="178"/>
      <c r="IP810" s="178"/>
      <c r="IQ810" s="178"/>
      <c r="IR810" s="178"/>
      <c r="IS810" s="178"/>
      <c r="IT810" s="178"/>
      <c r="IU810" s="178"/>
      <c r="IV810" s="178"/>
      <c r="IW810" s="178"/>
      <c r="IX810" s="178"/>
      <c r="IY810" s="178"/>
      <c r="IZ810" s="178"/>
      <c r="JA810" s="178"/>
      <c r="JB810" s="178"/>
      <c r="JC810" s="178"/>
      <c r="JD810" s="178"/>
    </row>
    <row r="811">
      <c r="IE811" s="178"/>
      <c r="IF811" s="178"/>
      <c r="IG811" s="178"/>
      <c r="IH811" s="178"/>
      <c r="II811" s="178"/>
      <c r="IJ811" s="178"/>
      <c r="IK811" s="178"/>
      <c r="IL811" s="178"/>
      <c r="IM811" s="178"/>
      <c r="IN811" s="178"/>
      <c r="IO811" s="178"/>
      <c r="IP811" s="178"/>
      <c r="IQ811" s="178"/>
      <c r="IR811" s="178"/>
      <c r="IS811" s="178"/>
      <c r="IT811" s="178"/>
      <c r="IU811" s="178"/>
      <c r="IV811" s="178"/>
      <c r="IW811" s="178"/>
      <c r="IX811" s="178"/>
      <c r="IY811" s="178"/>
      <c r="IZ811" s="178"/>
      <c r="JA811" s="178"/>
      <c r="JB811" s="178"/>
      <c r="JC811" s="178"/>
      <c r="JD811" s="178"/>
    </row>
    <row r="812">
      <c r="IE812" s="178"/>
      <c r="IF812" s="178"/>
      <c r="IG812" s="178"/>
      <c r="IH812" s="178"/>
      <c r="II812" s="178"/>
      <c r="IJ812" s="178"/>
      <c r="IK812" s="178"/>
      <c r="IL812" s="178"/>
      <c r="IM812" s="178"/>
      <c r="IN812" s="178"/>
      <c r="IO812" s="178"/>
      <c r="IP812" s="178"/>
      <c r="IQ812" s="178"/>
      <c r="IR812" s="178"/>
      <c r="IS812" s="178"/>
      <c r="IT812" s="178"/>
      <c r="IU812" s="178"/>
      <c r="IV812" s="178"/>
      <c r="IW812" s="178"/>
      <c r="IX812" s="178"/>
      <c r="IY812" s="178"/>
      <c r="IZ812" s="178"/>
      <c r="JA812" s="178"/>
      <c r="JB812" s="178"/>
      <c r="JC812" s="178"/>
      <c r="JD812" s="178"/>
    </row>
    <row r="813">
      <c r="IE813" s="178"/>
      <c r="IF813" s="178"/>
      <c r="IG813" s="178"/>
      <c r="IH813" s="178"/>
      <c r="II813" s="178"/>
      <c r="IJ813" s="178"/>
      <c r="IK813" s="178"/>
      <c r="IL813" s="178"/>
      <c r="IM813" s="178"/>
      <c r="IN813" s="178"/>
      <c r="IO813" s="178"/>
      <c r="IP813" s="178"/>
      <c r="IQ813" s="178"/>
      <c r="IR813" s="178"/>
      <c r="IS813" s="178"/>
      <c r="IT813" s="178"/>
      <c r="IU813" s="178"/>
      <c r="IV813" s="178"/>
      <c r="IW813" s="178"/>
      <c r="IX813" s="178"/>
      <c r="IY813" s="178"/>
      <c r="IZ813" s="178"/>
      <c r="JA813" s="178"/>
      <c r="JB813" s="178"/>
      <c r="JC813" s="178"/>
      <c r="JD813" s="178"/>
    </row>
    <row r="814">
      <c r="IE814" s="178"/>
      <c r="IF814" s="178"/>
      <c r="IG814" s="178"/>
      <c r="IH814" s="178"/>
      <c r="II814" s="178"/>
      <c r="IJ814" s="178"/>
      <c r="IK814" s="178"/>
      <c r="IL814" s="178"/>
      <c r="IM814" s="178"/>
      <c r="IN814" s="178"/>
      <c r="IO814" s="178"/>
      <c r="IP814" s="178"/>
      <c r="IQ814" s="178"/>
      <c r="IR814" s="178"/>
      <c r="IS814" s="178"/>
      <c r="IT814" s="178"/>
      <c r="IU814" s="178"/>
      <c r="IV814" s="178"/>
      <c r="IW814" s="178"/>
      <c r="IX814" s="178"/>
      <c r="IY814" s="178"/>
      <c r="IZ814" s="178"/>
      <c r="JA814" s="178"/>
      <c r="JB814" s="178"/>
      <c r="JC814" s="178"/>
      <c r="JD814" s="178"/>
    </row>
    <row r="815">
      <c r="IE815" s="178"/>
      <c r="IF815" s="178"/>
      <c r="IG815" s="178"/>
      <c r="IH815" s="178"/>
      <c r="II815" s="178"/>
      <c r="IJ815" s="178"/>
      <c r="IK815" s="178"/>
      <c r="IL815" s="178"/>
      <c r="IM815" s="178"/>
      <c r="IN815" s="178"/>
      <c r="IO815" s="178"/>
      <c r="IP815" s="178"/>
      <c r="IQ815" s="178"/>
      <c r="IR815" s="178"/>
      <c r="IS815" s="178"/>
      <c r="IT815" s="178"/>
      <c r="IU815" s="178"/>
      <c r="IV815" s="178"/>
      <c r="IW815" s="178"/>
      <c r="IX815" s="178"/>
      <c r="IY815" s="178"/>
      <c r="IZ815" s="178"/>
      <c r="JA815" s="178"/>
      <c r="JB815" s="178"/>
      <c r="JC815" s="178"/>
      <c r="JD815" s="178"/>
    </row>
    <row r="816">
      <c r="IE816" s="178"/>
      <c r="IF816" s="178"/>
      <c r="IG816" s="178"/>
      <c r="IH816" s="178"/>
      <c r="II816" s="178"/>
      <c r="IJ816" s="178"/>
      <c r="IK816" s="178"/>
      <c r="IL816" s="178"/>
      <c r="IM816" s="178"/>
      <c r="IN816" s="178"/>
      <c r="IO816" s="178"/>
      <c r="IP816" s="178"/>
      <c r="IQ816" s="178"/>
      <c r="IR816" s="178"/>
      <c r="IS816" s="178"/>
      <c r="IT816" s="178"/>
      <c r="IU816" s="178"/>
      <c r="IV816" s="178"/>
      <c r="IW816" s="178"/>
      <c r="IX816" s="178"/>
      <c r="IY816" s="178"/>
      <c r="IZ816" s="178"/>
      <c r="JA816" s="178"/>
      <c r="JB816" s="178"/>
      <c r="JC816" s="178"/>
      <c r="JD816" s="178"/>
    </row>
    <row r="817">
      <c r="IE817" s="178"/>
      <c r="IF817" s="178"/>
      <c r="IG817" s="178"/>
      <c r="IH817" s="178"/>
      <c r="II817" s="178"/>
      <c r="IJ817" s="178"/>
      <c r="IK817" s="178"/>
      <c r="IL817" s="178"/>
      <c r="IM817" s="178"/>
      <c r="IN817" s="178"/>
      <c r="IO817" s="178"/>
      <c r="IP817" s="178"/>
      <c r="IQ817" s="178"/>
      <c r="IR817" s="178"/>
      <c r="IS817" s="178"/>
      <c r="IT817" s="178"/>
      <c r="IU817" s="178"/>
      <c r="IV817" s="178"/>
      <c r="IW817" s="178"/>
      <c r="IX817" s="178"/>
      <c r="IY817" s="178"/>
      <c r="IZ817" s="178"/>
      <c r="JA817" s="178"/>
      <c r="JB817" s="178"/>
      <c r="JC817" s="178"/>
      <c r="JD817" s="178"/>
    </row>
    <row r="818">
      <c r="IE818" s="178"/>
      <c r="IF818" s="178"/>
      <c r="IG818" s="178"/>
      <c r="IH818" s="178"/>
      <c r="II818" s="178"/>
      <c r="IJ818" s="178"/>
      <c r="IK818" s="178"/>
      <c r="IL818" s="178"/>
      <c r="IM818" s="178"/>
      <c r="IN818" s="178"/>
      <c r="IO818" s="178"/>
      <c r="IP818" s="178"/>
      <c r="IQ818" s="178"/>
      <c r="IR818" s="178"/>
      <c r="IS818" s="178"/>
      <c r="IT818" s="178"/>
      <c r="IU818" s="178"/>
      <c r="IV818" s="178"/>
      <c r="IW818" s="178"/>
      <c r="IX818" s="178"/>
      <c r="IY818" s="178"/>
      <c r="IZ818" s="178"/>
      <c r="JA818" s="178"/>
      <c r="JB818" s="178"/>
      <c r="JC818" s="178"/>
      <c r="JD818" s="178"/>
    </row>
    <row r="819">
      <c r="IE819" s="178"/>
      <c r="IF819" s="178"/>
      <c r="IG819" s="178"/>
      <c r="IH819" s="178"/>
      <c r="II819" s="178"/>
      <c r="IJ819" s="178"/>
      <c r="IK819" s="178"/>
      <c r="IL819" s="178"/>
      <c r="IM819" s="178"/>
      <c r="IN819" s="178"/>
      <c r="IO819" s="178"/>
      <c r="IP819" s="178"/>
      <c r="IQ819" s="178"/>
      <c r="IR819" s="178"/>
      <c r="IS819" s="178"/>
      <c r="IT819" s="178"/>
      <c r="IU819" s="178"/>
      <c r="IV819" s="178"/>
      <c r="IW819" s="178"/>
      <c r="IX819" s="178"/>
      <c r="IY819" s="178"/>
      <c r="IZ819" s="178"/>
      <c r="JA819" s="178"/>
      <c r="JB819" s="178"/>
      <c r="JC819" s="178"/>
      <c r="JD819" s="178"/>
    </row>
    <row r="820">
      <c r="IE820" s="178"/>
      <c r="IF820" s="178"/>
      <c r="IG820" s="178"/>
      <c r="IH820" s="178"/>
      <c r="II820" s="178"/>
      <c r="IJ820" s="178"/>
      <c r="IK820" s="178"/>
      <c r="IL820" s="178"/>
      <c r="IM820" s="178"/>
      <c r="IN820" s="178"/>
      <c r="IO820" s="178"/>
      <c r="IP820" s="178"/>
      <c r="IQ820" s="178"/>
      <c r="IR820" s="178"/>
      <c r="IS820" s="178"/>
      <c r="IT820" s="178"/>
      <c r="IU820" s="178"/>
      <c r="IV820" s="178"/>
      <c r="IW820" s="178"/>
      <c r="IX820" s="178"/>
      <c r="IY820" s="178"/>
      <c r="IZ820" s="178"/>
      <c r="JA820" s="178"/>
      <c r="JB820" s="178"/>
      <c r="JC820" s="178"/>
      <c r="JD820" s="178"/>
    </row>
    <row r="821">
      <c r="IE821" s="178"/>
      <c r="IF821" s="178"/>
      <c r="IG821" s="178"/>
      <c r="IH821" s="178"/>
      <c r="II821" s="178"/>
      <c r="IJ821" s="178"/>
      <c r="IK821" s="178"/>
      <c r="IL821" s="178"/>
      <c r="IM821" s="178"/>
      <c r="IN821" s="178"/>
      <c r="IO821" s="178"/>
      <c r="IP821" s="178"/>
      <c r="IQ821" s="178"/>
      <c r="IR821" s="178"/>
      <c r="IS821" s="178"/>
      <c r="IT821" s="178"/>
      <c r="IU821" s="178"/>
      <c r="IV821" s="178"/>
      <c r="IW821" s="178"/>
      <c r="IX821" s="178"/>
      <c r="IY821" s="178"/>
      <c r="IZ821" s="178"/>
      <c r="JA821" s="178"/>
      <c r="JB821" s="178"/>
      <c r="JC821" s="178"/>
      <c r="JD821" s="178"/>
    </row>
    <row r="822">
      <c r="IE822" s="178"/>
      <c r="IF822" s="178"/>
      <c r="IG822" s="178"/>
      <c r="IH822" s="178"/>
      <c r="II822" s="178"/>
      <c r="IJ822" s="178"/>
      <c r="IK822" s="178"/>
      <c r="IL822" s="178"/>
      <c r="IM822" s="178"/>
      <c r="IN822" s="178"/>
      <c r="IO822" s="178"/>
      <c r="IP822" s="178"/>
      <c r="IQ822" s="178"/>
      <c r="IR822" s="178"/>
      <c r="IS822" s="178"/>
      <c r="IT822" s="178"/>
      <c r="IU822" s="178"/>
      <c r="IV822" s="178"/>
      <c r="IW822" s="178"/>
      <c r="IX822" s="178"/>
      <c r="IY822" s="178"/>
      <c r="IZ822" s="178"/>
      <c r="JA822" s="178"/>
      <c r="JB822" s="178"/>
      <c r="JC822" s="178"/>
      <c r="JD822" s="178"/>
    </row>
    <row r="823">
      <c r="IE823" s="178"/>
      <c r="IF823" s="178"/>
      <c r="IG823" s="178"/>
      <c r="IH823" s="178"/>
      <c r="II823" s="178"/>
      <c r="IJ823" s="178"/>
      <c r="IK823" s="178"/>
      <c r="IL823" s="178"/>
      <c r="IM823" s="178"/>
      <c r="IN823" s="178"/>
      <c r="IO823" s="178"/>
      <c r="IP823" s="178"/>
      <c r="IQ823" s="178"/>
      <c r="IR823" s="178"/>
      <c r="IS823" s="178"/>
      <c r="IT823" s="178"/>
      <c r="IU823" s="178"/>
      <c r="IV823" s="178"/>
      <c r="IW823" s="178"/>
      <c r="IX823" s="178"/>
      <c r="IY823" s="178"/>
      <c r="IZ823" s="178"/>
      <c r="JA823" s="178"/>
      <c r="JB823" s="178"/>
      <c r="JC823" s="178"/>
      <c r="JD823" s="178"/>
    </row>
    <row r="824">
      <c r="IE824" s="178"/>
      <c r="IF824" s="178"/>
      <c r="IG824" s="178"/>
      <c r="IH824" s="178"/>
      <c r="II824" s="178"/>
      <c r="IJ824" s="178"/>
      <c r="IK824" s="178"/>
      <c r="IL824" s="178"/>
      <c r="IM824" s="178"/>
      <c r="IN824" s="178"/>
      <c r="IO824" s="178"/>
      <c r="IP824" s="178"/>
      <c r="IQ824" s="178"/>
      <c r="IR824" s="178"/>
      <c r="IS824" s="178"/>
      <c r="IT824" s="178"/>
      <c r="IU824" s="178"/>
      <c r="IV824" s="178"/>
      <c r="IW824" s="178"/>
      <c r="IX824" s="178"/>
      <c r="IY824" s="178"/>
      <c r="IZ824" s="178"/>
      <c r="JA824" s="178"/>
      <c r="JB824" s="178"/>
      <c r="JC824" s="178"/>
      <c r="JD824" s="178"/>
    </row>
    <row r="825">
      <c r="IE825" s="178"/>
      <c r="IF825" s="178"/>
      <c r="IG825" s="178"/>
      <c r="IH825" s="178"/>
      <c r="II825" s="178"/>
      <c r="IJ825" s="178"/>
      <c r="IK825" s="178"/>
      <c r="IL825" s="178"/>
      <c r="IM825" s="178"/>
      <c r="IN825" s="178"/>
      <c r="IO825" s="178"/>
      <c r="IP825" s="178"/>
      <c r="IQ825" s="178"/>
      <c r="IR825" s="178"/>
      <c r="IS825" s="178"/>
      <c r="IT825" s="178"/>
      <c r="IU825" s="178"/>
      <c r="IV825" s="178"/>
      <c r="IW825" s="178"/>
      <c r="IX825" s="178"/>
      <c r="IY825" s="178"/>
      <c r="IZ825" s="178"/>
      <c r="JA825" s="178"/>
      <c r="JB825" s="178"/>
      <c r="JC825" s="178"/>
      <c r="JD825" s="178"/>
    </row>
    <row r="826">
      <c r="IE826" s="178"/>
      <c r="IF826" s="178"/>
      <c r="IG826" s="178"/>
      <c r="IH826" s="178"/>
      <c r="II826" s="178"/>
      <c r="IJ826" s="178"/>
      <c r="IK826" s="178"/>
      <c r="IL826" s="178"/>
      <c r="IM826" s="178"/>
      <c r="IN826" s="178"/>
      <c r="IO826" s="178"/>
      <c r="IP826" s="178"/>
      <c r="IQ826" s="178"/>
      <c r="IR826" s="178"/>
      <c r="IS826" s="178"/>
      <c r="IT826" s="178"/>
      <c r="IU826" s="178"/>
      <c r="IV826" s="178"/>
      <c r="IW826" s="178"/>
      <c r="IX826" s="178"/>
      <c r="IY826" s="178"/>
      <c r="IZ826" s="178"/>
      <c r="JA826" s="178"/>
      <c r="JB826" s="178"/>
      <c r="JC826" s="178"/>
      <c r="JD826" s="178"/>
    </row>
    <row r="827">
      <c r="IE827" s="178"/>
      <c r="IF827" s="178"/>
      <c r="IG827" s="178"/>
      <c r="IH827" s="178"/>
      <c r="II827" s="178"/>
      <c r="IJ827" s="178"/>
      <c r="IK827" s="178"/>
      <c r="IL827" s="178"/>
      <c r="IM827" s="178"/>
      <c r="IN827" s="178"/>
      <c r="IO827" s="178"/>
      <c r="IP827" s="178"/>
      <c r="IQ827" s="178"/>
      <c r="IR827" s="178"/>
      <c r="IS827" s="178"/>
      <c r="IT827" s="178"/>
      <c r="IU827" s="178"/>
      <c r="IV827" s="178"/>
      <c r="IW827" s="178"/>
      <c r="IX827" s="178"/>
      <c r="IY827" s="178"/>
      <c r="IZ827" s="178"/>
      <c r="JA827" s="178"/>
      <c r="JB827" s="178"/>
      <c r="JC827" s="178"/>
      <c r="JD827" s="178"/>
    </row>
    <row r="828">
      <c r="IE828" s="178"/>
      <c r="IF828" s="178"/>
      <c r="IG828" s="178"/>
      <c r="IH828" s="178"/>
      <c r="II828" s="178"/>
      <c r="IJ828" s="178"/>
      <c r="IK828" s="178"/>
      <c r="IL828" s="178"/>
      <c r="IM828" s="178"/>
      <c r="IN828" s="178"/>
      <c r="IO828" s="178"/>
      <c r="IP828" s="178"/>
      <c r="IQ828" s="178"/>
      <c r="IR828" s="178"/>
      <c r="IS828" s="178"/>
      <c r="IT828" s="178"/>
      <c r="IU828" s="178"/>
      <c r="IV828" s="178"/>
      <c r="IW828" s="178"/>
      <c r="IX828" s="178"/>
      <c r="IY828" s="178"/>
      <c r="IZ828" s="178"/>
      <c r="JA828" s="178"/>
      <c r="JB828" s="178"/>
      <c r="JC828" s="178"/>
      <c r="JD828" s="178"/>
    </row>
    <row r="829">
      <c r="IE829" s="178"/>
      <c r="IF829" s="178"/>
      <c r="IG829" s="178"/>
      <c r="IH829" s="178"/>
      <c r="II829" s="178"/>
      <c r="IJ829" s="178"/>
      <c r="IK829" s="178"/>
      <c r="IL829" s="178"/>
      <c r="IM829" s="178"/>
      <c r="IN829" s="178"/>
      <c r="IO829" s="178"/>
      <c r="IP829" s="178"/>
      <c r="IQ829" s="178"/>
      <c r="IR829" s="178"/>
      <c r="IS829" s="178"/>
      <c r="IT829" s="178"/>
      <c r="IU829" s="178"/>
      <c r="IV829" s="178"/>
      <c r="IW829" s="178"/>
      <c r="IX829" s="178"/>
      <c r="IY829" s="178"/>
      <c r="IZ829" s="178"/>
      <c r="JA829" s="178"/>
      <c r="JB829" s="178"/>
      <c r="JC829" s="178"/>
      <c r="JD829" s="178"/>
    </row>
    <row r="830">
      <c r="IE830" s="178"/>
      <c r="IF830" s="178"/>
      <c r="IG830" s="178"/>
      <c r="IH830" s="178"/>
      <c r="II830" s="178"/>
      <c r="IJ830" s="178"/>
      <c r="IK830" s="178"/>
      <c r="IL830" s="178"/>
      <c r="IM830" s="178"/>
      <c r="IN830" s="178"/>
      <c r="IO830" s="178"/>
      <c r="IP830" s="178"/>
      <c r="IQ830" s="178"/>
      <c r="IR830" s="178"/>
      <c r="IS830" s="178"/>
      <c r="IT830" s="178"/>
      <c r="IU830" s="178"/>
      <c r="IV830" s="178"/>
      <c r="IW830" s="178"/>
      <c r="IX830" s="178"/>
      <c r="IY830" s="178"/>
      <c r="IZ830" s="178"/>
      <c r="JA830" s="178"/>
      <c r="JB830" s="178"/>
      <c r="JC830" s="178"/>
      <c r="JD830" s="178"/>
    </row>
    <row r="831">
      <c r="IE831" s="178"/>
      <c r="IF831" s="178"/>
      <c r="IG831" s="178"/>
      <c r="IH831" s="178"/>
      <c r="II831" s="178"/>
      <c r="IJ831" s="178"/>
      <c r="IK831" s="178"/>
      <c r="IL831" s="178"/>
      <c r="IM831" s="178"/>
      <c r="IN831" s="178"/>
      <c r="IO831" s="178"/>
      <c r="IP831" s="178"/>
      <c r="IQ831" s="178"/>
      <c r="IR831" s="178"/>
      <c r="IS831" s="178"/>
      <c r="IT831" s="178"/>
      <c r="IU831" s="178"/>
      <c r="IV831" s="178"/>
      <c r="IW831" s="178"/>
      <c r="IX831" s="178"/>
      <c r="IY831" s="178"/>
      <c r="IZ831" s="178"/>
      <c r="JA831" s="178"/>
      <c r="JB831" s="178"/>
      <c r="JC831" s="178"/>
      <c r="JD831" s="178"/>
    </row>
    <row r="832">
      <c r="IE832" s="178"/>
      <c r="IF832" s="178"/>
      <c r="IG832" s="178"/>
      <c r="IH832" s="178"/>
      <c r="II832" s="178"/>
      <c r="IJ832" s="178"/>
      <c r="IK832" s="178"/>
      <c r="IL832" s="178"/>
      <c r="IM832" s="178"/>
      <c r="IN832" s="178"/>
      <c r="IO832" s="178"/>
      <c r="IP832" s="178"/>
      <c r="IQ832" s="178"/>
      <c r="IR832" s="178"/>
      <c r="IS832" s="178"/>
      <c r="IT832" s="178"/>
      <c r="IU832" s="178"/>
      <c r="IV832" s="178"/>
      <c r="IW832" s="178"/>
      <c r="IX832" s="178"/>
      <c r="IY832" s="178"/>
      <c r="IZ832" s="178"/>
      <c r="JA832" s="178"/>
      <c r="JB832" s="178"/>
      <c r="JC832" s="178"/>
      <c r="JD832" s="178"/>
    </row>
    <row r="833">
      <c r="IE833" s="178"/>
      <c r="IF833" s="178"/>
      <c r="IG833" s="178"/>
      <c r="IH833" s="178"/>
      <c r="II833" s="178"/>
      <c r="IJ833" s="178"/>
      <c r="IK833" s="178"/>
      <c r="IL833" s="178"/>
      <c r="IM833" s="178"/>
      <c r="IN833" s="178"/>
      <c r="IO833" s="178"/>
      <c r="IP833" s="178"/>
      <c r="IQ833" s="178"/>
      <c r="IR833" s="178"/>
      <c r="IS833" s="178"/>
      <c r="IT833" s="178"/>
      <c r="IU833" s="178"/>
      <c r="IV833" s="178"/>
      <c r="IW833" s="178"/>
      <c r="IX833" s="178"/>
      <c r="IY833" s="178"/>
      <c r="IZ833" s="178"/>
      <c r="JA833" s="178"/>
      <c r="JB833" s="178"/>
      <c r="JC833" s="178"/>
      <c r="JD833" s="178"/>
    </row>
    <row r="834">
      <c r="IE834" s="178"/>
      <c r="IF834" s="178"/>
      <c r="IG834" s="178"/>
      <c r="IH834" s="178"/>
      <c r="II834" s="178"/>
      <c r="IJ834" s="178"/>
      <c r="IK834" s="178"/>
      <c r="IL834" s="178"/>
      <c r="IM834" s="178"/>
      <c r="IN834" s="178"/>
      <c r="IO834" s="178"/>
      <c r="IP834" s="178"/>
      <c r="IQ834" s="178"/>
      <c r="IR834" s="178"/>
      <c r="IS834" s="178"/>
      <c r="IT834" s="178"/>
      <c r="IU834" s="178"/>
      <c r="IV834" s="178"/>
      <c r="IW834" s="178"/>
      <c r="IX834" s="178"/>
      <c r="IY834" s="178"/>
      <c r="IZ834" s="178"/>
      <c r="JA834" s="178"/>
      <c r="JB834" s="178"/>
      <c r="JC834" s="178"/>
      <c r="JD834" s="178"/>
    </row>
    <row r="835">
      <c r="IE835" s="178"/>
      <c r="IF835" s="178"/>
      <c r="IG835" s="178"/>
      <c r="IH835" s="178"/>
      <c r="II835" s="178"/>
      <c r="IJ835" s="178"/>
      <c r="IK835" s="178"/>
      <c r="IL835" s="178"/>
      <c r="IM835" s="178"/>
      <c r="IN835" s="178"/>
      <c r="IO835" s="178"/>
      <c r="IP835" s="178"/>
      <c r="IQ835" s="178"/>
      <c r="IR835" s="178"/>
      <c r="IS835" s="178"/>
      <c r="IT835" s="178"/>
      <c r="IU835" s="178"/>
      <c r="IV835" s="178"/>
      <c r="IW835" s="178"/>
      <c r="IX835" s="178"/>
      <c r="IY835" s="178"/>
      <c r="IZ835" s="178"/>
      <c r="JA835" s="178"/>
      <c r="JB835" s="178"/>
      <c r="JC835" s="178"/>
      <c r="JD835" s="178"/>
    </row>
    <row r="836">
      <c r="IE836" s="178"/>
      <c r="IF836" s="178"/>
      <c r="IG836" s="178"/>
      <c r="IH836" s="178"/>
      <c r="II836" s="178"/>
      <c r="IJ836" s="178"/>
      <c r="IK836" s="178"/>
      <c r="IL836" s="178"/>
      <c r="IM836" s="178"/>
      <c r="IN836" s="178"/>
      <c r="IO836" s="178"/>
      <c r="IP836" s="178"/>
      <c r="IQ836" s="178"/>
      <c r="IR836" s="178"/>
      <c r="IS836" s="178"/>
      <c r="IT836" s="178"/>
      <c r="IU836" s="178"/>
      <c r="IV836" s="178"/>
      <c r="IW836" s="178"/>
      <c r="IX836" s="178"/>
      <c r="IY836" s="178"/>
      <c r="IZ836" s="178"/>
      <c r="JA836" s="178"/>
      <c r="JB836" s="178"/>
      <c r="JC836" s="178"/>
      <c r="JD836" s="178"/>
    </row>
    <row r="837">
      <c r="IE837" s="178"/>
      <c r="IF837" s="178"/>
      <c r="IG837" s="178"/>
      <c r="IH837" s="178"/>
      <c r="II837" s="178"/>
      <c r="IJ837" s="178"/>
      <c r="IK837" s="178"/>
      <c r="IL837" s="178"/>
      <c r="IM837" s="178"/>
      <c r="IN837" s="178"/>
      <c r="IO837" s="178"/>
      <c r="IP837" s="178"/>
      <c r="IQ837" s="178"/>
      <c r="IR837" s="178"/>
      <c r="IS837" s="178"/>
      <c r="IT837" s="178"/>
      <c r="IU837" s="178"/>
      <c r="IV837" s="178"/>
      <c r="IW837" s="178"/>
      <c r="IX837" s="178"/>
      <c r="IY837" s="178"/>
      <c r="IZ837" s="178"/>
      <c r="JA837" s="178"/>
      <c r="JB837" s="178"/>
      <c r="JC837" s="178"/>
      <c r="JD837" s="178"/>
    </row>
    <row r="838">
      <c r="IE838" s="178"/>
      <c r="IF838" s="178"/>
      <c r="IG838" s="178"/>
      <c r="IH838" s="178"/>
      <c r="II838" s="178"/>
      <c r="IJ838" s="178"/>
      <c r="IK838" s="178"/>
      <c r="IL838" s="178"/>
      <c r="IM838" s="178"/>
      <c r="IN838" s="178"/>
      <c r="IO838" s="178"/>
      <c r="IP838" s="178"/>
      <c r="IQ838" s="178"/>
      <c r="IR838" s="178"/>
      <c r="IS838" s="178"/>
      <c r="IT838" s="178"/>
      <c r="IU838" s="178"/>
      <c r="IV838" s="178"/>
      <c r="IW838" s="178"/>
      <c r="IX838" s="178"/>
      <c r="IY838" s="178"/>
      <c r="IZ838" s="178"/>
      <c r="JA838" s="178"/>
      <c r="JB838" s="178"/>
      <c r="JC838" s="178"/>
      <c r="JD838" s="178"/>
    </row>
    <row r="839">
      <c r="IE839" s="178"/>
      <c r="IF839" s="178"/>
      <c r="IG839" s="178"/>
      <c r="IH839" s="178"/>
      <c r="II839" s="178"/>
      <c r="IJ839" s="178"/>
      <c r="IK839" s="178"/>
      <c r="IL839" s="178"/>
      <c r="IM839" s="178"/>
      <c r="IN839" s="178"/>
      <c r="IO839" s="178"/>
      <c r="IP839" s="178"/>
      <c r="IQ839" s="178"/>
      <c r="IR839" s="178"/>
      <c r="IS839" s="178"/>
      <c r="IT839" s="178"/>
      <c r="IU839" s="178"/>
      <c r="IV839" s="178"/>
      <c r="IW839" s="178"/>
      <c r="IX839" s="178"/>
      <c r="IY839" s="178"/>
      <c r="IZ839" s="178"/>
      <c r="JA839" s="178"/>
      <c r="JB839" s="178"/>
      <c r="JC839" s="178"/>
      <c r="JD839" s="178"/>
    </row>
    <row r="840">
      <c r="IE840" s="178"/>
      <c r="IF840" s="178"/>
      <c r="IG840" s="178"/>
      <c r="IH840" s="178"/>
      <c r="II840" s="178"/>
      <c r="IJ840" s="178"/>
      <c r="IK840" s="178"/>
      <c r="IL840" s="178"/>
      <c r="IM840" s="178"/>
      <c r="IN840" s="178"/>
      <c r="IO840" s="178"/>
      <c r="IP840" s="178"/>
      <c r="IQ840" s="178"/>
      <c r="IR840" s="178"/>
      <c r="IS840" s="178"/>
      <c r="IT840" s="178"/>
      <c r="IU840" s="178"/>
      <c r="IV840" s="178"/>
      <c r="IW840" s="178"/>
      <c r="IX840" s="178"/>
      <c r="IY840" s="178"/>
      <c r="IZ840" s="178"/>
      <c r="JA840" s="178"/>
      <c r="JB840" s="178"/>
      <c r="JC840" s="178"/>
      <c r="JD840" s="178"/>
    </row>
    <row r="841">
      <c r="IE841" s="178"/>
      <c r="IF841" s="178"/>
      <c r="IG841" s="178"/>
      <c r="IH841" s="178"/>
      <c r="II841" s="178"/>
      <c r="IJ841" s="178"/>
      <c r="IK841" s="178"/>
      <c r="IL841" s="178"/>
      <c r="IM841" s="178"/>
      <c r="IN841" s="178"/>
      <c r="IO841" s="178"/>
      <c r="IP841" s="178"/>
      <c r="IQ841" s="178"/>
      <c r="IR841" s="178"/>
      <c r="IS841" s="178"/>
      <c r="IT841" s="178"/>
      <c r="IU841" s="178"/>
      <c r="IV841" s="178"/>
      <c r="IW841" s="178"/>
      <c r="IX841" s="178"/>
      <c r="IY841" s="178"/>
      <c r="IZ841" s="178"/>
      <c r="JA841" s="178"/>
      <c r="JB841" s="178"/>
      <c r="JC841" s="178"/>
      <c r="JD841" s="178"/>
    </row>
    <row r="842">
      <c r="IE842" s="178"/>
      <c r="IF842" s="178"/>
      <c r="IG842" s="178"/>
      <c r="IH842" s="178"/>
      <c r="II842" s="178"/>
      <c r="IJ842" s="178"/>
      <c r="IK842" s="178"/>
      <c r="IL842" s="178"/>
      <c r="IM842" s="178"/>
      <c r="IN842" s="178"/>
      <c r="IO842" s="178"/>
      <c r="IP842" s="178"/>
      <c r="IQ842" s="178"/>
      <c r="IR842" s="178"/>
      <c r="IS842" s="178"/>
      <c r="IT842" s="178"/>
      <c r="IU842" s="178"/>
      <c r="IV842" s="178"/>
      <c r="IW842" s="178"/>
      <c r="IX842" s="178"/>
      <c r="IY842" s="178"/>
      <c r="IZ842" s="178"/>
      <c r="JA842" s="178"/>
      <c r="JB842" s="178"/>
      <c r="JC842" s="178"/>
      <c r="JD842" s="178"/>
    </row>
    <row r="843">
      <c r="IE843" s="178"/>
      <c r="IF843" s="178"/>
      <c r="IG843" s="178"/>
      <c r="IH843" s="178"/>
      <c r="II843" s="178"/>
      <c r="IJ843" s="178"/>
      <c r="IK843" s="178"/>
      <c r="IL843" s="178"/>
      <c r="IM843" s="178"/>
      <c r="IN843" s="178"/>
      <c r="IO843" s="178"/>
      <c r="IP843" s="178"/>
      <c r="IQ843" s="178"/>
      <c r="IR843" s="178"/>
      <c r="IS843" s="178"/>
      <c r="IT843" s="178"/>
      <c r="IU843" s="178"/>
      <c r="IV843" s="178"/>
      <c r="IW843" s="178"/>
      <c r="IX843" s="178"/>
      <c r="IY843" s="178"/>
      <c r="IZ843" s="178"/>
      <c r="JA843" s="178"/>
      <c r="JB843" s="178"/>
      <c r="JC843" s="178"/>
      <c r="JD843" s="178"/>
    </row>
    <row r="844">
      <c r="IE844" s="178"/>
      <c r="IF844" s="178"/>
      <c r="IG844" s="178"/>
      <c r="IH844" s="178"/>
      <c r="II844" s="178"/>
      <c r="IJ844" s="178"/>
      <c r="IK844" s="178"/>
      <c r="IL844" s="178"/>
      <c r="IM844" s="178"/>
      <c r="IN844" s="178"/>
      <c r="IO844" s="178"/>
      <c r="IP844" s="178"/>
      <c r="IQ844" s="178"/>
      <c r="IR844" s="178"/>
      <c r="IS844" s="178"/>
      <c r="IT844" s="178"/>
      <c r="IU844" s="178"/>
      <c r="IV844" s="178"/>
      <c r="IW844" s="178"/>
      <c r="IX844" s="178"/>
      <c r="IY844" s="178"/>
      <c r="IZ844" s="178"/>
      <c r="JA844" s="178"/>
      <c r="JB844" s="178"/>
      <c r="JC844" s="178"/>
      <c r="JD844" s="178"/>
    </row>
    <row r="845">
      <c r="IE845" s="178"/>
      <c r="IF845" s="178"/>
      <c r="IG845" s="178"/>
      <c r="IH845" s="178"/>
      <c r="II845" s="178"/>
      <c r="IJ845" s="178"/>
      <c r="IK845" s="178"/>
      <c r="IL845" s="178"/>
      <c r="IM845" s="178"/>
      <c r="IN845" s="178"/>
      <c r="IO845" s="178"/>
      <c r="IP845" s="178"/>
      <c r="IQ845" s="178"/>
      <c r="IR845" s="178"/>
      <c r="IS845" s="178"/>
      <c r="IT845" s="178"/>
      <c r="IU845" s="178"/>
      <c r="IV845" s="178"/>
      <c r="IW845" s="178"/>
      <c r="IX845" s="178"/>
      <c r="IY845" s="178"/>
      <c r="IZ845" s="178"/>
      <c r="JA845" s="178"/>
      <c r="JB845" s="178"/>
      <c r="JC845" s="178"/>
      <c r="JD845" s="178"/>
    </row>
    <row r="846">
      <c r="IE846" s="178"/>
      <c r="IF846" s="178"/>
      <c r="IG846" s="178"/>
      <c r="IH846" s="178"/>
      <c r="II846" s="178"/>
      <c r="IJ846" s="178"/>
      <c r="IK846" s="178"/>
      <c r="IL846" s="178"/>
      <c r="IM846" s="178"/>
      <c r="IN846" s="178"/>
      <c r="IO846" s="178"/>
      <c r="IP846" s="178"/>
      <c r="IQ846" s="178"/>
      <c r="IR846" s="178"/>
      <c r="IS846" s="178"/>
      <c r="IT846" s="178"/>
      <c r="IU846" s="178"/>
      <c r="IV846" s="178"/>
      <c r="IW846" s="178"/>
      <c r="IX846" s="178"/>
      <c r="IY846" s="178"/>
      <c r="IZ846" s="178"/>
      <c r="JA846" s="178"/>
      <c r="JB846" s="178"/>
      <c r="JC846" s="178"/>
      <c r="JD846" s="178"/>
    </row>
    <row r="847">
      <c r="IE847" s="178"/>
      <c r="IF847" s="178"/>
      <c r="IG847" s="178"/>
      <c r="IH847" s="178"/>
      <c r="II847" s="178"/>
      <c r="IJ847" s="178"/>
      <c r="IK847" s="178"/>
      <c r="IL847" s="178"/>
      <c r="IM847" s="178"/>
      <c r="IN847" s="178"/>
      <c r="IO847" s="178"/>
      <c r="IP847" s="178"/>
      <c r="IQ847" s="178"/>
      <c r="IR847" s="178"/>
      <c r="IS847" s="178"/>
      <c r="IT847" s="178"/>
      <c r="IU847" s="178"/>
      <c r="IV847" s="178"/>
      <c r="IW847" s="178"/>
      <c r="IX847" s="178"/>
      <c r="IY847" s="178"/>
      <c r="IZ847" s="178"/>
      <c r="JA847" s="178"/>
      <c r="JB847" s="178"/>
      <c r="JC847" s="178"/>
      <c r="JD847" s="178"/>
    </row>
    <row r="848">
      <c r="IE848" s="178"/>
      <c r="IF848" s="178"/>
      <c r="IG848" s="178"/>
      <c r="IH848" s="178"/>
      <c r="II848" s="178"/>
      <c r="IJ848" s="178"/>
      <c r="IK848" s="178"/>
      <c r="IL848" s="178"/>
      <c r="IM848" s="178"/>
      <c r="IN848" s="178"/>
      <c r="IO848" s="178"/>
      <c r="IP848" s="178"/>
      <c r="IQ848" s="178"/>
      <c r="IR848" s="178"/>
      <c r="IS848" s="178"/>
      <c r="IT848" s="178"/>
      <c r="IU848" s="178"/>
      <c r="IV848" s="178"/>
      <c r="IW848" s="178"/>
      <c r="IX848" s="178"/>
      <c r="IY848" s="178"/>
      <c r="IZ848" s="178"/>
      <c r="JA848" s="178"/>
      <c r="JB848" s="178"/>
      <c r="JC848" s="178"/>
      <c r="JD848" s="178"/>
    </row>
    <row r="849">
      <c r="IE849" s="178"/>
      <c r="IF849" s="178"/>
      <c r="IG849" s="178"/>
      <c r="IH849" s="178"/>
      <c r="II849" s="178"/>
      <c r="IJ849" s="178"/>
      <c r="IK849" s="178"/>
      <c r="IL849" s="178"/>
      <c r="IM849" s="178"/>
      <c r="IN849" s="178"/>
      <c r="IO849" s="178"/>
      <c r="IP849" s="178"/>
      <c r="IQ849" s="178"/>
      <c r="IR849" s="178"/>
      <c r="IS849" s="178"/>
      <c r="IT849" s="178"/>
      <c r="IU849" s="178"/>
      <c r="IV849" s="178"/>
      <c r="IW849" s="178"/>
      <c r="IX849" s="178"/>
      <c r="IY849" s="178"/>
      <c r="IZ849" s="178"/>
      <c r="JA849" s="178"/>
      <c r="JB849" s="178"/>
      <c r="JC849" s="178"/>
      <c r="JD849" s="178"/>
    </row>
    <row r="850">
      <c r="IE850" s="178"/>
      <c r="IF850" s="178"/>
      <c r="IG850" s="178"/>
      <c r="IH850" s="178"/>
      <c r="II850" s="178"/>
      <c r="IJ850" s="178"/>
      <c r="IK850" s="178"/>
      <c r="IL850" s="178"/>
      <c r="IM850" s="178"/>
      <c r="IN850" s="178"/>
      <c r="IO850" s="178"/>
      <c r="IP850" s="178"/>
      <c r="IQ850" s="178"/>
      <c r="IR850" s="178"/>
      <c r="IS850" s="178"/>
      <c r="IT850" s="178"/>
      <c r="IU850" s="178"/>
      <c r="IV850" s="178"/>
      <c r="IW850" s="178"/>
      <c r="IX850" s="178"/>
      <c r="IY850" s="178"/>
      <c r="IZ850" s="178"/>
      <c r="JA850" s="178"/>
      <c r="JB850" s="178"/>
      <c r="JC850" s="178"/>
      <c r="JD850" s="178"/>
    </row>
    <row r="851">
      <c r="IE851" s="178"/>
      <c r="IF851" s="178"/>
      <c r="IG851" s="178"/>
      <c r="IH851" s="178"/>
      <c r="II851" s="178"/>
      <c r="IJ851" s="178"/>
      <c r="IK851" s="178"/>
      <c r="IL851" s="178"/>
      <c r="IM851" s="178"/>
      <c r="IN851" s="178"/>
      <c r="IO851" s="178"/>
      <c r="IP851" s="178"/>
      <c r="IQ851" s="178"/>
      <c r="IR851" s="178"/>
      <c r="IS851" s="178"/>
      <c r="IT851" s="178"/>
      <c r="IU851" s="178"/>
      <c r="IV851" s="178"/>
      <c r="IW851" s="178"/>
      <c r="IX851" s="178"/>
      <c r="IY851" s="178"/>
      <c r="IZ851" s="178"/>
      <c r="JA851" s="178"/>
      <c r="JB851" s="178"/>
      <c r="JC851" s="178"/>
      <c r="JD851" s="178"/>
    </row>
    <row r="852">
      <c r="IE852" s="178"/>
      <c r="IF852" s="178"/>
      <c r="IG852" s="178"/>
      <c r="IH852" s="178"/>
      <c r="II852" s="178"/>
      <c r="IJ852" s="178"/>
      <c r="IK852" s="178"/>
      <c r="IL852" s="178"/>
      <c r="IM852" s="178"/>
      <c r="IN852" s="178"/>
      <c r="IO852" s="178"/>
      <c r="IP852" s="178"/>
      <c r="IQ852" s="178"/>
      <c r="IR852" s="178"/>
      <c r="IS852" s="178"/>
      <c r="IT852" s="178"/>
      <c r="IU852" s="178"/>
      <c r="IV852" s="178"/>
      <c r="IW852" s="178"/>
      <c r="IX852" s="178"/>
      <c r="IY852" s="178"/>
      <c r="IZ852" s="178"/>
      <c r="JA852" s="178"/>
      <c r="JB852" s="178"/>
      <c r="JC852" s="178"/>
      <c r="JD852" s="178"/>
    </row>
    <row r="853">
      <c r="IE853" s="178"/>
      <c r="IF853" s="178"/>
      <c r="IG853" s="178"/>
      <c r="IH853" s="178"/>
      <c r="II853" s="178"/>
      <c r="IJ853" s="178"/>
      <c r="IK853" s="178"/>
      <c r="IL853" s="178"/>
      <c r="IM853" s="178"/>
      <c r="IN853" s="178"/>
      <c r="IO853" s="178"/>
      <c r="IP853" s="178"/>
      <c r="IQ853" s="178"/>
      <c r="IR853" s="178"/>
      <c r="IS853" s="178"/>
      <c r="IT853" s="178"/>
      <c r="IU853" s="178"/>
      <c r="IV853" s="178"/>
      <c r="IW853" s="178"/>
      <c r="IX853" s="178"/>
      <c r="IY853" s="178"/>
      <c r="IZ853" s="178"/>
      <c r="JA853" s="178"/>
      <c r="JB853" s="178"/>
      <c r="JC853" s="178"/>
      <c r="JD853" s="178"/>
    </row>
    <row r="854">
      <c r="IE854" s="178"/>
      <c r="IF854" s="178"/>
      <c r="IG854" s="178"/>
      <c r="IH854" s="178"/>
      <c r="II854" s="178"/>
      <c r="IJ854" s="178"/>
      <c r="IK854" s="178"/>
      <c r="IL854" s="178"/>
      <c r="IM854" s="178"/>
      <c r="IN854" s="178"/>
      <c r="IO854" s="178"/>
      <c r="IP854" s="178"/>
      <c r="IQ854" s="178"/>
      <c r="IR854" s="178"/>
      <c r="IS854" s="178"/>
      <c r="IT854" s="178"/>
      <c r="IU854" s="178"/>
      <c r="IV854" s="178"/>
      <c r="IW854" s="178"/>
      <c r="IX854" s="178"/>
      <c r="IY854" s="178"/>
      <c r="IZ854" s="178"/>
      <c r="JA854" s="178"/>
      <c r="JB854" s="178"/>
      <c r="JC854" s="178"/>
      <c r="JD854" s="178"/>
    </row>
    <row r="855">
      <c r="IE855" s="178"/>
      <c r="IF855" s="178"/>
      <c r="IG855" s="178"/>
      <c r="IH855" s="178"/>
      <c r="II855" s="178"/>
      <c r="IJ855" s="178"/>
      <c r="IK855" s="178"/>
      <c r="IL855" s="178"/>
      <c r="IM855" s="178"/>
      <c r="IN855" s="178"/>
      <c r="IO855" s="178"/>
      <c r="IP855" s="178"/>
      <c r="IQ855" s="178"/>
      <c r="IR855" s="178"/>
      <c r="IS855" s="178"/>
      <c r="IT855" s="178"/>
      <c r="IU855" s="178"/>
      <c r="IV855" s="178"/>
      <c r="IW855" s="178"/>
      <c r="IX855" s="178"/>
      <c r="IY855" s="178"/>
      <c r="IZ855" s="178"/>
      <c r="JA855" s="178"/>
      <c r="JB855" s="178"/>
      <c r="JC855" s="178"/>
      <c r="JD855" s="178"/>
    </row>
    <row r="856">
      <c r="IE856" s="178"/>
      <c r="IF856" s="178"/>
      <c r="IG856" s="178"/>
      <c r="IH856" s="178"/>
      <c r="II856" s="178"/>
      <c r="IJ856" s="178"/>
      <c r="IK856" s="178"/>
      <c r="IL856" s="178"/>
      <c r="IM856" s="178"/>
      <c r="IN856" s="178"/>
      <c r="IO856" s="178"/>
      <c r="IP856" s="178"/>
      <c r="IQ856" s="178"/>
      <c r="IR856" s="178"/>
      <c r="IS856" s="178"/>
      <c r="IT856" s="178"/>
      <c r="IU856" s="178"/>
      <c r="IV856" s="178"/>
      <c r="IW856" s="178"/>
      <c r="IX856" s="178"/>
      <c r="IY856" s="178"/>
      <c r="IZ856" s="178"/>
      <c r="JA856" s="178"/>
      <c r="JB856" s="178"/>
      <c r="JC856" s="178"/>
      <c r="JD856" s="178"/>
    </row>
    <row r="857">
      <c r="IE857" s="178"/>
      <c r="IF857" s="178"/>
      <c r="IG857" s="178"/>
      <c r="IH857" s="178"/>
      <c r="II857" s="178"/>
      <c r="IJ857" s="178"/>
      <c r="IK857" s="178"/>
      <c r="IL857" s="178"/>
      <c r="IM857" s="178"/>
      <c r="IN857" s="178"/>
      <c r="IO857" s="178"/>
      <c r="IP857" s="178"/>
      <c r="IQ857" s="178"/>
      <c r="IR857" s="178"/>
      <c r="IS857" s="178"/>
      <c r="IT857" s="178"/>
      <c r="IU857" s="178"/>
      <c r="IV857" s="178"/>
      <c r="IW857" s="178"/>
      <c r="IX857" s="178"/>
      <c r="IY857" s="178"/>
      <c r="IZ857" s="178"/>
      <c r="JA857" s="178"/>
      <c r="JB857" s="178"/>
      <c r="JC857" s="178"/>
      <c r="JD857" s="178"/>
    </row>
    <row r="858">
      <c r="IE858" s="178"/>
      <c r="IF858" s="178"/>
      <c r="IG858" s="178"/>
      <c r="IH858" s="178"/>
      <c r="II858" s="178"/>
      <c r="IJ858" s="178"/>
      <c r="IK858" s="178"/>
      <c r="IL858" s="178"/>
      <c r="IM858" s="178"/>
      <c r="IN858" s="178"/>
      <c r="IO858" s="178"/>
      <c r="IP858" s="178"/>
      <c r="IQ858" s="178"/>
      <c r="IR858" s="178"/>
      <c r="IS858" s="178"/>
      <c r="IT858" s="178"/>
      <c r="IU858" s="178"/>
      <c r="IV858" s="178"/>
      <c r="IW858" s="178"/>
      <c r="IX858" s="178"/>
      <c r="IY858" s="178"/>
      <c r="IZ858" s="178"/>
      <c r="JA858" s="178"/>
      <c r="JB858" s="178"/>
      <c r="JC858" s="178"/>
      <c r="JD858" s="178"/>
    </row>
    <row r="859">
      <c r="IE859" s="178"/>
      <c r="IF859" s="178"/>
      <c r="IG859" s="178"/>
      <c r="IH859" s="178"/>
      <c r="II859" s="178"/>
      <c r="IJ859" s="178"/>
      <c r="IK859" s="178"/>
      <c r="IL859" s="178"/>
      <c r="IM859" s="178"/>
      <c r="IN859" s="178"/>
      <c r="IO859" s="178"/>
      <c r="IP859" s="178"/>
      <c r="IQ859" s="178"/>
      <c r="IR859" s="178"/>
      <c r="IS859" s="178"/>
      <c r="IT859" s="178"/>
      <c r="IU859" s="178"/>
      <c r="IV859" s="178"/>
      <c r="IW859" s="178"/>
      <c r="IX859" s="178"/>
      <c r="IY859" s="178"/>
      <c r="IZ859" s="178"/>
      <c r="JA859" s="178"/>
      <c r="JB859" s="178"/>
      <c r="JC859" s="178"/>
      <c r="JD859" s="178"/>
    </row>
    <row r="860">
      <c r="IE860" s="178"/>
      <c r="IF860" s="178"/>
      <c r="IG860" s="178"/>
      <c r="IH860" s="178"/>
      <c r="II860" s="178"/>
      <c r="IJ860" s="178"/>
      <c r="IK860" s="178"/>
      <c r="IL860" s="178"/>
      <c r="IM860" s="178"/>
      <c r="IN860" s="178"/>
      <c r="IO860" s="178"/>
      <c r="IP860" s="178"/>
      <c r="IQ860" s="178"/>
      <c r="IR860" s="178"/>
      <c r="IS860" s="178"/>
      <c r="IT860" s="178"/>
      <c r="IU860" s="178"/>
      <c r="IV860" s="178"/>
      <c r="IW860" s="178"/>
      <c r="IX860" s="178"/>
      <c r="IY860" s="178"/>
      <c r="IZ860" s="178"/>
      <c r="JA860" s="178"/>
      <c r="JB860" s="178"/>
      <c r="JC860" s="178"/>
      <c r="JD860" s="178"/>
    </row>
    <row r="861">
      <c r="IE861" s="178"/>
      <c r="IF861" s="178"/>
      <c r="IG861" s="178"/>
      <c r="IH861" s="178"/>
      <c r="II861" s="178"/>
      <c r="IJ861" s="178"/>
      <c r="IK861" s="178"/>
      <c r="IL861" s="178"/>
      <c r="IM861" s="178"/>
      <c r="IN861" s="178"/>
      <c r="IO861" s="178"/>
      <c r="IP861" s="178"/>
      <c r="IQ861" s="178"/>
      <c r="IR861" s="178"/>
      <c r="IS861" s="178"/>
      <c r="IT861" s="178"/>
      <c r="IU861" s="178"/>
      <c r="IV861" s="178"/>
      <c r="IW861" s="178"/>
      <c r="IX861" s="178"/>
      <c r="IY861" s="178"/>
      <c r="IZ861" s="178"/>
      <c r="JA861" s="178"/>
      <c r="JB861" s="178"/>
      <c r="JC861" s="178"/>
      <c r="JD861" s="178"/>
    </row>
    <row r="862">
      <c r="IE862" s="178"/>
      <c r="IF862" s="178"/>
      <c r="IG862" s="178"/>
      <c r="IH862" s="178"/>
      <c r="II862" s="178"/>
      <c r="IJ862" s="178"/>
      <c r="IK862" s="178"/>
      <c r="IL862" s="178"/>
      <c r="IM862" s="178"/>
      <c r="IN862" s="178"/>
      <c r="IO862" s="178"/>
      <c r="IP862" s="178"/>
      <c r="IQ862" s="178"/>
      <c r="IR862" s="178"/>
      <c r="IS862" s="178"/>
      <c r="IT862" s="178"/>
      <c r="IU862" s="178"/>
      <c r="IV862" s="178"/>
      <c r="IW862" s="178"/>
      <c r="IX862" s="178"/>
      <c r="IY862" s="178"/>
      <c r="IZ862" s="178"/>
      <c r="JA862" s="178"/>
      <c r="JB862" s="178"/>
      <c r="JC862" s="178"/>
      <c r="JD862" s="178"/>
    </row>
    <row r="863">
      <c r="IE863" s="178"/>
      <c r="IF863" s="178"/>
      <c r="IG863" s="178"/>
      <c r="IH863" s="178"/>
      <c r="II863" s="178"/>
      <c r="IJ863" s="178"/>
      <c r="IK863" s="178"/>
      <c r="IL863" s="178"/>
      <c r="IM863" s="178"/>
      <c r="IN863" s="178"/>
      <c r="IO863" s="178"/>
      <c r="IP863" s="178"/>
      <c r="IQ863" s="178"/>
      <c r="IR863" s="178"/>
      <c r="IS863" s="178"/>
      <c r="IT863" s="178"/>
      <c r="IU863" s="178"/>
      <c r="IV863" s="178"/>
      <c r="IW863" s="178"/>
      <c r="IX863" s="178"/>
      <c r="IY863" s="178"/>
      <c r="IZ863" s="178"/>
      <c r="JA863" s="178"/>
      <c r="JB863" s="178"/>
      <c r="JC863" s="178"/>
      <c r="JD863" s="178"/>
    </row>
    <row r="864">
      <c r="IE864" s="178"/>
      <c r="IF864" s="178"/>
      <c r="IG864" s="178"/>
      <c r="IH864" s="178"/>
      <c r="II864" s="178"/>
      <c r="IJ864" s="178"/>
      <c r="IK864" s="178"/>
      <c r="IL864" s="178"/>
      <c r="IM864" s="178"/>
      <c r="IN864" s="178"/>
      <c r="IO864" s="178"/>
      <c r="IP864" s="178"/>
      <c r="IQ864" s="178"/>
      <c r="IR864" s="178"/>
      <c r="IS864" s="178"/>
      <c r="IT864" s="178"/>
      <c r="IU864" s="178"/>
      <c r="IV864" s="178"/>
      <c r="IW864" s="178"/>
      <c r="IX864" s="178"/>
      <c r="IY864" s="178"/>
      <c r="IZ864" s="178"/>
      <c r="JA864" s="178"/>
      <c r="JB864" s="178"/>
      <c r="JC864" s="178"/>
      <c r="JD864" s="178"/>
    </row>
    <row r="865">
      <c r="IE865" s="178"/>
      <c r="IF865" s="178"/>
      <c r="IG865" s="178"/>
      <c r="IH865" s="178"/>
      <c r="II865" s="178"/>
      <c r="IJ865" s="178"/>
      <c r="IK865" s="178"/>
      <c r="IL865" s="178"/>
      <c r="IM865" s="178"/>
      <c r="IN865" s="178"/>
      <c r="IO865" s="178"/>
      <c r="IP865" s="178"/>
      <c r="IQ865" s="178"/>
      <c r="IR865" s="178"/>
      <c r="IS865" s="178"/>
      <c r="IT865" s="178"/>
      <c r="IU865" s="178"/>
      <c r="IV865" s="178"/>
      <c r="IW865" s="178"/>
      <c r="IX865" s="178"/>
      <c r="IY865" s="178"/>
      <c r="IZ865" s="178"/>
      <c r="JA865" s="178"/>
      <c r="JB865" s="178"/>
      <c r="JC865" s="178"/>
      <c r="JD865" s="178"/>
    </row>
    <row r="866">
      <c r="IE866" s="178"/>
      <c r="IF866" s="178"/>
      <c r="IG866" s="178"/>
      <c r="IH866" s="178"/>
      <c r="II866" s="178"/>
      <c r="IJ866" s="178"/>
      <c r="IK866" s="178"/>
      <c r="IL866" s="178"/>
      <c r="IM866" s="178"/>
      <c r="IN866" s="178"/>
      <c r="IO866" s="178"/>
      <c r="IP866" s="178"/>
      <c r="IQ866" s="178"/>
      <c r="IR866" s="178"/>
      <c r="IS866" s="178"/>
      <c r="IT866" s="178"/>
      <c r="IU866" s="178"/>
      <c r="IV866" s="178"/>
      <c r="IW866" s="178"/>
      <c r="IX866" s="178"/>
      <c r="IY866" s="178"/>
      <c r="IZ866" s="178"/>
      <c r="JA866" s="178"/>
      <c r="JB866" s="178"/>
      <c r="JC866" s="178"/>
      <c r="JD866" s="178"/>
    </row>
    <row r="867">
      <c r="IE867" s="178"/>
      <c r="IF867" s="178"/>
      <c r="IG867" s="178"/>
      <c r="IH867" s="178"/>
      <c r="II867" s="178"/>
      <c r="IJ867" s="178"/>
      <c r="IK867" s="178"/>
      <c r="IL867" s="178"/>
      <c r="IM867" s="178"/>
      <c r="IN867" s="178"/>
      <c r="IO867" s="178"/>
      <c r="IP867" s="178"/>
      <c r="IQ867" s="178"/>
      <c r="IR867" s="178"/>
      <c r="IS867" s="178"/>
      <c r="IT867" s="178"/>
      <c r="IU867" s="178"/>
      <c r="IV867" s="178"/>
      <c r="IW867" s="178"/>
      <c r="IX867" s="178"/>
      <c r="IY867" s="178"/>
      <c r="IZ867" s="178"/>
      <c r="JA867" s="178"/>
      <c r="JB867" s="178"/>
      <c r="JC867" s="178"/>
      <c r="JD867" s="178"/>
    </row>
    <row r="868">
      <c r="IE868" s="178"/>
      <c r="IF868" s="178"/>
      <c r="IG868" s="178"/>
      <c r="IH868" s="178"/>
      <c r="II868" s="178"/>
      <c r="IJ868" s="178"/>
      <c r="IK868" s="178"/>
      <c r="IL868" s="178"/>
      <c r="IM868" s="178"/>
      <c r="IN868" s="178"/>
      <c r="IO868" s="178"/>
      <c r="IP868" s="178"/>
      <c r="IQ868" s="178"/>
      <c r="IR868" s="178"/>
      <c r="IS868" s="178"/>
      <c r="IT868" s="178"/>
      <c r="IU868" s="178"/>
      <c r="IV868" s="178"/>
      <c r="IW868" s="178"/>
      <c r="IX868" s="178"/>
      <c r="IY868" s="178"/>
      <c r="IZ868" s="178"/>
      <c r="JA868" s="178"/>
      <c r="JB868" s="178"/>
      <c r="JC868" s="178"/>
      <c r="JD868" s="178"/>
    </row>
    <row r="869">
      <c r="IE869" s="178"/>
      <c r="IF869" s="178"/>
      <c r="IG869" s="178"/>
      <c r="IH869" s="178"/>
      <c r="II869" s="178"/>
      <c r="IJ869" s="178"/>
      <c r="IK869" s="178"/>
      <c r="IL869" s="178"/>
      <c r="IM869" s="178"/>
      <c r="IN869" s="178"/>
      <c r="IO869" s="178"/>
      <c r="IP869" s="178"/>
      <c r="IQ869" s="178"/>
      <c r="IR869" s="178"/>
      <c r="IS869" s="178"/>
      <c r="IT869" s="178"/>
      <c r="IU869" s="178"/>
      <c r="IV869" s="178"/>
      <c r="IW869" s="178"/>
      <c r="IX869" s="178"/>
      <c r="IY869" s="178"/>
      <c r="IZ869" s="178"/>
      <c r="JA869" s="178"/>
      <c r="JB869" s="178"/>
      <c r="JC869" s="178"/>
      <c r="JD869" s="178"/>
    </row>
    <row r="870">
      <c r="IE870" s="178"/>
      <c r="IF870" s="178"/>
      <c r="IG870" s="178"/>
      <c r="IH870" s="178"/>
      <c r="II870" s="178"/>
      <c r="IJ870" s="178"/>
      <c r="IK870" s="178"/>
      <c r="IL870" s="178"/>
      <c r="IM870" s="178"/>
      <c r="IN870" s="178"/>
      <c r="IO870" s="178"/>
      <c r="IP870" s="178"/>
      <c r="IQ870" s="178"/>
      <c r="IR870" s="178"/>
      <c r="IS870" s="178"/>
      <c r="IT870" s="178"/>
      <c r="IU870" s="178"/>
      <c r="IV870" s="178"/>
      <c r="IW870" s="178"/>
      <c r="IX870" s="178"/>
      <c r="IY870" s="178"/>
      <c r="IZ870" s="178"/>
      <c r="JA870" s="178"/>
      <c r="JB870" s="178"/>
      <c r="JC870" s="178"/>
      <c r="JD870" s="178"/>
    </row>
    <row r="871">
      <c r="IE871" s="178"/>
      <c r="IF871" s="178"/>
      <c r="IG871" s="178"/>
      <c r="IH871" s="178"/>
      <c r="II871" s="178"/>
      <c r="IJ871" s="178"/>
      <c r="IK871" s="178"/>
      <c r="IL871" s="178"/>
      <c r="IM871" s="178"/>
      <c r="IN871" s="178"/>
      <c r="IO871" s="178"/>
      <c r="IP871" s="178"/>
      <c r="IQ871" s="178"/>
      <c r="IR871" s="178"/>
      <c r="IS871" s="178"/>
      <c r="IT871" s="178"/>
      <c r="IU871" s="178"/>
      <c r="IV871" s="178"/>
      <c r="IW871" s="178"/>
      <c r="IX871" s="178"/>
      <c r="IY871" s="178"/>
      <c r="IZ871" s="178"/>
      <c r="JA871" s="178"/>
      <c r="JB871" s="178"/>
      <c r="JC871" s="178"/>
      <c r="JD871" s="178"/>
    </row>
    <row r="872">
      <c r="IE872" s="178"/>
      <c r="IF872" s="178"/>
      <c r="IG872" s="178"/>
      <c r="IH872" s="178"/>
      <c r="II872" s="178"/>
      <c r="IJ872" s="178"/>
      <c r="IK872" s="178"/>
      <c r="IL872" s="178"/>
      <c r="IM872" s="178"/>
      <c r="IN872" s="178"/>
      <c r="IO872" s="178"/>
      <c r="IP872" s="178"/>
      <c r="IQ872" s="178"/>
      <c r="IR872" s="178"/>
      <c r="IS872" s="178"/>
      <c r="IT872" s="178"/>
      <c r="IU872" s="178"/>
      <c r="IV872" s="178"/>
      <c r="IW872" s="178"/>
      <c r="IX872" s="178"/>
      <c r="IY872" s="178"/>
      <c r="IZ872" s="178"/>
      <c r="JA872" s="178"/>
      <c r="JB872" s="178"/>
      <c r="JC872" s="178"/>
      <c r="JD872" s="178"/>
    </row>
    <row r="873">
      <c r="IE873" s="178"/>
      <c r="IF873" s="178"/>
      <c r="IG873" s="178"/>
      <c r="IH873" s="178"/>
      <c r="II873" s="178"/>
      <c r="IJ873" s="178"/>
      <c r="IK873" s="178"/>
      <c r="IL873" s="178"/>
      <c r="IM873" s="178"/>
      <c r="IN873" s="178"/>
      <c r="IO873" s="178"/>
      <c r="IP873" s="178"/>
      <c r="IQ873" s="178"/>
      <c r="IR873" s="178"/>
      <c r="IS873" s="178"/>
      <c r="IT873" s="178"/>
      <c r="IU873" s="178"/>
      <c r="IV873" s="178"/>
      <c r="IW873" s="178"/>
      <c r="IX873" s="178"/>
      <c r="IY873" s="178"/>
      <c r="IZ873" s="178"/>
      <c r="JA873" s="178"/>
      <c r="JB873" s="178"/>
      <c r="JC873" s="178"/>
      <c r="JD873" s="178"/>
    </row>
    <row r="874">
      <c r="IE874" s="178"/>
      <c r="IF874" s="178"/>
      <c r="IG874" s="178"/>
      <c r="IH874" s="178"/>
      <c r="II874" s="178"/>
      <c r="IJ874" s="178"/>
      <c r="IK874" s="178"/>
      <c r="IL874" s="178"/>
      <c r="IM874" s="178"/>
      <c r="IN874" s="178"/>
      <c r="IO874" s="178"/>
      <c r="IP874" s="178"/>
      <c r="IQ874" s="178"/>
      <c r="IR874" s="178"/>
      <c r="IS874" s="178"/>
      <c r="IT874" s="178"/>
      <c r="IU874" s="178"/>
      <c r="IV874" s="178"/>
      <c r="IW874" s="178"/>
      <c r="IX874" s="178"/>
      <c r="IY874" s="178"/>
      <c r="IZ874" s="178"/>
      <c r="JA874" s="178"/>
      <c r="JB874" s="178"/>
      <c r="JC874" s="178"/>
      <c r="JD874" s="178"/>
    </row>
    <row r="875">
      <c r="IE875" s="178"/>
      <c r="IF875" s="178"/>
      <c r="IG875" s="178"/>
      <c r="IH875" s="178"/>
      <c r="II875" s="178"/>
      <c r="IJ875" s="178"/>
      <c r="IK875" s="178"/>
      <c r="IL875" s="178"/>
      <c r="IM875" s="178"/>
      <c r="IN875" s="178"/>
      <c r="IO875" s="178"/>
      <c r="IP875" s="178"/>
      <c r="IQ875" s="178"/>
      <c r="IR875" s="178"/>
      <c r="IS875" s="178"/>
      <c r="IT875" s="178"/>
      <c r="IU875" s="178"/>
      <c r="IV875" s="178"/>
      <c r="IW875" s="178"/>
      <c r="IX875" s="178"/>
      <c r="IY875" s="178"/>
      <c r="IZ875" s="178"/>
      <c r="JA875" s="178"/>
      <c r="JB875" s="178"/>
      <c r="JC875" s="178"/>
      <c r="JD875" s="178"/>
    </row>
    <row r="876">
      <c r="IE876" s="178"/>
      <c r="IF876" s="178"/>
      <c r="IG876" s="178"/>
      <c r="IH876" s="178"/>
      <c r="II876" s="178"/>
      <c r="IJ876" s="178"/>
      <c r="IK876" s="178"/>
      <c r="IL876" s="178"/>
      <c r="IM876" s="178"/>
      <c r="IN876" s="178"/>
      <c r="IO876" s="178"/>
      <c r="IP876" s="178"/>
      <c r="IQ876" s="178"/>
      <c r="IR876" s="178"/>
      <c r="IS876" s="178"/>
      <c r="IT876" s="178"/>
      <c r="IU876" s="178"/>
      <c r="IV876" s="178"/>
      <c r="IW876" s="178"/>
      <c r="IX876" s="178"/>
      <c r="IY876" s="178"/>
      <c r="IZ876" s="178"/>
      <c r="JA876" s="178"/>
      <c r="JB876" s="178"/>
      <c r="JC876" s="178"/>
      <c r="JD876" s="178"/>
    </row>
    <row r="877">
      <c r="IE877" s="178"/>
      <c r="IF877" s="178"/>
      <c r="IG877" s="178"/>
      <c r="IH877" s="178"/>
      <c r="II877" s="178"/>
      <c r="IJ877" s="178"/>
      <c r="IK877" s="178"/>
      <c r="IL877" s="178"/>
      <c r="IM877" s="178"/>
      <c r="IN877" s="178"/>
      <c r="IO877" s="178"/>
      <c r="IP877" s="178"/>
      <c r="IQ877" s="178"/>
      <c r="IR877" s="178"/>
      <c r="IS877" s="178"/>
      <c r="IT877" s="178"/>
      <c r="IU877" s="178"/>
      <c r="IV877" s="178"/>
      <c r="IW877" s="178"/>
      <c r="IX877" s="178"/>
      <c r="IY877" s="178"/>
      <c r="IZ877" s="178"/>
      <c r="JA877" s="178"/>
      <c r="JB877" s="178"/>
      <c r="JC877" s="178"/>
      <c r="JD877" s="178"/>
    </row>
    <row r="878">
      <c r="IE878" s="178"/>
      <c r="IF878" s="178"/>
      <c r="IG878" s="178"/>
      <c r="IH878" s="178"/>
      <c r="II878" s="178"/>
      <c r="IJ878" s="178"/>
      <c r="IK878" s="178"/>
      <c r="IL878" s="178"/>
      <c r="IM878" s="178"/>
      <c r="IN878" s="178"/>
      <c r="IO878" s="178"/>
      <c r="IP878" s="178"/>
      <c r="IQ878" s="178"/>
      <c r="IR878" s="178"/>
      <c r="IS878" s="178"/>
      <c r="IT878" s="178"/>
      <c r="IU878" s="178"/>
      <c r="IV878" s="178"/>
      <c r="IW878" s="178"/>
      <c r="IX878" s="178"/>
      <c r="IY878" s="178"/>
      <c r="IZ878" s="178"/>
      <c r="JA878" s="178"/>
      <c r="JB878" s="178"/>
      <c r="JC878" s="178"/>
      <c r="JD878" s="178"/>
    </row>
    <row r="879">
      <c r="IE879" s="178"/>
      <c r="IF879" s="178"/>
      <c r="IG879" s="178"/>
      <c r="IH879" s="178"/>
      <c r="II879" s="178"/>
      <c r="IJ879" s="178"/>
      <c r="IK879" s="178"/>
      <c r="IL879" s="178"/>
      <c r="IM879" s="178"/>
      <c r="IN879" s="178"/>
      <c r="IO879" s="178"/>
      <c r="IP879" s="178"/>
      <c r="IQ879" s="178"/>
      <c r="IR879" s="178"/>
      <c r="IS879" s="178"/>
      <c r="IT879" s="178"/>
      <c r="IU879" s="178"/>
      <c r="IV879" s="178"/>
      <c r="IW879" s="178"/>
      <c r="IX879" s="178"/>
      <c r="IY879" s="178"/>
      <c r="IZ879" s="178"/>
      <c r="JA879" s="178"/>
      <c r="JB879" s="178"/>
      <c r="JC879" s="178"/>
      <c r="JD879" s="178"/>
    </row>
    <row r="880">
      <c r="IE880" s="178"/>
      <c r="IF880" s="178"/>
      <c r="IG880" s="178"/>
      <c r="IH880" s="178"/>
      <c r="II880" s="178"/>
      <c r="IJ880" s="178"/>
      <c r="IK880" s="178"/>
      <c r="IL880" s="178"/>
      <c r="IM880" s="178"/>
      <c r="IN880" s="178"/>
      <c r="IO880" s="178"/>
      <c r="IP880" s="178"/>
      <c r="IQ880" s="178"/>
      <c r="IR880" s="178"/>
      <c r="IS880" s="178"/>
      <c r="IT880" s="178"/>
      <c r="IU880" s="178"/>
      <c r="IV880" s="178"/>
      <c r="IW880" s="178"/>
      <c r="IX880" s="178"/>
      <c r="IY880" s="178"/>
      <c r="IZ880" s="178"/>
      <c r="JA880" s="178"/>
      <c r="JB880" s="178"/>
      <c r="JC880" s="178"/>
      <c r="JD880" s="178"/>
    </row>
    <row r="881">
      <c r="IE881" s="178"/>
      <c r="IF881" s="178"/>
      <c r="IG881" s="178"/>
      <c r="IH881" s="178"/>
      <c r="II881" s="178"/>
      <c r="IJ881" s="178"/>
      <c r="IK881" s="178"/>
      <c r="IL881" s="178"/>
      <c r="IM881" s="178"/>
      <c r="IN881" s="178"/>
      <c r="IO881" s="178"/>
      <c r="IP881" s="178"/>
      <c r="IQ881" s="178"/>
      <c r="IR881" s="178"/>
      <c r="IS881" s="178"/>
      <c r="IT881" s="178"/>
      <c r="IU881" s="178"/>
      <c r="IV881" s="178"/>
      <c r="IW881" s="178"/>
      <c r="IX881" s="178"/>
      <c r="IY881" s="178"/>
      <c r="IZ881" s="178"/>
      <c r="JA881" s="178"/>
      <c r="JB881" s="178"/>
      <c r="JC881" s="178"/>
      <c r="JD881" s="178"/>
    </row>
    <row r="882">
      <c r="IE882" s="178"/>
      <c r="IF882" s="178"/>
      <c r="IG882" s="178"/>
      <c r="IH882" s="178"/>
      <c r="II882" s="178"/>
      <c r="IJ882" s="178"/>
      <c r="IK882" s="178"/>
      <c r="IL882" s="178"/>
      <c r="IM882" s="178"/>
      <c r="IN882" s="178"/>
      <c r="IO882" s="178"/>
      <c r="IP882" s="178"/>
      <c r="IQ882" s="178"/>
      <c r="IR882" s="178"/>
      <c r="IS882" s="178"/>
      <c r="IT882" s="178"/>
      <c r="IU882" s="178"/>
      <c r="IV882" s="178"/>
      <c r="IW882" s="178"/>
      <c r="IX882" s="178"/>
      <c r="IY882" s="178"/>
      <c r="IZ882" s="178"/>
      <c r="JA882" s="178"/>
      <c r="JB882" s="178"/>
      <c r="JC882" s="178"/>
      <c r="JD882" s="178"/>
    </row>
    <row r="883">
      <c r="IE883" s="178"/>
      <c r="IF883" s="178"/>
      <c r="IG883" s="178"/>
      <c r="IH883" s="178"/>
      <c r="II883" s="178"/>
      <c r="IJ883" s="178"/>
      <c r="IK883" s="178"/>
      <c r="IL883" s="178"/>
      <c r="IM883" s="178"/>
      <c r="IN883" s="178"/>
      <c r="IO883" s="178"/>
      <c r="IP883" s="178"/>
      <c r="IQ883" s="178"/>
      <c r="IR883" s="178"/>
      <c r="IS883" s="178"/>
      <c r="IT883" s="178"/>
      <c r="IU883" s="178"/>
      <c r="IV883" s="178"/>
      <c r="IW883" s="178"/>
      <c r="IX883" s="178"/>
      <c r="IY883" s="178"/>
      <c r="IZ883" s="178"/>
      <c r="JA883" s="178"/>
      <c r="JB883" s="178"/>
      <c r="JC883" s="178"/>
      <c r="JD883" s="178"/>
    </row>
    <row r="884">
      <c r="IE884" s="178"/>
      <c r="IF884" s="178"/>
      <c r="IG884" s="178"/>
      <c r="IH884" s="178"/>
      <c r="II884" s="178"/>
      <c r="IJ884" s="178"/>
      <c r="IK884" s="178"/>
      <c r="IL884" s="178"/>
      <c r="IM884" s="178"/>
      <c r="IN884" s="178"/>
      <c r="IO884" s="178"/>
      <c r="IP884" s="178"/>
      <c r="IQ884" s="178"/>
      <c r="IR884" s="178"/>
      <c r="IS884" s="178"/>
      <c r="IT884" s="178"/>
      <c r="IU884" s="178"/>
      <c r="IV884" s="178"/>
      <c r="IW884" s="178"/>
      <c r="IX884" s="178"/>
      <c r="IY884" s="178"/>
      <c r="IZ884" s="178"/>
      <c r="JA884" s="178"/>
      <c r="JB884" s="178"/>
      <c r="JC884" s="178"/>
      <c r="JD884" s="178"/>
    </row>
    <row r="885">
      <c r="IE885" s="178"/>
      <c r="IF885" s="178"/>
      <c r="IG885" s="178"/>
      <c r="IH885" s="178"/>
      <c r="II885" s="178"/>
      <c r="IJ885" s="178"/>
      <c r="IK885" s="178"/>
      <c r="IL885" s="178"/>
      <c r="IM885" s="178"/>
      <c r="IN885" s="178"/>
      <c r="IO885" s="178"/>
      <c r="IP885" s="178"/>
      <c r="IQ885" s="178"/>
      <c r="IR885" s="178"/>
      <c r="IS885" s="178"/>
      <c r="IT885" s="178"/>
      <c r="IU885" s="178"/>
      <c r="IV885" s="178"/>
      <c r="IW885" s="178"/>
      <c r="IX885" s="178"/>
      <c r="IY885" s="178"/>
      <c r="IZ885" s="178"/>
      <c r="JA885" s="178"/>
      <c r="JB885" s="178"/>
      <c r="JC885" s="178"/>
      <c r="JD885" s="178"/>
    </row>
    <row r="886">
      <c r="IE886" s="178"/>
      <c r="IF886" s="178"/>
      <c r="IG886" s="178"/>
      <c r="IH886" s="178"/>
      <c r="II886" s="178"/>
      <c r="IJ886" s="178"/>
      <c r="IK886" s="178"/>
      <c r="IL886" s="178"/>
      <c r="IM886" s="178"/>
      <c r="IN886" s="178"/>
      <c r="IO886" s="178"/>
      <c r="IP886" s="178"/>
      <c r="IQ886" s="178"/>
      <c r="IR886" s="178"/>
      <c r="IS886" s="178"/>
      <c r="IT886" s="178"/>
      <c r="IU886" s="178"/>
      <c r="IV886" s="178"/>
      <c r="IW886" s="178"/>
      <c r="IX886" s="178"/>
      <c r="IY886" s="178"/>
      <c r="IZ886" s="178"/>
      <c r="JA886" s="178"/>
      <c r="JB886" s="178"/>
      <c r="JC886" s="178"/>
      <c r="JD886" s="178"/>
    </row>
    <row r="887">
      <c r="IE887" s="178"/>
      <c r="IF887" s="178"/>
      <c r="IG887" s="178"/>
      <c r="IH887" s="178"/>
      <c r="II887" s="178"/>
      <c r="IJ887" s="178"/>
      <c r="IK887" s="178"/>
      <c r="IL887" s="178"/>
      <c r="IM887" s="178"/>
      <c r="IN887" s="178"/>
      <c r="IO887" s="178"/>
      <c r="IP887" s="178"/>
      <c r="IQ887" s="178"/>
      <c r="IR887" s="178"/>
      <c r="IS887" s="178"/>
      <c r="IT887" s="178"/>
      <c r="IU887" s="178"/>
      <c r="IV887" s="178"/>
      <c r="IW887" s="178"/>
      <c r="IX887" s="178"/>
      <c r="IY887" s="178"/>
      <c r="IZ887" s="178"/>
      <c r="JA887" s="178"/>
      <c r="JB887" s="178"/>
      <c r="JC887" s="178"/>
      <c r="JD887" s="178"/>
    </row>
    <row r="888">
      <c r="IE888" s="178"/>
      <c r="IF888" s="178"/>
      <c r="IG888" s="178"/>
      <c r="IH888" s="178"/>
      <c r="II888" s="178"/>
      <c r="IJ888" s="178"/>
      <c r="IK888" s="178"/>
      <c r="IL888" s="178"/>
      <c r="IM888" s="178"/>
      <c r="IN888" s="178"/>
      <c r="IO888" s="178"/>
      <c r="IP888" s="178"/>
      <c r="IQ888" s="178"/>
      <c r="IR888" s="178"/>
      <c r="IS888" s="178"/>
      <c r="IT888" s="178"/>
      <c r="IU888" s="178"/>
      <c r="IV888" s="178"/>
      <c r="IW888" s="178"/>
      <c r="IX888" s="178"/>
      <c r="IY888" s="178"/>
      <c r="IZ888" s="178"/>
      <c r="JA888" s="178"/>
      <c r="JB888" s="178"/>
      <c r="JC888" s="178"/>
      <c r="JD888" s="178"/>
    </row>
    <row r="889">
      <c r="IE889" s="178"/>
      <c r="IF889" s="178"/>
      <c r="IG889" s="178"/>
      <c r="IH889" s="178"/>
      <c r="II889" s="178"/>
      <c r="IJ889" s="178"/>
      <c r="IK889" s="178"/>
      <c r="IL889" s="178"/>
      <c r="IM889" s="178"/>
      <c r="IN889" s="178"/>
      <c r="IO889" s="178"/>
      <c r="IP889" s="178"/>
      <c r="IQ889" s="178"/>
      <c r="IR889" s="178"/>
      <c r="IS889" s="178"/>
      <c r="IT889" s="178"/>
      <c r="IU889" s="178"/>
      <c r="IV889" s="178"/>
      <c r="IW889" s="178"/>
      <c r="IX889" s="178"/>
      <c r="IY889" s="178"/>
      <c r="IZ889" s="178"/>
      <c r="JA889" s="178"/>
      <c r="JB889" s="178"/>
      <c r="JC889" s="178"/>
      <c r="JD889" s="178"/>
    </row>
    <row r="890">
      <c r="IE890" s="178"/>
      <c r="IF890" s="178"/>
      <c r="IG890" s="178"/>
      <c r="IH890" s="178"/>
      <c r="II890" s="178"/>
      <c r="IJ890" s="178"/>
      <c r="IK890" s="178"/>
      <c r="IL890" s="178"/>
      <c r="IM890" s="178"/>
      <c r="IN890" s="178"/>
      <c r="IO890" s="178"/>
      <c r="IP890" s="178"/>
      <c r="IQ890" s="178"/>
      <c r="IR890" s="178"/>
      <c r="IS890" s="178"/>
      <c r="IT890" s="178"/>
      <c r="IU890" s="178"/>
      <c r="IV890" s="178"/>
      <c r="IW890" s="178"/>
      <c r="IX890" s="178"/>
      <c r="IY890" s="178"/>
      <c r="IZ890" s="178"/>
      <c r="JA890" s="178"/>
      <c r="JB890" s="178"/>
      <c r="JC890" s="178"/>
      <c r="JD890" s="178"/>
    </row>
    <row r="891">
      <c r="IE891" s="178"/>
      <c r="IF891" s="178"/>
      <c r="IG891" s="178"/>
      <c r="IH891" s="178"/>
      <c r="II891" s="178"/>
      <c r="IJ891" s="178"/>
      <c r="IK891" s="178"/>
      <c r="IL891" s="178"/>
      <c r="IM891" s="178"/>
      <c r="IN891" s="178"/>
      <c r="IO891" s="178"/>
      <c r="IP891" s="178"/>
      <c r="IQ891" s="178"/>
      <c r="IR891" s="178"/>
      <c r="IS891" s="178"/>
      <c r="IT891" s="178"/>
      <c r="IU891" s="178"/>
      <c r="IV891" s="178"/>
      <c r="IW891" s="178"/>
      <c r="IX891" s="178"/>
      <c r="IY891" s="178"/>
      <c r="IZ891" s="178"/>
      <c r="JA891" s="178"/>
      <c r="JB891" s="178"/>
      <c r="JC891" s="178"/>
      <c r="JD891" s="178"/>
    </row>
    <row r="892">
      <c r="IE892" s="178"/>
      <c r="IF892" s="178"/>
      <c r="IG892" s="178"/>
      <c r="IH892" s="178"/>
      <c r="II892" s="178"/>
      <c r="IJ892" s="178"/>
      <c r="IK892" s="178"/>
      <c r="IL892" s="178"/>
      <c r="IM892" s="178"/>
      <c r="IN892" s="178"/>
      <c r="IO892" s="178"/>
      <c r="IP892" s="178"/>
      <c r="IQ892" s="178"/>
      <c r="IR892" s="178"/>
      <c r="IS892" s="178"/>
      <c r="IT892" s="178"/>
      <c r="IU892" s="178"/>
      <c r="IV892" s="178"/>
      <c r="IW892" s="178"/>
      <c r="IX892" s="178"/>
      <c r="IY892" s="178"/>
      <c r="IZ892" s="178"/>
      <c r="JA892" s="178"/>
      <c r="JB892" s="178"/>
      <c r="JC892" s="178"/>
      <c r="JD892" s="178"/>
    </row>
    <row r="893">
      <c r="IE893" s="178"/>
      <c r="IF893" s="178"/>
      <c r="IG893" s="178"/>
      <c r="IH893" s="178"/>
      <c r="II893" s="178"/>
      <c r="IJ893" s="178"/>
      <c r="IK893" s="178"/>
      <c r="IL893" s="178"/>
      <c r="IM893" s="178"/>
      <c r="IN893" s="178"/>
      <c r="IO893" s="178"/>
      <c r="IP893" s="178"/>
      <c r="IQ893" s="178"/>
      <c r="IR893" s="178"/>
      <c r="IS893" s="178"/>
      <c r="IT893" s="178"/>
      <c r="IU893" s="178"/>
      <c r="IV893" s="178"/>
      <c r="IW893" s="178"/>
      <c r="IX893" s="178"/>
      <c r="IY893" s="178"/>
      <c r="IZ893" s="178"/>
      <c r="JA893" s="178"/>
      <c r="JB893" s="178"/>
      <c r="JC893" s="178"/>
      <c r="JD893" s="178"/>
    </row>
    <row r="894">
      <c r="IE894" s="178"/>
      <c r="IF894" s="178"/>
      <c r="IG894" s="178"/>
      <c r="IH894" s="178"/>
      <c r="II894" s="178"/>
      <c r="IJ894" s="178"/>
      <c r="IK894" s="178"/>
      <c r="IL894" s="178"/>
      <c r="IM894" s="178"/>
      <c r="IN894" s="178"/>
      <c r="IO894" s="178"/>
      <c r="IP894" s="178"/>
      <c r="IQ894" s="178"/>
      <c r="IR894" s="178"/>
      <c r="IS894" s="178"/>
      <c r="IT894" s="178"/>
      <c r="IU894" s="178"/>
      <c r="IV894" s="178"/>
      <c r="IW894" s="178"/>
      <c r="IX894" s="178"/>
      <c r="IY894" s="178"/>
      <c r="IZ894" s="178"/>
      <c r="JA894" s="178"/>
      <c r="JB894" s="178"/>
      <c r="JC894" s="178"/>
      <c r="JD894" s="178"/>
    </row>
    <row r="895">
      <c r="IE895" s="178"/>
      <c r="IF895" s="178"/>
      <c r="IG895" s="178"/>
      <c r="IH895" s="178"/>
      <c r="II895" s="178"/>
      <c r="IJ895" s="178"/>
      <c r="IK895" s="178"/>
      <c r="IL895" s="178"/>
      <c r="IM895" s="178"/>
      <c r="IN895" s="178"/>
      <c r="IO895" s="178"/>
      <c r="IP895" s="178"/>
      <c r="IQ895" s="178"/>
      <c r="IR895" s="178"/>
      <c r="IS895" s="178"/>
      <c r="IT895" s="178"/>
      <c r="IU895" s="178"/>
      <c r="IV895" s="178"/>
      <c r="IW895" s="178"/>
      <c r="IX895" s="178"/>
      <c r="IY895" s="178"/>
      <c r="IZ895" s="178"/>
      <c r="JA895" s="178"/>
      <c r="JB895" s="178"/>
      <c r="JC895" s="178"/>
      <c r="JD895" s="178"/>
    </row>
    <row r="896">
      <c r="IE896" s="178"/>
      <c r="IF896" s="178"/>
      <c r="IG896" s="178"/>
      <c r="IH896" s="178"/>
      <c r="II896" s="178"/>
      <c r="IJ896" s="178"/>
      <c r="IK896" s="178"/>
      <c r="IL896" s="178"/>
      <c r="IM896" s="178"/>
      <c r="IN896" s="178"/>
      <c r="IO896" s="178"/>
      <c r="IP896" s="178"/>
      <c r="IQ896" s="178"/>
      <c r="IR896" s="178"/>
      <c r="IS896" s="178"/>
      <c r="IT896" s="178"/>
      <c r="IU896" s="178"/>
      <c r="IV896" s="178"/>
      <c r="IW896" s="178"/>
      <c r="IX896" s="178"/>
      <c r="IY896" s="178"/>
      <c r="IZ896" s="178"/>
      <c r="JA896" s="178"/>
      <c r="JB896" s="178"/>
      <c r="JC896" s="178"/>
      <c r="JD896" s="178"/>
    </row>
    <row r="897">
      <c r="IE897" s="178"/>
      <c r="IF897" s="178"/>
      <c r="IG897" s="178"/>
      <c r="IH897" s="178"/>
      <c r="II897" s="178"/>
      <c r="IJ897" s="178"/>
      <c r="IK897" s="178"/>
      <c r="IL897" s="178"/>
      <c r="IM897" s="178"/>
      <c r="IN897" s="178"/>
      <c r="IO897" s="178"/>
      <c r="IP897" s="178"/>
      <c r="IQ897" s="178"/>
      <c r="IR897" s="178"/>
      <c r="IS897" s="178"/>
      <c r="IT897" s="178"/>
      <c r="IU897" s="178"/>
      <c r="IV897" s="178"/>
      <c r="IW897" s="178"/>
      <c r="IX897" s="178"/>
      <c r="IY897" s="178"/>
      <c r="IZ897" s="178"/>
      <c r="JA897" s="178"/>
      <c r="JB897" s="178"/>
      <c r="JC897" s="178"/>
      <c r="JD897" s="178"/>
    </row>
    <row r="898">
      <c r="IE898" s="178"/>
      <c r="IF898" s="178"/>
      <c r="IG898" s="178"/>
      <c r="IH898" s="178"/>
      <c r="II898" s="178"/>
      <c r="IJ898" s="178"/>
      <c r="IK898" s="178"/>
      <c r="IL898" s="178"/>
      <c r="IM898" s="178"/>
      <c r="IN898" s="178"/>
      <c r="IO898" s="178"/>
      <c r="IP898" s="178"/>
      <c r="IQ898" s="178"/>
      <c r="IR898" s="178"/>
      <c r="IS898" s="178"/>
      <c r="IT898" s="178"/>
      <c r="IU898" s="178"/>
      <c r="IV898" s="178"/>
      <c r="IW898" s="178"/>
      <c r="IX898" s="178"/>
      <c r="IY898" s="178"/>
      <c r="IZ898" s="178"/>
      <c r="JA898" s="178"/>
      <c r="JB898" s="178"/>
      <c r="JC898" s="178"/>
      <c r="JD898" s="178"/>
    </row>
    <row r="899">
      <c r="IE899" s="178"/>
      <c r="IF899" s="178"/>
      <c r="IG899" s="178"/>
      <c r="IH899" s="178"/>
      <c r="II899" s="178"/>
      <c r="IJ899" s="178"/>
      <c r="IK899" s="178"/>
      <c r="IL899" s="178"/>
      <c r="IM899" s="178"/>
      <c r="IN899" s="178"/>
      <c r="IO899" s="178"/>
      <c r="IP899" s="178"/>
      <c r="IQ899" s="178"/>
      <c r="IR899" s="178"/>
      <c r="IS899" s="178"/>
      <c r="IT899" s="178"/>
      <c r="IU899" s="178"/>
      <c r="IV899" s="178"/>
      <c r="IW899" s="178"/>
      <c r="IX899" s="178"/>
      <c r="IY899" s="178"/>
      <c r="IZ899" s="178"/>
      <c r="JA899" s="178"/>
      <c r="JB899" s="178"/>
      <c r="JC899" s="178"/>
      <c r="JD899" s="178"/>
    </row>
    <row r="900">
      <c r="IE900" s="178"/>
      <c r="IF900" s="178"/>
      <c r="IG900" s="178"/>
      <c r="IH900" s="178"/>
      <c r="II900" s="178"/>
      <c r="IJ900" s="178"/>
      <c r="IK900" s="178"/>
      <c r="IL900" s="178"/>
      <c r="IM900" s="178"/>
      <c r="IN900" s="178"/>
      <c r="IO900" s="178"/>
      <c r="IP900" s="178"/>
      <c r="IQ900" s="178"/>
      <c r="IR900" s="178"/>
      <c r="IS900" s="178"/>
      <c r="IT900" s="178"/>
      <c r="IU900" s="178"/>
      <c r="IV900" s="178"/>
      <c r="IW900" s="178"/>
      <c r="IX900" s="178"/>
      <c r="IY900" s="178"/>
      <c r="IZ900" s="178"/>
      <c r="JA900" s="178"/>
      <c r="JB900" s="178"/>
      <c r="JC900" s="178"/>
      <c r="JD900" s="178"/>
    </row>
    <row r="901">
      <c r="IE901" s="178"/>
      <c r="IF901" s="178"/>
      <c r="IG901" s="178"/>
      <c r="IH901" s="178"/>
      <c r="II901" s="178"/>
      <c r="IJ901" s="178"/>
      <c r="IK901" s="178"/>
      <c r="IL901" s="178"/>
      <c r="IM901" s="178"/>
      <c r="IN901" s="178"/>
      <c r="IO901" s="178"/>
      <c r="IP901" s="178"/>
      <c r="IQ901" s="178"/>
      <c r="IR901" s="178"/>
      <c r="IS901" s="178"/>
      <c r="IT901" s="178"/>
      <c r="IU901" s="178"/>
      <c r="IV901" s="178"/>
      <c r="IW901" s="178"/>
      <c r="IX901" s="178"/>
      <c r="IY901" s="178"/>
      <c r="IZ901" s="178"/>
      <c r="JA901" s="178"/>
      <c r="JB901" s="178"/>
      <c r="JC901" s="178"/>
      <c r="JD901" s="178"/>
    </row>
    <row r="902">
      <c r="IE902" s="178"/>
      <c r="IF902" s="178"/>
      <c r="IG902" s="178"/>
      <c r="IH902" s="178"/>
      <c r="II902" s="178"/>
      <c r="IJ902" s="178"/>
      <c r="IK902" s="178"/>
      <c r="IL902" s="178"/>
      <c r="IM902" s="178"/>
      <c r="IN902" s="178"/>
      <c r="IO902" s="178"/>
      <c r="IP902" s="178"/>
      <c r="IQ902" s="178"/>
      <c r="IR902" s="178"/>
      <c r="IS902" s="178"/>
      <c r="IT902" s="178"/>
      <c r="IU902" s="178"/>
      <c r="IV902" s="178"/>
      <c r="IW902" s="178"/>
      <c r="IX902" s="178"/>
      <c r="IY902" s="178"/>
      <c r="IZ902" s="178"/>
      <c r="JA902" s="178"/>
      <c r="JB902" s="178"/>
      <c r="JC902" s="178"/>
      <c r="JD902" s="178"/>
    </row>
    <row r="903">
      <c r="IE903" s="178"/>
      <c r="IF903" s="178"/>
      <c r="IG903" s="178"/>
      <c r="IH903" s="178"/>
      <c r="II903" s="178"/>
      <c r="IJ903" s="178"/>
      <c r="IK903" s="178"/>
      <c r="IL903" s="178"/>
      <c r="IM903" s="178"/>
      <c r="IN903" s="178"/>
      <c r="IO903" s="178"/>
      <c r="IP903" s="178"/>
      <c r="IQ903" s="178"/>
      <c r="IR903" s="178"/>
      <c r="IS903" s="178"/>
      <c r="IT903" s="178"/>
      <c r="IU903" s="178"/>
      <c r="IV903" s="178"/>
      <c r="IW903" s="178"/>
      <c r="IX903" s="178"/>
      <c r="IY903" s="178"/>
      <c r="IZ903" s="178"/>
      <c r="JA903" s="178"/>
      <c r="JB903" s="178"/>
      <c r="JC903" s="178"/>
      <c r="JD903" s="178"/>
    </row>
    <row r="904">
      <c r="IE904" s="178"/>
      <c r="IF904" s="178"/>
      <c r="IG904" s="178"/>
      <c r="IH904" s="178"/>
      <c r="II904" s="178"/>
      <c r="IJ904" s="178"/>
      <c r="IK904" s="178"/>
      <c r="IL904" s="178"/>
      <c r="IM904" s="178"/>
      <c r="IN904" s="178"/>
      <c r="IO904" s="178"/>
      <c r="IP904" s="178"/>
      <c r="IQ904" s="178"/>
      <c r="IR904" s="178"/>
      <c r="IS904" s="178"/>
      <c r="IT904" s="178"/>
      <c r="IU904" s="178"/>
      <c r="IV904" s="178"/>
      <c r="IW904" s="178"/>
      <c r="IX904" s="178"/>
      <c r="IY904" s="178"/>
      <c r="IZ904" s="178"/>
      <c r="JA904" s="178"/>
      <c r="JB904" s="178"/>
      <c r="JC904" s="178"/>
      <c r="JD904" s="178"/>
    </row>
    <row r="905">
      <c r="IE905" s="178"/>
      <c r="IF905" s="178"/>
      <c r="IG905" s="178"/>
      <c r="IH905" s="178"/>
      <c r="II905" s="178"/>
      <c r="IJ905" s="178"/>
      <c r="IK905" s="178"/>
      <c r="IL905" s="178"/>
      <c r="IM905" s="178"/>
      <c r="IN905" s="178"/>
      <c r="IO905" s="178"/>
      <c r="IP905" s="178"/>
      <c r="IQ905" s="178"/>
      <c r="IR905" s="178"/>
      <c r="IS905" s="178"/>
      <c r="IT905" s="178"/>
      <c r="IU905" s="178"/>
      <c r="IV905" s="178"/>
      <c r="IW905" s="178"/>
      <c r="IX905" s="178"/>
      <c r="IY905" s="178"/>
      <c r="IZ905" s="178"/>
      <c r="JA905" s="178"/>
      <c r="JB905" s="178"/>
      <c r="JC905" s="178"/>
      <c r="JD905" s="178"/>
    </row>
    <row r="906">
      <c r="IE906" s="178"/>
      <c r="IF906" s="178"/>
      <c r="IG906" s="178"/>
      <c r="IH906" s="178"/>
      <c r="II906" s="178"/>
      <c r="IJ906" s="178"/>
      <c r="IK906" s="178"/>
      <c r="IL906" s="178"/>
      <c r="IM906" s="178"/>
      <c r="IN906" s="178"/>
      <c r="IO906" s="178"/>
      <c r="IP906" s="178"/>
      <c r="IQ906" s="178"/>
      <c r="IR906" s="178"/>
      <c r="IS906" s="178"/>
      <c r="IT906" s="178"/>
      <c r="IU906" s="178"/>
      <c r="IV906" s="178"/>
      <c r="IW906" s="178"/>
      <c r="IX906" s="178"/>
      <c r="IY906" s="178"/>
      <c r="IZ906" s="178"/>
      <c r="JA906" s="178"/>
      <c r="JB906" s="178"/>
      <c r="JC906" s="178"/>
      <c r="JD906" s="178"/>
    </row>
    <row r="907">
      <c r="IE907" s="178"/>
      <c r="IF907" s="178"/>
      <c r="IG907" s="178"/>
      <c r="IH907" s="178"/>
      <c r="II907" s="178"/>
      <c r="IJ907" s="178"/>
      <c r="IK907" s="178"/>
      <c r="IL907" s="178"/>
      <c r="IM907" s="178"/>
      <c r="IN907" s="178"/>
      <c r="IO907" s="178"/>
      <c r="IP907" s="178"/>
      <c r="IQ907" s="178"/>
      <c r="IR907" s="178"/>
      <c r="IS907" s="178"/>
      <c r="IT907" s="178"/>
      <c r="IU907" s="178"/>
      <c r="IV907" s="178"/>
      <c r="IW907" s="178"/>
      <c r="IX907" s="178"/>
      <c r="IY907" s="178"/>
      <c r="IZ907" s="178"/>
      <c r="JA907" s="178"/>
      <c r="JB907" s="178"/>
      <c r="JC907" s="178"/>
      <c r="JD907" s="178"/>
    </row>
    <row r="908">
      <c r="IE908" s="178"/>
      <c r="IF908" s="178"/>
      <c r="IG908" s="178"/>
      <c r="IH908" s="178"/>
      <c r="II908" s="178"/>
      <c r="IJ908" s="178"/>
      <c r="IK908" s="178"/>
      <c r="IL908" s="178"/>
      <c r="IM908" s="178"/>
      <c r="IN908" s="178"/>
      <c r="IO908" s="178"/>
      <c r="IP908" s="178"/>
      <c r="IQ908" s="178"/>
      <c r="IR908" s="178"/>
      <c r="IS908" s="178"/>
      <c r="IT908" s="178"/>
      <c r="IU908" s="178"/>
      <c r="IV908" s="178"/>
      <c r="IW908" s="178"/>
      <c r="IX908" s="178"/>
      <c r="IY908" s="178"/>
      <c r="IZ908" s="178"/>
      <c r="JA908" s="178"/>
      <c r="JB908" s="178"/>
      <c r="JC908" s="178"/>
      <c r="JD908" s="178"/>
    </row>
    <row r="909">
      <c r="IE909" s="178"/>
      <c r="IF909" s="178"/>
      <c r="IG909" s="178"/>
      <c r="IH909" s="178"/>
      <c r="II909" s="178"/>
      <c r="IJ909" s="178"/>
      <c r="IK909" s="178"/>
      <c r="IL909" s="178"/>
      <c r="IM909" s="178"/>
      <c r="IN909" s="178"/>
      <c r="IO909" s="178"/>
      <c r="IP909" s="178"/>
      <c r="IQ909" s="178"/>
      <c r="IR909" s="178"/>
      <c r="IS909" s="178"/>
      <c r="IT909" s="178"/>
      <c r="IU909" s="178"/>
      <c r="IV909" s="178"/>
      <c r="IW909" s="178"/>
      <c r="IX909" s="178"/>
      <c r="IY909" s="178"/>
      <c r="IZ909" s="178"/>
      <c r="JA909" s="178"/>
      <c r="JB909" s="178"/>
      <c r="JC909" s="178"/>
      <c r="JD909" s="178"/>
    </row>
    <row r="910">
      <c r="IE910" s="178"/>
      <c r="IF910" s="178"/>
      <c r="IG910" s="178"/>
      <c r="IH910" s="178"/>
      <c r="II910" s="178"/>
      <c r="IJ910" s="178"/>
      <c r="IK910" s="178"/>
      <c r="IL910" s="178"/>
      <c r="IM910" s="178"/>
      <c r="IN910" s="178"/>
      <c r="IO910" s="178"/>
      <c r="IP910" s="178"/>
      <c r="IQ910" s="178"/>
      <c r="IR910" s="178"/>
      <c r="IS910" s="178"/>
      <c r="IT910" s="178"/>
      <c r="IU910" s="178"/>
      <c r="IV910" s="178"/>
      <c r="IW910" s="178"/>
      <c r="IX910" s="178"/>
      <c r="IY910" s="178"/>
      <c r="IZ910" s="178"/>
      <c r="JA910" s="178"/>
      <c r="JB910" s="178"/>
      <c r="JC910" s="178"/>
      <c r="JD910" s="178"/>
    </row>
    <row r="911">
      <c r="IE911" s="178"/>
      <c r="IF911" s="178"/>
      <c r="IG911" s="178"/>
      <c r="IH911" s="178"/>
      <c r="II911" s="178"/>
      <c r="IJ911" s="178"/>
      <c r="IK911" s="178"/>
      <c r="IL911" s="178"/>
      <c r="IM911" s="178"/>
      <c r="IN911" s="178"/>
      <c r="IO911" s="178"/>
      <c r="IP911" s="178"/>
      <c r="IQ911" s="178"/>
      <c r="IR911" s="178"/>
      <c r="IS911" s="178"/>
      <c r="IT911" s="178"/>
      <c r="IU911" s="178"/>
      <c r="IV911" s="178"/>
      <c r="IW911" s="178"/>
      <c r="IX911" s="178"/>
      <c r="IY911" s="178"/>
      <c r="IZ911" s="178"/>
      <c r="JA911" s="178"/>
      <c r="JB911" s="178"/>
      <c r="JC911" s="178"/>
      <c r="JD911" s="178"/>
    </row>
    <row r="912">
      <c r="IE912" s="178"/>
      <c r="IF912" s="178"/>
      <c r="IG912" s="178"/>
      <c r="IH912" s="178"/>
      <c r="II912" s="178"/>
      <c r="IJ912" s="178"/>
      <c r="IK912" s="178"/>
      <c r="IL912" s="178"/>
      <c r="IM912" s="178"/>
      <c r="IN912" s="178"/>
      <c r="IO912" s="178"/>
      <c r="IP912" s="178"/>
      <c r="IQ912" s="178"/>
      <c r="IR912" s="178"/>
      <c r="IS912" s="178"/>
      <c r="IT912" s="178"/>
      <c r="IU912" s="178"/>
      <c r="IV912" s="178"/>
      <c r="IW912" s="178"/>
      <c r="IX912" s="178"/>
      <c r="IY912" s="178"/>
      <c r="IZ912" s="178"/>
      <c r="JA912" s="178"/>
      <c r="JB912" s="178"/>
      <c r="JC912" s="178"/>
      <c r="JD912" s="178"/>
    </row>
    <row r="913">
      <c r="IE913" s="178"/>
      <c r="IF913" s="178"/>
      <c r="IG913" s="178"/>
      <c r="IH913" s="178"/>
      <c r="II913" s="178"/>
      <c r="IJ913" s="178"/>
      <c r="IK913" s="178"/>
      <c r="IL913" s="178"/>
      <c r="IM913" s="178"/>
      <c r="IN913" s="178"/>
      <c r="IO913" s="178"/>
      <c r="IP913" s="178"/>
      <c r="IQ913" s="178"/>
      <c r="IR913" s="178"/>
      <c r="IS913" s="178"/>
      <c r="IT913" s="178"/>
      <c r="IU913" s="178"/>
      <c r="IV913" s="178"/>
      <c r="IW913" s="178"/>
      <c r="IX913" s="178"/>
      <c r="IY913" s="178"/>
      <c r="IZ913" s="178"/>
      <c r="JA913" s="178"/>
      <c r="JB913" s="178"/>
      <c r="JC913" s="178"/>
      <c r="JD913" s="178"/>
    </row>
    <row r="914">
      <c r="IE914" s="178"/>
      <c r="IF914" s="178"/>
      <c r="IG914" s="178"/>
      <c r="IH914" s="178"/>
      <c r="II914" s="178"/>
      <c r="IJ914" s="178"/>
      <c r="IK914" s="178"/>
      <c r="IL914" s="178"/>
      <c r="IM914" s="178"/>
      <c r="IN914" s="178"/>
      <c r="IO914" s="178"/>
      <c r="IP914" s="178"/>
      <c r="IQ914" s="178"/>
      <c r="IR914" s="178"/>
      <c r="IS914" s="178"/>
      <c r="IT914" s="178"/>
      <c r="IU914" s="178"/>
      <c r="IV914" s="178"/>
      <c r="IW914" s="178"/>
      <c r="IX914" s="178"/>
      <c r="IY914" s="178"/>
      <c r="IZ914" s="178"/>
      <c r="JA914" s="178"/>
      <c r="JB914" s="178"/>
      <c r="JC914" s="178"/>
      <c r="JD914" s="178"/>
    </row>
    <row r="915">
      <c r="IE915" s="178"/>
      <c r="IF915" s="178"/>
      <c r="IG915" s="178"/>
      <c r="IH915" s="178"/>
      <c r="II915" s="178"/>
      <c r="IJ915" s="178"/>
      <c r="IK915" s="178"/>
      <c r="IL915" s="178"/>
      <c r="IM915" s="178"/>
      <c r="IN915" s="178"/>
      <c r="IO915" s="178"/>
      <c r="IP915" s="178"/>
      <c r="IQ915" s="178"/>
      <c r="IR915" s="178"/>
      <c r="IS915" s="178"/>
      <c r="IT915" s="178"/>
      <c r="IU915" s="178"/>
      <c r="IV915" s="178"/>
      <c r="IW915" s="178"/>
      <c r="IX915" s="178"/>
      <c r="IY915" s="178"/>
      <c r="IZ915" s="178"/>
      <c r="JA915" s="178"/>
      <c r="JB915" s="178"/>
      <c r="JC915" s="178"/>
      <c r="JD915" s="178"/>
    </row>
    <row r="916">
      <c r="IE916" s="178"/>
      <c r="IF916" s="178"/>
      <c r="IG916" s="178"/>
      <c r="IH916" s="178"/>
      <c r="II916" s="178"/>
      <c r="IJ916" s="178"/>
      <c r="IK916" s="178"/>
      <c r="IL916" s="178"/>
      <c r="IM916" s="178"/>
      <c r="IN916" s="178"/>
      <c r="IO916" s="178"/>
      <c r="IP916" s="178"/>
      <c r="IQ916" s="178"/>
      <c r="IR916" s="178"/>
      <c r="IS916" s="178"/>
      <c r="IT916" s="178"/>
      <c r="IU916" s="178"/>
      <c r="IV916" s="178"/>
      <c r="IW916" s="178"/>
      <c r="IX916" s="178"/>
      <c r="IY916" s="178"/>
      <c r="IZ916" s="178"/>
      <c r="JA916" s="178"/>
      <c r="JB916" s="178"/>
      <c r="JC916" s="178"/>
      <c r="JD916" s="178"/>
    </row>
    <row r="917">
      <c r="IE917" s="178"/>
      <c r="IF917" s="178"/>
      <c r="IG917" s="178"/>
      <c r="IH917" s="178"/>
      <c r="II917" s="178"/>
      <c r="IJ917" s="178"/>
      <c r="IK917" s="178"/>
      <c r="IL917" s="178"/>
      <c r="IM917" s="178"/>
      <c r="IN917" s="178"/>
      <c r="IO917" s="178"/>
      <c r="IP917" s="178"/>
      <c r="IQ917" s="178"/>
      <c r="IR917" s="178"/>
      <c r="IS917" s="178"/>
      <c r="IT917" s="178"/>
      <c r="IU917" s="178"/>
      <c r="IV917" s="178"/>
      <c r="IW917" s="178"/>
      <c r="IX917" s="178"/>
      <c r="IY917" s="178"/>
      <c r="IZ917" s="178"/>
      <c r="JA917" s="178"/>
      <c r="JB917" s="178"/>
      <c r="JC917" s="178"/>
      <c r="JD917" s="178"/>
    </row>
    <row r="918">
      <c r="IE918" s="178"/>
      <c r="IF918" s="178"/>
      <c r="IG918" s="178"/>
      <c r="IH918" s="178"/>
      <c r="II918" s="178"/>
      <c r="IJ918" s="178"/>
      <c r="IK918" s="178"/>
      <c r="IL918" s="178"/>
      <c r="IM918" s="178"/>
      <c r="IN918" s="178"/>
      <c r="IO918" s="178"/>
      <c r="IP918" s="178"/>
      <c r="IQ918" s="178"/>
      <c r="IR918" s="178"/>
      <c r="IS918" s="178"/>
      <c r="IT918" s="178"/>
      <c r="IU918" s="178"/>
      <c r="IV918" s="178"/>
      <c r="IW918" s="178"/>
      <c r="IX918" s="178"/>
      <c r="IY918" s="178"/>
      <c r="IZ918" s="178"/>
      <c r="JA918" s="178"/>
      <c r="JB918" s="178"/>
      <c r="JC918" s="178"/>
      <c r="JD918" s="178"/>
    </row>
    <row r="919">
      <c r="IE919" s="178"/>
      <c r="IF919" s="178"/>
      <c r="IG919" s="178"/>
      <c r="IH919" s="178"/>
      <c r="II919" s="178"/>
      <c r="IJ919" s="178"/>
      <c r="IK919" s="178"/>
      <c r="IL919" s="178"/>
      <c r="IM919" s="178"/>
      <c r="IN919" s="178"/>
      <c r="IO919" s="178"/>
      <c r="IP919" s="178"/>
      <c r="IQ919" s="178"/>
      <c r="IR919" s="178"/>
      <c r="IS919" s="178"/>
      <c r="IT919" s="178"/>
      <c r="IU919" s="178"/>
      <c r="IV919" s="178"/>
      <c r="IW919" s="178"/>
      <c r="IX919" s="178"/>
      <c r="IY919" s="178"/>
      <c r="IZ919" s="178"/>
      <c r="JA919" s="178"/>
      <c r="JB919" s="178"/>
      <c r="JC919" s="178"/>
      <c r="JD919" s="178"/>
    </row>
    <row r="920">
      <c r="IE920" s="178"/>
      <c r="IF920" s="178"/>
      <c r="IG920" s="178"/>
      <c r="IH920" s="178"/>
      <c r="II920" s="178"/>
      <c r="IJ920" s="178"/>
      <c r="IK920" s="178"/>
      <c r="IL920" s="178"/>
      <c r="IM920" s="178"/>
      <c r="IN920" s="178"/>
      <c r="IO920" s="178"/>
      <c r="IP920" s="178"/>
      <c r="IQ920" s="178"/>
      <c r="IR920" s="178"/>
      <c r="IS920" s="178"/>
      <c r="IT920" s="178"/>
      <c r="IU920" s="178"/>
      <c r="IV920" s="178"/>
      <c r="IW920" s="178"/>
      <c r="IX920" s="178"/>
      <c r="IY920" s="178"/>
      <c r="IZ920" s="178"/>
      <c r="JA920" s="178"/>
      <c r="JB920" s="178"/>
      <c r="JC920" s="178"/>
      <c r="JD920" s="178"/>
    </row>
    <row r="921">
      <c r="IE921" s="178"/>
      <c r="IF921" s="178"/>
      <c r="IG921" s="178"/>
      <c r="IH921" s="178"/>
      <c r="II921" s="178"/>
      <c r="IJ921" s="178"/>
      <c r="IK921" s="178"/>
      <c r="IL921" s="178"/>
      <c r="IM921" s="178"/>
      <c r="IN921" s="178"/>
      <c r="IO921" s="178"/>
      <c r="IP921" s="178"/>
      <c r="IQ921" s="178"/>
      <c r="IR921" s="178"/>
      <c r="IS921" s="178"/>
      <c r="IT921" s="178"/>
      <c r="IU921" s="178"/>
      <c r="IV921" s="178"/>
      <c r="IW921" s="178"/>
      <c r="IX921" s="178"/>
      <c r="IY921" s="178"/>
      <c r="IZ921" s="178"/>
      <c r="JA921" s="178"/>
      <c r="JB921" s="178"/>
      <c r="JC921" s="178"/>
      <c r="JD921" s="178"/>
    </row>
    <row r="922">
      <c r="IE922" s="178"/>
      <c r="IF922" s="178"/>
      <c r="IG922" s="178"/>
      <c r="IH922" s="178"/>
      <c r="II922" s="178"/>
      <c r="IJ922" s="178"/>
      <c r="IK922" s="178"/>
      <c r="IL922" s="178"/>
      <c r="IM922" s="178"/>
      <c r="IN922" s="178"/>
      <c r="IO922" s="178"/>
      <c r="IP922" s="178"/>
      <c r="IQ922" s="178"/>
      <c r="IR922" s="178"/>
      <c r="IS922" s="178"/>
      <c r="IT922" s="178"/>
      <c r="IU922" s="178"/>
      <c r="IV922" s="178"/>
      <c r="IW922" s="178"/>
      <c r="IX922" s="178"/>
      <c r="IY922" s="178"/>
      <c r="IZ922" s="178"/>
      <c r="JA922" s="178"/>
      <c r="JB922" s="178"/>
      <c r="JC922" s="178"/>
      <c r="JD922" s="178"/>
    </row>
    <row r="923">
      <c r="IE923" s="178"/>
      <c r="IF923" s="178"/>
      <c r="IG923" s="178"/>
      <c r="IH923" s="178"/>
      <c r="II923" s="178"/>
      <c r="IJ923" s="178"/>
      <c r="IK923" s="178"/>
      <c r="IL923" s="178"/>
      <c r="IM923" s="178"/>
      <c r="IN923" s="178"/>
      <c r="IO923" s="178"/>
      <c r="IP923" s="178"/>
      <c r="IQ923" s="178"/>
      <c r="IR923" s="178"/>
      <c r="IS923" s="178"/>
      <c r="IT923" s="178"/>
      <c r="IU923" s="178"/>
      <c r="IV923" s="178"/>
      <c r="IW923" s="178"/>
      <c r="IX923" s="178"/>
      <c r="IY923" s="178"/>
      <c r="IZ923" s="178"/>
      <c r="JA923" s="178"/>
      <c r="JB923" s="178"/>
      <c r="JC923" s="178"/>
      <c r="JD923" s="178"/>
    </row>
    <row r="924">
      <c r="IE924" s="178"/>
      <c r="IF924" s="178"/>
      <c r="IG924" s="178"/>
      <c r="IH924" s="178"/>
      <c r="II924" s="178"/>
      <c r="IJ924" s="178"/>
      <c r="IK924" s="178"/>
      <c r="IL924" s="178"/>
      <c r="IM924" s="178"/>
      <c r="IN924" s="178"/>
      <c r="IO924" s="178"/>
      <c r="IP924" s="178"/>
      <c r="IQ924" s="178"/>
      <c r="IR924" s="178"/>
      <c r="IS924" s="178"/>
      <c r="IT924" s="178"/>
      <c r="IU924" s="178"/>
      <c r="IV924" s="178"/>
      <c r="IW924" s="178"/>
      <c r="IX924" s="178"/>
      <c r="IY924" s="178"/>
      <c r="IZ924" s="178"/>
      <c r="JA924" s="178"/>
      <c r="JB924" s="178"/>
      <c r="JC924" s="178"/>
      <c r="JD924" s="178"/>
    </row>
    <row r="925">
      <c r="IE925" s="178"/>
      <c r="IF925" s="178"/>
      <c r="IG925" s="178"/>
      <c r="IH925" s="178"/>
      <c r="II925" s="178"/>
      <c r="IJ925" s="178"/>
      <c r="IK925" s="178"/>
      <c r="IL925" s="178"/>
      <c r="IM925" s="178"/>
      <c r="IN925" s="178"/>
      <c r="IO925" s="178"/>
      <c r="IP925" s="178"/>
      <c r="IQ925" s="178"/>
      <c r="IR925" s="178"/>
      <c r="IS925" s="178"/>
      <c r="IT925" s="178"/>
      <c r="IU925" s="178"/>
      <c r="IV925" s="178"/>
      <c r="IW925" s="178"/>
      <c r="IX925" s="178"/>
      <c r="IY925" s="178"/>
      <c r="IZ925" s="178"/>
      <c r="JA925" s="178"/>
      <c r="JB925" s="178"/>
      <c r="JC925" s="178"/>
      <c r="JD925" s="178"/>
    </row>
    <row r="926">
      <c r="IE926" s="178"/>
      <c r="IF926" s="178"/>
      <c r="IG926" s="178"/>
      <c r="IH926" s="178"/>
      <c r="II926" s="178"/>
      <c r="IJ926" s="178"/>
      <c r="IK926" s="178"/>
      <c r="IL926" s="178"/>
      <c r="IM926" s="178"/>
      <c r="IN926" s="178"/>
      <c r="IO926" s="178"/>
      <c r="IP926" s="178"/>
      <c r="IQ926" s="178"/>
      <c r="IR926" s="178"/>
      <c r="IS926" s="178"/>
      <c r="IT926" s="178"/>
      <c r="IU926" s="178"/>
      <c r="IV926" s="178"/>
      <c r="IW926" s="178"/>
      <c r="IX926" s="178"/>
      <c r="IY926" s="178"/>
      <c r="IZ926" s="178"/>
      <c r="JA926" s="178"/>
      <c r="JB926" s="178"/>
      <c r="JC926" s="178"/>
      <c r="JD926" s="178"/>
    </row>
    <row r="927">
      <c r="IE927" s="178"/>
      <c r="IF927" s="178"/>
      <c r="IG927" s="178"/>
      <c r="IH927" s="178"/>
      <c r="II927" s="178"/>
      <c r="IJ927" s="178"/>
      <c r="IK927" s="178"/>
      <c r="IL927" s="178"/>
      <c r="IM927" s="178"/>
      <c r="IN927" s="178"/>
      <c r="IO927" s="178"/>
      <c r="IP927" s="178"/>
      <c r="IQ927" s="178"/>
      <c r="IR927" s="178"/>
      <c r="IS927" s="178"/>
      <c r="IT927" s="178"/>
      <c r="IU927" s="178"/>
      <c r="IV927" s="178"/>
      <c r="IW927" s="178"/>
      <c r="IX927" s="178"/>
      <c r="IY927" s="178"/>
      <c r="IZ927" s="178"/>
      <c r="JA927" s="178"/>
      <c r="JB927" s="178"/>
      <c r="JC927" s="178"/>
      <c r="JD927" s="178"/>
    </row>
    <row r="928">
      <c r="IE928" s="178"/>
      <c r="IF928" s="178"/>
      <c r="IG928" s="178"/>
      <c r="IH928" s="178"/>
      <c r="II928" s="178"/>
      <c r="IJ928" s="178"/>
      <c r="IK928" s="178"/>
      <c r="IL928" s="178"/>
      <c r="IM928" s="178"/>
      <c r="IN928" s="178"/>
      <c r="IO928" s="178"/>
      <c r="IP928" s="178"/>
      <c r="IQ928" s="178"/>
      <c r="IR928" s="178"/>
      <c r="IS928" s="178"/>
      <c r="IT928" s="178"/>
      <c r="IU928" s="178"/>
      <c r="IV928" s="178"/>
      <c r="IW928" s="178"/>
      <c r="IX928" s="178"/>
      <c r="IY928" s="178"/>
      <c r="IZ928" s="178"/>
      <c r="JA928" s="178"/>
      <c r="JB928" s="178"/>
      <c r="JC928" s="178"/>
      <c r="JD928" s="178"/>
    </row>
    <row r="929">
      <c r="IE929" s="178"/>
      <c r="IF929" s="178"/>
      <c r="IG929" s="178"/>
      <c r="IH929" s="178"/>
      <c r="II929" s="178"/>
      <c r="IJ929" s="178"/>
      <c r="IK929" s="178"/>
      <c r="IL929" s="178"/>
      <c r="IM929" s="178"/>
      <c r="IN929" s="178"/>
      <c r="IO929" s="178"/>
      <c r="IP929" s="178"/>
      <c r="IQ929" s="178"/>
      <c r="IR929" s="178"/>
      <c r="IS929" s="178"/>
      <c r="IT929" s="178"/>
      <c r="IU929" s="178"/>
      <c r="IV929" s="178"/>
      <c r="IW929" s="178"/>
      <c r="IX929" s="178"/>
      <c r="IY929" s="178"/>
      <c r="IZ929" s="178"/>
      <c r="JA929" s="178"/>
      <c r="JB929" s="178"/>
      <c r="JC929" s="178"/>
      <c r="JD929" s="178"/>
    </row>
    <row r="930">
      <c r="IE930" s="178"/>
      <c r="IF930" s="178"/>
      <c r="IG930" s="178"/>
      <c r="IH930" s="178"/>
      <c r="II930" s="178"/>
      <c r="IJ930" s="178"/>
      <c r="IK930" s="178"/>
      <c r="IL930" s="178"/>
      <c r="IM930" s="178"/>
      <c r="IN930" s="178"/>
      <c r="IO930" s="178"/>
      <c r="IP930" s="178"/>
      <c r="IQ930" s="178"/>
      <c r="IR930" s="178"/>
      <c r="IS930" s="178"/>
      <c r="IT930" s="178"/>
      <c r="IU930" s="178"/>
      <c r="IV930" s="178"/>
      <c r="IW930" s="178"/>
      <c r="IX930" s="178"/>
      <c r="IY930" s="178"/>
      <c r="IZ930" s="178"/>
      <c r="JA930" s="178"/>
      <c r="JB930" s="178"/>
      <c r="JC930" s="178"/>
      <c r="JD930" s="178"/>
    </row>
    <row r="931">
      <c r="IE931" s="178"/>
      <c r="IF931" s="178"/>
      <c r="IG931" s="178"/>
      <c r="IH931" s="178"/>
      <c r="II931" s="178"/>
      <c r="IJ931" s="178"/>
      <c r="IK931" s="178"/>
      <c r="IL931" s="178"/>
      <c r="IM931" s="178"/>
      <c r="IN931" s="178"/>
      <c r="IO931" s="178"/>
      <c r="IP931" s="178"/>
      <c r="IQ931" s="178"/>
      <c r="IR931" s="178"/>
      <c r="IS931" s="178"/>
      <c r="IT931" s="178"/>
      <c r="IU931" s="178"/>
      <c r="IV931" s="178"/>
      <c r="IW931" s="178"/>
      <c r="IX931" s="178"/>
      <c r="IY931" s="178"/>
      <c r="IZ931" s="178"/>
      <c r="JA931" s="178"/>
      <c r="JB931" s="178"/>
      <c r="JC931" s="178"/>
      <c r="JD931" s="178"/>
    </row>
    <row r="932">
      <c r="IE932" s="178"/>
      <c r="IF932" s="178"/>
      <c r="IG932" s="178"/>
      <c r="IH932" s="178"/>
      <c r="II932" s="178"/>
      <c r="IJ932" s="178"/>
      <c r="IK932" s="178"/>
      <c r="IL932" s="178"/>
      <c r="IM932" s="178"/>
      <c r="IN932" s="178"/>
      <c r="IO932" s="178"/>
      <c r="IP932" s="178"/>
      <c r="IQ932" s="178"/>
      <c r="IR932" s="178"/>
      <c r="IS932" s="178"/>
      <c r="IT932" s="178"/>
      <c r="IU932" s="178"/>
      <c r="IV932" s="178"/>
      <c r="IW932" s="178"/>
      <c r="IX932" s="178"/>
      <c r="IY932" s="178"/>
      <c r="IZ932" s="178"/>
      <c r="JA932" s="178"/>
      <c r="JB932" s="178"/>
      <c r="JC932" s="178"/>
      <c r="JD932" s="178"/>
    </row>
    <row r="933">
      <c r="IE933" s="178"/>
      <c r="IF933" s="178"/>
      <c r="IG933" s="178"/>
      <c r="IH933" s="178"/>
      <c r="II933" s="178"/>
      <c r="IJ933" s="178"/>
      <c r="IK933" s="178"/>
      <c r="IL933" s="178"/>
      <c r="IM933" s="178"/>
      <c r="IN933" s="178"/>
      <c r="IO933" s="178"/>
      <c r="IP933" s="178"/>
      <c r="IQ933" s="178"/>
      <c r="IR933" s="178"/>
      <c r="IS933" s="178"/>
      <c r="IT933" s="178"/>
      <c r="IU933" s="178"/>
      <c r="IV933" s="178"/>
      <c r="IW933" s="178"/>
      <c r="IX933" s="178"/>
      <c r="IY933" s="178"/>
      <c r="IZ933" s="178"/>
      <c r="JA933" s="178"/>
      <c r="JB933" s="178"/>
      <c r="JC933" s="178"/>
      <c r="JD933" s="178"/>
    </row>
    <row r="934">
      <c r="IE934" s="178"/>
      <c r="IF934" s="178"/>
      <c r="IG934" s="178"/>
      <c r="IH934" s="178"/>
      <c r="II934" s="178"/>
      <c r="IJ934" s="178"/>
      <c r="IK934" s="178"/>
      <c r="IL934" s="178"/>
      <c r="IM934" s="178"/>
      <c r="IN934" s="178"/>
      <c r="IO934" s="178"/>
      <c r="IP934" s="178"/>
      <c r="IQ934" s="178"/>
      <c r="IR934" s="178"/>
      <c r="IS934" s="178"/>
      <c r="IT934" s="178"/>
      <c r="IU934" s="178"/>
      <c r="IV934" s="178"/>
      <c r="IW934" s="178"/>
      <c r="IX934" s="178"/>
      <c r="IY934" s="178"/>
      <c r="IZ934" s="178"/>
      <c r="JA934" s="178"/>
      <c r="JB934" s="178"/>
      <c r="JC934" s="178"/>
      <c r="JD934" s="178"/>
    </row>
    <row r="935">
      <c r="IE935" s="178"/>
      <c r="IF935" s="178"/>
      <c r="IG935" s="178"/>
      <c r="IH935" s="178"/>
      <c r="II935" s="178"/>
      <c r="IJ935" s="178"/>
      <c r="IK935" s="178"/>
      <c r="IL935" s="178"/>
      <c r="IM935" s="178"/>
      <c r="IN935" s="178"/>
      <c r="IO935" s="178"/>
      <c r="IP935" s="178"/>
      <c r="IQ935" s="178"/>
      <c r="IR935" s="178"/>
      <c r="IS935" s="178"/>
      <c r="IT935" s="178"/>
      <c r="IU935" s="178"/>
      <c r="IV935" s="178"/>
      <c r="IW935" s="178"/>
      <c r="IX935" s="178"/>
      <c r="IY935" s="178"/>
      <c r="IZ935" s="178"/>
      <c r="JA935" s="178"/>
      <c r="JB935" s="178"/>
      <c r="JC935" s="178"/>
      <c r="JD935" s="178"/>
    </row>
    <row r="936">
      <c r="IE936" s="178"/>
      <c r="IF936" s="178"/>
      <c r="IG936" s="178"/>
      <c r="IH936" s="178"/>
      <c r="II936" s="178"/>
      <c r="IJ936" s="178"/>
      <c r="IK936" s="178"/>
      <c r="IL936" s="178"/>
      <c r="IM936" s="178"/>
      <c r="IN936" s="178"/>
      <c r="IO936" s="178"/>
      <c r="IP936" s="178"/>
      <c r="IQ936" s="178"/>
      <c r="IR936" s="178"/>
      <c r="IS936" s="178"/>
      <c r="IT936" s="178"/>
      <c r="IU936" s="178"/>
      <c r="IV936" s="178"/>
      <c r="IW936" s="178"/>
      <c r="IX936" s="178"/>
      <c r="IY936" s="178"/>
      <c r="IZ936" s="178"/>
      <c r="JA936" s="178"/>
      <c r="JB936" s="178"/>
      <c r="JC936" s="178"/>
      <c r="JD936" s="178"/>
    </row>
    <row r="937">
      <c r="IE937" s="178"/>
      <c r="IF937" s="178"/>
      <c r="IG937" s="178"/>
      <c r="IH937" s="178"/>
      <c r="II937" s="178"/>
      <c r="IJ937" s="178"/>
      <c r="IK937" s="178"/>
      <c r="IL937" s="178"/>
      <c r="IM937" s="178"/>
      <c r="IN937" s="178"/>
      <c r="IO937" s="178"/>
      <c r="IP937" s="178"/>
      <c r="IQ937" s="178"/>
      <c r="IR937" s="178"/>
      <c r="IS937" s="178"/>
      <c r="IT937" s="178"/>
      <c r="IU937" s="178"/>
      <c r="IV937" s="178"/>
      <c r="IW937" s="178"/>
      <c r="IX937" s="178"/>
      <c r="IY937" s="178"/>
      <c r="IZ937" s="178"/>
      <c r="JA937" s="178"/>
      <c r="JB937" s="178"/>
      <c r="JC937" s="178"/>
      <c r="JD937" s="178"/>
    </row>
    <row r="938">
      <c r="IE938" s="178"/>
      <c r="IF938" s="178"/>
      <c r="IG938" s="178"/>
      <c r="IH938" s="178"/>
      <c r="II938" s="178"/>
      <c r="IJ938" s="178"/>
      <c r="IK938" s="178"/>
      <c r="IL938" s="178"/>
      <c r="IM938" s="178"/>
      <c r="IN938" s="178"/>
      <c r="IO938" s="178"/>
      <c r="IP938" s="178"/>
      <c r="IQ938" s="178"/>
      <c r="IR938" s="178"/>
      <c r="IS938" s="178"/>
      <c r="IT938" s="178"/>
      <c r="IU938" s="178"/>
      <c r="IV938" s="178"/>
      <c r="IW938" s="178"/>
      <c r="IX938" s="178"/>
      <c r="IY938" s="178"/>
      <c r="IZ938" s="178"/>
      <c r="JA938" s="178"/>
      <c r="JB938" s="178"/>
      <c r="JC938" s="178"/>
      <c r="JD938" s="178"/>
    </row>
    <row r="939">
      <c r="IE939" s="178"/>
      <c r="IF939" s="178"/>
      <c r="IG939" s="178"/>
      <c r="IH939" s="178"/>
      <c r="II939" s="178"/>
      <c r="IJ939" s="178"/>
      <c r="IK939" s="178"/>
      <c r="IL939" s="178"/>
      <c r="IM939" s="178"/>
      <c r="IN939" s="178"/>
      <c r="IO939" s="178"/>
      <c r="IP939" s="178"/>
      <c r="IQ939" s="178"/>
      <c r="IR939" s="178"/>
      <c r="IS939" s="178"/>
      <c r="IT939" s="178"/>
      <c r="IU939" s="178"/>
      <c r="IV939" s="178"/>
      <c r="IW939" s="178"/>
      <c r="IX939" s="178"/>
      <c r="IY939" s="178"/>
      <c r="IZ939" s="178"/>
      <c r="JA939" s="178"/>
      <c r="JB939" s="178"/>
      <c r="JC939" s="178"/>
      <c r="JD939" s="178"/>
    </row>
    <row r="940">
      <c r="IE940" s="178"/>
      <c r="IF940" s="178"/>
      <c r="IG940" s="178"/>
      <c r="IH940" s="178"/>
      <c r="II940" s="178"/>
      <c r="IJ940" s="178"/>
      <c r="IK940" s="178"/>
      <c r="IL940" s="178"/>
      <c r="IM940" s="178"/>
      <c r="IN940" s="178"/>
      <c r="IO940" s="178"/>
      <c r="IP940" s="178"/>
      <c r="IQ940" s="178"/>
      <c r="IR940" s="178"/>
      <c r="IS940" s="178"/>
      <c r="IT940" s="178"/>
      <c r="IU940" s="178"/>
      <c r="IV940" s="178"/>
      <c r="IW940" s="178"/>
      <c r="IX940" s="178"/>
      <c r="IY940" s="178"/>
      <c r="IZ940" s="178"/>
      <c r="JA940" s="178"/>
      <c r="JB940" s="178"/>
      <c r="JC940" s="178"/>
      <c r="JD940" s="178"/>
    </row>
    <row r="941">
      <c r="IE941" s="178"/>
      <c r="IF941" s="178"/>
      <c r="IG941" s="178"/>
      <c r="IH941" s="178"/>
      <c r="II941" s="178"/>
      <c r="IJ941" s="178"/>
      <c r="IK941" s="178"/>
      <c r="IL941" s="178"/>
      <c r="IM941" s="178"/>
      <c r="IN941" s="178"/>
      <c r="IO941" s="178"/>
      <c r="IP941" s="178"/>
      <c r="IQ941" s="178"/>
      <c r="IR941" s="178"/>
      <c r="IS941" s="178"/>
      <c r="IT941" s="178"/>
      <c r="IU941" s="178"/>
      <c r="IV941" s="178"/>
      <c r="IW941" s="178"/>
      <c r="IX941" s="178"/>
      <c r="IY941" s="178"/>
      <c r="IZ941" s="178"/>
      <c r="JA941" s="178"/>
      <c r="JB941" s="178"/>
      <c r="JC941" s="178"/>
      <c r="JD941" s="178"/>
    </row>
    <row r="942">
      <c r="IE942" s="178"/>
      <c r="IF942" s="178"/>
      <c r="IG942" s="178"/>
      <c r="IH942" s="178"/>
      <c r="II942" s="178"/>
      <c r="IJ942" s="178"/>
      <c r="IK942" s="178"/>
      <c r="IL942" s="178"/>
      <c r="IM942" s="178"/>
      <c r="IN942" s="178"/>
      <c r="IO942" s="178"/>
      <c r="IP942" s="178"/>
      <c r="IQ942" s="178"/>
      <c r="IR942" s="178"/>
      <c r="IS942" s="178"/>
      <c r="IT942" s="178"/>
      <c r="IU942" s="178"/>
      <c r="IV942" s="178"/>
      <c r="IW942" s="178"/>
      <c r="IX942" s="178"/>
      <c r="IY942" s="178"/>
      <c r="IZ942" s="178"/>
      <c r="JA942" s="178"/>
      <c r="JB942" s="178"/>
      <c r="JC942" s="178"/>
      <c r="JD942" s="178"/>
    </row>
    <row r="943">
      <c r="IE943" s="178"/>
      <c r="IF943" s="178"/>
      <c r="IG943" s="178"/>
      <c r="IH943" s="178"/>
      <c r="II943" s="178"/>
      <c r="IJ943" s="178"/>
      <c r="IK943" s="178"/>
      <c r="IL943" s="178"/>
      <c r="IM943" s="178"/>
      <c r="IN943" s="178"/>
      <c r="IO943" s="178"/>
      <c r="IP943" s="178"/>
      <c r="IQ943" s="178"/>
      <c r="IR943" s="178"/>
      <c r="IS943" s="178"/>
      <c r="IT943" s="178"/>
      <c r="IU943" s="178"/>
      <c r="IV943" s="178"/>
      <c r="IW943" s="178"/>
      <c r="IX943" s="178"/>
      <c r="IY943" s="178"/>
      <c r="IZ943" s="178"/>
      <c r="JA943" s="178"/>
      <c r="JB943" s="178"/>
      <c r="JC943" s="178"/>
      <c r="JD943" s="178"/>
    </row>
    <row r="944">
      <c r="IE944" s="178"/>
      <c r="IF944" s="178"/>
      <c r="IG944" s="178"/>
      <c r="IH944" s="178"/>
      <c r="II944" s="178"/>
      <c r="IJ944" s="178"/>
      <c r="IK944" s="178"/>
      <c r="IL944" s="178"/>
      <c r="IM944" s="178"/>
      <c r="IN944" s="178"/>
      <c r="IO944" s="178"/>
      <c r="IP944" s="178"/>
      <c r="IQ944" s="178"/>
      <c r="IR944" s="178"/>
      <c r="IS944" s="178"/>
      <c r="IT944" s="178"/>
      <c r="IU944" s="178"/>
      <c r="IV944" s="178"/>
      <c r="IW944" s="178"/>
      <c r="IX944" s="178"/>
      <c r="IY944" s="178"/>
      <c r="IZ944" s="178"/>
      <c r="JA944" s="178"/>
      <c r="JB944" s="178"/>
      <c r="JC944" s="178"/>
      <c r="JD944" s="178"/>
    </row>
    <row r="945">
      <c r="IE945" s="178"/>
      <c r="IF945" s="178"/>
      <c r="IG945" s="178"/>
      <c r="IH945" s="178"/>
      <c r="II945" s="178"/>
      <c r="IJ945" s="178"/>
      <c r="IK945" s="178"/>
      <c r="IL945" s="178"/>
      <c r="IM945" s="178"/>
      <c r="IN945" s="178"/>
      <c r="IO945" s="178"/>
      <c r="IP945" s="178"/>
      <c r="IQ945" s="178"/>
      <c r="IR945" s="178"/>
      <c r="IS945" s="178"/>
      <c r="IT945" s="178"/>
      <c r="IU945" s="178"/>
      <c r="IV945" s="178"/>
      <c r="IW945" s="178"/>
      <c r="IX945" s="178"/>
      <c r="IY945" s="178"/>
      <c r="IZ945" s="178"/>
      <c r="JA945" s="178"/>
      <c r="JB945" s="178"/>
      <c r="JC945" s="178"/>
      <c r="JD945" s="178"/>
    </row>
    <row r="946">
      <c r="IE946" s="178"/>
      <c r="IF946" s="178"/>
      <c r="IG946" s="178"/>
      <c r="IH946" s="178"/>
      <c r="II946" s="178"/>
      <c r="IJ946" s="178"/>
      <c r="IK946" s="178"/>
      <c r="IL946" s="178"/>
      <c r="IM946" s="178"/>
      <c r="IN946" s="178"/>
      <c r="IO946" s="178"/>
      <c r="IP946" s="178"/>
      <c r="IQ946" s="178"/>
      <c r="IR946" s="178"/>
      <c r="IS946" s="178"/>
      <c r="IT946" s="178"/>
      <c r="IU946" s="178"/>
      <c r="IV946" s="178"/>
      <c r="IW946" s="178"/>
      <c r="IX946" s="178"/>
      <c r="IY946" s="178"/>
      <c r="IZ946" s="178"/>
      <c r="JA946" s="178"/>
      <c r="JB946" s="178"/>
      <c r="JC946" s="178"/>
      <c r="JD946" s="178"/>
    </row>
    <row r="947">
      <c r="IE947" s="178"/>
      <c r="IF947" s="178"/>
      <c r="IG947" s="178"/>
      <c r="IH947" s="178"/>
      <c r="II947" s="178"/>
      <c r="IJ947" s="178"/>
      <c r="IK947" s="178"/>
      <c r="IL947" s="178"/>
      <c r="IM947" s="178"/>
      <c r="IN947" s="178"/>
      <c r="IO947" s="178"/>
      <c r="IP947" s="178"/>
      <c r="IQ947" s="178"/>
      <c r="IR947" s="178"/>
      <c r="IS947" s="178"/>
      <c r="IT947" s="178"/>
      <c r="IU947" s="178"/>
      <c r="IV947" s="178"/>
      <c r="IW947" s="178"/>
      <c r="IX947" s="178"/>
      <c r="IY947" s="178"/>
      <c r="IZ947" s="178"/>
      <c r="JA947" s="178"/>
      <c r="JB947" s="178"/>
      <c r="JC947" s="178"/>
      <c r="JD947" s="178"/>
    </row>
    <row r="948">
      <c r="IE948" s="178"/>
      <c r="IF948" s="178"/>
      <c r="IG948" s="178"/>
      <c r="IH948" s="178"/>
      <c r="II948" s="178"/>
      <c r="IJ948" s="178"/>
      <c r="IK948" s="178"/>
      <c r="IL948" s="178"/>
      <c r="IM948" s="178"/>
      <c r="IN948" s="178"/>
      <c r="IO948" s="178"/>
      <c r="IP948" s="178"/>
      <c r="IQ948" s="178"/>
      <c r="IR948" s="178"/>
      <c r="IS948" s="178"/>
      <c r="IT948" s="178"/>
      <c r="IU948" s="178"/>
      <c r="IV948" s="178"/>
      <c r="IW948" s="178"/>
      <c r="IX948" s="178"/>
      <c r="IY948" s="178"/>
      <c r="IZ948" s="178"/>
      <c r="JA948" s="178"/>
      <c r="JB948" s="178"/>
      <c r="JC948" s="178"/>
      <c r="JD948" s="178"/>
    </row>
    <row r="949">
      <c r="IE949" s="178"/>
      <c r="IF949" s="178"/>
      <c r="IG949" s="178"/>
      <c r="IH949" s="178"/>
      <c r="II949" s="178"/>
      <c r="IJ949" s="178"/>
      <c r="IK949" s="178"/>
      <c r="IL949" s="178"/>
      <c r="IM949" s="178"/>
      <c r="IN949" s="178"/>
      <c r="IO949" s="178"/>
      <c r="IP949" s="178"/>
      <c r="IQ949" s="178"/>
      <c r="IR949" s="178"/>
      <c r="IS949" s="178"/>
      <c r="IT949" s="178"/>
      <c r="IU949" s="178"/>
      <c r="IV949" s="178"/>
      <c r="IW949" s="178"/>
      <c r="IX949" s="178"/>
      <c r="IY949" s="178"/>
      <c r="IZ949" s="178"/>
      <c r="JA949" s="178"/>
      <c r="JB949" s="178"/>
      <c r="JC949" s="178"/>
      <c r="JD949" s="178"/>
    </row>
    <row r="950">
      <c r="IE950" s="178"/>
      <c r="IF950" s="178"/>
      <c r="IG950" s="178"/>
      <c r="IH950" s="178"/>
      <c r="II950" s="178"/>
      <c r="IJ950" s="178"/>
      <c r="IK950" s="178"/>
      <c r="IL950" s="178"/>
      <c r="IM950" s="178"/>
      <c r="IN950" s="178"/>
      <c r="IO950" s="178"/>
      <c r="IP950" s="178"/>
      <c r="IQ950" s="178"/>
      <c r="IR950" s="178"/>
      <c r="IS950" s="178"/>
      <c r="IT950" s="178"/>
      <c r="IU950" s="178"/>
      <c r="IV950" s="178"/>
      <c r="IW950" s="178"/>
      <c r="IX950" s="178"/>
      <c r="IY950" s="178"/>
      <c r="IZ950" s="178"/>
      <c r="JA950" s="178"/>
      <c r="JB950" s="178"/>
      <c r="JC950" s="178"/>
      <c r="JD950" s="178"/>
    </row>
    <row r="951">
      <c r="IE951" s="178"/>
      <c r="IF951" s="178"/>
      <c r="IG951" s="178"/>
      <c r="IH951" s="178"/>
      <c r="II951" s="178"/>
      <c r="IJ951" s="178"/>
      <c r="IK951" s="178"/>
      <c r="IL951" s="178"/>
      <c r="IM951" s="178"/>
      <c r="IN951" s="178"/>
      <c r="IO951" s="178"/>
      <c r="IP951" s="178"/>
      <c r="IQ951" s="178"/>
      <c r="IR951" s="178"/>
      <c r="IS951" s="178"/>
      <c r="IT951" s="178"/>
      <c r="IU951" s="178"/>
      <c r="IV951" s="178"/>
      <c r="IW951" s="178"/>
      <c r="IX951" s="178"/>
      <c r="IY951" s="178"/>
      <c r="IZ951" s="178"/>
      <c r="JA951" s="178"/>
      <c r="JB951" s="178"/>
      <c r="JC951" s="178"/>
      <c r="JD951" s="178"/>
    </row>
    <row r="952">
      <c r="IE952" s="178"/>
      <c r="IF952" s="178"/>
      <c r="IG952" s="178"/>
      <c r="IH952" s="178"/>
      <c r="II952" s="178"/>
      <c r="IJ952" s="178"/>
      <c r="IK952" s="178"/>
      <c r="IL952" s="178"/>
      <c r="IM952" s="178"/>
      <c r="IN952" s="178"/>
      <c r="IO952" s="178"/>
      <c r="IP952" s="178"/>
      <c r="IQ952" s="178"/>
      <c r="IR952" s="178"/>
      <c r="IS952" s="178"/>
      <c r="IT952" s="178"/>
      <c r="IU952" s="178"/>
      <c r="IV952" s="178"/>
      <c r="IW952" s="178"/>
      <c r="IX952" s="178"/>
      <c r="IY952" s="178"/>
      <c r="IZ952" s="178"/>
      <c r="JA952" s="178"/>
      <c r="JB952" s="178"/>
      <c r="JC952" s="178"/>
      <c r="JD952" s="178"/>
    </row>
    <row r="953">
      <c r="IE953" s="178"/>
      <c r="IF953" s="178"/>
      <c r="IG953" s="178"/>
      <c r="IH953" s="178"/>
      <c r="II953" s="178"/>
      <c r="IJ953" s="178"/>
      <c r="IK953" s="178"/>
      <c r="IL953" s="178"/>
      <c r="IM953" s="178"/>
      <c r="IN953" s="178"/>
      <c r="IO953" s="178"/>
      <c r="IP953" s="178"/>
      <c r="IQ953" s="178"/>
      <c r="IR953" s="178"/>
      <c r="IS953" s="178"/>
      <c r="IT953" s="178"/>
      <c r="IU953" s="178"/>
      <c r="IV953" s="178"/>
      <c r="IW953" s="178"/>
      <c r="IX953" s="178"/>
      <c r="IY953" s="178"/>
      <c r="IZ953" s="178"/>
      <c r="JA953" s="178"/>
      <c r="JB953" s="178"/>
      <c r="JC953" s="178"/>
      <c r="JD953" s="178"/>
    </row>
    <row r="954">
      <c r="IE954" s="178"/>
      <c r="IF954" s="178"/>
      <c r="IG954" s="178"/>
      <c r="IH954" s="178"/>
      <c r="II954" s="178"/>
      <c r="IJ954" s="178"/>
      <c r="IK954" s="178"/>
      <c r="IL954" s="178"/>
      <c r="IM954" s="178"/>
      <c r="IN954" s="178"/>
      <c r="IO954" s="178"/>
      <c r="IP954" s="178"/>
      <c r="IQ954" s="178"/>
      <c r="IR954" s="178"/>
      <c r="IS954" s="178"/>
      <c r="IT954" s="178"/>
      <c r="IU954" s="178"/>
      <c r="IV954" s="178"/>
      <c r="IW954" s="178"/>
      <c r="IX954" s="178"/>
      <c r="IY954" s="178"/>
      <c r="IZ954" s="178"/>
      <c r="JA954" s="178"/>
      <c r="JB954" s="178"/>
      <c r="JC954" s="178"/>
      <c r="JD954" s="178"/>
    </row>
    <row r="955">
      <c r="IE955" s="178"/>
      <c r="IF955" s="178"/>
      <c r="IG955" s="178"/>
      <c r="IH955" s="178"/>
      <c r="II955" s="178"/>
      <c r="IJ955" s="178"/>
      <c r="IK955" s="178"/>
      <c r="IL955" s="178"/>
      <c r="IM955" s="178"/>
      <c r="IN955" s="178"/>
      <c r="IO955" s="178"/>
      <c r="IP955" s="178"/>
      <c r="IQ955" s="178"/>
      <c r="IR955" s="178"/>
      <c r="IS955" s="178"/>
      <c r="IT955" s="178"/>
      <c r="IU955" s="178"/>
      <c r="IV955" s="178"/>
      <c r="IW955" s="178"/>
      <c r="IX955" s="178"/>
      <c r="IY955" s="178"/>
      <c r="IZ955" s="178"/>
      <c r="JA955" s="178"/>
      <c r="JB955" s="178"/>
      <c r="JC955" s="178"/>
      <c r="JD955" s="178"/>
    </row>
    <row r="956">
      <c r="IE956" s="178"/>
      <c r="IF956" s="178"/>
      <c r="IG956" s="178"/>
      <c r="IH956" s="178"/>
      <c r="II956" s="178"/>
      <c r="IJ956" s="178"/>
      <c r="IK956" s="178"/>
      <c r="IL956" s="178"/>
      <c r="IM956" s="178"/>
      <c r="IN956" s="178"/>
      <c r="IO956" s="178"/>
      <c r="IP956" s="178"/>
      <c r="IQ956" s="178"/>
      <c r="IR956" s="178"/>
      <c r="IS956" s="178"/>
      <c r="IT956" s="178"/>
      <c r="IU956" s="178"/>
      <c r="IV956" s="178"/>
      <c r="IW956" s="178"/>
      <c r="IX956" s="178"/>
      <c r="IY956" s="178"/>
      <c r="IZ956" s="178"/>
      <c r="JA956" s="178"/>
      <c r="JB956" s="178"/>
      <c r="JC956" s="178"/>
      <c r="JD956" s="178"/>
    </row>
    <row r="957">
      <c r="IE957" s="178"/>
      <c r="IF957" s="178"/>
      <c r="IG957" s="178"/>
      <c r="IH957" s="178"/>
      <c r="II957" s="178"/>
      <c r="IJ957" s="178"/>
      <c r="IK957" s="178"/>
      <c r="IL957" s="178"/>
      <c r="IM957" s="178"/>
      <c r="IN957" s="178"/>
      <c r="IO957" s="178"/>
      <c r="IP957" s="178"/>
      <c r="IQ957" s="178"/>
      <c r="IR957" s="178"/>
      <c r="IS957" s="178"/>
      <c r="IT957" s="178"/>
      <c r="IU957" s="178"/>
      <c r="IV957" s="178"/>
      <c r="IW957" s="178"/>
      <c r="IX957" s="178"/>
      <c r="IY957" s="178"/>
      <c r="IZ957" s="178"/>
      <c r="JA957" s="178"/>
      <c r="JB957" s="178"/>
      <c r="JC957" s="178"/>
      <c r="JD957" s="178"/>
    </row>
    <row r="958">
      <c r="IE958" s="178"/>
      <c r="IF958" s="178"/>
      <c r="IG958" s="178"/>
      <c r="IH958" s="178"/>
      <c r="II958" s="178"/>
      <c r="IJ958" s="178"/>
      <c r="IK958" s="178"/>
      <c r="IL958" s="178"/>
      <c r="IM958" s="178"/>
      <c r="IN958" s="178"/>
      <c r="IO958" s="178"/>
      <c r="IP958" s="178"/>
      <c r="IQ958" s="178"/>
      <c r="IR958" s="178"/>
      <c r="IS958" s="178"/>
      <c r="IT958" s="178"/>
      <c r="IU958" s="178"/>
      <c r="IV958" s="178"/>
      <c r="IW958" s="178"/>
      <c r="IX958" s="178"/>
      <c r="IY958" s="178"/>
      <c r="IZ958" s="178"/>
      <c r="JA958" s="178"/>
      <c r="JB958" s="178"/>
      <c r="JC958" s="178"/>
      <c r="JD958" s="178"/>
    </row>
    <row r="959">
      <c r="IE959" s="178"/>
      <c r="IF959" s="178"/>
      <c r="IG959" s="178"/>
      <c r="IH959" s="178"/>
      <c r="II959" s="178"/>
      <c r="IJ959" s="178"/>
      <c r="IK959" s="178"/>
      <c r="IL959" s="178"/>
      <c r="IM959" s="178"/>
      <c r="IN959" s="178"/>
      <c r="IO959" s="178"/>
      <c r="IP959" s="178"/>
      <c r="IQ959" s="178"/>
      <c r="IR959" s="178"/>
      <c r="IS959" s="178"/>
      <c r="IT959" s="178"/>
      <c r="IU959" s="178"/>
      <c r="IV959" s="178"/>
      <c r="IW959" s="178"/>
      <c r="IX959" s="178"/>
      <c r="IY959" s="178"/>
      <c r="IZ959" s="178"/>
      <c r="JA959" s="178"/>
      <c r="JB959" s="178"/>
      <c r="JC959" s="178"/>
      <c r="JD959" s="178"/>
    </row>
    <row r="960">
      <c r="IE960" s="178"/>
      <c r="IF960" s="178"/>
      <c r="IG960" s="178"/>
      <c r="IH960" s="178"/>
      <c r="II960" s="178"/>
      <c r="IJ960" s="178"/>
      <c r="IK960" s="178"/>
      <c r="IL960" s="178"/>
      <c r="IM960" s="178"/>
      <c r="IN960" s="178"/>
      <c r="IO960" s="178"/>
      <c r="IP960" s="178"/>
      <c r="IQ960" s="178"/>
      <c r="IR960" s="178"/>
      <c r="IS960" s="178"/>
      <c r="IT960" s="178"/>
      <c r="IU960" s="178"/>
      <c r="IV960" s="178"/>
      <c r="IW960" s="178"/>
      <c r="IX960" s="178"/>
      <c r="IY960" s="178"/>
      <c r="IZ960" s="178"/>
      <c r="JA960" s="178"/>
      <c r="JB960" s="178"/>
      <c r="JC960" s="178"/>
      <c r="JD960" s="178"/>
    </row>
    <row r="961">
      <c r="IE961" s="178"/>
      <c r="IF961" s="178"/>
      <c r="IG961" s="178"/>
      <c r="IH961" s="178"/>
      <c r="II961" s="178"/>
      <c r="IJ961" s="178"/>
      <c r="IK961" s="178"/>
      <c r="IL961" s="178"/>
      <c r="IM961" s="178"/>
      <c r="IN961" s="178"/>
      <c r="IO961" s="178"/>
      <c r="IP961" s="178"/>
      <c r="IQ961" s="178"/>
      <c r="IR961" s="178"/>
      <c r="IS961" s="178"/>
      <c r="IT961" s="178"/>
      <c r="IU961" s="178"/>
      <c r="IV961" s="178"/>
      <c r="IW961" s="178"/>
      <c r="IX961" s="178"/>
      <c r="IY961" s="178"/>
      <c r="IZ961" s="178"/>
      <c r="JA961" s="178"/>
      <c r="JB961" s="178"/>
      <c r="JC961" s="178"/>
      <c r="JD961" s="178"/>
    </row>
    <row r="962">
      <c r="IE962" s="178"/>
      <c r="IF962" s="178"/>
      <c r="IG962" s="178"/>
      <c r="IH962" s="178"/>
      <c r="II962" s="178"/>
      <c r="IJ962" s="178"/>
      <c r="IK962" s="178"/>
      <c r="IL962" s="178"/>
      <c r="IM962" s="178"/>
      <c r="IN962" s="178"/>
      <c r="IO962" s="178"/>
      <c r="IP962" s="178"/>
      <c r="IQ962" s="178"/>
      <c r="IR962" s="178"/>
      <c r="IS962" s="178"/>
      <c r="IT962" s="178"/>
      <c r="IU962" s="178"/>
      <c r="IV962" s="178"/>
      <c r="IW962" s="178"/>
      <c r="IX962" s="178"/>
      <c r="IY962" s="178"/>
      <c r="IZ962" s="178"/>
      <c r="JA962" s="178"/>
      <c r="JB962" s="178"/>
      <c r="JC962" s="178"/>
      <c r="JD962" s="178"/>
    </row>
    <row r="963">
      <c r="IE963" s="178"/>
      <c r="IF963" s="178"/>
      <c r="IG963" s="178"/>
      <c r="IH963" s="178"/>
      <c r="II963" s="178"/>
      <c r="IJ963" s="178"/>
      <c r="IK963" s="178"/>
      <c r="IL963" s="178"/>
      <c r="IM963" s="178"/>
      <c r="IN963" s="178"/>
      <c r="IO963" s="178"/>
      <c r="IP963" s="178"/>
      <c r="IQ963" s="178"/>
      <c r="IR963" s="178"/>
      <c r="IS963" s="178"/>
      <c r="IT963" s="178"/>
      <c r="IU963" s="178"/>
      <c r="IV963" s="178"/>
      <c r="IW963" s="178"/>
      <c r="IX963" s="178"/>
      <c r="IY963" s="178"/>
      <c r="IZ963" s="178"/>
      <c r="JA963" s="178"/>
      <c r="JB963" s="178"/>
      <c r="JC963" s="178"/>
      <c r="JD963" s="178"/>
    </row>
    <row r="964">
      <c r="IE964" s="178"/>
      <c r="IF964" s="178"/>
      <c r="IG964" s="178"/>
      <c r="IH964" s="178"/>
      <c r="II964" s="178"/>
      <c r="IJ964" s="178"/>
      <c r="IK964" s="178"/>
      <c r="IL964" s="178"/>
      <c r="IM964" s="178"/>
      <c r="IN964" s="178"/>
      <c r="IO964" s="178"/>
      <c r="IP964" s="178"/>
      <c r="IQ964" s="178"/>
      <c r="IR964" s="178"/>
      <c r="IS964" s="178"/>
      <c r="IT964" s="178"/>
      <c r="IU964" s="178"/>
      <c r="IV964" s="178"/>
      <c r="IW964" s="178"/>
      <c r="IX964" s="178"/>
      <c r="IY964" s="178"/>
      <c r="IZ964" s="178"/>
      <c r="JA964" s="178"/>
      <c r="JB964" s="178"/>
      <c r="JC964" s="178"/>
      <c r="JD964" s="178"/>
    </row>
    <row r="965">
      <c r="IE965" s="178"/>
      <c r="IF965" s="178"/>
      <c r="IG965" s="178"/>
      <c r="IH965" s="178"/>
      <c r="II965" s="178"/>
      <c r="IJ965" s="178"/>
      <c r="IK965" s="178"/>
      <c r="IL965" s="178"/>
      <c r="IM965" s="178"/>
      <c r="IN965" s="178"/>
      <c r="IO965" s="178"/>
      <c r="IP965" s="178"/>
      <c r="IQ965" s="178"/>
      <c r="IR965" s="178"/>
      <c r="IS965" s="178"/>
      <c r="IT965" s="178"/>
      <c r="IU965" s="178"/>
      <c r="IV965" s="178"/>
      <c r="IW965" s="178"/>
      <c r="IX965" s="178"/>
      <c r="IY965" s="178"/>
      <c r="IZ965" s="178"/>
      <c r="JA965" s="178"/>
      <c r="JB965" s="178"/>
      <c r="JC965" s="178"/>
      <c r="JD965" s="178"/>
    </row>
    <row r="966">
      <c r="IE966" s="178"/>
      <c r="IF966" s="178"/>
      <c r="IG966" s="178"/>
      <c r="IH966" s="178"/>
      <c r="II966" s="178"/>
      <c r="IJ966" s="178"/>
      <c r="IK966" s="178"/>
      <c r="IL966" s="178"/>
      <c r="IM966" s="178"/>
      <c r="IN966" s="178"/>
      <c r="IO966" s="178"/>
      <c r="IP966" s="178"/>
      <c r="IQ966" s="178"/>
      <c r="IR966" s="178"/>
      <c r="IS966" s="178"/>
      <c r="IT966" s="178"/>
      <c r="IU966" s="178"/>
      <c r="IV966" s="178"/>
      <c r="IW966" s="178"/>
      <c r="IX966" s="178"/>
      <c r="IY966" s="178"/>
      <c r="IZ966" s="178"/>
      <c r="JA966" s="178"/>
      <c r="JB966" s="178"/>
      <c r="JC966" s="178"/>
      <c r="JD966" s="178"/>
    </row>
    <row r="967">
      <c r="IE967" s="178"/>
      <c r="IF967" s="178"/>
      <c r="IG967" s="178"/>
      <c r="IH967" s="178"/>
      <c r="II967" s="178"/>
      <c r="IJ967" s="178"/>
      <c r="IK967" s="178"/>
      <c r="IL967" s="178"/>
      <c r="IM967" s="178"/>
      <c r="IN967" s="178"/>
      <c r="IO967" s="178"/>
      <c r="IP967" s="178"/>
      <c r="IQ967" s="178"/>
      <c r="IR967" s="178"/>
      <c r="IS967" s="178"/>
      <c r="IT967" s="178"/>
      <c r="IU967" s="178"/>
      <c r="IV967" s="178"/>
      <c r="IW967" s="178"/>
      <c r="IX967" s="178"/>
      <c r="IY967" s="178"/>
      <c r="IZ967" s="178"/>
      <c r="JA967" s="178"/>
      <c r="JB967" s="178"/>
      <c r="JC967" s="178"/>
      <c r="JD967" s="178"/>
    </row>
    <row r="968">
      <c r="IE968" s="178"/>
      <c r="IF968" s="178"/>
      <c r="IG968" s="178"/>
      <c r="IH968" s="178"/>
      <c r="II968" s="178"/>
      <c r="IJ968" s="178"/>
      <c r="IK968" s="178"/>
      <c r="IL968" s="178"/>
      <c r="IM968" s="178"/>
      <c r="IN968" s="178"/>
      <c r="IO968" s="178"/>
      <c r="IP968" s="178"/>
      <c r="IQ968" s="178"/>
      <c r="IR968" s="178"/>
      <c r="IS968" s="178"/>
      <c r="IT968" s="178"/>
      <c r="IU968" s="178"/>
      <c r="IV968" s="178"/>
      <c r="IW968" s="178"/>
      <c r="IX968" s="178"/>
      <c r="IY968" s="178"/>
      <c r="IZ968" s="178"/>
      <c r="JA968" s="178"/>
      <c r="JB968" s="178"/>
      <c r="JC968" s="178"/>
      <c r="JD968" s="178"/>
    </row>
    <row r="969">
      <c r="IE969" s="178"/>
      <c r="IF969" s="178"/>
      <c r="IG969" s="178"/>
      <c r="IH969" s="178"/>
      <c r="II969" s="178"/>
      <c r="IJ969" s="178"/>
      <c r="IK969" s="178"/>
      <c r="IL969" s="178"/>
      <c r="IM969" s="178"/>
      <c r="IN969" s="178"/>
      <c r="IO969" s="178"/>
      <c r="IP969" s="178"/>
      <c r="IQ969" s="178"/>
      <c r="IR969" s="178"/>
      <c r="IS969" s="178"/>
      <c r="IT969" s="178"/>
      <c r="IU969" s="178"/>
      <c r="IV969" s="178"/>
      <c r="IW969" s="178"/>
      <c r="IX969" s="178"/>
      <c r="IY969" s="178"/>
      <c r="IZ969" s="178"/>
      <c r="JA969" s="178"/>
      <c r="JB969" s="178"/>
      <c r="JC969" s="178"/>
      <c r="JD969" s="178"/>
    </row>
    <row r="970">
      <c r="IE970" s="178"/>
      <c r="IF970" s="178"/>
      <c r="IG970" s="178"/>
      <c r="IH970" s="178"/>
      <c r="II970" s="178"/>
      <c r="IJ970" s="178"/>
      <c r="IK970" s="178"/>
      <c r="IL970" s="178"/>
      <c r="IM970" s="178"/>
      <c r="IN970" s="178"/>
      <c r="IO970" s="178"/>
      <c r="IP970" s="178"/>
      <c r="IQ970" s="178"/>
      <c r="IR970" s="178"/>
      <c r="IS970" s="178"/>
      <c r="IT970" s="178"/>
      <c r="IU970" s="178"/>
      <c r="IV970" s="178"/>
      <c r="IW970" s="178"/>
      <c r="IX970" s="178"/>
      <c r="IY970" s="178"/>
      <c r="IZ970" s="178"/>
      <c r="JA970" s="178"/>
      <c r="JB970" s="178"/>
      <c r="JC970" s="178"/>
      <c r="JD970" s="178"/>
    </row>
    <row r="971">
      <c r="IE971" s="178"/>
      <c r="IF971" s="178"/>
      <c r="IG971" s="178"/>
      <c r="IH971" s="178"/>
      <c r="II971" s="178"/>
      <c r="IJ971" s="178"/>
      <c r="IK971" s="178"/>
      <c r="IL971" s="178"/>
      <c r="IM971" s="178"/>
      <c r="IN971" s="178"/>
      <c r="IO971" s="178"/>
      <c r="IP971" s="178"/>
      <c r="IQ971" s="178"/>
      <c r="IR971" s="178"/>
      <c r="IS971" s="178"/>
      <c r="IT971" s="178"/>
      <c r="IU971" s="178"/>
      <c r="IV971" s="178"/>
      <c r="IW971" s="178"/>
      <c r="IX971" s="178"/>
      <c r="IY971" s="178"/>
      <c r="IZ971" s="178"/>
      <c r="JA971" s="178"/>
      <c r="JB971" s="178"/>
      <c r="JC971" s="178"/>
      <c r="JD971" s="178"/>
    </row>
    <row r="972">
      <c r="IE972" s="178"/>
      <c r="IF972" s="178"/>
      <c r="IG972" s="178"/>
      <c r="IH972" s="178"/>
      <c r="II972" s="178"/>
      <c r="IJ972" s="178"/>
      <c r="IK972" s="178"/>
      <c r="IL972" s="178"/>
      <c r="IM972" s="178"/>
      <c r="IN972" s="178"/>
      <c r="IO972" s="178"/>
      <c r="IP972" s="178"/>
      <c r="IQ972" s="178"/>
      <c r="IR972" s="178"/>
      <c r="IS972" s="178"/>
      <c r="IT972" s="178"/>
      <c r="IU972" s="178"/>
      <c r="IV972" s="178"/>
      <c r="IW972" s="178"/>
      <c r="IX972" s="178"/>
      <c r="IY972" s="178"/>
      <c r="IZ972" s="178"/>
      <c r="JA972" s="178"/>
      <c r="JB972" s="178"/>
      <c r="JC972" s="178"/>
      <c r="JD972" s="178"/>
    </row>
    <row r="973">
      <c r="IE973" s="178"/>
      <c r="IF973" s="178"/>
      <c r="IG973" s="178"/>
      <c r="IH973" s="178"/>
      <c r="II973" s="178"/>
      <c r="IJ973" s="178"/>
      <c r="IK973" s="178"/>
      <c r="IL973" s="178"/>
      <c r="IM973" s="178"/>
      <c r="IN973" s="178"/>
      <c r="IO973" s="178"/>
      <c r="IP973" s="178"/>
      <c r="IQ973" s="178"/>
      <c r="IR973" s="178"/>
      <c r="IS973" s="178"/>
      <c r="IT973" s="178"/>
      <c r="IU973" s="178"/>
      <c r="IV973" s="178"/>
      <c r="IW973" s="178"/>
      <c r="IX973" s="178"/>
      <c r="IY973" s="178"/>
      <c r="IZ973" s="178"/>
      <c r="JA973" s="178"/>
      <c r="JB973" s="178"/>
      <c r="JC973" s="178"/>
      <c r="JD973" s="178"/>
    </row>
    <row r="974">
      <c r="IE974" s="178"/>
      <c r="IF974" s="178"/>
      <c r="IG974" s="178"/>
      <c r="IH974" s="178"/>
      <c r="II974" s="178"/>
      <c r="IJ974" s="178"/>
      <c r="IK974" s="178"/>
      <c r="IL974" s="178"/>
      <c r="IM974" s="178"/>
      <c r="IN974" s="178"/>
      <c r="IO974" s="178"/>
      <c r="IP974" s="178"/>
      <c r="IQ974" s="178"/>
      <c r="IR974" s="178"/>
      <c r="IS974" s="178"/>
      <c r="IT974" s="178"/>
      <c r="IU974" s="178"/>
      <c r="IV974" s="178"/>
      <c r="IW974" s="178"/>
      <c r="IX974" s="178"/>
      <c r="IY974" s="178"/>
      <c r="IZ974" s="178"/>
      <c r="JA974" s="178"/>
      <c r="JB974" s="178"/>
      <c r="JC974" s="178"/>
      <c r="JD974" s="178"/>
    </row>
    <row r="975">
      <c r="IE975" s="178"/>
      <c r="IF975" s="178"/>
      <c r="IG975" s="178"/>
      <c r="IH975" s="178"/>
      <c r="II975" s="178"/>
      <c r="IJ975" s="178"/>
      <c r="IK975" s="178"/>
      <c r="IL975" s="178"/>
      <c r="IM975" s="178"/>
      <c r="IN975" s="178"/>
      <c r="IO975" s="178"/>
      <c r="IP975" s="178"/>
      <c r="IQ975" s="178"/>
      <c r="IR975" s="178"/>
      <c r="IS975" s="178"/>
      <c r="IT975" s="178"/>
      <c r="IU975" s="178"/>
      <c r="IV975" s="178"/>
      <c r="IW975" s="178"/>
      <c r="IX975" s="178"/>
      <c r="IY975" s="178"/>
      <c r="IZ975" s="178"/>
      <c r="JA975" s="178"/>
      <c r="JB975" s="178"/>
      <c r="JC975" s="178"/>
      <c r="JD975" s="178"/>
    </row>
    <row r="976">
      <c r="IE976" s="178"/>
      <c r="IF976" s="178"/>
      <c r="IG976" s="178"/>
      <c r="IH976" s="178"/>
      <c r="II976" s="178"/>
      <c r="IJ976" s="178"/>
      <c r="IK976" s="178"/>
      <c r="IL976" s="178"/>
      <c r="IM976" s="178"/>
      <c r="IN976" s="178"/>
      <c r="IO976" s="178"/>
      <c r="IP976" s="178"/>
      <c r="IQ976" s="178"/>
      <c r="IR976" s="178"/>
      <c r="IS976" s="178"/>
      <c r="IT976" s="178"/>
      <c r="IU976" s="178"/>
      <c r="IV976" s="178"/>
      <c r="IW976" s="178"/>
      <c r="IX976" s="178"/>
      <c r="IY976" s="178"/>
      <c r="IZ976" s="178"/>
      <c r="JA976" s="178"/>
      <c r="JB976" s="178"/>
      <c r="JC976" s="178"/>
      <c r="JD976" s="178"/>
    </row>
    <row r="977">
      <c r="IE977" s="178"/>
      <c r="IF977" s="178"/>
      <c r="IG977" s="178"/>
      <c r="IH977" s="178"/>
      <c r="II977" s="178"/>
      <c r="IJ977" s="178"/>
      <c r="IK977" s="178"/>
      <c r="IL977" s="178"/>
      <c r="IM977" s="178"/>
      <c r="IN977" s="178"/>
      <c r="IO977" s="178"/>
      <c r="IP977" s="178"/>
      <c r="IQ977" s="178"/>
      <c r="IR977" s="178"/>
      <c r="IS977" s="178"/>
      <c r="IT977" s="178"/>
      <c r="IU977" s="178"/>
      <c r="IV977" s="178"/>
      <c r="IW977" s="178"/>
      <c r="IX977" s="178"/>
      <c r="IY977" s="178"/>
      <c r="IZ977" s="178"/>
      <c r="JA977" s="178"/>
      <c r="JB977" s="178"/>
      <c r="JC977" s="178"/>
      <c r="JD977" s="178"/>
    </row>
    <row r="978">
      <c r="IE978" s="178"/>
      <c r="IF978" s="178"/>
      <c r="IG978" s="178"/>
      <c r="IH978" s="178"/>
      <c r="II978" s="178"/>
      <c r="IJ978" s="178"/>
      <c r="IK978" s="178"/>
      <c r="IL978" s="178"/>
      <c r="IM978" s="178"/>
      <c r="IN978" s="178"/>
      <c r="IO978" s="178"/>
      <c r="IP978" s="178"/>
      <c r="IQ978" s="178"/>
      <c r="IR978" s="178"/>
      <c r="IS978" s="178"/>
      <c r="IT978" s="178"/>
      <c r="IU978" s="178"/>
      <c r="IV978" s="178"/>
      <c r="IW978" s="178"/>
      <c r="IX978" s="178"/>
      <c r="IY978" s="178"/>
      <c r="IZ978" s="178"/>
      <c r="JA978" s="178"/>
      <c r="JB978" s="178"/>
      <c r="JC978" s="178"/>
      <c r="JD978" s="178"/>
    </row>
    <row r="979">
      <c r="IE979" s="178"/>
      <c r="IF979" s="178"/>
      <c r="IG979" s="178"/>
      <c r="IH979" s="178"/>
      <c r="II979" s="178"/>
      <c r="IJ979" s="178"/>
      <c r="IK979" s="178"/>
      <c r="IL979" s="178"/>
      <c r="IM979" s="178"/>
      <c r="IN979" s="178"/>
      <c r="IO979" s="178"/>
      <c r="IP979" s="178"/>
      <c r="IQ979" s="178"/>
      <c r="IR979" s="178"/>
      <c r="IS979" s="178"/>
      <c r="IT979" s="178"/>
      <c r="IU979" s="178"/>
      <c r="IV979" s="178"/>
      <c r="IW979" s="178"/>
      <c r="IX979" s="178"/>
      <c r="IY979" s="178"/>
      <c r="IZ979" s="178"/>
      <c r="JA979" s="178"/>
      <c r="JB979" s="178"/>
      <c r="JC979" s="178"/>
      <c r="JD979" s="178"/>
    </row>
    <row r="980">
      <c r="IE980" s="178"/>
      <c r="IF980" s="178"/>
      <c r="IG980" s="178"/>
      <c r="IH980" s="178"/>
      <c r="II980" s="178"/>
      <c r="IJ980" s="178"/>
      <c r="IK980" s="178"/>
      <c r="IL980" s="178"/>
      <c r="IM980" s="178"/>
      <c r="IN980" s="178"/>
      <c r="IO980" s="178"/>
      <c r="IP980" s="178"/>
      <c r="IQ980" s="178"/>
      <c r="IR980" s="178"/>
      <c r="IS980" s="178"/>
      <c r="IT980" s="178"/>
      <c r="IU980" s="178"/>
      <c r="IV980" s="178"/>
      <c r="IW980" s="178"/>
      <c r="IX980" s="178"/>
      <c r="IY980" s="178"/>
      <c r="IZ980" s="178"/>
      <c r="JA980" s="178"/>
      <c r="JB980" s="178"/>
      <c r="JC980" s="178"/>
      <c r="JD980" s="178"/>
    </row>
    <row r="981">
      <c r="IE981" s="178"/>
      <c r="IF981" s="178"/>
      <c r="IG981" s="178"/>
      <c r="IH981" s="178"/>
      <c r="II981" s="178"/>
      <c r="IJ981" s="178"/>
      <c r="IK981" s="178"/>
      <c r="IL981" s="178"/>
      <c r="IM981" s="178"/>
      <c r="IN981" s="178"/>
      <c r="IO981" s="178"/>
      <c r="IP981" s="178"/>
      <c r="IQ981" s="178"/>
      <c r="IR981" s="178"/>
      <c r="IS981" s="178"/>
      <c r="IT981" s="178"/>
      <c r="IU981" s="178"/>
      <c r="IV981" s="178"/>
      <c r="IW981" s="178"/>
      <c r="IX981" s="178"/>
      <c r="IY981" s="178"/>
      <c r="IZ981" s="178"/>
      <c r="JA981" s="178"/>
      <c r="JB981" s="178"/>
      <c r="JC981" s="178"/>
      <c r="JD981" s="178"/>
    </row>
    <row r="982">
      <c r="IE982" s="178"/>
      <c r="IF982" s="178"/>
      <c r="IG982" s="178"/>
      <c r="IH982" s="178"/>
      <c r="II982" s="178"/>
      <c r="IJ982" s="178"/>
      <c r="IK982" s="178"/>
      <c r="IL982" s="178"/>
      <c r="IM982" s="178"/>
      <c r="IN982" s="178"/>
      <c r="IO982" s="178"/>
      <c r="IP982" s="178"/>
      <c r="IQ982" s="178"/>
      <c r="IR982" s="178"/>
      <c r="IS982" s="178"/>
      <c r="IT982" s="178"/>
      <c r="IU982" s="178"/>
      <c r="IV982" s="178"/>
      <c r="IW982" s="178"/>
      <c r="IX982" s="178"/>
      <c r="IY982" s="178"/>
      <c r="IZ982" s="178"/>
      <c r="JA982" s="178"/>
      <c r="JB982" s="178"/>
      <c r="JC982" s="178"/>
      <c r="JD982" s="178"/>
    </row>
    <row r="983">
      <c r="IE983" s="178"/>
      <c r="IF983" s="178"/>
      <c r="IG983" s="178"/>
      <c r="IH983" s="178"/>
      <c r="II983" s="178"/>
      <c r="IJ983" s="178"/>
      <c r="IK983" s="178"/>
      <c r="IL983" s="178"/>
      <c r="IM983" s="178"/>
      <c r="IN983" s="178"/>
      <c r="IO983" s="178"/>
      <c r="IP983" s="178"/>
      <c r="IQ983" s="178"/>
      <c r="IR983" s="178"/>
      <c r="IS983" s="178"/>
      <c r="IT983" s="178"/>
      <c r="IU983" s="178"/>
      <c r="IV983" s="178"/>
      <c r="IW983" s="178"/>
      <c r="IX983" s="178"/>
      <c r="IY983" s="178"/>
      <c r="IZ983" s="178"/>
      <c r="JA983" s="178"/>
      <c r="JB983" s="178"/>
      <c r="JC983" s="178"/>
      <c r="JD983" s="178"/>
    </row>
    <row r="984">
      <c r="IE984" s="178"/>
      <c r="IF984" s="178"/>
      <c r="IG984" s="178"/>
      <c r="IH984" s="178"/>
      <c r="II984" s="178"/>
      <c r="IJ984" s="178"/>
      <c r="IK984" s="178"/>
      <c r="IL984" s="178"/>
      <c r="IM984" s="178"/>
      <c r="IN984" s="178"/>
      <c r="IO984" s="178"/>
      <c r="IP984" s="178"/>
      <c r="IQ984" s="178"/>
      <c r="IR984" s="178"/>
      <c r="IS984" s="178"/>
      <c r="IT984" s="178"/>
      <c r="IU984" s="178"/>
      <c r="IV984" s="178"/>
      <c r="IW984" s="178"/>
      <c r="IX984" s="178"/>
      <c r="IY984" s="178"/>
      <c r="IZ984" s="178"/>
      <c r="JA984" s="178"/>
      <c r="JB984" s="178"/>
      <c r="JC984" s="178"/>
      <c r="JD984" s="178"/>
    </row>
    <row r="985">
      <c r="IE985" s="178"/>
      <c r="IF985" s="178"/>
      <c r="IG985" s="178"/>
      <c r="IH985" s="178"/>
      <c r="II985" s="178"/>
      <c r="IJ985" s="178"/>
      <c r="IK985" s="178"/>
      <c r="IL985" s="178"/>
      <c r="IM985" s="178"/>
      <c r="IN985" s="178"/>
      <c r="IO985" s="178"/>
      <c r="IP985" s="178"/>
      <c r="IQ985" s="178"/>
      <c r="IR985" s="178"/>
      <c r="IS985" s="178"/>
      <c r="IT985" s="178"/>
      <c r="IU985" s="178"/>
      <c r="IV985" s="178"/>
      <c r="IW985" s="178"/>
      <c r="IX985" s="178"/>
      <c r="IY985" s="178"/>
      <c r="IZ985" s="178"/>
      <c r="JA985" s="178"/>
      <c r="JB985" s="178"/>
      <c r="JC985" s="178"/>
      <c r="JD985" s="178"/>
    </row>
    <row r="986">
      <c r="IE986" s="178"/>
      <c r="IF986" s="178"/>
      <c r="IG986" s="178"/>
      <c r="IH986" s="178"/>
      <c r="II986" s="178"/>
      <c r="IJ986" s="178"/>
      <c r="IK986" s="178"/>
      <c r="IL986" s="178"/>
      <c r="IM986" s="178"/>
      <c r="IN986" s="178"/>
      <c r="IO986" s="178"/>
      <c r="IP986" s="178"/>
      <c r="IQ986" s="178"/>
      <c r="IR986" s="178"/>
      <c r="IS986" s="178"/>
      <c r="IT986" s="178"/>
      <c r="IU986" s="178"/>
      <c r="IV986" s="178"/>
      <c r="IW986" s="178"/>
      <c r="IX986" s="178"/>
      <c r="IY986" s="178"/>
      <c r="IZ986" s="178"/>
      <c r="JA986" s="178"/>
      <c r="JB986" s="178"/>
      <c r="JC986" s="178"/>
      <c r="JD986" s="178"/>
    </row>
    <row r="987">
      <c r="IE987" s="178"/>
      <c r="IF987" s="178"/>
      <c r="IG987" s="178"/>
      <c r="IH987" s="178"/>
      <c r="II987" s="178"/>
      <c r="IJ987" s="178"/>
      <c r="IK987" s="178"/>
      <c r="IL987" s="178"/>
      <c r="IM987" s="178"/>
      <c r="IN987" s="178"/>
      <c r="IO987" s="178"/>
      <c r="IP987" s="178"/>
      <c r="IQ987" s="178"/>
      <c r="IR987" s="178"/>
      <c r="IS987" s="178"/>
      <c r="IT987" s="178"/>
      <c r="IU987" s="178"/>
      <c r="IV987" s="178"/>
      <c r="IW987" s="178"/>
      <c r="IX987" s="178"/>
      <c r="IY987" s="178"/>
      <c r="IZ987" s="178"/>
      <c r="JA987" s="178"/>
      <c r="JB987" s="178"/>
      <c r="JC987" s="178"/>
      <c r="JD987" s="178"/>
    </row>
    <row r="988">
      <c r="IE988" s="178"/>
      <c r="IF988" s="178"/>
      <c r="IG988" s="178"/>
      <c r="IH988" s="178"/>
      <c r="II988" s="178"/>
      <c r="IJ988" s="178"/>
      <c r="IK988" s="178"/>
      <c r="IL988" s="178"/>
      <c r="IM988" s="178"/>
      <c r="IN988" s="178"/>
      <c r="IO988" s="178"/>
      <c r="IP988" s="178"/>
      <c r="IQ988" s="178"/>
      <c r="IR988" s="178"/>
      <c r="IS988" s="178"/>
      <c r="IT988" s="178"/>
      <c r="IU988" s="178"/>
      <c r="IV988" s="178"/>
      <c r="IW988" s="178"/>
      <c r="IX988" s="178"/>
      <c r="IY988" s="178"/>
      <c r="IZ988" s="178"/>
      <c r="JA988" s="178"/>
      <c r="JB988" s="178"/>
      <c r="JC988" s="178"/>
      <c r="JD988" s="178"/>
    </row>
    <row r="989">
      <c r="IE989" s="178"/>
      <c r="IF989" s="178"/>
      <c r="IG989" s="178"/>
      <c r="IH989" s="178"/>
      <c r="II989" s="178"/>
      <c r="IJ989" s="178"/>
      <c r="IK989" s="178"/>
      <c r="IL989" s="178"/>
      <c r="IM989" s="178"/>
      <c r="IN989" s="178"/>
      <c r="IO989" s="178"/>
      <c r="IP989" s="178"/>
      <c r="IQ989" s="178"/>
      <c r="IR989" s="178"/>
      <c r="IS989" s="178"/>
      <c r="IT989" s="178"/>
      <c r="IU989" s="178"/>
      <c r="IV989" s="178"/>
      <c r="IW989" s="178"/>
      <c r="IX989" s="178"/>
      <c r="IY989" s="178"/>
      <c r="IZ989" s="178"/>
      <c r="JA989" s="178"/>
      <c r="JB989" s="178"/>
      <c r="JC989" s="178"/>
      <c r="JD989" s="178"/>
    </row>
    <row r="990">
      <c r="IE990" s="178"/>
      <c r="IF990" s="178"/>
      <c r="IG990" s="178"/>
      <c r="IH990" s="178"/>
      <c r="II990" s="178"/>
      <c r="IJ990" s="178"/>
      <c r="IK990" s="178"/>
      <c r="IL990" s="178"/>
      <c r="IM990" s="178"/>
      <c r="IN990" s="178"/>
      <c r="IO990" s="178"/>
      <c r="IP990" s="178"/>
      <c r="IQ990" s="178"/>
      <c r="IR990" s="178"/>
      <c r="IS990" s="178"/>
      <c r="IT990" s="178"/>
      <c r="IU990" s="178"/>
      <c r="IV990" s="178"/>
      <c r="IW990" s="178"/>
      <c r="IX990" s="178"/>
      <c r="IY990" s="178"/>
      <c r="IZ990" s="178"/>
      <c r="JA990" s="178"/>
      <c r="JB990" s="178"/>
      <c r="JC990" s="178"/>
      <c r="JD990" s="178"/>
    </row>
    <row r="991">
      <c r="IE991" s="178"/>
      <c r="IF991" s="178"/>
      <c r="IG991" s="178"/>
      <c r="IH991" s="178"/>
      <c r="II991" s="178"/>
      <c r="IJ991" s="178"/>
      <c r="IK991" s="178"/>
      <c r="IL991" s="178"/>
      <c r="IM991" s="178"/>
      <c r="IN991" s="178"/>
      <c r="IO991" s="178"/>
      <c r="IP991" s="178"/>
      <c r="IQ991" s="178"/>
      <c r="IR991" s="178"/>
      <c r="IS991" s="178"/>
      <c r="IT991" s="178"/>
      <c r="IU991" s="178"/>
      <c r="IV991" s="178"/>
      <c r="IW991" s="178"/>
      <c r="IX991" s="178"/>
      <c r="IY991" s="178"/>
      <c r="IZ991" s="178"/>
      <c r="JA991" s="178"/>
      <c r="JB991" s="178"/>
      <c r="JC991" s="178"/>
      <c r="JD991" s="178"/>
    </row>
    <row r="992">
      <c r="IE992" s="178"/>
      <c r="IF992" s="178"/>
      <c r="IG992" s="178"/>
      <c r="IH992" s="178"/>
      <c r="II992" s="178"/>
      <c r="IJ992" s="178"/>
      <c r="IK992" s="178"/>
      <c r="IL992" s="178"/>
      <c r="IM992" s="178"/>
      <c r="IN992" s="178"/>
      <c r="IO992" s="178"/>
      <c r="IP992" s="178"/>
      <c r="IQ992" s="178"/>
      <c r="IR992" s="178"/>
      <c r="IS992" s="178"/>
      <c r="IT992" s="178"/>
      <c r="IU992" s="178"/>
      <c r="IV992" s="178"/>
      <c r="IW992" s="178"/>
      <c r="IX992" s="178"/>
      <c r="IY992" s="178"/>
      <c r="IZ992" s="178"/>
      <c r="JA992" s="178"/>
      <c r="JB992" s="178"/>
      <c r="JC992" s="178"/>
      <c r="JD992" s="178"/>
    </row>
    <row r="993">
      <c r="IE993" s="178"/>
      <c r="IF993" s="178"/>
      <c r="IG993" s="178"/>
      <c r="IH993" s="178"/>
      <c r="II993" s="178"/>
      <c r="IJ993" s="178"/>
      <c r="IK993" s="178"/>
      <c r="IL993" s="178"/>
      <c r="IM993" s="178"/>
      <c r="IN993" s="178"/>
      <c r="IO993" s="178"/>
      <c r="IP993" s="178"/>
      <c r="IQ993" s="178"/>
      <c r="IR993" s="178"/>
      <c r="IS993" s="178"/>
      <c r="IT993" s="178"/>
      <c r="IU993" s="178"/>
      <c r="IV993" s="178"/>
      <c r="IW993" s="178"/>
      <c r="IX993" s="178"/>
      <c r="IY993" s="178"/>
      <c r="IZ993" s="178"/>
      <c r="JA993" s="178"/>
      <c r="JB993" s="178"/>
      <c r="JC993" s="178"/>
      <c r="JD993" s="178"/>
    </row>
    <row r="994">
      <c r="IE994" s="178"/>
      <c r="IF994" s="178"/>
      <c r="IG994" s="178"/>
      <c r="IH994" s="178"/>
      <c r="II994" s="178"/>
      <c r="IJ994" s="178"/>
      <c r="IK994" s="178"/>
      <c r="IL994" s="178"/>
      <c r="IM994" s="178"/>
      <c r="IN994" s="178"/>
      <c r="IO994" s="178"/>
      <c r="IP994" s="178"/>
      <c r="IQ994" s="178"/>
      <c r="IR994" s="178"/>
      <c r="IS994" s="178"/>
      <c r="IT994" s="178"/>
      <c r="IU994" s="178"/>
      <c r="IV994" s="178"/>
      <c r="IW994" s="178"/>
      <c r="IX994" s="178"/>
      <c r="IY994" s="178"/>
      <c r="IZ994" s="178"/>
      <c r="JA994" s="178"/>
      <c r="JB994" s="178"/>
      <c r="JC994" s="178"/>
      <c r="JD994" s="178"/>
    </row>
    <row r="995">
      <c r="IE995" s="178"/>
      <c r="IF995" s="178"/>
      <c r="IG995" s="178"/>
      <c r="IH995" s="178"/>
      <c r="II995" s="178"/>
      <c r="IJ995" s="178"/>
      <c r="IK995" s="178"/>
      <c r="IL995" s="178"/>
      <c r="IM995" s="178"/>
      <c r="IN995" s="178"/>
      <c r="IO995" s="178"/>
      <c r="IP995" s="178"/>
      <c r="IQ995" s="178"/>
      <c r="IR995" s="178"/>
      <c r="IS995" s="178"/>
      <c r="IT995" s="178"/>
      <c r="IU995" s="178"/>
      <c r="IV995" s="178"/>
      <c r="IW995" s="178"/>
      <c r="IX995" s="178"/>
      <c r="IY995" s="178"/>
      <c r="IZ995" s="178"/>
      <c r="JA995" s="178"/>
      <c r="JB995" s="178"/>
      <c r="JC995" s="178"/>
      <c r="JD995" s="178"/>
    </row>
    <row r="996">
      <c r="IE996" s="178"/>
      <c r="IF996" s="178"/>
      <c r="IG996" s="178"/>
      <c r="IH996" s="178"/>
      <c r="II996" s="178"/>
      <c r="IJ996" s="178"/>
      <c r="IK996" s="178"/>
      <c r="IL996" s="178"/>
      <c r="IM996" s="178"/>
      <c r="IN996" s="178"/>
      <c r="IO996" s="178"/>
      <c r="IP996" s="178"/>
      <c r="IQ996" s="178"/>
      <c r="IR996" s="178"/>
      <c r="IS996" s="178"/>
      <c r="IT996" s="178"/>
      <c r="IU996" s="178"/>
      <c r="IV996" s="178"/>
      <c r="IW996" s="178"/>
      <c r="IX996" s="178"/>
      <c r="IY996" s="178"/>
      <c r="IZ996" s="178"/>
      <c r="JA996" s="178"/>
      <c r="JB996" s="178"/>
      <c r="JC996" s="178"/>
      <c r="JD996" s="178"/>
    </row>
    <row r="997">
      <c r="IE997" s="178"/>
      <c r="IF997" s="178"/>
      <c r="IG997" s="178"/>
      <c r="IH997" s="178"/>
      <c r="II997" s="178"/>
      <c r="IJ997" s="178"/>
      <c r="IK997" s="178"/>
      <c r="IL997" s="178"/>
      <c r="IM997" s="178"/>
      <c r="IN997" s="178"/>
      <c r="IO997" s="178"/>
      <c r="IP997" s="178"/>
      <c r="IQ997" s="178"/>
      <c r="IR997" s="178"/>
      <c r="IS997" s="178"/>
      <c r="IT997" s="178"/>
      <c r="IU997" s="178"/>
      <c r="IV997" s="178"/>
      <c r="IW997" s="178"/>
      <c r="IX997" s="178"/>
      <c r="IY997" s="178"/>
      <c r="IZ997" s="178"/>
      <c r="JA997" s="178"/>
      <c r="JB997" s="178"/>
      <c r="JC997" s="178"/>
      <c r="JD997" s="178"/>
    </row>
    <row r="998">
      <c r="IE998" s="178"/>
      <c r="IF998" s="178"/>
      <c r="IG998" s="178"/>
      <c r="IH998" s="178"/>
      <c r="II998" s="178"/>
      <c r="IJ998" s="178"/>
      <c r="IK998" s="178"/>
      <c r="IL998" s="178"/>
      <c r="IM998" s="178"/>
      <c r="IN998" s="178"/>
      <c r="IO998" s="178"/>
      <c r="IP998" s="178"/>
      <c r="IQ998" s="178"/>
      <c r="IR998" s="178"/>
      <c r="IS998" s="178"/>
      <c r="IT998" s="178"/>
      <c r="IU998" s="178"/>
      <c r="IV998" s="178"/>
      <c r="IW998" s="178"/>
      <c r="IX998" s="178"/>
      <c r="IY998" s="178"/>
      <c r="IZ998" s="178"/>
      <c r="JA998" s="178"/>
      <c r="JB998" s="178"/>
      <c r="JC998" s="178"/>
      <c r="JD998" s="178"/>
    </row>
    <row r="999">
      <c r="IE999" s="178"/>
      <c r="IF999" s="178"/>
      <c r="IG999" s="178"/>
      <c r="IH999" s="178"/>
      <c r="II999" s="178"/>
      <c r="IJ999" s="178"/>
      <c r="IK999" s="178"/>
      <c r="IL999" s="178"/>
      <c r="IM999" s="178"/>
      <c r="IN999" s="178"/>
      <c r="IO999" s="178"/>
      <c r="IP999" s="178"/>
      <c r="IQ999" s="178"/>
      <c r="IR999" s="178"/>
      <c r="IS999" s="178"/>
      <c r="IT999" s="178"/>
      <c r="IU999" s="178"/>
      <c r="IV999" s="178"/>
      <c r="IW999" s="178"/>
      <c r="IX999" s="178"/>
      <c r="IY999" s="178"/>
      <c r="IZ999" s="178"/>
      <c r="JA999" s="178"/>
      <c r="JB999" s="178"/>
      <c r="JC999" s="178"/>
      <c r="JD999" s="178"/>
    </row>
    <row r="1000">
      <c r="IE1000" s="178"/>
      <c r="IF1000" s="178"/>
      <c r="IG1000" s="178"/>
      <c r="IH1000" s="178"/>
      <c r="II1000" s="178"/>
      <c r="IJ1000" s="178"/>
      <c r="IK1000" s="178"/>
      <c r="IL1000" s="178"/>
      <c r="IM1000" s="178"/>
      <c r="IN1000" s="178"/>
      <c r="IO1000" s="178"/>
      <c r="IP1000" s="178"/>
      <c r="IQ1000" s="178"/>
      <c r="IR1000" s="178"/>
      <c r="IS1000" s="178"/>
      <c r="IT1000" s="178"/>
      <c r="IU1000" s="178"/>
      <c r="IV1000" s="178"/>
      <c r="IW1000" s="178"/>
      <c r="IX1000" s="178"/>
      <c r="IY1000" s="178"/>
      <c r="IZ1000" s="178"/>
      <c r="JA1000" s="178"/>
      <c r="JB1000" s="178"/>
      <c r="JC1000" s="178"/>
      <c r="JD1000" s="178"/>
    </row>
    <row r="1001">
      <c r="IE1001" s="178"/>
      <c r="IF1001" s="178"/>
      <c r="IG1001" s="178"/>
      <c r="IH1001" s="178"/>
      <c r="II1001" s="178"/>
      <c r="IJ1001" s="178"/>
      <c r="IK1001" s="178"/>
      <c r="IL1001" s="178"/>
      <c r="IM1001" s="178"/>
      <c r="IN1001" s="178"/>
      <c r="IO1001" s="178"/>
      <c r="IP1001" s="178"/>
      <c r="IQ1001" s="178"/>
      <c r="IR1001" s="178"/>
      <c r="IS1001" s="178"/>
      <c r="IT1001" s="178"/>
      <c r="IU1001" s="178"/>
      <c r="IV1001" s="178"/>
      <c r="IW1001" s="178"/>
      <c r="IX1001" s="178"/>
      <c r="IY1001" s="178"/>
      <c r="IZ1001" s="178"/>
      <c r="JA1001" s="178"/>
      <c r="JB1001" s="178"/>
      <c r="JC1001" s="178"/>
      <c r="JD1001" s="17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22.25"/>
    <col customWidth="1" min="5" max="5" width="15.13"/>
    <col customWidth="1" min="6" max="6" width="14.88"/>
    <col customWidth="1" min="7" max="7" width="183.5"/>
  </cols>
  <sheetData>
    <row r="1">
      <c r="A1" s="207" t="s">
        <v>466</v>
      </c>
      <c r="B1" s="208"/>
      <c r="C1" s="208"/>
      <c r="D1" s="208"/>
      <c r="E1" s="209"/>
      <c r="F1" s="210"/>
      <c r="G1" s="211"/>
      <c r="H1" s="131"/>
      <c r="I1" s="131"/>
      <c r="J1" s="131"/>
      <c r="K1" s="131"/>
      <c r="L1" s="131"/>
      <c r="M1" s="131"/>
      <c r="N1" s="131"/>
      <c r="O1" s="131"/>
      <c r="P1" s="131"/>
      <c r="Q1" s="131"/>
      <c r="R1" s="131"/>
      <c r="S1" s="131"/>
      <c r="T1" s="131"/>
      <c r="U1" s="131"/>
      <c r="V1" s="131"/>
      <c r="W1" s="131"/>
      <c r="X1" s="131"/>
      <c r="Y1" s="131"/>
      <c r="Z1" s="203"/>
    </row>
    <row r="2">
      <c r="A2" s="212" t="s">
        <v>0</v>
      </c>
      <c r="B2" s="212" t="s">
        <v>362</v>
      </c>
      <c r="C2" s="212" t="s">
        <v>467</v>
      </c>
      <c r="D2" s="212" t="s">
        <v>468</v>
      </c>
      <c r="E2" s="213" t="s">
        <v>469</v>
      </c>
      <c r="F2" s="214" t="s">
        <v>470</v>
      </c>
      <c r="G2" s="140" t="s">
        <v>471</v>
      </c>
      <c r="H2" s="131"/>
      <c r="I2" s="131"/>
      <c r="J2" s="131"/>
      <c r="K2" s="131"/>
      <c r="L2" s="131"/>
      <c r="M2" s="131"/>
      <c r="N2" s="131"/>
      <c r="O2" s="131"/>
      <c r="P2" s="131"/>
      <c r="Q2" s="131"/>
      <c r="R2" s="131"/>
      <c r="S2" s="131"/>
      <c r="T2" s="131"/>
      <c r="U2" s="131"/>
      <c r="V2" s="131"/>
      <c r="W2" s="131"/>
      <c r="X2" s="131"/>
      <c r="Y2" s="131"/>
      <c r="Z2" s="203"/>
    </row>
    <row r="3">
      <c r="A3" s="215" t="s">
        <v>7</v>
      </c>
      <c r="B3" s="216" t="s">
        <v>422</v>
      </c>
      <c r="C3" s="215">
        <v>1463.0</v>
      </c>
      <c r="D3" s="215">
        <v>6.5385831</v>
      </c>
      <c r="E3" s="217">
        <f t="shared" ref="E3:E13" si="1">D3*60</f>
        <v>392.314986</v>
      </c>
      <c r="F3" s="218">
        <f t="shared" ref="F3:F13" si="2">E3/24/60</f>
        <v>0.2724409625</v>
      </c>
      <c r="G3" s="219" t="s">
        <v>472</v>
      </c>
      <c r="H3" s="131"/>
      <c r="I3" s="131"/>
      <c r="J3" s="131"/>
      <c r="K3" s="131"/>
      <c r="L3" s="131"/>
      <c r="M3" s="131"/>
      <c r="N3" s="131"/>
      <c r="O3" s="131"/>
      <c r="P3" s="131"/>
      <c r="Q3" s="131"/>
      <c r="R3" s="131"/>
      <c r="S3" s="131"/>
      <c r="T3" s="131"/>
      <c r="U3" s="131"/>
      <c r="V3" s="131"/>
      <c r="W3" s="131"/>
      <c r="X3" s="131"/>
      <c r="Y3" s="131"/>
      <c r="Z3" s="203"/>
    </row>
    <row r="4">
      <c r="A4" s="215" t="s">
        <v>67</v>
      </c>
      <c r="B4" s="216" t="s">
        <v>426</v>
      </c>
      <c r="C4" s="215">
        <v>1213.0</v>
      </c>
      <c r="D4" s="215">
        <v>5.0976947</v>
      </c>
      <c r="E4" s="217">
        <f t="shared" si="1"/>
        <v>305.861682</v>
      </c>
      <c r="F4" s="218">
        <f t="shared" si="2"/>
        <v>0.2124039458</v>
      </c>
      <c r="G4" s="219" t="s">
        <v>473</v>
      </c>
      <c r="H4" s="131"/>
      <c r="I4" s="131"/>
      <c r="J4" s="131"/>
      <c r="K4" s="131"/>
      <c r="L4" s="131"/>
      <c r="M4" s="131"/>
      <c r="N4" s="131"/>
      <c r="O4" s="131"/>
      <c r="P4" s="131"/>
      <c r="Q4" s="131"/>
      <c r="R4" s="131"/>
      <c r="S4" s="131"/>
      <c r="T4" s="131"/>
      <c r="U4" s="131"/>
      <c r="V4" s="131"/>
      <c r="W4" s="131"/>
      <c r="X4" s="131"/>
      <c r="Y4" s="131"/>
      <c r="Z4" s="203"/>
    </row>
    <row r="5">
      <c r="A5" s="215" t="s">
        <v>474</v>
      </c>
      <c r="B5" s="216" t="s">
        <v>99</v>
      </c>
      <c r="C5" s="215">
        <v>986.0</v>
      </c>
      <c r="D5" s="215">
        <v>4.1071964</v>
      </c>
      <c r="E5" s="217">
        <f t="shared" si="1"/>
        <v>246.431784</v>
      </c>
      <c r="F5" s="218">
        <f t="shared" si="2"/>
        <v>0.1711331833</v>
      </c>
      <c r="G5" s="219" t="s">
        <v>475</v>
      </c>
      <c r="H5" s="131"/>
      <c r="I5" s="131"/>
      <c r="J5" s="131"/>
      <c r="K5" s="131"/>
      <c r="L5" s="131"/>
      <c r="M5" s="131"/>
      <c r="N5" s="131"/>
      <c r="O5" s="131"/>
      <c r="P5" s="131"/>
      <c r="Q5" s="131"/>
      <c r="R5" s="131"/>
      <c r="S5" s="131"/>
      <c r="T5" s="131"/>
      <c r="U5" s="131"/>
      <c r="V5" s="131"/>
      <c r="W5" s="131"/>
      <c r="X5" s="131"/>
      <c r="Y5" s="131"/>
      <c r="Z5" s="203"/>
    </row>
    <row r="6">
      <c r="A6" s="215" t="s">
        <v>474</v>
      </c>
      <c r="B6" s="216" t="s">
        <v>95</v>
      </c>
      <c r="C6" s="215">
        <v>827.0</v>
      </c>
      <c r="D6" s="215">
        <v>3.6541008</v>
      </c>
      <c r="E6" s="217">
        <f t="shared" si="1"/>
        <v>219.246048</v>
      </c>
      <c r="F6" s="218">
        <f t="shared" si="2"/>
        <v>0.1522542</v>
      </c>
      <c r="G6" s="219" t="s">
        <v>476</v>
      </c>
      <c r="H6" s="131"/>
      <c r="I6" s="131"/>
      <c r="J6" s="131"/>
      <c r="K6" s="131"/>
      <c r="L6" s="131"/>
      <c r="M6" s="131"/>
      <c r="N6" s="131"/>
      <c r="O6" s="131"/>
      <c r="P6" s="131"/>
      <c r="Q6" s="131"/>
      <c r="R6" s="131"/>
      <c r="S6" s="131"/>
      <c r="T6" s="131"/>
      <c r="U6" s="131"/>
      <c r="V6" s="131"/>
      <c r="W6" s="131"/>
      <c r="X6" s="131"/>
      <c r="Y6" s="131"/>
      <c r="Z6" s="203"/>
    </row>
    <row r="7">
      <c r="A7" s="215" t="s">
        <v>429</v>
      </c>
      <c r="B7" s="216" t="s">
        <v>29</v>
      </c>
      <c r="C7" s="215">
        <v>791.0</v>
      </c>
      <c r="D7" s="215">
        <v>3.1958867</v>
      </c>
      <c r="E7" s="217">
        <f t="shared" si="1"/>
        <v>191.753202</v>
      </c>
      <c r="F7" s="218">
        <f t="shared" si="2"/>
        <v>0.1331619458</v>
      </c>
      <c r="G7" s="219" t="s">
        <v>477</v>
      </c>
      <c r="H7" s="131"/>
      <c r="I7" s="131"/>
      <c r="J7" s="131"/>
      <c r="K7" s="131"/>
      <c r="L7" s="131"/>
      <c r="M7" s="131"/>
      <c r="N7" s="131"/>
      <c r="O7" s="131"/>
      <c r="P7" s="131"/>
      <c r="Q7" s="131"/>
      <c r="R7" s="131"/>
      <c r="S7" s="131"/>
      <c r="T7" s="131"/>
      <c r="U7" s="131"/>
      <c r="V7" s="131"/>
      <c r="W7" s="131"/>
      <c r="X7" s="131"/>
      <c r="Y7" s="131"/>
      <c r="Z7" s="203"/>
    </row>
    <row r="8">
      <c r="A8" s="215" t="s">
        <v>7</v>
      </c>
      <c r="B8" s="216" t="s">
        <v>19</v>
      </c>
      <c r="C8" s="215">
        <v>734.0</v>
      </c>
      <c r="D8" s="215">
        <v>2.9066983</v>
      </c>
      <c r="E8" s="217">
        <f t="shared" si="1"/>
        <v>174.401898</v>
      </c>
      <c r="F8" s="218">
        <f t="shared" si="2"/>
        <v>0.1211124292</v>
      </c>
      <c r="G8" s="219" t="s">
        <v>478</v>
      </c>
      <c r="H8" s="131"/>
      <c r="I8" s="131"/>
      <c r="J8" s="131"/>
      <c r="K8" s="131"/>
      <c r="L8" s="131"/>
      <c r="M8" s="131"/>
      <c r="N8" s="131"/>
      <c r="O8" s="131"/>
      <c r="P8" s="131"/>
      <c r="Q8" s="131"/>
      <c r="R8" s="131"/>
      <c r="S8" s="131"/>
      <c r="T8" s="131"/>
      <c r="U8" s="131"/>
      <c r="V8" s="131"/>
      <c r="W8" s="131"/>
      <c r="X8" s="131"/>
      <c r="Y8" s="131"/>
      <c r="Z8" s="203"/>
    </row>
    <row r="9">
      <c r="A9" s="215" t="s">
        <v>88</v>
      </c>
      <c r="B9" s="216" t="s">
        <v>90</v>
      </c>
      <c r="C9" s="215">
        <v>588.0</v>
      </c>
      <c r="D9" s="215">
        <v>2.1368717</v>
      </c>
      <c r="E9" s="217">
        <f t="shared" si="1"/>
        <v>128.212302</v>
      </c>
      <c r="F9" s="218">
        <f t="shared" si="2"/>
        <v>0.08903632083</v>
      </c>
      <c r="G9" s="219" t="s">
        <v>479</v>
      </c>
      <c r="H9" s="131"/>
      <c r="I9" s="131"/>
      <c r="J9" s="131"/>
      <c r="K9" s="131"/>
      <c r="L9" s="131"/>
      <c r="M9" s="131"/>
      <c r="N9" s="131"/>
      <c r="O9" s="131"/>
      <c r="P9" s="131"/>
      <c r="Q9" s="131"/>
      <c r="R9" s="131"/>
      <c r="S9" s="131"/>
      <c r="T9" s="131"/>
      <c r="U9" s="131"/>
      <c r="V9" s="131"/>
      <c r="W9" s="131"/>
      <c r="X9" s="131"/>
      <c r="Y9" s="131"/>
      <c r="Z9" s="203"/>
    </row>
    <row r="10">
      <c r="A10" s="215" t="s">
        <v>429</v>
      </c>
      <c r="B10" s="216" t="s">
        <v>431</v>
      </c>
      <c r="C10" s="215">
        <v>479.0</v>
      </c>
      <c r="D10" s="215">
        <v>2.1190039</v>
      </c>
      <c r="E10" s="217">
        <f t="shared" si="1"/>
        <v>127.140234</v>
      </c>
      <c r="F10" s="218">
        <f t="shared" si="2"/>
        <v>0.08829182917</v>
      </c>
      <c r="G10" s="219" t="s">
        <v>480</v>
      </c>
      <c r="H10" s="131"/>
      <c r="I10" s="131"/>
      <c r="J10" s="131"/>
      <c r="K10" s="131"/>
      <c r="L10" s="131"/>
      <c r="M10" s="131"/>
      <c r="N10" s="131"/>
      <c r="O10" s="131"/>
      <c r="P10" s="131"/>
      <c r="Q10" s="131"/>
      <c r="R10" s="131"/>
      <c r="S10" s="131"/>
      <c r="T10" s="131"/>
      <c r="U10" s="131"/>
      <c r="V10" s="131"/>
      <c r="W10" s="131"/>
      <c r="X10" s="131"/>
      <c r="Y10" s="131"/>
      <c r="Z10" s="203"/>
    </row>
    <row r="11">
      <c r="A11" s="215" t="s">
        <v>474</v>
      </c>
      <c r="B11" s="216" t="s">
        <v>94</v>
      </c>
      <c r="C11" s="215">
        <v>494.0</v>
      </c>
      <c r="D11" s="215">
        <v>2.0419786</v>
      </c>
      <c r="E11" s="217">
        <f t="shared" si="1"/>
        <v>122.518716</v>
      </c>
      <c r="F11" s="218">
        <f t="shared" si="2"/>
        <v>0.08508244167</v>
      </c>
      <c r="G11" s="219" t="s">
        <v>481</v>
      </c>
      <c r="H11" s="131"/>
      <c r="I11" s="131"/>
      <c r="J11" s="131"/>
      <c r="K11" s="131"/>
      <c r="L11" s="131"/>
      <c r="M11" s="131"/>
      <c r="N11" s="131"/>
      <c r="O11" s="131"/>
      <c r="P11" s="131"/>
      <c r="Q11" s="131"/>
      <c r="R11" s="131"/>
      <c r="S11" s="131"/>
      <c r="T11" s="131"/>
      <c r="U11" s="131"/>
      <c r="V11" s="131"/>
      <c r="W11" s="131"/>
      <c r="X11" s="131"/>
      <c r="Y11" s="131"/>
      <c r="Z11" s="203"/>
    </row>
    <row r="12">
      <c r="A12" s="215" t="s">
        <v>7</v>
      </c>
      <c r="B12" s="216" t="s">
        <v>20</v>
      </c>
      <c r="C12" s="215">
        <v>387.0</v>
      </c>
      <c r="D12" s="215">
        <v>1.5514506</v>
      </c>
      <c r="E12" s="217">
        <f t="shared" si="1"/>
        <v>93.087036</v>
      </c>
      <c r="F12" s="218">
        <f t="shared" si="2"/>
        <v>0.064643775</v>
      </c>
      <c r="G12" s="220" t="s">
        <v>482</v>
      </c>
      <c r="H12" s="131"/>
      <c r="I12" s="131"/>
      <c r="J12" s="131"/>
      <c r="K12" s="131"/>
      <c r="L12" s="131"/>
      <c r="M12" s="131"/>
      <c r="N12" s="131"/>
      <c r="O12" s="131"/>
      <c r="P12" s="131"/>
      <c r="Q12" s="131"/>
      <c r="R12" s="131"/>
      <c r="S12" s="131"/>
      <c r="T12" s="131"/>
      <c r="U12" s="131"/>
      <c r="V12" s="131"/>
      <c r="W12" s="131"/>
      <c r="X12" s="131"/>
      <c r="Y12" s="131"/>
      <c r="Z12" s="203"/>
    </row>
    <row r="13">
      <c r="A13" s="215" t="s">
        <v>88</v>
      </c>
      <c r="B13" s="216" t="s">
        <v>89</v>
      </c>
      <c r="C13" s="215">
        <v>267.0</v>
      </c>
      <c r="D13" s="215">
        <v>1.1120178</v>
      </c>
      <c r="E13" s="217">
        <f t="shared" si="1"/>
        <v>66.721068</v>
      </c>
      <c r="F13" s="218">
        <f t="shared" si="2"/>
        <v>0.046334075</v>
      </c>
      <c r="G13" s="220" t="s">
        <v>483</v>
      </c>
      <c r="H13" s="131"/>
      <c r="I13" s="131"/>
      <c r="J13" s="131"/>
      <c r="K13" s="131"/>
      <c r="L13" s="131"/>
      <c r="M13" s="131"/>
      <c r="N13" s="131"/>
      <c r="O13" s="131"/>
      <c r="P13" s="131"/>
      <c r="Q13" s="131"/>
      <c r="R13" s="131"/>
      <c r="S13" s="131"/>
      <c r="T13" s="131"/>
      <c r="U13" s="131"/>
      <c r="V13" s="131"/>
      <c r="W13" s="131"/>
      <c r="X13" s="131"/>
      <c r="Y13" s="131"/>
      <c r="Z13" s="203"/>
    </row>
    <row r="14">
      <c r="A14" s="215"/>
      <c r="B14" s="215"/>
      <c r="C14" s="215"/>
      <c r="D14" s="212" t="s">
        <v>484</v>
      </c>
      <c r="E14" s="221">
        <f>sum(E3:E13)</f>
        <v>2067.688956</v>
      </c>
      <c r="F14" s="214">
        <v>1.4361111111111111</v>
      </c>
      <c r="G14" s="211"/>
      <c r="H14" s="131"/>
      <c r="I14" s="131"/>
      <c r="J14" s="131"/>
      <c r="K14" s="131"/>
      <c r="L14" s="131"/>
      <c r="M14" s="131"/>
      <c r="N14" s="131"/>
      <c r="O14" s="131"/>
      <c r="P14" s="131"/>
      <c r="Q14" s="131"/>
      <c r="R14" s="131"/>
      <c r="S14" s="131"/>
      <c r="T14" s="131"/>
      <c r="U14" s="131"/>
      <c r="V14" s="131"/>
      <c r="W14" s="131"/>
      <c r="X14" s="131"/>
      <c r="Y14" s="131"/>
      <c r="Z14" s="203"/>
    </row>
    <row r="15">
      <c r="A15" s="215"/>
      <c r="B15" s="215"/>
      <c r="C15" s="215"/>
      <c r="D15" s="212"/>
      <c r="E15" s="217"/>
      <c r="F15" s="218"/>
      <c r="G15" s="211"/>
      <c r="H15" s="131"/>
      <c r="I15" s="131"/>
      <c r="J15" s="131"/>
      <c r="K15" s="131"/>
      <c r="L15" s="131"/>
      <c r="M15" s="131"/>
      <c r="N15" s="131"/>
      <c r="O15" s="131"/>
      <c r="P15" s="131"/>
      <c r="Q15" s="131"/>
      <c r="R15" s="131"/>
      <c r="S15" s="131"/>
      <c r="T15" s="131"/>
      <c r="U15" s="131"/>
      <c r="V15" s="131"/>
      <c r="W15" s="131"/>
      <c r="X15" s="131"/>
      <c r="Y15" s="131"/>
      <c r="Z15" s="203"/>
    </row>
    <row r="16">
      <c r="A16" s="131"/>
      <c r="B16" s="131"/>
      <c r="C16" s="131"/>
      <c r="D16" s="131"/>
      <c r="E16" s="222"/>
      <c r="F16" s="132"/>
      <c r="G16" s="211"/>
      <c r="H16" s="131"/>
      <c r="I16" s="131"/>
      <c r="J16" s="131"/>
      <c r="K16" s="131"/>
      <c r="L16" s="131"/>
      <c r="M16" s="131"/>
      <c r="N16" s="131"/>
      <c r="O16" s="131"/>
      <c r="P16" s="131"/>
      <c r="Q16" s="131"/>
      <c r="R16" s="131"/>
      <c r="S16" s="131"/>
      <c r="T16" s="131"/>
      <c r="U16" s="131"/>
      <c r="V16" s="131"/>
      <c r="W16" s="131"/>
      <c r="X16" s="131"/>
      <c r="Y16" s="131"/>
      <c r="Z16" s="203"/>
    </row>
    <row r="17">
      <c r="A17" s="207" t="s">
        <v>485</v>
      </c>
      <c r="B17" s="208"/>
      <c r="C17" s="208"/>
      <c r="D17" s="208"/>
      <c r="E17" s="209"/>
      <c r="F17" s="210"/>
      <c r="G17" s="211"/>
      <c r="H17" s="131"/>
      <c r="I17" s="131"/>
      <c r="J17" s="131"/>
      <c r="K17" s="131"/>
      <c r="L17" s="131"/>
      <c r="M17" s="131"/>
      <c r="N17" s="131"/>
      <c r="O17" s="131"/>
      <c r="P17" s="131"/>
      <c r="Q17" s="131"/>
      <c r="R17" s="131"/>
      <c r="S17" s="131"/>
      <c r="T17" s="131"/>
      <c r="U17" s="131"/>
      <c r="V17" s="131"/>
      <c r="W17" s="131"/>
      <c r="X17" s="131"/>
      <c r="Y17" s="131"/>
      <c r="Z17" s="203"/>
    </row>
    <row r="18">
      <c r="A18" s="212" t="s">
        <v>0</v>
      </c>
      <c r="B18" s="212" t="s">
        <v>362</v>
      </c>
      <c r="C18" s="212" t="s">
        <v>467</v>
      </c>
      <c r="D18" s="212" t="s">
        <v>468</v>
      </c>
      <c r="E18" s="213" t="s">
        <v>469</v>
      </c>
      <c r="F18" s="214" t="s">
        <v>470</v>
      </c>
      <c r="G18" s="140" t="s">
        <v>471</v>
      </c>
      <c r="H18" s="131"/>
      <c r="I18" s="131"/>
      <c r="J18" s="131"/>
      <c r="K18" s="131"/>
      <c r="L18" s="131"/>
      <c r="M18" s="131"/>
      <c r="N18" s="131"/>
      <c r="O18" s="131"/>
      <c r="P18" s="131"/>
      <c r="Q18" s="131"/>
      <c r="R18" s="131"/>
      <c r="S18" s="131"/>
      <c r="T18" s="131"/>
      <c r="U18" s="131"/>
      <c r="V18" s="131"/>
      <c r="W18" s="131"/>
      <c r="X18" s="131"/>
      <c r="Y18" s="131"/>
      <c r="Z18" s="203"/>
    </row>
    <row r="19">
      <c r="A19" s="223" t="s">
        <v>54</v>
      </c>
      <c r="B19" s="223" t="s">
        <v>58</v>
      </c>
      <c r="C19" s="224">
        <v>1105.0</v>
      </c>
      <c r="D19" s="224">
        <v>4.9290886</v>
      </c>
      <c r="E19" s="222">
        <f t="shared" ref="E19:E22" si="3">D19*60</f>
        <v>295.745316</v>
      </c>
      <c r="F19" s="132">
        <f t="shared" ref="F19:F22" si="4">E19/24/60</f>
        <v>0.2053786917</v>
      </c>
      <c r="G19" s="225" t="s">
        <v>486</v>
      </c>
      <c r="H19" s="131"/>
      <c r="I19" s="131"/>
      <c r="J19" s="131"/>
      <c r="K19" s="131"/>
      <c r="L19" s="131"/>
      <c r="M19" s="131"/>
      <c r="N19" s="131"/>
      <c r="O19" s="131"/>
      <c r="P19" s="131"/>
      <c r="Q19" s="131"/>
      <c r="R19" s="131"/>
      <c r="S19" s="131"/>
      <c r="T19" s="131"/>
      <c r="U19" s="131"/>
      <c r="V19" s="131"/>
      <c r="W19" s="131"/>
      <c r="X19" s="131"/>
      <c r="Y19" s="131"/>
      <c r="Z19" s="203"/>
    </row>
    <row r="20">
      <c r="A20" s="223" t="s">
        <v>7</v>
      </c>
      <c r="B20" s="226" t="s">
        <v>422</v>
      </c>
      <c r="C20" s="224">
        <v>1039.0</v>
      </c>
      <c r="D20" s="224">
        <v>4.7942514</v>
      </c>
      <c r="E20" s="222">
        <f t="shared" si="3"/>
        <v>287.655084</v>
      </c>
      <c r="F20" s="132">
        <f t="shared" si="4"/>
        <v>0.199760475</v>
      </c>
      <c r="G20" s="227" t="s">
        <v>487</v>
      </c>
      <c r="H20" s="131"/>
      <c r="I20" s="131"/>
      <c r="J20" s="131"/>
      <c r="K20" s="131"/>
      <c r="L20" s="131"/>
      <c r="M20" s="131"/>
      <c r="N20" s="131"/>
      <c r="O20" s="131"/>
      <c r="P20" s="131"/>
      <c r="Q20" s="131"/>
      <c r="R20" s="131"/>
      <c r="S20" s="131"/>
      <c r="T20" s="131"/>
      <c r="U20" s="131"/>
      <c r="V20" s="131"/>
      <c r="W20" s="131"/>
      <c r="X20" s="131"/>
      <c r="Y20" s="131"/>
      <c r="Z20" s="203"/>
    </row>
    <row r="21">
      <c r="A21" s="223" t="s">
        <v>7</v>
      </c>
      <c r="B21" s="226" t="s">
        <v>37</v>
      </c>
      <c r="C21" s="224">
        <v>717.0</v>
      </c>
      <c r="D21" s="224">
        <v>2.9624133</v>
      </c>
      <c r="E21" s="222">
        <f t="shared" si="3"/>
        <v>177.744798</v>
      </c>
      <c r="F21" s="132">
        <f t="shared" si="4"/>
        <v>0.1234338875</v>
      </c>
      <c r="G21" s="227" t="s">
        <v>488</v>
      </c>
      <c r="H21" s="131"/>
      <c r="I21" s="131"/>
      <c r="J21" s="131"/>
      <c r="K21" s="131"/>
      <c r="L21" s="131"/>
      <c r="M21" s="131"/>
      <c r="N21" s="131"/>
      <c r="O21" s="131"/>
      <c r="P21" s="131"/>
      <c r="Q21" s="131"/>
      <c r="R21" s="131"/>
      <c r="S21" s="131"/>
      <c r="T21" s="131"/>
      <c r="U21" s="131"/>
      <c r="V21" s="131"/>
      <c r="W21" s="131"/>
      <c r="X21" s="131"/>
      <c r="Y21" s="131"/>
      <c r="Z21" s="203"/>
    </row>
    <row r="22">
      <c r="A22" s="223" t="s">
        <v>474</v>
      </c>
      <c r="B22" s="226" t="s">
        <v>61</v>
      </c>
      <c r="C22" s="224">
        <v>333.0</v>
      </c>
      <c r="D22" s="224">
        <v>1.3232697</v>
      </c>
      <c r="E22" s="222">
        <f t="shared" si="3"/>
        <v>79.396182</v>
      </c>
      <c r="F22" s="132">
        <f t="shared" si="4"/>
        <v>0.0551362375</v>
      </c>
      <c r="G22" s="228" t="s">
        <v>489</v>
      </c>
      <c r="H22" s="131"/>
      <c r="I22" s="131"/>
      <c r="J22" s="131"/>
      <c r="K22" s="131"/>
      <c r="L22" s="131"/>
      <c r="M22" s="131"/>
      <c r="N22" s="131"/>
      <c r="O22" s="131"/>
      <c r="P22" s="131"/>
      <c r="Q22" s="131"/>
      <c r="R22" s="131"/>
      <c r="S22" s="131"/>
      <c r="T22" s="131"/>
      <c r="U22" s="131"/>
      <c r="V22" s="131"/>
      <c r="W22" s="131"/>
      <c r="X22" s="131"/>
      <c r="Y22" s="131"/>
      <c r="Z22" s="203"/>
    </row>
    <row r="23">
      <c r="A23" s="131"/>
      <c r="B23" s="131"/>
      <c r="C23" s="131"/>
      <c r="D23" s="212" t="s">
        <v>484</v>
      </c>
      <c r="E23" s="221">
        <f>sum(E19:E22)</f>
        <v>840.54138</v>
      </c>
      <c r="F23" s="229">
        <v>0.5840277777777778</v>
      </c>
      <c r="G23" s="211"/>
      <c r="H23" s="131"/>
      <c r="I23" s="131"/>
      <c r="J23" s="131"/>
      <c r="K23" s="131"/>
      <c r="L23" s="131"/>
      <c r="M23" s="131"/>
      <c r="N23" s="131"/>
      <c r="O23" s="131"/>
      <c r="P23" s="131"/>
      <c r="Q23" s="131"/>
      <c r="R23" s="131"/>
      <c r="S23" s="131"/>
      <c r="T23" s="131"/>
      <c r="U23" s="131"/>
      <c r="V23" s="131"/>
      <c r="W23" s="131"/>
      <c r="X23" s="131"/>
      <c r="Y23" s="131"/>
      <c r="Z23" s="203"/>
    </row>
    <row r="24">
      <c r="A24" s="131"/>
      <c r="B24" s="131"/>
      <c r="C24" s="131"/>
      <c r="D24" s="131"/>
      <c r="E24" s="222"/>
      <c r="F24" s="132"/>
      <c r="G24" s="211"/>
      <c r="H24" s="131"/>
      <c r="I24" s="131"/>
      <c r="J24" s="131"/>
      <c r="K24" s="131"/>
      <c r="L24" s="131"/>
      <c r="M24" s="131"/>
      <c r="N24" s="131"/>
      <c r="O24" s="131"/>
      <c r="P24" s="131"/>
      <c r="Q24" s="131"/>
      <c r="R24" s="131"/>
      <c r="S24" s="131"/>
      <c r="T24" s="131"/>
      <c r="U24" s="131"/>
      <c r="V24" s="131"/>
      <c r="W24" s="131"/>
      <c r="X24" s="131"/>
      <c r="Y24" s="131"/>
      <c r="Z24" s="203"/>
    </row>
    <row r="25">
      <c r="A25" s="140" t="s">
        <v>490</v>
      </c>
      <c r="B25" s="131"/>
      <c r="C25" s="131"/>
      <c r="D25" s="131"/>
      <c r="E25" s="222"/>
      <c r="F25" s="132"/>
      <c r="G25" s="211"/>
      <c r="H25" s="131"/>
      <c r="I25" s="131"/>
      <c r="J25" s="131"/>
      <c r="K25" s="131"/>
      <c r="L25" s="131"/>
      <c r="M25" s="131"/>
      <c r="N25" s="131"/>
      <c r="O25" s="131"/>
      <c r="P25" s="131"/>
      <c r="Q25" s="131"/>
      <c r="R25" s="131"/>
      <c r="S25" s="131"/>
      <c r="T25" s="131"/>
      <c r="U25" s="131"/>
      <c r="V25" s="131"/>
      <c r="W25" s="131"/>
      <c r="X25" s="131"/>
      <c r="Y25" s="131"/>
      <c r="Z25" s="203"/>
    </row>
    <row r="26">
      <c r="A26" s="230">
        <v>44891.0</v>
      </c>
      <c r="B26" s="131"/>
      <c r="C26" s="131"/>
      <c r="D26" s="131"/>
      <c r="E26" s="222"/>
      <c r="F26" s="132"/>
      <c r="G26" s="211"/>
      <c r="H26" s="131"/>
      <c r="I26" s="131"/>
      <c r="J26" s="131"/>
      <c r="K26" s="131"/>
      <c r="L26" s="131"/>
      <c r="M26" s="131"/>
      <c r="N26" s="131"/>
      <c r="O26" s="131"/>
      <c r="P26" s="131"/>
      <c r="Q26" s="131"/>
      <c r="R26" s="131"/>
      <c r="S26" s="131"/>
      <c r="T26" s="131"/>
      <c r="U26" s="131"/>
      <c r="V26" s="131"/>
      <c r="W26" s="131"/>
      <c r="X26" s="131"/>
      <c r="Y26" s="131"/>
      <c r="Z26" s="203"/>
    </row>
    <row r="27">
      <c r="A27" s="212" t="s">
        <v>0</v>
      </c>
      <c r="B27" s="212" t="s">
        <v>362</v>
      </c>
      <c r="C27" s="212" t="s">
        <v>467</v>
      </c>
      <c r="D27" s="212" t="s">
        <v>468</v>
      </c>
      <c r="E27" s="213" t="s">
        <v>469</v>
      </c>
      <c r="F27" s="214" t="s">
        <v>470</v>
      </c>
      <c r="G27" s="140" t="s">
        <v>471</v>
      </c>
      <c r="H27" s="131"/>
      <c r="I27" s="131"/>
      <c r="J27" s="131"/>
      <c r="K27" s="131"/>
      <c r="L27" s="131"/>
      <c r="M27" s="131"/>
      <c r="N27" s="131"/>
      <c r="O27" s="131"/>
      <c r="P27" s="131"/>
      <c r="Q27" s="131"/>
      <c r="R27" s="131"/>
      <c r="S27" s="131"/>
      <c r="T27" s="131"/>
      <c r="U27" s="131"/>
      <c r="V27" s="131"/>
      <c r="W27" s="131"/>
      <c r="X27" s="131"/>
      <c r="Y27" s="131"/>
      <c r="Z27" s="203"/>
    </row>
    <row r="28">
      <c r="A28" s="231" t="s">
        <v>7</v>
      </c>
      <c r="B28" s="231" t="s">
        <v>24</v>
      </c>
      <c r="C28" s="231">
        <v>492.0</v>
      </c>
      <c r="D28" s="231">
        <v>2.286969</v>
      </c>
      <c r="E28" s="222">
        <f t="shared" ref="E28:E55" si="5">D28*60</f>
        <v>137.21814</v>
      </c>
      <c r="F28" s="132">
        <f t="shared" ref="F28:F55" si="6">E28/24/60</f>
        <v>0.095290375</v>
      </c>
      <c r="G28" s="219" t="s">
        <v>491</v>
      </c>
      <c r="H28" s="131"/>
      <c r="I28" s="131"/>
      <c r="J28" s="131"/>
      <c r="K28" s="131"/>
      <c r="L28" s="131"/>
      <c r="M28" s="131"/>
      <c r="N28" s="131"/>
      <c r="O28" s="131"/>
      <c r="P28" s="131"/>
      <c r="Q28" s="131"/>
      <c r="R28" s="131"/>
      <c r="S28" s="131"/>
      <c r="T28" s="131"/>
      <c r="U28" s="131"/>
      <c r="V28" s="131"/>
      <c r="W28" s="131"/>
      <c r="X28" s="131"/>
      <c r="Y28" s="131"/>
      <c r="Z28" s="203"/>
    </row>
    <row r="29">
      <c r="A29" s="232" t="s">
        <v>7</v>
      </c>
      <c r="B29" s="232" t="s">
        <v>492</v>
      </c>
      <c r="C29" s="231">
        <v>288.0</v>
      </c>
      <c r="D29" s="231">
        <v>0.991824</v>
      </c>
      <c r="E29" s="222">
        <f t="shared" si="5"/>
        <v>59.50944</v>
      </c>
      <c r="F29" s="132">
        <f t="shared" si="6"/>
        <v>0.041326</v>
      </c>
      <c r="G29" s="233" t="s">
        <v>493</v>
      </c>
      <c r="H29" s="131"/>
      <c r="I29" s="131"/>
      <c r="J29" s="131"/>
      <c r="K29" s="131"/>
      <c r="L29" s="131"/>
      <c r="M29" s="131"/>
      <c r="N29" s="131"/>
      <c r="O29" s="131"/>
      <c r="P29" s="131"/>
      <c r="Q29" s="131"/>
      <c r="R29" s="131"/>
      <c r="S29" s="131"/>
      <c r="T29" s="131"/>
      <c r="U29" s="131"/>
      <c r="V29" s="131"/>
      <c r="W29" s="131"/>
      <c r="X29" s="131"/>
      <c r="Y29" s="131"/>
      <c r="Z29" s="203"/>
    </row>
    <row r="30">
      <c r="A30" s="231" t="s">
        <v>7</v>
      </c>
      <c r="B30" s="231" t="s">
        <v>19</v>
      </c>
      <c r="C30" s="231">
        <v>548.0</v>
      </c>
      <c r="D30" s="231">
        <v>2.487961</v>
      </c>
      <c r="E30" s="222">
        <f t="shared" si="5"/>
        <v>149.27766</v>
      </c>
      <c r="F30" s="132">
        <f t="shared" si="6"/>
        <v>0.1036650417</v>
      </c>
      <c r="G30" s="219" t="s">
        <v>494</v>
      </c>
      <c r="H30" s="131"/>
      <c r="I30" s="131"/>
      <c r="J30" s="131"/>
      <c r="K30" s="131"/>
      <c r="L30" s="131"/>
      <c r="M30" s="131"/>
      <c r="N30" s="131"/>
      <c r="O30" s="131"/>
      <c r="P30" s="131"/>
      <c r="Q30" s="131"/>
      <c r="R30" s="131"/>
      <c r="S30" s="131"/>
      <c r="T30" s="131"/>
      <c r="U30" s="131"/>
      <c r="V30" s="131"/>
      <c r="W30" s="131"/>
      <c r="X30" s="131"/>
      <c r="Y30" s="131"/>
      <c r="Z30" s="203"/>
    </row>
    <row r="31">
      <c r="A31" s="231" t="s">
        <v>7</v>
      </c>
      <c r="B31" s="231" t="s">
        <v>44</v>
      </c>
      <c r="C31" s="231">
        <v>252.0</v>
      </c>
      <c r="D31" s="231">
        <v>0.990939</v>
      </c>
      <c r="E31" s="222">
        <f t="shared" si="5"/>
        <v>59.45634</v>
      </c>
      <c r="F31" s="132">
        <f t="shared" si="6"/>
        <v>0.041289125</v>
      </c>
      <c r="G31" s="219" t="s">
        <v>495</v>
      </c>
      <c r="H31" s="131"/>
      <c r="I31" s="131"/>
      <c r="J31" s="131"/>
      <c r="K31" s="131"/>
      <c r="L31" s="131"/>
      <c r="M31" s="131"/>
      <c r="N31" s="131"/>
      <c r="O31" s="131"/>
      <c r="P31" s="131"/>
      <c r="Q31" s="131"/>
      <c r="R31" s="131"/>
      <c r="S31" s="131"/>
      <c r="T31" s="131"/>
      <c r="U31" s="131"/>
      <c r="V31" s="131"/>
      <c r="W31" s="131"/>
      <c r="X31" s="131"/>
      <c r="Y31" s="131"/>
      <c r="Z31" s="203"/>
    </row>
    <row r="32">
      <c r="A32" s="231" t="s">
        <v>7</v>
      </c>
      <c r="B32" s="231" t="s">
        <v>43</v>
      </c>
      <c r="C32" s="231">
        <v>118.0</v>
      </c>
      <c r="D32" s="231">
        <v>0.626783</v>
      </c>
      <c r="E32" s="222">
        <f t="shared" si="5"/>
        <v>37.60698</v>
      </c>
      <c r="F32" s="132">
        <f t="shared" si="6"/>
        <v>0.02611595833</v>
      </c>
      <c r="G32" s="219" t="s">
        <v>496</v>
      </c>
      <c r="H32" s="131"/>
      <c r="I32" s="131"/>
      <c r="J32" s="131"/>
      <c r="K32" s="131"/>
      <c r="L32" s="131"/>
      <c r="M32" s="131"/>
      <c r="N32" s="131"/>
      <c r="O32" s="131"/>
      <c r="P32" s="131"/>
      <c r="Q32" s="131"/>
      <c r="R32" s="131"/>
      <c r="S32" s="131"/>
      <c r="T32" s="131"/>
      <c r="U32" s="131"/>
      <c r="V32" s="131"/>
      <c r="W32" s="131"/>
      <c r="X32" s="131"/>
      <c r="Y32" s="131"/>
      <c r="Z32" s="203"/>
    </row>
    <row r="33">
      <c r="A33" s="231" t="s">
        <v>7</v>
      </c>
      <c r="B33" s="231" t="s">
        <v>22</v>
      </c>
      <c r="C33" s="231">
        <v>943.0</v>
      </c>
      <c r="D33" s="231">
        <v>3.679954</v>
      </c>
      <c r="E33" s="222">
        <f t="shared" si="5"/>
        <v>220.79724</v>
      </c>
      <c r="F33" s="132">
        <f t="shared" si="6"/>
        <v>0.1533314167</v>
      </c>
      <c r="G33" s="219" t="s">
        <v>497</v>
      </c>
      <c r="H33" s="131"/>
      <c r="I33" s="131"/>
      <c r="J33" s="131"/>
      <c r="K33" s="131"/>
      <c r="L33" s="131"/>
      <c r="M33" s="131"/>
      <c r="N33" s="131"/>
      <c r="O33" s="131"/>
      <c r="P33" s="131"/>
      <c r="Q33" s="131"/>
      <c r="R33" s="131"/>
      <c r="S33" s="131"/>
      <c r="T33" s="131"/>
      <c r="U33" s="131"/>
      <c r="V33" s="131"/>
      <c r="W33" s="131"/>
      <c r="X33" s="131"/>
      <c r="Y33" s="131"/>
      <c r="Z33" s="203"/>
    </row>
    <row r="34">
      <c r="A34" s="231" t="s">
        <v>7</v>
      </c>
      <c r="B34" s="231" t="s">
        <v>8</v>
      </c>
      <c r="C34" s="231">
        <v>368.0</v>
      </c>
      <c r="D34" s="231">
        <v>1.302237</v>
      </c>
      <c r="E34" s="222">
        <f t="shared" si="5"/>
        <v>78.13422</v>
      </c>
      <c r="F34" s="132">
        <f t="shared" si="6"/>
        <v>0.054259875</v>
      </c>
      <c r="G34" s="219" t="s">
        <v>498</v>
      </c>
      <c r="H34" s="131"/>
      <c r="I34" s="131"/>
      <c r="J34" s="131"/>
      <c r="K34" s="131"/>
      <c r="L34" s="131"/>
      <c r="M34" s="131"/>
      <c r="N34" s="131"/>
      <c r="O34" s="131"/>
      <c r="P34" s="131"/>
      <c r="Q34" s="131"/>
      <c r="R34" s="131"/>
      <c r="S34" s="131"/>
      <c r="T34" s="131"/>
      <c r="U34" s="131"/>
      <c r="V34" s="131"/>
      <c r="W34" s="131"/>
      <c r="X34" s="131"/>
      <c r="Y34" s="131"/>
      <c r="Z34" s="203"/>
    </row>
    <row r="35">
      <c r="A35" s="231" t="s">
        <v>7</v>
      </c>
      <c r="B35" s="231" t="s">
        <v>20</v>
      </c>
      <c r="C35" s="231">
        <v>25.0</v>
      </c>
      <c r="D35" s="231">
        <v>0.107371</v>
      </c>
      <c r="E35" s="222">
        <f t="shared" si="5"/>
        <v>6.44226</v>
      </c>
      <c r="F35" s="132">
        <f t="shared" si="6"/>
        <v>0.004473791667</v>
      </c>
      <c r="G35" s="219" t="s">
        <v>499</v>
      </c>
      <c r="H35" s="131"/>
      <c r="I35" s="131"/>
      <c r="J35" s="131"/>
      <c r="K35" s="131"/>
      <c r="L35" s="131"/>
      <c r="M35" s="131"/>
      <c r="N35" s="131"/>
      <c r="O35" s="131"/>
      <c r="P35" s="131"/>
      <c r="Q35" s="131"/>
      <c r="R35" s="131"/>
      <c r="S35" s="131"/>
      <c r="T35" s="131"/>
      <c r="U35" s="131"/>
      <c r="V35" s="131"/>
      <c r="W35" s="131"/>
      <c r="X35" s="131"/>
      <c r="Y35" s="131"/>
      <c r="Z35" s="203"/>
    </row>
    <row r="36">
      <c r="A36" s="231" t="s">
        <v>54</v>
      </c>
      <c r="B36" s="231" t="s">
        <v>58</v>
      </c>
      <c r="C36" s="231">
        <v>544.0</v>
      </c>
      <c r="D36" s="231">
        <v>2.53415</v>
      </c>
      <c r="E36" s="222">
        <f t="shared" si="5"/>
        <v>152.049</v>
      </c>
      <c r="F36" s="132">
        <f t="shared" si="6"/>
        <v>0.1055895833</v>
      </c>
      <c r="G36" s="219" t="s">
        <v>500</v>
      </c>
      <c r="H36" s="131"/>
      <c r="I36" s="131"/>
      <c r="J36" s="131"/>
      <c r="K36" s="131"/>
      <c r="L36" s="131"/>
      <c r="M36" s="131"/>
      <c r="N36" s="131"/>
      <c r="O36" s="131"/>
      <c r="P36" s="131"/>
      <c r="Q36" s="131"/>
      <c r="R36" s="131"/>
      <c r="S36" s="131"/>
      <c r="T36" s="131"/>
      <c r="U36" s="131"/>
      <c r="V36" s="131"/>
      <c r="W36" s="131"/>
      <c r="X36" s="131"/>
      <c r="Y36" s="131"/>
      <c r="Z36" s="203"/>
    </row>
    <row r="37">
      <c r="A37" s="231" t="s">
        <v>54</v>
      </c>
      <c r="B37" s="231" t="s">
        <v>59</v>
      </c>
      <c r="C37" s="231">
        <v>581.0</v>
      </c>
      <c r="D37" s="231">
        <v>2.93166</v>
      </c>
      <c r="E37" s="222">
        <f t="shared" si="5"/>
        <v>175.8996</v>
      </c>
      <c r="F37" s="132">
        <f t="shared" si="6"/>
        <v>0.1221525</v>
      </c>
      <c r="G37" s="219" t="s">
        <v>501</v>
      </c>
      <c r="H37" s="131"/>
      <c r="I37" s="131"/>
      <c r="J37" s="131"/>
      <c r="K37" s="131"/>
      <c r="L37" s="131"/>
      <c r="M37" s="131"/>
      <c r="N37" s="131"/>
      <c r="O37" s="131"/>
      <c r="P37" s="131"/>
      <c r="Q37" s="131"/>
      <c r="R37" s="131"/>
      <c r="S37" s="131"/>
      <c r="T37" s="131"/>
      <c r="U37" s="131"/>
      <c r="V37" s="131"/>
      <c r="W37" s="131"/>
      <c r="X37" s="131"/>
      <c r="Y37" s="131"/>
      <c r="Z37" s="203"/>
    </row>
    <row r="38">
      <c r="A38" s="231" t="s">
        <v>54</v>
      </c>
      <c r="B38" s="231" t="s">
        <v>63</v>
      </c>
      <c r="C38" s="231">
        <v>403.0</v>
      </c>
      <c r="D38" s="231">
        <v>1.93938</v>
      </c>
      <c r="E38" s="222">
        <f t="shared" si="5"/>
        <v>116.3628</v>
      </c>
      <c r="F38" s="132">
        <f t="shared" si="6"/>
        <v>0.0808075</v>
      </c>
      <c r="G38" s="219" t="s">
        <v>502</v>
      </c>
      <c r="H38" s="131"/>
      <c r="I38" s="131"/>
      <c r="J38" s="131"/>
      <c r="K38" s="131"/>
      <c r="L38" s="131"/>
      <c r="M38" s="131"/>
      <c r="N38" s="131"/>
      <c r="O38" s="131"/>
      <c r="P38" s="131"/>
      <c r="Q38" s="131"/>
      <c r="R38" s="131"/>
      <c r="S38" s="131"/>
      <c r="T38" s="131"/>
      <c r="U38" s="131"/>
      <c r="V38" s="131"/>
      <c r="W38" s="131"/>
      <c r="X38" s="131"/>
      <c r="Y38" s="131"/>
      <c r="Z38" s="203"/>
    </row>
    <row r="39">
      <c r="A39" s="231" t="s">
        <v>35</v>
      </c>
      <c r="B39" s="231" t="s">
        <v>36</v>
      </c>
      <c r="C39" s="231">
        <v>133.0</v>
      </c>
      <c r="D39" s="231">
        <v>0.644675</v>
      </c>
      <c r="E39" s="222">
        <f t="shared" si="5"/>
        <v>38.6805</v>
      </c>
      <c r="F39" s="132">
        <f t="shared" si="6"/>
        <v>0.02686145833</v>
      </c>
      <c r="G39" s="219" t="s">
        <v>503</v>
      </c>
      <c r="H39" s="131"/>
      <c r="I39" s="131"/>
      <c r="J39" s="131"/>
      <c r="K39" s="131"/>
      <c r="L39" s="131"/>
      <c r="M39" s="131"/>
      <c r="N39" s="131"/>
      <c r="O39" s="131"/>
      <c r="P39" s="131"/>
      <c r="Q39" s="131"/>
      <c r="R39" s="131"/>
      <c r="S39" s="131"/>
      <c r="T39" s="131"/>
      <c r="U39" s="131"/>
      <c r="V39" s="131"/>
      <c r="W39" s="131"/>
      <c r="X39" s="131"/>
      <c r="Y39" s="131"/>
      <c r="Z39" s="203"/>
    </row>
    <row r="40">
      <c r="A40" s="231" t="s">
        <v>17</v>
      </c>
      <c r="B40" s="231" t="s">
        <v>87</v>
      </c>
      <c r="C40" s="231">
        <v>250.0</v>
      </c>
      <c r="D40" s="231">
        <v>1.022638</v>
      </c>
      <c r="E40" s="222">
        <f t="shared" si="5"/>
        <v>61.35828</v>
      </c>
      <c r="F40" s="132">
        <f t="shared" si="6"/>
        <v>0.04260991667</v>
      </c>
      <c r="G40" s="219" t="s">
        <v>504</v>
      </c>
      <c r="H40" s="131"/>
      <c r="I40" s="131"/>
      <c r="J40" s="131"/>
      <c r="K40" s="131"/>
      <c r="L40" s="131"/>
      <c r="M40" s="131"/>
      <c r="N40" s="131"/>
      <c r="O40" s="131"/>
      <c r="P40" s="131"/>
      <c r="Q40" s="131"/>
      <c r="R40" s="131"/>
      <c r="S40" s="131"/>
      <c r="T40" s="131"/>
      <c r="U40" s="131"/>
      <c r="V40" s="131"/>
      <c r="W40" s="131"/>
      <c r="X40" s="131"/>
      <c r="Y40" s="131"/>
      <c r="Z40" s="203"/>
    </row>
    <row r="41">
      <c r="A41" s="231" t="s">
        <v>88</v>
      </c>
      <c r="B41" s="231" t="s">
        <v>89</v>
      </c>
      <c r="C41" s="231">
        <v>1133.0</v>
      </c>
      <c r="D41" s="231">
        <v>5.214281</v>
      </c>
      <c r="E41" s="222">
        <f t="shared" si="5"/>
        <v>312.85686</v>
      </c>
      <c r="F41" s="132">
        <f t="shared" si="6"/>
        <v>0.2172617083</v>
      </c>
      <c r="G41" s="219" t="s">
        <v>505</v>
      </c>
      <c r="H41" s="131"/>
      <c r="I41" s="131"/>
      <c r="J41" s="131"/>
      <c r="K41" s="131"/>
      <c r="L41" s="131"/>
      <c r="M41" s="131"/>
      <c r="N41" s="131"/>
      <c r="O41" s="131"/>
      <c r="P41" s="131"/>
      <c r="Q41" s="131"/>
      <c r="R41" s="131"/>
      <c r="S41" s="131"/>
      <c r="T41" s="131"/>
      <c r="U41" s="131"/>
      <c r="V41" s="131"/>
      <c r="W41" s="131"/>
      <c r="X41" s="131"/>
      <c r="Y41" s="131"/>
      <c r="Z41" s="203"/>
    </row>
    <row r="42">
      <c r="A42" s="231" t="s">
        <v>88</v>
      </c>
      <c r="B42" s="231" t="s">
        <v>90</v>
      </c>
      <c r="C42" s="231">
        <v>1282.0</v>
      </c>
      <c r="D42" s="231">
        <v>5.684202</v>
      </c>
      <c r="E42" s="222">
        <f t="shared" si="5"/>
        <v>341.05212</v>
      </c>
      <c r="F42" s="132">
        <f t="shared" si="6"/>
        <v>0.23684175</v>
      </c>
      <c r="G42" s="219" t="s">
        <v>506</v>
      </c>
      <c r="H42" s="131"/>
      <c r="I42" s="131"/>
      <c r="J42" s="131"/>
      <c r="K42" s="131"/>
      <c r="L42" s="131"/>
      <c r="M42" s="131"/>
      <c r="N42" s="131"/>
      <c r="O42" s="131"/>
      <c r="P42" s="131"/>
      <c r="Q42" s="131"/>
      <c r="R42" s="131"/>
      <c r="S42" s="131"/>
      <c r="T42" s="131"/>
      <c r="U42" s="131"/>
      <c r="V42" s="131"/>
      <c r="W42" s="131"/>
      <c r="X42" s="131"/>
      <c r="Y42" s="131"/>
      <c r="Z42" s="203"/>
    </row>
    <row r="43">
      <c r="A43" s="231" t="s">
        <v>67</v>
      </c>
      <c r="B43" s="231" t="s">
        <v>426</v>
      </c>
      <c r="C43" s="231">
        <v>422.0</v>
      </c>
      <c r="D43" s="231">
        <v>1.783952</v>
      </c>
      <c r="E43" s="222">
        <f t="shared" si="5"/>
        <v>107.03712</v>
      </c>
      <c r="F43" s="132">
        <f t="shared" si="6"/>
        <v>0.07433133333</v>
      </c>
      <c r="G43" s="219" t="s">
        <v>507</v>
      </c>
      <c r="H43" s="131"/>
      <c r="I43" s="131"/>
      <c r="J43" s="131"/>
      <c r="K43" s="131"/>
      <c r="L43" s="131"/>
      <c r="M43" s="131"/>
      <c r="N43" s="131"/>
      <c r="O43" s="131"/>
      <c r="P43" s="131"/>
      <c r="Q43" s="131"/>
      <c r="R43" s="131"/>
      <c r="S43" s="131"/>
      <c r="T43" s="131"/>
      <c r="U43" s="131"/>
      <c r="V43" s="131"/>
      <c r="W43" s="131"/>
      <c r="X43" s="131"/>
      <c r="Y43" s="131"/>
      <c r="Z43" s="203"/>
    </row>
    <row r="44">
      <c r="A44" s="231" t="s">
        <v>67</v>
      </c>
      <c r="B44" s="231" t="s">
        <v>93</v>
      </c>
      <c r="C44" s="231">
        <v>232.0</v>
      </c>
      <c r="D44" s="231">
        <v>1.079452</v>
      </c>
      <c r="E44" s="222">
        <f t="shared" si="5"/>
        <v>64.76712</v>
      </c>
      <c r="F44" s="132">
        <f t="shared" si="6"/>
        <v>0.04497716667</v>
      </c>
      <c r="G44" s="219" t="s">
        <v>508</v>
      </c>
      <c r="H44" s="131"/>
      <c r="I44" s="131"/>
      <c r="J44" s="131"/>
      <c r="K44" s="131"/>
      <c r="L44" s="131"/>
      <c r="M44" s="131"/>
      <c r="N44" s="131"/>
      <c r="O44" s="131"/>
      <c r="P44" s="131"/>
      <c r="Q44" s="131"/>
      <c r="R44" s="131"/>
      <c r="S44" s="131"/>
      <c r="T44" s="131"/>
      <c r="U44" s="131"/>
      <c r="V44" s="131"/>
      <c r="W44" s="131"/>
      <c r="X44" s="131"/>
      <c r="Y44" s="131"/>
      <c r="Z44" s="203"/>
    </row>
    <row r="45">
      <c r="A45" s="231" t="s">
        <v>474</v>
      </c>
      <c r="B45" s="231" t="s">
        <v>94</v>
      </c>
      <c r="C45" s="231">
        <v>354.0</v>
      </c>
      <c r="D45" s="231">
        <v>1.481058</v>
      </c>
      <c r="E45" s="222">
        <f t="shared" si="5"/>
        <v>88.86348</v>
      </c>
      <c r="F45" s="132">
        <f t="shared" si="6"/>
        <v>0.06171075</v>
      </c>
      <c r="G45" s="219" t="s">
        <v>509</v>
      </c>
      <c r="H45" s="131"/>
      <c r="I45" s="131"/>
      <c r="J45" s="131"/>
      <c r="K45" s="131"/>
      <c r="L45" s="131"/>
      <c r="M45" s="131"/>
      <c r="N45" s="131"/>
      <c r="O45" s="131"/>
      <c r="P45" s="131"/>
      <c r="Q45" s="131"/>
      <c r="R45" s="131"/>
      <c r="S45" s="131"/>
      <c r="T45" s="131"/>
      <c r="U45" s="131"/>
      <c r="V45" s="131"/>
      <c r="W45" s="131"/>
      <c r="X45" s="131"/>
      <c r="Y45" s="131"/>
      <c r="Z45" s="203"/>
    </row>
    <row r="46">
      <c r="A46" s="231" t="s">
        <v>474</v>
      </c>
      <c r="B46" s="231" t="s">
        <v>95</v>
      </c>
      <c r="C46" s="231">
        <v>409.0</v>
      </c>
      <c r="D46" s="231">
        <v>1.851688</v>
      </c>
      <c r="E46" s="222">
        <f t="shared" si="5"/>
        <v>111.10128</v>
      </c>
      <c r="F46" s="132">
        <f t="shared" si="6"/>
        <v>0.07715366667</v>
      </c>
      <c r="G46" s="219" t="s">
        <v>510</v>
      </c>
      <c r="H46" s="131"/>
      <c r="I46" s="131"/>
      <c r="J46" s="131"/>
      <c r="K46" s="131"/>
      <c r="L46" s="131"/>
      <c r="M46" s="131"/>
      <c r="N46" s="131"/>
      <c r="O46" s="131"/>
      <c r="P46" s="131"/>
      <c r="Q46" s="131"/>
      <c r="R46" s="131"/>
      <c r="S46" s="131"/>
      <c r="T46" s="131"/>
      <c r="U46" s="131"/>
      <c r="V46" s="131"/>
      <c r="W46" s="131"/>
      <c r="X46" s="131"/>
      <c r="Y46" s="131"/>
      <c r="Z46" s="203"/>
    </row>
    <row r="47">
      <c r="A47" s="231" t="s">
        <v>474</v>
      </c>
      <c r="B47" s="231" t="s">
        <v>96</v>
      </c>
      <c r="C47" s="231">
        <v>346.0</v>
      </c>
      <c r="D47" s="231">
        <v>1.578456</v>
      </c>
      <c r="E47" s="222">
        <f t="shared" si="5"/>
        <v>94.70736</v>
      </c>
      <c r="F47" s="132">
        <f t="shared" si="6"/>
        <v>0.065769</v>
      </c>
      <c r="G47" s="219" t="s">
        <v>511</v>
      </c>
      <c r="H47" s="131"/>
      <c r="I47" s="131"/>
      <c r="J47" s="131"/>
      <c r="K47" s="131"/>
      <c r="L47" s="131"/>
      <c r="M47" s="131"/>
      <c r="N47" s="131"/>
      <c r="O47" s="131"/>
      <c r="P47" s="131"/>
      <c r="Q47" s="131"/>
      <c r="R47" s="131"/>
      <c r="S47" s="131"/>
      <c r="T47" s="131"/>
      <c r="U47" s="131"/>
      <c r="V47" s="131"/>
      <c r="W47" s="131"/>
      <c r="X47" s="131"/>
      <c r="Y47" s="131"/>
      <c r="Z47" s="203"/>
    </row>
    <row r="48">
      <c r="A48" s="231" t="s">
        <v>474</v>
      </c>
      <c r="B48" s="231" t="s">
        <v>97</v>
      </c>
      <c r="C48" s="231">
        <v>395.0</v>
      </c>
      <c r="D48" s="231">
        <v>1.565323</v>
      </c>
      <c r="E48" s="222">
        <f t="shared" si="5"/>
        <v>93.91938</v>
      </c>
      <c r="F48" s="132">
        <f t="shared" si="6"/>
        <v>0.06522179167</v>
      </c>
      <c r="G48" s="219" t="s">
        <v>512</v>
      </c>
      <c r="H48" s="131"/>
      <c r="I48" s="131"/>
      <c r="J48" s="131"/>
      <c r="K48" s="131"/>
      <c r="L48" s="131"/>
      <c r="M48" s="131"/>
      <c r="N48" s="131"/>
      <c r="O48" s="131"/>
      <c r="P48" s="131"/>
      <c r="Q48" s="131"/>
      <c r="R48" s="131"/>
      <c r="S48" s="131"/>
      <c r="T48" s="131"/>
      <c r="U48" s="131"/>
      <c r="V48" s="131"/>
      <c r="W48" s="131"/>
      <c r="X48" s="131"/>
      <c r="Y48" s="131"/>
      <c r="Z48" s="203"/>
    </row>
    <row r="49">
      <c r="A49" s="231" t="s">
        <v>474</v>
      </c>
      <c r="B49" s="231" t="s">
        <v>428</v>
      </c>
      <c r="C49" s="231">
        <v>212.0</v>
      </c>
      <c r="D49" s="231">
        <v>1.048645</v>
      </c>
      <c r="E49" s="222">
        <f t="shared" si="5"/>
        <v>62.9187</v>
      </c>
      <c r="F49" s="132">
        <f t="shared" si="6"/>
        <v>0.04369354167</v>
      </c>
      <c r="G49" s="219" t="s">
        <v>513</v>
      </c>
      <c r="H49" s="131"/>
      <c r="I49" s="131"/>
      <c r="J49" s="131"/>
      <c r="K49" s="131"/>
      <c r="L49" s="131"/>
      <c r="M49" s="131"/>
      <c r="N49" s="131"/>
      <c r="O49" s="131"/>
      <c r="P49" s="131"/>
      <c r="Q49" s="131"/>
      <c r="R49" s="131"/>
      <c r="S49" s="131"/>
      <c r="T49" s="131"/>
      <c r="U49" s="131"/>
      <c r="V49" s="131"/>
      <c r="W49" s="131"/>
      <c r="X49" s="131"/>
      <c r="Y49" s="131"/>
      <c r="Z49" s="203"/>
    </row>
    <row r="50">
      <c r="A50" s="234" t="s">
        <v>474</v>
      </c>
      <c r="B50" s="234" t="s">
        <v>99</v>
      </c>
      <c r="C50" s="231">
        <v>494.0</v>
      </c>
      <c r="D50" s="231">
        <v>2.05612</v>
      </c>
      <c r="E50" s="222">
        <f t="shared" si="5"/>
        <v>123.3672</v>
      </c>
      <c r="F50" s="132">
        <f t="shared" si="6"/>
        <v>0.08567166667</v>
      </c>
      <c r="G50" s="219" t="s">
        <v>514</v>
      </c>
      <c r="H50" s="131"/>
      <c r="I50" s="131"/>
      <c r="J50" s="131"/>
      <c r="K50" s="131"/>
      <c r="L50" s="131"/>
      <c r="M50" s="131"/>
      <c r="N50" s="131"/>
      <c r="O50" s="131"/>
      <c r="P50" s="131"/>
      <c r="Q50" s="131"/>
      <c r="R50" s="131"/>
      <c r="S50" s="131"/>
      <c r="T50" s="131"/>
      <c r="U50" s="131"/>
      <c r="V50" s="131"/>
      <c r="W50" s="131"/>
      <c r="X50" s="131"/>
      <c r="Y50" s="131"/>
      <c r="Z50" s="203"/>
    </row>
    <row r="51">
      <c r="A51" s="234" t="s">
        <v>474</v>
      </c>
      <c r="B51" s="234" t="s">
        <v>61</v>
      </c>
      <c r="C51" s="231">
        <v>70.0</v>
      </c>
      <c r="D51" s="231">
        <v>0.266289</v>
      </c>
      <c r="E51" s="222">
        <f t="shared" si="5"/>
        <v>15.97734</v>
      </c>
      <c r="F51" s="132">
        <f t="shared" si="6"/>
        <v>0.011095375</v>
      </c>
      <c r="G51" s="219" t="s">
        <v>515</v>
      </c>
      <c r="H51" s="131"/>
      <c r="I51" s="131"/>
      <c r="J51" s="131"/>
      <c r="K51" s="131"/>
      <c r="L51" s="131"/>
      <c r="M51" s="131"/>
      <c r="N51" s="131"/>
      <c r="O51" s="131"/>
      <c r="P51" s="131"/>
      <c r="Q51" s="131"/>
      <c r="R51" s="131"/>
      <c r="S51" s="131"/>
      <c r="T51" s="131"/>
      <c r="U51" s="131"/>
      <c r="V51" s="131"/>
      <c r="W51" s="131"/>
      <c r="X51" s="131"/>
      <c r="Y51" s="131"/>
      <c r="Z51" s="203"/>
    </row>
    <row r="52">
      <c r="A52" s="234" t="s">
        <v>429</v>
      </c>
      <c r="B52" s="234" t="s">
        <v>101</v>
      </c>
      <c r="C52" s="231">
        <v>272.0</v>
      </c>
      <c r="D52" s="231">
        <v>1.184462</v>
      </c>
      <c r="E52" s="222">
        <f t="shared" si="5"/>
        <v>71.06772</v>
      </c>
      <c r="F52" s="132">
        <f t="shared" si="6"/>
        <v>0.04935258333</v>
      </c>
      <c r="G52" s="219" t="s">
        <v>516</v>
      </c>
      <c r="H52" s="131"/>
      <c r="I52" s="131"/>
      <c r="J52" s="131"/>
      <c r="K52" s="131"/>
      <c r="L52" s="131"/>
      <c r="M52" s="131"/>
      <c r="N52" s="131"/>
      <c r="O52" s="131"/>
      <c r="P52" s="131"/>
      <c r="Q52" s="131"/>
      <c r="R52" s="131"/>
      <c r="S52" s="131"/>
      <c r="T52" s="131"/>
      <c r="U52" s="131"/>
      <c r="V52" s="131"/>
      <c r="W52" s="131"/>
      <c r="X52" s="131"/>
      <c r="Y52" s="131"/>
      <c r="Z52" s="203"/>
    </row>
    <row r="53">
      <c r="A53" s="234" t="s">
        <v>429</v>
      </c>
      <c r="B53" s="234" t="s">
        <v>102</v>
      </c>
      <c r="C53" s="231">
        <v>276.0</v>
      </c>
      <c r="D53" s="231">
        <v>1.167454</v>
      </c>
      <c r="E53" s="222">
        <f t="shared" si="5"/>
        <v>70.04724</v>
      </c>
      <c r="F53" s="132">
        <f t="shared" si="6"/>
        <v>0.04864391667</v>
      </c>
      <c r="G53" s="219" t="s">
        <v>517</v>
      </c>
      <c r="H53" s="131"/>
      <c r="I53" s="131"/>
      <c r="J53" s="131"/>
      <c r="K53" s="131"/>
      <c r="L53" s="131"/>
      <c r="M53" s="131"/>
      <c r="N53" s="131"/>
      <c r="O53" s="131"/>
      <c r="P53" s="131"/>
      <c r="Q53" s="131"/>
      <c r="R53" s="131"/>
      <c r="S53" s="131"/>
      <c r="T53" s="131"/>
      <c r="U53" s="131"/>
      <c r="V53" s="131"/>
      <c r="W53" s="131"/>
      <c r="X53" s="131"/>
      <c r="Y53" s="131"/>
      <c r="Z53" s="203"/>
    </row>
    <row r="54">
      <c r="A54" s="234" t="s">
        <v>429</v>
      </c>
      <c r="B54" s="234" t="s">
        <v>29</v>
      </c>
      <c r="C54" s="231">
        <v>332.0</v>
      </c>
      <c r="D54" s="231">
        <v>1.375318</v>
      </c>
      <c r="E54" s="222">
        <f t="shared" si="5"/>
        <v>82.51908</v>
      </c>
      <c r="F54" s="132">
        <f t="shared" si="6"/>
        <v>0.05730491667</v>
      </c>
      <c r="G54" s="219" t="s">
        <v>477</v>
      </c>
      <c r="H54" s="131"/>
      <c r="I54" s="131"/>
      <c r="J54" s="131"/>
      <c r="K54" s="131"/>
      <c r="L54" s="131"/>
      <c r="M54" s="131"/>
      <c r="N54" s="131"/>
      <c r="O54" s="131"/>
      <c r="P54" s="131"/>
      <c r="Q54" s="131"/>
      <c r="R54" s="131"/>
      <c r="S54" s="131"/>
      <c r="T54" s="131"/>
      <c r="U54" s="131"/>
      <c r="V54" s="131"/>
      <c r="W54" s="131"/>
      <c r="X54" s="131"/>
      <c r="Y54" s="131"/>
      <c r="Z54" s="203"/>
    </row>
    <row r="55">
      <c r="A55" s="234" t="s">
        <v>429</v>
      </c>
      <c r="B55" s="234" t="s">
        <v>431</v>
      </c>
      <c r="C55" s="231">
        <v>474.0</v>
      </c>
      <c r="D55" s="231">
        <v>2.108824</v>
      </c>
      <c r="E55" s="222">
        <f t="shared" si="5"/>
        <v>126.52944</v>
      </c>
      <c r="F55" s="132">
        <f t="shared" si="6"/>
        <v>0.08786766667</v>
      </c>
      <c r="G55" s="219" t="s">
        <v>518</v>
      </c>
      <c r="H55" s="131"/>
      <c r="I55" s="131"/>
      <c r="J55" s="131"/>
      <c r="K55" s="131"/>
      <c r="L55" s="131"/>
      <c r="M55" s="131"/>
      <c r="N55" s="131"/>
      <c r="O55" s="131"/>
      <c r="P55" s="131"/>
      <c r="Q55" s="131"/>
      <c r="R55" s="131"/>
      <c r="S55" s="131"/>
      <c r="T55" s="131"/>
      <c r="U55" s="131"/>
      <c r="V55" s="131"/>
      <c r="W55" s="131"/>
      <c r="X55" s="131"/>
      <c r="Y55" s="131"/>
      <c r="Z55" s="203"/>
    </row>
    <row r="56">
      <c r="A56" s="131"/>
      <c r="B56" s="131"/>
      <c r="C56" s="131"/>
      <c r="D56" s="212" t="s">
        <v>484</v>
      </c>
      <c r="E56" s="235">
        <f>sum(E28:E55)</f>
        <v>3059.5239</v>
      </c>
      <c r="F56" s="229">
        <v>2.125</v>
      </c>
      <c r="G56" s="211"/>
      <c r="H56" s="131"/>
      <c r="I56" s="131"/>
      <c r="J56" s="131"/>
      <c r="K56" s="131"/>
      <c r="L56" s="131"/>
      <c r="M56" s="131"/>
      <c r="N56" s="131"/>
      <c r="O56" s="131"/>
      <c r="P56" s="131"/>
      <c r="Q56" s="131"/>
      <c r="R56" s="131"/>
      <c r="S56" s="131"/>
      <c r="T56" s="131"/>
      <c r="U56" s="131"/>
      <c r="V56" s="131"/>
      <c r="W56" s="131"/>
      <c r="X56" s="131"/>
      <c r="Y56" s="131"/>
      <c r="Z56" s="203"/>
    </row>
    <row r="57">
      <c r="A57" s="131"/>
      <c r="B57" s="131"/>
      <c r="C57" s="131"/>
      <c r="D57" s="131"/>
      <c r="E57" s="222"/>
      <c r="F57" s="132"/>
      <c r="G57" s="211"/>
      <c r="H57" s="131"/>
      <c r="I57" s="131"/>
      <c r="J57" s="131"/>
      <c r="K57" s="131"/>
      <c r="L57" s="131"/>
      <c r="M57" s="131"/>
      <c r="N57" s="131"/>
      <c r="O57" s="131"/>
      <c r="P57" s="131"/>
      <c r="Q57" s="131"/>
      <c r="R57" s="131"/>
      <c r="S57" s="131"/>
      <c r="T57" s="131"/>
      <c r="U57" s="131"/>
      <c r="V57" s="131"/>
      <c r="W57" s="131"/>
      <c r="X57" s="131"/>
      <c r="Y57" s="131"/>
      <c r="Z57" s="203"/>
    </row>
    <row r="58">
      <c r="A58" s="140" t="s">
        <v>519</v>
      </c>
      <c r="B58" s="131"/>
      <c r="C58" s="131"/>
      <c r="D58" s="131"/>
      <c r="E58" s="222"/>
      <c r="F58" s="132"/>
      <c r="G58" s="211"/>
      <c r="H58" s="131"/>
      <c r="I58" s="131"/>
      <c r="J58" s="131"/>
      <c r="K58" s="131"/>
      <c r="L58" s="131"/>
      <c r="M58" s="131"/>
      <c r="N58" s="131"/>
      <c r="O58" s="131"/>
      <c r="P58" s="131"/>
      <c r="Q58" s="131"/>
      <c r="R58" s="131"/>
      <c r="S58" s="131"/>
      <c r="T58" s="131"/>
      <c r="U58" s="131"/>
      <c r="V58" s="131"/>
      <c r="W58" s="131"/>
      <c r="X58" s="131"/>
      <c r="Y58" s="131"/>
      <c r="Z58" s="203"/>
    </row>
    <row r="59">
      <c r="A59" s="208" t="s">
        <v>520</v>
      </c>
      <c r="B59" s="208" t="s">
        <v>1</v>
      </c>
      <c r="C59" s="208" t="s">
        <v>521</v>
      </c>
      <c r="D59" s="208" t="s">
        <v>522</v>
      </c>
      <c r="E59" s="213" t="s">
        <v>469</v>
      </c>
      <c r="F59" s="214" t="s">
        <v>470</v>
      </c>
      <c r="G59" s="140" t="s">
        <v>471</v>
      </c>
      <c r="H59" s="131"/>
      <c r="I59" s="131"/>
      <c r="J59" s="131"/>
      <c r="K59" s="131"/>
      <c r="L59" s="131"/>
      <c r="M59" s="131"/>
      <c r="N59" s="131"/>
      <c r="O59" s="131"/>
      <c r="P59" s="131"/>
      <c r="Q59" s="131"/>
      <c r="R59" s="131"/>
      <c r="S59" s="131"/>
      <c r="T59" s="131"/>
      <c r="U59" s="131"/>
      <c r="V59" s="131"/>
      <c r="W59" s="131"/>
      <c r="X59" s="131"/>
      <c r="Y59" s="131"/>
      <c r="Z59" s="203"/>
    </row>
    <row r="60">
      <c r="A60" s="231" t="s">
        <v>7</v>
      </c>
      <c r="B60" s="190" t="s">
        <v>37</v>
      </c>
      <c r="C60" s="224">
        <v>976.0</v>
      </c>
      <c r="D60" s="224">
        <v>3.6987514</v>
      </c>
      <c r="E60" s="236">
        <f t="shared" ref="E60:E69" si="7">D60*60</f>
        <v>221.925084</v>
      </c>
      <c r="F60" s="132">
        <f t="shared" ref="F60:F70" si="8">E60/24/60</f>
        <v>0.1541146417</v>
      </c>
      <c r="G60" s="237" t="s">
        <v>523</v>
      </c>
      <c r="H60" s="131"/>
      <c r="I60" s="131"/>
      <c r="J60" s="131"/>
      <c r="K60" s="131"/>
      <c r="L60" s="131"/>
      <c r="M60" s="131"/>
      <c r="N60" s="131"/>
      <c r="O60" s="131"/>
      <c r="P60" s="131"/>
      <c r="Q60" s="131"/>
      <c r="R60" s="131"/>
      <c r="S60" s="131"/>
      <c r="T60" s="131"/>
      <c r="U60" s="131"/>
      <c r="V60" s="131"/>
      <c r="W60" s="131"/>
      <c r="X60" s="131"/>
      <c r="Y60" s="131"/>
      <c r="Z60" s="203"/>
    </row>
    <row r="61">
      <c r="A61" s="231" t="s">
        <v>67</v>
      </c>
      <c r="B61" s="190" t="s">
        <v>426</v>
      </c>
      <c r="C61" s="224">
        <v>587.0</v>
      </c>
      <c r="D61" s="224">
        <v>2.9016303</v>
      </c>
      <c r="E61" s="236">
        <f t="shared" si="7"/>
        <v>174.097818</v>
      </c>
      <c r="F61" s="132">
        <f t="shared" si="8"/>
        <v>0.1209012625</v>
      </c>
      <c r="G61" s="237" t="s">
        <v>524</v>
      </c>
      <c r="H61" s="131"/>
      <c r="I61" s="131"/>
      <c r="J61" s="131"/>
      <c r="K61" s="131"/>
      <c r="L61" s="131"/>
      <c r="M61" s="131"/>
      <c r="N61" s="131"/>
      <c r="O61" s="131"/>
      <c r="P61" s="131"/>
      <c r="Q61" s="131"/>
      <c r="R61" s="131"/>
      <c r="S61" s="131"/>
      <c r="T61" s="131"/>
      <c r="U61" s="131"/>
      <c r="V61" s="131"/>
      <c r="W61" s="131"/>
      <c r="X61" s="131"/>
      <c r="Y61" s="131"/>
      <c r="Z61" s="203"/>
    </row>
    <row r="62">
      <c r="A62" s="231" t="s">
        <v>7</v>
      </c>
      <c r="B62" s="190" t="s">
        <v>22</v>
      </c>
      <c r="C62" s="224">
        <v>536.0</v>
      </c>
      <c r="D62" s="224">
        <v>2.1210556</v>
      </c>
      <c r="E62" s="236">
        <f t="shared" si="7"/>
        <v>127.263336</v>
      </c>
      <c r="F62" s="132">
        <f t="shared" si="8"/>
        <v>0.08837731667</v>
      </c>
      <c r="G62" s="237" t="s">
        <v>525</v>
      </c>
      <c r="H62" s="131"/>
      <c r="I62" s="131"/>
      <c r="J62" s="131"/>
      <c r="K62" s="131"/>
      <c r="L62" s="131"/>
      <c r="M62" s="131"/>
      <c r="N62" s="131"/>
      <c r="O62" s="131"/>
      <c r="P62" s="131"/>
      <c r="Q62" s="131"/>
      <c r="R62" s="131"/>
      <c r="S62" s="131"/>
      <c r="T62" s="131"/>
      <c r="U62" s="131"/>
      <c r="V62" s="131"/>
      <c r="W62" s="131"/>
      <c r="X62" s="131"/>
      <c r="Y62" s="131"/>
      <c r="Z62" s="203"/>
    </row>
    <row r="63">
      <c r="A63" s="231" t="s">
        <v>7</v>
      </c>
      <c r="B63" s="190" t="s">
        <v>422</v>
      </c>
      <c r="C63" s="224">
        <v>349.0</v>
      </c>
      <c r="D63" s="224">
        <v>1.5878047</v>
      </c>
      <c r="E63" s="236">
        <f t="shared" si="7"/>
        <v>95.268282</v>
      </c>
      <c r="F63" s="132">
        <f t="shared" si="8"/>
        <v>0.06615852917</v>
      </c>
      <c r="G63" s="237" t="s">
        <v>526</v>
      </c>
      <c r="H63" s="131"/>
      <c r="I63" s="131"/>
      <c r="J63" s="131"/>
      <c r="K63" s="131"/>
      <c r="L63" s="131"/>
      <c r="M63" s="131"/>
      <c r="N63" s="131"/>
      <c r="O63" s="131"/>
      <c r="P63" s="131"/>
      <c r="Q63" s="131"/>
      <c r="R63" s="131"/>
      <c r="S63" s="131"/>
      <c r="T63" s="131"/>
      <c r="U63" s="131"/>
      <c r="V63" s="131"/>
      <c r="W63" s="131"/>
      <c r="X63" s="131"/>
      <c r="Y63" s="131"/>
      <c r="Z63" s="203"/>
    </row>
    <row r="64">
      <c r="A64" s="231" t="s">
        <v>54</v>
      </c>
      <c r="B64" s="190" t="s">
        <v>65</v>
      </c>
      <c r="C64" s="224">
        <v>370.0</v>
      </c>
      <c r="D64" s="224">
        <v>1.45194</v>
      </c>
      <c r="E64" s="236">
        <f t="shared" si="7"/>
        <v>87.1164</v>
      </c>
      <c r="F64" s="132">
        <f t="shared" si="8"/>
        <v>0.0604975</v>
      </c>
      <c r="G64" s="237" t="s">
        <v>527</v>
      </c>
      <c r="H64" s="131"/>
      <c r="I64" s="131"/>
      <c r="J64" s="131"/>
      <c r="K64" s="131"/>
      <c r="L64" s="131"/>
      <c r="M64" s="131"/>
      <c r="N64" s="131"/>
      <c r="O64" s="131"/>
      <c r="P64" s="131"/>
      <c r="Q64" s="131"/>
      <c r="R64" s="131"/>
      <c r="S64" s="131"/>
      <c r="T64" s="131"/>
      <c r="U64" s="131"/>
      <c r="V64" s="131"/>
      <c r="W64" s="131"/>
      <c r="X64" s="131"/>
      <c r="Y64" s="131"/>
      <c r="Z64" s="203"/>
    </row>
    <row r="65">
      <c r="A65" s="231" t="s">
        <v>474</v>
      </c>
      <c r="B65" s="190" t="s">
        <v>95</v>
      </c>
      <c r="C65" s="224">
        <v>260.0</v>
      </c>
      <c r="D65" s="224">
        <v>1.2588183</v>
      </c>
      <c r="E65" s="236">
        <f t="shared" si="7"/>
        <v>75.529098</v>
      </c>
      <c r="F65" s="132">
        <f t="shared" si="8"/>
        <v>0.0524507625</v>
      </c>
      <c r="G65" s="237" t="s">
        <v>528</v>
      </c>
      <c r="H65" s="131"/>
      <c r="I65" s="131"/>
      <c r="J65" s="131"/>
      <c r="K65" s="131"/>
      <c r="L65" s="131"/>
      <c r="M65" s="131"/>
      <c r="N65" s="131"/>
      <c r="O65" s="131"/>
      <c r="P65" s="131"/>
      <c r="Q65" s="131"/>
      <c r="R65" s="131"/>
      <c r="S65" s="131"/>
      <c r="T65" s="131"/>
      <c r="U65" s="131"/>
      <c r="V65" s="131"/>
      <c r="W65" s="131"/>
      <c r="X65" s="131"/>
      <c r="Y65" s="131"/>
      <c r="Z65" s="203"/>
    </row>
    <row r="66">
      <c r="A66" s="231" t="s">
        <v>429</v>
      </c>
      <c r="B66" s="190" t="s">
        <v>432</v>
      </c>
      <c r="C66" s="224">
        <v>304.0</v>
      </c>
      <c r="D66" s="224">
        <v>1.4414094</v>
      </c>
      <c r="E66" s="236">
        <f t="shared" si="7"/>
        <v>86.484564</v>
      </c>
      <c r="F66" s="132">
        <f t="shared" si="8"/>
        <v>0.060058725</v>
      </c>
      <c r="G66" s="237" t="s">
        <v>529</v>
      </c>
      <c r="H66" s="131"/>
      <c r="I66" s="131"/>
      <c r="J66" s="131"/>
      <c r="K66" s="131"/>
      <c r="L66" s="131"/>
      <c r="M66" s="131"/>
      <c r="N66" s="131"/>
      <c r="O66" s="131"/>
      <c r="P66" s="131"/>
      <c r="Q66" s="131"/>
      <c r="R66" s="131"/>
      <c r="S66" s="131"/>
      <c r="T66" s="131"/>
      <c r="U66" s="131"/>
      <c r="V66" s="131"/>
      <c r="W66" s="131"/>
      <c r="X66" s="131"/>
      <c r="Y66" s="131"/>
      <c r="Z66" s="203"/>
    </row>
    <row r="67">
      <c r="A67" s="231" t="s">
        <v>35</v>
      </c>
      <c r="B67" s="190" t="s">
        <v>82</v>
      </c>
      <c r="C67" s="224">
        <v>203.0</v>
      </c>
      <c r="D67" s="224">
        <v>0.9824742</v>
      </c>
      <c r="E67" s="236">
        <f t="shared" si="7"/>
        <v>58.948452</v>
      </c>
      <c r="F67" s="132">
        <f t="shared" si="8"/>
        <v>0.040936425</v>
      </c>
      <c r="G67" s="237" t="s">
        <v>530</v>
      </c>
      <c r="H67" s="131"/>
      <c r="I67" s="131"/>
      <c r="J67" s="131"/>
      <c r="K67" s="131"/>
      <c r="L67" s="131"/>
      <c r="M67" s="131"/>
      <c r="N67" s="131"/>
      <c r="O67" s="131"/>
      <c r="P67" s="131"/>
      <c r="Q67" s="131"/>
      <c r="R67" s="131"/>
      <c r="S67" s="131"/>
      <c r="T67" s="131"/>
      <c r="U67" s="131"/>
      <c r="V67" s="131"/>
      <c r="W67" s="131"/>
      <c r="X67" s="131"/>
      <c r="Y67" s="131"/>
      <c r="Z67" s="203"/>
    </row>
    <row r="68">
      <c r="A68" s="231" t="s">
        <v>474</v>
      </c>
      <c r="B68" s="190" t="s">
        <v>94</v>
      </c>
      <c r="C68" s="224">
        <v>222.0</v>
      </c>
      <c r="D68" s="224">
        <v>0.9534111</v>
      </c>
      <c r="E68" s="236">
        <f t="shared" si="7"/>
        <v>57.204666</v>
      </c>
      <c r="F68" s="132">
        <f t="shared" si="8"/>
        <v>0.0397254625</v>
      </c>
      <c r="G68" s="237" t="s">
        <v>531</v>
      </c>
      <c r="H68" s="131"/>
      <c r="I68" s="131"/>
      <c r="J68" s="131"/>
      <c r="K68" s="131"/>
      <c r="L68" s="131"/>
      <c r="M68" s="131"/>
      <c r="N68" s="131"/>
      <c r="O68" s="131"/>
      <c r="P68" s="131"/>
      <c r="Q68" s="131"/>
      <c r="R68" s="131"/>
      <c r="S68" s="131"/>
      <c r="T68" s="131"/>
      <c r="U68" s="131"/>
      <c r="V68" s="131"/>
      <c r="W68" s="131"/>
      <c r="X68" s="131"/>
      <c r="Y68" s="131"/>
      <c r="Z68" s="203"/>
    </row>
    <row r="69">
      <c r="A69" s="231" t="s">
        <v>54</v>
      </c>
      <c r="B69" s="190" t="s">
        <v>58</v>
      </c>
      <c r="C69" s="224">
        <v>226.0</v>
      </c>
      <c r="D69" s="224">
        <v>1.0803908</v>
      </c>
      <c r="E69" s="236">
        <f t="shared" si="7"/>
        <v>64.823448</v>
      </c>
      <c r="F69" s="132">
        <f t="shared" si="8"/>
        <v>0.04501628333</v>
      </c>
      <c r="G69" s="237" t="s">
        <v>532</v>
      </c>
      <c r="H69" s="131"/>
      <c r="I69" s="131"/>
      <c r="J69" s="131"/>
      <c r="K69" s="131"/>
      <c r="L69" s="131"/>
      <c r="M69" s="131"/>
      <c r="N69" s="131"/>
      <c r="O69" s="131"/>
      <c r="P69" s="131"/>
      <c r="Q69" s="131"/>
      <c r="R69" s="131"/>
      <c r="S69" s="131"/>
      <c r="T69" s="131"/>
      <c r="U69" s="131"/>
      <c r="V69" s="131"/>
      <c r="W69" s="131"/>
      <c r="X69" s="131"/>
      <c r="Y69" s="131"/>
      <c r="Z69" s="203"/>
    </row>
    <row r="70">
      <c r="A70" s="131"/>
      <c r="B70" s="131"/>
      <c r="C70" s="131"/>
      <c r="D70" s="212" t="s">
        <v>484</v>
      </c>
      <c r="E70" s="235">
        <f>sum(E60:E69)</f>
        <v>1048.661148</v>
      </c>
      <c r="F70" s="238">
        <f t="shared" si="8"/>
        <v>0.7282369083</v>
      </c>
      <c r="G70" s="211"/>
      <c r="H70" s="131"/>
      <c r="I70" s="131"/>
      <c r="J70" s="131"/>
      <c r="K70" s="131"/>
      <c r="L70" s="131"/>
      <c r="M70" s="131"/>
      <c r="N70" s="131"/>
      <c r="O70" s="131"/>
      <c r="P70" s="131"/>
      <c r="Q70" s="131"/>
      <c r="R70" s="131"/>
      <c r="S70" s="131"/>
      <c r="T70" s="131"/>
      <c r="U70" s="131"/>
      <c r="V70" s="131"/>
      <c r="W70" s="131"/>
      <c r="X70" s="131"/>
      <c r="Y70" s="131"/>
      <c r="Z70" s="203"/>
    </row>
    <row r="71">
      <c r="A71" s="131"/>
      <c r="B71" s="131"/>
      <c r="C71" s="131"/>
      <c r="D71" s="131"/>
      <c r="E71" s="222"/>
      <c r="F71" s="132"/>
      <c r="G71" s="211"/>
      <c r="H71" s="131"/>
      <c r="I71" s="131"/>
      <c r="J71" s="131"/>
      <c r="K71" s="131"/>
      <c r="L71" s="131"/>
      <c r="M71" s="131"/>
      <c r="N71" s="131"/>
      <c r="O71" s="131"/>
      <c r="P71" s="131"/>
      <c r="Q71" s="131"/>
      <c r="R71" s="131"/>
      <c r="S71" s="131"/>
      <c r="T71" s="131"/>
      <c r="U71" s="131"/>
      <c r="V71" s="131"/>
      <c r="W71" s="131"/>
      <c r="X71" s="131"/>
      <c r="Y71" s="131"/>
      <c r="Z71" s="203"/>
    </row>
    <row r="72">
      <c r="A72" s="239" t="s">
        <v>533</v>
      </c>
      <c r="B72" s="240"/>
      <c r="C72" s="241"/>
      <c r="D72" s="241"/>
      <c r="E72" s="242"/>
      <c r="F72" s="243"/>
      <c r="G72" s="244"/>
      <c r="H72" s="245"/>
      <c r="I72" s="245"/>
      <c r="J72" s="245"/>
      <c r="K72" s="245"/>
      <c r="L72" s="245"/>
      <c r="M72" s="245"/>
      <c r="N72" s="245"/>
      <c r="O72" s="245"/>
      <c r="P72" s="245"/>
      <c r="Q72" s="245"/>
      <c r="R72" s="245"/>
      <c r="S72" s="245"/>
      <c r="T72" s="245"/>
      <c r="U72" s="245"/>
      <c r="V72" s="245"/>
      <c r="W72" s="245"/>
      <c r="X72" s="245"/>
      <c r="Y72" s="245"/>
      <c r="Z72" s="245"/>
    </row>
    <row r="73">
      <c r="A73" s="246">
        <v>44895.0</v>
      </c>
      <c r="B73" s="247"/>
      <c r="C73" s="247"/>
      <c r="D73" s="247"/>
      <c r="E73" s="248"/>
      <c r="F73" s="249"/>
      <c r="G73" s="250"/>
      <c r="H73" s="251"/>
      <c r="I73" s="251"/>
      <c r="J73" s="251"/>
      <c r="K73" s="251"/>
      <c r="L73" s="251"/>
      <c r="M73" s="251"/>
      <c r="N73" s="251"/>
      <c r="O73" s="251"/>
      <c r="P73" s="251"/>
      <c r="Q73" s="251"/>
      <c r="R73" s="251"/>
      <c r="S73" s="251"/>
      <c r="T73" s="251"/>
      <c r="U73" s="251"/>
      <c r="V73" s="251"/>
      <c r="W73" s="251"/>
      <c r="X73" s="251"/>
      <c r="Y73" s="251"/>
      <c r="Z73" s="251"/>
    </row>
    <row r="74">
      <c r="A74" s="252" t="s">
        <v>0</v>
      </c>
      <c r="B74" s="252" t="s">
        <v>1</v>
      </c>
      <c r="C74" s="252" t="s">
        <v>522</v>
      </c>
      <c r="D74" s="252" t="s">
        <v>534</v>
      </c>
      <c r="E74" s="213" t="s">
        <v>469</v>
      </c>
      <c r="F74" s="214" t="s">
        <v>470</v>
      </c>
      <c r="G74" s="140" t="s">
        <v>471</v>
      </c>
      <c r="H74" s="253"/>
      <c r="I74" s="254"/>
      <c r="J74" s="254"/>
      <c r="K74" s="254"/>
      <c r="L74" s="254"/>
      <c r="M74" s="254"/>
      <c r="N74" s="254"/>
      <c r="O74" s="254"/>
      <c r="P74" s="254"/>
      <c r="Q74" s="254"/>
      <c r="R74" s="254"/>
      <c r="S74" s="254"/>
      <c r="T74" s="254"/>
      <c r="U74" s="254"/>
      <c r="V74" s="254"/>
      <c r="W74" s="254"/>
      <c r="X74" s="254"/>
      <c r="Y74" s="254"/>
      <c r="Z74" s="254"/>
    </row>
    <row r="75">
      <c r="A75" s="234" t="s">
        <v>7</v>
      </c>
      <c r="B75" s="234" t="s">
        <v>37</v>
      </c>
      <c r="C75" s="234">
        <v>0.7733906</v>
      </c>
      <c r="D75" s="234">
        <v>196.0</v>
      </c>
      <c r="E75" s="255">
        <v>46.0</v>
      </c>
      <c r="F75" s="132">
        <f t="shared" ref="F75:F116" si="9">E75/24/60</f>
        <v>0.03194444444</v>
      </c>
      <c r="G75" s="219" t="s">
        <v>535</v>
      </c>
      <c r="H75" s="256"/>
      <c r="I75" s="257"/>
      <c r="J75" s="257"/>
      <c r="K75" s="257"/>
      <c r="L75" s="257"/>
      <c r="M75" s="257"/>
      <c r="N75" s="254"/>
      <c r="O75" s="254"/>
      <c r="P75" s="254"/>
      <c r="Q75" s="254"/>
      <c r="R75" s="254"/>
      <c r="S75" s="254"/>
      <c r="T75" s="254"/>
      <c r="U75" s="254"/>
      <c r="V75" s="254"/>
      <c r="W75" s="254"/>
      <c r="X75" s="254"/>
      <c r="Y75" s="254"/>
      <c r="Z75" s="254"/>
    </row>
    <row r="76">
      <c r="A76" s="234" t="s">
        <v>7</v>
      </c>
      <c r="B76" s="234" t="s">
        <v>422</v>
      </c>
      <c r="C76" s="234">
        <v>0.3494528</v>
      </c>
      <c r="D76" s="234">
        <v>71.0</v>
      </c>
      <c r="E76" s="255">
        <v>21.0</v>
      </c>
      <c r="F76" s="132">
        <f t="shared" si="9"/>
        <v>0.01458333333</v>
      </c>
      <c r="G76" s="219" t="s">
        <v>536</v>
      </c>
      <c r="H76" s="258"/>
      <c r="I76" s="257"/>
      <c r="J76" s="257"/>
      <c r="K76" s="257"/>
      <c r="L76" s="257"/>
      <c r="M76" s="257"/>
      <c r="N76" s="257"/>
      <c r="O76" s="254"/>
      <c r="P76" s="254"/>
      <c r="Q76" s="254"/>
      <c r="R76" s="254"/>
      <c r="S76" s="254"/>
      <c r="T76" s="254"/>
      <c r="U76" s="254"/>
      <c r="V76" s="254"/>
      <c r="W76" s="254"/>
      <c r="X76" s="254"/>
      <c r="Y76" s="254"/>
      <c r="Z76" s="254"/>
    </row>
    <row r="77">
      <c r="A77" s="234" t="s">
        <v>7</v>
      </c>
      <c r="B77" s="234" t="s">
        <v>492</v>
      </c>
      <c r="C77" s="234">
        <v>0.0738186</v>
      </c>
      <c r="D77" s="234">
        <v>22.0</v>
      </c>
      <c r="E77" s="255">
        <v>4.0</v>
      </c>
      <c r="F77" s="132">
        <f t="shared" si="9"/>
        <v>0.002777777778</v>
      </c>
      <c r="G77" s="219" t="s">
        <v>537</v>
      </c>
      <c r="H77" s="256"/>
      <c r="I77" s="257"/>
      <c r="J77" s="257"/>
      <c r="K77" s="257"/>
      <c r="L77" s="257"/>
      <c r="M77" s="257"/>
      <c r="N77" s="254"/>
      <c r="O77" s="254"/>
      <c r="P77" s="254"/>
      <c r="Q77" s="254"/>
      <c r="R77" s="254"/>
      <c r="S77" s="254"/>
      <c r="T77" s="254"/>
      <c r="U77" s="254"/>
      <c r="V77" s="254"/>
      <c r="W77" s="254"/>
      <c r="X77" s="254"/>
      <c r="Y77" s="254"/>
      <c r="Z77" s="254"/>
    </row>
    <row r="78">
      <c r="A78" s="234" t="s">
        <v>7</v>
      </c>
      <c r="B78" s="234" t="s">
        <v>19</v>
      </c>
      <c r="C78" s="234">
        <v>1.0003947</v>
      </c>
      <c r="D78" s="234">
        <v>212.0</v>
      </c>
      <c r="E78" s="255">
        <v>60.0</v>
      </c>
      <c r="F78" s="132">
        <f t="shared" si="9"/>
        <v>0.04166666667</v>
      </c>
      <c r="G78" s="219" t="s">
        <v>538</v>
      </c>
      <c r="H78" s="256"/>
      <c r="I78" s="257"/>
      <c r="J78" s="257"/>
      <c r="K78" s="257"/>
      <c r="L78" s="257"/>
      <c r="M78" s="257"/>
      <c r="N78" s="254"/>
      <c r="O78" s="254"/>
      <c r="P78" s="254"/>
      <c r="Q78" s="254"/>
      <c r="R78" s="254"/>
      <c r="S78" s="254"/>
      <c r="T78" s="254"/>
      <c r="U78" s="254"/>
      <c r="V78" s="254"/>
      <c r="W78" s="254"/>
      <c r="X78" s="254"/>
      <c r="Y78" s="254"/>
      <c r="Z78" s="254"/>
    </row>
    <row r="79">
      <c r="A79" s="234" t="s">
        <v>7</v>
      </c>
      <c r="B79" s="234" t="s">
        <v>40</v>
      </c>
      <c r="C79" s="234">
        <v>0.2945886</v>
      </c>
      <c r="D79" s="234">
        <v>72.0</v>
      </c>
      <c r="E79" s="255">
        <v>18.0</v>
      </c>
      <c r="F79" s="132">
        <f t="shared" si="9"/>
        <v>0.0125</v>
      </c>
      <c r="G79" s="219" t="s">
        <v>539</v>
      </c>
      <c r="H79" s="256"/>
      <c r="I79" s="257"/>
      <c r="J79" s="257"/>
      <c r="K79" s="257"/>
      <c r="L79" s="257"/>
      <c r="M79" s="257"/>
      <c r="N79" s="254"/>
      <c r="O79" s="254"/>
      <c r="P79" s="254"/>
      <c r="Q79" s="254"/>
      <c r="R79" s="254"/>
      <c r="S79" s="254"/>
      <c r="T79" s="254"/>
      <c r="U79" s="254"/>
      <c r="V79" s="254"/>
      <c r="W79" s="254"/>
      <c r="X79" s="254"/>
      <c r="Y79" s="254"/>
      <c r="Z79" s="254"/>
    </row>
    <row r="80">
      <c r="A80" s="234" t="s">
        <v>7</v>
      </c>
      <c r="B80" s="234" t="s">
        <v>44</v>
      </c>
      <c r="C80" s="234">
        <v>0.1990525</v>
      </c>
      <c r="D80" s="234">
        <v>46.0</v>
      </c>
      <c r="E80" s="255">
        <v>12.0</v>
      </c>
      <c r="F80" s="132">
        <f t="shared" si="9"/>
        <v>0.008333333333</v>
      </c>
      <c r="G80" s="219" t="s">
        <v>540</v>
      </c>
      <c r="H80" s="256"/>
      <c r="I80" s="257"/>
      <c r="J80" s="257"/>
      <c r="K80" s="257"/>
      <c r="L80" s="257"/>
      <c r="M80" s="257"/>
      <c r="N80" s="254"/>
      <c r="O80" s="254"/>
      <c r="P80" s="254"/>
      <c r="Q80" s="254"/>
      <c r="R80" s="254"/>
      <c r="S80" s="254"/>
      <c r="T80" s="254"/>
      <c r="U80" s="254"/>
      <c r="V80" s="254"/>
      <c r="W80" s="254"/>
      <c r="X80" s="254"/>
      <c r="Y80" s="254"/>
      <c r="Z80" s="254"/>
    </row>
    <row r="81">
      <c r="A81" s="234" t="s">
        <v>7</v>
      </c>
      <c r="B81" s="234" t="s">
        <v>31</v>
      </c>
      <c r="C81" s="234">
        <v>0.2300767</v>
      </c>
      <c r="D81" s="234">
        <v>65.0</v>
      </c>
      <c r="E81" s="255">
        <v>14.0</v>
      </c>
      <c r="F81" s="132">
        <f t="shared" si="9"/>
        <v>0.009722222222</v>
      </c>
      <c r="G81" s="219" t="s">
        <v>541</v>
      </c>
      <c r="H81" s="256"/>
      <c r="I81" s="257"/>
      <c r="J81" s="257"/>
      <c r="K81" s="257"/>
      <c r="L81" s="257"/>
      <c r="M81" s="257"/>
      <c r="N81" s="254"/>
      <c r="O81" s="254"/>
      <c r="P81" s="254"/>
      <c r="Q81" s="254"/>
      <c r="R81" s="254"/>
      <c r="S81" s="254"/>
      <c r="T81" s="254"/>
      <c r="U81" s="254"/>
      <c r="V81" s="254"/>
      <c r="W81" s="254"/>
      <c r="X81" s="254"/>
      <c r="Y81" s="254"/>
      <c r="Z81" s="254"/>
    </row>
    <row r="82">
      <c r="A82" s="234" t="s">
        <v>7</v>
      </c>
      <c r="B82" s="234" t="s">
        <v>43</v>
      </c>
      <c r="C82" s="234">
        <v>0.4003683</v>
      </c>
      <c r="D82" s="234">
        <v>79.0</v>
      </c>
      <c r="E82" s="255">
        <v>24.0</v>
      </c>
      <c r="F82" s="132">
        <f t="shared" si="9"/>
        <v>0.01666666667</v>
      </c>
      <c r="G82" s="219" t="s">
        <v>542</v>
      </c>
      <c r="H82" s="256"/>
      <c r="I82" s="257"/>
      <c r="J82" s="257"/>
      <c r="K82" s="257"/>
      <c r="L82" s="257"/>
      <c r="M82" s="257"/>
      <c r="N82" s="254"/>
      <c r="O82" s="254"/>
      <c r="P82" s="254"/>
      <c r="Q82" s="254"/>
      <c r="R82" s="254"/>
      <c r="S82" s="254"/>
      <c r="T82" s="254"/>
      <c r="U82" s="254"/>
      <c r="V82" s="254"/>
      <c r="W82" s="254"/>
      <c r="X82" s="254"/>
      <c r="Y82" s="254"/>
      <c r="Z82" s="254"/>
    </row>
    <row r="83">
      <c r="A83" s="234" t="s">
        <v>7</v>
      </c>
      <c r="B83" s="234" t="s">
        <v>22</v>
      </c>
      <c r="C83" s="234">
        <v>0.1447353</v>
      </c>
      <c r="D83" s="234">
        <v>36.0</v>
      </c>
      <c r="E83" s="255">
        <v>9.0</v>
      </c>
      <c r="F83" s="132">
        <f t="shared" si="9"/>
        <v>0.00625</v>
      </c>
      <c r="G83" s="219" t="s">
        <v>543</v>
      </c>
      <c r="H83" s="256"/>
      <c r="I83" s="257"/>
      <c r="J83" s="257"/>
      <c r="K83" s="257"/>
      <c r="L83" s="257"/>
      <c r="M83" s="257"/>
      <c r="N83" s="257"/>
      <c r="O83" s="254"/>
      <c r="P83" s="254"/>
      <c r="Q83" s="254"/>
      <c r="R83" s="254"/>
      <c r="S83" s="254"/>
      <c r="T83" s="254"/>
      <c r="U83" s="254"/>
      <c r="V83" s="254"/>
      <c r="W83" s="254"/>
      <c r="X83" s="254"/>
      <c r="Y83" s="254"/>
      <c r="Z83" s="254"/>
    </row>
    <row r="84">
      <c r="A84" s="234" t="s">
        <v>7</v>
      </c>
      <c r="B84" s="234" t="s">
        <v>8</v>
      </c>
      <c r="C84" s="234">
        <v>0.8281075</v>
      </c>
      <c r="D84" s="234">
        <v>199.0</v>
      </c>
      <c r="E84" s="255">
        <v>50.0</v>
      </c>
      <c r="F84" s="132">
        <f t="shared" si="9"/>
        <v>0.03472222222</v>
      </c>
      <c r="G84" s="219" t="s">
        <v>544</v>
      </c>
      <c r="H84" s="256"/>
      <c r="I84" s="257"/>
      <c r="J84" s="257"/>
      <c r="K84" s="257"/>
      <c r="L84" s="257"/>
      <c r="M84" s="257"/>
      <c r="N84" s="257"/>
      <c r="O84" s="254"/>
      <c r="P84" s="254"/>
      <c r="Q84" s="254"/>
      <c r="R84" s="254"/>
      <c r="S84" s="254"/>
      <c r="T84" s="254"/>
      <c r="U84" s="254"/>
      <c r="V84" s="254"/>
      <c r="W84" s="254"/>
      <c r="X84" s="254"/>
      <c r="Y84" s="254"/>
      <c r="Z84" s="254"/>
    </row>
    <row r="85">
      <c r="A85" s="234" t="s">
        <v>7</v>
      </c>
      <c r="B85" s="234" t="s">
        <v>20</v>
      </c>
      <c r="C85" s="234">
        <v>0.456695</v>
      </c>
      <c r="D85" s="234">
        <v>102.0</v>
      </c>
      <c r="E85" s="255">
        <v>27.0</v>
      </c>
      <c r="F85" s="132">
        <f t="shared" si="9"/>
        <v>0.01875</v>
      </c>
      <c r="G85" s="219" t="s">
        <v>545</v>
      </c>
      <c r="H85" s="256"/>
      <c r="I85" s="257"/>
      <c r="J85" s="257"/>
      <c r="K85" s="257"/>
      <c r="L85" s="257"/>
      <c r="M85" s="257"/>
      <c r="N85" s="257"/>
      <c r="O85" s="254"/>
      <c r="P85" s="254"/>
      <c r="Q85" s="254"/>
      <c r="R85" s="254"/>
      <c r="S85" s="254"/>
      <c r="T85" s="254"/>
      <c r="U85" s="254"/>
      <c r="V85" s="254"/>
      <c r="W85" s="254"/>
      <c r="X85" s="254"/>
      <c r="Y85" s="254"/>
      <c r="Z85" s="254"/>
    </row>
    <row r="86">
      <c r="A86" s="234" t="s">
        <v>7</v>
      </c>
      <c r="B86" s="234" t="s">
        <v>30</v>
      </c>
      <c r="C86" s="234">
        <v>0.4759661</v>
      </c>
      <c r="D86" s="234">
        <v>127.0</v>
      </c>
      <c r="E86" s="255">
        <v>29.0</v>
      </c>
      <c r="F86" s="132">
        <f t="shared" si="9"/>
        <v>0.02013888889</v>
      </c>
      <c r="G86" s="219" t="s">
        <v>546</v>
      </c>
      <c r="H86" s="256"/>
      <c r="I86" s="257"/>
      <c r="J86" s="257"/>
      <c r="K86" s="257"/>
      <c r="L86" s="257"/>
      <c r="M86" s="257"/>
      <c r="N86" s="254"/>
      <c r="O86" s="254"/>
      <c r="P86" s="254"/>
      <c r="Q86" s="254"/>
      <c r="R86" s="254"/>
      <c r="S86" s="254"/>
      <c r="T86" s="254"/>
      <c r="U86" s="254"/>
      <c r="V86" s="254"/>
      <c r="W86" s="254"/>
      <c r="X86" s="254"/>
      <c r="Y86" s="254"/>
      <c r="Z86" s="254"/>
    </row>
    <row r="87">
      <c r="A87" s="234" t="s">
        <v>54</v>
      </c>
      <c r="B87" s="234" t="s">
        <v>55</v>
      </c>
      <c r="C87" s="234">
        <v>0.3814608</v>
      </c>
      <c r="D87" s="234">
        <v>104.0</v>
      </c>
      <c r="E87" s="255">
        <v>23.0</v>
      </c>
      <c r="F87" s="132">
        <f t="shared" si="9"/>
        <v>0.01597222222</v>
      </c>
      <c r="G87" s="219" t="s">
        <v>547</v>
      </c>
      <c r="H87" s="256"/>
      <c r="I87" s="257"/>
      <c r="J87" s="257"/>
      <c r="K87" s="257"/>
      <c r="L87" s="257"/>
      <c r="M87" s="257"/>
      <c r="N87" s="257"/>
      <c r="O87" s="254"/>
      <c r="P87" s="254"/>
      <c r="Q87" s="254"/>
      <c r="R87" s="254"/>
      <c r="S87" s="254"/>
      <c r="T87" s="254"/>
      <c r="U87" s="254"/>
      <c r="V87" s="254"/>
      <c r="W87" s="254"/>
      <c r="X87" s="254"/>
      <c r="Y87" s="254"/>
      <c r="Z87" s="254"/>
    </row>
    <row r="88">
      <c r="A88" s="234" t="s">
        <v>54</v>
      </c>
      <c r="B88" s="234" t="s">
        <v>58</v>
      </c>
      <c r="C88" s="234">
        <v>0.5640969</v>
      </c>
      <c r="D88" s="234">
        <v>114.0</v>
      </c>
      <c r="E88" s="255">
        <v>34.0</v>
      </c>
      <c r="F88" s="132">
        <f t="shared" si="9"/>
        <v>0.02361111111</v>
      </c>
      <c r="G88" s="219" t="s">
        <v>548</v>
      </c>
      <c r="H88" s="256"/>
      <c r="I88" s="257"/>
      <c r="J88" s="257"/>
      <c r="K88" s="257"/>
      <c r="L88" s="257"/>
      <c r="M88" s="257"/>
      <c r="N88" s="254"/>
      <c r="O88" s="254"/>
      <c r="P88" s="254"/>
      <c r="Q88" s="254"/>
      <c r="R88" s="254"/>
      <c r="S88" s="254"/>
      <c r="T88" s="254"/>
      <c r="U88" s="254"/>
      <c r="V88" s="254"/>
      <c r="W88" s="254"/>
      <c r="X88" s="254"/>
      <c r="Y88" s="254"/>
      <c r="Z88" s="254"/>
    </row>
    <row r="89">
      <c r="A89" s="234" t="s">
        <v>54</v>
      </c>
      <c r="B89" s="234" t="s">
        <v>63</v>
      </c>
      <c r="C89" s="234">
        <v>0.8158064</v>
      </c>
      <c r="D89" s="234">
        <v>178.0</v>
      </c>
      <c r="E89" s="255">
        <v>49.0</v>
      </c>
      <c r="F89" s="132">
        <f t="shared" si="9"/>
        <v>0.03402777778</v>
      </c>
      <c r="G89" s="219" t="s">
        <v>549</v>
      </c>
      <c r="H89" s="256"/>
      <c r="I89" s="257"/>
      <c r="J89" s="257"/>
      <c r="K89" s="257"/>
      <c r="L89" s="257"/>
      <c r="M89" s="257"/>
      <c r="N89" s="254"/>
      <c r="O89" s="254"/>
      <c r="P89" s="254"/>
      <c r="Q89" s="254"/>
      <c r="R89" s="254"/>
      <c r="S89" s="254"/>
      <c r="T89" s="254"/>
      <c r="U89" s="254"/>
      <c r="V89" s="254"/>
      <c r="W89" s="254"/>
      <c r="X89" s="254"/>
      <c r="Y89" s="254"/>
      <c r="Z89" s="254"/>
    </row>
    <row r="90">
      <c r="A90" s="234" t="s">
        <v>54</v>
      </c>
      <c r="B90" s="234" t="s">
        <v>64</v>
      </c>
      <c r="C90" s="234">
        <v>0.7571414</v>
      </c>
      <c r="D90" s="234">
        <v>176.0</v>
      </c>
      <c r="E90" s="255">
        <v>45.0</v>
      </c>
      <c r="F90" s="132">
        <f t="shared" si="9"/>
        <v>0.03125</v>
      </c>
      <c r="G90" s="219" t="s">
        <v>550</v>
      </c>
      <c r="H90" s="256"/>
      <c r="I90" s="257"/>
      <c r="J90" s="257"/>
      <c r="K90" s="257"/>
      <c r="L90" s="257"/>
      <c r="M90" s="257"/>
      <c r="N90" s="257"/>
      <c r="O90" s="254"/>
      <c r="P90" s="254"/>
      <c r="Q90" s="254"/>
      <c r="R90" s="254"/>
      <c r="S90" s="254"/>
      <c r="T90" s="254"/>
      <c r="U90" s="254"/>
      <c r="V90" s="254"/>
      <c r="W90" s="254"/>
      <c r="X90" s="254"/>
      <c r="Y90" s="254"/>
      <c r="Z90" s="254"/>
    </row>
    <row r="91">
      <c r="A91" s="234" t="s">
        <v>54</v>
      </c>
      <c r="B91" s="234" t="s">
        <v>65</v>
      </c>
      <c r="C91" s="234">
        <v>0.249535</v>
      </c>
      <c r="D91" s="234">
        <v>62.0</v>
      </c>
      <c r="E91" s="255">
        <v>15.0</v>
      </c>
      <c r="F91" s="132">
        <f t="shared" si="9"/>
        <v>0.01041666667</v>
      </c>
      <c r="G91" s="219" t="s">
        <v>551</v>
      </c>
      <c r="H91" s="256"/>
      <c r="I91" s="257"/>
      <c r="J91" s="257"/>
      <c r="K91" s="257"/>
      <c r="L91" s="257"/>
      <c r="M91" s="257"/>
      <c r="N91" s="257"/>
      <c r="O91" s="254"/>
      <c r="P91" s="254"/>
      <c r="Q91" s="254"/>
      <c r="R91" s="254"/>
      <c r="S91" s="254"/>
      <c r="T91" s="254"/>
      <c r="U91" s="254"/>
      <c r="V91" s="254"/>
      <c r="W91" s="254"/>
      <c r="X91" s="254"/>
      <c r="Y91" s="254"/>
      <c r="Z91" s="254"/>
    </row>
    <row r="92">
      <c r="A92" s="234" t="s">
        <v>69</v>
      </c>
      <c r="B92" s="234" t="s">
        <v>70</v>
      </c>
      <c r="C92" s="234">
        <v>0.0323675</v>
      </c>
      <c r="D92" s="234">
        <v>8.0</v>
      </c>
      <c r="E92" s="255">
        <v>2.0</v>
      </c>
      <c r="F92" s="132">
        <f t="shared" si="9"/>
        <v>0.001388888889</v>
      </c>
      <c r="G92" s="219" t="s">
        <v>552</v>
      </c>
      <c r="H92" s="256"/>
      <c r="I92" s="257"/>
      <c r="J92" s="257"/>
      <c r="K92" s="257"/>
      <c r="L92" s="257"/>
      <c r="M92" s="257"/>
      <c r="N92" s="254"/>
      <c r="O92" s="254"/>
      <c r="P92" s="254"/>
      <c r="Q92" s="254"/>
      <c r="R92" s="254"/>
      <c r="S92" s="254"/>
      <c r="T92" s="254"/>
      <c r="U92" s="254"/>
      <c r="V92" s="254"/>
      <c r="W92" s="254"/>
      <c r="X92" s="254"/>
      <c r="Y92" s="254"/>
      <c r="Z92" s="254"/>
    </row>
    <row r="93">
      <c r="A93" s="234" t="s">
        <v>35</v>
      </c>
      <c r="B93" s="234" t="s">
        <v>75</v>
      </c>
      <c r="C93" s="234">
        <v>0.217065</v>
      </c>
      <c r="D93" s="234">
        <v>56.0</v>
      </c>
      <c r="E93" s="255">
        <v>13.0</v>
      </c>
      <c r="F93" s="132">
        <f t="shared" si="9"/>
        <v>0.009027777778</v>
      </c>
      <c r="G93" s="219" t="s">
        <v>553</v>
      </c>
      <c r="H93" s="256"/>
      <c r="I93" s="257"/>
      <c r="J93" s="257"/>
      <c r="K93" s="257"/>
      <c r="L93" s="257"/>
      <c r="M93" s="257"/>
      <c r="N93" s="254"/>
      <c r="O93" s="254"/>
      <c r="P93" s="254"/>
      <c r="Q93" s="254"/>
      <c r="R93" s="254"/>
      <c r="S93" s="254"/>
      <c r="T93" s="254"/>
      <c r="U93" s="254"/>
      <c r="V93" s="254"/>
      <c r="W93" s="254"/>
      <c r="X93" s="254"/>
      <c r="Y93" s="254"/>
      <c r="Z93" s="254"/>
    </row>
    <row r="94">
      <c r="A94" s="234" t="s">
        <v>35</v>
      </c>
      <c r="B94" s="234" t="s">
        <v>42</v>
      </c>
      <c r="C94" s="234">
        <v>1.0967997</v>
      </c>
      <c r="D94" s="234">
        <v>245.0</v>
      </c>
      <c r="E94" s="255">
        <v>66.0</v>
      </c>
      <c r="F94" s="132">
        <f t="shared" si="9"/>
        <v>0.04583333333</v>
      </c>
      <c r="G94" s="219" t="s">
        <v>554</v>
      </c>
      <c r="H94" s="256"/>
      <c r="I94" s="257"/>
      <c r="J94" s="257"/>
      <c r="K94" s="257"/>
      <c r="L94" s="257"/>
      <c r="M94" s="257"/>
      <c r="N94" s="254"/>
      <c r="O94" s="254"/>
      <c r="P94" s="254"/>
      <c r="Q94" s="254"/>
      <c r="R94" s="254"/>
      <c r="S94" s="254"/>
      <c r="T94" s="254"/>
      <c r="U94" s="254"/>
      <c r="V94" s="254"/>
      <c r="W94" s="254"/>
      <c r="X94" s="254"/>
      <c r="Y94" s="254"/>
      <c r="Z94" s="254"/>
    </row>
    <row r="95">
      <c r="A95" s="234" t="s">
        <v>35</v>
      </c>
      <c r="B95" s="234" t="s">
        <v>82</v>
      </c>
      <c r="C95" s="234">
        <v>0.1395128</v>
      </c>
      <c r="D95" s="234">
        <v>30.0</v>
      </c>
      <c r="E95" s="255">
        <v>8.0</v>
      </c>
      <c r="F95" s="132">
        <f t="shared" si="9"/>
        <v>0.005555555556</v>
      </c>
      <c r="G95" s="219" t="s">
        <v>555</v>
      </c>
      <c r="H95" s="256"/>
      <c r="I95" s="257"/>
      <c r="J95" s="257"/>
      <c r="K95" s="257"/>
      <c r="L95" s="257"/>
      <c r="M95" s="257"/>
      <c r="N95" s="257"/>
      <c r="O95" s="254"/>
      <c r="P95" s="254"/>
      <c r="Q95" s="254"/>
      <c r="R95" s="254"/>
      <c r="S95" s="254"/>
      <c r="T95" s="254"/>
      <c r="U95" s="254"/>
      <c r="V95" s="254"/>
      <c r="W95" s="254"/>
      <c r="X95" s="254"/>
      <c r="Y95" s="254"/>
      <c r="Z95" s="254"/>
    </row>
    <row r="96">
      <c r="A96" s="234" t="s">
        <v>35</v>
      </c>
      <c r="B96" s="234" t="s">
        <v>36</v>
      </c>
      <c r="C96" s="234">
        <v>0.9059308</v>
      </c>
      <c r="D96" s="234">
        <v>180.0</v>
      </c>
      <c r="E96" s="255">
        <v>54.0</v>
      </c>
      <c r="F96" s="132">
        <f t="shared" si="9"/>
        <v>0.0375</v>
      </c>
      <c r="G96" s="219" t="s">
        <v>556</v>
      </c>
      <c r="H96" s="256"/>
      <c r="I96" s="257"/>
      <c r="J96" s="257"/>
      <c r="K96" s="257"/>
      <c r="L96" s="257"/>
      <c r="M96" s="257"/>
      <c r="N96" s="257"/>
      <c r="O96" s="254"/>
      <c r="P96" s="254"/>
      <c r="Q96" s="254"/>
      <c r="R96" s="254"/>
      <c r="S96" s="254"/>
      <c r="T96" s="254"/>
      <c r="U96" s="254"/>
      <c r="V96" s="254"/>
      <c r="W96" s="254"/>
      <c r="X96" s="254"/>
      <c r="Y96" s="254"/>
      <c r="Z96" s="254"/>
    </row>
    <row r="97">
      <c r="A97" s="234" t="s">
        <v>17</v>
      </c>
      <c r="B97" s="234" t="s">
        <v>84</v>
      </c>
      <c r="C97" s="234">
        <v>0.5961192</v>
      </c>
      <c r="D97" s="234">
        <v>127.0</v>
      </c>
      <c r="E97" s="255">
        <v>36.0</v>
      </c>
      <c r="F97" s="132">
        <f t="shared" si="9"/>
        <v>0.025</v>
      </c>
      <c r="G97" s="219" t="s">
        <v>557</v>
      </c>
      <c r="H97" s="256"/>
      <c r="I97" s="257"/>
      <c r="J97" s="257"/>
      <c r="K97" s="257"/>
      <c r="L97" s="257"/>
      <c r="M97" s="257"/>
      <c r="N97" s="257"/>
      <c r="O97" s="254"/>
      <c r="P97" s="254"/>
      <c r="Q97" s="254"/>
      <c r="R97" s="254"/>
      <c r="S97" s="254"/>
      <c r="T97" s="254"/>
      <c r="U97" s="254"/>
      <c r="V97" s="254"/>
      <c r="W97" s="254"/>
      <c r="X97" s="254"/>
      <c r="Y97" s="254"/>
      <c r="Z97" s="254"/>
    </row>
    <row r="98">
      <c r="A98" s="234" t="s">
        <v>17</v>
      </c>
      <c r="B98" s="234" t="s">
        <v>85</v>
      </c>
      <c r="C98" s="234">
        <v>0.2248675</v>
      </c>
      <c r="D98" s="234">
        <v>66.0</v>
      </c>
      <c r="E98" s="255">
        <v>13.0</v>
      </c>
      <c r="F98" s="132">
        <f t="shared" si="9"/>
        <v>0.009027777778</v>
      </c>
      <c r="G98" s="219" t="s">
        <v>558</v>
      </c>
      <c r="H98" s="256"/>
      <c r="I98" s="257"/>
      <c r="J98" s="257"/>
      <c r="K98" s="257"/>
      <c r="L98" s="257"/>
      <c r="M98" s="257"/>
      <c r="N98" s="257"/>
      <c r="O98" s="254"/>
      <c r="P98" s="254"/>
      <c r="Q98" s="254"/>
      <c r="R98" s="254"/>
      <c r="S98" s="254"/>
      <c r="T98" s="254"/>
      <c r="U98" s="254"/>
      <c r="V98" s="254"/>
      <c r="W98" s="254"/>
      <c r="X98" s="254"/>
      <c r="Y98" s="254"/>
      <c r="Z98" s="254"/>
    </row>
    <row r="99">
      <c r="A99" s="234" t="s">
        <v>17</v>
      </c>
      <c r="B99" s="234" t="s">
        <v>23</v>
      </c>
      <c r="C99" s="234">
        <v>0.0759833</v>
      </c>
      <c r="D99" s="234">
        <v>18.0</v>
      </c>
      <c r="E99" s="255">
        <v>5.0</v>
      </c>
      <c r="F99" s="132">
        <f t="shared" si="9"/>
        <v>0.003472222222</v>
      </c>
      <c r="G99" s="219" t="s">
        <v>559</v>
      </c>
      <c r="H99" s="256"/>
      <c r="I99" s="257"/>
      <c r="J99" s="257"/>
      <c r="K99" s="257"/>
      <c r="L99" s="257"/>
      <c r="M99" s="257"/>
      <c r="N99" s="257"/>
      <c r="O99" s="254"/>
      <c r="P99" s="254"/>
      <c r="Q99" s="254"/>
      <c r="R99" s="254"/>
      <c r="S99" s="254"/>
      <c r="T99" s="254"/>
      <c r="U99" s="254"/>
      <c r="V99" s="254"/>
      <c r="W99" s="254"/>
      <c r="X99" s="254"/>
      <c r="Y99" s="254"/>
      <c r="Z99" s="254"/>
    </row>
    <row r="100">
      <c r="A100" s="234" t="s">
        <v>88</v>
      </c>
      <c r="B100" s="234" t="s">
        <v>89</v>
      </c>
      <c r="C100" s="234">
        <v>3.6802619</v>
      </c>
      <c r="D100" s="234">
        <v>748.0</v>
      </c>
      <c r="E100" s="255">
        <v>221.0</v>
      </c>
      <c r="F100" s="132">
        <f t="shared" si="9"/>
        <v>0.1534722222</v>
      </c>
      <c r="G100" s="219" t="s">
        <v>560</v>
      </c>
      <c r="H100" s="256"/>
      <c r="I100" s="257"/>
      <c r="J100" s="257"/>
      <c r="K100" s="257"/>
      <c r="L100" s="257"/>
      <c r="M100" s="257"/>
      <c r="N100" s="257"/>
      <c r="O100" s="254"/>
      <c r="P100" s="254"/>
      <c r="Q100" s="254"/>
      <c r="R100" s="254"/>
      <c r="S100" s="254"/>
      <c r="T100" s="254"/>
      <c r="U100" s="254"/>
      <c r="V100" s="254"/>
      <c r="W100" s="254"/>
      <c r="X100" s="254"/>
      <c r="Y100" s="254"/>
      <c r="Z100" s="254"/>
    </row>
    <row r="101">
      <c r="A101" s="234" t="s">
        <v>88</v>
      </c>
      <c r="B101" s="234" t="s">
        <v>90</v>
      </c>
      <c r="C101" s="234">
        <v>2.4363092</v>
      </c>
      <c r="D101" s="234">
        <v>524.0</v>
      </c>
      <c r="E101" s="255">
        <v>146.0</v>
      </c>
      <c r="F101" s="132">
        <f t="shared" si="9"/>
        <v>0.1013888889</v>
      </c>
      <c r="G101" s="219" t="s">
        <v>561</v>
      </c>
      <c r="H101" s="256"/>
      <c r="I101" s="257"/>
      <c r="J101" s="257"/>
      <c r="K101" s="257"/>
      <c r="L101" s="257"/>
      <c r="M101" s="257"/>
      <c r="N101" s="254"/>
      <c r="O101" s="254"/>
      <c r="P101" s="254"/>
      <c r="Q101" s="254"/>
      <c r="R101" s="254"/>
      <c r="S101" s="254"/>
      <c r="T101" s="254"/>
      <c r="U101" s="254"/>
      <c r="V101" s="254"/>
      <c r="W101" s="254"/>
      <c r="X101" s="254"/>
      <c r="Y101" s="254"/>
      <c r="Z101" s="254"/>
    </row>
    <row r="102">
      <c r="A102" s="234" t="s">
        <v>474</v>
      </c>
      <c r="B102" s="234" t="s">
        <v>94</v>
      </c>
      <c r="C102" s="234">
        <v>0.1436844</v>
      </c>
      <c r="D102" s="234">
        <v>28.0</v>
      </c>
      <c r="E102" s="255">
        <v>9.0</v>
      </c>
      <c r="F102" s="132">
        <f t="shared" si="9"/>
        <v>0.00625</v>
      </c>
      <c r="G102" s="219" t="s">
        <v>562</v>
      </c>
      <c r="H102" s="256"/>
      <c r="I102" s="257"/>
      <c r="J102" s="257"/>
      <c r="K102" s="257"/>
      <c r="L102" s="257"/>
      <c r="M102" s="257"/>
      <c r="N102" s="257"/>
      <c r="O102" s="254"/>
      <c r="P102" s="254"/>
      <c r="Q102" s="254"/>
      <c r="R102" s="254"/>
      <c r="S102" s="254"/>
      <c r="T102" s="254"/>
      <c r="U102" s="254"/>
      <c r="V102" s="254"/>
      <c r="W102" s="254"/>
      <c r="X102" s="254"/>
      <c r="Y102" s="254"/>
      <c r="Z102" s="254"/>
    </row>
    <row r="103">
      <c r="A103" s="234" t="s">
        <v>474</v>
      </c>
      <c r="B103" s="234" t="s">
        <v>95</v>
      </c>
      <c r="C103" s="234">
        <v>0.4866178</v>
      </c>
      <c r="D103" s="234">
        <v>93.0</v>
      </c>
      <c r="E103" s="255">
        <v>29.0</v>
      </c>
      <c r="F103" s="132">
        <f t="shared" si="9"/>
        <v>0.02013888889</v>
      </c>
      <c r="G103" s="219" t="s">
        <v>563</v>
      </c>
      <c r="H103" s="254"/>
      <c r="I103" s="254"/>
      <c r="J103" s="254"/>
      <c r="K103" s="254"/>
      <c r="L103" s="254"/>
      <c r="M103" s="254"/>
      <c r="N103" s="254"/>
      <c r="O103" s="254"/>
      <c r="P103" s="254"/>
      <c r="Q103" s="254"/>
      <c r="R103" s="254"/>
      <c r="S103" s="254"/>
      <c r="T103" s="254"/>
      <c r="U103" s="254"/>
      <c r="V103" s="254"/>
      <c r="W103" s="254"/>
      <c r="X103" s="254"/>
      <c r="Y103" s="254"/>
      <c r="Z103" s="254"/>
    </row>
    <row r="104">
      <c r="A104" s="234" t="s">
        <v>474</v>
      </c>
      <c r="B104" s="234" t="s">
        <v>96</v>
      </c>
      <c r="C104" s="234">
        <v>0.1362292</v>
      </c>
      <c r="D104" s="234">
        <v>33.0</v>
      </c>
      <c r="E104" s="255">
        <v>8.0</v>
      </c>
      <c r="F104" s="132">
        <f t="shared" si="9"/>
        <v>0.005555555556</v>
      </c>
      <c r="G104" s="219" t="s">
        <v>564</v>
      </c>
      <c r="H104" s="245"/>
      <c r="I104" s="245"/>
      <c r="J104" s="245"/>
      <c r="K104" s="245"/>
      <c r="L104" s="245"/>
      <c r="M104" s="245"/>
      <c r="N104" s="245"/>
      <c r="O104" s="245"/>
      <c r="P104" s="245"/>
      <c r="Q104" s="245"/>
      <c r="R104" s="245"/>
      <c r="S104" s="245"/>
      <c r="T104" s="245"/>
      <c r="U104" s="245"/>
      <c r="V104" s="245"/>
      <c r="W104" s="245"/>
      <c r="X104" s="245"/>
      <c r="Y104" s="245"/>
      <c r="Z104" s="245"/>
    </row>
    <row r="105">
      <c r="A105" s="234" t="s">
        <v>474</v>
      </c>
      <c r="B105" s="234" t="s">
        <v>92</v>
      </c>
      <c r="C105" s="234">
        <v>0.2410017</v>
      </c>
      <c r="D105" s="234">
        <v>61.0</v>
      </c>
      <c r="E105" s="255">
        <v>14.0</v>
      </c>
      <c r="F105" s="132">
        <f t="shared" si="9"/>
        <v>0.009722222222</v>
      </c>
      <c r="G105" s="219" t="s">
        <v>565</v>
      </c>
      <c r="H105" s="245"/>
      <c r="I105" s="245"/>
      <c r="J105" s="245"/>
      <c r="K105" s="245"/>
      <c r="L105" s="245"/>
      <c r="M105" s="245"/>
      <c r="N105" s="245"/>
      <c r="O105" s="245"/>
      <c r="P105" s="245"/>
      <c r="Q105" s="245"/>
      <c r="R105" s="245"/>
      <c r="S105" s="245"/>
      <c r="T105" s="245"/>
      <c r="U105" s="245"/>
      <c r="V105" s="245"/>
      <c r="W105" s="245"/>
      <c r="X105" s="245"/>
      <c r="Y105" s="245"/>
      <c r="Z105" s="245"/>
    </row>
    <row r="106">
      <c r="A106" s="234" t="s">
        <v>474</v>
      </c>
      <c r="B106" s="234" t="s">
        <v>97</v>
      </c>
      <c r="C106" s="234">
        <v>1.0825617</v>
      </c>
      <c r="D106" s="234">
        <v>250.0</v>
      </c>
      <c r="E106" s="255">
        <v>65.0</v>
      </c>
      <c r="F106" s="132">
        <f t="shared" si="9"/>
        <v>0.04513888889</v>
      </c>
      <c r="G106" s="219" t="s">
        <v>566</v>
      </c>
      <c r="H106" s="245"/>
      <c r="I106" s="245"/>
      <c r="J106" s="245"/>
      <c r="K106" s="245"/>
      <c r="L106" s="245"/>
      <c r="M106" s="245"/>
      <c r="N106" s="245"/>
      <c r="O106" s="245"/>
      <c r="P106" s="245"/>
      <c r="Q106" s="245"/>
      <c r="R106" s="245"/>
      <c r="S106" s="245"/>
      <c r="T106" s="245"/>
      <c r="U106" s="245"/>
      <c r="V106" s="245"/>
      <c r="W106" s="245"/>
      <c r="X106" s="245"/>
      <c r="Y106" s="245"/>
      <c r="Z106" s="245"/>
    </row>
    <row r="107">
      <c r="A107" s="234" t="s">
        <v>474</v>
      </c>
      <c r="B107" s="234" t="s">
        <v>57</v>
      </c>
      <c r="C107" s="234">
        <v>0.5768664</v>
      </c>
      <c r="D107" s="234">
        <v>140.0</v>
      </c>
      <c r="E107" s="255">
        <v>35.0</v>
      </c>
      <c r="F107" s="132">
        <f t="shared" si="9"/>
        <v>0.02430555556</v>
      </c>
      <c r="G107" s="219" t="s">
        <v>567</v>
      </c>
      <c r="H107" s="245"/>
      <c r="I107" s="245"/>
      <c r="J107" s="245"/>
      <c r="K107" s="245"/>
      <c r="L107" s="245"/>
      <c r="M107" s="245"/>
      <c r="N107" s="245"/>
      <c r="O107" s="245"/>
      <c r="P107" s="245"/>
      <c r="Q107" s="245"/>
      <c r="R107" s="245"/>
      <c r="S107" s="245"/>
      <c r="T107" s="245"/>
      <c r="U107" s="245"/>
      <c r="V107" s="245"/>
      <c r="W107" s="245"/>
      <c r="X107" s="245"/>
      <c r="Y107" s="245"/>
      <c r="Z107" s="245"/>
    </row>
    <row r="108">
      <c r="A108" s="234" t="s">
        <v>474</v>
      </c>
      <c r="B108" s="234" t="s">
        <v>98</v>
      </c>
      <c r="C108" s="234">
        <v>0.4211689</v>
      </c>
      <c r="D108" s="234">
        <v>84.0</v>
      </c>
      <c r="E108" s="255">
        <v>25.0</v>
      </c>
      <c r="F108" s="132">
        <f t="shared" si="9"/>
        <v>0.01736111111</v>
      </c>
      <c r="G108" s="219" t="s">
        <v>568</v>
      </c>
      <c r="H108" s="245"/>
      <c r="I108" s="245"/>
      <c r="J108" s="245"/>
      <c r="K108" s="245"/>
      <c r="L108" s="245"/>
      <c r="M108" s="245"/>
      <c r="N108" s="245"/>
      <c r="O108" s="245"/>
      <c r="P108" s="245"/>
      <c r="Q108" s="245"/>
      <c r="R108" s="245"/>
      <c r="S108" s="245"/>
      <c r="T108" s="245"/>
      <c r="U108" s="245"/>
      <c r="V108" s="245"/>
      <c r="W108" s="245"/>
      <c r="X108" s="245"/>
      <c r="Y108" s="245"/>
      <c r="Z108" s="245"/>
    </row>
    <row r="109">
      <c r="A109" s="234" t="s">
        <v>474</v>
      </c>
      <c r="B109" s="234" t="s">
        <v>99</v>
      </c>
      <c r="C109" s="234">
        <v>1.7098922</v>
      </c>
      <c r="D109" s="234">
        <v>412.0</v>
      </c>
      <c r="E109" s="255">
        <v>103.0</v>
      </c>
      <c r="F109" s="132">
        <f t="shared" si="9"/>
        <v>0.07152777778</v>
      </c>
      <c r="G109" s="219" t="s">
        <v>569</v>
      </c>
      <c r="H109" s="245"/>
      <c r="I109" s="245"/>
      <c r="J109" s="245"/>
      <c r="K109" s="245"/>
      <c r="L109" s="245"/>
      <c r="M109" s="245"/>
      <c r="N109" s="245"/>
      <c r="O109" s="245"/>
      <c r="P109" s="245"/>
      <c r="Q109" s="245"/>
      <c r="R109" s="245"/>
      <c r="S109" s="245"/>
      <c r="T109" s="245"/>
      <c r="U109" s="245"/>
      <c r="V109" s="245"/>
      <c r="W109" s="245"/>
      <c r="X109" s="245"/>
      <c r="Y109" s="245"/>
      <c r="Z109" s="245"/>
    </row>
    <row r="110">
      <c r="A110" s="234" t="s">
        <v>429</v>
      </c>
      <c r="B110" s="234" t="s">
        <v>430</v>
      </c>
      <c r="C110" s="234">
        <v>0.0511117</v>
      </c>
      <c r="D110" s="234">
        <v>10.0</v>
      </c>
      <c r="E110" s="255">
        <v>3.0</v>
      </c>
      <c r="F110" s="132">
        <f t="shared" si="9"/>
        <v>0.002083333333</v>
      </c>
      <c r="G110" s="219" t="s">
        <v>570</v>
      </c>
      <c r="H110" s="245"/>
      <c r="I110" s="245"/>
      <c r="J110" s="245"/>
      <c r="K110" s="245"/>
      <c r="L110" s="245"/>
      <c r="M110" s="245"/>
      <c r="N110" s="245"/>
      <c r="O110" s="245"/>
      <c r="P110" s="245"/>
      <c r="Q110" s="245"/>
      <c r="R110" s="245"/>
      <c r="S110" s="245"/>
      <c r="T110" s="245"/>
      <c r="U110" s="245"/>
      <c r="V110" s="245"/>
      <c r="W110" s="245"/>
      <c r="X110" s="245"/>
      <c r="Y110" s="245"/>
      <c r="Z110" s="245"/>
    </row>
    <row r="111">
      <c r="A111" s="234" t="s">
        <v>429</v>
      </c>
      <c r="B111" s="234" t="s">
        <v>101</v>
      </c>
      <c r="C111" s="234">
        <v>0.4597822</v>
      </c>
      <c r="D111" s="234">
        <v>90.0</v>
      </c>
      <c r="E111" s="255">
        <v>28.0</v>
      </c>
      <c r="F111" s="132">
        <f t="shared" si="9"/>
        <v>0.01944444444</v>
      </c>
      <c r="G111" s="219" t="s">
        <v>571</v>
      </c>
      <c r="H111" s="245"/>
      <c r="I111" s="245"/>
      <c r="J111" s="245"/>
      <c r="K111" s="245"/>
      <c r="L111" s="245"/>
      <c r="M111" s="245"/>
      <c r="N111" s="245"/>
      <c r="O111" s="245"/>
      <c r="P111" s="245"/>
      <c r="Q111" s="245"/>
      <c r="R111" s="245"/>
      <c r="S111" s="245"/>
      <c r="T111" s="245"/>
      <c r="U111" s="245"/>
      <c r="V111" s="245"/>
      <c r="W111" s="245"/>
      <c r="X111" s="245"/>
      <c r="Y111" s="245"/>
      <c r="Z111" s="245"/>
    </row>
    <row r="112">
      <c r="A112" s="234" t="s">
        <v>429</v>
      </c>
      <c r="B112" s="234" t="s">
        <v>102</v>
      </c>
      <c r="C112" s="234">
        <v>0.7154844</v>
      </c>
      <c r="D112" s="234">
        <v>155.0</v>
      </c>
      <c r="E112" s="255">
        <v>43.0</v>
      </c>
      <c r="F112" s="132">
        <f t="shared" si="9"/>
        <v>0.02986111111</v>
      </c>
      <c r="G112" s="219" t="s">
        <v>572</v>
      </c>
      <c r="H112" s="245"/>
      <c r="I112" s="245"/>
      <c r="J112" s="245"/>
      <c r="K112" s="245"/>
      <c r="L112" s="245"/>
      <c r="M112" s="245"/>
      <c r="N112" s="245"/>
      <c r="O112" s="245"/>
      <c r="P112" s="245"/>
      <c r="Q112" s="245"/>
      <c r="R112" s="245"/>
      <c r="S112" s="245"/>
      <c r="T112" s="245"/>
      <c r="U112" s="245"/>
      <c r="V112" s="245"/>
      <c r="W112" s="245"/>
      <c r="X112" s="245"/>
      <c r="Y112" s="245"/>
      <c r="Z112" s="245"/>
    </row>
    <row r="113">
      <c r="A113" s="234" t="s">
        <v>429</v>
      </c>
      <c r="B113" s="234" t="s">
        <v>29</v>
      </c>
      <c r="C113" s="234">
        <v>0.9813814</v>
      </c>
      <c r="D113" s="234">
        <v>235.0</v>
      </c>
      <c r="E113" s="255">
        <v>59.0</v>
      </c>
      <c r="F113" s="132">
        <f t="shared" si="9"/>
        <v>0.04097222222</v>
      </c>
      <c r="G113" s="219" t="s">
        <v>573</v>
      </c>
      <c r="H113" s="245"/>
      <c r="I113" s="245"/>
      <c r="J113" s="245"/>
      <c r="K113" s="245"/>
      <c r="L113" s="245"/>
      <c r="M113" s="245"/>
      <c r="N113" s="245"/>
      <c r="O113" s="245"/>
      <c r="P113" s="245"/>
      <c r="Q113" s="245"/>
      <c r="R113" s="245"/>
      <c r="S113" s="245"/>
      <c r="T113" s="245"/>
      <c r="U113" s="245"/>
      <c r="V113" s="245"/>
      <c r="W113" s="245"/>
      <c r="X113" s="245"/>
      <c r="Y113" s="245"/>
      <c r="Z113" s="245"/>
    </row>
    <row r="114">
      <c r="A114" s="234" t="s">
        <v>429</v>
      </c>
      <c r="B114" s="234" t="s">
        <v>431</v>
      </c>
      <c r="C114" s="234">
        <v>0.7231736</v>
      </c>
      <c r="D114" s="234">
        <v>157.0</v>
      </c>
      <c r="E114" s="255">
        <v>43.0</v>
      </c>
      <c r="F114" s="132">
        <f t="shared" si="9"/>
        <v>0.02986111111</v>
      </c>
      <c r="G114" s="219" t="s">
        <v>574</v>
      </c>
      <c r="H114" s="245"/>
      <c r="I114" s="245"/>
      <c r="J114" s="245"/>
      <c r="K114" s="245"/>
      <c r="L114" s="245"/>
      <c r="M114" s="245"/>
      <c r="N114" s="245"/>
      <c r="O114" s="245"/>
      <c r="P114" s="245"/>
      <c r="Q114" s="245"/>
      <c r="R114" s="245"/>
      <c r="S114" s="245"/>
      <c r="T114" s="245"/>
      <c r="U114" s="245"/>
      <c r="V114" s="245"/>
      <c r="W114" s="245"/>
      <c r="X114" s="245"/>
      <c r="Y114" s="245"/>
      <c r="Z114" s="245"/>
    </row>
    <row r="115">
      <c r="A115" s="234" t="s">
        <v>429</v>
      </c>
      <c r="B115" s="234" t="s">
        <v>432</v>
      </c>
      <c r="C115" s="234">
        <v>0.3613333</v>
      </c>
      <c r="D115" s="234">
        <v>79.0</v>
      </c>
      <c r="E115" s="255">
        <v>22.0</v>
      </c>
      <c r="F115" s="132">
        <f t="shared" si="9"/>
        <v>0.01527777778</v>
      </c>
      <c r="G115" s="219" t="s">
        <v>575</v>
      </c>
      <c r="H115" s="245"/>
      <c r="I115" s="245"/>
      <c r="J115" s="245"/>
      <c r="K115" s="245"/>
      <c r="L115" s="245"/>
      <c r="M115" s="245"/>
      <c r="N115" s="245"/>
      <c r="O115" s="245"/>
      <c r="P115" s="245"/>
      <c r="Q115" s="245"/>
      <c r="R115" s="245"/>
      <c r="S115" s="245"/>
      <c r="T115" s="245"/>
      <c r="U115" s="245"/>
      <c r="V115" s="245"/>
      <c r="W115" s="245"/>
      <c r="X115" s="245"/>
      <c r="Y115" s="245"/>
      <c r="Z115" s="245"/>
    </row>
    <row r="116">
      <c r="A116" s="131"/>
      <c r="B116" s="131"/>
      <c r="C116" s="131"/>
      <c r="D116" s="212" t="s">
        <v>484</v>
      </c>
      <c r="E116" s="235">
        <f>sum(E75:E115)</f>
        <v>1530</v>
      </c>
      <c r="F116" s="238">
        <f t="shared" si="9"/>
        <v>1.0625</v>
      </c>
      <c r="G116" s="211"/>
      <c r="H116" s="131"/>
      <c r="I116" s="131"/>
      <c r="J116" s="131"/>
      <c r="K116" s="131"/>
      <c r="L116" s="131"/>
      <c r="M116" s="131"/>
      <c r="N116" s="131"/>
      <c r="O116" s="131"/>
      <c r="P116" s="131"/>
      <c r="Q116" s="131"/>
      <c r="R116" s="131"/>
      <c r="S116" s="131"/>
      <c r="T116" s="131"/>
      <c r="U116" s="131"/>
      <c r="V116" s="131"/>
      <c r="W116" s="131"/>
      <c r="X116" s="131"/>
      <c r="Y116" s="131"/>
      <c r="Z116" s="203"/>
    </row>
    <row r="117">
      <c r="A117" s="131"/>
      <c r="B117" s="131"/>
      <c r="C117" s="131"/>
      <c r="D117" s="131"/>
      <c r="E117" s="222"/>
      <c r="F117" s="132"/>
      <c r="G117" s="211"/>
      <c r="H117" s="131"/>
      <c r="I117" s="131"/>
      <c r="J117" s="131"/>
      <c r="K117" s="131"/>
      <c r="L117" s="131"/>
      <c r="M117" s="131"/>
      <c r="N117" s="131"/>
      <c r="O117" s="131"/>
      <c r="P117" s="131"/>
      <c r="Q117" s="131"/>
      <c r="R117" s="131"/>
      <c r="S117" s="131"/>
      <c r="T117" s="131"/>
      <c r="U117" s="131"/>
      <c r="V117" s="131"/>
      <c r="W117" s="131"/>
      <c r="X117" s="131"/>
      <c r="Y117" s="131"/>
      <c r="Z117" s="203"/>
    </row>
    <row r="118">
      <c r="A118" s="140" t="s">
        <v>576</v>
      </c>
      <c r="B118" s="131"/>
      <c r="C118" s="131"/>
      <c r="D118" s="131"/>
      <c r="E118" s="222"/>
      <c r="F118" s="132"/>
      <c r="G118" s="211"/>
      <c r="H118" s="131"/>
      <c r="I118" s="131"/>
      <c r="J118" s="131"/>
      <c r="K118" s="131"/>
      <c r="L118" s="131"/>
      <c r="M118" s="131"/>
      <c r="N118" s="131"/>
      <c r="O118" s="131"/>
      <c r="P118" s="131"/>
      <c r="Q118" s="131"/>
      <c r="R118" s="131"/>
      <c r="S118" s="131"/>
      <c r="T118" s="131"/>
      <c r="U118" s="131"/>
      <c r="V118" s="131"/>
      <c r="W118" s="131"/>
      <c r="X118" s="131"/>
      <c r="Y118" s="131"/>
      <c r="Z118" s="203"/>
    </row>
    <row r="119">
      <c r="A119" s="131"/>
      <c r="B119" s="131"/>
      <c r="C119" s="131"/>
      <c r="D119" s="131"/>
      <c r="E119" s="222"/>
      <c r="F119" s="132"/>
      <c r="G119" s="211"/>
      <c r="H119" s="131"/>
      <c r="I119" s="131"/>
      <c r="J119" s="131"/>
      <c r="K119" s="131"/>
      <c r="L119" s="131"/>
      <c r="M119" s="131"/>
      <c r="N119" s="131"/>
      <c r="O119" s="131"/>
      <c r="P119" s="131"/>
      <c r="Q119" s="131"/>
      <c r="R119" s="131"/>
      <c r="S119" s="131"/>
      <c r="T119" s="131"/>
      <c r="U119" s="131"/>
      <c r="V119" s="131"/>
      <c r="W119" s="131"/>
      <c r="X119" s="131"/>
      <c r="Y119" s="131"/>
      <c r="Z119" s="203"/>
    </row>
    <row r="120">
      <c r="A120" s="239" t="s">
        <v>0</v>
      </c>
      <c r="B120" s="239" t="s">
        <v>362</v>
      </c>
      <c r="C120" s="239" t="s">
        <v>534</v>
      </c>
      <c r="D120" s="239" t="s">
        <v>420</v>
      </c>
      <c r="E120" s="259" t="s">
        <v>3</v>
      </c>
      <c r="F120" s="214" t="s">
        <v>470</v>
      </c>
      <c r="G120" s="140" t="s">
        <v>471</v>
      </c>
      <c r="H120" s="131"/>
      <c r="I120" s="131"/>
      <c r="J120" s="131"/>
      <c r="K120" s="131"/>
      <c r="L120" s="131"/>
      <c r="M120" s="131"/>
      <c r="N120" s="131"/>
      <c r="O120" s="131"/>
      <c r="P120" s="131"/>
      <c r="Q120" s="131"/>
      <c r="R120" s="131"/>
      <c r="S120" s="131"/>
      <c r="T120" s="131"/>
      <c r="U120" s="131"/>
      <c r="V120" s="131"/>
      <c r="W120" s="131"/>
      <c r="X120" s="131"/>
      <c r="Y120" s="131"/>
      <c r="Z120" s="203"/>
    </row>
    <row r="121">
      <c r="A121" s="231" t="s">
        <v>7</v>
      </c>
      <c r="B121" s="190" t="s">
        <v>34</v>
      </c>
      <c r="C121" s="231">
        <v>2021.0</v>
      </c>
      <c r="D121" s="231">
        <v>9.907321</v>
      </c>
      <c r="E121" s="260">
        <f t="shared" ref="E121:E148" si="10">D121*60</f>
        <v>594.43926</v>
      </c>
      <c r="F121" s="132">
        <f t="shared" ref="F121:F149" si="11">E121/24/60</f>
        <v>0.4128050417</v>
      </c>
      <c r="G121" s="261" t="s">
        <v>577</v>
      </c>
      <c r="H121" s="131"/>
      <c r="I121" s="262"/>
      <c r="J121" s="131"/>
      <c r="K121" s="131"/>
      <c r="L121" s="131"/>
      <c r="M121" s="131"/>
      <c r="N121" s="131"/>
      <c r="O121" s="131"/>
      <c r="P121" s="131"/>
      <c r="Q121" s="131"/>
      <c r="R121" s="131"/>
      <c r="S121" s="131"/>
      <c r="T121" s="131"/>
      <c r="U121" s="131"/>
      <c r="V121" s="131"/>
      <c r="W121" s="131"/>
      <c r="X121" s="131"/>
      <c r="Y121" s="131"/>
      <c r="Z121" s="203"/>
    </row>
    <row r="122">
      <c r="A122" s="231" t="s">
        <v>54</v>
      </c>
      <c r="B122" s="190" t="s">
        <v>58</v>
      </c>
      <c r="C122" s="231">
        <v>418.0</v>
      </c>
      <c r="D122" s="231">
        <v>2.021083</v>
      </c>
      <c r="E122" s="260">
        <f t="shared" si="10"/>
        <v>121.26498</v>
      </c>
      <c r="F122" s="132">
        <f t="shared" si="11"/>
        <v>0.08421179167</v>
      </c>
      <c r="G122" s="261" t="s">
        <v>578</v>
      </c>
      <c r="H122" s="131"/>
      <c r="I122" s="262"/>
      <c r="J122" s="131"/>
      <c r="K122" s="131"/>
      <c r="L122" s="131"/>
      <c r="M122" s="131"/>
      <c r="N122" s="131"/>
      <c r="O122" s="131"/>
      <c r="P122" s="131"/>
      <c r="Q122" s="131"/>
      <c r="R122" s="131"/>
      <c r="S122" s="131"/>
      <c r="T122" s="131"/>
      <c r="U122" s="131"/>
      <c r="V122" s="131"/>
      <c r="W122" s="131"/>
      <c r="X122" s="131"/>
      <c r="Y122" s="131"/>
      <c r="Z122" s="203"/>
    </row>
    <row r="123">
      <c r="A123" s="231" t="s">
        <v>7</v>
      </c>
      <c r="B123" s="190" t="s">
        <v>20</v>
      </c>
      <c r="C123" s="231">
        <v>561.0</v>
      </c>
      <c r="D123" s="231">
        <v>2.425216</v>
      </c>
      <c r="E123" s="260">
        <f t="shared" si="10"/>
        <v>145.51296</v>
      </c>
      <c r="F123" s="132">
        <f t="shared" si="11"/>
        <v>0.1010506667</v>
      </c>
      <c r="G123" s="261" t="s">
        <v>579</v>
      </c>
      <c r="H123" s="131"/>
      <c r="I123" s="131"/>
      <c r="J123" s="131"/>
      <c r="K123" s="131"/>
      <c r="L123" s="131"/>
      <c r="M123" s="131"/>
      <c r="N123" s="131"/>
      <c r="O123" s="131"/>
      <c r="P123" s="131"/>
      <c r="Q123" s="131"/>
      <c r="R123" s="131"/>
      <c r="S123" s="131"/>
      <c r="T123" s="131"/>
      <c r="U123" s="131"/>
      <c r="V123" s="131"/>
      <c r="W123" s="131"/>
      <c r="X123" s="131"/>
      <c r="Y123" s="131"/>
      <c r="Z123" s="203"/>
    </row>
    <row r="124">
      <c r="A124" s="231" t="s">
        <v>88</v>
      </c>
      <c r="B124" s="190" t="s">
        <v>89</v>
      </c>
      <c r="C124" s="231">
        <v>695.0</v>
      </c>
      <c r="D124" s="231">
        <v>3.069967</v>
      </c>
      <c r="E124" s="260">
        <f t="shared" si="10"/>
        <v>184.19802</v>
      </c>
      <c r="F124" s="132">
        <f t="shared" si="11"/>
        <v>0.1279152917</v>
      </c>
      <c r="G124" s="261" t="s">
        <v>580</v>
      </c>
      <c r="H124" s="131"/>
      <c r="I124" s="131"/>
      <c r="J124" s="131"/>
      <c r="K124" s="131"/>
      <c r="L124" s="131"/>
      <c r="M124" s="131"/>
      <c r="N124" s="131"/>
      <c r="O124" s="131"/>
      <c r="P124" s="131"/>
      <c r="Q124" s="131"/>
      <c r="R124" s="131"/>
      <c r="S124" s="131"/>
      <c r="T124" s="131"/>
      <c r="U124" s="131"/>
      <c r="V124" s="131"/>
      <c r="W124" s="131"/>
      <c r="X124" s="131"/>
      <c r="Y124" s="131"/>
      <c r="Z124" s="203"/>
    </row>
    <row r="125">
      <c r="A125" s="231" t="s">
        <v>7</v>
      </c>
      <c r="B125" s="190" t="s">
        <v>43</v>
      </c>
      <c r="C125" s="231">
        <v>705.0</v>
      </c>
      <c r="D125" s="231">
        <v>2.776985</v>
      </c>
      <c r="E125" s="260">
        <f t="shared" si="10"/>
        <v>166.6191</v>
      </c>
      <c r="F125" s="132">
        <f t="shared" si="11"/>
        <v>0.1157077083</v>
      </c>
      <c r="G125" s="261" t="s">
        <v>581</v>
      </c>
      <c r="H125" s="131"/>
      <c r="I125" s="131"/>
      <c r="J125" s="131"/>
      <c r="K125" s="131"/>
      <c r="L125" s="131"/>
      <c r="M125" s="131"/>
      <c r="N125" s="131"/>
      <c r="O125" s="131"/>
      <c r="P125" s="131"/>
      <c r="Q125" s="131"/>
      <c r="R125" s="131"/>
      <c r="S125" s="131"/>
      <c r="T125" s="131"/>
      <c r="U125" s="131"/>
      <c r="V125" s="131"/>
      <c r="W125" s="131"/>
      <c r="X125" s="131"/>
      <c r="Y125" s="131"/>
      <c r="Z125" s="203"/>
    </row>
    <row r="126">
      <c r="A126" s="231" t="s">
        <v>7</v>
      </c>
      <c r="B126" s="190" t="s">
        <v>22</v>
      </c>
      <c r="C126" s="231">
        <v>587.0</v>
      </c>
      <c r="D126" s="231">
        <v>2.409011</v>
      </c>
      <c r="E126" s="260">
        <f t="shared" si="10"/>
        <v>144.54066</v>
      </c>
      <c r="F126" s="132">
        <f t="shared" si="11"/>
        <v>0.1003754583</v>
      </c>
      <c r="G126" s="261" t="s">
        <v>582</v>
      </c>
      <c r="H126" s="131"/>
      <c r="I126" s="131"/>
      <c r="J126" s="131"/>
      <c r="K126" s="131"/>
      <c r="L126" s="131"/>
      <c r="M126" s="131"/>
      <c r="N126" s="131"/>
      <c r="O126" s="131"/>
      <c r="P126" s="131"/>
      <c r="Q126" s="131"/>
      <c r="R126" s="131"/>
      <c r="S126" s="131"/>
      <c r="T126" s="131"/>
      <c r="U126" s="131"/>
      <c r="V126" s="131"/>
      <c r="W126" s="131"/>
      <c r="X126" s="131"/>
      <c r="Y126" s="131"/>
      <c r="Z126" s="203"/>
    </row>
    <row r="127">
      <c r="A127" s="231" t="s">
        <v>88</v>
      </c>
      <c r="B127" s="190" t="s">
        <v>90</v>
      </c>
      <c r="C127" s="231">
        <v>459.0</v>
      </c>
      <c r="D127" s="231">
        <v>1.975271</v>
      </c>
      <c r="E127" s="260">
        <f t="shared" si="10"/>
        <v>118.51626</v>
      </c>
      <c r="F127" s="132">
        <f t="shared" si="11"/>
        <v>0.08230295833</v>
      </c>
      <c r="G127" s="261" t="s">
        <v>583</v>
      </c>
      <c r="H127" s="131"/>
      <c r="I127" s="131"/>
      <c r="J127" s="131"/>
      <c r="K127" s="131"/>
      <c r="L127" s="131"/>
      <c r="M127" s="131"/>
      <c r="N127" s="131"/>
      <c r="O127" s="131"/>
      <c r="P127" s="131"/>
      <c r="Q127" s="131"/>
      <c r="R127" s="131"/>
      <c r="S127" s="131"/>
      <c r="T127" s="131"/>
      <c r="U127" s="131"/>
      <c r="V127" s="131"/>
      <c r="W127" s="131"/>
      <c r="X127" s="131"/>
      <c r="Y127" s="131"/>
      <c r="Z127" s="203"/>
    </row>
    <row r="128">
      <c r="A128" s="231" t="s">
        <v>35</v>
      </c>
      <c r="B128" s="190" t="s">
        <v>36</v>
      </c>
      <c r="C128" s="231">
        <v>372.0</v>
      </c>
      <c r="D128" s="231">
        <v>1.639654</v>
      </c>
      <c r="E128" s="260">
        <f t="shared" si="10"/>
        <v>98.37924</v>
      </c>
      <c r="F128" s="132">
        <f t="shared" si="11"/>
        <v>0.06831891667</v>
      </c>
      <c r="G128" s="261" t="s">
        <v>584</v>
      </c>
      <c r="H128" s="131"/>
      <c r="I128" s="131"/>
      <c r="J128" s="131"/>
      <c r="K128" s="131"/>
      <c r="L128" s="131"/>
      <c r="M128" s="131"/>
      <c r="N128" s="131"/>
      <c r="O128" s="131"/>
      <c r="P128" s="131"/>
      <c r="Q128" s="131"/>
      <c r="R128" s="131"/>
      <c r="S128" s="131"/>
      <c r="T128" s="131"/>
      <c r="U128" s="131"/>
      <c r="V128" s="131"/>
      <c r="W128" s="131"/>
      <c r="X128" s="131"/>
      <c r="Y128" s="131"/>
      <c r="Z128" s="203"/>
    </row>
    <row r="129">
      <c r="A129" s="231" t="s">
        <v>7</v>
      </c>
      <c r="B129" s="190" t="s">
        <v>21</v>
      </c>
      <c r="C129" s="231">
        <v>247.0</v>
      </c>
      <c r="D129" s="231">
        <v>1.274915</v>
      </c>
      <c r="E129" s="260">
        <f t="shared" si="10"/>
        <v>76.4949</v>
      </c>
      <c r="F129" s="132">
        <f t="shared" si="11"/>
        <v>0.05312145833</v>
      </c>
      <c r="G129" s="261" t="s">
        <v>585</v>
      </c>
      <c r="H129" s="131"/>
      <c r="I129" s="131"/>
      <c r="J129" s="131"/>
      <c r="K129" s="131"/>
      <c r="L129" s="131"/>
      <c r="M129" s="131"/>
      <c r="N129" s="131"/>
      <c r="O129" s="131"/>
      <c r="P129" s="131"/>
      <c r="Q129" s="131"/>
      <c r="R129" s="131"/>
      <c r="S129" s="131"/>
      <c r="T129" s="131"/>
      <c r="U129" s="131"/>
      <c r="V129" s="131"/>
      <c r="W129" s="131"/>
      <c r="X129" s="131"/>
      <c r="Y129" s="131"/>
      <c r="Z129" s="203"/>
    </row>
    <row r="130">
      <c r="A130" s="231" t="s">
        <v>7</v>
      </c>
      <c r="B130" s="190" t="s">
        <v>33</v>
      </c>
      <c r="C130" s="231">
        <v>381.0</v>
      </c>
      <c r="D130" s="231">
        <v>1.579481</v>
      </c>
      <c r="E130" s="260">
        <f t="shared" si="10"/>
        <v>94.76886</v>
      </c>
      <c r="F130" s="132">
        <f t="shared" si="11"/>
        <v>0.06581170833</v>
      </c>
      <c r="G130" s="261" t="s">
        <v>586</v>
      </c>
      <c r="H130" s="131"/>
      <c r="I130" s="131"/>
      <c r="J130" s="131"/>
      <c r="K130" s="131"/>
      <c r="L130" s="131"/>
      <c r="M130" s="131"/>
      <c r="N130" s="131"/>
      <c r="O130" s="131"/>
      <c r="P130" s="131"/>
      <c r="Q130" s="131"/>
      <c r="R130" s="131"/>
      <c r="S130" s="131"/>
      <c r="T130" s="131"/>
      <c r="U130" s="131"/>
      <c r="V130" s="131"/>
      <c r="W130" s="131"/>
      <c r="X130" s="131"/>
      <c r="Y130" s="131"/>
      <c r="Z130" s="203"/>
    </row>
    <row r="131">
      <c r="A131" s="231" t="s">
        <v>54</v>
      </c>
      <c r="B131" s="190" t="s">
        <v>59</v>
      </c>
      <c r="C131" s="231">
        <v>274.0</v>
      </c>
      <c r="D131" s="231">
        <v>1.452146</v>
      </c>
      <c r="E131" s="260">
        <f t="shared" si="10"/>
        <v>87.12876</v>
      </c>
      <c r="F131" s="132">
        <f t="shared" si="11"/>
        <v>0.06050608333</v>
      </c>
      <c r="G131" s="261" t="s">
        <v>587</v>
      </c>
      <c r="H131" s="131"/>
      <c r="I131" s="131"/>
      <c r="J131" s="131"/>
      <c r="K131" s="131"/>
      <c r="L131" s="131"/>
      <c r="M131" s="131"/>
      <c r="N131" s="131"/>
      <c r="O131" s="131"/>
      <c r="P131" s="131"/>
      <c r="Q131" s="131"/>
      <c r="R131" s="131"/>
      <c r="S131" s="131"/>
      <c r="T131" s="131"/>
      <c r="U131" s="131"/>
      <c r="V131" s="131"/>
      <c r="W131" s="131"/>
      <c r="X131" s="131"/>
      <c r="Y131" s="131"/>
      <c r="Z131" s="203"/>
    </row>
    <row r="132">
      <c r="A132" s="231" t="s">
        <v>429</v>
      </c>
      <c r="B132" s="190" t="s">
        <v>430</v>
      </c>
      <c r="C132" s="231">
        <v>269.0</v>
      </c>
      <c r="D132" s="231">
        <v>1.343052</v>
      </c>
      <c r="E132" s="260">
        <f t="shared" si="10"/>
        <v>80.58312</v>
      </c>
      <c r="F132" s="132">
        <f t="shared" si="11"/>
        <v>0.0559605</v>
      </c>
      <c r="G132" s="261" t="s">
        <v>588</v>
      </c>
      <c r="H132" s="131"/>
      <c r="I132" s="131"/>
      <c r="J132" s="131"/>
      <c r="K132" s="131"/>
      <c r="L132" s="131"/>
      <c r="M132" s="131"/>
      <c r="N132" s="131"/>
      <c r="O132" s="131"/>
      <c r="P132" s="131"/>
      <c r="Q132" s="131"/>
      <c r="R132" s="131"/>
      <c r="S132" s="131"/>
      <c r="T132" s="131"/>
      <c r="U132" s="131"/>
      <c r="V132" s="131"/>
      <c r="W132" s="131"/>
      <c r="X132" s="131"/>
      <c r="Y132" s="131"/>
      <c r="Z132" s="203"/>
    </row>
    <row r="133">
      <c r="A133" s="231" t="s">
        <v>7</v>
      </c>
      <c r="B133" s="190" t="s">
        <v>37</v>
      </c>
      <c r="C133" s="231">
        <v>277.0</v>
      </c>
      <c r="D133" s="231">
        <v>1.12772</v>
      </c>
      <c r="E133" s="260">
        <f t="shared" si="10"/>
        <v>67.6632</v>
      </c>
      <c r="F133" s="132">
        <f t="shared" si="11"/>
        <v>0.04698833333</v>
      </c>
      <c r="G133" s="261" t="s">
        <v>589</v>
      </c>
      <c r="H133" s="131"/>
      <c r="I133" s="131"/>
      <c r="J133" s="131"/>
      <c r="K133" s="131"/>
      <c r="L133" s="131"/>
      <c r="M133" s="131"/>
      <c r="N133" s="131"/>
      <c r="O133" s="131"/>
      <c r="P133" s="131"/>
      <c r="Q133" s="131"/>
      <c r="R133" s="131"/>
      <c r="S133" s="131"/>
      <c r="T133" s="131"/>
      <c r="U133" s="131"/>
      <c r="V133" s="131"/>
      <c r="W133" s="131"/>
      <c r="X133" s="131"/>
      <c r="Y133" s="131"/>
      <c r="Z133" s="203"/>
    </row>
    <row r="134">
      <c r="A134" s="231" t="s">
        <v>429</v>
      </c>
      <c r="B134" s="190" t="s">
        <v>102</v>
      </c>
      <c r="C134" s="231">
        <v>183.0</v>
      </c>
      <c r="D134" s="231">
        <v>0.888579</v>
      </c>
      <c r="E134" s="260">
        <f t="shared" si="10"/>
        <v>53.31474</v>
      </c>
      <c r="F134" s="132">
        <f t="shared" si="11"/>
        <v>0.037024125</v>
      </c>
      <c r="G134" s="261" t="s">
        <v>590</v>
      </c>
      <c r="H134" s="131"/>
      <c r="I134" s="131"/>
      <c r="J134" s="131"/>
      <c r="K134" s="131"/>
      <c r="L134" s="131"/>
      <c r="M134" s="131"/>
      <c r="N134" s="131"/>
      <c r="O134" s="131"/>
      <c r="P134" s="131"/>
      <c r="Q134" s="131"/>
      <c r="R134" s="131"/>
      <c r="S134" s="131"/>
      <c r="T134" s="131"/>
      <c r="U134" s="131"/>
      <c r="V134" s="131"/>
      <c r="W134" s="131"/>
      <c r="X134" s="131"/>
      <c r="Y134" s="131"/>
      <c r="Z134" s="203"/>
    </row>
    <row r="135">
      <c r="A135" s="231" t="s">
        <v>429</v>
      </c>
      <c r="B135" s="190" t="s">
        <v>432</v>
      </c>
      <c r="C135" s="231">
        <v>198.0</v>
      </c>
      <c r="D135" s="231">
        <v>0.906704</v>
      </c>
      <c r="E135" s="260">
        <f t="shared" si="10"/>
        <v>54.40224</v>
      </c>
      <c r="F135" s="132">
        <f t="shared" si="11"/>
        <v>0.03777933333</v>
      </c>
      <c r="G135" s="261" t="s">
        <v>591</v>
      </c>
      <c r="H135" s="131"/>
      <c r="I135" s="131"/>
      <c r="J135" s="131"/>
      <c r="K135" s="131"/>
      <c r="L135" s="131"/>
      <c r="M135" s="131"/>
      <c r="N135" s="131"/>
      <c r="O135" s="131"/>
      <c r="P135" s="131"/>
      <c r="Q135" s="131"/>
      <c r="R135" s="131"/>
      <c r="S135" s="131"/>
      <c r="T135" s="131"/>
      <c r="U135" s="131"/>
      <c r="V135" s="131"/>
      <c r="W135" s="131"/>
      <c r="X135" s="131"/>
      <c r="Y135" s="131"/>
      <c r="Z135" s="203"/>
    </row>
    <row r="136">
      <c r="A136" s="231" t="s">
        <v>474</v>
      </c>
      <c r="B136" s="190" t="s">
        <v>428</v>
      </c>
      <c r="C136" s="231">
        <v>185.0</v>
      </c>
      <c r="D136" s="231">
        <v>0.826851</v>
      </c>
      <c r="E136" s="260">
        <f t="shared" si="10"/>
        <v>49.61106</v>
      </c>
      <c r="F136" s="132">
        <f t="shared" si="11"/>
        <v>0.034452125</v>
      </c>
      <c r="G136" s="261" t="s">
        <v>592</v>
      </c>
      <c r="H136" s="131"/>
      <c r="I136" s="131"/>
      <c r="J136" s="131"/>
      <c r="K136" s="131"/>
      <c r="L136" s="131"/>
      <c r="M136" s="131"/>
      <c r="N136" s="131"/>
      <c r="O136" s="131"/>
      <c r="P136" s="131"/>
      <c r="Q136" s="131"/>
      <c r="R136" s="131"/>
      <c r="S136" s="131"/>
      <c r="T136" s="131"/>
      <c r="U136" s="131"/>
      <c r="V136" s="131"/>
      <c r="W136" s="131"/>
      <c r="X136" s="131"/>
      <c r="Y136" s="131"/>
      <c r="Z136" s="203"/>
    </row>
    <row r="137">
      <c r="A137" s="231" t="s">
        <v>474</v>
      </c>
      <c r="B137" s="190" t="s">
        <v>99</v>
      </c>
      <c r="C137" s="231">
        <v>162.0</v>
      </c>
      <c r="D137" s="231">
        <v>0.67488</v>
      </c>
      <c r="E137" s="260">
        <f t="shared" si="10"/>
        <v>40.4928</v>
      </c>
      <c r="F137" s="132">
        <f t="shared" si="11"/>
        <v>0.02812</v>
      </c>
      <c r="G137" s="261" t="s">
        <v>593</v>
      </c>
      <c r="H137" s="131"/>
      <c r="I137" s="131"/>
      <c r="J137" s="131"/>
      <c r="K137" s="131"/>
      <c r="L137" s="131"/>
      <c r="M137" s="131"/>
      <c r="N137" s="131"/>
      <c r="O137" s="131"/>
      <c r="P137" s="131"/>
      <c r="Q137" s="131"/>
      <c r="R137" s="131"/>
      <c r="S137" s="131"/>
      <c r="T137" s="131"/>
      <c r="U137" s="131"/>
      <c r="V137" s="131"/>
      <c r="W137" s="131"/>
      <c r="X137" s="131"/>
      <c r="Y137" s="131"/>
      <c r="Z137" s="203"/>
    </row>
    <row r="138">
      <c r="A138" s="231" t="s">
        <v>429</v>
      </c>
      <c r="B138" s="190" t="s">
        <v>101</v>
      </c>
      <c r="C138" s="231">
        <v>75.0</v>
      </c>
      <c r="D138" s="231">
        <v>0.371877</v>
      </c>
      <c r="E138" s="260">
        <f t="shared" si="10"/>
        <v>22.31262</v>
      </c>
      <c r="F138" s="132">
        <f t="shared" si="11"/>
        <v>0.015494875</v>
      </c>
      <c r="G138" s="261" t="s">
        <v>594</v>
      </c>
      <c r="H138" s="131"/>
      <c r="I138" s="131"/>
      <c r="J138" s="131"/>
      <c r="K138" s="131"/>
      <c r="L138" s="131"/>
      <c r="M138" s="131"/>
      <c r="N138" s="131"/>
      <c r="O138" s="131"/>
      <c r="P138" s="131"/>
      <c r="Q138" s="131"/>
      <c r="R138" s="131"/>
      <c r="S138" s="131"/>
      <c r="T138" s="131"/>
      <c r="U138" s="131"/>
      <c r="V138" s="131"/>
      <c r="W138" s="131"/>
      <c r="X138" s="131"/>
      <c r="Y138" s="131"/>
      <c r="Z138" s="203"/>
    </row>
    <row r="139">
      <c r="A139" s="231" t="s">
        <v>474</v>
      </c>
      <c r="B139" s="190" t="s">
        <v>96</v>
      </c>
      <c r="C139" s="231">
        <v>193.0</v>
      </c>
      <c r="D139" s="231">
        <v>0.774054</v>
      </c>
      <c r="E139" s="260">
        <f t="shared" si="10"/>
        <v>46.44324</v>
      </c>
      <c r="F139" s="132">
        <f t="shared" si="11"/>
        <v>0.03225225</v>
      </c>
      <c r="G139" s="261" t="s">
        <v>595</v>
      </c>
      <c r="H139" s="131"/>
      <c r="I139" s="131"/>
      <c r="J139" s="131"/>
      <c r="K139" s="131"/>
      <c r="L139" s="131"/>
      <c r="M139" s="131"/>
      <c r="N139" s="131"/>
      <c r="O139" s="131"/>
      <c r="P139" s="131"/>
      <c r="Q139" s="131"/>
      <c r="R139" s="131"/>
      <c r="S139" s="131"/>
      <c r="T139" s="131"/>
      <c r="U139" s="131"/>
      <c r="V139" s="131"/>
      <c r="W139" s="131"/>
      <c r="X139" s="131"/>
      <c r="Y139" s="131"/>
      <c r="Z139" s="203"/>
    </row>
    <row r="140">
      <c r="A140" s="231" t="s">
        <v>7</v>
      </c>
      <c r="B140" s="190" t="s">
        <v>19</v>
      </c>
      <c r="C140" s="231">
        <v>152.0</v>
      </c>
      <c r="D140" s="231">
        <v>0.693042</v>
      </c>
      <c r="E140" s="260">
        <f t="shared" si="10"/>
        <v>41.58252</v>
      </c>
      <c r="F140" s="132">
        <f t="shared" si="11"/>
        <v>0.02887675</v>
      </c>
      <c r="G140" s="261" t="s">
        <v>596</v>
      </c>
      <c r="H140" s="131"/>
      <c r="I140" s="131"/>
      <c r="J140" s="131"/>
      <c r="K140" s="131"/>
      <c r="L140" s="131"/>
      <c r="M140" s="131"/>
      <c r="N140" s="131"/>
      <c r="O140" s="131"/>
      <c r="P140" s="131"/>
      <c r="Q140" s="131"/>
      <c r="R140" s="131"/>
      <c r="S140" s="131"/>
      <c r="T140" s="131"/>
      <c r="U140" s="131"/>
      <c r="V140" s="131"/>
      <c r="W140" s="131"/>
      <c r="X140" s="131"/>
      <c r="Y140" s="131"/>
      <c r="Z140" s="203"/>
    </row>
    <row r="141">
      <c r="A141" s="231" t="s">
        <v>35</v>
      </c>
      <c r="B141" s="190" t="s">
        <v>42</v>
      </c>
      <c r="C141" s="231">
        <v>163.0</v>
      </c>
      <c r="D141" s="231">
        <v>0.623557</v>
      </c>
      <c r="E141" s="260">
        <f t="shared" si="10"/>
        <v>37.41342</v>
      </c>
      <c r="F141" s="132">
        <f t="shared" si="11"/>
        <v>0.02598154167</v>
      </c>
      <c r="G141" s="261" t="s">
        <v>597</v>
      </c>
      <c r="H141" s="131"/>
      <c r="I141" s="131"/>
      <c r="J141" s="131"/>
      <c r="K141" s="131"/>
      <c r="L141" s="131"/>
      <c r="M141" s="131"/>
      <c r="N141" s="131"/>
      <c r="O141" s="131"/>
      <c r="P141" s="131"/>
      <c r="Q141" s="131"/>
      <c r="R141" s="131"/>
      <c r="S141" s="131"/>
      <c r="T141" s="131"/>
      <c r="U141" s="131"/>
      <c r="V141" s="131"/>
      <c r="W141" s="131"/>
      <c r="X141" s="131"/>
      <c r="Y141" s="131"/>
      <c r="Z141" s="203"/>
    </row>
    <row r="142">
      <c r="A142" s="231" t="s">
        <v>7</v>
      </c>
      <c r="B142" s="190" t="s">
        <v>40</v>
      </c>
      <c r="C142" s="231">
        <v>148.0</v>
      </c>
      <c r="D142" s="231">
        <v>0.625085</v>
      </c>
      <c r="E142" s="260">
        <f t="shared" si="10"/>
        <v>37.5051</v>
      </c>
      <c r="F142" s="132">
        <f t="shared" si="11"/>
        <v>0.02604520833</v>
      </c>
      <c r="G142" s="261" t="s">
        <v>598</v>
      </c>
      <c r="H142" s="131"/>
      <c r="I142" s="131"/>
      <c r="J142" s="131"/>
      <c r="K142" s="131"/>
      <c r="L142" s="131"/>
      <c r="M142" s="131"/>
      <c r="N142" s="131"/>
      <c r="O142" s="131"/>
      <c r="P142" s="131"/>
      <c r="Q142" s="131"/>
      <c r="R142" s="131"/>
      <c r="S142" s="131"/>
      <c r="T142" s="131"/>
      <c r="U142" s="131"/>
      <c r="V142" s="131"/>
      <c r="W142" s="131"/>
      <c r="X142" s="131"/>
      <c r="Y142" s="131"/>
      <c r="Z142" s="203"/>
    </row>
    <row r="143">
      <c r="A143" s="231" t="s">
        <v>474</v>
      </c>
      <c r="B143" s="190" t="s">
        <v>94</v>
      </c>
      <c r="C143" s="231">
        <v>142.0</v>
      </c>
      <c r="D143" s="231">
        <v>0.573361</v>
      </c>
      <c r="E143" s="260">
        <f t="shared" si="10"/>
        <v>34.40166</v>
      </c>
      <c r="F143" s="132">
        <f t="shared" si="11"/>
        <v>0.02389004167</v>
      </c>
      <c r="G143" s="261" t="s">
        <v>599</v>
      </c>
      <c r="H143" s="131"/>
      <c r="I143" s="131"/>
      <c r="J143" s="131"/>
      <c r="K143" s="131"/>
      <c r="L143" s="131"/>
      <c r="M143" s="131"/>
      <c r="N143" s="131"/>
      <c r="O143" s="131"/>
      <c r="P143" s="131"/>
      <c r="Q143" s="131"/>
      <c r="R143" s="131"/>
      <c r="S143" s="131"/>
      <c r="T143" s="131"/>
      <c r="U143" s="131"/>
      <c r="V143" s="131"/>
      <c r="W143" s="131"/>
      <c r="X143" s="131"/>
      <c r="Y143" s="131"/>
      <c r="Z143" s="203"/>
    </row>
    <row r="144">
      <c r="A144" s="231" t="s">
        <v>54</v>
      </c>
      <c r="B144" s="190" t="s">
        <v>63</v>
      </c>
      <c r="C144" s="231">
        <v>120.0</v>
      </c>
      <c r="D144" s="231">
        <v>0.550339</v>
      </c>
      <c r="E144" s="260">
        <f t="shared" si="10"/>
        <v>33.02034</v>
      </c>
      <c r="F144" s="132">
        <f t="shared" si="11"/>
        <v>0.02293079167</v>
      </c>
      <c r="G144" s="261" t="s">
        <v>600</v>
      </c>
      <c r="H144" s="131"/>
      <c r="I144" s="131"/>
      <c r="J144" s="131"/>
      <c r="K144" s="131"/>
      <c r="L144" s="131"/>
      <c r="M144" s="131"/>
      <c r="N144" s="131"/>
      <c r="O144" s="131"/>
      <c r="P144" s="131"/>
      <c r="Q144" s="131"/>
      <c r="R144" s="131"/>
      <c r="S144" s="131"/>
      <c r="T144" s="131"/>
      <c r="U144" s="131"/>
      <c r="V144" s="131"/>
      <c r="W144" s="131"/>
      <c r="X144" s="131"/>
      <c r="Y144" s="131"/>
      <c r="Z144" s="203"/>
    </row>
    <row r="145">
      <c r="A145" s="231" t="s">
        <v>429</v>
      </c>
      <c r="B145" s="190" t="s">
        <v>29</v>
      </c>
      <c r="C145" s="231">
        <v>87.0</v>
      </c>
      <c r="D145" s="231">
        <v>0.394667</v>
      </c>
      <c r="E145" s="260">
        <f t="shared" si="10"/>
        <v>23.68002</v>
      </c>
      <c r="F145" s="132">
        <f t="shared" si="11"/>
        <v>0.01644445833</v>
      </c>
      <c r="G145" s="261" t="s">
        <v>601</v>
      </c>
      <c r="H145" s="131"/>
      <c r="I145" s="131"/>
      <c r="J145" s="131"/>
      <c r="K145" s="131"/>
      <c r="L145" s="131"/>
      <c r="M145" s="131"/>
      <c r="N145" s="131"/>
      <c r="O145" s="131"/>
      <c r="P145" s="131"/>
      <c r="Q145" s="131"/>
      <c r="R145" s="131"/>
      <c r="S145" s="131"/>
      <c r="T145" s="131"/>
      <c r="U145" s="131"/>
      <c r="V145" s="131"/>
      <c r="W145" s="131"/>
      <c r="X145" s="131"/>
      <c r="Y145" s="131"/>
      <c r="Z145" s="203"/>
    </row>
    <row r="146">
      <c r="A146" s="231" t="s">
        <v>429</v>
      </c>
      <c r="B146" s="190" t="s">
        <v>431</v>
      </c>
      <c r="C146" s="231">
        <v>96.0</v>
      </c>
      <c r="D146" s="231">
        <v>0.470033</v>
      </c>
      <c r="E146" s="260">
        <f t="shared" si="10"/>
        <v>28.20198</v>
      </c>
      <c r="F146" s="132">
        <f t="shared" si="11"/>
        <v>0.01958470833</v>
      </c>
      <c r="G146" s="261" t="s">
        <v>602</v>
      </c>
      <c r="H146" s="131"/>
      <c r="I146" s="131"/>
      <c r="J146" s="131"/>
      <c r="K146" s="131"/>
      <c r="L146" s="131"/>
      <c r="M146" s="131"/>
      <c r="N146" s="131"/>
      <c r="O146" s="131"/>
      <c r="P146" s="131"/>
      <c r="Q146" s="131"/>
      <c r="R146" s="131"/>
      <c r="S146" s="131"/>
      <c r="T146" s="131"/>
      <c r="U146" s="131"/>
      <c r="V146" s="131"/>
      <c r="W146" s="131"/>
      <c r="X146" s="131"/>
      <c r="Y146" s="131"/>
      <c r="Z146" s="203"/>
    </row>
    <row r="147">
      <c r="A147" s="231" t="s">
        <v>67</v>
      </c>
      <c r="B147" s="190" t="s">
        <v>426</v>
      </c>
      <c r="C147" s="231">
        <v>836.0</v>
      </c>
      <c r="D147" s="231">
        <v>3.895687</v>
      </c>
      <c r="E147" s="260">
        <f t="shared" si="10"/>
        <v>233.74122</v>
      </c>
      <c r="F147" s="132">
        <f t="shared" si="11"/>
        <v>0.1623202917</v>
      </c>
      <c r="G147" s="261" t="s">
        <v>603</v>
      </c>
      <c r="H147" s="131"/>
      <c r="I147" s="131"/>
      <c r="J147" s="131"/>
      <c r="K147" s="131"/>
      <c r="L147" s="131"/>
      <c r="M147" s="131"/>
      <c r="N147" s="131"/>
      <c r="O147" s="131"/>
      <c r="P147" s="131"/>
      <c r="Q147" s="131"/>
      <c r="R147" s="131"/>
      <c r="S147" s="131"/>
      <c r="T147" s="131"/>
      <c r="U147" s="131"/>
      <c r="V147" s="131"/>
      <c r="W147" s="131"/>
      <c r="X147" s="131"/>
      <c r="Y147" s="131"/>
      <c r="Z147" s="203"/>
    </row>
    <row r="148">
      <c r="A148" s="231" t="s">
        <v>67</v>
      </c>
      <c r="B148" s="190" t="s">
        <v>93</v>
      </c>
      <c r="C148" s="231">
        <v>405.0</v>
      </c>
      <c r="D148" s="231">
        <v>1.967691</v>
      </c>
      <c r="E148" s="260">
        <f t="shared" si="10"/>
        <v>118.06146</v>
      </c>
      <c r="F148" s="132">
        <f t="shared" si="11"/>
        <v>0.081987125</v>
      </c>
      <c r="G148" s="261" t="s">
        <v>604</v>
      </c>
      <c r="H148" s="131"/>
      <c r="I148" s="131"/>
      <c r="J148" s="131"/>
      <c r="K148" s="131"/>
      <c r="L148" s="131"/>
      <c r="M148" s="131"/>
      <c r="N148" s="131"/>
      <c r="O148" s="131"/>
      <c r="P148" s="131"/>
      <c r="Q148" s="131"/>
      <c r="R148" s="131"/>
      <c r="S148" s="131"/>
      <c r="T148" s="131"/>
      <c r="U148" s="131"/>
      <c r="V148" s="131"/>
      <c r="W148" s="131"/>
      <c r="X148" s="131"/>
      <c r="Y148" s="131"/>
      <c r="Z148" s="203"/>
    </row>
    <row r="149">
      <c r="A149" s="131"/>
      <c r="B149" s="131"/>
      <c r="C149" s="131"/>
      <c r="D149" s="212" t="s">
        <v>484</v>
      </c>
      <c r="E149" s="263">
        <v>2834.0</v>
      </c>
      <c r="F149" s="238">
        <f t="shared" si="11"/>
        <v>1.968055556</v>
      </c>
      <c r="G149" s="211"/>
      <c r="H149" s="131"/>
      <c r="I149" s="131"/>
      <c r="J149" s="131"/>
      <c r="K149" s="131"/>
      <c r="L149" s="131"/>
      <c r="M149" s="131"/>
      <c r="N149" s="131"/>
      <c r="O149" s="131"/>
      <c r="P149" s="131"/>
      <c r="Q149" s="131"/>
      <c r="R149" s="131"/>
      <c r="S149" s="131"/>
      <c r="T149" s="131"/>
      <c r="U149" s="131"/>
      <c r="V149" s="131"/>
      <c r="W149" s="131"/>
      <c r="X149" s="131"/>
      <c r="Y149" s="131"/>
      <c r="Z149" s="203"/>
    </row>
    <row r="150">
      <c r="A150" s="131"/>
      <c r="B150" s="131"/>
      <c r="C150" s="131"/>
      <c r="D150" s="131"/>
      <c r="E150" s="222"/>
      <c r="F150" s="132"/>
      <c r="G150" s="211"/>
      <c r="H150" s="131"/>
      <c r="I150" s="131"/>
      <c r="J150" s="131"/>
      <c r="K150" s="131"/>
      <c r="L150" s="131"/>
      <c r="M150" s="131"/>
      <c r="N150" s="131"/>
      <c r="O150" s="131"/>
      <c r="P150" s="131"/>
      <c r="Q150" s="131"/>
      <c r="R150" s="131"/>
      <c r="S150" s="131"/>
      <c r="T150" s="131"/>
      <c r="U150" s="131"/>
      <c r="V150" s="131"/>
      <c r="W150" s="131"/>
      <c r="X150" s="131"/>
      <c r="Y150" s="131"/>
      <c r="Z150" s="203"/>
    </row>
    <row r="151">
      <c r="A151" s="131"/>
      <c r="B151" s="131"/>
      <c r="C151" s="131"/>
      <c r="D151" s="131"/>
      <c r="E151" s="222"/>
      <c r="F151" s="132"/>
      <c r="G151" s="211"/>
      <c r="H151" s="131"/>
      <c r="I151" s="131"/>
      <c r="J151" s="131"/>
      <c r="K151" s="131"/>
      <c r="L151" s="131"/>
      <c r="M151" s="131"/>
      <c r="N151" s="131"/>
      <c r="O151" s="131"/>
      <c r="P151" s="131"/>
      <c r="Q151" s="131"/>
      <c r="R151" s="131"/>
      <c r="S151" s="131"/>
      <c r="T151" s="131"/>
      <c r="U151" s="131"/>
      <c r="V151" s="131"/>
      <c r="W151" s="131"/>
      <c r="X151" s="131"/>
      <c r="Y151" s="131"/>
      <c r="Z151" s="203"/>
    </row>
    <row r="152">
      <c r="A152" s="140" t="s">
        <v>605</v>
      </c>
      <c r="B152" s="131"/>
      <c r="C152" s="131"/>
      <c r="D152" s="131"/>
      <c r="E152" s="222"/>
      <c r="F152" s="132"/>
      <c r="G152" s="211"/>
      <c r="H152" s="131"/>
      <c r="I152" s="131"/>
      <c r="J152" s="131"/>
      <c r="K152" s="131"/>
      <c r="L152" s="131"/>
      <c r="M152" s="131"/>
      <c r="N152" s="131"/>
      <c r="O152" s="131"/>
      <c r="P152" s="131"/>
      <c r="Q152" s="131"/>
      <c r="R152" s="131"/>
      <c r="S152" s="131"/>
      <c r="T152" s="131"/>
      <c r="U152" s="131"/>
      <c r="V152" s="131"/>
      <c r="W152" s="131"/>
      <c r="X152" s="131"/>
      <c r="Y152" s="131"/>
      <c r="Z152" s="203"/>
    </row>
    <row r="153">
      <c r="A153" s="131"/>
      <c r="B153" s="131"/>
      <c r="C153" s="131"/>
      <c r="D153" s="131"/>
      <c r="E153" s="222"/>
      <c r="F153" s="132"/>
      <c r="G153" s="211"/>
      <c r="H153" s="131"/>
      <c r="I153" s="131"/>
      <c r="J153" s="131"/>
      <c r="K153" s="131"/>
      <c r="L153" s="131"/>
      <c r="M153" s="131"/>
      <c r="N153" s="131"/>
      <c r="O153" s="131"/>
      <c r="P153" s="131"/>
      <c r="Q153" s="131"/>
      <c r="R153" s="131"/>
      <c r="S153" s="131"/>
      <c r="T153" s="131"/>
      <c r="U153" s="131"/>
      <c r="V153" s="131"/>
      <c r="W153" s="131"/>
      <c r="X153" s="131"/>
      <c r="Y153" s="131"/>
      <c r="Z153" s="203"/>
    </row>
    <row r="154">
      <c r="A154" s="239" t="s">
        <v>0</v>
      </c>
      <c r="B154" s="239" t="s">
        <v>362</v>
      </c>
      <c r="C154" s="239" t="s">
        <v>534</v>
      </c>
      <c r="D154" s="239" t="s">
        <v>420</v>
      </c>
      <c r="E154" s="259" t="s">
        <v>3</v>
      </c>
      <c r="F154" s="214" t="s">
        <v>470</v>
      </c>
      <c r="G154" s="264" t="s">
        <v>471</v>
      </c>
      <c r="H154" s="131"/>
      <c r="I154" s="131"/>
      <c r="J154" s="131"/>
      <c r="K154" s="131"/>
      <c r="L154" s="131"/>
      <c r="M154" s="131"/>
      <c r="N154" s="131"/>
      <c r="O154" s="131"/>
      <c r="P154" s="131"/>
      <c r="Q154" s="131"/>
      <c r="R154" s="131"/>
      <c r="S154" s="131"/>
      <c r="T154" s="131"/>
      <c r="U154" s="131"/>
      <c r="V154" s="131"/>
      <c r="W154" s="131"/>
      <c r="X154" s="131"/>
      <c r="Y154" s="131"/>
      <c r="Z154" s="203"/>
    </row>
    <row r="155">
      <c r="A155" s="262" t="s">
        <v>474</v>
      </c>
      <c r="B155" s="262" t="s">
        <v>95</v>
      </c>
      <c r="C155" s="262">
        <v>1676.0</v>
      </c>
      <c r="D155" s="262">
        <v>8.51</v>
      </c>
      <c r="E155" s="260">
        <f t="shared" ref="E155:E158" si="12">D155*60</f>
        <v>510.6</v>
      </c>
      <c r="F155" s="265">
        <f t="shared" ref="F155:F159" si="13">E155/24/60</f>
        <v>0.3545833333</v>
      </c>
      <c r="G155" s="261" t="s">
        <v>606</v>
      </c>
      <c r="H155" s="266"/>
      <c r="I155" s="131"/>
      <c r="J155" s="131"/>
      <c r="K155" s="131"/>
      <c r="L155" s="131"/>
      <c r="M155" s="131"/>
      <c r="N155" s="131"/>
      <c r="O155" s="131"/>
      <c r="P155" s="131"/>
      <c r="Q155" s="131"/>
      <c r="R155" s="131"/>
      <c r="S155" s="131"/>
      <c r="T155" s="131"/>
      <c r="U155" s="131"/>
      <c r="V155" s="131"/>
      <c r="W155" s="131"/>
      <c r="X155" s="131"/>
      <c r="Y155" s="131"/>
      <c r="Z155" s="203"/>
    </row>
    <row r="156">
      <c r="A156" s="262" t="s">
        <v>474</v>
      </c>
      <c r="B156" s="262" t="s">
        <v>97</v>
      </c>
      <c r="C156" s="262">
        <v>438.0</v>
      </c>
      <c r="D156" s="262">
        <v>2.6</v>
      </c>
      <c r="E156" s="260">
        <f t="shared" si="12"/>
        <v>156</v>
      </c>
      <c r="F156" s="265">
        <f t="shared" si="13"/>
        <v>0.1083333333</v>
      </c>
      <c r="G156" s="261" t="s">
        <v>607</v>
      </c>
      <c r="H156" s="266"/>
      <c r="I156" s="131"/>
      <c r="J156" s="131"/>
      <c r="K156" s="131"/>
      <c r="L156" s="131"/>
      <c r="M156" s="131"/>
      <c r="N156" s="131"/>
      <c r="O156" s="131"/>
      <c r="P156" s="131"/>
      <c r="Q156" s="131"/>
      <c r="R156" s="131"/>
      <c r="S156" s="131"/>
      <c r="T156" s="131"/>
      <c r="U156" s="131"/>
      <c r="V156" s="131"/>
      <c r="W156" s="131"/>
      <c r="X156" s="131"/>
      <c r="Y156" s="131"/>
      <c r="Z156" s="203"/>
    </row>
    <row r="157">
      <c r="A157" s="262" t="s">
        <v>474</v>
      </c>
      <c r="B157" s="262" t="s">
        <v>57</v>
      </c>
      <c r="C157" s="262">
        <v>516.0</v>
      </c>
      <c r="D157" s="262">
        <v>2.25</v>
      </c>
      <c r="E157" s="260">
        <f t="shared" si="12"/>
        <v>135</v>
      </c>
      <c r="F157" s="265">
        <f t="shared" si="13"/>
        <v>0.09375</v>
      </c>
      <c r="G157" s="261" t="s">
        <v>608</v>
      </c>
      <c r="H157" s="266"/>
      <c r="I157" s="131"/>
      <c r="J157" s="131"/>
      <c r="K157" s="131"/>
      <c r="L157" s="131"/>
      <c r="M157" s="131"/>
      <c r="N157" s="131"/>
      <c r="O157" s="131"/>
      <c r="P157" s="131"/>
      <c r="Q157" s="131"/>
      <c r="R157" s="131"/>
      <c r="S157" s="131"/>
      <c r="T157" s="131"/>
      <c r="U157" s="131"/>
      <c r="V157" s="131"/>
      <c r="W157" s="131"/>
      <c r="X157" s="131"/>
      <c r="Y157" s="131"/>
      <c r="Z157" s="203"/>
    </row>
    <row r="158">
      <c r="A158" s="262" t="s">
        <v>474</v>
      </c>
      <c r="B158" s="262" t="s">
        <v>99</v>
      </c>
      <c r="C158" s="262">
        <v>405.0</v>
      </c>
      <c r="D158" s="262">
        <v>2.47</v>
      </c>
      <c r="E158" s="260">
        <f t="shared" si="12"/>
        <v>148.2</v>
      </c>
      <c r="F158" s="265">
        <f t="shared" si="13"/>
        <v>0.1029166667</v>
      </c>
      <c r="G158" s="261" t="s">
        <v>609</v>
      </c>
      <c r="H158" s="266"/>
      <c r="I158" s="131"/>
      <c r="J158" s="131"/>
      <c r="K158" s="131"/>
      <c r="L158" s="131"/>
      <c r="M158" s="131"/>
      <c r="N158" s="131"/>
      <c r="O158" s="131"/>
      <c r="P158" s="131"/>
      <c r="Q158" s="131"/>
      <c r="R158" s="131"/>
      <c r="S158" s="131"/>
      <c r="T158" s="131"/>
      <c r="U158" s="131"/>
      <c r="V158" s="131"/>
      <c r="W158" s="131"/>
      <c r="X158" s="131"/>
      <c r="Y158" s="131"/>
      <c r="Z158" s="203"/>
    </row>
    <row r="159">
      <c r="A159" s="131"/>
      <c r="B159" s="131"/>
      <c r="C159" s="131"/>
      <c r="D159" s="212" t="s">
        <v>484</v>
      </c>
      <c r="E159" s="263">
        <f>SUM(E155:E158)</f>
        <v>949.8</v>
      </c>
      <c r="F159" s="238">
        <f t="shared" si="13"/>
        <v>0.6595833333</v>
      </c>
      <c r="G159" s="267"/>
      <c r="H159" s="131"/>
      <c r="I159" s="131"/>
      <c r="J159" s="131"/>
      <c r="K159" s="131"/>
      <c r="L159" s="131"/>
      <c r="M159" s="131"/>
      <c r="N159" s="131"/>
      <c r="O159" s="131"/>
      <c r="P159" s="131"/>
      <c r="Q159" s="131"/>
      <c r="R159" s="131"/>
      <c r="S159" s="131"/>
      <c r="T159" s="131"/>
      <c r="U159" s="131"/>
      <c r="V159" s="131"/>
      <c r="W159" s="131"/>
      <c r="X159" s="131"/>
      <c r="Y159" s="131"/>
      <c r="Z159" s="203"/>
    </row>
    <row r="160">
      <c r="A160" s="131"/>
      <c r="B160" s="262"/>
      <c r="C160" s="131"/>
      <c r="D160" s="131"/>
      <c r="E160" s="222"/>
      <c r="F160" s="132"/>
      <c r="G160" s="211"/>
      <c r="H160" s="131"/>
      <c r="I160" s="131"/>
      <c r="J160" s="131"/>
      <c r="K160" s="131"/>
      <c r="L160" s="131"/>
      <c r="M160" s="131"/>
      <c r="N160" s="131"/>
      <c r="O160" s="131"/>
      <c r="P160" s="131"/>
      <c r="Q160" s="131"/>
      <c r="R160" s="131"/>
      <c r="S160" s="131"/>
      <c r="T160" s="131"/>
      <c r="U160" s="131"/>
      <c r="V160" s="131"/>
      <c r="W160" s="131"/>
      <c r="X160" s="131"/>
      <c r="Y160" s="131"/>
      <c r="Z160" s="203"/>
    </row>
    <row r="161">
      <c r="A161" s="131"/>
      <c r="B161" s="262"/>
      <c r="C161" s="131"/>
      <c r="D161" s="131"/>
      <c r="E161" s="222"/>
      <c r="F161" s="132"/>
      <c r="G161" s="261"/>
      <c r="H161" s="131"/>
      <c r="I161" s="131"/>
      <c r="J161" s="131"/>
      <c r="K161" s="131"/>
      <c r="L161" s="131"/>
      <c r="M161" s="131"/>
      <c r="N161" s="131"/>
      <c r="O161" s="131"/>
      <c r="P161" s="131"/>
      <c r="Q161" s="131"/>
      <c r="R161" s="131"/>
      <c r="S161" s="131"/>
      <c r="T161" s="131"/>
      <c r="U161" s="131"/>
      <c r="V161" s="131"/>
      <c r="W161" s="131"/>
      <c r="X161" s="131"/>
      <c r="Y161" s="131"/>
      <c r="Z161" s="203"/>
    </row>
    <row r="162">
      <c r="A162" s="131"/>
      <c r="B162" s="262"/>
      <c r="C162" s="131"/>
      <c r="D162" s="131"/>
      <c r="E162" s="222"/>
      <c r="F162" s="132"/>
      <c r="G162" s="211"/>
      <c r="H162" s="131"/>
      <c r="I162" s="131"/>
      <c r="J162" s="131"/>
      <c r="K162" s="131"/>
      <c r="L162" s="131"/>
      <c r="M162" s="131"/>
      <c r="N162" s="131"/>
      <c r="O162" s="131"/>
      <c r="P162" s="131"/>
      <c r="Q162" s="131"/>
      <c r="R162" s="131"/>
      <c r="S162" s="131"/>
      <c r="T162" s="131"/>
      <c r="U162" s="131"/>
      <c r="V162" s="131"/>
      <c r="W162" s="131"/>
      <c r="X162" s="131"/>
      <c r="Y162" s="131"/>
      <c r="Z162" s="203"/>
    </row>
    <row r="163">
      <c r="A163" s="140" t="s">
        <v>610</v>
      </c>
      <c r="B163" s="131"/>
      <c r="C163" s="131"/>
      <c r="D163" s="131"/>
      <c r="E163" s="222"/>
      <c r="F163" s="132"/>
      <c r="G163" s="211"/>
      <c r="H163" s="131"/>
      <c r="I163" s="131"/>
      <c r="J163" s="131"/>
      <c r="K163" s="131"/>
      <c r="L163" s="131"/>
      <c r="M163" s="131"/>
      <c r="N163" s="131"/>
      <c r="O163" s="131"/>
      <c r="P163" s="131"/>
      <c r="Q163" s="131"/>
      <c r="R163" s="131"/>
      <c r="S163" s="131"/>
      <c r="T163" s="131"/>
      <c r="U163" s="131"/>
      <c r="V163" s="131"/>
      <c r="W163" s="131"/>
      <c r="X163" s="131"/>
      <c r="Y163" s="131"/>
      <c r="Z163" s="203"/>
    </row>
    <row r="164">
      <c r="A164" s="131"/>
      <c r="B164" s="131"/>
      <c r="C164" s="131"/>
      <c r="D164" s="131"/>
      <c r="E164" s="222"/>
      <c r="F164" s="132"/>
      <c r="G164" s="211"/>
      <c r="H164" s="131"/>
      <c r="I164" s="131"/>
      <c r="J164" s="131"/>
      <c r="K164" s="131"/>
      <c r="L164" s="131"/>
      <c r="M164" s="131"/>
      <c r="N164" s="131"/>
      <c r="O164" s="131"/>
      <c r="P164" s="131"/>
      <c r="Q164" s="131"/>
      <c r="R164" s="131"/>
      <c r="S164" s="131"/>
      <c r="T164" s="131"/>
      <c r="U164" s="131"/>
      <c r="V164" s="131"/>
      <c r="W164" s="131"/>
      <c r="X164" s="131"/>
      <c r="Y164" s="131"/>
      <c r="Z164" s="203"/>
    </row>
    <row r="165">
      <c r="A165" s="268" t="s">
        <v>0</v>
      </c>
      <c r="B165" s="268" t="s">
        <v>362</v>
      </c>
      <c r="C165" s="239" t="s">
        <v>534</v>
      </c>
      <c r="D165" s="239" t="s">
        <v>420</v>
      </c>
      <c r="E165" s="259" t="s">
        <v>3</v>
      </c>
      <c r="F165" s="214" t="s">
        <v>470</v>
      </c>
      <c r="G165" s="140" t="s">
        <v>471</v>
      </c>
      <c r="H165" s="131"/>
      <c r="I165" s="131"/>
      <c r="J165" s="131"/>
      <c r="K165" s="131"/>
      <c r="L165" s="131"/>
      <c r="M165" s="131"/>
      <c r="N165" s="131"/>
      <c r="O165" s="131"/>
      <c r="P165" s="131"/>
      <c r="Q165" s="131"/>
      <c r="R165" s="131"/>
      <c r="S165" s="131"/>
      <c r="T165" s="131"/>
      <c r="U165" s="131"/>
      <c r="V165" s="131"/>
      <c r="W165" s="131"/>
      <c r="X165" s="131"/>
      <c r="Y165" s="131"/>
      <c r="Z165" s="203"/>
    </row>
    <row r="166">
      <c r="A166" s="269" t="s">
        <v>611</v>
      </c>
      <c r="B166" s="269" t="s">
        <v>53</v>
      </c>
      <c r="C166" s="270">
        <v>310.0</v>
      </c>
      <c r="D166" s="270">
        <v>1.4815806</v>
      </c>
      <c r="E166" s="260">
        <f t="shared" ref="E166:E222" si="14">D166*60</f>
        <v>88.894836</v>
      </c>
      <c r="F166" s="132">
        <f t="shared" ref="F166:F223" si="15">E166/24/60</f>
        <v>0.061732525</v>
      </c>
      <c r="G166" s="271" t="s">
        <v>612</v>
      </c>
      <c r="H166" s="262">
        <v>87.8</v>
      </c>
      <c r="I166" s="272">
        <f t="shared" ref="I166:I223" si="16">E166-H166</f>
        <v>1.094836</v>
      </c>
      <c r="J166" s="131"/>
      <c r="K166" s="131"/>
      <c r="L166" s="131"/>
      <c r="M166" s="131"/>
      <c r="N166" s="131"/>
      <c r="O166" s="131"/>
      <c r="P166" s="131"/>
      <c r="Q166" s="131"/>
      <c r="R166" s="131"/>
      <c r="S166" s="131"/>
      <c r="T166" s="131"/>
      <c r="U166" s="131"/>
      <c r="V166" s="131"/>
      <c r="W166" s="131"/>
      <c r="X166" s="131"/>
      <c r="Y166" s="131"/>
      <c r="Z166" s="203"/>
    </row>
    <row r="167">
      <c r="A167" s="269" t="s">
        <v>7</v>
      </c>
      <c r="B167" s="269" t="s">
        <v>26</v>
      </c>
      <c r="C167" s="270">
        <v>520.0</v>
      </c>
      <c r="D167" s="270">
        <v>2.5222975</v>
      </c>
      <c r="E167" s="260">
        <f t="shared" si="14"/>
        <v>151.33785</v>
      </c>
      <c r="F167" s="132">
        <f t="shared" si="15"/>
        <v>0.1050957292</v>
      </c>
      <c r="G167" s="271" t="s">
        <v>613</v>
      </c>
      <c r="H167" s="262">
        <v>146.5</v>
      </c>
      <c r="I167" s="272">
        <f t="shared" si="16"/>
        <v>4.83785</v>
      </c>
      <c r="J167" s="131"/>
      <c r="K167" s="131"/>
      <c r="L167" s="131"/>
      <c r="M167" s="131"/>
      <c r="N167" s="131"/>
      <c r="O167" s="131"/>
      <c r="P167" s="131"/>
      <c r="Q167" s="131"/>
      <c r="R167" s="131"/>
      <c r="S167" s="131"/>
      <c r="T167" s="131"/>
      <c r="U167" s="131"/>
      <c r="V167" s="131"/>
      <c r="W167" s="131"/>
      <c r="X167" s="131"/>
      <c r="Y167" s="131"/>
      <c r="Z167" s="203"/>
    </row>
    <row r="168">
      <c r="A168" s="269" t="s">
        <v>7</v>
      </c>
      <c r="B168" s="269" t="s">
        <v>25</v>
      </c>
      <c r="C168" s="270">
        <v>527.0</v>
      </c>
      <c r="D168" s="270">
        <v>2.5248786</v>
      </c>
      <c r="E168" s="260">
        <f t="shared" si="14"/>
        <v>151.492716</v>
      </c>
      <c r="F168" s="132">
        <f t="shared" si="15"/>
        <v>0.105203275</v>
      </c>
      <c r="G168" s="271" t="s">
        <v>614</v>
      </c>
      <c r="H168" s="262">
        <v>145.8</v>
      </c>
      <c r="I168" s="272">
        <f t="shared" si="16"/>
        <v>5.692716</v>
      </c>
      <c r="J168" s="131"/>
      <c r="K168" s="131"/>
      <c r="L168" s="131"/>
      <c r="M168" s="131"/>
      <c r="N168" s="131"/>
      <c r="O168" s="131"/>
      <c r="P168" s="131"/>
      <c r="Q168" s="131"/>
      <c r="R168" s="131"/>
      <c r="S168" s="131"/>
      <c r="T168" s="131"/>
      <c r="U168" s="131"/>
      <c r="V168" s="131"/>
      <c r="W168" s="131"/>
      <c r="X168" s="131"/>
      <c r="Y168" s="131"/>
      <c r="Z168" s="203"/>
    </row>
    <row r="169">
      <c r="A169" s="269" t="s">
        <v>7</v>
      </c>
      <c r="B169" s="269" t="s">
        <v>41</v>
      </c>
      <c r="C169" s="270">
        <v>631.0</v>
      </c>
      <c r="D169" s="270">
        <v>3.1037014</v>
      </c>
      <c r="E169" s="260">
        <f t="shared" si="14"/>
        <v>186.222084</v>
      </c>
      <c r="F169" s="132">
        <f t="shared" si="15"/>
        <v>0.1293208917</v>
      </c>
      <c r="G169" s="271" t="s">
        <v>615</v>
      </c>
      <c r="H169" s="262">
        <v>182.4</v>
      </c>
      <c r="I169" s="272">
        <f t="shared" si="16"/>
        <v>3.822084</v>
      </c>
      <c r="J169" s="131"/>
      <c r="K169" s="131"/>
      <c r="L169" s="131"/>
      <c r="M169" s="131"/>
      <c r="N169" s="131"/>
      <c r="O169" s="131"/>
      <c r="P169" s="131"/>
      <c r="Q169" s="131"/>
      <c r="R169" s="131"/>
      <c r="S169" s="131"/>
      <c r="T169" s="131"/>
      <c r="U169" s="131"/>
      <c r="V169" s="131"/>
      <c r="W169" s="131"/>
      <c r="X169" s="131"/>
      <c r="Y169" s="131"/>
      <c r="Z169" s="203"/>
    </row>
    <row r="170">
      <c r="A170" s="269" t="s">
        <v>7</v>
      </c>
      <c r="B170" s="269" t="s">
        <v>32</v>
      </c>
      <c r="C170" s="270">
        <v>184.0</v>
      </c>
      <c r="D170" s="270">
        <v>0.8486753</v>
      </c>
      <c r="E170" s="260">
        <f t="shared" si="14"/>
        <v>50.920518</v>
      </c>
      <c r="F170" s="132">
        <f t="shared" si="15"/>
        <v>0.03536147083</v>
      </c>
      <c r="G170" s="271" t="s">
        <v>616</v>
      </c>
      <c r="H170" s="262">
        <v>50.0</v>
      </c>
      <c r="I170" s="272">
        <f t="shared" si="16"/>
        <v>0.920518</v>
      </c>
      <c r="J170" s="131"/>
      <c r="K170" s="131"/>
      <c r="L170" s="131"/>
      <c r="M170" s="131"/>
      <c r="N170" s="131"/>
      <c r="O170" s="131"/>
      <c r="P170" s="131"/>
      <c r="Q170" s="131"/>
      <c r="R170" s="131"/>
      <c r="S170" s="131"/>
      <c r="T170" s="131"/>
      <c r="U170" s="131"/>
      <c r="V170" s="131"/>
      <c r="W170" s="131"/>
      <c r="X170" s="131"/>
      <c r="Y170" s="131"/>
      <c r="Z170" s="203"/>
    </row>
    <row r="171">
      <c r="A171" s="269" t="s">
        <v>7</v>
      </c>
      <c r="B171" s="269" t="s">
        <v>24</v>
      </c>
      <c r="C171" s="270">
        <v>174.0</v>
      </c>
      <c r="D171" s="270">
        <v>0.7833378</v>
      </c>
      <c r="E171" s="260">
        <f t="shared" si="14"/>
        <v>47.000268</v>
      </c>
      <c r="F171" s="132">
        <f t="shared" si="15"/>
        <v>0.032639075</v>
      </c>
      <c r="G171" s="271" t="s">
        <v>617</v>
      </c>
      <c r="H171" s="262">
        <v>45.5</v>
      </c>
      <c r="I171" s="272">
        <f t="shared" si="16"/>
        <v>1.500268</v>
      </c>
      <c r="J171" s="131"/>
      <c r="K171" s="131"/>
      <c r="L171" s="131"/>
      <c r="M171" s="131"/>
      <c r="N171" s="131"/>
      <c r="O171" s="131"/>
      <c r="P171" s="131"/>
      <c r="Q171" s="131"/>
      <c r="R171" s="131"/>
      <c r="S171" s="131"/>
      <c r="T171" s="131"/>
      <c r="U171" s="131"/>
      <c r="V171" s="131"/>
      <c r="W171" s="131"/>
      <c r="X171" s="131"/>
      <c r="Y171" s="131"/>
      <c r="Z171" s="203"/>
    </row>
    <row r="172">
      <c r="A172" s="269" t="s">
        <v>7</v>
      </c>
      <c r="B172" s="269" t="s">
        <v>21</v>
      </c>
      <c r="C172" s="270">
        <v>233.0</v>
      </c>
      <c r="D172" s="270">
        <v>1.2069408</v>
      </c>
      <c r="E172" s="260">
        <f t="shared" si="14"/>
        <v>72.416448</v>
      </c>
      <c r="F172" s="132">
        <f t="shared" si="15"/>
        <v>0.0502892</v>
      </c>
      <c r="G172" s="271" t="s">
        <v>618</v>
      </c>
      <c r="H172" s="262">
        <v>72.0</v>
      </c>
      <c r="I172" s="272">
        <f t="shared" si="16"/>
        <v>0.416448</v>
      </c>
      <c r="J172" s="131"/>
      <c r="K172" s="131"/>
      <c r="L172" s="131"/>
      <c r="M172" s="131"/>
      <c r="N172" s="131"/>
      <c r="O172" s="131"/>
      <c r="P172" s="131"/>
      <c r="Q172" s="131"/>
      <c r="R172" s="131"/>
      <c r="S172" s="131"/>
      <c r="T172" s="131"/>
      <c r="U172" s="131"/>
      <c r="V172" s="131"/>
      <c r="W172" s="131"/>
      <c r="X172" s="131"/>
      <c r="Y172" s="131"/>
      <c r="Z172" s="203"/>
    </row>
    <row r="173">
      <c r="A173" s="269" t="s">
        <v>7</v>
      </c>
      <c r="B173" s="269" t="s">
        <v>33</v>
      </c>
      <c r="C173" s="270">
        <v>209.0</v>
      </c>
      <c r="D173" s="270">
        <v>1.0337875</v>
      </c>
      <c r="E173" s="260">
        <f t="shared" si="14"/>
        <v>62.02725</v>
      </c>
      <c r="F173" s="132">
        <f t="shared" si="15"/>
        <v>0.04307447917</v>
      </c>
      <c r="G173" s="271" t="s">
        <v>619</v>
      </c>
      <c r="H173" s="262">
        <v>59.3</v>
      </c>
      <c r="I173" s="272">
        <f t="shared" si="16"/>
        <v>2.72725</v>
      </c>
      <c r="J173" s="131"/>
      <c r="K173" s="131"/>
      <c r="L173" s="131"/>
      <c r="M173" s="131"/>
      <c r="N173" s="131"/>
      <c r="O173" s="131"/>
      <c r="P173" s="131"/>
      <c r="Q173" s="131"/>
      <c r="R173" s="131"/>
      <c r="S173" s="131"/>
      <c r="T173" s="131"/>
      <c r="U173" s="131"/>
      <c r="V173" s="131"/>
      <c r="W173" s="131"/>
      <c r="X173" s="131"/>
      <c r="Y173" s="131"/>
      <c r="Z173" s="203"/>
    </row>
    <row r="174">
      <c r="A174" s="269" t="s">
        <v>7</v>
      </c>
      <c r="B174" s="269" t="s">
        <v>30</v>
      </c>
      <c r="C174" s="270">
        <v>582.0</v>
      </c>
      <c r="D174" s="270">
        <v>2.6322503</v>
      </c>
      <c r="E174" s="260">
        <f t="shared" si="14"/>
        <v>157.935018</v>
      </c>
      <c r="F174" s="132">
        <f t="shared" si="15"/>
        <v>0.1096770958</v>
      </c>
      <c r="G174" s="271" t="s">
        <v>620</v>
      </c>
      <c r="H174" s="262">
        <v>156.1</v>
      </c>
      <c r="I174" s="272">
        <f t="shared" si="16"/>
        <v>1.835018</v>
      </c>
      <c r="J174" s="131"/>
      <c r="K174" s="131"/>
      <c r="L174" s="131"/>
      <c r="M174" s="131"/>
      <c r="N174" s="131"/>
      <c r="O174" s="131"/>
      <c r="P174" s="131"/>
      <c r="Q174" s="131"/>
      <c r="R174" s="131"/>
      <c r="S174" s="131"/>
      <c r="T174" s="131"/>
      <c r="U174" s="131"/>
      <c r="V174" s="131"/>
      <c r="W174" s="131"/>
      <c r="X174" s="131"/>
      <c r="Y174" s="131"/>
      <c r="Z174" s="203"/>
    </row>
    <row r="175">
      <c r="A175" s="269" t="s">
        <v>7</v>
      </c>
      <c r="B175" s="270" t="s">
        <v>34</v>
      </c>
      <c r="C175" s="270">
        <v>279.0</v>
      </c>
      <c r="D175" s="270">
        <v>1.4200528</v>
      </c>
      <c r="E175" s="260">
        <f t="shared" si="14"/>
        <v>85.203168</v>
      </c>
      <c r="F175" s="132">
        <f t="shared" si="15"/>
        <v>0.05916886667</v>
      </c>
      <c r="G175" s="271" t="s">
        <v>621</v>
      </c>
      <c r="H175" s="262">
        <v>84.1</v>
      </c>
      <c r="I175" s="272">
        <f t="shared" si="16"/>
        <v>1.103168</v>
      </c>
      <c r="J175" s="131"/>
      <c r="K175" s="131"/>
      <c r="L175" s="131"/>
      <c r="M175" s="131"/>
      <c r="N175" s="131"/>
      <c r="O175" s="131"/>
      <c r="P175" s="131"/>
      <c r="Q175" s="131"/>
      <c r="R175" s="131"/>
      <c r="S175" s="131"/>
      <c r="T175" s="131"/>
      <c r="U175" s="131"/>
      <c r="V175" s="131"/>
      <c r="W175" s="131"/>
      <c r="X175" s="131"/>
      <c r="Y175" s="131"/>
      <c r="Z175" s="203"/>
    </row>
    <row r="176">
      <c r="A176" s="269" t="s">
        <v>7</v>
      </c>
      <c r="B176" s="269" t="s">
        <v>40</v>
      </c>
      <c r="C176" s="270">
        <v>318.0</v>
      </c>
      <c r="D176" s="270">
        <v>1.2970311</v>
      </c>
      <c r="E176" s="260">
        <f t="shared" si="14"/>
        <v>77.821866</v>
      </c>
      <c r="F176" s="132">
        <f t="shared" si="15"/>
        <v>0.0540429625</v>
      </c>
      <c r="G176" s="271" t="s">
        <v>622</v>
      </c>
      <c r="H176" s="262">
        <v>75.9</v>
      </c>
      <c r="I176" s="272">
        <f t="shared" si="16"/>
        <v>1.921866</v>
      </c>
      <c r="J176" s="131"/>
      <c r="K176" s="131"/>
      <c r="L176" s="131"/>
      <c r="M176" s="131"/>
      <c r="N176" s="131"/>
      <c r="O176" s="131"/>
      <c r="P176" s="131"/>
      <c r="Q176" s="131"/>
      <c r="R176" s="131"/>
      <c r="S176" s="131"/>
      <c r="T176" s="131"/>
      <c r="U176" s="131"/>
      <c r="V176" s="131"/>
      <c r="W176" s="131"/>
      <c r="X176" s="131"/>
      <c r="Y176" s="131"/>
      <c r="Z176" s="203"/>
    </row>
    <row r="177">
      <c r="A177" s="269" t="s">
        <v>7</v>
      </c>
      <c r="B177" s="269" t="s">
        <v>8</v>
      </c>
      <c r="C177" s="270">
        <v>799.0</v>
      </c>
      <c r="D177" s="270">
        <v>3.6841503</v>
      </c>
      <c r="E177" s="260">
        <f t="shared" si="14"/>
        <v>221.049018</v>
      </c>
      <c r="F177" s="132">
        <f t="shared" si="15"/>
        <v>0.1535062625</v>
      </c>
      <c r="G177" s="271" t="s">
        <v>623</v>
      </c>
      <c r="H177" s="262">
        <v>220.0</v>
      </c>
      <c r="I177" s="272">
        <f t="shared" si="16"/>
        <v>1.049018</v>
      </c>
      <c r="J177" s="131"/>
      <c r="K177" s="131"/>
      <c r="L177" s="131"/>
      <c r="M177" s="131"/>
      <c r="N177" s="131"/>
      <c r="O177" s="131"/>
      <c r="P177" s="131"/>
      <c r="Q177" s="131"/>
      <c r="R177" s="131"/>
      <c r="S177" s="131"/>
      <c r="T177" s="131"/>
      <c r="U177" s="131"/>
      <c r="V177" s="131"/>
      <c r="W177" s="131"/>
      <c r="X177" s="131"/>
      <c r="Y177" s="131"/>
      <c r="Z177" s="203"/>
    </row>
    <row r="178">
      <c r="A178" s="269" t="s">
        <v>7</v>
      </c>
      <c r="B178" s="269" t="s">
        <v>44</v>
      </c>
      <c r="C178" s="270">
        <v>466.0</v>
      </c>
      <c r="D178" s="270">
        <v>2.0754011</v>
      </c>
      <c r="E178" s="260">
        <f t="shared" si="14"/>
        <v>124.524066</v>
      </c>
      <c r="F178" s="132">
        <f t="shared" si="15"/>
        <v>0.08647504583</v>
      </c>
      <c r="G178" s="271" t="s">
        <v>624</v>
      </c>
      <c r="H178" s="262">
        <v>119.8</v>
      </c>
      <c r="I178" s="272">
        <f t="shared" si="16"/>
        <v>4.724066</v>
      </c>
      <c r="J178" s="131"/>
      <c r="K178" s="131"/>
      <c r="L178" s="131"/>
      <c r="M178" s="131"/>
      <c r="N178" s="131"/>
      <c r="O178" s="131"/>
      <c r="P178" s="131"/>
      <c r="Q178" s="131"/>
      <c r="R178" s="131"/>
      <c r="S178" s="131"/>
      <c r="T178" s="131"/>
      <c r="U178" s="131"/>
      <c r="V178" s="131"/>
      <c r="W178" s="131"/>
      <c r="X178" s="131"/>
      <c r="Y178" s="131"/>
      <c r="Z178" s="203"/>
    </row>
    <row r="179">
      <c r="A179" s="269" t="s">
        <v>7</v>
      </c>
      <c r="B179" s="269" t="s">
        <v>43</v>
      </c>
      <c r="C179" s="270">
        <v>700.0</v>
      </c>
      <c r="D179" s="270">
        <v>3.2579961</v>
      </c>
      <c r="E179" s="260">
        <f t="shared" si="14"/>
        <v>195.479766</v>
      </c>
      <c r="F179" s="132">
        <f t="shared" si="15"/>
        <v>0.1357498375</v>
      </c>
      <c r="G179" s="271" t="s">
        <v>625</v>
      </c>
      <c r="H179" s="262">
        <v>198.5</v>
      </c>
      <c r="I179" s="272">
        <f t="shared" si="16"/>
        <v>-3.020234</v>
      </c>
      <c r="J179" s="131"/>
      <c r="K179" s="131"/>
      <c r="L179" s="131"/>
      <c r="M179" s="131"/>
      <c r="N179" s="131"/>
      <c r="O179" s="131"/>
      <c r="P179" s="131"/>
      <c r="Q179" s="131"/>
      <c r="R179" s="131"/>
      <c r="S179" s="131"/>
      <c r="T179" s="131"/>
      <c r="U179" s="131"/>
      <c r="V179" s="131"/>
      <c r="W179" s="131"/>
      <c r="X179" s="131"/>
      <c r="Y179" s="131"/>
      <c r="Z179" s="203"/>
    </row>
    <row r="180">
      <c r="A180" s="269" t="s">
        <v>7</v>
      </c>
      <c r="B180" s="269" t="s">
        <v>19</v>
      </c>
      <c r="C180" s="270">
        <v>1342.0</v>
      </c>
      <c r="D180" s="270">
        <v>6.4025714</v>
      </c>
      <c r="E180" s="260">
        <f t="shared" si="14"/>
        <v>384.154284</v>
      </c>
      <c r="F180" s="132">
        <f t="shared" si="15"/>
        <v>0.2667738083</v>
      </c>
      <c r="G180" s="271" t="s">
        <v>626</v>
      </c>
      <c r="H180" s="262">
        <v>378.9</v>
      </c>
      <c r="I180" s="272">
        <f t="shared" si="16"/>
        <v>5.254284</v>
      </c>
      <c r="J180" s="131"/>
      <c r="K180" s="131"/>
      <c r="L180" s="131"/>
      <c r="M180" s="131"/>
      <c r="N180" s="131"/>
      <c r="O180" s="131"/>
      <c r="P180" s="131"/>
      <c r="Q180" s="131"/>
      <c r="R180" s="131"/>
      <c r="S180" s="131"/>
      <c r="T180" s="131"/>
      <c r="U180" s="131"/>
      <c r="V180" s="131"/>
      <c r="W180" s="131"/>
      <c r="X180" s="131"/>
      <c r="Y180" s="131"/>
      <c r="Z180" s="203"/>
    </row>
    <row r="181">
      <c r="A181" s="269" t="s">
        <v>7</v>
      </c>
      <c r="B181" s="269" t="s">
        <v>422</v>
      </c>
      <c r="C181" s="270">
        <v>1053.0</v>
      </c>
      <c r="D181" s="270">
        <v>5.2162444</v>
      </c>
      <c r="E181" s="260">
        <f t="shared" si="14"/>
        <v>312.974664</v>
      </c>
      <c r="F181" s="132">
        <f t="shared" si="15"/>
        <v>0.2173435167</v>
      </c>
      <c r="G181" s="271" t="s">
        <v>627</v>
      </c>
      <c r="H181" s="262">
        <v>308.4</v>
      </c>
      <c r="I181" s="272">
        <f t="shared" si="16"/>
        <v>4.574664</v>
      </c>
      <c r="J181" s="131"/>
      <c r="K181" s="131"/>
      <c r="L181" s="131"/>
      <c r="M181" s="131"/>
      <c r="N181" s="131"/>
      <c r="O181" s="131"/>
      <c r="P181" s="131"/>
      <c r="Q181" s="131"/>
      <c r="R181" s="131"/>
      <c r="S181" s="131"/>
      <c r="T181" s="131"/>
      <c r="U181" s="131"/>
      <c r="V181" s="131"/>
      <c r="W181" s="131"/>
      <c r="X181" s="131"/>
      <c r="Y181" s="131"/>
      <c r="Z181" s="203"/>
    </row>
    <row r="182">
      <c r="A182" s="269" t="s">
        <v>7</v>
      </c>
      <c r="B182" s="269" t="s">
        <v>22</v>
      </c>
      <c r="C182" s="270">
        <v>474.0</v>
      </c>
      <c r="D182" s="270">
        <v>2.1079197</v>
      </c>
      <c r="E182" s="260">
        <f t="shared" si="14"/>
        <v>126.475182</v>
      </c>
      <c r="F182" s="132">
        <f t="shared" si="15"/>
        <v>0.0878299875</v>
      </c>
      <c r="G182" s="271" t="s">
        <v>628</v>
      </c>
      <c r="H182" s="262">
        <v>124.4</v>
      </c>
      <c r="I182" s="272">
        <f t="shared" si="16"/>
        <v>2.075182</v>
      </c>
      <c r="J182" s="131"/>
      <c r="K182" s="131"/>
      <c r="L182" s="131"/>
      <c r="M182" s="131"/>
      <c r="N182" s="131"/>
      <c r="O182" s="131"/>
      <c r="P182" s="131"/>
      <c r="Q182" s="131"/>
      <c r="R182" s="131"/>
      <c r="S182" s="131"/>
      <c r="T182" s="131"/>
      <c r="U182" s="131"/>
      <c r="V182" s="131"/>
      <c r="W182" s="131"/>
      <c r="X182" s="131"/>
      <c r="Y182" s="131"/>
      <c r="Z182" s="203"/>
    </row>
    <row r="183">
      <c r="A183" s="269" t="s">
        <v>7</v>
      </c>
      <c r="B183" s="269" t="s">
        <v>20</v>
      </c>
      <c r="C183" s="270">
        <v>118.0</v>
      </c>
      <c r="D183" s="270">
        <v>0.550385</v>
      </c>
      <c r="E183" s="260">
        <f t="shared" si="14"/>
        <v>33.0231</v>
      </c>
      <c r="F183" s="132">
        <f t="shared" si="15"/>
        <v>0.02293270833</v>
      </c>
      <c r="G183" s="271" t="s">
        <v>629</v>
      </c>
      <c r="H183" s="262">
        <v>32.8</v>
      </c>
      <c r="I183" s="272">
        <f t="shared" si="16"/>
        <v>0.2231</v>
      </c>
      <c r="J183" s="131"/>
      <c r="K183" s="131"/>
      <c r="L183" s="131"/>
      <c r="M183" s="131"/>
      <c r="N183" s="131"/>
      <c r="O183" s="131"/>
      <c r="P183" s="131"/>
      <c r="Q183" s="131"/>
      <c r="R183" s="131"/>
      <c r="S183" s="131"/>
      <c r="T183" s="131"/>
      <c r="U183" s="131"/>
      <c r="V183" s="131"/>
      <c r="W183" s="131"/>
      <c r="X183" s="131"/>
      <c r="Y183" s="131"/>
      <c r="Z183" s="203"/>
    </row>
    <row r="184">
      <c r="A184" s="270" t="s">
        <v>54</v>
      </c>
      <c r="B184" s="270" t="s">
        <v>56</v>
      </c>
      <c r="C184" s="270">
        <v>521.0</v>
      </c>
      <c r="D184" s="270">
        <v>2.6408164</v>
      </c>
      <c r="E184" s="260">
        <f t="shared" si="14"/>
        <v>158.448984</v>
      </c>
      <c r="F184" s="132">
        <f t="shared" si="15"/>
        <v>0.1100340167</v>
      </c>
      <c r="G184" s="271" t="s">
        <v>630</v>
      </c>
      <c r="H184" s="262">
        <v>149.9</v>
      </c>
      <c r="I184" s="272">
        <f t="shared" si="16"/>
        <v>8.548984</v>
      </c>
      <c r="J184" s="131"/>
      <c r="K184" s="131"/>
      <c r="L184" s="131"/>
      <c r="M184" s="131"/>
      <c r="N184" s="131"/>
      <c r="O184" s="131"/>
      <c r="P184" s="131"/>
      <c r="Q184" s="131"/>
      <c r="R184" s="131"/>
      <c r="S184" s="131"/>
      <c r="T184" s="131"/>
      <c r="U184" s="131"/>
      <c r="V184" s="131"/>
      <c r="W184" s="131"/>
      <c r="X184" s="131"/>
      <c r="Y184" s="131"/>
      <c r="Z184" s="203"/>
    </row>
    <row r="185">
      <c r="A185" s="269" t="s">
        <v>54</v>
      </c>
      <c r="B185" s="269" t="s">
        <v>60</v>
      </c>
      <c r="C185" s="270">
        <v>147.0</v>
      </c>
      <c r="D185" s="270">
        <v>0.733885</v>
      </c>
      <c r="E185" s="260">
        <f t="shared" si="14"/>
        <v>44.0331</v>
      </c>
      <c r="F185" s="132">
        <f t="shared" si="15"/>
        <v>0.03057854167</v>
      </c>
      <c r="G185" s="271" t="s">
        <v>631</v>
      </c>
      <c r="H185" s="262">
        <v>44.7</v>
      </c>
      <c r="I185" s="272">
        <f t="shared" si="16"/>
        <v>-0.6669</v>
      </c>
      <c r="J185" s="131"/>
      <c r="K185" s="131"/>
      <c r="L185" s="131"/>
      <c r="M185" s="131"/>
      <c r="N185" s="131"/>
      <c r="O185" s="131"/>
      <c r="P185" s="131"/>
      <c r="Q185" s="131"/>
      <c r="R185" s="131"/>
      <c r="S185" s="131"/>
      <c r="T185" s="131"/>
      <c r="U185" s="131"/>
      <c r="V185" s="131"/>
      <c r="W185" s="131"/>
      <c r="X185" s="131"/>
      <c r="Y185" s="131"/>
      <c r="Z185" s="203"/>
    </row>
    <row r="186">
      <c r="A186" s="269" t="s">
        <v>54</v>
      </c>
      <c r="B186" s="269" t="s">
        <v>62</v>
      </c>
      <c r="C186" s="270">
        <v>285.0</v>
      </c>
      <c r="D186" s="270">
        <v>1.4322483</v>
      </c>
      <c r="E186" s="260">
        <f t="shared" si="14"/>
        <v>85.934898</v>
      </c>
      <c r="F186" s="132">
        <f t="shared" si="15"/>
        <v>0.0596770125</v>
      </c>
      <c r="G186" s="271" t="s">
        <v>632</v>
      </c>
      <c r="H186" s="262">
        <v>85.3</v>
      </c>
      <c r="I186" s="272">
        <f t="shared" si="16"/>
        <v>0.634898</v>
      </c>
      <c r="J186" s="131"/>
      <c r="K186" s="131"/>
      <c r="L186" s="131"/>
      <c r="M186" s="131"/>
      <c r="N186" s="131"/>
      <c r="O186" s="131"/>
      <c r="P186" s="131"/>
      <c r="Q186" s="131"/>
      <c r="R186" s="131"/>
      <c r="S186" s="131"/>
      <c r="T186" s="131"/>
      <c r="U186" s="131"/>
      <c r="V186" s="131"/>
      <c r="W186" s="131"/>
      <c r="X186" s="131"/>
      <c r="Y186" s="131"/>
      <c r="Z186" s="203"/>
    </row>
    <row r="187">
      <c r="A187" s="269" t="s">
        <v>54</v>
      </c>
      <c r="B187" s="269" t="s">
        <v>64</v>
      </c>
      <c r="C187" s="270">
        <v>238.0</v>
      </c>
      <c r="D187" s="270">
        <v>1.1429175</v>
      </c>
      <c r="E187" s="260">
        <f t="shared" si="14"/>
        <v>68.57505</v>
      </c>
      <c r="F187" s="132">
        <f t="shared" si="15"/>
        <v>0.0476215625</v>
      </c>
      <c r="G187" s="271" t="s">
        <v>633</v>
      </c>
      <c r="H187" s="262">
        <v>67.0</v>
      </c>
      <c r="I187" s="272">
        <f t="shared" si="16"/>
        <v>1.57505</v>
      </c>
      <c r="J187" s="131"/>
      <c r="K187" s="131"/>
      <c r="L187" s="131"/>
      <c r="M187" s="131"/>
      <c r="N187" s="131"/>
      <c r="O187" s="131"/>
      <c r="P187" s="131"/>
      <c r="Q187" s="131"/>
      <c r="R187" s="131"/>
      <c r="S187" s="131"/>
      <c r="T187" s="131"/>
      <c r="U187" s="131"/>
      <c r="V187" s="131"/>
      <c r="W187" s="131"/>
      <c r="X187" s="131"/>
      <c r="Y187" s="131"/>
      <c r="Z187" s="203"/>
    </row>
    <row r="188">
      <c r="A188" s="269" t="s">
        <v>54</v>
      </c>
      <c r="B188" s="269" t="s">
        <v>59</v>
      </c>
      <c r="C188" s="270">
        <v>327.0</v>
      </c>
      <c r="D188" s="270">
        <v>1.5952481</v>
      </c>
      <c r="E188" s="260">
        <f t="shared" si="14"/>
        <v>95.714886</v>
      </c>
      <c r="F188" s="132">
        <f t="shared" si="15"/>
        <v>0.06646867083</v>
      </c>
      <c r="G188" s="271" t="s">
        <v>634</v>
      </c>
      <c r="H188" s="262">
        <v>93.6</v>
      </c>
      <c r="I188" s="272">
        <f t="shared" si="16"/>
        <v>2.114886</v>
      </c>
      <c r="J188" s="131"/>
      <c r="K188" s="131"/>
      <c r="L188" s="131"/>
      <c r="M188" s="131"/>
      <c r="N188" s="131"/>
      <c r="O188" s="131"/>
      <c r="P188" s="131"/>
      <c r="Q188" s="131"/>
      <c r="R188" s="131"/>
      <c r="S188" s="131"/>
      <c r="T188" s="131"/>
      <c r="U188" s="131"/>
      <c r="V188" s="131"/>
      <c r="W188" s="131"/>
      <c r="X188" s="131"/>
      <c r="Y188" s="131"/>
      <c r="Z188" s="203"/>
    </row>
    <row r="189">
      <c r="A189" s="269" t="s">
        <v>54</v>
      </c>
      <c r="B189" s="269" t="s">
        <v>65</v>
      </c>
      <c r="C189" s="270">
        <v>484.0</v>
      </c>
      <c r="D189" s="270">
        <v>2.2288408</v>
      </c>
      <c r="E189" s="260">
        <f t="shared" si="14"/>
        <v>133.730448</v>
      </c>
      <c r="F189" s="132">
        <f t="shared" si="15"/>
        <v>0.09286836667</v>
      </c>
      <c r="G189" s="271" t="s">
        <v>635</v>
      </c>
      <c r="H189" s="262">
        <v>132.5</v>
      </c>
      <c r="I189" s="272">
        <f t="shared" si="16"/>
        <v>1.230448</v>
      </c>
      <c r="J189" s="131"/>
      <c r="K189" s="131"/>
      <c r="L189" s="131"/>
      <c r="M189" s="131"/>
      <c r="N189" s="131"/>
      <c r="O189" s="131"/>
      <c r="P189" s="131"/>
      <c r="Q189" s="131"/>
      <c r="R189" s="131"/>
      <c r="S189" s="131"/>
      <c r="T189" s="131"/>
      <c r="U189" s="131"/>
      <c r="V189" s="131"/>
      <c r="W189" s="131"/>
      <c r="X189" s="131"/>
      <c r="Y189" s="131"/>
      <c r="Z189" s="203"/>
    </row>
    <row r="190">
      <c r="A190" s="269" t="s">
        <v>54</v>
      </c>
      <c r="B190" s="269" t="s">
        <v>63</v>
      </c>
      <c r="C190" s="270">
        <v>197.0</v>
      </c>
      <c r="D190" s="270">
        <v>0.9630247</v>
      </c>
      <c r="E190" s="260">
        <f t="shared" si="14"/>
        <v>57.781482</v>
      </c>
      <c r="F190" s="132">
        <f t="shared" si="15"/>
        <v>0.04012602917</v>
      </c>
      <c r="G190" s="271" t="s">
        <v>636</v>
      </c>
      <c r="H190" s="262">
        <v>55.6</v>
      </c>
      <c r="I190" s="272">
        <f t="shared" si="16"/>
        <v>2.181482</v>
      </c>
      <c r="J190" s="131"/>
      <c r="K190" s="131"/>
      <c r="L190" s="131"/>
      <c r="M190" s="131"/>
      <c r="N190" s="131"/>
      <c r="O190" s="131"/>
      <c r="P190" s="131"/>
      <c r="Q190" s="131"/>
      <c r="R190" s="131"/>
      <c r="S190" s="131"/>
      <c r="T190" s="131"/>
      <c r="U190" s="131"/>
      <c r="V190" s="131"/>
      <c r="W190" s="131"/>
      <c r="X190" s="131"/>
      <c r="Y190" s="131"/>
      <c r="Z190" s="203"/>
    </row>
    <row r="191">
      <c r="A191" s="269" t="s">
        <v>54</v>
      </c>
      <c r="B191" s="269" t="s">
        <v>58</v>
      </c>
      <c r="C191" s="270">
        <v>429.0</v>
      </c>
      <c r="D191" s="270">
        <v>2.2176269</v>
      </c>
      <c r="E191" s="260">
        <f t="shared" si="14"/>
        <v>133.057614</v>
      </c>
      <c r="F191" s="132">
        <f t="shared" si="15"/>
        <v>0.09240112083</v>
      </c>
      <c r="G191" s="271" t="s">
        <v>637</v>
      </c>
      <c r="H191" s="262">
        <v>128.6</v>
      </c>
      <c r="I191" s="272">
        <f t="shared" si="16"/>
        <v>4.457614</v>
      </c>
      <c r="J191" s="131"/>
      <c r="K191" s="131"/>
      <c r="L191" s="131"/>
      <c r="M191" s="131"/>
      <c r="N191" s="131"/>
      <c r="O191" s="131"/>
      <c r="P191" s="131"/>
      <c r="Q191" s="131"/>
      <c r="R191" s="131"/>
      <c r="S191" s="131"/>
      <c r="T191" s="131"/>
      <c r="U191" s="131"/>
      <c r="V191" s="131"/>
      <c r="W191" s="131"/>
      <c r="X191" s="131"/>
      <c r="Y191" s="131"/>
      <c r="Z191" s="203"/>
    </row>
    <row r="192">
      <c r="A192" s="270" t="s">
        <v>45</v>
      </c>
      <c r="B192" s="270" t="s">
        <v>424</v>
      </c>
      <c r="C192" s="270">
        <v>267.0</v>
      </c>
      <c r="D192" s="270">
        <v>1.1992175</v>
      </c>
      <c r="E192" s="260">
        <f t="shared" si="14"/>
        <v>71.95305</v>
      </c>
      <c r="F192" s="132">
        <f t="shared" si="15"/>
        <v>0.04996739583</v>
      </c>
      <c r="G192" s="271" t="s">
        <v>638</v>
      </c>
      <c r="H192" s="262">
        <v>71.6</v>
      </c>
      <c r="I192" s="272">
        <f t="shared" si="16"/>
        <v>0.35305</v>
      </c>
      <c r="J192" s="131"/>
      <c r="K192" s="131"/>
      <c r="L192" s="131"/>
      <c r="M192" s="131"/>
      <c r="N192" s="131"/>
      <c r="O192" s="131"/>
      <c r="P192" s="131"/>
      <c r="Q192" s="131"/>
      <c r="R192" s="131"/>
      <c r="S192" s="131"/>
      <c r="T192" s="131"/>
      <c r="U192" s="131"/>
      <c r="V192" s="131"/>
      <c r="W192" s="131"/>
      <c r="X192" s="131"/>
      <c r="Y192" s="131"/>
      <c r="Z192" s="203"/>
    </row>
    <row r="193">
      <c r="A193" s="269" t="s">
        <v>35</v>
      </c>
      <c r="B193" s="269" t="s">
        <v>73</v>
      </c>
      <c r="C193" s="270">
        <v>242.0</v>
      </c>
      <c r="D193" s="270">
        <v>1.0746614</v>
      </c>
      <c r="E193" s="260">
        <f t="shared" si="14"/>
        <v>64.479684</v>
      </c>
      <c r="F193" s="132">
        <f t="shared" si="15"/>
        <v>0.04477755833</v>
      </c>
      <c r="G193" s="271" t="s">
        <v>639</v>
      </c>
      <c r="H193" s="262">
        <v>64.2</v>
      </c>
      <c r="I193" s="272">
        <f t="shared" si="16"/>
        <v>0.279684</v>
      </c>
      <c r="J193" s="131"/>
      <c r="K193" s="131"/>
      <c r="L193" s="131"/>
      <c r="M193" s="131"/>
      <c r="N193" s="131"/>
      <c r="O193" s="131"/>
      <c r="P193" s="131"/>
      <c r="Q193" s="131"/>
      <c r="R193" s="131"/>
      <c r="S193" s="131"/>
      <c r="T193" s="131"/>
      <c r="U193" s="131"/>
      <c r="V193" s="131"/>
      <c r="W193" s="131"/>
      <c r="X193" s="131"/>
      <c r="Y193" s="131"/>
      <c r="Z193" s="203"/>
    </row>
    <row r="194">
      <c r="A194" s="269" t="s">
        <v>35</v>
      </c>
      <c r="B194" s="273" t="s">
        <v>74</v>
      </c>
      <c r="C194" s="270">
        <v>315.0</v>
      </c>
      <c r="D194" s="270">
        <v>1.431115</v>
      </c>
      <c r="E194" s="260">
        <f t="shared" si="14"/>
        <v>85.8669</v>
      </c>
      <c r="F194" s="132">
        <f t="shared" si="15"/>
        <v>0.05962979167</v>
      </c>
      <c r="G194" s="271" t="s">
        <v>640</v>
      </c>
      <c r="H194" s="262">
        <v>85.0</v>
      </c>
      <c r="I194" s="272">
        <f t="shared" si="16"/>
        <v>0.8669</v>
      </c>
      <c r="J194" s="131"/>
      <c r="K194" s="131"/>
      <c r="L194" s="131"/>
      <c r="M194" s="131"/>
      <c r="N194" s="131"/>
      <c r="O194" s="131"/>
      <c r="P194" s="131"/>
      <c r="Q194" s="131"/>
      <c r="R194" s="131"/>
      <c r="S194" s="131"/>
      <c r="T194" s="131"/>
      <c r="U194" s="131"/>
      <c r="V194" s="131"/>
      <c r="W194" s="131"/>
      <c r="X194" s="131"/>
      <c r="Y194" s="131"/>
      <c r="Z194" s="203"/>
    </row>
    <row r="195">
      <c r="A195" s="269" t="s">
        <v>35</v>
      </c>
      <c r="B195" s="269" t="s">
        <v>425</v>
      </c>
      <c r="C195" s="270">
        <v>273.0</v>
      </c>
      <c r="D195" s="270">
        <v>1.2965294</v>
      </c>
      <c r="E195" s="260">
        <f t="shared" si="14"/>
        <v>77.791764</v>
      </c>
      <c r="F195" s="132">
        <f t="shared" si="15"/>
        <v>0.05402205833</v>
      </c>
      <c r="G195" s="271" t="s">
        <v>641</v>
      </c>
      <c r="H195" s="262">
        <v>75.1</v>
      </c>
      <c r="I195" s="272">
        <f t="shared" si="16"/>
        <v>2.691764</v>
      </c>
      <c r="J195" s="131"/>
      <c r="K195" s="131"/>
      <c r="L195" s="131"/>
      <c r="M195" s="131"/>
      <c r="N195" s="131"/>
      <c r="O195" s="131"/>
      <c r="P195" s="131"/>
      <c r="Q195" s="131"/>
      <c r="R195" s="131"/>
      <c r="S195" s="131"/>
      <c r="T195" s="131"/>
      <c r="U195" s="131"/>
      <c r="V195" s="131"/>
      <c r="W195" s="131"/>
      <c r="X195" s="131"/>
      <c r="Y195" s="131"/>
      <c r="Z195" s="203"/>
    </row>
    <row r="196">
      <c r="A196" s="269" t="s">
        <v>35</v>
      </c>
      <c r="B196" s="269" t="s">
        <v>80</v>
      </c>
      <c r="C196" s="270">
        <v>259.0</v>
      </c>
      <c r="D196" s="270">
        <v>1.23663</v>
      </c>
      <c r="E196" s="260">
        <f t="shared" si="14"/>
        <v>74.1978</v>
      </c>
      <c r="F196" s="132">
        <f t="shared" si="15"/>
        <v>0.05152625</v>
      </c>
      <c r="G196" s="271" t="s">
        <v>642</v>
      </c>
      <c r="H196" s="262">
        <v>73.6</v>
      </c>
      <c r="I196" s="272">
        <f t="shared" si="16"/>
        <v>0.5978</v>
      </c>
      <c r="J196" s="131"/>
      <c r="K196" s="131"/>
      <c r="L196" s="131"/>
      <c r="M196" s="131"/>
      <c r="N196" s="131"/>
      <c r="O196" s="131"/>
      <c r="P196" s="131"/>
      <c r="Q196" s="131"/>
      <c r="R196" s="131"/>
      <c r="S196" s="131"/>
      <c r="T196" s="131"/>
      <c r="U196" s="131"/>
      <c r="V196" s="131"/>
      <c r="W196" s="131"/>
      <c r="X196" s="131"/>
      <c r="Y196" s="131"/>
      <c r="Z196" s="203"/>
    </row>
    <row r="197">
      <c r="A197" s="269" t="s">
        <v>35</v>
      </c>
      <c r="B197" s="269" t="s">
        <v>83</v>
      </c>
      <c r="C197" s="270">
        <v>151.0</v>
      </c>
      <c r="D197" s="270">
        <v>0.7047397</v>
      </c>
      <c r="E197" s="260">
        <f t="shared" si="14"/>
        <v>42.284382</v>
      </c>
      <c r="F197" s="132">
        <f t="shared" si="15"/>
        <v>0.02936415417</v>
      </c>
      <c r="G197" s="271" t="s">
        <v>643</v>
      </c>
      <c r="H197" s="262">
        <v>40.0</v>
      </c>
      <c r="I197" s="272">
        <f t="shared" si="16"/>
        <v>2.284382</v>
      </c>
      <c r="J197" s="131"/>
      <c r="K197" s="131"/>
      <c r="L197" s="131"/>
      <c r="M197" s="131"/>
      <c r="N197" s="131"/>
      <c r="O197" s="131"/>
      <c r="P197" s="131"/>
      <c r="Q197" s="131"/>
      <c r="R197" s="131"/>
      <c r="S197" s="131"/>
      <c r="T197" s="131"/>
      <c r="U197" s="131"/>
      <c r="V197" s="131"/>
      <c r="W197" s="131"/>
      <c r="X197" s="131"/>
      <c r="Y197" s="131"/>
      <c r="Z197" s="203"/>
    </row>
    <row r="198">
      <c r="A198" s="269" t="s">
        <v>35</v>
      </c>
      <c r="B198" s="269" t="s">
        <v>42</v>
      </c>
      <c r="C198" s="270">
        <v>304.0</v>
      </c>
      <c r="D198" s="270">
        <v>1.2832581</v>
      </c>
      <c r="E198" s="260">
        <f t="shared" si="14"/>
        <v>76.995486</v>
      </c>
      <c r="F198" s="132">
        <f t="shared" si="15"/>
        <v>0.0534690875</v>
      </c>
      <c r="G198" s="271" t="s">
        <v>644</v>
      </c>
      <c r="H198" s="262">
        <v>71.7</v>
      </c>
      <c r="I198" s="272">
        <f t="shared" si="16"/>
        <v>5.295486</v>
      </c>
      <c r="J198" s="131"/>
      <c r="K198" s="131"/>
      <c r="L198" s="131"/>
      <c r="M198" s="131"/>
      <c r="N198" s="131"/>
      <c r="O198" s="131"/>
      <c r="P198" s="131"/>
      <c r="Q198" s="131"/>
      <c r="R198" s="131"/>
      <c r="S198" s="131"/>
      <c r="T198" s="131"/>
      <c r="U198" s="131"/>
      <c r="V198" s="131"/>
      <c r="W198" s="131"/>
      <c r="X198" s="131"/>
      <c r="Y198" s="131"/>
      <c r="Z198" s="203"/>
    </row>
    <row r="199">
      <c r="A199" s="269" t="s">
        <v>35</v>
      </c>
      <c r="B199" s="269" t="s">
        <v>82</v>
      </c>
      <c r="C199" s="270">
        <v>400.0</v>
      </c>
      <c r="D199" s="270">
        <v>1.8531814</v>
      </c>
      <c r="E199" s="260">
        <f t="shared" si="14"/>
        <v>111.190884</v>
      </c>
      <c r="F199" s="132">
        <f t="shared" si="15"/>
        <v>0.07721589167</v>
      </c>
      <c r="G199" s="271" t="s">
        <v>645</v>
      </c>
      <c r="H199" s="262">
        <v>108.8</v>
      </c>
      <c r="I199" s="272">
        <f t="shared" si="16"/>
        <v>2.390884</v>
      </c>
      <c r="J199" s="131"/>
      <c r="K199" s="131"/>
      <c r="L199" s="131"/>
      <c r="M199" s="131"/>
      <c r="N199" s="131"/>
      <c r="O199" s="131"/>
      <c r="P199" s="131"/>
      <c r="Q199" s="131"/>
      <c r="R199" s="131"/>
      <c r="S199" s="131"/>
      <c r="T199" s="131"/>
      <c r="U199" s="131"/>
      <c r="V199" s="131"/>
      <c r="W199" s="131"/>
      <c r="X199" s="131"/>
      <c r="Y199" s="131"/>
      <c r="Z199" s="203"/>
    </row>
    <row r="200">
      <c r="A200" s="269" t="s">
        <v>35</v>
      </c>
      <c r="B200" s="269" t="s">
        <v>36</v>
      </c>
      <c r="C200" s="270">
        <v>1095.0</v>
      </c>
      <c r="D200" s="270">
        <v>5.2189064</v>
      </c>
      <c r="E200" s="260">
        <f t="shared" si="14"/>
        <v>313.134384</v>
      </c>
      <c r="F200" s="132">
        <f t="shared" si="15"/>
        <v>0.2174544333</v>
      </c>
      <c r="G200" s="271" t="s">
        <v>646</v>
      </c>
      <c r="H200" s="262">
        <v>310.9</v>
      </c>
      <c r="I200" s="272">
        <f t="shared" si="16"/>
        <v>2.234384</v>
      </c>
      <c r="J200" s="131"/>
      <c r="K200" s="131"/>
      <c r="L200" s="131"/>
      <c r="M200" s="131"/>
      <c r="N200" s="131"/>
      <c r="O200" s="131"/>
      <c r="P200" s="131"/>
      <c r="Q200" s="131"/>
      <c r="R200" s="131"/>
      <c r="S200" s="131"/>
      <c r="T200" s="131"/>
      <c r="U200" s="131"/>
      <c r="V200" s="131"/>
      <c r="W200" s="131"/>
      <c r="X200" s="131"/>
      <c r="Y200" s="131"/>
      <c r="Z200" s="203"/>
    </row>
    <row r="201">
      <c r="A201" s="269" t="s">
        <v>17</v>
      </c>
      <c r="B201" s="269" t="s">
        <v>84</v>
      </c>
      <c r="C201" s="270">
        <v>276.0</v>
      </c>
      <c r="D201" s="270">
        <v>1.3012456</v>
      </c>
      <c r="E201" s="260">
        <f t="shared" si="14"/>
        <v>78.074736</v>
      </c>
      <c r="F201" s="132">
        <f t="shared" si="15"/>
        <v>0.05421856667</v>
      </c>
      <c r="G201" s="271" t="s">
        <v>647</v>
      </c>
      <c r="H201" s="262">
        <v>78.2</v>
      </c>
      <c r="I201" s="272">
        <f t="shared" si="16"/>
        <v>-0.125264</v>
      </c>
      <c r="J201" s="131"/>
      <c r="K201" s="131"/>
      <c r="L201" s="131"/>
      <c r="M201" s="131"/>
      <c r="N201" s="131"/>
      <c r="O201" s="131"/>
      <c r="P201" s="131"/>
      <c r="Q201" s="131"/>
      <c r="R201" s="131"/>
      <c r="S201" s="131"/>
      <c r="T201" s="131"/>
      <c r="U201" s="131"/>
      <c r="V201" s="131"/>
      <c r="W201" s="131"/>
      <c r="X201" s="131"/>
      <c r="Y201" s="131"/>
      <c r="Z201" s="203"/>
    </row>
    <row r="202">
      <c r="A202" s="269" t="s">
        <v>17</v>
      </c>
      <c r="B202" s="269" t="s">
        <v>23</v>
      </c>
      <c r="C202" s="270">
        <v>662.0</v>
      </c>
      <c r="D202" s="270">
        <v>2.9138983</v>
      </c>
      <c r="E202" s="260">
        <f t="shared" si="14"/>
        <v>174.833898</v>
      </c>
      <c r="F202" s="132">
        <f t="shared" si="15"/>
        <v>0.1214124292</v>
      </c>
      <c r="G202" s="271" t="s">
        <v>648</v>
      </c>
      <c r="H202" s="262">
        <v>179.3</v>
      </c>
      <c r="I202" s="272">
        <f t="shared" si="16"/>
        <v>-4.466102</v>
      </c>
      <c r="J202" s="131"/>
      <c r="K202" s="131"/>
      <c r="L202" s="131"/>
      <c r="M202" s="131"/>
      <c r="N202" s="131"/>
      <c r="O202" s="131"/>
      <c r="P202" s="131"/>
      <c r="Q202" s="131"/>
      <c r="R202" s="131"/>
      <c r="S202" s="131"/>
      <c r="T202" s="131"/>
      <c r="U202" s="131"/>
      <c r="V202" s="131"/>
      <c r="W202" s="131"/>
      <c r="X202" s="131"/>
      <c r="Y202" s="131"/>
      <c r="Z202" s="203"/>
    </row>
    <row r="203">
      <c r="A203" s="269" t="s">
        <v>17</v>
      </c>
      <c r="B203" s="269" t="s">
        <v>87</v>
      </c>
      <c r="C203" s="270">
        <v>358.0</v>
      </c>
      <c r="D203" s="270">
        <v>1.5924644</v>
      </c>
      <c r="E203" s="260">
        <f t="shared" si="14"/>
        <v>95.547864</v>
      </c>
      <c r="F203" s="132">
        <f t="shared" si="15"/>
        <v>0.06635268333</v>
      </c>
      <c r="G203" s="271" t="s">
        <v>649</v>
      </c>
      <c r="H203" s="262">
        <v>98.1</v>
      </c>
      <c r="I203" s="272">
        <f t="shared" si="16"/>
        <v>-2.552136</v>
      </c>
      <c r="J203" s="131"/>
      <c r="K203" s="131"/>
      <c r="L203" s="131"/>
      <c r="M203" s="131"/>
      <c r="N203" s="131"/>
      <c r="O203" s="131"/>
      <c r="P203" s="131"/>
      <c r="Q203" s="131"/>
      <c r="R203" s="131"/>
      <c r="S203" s="131"/>
      <c r="T203" s="131"/>
      <c r="U203" s="131"/>
      <c r="V203" s="131"/>
      <c r="W203" s="131"/>
      <c r="X203" s="131"/>
      <c r="Y203" s="131"/>
      <c r="Z203" s="203"/>
    </row>
    <row r="204">
      <c r="A204" s="269" t="s">
        <v>88</v>
      </c>
      <c r="B204" s="269" t="s">
        <v>90</v>
      </c>
      <c r="C204" s="270">
        <v>435.0</v>
      </c>
      <c r="D204" s="270">
        <v>1.8904403</v>
      </c>
      <c r="E204" s="260">
        <f t="shared" si="14"/>
        <v>113.426418</v>
      </c>
      <c r="F204" s="132">
        <f t="shared" si="15"/>
        <v>0.07876834583</v>
      </c>
      <c r="G204" s="271" t="s">
        <v>650</v>
      </c>
      <c r="H204" s="262">
        <v>111.3</v>
      </c>
      <c r="I204" s="272">
        <f t="shared" si="16"/>
        <v>2.126418</v>
      </c>
      <c r="J204" s="131"/>
      <c r="K204" s="131"/>
      <c r="L204" s="131"/>
      <c r="M204" s="131"/>
      <c r="N204" s="131"/>
      <c r="O204" s="131"/>
      <c r="P204" s="131"/>
      <c r="Q204" s="131"/>
      <c r="R204" s="131"/>
      <c r="S204" s="131"/>
      <c r="T204" s="131"/>
      <c r="U204" s="131"/>
      <c r="V204" s="131"/>
      <c r="W204" s="131"/>
      <c r="X204" s="131"/>
      <c r="Y204" s="131"/>
      <c r="Z204" s="203"/>
    </row>
    <row r="205">
      <c r="A205" s="269" t="s">
        <v>88</v>
      </c>
      <c r="B205" s="269" t="s">
        <v>89</v>
      </c>
      <c r="C205" s="270">
        <v>275.0</v>
      </c>
      <c r="D205" s="270">
        <v>1.3434014</v>
      </c>
      <c r="E205" s="260">
        <f t="shared" si="14"/>
        <v>80.604084</v>
      </c>
      <c r="F205" s="132">
        <f t="shared" si="15"/>
        <v>0.05597505833</v>
      </c>
      <c r="G205" s="271" t="s">
        <v>651</v>
      </c>
      <c r="H205" s="262">
        <v>77.4</v>
      </c>
      <c r="I205" s="272">
        <f t="shared" si="16"/>
        <v>3.204084</v>
      </c>
      <c r="J205" s="131"/>
      <c r="K205" s="131"/>
      <c r="L205" s="131"/>
      <c r="M205" s="131"/>
      <c r="N205" s="131"/>
      <c r="O205" s="131"/>
      <c r="P205" s="131"/>
      <c r="Q205" s="131"/>
      <c r="R205" s="131"/>
      <c r="S205" s="131"/>
      <c r="T205" s="131"/>
      <c r="U205" s="131"/>
      <c r="V205" s="131"/>
      <c r="W205" s="131"/>
      <c r="X205" s="131"/>
      <c r="Y205" s="131"/>
      <c r="Z205" s="203"/>
    </row>
    <row r="206">
      <c r="A206" s="269" t="s">
        <v>67</v>
      </c>
      <c r="B206" s="269" t="s">
        <v>93</v>
      </c>
      <c r="C206" s="270">
        <v>357.0</v>
      </c>
      <c r="D206" s="270">
        <v>1.7219308</v>
      </c>
      <c r="E206" s="260">
        <f t="shared" si="14"/>
        <v>103.315848</v>
      </c>
      <c r="F206" s="132">
        <f t="shared" si="15"/>
        <v>0.07174711667</v>
      </c>
      <c r="G206" s="271" t="s">
        <v>652</v>
      </c>
      <c r="H206" s="262">
        <v>102.6</v>
      </c>
      <c r="I206" s="272">
        <f t="shared" si="16"/>
        <v>0.715848</v>
      </c>
      <c r="J206" s="131"/>
      <c r="K206" s="131"/>
      <c r="L206" s="131"/>
      <c r="M206" s="131"/>
      <c r="N206" s="131"/>
      <c r="O206" s="131"/>
      <c r="P206" s="131"/>
      <c r="Q206" s="131"/>
      <c r="R206" s="131"/>
      <c r="S206" s="131"/>
      <c r="T206" s="131"/>
      <c r="U206" s="131"/>
      <c r="V206" s="131"/>
      <c r="W206" s="131"/>
      <c r="X206" s="131"/>
      <c r="Y206" s="131"/>
      <c r="Z206" s="203"/>
    </row>
    <row r="207">
      <c r="A207" s="269" t="s">
        <v>67</v>
      </c>
      <c r="B207" s="269" t="s">
        <v>426</v>
      </c>
      <c r="C207" s="270">
        <v>506.0</v>
      </c>
      <c r="D207" s="270">
        <v>2.5932772</v>
      </c>
      <c r="E207" s="260">
        <f t="shared" si="14"/>
        <v>155.596632</v>
      </c>
      <c r="F207" s="132">
        <f t="shared" si="15"/>
        <v>0.1080532167</v>
      </c>
      <c r="G207" s="271" t="s">
        <v>653</v>
      </c>
      <c r="H207" s="262">
        <v>152.5</v>
      </c>
      <c r="I207" s="272">
        <f t="shared" si="16"/>
        <v>3.096632</v>
      </c>
      <c r="J207" s="131"/>
      <c r="K207" s="131"/>
      <c r="L207" s="131"/>
      <c r="M207" s="131"/>
      <c r="N207" s="131"/>
      <c r="O207" s="131"/>
      <c r="P207" s="131"/>
      <c r="Q207" s="131"/>
      <c r="R207" s="131"/>
      <c r="S207" s="131"/>
      <c r="T207" s="131"/>
      <c r="U207" s="131"/>
      <c r="V207" s="131"/>
      <c r="W207" s="131"/>
      <c r="X207" s="131"/>
      <c r="Y207" s="131"/>
      <c r="Z207" s="203"/>
    </row>
    <row r="208">
      <c r="A208" s="273" t="s">
        <v>474</v>
      </c>
      <c r="B208" s="270" t="s">
        <v>92</v>
      </c>
      <c r="C208" s="270">
        <v>644.0</v>
      </c>
      <c r="D208" s="270">
        <v>3.0162356</v>
      </c>
      <c r="E208" s="260">
        <f t="shared" si="14"/>
        <v>180.974136</v>
      </c>
      <c r="F208" s="132">
        <f t="shared" si="15"/>
        <v>0.1256764833</v>
      </c>
      <c r="G208" s="271" t="s">
        <v>654</v>
      </c>
      <c r="H208" s="262">
        <v>175.2</v>
      </c>
      <c r="I208" s="272">
        <f t="shared" si="16"/>
        <v>5.774136</v>
      </c>
      <c r="J208" s="131"/>
      <c r="K208" s="131"/>
      <c r="L208" s="131"/>
      <c r="M208" s="131"/>
      <c r="N208" s="131"/>
      <c r="O208" s="131"/>
      <c r="P208" s="131"/>
      <c r="Q208" s="131"/>
      <c r="R208" s="131"/>
      <c r="S208" s="131"/>
      <c r="T208" s="131"/>
      <c r="U208" s="131"/>
      <c r="V208" s="131"/>
      <c r="W208" s="131"/>
      <c r="X208" s="131"/>
      <c r="Y208" s="131"/>
      <c r="Z208" s="203"/>
    </row>
    <row r="209">
      <c r="A209" s="273" t="s">
        <v>474</v>
      </c>
      <c r="B209" s="273" t="s">
        <v>57</v>
      </c>
      <c r="C209" s="270">
        <v>158.0</v>
      </c>
      <c r="D209" s="270">
        <v>0.7942492</v>
      </c>
      <c r="E209" s="260">
        <f t="shared" si="14"/>
        <v>47.654952</v>
      </c>
      <c r="F209" s="132">
        <f t="shared" si="15"/>
        <v>0.03309371667</v>
      </c>
      <c r="G209" s="271" t="s">
        <v>655</v>
      </c>
      <c r="H209" s="262">
        <v>46.6</v>
      </c>
      <c r="I209" s="272">
        <f t="shared" si="16"/>
        <v>1.054952</v>
      </c>
      <c r="J209" s="131"/>
      <c r="K209" s="131"/>
      <c r="L209" s="131"/>
      <c r="M209" s="131"/>
      <c r="N209" s="131"/>
      <c r="O209" s="131"/>
      <c r="P209" s="131"/>
      <c r="Q209" s="131"/>
      <c r="R209" s="131"/>
      <c r="S209" s="131"/>
      <c r="T209" s="131"/>
      <c r="U209" s="131"/>
      <c r="V209" s="131"/>
      <c r="W209" s="131"/>
      <c r="X209" s="131"/>
      <c r="Y209" s="131"/>
      <c r="Z209" s="203"/>
    </row>
    <row r="210">
      <c r="A210" s="273" t="s">
        <v>474</v>
      </c>
      <c r="B210" s="273" t="s">
        <v>428</v>
      </c>
      <c r="C210" s="270">
        <v>333.0</v>
      </c>
      <c r="D210" s="270">
        <v>1.6759061</v>
      </c>
      <c r="E210" s="260">
        <f t="shared" si="14"/>
        <v>100.554366</v>
      </c>
      <c r="F210" s="132">
        <f t="shared" si="15"/>
        <v>0.06982942083</v>
      </c>
      <c r="G210" s="271" t="s">
        <v>656</v>
      </c>
      <c r="H210" s="262">
        <v>98.3</v>
      </c>
      <c r="I210" s="272">
        <f t="shared" si="16"/>
        <v>2.254366</v>
      </c>
      <c r="J210" s="131"/>
      <c r="K210" s="131"/>
      <c r="L210" s="131"/>
      <c r="M210" s="131"/>
      <c r="N210" s="131"/>
      <c r="O210" s="131"/>
      <c r="P210" s="131"/>
      <c r="Q210" s="131"/>
      <c r="R210" s="131"/>
      <c r="S210" s="131"/>
      <c r="T210" s="131"/>
      <c r="U210" s="131"/>
      <c r="V210" s="131"/>
      <c r="W210" s="131"/>
      <c r="X210" s="131"/>
      <c r="Y210" s="131"/>
      <c r="Z210" s="203"/>
    </row>
    <row r="211">
      <c r="A211" s="269" t="s">
        <v>474</v>
      </c>
      <c r="B211" s="269" t="s">
        <v>61</v>
      </c>
      <c r="C211" s="270">
        <v>244.0</v>
      </c>
      <c r="D211" s="270">
        <v>1.1023747</v>
      </c>
      <c r="E211" s="260">
        <f t="shared" si="14"/>
        <v>66.142482</v>
      </c>
      <c r="F211" s="132">
        <f t="shared" si="15"/>
        <v>0.04593227917</v>
      </c>
      <c r="G211" s="271" t="s">
        <v>657</v>
      </c>
      <c r="H211" s="262">
        <v>66.6</v>
      </c>
      <c r="I211" s="272">
        <f t="shared" si="16"/>
        <v>-0.457518</v>
      </c>
      <c r="J211" s="131"/>
      <c r="K211" s="131"/>
      <c r="L211" s="131"/>
      <c r="M211" s="131"/>
      <c r="N211" s="131"/>
      <c r="O211" s="131"/>
      <c r="P211" s="131"/>
      <c r="Q211" s="131"/>
      <c r="R211" s="131"/>
      <c r="S211" s="131"/>
      <c r="T211" s="131"/>
      <c r="U211" s="131"/>
      <c r="V211" s="131"/>
      <c r="W211" s="131"/>
      <c r="X211" s="131"/>
      <c r="Y211" s="131"/>
      <c r="Z211" s="203"/>
    </row>
    <row r="212">
      <c r="A212" s="269" t="s">
        <v>474</v>
      </c>
      <c r="B212" s="269" t="s">
        <v>97</v>
      </c>
      <c r="C212" s="270">
        <v>144.0</v>
      </c>
      <c r="D212" s="270">
        <v>0.6688458</v>
      </c>
      <c r="E212" s="260">
        <f t="shared" si="14"/>
        <v>40.130748</v>
      </c>
      <c r="F212" s="132">
        <f t="shared" si="15"/>
        <v>0.027868575</v>
      </c>
      <c r="G212" s="271" t="s">
        <v>658</v>
      </c>
      <c r="H212" s="262">
        <v>40.6</v>
      </c>
      <c r="I212" s="272">
        <f t="shared" si="16"/>
        <v>-0.469252</v>
      </c>
      <c r="J212" s="131"/>
      <c r="K212" s="131"/>
      <c r="L212" s="131"/>
      <c r="M212" s="131"/>
      <c r="N212" s="131"/>
      <c r="O212" s="131"/>
      <c r="P212" s="131"/>
      <c r="Q212" s="131"/>
      <c r="R212" s="131"/>
      <c r="S212" s="131"/>
      <c r="T212" s="131"/>
      <c r="U212" s="131"/>
      <c r="V212" s="131"/>
      <c r="W212" s="131"/>
      <c r="X212" s="131"/>
      <c r="Y212" s="131"/>
      <c r="Z212" s="203"/>
    </row>
    <row r="213">
      <c r="A213" s="269" t="s">
        <v>474</v>
      </c>
      <c r="B213" s="269" t="s">
        <v>95</v>
      </c>
      <c r="C213" s="270">
        <v>330.0</v>
      </c>
      <c r="D213" s="270">
        <v>1.6807372</v>
      </c>
      <c r="E213" s="260">
        <f t="shared" si="14"/>
        <v>100.844232</v>
      </c>
      <c r="F213" s="132">
        <f t="shared" si="15"/>
        <v>0.07003071667</v>
      </c>
      <c r="G213" s="271" t="s">
        <v>659</v>
      </c>
      <c r="H213" s="262">
        <v>100.0</v>
      </c>
      <c r="I213" s="272">
        <f t="shared" si="16"/>
        <v>0.844232</v>
      </c>
      <c r="J213" s="131"/>
      <c r="K213" s="131"/>
      <c r="L213" s="131"/>
      <c r="M213" s="131"/>
      <c r="N213" s="131"/>
      <c r="O213" s="131"/>
      <c r="P213" s="131"/>
      <c r="Q213" s="131"/>
      <c r="R213" s="131"/>
      <c r="S213" s="131"/>
      <c r="T213" s="131"/>
      <c r="U213" s="131"/>
      <c r="V213" s="131"/>
      <c r="W213" s="131"/>
      <c r="X213" s="131"/>
      <c r="Y213" s="131"/>
      <c r="Z213" s="203"/>
    </row>
    <row r="214">
      <c r="A214" s="269" t="s">
        <v>474</v>
      </c>
      <c r="B214" s="269" t="s">
        <v>94</v>
      </c>
      <c r="C214" s="270">
        <v>202.0</v>
      </c>
      <c r="D214" s="270">
        <v>0.9046506</v>
      </c>
      <c r="E214" s="260">
        <f t="shared" si="14"/>
        <v>54.279036</v>
      </c>
      <c r="F214" s="132">
        <f t="shared" si="15"/>
        <v>0.037693775</v>
      </c>
      <c r="G214" s="271" t="s">
        <v>660</v>
      </c>
      <c r="H214" s="262">
        <v>53.9</v>
      </c>
      <c r="I214" s="272">
        <f t="shared" si="16"/>
        <v>0.379036</v>
      </c>
      <c r="J214" s="131"/>
      <c r="K214" s="131"/>
      <c r="L214" s="131"/>
      <c r="M214" s="131"/>
      <c r="N214" s="131"/>
      <c r="O214" s="131"/>
      <c r="P214" s="131"/>
      <c r="Q214" s="131"/>
      <c r="R214" s="131"/>
      <c r="S214" s="131"/>
      <c r="T214" s="131"/>
      <c r="U214" s="131"/>
      <c r="V214" s="131"/>
      <c r="W214" s="131"/>
      <c r="X214" s="131"/>
      <c r="Y214" s="131"/>
      <c r="Z214" s="203"/>
    </row>
    <row r="215">
      <c r="A215" s="269" t="s">
        <v>474</v>
      </c>
      <c r="B215" s="269" t="s">
        <v>99</v>
      </c>
      <c r="C215" s="270">
        <v>130.0</v>
      </c>
      <c r="D215" s="270">
        <v>0.5920903</v>
      </c>
      <c r="E215" s="260">
        <f t="shared" si="14"/>
        <v>35.525418</v>
      </c>
      <c r="F215" s="132">
        <f t="shared" si="15"/>
        <v>0.02467042917</v>
      </c>
      <c r="G215" s="271" t="s">
        <v>661</v>
      </c>
      <c r="H215" s="262">
        <v>36.7</v>
      </c>
      <c r="I215" s="272">
        <f t="shared" si="16"/>
        <v>-1.174582</v>
      </c>
      <c r="J215" s="131"/>
      <c r="K215" s="131"/>
      <c r="L215" s="131"/>
      <c r="M215" s="131"/>
      <c r="N215" s="131"/>
      <c r="O215" s="131"/>
      <c r="P215" s="131"/>
      <c r="Q215" s="131"/>
      <c r="R215" s="131"/>
      <c r="S215" s="131"/>
      <c r="T215" s="131"/>
      <c r="U215" s="131"/>
      <c r="V215" s="131"/>
      <c r="W215" s="131"/>
      <c r="X215" s="131"/>
      <c r="Y215" s="131"/>
      <c r="Z215" s="203"/>
    </row>
    <row r="216">
      <c r="A216" s="269" t="s">
        <v>429</v>
      </c>
      <c r="B216" s="273" t="s">
        <v>103</v>
      </c>
      <c r="C216" s="270">
        <v>325.0</v>
      </c>
      <c r="D216" s="270">
        <v>1.6709217</v>
      </c>
      <c r="E216" s="260">
        <f t="shared" si="14"/>
        <v>100.255302</v>
      </c>
      <c r="F216" s="132">
        <f t="shared" si="15"/>
        <v>0.0696217375</v>
      </c>
      <c r="G216" s="271" t="s">
        <v>662</v>
      </c>
      <c r="H216" s="262">
        <v>99.5</v>
      </c>
      <c r="I216" s="272">
        <f t="shared" si="16"/>
        <v>0.755302</v>
      </c>
      <c r="J216" s="131"/>
      <c r="K216" s="131"/>
      <c r="L216" s="131"/>
      <c r="M216" s="131"/>
      <c r="N216" s="131"/>
      <c r="O216" s="131"/>
      <c r="P216" s="131"/>
      <c r="Q216" s="131"/>
      <c r="R216" s="131"/>
      <c r="S216" s="131"/>
      <c r="T216" s="131"/>
      <c r="U216" s="131"/>
      <c r="V216" s="131"/>
      <c r="W216" s="131"/>
      <c r="X216" s="131"/>
      <c r="Y216" s="131"/>
      <c r="Z216" s="203"/>
    </row>
    <row r="217">
      <c r="A217" s="269" t="s">
        <v>429</v>
      </c>
      <c r="B217" s="273" t="s">
        <v>105</v>
      </c>
      <c r="C217" s="270">
        <v>262.0</v>
      </c>
      <c r="D217" s="270">
        <v>1.1599692</v>
      </c>
      <c r="E217" s="260">
        <f t="shared" si="14"/>
        <v>69.598152</v>
      </c>
      <c r="F217" s="132">
        <f t="shared" si="15"/>
        <v>0.04833205</v>
      </c>
      <c r="G217" s="271" t="s">
        <v>663</v>
      </c>
      <c r="H217" s="262">
        <v>70.0</v>
      </c>
      <c r="I217" s="272">
        <f t="shared" si="16"/>
        <v>-0.401848</v>
      </c>
      <c r="J217" s="131"/>
      <c r="K217" s="131"/>
      <c r="L217" s="131"/>
      <c r="M217" s="131"/>
      <c r="N217" s="131"/>
      <c r="O217" s="131"/>
      <c r="P217" s="131"/>
      <c r="Q217" s="131"/>
      <c r="R217" s="131"/>
      <c r="S217" s="131"/>
      <c r="T217" s="131"/>
      <c r="U217" s="131"/>
      <c r="V217" s="131"/>
      <c r="W217" s="131"/>
      <c r="X217" s="131"/>
      <c r="Y217" s="131"/>
      <c r="Z217" s="203"/>
    </row>
    <row r="218">
      <c r="A218" s="269" t="s">
        <v>429</v>
      </c>
      <c r="B218" s="273" t="s">
        <v>101</v>
      </c>
      <c r="C218" s="270">
        <v>308.0</v>
      </c>
      <c r="D218" s="270">
        <v>1.3860906</v>
      </c>
      <c r="E218" s="260">
        <f t="shared" si="14"/>
        <v>83.165436</v>
      </c>
      <c r="F218" s="132">
        <f t="shared" si="15"/>
        <v>0.057753775</v>
      </c>
      <c r="G218" s="271" t="s">
        <v>664</v>
      </c>
      <c r="H218" s="262">
        <v>83.3</v>
      </c>
      <c r="I218" s="272">
        <f t="shared" si="16"/>
        <v>-0.134564</v>
      </c>
      <c r="J218" s="131"/>
      <c r="K218" s="131"/>
      <c r="L218" s="131"/>
      <c r="M218" s="131"/>
      <c r="N218" s="131"/>
      <c r="O218" s="131"/>
      <c r="P218" s="131"/>
      <c r="Q218" s="131"/>
      <c r="R218" s="131"/>
      <c r="S218" s="131"/>
      <c r="T218" s="131"/>
      <c r="U218" s="131"/>
      <c r="V218" s="131"/>
      <c r="W218" s="131"/>
      <c r="X218" s="131"/>
      <c r="Y218" s="131"/>
      <c r="Z218" s="203"/>
    </row>
    <row r="219">
      <c r="A219" s="269" t="s">
        <v>429</v>
      </c>
      <c r="B219" s="273" t="s">
        <v>102</v>
      </c>
      <c r="C219" s="270">
        <v>224.0</v>
      </c>
      <c r="D219" s="270">
        <v>0.9996139</v>
      </c>
      <c r="E219" s="260">
        <f t="shared" si="14"/>
        <v>59.976834</v>
      </c>
      <c r="F219" s="132">
        <f t="shared" si="15"/>
        <v>0.04165057917</v>
      </c>
      <c r="G219" s="271" t="s">
        <v>665</v>
      </c>
      <c r="H219" s="262">
        <v>57.4</v>
      </c>
      <c r="I219" s="272">
        <f t="shared" si="16"/>
        <v>2.576834</v>
      </c>
      <c r="J219" s="131"/>
      <c r="K219" s="131"/>
      <c r="L219" s="131"/>
      <c r="M219" s="131"/>
      <c r="N219" s="131"/>
      <c r="O219" s="131"/>
      <c r="P219" s="131"/>
      <c r="Q219" s="131"/>
      <c r="R219" s="131"/>
      <c r="S219" s="131"/>
      <c r="T219" s="131"/>
      <c r="U219" s="131"/>
      <c r="V219" s="131"/>
      <c r="W219" s="131"/>
      <c r="X219" s="131"/>
      <c r="Y219" s="131"/>
      <c r="Z219" s="203"/>
    </row>
    <row r="220">
      <c r="A220" s="269" t="s">
        <v>429</v>
      </c>
      <c r="B220" s="273" t="s">
        <v>432</v>
      </c>
      <c r="C220" s="270">
        <v>451.0</v>
      </c>
      <c r="D220" s="270">
        <v>2.1403636</v>
      </c>
      <c r="E220" s="260">
        <f t="shared" si="14"/>
        <v>128.421816</v>
      </c>
      <c r="F220" s="132">
        <f t="shared" si="15"/>
        <v>0.08918181667</v>
      </c>
      <c r="G220" s="271" t="s">
        <v>666</v>
      </c>
      <c r="H220" s="262">
        <v>126.5</v>
      </c>
      <c r="I220" s="272">
        <f t="shared" si="16"/>
        <v>1.921816</v>
      </c>
      <c r="J220" s="131"/>
      <c r="K220" s="131"/>
      <c r="L220" s="131"/>
      <c r="M220" s="131"/>
      <c r="N220" s="131"/>
      <c r="O220" s="131"/>
      <c r="P220" s="131"/>
      <c r="Q220" s="131"/>
      <c r="R220" s="131"/>
      <c r="S220" s="131"/>
      <c r="T220" s="131"/>
      <c r="U220" s="131"/>
      <c r="V220" s="131"/>
      <c r="W220" s="131"/>
      <c r="X220" s="131"/>
      <c r="Y220" s="131"/>
      <c r="Z220" s="203"/>
    </row>
    <row r="221">
      <c r="A221" s="269" t="s">
        <v>429</v>
      </c>
      <c r="B221" s="273" t="s">
        <v>29</v>
      </c>
      <c r="C221" s="270">
        <v>221.0</v>
      </c>
      <c r="D221" s="270">
        <v>1.0108575</v>
      </c>
      <c r="E221" s="260">
        <f t="shared" si="14"/>
        <v>60.65145</v>
      </c>
      <c r="F221" s="132">
        <f t="shared" si="15"/>
        <v>0.0421190625</v>
      </c>
      <c r="G221" s="271" t="s">
        <v>667</v>
      </c>
      <c r="H221" s="262">
        <v>59.0</v>
      </c>
      <c r="I221" s="272">
        <f t="shared" si="16"/>
        <v>1.65145</v>
      </c>
      <c r="J221" s="131"/>
      <c r="K221" s="131"/>
      <c r="L221" s="131"/>
      <c r="M221" s="131"/>
      <c r="N221" s="131"/>
      <c r="O221" s="131"/>
      <c r="P221" s="131"/>
      <c r="Q221" s="131"/>
      <c r="R221" s="131"/>
      <c r="S221" s="131"/>
      <c r="T221" s="131"/>
      <c r="U221" s="131"/>
      <c r="V221" s="131"/>
      <c r="W221" s="131"/>
      <c r="X221" s="131"/>
      <c r="Y221" s="131"/>
      <c r="Z221" s="203"/>
    </row>
    <row r="222">
      <c r="A222" s="269" t="s">
        <v>429</v>
      </c>
      <c r="B222" s="273" t="s">
        <v>431</v>
      </c>
      <c r="C222" s="270">
        <v>753.0</v>
      </c>
      <c r="D222" s="270">
        <v>3.5157492</v>
      </c>
      <c r="E222" s="260">
        <f t="shared" si="14"/>
        <v>210.944952</v>
      </c>
      <c r="F222" s="132">
        <f t="shared" si="15"/>
        <v>0.14648955</v>
      </c>
      <c r="G222" s="271" t="s">
        <v>668</v>
      </c>
      <c r="H222" s="262">
        <v>206.3</v>
      </c>
      <c r="I222" s="272">
        <f t="shared" si="16"/>
        <v>4.644952</v>
      </c>
      <c r="J222" s="131"/>
      <c r="K222" s="131"/>
      <c r="L222" s="131"/>
      <c r="M222" s="131"/>
      <c r="N222" s="131"/>
      <c r="O222" s="131"/>
      <c r="P222" s="131"/>
      <c r="Q222" s="131"/>
      <c r="R222" s="131"/>
      <c r="S222" s="131"/>
      <c r="T222" s="131"/>
      <c r="U222" s="131"/>
      <c r="V222" s="131"/>
      <c r="W222" s="131"/>
      <c r="X222" s="131"/>
      <c r="Y222" s="131"/>
      <c r="Z222" s="203"/>
    </row>
    <row r="223">
      <c r="A223" s="131"/>
      <c r="B223" s="131"/>
      <c r="C223" s="274">
        <v>22455.0</v>
      </c>
      <c r="D223" s="212" t="s">
        <v>484</v>
      </c>
      <c r="E223" s="263">
        <f>SUM(E166:E222)</f>
        <v>6364.64169</v>
      </c>
      <c r="F223" s="238">
        <f t="shared" si="15"/>
        <v>4.419890063</v>
      </c>
      <c r="G223" s="131"/>
      <c r="H223" s="131">
        <f>SUM(H166:H222)</f>
        <v>6265.6</v>
      </c>
      <c r="I223" s="272">
        <f t="shared" si="16"/>
        <v>99.04169</v>
      </c>
      <c r="J223" s="238">
        <f>H223/24/60</f>
        <v>4.351111111</v>
      </c>
      <c r="K223" s="131"/>
      <c r="L223" s="131"/>
      <c r="M223" s="131"/>
      <c r="N223" s="131"/>
      <c r="O223" s="131"/>
      <c r="P223" s="131"/>
      <c r="Q223" s="131"/>
      <c r="R223" s="131"/>
      <c r="S223" s="131"/>
      <c r="T223" s="131"/>
      <c r="U223" s="131"/>
      <c r="V223" s="131"/>
      <c r="W223" s="131"/>
      <c r="X223" s="131"/>
      <c r="Y223" s="131"/>
      <c r="Z223" s="203"/>
    </row>
    <row r="224">
      <c r="A224" s="131"/>
      <c r="B224" s="131"/>
      <c r="C224" s="131"/>
      <c r="D224" s="131"/>
      <c r="E224" s="222"/>
      <c r="F224" s="132"/>
      <c r="G224" s="211"/>
      <c r="H224" s="131"/>
      <c r="I224" s="131"/>
      <c r="J224" s="131"/>
      <c r="K224" s="131"/>
      <c r="L224" s="131"/>
      <c r="M224" s="131"/>
      <c r="N224" s="131"/>
      <c r="O224" s="131"/>
      <c r="P224" s="131"/>
      <c r="Q224" s="131"/>
      <c r="R224" s="131"/>
      <c r="S224" s="131"/>
      <c r="T224" s="131"/>
      <c r="U224" s="131"/>
      <c r="V224" s="131"/>
      <c r="W224" s="131"/>
      <c r="X224" s="131"/>
      <c r="Y224" s="131"/>
      <c r="Z224" s="203"/>
    </row>
    <row r="225">
      <c r="A225" s="131"/>
      <c r="B225" s="131"/>
      <c r="C225" s="131"/>
      <c r="D225" s="131"/>
      <c r="E225" s="222"/>
      <c r="F225" s="132"/>
      <c r="G225" s="211"/>
      <c r="H225" s="131"/>
      <c r="I225" s="131"/>
      <c r="J225" s="131"/>
      <c r="K225" s="131"/>
      <c r="L225" s="131"/>
      <c r="M225" s="131"/>
      <c r="N225" s="131"/>
      <c r="O225" s="131"/>
      <c r="P225" s="131"/>
      <c r="Q225" s="131"/>
      <c r="R225" s="131"/>
      <c r="S225" s="131"/>
      <c r="T225" s="131"/>
      <c r="U225" s="131"/>
      <c r="V225" s="131"/>
      <c r="W225" s="131"/>
      <c r="X225" s="131"/>
      <c r="Y225" s="131"/>
      <c r="Z225" s="203"/>
    </row>
    <row r="226">
      <c r="A226" s="131"/>
      <c r="B226" s="131"/>
      <c r="C226" s="131"/>
      <c r="D226" s="131"/>
      <c r="E226" s="222"/>
      <c r="F226" s="132"/>
      <c r="G226" s="211"/>
      <c r="H226" s="131"/>
      <c r="I226" s="131"/>
      <c r="J226" s="131"/>
      <c r="K226" s="131"/>
      <c r="L226" s="131"/>
      <c r="M226" s="131"/>
      <c r="N226" s="131"/>
      <c r="O226" s="131"/>
      <c r="P226" s="131"/>
      <c r="Q226" s="131"/>
      <c r="R226" s="131"/>
      <c r="S226" s="131"/>
      <c r="T226" s="131"/>
      <c r="U226" s="131"/>
      <c r="V226" s="131"/>
      <c r="W226" s="131"/>
      <c r="X226" s="131"/>
      <c r="Y226" s="131"/>
      <c r="Z226" s="203"/>
    </row>
    <row r="227">
      <c r="A227" s="140" t="s">
        <v>669</v>
      </c>
      <c r="B227" s="131"/>
      <c r="C227" s="131"/>
      <c r="D227" s="131"/>
      <c r="E227" s="222"/>
      <c r="F227" s="132"/>
      <c r="G227" s="211"/>
      <c r="H227" s="131"/>
      <c r="I227" s="131"/>
      <c r="J227" s="131"/>
      <c r="K227" s="131"/>
      <c r="L227" s="131"/>
      <c r="M227" s="131"/>
      <c r="N227" s="131"/>
      <c r="O227" s="131"/>
      <c r="P227" s="131"/>
      <c r="Q227" s="131"/>
      <c r="R227" s="131"/>
      <c r="S227" s="131"/>
      <c r="T227" s="131"/>
      <c r="U227" s="131"/>
      <c r="V227" s="131"/>
      <c r="W227" s="131"/>
      <c r="X227" s="131"/>
      <c r="Y227" s="131"/>
      <c r="Z227" s="203"/>
    </row>
    <row r="228">
      <c r="A228" s="131"/>
      <c r="B228" s="131"/>
      <c r="C228" s="131"/>
      <c r="D228" s="131"/>
      <c r="E228" s="222"/>
      <c r="F228" s="132"/>
      <c r="G228" s="211"/>
      <c r="H228" s="131"/>
      <c r="I228" s="131"/>
      <c r="J228" s="131"/>
      <c r="K228" s="131"/>
      <c r="L228" s="131"/>
      <c r="M228" s="131"/>
      <c r="N228" s="131"/>
      <c r="O228" s="131"/>
      <c r="P228" s="131"/>
      <c r="Q228" s="131"/>
      <c r="R228" s="131"/>
      <c r="S228" s="131"/>
      <c r="T228" s="131"/>
      <c r="U228" s="131"/>
      <c r="V228" s="131"/>
      <c r="W228" s="131"/>
      <c r="X228" s="131"/>
      <c r="Y228" s="131"/>
      <c r="Z228" s="203"/>
    </row>
    <row r="229">
      <c r="A229" s="268" t="s">
        <v>0</v>
      </c>
      <c r="B229" s="268" t="s">
        <v>362</v>
      </c>
      <c r="C229" s="239" t="s">
        <v>534</v>
      </c>
      <c r="D229" s="239" t="s">
        <v>420</v>
      </c>
      <c r="E229" s="259" t="s">
        <v>3</v>
      </c>
      <c r="F229" s="214" t="s">
        <v>470</v>
      </c>
      <c r="G229" s="140" t="s">
        <v>471</v>
      </c>
      <c r="H229" s="131"/>
      <c r="I229" s="131"/>
      <c r="J229" s="131"/>
      <c r="K229" s="131"/>
      <c r="L229" s="131"/>
      <c r="M229" s="131"/>
      <c r="N229" s="131"/>
      <c r="O229" s="131"/>
      <c r="P229" s="131"/>
      <c r="Q229" s="131"/>
      <c r="R229" s="131"/>
      <c r="S229" s="131"/>
      <c r="T229" s="131"/>
      <c r="U229" s="131"/>
      <c r="V229" s="131"/>
      <c r="W229" s="131"/>
      <c r="X229" s="131"/>
      <c r="Y229" s="131"/>
      <c r="Z229" s="203"/>
    </row>
    <row r="230">
      <c r="A230" s="262" t="s">
        <v>423</v>
      </c>
      <c r="B230" s="262" t="s">
        <v>48</v>
      </c>
      <c r="C230" s="262">
        <v>1427.0</v>
      </c>
      <c r="D230" s="275">
        <v>5.8647411</v>
      </c>
      <c r="E230" s="260">
        <f t="shared" ref="E230:E309" si="17">D230*60</f>
        <v>351.884466</v>
      </c>
      <c r="F230" s="132">
        <f t="shared" ref="F230:F310" si="18">E230/24/60</f>
        <v>0.2443642125</v>
      </c>
      <c r="G230" s="276" t="s">
        <v>670</v>
      </c>
      <c r="H230" s="131"/>
      <c r="I230" s="131"/>
      <c r="J230" s="131"/>
      <c r="K230" s="131"/>
      <c r="L230" s="131"/>
      <c r="M230" s="131"/>
      <c r="N230" s="131"/>
      <c r="O230" s="131"/>
      <c r="P230" s="131"/>
      <c r="Q230" s="131"/>
      <c r="R230" s="131"/>
      <c r="S230" s="131"/>
      <c r="T230" s="131"/>
      <c r="U230" s="131"/>
      <c r="V230" s="131"/>
      <c r="W230" s="131"/>
      <c r="X230" s="131"/>
      <c r="Y230" s="131"/>
      <c r="Z230" s="203"/>
    </row>
    <row r="231">
      <c r="A231" s="262" t="s">
        <v>423</v>
      </c>
      <c r="B231" s="262" t="s">
        <v>49</v>
      </c>
      <c r="C231" s="262">
        <v>391.0</v>
      </c>
      <c r="D231" s="275">
        <v>1.6263592</v>
      </c>
      <c r="E231" s="260">
        <f t="shared" si="17"/>
        <v>97.581552</v>
      </c>
      <c r="F231" s="132">
        <f t="shared" si="18"/>
        <v>0.06776496667</v>
      </c>
      <c r="G231" s="276" t="s">
        <v>671</v>
      </c>
      <c r="H231" s="131"/>
      <c r="I231" s="131"/>
      <c r="J231" s="131"/>
      <c r="K231" s="131"/>
      <c r="L231" s="131"/>
      <c r="M231" s="131"/>
      <c r="N231" s="131"/>
      <c r="O231" s="131"/>
      <c r="P231" s="131"/>
      <c r="Q231" s="131"/>
      <c r="R231" s="131"/>
      <c r="S231" s="131"/>
      <c r="T231" s="131"/>
      <c r="U231" s="131"/>
      <c r="V231" s="131"/>
      <c r="W231" s="131"/>
      <c r="X231" s="131"/>
      <c r="Y231" s="131"/>
      <c r="Z231" s="203"/>
    </row>
    <row r="232">
      <c r="A232" s="262" t="s">
        <v>423</v>
      </c>
      <c r="B232" s="262" t="s">
        <v>50</v>
      </c>
      <c r="C232" s="262">
        <v>1466.0</v>
      </c>
      <c r="D232" s="275">
        <v>6.8277772</v>
      </c>
      <c r="E232" s="260">
        <f t="shared" si="17"/>
        <v>409.666632</v>
      </c>
      <c r="F232" s="132">
        <f t="shared" si="18"/>
        <v>0.2844907167</v>
      </c>
      <c r="G232" s="276" t="s">
        <v>672</v>
      </c>
      <c r="H232" s="131"/>
      <c r="I232" s="131"/>
      <c r="J232" s="131"/>
      <c r="K232" s="131"/>
      <c r="L232" s="131"/>
      <c r="M232" s="131"/>
      <c r="N232" s="131"/>
      <c r="O232" s="131"/>
      <c r="P232" s="131"/>
      <c r="Q232" s="131"/>
      <c r="R232" s="131"/>
      <c r="S232" s="131"/>
      <c r="T232" s="131"/>
      <c r="U232" s="131"/>
      <c r="V232" s="131"/>
      <c r="W232" s="131"/>
      <c r="X232" s="131"/>
      <c r="Y232" s="131"/>
      <c r="Z232" s="203"/>
    </row>
    <row r="233">
      <c r="A233" s="262" t="s">
        <v>423</v>
      </c>
      <c r="B233" s="262" t="s">
        <v>51</v>
      </c>
      <c r="C233" s="262">
        <v>851.0</v>
      </c>
      <c r="D233" s="275">
        <v>4.3740986</v>
      </c>
      <c r="E233" s="260">
        <f t="shared" si="17"/>
        <v>262.445916</v>
      </c>
      <c r="F233" s="132">
        <f t="shared" si="18"/>
        <v>0.1822541083</v>
      </c>
      <c r="G233" s="276" t="s">
        <v>673</v>
      </c>
      <c r="H233" s="131"/>
      <c r="I233" s="131"/>
      <c r="J233" s="131"/>
      <c r="K233" s="131"/>
      <c r="L233" s="131"/>
      <c r="M233" s="131"/>
      <c r="N233" s="131"/>
      <c r="O233" s="131"/>
      <c r="P233" s="131"/>
      <c r="Q233" s="131"/>
      <c r="R233" s="131"/>
      <c r="S233" s="131"/>
      <c r="T233" s="131"/>
      <c r="U233" s="131"/>
      <c r="V233" s="131"/>
      <c r="W233" s="131"/>
      <c r="X233" s="131"/>
      <c r="Y233" s="131"/>
      <c r="Z233" s="203"/>
    </row>
    <row r="234">
      <c r="A234" s="262" t="s">
        <v>423</v>
      </c>
      <c r="B234" s="262" t="s">
        <v>52</v>
      </c>
      <c r="C234" s="262">
        <v>428.0</v>
      </c>
      <c r="D234" s="275">
        <v>1.7557131</v>
      </c>
      <c r="E234" s="260">
        <f t="shared" si="17"/>
        <v>105.342786</v>
      </c>
      <c r="F234" s="132">
        <f t="shared" si="18"/>
        <v>0.0731547125</v>
      </c>
      <c r="G234" s="276" t="s">
        <v>674</v>
      </c>
      <c r="H234" s="131"/>
      <c r="I234" s="131"/>
      <c r="J234" s="131"/>
      <c r="K234" s="131"/>
      <c r="L234" s="131"/>
      <c r="M234" s="131"/>
      <c r="N234" s="131"/>
      <c r="O234" s="131"/>
      <c r="P234" s="131"/>
      <c r="Q234" s="131"/>
      <c r="R234" s="131"/>
      <c r="S234" s="131"/>
      <c r="T234" s="131"/>
      <c r="U234" s="131"/>
      <c r="V234" s="131"/>
      <c r="W234" s="131"/>
      <c r="X234" s="131"/>
      <c r="Y234" s="131"/>
      <c r="Z234" s="203"/>
    </row>
    <row r="235">
      <c r="A235" s="262" t="s">
        <v>423</v>
      </c>
      <c r="B235" s="262" t="s">
        <v>53</v>
      </c>
      <c r="C235" s="262">
        <v>642.0</v>
      </c>
      <c r="D235" s="275">
        <v>2.9587431</v>
      </c>
      <c r="E235" s="260">
        <f t="shared" si="17"/>
        <v>177.524586</v>
      </c>
      <c r="F235" s="132">
        <f t="shared" si="18"/>
        <v>0.1232809625</v>
      </c>
      <c r="G235" s="276" t="s">
        <v>675</v>
      </c>
      <c r="H235" s="131"/>
      <c r="I235" s="131"/>
      <c r="J235" s="131"/>
      <c r="K235" s="131"/>
      <c r="L235" s="131"/>
      <c r="M235" s="131"/>
      <c r="N235" s="131"/>
      <c r="O235" s="131"/>
      <c r="P235" s="131"/>
      <c r="Q235" s="131"/>
      <c r="R235" s="131"/>
      <c r="S235" s="131"/>
      <c r="T235" s="131"/>
      <c r="U235" s="131"/>
      <c r="V235" s="131"/>
      <c r="W235" s="131"/>
      <c r="X235" s="131"/>
      <c r="Y235" s="131"/>
      <c r="Z235" s="203"/>
    </row>
    <row r="236">
      <c r="A236" s="262" t="s">
        <v>7</v>
      </c>
      <c r="B236" s="262" t="s">
        <v>26</v>
      </c>
      <c r="C236" s="262">
        <v>1968.0</v>
      </c>
      <c r="D236" s="275">
        <v>9.4609875</v>
      </c>
      <c r="E236" s="260">
        <f t="shared" si="17"/>
        <v>567.65925</v>
      </c>
      <c r="F236" s="132">
        <f t="shared" si="18"/>
        <v>0.3942078125</v>
      </c>
      <c r="G236" s="276" t="s">
        <v>676</v>
      </c>
      <c r="H236" s="131"/>
      <c r="I236" s="131"/>
      <c r="J236" s="131"/>
      <c r="K236" s="131"/>
      <c r="L236" s="131"/>
      <c r="M236" s="131"/>
      <c r="N236" s="131"/>
      <c r="O236" s="131"/>
      <c r="P236" s="131"/>
      <c r="Q236" s="131"/>
      <c r="R236" s="131"/>
      <c r="S236" s="131"/>
      <c r="T236" s="131"/>
      <c r="U236" s="131"/>
      <c r="V236" s="131"/>
      <c r="W236" s="131"/>
      <c r="X236" s="131"/>
      <c r="Y236" s="131"/>
      <c r="Z236" s="203"/>
    </row>
    <row r="237">
      <c r="A237" s="262" t="s">
        <v>7</v>
      </c>
      <c r="B237" s="262" t="s">
        <v>31</v>
      </c>
      <c r="C237" s="262">
        <v>584.0</v>
      </c>
      <c r="D237" s="275">
        <v>2.769355</v>
      </c>
      <c r="E237" s="260">
        <f t="shared" si="17"/>
        <v>166.1613</v>
      </c>
      <c r="F237" s="132">
        <f t="shared" si="18"/>
        <v>0.1153897917</v>
      </c>
      <c r="G237" s="276" t="s">
        <v>677</v>
      </c>
      <c r="H237" s="131"/>
      <c r="I237" s="131"/>
      <c r="J237" s="131"/>
      <c r="K237" s="131"/>
      <c r="L237" s="131"/>
      <c r="M237" s="131"/>
      <c r="N237" s="131"/>
      <c r="O237" s="131"/>
      <c r="P237" s="131"/>
      <c r="Q237" s="131"/>
      <c r="R237" s="131"/>
      <c r="S237" s="131"/>
      <c r="T237" s="131"/>
      <c r="U237" s="131"/>
      <c r="V237" s="131"/>
      <c r="W237" s="131"/>
      <c r="X237" s="131"/>
      <c r="Y237" s="131"/>
      <c r="Z237" s="203"/>
    </row>
    <row r="238">
      <c r="A238" s="262" t="s">
        <v>7</v>
      </c>
      <c r="B238" s="262" t="s">
        <v>25</v>
      </c>
      <c r="C238" s="262">
        <v>1627.0</v>
      </c>
      <c r="D238" s="275">
        <v>7.9014889</v>
      </c>
      <c r="E238" s="260">
        <f t="shared" si="17"/>
        <v>474.089334</v>
      </c>
      <c r="F238" s="132">
        <f t="shared" si="18"/>
        <v>0.3292287042</v>
      </c>
      <c r="G238" s="276" t="s">
        <v>678</v>
      </c>
      <c r="H238" s="131"/>
      <c r="I238" s="131"/>
      <c r="J238" s="131"/>
      <c r="K238" s="131"/>
      <c r="L238" s="131"/>
      <c r="M238" s="131"/>
      <c r="N238" s="131"/>
      <c r="O238" s="131"/>
      <c r="P238" s="131"/>
      <c r="Q238" s="131"/>
      <c r="R238" s="131"/>
      <c r="S238" s="131"/>
      <c r="T238" s="131"/>
      <c r="U238" s="131"/>
      <c r="V238" s="131"/>
      <c r="W238" s="131"/>
      <c r="X238" s="131"/>
      <c r="Y238" s="131"/>
      <c r="Z238" s="203"/>
    </row>
    <row r="239">
      <c r="A239" s="262" t="s">
        <v>7</v>
      </c>
      <c r="B239" s="262" t="s">
        <v>41</v>
      </c>
      <c r="C239" s="262">
        <v>1586.0</v>
      </c>
      <c r="D239" s="275">
        <v>7.6592836</v>
      </c>
      <c r="E239" s="260">
        <f t="shared" si="17"/>
        <v>459.557016</v>
      </c>
      <c r="F239" s="132">
        <f t="shared" si="18"/>
        <v>0.3191368167</v>
      </c>
      <c r="G239" s="276" t="s">
        <v>679</v>
      </c>
      <c r="H239" s="131"/>
      <c r="I239" s="131"/>
      <c r="J239" s="131"/>
      <c r="K239" s="131"/>
      <c r="L239" s="131"/>
      <c r="M239" s="131"/>
      <c r="N239" s="131"/>
      <c r="O239" s="131"/>
      <c r="P239" s="131"/>
      <c r="Q239" s="131"/>
      <c r="R239" s="131"/>
      <c r="S239" s="131"/>
      <c r="T239" s="131"/>
      <c r="U239" s="131"/>
      <c r="V239" s="131"/>
      <c r="W239" s="131"/>
      <c r="X239" s="131"/>
      <c r="Y239" s="131"/>
      <c r="Z239" s="203"/>
    </row>
    <row r="240">
      <c r="A240" s="262" t="s">
        <v>7</v>
      </c>
      <c r="B240" s="262" t="s">
        <v>32</v>
      </c>
      <c r="C240" s="262">
        <v>2096.0</v>
      </c>
      <c r="D240" s="275">
        <v>10.3212214</v>
      </c>
      <c r="E240" s="260">
        <f t="shared" si="17"/>
        <v>619.273284</v>
      </c>
      <c r="F240" s="132">
        <f t="shared" si="18"/>
        <v>0.4300508917</v>
      </c>
      <c r="G240" s="276" t="s">
        <v>680</v>
      </c>
      <c r="H240" s="131"/>
      <c r="I240" s="131"/>
      <c r="J240" s="131"/>
      <c r="K240" s="131"/>
      <c r="L240" s="131"/>
      <c r="M240" s="131"/>
      <c r="N240" s="131"/>
      <c r="O240" s="131"/>
      <c r="P240" s="131"/>
      <c r="Q240" s="131"/>
      <c r="R240" s="131"/>
      <c r="S240" s="131"/>
      <c r="T240" s="131"/>
      <c r="U240" s="131"/>
      <c r="V240" s="131"/>
      <c r="W240" s="131"/>
      <c r="X240" s="131"/>
      <c r="Y240" s="131"/>
      <c r="Z240" s="203"/>
    </row>
    <row r="241">
      <c r="A241" s="262" t="s">
        <v>7</v>
      </c>
      <c r="B241" s="262" t="s">
        <v>24</v>
      </c>
      <c r="C241" s="262">
        <v>1013.0</v>
      </c>
      <c r="D241" s="275">
        <v>4.6512158</v>
      </c>
      <c r="E241" s="260">
        <f t="shared" si="17"/>
        <v>279.072948</v>
      </c>
      <c r="F241" s="132">
        <f t="shared" si="18"/>
        <v>0.1938006583</v>
      </c>
      <c r="G241" s="276" t="s">
        <v>681</v>
      </c>
      <c r="H241" s="131"/>
      <c r="I241" s="131"/>
      <c r="J241" s="131"/>
      <c r="K241" s="131"/>
      <c r="L241" s="131"/>
      <c r="M241" s="131"/>
      <c r="N241" s="131"/>
      <c r="O241" s="131"/>
      <c r="P241" s="131"/>
      <c r="Q241" s="131"/>
      <c r="R241" s="131"/>
      <c r="S241" s="131"/>
      <c r="T241" s="131"/>
      <c r="U241" s="131"/>
      <c r="V241" s="131"/>
      <c r="W241" s="131"/>
      <c r="X241" s="131"/>
      <c r="Y241" s="131"/>
      <c r="Z241" s="203"/>
    </row>
    <row r="242">
      <c r="A242" s="262" t="s">
        <v>7</v>
      </c>
      <c r="B242" s="262" t="s">
        <v>27</v>
      </c>
      <c r="C242" s="262">
        <v>913.0</v>
      </c>
      <c r="D242" s="275">
        <v>4.1262947</v>
      </c>
      <c r="E242" s="260">
        <f t="shared" si="17"/>
        <v>247.577682</v>
      </c>
      <c r="F242" s="132">
        <f t="shared" si="18"/>
        <v>0.1719289458</v>
      </c>
      <c r="G242" s="276" t="s">
        <v>682</v>
      </c>
      <c r="H242" s="131"/>
      <c r="I242" s="131"/>
      <c r="J242" s="131"/>
      <c r="K242" s="131"/>
      <c r="L242" s="131"/>
      <c r="M242" s="131"/>
      <c r="N242" s="131"/>
      <c r="O242" s="131"/>
      <c r="P242" s="131"/>
      <c r="Q242" s="131"/>
      <c r="R242" s="131"/>
      <c r="S242" s="131"/>
      <c r="T242" s="131"/>
      <c r="U242" s="131"/>
      <c r="V242" s="131"/>
      <c r="W242" s="131"/>
      <c r="X242" s="131"/>
      <c r="Y242" s="131"/>
      <c r="Z242" s="203"/>
    </row>
    <row r="243">
      <c r="A243" s="262" t="s">
        <v>7</v>
      </c>
      <c r="B243" s="262" t="s">
        <v>21</v>
      </c>
      <c r="C243" s="262">
        <v>558.0</v>
      </c>
      <c r="D243" s="275">
        <v>2.6043444</v>
      </c>
      <c r="E243" s="260">
        <f t="shared" si="17"/>
        <v>156.260664</v>
      </c>
      <c r="F243" s="132">
        <f t="shared" si="18"/>
        <v>0.10851435</v>
      </c>
      <c r="G243" s="276" t="s">
        <v>683</v>
      </c>
      <c r="H243" s="131"/>
      <c r="I243" s="131"/>
      <c r="J243" s="131"/>
      <c r="K243" s="131"/>
      <c r="L243" s="131"/>
      <c r="M243" s="131"/>
      <c r="N243" s="131"/>
      <c r="O243" s="131"/>
      <c r="P243" s="131"/>
      <c r="Q243" s="131"/>
      <c r="R243" s="131"/>
      <c r="S243" s="131"/>
      <c r="T243" s="131"/>
      <c r="U243" s="131"/>
      <c r="V243" s="131"/>
      <c r="W243" s="131"/>
      <c r="X243" s="131"/>
      <c r="Y243" s="131"/>
      <c r="Z243" s="203"/>
    </row>
    <row r="244">
      <c r="A244" s="262" t="s">
        <v>7</v>
      </c>
      <c r="B244" s="262" t="s">
        <v>33</v>
      </c>
      <c r="C244" s="262">
        <v>3826.0</v>
      </c>
      <c r="D244" s="275">
        <v>18.7592372</v>
      </c>
      <c r="E244" s="260">
        <f t="shared" si="17"/>
        <v>1125.554232</v>
      </c>
      <c r="F244" s="132">
        <f t="shared" si="18"/>
        <v>0.7816348833</v>
      </c>
      <c r="G244" s="276" t="s">
        <v>684</v>
      </c>
      <c r="H244" s="131"/>
      <c r="I244" s="131"/>
      <c r="J244" s="131"/>
      <c r="K244" s="131"/>
      <c r="L244" s="131"/>
      <c r="M244" s="131"/>
      <c r="N244" s="131"/>
      <c r="O244" s="131"/>
      <c r="P244" s="131"/>
      <c r="Q244" s="131"/>
      <c r="R244" s="131"/>
      <c r="S244" s="131"/>
      <c r="T244" s="131"/>
      <c r="U244" s="131"/>
      <c r="V244" s="131"/>
      <c r="W244" s="131"/>
      <c r="X244" s="131"/>
      <c r="Y244" s="131"/>
      <c r="Z244" s="203"/>
    </row>
    <row r="245">
      <c r="A245" s="262" t="s">
        <v>7</v>
      </c>
      <c r="B245" s="262" t="s">
        <v>30</v>
      </c>
      <c r="C245" s="262">
        <v>6084.0</v>
      </c>
      <c r="D245" s="275">
        <v>28.4237375</v>
      </c>
      <c r="E245" s="260">
        <f t="shared" si="17"/>
        <v>1705.42425</v>
      </c>
      <c r="F245" s="132">
        <f t="shared" si="18"/>
        <v>1.184322396</v>
      </c>
      <c r="G245" s="276" t="s">
        <v>685</v>
      </c>
      <c r="H245" s="131"/>
      <c r="I245" s="131"/>
      <c r="J245" s="131"/>
      <c r="K245" s="131"/>
      <c r="L245" s="131"/>
      <c r="M245" s="131"/>
      <c r="N245" s="131"/>
      <c r="O245" s="131"/>
      <c r="P245" s="131"/>
      <c r="Q245" s="131"/>
      <c r="R245" s="131"/>
      <c r="S245" s="131"/>
      <c r="T245" s="131"/>
      <c r="U245" s="131"/>
      <c r="V245" s="131"/>
      <c r="W245" s="131"/>
      <c r="X245" s="131"/>
      <c r="Y245" s="131"/>
      <c r="Z245" s="203"/>
    </row>
    <row r="246">
      <c r="A246" s="262" t="s">
        <v>7</v>
      </c>
      <c r="B246" s="262" t="s">
        <v>34</v>
      </c>
      <c r="C246" s="262">
        <v>477.0</v>
      </c>
      <c r="D246" s="275">
        <v>2.4350839</v>
      </c>
      <c r="E246" s="260">
        <f t="shared" si="17"/>
        <v>146.105034</v>
      </c>
      <c r="F246" s="132">
        <f t="shared" si="18"/>
        <v>0.1014618292</v>
      </c>
      <c r="G246" s="276" t="s">
        <v>686</v>
      </c>
      <c r="H246" s="131"/>
      <c r="I246" s="131"/>
      <c r="J246" s="131"/>
      <c r="K246" s="131"/>
      <c r="L246" s="131"/>
      <c r="M246" s="131"/>
      <c r="N246" s="131"/>
      <c r="O246" s="131"/>
      <c r="P246" s="131"/>
      <c r="Q246" s="131"/>
      <c r="R246" s="131"/>
      <c r="S246" s="131"/>
      <c r="T246" s="131"/>
      <c r="U246" s="131"/>
      <c r="V246" s="131"/>
      <c r="W246" s="131"/>
      <c r="X246" s="131"/>
      <c r="Y246" s="131"/>
      <c r="Z246" s="203"/>
    </row>
    <row r="247">
      <c r="A247" s="262" t="s">
        <v>7</v>
      </c>
      <c r="B247" s="262" t="s">
        <v>40</v>
      </c>
      <c r="C247" s="262">
        <v>2075.0</v>
      </c>
      <c r="D247" s="275">
        <v>9.6262592</v>
      </c>
      <c r="E247" s="260">
        <f t="shared" si="17"/>
        <v>577.575552</v>
      </c>
      <c r="F247" s="132">
        <f t="shared" si="18"/>
        <v>0.4010941333</v>
      </c>
      <c r="G247" s="276" t="s">
        <v>687</v>
      </c>
      <c r="H247" s="131"/>
      <c r="I247" s="131"/>
      <c r="J247" s="131"/>
      <c r="K247" s="131"/>
      <c r="L247" s="131"/>
      <c r="M247" s="131"/>
      <c r="N247" s="131"/>
      <c r="O247" s="131"/>
      <c r="P247" s="131"/>
      <c r="Q247" s="131"/>
      <c r="R247" s="131"/>
      <c r="S247" s="131"/>
      <c r="T247" s="131"/>
      <c r="U247" s="131"/>
      <c r="V247" s="131"/>
      <c r="W247" s="131"/>
      <c r="X247" s="131"/>
      <c r="Y247" s="131"/>
      <c r="Z247" s="203"/>
    </row>
    <row r="248">
      <c r="A248" s="262" t="s">
        <v>7</v>
      </c>
      <c r="B248" s="262" t="s">
        <v>8</v>
      </c>
      <c r="C248" s="262">
        <v>2330.0</v>
      </c>
      <c r="D248" s="275">
        <v>11.5653781</v>
      </c>
      <c r="E248" s="260">
        <f t="shared" si="17"/>
        <v>693.922686</v>
      </c>
      <c r="F248" s="132">
        <f t="shared" si="18"/>
        <v>0.4818907542</v>
      </c>
      <c r="G248" s="276" t="s">
        <v>688</v>
      </c>
      <c r="H248" s="131"/>
      <c r="I248" s="131"/>
      <c r="J248" s="131"/>
      <c r="K248" s="131"/>
      <c r="L248" s="131"/>
      <c r="M248" s="131"/>
      <c r="N248" s="131"/>
      <c r="O248" s="131"/>
      <c r="P248" s="131"/>
      <c r="Q248" s="131"/>
      <c r="R248" s="131"/>
      <c r="S248" s="131"/>
      <c r="T248" s="131"/>
      <c r="U248" s="131"/>
      <c r="V248" s="131"/>
      <c r="W248" s="131"/>
      <c r="X248" s="131"/>
      <c r="Y248" s="131"/>
      <c r="Z248" s="203"/>
    </row>
    <row r="249">
      <c r="A249" s="262" t="s">
        <v>7</v>
      </c>
      <c r="B249" s="262" t="s">
        <v>44</v>
      </c>
      <c r="C249" s="262">
        <v>695.0</v>
      </c>
      <c r="D249" s="275">
        <v>3.0371944</v>
      </c>
      <c r="E249" s="260">
        <f t="shared" si="17"/>
        <v>182.231664</v>
      </c>
      <c r="F249" s="132">
        <f t="shared" si="18"/>
        <v>0.1265497667</v>
      </c>
      <c r="G249" s="276" t="s">
        <v>689</v>
      </c>
      <c r="H249" s="131"/>
      <c r="I249" s="131"/>
      <c r="J249" s="131"/>
      <c r="K249" s="131"/>
      <c r="L249" s="131"/>
      <c r="M249" s="131"/>
      <c r="N249" s="131"/>
      <c r="O249" s="131"/>
      <c r="P249" s="131"/>
      <c r="Q249" s="131"/>
      <c r="R249" s="131"/>
      <c r="S249" s="131"/>
      <c r="T249" s="131"/>
      <c r="U249" s="131"/>
      <c r="V249" s="131"/>
      <c r="W249" s="131"/>
      <c r="X249" s="131"/>
      <c r="Y249" s="131"/>
      <c r="Z249" s="203"/>
    </row>
    <row r="250">
      <c r="A250" s="262" t="s">
        <v>7</v>
      </c>
      <c r="B250" s="262" t="s">
        <v>43</v>
      </c>
      <c r="C250" s="262">
        <v>1703.0</v>
      </c>
      <c r="D250" s="275">
        <v>7.7183603</v>
      </c>
      <c r="E250" s="260">
        <f t="shared" si="17"/>
        <v>463.101618</v>
      </c>
      <c r="F250" s="132">
        <f t="shared" si="18"/>
        <v>0.3215983458</v>
      </c>
      <c r="G250" s="276" t="s">
        <v>690</v>
      </c>
      <c r="H250" s="131"/>
      <c r="I250" s="131"/>
      <c r="J250" s="131"/>
      <c r="K250" s="131"/>
      <c r="L250" s="131"/>
      <c r="M250" s="131"/>
      <c r="N250" s="131"/>
      <c r="O250" s="131"/>
      <c r="P250" s="131"/>
      <c r="Q250" s="131"/>
      <c r="R250" s="131"/>
      <c r="S250" s="131"/>
      <c r="T250" s="131"/>
      <c r="U250" s="131"/>
      <c r="V250" s="131"/>
      <c r="W250" s="131"/>
      <c r="X250" s="131"/>
      <c r="Y250" s="131"/>
      <c r="Z250" s="203"/>
    </row>
    <row r="251">
      <c r="A251" s="262" t="s">
        <v>7</v>
      </c>
      <c r="B251" s="262" t="s">
        <v>37</v>
      </c>
      <c r="C251" s="262">
        <v>807.0</v>
      </c>
      <c r="D251" s="275">
        <v>3.5506661</v>
      </c>
      <c r="E251" s="260">
        <f t="shared" si="17"/>
        <v>213.039966</v>
      </c>
      <c r="F251" s="132">
        <f t="shared" si="18"/>
        <v>0.1479444208</v>
      </c>
      <c r="G251" s="276" t="s">
        <v>691</v>
      </c>
      <c r="H251" s="131"/>
      <c r="I251" s="131"/>
      <c r="J251" s="131"/>
      <c r="K251" s="131"/>
      <c r="L251" s="131"/>
      <c r="M251" s="131"/>
      <c r="N251" s="131"/>
      <c r="O251" s="131"/>
      <c r="P251" s="131"/>
      <c r="Q251" s="131"/>
      <c r="R251" s="131"/>
      <c r="S251" s="131"/>
      <c r="T251" s="131"/>
      <c r="U251" s="131"/>
      <c r="V251" s="131"/>
      <c r="W251" s="131"/>
      <c r="X251" s="131"/>
      <c r="Y251" s="131"/>
      <c r="Z251" s="203"/>
    </row>
    <row r="252">
      <c r="A252" s="262" t="s">
        <v>7</v>
      </c>
      <c r="B252" s="262" t="s">
        <v>19</v>
      </c>
      <c r="C252" s="262">
        <v>3889.0</v>
      </c>
      <c r="D252" s="275">
        <v>19.0337469</v>
      </c>
      <c r="E252" s="260">
        <f t="shared" si="17"/>
        <v>1142.024814</v>
      </c>
      <c r="F252" s="132">
        <f t="shared" si="18"/>
        <v>0.7930727875</v>
      </c>
      <c r="G252" s="276" t="s">
        <v>692</v>
      </c>
      <c r="H252" s="131"/>
      <c r="I252" s="131"/>
      <c r="J252" s="131"/>
      <c r="K252" s="131"/>
      <c r="L252" s="131"/>
      <c r="M252" s="131"/>
      <c r="N252" s="131"/>
      <c r="O252" s="131"/>
      <c r="P252" s="131"/>
      <c r="Q252" s="131"/>
      <c r="R252" s="131"/>
      <c r="S252" s="131"/>
      <c r="T252" s="131"/>
      <c r="U252" s="131"/>
      <c r="V252" s="131"/>
      <c r="W252" s="131"/>
      <c r="X252" s="131"/>
      <c r="Y252" s="131"/>
      <c r="Z252" s="203"/>
    </row>
    <row r="253">
      <c r="A253" s="262" t="s">
        <v>7</v>
      </c>
      <c r="B253" s="262" t="s">
        <v>422</v>
      </c>
      <c r="C253" s="262">
        <v>3123.0</v>
      </c>
      <c r="D253" s="275">
        <v>15.1543247</v>
      </c>
      <c r="E253" s="260">
        <f t="shared" si="17"/>
        <v>909.259482</v>
      </c>
      <c r="F253" s="132">
        <f t="shared" si="18"/>
        <v>0.6314301958</v>
      </c>
      <c r="G253" s="276" t="s">
        <v>693</v>
      </c>
      <c r="H253" s="131"/>
      <c r="I253" s="131"/>
      <c r="J253" s="131"/>
      <c r="K253" s="131"/>
      <c r="L253" s="131"/>
      <c r="M253" s="131"/>
      <c r="N253" s="131"/>
      <c r="O253" s="131"/>
      <c r="P253" s="131"/>
      <c r="Q253" s="131"/>
      <c r="R253" s="131"/>
      <c r="S253" s="131"/>
      <c r="T253" s="131"/>
      <c r="U253" s="131"/>
      <c r="V253" s="131"/>
      <c r="W253" s="131"/>
      <c r="X253" s="131"/>
      <c r="Y253" s="131"/>
      <c r="Z253" s="203"/>
    </row>
    <row r="254">
      <c r="A254" s="262" t="s">
        <v>7</v>
      </c>
      <c r="B254" s="262" t="s">
        <v>22</v>
      </c>
      <c r="C254" s="262">
        <v>1312.0</v>
      </c>
      <c r="D254" s="275">
        <v>5.8987464</v>
      </c>
      <c r="E254" s="260">
        <f t="shared" si="17"/>
        <v>353.924784</v>
      </c>
      <c r="F254" s="132">
        <f t="shared" si="18"/>
        <v>0.2457811</v>
      </c>
      <c r="G254" s="276" t="s">
        <v>694</v>
      </c>
      <c r="H254" s="131"/>
      <c r="I254" s="131"/>
      <c r="J254" s="131"/>
      <c r="K254" s="131"/>
      <c r="L254" s="131"/>
      <c r="M254" s="131"/>
      <c r="N254" s="131"/>
      <c r="O254" s="131"/>
      <c r="P254" s="131"/>
      <c r="Q254" s="131"/>
      <c r="R254" s="131"/>
      <c r="S254" s="131"/>
      <c r="T254" s="131"/>
      <c r="U254" s="131"/>
      <c r="V254" s="131"/>
      <c r="W254" s="131"/>
      <c r="X254" s="131"/>
      <c r="Y254" s="131"/>
      <c r="Z254" s="203"/>
    </row>
    <row r="255">
      <c r="A255" s="262" t="s">
        <v>7</v>
      </c>
      <c r="B255" s="262" t="s">
        <v>20</v>
      </c>
      <c r="C255" s="262">
        <v>1580.0</v>
      </c>
      <c r="D255" s="275">
        <v>8.0896744</v>
      </c>
      <c r="E255" s="260">
        <f t="shared" si="17"/>
        <v>485.380464</v>
      </c>
      <c r="F255" s="132">
        <f t="shared" si="18"/>
        <v>0.3370697667</v>
      </c>
      <c r="G255" s="276" t="s">
        <v>695</v>
      </c>
      <c r="H255" s="131"/>
      <c r="I255" s="131"/>
      <c r="J255" s="131"/>
      <c r="K255" s="131"/>
      <c r="L255" s="131"/>
      <c r="M255" s="131"/>
      <c r="N255" s="131"/>
      <c r="O255" s="131"/>
      <c r="P255" s="131"/>
      <c r="Q255" s="131"/>
      <c r="R255" s="131"/>
      <c r="S255" s="131"/>
      <c r="T255" s="131"/>
      <c r="U255" s="131"/>
      <c r="V255" s="131"/>
      <c r="W255" s="131"/>
      <c r="X255" s="131"/>
      <c r="Y255" s="131"/>
      <c r="Z255" s="203"/>
    </row>
    <row r="256">
      <c r="A256" s="262" t="s">
        <v>54</v>
      </c>
      <c r="B256" s="262" t="s">
        <v>66</v>
      </c>
      <c r="C256" s="262">
        <v>14.0</v>
      </c>
      <c r="D256" s="275">
        <v>0.0617486</v>
      </c>
      <c r="E256" s="260">
        <f t="shared" si="17"/>
        <v>3.704916</v>
      </c>
      <c r="F256" s="132">
        <f t="shared" si="18"/>
        <v>0.002572858333</v>
      </c>
      <c r="G256" s="276" t="s">
        <v>696</v>
      </c>
      <c r="H256" s="131"/>
      <c r="I256" s="131"/>
      <c r="J256" s="131"/>
      <c r="K256" s="131"/>
      <c r="L256" s="131"/>
      <c r="M256" s="131"/>
      <c r="N256" s="131"/>
      <c r="O256" s="131"/>
      <c r="P256" s="131"/>
      <c r="Q256" s="131"/>
      <c r="R256" s="131"/>
      <c r="S256" s="131"/>
      <c r="T256" s="131"/>
      <c r="U256" s="131"/>
      <c r="V256" s="131"/>
      <c r="W256" s="131"/>
      <c r="X256" s="131"/>
      <c r="Y256" s="131"/>
      <c r="Z256" s="203"/>
    </row>
    <row r="257">
      <c r="A257" s="262" t="s">
        <v>54</v>
      </c>
      <c r="B257" s="262" t="s">
        <v>55</v>
      </c>
      <c r="C257" s="262">
        <v>1095.0</v>
      </c>
      <c r="D257" s="275">
        <v>5.1039567</v>
      </c>
      <c r="E257" s="260">
        <f t="shared" si="17"/>
        <v>306.237402</v>
      </c>
      <c r="F257" s="132">
        <f t="shared" si="18"/>
        <v>0.2126648625</v>
      </c>
      <c r="G257" s="276" t="s">
        <v>697</v>
      </c>
      <c r="H257" s="131"/>
      <c r="I257" s="131"/>
      <c r="J257" s="131"/>
      <c r="K257" s="131"/>
      <c r="L257" s="131"/>
      <c r="M257" s="131"/>
      <c r="N257" s="131"/>
      <c r="O257" s="131"/>
      <c r="P257" s="131"/>
      <c r="Q257" s="131"/>
      <c r="R257" s="131"/>
      <c r="S257" s="131"/>
      <c r="T257" s="131"/>
      <c r="U257" s="131"/>
      <c r="V257" s="131"/>
      <c r="W257" s="131"/>
      <c r="X257" s="131"/>
      <c r="Y257" s="131"/>
      <c r="Z257" s="203"/>
    </row>
    <row r="258">
      <c r="A258" s="262" t="s">
        <v>54</v>
      </c>
      <c r="B258" s="262" t="s">
        <v>56</v>
      </c>
      <c r="C258" s="262">
        <v>4907.0</v>
      </c>
      <c r="D258" s="275">
        <v>24.8960239</v>
      </c>
      <c r="E258" s="260">
        <f t="shared" si="17"/>
        <v>1493.761434</v>
      </c>
      <c r="F258" s="132">
        <f t="shared" si="18"/>
        <v>1.037334329</v>
      </c>
      <c r="G258" s="276" t="s">
        <v>698</v>
      </c>
      <c r="H258" s="131"/>
      <c r="I258" s="131"/>
      <c r="J258" s="131"/>
      <c r="K258" s="131"/>
      <c r="L258" s="131"/>
      <c r="M258" s="131"/>
      <c r="N258" s="131"/>
      <c r="O258" s="131"/>
      <c r="P258" s="131"/>
      <c r="Q258" s="131"/>
      <c r="R258" s="131"/>
      <c r="S258" s="131"/>
      <c r="T258" s="131"/>
      <c r="U258" s="131"/>
      <c r="V258" s="131"/>
      <c r="W258" s="131"/>
      <c r="X258" s="131"/>
      <c r="Y258" s="131"/>
      <c r="Z258" s="203"/>
    </row>
    <row r="259">
      <c r="A259" s="262" t="s">
        <v>54</v>
      </c>
      <c r="B259" s="262" t="s">
        <v>60</v>
      </c>
      <c r="C259" s="262">
        <v>280.0</v>
      </c>
      <c r="D259" s="275">
        <v>1.4156658</v>
      </c>
      <c r="E259" s="260">
        <f t="shared" si="17"/>
        <v>84.939948</v>
      </c>
      <c r="F259" s="132">
        <f t="shared" si="18"/>
        <v>0.058986075</v>
      </c>
      <c r="G259" s="276" t="s">
        <v>699</v>
      </c>
      <c r="H259" s="131"/>
      <c r="I259" s="131"/>
      <c r="J259" s="131"/>
      <c r="K259" s="131"/>
      <c r="L259" s="131"/>
      <c r="M259" s="131"/>
      <c r="N259" s="131"/>
      <c r="O259" s="131"/>
      <c r="P259" s="131"/>
      <c r="Q259" s="131"/>
      <c r="R259" s="131"/>
      <c r="S259" s="131"/>
      <c r="T259" s="131"/>
      <c r="U259" s="131"/>
      <c r="V259" s="131"/>
      <c r="W259" s="131"/>
      <c r="X259" s="131"/>
      <c r="Y259" s="131"/>
      <c r="Z259" s="203"/>
    </row>
    <row r="260">
      <c r="A260" s="262" t="s">
        <v>54</v>
      </c>
      <c r="B260" s="262" t="s">
        <v>62</v>
      </c>
      <c r="C260" s="262">
        <v>971.0</v>
      </c>
      <c r="D260" s="275">
        <v>4.8052886</v>
      </c>
      <c r="E260" s="260">
        <f t="shared" si="17"/>
        <v>288.317316</v>
      </c>
      <c r="F260" s="132">
        <f t="shared" si="18"/>
        <v>0.2002203583</v>
      </c>
      <c r="G260" s="276" t="s">
        <v>700</v>
      </c>
      <c r="H260" s="131"/>
      <c r="I260" s="131"/>
      <c r="J260" s="131"/>
      <c r="K260" s="131"/>
      <c r="L260" s="131"/>
      <c r="M260" s="131"/>
      <c r="N260" s="131"/>
      <c r="O260" s="131"/>
      <c r="P260" s="131"/>
      <c r="Q260" s="131"/>
      <c r="R260" s="131"/>
      <c r="S260" s="131"/>
      <c r="T260" s="131"/>
      <c r="U260" s="131"/>
      <c r="V260" s="131"/>
      <c r="W260" s="131"/>
      <c r="X260" s="131"/>
      <c r="Y260" s="131"/>
      <c r="Z260" s="203"/>
    </row>
    <row r="261">
      <c r="A261" s="262" t="s">
        <v>54</v>
      </c>
      <c r="B261" s="262" t="s">
        <v>64</v>
      </c>
      <c r="C261" s="262">
        <v>925.0</v>
      </c>
      <c r="D261" s="275">
        <v>4.6121942</v>
      </c>
      <c r="E261" s="260">
        <f t="shared" si="17"/>
        <v>276.731652</v>
      </c>
      <c r="F261" s="132">
        <f t="shared" si="18"/>
        <v>0.1921747583</v>
      </c>
      <c r="G261" s="276" t="s">
        <v>701</v>
      </c>
      <c r="H261" s="131"/>
      <c r="I261" s="131"/>
      <c r="J261" s="131"/>
      <c r="K261" s="131"/>
      <c r="L261" s="131"/>
      <c r="M261" s="131"/>
      <c r="N261" s="131"/>
      <c r="O261" s="131"/>
      <c r="P261" s="131"/>
      <c r="Q261" s="131"/>
      <c r="R261" s="131"/>
      <c r="S261" s="131"/>
      <c r="T261" s="131"/>
      <c r="U261" s="131"/>
      <c r="V261" s="131"/>
      <c r="W261" s="131"/>
      <c r="X261" s="131"/>
      <c r="Y261" s="131"/>
      <c r="Z261" s="203"/>
    </row>
    <row r="262">
      <c r="A262" s="262" t="s">
        <v>54</v>
      </c>
      <c r="B262" s="262" t="s">
        <v>59</v>
      </c>
      <c r="C262" s="262">
        <v>938.0</v>
      </c>
      <c r="D262" s="275">
        <v>4.5219594</v>
      </c>
      <c r="E262" s="260">
        <f t="shared" si="17"/>
        <v>271.317564</v>
      </c>
      <c r="F262" s="132">
        <f t="shared" si="18"/>
        <v>0.188414975</v>
      </c>
      <c r="G262" s="276" t="s">
        <v>702</v>
      </c>
      <c r="H262" s="131"/>
      <c r="I262" s="131"/>
      <c r="J262" s="131"/>
      <c r="K262" s="131"/>
      <c r="L262" s="131"/>
      <c r="M262" s="131"/>
      <c r="N262" s="131"/>
      <c r="O262" s="131"/>
      <c r="P262" s="131"/>
      <c r="Q262" s="131"/>
      <c r="R262" s="131"/>
      <c r="S262" s="131"/>
      <c r="T262" s="131"/>
      <c r="U262" s="131"/>
      <c r="V262" s="131"/>
      <c r="W262" s="131"/>
      <c r="X262" s="131"/>
      <c r="Y262" s="131"/>
      <c r="Z262" s="203"/>
    </row>
    <row r="263">
      <c r="A263" s="262" t="s">
        <v>54</v>
      </c>
      <c r="B263" s="262" t="s">
        <v>65</v>
      </c>
      <c r="C263" s="262">
        <v>1554.0</v>
      </c>
      <c r="D263" s="275">
        <v>7.1163828</v>
      </c>
      <c r="E263" s="260">
        <f t="shared" si="17"/>
        <v>426.982968</v>
      </c>
      <c r="F263" s="132">
        <f t="shared" si="18"/>
        <v>0.29651595</v>
      </c>
      <c r="G263" s="276" t="s">
        <v>703</v>
      </c>
      <c r="H263" s="131"/>
      <c r="I263" s="131"/>
      <c r="J263" s="131"/>
      <c r="K263" s="131"/>
      <c r="L263" s="131"/>
      <c r="M263" s="131"/>
      <c r="N263" s="131"/>
      <c r="O263" s="131"/>
      <c r="P263" s="131"/>
      <c r="Q263" s="131"/>
      <c r="R263" s="131"/>
      <c r="S263" s="131"/>
      <c r="T263" s="131"/>
      <c r="U263" s="131"/>
      <c r="V263" s="131"/>
      <c r="W263" s="131"/>
      <c r="X263" s="131"/>
      <c r="Y263" s="131"/>
      <c r="Z263" s="203"/>
    </row>
    <row r="264">
      <c r="A264" s="262" t="s">
        <v>54</v>
      </c>
      <c r="B264" s="262" t="s">
        <v>63</v>
      </c>
      <c r="C264" s="262">
        <v>999.0</v>
      </c>
      <c r="D264" s="275">
        <v>4.6381817</v>
      </c>
      <c r="E264" s="260">
        <f t="shared" si="17"/>
        <v>278.290902</v>
      </c>
      <c r="F264" s="132">
        <f t="shared" si="18"/>
        <v>0.1932575708</v>
      </c>
      <c r="G264" s="276" t="s">
        <v>704</v>
      </c>
      <c r="H264" s="131"/>
      <c r="I264" s="131"/>
      <c r="J264" s="131"/>
      <c r="K264" s="131"/>
      <c r="L264" s="131"/>
      <c r="M264" s="131"/>
      <c r="N264" s="131"/>
      <c r="O264" s="131"/>
      <c r="P264" s="131"/>
      <c r="Q264" s="131"/>
      <c r="R264" s="131"/>
      <c r="S264" s="131"/>
      <c r="T264" s="131"/>
      <c r="U264" s="131"/>
      <c r="V264" s="131"/>
      <c r="W264" s="131"/>
      <c r="X264" s="131"/>
      <c r="Y264" s="131"/>
      <c r="Z264" s="203"/>
    </row>
    <row r="265">
      <c r="A265" s="262" t="s">
        <v>54</v>
      </c>
      <c r="B265" s="262" t="s">
        <v>58</v>
      </c>
      <c r="C265" s="262">
        <v>800.0</v>
      </c>
      <c r="D265" s="275">
        <v>4.11934</v>
      </c>
      <c r="E265" s="260">
        <f t="shared" si="17"/>
        <v>247.1604</v>
      </c>
      <c r="F265" s="132">
        <f t="shared" si="18"/>
        <v>0.1716391667</v>
      </c>
      <c r="G265" s="276" t="s">
        <v>705</v>
      </c>
      <c r="H265" s="131"/>
      <c r="I265" s="131"/>
      <c r="J265" s="131"/>
      <c r="K265" s="131"/>
      <c r="L265" s="131"/>
      <c r="M265" s="131"/>
      <c r="N265" s="131"/>
      <c r="O265" s="131"/>
      <c r="P265" s="131"/>
      <c r="Q265" s="131"/>
      <c r="R265" s="131"/>
      <c r="S265" s="131"/>
      <c r="T265" s="131"/>
      <c r="U265" s="131"/>
      <c r="V265" s="131"/>
      <c r="W265" s="131"/>
      <c r="X265" s="131"/>
      <c r="Y265" s="131"/>
      <c r="Z265" s="203"/>
    </row>
    <row r="266">
      <c r="A266" s="262" t="s">
        <v>45</v>
      </c>
      <c r="B266" s="262" t="s">
        <v>706</v>
      </c>
      <c r="C266" s="262">
        <v>483.0</v>
      </c>
      <c r="D266" s="275">
        <v>2.399785</v>
      </c>
      <c r="E266" s="260">
        <f t="shared" si="17"/>
        <v>143.9871</v>
      </c>
      <c r="F266" s="132">
        <f t="shared" si="18"/>
        <v>0.09999104167</v>
      </c>
      <c r="G266" s="276" t="s">
        <v>707</v>
      </c>
      <c r="H266" s="131"/>
      <c r="I266" s="131"/>
      <c r="J266" s="131"/>
      <c r="K266" s="131"/>
      <c r="L266" s="131"/>
      <c r="M266" s="131"/>
      <c r="N266" s="131"/>
      <c r="O266" s="131"/>
      <c r="P266" s="131"/>
      <c r="Q266" s="131"/>
      <c r="R266" s="131"/>
      <c r="S266" s="131"/>
      <c r="T266" s="131"/>
      <c r="U266" s="131"/>
      <c r="V266" s="131"/>
      <c r="W266" s="131"/>
      <c r="X266" s="131"/>
      <c r="Y266" s="131"/>
      <c r="Z266" s="203"/>
    </row>
    <row r="267">
      <c r="A267" s="262" t="s">
        <v>69</v>
      </c>
      <c r="B267" s="262" t="s">
        <v>71</v>
      </c>
      <c r="C267" s="262">
        <v>1206.0</v>
      </c>
      <c r="D267" s="275">
        <v>6.0478194</v>
      </c>
      <c r="E267" s="260">
        <f t="shared" si="17"/>
        <v>362.869164</v>
      </c>
      <c r="F267" s="132">
        <f t="shared" si="18"/>
        <v>0.251992475</v>
      </c>
      <c r="G267" s="276" t="s">
        <v>708</v>
      </c>
      <c r="H267" s="131"/>
      <c r="I267" s="131"/>
      <c r="J267" s="131"/>
      <c r="K267" s="131"/>
      <c r="L267" s="131"/>
      <c r="M267" s="131"/>
      <c r="N267" s="131"/>
      <c r="O267" s="131"/>
      <c r="P267" s="131"/>
      <c r="Q267" s="131"/>
      <c r="R267" s="131"/>
      <c r="S267" s="131"/>
      <c r="T267" s="131"/>
      <c r="U267" s="131"/>
      <c r="V267" s="131"/>
      <c r="W267" s="131"/>
      <c r="X267" s="131"/>
      <c r="Y267" s="131"/>
      <c r="Z267" s="203"/>
    </row>
    <row r="268">
      <c r="A268" s="262" t="s">
        <v>69</v>
      </c>
      <c r="B268" s="262" t="s">
        <v>70</v>
      </c>
      <c r="C268" s="262">
        <v>1070.0</v>
      </c>
      <c r="D268" s="275">
        <v>5.1110689</v>
      </c>
      <c r="E268" s="260">
        <f t="shared" si="17"/>
        <v>306.664134</v>
      </c>
      <c r="F268" s="132">
        <f t="shared" si="18"/>
        <v>0.2129612042</v>
      </c>
      <c r="G268" s="276" t="s">
        <v>709</v>
      </c>
      <c r="H268" s="131"/>
      <c r="I268" s="131"/>
      <c r="J268" s="131"/>
      <c r="K268" s="131"/>
      <c r="L268" s="131"/>
      <c r="M268" s="131"/>
      <c r="N268" s="131"/>
      <c r="O268" s="131"/>
      <c r="P268" s="131"/>
      <c r="Q268" s="131"/>
      <c r="R268" s="131"/>
      <c r="S268" s="131"/>
      <c r="T268" s="131"/>
      <c r="U268" s="131"/>
      <c r="V268" s="131"/>
      <c r="W268" s="131"/>
      <c r="X268" s="131"/>
      <c r="Y268" s="131"/>
      <c r="Z268" s="203"/>
    </row>
    <row r="269">
      <c r="A269" s="262" t="s">
        <v>35</v>
      </c>
      <c r="B269" s="262" t="s">
        <v>72</v>
      </c>
      <c r="C269" s="262">
        <v>551.0</v>
      </c>
      <c r="D269" s="275">
        <v>2.5349419</v>
      </c>
      <c r="E269" s="260">
        <f t="shared" si="17"/>
        <v>152.096514</v>
      </c>
      <c r="F269" s="132">
        <f t="shared" si="18"/>
        <v>0.1056225792</v>
      </c>
      <c r="G269" s="276" t="s">
        <v>710</v>
      </c>
      <c r="H269" s="131"/>
      <c r="I269" s="131"/>
      <c r="J269" s="131"/>
      <c r="K269" s="131"/>
      <c r="L269" s="131"/>
      <c r="M269" s="131"/>
      <c r="N269" s="131"/>
      <c r="O269" s="131"/>
      <c r="P269" s="131"/>
      <c r="Q269" s="131"/>
      <c r="R269" s="131"/>
      <c r="S269" s="131"/>
      <c r="T269" s="131"/>
      <c r="U269" s="131"/>
      <c r="V269" s="131"/>
      <c r="W269" s="131"/>
      <c r="X269" s="131"/>
      <c r="Y269" s="131"/>
      <c r="Z269" s="203"/>
    </row>
    <row r="270">
      <c r="A270" s="262" t="s">
        <v>35</v>
      </c>
      <c r="B270" s="262" t="s">
        <v>73</v>
      </c>
      <c r="C270" s="262">
        <v>1359.0</v>
      </c>
      <c r="D270" s="275">
        <v>6.1915911</v>
      </c>
      <c r="E270" s="260">
        <f t="shared" si="17"/>
        <v>371.495466</v>
      </c>
      <c r="F270" s="132">
        <f t="shared" si="18"/>
        <v>0.2579829625</v>
      </c>
      <c r="G270" s="276" t="s">
        <v>711</v>
      </c>
      <c r="H270" s="131"/>
      <c r="I270" s="131"/>
      <c r="J270" s="131"/>
      <c r="K270" s="131"/>
      <c r="L270" s="131"/>
      <c r="M270" s="131"/>
      <c r="N270" s="131"/>
      <c r="O270" s="131"/>
      <c r="P270" s="131"/>
      <c r="Q270" s="131"/>
      <c r="R270" s="131"/>
      <c r="S270" s="131"/>
      <c r="T270" s="131"/>
      <c r="U270" s="131"/>
      <c r="V270" s="131"/>
      <c r="W270" s="131"/>
      <c r="X270" s="131"/>
      <c r="Y270" s="131"/>
      <c r="Z270" s="203"/>
    </row>
    <row r="271">
      <c r="A271" s="262" t="s">
        <v>35</v>
      </c>
      <c r="B271" s="262" t="s">
        <v>74</v>
      </c>
      <c r="C271" s="262">
        <v>620.0</v>
      </c>
      <c r="D271" s="275">
        <v>2.9672361</v>
      </c>
      <c r="E271" s="260">
        <f t="shared" si="17"/>
        <v>178.034166</v>
      </c>
      <c r="F271" s="132">
        <f t="shared" si="18"/>
        <v>0.1236348375</v>
      </c>
      <c r="G271" s="276" t="s">
        <v>712</v>
      </c>
      <c r="H271" s="131"/>
      <c r="I271" s="131"/>
      <c r="J271" s="131"/>
      <c r="K271" s="131"/>
      <c r="L271" s="131"/>
      <c r="M271" s="131"/>
      <c r="N271" s="131"/>
      <c r="O271" s="131"/>
      <c r="P271" s="131"/>
      <c r="Q271" s="131"/>
      <c r="R271" s="131"/>
      <c r="S271" s="131"/>
      <c r="T271" s="131"/>
      <c r="U271" s="131"/>
      <c r="V271" s="131"/>
      <c r="W271" s="131"/>
      <c r="X271" s="131"/>
      <c r="Y271" s="131"/>
      <c r="Z271" s="203"/>
    </row>
    <row r="272">
      <c r="A272" s="262" t="s">
        <v>35</v>
      </c>
      <c r="B272" s="262" t="s">
        <v>75</v>
      </c>
      <c r="C272" s="262">
        <v>1101.0</v>
      </c>
      <c r="D272" s="275">
        <v>5.5225019</v>
      </c>
      <c r="E272" s="260">
        <f t="shared" si="17"/>
        <v>331.350114</v>
      </c>
      <c r="F272" s="132">
        <f t="shared" si="18"/>
        <v>0.2301042458</v>
      </c>
      <c r="G272" s="276" t="s">
        <v>713</v>
      </c>
      <c r="H272" s="131"/>
      <c r="I272" s="131"/>
      <c r="J272" s="131"/>
      <c r="K272" s="131"/>
      <c r="L272" s="131"/>
      <c r="M272" s="131"/>
      <c r="N272" s="131"/>
      <c r="O272" s="131"/>
      <c r="P272" s="131"/>
      <c r="Q272" s="131"/>
      <c r="R272" s="131"/>
      <c r="S272" s="131"/>
      <c r="T272" s="131"/>
      <c r="U272" s="131"/>
      <c r="V272" s="131"/>
      <c r="W272" s="131"/>
      <c r="X272" s="131"/>
      <c r="Y272" s="131"/>
      <c r="Z272" s="203"/>
    </row>
    <row r="273">
      <c r="A273" s="262" t="s">
        <v>35</v>
      </c>
      <c r="B273" s="262" t="s">
        <v>425</v>
      </c>
      <c r="C273" s="262">
        <v>1233.0</v>
      </c>
      <c r="D273" s="275">
        <v>6.3259572</v>
      </c>
      <c r="E273" s="260">
        <f t="shared" si="17"/>
        <v>379.557432</v>
      </c>
      <c r="F273" s="132">
        <f t="shared" si="18"/>
        <v>0.26358155</v>
      </c>
      <c r="G273" s="276" t="s">
        <v>714</v>
      </c>
      <c r="H273" s="131"/>
      <c r="I273" s="131"/>
      <c r="J273" s="131"/>
      <c r="K273" s="131"/>
      <c r="L273" s="131"/>
      <c r="M273" s="131"/>
      <c r="N273" s="131"/>
      <c r="O273" s="131"/>
      <c r="P273" s="131"/>
      <c r="Q273" s="131"/>
      <c r="R273" s="131"/>
      <c r="S273" s="131"/>
      <c r="T273" s="131"/>
      <c r="U273" s="131"/>
      <c r="V273" s="131"/>
      <c r="W273" s="131"/>
      <c r="X273" s="131"/>
      <c r="Y273" s="131"/>
      <c r="Z273" s="203"/>
    </row>
    <row r="274">
      <c r="A274" s="262" t="s">
        <v>35</v>
      </c>
      <c r="B274" s="262" t="s">
        <v>80</v>
      </c>
      <c r="C274" s="262">
        <v>180.0</v>
      </c>
      <c r="D274" s="275">
        <v>0.9581589</v>
      </c>
      <c r="E274" s="260">
        <f t="shared" si="17"/>
        <v>57.489534</v>
      </c>
      <c r="F274" s="132">
        <f t="shared" si="18"/>
        <v>0.0399232875</v>
      </c>
      <c r="G274" s="276" t="s">
        <v>715</v>
      </c>
      <c r="H274" s="131"/>
      <c r="I274" s="131"/>
      <c r="J274" s="131"/>
      <c r="K274" s="131"/>
      <c r="L274" s="131"/>
      <c r="M274" s="131"/>
      <c r="N274" s="131"/>
      <c r="O274" s="131"/>
      <c r="P274" s="131"/>
      <c r="Q274" s="131"/>
      <c r="R274" s="131"/>
      <c r="S274" s="131"/>
      <c r="T274" s="131"/>
      <c r="U274" s="131"/>
      <c r="V274" s="131"/>
      <c r="W274" s="131"/>
      <c r="X274" s="131"/>
      <c r="Y274" s="131"/>
      <c r="Z274" s="203"/>
    </row>
    <row r="275">
      <c r="A275" s="262" t="s">
        <v>35</v>
      </c>
      <c r="B275" s="262" t="s">
        <v>83</v>
      </c>
      <c r="C275" s="262">
        <v>2235.0</v>
      </c>
      <c r="D275" s="275">
        <v>9.9118889</v>
      </c>
      <c r="E275" s="260">
        <f t="shared" si="17"/>
        <v>594.713334</v>
      </c>
      <c r="F275" s="132">
        <f t="shared" si="18"/>
        <v>0.4129953708</v>
      </c>
      <c r="G275" s="276" t="s">
        <v>716</v>
      </c>
      <c r="H275" s="131"/>
      <c r="I275" s="131"/>
      <c r="J275" s="131"/>
      <c r="K275" s="131"/>
      <c r="L275" s="131"/>
      <c r="M275" s="131"/>
      <c r="N275" s="131"/>
      <c r="O275" s="131"/>
      <c r="P275" s="131"/>
      <c r="Q275" s="131"/>
      <c r="R275" s="131"/>
      <c r="S275" s="131"/>
      <c r="T275" s="131"/>
      <c r="U275" s="131"/>
      <c r="V275" s="131"/>
      <c r="W275" s="131"/>
      <c r="X275" s="131"/>
      <c r="Y275" s="131"/>
      <c r="Z275" s="203"/>
    </row>
    <row r="276">
      <c r="A276" s="262" t="s">
        <v>35</v>
      </c>
      <c r="B276" s="262" t="s">
        <v>42</v>
      </c>
      <c r="C276" s="262">
        <v>1455.0</v>
      </c>
      <c r="D276" s="275">
        <v>6.4411917</v>
      </c>
      <c r="E276" s="260">
        <f t="shared" si="17"/>
        <v>386.471502</v>
      </c>
      <c r="F276" s="132">
        <f t="shared" si="18"/>
        <v>0.2683829875</v>
      </c>
      <c r="G276" s="276" t="s">
        <v>717</v>
      </c>
      <c r="H276" s="131"/>
      <c r="I276" s="131"/>
      <c r="J276" s="131"/>
      <c r="K276" s="131"/>
      <c r="L276" s="131"/>
      <c r="M276" s="131"/>
      <c r="N276" s="131"/>
      <c r="O276" s="131"/>
      <c r="P276" s="131"/>
      <c r="Q276" s="131"/>
      <c r="R276" s="131"/>
      <c r="S276" s="131"/>
      <c r="T276" s="131"/>
      <c r="U276" s="131"/>
      <c r="V276" s="131"/>
      <c r="W276" s="131"/>
      <c r="X276" s="131"/>
      <c r="Y276" s="131"/>
      <c r="Z276" s="203"/>
    </row>
    <row r="277">
      <c r="A277" s="262" t="s">
        <v>35</v>
      </c>
      <c r="B277" s="262" t="s">
        <v>82</v>
      </c>
      <c r="C277" s="262">
        <v>1619.0</v>
      </c>
      <c r="D277" s="275">
        <v>8.0076281</v>
      </c>
      <c r="E277" s="260">
        <f t="shared" si="17"/>
        <v>480.457686</v>
      </c>
      <c r="F277" s="132">
        <f t="shared" si="18"/>
        <v>0.3336511708</v>
      </c>
      <c r="G277" s="276" t="s">
        <v>718</v>
      </c>
      <c r="H277" s="131"/>
      <c r="I277" s="131"/>
      <c r="J277" s="131"/>
      <c r="K277" s="131"/>
      <c r="L277" s="131"/>
      <c r="M277" s="131"/>
      <c r="N277" s="131"/>
      <c r="O277" s="131"/>
      <c r="P277" s="131"/>
      <c r="Q277" s="131"/>
      <c r="R277" s="131"/>
      <c r="S277" s="131"/>
      <c r="T277" s="131"/>
      <c r="U277" s="131"/>
      <c r="V277" s="131"/>
      <c r="W277" s="131"/>
      <c r="X277" s="131"/>
      <c r="Y277" s="131"/>
      <c r="Z277" s="203"/>
    </row>
    <row r="278">
      <c r="A278" s="262" t="s">
        <v>35</v>
      </c>
      <c r="B278" s="262" t="s">
        <v>36</v>
      </c>
      <c r="C278" s="262">
        <v>1665.0</v>
      </c>
      <c r="D278" s="275">
        <v>7.7055069</v>
      </c>
      <c r="E278" s="260">
        <f t="shared" si="17"/>
        <v>462.330414</v>
      </c>
      <c r="F278" s="132">
        <f t="shared" si="18"/>
        <v>0.3210627875</v>
      </c>
      <c r="G278" s="276" t="s">
        <v>719</v>
      </c>
      <c r="H278" s="131"/>
      <c r="I278" s="131"/>
      <c r="J278" s="131"/>
      <c r="K278" s="131"/>
      <c r="L278" s="131"/>
      <c r="M278" s="131"/>
      <c r="N278" s="131"/>
      <c r="O278" s="131"/>
      <c r="P278" s="131"/>
      <c r="Q278" s="131"/>
      <c r="R278" s="131"/>
      <c r="S278" s="131"/>
      <c r="T278" s="131"/>
      <c r="U278" s="131"/>
      <c r="V278" s="131"/>
      <c r="W278" s="131"/>
      <c r="X278" s="131"/>
      <c r="Y278" s="131"/>
      <c r="Z278" s="203"/>
    </row>
    <row r="279">
      <c r="A279" s="262" t="s">
        <v>17</v>
      </c>
      <c r="B279" s="262" t="s">
        <v>79</v>
      </c>
      <c r="C279" s="262">
        <v>191.0</v>
      </c>
      <c r="D279" s="275">
        <v>0.7652286</v>
      </c>
      <c r="E279" s="260">
        <f t="shared" si="17"/>
        <v>45.913716</v>
      </c>
      <c r="F279" s="132">
        <f t="shared" si="18"/>
        <v>0.031884525</v>
      </c>
      <c r="G279" s="276" t="s">
        <v>720</v>
      </c>
      <c r="H279" s="131"/>
      <c r="I279" s="131"/>
      <c r="J279" s="131"/>
      <c r="K279" s="131"/>
      <c r="L279" s="131"/>
      <c r="M279" s="131"/>
      <c r="N279" s="131"/>
      <c r="O279" s="131"/>
      <c r="P279" s="131"/>
      <c r="Q279" s="131"/>
      <c r="R279" s="131"/>
      <c r="S279" s="131"/>
      <c r="T279" s="131"/>
      <c r="U279" s="131"/>
      <c r="V279" s="131"/>
      <c r="W279" s="131"/>
      <c r="X279" s="131"/>
      <c r="Y279" s="131"/>
      <c r="Z279" s="203"/>
    </row>
    <row r="280">
      <c r="A280" s="262" t="s">
        <v>17</v>
      </c>
      <c r="B280" s="262" t="s">
        <v>18</v>
      </c>
      <c r="C280" s="262">
        <v>1080.0</v>
      </c>
      <c r="D280" s="275">
        <v>5.1284111</v>
      </c>
      <c r="E280" s="260">
        <f t="shared" si="17"/>
        <v>307.704666</v>
      </c>
      <c r="F280" s="132">
        <f t="shared" si="18"/>
        <v>0.2136837958</v>
      </c>
      <c r="G280" s="276" t="s">
        <v>721</v>
      </c>
      <c r="H280" s="131"/>
      <c r="I280" s="131"/>
      <c r="J280" s="131"/>
      <c r="K280" s="131"/>
      <c r="L280" s="131"/>
      <c r="M280" s="131"/>
      <c r="N280" s="131"/>
      <c r="O280" s="131"/>
      <c r="P280" s="131"/>
      <c r="Q280" s="131"/>
      <c r="R280" s="131"/>
      <c r="S280" s="131"/>
      <c r="T280" s="131"/>
      <c r="U280" s="131"/>
      <c r="V280" s="131"/>
      <c r="W280" s="131"/>
      <c r="X280" s="131"/>
      <c r="Y280" s="131"/>
      <c r="Z280" s="203"/>
    </row>
    <row r="281">
      <c r="A281" s="262" t="s">
        <v>17</v>
      </c>
      <c r="B281" s="262" t="s">
        <v>86</v>
      </c>
      <c r="C281" s="262">
        <v>672.0</v>
      </c>
      <c r="D281" s="275">
        <v>3.0980514</v>
      </c>
      <c r="E281" s="260">
        <f t="shared" si="17"/>
        <v>185.883084</v>
      </c>
      <c r="F281" s="132">
        <f t="shared" si="18"/>
        <v>0.129085475</v>
      </c>
      <c r="G281" s="276" t="s">
        <v>722</v>
      </c>
      <c r="H281" s="131"/>
      <c r="I281" s="131"/>
      <c r="J281" s="131"/>
      <c r="K281" s="131"/>
      <c r="L281" s="131"/>
      <c r="M281" s="131"/>
      <c r="N281" s="131"/>
      <c r="O281" s="131"/>
      <c r="P281" s="131"/>
      <c r="Q281" s="131"/>
      <c r="R281" s="131"/>
      <c r="S281" s="131"/>
      <c r="T281" s="131"/>
      <c r="U281" s="131"/>
      <c r="V281" s="131"/>
      <c r="W281" s="131"/>
      <c r="X281" s="131"/>
      <c r="Y281" s="131"/>
      <c r="Z281" s="203"/>
    </row>
    <row r="282">
      <c r="A282" s="262" t="s">
        <v>17</v>
      </c>
      <c r="B282" s="262" t="s">
        <v>85</v>
      </c>
      <c r="C282" s="262">
        <v>191.0</v>
      </c>
      <c r="D282" s="275">
        <v>0.7273672</v>
      </c>
      <c r="E282" s="260">
        <f t="shared" si="17"/>
        <v>43.642032</v>
      </c>
      <c r="F282" s="132">
        <f t="shared" si="18"/>
        <v>0.03030696667</v>
      </c>
      <c r="G282" s="276" t="s">
        <v>723</v>
      </c>
      <c r="H282" s="131"/>
      <c r="I282" s="131"/>
      <c r="J282" s="131"/>
      <c r="K282" s="131"/>
      <c r="L282" s="131"/>
      <c r="M282" s="131"/>
      <c r="N282" s="131"/>
      <c r="O282" s="131"/>
      <c r="P282" s="131"/>
      <c r="Q282" s="131"/>
      <c r="R282" s="131"/>
      <c r="S282" s="131"/>
      <c r="T282" s="131"/>
      <c r="U282" s="131"/>
      <c r="V282" s="131"/>
      <c r="W282" s="131"/>
      <c r="X282" s="131"/>
      <c r="Y282" s="131"/>
      <c r="Z282" s="203"/>
    </row>
    <row r="283">
      <c r="A283" s="262" t="s">
        <v>17</v>
      </c>
      <c r="B283" s="262" t="s">
        <v>84</v>
      </c>
      <c r="C283" s="262">
        <v>1036.0</v>
      </c>
      <c r="D283" s="275">
        <v>5.1152153</v>
      </c>
      <c r="E283" s="260">
        <f t="shared" si="17"/>
        <v>306.912918</v>
      </c>
      <c r="F283" s="132">
        <f t="shared" si="18"/>
        <v>0.2131339708</v>
      </c>
      <c r="G283" s="276" t="s">
        <v>724</v>
      </c>
      <c r="H283" s="131"/>
      <c r="I283" s="131"/>
      <c r="J283" s="131"/>
      <c r="K283" s="131"/>
      <c r="L283" s="131"/>
      <c r="M283" s="131"/>
      <c r="N283" s="131"/>
      <c r="O283" s="131"/>
      <c r="P283" s="131"/>
      <c r="Q283" s="131"/>
      <c r="R283" s="131"/>
      <c r="S283" s="131"/>
      <c r="T283" s="131"/>
      <c r="U283" s="131"/>
      <c r="V283" s="131"/>
      <c r="W283" s="131"/>
      <c r="X283" s="131"/>
      <c r="Y283" s="131"/>
      <c r="Z283" s="203"/>
    </row>
    <row r="284">
      <c r="A284" s="262" t="s">
        <v>17</v>
      </c>
      <c r="B284" s="262" t="s">
        <v>23</v>
      </c>
      <c r="C284" s="262">
        <v>1278.0</v>
      </c>
      <c r="D284" s="275">
        <v>5.5377117</v>
      </c>
      <c r="E284" s="260">
        <f t="shared" si="17"/>
        <v>332.262702</v>
      </c>
      <c r="F284" s="132">
        <f t="shared" si="18"/>
        <v>0.2307379875</v>
      </c>
      <c r="G284" s="276" t="s">
        <v>725</v>
      </c>
      <c r="H284" s="131"/>
      <c r="I284" s="131"/>
      <c r="J284" s="131"/>
      <c r="K284" s="131"/>
      <c r="L284" s="131"/>
      <c r="M284" s="131"/>
      <c r="N284" s="131"/>
      <c r="O284" s="131"/>
      <c r="P284" s="131"/>
      <c r="Q284" s="131"/>
      <c r="R284" s="131"/>
      <c r="S284" s="131"/>
      <c r="T284" s="131"/>
      <c r="U284" s="131"/>
      <c r="V284" s="131"/>
      <c r="W284" s="131"/>
      <c r="X284" s="131"/>
      <c r="Y284" s="131"/>
      <c r="Z284" s="203"/>
    </row>
    <row r="285">
      <c r="A285" s="262" t="s">
        <v>17</v>
      </c>
      <c r="B285" s="262" t="s">
        <v>87</v>
      </c>
      <c r="C285" s="262">
        <v>286.0</v>
      </c>
      <c r="D285" s="275">
        <v>1.1786214</v>
      </c>
      <c r="E285" s="260">
        <f t="shared" si="17"/>
        <v>70.717284</v>
      </c>
      <c r="F285" s="132">
        <f t="shared" si="18"/>
        <v>0.049109225</v>
      </c>
      <c r="G285" s="276" t="s">
        <v>726</v>
      </c>
      <c r="H285" s="131"/>
      <c r="I285" s="131"/>
      <c r="J285" s="131"/>
      <c r="K285" s="131"/>
      <c r="L285" s="131"/>
      <c r="M285" s="131"/>
      <c r="N285" s="131"/>
      <c r="O285" s="131"/>
      <c r="P285" s="131"/>
      <c r="Q285" s="131"/>
      <c r="R285" s="131"/>
      <c r="S285" s="131"/>
      <c r="T285" s="131"/>
      <c r="U285" s="131"/>
      <c r="V285" s="131"/>
      <c r="W285" s="131"/>
      <c r="X285" s="131"/>
      <c r="Y285" s="131"/>
      <c r="Z285" s="203"/>
    </row>
    <row r="286">
      <c r="A286" s="262" t="s">
        <v>88</v>
      </c>
      <c r="B286" s="262" t="s">
        <v>90</v>
      </c>
      <c r="C286" s="262">
        <v>1978.0</v>
      </c>
      <c r="D286" s="275">
        <v>9.1529986</v>
      </c>
      <c r="E286" s="260">
        <f t="shared" si="17"/>
        <v>549.179916</v>
      </c>
      <c r="F286" s="132">
        <f t="shared" si="18"/>
        <v>0.3813749417</v>
      </c>
      <c r="G286" s="276" t="s">
        <v>727</v>
      </c>
      <c r="H286" s="131"/>
      <c r="I286" s="131"/>
      <c r="J286" s="131"/>
      <c r="K286" s="131"/>
      <c r="L286" s="131"/>
      <c r="M286" s="131"/>
      <c r="N286" s="131"/>
      <c r="O286" s="131"/>
      <c r="P286" s="131"/>
      <c r="Q286" s="131"/>
      <c r="R286" s="131"/>
      <c r="S286" s="131"/>
      <c r="T286" s="131"/>
      <c r="U286" s="131"/>
      <c r="V286" s="131"/>
      <c r="W286" s="131"/>
      <c r="X286" s="131"/>
      <c r="Y286" s="131"/>
      <c r="Z286" s="203"/>
    </row>
    <row r="287">
      <c r="A287" s="262" t="s">
        <v>88</v>
      </c>
      <c r="B287" s="262" t="s">
        <v>89</v>
      </c>
      <c r="C287" s="262">
        <v>1609.0</v>
      </c>
      <c r="D287" s="275">
        <v>7.4528717</v>
      </c>
      <c r="E287" s="260">
        <f t="shared" si="17"/>
        <v>447.172302</v>
      </c>
      <c r="F287" s="132">
        <f t="shared" si="18"/>
        <v>0.3105363208</v>
      </c>
      <c r="G287" s="276" t="s">
        <v>728</v>
      </c>
      <c r="H287" s="131"/>
      <c r="I287" s="131"/>
      <c r="J287" s="131"/>
      <c r="K287" s="131"/>
      <c r="L287" s="131"/>
      <c r="M287" s="131"/>
      <c r="N287" s="131"/>
      <c r="O287" s="131"/>
      <c r="P287" s="131"/>
      <c r="Q287" s="131"/>
      <c r="R287" s="131"/>
      <c r="S287" s="131"/>
      <c r="T287" s="131"/>
      <c r="U287" s="131"/>
      <c r="V287" s="131"/>
      <c r="W287" s="131"/>
      <c r="X287" s="131"/>
      <c r="Y287" s="131"/>
      <c r="Z287" s="203"/>
    </row>
    <row r="288">
      <c r="A288" s="262" t="s">
        <v>729</v>
      </c>
      <c r="B288" s="262" t="s">
        <v>78</v>
      </c>
      <c r="C288" s="262">
        <v>1040.0</v>
      </c>
      <c r="D288" s="275">
        <v>4.9490003</v>
      </c>
      <c r="E288" s="260">
        <f t="shared" si="17"/>
        <v>296.940018</v>
      </c>
      <c r="F288" s="132">
        <f t="shared" si="18"/>
        <v>0.2062083458</v>
      </c>
      <c r="G288" s="276" t="s">
        <v>730</v>
      </c>
      <c r="H288" s="131"/>
      <c r="I288" s="131"/>
      <c r="J288" s="131"/>
      <c r="K288" s="131"/>
      <c r="L288" s="131"/>
      <c r="M288" s="131"/>
      <c r="N288" s="131"/>
      <c r="O288" s="131"/>
      <c r="P288" s="131"/>
      <c r="Q288" s="131"/>
      <c r="R288" s="131"/>
      <c r="S288" s="131"/>
      <c r="T288" s="131"/>
      <c r="U288" s="131"/>
      <c r="V288" s="131"/>
      <c r="W288" s="131"/>
      <c r="X288" s="131"/>
      <c r="Y288" s="131"/>
      <c r="Z288" s="203"/>
    </row>
    <row r="289">
      <c r="A289" s="262" t="s">
        <v>729</v>
      </c>
      <c r="B289" s="262" t="s">
        <v>91</v>
      </c>
      <c r="C289" s="262">
        <v>791.0</v>
      </c>
      <c r="D289" s="275">
        <v>3.3286939</v>
      </c>
      <c r="E289" s="260">
        <f t="shared" si="17"/>
        <v>199.721634</v>
      </c>
      <c r="F289" s="132">
        <f t="shared" si="18"/>
        <v>0.1386955792</v>
      </c>
      <c r="G289" s="276" t="s">
        <v>731</v>
      </c>
      <c r="H289" s="131"/>
      <c r="I289" s="131"/>
      <c r="J289" s="131"/>
      <c r="K289" s="131"/>
      <c r="L289" s="131"/>
      <c r="M289" s="131"/>
      <c r="N289" s="131"/>
      <c r="O289" s="131"/>
      <c r="P289" s="131"/>
      <c r="Q289" s="131"/>
      <c r="R289" s="131"/>
      <c r="S289" s="131"/>
      <c r="T289" s="131"/>
      <c r="U289" s="131"/>
      <c r="V289" s="131"/>
      <c r="W289" s="131"/>
      <c r="X289" s="131"/>
      <c r="Y289" s="131"/>
      <c r="Z289" s="203"/>
    </row>
    <row r="290">
      <c r="A290" s="262" t="s">
        <v>67</v>
      </c>
      <c r="B290" s="262" t="s">
        <v>93</v>
      </c>
      <c r="C290" s="262">
        <v>533.0</v>
      </c>
      <c r="D290" s="275">
        <v>2.5564822</v>
      </c>
      <c r="E290" s="260">
        <f t="shared" si="17"/>
        <v>153.388932</v>
      </c>
      <c r="F290" s="132">
        <f t="shared" si="18"/>
        <v>0.1065200917</v>
      </c>
      <c r="G290" s="276" t="s">
        <v>732</v>
      </c>
      <c r="H290" s="131"/>
      <c r="I290" s="131"/>
      <c r="J290" s="131"/>
      <c r="K290" s="131"/>
      <c r="L290" s="131"/>
      <c r="M290" s="131"/>
      <c r="N290" s="131"/>
      <c r="O290" s="131"/>
      <c r="P290" s="131"/>
      <c r="Q290" s="131"/>
      <c r="R290" s="131"/>
      <c r="S290" s="131"/>
      <c r="T290" s="131"/>
      <c r="U290" s="131"/>
      <c r="V290" s="131"/>
      <c r="W290" s="131"/>
      <c r="X290" s="131"/>
      <c r="Y290" s="131"/>
      <c r="Z290" s="203"/>
    </row>
    <row r="291">
      <c r="A291" s="262" t="s">
        <v>67</v>
      </c>
      <c r="B291" s="262" t="s">
        <v>426</v>
      </c>
      <c r="C291" s="262">
        <v>151.0</v>
      </c>
      <c r="D291" s="275">
        <v>0.6982578</v>
      </c>
      <c r="E291" s="260">
        <f t="shared" si="17"/>
        <v>41.895468</v>
      </c>
      <c r="F291" s="132">
        <f t="shared" si="18"/>
        <v>0.029094075</v>
      </c>
      <c r="G291" s="276" t="s">
        <v>733</v>
      </c>
      <c r="H291" s="131"/>
      <c r="I291" s="131"/>
      <c r="J291" s="131"/>
      <c r="K291" s="131"/>
      <c r="L291" s="131"/>
      <c r="M291" s="131"/>
      <c r="N291" s="131"/>
      <c r="O291" s="131"/>
      <c r="P291" s="131"/>
      <c r="Q291" s="131"/>
      <c r="R291" s="131"/>
      <c r="S291" s="131"/>
      <c r="T291" s="131"/>
      <c r="U291" s="131"/>
      <c r="V291" s="131"/>
      <c r="W291" s="131"/>
      <c r="X291" s="131"/>
      <c r="Y291" s="131"/>
      <c r="Z291" s="203"/>
    </row>
    <row r="292">
      <c r="A292" s="262" t="s">
        <v>474</v>
      </c>
      <c r="B292" s="262" t="s">
        <v>98</v>
      </c>
      <c r="C292" s="262">
        <v>990.0</v>
      </c>
      <c r="D292" s="275">
        <v>4.7802683</v>
      </c>
      <c r="E292" s="260">
        <f t="shared" si="17"/>
        <v>286.816098</v>
      </c>
      <c r="F292" s="132">
        <f t="shared" si="18"/>
        <v>0.1991778458</v>
      </c>
      <c r="G292" s="276" t="s">
        <v>734</v>
      </c>
      <c r="H292" s="131"/>
      <c r="I292" s="131"/>
      <c r="J292" s="131"/>
      <c r="K292" s="131"/>
      <c r="L292" s="131"/>
      <c r="M292" s="131"/>
      <c r="N292" s="131"/>
      <c r="O292" s="131"/>
      <c r="P292" s="131"/>
      <c r="Q292" s="131"/>
      <c r="R292" s="131"/>
      <c r="S292" s="131"/>
      <c r="T292" s="131"/>
      <c r="U292" s="131"/>
      <c r="V292" s="131"/>
      <c r="W292" s="131"/>
      <c r="X292" s="131"/>
      <c r="Y292" s="131"/>
      <c r="Z292" s="203"/>
    </row>
    <row r="293">
      <c r="A293" s="262" t="s">
        <v>474</v>
      </c>
      <c r="B293" s="262" t="s">
        <v>92</v>
      </c>
      <c r="C293" s="262">
        <v>2664.0</v>
      </c>
      <c r="D293" s="275">
        <v>11.9454044</v>
      </c>
      <c r="E293" s="260">
        <f t="shared" si="17"/>
        <v>716.724264</v>
      </c>
      <c r="F293" s="132">
        <f t="shared" si="18"/>
        <v>0.4977251833</v>
      </c>
      <c r="G293" s="276" t="s">
        <v>735</v>
      </c>
      <c r="H293" s="131"/>
      <c r="I293" s="131"/>
      <c r="J293" s="131"/>
      <c r="K293" s="131"/>
      <c r="L293" s="131"/>
      <c r="M293" s="131"/>
      <c r="N293" s="131"/>
      <c r="O293" s="131"/>
      <c r="P293" s="131"/>
      <c r="Q293" s="131"/>
      <c r="R293" s="131"/>
      <c r="S293" s="131"/>
      <c r="T293" s="131"/>
      <c r="U293" s="131"/>
      <c r="V293" s="131"/>
      <c r="W293" s="131"/>
      <c r="X293" s="131"/>
      <c r="Y293" s="131"/>
      <c r="Z293" s="203"/>
    </row>
    <row r="294">
      <c r="A294" s="262" t="s">
        <v>474</v>
      </c>
      <c r="B294" s="262" t="s">
        <v>96</v>
      </c>
      <c r="C294" s="262">
        <v>143.0</v>
      </c>
      <c r="D294" s="275">
        <v>0.7653556</v>
      </c>
      <c r="E294" s="260">
        <f t="shared" si="17"/>
        <v>45.921336</v>
      </c>
      <c r="F294" s="132">
        <f t="shared" si="18"/>
        <v>0.03188981667</v>
      </c>
      <c r="G294" s="276" t="s">
        <v>736</v>
      </c>
      <c r="H294" s="131"/>
      <c r="I294" s="131"/>
      <c r="J294" s="131"/>
      <c r="K294" s="131"/>
      <c r="L294" s="131"/>
      <c r="M294" s="131"/>
      <c r="N294" s="131"/>
      <c r="O294" s="131"/>
      <c r="P294" s="131"/>
      <c r="Q294" s="131"/>
      <c r="R294" s="131"/>
      <c r="S294" s="131"/>
      <c r="T294" s="131"/>
      <c r="U294" s="131"/>
      <c r="V294" s="131"/>
      <c r="W294" s="131"/>
      <c r="X294" s="131"/>
      <c r="Y294" s="131"/>
      <c r="Z294" s="203"/>
    </row>
    <row r="295">
      <c r="A295" s="262" t="s">
        <v>474</v>
      </c>
      <c r="B295" s="262" t="s">
        <v>57</v>
      </c>
      <c r="C295" s="262">
        <v>901.0</v>
      </c>
      <c r="D295" s="275">
        <v>4.5152378</v>
      </c>
      <c r="E295" s="260">
        <f t="shared" si="17"/>
        <v>270.914268</v>
      </c>
      <c r="F295" s="132">
        <f t="shared" si="18"/>
        <v>0.1881349083</v>
      </c>
      <c r="G295" s="276" t="s">
        <v>737</v>
      </c>
      <c r="H295" s="131"/>
      <c r="I295" s="131"/>
      <c r="J295" s="131"/>
      <c r="K295" s="131"/>
      <c r="L295" s="131"/>
      <c r="M295" s="131"/>
      <c r="N295" s="131"/>
      <c r="O295" s="131"/>
      <c r="P295" s="131"/>
      <c r="Q295" s="131"/>
      <c r="R295" s="131"/>
      <c r="S295" s="131"/>
      <c r="T295" s="131"/>
      <c r="U295" s="131"/>
      <c r="V295" s="131"/>
      <c r="W295" s="131"/>
      <c r="X295" s="131"/>
      <c r="Y295" s="131"/>
      <c r="Z295" s="203"/>
    </row>
    <row r="296">
      <c r="A296" s="262" t="s">
        <v>474</v>
      </c>
      <c r="B296" s="262" t="s">
        <v>39</v>
      </c>
      <c r="C296" s="262">
        <v>3532.0</v>
      </c>
      <c r="D296" s="275">
        <v>17.8341517</v>
      </c>
      <c r="E296" s="260">
        <f t="shared" si="17"/>
        <v>1070.049102</v>
      </c>
      <c r="F296" s="132">
        <f t="shared" si="18"/>
        <v>0.7430896542</v>
      </c>
      <c r="G296" s="276" t="s">
        <v>738</v>
      </c>
      <c r="H296" s="131"/>
      <c r="I296" s="131"/>
      <c r="J296" s="131"/>
      <c r="K296" s="131"/>
      <c r="L296" s="131"/>
      <c r="M296" s="131"/>
      <c r="N296" s="131"/>
      <c r="O296" s="131"/>
      <c r="P296" s="131"/>
      <c r="Q296" s="131"/>
      <c r="R296" s="131"/>
      <c r="S296" s="131"/>
      <c r="T296" s="131"/>
      <c r="U296" s="131"/>
      <c r="V296" s="131"/>
      <c r="W296" s="131"/>
      <c r="X296" s="131"/>
      <c r="Y296" s="131"/>
      <c r="Z296" s="203"/>
    </row>
    <row r="297">
      <c r="A297" s="262" t="s">
        <v>474</v>
      </c>
      <c r="B297" s="262" t="s">
        <v>61</v>
      </c>
      <c r="C297" s="262">
        <v>1630.0</v>
      </c>
      <c r="D297" s="275">
        <v>7.6653919</v>
      </c>
      <c r="E297" s="260">
        <f t="shared" si="17"/>
        <v>459.923514</v>
      </c>
      <c r="F297" s="132">
        <f t="shared" si="18"/>
        <v>0.3193913292</v>
      </c>
      <c r="G297" s="276" t="s">
        <v>739</v>
      </c>
      <c r="H297" s="131"/>
      <c r="I297" s="131"/>
      <c r="J297" s="131"/>
      <c r="K297" s="131"/>
      <c r="L297" s="131"/>
      <c r="M297" s="131"/>
      <c r="N297" s="131"/>
      <c r="O297" s="131"/>
      <c r="P297" s="131"/>
      <c r="Q297" s="131"/>
      <c r="R297" s="131"/>
      <c r="S297" s="131"/>
      <c r="T297" s="131"/>
      <c r="U297" s="131"/>
      <c r="V297" s="131"/>
      <c r="W297" s="131"/>
      <c r="X297" s="131"/>
      <c r="Y297" s="131"/>
      <c r="Z297" s="203"/>
    </row>
    <row r="298">
      <c r="A298" s="262" t="s">
        <v>474</v>
      </c>
      <c r="B298" s="262" t="s">
        <v>97</v>
      </c>
      <c r="C298" s="262">
        <v>1935.0</v>
      </c>
      <c r="D298" s="275">
        <v>9.5824947</v>
      </c>
      <c r="E298" s="260">
        <f t="shared" si="17"/>
        <v>574.949682</v>
      </c>
      <c r="F298" s="132">
        <f t="shared" si="18"/>
        <v>0.3992706125</v>
      </c>
      <c r="G298" s="276" t="s">
        <v>740</v>
      </c>
      <c r="H298" s="131"/>
      <c r="I298" s="131"/>
      <c r="J298" s="131"/>
      <c r="K298" s="131"/>
      <c r="L298" s="131"/>
      <c r="M298" s="131"/>
      <c r="N298" s="131"/>
      <c r="O298" s="131"/>
      <c r="P298" s="131"/>
      <c r="Q298" s="131"/>
      <c r="R298" s="131"/>
      <c r="S298" s="131"/>
      <c r="T298" s="131"/>
      <c r="U298" s="131"/>
      <c r="V298" s="131"/>
      <c r="W298" s="131"/>
      <c r="X298" s="131"/>
      <c r="Y298" s="131"/>
      <c r="Z298" s="203"/>
    </row>
    <row r="299">
      <c r="A299" s="262" t="s">
        <v>474</v>
      </c>
      <c r="B299" s="262" t="s">
        <v>95</v>
      </c>
      <c r="C299" s="262">
        <v>778.0</v>
      </c>
      <c r="D299" s="275">
        <v>4.0516478</v>
      </c>
      <c r="E299" s="260">
        <f t="shared" si="17"/>
        <v>243.098868</v>
      </c>
      <c r="F299" s="132">
        <f t="shared" si="18"/>
        <v>0.1688186583</v>
      </c>
      <c r="G299" s="276" t="s">
        <v>741</v>
      </c>
      <c r="H299" s="131"/>
      <c r="I299" s="131"/>
      <c r="J299" s="131"/>
      <c r="K299" s="131"/>
      <c r="L299" s="131"/>
      <c r="M299" s="131"/>
      <c r="N299" s="131"/>
      <c r="O299" s="131"/>
      <c r="P299" s="131"/>
      <c r="Q299" s="131"/>
      <c r="R299" s="131"/>
      <c r="S299" s="131"/>
      <c r="T299" s="131"/>
      <c r="U299" s="131"/>
      <c r="V299" s="131"/>
      <c r="W299" s="131"/>
      <c r="X299" s="131"/>
      <c r="Y299" s="131"/>
      <c r="Z299" s="203"/>
    </row>
    <row r="300">
      <c r="A300" s="262" t="s">
        <v>474</v>
      </c>
      <c r="B300" s="262" t="s">
        <v>94</v>
      </c>
      <c r="C300" s="262">
        <v>411.0</v>
      </c>
      <c r="D300" s="275">
        <v>1.9429353</v>
      </c>
      <c r="E300" s="260">
        <f t="shared" si="17"/>
        <v>116.576118</v>
      </c>
      <c r="F300" s="132">
        <f t="shared" si="18"/>
        <v>0.0809556375</v>
      </c>
      <c r="G300" s="276" t="s">
        <v>742</v>
      </c>
      <c r="H300" s="131"/>
      <c r="I300" s="131"/>
      <c r="J300" s="131"/>
      <c r="K300" s="131"/>
      <c r="L300" s="131"/>
      <c r="M300" s="131"/>
      <c r="N300" s="131"/>
      <c r="O300" s="131"/>
      <c r="P300" s="131"/>
      <c r="Q300" s="131"/>
      <c r="R300" s="131"/>
      <c r="S300" s="131"/>
      <c r="T300" s="131"/>
      <c r="U300" s="131"/>
      <c r="V300" s="131"/>
      <c r="W300" s="131"/>
      <c r="X300" s="131"/>
      <c r="Y300" s="131"/>
      <c r="Z300" s="203"/>
    </row>
    <row r="301">
      <c r="A301" s="262" t="s">
        <v>474</v>
      </c>
      <c r="B301" s="262" t="s">
        <v>99</v>
      </c>
      <c r="C301" s="262">
        <v>176.0</v>
      </c>
      <c r="D301" s="275">
        <v>0.8382469</v>
      </c>
      <c r="E301" s="260">
        <f t="shared" si="17"/>
        <v>50.294814</v>
      </c>
      <c r="F301" s="132">
        <f t="shared" si="18"/>
        <v>0.03492695417</v>
      </c>
      <c r="G301" s="276" t="s">
        <v>743</v>
      </c>
      <c r="H301" s="131"/>
      <c r="I301" s="131"/>
      <c r="J301" s="131"/>
      <c r="K301" s="131"/>
      <c r="L301" s="131"/>
      <c r="M301" s="131"/>
      <c r="N301" s="131"/>
      <c r="O301" s="131"/>
      <c r="P301" s="131"/>
      <c r="Q301" s="131"/>
      <c r="R301" s="131"/>
      <c r="S301" s="131"/>
      <c r="T301" s="131"/>
      <c r="U301" s="131"/>
      <c r="V301" s="131"/>
      <c r="W301" s="131"/>
      <c r="X301" s="131"/>
      <c r="Y301" s="131"/>
      <c r="Z301" s="203"/>
    </row>
    <row r="302">
      <c r="A302" s="262" t="s">
        <v>429</v>
      </c>
      <c r="B302" s="262" t="s">
        <v>103</v>
      </c>
      <c r="C302" s="262">
        <v>1245.0</v>
      </c>
      <c r="D302" s="275">
        <v>6.2133047</v>
      </c>
      <c r="E302" s="260">
        <f t="shared" si="17"/>
        <v>372.798282</v>
      </c>
      <c r="F302" s="132">
        <f t="shared" si="18"/>
        <v>0.2588876958</v>
      </c>
      <c r="G302" s="276" t="s">
        <v>744</v>
      </c>
      <c r="H302" s="131"/>
      <c r="I302" s="131"/>
      <c r="J302" s="131"/>
      <c r="K302" s="131"/>
      <c r="L302" s="131"/>
      <c r="M302" s="131"/>
      <c r="N302" s="131"/>
      <c r="O302" s="131"/>
      <c r="P302" s="131"/>
      <c r="Q302" s="131"/>
      <c r="R302" s="131"/>
      <c r="S302" s="131"/>
      <c r="T302" s="131"/>
      <c r="U302" s="131"/>
      <c r="V302" s="131"/>
      <c r="W302" s="131"/>
      <c r="X302" s="131"/>
      <c r="Y302" s="131"/>
      <c r="Z302" s="203"/>
    </row>
    <row r="303">
      <c r="A303" s="262" t="s">
        <v>429</v>
      </c>
      <c r="B303" s="262" t="s">
        <v>105</v>
      </c>
      <c r="C303" s="262">
        <v>650.0</v>
      </c>
      <c r="D303" s="275">
        <v>2.9354483</v>
      </c>
      <c r="E303" s="260">
        <f t="shared" si="17"/>
        <v>176.126898</v>
      </c>
      <c r="F303" s="132">
        <f t="shared" si="18"/>
        <v>0.1223103458</v>
      </c>
      <c r="G303" s="276" t="s">
        <v>745</v>
      </c>
      <c r="H303" s="131"/>
      <c r="I303" s="131"/>
      <c r="J303" s="131"/>
      <c r="K303" s="131"/>
      <c r="L303" s="131"/>
      <c r="M303" s="131"/>
      <c r="N303" s="131"/>
      <c r="O303" s="131"/>
      <c r="P303" s="131"/>
      <c r="Q303" s="131"/>
      <c r="R303" s="131"/>
      <c r="S303" s="131"/>
      <c r="T303" s="131"/>
      <c r="U303" s="131"/>
      <c r="V303" s="131"/>
      <c r="W303" s="131"/>
      <c r="X303" s="131"/>
      <c r="Y303" s="131"/>
      <c r="Z303" s="203"/>
    </row>
    <row r="304">
      <c r="A304" s="262" t="s">
        <v>429</v>
      </c>
      <c r="B304" s="262" t="s">
        <v>430</v>
      </c>
      <c r="C304" s="262">
        <v>1182.0</v>
      </c>
      <c r="D304" s="275">
        <v>6.1213303</v>
      </c>
      <c r="E304" s="260">
        <f t="shared" si="17"/>
        <v>367.279818</v>
      </c>
      <c r="F304" s="132">
        <f t="shared" si="18"/>
        <v>0.2550554292</v>
      </c>
      <c r="G304" s="276" t="s">
        <v>746</v>
      </c>
      <c r="H304" s="131"/>
      <c r="I304" s="131"/>
      <c r="J304" s="131"/>
      <c r="K304" s="131"/>
      <c r="L304" s="131"/>
      <c r="M304" s="131"/>
      <c r="N304" s="131"/>
      <c r="O304" s="131"/>
      <c r="P304" s="131"/>
      <c r="Q304" s="131"/>
      <c r="R304" s="131"/>
      <c r="S304" s="131"/>
      <c r="T304" s="131"/>
      <c r="U304" s="131"/>
      <c r="V304" s="131"/>
      <c r="W304" s="131"/>
      <c r="X304" s="131"/>
      <c r="Y304" s="131"/>
      <c r="Z304" s="203"/>
    </row>
    <row r="305">
      <c r="A305" s="262" t="s">
        <v>429</v>
      </c>
      <c r="B305" s="262" t="s">
        <v>101</v>
      </c>
      <c r="C305" s="262">
        <v>872.0</v>
      </c>
      <c r="D305" s="275">
        <v>4.5780183</v>
      </c>
      <c r="E305" s="260">
        <f t="shared" si="17"/>
        <v>274.681098</v>
      </c>
      <c r="F305" s="132">
        <f t="shared" si="18"/>
        <v>0.1907507625</v>
      </c>
      <c r="G305" s="276" t="s">
        <v>747</v>
      </c>
      <c r="H305" s="131"/>
      <c r="I305" s="131"/>
      <c r="J305" s="131"/>
      <c r="K305" s="131"/>
      <c r="L305" s="131"/>
      <c r="M305" s="131"/>
      <c r="N305" s="131"/>
      <c r="O305" s="131"/>
      <c r="P305" s="131"/>
      <c r="Q305" s="131"/>
      <c r="R305" s="131"/>
      <c r="S305" s="131"/>
      <c r="T305" s="131"/>
      <c r="U305" s="131"/>
      <c r="V305" s="131"/>
      <c r="W305" s="131"/>
      <c r="X305" s="131"/>
      <c r="Y305" s="131"/>
      <c r="Z305" s="203"/>
    </row>
    <row r="306">
      <c r="A306" s="262" t="s">
        <v>429</v>
      </c>
      <c r="B306" s="262" t="s">
        <v>102</v>
      </c>
      <c r="C306" s="262">
        <v>574.0</v>
      </c>
      <c r="D306" s="275">
        <v>2.8418342</v>
      </c>
      <c r="E306" s="260">
        <f t="shared" si="17"/>
        <v>170.510052</v>
      </c>
      <c r="F306" s="132">
        <f t="shared" si="18"/>
        <v>0.1184097583</v>
      </c>
      <c r="G306" s="276" t="s">
        <v>748</v>
      </c>
      <c r="H306" s="131"/>
      <c r="I306" s="131"/>
      <c r="J306" s="131"/>
      <c r="K306" s="131"/>
      <c r="L306" s="131"/>
      <c r="M306" s="131"/>
      <c r="N306" s="131"/>
      <c r="O306" s="131"/>
      <c r="P306" s="131"/>
      <c r="Q306" s="131"/>
      <c r="R306" s="131"/>
      <c r="S306" s="131"/>
      <c r="T306" s="131"/>
      <c r="U306" s="131"/>
      <c r="V306" s="131"/>
      <c r="W306" s="131"/>
      <c r="X306" s="131"/>
      <c r="Y306" s="131"/>
      <c r="Z306" s="203"/>
    </row>
    <row r="307">
      <c r="A307" s="262" t="s">
        <v>429</v>
      </c>
      <c r="B307" s="262" t="s">
        <v>432</v>
      </c>
      <c r="C307" s="262">
        <v>1156.0</v>
      </c>
      <c r="D307" s="275">
        <v>5.3585181</v>
      </c>
      <c r="E307" s="260">
        <f t="shared" si="17"/>
        <v>321.511086</v>
      </c>
      <c r="F307" s="132">
        <f t="shared" si="18"/>
        <v>0.2232715875</v>
      </c>
      <c r="G307" s="276" t="s">
        <v>749</v>
      </c>
      <c r="H307" s="131"/>
      <c r="I307" s="131"/>
      <c r="J307" s="131"/>
      <c r="K307" s="131"/>
      <c r="L307" s="131"/>
      <c r="M307" s="131"/>
      <c r="N307" s="131"/>
      <c r="O307" s="131"/>
      <c r="P307" s="131"/>
      <c r="Q307" s="131"/>
      <c r="R307" s="131"/>
      <c r="S307" s="131"/>
      <c r="T307" s="131"/>
      <c r="U307" s="131"/>
      <c r="V307" s="131"/>
      <c r="W307" s="131"/>
      <c r="X307" s="131"/>
      <c r="Y307" s="131"/>
      <c r="Z307" s="203"/>
    </row>
    <row r="308">
      <c r="A308" s="262" t="s">
        <v>429</v>
      </c>
      <c r="B308" s="262" t="s">
        <v>29</v>
      </c>
      <c r="C308" s="262">
        <v>1741.0</v>
      </c>
      <c r="D308" s="275">
        <v>7.5848075</v>
      </c>
      <c r="E308" s="260">
        <f t="shared" si="17"/>
        <v>455.08845</v>
      </c>
      <c r="F308" s="132">
        <f t="shared" si="18"/>
        <v>0.3160336458</v>
      </c>
      <c r="G308" s="276" t="s">
        <v>750</v>
      </c>
      <c r="H308" s="131"/>
      <c r="I308" s="131"/>
      <c r="J308" s="131"/>
      <c r="K308" s="131"/>
      <c r="L308" s="131"/>
      <c r="M308" s="131"/>
      <c r="N308" s="131"/>
      <c r="O308" s="131"/>
      <c r="P308" s="131"/>
      <c r="Q308" s="131"/>
      <c r="R308" s="131"/>
      <c r="S308" s="131"/>
      <c r="T308" s="131"/>
      <c r="U308" s="131"/>
      <c r="V308" s="131"/>
      <c r="W308" s="131"/>
      <c r="X308" s="131"/>
      <c r="Y308" s="131"/>
      <c r="Z308" s="203"/>
    </row>
    <row r="309">
      <c r="A309" s="262" t="s">
        <v>429</v>
      </c>
      <c r="B309" s="262" t="s">
        <v>81</v>
      </c>
      <c r="C309" s="262">
        <v>1454.0</v>
      </c>
      <c r="D309" s="275">
        <v>6.8653017</v>
      </c>
      <c r="E309" s="260">
        <f t="shared" si="17"/>
        <v>411.918102</v>
      </c>
      <c r="F309" s="132">
        <f t="shared" si="18"/>
        <v>0.2860542375</v>
      </c>
      <c r="G309" s="276" t="s">
        <v>751</v>
      </c>
      <c r="H309" s="131"/>
      <c r="I309" s="131"/>
      <c r="J309" s="131"/>
      <c r="K309" s="131"/>
      <c r="L309" s="131"/>
      <c r="M309" s="131"/>
      <c r="N309" s="131"/>
      <c r="O309" s="131"/>
      <c r="P309" s="131"/>
      <c r="Q309" s="131"/>
      <c r="R309" s="131"/>
      <c r="S309" s="131"/>
      <c r="T309" s="131"/>
      <c r="U309" s="131"/>
      <c r="V309" s="131"/>
      <c r="W309" s="131"/>
      <c r="X309" s="131"/>
      <c r="Y309" s="131"/>
      <c r="Z309" s="203"/>
    </row>
    <row r="310">
      <c r="A310" s="131"/>
      <c r="B310" s="131"/>
      <c r="C310" s="131">
        <f>SUM(C227:C309)</f>
        <v>103581</v>
      </c>
      <c r="D310" s="212" t="s">
        <v>484</v>
      </c>
      <c r="E310" s="222">
        <f>SUM(E227:E309)</f>
        <v>29623.11955</v>
      </c>
      <c r="F310" s="132">
        <f t="shared" si="18"/>
        <v>20.5716108</v>
      </c>
      <c r="G310" s="211"/>
      <c r="H310" s="131"/>
      <c r="I310" s="131"/>
      <c r="J310" s="131"/>
      <c r="K310" s="131"/>
      <c r="L310" s="131"/>
      <c r="M310" s="131"/>
      <c r="N310" s="131"/>
      <c r="O310" s="131"/>
      <c r="P310" s="131"/>
      <c r="Q310" s="131"/>
      <c r="R310" s="131"/>
      <c r="S310" s="131"/>
      <c r="T310" s="131"/>
      <c r="U310" s="131"/>
      <c r="V310" s="131"/>
      <c r="W310" s="131"/>
      <c r="X310" s="131"/>
      <c r="Y310" s="131"/>
      <c r="Z310" s="203"/>
    </row>
    <row r="311">
      <c r="A311" s="131"/>
      <c r="B311" s="131"/>
      <c r="C311" s="131"/>
      <c r="D311" s="131"/>
      <c r="E311" s="222"/>
      <c r="F311" s="132"/>
      <c r="G311" s="211"/>
      <c r="H311" s="131"/>
      <c r="I311" s="131"/>
      <c r="J311" s="131"/>
      <c r="K311" s="131"/>
      <c r="L311" s="131"/>
      <c r="M311" s="131"/>
      <c r="N311" s="131"/>
      <c r="O311" s="131"/>
      <c r="P311" s="131"/>
      <c r="Q311" s="131"/>
      <c r="R311" s="131"/>
      <c r="S311" s="131"/>
      <c r="T311" s="131"/>
      <c r="U311" s="131"/>
      <c r="V311" s="131"/>
      <c r="W311" s="131"/>
      <c r="X311" s="131"/>
      <c r="Y311" s="131"/>
      <c r="Z311" s="203"/>
    </row>
    <row r="312">
      <c r="A312" s="131"/>
      <c r="B312" s="131"/>
      <c r="C312" s="131"/>
      <c r="D312" s="131"/>
      <c r="E312" s="222"/>
      <c r="F312" s="132"/>
      <c r="G312" s="211"/>
      <c r="H312" s="131"/>
      <c r="I312" s="131"/>
      <c r="J312" s="131"/>
      <c r="K312" s="131"/>
      <c r="L312" s="131"/>
      <c r="M312" s="131"/>
      <c r="N312" s="131"/>
      <c r="O312" s="131"/>
      <c r="P312" s="131"/>
      <c r="Q312" s="131"/>
      <c r="R312" s="131"/>
      <c r="S312" s="131"/>
      <c r="T312" s="131"/>
      <c r="U312" s="131"/>
      <c r="V312" s="131"/>
      <c r="W312" s="131"/>
      <c r="X312" s="131"/>
      <c r="Y312" s="131"/>
      <c r="Z312" s="203"/>
    </row>
    <row r="313">
      <c r="A313" s="277" t="s">
        <v>752</v>
      </c>
      <c r="B313" s="131"/>
      <c r="C313" s="131"/>
      <c r="D313" s="131"/>
      <c r="E313" s="222"/>
      <c r="F313" s="132"/>
      <c r="G313" s="211"/>
      <c r="H313" s="131"/>
      <c r="I313" s="131"/>
      <c r="J313" s="131"/>
      <c r="K313" s="131"/>
      <c r="L313" s="131"/>
      <c r="M313" s="131"/>
      <c r="N313" s="131"/>
      <c r="O313" s="131"/>
      <c r="P313" s="131"/>
      <c r="Q313" s="131"/>
      <c r="R313" s="131"/>
      <c r="S313" s="131"/>
      <c r="T313" s="131"/>
      <c r="U313" s="131"/>
      <c r="V313" s="131"/>
      <c r="W313" s="131"/>
      <c r="X313" s="131"/>
      <c r="Y313" s="131"/>
      <c r="Z313" s="203"/>
    </row>
    <row r="314">
      <c r="A314" s="131"/>
      <c r="B314" s="131"/>
      <c r="C314" s="131"/>
      <c r="D314" s="131"/>
      <c r="E314" s="222"/>
      <c r="F314" s="132"/>
      <c r="G314" s="211"/>
      <c r="H314" s="131"/>
      <c r="I314" s="131"/>
      <c r="J314" s="131"/>
      <c r="K314" s="131"/>
      <c r="L314" s="131"/>
      <c r="M314" s="131"/>
      <c r="N314" s="131"/>
      <c r="O314" s="131"/>
      <c r="P314" s="131"/>
      <c r="Q314" s="131"/>
      <c r="R314" s="131"/>
      <c r="S314" s="131"/>
      <c r="T314" s="131"/>
      <c r="U314" s="131"/>
      <c r="V314" s="131"/>
      <c r="W314" s="131"/>
      <c r="X314" s="131"/>
      <c r="Y314" s="131"/>
      <c r="Z314" s="203"/>
    </row>
    <row r="315">
      <c r="A315" s="268" t="s">
        <v>0</v>
      </c>
      <c r="B315" s="268" t="s">
        <v>362</v>
      </c>
      <c r="C315" s="239" t="s">
        <v>534</v>
      </c>
      <c r="D315" s="239" t="s">
        <v>420</v>
      </c>
      <c r="E315" s="259" t="s">
        <v>3</v>
      </c>
      <c r="F315" s="214" t="s">
        <v>470</v>
      </c>
      <c r="G315" s="140" t="s">
        <v>471</v>
      </c>
      <c r="H315" s="131"/>
      <c r="I315" s="131"/>
      <c r="J315" s="131"/>
      <c r="K315" s="131"/>
      <c r="L315" s="131"/>
      <c r="M315" s="131"/>
      <c r="N315" s="131"/>
      <c r="O315" s="131"/>
      <c r="P315" s="131"/>
      <c r="Q315" s="131"/>
      <c r="R315" s="131"/>
      <c r="S315" s="131"/>
      <c r="T315" s="131"/>
      <c r="U315" s="131"/>
      <c r="V315" s="131"/>
      <c r="W315" s="131"/>
      <c r="X315" s="131"/>
      <c r="Y315" s="131"/>
      <c r="Z315" s="203"/>
    </row>
    <row r="316">
      <c r="A316" s="262" t="s">
        <v>611</v>
      </c>
      <c r="B316" s="262" t="s">
        <v>48</v>
      </c>
      <c r="C316" s="262">
        <v>2594.0</v>
      </c>
      <c r="D316" s="275">
        <v>11.4470522</v>
      </c>
      <c r="E316" s="260">
        <f t="shared" ref="E316:E395" si="19">D316*60</f>
        <v>686.823132</v>
      </c>
      <c r="F316" s="132">
        <f t="shared" ref="F316:F396" si="20">E316/24/60</f>
        <v>0.4769605083</v>
      </c>
      <c r="G316" s="278" t="s">
        <v>753</v>
      </c>
      <c r="H316" s="131"/>
      <c r="I316" s="131"/>
      <c r="J316" s="131"/>
      <c r="K316" s="131"/>
      <c r="L316" s="131"/>
      <c r="M316" s="131"/>
      <c r="N316" s="131"/>
      <c r="O316" s="131"/>
      <c r="P316" s="131"/>
      <c r="Q316" s="131"/>
      <c r="R316" s="131"/>
      <c r="S316" s="131"/>
      <c r="T316" s="131"/>
      <c r="U316" s="131"/>
      <c r="V316" s="131"/>
      <c r="W316" s="131"/>
      <c r="X316" s="131"/>
      <c r="Y316" s="131"/>
      <c r="Z316" s="203"/>
    </row>
    <row r="317">
      <c r="A317" s="262" t="s">
        <v>611</v>
      </c>
      <c r="B317" s="262" t="s">
        <v>49</v>
      </c>
      <c r="C317" s="262">
        <v>718.0</v>
      </c>
      <c r="D317" s="275">
        <v>3.3175878</v>
      </c>
      <c r="E317" s="260">
        <f t="shared" si="19"/>
        <v>199.055268</v>
      </c>
      <c r="F317" s="132">
        <f t="shared" si="20"/>
        <v>0.138232825</v>
      </c>
      <c r="G317" s="276" t="s">
        <v>754</v>
      </c>
      <c r="H317" s="131"/>
      <c r="I317" s="131"/>
      <c r="J317" s="131"/>
      <c r="K317" s="131"/>
      <c r="L317" s="131"/>
      <c r="M317" s="131"/>
      <c r="N317" s="131"/>
      <c r="O317" s="131"/>
      <c r="P317" s="131"/>
      <c r="Q317" s="131"/>
      <c r="R317" s="131"/>
      <c r="S317" s="131"/>
      <c r="T317" s="131"/>
      <c r="U317" s="131"/>
      <c r="V317" s="131"/>
      <c r="W317" s="131"/>
      <c r="X317" s="131"/>
      <c r="Y317" s="131"/>
      <c r="Z317" s="203"/>
    </row>
    <row r="318">
      <c r="A318" s="262" t="s">
        <v>611</v>
      </c>
      <c r="B318" s="262" t="s">
        <v>50</v>
      </c>
      <c r="C318" s="262">
        <v>1919.0</v>
      </c>
      <c r="D318" s="275">
        <v>8.7842856</v>
      </c>
      <c r="E318" s="260">
        <f t="shared" si="19"/>
        <v>527.057136</v>
      </c>
      <c r="F318" s="132">
        <f t="shared" si="20"/>
        <v>0.3660119</v>
      </c>
      <c r="G318" s="276" t="s">
        <v>755</v>
      </c>
      <c r="H318" s="131"/>
      <c r="I318" s="131"/>
      <c r="J318" s="131"/>
      <c r="K318" s="131"/>
      <c r="L318" s="131"/>
      <c r="M318" s="131"/>
      <c r="N318" s="131"/>
      <c r="O318" s="131"/>
      <c r="P318" s="131"/>
      <c r="Q318" s="131"/>
      <c r="R318" s="131"/>
      <c r="S318" s="131"/>
      <c r="T318" s="131"/>
      <c r="U318" s="131"/>
      <c r="V318" s="131"/>
      <c r="W318" s="131"/>
      <c r="X318" s="131"/>
      <c r="Y318" s="131"/>
      <c r="Z318" s="203"/>
    </row>
    <row r="319">
      <c r="A319" s="262" t="s">
        <v>611</v>
      </c>
      <c r="B319" s="262" t="s">
        <v>51</v>
      </c>
      <c r="C319" s="262">
        <v>1297.0</v>
      </c>
      <c r="D319" s="275">
        <v>6.5085969</v>
      </c>
      <c r="E319" s="260">
        <f t="shared" si="19"/>
        <v>390.515814</v>
      </c>
      <c r="F319" s="132">
        <f t="shared" si="20"/>
        <v>0.2711915375</v>
      </c>
      <c r="G319" s="276" t="s">
        <v>756</v>
      </c>
      <c r="H319" s="131"/>
      <c r="I319" s="131"/>
      <c r="J319" s="131"/>
      <c r="K319" s="131"/>
      <c r="L319" s="131"/>
      <c r="M319" s="131"/>
      <c r="N319" s="131"/>
      <c r="O319" s="131"/>
      <c r="P319" s="131"/>
      <c r="Q319" s="131"/>
      <c r="R319" s="131"/>
      <c r="S319" s="131"/>
      <c r="T319" s="131"/>
      <c r="U319" s="131"/>
      <c r="V319" s="131"/>
      <c r="W319" s="131"/>
      <c r="X319" s="131"/>
      <c r="Y319" s="131"/>
      <c r="Z319" s="203"/>
    </row>
    <row r="320">
      <c r="A320" s="262" t="s">
        <v>611</v>
      </c>
      <c r="B320" s="262" t="s">
        <v>52</v>
      </c>
      <c r="C320" s="262">
        <v>6050.0</v>
      </c>
      <c r="D320" s="275">
        <v>26.0254197</v>
      </c>
      <c r="E320" s="260">
        <f t="shared" si="19"/>
        <v>1561.525182</v>
      </c>
      <c r="F320" s="132">
        <f t="shared" si="20"/>
        <v>1.084392488</v>
      </c>
      <c r="G320" s="276" t="s">
        <v>757</v>
      </c>
      <c r="H320" s="131"/>
      <c r="I320" s="131"/>
      <c r="J320" s="131"/>
      <c r="K320" s="131"/>
      <c r="L320" s="131"/>
      <c r="M320" s="131"/>
      <c r="N320" s="131"/>
      <c r="O320" s="131"/>
      <c r="P320" s="131"/>
      <c r="Q320" s="131"/>
      <c r="R320" s="131"/>
      <c r="S320" s="131"/>
      <c r="T320" s="131"/>
      <c r="U320" s="131"/>
      <c r="V320" s="131"/>
      <c r="W320" s="131"/>
      <c r="X320" s="131"/>
      <c r="Y320" s="131"/>
      <c r="Z320" s="203"/>
    </row>
    <row r="321">
      <c r="A321" s="262" t="s">
        <v>611</v>
      </c>
      <c r="B321" s="262" t="s">
        <v>53</v>
      </c>
      <c r="C321" s="262">
        <v>730.0</v>
      </c>
      <c r="D321" s="275">
        <v>3.2859308</v>
      </c>
      <c r="E321" s="260">
        <f t="shared" si="19"/>
        <v>197.155848</v>
      </c>
      <c r="F321" s="132">
        <f t="shared" si="20"/>
        <v>0.1369137833</v>
      </c>
      <c r="G321" s="276" t="s">
        <v>758</v>
      </c>
      <c r="H321" s="131"/>
      <c r="I321" s="131"/>
      <c r="J321" s="131"/>
      <c r="K321" s="131"/>
      <c r="L321" s="131"/>
      <c r="M321" s="131"/>
      <c r="N321" s="131"/>
      <c r="O321" s="131"/>
      <c r="P321" s="131"/>
      <c r="Q321" s="131"/>
      <c r="R321" s="131"/>
      <c r="S321" s="131"/>
      <c r="T321" s="131"/>
      <c r="U321" s="131"/>
      <c r="V321" s="131"/>
      <c r="W321" s="131"/>
      <c r="X321" s="131"/>
      <c r="Y321" s="131"/>
      <c r="Z321" s="203"/>
    </row>
    <row r="322">
      <c r="A322" s="262" t="s">
        <v>7</v>
      </c>
      <c r="B322" s="262" t="s">
        <v>34</v>
      </c>
      <c r="C322" s="262">
        <v>407.0</v>
      </c>
      <c r="D322" s="275">
        <v>1.8971803</v>
      </c>
      <c r="E322" s="260">
        <f t="shared" si="19"/>
        <v>113.830818</v>
      </c>
      <c r="F322" s="132">
        <f t="shared" si="20"/>
        <v>0.07904917917</v>
      </c>
      <c r="G322" s="276" t="s">
        <v>759</v>
      </c>
      <c r="H322" s="131"/>
      <c r="I322" s="131"/>
      <c r="J322" s="131"/>
      <c r="K322" s="131"/>
      <c r="L322" s="131"/>
      <c r="M322" s="131"/>
      <c r="N322" s="131"/>
      <c r="O322" s="131"/>
      <c r="P322" s="131"/>
      <c r="Q322" s="131"/>
      <c r="R322" s="131"/>
      <c r="S322" s="131"/>
      <c r="T322" s="131"/>
      <c r="U322" s="131"/>
      <c r="V322" s="131"/>
      <c r="W322" s="131"/>
      <c r="X322" s="131"/>
      <c r="Y322" s="131"/>
      <c r="Z322" s="203"/>
    </row>
    <row r="323">
      <c r="A323" s="262" t="s">
        <v>7</v>
      </c>
      <c r="B323" s="262" t="s">
        <v>37</v>
      </c>
      <c r="C323" s="262">
        <v>308.0</v>
      </c>
      <c r="D323" s="275">
        <v>1.4775544</v>
      </c>
      <c r="E323" s="260">
        <f t="shared" si="19"/>
        <v>88.653264</v>
      </c>
      <c r="F323" s="132">
        <f t="shared" si="20"/>
        <v>0.06156476667</v>
      </c>
      <c r="G323" s="276" t="s">
        <v>760</v>
      </c>
      <c r="H323" s="131"/>
      <c r="I323" s="131"/>
      <c r="J323" s="131"/>
      <c r="K323" s="131"/>
      <c r="L323" s="131"/>
      <c r="M323" s="131"/>
      <c r="N323" s="131"/>
      <c r="O323" s="131"/>
      <c r="P323" s="131"/>
      <c r="Q323" s="131"/>
      <c r="R323" s="131"/>
      <c r="S323" s="131"/>
      <c r="T323" s="131"/>
      <c r="U323" s="131"/>
      <c r="V323" s="131"/>
      <c r="W323" s="131"/>
      <c r="X323" s="131"/>
      <c r="Y323" s="131"/>
      <c r="Z323" s="203"/>
    </row>
    <row r="324">
      <c r="A324" s="262" t="s">
        <v>7</v>
      </c>
      <c r="B324" s="262" t="s">
        <v>26</v>
      </c>
      <c r="C324" s="262">
        <v>695.0</v>
      </c>
      <c r="D324" s="275">
        <v>3.3637022</v>
      </c>
      <c r="E324" s="260">
        <f t="shared" si="19"/>
        <v>201.822132</v>
      </c>
      <c r="F324" s="132">
        <f t="shared" si="20"/>
        <v>0.1401542583</v>
      </c>
      <c r="G324" s="276" t="s">
        <v>761</v>
      </c>
      <c r="H324" s="131"/>
      <c r="I324" s="131"/>
      <c r="J324" s="131"/>
      <c r="K324" s="131"/>
      <c r="L324" s="131"/>
      <c r="M324" s="131"/>
      <c r="N324" s="131"/>
      <c r="O324" s="131"/>
      <c r="P324" s="131"/>
      <c r="Q324" s="131"/>
      <c r="R324" s="131"/>
      <c r="S324" s="131"/>
      <c r="T324" s="131"/>
      <c r="U324" s="131"/>
      <c r="V324" s="131"/>
      <c r="W324" s="131"/>
      <c r="X324" s="131"/>
      <c r="Y324" s="131"/>
      <c r="Z324" s="203"/>
    </row>
    <row r="325">
      <c r="A325" s="262" t="s">
        <v>7</v>
      </c>
      <c r="B325" s="262" t="s">
        <v>24</v>
      </c>
      <c r="C325" s="262">
        <v>245.0</v>
      </c>
      <c r="D325" s="275">
        <v>1.2846017</v>
      </c>
      <c r="E325" s="260">
        <f t="shared" si="19"/>
        <v>77.076102</v>
      </c>
      <c r="F325" s="132">
        <f t="shared" si="20"/>
        <v>0.05352507083</v>
      </c>
      <c r="G325" s="276" t="s">
        <v>762</v>
      </c>
      <c r="H325" s="131"/>
      <c r="I325" s="131"/>
      <c r="J325" s="131"/>
      <c r="K325" s="131"/>
      <c r="L325" s="131"/>
      <c r="M325" s="131"/>
      <c r="N325" s="131"/>
      <c r="O325" s="131"/>
      <c r="P325" s="131"/>
      <c r="Q325" s="131"/>
      <c r="R325" s="131"/>
      <c r="S325" s="131"/>
      <c r="T325" s="131"/>
      <c r="U325" s="131"/>
      <c r="V325" s="131"/>
      <c r="W325" s="131"/>
      <c r="X325" s="131"/>
      <c r="Y325" s="131"/>
      <c r="Z325" s="203"/>
    </row>
    <row r="326">
      <c r="A326" s="262" t="s">
        <v>7</v>
      </c>
      <c r="B326" s="262" t="s">
        <v>422</v>
      </c>
      <c r="C326" s="262">
        <v>858.0</v>
      </c>
      <c r="D326" s="275">
        <v>4.0528794</v>
      </c>
      <c r="E326" s="260">
        <f t="shared" si="19"/>
        <v>243.172764</v>
      </c>
      <c r="F326" s="132">
        <f t="shared" si="20"/>
        <v>0.168869975</v>
      </c>
      <c r="G326" s="276" t="s">
        <v>763</v>
      </c>
      <c r="H326" s="131"/>
      <c r="I326" s="131"/>
      <c r="J326" s="131"/>
      <c r="K326" s="131"/>
      <c r="L326" s="131"/>
      <c r="M326" s="131"/>
      <c r="N326" s="131"/>
      <c r="O326" s="131"/>
      <c r="P326" s="131"/>
      <c r="Q326" s="131"/>
      <c r="R326" s="131"/>
      <c r="S326" s="131"/>
      <c r="T326" s="131"/>
      <c r="U326" s="131"/>
      <c r="V326" s="131"/>
      <c r="W326" s="131"/>
      <c r="X326" s="131"/>
      <c r="Y326" s="131"/>
      <c r="Z326" s="203"/>
    </row>
    <row r="327">
      <c r="A327" s="262" t="s">
        <v>7</v>
      </c>
      <c r="B327" s="262" t="s">
        <v>27</v>
      </c>
      <c r="C327" s="262">
        <v>512.0</v>
      </c>
      <c r="D327" s="275">
        <v>2.4594233</v>
      </c>
      <c r="E327" s="260">
        <f t="shared" si="19"/>
        <v>147.565398</v>
      </c>
      <c r="F327" s="132">
        <f t="shared" si="20"/>
        <v>0.1024759708</v>
      </c>
      <c r="G327" s="276" t="s">
        <v>764</v>
      </c>
      <c r="H327" s="131"/>
      <c r="I327" s="131"/>
      <c r="J327" s="131"/>
      <c r="K327" s="131"/>
      <c r="L327" s="131"/>
      <c r="M327" s="131"/>
      <c r="N327" s="131"/>
      <c r="O327" s="131"/>
      <c r="P327" s="131"/>
      <c r="Q327" s="131"/>
      <c r="R327" s="131"/>
      <c r="S327" s="131"/>
      <c r="T327" s="131"/>
      <c r="U327" s="131"/>
      <c r="V327" s="131"/>
      <c r="W327" s="131"/>
      <c r="X327" s="131"/>
      <c r="Y327" s="131"/>
      <c r="Z327" s="203"/>
    </row>
    <row r="328">
      <c r="A328" s="262" t="s">
        <v>7</v>
      </c>
      <c r="B328" s="262" t="s">
        <v>19</v>
      </c>
      <c r="C328" s="262">
        <v>1082.0</v>
      </c>
      <c r="D328" s="275">
        <v>5.1919564</v>
      </c>
      <c r="E328" s="260">
        <f t="shared" si="19"/>
        <v>311.517384</v>
      </c>
      <c r="F328" s="132">
        <f t="shared" si="20"/>
        <v>0.2163315167</v>
      </c>
      <c r="G328" s="276" t="s">
        <v>765</v>
      </c>
      <c r="H328" s="131"/>
      <c r="I328" s="131"/>
      <c r="J328" s="131"/>
      <c r="K328" s="131"/>
      <c r="L328" s="131"/>
      <c r="M328" s="131"/>
      <c r="N328" s="131"/>
      <c r="O328" s="131"/>
      <c r="P328" s="131"/>
      <c r="Q328" s="131"/>
      <c r="R328" s="131"/>
      <c r="S328" s="131"/>
      <c r="T328" s="131"/>
      <c r="U328" s="131"/>
      <c r="V328" s="131"/>
      <c r="W328" s="131"/>
      <c r="X328" s="131"/>
      <c r="Y328" s="131"/>
      <c r="Z328" s="203"/>
    </row>
    <row r="329">
      <c r="A329" s="262" t="s">
        <v>7</v>
      </c>
      <c r="B329" s="262" t="s">
        <v>40</v>
      </c>
      <c r="C329" s="262">
        <v>815.0</v>
      </c>
      <c r="D329" s="275">
        <v>3.9627825</v>
      </c>
      <c r="E329" s="260">
        <f t="shared" si="19"/>
        <v>237.76695</v>
      </c>
      <c r="F329" s="132">
        <f t="shared" si="20"/>
        <v>0.1651159375</v>
      </c>
      <c r="G329" s="276" t="s">
        <v>766</v>
      </c>
      <c r="H329" s="131"/>
      <c r="I329" s="131"/>
      <c r="J329" s="131"/>
      <c r="K329" s="131"/>
      <c r="L329" s="131"/>
      <c r="M329" s="131"/>
      <c r="N329" s="131"/>
      <c r="O329" s="131"/>
      <c r="P329" s="131"/>
      <c r="Q329" s="131"/>
      <c r="R329" s="131"/>
      <c r="S329" s="131"/>
      <c r="T329" s="131"/>
      <c r="U329" s="131"/>
      <c r="V329" s="131"/>
      <c r="W329" s="131"/>
      <c r="X329" s="131"/>
      <c r="Y329" s="131"/>
      <c r="Z329" s="203"/>
    </row>
    <row r="330">
      <c r="A330" s="262" t="s">
        <v>7</v>
      </c>
      <c r="B330" s="262" t="s">
        <v>44</v>
      </c>
      <c r="C330" s="262">
        <v>721.0</v>
      </c>
      <c r="D330" s="275">
        <v>3.3976553</v>
      </c>
      <c r="E330" s="260">
        <f t="shared" si="19"/>
        <v>203.859318</v>
      </c>
      <c r="F330" s="132">
        <f t="shared" si="20"/>
        <v>0.1415689708</v>
      </c>
      <c r="G330" s="276" t="s">
        <v>767</v>
      </c>
      <c r="H330" s="131"/>
      <c r="I330" s="131"/>
      <c r="J330" s="131"/>
      <c r="K330" s="131"/>
      <c r="L330" s="131"/>
      <c r="M330" s="131"/>
      <c r="N330" s="131"/>
      <c r="O330" s="131"/>
      <c r="P330" s="131"/>
      <c r="Q330" s="131"/>
      <c r="R330" s="131"/>
      <c r="S330" s="131"/>
      <c r="T330" s="131"/>
      <c r="U330" s="131"/>
      <c r="V330" s="131"/>
      <c r="W330" s="131"/>
      <c r="X330" s="131"/>
      <c r="Y330" s="131"/>
      <c r="Z330" s="203"/>
    </row>
    <row r="331">
      <c r="A331" s="262" t="s">
        <v>7</v>
      </c>
      <c r="B331" s="262" t="s">
        <v>21</v>
      </c>
      <c r="C331" s="262">
        <v>271.0</v>
      </c>
      <c r="D331" s="275">
        <v>1.3885575</v>
      </c>
      <c r="E331" s="260">
        <f t="shared" si="19"/>
        <v>83.31345</v>
      </c>
      <c r="F331" s="132">
        <f t="shared" si="20"/>
        <v>0.0578565625</v>
      </c>
      <c r="G331" s="276" t="s">
        <v>768</v>
      </c>
      <c r="H331" s="131"/>
      <c r="I331" s="131"/>
      <c r="J331" s="131"/>
      <c r="K331" s="131"/>
      <c r="L331" s="131"/>
      <c r="M331" s="131"/>
      <c r="N331" s="131"/>
      <c r="O331" s="131"/>
      <c r="P331" s="131"/>
      <c r="Q331" s="131"/>
      <c r="R331" s="131"/>
      <c r="S331" s="131"/>
      <c r="T331" s="131"/>
      <c r="U331" s="131"/>
      <c r="V331" s="131"/>
      <c r="W331" s="131"/>
      <c r="X331" s="131"/>
      <c r="Y331" s="131"/>
      <c r="Z331" s="203"/>
    </row>
    <row r="332">
      <c r="A332" s="262" t="s">
        <v>7</v>
      </c>
      <c r="B332" s="262" t="s">
        <v>31</v>
      </c>
      <c r="C332" s="262">
        <v>351.0</v>
      </c>
      <c r="D332" s="275">
        <v>1.7389211</v>
      </c>
      <c r="E332" s="260">
        <f t="shared" si="19"/>
        <v>104.335266</v>
      </c>
      <c r="F332" s="132">
        <f t="shared" si="20"/>
        <v>0.07245504583</v>
      </c>
      <c r="G332" s="276" t="s">
        <v>769</v>
      </c>
      <c r="H332" s="131"/>
      <c r="I332" s="131"/>
      <c r="J332" s="131"/>
      <c r="K332" s="131"/>
      <c r="L332" s="131"/>
      <c r="M332" s="131"/>
      <c r="N332" s="131"/>
      <c r="O332" s="131"/>
      <c r="P332" s="131"/>
      <c r="Q332" s="131"/>
      <c r="R332" s="131"/>
      <c r="S332" s="131"/>
      <c r="T332" s="131"/>
      <c r="U332" s="131"/>
      <c r="V332" s="131"/>
      <c r="W332" s="131"/>
      <c r="X332" s="131"/>
      <c r="Y332" s="131"/>
      <c r="Z332" s="203"/>
    </row>
    <row r="333">
      <c r="A333" s="262" t="s">
        <v>7</v>
      </c>
      <c r="B333" s="262" t="s">
        <v>25</v>
      </c>
      <c r="C333" s="262">
        <v>320.0</v>
      </c>
      <c r="D333" s="275">
        <v>1.5217831</v>
      </c>
      <c r="E333" s="260">
        <f t="shared" si="19"/>
        <v>91.306986</v>
      </c>
      <c r="F333" s="132">
        <f t="shared" si="20"/>
        <v>0.06340762917</v>
      </c>
      <c r="G333" s="276" t="s">
        <v>770</v>
      </c>
      <c r="H333" s="131"/>
      <c r="I333" s="131"/>
      <c r="J333" s="131"/>
      <c r="K333" s="131"/>
      <c r="L333" s="131"/>
      <c r="M333" s="131"/>
      <c r="N333" s="131"/>
      <c r="O333" s="131"/>
      <c r="P333" s="131"/>
      <c r="Q333" s="131"/>
      <c r="R333" s="131"/>
      <c r="S333" s="131"/>
      <c r="T333" s="131"/>
      <c r="U333" s="131"/>
      <c r="V333" s="131"/>
      <c r="W333" s="131"/>
      <c r="X333" s="131"/>
      <c r="Y333" s="131"/>
      <c r="Z333" s="203"/>
    </row>
    <row r="334">
      <c r="A334" s="262" t="s">
        <v>7</v>
      </c>
      <c r="B334" s="262" t="s">
        <v>43</v>
      </c>
      <c r="C334" s="262">
        <v>345.0</v>
      </c>
      <c r="D334" s="275">
        <v>1.6435367</v>
      </c>
      <c r="E334" s="260">
        <f t="shared" si="19"/>
        <v>98.612202</v>
      </c>
      <c r="F334" s="132">
        <f t="shared" si="20"/>
        <v>0.06848069583</v>
      </c>
      <c r="G334" s="276" t="s">
        <v>771</v>
      </c>
      <c r="H334" s="131"/>
      <c r="I334" s="131"/>
      <c r="J334" s="131"/>
      <c r="K334" s="131"/>
      <c r="L334" s="131"/>
      <c r="M334" s="131"/>
      <c r="N334" s="131"/>
      <c r="O334" s="131"/>
      <c r="P334" s="131"/>
      <c r="Q334" s="131"/>
      <c r="R334" s="131"/>
      <c r="S334" s="131"/>
      <c r="T334" s="131"/>
      <c r="U334" s="131"/>
      <c r="V334" s="131"/>
      <c r="W334" s="131"/>
      <c r="X334" s="131"/>
      <c r="Y334" s="131"/>
      <c r="Z334" s="203"/>
    </row>
    <row r="335">
      <c r="A335" s="262" t="s">
        <v>7</v>
      </c>
      <c r="B335" s="262" t="s">
        <v>41</v>
      </c>
      <c r="C335" s="262">
        <v>204.0</v>
      </c>
      <c r="D335" s="275">
        <v>0.9753422</v>
      </c>
      <c r="E335" s="260">
        <f t="shared" si="19"/>
        <v>58.520532</v>
      </c>
      <c r="F335" s="132">
        <f t="shared" si="20"/>
        <v>0.04063925833</v>
      </c>
      <c r="G335" s="276" t="s">
        <v>772</v>
      </c>
      <c r="H335" s="131"/>
      <c r="I335" s="131"/>
      <c r="J335" s="131"/>
      <c r="K335" s="131"/>
      <c r="L335" s="131"/>
      <c r="M335" s="131"/>
      <c r="N335" s="131"/>
      <c r="O335" s="131"/>
      <c r="P335" s="131"/>
      <c r="Q335" s="131"/>
      <c r="R335" s="131"/>
      <c r="S335" s="131"/>
      <c r="T335" s="131"/>
      <c r="U335" s="131"/>
      <c r="V335" s="131"/>
      <c r="W335" s="131"/>
      <c r="X335" s="131"/>
      <c r="Y335" s="131"/>
      <c r="Z335" s="203"/>
    </row>
    <row r="336">
      <c r="A336" s="262" t="s">
        <v>7</v>
      </c>
      <c r="B336" s="262" t="s">
        <v>32</v>
      </c>
      <c r="C336" s="262">
        <v>167.0</v>
      </c>
      <c r="D336" s="275">
        <v>0.7947175</v>
      </c>
      <c r="E336" s="260">
        <f t="shared" si="19"/>
        <v>47.68305</v>
      </c>
      <c r="F336" s="132">
        <f t="shared" si="20"/>
        <v>0.03311322917</v>
      </c>
      <c r="G336" s="276" t="s">
        <v>773</v>
      </c>
      <c r="H336" s="131"/>
      <c r="I336" s="131"/>
      <c r="J336" s="131"/>
      <c r="K336" s="131"/>
      <c r="L336" s="131"/>
      <c r="M336" s="131"/>
      <c r="N336" s="131"/>
      <c r="O336" s="131"/>
      <c r="P336" s="131"/>
      <c r="Q336" s="131"/>
      <c r="R336" s="131"/>
      <c r="S336" s="131"/>
      <c r="T336" s="131"/>
      <c r="U336" s="131"/>
      <c r="V336" s="131"/>
      <c r="W336" s="131"/>
      <c r="X336" s="131"/>
      <c r="Y336" s="131"/>
      <c r="Z336" s="203"/>
    </row>
    <row r="337">
      <c r="A337" s="262" t="s">
        <v>7</v>
      </c>
      <c r="B337" s="262" t="s">
        <v>22</v>
      </c>
      <c r="C337" s="262">
        <v>913.0</v>
      </c>
      <c r="D337" s="275">
        <v>4.1588589</v>
      </c>
      <c r="E337" s="260">
        <f t="shared" si="19"/>
        <v>249.531534</v>
      </c>
      <c r="F337" s="132">
        <f t="shared" si="20"/>
        <v>0.1732857875</v>
      </c>
      <c r="G337" s="276" t="s">
        <v>774</v>
      </c>
      <c r="H337" s="131"/>
      <c r="I337" s="131"/>
      <c r="J337" s="131"/>
      <c r="K337" s="131"/>
      <c r="L337" s="131"/>
      <c r="M337" s="131"/>
      <c r="N337" s="131"/>
      <c r="O337" s="131"/>
      <c r="P337" s="131"/>
      <c r="Q337" s="131"/>
      <c r="R337" s="131"/>
      <c r="S337" s="131"/>
      <c r="T337" s="131"/>
      <c r="U337" s="131"/>
      <c r="V337" s="131"/>
      <c r="W337" s="131"/>
      <c r="X337" s="131"/>
      <c r="Y337" s="131"/>
      <c r="Z337" s="203"/>
    </row>
    <row r="338">
      <c r="A338" s="262" t="s">
        <v>7</v>
      </c>
      <c r="B338" s="262" t="s">
        <v>8</v>
      </c>
      <c r="C338" s="262">
        <v>751.0</v>
      </c>
      <c r="D338" s="275">
        <v>3.8075247</v>
      </c>
      <c r="E338" s="260">
        <f t="shared" si="19"/>
        <v>228.451482</v>
      </c>
      <c r="F338" s="132">
        <f t="shared" si="20"/>
        <v>0.1586468625</v>
      </c>
      <c r="G338" s="276" t="s">
        <v>775</v>
      </c>
      <c r="H338" s="131"/>
      <c r="I338" s="131"/>
      <c r="J338" s="131"/>
      <c r="K338" s="131"/>
      <c r="L338" s="131"/>
      <c r="M338" s="131"/>
      <c r="N338" s="131"/>
      <c r="O338" s="131"/>
      <c r="P338" s="131"/>
      <c r="Q338" s="131"/>
      <c r="R338" s="131"/>
      <c r="S338" s="131"/>
      <c r="T338" s="131"/>
      <c r="U338" s="131"/>
      <c r="V338" s="131"/>
      <c r="W338" s="131"/>
      <c r="X338" s="131"/>
      <c r="Y338" s="131"/>
      <c r="Z338" s="203"/>
    </row>
    <row r="339">
      <c r="A339" s="262" t="s">
        <v>7</v>
      </c>
      <c r="B339" s="262" t="s">
        <v>20</v>
      </c>
      <c r="C339" s="262">
        <v>737.0</v>
      </c>
      <c r="D339" s="275">
        <v>3.6397758</v>
      </c>
      <c r="E339" s="260">
        <f t="shared" si="19"/>
        <v>218.386548</v>
      </c>
      <c r="F339" s="132">
        <f t="shared" si="20"/>
        <v>0.151657325</v>
      </c>
      <c r="G339" s="276" t="s">
        <v>776</v>
      </c>
      <c r="H339" s="131"/>
      <c r="I339" s="131"/>
      <c r="J339" s="131"/>
      <c r="K339" s="131"/>
      <c r="L339" s="131"/>
      <c r="M339" s="131"/>
      <c r="N339" s="131"/>
      <c r="O339" s="131"/>
      <c r="P339" s="131"/>
      <c r="Q339" s="131"/>
      <c r="R339" s="131"/>
      <c r="S339" s="131"/>
      <c r="T339" s="131"/>
      <c r="U339" s="131"/>
      <c r="V339" s="131"/>
      <c r="W339" s="131"/>
      <c r="X339" s="131"/>
      <c r="Y339" s="131"/>
      <c r="Z339" s="203"/>
    </row>
    <row r="340">
      <c r="A340" s="262" t="s">
        <v>7</v>
      </c>
      <c r="B340" s="262" t="s">
        <v>33</v>
      </c>
      <c r="C340" s="262">
        <v>1841.0</v>
      </c>
      <c r="D340" s="275">
        <v>8.8359431</v>
      </c>
      <c r="E340" s="260">
        <f t="shared" si="19"/>
        <v>530.156586</v>
      </c>
      <c r="F340" s="132">
        <f t="shared" si="20"/>
        <v>0.3681642958</v>
      </c>
      <c r="G340" s="276" t="s">
        <v>777</v>
      </c>
      <c r="H340" s="131"/>
      <c r="I340" s="131"/>
      <c r="J340" s="131"/>
      <c r="K340" s="131"/>
      <c r="L340" s="131"/>
      <c r="M340" s="131"/>
      <c r="N340" s="131"/>
      <c r="O340" s="131"/>
      <c r="P340" s="131"/>
      <c r="Q340" s="131"/>
      <c r="R340" s="131"/>
      <c r="S340" s="131"/>
      <c r="T340" s="131"/>
      <c r="U340" s="131"/>
      <c r="V340" s="131"/>
      <c r="W340" s="131"/>
      <c r="X340" s="131"/>
      <c r="Y340" s="131"/>
      <c r="Z340" s="203"/>
    </row>
    <row r="341">
      <c r="A341" s="262" t="s">
        <v>7</v>
      </c>
      <c r="B341" s="262" t="s">
        <v>30</v>
      </c>
      <c r="C341" s="262">
        <v>1419.0</v>
      </c>
      <c r="D341" s="275">
        <v>6.6197803</v>
      </c>
      <c r="E341" s="260">
        <f t="shared" si="19"/>
        <v>397.186818</v>
      </c>
      <c r="F341" s="132">
        <f t="shared" si="20"/>
        <v>0.2758241792</v>
      </c>
      <c r="G341" s="276" t="s">
        <v>778</v>
      </c>
      <c r="H341" s="131"/>
      <c r="I341" s="131"/>
      <c r="J341" s="131"/>
      <c r="K341" s="131"/>
      <c r="L341" s="131"/>
      <c r="M341" s="131"/>
      <c r="N341" s="131"/>
      <c r="O341" s="131"/>
      <c r="P341" s="131"/>
      <c r="Q341" s="131"/>
      <c r="R341" s="131"/>
      <c r="S341" s="131"/>
      <c r="T341" s="131"/>
      <c r="U341" s="131"/>
      <c r="V341" s="131"/>
      <c r="W341" s="131"/>
      <c r="X341" s="131"/>
      <c r="Y341" s="131"/>
      <c r="Z341" s="203"/>
    </row>
    <row r="342">
      <c r="A342" s="262" t="s">
        <v>54</v>
      </c>
      <c r="B342" s="262" t="s">
        <v>55</v>
      </c>
      <c r="C342" s="262">
        <v>760.0</v>
      </c>
      <c r="D342" s="275">
        <v>3.6295511</v>
      </c>
      <c r="E342" s="260">
        <f t="shared" si="19"/>
        <v>217.773066</v>
      </c>
      <c r="F342" s="132">
        <f t="shared" si="20"/>
        <v>0.1512312958</v>
      </c>
      <c r="G342" s="276" t="s">
        <v>779</v>
      </c>
      <c r="H342" s="131"/>
      <c r="I342" s="131"/>
      <c r="J342" s="131"/>
      <c r="K342" s="131"/>
      <c r="L342" s="131"/>
      <c r="M342" s="131"/>
      <c r="N342" s="131"/>
      <c r="O342" s="131"/>
      <c r="P342" s="131"/>
      <c r="Q342" s="131"/>
      <c r="R342" s="131"/>
      <c r="S342" s="131"/>
      <c r="T342" s="131"/>
      <c r="U342" s="131"/>
      <c r="V342" s="131"/>
      <c r="W342" s="131"/>
      <c r="X342" s="131"/>
      <c r="Y342" s="131"/>
      <c r="Z342" s="203"/>
    </row>
    <row r="343">
      <c r="A343" s="262" t="s">
        <v>54</v>
      </c>
      <c r="B343" s="262" t="s">
        <v>56</v>
      </c>
      <c r="C343" s="262">
        <v>2808.0</v>
      </c>
      <c r="D343" s="275">
        <v>14.0829536</v>
      </c>
      <c r="E343" s="260">
        <f t="shared" si="19"/>
        <v>844.977216</v>
      </c>
      <c r="F343" s="132">
        <f t="shared" si="20"/>
        <v>0.5867897333</v>
      </c>
      <c r="G343" s="276" t="s">
        <v>780</v>
      </c>
      <c r="H343" s="131"/>
      <c r="I343" s="131"/>
      <c r="J343" s="131"/>
      <c r="K343" s="131"/>
      <c r="L343" s="131"/>
      <c r="M343" s="131"/>
      <c r="N343" s="131"/>
      <c r="O343" s="131"/>
      <c r="P343" s="131"/>
      <c r="Q343" s="131"/>
      <c r="R343" s="131"/>
      <c r="S343" s="131"/>
      <c r="T343" s="131"/>
      <c r="U343" s="131"/>
      <c r="V343" s="131"/>
      <c r="W343" s="131"/>
      <c r="X343" s="131"/>
      <c r="Y343" s="131"/>
      <c r="Z343" s="203"/>
    </row>
    <row r="344">
      <c r="A344" s="262" t="s">
        <v>54</v>
      </c>
      <c r="B344" s="262" t="s">
        <v>58</v>
      </c>
      <c r="C344" s="262">
        <v>2074.0</v>
      </c>
      <c r="D344" s="275">
        <v>10.295325</v>
      </c>
      <c r="E344" s="260">
        <f t="shared" si="19"/>
        <v>617.7195</v>
      </c>
      <c r="F344" s="132">
        <f t="shared" si="20"/>
        <v>0.428971875</v>
      </c>
      <c r="G344" s="276" t="s">
        <v>781</v>
      </c>
      <c r="H344" s="131"/>
      <c r="I344" s="131"/>
      <c r="J344" s="131"/>
      <c r="K344" s="131"/>
      <c r="L344" s="131"/>
      <c r="M344" s="131"/>
      <c r="N344" s="131"/>
      <c r="O344" s="131"/>
      <c r="P344" s="131"/>
      <c r="Q344" s="131"/>
      <c r="R344" s="131"/>
      <c r="S344" s="131"/>
      <c r="T344" s="131"/>
      <c r="U344" s="131"/>
      <c r="V344" s="131"/>
      <c r="W344" s="131"/>
      <c r="X344" s="131"/>
      <c r="Y344" s="131"/>
      <c r="Z344" s="203"/>
    </row>
    <row r="345">
      <c r="A345" s="262" t="s">
        <v>54</v>
      </c>
      <c r="B345" s="262" t="s">
        <v>59</v>
      </c>
      <c r="C345" s="262">
        <v>772.0</v>
      </c>
      <c r="D345" s="275">
        <v>3.7686556</v>
      </c>
      <c r="E345" s="260">
        <f t="shared" si="19"/>
        <v>226.119336</v>
      </c>
      <c r="F345" s="132">
        <f t="shared" si="20"/>
        <v>0.1570273167</v>
      </c>
      <c r="G345" s="276" t="s">
        <v>782</v>
      </c>
      <c r="H345" s="131"/>
      <c r="I345" s="131"/>
      <c r="J345" s="131"/>
      <c r="K345" s="131"/>
      <c r="L345" s="131"/>
      <c r="M345" s="131"/>
      <c r="N345" s="131"/>
      <c r="O345" s="131"/>
      <c r="P345" s="131"/>
      <c r="Q345" s="131"/>
      <c r="R345" s="131"/>
      <c r="S345" s="131"/>
      <c r="T345" s="131"/>
      <c r="U345" s="131"/>
      <c r="V345" s="131"/>
      <c r="W345" s="131"/>
      <c r="X345" s="131"/>
      <c r="Y345" s="131"/>
      <c r="Z345" s="203"/>
    </row>
    <row r="346">
      <c r="A346" s="262" t="s">
        <v>54</v>
      </c>
      <c r="B346" s="262" t="s">
        <v>60</v>
      </c>
      <c r="C346" s="262">
        <v>279.0</v>
      </c>
      <c r="D346" s="275">
        <v>1.4268614</v>
      </c>
      <c r="E346" s="260">
        <f t="shared" si="19"/>
        <v>85.611684</v>
      </c>
      <c r="F346" s="132">
        <f t="shared" si="20"/>
        <v>0.05945255833</v>
      </c>
      <c r="G346" s="276" t="s">
        <v>783</v>
      </c>
      <c r="H346" s="131"/>
      <c r="I346" s="131"/>
      <c r="J346" s="131"/>
      <c r="K346" s="131"/>
      <c r="L346" s="131"/>
      <c r="M346" s="131"/>
      <c r="N346" s="131"/>
      <c r="O346" s="131"/>
      <c r="P346" s="131"/>
      <c r="Q346" s="131"/>
      <c r="R346" s="131"/>
      <c r="S346" s="131"/>
      <c r="T346" s="131"/>
      <c r="U346" s="131"/>
      <c r="V346" s="131"/>
      <c r="W346" s="131"/>
      <c r="X346" s="131"/>
      <c r="Y346" s="131"/>
      <c r="Z346" s="203"/>
    </row>
    <row r="347">
      <c r="A347" s="262" t="s">
        <v>54</v>
      </c>
      <c r="B347" s="262" t="s">
        <v>62</v>
      </c>
      <c r="C347" s="262">
        <v>1430.0</v>
      </c>
      <c r="D347" s="275">
        <v>6.5418275</v>
      </c>
      <c r="E347" s="260">
        <f t="shared" si="19"/>
        <v>392.50965</v>
      </c>
      <c r="F347" s="132">
        <f t="shared" si="20"/>
        <v>0.2725761458</v>
      </c>
      <c r="G347" s="276" t="s">
        <v>784</v>
      </c>
      <c r="H347" s="131"/>
      <c r="I347" s="131"/>
      <c r="J347" s="131"/>
      <c r="K347" s="131"/>
      <c r="L347" s="131"/>
      <c r="M347" s="131"/>
      <c r="N347" s="131"/>
      <c r="O347" s="131"/>
      <c r="P347" s="131"/>
      <c r="Q347" s="131"/>
      <c r="R347" s="131"/>
      <c r="S347" s="131"/>
      <c r="T347" s="131"/>
      <c r="U347" s="131"/>
      <c r="V347" s="131"/>
      <c r="W347" s="131"/>
      <c r="X347" s="131"/>
      <c r="Y347" s="131"/>
      <c r="Z347" s="203"/>
    </row>
    <row r="348">
      <c r="A348" s="262" t="s">
        <v>54</v>
      </c>
      <c r="B348" s="262" t="s">
        <v>63</v>
      </c>
      <c r="C348" s="262">
        <v>447.0</v>
      </c>
      <c r="D348" s="275">
        <v>2.1071753</v>
      </c>
      <c r="E348" s="260">
        <f t="shared" si="19"/>
        <v>126.430518</v>
      </c>
      <c r="F348" s="132">
        <f t="shared" si="20"/>
        <v>0.08779897083</v>
      </c>
      <c r="G348" s="276" t="s">
        <v>785</v>
      </c>
      <c r="H348" s="131"/>
      <c r="I348" s="131"/>
      <c r="J348" s="131"/>
      <c r="K348" s="131"/>
      <c r="L348" s="131"/>
      <c r="M348" s="131"/>
      <c r="N348" s="131"/>
      <c r="O348" s="131"/>
      <c r="P348" s="131"/>
      <c r="Q348" s="131"/>
      <c r="R348" s="131"/>
      <c r="S348" s="131"/>
      <c r="T348" s="131"/>
      <c r="U348" s="131"/>
      <c r="V348" s="131"/>
      <c r="W348" s="131"/>
      <c r="X348" s="131"/>
      <c r="Y348" s="131"/>
      <c r="Z348" s="203"/>
    </row>
    <row r="349">
      <c r="A349" s="262" t="s">
        <v>54</v>
      </c>
      <c r="B349" s="262" t="s">
        <v>64</v>
      </c>
      <c r="C349" s="262">
        <v>673.0</v>
      </c>
      <c r="D349" s="275">
        <v>3.3267681</v>
      </c>
      <c r="E349" s="260">
        <f t="shared" si="19"/>
        <v>199.606086</v>
      </c>
      <c r="F349" s="132">
        <f t="shared" si="20"/>
        <v>0.1386153375</v>
      </c>
      <c r="G349" s="276" t="s">
        <v>786</v>
      </c>
      <c r="H349" s="131"/>
      <c r="I349" s="131"/>
      <c r="J349" s="131"/>
      <c r="K349" s="131"/>
      <c r="L349" s="131"/>
      <c r="M349" s="131"/>
      <c r="N349" s="131"/>
      <c r="O349" s="131"/>
      <c r="P349" s="131"/>
      <c r="Q349" s="131"/>
      <c r="R349" s="131"/>
      <c r="S349" s="131"/>
      <c r="T349" s="131"/>
      <c r="U349" s="131"/>
      <c r="V349" s="131"/>
      <c r="W349" s="131"/>
      <c r="X349" s="131"/>
      <c r="Y349" s="131"/>
      <c r="Z349" s="203"/>
    </row>
    <row r="350">
      <c r="A350" s="262" t="s">
        <v>54</v>
      </c>
      <c r="B350" s="262" t="s">
        <v>65</v>
      </c>
      <c r="C350" s="262">
        <v>582.0</v>
      </c>
      <c r="D350" s="275">
        <v>2.7713242</v>
      </c>
      <c r="E350" s="260">
        <f t="shared" si="19"/>
        <v>166.279452</v>
      </c>
      <c r="F350" s="132">
        <f t="shared" si="20"/>
        <v>0.1154718417</v>
      </c>
      <c r="G350" s="276" t="s">
        <v>787</v>
      </c>
      <c r="H350" s="131"/>
      <c r="I350" s="131"/>
      <c r="J350" s="131"/>
      <c r="K350" s="131"/>
      <c r="L350" s="131"/>
      <c r="M350" s="131"/>
      <c r="N350" s="131"/>
      <c r="O350" s="131"/>
      <c r="P350" s="131"/>
      <c r="Q350" s="131"/>
      <c r="R350" s="131"/>
      <c r="S350" s="131"/>
      <c r="T350" s="131"/>
      <c r="U350" s="131"/>
      <c r="V350" s="131"/>
      <c r="W350" s="131"/>
      <c r="X350" s="131"/>
      <c r="Y350" s="131"/>
      <c r="Z350" s="203"/>
    </row>
    <row r="351">
      <c r="A351" s="262" t="s">
        <v>54</v>
      </c>
      <c r="B351" s="262" t="s">
        <v>66</v>
      </c>
      <c r="C351" s="262">
        <v>354.0</v>
      </c>
      <c r="D351" s="275">
        <v>1.7935247</v>
      </c>
      <c r="E351" s="260">
        <f t="shared" si="19"/>
        <v>107.611482</v>
      </c>
      <c r="F351" s="132">
        <f t="shared" si="20"/>
        <v>0.07473019583</v>
      </c>
      <c r="G351" s="276" t="s">
        <v>788</v>
      </c>
      <c r="H351" s="131"/>
      <c r="I351" s="131"/>
      <c r="J351" s="131"/>
      <c r="K351" s="131"/>
      <c r="L351" s="131"/>
      <c r="M351" s="131"/>
      <c r="N351" s="131"/>
      <c r="O351" s="131"/>
      <c r="P351" s="131"/>
      <c r="Q351" s="131"/>
      <c r="R351" s="131"/>
      <c r="S351" s="131"/>
      <c r="T351" s="131"/>
      <c r="U351" s="131"/>
      <c r="V351" s="131"/>
      <c r="W351" s="131"/>
      <c r="X351" s="131"/>
      <c r="Y351" s="131"/>
      <c r="Z351" s="203"/>
    </row>
    <row r="352">
      <c r="A352" s="262" t="s">
        <v>45</v>
      </c>
      <c r="B352" s="262" t="s">
        <v>706</v>
      </c>
      <c r="C352" s="262">
        <v>450.0</v>
      </c>
      <c r="D352" s="275">
        <v>2.2038272</v>
      </c>
      <c r="E352" s="260">
        <f t="shared" si="19"/>
        <v>132.229632</v>
      </c>
      <c r="F352" s="132">
        <f t="shared" si="20"/>
        <v>0.09182613333</v>
      </c>
      <c r="G352" s="276" t="s">
        <v>789</v>
      </c>
      <c r="H352" s="131"/>
      <c r="I352" s="131"/>
      <c r="J352" s="131"/>
      <c r="K352" s="131"/>
      <c r="L352" s="131"/>
      <c r="M352" s="131"/>
      <c r="N352" s="131"/>
      <c r="O352" s="131"/>
      <c r="P352" s="131"/>
      <c r="Q352" s="131"/>
      <c r="R352" s="131"/>
      <c r="S352" s="131"/>
      <c r="T352" s="131"/>
      <c r="U352" s="131"/>
      <c r="V352" s="131"/>
      <c r="W352" s="131"/>
      <c r="X352" s="131"/>
      <c r="Y352" s="131"/>
      <c r="Z352" s="203"/>
    </row>
    <row r="353">
      <c r="A353" s="262" t="s">
        <v>69</v>
      </c>
      <c r="B353" s="262" t="s">
        <v>70</v>
      </c>
      <c r="C353" s="262">
        <v>860.0</v>
      </c>
      <c r="D353" s="275">
        <v>4.3621756</v>
      </c>
      <c r="E353" s="260">
        <f t="shared" si="19"/>
        <v>261.730536</v>
      </c>
      <c r="F353" s="132">
        <f t="shared" si="20"/>
        <v>0.1817573167</v>
      </c>
      <c r="G353" s="276" t="s">
        <v>790</v>
      </c>
      <c r="H353" s="131"/>
      <c r="I353" s="131"/>
      <c r="J353" s="131"/>
      <c r="K353" s="131"/>
      <c r="L353" s="131"/>
      <c r="M353" s="131"/>
      <c r="N353" s="131"/>
      <c r="O353" s="131"/>
      <c r="P353" s="131"/>
      <c r="Q353" s="131"/>
      <c r="R353" s="131"/>
      <c r="S353" s="131"/>
      <c r="T353" s="131"/>
      <c r="U353" s="131"/>
      <c r="V353" s="131"/>
      <c r="W353" s="131"/>
      <c r="X353" s="131"/>
      <c r="Y353" s="131"/>
      <c r="Z353" s="203"/>
    </row>
    <row r="354">
      <c r="A354" s="262" t="s">
        <v>69</v>
      </c>
      <c r="B354" s="262" t="s">
        <v>71</v>
      </c>
      <c r="C354" s="262">
        <v>1565.0</v>
      </c>
      <c r="D354" s="275">
        <v>7.5768944</v>
      </c>
      <c r="E354" s="260">
        <f t="shared" si="19"/>
        <v>454.613664</v>
      </c>
      <c r="F354" s="132">
        <f t="shared" si="20"/>
        <v>0.3157039333</v>
      </c>
      <c r="G354" s="276" t="s">
        <v>791</v>
      </c>
      <c r="H354" s="131"/>
      <c r="I354" s="131"/>
      <c r="J354" s="131"/>
      <c r="K354" s="131"/>
      <c r="L354" s="131"/>
      <c r="M354" s="131"/>
      <c r="N354" s="131"/>
      <c r="O354" s="131"/>
      <c r="P354" s="131"/>
      <c r="Q354" s="131"/>
      <c r="R354" s="131"/>
      <c r="S354" s="131"/>
      <c r="T354" s="131"/>
      <c r="U354" s="131"/>
      <c r="V354" s="131"/>
      <c r="W354" s="131"/>
      <c r="X354" s="131"/>
      <c r="Y354" s="131"/>
      <c r="Z354" s="203"/>
    </row>
    <row r="355">
      <c r="A355" s="262" t="s">
        <v>35</v>
      </c>
      <c r="B355" s="262" t="s">
        <v>72</v>
      </c>
      <c r="C355" s="262">
        <v>1664.0</v>
      </c>
      <c r="D355" s="275">
        <v>8.3883328</v>
      </c>
      <c r="E355" s="260">
        <f t="shared" si="19"/>
        <v>503.299968</v>
      </c>
      <c r="F355" s="132">
        <f t="shared" si="20"/>
        <v>0.3495138667</v>
      </c>
      <c r="G355" s="276" t="s">
        <v>792</v>
      </c>
      <c r="H355" s="131"/>
      <c r="I355" s="131"/>
      <c r="J355" s="131"/>
      <c r="K355" s="131"/>
      <c r="L355" s="131"/>
      <c r="M355" s="131"/>
      <c r="N355" s="131"/>
      <c r="O355" s="131"/>
      <c r="P355" s="131"/>
      <c r="Q355" s="131"/>
      <c r="R355" s="131"/>
      <c r="S355" s="131"/>
      <c r="T355" s="131"/>
      <c r="U355" s="131"/>
      <c r="V355" s="131"/>
      <c r="W355" s="131"/>
      <c r="X355" s="131"/>
      <c r="Y355" s="131"/>
      <c r="Z355" s="203"/>
    </row>
    <row r="356">
      <c r="A356" s="262" t="s">
        <v>35</v>
      </c>
      <c r="B356" s="262" t="s">
        <v>73</v>
      </c>
      <c r="C356" s="262">
        <v>152.0</v>
      </c>
      <c r="D356" s="275">
        <v>0.7372594</v>
      </c>
      <c r="E356" s="260">
        <f t="shared" si="19"/>
        <v>44.235564</v>
      </c>
      <c r="F356" s="132">
        <f t="shared" si="20"/>
        <v>0.03071914167</v>
      </c>
      <c r="G356" s="276" t="s">
        <v>793</v>
      </c>
      <c r="H356" s="131"/>
      <c r="I356" s="131"/>
      <c r="J356" s="131"/>
      <c r="K356" s="131"/>
      <c r="L356" s="131"/>
      <c r="M356" s="131"/>
      <c r="N356" s="131"/>
      <c r="O356" s="131"/>
      <c r="P356" s="131"/>
      <c r="Q356" s="131"/>
      <c r="R356" s="131"/>
      <c r="S356" s="131"/>
      <c r="T356" s="131"/>
      <c r="U356" s="131"/>
      <c r="V356" s="131"/>
      <c r="W356" s="131"/>
      <c r="X356" s="131"/>
      <c r="Y356" s="131"/>
      <c r="Z356" s="203"/>
    </row>
    <row r="357">
      <c r="A357" s="262" t="s">
        <v>35</v>
      </c>
      <c r="B357" s="262" t="s">
        <v>74</v>
      </c>
      <c r="C357" s="262">
        <v>720.0</v>
      </c>
      <c r="D357" s="275">
        <v>3.7963047</v>
      </c>
      <c r="E357" s="260">
        <f t="shared" si="19"/>
        <v>227.778282</v>
      </c>
      <c r="F357" s="132">
        <f t="shared" si="20"/>
        <v>0.1581793625</v>
      </c>
      <c r="G357" s="276" t="s">
        <v>794</v>
      </c>
      <c r="H357" s="131"/>
      <c r="I357" s="131"/>
      <c r="J357" s="131"/>
      <c r="K357" s="131"/>
      <c r="L357" s="131"/>
      <c r="M357" s="131"/>
      <c r="N357" s="131"/>
      <c r="O357" s="131"/>
      <c r="P357" s="131"/>
      <c r="Q357" s="131"/>
      <c r="R357" s="131"/>
      <c r="S357" s="131"/>
      <c r="T357" s="131"/>
      <c r="U357" s="131"/>
      <c r="V357" s="131"/>
      <c r="W357" s="131"/>
      <c r="X357" s="131"/>
      <c r="Y357" s="131"/>
      <c r="Z357" s="203"/>
    </row>
    <row r="358">
      <c r="A358" s="262" t="s">
        <v>35</v>
      </c>
      <c r="B358" s="262" t="s">
        <v>75</v>
      </c>
      <c r="C358" s="262">
        <v>651.0</v>
      </c>
      <c r="D358" s="275">
        <v>3.2117317</v>
      </c>
      <c r="E358" s="260">
        <f t="shared" si="19"/>
        <v>192.703902</v>
      </c>
      <c r="F358" s="132">
        <f t="shared" si="20"/>
        <v>0.1338221542</v>
      </c>
      <c r="G358" s="276" t="s">
        <v>795</v>
      </c>
      <c r="H358" s="131"/>
      <c r="I358" s="131"/>
      <c r="J358" s="131"/>
      <c r="K358" s="131"/>
      <c r="L358" s="131"/>
      <c r="M358" s="131"/>
      <c r="N358" s="131"/>
      <c r="O358" s="131"/>
      <c r="P358" s="131"/>
      <c r="Q358" s="131"/>
      <c r="R358" s="131"/>
      <c r="S358" s="131"/>
      <c r="T358" s="131"/>
      <c r="U358" s="131"/>
      <c r="V358" s="131"/>
      <c r="W358" s="131"/>
      <c r="X358" s="131"/>
      <c r="Y358" s="131"/>
      <c r="Z358" s="203"/>
    </row>
    <row r="359">
      <c r="A359" s="262" t="s">
        <v>35</v>
      </c>
      <c r="B359" s="262" t="s">
        <v>425</v>
      </c>
      <c r="C359" s="262">
        <v>305.0</v>
      </c>
      <c r="D359" s="275">
        <v>1.4650844</v>
      </c>
      <c r="E359" s="260">
        <f t="shared" si="19"/>
        <v>87.905064</v>
      </c>
      <c r="F359" s="132">
        <f t="shared" si="20"/>
        <v>0.06104518333</v>
      </c>
      <c r="G359" s="276" t="s">
        <v>796</v>
      </c>
      <c r="H359" s="131"/>
      <c r="I359" s="131"/>
      <c r="J359" s="131"/>
      <c r="K359" s="131"/>
      <c r="L359" s="131"/>
      <c r="M359" s="131"/>
      <c r="N359" s="131"/>
      <c r="O359" s="131"/>
      <c r="P359" s="131"/>
      <c r="Q359" s="131"/>
      <c r="R359" s="131"/>
      <c r="S359" s="131"/>
      <c r="T359" s="131"/>
      <c r="U359" s="131"/>
      <c r="V359" s="131"/>
      <c r="W359" s="131"/>
      <c r="X359" s="131"/>
      <c r="Y359" s="131"/>
      <c r="Z359" s="203"/>
    </row>
    <row r="360">
      <c r="A360" s="262" t="s">
        <v>35</v>
      </c>
      <c r="B360" s="262" t="s">
        <v>42</v>
      </c>
      <c r="C360" s="262">
        <v>692.0</v>
      </c>
      <c r="D360" s="275">
        <v>3.5253056</v>
      </c>
      <c r="E360" s="260">
        <f t="shared" si="19"/>
        <v>211.518336</v>
      </c>
      <c r="F360" s="132">
        <f t="shared" si="20"/>
        <v>0.1468877333</v>
      </c>
      <c r="G360" s="276" t="s">
        <v>797</v>
      </c>
      <c r="H360" s="131"/>
      <c r="I360" s="131"/>
      <c r="J360" s="131"/>
      <c r="K360" s="131"/>
      <c r="L360" s="131"/>
      <c r="M360" s="131"/>
      <c r="N360" s="131"/>
      <c r="O360" s="131"/>
      <c r="P360" s="131"/>
      <c r="Q360" s="131"/>
      <c r="R360" s="131"/>
      <c r="S360" s="131"/>
      <c r="T360" s="131"/>
      <c r="U360" s="131"/>
      <c r="V360" s="131"/>
      <c r="W360" s="131"/>
      <c r="X360" s="131"/>
      <c r="Y360" s="131"/>
      <c r="Z360" s="203"/>
    </row>
    <row r="361">
      <c r="A361" s="262" t="s">
        <v>35</v>
      </c>
      <c r="B361" s="262" t="s">
        <v>80</v>
      </c>
      <c r="C361" s="262">
        <v>621.0</v>
      </c>
      <c r="D361" s="275">
        <v>3.3521125</v>
      </c>
      <c r="E361" s="260">
        <f t="shared" si="19"/>
        <v>201.12675</v>
      </c>
      <c r="F361" s="132">
        <f t="shared" si="20"/>
        <v>0.1396713542</v>
      </c>
      <c r="G361" s="276" t="s">
        <v>798</v>
      </c>
      <c r="H361" s="131"/>
      <c r="I361" s="131"/>
      <c r="J361" s="131"/>
      <c r="K361" s="131"/>
      <c r="L361" s="131"/>
      <c r="M361" s="131"/>
      <c r="N361" s="131"/>
      <c r="O361" s="131"/>
      <c r="P361" s="131"/>
      <c r="Q361" s="131"/>
      <c r="R361" s="131"/>
      <c r="S361" s="131"/>
      <c r="T361" s="131"/>
      <c r="U361" s="131"/>
      <c r="V361" s="131"/>
      <c r="W361" s="131"/>
      <c r="X361" s="131"/>
      <c r="Y361" s="131"/>
      <c r="Z361" s="203"/>
    </row>
    <row r="362">
      <c r="A362" s="262" t="s">
        <v>35</v>
      </c>
      <c r="B362" s="262" t="s">
        <v>82</v>
      </c>
      <c r="C362" s="262">
        <v>857.0</v>
      </c>
      <c r="D362" s="275">
        <v>3.9995194</v>
      </c>
      <c r="E362" s="260">
        <f t="shared" si="19"/>
        <v>239.971164</v>
      </c>
      <c r="F362" s="132">
        <f t="shared" si="20"/>
        <v>0.1666466417</v>
      </c>
      <c r="G362" s="276" t="s">
        <v>799</v>
      </c>
      <c r="H362" s="131"/>
      <c r="I362" s="131"/>
      <c r="J362" s="131"/>
      <c r="K362" s="131"/>
      <c r="L362" s="131"/>
      <c r="M362" s="131"/>
      <c r="N362" s="131"/>
      <c r="O362" s="131"/>
      <c r="P362" s="131"/>
      <c r="Q362" s="131"/>
      <c r="R362" s="131"/>
      <c r="S362" s="131"/>
      <c r="T362" s="131"/>
      <c r="U362" s="131"/>
      <c r="V362" s="131"/>
      <c r="W362" s="131"/>
      <c r="X362" s="131"/>
      <c r="Y362" s="131"/>
      <c r="Z362" s="203"/>
    </row>
    <row r="363">
      <c r="A363" s="262" t="s">
        <v>35</v>
      </c>
      <c r="B363" s="262" t="s">
        <v>83</v>
      </c>
      <c r="C363" s="262">
        <v>745.0</v>
      </c>
      <c r="D363" s="275">
        <v>3.6884931</v>
      </c>
      <c r="E363" s="260">
        <f t="shared" si="19"/>
        <v>221.309586</v>
      </c>
      <c r="F363" s="132">
        <f t="shared" si="20"/>
        <v>0.1536872125</v>
      </c>
      <c r="G363" s="276" t="s">
        <v>800</v>
      </c>
      <c r="H363" s="131"/>
      <c r="I363" s="131"/>
      <c r="J363" s="131"/>
      <c r="K363" s="131"/>
      <c r="L363" s="131"/>
      <c r="M363" s="131"/>
      <c r="N363" s="131"/>
      <c r="O363" s="131"/>
      <c r="P363" s="131"/>
      <c r="Q363" s="131"/>
      <c r="R363" s="131"/>
      <c r="S363" s="131"/>
      <c r="T363" s="131"/>
      <c r="U363" s="131"/>
      <c r="V363" s="131"/>
      <c r="W363" s="131"/>
      <c r="X363" s="131"/>
      <c r="Y363" s="131"/>
      <c r="Z363" s="203"/>
    </row>
    <row r="364">
      <c r="A364" s="262" t="s">
        <v>35</v>
      </c>
      <c r="B364" s="262" t="s">
        <v>36</v>
      </c>
      <c r="C364" s="262">
        <v>1043.0</v>
      </c>
      <c r="D364" s="275">
        <v>4.7640697</v>
      </c>
      <c r="E364" s="260">
        <f t="shared" si="19"/>
        <v>285.844182</v>
      </c>
      <c r="F364" s="132">
        <f t="shared" si="20"/>
        <v>0.1985029042</v>
      </c>
      <c r="G364" s="276" t="s">
        <v>801</v>
      </c>
      <c r="H364" s="131"/>
      <c r="I364" s="131"/>
      <c r="J364" s="131"/>
      <c r="K364" s="131"/>
      <c r="L364" s="131"/>
      <c r="M364" s="131"/>
      <c r="N364" s="131"/>
      <c r="O364" s="131"/>
      <c r="P364" s="131"/>
      <c r="Q364" s="131"/>
      <c r="R364" s="131"/>
      <c r="S364" s="131"/>
      <c r="T364" s="131"/>
      <c r="U364" s="131"/>
      <c r="V364" s="131"/>
      <c r="W364" s="131"/>
      <c r="X364" s="131"/>
      <c r="Y364" s="131"/>
      <c r="Z364" s="203"/>
    </row>
    <row r="365">
      <c r="A365" s="262" t="s">
        <v>17</v>
      </c>
      <c r="B365" s="262" t="s">
        <v>84</v>
      </c>
      <c r="C365" s="262">
        <v>2141.0</v>
      </c>
      <c r="D365" s="275">
        <v>9.936045</v>
      </c>
      <c r="E365" s="260">
        <f t="shared" si="19"/>
        <v>596.1627</v>
      </c>
      <c r="F365" s="132">
        <f t="shared" si="20"/>
        <v>0.414001875</v>
      </c>
      <c r="G365" s="276" t="s">
        <v>802</v>
      </c>
      <c r="H365" s="131"/>
      <c r="I365" s="131"/>
      <c r="J365" s="131"/>
      <c r="K365" s="131"/>
      <c r="L365" s="131"/>
      <c r="M365" s="131"/>
      <c r="N365" s="131"/>
      <c r="O365" s="131"/>
      <c r="P365" s="131"/>
      <c r="Q365" s="131"/>
      <c r="R365" s="131"/>
      <c r="S365" s="131"/>
      <c r="T365" s="131"/>
      <c r="U365" s="131"/>
      <c r="V365" s="131"/>
      <c r="W365" s="131"/>
      <c r="X365" s="131"/>
      <c r="Y365" s="131"/>
      <c r="Z365" s="203"/>
    </row>
    <row r="366">
      <c r="A366" s="262" t="s">
        <v>17</v>
      </c>
      <c r="B366" s="262" t="s">
        <v>85</v>
      </c>
      <c r="C366" s="262">
        <v>211.0</v>
      </c>
      <c r="D366" s="275">
        <v>1.0574528</v>
      </c>
      <c r="E366" s="260">
        <f t="shared" si="19"/>
        <v>63.447168</v>
      </c>
      <c r="F366" s="132">
        <f t="shared" si="20"/>
        <v>0.04406053333</v>
      </c>
      <c r="G366" s="276" t="s">
        <v>803</v>
      </c>
      <c r="H366" s="131"/>
      <c r="I366" s="131"/>
      <c r="J366" s="131"/>
      <c r="K366" s="131"/>
      <c r="L366" s="131"/>
      <c r="M366" s="131"/>
      <c r="N366" s="131"/>
      <c r="O366" s="131"/>
      <c r="P366" s="131"/>
      <c r="Q366" s="131"/>
      <c r="R366" s="131"/>
      <c r="S366" s="131"/>
      <c r="T366" s="131"/>
      <c r="U366" s="131"/>
      <c r="V366" s="131"/>
      <c r="W366" s="131"/>
      <c r="X366" s="131"/>
      <c r="Y366" s="131"/>
      <c r="Z366" s="203"/>
    </row>
    <row r="367">
      <c r="A367" s="262" t="s">
        <v>17</v>
      </c>
      <c r="B367" s="262" t="s">
        <v>79</v>
      </c>
      <c r="C367" s="262">
        <v>427.0</v>
      </c>
      <c r="D367" s="275">
        <v>2.1567408</v>
      </c>
      <c r="E367" s="260">
        <f t="shared" si="19"/>
        <v>129.404448</v>
      </c>
      <c r="F367" s="132">
        <f t="shared" si="20"/>
        <v>0.0898642</v>
      </c>
      <c r="G367" s="276" t="s">
        <v>804</v>
      </c>
      <c r="H367" s="131"/>
      <c r="I367" s="131"/>
      <c r="J367" s="131"/>
      <c r="K367" s="131"/>
      <c r="L367" s="131"/>
      <c r="M367" s="131"/>
      <c r="N367" s="131"/>
      <c r="O367" s="131"/>
      <c r="P367" s="131"/>
      <c r="Q367" s="131"/>
      <c r="R367" s="131"/>
      <c r="S367" s="131"/>
      <c r="T367" s="131"/>
      <c r="U367" s="131"/>
      <c r="V367" s="131"/>
      <c r="W367" s="131"/>
      <c r="X367" s="131"/>
      <c r="Y367" s="131"/>
      <c r="Z367" s="203"/>
    </row>
    <row r="368">
      <c r="A368" s="262" t="s">
        <v>17</v>
      </c>
      <c r="B368" s="262" t="s">
        <v>18</v>
      </c>
      <c r="C368" s="262">
        <v>592.0</v>
      </c>
      <c r="D368" s="275">
        <v>2.9550247</v>
      </c>
      <c r="E368" s="260">
        <f t="shared" si="19"/>
        <v>177.301482</v>
      </c>
      <c r="F368" s="132">
        <f t="shared" si="20"/>
        <v>0.1231260292</v>
      </c>
      <c r="G368" s="276" t="s">
        <v>805</v>
      </c>
      <c r="H368" s="131"/>
      <c r="I368" s="131"/>
      <c r="J368" s="131"/>
      <c r="K368" s="131"/>
      <c r="L368" s="131"/>
      <c r="M368" s="131"/>
      <c r="N368" s="131"/>
      <c r="O368" s="131"/>
      <c r="P368" s="131"/>
      <c r="Q368" s="131"/>
      <c r="R368" s="131"/>
      <c r="S368" s="131"/>
      <c r="T368" s="131"/>
      <c r="U368" s="131"/>
      <c r="V368" s="131"/>
      <c r="W368" s="131"/>
      <c r="X368" s="131"/>
      <c r="Y368" s="131"/>
      <c r="Z368" s="203"/>
    </row>
    <row r="369">
      <c r="A369" s="262" t="s">
        <v>17</v>
      </c>
      <c r="B369" s="262" t="s">
        <v>23</v>
      </c>
      <c r="C369" s="262">
        <v>1380.0</v>
      </c>
      <c r="D369" s="275">
        <v>6.2463542</v>
      </c>
      <c r="E369" s="260">
        <f t="shared" si="19"/>
        <v>374.781252</v>
      </c>
      <c r="F369" s="132">
        <f t="shared" si="20"/>
        <v>0.2602647583</v>
      </c>
      <c r="G369" s="276" t="s">
        <v>806</v>
      </c>
      <c r="H369" s="131"/>
      <c r="I369" s="131"/>
      <c r="J369" s="131"/>
      <c r="K369" s="131"/>
      <c r="L369" s="131"/>
      <c r="M369" s="131"/>
      <c r="N369" s="131"/>
      <c r="O369" s="131"/>
      <c r="P369" s="131"/>
      <c r="Q369" s="131"/>
      <c r="R369" s="131"/>
      <c r="S369" s="131"/>
      <c r="T369" s="131"/>
      <c r="U369" s="131"/>
      <c r="V369" s="131"/>
      <c r="W369" s="131"/>
      <c r="X369" s="131"/>
      <c r="Y369" s="131"/>
      <c r="Z369" s="203"/>
    </row>
    <row r="370">
      <c r="A370" s="262" t="s">
        <v>17</v>
      </c>
      <c r="B370" s="262" t="s">
        <v>86</v>
      </c>
      <c r="C370" s="262">
        <v>653.0</v>
      </c>
      <c r="D370" s="275">
        <v>2.9501256</v>
      </c>
      <c r="E370" s="260">
        <f t="shared" si="19"/>
        <v>177.007536</v>
      </c>
      <c r="F370" s="132">
        <f t="shared" si="20"/>
        <v>0.1229219</v>
      </c>
      <c r="G370" s="276" t="s">
        <v>807</v>
      </c>
      <c r="H370" s="131"/>
      <c r="I370" s="131"/>
      <c r="J370" s="131"/>
      <c r="K370" s="131"/>
      <c r="L370" s="131"/>
      <c r="M370" s="131"/>
      <c r="N370" s="131"/>
      <c r="O370" s="131"/>
      <c r="P370" s="131"/>
      <c r="Q370" s="131"/>
      <c r="R370" s="131"/>
      <c r="S370" s="131"/>
      <c r="T370" s="131"/>
      <c r="U370" s="131"/>
      <c r="V370" s="131"/>
      <c r="W370" s="131"/>
      <c r="X370" s="131"/>
      <c r="Y370" s="131"/>
      <c r="Z370" s="203"/>
    </row>
    <row r="371">
      <c r="A371" s="262" t="s">
        <v>17</v>
      </c>
      <c r="B371" s="262" t="s">
        <v>87</v>
      </c>
      <c r="C371" s="262">
        <v>1151.0</v>
      </c>
      <c r="D371" s="275">
        <v>5.1238486</v>
      </c>
      <c r="E371" s="260">
        <f t="shared" si="19"/>
        <v>307.430916</v>
      </c>
      <c r="F371" s="132">
        <f t="shared" si="20"/>
        <v>0.2134936917</v>
      </c>
      <c r="G371" s="276" t="s">
        <v>808</v>
      </c>
      <c r="H371" s="131"/>
      <c r="I371" s="131"/>
      <c r="J371" s="131"/>
      <c r="K371" s="131"/>
      <c r="L371" s="131"/>
      <c r="M371" s="131"/>
      <c r="N371" s="131"/>
      <c r="O371" s="131"/>
      <c r="P371" s="131"/>
      <c r="Q371" s="131"/>
      <c r="R371" s="131"/>
      <c r="S371" s="131"/>
      <c r="T371" s="131"/>
      <c r="U371" s="131"/>
      <c r="V371" s="131"/>
      <c r="W371" s="131"/>
      <c r="X371" s="131"/>
      <c r="Y371" s="131"/>
      <c r="Z371" s="203"/>
    </row>
    <row r="372">
      <c r="A372" s="262" t="s">
        <v>88</v>
      </c>
      <c r="B372" s="262" t="s">
        <v>89</v>
      </c>
      <c r="C372" s="262">
        <v>1113.0</v>
      </c>
      <c r="D372" s="275">
        <v>5.0192344</v>
      </c>
      <c r="E372" s="260">
        <f t="shared" si="19"/>
        <v>301.154064</v>
      </c>
      <c r="F372" s="132">
        <f t="shared" si="20"/>
        <v>0.2091347667</v>
      </c>
      <c r="G372" s="276" t="s">
        <v>809</v>
      </c>
      <c r="H372" s="131"/>
      <c r="I372" s="131"/>
      <c r="J372" s="131"/>
      <c r="K372" s="131"/>
      <c r="L372" s="131"/>
      <c r="M372" s="131"/>
      <c r="N372" s="131"/>
      <c r="O372" s="131"/>
      <c r="P372" s="131"/>
      <c r="Q372" s="131"/>
      <c r="R372" s="131"/>
      <c r="S372" s="131"/>
      <c r="T372" s="131"/>
      <c r="U372" s="131"/>
      <c r="V372" s="131"/>
      <c r="W372" s="131"/>
      <c r="X372" s="131"/>
      <c r="Y372" s="131"/>
      <c r="Z372" s="203"/>
    </row>
    <row r="373">
      <c r="A373" s="262" t="s">
        <v>88</v>
      </c>
      <c r="B373" s="262" t="s">
        <v>90</v>
      </c>
      <c r="C373" s="262">
        <v>699.0</v>
      </c>
      <c r="D373" s="275">
        <v>3.1666664</v>
      </c>
      <c r="E373" s="260">
        <f t="shared" si="19"/>
        <v>189.999984</v>
      </c>
      <c r="F373" s="132">
        <f t="shared" si="20"/>
        <v>0.1319444333</v>
      </c>
      <c r="G373" s="276" t="s">
        <v>810</v>
      </c>
      <c r="H373" s="131"/>
      <c r="I373" s="131"/>
      <c r="J373" s="131"/>
      <c r="K373" s="131"/>
      <c r="L373" s="131"/>
      <c r="M373" s="131"/>
      <c r="N373" s="131"/>
      <c r="O373" s="131"/>
      <c r="P373" s="131"/>
      <c r="Q373" s="131"/>
      <c r="R373" s="131"/>
      <c r="S373" s="131"/>
      <c r="T373" s="131"/>
      <c r="U373" s="131"/>
      <c r="V373" s="131"/>
      <c r="W373" s="131"/>
      <c r="X373" s="131"/>
      <c r="Y373" s="131"/>
      <c r="Z373" s="203"/>
    </row>
    <row r="374">
      <c r="A374" s="262" t="s">
        <v>729</v>
      </c>
      <c r="B374" s="262" t="s">
        <v>78</v>
      </c>
      <c r="C374" s="262">
        <v>695.0</v>
      </c>
      <c r="D374" s="275">
        <v>3.0287897</v>
      </c>
      <c r="E374" s="260">
        <f t="shared" si="19"/>
        <v>181.727382</v>
      </c>
      <c r="F374" s="132">
        <f t="shared" si="20"/>
        <v>0.1261995708</v>
      </c>
      <c r="G374" s="276" t="s">
        <v>811</v>
      </c>
      <c r="H374" s="131"/>
      <c r="I374" s="131"/>
      <c r="J374" s="131"/>
      <c r="K374" s="131"/>
      <c r="L374" s="131"/>
      <c r="M374" s="131"/>
      <c r="N374" s="131"/>
      <c r="O374" s="131"/>
      <c r="P374" s="131"/>
      <c r="Q374" s="131"/>
      <c r="R374" s="131"/>
      <c r="S374" s="131"/>
      <c r="T374" s="131"/>
      <c r="U374" s="131"/>
      <c r="V374" s="131"/>
      <c r="W374" s="131"/>
      <c r="X374" s="131"/>
      <c r="Y374" s="131"/>
      <c r="Z374" s="203"/>
    </row>
    <row r="375">
      <c r="A375" s="262" t="s">
        <v>729</v>
      </c>
      <c r="B375" s="262" t="s">
        <v>91</v>
      </c>
      <c r="C375" s="262">
        <v>1709.0</v>
      </c>
      <c r="D375" s="275">
        <v>7.2445236</v>
      </c>
      <c r="E375" s="260">
        <f t="shared" si="19"/>
        <v>434.671416</v>
      </c>
      <c r="F375" s="132">
        <f t="shared" si="20"/>
        <v>0.30185515</v>
      </c>
      <c r="G375" s="276" t="s">
        <v>812</v>
      </c>
      <c r="H375" s="131"/>
      <c r="I375" s="131"/>
      <c r="J375" s="131"/>
      <c r="K375" s="131"/>
      <c r="L375" s="131"/>
      <c r="M375" s="131"/>
      <c r="N375" s="131"/>
      <c r="O375" s="131"/>
      <c r="P375" s="131"/>
      <c r="Q375" s="131"/>
      <c r="R375" s="131"/>
      <c r="S375" s="131"/>
      <c r="T375" s="131"/>
      <c r="U375" s="131"/>
      <c r="V375" s="131"/>
      <c r="W375" s="131"/>
      <c r="X375" s="131"/>
      <c r="Y375" s="131"/>
      <c r="Z375" s="203"/>
    </row>
    <row r="376">
      <c r="A376" s="262" t="s">
        <v>67</v>
      </c>
      <c r="B376" s="262" t="s">
        <v>426</v>
      </c>
      <c r="C376" s="262">
        <v>462.0</v>
      </c>
      <c r="D376" s="275">
        <v>2.1335817</v>
      </c>
      <c r="E376" s="260">
        <f t="shared" si="19"/>
        <v>128.014902</v>
      </c>
      <c r="F376" s="132">
        <f t="shared" si="20"/>
        <v>0.0888992375</v>
      </c>
      <c r="G376" s="276" t="s">
        <v>813</v>
      </c>
      <c r="H376" s="131"/>
      <c r="I376" s="131"/>
      <c r="J376" s="131"/>
      <c r="K376" s="131"/>
      <c r="L376" s="131"/>
      <c r="M376" s="131"/>
      <c r="N376" s="131"/>
      <c r="O376" s="131"/>
      <c r="P376" s="131"/>
      <c r="Q376" s="131"/>
      <c r="R376" s="131"/>
      <c r="S376" s="131"/>
      <c r="T376" s="131"/>
      <c r="U376" s="131"/>
      <c r="V376" s="131"/>
      <c r="W376" s="131"/>
      <c r="X376" s="131"/>
      <c r="Y376" s="131"/>
      <c r="Z376" s="203"/>
    </row>
    <row r="377">
      <c r="A377" s="262" t="s">
        <v>67</v>
      </c>
      <c r="B377" s="262" t="s">
        <v>93</v>
      </c>
      <c r="C377" s="262">
        <v>773.0</v>
      </c>
      <c r="D377" s="275">
        <v>3.3799719</v>
      </c>
      <c r="E377" s="260">
        <f t="shared" si="19"/>
        <v>202.798314</v>
      </c>
      <c r="F377" s="132">
        <f t="shared" si="20"/>
        <v>0.1408321625</v>
      </c>
      <c r="G377" s="276" t="s">
        <v>814</v>
      </c>
      <c r="H377" s="131"/>
      <c r="I377" s="131"/>
      <c r="J377" s="131"/>
      <c r="K377" s="131"/>
      <c r="L377" s="131"/>
      <c r="M377" s="131"/>
      <c r="N377" s="131"/>
      <c r="O377" s="131"/>
      <c r="P377" s="131"/>
      <c r="Q377" s="131"/>
      <c r="R377" s="131"/>
      <c r="S377" s="131"/>
      <c r="T377" s="131"/>
      <c r="U377" s="131"/>
      <c r="V377" s="131"/>
      <c r="W377" s="131"/>
      <c r="X377" s="131"/>
      <c r="Y377" s="131"/>
      <c r="Z377" s="203"/>
    </row>
    <row r="378">
      <c r="A378" s="262" t="s">
        <v>474</v>
      </c>
      <c r="B378" s="262" t="s">
        <v>94</v>
      </c>
      <c r="C378" s="262">
        <v>236.0</v>
      </c>
      <c r="D378" s="275">
        <v>1.19503</v>
      </c>
      <c r="E378" s="260">
        <f t="shared" si="19"/>
        <v>71.7018</v>
      </c>
      <c r="F378" s="132">
        <f t="shared" si="20"/>
        <v>0.04979291667</v>
      </c>
      <c r="G378" s="276" t="s">
        <v>815</v>
      </c>
      <c r="H378" s="131"/>
      <c r="I378" s="131"/>
      <c r="J378" s="131"/>
      <c r="K378" s="131"/>
      <c r="L378" s="131"/>
      <c r="M378" s="131"/>
      <c r="N378" s="131"/>
      <c r="O378" s="131"/>
      <c r="P378" s="131"/>
      <c r="Q378" s="131"/>
      <c r="R378" s="131"/>
      <c r="S378" s="131"/>
      <c r="T378" s="131"/>
      <c r="U378" s="131"/>
      <c r="V378" s="131"/>
      <c r="W378" s="131"/>
      <c r="X378" s="131"/>
      <c r="Y378" s="131"/>
      <c r="Z378" s="203"/>
    </row>
    <row r="379">
      <c r="A379" s="262" t="s">
        <v>474</v>
      </c>
      <c r="B379" s="262" t="s">
        <v>95</v>
      </c>
      <c r="C379" s="262">
        <v>595.0</v>
      </c>
      <c r="D379" s="275">
        <v>3.0675408</v>
      </c>
      <c r="E379" s="260">
        <f t="shared" si="19"/>
        <v>184.052448</v>
      </c>
      <c r="F379" s="132">
        <f t="shared" si="20"/>
        <v>0.1278142</v>
      </c>
      <c r="G379" s="276" t="s">
        <v>816</v>
      </c>
      <c r="H379" s="131"/>
      <c r="I379" s="131"/>
      <c r="J379" s="131"/>
      <c r="K379" s="131"/>
      <c r="L379" s="131"/>
      <c r="M379" s="131"/>
      <c r="N379" s="131"/>
      <c r="O379" s="131"/>
      <c r="P379" s="131"/>
      <c r="Q379" s="131"/>
      <c r="R379" s="131"/>
      <c r="S379" s="131"/>
      <c r="T379" s="131"/>
      <c r="U379" s="131"/>
      <c r="V379" s="131"/>
      <c r="W379" s="131"/>
      <c r="X379" s="131"/>
      <c r="Y379" s="131"/>
      <c r="Z379" s="203"/>
    </row>
    <row r="380">
      <c r="A380" s="262" t="s">
        <v>474</v>
      </c>
      <c r="B380" s="262" t="s">
        <v>96</v>
      </c>
      <c r="C380" s="262">
        <v>505.0</v>
      </c>
      <c r="D380" s="275">
        <v>2.4220061</v>
      </c>
      <c r="E380" s="260">
        <f t="shared" si="19"/>
        <v>145.320366</v>
      </c>
      <c r="F380" s="132">
        <f t="shared" si="20"/>
        <v>0.1009169208</v>
      </c>
      <c r="G380" s="276" t="s">
        <v>817</v>
      </c>
      <c r="H380" s="131"/>
      <c r="I380" s="131"/>
      <c r="J380" s="131"/>
      <c r="K380" s="131"/>
      <c r="L380" s="131"/>
      <c r="M380" s="131"/>
      <c r="N380" s="131"/>
      <c r="O380" s="131"/>
      <c r="P380" s="131"/>
      <c r="Q380" s="131"/>
      <c r="R380" s="131"/>
      <c r="S380" s="131"/>
      <c r="T380" s="131"/>
      <c r="U380" s="131"/>
      <c r="V380" s="131"/>
      <c r="W380" s="131"/>
      <c r="X380" s="131"/>
      <c r="Y380" s="131"/>
      <c r="Z380" s="203"/>
    </row>
    <row r="381">
      <c r="A381" s="262" t="s">
        <v>474</v>
      </c>
      <c r="B381" s="262" t="s">
        <v>92</v>
      </c>
      <c r="C381" s="262">
        <v>1363.0</v>
      </c>
      <c r="D381" s="275">
        <v>6.1129411</v>
      </c>
      <c r="E381" s="260">
        <f t="shared" si="19"/>
        <v>366.776466</v>
      </c>
      <c r="F381" s="132">
        <f t="shared" si="20"/>
        <v>0.2547058792</v>
      </c>
      <c r="G381" s="276" t="s">
        <v>818</v>
      </c>
      <c r="H381" s="131"/>
      <c r="I381" s="131"/>
      <c r="J381" s="131"/>
      <c r="K381" s="131"/>
      <c r="L381" s="131"/>
      <c r="M381" s="131"/>
      <c r="N381" s="131"/>
      <c r="O381" s="131"/>
      <c r="P381" s="131"/>
      <c r="Q381" s="131"/>
      <c r="R381" s="131"/>
      <c r="S381" s="131"/>
      <c r="T381" s="131"/>
      <c r="U381" s="131"/>
      <c r="V381" s="131"/>
      <c r="W381" s="131"/>
      <c r="X381" s="131"/>
      <c r="Y381" s="131"/>
      <c r="Z381" s="203"/>
    </row>
    <row r="382">
      <c r="A382" s="262" t="s">
        <v>474</v>
      </c>
      <c r="B382" s="262" t="s">
        <v>97</v>
      </c>
      <c r="C382" s="262">
        <v>882.0</v>
      </c>
      <c r="D382" s="275">
        <v>4.5316542</v>
      </c>
      <c r="E382" s="260">
        <f t="shared" si="19"/>
        <v>271.899252</v>
      </c>
      <c r="F382" s="132">
        <f t="shared" si="20"/>
        <v>0.188818925</v>
      </c>
      <c r="G382" s="276" t="s">
        <v>819</v>
      </c>
      <c r="H382" s="131"/>
      <c r="I382" s="131"/>
      <c r="J382" s="131"/>
      <c r="K382" s="131"/>
      <c r="L382" s="131"/>
      <c r="M382" s="131"/>
      <c r="N382" s="131"/>
      <c r="O382" s="131"/>
      <c r="P382" s="131"/>
      <c r="Q382" s="131"/>
      <c r="R382" s="131"/>
      <c r="S382" s="131"/>
      <c r="T382" s="131"/>
      <c r="U382" s="131"/>
      <c r="V382" s="131"/>
      <c r="W382" s="131"/>
      <c r="X382" s="131"/>
      <c r="Y382" s="131"/>
      <c r="Z382" s="203"/>
    </row>
    <row r="383">
      <c r="A383" s="262" t="s">
        <v>474</v>
      </c>
      <c r="B383" s="262" t="s">
        <v>57</v>
      </c>
      <c r="C383" s="262">
        <v>384.0</v>
      </c>
      <c r="D383" s="275">
        <v>1.8432936</v>
      </c>
      <c r="E383" s="260">
        <f t="shared" si="19"/>
        <v>110.597616</v>
      </c>
      <c r="F383" s="132">
        <f t="shared" si="20"/>
        <v>0.0768039</v>
      </c>
      <c r="G383" s="276" t="s">
        <v>820</v>
      </c>
      <c r="H383" s="131"/>
      <c r="I383" s="131"/>
      <c r="J383" s="131"/>
      <c r="K383" s="131"/>
      <c r="L383" s="131"/>
      <c r="M383" s="131"/>
      <c r="N383" s="131"/>
      <c r="O383" s="131"/>
      <c r="P383" s="131"/>
      <c r="Q383" s="131"/>
      <c r="R383" s="131"/>
      <c r="S383" s="131"/>
      <c r="T383" s="131"/>
      <c r="U383" s="131"/>
      <c r="V383" s="131"/>
      <c r="W383" s="131"/>
      <c r="X383" s="131"/>
      <c r="Y383" s="131"/>
      <c r="Z383" s="203"/>
    </row>
    <row r="384">
      <c r="A384" s="262" t="s">
        <v>474</v>
      </c>
      <c r="B384" s="262" t="s">
        <v>98</v>
      </c>
      <c r="C384" s="262">
        <v>523.0</v>
      </c>
      <c r="D384" s="275">
        <v>2.6014497</v>
      </c>
      <c r="E384" s="260">
        <f t="shared" si="19"/>
        <v>156.086982</v>
      </c>
      <c r="F384" s="132">
        <f t="shared" si="20"/>
        <v>0.1083937375</v>
      </c>
      <c r="G384" s="276" t="s">
        <v>821</v>
      </c>
      <c r="H384" s="131"/>
      <c r="I384" s="131"/>
      <c r="J384" s="131"/>
      <c r="K384" s="131"/>
      <c r="L384" s="131"/>
      <c r="M384" s="131"/>
      <c r="N384" s="131"/>
      <c r="O384" s="131"/>
      <c r="P384" s="131"/>
      <c r="Q384" s="131"/>
      <c r="R384" s="131"/>
      <c r="S384" s="131"/>
      <c r="T384" s="131"/>
      <c r="U384" s="131"/>
      <c r="V384" s="131"/>
      <c r="W384" s="131"/>
      <c r="X384" s="131"/>
      <c r="Y384" s="131"/>
      <c r="Z384" s="203"/>
    </row>
    <row r="385">
      <c r="A385" s="262" t="s">
        <v>474</v>
      </c>
      <c r="B385" s="262" t="s">
        <v>428</v>
      </c>
      <c r="C385" s="262">
        <v>592.0</v>
      </c>
      <c r="D385" s="275">
        <v>2.9267231</v>
      </c>
      <c r="E385" s="260">
        <f t="shared" si="19"/>
        <v>175.603386</v>
      </c>
      <c r="F385" s="132">
        <f t="shared" si="20"/>
        <v>0.1219467958</v>
      </c>
      <c r="G385" s="276" t="s">
        <v>822</v>
      </c>
      <c r="H385" s="131"/>
      <c r="I385" s="131"/>
      <c r="J385" s="131"/>
      <c r="K385" s="131"/>
      <c r="L385" s="131"/>
      <c r="M385" s="131"/>
      <c r="N385" s="131"/>
      <c r="O385" s="131"/>
      <c r="P385" s="131"/>
      <c r="Q385" s="131"/>
      <c r="R385" s="131"/>
      <c r="S385" s="131"/>
      <c r="T385" s="131"/>
      <c r="U385" s="131"/>
      <c r="V385" s="131"/>
      <c r="W385" s="131"/>
      <c r="X385" s="131"/>
      <c r="Y385" s="131"/>
      <c r="Z385" s="203"/>
    </row>
    <row r="386">
      <c r="A386" s="262" t="s">
        <v>474</v>
      </c>
      <c r="B386" s="262" t="s">
        <v>99</v>
      </c>
      <c r="C386" s="262">
        <v>967.0</v>
      </c>
      <c r="D386" s="275">
        <v>4.6243567</v>
      </c>
      <c r="E386" s="260">
        <f t="shared" si="19"/>
        <v>277.461402</v>
      </c>
      <c r="F386" s="132">
        <f t="shared" si="20"/>
        <v>0.1926815292</v>
      </c>
      <c r="G386" s="276" t="s">
        <v>823</v>
      </c>
      <c r="H386" s="131"/>
      <c r="I386" s="131"/>
      <c r="J386" s="131"/>
      <c r="K386" s="131"/>
      <c r="L386" s="131"/>
      <c r="M386" s="131"/>
      <c r="N386" s="131"/>
      <c r="O386" s="131"/>
      <c r="P386" s="131"/>
      <c r="Q386" s="131"/>
      <c r="R386" s="131"/>
      <c r="S386" s="131"/>
      <c r="T386" s="131"/>
      <c r="U386" s="131"/>
      <c r="V386" s="131"/>
      <c r="W386" s="131"/>
      <c r="X386" s="131"/>
      <c r="Y386" s="131"/>
      <c r="Z386" s="203"/>
    </row>
    <row r="387">
      <c r="A387" s="262" t="s">
        <v>474</v>
      </c>
      <c r="B387" s="262" t="s">
        <v>61</v>
      </c>
      <c r="C387" s="262">
        <v>2292.0</v>
      </c>
      <c r="D387" s="275">
        <v>11.0652586</v>
      </c>
      <c r="E387" s="260">
        <f t="shared" si="19"/>
        <v>663.915516</v>
      </c>
      <c r="F387" s="132">
        <f t="shared" si="20"/>
        <v>0.4610524417</v>
      </c>
      <c r="G387" s="276" t="s">
        <v>824</v>
      </c>
      <c r="H387" s="131"/>
      <c r="I387" s="131"/>
      <c r="J387" s="131"/>
      <c r="K387" s="131"/>
      <c r="L387" s="131"/>
      <c r="M387" s="131"/>
      <c r="N387" s="131"/>
      <c r="O387" s="131"/>
      <c r="P387" s="131"/>
      <c r="Q387" s="131"/>
      <c r="R387" s="131"/>
      <c r="S387" s="131"/>
      <c r="T387" s="131"/>
      <c r="U387" s="131"/>
      <c r="V387" s="131"/>
      <c r="W387" s="131"/>
      <c r="X387" s="131"/>
      <c r="Y387" s="131"/>
      <c r="Z387" s="203"/>
    </row>
    <row r="388">
      <c r="A388" s="262" t="s">
        <v>429</v>
      </c>
      <c r="B388" s="262" t="s">
        <v>430</v>
      </c>
      <c r="C388" s="262">
        <v>59.0</v>
      </c>
      <c r="D388" s="275">
        <v>0.31347</v>
      </c>
      <c r="E388" s="260">
        <f t="shared" si="19"/>
        <v>18.8082</v>
      </c>
      <c r="F388" s="132">
        <f t="shared" si="20"/>
        <v>0.01306125</v>
      </c>
      <c r="G388" s="276" t="s">
        <v>825</v>
      </c>
      <c r="H388" s="131"/>
      <c r="I388" s="131"/>
      <c r="J388" s="131"/>
      <c r="K388" s="131"/>
      <c r="L388" s="131"/>
      <c r="M388" s="131"/>
      <c r="N388" s="131"/>
      <c r="O388" s="131"/>
      <c r="P388" s="131"/>
      <c r="Q388" s="131"/>
      <c r="R388" s="131"/>
      <c r="S388" s="131"/>
      <c r="T388" s="131"/>
      <c r="U388" s="131"/>
      <c r="V388" s="131"/>
      <c r="W388" s="131"/>
      <c r="X388" s="131"/>
      <c r="Y388" s="131"/>
      <c r="Z388" s="203"/>
    </row>
    <row r="389">
      <c r="A389" s="262" t="s">
        <v>429</v>
      </c>
      <c r="B389" s="262" t="s">
        <v>101</v>
      </c>
      <c r="C389" s="262">
        <v>93.0</v>
      </c>
      <c r="D389" s="275">
        <v>0.4266719</v>
      </c>
      <c r="E389" s="260">
        <f t="shared" si="19"/>
        <v>25.600314</v>
      </c>
      <c r="F389" s="132">
        <f t="shared" si="20"/>
        <v>0.01777799583</v>
      </c>
      <c r="G389" s="276" t="s">
        <v>826</v>
      </c>
      <c r="H389" s="131"/>
      <c r="I389" s="131"/>
      <c r="J389" s="131"/>
      <c r="K389" s="131"/>
      <c r="L389" s="131"/>
      <c r="M389" s="131"/>
      <c r="N389" s="131"/>
      <c r="O389" s="131"/>
      <c r="P389" s="131"/>
      <c r="Q389" s="131"/>
      <c r="R389" s="131"/>
      <c r="S389" s="131"/>
      <c r="T389" s="131"/>
      <c r="U389" s="131"/>
      <c r="V389" s="131"/>
      <c r="W389" s="131"/>
      <c r="X389" s="131"/>
      <c r="Y389" s="131"/>
      <c r="Z389" s="203"/>
    </row>
    <row r="390">
      <c r="A390" s="262" t="s">
        <v>429</v>
      </c>
      <c r="B390" s="262" t="s">
        <v>102</v>
      </c>
      <c r="C390" s="262">
        <v>112.0</v>
      </c>
      <c r="D390" s="275">
        <v>0.4828631</v>
      </c>
      <c r="E390" s="260">
        <f t="shared" si="19"/>
        <v>28.971786</v>
      </c>
      <c r="F390" s="132">
        <f t="shared" si="20"/>
        <v>0.02011929583</v>
      </c>
      <c r="G390" s="276" t="s">
        <v>827</v>
      </c>
      <c r="H390" s="131"/>
      <c r="I390" s="131"/>
      <c r="J390" s="131"/>
      <c r="K390" s="131"/>
      <c r="L390" s="131"/>
      <c r="M390" s="131"/>
      <c r="N390" s="131"/>
      <c r="O390" s="131"/>
      <c r="P390" s="131"/>
      <c r="Q390" s="131"/>
      <c r="R390" s="131"/>
      <c r="S390" s="131"/>
      <c r="T390" s="131"/>
      <c r="U390" s="131"/>
      <c r="V390" s="131"/>
      <c r="W390" s="131"/>
      <c r="X390" s="131"/>
      <c r="Y390" s="131"/>
      <c r="Z390" s="203"/>
    </row>
    <row r="391">
      <c r="A391" s="262" t="s">
        <v>429</v>
      </c>
      <c r="B391" s="262" t="s">
        <v>29</v>
      </c>
      <c r="C391" s="262">
        <v>1155.0</v>
      </c>
      <c r="D391" s="279" t="s">
        <v>828</v>
      </c>
      <c r="E391" s="260" t="str">
        <f t="shared" si="19"/>
        <v>#VALUE!</v>
      </c>
      <c r="F391" s="132" t="str">
        <f t="shared" si="20"/>
        <v>#VALUE!</v>
      </c>
      <c r="G391" s="276" t="s">
        <v>829</v>
      </c>
      <c r="H391" s="131"/>
      <c r="I391" s="131"/>
      <c r="J391" s="131"/>
      <c r="K391" s="131"/>
      <c r="L391" s="131"/>
      <c r="M391" s="131"/>
      <c r="N391" s="131"/>
      <c r="O391" s="131"/>
      <c r="P391" s="131"/>
      <c r="Q391" s="131"/>
      <c r="R391" s="131"/>
      <c r="S391" s="131"/>
      <c r="T391" s="131"/>
      <c r="U391" s="131"/>
      <c r="V391" s="131"/>
      <c r="W391" s="131"/>
      <c r="X391" s="131"/>
      <c r="Y391" s="131"/>
      <c r="Z391" s="203"/>
    </row>
    <row r="392">
      <c r="A392" s="262" t="s">
        <v>429</v>
      </c>
      <c r="B392" s="262" t="s">
        <v>103</v>
      </c>
      <c r="C392" s="262">
        <v>271.0</v>
      </c>
      <c r="D392" s="275">
        <v>1.2972325</v>
      </c>
      <c r="E392" s="260">
        <f t="shared" si="19"/>
        <v>77.83395</v>
      </c>
      <c r="F392" s="132">
        <f t="shared" si="20"/>
        <v>0.05405135417</v>
      </c>
      <c r="G392" s="276" t="s">
        <v>830</v>
      </c>
      <c r="H392" s="131"/>
      <c r="I392" s="131"/>
      <c r="J392" s="131"/>
      <c r="K392" s="131"/>
      <c r="L392" s="131"/>
      <c r="M392" s="131"/>
      <c r="N392" s="131"/>
      <c r="O392" s="131"/>
      <c r="P392" s="131"/>
      <c r="Q392" s="131"/>
      <c r="R392" s="131"/>
      <c r="S392" s="131"/>
      <c r="T392" s="131"/>
      <c r="U392" s="131"/>
      <c r="V392" s="131"/>
      <c r="W392" s="131"/>
      <c r="X392" s="131"/>
      <c r="Y392" s="131"/>
      <c r="Z392" s="203"/>
    </row>
    <row r="393">
      <c r="A393" s="262" t="s">
        <v>429</v>
      </c>
      <c r="B393" s="262" t="s">
        <v>431</v>
      </c>
      <c r="C393" s="262">
        <v>835.0</v>
      </c>
      <c r="D393" s="275">
        <v>3.8486864</v>
      </c>
      <c r="E393" s="260">
        <f t="shared" si="19"/>
        <v>230.921184</v>
      </c>
      <c r="F393" s="132">
        <f t="shared" si="20"/>
        <v>0.1603619333</v>
      </c>
      <c r="G393" s="276" t="s">
        <v>831</v>
      </c>
      <c r="H393" s="131"/>
      <c r="I393" s="131"/>
      <c r="J393" s="131"/>
      <c r="K393" s="131"/>
      <c r="L393" s="131"/>
      <c r="M393" s="131"/>
      <c r="N393" s="131"/>
      <c r="O393" s="131"/>
      <c r="P393" s="131"/>
      <c r="Q393" s="131"/>
      <c r="R393" s="131"/>
      <c r="S393" s="131"/>
      <c r="T393" s="131"/>
      <c r="U393" s="131"/>
      <c r="V393" s="131"/>
      <c r="W393" s="131"/>
      <c r="X393" s="131"/>
      <c r="Y393" s="131"/>
      <c r="Z393" s="203"/>
    </row>
    <row r="394">
      <c r="A394" s="262" t="s">
        <v>429</v>
      </c>
      <c r="B394" s="262" t="s">
        <v>432</v>
      </c>
      <c r="C394" s="262">
        <v>753.0</v>
      </c>
      <c r="D394" s="275">
        <v>3.5080847</v>
      </c>
      <c r="E394" s="260">
        <f t="shared" si="19"/>
        <v>210.485082</v>
      </c>
      <c r="F394" s="132">
        <f t="shared" si="20"/>
        <v>0.1461701958</v>
      </c>
      <c r="G394" s="276" t="s">
        <v>832</v>
      </c>
      <c r="H394" s="131"/>
      <c r="I394" s="131"/>
      <c r="J394" s="131"/>
      <c r="K394" s="131"/>
      <c r="L394" s="131"/>
      <c r="M394" s="131"/>
      <c r="N394" s="131"/>
      <c r="O394" s="131"/>
      <c r="P394" s="131"/>
      <c r="Q394" s="131"/>
      <c r="R394" s="131"/>
      <c r="S394" s="131"/>
      <c r="T394" s="131"/>
      <c r="U394" s="131"/>
      <c r="V394" s="131"/>
      <c r="W394" s="131"/>
      <c r="X394" s="131"/>
      <c r="Y394" s="131"/>
      <c r="Z394" s="203"/>
    </row>
    <row r="395">
      <c r="A395" s="262" t="s">
        <v>429</v>
      </c>
      <c r="B395" s="262" t="s">
        <v>105</v>
      </c>
      <c r="C395" s="280">
        <v>1016.0</v>
      </c>
      <c r="D395" s="275">
        <v>4.9290325</v>
      </c>
      <c r="E395" s="260">
        <f t="shared" si="19"/>
        <v>295.74195</v>
      </c>
      <c r="F395" s="132">
        <f t="shared" si="20"/>
        <v>0.2053763542</v>
      </c>
      <c r="G395" s="276" t="s">
        <v>833</v>
      </c>
      <c r="H395" s="131"/>
      <c r="I395" s="131"/>
      <c r="J395" s="131"/>
      <c r="K395" s="131"/>
      <c r="L395" s="131"/>
      <c r="M395" s="131"/>
      <c r="N395" s="131"/>
      <c r="O395" s="131"/>
      <c r="P395" s="131"/>
      <c r="Q395" s="131"/>
      <c r="R395" s="131"/>
      <c r="S395" s="131"/>
      <c r="T395" s="131"/>
      <c r="U395" s="131"/>
      <c r="V395" s="131"/>
      <c r="W395" s="131"/>
      <c r="X395" s="131"/>
      <c r="Y395" s="131"/>
      <c r="Z395" s="203"/>
    </row>
    <row r="396">
      <c r="A396" s="262"/>
      <c r="B396" s="262"/>
      <c r="C396" s="131">
        <f>SUM(C316:C395)</f>
        <v>71413</v>
      </c>
      <c r="D396" s="212" t="s">
        <v>484</v>
      </c>
      <c r="E396" s="131" t="str">
        <f>SUM(E316:E395)</f>
        <v>#VALUE!</v>
      </c>
      <c r="F396" s="132" t="str">
        <f t="shared" si="20"/>
        <v>#VALUE!</v>
      </c>
      <c r="G396" s="211"/>
      <c r="H396" s="131"/>
      <c r="I396" s="131"/>
      <c r="J396" s="131"/>
      <c r="K396" s="131"/>
      <c r="L396" s="131"/>
      <c r="M396" s="131"/>
      <c r="N396" s="131"/>
      <c r="O396" s="131"/>
      <c r="P396" s="131"/>
      <c r="Q396" s="131"/>
      <c r="R396" s="131"/>
      <c r="S396" s="131"/>
      <c r="T396" s="131"/>
      <c r="U396" s="131"/>
      <c r="V396" s="131"/>
      <c r="W396" s="131"/>
      <c r="X396" s="131"/>
      <c r="Y396" s="131"/>
      <c r="Z396" s="203"/>
    </row>
    <row r="397">
      <c r="A397" s="131"/>
      <c r="B397" s="131"/>
      <c r="C397" s="131"/>
      <c r="D397" s="212"/>
      <c r="E397" s="222"/>
      <c r="F397" s="132"/>
      <c r="G397" s="211"/>
      <c r="H397" s="131"/>
      <c r="I397" s="131"/>
      <c r="J397" s="131"/>
      <c r="K397" s="131"/>
      <c r="L397" s="131"/>
      <c r="M397" s="131"/>
      <c r="N397" s="131"/>
      <c r="O397" s="131"/>
      <c r="P397" s="131"/>
      <c r="Q397" s="131"/>
      <c r="R397" s="131"/>
      <c r="S397" s="131"/>
      <c r="T397" s="131"/>
      <c r="U397" s="131"/>
      <c r="V397" s="131"/>
      <c r="W397" s="131"/>
      <c r="X397" s="131"/>
      <c r="Y397" s="131"/>
      <c r="Z397" s="203"/>
    </row>
    <row r="398">
      <c r="A398" s="131"/>
      <c r="B398" s="131"/>
      <c r="C398" s="131"/>
      <c r="D398" s="131"/>
      <c r="E398" s="222"/>
      <c r="F398" s="132"/>
      <c r="G398" s="211"/>
      <c r="H398" s="131"/>
      <c r="I398" s="131"/>
      <c r="J398" s="131"/>
      <c r="K398" s="131"/>
      <c r="L398" s="131"/>
      <c r="M398" s="131"/>
      <c r="N398" s="131"/>
      <c r="O398" s="131"/>
      <c r="P398" s="131"/>
      <c r="Q398" s="131"/>
      <c r="R398" s="131"/>
      <c r="S398" s="131"/>
      <c r="T398" s="131"/>
      <c r="U398" s="131"/>
      <c r="V398" s="131"/>
      <c r="W398" s="131"/>
      <c r="X398" s="131"/>
      <c r="Y398" s="131"/>
      <c r="Z398" s="203"/>
    </row>
    <row r="399">
      <c r="A399" s="277" t="s">
        <v>834</v>
      </c>
      <c r="B399" s="131"/>
      <c r="C399" s="131"/>
      <c r="D399" s="131"/>
      <c r="E399" s="222"/>
      <c r="F399" s="132"/>
      <c r="G399" s="211"/>
      <c r="H399" s="131"/>
      <c r="I399" s="131"/>
      <c r="J399" s="131"/>
      <c r="K399" s="131"/>
      <c r="L399" s="131"/>
      <c r="M399" s="131"/>
      <c r="N399" s="131"/>
      <c r="O399" s="131"/>
      <c r="P399" s="131"/>
      <c r="Q399" s="131"/>
      <c r="R399" s="131"/>
      <c r="S399" s="131"/>
      <c r="T399" s="131"/>
      <c r="U399" s="131"/>
      <c r="V399" s="131"/>
      <c r="W399" s="131"/>
      <c r="X399" s="131"/>
      <c r="Y399" s="131"/>
      <c r="Z399" s="203"/>
    </row>
    <row r="400">
      <c r="A400" s="131"/>
      <c r="B400" s="131"/>
      <c r="C400" s="131"/>
      <c r="D400" s="131"/>
      <c r="E400" s="222"/>
      <c r="F400" s="132"/>
      <c r="G400" s="211"/>
      <c r="H400" s="131"/>
      <c r="I400" s="131"/>
      <c r="J400" s="131"/>
      <c r="K400" s="131"/>
      <c r="L400" s="131"/>
      <c r="M400" s="131"/>
      <c r="N400" s="131"/>
      <c r="O400" s="131"/>
      <c r="P400" s="131"/>
      <c r="Q400" s="131"/>
      <c r="R400" s="131"/>
      <c r="S400" s="131"/>
      <c r="T400" s="131"/>
      <c r="U400" s="131"/>
      <c r="V400" s="131"/>
      <c r="W400" s="131"/>
      <c r="X400" s="131"/>
      <c r="Y400" s="131"/>
      <c r="Z400" s="203"/>
    </row>
    <row r="401">
      <c r="A401" s="268" t="s">
        <v>0</v>
      </c>
      <c r="B401" s="268" t="s">
        <v>362</v>
      </c>
      <c r="C401" s="239" t="s">
        <v>534</v>
      </c>
      <c r="D401" s="239" t="s">
        <v>420</v>
      </c>
      <c r="E401" s="259" t="s">
        <v>3</v>
      </c>
      <c r="F401" s="214" t="s">
        <v>470</v>
      </c>
      <c r="G401" s="140" t="s">
        <v>471</v>
      </c>
      <c r="H401" s="131"/>
      <c r="I401" s="131"/>
      <c r="J401" s="131"/>
      <c r="K401" s="131"/>
      <c r="L401" s="131"/>
      <c r="M401" s="131"/>
      <c r="N401" s="131"/>
      <c r="O401" s="131"/>
      <c r="P401" s="131"/>
      <c r="Q401" s="131"/>
      <c r="R401" s="131"/>
      <c r="S401" s="131"/>
      <c r="T401" s="131"/>
      <c r="U401" s="131"/>
      <c r="V401" s="131"/>
      <c r="W401" s="131"/>
      <c r="X401" s="131"/>
      <c r="Y401" s="131"/>
      <c r="Z401" s="203"/>
    </row>
    <row r="402">
      <c r="A402" s="262" t="s">
        <v>611</v>
      </c>
      <c r="B402" s="262" t="s">
        <v>48</v>
      </c>
      <c r="C402" s="262">
        <v>3293.0</v>
      </c>
      <c r="D402" s="262">
        <v>14.587225</v>
      </c>
      <c r="E402" s="260">
        <f t="shared" ref="E402:E481" si="21">D402*60</f>
        <v>875.2335</v>
      </c>
      <c r="F402" s="132">
        <f t="shared" ref="F402:F482" si="22">E402/24/60</f>
        <v>0.6078010417</v>
      </c>
      <c r="G402" s="276" t="s">
        <v>835</v>
      </c>
      <c r="H402" s="131"/>
      <c r="I402" s="131"/>
      <c r="J402" s="131"/>
      <c r="K402" s="131"/>
      <c r="L402" s="131"/>
      <c r="M402" s="131"/>
      <c r="N402" s="131"/>
      <c r="O402" s="131"/>
      <c r="P402" s="131"/>
      <c r="Q402" s="131"/>
      <c r="R402" s="131"/>
      <c r="S402" s="131"/>
      <c r="T402" s="131"/>
      <c r="U402" s="131"/>
      <c r="V402" s="131"/>
      <c r="W402" s="131"/>
      <c r="X402" s="131"/>
      <c r="Y402" s="131"/>
      <c r="Z402" s="203"/>
    </row>
    <row r="403">
      <c r="A403" s="262" t="s">
        <v>611</v>
      </c>
      <c r="B403" s="262" t="s">
        <v>49</v>
      </c>
      <c r="C403" s="262">
        <v>1447.0</v>
      </c>
      <c r="D403" s="262">
        <v>7.1305839</v>
      </c>
      <c r="E403" s="260">
        <f t="shared" si="21"/>
        <v>427.835034</v>
      </c>
      <c r="F403" s="132">
        <f t="shared" si="22"/>
        <v>0.2971076625</v>
      </c>
      <c r="G403" s="276" t="s">
        <v>836</v>
      </c>
      <c r="H403" s="131"/>
      <c r="I403" s="131"/>
      <c r="J403" s="131"/>
      <c r="K403" s="131"/>
      <c r="L403" s="131"/>
      <c r="M403" s="131"/>
      <c r="N403" s="131"/>
      <c r="O403" s="131"/>
      <c r="P403" s="131"/>
      <c r="Q403" s="131"/>
      <c r="R403" s="131"/>
      <c r="S403" s="131"/>
      <c r="T403" s="131"/>
      <c r="U403" s="131"/>
      <c r="V403" s="131"/>
      <c r="W403" s="131"/>
      <c r="X403" s="131"/>
      <c r="Y403" s="131"/>
      <c r="Z403" s="203"/>
    </row>
    <row r="404">
      <c r="A404" s="262" t="s">
        <v>611</v>
      </c>
      <c r="B404" s="262" t="s">
        <v>50</v>
      </c>
      <c r="C404" s="262">
        <v>2350.0</v>
      </c>
      <c r="D404" s="262">
        <v>11.0502169</v>
      </c>
      <c r="E404" s="260">
        <f t="shared" si="21"/>
        <v>663.013014</v>
      </c>
      <c r="F404" s="132">
        <f t="shared" si="22"/>
        <v>0.4604257042</v>
      </c>
      <c r="G404" s="276" t="s">
        <v>837</v>
      </c>
      <c r="H404" s="131"/>
      <c r="I404" s="131"/>
      <c r="J404" s="131"/>
      <c r="K404" s="131"/>
      <c r="L404" s="131"/>
      <c r="M404" s="131"/>
      <c r="N404" s="131"/>
      <c r="O404" s="131"/>
      <c r="P404" s="131"/>
      <c r="Q404" s="131"/>
      <c r="R404" s="131"/>
      <c r="S404" s="131"/>
      <c r="T404" s="131"/>
      <c r="U404" s="131"/>
      <c r="V404" s="131"/>
      <c r="W404" s="131"/>
      <c r="X404" s="131"/>
      <c r="Y404" s="131"/>
      <c r="Z404" s="203"/>
    </row>
    <row r="405">
      <c r="A405" s="262" t="s">
        <v>611</v>
      </c>
      <c r="B405" s="262" t="s">
        <v>51</v>
      </c>
      <c r="C405" s="262">
        <v>937.0</v>
      </c>
      <c r="D405" s="262">
        <v>4.4644528</v>
      </c>
      <c r="E405" s="260">
        <f t="shared" si="21"/>
        <v>267.867168</v>
      </c>
      <c r="F405" s="132">
        <f t="shared" si="22"/>
        <v>0.1860188667</v>
      </c>
      <c r="G405" s="276" t="s">
        <v>838</v>
      </c>
      <c r="H405" s="131"/>
      <c r="I405" s="131"/>
      <c r="J405" s="131"/>
      <c r="K405" s="131"/>
      <c r="L405" s="131"/>
      <c r="M405" s="131"/>
      <c r="N405" s="131"/>
      <c r="O405" s="131"/>
      <c r="P405" s="131"/>
      <c r="Q405" s="131"/>
      <c r="R405" s="131"/>
      <c r="S405" s="131"/>
      <c r="T405" s="131"/>
      <c r="U405" s="131"/>
      <c r="V405" s="131"/>
      <c r="W405" s="131"/>
      <c r="X405" s="131"/>
      <c r="Y405" s="131"/>
      <c r="Z405" s="203"/>
    </row>
    <row r="406">
      <c r="A406" s="262" t="s">
        <v>611</v>
      </c>
      <c r="B406" s="262" t="s">
        <v>52</v>
      </c>
      <c r="C406" s="262">
        <v>2168.0</v>
      </c>
      <c r="D406" s="262">
        <v>9.6016228</v>
      </c>
      <c r="E406" s="260">
        <f t="shared" si="21"/>
        <v>576.097368</v>
      </c>
      <c r="F406" s="132">
        <f t="shared" si="22"/>
        <v>0.4000676167</v>
      </c>
      <c r="G406" s="276" t="s">
        <v>839</v>
      </c>
      <c r="H406" s="131"/>
      <c r="I406" s="131"/>
      <c r="J406" s="131"/>
      <c r="K406" s="131"/>
      <c r="L406" s="131"/>
      <c r="M406" s="131"/>
      <c r="N406" s="131"/>
      <c r="O406" s="131"/>
      <c r="P406" s="131"/>
      <c r="Q406" s="131"/>
      <c r="R406" s="131"/>
      <c r="S406" s="131"/>
      <c r="T406" s="131"/>
      <c r="U406" s="131"/>
      <c r="V406" s="131"/>
      <c r="W406" s="131"/>
      <c r="X406" s="131"/>
      <c r="Y406" s="131"/>
      <c r="Z406" s="203"/>
    </row>
    <row r="407">
      <c r="A407" s="262" t="s">
        <v>611</v>
      </c>
      <c r="B407" s="262" t="s">
        <v>53</v>
      </c>
      <c r="C407" s="262">
        <v>3571.0</v>
      </c>
      <c r="D407" s="262">
        <v>16.2475353</v>
      </c>
      <c r="E407" s="260">
        <f t="shared" si="21"/>
        <v>974.852118</v>
      </c>
      <c r="F407" s="132">
        <f t="shared" si="22"/>
        <v>0.6769806375</v>
      </c>
      <c r="G407" s="276" t="s">
        <v>840</v>
      </c>
      <c r="H407" s="131"/>
      <c r="I407" s="131"/>
      <c r="J407" s="131"/>
      <c r="K407" s="131"/>
      <c r="L407" s="131"/>
      <c r="M407" s="131"/>
      <c r="N407" s="131"/>
      <c r="O407" s="131"/>
      <c r="P407" s="131"/>
      <c r="Q407" s="131"/>
      <c r="R407" s="131"/>
      <c r="S407" s="131"/>
      <c r="T407" s="131"/>
      <c r="U407" s="131"/>
      <c r="V407" s="131"/>
      <c r="W407" s="131"/>
      <c r="X407" s="131"/>
      <c r="Y407" s="131"/>
      <c r="Z407" s="203"/>
    </row>
    <row r="408">
      <c r="A408" s="262" t="s">
        <v>7</v>
      </c>
      <c r="B408" s="262" t="s">
        <v>34</v>
      </c>
      <c r="C408" s="262">
        <v>823.0</v>
      </c>
      <c r="D408" s="262">
        <v>4.3767442</v>
      </c>
      <c r="E408" s="260">
        <f t="shared" si="21"/>
        <v>262.604652</v>
      </c>
      <c r="F408" s="132">
        <f t="shared" si="22"/>
        <v>0.1823643417</v>
      </c>
      <c r="G408" s="276" t="s">
        <v>841</v>
      </c>
      <c r="H408" s="131"/>
      <c r="I408" s="131"/>
      <c r="J408" s="131"/>
      <c r="K408" s="131"/>
      <c r="L408" s="131"/>
      <c r="M408" s="131"/>
      <c r="N408" s="131"/>
      <c r="O408" s="131"/>
      <c r="P408" s="131"/>
      <c r="Q408" s="131"/>
      <c r="R408" s="131"/>
      <c r="S408" s="131"/>
      <c r="T408" s="131"/>
      <c r="U408" s="131"/>
      <c r="V408" s="131"/>
      <c r="W408" s="131"/>
      <c r="X408" s="131"/>
      <c r="Y408" s="131"/>
      <c r="Z408" s="203"/>
    </row>
    <row r="409">
      <c r="A409" s="262" t="s">
        <v>7</v>
      </c>
      <c r="B409" s="262" t="s">
        <v>37</v>
      </c>
      <c r="C409" s="262">
        <v>392.0</v>
      </c>
      <c r="D409" s="262">
        <v>1.5664217</v>
      </c>
      <c r="E409" s="260">
        <f t="shared" si="21"/>
        <v>93.985302</v>
      </c>
      <c r="F409" s="132">
        <f t="shared" si="22"/>
        <v>0.06526757083</v>
      </c>
      <c r="G409" s="276" t="s">
        <v>842</v>
      </c>
      <c r="H409" s="131"/>
      <c r="I409" s="131"/>
      <c r="J409" s="131"/>
      <c r="K409" s="131"/>
      <c r="L409" s="131"/>
      <c r="M409" s="131"/>
      <c r="N409" s="131"/>
      <c r="O409" s="131"/>
      <c r="P409" s="131"/>
      <c r="Q409" s="131"/>
      <c r="R409" s="131"/>
      <c r="S409" s="131"/>
      <c r="T409" s="131"/>
      <c r="U409" s="131"/>
      <c r="V409" s="131"/>
      <c r="W409" s="131"/>
      <c r="X409" s="131"/>
      <c r="Y409" s="131"/>
      <c r="Z409" s="203"/>
    </row>
    <row r="410">
      <c r="A410" s="262" t="s">
        <v>7</v>
      </c>
      <c r="B410" s="262" t="s">
        <v>26</v>
      </c>
      <c r="C410" s="262">
        <v>704.0</v>
      </c>
      <c r="D410" s="262">
        <v>3.4238742</v>
      </c>
      <c r="E410" s="260">
        <f t="shared" si="21"/>
        <v>205.432452</v>
      </c>
      <c r="F410" s="132">
        <f t="shared" si="22"/>
        <v>0.142661425</v>
      </c>
      <c r="G410" s="276" t="s">
        <v>843</v>
      </c>
      <c r="H410" s="131"/>
      <c r="I410" s="131"/>
      <c r="J410" s="131"/>
      <c r="K410" s="131"/>
      <c r="L410" s="131"/>
      <c r="M410" s="131"/>
      <c r="N410" s="131"/>
      <c r="O410" s="131"/>
      <c r="P410" s="131"/>
      <c r="Q410" s="131"/>
      <c r="R410" s="131"/>
      <c r="S410" s="131"/>
      <c r="T410" s="131"/>
      <c r="U410" s="131"/>
      <c r="V410" s="131"/>
      <c r="W410" s="131"/>
      <c r="X410" s="131"/>
      <c r="Y410" s="131"/>
      <c r="Z410" s="203"/>
    </row>
    <row r="411">
      <c r="A411" s="262" t="s">
        <v>7</v>
      </c>
      <c r="B411" s="262" t="s">
        <v>24</v>
      </c>
      <c r="C411" s="262">
        <v>463.0</v>
      </c>
      <c r="D411" s="262">
        <v>2.2373644</v>
      </c>
      <c r="E411" s="260">
        <f t="shared" si="21"/>
        <v>134.241864</v>
      </c>
      <c r="F411" s="132">
        <f t="shared" si="22"/>
        <v>0.09322351667</v>
      </c>
      <c r="G411" s="276" t="s">
        <v>844</v>
      </c>
      <c r="H411" s="131"/>
      <c r="I411" s="131"/>
      <c r="J411" s="131"/>
      <c r="K411" s="131"/>
      <c r="L411" s="131"/>
      <c r="M411" s="131"/>
      <c r="N411" s="131"/>
      <c r="O411" s="131"/>
      <c r="P411" s="131"/>
      <c r="Q411" s="131"/>
      <c r="R411" s="131"/>
      <c r="S411" s="131"/>
      <c r="T411" s="131"/>
      <c r="U411" s="131"/>
      <c r="V411" s="131"/>
      <c r="W411" s="131"/>
      <c r="X411" s="131"/>
      <c r="Y411" s="131"/>
      <c r="Z411" s="203"/>
    </row>
    <row r="412">
      <c r="A412" s="262" t="s">
        <v>7</v>
      </c>
      <c r="B412" s="262" t="s">
        <v>422</v>
      </c>
      <c r="C412" s="262">
        <v>775.0</v>
      </c>
      <c r="D412" s="262">
        <v>3.7097142</v>
      </c>
      <c r="E412" s="260">
        <f t="shared" si="21"/>
        <v>222.582852</v>
      </c>
      <c r="F412" s="132">
        <f t="shared" si="22"/>
        <v>0.154571425</v>
      </c>
      <c r="G412" s="276" t="s">
        <v>845</v>
      </c>
      <c r="H412" s="131"/>
      <c r="I412" s="131"/>
      <c r="J412" s="131"/>
      <c r="K412" s="131"/>
      <c r="L412" s="131"/>
      <c r="M412" s="131"/>
      <c r="N412" s="131"/>
      <c r="O412" s="131"/>
      <c r="P412" s="131"/>
      <c r="Q412" s="131"/>
      <c r="R412" s="131"/>
      <c r="S412" s="131"/>
      <c r="T412" s="131"/>
      <c r="U412" s="131"/>
      <c r="V412" s="131"/>
      <c r="W412" s="131"/>
      <c r="X412" s="131"/>
      <c r="Y412" s="131"/>
      <c r="Z412" s="203"/>
    </row>
    <row r="413">
      <c r="A413" s="262" t="s">
        <v>7</v>
      </c>
      <c r="B413" s="262" t="s">
        <v>27</v>
      </c>
      <c r="C413" s="262">
        <v>583.0</v>
      </c>
      <c r="D413" s="262">
        <v>2.6658411</v>
      </c>
      <c r="E413" s="260">
        <f t="shared" si="21"/>
        <v>159.950466</v>
      </c>
      <c r="F413" s="132">
        <f t="shared" si="22"/>
        <v>0.1110767125</v>
      </c>
      <c r="G413" s="276" t="s">
        <v>846</v>
      </c>
      <c r="H413" s="131"/>
      <c r="I413" s="131"/>
      <c r="J413" s="131"/>
      <c r="K413" s="131"/>
      <c r="L413" s="131"/>
      <c r="M413" s="131"/>
      <c r="N413" s="131"/>
      <c r="O413" s="131"/>
      <c r="P413" s="131"/>
      <c r="Q413" s="131"/>
      <c r="R413" s="131"/>
      <c r="S413" s="131"/>
      <c r="T413" s="131"/>
      <c r="U413" s="131"/>
      <c r="V413" s="131"/>
      <c r="W413" s="131"/>
      <c r="X413" s="131"/>
      <c r="Y413" s="131"/>
      <c r="Z413" s="203"/>
    </row>
    <row r="414">
      <c r="A414" s="262" t="s">
        <v>7</v>
      </c>
      <c r="B414" s="262" t="s">
        <v>19</v>
      </c>
      <c r="C414" s="262">
        <v>1463.0</v>
      </c>
      <c r="D414" s="262">
        <v>7.2144872</v>
      </c>
      <c r="E414" s="260">
        <f t="shared" si="21"/>
        <v>432.869232</v>
      </c>
      <c r="F414" s="132">
        <f t="shared" si="22"/>
        <v>0.3006036333</v>
      </c>
      <c r="G414" s="276" t="s">
        <v>847</v>
      </c>
      <c r="H414" s="131"/>
      <c r="I414" s="131"/>
      <c r="J414" s="131"/>
      <c r="K414" s="131"/>
      <c r="L414" s="131"/>
      <c r="M414" s="131"/>
      <c r="N414" s="131"/>
      <c r="O414" s="131"/>
      <c r="P414" s="131"/>
      <c r="Q414" s="131"/>
      <c r="R414" s="131"/>
      <c r="S414" s="131"/>
      <c r="T414" s="131"/>
      <c r="U414" s="131"/>
      <c r="V414" s="131"/>
      <c r="W414" s="131"/>
      <c r="X414" s="131"/>
      <c r="Y414" s="131"/>
      <c r="Z414" s="203"/>
    </row>
    <row r="415">
      <c r="A415" s="262" t="s">
        <v>7</v>
      </c>
      <c r="B415" s="262" t="s">
        <v>40</v>
      </c>
      <c r="C415" s="262">
        <v>261.0</v>
      </c>
      <c r="D415" s="262">
        <v>1.2306347</v>
      </c>
      <c r="E415" s="260">
        <f t="shared" si="21"/>
        <v>73.838082</v>
      </c>
      <c r="F415" s="132">
        <f t="shared" si="22"/>
        <v>0.05127644583</v>
      </c>
      <c r="G415" s="276" t="s">
        <v>848</v>
      </c>
      <c r="H415" s="131"/>
      <c r="I415" s="131"/>
      <c r="J415" s="131"/>
      <c r="K415" s="131"/>
      <c r="L415" s="131"/>
      <c r="M415" s="131"/>
      <c r="N415" s="131"/>
      <c r="O415" s="131"/>
      <c r="P415" s="131"/>
      <c r="Q415" s="131"/>
      <c r="R415" s="131"/>
      <c r="S415" s="131"/>
      <c r="T415" s="131"/>
      <c r="U415" s="131"/>
      <c r="V415" s="131"/>
      <c r="W415" s="131"/>
      <c r="X415" s="131"/>
      <c r="Y415" s="131"/>
      <c r="Z415" s="203"/>
    </row>
    <row r="416">
      <c r="A416" s="262" t="s">
        <v>7</v>
      </c>
      <c r="B416" s="262" t="s">
        <v>44</v>
      </c>
      <c r="C416" s="262">
        <v>294.0</v>
      </c>
      <c r="D416" s="262">
        <v>1.4645489</v>
      </c>
      <c r="E416" s="260">
        <f t="shared" si="21"/>
        <v>87.872934</v>
      </c>
      <c r="F416" s="132">
        <f t="shared" si="22"/>
        <v>0.06102287083</v>
      </c>
      <c r="G416" s="276" t="s">
        <v>849</v>
      </c>
      <c r="H416" s="131"/>
      <c r="I416" s="131"/>
      <c r="J416" s="131"/>
      <c r="K416" s="131"/>
      <c r="L416" s="131"/>
      <c r="M416" s="131"/>
      <c r="N416" s="131"/>
      <c r="O416" s="131"/>
      <c r="P416" s="131"/>
      <c r="Q416" s="131"/>
      <c r="R416" s="131"/>
      <c r="S416" s="131"/>
      <c r="T416" s="131"/>
      <c r="U416" s="131"/>
      <c r="V416" s="131"/>
      <c r="W416" s="131"/>
      <c r="X416" s="131"/>
      <c r="Y416" s="131"/>
      <c r="Z416" s="203"/>
    </row>
    <row r="417">
      <c r="A417" s="262" t="s">
        <v>7</v>
      </c>
      <c r="B417" s="262" t="s">
        <v>21</v>
      </c>
      <c r="C417" s="262">
        <v>1716.0</v>
      </c>
      <c r="D417" s="262">
        <v>8.4999667</v>
      </c>
      <c r="E417" s="260">
        <f t="shared" si="21"/>
        <v>509.998002</v>
      </c>
      <c r="F417" s="132">
        <f t="shared" si="22"/>
        <v>0.3541652792</v>
      </c>
      <c r="G417" s="276" t="s">
        <v>850</v>
      </c>
      <c r="H417" s="131"/>
      <c r="I417" s="131"/>
      <c r="J417" s="131"/>
      <c r="K417" s="131"/>
      <c r="L417" s="131"/>
      <c r="M417" s="131"/>
      <c r="N417" s="131"/>
      <c r="O417" s="131"/>
      <c r="P417" s="131"/>
      <c r="Q417" s="131"/>
      <c r="R417" s="131"/>
      <c r="S417" s="131"/>
      <c r="T417" s="131"/>
      <c r="U417" s="131"/>
      <c r="V417" s="131"/>
      <c r="W417" s="131"/>
      <c r="X417" s="131"/>
      <c r="Y417" s="131"/>
      <c r="Z417" s="203"/>
    </row>
    <row r="418">
      <c r="A418" s="262" t="s">
        <v>7</v>
      </c>
      <c r="B418" s="262" t="s">
        <v>31</v>
      </c>
      <c r="C418" s="262">
        <v>575.0</v>
      </c>
      <c r="D418" s="262">
        <v>2.6904897</v>
      </c>
      <c r="E418" s="260">
        <f t="shared" si="21"/>
        <v>161.429382</v>
      </c>
      <c r="F418" s="132">
        <f t="shared" si="22"/>
        <v>0.1121037375</v>
      </c>
      <c r="G418" s="276" t="s">
        <v>851</v>
      </c>
      <c r="H418" s="131"/>
      <c r="I418" s="131"/>
      <c r="J418" s="131"/>
      <c r="K418" s="131"/>
      <c r="L418" s="131"/>
      <c r="M418" s="131"/>
      <c r="N418" s="131"/>
      <c r="O418" s="131"/>
      <c r="P418" s="131"/>
      <c r="Q418" s="131"/>
      <c r="R418" s="131"/>
      <c r="S418" s="131"/>
      <c r="T418" s="131"/>
      <c r="U418" s="131"/>
      <c r="V418" s="131"/>
      <c r="W418" s="131"/>
      <c r="X418" s="131"/>
      <c r="Y418" s="131"/>
      <c r="Z418" s="203"/>
    </row>
    <row r="419">
      <c r="A419" s="262" t="s">
        <v>7</v>
      </c>
      <c r="B419" s="262" t="s">
        <v>25</v>
      </c>
      <c r="C419" s="262">
        <v>205.0</v>
      </c>
      <c r="D419" s="262">
        <v>1.0251475</v>
      </c>
      <c r="E419" s="260">
        <f t="shared" si="21"/>
        <v>61.50885</v>
      </c>
      <c r="F419" s="132">
        <f t="shared" si="22"/>
        <v>0.04271447917</v>
      </c>
      <c r="G419" s="276" t="s">
        <v>852</v>
      </c>
      <c r="H419" s="131"/>
      <c r="I419" s="131"/>
      <c r="J419" s="131"/>
      <c r="K419" s="131"/>
      <c r="L419" s="131"/>
      <c r="M419" s="131"/>
      <c r="N419" s="131"/>
      <c r="O419" s="131"/>
      <c r="P419" s="131"/>
      <c r="Q419" s="131"/>
      <c r="R419" s="131"/>
      <c r="S419" s="131"/>
      <c r="T419" s="131"/>
      <c r="U419" s="131"/>
      <c r="V419" s="131"/>
      <c r="W419" s="131"/>
      <c r="X419" s="131"/>
      <c r="Y419" s="131"/>
      <c r="Z419" s="203"/>
    </row>
    <row r="420">
      <c r="A420" s="262" t="s">
        <v>7</v>
      </c>
      <c r="B420" s="262" t="s">
        <v>43</v>
      </c>
      <c r="C420" s="262">
        <v>773.0</v>
      </c>
      <c r="D420" s="262">
        <v>3.2766142</v>
      </c>
      <c r="E420" s="260">
        <f t="shared" si="21"/>
        <v>196.596852</v>
      </c>
      <c r="F420" s="132">
        <f t="shared" si="22"/>
        <v>0.1365255917</v>
      </c>
      <c r="G420" s="276" t="s">
        <v>853</v>
      </c>
      <c r="H420" s="131"/>
      <c r="I420" s="131"/>
      <c r="J420" s="131"/>
      <c r="K420" s="131"/>
      <c r="L420" s="131"/>
      <c r="M420" s="131"/>
      <c r="N420" s="131"/>
      <c r="O420" s="131"/>
      <c r="P420" s="131"/>
      <c r="Q420" s="131"/>
      <c r="R420" s="131"/>
      <c r="S420" s="131"/>
      <c r="T420" s="131"/>
      <c r="U420" s="131"/>
      <c r="V420" s="131"/>
      <c r="W420" s="131"/>
      <c r="X420" s="131"/>
      <c r="Y420" s="131"/>
      <c r="Z420" s="203"/>
    </row>
    <row r="421">
      <c r="A421" s="262" t="s">
        <v>7</v>
      </c>
      <c r="B421" s="262" t="s">
        <v>41</v>
      </c>
      <c r="C421" s="262">
        <v>290.0</v>
      </c>
      <c r="D421" s="262">
        <v>1.3497719</v>
      </c>
      <c r="E421" s="260">
        <f t="shared" si="21"/>
        <v>80.986314</v>
      </c>
      <c r="F421" s="132">
        <f t="shared" si="22"/>
        <v>0.05624049583</v>
      </c>
      <c r="G421" s="276" t="s">
        <v>854</v>
      </c>
      <c r="H421" s="131"/>
      <c r="I421" s="131"/>
      <c r="J421" s="131"/>
      <c r="K421" s="131"/>
      <c r="L421" s="131"/>
      <c r="M421" s="131"/>
      <c r="N421" s="131"/>
      <c r="O421" s="131"/>
      <c r="P421" s="131"/>
      <c r="Q421" s="131"/>
      <c r="R421" s="131"/>
      <c r="S421" s="131"/>
      <c r="T421" s="131"/>
      <c r="U421" s="131"/>
      <c r="V421" s="131"/>
      <c r="W421" s="131"/>
      <c r="X421" s="131"/>
      <c r="Y421" s="131"/>
      <c r="Z421" s="203"/>
    </row>
    <row r="422">
      <c r="A422" s="262" t="s">
        <v>7</v>
      </c>
      <c r="B422" s="262" t="s">
        <v>32</v>
      </c>
      <c r="C422" s="262">
        <v>406.0</v>
      </c>
      <c r="D422" s="262">
        <v>2.0045506</v>
      </c>
      <c r="E422" s="260">
        <f t="shared" si="21"/>
        <v>120.273036</v>
      </c>
      <c r="F422" s="132">
        <f t="shared" si="22"/>
        <v>0.08352294167</v>
      </c>
      <c r="G422" s="276" t="s">
        <v>855</v>
      </c>
      <c r="H422" s="131"/>
      <c r="I422" s="131"/>
      <c r="J422" s="131"/>
      <c r="K422" s="131"/>
      <c r="L422" s="131"/>
      <c r="M422" s="131"/>
      <c r="N422" s="131"/>
      <c r="O422" s="131"/>
      <c r="P422" s="131"/>
      <c r="Q422" s="131"/>
      <c r="R422" s="131"/>
      <c r="S422" s="131"/>
      <c r="T422" s="131"/>
      <c r="U422" s="131"/>
      <c r="V422" s="131"/>
      <c r="W422" s="131"/>
      <c r="X422" s="131"/>
      <c r="Y422" s="131"/>
      <c r="Z422" s="203"/>
    </row>
    <row r="423">
      <c r="A423" s="262" t="s">
        <v>7</v>
      </c>
      <c r="B423" s="262" t="s">
        <v>22</v>
      </c>
      <c r="C423" s="262">
        <v>3264.0</v>
      </c>
      <c r="D423" s="262">
        <v>15.3396467</v>
      </c>
      <c r="E423" s="260">
        <f t="shared" si="21"/>
        <v>920.378802</v>
      </c>
      <c r="F423" s="132">
        <f t="shared" si="22"/>
        <v>0.6391519458</v>
      </c>
      <c r="G423" s="276" t="s">
        <v>856</v>
      </c>
      <c r="H423" s="131"/>
      <c r="I423" s="131"/>
      <c r="J423" s="131"/>
      <c r="K423" s="131"/>
      <c r="L423" s="131"/>
      <c r="M423" s="131"/>
      <c r="N423" s="131"/>
      <c r="O423" s="131"/>
      <c r="P423" s="131"/>
      <c r="Q423" s="131"/>
      <c r="R423" s="131"/>
      <c r="S423" s="131"/>
      <c r="T423" s="131"/>
      <c r="U423" s="131"/>
      <c r="V423" s="131"/>
      <c r="W423" s="131"/>
      <c r="X423" s="131"/>
      <c r="Y423" s="131"/>
      <c r="Z423" s="203"/>
    </row>
    <row r="424">
      <c r="A424" s="262" t="s">
        <v>7</v>
      </c>
      <c r="B424" s="262" t="s">
        <v>8</v>
      </c>
      <c r="C424" s="262">
        <v>1119.0</v>
      </c>
      <c r="D424" s="262">
        <v>5.1861581</v>
      </c>
      <c r="E424" s="260">
        <f t="shared" si="21"/>
        <v>311.169486</v>
      </c>
      <c r="F424" s="132">
        <f t="shared" si="22"/>
        <v>0.2160899208</v>
      </c>
      <c r="G424" s="276" t="s">
        <v>857</v>
      </c>
      <c r="H424" s="131"/>
      <c r="I424" s="131"/>
      <c r="J424" s="131"/>
      <c r="K424" s="131"/>
      <c r="L424" s="131"/>
      <c r="M424" s="131"/>
      <c r="N424" s="131"/>
      <c r="O424" s="131"/>
      <c r="P424" s="131"/>
      <c r="Q424" s="131"/>
      <c r="R424" s="131"/>
      <c r="S424" s="131"/>
      <c r="T424" s="131"/>
      <c r="U424" s="131"/>
      <c r="V424" s="131"/>
      <c r="W424" s="131"/>
      <c r="X424" s="131"/>
      <c r="Y424" s="131"/>
      <c r="Z424" s="203"/>
    </row>
    <row r="425">
      <c r="A425" s="262" t="s">
        <v>7</v>
      </c>
      <c r="B425" s="262" t="s">
        <v>20</v>
      </c>
      <c r="C425" s="262">
        <v>1018.0</v>
      </c>
      <c r="D425" s="262">
        <v>5.0440217</v>
      </c>
      <c r="E425" s="260">
        <f t="shared" si="21"/>
        <v>302.641302</v>
      </c>
      <c r="F425" s="132">
        <f t="shared" si="22"/>
        <v>0.2101675708</v>
      </c>
      <c r="G425" s="276" t="s">
        <v>858</v>
      </c>
      <c r="H425" s="131"/>
      <c r="I425" s="131"/>
      <c r="J425" s="131"/>
      <c r="K425" s="131"/>
      <c r="L425" s="131"/>
      <c r="M425" s="131"/>
      <c r="N425" s="131"/>
      <c r="O425" s="131"/>
      <c r="P425" s="131"/>
      <c r="Q425" s="131"/>
      <c r="R425" s="131"/>
      <c r="S425" s="131"/>
      <c r="T425" s="131"/>
      <c r="U425" s="131"/>
      <c r="V425" s="131"/>
      <c r="W425" s="131"/>
      <c r="X425" s="131"/>
      <c r="Y425" s="131"/>
      <c r="Z425" s="203"/>
    </row>
    <row r="426">
      <c r="A426" s="262" t="s">
        <v>7</v>
      </c>
      <c r="B426" s="262" t="s">
        <v>33</v>
      </c>
      <c r="C426" s="262">
        <v>2108.0</v>
      </c>
      <c r="D426" s="262">
        <v>10.6254025</v>
      </c>
      <c r="E426" s="260">
        <f t="shared" si="21"/>
        <v>637.52415</v>
      </c>
      <c r="F426" s="132">
        <f t="shared" si="22"/>
        <v>0.4427251042</v>
      </c>
      <c r="G426" s="276" t="s">
        <v>859</v>
      </c>
      <c r="H426" s="131"/>
      <c r="I426" s="131"/>
      <c r="J426" s="131"/>
      <c r="K426" s="131"/>
      <c r="L426" s="131"/>
      <c r="M426" s="131"/>
      <c r="N426" s="131"/>
      <c r="O426" s="131"/>
      <c r="P426" s="131"/>
      <c r="Q426" s="131"/>
      <c r="R426" s="131"/>
      <c r="S426" s="131"/>
      <c r="T426" s="131"/>
      <c r="U426" s="131"/>
      <c r="V426" s="131"/>
      <c r="W426" s="131"/>
      <c r="X426" s="131"/>
      <c r="Y426" s="131"/>
      <c r="Z426" s="203"/>
    </row>
    <row r="427">
      <c r="A427" s="262" t="s">
        <v>7</v>
      </c>
      <c r="B427" s="262" t="s">
        <v>30</v>
      </c>
      <c r="C427" s="262">
        <v>1340.0</v>
      </c>
      <c r="D427" s="262">
        <v>6.4218069</v>
      </c>
      <c r="E427" s="260">
        <f t="shared" si="21"/>
        <v>385.308414</v>
      </c>
      <c r="F427" s="132">
        <f t="shared" si="22"/>
        <v>0.2675752875</v>
      </c>
      <c r="G427" s="276" t="s">
        <v>860</v>
      </c>
      <c r="H427" s="131"/>
      <c r="I427" s="131"/>
      <c r="J427" s="131"/>
      <c r="K427" s="131"/>
      <c r="L427" s="131"/>
      <c r="M427" s="131"/>
      <c r="N427" s="131"/>
      <c r="O427" s="131"/>
      <c r="P427" s="131"/>
      <c r="Q427" s="131"/>
      <c r="R427" s="131"/>
      <c r="S427" s="131"/>
      <c r="T427" s="131"/>
      <c r="U427" s="131"/>
      <c r="V427" s="131"/>
      <c r="W427" s="131"/>
      <c r="X427" s="131"/>
      <c r="Y427" s="131"/>
      <c r="Z427" s="203"/>
    </row>
    <row r="428">
      <c r="A428" s="262" t="s">
        <v>54</v>
      </c>
      <c r="B428" s="262" t="s">
        <v>55</v>
      </c>
      <c r="C428" s="262">
        <v>1147.0</v>
      </c>
      <c r="D428" s="262">
        <v>5.4590603</v>
      </c>
      <c r="E428" s="260">
        <f t="shared" si="21"/>
        <v>327.543618</v>
      </c>
      <c r="F428" s="132">
        <f t="shared" si="22"/>
        <v>0.2274608458</v>
      </c>
      <c r="G428" s="276" t="s">
        <v>861</v>
      </c>
      <c r="H428" s="131"/>
      <c r="I428" s="131"/>
      <c r="J428" s="131"/>
      <c r="K428" s="131"/>
      <c r="L428" s="131"/>
      <c r="M428" s="131"/>
      <c r="N428" s="131"/>
      <c r="O428" s="131"/>
      <c r="P428" s="131"/>
      <c r="Q428" s="131"/>
      <c r="R428" s="131"/>
      <c r="S428" s="131"/>
      <c r="T428" s="131"/>
      <c r="U428" s="131"/>
      <c r="V428" s="131"/>
      <c r="W428" s="131"/>
      <c r="X428" s="131"/>
      <c r="Y428" s="131"/>
      <c r="Z428" s="203"/>
    </row>
    <row r="429">
      <c r="A429" s="262" t="s">
        <v>54</v>
      </c>
      <c r="B429" s="262" t="s">
        <v>56</v>
      </c>
      <c r="C429" s="262">
        <v>229.0</v>
      </c>
      <c r="D429" s="262">
        <v>1.1097508</v>
      </c>
      <c r="E429" s="260">
        <f t="shared" si="21"/>
        <v>66.585048</v>
      </c>
      <c r="F429" s="132">
        <f t="shared" si="22"/>
        <v>0.04623961667</v>
      </c>
      <c r="G429" s="276" t="s">
        <v>862</v>
      </c>
      <c r="H429" s="131"/>
      <c r="I429" s="131"/>
      <c r="J429" s="131"/>
      <c r="K429" s="131"/>
      <c r="L429" s="131"/>
      <c r="M429" s="131"/>
      <c r="N429" s="131"/>
      <c r="O429" s="131"/>
      <c r="P429" s="131"/>
      <c r="Q429" s="131"/>
      <c r="R429" s="131"/>
      <c r="S429" s="131"/>
      <c r="T429" s="131"/>
      <c r="U429" s="131"/>
      <c r="V429" s="131"/>
      <c r="W429" s="131"/>
      <c r="X429" s="131"/>
      <c r="Y429" s="131"/>
      <c r="Z429" s="203"/>
    </row>
    <row r="430">
      <c r="A430" s="262" t="s">
        <v>54</v>
      </c>
      <c r="B430" s="262" t="s">
        <v>58</v>
      </c>
      <c r="C430" s="262">
        <v>235.0</v>
      </c>
      <c r="D430" s="262">
        <v>1.1825933</v>
      </c>
      <c r="E430" s="260">
        <f t="shared" si="21"/>
        <v>70.955598</v>
      </c>
      <c r="F430" s="132">
        <f t="shared" si="22"/>
        <v>0.04927472083</v>
      </c>
      <c r="G430" s="278" t="s">
        <v>863</v>
      </c>
      <c r="H430" s="131"/>
      <c r="I430" s="131"/>
      <c r="J430" s="131"/>
      <c r="K430" s="131"/>
      <c r="L430" s="131"/>
      <c r="M430" s="131"/>
      <c r="N430" s="131"/>
      <c r="O430" s="131"/>
      <c r="P430" s="131"/>
      <c r="Q430" s="131"/>
      <c r="R430" s="131"/>
      <c r="S430" s="131"/>
      <c r="T430" s="131"/>
      <c r="U430" s="131"/>
      <c r="V430" s="131"/>
      <c r="W430" s="131"/>
      <c r="X430" s="131"/>
      <c r="Y430" s="131"/>
      <c r="Z430" s="203"/>
    </row>
    <row r="431">
      <c r="A431" s="262" t="s">
        <v>54</v>
      </c>
      <c r="B431" s="262" t="s">
        <v>59</v>
      </c>
      <c r="C431" s="262">
        <v>1025.0</v>
      </c>
      <c r="D431" s="262">
        <v>4.6840925</v>
      </c>
      <c r="E431" s="260">
        <f t="shared" si="21"/>
        <v>281.04555</v>
      </c>
      <c r="F431" s="132">
        <f t="shared" si="22"/>
        <v>0.1951705208</v>
      </c>
      <c r="G431" s="276" t="s">
        <v>864</v>
      </c>
      <c r="H431" s="131"/>
      <c r="I431" s="131"/>
      <c r="J431" s="131"/>
      <c r="K431" s="131"/>
      <c r="L431" s="131"/>
      <c r="M431" s="131"/>
      <c r="N431" s="131"/>
      <c r="O431" s="131"/>
      <c r="P431" s="131"/>
      <c r="Q431" s="131"/>
      <c r="R431" s="131"/>
      <c r="S431" s="131"/>
      <c r="T431" s="131"/>
      <c r="U431" s="131"/>
      <c r="V431" s="131"/>
      <c r="W431" s="131"/>
      <c r="X431" s="131"/>
      <c r="Y431" s="131"/>
      <c r="Z431" s="203"/>
    </row>
    <row r="432">
      <c r="A432" s="262" t="s">
        <v>54</v>
      </c>
      <c r="B432" s="262" t="s">
        <v>60</v>
      </c>
      <c r="C432" s="262">
        <v>230.0</v>
      </c>
      <c r="D432" s="262">
        <v>1.0931428</v>
      </c>
      <c r="E432" s="260">
        <f t="shared" si="21"/>
        <v>65.588568</v>
      </c>
      <c r="F432" s="132">
        <f t="shared" si="22"/>
        <v>0.04554761667</v>
      </c>
      <c r="G432" s="278" t="s">
        <v>865</v>
      </c>
      <c r="H432" s="131"/>
      <c r="I432" s="131"/>
      <c r="J432" s="131"/>
      <c r="K432" s="131"/>
      <c r="L432" s="131"/>
      <c r="M432" s="131"/>
      <c r="N432" s="131"/>
      <c r="O432" s="131"/>
      <c r="P432" s="131"/>
      <c r="Q432" s="131"/>
      <c r="R432" s="131"/>
      <c r="S432" s="131"/>
      <c r="T432" s="131"/>
      <c r="U432" s="131"/>
      <c r="V432" s="131"/>
      <c r="W432" s="131"/>
      <c r="X432" s="131"/>
      <c r="Y432" s="131"/>
      <c r="Z432" s="203"/>
    </row>
    <row r="433">
      <c r="A433" s="262" t="s">
        <v>54</v>
      </c>
      <c r="B433" s="262" t="s">
        <v>62</v>
      </c>
      <c r="C433" s="262">
        <v>2040.0</v>
      </c>
      <c r="D433" s="262">
        <v>8.5936089</v>
      </c>
      <c r="E433" s="260">
        <f t="shared" si="21"/>
        <v>515.616534</v>
      </c>
      <c r="F433" s="132">
        <f t="shared" si="22"/>
        <v>0.3580670375</v>
      </c>
      <c r="G433" s="276" t="s">
        <v>866</v>
      </c>
      <c r="H433" s="131"/>
      <c r="I433" s="131"/>
      <c r="J433" s="131"/>
      <c r="K433" s="131"/>
      <c r="L433" s="131"/>
      <c r="M433" s="131"/>
      <c r="N433" s="131"/>
      <c r="O433" s="131"/>
      <c r="P433" s="131"/>
      <c r="Q433" s="131"/>
      <c r="R433" s="131"/>
      <c r="S433" s="131"/>
      <c r="T433" s="131"/>
      <c r="U433" s="131"/>
      <c r="V433" s="131"/>
      <c r="W433" s="131"/>
      <c r="X433" s="131"/>
      <c r="Y433" s="131"/>
      <c r="Z433" s="203"/>
    </row>
    <row r="434">
      <c r="A434" s="262" t="s">
        <v>54</v>
      </c>
      <c r="B434" s="262" t="s">
        <v>63</v>
      </c>
      <c r="C434" s="262">
        <v>502.0</v>
      </c>
      <c r="D434" s="262">
        <v>2.4419114</v>
      </c>
      <c r="E434" s="260">
        <f t="shared" si="21"/>
        <v>146.514684</v>
      </c>
      <c r="F434" s="132">
        <f t="shared" si="22"/>
        <v>0.1017463083</v>
      </c>
      <c r="G434" s="276" t="s">
        <v>867</v>
      </c>
      <c r="H434" s="131"/>
      <c r="I434" s="131"/>
      <c r="J434" s="131"/>
      <c r="K434" s="131"/>
      <c r="L434" s="131"/>
      <c r="M434" s="131"/>
      <c r="N434" s="131"/>
      <c r="O434" s="131"/>
      <c r="P434" s="131"/>
      <c r="Q434" s="131"/>
      <c r="R434" s="131"/>
      <c r="S434" s="131"/>
      <c r="T434" s="131"/>
      <c r="U434" s="131"/>
      <c r="V434" s="131"/>
      <c r="W434" s="131"/>
      <c r="X434" s="131"/>
      <c r="Y434" s="131"/>
      <c r="Z434" s="203"/>
    </row>
    <row r="435">
      <c r="A435" s="262" t="s">
        <v>54</v>
      </c>
      <c r="B435" s="262" t="s">
        <v>64</v>
      </c>
      <c r="C435" s="262">
        <v>171.0</v>
      </c>
      <c r="D435" s="262">
        <v>0.8952933</v>
      </c>
      <c r="E435" s="260">
        <f t="shared" si="21"/>
        <v>53.717598</v>
      </c>
      <c r="F435" s="132">
        <f t="shared" si="22"/>
        <v>0.0373038875</v>
      </c>
      <c r="G435" s="276" t="s">
        <v>868</v>
      </c>
      <c r="H435" s="131"/>
      <c r="I435" s="131"/>
      <c r="J435" s="131"/>
      <c r="K435" s="131"/>
      <c r="L435" s="131"/>
      <c r="M435" s="131"/>
      <c r="N435" s="131"/>
      <c r="O435" s="131"/>
      <c r="P435" s="131"/>
      <c r="Q435" s="131"/>
      <c r="R435" s="131"/>
      <c r="S435" s="131"/>
      <c r="T435" s="131"/>
      <c r="U435" s="131"/>
      <c r="V435" s="131"/>
      <c r="W435" s="131"/>
      <c r="X435" s="131"/>
      <c r="Y435" s="131"/>
      <c r="Z435" s="203"/>
    </row>
    <row r="436">
      <c r="A436" s="262" t="s">
        <v>54</v>
      </c>
      <c r="B436" s="262" t="s">
        <v>65</v>
      </c>
      <c r="C436" s="262">
        <v>155.0</v>
      </c>
      <c r="D436" s="262">
        <v>0.8263936</v>
      </c>
      <c r="E436" s="260">
        <f t="shared" si="21"/>
        <v>49.583616</v>
      </c>
      <c r="F436" s="132">
        <f t="shared" si="22"/>
        <v>0.03443306667</v>
      </c>
      <c r="G436" s="276" t="s">
        <v>869</v>
      </c>
      <c r="H436" s="131"/>
      <c r="I436" s="131"/>
      <c r="J436" s="131"/>
      <c r="K436" s="131"/>
      <c r="L436" s="131"/>
      <c r="M436" s="131"/>
      <c r="N436" s="131"/>
      <c r="O436" s="131"/>
      <c r="P436" s="131"/>
      <c r="Q436" s="131"/>
      <c r="R436" s="131"/>
      <c r="S436" s="131"/>
      <c r="T436" s="131"/>
      <c r="U436" s="131"/>
      <c r="V436" s="131"/>
      <c r="W436" s="131"/>
      <c r="X436" s="131"/>
      <c r="Y436" s="131"/>
      <c r="Z436" s="203"/>
    </row>
    <row r="437">
      <c r="A437" s="262" t="s">
        <v>54</v>
      </c>
      <c r="B437" s="262" t="s">
        <v>66</v>
      </c>
      <c r="C437" s="262">
        <v>178.0</v>
      </c>
      <c r="D437" s="262">
        <v>0.866185</v>
      </c>
      <c r="E437" s="260">
        <f t="shared" si="21"/>
        <v>51.9711</v>
      </c>
      <c r="F437" s="132">
        <f t="shared" si="22"/>
        <v>0.03609104167</v>
      </c>
      <c r="G437" s="276" t="s">
        <v>870</v>
      </c>
      <c r="H437" s="131"/>
      <c r="I437" s="131"/>
      <c r="J437" s="131"/>
      <c r="K437" s="131"/>
      <c r="L437" s="131"/>
      <c r="M437" s="131"/>
      <c r="N437" s="131"/>
      <c r="O437" s="131"/>
      <c r="P437" s="131"/>
      <c r="Q437" s="131"/>
      <c r="R437" s="131"/>
      <c r="S437" s="131"/>
      <c r="T437" s="131"/>
      <c r="U437" s="131"/>
      <c r="V437" s="131"/>
      <c r="W437" s="131"/>
      <c r="X437" s="131"/>
      <c r="Y437" s="131"/>
      <c r="Z437" s="203"/>
    </row>
    <row r="438">
      <c r="A438" s="262" t="s">
        <v>45</v>
      </c>
      <c r="B438" s="262" t="s">
        <v>706</v>
      </c>
      <c r="C438" s="262">
        <v>585.0</v>
      </c>
      <c r="D438" s="262">
        <v>2.9832978</v>
      </c>
      <c r="E438" s="260">
        <f t="shared" si="21"/>
        <v>178.997868</v>
      </c>
      <c r="F438" s="132">
        <f t="shared" si="22"/>
        <v>0.124304075</v>
      </c>
      <c r="G438" s="276" t="s">
        <v>871</v>
      </c>
      <c r="H438" s="131"/>
      <c r="I438" s="131"/>
      <c r="J438" s="131"/>
      <c r="K438" s="131"/>
      <c r="L438" s="131"/>
      <c r="M438" s="131"/>
      <c r="N438" s="131"/>
      <c r="O438" s="131"/>
      <c r="P438" s="131"/>
      <c r="Q438" s="131"/>
      <c r="R438" s="131"/>
      <c r="S438" s="131"/>
      <c r="T438" s="131"/>
      <c r="U438" s="131"/>
      <c r="V438" s="131"/>
      <c r="W438" s="131"/>
      <c r="X438" s="131"/>
      <c r="Y438" s="131"/>
      <c r="Z438" s="203"/>
    </row>
    <row r="439">
      <c r="A439" s="262" t="s">
        <v>69</v>
      </c>
      <c r="B439" s="262" t="s">
        <v>70</v>
      </c>
      <c r="C439" s="262">
        <v>1507.0</v>
      </c>
      <c r="D439" s="262">
        <v>7.2508714</v>
      </c>
      <c r="E439" s="260">
        <f t="shared" si="21"/>
        <v>435.052284</v>
      </c>
      <c r="F439" s="132">
        <f t="shared" si="22"/>
        <v>0.3021196417</v>
      </c>
      <c r="G439" s="276" t="s">
        <v>872</v>
      </c>
      <c r="H439" s="131"/>
      <c r="I439" s="131"/>
      <c r="J439" s="131"/>
      <c r="K439" s="131"/>
      <c r="L439" s="131"/>
      <c r="M439" s="131"/>
      <c r="N439" s="131"/>
      <c r="O439" s="131"/>
      <c r="P439" s="131"/>
      <c r="Q439" s="131"/>
      <c r="R439" s="131"/>
      <c r="S439" s="131"/>
      <c r="T439" s="131"/>
      <c r="U439" s="131"/>
      <c r="V439" s="131"/>
      <c r="W439" s="131"/>
      <c r="X439" s="131"/>
      <c r="Y439" s="131"/>
      <c r="Z439" s="203"/>
    </row>
    <row r="440">
      <c r="A440" s="262" t="s">
        <v>69</v>
      </c>
      <c r="B440" s="262" t="s">
        <v>71</v>
      </c>
      <c r="C440" s="262">
        <v>813.0</v>
      </c>
      <c r="D440" s="262">
        <v>3.8311186</v>
      </c>
      <c r="E440" s="260">
        <f t="shared" si="21"/>
        <v>229.867116</v>
      </c>
      <c r="F440" s="132">
        <f t="shared" si="22"/>
        <v>0.1596299417</v>
      </c>
      <c r="G440" s="278" t="s">
        <v>873</v>
      </c>
      <c r="H440" s="131"/>
      <c r="I440" s="131"/>
      <c r="J440" s="131"/>
      <c r="K440" s="131"/>
      <c r="L440" s="131"/>
      <c r="M440" s="131"/>
      <c r="N440" s="131"/>
      <c r="O440" s="131"/>
      <c r="P440" s="131"/>
      <c r="Q440" s="131"/>
      <c r="R440" s="131"/>
      <c r="S440" s="131"/>
      <c r="T440" s="131"/>
      <c r="U440" s="131"/>
      <c r="V440" s="131"/>
      <c r="W440" s="131"/>
      <c r="X440" s="131"/>
      <c r="Y440" s="131"/>
      <c r="Z440" s="203"/>
    </row>
    <row r="441">
      <c r="A441" s="262" t="s">
        <v>35</v>
      </c>
      <c r="B441" s="262" t="s">
        <v>72</v>
      </c>
      <c r="C441" s="262">
        <v>915.0</v>
      </c>
      <c r="D441" s="262">
        <v>3.8943158</v>
      </c>
      <c r="E441" s="260">
        <f t="shared" si="21"/>
        <v>233.658948</v>
      </c>
      <c r="F441" s="132">
        <f t="shared" si="22"/>
        <v>0.1622631583</v>
      </c>
      <c r="G441" s="276" t="s">
        <v>874</v>
      </c>
      <c r="H441" s="131"/>
      <c r="I441" s="131"/>
      <c r="J441" s="131"/>
      <c r="K441" s="131"/>
      <c r="L441" s="131"/>
      <c r="M441" s="131"/>
      <c r="N441" s="131"/>
      <c r="O441" s="131"/>
      <c r="P441" s="131"/>
      <c r="Q441" s="131"/>
      <c r="R441" s="131"/>
      <c r="S441" s="131"/>
      <c r="T441" s="131"/>
      <c r="U441" s="131"/>
      <c r="V441" s="131"/>
      <c r="W441" s="131"/>
      <c r="X441" s="131"/>
      <c r="Y441" s="131"/>
      <c r="Z441" s="203"/>
    </row>
    <row r="442">
      <c r="A442" s="262" t="s">
        <v>35</v>
      </c>
      <c r="B442" s="262" t="s">
        <v>73</v>
      </c>
      <c r="C442" s="262">
        <v>1933.0</v>
      </c>
      <c r="D442" s="262">
        <v>8.91127</v>
      </c>
      <c r="E442" s="260">
        <f t="shared" si="21"/>
        <v>534.6762</v>
      </c>
      <c r="F442" s="132">
        <f t="shared" si="22"/>
        <v>0.3713029167</v>
      </c>
      <c r="G442" s="276" t="s">
        <v>875</v>
      </c>
      <c r="H442" s="131"/>
      <c r="I442" s="131"/>
      <c r="J442" s="131"/>
      <c r="K442" s="131"/>
      <c r="L442" s="131"/>
      <c r="M442" s="131"/>
      <c r="N442" s="131"/>
      <c r="O442" s="131"/>
      <c r="P442" s="131"/>
      <c r="Q442" s="131"/>
      <c r="R442" s="131"/>
      <c r="S442" s="131"/>
      <c r="T442" s="131"/>
      <c r="U442" s="131"/>
      <c r="V442" s="131"/>
      <c r="W442" s="131"/>
      <c r="X442" s="131"/>
      <c r="Y442" s="131"/>
      <c r="Z442" s="203"/>
    </row>
    <row r="443">
      <c r="A443" s="262" t="s">
        <v>35</v>
      </c>
      <c r="B443" s="262" t="s">
        <v>74</v>
      </c>
      <c r="C443" s="262">
        <v>1422.0</v>
      </c>
      <c r="D443" s="262">
        <v>6.7713789</v>
      </c>
      <c r="E443" s="260">
        <f t="shared" si="21"/>
        <v>406.282734</v>
      </c>
      <c r="F443" s="132">
        <f t="shared" si="22"/>
        <v>0.2821407875</v>
      </c>
      <c r="G443" s="276" t="s">
        <v>876</v>
      </c>
      <c r="H443" s="131"/>
      <c r="I443" s="131"/>
      <c r="J443" s="131"/>
      <c r="K443" s="131"/>
      <c r="L443" s="131"/>
      <c r="M443" s="131"/>
      <c r="N443" s="131"/>
      <c r="O443" s="131"/>
      <c r="P443" s="131"/>
      <c r="Q443" s="131"/>
      <c r="R443" s="131"/>
      <c r="S443" s="131"/>
      <c r="T443" s="131"/>
      <c r="U443" s="131"/>
      <c r="V443" s="131"/>
      <c r="W443" s="131"/>
      <c r="X443" s="131"/>
      <c r="Y443" s="131"/>
      <c r="Z443" s="203"/>
    </row>
    <row r="444">
      <c r="A444" s="262" t="s">
        <v>35</v>
      </c>
      <c r="B444" s="262" t="s">
        <v>75</v>
      </c>
      <c r="C444" s="262">
        <v>709.0</v>
      </c>
      <c r="D444" s="262">
        <v>3.4351264</v>
      </c>
      <c r="E444" s="260">
        <f t="shared" si="21"/>
        <v>206.107584</v>
      </c>
      <c r="F444" s="132">
        <f t="shared" si="22"/>
        <v>0.1431302667</v>
      </c>
      <c r="G444" s="276" t="s">
        <v>877</v>
      </c>
      <c r="H444" s="131"/>
      <c r="I444" s="131"/>
      <c r="J444" s="131"/>
      <c r="K444" s="131"/>
      <c r="L444" s="131"/>
      <c r="M444" s="131"/>
      <c r="N444" s="131"/>
      <c r="O444" s="131"/>
      <c r="P444" s="131"/>
      <c r="Q444" s="131"/>
      <c r="R444" s="131"/>
      <c r="S444" s="131"/>
      <c r="T444" s="131"/>
      <c r="U444" s="131"/>
      <c r="V444" s="131"/>
      <c r="W444" s="131"/>
      <c r="X444" s="131"/>
      <c r="Y444" s="131"/>
      <c r="Z444" s="203"/>
    </row>
    <row r="445">
      <c r="A445" s="262" t="s">
        <v>35</v>
      </c>
      <c r="B445" s="262" t="s">
        <v>425</v>
      </c>
      <c r="C445" s="262">
        <v>795.0</v>
      </c>
      <c r="D445" s="262">
        <v>3.8229144</v>
      </c>
      <c r="E445" s="260">
        <f t="shared" si="21"/>
        <v>229.374864</v>
      </c>
      <c r="F445" s="132">
        <f t="shared" si="22"/>
        <v>0.1592881</v>
      </c>
      <c r="G445" s="276" t="s">
        <v>641</v>
      </c>
      <c r="H445" s="131"/>
      <c r="I445" s="131"/>
      <c r="J445" s="131"/>
      <c r="K445" s="131"/>
      <c r="L445" s="131"/>
      <c r="M445" s="131"/>
      <c r="N445" s="131"/>
      <c r="O445" s="131"/>
      <c r="P445" s="131"/>
      <c r="Q445" s="131"/>
      <c r="R445" s="131"/>
      <c r="S445" s="131"/>
      <c r="T445" s="131"/>
      <c r="U445" s="131"/>
      <c r="V445" s="131"/>
      <c r="W445" s="131"/>
      <c r="X445" s="131"/>
      <c r="Y445" s="131"/>
      <c r="Z445" s="203"/>
    </row>
    <row r="446">
      <c r="A446" s="262" t="s">
        <v>35</v>
      </c>
      <c r="B446" s="262" t="s">
        <v>42</v>
      </c>
      <c r="C446" s="262">
        <v>890.0</v>
      </c>
      <c r="D446" s="262">
        <v>3.9217053</v>
      </c>
      <c r="E446" s="260">
        <f t="shared" si="21"/>
        <v>235.302318</v>
      </c>
      <c r="F446" s="132">
        <f t="shared" si="22"/>
        <v>0.1634043875</v>
      </c>
      <c r="G446" s="276" t="s">
        <v>878</v>
      </c>
      <c r="H446" s="131"/>
      <c r="I446" s="131"/>
      <c r="J446" s="131"/>
      <c r="K446" s="131"/>
      <c r="L446" s="131"/>
      <c r="M446" s="131"/>
      <c r="N446" s="131"/>
      <c r="O446" s="131"/>
      <c r="P446" s="131"/>
      <c r="Q446" s="131"/>
      <c r="R446" s="131"/>
      <c r="S446" s="131"/>
      <c r="T446" s="131"/>
      <c r="U446" s="131"/>
      <c r="V446" s="131"/>
      <c r="W446" s="131"/>
      <c r="X446" s="131"/>
      <c r="Y446" s="131"/>
      <c r="Z446" s="203"/>
    </row>
    <row r="447">
      <c r="A447" s="262" t="s">
        <v>35</v>
      </c>
      <c r="B447" s="262" t="s">
        <v>80</v>
      </c>
      <c r="C447" s="262">
        <v>391.0</v>
      </c>
      <c r="D447" s="262">
        <v>1.8020208</v>
      </c>
      <c r="E447" s="260">
        <f t="shared" si="21"/>
        <v>108.121248</v>
      </c>
      <c r="F447" s="132">
        <f t="shared" si="22"/>
        <v>0.0750842</v>
      </c>
      <c r="G447" s="278" t="s">
        <v>879</v>
      </c>
      <c r="H447" s="131"/>
      <c r="I447" s="131"/>
      <c r="J447" s="131"/>
      <c r="K447" s="131"/>
      <c r="L447" s="131"/>
      <c r="M447" s="131"/>
      <c r="N447" s="131"/>
      <c r="O447" s="131"/>
      <c r="P447" s="131"/>
      <c r="Q447" s="131"/>
      <c r="R447" s="131"/>
      <c r="S447" s="131"/>
      <c r="T447" s="131"/>
      <c r="U447" s="131"/>
      <c r="V447" s="131"/>
      <c r="W447" s="131"/>
      <c r="X447" s="131"/>
      <c r="Y447" s="131"/>
      <c r="Z447" s="203"/>
    </row>
    <row r="448">
      <c r="A448" s="262" t="s">
        <v>35</v>
      </c>
      <c r="B448" s="262" t="s">
        <v>82</v>
      </c>
      <c r="C448" s="262">
        <v>1768.0</v>
      </c>
      <c r="D448" s="262">
        <v>8.287095</v>
      </c>
      <c r="E448" s="260">
        <f t="shared" si="21"/>
        <v>497.2257</v>
      </c>
      <c r="F448" s="132">
        <f t="shared" si="22"/>
        <v>0.345295625</v>
      </c>
      <c r="G448" s="276" t="s">
        <v>880</v>
      </c>
      <c r="H448" s="131"/>
      <c r="I448" s="131"/>
      <c r="J448" s="131"/>
      <c r="K448" s="131"/>
      <c r="L448" s="131"/>
      <c r="M448" s="131"/>
      <c r="N448" s="131"/>
      <c r="O448" s="131"/>
      <c r="P448" s="131"/>
      <c r="Q448" s="131"/>
      <c r="R448" s="131"/>
      <c r="S448" s="131"/>
      <c r="T448" s="131"/>
      <c r="U448" s="131"/>
      <c r="V448" s="131"/>
      <c r="W448" s="131"/>
      <c r="X448" s="131"/>
      <c r="Y448" s="131"/>
      <c r="Z448" s="203"/>
    </row>
    <row r="449">
      <c r="A449" s="262" t="s">
        <v>35</v>
      </c>
      <c r="B449" s="262" t="s">
        <v>83</v>
      </c>
      <c r="C449" s="262">
        <v>415.0</v>
      </c>
      <c r="D449" s="262">
        <v>1.9171383</v>
      </c>
      <c r="E449" s="260">
        <f t="shared" si="21"/>
        <v>115.028298</v>
      </c>
      <c r="F449" s="132">
        <f t="shared" si="22"/>
        <v>0.0798807625</v>
      </c>
      <c r="G449" s="276" t="s">
        <v>881</v>
      </c>
      <c r="H449" s="131"/>
      <c r="I449" s="131"/>
      <c r="J449" s="131"/>
      <c r="K449" s="131"/>
      <c r="L449" s="131"/>
      <c r="M449" s="131"/>
      <c r="N449" s="131"/>
      <c r="O449" s="131"/>
      <c r="P449" s="131"/>
      <c r="Q449" s="131"/>
      <c r="R449" s="131"/>
      <c r="S449" s="131"/>
      <c r="T449" s="131"/>
      <c r="U449" s="131"/>
      <c r="V449" s="131"/>
      <c r="W449" s="131"/>
      <c r="X449" s="131"/>
      <c r="Y449" s="131"/>
      <c r="Z449" s="203"/>
    </row>
    <row r="450">
      <c r="A450" s="262" t="s">
        <v>35</v>
      </c>
      <c r="B450" s="262" t="s">
        <v>36</v>
      </c>
      <c r="C450" s="262">
        <v>2110.0</v>
      </c>
      <c r="D450" s="262">
        <v>9.6387883</v>
      </c>
      <c r="E450" s="260">
        <f t="shared" si="21"/>
        <v>578.327298</v>
      </c>
      <c r="F450" s="132">
        <f t="shared" si="22"/>
        <v>0.4016161792</v>
      </c>
      <c r="G450" s="276" t="s">
        <v>882</v>
      </c>
      <c r="H450" s="131"/>
      <c r="I450" s="131"/>
      <c r="J450" s="131"/>
      <c r="K450" s="131"/>
      <c r="L450" s="131"/>
      <c r="M450" s="131"/>
      <c r="N450" s="131"/>
      <c r="O450" s="131"/>
      <c r="P450" s="131"/>
      <c r="Q450" s="131"/>
      <c r="R450" s="131"/>
      <c r="S450" s="131"/>
      <c r="T450" s="131"/>
      <c r="U450" s="131"/>
      <c r="V450" s="131"/>
      <c r="W450" s="131"/>
      <c r="X450" s="131"/>
      <c r="Y450" s="131"/>
      <c r="Z450" s="203"/>
    </row>
    <row r="451">
      <c r="A451" s="262" t="s">
        <v>17</v>
      </c>
      <c r="B451" s="262" t="s">
        <v>84</v>
      </c>
      <c r="C451" s="262">
        <v>948.0</v>
      </c>
      <c r="D451" s="262">
        <v>4.1700078</v>
      </c>
      <c r="E451" s="260">
        <f t="shared" si="21"/>
        <v>250.200468</v>
      </c>
      <c r="F451" s="132">
        <f t="shared" si="22"/>
        <v>0.173750325</v>
      </c>
      <c r="G451" s="276" t="s">
        <v>883</v>
      </c>
      <c r="H451" s="131"/>
      <c r="I451" s="131"/>
      <c r="J451" s="131"/>
      <c r="K451" s="131"/>
      <c r="L451" s="131"/>
      <c r="M451" s="131"/>
      <c r="N451" s="131"/>
      <c r="O451" s="131"/>
      <c r="P451" s="131"/>
      <c r="Q451" s="131"/>
      <c r="R451" s="131"/>
      <c r="S451" s="131"/>
      <c r="T451" s="131"/>
      <c r="U451" s="131"/>
      <c r="V451" s="131"/>
      <c r="W451" s="131"/>
      <c r="X451" s="131"/>
      <c r="Y451" s="131"/>
      <c r="Z451" s="203"/>
    </row>
    <row r="452">
      <c r="A452" s="262" t="s">
        <v>17</v>
      </c>
      <c r="B452" s="262" t="s">
        <v>85</v>
      </c>
      <c r="C452" s="262">
        <v>1366.0</v>
      </c>
      <c r="D452" s="262">
        <v>5.5251897</v>
      </c>
      <c r="E452" s="260">
        <f t="shared" si="21"/>
        <v>331.511382</v>
      </c>
      <c r="F452" s="132">
        <f t="shared" si="22"/>
        <v>0.2302162375</v>
      </c>
      <c r="G452" s="276" t="s">
        <v>884</v>
      </c>
      <c r="H452" s="131"/>
      <c r="I452" s="131"/>
      <c r="J452" s="131"/>
      <c r="K452" s="131"/>
      <c r="L452" s="131"/>
      <c r="M452" s="131"/>
      <c r="N452" s="131"/>
      <c r="O452" s="131"/>
      <c r="P452" s="131"/>
      <c r="Q452" s="131"/>
      <c r="R452" s="131"/>
      <c r="S452" s="131"/>
      <c r="T452" s="131"/>
      <c r="U452" s="131"/>
      <c r="V452" s="131"/>
      <c r="W452" s="131"/>
      <c r="X452" s="131"/>
      <c r="Y452" s="131"/>
      <c r="Z452" s="203"/>
    </row>
    <row r="453">
      <c r="A453" s="262" t="s">
        <v>17</v>
      </c>
      <c r="B453" s="262" t="s">
        <v>79</v>
      </c>
      <c r="C453" s="262">
        <v>265.0</v>
      </c>
      <c r="D453" s="262">
        <v>1.1702892</v>
      </c>
      <c r="E453" s="260">
        <f t="shared" si="21"/>
        <v>70.217352</v>
      </c>
      <c r="F453" s="132">
        <f t="shared" si="22"/>
        <v>0.04876205</v>
      </c>
      <c r="G453" s="276" t="s">
        <v>885</v>
      </c>
      <c r="H453" s="131"/>
      <c r="I453" s="131"/>
      <c r="J453" s="131"/>
      <c r="K453" s="131"/>
      <c r="L453" s="131"/>
      <c r="M453" s="131"/>
      <c r="N453" s="131"/>
      <c r="O453" s="131"/>
      <c r="P453" s="131"/>
      <c r="Q453" s="131"/>
      <c r="R453" s="131"/>
      <c r="S453" s="131"/>
      <c r="T453" s="131"/>
      <c r="U453" s="131"/>
      <c r="V453" s="131"/>
      <c r="W453" s="131"/>
      <c r="X453" s="131"/>
      <c r="Y453" s="131"/>
      <c r="Z453" s="203"/>
    </row>
    <row r="454">
      <c r="A454" s="262" t="s">
        <v>17</v>
      </c>
      <c r="B454" s="262" t="s">
        <v>18</v>
      </c>
      <c r="C454" s="262">
        <v>115.0</v>
      </c>
      <c r="D454" s="262">
        <v>0.5177903</v>
      </c>
      <c r="E454" s="260">
        <f t="shared" si="21"/>
        <v>31.067418</v>
      </c>
      <c r="F454" s="132">
        <f t="shared" si="22"/>
        <v>0.02157459583</v>
      </c>
      <c r="G454" s="276" t="s">
        <v>886</v>
      </c>
      <c r="H454" s="131"/>
      <c r="I454" s="131"/>
      <c r="J454" s="131"/>
      <c r="K454" s="131"/>
      <c r="L454" s="131"/>
      <c r="M454" s="131"/>
      <c r="N454" s="131"/>
      <c r="O454" s="131"/>
      <c r="P454" s="131"/>
      <c r="Q454" s="131"/>
      <c r="R454" s="131"/>
      <c r="S454" s="131"/>
      <c r="T454" s="131"/>
      <c r="U454" s="131"/>
      <c r="V454" s="131"/>
      <c r="W454" s="131"/>
      <c r="X454" s="131"/>
      <c r="Y454" s="131"/>
      <c r="Z454" s="203"/>
    </row>
    <row r="455">
      <c r="A455" s="262" t="s">
        <v>17</v>
      </c>
      <c r="B455" s="262" t="s">
        <v>23</v>
      </c>
      <c r="C455" s="262">
        <v>553.0</v>
      </c>
      <c r="D455" s="262">
        <v>2.3441375</v>
      </c>
      <c r="E455" s="260">
        <f t="shared" si="21"/>
        <v>140.64825</v>
      </c>
      <c r="F455" s="132">
        <f t="shared" si="22"/>
        <v>0.09767239583</v>
      </c>
      <c r="G455" s="276" t="s">
        <v>887</v>
      </c>
      <c r="H455" s="131"/>
      <c r="I455" s="131"/>
      <c r="J455" s="131"/>
      <c r="K455" s="131"/>
      <c r="L455" s="131"/>
      <c r="M455" s="131"/>
      <c r="N455" s="131"/>
      <c r="O455" s="131"/>
      <c r="P455" s="131"/>
      <c r="Q455" s="131"/>
      <c r="R455" s="131"/>
      <c r="S455" s="131"/>
      <c r="T455" s="131"/>
      <c r="U455" s="131"/>
      <c r="V455" s="131"/>
      <c r="W455" s="131"/>
      <c r="X455" s="131"/>
      <c r="Y455" s="131"/>
      <c r="Z455" s="203"/>
    </row>
    <row r="456">
      <c r="A456" s="262" t="s">
        <v>17</v>
      </c>
      <c r="B456" s="262" t="s">
        <v>86</v>
      </c>
      <c r="C456" s="262">
        <v>51.0</v>
      </c>
      <c r="D456" s="262">
        <v>0.2164844</v>
      </c>
      <c r="E456" s="260">
        <f t="shared" si="21"/>
        <v>12.989064</v>
      </c>
      <c r="F456" s="132">
        <f t="shared" si="22"/>
        <v>0.009020183333</v>
      </c>
      <c r="G456" s="276" t="s">
        <v>888</v>
      </c>
      <c r="H456" s="131"/>
      <c r="I456" s="131"/>
      <c r="J456" s="131"/>
      <c r="K456" s="131"/>
      <c r="L456" s="131"/>
      <c r="M456" s="131"/>
      <c r="N456" s="131"/>
      <c r="O456" s="131"/>
      <c r="P456" s="131"/>
      <c r="Q456" s="131"/>
      <c r="R456" s="131"/>
      <c r="S456" s="131"/>
      <c r="T456" s="131"/>
      <c r="U456" s="131"/>
      <c r="V456" s="131"/>
      <c r="W456" s="131"/>
      <c r="X456" s="131"/>
      <c r="Y456" s="131"/>
      <c r="Z456" s="203"/>
    </row>
    <row r="457">
      <c r="A457" s="262" t="s">
        <v>17</v>
      </c>
      <c r="B457" s="262" t="s">
        <v>87</v>
      </c>
      <c r="C457" s="262">
        <v>1591.0</v>
      </c>
      <c r="D457" s="262">
        <v>6.5172944</v>
      </c>
      <c r="E457" s="260">
        <f t="shared" si="21"/>
        <v>391.037664</v>
      </c>
      <c r="F457" s="132">
        <f t="shared" si="22"/>
        <v>0.2715539333</v>
      </c>
      <c r="G457" s="276" t="s">
        <v>889</v>
      </c>
      <c r="H457" s="131"/>
      <c r="I457" s="131"/>
      <c r="J457" s="131"/>
      <c r="K457" s="131"/>
      <c r="L457" s="131"/>
      <c r="M457" s="131"/>
      <c r="N457" s="131"/>
      <c r="O457" s="131"/>
      <c r="P457" s="131"/>
      <c r="Q457" s="131"/>
      <c r="R457" s="131"/>
      <c r="S457" s="131"/>
      <c r="T457" s="131"/>
      <c r="U457" s="131"/>
      <c r="V457" s="131"/>
      <c r="W457" s="131"/>
      <c r="X457" s="131"/>
      <c r="Y457" s="131"/>
      <c r="Z457" s="203"/>
    </row>
    <row r="458">
      <c r="A458" s="262" t="s">
        <v>88</v>
      </c>
      <c r="B458" s="262" t="s">
        <v>89</v>
      </c>
      <c r="C458" s="262">
        <v>444.0</v>
      </c>
      <c r="D458" s="262">
        <v>2.1367458</v>
      </c>
      <c r="E458" s="260">
        <f t="shared" si="21"/>
        <v>128.204748</v>
      </c>
      <c r="F458" s="132">
        <f t="shared" si="22"/>
        <v>0.089031075</v>
      </c>
      <c r="G458" s="276" t="s">
        <v>890</v>
      </c>
      <c r="H458" s="131"/>
      <c r="I458" s="131"/>
      <c r="J458" s="131"/>
      <c r="K458" s="131"/>
      <c r="L458" s="131"/>
      <c r="M458" s="131"/>
      <c r="N458" s="131"/>
      <c r="O458" s="131"/>
      <c r="P458" s="131"/>
      <c r="Q458" s="131"/>
      <c r="R458" s="131"/>
      <c r="S458" s="131"/>
      <c r="T458" s="131"/>
      <c r="U458" s="131"/>
      <c r="V458" s="131"/>
      <c r="W458" s="131"/>
      <c r="X458" s="131"/>
      <c r="Y458" s="131"/>
      <c r="Z458" s="203"/>
    </row>
    <row r="459">
      <c r="A459" s="262" t="s">
        <v>88</v>
      </c>
      <c r="B459" s="262" t="s">
        <v>90</v>
      </c>
      <c r="C459" s="262">
        <v>356.0</v>
      </c>
      <c r="D459" s="262">
        <v>1.7340761</v>
      </c>
      <c r="E459" s="260">
        <f t="shared" si="21"/>
        <v>104.044566</v>
      </c>
      <c r="F459" s="132">
        <f t="shared" si="22"/>
        <v>0.07225317083</v>
      </c>
      <c r="G459" s="276" t="s">
        <v>891</v>
      </c>
      <c r="H459" s="131"/>
      <c r="I459" s="131"/>
      <c r="J459" s="131"/>
      <c r="K459" s="131"/>
      <c r="L459" s="131"/>
      <c r="M459" s="131"/>
      <c r="N459" s="131"/>
      <c r="O459" s="131"/>
      <c r="P459" s="131"/>
      <c r="Q459" s="131"/>
      <c r="R459" s="131"/>
      <c r="S459" s="131"/>
      <c r="T459" s="131"/>
      <c r="U459" s="131"/>
      <c r="V459" s="131"/>
      <c r="W459" s="131"/>
      <c r="X459" s="131"/>
      <c r="Y459" s="131"/>
      <c r="Z459" s="203"/>
    </row>
    <row r="460">
      <c r="A460" s="262" t="s">
        <v>729</v>
      </c>
      <c r="B460" s="262" t="s">
        <v>78</v>
      </c>
      <c r="C460" s="262">
        <v>6858.0</v>
      </c>
      <c r="D460" s="262">
        <v>30.7647897</v>
      </c>
      <c r="E460" s="260">
        <f t="shared" si="21"/>
        <v>1845.887382</v>
      </c>
      <c r="F460" s="132">
        <f t="shared" si="22"/>
        <v>1.281866238</v>
      </c>
      <c r="G460" s="276" t="s">
        <v>892</v>
      </c>
      <c r="H460" s="131"/>
      <c r="I460" s="131"/>
      <c r="J460" s="131"/>
      <c r="K460" s="131"/>
      <c r="L460" s="131"/>
      <c r="M460" s="131"/>
      <c r="N460" s="131"/>
      <c r="O460" s="131"/>
      <c r="P460" s="131"/>
      <c r="Q460" s="131"/>
      <c r="R460" s="131"/>
      <c r="S460" s="131"/>
      <c r="T460" s="131"/>
      <c r="U460" s="131"/>
      <c r="V460" s="131"/>
      <c r="W460" s="131"/>
      <c r="X460" s="131"/>
      <c r="Y460" s="131"/>
      <c r="Z460" s="203"/>
    </row>
    <row r="461">
      <c r="A461" s="262" t="s">
        <v>729</v>
      </c>
      <c r="B461" s="262" t="s">
        <v>91</v>
      </c>
      <c r="C461" s="262">
        <v>6418.0</v>
      </c>
      <c r="D461" s="262">
        <v>29.5599219</v>
      </c>
      <c r="E461" s="260">
        <f t="shared" si="21"/>
        <v>1773.595314</v>
      </c>
      <c r="F461" s="132">
        <f t="shared" si="22"/>
        <v>1.231663413</v>
      </c>
      <c r="G461" s="276" t="s">
        <v>893</v>
      </c>
      <c r="H461" s="131"/>
      <c r="I461" s="131"/>
      <c r="J461" s="131"/>
      <c r="K461" s="131"/>
      <c r="L461" s="131"/>
      <c r="M461" s="131"/>
      <c r="N461" s="131"/>
      <c r="O461" s="131"/>
      <c r="P461" s="131"/>
      <c r="Q461" s="131"/>
      <c r="R461" s="131"/>
      <c r="S461" s="131"/>
      <c r="T461" s="131"/>
      <c r="U461" s="131"/>
      <c r="V461" s="131"/>
      <c r="W461" s="131"/>
      <c r="X461" s="131"/>
      <c r="Y461" s="131"/>
      <c r="Z461" s="203"/>
    </row>
    <row r="462">
      <c r="A462" s="262" t="s">
        <v>67</v>
      </c>
      <c r="B462" s="262" t="s">
        <v>426</v>
      </c>
      <c r="C462" s="262">
        <v>618.0</v>
      </c>
      <c r="D462" s="262">
        <v>3.1376325</v>
      </c>
      <c r="E462" s="260">
        <f t="shared" si="21"/>
        <v>188.25795</v>
      </c>
      <c r="F462" s="132">
        <f t="shared" si="22"/>
        <v>0.1307346875</v>
      </c>
      <c r="G462" s="276" t="s">
        <v>894</v>
      </c>
      <c r="H462" s="131"/>
      <c r="I462" s="131"/>
      <c r="J462" s="131"/>
      <c r="K462" s="131"/>
      <c r="L462" s="131"/>
      <c r="M462" s="131"/>
      <c r="N462" s="131"/>
      <c r="O462" s="131"/>
      <c r="P462" s="131"/>
      <c r="Q462" s="131"/>
      <c r="R462" s="131"/>
      <c r="S462" s="131"/>
      <c r="T462" s="131"/>
      <c r="U462" s="131"/>
      <c r="V462" s="131"/>
      <c r="W462" s="131"/>
      <c r="X462" s="131"/>
      <c r="Y462" s="131"/>
      <c r="Z462" s="203"/>
    </row>
    <row r="463">
      <c r="A463" s="262" t="s">
        <v>67</v>
      </c>
      <c r="B463" s="262" t="s">
        <v>93</v>
      </c>
      <c r="C463" s="262">
        <v>354.0</v>
      </c>
      <c r="D463" s="262">
        <v>1.8343358</v>
      </c>
      <c r="E463" s="260">
        <f t="shared" si="21"/>
        <v>110.060148</v>
      </c>
      <c r="F463" s="132">
        <f t="shared" si="22"/>
        <v>0.07643065833</v>
      </c>
      <c r="G463" s="276" t="s">
        <v>895</v>
      </c>
      <c r="H463" s="131"/>
      <c r="I463" s="131"/>
      <c r="J463" s="131"/>
      <c r="K463" s="131"/>
      <c r="L463" s="131"/>
      <c r="M463" s="131"/>
      <c r="N463" s="131"/>
      <c r="O463" s="131"/>
      <c r="P463" s="131"/>
      <c r="Q463" s="131"/>
      <c r="R463" s="131"/>
      <c r="S463" s="131"/>
      <c r="T463" s="131"/>
      <c r="U463" s="131"/>
      <c r="V463" s="131"/>
      <c r="W463" s="131"/>
      <c r="X463" s="131"/>
      <c r="Y463" s="131"/>
      <c r="Z463" s="203"/>
    </row>
    <row r="464">
      <c r="A464" s="262" t="s">
        <v>474</v>
      </c>
      <c r="B464" s="262" t="s">
        <v>94</v>
      </c>
      <c r="C464" s="262">
        <v>578.0</v>
      </c>
      <c r="D464" s="262">
        <v>2.5665964</v>
      </c>
      <c r="E464" s="260">
        <f t="shared" si="21"/>
        <v>153.995784</v>
      </c>
      <c r="F464" s="132">
        <f t="shared" si="22"/>
        <v>0.1069415167</v>
      </c>
      <c r="G464" s="276" t="s">
        <v>896</v>
      </c>
      <c r="H464" s="131"/>
      <c r="I464" s="131"/>
      <c r="J464" s="131"/>
      <c r="K464" s="131"/>
      <c r="L464" s="131"/>
      <c r="M464" s="131"/>
      <c r="N464" s="131"/>
      <c r="O464" s="131"/>
      <c r="P464" s="131"/>
      <c r="Q464" s="131"/>
      <c r="R464" s="131"/>
      <c r="S464" s="131"/>
      <c r="T464" s="131"/>
      <c r="U464" s="131"/>
      <c r="V464" s="131"/>
      <c r="W464" s="131"/>
      <c r="X464" s="131"/>
      <c r="Y464" s="131"/>
      <c r="Z464" s="203"/>
    </row>
    <row r="465">
      <c r="A465" s="262" t="s">
        <v>474</v>
      </c>
      <c r="B465" s="262" t="s">
        <v>95</v>
      </c>
      <c r="C465" s="262">
        <v>403.0</v>
      </c>
      <c r="D465" s="262">
        <v>2.0552275</v>
      </c>
      <c r="E465" s="260">
        <f t="shared" si="21"/>
        <v>123.31365</v>
      </c>
      <c r="F465" s="132">
        <f t="shared" si="22"/>
        <v>0.08563447917</v>
      </c>
      <c r="G465" s="276" t="s">
        <v>897</v>
      </c>
      <c r="H465" s="131"/>
      <c r="I465" s="131"/>
      <c r="J465" s="131"/>
      <c r="K465" s="131"/>
      <c r="L465" s="131"/>
      <c r="M465" s="131"/>
      <c r="N465" s="131"/>
      <c r="O465" s="131"/>
      <c r="P465" s="131"/>
      <c r="Q465" s="131"/>
      <c r="R465" s="131"/>
      <c r="S465" s="131"/>
      <c r="T465" s="131"/>
      <c r="U465" s="131"/>
      <c r="V465" s="131"/>
      <c r="W465" s="131"/>
      <c r="X465" s="131"/>
      <c r="Y465" s="131"/>
      <c r="Z465" s="203"/>
    </row>
    <row r="466">
      <c r="A466" s="262" t="s">
        <v>474</v>
      </c>
      <c r="B466" s="262" t="s">
        <v>96</v>
      </c>
      <c r="C466" s="262">
        <v>280.0</v>
      </c>
      <c r="D466" s="262">
        <v>1.3598592</v>
      </c>
      <c r="E466" s="260">
        <f t="shared" si="21"/>
        <v>81.591552</v>
      </c>
      <c r="F466" s="132">
        <f t="shared" si="22"/>
        <v>0.0566608</v>
      </c>
      <c r="G466" s="276" t="s">
        <v>898</v>
      </c>
      <c r="H466" s="131"/>
      <c r="I466" s="131"/>
      <c r="J466" s="131"/>
      <c r="K466" s="131"/>
      <c r="L466" s="131"/>
      <c r="M466" s="131"/>
      <c r="N466" s="131"/>
      <c r="O466" s="131"/>
      <c r="P466" s="131"/>
      <c r="Q466" s="131"/>
      <c r="R466" s="131"/>
      <c r="S466" s="131"/>
      <c r="T466" s="131"/>
      <c r="U466" s="131"/>
      <c r="V466" s="131"/>
      <c r="W466" s="131"/>
      <c r="X466" s="131"/>
      <c r="Y466" s="131"/>
      <c r="Z466" s="203"/>
    </row>
    <row r="467">
      <c r="A467" s="262" t="s">
        <v>474</v>
      </c>
      <c r="B467" s="262" t="s">
        <v>92</v>
      </c>
      <c r="C467" s="262">
        <v>595.0</v>
      </c>
      <c r="D467" s="262">
        <v>2.3723317</v>
      </c>
      <c r="E467" s="260">
        <f t="shared" si="21"/>
        <v>142.339902</v>
      </c>
      <c r="F467" s="132">
        <f t="shared" si="22"/>
        <v>0.09884715417</v>
      </c>
      <c r="G467" s="276" t="s">
        <v>899</v>
      </c>
      <c r="H467" s="131"/>
      <c r="I467" s="131"/>
      <c r="J467" s="131"/>
      <c r="K467" s="131"/>
      <c r="L467" s="131"/>
      <c r="M467" s="131"/>
      <c r="N467" s="131"/>
      <c r="O467" s="131"/>
      <c r="P467" s="131"/>
      <c r="Q467" s="131"/>
      <c r="R467" s="131"/>
      <c r="S467" s="131"/>
      <c r="T467" s="131"/>
      <c r="U467" s="131"/>
      <c r="V467" s="131"/>
      <c r="W467" s="131"/>
      <c r="X467" s="131"/>
      <c r="Y467" s="131"/>
      <c r="Z467" s="203"/>
    </row>
    <row r="468">
      <c r="A468" s="262" t="s">
        <v>474</v>
      </c>
      <c r="B468" s="262" t="s">
        <v>97</v>
      </c>
      <c r="C468" s="262">
        <v>607.0</v>
      </c>
      <c r="D468" s="262">
        <v>2.9942453</v>
      </c>
      <c r="E468" s="260">
        <f t="shared" si="21"/>
        <v>179.654718</v>
      </c>
      <c r="F468" s="132">
        <f t="shared" si="22"/>
        <v>0.1247602208</v>
      </c>
      <c r="G468" s="276" t="s">
        <v>900</v>
      </c>
      <c r="H468" s="131"/>
      <c r="I468" s="131"/>
      <c r="J468" s="131"/>
      <c r="K468" s="131"/>
      <c r="L468" s="131"/>
      <c r="M468" s="131"/>
      <c r="N468" s="131"/>
      <c r="O468" s="131"/>
      <c r="P468" s="131"/>
      <c r="Q468" s="131"/>
      <c r="R468" s="131"/>
      <c r="S468" s="131"/>
      <c r="T468" s="131"/>
      <c r="U468" s="131"/>
      <c r="V468" s="131"/>
      <c r="W468" s="131"/>
      <c r="X468" s="131"/>
      <c r="Y468" s="131"/>
      <c r="Z468" s="203"/>
    </row>
    <row r="469">
      <c r="A469" s="262" t="s">
        <v>474</v>
      </c>
      <c r="B469" s="262" t="s">
        <v>57</v>
      </c>
      <c r="C469" s="262">
        <v>295.0</v>
      </c>
      <c r="D469" s="262">
        <v>1.3342136</v>
      </c>
      <c r="E469" s="260">
        <f t="shared" si="21"/>
        <v>80.052816</v>
      </c>
      <c r="F469" s="132">
        <f t="shared" si="22"/>
        <v>0.05559223333</v>
      </c>
      <c r="G469" s="276" t="s">
        <v>901</v>
      </c>
      <c r="H469" s="131"/>
      <c r="I469" s="131"/>
      <c r="J469" s="131"/>
      <c r="K469" s="131"/>
      <c r="L469" s="131"/>
      <c r="M469" s="131"/>
      <c r="N469" s="131"/>
      <c r="O469" s="131"/>
      <c r="P469" s="131"/>
      <c r="Q469" s="131"/>
      <c r="R469" s="131"/>
      <c r="S469" s="131"/>
      <c r="T469" s="131"/>
      <c r="U469" s="131"/>
      <c r="V469" s="131"/>
      <c r="W469" s="131"/>
      <c r="X469" s="131"/>
      <c r="Y469" s="131"/>
      <c r="Z469" s="203"/>
    </row>
    <row r="470">
      <c r="A470" s="262" t="s">
        <v>474</v>
      </c>
      <c r="B470" s="262" t="s">
        <v>98</v>
      </c>
      <c r="C470" s="262">
        <v>66.0</v>
      </c>
      <c r="D470" s="262">
        <v>0.3349717</v>
      </c>
      <c r="E470" s="260">
        <f t="shared" si="21"/>
        <v>20.098302</v>
      </c>
      <c r="F470" s="132">
        <f t="shared" si="22"/>
        <v>0.01395715417</v>
      </c>
      <c r="G470" s="276" t="s">
        <v>902</v>
      </c>
      <c r="H470" s="131"/>
      <c r="I470" s="131"/>
      <c r="J470" s="131"/>
      <c r="K470" s="131"/>
      <c r="L470" s="131"/>
      <c r="M470" s="131"/>
      <c r="N470" s="131"/>
      <c r="O470" s="131"/>
      <c r="P470" s="131"/>
      <c r="Q470" s="131"/>
      <c r="R470" s="131"/>
      <c r="S470" s="131"/>
      <c r="T470" s="131"/>
      <c r="U470" s="131"/>
      <c r="V470" s="131"/>
      <c r="W470" s="131"/>
      <c r="X470" s="131"/>
      <c r="Y470" s="131"/>
      <c r="Z470" s="203"/>
    </row>
    <row r="471">
      <c r="A471" s="262" t="s">
        <v>474</v>
      </c>
      <c r="B471" s="262" t="s">
        <v>428</v>
      </c>
      <c r="C471" s="262">
        <v>65.0</v>
      </c>
      <c r="D471" s="262">
        <v>0.3393025</v>
      </c>
      <c r="E471" s="260">
        <f t="shared" si="21"/>
        <v>20.35815</v>
      </c>
      <c r="F471" s="132">
        <f t="shared" si="22"/>
        <v>0.01413760417</v>
      </c>
      <c r="G471" s="276" t="s">
        <v>903</v>
      </c>
      <c r="H471" s="131"/>
      <c r="I471" s="131"/>
      <c r="J471" s="131"/>
      <c r="K471" s="131"/>
      <c r="L471" s="131"/>
      <c r="M471" s="131"/>
      <c r="N471" s="131"/>
      <c r="O471" s="131"/>
      <c r="P471" s="131"/>
      <c r="Q471" s="131"/>
      <c r="R471" s="131"/>
      <c r="S471" s="131"/>
      <c r="T471" s="131"/>
      <c r="U471" s="131"/>
      <c r="V471" s="131"/>
      <c r="W471" s="131"/>
      <c r="X471" s="131"/>
      <c r="Y471" s="131"/>
      <c r="Z471" s="203"/>
    </row>
    <row r="472">
      <c r="A472" s="262" t="s">
        <v>474</v>
      </c>
      <c r="B472" s="262" t="s">
        <v>99</v>
      </c>
      <c r="C472" s="262">
        <v>2947.0</v>
      </c>
      <c r="D472" s="262">
        <v>13.0063389</v>
      </c>
      <c r="E472" s="260">
        <f t="shared" si="21"/>
        <v>780.380334</v>
      </c>
      <c r="F472" s="132">
        <f t="shared" si="22"/>
        <v>0.5419307875</v>
      </c>
      <c r="G472" s="276" t="s">
        <v>904</v>
      </c>
      <c r="H472" s="131"/>
      <c r="I472" s="131"/>
      <c r="J472" s="131"/>
      <c r="K472" s="131"/>
      <c r="L472" s="131"/>
      <c r="M472" s="131"/>
      <c r="N472" s="131"/>
      <c r="O472" s="131"/>
      <c r="P472" s="131"/>
      <c r="Q472" s="131"/>
      <c r="R472" s="131"/>
      <c r="S472" s="131"/>
      <c r="T472" s="131"/>
      <c r="U472" s="131"/>
      <c r="V472" s="131"/>
      <c r="W472" s="131"/>
      <c r="X472" s="131"/>
      <c r="Y472" s="131"/>
      <c r="Z472" s="203"/>
    </row>
    <row r="473">
      <c r="A473" s="262" t="s">
        <v>474</v>
      </c>
      <c r="B473" s="262" t="s">
        <v>61</v>
      </c>
      <c r="C473" s="262">
        <v>760.0</v>
      </c>
      <c r="D473" s="262">
        <v>3.6598725</v>
      </c>
      <c r="E473" s="260">
        <f t="shared" si="21"/>
        <v>219.59235</v>
      </c>
      <c r="F473" s="132">
        <f t="shared" si="22"/>
        <v>0.1524946875</v>
      </c>
      <c r="G473" s="276" t="s">
        <v>905</v>
      </c>
      <c r="H473" s="131"/>
      <c r="I473" s="131"/>
      <c r="J473" s="131"/>
      <c r="K473" s="131"/>
      <c r="L473" s="131"/>
      <c r="M473" s="131"/>
      <c r="N473" s="131"/>
      <c r="O473" s="131"/>
      <c r="P473" s="131"/>
      <c r="Q473" s="131"/>
      <c r="R473" s="131"/>
      <c r="S473" s="131"/>
      <c r="T473" s="131"/>
      <c r="U473" s="131"/>
      <c r="V473" s="131"/>
      <c r="W473" s="131"/>
      <c r="X473" s="131"/>
      <c r="Y473" s="131"/>
      <c r="Z473" s="203"/>
    </row>
    <row r="474">
      <c r="A474" s="262" t="s">
        <v>429</v>
      </c>
      <c r="B474" s="262" t="s">
        <v>430</v>
      </c>
      <c r="C474" s="262">
        <v>44.0</v>
      </c>
      <c r="D474" s="262">
        <v>0.1776528</v>
      </c>
      <c r="E474" s="260">
        <f t="shared" si="21"/>
        <v>10.659168</v>
      </c>
      <c r="F474" s="132">
        <f t="shared" si="22"/>
        <v>0.0074022</v>
      </c>
      <c r="G474" s="276" t="s">
        <v>906</v>
      </c>
      <c r="H474" s="131"/>
      <c r="I474" s="131"/>
      <c r="J474" s="131"/>
      <c r="K474" s="131"/>
      <c r="L474" s="131"/>
      <c r="M474" s="131"/>
      <c r="N474" s="131"/>
      <c r="O474" s="131"/>
      <c r="P474" s="131"/>
      <c r="Q474" s="131"/>
      <c r="R474" s="131"/>
      <c r="S474" s="131"/>
      <c r="T474" s="131"/>
      <c r="U474" s="131"/>
      <c r="V474" s="131"/>
      <c r="W474" s="131"/>
      <c r="X474" s="131"/>
      <c r="Y474" s="131"/>
      <c r="Z474" s="203"/>
    </row>
    <row r="475">
      <c r="A475" s="262" t="s">
        <v>429</v>
      </c>
      <c r="B475" s="262" t="s">
        <v>101</v>
      </c>
      <c r="C475" s="262">
        <v>116.0</v>
      </c>
      <c r="D475" s="262">
        <v>0.4467131</v>
      </c>
      <c r="E475" s="260">
        <f t="shared" si="21"/>
        <v>26.802786</v>
      </c>
      <c r="F475" s="132">
        <f t="shared" si="22"/>
        <v>0.01861304583</v>
      </c>
      <c r="G475" s="276" t="s">
        <v>907</v>
      </c>
      <c r="H475" s="131"/>
      <c r="I475" s="131"/>
      <c r="J475" s="131"/>
      <c r="K475" s="131"/>
      <c r="L475" s="131"/>
      <c r="M475" s="131"/>
      <c r="N475" s="131"/>
      <c r="O475" s="131"/>
      <c r="P475" s="131"/>
      <c r="Q475" s="131"/>
      <c r="R475" s="131"/>
      <c r="S475" s="131"/>
      <c r="T475" s="131"/>
      <c r="U475" s="131"/>
      <c r="V475" s="131"/>
      <c r="W475" s="131"/>
      <c r="X475" s="131"/>
      <c r="Y475" s="131"/>
      <c r="Z475" s="203"/>
    </row>
    <row r="476">
      <c r="A476" s="262" t="s">
        <v>429</v>
      </c>
      <c r="B476" s="262" t="s">
        <v>102</v>
      </c>
      <c r="C476" s="262">
        <v>64.0</v>
      </c>
      <c r="D476" s="262">
        <v>0.3224647</v>
      </c>
      <c r="E476" s="260">
        <f t="shared" si="21"/>
        <v>19.347882</v>
      </c>
      <c r="F476" s="132">
        <f t="shared" si="22"/>
        <v>0.01343602917</v>
      </c>
      <c r="G476" s="276" t="s">
        <v>908</v>
      </c>
      <c r="H476" s="131"/>
      <c r="I476" s="131"/>
      <c r="J476" s="131"/>
      <c r="K476" s="131"/>
      <c r="L476" s="131"/>
      <c r="M476" s="131"/>
      <c r="N476" s="131"/>
      <c r="O476" s="131"/>
      <c r="P476" s="131"/>
      <c r="Q476" s="131"/>
      <c r="R476" s="131"/>
      <c r="S476" s="131"/>
      <c r="T476" s="131"/>
      <c r="U476" s="131"/>
      <c r="V476" s="131"/>
      <c r="W476" s="131"/>
      <c r="X476" s="131"/>
      <c r="Y476" s="131"/>
      <c r="Z476" s="203"/>
    </row>
    <row r="477">
      <c r="A477" s="262" t="s">
        <v>429</v>
      </c>
      <c r="B477" s="262" t="s">
        <v>29</v>
      </c>
      <c r="C477" s="262">
        <v>2246.0</v>
      </c>
      <c r="D477" s="262">
        <v>9.903385</v>
      </c>
      <c r="E477" s="260">
        <f t="shared" si="21"/>
        <v>594.2031</v>
      </c>
      <c r="F477" s="132">
        <f t="shared" si="22"/>
        <v>0.4126410417</v>
      </c>
      <c r="G477" s="276" t="s">
        <v>909</v>
      </c>
      <c r="H477" s="131"/>
      <c r="I477" s="131"/>
      <c r="J477" s="131"/>
      <c r="K477" s="131"/>
      <c r="L477" s="131"/>
      <c r="M477" s="131"/>
      <c r="N477" s="131"/>
      <c r="O477" s="131"/>
      <c r="P477" s="131"/>
      <c r="Q477" s="131"/>
      <c r="R477" s="131"/>
      <c r="S477" s="131"/>
      <c r="T477" s="131"/>
      <c r="U477" s="131"/>
      <c r="V477" s="131"/>
      <c r="W477" s="131"/>
      <c r="X477" s="131"/>
      <c r="Y477" s="131"/>
      <c r="Z477" s="203"/>
    </row>
    <row r="478">
      <c r="A478" s="262" t="s">
        <v>429</v>
      </c>
      <c r="B478" s="262" t="s">
        <v>103</v>
      </c>
      <c r="C478" s="262">
        <v>640.0</v>
      </c>
      <c r="D478" s="262">
        <v>2.9978933</v>
      </c>
      <c r="E478" s="260">
        <f t="shared" si="21"/>
        <v>179.873598</v>
      </c>
      <c r="F478" s="132">
        <f t="shared" si="22"/>
        <v>0.1249122208</v>
      </c>
      <c r="G478" s="276" t="s">
        <v>910</v>
      </c>
      <c r="H478" s="131"/>
      <c r="I478" s="131"/>
      <c r="J478" s="131"/>
      <c r="K478" s="131"/>
      <c r="L478" s="131"/>
      <c r="M478" s="131"/>
      <c r="N478" s="131"/>
      <c r="O478" s="131"/>
      <c r="P478" s="131"/>
      <c r="Q478" s="131"/>
      <c r="R478" s="131"/>
      <c r="S478" s="131"/>
      <c r="T478" s="131"/>
      <c r="U478" s="131"/>
      <c r="V478" s="131"/>
      <c r="W478" s="131"/>
      <c r="X478" s="131"/>
      <c r="Y478" s="131"/>
      <c r="Z478" s="203"/>
    </row>
    <row r="479">
      <c r="A479" s="262" t="s">
        <v>429</v>
      </c>
      <c r="B479" s="262" t="s">
        <v>431</v>
      </c>
      <c r="C479" s="262">
        <v>822.0</v>
      </c>
      <c r="D479" s="262">
        <v>3.8076075</v>
      </c>
      <c r="E479" s="260">
        <f t="shared" si="21"/>
        <v>228.45645</v>
      </c>
      <c r="F479" s="132">
        <f t="shared" si="22"/>
        <v>0.1586503125</v>
      </c>
      <c r="G479" s="276" t="s">
        <v>911</v>
      </c>
      <c r="H479" s="131"/>
      <c r="I479" s="131"/>
      <c r="J479" s="131"/>
      <c r="K479" s="131"/>
      <c r="L479" s="131"/>
      <c r="M479" s="131"/>
      <c r="N479" s="131"/>
      <c r="O479" s="131"/>
      <c r="P479" s="131"/>
      <c r="Q479" s="131"/>
      <c r="R479" s="131"/>
      <c r="S479" s="131"/>
      <c r="T479" s="131"/>
      <c r="U479" s="131"/>
      <c r="V479" s="131"/>
      <c r="W479" s="131"/>
      <c r="X479" s="131"/>
      <c r="Y479" s="131"/>
      <c r="Z479" s="203"/>
    </row>
    <row r="480">
      <c r="A480" s="262" t="s">
        <v>429</v>
      </c>
      <c r="B480" s="262" t="s">
        <v>432</v>
      </c>
      <c r="C480" s="262">
        <v>1322.0</v>
      </c>
      <c r="D480" s="262">
        <v>5.8222086</v>
      </c>
      <c r="E480" s="260">
        <f t="shared" si="21"/>
        <v>349.332516</v>
      </c>
      <c r="F480" s="132">
        <f t="shared" si="22"/>
        <v>0.242592025</v>
      </c>
      <c r="G480" s="276" t="s">
        <v>912</v>
      </c>
      <c r="H480" s="131"/>
      <c r="I480" s="131"/>
      <c r="J480" s="131"/>
      <c r="K480" s="131"/>
      <c r="L480" s="131"/>
      <c r="M480" s="131"/>
      <c r="N480" s="131"/>
      <c r="O480" s="131"/>
      <c r="P480" s="131"/>
      <c r="Q480" s="131"/>
      <c r="R480" s="131"/>
      <c r="S480" s="131"/>
      <c r="T480" s="131"/>
      <c r="U480" s="131"/>
      <c r="V480" s="131"/>
      <c r="W480" s="131"/>
      <c r="X480" s="131"/>
      <c r="Y480" s="131"/>
      <c r="Z480" s="203"/>
    </row>
    <row r="481">
      <c r="A481" s="262" t="s">
        <v>429</v>
      </c>
      <c r="B481" s="262" t="s">
        <v>105</v>
      </c>
      <c r="C481" s="262">
        <v>491.0</v>
      </c>
      <c r="D481" s="262">
        <v>2.1652147</v>
      </c>
      <c r="E481" s="260">
        <f t="shared" si="21"/>
        <v>129.912882</v>
      </c>
      <c r="F481" s="132">
        <f t="shared" si="22"/>
        <v>0.09021727917</v>
      </c>
      <c r="G481" s="276" t="s">
        <v>913</v>
      </c>
      <c r="H481" s="131"/>
      <c r="I481" s="131"/>
      <c r="J481" s="131"/>
      <c r="K481" s="131"/>
      <c r="L481" s="131"/>
      <c r="M481" s="131"/>
      <c r="N481" s="131"/>
      <c r="O481" s="131"/>
      <c r="P481" s="131"/>
      <c r="Q481" s="131"/>
      <c r="R481" s="131"/>
      <c r="S481" s="131"/>
      <c r="T481" s="131"/>
      <c r="U481" s="131"/>
      <c r="V481" s="131"/>
      <c r="W481" s="131"/>
      <c r="X481" s="131"/>
      <c r="Y481" s="131"/>
      <c r="Z481" s="203"/>
    </row>
    <row r="482">
      <c r="A482" s="131"/>
      <c r="B482" s="131"/>
      <c r="C482" s="131">
        <f>sum(C402:C481)</f>
        <v>84781</v>
      </c>
      <c r="D482" s="212" t="s">
        <v>484</v>
      </c>
      <c r="E482" s="222">
        <f>SUM(E402:E481)</f>
        <v>23480.92265</v>
      </c>
      <c r="F482" s="132">
        <f t="shared" si="22"/>
        <v>16.30619628</v>
      </c>
      <c r="G482" s="211"/>
      <c r="H482" s="131"/>
      <c r="I482" s="131"/>
      <c r="J482" s="131"/>
      <c r="K482" s="131"/>
      <c r="L482" s="131"/>
      <c r="M482" s="131"/>
      <c r="N482" s="131"/>
      <c r="O482" s="131"/>
      <c r="P482" s="131"/>
      <c r="Q482" s="131"/>
      <c r="R482" s="131"/>
      <c r="S482" s="131"/>
      <c r="T482" s="131"/>
      <c r="U482" s="131"/>
      <c r="V482" s="131"/>
      <c r="W482" s="131"/>
      <c r="X482" s="131"/>
      <c r="Y482" s="131"/>
      <c r="Z482" s="203"/>
    </row>
    <row r="483">
      <c r="A483" s="131"/>
      <c r="B483" s="131"/>
      <c r="C483" s="131"/>
      <c r="D483" s="131"/>
      <c r="E483" s="222"/>
      <c r="F483" s="132"/>
      <c r="G483" s="211"/>
      <c r="H483" s="131"/>
      <c r="I483" s="131"/>
      <c r="J483" s="131"/>
      <c r="K483" s="131"/>
      <c r="L483" s="131"/>
      <c r="M483" s="131"/>
      <c r="N483" s="131"/>
      <c r="O483" s="131"/>
      <c r="P483" s="131"/>
      <c r="Q483" s="131"/>
      <c r="R483" s="131"/>
      <c r="S483" s="131"/>
      <c r="T483" s="131"/>
      <c r="U483" s="131"/>
      <c r="V483" s="131"/>
      <c r="W483" s="131"/>
      <c r="X483" s="131"/>
      <c r="Y483" s="131"/>
      <c r="Z483" s="203"/>
    </row>
    <row r="484">
      <c r="A484" s="131"/>
      <c r="B484" s="131"/>
      <c r="C484" s="131"/>
      <c r="D484" s="131"/>
      <c r="E484" s="222"/>
      <c r="F484" s="132"/>
      <c r="G484" s="211"/>
      <c r="H484" s="131"/>
      <c r="I484" s="131"/>
      <c r="J484" s="131"/>
      <c r="K484" s="131"/>
      <c r="L484" s="131"/>
      <c r="M484" s="131"/>
      <c r="N484" s="131"/>
      <c r="O484" s="131"/>
      <c r="P484" s="131"/>
      <c r="Q484" s="131"/>
      <c r="R484" s="131"/>
      <c r="S484" s="131"/>
      <c r="T484" s="131"/>
      <c r="U484" s="131"/>
      <c r="V484" s="131"/>
      <c r="W484" s="131"/>
      <c r="X484" s="131"/>
      <c r="Y484" s="131"/>
      <c r="Z484" s="203"/>
    </row>
    <row r="485">
      <c r="A485" s="277" t="s">
        <v>914</v>
      </c>
      <c r="B485" s="131"/>
      <c r="C485" s="131"/>
      <c r="D485" s="131"/>
      <c r="E485" s="222"/>
      <c r="F485" s="132"/>
      <c r="G485" s="211"/>
      <c r="H485" s="131"/>
      <c r="I485" s="131"/>
      <c r="J485" s="131"/>
      <c r="K485" s="131"/>
      <c r="L485" s="131"/>
      <c r="M485" s="131"/>
      <c r="N485" s="131"/>
      <c r="O485" s="131"/>
      <c r="P485" s="131"/>
      <c r="Q485" s="131"/>
      <c r="R485" s="131"/>
      <c r="S485" s="131"/>
      <c r="T485" s="131"/>
      <c r="U485" s="131"/>
      <c r="V485" s="131"/>
      <c r="W485" s="131"/>
      <c r="X485" s="131"/>
      <c r="Y485" s="131"/>
      <c r="Z485" s="203"/>
    </row>
    <row r="486">
      <c r="A486" s="131"/>
      <c r="B486" s="131"/>
      <c r="C486" s="131"/>
      <c r="D486" s="131"/>
      <c r="E486" s="222"/>
      <c r="F486" s="132"/>
      <c r="G486" s="211"/>
      <c r="H486" s="131"/>
      <c r="I486" s="131"/>
      <c r="J486" s="131"/>
      <c r="K486" s="131"/>
      <c r="L486" s="131"/>
      <c r="M486" s="131"/>
      <c r="N486" s="131"/>
      <c r="O486" s="131"/>
      <c r="P486" s="131"/>
      <c r="Q486" s="131"/>
      <c r="R486" s="131"/>
      <c r="S486" s="131"/>
      <c r="T486" s="131"/>
      <c r="U486" s="131"/>
      <c r="V486" s="131"/>
      <c r="W486" s="131"/>
      <c r="X486" s="131"/>
      <c r="Y486" s="131"/>
      <c r="Z486" s="203"/>
    </row>
    <row r="487">
      <c r="A487" s="268" t="s">
        <v>0</v>
      </c>
      <c r="B487" s="268" t="s">
        <v>362</v>
      </c>
      <c r="C487" s="239" t="s">
        <v>534</v>
      </c>
      <c r="D487" s="239" t="s">
        <v>420</v>
      </c>
      <c r="E487" s="259" t="s">
        <v>3</v>
      </c>
      <c r="F487" s="214" t="s">
        <v>470</v>
      </c>
      <c r="G487" s="140" t="s">
        <v>471</v>
      </c>
      <c r="H487" s="131"/>
      <c r="I487" s="131"/>
      <c r="J487" s="131"/>
      <c r="K487" s="131"/>
      <c r="L487" s="131"/>
      <c r="M487" s="131"/>
      <c r="N487" s="131"/>
      <c r="O487" s="131"/>
      <c r="P487" s="131"/>
      <c r="Q487" s="131"/>
      <c r="R487" s="131"/>
      <c r="S487" s="131"/>
      <c r="T487" s="131"/>
      <c r="U487" s="131"/>
      <c r="V487" s="131"/>
      <c r="W487" s="131"/>
      <c r="X487" s="131"/>
      <c r="Y487" s="131"/>
      <c r="Z487" s="131"/>
    </row>
    <row r="488">
      <c r="A488" s="262" t="s">
        <v>611</v>
      </c>
      <c r="B488" s="262" t="s">
        <v>48</v>
      </c>
      <c r="C488" s="262">
        <v>1562.0</v>
      </c>
      <c r="D488" s="262">
        <v>7.3181</v>
      </c>
      <c r="E488" s="260">
        <f t="shared" ref="E488:E561" si="23">D488*60</f>
        <v>439.086</v>
      </c>
      <c r="F488" s="132">
        <f t="shared" ref="F488:F562" si="24">E488/24/60</f>
        <v>0.3049208333</v>
      </c>
      <c r="G488" s="276" t="s">
        <v>915</v>
      </c>
      <c r="H488" s="131"/>
      <c r="I488" s="131"/>
      <c r="J488" s="131"/>
      <c r="K488" s="131"/>
      <c r="L488" s="131"/>
      <c r="M488" s="131"/>
      <c r="N488" s="131"/>
      <c r="O488" s="131"/>
      <c r="P488" s="131"/>
      <c r="Q488" s="131"/>
      <c r="R488" s="131"/>
      <c r="S488" s="131"/>
      <c r="T488" s="131"/>
      <c r="U488" s="131"/>
      <c r="V488" s="131"/>
      <c r="W488" s="131"/>
      <c r="X488" s="131"/>
      <c r="Y488" s="131"/>
      <c r="Z488" s="131"/>
    </row>
    <row r="489">
      <c r="A489" s="262" t="s">
        <v>611</v>
      </c>
      <c r="B489" s="262" t="s">
        <v>49</v>
      </c>
      <c r="C489" s="262">
        <v>1085.0</v>
      </c>
      <c r="D489" s="262">
        <v>5.6794</v>
      </c>
      <c r="E489" s="260">
        <f t="shared" si="23"/>
        <v>340.764</v>
      </c>
      <c r="F489" s="132">
        <f t="shared" si="24"/>
        <v>0.2366416667</v>
      </c>
      <c r="G489" s="276" t="s">
        <v>916</v>
      </c>
      <c r="H489" s="131"/>
      <c r="I489" s="131"/>
      <c r="J489" s="131"/>
      <c r="K489" s="131"/>
      <c r="L489" s="131"/>
      <c r="M489" s="131"/>
      <c r="N489" s="131"/>
      <c r="O489" s="131"/>
      <c r="P489" s="131"/>
      <c r="Q489" s="131"/>
      <c r="R489" s="131"/>
      <c r="S489" s="131"/>
      <c r="T489" s="131"/>
      <c r="U489" s="131"/>
      <c r="V489" s="131"/>
      <c r="W489" s="131"/>
      <c r="X489" s="131"/>
      <c r="Y489" s="131"/>
      <c r="Z489" s="131"/>
    </row>
    <row r="490">
      <c r="A490" s="262" t="s">
        <v>611</v>
      </c>
      <c r="B490" s="262" t="s">
        <v>50</v>
      </c>
      <c r="C490" s="262">
        <v>1028.0</v>
      </c>
      <c r="D490" s="262">
        <v>5.0394</v>
      </c>
      <c r="E490" s="260">
        <f t="shared" si="23"/>
        <v>302.364</v>
      </c>
      <c r="F490" s="132">
        <f t="shared" si="24"/>
        <v>0.209975</v>
      </c>
      <c r="G490" s="276" t="s">
        <v>917</v>
      </c>
      <c r="H490" s="131"/>
      <c r="I490" s="131"/>
      <c r="J490" s="131"/>
      <c r="K490" s="131"/>
      <c r="L490" s="131"/>
      <c r="M490" s="131"/>
      <c r="N490" s="131"/>
      <c r="O490" s="131"/>
      <c r="P490" s="131"/>
      <c r="Q490" s="131"/>
      <c r="R490" s="131"/>
      <c r="S490" s="131"/>
      <c r="T490" s="131"/>
      <c r="U490" s="131"/>
      <c r="V490" s="131"/>
      <c r="W490" s="131"/>
      <c r="X490" s="131"/>
      <c r="Y490" s="131"/>
      <c r="Z490" s="131"/>
    </row>
    <row r="491">
      <c r="A491" s="262" t="s">
        <v>611</v>
      </c>
      <c r="B491" s="262" t="s">
        <v>51</v>
      </c>
      <c r="C491" s="262">
        <v>780.0</v>
      </c>
      <c r="D491" s="262">
        <v>4.1</v>
      </c>
      <c r="E491" s="260">
        <f t="shared" si="23"/>
        <v>246</v>
      </c>
      <c r="F491" s="132">
        <f t="shared" si="24"/>
        <v>0.1708333333</v>
      </c>
      <c r="G491" s="276" t="s">
        <v>918</v>
      </c>
      <c r="H491" s="131"/>
      <c r="I491" s="131"/>
      <c r="J491" s="131"/>
      <c r="K491" s="131"/>
      <c r="L491" s="131"/>
      <c r="M491" s="131"/>
      <c r="N491" s="131"/>
      <c r="O491" s="131"/>
      <c r="P491" s="131"/>
      <c r="Q491" s="131"/>
      <c r="R491" s="131"/>
      <c r="S491" s="131"/>
      <c r="T491" s="131"/>
      <c r="U491" s="131"/>
      <c r="V491" s="131"/>
      <c r="W491" s="131"/>
      <c r="X491" s="131"/>
      <c r="Y491" s="131"/>
      <c r="Z491" s="131"/>
    </row>
    <row r="492">
      <c r="A492" s="262" t="s">
        <v>611</v>
      </c>
      <c r="B492" s="262" t="s">
        <v>52</v>
      </c>
      <c r="C492" s="262">
        <v>177.0</v>
      </c>
      <c r="D492" s="262">
        <v>0.8972</v>
      </c>
      <c r="E492" s="260">
        <f t="shared" si="23"/>
        <v>53.832</v>
      </c>
      <c r="F492" s="132">
        <f t="shared" si="24"/>
        <v>0.03738333333</v>
      </c>
      <c r="G492" s="276" t="s">
        <v>919</v>
      </c>
      <c r="H492" s="131"/>
      <c r="I492" s="131"/>
      <c r="J492" s="131"/>
      <c r="K492" s="131"/>
      <c r="L492" s="131"/>
      <c r="M492" s="131"/>
      <c r="N492" s="131"/>
      <c r="O492" s="131"/>
      <c r="P492" s="131"/>
      <c r="Q492" s="131"/>
      <c r="R492" s="131"/>
      <c r="S492" s="131"/>
      <c r="T492" s="131"/>
      <c r="U492" s="131"/>
      <c r="V492" s="131"/>
      <c r="W492" s="131"/>
      <c r="X492" s="131"/>
      <c r="Y492" s="131"/>
      <c r="Z492" s="131"/>
    </row>
    <row r="493">
      <c r="A493" s="262" t="s">
        <v>611</v>
      </c>
      <c r="B493" s="262" t="s">
        <v>53</v>
      </c>
      <c r="C493" s="262">
        <v>657.0</v>
      </c>
      <c r="D493" s="262">
        <v>3.3183</v>
      </c>
      <c r="E493" s="260">
        <f t="shared" si="23"/>
        <v>199.098</v>
      </c>
      <c r="F493" s="132">
        <f t="shared" si="24"/>
        <v>0.1382625</v>
      </c>
      <c r="G493" s="276" t="s">
        <v>920</v>
      </c>
      <c r="H493" s="131"/>
      <c r="I493" s="131"/>
      <c r="J493" s="131"/>
      <c r="K493" s="131"/>
      <c r="L493" s="131"/>
      <c r="M493" s="131"/>
      <c r="N493" s="131"/>
      <c r="O493" s="131"/>
      <c r="P493" s="131"/>
      <c r="Q493" s="131"/>
      <c r="R493" s="131"/>
      <c r="S493" s="131"/>
      <c r="T493" s="131"/>
      <c r="U493" s="131"/>
      <c r="V493" s="131"/>
      <c r="W493" s="131"/>
      <c r="X493" s="131"/>
      <c r="Y493" s="131"/>
      <c r="Z493" s="131"/>
    </row>
    <row r="494">
      <c r="A494" s="262" t="s">
        <v>7</v>
      </c>
      <c r="B494" s="262" t="s">
        <v>34</v>
      </c>
      <c r="C494" s="262">
        <v>2201.0</v>
      </c>
      <c r="D494" s="262">
        <v>12.1214</v>
      </c>
      <c r="E494" s="260">
        <f t="shared" si="23"/>
        <v>727.284</v>
      </c>
      <c r="F494" s="132">
        <f t="shared" si="24"/>
        <v>0.5050583333</v>
      </c>
      <c r="G494" s="276" t="s">
        <v>921</v>
      </c>
      <c r="H494" s="131"/>
      <c r="I494" s="131"/>
      <c r="J494" s="131"/>
      <c r="K494" s="131"/>
      <c r="L494" s="131"/>
      <c r="M494" s="131"/>
      <c r="N494" s="131"/>
      <c r="O494" s="131"/>
      <c r="P494" s="131"/>
      <c r="Q494" s="131"/>
      <c r="R494" s="131"/>
      <c r="S494" s="131"/>
      <c r="T494" s="131"/>
      <c r="U494" s="131"/>
      <c r="V494" s="131"/>
      <c r="W494" s="131"/>
      <c r="X494" s="131"/>
      <c r="Y494" s="131"/>
      <c r="Z494" s="131"/>
    </row>
    <row r="495">
      <c r="A495" s="262" t="s">
        <v>7</v>
      </c>
      <c r="B495" s="262" t="s">
        <v>37</v>
      </c>
      <c r="C495" s="262">
        <v>687.0</v>
      </c>
      <c r="D495" s="262">
        <v>3.4042</v>
      </c>
      <c r="E495" s="260">
        <f t="shared" si="23"/>
        <v>204.252</v>
      </c>
      <c r="F495" s="132">
        <f t="shared" si="24"/>
        <v>0.1418416667</v>
      </c>
      <c r="G495" s="276" t="s">
        <v>922</v>
      </c>
      <c r="H495" s="131"/>
      <c r="I495" s="131"/>
      <c r="J495" s="131"/>
      <c r="K495" s="131"/>
      <c r="L495" s="131"/>
      <c r="M495" s="131"/>
      <c r="N495" s="131"/>
      <c r="O495" s="131"/>
      <c r="P495" s="131"/>
      <c r="Q495" s="131"/>
      <c r="R495" s="131"/>
      <c r="S495" s="131"/>
      <c r="T495" s="131"/>
      <c r="U495" s="131"/>
      <c r="V495" s="131"/>
      <c r="W495" s="131"/>
      <c r="X495" s="131"/>
      <c r="Y495" s="131"/>
      <c r="Z495" s="131"/>
    </row>
    <row r="496">
      <c r="A496" s="262" t="s">
        <v>7</v>
      </c>
      <c r="B496" s="262" t="s">
        <v>26</v>
      </c>
      <c r="C496" s="262">
        <v>582.0</v>
      </c>
      <c r="D496" s="262">
        <v>3.0306</v>
      </c>
      <c r="E496" s="260">
        <f t="shared" si="23"/>
        <v>181.836</v>
      </c>
      <c r="F496" s="132">
        <f t="shared" si="24"/>
        <v>0.126275</v>
      </c>
      <c r="G496" s="276" t="s">
        <v>923</v>
      </c>
      <c r="H496" s="131"/>
      <c r="I496" s="131"/>
      <c r="J496" s="131"/>
      <c r="K496" s="131"/>
      <c r="L496" s="131"/>
      <c r="M496" s="131"/>
      <c r="N496" s="131"/>
      <c r="O496" s="131"/>
      <c r="P496" s="131"/>
      <c r="Q496" s="131"/>
      <c r="R496" s="131"/>
      <c r="S496" s="131"/>
      <c r="T496" s="131"/>
      <c r="U496" s="131"/>
      <c r="V496" s="131"/>
      <c r="W496" s="131"/>
      <c r="X496" s="131"/>
      <c r="Y496" s="131"/>
      <c r="Z496" s="131"/>
    </row>
    <row r="497">
      <c r="A497" s="262" t="s">
        <v>7</v>
      </c>
      <c r="B497" s="262" t="s">
        <v>24</v>
      </c>
      <c r="C497" s="262">
        <v>195.0</v>
      </c>
      <c r="D497" s="262">
        <v>1.0547</v>
      </c>
      <c r="E497" s="260">
        <f t="shared" si="23"/>
        <v>63.282</v>
      </c>
      <c r="F497" s="132">
        <f t="shared" si="24"/>
        <v>0.04394583333</v>
      </c>
      <c r="G497" s="276" t="s">
        <v>924</v>
      </c>
      <c r="H497" s="131"/>
      <c r="I497" s="131"/>
      <c r="J497" s="131"/>
      <c r="K497" s="131"/>
      <c r="L497" s="131"/>
      <c r="M497" s="131"/>
      <c r="N497" s="131"/>
      <c r="O497" s="131"/>
      <c r="P497" s="131"/>
      <c r="Q497" s="131"/>
      <c r="R497" s="131"/>
      <c r="S497" s="131"/>
      <c r="T497" s="131"/>
      <c r="U497" s="131"/>
      <c r="V497" s="131"/>
      <c r="W497" s="131"/>
      <c r="X497" s="131"/>
      <c r="Y497" s="131"/>
      <c r="Z497" s="131"/>
    </row>
    <row r="498">
      <c r="A498" s="262" t="s">
        <v>7</v>
      </c>
      <c r="B498" s="262" t="s">
        <v>422</v>
      </c>
      <c r="C498" s="262">
        <v>331.0</v>
      </c>
      <c r="D498" s="262">
        <v>1.6036</v>
      </c>
      <c r="E498" s="260">
        <f t="shared" si="23"/>
        <v>96.216</v>
      </c>
      <c r="F498" s="132">
        <f t="shared" si="24"/>
        <v>0.06681666667</v>
      </c>
      <c r="G498" s="276" t="s">
        <v>925</v>
      </c>
      <c r="H498" s="131"/>
      <c r="I498" s="131"/>
      <c r="J498" s="131"/>
      <c r="K498" s="131"/>
      <c r="L498" s="131"/>
      <c r="M498" s="131"/>
      <c r="N498" s="131"/>
      <c r="O498" s="131"/>
      <c r="P498" s="131"/>
      <c r="Q498" s="131"/>
      <c r="R498" s="131"/>
      <c r="S498" s="131"/>
      <c r="T498" s="131"/>
      <c r="U498" s="131"/>
      <c r="V498" s="131"/>
      <c r="W498" s="131"/>
      <c r="X498" s="131"/>
      <c r="Y498" s="131"/>
      <c r="Z498" s="131"/>
    </row>
    <row r="499">
      <c r="A499" s="262" t="s">
        <v>7</v>
      </c>
      <c r="B499" s="262" t="s">
        <v>27</v>
      </c>
      <c r="C499" s="262">
        <v>893.0</v>
      </c>
      <c r="D499" s="262">
        <v>1.0936</v>
      </c>
      <c r="E499" s="260">
        <f t="shared" si="23"/>
        <v>65.616</v>
      </c>
      <c r="F499" s="132">
        <f t="shared" si="24"/>
        <v>0.04556666667</v>
      </c>
      <c r="G499" s="276" t="s">
        <v>926</v>
      </c>
      <c r="H499" s="131"/>
      <c r="I499" s="131"/>
      <c r="J499" s="131"/>
      <c r="K499" s="131"/>
      <c r="L499" s="131"/>
      <c r="M499" s="131"/>
      <c r="N499" s="131"/>
      <c r="O499" s="131"/>
      <c r="P499" s="131"/>
      <c r="Q499" s="131"/>
      <c r="R499" s="131"/>
      <c r="S499" s="131"/>
      <c r="T499" s="131"/>
      <c r="U499" s="131"/>
      <c r="V499" s="131"/>
      <c r="W499" s="131"/>
      <c r="X499" s="131"/>
      <c r="Y499" s="131"/>
      <c r="Z499" s="131"/>
    </row>
    <row r="500">
      <c r="A500" s="262" t="s">
        <v>7</v>
      </c>
      <c r="B500" s="262" t="s">
        <v>19</v>
      </c>
      <c r="C500" s="262">
        <v>932.0</v>
      </c>
      <c r="D500" s="262">
        <v>4.8589</v>
      </c>
      <c r="E500" s="260">
        <f t="shared" si="23"/>
        <v>291.534</v>
      </c>
      <c r="F500" s="132">
        <f t="shared" si="24"/>
        <v>0.2024541667</v>
      </c>
      <c r="G500" s="276" t="s">
        <v>927</v>
      </c>
      <c r="H500" s="131"/>
      <c r="I500" s="131"/>
      <c r="J500" s="131"/>
      <c r="K500" s="131"/>
      <c r="L500" s="131"/>
      <c r="M500" s="131"/>
      <c r="N500" s="131"/>
      <c r="O500" s="131"/>
      <c r="P500" s="131"/>
      <c r="Q500" s="131"/>
      <c r="R500" s="131"/>
      <c r="S500" s="131"/>
      <c r="T500" s="131"/>
      <c r="U500" s="131"/>
      <c r="V500" s="131"/>
      <c r="W500" s="131"/>
      <c r="X500" s="131"/>
      <c r="Y500" s="131"/>
      <c r="Z500" s="131"/>
    </row>
    <row r="501">
      <c r="A501" s="262" t="s">
        <v>7</v>
      </c>
      <c r="B501" s="262" t="s">
        <v>40</v>
      </c>
      <c r="C501" s="262">
        <v>645.0</v>
      </c>
      <c r="D501" s="262">
        <v>3.0394</v>
      </c>
      <c r="E501" s="260">
        <f t="shared" si="23"/>
        <v>182.364</v>
      </c>
      <c r="F501" s="132">
        <f t="shared" si="24"/>
        <v>0.1266416667</v>
      </c>
      <c r="G501" s="276" t="s">
        <v>928</v>
      </c>
      <c r="H501" s="131"/>
      <c r="I501" s="131"/>
      <c r="J501" s="131"/>
      <c r="K501" s="131"/>
      <c r="L501" s="131"/>
      <c r="M501" s="131"/>
      <c r="N501" s="131"/>
      <c r="O501" s="131"/>
      <c r="P501" s="131"/>
      <c r="Q501" s="131"/>
      <c r="R501" s="131"/>
      <c r="S501" s="131"/>
      <c r="T501" s="131"/>
      <c r="U501" s="131"/>
      <c r="V501" s="131"/>
      <c r="W501" s="131"/>
      <c r="X501" s="131"/>
      <c r="Y501" s="131"/>
      <c r="Z501" s="131"/>
    </row>
    <row r="502">
      <c r="A502" s="262" t="s">
        <v>7</v>
      </c>
      <c r="B502" s="262" t="s">
        <v>44</v>
      </c>
      <c r="C502" s="262">
        <v>601.0</v>
      </c>
      <c r="D502" s="262">
        <v>3.0908</v>
      </c>
      <c r="E502" s="260">
        <f t="shared" si="23"/>
        <v>185.448</v>
      </c>
      <c r="F502" s="132">
        <f t="shared" si="24"/>
        <v>0.1287833333</v>
      </c>
      <c r="G502" s="276" t="s">
        <v>929</v>
      </c>
      <c r="H502" s="131"/>
      <c r="I502" s="131"/>
      <c r="J502" s="131"/>
      <c r="K502" s="131"/>
      <c r="L502" s="131"/>
      <c r="M502" s="131"/>
      <c r="N502" s="131"/>
      <c r="O502" s="131"/>
      <c r="P502" s="131"/>
      <c r="Q502" s="131"/>
      <c r="R502" s="131"/>
      <c r="S502" s="131"/>
      <c r="T502" s="131"/>
      <c r="U502" s="131"/>
      <c r="V502" s="131"/>
      <c r="W502" s="131"/>
      <c r="X502" s="131"/>
      <c r="Y502" s="131"/>
      <c r="Z502" s="131"/>
    </row>
    <row r="503">
      <c r="A503" s="262" t="s">
        <v>7</v>
      </c>
      <c r="B503" s="262" t="s">
        <v>21</v>
      </c>
      <c r="C503" s="262">
        <v>2454.0</v>
      </c>
      <c r="D503" s="262">
        <v>13.5922</v>
      </c>
      <c r="E503" s="260">
        <f t="shared" si="23"/>
        <v>815.532</v>
      </c>
      <c r="F503" s="132">
        <f t="shared" si="24"/>
        <v>0.5663416667</v>
      </c>
      <c r="G503" s="276" t="s">
        <v>930</v>
      </c>
      <c r="H503" s="131"/>
      <c r="I503" s="131"/>
      <c r="J503" s="131"/>
      <c r="K503" s="131"/>
      <c r="L503" s="131"/>
      <c r="M503" s="131"/>
      <c r="N503" s="131"/>
      <c r="O503" s="131"/>
      <c r="P503" s="131"/>
      <c r="Q503" s="131"/>
      <c r="R503" s="131"/>
      <c r="S503" s="131"/>
      <c r="T503" s="131"/>
      <c r="U503" s="131"/>
      <c r="V503" s="131"/>
      <c r="W503" s="131"/>
      <c r="X503" s="131"/>
      <c r="Y503" s="131"/>
      <c r="Z503" s="131"/>
    </row>
    <row r="504">
      <c r="A504" s="262" t="s">
        <v>7</v>
      </c>
      <c r="B504" s="262" t="s">
        <v>31</v>
      </c>
      <c r="C504" s="262">
        <v>691.0</v>
      </c>
      <c r="D504" s="262">
        <v>3.4517</v>
      </c>
      <c r="E504" s="260">
        <f t="shared" si="23"/>
        <v>207.102</v>
      </c>
      <c r="F504" s="132">
        <f t="shared" si="24"/>
        <v>0.1438208333</v>
      </c>
      <c r="G504" s="276" t="s">
        <v>931</v>
      </c>
      <c r="H504" s="131"/>
      <c r="I504" s="131"/>
      <c r="J504" s="131"/>
      <c r="K504" s="131"/>
      <c r="L504" s="131"/>
      <c r="M504" s="131"/>
      <c r="N504" s="131"/>
      <c r="O504" s="131"/>
      <c r="P504" s="131"/>
      <c r="Q504" s="131"/>
      <c r="R504" s="131"/>
      <c r="S504" s="131"/>
      <c r="T504" s="131"/>
      <c r="U504" s="131"/>
      <c r="V504" s="131"/>
      <c r="W504" s="131"/>
      <c r="X504" s="131"/>
      <c r="Y504" s="131"/>
      <c r="Z504" s="131"/>
    </row>
    <row r="505">
      <c r="A505" s="262" t="s">
        <v>7</v>
      </c>
      <c r="B505" s="262" t="s">
        <v>25</v>
      </c>
      <c r="C505" s="262">
        <v>80.0</v>
      </c>
      <c r="D505" s="262">
        <v>0.385</v>
      </c>
      <c r="E505" s="260">
        <f t="shared" si="23"/>
        <v>23.1</v>
      </c>
      <c r="F505" s="132">
        <f t="shared" si="24"/>
        <v>0.01604166667</v>
      </c>
      <c r="G505" s="276" t="s">
        <v>932</v>
      </c>
      <c r="H505" s="131"/>
      <c r="I505" s="131"/>
      <c r="J505" s="131"/>
      <c r="K505" s="131"/>
      <c r="L505" s="131"/>
      <c r="M505" s="131"/>
      <c r="N505" s="131"/>
      <c r="O505" s="131"/>
      <c r="P505" s="131"/>
      <c r="Q505" s="131"/>
      <c r="R505" s="131"/>
      <c r="S505" s="131"/>
      <c r="T505" s="131"/>
      <c r="U505" s="131"/>
      <c r="V505" s="131"/>
      <c r="W505" s="131"/>
      <c r="X505" s="131"/>
      <c r="Y505" s="131"/>
      <c r="Z505" s="131"/>
    </row>
    <row r="506">
      <c r="A506" s="262" t="s">
        <v>7</v>
      </c>
      <c r="B506" s="262" t="s">
        <v>43</v>
      </c>
      <c r="C506" s="262">
        <v>598.0</v>
      </c>
      <c r="D506" s="262">
        <v>2.7925</v>
      </c>
      <c r="E506" s="260">
        <f t="shared" si="23"/>
        <v>167.55</v>
      </c>
      <c r="F506" s="132">
        <f t="shared" si="24"/>
        <v>0.1163541667</v>
      </c>
      <c r="G506" s="276" t="s">
        <v>933</v>
      </c>
      <c r="H506" s="131"/>
      <c r="I506" s="131"/>
      <c r="J506" s="131"/>
      <c r="K506" s="131"/>
      <c r="L506" s="131"/>
      <c r="M506" s="131"/>
      <c r="N506" s="131"/>
      <c r="O506" s="131"/>
      <c r="P506" s="131"/>
      <c r="Q506" s="131"/>
      <c r="R506" s="131"/>
      <c r="S506" s="131"/>
      <c r="T506" s="131"/>
      <c r="U506" s="131"/>
      <c r="V506" s="131"/>
      <c r="W506" s="131"/>
      <c r="X506" s="131"/>
      <c r="Y506" s="131"/>
      <c r="Z506" s="131"/>
    </row>
    <row r="507">
      <c r="A507" s="262" t="s">
        <v>7</v>
      </c>
      <c r="B507" s="262" t="s">
        <v>41</v>
      </c>
      <c r="C507" s="262">
        <v>70.0</v>
      </c>
      <c r="D507" s="262">
        <v>0.3436</v>
      </c>
      <c r="E507" s="260">
        <f t="shared" si="23"/>
        <v>20.616</v>
      </c>
      <c r="F507" s="132">
        <f t="shared" si="24"/>
        <v>0.01431666667</v>
      </c>
      <c r="G507" s="276" t="s">
        <v>934</v>
      </c>
      <c r="H507" s="131"/>
      <c r="I507" s="131"/>
      <c r="J507" s="131"/>
      <c r="K507" s="131"/>
      <c r="L507" s="131"/>
      <c r="M507" s="131"/>
      <c r="N507" s="131"/>
      <c r="O507" s="131"/>
      <c r="P507" s="131"/>
      <c r="Q507" s="131"/>
      <c r="R507" s="131"/>
      <c r="S507" s="131"/>
      <c r="T507" s="131"/>
      <c r="U507" s="131"/>
      <c r="V507" s="131"/>
      <c r="W507" s="131"/>
      <c r="X507" s="131"/>
      <c r="Y507" s="131"/>
      <c r="Z507" s="131"/>
    </row>
    <row r="508">
      <c r="A508" s="262" t="s">
        <v>7</v>
      </c>
      <c r="B508" s="262" t="s">
        <v>32</v>
      </c>
      <c r="C508" s="262">
        <v>604.0</v>
      </c>
      <c r="D508" s="262">
        <v>3.1978</v>
      </c>
      <c r="E508" s="260">
        <f t="shared" si="23"/>
        <v>191.868</v>
      </c>
      <c r="F508" s="132">
        <f t="shared" si="24"/>
        <v>0.1332416667</v>
      </c>
      <c r="G508" s="276" t="s">
        <v>935</v>
      </c>
      <c r="H508" s="131"/>
      <c r="I508" s="131"/>
      <c r="J508" s="131"/>
      <c r="K508" s="131"/>
      <c r="L508" s="131"/>
      <c r="M508" s="131"/>
      <c r="N508" s="131"/>
      <c r="O508" s="131"/>
      <c r="P508" s="131"/>
      <c r="Q508" s="131"/>
      <c r="R508" s="131"/>
      <c r="S508" s="131"/>
      <c r="T508" s="131"/>
      <c r="U508" s="131"/>
      <c r="V508" s="131"/>
      <c r="W508" s="131"/>
      <c r="X508" s="131"/>
      <c r="Y508" s="131"/>
      <c r="Z508" s="131"/>
    </row>
    <row r="509">
      <c r="A509" s="262" t="s">
        <v>7</v>
      </c>
      <c r="B509" s="262" t="s">
        <v>22</v>
      </c>
      <c r="C509" s="262">
        <v>1501.0</v>
      </c>
      <c r="D509" s="262">
        <v>7.8142</v>
      </c>
      <c r="E509" s="260">
        <f t="shared" si="23"/>
        <v>468.852</v>
      </c>
      <c r="F509" s="132">
        <f t="shared" si="24"/>
        <v>0.3255916667</v>
      </c>
      <c r="G509" s="276" t="s">
        <v>936</v>
      </c>
      <c r="H509" s="131"/>
      <c r="I509" s="131"/>
      <c r="J509" s="131"/>
      <c r="K509" s="131"/>
      <c r="L509" s="131"/>
      <c r="M509" s="131"/>
      <c r="N509" s="131"/>
      <c r="O509" s="131"/>
      <c r="P509" s="131"/>
      <c r="Q509" s="131"/>
      <c r="R509" s="131"/>
      <c r="S509" s="131"/>
      <c r="T509" s="131"/>
      <c r="U509" s="131"/>
      <c r="V509" s="131"/>
      <c r="W509" s="131"/>
      <c r="X509" s="131"/>
      <c r="Y509" s="131"/>
      <c r="Z509" s="131"/>
    </row>
    <row r="510">
      <c r="A510" s="262" t="s">
        <v>7</v>
      </c>
      <c r="B510" s="262" t="s">
        <v>8</v>
      </c>
      <c r="C510" s="262">
        <v>1957.0</v>
      </c>
      <c r="D510" s="262">
        <v>9.7892</v>
      </c>
      <c r="E510" s="260">
        <f t="shared" si="23"/>
        <v>587.352</v>
      </c>
      <c r="F510" s="132">
        <f t="shared" si="24"/>
        <v>0.4078833333</v>
      </c>
      <c r="G510" s="276" t="s">
        <v>937</v>
      </c>
      <c r="H510" s="131"/>
      <c r="I510" s="131"/>
      <c r="J510" s="131"/>
      <c r="K510" s="131"/>
      <c r="L510" s="131"/>
      <c r="M510" s="131"/>
      <c r="N510" s="131"/>
      <c r="O510" s="131"/>
      <c r="P510" s="131"/>
      <c r="Q510" s="131"/>
      <c r="R510" s="131"/>
      <c r="S510" s="131"/>
      <c r="T510" s="131"/>
      <c r="U510" s="131"/>
      <c r="V510" s="131"/>
      <c r="W510" s="131"/>
      <c r="X510" s="131"/>
      <c r="Y510" s="131"/>
      <c r="Z510" s="131"/>
    </row>
    <row r="511">
      <c r="A511" s="262" t="s">
        <v>7</v>
      </c>
      <c r="B511" s="262" t="s">
        <v>20</v>
      </c>
      <c r="C511" s="262">
        <v>2497.0</v>
      </c>
      <c r="D511" s="262">
        <v>12.6992</v>
      </c>
      <c r="E511" s="260">
        <f t="shared" si="23"/>
        <v>761.952</v>
      </c>
      <c r="F511" s="132">
        <f t="shared" si="24"/>
        <v>0.5291333333</v>
      </c>
      <c r="G511" s="276" t="s">
        <v>938</v>
      </c>
      <c r="H511" s="131"/>
      <c r="I511" s="131"/>
      <c r="J511" s="131"/>
      <c r="K511" s="131"/>
      <c r="L511" s="131"/>
      <c r="M511" s="131"/>
      <c r="N511" s="131"/>
      <c r="O511" s="131"/>
      <c r="P511" s="131"/>
      <c r="Q511" s="131"/>
      <c r="R511" s="131"/>
      <c r="S511" s="131"/>
      <c r="T511" s="131"/>
      <c r="U511" s="131"/>
      <c r="V511" s="131"/>
      <c r="W511" s="131"/>
      <c r="X511" s="131"/>
      <c r="Y511" s="131"/>
      <c r="Z511" s="131"/>
    </row>
    <row r="512">
      <c r="A512" s="262" t="s">
        <v>7</v>
      </c>
      <c r="B512" s="262" t="s">
        <v>33</v>
      </c>
      <c r="C512" s="262">
        <v>780.0</v>
      </c>
      <c r="D512" s="262">
        <v>4.3372</v>
      </c>
      <c r="E512" s="260">
        <f t="shared" si="23"/>
        <v>260.232</v>
      </c>
      <c r="F512" s="132">
        <f t="shared" si="24"/>
        <v>0.1807166667</v>
      </c>
      <c r="G512" s="276" t="s">
        <v>939</v>
      </c>
      <c r="H512" s="131"/>
      <c r="I512" s="131"/>
      <c r="J512" s="131"/>
      <c r="K512" s="131"/>
      <c r="L512" s="131"/>
      <c r="M512" s="131"/>
      <c r="N512" s="131"/>
      <c r="O512" s="131"/>
      <c r="P512" s="131"/>
      <c r="Q512" s="131"/>
      <c r="R512" s="131"/>
      <c r="S512" s="131"/>
      <c r="T512" s="131"/>
      <c r="U512" s="131"/>
      <c r="V512" s="131"/>
      <c r="W512" s="131"/>
      <c r="X512" s="131"/>
      <c r="Y512" s="131"/>
      <c r="Z512" s="131"/>
    </row>
    <row r="513">
      <c r="A513" s="262" t="s">
        <v>7</v>
      </c>
      <c r="B513" s="262" t="s">
        <v>30</v>
      </c>
      <c r="C513" s="262">
        <v>842.0</v>
      </c>
      <c r="D513" s="262">
        <v>4.4961</v>
      </c>
      <c r="E513" s="260">
        <f t="shared" si="23"/>
        <v>269.766</v>
      </c>
      <c r="F513" s="132">
        <f t="shared" si="24"/>
        <v>0.1873375</v>
      </c>
      <c r="G513" s="276" t="s">
        <v>940</v>
      </c>
      <c r="H513" s="131"/>
      <c r="I513" s="131"/>
      <c r="J513" s="131"/>
      <c r="K513" s="131"/>
      <c r="L513" s="131"/>
      <c r="M513" s="131"/>
      <c r="N513" s="131"/>
      <c r="O513" s="131"/>
      <c r="P513" s="131"/>
      <c r="Q513" s="131"/>
      <c r="R513" s="131"/>
      <c r="S513" s="131"/>
      <c r="T513" s="131"/>
      <c r="U513" s="131"/>
      <c r="V513" s="131"/>
      <c r="W513" s="131"/>
      <c r="X513" s="131"/>
      <c r="Y513" s="131"/>
      <c r="Z513" s="131"/>
    </row>
    <row r="514">
      <c r="A514" s="262" t="s">
        <v>54</v>
      </c>
      <c r="B514" s="262" t="s">
        <v>55</v>
      </c>
      <c r="C514" s="262">
        <v>682.0</v>
      </c>
      <c r="D514" s="262">
        <v>3.6317</v>
      </c>
      <c r="E514" s="260">
        <f t="shared" si="23"/>
        <v>217.902</v>
      </c>
      <c r="F514" s="132">
        <f t="shared" si="24"/>
        <v>0.1513208333</v>
      </c>
      <c r="G514" s="276" t="s">
        <v>941</v>
      </c>
      <c r="H514" s="131"/>
      <c r="I514" s="131"/>
      <c r="J514" s="131"/>
      <c r="K514" s="131"/>
      <c r="L514" s="131"/>
      <c r="M514" s="131"/>
      <c r="N514" s="131"/>
      <c r="O514" s="131"/>
      <c r="P514" s="131"/>
      <c r="Q514" s="131"/>
      <c r="R514" s="131"/>
      <c r="S514" s="131"/>
      <c r="T514" s="131"/>
      <c r="U514" s="131"/>
      <c r="V514" s="131"/>
      <c r="W514" s="131"/>
      <c r="X514" s="131"/>
      <c r="Y514" s="131"/>
      <c r="Z514" s="131"/>
    </row>
    <row r="515">
      <c r="A515" s="262" t="s">
        <v>54</v>
      </c>
      <c r="B515" s="262" t="s">
        <v>56</v>
      </c>
      <c r="C515" s="262">
        <v>95.0</v>
      </c>
      <c r="D515" s="262">
        <v>0.5003</v>
      </c>
      <c r="E515" s="260">
        <f t="shared" si="23"/>
        <v>30.018</v>
      </c>
      <c r="F515" s="132">
        <f t="shared" si="24"/>
        <v>0.02084583333</v>
      </c>
      <c r="G515" s="276" t="s">
        <v>942</v>
      </c>
      <c r="H515" s="131"/>
      <c r="I515" s="131"/>
      <c r="J515" s="131"/>
      <c r="K515" s="131"/>
      <c r="L515" s="131"/>
      <c r="M515" s="131"/>
      <c r="N515" s="131"/>
      <c r="O515" s="131"/>
      <c r="P515" s="131"/>
      <c r="Q515" s="131"/>
      <c r="R515" s="131"/>
      <c r="S515" s="131"/>
      <c r="T515" s="131"/>
      <c r="U515" s="131"/>
      <c r="V515" s="131"/>
      <c r="W515" s="131"/>
      <c r="X515" s="131"/>
      <c r="Y515" s="131"/>
      <c r="Z515" s="131"/>
    </row>
    <row r="516">
      <c r="A516" s="262" t="s">
        <v>54</v>
      </c>
      <c r="B516" s="262" t="s">
        <v>58</v>
      </c>
      <c r="C516" s="262">
        <v>266.0</v>
      </c>
      <c r="D516" s="262">
        <v>1.3469</v>
      </c>
      <c r="E516" s="260">
        <f t="shared" si="23"/>
        <v>80.814</v>
      </c>
      <c r="F516" s="132">
        <f t="shared" si="24"/>
        <v>0.05612083333</v>
      </c>
      <c r="G516" s="276" t="s">
        <v>943</v>
      </c>
      <c r="H516" s="131"/>
      <c r="I516" s="131"/>
      <c r="J516" s="131"/>
      <c r="K516" s="131"/>
      <c r="L516" s="131"/>
      <c r="M516" s="131"/>
      <c r="N516" s="131"/>
      <c r="O516" s="131"/>
      <c r="P516" s="131"/>
      <c r="Q516" s="131"/>
      <c r="R516" s="131"/>
      <c r="S516" s="131"/>
      <c r="T516" s="131"/>
      <c r="U516" s="131"/>
      <c r="V516" s="131"/>
      <c r="W516" s="131"/>
      <c r="X516" s="131"/>
      <c r="Y516" s="131"/>
      <c r="Z516" s="131"/>
    </row>
    <row r="517">
      <c r="A517" s="262" t="s">
        <v>54</v>
      </c>
      <c r="B517" s="262" t="s">
        <v>59</v>
      </c>
      <c r="C517" s="262">
        <v>511.0</v>
      </c>
      <c r="D517" s="262">
        <v>2.7803</v>
      </c>
      <c r="E517" s="260">
        <f t="shared" si="23"/>
        <v>166.818</v>
      </c>
      <c r="F517" s="132">
        <f t="shared" si="24"/>
        <v>0.1158458333</v>
      </c>
      <c r="G517" s="276" t="s">
        <v>944</v>
      </c>
      <c r="H517" s="131"/>
      <c r="I517" s="131"/>
      <c r="J517" s="131"/>
      <c r="K517" s="131"/>
      <c r="L517" s="131"/>
      <c r="M517" s="131"/>
      <c r="N517" s="131"/>
      <c r="O517" s="131"/>
      <c r="P517" s="131"/>
      <c r="Q517" s="131"/>
      <c r="R517" s="131"/>
      <c r="S517" s="131"/>
      <c r="T517" s="131"/>
      <c r="U517" s="131"/>
      <c r="V517" s="131"/>
      <c r="W517" s="131"/>
      <c r="X517" s="131"/>
      <c r="Y517" s="131"/>
      <c r="Z517" s="131"/>
    </row>
    <row r="518">
      <c r="A518" s="262" t="s">
        <v>54</v>
      </c>
      <c r="B518" s="262" t="s">
        <v>60</v>
      </c>
      <c r="C518" s="262">
        <v>48.0</v>
      </c>
      <c r="D518" s="262">
        <v>0.2622</v>
      </c>
      <c r="E518" s="260">
        <f t="shared" si="23"/>
        <v>15.732</v>
      </c>
      <c r="F518" s="132">
        <f t="shared" si="24"/>
        <v>0.010925</v>
      </c>
      <c r="G518" s="276" t="s">
        <v>945</v>
      </c>
      <c r="H518" s="131"/>
      <c r="I518" s="131"/>
      <c r="J518" s="131"/>
      <c r="K518" s="131"/>
      <c r="L518" s="131"/>
      <c r="M518" s="131"/>
      <c r="N518" s="131"/>
      <c r="O518" s="131"/>
      <c r="P518" s="131"/>
      <c r="Q518" s="131"/>
      <c r="R518" s="131"/>
      <c r="S518" s="131"/>
      <c r="T518" s="131"/>
      <c r="U518" s="131"/>
      <c r="V518" s="131"/>
      <c r="W518" s="131"/>
      <c r="X518" s="131"/>
      <c r="Y518" s="131"/>
      <c r="Z518" s="131"/>
    </row>
    <row r="519">
      <c r="A519" s="262" t="s">
        <v>54</v>
      </c>
      <c r="B519" s="262" t="s">
        <v>62</v>
      </c>
      <c r="C519" s="262">
        <v>607.0</v>
      </c>
      <c r="D519" s="262">
        <v>3.1069</v>
      </c>
      <c r="E519" s="260">
        <f t="shared" si="23"/>
        <v>186.414</v>
      </c>
      <c r="F519" s="132">
        <f t="shared" si="24"/>
        <v>0.1294541667</v>
      </c>
      <c r="G519" s="276" t="s">
        <v>946</v>
      </c>
      <c r="H519" s="131"/>
      <c r="I519" s="131"/>
      <c r="J519" s="131"/>
      <c r="K519" s="131"/>
      <c r="L519" s="131"/>
      <c r="M519" s="131"/>
      <c r="N519" s="131"/>
      <c r="O519" s="131"/>
      <c r="P519" s="131"/>
      <c r="Q519" s="131"/>
      <c r="R519" s="131"/>
      <c r="S519" s="131"/>
      <c r="T519" s="131"/>
      <c r="U519" s="131"/>
      <c r="V519" s="131"/>
      <c r="W519" s="131"/>
      <c r="X519" s="131"/>
      <c r="Y519" s="131"/>
      <c r="Z519" s="131"/>
    </row>
    <row r="520">
      <c r="A520" s="262" t="s">
        <v>54</v>
      </c>
      <c r="B520" s="262" t="s">
        <v>63</v>
      </c>
      <c r="C520" s="262">
        <v>113.0</v>
      </c>
      <c r="D520" s="262">
        <v>0.5733</v>
      </c>
      <c r="E520" s="260">
        <f t="shared" si="23"/>
        <v>34.398</v>
      </c>
      <c r="F520" s="132">
        <f t="shared" si="24"/>
        <v>0.0238875</v>
      </c>
      <c r="G520" s="276" t="s">
        <v>947</v>
      </c>
      <c r="H520" s="131"/>
      <c r="I520" s="131"/>
      <c r="J520" s="131"/>
      <c r="K520" s="131"/>
      <c r="L520" s="131"/>
      <c r="M520" s="131"/>
      <c r="N520" s="131"/>
      <c r="O520" s="131"/>
      <c r="P520" s="131"/>
      <c r="Q520" s="131"/>
      <c r="R520" s="131"/>
      <c r="S520" s="131"/>
      <c r="T520" s="131"/>
      <c r="U520" s="131"/>
      <c r="V520" s="131"/>
      <c r="W520" s="131"/>
      <c r="X520" s="131"/>
      <c r="Y520" s="131"/>
      <c r="Z520" s="131"/>
    </row>
    <row r="521">
      <c r="A521" s="262" t="s">
        <v>54</v>
      </c>
      <c r="B521" s="262" t="s">
        <v>64</v>
      </c>
      <c r="C521" s="262">
        <v>71.0</v>
      </c>
      <c r="D521" s="262">
        <v>0.3789</v>
      </c>
      <c r="E521" s="260">
        <f t="shared" si="23"/>
        <v>22.734</v>
      </c>
      <c r="F521" s="132">
        <f t="shared" si="24"/>
        <v>0.0157875</v>
      </c>
      <c r="G521" s="276" t="s">
        <v>948</v>
      </c>
      <c r="H521" s="131"/>
      <c r="I521" s="131"/>
      <c r="J521" s="131"/>
      <c r="K521" s="131"/>
      <c r="L521" s="131"/>
      <c r="M521" s="131"/>
      <c r="N521" s="131"/>
      <c r="O521" s="131"/>
      <c r="P521" s="131"/>
      <c r="Q521" s="131"/>
      <c r="R521" s="131"/>
      <c r="S521" s="131"/>
      <c r="T521" s="131"/>
      <c r="U521" s="131"/>
      <c r="V521" s="131"/>
      <c r="W521" s="131"/>
      <c r="X521" s="131"/>
      <c r="Y521" s="131"/>
      <c r="Z521" s="131"/>
    </row>
    <row r="522">
      <c r="A522" s="262" t="s">
        <v>54</v>
      </c>
      <c r="B522" s="262" t="s">
        <v>65</v>
      </c>
      <c r="C522" s="262">
        <v>329.0</v>
      </c>
      <c r="D522" s="262">
        <v>1.7794</v>
      </c>
      <c r="E522" s="260">
        <f t="shared" si="23"/>
        <v>106.764</v>
      </c>
      <c r="F522" s="132">
        <f t="shared" si="24"/>
        <v>0.07414166667</v>
      </c>
      <c r="G522" s="276" t="s">
        <v>949</v>
      </c>
      <c r="H522" s="131"/>
      <c r="I522" s="131"/>
      <c r="J522" s="131"/>
      <c r="K522" s="131"/>
      <c r="L522" s="131"/>
      <c r="M522" s="131"/>
      <c r="N522" s="131"/>
      <c r="O522" s="131"/>
      <c r="P522" s="131"/>
      <c r="Q522" s="131"/>
      <c r="R522" s="131"/>
      <c r="S522" s="131"/>
      <c r="T522" s="131"/>
      <c r="U522" s="131"/>
      <c r="V522" s="131"/>
      <c r="W522" s="131"/>
      <c r="X522" s="131"/>
      <c r="Y522" s="131"/>
      <c r="Z522" s="131"/>
    </row>
    <row r="523">
      <c r="A523" s="262" t="s">
        <v>54</v>
      </c>
      <c r="B523" s="262" t="s">
        <v>66</v>
      </c>
      <c r="C523" s="262">
        <v>40.0</v>
      </c>
      <c r="D523" s="262">
        <v>0.2094</v>
      </c>
      <c r="E523" s="260">
        <f t="shared" si="23"/>
        <v>12.564</v>
      </c>
      <c r="F523" s="132">
        <f t="shared" si="24"/>
        <v>0.008725</v>
      </c>
      <c r="G523" s="276" t="s">
        <v>950</v>
      </c>
      <c r="H523" s="131"/>
      <c r="I523" s="131"/>
      <c r="J523" s="131"/>
      <c r="K523" s="131"/>
      <c r="L523" s="131"/>
      <c r="M523" s="131"/>
      <c r="N523" s="131"/>
      <c r="O523" s="131"/>
      <c r="P523" s="131"/>
      <c r="Q523" s="131"/>
      <c r="R523" s="131"/>
      <c r="S523" s="131"/>
      <c r="T523" s="131"/>
      <c r="U523" s="131"/>
      <c r="V523" s="131"/>
      <c r="W523" s="131"/>
      <c r="X523" s="131"/>
      <c r="Y523" s="131"/>
      <c r="Z523" s="131"/>
    </row>
    <row r="524">
      <c r="A524" s="262" t="s">
        <v>45</v>
      </c>
      <c r="B524" s="262" t="s">
        <v>706</v>
      </c>
      <c r="C524" s="262">
        <v>10.0</v>
      </c>
      <c r="D524" s="262">
        <v>0.0581</v>
      </c>
      <c r="E524" s="260">
        <f t="shared" si="23"/>
        <v>3.486</v>
      </c>
      <c r="F524" s="132">
        <f t="shared" si="24"/>
        <v>0.002420833333</v>
      </c>
      <c r="G524" s="276" t="s">
        <v>951</v>
      </c>
      <c r="H524" s="131"/>
      <c r="I524" s="131"/>
      <c r="J524" s="131"/>
      <c r="K524" s="131"/>
      <c r="L524" s="131"/>
      <c r="M524" s="131"/>
      <c r="N524" s="131"/>
      <c r="O524" s="131"/>
      <c r="P524" s="131"/>
      <c r="Q524" s="131"/>
      <c r="R524" s="131"/>
      <c r="S524" s="131"/>
      <c r="T524" s="131"/>
      <c r="U524" s="131"/>
      <c r="V524" s="131"/>
      <c r="W524" s="131"/>
      <c r="X524" s="131"/>
      <c r="Y524" s="131"/>
      <c r="Z524" s="131"/>
    </row>
    <row r="525">
      <c r="A525" s="262" t="s">
        <v>69</v>
      </c>
      <c r="B525" s="262" t="s">
        <v>70</v>
      </c>
      <c r="C525" s="262">
        <v>10.0</v>
      </c>
      <c r="D525" s="262">
        <v>0.0547</v>
      </c>
      <c r="E525" s="260">
        <f t="shared" si="23"/>
        <v>3.282</v>
      </c>
      <c r="F525" s="132">
        <f t="shared" si="24"/>
        <v>0.002279166667</v>
      </c>
      <c r="G525" s="276" t="s">
        <v>952</v>
      </c>
      <c r="H525" s="131"/>
      <c r="I525" s="131"/>
      <c r="J525" s="131"/>
      <c r="K525" s="131"/>
      <c r="L525" s="131"/>
      <c r="M525" s="131"/>
      <c r="N525" s="131"/>
      <c r="O525" s="131"/>
      <c r="P525" s="131"/>
      <c r="Q525" s="131"/>
      <c r="R525" s="131"/>
      <c r="S525" s="131"/>
      <c r="T525" s="131"/>
      <c r="U525" s="131"/>
      <c r="V525" s="131"/>
      <c r="W525" s="131"/>
      <c r="X525" s="131"/>
      <c r="Y525" s="131"/>
      <c r="Z525" s="131"/>
    </row>
    <row r="526">
      <c r="A526" s="262" t="s">
        <v>69</v>
      </c>
      <c r="B526" s="262" t="s">
        <v>71</v>
      </c>
      <c r="C526" s="262">
        <v>33.0</v>
      </c>
      <c r="D526" s="262">
        <v>0.1653</v>
      </c>
      <c r="E526" s="260">
        <f t="shared" si="23"/>
        <v>9.918</v>
      </c>
      <c r="F526" s="132">
        <f t="shared" si="24"/>
        <v>0.0068875</v>
      </c>
      <c r="G526" s="276" t="s">
        <v>953</v>
      </c>
      <c r="H526" s="131"/>
      <c r="I526" s="131"/>
      <c r="J526" s="131"/>
      <c r="K526" s="131"/>
      <c r="L526" s="131"/>
      <c r="M526" s="131"/>
      <c r="N526" s="131"/>
      <c r="O526" s="131"/>
      <c r="P526" s="131"/>
      <c r="Q526" s="131"/>
      <c r="R526" s="131"/>
      <c r="S526" s="131"/>
      <c r="T526" s="131"/>
      <c r="U526" s="131"/>
      <c r="V526" s="131"/>
      <c r="W526" s="131"/>
      <c r="X526" s="131"/>
      <c r="Y526" s="131"/>
      <c r="Z526" s="131"/>
    </row>
    <row r="527">
      <c r="A527" s="262" t="s">
        <v>35</v>
      </c>
      <c r="B527" s="262" t="s">
        <v>72</v>
      </c>
      <c r="C527" s="262">
        <v>1654.0</v>
      </c>
      <c r="D527" s="262">
        <v>8.4819</v>
      </c>
      <c r="E527" s="260">
        <f t="shared" si="23"/>
        <v>508.914</v>
      </c>
      <c r="F527" s="132">
        <f t="shared" si="24"/>
        <v>0.3534125</v>
      </c>
      <c r="G527" s="276" t="s">
        <v>954</v>
      </c>
      <c r="H527" s="131"/>
      <c r="I527" s="131"/>
      <c r="J527" s="131"/>
      <c r="K527" s="131"/>
      <c r="L527" s="131"/>
      <c r="M527" s="131"/>
      <c r="N527" s="131"/>
      <c r="O527" s="131"/>
      <c r="P527" s="131"/>
      <c r="Q527" s="131"/>
      <c r="R527" s="131"/>
      <c r="S527" s="131"/>
      <c r="T527" s="131"/>
      <c r="U527" s="131"/>
      <c r="V527" s="131"/>
      <c r="W527" s="131"/>
      <c r="X527" s="131"/>
      <c r="Y527" s="131"/>
      <c r="Z527" s="131"/>
    </row>
    <row r="528">
      <c r="A528" s="262" t="s">
        <v>35</v>
      </c>
      <c r="B528" s="262" t="s">
        <v>73</v>
      </c>
      <c r="C528" s="262">
        <v>880.0</v>
      </c>
      <c r="D528" s="262">
        <v>4.5047</v>
      </c>
      <c r="E528" s="260">
        <f t="shared" si="23"/>
        <v>270.282</v>
      </c>
      <c r="F528" s="132">
        <f t="shared" si="24"/>
        <v>0.1876958333</v>
      </c>
      <c r="G528" s="276" t="s">
        <v>955</v>
      </c>
      <c r="H528" s="131"/>
      <c r="I528" s="131"/>
      <c r="J528" s="131"/>
      <c r="K528" s="131"/>
      <c r="L528" s="131"/>
      <c r="M528" s="131"/>
      <c r="N528" s="131"/>
      <c r="O528" s="131"/>
      <c r="P528" s="131"/>
      <c r="Q528" s="131"/>
      <c r="R528" s="131"/>
      <c r="S528" s="131"/>
      <c r="T528" s="131"/>
      <c r="U528" s="131"/>
      <c r="V528" s="131"/>
      <c r="W528" s="131"/>
      <c r="X528" s="131"/>
      <c r="Y528" s="131"/>
      <c r="Z528" s="131"/>
    </row>
    <row r="529">
      <c r="A529" s="262" t="s">
        <v>35</v>
      </c>
      <c r="B529" s="262" t="s">
        <v>74</v>
      </c>
      <c r="C529" s="262">
        <v>1026.0</v>
      </c>
      <c r="D529" s="262">
        <v>5.4308</v>
      </c>
      <c r="E529" s="260">
        <f t="shared" si="23"/>
        <v>325.848</v>
      </c>
      <c r="F529" s="132">
        <f t="shared" si="24"/>
        <v>0.2262833333</v>
      </c>
      <c r="G529" s="276" t="s">
        <v>956</v>
      </c>
      <c r="H529" s="131"/>
      <c r="I529" s="131"/>
      <c r="J529" s="131"/>
      <c r="K529" s="131"/>
      <c r="L529" s="131"/>
      <c r="M529" s="131"/>
      <c r="N529" s="131"/>
      <c r="O529" s="131"/>
      <c r="P529" s="131"/>
      <c r="Q529" s="131"/>
      <c r="R529" s="131"/>
      <c r="S529" s="131"/>
      <c r="T529" s="131"/>
      <c r="U529" s="131"/>
      <c r="V529" s="131"/>
      <c r="W529" s="131"/>
      <c r="X529" s="131"/>
      <c r="Y529" s="131"/>
      <c r="Z529" s="131"/>
    </row>
    <row r="530">
      <c r="A530" s="262" t="s">
        <v>35</v>
      </c>
      <c r="B530" s="262" t="s">
        <v>75</v>
      </c>
      <c r="C530" s="262">
        <v>749.0</v>
      </c>
      <c r="D530" s="262">
        <v>3.7383</v>
      </c>
      <c r="E530" s="260">
        <f t="shared" si="23"/>
        <v>224.298</v>
      </c>
      <c r="F530" s="132">
        <f t="shared" si="24"/>
        <v>0.1557625</v>
      </c>
      <c r="G530" s="276" t="s">
        <v>957</v>
      </c>
      <c r="H530" s="131"/>
      <c r="I530" s="131"/>
      <c r="J530" s="131"/>
      <c r="K530" s="131"/>
      <c r="L530" s="131"/>
      <c r="M530" s="131"/>
      <c r="N530" s="131"/>
      <c r="O530" s="131"/>
      <c r="P530" s="131"/>
      <c r="Q530" s="131"/>
      <c r="R530" s="131"/>
      <c r="S530" s="131"/>
      <c r="T530" s="131"/>
      <c r="U530" s="131"/>
      <c r="V530" s="131"/>
      <c r="W530" s="131"/>
      <c r="X530" s="131"/>
      <c r="Y530" s="131"/>
      <c r="Z530" s="131"/>
    </row>
    <row r="531">
      <c r="A531" s="262" t="s">
        <v>35</v>
      </c>
      <c r="B531" s="262" t="s">
        <v>425</v>
      </c>
      <c r="C531" s="262">
        <v>687.0</v>
      </c>
      <c r="D531" s="262">
        <v>3.4517</v>
      </c>
      <c r="E531" s="260">
        <f t="shared" si="23"/>
        <v>207.102</v>
      </c>
      <c r="F531" s="132">
        <f t="shared" si="24"/>
        <v>0.1438208333</v>
      </c>
      <c r="G531" s="276" t="s">
        <v>958</v>
      </c>
      <c r="H531" s="131"/>
      <c r="I531" s="131"/>
      <c r="J531" s="131"/>
      <c r="K531" s="131"/>
      <c r="L531" s="131"/>
      <c r="M531" s="131"/>
      <c r="N531" s="131"/>
      <c r="O531" s="131"/>
      <c r="P531" s="131"/>
      <c r="Q531" s="131"/>
      <c r="R531" s="131"/>
      <c r="S531" s="131"/>
      <c r="T531" s="131"/>
      <c r="U531" s="131"/>
      <c r="V531" s="131"/>
      <c r="W531" s="131"/>
      <c r="X531" s="131"/>
      <c r="Y531" s="131"/>
      <c r="Z531" s="131"/>
    </row>
    <row r="532">
      <c r="A532" s="262" t="s">
        <v>35</v>
      </c>
      <c r="B532" s="262" t="s">
        <v>42</v>
      </c>
      <c r="C532" s="262">
        <v>1357.0</v>
      </c>
      <c r="D532" s="262">
        <v>6.6786</v>
      </c>
      <c r="E532" s="260">
        <f t="shared" si="23"/>
        <v>400.716</v>
      </c>
      <c r="F532" s="132">
        <f t="shared" si="24"/>
        <v>0.278275</v>
      </c>
      <c r="G532" s="276" t="s">
        <v>959</v>
      </c>
      <c r="H532" s="131"/>
      <c r="I532" s="131"/>
      <c r="J532" s="131"/>
      <c r="K532" s="131"/>
      <c r="L532" s="131"/>
      <c r="M532" s="131"/>
      <c r="N532" s="131"/>
      <c r="O532" s="131"/>
      <c r="P532" s="131"/>
      <c r="Q532" s="131"/>
      <c r="R532" s="131"/>
      <c r="S532" s="131"/>
      <c r="T532" s="131"/>
      <c r="U532" s="131"/>
      <c r="V532" s="131"/>
      <c r="W532" s="131"/>
      <c r="X532" s="131"/>
      <c r="Y532" s="131"/>
      <c r="Z532" s="131"/>
    </row>
    <row r="533">
      <c r="A533" s="262" t="s">
        <v>35</v>
      </c>
      <c r="B533" s="262" t="s">
        <v>80</v>
      </c>
      <c r="C533" s="262">
        <v>504.0</v>
      </c>
      <c r="D533" s="262">
        <v>2.4792</v>
      </c>
      <c r="E533" s="260">
        <f t="shared" si="23"/>
        <v>148.752</v>
      </c>
      <c r="F533" s="132">
        <f t="shared" si="24"/>
        <v>0.1033</v>
      </c>
      <c r="G533" s="276" t="s">
        <v>960</v>
      </c>
      <c r="H533" s="131"/>
      <c r="I533" s="131"/>
      <c r="J533" s="131"/>
      <c r="K533" s="131"/>
      <c r="L533" s="131"/>
      <c r="M533" s="131"/>
      <c r="N533" s="131"/>
      <c r="O533" s="131"/>
      <c r="P533" s="131"/>
      <c r="Q533" s="131"/>
      <c r="R533" s="131"/>
      <c r="S533" s="131"/>
      <c r="T533" s="131"/>
      <c r="U533" s="131"/>
      <c r="V533" s="131"/>
      <c r="W533" s="131"/>
      <c r="X533" s="131"/>
      <c r="Y533" s="131"/>
      <c r="Z533" s="131"/>
    </row>
    <row r="534">
      <c r="A534" s="262" t="s">
        <v>35</v>
      </c>
      <c r="B534" s="262" t="s">
        <v>82</v>
      </c>
      <c r="C534" s="262">
        <v>671.0</v>
      </c>
      <c r="D534" s="262">
        <v>3.2756</v>
      </c>
      <c r="E534" s="260">
        <f t="shared" si="23"/>
        <v>196.536</v>
      </c>
      <c r="F534" s="132">
        <f t="shared" si="24"/>
        <v>0.1364833333</v>
      </c>
      <c r="G534" s="276" t="s">
        <v>961</v>
      </c>
      <c r="H534" s="131"/>
      <c r="I534" s="131"/>
      <c r="J534" s="131"/>
      <c r="K534" s="131"/>
      <c r="L534" s="131"/>
      <c r="M534" s="131"/>
      <c r="N534" s="131"/>
      <c r="O534" s="131"/>
      <c r="P534" s="131"/>
      <c r="Q534" s="131"/>
      <c r="R534" s="131"/>
      <c r="S534" s="131"/>
      <c r="T534" s="131"/>
      <c r="U534" s="131"/>
      <c r="V534" s="131"/>
      <c r="W534" s="131"/>
      <c r="X534" s="131"/>
      <c r="Y534" s="131"/>
      <c r="Z534" s="131"/>
    </row>
    <row r="535">
      <c r="A535" s="262" t="s">
        <v>35</v>
      </c>
      <c r="B535" s="262" t="s">
        <v>83</v>
      </c>
      <c r="C535" s="262">
        <v>833.0</v>
      </c>
      <c r="D535" s="262">
        <v>4.1578</v>
      </c>
      <c r="E535" s="260">
        <f t="shared" si="23"/>
        <v>249.468</v>
      </c>
      <c r="F535" s="132">
        <f t="shared" si="24"/>
        <v>0.1732416667</v>
      </c>
      <c r="G535" s="276" t="s">
        <v>962</v>
      </c>
      <c r="H535" s="131"/>
      <c r="I535" s="131"/>
      <c r="J535" s="131"/>
      <c r="K535" s="131"/>
      <c r="L535" s="131"/>
      <c r="M535" s="131"/>
      <c r="N535" s="131"/>
      <c r="O535" s="131"/>
      <c r="P535" s="131"/>
      <c r="Q535" s="131"/>
      <c r="R535" s="131"/>
      <c r="S535" s="131"/>
      <c r="T535" s="131"/>
      <c r="U535" s="131"/>
      <c r="V535" s="131"/>
      <c r="W535" s="131"/>
      <c r="X535" s="131"/>
      <c r="Y535" s="131"/>
      <c r="Z535" s="131"/>
    </row>
    <row r="536">
      <c r="A536" s="262" t="s">
        <v>35</v>
      </c>
      <c r="B536" s="262" t="s">
        <v>36</v>
      </c>
      <c r="C536" s="262">
        <v>711.0</v>
      </c>
      <c r="D536" s="262">
        <v>3.5792</v>
      </c>
      <c r="E536" s="260">
        <f t="shared" si="23"/>
        <v>214.752</v>
      </c>
      <c r="F536" s="132">
        <f t="shared" si="24"/>
        <v>0.1491333333</v>
      </c>
      <c r="G536" s="276" t="s">
        <v>963</v>
      </c>
      <c r="H536" s="131"/>
      <c r="I536" s="131"/>
      <c r="J536" s="131"/>
      <c r="K536" s="131"/>
      <c r="L536" s="131"/>
      <c r="M536" s="131"/>
      <c r="N536" s="131"/>
      <c r="O536" s="131"/>
      <c r="P536" s="131"/>
      <c r="Q536" s="131"/>
      <c r="R536" s="131"/>
      <c r="S536" s="131"/>
      <c r="T536" s="131"/>
      <c r="U536" s="131"/>
      <c r="V536" s="131"/>
      <c r="W536" s="131"/>
      <c r="X536" s="131"/>
      <c r="Y536" s="131"/>
      <c r="Z536" s="131"/>
    </row>
    <row r="537">
      <c r="A537" s="262" t="s">
        <v>17</v>
      </c>
      <c r="B537" s="262" t="s">
        <v>84</v>
      </c>
      <c r="C537" s="262">
        <v>28.0</v>
      </c>
      <c r="D537" s="262">
        <v>0.1614</v>
      </c>
      <c r="E537" s="260">
        <f t="shared" si="23"/>
        <v>9.684</v>
      </c>
      <c r="F537" s="132">
        <f t="shared" si="24"/>
        <v>0.006725</v>
      </c>
      <c r="G537" s="276" t="s">
        <v>964</v>
      </c>
      <c r="H537" s="131"/>
      <c r="I537" s="131"/>
      <c r="J537" s="131"/>
      <c r="K537" s="131"/>
      <c r="L537" s="131"/>
      <c r="M537" s="131"/>
      <c r="N537" s="131"/>
      <c r="O537" s="131"/>
      <c r="P537" s="131"/>
      <c r="Q537" s="131"/>
      <c r="R537" s="131"/>
      <c r="S537" s="131"/>
      <c r="T537" s="131"/>
      <c r="U537" s="131"/>
      <c r="V537" s="131"/>
      <c r="W537" s="131"/>
      <c r="X537" s="131"/>
      <c r="Y537" s="131"/>
      <c r="Z537" s="131"/>
    </row>
    <row r="538">
      <c r="A538" s="262" t="s">
        <v>17</v>
      </c>
      <c r="B538" s="262" t="s">
        <v>85</v>
      </c>
      <c r="C538" s="262">
        <v>459.0</v>
      </c>
      <c r="D538" s="262">
        <v>2.0814</v>
      </c>
      <c r="E538" s="260">
        <f t="shared" si="23"/>
        <v>124.884</v>
      </c>
      <c r="F538" s="132">
        <f t="shared" si="24"/>
        <v>0.086725</v>
      </c>
      <c r="G538" s="276" t="s">
        <v>965</v>
      </c>
      <c r="H538" s="131"/>
      <c r="I538" s="131"/>
      <c r="J538" s="131"/>
      <c r="K538" s="131"/>
      <c r="L538" s="131"/>
      <c r="M538" s="131"/>
      <c r="N538" s="131"/>
      <c r="O538" s="131"/>
      <c r="P538" s="131"/>
      <c r="Q538" s="131"/>
      <c r="R538" s="131"/>
      <c r="S538" s="131"/>
      <c r="T538" s="131"/>
      <c r="U538" s="131"/>
      <c r="V538" s="131"/>
      <c r="W538" s="131"/>
      <c r="X538" s="131"/>
      <c r="Y538" s="131"/>
      <c r="Z538" s="131"/>
    </row>
    <row r="539">
      <c r="A539" s="262" t="s">
        <v>17</v>
      </c>
      <c r="B539" s="262" t="s">
        <v>79</v>
      </c>
      <c r="C539" s="262">
        <v>13.0</v>
      </c>
      <c r="D539" s="262">
        <v>0.0722</v>
      </c>
      <c r="E539" s="260">
        <f t="shared" si="23"/>
        <v>4.332</v>
      </c>
      <c r="F539" s="132">
        <f t="shared" si="24"/>
        <v>0.003008333333</v>
      </c>
      <c r="G539" s="276" t="s">
        <v>966</v>
      </c>
      <c r="H539" s="131"/>
      <c r="I539" s="131"/>
      <c r="J539" s="131"/>
      <c r="K539" s="131"/>
      <c r="L539" s="131"/>
      <c r="M539" s="131"/>
      <c r="N539" s="131"/>
      <c r="O539" s="131"/>
      <c r="P539" s="131"/>
      <c r="Q539" s="131"/>
      <c r="R539" s="131"/>
      <c r="S539" s="131"/>
      <c r="T539" s="131"/>
      <c r="U539" s="131"/>
      <c r="V539" s="131"/>
      <c r="W539" s="131"/>
      <c r="X539" s="131"/>
      <c r="Y539" s="131"/>
      <c r="Z539" s="131"/>
    </row>
    <row r="540">
      <c r="A540" s="262" t="s">
        <v>17</v>
      </c>
      <c r="B540" s="262" t="s">
        <v>23</v>
      </c>
      <c r="C540" s="262">
        <v>17.0</v>
      </c>
      <c r="D540" s="262">
        <v>0.0922</v>
      </c>
      <c r="E540" s="260">
        <f t="shared" si="23"/>
        <v>5.532</v>
      </c>
      <c r="F540" s="132">
        <f t="shared" si="24"/>
        <v>0.003841666667</v>
      </c>
      <c r="G540" s="276" t="s">
        <v>967</v>
      </c>
      <c r="H540" s="131"/>
      <c r="I540" s="131"/>
      <c r="J540" s="131"/>
      <c r="K540" s="131"/>
      <c r="L540" s="131"/>
      <c r="M540" s="131"/>
      <c r="N540" s="131"/>
      <c r="O540" s="131"/>
      <c r="P540" s="131"/>
      <c r="Q540" s="131"/>
      <c r="R540" s="131"/>
      <c r="S540" s="131"/>
      <c r="T540" s="131"/>
      <c r="U540" s="131"/>
      <c r="V540" s="131"/>
      <c r="W540" s="131"/>
      <c r="X540" s="131"/>
      <c r="Y540" s="131"/>
      <c r="Z540" s="131"/>
    </row>
    <row r="541">
      <c r="A541" s="262" t="s">
        <v>17</v>
      </c>
      <c r="B541" s="262" t="s">
        <v>87</v>
      </c>
      <c r="C541" s="262">
        <v>1477.0</v>
      </c>
      <c r="D541" s="262">
        <v>6.4794</v>
      </c>
      <c r="E541" s="260">
        <f t="shared" si="23"/>
        <v>388.764</v>
      </c>
      <c r="F541" s="132">
        <f t="shared" si="24"/>
        <v>0.269975</v>
      </c>
      <c r="G541" s="276" t="s">
        <v>968</v>
      </c>
      <c r="H541" s="131"/>
      <c r="I541" s="131"/>
      <c r="J541" s="131"/>
      <c r="K541" s="131"/>
      <c r="L541" s="131"/>
      <c r="M541" s="131"/>
      <c r="N541" s="131"/>
      <c r="O541" s="131"/>
      <c r="P541" s="131"/>
      <c r="Q541" s="131"/>
      <c r="R541" s="131"/>
      <c r="S541" s="131"/>
      <c r="T541" s="131"/>
      <c r="U541" s="131"/>
      <c r="V541" s="131"/>
      <c r="W541" s="131"/>
      <c r="X541" s="131"/>
      <c r="Y541" s="131"/>
      <c r="Z541" s="131"/>
    </row>
    <row r="542">
      <c r="A542" s="262" t="s">
        <v>88</v>
      </c>
      <c r="B542" s="262" t="s">
        <v>89</v>
      </c>
      <c r="C542" s="262">
        <v>17.0</v>
      </c>
      <c r="D542" s="262">
        <v>0.085</v>
      </c>
      <c r="E542" s="260">
        <f t="shared" si="23"/>
        <v>5.1</v>
      </c>
      <c r="F542" s="132">
        <f t="shared" si="24"/>
        <v>0.003541666667</v>
      </c>
      <c r="G542" s="276" t="s">
        <v>969</v>
      </c>
      <c r="H542" s="131"/>
      <c r="I542" s="131"/>
      <c r="J542" s="131"/>
      <c r="K542" s="131"/>
      <c r="L542" s="131"/>
      <c r="M542" s="131"/>
      <c r="N542" s="131"/>
      <c r="O542" s="131"/>
      <c r="P542" s="131"/>
      <c r="Q542" s="131"/>
      <c r="R542" s="131"/>
      <c r="S542" s="131"/>
      <c r="T542" s="131"/>
      <c r="U542" s="131"/>
      <c r="V542" s="131"/>
      <c r="W542" s="131"/>
      <c r="X542" s="131"/>
      <c r="Y542" s="131"/>
      <c r="Z542" s="131"/>
    </row>
    <row r="543">
      <c r="A543" s="262" t="s">
        <v>729</v>
      </c>
      <c r="B543" s="262" t="s">
        <v>78</v>
      </c>
      <c r="C543" s="262">
        <v>1131.0</v>
      </c>
      <c r="D543" s="262">
        <v>5.4872</v>
      </c>
      <c r="E543" s="260">
        <f t="shared" si="23"/>
        <v>329.232</v>
      </c>
      <c r="F543" s="132">
        <f t="shared" si="24"/>
        <v>0.2286333333</v>
      </c>
      <c r="G543" s="276" t="s">
        <v>970</v>
      </c>
      <c r="H543" s="131"/>
      <c r="I543" s="131"/>
      <c r="J543" s="131"/>
      <c r="K543" s="131"/>
      <c r="L543" s="131"/>
      <c r="M543" s="131"/>
      <c r="N543" s="131"/>
      <c r="O543" s="131"/>
      <c r="P543" s="131"/>
      <c r="Q543" s="131"/>
      <c r="R543" s="131"/>
      <c r="S543" s="131"/>
      <c r="T543" s="131"/>
      <c r="U543" s="131"/>
      <c r="V543" s="131"/>
      <c r="W543" s="131"/>
      <c r="X543" s="131"/>
      <c r="Y543" s="131"/>
      <c r="Z543" s="131"/>
    </row>
    <row r="544">
      <c r="A544" s="262" t="s">
        <v>729</v>
      </c>
      <c r="B544" s="262" t="s">
        <v>91</v>
      </c>
      <c r="C544" s="262">
        <v>471.0</v>
      </c>
      <c r="D544" s="262">
        <v>2.4064</v>
      </c>
      <c r="E544" s="260">
        <f t="shared" si="23"/>
        <v>144.384</v>
      </c>
      <c r="F544" s="132">
        <f t="shared" si="24"/>
        <v>0.1002666667</v>
      </c>
      <c r="G544" s="276" t="s">
        <v>971</v>
      </c>
      <c r="H544" s="131"/>
      <c r="I544" s="131"/>
      <c r="J544" s="131"/>
      <c r="K544" s="131"/>
      <c r="L544" s="131"/>
      <c r="M544" s="131"/>
      <c r="N544" s="131"/>
      <c r="O544" s="131"/>
      <c r="P544" s="131"/>
      <c r="Q544" s="131"/>
      <c r="R544" s="131"/>
      <c r="S544" s="131"/>
      <c r="T544" s="131"/>
      <c r="U544" s="131"/>
      <c r="V544" s="131"/>
      <c r="W544" s="131"/>
      <c r="X544" s="131"/>
      <c r="Y544" s="131"/>
      <c r="Z544" s="131"/>
    </row>
    <row r="545">
      <c r="A545" s="262" t="s">
        <v>67</v>
      </c>
      <c r="B545" s="262" t="s">
        <v>93</v>
      </c>
      <c r="C545" s="262">
        <v>12.0</v>
      </c>
      <c r="D545" s="262">
        <v>0.0553</v>
      </c>
      <c r="E545" s="260">
        <f t="shared" si="23"/>
        <v>3.318</v>
      </c>
      <c r="F545" s="132">
        <f t="shared" si="24"/>
        <v>0.002304166667</v>
      </c>
      <c r="G545" s="276" t="s">
        <v>972</v>
      </c>
      <c r="H545" s="131"/>
      <c r="I545" s="131"/>
      <c r="J545" s="131"/>
      <c r="K545" s="131"/>
      <c r="L545" s="131"/>
      <c r="M545" s="131"/>
      <c r="N545" s="131"/>
      <c r="O545" s="131"/>
      <c r="P545" s="131"/>
      <c r="Q545" s="131"/>
      <c r="R545" s="131"/>
      <c r="S545" s="131"/>
      <c r="T545" s="131"/>
      <c r="U545" s="131"/>
      <c r="V545" s="131"/>
      <c r="W545" s="131"/>
      <c r="X545" s="131"/>
      <c r="Y545" s="131"/>
      <c r="Z545" s="131"/>
    </row>
    <row r="546">
      <c r="A546" s="262" t="s">
        <v>474</v>
      </c>
      <c r="B546" s="262" t="s">
        <v>94</v>
      </c>
      <c r="C546" s="262">
        <v>246.0</v>
      </c>
      <c r="D546" s="262">
        <v>1.2486</v>
      </c>
      <c r="E546" s="260">
        <f t="shared" si="23"/>
        <v>74.916</v>
      </c>
      <c r="F546" s="132">
        <f t="shared" si="24"/>
        <v>0.052025</v>
      </c>
      <c r="G546" s="276" t="s">
        <v>973</v>
      </c>
      <c r="H546" s="131"/>
      <c r="I546" s="131"/>
      <c r="J546" s="131"/>
      <c r="K546" s="131"/>
      <c r="L546" s="131"/>
      <c r="M546" s="131"/>
      <c r="N546" s="131"/>
      <c r="O546" s="131"/>
      <c r="P546" s="131"/>
      <c r="Q546" s="131"/>
      <c r="R546" s="131"/>
      <c r="S546" s="131"/>
      <c r="T546" s="131"/>
      <c r="U546" s="131"/>
      <c r="V546" s="131"/>
      <c r="W546" s="131"/>
      <c r="X546" s="131"/>
      <c r="Y546" s="131"/>
      <c r="Z546" s="131"/>
    </row>
    <row r="547">
      <c r="A547" s="262" t="s">
        <v>474</v>
      </c>
      <c r="B547" s="262" t="s">
        <v>95</v>
      </c>
      <c r="C547" s="262">
        <v>1041.0</v>
      </c>
      <c r="D547" s="262">
        <v>5.5639</v>
      </c>
      <c r="E547" s="260">
        <f t="shared" si="23"/>
        <v>333.834</v>
      </c>
      <c r="F547" s="132">
        <f t="shared" si="24"/>
        <v>0.2318291667</v>
      </c>
      <c r="G547" s="276" t="s">
        <v>974</v>
      </c>
      <c r="H547" s="131"/>
      <c r="I547" s="131"/>
      <c r="J547" s="131"/>
      <c r="K547" s="131"/>
      <c r="L547" s="131"/>
      <c r="M547" s="131"/>
      <c r="N547" s="131"/>
      <c r="O547" s="131"/>
      <c r="P547" s="131"/>
      <c r="Q547" s="131"/>
      <c r="R547" s="131"/>
      <c r="S547" s="131"/>
      <c r="T547" s="131"/>
      <c r="U547" s="131"/>
      <c r="V547" s="131"/>
      <c r="W547" s="131"/>
      <c r="X547" s="131"/>
      <c r="Y547" s="131"/>
      <c r="Z547" s="131"/>
    </row>
    <row r="548">
      <c r="A548" s="262" t="s">
        <v>474</v>
      </c>
      <c r="B548" s="262" t="s">
        <v>96</v>
      </c>
      <c r="C548" s="262">
        <v>49.0</v>
      </c>
      <c r="D548" s="262">
        <v>0.2658</v>
      </c>
      <c r="E548" s="260">
        <f t="shared" si="23"/>
        <v>15.948</v>
      </c>
      <c r="F548" s="132">
        <f t="shared" si="24"/>
        <v>0.011075</v>
      </c>
      <c r="G548" s="276" t="s">
        <v>975</v>
      </c>
      <c r="H548" s="131"/>
      <c r="I548" s="131"/>
      <c r="J548" s="131"/>
      <c r="K548" s="131"/>
      <c r="L548" s="131"/>
      <c r="M548" s="131"/>
      <c r="N548" s="131"/>
      <c r="O548" s="131"/>
      <c r="P548" s="131"/>
      <c r="Q548" s="131"/>
      <c r="R548" s="131"/>
      <c r="S548" s="131"/>
      <c r="T548" s="131"/>
      <c r="U548" s="131"/>
      <c r="V548" s="131"/>
      <c r="W548" s="131"/>
      <c r="X548" s="131"/>
      <c r="Y548" s="131"/>
      <c r="Z548" s="131"/>
    </row>
    <row r="549">
      <c r="A549" s="262" t="s">
        <v>474</v>
      </c>
      <c r="B549" s="262" t="s">
        <v>92</v>
      </c>
      <c r="C549" s="262">
        <v>37.0</v>
      </c>
      <c r="D549" s="262">
        <v>0.1592</v>
      </c>
      <c r="E549" s="260">
        <f t="shared" si="23"/>
        <v>9.552</v>
      </c>
      <c r="F549" s="132">
        <f t="shared" si="24"/>
        <v>0.006633333333</v>
      </c>
      <c r="G549" s="276" t="s">
        <v>976</v>
      </c>
      <c r="H549" s="131"/>
      <c r="I549" s="131"/>
      <c r="J549" s="131"/>
      <c r="K549" s="131"/>
      <c r="L549" s="131"/>
      <c r="M549" s="131"/>
      <c r="N549" s="131"/>
      <c r="O549" s="131"/>
      <c r="P549" s="131"/>
      <c r="Q549" s="131"/>
      <c r="R549" s="131"/>
      <c r="S549" s="131"/>
      <c r="T549" s="131"/>
      <c r="U549" s="131"/>
      <c r="V549" s="131"/>
      <c r="W549" s="131"/>
      <c r="X549" s="131"/>
      <c r="Y549" s="131"/>
      <c r="Z549" s="131"/>
    </row>
    <row r="550">
      <c r="A550" s="262" t="s">
        <v>474</v>
      </c>
      <c r="B550" s="262" t="s">
        <v>97</v>
      </c>
      <c r="C550" s="262">
        <v>920.0</v>
      </c>
      <c r="D550" s="262">
        <v>4.6569</v>
      </c>
      <c r="E550" s="260">
        <f t="shared" si="23"/>
        <v>279.414</v>
      </c>
      <c r="F550" s="132">
        <f t="shared" si="24"/>
        <v>0.1940375</v>
      </c>
      <c r="G550" s="276" t="s">
        <v>977</v>
      </c>
      <c r="H550" s="131"/>
      <c r="I550" s="131"/>
      <c r="J550" s="131"/>
      <c r="K550" s="131"/>
      <c r="L550" s="131"/>
      <c r="M550" s="131"/>
      <c r="N550" s="131"/>
      <c r="O550" s="131"/>
      <c r="P550" s="131"/>
      <c r="Q550" s="131"/>
      <c r="R550" s="131"/>
      <c r="S550" s="131"/>
      <c r="T550" s="131"/>
      <c r="U550" s="131"/>
      <c r="V550" s="131"/>
      <c r="W550" s="131"/>
      <c r="X550" s="131"/>
      <c r="Y550" s="131"/>
      <c r="Z550" s="131"/>
    </row>
    <row r="551">
      <c r="A551" s="262" t="s">
        <v>474</v>
      </c>
      <c r="B551" s="262" t="s">
        <v>57</v>
      </c>
      <c r="C551" s="262">
        <v>49.0</v>
      </c>
      <c r="D551" s="262">
        <v>0.2625</v>
      </c>
      <c r="E551" s="260">
        <f t="shared" si="23"/>
        <v>15.75</v>
      </c>
      <c r="F551" s="132">
        <f t="shared" si="24"/>
        <v>0.0109375</v>
      </c>
      <c r="G551" s="276" t="s">
        <v>978</v>
      </c>
      <c r="H551" s="131"/>
      <c r="I551" s="131"/>
      <c r="J551" s="131"/>
      <c r="K551" s="131"/>
      <c r="L551" s="131"/>
      <c r="M551" s="131"/>
      <c r="N551" s="131"/>
      <c r="O551" s="131"/>
      <c r="P551" s="131"/>
      <c r="Q551" s="131"/>
      <c r="R551" s="131"/>
      <c r="S551" s="131"/>
      <c r="T551" s="131"/>
      <c r="U551" s="131"/>
      <c r="V551" s="131"/>
      <c r="W551" s="131"/>
      <c r="X551" s="131"/>
      <c r="Y551" s="131"/>
      <c r="Z551" s="131"/>
    </row>
    <row r="552">
      <c r="A552" s="262" t="s">
        <v>474</v>
      </c>
      <c r="B552" s="262" t="s">
        <v>98</v>
      </c>
      <c r="C552" s="262">
        <v>266.0</v>
      </c>
      <c r="D552" s="262">
        <v>1.4111</v>
      </c>
      <c r="E552" s="260">
        <f t="shared" si="23"/>
        <v>84.666</v>
      </c>
      <c r="F552" s="132">
        <f t="shared" si="24"/>
        <v>0.05879583333</v>
      </c>
      <c r="G552" s="276" t="s">
        <v>979</v>
      </c>
      <c r="H552" s="131"/>
      <c r="I552" s="131"/>
      <c r="J552" s="131"/>
      <c r="K552" s="131"/>
      <c r="L552" s="131"/>
      <c r="M552" s="131"/>
      <c r="N552" s="131"/>
      <c r="O552" s="131"/>
      <c r="P552" s="131"/>
      <c r="Q552" s="131"/>
      <c r="R552" s="131"/>
      <c r="S552" s="131"/>
      <c r="T552" s="131"/>
      <c r="U552" s="131"/>
      <c r="V552" s="131"/>
      <c r="W552" s="131"/>
      <c r="X552" s="131"/>
      <c r="Y552" s="131"/>
      <c r="Z552" s="131"/>
    </row>
    <row r="553">
      <c r="A553" s="262" t="s">
        <v>474</v>
      </c>
      <c r="B553" s="262" t="s">
        <v>428</v>
      </c>
      <c r="C553" s="262">
        <v>73.0</v>
      </c>
      <c r="D553" s="262">
        <v>0.4097</v>
      </c>
      <c r="E553" s="260">
        <f t="shared" si="23"/>
        <v>24.582</v>
      </c>
      <c r="F553" s="132">
        <f t="shared" si="24"/>
        <v>0.01707083333</v>
      </c>
      <c r="G553" s="276" t="s">
        <v>980</v>
      </c>
      <c r="H553" s="131"/>
      <c r="I553" s="131"/>
      <c r="J553" s="131"/>
      <c r="K553" s="131"/>
      <c r="L553" s="131"/>
      <c r="M553" s="131"/>
      <c r="N553" s="131"/>
      <c r="O553" s="131"/>
      <c r="P553" s="131"/>
      <c r="Q553" s="131"/>
      <c r="R553" s="131"/>
      <c r="S553" s="131"/>
      <c r="T553" s="131"/>
      <c r="U553" s="131"/>
      <c r="V553" s="131"/>
      <c r="W553" s="131"/>
      <c r="X553" s="131"/>
      <c r="Y553" s="131"/>
      <c r="Z553" s="131"/>
    </row>
    <row r="554">
      <c r="A554" s="262" t="s">
        <v>474</v>
      </c>
      <c r="B554" s="262" t="s">
        <v>99</v>
      </c>
      <c r="C554" s="262">
        <v>1593.0</v>
      </c>
      <c r="D554" s="262">
        <v>8.0106</v>
      </c>
      <c r="E554" s="260">
        <f t="shared" si="23"/>
        <v>480.636</v>
      </c>
      <c r="F554" s="132">
        <f t="shared" si="24"/>
        <v>0.333775</v>
      </c>
      <c r="G554" s="276" t="s">
        <v>981</v>
      </c>
      <c r="H554" s="131"/>
      <c r="I554" s="131"/>
      <c r="J554" s="131"/>
      <c r="K554" s="131"/>
      <c r="L554" s="131"/>
      <c r="M554" s="131"/>
      <c r="N554" s="131"/>
      <c r="O554" s="131"/>
      <c r="P554" s="131"/>
      <c r="Q554" s="131"/>
      <c r="R554" s="131"/>
      <c r="S554" s="131"/>
      <c r="T554" s="131"/>
      <c r="U554" s="131"/>
      <c r="V554" s="131"/>
      <c r="W554" s="131"/>
      <c r="X554" s="131"/>
      <c r="Y554" s="131"/>
      <c r="Z554" s="131"/>
    </row>
    <row r="555">
      <c r="A555" s="262" t="s">
        <v>474</v>
      </c>
      <c r="B555" s="262" t="s">
        <v>61</v>
      </c>
      <c r="C555" s="262">
        <v>350.0</v>
      </c>
      <c r="D555" s="262">
        <v>1.8131</v>
      </c>
      <c r="E555" s="260">
        <f t="shared" si="23"/>
        <v>108.786</v>
      </c>
      <c r="F555" s="132">
        <f t="shared" si="24"/>
        <v>0.07554583333</v>
      </c>
      <c r="G555" s="276" t="s">
        <v>982</v>
      </c>
      <c r="H555" s="131"/>
      <c r="I555" s="131"/>
      <c r="J555" s="131"/>
      <c r="K555" s="131"/>
      <c r="L555" s="131"/>
      <c r="M555" s="131"/>
      <c r="N555" s="131"/>
      <c r="O555" s="131"/>
      <c r="P555" s="131"/>
      <c r="Q555" s="131"/>
      <c r="R555" s="131"/>
      <c r="S555" s="131"/>
      <c r="T555" s="131"/>
      <c r="U555" s="131"/>
      <c r="V555" s="131"/>
      <c r="W555" s="131"/>
      <c r="X555" s="131"/>
      <c r="Y555" s="131"/>
      <c r="Z555" s="131"/>
    </row>
    <row r="556">
      <c r="A556" s="262" t="s">
        <v>429</v>
      </c>
      <c r="B556" s="262" t="s">
        <v>101</v>
      </c>
      <c r="C556" s="262">
        <v>10.0</v>
      </c>
      <c r="D556" s="262">
        <v>0.0536</v>
      </c>
      <c r="E556" s="260">
        <f t="shared" si="23"/>
        <v>3.216</v>
      </c>
      <c r="F556" s="132">
        <f t="shared" si="24"/>
        <v>0.002233333333</v>
      </c>
      <c r="G556" s="276" t="s">
        <v>983</v>
      </c>
      <c r="H556" s="131"/>
      <c r="I556" s="131"/>
      <c r="J556" s="131"/>
      <c r="K556" s="131"/>
      <c r="L556" s="131"/>
      <c r="M556" s="131"/>
      <c r="N556" s="131"/>
      <c r="O556" s="131"/>
      <c r="P556" s="131"/>
      <c r="Q556" s="131"/>
      <c r="R556" s="131"/>
      <c r="S556" s="131"/>
      <c r="T556" s="131"/>
      <c r="U556" s="131"/>
      <c r="V556" s="131"/>
      <c r="W556" s="131"/>
      <c r="X556" s="131"/>
      <c r="Y556" s="131"/>
      <c r="Z556" s="131"/>
    </row>
    <row r="557">
      <c r="A557" s="262" t="s">
        <v>429</v>
      </c>
      <c r="B557" s="262" t="s">
        <v>102</v>
      </c>
      <c r="C557" s="262">
        <v>11.0</v>
      </c>
      <c r="D557" s="262">
        <v>0.0458</v>
      </c>
      <c r="E557" s="260">
        <f t="shared" si="23"/>
        <v>2.748</v>
      </c>
      <c r="F557" s="132">
        <f t="shared" si="24"/>
        <v>0.001908333333</v>
      </c>
      <c r="G557" s="276" t="s">
        <v>984</v>
      </c>
      <c r="H557" s="131"/>
      <c r="I557" s="131"/>
      <c r="J557" s="131"/>
      <c r="K557" s="131"/>
      <c r="L557" s="131"/>
      <c r="M557" s="131"/>
      <c r="N557" s="131"/>
      <c r="O557" s="131"/>
      <c r="P557" s="131"/>
      <c r="Q557" s="131"/>
      <c r="R557" s="131"/>
      <c r="S557" s="131"/>
      <c r="T557" s="131"/>
      <c r="U557" s="131"/>
      <c r="V557" s="131"/>
      <c r="W557" s="131"/>
      <c r="X557" s="131"/>
      <c r="Y557" s="131"/>
      <c r="Z557" s="131"/>
    </row>
    <row r="558">
      <c r="A558" s="262" t="s">
        <v>429</v>
      </c>
      <c r="B558" s="262" t="s">
        <v>103</v>
      </c>
      <c r="C558" s="262">
        <v>10.0</v>
      </c>
      <c r="D558" s="262">
        <v>0.0444</v>
      </c>
      <c r="E558" s="260">
        <f t="shared" si="23"/>
        <v>2.664</v>
      </c>
      <c r="F558" s="132">
        <f t="shared" si="24"/>
        <v>0.00185</v>
      </c>
      <c r="G558" s="276" t="s">
        <v>985</v>
      </c>
      <c r="H558" s="131"/>
      <c r="I558" s="131"/>
      <c r="J558" s="131"/>
      <c r="K558" s="131"/>
      <c r="L558" s="131"/>
      <c r="M558" s="131"/>
      <c r="N558" s="131"/>
      <c r="O558" s="131"/>
      <c r="P558" s="131"/>
      <c r="Q558" s="131"/>
      <c r="R558" s="131"/>
      <c r="S558" s="131"/>
      <c r="T558" s="131"/>
      <c r="U558" s="131"/>
      <c r="V558" s="131"/>
      <c r="W558" s="131"/>
      <c r="X558" s="131"/>
      <c r="Y558" s="131"/>
      <c r="Z558" s="131"/>
    </row>
    <row r="559">
      <c r="A559" s="262" t="s">
        <v>429</v>
      </c>
      <c r="B559" s="262" t="s">
        <v>431</v>
      </c>
      <c r="C559" s="262">
        <v>20.0</v>
      </c>
      <c r="D559" s="262">
        <v>0.105</v>
      </c>
      <c r="E559" s="260">
        <f t="shared" si="23"/>
        <v>6.3</v>
      </c>
      <c r="F559" s="132">
        <f t="shared" si="24"/>
        <v>0.004375</v>
      </c>
      <c r="G559" s="276" t="s">
        <v>986</v>
      </c>
      <c r="H559" s="131"/>
      <c r="I559" s="131"/>
      <c r="J559" s="131"/>
      <c r="K559" s="131"/>
      <c r="L559" s="131"/>
      <c r="M559" s="131"/>
      <c r="N559" s="131"/>
      <c r="O559" s="131"/>
      <c r="P559" s="131"/>
      <c r="Q559" s="131"/>
      <c r="R559" s="131"/>
      <c r="S559" s="131"/>
      <c r="T559" s="131"/>
      <c r="U559" s="131"/>
      <c r="V559" s="131"/>
      <c r="W559" s="131"/>
      <c r="X559" s="131"/>
      <c r="Y559" s="131"/>
      <c r="Z559" s="131"/>
    </row>
    <row r="560">
      <c r="A560" s="262" t="s">
        <v>429</v>
      </c>
      <c r="B560" s="262" t="s">
        <v>432</v>
      </c>
      <c r="C560" s="262">
        <v>10.0</v>
      </c>
      <c r="D560" s="262">
        <v>0.0506</v>
      </c>
      <c r="E560" s="260">
        <f t="shared" si="23"/>
        <v>3.036</v>
      </c>
      <c r="F560" s="132">
        <f t="shared" si="24"/>
        <v>0.002108333333</v>
      </c>
      <c r="G560" s="276" t="s">
        <v>987</v>
      </c>
      <c r="H560" s="131"/>
      <c r="I560" s="131"/>
      <c r="J560" s="131"/>
      <c r="K560" s="131"/>
      <c r="L560" s="131"/>
      <c r="M560" s="131"/>
      <c r="N560" s="131"/>
      <c r="O560" s="131"/>
      <c r="P560" s="131"/>
      <c r="Q560" s="131"/>
      <c r="R560" s="131"/>
      <c r="S560" s="131"/>
      <c r="T560" s="131"/>
      <c r="U560" s="131"/>
      <c r="V560" s="131"/>
      <c r="W560" s="131"/>
      <c r="X560" s="131"/>
      <c r="Y560" s="131"/>
      <c r="Z560" s="131"/>
    </row>
    <row r="561">
      <c r="A561" s="262" t="s">
        <v>429</v>
      </c>
      <c r="B561" s="262" t="s">
        <v>105</v>
      </c>
      <c r="C561" s="262">
        <v>11.0</v>
      </c>
      <c r="D561" s="262">
        <v>0.0528</v>
      </c>
      <c r="E561" s="260">
        <f t="shared" si="23"/>
        <v>3.168</v>
      </c>
      <c r="F561" s="132">
        <f t="shared" si="24"/>
        <v>0.0022</v>
      </c>
      <c r="G561" s="276" t="s">
        <v>988</v>
      </c>
      <c r="H561" s="131"/>
      <c r="I561" s="131"/>
      <c r="J561" s="131"/>
      <c r="K561" s="131"/>
      <c r="L561" s="131"/>
      <c r="M561" s="131"/>
      <c r="N561" s="131"/>
      <c r="O561" s="131"/>
      <c r="P561" s="131"/>
      <c r="Q561" s="131"/>
      <c r="R561" s="131"/>
      <c r="S561" s="131"/>
      <c r="T561" s="131"/>
      <c r="U561" s="131"/>
      <c r="V561" s="131"/>
      <c r="W561" s="131"/>
      <c r="X561" s="131"/>
      <c r="Y561" s="131"/>
      <c r="Z561" s="131"/>
    </row>
    <row r="562">
      <c r="A562" s="131"/>
      <c r="B562" s="131"/>
      <c r="C562" s="131">
        <f>sum(C488:C561)</f>
        <v>44638</v>
      </c>
      <c r="D562" s="212" t="s">
        <v>484</v>
      </c>
      <c r="E562" s="222">
        <f>SUM(E488:E561)</f>
        <v>13454.856</v>
      </c>
      <c r="F562" s="132">
        <f t="shared" si="24"/>
        <v>9.34365</v>
      </c>
      <c r="G562" s="211"/>
      <c r="H562" s="131"/>
      <c r="I562" s="131"/>
      <c r="J562" s="131"/>
      <c r="K562" s="131"/>
      <c r="L562" s="131"/>
      <c r="M562" s="131"/>
      <c r="N562" s="131"/>
      <c r="O562" s="131"/>
      <c r="P562" s="131"/>
      <c r="Q562" s="131"/>
      <c r="R562" s="131"/>
      <c r="S562" s="131"/>
      <c r="T562" s="131"/>
      <c r="U562" s="131"/>
      <c r="V562" s="131"/>
      <c r="W562" s="131"/>
      <c r="X562" s="131"/>
      <c r="Y562" s="131"/>
      <c r="Z562" s="131"/>
    </row>
    <row r="563">
      <c r="A563" s="131"/>
      <c r="B563" s="131"/>
      <c r="C563" s="131"/>
      <c r="D563" s="131"/>
      <c r="E563" s="222"/>
      <c r="F563" s="132"/>
      <c r="G563" s="211"/>
      <c r="H563" s="131"/>
      <c r="I563" s="131"/>
      <c r="J563" s="131"/>
      <c r="K563" s="131"/>
      <c r="L563" s="131"/>
      <c r="M563" s="131"/>
      <c r="N563" s="131"/>
      <c r="O563" s="131"/>
      <c r="P563" s="131"/>
      <c r="Q563" s="131"/>
      <c r="R563" s="131"/>
      <c r="S563" s="131"/>
      <c r="T563" s="131"/>
      <c r="U563" s="131"/>
      <c r="V563" s="131"/>
      <c r="W563" s="131"/>
      <c r="X563" s="131"/>
      <c r="Y563" s="131"/>
      <c r="Z563" s="203"/>
    </row>
    <row r="564">
      <c r="A564" s="131"/>
      <c r="B564" s="131"/>
      <c r="C564" s="131"/>
      <c r="D564" s="131"/>
      <c r="E564" s="222"/>
      <c r="F564" s="132"/>
      <c r="G564" s="211"/>
      <c r="H564" s="131"/>
      <c r="I564" s="131"/>
      <c r="J564" s="131"/>
      <c r="K564" s="131"/>
      <c r="L564" s="131"/>
      <c r="M564" s="131"/>
      <c r="N564" s="131"/>
      <c r="O564" s="131"/>
      <c r="P564" s="131"/>
      <c r="Q564" s="131"/>
      <c r="R564" s="131"/>
      <c r="S564" s="131"/>
      <c r="T564" s="131"/>
      <c r="U564" s="131"/>
      <c r="V564" s="131"/>
      <c r="W564" s="131"/>
      <c r="X564" s="131"/>
      <c r="Y564" s="131"/>
      <c r="Z564" s="203"/>
    </row>
    <row r="565">
      <c r="A565" s="277" t="s">
        <v>989</v>
      </c>
      <c r="B565" s="131"/>
      <c r="C565" s="131"/>
      <c r="D565" s="131"/>
      <c r="E565" s="222"/>
      <c r="F565" s="132"/>
      <c r="G565" s="211"/>
      <c r="H565" s="131"/>
      <c r="I565" s="131"/>
      <c r="J565" s="131"/>
      <c r="K565" s="131"/>
      <c r="L565" s="131"/>
      <c r="M565" s="131"/>
      <c r="N565" s="131"/>
      <c r="O565" s="131"/>
      <c r="P565" s="131"/>
      <c r="Q565" s="131"/>
      <c r="R565" s="131"/>
      <c r="S565" s="131"/>
      <c r="T565" s="131"/>
      <c r="U565" s="131"/>
      <c r="V565" s="131"/>
      <c r="W565" s="131"/>
      <c r="X565" s="131"/>
      <c r="Y565" s="131"/>
      <c r="Z565" s="203"/>
    </row>
    <row r="566">
      <c r="A566" s="131"/>
      <c r="B566" s="131"/>
      <c r="C566" s="131"/>
      <c r="D566" s="131"/>
      <c r="E566" s="222"/>
      <c r="F566" s="132"/>
      <c r="G566" s="211"/>
      <c r="H566" s="131"/>
      <c r="I566" s="131"/>
      <c r="J566" s="131"/>
      <c r="K566" s="131"/>
      <c r="L566" s="131"/>
      <c r="M566" s="131"/>
      <c r="N566" s="131"/>
      <c r="O566" s="131"/>
      <c r="P566" s="131"/>
      <c r="Q566" s="131"/>
      <c r="R566" s="131"/>
      <c r="S566" s="131"/>
      <c r="T566" s="131"/>
      <c r="U566" s="131"/>
      <c r="V566" s="131"/>
      <c r="W566" s="131"/>
      <c r="X566" s="131"/>
      <c r="Y566" s="131"/>
      <c r="Z566" s="203"/>
    </row>
    <row r="567">
      <c r="A567" s="268" t="s">
        <v>0</v>
      </c>
      <c r="B567" s="268" t="s">
        <v>362</v>
      </c>
      <c r="C567" s="239" t="s">
        <v>534</v>
      </c>
      <c r="D567" s="239" t="s">
        <v>420</v>
      </c>
      <c r="E567" s="259" t="s">
        <v>3</v>
      </c>
      <c r="F567" s="214" t="s">
        <v>470</v>
      </c>
      <c r="G567" s="140" t="s">
        <v>471</v>
      </c>
      <c r="H567" s="131"/>
      <c r="I567" s="131"/>
      <c r="J567" s="131"/>
      <c r="K567" s="131"/>
      <c r="L567" s="131"/>
      <c r="M567" s="131"/>
      <c r="N567" s="131"/>
      <c r="O567" s="131"/>
      <c r="P567" s="131"/>
      <c r="Q567" s="131"/>
      <c r="R567" s="131"/>
      <c r="S567" s="131"/>
      <c r="T567" s="131"/>
      <c r="U567" s="131"/>
      <c r="V567" s="131"/>
      <c r="W567" s="131"/>
      <c r="X567" s="131"/>
      <c r="Y567" s="131"/>
      <c r="Z567" s="203"/>
    </row>
    <row r="568">
      <c r="A568" s="262" t="s">
        <v>611</v>
      </c>
      <c r="B568" s="262" t="s">
        <v>48</v>
      </c>
      <c r="C568" s="262">
        <v>6397.0</v>
      </c>
      <c r="D568" s="262">
        <v>28.9928019</v>
      </c>
      <c r="E568" s="260">
        <f t="shared" ref="E568:E647" si="25">D568*60</f>
        <v>1739.568114</v>
      </c>
      <c r="F568" s="132">
        <f t="shared" ref="F568:F648" si="26">E568/24/60</f>
        <v>1.208033413</v>
      </c>
      <c r="G568" s="276" t="s">
        <v>990</v>
      </c>
      <c r="H568" s="131"/>
      <c r="I568" s="131"/>
      <c r="J568" s="131"/>
      <c r="K568" s="131"/>
      <c r="L568" s="131"/>
      <c r="M568" s="131"/>
      <c r="N568" s="131"/>
      <c r="O568" s="131"/>
      <c r="P568" s="131"/>
      <c r="Q568" s="131"/>
      <c r="R568" s="131"/>
      <c r="S568" s="131"/>
      <c r="T568" s="131"/>
      <c r="U568" s="131"/>
      <c r="V568" s="131"/>
      <c r="W568" s="131"/>
      <c r="X568" s="131"/>
      <c r="Y568" s="131"/>
      <c r="Z568" s="203"/>
    </row>
    <row r="569">
      <c r="A569" s="262" t="s">
        <v>611</v>
      </c>
      <c r="B569" s="262" t="s">
        <v>49</v>
      </c>
      <c r="C569" s="262">
        <v>5493.0</v>
      </c>
      <c r="D569" s="262">
        <v>26.6540469</v>
      </c>
      <c r="E569" s="260">
        <f t="shared" si="25"/>
        <v>1599.242814</v>
      </c>
      <c r="F569" s="132">
        <f t="shared" si="26"/>
        <v>1.110585288</v>
      </c>
      <c r="G569" s="278" t="s">
        <v>991</v>
      </c>
      <c r="H569" s="131"/>
      <c r="I569" s="131"/>
      <c r="J569" s="131"/>
      <c r="K569" s="131"/>
      <c r="L569" s="131"/>
      <c r="M569" s="131"/>
      <c r="N569" s="131"/>
      <c r="O569" s="131"/>
      <c r="P569" s="131"/>
      <c r="Q569" s="131"/>
      <c r="R569" s="131"/>
      <c r="S569" s="131"/>
      <c r="T569" s="131"/>
      <c r="U569" s="131"/>
      <c r="V569" s="131"/>
      <c r="W569" s="131"/>
      <c r="X569" s="131"/>
      <c r="Y569" s="131"/>
      <c r="Z569" s="203"/>
    </row>
    <row r="570">
      <c r="A570" s="262" t="s">
        <v>611</v>
      </c>
      <c r="B570" s="262" t="s">
        <v>50</v>
      </c>
      <c r="C570" s="262">
        <v>5069.0</v>
      </c>
      <c r="D570" s="262">
        <v>23.3595433</v>
      </c>
      <c r="E570" s="260">
        <f t="shared" si="25"/>
        <v>1401.572598</v>
      </c>
      <c r="F570" s="132">
        <f t="shared" si="26"/>
        <v>0.9733143042</v>
      </c>
      <c r="G570" s="276" t="s">
        <v>992</v>
      </c>
      <c r="H570" s="131"/>
      <c r="I570" s="131"/>
      <c r="J570" s="131"/>
      <c r="K570" s="131"/>
      <c r="L570" s="131"/>
      <c r="M570" s="131"/>
      <c r="N570" s="131"/>
      <c r="O570" s="131"/>
      <c r="P570" s="131"/>
      <c r="Q570" s="131"/>
      <c r="R570" s="131"/>
      <c r="S570" s="131"/>
      <c r="T570" s="131"/>
      <c r="U570" s="131"/>
      <c r="V570" s="131"/>
      <c r="W570" s="131"/>
      <c r="X570" s="131"/>
      <c r="Y570" s="131"/>
      <c r="Z570" s="203"/>
    </row>
    <row r="571">
      <c r="A571" s="262" t="s">
        <v>611</v>
      </c>
      <c r="B571" s="262" t="s">
        <v>51</v>
      </c>
      <c r="C571" s="262">
        <v>3514.0</v>
      </c>
      <c r="D571" s="262">
        <v>17.2714028</v>
      </c>
      <c r="E571" s="260">
        <f t="shared" si="25"/>
        <v>1036.284168</v>
      </c>
      <c r="F571" s="132">
        <f t="shared" si="26"/>
        <v>0.7196417833</v>
      </c>
      <c r="G571" s="276" t="s">
        <v>993</v>
      </c>
      <c r="H571" s="131"/>
      <c r="I571" s="131"/>
      <c r="J571" s="131"/>
      <c r="K571" s="131"/>
      <c r="L571" s="131"/>
      <c r="M571" s="131"/>
      <c r="N571" s="131"/>
      <c r="O571" s="131"/>
      <c r="P571" s="131"/>
      <c r="Q571" s="131"/>
      <c r="R571" s="131"/>
      <c r="S571" s="131"/>
      <c r="T571" s="131"/>
      <c r="U571" s="131"/>
      <c r="V571" s="131"/>
      <c r="W571" s="131"/>
      <c r="X571" s="131"/>
      <c r="Y571" s="131"/>
      <c r="Z571" s="203"/>
    </row>
    <row r="572">
      <c r="A572" s="262" t="s">
        <v>611</v>
      </c>
      <c r="B572" s="262" t="s">
        <v>52</v>
      </c>
      <c r="C572" s="262">
        <v>2858.0</v>
      </c>
      <c r="D572" s="262">
        <v>13.7157</v>
      </c>
      <c r="E572" s="260">
        <f t="shared" si="25"/>
        <v>822.942</v>
      </c>
      <c r="F572" s="132">
        <f t="shared" si="26"/>
        <v>0.5714875</v>
      </c>
      <c r="G572" s="276" t="s">
        <v>994</v>
      </c>
      <c r="H572" s="131"/>
      <c r="I572" s="131"/>
      <c r="J572" s="131"/>
      <c r="K572" s="131"/>
      <c r="L572" s="131"/>
      <c r="M572" s="131"/>
      <c r="N572" s="131"/>
      <c r="O572" s="131"/>
      <c r="P572" s="131"/>
      <c r="Q572" s="131"/>
      <c r="R572" s="131"/>
      <c r="S572" s="131"/>
      <c r="T572" s="131"/>
      <c r="U572" s="131"/>
      <c r="V572" s="131"/>
      <c r="W572" s="131"/>
      <c r="X572" s="131"/>
      <c r="Y572" s="131"/>
      <c r="Z572" s="203"/>
    </row>
    <row r="573">
      <c r="A573" s="262" t="s">
        <v>611</v>
      </c>
      <c r="B573" s="262" t="s">
        <v>53</v>
      </c>
      <c r="C573" s="262">
        <v>3617.0</v>
      </c>
      <c r="D573" s="262">
        <v>16.4325128</v>
      </c>
      <c r="E573" s="260">
        <f t="shared" si="25"/>
        <v>985.950768</v>
      </c>
      <c r="F573" s="132">
        <f t="shared" si="26"/>
        <v>0.6846880333</v>
      </c>
      <c r="G573" s="276" t="s">
        <v>995</v>
      </c>
      <c r="H573" s="131"/>
      <c r="I573" s="131"/>
      <c r="J573" s="131"/>
      <c r="K573" s="131"/>
      <c r="L573" s="131"/>
      <c r="M573" s="131"/>
      <c r="N573" s="131"/>
      <c r="O573" s="131"/>
      <c r="P573" s="131"/>
      <c r="Q573" s="131"/>
      <c r="R573" s="131"/>
      <c r="S573" s="131"/>
      <c r="T573" s="131"/>
      <c r="U573" s="131"/>
      <c r="V573" s="131"/>
      <c r="W573" s="131"/>
      <c r="X573" s="131"/>
      <c r="Y573" s="131"/>
      <c r="Z573" s="203"/>
    </row>
    <row r="574">
      <c r="A574" s="262" t="s">
        <v>7</v>
      </c>
      <c r="B574" s="262" t="s">
        <v>34</v>
      </c>
      <c r="C574" s="262">
        <v>5793.0</v>
      </c>
      <c r="D574" s="262">
        <v>29.3822553</v>
      </c>
      <c r="E574" s="260">
        <f t="shared" si="25"/>
        <v>1762.935318</v>
      </c>
      <c r="F574" s="132">
        <f t="shared" si="26"/>
        <v>1.224260638</v>
      </c>
      <c r="G574" s="276" t="s">
        <v>996</v>
      </c>
      <c r="H574" s="131"/>
      <c r="I574" s="131"/>
      <c r="J574" s="131"/>
      <c r="K574" s="131"/>
      <c r="L574" s="131"/>
      <c r="M574" s="131"/>
      <c r="N574" s="131"/>
      <c r="O574" s="131"/>
      <c r="P574" s="131"/>
      <c r="Q574" s="131"/>
      <c r="R574" s="131"/>
      <c r="S574" s="131"/>
      <c r="T574" s="131"/>
      <c r="U574" s="131"/>
      <c r="V574" s="131"/>
      <c r="W574" s="131"/>
      <c r="X574" s="131"/>
      <c r="Y574" s="131"/>
      <c r="Z574" s="203"/>
    </row>
    <row r="575">
      <c r="A575" s="262" t="s">
        <v>7</v>
      </c>
      <c r="B575" s="262" t="s">
        <v>37</v>
      </c>
      <c r="C575" s="262">
        <v>5007.0</v>
      </c>
      <c r="D575" s="262">
        <v>23.6405822</v>
      </c>
      <c r="E575" s="260">
        <f t="shared" si="25"/>
        <v>1418.434932</v>
      </c>
      <c r="F575" s="132">
        <f t="shared" si="26"/>
        <v>0.9850242583</v>
      </c>
      <c r="G575" s="276" t="s">
        <v>997</v>
      </c>
      <c r="H575" s="131"/>
      <c r="I575" s="131"/>
      <c r="J575" s="131"/>
      <c r="K575" s="131"/>
      <c r="L575" s="131"/>
      <c r="M575" s="131"/>
      <c r="N575" s="131"/>
      <c r="O575" s="131"/>
      <c r="P575" s="131"/>
      <c r="Q575" s="131"/>
      <c r="R575" s="131"/>
      <c r="S575" s="131"/>
      <c r="T575" s="131"/>
      <c r="U575" s="131"/>
      <c r="V575" s="131"/>
      <c r="W575" s="131"/>
      <c r="X575" s="131"/>
      <c r="Y575" s="131"/>
      <c r="Z575" s="203"/>
    </row>
    <row r="576">
      <c r="A576" s="262" t="s">
        <v>7</v>
      </c>
      <c r="B576" s="262" t="s">
        <v>26</v>
      </c>
      <c r="C576" s="262">
        <v>6200.0</v>
      </c>
      <c r="D576" s="262">
        <v>29.7384944</v>
      </c>
      <c r="E576" s="260">
        <f t="shared" si="25"/>
        <v>1784.309664</v>
      </c>
      <c r="F576" s="132">
        <f t="shared" si="26"/>
        <v>1.239103933</v>
      </c>
      <c r="G576" s="276" t="s">
        <v>998</v>
      </c>
      <c r="H576" s="131"/>
      <c r="I576" s="131"/>
      <c r="J576" s="131"/>
      <c r="K576" s="131"/>
      <c r="L576" s="131"/>
      <c r="M576" s="131"/>
      <c r="N576" s="131"/>
      <c r="O576" s="131"/>
      <c r="P576" s="131"/>
      <c r="Q576" s="131"/>
      <c r="R576" s="131"/>
      <c r="S576" s="131"/>
      <c r="T576" s="131"/>
      <c r="U576" s="131"/>
      <c r="V576" s="131"/>
      <c r="W576" s="131"/>
      <c r="X576" s="131"/>
      <c r="Y576" s="131"/>
      <c r="Z576" s="203"/>
    </row>
    <row r="577">
      <c r="A577" s="262" t="s">
        <v>7</v>
      </c>
      <c r="B577" s="262" t="s">
        <v>24</v>
      </c>
      <c r="C577" s="262">
        <v>6389.0</v>
      </c>
      <c r="D577" s="262">
        <v>30.1931183</v>
      </c>
      <c r="E577" s="260">
        <f t="shared" si="25"/>
        <v>1811.587098</v>
      </c>
      <c r="F577" s="132">
        <f t="shared" si="26"/>
        <v>1.258046596</v>
      </c>
      <c r="G577" s="276" t="s">
        <v>999</v>
      </c>
      <c r="H577" s="131"/>
      <c r="I577" s="131"/>
      <c r="J577" s="131"/>
      <c r="K577" s="131"/>
      <c r="L577" s="131"/>
      <c r="M577" s="131"/>
      <c r="N577" s="131"/>
      <c r="O577" s="131"/>
      <c r="P577" s="131"/>
      <c r="Q577" s="131"/>
      <c r="R577" s="131"/>
      <c r="S577" s="131"/>
      <c r="T577" s="131"/>
      <c r="U577" s="131"/>
      <c r="V577" s="131"/>
      <c r="W577" s="131"/>
      <c r="X577" s="131"/>
      <c r="Y577" s="131"/>
      <c r="Z577" s="203"/>
    </row>
    <row r="578">
      <c r="A578" s="262" t="s">
        <v>7</v>
      </c>
      <c r="B578" s="262" t="s">
        <v>422</v>
      </c>
      <c r="C578" s="262">
        <v>6237.0</v>
      </c>
      <c r="D578" s="262">
        <v>29.4958011</v>
      </c>
      <c r="E578" s="260">
        <f t="shared" si="25"/>
        <v>1769.748066</v>
      </c>
      <c r="F578" s="132">
        <f t="shared" si="26"/>
        <v>1.228991713</v>
      </c>
      <c r="G578" s="276" t="s">
        <v>1000</v>
      </c>
      <c r="H578" s="131"/>
      <c r="I578" s="131"/>
      <c r="J578" s="131"/>
      <c r="K578" s="131"/>
      <c r="L578" s="131"/>
      <c r="M578" s="131"/>
      <c r="N578" s="131"/>
      <c r="O578" s="131"/>
      <c r="P578" s="131"/>
      <c r="Q578" s="131"/>
      <c r="R578" s="131"/>
      <c r="S578" s="131"/>
      <c r="T578" s="131"/>
      <c r="U578" s="131"/>
      <c r="V578" s="131"/>
      <c r="W578" s="131"/>
      <c r="X578" s="131"/>
      <c r="Y578" s="131"/>
      <c r="Z578" s="203"/>
    </row>
    <row r="579">
      <c r="A579" s="262" t="s">
        <v>7</v>
      </c>
      <c r="B579" s="262" t="s">
        <v>27</v>
      </c>
      <c r="C579" s="262">
        <v>8389.0</v>
      </c>
      <c r="D579" s="262">
        <v>39.4002908</v>
      </c>
      <c r="E579" s="260">
        <f t="shared" si="25"/>
        <v>2364.017448</v>
      </c>
      <c r="F579" s="132">
        <f t="shared" si="26"/>
        <v>1.641678783</v>
      </c>
      <c r="G579" s="276" t="s">
        <v>1001</v>
      </c>
      <c r="H579" s="131"/>
      <c r="I579" s="131"/>
      <c r="J579" s="131"/>
      <c r="K579" s="131"/>
      <c r="L579" s="131"/>
      <c r="M579" s="131"/>
      <c r="N579" s="131"/>
      <c r="O579" s="131"/>
      <c r="P579" s="131"/>
      <c r="Q579" s="131"/>
      <c r="R579" s="131"/>
      <c r="S579" s="131"/>
      <c r="T579" s="131"/>
      <c r="U579" s="131"/>
      <c r="V579" s="131"/>
      <c r="W579" s="131"/>
      <c r="X579" s="131"/>
      <c r="Y579" s="131"/>
      <c r="Z579" s="203"/>
    </row>
    <row r="580">
      <c r="A580" s="262" t="s">
        <v>7</v>
      </c>
      <c r="B580" s="262" t="s">
        <v>19</v>
      </c>
      <c r="C580" s="262">
        <v>8519.0</v>
      </c>
      <c r="D580" s="262">
        <v>40.2771514</v>
      </c>
      <c r="E580" s="260">
        <f t="shared" si="25"/>
        <v>2416.629084</v>
      </c>
      <c r="F580" s="132">
        <f t="shared" si="26"/>
        <v>1.678214642</v>
      </c>
      <c r="G580" s="276" t="s">
        <v>1002</v>
      </c>
      <c r="H580" s="131"/>
      <c r="I580" s="131"/>
      <c r="J580" s="131"/>
      <c r="K580" s="131"/>
      <c r="L580" s="131"/>
      <c r="M580" s="131"/>
      <c r="N580" s="131"/>
      <c r="O580" s="131"/>
      <c r="P580" s="131"/>
      <c r="Q580" s="131"/>
      <c r="R580" s="131"/>
      <c r="S580" s="131"/>
      <c r="T580" s="131"/>
      <c r="U580" s="131"/>
      <c r="V580" s="131"/>
      <c r="W580" s="131"/>
      <c r="X580" s="131"/>
      <c r="Y580" s="131"/>
      <c r="Z580" s="203"/>
    </row>
    <row r="581">
      <c r="A581" s="262" t="s">
        <v>7</v>
      </c>
      <c r="B581" s="262" t="s">
        <v>40</v>
      </c>
      <c r="C581" s="262">
        <v>5688.0</v>
      </c>
      <c r="D581" s="262">
        <v>25.7922583</v>
      </c>
      <c r="E581" s="260">
        <f t="shared" si="25"/>
        <v>1547.535498</v>
      </c>
      <c r="F581" s="132">
        <f t="shared" si="26"/>
        <v>1.074677429</v>
      </c>
      <c r="G581" s="276" t="s">
        <v>1003</v>
      </c>
      <c r="H581" s="131"/>
      <c r="I581" s="131"/>
      <c r="J581" s="131"/>
      <c r="K581" s="131"/>
      <c r="L581" s="131"/>
      <c r="M581" s="131"/>
      <c r="N581" s="131"/>
      <c r="O581" s="131"/>
      <c r="P581" s="131"/>
      <c r="Q581" s="131"/>
      <c r="R581" s="131"/>
      <c r="S581" s="131"/>
      <c r="T581" s="131"/>
      <c r="U581" s="131"/>
      <c r="V581" s="131"/>
      <c r="W581" s="131"/>
      <c r="X581" s="131"/>
      <c r="Y581" s="131"/>
      <c r="Z581" s="203"/>
    </row>
    <row r="582">
      <c r="A582" s="262" t="s">
        <v>7</v>
      </c>
      <c r="B582" s="262" t="s">
        <v>44</v>
      </c>
      <c r="C582" s="262">
        <v>7470.0</v>
      </c>
      <c r="D582" s="262">
        <v>35.7649006</v>
      </c>
      <c r="E582" s="260">
        <f t="shared" si="25"/>
        <v>2145.894036</v>
      </c>
      <c r="F582" s="132">
        <f t="shared" si="26"/>
        <v>1.490204192</v>
      </c>
      <c r="G582" s="276" t="s">
        <v>1004</v>
      </c>
      <c r="H582" s="131"/>
      <c r="I582" s="131"/>
      <c r="J582" s="131"/>
      <c r="K582" s="131"/>
      <c r="L582" s="131"/>
      <c r="M582" s="131"/>
      <c r="N582" s="131"/>
      <c r="O582" s="131"/>
      <c r="P582" s="131"/>
      <c r="Q582" s="131"/>
      <c r="R582" s="131"/>
      <c r="S582" s="131"/>
      <c r="T582" s="131"/>
      <c r="U582" s="131"/>
      <c r="V582" s="131"/>
      <c r="W582" s="131"/>
      <c r="X582" s="131"/>
      <c r="Y582" s="131"/>
      <c r="Z582" s="203"/>
    </row>
    <row r="583">
      <c r="A583" s="262" t="s">
        <v>7</v>
      </c>
      <c r="B583" s="262" t="s">
        <v>21</v>
      </c>
      <c r="C583" s="262">
        <v>6837.0</v>
      </c>
      <c r="D583" s="262">
        <v>34.1618989</v>
      </c>
      <c r="E583" s="260">
        <f t="shared" si="25"/>
        <v>2049.713934</v>
      </c>
      <c r="F583" s="132">
        <f t="shared" si="26"/>
        <v>1.423412454</v>
      </c>
      <c r="G583" s="276" t="s">
        <v>1005</v>
      </c>
      <c r="H583" s="131"/>
      <c r="I583" s="131"/>
      <c r="J583" s="131"/>
      <c r="K583" s="131"/>
      <c r="L583" s="131"/>
      <c r="M583" s="131"/>
      <c r="N583" s="131"/>
      <c r="O583" s="131"/>
      <c r="P583" s="131"/>
      <c r="Q583" s="131"/>
      <c r="R583" s="131"/>
      <c r="S583" s="131"/>
      <c r="T583" s="131"/>
      <c r="U583" s="131"/>
      <c r="V583" s="131"/>
      <c r="W583" s="131"/>
      <c r="X583" s="131"/>
      <c r="Y583" s="131"/>
      <c r="Z583" s="203"/>
    </row>
    <row r="584">
      <c r="A584" s="262" t="s">
        <v>7</v>
      </c>
      <c r="B584" s="262" t="s">
        <v>31</v>
      </c>
      <c r="C584" s="262">
        <v>6716.0</v>
      </c>
      <c r="D584" s="262">
        <v>32.1413456</v>
      </c>
      <c r="E584" s="260">
        <f t="shared" si="25"/>
        <v>1928.480736</v>
      </c>
      <c r="F584" s="132">
        <f t="shared" si="26"/>
        <v>1.339222733</v>
      </c>
      <c r="G584" s="276" t="s">
        <v>1006</v>
      </c>
      <c r="H584" s="131"/>
      <c r="I584" s="131"/>
      <c r="J584" s="131"/>
      <c r="K584" s="131"/>
      <c r="L584" s="131"/>
      <c r="M584" s="131"/>
      <c r="N584" s="131"/>
      <c r="O584" s="131"/>
      <c r="P584" s="131"/>
      <c r="Q584" s="131"/>
      <c r="R584" s="131"/>
      <c r="S584" s="131"/>
      <c r="T584" s="131"/>
      <c r="U584" s="131"/>
      <c r="V584" s="131"/>
      <c r="W584" s="131"/>
      <c r="X584" s="131"/>
      <c r="Y584" s="131"/>
      <c r="Z584" s="203"/>
    </row>
    <row r="585">
      <c r="A585" s="262" t="s">
        <v>7</v>
      </c>
      <c r="B585" s="262" t="s">
        <v>25</v>
      </c>
      <c r="C585" s="262">
        <v>5026.0</v>
      </c>
      <c r="D585" s="262">
        <v>23.8741425</v>
      </c>
      <c r="E585" s="260">
        <f t="shared" si="25"/>
        <v>1432.44855</v>
      </c>
      <c r="F585" s="132">
        <f t="shared" si="26"/>
        <v>0.9947559375</v>
      </c>
      <c r="G585" s="276" t="s">
        <v>1007</v>
      </c>
      <c r="H585" s="131"/>
      <c r="I585" s="131"/>
      <c r="J585" s="131"/>
      <c r="K585" s="131"/>
      <c r="L585" s="131"/>
      <c r="M585" s="131"/>
      <c r="N585" s="131"/>
      <c r="O585" s="131"/>
      <c r="P585" s="131"/>
      <c r="Q585" s="131"/>
      <c r="R585" s="131"/>
      <c r="S585" s="131"/>
      <c r="T585" s="131"/>
      <c r="U585" s="131"/>
      <c r="V585" s="131"/>
      <c r="W585" s="131"/>
      <c r="X585" s="131"/>
      <c r="Y585" s="131"/>
      <c r="Z585" s="203"/>
    </row>
    <row r="586">
      <c r="A586" s="262" t="s">
        <v>7</v>
      </c>
      <c r="B586" s="262" t="s">
        <v>43</v>
      </c>
      <c r="C586" s="262">
        <v>5098.0</v>
      </c>
      <c r="D586" s="262">
        <v>23.5300678</v>
      </c>
      <c r="E586" s="260">
        <f t="shared" si="25"/>
        <v>1411.804068</v>
      </c>
      <c r="F586" s="132">
        <f t="shared" si="26"/>
        <v>0.9804194917</v>
      </c>
      <c r="G586" s="276" t="s">
        <v>1008</v>
      </c>
      <c r="H586" s="131"/>
      <c r="I586" s="131"/>
      <c r="J586" s="131"/>
      <c r="K586" s="131"/>
      <c r="L586" s="131"/>
      <c r="M586" s="131"/>
      <c r="N586" s="131"/>
      <c r="O586" s="131"/>
      <c r="P586" s="131"/>
      <c r="Q586" s="131"/>
      <c r="R586" s="131"/>
      <c r="S586" s="131"/>
      <c r="T586" s="131"/>
      <c r="U586" s="131"/>
      <c r="V586" s="131"/>
      <c r="W586" s="131"/>
      <c r="X586" s="131"/>
      <c r="Y586" s="131"/>
      <c r="Z586" s="203"/>
    </row>
    <row r="587">
      <c r="A587" s="262" t="s">
        <v>7</v>
      </c>
      <c r="B587" s="262" t="s">
        <v>41</v>
      </c>
      <c r="C587" s="262">
        <v>5270.0</v>
      </c>
      <c r="D587" s="262">
        <v>25.5952569</v>
      </c>
      <c r="E587" s="260">
        <f t="shared" si="25"/>
        <v>1535.715414</v>
      </c>
      <c r="F587" s="132">
        <f t="shared" si="26"/>
        <v>1.066469038</v>
      </c>
      <c r="G587" s="276" t="s">
        <v>1009</v>
      </c>
      <c r="H587" s="131"/>
      <c r="I587" s="131"/>
      <c r="J587" s="131"/>
      <c r="K587" s="131"/>
      <c r="L587" s="131"/>
      <c r="M587" s="131"/>
      <c r="N587" s="131"/>
      <c r="O587" s="131"/>
      <c r="P587" s="131"/>
      <c r="Q587" s="131"/>
      <c r="R587" s="131"/>
      <c r="S587" s="131"/>
      <c r="T587" s="131"/>
      <c r="U587" s="131"/>
      <c r="V587" s="131"/>
      <c r="W587" s="131"/>
      <c r="X587" s="131"/>
      <c r="Y587" s="131"/>
      <c r="Z587" s="203"/>
    </row>
    <row r="588">
      <c r="A588" s="262" t="s">
        <v>7</v>
      </c>
      <c r="B588" s="262" t="s">
        <v>32</v>
      </c>
      <c r="C588" s="262">
        <v>4922.0</v>
      </c>
      <c r="D588" s="262">
        <v>24.0170011</v>
      </c>
      <c r="E588" s="260">
        <f t="shared" si="25"/>
        <v>1441.020066</v>
      </c>
      <c r="F588" s="132">
        <f t="shared" si="26"/>
        <v>1.000708379</v>
      </c>
      <c r="G588" s="276" t="s">
        <v>1010</v>
      </c>
      <c r="H588" s="131"/>
      <c r="I588" s="131"/>
      <c r="J588" s="131"/>
      <c r="K588" s="131"/>
      <c r="L588" s="131"/>
      <c r="M588" s="131"/>
      <c r="N588" s="131"/>
      <c r="O588" s="131"/>
      <c r="P588" s="131"/>
      <c r="Q588" s="131"/>
      <c r="R588" s="131"/>
      <c r="S588" s="131"/>
      <c r="T588" s="131"/>
      <c r="U588" s="131"/>
      <c r="V588" s="131"/>
      <c r="W588" s="131"/>
      <c r="X588" s="131"/>
      <c r="Y588" s="131"/>
      <c r="Z588" s="203"/>
    </row>
    <row r="589">
      <c r="A589" s="262" t="s">
        <v>7</v>
      </c>
      <c r="B589" s="262" t="s">
        <v>22</v>
      </c>
      <c r="C589" s="262">
        <v>6723.0</v>
      </c>
      <c r="D589" s="262">
        <v>32.3487989</v>
      </c>
      <c r="E589" s="260">
        <f t="shared" si="25"/>
        <v>1940.927934</v>
      </c>
      <c r="F589" s="132">
        <f t="shared" si="26"/>
        <v>1.347866621</v>
      </c>
      <c r="G589" s="276" t="s">
        <v>1011</v>
      </c>
      <c r="H589" s="131"/>
      <c r="I589" s="131"/>
      <c r="J589" s="131"/>
      <c r="K589" s="131"/>
      <c r="L589" s="131"/>
      <c r="M589" s="131"/>
      <c r="N589" s="131"/>
      <c r="O589" s="131"/>
      <c r="P589" s="131"/>
      <c r="Q589" s="131"/>
      <c r="R589" s="131"/>
      <c r="S589" s="131"/>
      <c r="T589" s="131"/>
      <c r="U589" s="131"/>
      <c r="V589" s="131"/>
      <c r="W589" s="131"/>
      <c r="X589" s="131"/>
      <c r="Y589" s="131"/>
      <c r="Z589" s="203"/>
    </row>
    <row r="590">
      <c r="A590" s="262" t="s">
        <v>7</v>
      </c>
      <c r="B590" s="262" t="s">
        <v>8</v>
      </c>
      <c r="C590" s="262">
        <v>8353.0</v>
      </c>
      <c r="D590" s="262">
        <v>39.6802886</v>
      </c>
      <c r="E590" s="260">
        <f t="shared" si="25"/>
        <v>2380.817316</v>
      </c>
      <c r="F590" s="132">
        <f t="shared" si="26"/>
        <v>1.653345358</v>
      </c>
      <c r="G590" s="276" t="s">
        <v>1012</v>
      </c>
      <c r="H590" s="131"/>
      <c r="I590" s="131"/>
      <c r="J590" s="131"/>
      <c r="K590" s="131"/>
      <c r="L590" s="131"/>
      <c r="M590" s="131"/>
      <c r="N590" s="131"/>
      <c r="O590" s="131"/>
      <c r="P590" s="131"/>
      <c r="Q590" s="131"/>
      <c r="R590" s="131"/>
      <c r="S590" s="131"/>
      <c r="T590" s="131"/>
      <c r="U590" s="131"/>
      <c r="V590" s="131"/>
      <c r="W590" s="131"/>
      <c r="X590" s="131"/>
      <c r="Y590" s="131"/>
      <c r="Z590" s="203"/>
    </row>
    <row r="591">
      <c r="A591" s="262" t="s">
        <v>7</v>
      </c>
      <c r="B591" s="262" t="s">
        <v>20</v>
      </c>
      <c r="C591" s="262">
        <v>8967.0</v>
      </c>
      <c r="D591" s="262">
        <v>42.1503478</v>
      </c>
      <c r="E591" s="260">
        <f t="shared" si="25"/>
        <v>2529.020868</v>
      </c>
      <c r="F591" s="132">
        <f t="shared" si="26"/>
        <v>1.756264492</v>
      </c>
      <c r="G591" s="276" t="s">
        <v>1013</v>
      </c>
      <c r="H591" s="131"/>
      <c r="I591" s="131"/>
      <c r="J591" s="131"/>
      <c r="K591" s="131"/>
      <c r="L591" s="131"/>
      <c r="M591" s="131"/>
      <c r="N591" s="131"/>
      <c r="O591" s="131"/>
      <c r="P591" s="131"/>
      <c r="Q591" s="131"/>
      <c r="R591" s="131"/>
      <c r="S591" s="131"/>
      <c r="T591" s="131"/>
      <c r="U591" s="131"/>
      <c r="V591" s="131"/>
      <c r="W591" s="131"/>
      <c r="X591" s="131"/>
      <c r="Y591" s="131"/>
      <c r="Z591" s="203"/>
    </row>
    <row r="592">
      <c r="A592" s="262" t="s">
        <v>7</v>
      </c>
      <c r="B592" s="262" t="s">
        <v>33</v>
      </c>
      <c r="C592" s="262">
        <v>3814.0</v>
      </c>
      <c r="D592" s="262">
        <v>20.1368431</v>
      </c>
      <c r="E592" s="260">
        <f t="shared" si="25"/>
        <v>1208.210586</v>
      </c>
      <c r="F592" s="132">
        <f t="shared" si="26"/>
        <v>0.8390351292</v>
      </c>
      <c r="G592" s="276" t="s">
        <v>1014</v>
      </c>
      <c r="H592" s="131"/>
      <c r="I592" s="131"/>
      <c r="J592" s="131"/>
      <c r="K592" s="131"/>
      <c r="L592" s="131"/>
      <c r="M592" s="131"/>
      <c r="N592" s="131"/>
      <c r="O592" s="131"/>
      <c r="P592" s="131"/>
      <c r="Q592" s="131"/>
      <c r="R592" s="131"/>
      <c r="S592" s="131"/>
      <c r="T592" s="131"/>
      <c r="U592" s="131"/>
      <c r="V592" s="131"/>
      <c r="W592" s="131"/>
      <c r="X592" s="131"/>
      <c r="Y592" s="131"/>
      <c r="Z592" s="203"/>
    </row>
    <row r="593">
      <c r="A593" s="262" t="s">
        <v>7</v>
      </c>
      <c r="B593" s="262" t="s">
        <v>30</v>
      </c>
      <c r="C593" s="262">
        <v>4703.0</v>
      </c>
      <c r="D593" s="262">
        <v>23.11889</v>
      </c>
      <c r="E593" s="260">
        <f t="shared" si="25"/>
        <v>1387.1334</v>
      </c>
      <c r="F593" s="132">
        <f t="shared" si="26"/>
        <v>0.9632870833</v>
      </c>
      <c r="G593" s="276" t="s">
        <v>1015</v>
      </c>
      <c r="H593" s="131"/>
      <c r="I593" s="131"/>
      <c r="J593" s="131"/>
      <c r="K593" s="131"/>
      <c r="L593" s="131"/>
      <c r="M593" s="131"/>
      <c r="N593" s="131"/>
      <c r="O593" s="131"/>
      <c r="P593" s="131"/>
      <c r="Q593" s="131"/>
      <c r="R593" s="131"/>
      <c r="S593" s="131"/>
      <c r="T593" s="131"/>
      <c r="U593" s="131"/>
      <c r="V593" s="131"/>
      <c r="W593" s="131"/>
      <c r="X593" s="131"/>
      <c r="Y593" s="131"/>
      <c r="Z593" s="203"/>
    </row>
    <row r="594">
      <c r="A594" s="262" t="s">
        <v>54</v>
      </c>
      <c r="B594" s="262" t="s">
        <v>55</v>
      </c>
      <c r="C594" s="262">
        <v>2839.0</v>
      </c>
      <c r="D594" s="262">
        <v>13.4986156</v>
      </c>
      <c r="E594" s="260">
        <f t="shared" si="25"/>
        <v>809.916936</v>
      </c>
      <c r="F594" s="132">
        <f t="shared" si="26"/>
        <v>0.5624423167</v>
      </c>
      <c r="G594" s="276" t="s">
        <v>1016</v>
      </c>
      <c r="H594" s="131"/>
      <c r="I594" s="131"/>
      <c r="J594" s="131"/>
      <c r="K594" s="131"/>
      <c r="L594" s="131"/>
      <c r="M594" s="131"/>
      <c r="N594" s="131"/>
      <c r="O594" s="131"/>
      <c r="P594" s="131"/>
      <c r="Q594" s="131"/>
      <c r="R594" s="131"/>
      <c r="S594" s="131"/>
      <c r="T594" s="131"/>
      <c r="U594" s="131"/>
      <c r="V594" s="131"/>
      <c r="W594" s="131"/>
      <c r="X594" s="131"/>
      <c r="Y594" s="131"/>
      <c r="Z594" s="203"/>
    </row>
    <row r="595">
      <c r="A595" s="262" t="s">
        <v>54</v>
      </c>
      <c r="B595" s="262" t="s">
        <v>56</v>
      </c>
      <c r="C595" s="262">
        <v>801.0</v>
      </c>
      <c r="D595" s="262">
        <v>4.0389442</v>
      </c>
      <c r="E595" s="260">
        <f t="shared" si="25"/>
        <v>242.336652</v>
      </c>
      <c r="F595" s="132">
        <f t="shared" si="26"/>
        <v>0.1682893417</v>
      </c>
      <c r="G595" s="276" t="s">
        <v>1017</v>
      </c>
      <c r="H595" s="131"/>
      <c r="I595" s="131"/>
      <c r="J595" s="131"/>
      <c r="K595" s="131"/>
      <c r="L595" s="131"/>
      <c r="M595" s="131"/>
      <c r="N595" s="131"/>
      <c r="O595" s="131"/>
      <c r="P595" s="131"/>
      <c r="Q595" s="131"/>
      <c r="R595" s="131"/>
      <c r="S595" s="131"/>
      <c r="T595" s="131"/>
      <c r="U595" s="131"/>
      <c r="V595" s="131"/>
      <c r="W595" s="131"/>
      <c r="X595" s="131"/>
      <c r="Y595" s="131"/>
      <c r="Z595" s="203"/>
    </row>
    <row r="596">
      <c r="A596" s="262" t="s">
        <v>54</v>
      </c>
      <c r="B596" s="262" t="s">
        <v>58</v>
      </c>
      <c r="C596" s="262">
        <v>4563.0</v>
      </c>
      <c r="D596" s="262">
        <v>23.3448008</v>
      </c>
      <c r="E596" s="260">
        <f t="shared" si="25"/>
        <v>1400.688048</v>
      </c>
      <c r="F596" s="132">
        <f t="shared" si="26"/>
        <v>0.9727000333</v>
      </c>
      <c r="G596" s="276" t="s">
        <v>1018</v>
      </c>
      <c r="H596" s="131"/>
      <c r="I596" s="131"/>
      <c r="J596" s="131"/>
      <c r="K596" s="131"/>
      <c r="L596" s="131"/>
      <c r="M596" s="131"/>
      <c r="N596" s="131"/>
      <c r="O596" s="131"/>
      <c r="P596" s="131"/>
      <c r="Q596" s="131"/>
      <c r="R596" s="131"/>
      <c r="S596" s="131"/>
      <c r="T596" s="131"/>
      <c r="U596" s="131"/>
      <c r="V596" s="131"/>
      <c r="W596" s="131"/>
      <c r="X596" s="131"/>
      <c r="Y596" s="131"/>
      <c r="Z596" s="203"/>
    </row>
    <row r="597">
      <c r="A597" s="262" t="s">
        <v>54</v>
      </c>
      <c r="B597" s="262" t="s">
        <v>59</v>
      </c>
      <c r="C597" s="262">
        <v>1007.0</v>
      </c>
      <c r="D597" s="262">
        <v>4.9353314</v>
      </c>
      <c r="E597" s="260">
        <f t="shared" si="25"/>
        <v>296.119884</v>
      </c>
      <c r="F597" s="132">
        <f t="shared" si="26"/>
        <v>0.2056388083</v>
      </c>
      <c r="G597" s="276" t="s">
        <v>1019</v>
      </c>
      <c r="H597" s="131"/>
      <c r="I597" s="131"/>
      <c r="J597" s="131"/>
      <c r="K597" s="131"/>
      <c r="L597" s="131"/>
      <c r="M597" s="131"/>
      <c r="N597" s="131"/>
      <c r="O597" s="131"/>
      <c r="P597" s="131"/>
      <c r="Q597" s="131"/>
      <c r="R597" s="131"/>
      <c r="S597" s="131"/>
      <c r="T597" s="131"/>
      <c r="U597" s="131"/>
      <c r="V597" s="131"/>
      <c r="W597" s="131"/>
      <c r="X597" s="131"/>
      <c r="Y597" s="131"/>
      <c r="Z597" s="203"/>
    </row>
    <row r="598">
      <c r="A598" s="262" t="s">
        <v>54</v>
      </c>
      <c r="B598" s="262" t="s">
        <v>60</v>
      </c>
      <c r="C598" s="262">
        <v>1510.0</v>
      </c>
      <c r="D598" s="262">
        <v>7.7767122</v>
      </c>
      <c r="E598" s="260">
        <f t="shared" si="25"/>
        <v>466.602732</v>
      </c>
      <c r="F598" s="132">
        <f t="shared" si="26"/>
        <v>0.324029675</v>
      </c>
      <c r="G598" s="276" t="s">
        <v>1020</v>
      </c>
      <c r="H598" s="131"/>
      <c r="I598" s="131"/>
      <c r="J598" s="131"/>
      <c r="K598" s="131"/>
      <c r="L598" s="131"/>
      <c r="M598" s="131"/>
      <c r="N598" s="131"/>
      <c r="O598" s="131"/>
      <c r="P598" s="131"/>
      <c r="Q598" s="131"/>
      <c r="R598" s="131"/>
      <c r="S598" s="131"/>
      <c r="T598" s="131"/>
      <c r="U598" s="131"/>
      <c r="V598" s="131"/>
      <c r="W598" s="131"/>
      <c r="X598" s="131"/>
      <c r="Y598" s="131"/>
      <c r="Z598" s="203"/>
    </row>
    <row r="599">
      <c r="A599" s="262" t="s">
        <v>54</v>
      </c>
      <c r="B599" s="262" t="s">
        <v>62</v>
      </c>
      <c r="C599" s="262">
        <v>3361.0</v>
      </c>
      <c r="D599" s="262">
        <v>16.7544561</v>
      </c>
      <c r="E599" s="260">
        <f t="shared" si="25"/>
        <v>1005.267366</v>
      </c>
      <c r="F599" s="132">
        <f t="shared" si="26"/>
        <v>0.6981023375</v>
      </c>
      <c r="G599" s="276" t="s">
        <v>1021</v>
      </c>
      <c r="H599" s="131"/>
      <c r="I599" s="131"/>
      <c r="J599" s="131"/>
      <c r="K599" s="131"/>
      <c r="L599" s="131"/>
      <c r="M599" s="131"/>
      <c r="N599" s="131"/>
      <c r="O599" s="131"/>
      <c r="P599" s="131"/>
      <c r="Q599" s="131"/>
      <c r="R599" s="131"/>
      <c r="S599" s="131"/>
      <c r="T599" s="131"/>
      <c r="U599" s="131"/>
      <c r="V599" s="131"/>
      <c r="W599" s="131"/>
      <c r="X599" s="131"/>
      <c r="Y599" s="131"/>
      <c r="Z599" s="203"/>
    </row>
    <row r="600">
      <c r="A600" s="262" t="s">
        <v>54</v>
      </c>
      <c r="B600" s="262" t="s">
        <v>63</v>
      </c>
      <c r="C600" s="262">
        <v>1205.0</v>
      </c>
      <c r="D600" s="262">
        <v>5.7716286</v>
      </c>
      <c r="E600" s="260">
        <f t="shared" si="25"/>
        <v>346.297716</v>
      </c>
      <c r="F600" s="132">
        <f t="shared" si="26"/>
        <v>0.240484525</v>
      </c>
      <c r="G600" s="276" t="s">
        <v>1022</v>
      </c>
      <c r="H600" s="131"/>
      <c r="I600" s="131"/>
      <c r="J600" s="131"/>
      <c r="K600" s="131"/>
      <c r="L600" s="131"/>
      <c r="M600" s="131"/>
      <c r="N600" s="131"/>
      <c r="O600" s="131"/>
      <c r="P600" s="131"/>
      <c r="Q600" s="131"/>
      <c r="R600" s="131"/>
      <c r="S600" s="131"/>
      <c r="T600" s="131"/>
      <c r="U600" s="131"/>
      <c r="V600" s="131"/>
      <c r="W600" s="131"/>
      <c r="X600" s="131"/>
      <c r="Y600" s="131"/>
      <c r="Z600" s="203"/>
    </row>
    <row r="601">
      <c r="A601" s="262" t="s">
        <v>54</v>
      </c>
      <c r="B601" s="262" t="s">
        <v>64</v>
      </c>
      <c r="C601" s="262">
        <v>2595.0</v>
      </c>
      <c r="D601" s="262">
        <v>13.406405</v>
      </c>
      <c r="E601" s="260">
        <f t="shared" si="25"/>
        <v>804.3843</v>
      </c>
      <c r="F601" s="132">
        <f t="shared" si="26"/>
        <v>0.5586002083</v>
      </c>
      <c r="G601" s="276" t="s">
        <v>1023</v>
      </c>
      <c r="H601" s="131"/>
      <c r="I601" s="131"/>
      <c r="J601" s="131"/>
      <c r="K601" s="131"/>
      <c r="L601" s="131"/>
      <c r="M601" s="131"/>
      <c r="N601" s="131"/>
      <c r="O601" s="131"/>
      <c r="P601" s="131"/>
      <c r="Q601" s="131"/>
      <c r="R601" s="131"/>
      <c r="S601" s="131"/>
      <c r="T601" s="131"/>
      <c r="U601" s="131"/>
      <c r="V601" s="131"/>
      <c r="W601" s="131"/>
      <c r="X601" s="131"/>
      <c r="Y601" s="131"/>
      <c r="Z601" s="203"/>
    </row>
    <row r="602">
      <c r="A602" s="262" t="s">
        <v>54</v>
      </c>
      <c r="B602" s="262" t="s">
        <v>65</v>
      </c>
      <c r="C602" s="262">
        <v>1551.0</v>
      </c>
      <c r="D602" s="262">
        <v>7.2889319</v>
      </c>
      <c r="E602" s="260">
        <f t="shared" si="25"/>
        <v>437.335914</v>
      </c>
      <c r="F602" s="132">
        <f t="shared" si="26"/>
        <v>0.3037054958</v>
      </c>
      <c r="G602" s="276" t="s">
        <v>1024</v>
      </c>
      <c r="H602" s="131"/>
      <c r="I602" s="131"/>
      <c r="J602" s="131"/>
      <c r="K602" s="131"/>
      <c r="L602" s="131"/>
      <c r="M602" s="131"/>
      <c r="N602" s="131"/>
      <c r="O602" s="131"/>
      <c r="P602" s="131"/>
      <c r="Q602" s="131"/>
      <c r="R602" s="131"/>
      <c r="S602" s="131"/>
      <c r="T602" s="131"/>
      <c r="U602" s="131"/>
      <c r="V602" s="131"/>
      <c r="W602" s="131"/>
      <c r="X602" s="131"/>
      <c r="Y602" s="131"/>
      <c r="Z602" s="203"/>
    </row>
    <row r="603">
      <c r="A603" s="262" t="s">
        <v>54</v>
      </c>
      <c r="B603" s="262" t="s">
        <v>66</v>
      </c>
      <c r="C603" s="262">
        <v>661.0</v>
      </c>
      <c r="D603" s="262">
        <v>3.2355428</v>
      </c>
      <c r="E603" s="260">
        <f t="shared" si="25"/>
        <v>194.132568</v>
      </c>
      <c r="F603" s="132">
        <f t="shared" si="26"/>
        <v>0.1348142833</v>
      </c>
      <c r="G603" s="276" t="s">
        <v>1025</v>
      </c>
      <c r="H603" s="131"/>
      <c r="I603" s="131"/>
      <c r="J603" s="131"/>
      <c r="K603" s="131"/>
      <c r="L603" s="131"/>
      <c r="M603" s="131"/>
      <c r="N603" s="131"/>
      <c r="O603" s="131"/>
      <c r="P603" s="131"/>
      <c r="Q603" s="131"/>
      <c r="R603" s="131"/>
      <c r="S603" s="131"/>
      <c r="T603" s="131"/>
      <c r="U603" s="131"/>
      <c r="V603" s="131"/>
      <c r="W603" s="131"/>
      <c r="X603" s="131"/>
      <c r="Y603" s="131"/>
      <c r="Z603" s="203"/>
    </row>
    <row r="604">
      <c r="A604" s="262" t="s">
        <v>45</v>
      </c>
      <c r="B604" s="262" t="s">
        <v>464</v>
      </c>
      <c r="C604" s="262">
        <v>453.0</v>
      </c>
      <c r="D604" s="262">
        <v>2.1160031</v>
      </c>
      <c r="E604" s="260">
        <f t="shared" si="25"/>
        <v>126.960186</v>
      </c>
      <c r="F604" s="132">
        <f t="shared" si="26"/>
        <v>0.08816679583</v>
      </c>
      <c r="G604" s="276" t="s">
        <v>1026</v>
      </c>
      <c r="H604" s="131"/>
      <c r="I604" s="131"/>
      <c r="J604" s="131"/>
      <c r="K604" s="131"/>
      <c r="L604" s="131"/>
      <c r="M604" s="131"/>
      <c r="N604" s="131"/>
      <c r="O604" s="131"/>
      <c r="P604" s="131"/>
      <c r="Q604" s="131"/>
      <c r="R604" s="131"/>
      <c r="S604" s="131"/>
      <c r="T604" s="131"/>
      <c r="U604" s="131"/>
      <c r="V604" s="131"/>
      <c r="W604" s="131"/>
      <c r="X604" s="131"/>
      <c r="Y604" s="131"/>
      <c r="Z604" s="203"/>
    </row>
    <row r="605">
      <c r="A605" s="262" t="s">
        <v>69</v>
      </c>
      <c r="B605" s="262" t="s">
        <v>70</v>
      </c>
      <c r="C605" s="262">
        <v>3986.0</v>
      </c>
      <c r="D605" s="262">
        <v>19.6918942</v>
      </c>
      <c r="E605" s="260">
        <f t="shared" si="25"/>
        <v>1181.513652</v>
      </c>
      <c r="F605" s="132">
        <f t="shared" si="26"/>
        <v>0.8204955917</v>
      </c>
      <c r="G605" s="276" t="s">
        <v>1027</v>
      </c>
      <c r="H605" s="131"/>
      <c r="I605" s="131"/>
      <c r="J605" s="131"/>
      <c r="K605" s="131"/>
      <c r="L605" s="131"/>
      <c r="M605" s="131"/>
      <c r="N605" s="131"/>
      <c r="O605" s="131"/>
      <c r="P605" s="131"/>
      <c r="Q605" s="131"/>
      <c r="R605" s="131"/>
      <c r="S605" s="131"/>
      <c r="T605" s="131"/>
      <c r="U605" s="131"/>
      <c r="V605" s="131"/>
      <c r="W605" s="131"/>
      <c r="X605" s="131"/>
      <c r="Y605" s="131"/>
      <c r="Z605" s="203"/>
    </row>
    <row r="606">
      <c r="A606" s="262" t="s">
        <v>69</v>
      </c>
      <c r="B606" s="262" t="s">
        <v>71</v>
      </c>
      <c r="C606" s="262">
        <v>3362.0</v>
      </c>
      <c r="D606" s="262">
        <v>16.0384439</v>
      </c>
      <c r="E606" s="260">
        <f t="shared" si="25"/>
        <v>962.306634</v>
      </c>
      <c r="F606" s="132">
        <f t="shared" si="26"/>
        <v>0.6682684958</v>
      </c>
      <c r="G606" s="276" t="s">
        <v>1028</v>
      </c>
      <c r="H606" s="131"/>
      <c r="I606" s="131"/>
      <c r="J606" s="131"/>
      <c r="K606" s="131"/>
      <c r="L606" s="131"/>
      <c r="M606" s="131"/>
      <c r="N606" s="131"/>
      <c r="O606" s="131"/>
      <c r="P606" s="131"/>
      <c r="Q606" s="131"/>
      <c r="R606" s="131"/>
      <c r="S606" s="131"/>
      <c r="T606" s="131"/>
      <c r="U606" s="131"/>
      <c r="V606" s="131"/>
      <c r="W606" s="131"/>
      <c r="X606" s="131"/>
      <c r="Y606" s="131"/>
      <c r="Z606" s="203"/>
    </row>
    <row r="607">
      <c r="A607" s="262" t="s">
        <v>35</v>
      </c>
      <c r="B607" s="262" t="s">
        <v>72</v>
      </c>
      <c r="C607" s="262">
        <v>5647.0</v>
      </c>
      <c r="D607" s="262">
        <v>26.6984472</v>
      </c>
      <c r="E607" s="260">
        <f t="shared" si="25"/>
        <v>1601.906832</v>
      </c>
      <c r="F607" s="132">
        <f t="shared" si="26"/>
        <v>1.1124353</v>
      </c>
      <c r="G607" s="276" t="s">
        <v>1029</v>
      </c>
      <c r="H607" s="131"/>
      <c r="I607" s="131"/>
      <c r="J607" s="131"/>
      <c r="K607" s="131"/>
      <c r="L607" s="131"/>
      <c r="M607" s="131"/>
      <c r="N607" s="131"/>
      <c r="O607" s="131"/>
      <c r="P607" s="131"/>
      <c r="Q607" s="131"/>
      <c r="R607" s="131"/>
      <c r="S607" s="131"/>
      <c r="T607" s="131"/>
      <c r="U607" s="131"/>
      <c r="V607" s="131"/>
      <c r="W607" s="131"/>
      <c r="X607" s="131"/>
      <c r="Y607" s="131"/>
      <c r="Z607" s="203"/>
    </row>
    <row r="608">
      <c r="A608" s="262" t="s">
        <v>35</v>
      </c>
      <c r="B608" s="262" t="s">
        <v>73</v>
      </c>
      <c r="C608" s="262">
        <v>6898.0</v>
      </c>
      <c r="D608" s="262">
        <v>33.0190172</v>
      </c>
      <c r="E608" s="260">
        <f t="shared" si="25"/>
        <v>1981.141032</v>
      </c>
      <c r="F608" s="132">
        <f t="shared" si="26"/>
        <v>1.375792383</v>
      </c>
      <c r="G608" s="276" t="s">
        <v>1030</v>
      </c>
      <c r="H608" s="131"/>
      <c r="I608" s="131"/>
      <c r="J608" s="131"/>
      <c r="K608" s="131"/>
      <c r="L608" s="131"/>
      <c r="M608" s="131"/>
      <c r="N608" s="131"/>
      <c r="O608" s="131"/>
      <c r="P608" s="131"/>
      <c r="Q608" s="131"/>
      <c r="R608" s="131"/>
      <c r="S608" s="131"/>
      <c r="T608" s="131"/>
      <c r="U608" s="131"/>
      <c r="V608" s="131"/>
      <c r="W608" s="131"/>
      <c r="X608" s="131"/>
      <c r="Y608" s="131"/>
      <c r="Z608" s="203"/>
    </row>
    <row r="609">
      <c r="A609" s="262" t="s">
        <v>35</v>
      </c>
      <c r="B609" s="262" t="s">
        <v>74</v>
      </c>
      <c r="C609" s="262">
        <v>4743.0</v>
      </c>
      <c r="D609" s="262">
        <v>23.4955119</v>
      </c>
      <c r="E609" s="260">
        <f t="shared" si="25"/>
        <v>1409.730714</v>
      </c>
      <c r="F609" s="132">
        <f t="shared" si="26"/>
        <v>0.9789796625</v>
      </c>
      <c r="G609" s="276" t="s">
        <v>1031</v>
      </c>
      <c r="H609" s="131"/>
      <c r="I609" s="131"/>
      <c r="J609" s="131"/>
      <c r="K609" s="131"/>
      <c r="L609" s="131"/>
      <c r="M609" s="131"/>
      <c r="N609" s="131"/>
      <c r="O609" s="131"/>
      <c r="P609" s="131"/>
      <c r="Q609" s="131"/>
      <c r="R609" s="131"/>
      <c r="S609" s="131"/>
      <c r="T609" s="131"/>
      <c r="U609" s="131"/>
      <c r="V609" s="131"/>
      <c r="W609" s="131"/>
      <c r="X609" s="131"/>
      <c r="Y609" s="131"/>
      <c r="Z609" s="203"/>
    </row>
    <row r="610">
      <c r="A610" s="262" t="s">
        <v>35</v>
      </c>
      <c r="B610" s="262" t="s">
        <v>75</v>
      </c>
      <c r="C610" s="262">
        <v>5675.0</v>
      </c>
      <c r="D610" s="262">
        <v>27.4143533</v>
      </c>
      <c r="E610" s="260">
        <f t="shared" si="25"/>
        <v>1644.861198</v>
      </c>
      <c r="F610" s="132">
        <f t="shared" si="26"/>
        <v>1.142264721</v>
      </c>
      <c r="G610" s="276" t="s">
        <v>1032</v>
      </c>
      <c r="H610" s="131"/>
      <c r="I610" s="131"/>
      <c r="J610" s="131"/>
      <c r="K610" s="131"/>
      <c r="L610" s="131"/>
      <c r="M610" s="131"/>
      <c r="N610" s="131"/>
      <c r="O610" s="131"/>
      <c r="P610" s="131"/>
      <c r="Q610" s="131"/>
      <c r="R610" s="131"/>
      <c r="S610" s="131"/>
      <c r="T610" s="131"/>
      <c r="U610" s="131"/>
      <c r="V610" s="131"/>
      <c r="W610" s="131"/>
      <c r="X610" s="131"/>
      <c r="Y610" s="131"/>
      <c r="Z610" s="203"/>
    </row>
    <row r="611">
      <c r="A611" s="262" t="s">
        <v>35</v>
      </c>
      <c r="B611" s="262" t="s">
        <v>425</v>
      </c>
      <c r="C611" s="262">
        <v>3277.0</v>
      </c>
      <c r="D611" s="262">
        <v>15.5345383</v>
      </c>
      <c r="E611" s="260">
        <f t="shared" si="25"/>
        <v>932.072298</v>
      </c>
      <c r="F611" s="132">
        <f t="shared" si="26"/>
        <v>0.6472724292</v>
      </c>
      <c r="G611" s="276" t="s">
        <v>1033</v>
      </c>
      <c r="H611" s="131"/>
      <c r="I611" s="131"/>
      <c r="J611" s="131"/>
      <c r="K611" s="131"/>
      <c r="L611" s="131"/>
      <c r="M611" s="131"/>
      <c r="N611" s="131"/>
      <c r="O611" s="131"/>
      <c r="P611" s="131"/>
      <c r="Q611" s="131"/>
      <c r="R611" s="131"/>
      <c r="S611" s="131"/>
      <c r="T611" s="131"/>
      <c r="U611" s="131"/>
      <c r="V611" s="131"/>
      <c r="W611" s="131"/>
      <c r="X611" s="131"/>
      <c r="Y611" s="131"/>
      <c r="Z611" s="203"/>
    </row>
    <row r="612">
      <c r="A612" s="262" t="s">
        <v>35</v>
      </c>
      <c r="B612" s="262" t="s">
        <v>42</v>
      </c>
      <c r="C612" s="262">
        <v>5718.0</v>
      </c>
      <c r="D612" s="262">
        <v>27.0074506</v>
      </c>
      <c r="E612" s="260">
        <f t="shared" si="25"/>
        <v>1620.447036</v>
      </c>
      <c r="F612" s="132">
        <f t="shared" si="26"/>
        <v>1.125310442</v>
      </c>
      <c r="G612" s="276" t="s">
        <v>1034</v>
      </c>
      <c r="H612" s="131"/>
      <c r="I612" s="131"/>
      <c r="J612" s="131"/>
      <c r="K612" s="131"/>
      <c r="L612" s="131"/>
      <c r="M612" s="131"/>
      <c r="N612" s="131"/>
      <c r="O612" s="131"/>
      <c r="P612" s="131"/>
      <c r="Q612" s="131"/>
      <c r="R612" s="131"/>
      <c r="S612" s="131"/>
      <c r="T612" s="131"/>
      <c r="U612" s="131"/>
      <c r="V612" s="131"/>
      <c r="W612" s="131"/>
      <c r="X612" s="131"/>
      <c r="Y612" s="131"/>
      <c r="Z612" s="203"/>
    </row>
    <row r="613">
      <c r="A613" s="262" t="s">
        <v>35</v>
      </c>
      <c r="B613" s="262" t="s">
        <v>80</v>
      </c>
      <c r="C613" s="262">
        <v>3940.0</v>
      </c>
      <c r="D613" s="262">
        <v>18.9417431</v>
      </c>
      <c r="E613" s="260">
        <f t="shared" si="25"/>
        <v>1136.504586</v>
      </c>
      <c r="F613" s="132">
        <f t="shared" si="26"/>
        <v>0.7892392958</v>
      </c>
      <c r="G613" s="276" t="s">
        <v>1035</v>
      </c>
      <c r="H613" s="131"/>
      <c r="I613" s="131"/>
      <c r="J613" s="131"/>
      <c r="K613" s="131"/>
      <c r="L613" s="131"/>
      <c r="M613" s="131"/>
      <c r="N613" s="131"/>
      <c r="O613" s="131"/>
      <c r="P613" s="131"/>
      <c r="Q613" s="131"/>
      <c r="R613" s="131"/>
      <c r="S613" s="131"/>
      <c r="T613" s="131"/>
      <c r="U613" s="131"/>
      <c r="V613" s="131"/>
      <c r="W613" s="131"/>
      <c r="X613" s="131"/>
      <c r="Y613" s="131"/>
      <c r="Z613" s="203"/>
    </row>
    <row r="614">
      <c r="A614" s="262" t="s">
        <v>35</v>
      </c>
      <c r="B614" s="262" t="s">
        <v>82</v>
      </c>
      <c r="C614" s="262">
        <v>6948.0</v>
      </c>
      <c r="D614" s="262">
        <v>32.7859972</v>
      </c>
      <c r="E614" s="260">
        <f t="shared" si="25"/>
        <v>1967.159832</v>
      </c>
      <c r="F614" s="132">
        <f t="shared" si="26"/>
        <v>1.366083217</v>
      </c>
      <c r="G614" s="276" t="s">
        <v>1036</v>
      </c>
      <c r="H614" s="131"/>
      <c r="I614" s="131"/>
      <c r="J614" s="131"/>
      <c r="K614" s="131"/>
      <c r="L614" s="131"/>
      <c r="M614" s="131"/>
      <c r="N614" s="131"/>
      <c r="O614" s="131"/>
      <c r="P614" s="131"/>
      <c r="Q614" s="131"/>
      <c r="R614" s="131"/>
      <c r="S614" s="131"/>
      <c r="T614" s="131"/>
      <c r="U614" s="131"/>
      <c r="V614" s="131"/>
      <c r="W614" s="131"/>
      <c r="X614" s="131"/>
      <c r="Y614" s="131"/>
      <c r="Z614" s="203"/>
    </row>
    <row r="615">
      <c r="A615" s="262" t="s">
        <v>35</v>
      </c>
      <c r="B615" s="262" t="s">
        <v>83</v>
      </c>
      <c r="C615" s="262">
        <v>6201.0</v>
      </c>
      <c r="D615" s="262">
        <v>30.4341317</v>
      </c>
      <c r="E615" s="260">
        <f t="shared" si="25"/>
        <v>1826.047902</v>
      </c>
      <c r="F615" s="132">
        <f t="shared" si="26"/>
        <v>1.268088821</v>
      </c>
      <c r="G615" s="276" t="s">
        <v>1037</v>
      </c>
      <c r="H615" s="131"/>
      <c r="I615" s="131"/>
      <c r="J615" s="131"/>
      <c r="K615" s="131"/>
      <c r="L615" s="131"/>
      <c r="M615" s="131"/>
      <c r="N615" s="131"/>
      <c r="O615" s="131"/>
      <c r="P615" s="131"/>
      <c r="Q615" s="131"/>
      <c r="R615" s="131"/>
      <c r="S615" s="131"/>
      <c r="T615" s="131"/>
      <c r="U615" s="131"/>
      <c r="V615" s="131"/>
      <c r="W615" s="131"/>
      <c r="X615" s="131"/>
      <c r="Y615" s="131"/>
      <c r="Z615" s="203"/>
    </row>
    <row r="616">
      <c r="A616" s="262" t="s">
        <v>35</v>
      </c>
      <c r="B616" s="262" t="s">
        <v>36</v>
      </c>
      <c r="C616" s="262">
        <v>6804.0</v>
      </c>
      <c r="D616" s="262">
        <v>32.2965153</v>
      </c>
      <c r="E616" s="260">
        <f t="shared" si="25"/>
        <v>1937.790918</v>
      </c>
      <c r="F616" s="132">
        <f t="shared" si="26"/>
        <v>1.345688138</v>
      </c>
      <c r="G616" s="276" t="s">
        <v>1038</v>
      </c>
      <c r="H616" s="131"/>
      <c r="I616" s="131"/>
      <c r="J616" s="131"/>
      <c r="K616" s="131"/>
      <c r="L616" s="131"/>
      <c r="M616" s="131"/>
      <c r="N616" s="131"/>
      <c r="O616" s="131"/>
      <c r="P616" s="131"/>
      <c r="Q616" s="131"/>
      <c r="R616" s="131"/>
      <c r="S616" s="131"/>
      <c r="T616" s="131"/>
      <c r="U616" s="131"/>
      <c r="V616" s="131"/>
      <c r="W616" s="131"/>
      <c r="X616" s="131"/>
      <c r="Y616" s="131"/>
      <c r="Z616" s="203"/>
    </row>
    <row r="617">
      <c r="A617" s="262" t="s">
        <v>17</v>
      </c>
      <c r="B617" s="262" t="s">
        <v>84</v>
      </c>
      <c r="C617" s="262">
        <v>1234.0</v>
      </c>
      <c r="D617" s="262">
        <v>5.8324781</v>
      </c>
      <c r="E617" s="260">
        <f t="shared" si="25"/>
        <v>349.948686</v>
      </c>
      <c r="F617" s="132">
        <f t="shared" si="26"/>
        <v>0.2430199208</v>
      </c>
      <c r="G617" s="276" t="s">
        <v>1039</v>
      </c>
      <c r="H617" s="131"/>
      <c r="I617" s="131"/>
      <c r="J617" s="131"/>
      <c r="K617" s="131"/>
      <c r="L617" s="131"/>
      <c r="M617" s="131"/>
      <c r="N617" s="131"/>
      <c r="O617" s="131"/>
      <c r="P617" s="131"/>
      <c r="Q617" s="131"/>
      <c r="R617" s="131"/>
      <c r="S617" s="131"/>
      <c r="T617" s="131"/>
      <c r="U617" s="131"/>
      <c r="V617" s="131"/>
      <c r="W617" s="131"/>
      <c r="X617" s="131"/>
      <c r="Y617" s="131"/>
      <c r="Z617" s="203"/>
    </row>
    <row r="618">
      <c r="A618" s="262" t="s">
        <v>17</v>
      </c>
      <c r="B618" s="262" t="s">
        <v>85</v>
      </c>
      <c r="C618" s="262">
        <v>3481.0</v>
      </c>
      <c r="D618" s="262">
        <v>15.7897475</v>
      </c>
      <c r="E618" s="260">
        <f t="shared" si="25"/>
        <v>947.38485</v>
      </c>
      <c r="F618" s="132">
        <f t="shared" si="26"/>
        <v>0.6579061458</v>
      </c>
      <c r="G618" s="276" t="s">
        <v>1040</v>
      </c>
      <c r="H618" s="131"/>
      <c r="I618" s="131"/>
      <c r="J618" s="131"/>
      <c r="K618" s="131"/>
      <c r="L618" s="131"/>
      <c r="M618" s="131"/>
      <c r="N618" s="131"/>
      <c r="O618" s="131"/>
      <c r="P618" s="131"/>
      <c r="Q618" s="131"/>
      <c r="R618" s="131"/>
      <c r="S618" s="131"/>
      <c r="T618" s="131"/>
      <c r="U618" s="131"/>
      <c r="V618" s="131"/>
      <c r="W618" s="131"/>
      <c r="X618" s="131"/>
      <c r="Y618" s="131"/>
      <c r="Z618" s="203"/>
    </row>
    <row r="619">
      <c r="A619" s="262" t="s">
        <v>17</v>
      </c>
      <c r="B619" s="262" t="s">
        <v>79</v>
      </c>
      <c r="C619" s="262">
        <v>1985.0</v>
      </c>
      <c r="D619" s="262">
        <v>7.5834919</v>
      </c>
      <c r="E619" s="260">
        <f t="shared" si="25"/>
        <v>455.009514</v>
      </c>
      <c r="F619" s="132">
        <f t="shared" si="26"/>
        <v>0.3159788292</v>
      </c>
      <c r="G619" s="276" t="s">
        <v>1041</v>
      </c>
      <c r="H619" s="131"/>
      <c r="I619" s="131"/>
      <c r="J619" s="131"/>
      <c r="K619" s="131"/>
      <c r="L619" s="131"/>
      <c r="M619" s="131"/>
      <c r="N619" s="131"/>
      <c r="O619" s="131"/>
      <c r="P619" s="131"/>
      <c r="Q619" s="131"/>
      <c r="R619" s="131"/>
      <c r="S619" s="131"/>
      <c r="T619" s="131"/>
      <c r="U619" s="131"/>
      <c r="V619" s="131"/>
      <c r="W619" s="131"/>
      <c r="X619" s="131"/>
      <c r="Y619" s="131"/>
      <c r="Z619" s="203"/>
    </row>
    <row r="620">
      <c r="A620" s="262" t="s">
        <v>17</v>
      </c>
      <c r="B620" s="262" t="s">
        <v>18</v>
      </c>
      <c r="C620" s="262">
        <v>665.0</v>
      </c>
      <c r="D620" s="262">
        <v>3.1368647</v>
      </c>
      <c r="E620" s="260">
        <f t="shared" si="25"/>
        <v>188.211882</v>
      </c>
      <c r="F620" s="132">
        <f t="shared" si="26"/>
        <v>0.1307026958</v>
      </c>
      <c r="G620" s="276" t="s">
        <v>1042</v>
      </c>
      <c r="H620" s="131"/>
      <c r="I620" s="131"/>
      <c r="J620" s="131"/>
      <c r="K620" s="131"/>
      <c r="L620" s="131"/>
      <c r="M620" s="131"/>
      <c r="N620" s="131"/>
      <c r="O620" s="131"/>
      <c r="P620" s="131"/>
      <c r="Q620" s="131"/>
      <c r="R620" s="131"/>
      <c r="S620" s="131"/>
      <c r="T620" s="131"/>
      <c r="U620" s="131"/>
      <c r="V620" s="131"/>
      <c r="W620" s="131"/>
      <c r="X620" s="131"/>
      <c r="Y620" s="131"/>
      <c r="Z620" s="203"/>
    </row>
    <row r="621">
      <c r="A621" s="262" t="s">
        <v>17</v>
      </c>
      <c r="B621" s="262" t="s">
        <v>23</v>
      </c>
      <c r="C621" s="262">
        <v>4779.0</v>
      </c>
      <c r="D621" s="262">
        <v>20.7725886</v>
      </c>
      <c r="E621" s="260">
        <f t="shared" si="25"/>
        <v>1246.355316</v>
      </c>
      <c r="F621" s="132">
        <f t="shared" si="26"/>
        <v>0.865524525</v>
      </c>
      <c r="G621" s="276" t="s">
        <v>1043</v>
      </c>
      <c r="H621" s="131"/>
      <c r="I621" s="131"/>
      <c r="J621" s="131"/>
      <c r="K621" s="131"/>
      <c r="L621" s="131"/>
      <c r="M621" s="131"/>
      <c r="N621" s="131"/>
      <c r="O621" s="131"/>
      <c r="P621" s="131"/>
      <c r="Q621" s="131"/>
      <c r="R621" s="131"/>
      <c r="S621" s="131"/>
      <c r="T621" s="131"/>
      <c r="U621" s="131"/>
      <c r="V621" s="131"/>
      <c r="W621" s="131"/>
      <c r="X621" s="131"/>
      <c r="Y621" s="131"/>
      <c r="Z621" s="203"/>
    </row>
    <row r="622">
      <c r="A622" s="262" t="s">
        <v>17</v>
      </c>
      <c r="B622" s="262" t="s">
        <v>86</v>
      </c>
      <c r="C622" s="262">
        <v>580.0</v>
      </c>
      <c r="D622" s="262">
        <v>2.6402047</v>
      </c>
      <c r="E622" s="260">
        <f t="shared" si="25"/>
        <v>158.412282</v>
      </c>
      <c r="F622" s="132">
        <f t="shared" si="26"/>
        <v>0.1100085292</v>
      </c>
      <c r="G622" s="276" t="s">
        <v>1044</v>
      </c>
      <c r="H622" s="131"/>
      <c r="I622" s="131"/>
      <c r="J622" s="131"/>
      <c r="K622" s="131"/>
      <c r="L622" s="131"/>
      <c r="M622" s="131"/>
      <c r="N622" s="131"/>
      <c r="O622" s="131"/>
      <c r="P622" s="131"/>
      <c r="Q622" s="131"/>
      <c r="R622" s="131"/>
      <c r="S622" s="131"/>
      <c r="T622" s="131"/>
      <c r="U622" s="131"/>
      <c r="V622" s="131"/>
      <c r="W622" s="131"/>
      <c r="X622" s="131"/>
      <c r="Y622" s="131"/>
      <c r="Z622" s="203"/>
    </row>
    <row r="623">
      <c r="A623" s="262" t="s">
        <v>17</v>
      </c>
      <c r="B623" s="262" t="s">
        <v>87</v>
      </c>
      <c r="C623" s="262">
        <v>4256.0</v>
      </c>
      <c r="D623" s="262">
        <v>18.5745594</v>
      </c>
      <c r="E623" s="260">
        <f t="shared" si="25"/>
        <v>1114.473564</v>
      </c>
      <c r="F623" s="132">
        <f t="shared" si="26"/>
        <v>0.773939975</v>
      </c>
      <c r="G623" s="276" t="s">
        <v>1045</v>
      </c>
      <c r="H623" s="131"/>
      <c r="I623" s="131"/>
      <c r="J623" s="131"/>
      <c r="K623" s="131"/>
      <c r="L623" s="131"/>
      <c r="M623" s="131"/>
      <c r="N623" s="131"/>
      <c r="O623" s="131"/>
      <c r="P623" s="131"/>
      <c r="Q623" s="131"/>
      <c r="R623" s="131"/>
      <c r="S623" s="131"/>
      <c r="T623" s="131"/>
      <c r="U623" s="131"/>
      <c r="V623" s="131"/>
      <c r="W623" s="131"/>
      <c r="X623" s="131"/>
      <c r="Y623" s="131"/>
      <c r="Z623" s="203"/>
    </row>
    <row r="624">
      <c r="A624" s="262" t="s">
        <v>88</v>
      </c>
      <c r="B624" s="262" t="s">
        <v>89</v>
      </c>
      <c r="C624" s="262">
        <v>1600.0</v>
      </c>
      <c r="D624" s="262">
        <v>7.9242308</v>
      </c>
      <c r="E624" s="260">
        <f t="shared" si="25"/>
        <v>475.453848</v>
      </c>
      <c r="F624" s="132">
        <f t="shared" si="26"/>
        <v>0.3301762833</v>
      </c>
      <c r="G624" s="276" t="s">
        <v>1046</v>
      </c>
      <c r="H624" s="131"/>
      <c r="I624" s="131"/>
      <c r="J624" s="131"/>
      <c r="K624" s="131"/>
      <c r="L624" s="131"/>
      <c r="M624" s="131"/>
      <c r="N624" s="131"/>
      <c r="O624" s="131"/>
      <c r="P624" s="131"/>
      <c r="Q624" s="131"/>
      <c r="R624" s="131"/>
      <c r="S624" s="131"/>
      <c r="T624" s="131"/>
      <c r="U624" s="131"/>
      <c r="V624" s="131"/>
      <c r="W624" s="131"/>
      <c r="X624" s="131"/>
      <c r="Y624" s="131"/>
      <c r="Z624" s="203"/>
    </row>
    <row r="625">
      <c r="A625" s="262" t="s">
        <v>88</v>
      </c>
      <c r="B625" s="262" t="s">
        <v>90</v>
      </c>
      <c r="C625" s="262">
        <v>1125.0</v>
      </c>
      <c r="D625" s="262">
        <v>5.0097575</v>
      </c>
      <c r="E625" s="260">
        <f t="shared" si="25"/>
        <v>300.58545</v>
      </c>
      <c r="F625" s="132">
        <f t="shared" si="26"/>
        <v>0.2087398958</v>
      </c>
      <c r="G625" s="276" t="s">
        <v>1047</v>
      </c>
      <c r="H625" s="131"/>
      <c r="I625" s="131"/>
      <c r="J625" s="131"/>
      <c r="K625" s="131"/>
      <c r="L625" s="131"/>
      <c r="M625" s="131"/>
      <c r="N625" s="131"/>
      <c r="O625" s="131"/>
      <c r="P625" s="131"/>
      <c r="Q625" s="131"/>
      <c r="R625" s="131"/>
      <c r="S625" s="131"/>
      <c r="T625" s="131"/>
      <c r="U625" s="131"/>
      <c r="V625" s="131"/>
      <c r="W625" s="131"/>
      <c r="X625" s="131"/>
      <c r="Y625" s="131"/>
      <c r="Z625" s="203"/>
    </row>
    <row r="626">
      <c r="A626" s="262" t="s">
        <v>729</v>
      </c>
      <c r="B626" s="262" t="s">
        <v>78</v>
      </c>
      <c r="C626" s="262">
        <v>2289.0</v>
      </c>
      <c r="D626" s="262">
        <v>10.3873014</v>
      </c>
      <c r="E626" s="260">
        <f t="shared" si="25"/>
        <v>623.238084</v>
      </c>
      <c r="F626" s="132">
        <f t="shared" si="26"/>
        <v>0.432804225</v>
      </c>
      <c r="G626" s="276" t="s">
        <v>1048</v>
      </c>
      <c r="H626" s="131"/>
      <c r="I626" s="131"/>
      <c r="J626" s="131"/>
      <c r="K626" s="131"/>
      <c r="L626" s="131"/>
      <c r="M626" s="131"/>
      <c r="N626" s="131"/>
      <c r="O626" s="131"/>
      <c r="P626" s="131"/>
      <c r="Q626" s="131"/>
      <c r="R626" s="131"/>
      <c r="S626" s="131"/>
      <c r="T626" s="131"/>
      <c r="U626" s="131"/>
      <c r="V626" s="131"/>
      <c r="W626" s="131"/>
      <c r="X626" s="131"/>
      <c r="Y626" s="131"/>
      <c r="Z626" s="203"/>
    </row>
    <row r="627">
      <c r="A627" s="262" t="s">
        <v>729</v>
      </c>
      <c r="B627" s="262" t="s">
        <v>91</v>
      </c>
      <c r="C627" s="262">
        <v>1098.0</v>
      </c>
      <c r="D627" s="262">
        <v>5.3121661</v>
      </c>
      <c r="E627" s="260">
        <f t="shared" si="25"/>
        <v>318.729966</v>
      </c>
      <c r="F627" s="132">
        <f t="shared" si="26"/>
        <v>0.2213402542</v>
      </c>
      <c r="G627" s="276" t="s">
        <v>1049</v>
      </c>
      <c r="H627" s="131"/>
      <c r="I627" s="131"/>
      <c r="J627" s="131"/>
      <c r="K627" s="131"/>
      <c r="L627" s="131"/>
      <c r="M627" s="131"/>
      <c r="N627" s="131"/>
      <c r="O627" s="131"/>
      <c r="P627" s="131"/>
      <c r="Q627" s="131"/>
      <c r="R627" s="131"/>
      <c r="S627" s="131"/>
      <c r="T627" s="131"/>
      <c r="U627" s="131"/>
      <c r="V627" s="131"/>
      <c r="W627" s="131"/>
      <c r="X627" s="131"/>
      <c r="Y627" s="131"/>
      <c r="Z627" s="203"/>
    </row>
    <row r="628">
      <c r="A628" s="262" t="s">
        <v>67</v>
      </c>
      <c r="B628" s="262" t="s">
        <v>426</v>
      </c>
      <c r="C628" s="262">
        <v>10107.0</v>
      </c>
      <c r="D628" s="262">
        <v>49.8298114</v>
      </c>
      <c r="E628" s="260">
        <f t="shared" si="25"/>
        <v>2989.788684</v>
      </c>
      <c r="F628" s="132">
        <f t="shared" si="26"/>
        <v>2.076242142</v>
      </c>
      <c r="G628" s="276" t="s">
        <v>1050</v>
      </c>
      <c r="H628" s="131"/>
      <c r="I628" s="131"/>
      <c r="J628" s="131"/>
      <c r="K628" s="131"/>
      <c r="L628" s="131"/>
      <c r="M628" s="131"/>
      <c r="N628" s="131"/>
      <c r="O628" s="131"/>
      <c r="P628" s="131"/>
      <c r="Q628" s="131"/>
      <c r="R628" s="131"/>
      <c r="S628" s="131"/>
      <c r="T628" s="131"/>
      <c r="U628" s="131"/>
      <c r="V628" s="131"/>
      <c r="W628" s="131"/>
      <c r="X628" s="131"/>
      <c r="Y628" s="131"/>
      <c r="Z628" s="203"/>
    </row>
    <row r="629">
      <c r="A629" s="262" t="s">
        <v>67</v>
      </c>
      <c r="B629" s="262" t="s">
        <v>93</v>
      </c>
      <c r="C629" s="262">
        <v>10180.0</v>
      </c>
      <c r="D629" s="262">
        <v>50.2971758</v>
      </c>
      <c r="E629" s="260">
        <f t="shared" si="25"/>
        <v>3017.830548</v>
      </c>
      <c r="F629" s="132">
        <f t="shared" si="26"/>
        <v>2.095715658</v>
      </c>
      <c r="G629" s="276" t="s">
        <v>1051</v>
      </c>
      <c r="H629" s="131"/>
      <c r="I629" s="131"/>
      <c r="J629" s="131"/>
      <c r="K629" s="131"/>
      <c r="L629" s="131"/>
      <c r="M629" s="131"/>
      <c r="N629" s="131"/>
      <c r="O629" s="131"/>
      <c r="P629" s="131"/>
      <c r="Q629" s="131"/>
      <c r="R629" s="131"/>
      <c r="S629" s="131"/>
      <c r="T629" s="131"/>
      <c r="U629" s="131"/>
      <c r="V629" s="131"/>
      <c r="W629" s="131"/>
      <c r="X629" s="131"/>
      <c r="Y629" s="131"/>
      <c r="Z629" s="203"/>
    </row>
    <row r="630">
      <c r="A630" s="262" t="s">
        <v>474</v>
      </c>
      <c r="B630" s="262" t="s">
        <v>94</v>
      </c>
      <c r="C630" s="262">
        <v>2649.0</v>
      </c>
      <c r="D630" s="262">
        <v>12.4921633</v>
      </c>
      <c r="E630" s="260">
        <f t="shared" si="25"/>
        <v>749.529798</v>
      </c>
      <c r="F630" s="132">
        <f t="shared" si="26"/>
        <v>0.5205068042</v>
      </c>
      <c r="G630" s="276" t="s">
        <v>1052</v>
      </c>
      <c r="H630" s="131"/>
      <c r="I630" s="131"/>
      <c r="J630" s="131"/>
      <c r="K630" s="131"/>
      <c r="L630" s="131"/>
      <c r="M630" s="131"/>
      <c r="N630" s="131"/>
      <c r="O630" s="131"/>
      <c r="P630" s="131"/>
      <c r="Q630" s="131"/>
      <c r="R630" s="131"/>
      <c r="S630" s="131"/>
      <c r="T630" s="131"/>
      <c r="U630" s="131"/>
      <c r="V630" s="131"/>
      <c r="W630" s="131"/>
      <c r="X630" s="131"/>
      <c r="Y630" s="131"/>
      <c r="Z630" s="203"/>
    </row>
    <row r="631">
      <c r="A631" s="262" t="s">
        <v>474</v>
      </c>
      <c r="B631" s="262" t="s">
        <v>95</v>
      </c>
      <c r="C631" s="262">
        <v>5252.0</v>
      </c>
      <c r="D631" s="262">
        <v>27.0561525</v>
      </c>
      <c r="E631" s="260">
        <f t="shared" si="25"/>
        <v>1623.36915</v>
      </c>
      <c r="F631" s="132">
        <f t="shared" si="26"/>
        <v>1.127339688</v>
      </c>
      <c r="G631" s="276" t="s">
        <v>1053</v>
      </c>
      <c r="H631" s="131"/>
      <c r="I631" s="131"/>
      <c r="J631" s="131"/>
      <c r="K631" s="131"/>
      <c r="L631" s="131"/>
      <c r="M631" s="131"/>
      <c r="N631" s="131"/>
      <c r="O631" s="131"/>
      <c r="P631" s="131"/>
      <c r="Q631" s="131"/>
      <c r="R631" s="131"/>
      <c r="S631" s="131"/>
      <c r="T631" s="131"/>
      <c r="U631" s="131"/>
      <c r="V631" s="131"/>
      <c r="W631" s="131"/>
      <c r="X631" s="131"/>
      <c r="Y631" s="131"/>
      <c r="Z631" s="203"/>
    </row>
    <row r="632">
      <c r="A632" s="262" t="s">
        <v>474</v>
      </c>
      <c r="B632" s="262" t="s">
        <v>96</v>
      </c>
      <c r="C632" s="262">
        <v>1696.0</v>
      </c>
      <c r="D632" s="262">
        <v>8.08751</v>
      </c>
      <c r="E632" s="260">
        <f t="shared" si="25"/>
        <v>485.2506</v>
      </c>
      <c r="F632" s="132">
        <f t="shared" si="26"/>
        <v>0.3369795833</v>
      </c>
      <c r="G632" s="276" t="s">
        <v>1054</v>
      </c>
      <c r="H632" s="131"/>
      <c r="I632" s="131"/>
      <c r="J632" s="131"/>
      <c r="K632" s="131"/>
      <c r="L632" s="131"/>
      <c r="M632" s="131"/>
      <c r="N632" s="131"/>
      <c r="O632" s="131"/>
      <c r="P632" s="131"/>
      <c r="Q632" s="131"/>
      <c r="R632" s="131"/>
      <c r="S632" s="131"/>
      <c r="T632" s="131"/>
      <c r="U632" s="131"/>
      <c r="V632" s="131"/>
      <c r="W632" s="131"/>
      <c r="X632" s="131"/>
      <c r="Y632" s="131"/>
      <c r="Z632" s="203"/>
    </row>
    <row r="633">
      <c r="A633" s="262" t="s">
        <v>474</v>
      </c>
      <c r="B633" s="262" t="s">
        <v>92</v>
      </c>
      <c r="C633" s="262">
        <v>2744.0</v>
      </c>
      <c r="D633" s="262">
        <v>12.0788114</v>
      </c>
      <c r="E633" s="260">
        <f t="shared" si="25"/>
        <v>724.728684</v>
      </c>
      <c r="F633" s="132">
        <f t="shared" si="26"/>
        <v>0.5032838083</v>
      </c>
      <c r="G633" s="276" t="s">
        <v>1055</v>
      </c>
      <c r="H633" s="131"/>
      <c r="I633" s="131"/>
      <c r="J633" s="131"/>
      <c r="K633" s="131"/>
      <c r="L633" s="131"/>
      <c r="M633" s="131"/>
      <c r="N633" s="131"/>
      <c r="O633" s="131"/>
      <c r="P633" s="131"/>
      <c r="Q633" s="131"/>
      <c r="R633" s="131"/>
      <c r="S633" s="131"/>
      <c r="T633" s="131"/>
      <c r="U633" s="131"/>
      <c r="V633" s="131"/>
      <c r="W633" s="131"/>
      <c r="X633" s="131"/>
      <c r="Y633" s="131"/>
      <c r="Z633" s="203"/>
    </row>
    <row r="634">
      <c r="A634" s="262" t="s">
        <v>474</v>
      </c>
      <c r="B634" s="262" t="s">
        <v>97</v>
      </c>
      <c r="C634" s="262">
        <v>4112.0</v>
      </c>
      <c r="D634" s="262">
        <v>19.4919797</v>
      </c>
      <c r="E634" s="260">
        <f t="shared" si="25"/>
        <v>1169.518782</v>
      </c>
      <c r="F634" s="132">
        <f t="shared" si="26"/>
        <v>0.8121658208</v>
      </c>
      <c r="G634" s="276" t="s">
        <v>1056</v>
      </c>
      <c r="H634" s="131"/>
      <c r="I634" s="131"/>
      <c r="J634" s="131"/>
      <c r="K634" s="131"/>
      <c r="L634" s="131"/>
      <c r="M634" s="131"/>
      <c r="N634" s="131"/>
      <c r="O634" s="131"/>
      <c r="P634" s="131"/>
      <c r="Q634" s="131"/>
      <c r="R634" s="131"/>
      <c r="S634" s="131"/>
      <c r="T634" s="131"/>
      <c r="U634" s="131"/>
      <c r="V634" s="131"/>
      <c r="W634" s="131"/>
      <c r="X634" s="131"/>
      <c r="Y634" s="131"/>
      <c r="Z634" s="203"/>
    </row>
    <row r="635">
      <c r="A635" s="262" t="s">
        <v>474</v>
      </c>
      <c r="B635" s="262" t="s">
        <v>57</v>
      </c>
      <c r="C635" s="262">
        <v>2680.0</v>
      </c>
      <c r="D635" s="262">
        <v>13.0826897</v>
      </c>
      <c r="E635" s="260">
        <f t="shared" si="25"/>
        <v>784.961382</v>
      </c>
      <c r="F635" s="132">
        <f t="shared" si="26"/>
        <v>0.5451120708</v>
      </c>
      <c r="G635" s="276" t="s">
        <v>1057</v>
      </c>
      <c r="H635" s="131"/>
      <c r="I635" s="131"/>
      <c r="J635" s="131"/>
      <c r="K635" s="131"/>
      <c r="L635" s="131"/>
      <c r="M635" s="131"/>
      <c r="N635" s="131"/>
      <c r="O635" s="131"/>
      <c r="P635" s="131"/>
      <c r="Q635" s="131"/>
      <c r="R635" s="131"/>
      <c r="S635" s="131"/>
      <c r="T635" s="131"/>
      <c r="U635" s="131"/>
      <c r="V635" s="131"/>
      <c r="W635" s="131"/>
      <c r="X635" s="131"/>
      <c r="Y635" s="131"/>
      <c r="Z635" s="203"/>
    </row>
    <row r="636">
      <c r="A636" s="262" t="s">
        <v>474</v>
      </c>
      <c r="B636" s="262" t="s">
        <v>98</v>
      </c>
      <c r="C636" s="262">
        <v>2434.0</v>
      </c>
      <c r="D636" s="262">
        <v>11.8647753</v>
      </c>
      <c r="E636" s="260">
        <f t="shared" si="25"/>
        <v>711.886518</v>
      </c>
      <c r="F636" s="132">
        <f t="shared" si="26"/>
        <v>0.4943656375</v>
      </c>
      <c r="G636" s="276" t="s">
        <v>1058</v>
      </c>
      <c r="H636" s="131"/>
      <c r="I636" s="131"/>
      <c r="J636" s="131"/>
      <c r="K636" s="131"/>
      <c r="L636" s="131"/>
      <c r="M636" s="131"/>
      <c r="N636" s="131"/>
      <c r="O636" s="131"/>
      <c r="P636" s="131"/>
      <c r="Q636" s="131"/>
      <c r="R636" s="131"/>
      <c r="S636" s="131"/>
      <c r="T636" s="131"/>
      <c r="U636" s="131"/>
      <c r="V636" s="131"/>
      <c r="W636" s="131"/>
      <c r="X636" s="131"/>
      <c r="Y636" s="131"/>
      <c r="Z636" s="203"/>
    </row>
    <row r="637">
      <c r="A637" s="262" t="s">
        <v>474</v>
      </c>
      <c r="B637" s="262" t="s">
        <v>428</v>
      </c>
      <c r="C637" s="262">
        <v>1376.0</v>
      </c>
      <c r="D637" s="262">
        <v>6.5186006</v>
      </c>
      <c r="E637" s="260">
        <f t="shared" si="25"/>
        <v>391.116036</v>
      </c>
      <c r="F637" s="132">
        <f t="shared" si="26"/>
        <v>0.2716083583</v>
      </c>
      <c r="G637" s="276" t="s">
        <v>1059</v>
      </c>
      <c r="H637" s="131"/>
      <c r="I637" s="131"/>
      <c r="J637" s="131"/>
      <c r="K637" s="131"/>
      <c r="L637" s="131"/>
      <c r="M637" s="131"/>
      <c r="N637" s="131"/>
      <c r="O637" s="131"/>
      <c r="P637" s="131"/>
      <c r="Q637" s="131"/>
      <c r="R637" s="131"/>
      <c r="S637" s="131"/>
      <c r="T637" s="131"/>
      <c r="U637" s="131"/>
      <c r="V637" s="131"/>
      <c r="W637" s="131"/>
      <c r="X637" s="131"/>
      <c r="Y637" s="131"/>
      <c r="Z637" s="203"/>
    </row>
    <row r="638">
      <c r="A638" s="262" t="s">
        <v>474</v>
      </c>
      <c r="B638" s="262" t="s">
        <v>99</v>
      </c>
      <c r="C638" s="262">
        <v>2689.0</v>
      </c>
      <c r="D638" s="262">
        <v>13.14136</v>
      </c>
      <c r="E638" s="260">
        <f t="shared" si="25"/>
        <v>788.4816</v>
      </c>
      <c r="F638" s="132">
        <f t="shared" si="26"/>
        <v>0.5475566667</v>
      </c>
      <c r="G638" s="276" t="s">
        <v>1060</v>
      </c>
      <c r="H638" s="131"/>
      <c r="I638" s="131"/>
      <c r="J638" s="131"/>
      <c r="K638" s="131"/>
      <c r="L638" s="131"/>
      <c r="M638" s="131"/>
      <c r="N638" s="131"/>
      <c r="O638" s="131"/>
      <c r="P638" s="131"/>
      <c r="Q638" s="131"/>
      <c r="R638" s="131"/>
      <c r="S638" s="131"/>
      <c r="T638" s="131"/>
      <c r="U638" s="131"/>
      <c r="V638" s="131"/>
      <c r="W638" s="131"/>
      <c r="X638" s="131"/>
      <c r="Y638" s="131"/>
      <c r="Z638" s="203"/>
    </row>
    <row r="639">
      <c r="A639" s="262" t="s">
        <v>474</v>
      </c>
      <c r="B639" s="262" t="s">
        <v>61</v>
      </c>
      <c r="C639" s="262">
        <v>4547.0</v>
      </c>
      <c r="D639" s="262">
        <v>20.9780767</v>
      </c>
      <c r="E639" s="260">
        <f t="shared" si="25"/>
        <v>1258.684602</v>
      </c>
      <c r="F639" s="132">
        <f t="shared" si="26"/>
        <v>0.8740865292</v>
      </c>
      <c r="G639" s="276" t="s">
        <v>1061</v>
      </c>
      <c r="H639" s="131"/>
      <c r="I639" s="131"/>
      <c r="J639" s="131"/>
      <c r="K639" s="131"/>
      <c r="L639" s="131"/>
      <c r="M639" s="131"/>
      <c r="N639" s="131"/>
      <c r="O639" s="131"/>
      <c r="P639" s="131"/>
      <c r="Q639" s="131"/>
      <c r="R639" s="131"/>
      <c r="S639" s="131"/>
      <c r="T639" s="131"/>
      <c r="U639" s="131"/>
      <c r="V639" s="131"/>
      <c r="W639" s="131"/>
      <c r="X639" s="131"/>
      <c r="Y639" s="131"/>
      <c r="Z639" s="203"/>
    </row>
    <row r="640">
      <c r="A640" s="262" t="s">
        <v>429</v>
      </c>
      <c r="B640" s="262" t="s">
        <v>430</v>
      </c>
      <c r="C640" s="262">
        <v>292.0</v>
      </c>
      <c r="D640" s="262">
        <v>1.4558628</v>
      </c>
      <c r="E640" s="260">
        <f t="shared" si="25"/>
        <v>87.351768</v>
      </c>
      <c r="F640" s="132">
        <f t="shared" si="26"/>
        <v>0.06066095</v>
      </c>
      <c r="G640" s="276" t="s">
        <v>1062</v>
      </c>
      <c r="H640" s="131"/>
      <c r="I640" s="131"/>
      <c r="J640" s="131"/>
      <c r="K640" s="131"/>
      <c r="L640" s="131"/>
      <c r="M640" s="131"/>
      <c r="N640" s="131"/>
      <c r="O640" s="131"/>
      <c r="P640" s="131"/>
      <c r="Q640" s="131"/>
      <c r="R640" s="131"/>
      <c r="S640" s="131"/>
      <c r="T640" s="131"/>
      <c r="U640" s="131"/>
      <c r="V640" s="131"/>
      <c r="W640" s="131"/>
      <c r="X640" s="131"/>
      <c r="Y640" s="131"/>
      <c r="Z640" s="203"/>
    </row>
    <row r="641">
      <c r="A641" s="262" t="s">
        <v>429</v>
      </c>
      <c r="B641" s="262" t="s">
        <v>101</v>
      </c>
      <c r="C641" s="262">
        <v>1415.0</v>
      </c>
      <c r="D641" s="262">
        <v>7.5003064</v>
      </c>
      <c r="E641" s="260">
        <f t="shared" si="25"/>
        <v>450.018384</v>
      </c>
      <c r="F641" s="132">
        <f t="shared" si="26"/>
        <v>0.3125127667</v>
      </c>
      <c r="G641" s="276" t="s">
        <v>1063</v>
      </c>
      <c r="H641" s="131"/>
      <c r="I641" s="131"/>
      <c r="J641" s="131"/>
      <c r="K641" s="131"/>
      <c r="L641" s="131"/>
      <c r="M641" s="131"/>
      <c r="N641" s="131"/>
      <c r="O641" s="131"/>
      <c r="P641" s="131"/>
      <c r="Q641" s="131"/>
      <c r="R641" s="131"/>
      <c r="S641" s="131"/>
      <c r="T641" s="131"/>
      <c r="U641" s="131"/>
      <c r="V641" s="131"/>
      <c r="W641" s="131"/>
      <c r="X641" s="131"/>
      <c r="Y641" s="131"/>
      <c r="Z641" s="203"/>
    </row>
    <row r="642">
      <c r="A642" s="262" t="s">
        <v>429</v>
      </c>
      <c r="B642" s="262" t="s">
        <v>102</v>
      </c>
      <c r="C642" s="262">
        <v>83.0</v>
      </c>
      <c r="D642" s="281">
        <v>0.4123636</v>
      </c>
      <c r="E642" s="260">
        <f t="shared" si="25"/>
        <v>24.741816</v>
      </c>
      <c r="F642" s="132">
        <f t="shared" si="26"/>
        <v>0.01718181667</v>
      </c>
      <c r="G642" s="276" t="s">
        <v>1064</v>
      </c>
      <c r="H642" s="131"/>
      <c r="I642" s="131"/>
      <c r="J642" s="131"/>
      <c r="K642" s="131"/>
      <c r="L642" s="131"/>
      <c r="M642" s="131"/>
      <c r="N642" s="131"/>
      <c r="O642" s="131"/>
      <c r="P642" s="131"/>
      <c r="Q642" s="131"/>
      <c r="R642" s="131"/>
      <c r="S642" s="131"/>
      <c r="T642" s="131"/>
      <c r="U642" s="131"/>
      <c r="V642" s="131"/>
      <c r="W642" s="131"/>
      <c r="X642" s="131"/>
      <c r="Y642" s="131"/>
      <c r="Z642" s="203"/>
    </row>
    <row r="643">
      <c r="A643" s="262" t="s">
        <v>429</v>
      </c>
      <c r="B643" s="262" t="s">
        <v>29</v>
      </c>
      <c r="C643" s="262">
        <v>346.0</v>
      </c>
      <c r="D643" s="262">
        <v>1.6616075</v>
      </c>
      <c r="E643" s="260">
        <f t="shared" si="25"/>
        <v>99.69645</v>
      </c>
      <c r="F643" s="132">
        <f t="shared" si="26"/>
        <v>0.06923364583</v>
      </c>
      <c r="G643" s="276" t="s">
        <v>1065</v>
      </c>
      <c r="H643" s="131"/>
      <c r="I643" s="131"/>
      <c r="J643" s="131"/>
      <c r="K643" s="131"/>
      <c r="L643" s="131"/>
      <c r="M643" s="131"/>
      <c r="N643" s="131"/>
      <c r="O643" s="131"/>
      <c r="P643" s="131"/>
      <c r="Q643" s="131"/>
      <c r="R643" s="131"/>
      <c r="S643" s="131"/>
      <c r="T643" s="131"/>
      <c r="U643" s="131"/>
      <c r="V643" s="131"/>
      <c r="W643" s="131"/>
      <c r="X643" s="131"/>
      <c r="Y643" s="131"/>
      <c r="Z643" s="203"/>
    </row>
    <row r="644">
      <c r="A644" s="262" t="s">
        <v>429</v>
      </c>
      <c r="B644" s="262" t="s">
        <v>103</v>
      </c>
      <c r="C644" s="262">
        <v>76.0</v>
      </c>
      <c r="D644" s="262">
        <v>0.3969083</v>
      </c>
      <c r="E644" s="260">
        <f t="shared" si="25"/>
        <v>23.814498</v>
      </c>
      <c r="F644" s="132">
        <f t="shared" si="26"/>
        <v>0.01653784583</v>
      </c>
      <c r="G644" s="276" t="s">
        <v>1066</v>
      </c>
      <c r="H644" s="131"/>
      <c r="I644" s="131"/>
      <c r="J644" s="131"/>
      <c r="K644" s="131"/>
      <c r="L644" s="131"/>
      <c r="M644" s="131"/>
      <c r="N644" s="131"/>
      <c r="O644" s="131"/>
      <c r="P644" s="131"/>
      <c r="Q644" s="131"/>
      <c r="R644" s="131"/>
      <c r="S644" s="131"/>
      <c r="T644" s="131"/>
      <c r="U644" s="131"/>
      <c r="V644" s="131"/>
      <c r="W644" s="131"/>
      <c r="X644" s="131"/>
      <c r="Y644" s="131"/>
      <c r="Z644" s="203"/>
    </row>
    <row r="645">
      <c r="A645" s="262" t="s">
        <v>429</v>
      </c>
      <c r="B645" s="262" t="s">
        <v>465</v>
      </c>
      <c r="C645" s="262">
        <v>223.0</v>
      </c>
      <c r="D645" s="262">
        <v>1.1011258</v>
      </c>
      <c r="E645" s="260">
        <f t="shared" si="25"/>
        <v>66.067548</v>
      </c>
      <c r="F645" s="132">
        <f t="shared" si="26"/>
        <v>0.04588024167</v>
      </c>
      <c r="G645" s="276" t="s">
        <v>1067</v>
      </c>
      <c r="H645" s="131"/>
      <c r="I645" s="131"/>
      <c r="J645" s="131"/>
      <c r="K645" s="131"/>
      <c r="L645" s="131"/>
      <c r="M645" s="131"/>
      <c r="N645" s="131"/>
      <c r="O645" s="131"/>
      <c r="P645" s="131"/>
      <c r="Q645" s="131"/>
      <c r="R645" s="131"/>
      <c r="S645" s="131"/>
      <c r="T645" s="131"/>
      <c r="U645" s="131"/>
      <c r="V645" s="131"/>
      <c r="W645" s="131"/>
      <c r="X645" s="131"/>
      <c r="Y645" s="131"/>
      <c r="Z645" s="203"/>
    </row>
    <row r="646">
      <c r="A646" s="262" t="s">
        <v>429</v>
      </c>
      <c r="B646" s="262" t="s">
        <v>432</v>
      </c>
      <c r="C646" s="262">
        <v>304.0</v>
      </c>
      <c r="D646" s="262">
        <v>1.3152856</v>
      </c>
      <c r="E646" s="260">
        <f t="shared" si="25"/>
        <v>78.917136</v>
      </c>
      <c r="F646" s="132">
        <f t="shared" si="26"/>
        <v>0.05480356667</v>
      </c>
      <c r="G646" s="276" t="s">
        <v>1068</v>
      </c>
      <c r="H646" s="131"/>
      <c r="I646" s="131"/>
      <c r="J646" s="131"/>
      <c r="K646" s="131"/>
      <c r="L646" s="131"/>
      <c r="M646" s="131"/>
      <c r="N646" s="131"/>
      <c r="O646" s="131"/>
      <c r="P646" s="131"/>
      <c r="Q646" s="131"/>
      <c r="R646" s="131"/>
      <c r="S646" s="131"/>
      <c r="T646" s="131"/>
      <c r="U646" s="131"/>
      <c r="V646" s="131"/>
      <c r="W646" s="131"/>
      <c r="X646" s="131"/>
      <c r="Y646" s="131"/>
      <c r="Z646" s="203"/>
    </row>
    <row r="647">
      <c r="A647" s="262" t="s">
        <v>429</v>
      </c>
      <c r="B647" s="262" t="s">
        <v>105</v>
      </c>
      <c r="C647" s="262">
        <v>22.0</v>
      </c>
      <c r="D647" s="262">
        <v>0.0895639</v>
      </c>
      <c r="E647" s="260">
        <f t="shared" si="25"/>
        <v>5.373834</v>
      </c>
      <c r="F647" s="132">
        <f t="shared" si="26"/>
        <v>0.003731829167</v>
      </c>
      <c r="G647" s="276" t="s">
        <v>1069</v>
      </c>
      <c r="H647" s="131"/>
      <c r="I647" s="131"/>
      <c r="J647" s="131"/>
      <c r="K647" s="131"/>
      <c r="L647" s="131"/>
      <c r="M647" s="131"/>
      <c r="N647" s="131"/>
      <c r="O647" s="131"/>
      <c r="P647" s="131"/>
      <c r="Q647" s="131"/>
      <c r="R647" s="131"/>
      <c r="S647" s="131"/>
      <c r="T647" s="131"/>
      <c r="U647" s="131"/>
      <c r="V647" s="131"/>
      <c r="W647" s="131"/>
      <c r="X647" s="131"/>
      <c r="Y647" s="131"/>
      <c r="Z647" s="203"/>
    </row>
    <row r="648">
      <c r="A648" s="131"/>
      <c r="B648" s="131"/>
      <c r="C648" s="131">
        <f>sum(C568:C647)</f>
        <v>313133</v>
      </c>
      <c r="D648" s="212" t="s">
        <v>484</v>
      </c>
      <c r="E648" s="222">
        <f>SUM(E568:E647)</f>
        <v>89892.40067</v>
      </c>
      <c r="F648" s="132">
        <f t="shared" si="26"/>
        <v>62.42527825</v>
      </c>
      <c r="G648" s="211"/>
      <c r="H648" s="131"/>
      <c r="I648" s="131"/>
      <c r="J648" s="131"/>
      <c r="K648" s="131"/>
      <c r="L648" s="131"/>
      <c r="M648" s="131"/>
      <c r="N648" s="131"/>
      <c r="O648" s="131"/>
      <c r="P648" s="131"/>
      <c r="Q648" s="131"/>
      <c r="R648" s="131"/>
      <c r="S648" s="131"/>
      <c r="T648" s="131"/>
      <c r="U648" s="131"/>
      <c r="V648" s="131"/>
      <c r="W648" s="131"/>
      <c r="X648" s="131"/>
      <c r="Y648" s="131"/>
      <c r="Z648" s="203"/>
    </row>
    <row r="649">
      <c r="A649" s="131"/>
      <c r="B649" s="131"/>
      <c r="C649" s="131"/>
      <c r="D649" s="131"/>
      <c r="E649" s="222"/>
      <c r="F649" s="132"/>
      <c r="G649" s="211"/>
      <c r="H649" s="131"/>
      <c r="I649" s="131"/>
      <c r="J649" s="131"/>
      <c r="K649" s="131"/>
      <c r="L649" s="131"/>
      <c r="M649" s="131"/>
      <c r="N649" s="131"/>
      <c r="O649" s="131"/>
      <c r="P649" s="131"/>
      <c r="Q649" s="131"/>
      <c r="R649" s="131"/>
      <c r="S649" s="131"/>
      <c r="T649" s="131"/>
      <c r="U649" s="131"/>
      <c r="V649" s="131"/>
      <c r="W649" s="131"/>
      <c r="X649" s="131"/>
      <c r="Y649" s="131"/>
      <c r="Z649" s="203"/>
    </row>
    <row r="650">
      <c r="A650" s="131"/>
      <c r="B650" s="131"/>
      <c r="C650" s="131"/>
      <c r="D650" s="131"/>
      <c r="E650" s="222"/>
      <c r="F650" s="132"/>
      <c r="G650" s="211"/>
      <c r="H650" s="131"/>
      <c r="I650" s="131"/>
      <c r="J650" s="131"/>
      <c r="K650" s="131"/>
      <c r="L650" s="131"/>
      <c r="M650" s="131"/>
      <c r="N650" s="131"/>
      <c r="O650" s="131"/>
      <c r="P650" s="131"/>
      <c r="Q650" s="131"/>
      <c r="R650" s="131"/>
      <c r="S650" s="131"/>
      <c r="T650" s="131"/>
      <c r="U650" s="131"/>
      <c r="V650" s="131"/>
      <c r="W650" s="131"/>
      <c r="X650" s="131"/>
      <c r="Y650" s="131"/>
      <c r="Z650" s="203"/>
    </row>
    <row r="651">
      <c r="A651" s="277" t="s">
        <v>1070</v>
      </c>
      <c r="B651" s="131"/>
      <c r="C651" s="131"/>
      <c r="D651" s="131"/>
      <c r="E651" s="222"/>
      <c r="F651" s="132"/>
      <c r="G651" s="211"/>
      <c r="H651" s="131"/>
      <c r="I651" s="131"/>
      <c r="J651" s="131"/>
      <c r="K651" s="131"/>
      <c r="L651" s="131"/>
      <c r="M651" s="131"/>
      <c r="N651" s="131"/>
      <c r="O651" s="131"/>
      <c r="P651" s="131"/>
      <c r="Q651" s="131"/>
      <c r="R651" s="131"/>
      <c r="S651" s="131"/>
      <c r="T651" s="131"/>
      <c r="U651" s="131"/>
      <c r="V651" s="131"/>
      <c r="W651" s="131"/>
      <c r="X651" s="131"/>
      <c r="Y651" s="131"/>
      <c r="Z651" s="203"/>
    </row>
    <row r="652">
      <c r="A652" s="131"/>
      <c r="B652" s="131"/>
      <c r="C652" s="131"/>
      <c r="D652" s="131"/>
      <c r="E652" s="222"/>
      <c r="F652" s="132"/>
      <c r="G652" s="211"/>
      <c r="H652" s="131"/>
      <c r="I652" s="131"/>
      <c r="J652" s="131"/>
      <c r="K652" s="131"/>
      <c r="L652" s="131"/>
      <c r="M652" s="131"/>
      <c r="N652" s="131"/>
      <c r="O652" s="131"/>
      <c r="P652" s="131"/>
      <c r="Q652" s="131"/>
      <c r="R652" s="131"/>
      <c r="S652" s="131"/>
      <c r="T652" s="131"/>
      <c r="U652" s="131"/>
      <c r="V652" s="131"/>
      <c r="W652" s="131"/>
      <c r="X652" s="131"/>
      <c r="Y652" s="131"/>
      <c r="Z652" s="203"/>
    </row>
    <row r="653">
      <c r="A653" s="268" t="s">
        <v>0</v>
      </c>
      <c r="B653" s="268" t="s">
        <v>362</v>
      </c>
      <c r="C653" s="239" t="s">
        <v>534</v>
      </c>
      <c r="D653" s="239" t="s">
        <v>420</v>
      </c>
      <c r="E653" s="259" t="s">
        <v>3</v>
      </c>
      <c r="F653" s="214" t="s">
        <v>470</v>
      </c>
      <c r="G653" s="140" t="s">
        <v>471</v>
      </c>
      <c r="H653" s="131"/>
      <c r="I653" s="131"/>
      <c r="J653" s="131"/>
      <c r="K653" s="131"/>
      <c r="L653" s="131"/>
      <c r="M653" s="131"/>
      <c r="N653" s="131"/>
      <c r="O653" s="131"/>
      <c r="P653" s="131"/>
      <c r="Q653" s="131"/>
      <c r="R653" s="131"/>
      <c r="S653" s="131"/>
      <c r="T653" s="131"/>
      <c r="U653" s="131"/>
      <c r="V653" s="131"/>
      <c r="W653" s="131"/>
      <c r="X653" s="131"/>
      <c r="Y653" s="131"/>
      <c r="Z653" s="203"/>
    </row>
    <row r="654">
      <c r="A654" s="262" t="s">
        <v>611</v>
      </c>
      <c r="B654" s="262" t="s">
        <v>48</v>
      </c>
      <c r="C654" s="262">
        <v>8815.0</v>
      </c>
      <c r="D654" s="262">
        <v>40.3552842</v>
      </c>
      <c r="E654" s="260">
        <f t="shared" ref="E654:E733" si="27">D654*60</f>
        <v>2421.317052</v>
      </c>
      <c r="F654" s="132">
        <f t="shared" ref="F654:F734" si="28">E654/24/60</f>
        <v>1.681470175</v>
      </c>
      <c r="G654" s="278" t="s">
        <v>1071</v>
      </c>
      <c r="H654" s="131"/>
      <c r="I654" s="131"/>
      <c r="J654" s="131"/>
      <c r="K654" s="131"/>
      <c r="L654" s="131"/>
      <c r="M654" s="131"/>
      <c r="N654" s="131"/>
      <c r="O654" s="131"/>
      <c r="P654" s="131"/>
      <c r="Q654" s="131"/>
      <c r="R654" s="131"/>
      <c r="S654" s="131"/>
      <c r="T654" s="131"/>
      <c r="U654" s="131"/>
      <c r="V654" s="131"/>
      <c r="W654" s="131"/>
      <c r="X654" s="131"/>
      <c r="Y654" s="131"/>
      <c r="Z654" s="203"/>
    </row>
    <row r="655">
      <c r="A655" s="262" t="s">
        <v>611</v>
      </c>
      <c r="B655" s="262" t="s">
        <v>49</v>
      </c>
      <c r="C655" s="262">
        <v>7036.0</v>
      </c>
      <c r="D655" s="262">
        <v>34.4333914</v>
      </c>
      <c r="E655" s="260">
        <f t="shared" si="27"/>
        <v>2066.003484</v>
      </c>
      <c r="F655" s="132">
        <f t="shared" si="28"/>
        <v>1.434724642</v>
      </c>
      <c r="G655" s="278" t="s">
        <v>1072</v>
      </c>
      <c r="H655" s="131"/>
      <c r="I655" s="131"/>
      <c r="J655" s="131"/>
      <c r="K655" s="131"/>
      <c r="L655" s="131"/>
      <c r="M655" s="131"/>
      <c r="N655" s="131"/>
      <c r="O655" s="131"/>
      <c r="P655" s="131"/>
      <c r="Q655" s="131"/>
      <c r="R655" s="131"/>
      <c r="S655" s="131"/>
      <c r="T655" s="131"/>
      <c r="U655" s="131"/>
      <c r="V655" s="131"/>
      <c r="W655" s="131"/>
      <c r="X655" s="131"/>
      <c r="Y655" s="131"/>
      <c r="Z655" s="203"/>
    </row>
    <row r="656">
      <c r="A656" s="262" t="s">
        <v>611</v>
      </c>
      <c r="B656" s="262" t="s">
        <v>50</v>
      </c>
      <c r="C656" s="262">
        <v>8472.0</v>
      </c>
      <c r="D656" s="262">
        <v>40.2390792</v>
      </c>
      <c r="E656" s="260">
        <f t="shared" si="27"/>
        <v>2414.344752</v>
      </c>
      <c r="F656" s="132">
        <f t="shared" si="28"/>
        <v>1.6766283</v>
      </c>
      <c r="G656" s="276" t="s">
        <v>1073</v>
      </c>
      <c r="H656" s="131"/>
      <c r="I656" s="131"/>
      <c r="J656" s="131"/>
      <c r="K656" s="131"/>
      <c r="L656" s="131"/>
      <c r="M656" s="131"/>
      <c r="N656" s="131"/>
      <c r="O656" s="131"/>
      <c r="P656" s="131"/>
      <c r="Q656" s="131"/>
      <c r="R656" s="131"/>
      <c r="S656" s="131"/>
      <c r="T656" s="131"/>
      <c r="U656" s="131"/>
      <c r="V656" s="131"/>
      <c r="W656" s="131"/>
      <c r="X656" s="131"/>
      <c r="Y656" s="131"/>
      <c r="Z656" s="203"/>
    </row>
    <row r="657">
      <c r="A657" s="262" t="s">
        <v>611</v>
      </c>
      <c r="B657" s="262" t="s">
        <v>51</v>
      </c>
      <c r="C657" s="262">
        <v>4828.0</v>
      </c>
      <c r="D657" s="262">
        <v>23.6588536</v>
      </c>
      <c r="E657" s="260">
        <f t="shared" si="27"/>
        <v>1419.531216</v>
      </c>
      <c r="F657" s="132">
        <f t="shared" si="28"/>
        <v>0.9857855667</v>
      </c>
      <c r="G657" s="276" t="s">
        <v>1074</v>
      </c>
      <c r="H657" s="131"/>
      <c r="I657" s="131"/>
      <c r="J657" s="131"/>
      <c r="K657" s="131"/>
      <c r="L657" s="131"/>
      <c r="M657" s="131"/>
      <c r="N657" s="131"/>
      <c r="O657" s="131"/>
      <c r="P657" s="131"/>
      <c r="Q657" s="131"/>
      <c r="R657" s="131"/>
      <c r="S657" s="131"/>
      <c r="T657" s="131"/>
      <c r="U657" s="131"/>
      <c r="V657" s="131"/>
      <c r="W657" s="131"/>
      <c r="X657" s="131"/>
      <c r="Y657" s="131"/>
      <c r="Z657" s="203"/>
    </row>
    <row r="658">
      <c r="A658" s="262" t="s">
        <v>611</v>
      </c>
      <c r="B658" s="262" t="s">
        <v>52</v>
      </c>
      <c r="C658" s="262">
        <v>10624.0</v>
      </c>
      <c r="D658" s="262">
        <v>51.1130836</v>
      </c>
      <c r="E658" s="260">
        <f t="shared" si="27"/>
        <v>3066.785016</v>
      </c>
      <c r="F658" s="132">
        <f t="shared" si="28"/>
        <v>2.129711817</v>
      </c>
      <c r="G658" s="276" t="s">
        <v>1075</v>
      </c>
      <c r="H658" s="131"/>
      <c r="I658" s="131"/>
      <c r="J658" s="131"/>
      <c r="K658" s="131"/>
      <c r="L658" s="131"/>
      <c r="M658" s="131"/>
      <c r="N658" s="131"/>
      <c r="O658" s="131"/>
      <c r="P658" s="131"/>
      <c r="Q658" s="131"/>
      <c r="R658" s="131"/>
      <c r="S658" s="131"/>
      <c r="T658" s="131"/>
      <c r="U658" s="131"/>
      <c r="V658" s="131"/>
      <c r="W658" s="131"/>
      <c r="X658" s="131"/>
      <c r="Y658" s="131"/>
      <c r="Z658" s="203"/>
    </row>
    <row r="659">
      <c r="A659" s="262" t="s">
        <v>611</v>
      </c>
      <c r="B659" s="262" t="s">
        <v>53</v>
      </c>
      <c r="C659" s="262">
        <v>3795.0</v>
      </c>
      <c r="D659" s="262">
        <v>17.6466936</v>
      </c>
      <c r="E659" s="260">
        <f t="shared" si="27"/>
        <v>1058.801616</v>
      </c>
      <c r="F659" s="132">
        <f t="shared" si="28"/>
        <v>0.7352789</v>
      </c>
      <c r="G659" s="276" t="s">
        <v>1076</v>
      </c>
      <c r="H659" s="131"/>
      <c r="I659" s="131"/>
      <c r="J659" s="131"/>
      <c r="K659" s="131"/>
      <c r="L659" s="131"/>
      <c r="M659" s="131"/>
      <c r="N659" s="131"/>
      <c r="O659" s="131"/>
      <c r="P659" s="131"/>
      <c r="Q659" s="131"/>
      <c r="R659" s="131"/>
      <c r="S659" s="131"/>
      <c r="T659" s="131"/>
      <c r="U659" s="131"/>
      <c r="V659" s="131"/>
      <c r="W659" s="131"/>
      <c r="X659" s="131"/>
      <c r="Y659" s="131"/>
      <c r="Z659" s="203"/>
    </row>
    <row r="660">
      <c r="A660" s="262" t="s">
        <v>7</v>
      </c>
      <c r="B660" s="262" t="s">
        <v>34</v>
      </c>
      <c r="C660" s="262">
        <v>2200.0</v>
      </c>
      <c r="D660" s="262">
        <v>11.1987192</v>
      </c>
      <c r="E660" s="260">
        <f t="shared" si="27"/>
        <v>671.923152</v>
      </c>
      <c r="F660" s="132">
        <f t="shared" si="28"/>
        <v>0.4666133</v>
      </c>
      <c r="G660" s="276" t="s">
        <v>1077</v>
      </c>
      <c r="H660" s="131"/>
      <c r="I660" s="131"/>
      <c r="J660" s="131"/>
      <c r="K660" s="131"/>
      <c r="L660" s="131"/>
      <c r="M660" s="131"/>
      <c r="N660" s="131"/>
      <c r="O660" s="131"/>
      <c r="P660" s="131"/>
      <c r="Q660" s="131"/>
      <c r="R660" s="131"/>
      <c r="S660" s="131"/>
      <c r="T660" s="131"/>
      <c r="U660" s="131"/>
      <c r="V660" s="131"/>
      <c r="W660" s="131"/>
      <c r="X660" s="131"/>
      <c r="Y660" s="131"/>
      <c r="Z660" s="203"/>
    </row>
    <row r="661">
      <c r="A661" s="262" t="s">
        <v>7</v>
      </c>
      <c r="B661" s="262" t="s">
        <v>37</v>
      </c>
      <c r="C661" s="262">
        <v>3771.0</v>
      </c>
      <c r="D661" s="262">
        <v>18.5165553</v>
      </c>
      <c r="E661" s="260">
        <f t="shared" si="27"/>
        <v>1110.993318</v>
      </c>
      <c r="F661" s="132">
        <f t="shared" si="28"/>
        <v>0.7715231375</v>
      </c>
      <c r="G661" s="276" t="s">
        <v>1078</v>
      </c>
      <c r="H661" s="131"/>
      <c r="I661" s="131"/>
      <c r="J661" s="131"/>
      <c r="K661" s="131"/>
      <c r="L661" s="131"/>
      <c r="M661" s="131"/>
      <c r="N661" s="131"/>
      <c r="O661" s="131"/>
      <c r="P661" s="131"/>
      <c r="Q661" s="131"/>
      <c r="R661" s="131"/>
      <c r="S661" s="131"/>
      <c r="T661" s="131"/>
      <c r="U661" s="131"/>
      <c r="V661" s="131"/>
      <c r="W661" s="131"/>
      <c r="X661" s="131"/>
      <c r="Y661" s="131"/>
      <c r="Z661" s="203"/>
    </row>
    <row r="662">
      <c r="A662" s="262" t="s">
        <v>7</v>
      </c>
      <c r="B662" s="262" t="s">
        <v>26</v>
      </c>
      <c r="C662" s="262">
        <v>3274.0</v>
      </c>
      <c r="D662" s="262">
        <v>15.8587706</v>
      </c>
      <c r="E662" s="260">
        <f t="shared" si="27"/>
        <v>951.526236</v>
      </c>
      <c r="F662" s="132">
        <f t="shared" si="28"/>
        <v>0.6607821083</v>
      </c>
      <c r="G662" s="276" t="s">
        <v>1079</v>
      </c>
      <c r="H662" s="131"/>
      <c r="I662" s="131"/>
      <c r="J662" s="131"/>
      <c r="K662" s="131"/>
      <c r="L662" s="131"/>
      <c r="M662" s="131"/>
      <c r="N662" s="131"/>
      <c r="O662" s="131"/>
      <c r="P662" s="131"/>
      <c r="Q662" s="131"/>
      <c r="R662" s="131"/>
      <c r="S662" s="131"/>
      <c r="T662" s="131"/>
      <c r="U662" s="131"/>
      <c r="V662" s="131"/>
      <c r="W662" s="131"/>
      <c r="X662" s="131"/>
      <c r="Y662" s="131"/>
      <c r="Z662" s="203"/>
    </row>
    <row r="663">
      <c r="A663" s="262" t="s">
        <v>7</v>
      </c>
      <c r="B663" s="262" t="s">
        <v>24</v>
      </c>
      <c r="C663" s="262">
        <v>3237.0</v>
      </c>
      <c r="D663" s="262">
        <v>15.80104</v>
      </c>
      <c r="E663" s="260">
        <f t="shared" si="27"/>
        <v>948.0624</v>
      </c>
      <c r="F663" s="132">
        <f t="shared" si="28"/>
        <v>0.6583766667</v>
      </c>
      <c r="G663" s="276" t="s">
        <v>1080</v>
      </c>
      <c r="H663" s="131"/>
      <c r="I663" s="131"/>
      <c r="J663" s="131"/>
      <c r="K663" s="131"/>
      <c r="L663" s="131"/>
      <c r="M663" s="131"/>
      <c r="N663" s="131"/>
      <c r="O663" s="131"/>
      <c r="P663" s="131"/>
      <c r="Q663" s="131"/>
      <c r="R663" s="131"/>
      <c r="S663" s="131"/>
      <c r="T663" s="131"/>
      <c r="U663" s="131"/>
      <c r="V663" s="131"/>
      <c r="W663" s="131"/>
      <c r="X663" s="131"/>
      <c r="Y663" s="131"/>
      <c r="Z663" s="203"/>
    </row>
    <row r="664">
      <c r="A664" s="262" t="s">
        <v>7</v>
      </c>
      <c r="B664" s="262" t="s">
        <v>422</v>
      </c>
      <c r="C664" s="262">
        <v>3715.0</v>
      </c>
      <c r="D664" s="262">
        <v>18.0772808</v>
      </c>
      <c r="E664" s="260">
        <f t="shared" si="27"/>
        <v>1084.636848</v>
      </c>
      <c r="F664" s="132">
        <f t="shared" si="28"/>
        <v>0.7532200333</v>
      </c>
      <c r="G664" s="276" t="s">
        <v>1081</v>
      </c>
      <c r="H664" s="131"/>
      <c r="I664" s="131"/>
      <c r="J664" s="131"/>
      <c r="K664" s="131"/>
      <c r="L664" s="131"/>
      <c r="M664" s="131"/>
      <c r="N664" s="131"/>
      <c r="O664" s="131"/>
      <c r="P664" s="131"/>
      <c r="Q664" s="131"/>
      <c r="R664" s="131"/>
      <c r="S664" s="131"/>
      <c r="T664" s="131"/>
      <c r="U664" s="131"/>
      <c r="V664" s="131"/>
      <c r="W664" s="131"/>
      <c r="X664" s="131"/>
      <c r="Y664" s="131"/>
      <c r="Z664" s="203"/>
    </row>
    <row r="665">
      <c r="A665" s="262" t="s">
        <v>7</v>
      </c>
      <c r="B665" s="262" t="s">
        <v>27</v>
      </c>
      <c r="C665" s="262">
        <v>2991.0</v>
      </c>
      <c r="D665" s="262">
        <v>14.4849775</v>
      </c>
      <c r="E665" s="260">
        <f t="shared" si="27"/>
        <v>869.09865</v>
      </c>
      <c r="F665" s="132">
        <f t="shared" si="28"/>
        <v>0.6035407292</v>
      </c>
      <c r="G665" s="276" t="s">
        <v>1082</v>
      </c>
      <c r="H665" s="131"/>
      <c r="I665" s="131"/>
      <c r="J665" s="131"/>
      <c r="K665" s="131"/>
      <c r="L665" s="131"/>
      <c r="M665" s="131"/>
      <c r="N665" s="131"/>
      <c r="O665" s="131"/>
      <c r="P665" s="131"/>
      <c r="Q665" s="131"/>
      <c r="R665" s="131"/>
      <c r="S665" s="131"/>
      <c r="T665" s="131"/>
      <c r="U665" s="131"/>
      <c r="V665" s="131"/>
      <c r="W665" s="131"/>
      <c r="X665" s="131"/>
      <c r="Y665" s="131"/>
      <c r="Z665" s="203"/>
    </row>
    <row r="666">
      <c r="A666" s="262" t="s">
        <v>7</v>
      </c>
      <c r="B666" s="262" t="s">
        <v>19</v>
      </c>
      <c r="C666" s="262">
        <v>2647.0</v>
      </c>
      <c r="D666" s="262">
        <v>12.782</v>
      </c>
      <c r="E666" s="260">
        <f t="shared" si="27"/>
        <v>766.92</v>
      </c>
      <c r="F666" s="132">
        <f t="shared" si="28"/>
        <v>0.5325833333</v>
      </c>
      <c r="G666" s="276" t="s">
        <v>1083</v>
      </c>
      <c r="H666" s="131"/>
      <c r="I666" s="131"/>
      <c r="J666" s="131"/>
      <c r="K666" s="131"/>
      <c r="L666" s="131"/>
      <c r="M666" s="131"/>
      <c r="N666" s="131"/>
      <c r="O666" s="131"/>
      <c r="P666" s="131"/>
      <c r="Q666" s="131"/>
      <c r="R666" s="131"/>
      <c r="S666" s="131"/>
      <c r="T666" s="131"/>
      <c r="U666" s="131"/>
      <c r="V666" s="131"/>
      <c r="W666" s="131"/>
      <c r="X666" s="131"/>
      <c r="Y666" s="131"/>
      <c r="Z666" s="203"/>
    </row>
    <row r="667">
      <c r="A667" s="262" t="s">
        <v>7</v>
      </c>
      <c r="B667" s="262" t="s">
        <v>40</v>
      </c>
      <c r="C667" s="262">
        <v>1671.0</v>
      </c>
      <c r="D667" s="262">
        <v>7.9778064</v>
      </c>
      <c r="E667" s="260">
        <f t="shared" si="27"/>
        <v>478.668384</v>
      </c>
      <c r="F667" s="132">
        <f t="shared" si="28"/>
        <v>0.3324086</v>
      </c>
      <c r="G667" s="276" t="s">
        <v>1084</v>
      </c>
      <c r="H667" s="131"/>
      <c r="I667" s="131"/>
      <c r="J667" s="131"/>
      <c r="K667" s="131"/>
      <c r="L667" s="131"/>
      <c r="M667" s="131"/>
      <c r="N667" s="131"/>
      <c r="O667" s="131"/>
      <c r="P667" s="131"/>
      <c r="Q667" s="131"/>
      <c r="R667" s="131"/>
      <c r="S667" s="131"/>
      <c r="T667" s="131"/>
      <c r="U667" s="131"/>
      <c r="V667" s="131"/>
      <c r="W667" s="131"/>
      <c r="X667" s="131"/>
      <c r="Y667" s="131"/>
      <c r="Z667" s="203"/>
    </row>
    <row r="668">
      <c r="A668" s="262" t="s">
        <v>7</v>
      </c>
      <c r="B668" s="262" t="s">
        <v>44</v>
      </c>
      <c r="C668" s="262">
        <v>2265.0</v>
      </c>
      <c r="D668" s="262">
        <v>11.0699122</v>
      </c>
      <c r="E668" s="260">
        <f t="shared" si="27"/>
        <v>664.194732</v>
      </c>
      <c r="F668" s="132">
        <f t="shared" si="28"/>
        <v>0.4612463417</v>
      </c>
      <c r="G668" s="276" t="s">
        <v>1085</v>
      </c>
      <c r="H668" s="131"/>
      <c r="I668" s="131"/>
      <c r="J668" s="131"/>
      <c r="K668" s="131"/>
      <c r="L668" s="131"/>
      <c r="M668" s="131"/>
      <c r="N668" s="131"/>
      <c r="O668" s="131"/>
      <c r="P668" s="131"/>
      <c r="Q668" s="131"/>
      <c r="R668" s="131"/>
      <c r="S668" s="131"/>
      <c r="T668" s="131"/>
      <c r="U668" s="131"/>
      <c r="V668" s="131"/>
      <c r="W668" s="131"/>
      <c r="X668" s="131"/>
      <c r="Y668" s="131"/>
      <c r="Z668" s="203"/>
    </row>
    <row r="669">
      <c r="A669" s="262" t="s">
        <v>7</v>
      </c>
      <c r="B669" s="262" t="s">
        <v>21</v>
      </c>
      <c r="C669" s="262">
        <v>1652.0</v>
      </c>
      <c r="D669" s="262">
        <v>8.4068372</v>
      </c>
      <c r="E669" s="260">
        <f t="shared" si="27"/>
        <v>504.410232</v>
      </c>
      <c r="F669" s="132">
        <f t="shared" si="28"/>
        <v>0.3502848833</v>
      </c>
      <c r="G669" s="276" t="s">
        <v>1086</v>
      </c>
      <c r="H669" s="131"/>
      <c r="I669" s="131"/>
      <c r="J669" s="131"/>
      <c r="K669" s="131"/>
      <c r="L669" s="131"/>
      <c r="M669" s="131"/>
      <c r="N669" s="131"/>
      <c r="O669" s="131"/>
      <c r="P669" s="131"/>
      <c r="Q669" s="131"/>
      <c r="R669" s="131"/>
      <c r="S669" s="131"/>
      <c r="T669" s="131"/>
      <c r="U669" s="131"/>
      <c r="V669" s="131"/>
      <c r="W669" s="131"/>
      <c r="X669" s="131"/>
      <c r="Y669" s="131"/>
      <c r="Z669" s="203"/>
    </row>
    <row r="670">
      <c r="A670" s="262" t="s">
        <v>7</v>
      </c>
      <c r="B670" s="262" t="s">
        <v>31</v>
      </c>
      <c r="C670" s="262">
        <v>2133.0</v>
      </c>
      <c r="D670" s="262">
        <v>10.5363047</v>
      </c>
      <c r="E670" s="260">
        <f t="shared" si="27"/>
        <v>632.178282</v>
      </c>
      <c r="F670" s="132">
        <f t="shared" si="28"/>
        <v>0.4390126958</v>
      </c>
      <c r="G670" s="276" t="s">
        <v>1087</v>
      </c>
      <c r="H670" s="131"/>
      <c r="I670" s="131"/>
      <c r="J670" s="131"/>
      <c r="K670" s="131"/>
      <c r="L670" s="131"/>
      <c r="M670" s="131"/>
      <c r="N670" s="131"/>
      <c r="O670" s="131"/>
      <c r="P670" s="131"/>
      <c r="Q670" s="131"/>
      <c r="R670" s="131"/>
      <c r="S670" s="131"/>
      <c r="T670" s="131"/>
      <c r="U670" s="131"/>
      <c r="V670" s="131"/>
      <c r="W670" s="131"/>
      <c r="X670" s="131"/>
      <c r="Y670" s="131"/>
      <c r="Z670" s="203"/>
    </row>
    <row r="671">
      <c r="A671" s="262" t="s">
        <v>7</v>
      </c>
      <c r="B671" s="262" t="s">
        <v>25</v>
      </c>
      <c r="C671" s="262">
        <v>1395.0</v>
      </c>
      <c r="D671" s="262">
        <v>6.82554</v>
      </c>
      <c r="E671" s="260">
        <f t="shared" si="27"/>
        <v>409.5324</v>
      </c>
      <c r="F671" s="132">
        <f t="shared" si="28"/>
        <v>0.2843975</v>
      </c>
      <c r="G671" s="276" t="s">
        <v>1088</v>
      </c>
      <c r="H671" s="131"/>
      <c r="I671" s="131"/>
      <c r="J671" s="131"/>
      <c r="K671" s="131"/>
      <c r="L671" s="131"/>
      <c r="M671" s="131"/>
      <c r="N671" s="131"/>
      <c r="O671" s="131"/>
      <c r="P671" s="131"/>
      <c r="Q671" s="131"/>
      <c r="R671" s="131"/>
      <c r="S671" s="131"/>
      <c r="T671" s="131"/>
      <c r="U671" s="131"/>
      <c r="V671" s="131"/>
      <c r="W671" s="131"/>
      <c r="X671" s="131"/>
      <c r="Y671" s="131"/>
      <c r="Z671" s="203"/>
    </row>
    <row r="672">
      <c r="A672" s="262" t="s">
        <v>7</v>
      </c>
      <c r="B672" s="262" t="s">
        <v>43</v>
      </c>
      <c r="C672" s="262">
        <v>3330.0</v>
      </c>
      <c r="D672" s="262">
        <v>16.1854006</v>
      </c>
      <c r="E672" s="260">
        <f t="shared" si="27"/>
        <v>971.124036</v>
      </c>
      <c r="F672" s="132">
        <f t="shared" si="28"/>
        <v>0.6743916917</v>
      </c>
      <c r="G672" s="276" t="s">
        <v>1089</v>
      </c>
      <c r="H672" s="131"/>
      <c r="I672" s="131"/>
      <c r="J672" s="131"/>
      <c r="K672" s="131"/>
      <c r="L672" s="131"/>
      <c r="M672" s="131"/>
      <c r="N672" s="131"/>
      <c r="O672" s="131"/>
      <c r="P672" s="131"/>
      <c r="Q672" s="131"/>
      <c r="R672" s="131"/>
      <c r="S672" s="131"/>
      <c r="T672" s="131"/>
      <c r="U672" s="131"/>
      <c r="V672" s="131"/>
      <c r="W672" s="131"/>
      <c r="X672" s="131"/>
      <c r="Y672" s="131"/>
      <c r="Z672" s="203"/>
    </row>
    <row r="673">
      <c r="A673" s="262" t="s">
        <v>7</v>
      </c>
      <c r="B673" s="262" t="s">
        <v>41</v>
      </c>
      <c r="C673" s="262">
        <v>1839.0</v>
      </c>
      <c r="D673" s="262">
        <v>8.9964239</v>
      </c>
      <c r="E673" s="260">
        <f t="shared" si="27"/>
        <v>539.785434</v>
      </c>
      <c r="F673" s="132">
        <f t="shared" si="28"/>
        <v>0.3748509958</v>
      </c>
      <c r="G673" s="276" t="s">
        <v>1090</v>
      </c>
      <c r="H673" s="131"/>
      <c r="I673" s="131"/>
      <c r="J673" s="131"/>
      <c r="K673" s="131"/>
      <c r="L673" s="131"/>
      <c r="M673" s="131"/>
      <c r="N673" s="131"/>
      <c r="O673" s="131"/>
      <c r="P673" s="131"/>
      <c r="Q673" s="131"/>
      <c r="R673" s="131"/>
      <c r="S673" s="131"/>
      <c r="T673" s="131"/>
      <c r="U673" s="131"/>
      <c r="V673" s="131"/>
      <c r="W673" s="131"/>
      <c r="X673" s="131"/>
      <c r="Y673" s="131"/>
      <c r="Z673" s="203"/>
    </row>
    <row r="674">
      <c r="A674" s="262" t="s">
        <v>7</v>
      </c>
      <c r="B674" s="262" t="s">
        <v>32</v>
      </c>
      <c r="C674" s="262">
        <v>1855.0</v>
      </c>
      <c r="D674" s="262">
        <v>9.5611675</v>
      </c>
      <c r="E674" s="260">
        <f t="shared" si="27"/>
        <v>573.67005</v>
      </c>
      <c r="F674" s="132">
        <f t="shared" si="28"/>
        <v>0.3983819792</v>
      </c>
      <c r="G674" s="276" t="s">
        <v>1091</v>
      </c>
      <c r="H674" s="131"/>
      <c r="I674" s="131"/>
      <c r="J674" s="131"/>
      <c r="K674" s="131"/>
      <c r="L674" s="131"/>
      <c r="M674" s="131"/>
      <c r="N674" s="131"/>
      <c r="O674" s="131"/>
      <c r="P674" s="131"/>
      <c r="Q674" s="131"/>
      <c r="R674" s="131"/>
      <c r="S674" s="131"/>
      <c r="T674" s="131"/>
      <c r="U674" s="131"/>
      <c r="V674" s="131"/>
      <c r="W674" s="131"/>
      <c r="X674" s="131"/>
      <c r="Y674" s="131"/>
      <c r="Z674" s="203"/>
    </row>
    <row r="675">
      <c r="A675" s="262" t="s">
        <v>7</v>
      </c>
      <c r="B675" s="262" t="s">
        <v>22</v>
      </c>
      <c r="C675" s="262">
        <v>2348.0</v>
      </c>
      <c r="D675" s="262">
        <v>11.5209003</v>
      </c>
      <c r="E675" s="260">
        <f t="shared" si="27"/>
        <v>691.254018</v>
      </c>
      <c r="F675" s="132">
        <f t="shared" si="28"/>
        <v>0.4800375125</v>
      </c>
      <c r="G675" s="276" t="s">
        <v>1092</v>
      </c>
      <c r="H675" s="131"/>
      <c r="I675" s="131"/>
      <c r="J675" s="131"/>
      <c r="K675" s="131"/>
      <c r="L675" s="131"/>
      <c r="M675" s="131"/>
      <c r="N675" s="131"/>
      <c r="O675" s="131"/>
      <c r="P675" s="131"/>
      <c r="Q675" s="131"/>
      <c r="R675" s="131"/>
      <c r="S675" s="131"/>
      <c r="T675" s="131"/>
      <c r="U675" s="131"/>
      <c r="V675" s="131"/>
      <c r="W675" s="131"/>
      <c r="X675" s="131"/>
      <c r="Y675" s="131"/>
      <c r="Z675" s="203"/>
    </row>
    <row r="676">
      <c r="A676" s="262" t="s">
        <v>7</v>
      </c>
      <c r="B676" s="262" t="s">
        <v>8</v>
      </c>
      <c r="C676" s="262">
        <v>2334.0</v>
      </c>
      <c r="D676" s="262">
        <v>11.1569822</v>
      </c>
      <c r="E676" s="260">
        <f t="shared" si="27"/>
        <v>669.418932</v>
      </c>
      <c r="F676" s="132">
        <f t="shared" si="28"/>
        <v>0.4648742583</v>
      </c>
      <c r="G676" s="276" t="s">
        <v>1093</v>
      </c>
      <c r="H676" s="131"/>
      <c r="I676" s="131"/>
      <c r="J676" s="131"/>
      <c r="K676" s="131"/>
      <c r="L676" s="131"/>
      <c r="M676" s="131"/>
      <c r="N676" s="131"/>
      <c r="O676" s="131"/>
      <c r="P676" s="131"/>
      <c r="Q676" s="131"/>
      <c r="R676" s="131"/>
      <c r="S676" s="131"/>
      <c r="T676" s="131"/>
      <c r="U676" s="131"/>
      <c r="V676" s="131"/>
      <c r="W676" s="131"/>
      <c r="X676" s="131"/>
      <c r="Y676" s="131"/>
      <c r="Z676" s="203"/>
    </row>
    <row r="677">
      <c r="A677" s="262" t="s">
        <v>7</v>
      </c>
      <c r="B677" s="262" t="s">
        <v>20</v>
      </c>
      <c r="C677" s="262">
        <v>2644.0</v>
      </c>
      <c r="D677" s="262">
        <v>12.4474247</v>
      </c>
      <c r="E677" s="260">
        <f t="shared" si="27"/>
        <v>746.845482</v>
      </c>
      <c r="F677" s="132">
        <f t="shared" si="28"/>
        <v>0.5186426958</v>
      </c>
      <c r="G677" s="276" t="s">
        <v>1094</v>
      </c>
      <c r="H677" s="131"/>
      <c r="I677" s="131"/>
      <c r="J677" s="131"/>
      <c r="K677" s="131"/>
      <c r="L677" s="131"/>
      <c r="M677" s="131"/>
      <c r="N677" s="131"/>
      <c r="O677" s="131"/>
      <c r="P677" s="131"/>
      <c r="Q677" s="131"/>
      <c r="R677" s="131"/>
      <c r="S677" s="131"/>
      <c r="T677" s="131"/>
      <c r="U677" s="131"/>
      <c r="V677" s="131"/>
      <c r="W677" s="131"/>
      <c r="X677" s="131"/>
      <c r="Y677" s="131"/>
      <c r="Z677" s="203"/>
    </row>
    <row r="678">
      <c r="A678" s="262" t="s">
        <v>7</v>
      </c>
      <c r="B678" s="262" t="s">
        <v>33</v>
      </c>
      <c r="C678" s="262">
        <v>765.0</v>
      </c>
      <c r="D678" s="262">
        <v>3.9833442</v>
      </c>
      <c r="E678" s="260">
        <f t="shared" si="27"/>
        <v>239.000652</v>
      </c>
      <c r="F678" s="132">
        <f t="shared" si="28"/>
        <v>0.165972675</v>
      </c>
      <c r="G678" s="276" t="s">
        <v>1095</v>
      </c>
      <c r="H678" s="131"/>
      <c r="I678" s="131"/>
      <c r="J678" s="131"/>
      <c r="K678" s="131"/>
      <c r="L678" s="131"/>
      <c r="M678" s="131"/>
      <c r="N678" s="131"/>
      <c r="O678" s="131"/>
      <c r="P678" s="131"/>
      <c r="Q678" s="131"/>
      <c r="R678" s="131"/>
      <c r="S678" s="131"/>
      <c r="T678" s="131"/>
      <c r="U678" s="131"/>
      <c r="V678" s="131"/>
      <c r="W678" s="131"/>
      <c r="X678" s="131"/>
      <c r="Y678" s="131"/>
      <c r="Z678" s="203"/>
    </row>
    <row r="679">
      <c r="A679" s="262" t="s">
        <v>7</v>
      </c>
      <c r="B679" s="262" t="s">
        <v>30</v>
      </c>
      <c r="C679" s="262">
        <v>1228.0</v>
      </c>
      <c r="D679" s="262">
        <v>6.1433228</v>
      </c>
      <c r="E679" s="260">
        <f t="shared" si="27"/>
        <v>368.599368</v>
      </c>
      <c r="F679" s="132">
        <f t="shared" si="28"/>
        <v>0.2559717833</v>
      </c>
      <c r="G679" s="276" t="s">
        <v>1096</v>
      </c>
      <c r="H679" s="131"/>
      <c r="I679" s="131"/>
      <c r="J679" s="131"/>
      <c r="K679" s="131"/>
      <c r="L679" s="131"/>
      <c r="M679" s="131"/>
      <c r="N679" s="131"/>
      <c r="O679" s="131"/>
      <c r="P679" s="131"/>
      <c r="Q679" s="131"/>
      <c r="R679" s="131"/>
      <c r="S679" s="131"/>
      <c r="T679" s="131"/>
      <c r="U679" s="131"/>
      <c r="V679" s="131"/>
      <c r="W679" s="131"/>
      <c r="X679" s="131"/>
      <c r="Y679" s="131"/>
      <c r="Z679" s="203"/>
    </row>
    <row r="680">
      <c r="A680" s="262" t="s">
        <v>54</v>
      </c>
      <c r="B680" s="262" t="s">
        <v>55</v>
      </c>
      <c r="C680" s="262">
        <v>3449.0</v>
      </c>
      <c r="D680" s="262">
        <v>16.9820342</v>
      </c>
      <c r="E680" s="260">
        <f t="shared" si="27"/>
        <v>1018.922052</v>
      </c>
      <c r="F680" s="132">
        <f t="shared" si="28"/>
        <v>0.7075847583</v>
      </c>
      <c r="G680" s="276" t="s">
        <v>1097</v>
      </c>
      <c r="H680" s="131"/>
      <c r="I680" s="131"/>
      <c r="J680" s="131"/>
      <c r="K680" s="131"/>
      <c r="L680" s="131"/>
      <c r="M680" s="131"/>
      <c r="N680" s="131"/>
      <c r="O680" s="131"/>
      <c r="P680" s="131"/>
      <c r="Q680" s="131"/>
      <c r="R680" s="131"/>
      <c r="S680" s="131"/>
      <c r="T680" s="131"/>
      <c r="U680" s="131"/>
      <c r="V680" s="131"/>
      <c r="W680" s="131"/>
      <c r="X680" s="131"/>
      <c r="Y680" s="131"/>
      <c r="Z680" s="203"/>
    </row>
    <row r="681">
      <c r="A681" s="262" t="s">
        <v>54</v>
      </c>
      <c r="B681" s="262" t="s">
        <v>56</v>
      </c>
      <c r="C681" s="262">
        <v>4104.0</v>
      </c>
      <c r="D681" s="262">
        <v>19.5559992</v>
      </c>
      <c r="E681" s="260">
        <f t="shared" si="27"/>
        <v>1173.359952</v>
      </c>
      <c r="F681" s="132">
        <f t="shared" si="28"/>
        <v>0.8148333</v>
      </c>
      <c r="G681" s="276" t="s">
        <v>1098</v>
      </c>
      <c r="H681" s="131"/>
      <c r="I681" s="131"/>
      <c r="J681" s="131"/>
      <c r="K681" s="131"/>
      <c r="L681" s="131"/>
      <c r="M681" s="131"/>
      <c r="N681" s="131"/>
      <c r="O681" s="131"/>
      <c r="P681" s="131"/>
      <c r="Q681" s="131"/>
      <c r="R681" s="131"/>
      <c r="S681" s="131"/>
      <c r="T681" s="131"/>
      <c r="U681" s="131"/>
      <c r="V681" s="131"/>
      <c r="W681" s="131"/>
      <c r="X681" s="131"/>
      <c r="Y681" s="131"/>
      <c r="Z681" s="203"/>
    </row>
    <row r="682">
      <c r="A682" s="262" t="s">
        <v>54</v>
      </c>
      <c r="B682" s="262" t="s">
        <v>58</v>
      </c>
      <c r="C682" s="262">
        <v>4197.0</v>
      </c>
      <c r="D682" s="262">
        <v>21.0302639</v>
      </c>
      <c r="E682" s="260">
        <f t="shared" si="27"/>
        <v>1261.815834</v>
      </c>
      <c r="F682" s="132">
        <f t="shared" si="28"/>
        <v>0.8762609958</v>
      </c>
      <c r="G682" s="276" t="s">
        <v>1099</v>
      </c>
      <c r="H682" s="131"/>
      <c r="I682" s="131"/>
      <c r="J682" s="131"/>
      <c r="K682" s="131"/>
      <c r="L682" s="131"/>
      <c r="M682" s="131"/>
      <c r="N682" s="131"/>
      <c r="O682" s="131"/>
      <c r="P682" s="131"/>
      <c r="Q682" s="131"/>
      <c r="R682" s="131"/>
      <c r="S682" s="131"/>
      <c r="T682" s="131"/>
      <c r="U682" s="131"/>
      <c r="V682" s="131"/>
      <c r="W682" s="131"/>
      <c r="X682" s="131"/>
      <c r="Y682" s="131"/>
      <c r="Z682" s="203"/>
    </row>
    <row r="683">
      <c r="A683" s="262" t="s">
        <v>54</v>
      </c>
      <c r="B683" s="262" t="s">
        <v>59</v>
      </c>
      <c r="C683" s="262">
        <v>3516.0</v>
      </c>
      <c r="D683" s="262">
        <v>17.0409689</v>
      </c>
      <c r="E683" s="260">
        <f t="shared" si="27"/>
        <v>1022.458134</v>
      </c>
      <c r="F683" s="132">
        <f t="shared" si="28"/>
        <v>0.7100403708</v>
      </c>
      <c r="G683" s="276" t="s">
        <v>1100</v>
      </c>
      <c r="H683" s="131"/>
      <c r="I683" s="131"/>
      <c r="J683" s="131"/>
      <c r="K683" s="131"/>
      <c r="L683" s="131"/>
      <c r="M683" s="131"/>
      <c r="N683" s="131"/>
      <c r="O683" s="131"/>
      <c r="P683" s="131"/>
      <c r="Q683" s="131"/>
      <c r="R683" s="131"/>
      <c r="S683" s="131"/>
      <c r="T683" s="131"/>
      <c r="U683" s="131"/>
      <c r="V683" s="131"/>
      <c r="W683" s="131"/>
      <c r="X683" s="131"/>
      <c r="Y683" s="131"/>
      <c r="Z683" s="203"/>
    </row>
    <row r="684">
      <c r="A684" s="262" t="s">
        <v>54</v>
      </c>
      <c r="B684" s="262" t="s">
        <v>60</v>
      </c>
      <c r="C684" s="262">
        <v>6200.0</v>
      </c>
      <c r="D684" s="262">
        <v>30.4287414</v>
      </c>
      <c r="E684" s="260">
        <f t="shared" si="27"/>
        <v>1825.724484</v>
      </c>
      <c r="F684" s="132">
        <f t="shared" si="28"/>
        <v>1.267864225</v>
      </c>
      <c r="G684" s="276" t="s">
        <v>1101</v>
      </c>
      <c r="H684" s="131"/>
      <c r="I684" s="131"/>
      <c r="J684" s="131"/>
      <c r="K684" s="131"/>
      <c r="L684" s="131"/>
      <c r="M684" s="131"/>
      <c r="N684" s="131"/>
      <c r="O684" s="131"/>
      <c r="P684" s="131"/>
      <c r="Q684" s="131"/>
      <c r="R684" s="131"/>
      <c r="S684" s="131"/>
      <c r="T684" s="131"/>
      <c r="U684" s="131"/>
      <c r="V684" s="131"/>
      <c r="W684" s="131"/>
      <c r="X684" s="131"/>
      <c r="Y684" s="131"/>
      <c r="Z684" s="203"/>
    </row>
    <row r="685">
      <c r="A685" s="262" t="s">
        <v>54</v>
      </c>
      <c r="B685" s="262" t="s">
        <v>62</v>
      </c>
      <c r="C685" s="262">
        <v>4037.0</v>
      </c>
      <c r="D685" s="262">
        <v>20.2157433</v>
      </c>
      <c r="E685" s="260">
        <f t="shared" si="27"/>
        <v>1212.944598</v>
      </c>
      <c r="F685" s="132">
        <f t="shared" si="28"/>
        <v>0.8423226375</v>
      </c>
      <c r="G685" s="276" t="s">
        <v>1102</v>
      </c>
      <c r="H685" s="131"/>
      <c r="I685" s="131"/>
      <c r="J685" s="131"/>
      <c r="K685" s="131"/>
      <c r="L685" s="131"/>
      <c r="M685" s="131"/>
      <c r="N685" s="131"/>
      <c r="O685" s="131"/>
      <c r="P685" s="131"/>
      <c r="Q685" s="131"/>
      <c r="R685" s="131"/>
      <c r="S685" s="131"/>
      <c r="T685" s="131"/>
      <c r="U685" s="131"/>
      <c r="V685" s="131"/>
      <c r="W685" s="131"/>
      <c r="X685" s="131"/>
      <c r="Y685" s="131"/>
      <c r="Z685" s="203"/>
    </row>
    <row r="686">
      <c r="A686" s="262" t="s">
        <v>54</v>
      </c>
      <c r="B686" s="262" t="s">
        <v>63</v>
      </c>
      <c r="C686" s="262">
        <v>5720.0</v>
      </c>
      <c r="D686" s="262">
        <v>27.4026569</v>
      </c>
      <c r="E686" s="260">
        <f t="shared" si="27"/>
        <v>1644.159414</v>
      </c>
      <c r="F686" s="132">
        <f t="shared" si="28"/>
        <v>1.141777371</v>
      </c>
      <c r="G686" s="276" t="s">
        <v>1103</v>
      </c>
      <c r="H686" s="131"/>
      <c r="I686" s="131"/>
      <c r="J686" s="131"/>
      <c r="K686" s="131"/>
      <c r="L686" s="131"/>
      <c r="M686" s="131"/>
      <c r="N686" s="131"/>
      <c r="O686" s="131"/>
      <c r="P686" s="131"/>
      <c r="Q686" s="131"/>
      <c r="R686" s="131"/>
      <c r="S686" s="131"/>
      <c r="T686" s="131"/>
      <c r="U686" s="131"/>
      <c r="V686" s="131"/>
      <c r="W686" s="131"/>
      <c r="X686" s="131"/>
      <c r="Y686" s="131"/>
      <c r="Z686" s="203"/>
    </row>
    <row r="687">
      <c r="A687" s="262" t="s">
        <v>54</v>
      </c>
      <c r="B687" s="262" t="s">
        <v>64</v>
      </c>
      <c r="C687" s="262">
        <v>3836.0</v>
      </c>
      <c r="D687" s="262">
        <v>19.0498219</v>
      </c>
      <c r="E687" s="260">
        <f t="shared" si="27"/>
        <v>1142.989314</v>
      </c>
      <c r="F687" s="132">
        <f t="shared" si="28"/>
        <v>0.7937425792</v>
      </c>
      <c r="G687" s="276" t="s">
        <v>1104</v>
      </c>
      <c r="H687" s="131"/>
      <c r="I687" s="131"/>
      <c r="J687" s="131"/>
      <c r="K687" s="131"/>
      <c r="L687" s="131"/>
      <c r="M687" s="131"/>
      <c r="N687" s="131"/>
      <c r="O687" s="131"/>
      <c r="P687" s="131"/>
      <c r="Q687" s="131"/>
      <c r="R687" s="131"/>
      <c r="S687" s="131"/>
      <c r="T687" s="131"/>
      <c r="U687" s="131"/>
      <c r="V687" s="131"/>
      <c r="W687" s="131"/>
      <c r="X687" s="131"/>
      <c r="Y687" s="131"/>
      <c r="Z687" s="203"/>
    </row>
    <row r="688">
      <c r="A688" s="262" t="s">
        <v>54</v>
      </c>
      <c r="B688" s="262" t="s">
        <v>65</v>
      </c>
      <c r="C688" s="262">
        <v>4488.0</v>
      </c>
      <c r="D688" s="262">
        <v>21.5108981</v>
      </c>
      <c r="E688" s="260">
        <f t="shared" si="27"/>
        <v>1290.653886</v>
      </c>
      <c r="F688" s="132">
        <f t="shared" si="28"/>
        <v>0.8962874208</v>
      </c>
      <c r="G688" s="276" t="s">
        <v>1105</v>
      </c>
      <c r="H688" s="131"/>
      <c r="I688" s="131"/>
      <c r="J688" s="131"/>
      <c r="K688" s="131"/>
      <c r="L688" s="131"/>
      <c r="M688" s="131"/>
      <c r="N688" s="131"/>
      <c r="O688" s="131"/>
      <c r="P688" s="131"/>
      <c r="Q688" s="131"/>
      <c r="R688" s="131"/>
      <c r="S688" s="131"/>
      <c r="T688" s="131"/>
      <c r="U688" s="131"/>
      <c r="V688" s="131"/>
      <c r="W688" s="131"/>
      <c r="X688" s="131"/>
      <c r="Y688" s="131"/>
      <c r="Z688" s="203"/>
    </row>
    <row r="689">
      <c r="A689" s="262" t="s">
        <v>54</v>
      </c>
      <c r="B689" s="262" t="s">
        <v>66</v>
      </c>
      <c r="C689" s="262">
        <v>2609.0</v>
      </c>
      <c r="D689" s="262">
        <v>12.3925753</v>
      </c>
      <c r="E689" s="260">
        <f t="shared" si="27"/>
        <v>743.554518</v>
      </c>
      <c r="F689" s="132">
        <f t="shared" si="28"/>
        <v>0.5163573042</v>
      </c>
      <c r="G689" s="276" t="s">
        <v>1106</v>
      </c>
      <c r="H689" s="131"/>
      <c r="I689" s="131"/>
      <c r="J689" s="131"/>
      <c r="K689" s="131"/>
      <c r="L689" s="131"/>
      <c r="M689" s="131"/>
      <c r="N689" s="131"/>
      <c r="O689" s="131"/>
      <c r="P689" s="131"/>
      <c r="Q689" s="131"/>
      <c r="R689" s="131"/>
      <c r="S689" s="131"/>
      <c r="T689" s="131"/>
      <c r="U689" s="131"/>
      <c r="V689" s="131"/>
      <c r="W689" s="131"/>
      <c r="X689" s="131"/>
      <c r="Y689" s="131"/>
      <c r="Z689" s="203"/>
    </row>
    <row r="690">
      <c r="A690" s="262" t="s">
        <v>45</v>
      </c>
      <c r="B690" s="262" t="s">
        <v>464</v>
      </c>
      <c r="C690" s="262">
        <v>111.0</v>
      </c>
      <c r="D690" s="262">
        <v>0.5624467</v>
      </c>
      <c r="E690" s="260">
        <f t="shared" si="27"/>
        <v>33.746802</v>
      </c>
      <c r="F690" s="132">
        <f t="shared" si="28"/>
        <v>0.02343527917</v>
      </c>
      <c r="G690" s="276" t="s">
        <v>1107</v>
      </c>
      <c r="H690" s="131"/>
      <c r="I690" s="131"/>
      <c r="J690" s="131"/>
      <c r="K690" s="131"/>
      <c r="L690" s="131"/>
      <c r="M690" s="131"/>
      <c r="N690" s="131"/>
      <c r="O690" s="131"/>
      <c r="P690" s="131"/>
      <c r="Q690" s="131"/>
      <c r="R690" s="131"/>
      <c r="S690" s="131"/>
      <c r="T690" s="131"/>
      <c r="U690" s="131"/>
      <c r="V690" s="131"/>
      <c r="W690" s="131"/>
      <c r="X690" s="131"/>
      <c r="Y690" s="131"/>
      <c r="Z690" s="203"/>
    </row>
    <row r="691">
      <c r="A691" s="262" t="s">
        <v>69</v>
      </c>
      <c r="B691" s="262" t="s">
        <v>70</v>
      </c>
      <c r="C691" s="262">
        <v>354.0</v>
      </c>
      <c r="D691" s="262">
        <v>1.7451203</v>
      </c>
      <c r="E691" s="260">
        <f t="shared" si="27"/>
        <v>104.707218</v>
      </c>
      <c r="F691" s="132">
        <f t="shared" si="28"/>
        <v>0.07271334583</v>
      </c>
      <c r="G691" s="276" t="s">
        <v>1108</v>
      </c>
      <c r="H691" s="131"/>
      <c r="I691" s="131"/>
      <c r="J691" s="131"/>
      <c r="K691" s="131"/>
      <c r="L691" s="131"/>
      <c r="M691" s="131"/>
      <c r="N691" s="131"/>
      <c r="O691" s="131"/>
      <c r="P691" s="131"/>
      <c r="Q691" s="131"/>
      <c r="R691" s="131"/>
      <c r="S691" s="131"/>
      <c r="T691" s="131"/>
      <c r="U691" s="131"/>
      <c r="V691" s="131"/>
      <c r="W691" s="131"/>
      <c r="X691" s="131"/>
      <c r="Y691" s="131"/>
      <c r="Z691" s="203"/>
    </row>
    <row r="692">
      <c r="A692" s="262" t="s">
        <v>69</v>
      </c>
      <c r="B692" s="262" t="s">
        <v>71</v>
      </c>
      <c r="C692" s="262">
        <v>287.0</v>
      </c>
      <c r="D692" s="262">
        <v>1.3991389</v>
      </c>
      <c r="E692" s="260">
        <f t="shared" si="27"/>
        <v>83.948334</v>
      </c>
      <c r="F692" s="132">
        <f t="shared" si="28"/>
        <v>0.05829745417</v>
      </c>
      <c r="G692" s="276" t="s">
        <v>1109</v>
      </c>
      <c r="H692" s="131"/>
      <c r="I692" s="131"/>
      <c r="J692" s="131"/>
      <c r="K692" s="131"/>
      <c r="L692" s="131"/>
      <c r="M692" s="131"/>
      <c r="N692" s="131"/>
      <c r="O692" s="131"/>
      <c r="P692" s="131"/>
      <c r="Q692" s="131"/>
      <c r="R692" s="131"/>
      <c r="S692" s="131"/>
      <c r="T692" s="131"/>
      <c r="U692" s="131"/>
      <c r="V692" s="131"/>
      <c r="W692" s="131"/>
      <c r="X692" s="131"/>
      <c r="Y692" s="131"/>
      <c r="Z692" s="203"/>
    </row>
    <row r="693">
      <c r="A693" s="262" t="s">
        <v>35</v>
      </c>
      <c r="B693" s="262" t="s">
        <v>72</v>
      </c>
      <c r="C693" s="262">
        <v>4419.0</v>
      </c>
      <c r="D693" s="262">
        <v>21.4461814</v>
      </c>
      <c r="E693" s="260">
        <f t="shared" si="27"/>
        <v>1286.770884</v>
      </c>
      <c r="F693" s="132">
        <f t="shared" si="28"/>
        <v>0.8935908917</v>
      </c>
      <c r="G693" s="276" t="s">
        <v>1110</v>
      </c>
      <c r="H693" s="131"/>
      <c r="I693" s="131"/>
      <c r="J693" s="131"/>
      <c r="K693" s="131"/>
      <c r="L693" s="131"/>
      <c r="M693" s="131"/>
      <c r="N693" s="131"/>
      <c r="O693" s="131"/>
      <c r="P693" s="131"/>
      <c r="Q693" s="131"/>
      <c r="R693" s="131"/>
      <c r="S693" s="131"/>
      <c r="T693" s="131"/>
      <c r="U693" s="131"/>
      <c r="V693" s="131"/>
      <c r="W693" s="131"/>
      <c r="X693" s="131"/>
      <c r="Y693" s="131"/>
      <c r="Z693" s="203"/>
    </row>
    <row r="694">
      <c r="A694" s="262" t="s">
        <v>35</v>
      </c>
      <c r="B694" s="262" t="s">
        <v>73</v>
      </c>
      <c r="C694" s="262">
        <v>4685.0</v>
      </c>
      <c r="D694" s="262">
        <v>22.6147814</v>
      </c>
      <c r="E694" s="260">
        <f t="shared" si="27"/>
        <v>1356.886884</v>
      </c>
      <c r="F694" s="132">
        <f t="shared" si="28"/>
        <v>0.9422825583</v>
      </c>
      <c r="G694" s="276" t="s">
        <v>1111</v>
      </c>
      <c r="H694" s="131"/>
      <c r="I694" s="131"/>
      <c r="J694" s="131"/>
      <c r="K694" s="131"/>
      <c r="L694" s="131"/>
      <c r="M694" s="131"/>
      <c r="N694" s="131"/>
      <c r="O694" s="131"/>
      <c r="P694" s="131"/>
      <c r="Q694" s="131"/>
      <c r="R694" s="131"/>
      <c r="S694" s="131"/>
      <c r="T694" s="131"/>
      <c r="U694" s="131"/>
      <c r="V694" s="131"/>
      <c r="W694" s="131"/>
      <c r="X694" s="131"/>
      <c r="Y694" s="131"/>
      <c r="Z694" s="203"/>
    </row>
    <row r="695">
      <c r="A695" s="262" t="s">
        <v>35</v>
      </c>
      <c r="B695" s="262" t="s">
        <v>74</v>
      </c>
      <c r="C695" s="262">
        <v>4094.0</v>
      </c>
      <c r="D695" s="262">
        <v>21.1153511</v>
      </c>
      <c r="E695" s="260">
        <f t="shared" si="27"/>
        <v>1266.921066</v>
      </c>
      <c r="F695" s="132">
        <f t="shared" si="28"/>
        <v>0.8798062958</v>
      </c>
      <c r="G695" s="276" t="s">
        <v>1112</v>
      </c>
      <c r="H695" s="131"/>
      <c r="I695" s="131"/>
      <c r="J695" s="131"/>
      <c r="K695" s="131"/>
      <c r="L695" s="131"/>
      <c r="M695" s="131"/>
      <c r="N695" s="131"/>
      <c r="O695" s="131"/>
      <c r="P695" s="131"/>
      <c r="Q695" s="131"/>
      <c r="R695" s="131"/>
      <c r="S695" s="131"/>
      <c r="T695" s="131"/>
      <c r="U695" s="131"/>
      <c r="V695" s="131"/>
      <c r="W695" s="131"/>
      <c r="X695" s="131"/>
      <c r="Y695" s="131"/>
      <c r="Z695" s="203"/>
    </row>
    <row r="696">
      <c r="A696" s="262" t="s">
        <v>35</v>
      </c>
      <c r="B696" s="262" t="s">
        <v>75</v>
      </c>
      <c r="C696" s="262">
        <v>3775.0</v>
      </c>
      <c r="D696" s="262">
        <v>18.3545289</v>
      </c>
      <c r="E696" s="260">
        <f t="shared" si="27"/>
        <v>1101.271734</v>
      </c>
      <c r="F696" s="132">
        <f t="shared" si="28"/>
        <v>0.7647720375</v>
      </c>
      <c r="G696" s="276" t="s">
        <v>1113</v>
      </c>
      <c r="H696" s="131"/>
      <c r="I696" s="131"/>
      <c r="J696" s="131"/>
      <c r="K696" s="131"/>
      <c r="L696" s="131"/>
      <c r="M696" s="131"/>
      <c r="N696" s="131"/>
      <c r="O696" s="131"/>
      <c r="P696" s="131"/>
      <c r="Q696" s="131"/>
      <c r="R696" s="131"/>
      <c r="S696" s="131"/>
      <c r="T696" s="131"/>
      <c r="U696" s="131"/>
      <c r="V696" s="131"/>
      <c r="W696" s="131"/>
      <c r="X696" s="131"/>
      <c r="Y696" s="131"/>
      <c r="Z696" s="203"/>
    </row>
    <row r="697">
      <c r="A697" s="262" t="s">
        <v>35</v>
      </c>
      <c r="B697" s="262" t="s">
        <v>425</v>
      </c>
      <c r="C697" s="262">
        <v>4157.0</v>
      </c>
      <c r="D697" s="262">
        <v>19.5709311</v>
      </c>
      <c r="E697" s="260">
        <f t="shared" si="27"/>
        <v>1174.255866</v>
      </c>
      <c r="F697" s="132">
        <f t="shared" si="28"/>
        <v>0.8154554625</v>
      </c>
      <c r="G697" s="276" t="s">
        <v>1114</v>
      </c>
      <c r="H697" s="131"/>
      <c r="I697" s="131"/>
      <c r="J697" s="131"/>
      <c r="K697" s="131"/>
      <c r="L697" s="131"/>
      <c r="M697" s="131"/>
      <c r="N697" s="131"/>
      <c r="O697" s="131"/>
      <c r="P697" s="131"/>
      <c r="Q697" s="131"/>
      <c r="R697" s="131"/>
      <c r="S697" s="131"/>
      <c r="T697" s="131"/>
      <c r="U697" s="131"/>
      <c r="V697" s="131"/>
      <c r="W697" s="131"/>
      <c r="X697" s="131"/>
      <c r="Y697" s="131"/>
      <c r="Z697" s="203"/>
    </row>
    <row r="698">
      <c r="A698" s="262" t="s">
        <v>35</v>
      </c>
      <c r="B698" s="262" t="s">
        <v>42</v>
      </c>
      <c r="C698" s="262">
        <v>3551.0</v>
      </c>
      <c r="D698" s="262">
        <v>16.9956536</v>
      </c>
      <c r="E698" s="260">
        <f t="shared" si="27"/>
        <v>1019.739216</v>
      </c>
      <c r="F698" s="132">
        <f t="shared" si="28"/>
        <v>0.7081522333</v>
      </c>
      <c r="G698" s="276" t="s">
        <v>1115</v>
      </c>
      <c r="H698" s="131"/>
      <c r="I698" s="131"/>
      <c r="J698" s="131"/>
      <c r="K698" s="131"/>
      <c r="L698" s="131"/>
      <c r="M698" s="131"/>
      <c r="N698" s="131"/>
      <c r="O698" s="131"/>
      <c r="P698" s="131"/>
      <c r="Q698" s="131"/>
      <c r="R698" s="131"/>
      <c r="S698" s="131"/>
      <c r="T698" s="131"/>
      <c r="U698" s="131"/>
      <c r="V698" s="131"/>
      <c r="W698" s="131"/>
      <c r="X698" s="131"/>
      <c r="Y698" s="131"/>
      <c r="Z698" s="203"/>
    </row>
    <row r="699">
      <c r="A699" s="262" t="s">
        <v>35</v>
      </c>
      <c r="B699" s="262" t="s">
        <v>80</v>
      </c>
      <c r="C699" s="262">
        <v>4249.0</v>
      </c>
      <c r="D699" s="262">
        <v>20.8073889</v>
      </c>
      <c r="E699" s="260">
        <f t="shared" si="27"/>
        <v>1248.443334</v>
      </c>
      <c r="F699" s="132">
        <f t="shared" si="28"/>
        <v>0.8669745375</v>
      </c>
      <c r="G699" s="276" t="s">
        <v>1116</v>
      </c>
      <c r="H699" s="131"/>
      <c r="I699" s="131"/>
      <c r="J699" s="131"/>
      <c r="K699" s="131"/>
      <c r="L699" s="131"/>
      <c r="M699" s="131"/>
      <c r="N699" s="131"/>
      <c r="O699" s="131"/>
      <c r="P699" s="131"/>
      <c r="Q699" s="131"/>
      <c r="R699" s="131"/>
      <c r="S699" s="131"/>
      <c r="T699" s="131"/>
      <c r="U699" s="131"/>
      <c r="V699" s="131"/>
      <c r="W699" s="131"/>
      <c r="X699" s="131"/>
      <c r="Y699" s="131"/>
      <c r="Z699" s="203"/>
    </row>
    <row r="700">
      <c r="A700" s="262" t="s">
        <v>35</v>
      </c>
      <c r="B700" s="262" t="s">
        <v>82</v>
      </c>
      <c r="C700" s="262">
        <v>3963.0</v>
      </c>
      <c r="D700" s="262">
        <v>18.8708778</v>
      </c>
      <c r="E700" s="260">
        <f t="shared" si="27"/>
        <v>1132.252668</v>
      </c>
      <c r="F700" s="132">
        <f t="shared" si="28"/>
        <v>0.786286575</v>
      </c>
      <c r="G700" s="276" t="s">
        <v>1117</v>
      </c>
      <c r="H700" s="131"/>
      <c r="I700" s="131"/>
      <c r="J700" s="131"/>
      <c r="K700" s="131"/>
      <c r="L700" s="131"/>
      <c r="M700" s="131"/>
      <c r="N700" s="131"/>
      <c r="O700" s="131"/>
      <c r="P700" s="131"/>
      <c r="Q700" s="131"/>
      <c r="R700" s="131"/>
      <c r="S700" s="131"/>
      <c r="T700" s="131"/>
      <c r="U700" s="131"/>
      <c r="V700" s="131"/>
      <c r="W700" s="131"/>
      <c r="X700" s="131"/>
      <c r="Y700" s="131"/>
      <c r="Z700" s="203"/>
    </row>
    <row r="701">
      <c r="A701" s="262" t="s">
        <v>35</v>
      </c>
      <c r="B701" s="262" t="s">
        <v>83</v>
      </c>
      <c r="C701" s="262">
        <v>3498.0</v>
      </c>
      <c r="D701" s="262">
        <v>16.9266911</v>
      </c>
      <c r="E701" s="260">
        <f t="shared" si="27"/>
        <v>1015.601466</v>
      </c>
      <c r="F701" s="132">
        <f t="shared" si="28"/>
        <v>0.7052787958</v>
      </c>
      <c r="G701" s="276" t="s">
        <v>1118</v>
      </c>
      <c r="H701" s="131"/>
      <c r="I701" s="131"/>
      <c r="J701" s="131"/>
      <c r="K701" s="131"/>
      <c r="L701" s="131"/>
      <c r="M701" s="131"/>
      <c r="N701" s="131"/>
      <c r="O701" s="131"/>
      <c r="P701" s="131"/>
      <c r="Q701" s="131"/>
      <c r="R701" s="131"/>
      <c r="S701" s="131"/>
      <c r="T701" s="131"/>
      <c r="U701" s="131"/>
      <c r="V701" s="131"/>
      <c r="W701" s="131"/>
      <c r="X701" s="131"/>
      <c r="Y701" s="131"/>
      <c r="Z701" s="203"/>
    </row>
    <row r="702">
      <c r="A702" s="262" t="s">
        <v>35</v>
      </c>
      <c r="B702" s="262" t="s">
        <v>36</v>
      </c>
      <c r="C702" s="262">
        <v>3745.0</v>
      </c>
      <c r="D702" s="262">
        <v>18.7306561</v>
      </c>
      <c r="E702" s="260">
        <f t="shared" si="27"/>
        <v>1123.839366</v>
      </c>
      <c r="F702" s="132">
        <f t="shared" si="28"/>
        <v>0.7804440042</v>
      </c>
      <c r="G702" s="276" t="s">
        <v>1119</v>
      </c>
      <c r="H702" s="131"/>
      <c r="I702" s="131"/>
      <c r="J702" s="131"/>
      <c r="K702" s="131"/>
      <c r="L702" s="131"/>
      <c r="M702" s="131"/>
      <c r="N702" s="131"/>
      <c r="O702" s="131"/>
      <c r="P702" s="131"/>
      <c r="Q702" s="131"/>
      <c r="R702" s="131"/>
      <c r="S702" s="131"/>
      <c r="T702" s="131"/>
      <c r="U702" s="131"/>
      <c r="V702" s="131"/>
      <c r="W702" s="131"/>
      <c r="X702" s="131"/>
      <c r="Y702" s="131"/>
      <c r="Z702" s="203"/>
    </row>
    <row r="703">
      <c r="A703" s="262" t="s">
        <v>17</v>
      </c>
      <c r="B703" s="262" t="s">
        <v>84</v>
      </c>
      <c r="C703" s="262">
        <v>1933.0</v>
      </c>
      <c r="D703" s="262">
        <v>9.0380075</v>
      </c>
      <c r="E703" s="260">
        <f t="shared" si="27"/>
        <v>542.28045</v>
      </c>
      <c r="F703" s="132">
        <f t="shared" si="28"/>
        <v>0.3765836458</v>
      </c>
      <c r="G703" s="276" t="s">
        <v>1120</v>
      </c>
      <c r="H703" s="131"/>
      <c r="I703" s="131"/>
      <c r="J703" s="131"/>
      <c r="K703" s="131"/>
      <c r="L703" s="131"/>
      <c r="M703" s="131"/>
      <c r="N703" s="131"/>
      <c r="O703" s="131"/>
      <c r="P703" s="131"/>
      <c r="Q703" s="131"/>
      <c r="R703" s="131"/>
      <c r="S703" s="131"/>
      <c r="T703" s="131"/>
      <c r="U703" s="131"/>
      <c r="V703" s="131"/>
      <c r="W703" s="131"/>
      <c r="X703" s="131"/>
      <c r="Y703" s="131"/>
      <c r="Z703" s="203"/>
    </row>
    <row r="704">
      <c r="A704" s="262" t="s">
        <v>17</v>
      </c>
      <c r="B704" s="262" t="s">
        <v>85</v>
      </c>
      <c r="C704" s="262">
        <v>1267.0</v>
      </c>
      <c r="D704" s="262">
        <v>5.9304439</v>
      </c>
      <c r="E704" s="260">
        <f t="shared" si="27"/>
        <v>355.826634</v>
      </c>
      <c r="F704" s="132">
        <f t="shared" si="28"/>
        <v>0.2471018292</v>
      </c>
      <c r="G704" s="276" t="s">
        <v>1121</v>
      </c>
      <c r="H704" s="131"/>
      <c r="I704" s="131"/>
      <c r="J704" s="131"/>
      <c r="K704" s="131"/>
      <c r="L704" s="131"/>
      <c r="M704" s="131"/>
      <c r="N704" s="131"/>
      <c r="O704" s="131"/>
      <c r="P704" s="131"/>
      <c r="Q704" s="131"/>
      <c r="R704" s="131"/>
      <c r="S704" s="131"/>
      <c r="T704" s="131"/>
      <c r="U704" s="131"/>
      <c r="V704" s="131"/>
      <c r="W704" s="131"/>
      <c r="X704" s="131"/>
      <c r="Y704" s="131"/>
      <c r="Z704" s="203"/>
    </row>
    <row r="705">
      <c r="A705" s="262" t="s">
        <v>17</v>
      </c>
      <c r="B705" s="262" t="s">
        <v>79</v>
      </c>
      <c r="C705" s="262">
        <v>1861.0</v>
      </c>
      <c r="D705" s="262">
        <v>8.9294519</v>
      </c>
      <c r="E705" s="260">
        <f t="shared" si="27"/>
        <v>535.767114</v>
      </c>
      <c r="F705" s="132">
        <f t="shared" si="28"/>
        <v>0.3720604958</v>
      </c>
      <c r="G705" s="276" t="s">
        <v>1122</v>
      </c>
      <c r="H705" s="131"/>
      <c r="I705" s="131"/>
      <c r="J705" s="131"/>
      <c r="K705" s="131"/>
      <c r="L705" s="131"/>
      <c r="M705" s="131"/>
      <c r="N705" s="131"/>
      <c r="O705" s="131"/>
      <c r="P705" s="131"/>
      <c r="Q705" s="131"/>
      <c r="R705" s="131"/>
      <c r="S705" s="131"/>
      <c r="T705" s="131"/>
      <c r="U705" s="131"/>
      <c r="V705" s="131"/>
      <c r="W705" s="131"/>
      <c r="X705" s="131"/>
      <c r="Y705" s="131"/>
      <c r="Z705" s="203"/>
    </row>
    <row r="706">
      <c r="A706" s="262" t="s">
        <v>17</v>
      </c>
      <c r="B706" s="262" t="s">
        <v>18</v>
      </c>
      <c r="C706" s="262">
        <v>2036.0</v>
      </c>
      <c r="D706" s="262">
        <v>9.4641406</v>
      </c>
      <c r="E706" s="260">
        <f t="shared" si="27"/>
        <v>567.848436</v>
      </c>
      <c r="F706" s="132">
        <f t="shared" si="28"/>
        <v>0.3943391917</v>
      </c>
      <c r="G706" s="276" t="s">
        <v>1123</v>
      </c>
      <c r="H706" s="131"/>
      <c r="I706" s="131"/>
      <c r="J706" s="131"/>
      <c r="K706" s="131"/>
      <c r="L706" s="131"/>
      <c r="M706" s="131"/>
      <c r="N706" s="131"/>
      <c r="O706" s="131"/>
      <c r="P706" s="131"/>
      <c r="Q706" s="131"/>
      <c r="R706" s="131"/>
      <c r="S706" s="131"/>
      <c r="T706" s="131"/>
      <c r="U706" s="131"/>
      <c r="V706" s="131"/>
      <c r="W706" s="131"/>
      <c r="X706" s="131"/>
      <c r="Y706" s="131"/>
      <c r="Z706" s="203"/>
    </row>
    <row r="707">
      <c r="A707" s="262" t="s">
        <v>17</v>
      </c>
      <c r="B707" s="262" t="s">
        <v>23</v>
      </c>
      <c r="C707" s="262">
        <v>2591.0</v>
      </c>
      <c r="D707" s="262">
        <v>12.2093711</v>
      </c>
      <c r="E707" s="260">
        <f t="shared" si="27"/>
        <v>732.562266</v>
      </c>
      <c r="F707" s="132">
        <f t="shared" si="28"/>
        <v>0.5087237958</v>
      </c>
      <c r="G707" s="276" t="s">
        <v>1124</v>
      </c>
      <c r="H707" s="131"/>
      <c r="I707" s="131"/>
      <c r="J707" s="131"/>
      <c r="K707" s="131"/>
      <c r="L707" s="131"/>
      <c r="M707" s="131"/>
      <c r="N707" s="131"/>
      <c r="O707" s="131"/>
      <c r="P707" s="131"/>
      <c r="Q707" s="131"/>
      <c r="R707" s="131"/>
      <c r="S707" s="131"/>
      <c r="T707" s="131"/>
      <c r="U707" s="131"/>
      <c r="V707" s="131"/>
      <c r="W707" s="131"/>
      <c r="X707" s="131"/>
      <c r="Y707" s="131"/>
      <c r="Z707" s="203"/>
    </row>
    <row r="708">
      <c r="A708" s="262" t="s">
        <v>17</v>
      </c>
      <c r="B708" s="262" t="s">
        <v>86</v>
      </c>
      <c r="C708" s="262">
        <v>1357.0</v>
      </c>
      <c r="D708" s="262">
        <v>6.5673822</v>
      </c>
      <c r="E708" s="260">
        <f t="shared" si="27"/>
        <v>394.042932</v>
      </c>
      <c r="F708" s="132">
        <f t="shared" si="28"/>
        <v>0.273640925</v>
      </c>
      <c r="G708" s="276" t="s">
        <v>1125</v>
      </c>
      <c r="H708" s="131"/>
      <c r="I708" s="131"/>
      <c r="J708" s="131"/>
      <c r="K708" s="131"/>
      <c r="L708" s="131"/>
      <c r="M708" s="131"/>
      <c r="N708" s="131"/>
      <c r="O708" s="131"/>
      <c r="P708" s="131"/>
      <c r="Q708" s="131"/>
      <c r="R708" s="131"/>
      <c r="S708" s="131"/>
      <c r="T708" s="131"/>
      <c r="U708" s="131"/>
      <c r="V708" s="131"/>
      <c r="W708" s="131"/>
      <c r="X708" s="131"/>
      <c r="Y708" s="131"/>
      <c r="Z708" s="203"/>
    </row>
    <row r="709">
      <c r="A709" s="262" t="s">
        <v>17</v>
      </c>
      <c r="B709" s="262" t="s">
        <v>87</v>
      </c>
      <c r="C709" s="262">
        <v>1331.0</v>
      </c>
      <c r="D709" s="262">
        <v>6.0569086</v>
      </c>
      <c r="E709" s="260">
        <f t="shared" si="27"/>
        <v>363.414516</v>
      </c>
      <c r="F709" s="132">
        <f t="shared" si="28"/>
        <v>0.2523711917</v>
      </c>
      <c r="G709" s="276" t="s">
        <v>1126</v>
      </c>
      <c r="H709" s="131"/>
      <c r="I709" s="131"/>
      <c r="J709" s="131"/>
      <c r="K709" s="131"/>
      <c r="L709" s="131"/>
      <c r="M709" s="131"/>
      <c r="N709" s="131"/>
      <c r="O709" s="131"/>
      <c r="P709" s="131"/>
      <c r="Q709" s="131"/>
      <c r="R709" s="131"/>
      <c r="S709" s="131"/>
      <c r="T709" s="131"/>
      <c r="U709" s="131"/>
      <c r="V709" s="131"/>
      <c r="W709" s="131"/>
      <c r="X709" s="131"/>
      <c r="Y709" s="131"/>
      <c r="Z709" s="203"/>
    </row>
    <row r="710">
      <c r="A710" s="262" t="s">
        <v>88</v>
      </c>
      <c r="B710" s="262" t="s">
        <v>89</v>
      </c>
      <c r="C710" s="262">
        <v>1302.0</v>
      </c>
      <c r="D710" s="262">
        <v>6.3063689</v>
      </c>
      <c r="E710" s="260">
        <f t="shared" si="27"/>
        <v>378.382134</v>
      </c>
      <c r="F710" s="132">
        <f t="shared" si="28"/>
        <v>0.2627653708</v>
      </c>
      <c r="G710" s="276" t="s">
        <v>1127</v>
      </c>
      <c r="H710" s="131"/>
      <c r="I710" s="131"/>
      <c r="J710" s="131"/>
      <c r="K710" s="131"/>
      <c r="L710" s="131"/>
      <c r="M710" s="131"/>
      <c r="N710" s="131"/>
      <c r="O710" s="131"/>
      <c r="P710" s="131"/>
      <c r="Q710" s="131"/>
      <c r="R710" s="131"/>
      <c r="S710" s="131"/>
      <c r="T710" s="131"/>
      <c r="U710" s="131"/>
      <c r="V710" s="131"/>
      <c r="W710" s="131"/>
      <c r="X710" s="131"/>
      <c r="Y710" s="131"/>
      <c r="Z710" s="203"/>
    </row>
    <row r="711">
      <c r="A711" s="262" t="s">
        <v>88</v>
      </c>
      <c r="B711" s="262" t="s">
        <v>90</v>
      </c>
      <c r="C711" s="262">
        <v>1207.0</v>
      </c>
      <c r="D711" s="262">
        <v>5.8068722</v>
      </c>
      <c r="E711" s="260">
        <f t="shared" si="27"/>
        <v>348.412332</v>
      </c>
      <c r="F711" s="132">
        <f t="shared" si="28"/>
        <v>0.2419530083</v>
      </c>
      <c r="G711" s="276" t="s">
        <v>1128</v>
      </c>
      <c r="H711" s="131"/>
      <c r="I711" s="131"/>
      <c r="J711" s="131"/>
      <c r="K711" s="131"/>
      <c r="L711" s="131"/>
      <c r="M711" s="131"/>
      <c r="N711" s="131"/>
      <c r="O711" s="131"/>
      <c r="P711" s="131"/>
      <c r="Q711" s="131"/>
      <c r="R711" s="131"/>
      <c r="S711" s="131"/>
      <c r="T711" s="131"/>
      <c r="U711" s="131"/>
      <c r="V711" s="131"/>
      <c r="W711" s="131"/>
      <c r="X711" s="131"/>
      <c r="Y711" s="131"/>
      <c r="Z711" s="203"/>
    </row>
    <row r="712">
      <c r="A712" s="262" t="s">
        <v>729</v>
      </c>
      <c r="B712" s="262" t="s">
        <v>78</v>
      </c>
      <c r="C712" s="262">
        <v>11024.0</v>
      </c>
      <c r="D712" s="262">
        <v>51.7699169</v>
      </c>
      <c r="E712" s="260">
        <f t="shared" si="27"/>
        <v>3106.195014</v>
      </c>
      <c r="F712" s="132">
        <f t="shared" si="28"/>
        <v>2.157079871</v>
      </c>
      <c r="G712" s="276" t="s">
        <v>1129</v>
      </c>
      <c r="H712" s="131"/>
      <c r="I712" s="131"/>
      <c r="J712" s="131"/>
      <c r="K712" s="131"/>
      <c r="L712" s="131"/>
      <c r="M712" s="131"/>
      <c r="N712" s="131"/>
      <c r="O712" s="131"/>
      <c r="P712" s="131"/>
      <c r="Q712" s="131"/>
      <c r="R712" s="131"/>
      <c r="S712" s="131"/>
      <c r="T712" s="131"/>
      <c r="U712" s="131"/>
      <c r="V712" s="131"/>
      <c r="W712" s="131"/>
      <c r="X712" s="131"/>
      <c r="Y712" s="131"/>
      <c r="Z712" s="203"/>
    </row>
    <row r="713">
      <c r="A713" s="262" t="s">
        <v>729</v>
      </c>
      <c r="B713" s="262" t="s">
        <v>91</v>
      </c>
      <c r="C713" s="262">
        <v>7119.0</v>
      </c>
      <c r="D713" s="262">
        <v>34.0388728</v>
      </c>
      <c r="E713" s="260">
        <f t="shared" si="27"/>
        <v>2042.332368</v>
      </c>
      <c r="F713" s="132">
        <f t="shared" si="28"/>
        <v>1.418286367</v>
      </c>
      <c r="G713" s="276" t="s">
        <v>1130</v>
      </c>
      <c r="H713" s="131"/>
      <c r="I713" s="131"/>
      <c r="J713" s="131"/>
      <c r="K713" s="131"/>
      <c r="L713" s="131"/>
      <c r="M713" s="131"/>
      <c r="N713" s="131"/>
      <c r="O713" s="131"/>
      <c r="P713" s="131"/>
      <c r="Q713" s="131"/>
      <c r="R713" s="131"/>
      <c r="S713" s="131"/>
      <c r="T713" s="131"/>
      <c r="U713" s="131"/>
      <c r="V713" s="131"/>
      <c r="W713" s="131"/>
      <c r="X713" s="131"/>
      <c r="Y713" s="131"/>
      <c r="Z713" s="203"/>
    </row>
    <row r="714">
      <c r="A714" s="262" t="s">
        <v>67</v>
      </c>
      <c r="B714" s="262" t="s">
        <v>426</v>
      </c>
      <c r="C714" s="262">
        <v>1305.0</v>
      </c>
      <c r="D714" s="262">
        <v>6.4527508</v>
      </c>
      <c r="E714" s="260">
        <f t="shared" si="27"/>
        <v>387.165048</v>
      </c>
      <c r="F714" s="132">
        <f t="shared" si="28"/>
        <v>0.2688646167</v>
      </c>
      <c r="G714" s="276" t="s">
        <v>1131</v>
      </c>
      <c r="H714" s="131"/>
      <c r="I714" s="131"/>
      <c r="J714" s="131"/>
      <c r="K714" s="131"/>
      <c r="L714" s="131"/>
      <c r="M714" s="131"/>
      <c r="N714" s="131"/>
      <c r="O714" s="131"/>
      <c r="P714" s="131"/>
      <c r="Q714" s="131"/>
      <c r="R714" s="131"/>
      <c r="S714" s="131"/>
      <c r="T714" s="131"/>
      <c r="U714" s="131"/>
      <c r="V714" s="131"/>
      <c r="W714" s="131"/>
      <c r="X714" s="131"/>
      <c r="Y714" s="131"/>
      <c r="Z714" s="203"/>
    </row>
    <row r="715">
      <c r="A715" s="262" t="s">
        <v>67</v>
      </c>
      <c r="B715" s="262" t="s">
        <v>93</v>
      </c>
      <c r="C715" s="262">
        <v>390.0</v>
      </c>
      <c r="D715" s="262">
        <v>1.9182564</v>
      </c>
      <c r="E715" s="260">
        <f t="shared" si="27"/>
        <v>115.095384</v>
      </c>
      <c r="F715" s="132">
        <f t="shared" si="28"/>
        <v>0.07992735</v>
      </c>
      <c r="G715" s="276" t="s">
        <v>1132</v>
      </c>
      <c r="H715" s="131"/>
      <c r="I715" s="131"/>
      <c r="J715" s="131"/>
      <c r="K715" s="131"/>
      <c r="L715" s="131"/>
      <c r="M715" s="131"/>
      <c r="N715" s="131"/>
      <c r="O715" s="131"/>
      <c r="P715" s="131"/>
      <c r="Q715" s="131"/>
      <c r="R715" s="131"/>
      <c r="S715" s="131"/>
      <c r="T715" s="131"/>
      <c r="U715" s="131"/>
      <c r="V715" s="131"/>
      <c r="W715" s="131"/>
      <c r="X715" s="131"/>
      <c r="Y715" s="131"/>
      <c r="Z715" s="203"/>
    </row>
    <row r="716">
      <c r="A716" s="262" t="s">
        <v>474</v>
      </c>
      <c r="B716" s="262" t="s">
        <v>94</v>
      </c>
      <c r="C716" s="262">
        <v>3090.0</v>
      </c>
      <c r="D716" s="262">
        <v>15.1212178</v>
      </c>
      <c r="E716" s="260">
        <f t="shared" si="27"/>
        <v>907.273068</v>
      </c>
      <c r="F716" s="132">
        <f t="shared" si="28"/>
        <v>0.6300507417</v>
      </c>
      <c r="G716" s="276" t="s">
        <v>1133</v>
      </c>
      <c r="H716" s="131"/>
      <c r="I716" s="131"/>
      <c r="J716" s="131"/>
      <c r="K716" s="131"/>
      <c r="L716" s="131"/>
      <c r="M716" s="131"/>
      <c r="N716" s="131"/>
      <c r="O716" s="131"/>
      <c r="P716" s="131"/>
      <c r="Q716" s="131"/>
      <c r="R716" s="131"/>
      <c r="S716" s="131"/>
      <c r="T716" s="131"/>
      <c r="U716" s="131"/>
      <c r="V716" s="131"/>
      <c r="W716" s="131"/>
      <c r="X716" s="131"/>
      <c r="Y716" s="131"/>
      <c r="Z716" s="203"/>
    </row>
    <row r="717">
      <c r="A717" s="262" t="s">
        <v>474</v>
      </c>
      <c r="B717" s="262" t="s">
        <v>95</v>
      </c>
      <c r="C717" s="262">
        <v>2455.0</v>
      </c>
      <c r="D717" s="262">
        <v>12.5239633</v>
      </c>
      <c r="E717" s="260">
        <f t="shared" si="27"/>
        <v>751.437798</v>
      </c>
      <c r="F717" s="132">
        <f t="shared" si="28"/>
        <v>0.5218318042</v>
      </c>
      <c r="G717" s="276" t="s">
        <v>1134</v>
      </c>
      <c r="H717" s="131"/>
      <c r="I717" s="131"/>
      <c r="J717" s="131"/>
      <c r="K717" s="131"/>
      <c r="L717" s="131"/>
      <c r="M717" s="131"/>
      <c r="N717" s="131"/>
      <c r="O717" s="131"/>
      <c r="P717" s="131"/>
      <c r="Q717" s="131"/>
      <c r="R717" s="131"/>
      <c r="S717" s="131"/>
      <c r="T717" s="131"/>
      <c r="U717" s="131"/>
      <c r="V717" s="131"/>
      <c r="W717" s="131"/>
      <c r="X717" s="131"/>
      <c r="Y717" s="131"/>
      <c r="Z717" s="203"/>
    </row>
    <row r="718">
      <c r="A718" s="262" t="s">
        <v>474</v>
      </c>
      <c r="B718" s="262" t="s">
        <v>96</v>
      </c>
      <c r="C718" s="262">
        <v>4469.0</v>
      </c>
      <c r="D718" s="262">
        <v>21.6211728</v>
      </c>
      <c r="E718" s="260">
        <f t="shared" si="27"/>
        <v>1297.270368</v>
      </c>
      <c r="F718" s="132">
        <f t="shared" si="28"/>
        <v>0.9008822</v>
      </c>
      <c r="G718" s="276" t="s">
        <v>1135</v>
      </c>
      <c r="H718" s="131"/>
      <c r="I718" s="131"/>
      <c r="J718" s="131"/>
      <c r="K718" s="131"/>
      <c r="L718" s="131"/>
      <c r="M718" s="131"/>
      <c r="N718" s="131"/>
      <c r="O718" s="131"/>
      <c r="P718" s="131"/>
      <c r="Q718" s="131"/>
      <c r="R718" s="131"/>
      <c r="S718" s="131"/>
      <c r="T718" s="131"/>
      <c r="U718" s="131"/>
      <c r="V718" s="131"/>
      <c r="W718" s="131"/>
      <c r="X718" s="131"/>
      <c r="Y718" s="131"/>
      <c r="Z718" s="203"/>
    </row>
    <row r="719">
      <c r="A719" s="262" t="s">
        <v>474</v>
      </c>
      <c r="B719" s="262" t="s">
        <v>92</v>
      </c>
      <c r="C719" s="262">
        <v>2606.0</v>
      </c>
      <c r="D719" s="262">
        <v>12.6887872</v>
      </c>
      <c r="E719" s="260">
        <f t="shared" si="27"/>
        <v>761.327232</v>
      </c>
      <c r="F719" s="132">
        <f t="shared" si="28"/>
        <v>0.5286994667</v>
      </c>
      <c r="G719" s="276" t="s">
        <v>1136</v>
      </c>
      <c r="H719" s="131"/>
      <c r="I719" s="131"/>
      <c r="J719" s="131"/>
      <c r="K719" s="131"/>
      <c r="L719" s="131"/>
      <c r="M719" s="131"/>
      <c r="N719" s="131"/>
      <c r="O719" s="131"/>
      <c r="P719" s="131"/>
      <c r="Q719" s="131"/>
      <c r="R719" s="131"/>
      <c r="S719" s="131"/>
      <c r="T719" s="131"/>
      <c r="U719" s="131"/>
      <c r="V719" s="131"/>
      <c r="W719" s="131"/>
      <c r="X719" s="131"/>
      <c r="Y719" s="131"/>
      <c r="Z719" s="203"/>
    </row>
    <row r="720">
      <c r="A720" s="262" t="s">
        <v>474</v>
      </c>
      <c r="B720" s="262" t="s">
        <v>97</v>
      </c>
      <c r="C720" s="262">
        <v>2859.0</v>
      </c>
      <c r="D720" s="262">
        <v>13.8304086</v>
      </c>
      <c r="E720" s="260">
        <f t="shared" si="27"/>
        <v>829.824516</v>
      </c>
      <c r="F720" s="132">
        <f t="shared" si="28"/>
        <v>0.576267025</v>
      </c>
      <c r="G720" s="276" t="s">
        <v>1137</v>
      </c>
      <c r="H720" s="131"/>
      <c r="I720" s="131"/>
      <c r="J720" s="131"/>
      <c r="K720" s="131"/>
      <c r="L720" s="131"/>
      <c r="M720" s="131"/>
      <c r="N720" s="131"/>
      <c r="O720" s="131"/>
      <c r="P720" s="131"/>
      <c r="Q720" s="131"/>
      <c r="R720" s="131"/>
      <c r="S720" s="131"/>
      <c r="T720" s="131"/>
      <c r="U720" s="131"/>
      <c r="V720" s="131"/>
      <c r="W720" s="131"/>
      <c r="X720" s="131"/>
      <c r="Y720" s="131"/>
      <c r="Z720" s="203"/>
    </row>
    <row r="721">
      <c r="A721" s="262" t="s">
        <v>474</v>
      </c>
      <c r="B721" s="262" t="s">
        <v>57</v>
      </c>
      <c r="C721" s="262">
        <v>5376.0</v>
      </c>
      <c r="D721" s="262">
        <v>25.7928856</v>
      </c>
      <c r="E721" s="260">
        <f t="shared" si="27"/>
        <v>1547.573136</v>
      </c>
      <c r="F721" s="132">
        <f t="shared" si="28"/>
        <v>1.074703567</v>
      </c>
      <c r="G721" s="276" t="s">
        <v>1138</v>
      </c>
      <c r="H721" s="131"/>
      <c r="I721" s="131"/>
      <c r="J721" s="131"/>
      <c r="K721" s="131"/>
      <c r="L721" s="131"/>
      <c r="M721" s="131"/>
      <c r="N721" s="131"/>
      <c r="O721" s="131"/>
      <c r="P721" s="131"/>
      <c r="Q721" s="131"/>
      <c r="R721" s="131"/>
      <c r="S721" s="131"/>
      <c r="T721" s="131"/>
      <c r="U721" s="131"/>
      <c r="V721" s="131"/>
      <c r="W721" s="131"/>
      <c r="X721" s="131"/>
      <c r="Y721" s="131"/>
      <c r="Z721" s="203"/>
    </row>
    <row r="722">
      <c r="A722" s="262" t="s">
        <v>474</v>
      </c>
      <c r="B722" s="262" t="s">
        <v>98</v>
      </c>
      <c r="C722" s="262">
        <v>6555.0</v>
      </c>
      <c r="D722" s="262">
        <v>32.1688625</v>
      </c>
      <c r="E722" s="260">
        <f t="shared" si="27"/>
        <v>1930.13175</v>
      </c>
      <c r="F722" s="132">
        <f t="shared" si="28"/>
        <v>1.340369271</v>
      </c>
      <c r="G722" s="276" t="s">
        <v>1139</v>
      </c>
      <c r="H722" s="131"/>
      <c r="I722" s="131"/>
      <c r="J722" s="131"/>
      <c r="K722" s="131"/>
      <c r="L722" s="131"/>
      <c r="M722" s="131"/>
      <c r="N722" s="131"/>
      <c r="O722" s="131"/>
      <c r="P722" s="131"/>
      <c r="Q722" s="131"/>
      <c r="R722" s="131"/>
      <c r="S722" s="131"/>
      <c r="T722" s="131"/>
      <c r="U722" s="131"/>
      <c r="V722" s="131"/>
      <c r="W722" s="131"/>
      <c r="X722" s="131"/>
      <c r="Y722" s="131"/>
      <c r="Z722" s="203"/>
    </row>
    <row r="723">
      <c r="A723" s="262" t="s">
        <v>474</v>
      </c>
      <c r="B723" s="262" t="s">
        <v>428</v>
      </c>
      <c r="C723" s="262">
        <v>3492.0</v>
      </c>
      <c r="D723" s="262">
        <v>16.7444381</v>
      </c>
      <c r="E723" s="260">
        <f t="shared" si="27"/>
        <v>1004.666286</v>
      </c>
      <c r="F723" s="132">
        <f t="shared" si="28"/>
        <v>0.6976849208</v>
      </c>
      <c r="G723" s="276" t="s">
        <v>1140</v>
      </c>
      <c r="H723" s="131"/>
      <c r="I723" s="131"/>
      <c r="J723" s="131"/>
      <c r="K723" s="131"/>
      <c r="L723" s="131"/>
      <c r="M723" s="131"/>
      <c r="N723" s="131"/>
      <c r="O723" s="131"/>
      <c r="P723" s="131"/>
      <c r="Q723" s="131"/>
      <c r="R723" s="131"/>
      <c r="S723" s="131"/>
      <c r="T723" s="131"/>
      <c r="U723" s="131"/>
      <c r="V723" s="131"/>
      <c r="W723" s="131"/>
      <c r="X723" s="131"/>
      <c r="Y723" s="131"/>
      <c r="Z723" s="203"/>
    </row>
    <row r="724">
      <c r="A724" s="262" t="s">
        <v>474</v>
      </c>
      <c r="B724" s="262" t="s">
        <v>99</v>
      </c>
      <c r="C724" s="262">
        <v>3144.0</v>
      </c>
      <c r="D724" s="262">
        <v>15.8080842</v>
      </c>
      <c r="E724" s="260">
        <f t="shared" si="27"/>
        <v>948.485052</v>
      </c>
      <c r="F724" s="132">
        <f t="shared" si="28"/>
        <v>0.658670175</v>
      </c>
      <c r="G724" s="276" t="s">
        <v>1141</v>
      </c>
      <c r="H724" s="131"/>
      <c r="I724" s="131"/>
      <c r="J724" s="131"/>
      <c r="K724" s="131"/>
      <c r="L724" s="131"/>
      <c r="M724" s="131"/>
      <c r="N724" s="131"/>
      <c r="O724" s="131"/>
      <c r="P724" s="131"/>
      <c r="Q724" s="131"/>
      <c r="R724" s="131"/>
      <c r="S724" s="131"/>
      <c r="T724" s="131"/>
      <c r="U724" s="131"/>
      <c r="V724" s="131"/>
      <c r="W724" s="131"/>
      <c r="X724" s="131"/>
      <c r="Y724" s="131"/>
      <c r="Z724" s="203"/>
    </row>
    <row r="725">
      <c r="A725" s="262" t="s">
        <v>474</v>
      </c>
      <c r="B725" s="262" t="s">
        <v>61</v>
      </c>
      <c r="C725" s="262">
        <v>3807.0</v>
      </c>
      <c r="D725" s="262">
        <v>18.1613075</v>
      </c>
      <c r="E725" s="260">
        <f t="shared" si="27"/>
        <v>1089.67845</v>
      </c>
      <c r="F725" s="132">
        <f t="shared" si="28"/>
        <v>0.7567211458</v>
      </c>
      <c r="G725" s="276" t="s">
        <v>1142</v>
      </c>
      <c r="H725" s="131"/>
      <c r="I725" s="131"/>
      <c r="J725" s="131"/>
      <c r="K725" s="131"/>
      <c r="L725" s="131"/>
      <c r="M725" s="131"/>
      <c r="N725" s="131"/>
      <c r="O725" s="131"/>
      <c r="P725" s="131"/>
      <c r="Q725" s="131"/>
      <c r="R725" s="131"/>
      <c r="S725" s="131"/>
      <c r="T725" s="131"/>
      <c r="U725" s="131"/>
      <c r="V725" s="131"/>
      <c r="W725" s="131"/>
      <c r="X725" s="131"/>
      <c r="Y725" s="131"/>
      <c r="Z725" s="203"/>
    </row>
    <row r="726">
      <c r="A726" s="262" t="s">
        <v>429</v>
      </c>
      <c r="B726" s="262" t="s">
        <v>430</v>
      </c>
      <c r="C726" s="262">
        <v>2006.0</v>
      </c>
      <c r="D726" s="262">
        <v>9.7882742</v>
      </c>
      <c r="E726" s="260">
        <f t="shared" si="27"/>
        <v>587.296452</v>
      </c>
      <c r="F726" s="132">
        <f t="shared" si="28"/>
        <v>0.4078447583</v>
      </c>
      <c r="G726" s="276" t="s">
        <v>1143</v>
      </c>
      <c r="H726" s="131"/>
      <c r="I726" s="131"/>
      <c r="J726" s="131"/>
      <c r="K726" s="131"/>
      <c r="L726" s="131"/>
      <c r="M726" s="131"/>
      <c r="N726" s="131"/>
      <c r="O726" s="131"/>
      <c r="P726" s="131"/>
      <c r="Q726" s="131"/>
      <c r="R726" s="131"/>
      <c r="S726" s="131"/>
      <c r="T726" s="131"/>
      <c r="U726" s="131"/>
      <c r="V726" s="131"/>
      <c r="W726" s="131"/>
      <c r="X726" s="131"/>
      <c r="Y726" s="131"/>
      <c r="Z726" s="203"/>
    </row>
    <row r="727">
      <c r="A727" s="262" t="s">
        <v>429</v>
      </c>
      <c r="B727" s="262" t="s">
        <v>101</v>
      </c>
      <c r="C727" s="262">
        <v>2388.0</v>
      </c>
      <c r="D727" s="262">
        <v>11.6607492</v>
      </c>
      <c r="E727" s="260">
        <f t="shared" si="27"/>
        <v>699.644952</v>
      </c>
      <c r="F727" s="132">
        <f t="shared" si="28"/>
        <v>0.48586455</v>
      </c>
      <c r="G727" s="276" t="s">
        <v>1144</v>
      </c>
      <c r="H727" s="131"/>
      <c r="I727" s="131"/>
      <c r="J727" s="131"/>
      <c r="K727" s="131"/>
      <c r="L727" s="131"/>
      <c r="M727" s="131"/>
      <c r="N727" s="131"/>
      <c r="O727" s="131"/>
      <c r="P727" s="131"/>
      <c r="Q727" s="131"/>
      <c r="R727" s="131"/>
      <c r="S727" s="131"/>
      <c r="T727" s="131"/>
      <c r="U727" s="131"/>
      <c r="V727" s="131"/>
      <c r="W727" s="131"/>
      <c r="X727" s="131"/>
      <c r="Y727" s="131"/>
      <c r="Z727" s="203"/>
    </row>
    <row r="728">
      <c r="A728" s="262" t="s">
        <v>429</v>
      </c>
      <c r="B728" s="262" t="s">
        <v>102</v>
      </c>
      <c r="C728" s="262">
        <v>2352.0</v>
      </c>
      <c r="D728" s="281">
        <v>10.9162719</v>
      </c>
      <c r="E728" s="260">
        <f t="shared" si="27"/>
        <v>654.976314</v>
      </c>
      <c r="F728" s="132">
        <f t="shared" si="28"/>
        <v>0.4548446625</v>
      </c>
      <c r="G728" s="276" t="s">
        <v>1145</v>
      </c>
      <c r="H728" s="131"/>
      <c r="I728" s="131"/>
      <c r="J728" s="131"/>
      <c r="K728" s="131"/>
      <c r="L728" s="131"/>
      <c r="M728" s="131"/>
      <c r="N728" s="131"/>
      <c r="O728" s="131"/>
      <c r="P728" s="131"/>
      <c r="Q728" s="131"/>
      <c r="R728" s="131"/>
      <c r="S728" s="131"/>
      <c r="T728" s="131"/>
      <c r="U728" s="131"/>
      <c r="V728" s="131"/>
      <c r="W728" s="131"/>
      <c r="X728" s="131"/>
      <c r="Y728" s="131"/>
      <c r="Z728" s="203"/>
    </row>
    <row r="729">
      <c r="A729" s="262" t="s">
        <v>429</v>
      </c>
      <c r="B729" s="262" t="s">
        <v>29</v>
      </c>
      <c r="C729" s="262">
        <v>2289.0</v>
      </c>
      <c r="D729" s="262">
        <v>10.1618342</v>
      </c>
      <c r="E729" s="260">
        <f t="shared" si="27"/>
        <v>609.710052</v>
      </c>
      <c r="F729" s="132">
        <f t="shared" si="28"/>
        <v>0.4234097583</v>
      </c>
      <c r="G729" s="276" t="s">
        <v>1146</v>
      </c>
      <c r="H729" s="131"/>
      <c r="I729" s="131"/>
      <c r="J729" s="131"/>
      <c r="K729" s="131"/>
      <c r="L729" s="131"/>
      <c r="M729" s="131"/>
      <c r="N729" s="131"/>
      <c r="O729" s="131"/>
      <c r="P729" s="131"/>
      <c r="Q729" s="131"/>
      <c r="R729" s="131"/>
      <c r="S729" s="131"/>
      <c r="T729" s="131"/>
      <c r="U729" s="131"/>
      <c r="V729" s="131"/>
      <c r="W729" s="131"/>
      <c r="X729" s="131"/>
      <c r="Y729" s="131"/>
      <c r="Z729" s="203"/>
    </row>
    <row r="730">
      <c r="A730" s="262" t="s">
        <v>429</v>
      </c>
      <c r="B730" s="262" t="s">
        <v>103</v>
      </c>
      <c r="C730" s="262">
        <v>2614.0</v>
      </c>
      <c r="D730" s="262">
        <v>12.6757633</v>
      </c>
      <c r="E730" s="260">
        <f t="shared" si="27"/>
        <v>760.545798</v>
      </c>
      <c r="F730" s="132">
        <f t="shared" si="28"/>
        <v>0.5281568042</v>
      </c>
      <c r="G730" s="276" t="s">
        <v>1147</v>
      </c>
      <c r="H730" s="131"/>
      <c r="I730" s="131"/>
      <c r="J730" s="131"/>
      <c r="K730" s="131"/>
      <c r="L730" s="131"/>
      <c r="M730" s="131"/>
      <c r="N730" s="131"/>
      <c r="O730" s="131"/>
      <c r="P730" s="131"/>
      <c r="Q730" s="131"/>
      <c r="R730" s="131"/>
      <c r="S730" s="131"/>
      <c r="T730" s="131"/>
      <c r="U730" s="131"/>
      <c r="V730" s="131"/>
      <c r="W730" s="131"/>
      <c r="X730" s="131"/>
      <c r="Y730" s="131"/>
      <c r="Z730" s="203"/>
    </row>
    <row r="731">
      <c r="A731" s="262" t="s">
        <v>429</v>
      </c>
      <c r="B731" s="262" t="s">
        <v>465</v>
      </c>
      <c r="C731" s="262">
        <v>1921.0</v>
      </c>
      <c r="D731" s="262">
        <v>8.94267</v>
      </c>
      <c r="E731" s="260">
        <f t="shared" si="27"/>
        <v>536.5602</v>
      </c>
      <c r="F731" s="132">
        <f t="shared" si="28"/>
        <v>0.37261125</v>
      </c>
      <c r="G731" s="276" t="s">
        <v>1148</v>
      </c>
      <c r="H731" s="131"/>
      <c r="I731" s="131"/>
      <c r="J731" s="131"/>
      <c r="K731" s="131"/>
      <c r="L731" s="131"/>
      <c r="M731" s="131"/>
      <c r="N731" s="131"/>
      <c r="O731" s="131"/>
      <c r="P731" s="131"/>
      <c r="Q731" s="131"/>
      <c r="R731" s="131"/>
      <c r="S731" s="131"/>
      <c r="T731" s="131"/>
      <c r="U731" s="131"/>
      <c r="V731" s="131"/>
      <c r="W731" s="131"/>
      <c r="X731" s="131"/>
      <c r="Y731" s="131"/>
      <c r="Z731" s="203"/>
    </row>
    <row r="732">
      <c r="A732" s="262" t="s">
        <v>429</v>
      </c>
      <c r="B732" s="262" t="s">
        <v>432</v>
      </c>
      <c r="C732" s="262">
        <v>2400.0</v>
      </c>
      <c r="D732" s="262">
        <v>10.8850914</v>
      </c>
      <c r="E732" s="260">
        <f t="shared" si="27"/>
        <v>653.105484</v>
      </c>
      <c r="F732" s="132">
        <f t="shared" si="28"/>
        <v>0.453545475</v>
      </c>
      <c r="G732" s="276" t="s">
        <v>1149</v>
      </c>
      <c r="H732" s="131"/>
      <c r="I732" s="131"/>
      <c r="J732" s="131"/>
      <c r="K732" s="131"/>
      <c r="L732" s="131"/>
      <c r="M732" s="131"/>
      <c r="N732" s="131"/>
      <c r="O732" s="131"/>
      <c r="P732" s="131"/>
      <c r="Q732" s="131"/>
      <c r="R732" s="131"/>
      <c r="S732" s="131"/>
      <c r="T732" s="131"/>
      <c r="U732" s="131"/>
      <c r="V732" s="131"/>
      <c r="W732" s="131"/>
      <c r="X732" s="131"/>
      <c r="Y732" s="131"/>
      <c r="Z732" s="203"/>
    </row>
    <row r="733">
      <c r="A733" s="262" t="s">
        <v>429</v>
      </c>
      <c r="B733" s="262" t="s">
        <v>105</v>
      </c>
      <c r="C733" s="262">
        <v>2921.0</v>
      </c>
      <c r="D733" s="262">
        <v>13.0508339</v>
      </c>
      <c r="E733" s="260">
        <f t="shared" si="27"/>
        <v>783.050034</v>
      </c>
      <c r="F733" s="132">
        <f t="shared" si="28"/>
        <v>0.5437847458</v>
      </c>
      <c r="G733" s="276" t="s">
        <v>1150</v>
      </c>
      <c r="H733" s="131"/>
      <c r="I733" s="131"/>
      <c r="J733" s="131"/>
      <c r="K733" s="131"/>
      <c r="L733" s="131"/>
      <c r="M733" s="131"/>
      <c r="N733" s="131"/>
      <c r="O733" s="131"/>
      <c r="P733" s="131"/>
      <c r="Q733" s="131"/>
      <c r="R733" s="131"/>
      <c r="S733" s="131"/>
      <c r="T733" s="131"/>
      <c r="U733" s="131"/>
      <c r="V733" s="131"/>
      <c r="W733" s="131"/>
      <c r="X733" s="131"/>
      <c r="Y733" s="131"/>
      <c r="Z733" s="203"/>
    </row>
    <row r="734">
      <c r="A734" s="131"/>
      <c r="B734" s="131"/>
      <c r="C734" s="131">
        <f>sum(C654:C733)</f>
        <v>265375</v>
      </c>
      <c r="D734" s="212" t="s">
        <v>484</v>
      </c>
      <c r="E734" s="222">
        <f>SUM(E654:E733)</f>
        <v>76845.47434</v>
      </c>
      <c r="F734" s="132">
        <f t="shared" si="28"/>
        <v>53.36491273</v>
      </c>
      <c r="G734" s="211"/>
      <c r="H734" s="131"/>
      <c r="I734" s="131"/>
      <c r="J734" s="131"/>
      <c r="K734" s="131"/>
      <c r="L734" s="131"/>
      <c r="M734" s="131"/>
      <c r="N734" s="131"/>
      <c r="O734" s="131"/>
      <c r="P734" s="131"/>
      <c r="Q734" s="131"/>
      <c r="R734" s="131"/>
      <c r="S734" s="131"/>
      <c r="T734" s="131"/>
      <c r="U734" s="131"/>
      <c r="V734" s="131"/>
      <c r="W734" s="131"/>
      <c r="X734" s="131"/>
      <c r="Y734" s="131"/>
      <c r="Z734" s="203"/>
    </row>
    <row r="735">
      <c r="A735" s="131"/>
      <c r="B735" s="131"/>
      <c r="C735" s="131"/>
      <c r="D735" s="131"/>
      <c r="E735" s="222"/>
      <c r="F735" s="132"/>
      <c r="G735" s="211"/>
      <c r="H735" s="131"/>
      <c r="I735" s="131"/>
      <c r="J735" s="131"/>
      <c r="K735" s="131"/>
      <c r="L735" s="131"/>
      <c r="M735" s="131"/>
      <c r="N735" s="131"/>
      <c r="O735" s="131"/>
      <c r="P735" s="131"/>
      <c r="Q735" s="131"/>
      <c r="R735" s="131"/>
      <c r="S735" s="131"/>
      <c r="T735" s="131"/>
      <c r="U735" s="131"/>
      <c r="V735" s="131"/>
      <c r="W735" s="131"/>
      <c r="X735" s="131"/>
      <c r="Y735" s="131"/>
      <c r="Z735" s="203"/>
    </row>
    <row r="736">
      <c r="A736" s="131"/>
      <c r="B736" s="131"/>
      <c r="C736" s="131"/>
      <c r="D736" s="131"/>
      <c r="E736" s="222"/>
      <c r="F736" s="132"/>
      <c r="G736" s="211"/>
      <c r="H736" s="131"/>
      <c r="I736" s="131"/>
      <c r="J736" s="131"/>
      <c r="K736" s="131"/>
      <c r="L736" s="131"/>
      <c r="M736" s="131"/>
      <c r="N736" s="131"/>
      <c r="O736" s="131"/>
      <c r="P736" s="131"/>
      <c r="Q736" s="131"/>
      <c r="R736" s="131"/>
      <c r="S736" s="131"/>
      <c r="T736" s="131"/>
      <c r="U736" s="131"/>
      <c r="V736" s="131"/>
      <c r="W736" s="131"/>
      <c r="X736" s="131"/>
      <c r="Y736" s="131"/>
      <c r="Z736" s="203"/>
    </row>
    <row r="737">
      <c r="A737" s="277" t="s">
        <v>1151</v>
      </c>
      <c r="B737" s="131"/>
      <c r="C737" s="131"/>
      <c r="D737" s="131"/>
      <c r="E737" s="222"/>
      <c r="F737" s="132"/>
      <c r="G737" s="211"/>
      <c r="H737" s="131"/>
      <c r="I737" s="131"/>
      <c r="J737" s="131"/>
      <c r="K737" s="131"/>
      <c r="L737" s="131"/>
      <c r="M737" s="131"/>
      <c r="N737" s="131"/>
      <c r="O737" s="131"/>
      <c r="P737" s="131"/>
      <c r="Q737" s="131"/>
      <c r="R737" s="131"/>
      <c r="S737" s="131"/>
      <c r="T737" s="131"/>
      <c r="U737" s="131"/>
      <c r="V737" s="131"/>
      <c r="W737" s="131"/>
      <c r="X737" s="131"/>
      <c r="Y737" s="131"/>
      <c r="Z737" s="203"/>
    </row>
    <row r="738">
      <c r="A738" s="131"/>
      <c r="B738" s="131"/>
      <c r="C738" s="131"/>
      <c r="D738" s="131"/>
      <c r="E738" s="222"/>
      <c r="F738" s="132"/>
      <c r="G738" s="211"/>
      <c r="H738" s="131"/>
      <c r="I738" s="131"/>
      <c r="J738" s="131"/>
      <c r="K738" s="131"/>
      <c r="L738" s="131"/>
      <c r="M738" s="131"/>
      <c r="N738" s="131"/>
      <c r="O738" s="131"/>
      <c r="P738" s="131"/>
      <c r="Q738" s="131"/>
      <c r="R738" s="131"/>
      <c r="S738" s="131"/>
      <c r="T738" s="131"/>
      <c r="U738" s="131"/>
      <c r="V738" s="131"/>
      <c r="W738" s="131"/>
      <c r="X738" s="131"/>
      <c r="Y738" s="131"/>
      <c r="Z738" s="203"/>
    </row>
    <row r="739">
      <c r="A739" s="268" t="s">
        <v>0</v>
      </c>
      <c r="B739" s="268" t="s">
        <v>362</v>
      </c>
      <c r="C739" s="239" t="s">
        <v>534</v>
      </c>
      <c r="D739" s="239" t="s">
        <v>420</v>
      </c>
      <c r="E739" s="259" t="s">
        <v>3</v>
      </c>
      <c r="F739" s="214" t="s">
        <v>470</v>
      </c>
      <c r="G739" s="140" t="s">
        <v>471</v>
      </c>
      <c r="H739" s="131"/>
      <c r="I739" s="131"/>
      <c r="J739" s="131"/>
      <c r="K739" s="131"/>
      <c r="L739" s="131"/>
      <c r="M739" s="131"/>
      <c r="N739" s="131"/>
      <c r="O739" s="131"/>
      <c r="P739" s="131"/>
      <c r="Q739" s="131"/>
      <c r="R739" s="131"/>
      <c r="S739" s="131"/>
      <c r="T739" s="131"/>
      <c r="U739" s="131"/>
      <c r="V739" s="131"/>
      <c r="W739" s="131"/>
      <c r="X739" s="131"/>
      <c r="Y739" s="131"/>
      <c r="Z739" s="203"/>
    </row>
    <row r="740">
      <c r="A740" s="262" t="s">
        <v>611</v>
      </c>
      <c r="B740" s="262" t="s">
        <v>48</v>
      </c>
      <c r="C740" s="262">
        <v>1070.0</v>
      </c>
      <c r="D740" s="262">
        <v>4.908176858</v>
      </c>
      <c r="E740" s="260">
        <f t="shared" ref="E740:E819" si="29">D740*60</f>
        <v>294.4906115</v>
      </c>
      <c r="F740" s="132">
        <f t="shared" ref="F740:F820" si="30">E740/24/60</f>
        <v>0.2045073691</v>
      </c>
      <c r="G740" s="278" t="s">
        <v>1152</v>
      </c>
      <c r="H740" s="131"/>
      <c r="I740" s="131"/>
      <c r="J740" s="131"/>
      <c r="K740" s="131"/>
      <c r="L740" s="131"/>
      <c r="M740" s="131"/>
      <c r="N740" s="131"/>
      <c r="O740" s="131"/>
      <c r="P740" s="131"/>
      <c r="Q740" s="131"/>
      <c r="R740" s="131"/>
      <c r="S740" s="131"/>
      <c r="T740" s="131"/>
      <c r="U740" s="131"/>
      <c r="V740" s="131"/>
      <c r="W740" s="131"/>
      <c r="X740" s="131"/>
      <c r="Y740" s="131"/>
      <c r="Z740" s="203"/>
    </row>
    <row r="741">
      <c r="A741" s="262" t="s">
        <v>611</v>
      </c>
      <c r="B741" s="262" t="s">
        <v>49</v>
      </c>
      <c r="C741" s="262">
        <v>672.0</v>
      </c>
      <c r="D741" s="262">
        <v>3.294653368</v>
      </c>
      <c r="E741" s="260">
        <f t="shared" si="29"/>
        <v>197.6792021</v>
      </c>
      <c r="F741" s="132">
        <f t="shared" si="30"/>
        <v>0.1372772237</v>
      </c>
      <c r="G741" s="278" t="s">
        <v>1153</v>
      </c>
      <c r="H741" s="131"/>
      <c r="I741" s="131"/>
      <c r="J741" s="131"/>
      <c r="K741" s="131"/>
      <c r="L741" s="131"/>
      <c r="M741" s="131"/>
      <c r="N741" s="131"/>
      <c r="O741" s="131"/>
      <c r="P741" s="131"/>
      <c r="Q741" s="131"/>
      <c r="R741" s="131"/>
      <c r="S741" s="131"/>
      <c r="T741" s="131"/>
      <c r="U741" s="131"/>
      <c r="V741" s="131"/>
      <c r="W741" s="131"/>
      <c r="X741" s="131"/>
      <c r="Y741" s="131"/>
      <c r="Z741" s="203"/>
    </row>
    <row r="742">
      <c r="A742" s="262" t="s">
        <v>611</v>
      </c>
      <c r="B742" s="262" t="s">
        <v>50</v>
      </c>
      <c r="C742" s="262">
        <v>1110.0</v>
      </c>
      <c r="D742" s="262">
        <v>5.171204948</v>
      </c>
      <c r="E742" s="260">
        <f t="shared" si="29"/>
        <v>310.2722969</v>
      </c>
      <c r="F742" s="132">
        <f t="shared" si="30"/>
        <v>0.2154668728</v>
      </c>
      <c r="G742" s="276" t="s">
        <v>1154</v>
      </c>
      <c r="H742" s="131"/>
      <c r="I742" s="131"/>
      <c r="J742" s="131"/>
      <c r="K742" s="131"/>
      <c r="L742" s="131"/>
      <c r="M742" s="131"/>
      <c r="N742" s="131"/>
      <c r="O742" s="131"/>
      <c r="P742" s="131"/>
      <c r="Q742" s="131"/>
      <c r="R742" s="131"/>
      <c r="S742" s="131"/>
      <c r="T742" s="131"/>
      <c r="U742" s="131"/>
      <c r="V742" s="131"/>
      <c r="W742" s="131"/>
      <c r="X742" s="131"/>
      <c r="Y742" s="131"/>
      <c r="Z742" s="203"/>
    </row>
    <row r="743">
      <c r="A743" s="262" t="s">
        <v>611</v>
      </c>
      <c r="B743" s="262" t="s">
        <v>51</v>
      </c>
      <c r="C743" s="262">
        <v>687.0</v>
      </c>
      <c r="D743" s="262">
        <v>3.398212535</v>
      </c>
      <c r="E743" s="260">
        <f t="shared" si="29"/>
        <v>203.8927521</v>
      </c>
      <c r="F743" s="132">
        <f t="shared" si="30"/>
        <v>0.141592189</v>
      </c>
      <c r="G743" s="276" t="s">
        <v>1155</v>
      </c>
      <c r="H743" s="131"/>
      <c r="I743" s="131"/>
      <c r="J743" s="131"/>
      <c r="K743" s="131"/>
      <c r="L743" s="131"/>
      <c r="M743" s="131"/>
      <c r="N743" s="131"/>
      <c r="O743" s="131"/>
      <c r="P743" s="131"/>
      <c r="Q743" s="131"/>
      <c r="R743" s="131"/>
      <c r="S743" s="131"/>
      <c r="T743" s="131"/>
      <c r="U743" s="131"/>
      <c r="V743" s="131"/>
      <c r="W743" s="131"/>
      <c r="X743" s="131"/>
      <c r="Y743" s="131"/>
      <c r="Z743" s="203"/>
    </row>
    <row r="744">
      <c r="A744" s="262" t="s">
        <v>611</v>
      </c>
      <c r="B744" s="262" t="s">
        <v>52</v>
      </c>
      <c r="C744" s="262">
        <v>1558.0</v>
      </c>
      <c r="D744" s="262">
        <v>7.006561962</v>
      </c>
      <c r="E744" s="260">
        <f t="shared" si="29"/>
        <v>420.3937177</v>
      </c>
      <c r="F744" s="132">
        <f t="shared" si="30"/>
        <v>0.2919400818</v>
      </c>
      <c r="G744" s="276" t="s">
        <v>1156</v>
      </c>
      <c r="H744" s="131"/>
      <c r="I744" s="131"/>
      <c r="J744" s="131"/>
      <c r="K744" s="131"/>
      <c r="L744" s="131"/>
      <c r="M744" s="131"/>
      <c r="N744" s="131"/>
      <c r="O744" s="131"/>
      <c r="P744" s="131"/>
      <c r="Q744" s="131"/>
      <c r="R744" s="131"/>
      <c r="S744" s="131"/>
      <c r="T744" s="131"/>
      <c r="U744" s="131"/>
      <c r="V744" s="131"/>
      <c r="W744" s="131"/>
      <c r="X744" s="131"/>
      <c r="Y744" s="131"/>
      <c r="Z744" s="203"/>
    </row>
    <row r="745">
      <c r="A745" s="262" t="s">
        <v>611</v>
      </c>
      <c r="B745" s="262" t="s">
        <v>53</v>
      </c>
      <c r="C745" s="262">
        <v>605.0</v>
      </c>
      <c r="D745" s="262">
        <v>2.708142205</v>
      </c>
      <c r="E745" s="260">
        <f t="shared" si="29"/>
        <v>162.4885323</v>
      </c>
      <c r="F745" s="132">
        <f t="shared" si="30"/>
        <v>0.1128392585</v>
      </c>
      <c r="G745" s="276" t="s">
        <v>1157</v>
      </c>
      <c r="H745" s="131"/>
      <c r="I745" s="131"/>
      <c r="J745" s="131"/>
      <c r="K745" s="131"/>
      <c r="L745" s="131"/>
      <c r="M745" s="131"/>
      <c r="N745" s="131"/>
      <c r="O745" s="131"/>
      <c r="P745" s="131"/>
      <c r="Q745" s="131"/>
      <c r="R745" s="131"/>
      <c r="S745" s="131"/>
      <c r="T745" s="131"/>
      <c r="U745" s="131"/>
      <c r="V745" s="131"/>
      <c r="W745" s="131"/>
      <c r="X745" s="131"/>
      <c r="Y745" s="131"/>
      <c r="Z745" s="203"/>
    </row>
    <row r="746">
      <c r="A746" s="262" t="s">
        <v>7</v>
      </c>
      <c r="B746" s="262" t="s">
        <v>34</v>
      </c>
      <c r="C746" s="262">
        <v>2109.0</v>
      </c>
      <c r="D746" s="262">
        <v>10.16533271</v>
      </c>
      <c r="E746" s="260">
        <f t="shared" si="29"/>
        <v>609.9199626</v>
      </c>
      <c r="F746" s="132">
        <f t="shared" si="30"/>
        <v>0.4235555296</v>
      </c>
      <c r="G746" s="276" t="s">
        <v>1158</v>
      </c>
      <c r="H746" s="131"/>
      <c r="I746" s="131"/>
      <c r="J746" s="131"/>
      <c r="K746" s="131"/>
      <c r="L746" s="131"/>
      <c r="M746" s="131"/>
      <c r="N746" s="131"/>
      <c r="O746" s="131"/>
      <c r="P746" s="131"/>
      <c r="Q746" s="131"/>
      <c r="R746" s="131"/>
      <c r="S746" s="131"/>
      <c r="T746" s="131"/>
      <c r="U746" s="131"/>
      <c r="V746" s="131"/>
      <c r="W746" s="131"/>
      <c r="X746" s="131"/>
      <c r="Y746" s="131"/>
      <c r="Z746" s="203"/>
    </row>
    <row r="747">
      <c r="A747" s="262" t="s">
        <v>7</v>
      </c>
      <c r="B747" s="262" t="s">
        <v>37</v>
      </c>
      <c r="C747" s="262">
        <v>2915.0</v>
      </c>
      <c r="D747" s="262">
        <v>13.41413931</v>
      </c>
      <c r="E747" s="260">
        <f t="shared" si="29"/>
        <v>804.8483586</v>
      </c>
      <c r="F747" s="132">
        <f t="shared" si="30"/>
        <v>0.5589224713</v>
      </c>
      <c r="G747" s="276" t="s">
        <v>1159</v>
      </c>
      <c r="H747" s="131"/>
      <c r="I747" s="131"/>
      <c r="J747" s="131"/>
      <c r="K747" s="131"/>
      <c r="L747" s="131"/>
      <c r="M747" s="131"/>
      <c r="N747" s="131"/>
      <c r="O747" s="131"/>
      <c r="P747" s="131"/>
      <c r="Q747" s="131"/>
      <c r="R747" s="131"/>
      <c r="S747" s="131"/>
      <c r="T747" s="131"/>
      <c r="U747" s="131"/>
      <c r="V747" s="131"/>
      <c r="W747" s="131"/>
      <c r="X747" s="131"/>
      <c r="Y747" s="131"/>
      <c r="Z747" s="203"/>
    </row>
    <row r="748">
      <c r="A748" s="262" t="s">
        <v>7</v>
      </c>
      <c r="B748" s="262" t="s">
        <v>26</v>
      </c>
      <c r="C748" s="262">
        <v>3135.0</v>
      </c>
      <c r="D748" s="262">
        <v>14.77822556</v>
      </c>
      <c r="E748" s="260">
        <f t="shared" si="29"/>
        <v>886.6935336</v>
      </c>
      <c r="F748" s="132">
        <f t="shared" si="30"/>
        <v>0.6157593983</v>
      </c>
      <c r="G748" s="276" t="s">
        <v>1160</v>
      </c>
      <c r="H748" s="131"/>
      <c r="I748" s="131"/>
      <c r="J748" s="131"/>
      <c r="K748" s="131"/>
      <c r="L748" s="131"/>
      <c r="M748" s="131"/>
      <c r="N748" s="131"/>
      <c r="O748" s="131"/>
      <c r="P748" s="131"/>
      <c r="Q748" s="131"/>
      <c r="R748" s="131"/>
      <c r="S748" s="131"/>
      <c r="T748" s="131"/>
      <c r="U748" s="131"/>
      <c r="V748" s="131"/>
      <c r="W748" s="131"/>
      <c r="X748" s="131"/>
      <c r="Y748" s="131"/>
      <c r="Z748" s="203"/>
    </row>
    <row r="749">
      <c r="A749" s="262" t="s">
        <v>7</v>
      </c>
      <c r="B749" s="262" t="s">
        <v>24</v>
      </c>
      <c r="C749" s="262">
        <v>2593.0</v>
      </c>
      <c r="D749" s="262">
        <v>11.81356191</v>
      </c>
      <c r="E749" s="260">
        <f t="shared" si="29"/>
        <v>708.8137146</v>
      </c>
      <c r="F749" s="132">
        <f t="shared" si="30"/>
        <v>0.4922317463</v>
      </c>
      <c r="G749" s="276" t="s">
        <v>1161</v>
      </c>
      <c r="H749" s="131"/>
      <c r="I749" s="131"/>
      <c r="J749" s="131"/>
      <c r="K749" s="131"/>
      <c r="L749" s="131"/>
      <c r="M749" s="131"/>
      <c r="N749" s="131"/>
      <c r="O749" s="131"/>
      <c r="P749" s="131"/>
      <c r="Q749" s="131"/>
      <c r="R749" s="131"/>
      <c r="S749" s="131"/>
      <c r="T749" s="131"/>
      <c r="U749" s="131"/>
      <c r="V749" s="131"/>
      <c r="W749" s="131"/>
      <c r="X749" s="131"/>
      <c r="Y749" s="131"/>
      <c r="Z749" s="203"/>
    </row>
    <row r="750">
      <c r="A750" s="262" t="s">
        <v>7</v>
      </c>
      <c r="B750" s="262" t="s">
        <v>422</v>
      </c>
      <c r="C750" s="262">
        <v>3598.0</v>
      </c>
      <c r="D750" s="262">
        <v>16.66683556</v>
      </c>
      <c r="E750" s="260">
        <f t="shared" si="29"/>
        <v>1000.010134</v>
      </c>
      <c r="F750" s="132">
        <f t="shared" si="30"/>
        <v>0.6944514817</v>
      </c>
      <c r="G750" s="276" t="s">
        <v>1162</v>
      </c>
      <c r="H750" s="131"/>
      <c r="I750" s="131"/>
      <c r="J750" s="131"/>
      <c r="K750" s="131"/>
      <c r="L750" s="131"/>
      <c r="M750" s="131"/>
      <c r="N750" s="131"/>
      <c r="O750" s="131"/>
      <c r="P750" s="131"/>
      <c r="Q750" s="131"/>
      <c r="R750" s="131"/>
      <c r="S750" s="131"/>
      <c r="T750" s="131"/>
      <c r="U750" s="131"/>
      <c r="V750" s="131"/>
      <c r="W750" s="131"/>
      <c r="X750" s="131"/>
      <c r="Y750" s="131"/>
      <c r="Z750" s="203"/>
    </row>
    <row r="751">
      <c r="A751" s="262" t="s">
        <v>7</v>
      </c>
      <c r="B751" s="262" t="s">
        <v>27</v>
      </c>
      <c r="C751" s="262">
        <v>7497.0</v>
      </c>
      <c r="D751" s="262">
        <v>35.20120536</v>
      </c>
      <c r="E751" s="260">
        <f t="shared" si="29"/>
        <v>2112.072322</v>
      </c>
      <c r="F751" s="132">
        <f t="shared" si="30"/>
        <v>1.46671689</v>
      </c>
      <c r="G751" s="276" t="s">
        <v>1163</v>
      </c>
      <c r="H751" s="131"/>
      <c r="I751" s="131"/>
      <c r="J751" s="131"/>
      <c r="K751" s="131"/>
      <c r="L751" s="131"/>
      <c r="M751" s="131"/>
      <c r="N751" s="131"/>
      <c r="O751" s="131"/>
      <c r="P751" s="131"/>
      <c r="Q751" s="131"/>
      <c r="R751" s="131"/>
      <c r="S751" s="131"/>
      <c r="T751" s="131"/>
      <c r="U751" s="131"/>
      <c r="V751" s="131"/>
      <c r="W751" s="131"/>
      <c r="X751" s="131"/>
      <c r="Y751" s="131"/>
      <c r="Z751" s="203"/>
    </row>
    <row r="752">
      <c r="A752" s="262" t="s">
        <v>7</v>
      </c>
      <c r="B752" s="262" t="s">
        <v>19</v>
      </c>
      <c r="C752" s="262">
        <v>5440.0</v>
      </c>
      <c r="D752" s="262">
        <v>25.66921743</v>
      </c>
      <c r="E752" s="260">
        <f t="shared" si="29"/>
        <v>1540.153046</v>
      </c>
      <c r="F752" s="132">
        <f t="shared" si="30"/>
        <v>1.069550726</v>
      </c>
      <c r="G752" s="276" t="s">
        <v>1164</v>
      </c>
      <c r="H752" s="131"/>
      <c r="I752" s="131"/>
      <c r="J752" s="131"/>
      <c r="K752" s="131"/>
      <c r="L752" s="131"/>
      <c r="M752" s="131"/>
      <c r="N752" s="131"/>
      <c r="O752" s="131"/>
      <c r="P752" s="131"/>
      <c r="Q752" s="131"/>
      <c r="R752" s="131"/>
      <c r="S752" s="131"/>
      <c r="T752" s="131"/>
      <c r="U752" s="131"/>
      <c r="V752" s="131"/>
      <c r="W752" s="131"/>
      <c r="X752" s="131"/>
      <c r="Y752" s="131"/>
      <c r="Z752" s="203"/>
    </row>
    <row r="753">
      <c r="A753" s="262" t="s">
        <v>7</v>
      </c>
      <c r="B753" s="262" t="s">
        <v>40</v>
      </c>
      <c r="C753" s="262">
        <v>6499.0</v>
      </c>
      <c r="D753" s="262">
        <v>30.23959056</v>
      </c>
      <c r="E753" s="260">
        <f t="shared" si="29"/>
        <v>1814.375434</v>
      </c>
      <c r="F753" s="132">
        <f t="shared" si="30"/>
        <v>1.25998294</v>
      </c>
      <c r="G753" s="276" t="s">
        <v>1165</v>
      </c>
      <c r="H753" s="131"/>
      <c r="I753" s="131"/>
      <c r="J753" s="131"/>
      <c r="K753" s="131"/>
      <c r="L753" s="131"/>
      <c r="M753" s="131"/>
      <c r="N753" s="131"/>
      <c r="O753" s="131"/>
      <c r="P753" s="131"/>
      <c r="Q753" s="131"/>
      <c r="R753" s="131"/>
      <c r="S753" s="131"/>
      <c r="T753" s="131"/>
      <c r="U753" s="131"/>
      <c r="V753" s="131"/>
      <c r="W753" s="131"/>
      <c r="X753" s="131"/>
      <c r="Y753" s="131"/>
      <c r="Z753" s="203"/>
    </row>
    <row r="754">
      <c r="A754" s="262" t="s">
        <v>7</v>
      </c>
      <c r="B754" s="262" t="s">
        <v>44</v>
      </c>
      <c r="C754" s="262">
        <v>7173.0</v>
      </c>
      <c r="D754" s="262">
        <v>33.75369707</v>
      </c>
      <c r="E754" s="260">
        <f t="shared" si="29"/>
        <v>2025.221824</v>
      </c>
      <c r="F754" s="132">
        <f t="shared" si="30"/>
        <v>1.406404045</v>
      </c>
      <c r="G754" s="276" t="s">
        <v>1166</v>
      </c>
      <c r="H754" s="131"/>
      <c r="I754" s="131"/>
      <c r="J754" s="131"/>
      <c r="K754" s="131"/>
      <c r="L754" s="131"/>
      <c r="M754" s="131"/>
      <c r="N754" s="131"/>
      <c r="O754" s="131"/>
      <c r="P754" s="131"/>
      <c r="Q754" s="131"/>
      <c r="R754" s="131"/>
      <c r="S754" s="131"/>
      <c r="T754" s="131"/>
      <c r="U754" s="131"/>
      <c r="V754" s="131"/>
      <c r="W754" s="131"/>
      <c r="X754" s="131"/>
      <c r="Y754" s="131"/>
      <c r="Z754" s="203"/>
    </row>
    <row r="755">
      <c r="A755" s="262" t="s">
        <v>7</v>
      </c>
      <c r="B755" s="262" t="s">
        <v>21</v>
      </c>
      <c r="C755" s="262">
        <v>4017.0</v>
      </c>
      <c r="D755" s="262">
        <v>19.22076498</v>
      </c>
      <c r="E755" s="260">
        <f t="shared" si="29"/>
        <v>1153.245899</v>
      </c>
      <c r="F755" s="132">
        <f t="shared" si="30"/>
        <v>0.8008652075</v>
      </c>
      <c r="G755" s="276" t="s">
        <v>1167</v>
      </c>
      <c r="H755" s="131"/>
      <c r="I755" s="131"/>
      <c r="J755" s="131"/>
      <c r="K755" s="131"/>
      <c r="L755" s="131"/>
      <c r="M755" s="131"/>
      <c r="N755" s="131"/>
      <c r="O755" s="131"/>
      <c r="P755" s="131"/>
      <c r="Q755" s="131"/>
      <c r="R755" s="131"/>
      <c r="S755" s="131"/>
      <c r="T755" s="131"/>
      <c r="U755" s="131"/>
      <c r="V755" s="131"/>
      <c r="W755" s="131"/>
      <c r="X755" s="131"/>
      <c r="Y755" s="131"/>
      <c r="Z755" s="203"/>
    </row>
    <row r="756">
      <c r="A756" s="262" t="s">
        <v>7</v>
      </c>
      <c r="B756" s="262" t="s">
        <v>31</v>
      </c>
      <c r="C756" s="262">
        <v>5257.0</v>
      </c>
      <c r="D756" s="262">
        <v>24.96923356</v>
      </c>
      <c r="E756" s="260">
        <f t="shared" si="29"/>
        <v>1498.154014</v>
      </c>
      <c r="F756" s="132">
        <f t="shared" si="30"/>
        <v>1.040384732</v>
      </c>
      <c r="G756" s="276" t="s">
        <v>1168</v>
      </c>
      <c r="H756" s="131"/>
      <c r="I756" s="131"/>
      <c r="J756" s="131"/>
      <c r="K756" s="131"/>
      <c r="L756" s="131"/>
      <c r="M756" s="131"/>
      <c r="N756" s="131"/>
      <c r="O756" s="131"/>
      <c r="P756" s="131"/>
      <c r="Q756" s="131"/>
      <c r="R756" s="131"/>
      <c r="S756" s="131"/>
      <c r="T756" s="131"/>
      <c r="U756" s="131"/>
      <c r="V756" s="131"/>
      <c r="W756" s="131"/>
      <c r="X756" s="131"/>
      <c r="Y756" s="131"/>
      <c r="Z756" s="203"/>
    </row>
    <row r="757">
      <c r="A757" s="262" t="s">
        <v>7</v>
      </c>
      <c r="B757" s="262" t="s">
        <v>25</v>
      </c>
      <c r="C757" s="262">
        <v>7336.0</v>
      </c>
      <c r="D757" s="262">
        <v>34.47879905</v>
      </c>
      <c r="E757" s="260">
        <f t="shared" si="29"/>
        <v>2068.727943</v>
      </c>
      <c r="F757" s="132">
        <f t="shared" si="30"/>
        <v>1.436616627</v>
      </c>
      <c r="G757" s="276" t="s">
        <v>1169</v>
      </c>
      <c r="H757" s="131"/>
      <c r="I757" s="131"/>
      <c r="J757" s="131"/>
      <c r="K757" s="131"/>
      <c r="L757" s="131"/>
      <c r="M757" s="131"/>
      <c r="N757" s="131"/>
      <c r="O757" s="131"/>
      <c r="P757" s="131"/>
      <c r="Q757" s="131"/>
      <c r="R757" s="131"/>
      <c r="S757" s="131"/>
      <c r="T757" s="131"/>
      <c r="U757" s="131"/>
      <c r="V757" s="131"/>
      <c r="W757" s="131"/>
      <c r="X757" s="131"/>
      <c r="Y757" s="131"/>
      <c r="Z757" s="203"/>
    </row>
    <row r="758">
      <c r="A758" s="262" t="s">
        <v>7</v>
      </c>
      <c r="B758" s="262" t="s">
        <v>43</v>
      </c>
      <c r="C758" s="262">
        <v>4709.0</v>
      </c>
      <c r="D758" s="262">
        <v>21.7694221</v>
      </c>
      <c r="E758" s="260">
        <f t="shared" si="29"/>
        <v>1306.165326</v>
      </c>
      <c r="F758" s="132">
        <f t="shared" si="30"/>
        <v>0.9070592542</v>
      </c>
      <c r="G758" s="276" t="s">
        <v>1170</v>
      </c>
      <c r="H758" s="131"/>
      <c r="I758" s="131"/>
      <c r="J758" s="131"/>
      <c r="K758" s="131"/>
      <c r="L758" s="131"/>
      <c r="M758" s="131"/>
      <c r="N758" s="131"/>
      <c r="O758" s="131"/>
      <c r="P758" s="131"/>
      <c r="Q758" s="131"/>
      <c r="R758" s="131"/>
      <c r="S758" s="131"/>
      <c r="T758" s="131"/>
      <c r="U758" s="131"/>
      <c r="V758" s="131"/>
      <c r="W758" s="131"/>
      <c r="X758" s="131"/>
      <c r="Y758" s="131"/>
      <c r="Z758" s="203"/>
    </row>
    <row r="759">
      <c r="A759" s="262" t="s">
        <v>7</v>
      </c>
      <c r="B759" s="262" t="s">
        <v>41</v>
      </c>
      <c r="C759" s="262">
        <v>7371.0</v>
      </c>
      <c r="D759" s="262">
        <v>35.13344797</v>
      </c>
      <c r="E759" s="260">
        <f t="shared" si="29"/>
        <v>2108.006878</v>
      </c>
      <c r="F759" s="132">
        <f t="shared" si="30"/>
        <v>1.463893665</v>
      </c>
      <c r="G759" s="276" t="s">
        <v>1171</v>
      </c>
      <c r="H759" s="131"/>
      <c r="I759" s="131"/>
      <c r="J759" s="131"/>
      <c r="K759" s="131"/>
      <c r="L759" s="131"/>
      <c r="M759" s="131"/>
      <c r="N759" s="131"/>
      <c r="O759" s="131"/>
      <c r="P759" s="131"/>
      <c r="Q759" s="131"/>
      <c r="R759" s="131"/>
      <c r="S759" s="131"/>
      <c r="T759" s="131"/>
      <c r="U759" s="131"/>
      <c r="V759" s="131"/>
      <c r="W759" s="131"/>
      <c r="X759" s="131"/>
      <c r="Y759" s="131"/>
      <c r="Z759" s="203"/>
    </row>
    <row r="760">
      <c r="A760" s="262" t="s">
        <v>7</v>
      </c>
      <c r="B760" s="262" t="s">
        <v>32</v>
      </c>
      <c r="C760" s="262">
        <v>5058.0</v>
      </c>
      <c r="D760" s="262">
        <v>24.00497969</v>
      </c>
      <c r="E760" s="260">
        <f t="shared" si="29"/>
        <v>1440.298781</v>
      </c>
      <c r="F760" s="132">
        <f t="shared" si="30"/>
        <v>1.000207487</v>
      </c>
      <c r="G760" s="276" t="s">
        <v>1172</v>
      </c>
      <c r="H760" s="131"/>
      <c r="I760" s="131"/>
      <c r="J760" s="131"/>
      <c r="K760" s="131"/>
      <c r="L760" s="131"/>
      <c r="M760" s="131"/>
      <c r="N760" s="131"/>
      <c r="O760" s="131"/>
      <c r="P760" s="131"/>
      <c r="Q760" s="131"/>
      <c r="R760" s="131"/>
      <c r="S760" s="131"/>
      <c r="T760" s="131"/>
      <c r="U760" s="131"/>
      <c r="V760" s="131"/>
      <c r="W760" s="131"/>
      <c r="X760" s="131"/>
      <c r="Y760" s="131"/>
      <c r="Z760" s="203"/>
    </row>
    <row r="761">
      <c r="A761" s="262" t="s">
        <v>7</v>
      </c>
      <c r="B761" s="262" t="s">
        <v>22</v>
      </c>
      <c r="C761" s="262">
        <v>4630.0</v>
      </c>
      <c r="D761" s="262">
        <v>21.88804641</v>
      </c>
      <c r="E761" s="260">
        <f t="shared" si="29"/>
        <v>1313.282785</v>
      </c>
      <c r="F761" s="132">
        <f t="shared" si="30"/>
        <v>0.9120019338</v>
      </c>
      <c r="G761" s="276" t="s">
        <v>1173</v>
      </c>
      <c r="H761" s="131"/>
      <c r="I761" s="131"/>
      <c r="J761" s="131"/>
      <c r="K761" s="131"/>
      <c r="L761" s="131"/>
      <c r="M761" s="131"/>
      <c r="N761" s="131"/>
      <c r="O761" s="131"/>
      <c r="P761" s="131"/>
      <c r="Q761" s="131"/>
      <c r="R761" s="131"/>
      <c r="S761" s="131"/>
      <c r="T761" s="131"/>
      <c r="U761" s="131"/>
      <c r="V761" s="131"/>
      <c r="W761" s="131"/>
      <c r="X761" s="131"/>
      <c r="Y761" s="131"/>
      <c r="Z761" s="203"/>
    </row>
    <row r="762">
      <c r="A762" s="262" t="s">
        <v>7</v>
      </c>
      <c r="B762" s="262" t="s">
        <v>8</v>
      </c>
      <c r="C762" s="262">
        <v>5862.0</v>
      </c>
      <c r="D762" s="262">
        <v>27.40939417</v>
      </c>
      <c r="E762" s="260">
        <f t="shared" si="29"/>
        <v>1644.56365</v>
      </c>
      <c r="F762" s="132">
        <f t="shared" si="30"/>
        <v>1.14205809</v>
      </c>
      <c r="G762" s="276" t="s">
        <v>1174</v>
      </c>
      <c r="H762" s="131"/>
      <c r="I762" s="131"/>
      <c r="J762" s="131"/>
      <c r="K762" s="131"/>
      <c r="L762" s="131"/>
      <c r="M762" s="131"/>
      <c r="N762" s="131"/>
      <c r="O762" s="131"/>
      <c r="P762" s="131"/>
      <c r="Q762" s="131"/>
      <c r="R762" s="131"/>
      <c r="S762" s="131"/>
      <c r="T762" s="131"/>
      <c r="U762" s="131"/>
      <c r="V762" s="131"/>
      <c r="W762" s="131"/>
      <c r="X762" s="131"/>
      <c r="Y762" s="131"/>
      <c r="Z762" s="203"/>
    </row>
    <row r="763">
      <c r="A763" s="262" t="s">
        <v>7</v>
      </c>
      <c r="B763" s="262" t="s">
        <v>20</v>
      </c>
      <c r="C763" s="262">
        <v>4657.0</v>
      </c>
      <c r="D763" s="262">
        <v>21.23565865</v>
      </c>
      <c r="E763" s="260">
        <f t="shared" si="29"/>
        <v>1274.139519</v>
      </c>
      <c r="F763" s="132">
        <f t="shared" si="30"/>
        <v>0.8848191104</v>
      </c>
      <c r="G763" s="276" t="s">
        <v>1175</v>
      </c>
      <c r="H763" s="131"/>
      <c r="I763" s="131"/>
      <c r="J763" s="131"/>
      <c r="K763" s="131"/>
      <c r="L763" s="131"/>
      <c r="M763" s="131"/>
      <c r="N763" s="131"/>
      <c r="O763" s="131"/>
      <c r="P763" s="131"/>
      <c r="Q763" s="131"/>
      <c r="R763" s="131"/>
      <c r="S763" s="131"/>
      <c r="T763" s="131"/>
      <c r="U763" s="131"/>
      <c r="V763" s="131"/>
      <c r="W763" s="131"/>
      <c r="X763" s="131"/>
      <c r="Y763" s="131"/>
      <c r="Z763" s="203"/>
    </row>
    <row r="764">
      <c r="A764" s="262" t="s">
        <v>7</v>
      </c>
      <c r="B764" s="262" t="s">
        <v>33</v>
      </c>
      <c r="C764" s="262">
        <v>1703.0</v>
      </c>
      <c r="D764" s="262">
        <v>8.561004844</v>
      </c>
      <c r="E764" s="260">
        <f t="shared" si="29"/>
        <v>513.6602906</v>
      </c>
      <c r="F764" s="132">
        <f t="shared" si="30"/>
        <v>0.3567085352</v>
      </c>
      <c r="G764" s="276" t="s">
        <v>1176</v>
      </c>
      <c r="H764" s="131"/>
      <c r="I764" s="131"/>
      <c r="J764" s="131"/>
      <c r="K764" s="131"/>
      <c r="L764" s="131"/>
      <c r="M764" s="131"/>
      <c r="N764" s="131"/>
      <c r="O764" s="131"/>
      <c r="P764" s="131"/>
      <c r="Q764" s="131"/>
      <c r="R764" s="131"/>
      <c r="S764" s="131"/>
      <c r="T764" s="131"/>
      <c r="U764" s="131"/>
      <c r="V764" s="131"/>
      <c r="W764" s="131"/>
      <c r="X764" s="131"/>
      <c r="Y764" s="131"/>
      <c r="Z764" s="203"/>
    </row>
    <row r="765">
      <c r="A765" s="262" t="s">
        <v>7</v>
      </c>
      <c r="B765" s="262" t="s">
        <v>30</v>
      </c>
      <c r="C765" s="262">
        <v>3389.0</v>
      </c>
      <c r="D765" s="262">
        <v>16.24520925</v>
      </c>
      <c r="E765" s="260">
        <f t="shared" si="29"/>
        <v>974.712555</v>
      </c>
      <c r="F765" s="132">
        <f t="shared" si="30"/>
        <v>0.6768837188</v>
      </c>
      <c r="G765" s="276" t="s">
        <v>1177</v>
      </c>
      <c r="H765" s="131"/>
      <c r="I765" s="131"/>
      <c r="J765" s="131"/>
      <c r="K765" s="131"/>
      <c r="L765" s="131"/>
      <c r="M765" s="131"/>
      <c r="N765" s="131"/>
      <c r="O765" s="131"/>
      <c r="P765" s="131"/>
      <c r="Q765" s="131"/>
      <c r="R765" s="131"/>
      <c r="S765" s="131"/>
      <c r="T765" s="131"/>
      <c r="U765" s="131"/>
      <c r="V765" s="131"/>
      <c r="W765" s="131"/>
      <c r="X765" s="131"/>
      <c r="Y765" s="131"/>
      <c r="Z765" s="203"/>
    </row>
    <row r="766">
      <c r="A766" s="262" t="s">
        <v>54</v>
      </c>
      <c r="B766" s="262" t="s">
        <v>55</v>
      </c>
      <c r="C766" s="262">
        <v>5735.0</v>
      </c>
      <c r="D766" s="262">
        <v>26.61618981</v>
      </c>
      <c r="E766" s="260">
        <f t="shared" si="29"/>
        <v>1596.971389</v>
      </c>
      <c r="F766" s="132">
        <f t="shared" si="30"/>
        <v>1.109007909</v>
      </c>
      <c r="G766" s="276" t="s">
        <v>1178</v>
      </c>
      <c r="H766" s="131"/>
      <c r="I766" s="131"/>
      <c r="J766" s="131"/>
      <c r="K766" s="131"/>
      <c r="L766" s="131"/>
      <c r="M766" s="131"/>
      <c r="N766" s="131"/>
      <c r="O766" s="131"/>
      <c r="P766" s="131"/>
      <c r="Q766" s="131"/>
      <c r="R766" s="131"/>
      <c r="S766" s="131"/>
      <c r="T766" s="131"/>
      <c r="U766" s="131"/>
      <c r="V766" s="131"/>
      <c r="W766" s="131"/>
      <c r="X766" s="131"/>
      <c r="Y766" s="131"/>
      <c r="Z766" s="203"/>
    </row>
    <row r="767">
      <c r="A767" s="262" t="s">
        <v>54</v>
      </c>
      <c r="B767" s="262" t="s">
        <v>56</v>
      </c>
      <c r="C767" s="262">
        <v>6188.0</v>
      </c>
      <c r="D767" s="262">
        <v>28.71225227</v>
      </c>
      <c r="E767" s="260">
        <f t="shared" si="29"/>
        <v>1722.735136</v>
      </c>
      <c r="F767" s="132">
        <f t="shared" si="30"/>
        <v>1.196343845</v>
      </c>
      <c r="G767" s="276" t="s">
        <v>1179</v>
      </c>
      <c r="H767" s="131"/>
      <c r="I767" s="131"/>
      <c r="J767" s="131"/>
      <c r="K767" s="131"/>
      <c r="L767" s="131"/>
      <c r="M767" s="131"/>
      <c r="N767" s="131"/>
      <c r="O767" s="131"/>
      <c r="P767" s="131"/>
      <c r="Q767" s="131"/>
      <c r="R767" s="131"/>
      <c r="S767" s="131"/>
      <c r="T767" s="131"/>
      <c r="U767" s="131"/>
      <c r="V767" s="131"/>
      <c r="W767" s="131"/>
      <c r="X767" s="131"/>
      <c r="Y767" s="131"/>
      <c r="Z767" s="203"/>
    </row>
    <row r="768">
      <c r="A768" s="262" t="s">
        <v>54</v>
      </c>
      <c r="B768" s="262" t="s">
        <v>58</v>
      </c>
      <c r="C768" s="262">
        <v>3448.0</v>
      </c>
      <c r="D768" s="262">
        <v>16.86682773</v>
      </c>
      <c r="E768" s="260">
        <f t="shared" si="29"/>
        <v>1012.009664</v>
      </c>
      <c r="F768" s="132">
        <f t="shared" si="30"/>
        <v>0.7027844888</v>
      </c>
      <c r="G768" s="276" t="s">
        <v>1180</v>
      </c>
      <c r="H768" s="131"/>
      <c r="I768" s="131"/>
      <c r="J768" s="131"/>
      <c r="K768" s="131"/>
      <c r="L768" s="131"/>
      <c r="M768" s="131"/>
      <c r="N768" s="131"/>
      <c r="O768" s="131"/>
      <c r="P768" s="131"/>
      <c r="Q768" s="131"/>
      <c r="R768" s="131"/>
      <c r="S768" s="131"/>
      <c r="T768" s="131"/>
      <c r="U768" s="131"/>
      <c r="V768" s="131"/>
      <c r="W768" s="131"/>
      <c r="X768" s="131"/>
      <c r="Y768" s="131"/>
      <c r="Z768" s="203"/>
    </row>
    <row r="769">
      <c r="A769" s="262" t="s">
        <v>54</v>
      </c>
      <c r="B769" s="262" t="s">
        <v>59</v>
      </c>
      <c r="C769" s="262">
        <v>4981.0</v>
      </c>
      <c r="D769" s="262">
        <v>24.26639172</v>
      </c>
      <c r="E769" s="260">
        <f t="shared" si="29"/>
        <v>1455.983503</v>
      </c>
      <c r="F769" s="132">
        <f t="shared" si="30"/>
        <v>1.011099655</v>
      </c>
      <c r="G769" s="276" t="s">
        <v>1181</v>
      </c>
      <c r="H769" s="131"/>
      <c r="I769" s="131"/>
      <c r="J769" s="131"/>
      <c r="K769" s="131"/>
      <c r="L769" s="131"/>
      <c r="M769" s="131"/>
      <c r="N769" s="131"/>
      <c r="O769" s="131"/>
      <c r="P769" s="131"/>
      <c r="Q769" s="131"/>
      <c r="R769" s="131"/>
      <c r="S769" s="131"/>
      <c r="T769" s="131"/>
      <c r="U769" s="131"/>
      <c r="V769" s="131"/>
      <c r="W769" s="131"/>
      <c r="X769" s="131"/>
      <c r="Y769" s="131"/>
      <c r="Z769" s="203"/>
    </row>
    <row r="770">
      <c r="A770" s="262" t="s">
        <v>54</v>
      </c>
      <c r="B770" s="262" t="s">
        <v>60</v>
      </c>
      <c r="C770" s="262">
        <v>7974.0</v>
      </c>
      <c r="D770" s="262">
        <v>38.62342958</v>
      </c>
      <c r="E770" s="260">
        <f t="shared" si="29"/>
        <v>2317.405775</v>
      </c>
      <c r="F770" s="132">
        <f t="shared" si="30"/>
        <v>1.609309566</v>
      </c>
      <c r="G770" s="276" t="s">
        <v>1182</v>
      </c>
      <c r="H770" s="131"/>
      <c r="I770" s="131"/>
      <c r="J770" s="131"/>
      <c r="K770" s="131"/>
      <c r="L770" s="131"/>
      <c r="M770" s="131"/>
      <c r="N770" s="131"/>
      <c r="O770" s="131"/>
      <c r="P770" s="131"/>
      <c r="Q770" s="131"/>
      <c r="R770" s="131"/>
      <c r="S770" s="131"/>
      <c r="T770" s="131"/>
      <c r="U770" s="131"/>
      <c r="V770" s="131"/>
      <c r="W770" s="131"/>
      <c r="X770" s="131"/>
      <c r="Y770" s="131"/>
      <c r="Z770" s="203"/>
    </row>
    <row r="771">
      <c r="A771" s="262" t="s">
        <v>54</v>
      </c>
      <c r="B771" s="262" t="s">
        <v>62</v>
      </c>
      <c r="C771" s="262">
        <v>3008.0</v>
      </c>
      <c r="D771" s="262">
        <v>14.78629649</v>
      </c>
      <c r="E771" s="260">
        <f t="shared" si="29"/>
        <v>887.1777894</v>
      </c>
      <c r="F771" s="132">
        <f t="shared" si="30"/>
        <v>0.6160956871</v>
      </c>
      <c r="G771" s="276" t="s">
        <v>1183</v>
      </c>
      <c r="H771" s="131"/>
      <c r="I771" s="131"/>
      <c r="J771" s="131"/>
      <c r="K771" s="131"/>
      <c r="L771" s="131"/>
      <c r="M771" s="131"/>
      <c r="N771" s="131"/>
      <c r="O771" s="131"/>
      <c r="P771" s="131"/>
      <c r="Q771" s="131"/>
      <c r="R771" s="131"/>
      <c r="S771" s="131"/>
      <c r="T771" s="131"/>
      <c r="U771" s="131"/>
      <c r="V771" s="131"/>
      <c r="W771" s="131"/>
      <c r="X771" s="131"/>
      <c r="Y771" s="131"/>
      <c r="Z771" s="203"/>
    </row>
    <row r="772">
      <c r="A772" s="262" t="s">
        <v>54</v>
      </c>
      <c r="B772" s="262" t="s">
        <v>63</v>
      </c>
      <c r="C772" s="262">
        <v>6621.0</v>
      </c>
      <c r="D772" s="262">
        <v>31.30381946</v>
      </c>
      <c r="E772" s="260">
        <f t="shared" si="29"/>
        <v>1878.229168</v>
      </c>
      <c r="F772" s="132">
        <f t="shared" si="30"/>
        <v>1.304325811</v>
      </c>
      <c r="G772" s="276" t="s">
        <v>1184</v>
      </c>
      <c r="H772" s="131"/>
      <c r="I772" s="131"/>
      <c r="J772" s="131"/>
      <c r="K772" s="131"/>
      <c r="L772" s="131"/>
      <c r="M772" s="131"/>
      <c r="N772" s="131"/>
      <c r="O772" s="131"/>
      <c r="P772" s="131"/>
      <c r="Q772" s="131"/>
      <c r="R772" s="131"/>
      <c r="S772" s="131"/>
      <c r="T772" s="131"/>
      <c r="U772" s="131"/>
      <c r="V772" s="131"/>
      <c r="W772" s="131"/>
      <c r="X772" s="131"/>
      <c r="Y772" s="131"/>
      <c r="Z772" s="203"/>
    </row>
    <row r="773">
      <c r="A773" s="262" t="s">
        <v>54</v>
      </c>
      <c r="B773" s="262" t="s">
        <v>64</v>
      </c>
      <c r="C773" s="262">
        <v>7240.0</v>
      </c>
      <c r="D773" s="262">
        <v>35.14622401</v>
      </c>
      <c r="E773" s="260">
        <f t="shared" si="29"/>
        <v>2108.773441</v>
      </c>
      <c r="F773" s="132">
        <f t="shared" si="30"/>
        <v>1.464426</v>
      </c>
      <c r="G773" s="276" t="s">
        <v>1185</v>
      </c>
      <c r="H773" s="131"/>
      <c r="I773" s="131"/>
      <c r="J773" s="131"/>
      <c r="K773" s="131"/>
      <c r="L773" s="131"/>
      <c r="M773" s="131"/>
      <c r="N773" s="131"/>
      <c r="O773" s="131"/>
      <c r="P773" s="131"/>
      <c r="Q773" s="131"/>
      <c r="R773" s="131"/>
      <c r="S773" s="131"/>
      <c r="T773" s="131"/>
      <c r="U773" s="131"/>
      <c r="V773" s="131"/>
      <c r="W773" s="131"/>
      <c r="X773" s="131"/>
      <c r="Y773" s="131"/>
      <c r="Z773" s="203"/>
    </row>
    <row r="774">
      <c r="A774" s="262" t="s">
        <v>54</v>
      </c>
      <c r="B774" s="262" t="s">
        <v>65</v>
      </c>
      <c r="C774" s="262">
        <v>6610.0</v>
      </c>
      <c r="D774" s="262">
        <v>31.05323502</v>
      </c>
      <c r="E774" s="260">
        <f t="shared" si="29"/>
        <v>1863.194101</v>
      </c>
      <c r="F774" s="132">
        <f t="shared" si="30"/>
        <v>1.293884793</v>
      </c>
      <c r="G774" s="276" t="s">
        <v>1186</v>
      </c>
      <c r="H774" s="131"/>
      <c r="I774" s="131"/>
      <c r="J774" s="131"/>
      <c r="K774" s="131"/>
      <c r="L774" s="131"/>
      <c r="M774" s="131"/>
      <c r="N774" s="131"/>
      <c r="O774" s="131"/>
      <c r="P774" s="131"/>
      <c r="Q774" s="131"/>
      <c r="R774" s="131"/>
      <c r="S774" s="131"/>
      <c r="T774" s="131"/>
      <c r="U774" s="131"/>
      <c r="V774" s="131"/>
      <c r="W774" s="131"/>
      <c r="X774" s="131"/>
      <c r="Y774" s="131"/>
      <c r="Z774" s="203"/>
    </row>
    <row r="775">
      <c r="A775" s="262" t="s">
        <v>54</v>
      </c>
      <c r="B775" s="262" t="s">
        <v>66</v>
      </c>
      <c r="C775" s="262">
        <v>1639.0</v>
      </c>
      <c r="D775" s="262">
        <v>7.742760608</v>
      </c>
      <c r="E775" s="260">
        <f t="shared" si="29"/>
        <v>464.5656365</v>
      </c>
      <c r="F775" s="132">
        <f t="shared" si="30"/>
        <v>0.3226150253</v>
      </c>
      <c r="G775" s="276" t="s">
        <v>1187</v>
      </c>
      <c r="H775" s="131"/>
      <c r="I775" s="131"/>
      <c r="J775" s="131"/>
      <c r="K775" s="131"/>
      <c r="L775" s="131"/>
      <c r="M775" s="131"/>
      <c r="N775" s="131"/>
      <c r="O775" s="131"/>
      <c r="P775" s="131"/>
      <c r="Q775" s="131"/>
      <c r="R775" s="131"/>
      <c r="S775" s="131"/>
      <c r="T775" s="131"/>
      <c r="U775" s="131"/>
      <c r="V775" s="131"/>
      <c r="W775" s="131"/>
      <c r="X775" s="131"/>
      <c r="Y775" s="131"/>
      <c r="Z775" s="203"/>
    </row>
    <row r="776">
      <c r="A776" s="262" t="s">
        <v>45</v>
      </c>
      <c r="B776" s="262" t="s">
        <v>464</v>
      </c>
      <c r="C776" s="262">
        <v>14574.0</v>
      </c>
      <c r="D776" s="262">
        <v>68.09792724</v>
      </c>
      <c r="E776" s="260">
        <f t="shared" si="29"/>
        <v>4085.875634</v>
      </c>
      <c r="F776" s="132">
        <f t="shared" si="30"/>
        <v>2.837413635</v>
      </c>
      <c r="G776" s="276" t="s">
        <v>1188</v>
      </c>
      <c r="H776" s="131"/>
      <c r="I776" s="131"/>
      <c r="J776" s="131"/>
      <c r="K776" s="131"/>
      <c r="L776" s="131"/>
      <c r="M776" s="131"/>
      <c r="N776" s="131"/>
      <c r="O776" s="131"/>
      <c r="P776" s="131"/>
      <c r="Q776" s="131"/>
      <c r="R776" s="131"/>
      <c r="S776" s="131"/>
      <c r="T776" s="131"/>
      <c r="U776" s="131"/>
      <c r="V776" s="131"/>
      <c r="W776" s="131"/>
      <c r="X776" s="131"/>
      <c r="Y776" s="131"/>
      <c r="Z776" s="203"/>
    </row>
    <row r="777">
      <c r="A777" s="262" t="s">
        <v>69</v>
      </c>
      <c r="B777" s="262" t="s">
        <v>70</v>
      </c>
      <c r="C777" s="262">
        <v>12134.0</v>
      </c>
      <c r="D777" s="262">
        <v>58.37687441</v>
      </c>
      <c r="E777" s="260">
        <f t="shared" si="29"/>
        <v>3502.612465</v>
      </c>
      <c r="F777" s="132">
        <f t="shared" si="30"/>
        <v>2.432369767</v>
      </c>
      <c r="G777" s="276" t="s">
        <v>1189</v>
      </c>
      <c r="H777" s="131"/>
      <c r="I777" s="131"/>
      <c r="J777" s="131"/>
      <c r="K777" s="131"/>
      <c r="L777" s="131"/>
      <c r="M777" s="131"/>
      <c r="N777" s="131"/>
      <c r="O777" s="131"/>
      <c r="P777" s="131"/>
      <c r="Q777" s="131"/>
      <c r="R777" s="131"/>
      <c r="S777" s="131"/>
      <c r="T777" s="131"/>
      <c r="U777" s="131"/>
      <c r="V777" s="131"/>
      <c r="W777" s="131"/>
      <c r="X777" s="131"/>
      <c r="Y777" s="131"/>
      <c r="Z777" s="203"/>
    </row>
    <row r="778">
      <c r="A778" s="262" t="s">
        <v>69</v>
      </c>
      <c r="B778" s="262" t="s">
        <v>71</v>
      </c>
      <c r="C778" s="262">
        <v>11193.0</v>
      </c>
      <c r="D778" s="262">
        <v>52.85340063</v>
      </c>
      <c r="E778" s="260">
        <f t="shared" si="29"/>
        <v>3171.204038</v>
      </c>
      <c r="F778" s="132">
        <f t="shared" si="30"/>
        <v>2.202225026</v>
      </c>
      <c r="G778" s="276" t="s">
        <v>1190</v>
      </c>
      <c r="H778" s="131"/>
      <c r="I778" s="131"/>
      <c r="J778" s="131"/>
      <c r="K778" s="131"/>
      <c r="L778" s="131"/>
      <c r="M778" s="131"/>
      <c r="N778" s="131"/>
      <c r="O778" s="131"/>
      <c r="P778" s="131"/>
      <c r="Q778" s="131"/>
      <c r="R778" s="131"/>
      <c r="S778" s="131"/>
      <c r="T778" s="131"/>
      <c r="U778" s="131"/>
      <c r="V778" s="131"/>
      <c r="W778" s="131"/>
      <c r="X778" s="131"/>
      <c r="Y778" s="131"/>
      <c r="Z778" s="203"/>
    </row>
    <row r="779">
      <c r="A779" s="262" t="s">
        <v>35</v>
      </c>
      <c r="B779" s="262" t="s">
        <v>72</v>
      </c>
      <c r="C779" s="262">
        <v>1499.0</v>
      </c>
      <c r="D779" s="262">
        <v>7.283831493</v>
      </c>
      <c r="E779" s="260">
        <f t="shared" si="29"/>
        <v>437.0298896</v>
      </c>
      <c r="F779" s="132">
        <f t="shared" si="30"/>
        <v>0.3034929789</v>
      </c>
      <c r="G779" s="276" t="s">
        <v>1191</v>
      </c>
      <c r="H779" s="131"/>
      <c r="I779" s="131"/>
      <c r="J779" s="131"/>
      <c r="K779" s="131"/>
      <c r="L779" s="131"/>
      <c r="M779" s="131"/>
      <c r="N779" s="131"/>
      <c r="O779" s="131"/>
      <c r="P779" s="131"/>
      <c r="Q779" s="131"/>
      <c r="R779" s="131"/>
      <c r="S779" s="131"/>
      <c r="T779" s="131"/>
      <c r="U779" s="131"/>
      <c r="V779" s="131"/>
      <c r="W779" s="131"/>
      <c r="X779" s="131"/>
      <c r="Y779" s="131"/>
      <c r="Z779" s="203"/>
    </row>
    <row r="780">
      <c r="A780" s="262" t="s">
        <v>35</v>
      </c>
      <c r="B780" s="262" t="s">
        <v>73</v>
      </c>
      <c r="C780" s="262">
        <v>2755.0</v>
      </c>
      <c r="D780" s="262">
        <v>13.64105682</v>
      </c>
      <c r="E780" s="260">
        <f t="shared" si="29"/>
        <v>818.4634092</v>
      </c>
      <c r="F780" s="132">
        <f t="shared" si="30"/>
        <v>0.5683773675</v>
      </c>
      <c r="G780" s="276" t="s">
        <v>1192</v>
      </c>
      <c r="H780" s="131"/>
      <c r="I780" s="131"/>
      <c r="J780" s="131"/>
      <c r="K780" s="131"/>
      <c r="L780" s="131"/>
      <c r="M780" s="131"/>
      <c r="N780" s="131"/>
      <c r="O780" s="131"/>
      <c r="P780" s="131"/>
      <c r="Q780" s="131"/>
      <c r="R780" s="131"/>
      <c r="S780" s="131"/>
      <c r="T780" s="131"/>
      <c r="U780" s="131"/>
      <c r="V780" s="131"/>
      <c r="W780" s="131"/>
      <c r="X780" s="131"/>
      <c r="Y780" s="131"/>
      <c r="Z780" s="203"/>
    </row>
    <row r="781">
      <c r="A781" s="262" t="s">
        <v>35</v>
      </c>
      <c r="B781" s="262" t="s">
        <v>74</v>
      </c>
      <c r="C781" s="262">
        <v>1262.0</v>
      </c>
      <c r="D781" s="262">
        <v>6.383451372</v>
      </c>
      <c r="E781" s="260">
        <f t="shared" si="29"/>
        <v>383.0070823</v>
      </c>
      <c r="F781" s="132">
        <f t="shared" si="30"/>
        <v>0.2659771405</v>
      </c>
      <c r="G781" s="276" t="s">
        <v>1193</v>
      </c>
      <c r="H781" s="131"/>
      <c r="I781" s="131"/>
      <c r="J781" s="131"/>
      <c r="K781" s="131"/>
      <c r="L781" s="131"/>
      <c r="M781" s="131"/>
      <c r="N781" s="131"/>
      <c r="O781" s="131"/>
      <c r="P781" s="131"/>
      <c r="Q781" s="131"/>
      <c r="R781" s="131"/>
      <c r="S781" s="131"/>
      <c r="T781" s="131"/>
      <c r="U781" s="131"/>
      <c r="V781" s="131"/>
      <c r="W781" s="131"/>
      <c r="X781" s="131"/>
      <c r="Y781" s="131"/>
      <c r="Z781" s="203"/>
    </row>
    <row r="782">
      <c r="A782" s="262" t="s">
        <v>35</v>
      </c>
      <c r="B782" s="262" t="s">
        <v>75</v>
      </c>
      <c r="C782" s="262">
        <v>1948.0</v>
      </c>
      <c r="D782" s="262">
        <v>9.628418142</v>
      </c>
      <c r="E782" s="260">
        <f t="shared" si="29"/>
        <v>577.7050885</v>
      </c>
      <c r="F782" s="132">
        <f t="shared" si="30"/>
        <v>0.4011840893</v>
      </c>
      <c r="G782" s="276" t="s">
        <v>1194</v>
      </c>
      <c r="H782" s="131"/>
      <c r="I782" s="131"/>
      <c r="J782" s="131"/>
      <c r="K782" s="131"/>
      <c r="L782" s="131"/>
      <c r="M782" s="131"/>
      <c r="N782" s="131"/>
      <c r="O782" s="131"/>
      <c r="P782" s="131"/>
      <c r="Q782" s="131"/>
      <c r="R782" s="131"/>
      <c r="S782" s="131"/>
      <c r="T782" s="131"/>
      <c r="U782" s="131"/>
      <c r="V782" s="131"/>
      <c r="W782" s="131"/>
      <c r="X782" s="131"/>
      <c r="Y782" s="131"/>
      <c r="Z782" s="203"/>
    </row>
    <row r="783">
      <c r="A783" s="262" t="s">
        <v>35</v>
      </c>
      <c r="B783" s="262" t="s">
        <v>425</v>
      </c>
      <c r="C783" s="262">
        <v>1964.0</v>
      </c>
      <c r="D783" s="262">
        <v>9.236271997</v>
      </c>
      <c r="E783" s="260">
        <f t="shared" si="29"/>
        <v>554.1763198</v>
      </c>
      <c r="F783" s="132">
        <f t="shared" si="30"/>
        <v>0.3848446665</v>
      </c>
      <c r="G783" s="276" t="s">
        <v>1195</v>
      </c>
      <c r="H783" s="131"/>
      <c r="I783" s="131"/>
      <c r="J783" s="131"/>
      <c r="K783" s="131"/>
      <c r="L783" s="131"/>
      <c r="M783" s="131"/>
      <c r="N783" s="131"/>
      <c r="O783" s="131"/>
      <c r="P783" s="131"/>
      <c r="Q783" s="131"/>
      <c r="R783" s="131"/>
      <c r="S783" s="131"/>
      <c r="T783" s="131"/>
      <c r="U783" s="131"/>
      <c r="V783" s="131"/>
      <c r="W783" s="131"/>
      <c r="X783" s="131"/>
      <c r="Y783" s="131"/>
      <c r="Z783" s="203"/>
    </row>
    <row r="784">
      <c r="A784" s="262" t="s">
        <v>35</v>
      </c>
      <c r="B784" s="262" t="s">
        <v>42</v>
      </c>
      <c r="C784" s="262">
        <v>2208.0</v>
      </c>
      <c r="D784" s="262">
        <v>10.5864992</v>
      </c>
      <c r="E784" s="260">
        <f t="shared" si="29"/>
        <v>635.189952</v>
      </c>
      <c r="F784" s="132">
        <f t="shared" si="30"/>
        <v>0.4411041333</v>
      </c>
      <c r="G784" s="276" t="s">
        <v>1196</v>
      </c>
      <c r="H784" s="131"/>
      <c r="I784" s="131"/>
      <c r="J784" s="131"/>
      <c r="K784" s="131"/>
      <c r="L784" s="131"/>
      <c r="M784" s="131"/>
      <c r="N784" s="131"/>
      <c r="O784" s="131"/>
      <c r="P784" s="131"/>
      <c r="Q784" s="131"/>
      <c r="R784" s="131"/>
      <c r="S784" s="131"/>
      <c r="T784" s="131"/>
      <c r="U784" s="131"/>
      <c r="V784" s="131"/>
      <c r="W784" s="131"/>
      <c r="X784" s="131"/>
      <c r="Y784" s="131"/>
      <c r="Z784" s="203"/>
    </row>
    <row r="785">
      <c r="A785" s="262" t="s">
        <v>35</v>
      </c>
      <c r="B785" s="262" t="s">
        <v>80</v>
      </c>
      <c r="C785" s="262">
        <v>2391.0</v>
      </c>
      <c r="D785" s="262">
        <v>12.14241337</v>
      </c>
      <c r="E785" s="260">
        <f t="shared" si="29"/>
        <v>728.5448022</v>
      </c>
      <c r="F785" s="132">
        <f t="shared" si="30"/>
        <v>0.5059338904</v>
      </c>
      <c r="G785" s="276" t="s">
        <v>1197</v>
      </c>
      <c r="H785" s="131"/>
      <c r="I785" s="131"/>
      <c r="J785" s="131"/>
      <c r="K785" s="131"/>
      <c r="L785" s="131"/>
      <c r="M785" s="131"/>
      <c r="N785" s="131"/>
      <c r="O785" s="131"/>
      <c r="P785" s="131"/>
      <c r="Q785" s="131"/>
      <c r="R785" s="131"/>
      <c r="S785" s="131"/>
      <c r="T785" s="131"/>
      <c r="U785" s="131"/>
      <c r="V785" s="131"/>
      <c r="W785" s="131"/>
      <c r="X785" s="131"/>
      <c r="Y785" s="131"/>
      <c r="Z785" s="203"/>
    </row>
    <row r="786">
      <c r="A786" s="262" t="s">
        <v>35</v>
      </c>
      <c r="B786" s="262" t="s">
        <v>82</v>
      </c>
      <c r="C786" s="262">
        <v>1903.0</v>
      </c>
      <c r="D786" s="262">
        <v>9.433783507</v>
      </c>
      <c r="E786" s="260">
        <f t="shared" si="29"/>
        <v>566.0270104</v>
      </c>
      <c r="F786" s="132">
        <f t="shared" si="30"/>
        <v>0.3930743128</v>
      </c>
      <c r="G786" s="276" t="s">
        <v>1198</v>
      </c>
      <c r="H786" s="131"/>
      <c r="I786" s="131"/>
      <c r="J786" s="131"/>
      <c r="K786" s="131"/>
      <c r="L786" s="131"/>
      <c r="M786" s="131"/>
      <c r="N786" s="131"/>
      <c r="O786" s="131"/>
      <c r="P786" s="131"/>
      <c r="Q786" s="131"/>
      <c r="R786" s="131"/>
      <c r="S786" s="131"/>
      <c r="T786" s="131"/>
      <c r="U786" s="131"/>
      <c r="V786" s="131"/>
      <c r="W786" s="131"/>
      <c r="X786" s="131"/>
      <c r="Y786" s="131"/>
      <c r="Z786" s="203"/>
    </row>
    <row r="787">
      <c r="A787" s="262" t="s">
        <v>35</v>
      </c>
      <c r="B787" s="262" t="s">
        <v>83</v>
      </c>
      <c r="C787" s="262">
        <v>2555.0</v>
      </c>
      <c r="D787" s="262">
        <v>12.58972068</v>
      </c>
      <c r="E787" s="260">
        <f t="shared" si="29"/>
        <v>755.3832408</v>
      </c>
      <c r="F787" s="132">
        <f t="shared" si="30"/>
        <v>0.524571695</v>
      </c>
      <c r="G787" s="276" t="s">
        <v>1199</v>
      </c>
      <c r="H787" s="131"/>
      <c r="I787" s="131"/>
      <c r="J787" s="131"/>
      <c r="K787" s="131"/>
      <c r="L787" s="131"/>
      <c r="M787" s="131"/>
      <c r="N787" s="131"/>
      <c r="O787" s="131"/>
      <c r="P787" s="131"/>
      <c r="Q787" s="131"/>
      <c r="R787" s="131"/>
      <c r="S787" s="131"/>
      <c r="T787" s="131"/>
      <c r="U787" s="131"/>
      <c r="V787" s="131"/>
      <c r="W787" s="131"/>
      <c r="X787" s="131"/>
      <c r="Y787" s="131"/>
      <c r="Z787" s="203"/>
    </row>
    <row r="788">
      <c r="A788" s="262" t="s">
        <v>35</v>
      </c>
      <c r="B788" s="262" t="s">
        <v>36</v>
      </c>
      <c r="C788" s="262">
        <v>957.0</v>
      </c>
      <c r="D788" s="262">
        <v>4.646386267</v>
      </c>
      <c r="E788" s="260">
        <f t="shared" si="29"/>
        <v>278.783176</v>
      </c>
      <c r="F788" s="132">
        <f t="shared" si="30"/>
        <v>0.1935994278</v>
      </c>
      <c r="G788" s="276" t="s">
        <v>1200</v>
      </c>
      <c r="H788" s="131"/>
      <c r="I788" s="131"/>
      <c r="J788" s="131"/>
      <c r="K788" s="131"/>
      <c r="L788" s="131"/>
      <c r="M788" s="131"/>
      <c r="N788" s="131"/>
      <c r="O788" s="131"/>
      <c r="P788" s="131"/>
      <c r="Q788" s="131"/>
      <c r="R788" s="131"/>
      <c r="S788" s="131"/>
      <c r="T788" s="131"/>
      <c r="U788" s="131"/>
      <c r="V788" s="131"/>
      <c r="W788" s="131"/>
      <c r="X788" s="131"/>
      <c r="Y788" s="131"/>
      <c r="Z788" s="203"/>
    </row>
    <row r="789">
      <c r="A789" s="262" t="s">
        <v>17</v>
      </c>
      <c r="B789" s="262" t="s">
        <v>84</v>
      </c>
      <c r="C789" s="262">
        <v>8284.0</v>
      </c>
      <c r="D789" s="262">
        <v>38.09463714</v>
      </c>
      <c r="E789" s="260">
        <f t="shared" si="29"/>
        <v>2285.678228</v>
      </c>
      <c r="F789" s="132">
        <f t="shared" si="30"/>
        <v>1.587276548</v>
      </c>
      <c r="G789" s="276" t="s">
        <v>1201</v>
      </c>
      <c r="H789" s="131"/>
      <c r="I789" s="131"/>
      <c r="J789" s="131"/>
      <c r="K789" s="131"/>
      <c r="L789" s="131"/>
      <c r="M789" s="131"/>
      <c r="N789" s="131"/>
      <c r="O789" s="131"/>
      <c r="P789" s="131"/>
      <c r="Q789" s="131"/>
      <c r="R789" s="131"/>
      <c r="S789" s="131"/>
      <c r="T789" s="131"/>
      <c r="U789" s="131"/>
      <c r="V789" s="131"/>
      <c r="W789" s="131"/>
      <c r="X789" s="131"/>
      <c r="Y789" s="131"/>
      <c r="Z789" s="203"/>
    </row>
    <row r="790">
      <c r="A790" s="262" t="s">
        <v>17</v>
      </c>
      <c r="B790" s="262" t="s">
        <v>85</v>
      </c>
      <c r="C790" s="262">
        <v>8599.0</v>
      </c>
      <c r="D790" s="262">
        <v>40.5852505</v>
      </c>
      <c r="E790" s="260">
        <f t="shared" si="29"/>
        <v>2435.11503</v>
      </c>
      <c r="F790" s="132">
        <f t="shared" si="30"/>
        <v>1.691052104</v>
      </c>
      <c r="G790" s="276" t="s">
        <v>1202</v>
      </c>
      <c r="H790" s="131"/>
      <c r="I790" s="131"/>
      <c r="J790" s="131"/>
      <c r="K790" s="131"/>
      <c r="L790" s="131"/>
      <c r="M790" s="131"/>
      <c r="N790" s="131"/>
      <c r="O790" s="131"/>
      <c r="P790" s="131"/>
      <c r="Q790" s="131"/>
      <c r="R790" s="131"/>
      <c r="S790" s="131"/>
      <c r="T790" s="131"/>
      <c r="U790" s="131"/>
      <c r="V790" s="131"/>
      <c r="W790" s="131"/>
      <c r="X790" s="131"/>
      <c r="Y790" s="131"/>
      <c r="Z790" s="203"/>
    </row>
    <row r="791">
      <c r="A791" s="262" t="s">
        <v>17</v>
      </c>
      <c r="B791" s="262" t="s">
        <v>79</v>
      </c>
      <c r="C791" s="262">
        <v>11825.0</v>
      </c>
      <c r="D791" s="262">
        <v>55.01730873</v>
      </c>
      <c r="E791" s="260">
        <f t="shared" si="29"/>
        <v>3301.038524</v>
      </c>
      <c r="F791" s="132">
        <f t="shared" si="30"/>
        <v>2.292387864</v>
      </c>
      <c r="G791" s="276" t="s">
        <v>1203</v>
      </c>
      <c r="H791" s="131"/>
      <c r="I791" s="131"/>
      <c r="J791" s="131"/>
      <c r="K791" s="131"/>
      <c r="L791" s="131"/>
      <c r="M791" s="131"/>
      <c r="N791" s="131"/>
      <c r="O791" s="131"/>
      <c r="P791" s="131"/>
      <c r="Q791" s="131"/>
      <c r="R791" s="131"/>
      <c r="S791" s="131"/>
      <c r="T791" s="131"/>
      <c r="U791" s="131"/>
      <c r="V791" s="131"/>
      <c r="W791" s="131"/>
      <c r="X791" s="131"/>
      <c r="Y791" s="131"/>
      <c r="Z791" s="203"/>
    </row>
    <row r="792">
      <c r="A792" s="262" t="s">
        <v>17</v>
      </c>
      <c r="B792" s="262" t="s">
        <v>18</v>
      </c>
      <c r="C792" s="262">
        <v>12242.0</v>
      </c>
      <c r="D792" s="262">
        <v>55.88905431</v>
      </c>
      <c r="E792" s="260">
        <f t="shared" si="29"/>
        <v>3353.343259</v>
      </c>
      <c r="F792" s="132">
        <f t="shared" si="30"/>
        <v>2.328710596</v>
      </c>
      <c r="G792" s="276" t="s">
        <v>1204</v>
      </c>
      <c r="H792" s="131"/>
      <c r="I792" s="131"/>
      <c r="J792" s="131"/>
      <c r="K792" s="131"/>
      <c r="L792" s="131"/>
      <c r="M792" s="131"/>
      <c r="N792" s="131"/>
      <c r="O792" s="131"/>
      <c r="P792" s="131"/>
      <c r="Q792" s="131"/>
      <c r="R792" s="131"/>
      <c r="S792" s="131"/>
      <c r="T792" s="131"/>
      <c r="U792" s="131"/>
      <c r="V792" s="131"/>
      <c r="W792" s="131"/>
      <c r="X792" s="131"/>
      <c r="Y792" s="131"/>
      <c r="Z792" s="203"/>
    </row>
    <row r="793">
      <c r="A793" s="262" t="s">
        <v>17</v>
      </c>
      <c r="B793" s="262" t="s">
        <v>23</v>
      </c>
      <c r="C793" s="262">
        <v>6942.0</v>
      </c>
      <c r="D793" s="262">
        <v>32.38529427</v>
      </c>
      <c r="E793" s="260">
        <f t="shared" si="29"/>
        <v>1943.117656</v>
      </c>
      <c r="F793" s="132">
        <f t="shared" si="30"/>
        <v>1.349387261</v>
      </c>
      <c r="G793" s="276" t="s">
        <v>1205</v>
      </c>
      <c r="H793" s="131"/>
      <c r="I793" s="131"/>
      <c r="J793" s="131"/>
      <c r="K793" s="131"/>
      <c r="L793" s="131"/>
      <c r="M793" s="131"/>
      <c r="N793" s="131"/>
      <c r="O793" s="131"/>
      <c r="P793" s="131"/>
      <c r="Q793" s="131"/>
      <c r="R793" s="131"/>
      <c r="S793" s="131"/>
      <c r="T793" s="131"/>
      <c r="U793" s="131"/>
      <c r="V793" s="131"/>
      <c r="W793" s="131"/>
      <c r="X793" s="131"/>
      <c r="Y793" s="131"/>
      <c r="Z793" s="203"/>
    </row>
    <row r="794">
      <c r="A794" s="262" t="s">
        <v>17</v>
      </c>
      <c r="B794" s="262" t="s">
        <v>86</v>
      </c>
      <c r="C794" s="262">
        <v>11795.0</v>
      </c>
      <c r="D794" s="262">
        <v>55.90526743</v>
      </c>
      <c r="E794" s="260">
        <f t="shared" si="29"/>
        <v>3354.316046</v>
      </c>
      <c r="F794" s="132">
        <f t="shared" si="30"/>
        <v>2.329386143</v>
      </c>
      <c r="G794" s="276" t="s">
        <v>1206</v>
      </c>
      <c r="H794" s="131"/>
      <c r="I794" s="131"/>
      <c r="J794" s="131"/>
      <c r="K794" s="131"/>
      <c r="L794" s="131"/>
      <c r="M794" s="131"/>
      <c r="N794" s="131"/>
      <c r="O794" s="131"/>
      <c r="P794" s="131"/>
      <c r="Q794" s="131"/>
      <c r="R794" s="131"/>
      <c r="S794" s="131"/>
      <c r="T794" s="131"/>
      <c r="U794" s="131"/>
      <c r="V794" s="131"/>
      <c r="W794" s="131"/>
      <c r="X794" s="131"/>
      <c r="Y794" s="131"/>
      <c r="Z794" s="203"/>
    </row>
    <row r="795">
      <c r="A795" s="262" t="s">
        <v>17</v>
      </c>
      <c r="B795" s="262" t="s">
        <v>87</v>
      </c>
      <c r="C795" s="262">
        <v>8261.0</v>
      </c>
      <c r="D795" s="262">
        <v>39.19842321</v>
      </c>
      <c r="E795" s="260">
        <f t="shared" si="29"/>
        <v>2351.905393</v>
      </c>
      <c r="F795" s="132">
        <f t="shared" si="30"/>
        <v>1.633267634</v>
      </c>
      <c r="G795" s="276" t="s">
        <v>1207</v>
      </c>
      <c r="H795" s="131"/>
      <c r="I795" s="131"/>
      <c r="J795" s="131"/>
      <c r="K795" s="131"/>
      <c r="L795" s="131"/>
      <c r="M795" s="131"/>
      <c r="N795" s="131"/>
      <c r="O795" s="131"/>
      <c r="P795" s="131"/>
      <c r="Q795" s="131"/>
      <c r="R795" s="131"/>
      <c r="S795" s="131"/>
      <c r="T795" s="131"/>
      <c r="U795" s="131"/>
      <c r="V795" s="131"/>
      <c r="W795" s="131"/>
      <c r="X795" s="131"/>
      <c r="Y795" s="131"/>
      <c r="Z795" s="203"/>
    </row>
    <row r="796">
      <c r="A796" s="262" t="s">
        <v>88</v>
      </c>
      <c r="B796" s="262" t="s">
        <v>89</v>
      </c>
      <c r="C796" s="262">
        <v>4298.0</v>
      </c>
      <c r="D796" s="262">
        <v>20.38314785</v>
      </c>
      <c r="E796" s="260">
        <f t="shared" si="29"/>
        <v>1222.988871</v>
      </c>
      <c r="F796" s="132">
        <f t="shared" si="30"/>
        <v>0.8492978271</v>
      </c>
      <c r="G796" s="276" t="s">
        <v>1208</v>
      </c>
      <c r="H796" s="131"/>
      <c r="I796" s="131"/>
      <c r="J796" s="131"/>
      <c r="K796" s="131"/>
      <c r="L796" s="131"/>
      <c r="M796" s="131"/>
      <c r="N796" s="131"/>
      <c r="O796" s="131"/>
      <c r="P796" s="131"/>
      <c r="Q796" s="131"/>
      <c r="R796" s="131"/>
      <c r="S796" s="131"/>
      <c r="T796" s="131"/>
      <c r="U796" s="131"/>
      <c r="V796" s="131"/>
      <c r="W796" s="131"/>
      <c r="X796" s="131"/>
      <c r="Y796" s="131"/>
      <c r="Z796" s="203"/>
    </row>
    <row r="797">
      <c r="A797" s="262" t="s">
        <v>88</v>
      </c>
      <c r="B797" s="262" t="s">
        <v>90</v>
      </c>
      <c r="C797" s="262">
        <v>5432.0</v>
      </c>
      <c r="D797" s="262">
        <v>25.34195229</v>
      </c>
      <c r="E797" s="260">
        <f t="shared" si="29"/>
        <v>1520.517137</v>
      </c>
      <c r="F797" s="132">
        <f t="shared" si="30"/>
        <v>1.055914679</v>
      </c>
      <c r="G797" s="276" t="s">
        <v>1209</v>
      </c>
      <c r="H797" s="131"/>
      <c r="I797" s="131"/>
      <c r="J797" s="131"/>
      <c r="K797" s="131"/>
      <c r="L797" s="131"/>
      <c r="M797" s="131"/>
      <c r="N797" s="131"/>
      <c r="O797" s="131"/>
      <c r="P797" s="131"/>
      <c r="Q797" s="131"/>
      <c r="R797" s="131"/>
      <c r="S797" s="131"/>
      <c r="T797" s="131"/>
      <c r="U797" s="131"/>
      <c r="V797" s="131"/>
      <c r="W797" s="131"/>
      <c r="X797" s="131"/>
      <c r="Y797" s="131"/>
      <c r="Z797" s="203"/>
    </row>
    <row r="798">
      <c r="A798" s="262" t="s">
        <v>729</v>
      </c>
      <c r="B798" s="262" t="s">
        <v>78</v>
      </c>
      <c r="C798" s="262">
        <v>1289.0</v>
      </c>
      <c r="D798" s="262">
        <v>5.929024618</v>
      </c>
      <c r="E798" s="260">
        <f t="shared" si="29"/>
        <v>355.7414771</v>
      </c>
      <c r="F798" s="132">
        <f t="shared" si="30"/>
        <v>0.2470426924</v>
      </c>
      <c r="G798" s="276" t="s">
        <v>1210</v>
      </c>
      <c r="H798" s="131"/>
      <c r="I798" s="131"/>
      <c r="J798" s="131"/>
      <c r="K798" s="131"/>
      <c r="L798" s="131"/>
      <c r="M798" s="131"/>
      <c r="N798" s="131"/>
      <c r="O798" s="131"/>
      <c r="P798" s="131"/>
      <c r="Q798" s="131"/>
      <c r="R798" s="131"/>
      <c r="S798" s="131"/>
      <c r="T798" s="131"/>
      <c r="U798" s="131"/>
      <c r="V798" s="131"/>
      <c r="W798" s="131"/>
      <c r="X798" s="131"/>
      <c r="Y798" s="131"/>
      <c r="Z798" s="203"/>
    </row>
    <row r="799">
      <c r="A799" s="262" t="s">
        <v>729</v>
      </c>
      <c r="B799" s="262" t="s">
        <v>91</v>
      </c>
      <c r="C799" s="262">
        <v>1163.0</v>
      </c>
      <c r="D799" s="262">
        <v>5.467319288</v>
      </c>
      <c r="E799" s="260">
        <f t="shared" si="29"/>
        <v>328.0391573</v>
      </c>
      <c r="F799" s="132">
        <f t="shared" si="30"/>
        <v>0.2278049703</v>
      </c>
      <c r="G799" s="276" t="s">
        <v>1211</v>
      </c>
      <c r="H799" s="131"/>
      <c r="I799" s="131"/>
      <c r="J799" s="131"/>
      <c r="K799" s="131"/>
      <c r="L799" s="131"/>
      <c r="M799" s="131"/>
      <c r="N799" s="131"/>
      <c r="O799" s="131"/>
      <c r="P799" s="131"/>
      <c r="Q799" s="131"/>
      <c r="R799" s="131"/>
      <c r="S799" s="131"/>
      <c r="T799" s="131"/>
      <c r="U799" s="131"/>
      <c r="V799" s="131"/>
      <c r="W799" s="131"/>
      <c r="X799" s="131"/>
      <c r="Y799" s="131"/>
      <c r="Z799" s="203"/>
    </row>
    <row r="800">
      <c r="A800" s="262" t="s">
        <v>67</v>
      </c>
      <c r="B800" s="262" t="s">
        <v>426</v>
      </c>
      <c r="C800" s="262">
        <v>4273.0</v>
      </c>
      <c r="D800" s="262">
        <v>20.86552484</v>
      </c>
      <c r="E800" s="260">
        <f t="shared" si="29"/>
        <v>1251.93149</v>
      </c>
      <c r="F800" s="132">
        <f t="shared" si="30"/>
        <v>0.8693968683</v>
      </c>
      <c r="G800" s="276" t="s">
        <v>1212</v>
      </c>
      <c r="H800" s="131"/>
      <c r="I800" s="131"/>
      <c r="J800" s="131"/>
      <c r="K800" s="131"/>
      <c r="L800" s="131"/>
      <c r="M800" s="131"/>
      <c r="N800" s="131"/>
      <c r="O800" s="131"/>
      <c r="P800" s="131"/>
      <c r="Q800" s="131"/>
      <c r="R800" s="131"/>
      <c r="S800" s="131"/>
      <c r="T800" s="131"/>
      <c r="U800" s="131"/>
      <c r="V800" s="131"/>
      <c r="W800" s="131"/>
      <c r="X800" s="131"/>
      <c r="Y800" s="131"/>
      <c r="Z800" s="203"/>
    </row>
    <row r="801">
      <c r="A801" s="262" t="s">
        <v>67</v>
      </c>
      <c r="B801" s="262" t="s">
        <v>93</v>
      </c>
      <c r="C801" s="262">
        <v>4473.0</v>
      </c>
      <c r="D801" s="262">
        <v>22.14838181</v>
      </c>
      <c r="E801" s="260">
        <f t="shared" si="29"/>
        <v>1328.902909</v>
      </c>
      <c r="F801" s="132">
        <f t="shared" si="30"/>
        <v>0.9228492421</v>
      </c>
      <c r="G801" s="276" t="s">
        <v>1213</v>
      </c>
      <c r="H801" s="131"/>
      <c r="I801" s="131"/>
      <c r="J801" s="131"/>
      <c r="K801" s="131"/>
      <c r="L801" s="131"/>
      <c r="M801" s="131"/>
      <c r="N801" s="131"/>
      <c r="O801" s="131"/>
      <c r="P801" s="131"/>
      <c r="Q801" s="131"/>
      <c r="R801" s="131"/>
      <c r="S801" s="131"/>
      <c r="T801" s="131"/>
      <c r="U801" s="131"/>
      <c r="V801" s="131"/>
      <c r="W801" s="131"/>
      <c r="X801" s="131"/>
      <c r="Y801" s="131"/>
      <c r="Z801" s="203"/>
    </row>
    <row r="802">
      <c r="A802" s="262" t="s">
        <v>474</v>
      </c>
      <c r="B802" s="262" t="s">
        <v>94</v>
      </c>
      <c r="C802" s="262">
        <v>11237.0</v>
      </c>
      <c r="D802" s="262">
        <v>54.27926405</v>
      </c>
      <c r="E802" s="260">
        <f t="shared" si="29"/>
        <v>3256.755843</v>
      </c>
      <c r="F802" s="132">
        <f t="shared" si="30"/>
        <v>2.261636002</v>
      </c>
      <c r="G802" s="276" t="s">
        <v>1214</v>
      </c>
      <c r="H802" s="131"/>
      <c r="I802" s="131"/>
      <c r="J802" s="131"/>
      <c r="K802" s="131"/>
      <c r="L802" s="131"/>
      <c r="M802" s="131"/>
      <c r="N802" s="131"/>
      <c r="O802" s="131"/>
      <c r="P802" s="131"/>
      <c r="Q802" s="131"/>
      <c r="R802" s="131"/>
      <c r="S802" s="131"/>
      <c r="T802" s="131"/>
      <c r="U802" s="131"/>
      <c r="V802" s="131"/>
      <c r="W802" s="131"/>
      <c r="X802" s="131"/>
      <c r="Y802" s="131"/>
      <c r="Z802" s="203"/>
    </row>
    <row r="803">
      <c r="A803" s="262" t="s">
        <v>474</v>
      </c>
      <c r="B803" s="262" t="s">
        <v>95</v>
      </c>
      <c r="C803" s="262">
        <v>4235.0</v>
      </c>
      <c r="D803" s="262">
        <v>20.31373351</v>
      </c>
      <c r="E803" s="260">
        <f t="shared" si="29"/>
        <v>1218.824011</v>
      </c>
      <c r="F803" s="132">
        <f t="shared" si="30"/>
        <v>0.8464055629</v>
      </c>
      <c r="G803" s="276" t="s">
        <v>1215</v>
      </c>
      <c r="H803" s="131"/>
      <c r="I803" s="131"/>
      <c r="J803" s="131"/>
      <c r="K803" s="131"/>
      <c r="L803" s="131"/>
      <c r="M803" s="131"/>
      <c r="N803" s="131"/>
      <c r="O803" s="131"/>
      <c r="P803" s="131"/>
      <c r="Q803" s="131"/>
      <c r="R803" s="131"/>
      <c r="S803" s="131"/>
      <c r="T803" s="131"/>
      <c r="U803" s="131"/>
      <c r="V803" s="131"/>
      <c r="W803" s="131"/>
      <c r="X803" s="131"/>
      <c r="Y803" s="131"/>
      <c r="Z803" s="203"/>
    </row>
    <row r="804">
      <c r="A804" s="262" t="s">
        <v>474</v>
      </c>
      <c r="B804" s="262" t="s">
        <v>96</v>
      </c>
      <c r="C804" s="262">
        <v>13154.0</v>
      </c>
      <c r="D804" s="262">
        <v>62.04462052</v>
      </c>
      <c r="E804" s="260">
        <f t="shared" si="29"/>
        <v>3722.677231</v>
      </c>
      <c r="F804" s="132">
        <f t="shared" si="30"/>
        <v>2.585192522</v>
      </c>
      <c r="G804" s="276" t="s">
        <v>1216</v>
      </c>
      <c r="H804" s="131"/>
      <c r="I804" s="131"/>
      <c r="J804" s="131"/>
      <c r="K804" s="131"/>
      <c r="L804" s="131"/>
      <c r="M804" s="131"/>
      <c r="N804" s="131"/>
      <c r="O804" s="131"/>
      <c r="P804" s="131"/>
      <c r="Q804" s="131"/>
      <c r="R804" s="131"/>
      <c r="S804" s="131"/>
      <c r="T804" s="131"/>
      <c r="U804" s="131"/>
      <c r="V804" s="131"/>
      <c r="W804" s="131"/>
      <c r="X804" s="131"/>
      <c r="Y804" s="131"/>
      <c r="Z804" s="203"/>
    </row>
    <row r="805">
      <c r="A805" s="262" t="s">
        <v>474</v>
      </c>
      <c r="B805" s="262" t="s">
        <v>92</v>
      </c>
      <c r="C805" s="262">
        <v>6988.0</v>
      </c>
      <c r="D805" s="262">
        <v>32.41690233</v>
      </c>
      <c r="E805" s="260">
        <f t="shared" si="29"/>
        <v>1945.01414</v>
      </c>
      <c r="F805" s="132">
        <f t="shared" si="30"/>
        <v>1.350704264</v>
      </c>
      <c r="G805" s="276" t="s">
        <v>1217</v>
      </c>
      <c r="H805" s="131"/>
      <c r="I805" s="131"/>
      <c r="J805" s="131"/>
      <c r="K805" s="131"/>
      <c r="L805" s="131"/>
      <c r="M805" s="131"/>
      <c r="N805" s="131"/>
      <c r="O805" s="131"/>
      <c r="P805" s="131"/>
      <c r="Q805" s="131"/>
      <c r="R805" s="131"/>
      <c r="S805" s="131"/>
      <c r="T805" s="131"/>
      <c r="U805" s="131"/>
      <c r="V805" s="131"/>
      <c r="W805" s="131"/>
      <c r="X805" s="131"/>
      <c r="Y805" s="131"/>
      <c r="Z805" s="203"/>
    </row>
    <row r="806">
      <c r="A806" s="262" t="s">
        <v>474</v>
      </c>
      <c r="B806" s="262" t="s">
        <v>97</v>
      </c>
      <c r="C806" s="262">
        <v>6293.0</v>
      </c>
      <c r="D806" s="262">
        <v>30.28592309</v>
      </c>
      <c r="E806" s="260">
        <f t="shared" si="29"/>
        <v>1817.155385</v>
      </c>
      <c r="F806" s="132">
        <f t="shared" si="30"/>
        <v>1.261913462</v>
      </c>
      <c r="G806" s="276" t="s">
        <v>1218</v>
      </c>
      <c r="H806" s="131"/>
      <c r="I806" s="131"/>
      <c r="J806" s="131"/>
      <c r="K806" s="131"/>
      <c r="L806" s="131"/>
      <c r="M806" s="131"/>
      <c r="N806" s="131"/>
      <c r="O806" s="131"/>
      <c r="P806" s="131"/>
      <c r="Q806" s="131"/>
      <c r="R806" s="131"/>
      <c r="S806" s="131"/>
      <c r="T806" s="131"/>
      <c r="U806" s="131"/>
      <c r="V806" s="131"/>
      <c r="W806" s="131"/>
      <c r="X806" s="131"/>
      <c r="Y806" s="131"/>
      <c r="Z806" s="203"/>
    </row>
    <row r="807">
      <c r="A807" s="262" t="s">
        <v>474</v>
      </c>
      <c r="B807" s="262" t="s">
        <v>57</v>
      </c>
      <c r="C807" s="262">
        <v>11780.0</v>
      </c>
      <c r="D807" s="262">
        <v>53.72295462</v>
      </c>
      <c r="E807" s="260">
        <f t="shared" si="29"/>
        <v>3223.377277</v>
      </c>
      <c r="F807" s="132">
        <f t="shared" si="30"/>
        <v>2.238456443</v>
      </c>
      <c r="G807" s="276" t="s">
        <v>1219</v>
      </c>
      <c r="H807" s="131"/>
      <c r="I807" s="131"/>
      <c r="J807" s="131"/>
      <c r="K807" s="131"/>
      <c r="L807" s="131"/>
      <c r="M807" s="131"/>
      <c r="N807" s="131"/>
      <c r="O807" s="131"/>
      <c r="P807" s="131"/>
      <c r="Q807" s="131"/>
      <c r="R807" s="131"/>
      <c r="S807" s="131"/>
      <c r="T807" s="131"/>
      <c r="U807" s="131"/>
      <c r="V807" s="131"/>
      <c r="W807" s="131"/>
      <c r="X807" s="131"/>
      <c r="Y807" s="131"/>
      <c r="Z807" s="203"/>
    </row>
    <row r="808">
      <c r="A808" s="262" t="s">
        <v>474</v>
      </c>
      <c r="B808" s="262" t="s">
        <v>98</v>
      </c>
      <c r="C808" s="262">
        <v>14476.0</v>
      </c>
      <c r="D808" s="262">
        <v>68.81339974</v>
      </c>
      <c r="E808" s="260">
        <f t="shared" si="29"/>
        <v>4128.803984</v>
      </c>
      <c r="F808" s="132">
        <f t="shared" si="30"/>
        <v>2.867224989</v>
      </c>
      <c r="G808" s="276" t="s">
        <v>1220</v>
      </c>
      <c r="H808" s="131"/>
      <c r="I808" s="131"/>
      <c r="J808" s="131"/>
      <c r="K808" s="131"/>
      <c r="L808" s="131"/>
      <c r="M808" s="131"/>
      <c r="N808" s="131"/>
      <c r="O808" s="131"/>
      <c r="P808" s="131"/>
      <c r="Q808" s="131"/>
      <c r="R808" s="131"/>
      <c r="S808" s="131"/>
      <c r="T808" s="131"/>
      <c r="U808" s="131"/>
      <c r="V808" s="131"/>
      <c r="W808" s="131"/>
      <c r="X808" s="131"/>
      <c r="Y808" s="131"/>
      <c r="Z808" s="203"/>
    </row>
    <row r="809">
      <c r="A809" s="262" t="s">
        <v>474</v>
      </c>
      <c r="B809" s="262" t="s">
        <v>428</v>
      </c>
      <c r="C809" s="262">
        <v>9630.0</v>
      </c>
      <c r="D809" s="262">
        <v>45.14137925</v>
      </c>
      <c r="E809" s="260">
        <f t="shared" si="29"/>
        <v>2708.482755</v>
      </c>
      <c r="F809" s="132">
        <f t="shared" si="30"/>
        <v>1.880890802</v>
      </c>
      <c r="G809" s="276" t="s">
        <v>1221</v>
      </c>
      <c r="H809" s="131"/>
      <c r="I809" s="131"/>
      <c r="J809" s="131"/>
      <c r="K809" s="131"/>
      <c r="L809" s="131"/>
      <c r="M809" s="131"/>
      <c r="N809" s="131"/>
      <c r="O809" s="131"/>
      <c r="P809" s="131"/>
      <c r="Q809" s="131"/>
      <c r="R809" s="131"/>
      <c r="S809" s="131"/>
      <c r="T809" s="131"/>
      <c r="U809" s="131"/>
      <c r="V809" s="131"/>
      <c r="W809" s="131"/>
      <c r="X809" s="131"/>
      <c r="Y809" s="131"/>
      <c r="Z809" s="203"/>
    </row>
    <row r="810">
      <c r="A810" s="262" t="s">
        <v>474</v>
      </c>
      <c r="B810" s="262" t="s">
        <v>99</v>
      </c>
      <c r="C810" s="262">
        <v>5743.0</v>
      </c>
      <c r="D810" s="262">
        <v>26.81154309</v>
      </c>
      <c r="E810" s="260">
        <f t="shared" si="29"/>
        <v>1608.692585</v>
      </c>
      <c r="F810" s="132">
        <f t="shared" si="30"/>
        <v>1.117147629</v>
      </c>
      <c r="G810" s="276" t="s">
        <v>1222</v>
      </c>
      <c r="H810" s="131"/>
      <c r="I810" s="131"/>
      <c r="J810" s="131"/>
      <c r="K810" s="131"/>
      <c r="L810" s="131"/>
      <c r="M810" s="131"/>
      <c r="N810" s="131"/>
      <c r="O810" s="131"/>
      <c r="P810" s="131"/>
      <c r="Q810" s="131"/>
      <c r="R810" s="131"/>
      <c r="S810" s="131"/>
      <c r="T810" s="131"/>
      <c r="U810" s="131"/>
      <c r="V810" s="131"/>
      <c r="W810" s="131"/>
      <c r="X810" s="131"/>
      <c r="Y810" s="131"/>
      <c r="Z810" s="203"/>
    </row>
    <row r="811">
      <c r="A811" s="262" t="s">
        <v>474</v>
      </c>
      <c r="B811" s="262" t="s">
        <v>61</v>
      </c>
      <c r="C811" s="262">
        <v>3123.0</v>
      </c>
      <c r="D811" s="262">
        <v>14.45994451</v>
      </c>
      <c r="E811" s="260">
        <f t="shared" si="29"/>
        <v>867.5966706</v>
      </c>
      <c r="F811" s="132">
        <f t="shared" si="30"/>
        <v>0.6024976879</v>
      </c>
      <c r="G811" s="276" t="s">
        <v>1223</v>
      </c>
      <c r="H811" s="131"/>
      <c r="I811" s="131"/>
      <c r="J811" s="131"/>
      <c r="K811" s="131"/>
      <c r="L811" s="131"/>
      <c r="M811" s="131"/>
      <c r="N811" s="131"/>
      <c r="O811" s="131"/>
      <c r="P811" s="131"/>
      <c r="Q811" s="131"/>
      <c r="R811" s="131"/>
      <c r="S811" s="131"/>
      <c r="T811" s="131"/>
      <c r="U811" s="131"/>
      <c r="V811" s="131"/>
      <c r="W811" s="131"/>
      <c r="X811" s="131"/>
      <c r="Y811" s="131"/>
      <c r="Z811" s="203"/>
    </row>
    <row r="812">
      <c r="A812" s="262" t="s">
        <v>429</v>
      </c>
      <c r="B812" s="262" t="s">
        <v>430</v>
      </c>
      <c r="C812" s="262">
        <v>6358.0</v>
      </c>
      <c r="D812" s="262">
        <v>31.39648432</v>
      </c>
      <c r="E812" s="260">
        <f t="shared" si="29"/>
        <v>1883.789059</v>
      </c>
      <c r="F812" s="132">
        <f t="shared" si="30"/>
        <v>1.308186847</v>
      </c>
      <c r="G812" s="276" t="s">
        <v>1224</v>
      </c>
      <c r="H812" s="131"/>
      <c r="I812" s="131"/>
      <c r="J812" s="131"/>
      <c r="K812" s="131"/>
      <c r="L812" s="131"/>
      <c r="M812" s="131"/>
      <c r="N812" s="131"/>
      <c r="O812" s="131"/>
      <c r="P812" s="131"/>
      <c r="Q812" s="131"/>
      <c r="R812" s="131"/>
      <c r="S812" s="131"/>
      <c r="T812" s="131"/>
      <c r="U812" s="131"/>
      <c r="V812" s="131"/>
      <c r="W812" s="131"/>
      <c r="X812" s="131"/>
      <c r="Y812" s="131"/>
      <c r="Z812" s="203"/>
    </row>
    <row r="813">
      <c r="A813" s="262" t="s">
        <v>429</v>
      </c>
      <c r="B813" s="262" t="s">
        <v>101</v>
      </c>
      <c r="C813" s="262">
        <v>5298.0</v>
      </c>
      <c r="D813" s="262">
        <v>25.57082993</v>
      </c>
      <c r="E813" s="260">
        <f t="shared" si="29"/>
        <v>1534.249796</v>
      </c>
      <c r="F813" s="132">
        <f t="shared" si="30"/>
        <v>1.065451247</v>
      </c>
      <c r="G813" s="276" t="s">
        <v>1225</v>
      </c>
      <c r="H813" s="131"/>
      <c r="I813" s="131"/>
      <c r="J813" s="131"/>
      <c r="K813" s="131"/>
      <c r="L813" s="131"/>
      <c r="M813" s="131"/>
      <c r="N813" s="131"/>
      <c r="O813" s="131"/>
      <c r="P813" s="131"/>
      <c r="Q813" s="131"/>
      <c r="R813" s="131"/>
      <c r="S813" s="131"/>
      <c r="T813" s="131"/>
      <c r="U813" s="131"/>
      <c r="V813" s="131"/>
      <c r="W813" s="131"/>
      <c r="X813" s="131"/>
      <c r="Y813" s="131"/>
      <c r="Z813" s="203"/>
    </row>
    <row r="814">
      <c r="A814" s="262" t="s">
        <v>429</v>
      </c>
      <c r="B814" s="262" t="s">
        <v>102</v>
      </c>
      <c r="C814" s="262">
        <v>4795.0</v>
      </c>
      <c r="D814" s="281">
        <v>22.21224797</v>
      </c>
      <c r="E814" s="260">
        <f t="shared" si="29"/>
        <v>1332.734878</v>
      </c>
      <c r="F814" s="132">
        <f t="shared" si="30"/>
        <v>0.9255103321</v>
      </c>
      <c r="G814" s="276" t="s">
        <v>1226</v>
      </c>
      <c r="H814" s="131"/>
      <c r="I814" s="131"/>
      <c r="J814" s="131"/>
      <c r="K814" s="131"/>
      <c r="L814" s="131"/>
      <c r="M814" s="131"/>
      <c r="N814" s="131"/>
      <c r="O814" s="131"/>
      <c r="P814" s="131"/>
      <c r="Q814" s="131"/>
      <c r="R814" s="131"/>
      <c r="S814" s="131"/>
      <c r="T814" s="131"/>
      <c r="U814" s="131"/>
      <c r="V814" s="131"/>
      <c r="W814" s="131"/>
      <c r="X814" s="131"/>
      <c r="Y814" s="131"/>
      <c r="Z814" s="203"/>
    </row>
    <row r="815">
      <c r="A815" s="262" t="s">
        <v>429</v>
      </c>
      <c r="B815" s="262" t="s">
        <v>29</v>
      </c>
      <c r="C815" s="262">
        <v>6017.0</v>
      </c>
      <c r="D815" s="262">
        <v>27.03892682</v>
      </c>
      <c r="E815" s="260">
        <f t="shared" si="29"/>
        <v>1622.335609</v>
      </c>
      <c r="F815" s="132">
        <f t="shared" si="30"/>
        <v>1.126621951</v>
      </c>
      <c r="G815" s="276" t="s">
        <v>1227</v>
      </c>
      <c r="H815" s="131"/>
      <c r="I815" s="131"/>
      <c r="J815" s="131"/>
      <c r="K815" s="131"/>
      <c r="L815" s="131"/>
      <c r="M815" s="131"/>
      <c r="N815" s="131"/>
      <c r="O815" s="131"/>
      <c r="P815" s="131"/>
      <c r="Q815" s="131"/>
      <c r="R815" s="131"/>
      <c r="S815" s="131"/>
      <c r="T815" s="131"/>
      <c r="U815" s="131"/>
      <c r="V815" s="131"/>
      <c r="W815" s="131"/>
      <c r="X815" s="131"/>
      <c r="Y815" s="131"/>
      <c r="Z815" s="203"/>
    </row>
    <row r="816">
      <c r="A816" s="262" t="s">
        <v>429</v>
      </c>
      <c r="B816" s="262" t="s">
        <v>103</v>
      </c>
      <c r="C816" s="262">
        <v>6799.0</v>
      </c>
      <c r="D816" s="262">
        <v>32.8406637</v>
      </c>
      <c r="E816" s="260">
        <f t="shared" si="29"/>
        <v>1970.439822</v>
      </c>
      <c r="F816" s="132">
        <f t="shared" si="30"/>
        <v>1.368360988</v>
      </c>
      <c r="G816" s="276" t="s">
        <v>1228</v>
      </c>
      <c r="H816" s="131"/>
      <c r="I816" s="131"/>
      <c r="J816" s="131"/>
      <c r="K816" s="131"/>
      <c r="L816" s="131"/>
      <c r="M816" s="131"/>
      <c r="N816" s="131"/>
      <c r="O816" s="131"/>
      <c r="P816" s="131"/>
      <c r="Q816" s="131"/>
      <c r="R816" s="131"/>
      <c r="S816" s="131"/>
      <c r="T816" s="131"/>
      <c r="U816" s="131"/>
      <c r="V816" s="131"/>
      <c r="W816" s="131"/>
      <c r="X816" s="131"/>
      <c r="Y816" s="131"/>
      <c r="Z816" s="203"/>
    </row>
    <row r="817">
      <c r="A817" s="262" t="s">
        <v>429</v>
      </c>
      <c r="B817" s="262" t="s">
        <v>465</v>
      </c>
      <c r="C817" s="262">
        <v>4985.0</v>
      </c>
      <c r="D817" s="262">
        <v>23.13735773</v>
      </c>
      <c r="E817" s="260">
        <f t="shared" si="29"/>
        <v>1388.241464</v>
      </c>
      <c r="F817" s="132">
        <f t="shared" si="30"/>
        <v>0.9640565721</v>
      </c>
      <c r="G817" s="276" t="s">
        <v>1229</v>
      </c>
      <c r="H817" s="131"/>
      <c r="I817" s="131"/>
      <c r="J817" s="131"/>
      <c r="K817" s="131"/>
      <c r="L817" s="131"/>
      <c r="M817" s="131"/>
      <c r="N817" s="131"/>
      <c r="O817" s="131"/>
      <c r="P817" s="131"/>
      <c r="Q817" s="131"/>
      <c r="R817" s="131"/>
      <c r="S817" s="131"/>
      <c r="T817" s="131"/>
      <c r="U817" s="131"/>
      <c r="V817" s="131"/>
      <c r="W817" s="131"/>
      <c r="X817" s="131"/>
      <c r="Y817" s="131"/>
      <c r="Z817" s="203"/>
    </row>
    <row r="818">
      <c r="A818" s="262" t="s">
        <v>429</v>
      </c>
      <c r="B818" s="262" t="s">
        <v>432</v>
      </c>
      <c r="C818" s="262">
        <v>4868.0</v>
      </c>
      <c r="D818" s="262">
        <v>21.9363234</v>
      </c>
      <c r="E818" s="260">
        <f t="shared" si="29"/>
        <v>1316.179404</v>
      </c>
      <c r="F818" s="132">
        <f t="shared" si="30"/>
        <v>0.914013475</v>
      </c>
      <c r="G818" s="276" t="s">
        <v>1230</v>
      </c>
      <c r="H818" s="131"/>
      <c r="I818" s="131"/>
      <c r="J818" s="131"/>
      <c r="K818" s="131"/>
      <c r="L818" s="131"/>
      <c r="M818" s="131"/>
      <c r="N818" s="131"/>
      <c r="O818" s="131"/>
      <c r="P818" s="131"/>
      <c r="Q818" s="131"/>
      <c r="R818" s="131"/>
      <c r="S818" s="131"/>
      <c r="T818" s="131"/>
      <c r="U818" s="131"/>
      <c r="V818" s="131"/>
      <c r="W818" s="131"/>
      <c r="X818" s="131"/>
      <c r="Y818" s="131"/>
      <c r="Z818" s="203"/>
    </row>
    <row r="819">
      <c r="A819" s="262" t="s">
        <v>429</v>
      </c>
      <c r="B819" s="262" t="s">
        <v>105</v>
      </c>
      <c r="C819" s="262">
        <v>6184.0</v>
      </c>
      <c r="D819" s="262">
        <v>27.80410028</v>
      </c>
      <c r="E819" s="260">
        <f t="shared" si="29"/>
        <v>1668.246017</v>
      </c>
      <c r="F819" s="132">
        <f t="shared" si="30"/>
        <v>1.158504178</v>
      </c>
      <c r="G819" s="276" t="s">
        <v>1231</v>
      </c>
      <c r="H819" s="131"/>
      <c r="I819" s="131"/>
      <c r="J819" s="131"/>
      <c r="K819" s="131"/>
      <c r="L819" s="131"/>
      <c r="M819" s="131"/>
      <c r="N819" s="131"/>
      <c r="O819" s="131"/>
      <c r="P819" s="131"/>
      <c r="Q819" s="131"/>
      <c r="R819" s="131"/>
      <c r="S819" s="131"/>
      <c r="T819" s="131"/>
      <c r="U819" s="131"/>
      <c r="V819" s="131"/>
      <c r="W819" s="131"/>
      <c r="X819" s="131"/>
      <c r="Y819" s="131"/>
      <c r="Z819" s="203"/>
    </row>
    <row r="820">
      <c r="A820" s="131"/>
      <c r="B820" s="131"/>
      <c r="C820" s="131">
        <f>sum(C740:C819)</f>
        <v>432276</v>
      </c>
      <c r="D820" s="212" t="s">
        <v>484</v>
      </c>
      <c r="E820" s="222">
        <f>SUM(E740:E819)</f>
        <v>122433.5619</v>
      </c>
      <c r="F820" s="132">
        <f t="shared" si="30"/>
        <v>85.02330687</v>
      </c>
      <c r="G820" s="211"/>
      <c r="H820" s="131"/>
      <c r="I820" s="131"/>
      <c r="J820" s="131"/>
      <c r="K820" s="131"/>
      <c r="L820" s="131"/>
      <c r="M820" s="131"/>
      <c r="N820" s="131"/>
      <c r="O820" s="131"/>
      <c r="P820" s="131"/>
      <c r="Q820" s="131"/>
      <c r="R820" s="131"/>
      <c r="S820" s="131"/>
      <c r="T820" s="131"/>
      <c r="U820" s="131"/>
      <c r="V820" s="131"/>
      <c r="W820" s="131"/>
      <c r="X820" s="131"/>
      <c r="Y820" s="131"/>
      <c r="Z820" s="203"/>
    </row>
    <row r="821">
      <c r="A821" s="131"/>
      <c r="B821" s="131"/>
      <c r="C821" s="131"/>
      <c r="D821" s="131"/>
      <c r="E821" s="222"/>
      <c r="F821" s="132"/>
      <c r="G821" s="211"/>
      <c r="H821" s="131"/>
      <c r="I821" s="131"/>
      <c r="J821" s="131"/>
      <c r="K821" s="131"/>
      <c r="L821" s="131"/>
      <c r="M821" s="131"/>
      <c r="N821" s="131"/>
      <c r="O821" s="131"/>
      <c r="P821" s="131"/>
      <c r="Q821" s="131"/>
      <c r="R821" s="131"/>
      <c r="S821" s="131"/>
      <c r="T821" s="131"/>
      <c r="U821" s="131"/>
      <c r="V821" s="131"/>
      <c r="W821" s="131"/>
      <c r="X821" s="131"/>
      <c r="Y821" s="131"/>
      <c r="Z821" s="203"/>
    </row>
    <row r="822">
      <c r="A822" s="131"/>
      <c r="B822" s="131"/>
      <c r="C822" s="131"/>
      <c r="D822" s="131"/>
      <c r="E822" s="222"/>
      <c r="F822" s="132"/>
      <c r="G822" s="211"/>
      <c r="H822" s="131"/>
      <c r="I822" s="131"/>
      <c r="J822" s="131"/>
      <c r="K822" s="131"/>
      <c r="L822" s="131"/>
      <c r="M822" s="131"/>
      <c r="N822" s="131"/>
      <c r="O822" s="131"/>
      <c r="P822" s="131"/>
      <c r="Q822" s="131"/>
      <c r="R822" s="131"/>
      <c r="S822" s="131"/>
      <c r="T822" s="131"/>
      <c r="U822" s="131"/>
      <c r="V822" s="131"/>
      <c r="W822" s="131"/>
      <c r="X822" s="131"/>
      <c r="Y822" s="131"/>
      <c r="Z822" s="203"/>
    </row>
    <row r="823">
      <c r="A823" s="277" t="s">
        <v>1232</v>
      </c>
      <c r="B823" s="131"/>
      <c r="C823" s="131"/>
      <c r="D823" s="131"/>
      <c r="E823" s="222"/>
      <c r="F823" s="132"/>
      <c r="G823" s="211"/>
      <c r="H823" s="131"/>
      <c r="I823" s="131"/>
      <c r="J823" s="131"/>
      <c r="K823" s="131"/>
      <c r="L823" s="131"/>
      <c r="M823" s="131"/>
      <c r="N823" s="131"/>
      <c r="O823" s="131"/>
      <c r="P823" s="131"/>
      <c r="Q823" s="131"/>
      <c r="R823" s="131"/>
      <c r="S823" s="131"/>
      <c r="T823" s="131"/>
      <c r="U823" s="131"/>
      <c r="V823" s="131"/>
      <c r="W823" s="131"/>
      <c r="X823" s="131"/>
      <c r="Y823" s="131"/>
      <c r="Z823" s="203"/>
    </row>
    <row r="824">
      <c r="A824" s="131"/>
      <c r="B824" s="131"/>
      <c r="C824" s="131"/>
      <c r="D824" s="131"/>
      <c r="E824" s="222"/>
      <c r="F824" s="132"/>
      <c r="G824" s="211"/>
      <c r="H824" s="131"/>
      <c r="I824" s="131"/>
      <c r="J824" s="131"/>
      <c r="K824" s="131"/>
      <c r="L824" s="131"/>
      <c r="M824" s="131"/>
      <c r="N824" s="131"/>
      <c r="O824" s="131"/>
      <c r="P824" s="131"/>
      <c r="Q824" s="131"/>
      <c r="R824" s="131"/>
      <c r="S824" s="131"/>
      <c r="T824" s="131"/>
      <c r="U824" s="131"/>
      <c r="V824" s="131"/>
      <c r="W824" s="131"/>
      <c r="X824" s="131"/>
      <c r="Y824" s="131"/>
      <c r="Z824" s="203"/>
    </row>
    <row r="825">
      <c r="A825" s="268" t="s">
        <v>0</v>
      </c>
      <c r="B825" s="268" t="s">
        <v>362</v>
      </c>
      <c r="C825" s="239" t="s">
        <v>534</v>
      </c>
      <c r="D825" s="239" t="s">
        <v>420</v>
      </c>
      <c r="E825" s="259" t="s">
        <v>3</v>
      </c>
      <c r="F825" s="214" t="s">
        <v>470</v>
      </c>
      <c r="G825" s="140" t="s">
        <v>471</v>
      </c>
      <c r="H825" s="131"/>
      <c r="I825" s="131"/>
      <c r="J825" s="131"/>
      <c r="K825" s="131"/>
      <c r="L825" s="131"/>
      <c r="M825" s="131"/>
      <c r="N825" s="131"/>
      <c r="O825" s="131"/>
      <c r="P825" s="131"/>
      <c r="Q825" s="131"/>
      <c r="R825" s="131"/>
      <c r="S825" s="131"/>
      <c r="T825" s="131"/>
      <c r="U825" s="131"/>
      <c r="V825" s="131"/>
      <c r="W825" s="131"/>
      <c r="X825" s="131"/>
      <c r="Y825" s="131"/>
      <c r="Z825" s="203"/>
    </row>
    <row r="826">
      <c r="A826" s="262" t="s">
        <v>611</v>
      </c>
      <c r="B826" s="262" t="s">
        <v>48</v>
      </c>
      <c r="C826" s="262">
        <v>3305.0</v>
      </c>
      <c r="D826" s="262">
        <v>14.19653854</v>
      </c>
      <c r="E826" s="260">
        <f t="shared" ref="E826:E905" si="31">D826*60</f>
        <v>851.7923124</v>
      </c>
      <c r="F826" s="132">
        <f t="shared" ref="F826:F906" si="32">E826/24/60</f>
        <v>0.5915224392</v>
      </c>
      <c r="G826" s="278" t="s">
        <v>1233</v>
      </c>
      <c r="H826" s="131"/>
      <c r="I826" s="131"/>
      <c r="J826" s="131"/>
      <c r="K826" s="131"/>
      <c r="L826" s="131"/>
      <c r="M826" s="131"/>
      <c r="N826" s="131"/>
      <c r="O826" s="131"/>
      <c r="P826" s="131"/>
      <c r="Q826" s="131"/>
      <c r="R826" s="131"/>
      <c r="S826" s="131"/>
      <c r="T826" s="131"/>
      <c r="U826" s="131"/>
      <c r="V826" s="131"/>
      <c r="W826" s="131"/>
      <c r="X826" s="131"/>
      <c r="Y826" s="131"/>
      <c r="Z826" s="203"/>
    </row>
    <row r="827">
      <c r="A827" s="262" t="s">
        <v>611</v>
      </c>
      <c r="B827" s="262" t="s">
        <v>49</v>
      </c>
      <c r="C827" s="262">
        <v>2389.0</v>
      </c>
      <c r="D827" s="262">
        <v>10.58447637</v>
      </c>
      <c r="E827" s="260">
        <f t="shared" si="31"/>
        <v>635.0685822</v>
      </c>
      <c r="F827" s="132">
        <f t="shared" si="32"/>
        <v>0.4410198488</v>
      </c>
      <c r="G827" s="278" t="s">
        <v>1234</v>
      </c>
      <c r="H827" s="131"/>
      <c r="I827" s="131"/>
      <c r="J827" s="131"/>
      <c r="K827" s="131"/>
      <c r="L827" s="131"/>
      <c r="M827" s="131"/>
      <c r="N827" s="131"/>
      <c r="O827" s="131"/>
      <c r="P827" s="131"/>
      <c r="Q827" s="131"/>
      <c r="R827" s="131"/>
      <c r="S827" s="131"/>
      <c r="T827" s="131"/>
      <c r="U827" s="131"/>
      <c r="V827" s="131"/>
      <c r="W827" s="131"/>
      <c r="X827" s="131"/>
      <c r="Y827" s="131"/>
      <c r="Z827" s="203"/>
    </row>
    <row r="828">
      <c r="A828" s="262" t="s">
        <v>611</v>
      </c>
      <c r="B828" s="262" t="s">
        <v>50</v>
      </c>
      <c r="C828" s="262">
        <v>3700.0</v>
      </c>
      <c r="D828" s="262">
        <v>16.75677479</v>
      </c>
      <c r="E828" s="260">
        <f t="shared" si="31"/>
        <v>1005.406487</v>
      </c>
      <c r="F828" s="132">
        <f t="shared" si="32"/>
        <v>0.6981989496</v>
      </c>
      <c r="G828" s="276" t="s">
        <v>1235</v>
      </c>
      <c r="H828" s="131"/>
      <c r="I828" s="131"/>
      <c r="J828" s="131"/>
      <c r="K828" s="131"/>
      <c r="L828" s="131"/>
      <c r="M828" s="131"/>
      <c r="N828" s="131"/>
      <c r="O828" s="131"/>
      <c r="P828" s="131"/>
      <c r="Q828" s="131"/>
      <c r="R828" s="131"/>
      <c r="S828" s="131"/>
      <c r="T828" s="131"/>
      <c r="U828" s="131"/>
      <c r="V828" s="131"/>
      <c r="W828" s="131"/>
      <c r="X828" s="131"/>
      <c r="Y828" s="131"/>
      <c r="Z828" s="203"/>
    </row>
    <row r="829">
      <c r="A829" s="262" t="s">
        <v>611</v>
      </c>
      <c r="B829" s="262" t="s">
        <v>51</v>
      </c>
      <c r="C829" s="262">
        <v>1520.0</v>
      </c>
      <c r="D829" s="262">
        <v>6.861945243</v>
      </c>
      <c r="E829" s="260">
        <f t="shared" si="31"/>
        <v>411.7167146</v>
      </c>
      <c r="F829" s="132">
        <f t="shared" si="32"/>
        <v>0.2859143851</v>
      </c>
      <c r="G829" s="276" t="s">
        <v>1236</v>
      </c>
      <c r="H829" s="131"/>
      <c r="I829" s="131"/>
      <c r="J829" s="131"/>
      <c r="K829" s="131"/>
      <c r="L829" s="131"/>
      <c r="M829" s="131"/>
      <c r="N829" s="131"/>
      <c r="O829" s="131"/>
      <c r="P829" s="131"/>
      <c r="Q829" s="131"/>
      <c r="R829" s="131"/>
      <c r="S829" s="131"/>
      <c r="T829" s="131"/>
      <c r="U829" s="131"/>
      <c r="V829" s="131"/>
      <c r="W829" s="131"/>
      <c r="X829" s="131"/>
      <c r="Y829" s="131"/>
      <c r="Z829" s="203"/>
    </row>
    <row r="830">
      <c r="A830" s="262" t="s">
        <v>611</v>
      </c>
      <c r="B830" s="262" t="s">
        <v>52</v>
      </c>
      <c r="C830" s="262">
        <v>4418.0</v>
      </c>
      <c r="D830" s="262">
        <v>20.07724028</v>
      </c>
      <c r="E830" s="260">
        <f t="shared" si="31"/>
        <v>1204.634417</v>
      </c>
      <c r="F830" s="132">
        <f t="shared" si="32"/>
        <v>0.8365516783</v>
      </c>
      <c r="G830" s="276" t="s">
        <v>1237</v>
      </c>
      <c r="H830" s="131"/>
      <c r="I830" s="131"/>
      <c r="J830" s="131"/>
      <c r="K830" s="131"/>
      <c r="L830" s="131"/>
      <c r="M830" s="131"/>
      <c r="N830" s="131"/>
      <c r="O830" s="131"/>
      <c r="P830" s="131"/>
      <c r="Q830" s="131"/>
      <c r="R830" s="131"/>
      <c r="S830" s="131"/>
      <c r="T830" s="131"/>
      <c r="U830" s="131"/>
      <c r="V830" s="131"/>
      <c r="W830" s="131"/>
      <c r="X830" s="131"/>
      <c r="Y830" s="131"/>
      <c r="Z830" s="203"/>
    </row>
    <row r="831">
      <c r="A831" s="262" t="s">
        <v>611</v>
      </c>
      <c r="B831" s="262" t="s">
        <v>53</v>
      </c>
      <c r="C831" s="262">
        <v>1499.0</v>
      </c>
      <c r="D831" s="262">
        <v>6.322156545</v>
      </c>
      <c r="E831" s="260">
        <f t="shared" si="31"/>
        <v>379.3293927</v>
      </c>
      <c r="F831" s="132">
        <f t="shared" si="32"/>
        <v>0.2634231894</v>
      </c>
      <c r="G831" s="276" t="s">
        <v>1238</v>
      </c>
      <c r="H831" s="131"/>
      <c r="I831" s="131"/>
      <c r="J831" s="131"/>
      <c r="K831" s="131"/>
      <c r="L831" s="131"/>
      <c r="M831" s="131"/>
      <c r="N831" s="131"/>
      <c r="O831" s="131"/>
      <c r="P831" s="131"/>
      <c r="Q831" s="131"/>
      <c r="R831" s="131"/>
      <c r="S831" s="131"/>
      <c r="T831" s="131"/>
      <c r="U831" s="131"/>
      <c r="V831" s="131"/>
      <c r="W831" s="131"/>
      <c r="X831" s="131"/>
      <c r="Y831" s="131"/>
      <c r="Z831" s="203"/>
    </row>
    <row r="832">
      <c r="A832" s="262" t="s">
        <v>7</v>
      </c>
      <c r="B832" s="262" t="s">
        <v>34</v>
      </c>
      <c r="C832" s="262">
        <v>2984.0</v>
      </c>
      <c r="D832" s="262">
        <v>14.32903047</v>
      </c>
      <c r="E832" s="260">
        <f t="shared" si="31"/>
        <v>859.7418282</v>
      </c>
      <c r="F832" s="132">
        <f t="shared" si="32"/>
        <v>0.5970429363</v>
      </c>
      <c r="G832" s="276" t="s">
        <v>1239</v>
      </c>
      <c r="H832" s="131"/>
      <c r="I832" s="131"/>
      <c r="J832" s="131"/>
      <c r="K832" s="131"/>
      <c r="L832" s="131"/>
      <c r="M832" s="131"/>
      <c r="N832" s="131"/>
      <c r="O832" s="131"/>
      <c r="P832" s="131"/>
      <c r="Q832" s="131"/>
      <c r="R832" s="131"/>
      <c r="S832" s="131"/>
      <c r="T832" s="131"/>
      <c r="U832" s="131"/>
      <c r="V832" s="131"/>
      <c r="W832" s="131"/>
      <c r="X832" s="131"/>
      <c r="Y832" s="131"/>
      <c r="Z832" s="203"/>
    </row>
    <row r="833">
      <c r="A833" s="262" t="s">
        <v>7</v>
      </c>
      <c r="B833" s="262" t="s">
        <v>37</v>
      </c>
      <c r="C833" s="262">
        <v>3590.0</v>
      </c>
      <c r="D833" s="262">
        <v>15.17182634</v>
      </c>
      <c r="E833" s="260">
        <f t="shared" si="31"/>
        <v>910.3095804</v>
      </c>
      <c r="F833" s="132">
        <f t="shared" si="32"/>
        <v>0.6321594308</v>
      </c>
      <c r="G833" s="276" t="s">
        <v>1240</v>
      </c>
      <c r="H833" s="131"/>
      <c r="I833" s="131"/>
      <c r="J833" s="131"/>
      <c r="K833" s="131"/>
      <c r="L833" s="131"/>
      <c r="M833" s="131"/>
      <c r="N833" s="131"/>
      <c r="O833" s="131"/>
      <c r="P833" s="131"/>
      <c r="Q833" s="131"/>
      <c r="R833" s="131"/>
      <c r="S833" s="131"/>
      <c r="T833" s="131"/>
      <c r="U833" s="131"/>
      <c r="V833" s="131"/>
      <c r="W833" s="131"/>
      <c r="X833" s="131"/>
      <c r="Y833" s="131"/>
      <c r="Z833" s="203"/>
    </row>
    <row r="834">
      <c r="A834" s="262" t="s">
        <v>7</v>
      </c>
      <c r="B834" s="262" t="s">
        <v>26</v>
      </c>
      <c r="C834" s="262">
        <v>1839.0</v>
      </c>
      <c r="D834" s="262">
        <v>8.412742292</v>
      </c>
      <c r="E834" s="260">
        <f t="shared" si="31"/>
        <v>504.7645375</v>
      </c>
      <c r="F834" s="132">
        <f t="shared" si="32"/>
        <v>0.3505309288</v>
      </c>
      <c r="G834" s="276" t="s">
        <v>1241</v>
      </c>
      <c r="H834" s="131"/>
      <c r="I834" s="131"/>
      <c r="J834" s="131"/>
      <c r="K834" s="131"/>
      <c r="L834" s="131"/>
      <c r="M834" s="131"/>
      <c r="N834" s="131"/>
      <c r="O834" s="131"/>
      <c r="P834" s="131"/>
      <c r="Q834" s="131"/>
      <c r="R834" s="131"/>
      <c r="S834" s="131"/>
      <c r="T834" s="131"/>
      <c r="U834" s="131"/>
      <c r="V834" s="131"/>
      <c r="W834" s="131"/>
      <c r="X834" s="131"/>
      <c r="Y834" s="131"/>
      <c r="Z834" s="203"/>
    </row>
    <row r="835">
      <c r="A835" s="262" t="s">
        <v>7</v>
      </c>
      <c r="B835" s="262" t="s">
        <v>24</v>
      </c>
      <c r="C835" s="262">
        <v>2070.0</v>
      </c>
      <c r="D835" s="262">
        <v>9.515844497</v>
      </c>
      <c r="E835" s="260">
        <f t="shared" si="31"/>
        <v>570.9506698</v>
      </c>
      <c r="F835" s="132">
        <f t="shared" si="32"/>
        <v>0.3964935207</v>
      </c>
      <c r="G835" s="276" t="s">
        <v>1242</v>
      </c>
      <c r="H835" s="131"/>
      <c r="I835" s="131"/>
      <c r="J835" s="131"/>
      <c r="K835" s="131"/>
      <c r="L835" s="131"/>
      <c r="M835" s="131"/>
      <c r="N835" s="131"/>
      <c r="O835" s="131"/>
      <c r="P835" s="131"/>
      <c r="Q835" s="131"/>
      <c r="R835" s="131"/>
      <c r="S835" s="131"/>
      <c r="T835" s="131"/>
      <c r="U835" s="131"/>
      <c r="V835" s="131"/>
      <c r="W835" s="131"/>
      <c r="X835" s="131"/>
      <c r="Y835" s="131"/>
      <c r="Z835" s="203"/>
    </row>
    <row r="836">
      <c r="A836" s="262" t="s">
        <v>7</v>
      </c>
      <c r="B836" s="262" t="s">
        <v>422</v>
      </c>
      <c r="C836" s="262">
        <v>3472.0</v>
      </c>
      <c r="D836" s="262">
        <v>15.92534651</v>
      </c>
      <c r="E836" s="260">
        <f t="shared" si="31"/>
        <v>955.5207906</v>
      </c>
      <c r="F836" s="132">
        <f t="shared" si="32"/>
        <v>0.6635561046</v>
      </c>
      <c r="G836" s="276" t="s">
        <v>1243</v>
      </c>
      <c r="H836" s="131"/>
      <c r="I836" s="131"/>
      <c r="J836" s="131"/>
      <c r="K836" s="131"/>
      <c r="L836" s="131"/>
      <c r="M836" s="131"/>
      <c r="N836" s="131"/>
      <c r="O836" s="131"/>
      <c r="P836" s="131"/>
      <c r="Q836" s="131"/>
      <c r="R836" s="131"/>
      <c r="S836" s="131"/>
      <c r="T836" s="131"/>
      <c r="U836" s="131"/>
      <c r="V836" s="131"/>
      <c r="W836" s="131"/>
      <c r="X836" s="131"/>
      <c r="Y836" s="131"/>
      <c r="Z836" s="203"/>
    </row>
    <row r="837">
      <c r="A837" s="262" t="s">
        <v>7</v>
      </c>
      <c r="B837" s="262" t="s">
        <v>27</v>
      </c>
      <c r="C837" s="262">
        <v>2038.0</v>
      </c>
      <c r="D837" s="262">
        <v>9.145902552</v>
      </c>
      <c r="E837" s="260">
        <f t="shared" si="31"/>
        <v>548.7541531</v>
      </c>
      <c r="F837" s="132">
        <f t="shared" si="32"/>
        <v>0.381079273</v>
      </c>
      <c r="G837" s="276" t="s">
        <v>1244</v>
      </c>
      <c r="H837" s="131"/>
      <c r="I837" s="131"/>
      <c r="J837" s="131"/>
      <c r="K837" s="131"/>
      <c r="L837" s="131"/>
      <c r="M837" s="131"/>
      <c r="N837" s="131"/>
      <c r="O837" s="131"/>
      <c r="P837" s="131"/>
      <c r="Q837" s="131"/>
      <c r="R837" s="131"/>
      <c r="S837" s="131"/>
      <c r="T837" s="131"/>
      <c r="U837" s="131"/>
      <c r="V837" s="131"/>
      <c r="W837" s="131"/>
      <c r="X837" s="131"/>
      <c r="Y837" s="131"/>
      <c r="Z837" s="203"/>
    </row>
    <row r="838">
      <c r="A838" s="262" t="s">
        <v>7</v>
      </c>
      <c r="B838" s="262" t="s">
        <v>19</v>
      </c>
      <c r="C838" s="262">
        <v>2740.0</v>
      </c>
      <c r="D838" s="262">
        <v>12.22039184</v>
      </c>
      <c r="E838" s="260">
        <f t="shared" si="31"/>
        <v>733.2235104</v>
      </c>
      <c r="F838" s="132">
        <f t="shared" si="32"/>
        <v>0.5091829933</v>
      </c>
      <c r="G838" s="276" t="s">
        <v>1245</v>
      </c>
      <c r="H838" s="131"/>
      <c r="I838" s="131"/>
      <c r="J838" s="131"/>
      <c r="K838" s="131"/>
      <c r="L838" s="131"/>
      <c r="M838" s="131"/>
      <c r="N838" s="131"/>
      <c r="O838" s="131"/>
      <c r="P838" s="131"/>
      <c r="Q838" s="131"/>
      <c r="R838" s="131"/>
      <c r="S838" s="131"/>
      <c r="T838" s="131"/>
      <c r="U838" s="131"/>
      <c r="V838" s="131"/>
      <c r="W838" s="131"/>
      <c r="X838" s="131"/>
      <c r="Y838" s="131"/>
      <c r="Z838" s="203"/>
    </row>
    <row r="839">
      <c r="A839" s="262" t="s">
        <v>7</v>
      </c>
      <c r="B839" s="262" t="s">
        <v>40</v>
      </c>
      <c r="C839" s="262">
        <v>1128.0</v>
      </c>
      <c r="D839" s="262">
        <v>5.040941806</v>
      </c>
      <c r="E839" s="260">
        <f t="shared" si="31"/>
        <v>302.4565084</v>
      </c>
      <c r="F839" s="132">
        <f t="shared" si="32"/>
        <v>0.2100392419</v>
      </c>
      <c r="G839" s="276" t="s">
        <v>1246</v>
      </c>
      <c r="H839" s="131"/>
      <c r="I839" s="131"/>
      <c r="J839" s="131"/>
      <c r="K839" s="131"/>
      <c r="L839" s="131"/>
      <c r="M839" s="131"/>
      <c r="N839" s="131"/>
      <c r="O839" s="131"/>
      <c r="P839" s="131"/>
      <c r="Q839" s="131"/>
      <c r="R839" s="131"/>
      <c r="S839" s="131"/>
      <c r="T839" s="131"/>
      <c r="U839" s="131"/>
      <c r="V839" s="131"/>
      <c r="W839" s="131"/>
      <c r="X839" s="131"/>
      <c r="Y839" s="131"/>
      <c r="Z839" s="203"/>
    </row>
    <row r="840">
      <c r="A840" s="262" t="s">
        <v>7</v>
      </c>
      <c r="B840" s="262" t="s">
        <v>44</v>
      </c>
      <c r="C840" s="262">
        <v>1793.0</v>
      </c>
      <c r="D840" s="262">
        <v>8.266372413</v>
      </c>
      <c r="E840" s="260">
        <f t="shared" si="31"/>
        <v>495.9823448</v>
      </c>
      <c r="F840" s="132">
        <f t="shared" si="32"/>
        <v>0.3444321839</v>
      </c>
      <c r="G840" s="276" t="s">
        <v>1247</v>
      </c>
      <c r="H840" s="131"/>
      <c r="I840" s="131"/>
      <c r="J840" s="131"/>
      <c r="K840" s="131"/>
      <c r="L840" s="131"/>
      <c r="M840" s="131"/>
      <c r="N840" s="131"/>
      <c r="O840" s="131"/>
      <c r="P840" s="131"/>
      <c r="Q840" s="131"/>
      <c r="R840" s="131"/>
      <c r="S840" s="131"/>
      <c r="T840" s="131"/>
      <c r="U840" s="131"/>
      <c r="V840" s="131"/>
      <c r="W840" s="131"/>
      <c r="X840" s="131"/>
      <c r="Y840" s="131"/>
      <c r="Z840" s="203"/>
    </row>
    <row r="841">
      <c r="A841" s="262" t="s">
        <v>7</v>
      </c>
      <c r="B841" s="262" t="s">
        <v>21</v>
      </c>
      <c r="C841" s="262">
        <v>1412.0</v>
      </c>
      <c r="D841" s="262">
        <v>6.850443733</v>
      </c>
      <c r="E841" s="260">
        <f t="shared" si="31"/>
        <v>411.026624</v>
      </c>
      <c r="F841" s="132">
        <f t="shared" si="32"/>
        <v>0.2854351555</v>
      </c>
      <c r="G841" s="276" t="s">
        <v>1248</v>
      </c>
      <c r="H841" s="131"/>
      <c r="I841" s="131"/>
      <c r="J841" s="131"/>
      <c r="K841" s="131"/>
      <c r="L841" s="131"/>
      <c r="M841" s="131"/>
      <c r="N841" s="131"/>
      <c r="O841" s="131"/>
      <c r="P841" s="131"/>
      <c r="Q841" s="131"/>
      <c r="R841" s="131"/>
      <c r="S841" s="131"/>
      <c r="T841" s="131"/>
      <c r="U841" s="131"/>
      <c r="V841" s="131"/>
      <c r="W841" s="131"/>
      <c r="X841" s="131"/>
      <c r="Y841" s="131"/>
      <c r="Z841" s="203"/>
    </row>
    <row r="842">
      <c r="A842" s="262" t="s">
        <v>7</v>
      </c>
      <c r="B842" s="262" t="s">
        <v>31</v>
      </c>
      <c r="C842" s="262">
        <v>1239.0</v>
      </c>
      <c r="D842" s="262">
        <v>5.871074149</v>
      </c>
      <c r="E842" s="260">
        <f t="shared" si="31"/>
        <v>352.2644489</v>
      </c>
      <c r="F842" s="132">
        <f t="shared" si="32"/>
        <v>0.2446280895</v>
      </c>
      <c r="G842" s="276" t="s">
        <v>1249</v>
      </c>
      <c r="H842" s="131"/>
      <c r="I842" s="131"/>
      <c r="J842" s="131"/>
      <c r="K842" s="131"/>
      <c r="L842" s="131"/>
      <c r="M842" s="131"/>
      <c r="N842" s="131"/>
      <c r="O842" s="131"/>
      <c r="P842" s="131"/>
      <c r="Q842" s="131"/>
      <c r="R842" s="131"/>
      <c r="S842" s="131"/>
      <c r="T842" s="131"/>
      <c r="U842" s="131"/>
      <c r="V842" s="131"/>
      <c r="W842" s="131"/>
      <c r="X842" s="131"/>
      <c r="Y842" s="131"/>
      <c r="Z842" s="203"/>
    </row>
    <row r="843">
      <c r="A843" s="262" t="s">
        <v>7</v>
      </c>
      <c r="B843" s="262" t="s">
        <v>25</v>
      </c>
      <c r="C843" s="262">
        <v>891.0</v>
      </c>
      <c r="D843" s="262">
        <v>4.102663212</v>
      </c>
      <c r="E843" s="260">
        <f t="shared" si="31"/>
        <v>246.1597927</v>
      </c>
      <c r="F843" s="132">
        <f t="shared" si="32"/>
        <v>0.1709443005</v>
      </c>
      <c r="G843" s="276" t="s">
        <v>1250</v>
      </c>
      <c r="H843" s="131"/>
      <c r="I843" s="131"/>
      <c r="J843" s="131"/>
      <c r="K843" s="131"/>
      <c r="L843" s="131"/>
      <c r="M843" s="131"/>
      <c r="N843" s="131"/>
      <c r="O843" s="131"/>
      <c r="P843" s="131"/>
      <c r="Q843" s="131"/>
      <c r="R843" s="131"/>
      <c r="S843" s="131"/>
      <c r="T843" s="131"/>
      <c r="U843" s="131"/>
      <c r="V843" s="131"/>
      <c r="W843" s="131"/>
      <c r="X843" s="131"/>
      <c r="Y843" s="131"/>
      <c r="Z843" s="203"/>
    </row>
    <row r="844">
      <c r="A844" s="262" t="s">
        <v>7</v>
      </c>
      <c r="B844" s="262" t="s">
        <v>43</v>
      </c>
      <c r="C844" s="262">
        <v>2568.0</v>
      </c>
      <c r="D844" s="262">
        <v>11.2176225</v>
      </c>
      <c r="E844" s="260">
        <f t="shared" si="31"/>
        <v>673.05735</v>
      </c>
      <c r="F844" s="132">
        <f t="shared" si="32"/>
        <v>0.4674009375</v>
      </c>
      <c r="G844" s="276" t="s">
        <v>1251</v>
      </c>
      <c r="H844" s="131"/>
      <c r="I844" s="131"/>
      <c r="J844" s="131"/>
      <c r="K844" s="131"/>
      <c r="L844" s="131"/>
      <c r="M844" s="131"/>
      <c r="N844" s="131"/>
      <c r="O844" s="131"/>
      <c r="P844" s="131"/>
      <c r="Q844" s="131"/>
      <c r="R844" s="131"/>
      <c r="S844" s="131"/>
      <c r="T844" s="131"/>
      <c r="U844" s="131"/>
      <c r="V844" s="131"/>
      <c r="W844" s="131"/>
      <c r="X844" s="131"/>
      <c r="Y844" s="131"/>
      <c r="Z844" s="203"/>
    </row>
    <row r="845">
      <c r="A845" s="262" t="s">
        <v>7</v>
      </c>
      <c r="B845" s="262" t="s">
        <v>41</v>
      </c>
      <c r="C845" s="262">
        <v>1170.0</v>
      </c>
      <c r="D845" s="262">
        <v>5.399659427</v>
      </c>
      <c r="E845" s="260">
        <f t="shared" si="31"/>
        <v>323.9795656</v>
      </c>
      <c r="F845" s="132">
        <f t="shared" si="32"/>
        <v>0.2249858095</v>
      </c>
      <c r="G845" s="276" t="s">
        <v>1252</v>
      </c>
      <c r="H845" s="131"/>
      <c r="I845" s="131"/>
      <c r="J845" s="131"/>
      <c r="K845" s="131"/>
      <c r="L845" s="131"/>
      <c r="M845" s="131"/>
      <c r="N845" s="131"/>
      <c r="O845" s="131"/>
      <c r="P845" s="131"/>
      <c r="Q845" s="131"/>
      <c r="R845" s="131"/>
      <c r="S845" s="131"/>
      <c r="T845" s="131"/>
      <c r="U845" s="131"/>
      <c r="V845" s="131"/>
      <c r="W845" s="131"/>
      <c r="X845" s="131"/>
      <c r="Y845" s="131"/>
      <c r="Z845" s="203"/>
    </row>
    <row r="846">
      <c r="A846" s="262" t="s">
        <v>7</v>
      </c>
      <c r="B846" s="262" t="s">
        <v>32</v>
      </c>
      <c r="C846" s="262">
        <v>1129.0</v>
      </c>
      <c r="D846" s="262">
        <v>5.349829097</v>
      </c>
      <c r="E846" s="260">
        <f t="shared" si="31"/>
        <v>320.9897458</v>
      </c>
      <c r="F846" s="132">
        <f t="shared" si="32"/>
        <v>0.2229095457</v>
      </c>
      <c r="G846" s="276" t="s">
        <v>1253</v>
      </c>
      <c r="H846" s="131"/>
      <c r="I846" s="131"/>
      <c r="J846" s="131"/>
      <c r="K846" s="131"/>
      <c r="L846" s="131"/>
      <c r="M846" s="131"/>
      <c r="N846" s="131"/>
      <c r="O846" s="131"/>
      <c r="P846" s="131"/>
      <c r="Q846" s="131"/>
      <c r="R846" s="131"/>
      <c r="S846" s="131"/>
      <c r="T846" s="131"/>
      <c r="U846" s="131"/>
      <c r="V846" s="131"/>
      <c r="W846" s="131"/>
      <c r="X846" s="131"/>
      <c r="Y846" s="131"/>
      <c r="Z846" s="203"/>
    </row>
    <row r="847">
      <c r="A847" s="262" t="s">
        <v>7</v>
      </c>
      <c r="B847" s="262" t="s">
        <v>22</v>
      </c>
      <c r="C847" s="262">
        <v>3506.0</v>
      </c>
      <c r="D847" s="262">
        <v>14.82951297</v>
      </c>
      <c r="E847" s="260">
        <f t="shared" si="31"/>
        <v>889.7707782</v>
      </c>
      <c r="F847" s="132">
        <f t="shared" si="32"/>
        <v>0.6178963738</v>
      </c>
      <c r="G847" s="276" t="s">
        <v>1254</v>
      </c>
      <c r="H847" s="131"/>
      <c r="I847" s="131"/>
      <c r="J847" s="131"/>
      <c r="K847" s="131"/>
      <c r="L847" s="131"/>
      <c r="M847" s="131"/>
      <c r="N847" s="131"/>
      <c r="O847" s="131"/>
      <c r="P847" s="131"/>
      <c r="Q847" s="131"/>
      <c r="R847" s="131"/>
      <c r="S847" s="131"/>
      <c r="T847" s="131"/>
      <c r="U847" s="131"/>
      <c r="V847" s="131"/>
      <c r="W847" s="131"/>
      <c r="X847" s="131"/>
      <c r="Y847" s="131"/>
      <c r="Z847" s="203"/>
    </row>
    <row r="848">
      <c r="A848" s="262" t="s">
        <v>7</v>
      </c>
      <c r="B848" s="262" t="s">
        <v>8</v>
      </c>
      <c r="C848" s="262">
        <v>1983.0</v>
      </c>
      <c r="D848" s="262">
        <v>8.683388177</v>
      </c>
      <c r="E848" s="260">
        <f t="shared" si="31"/>
        <v>521.0032906</v>
      </c>
      <c r="F848" s="132">
        <f t="shared" si="32"/>
        <v>0.3618078407</v>
      </c>
      <c r="G848" s="276" t="s">
        <v>1255</v>
      </c>
      <c r="H848" s="131"/>
      <c r="I848" s="131"/>
      <c r="J848" s="131"/>
      <c r="K848" s="131"/>
      <c r="L848" s="131"/>
      <c r="M848" s="131"/>
      <c r="N848" s="131"/>
      <c r="O848" s="131"/>
      <c r="P848" s="131"/>
      <c r="Q848" s="131"/>
      <c r="R848" s="131"/>
      <c r="S848" s="131"/>
      <c r="T848" s="131"/>
      <c r="U848" s="131"/>
      <c r="V848" s="131"/>
      <c r="W848" s="131"/>
      <c r="X848" s="131"/>
      <c r="Y848" s="131"/>
      <c r="Z848" s="203"/>
    </row>
    <row r="849">
      <c r="A849" s="262" t="s">
        <v>7</v>
      </c>
      <c r="B849" s="262" t="s">
        <v>20</v>
      </c>
      <c r="C849" s="262">
        <v>2248.0</v>
      </c>
      <c r="D849" s="262">
        <v>9.965079323</v>
      </c>
      <c r="E849" s="260">
        <f t="shared" si="31"/>
        <v>597.9047594</v>
      </c>
      <c r="F849" s="132">
        <f t="shared" si="32"/>
        <v>0.4152116385</v>
      </c>
      <c r="G849" s="276" t="s">
        <v>1256</v>
      </c>
      <c r="H849" s="131"/>
      <c r="I849" s="131"/>
      <c r="J849" s="131"/>
      <c r="K849" s="131"/>
      <c r="L849" s="131"/>
      <c r="M849" s="131"/>
      <c r="N849" s="131"/>
      <c r="O849" s="131"/>
      <c r="P849" s="131"/>
      <c r="Q849" s="131"/>
      <c r="R849" s="131"/>
      <c r="S849" s="131"/>
      <c r="T849" s="131"/>
      <c r="U849" s="131"/>
      <c r="V849" s="131"/>
      <c r="W849" s="131"/>
      <c r="X849" s="131"/>
      <c r="Y849" s="131"/>
      <c r="Z849" s="203"/>
    </row>
    <row r="850">
      <c r="A850" s="262" t="s">
        <v>7</v>
      </c>
      <c r="B850" s="262" t="s">
        <v>33</v>
      </c>
      <c r="C850" s="262">
        <v>1107.0</v>
      </c>
      <c r="D850" s="262">
        <v>5.223534826</v>
      </c>
      <c r="E850" s="260">
        <f t="shared" si="31"/>
        <v>313.4120896</v>
      </c>
      <c r="F850" s="132">
        <f t="shared" si="32"/>
        <v>0.2176472844</v>
      </c>
      <c r="G850" s="276" t="s">
        <v>1257</v>
      </c>
      <c r="H850" s="131"/>
      <c r="I850" s="131"/>
      <c r="J850" s="131"/>
      <c r="K850" s="131"/>
      <c r="L850" s="131"/>
      <c r="M850" s="131"/>
      <c r="N850" s="131"/>
      <c r="O850" s="131"/>
      <c r="P850" s="131"/>
      <c r="Q850" s="131"/>
      <c r="R850" s="131"/>
      <c r="S850" s="131"/>
      <c r="T850" s="131"/>
      <c r="U850" s="131"/>
      <c r="V850" s="131"/>
      <c r="W850" s="131"/>
      <c r="X850" s="131"/>
      <c r="Y850" s="131"/>
      <c r="Z850" s="203"/>
    </row>
    <row r="851">
      <c r="A851" s="262" t="s">
        <v>7</v>
      </c>
      <c r="B851" s="262" t="s">
        <v>30</v>
      </c>
      <c r="C851" s="262">
        <v>1140.0</v>
      </c>
      <c r="D851" s="262">
        <v>5.431982483</v>
      </c>
      <c r="E851" s="260">
        <f t="shared" si="31"/>
        <v>325.918949</v>
      </c>
      <c r="F851" s="132">
        <f t="shared" si="32"/>
        <v>0.2263326035</v>
      </c>
      <c r="G851" s="276" t="s">
        <v>1258</v>
      </c>
      <c r="H851" s="131"/>
      <c r="I851" s="131"/>
      <c r="J851" s="131"/>
      <c r="K851" s="131"/>
      <c r="L851" s="131"/>
      <c r="M851" s="131"/>
      <c r="N851" s="131"/>
      <c r="O851" s="131"/>
      <c r="P851" s="131"/>
      <c r="Q851" s="131"/>
      <c r="R851" s="131"/>
      <c r="S851" s="131"/>
      <c r="T851" s="131"/>
      <c r="U851" s="131"/>
      <c r="V851" s="131"/>
      <c r="W851" s="131"/>
      <c r="X851" s="131"/>
      <c r="Y851" s="131"/>
      <c r="Z851" s="203"/>
    </row>
    <row r="852">
      <c r="A852" s="262" t="s">
        <v>54</v>
      </c>
      <c r="B852" s="262" t="s">
        <v>55</v>
      </c>
      <c r="C852" s="262">
        <v>1175.0</v>
      </c>
      <c r="D852" s="262">
        <v>4.215807969</v>
      </c>
      <c r="E852" s="260">
        <f t="shared" si="31"/>
        <v>252.9484781</v>
      </c>
      <c r="F852" s="132">
        <f t="shared" si="32"/>
        <v>0.1756586654</v>
      </c>
      <c r="G852" s="276" t="s">
        <v>1259</v>
      </c>
      <c r="H852" s="131"/>
      <c r="I852" s="131"/>
      <c r="J852" s="131"/>
      <c r="K852" s="131"/>
      <c r="L852" s="131"/>
      <c r="M852" s="131"/>
      <c r="N852" s="131"/>
      <c r="O852" s="131"/>
      <c r="P852" s="131"/>
      <c r="Q852" s="131"/>
      <c r="R852" s="131"/>
      <c r="S852" s="131"/>
      <c r="T852" s="131"/>
      <c r="U852" s="131"/>
      <c r="V852" s="131"/>
      <c r="W852" s="131"/>
      <c r="X852" s="131"/>
      <c r="Y852" s="131"/>
      <c r="Z852" s="203"/>
    </row>
    <row r="853">
      <c r="A853" s="262" t="s">
        <v>54</v>
      </c>
      <c r="B853" s="262" t="s">
        <v>56</v>
      </c>
      <c r="C853" s="262">
        <v>841.0</v>
      </c>
      <c r="D853" s="262">
        <v>3.44094875</v>
      </c>
      <c r="E853" s="260">
        <f t="shared" si="31"/>
        <v>206.456925</v>
      </c>
      <c r="F853" s="132">
        <f t="shared" si="32"/>
        <v>0.1433728646</v>
      </c>
      <c r="G853" s="276" t="s">
        <v>1260</v>
      </c>
      <c r="H853" s="131"/>
      <c r="I853" s="131"/>
      <c r="J853" s="131"/>
      <c r="K853" s="131"/>
      <c r="L853" s="131"/>
      <c r="M853" s="131"/>
      <c r="N853" s="131"/>
      <c r="O853" s="131"/>
      <c r="P853" s="131"/>
      <c r="Q853" s="131"/>
      <c r="R853" s="131"/>
      <c r="S853" s="131"/>
      <c r="T853" s="131"/>
      <c r="U853" s="131"/>
      <c r="V853" s="131"/>
      <c r="W853" s="131"/>
      <c r="X853" s="131"/>
      <c r="Y853" s="131"/>
      <c r="Z853" s="203"/>
    </row>
    <row r="854">
      <c r="A854" s="262" t="s">
        <v>54</v>
      </c>
      <c r="B854" s="262" t="s">
        <v>58</v>
      </c>
      <c r="C854" s="262">
        <v>3255.0</v>
      </c>
      <c r="D854" s="262">
        <v>14.92609151</v>
      </c>
      <c r="E854" s="260">
        <f t="shared" si="31"/>
        <v>895.5654906</v>
      </c>
      <c r="F854" s="132">
        <f t="shared" si="32"/>
        <v>0.6219204796</v>
      </c>
      <c r="G854" s="276" t="s">
        <v>1261</v>
      </c>
      <c r="H854" s="131"/>
      <c r="I854" s="131"/>
      <c r="J854" s="131"/>
      <c r="K854" s="131"/>
      <c r="L854" s="131"/>
      <c r="M854" s="131"/>
      <c r="N854" s="131"/>
      <c r="O854" s="131"/>
      <c r="P854" s="131"/>
      <c r="Q854" s="131"/>
      <c r="R854" s="131"/>
      <c r="S854" s="131"/>
      <c r="T854" s="131"/>
      <c r="U854" s="131"/>
      <c r="V854" s="131"/>
      <c r="W854" s="131"/>
      <c r="X854" s="131"/>
      <c r="Y854" s="131"/>
      <c r="Z854" s="203"/>
    </row>
    <row r="855">
      <c r="A855" s="262" t="s">
        <v>54</v>
      </c>
      <c r="B855" s="262" t="s">
        <v>59</v>
      </c>
      <c r="C855" s="262">
        <v>1429.0</v>
      </c>
      <c r="D855" s="262">
        <v>6.564552396</v>
      </c>
      <c r="E855" s="260">
        <f t="shared" si="31"/>
        <v>393.8731438</v>
      </c>
      <c r="F855" s="132">
        <f t="shared" si="32"/>
        <v>0.2735230165</v>
      </c>
      <c r="G855" s="276" t="s">
        <v>1262</v>
      </c>
      <c r="H855" s="131"/>
      <c r="I855" s="131"/>
      <c r="J855" s="131"/>
      <c r="K855" s="131"/>
      <c r="L855" s="131"/>
      <c r="M855" s="131"/>
      <c r="N855" s="131"/>
      <c r="O855" s="131"/>
      <c r="P855" s="131"/>
      <c r="Q855" s="131"/>
      <c r="R855" s="131"/>
      <c r="S855" s="131"/>
      <c r="T855" s="131"/>
      <c r="U855" s="131"/>
      <c r="V855" s="131"/>
      <c r="W855" s="131"/>
      <c r="X855" s="131"/>
      <c r="Y855" s="131"/>
      <c r="Z855" s="203"/>
    </row>
    <row r="856">
      <c r="A856" s="262" t="s">
        <v>54</v>
      </c>
      <c r="B856" s="262" t="s">
        <v>60</v>
      </c>
      <c r="C856" s="262">
        <v>1012.0</v>
      </c>
      <c r="D856" s="262">
        <v>4.637443559</v>
      </c>
      <c r="E856" s="260">
        <f t="shared" si="31"/>
        <v>278.2466135</v>
      </c>
      <c r="F856" s="132">
        <f t="shared" si="32"/>
        <v>0.193226815</v>
      </c>
      <c r="G856" s="276" t="s">
        <v>1263</v>
      </c>
      <c r="H856" s="131"/>
      <c r="I856" s="131"/>
      <c r="J856" s="131"/>
      <c r="K856" s="131"/>
      <c r="L856" s="131"/>
      <c r="M856" s="131"/>
      <c r="N856" s="131"/>
      <c r="O856" s="131"/>
      <c r="P856" s="131"/>
      <c r="Q856" s="131"/>
      <c r="R856" s="131"/>
      <c r="S856" s="131"/>
      <c r="T856" s="131"/>
      <c r="U856" s="131"/>
      <c r="V856" s="131"/>
      <c r="W856" s="131"/>
      <c r="X856" s="131"/>
      <c r="Y856" s="131"/>
      <c r="Z856" s="203"/>
    </row>
    <row r="857">
      <c r="A857" s="262" t="s">
        <v>54</v>
      </c>
      <c r="B857" s="262" t="s">
        <v>62</v>
      </c>
      <c r="C857" s="262">
        <v>505.0</v>
      </c>
      <c r="D857" s="262">
        <v>2.349406719</v>
      </c>
      <c r="E857" s="260">
        <f t="shared" si="31"/>
        <v>140.9644031</v>
      </c>
      <c r="F857" s="132">
        <f t="shared" si="32"/>
        <v>0.09789194663</v>
      </c>
      <c r="G857" s="276" t="s">
        <v>1264</v>
      </c>
      <c r="H857" s="131"/>
      <c r="I857" s="131"/>
      <c r="J857" s="131"/>
      <c r="K857" s="131"/>
      <c r="L857" s="131"/>
      <c r="M857" s="131"/>
      <c r="N857" s="131"/>
      <c r="O857" s="131"/>
      <c r="P857" s="131"/>
      <c r="Q857" s="131"/>
      <c r="R857" s="131"/>
      <c r="S857" s="131"/>
      <c r="T857" s="131"/>
      <c r="U857" s="131"/>
      <c r="V857" s="131"/>
      <c r="W857" s="131"/>
      <c r="X857" s="131"/>
      <c r="Y857" s="131"/>
      <c r="Z857" s="203"/>
    </row>
    <row r="858">
      <c r="A858" s="262" t="s">
        <v>54</v>
      </c>
      <c r="B858" s="262" t="s">
        <v>63</v>
      </c>
      <c r="C858" s="262">
        <v>1902.0</v>
      </c>
      <c r="D858" s="262">
        <v>8.144143194</v>
      </c>
      <c r="E858" s="260">
        <f t="shared" si="31"/>
        <v>488.6485916</v>
      </c>
      <c r="F858" s="132">
        <f t="shared" si="32"/>
        <v>0.3393392998</v>
      </c>
      <c r="G858" s="276" t="s">
        <v>1265</v>
      </c>
      <c r="H858" s="131"/>
      <c r="I858" s="131"/>
      <c r="J858" s="131"/>
      <c r="K858" s="131"/>
      <c r="L858" s="131"/>
      <c r="M858" s="131"/>
      <c r="N858" s="131"/>
      <c r="O858" s="131"/>
      <c r="P858" s="131"/>
      <c r="Q858" s="131"/>
      <c r="R858" s="131"/>
      <c r="S858" s="131"/>
      <c r="T858" s="131"/>
      <c r="U858" s="131"/>
      <c r="V858" s="131"/>
      <c r="W858" s="131"/>
      <c r="X858" s="131"/>
      <c r="Y858" s="131"/>
      <c r="Z858" s="203"/>
    </row>
    <row r="859">
      <c r="A859" s="262" t="s">
        <v>54</v>
      </c>
      <c r="B859" s="262" t="s">
        <v>64</v>
      </c>
      <c r="C859" s="262">
        <v>902.0</v>
      </c>
      <c r="D859" s="262">
        <v>4.027199201</v>
      </c>
      <c r="E859" s="260">
        <f t="shared" si="31"/>
        <v>241.6319521</v>
      </c>
      <c r="F859" s="132">
        <f t="shared" si="32"/>
        <v>0.1677999667</v>
      </c>
      <c r="G859" s="276" t="s">
        <v>1266</v>
      </c>
      <c r="H859" s="131"/>
      <c r="I859" s="131"/>
      <c r="J859" s="131"/>
      <c r="K859" s="131"/>
      <c r="L859" s="131"/>
      <c r="M859" s="131"/>
      <c r="N859" s="131"/>
      <c r="O859" s="131"/>
      <c r="P859" s="131"/>
      <c r="Q859" s="131"/>
      <c r="R859" s="131"/>
      <c r="S859" s="131"/>
      <c r="T859" s="131"/>
      <c r="U859" s="131"/>
      <c r="V859" s="131"/>
      <c r="W859" s="131"/>
      <c r="X859" s="131"/>
      <c r="Y859" s="131"/>
      <c r="Z859" s="203"/>
    </row>
    <row r="860">
      <c r="A860" s="262" t="s">
        <v>54</v>
      </c>
      <c r="B860" s="262" t="s">
        <v>65</v>
      </c>
      <c r="C860" s="262">
        <v>1510.0</v>
      </c>
      <c r="D860" s="262">
        <v>5.93801691</v>
      </c>
      <c r="E860" s="260">
        <f t="shared" si="31"/>
        <v>356.2810146</v>
      </c>
      <c r="F860" s="132">
        <f t="shared" si="32"/>
        <v>0.2474173713</v>
      </c>
      <c r="G860" s="276" t="s">
        <v>1267</v>
      </c>
      <c r="H860" s="131"/>
      <c r="I860" s="131"/>
      <c r="J860" s="131"/>
      <c r="K860" s="131"/>
      <c r="L860" s="131"/>
      <c r="M860" s="131"/>
      <c r="N860" s="131"/>
      <c r="O860" s="131"/>
      <c r="P860" s="131"/>
      <c r="Q860" s="131"/>
      <c r="R860" s="131"/>
      <c r="S860" s="131"/>
      <c r="T860" s="131"/>
      <c r="U860" s="131"/>
      <c r="V860" s="131"/>
      <c r="W860" s="131"/>
      <c r="X860" s="131"/>
      <c r="Y860" s="131"/>
      <c r="Z860" s="203"/>
    </row>
    <row r="861">
      <c r="A861" s="262" t="s">
        <v>54</v>
      </c>
      <c r="B861" s="262" t="s">
        <v>66</v>
      </c>
      <c r="C861" s="262">
        <v>331.0</v>
      </c>
      <c r="D861" s="262">
        <v>1.435138403</v>
      </c>
      <c r="E861" s="260">
        <f t="shared" si="31"/>
        <v>86.10830418</v>
      </c>
      <c r="F861" s="132">
        <f t="shared" si="32"/>
        <v>0.05979743346</v>
      </c>
      <c r="G861" s="276" t="s">
        <v>1268</v>
      </c>
      <c r="H861" s="131"/>
      <c r="I861" s="131"/>
      <c r="J861" s="131"/>
      <c r="K861" s="131"/>
      <c r="L861" s="131"/>
      <c r="M861" s="131"/>
      <c r="N861" s="131"/>
      <c r="O861" s="131"/>
      <c r="P861" s="131"/>
      <c r="Q861" s="131"/>
      <c r="R861" s="131"/>
      <c r="S861" s="131"/>
      <c r="T861" s="131"/>
      <c r="U861" s="131"/>
      <c r="V861" s="131"/>
      <c r="W861" s="131"/>
      <c r="X861" s="131"/>
      <c r="Y861" s="131"/>
      <c r="Z861" s="203"/>
    </row>
    <row r="862">
      <c r="A862" s="262" t="s">
        <v>45</v>
      </c>
      <c r="B862" s="262" t="s">
        <v>464</v>
      </c>
      <c r="C862" s="262">
        <v>131.0</v>
      </c>
      <c r="D862" s="262">
        <v>0.6866869097</v>
      </c>
      <c r="E862" s="260">
        <f t="shared" si="31"/>
        <v>41.20121458</v>
      </c>
      <c r="F862" s="132">
        <f t="shared" si="32"/>
        <v>0.02861195457</v>
      </c>
      <c r="G862" s="276" t="s">
        <v>1269</v>
      </c>
      <c r="H862" s="131"/>
      <c r="I862" s="131"/>
      <c r="J862" s="131"/>
      <c r="K862" s="131"/>
      <c r="L862" s="131"/>
      <c r="M862" s="131"/>
      <c r="N862" s="131"/>
      <c r="O862" s="131"/>
      <c r="P862" s="131"/>
      <c r="Q862" s="131"/>
      <c r="R862" s="131"/>
      <c r="S862" s="131"/>
      <c r="T862" s="131"/>
      <c r="U862" s="131"/>
      <c r="V862" s="131"/>
      <c r="W862" s="131"/>
      <c r="X862" s="131"/>
      <c r="Y862" s="131"/>
      <c r="Z862" s="203"/>
    </row>
    <row r="863">
      <c r="A863" s="262" t="s">
        <v>69</v>
      </c>
      <c r="B863" s="262" t="s">
        <v>70</v>
      </c>
      <c r="C863" s="262">
        <v>1009.0</v>
      </c>
      <c r="D863" s="262">
        <v>4.691427344</v>
      </c>
      <c r="E863" s="260">
        <f t="shared" si="31"/>
        <v>281.4856406</v>
      </c>
      <c r="F863" s="132">
        <f t="shared" si="32"/>
        <v>0.1954761393</v>
      </c>
      <c r="G863" s="276" t="s">
        <v>1270</v>
      </c>
      <c r="H863" s="131"/>
      <c r="I863" s="131"/>
      <c r="J863" s="131"/>
      <c r="K863" s="131"/>
      <c r="L863" s="131"/>
      <c r="M863" s="131"/>
      <c r="N863" s="131"/>
      <c r="O863" s="131"/>
      <c r="P863" s="131"/>
      <c r="Q863" s="131"/>
      <c r="R863" s="131"/>
      <c r="S863" s="131"/>
      <c r="T863" s="131"/>
      <c r="U863" s="131"/>
      <c r="V863" s="131"/>
      <c r="W863" s="131"/>
      <c r="X863" s="131"/>
      <c r="Y863" s="131"/>
      <c r="Z863" s="203"/>
    </row>
    <row r="864">
      <c r="A864" s="262" t="s">
        <v>69</v>
      </c>
      <c r="B864" s="262" t="s">
        <v>71</v>
      </c>
      <c r="C864" s="262">
        <v>640.0</v>
      </c>
      <c r="D864" s="262">
        <v>3.032412951</v>
      </c>
      <c r="E864" s="260">
        <f t="shared" si="31"/>
        <v>181.9447771</v>
      </c>
      <c r="F864" s="132">
        <f t="shared" si="32"/>
        <v>0.1263505396</v>
      </c>
      <c r="G864" s="276" t="s">
        <v>1271</v>
      </c>
      <c r="H864" s="131"/>
      <c r="I864" s="131"/>
      <c r="J864" s="131"/>
      <c r="K864" s="131"/>
      <c r="L864" s="131"/>
      <c r="M864" s="131"/>
      <c r="N864" s="131"/>
      <c r="O864" s="131"/>
      <c r="P864" s="131"/>
      <c r="Q864" s="131"/>
      <c r="R864" s="131"/>
      <c r="S864" s="131"/>
      <c r="T864" s="131"/>
      <c r="U864" s="131"/>
      <c r="V864" s="131"/>
      <c r="W864" s="131"/>
      <c r="X864" s="131"/>
      <c r="Y864" s="131"/>
      <c r="Z864" s="203"/>
    </row>
    <row r="865">
      <c r="A865" s="262" t="s">
        <v>35</v>
      </c>
      <c r="B865" s="262" t="s">
        <v>72</v>
      </c>
      <c r="C865" s="262">
        <v>816.0</v>
      </c>
      <c r="D865" s="262">
        <v>3.74068342</v>
      </c>
      <c r="E865" s="260">
        <f t="shared" si="31"/>
        <v>224.4410052</v>
      </c>
      <c r="F865" s="132">
        <f t="shared" si="32"/>
        <v>0.1558618092</v>
      </c>
      <c r="G865" s="276" t="s">
        <v>1272</v>
      </c>
      <c r="H865" s="131"/>
      <c r="I865" s="131"/>
      <c r="J865" s="131"/>
      <c r="K865" s="131"/>
      <c r="L865" s="131"/>
      <c r="M865" s="131"/>
      <c r="N865" s="131"/>
      <c r="O865" s="131"/>
      <c r="P865" s="131"/>
      <c r="Q865" s="131"/>
      <c r="R865" s="131"/>
      <c r="S865" s="131"/>
      <c r="T865" s="131"/>
      <c r="U865" s="131"/>
      <c r="V865" s="131"/>
      <c r="W865" s="131"/>
      <c r="X865" s="131"/>
      <c r="Y865" s="131"/>
      <c r="Z865" s="203"/>
    </row>
    <row r="866">
      <c r="A866" s="262" t="s">
        <v>35</v>
      </c>
      <c r="B866" s="262" t="s">
        <v>73</v>
      </c>
      <c r="C866" s="262">
        <v>1192.0</v>
      </c>
      <c r="D866" s="262">
        <v>5.672293976</v>
      </c>
      <c r="E866" s="260">
        <f t="shared" si="31"/>
        <v>340.3376386</v>
      </c>
      <c r="F866" s="132">
        <f t="shared" si="32"/>
        <v>0.2363455823</v>
      </c>
      <c r="G866" s="276" t="s">
        <v>1273</v>
      </c>
      <c r="H866" s="131"/>
      <c r="I866" s="131"/>
      <c r="J866" s="131"/>
      <c r="K866" s="131"/>
      <c r="L866" s="131"/>
      <c r="M866" s="131"/>
      <c r="N866" s="131"/>
      <c r="O866" s="131"/>
      <c r="P866" s="131"/>
      <c r="Q866" s="131"/>
      <c r="R866" s="131"/>
      <c r="S866" s="131"/>
      <c r="T866" s="131"/>
      <c r="U866" s="131"/>
      <c r="V866" s="131"/>
      <c r="W866" s="131"/>
      <c r="X866" s="131"/>
      <c r="Y866" s="131"/>
      <c r="Z866" s="203"/>
    </row>
    <row r="867">
      <c r="A867" s="262" t="s">
        <v>35</v>
      </c>
      <c r="B867" s="262" t="s">
        <v>74</v>
      </c>
      <c r="C867" s="262">
        <v>952.0</v>
      </c>
      <c r="D867" s="262">
        <v>4.467318038</v>
      </c>
      <c r="E867" s="260">
        <f t="shared" si="31"/>
        <v>268.0390823</v>
      </c>
      <c r="F867" s="132">
        <f t="shared" si="32"/>
        <v>0.1861382516</v>
      </c>
      <c r="G867" s="276" t="s">
        <v>1274</v>
      </c>
      <c r="H867" s="131"/>
      <c r="I867" s="131"/>
      <c r="J867" s="131"/>
      <c r="K867" s="131"/>
      <c r="L867" s="131"/>
      <c r="M867" s="131"/>
      <c r="N867" s="131"/>
      <c r="O867" s="131"/>
      <c r="P867" s="131"/>
      <c r="Q867" s="131"/>
      <c r="R867" s="131"/>
      <c r="S867" s="131"/>
      <c r="T867" s="131"/>
      <c r="U867" s="131"/>
      <c r="V867" s="131"/>
      <c r="W867" s="131"/>
      <c r="X867" s="131"/>
      <c r="Y867" s="131"/>
      <c r="Z867" s="203"/>
    </row>
    <row r="868">
      <c r="A868" s="262" t="s">
        <v>35</v>
      </c>
      <c r="B868" s="262" t="s">
        <v>75</v>
      </c>
      <c r="C868" s="262">
        <v>1045.0</v>
      </c>
      <c r="D868" s="262">
        <v>4.793308958</v>
      </c>
      <c r="E868" s="260">
        <f t="shared" si="31"/>
        <v>287.5985375</v>
      </c>
      <c r="F868" s="132">
        <f t="shared" si="32"/>
        <v>0.1997212066</v>
      </c>
      <c r="G868" s="276" t="s">
        <v>1275</v>
      </c>
      <c r="H868" s="131"/>
      <c r="I868" s="131"/>
      <c r="J868" s="131"/>
      <c r="K868" s="131"/>
      <c r="L868" s="131"/>
      <c r="M868" s="131"/>
      <c r="N868" s="131"/>
      <c r="O868" s="131"/>
      <c r="P868" s="131"/>
      <c r="Q868" s="131"/>
      <c r="R868" s="131"/>
      <c r="S868" s="131"/>
      <c r="T868" s="131"/>
      <c r="U868" s="131"/>
      <c r="V868" s="131"/>
      <c r="W868" s="131"/>
      <c r="X868" s="131"/>
      <c r="Y868" s="131"/>
      <c r="Z868" s="203"/>
    </row>
    <row r="869">
      <c r="A869" s="262" t="s">
        <v>35</v>
      </c>
      <c r="B869" s="262" t="s">
        <v>425</v>
      </c>
      <c r="C869" s="262">
        <v>1115.0</v>
      </c>
      <c r="D869" s="262">
        <v>5.120880625</v>
      </c>
      <c r="E869" s="260">
        <f t="shared" si="31"/>
        <v>307.2528375</v>
      </c>
      <c r="F869" s="132">
        <f t="shared" si="32"/>
        <v>0.213370026</v>
      </c>
      <c r="G869" s="276" t="s">
        <v>1276</v>
      </c>
      <c r="H869" s="131"/>
      <c r="I869" s="131"/>
      <c r="J869" s="131"/>
      <c r="K869" s="131"/>
      <c r="L869" s="131"/>
      <c r="M869" s="131"/>
      <c r="N869" s="131"/>
      <c r="O869" s="131"/>
      <c r="P869" s="131"/>
      <c r="Q869" s="131"/>
      <c r="R869" s="131"/>
      <c r="S869" s="131"/>
      <c r="T869" s="131"/>
      <c r="U869" s="131"/>
      <c r="V869" s="131"/>
      <c r="W869" s="131"/>
      <c r="X869" s="131"/>
      <c r="Y869" s="131"/>
      <c r="Z869" s="203"/>
    </row>
    <row r="870">
      <c r="A870" s="262" t="s">
        <v>35</v>
      </c>
      <c r="B870" s="262" t="s">
        <v>42</v>
      </c>
      <c r="C870" s="262">
        <v>2653.0</v>
      </c>
      <c r="D870" s="262">
        <v>12.0367</v>
      </c>
      <c r="E870" s="260">
        <f t="shared" si="31"/>
        <v>722.202</v>
      </c>
      <c r="F870" s="132">
        <f t="shared" si="32"/>
        <v>0.5015291667</v>
      </c>
      <c r="G870" s="276" t="s">
        <v>1277</v>
      </c>
      <c r="H870" s="131"/>
      <c r="I870" s="131"/>
      <c r="J870" s="131"/>
      <c r="K870" s="131"/>
      <c r="L870" s="131"/>
      <c r="M870" s="131"/>
      <c r="N870" s="131"/>
      <c r="O870" s="131"/>
      <c r="P870" s="131"/>
      <c r="Q870" s="131"/>
      <c r="R870" s="131"/>
      <c r="S870" s="131"/>
      <c r="T870" s="131"/>
      <c r="U870" s="131"/>
      <c r="V870" s="131"/>
      <c r="W870" s="131"/>
      <c r="X870" s="131"/>
      <c r="Y870" s="131"/>
      <c r="Z870" s="203"/>
    </row>
    <row r="871">
      <c r="A871" s="262" t="s">
        <v>35</v>
      </c>
      <c r="B871" s="262" t="s">
        <v>80</v>
      </c>
      <c r="C871" s="262">
        <v>1192.0</v>
      </c>
      <c r="D871" s="262">
        <v>5.85912625</v>
      </c>
      <c r="E871" s="260">
        <f t="shared" si="31"/>
        <v>351.547575</v>
      </c>
      <c r="F871" s="132">
        <f t="shared" si="32"/>
        <v>0.2441302604</v>
      </c>
      <c r="G871" s="276" t="s">
        <v>1278</v>
      </c>
      <c r="H871" s="131"/>
      <c r="I871" s="131"/>
      <c r="J871" s="131"/>
      <c r="K871" s="131"/>
      <c r="L871" s="131"/>
      <c r="M871" s="131"/>
      <c r="N871" s="131"/>
      <c r="O871" s="131"/>
      <c r="P871" s="131"/>
      <c r="Q871" s="131"/>
      <c r="R871" s="131"/>
      <c r="S871" s="131"/>
      <c r="T871" s="131"/>
      <c r="U871" s="131"/>
      <c r="V871" s="131"/>
      <c r="W871" s="131"/>
      <c r="X871" s="131"/>
      <c r="Y871" s="131"/>
      <c r="Z871" s="203"/>
    </row>
    <row r="872">
      <c r="A872" s="262" t="s">
        <v>35</v>
      </c>
      <c r="B872" s="262" t="s">
        <v>82</v>
      </c>
      <c r="C872" s="262">
        <v>1175.0</v>
      </c>
      <c r="D872" s="262">
        <v>5.802506684</v>
      </c>
      <c r="E872" s="260">
        <f t="shared" si="31"/>
        <v>348.150401</v>
      </c>
      <c r="F872" s="132">
        <f t="shared" si="32"/>
        <v>0.2417711118</v>
      </c>
      <c r="G872" s="276" t="s">
        <v>1279</v>
      </c>
      <c r="H872" s="131"/>
      <c r="I872" s="131"/>
      <c r="J872" s="131"/>
      <c r="K872" s="131"/>
      <c r="L872" s="131"/>
      <c r="M872" s="131"/>
      <c r="N872" s="131"/>
      <c r="O872" s="131"/>
      <c r="P872" s="131"/>
      <c r="Q872" s="131"/>
      <c r="R872" s="131"/>
      <c r="S872" s="131"/>
      <c r="T872" s="131"/>
      <c r="U872" s="131"/>
      <c r="V872" s="131"/>
      <c r="W872" s="131"/>
      <c r="X872" s="131"/>
      <c r="Y872" s="131"/>
      <c r="Z872" s="203"/>
    </row>
    <row r="873">
      <c r="A873" s="262" t="s">
        <v>35</v>
      </c>
      <c r="B873" s="262" t="s">
        <v>83</v>
      </c>
      <c r="C873" s="262">
        <v>1176.0</v>
      </c>
      <c r="D873" s="262">
        <v>5.612250677</v>
      </c>
      <c r="E873" s="260">
        <f t="shared" si="31"/>
        <v>336.7350406</v>
      </c>
      <c r="F873" s="132">
        <f t="shared" si="32"/>
        <v>0.2338437782</v>
      </c>
      <c r="G873" s="276" t="s">
        <v>1280</v>
      </c>
      <c r="H873" s="131"/>
      <c r="I873" s="131"/>
      <c r="J873" s="131"/>
      <c r="K873" s="131"/>
      <c r="L873" s="131"/>
      <c r="M873" s="131"/>
      <c r="N873" s="131"/>
      <c r="O873" s="131"/>
      <c r="P873" s="131"/>
      <c r="Q873" s="131"/>
      <c r="R873" s="131"/>
      <c r="S873" s="131"/>
      <c r="T873" s="131"/>
      <c r="U873" s="131"/>
      <c r="V873" s="131"/>
      <c r="W873" s="131"/>
      <c r="X873" s="131"/>
      <c r="Y873" s="131"/>
      <c r="Z873" s="203"/>
    </row>
    <row r="874">
      <c r="A874" s="262" t="s">
        <v>35</v>
      </c>
      <c r="B874" s="262" t="s">
        <v>36</v>
      </c>
      <c r="C874" s="262">
        <v>913.0</v>
      </c>
      <c r="D874" s="262">
        <v>4.185916076</v>
      </c>
      <c r="E874" s="260">
        <f t="shared" si="31"/>
        <v>251.1549646</v>
      </c>
      <c r="F874" s="132">
        <f t="shared" si="32"/>
        <v>0.1744131698</v>
      </c>
      <c r="G874" s="276" t="s">
        <v>1281</v>
      </c>
      <c r="H874" s="131"/>
      <c r="I874" s="131"/>
      <c r="J874" s="131"/>
      <c r="K874" s="131"/>
      <c r="L874" s="131"/>
      <c r="M874" s="131"/>
      <c r="N874" s="131"/>
      <c r="O874" s="131"/>
      <c r="P874" s="131"/>
      <c r="Q874" s="131"/>
      <c r="R874" s="131"/>
      <c r="S874" s="131"/>
      <c r="T874" s="131"/>
      <c r="U874" s="131"/>
      <c r="V874" s="131"/>
      <c r="W874" s="131"/>
      <c r="X874" s="131"/>
      <c r="Y874" s="131"/>
      <c r="Z874" s="203"/>
    </row>
    <row r="875">
      <c r="A875" s="262" t="s">
        <v>17</v>
      </c>
      <c r="B875" s="262" t="s">
        <v>84</v>
      </c>
      <c r="C875" s="262">
        <v>1189.0</v>
      </c>
      <c r="D875" s="262">
        <v>4.7962</v>
      </c>
      <c r="E875" s="260">
        <f t="shared" si="31"/>
        <v>287.772</v>
      </c>
      <c r="F875" s="132">
        <f t="shared" si="32"/>
        <v>0.1998416667</v>
      </c>
      <c r="G875" s="276" t="s">
        <v>1282</v>
      </c>
      <c r="H875" s="131"/>
      <c r="I875" s="131"/>
      <c r="J875" s="131"/>
      <c r="K875" s="131"/>
      <c r="L875" s="131"/>
      <c r="M875" s="131"/>
      <c r="N875" s="131"/>
      <c r="O875" s="131"/>
      <c r="P875" s="131"/>
      <c r="Q875" s="131"/>
      <c r="R875" s="131"/>
      <c r="S875" s="131"/>
      <c r="T875" s="131"/>
      <c r="U875" s="131"/>
      <c r="V875" s="131"/>
      <c r="W875" s="131"/>
      <c r="X875" s="131"/>
      <c r="Y875" s="131"/>
      <c r="Z875" s="203"/>
    </row>
    <row r="876">
      <c r="A876" s="262" t="s">
        <v>17</v>
      </c>
      <c r="B876" s="262" t="s">
        <v>85</v>
      </c>
      <c r="C876" s="262">
        <v>663.0</v>
      </c>
      <c r="D876" s="262">
        <v>2.674112604</v>
      </c>
      <c r="E876" s="260">
        <f t="shared" si="31"/>
        <v>160.4467562</v>
      </c>
      <c r="F876" s="132">
        <f t="shared" si="32"/>
        <v>0.1114213585</v>
      </c>
      <c r="G876" s="276" t="s">
        <v>1283</v>
      </c>
      <c r="H876" s="131"/>
      <c r="I876" s="131"/>
      <c r="J876" s="131"/>
      <c r="K876" s="131"/>
      <c r="L876" s="131"/>
      <c r="M876" s="131"/>
      <c r="N876" s="131"/>
      <c r="O876" s="131"/>
      <c r="P876" s="131"/>
      <c r="Q876" s="131"/>
      <c r="R876" s="131"/>
      <c r="S876" s="131"/>
      <c r="T876" s="131"/>
      <c r="U876" s="131"/>
      <c r="V876" s="131"/>
      <c r="W876" s="131"/>
      <c r="X876" s="131"/>
      <c r="Y876" s="131"/>
      <c r="Z876" s="203"/>
    </row>
    <row r="877">
      <c r="A877" s="262" t="s">
        <v>17</v>
      </c>
      <c r="B877" s="262" t="s">
        <v>79</v>
      </c>
      <c r="C877" s="262">
        <v>999.0</v>
      </c>
      <c r="D877" s="262">
        <v>3.956112569</v>
      </c>
      <c r="E877" s="260">
        <f t="shared" si="31"/>
        <v>237.3667541</v>
      </c>
      <c r="F877" s="132">
        <f t="shared" si="32"/>
        <v>0.1648380237</v>
      </c>
      <c r="G877" s="276" t="s">
        <v>1284</v>
      </c>
      <c r="H877" s="131"/>
      <c r="I877" s="131"/>
      <c r="J877" s="131"/>
      <c r="K877" s="131"/>
      <c r="L877" s="131"/>
      <c r="M877" s="131"/>
      <c r="N877" s="131"/>
      <c r="O877" s="131"/>
      <c r="P877" s="131"/>
      <c r="Q877" s="131"/>
      <c r="R877" s="131"/>
      <c r="S877" s="131"/>
      <c r="T877" s="131"/>
      <c r="U877" s="131"/>
      <c r="V877" s="131"/>
      <c r="W877" s="131"/>
      <c r="X877" s="131"/>
      <c r="Y877" s="131"/>
      <c r="Z877" s="203"/>
    </row>
    <row r="878">
      <c r="A878" s="262" t="s">
        <v>17</v>
      </c>
      <c r="B878" s="262" t="s">
        <v>18</v>
      </c>
      <c r="C878" s="262">
        <v>1084.0</v>
      </c>
      <c r="D878" s="262">
        <v>4.178855382</v>
      </c>
      <c r="E878" s="260">
        <f t="shared" si="31"/>
        <v>250.7313229</v>
      </c>
      <c r="F878" s="132">
        <f t="shared" si="32"/>
        <v>0.1741189743</v>
      </c>
      <c r="G878" s="276" t="s">
        <v>1285</v>
      </c>
      <c r="H878" s="131"/>
      <c r="I878" s="131"/>
      <c r="J878" s="131"/>
      <c r="K878" s="131"/>
      <c r="L878" s="131"/>
      <c r="M878" s="131"/>
      <c r="N878" s="131"/>
      <c r="O878" s="131"/>
      <c r="P878" s="131"/>
      <c r="Q878" s="131"/>
      <c r="R878" s="131"/>
      <c r="S878" s="131"/>
      <c r="T878" s="131"/>
      <c r="U878" s="131"/>
      <c r="V878" s="131"/>
      <c r="W878" s="131"/>
      <c r="X878" s="131"/>
      <c r="Y878" s="131"/>
      <c r="Z878" s="203"/>
    </row>
    <row r="879">
      <c r="A879" s="262" t="s">
        <v>17</v>
      </c>
      <c r="B879" s="262" t="s">
        <v>23</v>
      </c>
      <c r="C879" s="262">
        <v>1190.0</v>
      </c>
      <c r="D879" s="262">
        <v>4.914711528</v>
      </c>
      <c r="E879" s="260">
        <f t="shared" si="31"/>
        <v>294.8826917</v>
      </c>
      <c r="F879" s="132">
        <f t="shared" si="32"/>
        <v>0.204779647</v>
      </c>
      <c r="G879" s="276" t="s">
        <v>1286</v>
      </c>
      <c r="H879" s="131"/>
      <c r="I879" s="131"/>
      <c r="J879" s="131"/>
      <c r="K879" s="131"/>
      <c r="L879" s="131"/>
      <c r="M879" s="131"/>
      <c r="N879" s="131"/>
      <c r="O879" s="131"/>
      <c r="P879" s="131"/>
      <c r="Q879" s="131"/>
      <c r="R879" s="131"/>
      <c r="S879" s="131"/>
      <c r="T879" s="131"/>
      <c r="U879" s="131"/>
      <c r="V879" s="131"/>
      <c r="W879" s="131"/>
      <c r="X879" s="131"/>
      <c r="Y879" s="131"/>
      <c r="Z879" s="203"/>
    </row>
    <row r="880">
      <c r="A880" s="262" t="s">
        <v>17</v>
      </c>
      <c r="B880" s="262" t="s">
        <v>86</v>
      </c>
      <c r="C880" s="262">
        <v>809.0</v>
      </c>
      <c r="D880" s="262">
        <v>3.372310573</v>
      </c>
      <c r="E880" s="260">
        <f t="shared" si="31"/>
        <v>202.3386344</v>
      </c>
      <c r="F880" s="132">
        <f t="shared" si="32"/>
        <v>0.1405129405</v>
      </c>
      <c r="G880" s="276" t="s">
        <v>1287</v>
      </c>
      <c r="H880" s="131"/>
      <c r="I880" s="131"/>
      <c r="J880" s="131"/>
      <c r="K880" s="131"/>
      <c r="L880" s="131"/>
      <c r="M880" s="131"/>
      <c r="N880" s="131"/>
      <c r="O880" s="131"/>
      <c r="P880" s="131"/>
      <c r="Q880" s="131"/>
      <c r="R880" s="131"/>
      <c r="S880" s="131"/>
      <c r="T880" s="131"/>
      <c r="U880" s="131"/>
      <c r="V880" s="131"/>
      <c r="W880" s="131"/>
      <c r="X880" s="131"/>
      <c r="Y880" s="131"/>
      <c r="Z880" s="203"/>
    </row>
    <row r="881">
      <c r="A881" s="262" t="s">
        <v>17</v>
      </c>
      <c r="B881" s="262" t="s">
        <v>87</v>
      </c>
      <c r="C881" s="262">
        <v>1151.0</v>
      </c>
      <c r="D881" s="262">
        <v>4.816835156</v>
      </c>
      <c r="E881" s="260">
        <f t="shared" si="31"/>
        <v>289.0101094</v>
      </c>
      <c r="F881" s="132">
        <f t="shared" si="32"/>
        <v>0.2007014648</v>
      </c>
      <c r="G881" s="276" t="s">
        <v>1288</v>
      </c>
      <c r="H881" s="131"/>
      <c r="I881" s="131"/>
      <c r="J881" s="131"/>
      <c r="K881" s="131"/>
      <c r="L881" s="131"/>
      <c r="M881" s="131"/>
      <c r="N881" s="131"/>
      <c r="O881" s="131"/>
      <c r="P881" s="131"/>
      <c r="Q881" s="131"/>
      <c r="R881" s="131"/>
      <c r="S881" s="131"/>
      <c r="T881" s="131"/>
      <c r="U881" s="131"/>
      <c r="V881" s="131"/>
      <c r="W881" s="131"/>
      <c r="X881" s="131"/>
      <c r="Y881" s="131"/>
      <c r="Z881" s="203"/>
    </row>
    <row r="882">
      <c r="A882" s="262" t="s">
        <v>88</v>
      </c>
      <c r="B882" s="262" t="s">
        <v>89</v>
      </c>
      <c r="C882" s="262">
        <v>4106.0</v>
      </c>
      <c r="D882" s="262">
        <v>18.8813829</v>
      </c>
      <c r="E882" s="260">
        <f t="shared" si="31"/>
        <v>1132.882974</v>
      </c>
      <c r="F882" s="132">
        <f t="shared" si="32"/>
        <v>0.7867242875</v>
      </c>
      <c r="G882" s="276" t="s">
        <v>1289</v>
      </c>
      <c r="H882" s="131"/>
      <c r="I882" s="131"/>
      <c r="J882" s="131"/>
      <c r="K882" s="131"/>
      <c r="L882" s="131"/>
      <c r="M882" s="131"/>
      <c r="N882" s="131"/>
      <c r="O882" s="131"/>
      <c r="P882" s="131"/>
      <c r="Q882" s="131"/>
      <c r="R882" s="131"/>
      <c r="S882" s="131"/>
      <c r="T882" s="131"/>
      <c r="U882" s="131"/>
      <c r="V882" s="131"/>
      <c r="W882" s="131"/>
      <c r="X882" s="131"/>
      <c r="Y882" s="131"/>
      <c r="Z882" s="203"/>
    </row>
    <row r="883">
      <c r="A883" s="262" t="s">
        <v>88</v>
      </c>
      <c r="B883" s="262" t="s">
        <v>90</v>
      </c>
      <c r="C883" s="262">
        <v>3918.0</v>
      </c>
      <c r="D883" s="262">
        <v>16.43492941</v>
      </c>
      <c r="E883" s="260">
        <f t="shared" si="31"/>
        <v>986.0957646</v>
      </c>
      <c r="F883" s="132">
        <f t="shared" si="32"/>
        <v>0.6847887254</v>
      </c>
      <c r="G883" s="276" t="s">
        <v>1290</v>
      </c>
      <c r="H883" s="131"/>
      <c r="I883" s="131"/>
      <c r="J883" s="131"/>
      <c r="K883" s="131"/>
      <c r="L883" s="131"/>
      <c r="M883" s="131"/>
      <c r="N883" s="131"/>
      <c r="O883" s="131"/>
      <c r="P883" s="131"/>
      <c r="Q883" s="131"/>
      <c r="R883" s="131"/>
      <c r="S883" s="131"/>
      <c r="T883" s="131"/>
      <c r="U883" s="131"/>
      <c r="V883" s="131"/>
      <c r="W883" s="131"/>
      <c r="X883" s="131"/>
      <c r="Y883" s="131"/>
      <c r="Z883" s="203"/>
    </row>
    <row r="884">
      <c r="A884" s="262" t="s">
        <v>729</v>
      </c>
      <c r="B884" s="262" t="s">
        <v>78</v>
      </c>
      <c r="C884" s="262">
        <v>2692.0</v>
      </c>
      <c r="D884" s="262">
        <v>11.43920135</v>
      </c>
      <c r="E884" s="260">
        <f t="shared" si="31"/>
        <v>686.352081</v>
      </c>
      <c r="F884" s="132">
        <f t="shared" si="32"/>
        <v>0.4766333896</v>
      </c>
      <c r="G884" s="276" t="s">
        <v>1291</v>
      </c>
      <c r="H884" s="131"/>
      <c r="I884" s="131"/>
      <c r="J884" s="131"/>
      <c r="K884" s="131"/>
      <c r="L884" s="131"/>
      <c r="M884" s="131"/>
      <c r="N884" s="131"/>
      <c r="O884" s="131"/>
      <c r="P884" s="131"/>
      <c r="Q884" s="131"/>
      <c r="R884" s="131"/>
      <c r="S884" s="131"/>
      <c r="T884" s="131"/>
      <c r="U884" s="131"/>
      <c r="V884" s="131"/>
      <c r="W884" s="131"/>
      <c r="X884" s="131"/>
      <c r="Y884" s="131"/>
      <c r="Z884" s="203"/>
    </row>
    <row r="885">
      <c r="A885" s="262" t="s">
        <v>729</v>
      </c>
      <c r="B885" s="262" t="s">
        <v>91</v>
      </c>
      <c r="C885" s="262">
        <v>2326.0</v>
      </c>
      <c r="D885" s="262">
        <v>10.77791776</v>
      </c>
      <c r="E885" s="260">
        <f t="shared" si="31"/>
        <v>646.6750656</v>
      </c>
      <c r="F885" s="132">
        <f t="shared" si="32"/>
        <v>0.4490799067</v>
      </c>
      <c r="G885" s="276" t="s">
        <v>1292</v>
      </c>
      <c r="H885" s="131"/>
      <c r="I885" s="131"/>
      <c r="J885" s="131"/>
      <c r="K885" s="131"/>
      <c r="L885" s="131"/>
      <c r="M885" s="131"/>
      <c r="N885" s="131"/>
      <c r="O885" s="131"/>
      <c r="P885" s="131"/>
      <c r="Q885" s="131"/>
      <c r="R885" s="131"/>
      <c r="S885" s="131"/>
      <c r="T885" s="131"/>
      <c r="U885" s="131"/>
      <c r="V885" s="131"/>
      <c r="W885" s="131"/>
      <c r="X885" s="131"/>
      <c r="Y885" s="131"/>
      <c r="Z885" s="203"/>
    </row>
    <row r="886">
      <c r="A886" s="262" t="s">
        <v>67</v>
      </c>
      <c r="B886" s="262" t="s">
        <v>426</v>
      </c>
      <c r="C886" s="262">
        <v>2469.0</v>
      </c>
      <c r="D886" s="262">
        <v>10.85582439</v>
      </c>
      <c r="E886" s="260">
        <f t="shared" si="31"/>
        <v>651.3494634</v>
      </c>
      <c r="F886" s="132">
        <f t="shared" si="32"/>
        <v>0.4523260163</v>
      </c>
      <c r="G886" s="276" t="s">
        <v>1293</v>
      </c>
      <c r="H886" s="131"/>
      <c r="I886" s="131"/>
      <c r="J886" s="131"/>
      <c r="K886" s="131"/>
      <c r="L886" s="131"/>
      <c r="M886" s="131"/>
      <c r="N886" s="131"/>
      <c r="O886" s="131"/>
      <c r="P886" s="131"/>
      <c r="Q886" s="131"/>
      <c r="R886" s="131"/>
      <c r="S886" s="131"/>
      <c r="T886" s="131"/>
      <c r="U886" s="131"/>
      <c r="V886" s="131"/>
      <c r="W886" s="131"/>
      <c r="X886" s="131"/>
      <c r="Y886" s="131"/>
      <c r="Z886" s="203"/>
    </row>
    <row r="887">
      <c r="A887" s="262" t="s">
        <v>67</v>
      </c>
      <c r="B887" s="262" t="s">
        <v>93</v>
      </c>
      <c r="C887" s="262">
        <v>1292.0</v>
      </c>
      <c r="D887" s="262">
        <v>6.241518733</v>
      </c>
      <c r="E887" s="260">
        <f t="shared" si="31"/>
        <v>374.491124</v>
      </c>
      <c r="F887" s="132">
        <f t="shared" si="32"/>
        <v>0.2600632805</v>
      </c>
      <c r="G887" s="276" t="s">
        <v>1294</v>
      </c>
      <c r="H887" s="131"/>
      <c r="I887" s="131"/>
      <c r="J887" s="131"/>
      <c r="K887" s="131"/>
      <c r="L887" s="131"/>
      <c r="M887" s="131"/>
      <c r="N887" s="131"/>
      <c r="O887" s="131"/>
      <c r="P887" s="131"/>
      <c r="Q887" s="131"/>
      <c r="R887" s="131"/>
      <c r="S887" s="131"/>
      <c r="T887" s="131"/>
      <c r="U887" s="131"/>
      <c r="V887" s="131"/>
      <c r="W887" s="131"/>
      <c r="X887" s="131"/>
      <c r="Y887" s="131"/>
      <c r="Z887" s="203"/>
    </row>
    <row r="888">
      <c r="A888" s="262" t="s">
        <v>474</v>
      </c>
      <c r="B888" s="262" t="s">
        <v>94</v>
      </c>
      <c r="C888" s="262">
        <v>2034.0</v>
      </c>
      <c r="D888" s="262">
        <v>8.597843368</v>
      </c>
      <c r="E888" s="260">
        <f t="shared" si="31"/>
        <v>515.8706021</v>
      </c>
      <c r="F888" s="132">
        <f t="shared" si="32"/>
        <v>0.3582434737</v>
      </c>
      <c r="G888" s="276" t="s">
        <v>1295</v>
      </c>
      <c r="H888" s="131"/>
      <c r="I888" s="131"/>
      <c r="J888" s="131"/>
      <c r="K888" s="131"/>
      <c r="L888" s="131"/>
      <c r="M888" s="131"/>
      <c r="N888" s="131"/>
      <c r="O888" s="131"/>
      <c r="P888" s="131"/>
      <c r="Q888" s="131"/>
      <c r="R888" s="131"/>
      <c r="S888" s="131"/>
      <c r="T888" s="131"/>
      <c r="U888" s="131"/>
      <c r="V888" s="131"/>
      <c r="W888" s="131"/>
      <c r="X888" s="131"/>
      <c r="Y888" s="131"/>
      <c r="Z888" s="203"/>
    </row>
    <row r="889">
      <c r="A889" s="262" t="s">
        <v>474</v>
      </c>
      <c r="B889" s="262" t="s">
        <v>95</v>
      </c>
      <c r="C889" s="262">
        <v>3620.0</v>
      </c>
      <c r="D889" s="262">
        <v>16.5657808</v>
      </c>
      <c r="E889" s="260">
        <f t="shared" si="31"/>
        <v>993.946848</v>
      </c>
      <c r="F889" s="132">
        <f t="shared" si="32"/>
        <v>0.6902408667</v>
      </c>
      <c r="G889" s="276" t="s">
        <v>1296</v>
      </c>
      <c r="H889" s="131"/>
      <c r="I889" s="131"/>
      <c r="J889" s="131"/>
      <c r="K889" s="131"/>
      <c r="L889" s="131"/>
      <c r="M889" s="131"/>
      <c r="N889" s="131"/>
      <c r="O889" s="131"/>
      <c r="P889" s="131"/>
      <c r="Q889" s="131"/>
      <c r="R889" s="131"/>
      <c r="S889" s="131"/>
      <c r="T889" s="131"/>
      <c r="U889" s="131"/>
      <c r="V889" s="131"/>
      <c r="W889" s="131"/>
      <c r="X889" s="131"/>
      <c r="Y889" s="131"/>
      <c r="Z889" s="203"/>
    </row>
    <row r="890">
      <c r="A890" s="262" t="s">
        <v>474</v>
      </c>
      <c r="B890" s="262" t="s">
        <v>96</v>
      </c>
      <c r="C890" s="262">
        <v>2073.0</v>
      </c>
      <c r="D890" s="262">
        <v>8.861545556</v>
      </c>
      <c r="E890" s="260">
        <f t="shared" si="31"/>
        <v>531.6927334</v>
      </c>
      <c r="F890" s="132">
        <f t="shared" si="32"/>
        <v>0.3692310648</v>
      </c>
      <c r="G890" s="276" t="s">
        <v>1297</v>
      </c>
      <c r="H890" s="131"/>
      <c r="I890" s="131"/>
      <c r="J890" s="131"/>
      <c r="K890" s="131"/>
      <c r="L890" s="131"/>
      <c r="M890" s="131"/>
      <c r="N890" s="131"/>
      <c r="O890" s="131"/>
      <c r="P890" s="131"/>
      <c r="Q890" s="131"/>
      <c r="R890" s="131"/>
      <c r="S890" s="131"/>
      <c r="T890" s="131"/>
      <c r="U890" s="131"/>
      <c r="V890" s="131"/>
      <c r="W890" s="131"/>
      <c r="X890" s="131"/>
      <c r="Y890" s="131"/>
      <c r="Z890" s="203"/>
    </row>
    <row r="891">
      <c r="A891" s="262" t="s">
        <v>474</v>
      </c>
      <c r="B891" s="262" t="s">
        <v>92</v>
      </c>
      <c r="C891" s="262">
        <v>1089.0</v>
      </c>
      <c r="D891" s="262">
        <v>4.70494191</v>
      </c>
      <c r="E891" s="260">
        <f t="shared" si="31"/>
        <v>282.2965146</v>
      </c>
      <c r="F891" s="132">
        <f t="shared" si="32"/>
        <v>0.1960392463</v>
      </c>
      <c r="G891" s="276" t="s">
        <v>1298</v>
      </c>
      <c r="H891" s="131"/>
      <c r="I891" s="131"/>
      <c r="J891" s="131"/>
      <c r="K891" s="131"/>
      <c r="L891" s="131"/>
      <c r="M891" s="131"/>
      <c r="N891" s="131"/>
      <c r="O891" s="131"/>
      <c r="P891" s="131"/>
      <c r="Q891" s="131"/>
      <c r="R891" s="131"/>
      <c r="S891" s="131"/>
      <c r="T891" s="131"/>
      <c r="U891" s="131"/>
      <c r="V891" s="131"/>
      <c r="W891" s="131"/>
      <c r="X891" s="131"/>
      <c r="Y891" s="131"/>
      <c r="Z891" s="203"/>
    </row>
    <row r="892">
      <c r="A892" s="262" t="s">
        <v>474</v>
      </c>
      <c r="B892" s="262" t="s">
        <v>97</v>
      </c>
      <c r="C892" s="262">
        <v>1912.0</v>
      </c>
      <c r="D892" s="262">
        <v>8.415964913</v>
      </c>
      <c r="E892" s="260">
        <f t="shared" si="31"/>
        <v>504.9578948</v>
      </c>
      <c r="F892" s="132">
        <f t="shared" si="32"/>
        <v>0.3506652047</v>
      </c>
      <c r="G892" s="276" t="s">
        <v>1299</v>
      </c>
      <c r="H892" s="131"/>
      <c r="I892" s="131"/>
      <c r="J892" s="131"/>
      <c r="K892" s="131"/>
      <c r="L892" s="131"/>
      <c r="M892" s="131"/>
      <c r="N892" s="131"/>
      <c r="O892" s="131"/>
      <c r="P892" s="131"/>
      <c r="Q892" s="131"/>
      <c r="R892" s="131"/>
      <c r="S892" s="131"/>
      <c r="T892" s="131"/>
      <c r="U892" s="131"/>
      <c r="V892" s="131"/>
      <c r="W892" s="131"/>
      <c r="X892" s="131"/>
      <c r="Y892" s="131"/>
      <c r="Z892" s="203"/>
    </row>
    <row r="893">
      <c r="A893" s="262" t="s">
        <v>474</v>
      </c>
      <c r="B893" s="262" t="s">
        <v>57</v>
      </c>
      <c r="C893" s="262">
        <v>2507.0</v>
      </c>
      <c r="D893" s="262">
        <v>11.22483012</v>
      </c>
      <c r="E893" s="260">
        <f t="shared" si="31"/>
        <v>673.4898072</v>
      </c>
      <c r="F893" s="132">
        <f t="shared" si="32"/>
        <v>0.467701255</v>
      </c>
      <c r="G893" s="276" t="s">
        <v>1300</v>
      </c>
      <c r="H893" s="131"/>
      <c r="I893" s="131"/>
      <c r="J893" s="131"/>
      <c r="K893" s="131"/>
      <c r="L893" s="131"/>
      <c r="M893" s="131"/>
      <c r="N893" s="131"/>
      <c r="O893" s="131"/>
      <c r="P893" s="131"/>
      <c r="Q893" s="131"/>
      <c r="R893" s="131"/>
      <c r="S893" s="131"/>
      <c r="T893" s="131"/>
      <c r="U893" s="131"/>
      <c r="V893" s="131"/>
      <c r="W893" s="131"/>
      <c r="X893" s="131"/>
      <c r="Y893" s="131"/>
      <c r="Z893" s="203"/>
    </row>
    <row r="894">
      <c r="A894" s="262" t="s">
        <v>474</v>
      </c>
      <c r="B894" s="262" t="s">
        <v>98</v>
      </c>
      <c r="C894" s="262">
        <v>2137.0</v>
      </c>
      <c r="D894" s="262">
        <v>9.993918194</v>
      </c>
      <c r="E894" s="260">
        <f t="shared" si="31"/>
        <v>599.6350916</v>
      </c>
      <c r="F894" s="132">
        <f t="shared" si="32"/>
        <v>0.4164132581</v>
      </c>
      <c r="G894" s="276" t="s">
        <v>1301</v>
      </c>
      <c r="H894" s="131"/>
      <c r="I894" s="131"/>
      <c r="J894" s="131"/>
      <c r="K894" s="131"/>
      <c r="L894" s="131"/>
      <c r="M894" s="131"/>
      <c r="N894" s="131"/>
      <c r="O894" s="131"/>
      <c r="P894" s="131"/>
      <c r="Q894" s="131"/>
      <c r="R894" s="131"/>
      <c r="S894" s="131"/>
      <c r="T894" s="131"/>
      <c r="U894" s="131"/>
      <c r="V894" s="131"/>
      <c r="W894" s="131"/>
      <c r="X894" s="131"/>
      <c r="Y894" s="131"/>
      <c r="Z894" s="203"/>
    </row>
    <row r="895">
      <c r="A895" s="262" t="s">
        <v>474</v>
      </c>
      <c r="B895" s="262" t="s">
        <v>428</v>
      </c>
      <c r="C895" s="262">
        <v>707.0</v>
      </c>
      <c r="D895" s="262">
        <v>3.33476401</v>
      </c>
      <c r="E895" s="260">
        <f t="shared" si="31"/>
        <v>200.0858406</v>
      </c>
      <c r="F895" s="132">
        <f t="shared" si="32"/>
        <v>0.1389485004</v>
      </c>
      <c r="G895" s="276" t="s">
        <v>1302</v>
      </c>
      <c r="H895" s="131"/>
      <c r="I895" s="131"/>
      <c r="J895" s="131"/>
      <c r="K895" s="131"/>
      <c r="L895" s="131"/>
      <c r="M895" s="131"/>
      <c r="N895" s="131"/>
      <c r="O895" s="131"/>
      <c r="P895" s="131"/>
      <c r="Q895" s="131"/>
      <c r="R895" s="131"/>
      <c r="S895" s="131"/>
      <c r="T895" s="131"/>
      <c r="U895" s="131"/>
      <c r="V895" s="131"/>
      <c r="W895" s="131"/>
      <c r="X895" s="131"/>
      <c r="Y895" s="131"/>
      <c r="Z895" s="203"/>
    </row>
    <row r="896">
      <c r="A896" s="262" t="s">
        <v>474</v>
      </c>
      <c r="B896" s="262" t="s">
        <v>99</v>
      </c>
      <c r="C896" s="262">
        <v>2871.0</v>
      </c>
      <c r="D896" s="262">
        <v>12.54463503</v>
      </c>
      <c r="E896" s="260">
        <f t="shared" si="31"/>
        <v>752.6781018</v>
      </c>
      <c r="F896" s="132">
        <f t="shared" si="32"/>
        <v>0.5226931263</v>
      </c>
      <c r="G896" s="276" t="s">
        <v>1303</v>
      </c>
      <c r="H896" s="131"/>
      <c r="I896" s="131"/>
      <c r="J896" s="131"/>
      <c r="K896" s="131"/>
      <c r="L896" s="131"/>
      <c r="M896" s="131"/>
      <c r="N896" s="131"/>
      <c r="O896" s="131"/>
      <c r="P896" s="131"/>
      <c r="Q896" s="131"/>
      <c r="R896" s="131"/>
      <c r="S896" s="131"/>
      <c r="T896" s="131"/>
      <c r="U896" s="131"/>
      <c r="V896" s="131"/>
      <c r="W896" s="131"/>
      <c r="X896" s="131"/>
      <c r="Y896" s="131"/>
      <c r="Z896" s="203"/>
    </row>
    <row r="897">
      <c r="A897" s="262" t="s">
        <v>474</v>
      </c>
      <c r="B897" s="262" t="s">
        <v>61</v>
      </c>
      <c r="C897" s="262">
        <v>1524.0</v>
      </c>
      <c r="D897" s="262">
        <v>6.523803854</v>
      </c>
      <c r="E897" s="260">
        <f t="shared" si="31"/>
        <v>391.4282312</v>
      </c>
      <c r="F897" s="132">
        <f t="shared" si="32"/>
        <v>0.2718251606</v>
      </c>
      <c r="G897" s="276" t="s">
        <v>1304</v>
      </c>
      <c r="H897" s="131"/>
      <c r="I897" s="131"/>
      <c r="J897" s="131"/>
      <c r="K897" s="131"/>
      <c r="L897" s="131"/>
      <c r="M897" s="131"/>
      <c r="N897" s="131"/>
      <c r="O897" s="131"/>
      <c r="P897" s="131"/>
      <c r="Q897" s="131"/>
      <c r="R897" s="131"/>
      <c r="S897" s="131"/>
      <c r="T897" s="131"/>
      <c r="U897" s="131"/>
      <c r="V897" s="131"/>
      <c r="W897" s="131"/>
      <c r="X897" s="131"/>
      <c r="Y897" s="131"/>
      <c r="Z897" s="203"/>
    </row>
    <row r="898">
      <c r="A898" s="262" t="s">
        <v>429</v>
      </c>
      <c r="B898" s="262" t="s">
        <v>430</v>
      </c>
      <c r="C898" s="262">
        <v>4167.0</v>
      </c>
      <c r="D898" s="262">
        <v>20.94560101</v>
      </c>
      <c r="E898" s="260">
        <f t="shared" si="31"/>
        <v>1256.736061</v>
      </c>
      <c r="F898" s="132">
        <f t="shared" si="32"/>
        <v>0.8727333754</v>
      </c>
      <c r="G898" s="276" t="s">
        <v>1305</v>
      </c>
      <c r="H898" s="131"/>
      <c r="I898" s="131"/>
      <c r="J898" s="131"/>
      <c r="K898" s="131"/>
      <c r="L898" s="131"/>
      <c r="M898" s="131"/>
      <c r="N898" s="131"/>
      <c r="O898" s="131"/>
      <c r="P898" s="131"/>
      <c r="Q898" s="131"/>
      <c r="R898" s="131"/>
      <c r="S898" s="131"/>
      <c r="T898" s="131"/>
      <c r="U898" s="131"/>
      <c r="V898" s="131"/>
      <c r="W898" s="131"/>
      <c r="X898" s="131"/>
      <c r="Y898" s="131"/>
      <c r="Z898" s="203"/>
    </row>
    <row r="899">
      <c r="A899" s="262" t="s">
        <v>429</v>
      </c>
      <c r="B899" s="262" t="s">
        <v>101</v>
      </c>
      <c r="C899" s="262">
        <v>3724.0</v>
      </c>
      <c r="D899" s="262">
        <v>18.43625891</v>
      </c>
      <c r="E899" s="260">
        <f t="shared" si="31"/>
        <v>1106.175535</v>
      </c>
      <c r="F899" s="132">
        <f t="shared" si="32"/>
        <v>0.7681774546</v>
      </c>
      <c r="G899" s="276" t="s">
        <v>1306</v>
      </c>
      <c r="H899" s="131"/>
      <c r="I899" s="131"/>
      <c r="J899" s="131"/>
      <c r="K899" s="131"/>
      <c r="L899" s="131"/>
      <c r="M899" s="131"/>
      <c r="N899" s="131"/>
      <c r="O899" s="131"/>
      <c r="P899" s="131"/>
      <c r="Q899" s="131"/>
      <c r="R899" s="131"/>
      <c r="S899" s="131"/>
      <c r="T899" s="131"/>
      <c r="U899" s="131"/>
      <c r="V899" s="131"/>
      <c r="W899" s="131"/>
      <c r="X899" s="131"/>
      <c r="Y899" s="131"/>
      <c r="Z899" s="203"/>
    </row>
    <row r="900">
      <c r="A900" s="262" t="s">
        <v>429</v>
      </c>
      <c r="B900" s="262" t="s">
        <v>102</v>
      </c>
      <c r="C900" s="262">
        <v>3439.0</v>
      </c>
      <c r="D900" s="281">
        <v>16.20815783</v>
      </c>
      <c r="E900" s="260">
        <f t="shared" si="31"/>
        <v>972.4894698</v>
      </c>
      <c r="F900" s="132">
        <f t="shared" si="32"/>
        <v>0.6753399096</v>
      </c>
      <c r="G900" s="276" t="s">
        <v>1307</v>
      </c>
      <c r="H900" s="131"/>
      <c r="I900" s="131"/>
      <c r="J900" s="131"/>
      <c r="K900" s="131"/>
      <c r="L900" s="131"/>
      <c r="M900" s="131"/>
      <c r="N900" s="131"/>
      <c r="O900" s="131"/>
      <c r="P900" s="131"/>
      <c r="Q900" s="131"/>
      <c r="R900" s="131"/>
      <c r="S900" s="131"/>
      <c r="T900" s="131"/>
      <c r="U900" s="131"/>
      <c r="V900" s="131"/>
      <c r="W900" s="131"/>
      <c r="X900" s="131"/>
      <c r="Y900" s="131"/>
      <c r="Z900" s="203"/>
    </row>
    <row r="901">
      <c r="A901" s="262" t="s">
        <v>429</v>
      </c>
      <c r="B901" s="262" t="s">
        <v>29</v>
      </c>
      <c r="C901" s="262">
        <v>5182.0</v>
      </c>
      <c r="D901" s="262">
        <v>23.28077101</v>
      </c>
      <c r="E901" s="260">
        <f t="shared" si="31"/>
        <v>1396.846261</v>
      </c>
      <c r="F901" s="132">
        <f t="shared" si="32"/>
        <v>0.9700321254</v>
      </c>
      <c r="G901" s="276" t="s">
        <v>1308</v>
      </c>
      <c r="H901" s="131"/>
      <c r="I901" s="131"/>
      <c r="J901" s="131"/>
      <c r="K901" s="131"/>
      <c r="L901" s="131"/>
      <c r="M901" s="131"/>
      <c r="N901" s="131"/>
      <c r="O901" s="131"/>
      <c r="P901" s="131"/>
      <c r="Q901" s="131"/>
      <c r="R901" s="131"/>
      <c r="S901" s="131"/>
      <c r="T901" s="131"/>
      <c r="U901" s="131"/>
      <c r="V901" s="131"/>
      <c r="W901" s="131"/>
      <c r="X901" s="131"/>
      <c r="Y901" s="131"/>
      <c r="Z901" s="203"/>
    </row>
    <row r="902">
      <c r="A902" s="262" t="s">
        <v>429</v>
      </c>
      <c r="B902" s="262" t="s">
        <v>103</v>
      </c>
      <c r="C902" s="262">
        <v>4376.0</v>
      </c>
      <c r="D902" s="262">
        <v>21.51723438</v>
      </c>
      <c r="E902" s="260">
        <f t="shared" si="31"/>
        <v>1291.034063</v>
      </c>
      <c r="F902" s="132">
        <f t="shared" si="32"/>
        <v>0.8965514325</v>
      </c>
      <c r="G902" s="276" t="s">
        <v>1309</v>
      </c>
      <c r="H902" s="131"/>
      <c r="I902" s="131"/>
      <c r="J902" s="131"/>
      <c r="K902" s="131"/>
      <c r="L902" s="131"/>
      <c r="M902" s="131"/>
      <c r="N902" s="131"/>
      <c r="O902" s="131"/>
      <c r="P902" s="131"/>
      <c r="Q902" s="131"/>
      <c r="R902" s="131"/>
      <c r="S902" s="131"/>
      <c r="T902" s="131"/>
      <c r="U902" s="131"/>
      <c r="V902" s="131"/>
      <c r="W902" s="131"/>
      <c r="X902" s="131"/>
      <c r="Y902" s="131"/>
      <c r="Z902" s="203"/>
    </row>
    <row r="903">
      <c r="A903" s="262" t="s">
        <v>429</v>
      </c>
      <c r="B903" s="262" t="s">
        <v>465</v>
      </c>
      <c r="C903" s="262">
        <v>4916.0</v>
      </c>
      <c r="D903" s="262">
        <v>22.6912147</v>
      </c>
      <c r="E903" s="260">
        <f t="shared" si="31"/>
        <v>1361.472882</v>
      </c>
      <c r="F903" s="132">
        <f t="shared" si="32"/>
        <v>0.9454672792</v>
      </c>
      <c r="G903" s="276" t="s">
        <v>1310</v>
      </c>
      <c r="H903" s="131"/>
      <c r="I903" s="131"/>
      <c r="J903" s="131"/>
      <c r="K903" s="131"/>
      <c r="L903" s="131"/>
      <c r="M903" s="131"/>
      <c r="N903" s="131"/>
      <c r="O903" s="131"/>
      <c r="P903" s="131"/>
      <c r="Q903" s="131"/>
      <c r="R903" s="131"/>
      <c r="S903" s="131"/>
      <c r="T903" s="131"/>
      <c r="U903" s="131"/>
      <c r="V903" s="131"/>
      <c r="W903" s="131"/>
      <c r="X903" s="131"/>
      <c r="Y903" s="131"/>
      <c r="Z903" s="203"/>
    </row>
    <row r="904">
      <c r="A904" s="262" t="s">
        <v>429</v>
      </c>
      <c r="B904" s="262" t="s">
        <v>432</v>
      </c>
      <c r="C904" s="262">
        <v>4046.0</v>
      </c>
      <c r="D904" s="262">
        <v>18.6184962</v>
      </c>
      <c r="E904" s="260">
        <f t="shared" si="31"/>
        <v>1117.109772</v>
      </c>
      <c r="F904" s="132">
        <f t="shared" si="32"/>
        <v>0.775770675</v>
      </c>
      <c r="G904" s="276" t="s">
        <v>1311</v>
      </c>
      <c r="H904" s="131"/>
      <c r="I904" s="131"/>
      <c r="J904" s="131"/>
      <c r="K904" s="131"/>
      <c r="L904" s="131"/>
      <c r="M904" s="131"/>
      <c r="N904" s="131"/>
      <c r="O904" s="131"/>
      <c r="P904" s="131"/>
      <c r="Q904" s="131"/>
      <c r="R904" s="131"/>
      <c r="S904" s="131"/>
      <c r="T904" s="131"/>
      <c r="U904" s="131"/>
      <c r="V904" s="131"/>
      <c r="W904" s="131"/>
      <c r="X904" s="131"/>
      <c r="Y904" s="131"/>
      <c r="Z904" s="203"/>
    </row>
    <row r="905">
      <c r="A905" s="262" t="s">
        <v>429</v>
      </c>
      <c r="B905" s="262" t="s">
        <v>105</v>
      </c>
      <c r="C905" s="262">
        <v>4187.0</v>
      </c>
      <c r="D905" s="262">
        <v>19.01938547</v>
      </c>
      <c r="E905" s="260">
        <f t="shared" si="31"/>
        <v>1141.163128</v>
      </c>
      <c r="F905" s="132">
        <f t="shared" si="32"/>
        <v>0.7924743946</v>
      </c>
      <c r="G905" s="276" t="s">
        <v>1312</v>
      </c>
      <c r="H905" s="131"/>
      <c r="I905" s="131"/>
      <c r="J905" s="131"/>
      <c r="K905" s="131"/>
      <c r="L905" s="131"/>
      <c r="M905" s="131"/>
      <c r="N905" s="131"/>
      <c r="O905" s="131"/>
      <c r="P905" s="131"/>
      <c r="Q905" s="131"/>
      <c r="R905" s="131"/>
      <c r="S905" s="131"/>
      <c r="T905" s="131"/>
      <c r="U905" s="131"/>
      <c r="V905" s="131"/>
      <c r="W905" s="131"/>
      <c r="X905" s="131"/>
      <c r="Y905" s="131"/>
      <c r="Z905" s="203"/>
    </row>
    <row r="906">
      <c r="A906" s="131"/>
      <c r="B906" s="131"/>
      <c r="C906" s="131">
        <f>sum(C826:C905)</f>
        <v>162148</v>
      </c>
      <c r="D906" s="212" t="s">
        <v>484</v>
      </c>
      <c r="E906" s="222">
        <f>SUM(E826:E905)</f>
        <v>43917.45843</v>
      </c>
      <c r="F906" s="132">
        <f t="shared" si="32"/>
        <v>30.49823502</v>
      </c>
      <c r="G906" s="211"/>
      <c r="H906" s="131"/>
      <c r="I906" s="131"/>
      <c r="J906" s="131"/>
      <c r="K906" s="131"/>
      <c r="L906" s="131"/>
      <c r="M906" s="131"/>
      <c r="N906" s="131"/>
      <c r="O906" s="131"/>
      <c r="P906" s="131"/>
      <c r="Q906" s="131"/>
      <c r="R906" s="131"/>
      <c r="S906" s="131"/>
      <c r="T906" s="131"/>
      <c r="U906" s="131"/>
      <c r="V906" s="131"/>
      <c r="W906" s="131"/>
      <c r="X906" s="131"/>
      <c r="Y906" s="131"/>
      <c r="Z906" s="203"/>
    </row>
    <row r="907">
      <c r="A907" s="131"/>
      <c r="B907" s="131"/>
      <c r="C907" s="131"/>
      <c r="D907" s="131"/>
      <c r="E907" s="222"/>
      <c r="F907" s="132"/>
      <c r="G907" s="211"/>
      <c r="H907" s="131"/>
      <c r="I907" s="131"/>
      <c r="J907" s="131"/>
      <c r="K907" s="131"/>
      <c r="L907" s="131"/>
      <c r="M907" s="131"/>
      <c r="N907" s="131"/>
      <c r="O907" s="131"/>
      <c r="P907" s="131"/>
      <c r="Q907" s="131"/>
      <c r="R907" s="131"/>
      <c r="S907" s="131"/>
      <c r="T907" s="131"/>
      <c r="U907" s="131"/>
      <c r="V907" s="131"/>
      <c r="W907" s="131"/>
      <c r="X907" s="131"/>
      <c r="Y907" s="131"/>
      <c r="Z907" s="203"/>
    </row>
    <row r="908">
      <c r="A908" s="131"/>
      <c r="B908" s="131"/>
      <c r="C908" s="131"/>
      <c r="D908" s="131"/>
      <c r="E908" s="222"/>
      <c r="F908" s="132"/>
      <c r="G908" s="211"/>
      <c r="H908" s="131"/>
      <c r="I908" s="131"/>
      <c r="J908" s="131"/>
      <c r="K908" s="131"/>
      <c r="L908" s="131"/>
      <c r="M908" s="131"/>
      <c r="N908" s="131"/>
      <c r="O908" s="131"/>
      <c r="P908" s="131"/>
      <c r="Q908" s="131"/>
      <c r="R908" s="131"/>
      <c r="S908" s="131"/>
      <c r="T908" s="131"/>
      <c r="U908" s="131"/>
      <c r="V908" s="131"/>
      <c r="W908" s="131"/>
      <c r="X908" s="131"/>
      <c r="Y908" s="131"/>
      <c r="Z908" s="203"/>
    </row>
    <row r="909">
      <c r="A909" s="282" t="s">
        <v>1313</v>
      </c>
      <c r="B909" s="131"/>
      <c r="C909" s="131"/>
      <c r="D909" s="131"/>
      <c r="E909" s="222"/>
      <c r="F909" s="132"/>
      <c r="G909" s="211"/>
      <c r="H909" s="131"/>
      <c r="I909" s="131"/>
      <c r="J909" s="131"/>
      <c r="K909" s="131"/>
      <c r="L909" s="131"/>
      <c r="M909" s="131"/>
      <c r="N909" s="131"/>
      <c r="O909" s="131"/>
      <c r="P909" s="131"/>
      <c r="Q909" s="131"/>
      <c r="R909" s="131"/>
      <c r="S909" s="131"/>
      <c r="T909" s="131"/>
      <c r="U909" s="131"/>
      <c r="V909" s="131"/>
      <c r="W909" s="131"/>
      <c r="X909" s="131"/>
      <c r="Y909" s="131"/>
      <c r="Z909" s="203"/>
    </row>
    <row r="910">
      <c r="A910" s="131"/>
      <c r="B910" s="131"/>
      <c r="C910" s="131"/>
      <c r="D910" s="131"/>
      <c r="E910" s="222"/>
      <c r="F910" s="132"/>
      <c r="G910" s="211"/>
      <c r="H910" s="131"/>
      <c r="I910" s="131"/>
      <c r="J910" s="131"/>
      <c r="K910" s="131"/>
      <c r="L910" s="131"/>
      <c r="M910" s="131"/>
      <c r="N910" s="131"/>
      <c r="O910" s="131"/>
      <c r="P910" s="131"/>
      <c r="Q910" s="131"/>
      <c r="R910" s="131"/>
      <c r="S910" s="131"/>
      <c r="T910" s="131"/>
      <c r="U910" s="131"/>
      <c r="V910" s="131"/>
      <c r="W910" s="131"/>
      <c r="X910" s="131"/>
      <c r="Y910" s="131"/>
      <c r="Z910" s="203"/>
    </row>
    <row r="911">
      <c r="A911" s="268" t="s">
        <v>0</v>
      </c>
      <c r="B911" s="268" t="s">
        <v>362</v>
      </c>
      <c r="C911" s="239" t="s">
        <v>534</v>
      </c>
      <c r="D911" s="239" t="s">
        <v>420</v>
      </c>
      <c r="E911" s="259" t="s">
        <v>3</v>
      </c>
      <c r="F911" s="214" t="s">
        <v>470</v>
      </c>
      <c r="G911" s="140" t="s">
        <v>471</v>
      </c>
      <c r="H911" s="131"/>
      <c r="I911" s="131"/>
      <c r="J911" s="131"/>
      <c r="K911" s="131"/>
      <c r="L911" s="131"/>
      <c r="M911" s="131"/>
      <c r="N911" s="131"/>
      <c r="O911" s="131"/>
      <c r="P911" s="131"/>
      <c r="Q911" s="131"/>
      <c r="R911" s="131"/>
      <c r="S911" s="131"/>
      <c r="T911" s="131"/>
      <c r="U911" s="131"/>
      <c r="V911" s="131"/>
      <c r="W911" s="131"/>
      <c r="X911" s="131"/>
      <c r="Y911" s="131"/>
      <c r="Z911" s="203"/>
    </row>
    <row r="912">
      <c r="A912" s="262" t="s">
        <v>611</v>
      </c>
      <c r="B912" s="262" t="s">
        <v>48</v>
      </c>
      <c r="C912" s="262">
        <v>2620.0</v>
      </c>
      <c r="D912" s="262">
        <v>12.29822877</v>
      </c>
      <c r="E912" s="260">
        <f t="shared" ref="E912:E991" si="33">D912*60</f>
        <v>737.8937262</v>
      </c>
      <c r="F912" s="132">
        <f t="shared" ref="F912:F992" si="34">E912/24/60</f>
        <v>0.5124261988</v>
      </c>
      <c r="G912" s="278" t="s">
        <v>1314</v>
      </c>
      <c r="H912" s="131"/>
      <c r="I912" s="131"/>
      <c r="J912" s="131"/>
      <c r="K912" s="131"/>
      <c r="L912" s="131"/>
      <c r="M912" s="131"/>
      <c r="N912" s="131"/>
      <c r="O912" s="131"/>
      <c r="P912" s="131"/>
      <c r="Q912" s="131"/>
      <c r="R912" s="131"/>
      <c r="S912" s="131"/>
      <c r="T912" s="131"/>
      <c r="U912" s="131"/>
      <c r="V912" s="131"/>
      <c r="W912" s="131"/>
      <c r="X912" s="131"/>
      <c r="Y912" s="131"/>
      <c r="Z912" s="203"/>
    </row>
    <row r="913">
      <c r="A913" s="262" t="s">
        <v>611</v>
      </c>
      <c r="B913" s="262" t="s">
        <v>49</v>
      </c>
      <c r="C913" s="262">
        <v>2007.0</v>
      </c>
      <c r="D913" s="262">
        <v>9.928652292</v>
      </c>
      <c r="E913" s="260">
        <f t="shared" si="33"/>
        <v>595.7191375</v>
      </c>
      <c r="F913" s="132">
        <f t="shared" si="34"/>
        <v>0.4136938455</v>
      </c>
      <c r="G913" s="278" t="s">
        <v>1315</v>
      </c>
      <c r="H913" s="131"/>
      <c r="I913" s="131"/>
      <c r="J913" s="131"/>
      <c r="K913" s="131"/>
      <c r="L913" s="131"/>
      <c r="M913" s="131"/>
      <c r="N913" s="131"/>
      <c r="O913" s="131"/>
      <c r="P913" s="131"/>
      <c r="Q913" s="131"/>
      <c r="R913" s="131"/>
      <c r="S913" s="131"/>
      <c r="T913" s="131"/>
      <c r="U913" s="131"/>
      <c r="V913" s="131"/>
      <c r="W913" s="131"/>
      <c r="X913" s="131"/>
      <c r="Y913" s="131"/>
      <c r="Z913" s="203"/>
    </row>
    <row r="914">
      <c r="A914" s="262" t="s">
        <v>611</v>
      </c>
      <c r="B914" s="262" t="s">
        <v>50</v>
      </c>
      <c r="C914" s="262">
        <v>2675.0</v>
      </c>
      <c r="D914" s="262">
        <v>12.81550847</v>
      </c>
      <c r="E914" s="260">
        <f t="shared" si="33"/>
        <v>768.9305082</v>
      </c>
      <c r="F914" s="132">
        <f t="shared" si="34"/>
        <v>0.5339795196</v>
      </c>
      <c r="G914" s="276" t="s">
        <v>1316</v>
      </c>
      <c r="H914" s="131"/>
      <c r="I914" s="131"/>
      <c r="J914" s="131"/>
      <c r="K914" s="131"/>
      <c r="L914" s="131"/>
      <c r="M914" s="131"/>
      <c r="N914" s="131"/>
      <c r="O914" s="131"/>
      <c r="P914" s="131"/>
      <c r="Q914" s="131"/>
      <c r="R914" s="131"/>
      <c r="S914" s="131"/>
      <c r="T914" s="131"/>
      <c r="U914" s="131"/>
      <c r="V914" s="131"/>
      <c r="W914" s="131"/>
      <c r="X914" s="131"/>
      <c r="Y914" s="131"/>
      <c r="Z914" s="203"/>
    </row>
    <row r="915">
      <c r="A915" s="262" t="s">
        <v>611</v>
      </c>
      <c r="B915" s="262" t="s">
        <v>51</v>
      </c>
      <c r="C915" s="262">
        <v>1676.0</v>
      </c>
      <c r="D915" s="262">
        <v>8.470425278</v>
      </c>
      <c r="E915" s="260">
        <f t="shared" si="33"/>
        <v>508.2255167</v>
      </c>
      <c r="F915" s="132">
        <f t="shared" si="34"/>
        <v>0.3529343866</v>
      </c>
      <c r="G915" s="276" t="s">
        <v>1317</v>
      </c>
      <c r="H915" s="131"/>
      <c r="I915" s="131"/>
      <c r="J915" s="131"/>
      <c r="K915" s="131"/>
      <c r="L915" s="131"/>
      <c r="M915" s="131"/>
      <c r="N915" s="131"/>
      <c r="O915" s="131"/>
      <c r="P915" s="131"/>
      <c r="Q915" s="131"/>
      <c r="R915" s="131"/>
      <c r="S915" s="131"/>
      <c r="T915" s="131"/>
      <c r="U915" s="131"/>
      <c r="V915" s="131"/>
      <c r="W915" s="131"/>
      <c r="X915" s="131"/>
      <c r="Y915" s="131"/>
      <c r="Z915" s="203"/>
    </row>
    <row r="916">
      <c r="A916" s="262" t="s">
        <v>611</v>
      </c>
      <c r="B916" s="262" t="s">
        <v>52</v>
      </c>
      <c r="C916" s="262">
        <v>2878.0</v>
      </c>
      <c r="D916" s="262">
        <v>13.70047217</v>
      </c>
      <c r="E916" s="260">
        <f t="shared" si="33"/>
        <v>822.0283302</v>
      </c>
      <c r="F916" s="132">
        <f t="shared" si="34"/>
        <v>0.5708530071</v>
      </c>
      <c r="G916" s="276" t="s">
        <v>1318</v>
      </c>
      <c r="H916" s="131"/>
      <c r="I916" s="131"/>
      <c r="J916" s="131"/>
      <c r="K916" s="131"/>
      <c r="L916" s="131"/>
      <c r="M916" s="131"/>
      <c r="N916" s="131"/>
      <c r="O916" s="131"/>
      <c r="P916" s="131"/>
      <c r="Q916" s="131"/>
      <c r="R916" s="131"/>
      <c r="S916" s="131"/>
      <c r="T916" s="131"/>
      <c r="U916" s="131"/>
      <c r="V916" s="131"/>
      <c r="W916" s="131"/>
      <c r="X916" s="131"/>
      <c r="Y916" s="131"/>
      <c r="Z916" s="203"/>
    </row>
    <row r="917">
      <c r="A917" s="262" t="s">
        <v>611</v>
      </c>
      <c r="B917" s="262" t="s">
        <v>53</v>
      </c>
      <c r="C917" s="262">
        <v>1527.0</v>
      </c>
      <c r="D917" s="262">
        <v>7.181161181</v>
      </c>
      <c r="E917" s="260">
        <f t="shared" si="33"/>
        <v>430.8696709</v>
      </c>
      <c r="F917" s="132">
        <f t="shared" si="34"/>
        <v>0.2992150492</v>
      </c>
      <c r="G917" s="276" t="s">
        <v>1319</v>
      </c>
      <c r="H917" s="131"/>
      <c r="I917" s="131"/>
      <c r="J917" s="131"/>
      <c r="K917" s="131"/>
      <c r="L917" s="131"/>
      <c r="M917" s="131"/>
      <c r="N917" s="131"/>
      <c r="O917" s="131"/>
      <c r="P917" s="131"/>
      <c r="Q917" s="131"/>
      <c r="R917" s="131"/>
      <c r="S917" s="131"/>
      <c r="T917" s="131"/>
      <c r="U917" s="131"/>
      <c r="V917" s="131"/>
      <c r="W917" s="131"/>
      <c r="X917" s="131"/>
      <c r="Y917" s="131"/>
      <c r="Z917" s="203"/>
    </row>
    <row r="918">
      <c r="A918" s="262" t="s">
        <v>7</v>
      </c>
      <c r="B918" s="262" t="s">
        <v>34</v>
      </c>
      <c r="C918" s="262">
        <v>1832.0</v>
      </c>
      <c r="D918" s="262">
        <v>9.41170276</v>
      </c>
      <c r="E918" s="260">
        <f t="shared" si="33"/>
        <v>564.7021656</v>
      </c>
      <c r="F918" s="132">
        <f t="shared" si="34"/>
        <v>0.3921542817</v>
      </c>
      <c r="G918" s="276" t="s">
        <v>1320</v>
      </c>
      <c r="H918" s="131"/>
      <c r="I918" s="131"/>
      <c r="J918" s="131"/>
      <c r="K918" s="131"/>
      <c r="L918" s="131"/>
      <c r="M918" s="131"/>
      <c r="N918" s="131"/>
      <c r="O918" s="131"/>
      <c r="P918" s="131"/>
      <c r="Q918" s="131"/>
      <c r="R918" s="131"/>
      <c r="S918" s="131"/>
      <c r="T918" s="131"/>
      <c r="U918" s="131"/>
      <c r="V918" s="131"/>
      <c r="W918" s="131"/>
      <c r="X918" s="131"/>
      <c r="Y918" s="131"/>
      <c r="Z918" s="203"/>
    </row>
    <row r="919">
      <c r="A919" s="262" t="s">
        <v>7</v>
      </c>
      <c r="B919" s="262" t="s">
        <v>37</v>
      </c>
      <c r="C919" s="262">
        <v>1599.0</v>
      </c>
      <c r="D919" s="262">
        <v>7.816990226</v>
      </c>
      <c r="E919" s="260">
        <f t="shared" si="33"/>
        <v>469.0194136</v>
      </c>
      <c r="F919" s="132">
        <f t="shared" si="34"/>
        <v>0.3257079261</v>
      </c>
      <c r="G919" s="276" t="s">
        <v>1321</v>
      </c>
      <c r="H919" s="131"/>
      <c r="I919" s="131"/>
      <c r="J919" s="131"/>
      <c r="K919" s="131"/>
      <c r="L919" s="131"/>
      <c r="M919" s="131"/>
      <c r="N919" s="131"/>
      <c r="O919" s="131"/>
      <c r="P919" s="131"/>
      <c r="Q919" s="131"/>
      <c r="R919" s="131"/>
      <c r="S919" s="131"/>
      <c r="T919" s="131"/>
      <c r="U919" s="131"/>
      <c r="V919" s="131"/>
      <c r="W919" s="131"/>
      <c r="X919" s="131"/>
      <c r="Y919" s="131"/>
      <c r="Z919" s="203"/>
    </row>
    <row r="920">
      <c r="A920" s="262" t="s">
        <v>7</v>
      </c>
      <c r="B920" s="262" t="s">
        <v>26</v>
      </c>
      <c r="C920" s="262">
        <v>2353.0</v>
      </c>
      <c r="D920" s="262">
        <v>11.68141306</v>
      </c>
      <c r="E920" s="260">
        <f t="shared" si="33"/>
        <v>700.8847836</v>
      </c>
      <c r="F920" s="132">
        <f t="shared" si="34"/>
        <v>0.4867255442</v>
      </c>
      <c r="G920" s="276" t="s">
        <v>1322</v>
      </c>
      <c r="H920" s="131"/>
      <c r="I920" s="131"/>
      <c r="J920" s="131"/>
      <c r="K920" s="131"/>
      <c r="L920" s="131"/>
      <c r="M920" s="131"/>
      <c r="N920" s="131"/>
      <c r="O920" s="131"/>
      <c r="P920" s="131"/>
      <c r="Q920" s="131"/>
      <c r="R920" s="131"/>
      <c r="S920" s="131"/>
      <c r="T920" s="131"/>
      <c r="U920" s="131"/>
      <c r="V920" s="131"/>
      <c r="W920" s="131"/>
      <c r="X920" s="131"/>
      <c r="Y920" s="131"/>
      <c r="Z920" s="203"/>
    </row>
    <row r="921">
      <c r="A921" s="262" t="s">
        <v>7</v>
      </c>
      <c r="B921" s="262" t="s">
        <v>24</v>
      </c>
      <c r="C921" s="262">
        <v>1969.0</v>
      </c>
      <c r="D921" s="262">
        <v>9.581868038</v>
      </c>
      <c r="E921" s="260">
        <f t="shared" si="33"/>
        <v>574.9120823</v>
      </c>
      <c r="F921" s="132">
        <f t="shared" si="34"/>
        <v>0.3992445016</v>
      </c>
      <c r="G921" s="276" t="s">
        <v>1323</v>
      </c>
      <c r="H921" s="131"/>
      <c r="I921" s="131"/>
      <c r="J921" s="131"/>
      <c r="K921" s="131"/>
      <c r="L921" s="131"/>
      <c r="M921" s="131"/>
      <c r="N921" s="131"/>
      <c r="O921" s="131"/>
      <c r="P921" s="131"/>
      <c r="Q921" s="131"/>
      <c r="R921" s="131"/>
      <c r="S921" s="131"/>
      <c r="T921" s="131"/>
      <c r="U921" s="131"/>
      <c r="V921" s="131"/>
      <c r="W921" s="131"/>
      <c r="X921" s="131"/>
      <c r="Y921" s="131"/>
      <c r="Z921" s="203"/>
    </row>
    <row r="922">
      <c r="A922" s="262" t="s">
        <v>7</v>
      </c>
      <c r="B922" s="262" t="s">
        <v>422</v>
      </c>
      <c r="C922" s="262">
        <v>2735.0</v>
      </c>
      <c r="D922" s="262">
        <v>13.31415965</v>
      </c>
      <c r="E922" s="260">
        <f t="shared" si="33"/>
        <v>798.849579</v>
      </c>
      <c r="F922" s="132">
        <f t="shared" si="34"/>
        <v>0.5547566521</v>
      </c>
      <c r="G922" s="276" t="s">
        <v>1324</v>
      </c>
      <c r="H922" s="131"/>
      <c r="I922" s="131"/>
      <c r="J922" s="131"/>
      <c r="K922" s="131"/>
      <c r="L922" s="131"/>
      <c r="M922" s="131"/>
      <c r="N922" s="131"/>
      <c r="O922" s="131"/>
      <c r="P922" s="131"/>
      <c r="Q922" s="131"/>
      <c r="R922" s="131"/>
      <c r="S922" s="131"/>
      <c r="T922" s="131"/>
      <c r="U922" s="131"/>
      <c r="V922" s="131"/>
      <c r="W922" s="131"/>
      <c r="X922" s="131"/>
      <c r="Y922" s="131"/>
      <c r="Z922" s="203"/>
    </row>
    <row r="923">
      <c r="A923" s="262" t="s">
        <v>7</v>
      </c>
      <c r="B923" s="262" t="s">
        <v>27</v>
      </c>
      <c r="C923" s="262">
        <v>3401.0</v>
      </c>
      <c r="D923" s="262">
        <v>16.91365566</v>
      </c>
      <c r="E923" s="260">
        <f t="shared" si="33"/>
        <v>1014.81934</v>
      </c>
      <c r="F923" s="132">
        <f t="shared" si="34"/>
        <v>0.7047356525</v>
      </c>
      <c r="G923" s="276" t="s">
        <v>1325</v>
      </c>
      <c r="H923" s="131"/>
      <c r="I923" s="131"/>
      <c r="J923" s="131"/>
      <c r="K923" s="131"/>
      <c r="L923" s="131"/>
      <c r="M923" s="131"/>
      <c r="N923" s="131"/>
      <c r="O923" s="131"/>
      <c r="P923" s="131"/>
      <c r="Q923" s="131"/>
      <c r="R923" s="131"/>
      <c r="S923" s="131"/>
      <c r="T923" s="131"/>
      <c r="U923" s="131"/>
      <c r="V923" s="131"/>
      <c r="W923" s="131"/>
      <c r="X923" s="131"/>
      <c r="Y923" s="131"/>
      <c r="Z923" s="203"/>
    </row>
    <row r="924">
      <c r="A924" s="262" t="s">
        <v>7</v>
      </c>
      <c r="B924" s="262" t="s">
        <v>19</v>
      </c>
      <c r="C924" s="262">
        <v>3608.0</v>
      </c>
      <c r="D924" s="262">
        <v>17.77719227</v>
      </c>
      <c r="E924" s="260">
        <f t="shared" si="33"/>
        <v>1066.631536</v>
      </c>
      <c r="F924" s="132">
        <f t="shared" si="34"/>
        <v>0.7407163446</v>
      </c>
      <c r="G924" s="276" t="s">
        <v>1326</v>
      </c>
      <c r="H924" s="131"/>
      <c r="I924" s="131"/>
      <c r="J924" s="131"/>
      <c r="K924" s="131"/>
      <c r="L924" s="131"/>
      <c r="M924" s="131"/>
      <c r="N924" s="131"/>
      <c r="O924" s="131"/>
      <c r="P924" s="131"/>
      <c r="Q924" s="131"/>
      <c r="R924" s="131"/>
      <c r="S924" s="131"/>
      <c r="T924" s="131"/>
      <c r="U924" s="131"/>
      <c r="V924" s="131"/>
      <c r="W924" s="131"/>
      <c r="X924" s="131"/>
      <c r="Y924" s="131"/>
      <c r="Z924" s="203"/>
    </row>
    <row r="925">
      <c r="A925" s="262" t="s">
        <v>7</v>
      </c>
      <c r="B925" s="262" t="s">
        <v>40</v>
      </c>
      <c r="C925" s="262">
        <v>2897.0</v>
      </c>
      <c r="D925" s="262">
        <v>13.86263405</v>
      </c>
      <c r="E925" s="260">
        <f t="shared" si="33"/>
        <v>831.758043</v>
      </c>
      <c r="F925" s="132">
        <f t="shared" si="34"/>
        <v>0.5776097521</v>
      </c>
      <c r="G925" s="276" t="s">
        <v>1327</v>
      </c>
      <c r="H925" s="131"/>
      <c r="I925" s="131"/>
      <c r="J925" s="131"/>
      <c r="K925" s="131"/>
      <c r="L925" s="131"/>
      <c r="M925" s="131"/>
      <c r="N925" s="131"/>
      <c r="O925" s="131"/>
      <c r="P925" s="131"/>
      <c r="Q925" s="131"/>
      <c r="R925" s="131"/>
      <c r="S925" s="131"/>
      <c r="T925" s="131"/>
      <c r="U925" s="131"/>
      <c r="V925" s="131"/>
      <c r="W925" s="131"/>
      <c r="X925" s="131"/>
      <c r="Y925" s="131"/>
      <c r="Z925" s="203"/>
    </row>
    <row r="926">
      <c r="A926" s="262" t="s">
        <v>7</v>
      </c>
      <c r="B926" s="262" t="s">
        <v>44</v>
      </c>
      <c r="C926" s="262">
        <v>3184.0</v>
      </c>
      <c r="D926" s="262">
        <v>15.81045297</v>
      </c>
      <c r="E926" s="260">
        <f t="shared" si="33"/>
        <v>948.6271782</v>
      </c>
      <c r="F926" s="132">
        <f t="shared" si="34"/>
        <v>0.6587688738</v>
      </c>
      <c r="G926" s="276" t="s">
        <v>1328</v>
      </c>
      <c r="H926" s="131"/>
      <c r="I926" s="131"/>
      <c r="J926" s="131"/>
      <c r="K926" s="131"/>
      <c r="L926" s="131"/>
      <c r="M926" s="131"/>
      <c r="N926" s="131"/>
      <c r="O926" s="131"/>
      <c r="P926" s="131"/>
      <c r="Q926" s="131"/>
      <c r="R926" s="131"/>
      <c r="S926" s="131"/>
      <c r="T926" s="131"/>
      <c r="U926" s="131"/>
      <c r="V926" s="131"/>
      <c r="W926" s="131"/>
      <c r="X926" s="131"/>
      <c r="Y926" s="131"/>
      <c r="Z926" s="203"/>
    </row>
    <row r="927">
      <c r="A927" s="262" t="s">
        <v>7</v>
      </c>
      <c r="B927" s="262" t="s">
        <v>21</v>
      </c>
      <c r="C927" s="262">
        <v>2544.0</v>
      </c>
      <c r="D927" s="262">
        <v>12.87038939</v>
      </c>
      <c r="E927" s="260">
        <f t="shared" si="33"/>
        <v>772.2233634</v>
      </c>
      <c r="F927" s="132">
        <f t="shared" si="34"/>
        <v>0.5362662246</v>
      </c>
      <c r="G927" s="276" t="s">
        <v>1329</v>
      </c>
      <c r="H927" s="131"/>
      <c r="I927" s="131"/>
      <c r="J927" s="131"/>
      <c r="K927" s="131"/>
      <c r="L927" s="131"/>
      <c r="M927" s="131"/>
      <c r="N927" s="131"/>
      <c r="O927" s="131"/>
      <c r="P927" s="131"/>
      <c r="Q927" s="131"/>
      <c r="R927" s="131"/>
      <c r="S927" s="131"/>
      <c r="T927" s="131"/>
      <c r="U927" s="131"/>
      <c r="V927" s="131"/>
      <c r="W927" s="131"/>
      <c r="X927" s="131"/>
      <c r="Y927" s="131"/>
      <c r="Z927" s="203"/>
    </row>
    <row r="928">
      <c r="A928" s="262" t="s">
        <v>7</v>
      </c>
      <c r="B928" s="262" t="s">
        <v>31</v>
      </c>
      <c r="C928" s="262">
        <v>2639.0</v>
      </c>
      <c r="D928" s="262">
        <v>13.11705655</v>
      </c>
      <c r="E928" s="260">
        <f t="shared" si="33"/>
        <v>787.023393</v>
      </c>
      <c r="F928" s="132">
        <f t="shared" si="34"/>
        <v>0.5465440229</v>
      </c>
      <c r="G928" s="276" t="s">
        <v>1330</v>
      </c>
      <c r="H928" s="131"/>
      <c r="I928" s="131"/>
      <c r="J928" s="131"/>
      <c r="K928" s="131"/>
      <c r="L928" s="131"/>
      <c r="M928" s="131"/>
      <c r="N928" s="131"/>
      <c r="O928" s="131"/>
      <c r="P928" s="131"/>
      <c r="Q928" s="131"/>
      <c r="R928" s="131"/>
      <c r="S928" s="131"/>
      <c r="T928" s="131"/>
      <c r="U928" s="131"/>
      <c r="V928" s="131"/>
      <c r="W928" s="131"/>
      <c r="X928" s="131"/>
      <c r="Y928" s="131"/>
      <c r="Z928" s="203"/>
    </row>
    <row r="929">
      <c r="A929" s="262" t="s">
        <v>7</v>
      </c>
      <c r="B929" s="262" t="s">
        <v>25</v>
      </c>
      <c r="C929" s="262">
        <v>2894.0</v>
      </c>
      <c r="D929" s="262">
        <v>14.34860967</v>
      </c>
      <c r="E929" s="260">
        <f t="shared" si="33"/>
        <v>860.9165802</v>
      </c>
      <c r="F929" s="132">
        <f t="shared" si="34"/>
        <v>0.5978587363</v>
      </c>
      <c r="G929" s="276" t="s">
        <v>1331</v>
      </c>
      <c r="H929" s="131"/>
      <c r="I929" s="131"/>
      <c r="J929" s="131"/>
      <c r="K929" s="131"/>
      <c r="L929" s="131"/>
      <c r="M929" s="131"/>
      <c r="N929" s="131"/>
      <c r="O929" s="131"/>
      <c r="P929" s="131"/>
      <c r="Q929" s="131"/>
      <c r="R929" s="131"/>
      <c r="S929" s="131"/>
      <c r="T929" s="131"/>
      <c r="U929" s="131"/>
      <c r="V929" s="131"/>
      <c r="W929" s="131"/>
      <c r="X929" s="131"/>
      <c r="Y929" s="131"/>
      <c r="Z929" s="203"/>
    </row>
    <row r="930">
      <c r="A930" s="262" t="s">
        <v>7</v>
      </c>
      <c r="B930" s="262" t="s">
        <v>43</v>
      </c>
      <c r="C930" s="262">
        <v>2354.0</v>
      </c>
      <c r="D930" s="262">
        <v>11.47994115</v>
      </c>
      <c r="E930" s="260">
        <f t="shared" si="33"/>
        <v>688.796469</v>
      </c>
      <c r="F930" s="132">
        <f t="shared" si="34"/>
        <v>0.4783308813</v>
      </c>
      <c r="G930" s="276" t="s">
        <v>1332</v>
      </c>
      <c r="H930" s="131"/>
      <c r="I930" s="131"/>
      <c r="J930" s="131"/>
      <c r="K930" s="131"/>
      <c r="L930" s="131"/>
      <c r="M930" s="131"/>
      <c r="N930" s="131"/>
      <c r="O930" s="131"/>
      <c r="P930" s="131"/>
      <c r="Q930" s="131"/>
      <c r="R930" s="131"/>
      <c r="S930" s="131"/>
      <c r="T930" s="131"/>
      <c r="U930" s="131"/>
      <c r="V930" s="131"/>
      <c r="W930" s="131"/>
      <c r="X930" s="131"/>
      <c r="Y930" s="131"/>
      <c r="Z930" s="203"/>
    </row>
    <row r="931">
      <c r="A931" s="262" t="s">
        <v>7</v>
      </c>
      <c r="B931" s="262" t="s">
        <v>41</v>
      </c>
      <c r="C931" s="262">
        <v>3029.0</v>
      </c>
      <c r="D931" s="262">
        <v>15.254552</v>
      </c>
      <c r="E931" s="260">
        <f t="shared" si="33"/>
        <v>915.27312</v>
      </c>
      <c r="F931" s="132">
        <f t="shared" si="34"/>
        <v>0.6356063333</v>
      </c>
      <c r="G931" s="276" t="s">
        <v>1333</v>
      </c>
      <c r="H931" s="131"/>
      <c r="I931" s="131"/>
      <c r="J931" s="131"/>
      <c r="K931" s="131"/>
      <c r="L931" s="131"/>
      <c r="M931" s="131"/>
      <c r="N931" s="131"/>
      <c r="O931" s="131"/>
      <c r="P931" s="131"/>
      <c r="Q931" s="131"/>
      <c r="R931" s="131"/>
      <c r="S931" s="131"/>
      <c r="T931" s="131"/>
      <c r="U931" s="131"/>
      <c r="V931" s="131"/>
      <c r="W931" s="131"/>
      <c r="X931" s="131"/>
      <c r="Y931" s="131"/>
      <c r="Z931" s="203"/>
    </row>
    <row r="932">
      <c r="A932" s="262" t="s">
        <v>7</v>
      </c>
      <c r="B932" s="262" t="s">
        <v>32</v>
      </c>
      <c r="C932" s="262">
        <v>2413.0</v>
      </c>
      <c r="D932" s="262">
        <v>12.03775845</v>
      </c>
      <c r="E932" s="260">
        <f t="shared" si="33"/>
        <v>722.265507</v>
      </c>
      <c r="F932" s="132">
        <f t="shared" si="34"/>
        <v>0.5015732688</v>
      </c>
      <c r="G932" s="276" t="s">
        <v>1334</v>
      </c>
      <c r="H932" s="131"/>
      <c r="I932" s="131"/>
      <c r="J932" s="131"/>
      <c r="K932" s="131"/>
      <c r="L932" s="131"/>
      <c r="M932" s="131"/>
      <c r="N932" s="131"/>
      <c r="O932" s="131"/>
      <c r="P932" s="131"/>
      <c r="Q932" s="131"/>
      <c r="R932" s="131"/>
      <c r="S932" s="131"/>
      <c r="T932" s="131"/>
      <c r="U932" s="131"/>
      <c r="V932" s="131"/>
      <c r="W932" s="131"/>
      <c r="X932" s="131"/>
      <c r="Y932" s="131"/>
      <c r="Z932" s="203"/>
    </row>
    <row r="933">
      <c r="A933" s="262" t="s">
        <v>7</v>
      </c>
      <c r="B933" s="262" t="s">
        <v>22</v>
      </c>
      <c r="C933" s="262">
        <v>3249.0</v>
      </c>
      <c r="D933" s="262">
        <v>16.01481139</v>
      </c>
      <c r="E933" s="260">
        <f t="shared" si="33"/>
        <v>960.8886834</v>
      </c>
      <c r="F933" s="132">
        <f t="shared" si="34"/>
        <v>0.6672838079</v>
      </c>
      <c r="G933" s="276" t="s">
        <v>1335</v>
      </c>
      <c r="H933" s="131"/>
      <c r="I933" s="131"/>
      <c r="J933" s="131"/>
      <c r="K933" s="131"/>
      <c r="L933" s="131"/>
      <c r="M933" s="131"/>
      <c r="N933" s="131"/>
      <c r="O933" s="131"/>
      <c r="P933" s="131"/>
      <c r="Q933" s="131"/>
      <c r="R933" s="131"/>
      <c r="S933" s="131"/>
      <c r="T933" s="131"/>
      <c r="U933" s="131"/>
      <c r="V933" s="131"/>
      <c r="W933" s="131"/>
      <c r="X933" s="131"/>
      <c r="Y933" s="131"/>
      <c r="Z933" s="203"/>
    </row>
    <row r="934">
      <c r="A934" s="262" t="s">
        <v>7</v>
      </c>
      <c r="B934" s="262" t="s">
        <v>8</v>
      </c>
      <c r="C934" s="262">
        <v>3752.0</v>
      </c>
      <c r="D934" s="262">
        <v>18.46424342</v>
      </c>
      <c r="E934" s="260">
        <f t="shared" si="33"/>
        <v>1107.854605</v>
      </c>
      <c r="F934" s="132">
        <f t="shared" si="34"/>
        <v>0.7693434758</v>
      </c>
      <c r="G934" s="276" t="s">
        <v>1336</v>
      </c>
      <c r="H934" s="131"/>
      <c r="I934" s="131"/>
      <c r="J934" s="131"/>
      <c r="K934" s="131"/>
      <c r="L934" s="131"/>
      <c r="M934" s="131"/>
      <c r="N934" s="131"/>
      <c r="O934" s="131"/>
      <c r="P934" s="131"/>
      <c r="Q934" s="131"/>
      <c r="R934" s="131"/>
      <c r="S934" s="131"/>
      <c r="T934" s="131"/>
      <c r="U934" s="131"/>
      <c r="V934" s="131"/>
      <c r="W934" s="131"/>
      <c r="X934" s="131"/>
      <c r="Y934" s="131"/>
      <c r="Z934" s="203"/>
    </row>
    <row r="935">
      <c r="A935" s="262" t="s">
        <v>7</v>
      </c>
      <c r="B935" s="262" t="s">
        <v>20</v>
      </c>
      <c r="C935" s="262">
        <v>3284.0</v>
      </c>
      <c r="D935" s="262">
        <v>15.89222543</v>
      </c>
      <c r="E935" s="260">
        <f t="shared" si="33"/>
        <v>953.5335258</v>
      </c>
      <c r="F935" s="132">
        <f t="shared" si="34"/>
        <v>0.6621760596</v>
      </c>
      <c r="G935" s="276" t="s">
        <v>1337</v>
      </c>
      <c r="H935" s="131"/>
      <c r="I935" s="131"/>
      <c r="J935" s="131"/>
      <c r="K935" s="131"/>
      <c r="L935" s="131"/>
      <c r="M935" s="131"/>
      <c r="N935" s="131"/>
      <c r="O935" s="131"/>
      <c r="P935" s="131"/>
      <c r="Q935" s="131"/>
      <c r="R935" s="131"/>
      <c r="S935" s="131"/>
      <c r="T935" s="131"/>
      <c r="U935" s="131"/>
      <c r="V935" s="131"/>
      <c r="W935" s="131"/>
      <c r="X935" s="131"/>
      <c r="Y935" s="131"/>
      <c r="Z935" s="203"/>
    </row>
    <row r="936">
      <c r="A936" s="262" t="s">
        <v>7</v>
      </c>
      <c r="B936" s="262" t="s">
        <v>33</v>
      </c>
      <c r="C936" s="262">
        <v>2130.0</v>
      </c>
      <c r="D936" s="262">
        <v>10.91453786</v>
      </c>
      <c r="E936" s="260">
        <f t="shared" si="33"/>
        <v>654.8722716</v>
      </c>
      <c r="F936" s="132">
        <f t="shared" si="34"/>
        <v>0.4547724108</v>
      </c>
      <c r="G936" s="276" t="s">
        <v>1338</v>
      </c>
      <c r="H936" s="131"/>
      <c r="I936" s="131"/>
      <c r="J936" s="131"/>
      <c r="K936" s="131"/>
      <c r="L936" s="131"/>
      <c r="M936" s="131"/>
      <c r="N936" s="131"/>
      <c r="O936" s="131"/>
      <c r="P936" s="131"/>
      <c r="Q936" s="131"/>
      <c r="R936" s="131"/>
      <c r="S936" s="131"/>
      <c r="T936" s="131"/>
      <c r="U936" s="131"/>
      <c r="V936" s="131"/>
      <c r="W936" s="131"/>
      <c r="X936" s="131"/>
      <c r="Y936" s="131"/>
      <c r="Z936" s="203"/>
    </row>
    <row r="937">
      <c r="A937" s="262" t="s">
        <v>7</v>
      </c>
      <c r="B937" s="262" t="s">
        <v>30</v>
      </c>
      <c r="C937" s="262">
        <v>3121.0</v>
      </c>
      <c r="D937" s="262">
        <v>15.34524047</v>
      </c>
      <c r="E937" s="260">
        <f t="shared" si="33"/>
        <v>920.7144282</v>
      </c>
      <c r="F937" s="132">
        <f t="shared" si="34"/>
        <v>0.6393850196</v>
      </c>
      <c r="G937" s="276" t="s">
        <v>1339</v>
      </c>
      <c r="H937" s="131"/>
      <c r="I937" s="131"/>
      <c r="J937" s="131"/>
      <c r="K937" s="131"/>
      <c r="L937" s="131"/>
      <c r="M937" s="131"/>
      <c r="N937" s="131"/>
      <c r="O937" s="131"/>
      <c r="P937" s="131"/>
      <c r="Q937" s="131"/>
      <c r="R937" s="131"/>
      <c r="S937" s="131"/>
      <c r="T937" s="131"/>
      <c r="U937" s="131"/>
      <c r="V937" s="131"/>
      <c r="W937" s="131"/>
      <c r="X937" s="131"/>
      <c r="Y937" s="131"/>
      <c r="Z937" s="203"/>
    </row>
    <row r="938">
      <c r="A938" s="262" t="s">
        <v>54</v>
      </c>
      <c r="B938" s="262" t="s">
        <v>55</v>
      </c>
      <c r="C938" s="262">
        <v>2231.0</v>
      </c>
      <c r="D938" s="262">
        <v>11.05268958</v>
      </c>
      <c r="E938" s="260">
        <f t="shared" si="33"/>
        <v>663.1613748</v>
      </c>
      <c r="F938" s="132">
        <f t="shared" si="34"/>
        <v>0.4605287325</v>
      </c>
      <c r="G938" s="276" t="s">
        <v>1340</v>
      </c>
      <c r="H938" s="131"/>
      <c r="I938" s="131"/>
      <c r="J938" s="131"/>
      <c r="K938" s="131"/>
      <c r="L938" s="131"/>
      <c r="M938" s="131"/>
      <c r="N938" s="131"/>
      <c r="O938" s="131"/>
      <c r="P938" s="131"/>
      <c r="Q938" s="131"/>
      <c r="R938" s="131"/>
      <c r="S938" s="131"/>
      <c r="T938" s="131"/>
      <c r="U938" s="131"/>
      <c r="V938" s="131"/>
      <c r="W938" s="131"/>
      <c r="X938" s="131"/>
      <c r="Y938" s="131"/>
      <c r="Z938" s="203"/>
    </row>
    <row r="939">
      <c r="A939" s="262" t="s">
        <v>54</v>
      </c>
      <c r="B939" s="262" t="s">
        <v>56</v>
      </c>
      <c r="C939" s="262">
        <v>3154.0</v>
      </c>
      <c r="D939" s="262">
        <v>15.68096111</v>
      </c>
      <c r="E939" s="260">
        <f t="shared" si="33"/>
        <v>940.8576666</v>
      </c>
      <c r="F939" s="132">
        <f t="shared" si="34"/>
        <v>0.6533733796</v>
      </c>
      <c r="G939" s="276" t="s">
        <v>1341</v>
      </c>
      <c r="H939" s="131"/>
      <c r="I939" s="131"/>
      <c r="J939" s="131"/>
      <c r="K939" s="131"/>
      <c r="L939" s="131"/>
      <c r="M939" s="131"/>
      <c r="N939" s="131"/>
      <c r="O939" s="131"/>
      <c r="P939" s="131"/>
      <c r="Q939" s="131"/>
      <c r="R939" s="131"/>
      <c r="S939" s="131"/>
      <c r="T939" s="131"/>
      <c r="U939" s="131"/>
      <c r="V939" s="131"/>
      <c r="W939" s="131"/>
      <c r="X939" s="131"/>
      <c r="Y939" s="131"/>
      <c r="Z939" s="203"/>
    </row>
    <row r="940">
      <c r="A940" s="262" t="s">
        <v>54</v>
      </c>
      <c r="B940" s="262" t="s">
        <v>58</v>
      </c>
      <c r="C940" s="262">
        <v>1723.0</v>
      </c>
      <c r="D940" s="262">
        <v>8.700506441</v>
      </c>
      <c r="E940" s="260">
        <f t="shared" si="33"/>
        <v>522.0303865</v>
      </c>
      <c r="F940" s="132">
        <f t="shared" si="34"/>
        <v>0.3625211017</v>
      </c>
      <c r="G940" s="276" t="s">
        <v>1342</v>
      </c>
      <c r="H940" s="131"/>
      <c r="I940" s="131"/>
      <c r="J940" s="131"/>
      <c r="K940" s="131"/>
      <c r="L940" s="131"/>
      <c r="M940" s="131"/>
      <c r="N940" s="131"/>
      <c r="O940" s="131"/>
      <c r="P940" s="131"/>
      <c r="Q940" s="131"/>
      <c r="R940" s="131"/>
      <c r="S940" s="131"/>
      <c r="T940" s="131"/>
      <c r="U940" s="131"/>
      <c r="V940" s="131"/>
      <c r="W940" s="131"/>
      <c r="X940" s="131"/>
      <c r="Y940" s="131"/>
      <c r="Z940" s="203"/>
    </row>
    <row r="941">
      <c r="A941" s="262" t="s">
        <v>54</v>
      </c>
      <c r="B941" s="262" t="s">
        <v>59</v>
      </c>
      <c r="C941" s="262">
        <v>1882.0</v>
      </c>
      <c r="D941" s="262">
        <v>9.398407795</v>
      </c>
      <c r="E941" s="260">
        <f t="shared" si="33"/>
        <v>563.9044677</v>
      </c>
      <c r="F941" s="132">
        <f t="shared" si="34"/>
        <v>0.3916003248</v>
      </c>
      <c r="G941" s="276" t="s">
        <v>1343</v>
      </c>
      <c r="H941" s="131"/>
      <c r="I941" s="131"/>
      <c r="J941" s="131"/>
      <c r="K941" s="131"/>
      <c r="L941" s="131"/>
      <c r="M941" s="131"/>
      <c r="N941" s="131"/>
      <c r="O941" s="131"/>
      <c r="P941" s="131"/>
      <c r="Q941" s="131"/>
      <c r="R941" s="131"/>
      <c r="S941" s="131"/>
      <c r="T941" s="131"/>
      <c r="U941" s="131"/>
      <c r="V941" s="131"/>
      <c r="W941" s="131"/>
      <c r="X941" s="131"/>
      <c r="Y941" s="131"/>
      <c r="Z941" s="203"/>
    </row>
    <row r="942">
      <c r="A942" s="262" t="s">
        <v>54</v>
      </c>
      <c r="B942" s="262" t="s">
        <v>60</v>
      </c>
      <c r="C942" s="262">
        <v>2364.0</v>
      </c>
      <c r="D942" s="262">
        <v>11.94721569</v>
      </c>
      <c r="E942" s="260">
        <f t="shared" si="33"/>
        <v>716.8329414</v>
      </c>
      <c r="F942" s="132">
        <f t="shared" si="34"/>
        <v>0.4978006538</v>
      </c>
      <c r="G942" s="276" t="s">
        <v>1344</v>
      </c>
      <c r="H942" s="131"/>
      <c r="I942" s="131"/>
      <c r="J942" s="131"/>
      <c r="K942" s="131"/>
      <c r="L942" s="131"/>
      <c r="M942" s="131"/>
      <c r="N942" s="131"/>
      <c r="O942" s="131"/>
      <c r="P942" s="131"/>
      <c r="Q942" s="131"/>
      <c r="R942" s="131"/>
      <c r="S942" s="131"/>
      <c r="T942" s="131"/>
      <c r="U942" s="131"/>
      <c r="V942" s="131"/>
      <c r="W942" s="131"/>
      <c r="X942" s="131"/>
      <c r="Y942" s="131"/>
      <c r="Z942" s="203"/>
    </row>
    <row r="943">
      <c r="A943" s="262" t="s">
        <v>54</v>
      </c>
      <c r="B943" s="262" t="s">
        <v>62</v>
      </c>
      <c r="C943" s="262">
        <v>2091.0</v>
      </c>
      <c r="D943" s="262">
        <v>10.25670877</v>
      </c>
      <c r="E943" s="260">
        <f t="shared" si="33"/>
        <v>615.4025262</v>
      </c>
      <c r="F943" s="132">
        <f t="shared" si="34"/>
        <v>0.4273628654</v>
      </c>
      <c r="G943" s="276" t="s">
        <v>1345</v>
      </c>
      <c r="H943" s="131"/>
      <c r="I943" s="131"/>
      <c r="J943" s="131"/>
      <c r="K943" s="131"/>
      <c r="L943" s="131"/>
      <c r="M943" s="131"/>
      <c r="N943" s="131"/>
      <c r="O943" s="131"/>
      <c r="P943" s="131"/>
      <c r="Q943" s="131"/>
      <c r="R943" s="131"/>
      <c r="S943" s="131"/>
      <c r="T943" s="131"/>
      <c r="U943" s="131"/>
      <c r="V943" s="131"/>
      <c r="W943" s="131"/>
      <c r="X943" s="131"/>
      <c r="Y943" s="131"/>
      <c r="Z943" s="203"/>
    </row>
    <row r="944">
      <c r="A944" s="262" t="s">
        <v>54</v>
      </c>
      <c r="B944" s="262" t="s">
        <v>63</v>
      </c>
      <c r="C944" s="262">
        <v>2214.0</v>
      </c>
      <c r="D944" s="262">
        <v>10.8873834</v>
      </c>
      <c r="E944" s="260">
        <f t="shared" si="33"/>
        <v>653.243004</v>
      </c>
      <c r="F944" s="132">
        <f t="shared" si="34"/>
        <v>0.453640975</v>
      </c>
      <c r="G944" s="276" t="s">
        <v>1346</v>
      </c>
      <c r="H944" s="131"/>
      <c r="I944" s="131"/>
      <c r="J944" s="131"/>
      <c r="K944" s="131"/>
      <c r="L944" s="131"/>
      <c r="M944" s="131"/>
      <c r="N944" s="131"/>
      <c r="O944" s="131"/>
      <c r="P944" s="131"/>
      <c r="Q944" s="131"/>
      <c r="R944" s="131"/>
      <c r="S944" s="131"/>
      <c r="T944" s="131"/>
      <c r="U944" s="131"/>
      <c r="V944" s="131"/>
      <c r="W944" s="131"/>
      <c r="X944" s="131"/>
      <c r="Y944" s="131"/>
      <c r="Z944" s="203"/>
    </row>
    <row r="945">
      <c r="A945" s="262" t="s">
        <v>54</v>
      </c>
      <c r="B945" s="262" t="s">
        <v>64</v>
      </c>
      <c r="C945" s="262">
        <v>2302.0</v>
      </c>
      <c r="D945" s="262">
        <v>11.62464799</v>
      </c>
      <c r="E945" s="260">
        <f t="shared" si="33"/>
        <v>697.4788794</v>
      </c>
      <c r="F945" s="132">
        <f t="shared" si="34"/>
        <v>0.4843603329</v>
      </c>
      <c r="G945" s="276" t="s">
        <v>1347</v>
      </c>
      <c r="H945" s="131"/>
      <c r="I945" s="131"/>
      <c r="J945" s="131"/>
      <c r="K945" s="131"/>
      <c r="L945" s="131"/>
      <c r="M945" s="131"/>
      <c r="N945" s="131"/>
      <c r="O945" s="131"/>
      <c r="P945" s="131"/>
      <c r="Q945" s="131"/>
      <c r="R945" s="131"/>
      <c r="S945" s="131"/>
      <c r="T945" s="131"/>
      <c r="U945" s="131"/>
      <c r="V945" s="131"/>
      <c r="W945" s="131"/>
      <c r="X945" s="131"/>
      <c r="Y945" s="131"/>
      <c r="Z945" s="203"/>
    </row>
    <row r="946">
      <c r="A946" s="262" t="s">
        <v>54</v>
      </c>
      <c r="B946" s="262" t="s">
        <v>65</v>
      </c>
      <c r="C946" s="262">
        <v>2349.0</v>
      </c>
      <c r="D946" s="262">
        <v>11.50991337</v>
      </c>
      <c r="E946" s="260">
        <f t="shared" si="33"/>
        <v>690.5948022</v>
      </c>
      <c r="F946" s="132">
        <f t="shared" si="34"/>
        <v>0.4795797238</v>
      </c>
      <c r="G946" s="276" t="s">
        <v>1348</v>
      </c>
      <c r="H946" s="131"/>
      <c r="I946" s="131"/>
      <c r="J946" s="131"/>
      <c r="K946" s="131"/>
      <c r="L946" s="131"/>
      <c r="M946" s="131"/>
      <c r="N946" s="131"/>
      <c r="O946" s="131"/>
      <c r="P946" s="131"/>
      <c r="Q946" s="131"/>
      <c r="R946" s="131"/>
      <c r="S946" s="131"/>
      <c r="T946" s="131"/>
      <c r="U946" s="131"/>
      <c r="V946" s="131"/>
      <c r="W946" s="131"/>
      <c r="X946" s="131"/>
      <c r="Y946" s="131"/>
      <c r="Z946" s="203"/>
    </row>
    <row r="947">
      <c r="A947" s="262" t="s">
        <v>54</v>
      </c>
      <c r="B947" s="262" t="s">
        <v>66</v>
      </c>
      <c r="C947" s="262">
        <v>730.0</v>
      </c>
      <c r="D947" s="262">
        <v>3.603323663</v>
      </c>
      <c r="E947" s="260">
        <f t="shared" si="33"/>
        <v>216.1994198</v>
      </c>
      <c r="F947" s="132">
        <f t="shared" si="34"/>
        <v>0.150138486</v>
      </c>
      <c r="G947" s="276" t="s">
        <v>1349</v>
      </c>
      <c r="H947" s="131"/>
      <c r="I947" s="131"/>
      <c r="J947" s="131"/>
      <c r="K947" s="131"/>
      <c r="L947" s="131"/>
      <c r="M947" s="131"/>
      <c r="N947" s="131"/>
      <c r="O947" s="131"/>
      <c r="P947" s="131"/>
      <c r="Q947" s="131"/>
      <c r="R947" s="131"/>
      <c r="S947" s="131"/>
      <c r="T947" s="131"/>
      <c r="U947" s="131"/>
      <c r="V947" s="131"/>
      <c r="W947" s="131"/>
      <c r="X947" s="131"/>
      <c r="Y947" s="131"/>
      <c r="Z947" s="203"/>
    </row>
    <row r="948">
      <c r="A948" s="262" t="s">
        <v>45</v>
      </c>
      <c r="B948" s="262" t="s">
        <v>464</v>
      </c>
      <c r="C948" s="262">
        <v>5185.0</v>
      </c>
      <c r="D948" s="262">
        <v>25.01003773</v>
      </c>
      <c r="E948" s="260">
        <f t="shared" si="33"/>
        <v>1500.602264</v>
      </c>
      <c r="F948" s="132">
        <f t="shared" si="34"/>
        <v>1.042084905</v>
      </c>
      <c r="G948" s="276" t="s">
        <v>1350</v>
      </c>
      <c r="H948" s="131"/>
      <c r="I948" s="131"/>
      <c r="J948" s="131"/>
      <c r="K948" s="131"/>
      <c r="L948" s="131"/>
      <c r="M948" s="131"/>
      <c r="N948" s="131"/>
      <c r="O948" s="131"/>
      <c r="P948" s="131"/>
      <c r="Q948" s="131"/>
      <c r="R948" s="131"/>
      <c r="S948" s="131"/>
      <c r="T948" s="131"/>
      <c r="U948" s="131"/>
      <c r="V948" s="131"/>
      <c r="W948" s="131"/>
      <c r="X948" s="131"/>
      <c r="Y948" s="131"/>
      <c r="Z948" s="203"/>
    </row>
    <row r="949">
      <c r="A949" s="262" t="s">
        <v>69</v>
      </c>
      <c r="B949" s="262" t="s">
        <v>70</v>
      </c>
      <c r="C949" s="262">
        <v>3958.0</v>
      </c>
      <c r="D949" s="262">
        <v>20.17338075</v>
      </c>
      <c r="E949" s="260">
        <f t="shared" si="33"/>
        <v>1210.402845</v>
      </c>
      <c r="F949" s="132">
        <f t="shared" si="34"/>
        <v>0.8405575313</v>
      </c>
      <c r="G949" s="276" t="s">
        <v>1351</v>
      </c>
      <c r="H949" s="131"/>
      <c r="I949" s="131"/>
      <c r="J949" s="131"/>
      <c r="K949" s="131"/>
      <c r="L949" s="131"/>
      <c r="M949" s="131"/>
      <c r="N949" s="131"/>
      <c r="O949" s="131"/>
      <c r="P949" s="131"/>
      <c r="Q949" s="131"/>
      <c r="R949" s="131"/>
      <c r="S949" s="131"/>
      <c r="T949" s="131"/>
      <c r="U949" s="131"/>
      <c r="V949" s="131"/>
      <c r="W949" s="131"/>
      <c r="X949" s="131"/>
      <c r="Y949" s="131"/>
      <c r="Z949" s="203"/>
    </row>
    <row r="950">
      <c r="A950" s="262" t="s">
        <v>69</v>
      </c>
      <c r="B950" s="262" t="s">
        <v>71</v>
      </c>
      <c r="C950" s="262">
        <v>3818.0</v>
      </c>
      <c r="D950" s="262">
        <v>19.10570444</v>
      </c>
      <c r="E950" s="260">
        <f t="shared" si="33"/>
        <v>1146.342266</v>
      </c>
      <c r="F950" s="132">
        <f t="shared" si="34"/>
        <v>0.7960710183</v>
      </c>
      <c r="G950" s="276" t="s">
        <v>1352</v>
      </c>
      <c r="H950" s="131"/>
      <c r="I950" s="131"/>
      <c r="J950" s="131"/>
      <c r="K950" s="131"/>
      <c r="L950" s="131"/>
      <c r="M950" s="131"/>
      <c r="N950" s="131"/>
      <c r="O950" s="131"/>
      <c r="P950" s="131"/>
      <c r="Q950" s="131"/>
      <c r="R950" s="131"/>
      <c r="S950" s="131"/>
      <c r="T950" s="131"/>
      <c r="U950" s="131"/>
      <c r="V950" s="131"/>
      <c r="W950" s="131"/>
      <c r="X950" s="131"/>
      <c r="Y950" s="131"/>
      <c r="Z950" s="203"/>
    </row>
    <row r="951">
      <c r="A951" s="262" t="s">
        <v>35</v>
      </c>
      <c r="B951" s="262" t="s">
        <v>72</v>
      </c>
      <c r="C951" s="262">
        <v>2098.0</v>
      </c>
      <c r="D951" s="262">
        <v>10.42756181</v>
      </c>
      <c r="E951" s="260">
        <f t="shared" si="33"/>
        <v>625.6537086</v>
      </c>
      <c r="F951" s="132">
        <f t="shared" si="34"/>
        <v>0.4344817421</v>
      </c>
      <c r="G951" s="276" t="s">
        <v>1353</v>
      </c>
      <c r="H951" s="131"/>
      <c r="I951" s="131"/>
      <c r="J951" s="131"/>
      <c r="K951" s="131"/>
      <c r="L951" s="131"/>
      <c r="M951" s="131"/>
      <c r="N951" s="131"/>
      <c r="O951" s="131"/>
      <c r="P951" s="131"/>
      <c r="Q951" s="131"/>
      <c r="R951" s="131"/>
      <c r="S951" s="131"/>
      <c r="T951" s="131"/>
      <c r="U951" s="131"/>
      <c r="V951" s="131"/>
      <c r="W951" s="131"/>
      <c r="X951" s="131"/>
      <c r="Y951" s="131"/>
      <c r="Z951" s="203"/>
    </row>
    <row r="952">
      <c r="A952" s="262" t="s">
        <v>35</v>
      </c>
      <c r="B952" s="262" t="s">
        <v>73</v>
      </c>
      <c r="C952" s="262">
        <v>2289.0</v>
      </c>
      <c r="D952" s="262">
        <v>11.1469333</v>
      </c>
      <c r="E952" s="260">
        <f t="shared" si="33"/>
        <v>668.815998</v>
      </c>
      <c r="F952" s="132">
        <f t="shared" si="34"/>
        <v>0.4644555542</v>
      </c>
      <c r="G952" s="276" t="s">
        <v>1354</v>
      </c>
      <c r="H952" s="131"/>
      <c r="I952" s="131"/>
      <c r="J952" s="131"/>
      <c r="K952" s="131"/>
      <c r="L952" s="131"/>
      <c r="M952" s="131"/>
      <c r="N952" s="131"/>
      <c r="O952" s="131"/>
      <c r="P952" s="131"/>
      <c r="Q952" s="131"/>
      <c r="R952" s="131"/>
      <c r="S952" s="131"/>
      <c r="T952" s="131"/>
      <c r="U952" s="131"/>
      <c r="V952" s="131"/>
      <c r="W952" s="131"/>
      <c r="X952" s="131"/>
      <c r="Y952" s="131"/>
      <c r="Z952" s="203"/>
    </row>
    <row r="953">
      <c r="A953" s="262" t="s">
        <v>35</v>
      </c>
      <c r="B953" s="262" t="s">
        <v>74</v>
      </c>
      <c r="C953" s="262">
        <v>1957.0</v>
      </c>
      <c r="D953" s="262">
        <v>9.914430451</v>
      </c>
      <c r="E953" s="260">
        <f t="shared" si="33"/>
        <v>594.8658271</v>
      </c>
      <c r="F953" s="132">
        <f t="shared" si="34"/>
        <v>0.4131012688</v>
      </c>
      <c r="G953" s="276" t="s">
        <v>1355</v>
      </c>
      <c r="H953" s="131"/>
      <c r="I953" s="131"/>
      <c r="J953" s="131"/>
      <c r="K953" s="131"/>
      <c r="L953" s="131"/>
      <c r="M953" s="131"/>
      <c r="N953" s="131"/>
      <c r="O953" s="131"/>
      <c r="P953" s="131"/>
      <c r="Q953" s="131"/>
      <c r="R953" s="131"/>
      <c r="S953" s="131"/>
      <c r="T953" s="131"/>
      <c r="U953" s="131"/>
      <c r="V953" s="131"/>
      <c r="W953" s="131"/>
      <c r="X953" s="131"/>
      <c r="Y953" s="131"/>
      <c r="Z953" s="203"/>
    </row>
    <row r="954">
      <c r="A954" s="262" t="s">
        <v>35</v>
      </c>
      <c r="B954" s="262" t="s">
        <v>75</v>
      </c>
      <c r="C954" s="262">
        <v>1955.0</v>
      </c>
      <c r="D954" s="262">
        <v>9.746812101</v>
      </c>
      <c r="E954" s="260">
        <f t="shared" si="33"/>
        <v>584.8087261</v>
      </c>
      <c r="F954" s="132">
        <f t="shared" si="34"/>
        <v>0.4061171709</v>
      </c>
      <c r="G954" s="276" t="s">
        <v>1356</v>
      </c>
      <c r="H954" s="131"/>
      <c r="I954" s="131"/>
      <c r="J954" s="131"/>
      <c r="K954" s="131"/>
      <c r="L954" s="131"/>
      <c r="M954" s="131"/>
      <c r="N954" s="131"/>
      <c r="O954" s="131"/>
      <c r="P954" s="131"/>
      <c r="Q954" s="131"/>
      <c r="R954" s="131"/>
      <c r="S954" s="131"/>
      <c r="T954" s="131"/>
      <c r="U954" s="131"/>
      <c r="V954" s="131"/>
      <c r="W954" s="131"/>
      <c r="X954" s="131"/>
      <c r="Y954" s="131"/>
      <c r="Z954" s="203"/>
    </row>
    <row r="955">
      <c r="A955" s="262" t="s">
        <v>35</v>
      </c>
      <c r="B955" s="262" t="s">
        <v>425</v>
      </c>
      <c r="C955" s="262">
        <v>1573.0</v>
      </c>
      <c r="D955" s="262">
        <v>7.790363611</v>
      </c>
      <c r="E955" s="260">
        <f t="shared" si="33"/>
        <v>467.4218167</v>
      </c>
      <c r="F955" s="132">
        <f t="shared" si="34"/>
        <v>0.3245984838</v>
      </c>
      <c r="G955" s="276" t="s">
        <v>1357</v>
      </c>
      <c r="H955" s="131"/>
      <c r="I955" s="131"/>
      <c r="J955" s="131"/>
      <c r="K955" s="131"/>
      <c r="L955" s="131"/>
      <c r="M955" s="131"/>
      <c r="N955" s="131"/>
      <c r="O955" s="131"/>
      <c r="P955" s="131"/>
      <c r="Q955" s="131"/>
      <c r="R955" s="131"/>
      <c r="S955" s="131"/>
      <c r="T955" s="131"/>
      <c r="U955" s="131"/>
      <c r="V955" s="131"/>
      <c r="W955" s="131"/>
      <c r="X955" s="131"/>
      <c r="Y955" s="131"/>
      <c r="Z955" s="203"/>
    </row>
    <row r="956">
      <c r="A956" s="262" t="s">
        <v>35</v>
      </c>
      <c r="B956" s="262" t="s">
        <v>42</v>
      </c>
      <c r="C956" s="262">
        <v>1964.0</v>
      </c>
      <c r="D956" s="262">
        <v>9.410617274</v>
      </c>
      <c r="E956" s="260">
        <f t="shared" si="33"/>
        <v>564.6370364</v>
      </c>
      <c r="F956" s="132">
        <f t="shared" si="34"/>
        <v>0.3921090531</v>
      </c>
      <c r="G956" s="276" t="s">
        <v>1358</v>
      </c>
      <c r="H956" s="131"/>
      <c r="I956" s="131"/>
      <c r="J956" s="131"/>
      <c r="K956" s="131"/>
      <c r="L956" s="131"/>
      <c r="M956" s="131"/>
      <c r="N956" s="131"/>
      <c r="O956" s="131"/>
      <c r="P956" s="131"/>
      <c r="Q956" s="131"/>
      <c r="R956" s="131"/>
      <c r="S956" s="131"/>
      <c r="T956" s="131"/>
      <c r="U956" s="131"/>
      <c r="V956" s="131"/>
      <c r="W956" s="131"/>
      <c r="X956" s="131"/>
      <c r="Y956" s="131"/>
      <c r="Z956" s="203"/>
    </row>
    <row r="957">
      <c r="A957" s="262" t="s">
        <v>35</v>
      </c>
      <c r="B957" s="262" t="s">
        <v>80</v>
      </c>
      <c r="C957" s="262">
        <v>1384.0</v>
      </c>
      <c r="D957" s="262">
        <v>6.945685104</v>
      </c>
      <c r="E957" s="260">
        <f t="shared" si="33"/>
        <v>416.7411062</v>
      </c>
      <c r="F957" s="132">
        <f t="shared" si="34"/>
        <v>0.289403546</v>
      </c>
      <c r="G957" s="276" t="s">
        <v>1359</v>
      </c>
      <c r="H957" s="131"/>
      <c r="I957" s="131"/>
      <c r="J957" s="131"/>
      <c r="K957" s="131"/>
      <c r="L957" s="131"/>
      <c r="M957" s="131"/>
      <c r="N957" s="131"/>
      <c r="O957" s="131"/>
      <c r="P957" s="131"/>
      <c r="Q957" s="131"/>
      <c r="R957" s="131"/>
      <c r="S957" s="131"/>
      <c r="T957" s="131"/>
      <c r="U957" s="131"/>
      <c r="V957" s="131"/>
      <c r="W957" s="131"/>
      <c r="X957" s="131"/>
      <c r="Y957" s="131"/>
      <c r="Z957" s="203"/>
    </row>
    <row r="958">
      <c r="A958" s="262" t="s">
        <v>35</v>
      </c>
      <c r="B958" s="262" t="s">
        <v>82</v>
      </c>
      <c r="C958" s="262">
        <v>2297.0</v>
      </c>
      <c r="D958" s="262">
        <v>11.15003573</v>
      </c>
      <c r="E958" s="260">
        <f t="shared" si="33"/>
        <v>669.0021438</v>
      </c>
      <c r="F958" s="132">
        <f t="shared" si="34"/>
        <v>0.4645848221</v>
      </c>
      <c r="G958" s="276" t="s">
        <v>1360</v>
      </c>
      <c r="H958" s="131"/>
      <c r="I958" s="131"/>
      <c r="J958" s="131"/>
      <c r="K958" s="131"/>
      <c r="L958" s="131"/>
      <c r="M958" s="131"/>
      <c r="N958" s="131"/>
      <c r="O958" s="131"/>
      <c r="P958" s="131"/>
      <c r="Q958" s="131"/>
      <c r="R958" s="131"/>
      <c r="S958" s="131"/>
      <c r="T958" s="131"/>
      <c r="U958" s="131"/>
      <c r="V958" s="131"/>
      <c r="W958" s="131"/>
      <c r="X958" s="131"/>
      <c r="Y958" s="131"/>
      <c r="Z958" s="203"/>
    </row>
    <row r="959">
      <c r="A959" s="262" t="s">
        <v>35</v>
      </c>
      <c r="B959" s="262" t="s">
        <v>83</v>
      </c>
      <c r="C959" s="262">
        <v>2329.0</v>
      </c>
      <c r="D959" s="262">
        <v>11.517643</v>
      </c>
      <c r="E959" s="260">
        <f t="shared" si="33"/>
        <v>691.05858</v>
      </c>
      <c r="F959" s="132">
        <f t="shared" si="34"/>
        <v>0.4799017917</v>
      </c>
      <c r="G959" s="276" t="s">
        <v>1361</v>
      </c>
      <c r="H959" s="131"/>
      <c r="I959" s="131"/>
      <c r="J959" s="131"/>
      <c r="K959" s="131"/>
      <c r="L959" s="131"/>
      <c r="M959" s="131"/>
      <c r="N959" s="131"/>
      <c r="O959" s="131"/>
      <c r="P959" s="131"/>
      <c r="Q959" s="131"/>
      <c r="R959" s="131"/>
      <c r="S959" s="131"/>
      <c r="T959" s="131"/>
      <c r="U959" s="131"/>
      <c r="V959" s="131"/>
      <c r="W959" s="131"/>
      <c r="X959" s="131"/>
      <c r="Y959" s="131"/>
      <c r="Z959" s="203"/>
    </row>
    <row r="960">
      <c r="A960" s="262" t="s">
        <v>35</v>
      </c>
      <c r="B960" s="262" t="s">
        <v>36</v>
      </c>
      <c r="C960" s="262">
        <v>2470.0</v>
      </c>
      <c r="D960" s="262">
        <v>11.90475075</v>
      </c>
      <c r="E960" s="260">
        <f t="shared" si="33"/>
        <v>714.285045</v>
      </c>
      <c r="F960" s="132">
        <f t="shared" si="34"/>
        <v>0.4960312813</v>
      </c>
      <c r="G960" s="276" t="s">
        <v>1362</v>
      </c>
      <c r="H960" s="131"/>
      <c r="I960" s="131"/>
      <c r="J960" s="131"/>
      <c r="K960" s="131"/>
      <c r="L960" s="131"/>
      <c r="M960" s="131"/>
      <c r="N960" s="131"/>
      <c r="O960" s="131"/>
      <c r="P960" s="131"/>
      <c r="Q960" s="131"/>
      <c r="R960" s="131"/>
      <c r="S960" s="131"/>
      <c r="T960" s="131"/>
      <c r="U960" s="131"/>
      <c r="V960" s="131"/>
      <c r="W960" s="131"/>
      <c r="X960" s="131"/>
      <c r="Y960" s="131"/>
      <c r="Z960" s="203"/>
    </row>
    <row r="961">
      <c r="A961" s="262" t="s">
        <v>17</v>
      </c>
      <c r="B961" s="262" t="s">
        <v>84</v>
      </c>
      <c r="C961" s="262">
        <v>2579.0</v>
      </c>
      <c r="D961" s="262">
        <v>12.80596146</v>
      </c>
      <c r="E961" s="260">
        <f t="shared" si="33"/>
        <v>768.3576876</v>
      </c>
      <c r="F961" s="132">
        <f t="shared" si="34"/>
        <v>0.5335817275</v>
      </c>
      <c r="G961" s="276" t="s">
        <v>1363</v>
      </c>
      <c r="H961" s="131"/>
      <c r="I961" s="131"/>
      <c r="J961" s="131"/>
      <c r="K961" s="131"/>
      <c r="L961" s="131"/>
      <c r="M961" s="131"/>
      <c r="N961" s="131"/>
      <c r="O961" s="131"/>
      <c r="P961" s="131"/>
      <c r="Q961" s="131"/>
      <c r="R961" s="131"/>
      <c r="S961" s="131"/>
      <c r="T961" s="131"/>
      <c r="U961" s="131"/>
      <c r="V961" s="131"/>
      <c r="W961" s="131"/>
      <c r="X961" s="131"/>
      <c r="Y961" s="131"/>
      <c r="Z961" s="203"/>
    </row>
    <row r="962">
      <c r="A962" s="262" t="s">
        <v>17</v>
      </c>
      <c r="B962" s="262" t="s">
        <v>85</v>
      </c>
      <c r="C962" s="262">
        <v>2482.0</v>
      </c>
      <c r="D962" s="262">
        <v>12.2571329</v>
      </c>
      <c r="E962" s="260">
        <f t="shared" si="33"/>
        <v>735.427974</v>
      </c>
      <c r="F962" s="132">
        <f t="shared" si="34"/>
        <v>0.5107138708</v>
      </c>
      <c r="G962" s="276" t="s">
        <v>1364</v>
      </c>
      <c r="H962" s="131"/>
      <c r="I962" s="131"/>
      <c r="J962" s="131"/>
      <c r="K962" s="131"/>
      <c r="L962" s="131"/>
      <c r="M962" s="131"/>
      <c r="N962" s="131"/>
      <c r="O962" s="131"/>
      <c r="P962" s="131"/>
      <c r="Q962" s="131"/>
      <c r="R962" s="131"/>
      <c r="S962" s="131"/>
      <c r="T962" s="131"/>
      <c r="U962" s="131"/>
      <c r="V962" s="131"/>
      <c r="W962" s="131"/>
      <c r="X962" s="131"/>
      <c r="Y962" s="131"/>
      <c r="Z962" s="203"/>
    </row>
    <row r="963">
      <c r="A963" s="262" t="s">
        <v>17</v>
      </c>
      <c r="B963" s="262" t="s">
        <v>79</v>
      </c>
      <c r="C963" s="262">
        <v>2801.0</v>
      </c>
      <c r="D963" s="262">
        <v>13.94409583</v>
      </c>
      <c r="E963" s="260">
        <f t="shared" si="33"/>
        <v>836.6457498</v>
      </c>
      <c r="F963" s="132">
        <f t="shared" si="34"/>
        <v>0.5810039929</v>
      </c>
      <c r="G963" s="276" t="s">
        <v>1365</v>
      </c>
      <c r="H963" s="131"/>
      <c r="I963" s="131"/>
      <c r="J963" s="131"/>
      <c r="K963" s="131"/>
      <c r="L963" s="131"/>
      <c r="M963" s="131"/>
      <c r="N963" s="131"/>
      <c r="O963" s="131"/>
      <c r="P963" s="131"/>
      <c r="Q963" s="131"/>
      <c r="R963" s="131"/>
      <c r="S963" s="131"/>
      <c r="T963" s="131"/>
      <c r="U963" s="131"/>
      <c r="V963" s="131"/>
      <c r="W963" s="131"/>
      <c r="X963" s="131"/>
      <c r="Y963" s="131"/>
      <c r="Z963" s="203"/>
    </row>
    <row r="964">
      <c r="A964" s="262" t="s">
        <v>17</v>
      </c>
      <c r="B964" s="262" t="s">
        <v>18</v>
      </c>
      <c r="C964" s="262">
        <v>2655.0</v>
      </c>
      <c r="D964" s="262">
        <v>13.10728849</v>
      </c>
      <c r="E964" s="260">
        <f t="shared" si="33"/>
        <v>786.4373094</v>
      </c>
      <c r="F964" s="132">
        <f t="shared" si="34"/>
        <v>0.5461370204</v>
      </c>
      <c r="G964" s="276" t="s">
        <v>1366</v>
      </c>
      <c r="H964" s="131"/>
      <c r="I964" s="131"/>
      <c r="J964" s="131"/>
      <c r="K964" s="131"/>
      <c r="L964" s="131"/>
      <c r="M964" s="131"/>
      <c r="N964" s="131"/>
      <c r="O964" s="131"/>
      <c r="P964" s="131"/>
      <c r="Q964" s="131"/>
      <c r="R964" s="131"/>
      <c r="S964" s="131"/>
      <c r="T964" s="131"/>
      <c r="U964" s="131"/>
      <c r="V964" s="131"/>
      <c r="W964" s="131"/>
      <c r="X964" s="131"/>
      <c r="Y964" s="131"/>
      <c r="Z964" s="203"/>
    </row>
    <row r="965">
      <c r="A965" s="262" t="s">
        <v>17</v>
      </c>
      <c r="B965" s="262" t="s">
        <v>23</v>
      </c>
      <c r="C965" s="262">
        <v>2551.0</v>
      </c>
      <c r="D965" s="262">
        <v>12.42009344</v>
      </c>
      <c r="E965" s="260">
        <f t="shared" si="33"/>
        <v>745.2056064</v>
      </c>
      <c r="F965" s="132">
        <f t="shared" si="34"/>
        <v>0.5175038933</v>
      </c>
      <c r="G965" s="276" t="s">
        <v>1367</v>
      </c>
      <c r="H965" s="131"/>
      <c r="I965" s="131"/>
      <c r="J965" s="131"/>
      <c r="K965" s="131"/>
      <c r="L965" s="131"/>
      <c r="M965" s="131"/>
      <c r="N965" s="131"/>
      <c r="O965" s="131"/>
      <c r="P965" s="131"/>
      <c r="Q965" s="131"/>
      <c r="R965" s="131"/>
      <c r="S965" s="131"/>
      <c r="T965" s="131"/>
      <c r="U965" s="131"/>
      <c r="V965" s="131"/>
      <c r="W965" s="131"/>
      <c r="X965" s="131"/>
      <c r="Y965" s="131"/>
      <c r="Z965" s="203"/>
    </row>
    <row r="966">
      <c r="A966" s="262" t="s">
        <v>17</v>
      </c>
      <c r="B966" s="262" t="s">
        <v>86</v>
      </c>
      <c r="C966" s="262">
        <v>2876.0</v>
      </c>
      <c r="D966" s="262">
        <v>14.48544036</v>
      </c>
      <c r="E966" s="260">
        <f t="shared" si="33"/>
        <v>869.1264216</v>
      </c>
      <c r="F966" s="132">
        <f t="shared" si="34"/>
        <v>0.603560015</v>
      </c>
      <c r="G966" s="276" t="s">
        <v>1368</v>
      </c>
      <c r="H966" s="131"/>
      <c r="I966" s="131"/>
      <c r="J966" s="131"/>
      <c r="K966" s="131"/>
      <c r="L966" s="131"/>
      <c r="M966" s="131"/>
      <c r="N966" s="131"/>
      <c r="O966" s="131"/>
      <c r="P966" s="131"/>
      <c r="Q966" s="131"/>
      <c r="R966" s="131"/>
      <c r="S966" s="131"/>
      <c r="T966" s="131"/>
      <c r="U966" s="131"/>
      <c r="V966" s="131"/>
      <c r="W966" s="131"/>
      <c r="X966" s="131"/>
      <c r="Y966" s="131"/>
      <c r="Z966" s="203"/>
    </row>
    <row r="967">
      <c r="A967" s="262" t="s">
        <v>17</v>
      </c>
      <c r="B967" s="262" t="s">
        <v>87</v>
      </c>
      <c r="C967" s="262">
        <v>2768.0</v>
      </c>
      <c r="D967" s="262">
        <v>13.62468436</v>
      </c>
      <c r="E967" s="260">
        <f t="shared" si="33"/>
        <v>817.4810616</v>
      </c>
      <c r="F967" s="132">
        <f t="shared" si="34"/>
        <v>0.5676951817</v>
      </c>
      <c r="G967" s="276" t="s">
        <v>1369</v>
      </c>
      <c r="H967" s="131"/>
      <c r="I967" s="131"/>
      <c r="J967" s="131"/>
      <c r="K967" s="131"/>
      <c r="L967" s="131"/>
      <c r="M967" s="131"/>
      <c r="N967" s="131"/>
      <c r="O967" s="131"/>
      <c r="P967" s="131"/>
      <c r="Q967" s="131"/>
      <c r="R967" s="131"/>
      <c r="S967" s="131"/>
      <c r="T967" s="131"/>
      <c r="U967" s="131"/>
      <c r="V967" s="131"/>
      <c r="W967" s="131"/>
      <c r="X967" s="131"/>
      <c r="Y967" s="131"/>
      <c r="Z967" s="203"/>
    </row>
    <row r="968">
      <c r="A968" s="262" t="s">
        <v>88</v>
      </c>
      <c r="B968" s="262" t="s">
        <v>89</v>
      </c>
      <c r="C968" s="262">
        <v>1913.0</v>
      </c>
      <c r="D968" s="262">
        <v>9.558163715</v>
      </c>
      <c r="E968" s="260">
        <f t="shared" si="33"/>
        <v>573.4898229</v>
      </c>
      <c r="F968" s="132">
        <f t="shared" si="34"/>
        <v>0.3982568215</v>
      </c>
      <c r="G968" s="276" t="s">
        <v>1370</v>
      </c>
      <c r="H968" s="131"/>
      <c r="I968" s="131"/>
      <c r="J968" s="131"/>
      <c r="K968" s="131"/>
      <c r="L968" s="131"/>
      <c r="M968" s="131"/>
      <c r="N968" s="131"/>
      <c r="O968" s="131"/>
      <c r="P968" s="131"/>
      <c r="Q968" s="131"/>
      <c r="R968" s="131"/>
      <c r="S968" s="131"/>
      <c r="T968" s="131"/>
      <c r="U968" s="131"/>
      <c r="V968" s="131"/>
      <c r="W968" s="131"/>
      <c r="X968" s="131"/>
      <c r="Y968" s="131"/>
      <c r="Z968" s="203"/>
    </row>
    <row r="969">
      <c r="A969" s="262" t="s">
        <v>88</v>
      </c>
      <c r="B969" s="262" t="s">
        <v>90</v>
      </c>
      <c r="C969" s="262">
        <v>2251.0</v>
      </c>
      <c r="D969" s="262">
        <v>11.14644212</v>
      </c>
      <c r="E969" s="260">
        <f t="shared" si="33"/>
        <v>668.7865272</v>
      </c>
      <c r="F969" s="132">
        <f t="shared" si="34"/>
        <v>0.4644350883</v>
      </c>
      <c r="G969" s="276" t="s">
        <v>1371</v>
      </c>
      <c r="H969" s="131"/>
      <c r="I969" s="131"/>
      <c r="J969" s="131"/>
      <c r="K969" s="131"/>
      <c r="L969" s="131"/>
      <c r="M969" s="131"/>
      <c r="N969" s="131"/>
      <c r="O969" s="131"/>
      <c r="P969" s="131"/>
      <c r="Q969" s="131"/>
      <c r="R969" s="131"/>
      <c r="S969" s="131"/>
      <c r="T969" s="131"/>
      <c r="U969" s="131"/>
      <c r="V969" s="131"/>
      <c r="W969" s="131"/>
      <c r="X969" s="131"/>
      <c r="Y969" s="131"/>
      <c r="Z969" s="203"/>
    </row>
    <row r="970">
      <c r="A970" s="262" t="s">
        <v>729</v>
      </c>
      <c r="B970" s="262" t="s">
        <v>78</v>
      </c>
      <c r="C970" s="262">
        <v>2635.0</v>
      </c>
      <c r="D970" s="262">
        <v>12.45984717</v>
      </c>
      <c r="E970" s="260">
        <f t="shared" si="33"/>
        <v>747.5908302</v>
      </c>
      <c r="F970" s="132">
        <f t="shared" si="34"/>
        <v>0.5191602988</v>
      </c>
      <c r="G970" s="276" t="s">
        <v>1372</v>
      </c>
      <c r="H970" s="131"/>
      <c r="I970" s="131"/>
      <c r="J970" s="131"/>
      <c r="K970" s="131"/>
      <c r="L970" s="131"/>
      <c r="M970" s="131"/>
      <c r="N970" s="131"/>
      <c r="O970" s="131"/>
      <c r="P970" s="131"/>
      <c r="Q970" s="131"/>
      <c r="R970" s="131"/>
      <c r="S970" s="131"/>
      <c r="T970" s="131"/>
      <c r="U970" s="131"/>
      <c r="V970" s="131"/>
      <c r="W970" s="131"/>
      <c r="X970" s="131"/>
      <c r="Y970" s="131"/>
      <c r="Z970" s="203"/>
    </row>
    <row r="971">
      <c r="A971" s="262" t="s">
        <v>729</v>
      </c>
      <c r="B971" s="262" t="s">
        <v>91</v>
      </c>
      <c r="C971" s="262">
        <v>2255.0</v>
      </c>
      <c r="D971" s="262">
        <v>10.75880814</v>
      </c>
      <c r="E971" s="260">
        <f t="shared" si="33"/>
        <v>645.5284884</v>
      </c>
      <c r="F971" s="132">
        <f t="shared" si="34"/>
        <v>0.4482836725</v>
      </c>
      <c r="G971" s="276" t="s">
        <v>1373</v>
      </c>
      <c r="H971" s="131"/>
      <c r="I971" s="131"/>
      <c r="J971" s="131"/>
      <c r="K971" s="131"/>
      <c r="L971" s="131"/>
      <c r="M971" s="131"/>
      <c r="N971" s="131"/>
      <c r="O971" s="131"/>
      <c r="P971" s="131"/>
      <c r="Q971" s="131"/>
      <c r="R971" s="131"/>
      <c r="S971" s="131"/>
      <c r="T971" s="131"/>
      <c r="U971" s="131"/>
      <c r="V971" s="131"/>
      <c r="W971" s="131"/>
      <c r="X971" s="131"/>
      <c r="Y971" s="131"/>
      <c r="Z971" s="203"/>
    </row>
    <row r="972">
      <c r="A972" s="262" t="s">
        <v>67</v>
      </c>
      <c r="B972" s="262" t="s">
        <v>426</v>
      </c>
      <c r="C972" s="262">
        <v>2630.0</v>
      </c>
      <c r="D972" s="262">
        <v>13.36804295</v>
      </c>
      <c r="E972" s="260">
        <f t="shared" si="33"/>
        <v>802.082577</v>
      </c>
      <c r="F972" s="132">
        <f t="shared" si="34"/>
        <v>0.5570017896</v>
      </c>
      <c r="G972" s="276" t="s">
        <v>1374</v>
      </c>
      <c r="H972" s="131"/>
      <c r="I972" s="131"/>
      <c r="J972" s="131"/>
      <c r="K972" s="131"/>
      <c r="L972" s="131"/>
      <c r="M972" s="131"/>
      <c r="N972" s="131"/>
      <c r="O972" s="131"/>
      <c r="P972" s="131"/>
      <c r="Q972" s="131"/>
      <c r="R972" s="131"/>
      <c r="S972" s="131"/>
      <c r="T972" s="131"/>
      <c r="U972" s="131"/>
      <c r="V972" s="131"/>
      <c r="W972" s="131"/>
      <c r="X972" s="131"/>
      <c r="Y972" s="131"/>
      <c r="Z972" s="203"/>
    </row>
    <row r="973">
      <c r="A973" s="262" t="s">
        <v>67</v>
      </c>
      <c r="B973" s="262" t="s">
        <v>93</v>
      </c>
      <c r="C973" s="262">
        <v>2620.0</v>
      </c>
      <c r="D973" s="262">
        <v>13.47464958</v>
      </c>
      <c r="E973" s="260">
        <f t="shared" si="33"/>
        <v>808.4789748</v>
      </c>
      <c r="F973" s="132">
        <f t="shared" si="34"/>
        <v>0.5614437325</v>
      </c>
      <c r="G973" s="276" t="s">
        <v>1375</v>
      </c>
      <c r="H973" s="131"/>
      <c r="I973" s="131"/>
      <c r="J973" s="131"/>
      <c r="K973" s="131"/>
      <c r="L973" s="131"/>
      <c r="M973" s="131"/>
      <c r="N973" s="131"/>
      <c r="O973" s="131"/>
      <c r="P973" s="131"/>
      <c r="Q973" s="131"/>
      <c r="R973" s="131"/>
      <c r="S973" s="131"/>
      <c r="T973" s="131"/>
      <c r="U973" s="131"/>
      <c r="V973" s="131"/>
      <c r="W973" s="131"/>
      <c r="X973" s="131"/>
      <c r="Y973" s="131"/>
      <c r="Z973" s="203"/>
    </row>
    <row r="974">
      <c r="A974" s="262" t="s">
        <v>474</v>
      </c>
      <c r="B974" s="262" t="s">
        <v>94</v>
      </c>
      <c r="C974" s="262">
        <v>3631.0</v>
      </c>
      <c r="D974" s="262">
        <v>18.24273436</v>
      </c>
      <c r="E974" s="260">
        <f t="shared" si="33"/>
        <v>1094.564062</v>
      </c>
      <c r="F974" s="132">
        <f t="shared" si="34"/>
        <v>0.7601139317</v>
      </c>
      <c r="G974" s="276" t="s">
        <v>1376</v>
      </c>
      <c r="H974" s="131"/>
      <c r="I974" s="131"/>
      <c r="J974" s="131"/>
      <c r="K974" s="131"/>
      <c r="L974" s="131"/>
      <c r="M974" s="131"/>
      <c r="N974" s="131"/>
      <c r="O974" s="131"/>
      <c r="P974" s="131"/>
      <c r="Q974" s="131"/>
      <c r="R974" s="131"/>
      <c r="S974" s="131"/>
      <c r="T974" s="131"/>
      <c r="U974" s="131"/>
      <c r="V974" s="131"/>
      <c r="W974" s="131"/>
      <c r="X974" s="131"/>
      <c r="Y974" s="131"/>
      <c r="Z974" s="203"/>
    </row>
    <row r="975">
      <c r="A975" s="262" t="s">
        <v>474</v>
      </c>
      <c r="B975" s="262" t="s">
        <v>95</v>
      </c>
      <c r="C975" s="262">
        <v>2527.0</v>
      </c>
      <c r="D975" s="262">
        <v>13.00767852</v>
      </c>
      <c r="E975" s="260">
        <f t="shared" si="33"/>
        <v>780.4607112</v>
      </c>
      <c r="F975" s="132">
        <f t="shared" si="34"/>
        <v>0.541986605</v>
      </c>
      <c r="G975" s="276" t="s">
        <v>1377</v>
      </c>
      <c r="H975" s="131"/>
      <c r="I975" s="131"/>
      <c r="J975" s="131"/>
      <c r="K975" s="131"/>
      <c r="L975" s="131"/>
      <c r="M975" s="131"/>
      <c r="N975" s="131"/>
      <c r="O975" s="131"/>
      <c r="P975" s="131"/>
      <c r="Q975" s="131"/>
      <c r="R975" s="131"/>
      <c r="S975" s="131"/>
      <c r="T975" s="131"/>
      <c r="U975" s="131"/>
      <c r="V975" s="131"/>
      <c r="W975" s="131"/>
      <c r="X975" s="131"/>
      <c r="Y975" s="131"/>
      <c r="Z975" s="203"/>
    </row>
    <row r="976">
      <c r="A976" s="262" t="s">
        <v>474</v>
      </c>
      <c r="B976" s="262" t="s">
        <v>96</v>
      </c>
      <c r="C976" s="262">
        <v>4125.0</v>
      </c>
      <c r="D976" s="262">
        <v>20.45362767</v>
      </c>
      <c r="E976" s="260">
        <f t="shared" si="33"/>
        <v>1227.21766</v>
      </c>
      <c r="F976" s="132">
        <f t="shared" si="34"/>
        <v>0.8522344863</v>
      </c>
      <c r="G976" s="276" t="s">
        <v>1378</v>
      </c>
      <c r="H976" s="131"/>
      <c r="I976" s="131"/>
      <c r="J976" s="131"/>
      <c r="K976" s="131"/>
      <c r="L976" s="131"/>
      <c r="M976" s="131"/>
      <c r="N976" s="131"/>
      <c r="O976" s="131"/>
      <c r="P976" s="131"/>
      <c r="Q976" s="131"/>
      <c r="R976" s="131"/>
      <c r="S976" s="131"/>
      <c r="T976" s="131"/>
      <c r="U976" s="131"/>
      <c r="V976" s="131"/>
      <c r="W976" s="131"/>
      <c r="X976" s="131"/>
      <c r="Y976" s="131"/>
      <c r="Z976" s="203"/>
    </row>
    <row r="977">
      <c r="A977" s="262" t="s">
        <v>474</v>
      </c>
      <c r="B977" s="262" t="s">
        <v>92</v>
      </c>
      <c r="C977" s="262">
        <v>2587.0</v>
      </c>
      <c r="D977" s="262">
        <v>12.39729899</v>
      </c>
      <c r="E977" s="260">
        <f t="shared" si="33"/>
        <v>743.8379394</v>
      </c>
      <c r="F977" s="132">
        <f t="shared" si="34"/>
        <v>0.5165541246</v>
      </c>
      <c r="G977" s="276" t="s">
        <v>1379</v>
      </c>
      <c r="H977" s="131"/>
      <c r="I977" s="131"/>
      <c r="J977" s="131"/>
      <c r="K977" s="131"/>
      <c r="L977" s="131"/>
      <c r="M977" s="131"/>
      <c r="N977" s="131"/>
      <c r="O977" s="131"/>
      <c r="P977" s="131"/>
      <c r="Q977" s="131"/>
      <c r="R977" s="131"/>
      <c r="S977" s="131"/>
      <c r="T977" s="131"/>
      <c r="U977" s="131"/>
      <c r="V977" s="131"/>
      <c r="W977" s="131"/>
      <c r="X977" s="131"/>
      <c r="Y977" s="131"/>
      <c r="Z977" s="203"/>
    </row>
    <row r="978">
      <c r="A978" s="262" t="s">
        <v>474</v>
      </c>
      <c r="B978" s="262" t="s">
        <v>97</v>
      </c>
      <c r="C978" s="262">
        <v>2950.0</v>
      </c>
      <c r="D978" s="262">
        <v>14.75375446</v>
      </c>
      <c r="E978" s="260">
        <f t="shared" si="33"/>
        <v>885.2252676</v>
      </c>
      <c r="F978" s="132">
        <f t="shared" si="34"/>
        <v>0.6147397692</v>
      </c>
      <c r="G978" s="276" t="s">
        <v>1380</v>
      </c>
      <c r="H978" s="131"/>
      <c r="I978" s="131"/>
      <c r="J978" s="131"/>
      <c r="K978" s="131"/>
      <c r="L978" s="131"/>
      <c r="M978" s="131"/>
      <c r="N978" s="131"/>
      <c r="O978" s="131"/>
      <c r="P978" s="131"/>
      <c r="Q978" s="131"/>
      <c r="R978" s="131"/>
      <c r="S978" s="131"/>
      <c r="T978" s="131"/>
      <c r="U978" s="131"/>
      <c r="V978" s="131"/>
      <c r="W978" s="131"/>
      <c r="X978" s="131"/>
      <c r="Y978" s="131"/>
      <c r="Z978" s="203"/>
    </row>
    <row r="979">
      <c r="A979" s="262" t="s">
        <v>474</v>
      </c>
      <c r="B979" s="262" t="s">
        <v>57</v>
      </c>
      <c r="C979" s="262">
        <v>3955.0</v>
      </c>
      <c r="D979" s="262">
        <v>19.39079403</v>
      </c>
      <c r="E979" s="260">
        <f t="shared" si="33"/>
        <v>1163.447642</v>
      </c>
      <c r="F979" s="132">
        <f t="shared" si="34"/>
        <v>0.8079497513</v>
      </c>
      <c r="G979" s="276" t="s">
        <v>1381</v>
      </c>
      <c r="H979" s="131"/>
      <c r="I979" s="131"/>
      <c r="J979" s="131"/>
      <c r="K979" s="131"/>
      <c r="L979" s="131"/>
      <c r="M979" s="131"/>
      <c r="N979" s="131"/>
      <c r="O979" s="131"/>
      <c r="P979" s="131"/>
      <c r="Q979" s="131"/>
      <c r="R979" s="131"/>
      <c r="S979" s="131"/>
      <c r="T979" s="131"/>
      <c r="U979" s="131"/>
      <c r="V979" s="131"/>
      <c r="W979" s="131"/>
      <c r="X979" s="131"/>
      <c r="Y979" s="131"/>
      <c r="Z979" s="203"/>
    </row>
    <row r="980">
      <c r="A980" s="262" t="s">
        <v>474</v>
      </c>
      <c r="B980" s="262" t="s">
        <v>98</v>
      </c>
      <c r="C980" s="262">
        <v>4595.0</v>
      </c>
      <c r="D980" s="262">
        <v>22.9149092</v>
      </c>
      <c r="E980" s="260">
        <f t="shared" si="33"/>
        <v>1374.894552</v>
      </c>
      <c r="F980" s="132">
        <f t="shared" si="34"/>
        <v>0.9547878833</v>
      </c>
      <c r="G980" s="276" t="s">
        <v>1382</v>
      </c>
      <c r="H980" s="131"/>
      <c r="I980" s="131"/>
      <c r="J980" s="131"/>
      <c r="K980" s="131"/>
      <c r="L980" s="131"/>
      <c r="M980" s="131"/>
      <c r="N980" s="131"/>
      <c r="O980" s="131"/>
      <c r="P980" s="131"/>
      <c r="Q980" s="131"/>
      <c r="R980" s="131"/>
      <c r="S980" s="131"/>
      <c r="T980" s="131"/>
      <c r="U980" s="131"/>
      <c r="V980" s="131"/>
      <c r="W980" s="131"/>
      <c r="X980" s="131"/>
      <c r="Y980" s="131"/>
      <c r="Z980" s="203"/>
    </row>
    <row r="981">
      <c r="A981" s="262" t="s">
        <v>474</v>
      </c>
      <c r="B981" s="262" t="s">
        <v>428</v>
      </c>
      <c r="C981" s="262">
        <v>3136.0</v>
      </c>
      <c r="D981" s="262">
        <v>15.53538698</v>
      </c>
      <c r="E981" s="260">
        <f t="shared" si="33"/>
        <v>932.1232188</v>
      </c>
      <c r="F981" s="132">
        <f t="shared" si="34"/>
        <v>0.6473077908</v>
      </c>
      <c r="G981" s="276" t="s">
        <v>1383</v>
      </c>
      <c r="H981" s="131"/>
      <c r="I981" s="131"/>
      <c r="J981" s="131"/>
      <c r="K981" s="131"/>
      <c r="L981" s="131"/>
      <c r="M981" s="131"/>
      <c r="N981" s="131"/>
      <c r="O981" s="131"/>
      <c r="P981" s="131"/>
      <c r="Q981" s="131"/>
      <c r="R981" s="131"/>
      <c r="S981" s="131"/>
      <c r="T981" s="131"/>
      <c r="U981" s="131"/>
      <c r="V981" s="131"/>
      <c r="W981" s="131"/>
      <c r="X981" s="131"/>
      <c r="Y981" s="131"/>
      <c r="Z981" s="203"/>
    </row>
    <row r="982">
      <c r="A982" s="262" t="s">
        <v>474</v>
      </c>
      <c r="B982" s="262" t="s">
        <v>99</v>
      </c>
      <c r="C982" s="262">
        <v>2704.0</v>
      </c>
      <c r="D982" s="262">
        <v>13.24973884</v>
      </c>
      <c r="E982" s="260">
        <f t="shared" si="33"/>
        <v>794.9843304</v>
      </c>
      <c r="F982" s="132">
        <f t="shared" si="34"/>
        <v>0.5520724517</v>
      </c>
      <c r="G982" s="276" t="s">
        <v>1384</v>
      </c>
      <c r="H982" s="131"/>
      <c r="I982" s="131"/>
      <c r="J982" s="131"/>
      <c r="K982" s="131"/>
      <c r="L982" s="131"/>
      <c r="M982" s="131"/>
      <c r="N982" s="131"/>
      <c r="O982" s="131"/>
      <c r="P982" s="131"/>
      <c r="Q982" s="131"/>
      <c r="R982" s="131"/>
      <c r="S982" s="131"/>
      <c r="T982" s="131"/>
      <c r="U982" s="131"/>
      <c r="V982" s="131"/>
      <c r="W982" s="131"/>
      <c r="X982" s="131"/>
      <c r="Y982" s="131"/>
      <c r="Z982" s="203"/>
    </row>
    <row r="983">
      <c r="A983" s="262" t="s">
        <v>474</v>
      </c>
      <c r="B983" s="262" t="s">
        <v>61</v>
      </c>
      <c r="C983" s="262">
        <v>2372.0</v>
      </c>
      <c r="D983" s="262">
        <v>11.5369787</v>
      </c>
      <c r="E983" s="260">
        <f t="shared" si="33"/>
        <v>692.218722</v>
      </c>
      <c r="F983" s="132">
        <f t="shared" si="34"/>
        <v>0.4807074458</v>
      </c>
      <c r="G983" s="276" t="s">
        <v>1385</v>
      </c>
      <c r="H983" s="131"/>
      <c r="I983" s="131"/>
      <c r="J983" s="131"/>
      <c r="K983" s="131"/>
      <c r="L983" s="131"/>
      <c r="M983" s="131"/>
      <c r="N983" s="131"/>
      <c r="O983" s="131"/>
      <c r="P983" s="131"/>
      <c r="Q983" s="131"/>
      <c r="R983" s="131"/>
      <c r="S983" s="131"/>
      <c r="T983" s="131"/>
      <c r="U983" s="131"/>
      <c r="V983" s="131"/>
      <c r="W983" s="131"/>
      <c r="X983" s="131"/>
      <c r="Y983" s="131"/>
      <c r="Z983" s="203"/>
    </row>
    <row r="984">
      <c r="A984" s="262" t="s">
        <v>429</v>
      </c>
      <c r="B984" s="262" t="s">
        <v>430</v>
      </c>
      <c r="C984" s="262">
        <v>2247.0</v>
      </c>
      <c r="D984" s="262">
        <v>11.67944613</v>
      </c>
      <c r="E984" s="260">
        <f t="shared" si="33"/>
        <v>700.7667678</v>
      </c>
      <c r="F984" s="132">
        <f t="shared" si="34"/>
        <v>0.4866435888</v>
      </c>
      <c r="G984" s="276" t="s">
        <v>1386</v>
      </c>
      <c r="H984" s="131"/>
      <c r="I984" s="131"/>
      <c r="J984" s="131"/>
      <c r="K984" s="131"/>
      <c r="L984" s="131"/>
      <c r="M984" s="131"/>
      <c r="N984" s="131"/>
      <c r="O984" s="131"/>
      <c r="P984" s="131"/>
      <c r="Q984" s="131"/>
      <c r="R984" s="131"/>
      <c r="S984" s="131"/>
      <c r="T984" s="131"/>
      <c r="U984" s="131"/>
      <c r="V984" s="131"/>
      <c r="W984" s="131"/>
      <c r="X984" s="131"/>
      <c r="Y984" s="131"/>
      <c r="Z984" s="203"/>
    </row>
    <row r="985">
      <c r="A985" s="262" t="s">
        <v>429</v>
      </c>
      <c r="B985" s="262" t="s">
        <v>101</v>
      </c>
      <c r="C985" s="262">
        <v>1880.0</v>
      </c>
      <c r="D985" s="262">
        <v>9.718764792</v>
      </c>
      <c r="E985" s="260">
        <f t="shared" si="33"/>
        <v>583.1258875</v>
      </c>
      <c r="F985" s="132">
        <f t="shared" si="34"/>
        <v>0.404948533</v>
      </c>
      <c r="G985" s="276" t="s">
        <v>1387</v>
      </c>
      <c r="H985" s="131"/>
      <c r="I985" s="131"/>
      <c r="J985" s="131"/>
      <c r="K985" s="131"/>
      <c r="L985" s="131"/>
      <c r="M985" s="131"/>
      <c r="N985" s="131"/>
      <c r="O985" s="131"/>
      <c r="P985" s="131"/>
      <c r="Q985" s="131"/>
      <c r="R985" s="131"/>
      <c r="S985" s="131"/>
      <c r="T985" s="131"/>
      <c r="U985" s="131"/>
      <c r="V985" s="131"/>
      <c r="W985" s="131"/>
      <c r="X985" s="131"/>
      <c r="Y985" s="131"/>
      <c r="Z985" s="203"/>
    </row>
    <row r="986">
      <c r="A986" s="262" t="s">
        <v>429</v>
      </c>
      <c r="B986" s="262" t="s">
        <v>102</v>
      </c>
      <c r="C986" s="262">
        <v>1607.0</v>
      </c>
      <c r="D986" s="281">
        <v>7.821234792</v>
      </c>
      <c r="E986" s="260">
        <f t="shared" si="33"/>
        <v>469.2740875</v>
      </c>
      <c r="F986" s="132">
        <f t="shared" si="34"/>
        <v>0.325884783</v>
      </c>
      <c r="G986" s="276" t="s">
        <v>1388</v>
      </c>
      <c r="H986" s="131"/>
      <c r="I986" s="131"/>
      <c r="J986" s="131"/>
      <c r="K986" s="131"/>
      <c r="L986" s="131"/>
      <c r="M986" s="131"/>
      <c r="N986" s="131"/>
      <c r="O986" s="131"/>
      <c r="P986" s="131"/>
      <c r="Q986" s="131"/>
      <c r="R986" s="131"/>
      <c r="S986" s="131"/>
      <c r="T986" s="131"/>
      <c r="U986" s="131"/>
      <c r="V986" s="131"/>
      <c r="W986" s="131"/>
      <c r="X986" s="131"/>
      <c r="Y986" s="131"/>
      <c r="Z986" s="203"/>
    </row>
    <row r="987">
      <c r="A987" s="262" t="s">
        <v>429</v>
      </c>
      <c r="B987" s="262" t="s">
        <v>29</v>
      </c>
      <c r="C987" s="262">
        <v>2368.0</v>
      </c>
      <c r="D987" s="262">
        <v>11.38342085</v>
      </c>
      <c r="E987" s="260">
        <f t="shared" si="33"/>
        <v>683.005251</v>
      </c>
      <c r="F987" s="132">
        <f t="shared" si="34"/>
        <v>0.4743092021</v>
      </c>
      <c r="G987" s="276" t="s">
        <v>1389</v>
      </c>
      <c r="H987" s="131"/>
      <c r="I987" s="131"/>
      <c r="J987" s="131"/>
      <c r="K987" s="131"/>
      <c r="L987" s="131"/>
      <c r="M987" s="131"/>
      <c r="N987" s="131"/>
      <c r="O987" s="131"/>
      <c r="P987" s="131"/>
      <c r="Q987" s="131"/>
      <c r="R987" s="131"/>
      <c r="S987" s="131"/>
      <c r="T987" s="131"/>
      <c r="U987" s="131"/>
      <c r="V987" s="131"/>
      <c r="W987" s="131"/>
      <c r="X987" s="131"/>
      <c r="Y987" s="131"/>
      <c r="Z987" s="203"/>
    </row>
    <row r="988">
      <c r="A988" s="262" t="s">
        <v>429</v>
      </c>
      <c r="B988" s="262" t="s">
        <v>103</v>
      </c>
      <c r="C988" s="262">
        <v>2255.0</v>
      </c>
      <c r="D988" s="262">
        <v>11.52000856</v>
      </c>
      <c r="E988" s="260">
        <f t="shared" si="33"/>
        <v>691.2005136</v>
      </c>
      <c r="F988" s="132">
        <f t="shared" si="34"/>
        <v>0.4800003567</v>
      </c>
      <c r="G988" s="276" t="s">
        <v>1390</v>
      </c>
      <c r="H988" s="131"/>
      <c r="I988" s="131"/>
      <c r="J988" s="131"/>
      <c r="K988" s="131"/>
      <c r="L988" s="131"/>
      <c r="M988" s="131"/>
      <c r="N988" s="131"/>
      <c r="O988" s="131"/>
      <c r="P988" s="131"/>
      <c r="Q988" s="131"/>
      <c r="R988" s="131"/>
      <c r="S988" s="131"/>
      <c r="T988" s="131"/>
      <c r="U988" s="131"/>
      <c r="V988" s="131"/>
      <c r="W988" s="131"/>
      <c r="X988" s="131"/>
      <c r="Y988" s="131"/>
      <c r="Z988" s="203"/>
    </row>
    <row r="989">
      <c r="A989" s="262" t="s">
        <v>429</v>
      </c>
      <c r="B989" s="262" t="s">
        <v>465</v>
      </c>
      <c r="C989" s="262">
        <v>2173.0</v>
      </c>
      <c r="D989" s="262">
        <v>10.58909896</v>
      </c>
      <c r="E989" s="260">
        <f t="shared" si="33"/>
        <v>635.3459376</v>
      </c>
      <c r="F989" s="132">
        <f t="shared" si="34"/>
        <v>0.4412124567</v>
      </c>
      <c r="G989" s="276" t="s">
        <v>1391</v>
      </c>
      <c r="H989" s="131"/>
      <c r="I989" s="131"/>
      <c r="J989" s="131"/>
      <c r="K989" s="131"/>
      <c r="L989" s="131"/>
      <c r="M989" s="131"/>
      <c r="N989" s="131"/>
      <c r="O989" s="131"/>
      <c r="P989" s="131"/>
      <c r="Q989" s="131"/>
      <c r="R989" s="131"/>
      <c r="S989" s="131"/>
      <c r="T989" s="131"/>
      <c r="U989" s="131"/>
      <c r="V989" s="131"/>
      <c r="W989" s="131"/>
      <c r="X989" s="131"/>
      <c r="Y989" s="131"/>
      <c r="Z989" s="203"/>
    </row>
    <row r="990">
      <c r="A990" s="262" t="s">
        <v>429</v>
      </c>
      <c r="B990" s="262" t="s">
        <v>432</v>
      </c>
      <c r="C990" s="262">
        <v>1736.0</v>
      </c>
      <c r="D990" s="262">
        <v>8.421564861</v>
      </c>
      <c r="E990" s="260">
        <f t="shared" si="33"/>
        <v>505.2938917</v>
      </c>
      <c r="F990" s="132">
        <f t="shared" si="34"/>
        <v>0.3508985359</v>
      </c>
      <c r="G990" s="276" t="s">
        <v>1392</v>
      </c>
      <c r="H990" s="131"/>
      <c r="I990" s="131"/>
      <c r="J990" s="131"/>
      <c r="K990" s="131"/>
      <c r="L990" s="131"/>
      <c r="M990" s="131"/>
      <c r="N990" s="131"/>
      <c r="O990" s="131"/>
      <c r="P990" s="131"/>
      <c r="Q990" s="131"/>
      <c r="R990" s="131"/>
      <c r="S990" s="131"/>
      <c r="T990" s="131"/>
      <c r="U990" s="131"/>
      <c r="V990" s="131"/>
      <c r="W990" s="131"/>
      <c r="X990" s="131"/>
      <c r="Y990" s="131"/>
      <c r="Z990" s="203"/>
    </row>
    <row r="991">
      <c r="A991" s="262" t="s">
        <v>429</v>
      </c>
      <c r="B991" s="262" t="s">
        <v>105</v>
      </c>
      <c r="C991" s="262">
        <v>1984.0</v>
      </c>
      <c r="D991" s="262">
        <v>9.508428576</v>
      </c>
      <c r="E991" s="260">
        <f t="shared" si="33"/>
        <v>570.5057146</v>
      </c>
      <c r="F991" s="132">
        <f t="shared" si="34"/>
        <v>0.396184524</v>
      </c>
      <c r="G991" s="276" t="s">
        <v>1393</v>
      </c>
      <c r="H991" s="131"/>
      <c r="I991" s="131"/>
      <c r="J991" s="131"/>
      <c r="K991" s="131"/>
      <c r="L991" s="131"/>
      <c r="M991" s="131"/>
      <c r="N991" s="131"/>
      <c r="O991" s="131"/>
      <c r="P991" s="131"/>
      <c r="Q991" s="131"/>
      <c r="R991" s="131"/>
      <c r="S991" s="131"/>
      <c r="T991" s="131"/>
      <c r="U991" s="131"/>
      <c r="V991" s="131"/>
      <c r="W991" s="131"/>
      <c r="X991" s="131"/>
      <c r="Y991" s="131"/>
      <c r="Z991" s="203"/>
    </row>
    <row r="992">
      <c r="A992" s="131"/>
      <c r="B992" s="131"/>
      <c r="C992" s="131">
        <f>sum(C912:C991)</f>
        <v>204535</v>
      </c>
      <c r="D992" s="212" t="s">
        <v>484</v>
      </c>
      <c r="E992" s="222">
        <f>SUM(E912:E991)</f>
        <v>60644.70698</v>
      </c>
      <c r="F992" s="132">
        <f t="shared" si="34"/>
        <v>42.11437984</v>
      </c>
      <c r="G992" s="211"/>
      <c r="H992" s="131"/>
      <c r="I992" s="131"/>
      <c r="J992" s="131"/>
      <c r="K992" s="131"/>
      <c r="L992" s="131"/>
      <c r="M992" s="131"/>
      <c r="N992" s="131"/>
      <c r="O992" s="131"/>
      <c r="P992" s="131"/>
      <c r="Q992" s="131"/>
      <c r="R992" s="131"/>
      <c r="S992" s="131"/>
      <c r="T992" s="131"/>
      <c r="U992" s="131"/>
      <c r="V992" s="131"/>
      <c r="W992" s="131"/>
      <c r="X992" s="131"/>
      <c r="Y992" s="131"/>
      <c r="Z992" s="203"/>
    </row>
    <row r="993">
      <c r="A993" s="131"/>
      <c r="B993" s="131"/>
      <c r="C993" s="131"/>
      <c r="D993" s="131"/>
      <c r="E993" s="222"/>
      <c r="F993" s="132"/>
      <c r="G993" s="211"/>
      <c r="H993" s="131"/>
      <c r="I993" s="131"/>
      <c r="J993" s="131"/>
      <c r="K993" s="131"/>
      <c r="L993" s="131"/>
      <c r="M993" s="131"/>
      <c r="N993" s="131"/>
      <c r="O993" s="131"/>
      <c r="P993" s="131"/>
      <c r="Q993" s="131"/>
      <c r="R993" s="131"/>
      <c r="S993" s="131"/>
      <c r="T993" s="131"/>
      <c r="U993" s="131"/>
      <c r="V993" s="131"/>
      <c r="W993" s="131"/>
      <c r="X993" s="131"/>
      <c r="Y993" s="131"/>
      <c r="Z993" s="203"/>
    </row>
    <row r="994">
      <c r="A994" s="131"/>
      <c r="B994" s="131"/>
      <c r="C994" s="131"/>
      <c r="D994" s="131"/>
      <c r="E994" s="131"/>
      <c r="F994" s="283"/>
      <c r="G994" s="211"/>
      <c r="H994" s="131"/>
      <c r="I994" s="131"/>
      <c r="J994" s="131"/>
      <c r="K994" s="131"/>
      <c r="L994" s="131"/>
      <c r="M994" s="131"/>
      <c r="N994" s="131"/>
      <c r="O994" s="131"/>
      <c r="P994" s="131"/>
      <c r="Q994" s="131"/>
      <c r="R994" s="131"/>
      <c r="S994" s="131"/>
      <c r="T994" s="131"/>
      <c r="U994" s="131"/>
      <c r="V994" s="131"/>
      <c r="W994" s="131"/>
      <c r="X994" s="131"/>
      <c r="Y994" s="131"/>
      <c r="Z994" s="203"/>
    </row>
    <row r="995">
      <c r="A995" s="284" t="s">
        <v>1394</v>
      </c>
      <c r="B995" s="131"/>
      <c r="C995" s="131"/>
      <c r="D995" s="131"/>
      <c r="E995" s="222"/>
      <c r="F995" s="132"/>
      <c r="G995" s="211"/>
      <c r="H995" s="131"/>
      <c r="I995" s="131"/>
      <c r="J995" s="131"/>
      <c r="K995" s="131"/>
      <c r="L995" s="131"/>
      <c r="M995" s="131"/>
      <c r="N995" s="131"/>
      <c r="O995" s="131"/>
      <c r="P995" s="131"/>
      <c r="Q995" s="131"/>
      <c r="R995" s="131"/>
      <c r="S995" s="131"/>
      <c r="T995" s="131"/>
      <c r="U995" s="131"/>
      <c r="V995" s="131"/>
      <c r="W995" s="131"/>
      <c r="X995" s="131"/>
      <c r="Y995" s="131"/>
      <c r="Z995" s="131"/>
    </row>
    <row r="996">
      <c r="A996" s="131"/>
      <c r="B996" s="131"/>
      <c r="C996" s="131"/>
      <c r="D996" s="131"/>
      <c r="E996" s="222"/>
      <c r="F996" s="132"/>
      <c r="G996" s="211"/>
      <c r="H996" s="131"/>
      <c r="I996" s="131"/>
      <c r="J996" s="131"/>
      <c r="K996" s="131"/>
      <c r="L996" s="131"/>
      <c r="M996" s="131"/>
      <c r="N996" s="131"/>
      <c r="O996" s="131"/>
      <c r="P996" s="131"/>
      <c r="Q996" s="131"/>
      <c r="R996" s="131"/>
      <c r="S996" s="131"/>
      <c r="T996" s="131"/>
      <c r="U996" s="131"/>
      <c r="V996" s="131"/>
      <c r="W996" s="131"/>
      <c r="X996" s="131"/>
      <c r="Y996" s="131"/>
      <c r="Z996" s="131"/>
    </row>
    <row r="997">
      <c r="A997" s="268" t="s">
        <v>0</v>
      </c>
      <c r="B997" s="268" t="s">
        <v>362</v>
      </c>
      <c r="C997" s="239" t="s">
        <v>534</v>
      </c>
      <c r="D997" s="239" t="s">
        <v>420</v>
      </c>
      <c r="E997" s="259" t="s">
        <v>3</v>
      </c>
      <c r="F997" s="214" t="s">
        <v>470</v>
      </c>
      <c r="G997" s="140" t="s">
        <v>471</v>
      </c>
      <c r="H997" s="131"/>
      <c r="I997" s="131"/>
      <c r="J997" s="131"/>
      <c r="K997" s="131"/>
      <c r="L997" s="131"/>
      <c r="M997" s="131"/>
      <c r="N997" s="131"/>
      <c r="O997" s="131"/>
      <c r="P997" s="131"/>
      <c r="Q997" s="131"/>
      <c r="R997" s="131"/>
      <c r="S997" s="131"/>
      <c r="T997" s="131"/>
      <c r="U997" s="131"/>
      <c r="V997" s="131"/>
      <c r="W997" s="131"/>
      <c r="X997" s="131"/>
      <c r="Y997" s="131"/>
      <c r="Z997" s="131"/>
    </row>
    <row r="998">
      <c r="A998" s="262" t="s">
        <v>611</v>
      </c>
      <c r="B998" s="262" t="s">
        <v>48</v>
      </c>
      <c r="C998" s="262">
        <v>1047.0</v>
      </c>
      <c r="D998" s="262">
        <v>4.7661670486111</v>
      </c>
      <c r="E998" s="260">
        <f t="shared" ref="E998:E1077" si="35">D998*60</f>
        <v>285.9700229</v>
      </c>
      <c r="F998" s="132">
        <f t="shared" ref="F998:F1078" si="36">E998/24/60</f>
        <v>0.1985902937</v>
      </c>
      <c r="G998" s="285" t="s">
        <v>1395</v>
      </c>
      <c r="H998" s="131"/>
      <c r="I998" s="131"/>
      <c r="J998" s="131"/>
      <c r="K998" s="131"/>
      <c r="L998" s="131"/>
      <c r="M998" s="131"/>
      <c r="N998" s="131"/>
      <c r="O998" s="131"/>
      <c r="P998" s="131"/>
      <c r="Q998" s="131"/>
      <c r="R998" s="131"/>
      <c r="S998" s="131"/>
      <c r="T998" s="131"/>
      <c r="U998" s="131"/>
      <c r="V998" s="131"/>
      <c r="W998" s="131"/>
      <c r="X998" s="131"/>
      <c r="Y998" s="131"/>
      <c r="Z998" s="131"/>
    </row>
    <row r="999">
      <c r="A999" s="262" t="s">
        <v>611</v>
      </c>
      <c r="B999" s="262" t="s">
        <v>49</v>
      </c>
      <c r="C999" s="262">
        <v>763.0</v>
      </c>
      <c r="D999" s="262">
        <v>3.68290647569444</v>
      </c>
      <c r="E999" s="260">
        <f t="shared" si="35"/>
        <v>220.9743885</v>
      </c>
      <c r="F999" s="132">
        <f t="shared" si="36"/>
        <v>0.1534544365</v>
      </c>
      <c r="G999" s="285" t="s">
        <v>1396</v>
      </c>
      <c r="H999" s="131"/>
      <c r="I999" s="131"/>
      <c r="J999" s="131"/>
      <c r="K999" s="131"/>
      <c r="L999" s="131"/>
      <c r="M999" s="131"/>
      <c r="N999" s="131"/>
      <c r="O999" s="131"/>
      <c r="P999" s="131"/>
      <c r="Q999" s="131"/>
      <c r="R999" s="131"/>
      <c r="S999" s="131"/>
      <c r="T999" s="131"/>
      <c r="U999" s="131"/>
      <c r="V999" s="131"/>
      <c r="W999" s="131"/>
      <c r="X999" s="131"/>
      <c r="Y999" s="131"/>
      <c r="Z999" s="131"/>
    </row>
    <row r="1000">
      <c r="A1000" s="262" t="s">
        <v>611</v>
      </c>
      <c r="B1000" s="262" t="s">
        <v>50</v>
      </c>
      <c r="C1000" s="262">
        <v>992.0</v>
      </c>
      <c r="D1000" s="262">
        <v>4.4030671875</v>
      </c>
      <c r="E1000" s="260">
        <f t="shared" si="35"/>
        <v>264.1840313</v>
      </c>
      <c r="F1000" s="132">
        <f t="shared" si="36"/>
        <v>0.1834611328</v>
      </c>
      <c r="G1000" s="285" t="s">
        <v>1397</v>
      </c>
      <c r="H1000" s="131"/>
      <c r="I1000" s="131"/>
      <c r="J1000" s="131"/>
      <c r="K1000" s="131"/>
      <c r="L1000" s="131"/>
      <c r="M1000" s="131"/>
      <c r="N1000" s="131"/>
      <c r="O1000" s="131"/>
      <c r="P1000" s="131"/>
      <c r="Q1000" s="131"/>
      <c r="R1000" s="131"/>
      <c r="S1000" s="131"/>
      <c r="T1000" s="131"/>
      <c r="U1000" s="131"/>
      <c r="V1000" s="131"/>
      <c r="W1000" s="131"/>
      <c r="X1000" s="131"/>
      <c r="Y1000" s="131"/>
      <c r="Z1000" s="131"/>
    </row>
    <row r="1001">
      <c r="A1001" s="262" t="s">
        <v>611</v>
      </c>
      <c r="B1001" s="262" t="s">
        <v>51</v>
      </c>
      <c r="C1001" s="262">
        <v>619.0</v>
      </c>
      <c r="D1001" s="262">
        <v>2.91028189236111</v>
      </c>
      <c r="E1001" s="260">
        <f t="shared" si="35"/>
        <v>174.6169135</v>
      </c>
      <c r="F1001" s="132">
        <f t="shared" si="36"/>
        <v>0.1212617455</v>
      </c>
      <c r="G1001" s="285" t="s">
        <v>1398</v>
      </c>
      <c r="H1001" s="131"/>
      <c r="I1001" s="131"/>
      <c r="J1001" s="131"/>
      <c r="K1001" s="131"/>
      <c r="L1001" s="131"/>
      <c r="M1001" s="131"/>
      <c r="N1001" s="131"/>
      <c r="O1001" s="131"/>
      <c r="P1001" s="131"/>
      <c r="Q1001" s="131"/>
      <c r="R1001" s="131"/>
      <c r="S1001" s="131"/>
      <c r="T1001" s="131"/>
      <c r="U1001" s="131"/>
      <c r="V1001" s="131"/>
      <c r="W1001" s="131"/>
      <c r="X1001" s="131"/>
      <c r="Y1001" s="131"/>
      <c r="Z1001" s="131"/>
    </row>
    <row r="1002">
      <c r="A1002" s="262" t="s">
        <v>611</v>
      </c>
      <c r="B1002" s="262" t="s">
        <v>52</v>
      </c>
      <c r="C1002" s="262">
        <v>1919.0</v>
      </c>
      <c r="D1002" s="262">
        <v>9.0446849826389</v>
      </c>
      <c r="E1002" s="260">
        <f t="shared" si="35"/>
        <v>542.681099</v>
      </c>
      <c r="F1002" s="132">
        <f t="shared" si="36"/>
        <v>0.3768618743</v>
      </c>
      <c r="G1002" s="285" t="s">
        <v>1399</v>
      </c>
      <c r="H1002" s="131"/>
      <c r="I1002" s="131"/>
      <c r="J1002" s="131"/>
      <c r="K1002" s="131"/>
      <c r="L1002" s="131"/>
      <c r="M1002" s="131"/>
      <c r="N1002" s="131"/>
      <c r="O1002" s="131"/>
      <c r="P1002" s="131"/>
      <c r="Q1002" s="131"/>
      <c r="R1002" s="131"/>
      <c r="S1002" s="131"/>
      <c r="T1002" s="131"/>
      <c r="U1002" s="131"/>
      <c r="V1002" s="131"/>
      <c r="W1002" s="131"/>
      <c r="X1002" s="131"/>
      <c r="Y1002" s="131"/>
      <c r="Z1002" s="131"/>
    </row>
    <row r="1003">
      <c r="A1003" s="262" t="s">
        <v>611</v>
      </c>
      <c r="B1003" s="262" t="s">
        <v>53</v>
      </c>
      <c r="C1003" s="262">
        <v>598.0</v>
      </c>
      <c r="D1003" s="262">
        <v>2.62367526041666</v>
      </c>
      <c r="E1003" s="260">
        <f t="shared" si="35"/>
        <v>157.4205156</v>
      </c>
      <c r="F1003" s="132">
        <f t="shared" si="36"/>
        <v>0.1093198025</v>
      </c>
      <c r="G1003" s="285" t="s">
        <v>1400</v>
      </c>
      <c r="H1003" s="131"/>
      <c r="I1003" s="131"/>
      <c r="J1003" s="131"/>
      <c r="K1003" s="131"/>
      <c r="L1003" s="131"/>
      <c r="M1003" s="131"/>
      <c r="N1003" s="131"/>
      <c r="O1003" s="131"/>
      <c r="P1003" s="131"/>
      <c r="Q1003" s="131"/>
      <c r="R1003" s="131"/>
      <c r="S1003" s="131"/>
      <c r="T1003" s="131"/>
      <c r="U1003" s="131"/>
      <c r="V1003" s="131"/>
      <c r="W1003" s="131"/>
      <c r="X1003" s="131"/>
      <c r="Y1003" s="131"/>
      <c r="Z1003" s="131"/>
    </row>
    <row r="1004">
      <c r="A1004" s="262" t="s">
        <v>7</v>
      </c>
      <c r="B1004" s="262" t="s">
        <v>34</v>
      </c>
      <c r="C1004" s="262">
        <v>395.0</v>
      </c>
      <c r="D1004" s="262">
        <v>1.92878590277778</v>
      </c>
      <c r="E1004" s="260">
        <f t="shared" si="35"/>
        <v>115.7271542</v>
      </c>
      <c r="F1004" s="132">
        <f t="shared" si="36"/>
        <v>0.08036607928</v>
      </c>
      <c r="G1004" s="285" t="s">
        <v>1401</v>
      </c>
      <c r="H1004" s="131"/>
      <c r="I1004" s="131"/>
      <c r="J1004" s="131"/>
      <c r="K1004" s="131"/>
      <c r="L1004" s="131"/>
      <c r="M1004" s="131"/>
      <c r="N1004" s="131"/>
      <c r="O1004" s="131"/>
      <c r="P1004" s="131"/>
      <c r="Q1004" s="131"/>
      <c r="R1004" s="131"/>
      <c r="S1004" s="131"/>
      <c r="T1004" s="131"/>
      <c r="U1004" s="131"/>
      <c r="V1004" s="131"/>
      <c r="W1004" s="131"/>
      <c r="X1004" s="131"/>
      <c r="Y1004" s="131"/>
      <c r="Z1004" s="131"/>
    </row>
    <row r="1005">
      <c r="A1005" s="262" t="s">
        <v>7</v>
      </c>
      <c r="B1005" s="262" t="s">
        <v>37</v>
      </c>
      <c r="C1005" s="262">
        <v>1017.0</v>
      </c>
      <c r="D1005" s="262">
        <v>4.62214263888889</v>
      </c>
      <c r="E1005" s="260">
        <f t="shared" si="35"/>
        <v>277.3285583</v>
      </c>
      <c r="F1005" s="132">
        <f t="shared" si="36"/>
        <v>0.1925892766</v>
      </c>
      <c r="G1005" s="285" t="s">
        <v>1402</v>
      </c>
      <c r="H1005" s="131"/>
      <c r="I1005" s="131"/>
      <c r="J1005" s="131"/>
      <c r="K1005" s="131"/>
      <c r="L1005" s="131"/>
      <c r="M1005" s="131"/>
      <c r="N1005" s="131"/>
      <c r="O1005" s="131"/>
      <c r="P1005" s="131"/>
      <c r="Q1005" s="131"/>
      <c r="R1005" s="131"/>
      <c r="S1005" s="131"/>
      <c r="T1005" s="131"/>
      <c r="U1005" s="131"/>
      <c r="V1005" s="131"/>
      <c r="W1005" s="131"/>
      <c r="X1005" s="131"/>
      <c r="Y1005" s="131"/>
      <c r="Z1005" s="131"/>
    </row>
    <row r="1006">
      <c r="A1006" s="262" t="s">
        <v>7</v>
      </c>
      <c r="B1006" s="262" t="s">
        <v>26</v>
      </c>
      <c r="C1006" s="262">
        <v>578.0</v>
      </c>
      <c r="D1006" s="262">
        <v>2.81023498263889</v>
      </c>
      <c r="E1006" s="260">
        <f t="shared" si="35"/>
        <v>168.614099</v>
      </c>
      <c r="F1006" s="132">
        <f t="shared" si="36"/>
        <v>0.1170931243</v>
      </c>
      <c r="G1006" s="285" t="s">
        <v>1403</v>
      </c>
      <c r="H1006" s="131"/>
      <c r="I1006" s="131"/>
      <c r="J1006" s="131"/>
      <c r="K1006" s="131"/>
      <c r="L1006" s="131"/>
      <c r="M1006" s="131"/>
      <c r="N1006" s="131"/>
      <c r="O1006" s="131"/>
      <c r="P1006" s="131"/>
      <c r="Q1006" s="131"/>
      <c r="R1006" s="131"/>
      <c r="S1006" s="131"/>
      <c r="T1006" s="131"/>
      <c r="U1006" s="131"/>
      <c r="V1006" s="131"/>
      <c r="W1006" s="131"/>
      <c r="X1006" s="131"/>
      <c r="Y1006" s="131"/>
      <c r="Z1006" s="131"/>
    </row>
    <row r="1007">
      <c r="A1007" s="262" t="s">
        <v>7</v>
      </c>
      <c r="B1007" s="262" t="s">
        <v>24</v>
      </c>
      <c r="C1007" s="262">
        <v>983.0</v>
      </c>
      <c r="D1007" s="262">
        <v>4.73741248263889</v>
      </c>
      <c r="E1007" s="260">
        <f t="shared" si="35"/>
        <v>284.244749</v>
      </c>
      <c r="F1007" s="132">
        <f t="shared" si="36"/>
        <v>0.1973921868</v>
      </c>
      <c r="G1007" s="285" t="s">
        <v>1404</v>
      </c>
      <c r="H1007" s="131"/>
      <c r="I1007" s="131"/>
      <c r="J1007" s="131"/>
      <c r="K1007" s="131"/>
      <c r="L1007" s="131"/>
      <c r="M1007" s="131"/>
      <c r="N1007" s="131"/>
      <c r="O1007" s="131"/>
      <c r="P1007" s="131"/>
      <c r="Q1007" s="131"/>
      <c r="R1007" s="131"/>
      <c r="S1007" s="131"/>
      <c r="T1007" s="131"/>
      <c r="U1007" s="131"/>
      <c r="V1007" s="131"/>
      <c r="W1007" s="131"/>
      <c r="X1007" s="131"/>
      <c r="Y1007" s="131"/>
      <c r="Z1007" s="131"/>
    </row>
    <row r="1008">
      <c r="A1008" s="262" t="s">
        <v>7</v>
      </c>
      <c r="B1008" s="262" t="s">
        <v>422</v>
      </c>
      <c r="C1008" s="262">
        <v>989.0</v>
      </c>
      <c r="D1008" s="262">
        <v>4.43669904513888</v>
      </c>
      <c r="E1008" s="260">
        <f t="shared" si="35"/>
        <v>266.2019427</v>
      </c>
      <c r="F1008" s="132">
        <f t="shared" si="36"/>
        <v>0.1848624602</v>
      </c>
      <c r="G1008" s="285" t="s">
        <v>1405</v>
      </c>
      <c r="H1008" s="131"/>
      <c r="I1008" s="131"/>
      <c r="J1008" s="131"/>
      <c r="K1008" s="131"/>
      <c r="L1008" s="131"/>
      <c r="M1008" s="131"/>
      <c r="N1008" s="131"/>
      <c r="O1008" s="131"/>
      <c r="P1008" s="131"/>
      <c r="Q1008" s="131"/>
      <c r="R1008" s="131"/>
      <c r="S1008" s="131"/>
      <c r="T1008" s="131"/>
      <c r="U1008" s="131"/>
      <c r="V1008" s="131"/>
      <c r="W1008" s="131"/>
      <c r="X1008" s="131"/>
      <c r="Y1008" s="131"/>
      <c r="Z1008" s="131"/>
    </row>
    <row r="1009">
      <c r="A1009" s="262" t="s">
        <v>7</v>
      </c>
      <c r="B1009" s="262" t="s">
        <v>27</v>
      </c>
      <c r="C1009" s="262">
        <v>1151.0</v>
      </c>
      <c r="D1009" s="262">
        <v>5.14203055555556</v>
      </c>
      <c r="E1009" s="260">
        <f t="shared" si="35"/>
        <v>308.5218333</v>
      </c>
      <c r="F1009" s="132">
        <f t="shared" si="36"/>
        <v>0.2142512731</v>
      </c>
      <c r="G1009" s="285" t="s">
        <v>1406</v>
      </c>
      <c r="H1009" s="131"/>
      <c r="I1009" s="131"/>
      <c r="J1009" s="131"/>
      <c r="K1009" s="131"/>
      <c r="L1009" s="131"/>
      <c r="M1009" s="131"/>
      <c r="N1009" s="131"/>
      <c r="O1009" s="131"/>
      <c r="P1009" s="131"/>
      <c r="Q1009" s="131"/>
      <c r="R1009" s="131"/>
      <c r="S1009" s="131"/>
      <c r="T1009" s="131"/>
      <c r="U1009" s="131"/>
      <c r="V1009" s="131"/>
      <c r="W1009" s="131"/>
      <c r="X1009" s="131"/>
      <c r="Y1009" s="131"/>
      <c r="Z1009" s="131"/>
    </row>
    <row r="1010">
      <c r="A1010" s="262" t="s">
        <v>7</v>
      </c>
      <c r="B1010" s="262" t="s">
        <v>19</v>
      </c>
      <c r="C1010" s="262">
        <v>710.0</v>
      </c>
      <c r="D1010" s="262">
        <v>3.27460694444445</v>
      </c>
      <c r="E1010" s="260">
        <f t="shared" si="35"/>
        <v>196.4764167</v>
      </c>
      <c r="F1010" s="132">
        <f t="shared" si="36"/>
        <v>0.136441956</v>
      </c>
      <c r="G1010" s="285" t="s">
        <v>1407</v>
      </c>
      <c r="H1010" s="131"/>
      <c r="I1010" s="131"/>
      <c r="J1010" s="131"/>
      <c r="K1010" s="131"/>
      <c r="L1010" s="131"/>
      <c r="M1010" s="131"/>
      <c r="N1010" s="131"/>
      <c r="O1010" s="131"/>
      <c r="P1010" s="131"/>
      <c r="Q1010" s="131"/>
      <c r="R1010" s="131"/>
      <c r="S1010" s="131"/>
      <c r="T1010" s="131"/>
      <c r="U1010" s="131"/>
      <c r="V1010" s="131"/>
      <c r="W1010" s="131"/>
      <c r="X1010" s="131"/>
      <c r="Y1010" s="131"/>
      <c r="Z1010" s="131"/>
    </row>
    <row r="1011">
      <c r="A1011" s="262" t="s">
        <v>7</v>
      </c>
      <c r="B1011" s="262" t="s">
        <v>40</v>
      </c>
      <c r="C1011" s="262">
        <v>186.0</v>
      </c>
      <c r="D1011" s="262">
        <v>0.902716215277777</v>
      </c>
      <c r="E1011" s="260">
        <f t="shared" si="35"/>
        <v>54.16297292</v>
      </c>
      <c r="F1011" s="132">
        <f t="shared" si="36"/>
        <v>0.03761317564</v>
      </c>
      <c r="G1011" s="285" t="s">
        <v>1408</v>
      </c>
      <c r="H1011" s="131"/>
      <c r="I1011" s="131"/>
      <c r="J1011" s="131"/>
      <c r="K1011" s="131"/>
      <c r="L1011" s="131"/>
      <c r="M1011" s="131"/>
      <c r="N1011" s="131"/>
      <c r="O1011" s="131"/>
      <c r="P1011" s="131"/>
      <c r="Q1011" s="131"/>
      <c r="R1011" s="131"/>
      <c r="S1011" s="131"/>
      <c r="T1011" s="131"/>
      <c r="U1011" s="131"/>
      <c r="V1011" s="131"/>
      <c r="W1011" s="131"/>
      <c r="X1011" s="131"/>
      <c r="Y1011" s="131"/>
      <c r="Z1011" s="131"/>
    </row>
    <row r="1012">
      <c r="A1012" s="262" t="s">
        <v>7</v>
      </c>
      <c r="B1012" s="262" t="s">
        <v>44</v>
      </c>
      <c r="C1012" s="262">
        <v>362.0</v>
      </c>
      <c r="D1012" s="262">
        <v>1.77054440972222</v>
      </c>
      <c r="E1012" s="260">
        <f t="shared" si="35"/>
        <v>106.2326646</v>
      </c>
      <c r="F1012" s="132">
        <f t="shared" si="36"/>
        <v>0.07377268374</v>
      </c>
      <c r="G1012" s="285" t="s">
        <v>1409</v>
      </c>
      <c r="H1012" s="131"/>
      <c r="I1012" s="131"/>
      <c r="J1012" s="131"/>
      <c r="K1012" s="131"/>
      <c r="L1012" s="131"/>
      <c r="M1012" s="131"/>
      <c r="N1012" s="131"/>
      <c r="O1012" s="131"/>
      <c r="P1012" s="131"/>
      <c r="Q1012" s="131"/>
      <c r="R1012" s="131"/>
      <c r="S1012" s="131"/>
      <c r="T1012" s="131"/>
      <c r="U1012" s="131"/>
      <c r="V1012" s="131"/>
      <c r="W1012" s="131"/>
      <c r="X1012" s="131"/>
      <c r="Y1012" s="131"/>
      <c r="Z1012" s="131"/>
    </row>
    <row r="1013">
      <c r="A1013" s="262" t="s">
        <v>7</v>
      </c>
      <c r="B1013" s="262" t="s">
        <v>21</v>
      </c>
      <c r="C1013" s="262">
        <v>660.0</v>
      </c>
      <c r="D1013" s="262">
        <v>3.29612409722222</v>
      </c>
      <c r="E1013" s="260">
        <f t="shared" si="35"/>
        <v>197.7674458</v>
      </c>
      <c r="F1013" s="132">
        <f t="shared" si="36"/>
        <v>0.1373385041</v>
      </c>
      <c r="G1013" s="285" t="s">
        <v>1410</v>
      </c>
      <c r="H1013" s="131"/>
      <c r="I1013" s="131"/>
      <c r="J1013" s="131"/>
      <c r="K1013" s="131"/>
      <c r="L1013" s="131"/>
      <c r="M1013" s="131"/>
      <c r="N1013" s="131"/>
      <c r="O1013" s="131"/>
      <c r="P1013" s="131"/>
      <c r="Q1013" s="131"/>
      <c r="R1013" s="131"/>
      <c r="S1013" s="131"/>
      <c r="T1013" s="131"/>
      <c r="U1013" s="131"/>
      <c r="V1013" s="131"/>
      <c r="W1013" s="131"/>
      <c r="X1013" s="131"/>
      <c r="Y1013" s="131"/>
      <c r="Z1013" s="131"/>
    </row>
    <row r="1014">
      <c r="A1014" s="262" t="s">
        <v>7</v>
      </c>
      <c r="B1014" s="262" t="s">
        <v>31</v>
      </c>
      <c r="C1014" s="262">
        <v>511.0</v>
      </c>
      <c r="D1014" s="262">
        <v>2.42764489583333</v>
      </c>
      <c r="E1014" s="260">
        <f t="shared" si="35"/>
        <v>145.6586938</v>
      </c>
      <c r="F1014" s="132">
        <f t="shared" si="36"/>
        <v>0.1011518707</v>
      </c>
      <c r="G1014" s="285" t="s">
        <v>1411</v>
      </c>
      <c r="H1014" s="131"/>
      <c r="I1014" s="131"/>
      <c r="J1014" s="131"/>
      <c r="K1014" s="131"/>
      <c r="L1014" s="131"/>
      <c r="M1014" s="131"/>
      <c r="N1014" s="131"/>
      <c r="O1014" s="131"/>
      <c r="P1014" s="131"/>
      <c r="Q1014" s="131"/>
      <c r="R1014" s="131"/>
      <c r="S1014" s="131"/>
      <c r="T1014" s="131"/>
      <c r="U1014" s="131"/>
      <c r="V1014" s="131"/>
      <c r="W1014" s="131"/>
      <c r="X1014" s="131"/>
      <c r="Y1014" s="131"/>
      <c r="Z1014" s="131"/>
    </row>
    <row r="1015">
      <c r="A1015" s="262" t="s">
        <v>7</v>
      </c>
      <c r="B1015" s="262" t="s">
        <v>25</v>
      </c>
      <c r="C1015" s="262">
        <v>436.0</v>
      </c>
      <c r="D1015" s="262">
        <v>1.973485</v>
      </c>
      <c r="E1015" s="260">
        <f t="shared" si="35"/>
        <v>118.4091</v>
      </c>
      <c r="F1015" s="132">
        <f t="shared" si="36"/>
        <v>0.08222854167</v>
      </c>
      <c r="G1015" s="285" t="s">
        <v>1412</v>
      </c>
      <c r="H1015" s="131"/>
      <c r="I1015" s="131"/>
      <c r="J1015" s="131"/>
      <c r="K1015" s="131"/>
      <c r="L1015" s="131"/>
      <c r="M1015" s="131"/>
      <c r="N1015" s="131"/>
      <c r="O1015" s="131"/>
      <c r="P1015" s="131"/>
      <c r="Q1015" s="131"/>
      <c r="R1015" s="131"/>
      <c r="S1015" s="131"/>
      <c r="T1015" s="131"/>
      <c r="U1015" s="131"/>
      <c r="V1015" s="131"/>
      <c r="W1015" s="131"/>
      <c r="X1015" s="131"/>
      <c r="Y1015" s="131"/>
      <c r="Z1015" s="131"/>
    </row>
    <row r="1016">
      <c r="A1016" s="262" t="s">
        <v>7</v>
      </c>
      <c r="B1016" s="262" t="s">
        <v>43</v>
      </c>
      <c r="C1016" s="262">
        <v>552.0</v>
      </c>
      <c r="D1016" s="262">
        <v>2.68688763888889</v>
      </c>
      <c r="E1016" s="260">
        <f t="shared" si="35"/>
        <v>161.2132583</v>
      </c>
      <c r="F1016" s="132">
        <f t="shared" si="36"/>
        <v>0.1119536516</v>
      </c>
      <c r="G1016" s="285" t="s">
        <v>1413</v>
      </c>
      <c r="H1016" s="131"/>
      <c r="I1016" s="131"/>
      <c r="J1016" s="131"/>
      <c r="K1016" s="131"/>
      <c r="L1016" s="131"/>
      <c r="M1016" s="131"/>
      <c r="N1016" s="131"/>
      <c r="O1016" s="131"/>
      <c r="P1016" s="131"/>
      <c r="Q1016" s="131"/>
      <c r="R1016" s="131"/>
      <c r="S1016" s="131"/>
      <c r="T1016" s="131"/>
      <c r="U1016" s="131"/>
      <c r="V1016" s="131"/>
      <c r="W1016" s="131"/>
      <c r="X1016" s="131"/>
      <c r="Y1016" s="131"/>
      <c r="Z1016" s="131"/>
    </row>
    <row r="1017">
      <c r="A1017" s="262" t="s">
        <v>7</v>
      </c>
      <c r="B1017" s="262" t="s">
        <v>41</v>
      </c>
      <c r="C1017" s="262">
        <v>322.0</v>
      </c>
      <c r="D1017" s="262">
        <v>1.53765883680556</v>
      </c>
      <c r="E1017" s="260">
        <f t="shared" si="35"/>
        <v>92.25953021</v>
      </c>
      <c r="F1017" s="132">
        <f t="shared" si="36"/>
        <v>0.0640691182</v>
      </c>
      <c r="G1017" s="285" t="s">
        <v>1414</v>
      </c>
      <c r="H1017" s="131"/>
      <c r="I1017" s="131"/>
      <c r="J1017" s="131"/>
      <c r="K1017" s="131"/>
      <c r="L1017" s="131"/>
      <c r="M1017" s="131"/>
      <c r="N1017" s="131"/>
      <c r="O1017" s="131"/>
      <c r="P1017" s="131"/>
      <c r="Q1017" s="131"/>
      <c r="R1017" s="131"/>
      <c r="S1017" s="131"/>
      <c r="T1017" s="131"/>
      <c r="U1017" s="131"/>
      <c r="V1017" s="131"/>
      <c r="W1017" s="131"/>
      <c r="X1017" s="131"/>
      <c r="Y1017" s="131"/>
      <c r="Z1017" s="131"/>
    </row>
    <row r="1018">
      <c r="A1018" s="262" t="s">
        <v>7</v>
      </c>
      <c r="B1018" s="262" t="s">
        <v>32</v>
      </c>
      <c r="C1018" s="262">
        <v>376.0</v>
      </c>
      <c r="D1018" s="262">
        <v>1.89987001736111</v>
      </c>
      <c r="E1018" s="260">
        <f t="shared" si="35"/>
        <v>113.992201</v>
      </c>
      <c r="F1018" s="132">
        <f t="shared" si="36"/>
        <v>0.07916125072</v>
      </c>
      <c r="G1018" s="285" t="s">
        <v>1415</v>
      </c>
      <c r="H1018" s="131"/>
      <c r="I1018" s="131"/>
      <c r="J1018" s="131"/>
      <c r="K1018" s="131"/>
      <c r="L1018" s="131"/>
      <c r="M1018" s="131"/>
      <c r="N1018" s="131"/>
      <c r="O1018" s="131"/>
      <c r="P1018" s="131"/>
      <c r="Q1018" s="131"/>
      <c r="R1018" s="131"/>
      <c r="S1018" s="131"/>
      <c r="T1018" s="131"/>
      <c r="U1018" s="131"/>
      <c r="V1018" s="131"/>
      <c r="W1018" s="131"/>
      <c r="X1018" s="131"/>
      <c r="Y1018" s="131"/>
      <c r="Z1018" s="131"/>
    </row>
    <row r="1019">
      <c r="A1019" s="262" t="s">
        <v>7</v>
      </c>
      <c r="B1019" s="262" t="s">
        <v>22</v>
      </c>
      <c r="C1019" s="262">
        <v>795.0</v>
      </c>
      <c r="D1019" s="262">
        <v>3.77566229166666</v>
      </c>
      <c r="E1019" s="260">
        <f t="shared" si="35"/>
        <v>226.5397375</v>
      </c>
      <c r="F1019" s="132">
        <f t="shared" si="36"/>
        <v>0.1573192622</v>
      </c>
      <c r="G1019" s="285" t="s">
        <v>1416</v>
      </c>
      <c r="H1019" s="131"/>
      <c r="I1019" s="131"/>
      <c r="J1019" s="131"/>
      <c r="K1019" s="131"/>
      <c r="L1019" s="131"/>
      <c r="M1019" s="131"/>
      <c r="N1019" s="131"/>
      <c r="O1019" s="131"/>
      <c r="P1019" s="131"/>
      <c r="Q1019" s="131"/>
      <c r="R1019" s="131"/>
      <c r="S1019" s="131"/>
      <c r="T1019" s="131"/>
      <c r="U1019" s="131"/>
      <c r="V1019" s="131"/>
      <c r="W1019" s="131"/>
      <c r="X1019" s="131"/>
      <c r="Y1019" s="131"/>
      <c r="Z1019" s="131"/>
    </row>
    <row r="1020">
      <c r="A1020" s="262" t="s">
        <v>7</v>
      </c>
      <c r="B1020" s="262" t="s">
        <v>8</v>
      </c>
      <c r="C1020" s="262">
        <v>831.0</v>
      </c>
      <c r="D1020" s="262">
        <v>3.82514151041666</v>
      </c>
      <c r="E1020" s="260">
        <f t="shared" si="35"/>
        <v>229.5084906</v>
      </c>
      <c r="F1020" s="132">
        <f t="shared" si="36"/>
        <v>0.1593808963</v>
      </c>
      <c r="G1020" s="285" t="s">
        <v>1417</v>
      </c>
      <c r="H1020" s="131"/>
      <c r="I1020" s="131"/>
      <c r="J1020" s="131"/>
      <c r="K1020" s="131"/>
      <c r="L1020" s="131"/>
      <c r="M1020" s="131"/>
      <c r="N1020" s="131"/>
      <c r="O1020" s="131"/>
      <c r="P1020" s="131"/>
      <c r="Q1020" s="131"/>
      <c r="R1020" s="131"/>
      <c r="S1020" s="131"/>
      <c r="T1020" s="131"/>
      <c r="U1020" s="131"/>
      <c r="V1020" s="131"/>
      <c r="W1020" s="131"/>
      <c r="X1020" s="131"/>
      <c r="Y1020" s="131"/>
      <c r="Z1020" s="131"/>
    </row>
    <row r="1021">
      <c r="A1021" s="262" t="s">
        <v>7</v>
      </c>
      <c r="B1021" s="262" t="s">
        <v>20</v>
      </c>
      <c r="C1021" s="262">
        <v>944.0</v>
      </c>
      <c r="D1021" s="262">
        <v>4.47911730902777</v>
      </c>
      <c r="E1021" s="260">
        <f t="shared" si="35"/>
        <v>268.7470385</v>
      </c>
      <c r="F1021" s="132">
        <f t="shared" si="36"/>
        <v>0.1866298879</v>
      </c>
      <c r="G1021" s="285" t="s">
        <v>1418</v>
      </c>
      <c r="H1021" s="131"/>
      <c r="I1021" s="131"/>
      <c r="J1021" s="131"/>
      <c r="K1021" s="131"/>
      <c r="L1021" s="131"/>
      <c r="M1021" s="131"/>
      <c r="N1021" s="131"/>
      <c r="O1021" s="131"/>
      <c r="P1021" s="131"/>
      <c r="Q1021" s="131"/>
      <c r="R1021" s="131"/>
      <c r="S1021" s="131"/>
      <c r="T1021" s="131"/>
      <c r="U1021" s="131"/>
      <c r="V1021" s="131"/>
      <c r="W1021" s="131"/>
      <c r="X1021" s="131"/>
      <c r="Y1021" s="131"/>
      <c r="Z1021" s="131"/>
    </row>
    <row r="1022">
      <c r="A1022" s="262" t="s">
        <v>7</v>
      </c>
      <c r="B1022" s="262" t="s">
        <v>33</v>
      </c>
      <c r="C1022" s="262">
        <v>232.0</v>
      </c>
      <c r="D1022" s="262">
        <v>1.13748432291667</v>
      </c>
      <c r="E1022" s="260">
        <f t="shared" si="35"/>
        <v>68.24905938</v>
      </c>
      <c r="F1022" s="132">
        <f t="shared" si="36"/>
        <v>0.04739518012</v>
      </c>
      <c r="G1022" s="285" t="s">
        <v>1419</v>
      </c>
      <c r="H1022" s="131"/>
      <c r="I1022" s="131"/>
      <c r="J1022" s="131"/>
      <c r="K1022" s="131"/>
      <c r="L1022" s="131"/>
      <c r="M1022" s="131"/>
      <c r="N1022" s="131"/>
      <c r="O1022" s="131"/>
      <c r="P1022" s="131"/>
      <c r="Q1022" s="131"/>
      <c r="R1022" s="131"/>
      <c r="S1022" s="131"/>
      <c r="T1022" s="131"/>
      <c r="U1022" s="131"/>
      <c r="V1022" s="131"/>
      <c r="W1022" s="131"/>
      <c r="X1022" s="131"/>
      <c r="Y1022" s="131"/>
      <c r="Z1022" s="131"/>
    </row>
    <row r="1023">
      <c r="A1023" s="262" t="s">
        <v>7</v>
      </c>
      <c r="B1023" s="262" t="s">
        <v>30</v>
      </c>
      <c r="C1023" s="262">
        <v>273.0</v>
      </c>
      <c r="D1023" s="262">
        <v>1.35935645833333</v>
      </c>
      <c r="E1023" s="260">
        <f t="shared" si="35"/>
        <v>81.5613875</v>
      </c>
      <c r="F1023" s="132">
        <f t="shared" si="36"/>
        <v>0.05663985243</v>
      </c>
      <c r="G1023" s="285" t="s">
        <v>1420</v>
      </c>
      <c r="H1023" s="131"/>
      <c r="I1023" s="131"/>
      <c r="J1023" s="131"/>
      <c r="K1023" s="131"/>
      <c r="L1023" s="131"/>
      <c r="M1023" s="131"/>
      <c r="N1023" s="131"/>
      <c r="O1023" s="131"/>
      <c r="P1023" s="131"/>
      <c r="Q1023" s="131"/>
      <c r="R1023" s="131"/>
      <c r="S1023" s="131"/>
      <c r="T1023" s="131"/>
      <c r="U1023" s="131"/>
      <c r="V1023" s="131"/>
      <c r="W1023" s="131"/>
      <c r="X1023" s="131"/>
      <c r="Y1023" s="131"/>
      <c r="Z1023" s="131"/>
    </row>
    <row r="1024">
      <c r="A1024" s="262" t="s">
        <v>54</v>
      </c>
      <c r="B1024" s="262" t="s">
        <v>55</v>
      </c>
      <c r="C1024" s="262">
        <v>153.0</v>
      </c>
      <c r="D1024" s="262">
        <v>0.690383333333334</v>
      </c>
      <c r="E1024" s="260">
        <f t="shared" si="35"/>
        <v>41.423</v>
      </c>
      <c r="F1024" s="132">
        <f t="shared" si="36"/>
        <v>0.02876597222</v>
      </c>
      <c r="G1024" s="285" t="s">
        <v>1421</v>
      </c>
      <c r="H1024" s="131"/>
      <c r="I1024" s="131"/>
      <c r="J1024" s="131"/>
      <c r="K1024" s="131"/>
      <c r="L1024" s="131"/>
      <c r="M1024" s="131"/>
      <c r="N1024" s="131"/>
      <c r="O1024" s="131"/>
      <c r="P1024" s="131"/>
      <c r="Q1024" s="131"/>
      <c r="R1024" s="131"/>
      <c r="S1024" s="131"/>
      <c r="T1024" s="131"/>
      <c r="U1024" s="131"/>
      <c r="V1024" s="131"/>
      <c r="W1024" s="131"/>
      <c r="X1024" s="131"/>
      <c r="Y1024" s="131"/>
      <c r="Z1024" s="131"/>
    </row>
    <row r="1025">
      <c r="A1025" s="262" t="s">
        <v>54</v>
      </c>
      <c r="B1025" s="262" t="s">
        <v>56</v>
      </c>
      <c r="C1025" s="262">
        <v>201.0</v>
      </c>
      <c r="D1025" s="262">
        <v>0.958054427083333</v>
      </c>
      <c r="E1025" s="260">
        <f t="shared" si="35"/>
        <v>57.48326563</v>
      </c>
      <c r="F1025" s="132">
        <f t="shared" si="36"/>
        <v>0.03991893446</v>
      </c>
      <c r="G1025" s="285" t="s">
        <v>1422</v>
      </c>
      <c r="H1025" s="131"/>
      <c r="I1025" s="131"/>
      <c r="J1025" s="131"/>
      <c r="K1025" s="131"/>
      <c r="L1025" s="131"/>
      <c r="M1025" s="131"/>
      <c r="N1025" s="131"/>
      <c r="O1025" s="131"/>
      <c r="P1025" s="131"/>
      <c r="Q1025" s="131"/>
      <c r="R1025" s="131"/>
      <c r="S1025" s="131"/>
      <c r="T1025" s="131"/>
      <c r="U1025" s="131"/>
      <c r="V1025" s="131"/>
      <c r="W1025" s="131"/>
      <c r="X1025" s="131"/>
      <c r="Y1025" s="131"/>
      <c r="Z1025" s="131"/>
    </row>
    <row r="1026">
      <c r="A1026" s="262" t="s">
        <v>54</v>
      </c>
      <c r="B1026" s="262" t="s">
        <v>58</v>
      </c>
      <c r="C1026" s="262">
        <v>282.0</v>
      </c>
      <c r="D1026" s="262">
        <v>1.35443442708333</v>
      </c>
      <c r="E1026" s="260">
        <f t="shared" si="35"/>
        <v>81.26606562</v>
      </c>
      <c r="F1026" s="132">
        <f t="shared" si="36"/>
        <v>0.0564347678</v>
      </c>
      <c r="G1026" s="285" t="s">
        <v>1423</v>
      </c>
      <c r="H1026" s="131"/>
      <c r="I1026" s="131"/>
      <c r="J1026" s="131"/>
      <c r="K1026" s="131"/>
      <c r="L1026" s="131"/>
      <c r="M1026" s="131"/>
      <c r="N1026" s="131"/>
      <c r="O1026" s="131"/>
      <c r="P1026" s="131"/>
      <c r="Q1026" s="131"/>
      <c r="R1026" s="131"/>
      <c r="S1026" s="131"/>
      <c r="T1026" s="131"/>
      <c r="U1026" s="131"/>
      <c r="V1026" s="131"/>
      <c r="W1026" s="131"/>
      <c r="X1026" s="131"/>
      <c r="Y1026" s="131"/>
      <c r="Z1026" s="131"/>
    </row>
    <row r="1027">
      <c r="A1027" s="262" t="s">
        <v>54</v>
      </c>
      <c r="B1027" s="262" t="s">
        <v>59</v>
      </c>
      <c r="C1027" s="262">
        <v>153.0</v>
      </c>
      <c r="D1027" s="262">
        <v>0.761423003472222</v>
      </c>
      <c r="E1027" s="260">
        <f t="shared" si="35"/>
        <v>45.68538021</v>
      </c>
      <c r="F1027" s="132">
        <f t="shared" si="36"/>
        <v>0.03172595848</v>
      </c>
      <c r="G1027" s="285" t="s">
        <v>1424</v>
      </c>
      <c r="H1027" s="131"/>
      <c r="I1027" s="131"/>
      <c r="J1027" s="131"/>
      <c r="K1027" s="131"/>
      <c r="L1027" s="131"/>
      <c r="M1027" s="131"/>
      <c r="N1027" s="131"/>
      <c r="O1027" s="131"/>
      <c r="P1027" s="131"/>
      <c r="Q1027" s="131"/>
      <c r="R1027" s="131"/>
      <c r="S1027" s="131"/>
      <c r="T1027" s="131"/>
      <c r="U1027" s="131"/>
      <c r="V1027" s="131"/>
      <c r="W1027" s="131"/>
      <c r="X1027" s="131"/>
      <c r="Y1027" s="131"/>
      <c r="Z1027" s="131"/>
    </row>
    <row r="1028">
      <c r="A1028" s="262" t="s">
        <v>54</v>
      </c>
      <c r="B1028" s="262" t="s">
        <v>60</v>
      </c>
      <c r="C1028" s="262">
        <v>386.0</v>
      </c>
      <c r="D1028" s="262">
        <v>1.95553328125</v>
      </c>
      <c r="E1028" s="260">
        <f t="shared" si="35"/>
        <v>117.3319969</v>
      </c>
      <c r="F1028" s="132">
        <f t="shared" si="36"/>
        <v>0.08148055339</v>
      </c>
      <c r="G1028" s="285" t="s">
        <v>1425</v>
      </c>
      <c r="H1028" s="131"/>
      <c r="I1028" s="131"/>
      <c r="J1028" s="131"/>
      <c r="K1028" s="131"/>
      <c r="L1028" s="131"/>
      <c r="M1028" s="131"/>
      <c r="N1028" s="131"/>
      <c r="O1028" s="131"/>
      <c r="P1028" s="131"/>
      <c r="Q1028" s="131"/>
      <c r="R1028" s="131"/>
      <c r="S1028" s="131"/>
      <c r="T1028" s="131"/>
      <c r="U1028" s="131"/>
      <c r="V1028" s="131"/>
      <c r="W1028" s="131"/>
      <c r="X1028" s="131"/>
      <c r="Y1028" s="131"/>
      <c r="Z1028" s="131"/>
    </row>
    <row r="1029">
      <c r="A1029" s="262" t="s">
        <v>54</v>
      </c>
      <c r="B1029" s="262" t="s">
        <v>62</v>
      </c>
      <c r="C1029" s="262">
        <v>97.0</v>
      </c>
      <c r="D1029" s="262">
        <v>0.496338298611111</v>
      </c>
      <c r="E1029" s="260">
        <f t="shared" si="35"/>
        <v>29.78029792</v>
      </c>
      <c r="F1029" s="132">
        <f t="shared" si="36"/>
        <v>0.02068076244</v>
      </c>
      <c r="G1029" s="285" t="s">
        <v>1426</v>
      </c>
      <c r="H1029" s="131"/>
      <c r="I1029" s="131"/>
      <c r="J1029" s="131"/>
      <c r="K1029" s="131"/>
      <c r="L1029" s="131"/>
      <c r="M1029" s="131"/>
      <c r="N1029" s="131"/>
      <c r="O1029" s="131"/>
      <c r="P1029" s="131"/>
      <c r="Q1029" s="131"/>
      <c r="R1029" s="131"/>
      <c r="S1029" s="131"/>
      <c r="T1029" s="131"/>
      <c r="U1029" s="131"/>
      <c r="V1029" s="131"/>
      <c r="W1029" s="131"/>
      <c r="X1029" s="131"/>
      <c r="Y1029" s="131"/>
      <c r="Z1029" s="131"/>
    </row>
    <row r="1030">
      <c r="A1030" s="262" t="s">
        <v>54</v>
      </c>
      <c r="B1030" s="262" t="s">
        <v>63</v>
      </c>
      <c r="C1030" s="262">
        <v>274.0</v>
      </c>
      <c r="D1030" s="262">
        <v>1.26244597222222</v>
      </c>
      <c r="E1030" s="260">
        <f t="shared" si="35"/>
        <v>75.74675833</v>
      </c>
      <c r="F1030" s="132">
        <f t="shared" si="36"/>
        <v>0.05260191551</v>
      </c>
      <c r="G1030" s="285" t="s">
        <v>1427</v>
      </c>
      <c r="H1030" s="131"/>
      <c r="I1030" s="131"/>
      <c r="J1030" s="131"/>
      <c r="K1030" s="131"/>
      <c r="L1030" s="131"/>
      <c r="M1030" s="131"/>
      <c r="N1030" s="131"/>
      <c r="O1030" s="131"/>
      <c r="P1030" s="131"/>
      <c r="Q1030" s="131"/>
      <c r="R1030" s="131"/>
      <c r="S1030" s="131"/>
      <c r="T1030" s="131"/>
      <c r="U1030" s="131"/>
      <c r="V1030" s="131"/>
      <c r="W1030" s="131"/>
      <c r="X1030" s="131"/>
      <c r="Y1030" s="131"/>
      <c r="Z1030" s="131"/>
    </row>
    <row r="1031">
      <c r="A1031" s="262" t="s">
        <v>54</v>
      </c>
      <c r="B1031" s="262" t="s">
        <v>64</v>
      </c>
      <c r="C1031" s="262">
        <v>189.0</v>
      </c>
      <c r="D1031" s="262">
        <v>0.930842239583333</v>
      </c>
      <c r="E1031" s="260">
        <f t="shared" si="35"/>
        <v>55.85053438</v>
      </c>
      <c r="F1031" s="132">
        <f t="shared" si="36"/>
        <v>0.03878509332</v>
      </c>
      <c r="G1031" s="285" t="s">
        <v>1428</v>
      </c>
      <c r="H1031" s="131"/>
      <c r="I1031" s="131"/>
      <c r="J1031" s="131"/>
      <c r="K1031" s="131"/>
      <c r="L1031" s="131"/>
      <c r="M1031" s="131"/>
      <c r="N1031" s="131"/>
      <c r="O1031" s="131"/>
      <c r="P1031" s="131"/>
      <c r="Q1031" s="131"/>
      <c r="R1031" s="131"/>
      <c r="S1031" s="131"/>
      <c r="T1031" s="131"/>
      <c r="U1031" s="131"/>
      <c r="V1031" s="131"/>
      <c r="W1031" s="131"/>
      <c r="X1031" s="131"/>
      <c r="Y1031" s="131"/>
      <c r="Z1031" s="131"/>
    </row>
    <row r="1032">
      <c r="A1032" s="262" t="s">
        <v>54</v>
      </c>
      <c r="B1032" s="262" t="s">
        <v>65</v>
      </c>
      <c r="C1032" s="262">
        <v>259.0</v>
      </c>
      <c r="D1032" s="262">
        <v>1.15909590277778</v>
      </c>
      <c r="E1032" s="260">
        <f t="shared" si="35"/>
        <v>69.54575417</v>
      </c>
      <c r="F1032" s="132">
        <f t="shared" si="36"/>
        <v>0.04829566262</v>
      </c>
      <c r="G1032" s="285" t="s">
        <v>1429</v>
      </c>
      <c r="H1032" s="131"/>
      <c r="I1032" s="131"/>
      <c r="J1032" s="131"/>
      <c r="K1032" s="131"/>
      <c r="L1032" s="131"/>
      <c r="M1032" s="131"/>
      <c r="N1032" s="131"/>
      <c r="O1032" s="131"/>
      <c r="P1032" s="131"/>
      <c r="Q1032" s="131"/>
      <c r="R1032" s="131"/>
      <c r="S1032" s="131"/>
      <c r="T1032" s="131"/>
      <c r="U1032" s="131"/>
      <c r="V1032" s="131"/>
      <c r="W1032" s="131"/>
      <c r="X1032" s="131"/>
      <c r="Y1032" s="131"/>
      <c r="Z1032" s="131"/>
    </row>
    <row r="1033">
      <c r="A1033" s="262" t="s">
        <v>54</v>
      </c>
      <c r="B1033" s="262" t="s">
        <v>66</v>
      </c>
      <c r="C1033" s="262">
        <v>234.0</v>
      </c>
      <c r="D1033" s="262">
        <v>1.08679850694444</v>
      </c>
      <c r="E1033" s="260">
        <f t="shared" si="35"/>
        <v>65.20791042</v>
      </c>
      <c r="F1033" s="132">
        <f t="shared" si="36"/>
        <v>0.04528327112</v>
      </c>
      <c r="G1033" s="285" t="s">
        <v>1430</v>
      </c>
      <c r="H1033" s="131"/>
      <c r="I1033" s="131"/>
      <c r="J1033" s="131"/>
      <c r="K1033" s="131"/>
      <c r="L1033" s="131"/>
      <c r="M1033" s="131"/>
      <c r="N1033" s="131"/>
      <c r="O1033" s="131"/>
      <c r="P1033" s="131"/>
      <c r="Q1033" s="131"/>
      <c r="R1033" s="131"/>
      <c r="S1033" s="131"/>
      <c r="T1033" s="131"/>
      <c r="U1033" s="131"/>
      <c r="V1033" s="131"/>
      <c r="W1033" s="131"/>
      <c r="X1033" s="131"/>
      <c r="Y1033" s="131"/>
      <c r="Z1033" s="131"/>
    </row>
    <row r="1034">
      <c r="A1034" s="262" t="s">
        <v>45</v>
      </c>
      <c r="B1034" s="262" t="s">
        <v>464</v>
      </c>
      <c r="C1034" s="262">
        <v>108.0</v>
      </c>
      <c r="D1034" s="262">
        <v>0.544043072916667</v>
      </c>
      <c r="E1034" s="260">
        <f t="shared" si="35"/>
        <v>32.64258438</v>
      </c>
      <c r="F1034" s="132">
        <f t="shared" si="36"/>
        <v>0.02266846137</v>
      </c>
      <c r="G1034" s="285" t="s">
        <v>1431</v>
      </c>
      <c r="H1034" s="131"/>
      <c r="I1034" s="131"/>
      <c r="J1034" s="131"/>
      <c r="K1034" s="131"/>
      <c r="L1034" s="131"/>
      <c r="M1034" s="131"/>
      <c r="N1034" s="131"/>
      <c r="O1034" s="131"/>
      <c r="P1034" s="131"/>
      <c r="Q1034" s="131"/>
      <c r="R1034" s="131"/>
      <c r="S1034" s="131"/>
      <c r="T1034" s="131"/>
      <c r="U1034" s="131"/>
      <c r="V1034" s="131"/>
      <c r="W1034" s="131"/>
      <c r="X1034" s="131"/>
      <c r="Y1034" s="131"/>
      <c r="Z1034" s="131"/>
    </row>
    <row r="1035">
      <c r="A1035" s="262" t="s">
        <v>69</v>
      </c>
      <c r="B1035" s="262" t="s">
        <v>70</v>
      </c>
      <c r="C1035" s="262">
        <v>738.0</v>
      </c>
      <c r="D1035" s="262">
        <v>3.51862993055556</v>
      </c>
      <c r="E1035" s="260">
        <f t="shared" si="35"/>
        <v>211.1177958</v>
      </c>
      <c r="F1035" s="132">
        <f t="shared" si="36"/>
        <v>0.1466095804</v>
      </c>
      <c r="G1035" s="285" t="s">
        <v>1432</v>
      </c>
      <c r="H1035" s="131"/>
      <c r="I1035" s="131"/>
      <c r="J1035" s="131"/>
      <c r="K1035" s="131"/>
      <c r="L1035" s="131"/>
      <c r="M1035" s="131"/>
      <c r="N1035" s="131"/>
      <c r="O1035" s="131"/>
      <c r="P1035" s="131"/>
      <c r="Q1035" s="131"/>
      <c r="R1035" s="131"/>
      <c r="S1035" s="131"/>
      <c r="T1035" s="131"/>
      <c r="U1035" s="131"/>
      <c r="V1035" s="131"/>
      <c r="W1035" s="131"/>
      <c r="X1035" s="131"/>
      <c r="Y1035" s="131"/>
      <c r="Z1035" s="131"/>
    </row>
    <row r="1036">
      <c r="A1036" s="262" t="s">
        <v>69</v>
      </c>
      <c r="B1036" s="262" t="s">
        <v>71</v>
      </c>
      <c r="C1036" s="262">
        <v>519.0</v>
      </c>
      <c r="D1036" s="262">
        <v>2.42119822916667</v>
      </c>
      <c r="E1036" s="260">
        <f t="shared" si="35"/>
        <v>145.2718938</v>
      </c>
      <c r="F1036" s="132">
        <f t="shared" si="36"/>
        <v>0.1008832595</v>
      </c>
      <c r="G1036" s="285" t="s">
        <v>1433</v>
      </c>
      <c r="H1036" s="131"/>
      <c r="I1036" s="131"/>
      <c r="J1036" s="131"/>
      <c r="K1036" s="131"/>
      <c r="L1036" s="131"/>
      <c r="M1036" s="131"/>
      <c r="N1036" s="131"/>
      <c r="O1036" s="131"/>
      <c r="P1036" s="131"/>
      <c r="Q1036" s="131"/>
      <c r="R1036" s="131"/>
      <c r="S1036" s="131"/>
      <c r="T1036" s="131"/>
      <c r="U1036" s="131"/>
      <c r="V1036" s="131"/>
      <c r="W1036" s="131"/>
      <c r="X1036" s="131"/>
      <c r="Y1036" s="131"/>
      <c r="Z1036" s="131"/>
    </row>
    <row r="1037">
      <c r="A1037" s="262" t="s">
        <v>35</v>
      </c>
      <c r="B1037" s="262" t="s">
        <v>72</v>
      </c>
      <c r="C1037" s="262">
        <v>173.0</v>
      </c>
      <c r="D1037" s="262">
        <v>0.842397569444445</v>
      </c>
      <c r="E1037" s="260">
        <f t="shared" si="35"/>
        <v>50.54385417</v>
      </c>
      <c r="F1037" s="132">
        <f t="shared" si="36"/>
        <v>0.03509989873</v>
      </c>
      <c r="G1037" s="285" t="s">
        <v>1434</v>
      </c>
      <c r="H1037" s="131"/>
      <c r="I1037" s="131"/>
      <c r="J1037" s="131"/>
      <c r="K1037" s="131"/>
      <c r="L1037" s="131"/>
      <c r="M1037" s="131"/>
      <c r="N1037" s="131"/>
      <c r="O1037" s="131"/>
      <c r="P1037" s="131"/>
      <c r="Q1037" s="131"/>
      <c r="R1037" s="131"/>
      <c r="S1037" s="131"/>
      <c r="T1037" s="131"/>
      <c r="U1037" s="131"/>
      <c r="V1037" s="131"/>
      <c r="W1037" s="131"/>
      <c r="X1037" s="131"/>
      <c r="Y1037" s="131"/>
      <c r="Z1037" s="131"/>
    </row>
    <row r="1038">
      <c r="A1038" s="262" t="s">
        <v>35</v>
      </c>
      <c r="B1038" s="262" t="s">
        <v>73</v>
      </c>
      <c r="C1038" s="262">
        <v>242.0</v>
      </c>
      <c r="D1038" s="262">
        <v>1.09092368055556</v>
      </c>
      <c r="E1038" s="260">
        <f t="shared" si="35"/>
        <v>65.45542083</v>
      </c>
      <c r="F1038" s="132">
        <f t="shared" si="36"/>
        <v>0.04545515336</v>
      </c>
      <c r="G1038" s="285" t="s">
        <v>1435</v>
      </c>
      <c r="H1038" s="131"/>
      <c r="I1038" s="131"/>
      <c r="J1038" s="131"/>
      <c r="K1038" s="131"/>
      <c r="L1038" s="131"/>
      <c r="M1038" s="131"/>
      <c r="N1038" s="131"/>
      <c r="O1038" s="131"/>
      <c r="P1038" s="131"/>
      <c r="Q1038" s="131"/>
      <c r="R1038" s="131"/>
      <c r="S1038" s="131"/>
      <c r="T1038" s="131"/>
      <c r="U1038" s="131"/>
      <c r="V1038" s="131"/>
      <c r="W1038" s="131"/>
      <c r="X1038" s="131"/>
      <c r="Y1038" s="131"/>
      <c r="Z1038" s="131"/>
    </row>
    <row r="1039">
      <c r="A1039" s="262" t="s">
        <v>35</v>
      </c>
      <c r="B1039" s="262" t="s">
        <v>74</v>
      </c>
      <c r="C1039" s="262">
        <v>185.0</v>
      </c>
      <c r="D1039" s="262">
        <v>0.865125347222223</v>
      </c>
      <c r="E1039" s="260">
        <f t="shared" si="35"/>
        <v>51.90752083</v>
      </c>
      <c r="F1039" s="132">
        <f t="shared" si="36"/>
        <v>0.03604688947</v>
      </c>
      <c r="G1039" s="285" t="s">
        <v>1436</v>
      </c>
      <c r="H1039" s="131"/>
      <c r="I1039" s="131"/>
      <c r="J1039" s="131"/>
      <c r="K1039" s="131"/>
      <c r="L1039" s="131"/>
      <c r="M1039" s="131"/>
      <c r="N1039" s="131"/>
      <c r="O1039" s="131"/>
      <c r="P1039" s="131"/>
      <c r="Q1039" s="131"/>
      <c r="R1039" s="131"/>
      <c r="S1039" s="131"/>
      <c r="T1039" s="131"/>
      <c r="U1039" s="131"/>
      <c r="V1039" s="131"/>
      <c r="W1039" s="131"/>
      <c r="X1039" s="131"/>
      <c r="Y1039" s="131"/>
      <c r="Z1039" s="131"/>
    </row>
    <row r="1040">
      <c r="A1040" s="262" t="s">
        <v>35</v>
      </c>
      <c r="B1040" s="262" t="s">
        <v>75</v>
      </c>
      <c r="C1040" s="262">
        <v>282.0</v>
      </c>
      <c r="D1040" s="262">
        <v>1.41148262152778</v>
      </c>
      <c r="E1040" s="260">
        <f t="shared" si="35"/>
        <v>84.68895729</v>
      </c>
      <c r="F1040" s="132">
        <f t="shared" si="36"/>
        <v>0.0588117759</v>
      </c>
      <c r="G1040" s="285" t="s">
        <v>1437</v>
      </c>
      <c r="H1040" s="131"/>
      <c r="I1040" s="131"/>
      <c r="J1040" s="131"/>
      <c r="K1040" s="131"/>
      <c r="L1040" s="131"/>
      <c r="M1040" s="131"/>
      <c r="N1040" s="131"/>
      <c r="O1040" s="131"/>
      <c r="P1040" s="131"/>
      <c r="Q1040" s="131"/>
      <c r="R1040" s="131"/>
      <c r="S1040" s="131"/>
      <c r="T1040" s="131"/>
      <c r="U1040" s="131"/>
      <c r="V1040" s="131"/>
      <c r="W1040" s="131"/>
      <c r="X1040" s="131"/>
      <c r="Y1040" s="131"/>
      <c r="Z1040" s="131"/>
    </row>
    <row r="1041">
      <c r="A1041" s="262" t="s">
        <v>35</v>
      </c>
      <c r="B1041" s="262" t="s">
        <v>425</v>
      </c>
      <c r="C1041" s="262">
        <v>987.0</v>
      </c>
      <c r="D1041" s="262">
        <v>4.18778210069445</v>
      </c>
      <c r="E1041" s="260">
        <f t="shared" si="35"/>
        <v>251.266926</v>
      </c>
      <c r="F1041" s="132">
        <f t="shared" si="36"/>
        <v>0.1744909209</v>
      </c>
      <c r="G1041" s="285" t="s">
        <v>1438</v>
      </c>
      <c r="H1041" s="131"/>
      <c r="I1041" s="131"/>
      <c r="J1041" s="131"/>
      <c r="K1041" s="131"/>
      <c r="L1041" s="131"/>
      <c r="M1041" s="131"/>
      <c r="N1041" s="131"/>
      <c r="O1041" s="131"/>
      <c r="P1041" s="131"/>
      <c r="Q1041" s="131"/>
      <c r="R1041" s="131"/>
      <c r="S1041" s="131"/>
      <c r="T1041" s="131"/>
      <c r="U1041" s="131"/>
      <c r="V1041" s="131"/>
      <c r="W1041" s="131"/>
      <c r="X1041" s="131"/>
      <c r="Y1041" s="131"/>
      <c r="Z1041" s="131"/>
    </row>
    <row r="1042">
      <c r="A1042" s="262" t="s">
        <v>35</v>
      </c>
      <c r="B1042" s="262" t="s">
        <v>42</v>
      </c>
      <c r="C1042" s="262">
        <v>169.0</v>
      </c>
      <c r="D1042" s="262">
        <v>0.737600850694444</v>
      </c>
      <c r="E1042" s="260">
        <f t="shared" si="35"/>
        <v>44.25605104</v>
      </c>
      <c r="F1042" s="132">
        <f t="shared" si="36"/>
        <v>0.03073336878</v>
      </c>
      <c r="G1042" s="285" t="s">
        <v>1439</v>
      </c>
      <c r="H1042" s="131"/>
      <c r="I1042" s="131"/>
      <c r="J1042" s="131"/>
      <c r="K1042" s="131"/>
      <c r="L1042" s="131"/>
      <c r="M1042" s="131"/>
      <c r="N1042" s="131"/>
      <c r="O1042" s="131"/>
      <c r="P1042" s="131"/>
      <c r="Q1042" s="131"/>
      <c r="R1042" s="131"/>
      <c r="S1042" s="131"/>
      <c r="T1042" s="131"/>
      <c r="U1042" s="131"/>
      <c r="V1042" s="131"/>
      <c r="W1042" s="131"/>
      <c r="X1042" s="131"/>
      <c r="Y1042" s="131"/>
      <c r="Z1042" s="131"/>
    </row>
    <row r="1043">
      <c r="A1043" s="262" t="s">
        <v>35</v>
      </c>
      <c r="B1043" s="262" t="s">
        <v>80</v>
      </c>
      <c r="C1043" s="262">
        <v>163.0</v>
      </c>
      <c r="D1043" s="262">
        <v>0.842514149305555</v>
      </c>
      <c r="E1043" s="260">
        <f t="shared" si="35"/>
        <v>50.55084896</v>
      </c>
      <c r="F1043" s="132">
        <f t="shared" si="36"/>
        <v>0.03510475622</v>
      </c>
      <c r="G1043" s="285" t="s">
        <v>1440</v>
      </c>
      <c r="H1043" s="131"/>
      <c r="I1043" s="131"/>
      <c r="J1043" s="131"/>
      <c r="K1043" s="131"/>
      <c r="L1043" s="131"/>
      <c r="M1043" s="131"/>
      <c r="N1043" s="131"/>
      <c r="O1043" s="131"/>
      <c r="P1043" s="131"/>
      <c r="Q1043" s="131"/>
      <c r="R1043" s="131"/>
      <c r="S1043" s="131"/>
      <c r="T1043" s="131"/>
      <c r="U1043" s="131"/>
      <c r="V1043" s="131"/>
      <c r="W1043" s="131"/>
      <c r="X1043" s="131"/>
      <c r="Y1043" s="131"/>
      <c r="Z1043" s="131"/>
    </row>
    <row r="1044">
      <c r="A1044" s="262" t="s">
        <v>35</v>
      </c>
      <c r="B1044" s="262" t="s">
        <v>82</v>
      </c>
      <c r="C1044" s="262">
        <v>247.0</v>
      </c>
      <c r="D1044" s="262">
        <v>1.031940625</v>
      </c>
      <c r="E1044" s="260">
        <f t="shared" si="35"/>
        <v>61.9164375</v>
      </c>
      <c r="F1044" s="132">
        <f t="shared" si="36"/>
        <v>0.04299752604</v>
      </c>
      <c r="G1044" s="285" t="s">
        <v>1441</v>
      </c>
      <c r="H1044" s="131"/>
      <c r="I1044" s="131"/>
      <c r="J1044" s="131"/>
      <c r="K1044" s="131"/>
      <c r="L1044" s="131"/>
      <c r="M1044" s="131"/>
      <c r="N1044" s="131"/>
      <c r="O1044" s="131"/>
      <c r="P1044" s="131"/>
      <c r="Q1044" s="131"/>
      <c r="R1044" s="131"/>
      <c r="S1044" s="131"/>
      <c r="T1044" s="131"/>
      <c r="U1044" s="131"/>
      <c r="V1044" s="131"/>
      <c r="W1044" s="131"/>
      <c r="X1044" s="131"/>
      <c r="Y1044" s="131"/>
      <c r="Z1044" s="131"/>
    </row>
    <row r="1045">
      <c r="A1045" s="262" t="s">
        <v>35</v>
      </c>
      <c r="B1045" s="262" t="s">
        <v>83</v>
      </c>
      <c r="C1045" s="262">
        <v>228.0</v>
      </c>
      <c r="D1045" s="262">
        <v>1.03281072916667</v>
      </c>
      <c r="E1045" s="260">
        <f t="shared" si="35"/>
        <v>61.96864375</v>
      </c>
      <c r="F1045" s="132">
        <f t="shared" si="36"/>
        <v>0.04303378038</v>
      </c>
      <c r="G1045" s="285" t="s">
        <v>1442</v>
      </c>
      <c r="H1045" s="131"/>
      <c r="I1045" s="131"/>
      <c r="J1045" s="131"/>
      <c r="K1045" s="131"/>
      <c r="L1045" s="131"/>
      <c r="M1045" s="131"/>
      <c r="N1045" s="131"/>
      <c r="O1045" s="131"/>
      <c r="P1045" s="131"/>
      <c r="Q1045" s="131"/>
      <c r="R1045" s="131"/>
      <c r="S1045" s="131"/>
      <c r="T1045" s="131"/>
      <c r="U1045" s="131"/>
      <c r="V1045" s="131"/>
      <c r="W1045" s="131"/>
      <c r="X1045" s="131"/>
      <c r="Y1045" s="131"/>
      <c r="Z1045" s="131"/>
    </row>
    <row r="1046">
      <c r="A1046" s="262" t="s">
        <v>35</v>
      </c>
      <c r="B1046" s="262" t="s">
        <v>36</v>
      </c>
      <c r="C1046" s="262">
        <v>187.0</v>
      </c>
      <c r="D1046" s="262">
        <v>0.913639461805555</v>
      </c>
      <c r="E1046" s="260">
        <f t="shared" si="35"/>
        <v>54.81836771</v>
      </c>
      <c r="F1046" s="132">
        <f t="shared" si="36"/>
        <v>0.03806831091</v>
      </c>
      <c r="G1046" s="285" t="s">
        <v>1443</v>
      </c>
      <c r="H1046" s="131"/>
      <c r="I1046" s="131"/>
      <c r="J1046" s="131"/>
      <c r="K1046" s="131"/>
      <c r="L1046" s="131"/>
      <c r="M1046" s="131"/>
      <c r="N1046" s="131"/>
      <c r="O1046" s="131"/>
      <c r="P1046" s="131"/>
      <c r="Q1046" s="131"/>
      <c r="R1046" s="131"/>
      <c r="S1046" s="131"/>
      <c r="T1046" s="131"/>
      <c r="U1046" s="131"/>
      <c r="V1046" s="131"/>
      <c r="W1046" s="131"/>
      <c r="X1046" s="131"/>
      <c r="Y1046" s="131"/>
      <c r="Z1046" s="131"/>
    </row>
    <row r="1047">
      <c r="A1047" s="262" t="s">
        <v>17</v>
      </c>
      <c r="B1047" s="262" t="s">
        <v>84</v>
      </c>
      <c r="C1047" s="262">
        <v>1366.0</v>
      </c>
      <c r="D1047" s="262">
        <v>5.85454376736112</v>
      </c>
      <c r="E1047" s="260">
        <f t="shared" si="35"/>
        <v>351.272626</v>
      </c>
      <c r="F1047" s="132">
        <f t="shared" si="36"/>
        <v>0.2439393236</v>
      </c>
      <c r="G1047" s="285" t="s">
        <v>1444</v>
      </c>
      <c r="H1047" s="131"/>
      <c r="I1047" s="131"/>
      <c r="J1047" s="131"/>
      <c r="K1047" s="131"/>
      <c r="L1047" s="131"/>
      <c r="M1047" s="131"/>
      <c r="N1047" s="131"/>
      <c r="O1047" s="131"/>
      <c r="P1047" s="131"/>
      <c r="Q1047" s="131"/>
      <c r="R1047" s="131"/>
      <c r="S1047" s="131"/>
      <c r="T1047" s="131"/>
      <c r="U1047" s="131"/>
      <c r="V1047" s="131"/>
      <c r="W1047" s="131"/>
      <c r="X1047" s="131"/>
      <c r="Y1047" s="131"/>
      <c r="Z1047" s="131"/>
    </row>
    <row r="1048">
      <c r="A1048" s="262" t="s">
        <v>17</v>
      </c>
      <c r="B1048" s="262" t="s">
        <v>85</v>
      </c>
      <c r="C1048" s="262">
        <v>1805.0</v>
      </c>
      <c r="D1048" s="262">
        <v>8.09381965277777</v>
      </c>
      <c r="E1048" s="260">
        <f t="shared" si="35"/>
        <v>485.6291792</v>
      </c>
      <c r="F1048" s="132">
        <f t="shared" si="36"/>
        <v>0.3372424855</v>
      </c>
      <c r="G1048" s="285" t="s">
        <v>1445</v>
      </c>
      <c r="H1048" s="131"/>
      <c r="I1048" s="131"/>
      <c r="J1048" s="131"/>
      <c r="K1048" s="131"/>
      <c r="L1048" s="131"/>
      <c r="M1048" s="131"/>
      <c r="N1048" s="131"/>
      <c r="O1048" s="131"/>
      <c r="P1048" s="131"/>
      <c r="Q1048" s="131"/>
      <c r="R1048" s="131"/>
      <c r="S1048" s="131"/>
      <c r="T1048" s="131"/>
      <c r="U1048" s="131"/>
      <c r="V1048" s="131"/>
      <c r="W1048" s="131"/>
      <c r="X1048" s="131"/>
      <c r="Y1048" s="131"/>
      <c r="Z1048" s="131"/>
    </row>
    <row r="1049">
      <c r="A1049" s="262" t="s">
        <v>17</v>
      </c>
      <c r="B1049" s="262" t="s">
        <v>79</v>
      </c>
      <c r="C1049" s="262">
        <v>2385.0</v>
      </c>
      <c r="D1049" s="262">
        <v>10.6457931597222</v>
      </c>
      <c r="E1049" s="260">
        <f t="shared" si="35"/>
        <v>638.7475896</v>
      </c>
      <c r="F1049" s="132">
        <f t="shared" si="36"/>
        <v>0.443574715</v>
      </c>
      <c r="G1049" s="285" t="s">
        <v>1446</v>
      </c>
      <c r="H1049" s="131"/>
      <c r="I1049" s="131"/>
      <c r="J1049" s="131"/>
      <c r="K1049" s="131"/>
      <c r="L1049" s="131"/>
      <c r="M1049" s="131"/>
      <c r="N1049" s="131"/>
      <c r="O1049" s="131"/>
      <c r="P1049" s="131"/>
      <c r="Q1049" s="131"/>
      <c r="R1049" s="131"/>
      <c r="S1049" s="131"/>
      <c r="T1049" s="131"/>
      <c r="U1049" s="131"/>
      <c r="V1049" s="131"/>
      <c r="W1049" s="131"/>
      <c r="X1049" s="131"/>
      <c r="Y1049" s="131"/>
      <c r="Z1049" s="131"/>
    </row>
    <row r="1050">
      <c r="A1050" s="262" t="s">
        <v>17</v>
      </c>
      <c r="B1050" s="262" t="s">
        <v>18</v>
      </c>
      <c r="C1050" s="262">
        <v>2153.0</v>
      </c>
      <c r="D1050" s="262">
        <v>9.3118898611111</v>
      </c>
      <c r="E1050" s="260">
        <f t="shared" si="35"/>
        <v>558.7133917</v>
      </c>
      <c r="F1050" s="132">
        <f t="shared" si="36"/>
        <v>0.3879954109</v>
      </c>
      <c r="G1050" s="285" t="s">
        <v>1447</v>
      </c>
      <c r="H1050" s="131"/>
      <c r="I1050" s="131"/>
      <c r="J1050" s="131"/>
      <c r="K1050" s="131"/>
      <c r="L1050" s="131"/>
      <c r="M1050" s="131"/>
      <c r="N1050" s="131"/>
      <c r="O1050" s="131"/>
      <c r="P1050" s="131"/>
      <c r="Q1050" s="131"/>
      <c r="R1050" s="131"/>
      <c r="S1050" s="131"/>
      <c r="T1050" s="131"/>
      <c r="U1050" s="131"/>
      <c r="V1050" s="131"/>
      <c r="W1050" s="131"/>
      <c r="X1050" s="131"/>
      <c r="Y1050" s="131"/>
      <c r="Z1050" s="131"/>
    </row>
    <row r="1051">
      <c r="A1051" s="262" t="s">
        <v>17</v>
      </c>
      <c r="B1051" s="262" t="s">
        <v>23</v>
      </c>
      <c r="C1051" s="262">
        <v>1622.0</v>
      </c>
      <c r="D1051" s="262">
        <v>7.20211385416668</v>
      </c>
      <c r="E1051" s="260">
        <f t="shared" si="35"/>
        <v>432.1268313</v>
      </c>
      <c r="F1051" s="132">
        <f t="shared" si="36"/>
        <v>0.3000880773</v>
      </c>
      <c r="G1051" s="285" t="s">
        <v>1448</v>
      </c>
      <c r="H1051" s="131"/>
      <c r="I1051" s="131"/>
      <c r="J1051" s="131"/>
      <c r="K1051" s="131"/>
      <c r="L1051" s="131"/>
      <c r="M1051" s="131"/>
      <c r="N1051" s="131"/>
      <c r="O1051" s="131"/>
      <c r="P1051" s="131"/>
      <c r="Q1051" s="131"/>
      <c r="R1051" s="131"/>
      <c r="S1051" s="131"/>
      <c r="T1051" s="131"/>
      <c r="U1051" s="131"/>
      <c r="V1051" s="131"/>
      <c r="W1051" s="131"/>
      <c r="X1051" s="131"/>
      <c r="Y1051" s="131"/>
      <c r="Z1051" s="131"/>
    </row>
    <row r="1052">
      <c r="A1052" s="262" t="s">
        <v>17</v>
      </c>
      <c r="B1052" s="262" t="s">
        <v>86</v>
      </c>
      <c r="C1052" s="262">
        <v>1742.0</v>
      </c>
      <c r="D1052" s="262">
        <v>7.71831222222222</v>
      </c>
      <c r="E1052" s="260">
        <f t="shared" si="35"/>
        <v>463.0987333</v>
      </c>
      <c r="F1052" s="132">
        <f t="shared" si="36"/>
        <v>0.3215963426</v>
      </c>
      <c r="G1052" s="285" t="s">
        <v>1449</v>
      </c>
      <c r="H1052" s="131"/>
      <c r="I1052" s="131"/>
      <c r="J1052" s="131"/>
      <c r="K1052" s="131"/>
      <c r="L1052" s="131"/>
      <c r="M1052" s="131"/>
      <c r="N1052" s="131"/>
      <c r="O1052" s="131"/>
      <c r="P1052" s="131"/>
      <c r="Q1052" s="131"/>
      <c r="R1052" s="131"/>
      <c r="S1052" s="131"/>
      <c r="T1052" s="131"/>
      <c r="U1052" s="131"/>
      <c r="V1052" s="131"/>
      <c r="W1052" s="131"/>
      <c r="X1052" s="131"/>
      <c r="Y1052" s="131"/>
      <c r="Z1052" s="131"/>
    </row>
    <row r="1053">
      <c r="A1053" s="262" t="s">
        <v>17</v>
      </c>
      <c r="B1053" s="262" t="s">
        <v>87</v>
      </c>
      <c r="C1053" s="262">
        <v>1590.0</v>
      </c>
      <c r="D1053" s="262">
        <v>6.94741177083333</v>
      </c>
      <c r="E1053" s="260">
        <f t="shared" si="35"/>
        <v>416.8447063</v>
      </c>
      <c r="F1053" s="132">
        <f t="shared" si="36"/>
        <v>0.2894754905</v>
      </c>
      <c r="G1053" s="285" t="s">
        <v>1450</v>
      </c>
      <c r="H1053" s="131"/>
      <c r="I1053" s="131"/>
      <c r="J1053" s="131"/>
      <c r="K1053" s="131"/>
      <c r="L1053" s="131"/>
      <c r="M1053" s="131"/>
      <c r="N1053" s="131"/>
      <c r="O1053" s="131"/>
      <c r="P1053" s="131"/>
      <c r="Q1053" s="131"/>
      <c r="R1053" s="131"/>
      <c r="S1053" s="131"/>
      <c r="T1053" s="131"/>
      <c r="U1053" s="131"/>
      <c r="V1053" s="131"/>
      <c r="W1053" s="131"/>
      <c r="X1053" s="131"/>
      <c r="Y1053" s="131"/>
      <c r="Z1053" s="131"/>
    </row>
    <row r="1054">
      <c r="A1054" s="262" t="s">
        <v>88</v>
      </c>
      <c r="B1054" s="262" t="s">
        <v>89</v>
      </c>
      <c r="C1054" s="262">
        <v>2001.0</v>
      </c>
      <c r="D1054" s="262">
        <v>9.42392206597221</v>
      </c>
      <c r="E1054" s="260">
        <f t="shared" si="35"/>
        <v>565.435324</v>
      </c>
      <c r="F1054" s="132">
        <f t="shared" si="36"/>
        <v>0.3926634194</v>
      </c>
      <c r="G1054" s="285" t="s">
        <v>1451</v>
      </c>
      <c r="H1054" s="131"/>
      <c r="I1054" s="131"/>
      <c r="J1054" s="131"/>
      <c r="K1054" s="131"/>
      <c r="L1054" s="131"/>
      <c r="M1054" s="131"/>
      <c r="N1054" s="131"/>
      <c r="O1054" s="131"/>
      <c r="P1054" s="131"/>
      <c r="Q1054" s="131"/>
      <c r="R1054" s="131"/>
      <c r="S1054" s="131"/>
      <c r="T1054" s="131"/>
      <c r="U1054" s="131"/>
      <c r="V1054" s="131"/>
      <c r="W1054" s="131"/>
      <c r="X1054" s="131"/>
      <c r="Y1054" s="131"/>
      <c r="Z1054" s="131"/>
    </row>
    <row r="1055">
      <c r="A1055" s="262" t="s">
        <v>88</v>
      </c>
      <c r="B1055" s="262" t="s">
        <v>90</v>
      </c>
      <c r="C1055" s="262">
        <v>2701.0</v>
      </c>
      <c r="D1055" s="262">
        <v>12.4656925868055</v>
      </c>
      <c r="E1055" s="260">
        <f t="shared" si="35"/>
        <v>747.9415552</v>
      </c>
      <c r="F1055" s="132">
        <f t="shared" si="36"/>
        <v>0.5194038578</v>
      </c>
      <c r="G1055" s="285" t="s">
        <v>1452</v>
      </c>
      <c r="H1055" s="131"/>
      <c r="I1055" s="131"/>
      <c r="J1055" s="131"/>
      <c r="K1055" s="131"/>
      <c r="L1055" s="131"/>
      <c r="M1055" s="131"/>
      <c r="N1055" s="131"/>
      <c r="O1055" s="131"/>
      <c r="P1055" s="131"/>
      <c r="Q1055" s="131"/>
      <c r="R1055" s="131"/>
      <c r="S1055" s="131"/>
      <c r="T1055" s="131"/>
      <c r="U1055" s="131"/>
      <c r="V1055" s="131"/>
      <c r="W1055" s="131"/>
      <c r="X1055" s="131"/>
      <c r="Y1055" s="131"/>
      <c r="Z1055" s="131"/>
    </row>
    <row r="1056">
      <c r="A1056" s="262" t="s">
        <v>729</v>
      </c>
      <c r="B1056" s="262" t="s">
        <v>78</v>
      </c>
      <c r="C1056" s="262">
        <v>2897.0</v>
      </c>
      <c r="D1056" s="262">
        <v>13.4702915277778</v>
      </c>
      <c r="E1056" s="260">
        <f t="shared" si="35"/>
        <v>808.2174917</v>
      </c>
      <c r="F1056" s="132">
        <f t="shared" si="36"/>
        <v>0.561262147</v>
      </c>
      <c r="G1056" s="285" t="s">
        <v>1453</v>
      </c>
      <c r="H1056" s="131"/>
      <c r="I1056" s="131"/>
      <c r="J1056" s="131"/>
      <c r="K1056" s="131"/>
      <c r="L1056" s="131"/>
      <c r="M1056" s="131"/>
      <c r="N1056" s="131"/>
      <c r="O1056" s="131"/>
      <c r="P1056" s="131"/>
      <c r="Q1056" s="131"/>
      <c r="R1056" s="131"/>
      <c r="S1056" s="131"/>
      <c r="T1056" s="131"/>
      <c r="U1056" s="131"/>
      <c r="V1056" s="131"/>
      <c r="W1056" s="131"/>
      <c r="X1056" s="131"/>
      <c r="Y1056" s="131"/>
      <c r="Z1056" s="131"/>
    </row>
    <row r="1057">
      <c r="A1057" s="262" t="s">
        <v>729</v>
      </c>
      <c r="B1057" s="262" t="s">
        <v>91</v>
      </c>
      <c r="C1057" s="262">
        <v>4189.0</v>
      </c>
      <c r="D1057" s="262">
        <v>20.0592640972222</v>
      </c>
      <c r="E1057" s="260">
        <f t="shared" si="35"/>
        <v>1203.555846</v>
      </c>
      <c r="F1057" s="132">
        <f t="shared" si="36"/>
        <v>0.8358026707</v>
      </c>
      <c r="G1057" s="285" t="s">
        <v>1454</v>
      </c>
      <c r="H1057" s="131"/>
      <c r="I1057" s="131"/>
      <c r="J1057" s="131"/>
      <c r="K1057" s="131"/>
      <c r="L1057" s="131"/>
      <c r="M1057" s="131"/>
      <c r="N1057" s="131"/>
      <c r="O1057" s="131"/>
      <c r="P1057" s="131"/>
      <c r="Q1057" s="131"/>
      <c r="R1057" s="131"/>
      <c r="S1057" s="131"/>
      <c r="T1057" s="131"/>
      <c r="U1057" s="131"/>
      <c r="V1057" s="131"/>
      <c r="W1057" s="131"/>
      <c r="X1057" s="131"/>
      <c r="Y1057" s="131"/>
      <c r="Z1057" s="131"/>
    </row>
    <row r="1058">
      <c r="A1058" s="262" t="s">
        <v>67</v>
      </c>
      <c r="B1058" s="262" t="s">
        <v>426</v>
      </c>
      <c r="C1058" s="262">
        <v>649.0</v>
      </c>
      <c r="D1058" s="262">
        <v>3.13356171875</v>
      </c>
      <c r="E1058" s="260">
        <f t="shared" si="35"/>
        <v>188.0137031</v>
      </c>
      <c r="F1058" s="132">
        <f t="shared" si="36"/>
        <v>0.1305650716</v>
      </c>
      <c r="G1058" s="285" t="s">
        <v>1455</v>
      </c>
      <c r="H1058" s="131"/>
      <c r="I1058" s="131"/>
      <c r="J1058" s="131"/>
      <c r="K1058" s="131"/>
      <c r="L1058" s="131"/>
      <c r="M1058" s="131"/>
      <c r="N1058" s="131"/>
      <c r="O1058" s="131"/>
      <c r="P1058" s="131"/>
      <c r="Q1058" s="131"/>
      <c r="R1058" s="131"/>
      <c r="S1058" s="131"/>
      <c r="T1058" s="131"/>
      <c r="U1058" s="131"/>
      <c r="V1058" s="131"/>
      <c r="W1058" s="131"/>
      <c r="X1058" s="131"/>
      <c r="Y1058" s="131"/>
      <c r="Z1058" s="131"/>
    </row>
    <row r="1059">
      <c r="A1059" s="262" t="s">
        <v>67</v>
      </c>
      <c r="B1059" s="262" t="s">
        <v>93</v>
      </c>
      <c r="C1059" s="262">
        <v>560.0</v>
      </c>
      <c r="D1059" s="262">
        <v>2.68432336805556</v>
      </c>
      <c r="E1059" s="260">
        <f t="shared" si="35"/>
        <v>161.0594021</v>
      </c>
      <c r="F1059" s="132">
        <f t="shared" si="36"/>
        <v>0.111846807</v>
      </c>
      <c r="G1059" s="285" t="s">
        <v>1456</v>
      </c>
      <c r="H1059" s="131"/>
      <c r="I1059" s="131"/>
      <c r="J1059" s="131"/>
      <c r="K1059" s="131"/>
      <c r="L1059" s="131"/>
      <c r="M1059" s="131"/>
      <c r="N1059" s="131"/>
      <c r="O1059" s="131"/>
      <c r="P1059" s="131"/>
      <c r="Q1059" s="131"/>
      <c r="R1059" s="131"/>
      <c r="S1059" s="131"/>
      <c r="T1059" s="131"/>
      <c r="U1059" s="131"/>
      <c r="V1059" s="131"/>
      <c r="W1059" s="131"/>
      <c r="X1059" s="131"/>
      <c r="Y1059" s="131"/>
      <c r="Z1059" s="131"/>
    </row>
    <row r="1060">
      <c r="A1060" s="262" t="s">
        <v>474</v>
      </c>
      <c r="B1060" s="262" t="s">
        <v>94</v>
      </c>
      <c r="C1060" s="262">
        <v>494.0</v>
      </c>
      <c r="D1060" s="262">
        <v>2.25838697916666</v>
      </c>
      <c r="E1060" s="260">
        <f t="shared" si="35"/>
        <v>135.5032188</v>
      </c>
      <c r="F1060" s="132">
        <f t="shared" si="36"/>
        <v>0.09409945747</v>
      </c>
      <c r="G1060" s="285" t="s">
        <v>1457</v>
      </c>
      <c r="H1060" s="131"/>
      <c r="I1060" s="131"/>
      <c r="J1060" s="131"/>
      <c r="K1060" s="131"/>
      <c r="L1060" s="131"/>
      <c r="M1060" s="131"/>
      <c r="N1060" s="131"/>
      <c r="O1060" s="131"/>
      <c r="P1060" s="131"/>
      <c r="Q1060" s="131"/>
      <c r="R1060" s="131"/>
      <c r="S1060" s="131"/>
      <c r="T1060" s="131"/>
      <c r="U1060" s="131"/>
      <c r="V1060" s="131"/>
      <c r="W1060" s="131"/>
      <c r="X1060" s="131"/>
      <c r="Y1060" s="131"/>
      <c r="Z1060" s="131"/>
    </row>
    <row r="1061">
      <c r="A1061" s="262" t="s">
        <v>474</v>
      </c>
      <c r="B1061" s="262" t="s">
        <v>95</v>
      </c>
      <c r="C1061" s="262">
        <v>256.0</v>
      </c>
      <c r="D1061" s="262">
        <v>1.29216918402778</v>
      </c>
      <c r="E1061" s="260">
        <f t="shared" si="35"/>
        <v>77.53015104</v>
      </c>
      <c r="F1061" s="132">
        <f t="shared" si="36"/>
        <v>0.05384038267</v>
      </c>
      <c r="G1061" s="285" t="s">
        <v>1458</v>
      </c>
      <c r="H1061" s="131"/>
      <c r="I1061" s="131"/>
      <c r="J1061" s="131"/>
      <c r="K1061" s="131"/>
      <c r="L1061" s="131"/>
      <c r="M1061" s="131"/>
      <c r="N1061" s="131"/>
      <c r="O1061" s="131"/>
      <c r="P1061" s="131"/>
      <c r="Q1061" s="131"/>
      <c r="R1061" s="131"/>
      <c r="S1061" s="131"/>
      <c r="T1061" s="131"/>
      <c r="U1061" s="131"/>
      <c r="V1061" s="131"/>
      <c r="W1061" s="131"/>
      <c r="X1061" s="131"/>
      <c r="Y1061" s="131"/>
      <c r="Z1061" s="131"/>
    </row>
    <row r="1062">
      <c r="A1062" s="262" t="s">
        <v>474</v>
      </c>
      <c r="B1062" s="262" t="s">
        <v>96</v>
      </c>
      <c r="C1062" s="262">
        <v>307.0</v>
      </c>
      <c r="D1062" s="262">
        <v>1.410710625</v>
      </c>
      <c r="E1062" s="260">
        <f t="shared" si="35"/>
        <v>84.6426375</v>
      </c>
      <c r="F1062" s="132">
        <f t="shared" si="36"/>
        <v>0.05877960938</v>
      </c>
      <c r="G1062" s="285" t="s">
        <v>1459</v>
      </c>
      <c r="H1062" s="131"/>
      <c r="I1062" s="131"/>
      <c r="J1062" s="131"/>
      <c r="K1062" s="131"/>
      <c r="L1062" s="131"/>
      <c r="M1062" s="131"/>
      <c r="N1062" s="131"/>
      <c r="O1062" s="131"/>
      <c r="P1062" s="131"/>
      <c r="Q1062" s="131"/>
      <c r="R1062" s="131"/>
      <c r="S1062" s="131"/>
      <c r="T1062" s="131"/>
      <c r="U1062" s="131"/>
      <c r="V1062" s="131"/>
      <c r="W1062" s="131"/>
      <c r="X1062" s="131"/>
      <c r="Y1062" s="131"/>
      <c r="Z1062" s="131"/>
    </row>
    <row r="1063">
      <c r="A1063" s="262" t="s">
        <v>474</v>
      </c>
      <c r="B1063" s="262" t="s">
        <v>92</v>
      </c>
      <c r="C1063" s="262">
        <v>175.0</v>
      </c>
      <c r="D1063" s="262">
        <v>0.771621875</v>
      </c>
      <c r="E1063" s="260">
        <f t="shared" si="35"/>
        <v>46.2973125</v>
      </c>
      <c r="F1063" s="132">
        <f t="shared" si="36"/>
        <v>0.03215091146</v>
      </c>
      <c r="G1063" s="285" t="s">
        <v>1460</v>
      </c>
      <c r="H1063" s="131"/>
      <c r="I1063" s="131"/>
      <c r="J1063" s="131"/>
      <c r="K1063" s="131"/>
      <c r="L1063" s="131"/>
      <c r="M1063" s="131"/>
      <c r="N1063" s="131"/>
      <c r="O1063" s="131"/>
      <c r="P1063" s="131"/>
      <c r="Q1063" s="131"/>
      <c r="R1063" s="131"/>
      <c r="S1063" s="131"/>
      <c r="T1063" s="131"/>
      <c r="U1063" s="131"/>
      <c r="V1063" s="131"/>
      <c r="W1063" s="131"/>
      <c r="X1063" s="131"/>
      <c r="Y1063" s="131"/>
      <c r="Z1063" s="131"/>
    </row>
    <row r="1064">
      <c r="A1064" s="262" t="s">
        <v>474</v>
      </c>
      <c r="B1064" s="262" t="s">
        <v>97</v>
      </c>
      <c r="C1064" s="262">
        <v>258.0</v>
      </c>
      <c r="D1064" s="262">
        <v>1.19894984375</v>
      </c>
      <c r="E1064" s="260">
        <f t="shared" si="35"/>
        <v>71.93699063</v>
      </c>
      <c r="F1064" s="132">
        <f t="shared" si="36"/>
        <v>0.04995624349</v>
      </c>
      <c r="G1064" s="285" t="s">
        <v>1461</v>
      </c>
      <c r="H1064" s="131"/>
      <c r="I1064" s="131"/>
      <c r="J1064" s="131"/>
      <c r="K1064" s="131"/>
      <c r="L1064" s="131"/>
      <c r="M1064" s="131"/>
      <c r="N1064" s="131"/>
      <c r="O1064" s="131"/>
      <c r="P1064" s="131"/>
      <c r="Q1064" s="131"/>
      <c r="R1064" s="131"/>
      <c r="S1064" s="131"/>
      <c r="T1064" s="131"/>
      <c r="U1064" s="131"/>
      <c r="V1064" s="131"/>
      <c r="W1064" s="131"/>
      <c r="X1064" s="131"/>
      <c r="Y1064" s="131"/>
      <c r="Z1064" s="131"/>
    </row>
    <row r="1065">
      <c r="A1065" s="262" t="s">
        <v>474</v>
      </c>
      <c r="B1065" s="262" t="s">
        <v>57</v>
      </c>
      <c r="C1065" s="262">
        <v>410.0</v>
      </c>
      <c r="D1065" s="262">
        <v>1.88724078125</v>
      </c>
      <c r="E1065" s="260">
        <f t="shared" si="35"/>
        <v>113.2344469</v>
      </c>
      <c r="F1065" s="132">
        <f t="shared" si="36"/>
        <v>0.07863503255</v>
      </c>
      <c r="G1065" s="285" t="s">
        <v>1462</v>
      </c>
      <c r="H1065" s="131"/>
      <c r="I1065" s="131"/>
      <c r="J1065" s="131"/>
      <c r="K1065" s="131"/>
      <c r="L1065" s="131"/>
      <c r="M1065" s="131"/>
      <c r="N1065" s="131"/>
      <c r="O1065" s="131"/>
      <c r="P1065" s="131"/>
      <c r="Q1065" s="131"/>
      <c r="R1065" s="131"/>
      <c r="S1065" s="131"/>
      <c r="T1065" s="131"/>
      <c r="U1065" s="131"/>
      <c r="V1065" s="131"/>
      <c r="W1065" s="131"/>
      <c r="X1065" s="131"/>
      <c r="Y1065" s="131"/>
      <c r="Z1065" s="131"/>
    </row>
    <row r="1066">
      <c r="A1066" s="262" t="s">
        <v>474</v>
      </c>
      <c r="B1066" s="262" t="s">
        <v>98</v>
      </c>
      <c r="C1066" s="262">
        <v>541.0</v>
      </c>
      <c r="D1066" s="262">
        <v>2.53771111111111</v>
      </c>
      <c r="E1066" s="260">
        <f t="shared" si="35"/>
        <v>152.2626667</v>
      </c>
      <c r="F1066" s="132">
        <f t="shared" si="36"/>
        <v>0.105737963</v>
      </c>
      <c r="G1066" s="285" t="s">
        <v>1463</v>
      </c>
      <c r="H1066" s="131"/>
      <c r="I1066" s="131"/>
      <c r="J1066" s="131"/>
      <c r="K1066" s="131"/>
      <c r="L1066" s="131"/>
      <c r="M1066" s="131"/>
      <c r="N1066" s="131"/>
      <c r="O1066" s="131"/>
      <c r="P1066" s="131"/>
      <c r="Q1066" s="131"/>
      <c r="R1066" s="131"/>
      <c r="S1066" s="131"/>
      <c r="T1066" s="131"/>
      <c r="U1066" s="131"/>
      <c r="V1066" s="131"/>
      <c r="W1066" s="131"/>
      <c r="X1066" s="131"/>
      <c r="Y1066" s="131"/>
      <c r="Z1066" s="131"/>
    </row>
    <row r="1067">
      <c r="A1067" s="262" t="s">
        <v>474</v>
      </c>
      <c r="B1067" s="262" t="s">
        <v>428</v>
      </c>
      <c r="C1067" s="262">
        <v>400.0</v>
      </c>
      <c r="D1067" s="262">
        <v>1.67985833333333</v>
      </c>
      <c r="E1067" s="260">
        <f t="shared" si="35"/>
        <v>100.7915</v>
      </c>
      <c r="F1067" s="132">
        <f t="shared" si="36"/>
        <v>0.06999409722</v>
      </c>
      <c r="G1067" s="285" t="s">
        <v>1464</v>
      </c>
      <c r="H1067" s="131"/>
      <c r="I1067" s="131"/>
      <c r="J1067" s="131"/>
      <c r="K1067" s="131"/>
      <c r="L1067" s="131"/>
      <c r="M1067" s="131"/>
      <c r="N1067" s="131"/>
      <c r="O1067" s="131"/>
      <c r="P1067" s="131"/>
      <c r="Q1067" s="131"/>
      <c r="R1067" s="131"/>
      <c r="S1067" s="131"/>
      <c r="T1067" s="131"/>
      <c r="U1067" s="131"/>
      <c r="V1067" s="131"/>
      <c r="W1067" s="131"/>
      <c r="X1067" s="131"/>
      <c r="Y1067" s="131"/>
      <c r="Z1067" s="131"/>
    </row>
    <row r="1068">
      <c r="A1068" s="262" t="s">
        <v>474</v>
      </c>
      <c r="B1068" s="262" t="s">
        <v>99</v>
      </c>
      <c r="C1068" s="262">
        <v>308.0</v>
      </c>
      <c r="D1068" s="262">
        <v>1.50607069444444</v>
      </c>
      <c r="E1068" s="260">
        <f t="shared" si="35"/>
        <v>90.36424167</v>
      </c>
      <c r="F1068" s="132">
        <f t="shared" si="36"/>
        <v>0.0627529456</v>
      </c>
      <c r="G1068" s="285" t="s">
        <v>1465</v>
      </c>
      <c r="H1068" s="131"/>
      <c r="I1068" s="131"/>
      <c r="J1068" s="131"/>
      <c r="K1068" s="131"/>
      <c r="L1068" s="131"/>
      <c r="M1068" s="131"/>
      <c r="N1068" s="131"/>
      <c r="O1068" s="131"/>
      <c r="P1068" s="131"/>
      <c r="Q1068" s="131"/>
      <c r="R1068" s="131"/>
      <c r="S1068" s="131"/>
      <c r="T1068" s="131"/>
      <c r="U1068" s="131"/>
      <c r="V1068" s="131"/>
      <c r="W1068" s="131"/>
      <c r="X1068" s="131"/>
      <c r="Y1068" s="131"/>
      <c r="Z1068" s="131"/>
    </row>
    <row r="1069">
      <c r="A1069" s="262" t="s">
        <v>474</v>
      </c>
      <c r="B1069" s="262" t="s">
        <v>61</v>
      </c>
      <c r="C1069" s="262">
        <v>253.0</v>
      </c>
      <c r="D1069" s="262">
        <v>1.13482583333333</v>
      </c>
      <c r="E1069" s="260">
        <f t="shared" si="35"/>
        <v>68.08955</v>
      </c>
      <c r="F1069" s="132">
        <f t="shared" si="36"/>
        <v>0.04728440972</v>
      </c>
      <c r="G1069" s="285" t="s">
        <v>1466</v>
      </c>
      <c r="H1069" s="131"/>
      <c r="I1069" s="131"/>
      <c r="J1069" s="131"/>
      <c r="K1069" s="131"/>
      <c r="L1069" s="131"/>
      <c r="M1069" s="131"/>
      <c r="N1069" s="131"/>
      <c r="O1069" s="131"/>
      <c r="P1069" s="131"/>
      <c r="Q1069" s="131"/>
      <c r="R1069" s="131"/>
      <c r="S1069" s="131"/>
      <c r="T1069" s="131"/>
      <c r="U1069" s="131"/>
      <c r="V1069" s="131"/>
      <c r="W1069" s="131"/>
      <c r="X1069" s="131"/>
      <c r="Y1069" s="131"/>
      <c r="Z1069" s="131"/>
    </row>
    <row r="1070">
      <c r="A1070" s="262" t="s">
        <v>429</v>
      </c>
      <c r="B1070" s="262" t="s">
        <v>430</v>
      </c>
      <c r="C1070" s="262">
        <v>4149.0</v>
      </c>
      <c r="D1070" s="262">
        <v>20.6433988888889</v>
      </c>
      <c r="E1070" s="260">
        <f t="shared" si="35"/>
        <v>1238.603933</v>
      </c>
      <c r="F1070" s="132">
        <f t="shared" si="36"/>
        <v>0.8601416204</v>
      </c>
      <c r="G1070" s="285" t="s">
        <v>1467</v>
      </c>
      <c r="H1070" s="131"/>
      <c r="I1070" s="131"/>
      <c r="J1070" s="131"/>
      <c r="K1070" s="131"/>
      <c r="L1070" s="131"/>
      <c r="M1070" s="131"/>
      <c r="N1070" s="131"/>
      <c r="O1070" s="131"/>
      <c r="P1070" s="131"/>
      <c r="Q1070" s="131"/>
      <c r="R1070" s="131"/>
      <c r="S1070" s="131"/>
      <c r="T1070" s="131"/>
      <c r="U1070" s="131"/>
      <c r="V1070" s="131"/>
      <c r="W1070" s="131"/>
      <c r="X1070" s="131"/>
      <c r="Y1070" s="131"/>
      <c r="Z1070" s="131"/>
    </row>
    <row r="1071">
      <c r="A1071" s="262" t="s">
        <v>429</v>
      </c>
      <c r="B1071" s="262" t="s">
        <v>101</v>
      </c>
      <c r="C1071" s="262">
        <v>4128.0</v>
      </c>
      <c r="D1071" s="262">
        <v>20.3340684375</v>
      </c>
      <c r="E1071" s="260">
        <f t="shared" si="35"/>
        <v>1220.044106</v>
      </c>
      <c r="F1071" s="132">
        <f t="shared" si="36"/>
        <v>0.8472528516</v>
      </c>
      <c r="G1071" s="285" t="s">
        <v>1468</v>
      </c>
      <c r="H1071" s="131"/>
      <c r="I1071" s="131"/>
      <c r="J1071" s="131"/>
      <c r="K1071" s="131"/>
      <c r="L1071" s="131"/>
      <c r="M1071" s="131"/>
      <c r="N1071" s="131"/>
      <c r="O1071" s="131"/>
      <c r="P1071" s="131"/>
      <c r="Q1071" s="131"/>
      <c r="R1071" s="131"/>
      <c r="S1071" s="131"/>
      <c r="T1071" s="131"/>
      <c r="U1071" s="131"/>
      <c r="V1071" s="131"/>
      <c r="W1071" s="131"/>
      <c r="X1071" s="131"/>
      <c r="Y1071" s="131"/>
      <c r="Z1071" s="131"/>
    </row>
    <row r="1072">
      <c r="A1072" s="262" t="s">
        <v>429</v>
      </c>
      <c r="B1072" s="262" t="s">
        <v>102</v>
      </c>
      <c r="C1072" s="262">
        <v>3334.0</v>
      </c>
      <c r="D1072" s="262">
        <v>15.3943976909723</v>
      </c>
      <c r="E1072" s="260">
        <f t="shared" si="35"/>
        <v>923.6638615</v>
      </c>
      <c r="F1072" s="132">
        <f t="shared" si="36"/>
        <v>0.6414332371</v>
      </c>
      <c r="G1072" s="285" t="s">
        <v>1469</v>
      </c>
      <c r="H1072" s="131"/>
      <c r="I1072" s="131"/>
      <c r="J1072" s="131"/>
      <c r="K1072" s="131"/>
      <c r="L1072" s="131"/>
      <c r="M1072" s="131"/>
      <c r="N1072" s="131"/>
      <c r="O1072" s="131"/>
      <c r="P1072" s="131"/>
      <c r="Q1072" s="131"/>
      <c r="R1072" s="131"/>
      <c r="S1072" s="131"/>
      <c r="T1072" s="131"/>
      <c r="U1072" s="131"/>
      <c r="V1072" s="131"/>
      <c r="W1072" s="131"/>
      <c r="X1072" s="131"/>
      <c r="Y1072" s="131"/>
      <c r="Z1072" s="131"/>
    </row>
    <row r="1073">
      <c r="A1073" s="262" t="s">
        <v>429</v>
      </c>
      <c r="B1073" s="262" t="s">
        <v>29</v>
      </c>
      <c r="C1073" s="262">
        <v>3945.0</v>
      </c>
      <c r="D1073" s="262">
        <v>17.6133018923611</v>
      </c>
      <c r="E1073" s="260">
        <f t="shared" si="35"/>
        <v>1056.798114</v>
      </c>
      <c r="F1073" s="132">
        <f t="shared" si="36"/>
        <v>0.7338875788</v>
      </c>
      <c r="G1073" s="285" t="s">
        <v>1470</v>
      </c>
      <c r="H1073" s="131"/>
      <c r="I1073" s="131"/>
      <c r="J1073" s="131"/>
      <c r="K1073" s="131"/>
      <c r="L1073" s="131"/>
      <c r="M1073" s="131"/>
      <c r="N1073" s="131"/>
      <c r="O1073" s="131"/>
      <c r="P1073" s="131"/>
      <c r="Q1073" s="131"/>
      <c r="R1073" s="131"/>
      <c r="S1073" s="131"/>
      <c r="T1073" s="131"/>
      <c r="U1073" s="131"/>
      <c r="V1073" s="131"/>
      <c r="W1073" s="131"/>
      <c r="X1073" s="131"/>
      <c r="Y1073" s="131"/>
      <c r="Z1073" s="131"/>
    </row>
    <row r="1074">
      <c r="A1074" s="262" t="s">
        <v>429</v>
      </c>
      <c r="B1074" s="262" t="s">
        <v>103</v>
      </c>
      <c r="C1074" s="262">
        <v>4644.0</v>
      </c>
      <c r="D1074" s="262">
        <v>22.5044738194445</v>
      </c>
      <c r="E1074" s="260">
        <f t="shared" si="35"/>
        <v>1350.268429</v>
      </c>
      <c r="F1074" s="132">
        <f t="shared" si="36"/>
        <v>0.9376864091</v>
      </c>
      <c r="G1074" s="285" t="s">
        <v>1471</v>
      </c>
      <c r="H1074" s="131"/>
      <c r="I1074" s="131"/>
      <c r="J1074" s="131"/>
      <c r="K1074" s="131"/>
      <c r="L1074" s="131"/>
      <c r="M1074" s="131"/>
      <c r="N1074" s="131"/>
      <c r="O1074" s="131"/>
      <c r="P1074" s="131"/>
      <c r="Q1074" s="131"/>
      <c r="R1074" s="131"/>
      <c r="S1074" s="131"/>
      <c r="T1074" s="131"/>
      <c r="U1074" s="131"/>
      <c r="V1074" s="131"/>
      <c r="W1074" s="131"/>
      <c r="X1074" s="131"/>
      <c r="Y1074" s="131"/>
      <c r="Z1074" s="131"/>
    </row>
    <row r="1075">
      <c r="A1075" s="262" t="s">
        <v>429</v>
      </c>
      <c r="B1075" s="262" t="s">
        <v>465</v>
      </c>
      <c r="C1075" s="262">
        <v>2846.0</v>
      </c>
      <c r="D1075" s="262">
        <v>12.8942271354167</v>
      </c>
      <c r="E1075" s="260">
        <f t="shared" si="35"/>
        <v>773.6536281</v>
      </c>
      <c r="F1075" s="132">
        <f t="shared" si="36"/>
        <v>0.537259464</v>
      </c>
      <c r="G1075" s="285" t="s">
        <v>1472</v>
      </c>
      <c r="H1075" s="131"/>
      <c r="I1075" s="131"/>
      <c r="J1075" s="131"/>
      <c r="K1075" s="131"/>
      <c r="L1075" s="131"/>
      <c r="M1075" s="131"/>
      <c r="N1075" s="131"/>
      <c r="O1075" s="131"/>
      <c r="P1075" s="131"/>
      <c r="Q1075" s="131"/>
      <c r="R1075" s="131"/>
      <c r="S1075" s="131"/>
      <c r="T1075" s="131"/>
      <c r="U1075" s="131"/>
      <c r="V1075" s="131"/>
      <c r="W1075" s="131"/>
      <c r="X1075" s="131"/>
      <c r="Y1075" s="131"/>
      <c r="Z1075" s="131"/>
    </row>
    <row r="1076">
      <c r="A1076" s="262" t="s">
        <v>429</v>
      </c>
      <c r="B1076" s="262" t="s">
        <v>432</v>
      </c>
      <c r="C1076" s="262">
        <v>2949.0</v>
      </c>
      <c r="D1076" s="262">
        <v>13.4883956770833</v>
      </c>
      <c r="E1076" s="260">
        <f t="shared" si="35"/>
        <v>809.3037406</v>
      </c>
      <c r="F1076" s="132">
        <f t="shared" si="36"/>
        <v>0.5620164865</v>
      </c>
      <c r="G1076" s="285" t="s">
        <v>1473</v>
      </c>
      <c r="H1076" s="131"/>
      <c r="I1076" s="131"/>
      <c r="J1076" s="131"/>
      <c r="K1076" s="131"/>
      <c r="L1076" s="131"/>
      <c r="M1076" s="131"/>
      <c r="N1076" s="131"/>
      <c r="O1076" s="131"/>
      <c r="P1076" s="131"/>
      <c r="Q1076" s="131"/>
      <c r="R1076" s="131"/>
      <c r="S1076" s="131"/>
      <c r="T1076" s="131"/>
      <c r="U1076" s="131"/>
      <c r="V1076" s="131"/>
      <c r="W1076" s="131"/>
      <c r="X1076" s="131"/>
      <c r="Y1076" s="131"/>
      <c r="Z1076" s="131"/>
    </row>
    <row r="1077">
      <c r="A1077" s="262" t="s">
        <v>429</v>
      </c>
      <c r="B1077" s="262" t="s">
        <v>105</v>
      </c>
      <c r="C1077" s="262">
        <v>3860.0</v>
      </c>
      <c r="D1077" s="262">
        <v>17.1113250347222</v>
      </c>
      <c r="E1077" s="260">
        <f t="shared" si="35"/>
        <v>1026.679502</v>
      </c>
      <c r="F1077" s="132">
        <f t="shared" si="36"/>
        <v>0.7129718764</v>
      </c>
      <c r="G1077" s="285" t="s">
        <v>1474</v>
      </c>
      <c r="H1077" s="131"/>
      <c r="I1077" s="131"/>
      <c r="J1077" s="131"/>
      <c r="K1077" s="131"/>
      <c r="L1077" s="131"/>
      <c r="M1077" s="131"/>
      <c r="N1077" s="131"/>
      <c r="O1077" s="131"/>
      <c r="P1077" s="131"/>
      <c r="Q1077" s="131"/>
      <c r="R1077" s="131"/>
      <c r="S1077" s="131"/>
      <c r="T1077" s="131"/>
      <c r="U1077" s="131"/>
      <c r="V1077" s="131"/>
      <c r="W1077" s="131"/>
      <c r="X1077" s="131"/>
      <c r="Y1077" s="131"/>
      <c r="Z1077" s="131"/>
    </row>
    <row r="1078">
      <c r="A1078" s="262"/>
      <c r="B1078" s="262"/>
      <c r="C1078" s="131">
        <f>sum(C998:C1077)</f>
        <v>83614</v>
      </c>
      <c r="D1078" s="212" t="s">
        <v>484</v>
      </c>
      <c r="E1078" s="222">
        <f>SUM(E998:E1077)</f>
        <v>23293.31398</v>
      </c>
      <c r="F1078" s="132">
        <f t="shared" si="36"/>
        <v>16.17591249</v>
      </c>
      <c r="G1078" s="140"/>
      <c r="H1078" s="131"/>
      <c r="I1078" s="131"/>
      <c r="J1078" s="131"/>
      <c r="K1078" s="131"/>
      <c r="L1078" s="131"/>
      <c r="M1078" s="131"/>
      <c r="N1078" s="131"/>
      <c r="O1078" s="131"/>
      <c r="P1078" s="131"/>
      <c r="Q1078" s="131"/>
      <c r="R1078" s="131"/>
      <c r="S1078" s="131"/>
      <c r="T1078" s="131"/>
      <c r="U1078" s="131"/>
      <c r="V1078" s="131"/>
      <c r="W1078" s="131"/>
      <c r="X1078" s="131"/>
      <c r="Y1078" s="131"/>
      <c r="Z1078" s="131"/>
    </row>
    <row r="1079">
      <c r="A1079" s="262"/>
      <c r="B1079" s="262"/>
      <c r="C1079" s="262"/>
      <c r="D1079" s="262"/>
      <c r="E1079" s="260"/>
      <c r="F1079" s="132"/>
      <c r="G1079" s="140"/>
      <c r="H1079" s="131"/>
      <c r="I1079" s="131"/>
      <c r="J1079" s="131"/>
      <c r="K1079" s="131"/>
      <c r="L1079" s="131"/>
      <c r="M1079" s="131"/>
      <c r="N1079" s="131"/>
      <c r="O1079" s="131"/>
      <c r="P1079" s="131"/>
      <c r="Q1079" s="131"/>
      <c r="R1079" s="131"/>
      <c r="S1079" s="131"/>
      <c r="T1079" s="131"/>
      <c r="U1079" s="131"/>
      <c r="V1079" s="131"/>
      <c r="W1079" s="131"/>
      <c r="X1079" s="131"/>
      <c r="Y1079" s="131"/>
      <c r="Z1079" s="131"/>
    </row>
    <row r="1080">
      <c r="A1080" s="262"/>
      <c r="B1080" s="262"/>
      <c r="C1080" s="262"/>
      <c r="D1080" s="262"/>
      <c r="E1080" s="260"/>
      <c r="F1080" s="132"/>
      <c r="G1080" s="140"/>
      <c r="H1080" s="131"/>
      <c r="I1080" s="131"/>
      <c r="J1080" s="131"/>
      <c r="K1080" s="131"/>
      <c r="L1080" s="131"/>
      <c r="M1080" s="131"/>
      <c r="N1080" s="131"/>
      <c r="O1080" s="131"/>
      <c r="P1080" s="131"/>
      <c r="Q1080" s="131"/>
      <c r="R1080" s="131"/>
      <c r="S1080" s="131"/>
      <c r="T1080" s="131"/>
      <c r="U1080" s="131"/>
      <c r="V1080" s="131"/>
      <c r="W1080" s="131"/>
      <c r="X1080" s="131"/>
      <c r="Y1080" s="131"/>
      <c r="Z1080" s="131"/>
    </row>
    <row r="1081">
      <c r="A1081" s="284" t="s">
        <v>1475</v>
      </c>
      <c r="B1081" s="131"/>
      <c r="C1081" s="131"/>
      <c r="D1081" s="131"/>
      <c r="E1081" s="222"/>
      <c r="F1081" s="132"/>
      <c r="G1081" s="211"/>
      <c r="H1081" s="131"/>
      <c r="I1081" s="131"/>
      <c r="J1081" s="131"/>
      <c r="K1081" s="131"/>
      <c r="L1081" s="131"/>
      <c r="M1081" s="131"/>
      <c r="N1081" s="131"/>
      <c r="O1081" s="131"/>
      <c r="P1081" s="131"/>
      <c r="Q1081" s="131"/>
      <c r="R1081" s="131"/>
      <c r="S1081" s="131"/>
      <c r="T1081" s="131"/>
      <c r="U1081" s="131"/>
      <c r="V1081" s="131"/>
      <c r="W1081" s="131"/>
      <c r="X1081" s="131"/>
      <c r="Y1081" s="131"/>
      <c r="Z1081" s="131"/>
    </row>
    <row r="1082">
      <c r="A1082" s="131"/>
      <c r="B1082" s="131"/>
      <c r="C1082" s="131"/>
      <c r="D1082" s="131"/>
      <c r="E1082" s="222"/>
      <c r="F1082" s="132"/>
      <c r="G1082" s="211"/>
      <c r="H1082" s="131"/>
      <c r="I1082" s="131"/>
      <c r="J1082" s="131"/>
      <c r="K1082" s="131"/>
      <c r="L1082" s="131"/>
      <c r="M1082" s="131"/>
      <c r="N1082" s="131"/>
      <c r="O1082" s="131"/>
      <c r="P1082" s="131"/>
      <c r="Q1082" s="131"/>
      <c r="R1082" s="131"/>
      <c r="S1082" s="131"/>
      <c r="T1082" s="131"/>
      <c r="U1082" s="131"/>
      <c r="V1082" s="131"/>
      <c r="W1082" s="131"/>
      <c r="X1082" s="131"/>
      <c r="Y1082" s="131"/>
      <c r="Z1082" s="131"/>
    </row>
    <row r="1083">
      <c r="A1083" s="268" t="s">
        <v>0</v>
      </c>
      <c r="B1083" s="268" t="s">
        <v>362</v>
      </c>
      <c r="C1083" s="239" t="s">
        <v>534</v>
      </c>
      <c r="D1083" s="239" t="s">
        <v>420</v>
      </c>
      <c r="E1083" s="259" t="s">
        <v>3</v>
      </c>
      <c r="F1083" s="214" t="s">
        <v>470</v>
      </c>
      <c r="G1083" s="140" t="s">
        <v>471</v>
      </c>
      <c r="H1083" s="131"/>
      <c r="I1083" s="131"/>
      <c r="J1083" s="131"/>
      <c r="K1083" s="131"/>
      <c r="L1083" s="131"/>
      <c r="M1083" s="131"/>
      <c r="N1083" s="131"/>
      <c r="O1083" s="131"/>
      <c r="P1083" s="131"/>
      <c r="Q1083" s="131"/>
      <c r="R1083" s="131"/>
      <c r="S1083" s="131"/>
      <c r="T1083" s="131"/>
      <c r="U1083" s="131"/>
      <c r="V1083" s="131"/>
      <c r="W1083" s="131"/>
      <c r="X1083" s="131"/>
      <c r="Y1083" s="131"/>
      <c r="Z1083" s="131"/>
    </row>
    <row r="1084">
      <c r="A1084" s="262" t="s">
        <v>611</v>
      </c>
      <c r="B1084" s="262" t="s">
        <v>48</v>
      </c>
      <c r="C1084" s="262">
        <v>578.0</v>
      </c>
      <c r="D1084" s="262">
        <v>2.667728368</v>
      </c>
      <c r="E1084" s="260">
        <f t="shared" ref="E1084:E1163" si="37">D1084*60</f>
        <v>160.0637021</v>
      </c>
      <c r="F1084" s="132">
        <f t="shared" ref="F1084:F1164" si="38">E1084/24/60</f>
        <v>0.1111553487</v>
      </c>
      <c r="G1084" s="285" t="s">
        <v>1476</v>
      </c>
      <c r="H1084" s="131"/>
      <c r="I1084" s="131"/>
      <c r="J1084" s="131"/>
      <c r="K1084" s="131"/>
      <c r="L1084" s="131"/>
      <c r="M1084" s="131"/>
      <c r="N1084" s="131"/>
      <c r="O1084" s="131"/>
      <c r="P1084" s="131"/>
      <c r="Q1084" s="131"/>
      <c r="R1084" s="131"/>
      <c r="S1084" s="131"/>
      <c r="T1084" s="131"/>
      <c r="U1084" s="131"/>
      <c r="V1084" s="131"/>
      <c r="W1084" s="131"/>
      <c r="X1084" s="131"/>
      <c r="Y1084" s="131"/>
      <c r="Z1084" s="131"/>
    </row>
    <row r="1085">
      <c r="A1085" s="262" t="s">
        <v>611</v>
      </c>
      <c r="B1085" s="262" t="s">
        <v>49</v>
      </c>
      <c r="C1085" s="262">
        <v>528.0</v>
      </c>
      <c r="D1085" s="262">
        <v>2.380298576</v>
      </c>
      <c r="E1085" s="260">
        <f t="shared" si="37"/>
        <v>142.8179146</v>
      </c>
      <c r="F1085" s="132">
        <f t="shared" si="38"/>
        <v>0.09917910733</v>
      </c>
      <c r="G1085" s="285" t="s">
        <v>1477</v>
      </c>
      <c r="H1085" s="131"/>
      <c r="I1085" s="131"/>
      <c r="J1085" s="131"/>
      <c r="K1085" s="131"/>
      <c r="L1085" s="131"/>
      <c r="M1085" s="131"/>
      <c r="N1085" s="131"/>
      <c r="O1085" s="131"/>
      <c r="P1085" s="131"/>
      <c r="Q1085" s="131"/>
      <c r="R1085" s="131"/>
      <c r="S1085" s="131"/>
      <c r="T1085" s="131"/>
      <c r="U1085" s="131"/>
      <c r="V1085" s="131"/>
      <c r="W1085" s="131"/>
      <c r="X1085" s="131"/>
      <c r="Y1085" s="131"/>
      <c r="Z1085" s="131"/>
    </row>
    <row r="1086">
      <c r="A1086" s="262" t="s">
        <v>611</v>
      </c>
      <c r="B1086" s="262" t="s">
        <v>50</v>
      </c>
      <c r="C1086" s="262">
        <v>931.0</v>
      </c>
      <c r="D1086" s="262">
        <v>3.97005974</v>
      </c>
      <c r="E1086" s="260">
        <f t="shared" si="37"/>
        <v>238.2035844</v>
      </c>
      <c r="F1086" s="132">
        <f t="shared" si="38"/>
        <v>0.1654191558</v>
      </c>
      <c r="G1086" s="285" t="s">
        <v>1478</v>
      </c>
      <c r="H1086" s="131"/>
      <c r="I1086" s="131"/>
      <c r="J1086" s="131"/>
      <c r="K1086" s="131"/>
      <c r="L1086" s="131"/>
      <c r="M1086" s="131"/>
      <c r="N1086" s="131"/>
      <c r="O1086" s="131"/>
      <c r="P1086" s="131"/>
      <c r="Q1086" s="131"/>
      <c r="R1086" s="131"/>
      <c r="S1086" s="131"/>
      <c r="T1086" s="131"/>
      <c r="U1086" s="131"/>
      <c r="V1086" s="131"/>
      <c r="W1086" s="131"/>
      <c r="X1086" s="131"/>
      <c r="Y1086" s="131"/>
      <c r="Z1086" s="131"/>
    </row>
    <row r="1087">
      <c r="A1087" s="262" t="s">
        <v>611</v>
      </c>
      <c r="B1087" s="262" t="s">
        <v>51</v>
      </c>
      <c r="C1087" s="262">
        <v>421.0</v>
      </c>
      <c r="D1087" s="262">
        <v>2.06537842</v>
      </c>
      <c r="E1087" s="260">
        <f t="shared" si="37"/>
        <v>123.9227052</v>
      </c>
      <c r="F1087" s="132">
        <f t="shared" si="38"/>
        <v>0.08605743417</v>
      </c>
      <c r="G1087" s="285" t="s">
        <v>1479</v>
      </c>
      <c r="H1087" s="131"/>
      <c r="I1087" s="131"/>
      <c r="J1087" s="131"/>
      <c r="K1087" s="131"/>
      <c r="L1087" s="131"/>
      <c r="M1087" s="131"/>
      <c r="N1087" s="131"/>
      <c r="O1087" s="131"/>
      <c r="P1087" s="131"/>
      <c r="Q1087" s="131"/>
      <c r="R1087" s="131"/>
      <c r="S1087" s="131"/>
      <c r="T1087" s="131"/>
      <c r="U1087" s="131"/>
      <c r="V1087" s="131"/>
      <c r="W1087" s="131"/>
      <c r="X1087" s="131"/>
      <c r="Y1087" s="131"/>
      <c r="Z1087" s="131"/>
    </row>
    <row r="1088">
      <c r="A1088" s="262" t="s">
        <v>611</v>
      </c>
      <c r="B1088" s="262" t="s">
        <v>52</v>
      </c>
      <c r="C1088" s="262">
        <v>1209.0</v>
      </c>
      <c r="D1088" s="262">
        <v>5.648634635</v>
      </c>
      <c r="E1088" s="260">
        <f t="shared" si="37"/>
        <v>338.9180781</v>
      </c>
      <c r="F1088" s="132">
        <f t="shared" si="38"/>
        <v>0.2353597765</v>
      </c>
      <c r="G1088" s="285" t="s">
        <v>1480</v>
      </c>
      <c r="H1088" s="131"/>
      <c r="I1088" s="131"/>
      <c r="J1088" s="131"/>
      <c r="K1088" s="131"/>
      <c r="L1088" s="131"/>
      <c r="M1088" s="131"/>
      <c r="N1088" s="131"/>
      <c r="O1088" s="131"/>
      <c r="P1088" s="131"/>
      <c r="Q1088" s="131"/>
      <c r="R1088" s="131"/>
      <c r="S1088" s="131"/>
      <c r="T1088" s="131"/>
      <c r="U1088" s="131"/>
      <c r="V1088" s="131"/>
      <c r="W1088" s="131"/>
      <c r="X1088" s="131"/>
      <c r="Y1088" s="131"/>
      <c r="Z1088" s="131"/>
    </row>
    <row r="1089">
      <c r="A1089" s="262" t="s">
        <v>611</v>
      </c>
      <c r="B1089" s="262" t="s">
        <v>53</v>
      </c>
      <c r="C1089" s="262">
        <v>1108.0</v>
      </c>
      <c r="D1089" s="262">
        <v>5.154996233</v>
      </c>
      <c r="E1089" s="260">
        <f t="shared" si="37"/>
        <v>309.299774</v>
      </c>
      <c r="F1089" s="132">
        <f t="shared" si="38"/>
        <v>0.2147915097</v>
      </c>
      <c r="G1089" s="285" t="s">
        <v>1481</v>
      </c>
      <c r="H1089" s="131"/>
      <c r="I1089" s="131"/>
      <c r="J1089" s="131"/>
      <c r="K1089" s="131"/>
      <c r="L1089" s="131"/>
      <c r="M1089" s="131"/>
      <c r="N1089" s="131"/>
      <c r="O1089" s="131"/>
      <c r="P1089" s="131"/>
      <c r="Q1089" s="131"/>
      <c r="R1089" s="131"/>
      <c r="S1089" s="131"/>
      <c r="T1089" s="131"/>
      <c r="U1089" s="131"/>
      <c r="V1089" s="131"/>
      <c r="W1089" s="131"/>
      <c r="X1089" s="131"/>
      <c r="Y1089" s="131"/>
      <c r="Z1089" s="131"/>
    </row>
    <row r="1090">
      <c r="A1090" s="262" t="s">
        <v>7</v>
      </c>
      <c r="B1090" s="262" t="s">
        <v>34</v>
      </c>
      <c r="C1090" s="262">
        <v>1029.0</v>
      </c>
      <c r="D1090" s="262">
        <v>4.974808802</v>
      </c>
      <c r="E1090" s="260">
        <f t="shared" si="37"/>
        <v>298.4885281</v>
      </c>
      <c r="F1090" s="132">
        <f t="shared" si="38"/>
        <v>0.2072837001</v>
      </c>
      <c r="G1090" s="285" t="s">
        <v>1482</v>
      </c>
      <c r="H1090" s="131"/>
      <c r="I1090" s="131"/>
      <c r="J1090" s="131"/>
      <c r="K1090" s="131"/>
      <c r="L1090" s="131"/>
      <c r="M1090" s="131"/>
      <c r="N1090" s="131"/>
      <c r="O1090" s="131"/>
      <c r="P1090" s="131"/>
      <c r="Q1090" s="131"/>
      <c r="R1090" s="131"/>
      <c r="S1090" s="131"/>
      <c r="T1090" s="131"/>
      <c r="U1090" s="131"/>
      <c r="V1090" s="131"/>
      <c r="W1090" s="131"/>
      <c r="X1090" s="131"/>
      <c r="Y1090" s="131"/>
      <c r="Z1090" s="131"/>
    </row>
    <row r="1091">
      <c r="A1091" s="262" t="s">
        <v>7</v>
      </c>
      <c r="B1091" s="262" t="s">
        <v>37</v>
      </c>
      <c r="C1091" s="262">
        <v>1982.0</v>
      </c>
      <c r="D1091" s="262">
        <v>9.021395365</v>
      </c>
      <c r="E1091" s="260">
        <f t="shared" si="37"/>
        <v>541.2837219</v>
      </c>
      <c r="F1091" s="132">
        <f t="shared" si="38"/>
        <v>0.3758914735</v>
      </c>
      <c r="G1091" s="285" t="s">
        <v>1483</v>
      </c>
      <c r="H1091" s="131"/>
      <c r="I1091" s="131"/>
      <c r="J1091" s="131"/>
      <c r="K1091" s="131"/>
      <c r="L1091" s="131"/>
      <c r="M1091" s="131"/>
      <c r="N1091" s="131"/>
      <c r="O1091" s="131"/>
      <c r="P1091" s="131"/>
      <c r="Q1091" s="131"/>
      <c r="R1091" s="131"/>
      <c r="S1091" s="131"/>
      <c r="T1091" s="131"/>
      <c r="U1091" s="131"/>
      <c r="V1091" s="131"/>
      <c r="W1091" s="131"/>
      <c r="X1091" s="131"/>
      <c r="Y1091" s="131"/>
      <c r="Z1091" s="131"/>
    </row>
    <row r="1092">
      <c r="A1092" s="262" t="s">
        <v>7</v>
      </c>
      <c r="B1092" s="262" t="s">
        <v>26</v>
      </c>
      <c r="C1092" s="262">
        <v>2073.0</v>
      </c>
      <c r="D1092" s="262">
        <v>9.633175955</v>
      </c>
      <c r="E1092" s="260">
        <f t="shared" si="37"/>
        <v>577.9905573</v>
      </c>
      <c r="F1092" s="132">
        <f t="shared" si="38"/>
        <v>0.4013823315</v>
      </c>
      <c r="G1092" s="285" t="s">
        <v>1484</v>
      </c>
      <c r="H1092" s="131"/>
      <c r="I1092" s="131"/>
      <c r="J1092" s="131"/>
      <c r="K1092" s="131"/>
      <c r="L1092" s="131"/>
      <c r="M1092" s="131"/>
      <c r="N1092" s="131"/>
      <c r="O1092" s="131"/>
      <c r="P1092" s="131"/>
      <c r="Q1092" s="131"/>
      <c r="R1092" s="131"/>
      <c r="S1092" s="131"/>
      <c r="T1092" s="131"/>
      <c r="U1092" s="131"/>
      <c r="V1092" s="131"/>
      <c r="W1092" s="131"/>
      <c r="X1092" s="131"/>
      <c r="Y1092" s="131"/>
      <c r="Z1092" s="131"/>
    </row>
    <row r="1093">
      <c r="A1093" s="262" t="s">
        <v>7</v>
      </c>
      <c r="B1093" s="262" t="s">
        <v>24</v>
      </c>
      <c r="C1093" s="262">
        <v>1157.0</v>
      </c>
      <c r="D1093" s="262">
        <v>5.269898247</v>
      </c>
      <c r="E1093" s="260">
        <f t="shared" si="37"/>
        <v>316.1938948</v>
      </c>
      <c r="F1093" s="132">
        <f t="shared" si="38"/>
        <v>0.2195790936</v>
      </c>
      <c r="G1093" s="285" t="s">
        <v>1485</v>
      </c>
      <c r="H1093" s="131"/>
      <c r="I1093" s="131"/>
      <c r="J1093" s="131"/>
      <c r="K1093" s="131"/>
      <c r="L1093" s="131"/>
      <c r="M1093" s="131"/>
      <c r="N1093" s="131"/>
      <c r="O1093" s="131"/>
      <c r="P1093" s="131"/>
      <c r="Q1093" s="131"/>
      <c r="R1093" s="131"/>
      <c r="S1093" s="131"/>
      <c r="T1093" s="131"/>
      <c r="U1093" s="131"/>
      <c r="V1093" s="131"/>
      <c r="W1093" s="131"/>
      <c r="X1093" s="131"/>
      <c r="Y1093" s="131"/>
      <c r="Z1093" s="131"/>
    </row>
    <row r="1094">
      <c r="A1094" s="262" t="s">
        <v>7</v>
      </c>
      <c r="B1094" s="262" t="s">
        <v>422</v>
      </c>
      <c r="C1094" s="262">
        <v>921.0</v>
      </c>
      <c r="D1094" s="262">
        <v>4.396816667</v>
      </c>
      <c r="E1094" s="260">
        <f t="shared" si="37"/>
        <v>263.809</v>
      </c>
      <c r="F1094" s="132">
        <f t="shared" si="38"/>
        <v>0.1832006945</v>
      </c>
      <c r="G1094" s="285" t="s">
        <v>1486</v>
      </c>
      <c r="H1094" s="131"/>
      <c r="I1094" s="131"/>
      <c r="J1094" s="131"/>
      <c r="K1094" s="131"/>
      <c r="L1094" s="131"/>
      <c r="M1094" s="131"/>
      <c r="N1094" s="131"/>
      <c r="O1094" s="131"/>
      <c r="P1094" s="131"/>
      <c r="Q1094" s="131"/>
      <c r="R1094" s="131"/>
      <c r="S1094" s="131"/>
      <c r="T1094" s="131"/>
      <c r="U1094" s="131"/>
      <c r="V1094" s="131"/>
      <c r="W1094" s="131"/>
      <c r="X1094" s="131"/>
      <c r="Y1094" s="131"/>
      <c r="Z1094" s="131"/>
    </row>
    <row r="1095">
      <c r="A1095" s="262" t="s">
        <v>7</v>
      </c>
      <c r="B1095" s="262" t="s">
        <v>27</v>
      </c>
      <c r="C1095" s="262">
        <v>3189.0</v>
      </c>
      <c r="D1095" s="262">
        <v>15.06746394</v>
      </c>
      <c r="E1095" s="260">
        <f t="shared" si="37"/>
        <v>904.0478364</v>
      </c>
      <c r="F1095" s="132">
        <f t="shared" si="38"/>
        <v>0.6278109975</v>
      </c>
      <c r="G1095" s="285" t="s">
        <v>1487</v>
      </c>
      <c r="H1095" s="131"/>
      <c r="I1095" s="131"/>
      <c r="J1095" s="131"/>
      <c r="K1095" s="131"/>
      <c r="L1095" s="131"/>
      <c r="M1095" s="131"/>
      <c r="N1095" s="131"/>
      <c r="O1095" s="131"/>
      <c r="P1095" s="131"/>
      <c r="Q1095" s="131"/>
      <c r="R1095" s="131"/>
      <c r="S1095" s="131"/>
      <c r="T1095" s="131"/>
      <c r="U1095" s="131"/>
      <c r="V1095" s="131"/>
      <c r="W1095" s="131"/>
      <c r="X1095" s="131"/>
      <c r="Y1095" s="131"/>
      <c r="Z1095" s="131"/>
    </row>
    <row r="1096">
      <c r="A1096" s="262" t="s">
        <v>7</v>
      </c>
      <c r="B1096" s="262" t="s">
        <v>19</v>
      </c>
      <c r="C1096" s="262">
        <v>1180.0</v>
      </c>
      <c r="D1096" s="262">
        <v>5.598476615</v>
      </c>
      <c r="E1096" s="260">
        <f t="shared" si="37"/>
        <v>335.9085969</v>
      </c>
      <c r="F1096" s="132">
        <f t="shared" si="38"/>
        <v>0.233269859</v>
      </c>
      <c r="G1096" s="285" t="s">
        <v>1488</v>
      </c>
      <c r="H1096" s="131"/>
      <c r="I1096" s="131"/>
      <c r="J1096" s="131"/>
      <c r="K1096" s="131"/>
      <c r="L1096" s="131"/>
      <c r="M1096" s="131"/>
      <c r="N1096" s="131"/>
      <c r="O1096" s="131"/>
      <c r="P1096" s="131"/>
      <c r="Q1096" s="131"/>
      <c r="R1096" s="131"/>
      <c r="S1096" s="131"/>
      <c r="T1096" s="131"/>
      <c r="U1096" s="131"/>
      <c r="V1096" s="131"/>
      <c r="W1096" s="131"/>
      <c r="X1096" s="131"/>
      <c r="Y1096" s="131"/>
      <c r="Z1096" s="131"/>
    </row>
    <row r="1097">
      <c r="A1097" s="262" t="s">
        <v>7</v>
      </c>
      <c r="B1097" s="262" t="s">
        <v>40</v>
      </c>
      <c r="C1097" s="262">
        <v>2309.0</v>
      </c>
      <c r="D1097" s="262">
        <v>10.56741693</v>
      </c>
      <c r="E1097" s="260">
        <f t="shared" si="37"/>
        <v>634.0450158</v>
      </c>
      <c r="F1097" s="132">
        <f t="shared" si="38"/>
        <v>0.4403090388</v>
      </c>
      <c r="G1097" s="285" t="s">
        <v>1489</v>
      </c>
      <c r="H1097" s="131"/>
      <c r="I1097" s="131"/>
      <c r="J1097" s="131"/>
      <c r="K1097" s="131"/>
      <c r="L1097" s="131"/>
      <c r="M1097" s="131"/>
      <c r="N1097" s="131"/>
      <c r="O1097" s="131"/>
      <c r="P1097" s="131"/>
      <c r="Q1097" s="131"/>
      <c r="R1097" s="131"/>
      <c r="S1097" s="131"/>
      <c r="T1097" s="131"/>
      <c r="U1097" s="131"/>
      <c r="V1097" s="131"/>
      <c r="W1097" s="131"/>
      <c r="X1097" s="131"/>
      <c r="Y1097" s="131"/>
      <c r="Z1097" s="131"/>
    </row>
    <row r="1098">
      <c r="A1098" s="262" t="s">
        <v>7</v>
      </c>
      <c r="B1098" s="262" t="s">
        <v>44</v>
      </c>
      <c r="C1098" s="262">
        <v>2277.0</v>
      </c>
      <c r="D1098" s="262">
        <v>10.62377352</v>
      </c>
      <c r="E1098" s="260">
        <f t="shared" si="37"/>
        <v>637.4264112</v>
      </c>
      <c r="F1098" s="132">
        <f t="shared" si="38"/>
        <v>0.44265723</v>
      </c>
      <c r="G1098" s="285" t="s">
        <v>1490</v>
      </c>
      <c r="H1098" s="131"/>
      <c r="I1098" s="131"/>
      <c r="J1098" s="131"/>
      <c r="K1098" s="131"/>
      <c r="L1098" s="131"/>
      <c r="M1098" s="131"/>
      <c r="N1098" s="131"/>
      <c r="O1098" s="131"/>
      <c r="P1098" s="131"/>
      <c r="Q1098" s="131"/>
      <c r="R1098" s="131"/>
      <c r="S1098" s="131"/>
      <c r="T1098" s="131"/>
      <c r="U1098" s="131"/>
      <c r="V1098" s="131"/>
      <c r="W1098" s="131"/>
      <c r="X1098" s="131"/>
      <c r="Y1098" s="131"/>
      <c r="Z1098" s="131"/>
    </row>
    <row r="1099">
      <c r="A1099" s="262" t="s">
        <v>7</v>
      </c>
      <c r="B1099" s="262" t="s">
        <v>21</v>
      </c>
      <c r="C1099" s="262">
        <v>1867.0</v>
      </c>
      <c r="D1099" s="262">
        <v>9.142891424</v>
      </c>
      <c r="E1099" s="260">
        <f t="shared" si="37"/>
        <v>548.5734854</v>
      </c>
      <c r="F1099" s="132">
        <f t="shared" si="38"/>
        <v>0.3809538093</v>
      </c>
      <c r="G1099" s="285" t="s">
        <v>1491</v>
      </c>
      <c r="H1099" s="131"/>
      <c r="I1099" s="131"/>
      <c r="J1099" s="131"/>
      <c r="K1099" s="131"/>
      <c r="L1099" s="131"/>
      <c r="M1099" s="131"/>
      <c r="N1099" s="131"/>
      <c r="O1099" s="131"/>
      <c r="P1099" s="131"/>
      <c r="Q1099" s="131"/>
      <c r="R1099" s="131"/>
      <c r="S1099" s="131"/>
      <c r="T1099" s="131"/>
      <c r="U1099" s="131"/>
      <c r="V1099" s="131"/>
      <c r="W1099" s="131"/>
      <c r="X1099" s="131"/>
      <c r="Y1099" s="131"/>
      <c r="Z1099" s="131"/>
    </row>
    <row r="1100">
      <c r="A1100" s="262" t="s">
        <v>7</v>
      </c>
      <c r="B1100" s="262" t="s">
        <v>31</v>
      </c>
      <c r="C1100" s="262">
        <v>2055.0</v>
      </c>
      <c r="D1100" s="262">
        <v>9.676915052</v>
      </c>
      <c r="E1100" s="260">
        <f t="shared" si="37"/>
        <v>580.6149031</v>
      </c>
      <c r="F1100" s="132">
        <f t="shared" si="38"/>
        <v>0.4032047938</v>
      </c>
      <c r="G1100" s="285" t="s">
        <v>1492</v>
      </c>
      <c r="H1100" s="131"/>
      <c r="I1100" s="131"/>
      <c r="J1100" s="131"/>
      <c r="K1100" s="131"/>
      <c r="L1100" s="131"/>
      <c r="M1100" s="131"/>
      <c r="N1100" s="131"/>
      <c r="O1100" s="131"/>
      <c r="P1100" s="131"/>
      <c r="Q1100" s="131"/>
      <c r="R1100" s="131"/>
      <c r="S1100" s="131"/>
      <c r="T1100" s="131"/>
      <c r="U1100" s="131"/>
      <c r="V1100" s="131"/>
      <c r="W1100" s="131"/>
      <c r="X1100" s="131"/>
      <c r="Y1100" s="131"/>
      <c r="Z1100" s="131"/>
    </row>
    <row r="1101">
      <c r="A1101" s="262" t="s">
        <v>7</v>
      </c>
      <c r="B1101" s="262" t="s">
        <v>25</v>
      </c>
      <c r="C1101" s="262">
        <v>2423.0</v>
      </c>
      <c r="D1101" s="262">
        <v>11.047518</v>
      </c>
      <c r="E1101" s="260">
        <f t="shared" si="37"/>
        <v>662.85108</v>
      </c>
      <c r="F1101" s="132">
        <f t="shared" si="38"/>
        <v>0.46031325</v>
      </c>
      <c r="G1101" s="285" t="s">
        <v>1493</v>
      </c>
      <c r="H1101" s="131"/>
      <c r="I1101" s="131"/>
      <c r="J1101" s="131"/>
      <c r="K1101" s="131"/>
      <c r="L1101" s="131"/>
      <c r="M1101" s="131"/>
      <c r="N1101" s="131"/>
      <c r="O1101" s="131"/>
      <c r="P1101" s="131"/>
      <c r="Q1101" s="131"/>
      <c r="R1101" s="131"/>
      <c r="S1101" s="131"/>
      <c r="T1101" s="131"/>
      <c r="U1101" s="131"/>
      <c r="V1101" s="131"/>
      <c r="W1101" s="131"/>
      <c r="X1101" s="131"/>
      <c r="Y1101" s="131"/>
      <c r="Z1101" s="131"/>
    </row>
    <row r="1102">
      <c r="A1102" s="262" t="s">
        <v>7</v>
      </c>
      <c r="B1102" s="262" t="s">
        <v>43</v>
      </c>
      <c r="C1102" s="262">
        <v>1813.0</v>
      </c>
      <c r="D1102" s="262">
        <v>8.502476389</v>
      </c>
      <c r="E1102" s="260">
        <f t="shared" si="37"/>
        <v>510.1485833</v>
      </c>
      <c r="F1102" s="132">
        <f t="shared" si="38"/>
        <v>0.3542698495</v>
      </c>
      <c r="G1102" s="285" t="s">
        <v>1494</v>
      </c>
      <c r="H1102" s="131"/>
      <c r="I1102" s="131"/>
      <c r="J1102" s="131"/>
      <c r="K1102" s="131"/>
      <c r="L1102" s="131"/>
      <c r="M1102" s="131"/>
      <c r="N1102" s="131"/>
      <c r="O1102" s="131"/>
      <c r="P1102" s="131"/>
      <c r="Q1102" s="131"/>
      <c r="R1102" s="131"/>
      <c r="S1102" s="131"/>
      <c r="T1102" s="131"/>
      <c r="U1102" s="131"/>
      <c r="V1102" s="131"/>
      <c r="W1102" s="131"/>
      <c r="X1102" s="131"/>
      <c r="Y1102" s="131"/>
      <c r="Z1102" s="131"/>
    </row>
    <row r="1103">
      <c r="A1103" s="262" t="s">
        <v>7</v>
      </c>
      <c r="B1103" s="262" t="s">
        <v>41</v>
      </c>
      <c r="C1103" s="262">
        <v>2686.0</v>
      </c>
      <c r="D1103" s="262">
        <v>12.83143293</v>
      </c>
      <c r="E1103" s="260">
        <f t="shared" si="37"/>
        <v>769.8859758</v>
      </c>
      <c r="F1103" s="132">
        <f t="shared" si="38"/>
        <v>0.5346430388</v>
      </c>
      <c r="G1103" s="285" t="s">
        <v>1495</v>
      </c>
      <c r="H1103" s="131"/>
      <c r="I1103" s="131"/>
      <c r="J1103" s="131"/>
      <c r="K1103" s="131"/>
      <c r="L1103" s="131"/>
      <c r="M1103" s="131"/>
      <c r="N1103" s="131"/>
      <c r="O1103" s="131"/>
      <c r="P1103" s="131"/>
      <c r="Q1103" s="131"/>
      <c r="R1103" s="131"/>
      <c r="S1103" s="131"/>
      <c r="T1103" s="131"/>
      <c r="U1103" s="131"/>
      <c r="V1103" s="131"/>
      <c r="W1103" s="131"/>
      <c r="X1103" s="131"/>
      <c r="Y1103" s="131"/>
      <c r="Z1103" s="131"/>
    </row>
    <row r="1104">
      <c r="A1104" s="262" t="s">
        <v>7</v>
      </c>
      <c r="B1104" s="262" t="s">
        <v>32</v>
      </c>
      <c r="C1104" s="262">
        <v>1721.0</v>
      </c>
      <c r="D1104" s="262">
        <v>8.32866533</v>
      </c>
      <c r="E1104" s="260">
        <f t="shared" si="37"/>
        <v>499.7199198</v>
      </c>
      <c r="F1104" s="132">
        <f t="shared" si="38"/>
        <v>0.3470277221</v>
      </c>
      <c r="G1104" s="285" t="s">
        <v>1496</v>
      </c>
      <c r="H1104" s="131"/>
      <c r="I1104" s="131"/>
      <c r="J1104" s="131"/>
      <c r="K1104" s="131"/>
      <c r="L1104" s="131"/>
      <c r="M1104" s="131"/>
      <c r="N1104" s="131"/>
      <c r="O1104" s="131"/>
      <c r="P1104" s="131"/>
      <c r="Q1104" s="131"/>
      <c r="R1104" s="131"/>
      <c r="S1104" s="131"/>
      <c r="T1104" s="131"/>
      <c r="U1104" s="131"/>
      <c r="V1104" s="131"/>
      <c r="W1104" s="131"/>
      <c r="X1104" s="131"/>
      <c r="Y1104" s="131"/>
      <c r="Z1104" s="131"/>
    </row>
    <row r="1105">
      <c r="A1105" s="262" t="s">
        <v>7</v>
      </c>
      <c r="B1105" s="262" t="s">
        <v>22</v>
      </c>
      <c r="C1105" s="262">
        <v>1427.0</v>
      </c>
      <c r="D1105" s="262">
        <v>6.444726476</v>
      </c>
      <c r="E1105" s="260">
        <f t="shared" si="37"/>
        <v>386.6835886</v>
      </c>
      <c r="F1105" s="132">
        <f t="shared" si="38"/>
        <v>0.2685302698</v>
      </c>
      <c r="G1105" s="285" t="s">
        <v>1497</v>
      </c>
      <c r="H1105" s="131"/>
      <c r="I1105" s="131"/>
      <c r="J1105" s="131"/>
      <c r="K1105" s="131"/>
      <c r="L1105" s="131"/>
      <c r="M1105" s="131"/>
      <c r="N1105" s="131"/>
      <c r="O1105" s="131"/>
      <c r="P1105" s="131"/>
      <c r="Q1105" s="131"/>
      <c r="R1105" s="131"/>
      <c r="S1105" s="131"/>
      <c r="T1105" s="131"/>
      <c r="U1105" s="131"/>
      <c r="V1105" s="131"/>
      <c r="W1105" s="131"/>
      <c r="X1105" s="131"/>
      <c r="Y1105" s="131"/>
      <c r="Z1105" s="131"/>
    </row>
    <row r="1106">
      <c r="A1106" s="262" t="s">
        <v>7</v>
      </c>
      <c r="B1106" s="262" t="s">
        <v>8</v>
      </c>
      <c r="C1106" s="262">
        <v>1345.0</v>
      </c>
      <c r="D1106" s="262">
        <v>6.269472153</v>
      </c>
      <c r="E1106" s="260">
        <f t="shared" si="37"/>
        <v>376.1683292</v>
      </c>
      <c r="F1106" s="132">
        <f t="shared" si="38"/>
        <v>0.2612280064</v>
      </c>
      <c r="G1106" s="285" t="s">
        <v>1498</v>
      </c>
      <c r="H1106" s="131"/>
      <c r="I1106" s="131"/>
      <c r="J1106" s="131"/>
      <c r="K1106" s="131"/>
      <c r="L1106" s="131"/>
      <c r="M1106" s="131"/>
      <c r="N1106" s="131"/>
      <c r="O1106" s="131"/>
      <c r="P1106" s="131"/>
      <c r="Q1106" s="131"/>
      <c r="R1106" s="131"/>
      <c r="S1106" s="131"/>
      <c r="T1106" s="131"/>
      <c r="U1106" s="131"/>
      <c r="V1106" s="131"/>
      <c r="W1106" s="131"/>
      <c r="X1106" s="131"/>
      <c r="Y1106" s="131"/>
      <c r="Z1106" s="131"/>
    </row>
    <row r="1107">
      <c r="A1107" s="262" t="s">
        <v>7</v>
      </c>
      <c r="B1107" s="262" t="s">
        <v>20</v>
      </c>
      <c r="C1107" s="262">
        <v>1878.0</v>
      </c>
      <c r="D1107" s="262">
        <v>8.696856007</v>
      </c>
      <c r="E1107" s="260">
        <f t="shared" si="37"/>
        <v>521.8113604</v>
      </c>
      <c r="F1107" s="132">
        <f t="shared" si="38"/>
        <v>0.3623690003</v>
      </c>
      <c r="G1107" s="285" t="s">
        <v>1499</v>
      </c>
      <c r="H1107" s="131"/>
      <c r="I1107" s="131"/>
      <c r="J1107" s="131"/>
      <c r="K1107" s="131"/>
      <c r="L1107" s="131"/>
      <c r="M1107" s="131"/>
      <c r="N1107" s="131"/>
      <c r="O1107" s="131"/>
      <c r="P1107" s="131"/>
      <c r="Q1107" s="131"/>
      <c r="R1107" s="131"/>
      <c r="S1107" s="131"/>
      <c r="T1107" s="131"/>
      <c r="U1107" s="131"/>
      <c r="V1107" s="131"/>
      <c r="W1107" s="131"/>
      <c r="X1107" s="131"/>
      <c r="Y1107" s="131"/>
      <c r="Z1107" s="131"/>
    </row>
    <row r="1108">
      <c r="A1108" s="262" t="s">
        <v>7</v>
      </c>
      <c r="B1108" s="262" t="s">
        <v>33</v>
      </c>
      <c r="C1108" s="262">
        <v>693.0</v>
      </c>
      <c r="D1108" s="262">
        <v>3.363280764</v>
      </c>
      <c r="E1108" s="260">
        <f t="shared" si="37"/>
        <v>201.7968458</v>
      </c>
      <c r="F1108" s="132">
        <f t="shared" si="38"/>
        <v>0.1401366985</v>
      </c>
      <c r="G1108" s="285" t="s">
        <v>1500</v>
      </c>
      <c r="H1108" s="131"/>
      <c r="I1108" s="131"/>
      <c r="J1108" s="131"/>
      <c r="K1108" s="131"/>
      <c r="L1108" s="131"/>
      <c r="M1108" s="131"/>
      <c r="N1108" s="131"/>
      <c r="O1108" s="131"/>
      <c r="P1108" s="131"/>
      <c r="Q1108" s="131"/>
      <c r="R1108" s="131"/>
      <c r="S1108" s="131"/>
      <c r="T1108" s="131"/>
      <c r="U1108" s="131"/>
      <c r="V1108" s="131"/>
      <c r="W1108" s="131"/>
      <c r="X1108" s="131"/>
      <c r="Y1108" s="131"/>
      <c r="Z1108" s="131"/>
    </row>
    <row r="1109">
      <c r="A1109" s="262" t="s">
        <v>7</v>
      </c>
      <c r="B1109" s="262" t="s">
        <v>30</v>
      </c>
      <c r="C1109" s="262">
        <v>980.0</v>
      </c>
      <c r="D1109" s="262">
        <v>4.60851474</v>
      </c>
      <c r="E1109" s="260">
        <f t="shared" si="37"/>
        <v>276.5108844</v>
      </c>
      <c r="F1109" s="132">
        <f t="shared" si="38"/>
        <v>0.1920214475</v>
      </c>
      <c r="G1109" s="285" t="s">
        <v>1501</v>
      </c>
      <c r="H1109" s="131"/>
      <c r="I1109" s="131"/>
      <c r="J1109" s="131"/>
      <c r="K1109" s="131"/>
      <c r="L1109" s="131"/>
      <c r="M1109" s="131"/>
      <c r="N1109" s="131"/>
      <c r="O1109" s="131"/>
      <c r="P1109" s="131"/>
      <c r="Q1109" s="131"/>
      <c r="R1109" s="131"/>
      <c r="S1109" s="131"/>
      <c r="T1109" s="131"/>
      <c r="U1109" s="131"/>
      <c r="V1109" s="131"/>
      <c r="W1109" s="131"/>
      <c r="X1109" s="131"/>
      <c r="Y1109" s="131"/>
      <c r="Z1109" s="131"/>
    </row>
    <row r="1110">
      <c r="A1110" s="262" t="s">
        <v>54</v>
      </c>
      <c r="B1110" s="262" t="s">
        <v>55</v>
      </c>
      <c r="C1110" s="262">
        <v>698.0</v>
      </c>
      <c r="D1110" s="262">
        <v>2.922211476</v>
      </c>
      <c r="E1110" s="260">
        <f t="shared" si="37"/>
        <v>175.3326886</v>
      </c>
      <c r="F1110" s="132">
        <f t="shared" si="38"/>
        <v>0.1217588115</v>
      </c>
      <c r="G1110" s="285" t="s">
        <v>1502</v>
      </c>
      <c r="H1110" s="131"/>
      <c r="I1110" s="131"/>
      <c r="J1110" s="131"/>
      <c r="K1110" s="131"/>
      <c r="L1110" s="131"/>
      <c r="M1110" s="131"/>
      <c r="N1110" s="131"/>
      <c r="O1110" s="131"/>
      <c r="P1110" s="131"/>
      <c r="Q1110" s="131"/>
      <c r="R1110" s="131"/>
      <c r="S1110" s="131"/>
      <c r="T1110" s="131"/>
      <c r="U1110" s="131"/>
      <c r="V1110" s="131"/>
      <c r="W1110" s="131"/>
      <c r="X1110" s="131"/>
      <c r="Y1110" s="131"/>
      <c r="Z1110" s="131"/>
    </row>
    <row r="1111">
      <c r="A1111" s="262" t="s">
        <v>54</v>
      </c>
      <c r="B1111" s="262" t="s">
        <v>56</v>
      </c>
      <c r="C1111" s="262">
        <v>840.0</v>
      </c>
      <c r="D1111" s="262">
        <v>3.606892257</v>
      </c>
      <c r="E1111" s="260">
        <f t="shared" si="37"/>
        <v>216.4135354</v>
      </c>
      <c r="F1111" s="132">
        <f t="shared" si="38"/>
        <v>0.1502871774</v>
      </c>
      <c r="G1111" s="285" t="s">
        <v>1503</v>
      </c>
      <c r="H1111" s="131"/>
      <c r="I1111" s="131"/>
      <c r="J1111" s="131"/>
      <c r="K1111" s="131"/>
      <c r="L1111" s="131"/>
      <c r="M1111" s="131"/>
      <c r="N1111" s="131"/>
      <c r="O1111" s="131"/>
      <c r="P1111" s="131"/>
      <c r="Q1111" s="131"/>
      <c r="R1111" s="131"/>
      <c r="S1111" s="131"/>
      <c r="T1111" s="131"/>
      <c r="U1111" s="131"/>
      <c r="V1111" s="131"/>
      <c r="W1111" s="131"/>
      <c r="X1111" s="131"/>
      <c r="Y1111" s="131"/>
      <c r="Z1111" s="131"/>
    </row>
    <row r="1112">
      <c r="A1112" s="262" t="s">
        <v>54</v>
      </c>
      <c r="B1112" s="262" t="s">
        <v>58</v>
      </c>
      <c r="C1112" s="262">
        <v>898.0</v>
      </c>
      <c r="D1112" s="262">
        <v>4.334985365</v>
      </c>
      <c r="E1112" s="260">
        <f t="shared" si="37"/>
        <v>260.0991219</v>
      </c>
      <c r="F1112" s="132">
        <f t="shared" si="38"/>
        <v>0.1806243902</v>
      </c>
      <c r="G1112" s="285" t="s">
        <v>1504</v>
      </c>
      <c r="H1112" s="131"/>
      <c r="I1112" s="131"/>
      <c r="J1112" s="131"/>
      <c r="K1112" s="131"/>
      <c r="L1112" s="131"/>
      <c r="M1112" s="131"/>
      <c r="N1112" s="131"/>
      <c r="O1112" s="131"/>
      <c r="P1112" s="131"/>
      <c r="Q1112" s="131"/>
      <c r="R1112" s="131"/>
      <c r="S1112" s="131"/>
      <c r="T1112" s="131"/>
      <c r="U1112" s="131"/>
      <c r="V1112" s="131"/>
      <c r="W1112" s="131"/>
      <c r="X1112" s="131"/>
      <c r="Y1112" s="131"/>
      <c r="Z1112" s="131"/>
    </row>
    <row r="1113">
      <c r="A1113" s="262" t="s">
        <v>54</v>
      </c>
      <c r="B1113" s="262" t="s">
        <v>59</v>
      </c>
      <c r="C1113" s="262">
        <v>709.0</v>
      </c>
      <c r="D1113" s="262">
        <v>3.219042934</v>
      </c>
      <c r="E1113" s="260">
        <f t="shared" si="37"/>
        <v>193.142576</v>
      </c>
      <c r="F1113" s="132">
        <f t="shared" si="38"/>
        <v>0.1341267889</v>
      </c>
      <c r="G1113" s="285" t="s">
        <v>1505</v>
      </c>
      <c r="H1113" s="131"/>
      <c r="I1113" s="131"/>
      <c r="J1113" s="131"/>
      <c r="K1113" s="131"/>
      <c r="L1113" s="131"/>
      <c r="M1113" s="131"/>
      <c r="N1113" s="131"/>
      <c r="O1113" s="131"/>
      <c r="P1113" s="131"/>
      <c r="Q1113" s="131"/>
      <c r="R1113" s="131"/>
      <c r="S1113" s="131"/>
      <c r="T1113" s="131"/>
      <c r="U1113" s="131"/>
      <c r="V1113" s="131"/>
      <c r="W1113" s="131"/>
      <c r="X1113" s="131"/>
      <c r="Y1113" s="131"/>
      <c r="Z1113" s="131"/>
    </row>
    <row r="1114">
      <c r="A1114" s="262" t="s">
        <v>54</v>
      </c>
      <c r="B1114" s="262" t="s">
        <v>60</v>
      </c>
      <c r="C1114" s="262">
        <v>1187.0</v>
      </c>
      <c r="D1114" s="262">
        <v>5.700269149</v>
      </c>
      <c r="E1114" s="260">
        <f t="shared" si="37"/>
        <v>342.0161489</v>
      </c>
      <c r="F1114" s="132">
        <f t="shared" si="38"/>
        <v>0.2375112145</v>
      </c>
      <c r="G1114" s="285" t="s">
        <v>1506</v>
      </c>
      <c r="H1114" s="131"/>
      <c r="I1114" s="131"/>
      <c r="J1114" s="131"/>
      <c r="K1114" s="131"/>
      <c r="L1114" s="131"/>
      <c r="M1114" s="131"/>
      <c r="N1114" s="131"/>
      <c r="O1114" s="131"/>
      <c r="P1114" s="131"/>
      <c r="Q1114" s="131"/>
      <c r="R1114" s="131"/>
      <c r="S1114" s="131"/>
      <c r="T1114" s="131"/>
      <c r="U1114" s="131"/>
      <c r="V1114" s="131"/>
      <c r="W1114" s="131"/>
      <c r="X1114" s="131"/>
      <c r="Y1114" s="131"/>
      <c r="Z1114" s="131"/>
    </row>
    <row r="1115">
      <c r="A1115" s="262" t="s">
        <v>54</v>
      </c>
      <c r="B1115" s="262" t="s">
        <v>62</v>
      </c>
      <c r="C1115" s="262">
        <v>564.0</v>
      </c>
      <c r="D1115" s="262">
        <v>2.80309566</v>
      </c>
      <c r="E1115" s="260">
        <f t="shared" si="37"/>
        <v>168.1857396</v>
      </c>
      <c r="F1115" s="132">
        <f t="shared" si="38"/>
        <v>0.1167956525</v>
      </c>
      <c r="G1115" s="285" t="s">
        <v>1507</v>
      </c>
      <c r="H1115" s="131"/>
      <c r="I1115" s="131"/>
      <c r="J1115" s="131"/>
      <c r="K1115" s="131"/>
      <c r="L1115" s="131"/>
      <c r="M1115" s="131"/>
      <c r="N1115" s="131"/>
      <c r="O1115" s="131"/>
      <c r="P1115" s="131"/>
      <c r="Q1115" s="131"/>
      <c r="R1115" s="131"/>
      <c r="S1115" s="131"/>
      <c r="T1115" s="131"/>
      <c r="U1115" s="131"/>
      <c r="V1115" s="131"/>
      <c r="W1115" s="131"/>
      <c r="X1115" s="131"/>
      <c r="Y1115" s="131"/>
      <c r="Z1115" s="131"/>
    </row>
    <row r="1116">
      <c r="A1116" s="262" t="s">
        <v>54</v>
      </c>
      <c r="B1116" s="262" t="s">
        <v>63</v>
      </c>
      <c r="C1116" s="262">
        <v>1239.0</v>
      </c>
      <c r="D1116" s="262">
        <v>5.822965816</v>
      </c>
      <c r="E1116" s="260">
        <f t="shared" si="37"/>
        <v>349.377949</v>
      </c>
      <c r="F1116" s="132">
        <f t="shared" si="38"/>
        <v>0.2426235757</v>
      </c>
      <c r="G1116" s="285" t="s">
        <v>1508</v>
      </c>
      <c r="H1116" s="131"/>
      <c r="I1116" s="131"/>
      <c r="J1116" s="131"/>
      <c r="K1116" s="131"/>
      <c r="L1116" s="131"/>
      <c r="M1116" s="131"/>
      <c r="N1116" s="131"/>
      <c r="O1116" s="131"/>
      <c r="P1116" s="131"/>
      <c r="Q1116" s="131"/>
      <c r="R1116" s="131"/>
      <c r="S1116" s="131"/>
      <c r="T1116" s="131"/>
      <c r="U1116" s="131"/>
      <c r="V1116" s="131"/>
      <c r="W1116" s="131"/>
      <c r="X1116" s="131"/>
      <c r="Y1116" s="131"/>
      <c r="Z1116" s="131"/>
    </row>
    <row r="1117">
      <c r="A1117" s="262" t="s">
        <v>54</v>
      </c>
      <c r="B1117" s="262" t="s">
        <v>64</v>
      </c>
      <c r="C1117" s="262">
        <v>1091.0</v>
      </c>
      <c r="D1117" s="262">
        <v>5.177246736</v>
      </c>
      <c r="E1117" s="260">
        <f t="shared" si="37"/>
        <v>310.6348042</v>
      </c>
      <c r="F1117" s="132">
        <f t="shared" si="38"/>
        <v>0.215718614</v>
      </c>
      <c r="G1117" s="285" t="s">
        <v>1509</v>
      </c>
      <c r="H1117" s="131"/>
      <c r="I1117" s="131"/>
      <c r="J1117" s="131"/>
      <c r="K1117" s="131"/>
      <c r="L1117" s="131"/>
      <c r="M1117" s="131"/>
      <c r="N1117" s="131"/>
      <c r="O1117" s="131"/>
      <c r="P1117" s="131"/>
      <c r="Q1117" s="131"/>
      <c r="R1117" s="131"/>
      <c r="S1117" s="131"/>
      <c r="T1117" s="131"/>
      <c r="U1117" s="131"/>
      <c r="V1117" s="131"/>
      <c r="W1117" s="131"/>
      <c r="X1117" s="131"/>
      <c r="Y1117" s="131"/>
      <c r="Z1117" s="131"/>
    </row>
    <row r="1118">
      <c r="A1118" s="262" t="s">
        <v>54</v>
      </c>
      <c r="B1118" s="262" t="s">
        <v>65</v>
      </c>
      <c r="C1118" s="262">
        <v>690.0</v>
      </c>
      <c r="D1118" s="262">
        <v>2.995796285</v>
      </c>
      <c r="E1118" s="260">
        <f t="shared" si="37"/>
        <v>179.7477771</v>
      </c>
      <c r="F1118" s="132">
        <f t="shared" si="38"/>
        <v>0.1248248452</v>
      </c>
      <c r="G1118" s="285" t="s">
        <v>1510</v>
      </c>
      <c r="H1118" s="131"/>
      <c r="I1118" s="131"/>
      <c r="J1118" s="131"/>
      <c r="K1118" s="131"/>
      <c r="L1118" s="131"/>
      <c r="M1118" s="131"/>
      <c r="N1118" s="131"/>
      <c r="O1118" s="131"/>
      <c r="P1118" s="131"/>
      <c r="Q1118" s="131"/>
      <c r="R1118" s="131"/>
      <c r="S1118" s="131"/>
      <c r="T1118" s="131"/>
      <c r="U1118" s="131"/>
      <c r="V1118" s="131"/>
      <c r="W1118" s="131"/>
      <c r="X1118" s="131"/>
      <c r="Y1118" s="131"/>
      <c r="Z1118" s="131"/>
    </row>
    <row r="1119">
      <c r="A1119" s="262" t="s">
        <v>54</v>
      </c>
      <c r="B1119" s="262" t="s">
        <v>66</v>
      </c>
      <c r="C1119" s="262">
        <v>1000.0</v>
      </c>
      <c r="D1119" s="262">
        <v>4.577950538</v>
      </c>
      <c r="E1119" s="260">
        <f t="shared" si="37"/>
        <v>274.6770323</v>
      </c>
      <c r="F1119" s="132">
        <f t="shared" si="38"/>
        <v>0.1907479391</v>
      </c>
      <c r="G1119" s="285" t="s">
        <v>1511</v>
      </c>
      <c r="H1119" s="131"/>
      <c r="I1119" s="131"/>
      <c r="J1119" s="131"/>
      <c r="K1119" s="131"/>
      <c r="L1119" s="131"/>
      <c r="M1119" s="131"/>
      <c r="N1119" s="131"/>
      <c r="O1119" s="131"/>
      <c r="P1119" s="131"/>
      <c r="Q1119" s="131"/>
      <c r="R1119" s="131"/>
      <c r="S1119" s="131"/>
      <c r="T1119" s="131"/>
      <c r="U1119" s="131"/>
      <c r="V1119" s="131"/>
      <c r="W1119" s="131"/>
      <c r="X1119" s="131"/>
      <c r="Y1119" s="131"/>
      <c r="Z1119" s="131"/>
    </row>
    <row r="1120">
      <c r="A1120" s="262" t="s">
        <v>45</v>
      </c>
      <c r="B1120" s="262" t="s">
        <v>464</v>
      </c>
      <c r="C1120" s="262">
        <v>2623.0</v>
      </c>
      <c r="D1120" s="262">
        <v>12.20103788</v>
      </c>
      <c r="E1120" s="260">
        <f t="shared" si="37"/>
        <v>732.0622728</v>
      </c>
      <c r="F1120" s="132">
        <f t="shared" si="38"/>
        <v>0.5083765783</v>
      </c>
      <c r="G1120" s="285" t="s">
        <v>1512</v>
      </c>
      <c r="H1120" s="131"/>
      <c r="I1120" s="131"/>
      <c r="J1120" s="131"/>
      <c r="K1120" s="131"/>
      <c r="L1120" s="131"/>
      <c r="M1120" s="131"/>
      <c r="N1120" s="131"/>
      <c r="O1120" s="131"/>
      <c r="P1120" s="131"/>
      <c r="Q1120" s="131"/>
      <c r="R1120" s="131"/>
      <c r="S1120" s="131"/>
      <c r="T1120" s="131"/>
      <c r="U1120" s="131"/>
      <c r="V1120" s="131"/>
      <c r="W1120" s="131"/>
      <c r="X1120" s="131"/>
      <c r="Y1120" s="131"/>
      <c r="Z1120" s="131"/>
    </row>
    <row r="1121">
      <c r="A1121" s="262" t="s">
        <v>69</v>
      </c>
      <c r="B1121" s="262" t="s">
        <v>70</v>
      </c>
      <c r="C1121" s="262">
        <v>1225.0</v>
      </c>
      <c r="D1121" s="262">
        <v>5.787614392</v>
      </c>
      <c r="E1121" s="260">
        <f t="shared" si="37"/>
        <v>347.2568635</v>
      </c>
      <c r="F1121" s="132">
        <f t="shared" si="38"/>
        <v>0.2411505997</v>
      </c>
      <c r="G1121" s="285" t="s">
        <v>1513</v>
      </c>
      <c r="H1121" s="131"/>
      <c r="I1121" s="131"/>
      <c r="J1121" s="131"/>
      <c r="K1121" s="131"/>
      <c r="L1121" s="131"/>
      <c r="M1121" s="131"/>
      <c r="N1121" s="131"/>
      <c r="O1121" s="131"/>
      <c r="P1121" s="131"/>
      <c r="Q1121" s="131"/>
      <c r="R1121" s="131"/>
      <c r="S1121" s="131"/>
      <c r="T1121" s="131"/>
      <c r="U1121" s="131"/>
      <c r="V1121" s="131"/>
      <c r="W1121" s="131"/>
      <c r="X1121" s="131"/>
      <c r="Y1121" s="131"/>
      <c r="Z1121" s="131"/>
    </row>
    <row r="1122">
      <c r="A1122" s="262" t="s">
        <v>69</v>
      </c>
      <c r="B1122" s="262" t="s">
        <v>71</v>
      </c>
      <c r="C1122" s="262">
        <v>938.0</v>
      </c>
      <c r="D1122" s="262">
        <v>4.348952708</v>
      </c>
      <c r="E1122" s="260">
        <f t="shared" si="37"/>
        <v>260.9371625</v>
      </c>
      <c r="F1122" s="132">
        <f t="shared" si="38"/>
        <v>0.1812063628</v>
      </c>
      <c r="G1122" s="285" t="s">
        <v>1514</v>
      </c>
      <c r="H1122" s="131"/>
      <c r="I1122" s="131"/>
      <c r="J1122" s="131"/>
      <c r="K1122" s="131"/>
      <c r="L1122" s="131"/>
      <c r="M1122" s="131"/>
      <c r="N1122" s="131"/>
      <c r="O1122" s="131"/>
      <c r="P1122" s="131"/>
      <c r="Q1122" s="131"/>
      <c r="R1122" s="131"/>
      <c r="S1122" s="131"/>
      <c r="T1122" s="131"/>
      <c r="U1122" s="131"/>
      <c r="V1122" s="131"/>
      <c r="W1122" s="131"/>
      <c r="X1122" s="131"/>
      <c r="Y1122" s="131"/>
      <c r="Z1122" s="131"/>
    </row>
    <row r="1123">
      <c r="A1123" s="262" t="s">
        <v>35</v>
      </c>
      <c r="B1123" s="262" t="s">
        <v>72</v>
      </c>
      <c r="C1123" s="262">
        <v>3464.0</v>
      </c>
      <c r="D1123" s="262">
        <v>16.32569821</v>
      </c>
      <c r="E1123" s="260">
        <f t="shared" si="37"/>
        <v>979.5418926</v>
      </c>
      <c r="F1123" s="132">
        <f t="shared" si="38"/>
        <v>0.6802374254</v>
      </c>
      <c r="G1123" s="285" t="s">
        <v>1515</v>
      </c>
      <c r="H1123" s="131"/>
      <c r="I1123" s="131"/>
      <c r="J1123" s="131"/>
      <c r="K1123" s="131"/>
      <c r="L1123" s="131"/>
      <c r="M1123" s="131"/>
      <c r="N1123" s="131"/>
      <c r="O1123" s="131"/>
      <c r="P1123" s="131"/>
      <c r="Q1123" s="131"/>
      <c r="R1123" s="131"/>
      <c r="S1123" s="131"/>
      <c r="T1123" s="131"/>
      <c r="U1123" s="131"/>
      <c r="V1123" s="131"/>
      <c r="W1123" s="131"/>
      <c r="X1123" s="131"/>
      <c r="Y1123" s="131"/>
      <c r="Z1123" s="131"/>
    </row>
    <row r="1124">
      <c r="A1124" s="262" t="s">
        <v>35</v>
      </c>
      <c r="B1124" s="262" t="s">
        <v>73</v>
      </c>
      <c r="C1124" s="262">
        <v>5559.0</v>
      </c>
      <c r="D1124" s="262">
        <v>26.86362705</v>
      </c>
      <c r="E1124" s="260">
        <f t="shared" si="37"/>
        <v>1611.817623</v>
      </c>
      <c r="F1124" s="132">
        <f t="shared" si="38"/>
        <v>1.119317794</v>
      </c>
      <c r="G1124" s="285" t="s">
        <v>1516</v>
      </c>
      <c r="H1124" s="131"/>
      <c r="I1124" s="131"/>
      <c r="J1124" s="131"/>
      <c r="K1124" s="131"/>
      <c r="L1124" s="131"/>
      <c r="M1124" s="131"/>
      <c r="N1124" s="131"/>
      <c r="O1124" s="131"/>
      <c r="P1124" s="131"/>
      <c r="Q1124" s="131"/>
      <c r="R1124" s="131"/>
      <c r="S1124" s="131"/>
      <c r="T1124" s="131"/>
      <c r="U1124" s="131"/>
      <c r="V1124" s="131"/>
      <c r="W1124" s="131"/>
      <c r="X1124" s="131"/>
      <c r="Y1124" s="131"/>
      <c r="Z1124" s="131"/>
    </row>
    <row r="1125">
      <c r="A1125" s="262" t="s">
        <v>35</v>
      </c>
      <c r="B1125" s="262" t="s">
        <v>74</v>
      </c>
      <c r="C1125" s="262">
        <v>3548.0</v>
      </c>
      <c r="D1125" s="262">
        <v>17.69477281</v>
      </c>
      <c r="E1125" s="260">
        <f t="shared" si="37"/>
        <v>1061.686369</v>
      </c>
      <c r="F1125" s="132">
        <f t="shared" si="38"/>
        <v>0.7372822004</v>
      </c>
      <c r="G1125" s="285" t="s">
        <v>1517</v>
      </c>
      <c r="H1125" s="131"/>
      <c r="I1125" s="131"/>
      <c r="J1125" s="131"/>
      <c r="K1125" s="131"/>
      <c r="L1125" s="131"/>
      <c r="M1125" s="131"/>
      <c r="N1125" s="131"/>
      <c r="O1125" s="131"/>
      <c r="P1125" s="131"/>
      <c r="Q1125" s="131"/>
      <c r="R1125" s="131"/>
      <c r="S1125" s="131"/>
      <c r="T1125" s="131"/>
      <c r="U1125" s="131"/>
      <c r="V1125" s="131"/>
      <c r="W1125" s="131"/>
      <c r="X1125" s="131"/>
      <c r="Y1125" s="131"/>
      <c r="Z1125" s="131"/>
    </row>
    <row r="1126">
      <c r="A1126" s="262" t="s">
        <v>35</v>
      </c>
      <c r="B1126" s="262" t="s">
        <v>75</v>
      </c>
      <c r="C1126" s="262">
        <v>4067.0</v>
      </c>
      <c r="D1126" s="262">
        <v>19.33034903</v>
      </c>
      <c r="E1126" s="260">
        <f t="shared" si="37"/>
        <v>1159.820942</v>
      </c>
      <c r="F1126" s="132">
        <f t="shared" si="38"/>
        <v>0.8054312096</v>
      </c>
      <c r="G1126" s="285" t="s">
        <v>1518</v>
      </c>
      <c r="H1126" s="131"/>
      <c r="I1126" s="131"/>
      <c r="J1126" s="131"/>
      <c r="K1126" s="131"/>
      <c r="L1126" s="131"/>
      <c r="M1126" s="131"/>
      <c r="N1126" s="131"/>
      <c r="O1126" s="131"/>
      <c r="P1126" s="131"/>
      <c r="Q1126" s="131"/>
      <c r="R1126" s="131"/>
      <c r="S1126" s="131"/>
      <c r="T1126" s="131"/>
      <c r="U1126" s="131"/>
      <c r="V1126" s="131"/>
      <c r="W1126" s="131"/>
      <c r="X1126" s="131"/>
      <c r="Y1126" s="131"/>
      <c r="Z1126" s="131"/>
    </row>
    <row r="1127">
      <c r="A1127" s="262" t="s">
        <v>35</v>
      </c>
      <c r="B1127" s="262" t="s">
        <v>425</v>
      </c>
      <c r="C1127" s="262">
        <v>3866.0</v>
      </c>
      <c r="D1127" s="262">
        <v>17.69044578</v>
      </c>
      <c r="E1127" s="260">
        <f t="shared" si="37"/>
        <v>1061.426747</v>
      </c>
      <c r="F1127" s="132">
        <f t="shared" si="38"/>
        <v>0.7371019075</v>
      </c>
      <c r="G1127" s="285" t="s">
        <v>1519</v>
      </c>
      <c r="H1127" s="131"/>
      <c r="I1127" s="131"/>
      <c r="J1127" s="131"/>
      <c r="K1127" s="131"/>
      <c r="L1127" s="131"/>
      <c r="M1127" s="131"/>
      <c r="N1127" s="131"/>
      <c r="O1127" s="131"/>
      <c r="P1127" s="131"/>
      <c r="Q1127" s="131"/>
      <c r="R1127" s="131"/>
      <c r="S1127" s="131"/>
      <c r="T1127" s="131"/>
      <c r="U1127" s="131"/>
      <c r="V1127" s="131"/>
      <c r="W1127" s="131"/>
      <c r="X1127" s="131"/>
      <c r="Y1127" s="131"/>
      <c r="Z1127" s="131"/>
    </row>
    <row r="1128">
      <c r="A1128" s="262" t="s">
        <v>35</v>
      </c>
      <c r="B1128" s="262" t="s">
        <v>42</v>
      </c>
      <c r="C1128" s="262">
        <v>3645.0</v>
      </c>
      <c r="D1128" s="262">
        <v>17.27692497</v>
      </c>
      <c r="E1128" s="260">
        <f t="shared" si="37"/>
        <v>1036.615498</v>
      </c>
      <c r="F1128" s="132">
        <f t="shared" si="38"/>
        <v>0.7198718738</v>
      </c>
      <c r="G1128" s="285" t="s">
        <v>1520</v>
      </c>
      <c r="H1128" s="131"/>
      <c r="I1128" s="131"/>
      <c r="J1128" s="131"/>
      <c r="K1128" s="131"/>
      <c r="L1128" s="131"/>
      <c r="M1128" s="131"/>
      <c r="N1128" s="131"/>
      <c r="O1128" s="131"/>
      <c r="P1128" s="131"/>
      <c r="Q1128" s="131"/>
      <c r="R1128" s="131"/>
      <c r="S1128" s="131"/>
      <c r="T1128" s="131"/>
      <c r="U1128" s="131"/>
      <c r="V1128" s="131"/>
      <c r="W1128" s="131"/>
      <c r="X1128" s="131"/>
      <c r="Y1128" s="131"/>
      <c r="Z1128" s="131"/>
    </row>
    <row r="1129">
      <c r="A1129" s="262" t="s">
        <v>35</v>
      </c>
      <c r="B1129" s="262" t="s">
        <v>80</v>
      </c>
      <c r="C1129" s="262">
        <v>3616.0</v>
      </c>
      <c r="D1129" s="262">
        <v>18.08540422</v>
      </c>
      <c r="E1129" s="260">
        <f t="shared" si="37"/>
        <v>1085.124253</v>
      </c>
      <c r="F1129" s="132">
        <f t="shared" si="38"/>
        <v>0.7535585092</v>
      </c>
      <c r="G1129" s="285" t="s">
        <v>1521</v>
      </c>
      <c r="H1129" s="131"/>
      <c r="I1129" s="131"/>
      <c r="J1129" s="131"/>
      <c r="K1129" s="131"/>
      <c r="L1129" s="131"/>
      <c r="M1129" s="131"/>
      <c r="N1129" s="131"/>
      <c r="O1129" s="131"/>
      <c r="P1129" s="131"/>
      <c r="Q1129" s="131"/>
      <c r="R1129" s="131"/>
      <c r="S1129" s="131"/>
      <c r="T1129" s="131"/>
      <c r="U1129" s="131"/>
      <c r="V1129" s="131"/>
      <c r="W1129" s="131"/>
      <c r="X1129" s="131"/>
      <c r="Y1129" s="131"/>
      <c r="Z1129" s="131"/>
    </row>
    <row r="1130">
      <c r="A1130" s="262" t="s">
        <v>35</v>
      </c>
      <c r="B1130" s="262" t="s">
        <v>82</v>
      </c>
      <c r="C1130" s="262">
        <v>5839.0</v>
      </c>
      <c r="D1130" s="262">
        <v>28.10730575</v>
      </c>
      <c r="E1130" s="260">
        <f t="shared" si="37"/>
        <v>1686.438345</v>
      </c>
      <c r="F1130" s="132">
        <f t="shared" si="38"/>
        <v>1.17113774</v>
      </c>
      <c r="G1130" s="285" t="s">
        <v>1522</v>
      </c>
      <c r="H1130" s="131"/>
      <c r="I1130" s="131"/>
      <c r="J1130" s="131"/>
      <c r="K1130" s="131"/>
      <c r="L1130" s="131"/>
      <c r="M1130" s="131"/>
      <c r="N1130" s="131"/>
      <c r="O1130" s="131"/>
      <c r="P1130" s="131"/>
      <c r="Q1130" s="131"/>
      <c r="R1130" s="131"/>
      <c r="S1130" s="131"/>
      <c r="T1130" s="131"/>
      <c r="U1130" s="131"/>
      <c r="V1130" s="131"/>
      <c r="W1130" s="131"/>
      <c r="X1130" s="131"/>
      <c r="Y1130" s="131"/>
      <c r="Z1130" s="131"/>
    </row>
    <row r="1131">
      <c r="A1131" s="262" t="s">
        <v>35</v>
      </c>
      <c r="B1131" s="262" t="s">
        <v>83</v>
      </c>
      <c r="C1131" s="262">
        <v>4752.0</v>
      </c>
      <c r="D1131" s="262">
        <v>22.697913</v>
      </c>
      <c r="E1131" s="260">
        <f t="shared" si="37"/>
        <v>1361.87478</v>
      </c>
      <c r="F1131" s="132">
        <f t="shared" si="38"/>
        <v>0.945746375</v>
      </c>
      <c r="G1131" s="285" t="s">
        <v>1523</v>
      </c>
      <c r="H1131" s="131"/>
      <c r="I1131" s="131"/>
      <c r="J1131" s="131"/>
      <c r="K1131" s="131"/>
      <c r="L1131" s="131"/>
      <c r="M1131" s="131"/>
      <c r="N1131" s="131"/>
      <c r="O1131" s="131"/>
      <c r="P1131" s="131"/>
      <c r="Q1131" s="131"/>
      <c r="R1131" s="131"/>
      <c r="S1131" s="131"/>
      <c r="T1131" s="131"/>
      <c r="U1131" s="131"/>
      <c r="V1131" s="131"/>
      <c r="W1131" s="131"/>
      <c r="X1131" s="131"/>
      <c r="Y1131" s="131"/>
      <c r="Z1131" s="131"/>
    </row>
    <row r="1132">
      <c r="A1132" s="262" t="s">
        <v>35</v>
      </c>
      <c r="B1132" s="262" t="s">
        <v>36</v>
      </c>
      <c r="C1132" s="262">
        <v>2516.0</v>
      </c>
      <c r="D1132" s="262">
        <v>12.10807422</v>
      </c>
      <c r="E1132" s="260">
        <f t="shared" si="37"/>
        <v>726.4844532</v>
      </c>
      <c r="F1132" s="132">
        <f t="shared" si="38"/>
        <v>0.5045030925</v>
      </c>
      <c r="G1132" s="285" t="s">
        <v>1524</v>
      </c>
      <c r="H1132" s="131"/>
      <c r="I1132" s="131"/>
      <c r="J1132" s="131"/>
      <c r="K1132" s="131"/>
      <c r="L1132" s="131"/>
      <c r="M1132" s="131"/>
      <c r="N1132" s="131"/>
      <c r="O1132" s="131"/>
      <c r="P1132" s="131"/>
      <c r="Q1132" s="131"/>
      <c r="R1132" s="131"/>
      <c r="S1132" s="131"/>
      <c r="T1132" s="131"/>
      <c r="U1132" s="131"/>
      <c r="V1132" s="131"/>
      <c r="W1132" s="131"/>
      <c r="X1132" s="131"/>
      <c r="Y1132" s="131"/>
      <c r="Z1132" s="131"/>
    </row>
    <row r="1133">
      <c r="A1133" s="262" t="s">
        <v>17</v>
      </c>
      <c r="B1133" s="262" t="s">
        <v>84</v>
      </c>
      <c r="C1133" s="262">
        <v>1052.0</v>
      </c>
      <c r="D1133" s="262">
        <v>4.686845313</v>
      </c>
      <c r="E1133" s="260">
        <f t="shared" si="37"/>
        <v>281.2107188</v>
      </c>
      <c r="F1133" s="132">
        <f t="shared" si="38"/>
        <v>0.1952852214</v>
      </c>
      <c r="G1133" s="285" t="s">
        <v>1525</v>
      </c>
      <c r="H1133" s="131"/>
      <c r="I1133" s="131"/>
      <c r="J1133" s="131"/>
      <c r="K1133" s="131"/>
      <c r="L1133" s="131"/>
      <c r="M1133" s="131"/>
      <c r="N1133" s="131"/>
      <c r="O1133" s="131"/>
      <c r="P1133" s="131"/>
      <c r="Q1133" s="131"/>
      <c r="R1133" s="131"/>
      <c r="S1133" s="131"/>
      <c r="T1133" s="131"/>
      <c r="U1133" s="131"/>
      <c r="V1133" s="131"/>
      <c r="W1133" s="131"/>
      <c r="X1133" s="131"/>
      <c r="Y1133" s="131"/>
      <c r="Z1133" s="131"/>
    </row>
    <row r="1134">
      <c r="A1134" s="262" t="s">
        <v>17</v>
      </c>
      <c r="B1134" s="262" t="s">
        <v>85</v>
      </c>
      <c r="C1134" s="262">
        <v>1325.0</v>
      </c>
      <c r="D1134" s="262">
        <v>6.026275781</v>
      </c>
      <c r="E1134" s="260">
        <f t="shared" si="37"/>
        <v>361.5765469</v>
      </c>
      <c r="F1134" s="132">
        <f t="shared" si="38"/>
        <v>0.2510948242</v>
      </c>
      <c r="G1134" s="285" t="s">
        <v>1526</v>
      </c>
      <c r="H1134" s="131"/>
      <c r="I1134" s="131"/>
      <c r="J1134" s="131"/>
      <c r="K1134" s="131"/>
      <c r="L1134" s="131"/>
      <c r="M1134" s="131"/>
      <c r="N1134" s="131"/>
      <c r="O1134" s="131"/>
      <c r="P1134" s="131"/>
      <c r="Q1134" s="131"/>
      <c r="R1134" s="131"/>
      <c r="S1134" s="131"/>
      <c r="T1134" s="131"/>
      <c r="U1134" s="131"/>
      <c r="V1134" s="131"/>
      <c r="W1134" s="131"/>
      <c r="X1134" s="131"/>
      <c r="Y1134" s="131"/>
      <c r="Z1134" s="131"/>
    </row>
    <row r="1135">
      <c r="A1135" s="262" t="s">
        <v>17</v>
      </c>
      <c r="B1135" s="262" t="s">
        <v>79</v>
      </c>
      <c r="C1135" s="262">
        <v>1386.0</v>
      </c>
      <c r="D1135" s="262">
        <v>6.296276892</v>
      </c>
      <c r="E1135" s="260">
        <f t="shared" si="37"/>
        <v>377.7766135</v>
      </c>
      <c r="F1135" s="132">
        <f t="shared" si="38"/>
        <v>0.2623448705</v>
      </c>
      <c r="G1135" s="285" t="s">
        <v>1527</v>
      </c>
      <c r="H1135" s="131"/>
      <c r="I1135" s="131"/>
      <c r="J1135" s="131"/>
      <c r="K1135" s="131"/>
      <c r="L1135" s="131"/>
      <c r="M1135" s="131"/>
      <c r="N1135" s="131"/>
      <c r="O1135" s="131"/>
      <c r="P1135" s="131"/>
      <c r="Q1135" s="131"/>
      <c r="R1135" s="131"/>
      <c r="S1135" s="131"/>
      <c r="T1135" s="131"/>
      <c r="U1135" s="131"/>
      <c r="V1135" s="131"/>
      <c r="W1135" s="131"/>
      <c r="X1135" s="131"/>
      <c r="Y1135" s="131"/>
      <c r="Z1135" s="131"/>
    </row>
    <row r="1136">
      <c r="A1136" s="262" t="s">
        <v>17</v>
      </c>
      <c r="B1136" s="262" t="s">
        <v>18</v>
      </c>
      <c r="C1136" s="262">
        <v>1115.0</v>
      </c>
      <c r="D1136" s="262">
        <v>4.708255417</v>
      </c>
      <c r="E1136" s="260">
        <f t="shared" si="37"/>
        <v>282.495325</v>
      </c>
      <c r="F1136" s="132">
        <f t="shared" si="38"/>
        <v>0.196177309</v>
      </c>
      <c r="G1136" s="285" t="s">
        <v>1528</v>
      </c>
      <c r="H1136" s="131"/>
      <c r="I1136" s="131"/>
      <c r="J1136" s="131"/>
      <c r="K1136" s="131"/>
      <c r="L1136" s="131"/>
      <c r="M1136" s="131"/>
      <c r="N1136" s="131"/>
      <c r="O1136" s="131"/>
      <c r="P1136" s="131"/>
      <c r="Q1136" s="131"/>
      <c r="R1136" s="131"/>
      <c r="S1136" s="131"/>
      <c r="T1136" s="131"/>
      <c r="U1136" s="131"/>
      <c r="V1136" s="131"/>
      <c r="W1136" s="131"/>
      <c r="X1136" s="131"/>
      <c r="Y1136" s="131"/>
      <c r="Z1136" s="131"/>
    </row>
    <row r="1137">
      <c r="A1137" s="262" t="s">
        <v>17</v>
      </c>
      <c r="B1137" s="262" t="s">
        <v>23</v>
      </c>
      <c r="C1137" s="262">
        <v>1174.0</v>
      </c>
      <c r="D1137" s="262">
        <v>5.264101701</v>
      </c>
      <c r="E1137" s="260">
        <f t="shared" si="37"/>
        <v>315.8461021</v>
      </c>
      <c r="F1137" s="132">
        <f t="shared" si="38"/>
        <v>0.2193375709</v>
      </c>
      <c r="G1137" s="285" t="s">
        <v>1529</v>
      </c>
      <c r="H1137" s="131"/>
      <c r="I1137" s="131"/>
      <c r="J1137" s="131"/>
      <c r="K1137" s="131"/>
      <c r="L1137" s="131"/>
      <c r="M1137" s="131"/>
      <c r="N1137" s="131"/>
      <c r="O1137" s="131"/>
      <c r="P1137" s="131"/>
      <c r="Q1137" s="131"/>
      <c r="R1137" s="131"/>
      <c r="S1137" s="131"/>
      <c r="T1137" s="131"/>
      <c r="U1137" s="131"/>
      <c r="V1137" s="131"/>
      <c r="W1137" s="131"/>
      <c r="X1137" s="131"/>
      <c r="Y1137" s="131"/>
      <c r="Z1137" s="131"/>
    </row>
    <row r="1138">
      <c r="A1138" s="262" t="s">
        <v>17</v>
      </c>
      <c r="B1138" s="262" t="s">
        <v>86</v>
      </c>
      <c r="C1138" s="262">
        <v>1094.0</v>
      </c>
      <c r="D1138" s="262">
        <v>4.997696181</v>
      </c>
      <c r="E1138" s="260">
        <f t="shared" si="37"/>
        <v>299.8617709</v>
      </c>
      <c r="F1138" s="132">
        <f t="shared" si="38"/>
        <v>0.2082373409</v>
      </c>
      <c r="G1138" s="285" t="s">
        <v>1530</v>
      </c>
      <c r="H1138" s="131"/>
      <c r="I1138" s="131"/>
      <c r="J1138" s="131"/>
      <c r="K1138" s="131"/>
      <c r="L1138" s="131"/>
      <c r="M1138" s="131"/>
      <c r="N1138" s="131"/>
      <c r="O1138" s="131"/>
      <c r="P1138" s="131"/>
      <c r="Q1138" s="131"/>
      <c r="R1138" s="131"/>
      <c r="S1138" s="131"/>
      <c r="T1138" s="131"/>
      <c r="U1138" s="131"/>
      <c r="V1138" s="131"/>
      <c r="W1138" s="131"/>
      <c r="X1138" s="131"/>
      <c r="Y1138" s="131"/>
      <c r="Z1138" s="131"/>
    </row>
    <row r="1139">
      <c r="A1139" s="262" t="s">
        <v>17</v>
      </c>
      <c r="B1139" s="262" t="s">
        <v>87</v>
      </c>
      <c r="C1139" s="262">
        <v>985.0</v>
      </c>
      <c r="D1139" s="262">
        <v>4.401782396</v>
      </c>
      <c r="E1139" s="260">
        <f t="shared" si="37"/>
        <v>264.1069438</v>
      </c>
      <c r="F1139" s="132">
        <f t="shared" si="38"/>
        <v>0.1834075998</v>
      </c>
      <c r="G1139" s="285" t="s">
        <v>1531</v>
      </c>
      <c r="H1139" s="131"/>
      <c r="I1139" s="131"/>
      <c r="J1139" s="131"/>
      <c r="K1139" s="131"/>
      <c r="L1139" s="131"/>
      <c r="M1139" s="131"/>
      <c r="N1139" s="131"/>
      <c r="O1139" s="131"/>
      <c r="P1139" s="131"/>
      <c r="Q1139" s="131"/>
      <c r="R1139" s="131"/>
      <c r="S1139" s="131"/>
      <c r="T1139" s="131"/>
      <c r="U1139" s="131"/>
      <c r="V1139" s="131"/>
      <c r="W1139" s="131"/>
      <c r="X1139" s="131"/>
      <c r="Y1139" s="131"/>
      <c r="Z1139" s="131"/>
    </row>
    <row r="1140">
      <c r="A1140" s="262" t="s">
        <v>88</v>
      </c>
      <c r="B1140" s="262" t="s">
        <v>89</v>
      </c>
      <c r="C1140" s="262">
        <v>3422.0</v>
      </c>
      <c r="D1140" s="262">
        <v>16.50787927</v>
      </c>
      <c r="E1140" s="260">
        <f t="shared" si="37"/>
        <v>990.4727562</v>
      </c>
      <c r="F1140" s="132">
        <f t="shared" si="38"/>
        <v>0.6878283029</v>
      </c>
      <c r="G1140" s="285" t="s">
        <v>1532</v>
      </c>
      <c r="H1140" s="131"/>
      <c r="I1140" s="131"/>
      <c r="J1140" s="131"/>
      <c r="K1140" s="131"/>
      <c r="L1140" s="131"/>
      <c r="M1140" s="131"/>
      <c r="N1140" s="131"/>
      <c r="O1140" s="131"/>
      <c r="P1140" s="131"/>
      <c r="Q1140" s="131"/>
      <c r="R1140" s="131"/>
      <c r="S1140" s="131"/>
      <c r="T1140" s="131"/>
      <c r="U1140" s="131"/>
      <c r="V1140" s="131"/>
      <c r="W1140" s="131"/>
      <c r="X1140" s="131"/>
      <c r="Y1140" s="131"/>
      <c r="Z1140" s="131"/>
    </row>
    <row r="1141">
      <c r="A1141" s="262" t="s">
        <v>88</v>
      </c>
      <c r="B1141" s="262" t="s">
        <v>90</v>
      </c>
      <c r="C1141" s="262">
        <v>4106.0</v>
      </c>
      <c r="D1141" s="262">
        <v>18.86737656</v>
      </c>
      <c r="E1141" s="260">
        <f t="shared" si="37"/>
        <v>1132.042594</v>
      </c>
      <c r="F1141" s="132">
        <f t="shared" si="38"/>
        <v>0.78614069</v>
      </c>
      <c r="G1141" s="285" t="s">
        <v>1533</v>
      </c>
      <c r="H1141" s="131"/>
      <c r="I1141" s="131"/>
      <c r="J1141" s="131"/>
      <c r="K1141" s="131"/>
      <c r="L1141" s="131"/>
      <c r="M1141" s="131"/>
      <c r="N1141" s="131"/>
      <c r="O1141" s="131"/>
      <c r="P1141" s="131"/>
      <c r="Q1141" s="131"/>
      <c r="R1141" s="131"/>
      <c r="S1141" s="131"/>
      <c r="T1141" s="131"/>
      <c r="U1141" s="131"/>
      <c r="V1141" s="131"/>
      <c r="W1141" s="131"/>
      <c r="X1141" s="131"/>
      <c r="Y1141" s="131"/>
      <c r="Z1141" s="131"/>
    </row>
    <row r="1142">
      <c r="A1142" s="262" t="s">
        <v>729</v>
      </c>
      <c r="B1142" s="262" t="s">
        <v>78</v>
      </c>
      <c r="C1142" s="262">
        <v>1428.0</v>
      </c>
      <c r="D1142" s="262">
        <v>6.654318003</v>
      </c>
      <c r="E1142" s="260">
        <f t="shared" si="37"/>
        <v>399.2590802</v>
      </c>
      <c r="F1142" s="132">
        <f t="shared" si="38"/>
        <v>0.2772632501</v>
      </c>
      <c r="G1142" s="285" t="s">
        <v>1534</v>
      </c>
      <c r="H1142" s="131"/>
      <c r="I1142" s="131"/>
      <c r="J1142" s="131"/>
      <c r="K1142" s="131"/>
      <c r="L1142" s="131"/>
      <c r="M1142" s="131"/>
      <c r="N1142" s="131"/>
      <c r="O1142" s="131"/>
      <c r="P1142" s="131"/>
      <c r="Q1142" s="131"/>
      <c r="R1142" s="131"/>
      <c r="S1142" s="131"/>
      <c r="T1142" s="131"/>
      <c r="U1142" s="131"/>
      <c r="V1142" s="131"/>
      <c r="W1142" s="131"/>
      <c r="X1142" s="131"/>
      <c r="Y1142" s="131"/>
      <c r="Z1142" s="131"/>
    </row>
    <row r="1143">
      <c r="A1143" s="262" t="s">
        <v>729</v>
      </c>
      <c r="B1143" s="262" t="s">
        <v>91</v>
      </c>
      <c r="C1143" s="262">
        <v>574.0</v>
      </c>
      <c r="D1143" s="262">
        <v>2.648200538</v>
      </c>
      <c r="E1143" s="260">
        <f t="shared" si="37"/>
        <v>158.8920323</v>
      </c>
      <c r="F1143" s="132">
        <f t="shared" si="38"/>
        <v>0.1103416891</v>
      </c>
      <c r="G1143" s="285" t="s">
        <v>1535</v>
      </c>
      <c r="H1143" s="131"/>
      <c r="I1143" s="131"/>
      <c r="J1143" s="131"/>
      <c r="K1143" s="131"/>
      <c r="L1143" s="131"/>
      <c r="M1143" s="131"/>
      <c r="N1143" s="131"/>
      <c r="O1143" s="131"/>
      <c r="P1143" s="131"/>
      <c r="Q1143" s="131"/>
      <c r="R1143" s="131"/>
      <c r="S1143" s="131"/>
      <c r="T1143" s="131"/>
      <c r="U1143" s="131"/>
      <c r="V1143" s="131"/>
      <c r="W1143" s="131"/>
      <c r="X1143" s="131"/>
      <c r="Y1143" s="131"/>
      <c r="Z1143" s="131"/>
    </row>
    <row r="1144">
      <c r="A1144" s="262" t="s">
        <v>67</v>
      </c>
      <c r="B1144" s="262" t="s">
        <v>426</v>
      </c>
      <c r="C1144" s="262">
        <v>924.0</v>
      </c>
      <c r="D1144" s="262">
        <v>4.49398967</v>
      </c>
      <c r="E1144" s="260">
        <f t="shared" si="37"/>
        <v>269.6393802</v>
      </c>
      <c r="F1144" s="132">
        <f t="shared" si="38"/>
        <v>0.1872495696</v>
      </c>
      <c r="G1144" s="285" t="s">
        <v>1536</v>
      </c>
      <c r="H1144" s="131"/>
      <c r="I1144" s="131"/>
      <c r="J1144" s="131"/>
      <c r="K1144" s="131"/>
      <c r="L1144" s="131"/>
      <c r="M1144" s="131"/>
      <c r="N1144" s="131"/>
      <c r="O1144" s="131"/>
      <c r="P1144" s="131"/>
      <c r="Q1144" s="131"/>
      <c r="R1144" s="131"/>
      <c r="S1144" s="131"/>
      <c r="T1144" s="131"/>
      <c r="U1144" s="131"/>
      <c r="V1144" s="131"/>
      <c r="W1144" s="131"/>
      <c r="X1144" s="131"/>
      <c r="Y1144" s="131"/>
      <c r="Z1144" s="131"/>
    </row>
    <row r="1145">
      <c r="A1145" s="262" t="s">
        <v>67</v>
      </c>
      <c r="B1145" s="262" t="s">
        <v>93</v>
      </c>
      <c r="C1145" s="262">
        <v>1146.0</v>
      </c>
      <c r="D1145" s="262">
        <v>5.64414599</v>
      </c>
      <c r="E1145" s="260">
        <f t="shared" si="37"/>
        <v>338.6487594</v>
      </c>
      <c r="F1145" s="132">
        <f t="shared" si="38"/>
        <v>0.2351727496</v>
      </c>
      <c r="G1145" s="285" t="s">
        <v>1537</v>
      </c>
      <c r="H1145" s="131"/>
      <c r="I1145" s="131"/>
      <c r="J1145" s="131"/>
      <c r="K1145" s="131"/>
      <c r="L1145" s="131"/>
      <c r="M1145" s="131"/>
      <c r="N1145" s="131"/>
      <c r="O1145" s="131"/>
      <c r="P1145" s="131"/>
      <c r="Q1145" s="131"/>
      <c r="R1145" s="131"/>
      <c r="S1145" s="131"/>
      <c r="T1145" s="131"/>
      <c r="U1145" s="131"/>
      <c r="V1145" s="131"/>
      <c r="W1145" s="131"/>
      <c r="X1145" s="131"/>
      <c r="Y1145" s="131"/>
      <c r="Z1145" s="131"/>
    </row>
    <row r="1146">
      <c r="A1146" s="262" t="s">
        <v>474</v>
      </c>
      <c r="B1146" s="262" t="s">
        <v>94</v>
      </c>
      <c r="C1146" s="262">
        <v>1768.0</v>
      </c>
      <c r="D1146" s="262">
        <v>8.38856401</v>
      </c>
      <c r="E1146" s="260">
        <f t="shared" si="37"/>
        <v>503.3138406</v>
      </c>
      <c r="F1146" s="132">
        <f t="shared" si="38"/>
        <v>0.3495235004</v>
      </c>
      <c r="G1146" s="285" t="s">
        <v>1538</v>
      </c>
      <c r="H1146" s="131"/>
      <c r="I1146" s="131"/>
      <c r="J1146" s="131"/>
      <c r="K1146" s="131"/>
      <c r="L1146" s="131"/>
      <c r="M1146" s="131"/>
      <c r="N1146" s="131"/>
      <c r="O1146" s="131"/>
      <c r="P1146" s="131"/>
      <c r="Q1146" s="131"/>
      <c r="R1146" s="131"/>
      <c r="S1146" s="131"/>
      <c r="T1146" s="131"/>
      <c r="U1146" s="131"/>
      <c r="V1146" s="131"/>
      <c r="W1146" s="131"/>
      <c r="X1146" s="131"/>
      <c r="Y1146" s="131"/>
      <c r="Z1146" s="131"/>
    </row>
    <row r="1147">
      <c r="A1147" s="262" t="s">
        <v>474</v>
      </c>
      <c r="B1147" s="262" t="s">
        <v>95</v>
      </c>
      <c r="C1147" s="262">
        <v>895.0</v>
      </c>
      <c r="D1147" s="262">
        <v>4.349798455</v>
      </c>
      <c r="E1147" s="260">
        <f t="shared" si="37"/>
        <v>260.9879073</v>
      </c>
      <c r="F1147" s="132">
        <f t="shared" si="38"/>
        <v>0.1812416023</v>
      </c>
      <c r="G1147" s="285" t="s">
        <v>1539</v>
      </c>
      <c r="H1147" s="131"/>
      <c r="I1147" s="131"/>
      <c r="J1147" s="131"/>
      <c r="K1147" s="131"/>
      <c r="L1147" s="131"/>
      <c r="M1147" s="131"/>
      <c r="N1147" s="131"/>
      <c r="O1147" s="131"/>
      <c r="P1147" s="131"/>
      <c r="Q1147" s="131"/>
      <c r="R1147" s="131"/>
      <c r="S1147" s="131"/>
      <c r="T1147" s="131"/>
      <c r="U1147" s="131"/>
      <c r="V1147" s="131"/>
      <c r="W1147" s="131"/>
      <c r="X1147" s="131"/>
      <c r="Y1147" s="131"/>
      <c r="Z1147" s="131"/>
    </row>
    <row r="1148">
      <c r="A1148" s="262" t="s">
        <v>474</v>
      </c>
      <c r="B1148" s="262" t="s">
        <v>96</v>
      </c>
      <c r="C1148" s="262">
        <v>1710.0</v>
      </c>
      <c r="D1148" s="262">
        <v>7.951932917</v>
      </c>
      <c r="E1148" s="260">
        <f t="shared" si="37"/>
        <v>477.115975</v>
      </c>
      <c r="F1148" s="132">
        <f t="shared" si="38"/>
        <v>0.3313305382</v>
      </c>
      <c r="G1148" s="285" t="s">
        <v>1540</v>
      </c>
      <c r="H1148" s="131"/>
      <c r="I1148" s="131"/>
      <c r="J1148" s="131"/>
      <c r="K1148" s="131"/>
      <c r="L1148" s="131"/>
      <c r="M1148" s="131"/>
      <c r="N1148" s="131"/>
      <c r="O1148" s="131"/>
      <c r="P1148" s="131"/>
      <c r="Q1148" s="131"/>
      <c r="R1148" s="131"/>
      <c r="S1148" s="131"/>
      <c r="T1148" s="131"/>
      <c r="U1148" s="131"/>
      <c r="V1148" s="131"/>
      <c r="W1148" s="131"/>
      <c r="X1148" s="131"/>
      <c r="Y1148" s="131"/>
      <c r="Z1148" s="131"/>
    </row>
    <row r="1149">
      <c r="A1149" s="262" t="s">
        <v>474</v>
      </c>
      <c r="B1149" s="262" t="s">
        <v>92</v>
      </c>
      <c r="C1149" s="262">
        <v>768.0</v>
      </c>
      <c r="D1149" s="262">
        <v>3.355875885</v>
      </c>
      <c r="E1149" s="260">
        <f t="shared" si="37"/>
        <v>201.3525531</v>
      </c>
      <c r="F1149" s="132">
        <f t="shared" si="38"/>
        <v>0.1398281619</v>
      </c>
      <c r="G1149" s="285" t="s">
        <v>1541</v>
      </c>
      <c r="H1149" s="131"/>
      <c r="I1149" s="131"/>
      <c r="J1149" s="131"/>
      <c r="K1149" s="131"/>
      <c r="L1149" s="131"/>
      <c r="M1149" s="131"/>
      <c r="N1149" s="131"/>
      <c r="O1149" s="131"/>
      <c r="P1149" s="131"/>
      <c r="Q1149" s="131"/>
      <c r="R1149" s="131"/>
      <c r="S1149" s="131"/>
      <c r="T1149" s="131"/>
      <c r="U1149" s="131"/>
      <c r="V1149" s="131"/>
      <c r="W1149" s="131"/>
      <c r="X1149" s="131"/>
      <c r="Y1149" s="131"/>
      <c r="Z1149" s="131"/>
    </row>
    <row r="1150">
      <c r="A1150" s="262" t="s">
        <v>474</v>
      </c>
      <c r="B1150" s="262" t="s">
        <v>97</v>
      </c>
      <c r="C1150" s="262">
        <v>934.0</v>
      </c>
      <c r="D1150" s="262">
        <v>4.361187569</v>
      </c>
      <c r="E1150" s="260">
        <f t="shared" si="37"/>
        <v>261.6712541</v>
      </c>
      <c r="F1150" s="132">
        <f t="shared" si="38"/>
        <v>0.1817161487</v>
      </c>
      <c r="G1150" s="285" t="s">
        <v>1542</v>
      </c>
      <c r="H1150" s="131"/>
      <c r="I1150" s="131"/>
      <c r="J1150" s="131"/>
      <c r="K1150" s="131"/>
      <c r="L1150" s="131"/>
      <c r="M1150" s="131"/>
      <c r="N1150" s="131"/>
      <c r="O1150" s="131"/>
      <c r="P1150" s="131"/>
      <c r="Q1150" s="131"/>
      <c r="R1150" s="131"/>
      <c r="S1150" s="131"/>
      <c r="T1150" s="131"/>
      <c r="U1150" s="131"/>
      <c r="V1150" s="131"/>
      <c r="W1150" s="131"/>
      <c r="X1150" s="131"/>
      <c r="Y1150" s="131"/>
      <c r="Z1150" s="131"/>
    </row>
    <row r="1151">
      <c r="A1151" s="262" t="s">
        <v>474</v>
      </c>
      <c r="B1151" s="262" t="s">
        <v>57</v>
      </c>
      <c r="C1151" s="262">
        <v>2055.0</v>
      </c>
      <c r="D1151" s="262">
        <v>9.486180313</v>
      </c>
      <c r="E1151" s="260">
        <f t="shared" si="37"/>
        <v>569.1708188</v>
      </c>
      <c r="F1151" s="132">
        <f t="shared" si="38"/>
        <v>0.395257513</v>
      </c>
      <c r="G1151" s="285" t="s">
        <v>1543</v>
      </c>
      <c r="H1151" s="131"/>
      <c r="I1151" s="131"/>
      <c r="J1151" s="131"/>
      <c r="K1151" s="131"/>
      <c r="L1151" s="131"/>
      <c r="M1151" s="131"/>
      <c r="N1151" s="131"/>
      <c r="O1151" s="131"/>
      <c r="P1151" s="131"/>
      <c r="Q1151" s="131"/>
      <c r="R1151" s="131"/>
      <c r="S1151" s="131"/>
      <c r="T1151" s="131"/>
      <c r="U1151" s="131"/>
      <c r="V1151" s="131"/>
      <c r="W1151" s="131"/>
      <c r="X1151" s="131"/>
      <c r="Y1151" s="131"/>
      <c r="Z1151" s="131"/>
    </row>
    <row r="1152">
      <c r="A1152" s="262" t="s">
        <v>474</v>
      </c>
      <c r="B1152" s="262" t="s">
        <v>98</v>
      </c>
      <c r="C1152" s="262">
        <v>2040.0</v>
      </c>
      <c r="D1152" s="262">
        <v>9.55272224</v>
      </c>
      <c r="E1152" s="260">
        <f t="shared" si="37"/>
        <v>573.1633344</v>
      </c>
      <c r="F1152" s="132">
        <f t="shared" si="38"/>
        <v>0.3980300933</v>
      </c>
      <c r="G1152" s="285" t="s">
        <v>1544</v>
      </c>
      <c r="H1152" s="131"/>
      <c r="I1152" s="131"/>
      <c r="J1152" s="131"/>
      <c r="K1152" s="131"/>
      <c r="L1152" s="131"/>
      <c r="M1152" s="131"/>
      <c r="N1152" s="131"/>
      <c r="O1152" s="131"/>
      <c r="P1152" s="131"/>
      <c r="Q1152" s="131"/>
      <c r="R1152" s="131"/>
      <c r="S1152" s="131"/>
      <c r="T1152" s="131"/>
      <c r="U1152" s="131"/>
      <c r="V1152" s="131"/>
      <c r="W1152" s="131"/>
      <c r="X1152" s="131"/>
      <c r="Y1152" s="131"/>
      <c r="Z1152" s="131"/>
    </row>
    <row r="1153">
      <c r="A1153" s="262" t="s">
        <v>474</v>
      </c>
      <c r="B1153" s="262" t="s">
        <v>428</v>
      </c>
      <c r="C1153" s="262">
        <v>1193.0</v>
      </c>
      <c r="D1153" s="262">
        <v>5.455211997</v>
      </c>
      <c r="E1153" s="260">
        <f t="shared" si="37"/>
        <v>327.3127198</v>
      </c>
      <c r="F1153" s="132">
        <f t="shared" si="38"/>
        <v>0.2273004999</v>
      </c>
      <c r="G1153" s="285" t="s">
        <v>1545</v>
      </c>
      <c r="H1153" s="131"/>
      <c r="I1153" s="131"/>
      <c r="J1153" s="131"/>
      <c r="K1153" s="131"/>
      <c r="L1153" s="131"/>
      <c r="M1153" s="131"/>
      <c r="N1153" s="131"/>
      <c r="O1153" s="131"/>
      <c r="P1153" s="131"/>
      <c r="Q1153" s="131"/>
      <c r="R1153" s="131"/>
      <c r="S1153" s="131"/>
      <c r="T1153" s="131"/>
      <c r="U1153" s="131"/>
      <c r="V1153" s="131"/>
      <c r="W1153" s="131"/>
      <c r="X1153" s="131"/>
      <c r="Y1153" s="131"/>
      <c r="Z1153" s="131"/>
    </row>
    <row r="1154">
      <c r="A1154" s="262" t="s">
        <v>474</v>
      </c>
      <c r="B1154" s="262" t="s">
        <v>99</v>
      </c>
      <c r="C1154" s="262">
        <v>1026.0</v>
      </c>
      <c r="D1154" s="262">
        <v>4.829718524</v>
      </c>
      <c r="E1154" s="260">
        <f t="shared" si="37"/>
        <v>289.7831114</v>
      </c>
      <c r="F1154" s="132">
        <f t="shared" si="38"/>
        <v>0.2012382718</v>
      </c>
      <c r="G1154" s="285" t="s">
        <v>1546</v>
      </c>
      <c r="H1154" s="131"/>
      <c r="I1154" s="131"/>
      <c r="J1154" s="131"/>
      <c r="K1154" s="131"/>
      <c r="L1154" s="131"/>
      <c r="M1154" s="131"/>
      <c r="N1154" s="131"/>
      <c r="O1154" s="131"/>
      <c r="P1154" s="131"/>
      <c r="Q1154" s="131"/>
      <c r="R1154" s="131"/>
      <c r="S1154" s="131"/>
      <c r="T1154" s="131"/>
      <c r="U1154" s="131"/>
      <c r="V1154" s="131"/>
      <c r="W1154" s="131"/>
      <c r="X1154" s="131"/>
      <c r="Y1154" s="131"/>
      <c r="Z1154" s="131"/>
    </row>
    <row r="1155">
      <c r="A1155" s="262" t="s">
        <v>474</v>
      </c>
      <c r="B1155" s="262" t="s">
        <v>61</v>
      </c>
      <c r="C1155" s="262">
        <v>995.0</v>
      </c>
      <c r="D1155" s="262">
        <v>4.636587118</v>
      </c>
      <c r="E1155" s="260">
        <f t="shared" si="37"/>
        <v>278.1952271</v>
      </c>
      <c r="F1155" s="132">
        <f t="shared" si="38"/>
        <v>0.1931911299</v>
      </c>
      <c r="G1155" s="285" t="s">
        <v>1547</v>
      </c>
      <c r="H1155" s="131"/>
      <c r="I1155" s="131"/>
      <c r="J1155" s="131"/>
      <c r="K1155" s="131"/>
      <c r="L1155" s="131"/>
      <c r="M1155" s="131"/>
      <c r="N1155" s="131"/>
      <c r="O1155" s="131"/>
      <c r="P1155" s="131"/>
      <c r="Q1155" s="131"/>
      <c r="R1155" s="131"/>
      <c r="S1155" s="131"/>
      <c r="T1155" s="131"/>
      <c r="U1155" s="131"/>
      <c r="V1155" s="131"/>
      <c r="W1155" s="131"/>
      <c r="X1155" s="131"/>
      <c r="Y1155" s="131"/>
      <c r="Z1155" s="131"/>
    </row>
    <row r="1156">
      <c r="A1156" s="262" t="s">
        <v>429</v>
      </c>
      <c r="B1156" s="262" t="s">
        <v>430</v>
      </c>
      <c r="C1156" s="262">
        <v>1873.0</v>
      </c>
      <c r="D1156" s="262">
        <v>9.37760434</v>
      </c>
      <c r="E1156" s="260">
        <f t="shared" si="37"/>
        <v>562.6562604</v>
      </c>
      <c r="F1156" s="132">
        <f t="shared" si="38"/>
        <v>0.3907335142</v>
      </c>
      <c r="G1156" s="285" t="s">
        <v>1548</v>
      </c>
      <c r="H1156" s="131"/>
      <c r="I1156" s="131"/>
      <c r="J1156" s="131"/>
      <c r="K1156" s="131"/>
      <c r="L1156" s="131"/>
      <c r="M1156" s="131"/>
      <c r="N1156" s="131"/>
      <c r="O1156" s="131"/>
      <c r="P1156" s="131"/>
      <c r="Q1156" s="131"/>
      <c r="R1156" s="131"/>
      <c r="S1156" s="131"/>
      <c r="T1156" s="131"/>
      <c r="U1156" s="131"/>
      <c r="V1156" s="131"/>
      <c r="W1156" s="131"/>
      <c r="X1156" s="131"/>
      <c r="Y1156" s="131"/>
      <c r="Z1156" s="131"/>
    </row>
    <row r="1157">
      <c r="A1157" s="262" t="s">
        <v>429</v>
      </c>
      <c r="B1157" s="262" t="s">
        <v>101</v>
      </c>
      <c r="C1157" s="262">
        <v>1971.0</v>
      </c>
      <c r="D1157" s="262">
        <v>9.79085033</v>
      </c>
      <c r="E1157" s="260">
        <f t="shared" si="37"/>
        <v>587.4510198</v>
      </c>
      <c r="F1157" s="132">
        <f t="shared" si="38"/>
        <v>0.4079520971</v>
      </c>
      <c r="G1157" s="285" t="s">
        <v>1549</v>
      </c>
      <c r="H1157" s="131"/>
      <c r="I1157" s="131"/>
      <c r="J1157" s="131"/>
      <c r="K1157" s="131"/>
      <c r="L1157" s="131"/>
      <c r="M1157" s="131"/>
      <c r="N1157" s="131"/>
      <c r="O1157" s="131"/>
      <c r="P1157" s="131"/>
      <c r="Q1157" s="131"/>
      <c r="R1157" s="131"/>
      <c r="S1157" s="131"/>
      <c r="T1157" s="131"/>
      <c r="U1157" s="131"/>
      <c r="V1157" s="131"/>
      <c r="W1157" s="131"/>
      <c r="X1157" s="131"/>
      <c r="Y1157" s="131"/>
      <c r="Z1157" s="131"/>
    </row>
    <row r="1158">
      <c r="A1158" s="262" t="s">
        <v>429</v>
      </c>
      <c r="B1158" s="262" t="s">
        <v>102</v>
      </c>
      <c r="C1158" s="262">
        <v>1513.0</v>
      </c>
      <c r="D1158" s="262">
        <v>7.203424028</v>
      </c>
      <c r="E1158" s="260">
        <f t="shared" si="37"/>
        <v>432.2054417</v>
      </c>
      <c r="F1158" s="132">
        <f t="shared" si="38"/>
        <v>0.3001426678</v>
      </c>
      <c r="G1158" s="285" t="s">
        <v>1550</v>
      </c>
      <c r="H1158" s="131"/>
      <c r="I1158" s="131"/>
      <c r="J1158" s="131"/>
      <c r="K1158" s="131"/>
      <c r="L1158" s="131"/>
      <c r="M1158" s="131"/>
      <c r="N1158" s="131"/>
      <c r="O1158" s="131"/>
      <c r="P1158" s="131"/>
      <c r="Q1158" s="131"/>
      <c r="R1158" s="131"/>
      <c r="S1158" s="131"/>
      <c r="T1158" s="131"/>
      <c r="U1158" s="131"/>
      <c r="V1158" s="131"/>
      <c r="W1158" s="131"/>
      <c r="X1158" s="131"/>
      <c r="Y1158" s="131"/>
      <c r="Z1158" s="131"/>
    </row>
    <row r="1159">
      <c r="A1159" s="262" t="s">
        <v>429</v>
      </c>
      <c r="B1159" s="262" t="s">
        <v>29</v>
      </c>
      <c r="C1159" s="262">
        <v>2011.0</v>
      </c>
      <c r="D1159" s="262">
        <v>9.334704774</v>
      </c>
      <c r="E1159" s="260">
        <f t="shared" si="37"/>
        <v>560.0822864</v>
      </c>
      <c r="F1159" s="132">
        <f t="shared" si="38"/>
        <v>0.3889460323</v>
      </c>
      <c r="G1159" s="285" t="s">
        <v>1551</v>
      </c>
      <c r="H1159" s="131"/>
      <c r="I1159" s="131"/>
      <c r="J1159" s="131"/>
      <c r="K1159" s="131"/>
      <c r="L1159" s="131"/>
      <c r="M1159" s="131"/>
      <c r="N1159" s="131"/>
      <c r="O1159" s="131"/>
      <c r="P1159" s="131"/>
      <c r="Q1159" s="131"/>
      <c r="R1159" s="131"/>
      <c r="S1159" s="131"/>
      <c r="T1159" s="131"/>
      <c r="U1159" s="131"/>
      <c r="V1159" s="131"/>
      <c r="W1159" s="131"/>
      <c r="X1159" s="131"/>
      <c r="Y1159" s="131"/>
      <c r="Z1159" s="131"/>
    </row>
    <row r="1160">
      <c r="A1160" s="262" t="s">
        <v>429</v>
      </c>
      <c r="B1160" s="262" t="s">
        <v>103</v>
      </c>
      <c r="C1160" s="262">
        <v>1819.0</v>
      </c>
      <c r="D1160" s="262">
        <v>9.169193542</v>
      </c>
      <c r="E1160" s="260">
        <f t="shared" si="37"/>
        <v>550.1516125</v>
      </c>
      <c r="F1160" s="132">
        <f t="shared" si="38"/>
        <v>0.3820497309</v>
      </c>
      <c r="G1160" s="285" t="s">
        <v>1552</v>
      </c>
      <c r="H1160" s="131"/>
      <c r="I1160" s="131"/>
      <c r="J1160" s="131"/>
      <c r="K1160" s="131"/>
      <c r="L1160" s="131"/>
      <c r="M1160" s="131"/>
      <c r="N1160" s="131"/>
      <c r="O1160" s="131"/>
      <c r="P1160" s="131"/>
      <c r="Q1160" s="131"/>
      <c r="R1160" s="131"/>
      <c r="S1160" s="131"/>
      <c r="T1160" s="131"/>
      <c r="U1160" s="131"/>
      <c r="V1160" s="131"/>
      <c r="W1160" s="131"/>
      <c r="X1160" s="131"/>
      <c r="Y1160" s="131"/>
      <c r="Z1160" s="131"/>
    </row>
    <row r="1161">
      <c r="A1161" s="262" t="s">
        <v>429</v>
      </c>
      <c r="B1161" s="262" t="s">
        <v>465</v>
      </c>
      <c r="C1161" s="262">
        <v>1461.0</v>
      </c>
      <c r="D1161" s="262">
        <v>6.914510677</v>
      </c>
      <c r="E1161" s="260">
        <f t="shared" si="37"/>
        <v>414.8706406</v>
      </c>
      <c r="F1161" s="132">
        <f t="shared" si="38"/>
        <v>0.2881046115</v>
      </c>
      <c r="G1161" s="285" t="s">
        <v>1553</v>
      </c>
      <c r="H1161" s="131"/>
      <c r="I1161" s="131"/>
      <c r="J1161" s="131"/>
      <c r="K1161" s="131"/>
      <c r="L1161" s="131"/>
      <c r="M1161" s="131"/>
      <c r="N1161" s="131"/>
      <c r="O1161" s="131"/>
      <c r="P1161" s="131"/>
      <c r="Q1161" s="131"/>
      <c r="R1161" s="131"/>
      <c r="S1161" s="131"/>
      <c r="T1161" s="131"/>
      <c r="U1161" s="131"/>
      <c r="V1161" s="131"/>
      <c r="W1161" s="131"/>
      <c r="X1161" s="131"/>
      <c r="Y1161" s="131"/>
      <c r="Z1161" s="131"/>
    </row>
    <row r="1162">
      <c r="A1162" s="262" t="s">
        <v>429</v>
      </c>
      <c r="B1162" s="262" t="s">
        <v>432</v>
      </c>
      <c r="C1162" s="262">
        <v>1423.0</v>
      </c>
      <c r="D1162" s="262">
        <v>6.501301545</v>
      </c>
      <c r="E1162" s="260">
        <f t="shared" si="37"/>
        <v>390.0780927</v>
      </c>
      <c r="F1162" s="132">
        <f t="shared" si="38"/>
        <v>0.2708875644</v>
      </c>
      <c r="G1162" s="285" t="s">
        <v>1554</v>
      </c>
      <c r="H1162" s="131"/>
      <c r="I1162" s="131"/>
      <c r="J1162" s="131"/>
      <c r="K1162" s="131"/>
      <c r="L1162" s="131"/>
      <c r="M1162" s="131"/>
      <c r="N1162" s="131"/>
      <c r="O1162" s="131"/>
      <c r="P1162" s="131"/>
      <c r="Q1162" s="131"/>
      <c r="R1162" s="131"/>
      <c r="S1162" s="131"/>
      <c r="T1162" s="131"/>
      <c r="U1162" s="131"/>
      <c r="V1162" s="131"/>
      <c r="W1162" s="131"/>
      <c r="X1162" s="131"/>
      <c r="Y1162" s="131"/>
      <c r="Z1162" s="131"/>
    </row>
    <row r="1163">
      <c r="A1163" s="262" t="s">
        <v>429</v>
      </c>
      <c r="B1163" s="262" t="s">
        <v>105</v>
      </c>
      <c r="C1163" s="262">
        <v>1733.0</v>
      </c>
      <c r="D1163" s="262">
        <v>8.009742778</v>
      </c>
      <c r="E1163" s="260">
        <f t="shared" si="37"/>
        <v>480.5845667</v>
      </c>
      <c r="F1163" s="132">
        <f t="shared" si="38"/>
        <v>0.3337392824</v>
      </c>
      <c r="G1163" s="285" t="s">
        <v>1555</v>
      </c>
      <c r="H1163" s="131"/>
      <c r="I1163" s="131"/>
      <c r="J1163" s="131"/>
      <c r="K1163" s="131"/>
      <c r="L1163" s="131"/>
      <c r="M1163" s="131"/>
      <c r="N1163" s="131"/>
      <c r="O1163" s="131"/>
      <c r="P1163" s="131"/>
      <c r="Q1163" s="131"/>
      <c r="R1163" s="131"/>
      <c r="S1163" s="131"/>
      <c r="T1163" s="131"/>
      <c r="U1163" s="131"/>
      <c r="V1163" s="131"/>
      <c r="W1163" s="131"/>
      <c r="X1163" s="131"/>
      <c r="Y1163" s="131"/>
      <c r="Z1163" s="131"/>
    </row>
    <row r="1164">
      <c r="A1164" s="262"/>
      <c r="B1164" s="262"/>
      <c r="C1164" s="131">
        <f>sum(C1084:C1163)</f>
        <v>141273</v>
      </c>
      <c r="D1164" s="212" t="s">
        <v>484</v>
      </c>
      <c r="E1164" s="222">
        <f>SUM(E1084:E1163)</f>
        <v>39929.87414</v>
      </c>
      <c r="F1164" s="132">
        <f t="shared" si="38"/>
        <v>27.72907926</v>
      </c>
      <c r="G1164" s="140"/>
      <c r="H1164" s="131"/>
      <c r="I1164" s="131"/>
      <c r="J1164" s="131"/>
      <c r="K1164" s="131"/>
      <c r="L1164" s="131"/>
      <c r="M1164" s="131"/>
      <c r="N1164" s="131"/>
      <c r="O1164" s="131"/>
      <c r="P1164" s="131"/>
      <c r="Q1164" s="131"/>
      <c r="R1164" s="131"/>
      <c r="S1164" s="131"/>
      <c r="T1164" s="131"/>
      <c r="U1164" s="131"/>
      <c r="V1164" s="131"/>
      <c r="W1164" s="131"/>
      <c r="X1164" s="131"/>
      <c r="Y1164" s="131"/>
      <c r="Z1164" s="131"/>
    </row>
    <row r="1165">
      <c r="A1165" s="262"/>
      <c r="B1165" s="262"/>
      <c r="C1165" s="262"/>
      <c r="D1165" s="262"/>
      <c r="E1165" s="260"/>
      <c r="F1165" s="132"/>
      <c r="G1165" s="140"/>
      <c r="H1165" s="131"/>
      <c r="I1165" s="131"/>
      <c r="J1165" s="131"/>
      <c r="K1165" s="131"/>
      <c r="L1165" s="131"/>
      <c r="M1165" s="131"/>
      <c r="N1165" s="131"/>
      <c r="O1165" s="131"/>
      <c r="P1165" s="131"/>
      <c r="Q1165" s="131"/>
      <c r="R1165" s="131"/>
      <c r="S1165" s="131"/>
      <c r="T1165" s="131"/>
      <c r="U1165" s="131"/>
      <c r="V1165" s="131"/>
      <c r="W1165" s="131"/>
      <c r="X1165" s="131"/>
      <c r="Y1165" s="131"/>
      <c r="Z1165" s="131"/>
    </row>
    <row r="1166">
      <c r="A1166" s="262"/>
      <c r="B1166" s="262"/>
      <c r="C1166" s="262"/>
      <c r="D1166" s="262"/>
      <c r="E1166" s="260"/>
      <c r="F1166" s="132"/>
      <c r="G1166" s="140"/>
      <c r="H1166" s="131"/>
      <c r="I1166" s="131"/>
      <c r="J1166" s="131"/>
      <c r="K1166" s="131"/>
      <c r="L1166" s="131"/>
      <c r="M1166" s="131"/>
      <c r="N1166" s="131"/>
      <c r="O1166" s="131"/>
      <c r="P1166" s="131"/>
      <c r="Q1166" s="131"/>
      <c r="R1166" s="131"/>
      <c r="S1166" s="131"/>
      <c r="T1166" s="131"/>
      <c r="U1166" s="131"/>
      <c r="V1166" s="131"/>
      <c r="W1166" s="131"/>
      <c r="X1166" s="131"/>
      <c r="Y1166" s="131"/>
      <c r="Z1166" s="131"/>
    </row>
    <row r="1167">
      <c r="A1167" s="262"/>
      <c r="B1167" s="262"/>
      <c r="C1167" s="262"/>
      <c r="D1167" s="262"/>
      <c r="E1167" s="260"/>
      <c r="F1167" s="132"/>
      <c r="G1167" s="140"/>
      <c r="H1167" s="131"/>
      <c r="I1167" s="131"/>
      <c r="J1167" s="131"/>
      <c r="K1167" s="131"/>
      <c r="L1167" s="131"/>
      <c r="M1167" s="131"/>
      <c r="N1167" s="131"/>
      <c r="O1167" s="131"/>
      <c r="P1167" s="131"/>
      <c r="Q1167" s="131"/>
      <c r="R1167" s="131"/>
      <c r="S1167" s="131"/>
      <c r="T1167" s="131"/>
      <c r="U1167" s="131"/>
      <c r="V1167" s="131"/>
      <c r="W1167" s="131"/>
      <c r="X1167" s="131"/>
      <c r="Y1167" s="131"/>
      <c r="Z1167" s="131"/>
    </row>
    <row r="1168">
      <c r="A1168" s="262"/>
      <c r="B1168" s="262"/>
      <c r="C1168" s="262"/>
      <c r="D1168" s="262"/>
      <c r="E1168" s="260"/>
      <c r="F1168" s="132"/>
      <c r="G1168" s="140"/>
      <c r="H1168" s="131"/>
      <c r="I1168" s="131"/>
      <c r="J1168" s="131"/>
      <c r="K1168" s="131"/>
      <c r="L1168" s="131"/>
      <c r="M1168" s="131"/>
      <c r="N1168" s="131"/>
      <c r="O1168" s="131"/>
      <c r="P1168" s="131"/>
      <c r="Q1168" s="131"/>
      <c r="R1168" s="131"/>
      <c r="S1168" s="131"/>
      <c r="T1168" s="131"/>
      <c r="U1168" s="131"/>
      <c r="V1168" s="131"/>
      <c r="W1168" s="131"/>
      <c r="X1168" s="131"/>
      <c r="Y1168" s="131"/>
      <c r="Z1168" s="131"/>
    </row>
    <row r="1169">
      <c r="A1169" s="262"/>
      <c r="B1169" s="262"/>
      <c r="C1169" s="262"/>
      <c r="D1169" s="262"/>
      <c r="E1169" s="260"/>
      <c r="F1169" s="132"/>
      <c r="G1169" s="140"/>
      <c r="H1169" s="131"/>
      <c r="I1169" s="131"/>
      <c r="J1169" s="131"/>
      <c r="K1169" s="131"/>
      <c r="L1169" s="131"/>
      <c r="M1169" s="131"/>
      <c r="N1169" s="131"/>
      <c r="O1169" s="131"/>
      <c r="P1169" s="131"/>
      <c r="Q1169" s="131"/>
      <c r="R1169" s="131"/>
      <c r="S1169" s="131"/>
      <c r="T1169" s="131"/>
      <c r="U1169" s="131"/>
      <c r="V1169" s="131"/>
      <c r="W1169" s="131"/>
      <c r="X1169" s="131"/>
      <c r="Y1169" s="131"/>
      <c r="Z1169" s="131"/>
    </row>
    <row r="1170">
      <c r="A1170" s="262"/>
      <c r="B1170" s="262"/>
      <c r="C1170" s="262"/>
      <c r="D1170" s="262"/>
      <c r="E1170" s="260"/>
      <c r="F1170" s="132"/>
      <c r="G1170" s="140"/>
      <c r="H1170" s="131"/>
      <c r="I1170" s="131"/>
      <c r="J1170" s="131"/>
      <c r="K1170" s="131"/>
      <c r="L1170" s="131"/>
      <c r="M1170" s="131"/>
      <c r="N1170" s="131"/>
      <c r="O1170" s="131"/>
      <c r="P1170" s="131"/>
      <c r="Q1170" s="131"/>
      <c r="R1170" s="131"/>
      <c r="S1170" s="131"/>
      <c r="T1170" s="131"/>
      <c r="U1170" s="131"/>
      <c r="V1170" s="131"/>
      <c r="W1170" s="131"/>
      <c r="X1170" s="131"/>
      <c r="Y1170" s="131"/>
      <c r="Z1170" s="131"/>
    </row>
    <row r="1171">
      <c r="A1171" s="262"/>
      <c r="B1171" s="262"/>
      <c r="C1171" s="262"/>
      <c r="D1171" s="262"/>
      <c r="E1171" s="260"/>
      <c r="F1171" s="132"/>
      <c r="G1171" s="140"/>
      <c r="H1171" s="131"/>
      <c r="I1171" s="131"/>
      <c r="J1171" s="131"/>
      <c r="K1171" s="131"/>
      <c r="L1171" s="131"/>
      <c r="M1171" s="131"/>
      <c r="N1171" s="131"/>
      <c r="O1171" s="131"/>
      <c r="P1171" s="131"/>
      <c r="Q1171" s="131"/>
      <c r="R1171" s="131"/>
      <c r="S1171" s="131"/>
      <c r="T1171" s="131"/>
      <c r="U1171" s="131"/>
      <c r="V1171" s="131"/>
      <c r="W1171" s="131"/>
      <c r="X1171" s="131"/>
      <c r="Y1171" s="131"/>
      <c r="Z1171" s="131"/>
    </row>
    <row r="1172">
      <c r="A1172" s="262"/>
      <c r="B1172" s="262"/>
      <c r="C1172" s="262"/>
      <c r="D1172" s="262"/>
      <c r="E1172" s="260"/>
      <c r="F1172" s="132"/>
      <c r="G1172" s="140"/>
      <c r="H1172" s="131"/>
      <c r="I1172" s="131"/>
      <c r="J1172" s="131"/>
      <c r="K1172" s="131"/>
      <c r="L1172" s="131"/>
      <c r="M1172" s="131"/>
      <c r="N1172" s="131"/>
      <c r="O1172" s="131"/>
      <c r="P1172" s="131"/>
      <c r="Q1172" s="131"/>
      <c r="R1172" s="131"/>
      <c r="S1172" s="131"/>
      <c r="T1172" s="131"/>
      <c r="U1172" s="131"/>
      <c r="V1172" s="131"/>
      <c r="W1172" s="131"/>
      <c r="X1172" s="131"/>
      <c r="Y1172" s="131"/>
      <c r="Z1172" s="131"/>
    </row>
    <row r="1173">
      <c r="A1173" s="262"/>
      <c r="B1173" s="262"/>
      <c r="C1173" s="262"/>
      <c r="D1173" s="262"/>
      <c r="E1173" s="260"/>
      <c r="F1173" s="132"/>
      <c r="G1173" s="140"/>
      <c r="H1173" s="131"/>
      <c r="I1173" s="131"/>
      <c r="J1173" s="131"/>
      <c r="K1173" s="131"/>
      <c r="L1173" s="131"/>
      <c r="M1173" s="131"/>
      <c r="N1173" s="131"/>
      <c r="O1173" s="131"/>
      <c r="P1173" s="131"/>
      <c r="Q1173" s="131"/>
      <c r="R1173" s="131"/>
      <c r="S1173" s="131"/>
      <c r="T1173" s="131"/>
      <c r="U1173" s="131"/>
      <c r="V1173" s="131"/>
      <c r="W1173" s="131"/>
      <c r="X1173" s="131"/>
      <c r="Y1173" s="131"/>
      <c r="Z1173" s="131"/>
    </row>
    <row r="1174">
      <c r="A1174" s="262"/>
      <c r="B1174" s="262"/>
      <c r="C1174" s="262"/>
      <c r="D1174" s="262"/>
      <c r="E1174" s="260"/>
      <c r="F1174" s="132"/>
      <c r="G1174" s="140"/>
      <c r="H1174" s="131"/>
      <c r="I1174" s="131"/>
      <c r="J1174" s="131"/>
      <c r="K1174" s="131"/>
      <c r="L1174" s="131"/>
      <c r="M1174" s="131"/>
      <c r="N1174" s="131"/>
      <c r="O1174" s="131"/>
      <c r="P1174" s="131"/>
      <c r="Q1174" s="131"/>
      <c r="R1174" s="131"/>
      <c r="S1174" s="131"/>
      <c r="T1174" s="131"/>
      <c r="U1174" s="131"/>
      <c r="V1174" s="131"/>
      <c r="W1174" s="131"/>
      <c r="X1174" s="131"/>
      <c r="Y1174" s="131"/>
      <c r="Z1174" s="131"/>
    </row>
    <row r="1175">
      <c r="A1175" s="262"/>
      <c r="B1175" s="262"/>
      <c r="C1175" s="262"/>
      <c r="D1175" s="262"/>
      <c r="E1175" s="260"/>
      <c r="F1175" s="132"/>
      <c r="G1175" s="140"/>
      <c r="H1175" s="131"/>
      <c r="I1175" s="131"/>
      <c r="J1175" s="131"/>
      <c r="K1175" s="131"/>
      <c r="L1175" s="131"/>
      <c r="M1175" s="131"/>
      <c r="N1175" s="131"/>
      <c r="O1175" s="131"/>
      <c r="P1175" s="131"/>
      <c r="Q1175" s="131"/>
      <c r="R1175" s="131"/>
      <c r="S1175" s="131"/>
      <c r="T1175" s="131"/>
      <c r="U1175" s="131"/>
      <c r="V1175" s="131"/>
      <c r="W1175" s="131"/>
      <c r="X1175" s="131"/>
      <c r="Y1175" s="131"/>
      <c r="Z1175" s="131"/>
    </row>
    <row r="1176">
      <c r="A1176" s="262"/>
      <c r="B1176" s="262"/>
      <c r="C1176" s="262"/>
      <c r="D1176" s="262"/>
      <c r="E1176" s="260"/>
      <c r="F1176" s="132"/>
      <c r="G1176" s="140"/>
      <c r="H1176" s="131"/>
      <c r="I1176" s="131"/>
      <c r="J1176" s="131"/>
      <c r="K1176" s="131"/>
      <c r="L1176" s="131"/>
      <c r="M1176" s="131"/>
      <c r="N1176" s="131"/>
      <c r="O1176" s="131"/>
      <c r="P1176" s="131"/>
      <c r="Q1176" s="131"/>
      <c r="R1176" s="131"/>
      <c r="S1176" s="131"/>
      <c r="T1176" s="131"/>
      <c r="U1176" s="131"/>
      <c r="V1176" s="131"/>
      <c r="W1176" s="131"/>
      <c r="X1176" s="131"/>
      <c r="Y1176" s="131"/>
      <c r="Z1176" s="131"/>
    </row>
    <row r="1177">
      <c r="A1177" s="262"/>
      <c r="B1177" s="262"/>
      <c r="C1177" s="262"/>
      <c r="D1177" s="262"/>
      <c r="E1177" s="260"/>
      <c r="F1177" s="132"/>
      <c r="G1177" s="140"/>
      <c r="H1177" s="131"/>
      <c r="I1177" s="131"/>
      <c r="J1177" s="131"/>
      <c r="K1177" s="131"/>
      <c r="L1177" s="131"/>
      <c r="M1177" s="131"/>
      <c r="N1177" s="131"/>
      <c r="O1177" s="131"/>
      <c r="P1177" s="131"/>
      <c r="Q1177" s="131"/>
      <c r="R1177" s="131"/>
      <c r="S1177" s="131"/>
      <c r="T1177" s="131"/>
      <c r="U1177" s="131"/>
      <c r="V1177" s="131"/>
      <c r="W1177" s="131"/>
      <c r="X1177" s="131"/>
      <c r="Y1177" s="131"/>
      <c r="Z1177" s="131"/>
    </row>
    <row r="1178">
      <c r="A1178" s="262"/>
      <c r="B1178" s="262"/>
      <c r="C1178" s="262"/>
      <c r="D1178" s="262"/>
      <c r="E1178" s="260"/>
      <c r="F1178" s="132"/>
      <c r="G1178" s="140"/>
      <c r="H1178" s="131"/>
      <c r="I1178" s="131"/>
      <c r="J1178" s="131"/>
      <c r="K1178" s="131"/>
      <c r="L1178" s="131"/>
      <c r="M1178" s="131"/>
      <c r="N1178" s="131"/>
      <c r="O1178" s="131"/>
      <c r="P1178" s="131"/>
      <c r="Q1178" s="131"/>
      <c r="R1178" s="131"/>
      <c r="S1178" s="131"/>
      <c r="T1178" s="131"/>
      <c r="U1178" s="131"/>
      <c r="V1178" s="131"/>
      <c r="W1178" s="131"/>
      <c r="X1178" s="131"/>
      <c r="Y1178" s="131"/>
      <c r="Z1178" s="131"/>
    </row>
    <row r="1179">
      <c r="A1179" s="262"/>
      <c r="B1179" s="262"/>
      <c r="C1179" s="262"/>
      <c r="D1179" s="262"/>
      <c r="E1179" s="260"/>
      <c r="F1179" s="132"/>
      <c r="G1179" s="140"/>
      <c r="H1179" s="131"/>
      <c r="I1179" s="131"/>
      <c r="J1179" s="131"/>
      <c r="K1179" s="131"/>
      <c r="L1179" s="131"/>
      <c r="M1179" s="131"/>
      <c r="N1179" s="131"/>
      <c r="O1179" s="131"/>
      <c r="P1179" s="131"/>
      <c r="Q1179" s="131"/>
      <c r="R1179" s="131"/>
      <c r="S1179" s="131"/>
      <c r="T1179" s="131"/>
      <c r="U1179" s="131"/>
      <c r="V1179" s="131"/>
      <c r="W1179" s="131"/>
      <c r="X1179" s="131"/>
      <c r="Y1179" s="131"/>
      <c r="Z1179" s="131"/>
    </row>
    <row r="1180">
      <c r="A1180" s="262"/>
      <c r="B1180" s="262"/>
      <c r="C1180" s="262"/>
      <c r="D1180" s="262"/>
      <c r="E1180" s="260"/>
      <c r="F1180" s="132"/>
      <c r="G1180" s="140"/>
      <c r="H1180" s="131"/>
      <c r="I1180" s="131"/>
      <c r="J1180" s="131"/>
      <c r="K1180" s="131"/>
      <c r="L1180" s="131"/>
      <c r="M1180" s="131"/>
      <c r="N1180" s="131"/>
      <c r="O1180" s="131"/>
      <c r="P1180" s="131"/>
      <c r="Q1180" s="131"/>
      <c r="R1180" s="131"/>
      <c r="S1180" s="131"/>
      <c r="T1180" s="131"/>
      <c r="U1180" s="131"/>
      <c r="V1180" s="131"/>
      <c r="W1180" s="131"/>
      <c r="X1180" s="131"/>
      <c r="Y1180" s="131"/>
      <c r="Z1180" s="131"/>
    </row>
    <row r="1181">
      <c r="A1181" s="262"/>
      <c r="B1181" s="262"/>
      <c r="C1181" s="262"/>
      <c r="D1181" s="262"/>
      <c r="E1181" s="260"/>
      <c r="F1181" s="132"/>
      <c r="G1181" s="140"/>
      <c r="H1181" s="131"/>
      <c r="I1181" s="131"/>
      <c r="J1181" s="131"/>
      <c r="K1181" s="131"/>
      <c r="L1181" s="131"/>
      <c r="M1181" s="131"/>
      <c r="N1181" s="131"/>
      <c r="O1181" s="131"/>
      <c r="P1181" s="131"/>
      <c r="Q1181" s="131"/>
      <c r="R1181" s="131"/>
      <c r="S1181" s="131"/>
      <c r="T1181" s="131"/>
      <c r="U1181" s="131"/>
      <c r="V1181" s="131"/>
      <c r="W1181" s="131"/>
      <c r="X1181" s="131"/>
      <c r="Y1181" s="131"/>
      <c r="Z1181" s="131"/>
    </row>
    <row r="1182">
      <c r="A1182" s="262"/>
      <c r="B1182" s="262"/>
      <c r="C1182" s="262"/>
      <c r="D1182" s="262"/>
      <c r="E1182" s="260"/>
      <c r="F1182" s="132"/>
      <c r="G1182" s="140"/>
      <c r="H1182" s="131"/>
      <c r="I1182" s="131"/>
      <c r="J1182" s="131"/>
      <c r="K1182" s="131"/>
      <c r="L1182" s="131"/>
      <c r="M1182" s="131"/>
      <c r="N1182" s="131"/>
      <c r="O1182" s="131"/>
      <c r="P1182" s="131"/>
      <c r="Q1182" s="131"/>
      <c r="R1182" s="131"/>
      <c r="S1182" s="131"/>
      <c r="T1182" s="131"/>
      <c r="U1182" s="131"/>
      <c r="V1182" s="131"/>
      <c r="W1182" s="131"/>
      <c r="X1182" s="131"/>
      <c r="Y1182" s="131"/>
      <c r="Z1182" s="131"/>
    </row>
    <row r="1183">
      <c r="A1183" s="262"/>
      <c r="B1183" s="262"/>
      <c r="C1183" s="262"/>
      <c r="D1183" s="262"/>
      <c r="E1183" s="260"/>
      <c r="F1183" s="132"/>
      <c r="G1183" s="140"/>
      <c r="H1183" s="131"/>
      <c r="I1183" s="131"/>
      <c r="J1183" s="131"/>
      <c r="K1183" s="131"/>
      <c r="L1183" s="131"/>
      <c r="M1183" s="131"/>
      <c r="N1183" s="131"/>
      <c r="O1183" s="131"/>
      <c r="P1183" s="131"/>
      <c r="Q1183" s="131"/>
      <c r="R1183" s="131"/>
      <c r="S1183" s="131"/>
      <c r="T1183" s="131"/>
      <c r="U1183" s="131"/>
      <c r="V1183" s="131"/>
      <c r="W1183" s="131"/>
      <c r="X1183" s="131"/>
      <c r="Y1183" s="131"/>
      <c r="Z1183" s="131"/>
    </row>
    <row r="1184">
      <c r="A1184" s="262"/>
      <c r="B1184" s="262"/>
      <c r="C1184" s="262"/>
      <c r="D1184" s="262"/>
      <c r="E1184" s="260"/>
      <c r="F1184" s="132"/>
      <c r="G1184" s="140"/>
      <c r="H1184" s="131"/>
      <c r="I1184" s="131"/>
      <c r="J1184" s="131"/>
      <c r="K1184" s="131"/>
      <c r="L1184" s="131"/>
      <c r="M1184" s="131"/>
      <c r="N1184" s="131"/>
      <c r="O1184" s="131"/>
      <c r="P1184" s="131"/>
      <c r="Q1184" s="131"/>
      <c r="R1184" s="131"/>
      <c r="S1184" s="131"/>
      <c r="T1184" s="131"/>
      <c r="U1184" s="131"/>
      <c r="V1184" s="131"/>
      <c r="W1184" s="131"/>
      <c r="X1184" s="131"/>
      <c r="Y1184" s="131"/>
      <c r="Z1184" s="131"/>
    </row>
    <row r="1185">
      <c r="A1185" s="262"/>
      <c r="B1185" s="262"/>
      <c r="C1185" s="262"/>
      <c r="D1185" s="262"/>
      <c r="E1185" s="260"/>
      <c r="F1185" s="132"/>
      <c r="G1185" s="140"/>
      <c r="H1185" s="131"/>
      <c r="I1185" s="131"/>
      <c r="J1185" s="131"/>
      <c r="K1185" s="131"/>
      <c r="L1185" s="131"/>
      <c r="M1185" s="131"/>
      <c r="N1185" s="131"/>
      <c r="O1185" s="131"/>
      <c r="P1185" s="131"/>
      <c r="Q1185" s="131"/>
      <c r="R1185" s="131"/>
      <c r="S1185" s="131"/>
      <c r="T1185" s="131"/>
      <c r="U1185" s="131"/>
      <c r="V1185" s="131"/>
      <c r="W1185" s="131"/>
      <c r="X1185" s="131"/>
      <c r="Y1185" s="131"/>
      <c r="Z1185" s="131"/>
    </row>
    <row r="1186">
      <c r="A1186" s="262"/>
      <c r="B1186" s="262"/>
      <c r="C1186" s="262"/>
      <c r="D1186" s="262"/>
      <c r="E1186" s="260"/>
      <c r="F1186" s="132"/>
      <c r="G1186" s="140"/>
      <c r="H1186" s="131"/>
      <c r="I1186" s="131"/>
      <c r="J1186" s="131"/>
      <c r="K1186" s="131"/>
      <c r="L1186" s="131"/>
      <c r="M1186" s="131"/>
      <c r="N1186" s="131"/>
      <c r="O1186" s="131"/>
      <c r="P1186" s="131"/>
      <c r="Q1186" s="131"/>
      <c r="R1186" s="131"/>
      <c r="S1186" s="131"/>
      <c r="T1186" s="131"/>
      <c r="U1186" s="131"/>
      <c r="V1186" s="131"/>
      <c r="W1186" s="131"/>
      <c r="X1186" s="131"/>
      <c r="Y1186" s="131"/>
      <c r="Z1186" s="131"/>
    </row>
    <row r="1187">
      <c r="A1187" s="262"/>
      <c r="B1187" s="262"/>
      <c r="C1187" s="262"/>
      <c r="D1187" s="262"/>
      <c r="E1187" s="260"/>
      <c r="F1187" s="132"/>
      <c r="G1187" s="140"/>
      <c r="H1187" s="131"/>
      <c r="I1187" s="131"/>
      <c r="J1187" s="131"/>
      <c r="K1187" s="131"/>
      <c r="L1187" s="131"/>
      <c r="M1187" s="131"/>
      <c r="N1187" s="131"/>
      <c r="O1187" s="131"/>
      <c r="P1187" s="131"/>
      <c r="Q1187" s="131"/>
      <c r="R1187" s="131"/>
      <c r="S1187" s="131"/>
      <c r="T1187" s="131"/>
      <c r="U1187" s="131"/>
      <c r="V1187" s="131"/>
      <c r="W1187" s="131"/>
      <c r="X1187" s="131"/>
      <c r="Y1187" s="131"/>
      <c r="Z1187" s="131"/>
    </row>
    <row r="1188">
      <c r="A1188" s="262"/>
      <c r="B1188" s="262"/>
      <c r="C1188" s="262"/>
      <c r="D1188" s="262"/>
      <c r="E1188" s="260"/>
      <c r="F1188" s="132"/>
      <c r="G1188" s="140"/>
      <c r="H1188" s="131"/>
      <c r="I1188" s="131"/>
      <c r="J1188" s="131"/>
      <c r="K1188" s="131"/>
      <c r="L1188" s="131"/>
      <c r="M1188" s="131"/>
      <c r="N1188" s="131"/>
      <c r="O1188" s="131"/>
      <c r="P1188" s="131"/>
      <c r="Q1188" s="131"/>
      <c r="R1188" s="131"/>
      <c r="S1188" s="131"/>
      <c r="T1188" s="131"/>
      <c r="U1188" s="131"/>
      <c r="V1188" s="131"/>
      <c r="W1188" s="131"/>
      <c r="X1188" s="131"/>
      <c r="Y1188" s="131"/>
      <c r="Z1188" s="131"/>
    </row>
    <row r="1189">
      <c r="A1189" s="262"/>
      <c r="B1189" s="262"/>
      <c r="C1189" s="262"/>
      <c r="D1189" s="262"/>
      <c r="E1189" s="260"/>
      <c r="F1189" s="132"/>
      <c r="G1189" s="140"/>
      <c r="H1189" s="131"/>
      <c r="I1189" s="131"/>
      <c r="J1189" s="131"/>
      <c r="K1189" s="131"/>
      <c r="L1189" s="131"/>
      <c r="M1189" s="131"/>
      <c r="N1189" s="131"/>
      <c r="O1189" s="131"/>
      <c r="P1189" s="131"/>
      <c r="Q1189" s="131"/>
      <c r="R1189" s="131"/>
      <c r="S1189" s="131"/>
      <c r="T1189" s="131"/>
      <c r="U1189" s="131"/>
      <c r="V1189" s="131"/>
      <c r="W1189" s="131"/>
      <c r="X1189" s="131"/>
      <c r="Y1189" s="131"/>
      <c r="Z1189" s="131"/>
    </row>
    <row r="1190">
      <c r="A1190" s="262"/>
      <c r="B1190" s="262"/>
      <c r="C1190" s="262"/>
      <c r="D1190" s="262"/>
      <c r="E1190" s="260"/>
      <c r="F1190" s="132"/>
      <c r="G1190" s="140"/>
      <c r="H1190" s="131"/>
      <c r="I1190" s="131"/>
      <c r="J1190" s="131"/>
      <c r="K1190" s="131"/>
      <c r="L1190" s="131"/>
      <c r="M1190" s="131"/>
      <c r="N1190" s="131"/>
      <c r="O1190" s="131"/>
      <c r="P1190" s="131"/>
      <c r="Q1190" s="131"/>
      <c r="R1190" s="131"/>
      <c r="S1190" s="131"/>
      <c r="T1190" s="131"/>
      <c r="U1190" s="131"/>
      <c r="V1190" s="131"/>
      <c r="W1190" s="131"/>
      <c r="X1190" s="131"/>
      <c r="Y1190" s="131"/>
      <c r="Z1190" s="131"/>
    </row>
    <row r="1191">
      <c r="A1191" s="262"/>
      <c r="B1191" s="262"/>
      <c r="C1191" s="262"/>
      <c r="D1191" s="262"/>
      <c r="E1191" s="260"/>
      <c r="F1191" s="132"/>
      <c r="G1191" s="140"/>
      <c r="H1191" s="131"/>
      <c r="I1191" s="131"/>
      <c r="J1191" s="131"/>
      <c r="K1191" s="131"/>
      <c r="L1191" s="131"/>
      <c r="M1191" s="131"/>
      <c r="N1191" s="131"/>
      <c r="O1191" s="131"/>
      <c r="P1191" s="131"/>
      <c r="Q1191" s="131"/>
      <c r="R1191" s="131"/>
      <c r="S1191" s="131"/>
      <c r="T1191" s="131"/>
      <c r="U1191" s="131"/>
      <c r="V1191" s="131"/>
      <c r="W1191" s="131"/>
      <c r="X1191" s="131"/>
      <c r="Y1191" s="131"/>
      <c r="Z1191" s="131"/>
    </row>
    <row r="1192">
      <c r="A1192" s="262"/>
      <c r="B1192" s="262"/>
      <c r="C1192" s="262"/>
      <c r="D1192" s="262"/>
      <c r="E1192" s="260"/>
      <c r="F1192" s="132"/>
      <c r="G1192" s="140"/>
      <c r="H1192" s="131"/>
      <c r="I1192" s="131"/>
      <c r="J1192" s="131"/>
      <c r="K1192" s="131"/>
      <c r="L1192" s="131"/>
      <c r="M1192" s="131"/>
      <c r="N1192" s="131"/>
      <c r="O1192" s="131"/>
      <c r="P1192" s="131"/>
      <c r="Q1192" s="131"/>
      <c r="R1192" s="131"/>
      <c r="S1192" s="131"/>
      <c r="T1192" s="131"/>
      <c r="U1192" s="131"/>
      <c r="V1192" s="131"/>
      <c r="W1192" s="131"/>
      <c r="X1192" s="131"/>
      <c r="Y1192" s="131"/>
      <c r="Z1192" s="131"/>
    </row>
    <row r="1193">
      <c r="A1193" s="262"/>
      <c r="B1193" s="262"/>
      <c r="C1193" s="262"/>
      <c r="D1193" s="262"/>
      <c r="E1193" s="260"/>
      <c r="F1193" s="132"/>
      <c r="G1193" s="140"/>
      <c r="H1193" s="131"/>
      <c r="I1193" s="131"/>
      <c r="J1193" s="131"/>
      <c r="K1193" s="131"/>
      <c r="L1193" s="131"/>
      <c r="M1193" s="131"/>
      <c r="N1193" s="131"/>
      <c r="O1193" s="131"/>
      <c r="P1193" s="131"/>
      <c r="Q1193" s="131"/>
      <c r="R1193" s="131"/>
      <c r="S1193" s="131"/>
      <c r="T1193" s="131"/>
      <c r="U1193" s="131"/>
      <c r="V1193" s="131"/>
      <c r="W1193" s="131"/>
      <c r="X1193" s="131"/>
      <c r="Y1193" s="131"/>
      <c r="Z1193" s="131"/>
    </row>
    <row r="1194">
      <c r="A1194" s="262"/>
      <c r="B1194" s="262"/>
      <c r="C1194" s="262"/>
      <c r="D1194" s="262"/>
      <c r="E1194" s="260"/>
      <c r="F1194" s="132"/>
      <c r="G1194" s="140"/>
      <c r="H1194" s="131"/>
      <c r="I1194" s="131"/>
      <c r="J1194" s="131"/>
      <c r="K1194" s="131"/>
      <c r="L1194" s="131"/>
      <c r="M1194" s="131"/>
      <c r="N1194" s="131"/>
      <c r="O1194" s="131"/>
      <c r="P1194" s="131"/>
      <c r="Q1194" s="131"/>
      <c r="R1194" s="131"/>
      <c r="S1194" s="131"/>
      <c r="T1194" s="131"/>
      <c r="U1194" s="131"/>
      <c r="V1194" s="131"/>
      <c r="W1194" s="131"/>
      <c r="X1194" s="131"/>
      <c r="Y1194" s="131"/>
      <c r="Z1194" s="131"/>
    </row>
    <row r="1195">
      <c r="A1195" s="262"/>
      <c r="B1195" s="262"/>
      <c r="C1195" s="262"/>
      <c r="D1195" s="262"/>
      <c r="E1195" s="260"/>
      <c r="F1195" s="132"/>
      <c r="G1195" s="140"/>
      <c r="H1195" s="131"/>
      <c r="I1195" s="131"/>
      <c r="J1195" s="131"/>
      <c r="K1195" s="131"/>
      <c r="L1195" s="131"/>
      <c r="M1195" s="131"/>
      <c r="N1195" s="131"/>
      <c r="O1195" s="131"/>
      <c r="P1195" s="131"/>
      <c r="Q1195" s="131"/>
      <c r="R1195" s="131"/>
      <c r="S1195" s="131"/>
      <c r="T1195" s="131"/>
      <c r="U1195" s="131"/>
      <c r="V1195" s="131"/>
      <c r="W1195" s="131"/>
      <c r="X1195" s="131"/>
      <c r="Y1195" s="131"/>
      <c r="Z1195" s="131"/>
    </row>
    <row r="1196">
      <c r="A1196" s="262"/>
      <c r="B1196" s="262"/>
      <c r="C1196" s="262"/>
      <c r="D1196" s="262"/>
      <c r="E1196" s="260"/>
      <c r="F1196" s="132"/>
      <c r="G1196" s="140"/>
      <c r="H1196" s="131"/>
      <c r="I1196" s="131"/>
      <c r="J1196" s="131"/>
      <c r="K1196" s="131"/>
      <c r="L1196" s="131"/>
      <c r="M1196" s="131"/>
      <c r="N1196" s="131"/>
      <c r="O1196" s="131"/>
      <c r="P1196" s="131"/>
      <c r="Q1196" s="131"/>
      <c r="R1196" s="131"/>
      <c r="S1196" s="131"/>
      <c r="T1196" s="131"/>
      <c r="U1196" s="131"/>
      <c r="V1196" s="131"/>
      <c r="W1196" s="131"/>
      <c r="X1196" s="131"/>
      <c r="Y1196" s="131"/>
      <c r="Z1196" s="131"/>
    </row>
    <row r="1197">
      <c r="A1197" s="262"/>
      <c r="B1197" s="262"/>
      <c r="C1197" s="262"/>
      <c r="D1197" s="262"/>
      <c r="E1197" s="260"/>
      <c r="F1197" s="132"/>
      <c r="G1197" s="140"/>
      <c r="H1197" s="131"/>
      <c r="I1197" s="131"/>
      <c r="J1197" s="131"/>
      <c r="K1197" s="131"/>
      <c r="L1197" s="131"/>
      <c r="M1197" s="131"/>
      <c r="N1197" s="131"/>
      <c r="O1197" s="131"/>
      <c r="P1197" s="131"/>
      <c r="Q1197" s="131"/>
      <c r="R1197" s="131"/>
      <c r="S1197" s="131"/>
      <c r="T1197" s="131"/>
      <c r="U1197" s="131"/>
      <c r="V1197" s="131"/>
      <c r="W1197" s="131"/>
      <c r="X1197" s="131"/>
      <c r="Y1197" s="131"/>
      <c r="Z1197" s="131"/>
    </row>
    <row r="1198">
      <c r="A1198" s="262"/>
      <c r="B1198" s="262"/>
      <c r="C1198" s="262"/>
      <c r="D1198" s="262"/>
      <c r="E1198" s="260"/>
      <c r="F1198" s="132"/>
      <c r="G1198" s="140"/>
      <c r="H1198" s="131"/>
      <c r="I1198" s="131"/>
      <c r="J1198" s="131"/>
      <c r="K1198" s="131"/>
      <c r="L1198" s="131"/>
      <c r="M1198" s="131"/>
      <c r="N1198" s="131"/>
      <c r="O1198" s="131"/>
      <c r="P1198" s="131"/>
      <c r="Q1198" s="131"/>
      <c r="R1198" s="131"/>
      <c r="S1198" s="131"/>
      <c r="T1198" s="131"/>
      <c r="U1198" s="131"/>
      <c r="V1198" s="131"/>
      <c r="W1198" s="131"/>
      <c r="X1198" s="131"/>
      <c r="Y1198" s="131"/>
      <c r="Z1198" s="131"/>
    </row>
    <row r="1199">
      <c r="A1199" s="262"/>
      <c r="B1199" s="262"/>
      <c r="C1199" s="262"/>
      <c r="D1199" s="262"/>
      <c r="E1199" s="260"/>
      <c r="F1199" s="132"/>
      <c r="G1199" s="140"/>
      <c r="H1199" s="131"/>
      <c r="I1199" s="131"/>
      <c r="J1199" s="131"/>
      <c r="K1199" s="131"/>
      <c r="L1199" s="131"/>
      <c r="M1199" s="131"/>
      <c r="N1199" s="131"/>
      <c r="O1199" s="131"/>
      <c r="P1199" s="131"/>
      <c r="Q1199" s="131"/>
      <c r="R1199" s="131"/>
      <c r="S1199" s="131"/>
      <c r="T1199" s="131"/>
      <c r="U1199" s="131"/>
      <c r="V1199" s="131"/>
      <c r="W1199" s="131"/>
      <c r="X1199" s="131"/>
      <c r="Y1199" s="131"/>
      <c r="Z1199" s="131"/>
    </row>
    <row r="1200">
      <c r="A1200" s="262"/>
      <c r="B1200" s="262"/>
      <c r="C1200" s="262"/>
      <c r="D1200" s="262"/>
      <c r="E1200" s="260"/>
      <c r="F1200" s="132"/>
      <c r="G1200" s="140"/>
      <c r="H1200" s="131"/>
      <c r="I1200" s="131"/>
      <c r="J1200" s="131"/>
      <c r="K1200" s="131"/>
      <c r="L1200" s="131"/>
      <c r="M1200" s="131"/>
      <c r="N1200" s="131"/>
      <c r="O1200" s="131"/>
      <c r="P1200" s="131"/>
      <c r="Q1200" s="131"/>
      <c r="R1200" s="131"/>
      <c r="S1200" s="131"/>
      <c r="T1200" s="131"/>
      <c r="U1200" s="131"/>
      <c r="V1200" s="131"/>
      <c r="W1200" s="131"/>
      <c r="X1200" s="131"/>
      <c r="Y1200" s="131"/>
      <c r="Z1200" s="131"/>
    </row>
    <row r="1201">
      <c r="A1201" s="262"/>
      <c r="B1201" s="262"/>
      <c r="C1201" s="262"/>
      <c r="D1201" s="262"/>
      <c r="E1201" s="260"/>
      <c r="F1201" s="132"/>
      <c r="G1201" s="140"/>
      <c r="H1201" s="131"/>
      <c r="I1201" s="131"/>
      <c r="J1201" s="131"/>
      <c r="K1201" s="131"/>
      <c r="L1201" s="131"/>
      <c r="M1201" s="131"/>
      <c r="N1201" s="131"/>
      <c r="O1201" s="131"/>
      <c r="P1201" s="131"/>
      <c r="Q1201" s="131"/>
      <c r="R1201" s="131"/>
      <c r="S1201" s="131"/>
      <c r="T1201" s="131"/>
      <c r="U1201" s="131"/>
      <c r="V1201" s="131"/>
      <c r="W1201" s="131"/>
      <c r="X1201" s="131"/>
      <c r="Y1201" s="131"/>
      <c r="Z1201" s="131"/>
    </row>
    <row r="1202">
      <c r="A1202" s="262"/>
      <c r="B1202" s="262"/>
      <c r="C1202" s="262"/>
      <c r="D1202" s="262"/>
      <c r="E1202" s="260"/>
      <c r="F1202" s="132"/>
      <c r="G1202" s="140"/>
      <c r="H1202" s="131"/>
      <c r="I1202" s="131"/>
      <c r="J1202" s="131"/>
      <c r="K1202" s="131"/>
      <c r="L1202" s="131"/>
      <c r="M1202" s="131"/>
      <c r="N1202" s="131"/>
      <c r="O1202" s="131"/>
      <c r="P1202" s="131"/>
      <c r="Q1202" s="131"/>
      <c r="R1202" s="131"/>
      <c r="S1202" s="131"/>
      <c r="T1202" s="131"/>
      <c r="U1202" s="131"/>
      <c r="V1202" s="131"/>
      <c r="W1202" s="131"/>
      <c r="X1202" s="131"/>
      <c r="Y1202" s="131"/>
      <c r="Z1202" s="131"/>
    </row>
    <row r="1203">
      <c r="A1203" s="262"/>
      <c r="B1203" s="262"/>
      <c r="C1203" s="262"/>
      <c r="D1203" s="262"/>
      <c r="E1203" s="260"/>
      <c r="F1203" s="132"/>
      <c r="G1203" s="140"/>
      <c r="H1203" s="131"/>
      <c r="I1203" s="131"/>
      <c r="J1203" s="131"/>
      <c r="K1203" s="131"/>
      <c r="L1203" s="131"/>
      <c r="M1203" s="131"/>
      <c r="N1203" s="131"/>
      <c r="O1203" s="131"/>
      <c r="P1203" s="131"/>
      <c r="Q1203" s="131"/>
      <c r="R1203" s="131"/>
      <c r="S1203" s="131"/>
      <c r="T1203" s="131"/>
      <c r="U1203" s="131"/>
      <c r="V1203" s="131"/>
      <c r="W1203" s="131"/>
      <c r="X1203" s="131"/>
      <c r="Y1203" s="131"/>
      <c r="Z1203" s="131"/>
    </row>
    <row r="1204">
      <c r="A1204" s="262"/>
      <c r="B1204" s="262"/>
      <c r="C1204" s="262"/>
      <c r="D1204" s="262"/>
      <c r="E1204" s="260"/>
      <c r="F1204" s="132"/>
      <c r="G1204" s="140"/>
      <c r="H1204" s="131"/>
      <c r="I1204" s="131"/>
      <c r="J1204" s="131"/>
      <c r="K1204" s="131"/>
      <c r="L1204" s="131"/>
      <c r="M1204" s="131"/>
      <c r="N1204" s="131"/>
      <c r="O1204" s="131"/>
      <c r="P1204" s="131"/>
      <c r="Q1204" s="131"/>
      <c r="R1204" s="131"/>
      <c r="S1204" s="131"/>
      <c r="T1204" s="131"/>
      <c r="U1204" s="131"/>
      <c r="V1204" s="131"/>
      <c r="W1204" s="131"/>
      <c r="X1204" s="131"/>
      <c r="Y1204" s="131"/>
      <c r="Z1204" s="131"/>
    </row>
    <row r="1205">
      <c r="A1205" s="262"/>
      <c r="B1205" s="262"/>
      <c r="C1205" s="262"/>
      <c r="D1205" s="262"/>
      <c r="E1205" s="260"/>
      <c r="F1205" s="132"/>
      <c r="G1205" s="140"/>
      <c r="H1205" s="131"/>
      <c r="I1205" s="131"/>
      <c r="J1205" s="131"/>
      <c r="K1205" s="131"/>
      <c r="L1205" s="131"/>
      <c r="M1205" s="131"/>
      <c r="N1205" s="131"/>
      <c r="O1205" s="131"/>
      <c r="P1205" s="131"/>
      <c r="Q1205" s="131"/>
      <c r="R1205" s="131"/>
      <c r="S1205" s="131"/>
      <c r="T1205" s="131"/>
      <c r="U1205" s="131"/>
      <c r="V1205" s="131"/>
      <c r="W1205" s="131"/>
      <c r="X1205" s="131"/>
      <c r="Y1205" s="131"/>
      <c r="Z1205" s="131"/>
    </row>
    <row r="1206">
      <c r="A1206" s="262"/>
      <c r="B1206" s="262"/>
      <c r="C1206" s="262"/>
      <c r="D1206" s="262"/>
      <c r="E1206" s="260"/>
      <c r="F1206" s="132"/>
      <c r="G1206" s="140"/>
      <c r="H1206" s="131"/>
      <c r="I1206" s="131"/>
      <c r="J1206" s="131"/>
      <c r="K1206" s="131"/>
      <c r="L1206" s="131"/>
      <c r="M1206" s="131"/>
      <c r="N1206" s="131"/>
      <c r="O1206" s="131"/>
      <c r="P1206" s="131"/>
      <c r="Q1206" s="131"/>
      <c r="R1206" s="131"/>
      <c r="S1206" s="131"/>
      <c r="T1206" s="131"/>
      <c r="U1206" s="131"/>
      <c r="V1206" s="131"/>
      <c r="W1206" s="131"/>
      <c r="X1206" s="131"/>
      <c r="Y1206" s="131"/>
      <c r="Z1206" s="131"/>
    </row>
    <row r="1207">
      <c r="A1207" s="262"/>
      <c r="B1207" s="262"/>
      <c r="C1207" s="262"/>
      <c r="D1207" s="262"/>
      <c r="E1207" s="260"/>
      <c r="F1207" s="132"/>
      <c r="G1207" s="140"/>
      <c r="H1207" s="131"/>
      <c r="I1207" s="131"/>
      <c r="J1207" s="131"/>
      <c r="K1207" s="131"/>
      <c r="L1207" s="131"/>
      <c r="M1207" s="131"/>
      <c r="N1207" s="131"/>
      <c r="O1207" s="131"/>
      <c r="P1207" s="131"/>
      <c r="Q1207" s="131"/>
      <c r="R1207" s="131"/>
      <c r="S1207" s="131"/>
      <c r="T1207" s="131"/>
      <c r="U1207" s="131"/>
      <c r="V1207" s="131"/>
      <c r="W1207" s="131"/>
      <c r="X1207" s="131"/>
      <c r="Y1207" s="131"/>
      <c r="Z1207" s="131"/>
    </row>
    <row r="1208">
      <c r="A1208" s="262"/>
      <c r="B1208" s="262"/>
      <c r="C1208" s="262"/>
      <c r="D1208" s="262"/>
      <c r="E1208" s="260"/>
      <c r="F1208" s="132"/>
      <c r="G1208" s="140"/>
      <c r="H1208" s="131"/>
      <c r="I1208" s="131"/>
      <c r="J1208" s="131"/>
      <c r="K1208" s="131"/>
      <c r="L1208" s="131"/>
      <c r="M1208" s="131"/>
      <c r="N1208" s="131"/>
      <c r="O1208" s="131"/>
      <c r="P1208" s="131"/>
      <c r="Q1208" s="131"/>
      <c r="R1208" s="131"/>
      <c r="S1208" s="131"/>
      <c r="T1208" s="131"/>
      <c r="U1208" s="131"/>
      <c r="V1208" s="131"/>
      <c r="W1208" s="131"/>
      <c r="X1208" s="131"/>
      <c r="Y1208" s="131"/>
      <c r="Z1208" s="131"/>
    </row>
    <row r="1209">
      <c r="A1209" s="262"/>
      <c r="B1209" s="262"/>
      <c r="C1209" s="262"/>
      <c r="D1209" s="262"/>
      <c r="E1209" s="260"/>
      <c r="F1209" s="132"/>
      <c r="G1209" s="140"/>
      <c r="H1209" s="131"/>
      <c r="I1209" s="131"/>
      <c r="J1209" s="131"/>
      <c r="K1209" s="131"/>
      <c r="L1209" s="131"/>
      <c r="M1209" s="131"/>
      <c r="N1209" s="131"/>
      <c r="O1209" s="131"/>
      <c r="P1209" s="131"/>
      <c r="Q1209" s="131"/>
      <c r="R1209" s="131"/>
      <c r="S1209" s="131"/>
      <c r="T1209" s="131"/>
      <c r="U1209" s="131"/>
      <c r="V1209" s="131"/>
      <c r="W1209" s="131"/>
      <c r="X1209" s="131"/>
      <c r="Y1209" s="131"/>
      <c r="Z1209" s="131"/>
    </row>
    <row r="1210">
      <c r="A1210" s="262"/>
      <c r="B1210" s="262"/>
      <c r="C1210" s="262"/>
      <c r="D1210" s="262"/>
      <c r="E1210" s="260"/>
      <c r="F1210" s="132"/>
      <c r="G1210" s="140"/>
      <c r="H1210" s="131"/>
      <c r="I1210" s="131"/>
      <c r="J1210" s="131"/>
      <c r="K1210" s="131"/>
      <c r="L1210" s="131"/>
      <c r="M1210" s="131"/>
      <c r="N1210" s="131"/>
      <c r="O1210" s="131"/>
      <c r="P1210" s="131"/>
      <c r="Q1210" s="131"/>
      <c r="R1210" s="131"/>
      <c r="S1210" s="131"/>
      <c r="T1210" s="131"/>
      <c r="U1210" s="131"/>
      <c r="V1210" s="131"/>
      <c r="W1210" s="131"/>
      <c r="X1210" s="131"/>
      <c r="Y1210" s="131"/>
      <c r="Z1210" s="131"/>
    </row>
    <row r="1211">
      <c r="A1211" s="262"/>
      <c r="B1211" s="262"/>
      <c r="C1211" s="262"/>
      <c r="D1211" s="262"/>
      <c r="E1211" s="260"/>
      <c r="F1211" s="132"/>
      <c r="G1211" s="140"/>
      <c r="H1211" s="131"/>
      <c r="I1211" s="131"/>
      <c r="J1211" s="131"/>
      <c r="K1211" s="131"/>
      <c r="L1211" s="131"/>
      <c r="M1211" s="131"/>
      <c r="N1211" s="131"/>
      <c r="O1211" s="131"/>
      <c r="P1211" s="131"/>
      <c r="Q1211" s="131"/>
      <c r="R1211" s="131"/>
      <c r="S1211" s="131"/>
      <c r="T1211" s="131"/>
      <c r="U1211" s="131"/>
      <c r="V1211" s="131"/>
      <c r="W1211" s="131"/>
      <c r="X1211" s="131"/>
      <c r="Y1211" s="131"/>
      <c r="Z1211" s="131"/>
    </row>
    <row r="1212">
      <c r="A1212" s="262"/>
      <c r="B1212" s="262"/>
      <c r="C1212" s="262"/>
      <c r="D1212" s="262"/>
      <c r="E1212" s="260"/>
      <c r="F1212" s="132"/>
      <c r="G1212" s="140"/>
      <c r="H1212" s="131"/>
      <c r="I1212" s="131"/>
      <c r="J1212" s="131"/>
      <c r="K1212" s="131"/>
      <c r="L1212" s="131"/>
      <c r="M1212" s="131"/>
      <c r="N1212" s="131"/>
      <c r="O1212" s="131"/>
      <c r="P1212" s="131"/>
      <c r="Q1212" s="131"/>
      <c r="R1212" s="131"/>
      <c r="S1212" s="131"/>
      <c r="T1212" s="131"/>
      <c r="U1212" s="131"/>
      <c r="V1212" s="131"/>
      <c r="W1212" s="131"/>
      <c r="X1212" s="131"/>
      <c r="Y1212" s="131"/>
      <c r="Z1212" s="131"/>
    </row>
    <row r="1213">
      <c r="A1213" s="262"/>
      <c r="B1213" s="262"/>
      <c r="C1213" s="262"/>
      <c r="D1213" s="262"/>
      <c r="E1213" s="260"/>
      <c r="F1213" s="132"/>
      <c r="G1213" s="140"/>
      <c r="H1213" s="131"/>
      <c r="I1213" s="131"/>
      <c r="J1213" s="131"/>
      <c r="K1213" s="131"/>
      <c r="L1213" s="131"/>
      <c r="M1213" s="131"/>
      <c r="N1213" s="131"/>
      <c r="O1213" s="131"/>
      <c r="P1213" s="131"/>
      <c r="Q1213" s="131"/>
      <c r="R1213" s="131"/>
      <c r="S1213" s="131"/>
      <c r="T1213" s="131"/>
      <c r="U1213" s="131"/>
      <c r="V1213" s="131"/>
      <c r="W1213" s="131"/>
      <c r="X1213" s="131"/>
      <c r="Y1213" s="131"/>
      <c r="Z1213" s="131"/>
    </row>
    <row r="1214">
      <c r="A1214" s="262"/>
      <c r="B1214" s="262"/>
      <c r="C1214" s="262"/>
      <c r="D1214" s="262"/>
      <c r="E1214" s="260"/>
      <c r="F1214" s="132"/>
      <c r="G1214" s="140"/>
      <c r="H1214" s="131"/>
      <c r="I1214" s="131"/>
      <c r="J1214" s="131"/>
      <c r="K1214" s="131"/>
      <c r="L1214" s="131"/>
      <c r="M1214" s="131"/>
      <c r="N1214" s="131"/>
      <c r="O1214" s="131"/>
      <c r="P1214" s="131"/>
      <c r="Q1214" s="131"/>
      <c r="R1214" s="131"/>
      <c r="S1214" s="131"/>
      <c r="T1214" s="131"/>
      <c r="U1214" s="131"/>
      <c r="V1214" s="131"/>
      <c r="W1214" s="131"/>
      <c r="X1214" s="131"/>
      <c r="Y1214" s="131"/>
      <c r="Z1214" s="131"/>
    </row>
    <row r="1215">
      <c r="A1215" s="262"/>
      <c r="B1215" s="262"/>
      <c r="C1215" s="262"/>
      <c r="D1215" s="262"/>
      <c r="E1215" s="260"/>
      <c r="F1215" s="132"/>
      <c r="G1215" s="140"/>
      <c r="H1215" s="131"/>
      <c r="I1215" s="131"/>
      <c r="J1215" s="131"/>
      <c r="K1215" s="131"/>
      <c r="L1215" s="131"/>
      <c r="M1215" s="131"/>
      <c r="N1215" s="131"/>
      <c r="O1215" s="131"/>
      <c r="P1215" s="131"/>
      <c r="Q1215" s="131"/>
      <c r="R1215" s="131"/>
      <c r="S1215" s="131"/>
      <c r="T1215" s="131"/>
      <c r="U1215" s="131"/>
      <c r="V1215" s="131"/>
      <c r="W1215" s="131"/>
      <c r="X1215" s="131"/>
      <c r="Y1215" s="131"/>
      <c r="Z1215" s="131"/>
    </row>
    <row r="1216">
      <c r="A1216" s="262"/>
      <c r="B1216" s="262"/>
      <c r="C1216" s="262"/>
      <c r="D1216" s="262"/>
      <c r="E1216" s="260"/>
      <c r="F1216" s="132"/>
      <c r="G1216" s="140"/>
      <c r="H1216" s="131"/>
      <c r="I1216" s="131"/>
      <c r="J1216" s="131"/>
      <c r="K1216" s="131"/>
      <c r="L1216" s="131"/>
      <c r="M1216" s="131"/>
      <c r="N1216" s="131"/>
      <c r="O1216" s="131"/>
      <c r="P1216" s="131"/>
      <c r="Q1216" s="131"/>
      <c r="R1216" s="131"/>
      <c r="S1216" s="131"/>
      <c r="T1216" s="131"/>
      <c r="U1216" s="131"/>
      <c r="V1216" s="131"/>
      <c r="W1216" s="131"/>
      <c r="X1216" s="131"/>
      <c r="Y1216" s="131"/>
      <c r="Z1216" s="131"/>
    </row>
    <row r="1217">
      <c r="A1217" s="262"/>
      <c r="B1217" s="262"/>
      <c r="C1217" s="262"/>
      <c r="D1217" s="262"/>
      <c r="E1217" s="260"/>
      <c r="F1217" s="132"/>
      <c r="G1217" s="140"/>
      <c r="H1217" s="131"/>
      <c r="I1217" s="131"/>
      <c r="J1217" s="131"/>
      <c r="K1217" s="131"/>
      <c r="L1217" s="131"/>
      <c r="M1217" s="131"/>
      <c r="N1217" s="131"/>
      <c r="O1217" s="131"/>
      <c r="P1217" s="131"/>
      <c r="Q1217" s="131"/>
      <c r="R1217" s="131"/>
      <c r="S1217" s="131"/>
      <c r="T1217" s="131"/>
      <c r="U1217" s="131"/>
      <c r="V1217" s="131"/>
      <c r="W1217" s="131"/>
      <c r="X1217" s="131"/>
      <c r="Y1217" s="131"/>
      <c r="Z1217" s="131"/>
    </row>
    <row r="1218">
      <c r="A1218" s="262"/>
      <c r="B1218" s="262"/>
      <c r="C1218" s="262"/>
      <c r="D1218" s="262"/>
      <c r="E1218" s="260"/>
      <c r="F1218" s="132"/>
      <c r="G1218" s="140"/>
      <c r="H1218" s="131"/>
      <c r="I1218" s="131"/>
      <c r="J1218" s="131"/>
      <c r="K1218" s="131"/>
      <c r="L1218" s="131"/>
      <c r="M1218" s="131"/>
      <c r="N1218" s="131"/>
      <c r="O1218" s="131"/>
      <c r="P1218" s="131"/>
      <c r="Q1218" s="131"/>
      <c r="R1218" s="131"/>
      <c r="S1218" s="131"/>
      <c r="T1218" s="131"/>
      <c r="U1218" s="131"/>
      <c r="V1218" s="131"/>
      <c r="W1218" s="131"/>
      <c r="X1218" s="131"/>
      <c r="Y1218" s="131"/>
      <c r="Z1218" s="131"/>
    </row>
    <row r="1219">
      <c r="A1219" s="262"/>
      <c r="B1219" s="262"/>
      <c r="C1219" s="262"/>
      <c r="D1219" s="262"/>
      <c r="E1219" s="260"/>
      <c r="F1219" s="132"/>
      <c r="G1219" s="140"/>
      <c r="H1219" s="131"/>
      <c r="I1219" s="131"/>
      <c r="J1219" s="131"/>
      <c r="K1219" s="131"/>
      <c r="L1219" s="131"/>
      <c r="M1219" s="131"/>
      <c r="N1219" s="131"/>
      <c r="O1219" s="131"/>
      <c r="P1219" s="131"/>
      <c r="Q1219" s="131"/>
      <c r="R1219" s="131"/>
      <c r="S1219" s="131"/>
      <c r="T1219" s="131"/>
      <c r="U1219" s="131"/>
      <c r="V1219" s="131"/>
      <c r="W1219" s="131"/>
      <c r="X1219" s="131"/>
      <c r="Y1219" s="131"/>
      <c r="Z1219" s="131"/>
    </row>
    <row r="1220">
      <c r="A1220" s="262"/>
      <c r="B1220" s="262"/>
      <c r="C1220" s="262"/>
      <c r="D1220" s="262"/>
      <c r="E1220" s="260"/>
      <c r="F1220" s="132"/>
      <c r="G1220" s="140"/>
      <c r="H1220" s="131"/>
      <c r="I1220" s="131"/>
      <c r="J1220" s="131"/>
      <c r="K1220" s="131"/>
      <c r="L1220" s="131"/>
      <c r="M1220" s="131"/>
      <c r="N1220" s="131"/>
      <c r="O1220" s="131"/>
      <c r="P1220" s="131"/>
      <c r="Q1220" s="131"/>
      <c r="R1220" s="131"/>
      <c r="S1220" s="131"/>
      <c r="T1220" s="131"/>
      <c r="U1220" s="131"/>
      <c r="V1220" s="131"/>
      <c r="W1220" s="131"/>
      <c r="X1220" s="131"/>
      <c r="Y1220" s="131"/>
      <c r="Z1220" s="131"/>
    </row>
    <row r="1221">
      <c r="A1221" s="262"/>
      <c r="B1221" s="262"/>
      <c r="C1221" s="262"/>
      <c r="D1221" s="262"/>
      <c r="E1221" s="260"/>
      <c r="F1221" s="132"/>
      <c r="G1221" s="140"/>
      <c r="H1221" s="131"/>
      <c r="I1221" s="131"/>
      <c r="J1221" s="131"/>
      <c r="K1221" s="131"/>
      <c r="L1221" s="131"/>
      <c r="M1221" s="131"/>
      <c r="N1221" s="131"/>
      <c r="O1221" s="131"/>
      <c r="P1221" s="131"/>
      <c r="Q1221" s="131"/>
      <c r="R1221" s="131"/>
      <c r="S1221" s="131"/>
      <c r="T1221" s="131"/>
      <c r="U1221" s="131"/>
      <c r="V1221" s="131"/>
      <c r="W1221" s="131"/>
      <c r="X1221" s="131"/>
      <c r="Y1221" s="131"/>
      <c r="Z1221" s="131"/>
    </row>
    <row r="1222">
      <c r="A1222" s="262"/>
      <c r="B1222" s="262"/>
      <c r="C1222" s="262"/>
      <c r="D1222" s="262"/>
      <c r="E1222" s="260"/>
      <c r="F1222" s="132"/>
      <c r="G1222" s="140"/>
      <c r="H1222" s="131"/>
      <c r="I1222" s="131"/>
      <c r="J1222" s="131"/>
      <c r="K1222" s="131"/>
      <c r="L1222" s="131"/>
      <c r="M1222" s="131"/>
      <c r="N1222" s="131"/>
      <c r="O1222" s="131"/>
      <c r="P1222" s="131"/>
      <c r="Q1222" s="131"/>
      <c r="R1222" s="131"/>
      <c r="S1222" s="131"/>
      <c r="T1222" s="131"/>
      <c r="U1222" s="131"/>
      <c r="V1222" s="131"/>
      <c r="W1222" s="131"/>
      <c r="X1222" s="131"/>
      <c r="Y1222" s="131"/>
      <c r="Z1222" s="131"/>
    </row>
    <row r="1223">
      <c r="A1223" s="262"/>
      <c r="B1223" s="262"/>
      <c r="C1223" s="262"/>
      <c r="D1223" s="262"/>
      <c r="E1223" s="260"/>
      <c r="F1223" s="132"/>
      <c r="G1223" s="140"/>
      <c r="H1223" s="131"/>
      <c r="I1223" s="131"/>
      <c r="J1223" s="131"/>
      <c r="K1223" s="131"/>
      <c r="L1223" s="131"/>
      <c r="M1223" s="131"/>
      <c r="N1223" s="131"/>
      <c r="O1223" s="131"/>
      <c r="P1223" s="131"/>
      <c r="Q1223" s="131"/>
      <c r="R1223" s="131"/>
      <c r="S1223" s="131"/>
      <c r="T1223" s="131"/>
      <c r="U1223" s="131"/>
      <c r="V1223" s="131"/>
      <c r="W1223" s="131"/>
      <c r="X1223" s="131"/>
      <c r="Y1223" s="131"/>
      <c r="Z1223" s="131"/>
    </row>
    <row r="1224">
      <c r="A1224" s="262"/>
      <c r="B1224" s="262"/>
      <c r="C1224" s="262"/>
      <c r="D1224" s="262"/>
      <c r="E1224" s="260"/>
      <c r="F1224" s="132"/>
      <c r="G1224" s="140"/>
      <c r="H1224" s="131"/>
      <c r="I1224" s="131"/>
      <c r="J1224" s="131"/>
      <c r="K1224" s="131"/>
      <c r="L1224" s="131"/>
      <c r="M1224" s="131"/>
      <c r="N1224" s="131"/>
      <c r="O1224" s="131"/>
      <c r="P1224" s="131"/>
      <c r="Q1224" s="131"/>
      <c r="R1224" s="131"/>
      <c r="S1224" s="131"/>
      <c r="T1224" s="131"/>
      <c r="U1224" s="131"/>
      <c r="V1224" s="131"/>
      <c r="W1224" s="131"/>
      <c r="X1224" s="131"/>
      <c r="Y1224" s="131"/>
      <c r="Z1224" s="131"/>
    </row>
    <row r="1225">
      <c r="A1225" s="262"/>
      <c r="B1225" s="262"/>
      <c r="C1225" s="262"/>
      <c r="D1225" s="262"/>
      <c r="E1225" s="260"/>
      <c r="F1225" s="132"/>
      <c r="G1225" s="140"/>
      <c r="H1225" s="131"/>
      <c r="I1225" s="131"/>
      <c r="J1225" s="131"/>
      <c r="K1225" s="131"/>
      <c r="L1225" s="131"/>
      <c r="M1225" s="131"/>
      <c r="N1225" s="131"/>
      <c r="O1225" s="131"/>
      <c r="P1225" s="131"/>
      <c r="Q1225" s="131"/>
      <c r="R1225" s="131"/>
      <c r="S1225" s="131"/>
      <c r="T1225" s="131"/>
      <c r="U1225" s="131"/>
      <c r="V1225" s="131"/>
      <c r="W1225" s="131"/>
      <c r="X1225" s="131"/>
      <c r="Y1225" s="131"/>
      <c r="Z1225" s="131"/>
    </row>
    <row r="1226">
      <c r="A1226" s="262"/>
      <c r="B1226" s="262"/>
      <c r="C1226" s="262"/>
      <c r="D1226" s="262"/>
      <c r="E1226" s="260"/>
      <c r="F1226" s="132"/>
      <c r="G1226" s="140"/>
      <c r="H1226" s="131"/>
      <c r="I1226" s="131"/>
      <c r="J1226" s="131"/>
      <c r="K1226" s="131"/>
      <c r="L1226" s="131"/>
      <c r="M1226" s="131"/>
      <c r="N1226" s="131"/>
      <c r="O1226" s="131"/>
      <c r="P1226" s="131"/>
      <c r="Q1226" s="131"/>
      <c r="R1226" s="131"/>
      <c r="S1226" s="131"/>
      <c r="T1226" s="131"/>
      <c r="U1226" s="131"/>
      <c r="V1226" s="131"/>
      <c r="W1226" s="131"/>
      <c r="X1226" s="131"/>
      <c r="Y1226" s="131"/>
      <c r="Z1226" s="131"/>
    </row>
    <row r="1227">
      <c r="A1227" s="262"/>
      <c r="B1227" s="262"/>
      <c r="C1227" s="262"/>
      <c r="D1227" s="262"/>
      <c r="E1227" s="260"/>
      <c r="F1227" s="132"/>
      <c r="G1227" s="140"/>
      <c r="H1227" s="131"/>
      <c r="I1227" s="131"/>
      <c r="J1227" s="131"/>
      <c r="K1227" s="131"/>
      <c r="L1227" s="131"/>
      <c r="M1227" s="131"/>
      <c r="N1227" s="131"/>
      <c r="O1227" s="131"/>
      <c r="P1227" s="131"/>
      <c r="Q1227" s="131"/>
      <c r="R1227" s="131"/>
      <c r="S1227" s="131"/>
      <c r="T1227" s="131"/>
      <c r="U1227" s="131"/>
      <c r="V1227" s="131"/>
      <c r="W1227" s="131"/>
      <c r="X1227" s="131"/>
      <c r="Y1227" s="131"/>
      <c r="Z1227" s="131"/>
    </row>
    <row r="1228">
      <c r="A1228" s="262"/>
      <c r="B1228" s="262"/>
      <c r="C1228" s="262"/>
      <c r="D1228" s="262"/>
      <c r="E1228" s="260"/>
      <c r="F1228" s="132"/>
      <c r="G1228" s="140"/>
      <c r="H1228" s="131"/>
      <c r="I1228" s="131"/>
      <c r="J1228" s="131"/>
      <c r="K1228" s="131"/>
      <c r="L1228" s="131"/>
      <c r="M1228" s="131"/>
      <c r="N1228" s="131"/>
      <c r="O1228" s="131"/>
      <c r="P1228" s="131"/>
      <c r="Q1228" s="131"/>
      <c r="R1228" s="131"/>
      <c r="S1228" s="131"/>
      <c r="T1228" s="131"/>
      <c r="U1228" s="131"/>
      <c r="V1228" s="131"/>
      <c r="W1228" s="131"/>
      <c r="X1228" s="131"/>
      <c r="Y1228" s="131"/>
      <c r="Z1228" s="131"/>
    </row>
    <row r="1229">
      <c r="A1229" s="262"/>
      <c r="B1229" s="262"/>
      <c r="C1229" s="262"/>
      <c r="D1229" s="262"/>
      <c r="E1229" s="260"/>
      <c r="F1229" s="132"/>
      <c r="G1229" s="140"/>
      <c r="H1229" s="131"/>
      <c r="I1229" s="131"/>
      <c r="J1229" s="131"/>
      <c r="K1229" s="131"/>
      <c r="L1229" s="131"/>
      <c r="M1229" s="131"/>
      <c r="N1229" s="131"/>
      <c r="O1229" s="131"/>
      <c r="P1229" s="131"/>
      <c r="Q1229" s="131"/>
      <c r="R1229" s="131"/>
      <c r="S1229" s="131"/>
      <c r="T1229" s="131"/>
      <c r="U1229" s="131"/>
      <c r="V1229" s="131"/>
      <c r="W1229" s="131"/>
      <c r="X1229" s="131"/>
      <c r="Y1229" s="131"/>
      <c r="Z1229" s="131"/>
    </row>
    <row r="1230">
      <c r="A1230" s="262"/>
      <c r="B1230" s="262"/>
      <c r="C1230" s="262"/>
      <c r="D1230" s="262"/>
      <c r="E1230" s="260"/>
      <c r="F1230" s="132"/>
      <c r="G1230" s="140"/>
      <c r="H1230" s="131"/>
      <c r="I1230" s="131"/>
      <c r="J1230" s="131"/>
      <c r="K1230" s="131"/>
      <c r="L1230" s="131"/>
      <c r="M1230" s="131"/>
      <c r="N1230" s="131"/>
      <c r="O1230" s="131"/>
      <c r="P1230" s="131"/>
      <c r="Q1230" s="131"/>
      <c r="R1230" s="131"/>
      <c r="S1230" s="131"/>
      <c r="T1230" s="131"/>
      <c r="U1230" s="131"/>
      <c r="V1230" s="131"/>
      <c r="W1230" s="131"/>
      <c r="X1230" s="131"/>
      <c r="Y1230" s="131"/>
      <c r="Z1230" s="131"/>
    </row>
    <row r="1231">
      <c r="A1231" s="262"/>
      <c r="B1231" s="262"/>
      <c r="C1231" s="262"/>
      <c r="D1231" s="262"/>
      <c r="E1231" s="260"/>
      <c r="F1231" s="132"/>
      <c r="G1231" s="140"/>
      <c r="H1231" s="131"/>
      <c r="I1231" s="131"/>
      <c r="J1231" s="131"/>
      <c r="K1231" s="131"/>
      <c r="L1231" s="131"/>
      <c r="M1231" s="131"/>
      <c r="N1231" s="131"/>
      <c r="O1231" s="131"/>
      <c r="P1231" s="131"/>
      <c r="Q1231" s="131"/>
      <c r="R1231" s="131"/>
      <c r="S1231" s="131"/>
      <c r="T1231" s="131"/>
      <c r="U1231" s="131"/>
      <c r="V1231" s="131"/>
      <c r="W1231" s="131"/>
      <c r="X1231" s="131"/>
      <c r="Y1231" s="131"/>
      <c r="Z1231" s="131"/>
    </row>
    <row r="1232">
      <c r="A1232" s="262"/>
      <c r="B1232" s="262"/>
      <c r="C1232" s="262"/>
      <c r="D1232" s="262"/>
      <c r="E1232" s="260"/>
      <c r="F1232" s="132"/>
      <c r="G1232" s="140"/>
      <c r="H1232" s="131"/>
      <c r="I1232" s="131"/>
      <c r="J1232" s="131"/>
      <c r="K1232" s="131"/>
      <c r="L1232" s="131"/>
      <c r="M1232" s="131"/>
      <c r="N1232" s="131"/>
      <c r="O1232" s="131"/>
      <c r="P1232" s="131"/>
      <c r="Q1232" s="131"/>
      <c r="R1232" s="131"/>
      <c r="S1232" s="131"/>
      <c r="T1232" s="131"/>
      <c r="U1232" s="131"/>
      <c r="V1232" s="131"/>
      <c r="W1232" s="131"/>
      <c r="X1232" s="131"/>
      <c r="Y1232" s="131"/>
      <c r="Z1232" s="131"/>
    </row>
    <row r="1233">
      <c r="A1233" s="262"/>
      <c r="B1233" s="262"/>
      <c r="C1233" s="262"/>
      <c r="D1233" s="262"/>
      <c r="E1233" s="260"/>
      <c r="F1233" s="132"/>
      <c r="G1233" s="140"/>
      <c r="H1233" s="131"/>
      <c r="I1233" s="131"/>
      <c r="J1233" s="131"/>
      <c r="K1233" s="131"/>
      <c r="L1233" s="131"/>
      <c r="M1233" s="131"/>
      <c r="N1233" s="131"/>
      <c r="O1233" s="131"/>
      <c r="P1233" s="131"/>
      <c r="Q1233" s="131"/>
      <c r="R1233" s="131"/>
      <c r="S1233" s="131"/>
      <c r="T1233" s="131"/>
      <c r="U1233" s="131"/>
      <c r="V1233" s="131"/>
      <c r="W1233" s="131"/>
      <c r="X1233" s="131"/>
      <c r="Y1233" s="131"/>
      <c r="Z1233" s="131"/>
    </row>
    <row r="1234">
      <c r="A1234" s="262"/>
      <c r="B1234" s="262"/>
      <c r="C1234" s="262"/>
      <c r="D1234" s="262"/>
      <c r="E1234" s="260"/>
      <c r="F1234" s="132"/>
      <c r="G1234" s="140"/>
      <c r="H1234" s="131"/>
      <c r="I1234" s="131"/>
      <c r="J1234" s="131"/>
      <c r="K1234" s="131"/>
      <c r="L1234" s="131"/>
      <c r="M1234" s="131"/>
      <c r="N1234" s="131"/>
      <c r="O1234" s="131"/>
      <c r="P1234" s="131"/>
      <c r="Q1234" s="131"/>
      <c r="R1234" s="131"/>
      <c r="S1234" s="131"/>
      <c r="T1234" s="131"/>
      <c r="U1234" s="131"/>
      <c r="V1234" s="131"/>
      <c r="W1234" s="131"/>
      <c r="X1234" s="131"/>
      <c r="Y1234" s="131"/>
      <c r="Z1234" s="131"/>
    </row>
    <row r="1235">
      <c r="A1235" s="262"/>
      <c r="B1235" s="262"/>
      <c r="C1235" s="262"/>
      <c r="D1235" s="262"/>
      <c r="E1235" s="260"/>
      <c r="F1235" s="132"/>
      <c r="G1235" s="140"/>
      <c r="H1235" s="131"/>
      <c r="I1235" s="131"/>
      <c r="J1235" s="131"/>
      <c r="K1235" s="131"/>
      <c r="L1235" s="131"/>
      <c r="M1235" s="131"/>
      <c r="N1235" s="131"/>
      <c r="O1235" s="131"/>
      <c r="P1235" s="131"/>
      <c r="Q1235" s="131"/>
      <c r="R1235" s="131"/>
      <c r="S1235" s="131"/>
      <c r="T1235" s="131"/>
      <c r="U1235" s="131"/>
      <c r="V1235" s="131"/>
      <c r="W1235" s="131"/>
      <c r="X1235" s="131"/>
      <c r="Y1235" s="131"/>
      <c r="Z1235" s="131"/>
    </row>
    <row r="1236">
      <c r="A1236" s="262"/>
      <c r="B1236" s="262"/>
      <c r="C1236" s="262"/>
      <c r="D1236" s="262"/>
      <c r="E1236" s="260"/>
      <c r="F1236" s="132"/>
      <c r="G1236" s="140"/>
      <c r="H1236" s="131"/>
      <c r="I1236" s="131"/>
      <c r="J1236" s="131"/>
      <c r="K1236" s="131"/>
      <c r="L1236" s="131"/>
      <c r="M1236" s="131"/>
      <c r="N1236" s="131"/>
      <c r="O1236" s="131"/>
      <c r="P1236" s="131"/>
      <c r="Q1236" s="131"/>
      <c r="R1236" s="131"/>
      <c r="S1236" s="131"/>
      <c r="T1236" s="131"/>
      <c r="U1236" s="131"/>
      <c r="V1236" s="131"/>
      <c r="W1236" s="131"/>
      <c r="X1236" s="131"/>
      <c r="Y1236" s="131"/>
      <c r="Z1236" s="131"/>
    </row>
    <row r="1237">
      <c r="A1237" s="262"/>
      <c r="B1237" s="262"/>
      <c r="C1237" s="262"/>
      <c r="D1237" s="262"/>
      <c r="E1237" s="260"/>
      <c r="F1237" s="132"/>
      <c r="G1237" s="140"/>
      <c r="H1237" s="131"/>
      <c r="I1237" s="131"/>
      <c r="J1237" s="131"/>
      <c r="K1237" s="131"/>
      <c r="L1237" s="131"/>
      <c r="M1237" s="131"/>
      <c r="N1237" s="131"/>
      <c r="O1237" s="131"/>
      <c r="P1237" s="131"/>
      <c r="Q1237" s="131"/>
      <c r="R1237" s="131"/>
      <c r="S1237" s="131"/>
      <c r="T1237" s="131"/>
      <c r="U1237" s="131"/>
      <c r="V1237" s="131"/>
      <c r="W1237" s="131"/>
      <c r="X1237" s="131"/>
      <c r="Y1237" s="131"/>
      <c r="Z1237" s="131"/>
    </row>
    <row r="1238">
      <c r="A1238" s="262"/>
      <c r="B1238" s="262"/>
      <c r="C1238" s="262"/>
      <c r="D1238" s="262"/>
      <c r="E1238" s="260"/>
      <c r="F1238" s="132"/>
      <c r="G1238" s="140"/>
      <c r="H1238" s="131"/>
      <c r="I1238" s="131"/>
      <c r="J1238" s="131"/>
      <c r="K1238" s="131"/>
      <c r="L1238" s="131"/>
      <c r="M1238" s="131"/>
      <c r="N1238" s="131"/>
      <c r="O1238" s="131"/>
      <c r="P1238" s="131"/>
      <c r="Q1238" s="131"/>
      <c r="R1238" s="131"/>
      <c r="S1238" s="131"/>
      <c r="T1238" s="131"/>
      <c r="U1238" s="131"/>
      <c r="V1238" s="131"/>
      <c r="W1238" s="131"/>
      <c r="X1238" s="131"/>
      <c r="Y1238" s="131"/>
      <c r="Z1238" s="131"/>
    </row>
    <row r="1239">
      <c r="A1239" s="262"/>
      <c r="B1239" s="262"/>
      <c r="C1239" s="262"/>
      <c r="D1239" s="262"/>
      <c r="E1239" s="260"/>
      <c r="F1239" s="132"/>
      <c r="G1239" s="140"/>
      <c r="H1239" s="131"/>
      <c r="I1239" s="131"/>
      <c r="J1239" s="131"/>
      <c r="K1239" s="131"/>
      <c r="L1239" s="131"/>
      <c r="M1239" s="131"/>
      <c r="N1239" s="131"/>
      <c r="O1239" s="131"/>
      <c r="P1239" s="131"/>
      <c r="Q1239" s="131"/>
      <c r="R1239" s="131"/>
      <c r="S1239" s="131"/>
      <c r="T1239" s="131"/>
      <c r="U1239" s="131"/>
      <c r="V1239" s="131"/>
      <c r="W1239" s="131"/>
      <c r="X1239" s="131"/>
      <c r="Y1239" s="131"/>
      <c r="Z1239" s="131"/>
    </row>
    <row r="1240">
      <c r="A1240" s="262"/>
      <c r="B1240" s="262"/>
      <c r="C1240" s="262"/>
      <c r="D1240" s="262"/>
      <c r="E1240" s="260"/>
      <c r="F1240" s="132"/>
      <c r="G1240" s="140"/>
      <c r="H1240" s="131"/>
      <c r="I1240" s="131"/>
      <c r="J1240" s="131"/>
      <c r="K1240" s="131"/>
      <c r="L1240" s="131"/>
      <c r="M1240" s="131"/>
      <c r="N1240" s="131"/>
      <c r="O1240" s="131"/>
      <c r="P1240" s="131"/>
      <c r="Q1240" s="131"/>
      <c r="R1240" s="131"/>
      <c r="S1240" s="131"/>
      <c r="T1240" s="131"/>
      <c r="U1240" s="131"/>
      <c r="V1240" s="131"/>
      <c r="W1240" s="131"/>
      <c r="X1240" s="131"/>
      <c r="Y1240" s="131"/>
      <c r="Z1240" s="131"/>
    </row>
    <row r="1241">
      <c r="A1241" s="262"/>
      <c r="B1241" s="262"/>
      <c r="C1241" s="262"/>
      <c r="D1241" s="262"/>
      <c r="E1241" s="260"/>
      <c r="F1241" s="132"/>
      <c r="G1241" s="140"/>
      <c r="H1241" s="131"/>
      <c r="I1241" s="131"/>
      <c r="J1241" s="131"/>
      <c r="K1241" s="131"/>
      <c r="L1241" s="131"/>
      <c r="M1241" s="131"/>
      <c r="N1241" s="131"/>
      <c r="O1241" s="131"/>
      <c r="P1241" s="131"/>
      <c r="Q1241" s="131"/>
      <c r="R1241" s="131"/>
      <c r="S1241" s="131"/>
      <c r="T1241" s="131"/>
      <c r="U1241" s="131"/>
      <c r="V1241" s="131"/>
      <c r="W1241" s="131"/>
      <c r="X1241" s="131"/>
      <c r="Y1241" s="131"/>
      <c r="Z1241" s="131"/>
    </row>
    <row r="1242">
      <c r="A1242" s="262"/>
      <c r="B1242" s="262"/>
      <c r="C1242" s="262"/>
      <c r="D1242" s="262"/>
      <c r="E1242" s="260"/>
      <c r="F1242" s="132"/>
      <c r="G1242" s="140"/>
      <c r="H1242" s="131"/>
      <c r="I1242" s="131"/>
      <c r="J1242" s="131"/>
      <c r="K1242" s="131"/>
      <c r="L1242" s="131"/>
      <c r="M1242" s="131"/>
      <c r="N1242" s="131"/>
      <c r="O1242" s="131"/>
      <c r="P1242" s="131"/>
      <c r="Q1242" s="131"/>
      <c r="R1242" s="131"/>
      <c r="S1242" s="131"/>
      <c r="T1242" s="131"/>
      <c r="U1242" s="131"/>
      <c r="V1242" s="131"/>
      <c r="W1242" s="131"/>
      <c r="X1242" s="131"/>
      <c r="Y1242" s="131"/>
      <c r="Z1242" s="131"/>
    </row>
    <row r="1243">
      <c r="A1243" s="262"/>
      <c r="B1243" s="262"/>
      <c r="C1243" s="262"/>
      <c r="D1243" s="262"/>
      <c r="E1243" s="260"/>
      <c r="F1243" s="132"/>
      <c r="G1243" s="140"/>
      <c r="H1243" s="131"/>
      <c r="I1243" s="131"/>
      <c r="J1243" s="131"/>
      <c r="K1243" s="131"/>
      <c r="L1243" s="131"/>
      <c r="M1243" s="131"/>
      <c r="N1243" s="131"/>
      <c r="O1243" s="131"/>
      <c r="P1243" s="131"/>
      <c r="Q1243" s="131"/>
      <c r="R1243" s="131"/>
      <c r="S1243" s="131"/>
      <c r="T1243" s="131"/>
      <c r="U1243" s="131"/>
      <c r="V1243" s="131"/>
      <c r="W1243" s="131"/>
      <c r="X1243" s="131"/>
      <c r="Y1243" s="131"/>
      <c r="Z1243" s="131"/>
    </row>
    <row r="1244">
      <c r="A1244" s="262"/>
      <c r="B1244" s="262"/>
      <c r="C1244" s="262"/>
      <c r="D1244" s="262"/>
      <c r="E1244" s="260"/>
      <c r="F1244" s="132"/>
      <c r="G1244" s="140"/>
      <c r="H1244" s="131"/>
      <c r="I1244" s="131"/>
      <c r="J1244" s="131"/>
      <c r="K1244" s="131"/>
      <c r="L1244" s="131"/>
      <c r="M1244" s="131"/>
      <c r="N1244" s="131"/>
      <c r="O1244" s="131"/>
      <c r="P1244" s="131"/>
      <c r="Q1244" s="131"/>
      <c r="R1244" s="131"/>
      <c r="S1244" s="131"/>
      <c r="T1244" s="131"/>
      <c r="U1244" s="131"/>
      <c r="V1244" s="131"/>
      <c r="W1244" s="131"/>
      <c r="X1244" s="131"/>
      <c r="Y1244" s="131"/>
      <c r="Z1244" s="131"/>
    </row>
    <row r="1245">
      <c r="A1245" s="262"/>
      <c r="B1245" s="262"/>
      <c r="C1245" s="262"/>
      <c r="D1245" s="262"/>
      <c r="E1245" s="260"/>
      <c r="F1245" s="132"/>
      <c r="G1245" s="140"/>
      <c r="H1245" s="131"/>
      <c r="I1245" s="131"/>
      <c r="J1245" s="131"/>
      <c r="K1245" s="131"/>
      <c r="L1245" s="131"/>
      <c r="M1245" s="131"/>
      <c r="N1245" s="131"/>
      <c r="O1245" s="131"/>
      <c r="P1245" s="131"/>
      <c r="Q1245" s="131"/>
      <c r="R1245" s="131"/>
      <c r="S1245" s="131"/>
      <c r="T1245" s="131"/>
      <c r="U1245" s="131"/>
      <c r="V1245" s="131"/>
      <c r="W1245" s="131"/>
      <c r="X1245" s="131"/>
      <c r="Y1245" s="131"/>
      <c r="Z1245" s="131"/>
    </row>
    <row r="1246">
      <c r="A1246" s="262"/>
      <c r="B1246" s="262"/>
      <c r="C1246" s="262"/>
      <c r="D1246" s="262"/>
      <c r="E1246" s="260"/>
      <c r="F1246" s="132"/>
      <c r="G1246" s="140"/>
      <c r="H1246" s="131"/>
      <c r="I1246" s="131"/>
      <c r="J1246" s="131"/>
      <c r="K1246" s="131"/>
      <c r="L1246" s="131"/>
      <c r="M1246" s="131"/>
      <c r="N1246" s="131"/>
      <c r="O1246" s="131"/>
      <c r="P1246" s="131"/>
      <c r="Q1246" s="131"/>
      <c r="R1246" s="131"/>
      <c r="S1246" s="131"/>
      <c r="T1246" s="131"/>
      <c r="U1246" s="131"/>
      <c r="V1246" s="131"/>
      <c r="W1246" s="131"/>
      <c r="X1246" s="131"/>
      <c r="Y1246" s="131"/>
      <c r="Z1246" s="131"/>
    </row>
    <row r="1247">
      <c r="A1247" s="262"/>
      <c r="B1247" s="262"/>
      <c r="C1247" s="262"/>
      <c r="D1247" s="262"/>
      <c r="E1247" s="260"/>
      <c r="F1247" s="132"/>
      <c r="G1247" s="140"/>
      <c r="H1247" s="131"/>
      <c r="I1247" s="131"/>
      <c r="J1247" s="131"/>
      <c r="K1247" s="131"/>
      <c r="L1247" s="131"/>
      <c r="M1247" s="131"/>
      <c r="N1247" s="131"/>
      <c r="O1247" s="131"/>
      <c r="P1247" s="131"/>
      <c r="Q1247" s="131"/>
      <c r="R1247" s="131"/>
      <c r="S1247" s="131"/>
      <c r="T1247" s="131"/>
      <c r="U1247" s="131"/>
      <c r="V1247" s="131"/>
      <c r="W1247" s="131"/>
      <c r="X1247" s="131"/>
      <c r="Y1247" s="131"/>
      <c r="Z1247" s="131"/>
    </row>
    <row r="1248">
      <c r="A1248" s="262"/>
      <c r="B1248" s="262"/>
      <c r="C1248" s="262"/>
      <c r="D1248" s="262"/>
      <c r="E1248" s="260"/>
      <c r="F1248" s="132"/>
      <c r="G1248" s="140"/>
      <c r="H1248" s="131"/>
      <c r="I1248" s="131"/>
      <c r="J1248" s="131"/>
      <c r="K1248" s="131"/>
      <c r="L1248" s="131"/>
      <c r="M1248" s="131"/>
      <c r="N1248" s="131"/>
      <c r="O1248" s="131"/>
      <c r="P1248" s="131"/>
      <c r="Q1248" s="131"/>
      <c r="R1248" s="131"/>
      <c r="S1248" s="131"/>
      <c r="T1248" s="131"/>
      <c r="U1248" s="131"/>
      <c r="V1248" s="131"/>
      <c r="W1248" s="131"/>
      <c r="X1248" s="131"/>
      <c r="Y1248" s="131"/>
      <c r="Z1248" s="131"/>
    </row>
    <row r="1249">
      <c r="A1249" s="262"/>
      <c r="B1249" s="262"/>
      <c r="C1249" s="262"/>
      <c r="D1249" s="262"/>
      <c r="E1249" s="260"/>
      <c r="F1249" s="132"/>
      <c r="G1249" s="140"/>
      <c r="H1249" s="131"/>
      <c r="I1249" s="131"/>
      <c r="J1249" s="131"/>
      <c r="K1249" s="131"/>
      <c r="L1249" s="131"/>
      <c r="M1249" s="131"/>
      <c r="N1249" s="131"/>
      <c r="O1249" s="131"/>
      <c r="P1249" s="131"/>
      <c r="Q1249" s="131"/>
      <c r="R1249" s="131"/>
      <c r="S1249" s="131"/>
      <c r="T1249" s="131"/>
      <c r="U1249" s="131"/>
      <c r="V1249" s="131"/>
      <c r="W1249" s="131"/>
      <c r="X1249" s="131"/>
      <c r="Y1249" s="131"/>
      <c r="Z1249" s="131"/>
    </row>
    <row r="1250">
      <c r="A1250" s="262"/>
      <c r="B1250" s="262"/>
      <c r="C1250" s="262"/>
      <c r="D1250" s="262"/>
      <c r="E1250" s="260"/>
      <c r="F1250" s="132"/>
      <c r="G1250" s="140"/>
      <c r="H1250" s="131"/>
      <c r="I1250" s="131"/>
      <c r="J1250" s="131"/>
      <c r="K1250" s="131"/>
      <c r="L1250" s="131"/>
      <c r="M1250" s="131"/>
      <c r="N1250" s="131"/>
      <c r="O1250" s="131"/>
      <c r="P1250" s="131"/>
      <c r="Q1250" s="131"/>
      <c r="R1250" s="131"/>
      <c r="S1250" s="131"/>
      <c r="T1250" s="131"/>
      <c r="U1250" s="131"/>
      <c r="V1250" s="131"/>
      <c r="W1250" s="131"/>
      <c r="X1250" s="131"/>
      <c r="Y1250" s="131"/>
      <c r="Z1250" s="131"/>
    </row>
    <row r="1251">
      <c r="A1251" s="262"/>
      <c r="B1251" s="262"/>
      <c r="C1251" s="262"/>
      <c r="D1251" s="262"/>
      <c r="E1251" s="260"/>
      <c r="F1251" s="132"/>
      <c r="G1251" s="140"/>
      <c r="H1251" s="131"/>
      <c r="I1251" s="131"/>
      <c r="J1251" s="131"/>
      <c r="K1251" s="131"/>
      <c r="L1251" s="131"/>
      <c r="M1251" s="131"/>
      <c r="N1251" s="131"/>
      <c r="O1251" s="131"/>
      <c r="P1251" s="131"/>
      <c r="Q1251" s="131"/>
      <c r="R1251" s="131"/>
      <c r="S1251" s="131"/>
      <c r="T1251" s="131"/>
      <c r="U1251" s="131"/>
      <c r="V1251" s="131"/>
      <c r="W1251" s="131"/>
      <c r="X1251" s="131"/>
      <c r="Y1251" s="131"/>
      <c r="Z1251" s="131"/>
    </row>
    <row r="1252">
      <c r="A1252" s="262"/>
      <c r="B1252" s="262"/>
      <c r="C1252" s="262"/>
      <c r="D1252" s="262"/>
      <c r="E1252" s="260"/>
      <c r="F1252" s="132"/>
      <c r="G1252" s="140"/>
      <c r="H1252" s="131"/>
      <c r="I1252" s="131"/>
      <c r="J1252" s="131"/>
      <c r="K1252" s="131"/>
      <c r="L1252" s="131"/>
      <c r="M1252" s="131"/>
      <c r="N1252" s="131"/>
      <c r="O1252" s="131"/>
      <c r="P1252" s="131"/>
      <c r="Q1252" s="131"/>
      <c r="R1252" s="131"/>
      <c r="S1252" s="131"/>
      <c r="T1252" s="131"/>
      <c r="U1252" s="131"/>
      <c r="V1252" s="131"/>
      <c r="W1252" s="131"/>
      <c r="X1252" s="131"/>
      <c r="Y1252" s="131"/>
      <c r="Z1252" s="131"/>
    </row>
    <row r="1253">
      <c r="A1253" s="262"/>
      <c r="B1253" s="262"/>
      <c r="C1253" s="262"/>
      <c r="D1253" s="262"/>
      <c r="E1253" s="260"/>
      <c r="F1253" s="132"/>
      <c r="G1253" s="140"/>
      <c r="H1253" s="131"/>
      <c r="I1253" s="131"/>
      <c r="J1253" s="131"/>
      <c r="K1253" s="131"/>
      <c r="L1253" s="131"/>
      <c r="M1253" s="131"/>
      <c r="N1253" s="131"/>
      <c r="O1253" s="131"/>
      <c r="P1253" s="131"/>
      <c r="Q1253" s="131"/>
      <c r="R1253" s="131"/>
      <c r="S1253" s="131"/>
      <c r="T1253" s="131"/>
      <c r="U1253" s="131"/>
      <c r="V1253" s="131"/>
      <c r="W1253" s="131"/>
      <c r="X1253" s="131"/>
      <c r="Y1253" s="131"/>
      <c r="Z1253" s="131"/>
    </row>
    <row r="1254">
      <c r="A1254" s="262"/>
      <c r="B1254" s="262"/>
      <c r="C1254" s="262"/>
      <c r="D1254" s="262"/>
      <c r="E1254" s="260"/>
      <c r="F1254" s="132"/>
      <c r="G1254" s="140"/>
      <c r="H1254" s="131"/>
      <c r="I1254" s="131"/>
      <c r="J1254" s="131"/>
      <c r="K1254" s="131"/>
      <c r="L1254" s="131"/>
      <c r="M1254" s="131"/>
      <c r="N1254" s="131"/>
      <c r="O1254" s="131"/>
      <c r="P1254" s="131"/>
      <c r="Q1254" s="131"/>
      <c r="R1254" s="131"/>
      <c r="S1254" s="131"/>
      <c r="T1254" s="131"/>
      <c r="U1254" s="131"/>
      <c r="V1254" s="131"/>
      <c r="W1254" s="131"/>
      <c r="X1254" s="131"/>
      <c r="Y1254" s="131"/>
      <c r="Z1254" s="131"/>
    </row>
    <row r="1255">
      <c r="A1255" s="262"/>
      <c r="B1255" s="262"/>
      <c r="C1255" s="262"/>
      <c r="D1255" s="262"/>
      <c r="E1255" s="260"/>
      <c r="F1255" s="132"/>
      <c r="G1255" s="140"/>
      <c r="H1255" s="131"/>
      <c r="I1255" s="131"/>
      <c r="J1255" s="131"/>
      <c r="K1255" s="131"/>
      <c r="L1255" s="131"/>
      <c r="M1255" s="131"/>
      <c r="N1255" s="131"/>
      <c r="O1255" s="131"/>
      <c r="P1255" s="131"/>
      <c r="Q1255" s="131"/>
      <c r="R1255" s="131"/>
      <c r="S1255" s="131"/>
      <c r="T1255" s="131"/>
      <c r="U1255" s="131"/>
      <c r="V1255" s="131"/>
      <c r="W1255" s="131"/>
      <c r="X1255" s="131"/>
      <c r="Y1255" s="131"/>
      <c r="Z1255" s="131"/>
    </row>
    <row r="1256">
      <c r="A1256" s="262"/>
      <c r="B1256" s="262"/>
      <c r="C1256" s="262"/>
      <c r="D1256" s="262"/>
      <c r="E1256" s="260"/>
      <c r="F1256" s="132"/>
      <c r="G1256" s="140"/>
      <c r="H1256" s="131"/>
      <c r="I1256" s="131"/>
      <c r="J1256" s="131"/>
      <c r="K1256" s="131"/>
      <c r="L1256" s="131"/>
      <c r="M1256" s="131"/>
      <c r="N1256" s="131"/>
      <c r="O1256" s="131"/>
      <c r="P1256" s="131"/>
      <c r="Q1256" s="131"/>
      <c r="R1256" s="131"/>
      <c r="S1256" s="131"/>
      <c r="T1256" s="131"/>
      <c r="U1256" s="131"/>
      <c r="V1256" s="131"/>
      <c r="W1256" s="131"/>
      <c r="X1256" s="131"/>
      <c r="Y1256" s="131"/>
      <c r="Z1256" s="131"/>
    </row>
    <row r="1257">
      <c r="A1257" s="262"/>
      <c r="B1257" s="262"/>
      <c r="C1257" s="262"/>
      <c r="D1257" s="262"/>
      <c r="E1257" s="260"/>
      <c r="F1257" s="132"/>
      <c r="G1257" s="140"/>
      <c r="H1257" s="131"/>
      <c r="I1257" s="131"/>
      <c r="J1257" s="131"/>
      <c r="K1257" s="131"/>
      <c r="L1257" s="131"/>
      <c r="M1257" s="131"/>
      <c r="N1257" s="131"/>
      <c r="O1257" s="131"/>
      <c r="P1257" s="131"/>
      <c r="Q1257" s="131"/>
      <c r="R1257" s="131"/>
      <c r="S1257" s="131"/>
      <c r="T1257" s="131"/>
      <c r="U1257" s="131"/>
      <c r="V1257" s="131"/>
      <c r="W1257" s="131"/>
      <c r="X1257" s="131"/>
      <c r="Y1257" s="131"/>
      <c r="Z1257" s="131"/>
    </row>
    <row r="1258">
      <c r="A1258" s="262"/>
      <c r="B1258" s="262"/>
      <c r="C1258" s="262"/>
      <c r="D1258" s="262"/>
      <c r="E1258" s="260"/>
      <c r="F1258" s="132"/>
      <c r="G1258" s="140"/>
      <c r="H1258" s="131"/>
      <c r="I1258" s="131"/>
      <c r="J1258" s="131"/>
      <c r="K1258" s="131"/>
      <c r="L1258" s="131"/>
      <c r="M1258" s="131"/>
      <c r="N1258" s="131"/>
      <c r="O1258" s="131"/>
      <c r="P1258" s="131"/>
      <c r="Q1258" s="131"/>
      <c r="R1258" s="131"/>
      <c r="S1258" s="131"/>
      <c r="T1258" s="131"/>
      <c r="U1258" s="131"/>
      <c r="V1258" s="131"/>
      <c r="W1258" s="131"/>
      <c r="X1258" s="131"/>
      <c r="Y1258" s="131"/>
      <c r="Z1258" s="131"/>
    </row>
    <row r="1259">
      <c r="A1259" s="262"/>
      <c r="B1259" s="262"/>
      <c r="C1259" s="262"/>
      <c r="D1259" s="262"/>
      <c r="E1259" s="260"/>
      <c r="F1259" s="132"/>
      <c r="G1259" s="140"/>
      <c r="H1259" s="131"/>
      <c r="I1259" s="131"/>
      <c r="J1259" s="131"/>
      <c r="K1259" s="131"/>
      <c r="L1259" s="131"/>
      <c r="M1259" s="131"/>
      <c r="N1259" s="131"/>
      <c r="O1259" s="131"/>
      <c r="P1259" s="131"/>
      <c r="Q1259" s="131"/>
      <c r="R1259" s="131"/>
      <c r="S1259" s="131"/>
      <c r="T1259" s="131"/>
      <c r="U1259" s="131"/>
      <c r="V1259" s="131"/>
      <c r="W1259" s="131"/>
      <c r="X1259" s="131"/>
      <c r="Y1259" s="131"/>
      <c r="Z1259" s="131"/>
    </row>
    <row r="1260">
      <c r="A1260" s="262"/>
      <c r="B1260" s="262"/>
      <c r="C1260" s="262"/>
      <c r="D1260" s="262"/>
      <c r="E1260" s="260"/>
      <c r="F1260" s="132"/>
      <c r="G1260" s="140"/>
      <c r="H1260" s="131"/>
      <c r="I1260" s="131"/>
      <c r="J1260" s="131"/>
      <c r="K1260" s="131"/>
      <c r="L1260" s="131"/>
      <c r="M1260" s="131"/>
      <c r="N1260" s="131"/>
      <c r="O1260" s="131"/>
      <c r="P1260" s="131"/>
      <c r="Q1260" s="131"/>
      <c r="R1260" s="131"/>
      <c r="S1260" s="131"/>
      <c r="T1260" s="131"/>
      <c r="U1260" s="131"/>
      <c r="V1260" s="131"/>
      <c r="W1260" s="131"/>
      <c r="X1260" s="131"/>
      <c r="Y1260" s="131"/>
      <c r="Z1260" s="131"/>
    </row>
    <row r="1261">
      <c r="A1261" s="262"/>
      <c r="B1261" s="262"/>
      <c r="C1261" s="262"/>
      <c r="D1261" s="262"/>
      <c r="E1261" s="260"/>
      <c r="F1261" s="132"/>
      <c r="G1261" s="140"/>
      <c r="H1261" s="131"/>
      <c r="I1261" s="131"/>
      <c r="J1261" s="131"/>
      <c r="K1261" s="131"/>
      <c r="L1261" s="131"/>
      <c r="M1261" s="131"/>
      <c r="N1261" s="131"/>
      <c r="O1261" s="131"/>
      <c r="P1261" s="131"/>
      <c r="Q1261" s="131"/>
      <c r="R1261" s="131"/>
      <c r="S1261" s="131"/>
      <c r="T1261" s="131"/>
      <c r="U1261" s="131"/>
      <c r="V1261" s="131"/>
      <c r="W1261" s="131"/>
      <c r="X1261" s="131"/>
      <c r="Y1261" s="131"/>
      <c r="Z1261" s="131"/>
    </row>
    <row r="1262">
      <c r="A1262" s="262"/>
      <c r="B1262" s="262"/>
      <c r="C1262" s="262"/>
      <c r="D1262" s="262"/>
      <c r="E1262" s="260"/>
      <c r="F1262" s="132"/>
      <c r="G1262" s="140"/>
      <c r="H1262" s="131"/>
      <c r="I1262" s="131"/>
      <c r="J1262" s="131"/>
      <c r="K1262" s="131"/>
      <c r="L1262" s="131"/>
      <c r="M1262" s="131"/>
      <c r="N1262" s="131"/>
      <c r="O1262" s="131"/>
      <c r="P1262" s="131"/>
      <c r="Q1262" s="131"/>
      <c r="R1262" s="131"/>
      <c r="S1262" s="131"/>
      <c r="T1262" s="131"/>
      <c r="U1262" s="131"/>
      <c r="V1262" s="131"/>
      <c r="W1262" s="131"/>
      <c r="X1262" s="131"/>
      <c r="Y1262" s="131"/>
      <c r="Z1262" s="131"/>
    </row>
    <row r="1263">
      <c r="A1263" s="262"/>
      <c r="B1263" s="262"/>
      <c r="C1263" s="262"/>
      <c r="D1263" s="262"/>
      <c r="E1263" s="260"/>
      <c r="F1263" s="132"/>
      <c r="G1263" s="140"/>
      <c r="H1263" s="131"/>
      <c r="I1263" s="131"/>
      <c r="J1263" s="131"/>
      <c r="K1263" s="131"/>
      <c r="L1263" s="131"/>
      <c r="M1263" s="131"/>
      <c r="N1263" s="131"/>
      <c r="O1263" s="131"/>
      <c r="P1263" s="131"/>
      <c r="Q1263" s="131"/>
      <c r="R1263" s="131"/>
      <c r="S1263" s="131"/>
      <c r="T1263" s="131"/>
      <c r="U1263" s="131"/>
      <c r="V1263" s="131"/>
      <c r="W1263" s="131"/>
      <c r="X1263" s="131"/>
      <c r="Y1263" s="131"/>
      <c r="Z1263" s="131"/>
    </row>
    <row r="1264">
      <c r="A1264" s="262"/>
      <c r="B1264" s="262"/>
      <c r="C1264" s="262"/>
      <c r="D1264" s="262"/>
      <c r="E1264" s="260"/>
      <c r="F1264" s="132"/>
      <c r="G1264" s="140"/>
      <c r="H1264" s="131"/>
      <c r="I1264" s="131"/>
      <c r="J1264" s="131"/>
      <c r="K1264" s="131"/>
      <c r="L1264" s="131"/>
      <c r="M1264" s="131"/>
      <c r="N1264" s="131"/>
      <c r="O1264" s="131"/>
      <c r="P1264" s="131"/>
      <c r="Q1264" s="131"/>
      <c r="R1264" s="131"/>
      <c r="S1264" s="131"/>
      <c r="T1264" s="131"/>
      <c r="U1264" s="131"/>
      <c r="V1264" s="131"/>
      <c r="W1264" s="131"/>
      <c r="X1264" s="131"/>
      <c r="Y1264" s="131"/>
      <c r="Z1264" s="131"/>
    </row>
    <row r="1265">
      <c r="A1265" s="262"/>
      <c r="B1265" s="262"/>
      <c r="C1265" s="262"/>
      <c r="D1265" s="262"/>
      <c r="E1265" s="260"/>
      <c r="F1265" s="132"/>
      <c r="G1265" s="140"/>
      <c r="H1265" s="131"/>
      <c r="I1265" s="131"/>
      <c r="J1265" s="131"/>
      <c r="K1265" s="131"/>
      <c r="L1265" s="131"/>
      <c r="M1265" s="131"/>
      <c r="N1265" s="131"/>
      <c r="O1265" s="131"/>
      <c r="P1265" s="131"/>
      <c r="Q1265" s="131"/>
      <c r="R1265" s="131"/>
      <c r="S1265" s="131"/>
      <c r="T1265" s="131"/>
      <c r="U1265" s="131"/>
      <c r="V1265" s="131"/>
      <c r="W1265" s="131"/>
      <c r="X1265" s="131"/>
      <c r="Y1265" s="131"/>
      <c r="Z1265" s="131"/>
    </row>
    <row r="1266">
      <c r="A1266" s="262"/>
      <c r="B1266" s="262"/>
      <c r="C1266" s="262"/>
      <c r="D1266" s="262"/>
      <c r="E1266" s="260"/>
      <c r="F1266" s="132"/>
      <c r="G1266" s="140"/>
      <c r="H1266" s="131"/>
      <c r="I1266" s="131"/>
      <c r="J1266" s="131"/>
      <c r="K1266" s="131"/>
      <c r="L1266" s="131"/>
      <c r="M1266" s="131"/>
      <c r="N1266" s="131"/>
      <c r="O1266" s="131"/>
      <c r="P1266" s="131"/>
      <c r="Q1266" s="131"/>
      <c r="R1266" s="131"/>
      <c r="S1266" s="131"/>
      <c r="T1266" s="131"/>
      <c r="U1266" s="131"/>
      <c r="V1266" s="131"/>
      <c r="W1266" s="131"/>
      <c r="X1266" s="131"/>
      <c r="Y1266" s="131"/>
      <c r="Z1266" s="131"/>
    </row>
    <row r="1267">
      <c r="A1267" s="262"/>
      <c r="B1267" s="262"/>
      <c r="C1267" s="262"/>
      <c r="D1267" s="262"/>
      <c r="E1267" s="260"/>
      <c r="F1267" s="132"/>
      <c r="G1267" s="140"/>
      <c r="H1267" s="131"/>
      <c r="I1267" s="131"/>
      <c r="J1267" s="131"/>
      <c r="K1267" s="131"/>
      <c r="L1267" s="131"/>
      <c r="M1267" s="131"/>
      <c r="N1267" s="131"/>
      <c r="O1267" s="131"/>
      <c r="P1267" s="131"/>
      <c r="Q1267" s="131"/>
      <c r="R1267" s="131"/>
      <c r="S1267" s="131"/>
      <c r="T1267" s="131"/>
      <c r="U1267" s="131"/>
      <c r="V1267" s="131"/>
      <c r="W1267" s="131"/>
      <c r="X1267" s="131"/>
      <c r="Y1267" s="131"/>
      <c r="Z1267" s="131"/>
    </row>
    <row r="1268">
      <c r="A1268" s="262"/>
      <c r="B1268" s="262"/>
      <c r="C1268" s="262"/>
      <c r="D1268" s="262"/>
      <c r="E1268" s="260"/>
      <c r="F1268" s="132"/>
      <c r="G1268" s="140"/>
      <c r="H1268" s="131"/>
      <c r="I1268" s="131"/>
      <c r="J1268" s="131"/>
      <c r="K1268" s="131"/>
      <c r="L1268" s="131"/>
      <c r="M1268" s="131"/>
      <c r="N1268" s="131"/>
      <c r="O1268" s="131"/>
      <c r="P1268" s="131"/>
      <c r="Q1268" s="131"/>
      <c r="R1268" s="131"/>
      <c r="S1268" s="131"/>
      <c r="T1268" s="131"/>
      <c r="U1268" s="131"/>
      <c r="V1268" s="131"/>
      <c r="W1268" s="131"/>
      <c r="X1268" s="131"/>
      <c r="Y1268" s="131"/>
      <c r="Z1268" s="131"/>
    </row>
    <row r="1269">
      <c r="A1269" s="262"/>
      <c r="B1269" s="262"/>
      <c r="C1269" s="262"/>
      <c r="D1269" s="262"/>
      <c r="E1269" s="260"/>
      <c r="F1269" s="132"/>
      <c r="G1269" s="140"/>
      <c r="H1269" s="131"/>
      <c r="I1269" s="131"/>
      <c r="J1269" s="131"/>
      <c r="K1269" s="131"/>
      <c r="L1269" s="131"/>
      <c r="M1269" s="131"/>
      <c r="N1269" s="131"/>
      <c r="O1269" s="131"/>
      <c r="P1269" s="131"/>
      <c r="Q1269" s="131"/>
      <c r="R1269" s="131"/>
      <c r="S1269" s="131"/>
      <c r="T1269" s="131"/>
      <c r="U1269" s="131"/>
      <c r="V1269" s="131"/>
      <c r="W1269" s="131"/>
      <c r="X1269" s="131"/>
      <c r="Y1269" s="131"/>
      <c r="Z1269" s="131"/>
    </row>
    <row r="1270">
      <c r="A1270" s="262"/>
      <c r="B1270" s="262"/>
      <c r="C1270" s="262"/>
      <c r="D1270" s="262"/>
      <c r="E1270" s="260"/>
      <c r="F1270" s="132"/>
      <c r="G1270" s="140"/>
      <c r="H1270" s="131"/>
      <c r="I1270" s="131"/>
      <c r="J1270" s="131"/>
      <c r="K1270" s="131"/>
      <c r="L1270" s="131"/>
      <c r="M1270" s="131"/>
      <c r="N1270" s="131"/>
      <c r="O1270" s="131"/>
      <c r="P1270" s="131"/>
      <c r="Q1270" s="131"/>
      <c r="R1270" s="131"/>
      <c r="S1270" s="131"/>
      <c r="T1270" s="131"/>
      <c r="U1270" s="131"/>
      <c r="V1270" s="131"/>
      <c r="W1270" s="131"/>
      <c r="X1270" s="131"/>
      <c r="Y1270" s="131"/>
      <c r="Z1270" s="131"/>
    </row>
    <row r="1271">
      <c r="A1271" s="262"/>
      <c r="B1271" s="262"/>
      <c r="C1271" s="262"/>
      <c r="D1271" s="262"/>
      <c r="E1271" s="260"/>
      <c r="F1271" s="132"/>
      <c r="G1271" s="140"/>
      <c r="H1271" s="131"/>
      <c r="I1271" s="131"/>
      <c r="J1271" s="131"/>
      <c r="K1271" s="131"/>
      <c r="L1271" s="131"/>
      <c r="M1271" s="131"/>
      <c r="N1271" s="131"/>
      <c r="O1271" s="131"/>
      <c r="P1271" s="131"/>
      <c r="Q1271" s="131"/>
      <c r="R1271" s="131"/>
      <c r="S1271" s="131"/>
      <c r="T1271" s="131"/>
      <c r="U1271" s="131"/>
      <c r="V1271" s="131"/>
      <c r="W1271" s="131"/>
      <c r="X1271" s="131"/>
      <c r="Y1271" s="131"/>
      <c r="Z1271" s="131"/>
    </row>
    <row r="1272">
      <c r="A1272" s="262"/>
      <c r="B1272" s="262"/>
      <c r="C1272" s="262"/>
      <c r="D1272" s="262"/>
      <c r="E1272" s="260"/>
      <c r="F1272" s="132"/>
      <c r="G1272" s="140"/>
      <c r="H1272" s="131"/>
      <c r="I1272" s="131"/>
      <c r="J1272" s="131"/>
      <c r="K1272" s="131"/>
      <c r="L1272" s="131"/>
      <c r="M1272" s="131"/>
      <c r="N1272" s="131"/>
      <c r="O1272" s="131"/>
      <c r="P1272" s="131"/>
      <c r="Q1272" s="131"/>
      <c r="R1272" s="131"/>
      <c r="S1272" s="131"/>
      <c r="T1272" s="131"/>
      <c r="U1272" s="131"/>
      <c r="V1272" s="131"/>
      <c r="W1272" s="131"/>
      <c r="X1272" s="131"/>
      <c r="Y1272" s="131"/>
      <c r="Z1272" s="131"/>
    </row>
    <row r="1273">
      <c r="A1273" s="262"/>
      <c r="B1273" s="262"/>
      <c r="C1273" s="262"/>
      <c r="D1273" s="262"/>
      <c r="E1273" s="260"/>
      <c r="F1273" s="132"/>
      <c r="G1273" s="140"/>
      <c r="H1273" s="131"/>
      <c r="I1273" s="131"/>
      <c r="J1273" s="131"/>
      <c r="K1273" s="131"/>
      <c r="L1273" s="131"/>
      <c r="M1273" s="131"/>
      <c r="N1273" s="131"/>
      <c r="O1273" s="131"/>
      <c r="P1273" s="131"/>
      <c r="Q1273" s="131"/>
      <c r="R1273" s="131"/>
      <c r="S1273" s="131"/>
      <c r="T1273" s="131"/>
      <c r="U1273" s="131"/>
      <c r="V1273" s="131"/>
      <c r="W1273" s="131"/>
      <c r="X1273" s="131"/>
      <c r="Y1273" s="131"/>
      <c r="Z1273" s="131"/>
    </row>
    <row r="1274">
      <c r="A1274" s="262"/>
      <c r="B1274" s="262"/>
      <c r="C1274" s="262"/>
      <c r="D1274" s="262"/>
      <c r="E1274" s="260"/>
      <c r="F1274" s="132"/>
      <c r="G1274" s="140"/>
      <c r="H1274" s="131"/>
      <c r="I1274" s="131"/>
      <c r="J1274" s="131"/>
      <c r="K1274" s="131"/>
      <c r="L1274" s="131"/>
      <c r="M1274" s="131"/>
      <c r="N1274" s="131"/>
      <c r="O1274" s="131"/>
      <c r="P1274" s="131"/>
      <c r="Q1274" s="131"/>
      <c r="R1274" s="131"/>
      <c r="S1274" s="131"/>
      <c r="T1274" s="131"/>
      <c r="U1274" s="131"/>
      <c r="V1274" s="131"/>
      <c r="W1274" s="131"/>
      <c r="X1274" s="131"/>
      <c r="Y1274" s="131"/>
      <c r="Z1274" s="131"/>
    </row>
    <row r="1275">
      <c r="A1275" s="262"/>
      <c r="B1275" s="262"/>
      <c r="C1275" s="262"/>
      <c r="D1275" s="262"/>
      <c r="E1275" s="260"/>
      <c r="F1275" s="132"/>
      <c r="G1275" s="140"/>
      <c r="H1275" s="131"/>
      <c r="I1275" s="131"/>
      <c r="J1275" s="131"/>
      <c r="K1275" s="131"/>
      <c r="L1275" s="131"/>
      <c r="M1275" s="131"/>
      <c r="N1275" s="131"/>
      <c r="O1275" s="131"/>
      <c r="P1275" s="131"/>
      <c r="Q1275" s="131"/>
      <c r="R1275" s="131"/>
      <c r="S1275" s="131"/>
      <c r="T1275" s="131"/>
      <c r="U1275" s="131"/>
      <c r="V1275" s="131"/>
      <c r="W1275" s="131"/>
      <c r="X1275" s="131"/>
      <c r="Y1275" s="131"/>
      <c r="Z1275" s="131"/>
    </row>
    <row r="1276">
      <c r="A1276" s="262"/>
      <c r="B1276" s="262"/>
      <c r="C1276" s="262"/>
      <c r="D1276" s="262"/>
      <c r="E1276" s="260"/>
      <c r="F1276" s="132"/>
      <c r="G1276" s="140"/>
      <c r="H1276" s="131"/>
      <c r="I1276" s="131"/>
      <c r="J1276" s="131"/>
      <c r="K1276" s="131"/>
      <c r="L1276" s="131"/>
      <c r="M1276" s="131"/>
      <c r="N1276" s="131"/>
      <c r="O1276" s="131"/>
      <c r="P1276" s="131"/>
      <c r="Q1276" s="131"/>
      <c r="R1276" s="131"/>
      <c r="S1276" s="131"/>
      <c r="T1276" s="131"/>
      <c r="U1276" s="131"/>
      <c r="V1276" s="131"/>
      <c r="W1276" s="131"/>
      <c r="X1276" s="131"/>
      <c r="Y1276" s="131"/>
      <c r="Z1276" s="131"/>
    </row>
    <row r="1277">
      <c r="A1277" s="262"/>
      <c r="B1277" s="262"/>
      <c r="C1277" s="262"/>
      <c r="D1277" s="262"/>
      <c r="E1277" s="260"/>
      <c r="F1277" s="132"/>
      <c r="G1277" s="140"/>
      <c r="H1277" s="131"/>
      <c r="I1277" s="131"/>
      <c r="J1277" s="131"/>
      <c r="K1277" s="131"/>
      <c r="L1277" s="131"/>
      <c r="M1277" s="131"/>
      <c r="N1277" s="131"/>
      <c r="O1277" s="131"/>
      <c r="P1277" s="131"/>
      <c r="Q1277" s="131"/>
      <c r="R1277" s="131"/>
      <c r="S1277" s="131"/>
      <c r="T1277" s="131"/>
      <c r="U1277" s="131"/>
      <c r="V1277" s="131"/>
      <c r="W1277" s="131"/>
      <c r="X1277" s="131"/>
      <c r="Y1277" s="131"/>
      <c r="Z1277" s="131"/>
    </row>
    <row r="1278">
      <c r="A1278" s="262"/>
      <c r="B1278" s="262"/>
      <c r="C1278" s="262"/>
      <c r="D1278" s="262"/>
      <c r="E1278" s="260"/>
      <c r="F1278" s="132"/>
      <c r="G1278" s="140"/>
      <c r="H1278" s="131"/>
      <c r="I1278" s="131"/>
      <c r="J1278" s="131"/>
      <c r="K1278" s="131"/>
      <c r="L1278" s="131"/>
      <c r="M1278" s="131"/>
      <c r="N1278" s="131"/>
      <c r="O1278" s="131"/>
      <c r="P1278" s="131"/>
      <c r="Q1278" s="131"/>
      <c r="R1278" s="131"/>
      <c r="S1278" s="131"/>
      <c r="T1278" s="131"/>
      <c r="U1278" s="131"/>
      <c r="V1278" s="131"/>
      <c r="W1278" s="131"/>
      <c r="X1278" s="131"/>
      <c r="Y1278" s="131"/>
      <c r="Z1278" s="131"/>
    </row>
    <row r="1279">
      <c r="A1279" s="262"/>
      <c r="B1279" s="262"/>
      <c r="C1279" s="262"/>
      <c r="D1279" s="262"/>
      <c r="E1279" s="260"/>
      <c r="F1279" s="132"/>
      <c r="G1279" s="140"/>
      <c r="H1279" s="131"/>
      <c r="I1279" s="131"/>
      <c r="J1279" s="131"/>
      <c r="K1279" s="131"/>
      <c r="L1279" s="131"/>
      <c r="M1279" s="131"/>
      <c r="N1279" s="131"/>
      <c r="O1279" s="131"/>
      <c r="P1279" s="131"/>
      <c r="Q1279" s="131"/>
      <c r="R1279" s="131"/>
      <c r="S1279" s="131"/>
      <c r="T1279" s="131"/>
      <c r="U1279" s="131"/>
      <c r="V1279" s="131"/>
      <c r="W1279" s="131"/>
      <c r="X1279" s="131"/>
      <c r="Y1279" s="131"/>
      <c r="Z1279" s="131"/>
    </row>
    <row r="1280">
      <c r="A1280" s="262"/>
      <c r="B1280" s="262"/>
      <c r="C1280" s="262"/>
      <c r="D1280" s="262"/>
      <c r="E1280" s="260"/>
      <c r="F1280" s="132"/>
      <c r="G1280" s="140"/>
      <c r="H1280" s="131"/>
      <c r="I1280" s="131"/>
      <c r="J1280" s="131"/>
      <c r="K1280" s="131"/>
      <c r="L1280" s="131"/>
      <c r="M1280" s="131"/>
      <c r="N1280" s="131"/>
      <c r="O1280" s="131"/>
      <c r="P1280" s="131"/>
      <c r="Q1280" s="131"/>
      <c r="R1280" s="131"/>
      <c r="S1280" s="131"/>
      <c r="T1280" s="131"/>
      <c r="U1280" s="131"/>
      <c r="V1280" s="131"/>
      <c r="W1280" s="131"/>
      <c r="X1280" s="131"/>
      <c r="Y1280" s="131"/>
      <c r="Z1280" s="131"/>
    </row>
    <row r="1281">
      <c r="A1281" s="262"/>
      <c r="B1281" s="262"/>
      <c r="C1281" s="262"/>
      <c r="D1281" s="262"/>
      <c r="E1281" s="260"/>
      <c r="F1281" s="132"/>
      <c r="G1281" s="140"/>
      <c r="H1281" s="131"/>
      <c r="I1281" s="131"/>
      <c r="J1281" s="131"/>
      <c r="K1281" s="131"/>
      <c r="L1281" s="131"/>
      <c r="M1281" s="131"/>
      <c r="N1281" s="131"/>
      <c r="O1281" s="131"/>
      <c r="P1281" s="131"/>
      <c r="Q1281" s="131"/>
      <c r="R1281" s="131"/>
      <c r="S1281" s="131"/>
      <c r="T1281" s="131"/>
      <c r="U1281" s="131"/>
      <c r="V1281" s="131"/>
      <c r="W1281" s="131"/>
      <c r="X1281" s="131"/>
      <c r="Y1281" s="131"/>
      <c r="Z1281" s="131"/>
    </row>
    <row r="1282">
      <c r="A1282" s="262"/>
      <c r="B1282" s="262"/>
      <c r="C1282" s="262"/>
      <c r="D1282" s="262"/>
      <c r="E1282" s="260"/>
      <c r="F1282" s="132"/>
      <c r="G1282" s="140"/>
      <c r="H1282" s="131"/>
      <c r="I1282" s="131"/>
      <c r="J1282" s="131"/>
      <c r="K1282" s="131"/>
      <c r="L1282" s="131"/>
      <c r="M1282" s="131"/>
      <c r="N1282" s="131"/>
      <c r="O1282" s="131"/>
      <c r="P1282" s="131"/>
      <c r="Q1282" s="131"/>
      <c r="R1282" s="131"/>
      <c r="S1282" s="131"/>
      <c r="T1282" s="131"/>
      <c r="U1282" s="131"/>
      <c r="V1282" s="131"/>
      <c r="W1282" s="131"/>
      <c r="X1282" s="131"/>
      <c r="Y1282" s="131"/>
      <c r="Z1282" s="131"/>
    </row>
    <row r="1283">
      <c r="A1283" s="262"/>
      <c r="B1283" s="262"/>
      <c r="C1283" s="262"/>
      <c r="D1283" s="262"/>
      <c r="E1283" s="260"/>
      <c r="F1283" s="132"/>
      <c r="G1283" s="140"/>
      <c r="H1283" s="131"/>
      <c r="I1283" s="131"/>
      <c r="J1283" s="131"/>
      <c r="K1283" s="131"/>
      <c r="L1283" s="131"/>
      <c r="M1283" s="131"/>
      <c r="N1283" s="131"/>
      <c r="O1283" s="131"/>
      <c r="P1283" s="131"/>
      <c r="Q1283" s="131"/>
      <c r="R1283" s="131"/>
      <c r="S1283" s="131"/>
      <c r="T1283" s="131"/>
      <c r="U1283" s="131"/>
      <c r="V1283" s="131"/>
      <c r="W1283" s="131"/>
      <c r="X1283" s="131"/>
      <c r="Y1283" s="131"/>
      <c r="Z1283" s="131"/>
    </row>
    <row r="1284">
      <c r="A1284" s="262"/>
      <c r="B1284" s="262"/>
      <c r="C1284" s="262"/>
      <c r="D1284" s="262"/>
      <c r="E1284" s="260"/>
      <c r="F1284" s="132"/>
      <c r="G1284" s="140"/>
      <c r="H1284" s="131"/>
      <c r="I1284" s="131"/>
      <c r="J1284" s="131"/>
      <c r="K1284" s="131"/>
      <c r="L1284" s="131"/>
      <c r="M1284" s="131"/>
      <c r="N1284" s="131"/>
      <c r="O1284" s="131"/>
      <c r="P1284" s="131"/>
      <c r="Q1284" s="131"/>
      <c r="R1284" s="131"/>
      <c r="S1284" s="131"/>
      <c r="T1284" s="131"/>
      <c r="U1284" s="131"/>
      <c r="V1284" s="131"/>
      <c r="W1284" s="131"/>
      <c r="X1284" s="131"/>
      <c r="Y1284" s="131"/>
      <c r="Z1284" s="131"/>
    </row>
    <row r="1285">
      <c r="A1285" s="262"/>
      <c r="B1285" s="262"/>
      <c r="C1285" s="262"/>
      <c r="D1285" s="262"/>
      <c r="E1285" s="260"/>
      <c r="F1285" s="132"/>
      <c r="G1285" s="140"/>
      <c r="H1285" s="131"/>
      <c r="I1285" s="131"/>
      <c r="J1285" s="131"/>
      <c r="K1285" s="131"/>
      <c r="L1285" s="131"/>
      <c r="M1285" s="131"/>
      <c r="N1285" s="131"/>
      <c r="O1285" s="131"/>
      <c r="P1285" s="131"/>
      <c r="Q1285" s="131"/>
      <c r="R1285" s="131"/>
      <c r="S1285" s="131"/>
      <c r="T1285" s="131"/>
      <c r="U1285" s="131"/>
      <c r="V1285" s="131"/>
      <c r="W1285" s="131"/>
      <c r="X1285" s="131"/>
      <c r="Y1285" s="131"/>
      <c r="Z1285" s="131"/>
    </row>
    <row r="1286">
      <c r="A1286" s="262"/>
      <c r="B1286" s="262"/>
      <c r="C1286" s="262"/>
      <c r="D1286" s="262"/>
      <c r="E1286" s="260"/>
      <c r="F1286" s="132"/>
      <c r="G1286" s="140"/>
      <c r="H1286" s="131"/>
      <c r="I1286" s="131"/>
      <c r="J1286" s="131"/>
      <c r="K1286" s="131"/>
      <c r="L1286" s="131"/>
      <c r="M1286" s="131"/>
      <c r="N1286" s="131"/>
      <c r="O1286" s="131"/>
      <c r="P1286" s="131"/>
      <c r="Q1286" s="131"/>
      <c r="R1286" s="131"/>
      <c r="S1286" s="131"/>
      <c r="T1286" s="131"/>
      <c r="U1286" s="131"/>
      <c r="V1286" s="131"/>
      <c r="W1286" s="131"/>
      <c r="X1286" s="131"/>
      <c r="Y1286" s="131"/>
      <c r="Z1286" s="131"/>
    </row>
    <row r="1287">
      <c r="A1287" s="262"/>
      <c r="B1287" s="262"/>
      <c r="C1287" s="262"/>
      <c r="D1287" s="262"/>
      <c r="E1287" s="260"/>
      <c r="F1287" s="132"/>
      <c r="G1287" s="140"/>
      <c r="H1287" s="131"/>
      <c r="I1287" s="131"/>
      <c r="J1287" s="131"/>
      <c r="K1287" s="131"/>
      <c r="L1287" s="131"/>
      <c r="M1287" s="131"/>
      <c r="N1287" s="131"/>
      <c r="O1287" s="131"/>
      <c r="P1287" s="131"/>
      <c r="Q1287" s="131"/>
      <c r="R1287" s="131"/>
      <c r="S1287" s="131"/>
      <c r="T1287" s="131"/>
      <c r="U1287" s="131"/>
      <c r="V1287" s="131"/>
      <c r="W1287" s="131"/>
      <c r="X1287" s="131"/>
      <c r="Y1287" s="131"/>
      <c r="Z1287" s="131"/>
    </row>
    <row r="1288">
      <c r="A1288" s="262"/>
      <c r="B1288" s="262"/>
      <c r="C1288" s="262"/>
      <c r="D1288" s="262"/>
      <c r="E1288" s="260"/>
      <c r="F1288" s="132"/>
      <c r="G1288" s="140"/>
      <c r="H1288" s="131"/>
      <c r="I1288" s="131"/>
      <c r="J1288" s="131"/>
      <c r="K1288" s="131"/>
      <c r="L1288" s="131"/>
      <c r="M1288" s="131"/>
      <c r="N1288" s="131"/>
      <c r="O1288" s="131"/>
      <c r="P1288" s="131"/>
      <c r="Q1288" s="131"/>
      <c r="R1288" s="131"/>
      <c r="S1288" s="131"/>
      <c r="T1288" s="131"/>
      <c r="U1288" s="131"/>
      <c r="V1288" s="131"/>
      <c r="W1288" s="131"/>
      <c r="X1288" s="131"/>
      <c r="Y1288" s="131"/>
      <c r="Z1288" s="131"/>
    </row>
    <row r="1289">
      <c r="A1289" s="262"/>
      <c r="B1289" s="262"/>
      <c r="C1289" s="262"/>
      <c r="D1289" s="262"/>
      <c r="E1289" s="260"/>
      <c r="F1289" s="132"/>
      <c r="G1289" s="140"/>
      <c r="H1289" s="131"/>
      <c r="I1289" s="131"/>
      <c r="J1289" s="131"/>
      <c r="K1289" s="131"/>
      <c r="L1289" s="131"/>
      <c r="M1289" s="131"/>
      <c r="N1289" s="131"/>
      <c r="O1289" s="131"/>
      <c r="P1289" s="131"/>
      <c r="Q1289" s="131"/>
      <c r="R1289" s="131"/>
      <c r="S1289" s="131"/>
      <c r="T1289" s="131"/>
      <c r="U1289" s="131"/>
      <c r="V1289" s="131"/>
      <c r="W1289" s="131"/>
      <c r="X1289" s="131"/>
      <c r="Y1289" s="131"/>
      <c r="Z1289" s="131"/>
    </row>
    <row r="1290">
      <c r="A1290" s="262"/>
      <c r="B1290" s="262"/>
      <c r="C1290" s="262"/>
      <c r="D1290" s="262"/>
      <c r="E1290" s="260"/>
      <c r="F1290" s="132"/>
      <c r="G1290" s="140"/>
      <c r="H1290" s="131"/>
      <c r="I1290" s="131"/>
      <c r="J1290" s="131"/>
      <c r="K1290" s="131"/>
      <c r="L1290" s="131"/>
      <c r="M1290" s="131"/>
      <c r="N1290" s="131"/>
      <c r="O1290" s="131"/>
      <c r="P1290" s="131"/>
      <c r="Q1290" s="131"/>
      <c r="R1290" s="131"/>
      <c r="S1290" s="131"/>
      <c r="T1290" s="131"/>
      <c r="U1290" s="131"/>
      <c r="V1290" s="131"/>
      <c r="W1290" s="131"/>
      <c r="X1290" s="131"/>
      <c r="Y1290" s="131"/>
      <c r="Z1290" s="131"/>
    </row>
    <row r="1291">
      <c r="A1291" s="262"/>
      <c r="B1291" s="262"/>
      <c r="C1291" s="262"/>
      <c r="D1291" s="262"/>
      <c r="E1291" s="260"/>
      <c r="F1291" s="132"/>
      <c r="G1291" s="140"/>
      <c r="H1291" s="131"/>
      <c r="I1291" s="131"/>
      <c r="J1291" s="131"/>
      <c r="K1291" s="131"/>
      <c r="L1291" s="131"/>
      <c r="M1291" s="131"/>
      <c r="N1291" s="131"/>
      <c r="O1291" s="131"/>
      <c r="P1291" s="131"/>
      <c r="Q1291" s="131"/>
      <c r="R1291" s="131"/>
      <c r="S1291" s="131"/>
      <c r="T1291" s="131"/>
      <c r="U1291" s="131"/>
      <c r="V1291" s="131"/>
      <c r="W1291" s="131"/>
      <c r="X1291" s="131"/>
      <c r="Y1291" s="131"/>
      <c r="Z1291" s="131"/>
    </row>
    <row r="1292">
      <c r="A1292" s="262"/>
      <c r="B1292" s="262"/>
      <c r="C1292" s="262"/>
      <c r="D1292" s="262"/>
      <c r="E1292" s="260"/>
      <c r="F1292" s="132"/>
      <c r="G1292" s="140"/>
      <c r="H1292" s="131"/>
      <c r="I1292" s="131"/>
      <c r="J1292" s="131"/>
      <c r="K1292" s="131"/>
      <c r="L1292" s="131"/>
      <c r="M1292" s="131"/>
      <c r="N1292" s="131"/>
      <c r="O1292" s="131"/>
      <c r="P1292" s="131"/>
      <c r="Q1292" s="131"/>
      <c r="R1292" s="131"/>
      <c r="S1292" s="131"/>
      <c r="T1292" s="131"/>
      <c r="U1292" s="131"/>
      <c r="V1292" s="131"/>
      <c r="W1292" s="131"/>
      <c r="X1292" s="131"/>
      <c r="Y1292" s="131"/>
      <c r="Z1292" s="131"/>
    </row>
    <row r="1293">
      <c r="A1293" s="262"/>
      <c r="B1293" s="262"/>
      <c r="C1293" s="262"/>
      <c r="D1293" s="262"/>
      <c r="E1293" s="260"/>
      <c r="F1293" s="132"/>
      <c r="G1293" s="140"/>
      <c r="H1293" s="131"/>
      <c r="I1293" s="131"/>
      <c r="J1293" s="131"/>
      <c r="K1293" s="131"/>
      <c r="L1293" s="131"/>
      <c r="M1293" s="131"/>
      <c r="N1293" s="131"/>
      <c r="O1293" s="131"/>
      <c r="P1293" s="131"/>
      <c r="Q1293" s="131"/>
      <c r="R1293" s="131"/>
      <c r="S1293" s="131"/>
      <c r="T1293" s="131"/>
      <c r="U1293" s="131"/>
      <c r="V1293" s="131"/>
      <c r="W1293" s="131"/>
      <c r="X1293" s="131"/>
      <c r="Y1293" s="131"/>
      <c r="Z1293" s="131"/>
    </row>
    <row r="1294">
      <c r="A1294" s="262"/>
      <c r="B1294" s="262"/>
      <c r="C1294" s="262"/>
      <c r="D1294" s="262"/>
      <c r="E1294" s="260"/>
      <c r="F1294" s="132"/>
      <c r="G1294" s="140"/>
      <c r="H1294" s="131"/>
      <c r="I1294" s="131"/>
      <c r="J1294" s="131"/>
      <c r="K1294" s="131"/>
      <c r="L1294" s="131"/>
      <c r="M1294" s="131"/>
      <c r="N1294" s="131"/>
      <c r="O1294" s="131"/>
      <c r="P1294" s="131"/>
      <c r="Q1294" s="131"/>
      <c r="R1294" s="131"/>
      <c r="S1294" s="131"/>
      <c r="T1294" s="131"/>
      <c r="U1294" s="131"/>
      <c r="V1294" s="131"/>
      <c r="W1294" s="131"/>
      <c r="X1294" s="131"/>
      <c r="Y1294" s="131"/>
      <c r="Z1294" s="131"/>
    </row>
    <row r="1295">
      <c r="A1295" s="262"/>
      <c r="B1295" s="262"/>
      <c r="C1295" s="262"/>
      <c r="D1295" s="262"/>
      <c r="E1295" s="260"/>
      <c r="F1295" s="132"/>
      <c r="G1295" s="140"/>
      <c r="H1295" s="131"/>
      <c r="I1295" s="131"/>
      <c r="J1295" s="131"/>
      <c r="K1295" s="131"/>
      <c r="L1295" s="131"/>
      <c r="M1295" s="131"/>
      <c r="N1295" s="131"/>
      <c r="O1295" s="131"/>
      <c r="P1295" s="131"/>
      <c r="Q1295" s="131"/>
      <c r="R1295" s="131"/>
      <c r="S1295" s="131"/>
      <c r="T1295" s="131"/>
      <c r="U1295" s="131"/>
      <c r="V1295" s="131"/>
      <c r="W1295" s="131"/>
      <c r="X1295" s="131"/>
      <c r="Y1295" s="131"/>
      <c r="Z1295" s="131"/>
    </row>
    <row r="1296">
      <c r="A1296" s="262"/>
      <c r="B1296" s="262"/>
      <c r="C1296" s="262"/>
      <c r="D1296" s="262"/>
      <c r="E1296" s="260"/>
      <c r="F1296" s="132"/>
      <c r="G1296" s="140"/>
      <c r="H1296" s="131"/>
      <c r="I1296" s="131"/>
      <c r="J1296" s="131"/>
      <c r="K1296" s="131"/>
      <c r="L1296" s="131"/>
      <c r="M1296" s="131"/>
      <c r="N1296" s="131"/>
      <c r="O1296" s="131"/>
      <c r="P1296" s="131"/>
      <c r="Q1296" s="131"/>
      <c r="R1296" s="131"/>
      <c r="S1296" s="131"/>
      <c r="T1296" s="131"/>
      <c r="U1296" s="131"/>
      <c r="V1296" s="131"/>
      <c r="W1296" s="131"/>
      <c r="X1296" s="131"/>
      <c r="Y1296" s="131"/>
      <c r="Z1296" s="131"/>
    </row>
    <row r="1297">
      <c r="A1297" s="262"/>
      <c r="B1297" s="262"/>
      <c r="C1297" s="262"/>
      <c r="D1297" s="262"/>
      <c r="E1297" s="260"/>
      <c r="F1297" s="132"/>
      <c r="G1297" s="140"/>
      <c r="H1297" s="131"/>
      <c r="I1297" s="131"/>
      <c r="J1297" s="131"/>
      <c r="K1297" s="131"/>
      <c r="L1297" s="131"/>
      <c r="M1297" s="131"/>
      <c r="N1297" s="131"/>
      <c r="O1297" s="131"/>
      <c r="P1297" s="131"/>
      <c r="Q1297" s="131"/>
      <c r="R1297" s="131"/>
      <c r="S1297" s="131"/>
      <c r="T1297" s="131"/>
      <c r="U1297" s="131"/>
      <c r="V1297" s="131"/>
      <c r="W1297" s="131"/>
      <c r="X1297" s="131"/>
      <c r="Y1297" s="131"/>
      <c r="Z1297" s="131"/>
    </row>
    <row r="1298">
      <c r="A1298" s="262"/>
      <c r="B1298" s="262"/>
      <c r="C1298" s="262"/>
      <c r="D1298" s="262"/>
      <c r="E1298" s="260"/>
      <c r="F1298" s="132"/>
      <c r="G1298" s="140"/>
      <c r="H1298" s="131"/>
      <c r="I1298" s="131"/>
      <c r="J1298" s="131"/>
      <c r="K1298" s="131"/>
      <c r="L1298" s="131"/>
      <c r="M1298" s="131"/>
      <c r="N1298" s="131"/>
      <c r="O1298" s="131"/>
      <c r="P1298" s="131"/>
      <c r="Q1298" s="131"/>
      <c r="R1298" s="131"/>
      <c r="S1298" s="131"/>
      <c r="T1298" s="131"/>
      <c r="U1298" s="131"/>
      <c r="V1298" s="131"/>
      <c r="W1298" s="131"/>
      <c r="X1298" s="131"/>
      <c r="Y1298" s="131"/>
      <c r="Z1298" s="131"/>
    </row>
    <row r="1299">
      <c r="A1299" s="262"/>
      <c r="B1299" s="262"/>
      <c r="C1299" s="262"/>
      <c r="D1299" s="262"/>
      <c r="E1299" s="260"/>
      <c r="F1299" s="132"/>
      <c r="G1299" s="140"/>
      <c r="H1299" s="131"/>
      <c r="I1299" s="131"/>
      <c r="J1299" s="131"/>
      <c r="K1299" s="131"/>
      <c r="L1299" s="131"/>
      <c r="M1299" s="131"/>
      <c r="N1299" s="131"/>
      <c r="O1299" s="131"/>
      <c r="P1299" s="131"/>
      <c r="Q1299" s="131"/>
      <c r="R1299" s="131"/>
      <c r="S1299" s="131"/>
      <c r="T1299" s="131"/>
      <c r="U1299" s="131"/>
      <c r="V1299" s="131"/>
      <c r="W1299" s="131"/>
      <c r="X1299" s="131"/>
      <c r="Y1299" s="131"/>
      <c r="Z1299" s="131"/>
    </row>
    <row r="1300">
      <c r="A1300" s="262"/>
      <c r="B1300" s="262"/>
      <c r="C1300" s="262"/>
      <c r="D1300" s="262"/>
      <c r="E1300" s="260"/>
      <c r="F1300" s="132"/>
      <c r="G1300" s="140"/>
      <c r="H1300" s="131"/>
      <c r="I1300" s="131"/>
      <c r="J1300" s="131"/>
      <c r="K1300" s="131"/>
      <c r="L1300" s="131"/>
      <c r="M1300" s="131"/>
      <c r="N1300" s="131"/>
      <c r="O1300" s="131"/>
      <c r="P1300" s="131"/>
      <c r="Q1300" s="131"/>
      <c r="R1300" s="131"/>
      <c r="S1300" s="131"/>
      <c r="T1300" s="131"/>
      <c r="U1300" s="131"/>
      <c r="V1300" s="131"/>
      <c r="W1300" s="131"/>
      <c r="X1300" s="131"/>
      <c r="Y1300" s="131"/>
      <c r="Z1300" s="131"/>
    </row>
    <row r="1301">
      <c r="A1301" s="262"/>
      <c r="B1301" s="262"/>
      <c r="C1301" s="262"/>
      <c r="D1301" s="262"/>
      <c r="E1301" s="260"/>
      <c r="F1301" s="132"/>
      <c r="G1301" s="140"/>
      <c r="H1301" s="131"/>
      <c r="I1301" s="131"/>
      <c r="J1301" s="131"/>
      <c r="K1301" s="131"/>
      <c r="L1301" s="131"/>
      <c r="M1301" s="131"/>
      <c r="N1301" s="131"/>
      <c r="O1301" s="131"/>
      <c r="P1301" s="131"/>
      <c r="Q1301" s="131"/>
      <c r="R1301" s="131"/>
      <c r="S1301" s="131"/>
      <c r="T1301" s="131"/>
      <c r="U1301" s="131"/>
      <c r="V1301" s="131"/>
      <c r="W1301" s="131"/>
      <c r="X1301" s="131"/>
      <c r="Y1301" s="131"/>
      <c r="Z1301" s="131"/>
    </row>
    <row r="1302">
      <c r="A1302" s="262"/>
      <c r="B1302" s="262"/>
      <c r="C1302" s="262"/>
      <c r="D1302" s="262"/>
      <c r="E1302" s="260"/>
      <c r="F1302" s="132"/>
      <c r="G1302" s="140"/>
      <c r="H1302" s="131"/>
      <c r="I1302" s="131"/>
      <c r="J1302" s="131"/>
      <c r="K1302" s="131"/>
      <c r="L1302" s="131"/>
      <c r="M1302" s="131"/>
      <c r="N1302" s="131"/>
      <c r="O1302" s="131"/>
      <c r="P1302" s="131"/>
      <c r="Q1302" s="131"/>
      <c r="R1302" s="131"/>
      <c r="S1302" s="131"/>
      <c r="T1302" s="131"/>
      <c r="U1302" s="131"/>
      <c r="V1302" s="131"/>
      <c r="W1302" s="131"/>
      <c r="X1302" s="131"/>
      <c r="Y1302" s="131"/>
      <c r="Z1302" s="131"/>
    </row>
    <row r="1303">
      <c r="A1303" s="262"/>
      <c r="B1303" s="262"/>
      <c r="C1303" s="262"/>
      <c r="D1303" s="262"/>
      <c r="E1303" s="260"/>
      <c r="F1303" s="132"/>
      <c r="G1303" s="140"/>
      <c r="H1303" s="131"/>
      <c r="I1303" s="131"/>
      <c r="J1303" s="131"/>
      <c r="K1303" s="131"/>
      <c r="L1303" s="131"/>
      <c r="M1303" s="131"/>
      <c r="N1303" s="131"/>
      <c r="O1303" s="131"/>
      <c r="P1303" s="131"/>
      <c r="Q1303" s="131"/>
      <c r="R1303" s="131"/>
      <c r="S1303" s="131"/>
      <c r="T1303" s="131"/>
      <c r="U1303" s="131"/>
      <c r="V1303" s="131"/>
      <c r="W1303" s="131"/>
      <c r="X1303" s="131"/>
      <c r="Y1303" s="131"/>
      <c r="Z1303" s="131"/>
    </row>
    <row r="1304">
      <c r="A1304" s="262"/>
      <c r="B1304" s="262"/>
      <c r="C1304" s="262"/>
      <c r="D1304" s="262"/>
      <c r="E1304" s="260"/>
      <c r="F1304" s="132"/>
      <c r="G1304" s="140"/>
      <c r="H1304" s="131"/>
      <c r="I1304" s="131"/>
      <c r="J1304" s="131"/>
      <c r="K1304" s="131"/>
      <c r="L1304" s="131"/>
      <c r="M1304" s="131"/>
      <c r="N1304" s="131"/>
      <c r="O1304" s="131"/>
      <c r="P1304" s="131"/>
      <c r="Q1304" s="131"/>
      <c r="R1304" s="131"/>
      <c r="S1304" s="131"/>
      <c r="T1304" s="131"/>
      <c r="U1304" s="131"/>
      <c r="V1304" s="131"/>
      <c r="W1304" s="131"/>
      <c r="X1304" s="131"/>
      <c r="Y1304" s="131"/>
      <c r="Z1304" s="131"/>
    </row>
    <row r="1305">
      <c r="A1305" s="262"/>
      <c r="B1305" s="262"/>
      <c r="C1305" s="262"/>
      <c r="D1305" s="262"/>
      <c r="E1305" s="260"/>
      <c r="F1305" s="132"/>
      <c r="G1305" s="140"/>
      <c r="H1305" s="131"/>
      <c r="I1305" s="131"/>
      <c r="J1305" s="131"/>
      <c r="K1305" s="131"/>
      <c r="L1305" s="131"/>
      <c r="M1305" s="131"/>
      <c r="N1305" s="131"/>
      <c r="O1305" s="131"/>
      <c r="P1305" s="131"/>
      <c r="Q1305" s="131"/>
      <c r="R1305" s="131"/>
      <c r="S1305" s="131"/>
      <c r="T1305" s="131"/>
      <c r="U1305" s="131"/>
      <c r="V1305" s="131"/>
      <c r="W1305" s="131"/>
      <c r="X1305" s="131"/>
      <c r="Y1305" s="131"/>
      <c r="Z1305" s="131"/>
    </row>
    <row r="1306">
      <c r="A1306" s="262"/>
      <c r="B1306" s="262"/>
      <c r="C1306" s="262"/>
      <c r="D1306" s="262"/>
      <c r="E1306" s="260"/>
      <c r="F1306" s="132"/>
      <c r="G1306" s="140"/>
      <c r="H1306" s="131"/>
      <c r="I1306" s="131"/>
      <c r="J1306" s="131"/>
      <c r="K1306" s="131"/>
      <c r="L1306" s="131"/>
      <c r="M1306" s="131"/>
      <c r="N1306" s="131"/>
      <c r="O1306" s="131"/>
      <c r="P1306" s="131"/>
      <c r="Q1306" s="131"/>
      <c r="R1306" s="131"/>
      <c r="S1306" s="131"/>
      <c r="T1306" s="131"/>
      <c r="U1306" s="131"/>
      <c r="V1306" s="131"/>
      <c r="W1306" s="131"/>
      <c r="X1306" s="131"/>
      <c r="Y1306" s="131"/>
      <c r="Z1306" s="131"/>
    </row>
    <row r="1307">
      <c r="A1307" s="262"/>
      <c r="B1307" s="262"/>
      <c r="C1307" s="262"/>
      <c r="D1307" s="262"/>
      <c r="E1307" s="260"/>
      <c r="F1307" s="132"/>
      <c r="G1307" s="140"/>
      <c r="H1307" s="131"/>
      <c r="I1307" s="131"/>
      <c r="J1307" s="131"/>
      <c r="K1307" s="131"/>
      <c r="L1307" s="131"/>
      <c r="M1307" s="131"/>
      <c r="N1307" s="131"/>
      <c r="O1307" s="131"/>
      <c r="P1307" s="131"/>
      <c r="Q1307" s="131"/>
      <c r="R1307" s="131"/>
      <c r="S1307" s="131"/>
      <c r="T1307" s="131"/>
      <c r="U1307" s="131"/>
      <c r="V1307" s="131"/>
      <c r="W1307" s="131"/>
      <c r="X1307" s="131"/>
      <c r="Y1307" s="131"/>
      <c r="Z1307" s="131"/>
    </row>
    <row r="1308">
      <c r="A1308" s="262"/>
      <c r="B1308" s="262"/>
      <c r="C1308" s="262"/>
      <c r="D1308" s="262"/>
      <c r="E1308" s="260"/>
      <c r="F1308" s="132"/>
      <c r="G1308" s="140"/>
      <c r="H1308" s="131"/>
      <c r="I1308" s="131"/>
      <c r="J1308" s="131"/>
      <c r="K1308" s="131"/>
      <c r="L1308" s="131"/>
      <c r="M1308" s="131"/>
      <c r="N1308" s="131"/>
      <c r="O1308" s="131"/>
      <c r="P1308" s="131"/>
      <c r="Q1308" s="131"/>
      <c r="R1308" s="131"/>
      <c r="S1308" s="131"/>
      <c r="T1308" s="131"/>
      <c r="U1308" s="131"/>
      <c r="V1308" s="131"/>
      <c r="W1308" s="131"/>
      <c r="X1308" s="131"/>
      <c r="Y1308" s="131"/>
      <c r="Z1308" s="131"/>
    </row>
    <row r="1309">
      <c r="A1309" s="262"/>
      <c r="B1309" s="262"/>
      <c r="C1309" s="262"/>
      <c r="D1309" s="262"/>
      <c r="E1309" s="260"/>
      <c r="F1309" s="132"/>
      <c r="G1309" s="140"/>
      <c r="H1309" s="131"/>
      <c r="I1309" s="131"/>
      <c r="J1309" s="131"/>
      <c r="K1309" s="131"/>
      <c r="L1309" s="131"/>
      <c r="M1309" s="131"/>
      <c r="N1309" s="131"/>
      <c r="O1309" s="131"/>
      <c r="P1309" s="131"/>
      <c r="Q1309" s="131"/>
      <c r="R1309" s="131"/>
      <c r="S1309" s="131"/>
      <c r="T1309" s="131"/>
      <c r="U1309" s="131"/>
      <c r="V1309" s="131"/>
      <c r="W1309" s="131"/>
      <c r="X1309" s="131"/>
      <c r="Y1309" s="131"/>
      <c r="Z1309" s="131"/>
    </row>
    <row r="1310">
      <c r="A1310" s="262"/>
      <c r="B1310" s="262"/>
      <c r="C1310" s="262"/>
      <c r="D1310" s="262"/>
      <c r="E1310" s="260"/>
      <c r="F1310" s="132"/>
      <c r="G1310" s="140"/>
      <c r="H1310" s="131"/>
      <c r="I1310" s="131"/>
      <c r="J1310" s="131"/>
      <c r="K1310" s="131"/>
      <c r="L1310" s="131"/>
      <c r="M1310" s="131"/>
      <c r="N1310" s="131"/>
      <c r="O1310" s="131"/>
      <c r="P1310" s="131"/>
      <c r="Q1310" s="131"/>
      <c r="R1310" s="131"/>
      <c r="S1310" s="131"/>
      <c r="T1310" s="131"/>
      <c r="U1310" s="131"/>
      <c r="V1310" s="131"/>
      <c r="W1310" s="131"/>
      <c r="X1310" s="131"/>
      <c r="Y1310" s="131"/>
      <c r="Z1310" s="131"/>
    </row>
    <row r="1311">
      <c r="A1311" s="262"/>
      <c r="B1311" s="262"/>
      <c r="C1311" s="262"/>
      <c r="D1311" s="262"/>
      <c r="E1311" s="260"/>
      <c r="F1311" s="132"/>
      <c r="G1311" s="140"/>
      <c r="H1311" s="131"/>
      <c r="I1311" s="131"/>
      <c r="J1311" s="131"/>
      <c r="K1311" s="131"/>
      <c r="L1311" s="131"/>
      <c r="M1311" s="131"/>
      <c r="N1311" s="131"/>
      <c r="O1311" s="131"/>
      <c r="P1311" s="131"/>
      <c r="Q1311" s="131"/>
      <c r="R1311" s="131"/>
      <c r="S1311" s="131"/>
      <c r="T1311" s="131"/>
      <c r="U1311" s="131"/>
      <c r="V1311" s="131"/>
      <c r="W1311" s="131"/>
      <c r="X1311" s="131"/>
      <c r="Y1311" s="131"/>
      <c r="Z1311" s="131"/>
    </row>
    <row r="1312">
      <c r="A1312" s="262"/>
      <c r="B1312" s="262"/>
      <c r="C1312" s="262"/>
      <c r="D1312" s="262"/>
      <c r="E1312" s="260"/>
      <c r="F1312" s="132"/>
      <c r="G1312" s="140"/>
      <c r="H1312" s="131"/>
      <c r="I1312" s="131"/>
      <c r="J1312" s="131"/>
      <c r="K1312" s="131"/>
      <c r="L1312" s="131"/>
      <c r="M1312" s="131"/>
      <c r="N1312" s="131"/>
      <c r="O1312" s="131"/>
      <c r="P1312" s="131"/>
      <c r="Q1312" s="131"/>
      <c r="R1312" s="131"/>
      <c r="S1312" s="131"/>
      <c r="T1312" s="131"/>
      <c r="U1312" s="131"/>
      <c r="V1312" s="131"/>
      <c r="W1312" s="131"/>
      <c r="X1312" s="131"/>
      <c r="Y1312" s="131"/>
      <c r="Z1312" s="131"/>
    </row>
    <row r="1313">
      <c r="A1313" s="262"/>
      <c r="B1313" s="262"/>
      <c r="C1313" s="262"/>
      <c r="D1313" s="262"/>
      <c r="E1313" s="260"/>
      <c r="F1313" s="132"/>
      <c r="G1313" s="140"/>
      <c r="H1313" s="131"/>
      <c r="I1313" s="131"/>
      <c r="J1313" s="131"/>
      <c r="K1313" s="131"/>
      <c r="L1313" s="131"/>
      <c r="M1313" s="131"/>
      <c r="N1313" s="131"/>
      <c r="O1313" s="131"/>
      <c r="P1313" s="131"/>
      <c r="Q1313" s="131"/>
      <c r="R1313" s="131"/>
      <c r="S1313" s="131"/>
      <c r="T1313" s="131"/>
      <c r="U1313" s="131"/>
      <c r="V1313" s="131"/>
      <c r="W1313" s="131"/>
      <c r="X1313" s="131"/>
      <c r="Y1313" s="131"/>
      <c r="Z1313" s="131"/>
    </row>
    <row r="1314">
      <c r="A1314" s="262"/>
      <c r="B1314" s="262"/>
      <c r="C1314" s="262"/>
      <c r="D1314" s="262"/>
      <c r="E1314" s="260"/>
      <c r="F1314" s="132"/>
      <c r="G1314" s="140"/>
      <c r="H1314" s="131"/>
      <c r="I1314" s="131"/>
      <c r="J1314" s="131"/>
      <c r="K1314" s="131"/>
      <c r="L1314" s="131"/>
      <c r="M1314" s="131"/>
      <c r="N1314" s="131"/>
      <c r="O1314" s="131"/>
      <c r="P1314" s="131"/>
      <c r="Q1314" s="131"/>
      <c r="R1314" s="131"/>
      <c r="S1314" s="131"/>
      <c r="T1314" s="131"/>
      <c r="U1314" s="131"/>
      <c r="V1314" s="131"/>
      <c r="W1314" s="131"/>
      <c r="X1314" s="131"/>
      <c r="Y1314" s="131"/>
      <c r="Z1314" s="131"/>
    </row>
    <row r="1315">
      <c r="A1315" s="262"/>
      <c r="B1315" s="262"/>
      <c r="C1315" s="262"/>
      <c r="D1315" s="262"/>
      <c r="E1315" s="260"/>
      <c r="F1315" s="132"/>
      <c r="G1315" s="140"/>
      <c r="H1315" s="131"/>
      <c r="I1315" s="131"/>
      <c r="J1315" s="131"/>
      <c r="K1315" s="131"/>
      <c r="L1315" s="131"/>
      <c r="M1315" s="131"/>
      <c r="N1315" s="131"/>
      <c r="O1315" s="131"/>
      <c r="P1315" s="131"/>
      <c r="Q1315" s="131"/>
      <c r="R1315" s="131"/>
      <c r="S1315" s="131"/>
      <c r="T1315" s="131"/>
      <c r="U1315" s="131"/>
      <c r="V1315" s="131"/>
      <c r="W1315" s="131"/>
      <c r="X1315" s="131"/>
      <c r="Y1315" s="131"/>
      <c r="Z1315" s="131"/>
    </row>
    <row r="1316">
      <c r="A1316" s="262"/>
      <c r="B1316" s="262"/>
      <c r="C1316" s="262"/>
      <c r="D1316" s="262"/>
      <c r="E1316" s="260"/>
      <c r="F1316" s="132"/>
      <c r="G1316" s="140"/>
      <c r="H1316" s="131"/>
      <c r="I1316" s="131"/>
      <c r="J1316" s="131"/>
      <c r="K1316" s="131"/>
      <c r="L1316" s="131"/>
      <c r="M1316" s="131"/>
      <c r="N1316" s="131"/>
      <c r="O1316" s="131"/>
      <c r="P1316" s="131"/>
      <c r="Q1316" s="131"/>
      <c r="R1316" s="131"/>
      <c r="S1316" s="131"/>
      <c r="T1316" s="131"/>
      <c r="U1316" s="131"/>
      <c r="V1316" s="131"/>
      <c r="W1316" s="131"/>
      <c r="X1316" s="131"/>
      <c r="Y1316" s="131"/>
      <c r="Z1316" s="131"/>
    </row>
    <row r="1317">
      <c r="A1317" s="262"/>
      <c r="B1317" s="262"/>
      <c r="C1317" s="262"/>
      <c r="D1317" s="262"/>
      <c r="E1317" s="260"/>
      <c r="F1317" s="132"/>
      <c r="G1317" s="140"/>
      <c r="H1317" s="131"/>
      <c r="I1317" s="131"/>
      <c r="J1317" s="131"/>
      <c r="K1317" s="131"/>
      <c r="L1317" s="131"/>
      <c r="M1317" s="131"/>
      <c r="N1317" s="131"/>
      <c r="O1317" s="131"/>
      <c r="P1317" s="131"/>
      <c r="Q1317" s="131"/>
      <c r="R1317" s="131"/>
      <c r="S1317" s="131"/>
      <c r="T1317" s="131"/>
      <c r="U1317" s="131"/>
      <c r="V1317" s="131"/>
      <c r="W1317" s="131"/>
      <c r="X1317" s="131"/>
      <c r="Y1317" s="131"/>
      <c r="Z1317" s="131"/>
    </row>
    <row r="1318">
      <c r="A1318" s="262"/>
      <c r="B1318" s="262"/>
      <c r="C1318" s="262"/>
      <c r="D1318" s="262"/>
      <c r="E1318" s="260"/>
      <c r="F1318" s="132"/>
      <c r="G1318" s="140"/>
      <c r="H1318" s="131"/>
      <c r="I1318" s="131"/>
      <c r="J1318" s="131"/>
      <c r="K1318" s="131"/>
      <c r="L1318" s="131"/>
      <c r="M1318" s="131"/>
      <c r="N1318" s="131"/>
      <c r="O1318" s="131"/>
      <c r="P1318" s="131"/>
      <c r="Q1318" s="131"/>
      <c r="R1318" s="131"/>
      <c r="S1318" s="131"/>
      <c r="T1318" s="131"/>
      <c r="U1318" s="131"/>
      <c r="V1318" s="131"/>
      <c r="W1318" s="131"/>
      <c r="X1318" s="131"/>
      <c r="Y1318" s="131"/>
      <c r="Z1318" s="131"/>
    </row>
    <row r="1319">
      <c r="A1319" s="262"/>
      <c r="B1319" s="262"/>
      <c r="C1319" s="262"/>
      <c r="D1319" s="262"/>
      <c r="E1319" s="260"/>
      <c r="F1319" s="132"/>
      <c r="G1319" s="140"/>
      <c r="H1319" s="131"/>
      <c r="I1319" s="131"/>
      <c r="J1319" s="131"/>
      <c r="K1319" s="131"/>
      <c r="L1319" s="131"/>
      <c r="M1319" s="131"/>
      <c r="N1319" s="131"/>
      <c r="O1319" s="131"/>
      <c r="P1319" s="131"/>
      <c r="Q1319" s="131"/>
      <c r="R1319" s="131"/>
      <c r="S1319" s="131"/>
      <c r="T1319" s="131"/>
      <c r="U1319" s="131"/>
      <c r="V1319" s="131"/>
      <c r="W1319" s="131"/>
      <c r="X1319" s="131"/>
      <c r="Y1319" s="131"/>
      <c r="Z1319" s="131"/>
    </row>
    <row r="1320">
      <c r="A1320" s="262"/>
      <c r="B1320" s="262"/>
      <c r="C1320" s="262"/>
      <c r="D1320" s="262"/>
      <c r="E1320" s="260"/>
      <c r="F1320" s="132"/>
      <c r="G1320" s="140"/>
      <c r="H1320" s="131"/>
      <c r="I1320" s="131"/>
      <c r="J1320" s="131"/>
      <c r="K1320" s="131"/>
      <c r="L1320" s="131"/>
      <c r="M1320" s="131"/>
      <c r="N1320" s="131"/>
      <c r="O1320" s="131"/>
      <c r="P1320" s="131"/>
      <c r="Q1320" s="131"/>
      <c r="R1320" s="131"/>
      <c r="S1320" s="131"/>
      <c r="T1320" s="131"/>
      <c r="U1320" s="131"/>
      <c r="V1320" s="131"/>
      <c r="W1320" s="131"/>
      <c r="X1320" s="131"/>
      <c r="Y1320" s="131"/>
      <c r="Z1320" s="131"/>
    </row>
    <row r="1321">
      <c r="A1321" s="262"/>
      <c r="B1321" s="262"/>
      <c r="C1321" s="262"/>
      <c r="D1321" s="262"/>
      <c r="E1321" s="260"/>
      <c r="F1321" s="132"/>
      <c r="G1321" s="140"/>
      <c r="H1321" s="131"/>
      <c r="I1321" s="131"/>
      <c r="J1321" s="131"/>
      <c r="K1321" s="131"/>
      <c r="L1321" s="131"/>
      <c r="M1321" s="131"/>
      <c r="N1321" s="131"/>
      <c r="O1321" s="131"/>
      <c r="P1321" s="131"/>
      <c r="Q1321" s="131"/>
      <c r="R1321" s="131"/>
      <c r="S1321" s="131"/>
      <c r="T1321" s="131"/>
      <c r="U1321" s="131"/>
      <c r="V1321" s="131"/>
      <c r="W1321" s="131"/>
      <c r="X1321" s="131"/>
      <c r="Y1321" s="131"/>
      <c r="Z1321" s="131"/>
    </row>
    <row r="1322">
      <c r="A1322" s="262"/>
      <c r="B1322" s="262"/>
      <c r="C1322" s="262"/>
      <c r="D1322" s="262"/>
      <c r="E1322" s="260"/>
      <c r="F1322" s="132"/>
      <c r="G1322" s="140"/>
      <c r="H1322" s="131"/>
      <c r="I1322" s="131"/>
      <c r="J1322" s="131"/>
      <c r="K1322" s="131"/>
      <c r="L1322" s="131"/>
      <c r="M1322" s="131"/>
      <c r="N1322" s="131"/>
      <c r="O1322" s="131"/>
      <c r="P1322" s="131"/>
      <c r="Q1322" s="131"/>
      <c r="R1322" s="131"/>
      <c r="S1322" s="131"/>
      <c r="T1322" s="131"/>
      <c r="U1322" s="131"/>
      <c r="V1322" s="131"/>
      <c r="W1322" s="131"/>
      <c r="X1322" s="131"/>
      <c r="Y1322" s="131"/>
      <c r="Z1322" s="131"/>
    </row>
    <row r="1323">
      <c r="A1323" s="262"/>
      <c r="B1323" s="262"/>
      <c r="C1323" s="262"/>
      <c r="D1323" s="262"/>
      <c r="E1323" s="260"/>
      <c r="F1323" s="132"/>
      <c r="G1323" s="140"/>
      <c r="H1323" s="131"/>
      <c r="I1323" s="131"/>
      <c r="J1323" s="131"/>
      <c r="K1323" s="131"/>
      <c r="L1323" s="131"/>
      <c r="M1323" s="131"/>
      <c r="N1323" s="131"/>
      <c r="O1323" s="131"/>
      <c r="P1323" s="131"/>
      <c r="Q1323" s="131"/>
      <c r="R1323" s="131"/>
      <c r="S1323" s="131"/>
      <c r="T1323" s="131"/>
      <c r="U1323" s="131"/>
      <c r="V1323" s="131"/>
      <c r="W1323" s="131"/>
      <c r="X1323" s="131"/>
      <c r="Y1323" s="131"/>
      <c r="Z1323" s="131"/>
    </row>
    <row r="1324">
      <c r="A1324" s="262"/>
      <c r="B1324" s="262"/>
      <c r="C1324" s="262"/>
      <c r="D1324" s="262"/>
      <c r="E1324" s="260"/>
      <c r="F1324" s="132"/>
      <c r="G1324" s="140"/>
      <c r="H1324" s="131"/>
      <c r="I1324" s="131"/>
      <c r="J1324" s="131"/>
      <c r="K1324" s="131"/>
      <c r="L1324" s="131"/>
      <c r="M1324" s="131"/>
      <c r="N1324" s="131"/>
      <c r="O1324" s="131"/>
      <c r="P1324" s="131"/>
      <c r="Q1324" s="131"/>
      <c r="R1324" s="131"/>
      <c r="S1324" s="131"/>
      <c r="T1324" s="131"/>
      <c r="U1324" s="131"/>
      <c r="V1324" s="131"/>
      <c r="W1324" s="131"/>
      <c r="X1324" s="131"/>
      <c r="Y1324" s="131"/>
      <c r="Z1324" s="131"/>
    </row>
    <row r="1325">
      <c r="A1325" s="262"/>
      <c r="B1325" s="262"/>
      <c r="C1325" s="262"/>
      <c r="D1325" s="262"/>
      <c r="E1325" s="260"/>
      <c r="F1325" s="132"/>
      <c r="G1325" s="140"/>
      <c r="H1325" s="131"/>
      <c r="I1325" s="131"/>
      <c r="J1325" s="131"/>
      <c r="K1325" s="131"/>
      <c r="L1325" s="131"/>
      <c r="M1325" s="131"/>
      <c r="N1325" s="131"/>
      <c r="O1325" s="131"/>
      <c r="P1325" s="131"/>
      <c r="Q1325" s="131"/>
      <c r="R1325" s="131"/>
      <c r="S1325" s="131"/>
      <c r="T1325" s="131"/>
      <c r="U1325" s="131"/>
      <c r="V1325" s="131"/>
      <c r="W1325" s="131"/>
      <c r="X1325" s="131"/>
      <c r="Y1325" s="131"/>
      <c r="Z1325" s="131"/>
    </row>
    <row r="1326">
      <c r="A1326" s="262"/>
      <c r="B1326" s="262"/>
      <c r="C1326" s="262"/>
      <c r="D1326" s="262"/>
      <c r="E1326" s="260"/>
      <c r="F1326" s="132"/>
      <c r="G1326" s="140"/>
      <c r="H1326" s="131"/>
      <c r="I1326" s="131"/>
      <c r="J1326" s="131"/>
      <c r="K1326" s="131"/>
      <c r="L1326" s="131"/>
      <c r="M1326" s="131"/>
      <c r="N1326" s="131"/>
      <c r="O1326" s="131"/>
      <c r="P1326" s="131"/>
      <c r="Q1326" s="131"/>
      <c r="R1326" s="131"/>
      <c r="S1326" s="131"/>
      <c r="T1326" s="131"/>
      <c r="U1326" s="131"/>
      <c r="V1326" s="131"/>
      <c r="W1326" s="131"/>
      <c r="X1326" s="131"/>
      <c r="Y1326" s="131"/>
      <c r="Z1326" s="131"/>
    </row>
    <row r="1327">
      <c r="A1327" s="262"/>
      <c r="B1327" s="262"/>
      <c r="C1327" s="262"/>
      <c r="D1327" s="262"/>
      <c r="E1327" s="260"/>
      <c r="F1327" s="132"/>
      <c r="G1327" s="140"/>
      <c r="H1327" s="131"/>
      <c r="I1327" s="131"/>
      <c r="J1327" s="131"/>
      <c r="K1327" s="131"/>
      <c r="L1327" s="131"/>
      <c r="M1327" s="131"/>
      <c r="N1327" s="131"/>
      <c r="O1327" s="131"/>
      <c r="P1327" s="131"/>
      <c r="Q1327" s="131"/>
      <c r="R1327" s="131"/>
      <c r="S1327" s="131"/>
      <c r="T1327" s="131"/>
      <c r="U1327" s="131"/>
      <c r="V1327" s="131"/>
      <c r="W1327" s="131"/>
      <c r="X1327" s="131"/>
      <c r="Y1327" s="131"/>
      <c r="Z1327" s="131"/>
    </row>
    <row r="1328">
      <c r="A1328" s="262"/>
      <c r="B1328" s="262"/>
      <c r="C1328" s="262"/>
      <c r="D1328" s="262"/>
      <c r="E1328" s="260"/>
      <c r="F1328" s="132"/>
      <c r="G1328" s="140"/>
      <c r="H1328" s="131"/>
      <c r="I1328" s="131"/>
      <c r="J1328" s="131"/>
      <c r="K1328" s="131"/>
      <c r="L1328" s="131"/>
      <c r="M1328" s="131"/>
      <c r="N1328" s="131"/>
      <c r="O1328" s="131"/>
      <c r="P1328" s="131"/>
      <c r="Q1328" s="131"/>
      <c r="R1328" s="131"/>
      <c r="S1328" s="131"/>
      <c r="T1328" s="131"/>
      <c r="U1328" s="131"/>
      <c r="V1328" s="131"/>
      <c r="W1328" s="131"/>
      <c r="X1328" s="131"/>
      <c r="Y1328" s="131"/>
      <c r="Z1328" s="131"/>
    </row>
    <row r="1329">
      <c r="A1329" s="262"/>
      <c r="B1329" s="262"/>
      <c r="C1329" s="262"/>
      <c r="D1329" s="262"/>
      <c r="E1329" s="260"/>
      <c r="F1329" s="132"/>
      <c r="G1329" s="140"/>
      <c r="H1329" s="131"/>
      <c r="I1329" s="131"/>
      <c r="J1329" s="131"/>
      <c r="K1329" s="131"/>
      <c r="L1329" s="131"/>
      <c r="M1329" s="131"/>
      <c r="N1329" s="131"/>
      <c r="O1329" s="131"/>
      <c r="P1329" s="131"/>
      <c r="Q1329" s="131"/>
      <c r="R1329" s="131"/>
      <c r="S1329" s="131"/>
      <c r="T1329" s="131"/>
      <c r="U1329" s="131"/>
      <c r="V1329" s="131"/>
      <c r="W1329" s="131"/>
      <c r="X1329" s="131"/>
      <c r="Y1329" s="131"/>
      <c r="Z1329" s="131"/>
    </row>
    <row r="1330">
      <c r="A1330" s="262"/>
      <c r="B1330" s="262"/>
      <c r="C1330" s="262"/>
      <c r="D1330" s="262"/>
      <c r="E1330" s="260"/>
      <c r="F1330" s="132"/>
      <c r="G1330" s="140"/>
      <c r="H1330" s="131"/>
      <c r="I1330" s="131"/>
      <c r="J1330" s="131"/>
      <c r="K1330" s="131"/>
      <c r="L1330" s="131"/>
      <c r="M1330" s="131"/>
      <c r="N1330" s="131"/>
      <c r="O1330" s="131"/>
      <c r="P1330" s="131"/>
      <c r="Q1330" s="131"/>
      <c r="R1330" s="131"/>
      <c r="S1330" s="131"/>
      <c r="T1330" s="131"/>
      <c r="U1330" s="131"/>
      <c r="V1330" s="131"/>
      <c r="W1330" s="131"/>
      <c r="X1330" s="131"/>
      <c r="Y1330" s="131"/>
      <c r="Z1330" s="131"/>
    </row>
    <row r="1331">
      <c r="A1331" s="262"/>
      <c r="B1331" s="262"/>
      <c r="C1331" s="262"/>
      <c r="D1331" s="262"/>
      <c r="E1331" s="260"/>
      <c r="F1331" s="132"/>
      <c r="G1331" s="140"/>
      <c r="H1331" s="131"/>
      <c r="I1331" s="131"/>
      <c r="J1331" s="131"/>
      <c r="K1331" s="131"/>
      <c r="L1331" s="131"/>
      <c r="M1331" s="131"/>
      <c r="N1331" s="131"/>
      <c r="O1331" s="131"/>
      <c r="P1331" s="131"/>
      <c r="Q1331" s="131"/>
      <c r="R1331" s="131"/>
      <c r="S1331" s="131"/>
      <c r="T1331" s="131"/>
      <c r="U1331" s="131"/>
      <c r="V1331" s="131"/>
      <c r="W1331" s="131"/>
      <c r="X1331" s="131"/>
      <c r="Y1331" s="131"/>
      <c r="Z1331" s="131"/>
    </row>
    <row r="1332">
      <c r="A1332" s="262"/>
      <c r="B1332" s="262"/>
      <c r="C1332" s="262"/>
      <c r="D1332" s="262"/>
      <c r="E1332" s="260"/>
      <c r="F1332" s="132"/>
      <c r="G1332" s="140"/>
      <c r="H1332" s="131"/>
      <c r="I1332" s="131"/>
      <c r="J1332" s="131"/>
      <c r="K1332" s="131"/>
      <c r="L1332" s="131"/>
      <c r="M1332" s="131"/>
      <c r="N1332" s="131"/>
      <c r="O1332" s="131"/>
      <c r="P1332" s="131"/>
      <c r="Q1332" s="131"/>
      <c r="R1332" s="131"/>
      <c r="S1332" s="131"/>
      <c r="T1332" s="131"/>
      <c r="U1332" s="131"/>
      <c r="V1332" s="131"/>
      <c r="W1332" s="131"/>
      <c r="X1332" s="131"/>
      <c r="Y1332" s="131"/>
      <c r="Z1332" s="131"/>
    </row>
    <row r="1333">
      <c r="A1333" s="262"/>
      <c r="B1333" s="262"/>
      <c r="C1333" s="262"/>
      <c r="D1333" s="262"/>
      <c r="E1333" s="260"/>
      <c r="F1333" s="132"/>
      <c r="G1333" s="140"/>
      <c r="H1333" s="131"/>
      <c r="I1333" s="131"/>
      <c r="J1333" s="131"/>
      <c r="K1333" s="131"/>
      <c r="L1333" s="131"/>
      <c r="M1333" s="131"/>
      <c r="N1333" s="131"/>
      <c r="O1333" s="131"/>
      <c r="P1333" s="131"/>
      <c r="Q1333" s="131"/>
      <c r="R1333" s="131"/>
      <c r="S1333" s="131"/>
      <c r="T1333" s="131"/>
      <c r="U1333" s="131"/>
      <c r="V1333" s="131"/>
      <c r="W1333" s="131"/>
      <c r="X1333" s="131"/>
      <c r="Y1333" s="131"/>
      <c r="Z1333" s="131"/>
    </row>
    <row r="1334">
      <c r="A1334" s="262"/>
      <c r="B1334" s="262"/>
      <c r="C1334" s="262"/>
      <c r="D1334" s="262"/>
      <c r="E1334" s="260"/>
      <c r="F1334" s="132"/>
      <c r="G1334" s="140"/>
      <c r="H1334" s="131"/>
      <c r="I1334" s="131"/>
      <c r="J1334" s="131"/>
      <c r="K1334" s="131"/>
      <c r="L1334" s="131"/>
      <c r="M1334" s="131"/>
      <c r="N1334" s="131"/>
      <c r="O1334" s="131"/>
      <c r="P1334" s="131"/>
      <c r="Q1334" s="131"/>
      <c r="R1334" s="131"/>
      <c r="S1334" s="131"/>
      <c r="T1334" s="131"/>
      <c r="U1334" s="131"/>
      <c r="V1334" s="131"/>
      <c r="W1334" s="131"/>
      <c r="X1334" s="131"/>
      <c r="Y1334" s="131"/>
      <c r="Z1334" s="131"/>
    </row>
    <row r="1335">
      <c r="A1335" s="262"/>
      <c r="B1335" s="262"/>
      <c r="C1335" s="262"/>
      <c r="D1335" s="262"/>
      <c r="E1335" s="260"/>
      <c r="F1335" s="132"/>
      <c r="G1335" s="140"/>
      <c r="H1335" s="131"/>
      <c r="I1335" s="131"/>
      <c r="J1335" s="131"/>
      <c r="K1335" s="131"/>
      <c r="L1335" s="131"/>
      <c r="M1335" s="131"/>
      <c r="N1335" s="131"/>
      <c r="O1335" s="131"/>
      <c r="P1335" s="131"/>
      <c r="Q1335" s="131"/>
      <c r="R1335" s="131"/>
      <c r="S1335" s="131"/>
      <c r="T1335" s="131"/>
      <c r="U1335" s="131"/>
      <c r="V1335" s="131"/>
      <c r="W1335" s="131"/>
      <c r="X1335" s="131"/>
      <c r="Y1335" s="131"/>
      <c r="Z1335" s="131"/>
    </row>
    <row r="1336">
      <c r="A1336" s="262"/>
      <c r="B1336" s="262"/>
      <c r="C1336" s="262"/>
      <c r="D1336" s="262"/>
      <c r="E1336" s="260"/>
      <c r="F1336" s="132"/>
      <c r="G1336" s="140"/>
      <c r="H1336" s="131"/>
      <c r="I1336" s="131"/>
      <c r="J1336" s="131"/>
      <c r="K1336" s="131"/>
      <c r="L1336" s="131"/>
      <c r="M1336" s="131"/>
      <c r="N1336" s="131"/>
      <c r="O1336" s="131"/>
      <c r="P1336" s="131"/>
      <c r="Q1336" s="131"/>
      <c r="R1336" s="131"/>
      <c r="S1336" s="131"/>
      <c r="T1336" s="131"/>
      <c r="U1336" s="131"/>
      <c r="V1336" s="131"/>
      <c r="W1336" s="131"/>
      <c r="X1336" s="131"/>
      <c r="Y1336" s="131"/>
      <c r="Z1336" s="131"/>
    </row>
    <row r="1337">
      <c r="A1337" s="262"/>
      <c r="B1337" s="262"/>
      <c r="C1337" s="262"/>
      <c r="D1337" s="262"/>
      <c r="E1337" s="260"/>
      <c r="F1337" s="132"/>
      <c r="G1337" s="140"/>
      <c r="H1337" s="131"/>
      <c r="I1337" s="131"/>
      <c r="J1337" s="131"/>
      <c r="K1337" s="131"/>
      <c r="L1337" s="131"/>
      <c r="M1337" s="131"/>
      <c r="N1337" s="131"/>
      <c r="O1337" s="131"/>
      <c r="P1337" s="131"/>
      <c r="Q1337" s="131"/>
      <c r="R1337" s="131"/>
      <c r="S1337" s="131"/>
      <c r="T1337" s="131"/>
      <c r="U1337" s="131"/>
      <c r="V1337" s="131"/>
      <c r="W1337" s="131"/>
      <c r="X1337" s="131"/>
      <c r="Y1337" s="131"/>
      <c r="Z1337" s="131"/>
    </row>
    <row r="1338">
      <c r="A1338" s="262"/>
      <c r="B1338" s="262"/>
      <c r="C1338" s="262"/>
      <c r="D1338" s="262"/>
      <c r="E1338" s="260"/>
      <c r="F1338" s="132"/>
      <c r="G1338" s="140"/>
      <c r="H1338" s="131"/>
      <c r="I1338" s="131"/>
      <c r="J1338" s="131"/>
      <c r="K1338" s="131"/>
      <c r="L1338" s="131"/>
      <c r="M1338" s="131"/>
      <c r="N1338" s="131"/>
      <c r="O1338" s="131"/>
      <c r="P1338" s="131"/>
      <c r="Q1338" s="131"/>
      <c r="R1338" s="131"/>
      <c r="S1338" s="131"/>
      <c r="T1338" s="131"/>
      <c r="U1338" s="131"/>
      <c r="V1338" s="131"/>
      <c r="W1338" s="131"/>
      <c r="X1338" s="131"/>
      <c r="Y1338" s="131"/>
      <c r="Z1338" s="131"/>
    </row>
    <row r="1339">
      <c r="A1339" s="262"/>
      <c r="B1339" s="262"/>
      <c r="C1339" s="262"/>
      <c r="D1339" s="262"/>
      <c r="E1339" s="260"/>
      <c r="F1339" s="132"/>
      <c r="G1339" s="140"/>
      <c r="H1339" s="131"/>
      <c r="I1339" s="131"/>
      <c r="J1339" s="131"/>
      <c r="K1339" s="131"/>
      <c r="L1339" s="131"/>
      <c r="M1339" s="131"/>
      <c r="N1339" s="131"/>
      <c r="O1339" s="131"/>
      <c r="P1339" s="131"/>
      <c r="Q1339" s="131"/>
      <c r="R1339" s="131"/>
      <c r="S1339" s="131"/>
      <c r="T1339" s="131"/>
      <c r="U1339" s="131"/>
      <c r="V1339" s="131"/>
      <c r="W1339" s="131"/>
      <c r="X1339" s="131"/>
      <c r="Y1339" s="131"/>
      <c r="Z1339" s="131"/>
    </row>
    <row r="1340">
      <c r="A1340" s="262"/>
      <c r="B1340" s="262"/>
      <c r="C1340" s="262"/>
      <c r="D1340" s="262"/>
      <c r="E1340" s="260"/>
      <c r="F1340" s="132"/>
      <c r="G1340" s="140"/>
      <c r="H1340" s="131"/>
      <c r="I1340" s="131"/>
      <c r="J1340" s="131"/>
      <c r="K1340" s="131"/>
      <c r="L1340" s="131"/>
      <c r="M1340" s="131"/>
      <c r="N1340" s="131"/>
      <c r="O1340" s="131"/>
      <c r="P1340" s="131"/>
      <c r="Q1340" s="131"/>
      <c r="R1340" s="131"/>
      <c r="S1340" s="131"/>
      <c r="T1340" s="131"/>
      <c r="U1340" s="131"/>
      <c r="V1340" s="131"/>
      <c r="W1340" s="131"/>
      <c r="X1340" s="131"/>
      <c r="Y1340" s="131"/>
      <c r="Z1340" s="131"/>
    </row>
    <row r="1341">
      <c r="A1341" s="262"/>
      <c r="B1341" s="262"/>
      <c r="C1341" s="262"/>
      <c r="D1341" s="262"/>
      <c r="E1341" s="260"/>
      <c r="F1341" s="132"/>
      <c r="G1341" s="140"/>
      <c r="H1341" s="131"/>
      <c r="I1341" s="131"/>
      <c r="J1341" s="131"/>
      <c r="K1341" s="131"/>
      <c r="L1341" s="131"/>
      <c r="M1341" s="131"/>
      <c r="N1341" s="131"/>
      <c r="O1341" s="131"/>
      <c r="P1341" s="131"/>
      <c r="Q1341" s="131"/>
      <c r="R1341" s="131"/>
      <c r="S1341" s="131"/>
      <c r="T1341" s="131"/>
      <c r="U1341" s="131"/>
      <c r="V1341" s="131"/>
      <c r="W1341" s="131"/>
      <c r="X1341" s="131"/>
      <c r="Y1341" s="131"/>
      <c r="Z1341" s="131"/>
    </row>
    <row r="1342">
      <c r="A1342" s="262"/>
      <c r="B1342" s="262"/>
      <c r="C1342" s="262"/>
      <c r="D1342" s="262"/>
      <c r="E1342" s="260"/>
      <c r="F1342" s="132"/>
      <c r="G1342" s="140"/>
      <c r="H1342" s="131"/>
      <c r="I1342" s="131"/>
      <c r="J1342" s="131"/>
      <c r="K1342" s="131"/>
      <c r="L1342" s="131"/>
      <c r="M1342" s="131"/>
      <c r="N1342" s="131"/>
      <c r="O1342" s="131"/>
      <c r="P1342" s="131"/>
      <c r="Q1342" s="131"/>
      <c r="R1342" s="131"/>
      <c r="S1342" s="131"/>
      <c r="T1342" s="131"/>
      <c r="U1342" s="131"/>
      <c r="V1342" s="131"/>
      <c r="W1342" s="131"/>
      <c r="X1342" s="131"/>
      <c r="Y1342" s="131"/>
      <c r="Z1342" s="131"/>
    </row>
    <row r="1343">
      <c r="A1343" s="262"/>
      <c r="B1343" s="262"/>
      <c r="C1343" s="262"/>
      <c r="D1343" s="262"/>
      <c r="E1343" s="260"/>
      <c r="F1343" s="132"/>
      <c r="G1343" s="140"/>
      <c r="H1343" s="131"/>
      <c r="I1343" s="131"/>
      <c r="J1343" s="131"/>
      <c r="K1343" s="131"/>
      <c r="L1343" s="131"/>
      <c r="M1343" s="131"/>
      <c r="N1343" s="131"/>
      <c r="O1343" s="131"/>
      <c r="P1343" s="131"/>
      <c r="Q1343" s="131"/>
      <c r="R1343" s="131"/>
      <c r="S1343" s="131"/>
      <c r="T1343" s="131"/>
      <c r="U1343" s="131"/>
      <c r="V1343" s="131"/>
      <c r="W1343" s="131"/>
      <c r="X1343" s="131"/>
      <c r="Y1343" s="131"/>
      <c r="Z1343" s="131"/>
    </row>
    <row r="1344">
      <c r="A1344" s="262"/>
      <c r="B1344" s="262"/>
      <c r="C1344" s="262"/>
      <c r="D1344" s="262"/>
      <c r="E1344" s="260"/>
      <c r="F1344" s="132"/>
      <c r="G1344" s="140"/>
      <c r="H1344" s="131"/>
      <c r="I1344" s="131"/>
      <c r="J1344" s="131"/>
      <c r="K1344" s="131"/>
      <c r="L1344" s="131"/>
      <c r="M1344" s="131"/>
      <c r="N1344" s="131"/>
      <c r="O1344" s="131"/>
      <c r="P1344" s="131"/>
      <c r="Q1344" s="131"/>
      <c r="R1344" s="131"/>
      <c r="S1344" s="131"/>
      <c r="T1344" s="131"/>
      <c r="U1344" s="131"/>
      <c r="V1344" s="131"/>
      <c r="W1344" s="131"/>
      <c r="X1344" s="131"/>
      <c r="Y1344" s="131"/>
      <c r="Z1344" s="131"/>
    </row>
    <row r="1345">
      <c r="A1345" s="262"/>
      <c r="B1345" s="262"/>
      <c r="C1345" s="262"/>
      <c r="D1345" s="262"/>
      <c r="E1345" s="260"/>
      <c r="F1345" s="132"/>
      <c r="G1345" s="140"/>
      <c r="H1345" s="131"/>
      <c r="I1345" s="131"/>
      <c r="J1345" s="131"/>
      <c r="K1345" s="131"/>
      <c r="L1345" s="131"/>
      <c r="M1345" s="131"/>
      <c r="N1345" s="131"/>
      <c r="O1345" s="131"/>
      <c r="P1345" s="131"/>
      <c r="Q1345" s="131"/>
      <c r="R1345" s="131"/>
      <c r="S1345" s="131"/>
      <c r="T1345" s="131"/>
      <c r="U1345" s="131"/>
      <c r="V1345" s="131"/>
      <c r="W1345" s="131"/>
      <c r="X1345" s="131"/>
      <c r="Y1345" s="131"/>
      <c r="Z1345" s="131"/>
    </row>
    <row r="1346">
      <c r="A1346" s="262"/>
      <c r="B1346" s="262"/>
      <c r="C1346" s="262"/>
      <c r="D1346" s="262"/>
      <c r="E1346" s="260"/>
      <c r="F1346" s="132"/>
      <c r="G1346" s="140"/>
      <c r="H1346" s="131"/>
      <c r="I1346" s="131"/>
      <c r="J1346" s="131"/>
      <c r="K1346" s="131"/>
      <c r="L1346" s="131"/>
      <c r="M1346" s="131"/>
      <c r="N1346" s="131"/>
      <c r="O1346" s="131"/>
      <c r="P1346" s="131"/>
      <c r="Q1346" s="131"/>
      <c r="R1346" s="131"/>
      <c r="S1346" s="131"/>
      <c r="T1346" s="131"/>
      <c r="U1346" s="131"/>
      <c r="V1346" s="131"/>
      <c r="W1346" s="131"/>
      <c r="X1346" s="131"/>
      <c r="Y1346" s="131"/>
      <c r="Z1346" s="131"/>
    </row>
    <row r="1347">
      <c r="A1347" s="262"/>
      <c r="B1347" s="262"/>
      <c r="C1347" s="262"/>
      <c r="D1347" s="262"/>
      <c r="E1347" s="260"/>
      <c r="F1347" s="132"/>
      <c r="G1347" s="140"/>
      <c r="H1347" s="131"/>
      <c r="I1347" s="131"/>
      <c r="J1347" s="131"/>
      <c r="K1347" s="131"/>
      <c r="L1347" s="131"/>
      <c r="M1347" s="131"/>
      <c r="N1347" s="131"/>
      <c r="O1347" s="131"/>
      <c r="P1347" s="131"/>
      <c r="Q1347" s="131"/>
      <c r="R1347" s="131"/>
      <c r="S1347" s="131"/>
      <c r="T1347" s="131"/>
      <c r="U1347" s="131"/>
      <c r="V1347" s="131"/>
      <c r="W1347" s="131"/>
      <c r="X1347" s="131"/>
      <c r="Y1347" s="131"/>
      <c r="Z1347" s="131"/>
    </row>
    <row r="1348">
      <c r="A1348" s="262"/>
      <c r="B1348" s="262"/>
      <c r="C1348" s="262"/>
      <c r="D1348" s="262"/>
      <c r="E1348" s="260"/>
      <c r="F1348" s="132"/>
      <c r="G1348" s="140"/>
      <c r="H1348" s="131"/>
      <c r="I1348" s="131"/>
      <c r="J1348" s="131"/>
      <c r="K1348" s="131"/>
      <c r="L1348" s="131"/>
      <c r="M1348" s="131"/>
      <c r="N1348" s="131"/>
      <c r="O1348" s="131"/>
      <c r="P1348" s="131"/>
      <c r="Q1348" s="131"/>
      <c r="R1348" s="131"/>
      <c r="S1348" s="131"/>
      <c r="T1348" s="131"/>
      <c r="U1348" s="131"/>
      <c r="V1348" s="131"/>
      <c r="W1348" s="131"/>
      <c r="X1348" s="131"/>
      <c r="Y1348" s="131"/>
      <c r="Z1348" s="131"/>
    </row>
    <row r="1349">
      <c r="A1349" s="262"/>
      <c r="B1349" s="262"/>
      <c r="C1349" s="262"/>
      <c r="D1349" s="262"/>
      <c r="E1349" s="260"/>
      <c r="F1349" s="132"/>
      <c r="G1349" s="140"/>
      <c r="H1349" s="131"/>
      <c r="I1349" s="131"/>
      <c r="J1349" s="131"/>
      <c r="K1349" s="131"/>
      <c r="L1349" s="131"/>
      <c r="M1349" s="131"/>
      <c r="N1349" s="131"/>
      <c r="O1349" s="131"/>
      <c r="P1349" s="131"/>
      <c r="Q1349" s="131"/>
      <c r="R1349" s="131"/>
      <c r="S1349" s="131"/>
      <c r="T1349" s="131"/>
      <c r="U1349" s="131"/>
      <c r="V1349" s="131"/>
      <c r="W1349" s="131"/>
      <c r="X1349" s="131"/>
      <c r="Y1349" s="131"/>
      <c r="Z1349" s="131"/>
    </row>
    <row r="1350">
      <c r="A1350" s="262"/>
      <c r="B1350" s="262"/>
      <c r="C1350" s="262"/>
      <c r="D1350" s="262"/>
      <c r="E1350" s="260"/>
      <c r="F1350" s="132"/>
      <c r="G1350" s="140"/>
      <c r="H1350" s="131"/>
      <c r="I1350" s="131"/>
      <c r="J1350" s="131"/>
      <c r="K1350" s="131"/>
      <c r="L1350" s="131"/>
      <c r="M1350" s="131"/>
      <c r="N1350" s="131"/>
      <c r="O1350" s="131"/>
      <c r="P1350" s="131"/>
      <c r="Q1350" s="131"/>
      <c r="R1350" s="131"/>
      <c r="S1350" s="131"/>
      <c r="T1350" s="131"/>
      <c r="U1350" s="131"/>
      <c r="V1350" s="131"/>
      <c r="W1350" s="131"/>
      <c r="X1350" s="131"/>
      <c r="Y1350" s="131"/>
      <c r="Z1350" s="131"/>
    </row>
    <row r="1351">
      <c r="A1351" s="262"/>
      <c r="B1351" s="262"/>
      <c r="C1351" s="262"/>
      <c r="D1351" s="262"/>
      <c r="E1351" s="260"/>
      <c r="F1351" s="132"/>
      <c r="G1351" s="140"/>
      <c r="H1351" s="131"/>
      <c r="I1351" s="131"/>
      <c r="J1351" s="131"/>
      <c r="K1351" s="131"/>
      <c r="L1351" s="131"/>
      <c r="M1351" s="131"/>
      <c r="N1351" s="131"/>
      <c r="O1351" s="131"/>
      <c r="P1351" s="131"/>
      <c r="Q1351" s="131"/>
      <c r="R1351" s="131"/>
      <c r="S1351" s="131"/>
      <c r="T1351" s="131"/>
      <c r="U1351" s="131"/>
      <c r="V1351" s="131"/>
      <c r="W1351" s="131"/>
      <c r="X1351" s="131"/>
      <c r="Y1351" s="131"/>
      <c r="Z1351" s="131"/>
    </row>
    <row r="1352">
      <c r="A1352" s="262"/>
      <c r="B1352" s="262"/>
      <c r="C1352" s="262"/>
      <c r="D1352" s="262"/>
      <c r="E1352" s="260"/>
      <c r="F1352" s="132"/>
      <c r="G1352" s="140"/>
      <c r="H1352" s="131"/>
      <c r="I1352" s="131"/>
      <c r="J1352" s="131"/>
      <c r="K1352" s="131"/>
      <c r="L1352" s="131"/>
      <c r="M1352" s="131"/>
      <c r="N1352" s="131"/>
      <c r="O1352" s="131"/>
      <c r="P1352" s="131"/>
      <c r="Q1352" s="131"/>
      <c r="R1352" s="131"/>
      <c r="S1352" s="131"/>
      <c r="T1352" s="131"/>
      <c r="U1352" s="131"/>
      <c r="V1352" s="131"/>
      <c r="W1352" s="131"/>
      <c r="X1352" s="131"/>
      <c r="Y1352" s="131"/>
      <c r="Z1352" s="131"/>
    </row>
    <row r="1353">
      <c r="A1353" s="262"/>
      <c r="B1353" s="262"/>
      <c r="C1353" s="262"/>
      <c r="D1353" s="262"/>
      <c r="E1353" s="260"/>
      <c r="F1353" s="132"/>
      <c r="G1353" s="140"/>
      <c r="H1353" s="131"/>
      <c r="I1353" s="131"/>
      <c r="J1353" s="131"/>
      <c r="K1353" s="131"/>
      <c r="L1353" s="131"/>
      <c r="M1353" s="131"/>
      <c r="N1353" s="131"/>
      <c r="O1353" s="131"/>
      <c r="P1353" s="131"/>
      <c r="Q1353" s="131"/>
      <c r="R1353" s="131"/>
      <c r="S1353" s="131"/>
      <c r="T1353" s="131"/>
      <c r="U1353" s="131"/>
      <c r="V1353" s="131"/>
      <c r="W1353" s="131"/>
      <c r="X1353" s="131"/>
      <c r="Y1353" s="131"/>
      <c r="Z1353" s="131"/>
    </row>
    <row r="1354">
      <c r="A1354" s="262"/>
      <c r="B1354" s="262"/>
      <c r="C1354" s="262"/>
      <c r="D1354" s="262"/>
      <c r="E1354" s="260"/>
      <c r="F1354" s="132"/>
      <c r="G1354" s="140"/>
      <c r="H1354" s="131"/>
      <c r="I1354" s="131"/>
      <c r="J1354" s="131"/>
      <c r="K1354" s="131"/>
      <c r="L1354" s="131"/>
      <c r="M1354" s="131"/>
      <c r="N1354" s="131"/>
      <c r="O1354" s="131"/>
      <c r="P1354" s="131"/>
      <c r="Q1354" s="131"/>
      <c r="R1354" s="131"/>
      <c r="S1354" s="131"/>
      <c r="T1354" s="131"/>
      <c r="U1354" s="131"/>
      <c r="V1354" s="131"/>
      <c r="W1354" s="131"/>
      <c r="X1354" s="131"/>
      <c r="Y1354" s="131"/>
      <c r="Z1354" s="131"/>
    </row>
    <row r="1355">
      <c r="A1355" s="262"/>
      <c r="B1355" s="262"/>
      <c r="C1355" s="262"/>
      <c r="D1355" s="262"/>
      <c r="E1355" s="260"/>
      <c r="F1355" s="132"/>
      <c r="G1355" s="140"/>
      <c r="H1355" s="131"/>
      <c r="I1355" s="131"/>
      <c r="J1355" s="131"/>
      <c r="K1355" s="131"/>
      <c r="L1355" s="131"/>
      <c r="M1355" s="131"/>
      <c r="N1355" s="131"/>
      <c r="O1355" s="131"/>
      <c r="P1355" s="131"/>
      <c r="Q1355" s="131"/>
      <c r="R1355" s="131"/>
      <c r="S1355" s="131"/>
      <c r="T1355" s="131"/>
      <c r="U1355" s="131"/>
      <c r="V1355" s="131"/>
      <c r="W1355" s="131"/>
      <c r="X1355" s="131"/>
      <c r="Y1355" s="131"/>
      <c r="Z1355" s="131"/>
    </row>
    <row r="1356">
      <c r="A1356" s="262"/>
      <c r="B1356" s="262"/>
      <c r="C1356" s="262"/>
      <c r="D1356" s="262"/>
      <c r="E1356" s="260"/>
      <c r="F1356" s="132"/>
      <c r="G1356" s="140"/>
      <c r="H1356" s="131"/>
      <c r="I1356" s="131"/>
      <c r="J1356" s="131"/>
      <c r="K1356" s="131"/>
      <c r="L1356" s="131"/>
      <c r="M1356" s="131"/>
      <c r="N1356" s="131"/>
      <c r="O1356" s="131"/>
      <c r="P1356" s="131"/>
      <c r="Q1356" s="131"/>
      <c r="R1356" s="131"/>
      <c r="S1356" s="131"/>
      <c r="T1356" s="131"/>
      <c r="U1356" s="131"/>
      <c r="V1356" s="131"/>
      <c r="W1356" s="131"/>
      <c r="X1356" s="131"/>
      <c r="Y1356" s="131"/>
      <c r="Z1356" s="131"/>
    </row>
    <row r="1357">
      <c r="A1357" s="262"/>
      <c r="B1357" s="262"/>
      <c r="C1357" s="262"/>
      <c r="D1357" s="262"/>
      <c r="E1357" s="260"/>
      <c r="F1357" s="132"/>
      <c r="G1357" s="140"/>
      <c r="H1357" s="131"/>
      <c r="I1357" s="131"/>
      <c r="J1357" s="131"/>
      <c r="K1357" s="131"/>
      <c r="L1357" s="131"/>
      <c r="M1357" s="131"/>
      <c r="N1357" s="131"/>
      <c r="O1357" s="131"/>
      <c r="P1357" s="131"/>
      <c r="Q1357" s="131"/>
      <c r="R1357" s="131"/>
      <c r="S1357" s="131"/>
      <c r="T1357" s="131"/>
      <c r="U1357" s="131"/>
      <c r="V1357" s="131"/>
      <c r="W1357" s="131"/>
      <c r="X1357" s="131"/>
      <c r="Y1357" s="131"/>
      <c r="Z1357" s="131"/>
    </row>
    <row r="1358">
      <c r="A1358" s="262"/>
      <c r="B1358" s="262"/>
      <c r="C1358" s="262"/>
      <c r="D1358" s="262"/>
      <c r="E1358" s="260"/>
      <c r="F1358" s="132"/>
      <c r="G1358" s="140"/>
      <c r="H1358" s="131"/>
      <c r="I1358" s="131"/>
      <c r="J1358" s="131"/>
      <c r="K1358" s="131"/>
      <c r="L1358" s="131"/>
      <c r="M1358" s="131"/>
      <c r="N1358" s="131"/>
      <c r="O1358" s="131"/>
      <c r="P1358" s="131"/>
      <c r="Q1358" s="131"/>
      <c r="R1358" s="131"/>
      <c r="S1358" s="131"/>
      <c r="T1358" s="131"/>
      <c r="U1358" s="131"/>
      <c r="V1358" s="131"/>
      <c r="W1358" s="131"/>
      <c r="X1358" s="131"/>
      <c r="Y1358" s="131"/>
      <c r="Z1358" s="131"/>
    </row>
    <row r="1359">
      <c r="A1359" s="262"/>
      <c r="B1359" s="262"/>
      <c r="C1359" s="262"/>
      <c r="D1359" s="262"/>
      <c r="E1359" s="260"/>
      <c r="F1359" s="132"/>
      <c r="G1359" s="140"/>
      <c r="H1359" s="131"/>
      <c r="I1359" s="131"/>
      <c r="J1359" s="131"/>
      <c r="K1359" s="131"/>
      <c r="L1359" s="131"/>
      <c r="M1359" s="131"/>
      <c r="N1359" s="131"/>
      <c r="O1359" s="131"/>
      <c r="P1359" s="131"/>
      <c r="Q1359" s="131"/>
      <c r="R1359" s="131"/>
      <c r="S1359" s="131"/>
      <c r="T1359" s="131"/>
      <c r="U1359" s="131"/>
      <c r="V1359" s="131"/>
      <c r="W1359" s="131"/>
      <c r="X1359" s="131"/>
      <c r="Y1359" s="131"/>
      <c r="Z1359" s="131"/>
    </row>
    <row r="1360">
      <c r="A1360" s="262"/>
      <c r="B1360" s="262"/>
      <c r="C1360" s="262"/>
      <c r="D1360" s="262"/>
      <c r="E1360" s="260"/>
      <c r="F1360" s="132"/>
      <c r="G1360" s="140"/>
      <c r="H1360" s="131"/>
      <c r="I1360" s="131"/>
      <c r="J1360" s="131"/>
      <c r="K1360" s="131"/>
      <c r="L1360" s="131"/>
      <c r="M1360" s="131"/>
      <c r="N1360" s="131"/>
      <c r="O1360" s="131"/>
      <c r="P1360" s="131"/>
      <c r="Q1360" s="131"/>
      <c r="R1360" s="131"/>
      <c r="S1360" s="131"/>
      <c r="T1360" s="131"/>
      <c r="U1360" s="131"/>
      <c r="V1360" s="131"/>
      <c r="W1360" s="131"/>
      <c r="X1360" s="131"/>
      <c r="Y1360" s="131"/>
      <c r="Z1360" s="131"/>
    </row>
    <row r="1361">
      <c r="A1361" s="262"/>
      <c r="B1361" s="262"/>
      <c r="C1361" s="262"/>
      <c r="D1361" s="262"/>
      <c r="E1361" s="260"/>
      <c r="F1361" s="132"/>
      <c r="G1361" s="140"/>
      <c r="H1361" s="131"/>
      <c r="I1361" s="131"/>
      <c r="J1361" s="131"/>
      <c r="K1361" s="131"/>
      <c r="L1361" s="131"/>
      <c r="M1361" s="131"/>
      <c r="N1361" s="131"/>
      <c r="O1361" s="131"/>
      <c r="P1361" s="131"/>
      <c r="Q1361" s="131"/>
      <c r="R1361" s="131"/>
      <c r="S1361" s="131"/>
      <c r="T1361" s="131"/>
      <c r="U1361" s="131"/>
      <c r="V1361" s="131"/>
      <c r="W1361" s="131"/>
      <c r="X1361" s="131"/>
      <c r="Y1361" s="131"/>
      <c r="Z1361" s="131"/>
    </row>
    <row r="1362">
      <c r="A1362" s="262"/>
      <c r="B1362" s="262"/>
      <c r="C1362" s="262"/>
      <c r="D1362" s="262"/>
      <c r="E1362" s="260"/>
      <c r="F1362" s="132"/>
      <c r="G1362" s="140"/>
      <c r="H1362" s="131"/>
      <c r="I1362" s="131"/>
      <c r="J1362" s="131"/>
      <c r="K1362" s="131"/>
      <c r="L1362" s="131"/>
      <c r="M1362" s="131"/>
      <c r="N1362" s="131"/>
      <c r="O1362" s="131"/>
      <c r="P1362" s="131"/>
      <c r="Q1362" s="131"/>
      <c r="R1362" s="131"/>
      <c r="S1362" s="131"/>
      <c r="T1362" s="131"/>
      <c r="U1362" s="131"/>
      <c r="V1362" s="131"/>
      <c r="W1362" s="131"/>
      <c r="X1362" s="131"/>
      <c r="Y1362" s="131"/>
      <c r="Z1362" s="131"/>
    </row>
    <row r="1363">
      <c r="A1363" s="262"/>
      <c r="B1363" s="262"/>
      <c r="C1363" s="262"/>
      <c r="D1363" s="262"/>
      <c r="E1363" s="260"/>
      <c r="F1363" s="132"/>
      <c r="G1363" s="140"/>
      <c r="H1363" s="131"/>
      <c r="I1363" s="131"/>
      <c r="J1363" s="131"/>
      <c r="K1363" s="131"/>
      <c r="L1363" s="131"/>
      <c r="M1363" s="131"/>
      <c r="N1363" s="131"/>
      <c r="O1363" s="131"/>
      <c r="P1363" s="131"/>
      <c r="Q1363" s="131"/>
      <c r="R1363" s="131"/>
      <c r="S1363" s="131"/>
      <c r="T1363" s="131"/>
      <c r="U1363" s="131"/>
      <c r="V1363" s="131"/>
      <c r="W1363" s="131"/>
      <c r="X1363" s="131"/>
      <c r="Y1363" s="131"/>
      <c r="Z1363" s="131"/>
    </row>
    <row r="1364">
      <c r="A1364" s="262"/>
      <c r="B1364" s="262"/>
      <c r="C1364" s="262"/>
      <c r="D1364" s="262"/>
      <c r="E1364" s="260"/>
      <c r="F1364" s="132"/>
      <c r="G1364" s="140"/>
      <c r="H1364" s="131"/>
      <c r="I1364" s="131"/>
      <c r="J1364" s="131"/>
      <c r="K1364" s="131"/>
      <c r="L1364" s="131"/>
      <c r="M1364" s="131"/>
      <c r="N1364" s="131"/>
      <c r="O1364" s="131"/>
      <c r="P1364" s="131"/>
      <c r="Q1364" s="131"/>
      <c r="R1364" s="131"/>
      <c r="S1364" s="131"/>
      <c r="T1364" s="131"/>
      <c r="U1364" s="131"/>
      <c r="V1364" s="131"/>
      <c r="W1364" s="131"/>
      <c r="X1364" s="131"/>
      <c r="Y1364" s="131"/>
      <c r="Z1364" s="131"/>
    </row>
    <row r="1365">
      <c r="A1365" s="262"/>
      <c r="B1365" s="262"/>
      <c r="C1365" s="262"/>
      <c r="D1365" s="262"/>
      <c r="E1365" s="260"/>
      <c r="F1365" s="132"/>
      <c r="G1365" s="140"/>
      <c r="H1365" s="131"/>
      <c r="I1365" s="131"/>
      <c r="J1365" s="131"/>
      <c r="K1365" s="131"/>
      <c r="L1365" s="131"/>
      <c r="M1365" s="131"/>
      <c r="N1365" s="131"/>
      <c r="O1365" s="131"/>
      <c r="P1365" s="131"/>
      <c r="Q1365" s="131"/>
      <c r="R1365" s="131"/>
      <c r="S1365" s="131"/>
      <c r="T1365" s="131"/>
      <c r="U1365" s="131"/>
      <c r="V1365" s="131"/>
      <c r="W1365" s="131"/>
      <c r="X1365" s="131"/>
      <c r="Y1365" s="131"/>
      <c r="Z1365" s="131"/>
    </row>
    <row r="1366">
      <c r="A1366" s="262"/>
      <c r="B1366" s="262"/>
      <c r="C1366" s="262"/>
      <c r="D1366" s="262"/>
      <c r="E1366" s="260"/>
      <c r="F1366" s="132"/>
      <c r="G1366" s="140"/>
      <c r="H1366" s="131"/>
      <c r="I1366" s="131"/>
      <c r="J1366" s="131"/>
      <c r="K1366" s="131"/>
      <c r="L1366" s="131"/>
      <c r="M1366" s="131"/>
      <c r="N1366" s="131"/>
      <c r="O1366" s="131"/>
      <c r="P1366" s="131"/>
      <c r="Q1366" s="131"/>
      <c r="R1366" s="131"/>
      <c r="S1366" s="131"/>
      <c r="T1366" s="131"/>
      <c r="U1366" s="131"/>
      <c r="V1366" s="131"/>
      <c r="W1366" s="131"/>
      <c r="X1366" s="131"/>
      <c r="Y1366" s="131"/>
      <c r="Z1366" s="131"/>
    </row>
    <row r="1367">
      <c r="A1367" s="262"/>
      <c r="B1367" s="262"/>
      <c r="C1367" s="262"/>
      <c r="D1367" s="262"/>
      <c r="E1367" s="260"/>
      <c r="F1367" s="132"/>
      <c r="G1367" s="140"/>
      <c r="H1367" s="131"/>
      <c r="I1367" s="131"/>
      <c r="J1367" s="131"/>
      <c r="K1367" s="131"/>
      <c r="L1367" s="131"/>
      <c r="M1367" s="131"/>
      <c r="N1367" s="131"/>
      <c r="O1367" s="131"/>
      <c r="P1367" s="131"/>
      <c r="Q1367" s="131"/>
      <c r="R1367" s="131"/>
      <c r="S1367" s="131"/>
      <c r="T1367" s="131"/>
      <c r="U1367" s="131"/>
      <c r="V1367" s="131"/>
      <c r="W1367" s="131"/>
      <c r="X1367" s="131"/>
      <c r="Y1367" s="131"/>
      <c r="Z1367" s="131"/>
    </row>
    <row r="1368">
      <c r="A1368" s="262"/>
      <c r="B1368" s="262"/>
      <c r="C1368" s="262"/>
      <c r="D1368" s="262"/>
      <c r="E1368" s="260"/>
      <c r="F1368" s="132"/>
      <c r="G1368" s="140"/>
      <c r="H1368" s="131"/>
      <c r="I1368" s="131"/>
      <c r="J1368" s="131"/>
      <c r="K1368" s="131"/>
      <c r="L1368" s="131"/>
      <c r="M1368" s="131"/>
      <c r="N1368" s="131"/>
      <c r="O1368" s="131"/>
      <c r="P1368" s="131"/>
      <c r="Q1368" s="131"/>
      <c r="R1368" s="131"/>
      <c r="S1368" s="131"/>
      <c r="T1368" s="131"/>
      <c r="U1368" s="131"/>
      <c r="V1368" s="131"/>
      <c r="W1368" s="131"/>
      <c r="X1368" s="131"/>
      <c r="Y1368" s="131"/>
      <c r="Z1368" s="131"/>
    </row>
    <row r="1369">
      <c r="A1369" s="262"/>
      <c r="B1369" s="262"/>
      <c r="C1369" s="262"/>
      <c r="D1369" s="262"/>
      <c r="E1369" s="260"/>
      <c r="F1369" s="132"/>
      <c r="G1369" s="140"/>
      <c r="H1369" s="131"/>
      <c r="I1369" s="131"/>
      <c r="J1369" s="131"/>
      <c r="K1369" s="131"/>
      <c r="L1369" s="131"/>
      <c r="M1369" s="131"/>
      <c r="N1369" s="131"/>
      <c r="O1369" s="131"/>
      <c r="P1369" s="131"/>
      <c r="Q1369" s="131"/>
      <c r="R1369" s="131"/>
      <c r="S1369" s="131"/>
      <c r="T1369" s="131"/>
      <c r="U1369" s="131"/>
      <c r="V1369" s="131"/>
      <c r="W1369" s="131"/>
      <c r="X1369" s="131"/>
      <c r="Y1369" s="131"/>
      <c r="Z1369" s="131"/>
    </row>
    <row r="1370">
      <c r="A1370" s="262"/>
      <c r="B1370" s="262"/>
      <c r="C1370" s="262"/>
      <c r="D1370" s="262"/>
      <c r="E1370" s="260"/>
      <c r="F1370" s="132"/>
      <c r="G1370" s="140"/>
      <c r="H1370" s="131"/>
      <c r="I1370" s="131"/>
      <c r="J1370" s="131"/>
      <c r="K1370" s="131"/>
      <c r="L1370" s="131"/>
      <c r="M1370" s="131"/>
      <c r="N1370" s="131"/>
      <c r="O1370" s="131"/>
      <c r="P1370" s="131"/>
      <c r="Q1370" s="131"/>
      <c r="R1370" s="131"/>
      <c r="S1370" s="131"/>
      <c r="T1370" s="131"/>
      <c r="U1370" s="131"/>
      <c r="V1370" s="131"/>
      <c r="W1370" s="131"/>
      <c r="X1370" s="131"/>
      <c r="Y1370" s="131"/>
      <c r="Z1370" s="131"/>
    </row>
    <row r="1371">
      <c r="A1371" s="262"/>
      <c r="B1371" s="262"/>
      <c r="C1371" s="262"/>
      <c r="D1371" s="262"/>
      <c r="E1371" s="260"/>
      <c r="F1371" s="132"/>
      <c r="G1371" s="140"/>
      <c r="H1371" s="131"/>
      <c r="I1371" s="131"/>
      <c r="J1371" s="131"/>
      <c r="K1371" s="131"/>
      <c r="L1371" s="131"/>
      <c r="M1371" s="131"/>
      <c r="N1371" s="131"/>
      <c r="O1371" s="131"/>
      <c r="P1371" s="131"/>
      <c r="Q1371" s="131"/>
      <c r="R1371" s="131"/>
      <c r="S1371" s="131"/>
      <c r="T1371" s="131"/>
      <c r="U1371" s="131"/>
      <c r="V1371" s="131"/>
      <c r="W1371" s="131"/>
      <c r="X1371" s="131"/>
      <c r="Y1371" s="131"/>
      <c r="Z1371" s="131"/>
    </row>
    <row r="1372">
      <c r="A1372" s="262"/>
      <c r="B1372" s="262"/>
      <c r="C1372" s="262"/>
      <c r="D1372" s="262"/>
      <c r="E1372" s="260"/>
      <c r="F1372" s="132"/>
      <c r="G1372" s="140"/>
      <c r="H1372" s="131"/>
      <c r="I1372" s="131"/>
      <c r="J1372" s="131"/>
      <c r="K1372" s="131"/>
      <c r="L1372" s="131"/>
      <c r="M1372" s="131"/>
      <c r="N1372" s="131"/>
      <c r="O1372" s="131"/>
      <c r="P1372" s="131"/>
      <c r="Q1372" s="131"/>
      <c r="R1372" s="131"/>
      <c r="S1372" s="131"/>
      <c r="T1372" s="131"/>
      <c r="U1372" s="131"/>
      <c r="V1372" s="131"/>
      <c r="W1372" s="131"/>
      <c r="X1372" s="131"/>
      <c r="Y1372" s="131"/>
      <c r="Z1372" s="131"/>
    </row>
    <row r="1373">
      <c r="A1373" s="262"/>
      <c r="B1373" s="262"/>
      <c r="C1373" s="262"/>
      <c r="D1373" s="262"/>
      <c r="E1373" s="260"/>
      <c r="F1373" s="132"/>
      <c r="G1373" s="140"/>
      <c r="H1373" s="131"/>
      <c r="I1373" s="131"/>
      <c r="J1373" s="131"/>
      <c r="K1373" s="131"/>
      <c r="L1373" s="131"/>
      <c r="M1373" s="131"/>
      <c r="N1373" s="131"/>
      <c r="O1373" s="131"/>
      <c r="P1373" s="131"/>
      <c r="Q1373" s="131"/>
      <c r="R1373" s="131"/>
      <c r="S1373" s="131"/>
      <c r="T1373" s="131"/>
      <c r="U1373" s="131"/>
      <c r="V1373" s="131"/>
      <c r="W1373" s="131"/>
      <c r="X1373" s="131"/>
      <c r="Y1373" s="131"/>
      <c r="Z1373" s="131"/>
    </row>
    <row r="1374">
      <c r="A1374" s="262"/>
      <c r="B1374" s="262"/>
      <c r="C1374" s="262"/>
      <c r="D1374" s="262"/>
      <c r="E1374" s="260"/>
      <c r="F1374" s="132"/>
      <c r="G1374" s="140"/>
      <c r="H1374" s="131"/>
      <c r="I1374" s="131"/>
      <c r="J1374" s="131"/>
      <c r="K1374" s="131"/>
      <c r="L1374" s="131"/>
      <c r="M1374" s="131"/>
      <c r="N1374" s="131"/>
      <c r="O1374" s="131"/>
      <c r="P1374" s="131"/>
      <c r="Q1374" s="131"/>
      <c r="R1374" s="131"/>
      <c r="S1374" s="131"/>
      <c r="T1374" s="131"/>
      <c r="U1374" s="131"/>
      <c r="V1374" s="131"/>
      <c r="W1374" s="131"/>
      <c r="X1374" s="131"/>
      <c r="Y1374" s="131"/>
      <c r="Z1374" s="131"/>
    </row>
    <row r="1375">
      <c r="A1375" s="262"/>
      <c r="B1375" s="262"/>
      <c r="C1375" s="262"/>
      <c r="D1375" s="262"/>
      <c r="E1375" s="260"/>
      <c r="F1375" s="132"/>
      <c r="G1375" s="140"/>
      <c r="H1375" s="131"/>
      <c r="I1375" s="131"/>
      <c r="J1375" s="131"/>
      <c r="K1375" s="131"/>
      <c r="L1375" s="131"/>
      <c r="M1375" s="131"/>
      <c r="N1375" s="131"/>
      <c r="O1375" s="131"/>
      <c r="P1375" s="131"/>
      <c r="Q1375" s="131"/>
      <c r="R1375" s="131"/>
      <c r="S1375" s="131"/>
      <c r="T1375" s="131"/>
      <c r="U1375" s="131"/>
      <c r="V1375" s="131"/>
      <c r="W1375" s="131"/>
      <c r="X1375" s="131"/>
      <c r="Y1375" s="131"/>
      <c r="Z1375" s="131"/>
    </row>
    <row r="1376">
      <c r="A1376" s="262"/>
      <c r="B1376" s="262"/>
      <c r="C1376" s="262"/>
      <c r="D1376" s="262"/>
      <c r="E1376" s="260"/>
      <c r="F1376" s="132"/>
      <c r="G1376" s="140"/>
      <c r="H1376" s="131"/>
      <c r="I1376" s="131"/>
      <c r="J1376" s="131"/>
      <c r="K1376" s="131"/>
      <c r="L1376" s="131"/>
      <c r="M1376" s="131"/>
      <c r="N1376" s="131"/>
      <c r="O1376" s="131"/>
      <c r="P1376" s="131"/>
      <c r="Q1376" s="131"/>
      <c r="R1376" s="131"/>
      <c r="S1376" s="131"/>
      <c r="T1376" s="131"/>
      <c r="U1376" s="131"/>
      <c r="V1376" s="131"/>
      <c r="W1376" s="131"/>
      <c r="X1376" s="131"/>
      <c r="Y1376" s="131"/>
      <c r="Z1376" s="131"/>
    </row>
    <row r="1377">
      <c r="A1377" s="262"/>
      <c r="B1377" s="262"/>
      <c r="C1377" s="262"/>
      <c r="D1377" s="262"/>
      <c r="E1377" s="260"/>
      <c r="F1377" s="132"/>
      <c r="G1377" s="140"/>
      <c r="H1377" s="131"/>
      <c r="I1377" s="131"/>
      <c r="J1377" s="131"/>
      <c r="K1377" s="131"/>
      <c r="L1377" s="131"/>
      <c r="M1377" s="131"/>
      <c r="N1377" s="131"/>
      <c r="O1377" s="131"/>
      <c r="P1377" s="131"/>
      <c r="Q1377" s="131"/>
      <c r="R1377" s="131"/>
      <c r="S1377" s="131"/>
      <c r="T1377" s="131"/>
      <c r="U1377" s="131"/>
      <c r="V1377" s="131"/>
      <c r="W1377" s="131"/>
      <c r="X1377" s="131"/>
      <c r="Y1377" s="131"/>
      <c r="Z1377" s="131"/>
    </row>
    <row r="1378">
      <c r="A1378" s="262"/>
      <c r="B1378" s="262"/>
      <c r="C1378" s="262"/>
      <c r="D1378" s="262"/>
      <c r="E1378" s="260"/>
      <c r="F1378" s="132"/>
      <c r="G1378" s="140"/>
      <c r="H1378" s="131"/>
      <c r="I1378" s="131"/>
      <c r="J1378" s="131"/>
      <c r="K1378" s="131"/>
      <c r="L1378" s="131"/>
      <c r="M1378" s="131"/>
      <c r="N1378" s="131"/>
      <c r="O1378" s="131"/>
      <c r="P1378" s="131"/>
      <c r="Q1378" s="131"/>
      <c r="R1378" s="131"/>
      <c r="S1378" s="131"/>
      <c r="T1378" s="131"/>
      <c r="U1378" s="131"/>
      <c r="V1378" s="131"/>
      <c r="W1378" s="131"/>
      <c r="X1378" s="131"/>
      <c r="Y1378" s="131"/>
      <c r="Z1378" s="131"/>
    </row>
    <row r="1379">
      <c r="A1379" s="262"/>
      <c r="B1379" s="262"/>
      <c r="C1379" s="262"/>
      <c r="D1379" s="262"/>
      <c r="E1379" s="260"/>
      <c r="F1379" s="132"/>
      <c r="G1379" s="140"/>
      <c r="H1379" s="131"/>
      <c r="I1379" s="131"/>
      <c r="J1379" s="131"/>
      <c r="K1379" s="131"/>
      <c r="L1379" s="131"/>
      <c r="M1379" s="131"/>
      <c r="N1379" s="131"/>
      <c r="O1379" s="131"/>
      <c r="P1379" s="131"/>
      <c r="Q1379" s="131"/>
      <c r="R1379" s="131"/>
      <c r="S1379" s="131"/>
      <c r="T1379" s="131"/>
      <c r="U1379" s="131"/>
      <c r="V1379" s="131"/>
      <c r="W1379" s="131"/>
      <c r="X1379" s="131"/>
      <c r="Y1379" s="131"/>
      <c r="Z1379" s="131"/>
    </row>
    <row r="1380">
      <c r="A1380" s="262"/>
      <c r="B1380" s="262"/>
      <c r="C1380" s="262"/>
      <c r="D1380" s="262"/>
      <c r="E1380" s="260"/>
      <c r="F1380" s="132"/>
      <c r="G1380" s="140"/>
      <c r="H1380" s="131"/>
      <c r="I1380" s="131"/>
      <c r="J1380" s="131"/>
      <c r="K1380" s="131"/>
      <c r="L1380" s="131"/>
      <c r="M1380" s="131"/>
      <c r="N1380" s="131"/>
      <c r="O1380" s="131"/>
      <c r="P1380" s="131"/>
      <c r="Q1380" s="131"/>
      <c r="R1380" s="131"/>
      <c r="S1380" s="131"/>
      <c r="T1380" s="131"/>
      <c r="U1380" s="131"/>
      <c r="V1380" s="131"/>
      <c r="W1380" s="131"/>
      <c r="X1380" s="131"/>
      <c r="Y1380" s="131"/>
      <c r="Z1380" s="131"/>
    </row>
    <row r="1381">
      <c r="A1381" s="262"/>
      <c r="B1381" s="262"/>
      <c r="C1381" s="262"/>
      <c r="D1381" s="262"/>
      <c r="E1381" s="260"/>
      <c r="F1381" s="132"/>
      <c r="G1381" s="140"/>
      <c r="H1381" s="131"/>
      <c r="I1381" s="131"/>
      <c r="J1381" s="131"/>
      <c r="K1381" s="131"/>
      <c r="L1381" s="131"/>
      <c r="M1381" s="131"/>
      <c r="N1381" s="131"/>
      <c r="O1381" s="131"/>
      <c r="P1381" s="131"/>
      <c r="Q1381" s="131"/>
      <c r="R1381" s="131"/>
      <c r="S1381" s="131"/>
      <c r="T1381" s="131"/>
      <c r="U1381" s="131"/>
      <c r="V1381" s="131"/>
      <c r="W1381" s="131"/>
      <c r="X1381" s="131"/>
      <c r="Y1381" s="131"/>
      <c r="Z1381" s="131"/>
    </row>
    <row r="1382">
      <c r="A1382" s="262"/>
      <c r="B1382" s="262"/>
      <c r="C1382" s="262"/>
      <c r="D1382" s="262"/>
      <c r="E1382" s="260"/>
      <c r="F1382" s="132"/>
      <c r="G1382" s="140"/>
      <c r="H1382" s="131"/>
      <c r="I1382" s="131"/>
      <c r="J1382" s="131"/>
      <c r="K1382" s="131"/>
      <c r="L1382" s="131"/>
      <c r="M1382" s="131"/>
      <c r="N1382" s="131"/>
      <c r="O1382" s="131"/>
      <c r="P1382" s="131"/>
      <c r="Q1382" s="131"/>
      <c r="R1382" s="131"/>
      <c r="S1382" s="131"/>
      <c r="T1382" s="131"/>
      <c r="U1382" s="131"/>
      <c r="V1382" s="131"/>
      <c r="W1382" s="131"/>
      <c r="X1382" s="131"/>
      <c r="Y1382" s="131"/>
      <c r="Z1382" s="131"/>
    </row>
    <row r="1383">
      <c r="A1383" s="262"/>
      <c r="B1383" s="262"/>
      <c r="C1383" s="262"/>
      <c r="D1383" s="262"/>
      <c r="E1383" s="260"/>
      <c r="F1383" s="132"/>
      <c r="G1383" s="140"/>
      <c r="H1383" s="131"/>
      <c r="I1383" s="131"/>
      <c r="J1383" s="131"/>
      <c r="K1383" s="131"/>
      <c r="L1383" s="131"/>
      <c r="M1383" s="131"/>
      <c r="N1383" s="131"/>
      <c r="O1383" s="131"/>
      <c r="P1383" s="131"/>
      <c r="Q1383" s="131"/>
      <c r="R1383" s="131"/>
      <c r="S1383" s="131"/>
      <c r="T1383" s="131"/>
      <c r="U1383" s="131"/>
      <c r="V1383" s="131"/>
      <c r="W1383" s="131"/>
      <c r="X1383" s="131"/>
      <c r="Y1383" s="131"/>
      <c r="Z1383" s="131"/>
    </row>
    <row r="1384">
      <c r="A1384" s="262"/>
      <c r="B1384" s="262"/>
      <c r="C1384" s="262"/>
      <c r="D1384" s="262"/>
      <c r="E1384" s="260"/>
      <c r="F1384" s="132"/>
      <c r="G1384" s="140"/>
      <c r="H1384" s="131"/>
      <c r="I1384" s="131"/>
      <c r="J1384" s="131"/>
      <c r="K1384" s="131"/>
      <c r="L1384" s="131"/>
      <c r="M1384" s="131"/>
      <c r="N1384" s="131"/>
      <c r="O1384" s="131"/>
      <c r="P1384" s="131"/>
      <c r="Q1384" s="131"/>
      <c r="R1384" s="131"/>
      <c r="S1384" s="131"/>
      <c r="T1384" s="131"/>
      <c r="U1384" s="131"/>
      <c r="V1384" s="131"/>
      <c r="W1384" s="131"/>
      <c r="X1384" s="131"/>
      <c r="Y1384" s="131"/>
      <c r="Z1384" s="131"/>
    </row>
    <row r="1385">
      <c r="A1385" s="262"/>
      <c r="B1385" s="262"/>
      <c r="C1385" s="262"/>
      <c r="D1385" s="262"/>
      <c r="E1385" s="260"/>
      <c r="F1385" s="132"/>
      <c r="G1385" s="140"/>
      <c r="H1385" s="131"/>
      <c r="I1385" s="131"/>
      <c r="J1385" s="131"/>
      <c r="K1385" s="131"/>
      <c r="L1385" s="131"/>
      <c r="M1385" s="131"/>
      <c r="N1385" s="131"/>
      <c r="O1385" s="131"/>
      <c r="P1385" s="131"/>
      <c r="Q1385" s="131"/>
      <c r="R1385" s="131"/>
      <c r="S1385" s="131"/>
      <c r="T1385" s="131"/>
      <c r="U1385" s="131"/>
      <c r="V1385" s="131"/>
      <c r="W1385" s="131"/>
      <c r="X1385" s="131"/>
      <c r="Y1385" s="131"/>
      <c r="Z1385" s="131"/>
    </row>
    <row r="1386">
      <c r="A1386" s="262"/>
      <c r="B1386" s="262"/>
      <c r="C1386" s="262"/>
      <c r="D1386" s="262"/>
      <c r="E1386" s="260"/>
      <c r="F1386" s="132"/>
      <c r="G1386" s="140"/>
      <c r="H1386" s="131"/>
      <c r="I1386" s="131"/>
      <c r="J1386" s="131"/>
      <c r="K1386" s="131"/>
      <c r="L1386" s="131"/>
      <c r="M1386" s="131"/>
      <c r="N1386" s="131"/>
      <c r="O1386" s="131"/>
      <c r="P1386" s="131"/>
      <c r="Q1386" s="131"/>
      <c r="R1386" s="131"/>
      <c r="S1386" s="131"/>
      <c r="T1386" s="131"/>
      <c r="U1386" s="131"/>
      <c r="V1386" s="131"/>
      <c r="W1386" s="131"/>
      <c r="X1386" s="131"/>
      <c r="Y1386" s="131"/>
      <c r="Z1386" s="131"/>
    </row>
    <row r="1387">
      <c r="A1387" s="262"/>
      <c r="B1387" s="262"/>
      <c r="C1387" s="262"/>
      <c r="D1387" s="262"/>
      <c r="E1387" s="260"/>
      <c r="F1387" s="132"/>
      <c r="G1387" s="140"/>
      <c r="H1387" s="131"/>
      <c r="I1387" s="131"/>
      <c r="J1387" s="131"/>
      <c r="K1387" s="131"/>
      <c r="L1387" s="131"/>
      <c r="M1387" s="131"/>
      <c r="N1387" s="131"/>
      <c r="O1387" s="131"/>
      <c r="P1387" s="131"/>
      <c r="Q1387" s="131"/>
      <c r="R1387" s="131"/>
      <c r="S1387" s="131"/>
      <c r="T1387" s="131"/>
      <c r="U1387" s="131"/>
      <c r="V1387" s="131"/>
      <c r="W1387" s="131"/>
      <c r="X1387" s="131"/>
      <c r="Y1387" s="131"/>
      <c r="Z1387" s="131"/>
    </row>
    <row r="1388">
      <c r="A1388" s="262"/>
      <c r="B1388" s="262"/>
      <c r="C1388" s="262"/>
      <c r="D1388" s="262"/>
      <c r="E1388" s="260"/>
      <c r="F1388" s="132"/>
      <c r="G1388" s="140"/>
      <c r="H1388" s="131"/>
      <c r="I1388" s="131"/>
      <c r="J1388" s="131"/>
      <c r="K1388" s="131"/>
      <c r="L1388" s="131"/>
      <c r="M1388" s="131"/>
      <c r="N1388" s="131"/>
      <c r="O1388" s="131"/>
      <c r="P1388" s="131"/>
      <c r="Q1388" s="131"/>
      <c r="R1388" s="131"/>
      <c r="S1388" s="131"/>
      <c r="T1388" s="131"/>
      <c r="U1388" s="131"/>
      <c r="V1388" s="131"/>
      <c r="W1388" s="131"/>
      <c r="X1388" s="131"/>
      <c r="Y1388" s="131"/>
      <c r="Z1388" s="131"/>
    </row>
    <row r="1389">
      <c r="A1389" s="262"/>
      <c r="B1389" s="262"/>
      <c r="C1389" s="262"/>
      <c r="D1389" s="262"/>
      <c r="E1389" s="260"/>
      <c r="F1389" s="132"/>
      <c r="G1389" s="140"/>
      <c r="H1389" s="131"/>
      <c r="I1389" s="131"/>
      <c r="J1389" s="131"/>
      <c r="K1389" s="131"/>
      <c r="L1389" s="131"/>
      <c r="M1389" s="131"/>
      <c r="N1389" s="131"/>
      <c r="O1389" s="131"/>
      <c r="P1389" s="131"/>
      <c r="Q1389" s="131"/>
      <c r="R1389" s="131"/>
      <c r="S1389" s="131"/>
      <c r="T1389" s="131"/>
      <c r="U1389" s="131"/>
      <c r="V1389" s="131"/>
      <c r="W1389" s="131"/>
      <c r="X1389" s="131"/>
      <c r="Y1389" s="131"/>
      <c r="Z1389" s="131"/>
    </row>
    <row r="1390">
      <c r="A1390" s="262"/>
      <c r="B1390" s="262"/>
      <c r="C1390" s="262"/>
      <c r="D1390" s="262"/>
      <c r="E1390" s="260"/>
      <c r="F1390" s="132"/>
      <c r="G1390" s="140"/>
      <c r="H1390" s="131"/>
      <c r="I1390" s="131"/>
      <c r="J1390" s="131"/>
      <c r="K1390" s="131"/>
      <c r="L1390" s="131"/>
      <c r="M1390" s="131"/>
      <c r="N1390" s="131"/>
      <c r="O1390" s="131"/>
      <c r="P1390" s="131"/>
      <c r="Q1390" s="131"/>
      <c r="R1390" s="131"/>
      <c r="S1390" s="131"/>
      <c r="T1390" s="131"/>
      <c r="U1390" s="131"/>
      <c r="V1390" s="131"/>
      <c r="W1390" s="131"/>
      <c r="X1390" s="131"/>
      <c r="Y1390" s="131"/>
      <c r="Z1390" s="131"/>
    </row>
    <row r="1391">
      <c r="A1391" s="262"/>
      <c r="B1391" s="262"/>
      <c r="C1391" s="262"/>
      <c r="D1391" s="262"/>
      <c r="E1391" s="260"/>
      <c r="F1391" s="132"/>
      <c r="G1391" s="140"/>
      <c r="H1391" s="131"/>
      <c r="I1391" s="131"/>
      <c r="J1391" s="131"/>
      <c r="K1391" s="131"/>
      <c r="L1391" s="131"/>
      <c r="M1391" s="131"/>
      <c r="N1391" s="131"/>
      <c r="O1391" s="131"/>
      <c r="P1391" s="131"/>
      <c r="Q1391" s="131"/>
      <c r="R1391" s="131"/>
      <c r="S1391" s="131"/>
      <c r="T1391" s="131"/>
      <c r="U1391" s="131"/>
      <c r="V1391" s="131"/>
      <c r="W1391" s="131"/>
      <c r="X1391" s="131"/>
      <c r="Y1391" s="131"/>
      <c r="Z1391" s="131"/>
    </row>
    <row r="1392">
      <c r="A1392" s="262"/>
      <c r="B1392" s="262"/>
      <c r="C1392" s="262"/>
      <c r="D1392" s="262"/>
      <c r="E1392" s="260"/>
      <c r="F1392" s="132"/>
      <c r="G1392" s="140"/>
      <c r="H1392" s="131"/>
      <c r="I1392" s="131"/>
      <c r="J1392" s="131"/>
      <c r="K1392" s="131"/>
      <c r="L1392" s="131"/>
      <c r="M1392" s="131"/>
      <c r="N1392" s="131"/>
      <c r="O1392" s="131"/>
      <c r="P1392" s="131"/>
      <c r="Q1392" s="131"/>
      <c r="R1392" s="131"/>
      <c r="S1392" s="131"/>
      <c r="T1392" s="131"/>
      <c r="U1392" s="131"/>
      <c r="V1392" s="131"/>
      <c r="W1392" s="131"/>
      <c r="X1392" s="131"/>
      <c r="Y1392" s="131"/>
      <c r="Z1392" s="131"/>
    </row>
    <row r="1393">
      <c r="A1393" s="262"/>
      <c r="B1393" s="262"/>
      <c r="C1393" s="262"/>
      <c r="D1393" s="262"/>
      <c r="E1393" s="260"/>
      <c r="F1393" s="132"/>
      <c r="G1393" s="140"/>
      <c r="H1393" s="131"/>
      <c r="I1393" s="131"/>
      <c r="J1393" s="131"/>
      <c r="K1393" s="131"/>
      <c r="L1393" s="131"/>
      <c r="M1393" s="131"/>
      <c r="N1393" s="131"/>
      <c r="O1393" s="131"/>
      <c r="P1393" s="131"/>
      <c r="Q1393" s="131"/>
      <c r="R1393" s="131"/>
      <c r="S1393" s="131"/>
      <c r="T1393" s="131"/>
      <c r="U1393" s="131"/>
      <c r="V1393" s="131"/>
      <c r="W1393" s="131"/>
      <c r="X1393" s="131"/>
      <c r="Y1393" s="131"/>
      <c r="Z1393" s="131"/>
    </row>
    <row r="1394">
      <c r="A1394" s="262"/>
      <c r="B1394" s="262"/>
      <c r="C1394" s="262"/>
      <c r="D1394" s="262"/>
      <c r="E1394" s="260"/>
      <c r="F1394" s="132"/>
      <c r="G1394" s="140"/>
      <c r="H1394" s="131"/>
      <c r="I1394" s="131"/>
      <c r="J1394" s="131"/>
      <c r="K1394" s="131"/>
      <c r="L1394" s="131"/>
      <c r="M1394" s="131"/>
      <c r="N1394" s="131"/>
      <c r="O1394" s="131"/>
      <c r="P1394" s="131"/>
      <c r="Q1394" s="131"/>
      <c r="R1394" s="131"/>
      <c r="S1394" s="131"/>
      <c r="T1394" s="131"/>
      <c r="U1394" s="131"/>
      <c r="V1394" s="131"/>
      <c r="W1394" s="131"/>
      <c r="X1394" s="131"/>
      <c r="Y1394" s="131"/>
      <c r="Z1394" s="131"/>
    </row>
    <row r="1395">
      <c r="A1395" s="262"/>
      <c r="B1395" s="262"/>
      <c r="C1395" s="262"/>
      <c r="D1395" s="262"/>
      <c r="E1395" s="260"/>
      <c r="F1395" s="132"/>
      <c r="G1395" s="140"/>
      <c r="H1395" s="131"/>
      <c r="I1395" s="131"/>
      <c r="J1395" s="131"/>
      <c r="K1395" s="131"/>
      <c r="L1395" s="131"/>
      <c r="M1395" s="131"/>
      <c r="N1395" s="131"/>
      <c r="O1395" s="131"/>
      <c r="P1395" s="131"/>
      <c r="Q1395" s="131"/>
      <c r="R1395" s="131"/>
      <c r="S1395" s="131"/>
      <c r="T1395" s="131"/>
      <c r="U1395" s="131"/>
      <c r="V1395" s="131"/>
      <c r="W1395" s="131"/>
      <c r="X1395" s="131"/>
      <c r="Y1395" s="131"/>
      <c r="Z1395" s="131"/>
    </row>
    <row r="1396">
      <c r="A1396" s="262"/>
      <c r="B1396" s="262"/>
      <c r="C1396" s="262"/>
      <c r="D1396" s="262"/>
      <c r="E1396" s="260"/>
      <c r="F1396" s="132"/>
      <c r="G1396" s="140"/>
      <c r="H1396" s="131"/>
      <c r="I1396" s="131"/>
      <c r="J1396" s="131"/>
      <c r="K1396" s="131"/>
      <c r="L1396" s="131"/>
      <c r="M1396" s="131"/>
      <c r="N1396" s="131"/>
      <c r="O1396" s="131"/>
      <c r="P1396" s="131"/>
      <c r="Q1396" s="131"/>
      <c r="R1396" s="131"/>
      <c r="S1396" s="131"/>
      <c r="T1396" s="131"/>
      <c r="U1396" s="131"/>
      <c r="V1396" s="131"/>
      <c r="W1396" s="131"/>
      <c r="X1396" s="131"/>
      <c r="Y1396" s="131"/>
      <c r="Z1396" s="131"/>
    </row>
    <row r="1397">
      <c r="A1397" s="262"/>
      <c r="B1397" s="262"/>
      <c r="C1397" s="262"/>
      <c r="D1397" s="262"/>
      <c r="E1397" s="260"/>
      <c r="F1397" s="132"/>
      <c r="G1397" s="140"/>
      <c r="H1397" s="131"/>
      <c r="I1397" s="131"/>
      <c r="J1397" s="131"/>
      <c r="K1397" s="131"/>
      <c r="L1397" s="131"/>
      <c r="M1397" s="131"/>
      <c r="N1397" s="131"/>
      <c r="O1397" s="131"/>
      <c r="P1397" s="131"/>
      <c r="Q1397" s="131"/>
      <c r="R1397" s="131"/>
      <c r="S1397" s="131"/>
      <c r="T1397" s="131"/>
      <c r="U1397" s="131"/>
      <c r="V1397" s="131"/>
      <c r="W1397" s="131"/>
      <c r="X1397" s="131"/>
      <c r="Y1397" s="131"/>
      <c r="Z1397" s="131"/>
    </row>
    <row r="1398">
      <c r="A1398" s="262"/>
      <c r="B1398" s="262"/>
      <c r="C1398" s="262"/>
      <c r="D1398" s="262"/>
      <c r="E1398" s="260"/>
      <c r="F1398" s="132"/>
      <c r="G1398" s="140"/>
      <c r="H1398" s="131"/>
      <c r="I1398" s="131"/>
      <c r="J1398" s="131"/>
      <c r="K1398" s="131"/>
      <c r="L1398" s="131"/>
      <c r="M1398" s="131"/>
      <c r="N1398" s="131"/>
      <c r="O1398" s="131"/>
      <c r="P1398" s="131"/>
      <c r="Q1398" s="131"/>
      <c r="R1398" s="131"/>
      <c r="S1398" s="131"/>
      <c r="T1398" s="131"/>
      <c r="U1398" s="131"/>
      <c r="V1398" s="131"/>
      <c r="W1398" s="131"/>
      <c r="X1398" s="131"/>
      <c r="Y1398" s="131"/>
      <c r="Z1398" s="131"/>
    </row>
    <row r="1399">
      <c r="A1399" s="262"/>
      <c r="B1399" s="262"/>
      <c r="C1399" s="262"/>
      <c r="D1399" s="262"/>
      <c r="E1399" s="260"/>
      <c r="F1399" s="132"/>
      <c r="G1399" s="140"/>
      <c r="H1399" s="131"/>
      <c r="I1399" s="131"/>
      <c r="J1399" s="131"/>
      <c r="K1399" s="131"/>
      <c r="L1399" s="131"/>
      <c r="M1399" s="131"/>
      <c r="N1399" s="131"/>
      <c r="O1399" s="131"/>
      <c r="P1399" s="131"/>
      <c r="Q1399" s="131"/>
      <c r="R1399" s="131"/>
      <c r="S1399" s="131"/>
      <c r="T1399" s="131"/>
      <c r="U1399" s="131"/>
      <c r="V1399" s="131"/>
      <c r="W1399" s="131"/>
      <c r="X1399" s="131"/>
      <c r="Y1399" s="131"/>
      <c r="Z1399" s="131"/>
    </row>
    <row r="1400">
      <c r="A1400" s="262"/>
      <c r="B1400" s="262"/>
      <c r="C1400" s="262"/>
      <c r="D1400" s="262"/>
      <c r="E1400" s="260"/>
      <c r="F1400" s="132"/>
      <c r="G1400" s="140"/>
      <c r="H1400" s="131"/>
      <c r="I1400" s="131"/>
      <c r="J1400" s="131"/>
      <c r="K1400" s="131"/>
      <c r="L1400" s="131"/>
      <c r="M1400" s="131"/>
      <c r="N1400" s="131"/>
      <c r="O1400" s="131"/>
      <c r="P1400" s="131"/>
      <c r="Q1400" s="131"/>
      <c r="R1400" s="131"/>
      <c r="S1400" s="131"/>
      <c r="T1400" s="131"/>
      <c r="U1400" s="131"/>
      <c r="V1400" s="131"/>
      <c r="W1400" s="131"/>
      <c r="X1400" s="131"/>
      <c r="Y1400" s="131"/>
      <c r="Z1400" s="131"/>
    </row>
    <row r="1401">
      <c r="A1401" s="262"/>
      <c r="B1401" s="262"/>
      <c r="C1401" s="262"/>
      <c r="D1401" s="262"/>
      <c r="E1401" s="260"/>
      <c r="F1401" s="132"/>
      <c r="G1401" s="140"/>
      <c r="H1401" s="131"/>
      <c r="I1401" s="131"/>
      <c r="J1401" s="131"/>
      <c r="K1401" s="131"/>
      <c r="L1401" s="131"/>
      <c r="M1401" s="131"/>
      <c r="N1401" s="131"/>
      <c r="O1401" s="131"/>
      <c r="P1401" s="131"/>
      <c r="Q1401" s="131"/>
      <c r="R1401" s="131"/>
      <c r="S1401" s="131"/>
      <c r="T1401" s="131"/>
      <c r="U1401" s="131"/>
      <c r="V1401" s="131"/>
      <c r="W1401" s="131"/>
      <c r="X1401" s="131"/>
      <c r="Y1401" s="131"/>
      <c r="Z1401" s="131"/>
    </row>
    <row r="1402">
      <c r="A1402" s="262"/>
      <c r="B1402" s="262"/>
      <c r="C1402" s="262"/>
      <c r="D1402" s="262"/>
      <c r="E1402" s="260"/>
      <c r="F1402" s="132"/>
      <c r="G1402" s="140"/>
      <c r="H1402" s="131"/>
      <c r="I1402" s="131"/>
      <c r="J1402" s="131"/>
      <c r="K1402" s="131"/>
      <c r="L1402" s="131"/>
      <c r="M1402" s="131"/>
      <c r="N1402" s="131"/>
      <c r="O1402" s="131"/>
      <c r="P1402" s="131"/>
      <c r="Q1402" s="131"/>
      <c r="R1402" s="131"/>
      <c r="S1402" s="131"/>
      <c r="T1402" s="131"/>
      <c r="U1402" s="131"/>
      <c r="V1402" s="131"/>
      <c r="W1402" s="131"/>
      <c r="X1402" s="131"/>
      <c r="Y1402" s="131"/>
      <c r="Z1402" s="131"/>
    </row>
    <row r="1403">
      <c r="A1403" s="262"/>
      <c r="B1403" s="262"/>
      <c r="C1403" s="262"/>
      <c r="D1403" s="262"/>
      <c r="E1403" s="260"/>
      <c r="F1403" s="132"/>
      <c r="G1403" s="140"/>
      <c r="H1403" s="131"/>
      <c r="I1403" s="131"/>
      <c r="J1403" s="131"/>
      <c r="K1403" s="131"/>
      <c r="L1403" s="131"/>
      <c r="M1403" s="131"/>
      <c r="N1403" s="131"/>
      <c r="O1403" s="131"/>
      <c r="P1403" s="131"/>
      <c r="Q1403" s="131"/>
      <c r="R1403" s="131"/>
      <c r="S1403" s="131"/>
      <c r="T1403" s="131"/>
      <c r="U1403" s="131"/>
      <c r="V1403" s="131"/>
      <c r="W1403" s="131"/>
      <c r="X1403" s="131"/>
      <c r="Y1403" s="131"/>
      <c r="Z1403" s="131"/>
    </row>
    <row r="1404">
      <c r="A1404" s="262"/>
      <c r="B1404" s="262"/>
      <c r="C1404" s="262"/>
      <c r="D1404" s="262"/>
      <c r="E1404" s="260"/>
      <c r="F1404" s="132"/>
      <c r="G1404" s="140"/>
      <c r="H1404" s="131"/>
      <c r="I1404" s="131"/>
      <c r="J1404" s="131"/>
      <c r="K1404" s="131"/>
      <c r="L1404" s="131"/>
      <c r="M1404" s="131"/>
      <c r="N1404" s="131"/>
      <c r="O1404" s="131"/>
      <c r="P1404" s="131"/>
      <c r="Q1404" s="131"/>
      <c r="R1404" s="131"/>
      <c r="S1404" s="131"/>
      <c r="T1404" s="131"/>
      <c r="U1404" s="131"/>
      <c r="V1404" s="131"/>
      <c r="W1404" s="131"/>
      <c r="X1404" s="131"/>
      <c r="Y1404" s="131"/>
      <c r="Z1404" s="131"/>
    </row>
    <row r="1405">
      <c r="A1405" s="262"/>
      <c r="B1405" s="262"/>
      <c r="C1405" s="262"/>
      <c r="D1405" s="262"/>
      <c r="E1405" s="260"/>
      <c r="F1405" s="132"/>
      <c r="G1405" s="140"/>
      <c r="H1405" s="131"/>
      <c r="I1405" s="131"/>
      <c r="J1405" s="131"/>
      <c r="K1405" s="131"/>
      <c r="L1405" s="131"/>
      <c r="M1405" s="131"/>
      <c r="N1405" s="131"/>
      <c r="O1405" s="131"/>
      <c r="P1405" s="131"/>
      <c r="Q1405" s="131"/>
      <c r="R1405" s="131"/>
      <c r="S1405" s="131"/>
      <c r="T1405" s="131"/>
      <c r="U1405" s="131"/>
      <c r="V1405" s="131"/>
      <c r="W1405" s="131"/>
      <c r="X1405" s="131"/>
      <c r="Y1405" s="131"/>
      <c r="Z1405" s="131"/>
    </row>
    <row r="1406">
      <c r="A1406" s="262"/>
      <c r="B1406" s="262"/>
      <c r="C1406" s="262"/>
      <c r="D1406" s="262"/>
      <c r="E1406" s="260"/>
      <c r="F1406" s="132"/>
      <c r="G1406" s="140"/>
      <c r="H1406" s="131"/>
      <c r="I1406" s="131"/>
      <c r="J1406" s="131"/>
      <c r="K1406" s="131"/>
      <c r="L1406" s="131"/>
      <c r="M1406" s="131"/>
      <c r="N1406" s="131"/>
      <c r="O1406" s="131"/>
      <c r="P1406" s="131"/>
      <c r="Q1406" s="131"/>
      <c r="R1406" s="131"/>
      <c r="S1406" s="131"/>
      <c r="T1406" s="131"/>
      <c r="U1406" s="131"/>
      <c r="V1406" s="131"/>
      <c r="W1406" s="131"/>
      <c r="X1406" s="131"/>
      <c r="Y1406" s="131"/>
      <c r="Z1406" s="131"/>
    </row>
    <row r="1407">
      <c r="A1407" s="262"/>
      <c r="B1407" s="262"/>
      <c r="C1407" s="262"/>
      <c r="D1407" s="262"/>
      <c r="E1407" s="260"/>
      <c r="F1407" s="132"/>
      <c r="G1407" s="140"/>
      <c r="H1407" s="131"/>
      <c r="I1407" s="131"/>
      <c r="J1407" s="131"/>
      <c r="K1407" s="131"/>
      <c r="L1407" s="131"/>
      <c r="M1407" s="131"/>
      <c r="N1407" s="131"/>
      <c r="O1407" s="131"/>
      <c r="P1407" s="131"/>
      <c r="Q1407" s="131"/>
      <c r="R1407" s="131"/>
      <c r="S1407" s="131"/>
      <c r="T1407" s="131"/>
      <c r="U1407" s="131"/>
      <c r="V1407" s="131"/>
      <c r="W1407" s="131"/>
      <c r="X1407" s="131"/>
      <c r="Y1407" s="131"/>
      <c r="Z1407" s="131"/>
    </row>
    <row r="1408">
      <c r="A1408" s="262"/>
      <c r="B1408" s="262"/>
      <c r="C1408" s="262"/>
      <c r="D1408" s="262"/>
      <c r="E1408" s="260"/>
      <c r="F1408" s="132"/>
      <c r="G1408" s="140"/>
      <c r="H1408" s="131"/>
      <c r="I1408" s="131"/>
      <c r="J1408" s="131"/>
      <c r="K1408" s="131"/>
      <c r="L1408" s="131"/>
      <c r="M1408" s="131"/>
      <c r="N1408" s="131"/>
      <c r="O1408" s="131"/>
      <c r="P1408" s="131"/>
      <c r="Q1408" s="131"/>
      <c r="R1408" s="131"/>
      <c r="S1408" s="131"/>
      <c r="T1408" s="131"/>
      <c r="U1408" s="131"/>
      <c r="V1408" s="131"/>
      <c r="W1408" s="131"/>
      <c r="X1408" s="131"/>
      <c r="Y1408" s="131"/>
      <c r="Z1408" s="131"/>
    </row>
    <row r="1409">
      <c r="A1409" s="262"/>
      <c r="B1409" s="262"/>
      <c r="C1409" s="262"/>
      <c r="D1409" s="262"/>
      <c r="E1409" s="260"/>
      <c r="F1409" s="132"/>
      <c r="G1409" s="140"/>
      <c r="H1409" s="131"/>
      <c r="I1409" s="131"/>
      <c r="J1409" s="131"/>
      <c r="K1409" s="131"/>
      <c r="L1409" s="131"/>
      <c r="M1409" s="131"/>
      <c r="N1409" s="131"/>
      <c r="O1409" s="131"/>
      <c r="P1409" s="131"/>
      <c r="Q1409" s="131"/>
      <c r="R1409" s="131"/>
      <c r="S1409" s="131"/>
      <c r="T1409" s="131"/>
      <c r="U1409" s="131"/>
      <c r="V1409" s="131"/>
      <c r="W1409" s="131"/>
      <c r="X1409" s="131"/>
      <c r="Y1409" s="131"/>
      <c r="Z1409" s="131"/>
    </row>
    <row r="1410">
      <c r="A1410" s="262"/>
      <c r="B1410" s="262"/>
      <c r="C1410" s="262"/>
      <c r="D1410" s="262"/>
      <c r="E1410" s="260"/>
      <c r="F1410" s="132"/>
      <c r="G1410" s="140"/>
      <c r="H1410" s="131"/>
      <c r="I1410" s="131"/>
      <c r="J1410" s="131"/>
      <c r="K1410" s="131"/>
      <c r="L1410" s="131"/>
      <c r="M1410" s="131"/>
      <c r="N1410" s="131"/>
      <c r="O1410" s="131"/>
      <c r="P1410" s="131"/>
      <c r="Q1410" s="131"/>
      <c r="R1410" s="131"/>
      <c r="S1410" s="131"/>
      <c r="T1410" s="131"/>
      <c r="U1410" s="131"/>
      <c r="V1410" s="131"/>
      <c r="W1410" s="131"/>
      <c r="X1410" s="131"/>
      <c r="Y1410" s="131"/>
      <c r="Z1410" s="131"/>
    </row>
    <row r="1411">
      <c r="A1411" s="262"/>
      <c r="B1411" s="262"/>
      <c r="C1411" s="262"/>
      <c r="D1411" s="262"/>
      <c r="E1411" s="260"/>
      <c r="F1411" s="132"/>
      <c r="G1411" s="140"/>
      <c r="H1411" s="131"/>
      <c r="I1411" s="131"/>
      <c r="J1411" s="131"/>
      <c r="K1411" s="131"/>
      <c r="L1411" s="131"/>
      <c r="M1411" s="131"/>
      <c r="N1411" s="131"/>
      <c r="O1411" s="131"/>
      <c r="P1411" s="131"/>
      <c r="Q1411" s="131"/>
      <c r="R1411" s="131"/>
      <c r="S1411" s="131"/>
      <c r="T1411" s="131"/>
      <c r="U1411" s="131"/>
      <c r="V1411" s="131"/>
      <c r="W1411" s="131"/>
      <c r="X1411" s="131"/>
      <c r="Y1411" s="131"/>
      <c r="Z1411" s="131"/>
    </row>
    <row r="1412">
      <c r="A1412" s="262"/>
      <c r="B1412" s="262"/>
      <c r="C1412" s="262"/>
      <c r="D1412" s="262"/>
      <c r="E1412" s="260"/>
      <c r="F1412" s="132"/>
      <c r="G1412" s="140"/>
      <c r="H1412" s="131"/>
      <c r="I1412" s="131"/>
      <c r="J1412" s="131"/>
      <c r="K1412" s="131"/>
      <c r="L1412" s="131"/>
      <c r="M1412" s="131"/>
      <c r="N1412" s="131"/>
      <c r="O1412" s="131"/>
      <c r="P1412" s="131"/>
      <c r="Q1412" s="131"/>
      <c r="R1412" s="131"/>
      <c r="S1412" s="131"/>
      <c r="T1412" s="131"/>
      <c r="U1412" s="131"/>
      <c r="V1412" s="131"/>
      <c r="W1412" s="131"/>
      <c r="X1412" s="131"/>
      <c r="Y1412" s="131"/>
      <c r="Z1412" s="131"/>
    </row>
    <row r="1413">
      <c r="A1413" s="262"/>
      <c r="B1413" s="262"/>
      <c r="C1413" s="262"/>
      <c r="D1413" s="262"/>
      <c r="E1413" s="260"/>
      <c r="F1413" s="132"/>
      <c r="G1413" s="140"/>
      <c r="H1413" s="131"/>
      <c r="I1413" s="131"/>
      <c r="J1413" s="131"/>
      <c r="K1413" s="131"/>
      <c r="L1413" s="131"/>
      <c r="M1413" s="131"/>
      <c r="N1413" s="131"/>
      <c r="O1413" s="131"/>
      <c r="P1413" s="131"/>
      <c r="Q1413" s="131"/>
      <c r="R1413" s="131"/>
      <c r="S1413" s="131"/>
      <c r="T1413" s="131"/>
      <c r="U1413" s="131"/>
      <c r="V1413" s="131"/>
      <c r="W1413" s="131"/>
      <c r="X1413" s="131"/>
      <c r="Y1413" s="131"/>
      <c r="Z1413" s="131"/>
    </row>
    <row r="1414">
      <c r="A1414" s="262"/>
      <c r="B1414" s="262"/>
      <c r="C1414" s="262"/>
      <c r="D1414" s="262"/>
      <c r="E1414" s="260"/>
      <c r="F1414" s="132"/>
      <c r="G1414" s="140"/>
      <c r="H1414" s="131"/>
      <c r="I1414" s="131"/>
      <c r="J1414" s="131"/>
      <c r="K1414" s="131"/>
      <c r="L1414" s="131"/>
      <c r="M1414" s="131"/>
      <c r="N1414" s="131"/>
      <c r="O1414" s="131"/>
      <c r="P1414" s="131"/>
      <c r="Q1414" s="131"/>
      <c r="R1414" s="131"/>
      <c r="S1414" s="131"/>
      <c r="T1414" s="131"/>
      <c r="U1414" s="131"/>
      <c r="V1414" s="131"/>
      <c r="W1414" s="131"/>
      <c r="X1414" s="131"/>
      <c r="Y1414" s="131"/>
      <c r="Z1414" s="131"/>
    </row>
    <row r="1415">
      <c r="A1415" s="262"/>
      <c r="B1415" s="262"/>
      <c r="C1415" s="262"/>
      <c r="D1415" s="262"/>
      <c r="E1415" s="260"/>
      <c r="F1415" s="132"/>
      <c r="G1415" s="140"/>
      <c r="H1415" s="131"/>
      <c r="I1415" s="131"/>
      <c r="J1415" s="131"/>
      <c r="K1415" s="131"/>
      <c r="L1415" s="131"/>
      <c r="M1415" s="131"/>
      <c r="N1415" s="131"/>
      <c r="O1415" s="131"/>
      <c r="P1415" s="131"/>
      <c r="Q1415" s="131"/>
      <c r="R1415" s="131"/>
      <c r="S1415" s="131"/>
      <c r="T1415" s="131"/>
      <c r="U1415" s="131"/>
      <c r="V1415" s="131"/>
      <c r="W1415" s="131"/>
      <c r="X1415" s="131"/>
      <c r="Y1415" s="131"/>
      <c r="Z1415" s="131"/>
    </row>
    <row r="1416">
      <c r="A1416" s="262"/>
      <c r="B1416" s="262"/>
      <c r="C1416" s="262"/>
      <c r="D1416" s="262"/>
      <c r="E1416" s="260"/>
      <c r="F1416" s="132"/>
      <c r="G1416" s="140"/>
      <c r="H1416" s="131"/>
      <c r="I1416" s="131"/>
      <c r="J1416" s="131"/>
      <c r="K1416" s="131"/>
      <c r="L1416" s="131"/>
      <c r="M1416" s="131"/>
      <c r="N1416" s="131"/>
      <c r="O1416" s="131"/>
      <c r="P1416" s="131"/>
      <c r="Q1416" s="131"/>
      <c r="R1416" s="131"/>
      <c r="S1416" s="131"/>
      <c r="T1416" s="131"/>
      <c r="U1416" s="131"/>
      <c r="V1416" s="131"/>
      <c r="W1416" s="131"/>
      <c r="X1416" s="131"/>
      <c r="Y1416" s="131"/>
      <c r="Z1416" s="131"/>
    </row>
    <row r="1417">
      <c r="A1417" s="262"/>
      <c r="B1417" s="262"/>
      <c r="C1417" s="262"/>
      <c r="D1417" s="262"/>
      <c r="E1417" s="260"/>
      <c r="F1417" s="132"/>
      <c r="G1417" s="140"/>
      <c r="H1417" s="131"/>
      <c r="I1417" s="131"/>
      <c r="J1417" s="131"/>
      <c r="K1417" s="131"/>
      <c r="L1417" s="131"/>
      <c r="M1417" s="131"/>
      <c r="N1417" s="131"/>
      <c r="O1417" s="131"/>
      <c r="P1417" s="131"/>
      <c r="Q1417" s="131"/>
      <c r="R1417" s="131"/>
      <c r="S1417" s="131"/>
      <c r="T1417" s="131"/>
      <c r="U1417" s="131"/>
      <c r="V1417" s="131"/>
      <c r="W1417" s="131"/>
      <c r="X1417" s="131"/>
      <c r="Y1417" s="131"/>
      <c r="Z1417" s="131"/>
    </row>
    <row r="1418">
      <c r="A1418" s="262"/>
      <c r="B1418" s="262"/>
      <c r="C1418" s="262"/>
      <c r="D1418" s="262"/>
      <c r="E1418" s="260"/>
      <c r="F1418" s="132"/>
      <c r="G1418" s="140"/>
      <c r="H1418" s="131"/>
      <c r="I1418" s="131"/>
      <c r="J1418" s="131"/>
      <c r="K1418" s="131"/>
      <c r="L1418" s="131"/>
      <c r="M1418" s="131"/>
      <c r="N1418" s="131"/>
      <c r="O1418" s="131"/>
      <c r="P1418" s="131"/>
      <c r="Q1418" s="131"/>
      <c r="R1418" s="131"/>
      <c r="S1418" s="131"/>
      <c r="T1418" s="131"/>
      <c r="U1418" s="131"/>
      <c r="V1418" s="131"/>
      <c r="W1418" s="131"/>
      <c r="X1418" s="131"/>
      <c r="Y1418" s="131"/>
      <c r="Z1418" s="131"/>
    </row>
    <row r="1419">
      <c r="A1419" s="262"/>
      <c r="B1419" s="262"/>
      <c r="C1419" s="262"/>
      <c r="D1419" s="262"/>
      <c r="E1419" s="260"/>
      <c r="F1419" s="132"/>
      <c r="G1419" s="140"/>
      <c r="H1419" s="131"/>
      <c r="I1419" s="131"/>
      <c r="J1419" s="131"/>
      <c r="K1419" s="131"/>
      <c r="L1419" s="131"/>
      <c r="M1419" s="131"/>
      <c r="N1419" s="131"/>
      <c r="O1419" s="131"/>
      <c r="P1419" s="131"/>
      <c r="Q1419" s="131"/>
      <c r="R1419" s="131"/>
      <c r="S1419" s="131"/>
      <c r="T1419" s="131"/>
      <c r="U1419" s="131"/>
      <c r="V1419" s="131"/>
      <c r="W1419" s="131"/>
      <c r="X1419" s="131"/>
      <c r="Y1419" s="131"/>
      <c r="Z1419" s="131"/>
    </row>
    <row r="1420">
      <c r="A1420" s="262"/>
      <c r="B1420" s="262"/>
      <c r="C1420" s="262"/>
      <c r="D1420" s="262"/>
      <c r="E1420" s="260"/>
      <c r="F1420" s="132"/>
      <c r="G1420" s="140"/>
      <c r="H1420" s="131"/>
      <c r="I1420" s="131"/>
      <c r="J1420" s="131"/>
      <c r="K1420" s="131"/>
      <c r="L1420" s="131"/>
      <c r="M1420" s="131"/>
      <c r="N1420" s="131"/>
      <c r="O1420" s="131"/>
      <c r="P1420" s="131"/>
      <c r="Q1420" s="131"/>
      <c r="R1420" s="131"/>
      <c r="S1420" s="131"/>
      <c r="T1420" s="131"/>
      <c r="U1420" s="131"/>
      <c r="V1420" s="131"/>
      <c r="W1420" s="131"/>
      <c r="X1420" s="131"/>
      <c r="Y1420" s="131"/>
      <c r="Z1420" s="131"/>
    </row>
    <row r="1421">
      <c r="A1421" s="262"/>
      <c r="B1421" s="262"/>
      <c r="C1421" s="262"/>
      <c r="D1421" s="262"/>
      <c r="E1421" s="260"/>
      <c r="F1421" s="132"/>
      <c r="G1421" s="140"/>
      <c r="H1421" s="131"/>
      <c r="I1421" s="131"/>
      <c r="J1421" s="131"/>
      <c r="K1421" s="131"/>
      <c r="L1421" s="131"/>
      <c r="M1421" s="131"/>
      <c r="N1421" s="131"/>
      <c r="O1421" s="131"/>
      <c r="P1421" s="131"/>
      <c r="Q1421" s="131"/>
      <c r="R1421" s="131"/>
      <c r="S1421" s="131"/>
      <c r="T1421" s="131"/>
      <c r="U1421" s="131"/>
      <c r="V1421" s="131"/>
      <c r="W1421" s="131"/>
      <c r="X1421" s="131"/>
      <c r="Y1421" s="131"/>
      <c r="Z1421" s="131"/>
    </row>
    <row r="1422">
      <c r="A1422" s="262"/>
      <c r="B1422" s="262"/>
      <c r="C1422" s="262"/>
      <c r="D1422" s="262"/>
      <c r="E1422" s="260"/>
      <c r="F1422" s="132"/>
      <c r="G1422" s="140"/>
      <c r="H1422" s="131"/>
      <c r="I1422" s="131"/>
      <c r="J1422" s="131"/>
      <c r="K1422" s="131"/>
      <c r="L1422" s="131"/>
      <c r="M1422" s="131"/>
      <c r="N1422" s="131"/>
      <c r="O1422" s="131"/>
      <c r="P1422" s="131"/>
      <c r="Q1422" s="131"/>
      <c r="R1422" s="131"/>
      <c r="S1422" s="131"/>
      <c r="T1422" s="131"/>
      <c r="U1422" s="131"/>
      <c r="V1422" s="131"/>
      <c r="W1422" s="131"/>
      <c r="X1422" s="131"/>
      <c r="Y1422" s="131"/>
      <c r="Z1422" s="131"/>
    </row>
    <row r="1423">
      <c r="A1423" s="262"/>
      <c r="B1423" s="262"/>
      <c r="C1423" s="262"/>
      <c r="D1423" s="262"/>
      <c r="E1423" s="260"/>
      <c r="F1423" s="132"/>
      <c r="G1423" s="140"/>
      <c r="H1423" s="131"/>
      <c r="I1423" s="131"/>
      <c r="J1423" s="131"/>
      <c r="K1423" s="131"/>
      <c r="L1423" s="131"/>
      <c r="M1423" s="131"/>
      <c r="N1423" s="131"/>
      <c r="O1423" s="131"/>
      <c r="P1423" s="131"/>
      <c r="Q1423" s="131"/>
      <c r="R1423" s="131"/>
      <c r="S1423" s="131"/>
      <c r="T1423" s="131"/>
      <c r="U1423" s="131"/>
      <c r="V1423" s="131"/>
      <c r="W1423" s="131"/>
      <c r="X1423" s="131"/>
      <c r="Y1423" s="131"/>
      <c r="Z1423" s="131"/>
    </row>
    <row r="1424">
      <c r="A1424" s="262"/>
      <c r="B1424" s="262"/>
      <c r="C1424" s="262"/>
      <c r="D1424" s="262"/>
      <c r="E1424" s="260"/>
      <c r="F1424" s="132"/>
      <c r="G1424" s="140"/>
      <c r="H1424" s="131"/>
      <c r="I1424" s="131"/>
      <c r="J1424" s="131"/>
      <c r="K1424" s="131"/>
      <c r="L1424" s="131"/>
      <c r="M1424" s="131"/>
      <c r="N1424" s="131"/>
      <c r="O1424" s="131"/>
      <c r="P1424" s="131"/>
      <c r="Q1424" s="131"/>
      <c r="R1424" s="131"/>
      <c r="S1424" s="131"/>
      <c r="T1424" s="131"/>
      <c r="U1424" s="131"/>
      <c r="V1424" s="131"/>
      <c r="W1424" s="131"/>
      <c r="X1424" s="131"/>
      <c r="Y1424" s="131"/>
      <c r="Z1424" s="131"/>
    </row>
    <row r="1425">
      <c r="A1425" s="262"/>
      <c r="B1425" s="262"/>
      <c r="C1425" s="262"/>
      <c r="D1425" s="262"/>
      <c r="E1425" s="260"/>
      <c r="F1425" s="132"/>
      <c r="G1425" s="140"/>
      <c r="H1425" s="131"/>
      <c r="I1425" s="131"/>
      <c r="J1425" s="131"/>
      <c r="K1425" s="131"/>
      <c r="L1425" s="131"/>
      <c r="M1425" s="131"/>
      <c r="N1425" s="131"/>
      <c r="O1425" s="131"/>
      <c r="P1425" s="131"/>
      <c r="Q1425" s="131"/>
      <c r="R1425" s="131"/>
      <c r="S1425" s="131"/>
      <c r="T1425" s="131"/>
      <c r="U1425" s="131"/>
      <c r="V1425" s="131"/>
      <c r="W1425" s="131"/>
      <c r="X1425" s="131"/>
      <c r="Y1425" s="131"/>
      <c r="Z1425" s="131"/>
    </row>
    <row r="1426">
      <c r="A1426" s="262"/>
      <c r="B1426" s="262"/>
      <c r="C1426" s="262"/>
      <c r="D1426" s="262"/>
      <c r="E1426" s="260"/>
      <c r="F1426" s="132"/>
      <c r="G1426" s="140"/>
      <c r="H1426" s="131"/>
      <c r="I1426" s="131"/>
      <c r="J1426" s="131"/>
      <c r="K1426" s="131"/>
      <c r="L1426" s="131"/>
      <c r="M1426" s="131"/>
      <c r="N1426" s="131"/>
      <c r="O1426" s="131"/>
      <c r="P1426" s="131"/>
      <c r="Q1426" s="131"/>
      <c r="R1426" s="131"/>
      <c r="S1426" s="131"/>
      <c r="T1426" s="131"/>
      <c r="U1426" s="131"/>
      <c r="V1426" s="131"/>
      <c r="W1426" s="131"/>
      <c r="X1426" s="131"/>
      <c r="Y1426" s="131"/>
      <c r="Z1426" s="131"/>
    </row>
    <row r="1427">
      <c r="A1427" s="262"/>
      <c r="B1427" s="262"/>
      <c r="C1427" s="262"/>
      <c r="D1427" s="262"/>
      <c r="E1427" s="260"/>
      <c r="F1427" s="132"/>
      <c r="G1427" s="140"/>
      <c r="H1427" s="131"/>
      <c r="I1427" s="131"/>
      <c r="J1427" s="131"/>
      <c r="K1427" s="131"/>
      <c r="L1427" s="131"/>
      <c r="M1427" s="131"/>
      <c r="N1427" s="131"/>
      <c r="O1427" s="131"/>
      <c r="P1427" s="131"/>
      <c r="Q1427" s="131"/>
      <c r="R1427" s="131"/>
      <c r="S1427" s="131"/>
      <c r="T1427" s="131"/>
      <c r="U1427" s="131"/>
      <c r="V1427" s="131"/>
      <c r="W1427" s="131"/>
      <c r="X1427" s="131"/>
      <c r="Y1427" s="131"/>
      <c r="Z1427" s="131"/>
    </row>
    <row r="1428">
      <c r="A1428" s="262"/>
      <c r="B1428" s="262"/>
      <c r="C1428" s="262"/>
      <c r="D1428" s="262"/>
      <c r="E1428" s="260"/>
      <c r="F1428" s="132"/>
      <c r="G1428" s="140"/>
      <c r="H1428" s="131"/>
      <c r="I1428" s="131"/>
      <c r="J1428" s="131"/>
      <c r="K1428" s="131"/>
      <c r="L1428" s="131"/>
      <c r="M1428" s="131"/>
      <c r="N1428" s="131"/>
      <c r="O1428" s="131"/>
      <c r="P1428" s="131"/>
      <c r="Q1428" s="131"/>
      <c r="R1428" s="131"/>
      <c r="S1428" s="131"/>
      <c r="T1428" s="131"/>
      <c r="U1428" s="131"/>
      <c r="V1428" s="131"/>
      <c r="W1428" s="131"/>
      <c r="X1428" s="131"/>
      <c r="Y1428" s="131"/>
      <c r="Z1428" s="131"/>
    </row>
    <row r="1429">
      <c r="A1429" s="262"/>
      <c r="B1429" s="262"/>
      <c r="C1429" s="262"/>
      <c r="D1429" s="262"/>
      <c r="E1429" s="260"/>
      <c r="F1429" s="132"/>
      <c r="G1429" s="140"/>
      <c r="H1429" s="131"/>
      <c r="I1429" s="131"/>
      <c r="J1429" s="131"/>
      <c r="K1429" s="131"/>
      <c r="L1429" s="131"/>
      <c r="M1429" s="131"/>
      <c r="N1429" s="131"/>
      <c r="O1429" s="131"/>
      <c r="P1429" s="131"/>
      <c r="Q1429" s="131"/>
      <c r="R1429" s="131"/>
      <c r="S1429" s="131"/>
      <c r="T1429" s="131"/>
      <c r="U1429" s="131"/>
      <c r="V1429" s="131"/>
      <c r="W1429" s="131"/>
      <c r="X1429" s="131"/>
      <c r="Y1429" s="131"/>
      <c r="Z1429" s="131"/>
    </row>
    <row r="1430">
      <c r="A1430" s="262"/>
      <c r="B1430" s="262"/>
      <c r="C1430" s="262"/>
      <c r="D1430" s="262"/>
      <c r="E1430" s="260"/>
      <c r="F1430" s="132"/>
      <c r="G1430" s="140"/>
      <c r="H1430" s="131"/>
      <c r="I1430" s="131"/>
      <c r="J1430" s="131"/>
      <c r="K1430" s="131"/>
      <c r="L1430" s="131"/>
      <c r="M1430" s="131"/>
      <c r="N1430" s="131"/>
      <c r="O1430" s="131"/>
      <c r="P1430" s="131"/>
      <c r="Q1430" s="131"/>
      <c r="R1430" s="131"/>
      <c r="S1430" s="131"/>
      <c r="T1430" s="131"/>
      <c r="U1430" s="131"/>
      <c r="V1430" s="131"/>
      <c r="W1430" s="131"/>
      <c r="X1430" s="131"/>
      <c r="Y1430" s="131"/>
      <c r="Z1430" s="131"/>
    </row>
    <row r="1431">
      <c r="A1431" s="262"/>
      <c r="B1431" s="262"/>
      <c r="C1431" s="262"/>
      <c r="D1431" s="262"/>
      <c r="E1431" s="260"/>
      <c r="F1431" s="132"/>
      <c r="G1431" s="140"/>
      <c r="H1431" s="131"/>
      <c r="I1431" s="131"/>
      <c r="J1431" s="131"/>
      <c r="K1431" s="131"/>
      <c r="L1431" s="131"/>
      <c r="M1431" s="131"/>
      <c r="N1431" s="131"/>
      <c r="O1431" s="131"/>
      <c r="P1431" s="131"/>
      <c r="Q1431" s="131"/>
      <c r="R1431" s="131"/>
      <c r="S1431" s="131"/>
      <c r="T1431" s="131"/>
      <c r="U1431" s="131"/>
      <c r="V1431" s="131"/>
      <c r="W1431" s="131"/>
      <c r="X1431" s="131"/>
      <c r="Y1431" s="131"/>
      <c r="Z1431" s="131"/>
    </row>
    <row r="1432">
      <c r="A1432" s="262"/>
      <c r="B1432" s="262"/>
      <c r="C1432" s="262"/>
      <c r="D1432" s="262"/>
      <c r="E1432" s="260"/>
      <c r="F1432" s="132"/>
      <c r="G1432" s="140"/>
      <c r="H1432" s="131"/>
      <c r="I1432" s="131"/>
      <c r="J1432" s="131"/>
      <c r="K1432" s="131"/>
      <c r="L1432" s="131"/>
      <c r="M1432" s="131"/>
      <c r="N1432" s="131"/>
      <c r="O1432" s="131"/>
      <c r="P1432" s="131"/>
      <c r="Q1432" s="131"/>
      <c r="R1432" s="131"/>
      <c r="S1432" s="131"/>
      <c r="T1432" s="131"/>
      <c r="U1432" s="131"/>
      <c r="V1432" s="131"/>
      <c r="W1432" s="131"/>
      <c r="X1432" s="131"/>
      <c r="Y1432" s="131"/>
      <c r="Z1432" s="131"/>
    </row>
    <row r="1433">
      <c r="A1433" s="262"/>
      <c r="B1433" s="262"/>
      <c r="C1433" s="262"/>
      <c r="D1433" s="262"/>
      <c r="E1433" s="260"/>
      <c r="F1433" s="132"/>
      <c r="G1433" s="140"/>
      <c r="H1433" s="131"/>
      <c r="I1433" s="131"/>
      <c r="J1433" s="131"/>
      <c r="K1433" s="131"/>
      <c r="L1433" s="131"/>
      <c r="M1433" s="131"/>
      <c r="N1433" s="131"/>
      <c r="O1433" s="131"/>
      <c r="P1433" s="131"/>
      <c r="Q1433" s="131"/>
      <c r="R1433" s="131"/>
      <c r="S1433" s="131"/>
      <c r="T1433" s="131"/>
      <c r="U1433" s="131"/>
      <c r="V1433" s="131"/>
      <c r="W1433" s="131"/>
      <c r="X1433" s="131"/>
      <c r="Y1433" s="131"/>
      <c r="Z1433" s="131"/>
    </row>
    <row r="1434">
      <c r="A1434" s="262"/>
      <c r="B1434" s="262"/>
      <c r="C1434" s="262"/>
      <c r="D1434" s="262"/>
      <c r="E1434" s="260"/>
      <c r="F1434" s="132"/>
      <c r="G1434" s="140"/>
      <c r="H1434" s="131"/>
      <c r="I1434" s="131"/>
      <c r="J1434" s="131"/>
      <c r="K1434" s="131"/>
      <c r="L1434" s="131"/>
      <c r="M1434" s="131"/>
      <c r="N1434" s="131"/>
      <c r="O1434" s="131"/>
      <c r="P1434" s="131"/>
      <c r="Q1434" s="131"/>
      <c r="R1434" s="131"/>
      <c r="S1434" s="131"/>
      <c r="T1434" s="131"/>
      <c r="U1434" s="131"/>
      <c r="V1434" s="131"/>
      <c r="W1434" s="131"/>
      <c r="X1434" s="131"/>
      <c r="Y1434" s="131"/>
      <c r="Z1434" s="131"/>
    </row>
    <row r="1435">
      <c r="A1435" s="262"/>
      <c r="B1435" s="262"/>
      <c r="C1435" s="262"/>
      <c r="D1435" s="262"/>
      <c r="E1435" s="260"/>
      <c r="F1435" s="132"/>
      <c r="G1435" s="140"/>
      <c r="H1435" s="131"/>
      <c r="I1435" s="131"/>
      <c r="J1435" s="131"/>
      <c r="K1435" s="131"/>
      <c r="L1435" s="131"/>
      <c r="M1435" s="131"/>
      <c r="N1435" s="131"/>
      <c r="O1435" s="131"/>
      <c r="P1435" s="131"/>
      <c r="Q1435" s="131"/>
      <c r="R1435" s="131"/>
      <c r="S1435" s="131"/>
      <c r="T1435" s="131"/>
      <c r="U1435" s="131"/>
      <c r="V1435" s="131"/>
      <c r="W1435" s="131"/>
      <c r="X1435" s="131"/>
      <c r="Y1435" s="131"/>
      <c r="Z1435" s="131"/>
    </row>
    <row r="1436">
      <c r="A1436" s="262"/>
      <c r="B1436" s="262"/>
      <c r="C1436" s="262"/>
      <c r="D1436" s="262"/>
      <c r="E1436" s="260"/>
      <c r="F1436" s="132"/>
      <c r="G1436" s="140"/>
      <c r="H1436" s="131"/>
      <c r="I1436" s="131"/>
      <c r="J1436" s="131"/>
      <c r="K1436" s="131"/>
      <c r="L1436" s="131"/>
      <c r="M1436" s="131"/>
      <c r="N1436" s="131"/>
      <c r="O1436" s="131"/>
      <c r="P1436" s="131"/>
      <c r="Q1436" s="131"/>
      <c r="R1436" s="131"/>
      <c r="S1436" s="131"/>
      <c r="T1436" s="131"/>
      <c r="U1436" s="131"/>
      <c r="V1436" s="131"/>
      <c r="W1436" s="131"/>
      <c r="X1436" s="131"/>
      <c r="Y1436" s="131"/>
      <c r="Z1436" s="131"/>
    </row>
    <row r="1437">
      <c r="A1437" s="262"/>
      <c r="B1437" s="262"/>
      <c r="C1437" s="262"/>
      <c r="D1437" s="262"/>
      <c r="E1437" s="260"/>
      <c r="F1437" s="132"/>
      <c r="G1437" s="140"/>
      <c r="H1437" s="131"/>
      <c r="I1437" s="131"/>
      <c r="J1437" s="131"/>
      <c r="K1437" s="131"/>
      <c r="L1437" s="131"/>
      <c r="M1437" s="131"/>
      <c r="N1437" s="131"/>
      <c r="O1437" s="131"/>
      <c r="P1437" s="131"/>
      <c r="Q1437" s="131"/>
      <c r="R1437" s="131"/>
      <c r="S1437" s="131"/>
      <c r="T1437" s="131"/>
      <c r="U1437" s="131"/>
      <c r="V1437" s="131"/>
      <c r="W1437" s="131"/>
      <c r="X1437" s="131"/>
      <c r="Y1437" s="131"/>
      <c r="Z1437" s="131"/>
    </row>
    <row r="1438">
      <c r="A1438" s="262"/>
      <c r="B1438" s="262"/>
      <c r="C1438" s="262"/>
      <c r="D1438" s="262"/>
      <c r="E1438" s="260"/>
      <c r="F1438" s="132"/>
      <c r="G1438" s="140"/>
      <c r="H1438" s="131"/>
      <c r="I1438" s="131"/>
      <c r="J1438" s="131"/>
      <c r="K1438" s="131"/>
      <c r="L1438" s="131"/>
      <c r="M1438" s="131"/>
      <c r="N1438" s="131"/>
      <c r="O1438" s="131"/>
      <c r="P1438" s="131"/>
      <c r="Q1438" s="131"/>
      <c r="R1438" s="131"/>
      <c r="S1438" s="131"/>
      <c r="T1438" s="131"/>
      <c r="U1438" s="131"/>
      <c r="V1438" s="131"/>
      <c r="W1438" s="131"/>
      <c r="X1438" s="131"/>
      <c r="Y1438" s="131"/>
      <c r="Z1438" s="131"/>
    </row>
    <row r="1439">
      <c r="A1439" s="262"/>
      <c r="B1439" s="262"/>
      <c r="C1439" s="262"/>
      <c r="D1439" s="262"/>
      <c r="E1439" s="260"/>
      <c r="F1439" s="132"/>
      <c r="G1439" s="140"/>
      <c r="H1439" s="131"/>
      <c r="I1439" s="131"/>
      <c r="J1439" s="131"/>
      <c r="K1439" s="131"/>
      <c r="L1439" s="131"/>
      <c r="M1439" s="131"/>
      <c r="N1439" s="131"/>
      <c r="O1439" s="131"/>
      <c r="P1439" s="131"/>
      <c r="Q1439" s="131"/>
      <c r="R1439" s="131"/>
      <c r="S1439" s="131"/>
      <c r="T1439" s="131"/>
      <c r="U1439" s="131"/>
      <c r="V1439" s="131"/>
      <c r="W1439" s="131"/>
      <c r="X1439" s="131"/>
      <c r="Y1439" s="131"/>
      <c r="Z1439" s="131"/>
    </row>
    <row r="1440">
      <c r="A1440" s="262"/>
      <c r="B1440" s="262"/>
      <c r="C1440" s="262"/>
      <c r="D1440" s="262"/>
      <c r="E1440" s="260"/>
      <c r="F1440" s="132"/>
      <c r="G1440" s="140"/>
      <c r="H1440" s="131"/>
      <c r="I1440" s="131"/>
      <c r="J1440" s="131"/>
      <c r="K1440" s="131"/>
      <c r="L1440" s="131"/>
      <c r="M1440" s="131"/>
      <c r="N1440" s="131"/>
      <c r="O1440" s="131"/>
      <c r="P1440" s="131"/>
      <c r="Q1440" s="131"/>
      <c r="R1440" s="131"/>
      <c r="S1440" s="131"/>
      <c r="T1440" s="131"/>
      <c r="U1440" s="131"/>
      <c r="V1440" s="131"/>
      <c r="W1440" s="131"/>
      <c r="X1440" s="131"/>
      <c r="Y1440" s="131"/>
      <c r="Z1440" s="131"/>
    </row>
    <row r="1441">
      <c r="A1441" s="262"/>
      <c r="B1441" s="262"/>
      <c r="C1441" s="262"/>
      <c r="D1441" s="262"/>
      <c r="E1441" s="260"/>
      <c r="F1441" s="132"/>
      <c r="G1441" s="140"/>
      <c r="H1441" s="131"/>
      <c r="I1441" s="131"/>
      <c r="J1441" s="131"/>
      <c r="K1441" s="131"/>
      <c r="L1441" s="131"/>
      <c r="M1441" s="131"/>
      <c r="N1441" s="131"/>
      <c r="O1441" s="131"/>
      <c r="P1441" s="131"/>
      <c r="Q1441" s="131"/>
      <c r="R1441" s="131"/>
      <c r="S1441" s="131"/>
      <c r="T1441" s="131"/>
      <c r="U1441" s="131"/>
      <c r="V1441" s="131"/>
      <c r="W1441" s="131"/>
      <c r="X1441" s="131"/>
      <c r="Y1441" s="131"/>
      <c r="Z1441" s="131"/>
    </row>
    <row r="1442">
      <c r="A1442" s="262"/>
      <c r="B1442" s="262"/>
      <c r="C1442" s="262"/>
      <c r="D1442" s="262"/>
      <c r="E1442" s="260"/>
      <c r="F1442" s="132"/>
      <c r="G1442" s="140"/>
      <c r="H1442" s="131"/>
      <c r="I1442" s="131"/>
      <c r="J1442" s="131"/>
      <c r="K1442" s="131"/>
      <c r="L1442" s="131"/>
      <c r="M1442" s="131"/>
      <c r="N1442" s="131"/>
      <c r="O1442" s="131"/>
      <c r="P1442" s="131"/>
      <c r="Q1442" s="131"/>
      <c r="R1442" s="131"/>
      <c r="S1442" s="131"/>
      <c r="T1442" s="131"/>
      <c r="U1442" s="131"/>
      <c r="V1442" s="131"/>
      <c r="W1442" s="131"/>
      <c r="X1442" s="131"/>
      <c r="Y1442" s="131"/>
      <c r="Z1442" s="131"/>
    </row>
    <row r="1443">
      <c r="A1443" s="262"/>
      <c r="B1443" s="262"/>
      <c r="C1443" s="262"/>
      <c r="D1443" s="262"/>
      <c r="E1443" s="260"/>
      <c r="F1443" s="132"/>
      <c r="G1443" s="140"/>
      <c r="H1443" s="131"/>
      <c r="I1443" s="131"/>
      <c r="J1443" s="131"/>
      <c r="K1443" s="131"/>
      <c r="L1443" s="131"/>
      <c r="M1443" s="131"/>
      <c r="N1443" s="131"/>
      <c r="O1443" s="131"/>
      <c r="P1443" s="131"/>
      <c r="Q1443" s="131"/>
      <c r="R1443" s="131"/>
      <c r="S1443" s="131"/>
      <c r="T1443" s="131"/>
      <c r="U1443" s="131"/>
      <c r="V1443" s="131"/>
      <c r="W1443" s="131"/>
      <c r="X1443" s="131"/>
      <c r="Y1443" s="131"/>
      <c r="Z1443" s="131"/>
    </row>
    <row r="1444">
      <c r="A1444" s="262"/>
      <c r="B1444" s="262"/>
      <c r="C1444" s="262"/>
      <c r="D1444" s="262"/>
      <c r="E1444" s="260"/>
      <c r="F1444" s="132"/>
      <c r="G1444" s="140"/>
      <c r="H1444" s="131"/>
      <c r="I1444" s="131"/>
      <c r="J1444" s="131"/>
      <c r="K1444" s="131"/>
      <c r="L1444" s="131"/>
      <c r="M1444" s="131"/>
      <c r="N1444" s="131"/>
      <c r="O1444" s="131"/>
      <c r="P1444" s="131"/>
      <c r="Q1444" s="131"/>
      <c r="R1444" s="131"/>
      <c r="S1444" s="131"/>
      <c r="T1444" s="131"/>
      <c r="U1444" s="131"/>
      <c r="V1444" s="131"/>
      <c r="W1444" s="131"/>
      <c r="X1444" s="131"/>
      <c r="Y1444" s="131"/>
      <c r="Z1444" s="131"/>
    </row>
    <row r="1445">
      <c r="A1445" s="262"/>
      <c r="B1445" s="262"/>
      <c r="C1445" s="262"/>
      <c r="D1445" s="262"/>
      <c r="E1445" s="260"/>
      <c r="F1445" s="132"/>
      <c r="G1445" s="140"/>
      <c r="H1445" s="131"/>
      <c r="I1445" s="131"/>
      <c r="J1445" s="131"/>
      <c r="K1445" s="131"/>
      <c r="L1445" s="131"/>
      <c r="M1445" s="131"/>
      <c r="N1445" s="131"/>
      <c r="O1445" s="131"/>
      <c r="P1445" s="131"/>
      <c r="Q1445" s="131"/>
      <c r="R1445" s="131"/>
      <c r="S1445" s="131"/>
      <c r="T1445" s="131"/>
      <c r="U1445" s="131"/>
      <c r="V1445" s="131"/>
      <c r="W1445" s="131"/>
      <c r="X1445" s="131"/>
      <c r="Y1445" s="131"/>
      <c r="Z1445" s="131"/>
    </row>
    <row r="1446">
      <c r="A1446" s="262"/>
      <c r="B1446" s="262"/>
      <c r="C1446" s="262"/>
      <c r="D1446" s="262"/>
      <c r="E1446" s="260"/>
      <c r="F1446" s="132"/>
      <c r="G1446" s="140"/>
      <c r="H1446" s="131"/>
      <c r="I1446" s="131"/>
      <c r="J1446" s="131"/>
      <c r="K1446" s="131"/>
      <c r="L1446" s="131"/>
      <c r="M1446" s="131"/>
      <c r="N1446" s="131"/>
      <c r="O1446" s="131"/>
      <c r="P1446" s="131"/>
      <c r="Q1446" s="131"/>
      <c r="R1446" s="131"/>
      <c r="S1446" s="131"/>
      <c r="T1446" s="131"/>
      <c r="U1446" s="131"/>
      <c r="V1446" s="131"/>
      <c r="W1446" s="131"/>
      <c r="X1446" s="131"/>
      <c r="Y1446" s="131"/>
      <c r="Z1446" s="131"/>
    </row>
    <row r="1447">
      <c r="A1447" s="262"/>
      <c r="B1447" s="262"/>
      <c r="C1447" s="262"/>
      <c r="D1447" s="262"/>
      <c r="E1447" s="260"/>
      <c r="F1447" s="132"/>
      <c r="G1447" s="140"/>
      <c r="H1447" s="131"/>
      <c r="I1447" s="131"/>
      <c r="J1447" s="131"/>
      <c r="K1447" s="131"/>
      <c r="L1447" s="131"/>
      <c r="M1447" s="131"/>
      <c r="N1447" s="131"/>
      <c r="O1447" s="131"/>
      <c r="P1447" s="131"/>
      <c r="Q1447" s="131"/>
      <c r="R1447" s="131"/>
      <c r="S1447" s="131"/>
      <c r="T1447" s="131"/>
      <c r="U1447" s="131"/>
      <c r="V1447" s="131"/>
      <c r="W1447" s="131"/>
      <c r="X1447" s="131"/>
      <c r="Y1447" s="131"/>
      <c r="Z1447" s="131"/>
    </row>
    <row r="1448">
      <c r="A1448" s="262"/>
      <c r="B1448" s="262"/>
      <c r="C1448" s="262"/>
      <c r="D1448" s="262"/>
      <c r="E1448" s="260"/>
      <c r="F1448" s="132"/>
      <c r="G1448" s="140"/>
      <c r="H1448" s="131"/>
      <c r="I1448" s="131"/>
      <c r="J1448" s="131"/>
      <c r="K1448" s="131"/>
      <c r="L1448" s="131"/>
      <c r="M1448" s="131"/>
      <c r="N1448" s="131"/>
      <c r="O1448" s="131"/>
      <c r="P1448" s="131"/>
      <c r="Q1448" s="131"/>
      <c r="R1448" s="131"/>
      <c r="S1448" s="131"/>
      <c r="T1448" s="131"/>
      <c r="U1448" s="131"/>
      <c r="V1448" s="131"/>
      <c r="W1448" s="131"/>
      <c r="X1448" s="131"/>
      <c r="Y1448" s="131"/>
      <c r="Z1448" s="131"/>
    </row>
    <row r="1449">
      <c r="A1449" s="262"/>
      <c r="B1449" s="262"/>
      <c r="C1449" s="262"/>
      <c r="D1449" s="262"/>
      <c r="E1449" s="260"/>
      <c r="F1449" s="132"/>
      <c r="G1449" s="140"/>
      <c r="H1449" s="131"/>
      <c r="I1449" s="131"/>
      <c r="J1449" s="131"/>
      <c r="K1449" s="131"/>
      <c r="L1449" s="131"/>
      <c r="M1449" s="131"/>
      <c r="N1449" s="131"/>
      <c r="O1449" s="131"/>
      <c r="P1449" s="131"/>
      <c r="Q1449" s="131"/>
      <c r="R1449" s="131"/>
      <c r="S1449" s="131"/>
      <c r="T1449" s="131"/>
      <c r="U1449" s="131"/>
      <c r="V1449" s="131"/>
      <c r="W1449" s="131"/>
      <c r="X1449" s="131"/>
      <c r="Y1449" s="131"/>
      <c r="Z1449" s="131"/>
    </row>
    <row r="1450">
      <c r="A1450" s="262"/>
      <c r="B1450" s="262"/>
      <c r="C1450" s="262"/>
      <c r="D1450" s="262"/>
      <c r="E1450" s="260"/>
      <c r="F1450" s="132"/>
      <c r="G1450" s="140"/>
      <c r="H1450" s="131"/>
      <c r="I1450" s="131"/>
      <c r="J1450" s="131"/>
      <c r="K1450" s="131"/>
      <c r="L1450" s="131"/>
      <c r="M1450" s="131"/>
      <c r="N1450" s="131"/>
      <c r="O1450" s="131"/>
      <c r="P1450" s="131"/>
      <c r="Q1450" s="131"/>
      <c r="R1450" s="131"/>
      <c r="S1450" s="131"/>
      <c r="T1450" s="131"/>
      <c r="U1450" s="131"/>
      <c r="V1450" s="131"/>
      <c r="W1450" s="131"/>
      <c r="X1450" s="131"/>
      <c r="Y1450" s="131"/>
      <c r="Z1450" s="131"/>
    </row>
    <row r="1451">
      <c r="A1451" s="262"/>
      <c r="B1451" s="262"/>
      <c r="C1451" s="262"/>
      <c r="D1451" s="262"/>
      <c r="E1451" s="260"/>
      <c r="F1451" s="132"/>
      <c r="G1451" s="140"/>
      <c r="H1451" s="131"/>
      <c r="I1451" s="131"/>
      <c r="J1451" s="131"/>
      <c r="K1451" s="131"/>
      <c r="L1451" s="131"/>
      <c r="M1451" s="131"/>
      <c r="N1451" s="131"/>
      <c r="O1451" s="131"/>
      <c r="P1451" s="131"/>
      <c r="Q1451" s="131"/>
      <c r="R1451" s="131"/>
      <c r="S1451" s="131"/>
      <c r="T1451" s="131"/>
      <c r="U1451" s="131"/>
      <c r="V1451" s="131"/>
      <c r="W1451" s="131"/>
      <c r="X1451" s="131"/>
      <c r="Y1451" s="131"/>
      <c r="Z1451" s="131"/>
    </row>
    <row r="1452">
      <c r="A1452" s="262"/>
      <c r="B1452" s="262"/>
      <c r="C1452" s="262"/>
      <c r="D1452" s="262"/>
      <c r="E1452" s="260"/>
      <c r="F1452" s="132"/>
      <c r="G1452" s="140"/>
      <c r="H1452" s="131"/>
      <c r="I1452" s="131"/>
      <c r="J1452" s="131"/>
      <c r="K1452" s="131"/>
      <c r="L1452" s="131"/>
      <c r="M1452" s="131"/>
      <c r="N1452" s="131"/>
      <c r="O1452" s="131"/>
      <c r="P1452" s="131"/>
      <c r="Q1452" s="131"/>
      <c r="R1452" s="131"/>
      <c r="S1452" s="131"/>
      <c r="T1452" s="131"/>
      <c r="U1452" s="131"/>
      <c r="V1452" s="131"/>
      <c r="W1452" s="131"/>
      <c r="X1452" s="131"/>
      <c r="Y1452" s="131"/>
      <c r="Z1452" s="131"/>
    </row>
    <row r="1453">
      <c r="A1453" s="262"/>
      <c r="B1453" s="262"/>
      <c r="C1453" s="262"/>
      <c r="D1453" s="262"/>
      <c r="E1453" s="260"/>
      <c r="F1453" s="132"/>
      <c r="G1453" s="140"/>
      <c r="H1453" s="131"/>
      <c r="I1453" s="131"/>
      <c r="J1453" s="131"/>
      <c r="K1453" s="131"/>
      <c r="L1453" s="131"/>
      <c r="M1453" s="131"/>
      <c r="N1453" s="131"/>
      <c r="O1453" s="131"/>
      <c r="P1453" s="131"/>
      <c r="Q1453" s="131"/>
      <c r="R1453" s="131"/>
      <c r="S1453" s="131"/>
      <c r="T1453" s="131"/>
      <c r="U1453" s="131"/>
      <c r="V1453" s="131"/>
      <c r="W1453" s="131"/>
      <c r="X1453" s="131"/>
      <c r="Y1453" s="131"/>
      <c r="Z1453" s="131"/>
    </row>
    <row r="1454">
      <c r="A1454" s="262"/>
      <c r="B1454" s="262"/>
      <c r="C1454" s="262"/>
      <c r="D1454" s="262"/>
      <c r="E1454" s="260"/>
      <c r="F1454" s="132"/>
      <c r="G1454" s="140"/>
      <c r="H1454" s="131"/>
      <c r="I1454" s="131"/>
      <c r="J1454" s="131"/>
      <c r="K1454" s="131"/>
      <c r="L1454" s="131"/>
      <c r="M1454" s="131"/>
      <c r="N1454" s="131"/>
      <c r="O1454" s="131"/>
      <c r="P1454" s="131"/>
      <c r="Q1454" s="131"/>
      <c r="R1454" s="131"/>
      <c r="S1454" s="131"/>
      <c r="T1454" s="131"/>
      <c r="U1454" s="131"/>
      <c r="V1454" s="131"/>
      <c r="W1454" s="131"/>
      <c r="X1454" s="131"/>
      <c r="Y1454" s="131"/>
      <c r="Z1454" s="131"/>
    </row>
    <row r="1455">
      <c r="A1455" s="262"/>
      <c r="B1455" s="262"/>
      <c r="C1455" s="262"/>
      <c r="D1455" s="262"/>
      <c r="E1455" s="260"/>
      <c r="F1455" s="132"/>
      <c r="G1455" s="140"/>
      <c r="H1455" s="131"/>
      <c r="I1455" s="131"/>
      <c r="J1455" s="131"/>
      <c r="K1455" s="131"/>
      <c r="L1455" s="131"/>
      <c r="M1455" s="131"/>
      <c r="N1455" s="131"/>
      <c r="O1455" s="131"/>
      <c r="P1455" s="131"/>
      <c r="Q1455" s="131"/>
      <c r="R1455" s="131"/>
      <c r="S1455" s="131"/>
      <c r="T1455" s="131"/>
      <c r="U1455" s="131"/>
      <c r="V1455" s="131"/>
      <c r="W1455" s="131"/>
      <c r="X1455" s="131"/>
      <c r="Y1455" s="131"/>
      <c r="Z1455" s="131"/>
    </row>
    <row r="1456">
      <c r="A1456" s="262"/>
      <c r="B1456" s="262"/>
      <c r="C1456" s="262"/>
      <c r="D1456" s="262"/>
      <c r="E1456" s="260"/>
      <c r="F1456" s="132"/>
      <c r="G1456" s="140"/>
      <c r="H1456" s="131"/>
      <c r="I1456" s="131"/>
      <c r="J1456" s="131"/>
      <c r="K1456" s="131"/>
      <c r="L1456" s="131"/>
      <c r="M1456" s="131"/>
      <c r="N1456" s="131"/>
      <c r="O1456" s="131"/>
      <c r="P1456" s="131"/>
      <c r="Q1456" s="131"/>
      <c r="R1456" s="131"/>
      <c r="S1456" s="131"/>
      <c r="T1456" s="131"/>
      <c r="U1456" s="131"/>
      <c r="V1456" s="131"/>
      <c r="W1456" s="131"/>
      <c r="X1456" s="131"/>
      <c r="Y1456" s="131"/>
      <c r="Z1456" s="131"/>
    </row>
    <row r="1457">
      <c r="A1457" s="262"/>
      <c r="B1457" s="262"/>
      <c r="C1457" s="262"/>
      <c r="D1457" s="262"/>
      <c r="E1457" s="260"/>
      <c r="F1457" s="132"/>
      <c r="G1457" s="140"/>
      <c r="H1457" s="131"/>
      <c r="I1457" s="131"/>
      <c r="J1457" s="131"/>
      <c r="K1457" s="131"/>
      <c r="L1457" s="131"/>
      <c r="M1457" s="131"/>
      <c r="N1457" s="131"/>
      <c r="O1457" s="131"/>
      <c r="P1457" s="131"/>
      <c r="Q1457" s="131"/>
      <c r="R1457" s="131"/>
      <c r="S1457" s="131"/>
      <c r="T1457" s="131"/>
      <c r="U1457" s="131"/>
      <c r="V1457" s="131"/>
      <c r="W1457" s="131"/>
      <c r="X1457" s="131"/>
      <c r="Y1457" s="131"/>
      <c r="Z1457" s="131"/>
    </row>
    <row r="1458">
      <c r="A1458" s="262"/>
      <c r="B1458" s="262"/>
      <c r="C1458" s="262"/>
      <c r="D1458" s="262"/>
      <c r="E1458" s="260"/>
      <c r="F1458" s="132"/>
      <c r="G1458" s="140"/>
      <c r="H1458" s="131"/>
      <c r="I1458" s="131"/>
      <c r="J1458" s="131"/>
      <c r="K1458" s="131"/>
      <c r="L1458" s="131"/>
      <c r="M1458" s="131"/>
      <c r="N1458" s="131"/>
      <c r="O1458" s="131"/>
      <c r="P1458" s="131"/>
      <c r="Q1458" s="131"/>
      <c r="R1458" s="131"/>
      <c r="S1458" s="131"/>
      <c r="T1458" s="131"/>
      <c r="U1458" s="131"/>
      <c r="V1458" s="131"/>
      <c r="W1458" s="131"/>
      <c r="X1458" s="131"/>
      <c r="Y1458" s="131"/>
      <c r="Z1458" s="131"/>
    </row>
    <row r="1459">
      <c r="A1459" s="262"/>
      <c r="B1459" s="262"/>
      <c r="C1459" s="262"/>
      <c r="D1459" s="262"/>
      <c r="E1459" s="260"/>
      <c r="F1459" s="132"/>
      <c r="G1459" s="140"/>
      <c r="H1459" s="131"/>
      <c r="I1459" s="131"/>
      <c r="J1459" s="131"/>
      <c r="K1459" s="131"/>
      <c r="L1459" s="131"/>
      <c r="M1459" s="131"/>
      <c r="N1459" s="131"/>
      <c r="O1459" s="131"/>
      <c r="P1459" s="131"/>
      <c r="Q1459" s="131"/>
      <c r="R1459" s="131"/>
      <c r="S1459" s="131"/>
      <c r="T1459" s="131"/>
      <c r="U1459" s="131"/>
      <c r="V1459" s="131"/>
      <c r="W1459" s="131"/>
      <c r="X1459" s="131"/>
      <c r="Y1459" s="131"/>
      <c r="Z1459" s="131"/>
    </row>
    <row r="1460">
      <c r="A1460" s="262"/>
      <c r="B1460" s="262"/>
      <c r="C1460" s="262"/>
      <c r="D1460" s="262"/>
      <c r="E1460" s="260"/>
      <c r="F1460" s="132"/>
      <c r="G1460" s="140"/>
      <c r="H1460" s="131"/>
      <c r="I1460" s="131"/>
      <c r="J1460" s="131"/>
      <c r="K1460" s="131"/>
      <c r="L1460" s="131"/>
      <c r="M1460" s="131"/>
      <c r="N1460" s="131"/>
      <c r="O1460" s="131"/>
      <c r="P1460" s="131"/>
      <c r="Q1460" s="131"/>
      <c r="R1460" s="131"/>
      <c r="S1460" s="131"/>
      <c r="T1460" s="131"/>
      <c r="U1460" s="131"/>
      <c r="V1460" s="131"/>
      <c r="W1460" s="131"/>
      <c r="X1460" s="131"/>
      <c r="Y1460" s="131"/>
      <c r="Z1460" s="131"/>
    </row>
    <row r="1461">
      <c r="A1461" s="262"/>
      <c r="B1461" s="262"/>
      <c r="C1461" s="262"/>
      <c r="D1461" s="262"/>
      <c r="E1461" s="260"/>
      <c r="F1461" s="132"/>
      <c r="G1461" s="140"/>
      <c r="H1461" s="131"/>
      <c r="I1461" s="131"/>
      <c r="J1461" s="131"/>
      <c r="K1461" s="131"/>
      <c r="L1461" s="131"/>
      <c r="M1461" s="131"/>
      <c r="N1461" s="131"/>
      <c r="O1461" s="131"/>
      <c r="P1461" s="131"/>
      <c r="Q1461" s="131"/>
      <c r="R1461" s="131"/>
      <c r="S1461" s="131"/>
      <c r="T1461" s="131"/>
      <c r="U1461" s="131"/>
      <c r="V1461" s="131"/>
      <c r="W1461" s="131"/>
      <c r="X1461" s="131"/>
      <c r="Y1461" s="131"/>
      <c r="Z1461" s="131"/>
    </row>
    <row r="1462">
      <c r="A1462" s="262"/>
      <c r="B1462" s="262"/>
      <c r="C1462" s="262"/>
      <c r="D1462" s="262"/>
      <c r="E1462" s="260"/>
      <c r="F1462" s="132"/>
      <c r="G1462" s="140"/>
      <c r="H1462" s="131"/>
      <c r="I1462" s="131"/>
      <c r="J1462" s="131"/>
      <c r="K1462" s="131"/>
      <c r="L1462" s="131"/>
      <c r="M1462" s="131"/>
      <c r="N1462" s="131"/>
      <c r="O1462" s="131"/>
      <c r="P1462" s="131"/>
      <c r="Q1462" s="131"/>
      <c r="R1462" s="131"/>
      <c r="S1462" s="131"/>
      <c r="T1462" s="131"/>
      <c r="U1462" s="131"/>
      <c r="V1462" s="131"/>
      <c r="W1462" s="131"/>
      <c r="X1462" s="131"/>
      <c r="Y1462" s="131"/>
      <c r="Z1462" s="131"/>
    </row>
    <row r="1463">
      <c r="A1463" s="262"/>
      <c r="B1463" s="262"/>
      <c r="C1463" s="262"/>
      <c r="D1463" s="262"/>
      <c r="E1463" s="260"/>
      <c r="F1463" s="132"/>
      <c r="G1463" s="140"/>
      <c r="H1463" s="131"/>
      <c r="I1463" s="131"/>
      <c r="J1463" s="131"/>
      <c r="K1463" s="131"/>
      <c r="L1463" s="131"/>
      <c r="M1463" s="131"/>
      <c r="N1463" s="131"/>
      <c r="O1463" s="131"/>
      <c r="P1463" s="131"/>
      <c r="Q1463" s="131"/>
      <c r="R1463" s="131"/>
      <c r="S1463" s="131"/>
      <c r="T1463" s="131"/>
      <c r="U1463" s="131"/>
      <c r="V1463" s="131"/>
      <c r="W1463" s="131"/>
      <c r="X1463" s="131"/>
      <c r="Y1463" s="131"/>
      <c r="Z1463" s="131"/>
    </row>
    <row r="1464">
      <c r="A1464" s="262"/>
      <c r="B1464" s="262"/>
      <c r="C1464" s="262"/>
      <c r="D1464" s="262"/>
      <c r="E1464" s="260"/>
      <c r="F1464" s="132"/>
      <c r="G1464" s="140"/>
      <c r="H1464" s="131"/>
      <c r="I1464" s="131"/>
      <c r="J1464" s="131"/>
      <c r="K1464" s="131"/>
      <c r="L1464" s="131"/>
      <c r="M1464" s="131"/>
      <c r="N1464" s="131"/>
      <c r="O1464" s="131"/>
      <c r="P1464" s="131"/>
      <c r="Q1464" s="131"/>
      <c r="R1464" s="131"/>
      <c r="S1464" s="131"/>
      <c r="T1464" s="131"/>
      <c r="U1464" s="131"/>
      <c r="V1464" s="131"/>
      <c r="W1464" s="131"/>
      <c r="X1464" s="131"/>
      <c r="Y1464" s="131"/>
      <c r="Z1464" s="131"/>
    </row>
    <row r="1465">
      <c r="A1465" s="262"/>
      <c r="B1465" s="262"/>
      <c r="C1465" s="262"/>
      <c r="D1465" s="262"/>
      <c r="E1465" s="260"/>
      <c r="F1465" s="132"/>
      <c r="G1465" s="140"/>
      <c r="H1465" s="131"/>
      <c r="I1465" s="131"/>
      <c r="J1465" s="131"/>
      <c r="K1465" s="131"/>
      <c r="L1465" s="131"/>
      <c r="M1465" s="131"/>
      <c r="N1465" s="131"/>
      <c r="O1465" s="131"/>
      <c r="P1465" s="131"/>
      <c r="Q1465" s="131"/>
      <c r="R1465" s="131"/>
      <c r="S1465" s="131"/>
      <c r="T1465" s="131"/>
      <c r="U1465" s="131"/>
      <c r="V1465" s="131"/>
      <c r="W1465" s="131"/>
      <c r="X1465" s="131"/>
      <c r="Y1465" s="131"/>
      <c r="Z1465" s="131"/>
    </row>
    <row r="1466">
      <c r="A1466" s="262"/>
      <c r="B1466" s="262"/>
      <c r="C1466" s="262"/>
      <c r="D1466" s="262"/>
      <c r="E1466" s="260"/>
      <c r="F1466" s="132"/>
      <c r="G1466" s="140"/>
      <c r="H1466" s="131"/>
      <c r="I1466" s="131"/>
      <c r="J1466" s="131"/>
      <c r="K1466" s="131"/>
      <c r="L1466" s="131"/>
      <c r="M1466" s="131"/>
      <c r="N1466" s="131"/>
      <c r="O1466" s="131"/>
      <c r="P1466" s="131"/>
      <c r="Q1466" s="131"/>
      <c r="R1466" s="131"/>
      <c r="S1466" s="131"/>
      <c r="T1466" s="131"/>
      <c r="U1466" s="131"/>
      <c r="V1466" s="131"/>
      <c r="W1466" s="131"/>
      <c r="X1466" s="131"/>
      <c r="Y1466" s="131"/>
      <c r="Z1466" s="131"/>
    </row>
    <row r="1467">
      <c r="A1467" s="262"/>
      <c r="B1467" s="262"/>
      <c r="C1467" s="262"/>
      <c r="D1467" s="262"/>
      <c r="E1467" s="260"/>
      <c r="F1467" s="132"/>
      <c r="G1467" s="140"/>
      <c r="H1467" s="131"/>
      <c r="I1467" s="131"/>
      <c r="J1467" s="131"/>
      <c r="K1467" s="131"/>
      <c r="L1467" s="131"/>
      <c r="M1467" s="131"/>
      <c r="N1467" s="131"/>
      <c r="O1467" s="131"/>
      <c r="P1467" s="131"/>
      <c r="Q1467" s="131"/>
      <c r="R1467" s="131"/>
      <c r="S1467" s="131"/>
      <c r="T1467" s="131"/>
      <c r="U1467" s="131"/>
      <c r="V1467" s="131"/>
      <c r="W1467" s="131"/>
      <c r="X1467" s="131"/>
      <c r="Y1467" s="131"/>
      <c r="Z1467" s="131"/>
    </row>
    <row r="1468">
      <c r="A1468" s="262"/>
      <c r="B1468" s="262"/>
      <c r="C1468" s="262"/>
      <c r="D1468" s="262"/>
      <c r="E1468" s="260"/>
      <c r="F1468" s="132"/>
      <c r="G1468" s="140"/>
      <c r="H1468" s="131"/>
      <c r="I1468" s="131"/>
      <c r="J1468" s="131"/>
      <c r="K1468" s="131"/>
      <c r="L1468" s="131"/>
      <c r="M1468" s="131"/>
      <c r="N1468" s="131"/>
      <c r="O1468" s="131"/>
      <c r="P1468" s="131"/>
      <c r="Q1468" s="131"/>
      <c r="R1468" s="131"/>
      <c r="S1468" s="131"/>
      <c r="T1468" s="131"/>
      <c r="U1468" s="131"/>
      <c r="V1468" s="131"/>
      <c r="W1468" s="131"/>
      <c r="X1468" s="131"/>
      <c r="Y1468" s="131"/>
      <c r="Z1468" s="131"/>
    </row>
    <row r="1469">
      <c r="A1469" s="262"/>
      <c r="B1469" s="262"/>
      <c r="C1469" s="262"/>
      <c r="D1469" s="262"/>
      <c r="E1469" s="260"/>
      <c r="F1469" s="132"/>
      <c r="G1469" s="140"/>
      <c r="H1469" s="131"/>
      <c r="I1469" s="131"/>
      <c r="J1469" s="131"/>
      <c r="K1469" s="131"/>
      <c r="L1469" s="131"/>
      <c r="M1469" s="131"/>
      <c r="N1469" s="131"/>
      <c r="O1469" s="131"/>
      <c r="P1469" s="131"/>
      <c r="Q1469" s="131"/>
      <c r="R1469" s="131"/>
      <c r="S1469" s="131"/>
      <c r="T1469" s="131"/>
      <c r="U1469" s="131"/>
      <c r="V1469" s="131"/>
      <c r="W1469" s="131"/>
      <c r="X1469" s="131"/>
      <c r="Y1469" s="131"/>
      <c r="Z1469" s="131"/>
    </row>
    <row r="1470">
      <c r="A1470" s="262"/>
      <c r="B1470" s="262"/>
      <c r="C1470" s="262"/>
      <c r="D1470" s="262"/>
      <c r="E1470" s="260"/>
      <c r="F1470" s="132"/>
      <c r="G1470" s="140"/>
      <c r="H1470" s="131"/>
      <c r="I1470" s="131"/>
      <c r="J1470" s="131"/>
      <c r="K1470" s="131"/>
      <c r="L1470" s="131"/>
      <c r="M1470" s="131"/>
      <c r="N1470" s="131"/>
      <c r="O1470" s="131"/>
      <c r="P1470" s="131"/>
      <c r="Q1470" s="131"/>
      <c r="R1470" s="131"/>
      <c r="S1470" s="131"/>
      <c r="T1470" s="131"/>
      <c r="U1470" s="131"/>
      <c r="V1470" s="131"/>
      <c r="W1470" s="131"/>
      <c r="X1470" s="131"/>
      <c r="Y1470" s="131"/>
      <c r="Z1470" s="131"/>
    </row>
    <row r="1471">
      <c r="A1471" s="262"/>
      <c r="B1471" s="262"/>
      <c r="C1471" s="262"/>
      <c r="D1471" s="262"/>
      <c r="E1471" s="260"/>
      <c r="F1471" s="132"/>
      <c r="G1471" s="140"/>
      <c r="H1471" s="131"/>
      <c r="I1471" s="131"/>
      <c r="J1471" s="131"/>
      <c r="K1471" s="131"/>
      <c r="L1471" s="131"/>
      <c r="M1471" s="131"/>
      <c r="N1471" s="131"/>
      <c r="O1471" s="131"/>
      <c r="P1471" s="131"/>
      <c r="Q1471" s="131"/>
      <c r="R1471" s="131"/>
      <c r="S1471" s="131"/>
      <c r="T1471" s="131"/>
      <c r="U1471" s="131"/>
      <c r="V1471" s="131"/>
      <c r="W1471" s="131"/>
      <c r="X1471" s="131"/>
      <c r="Y1471" s="131"/>
      <c r="Z1471" s="131"/>
    </row>
    <row r="1472">
      <c r="A1472" s="262"/>
      <c r="B1472" s="262"/>
      <c r="C1472" s="262"/>
      <c r="D1472" s="262"/>
      <c r="E1472" s="260"/>
      <c r="F1472" s="132"/>
      <c r="G1472" s="140"/>
      <c r="H1472" s="131"/>
      <c r="I1472" s="131"/>
      <c r="J1472" s="131"/>
      <c r="K1472" s="131"/>
      <c r="L1472" s="131"/>
      <c r="M1472" s="131"/>
      <c r="N1472" s="131"/>
      <c r="O1472" s="131"/>
      <c r="P1472" s="131"/>
      <c r="Q1472" s="131"/>
      <c r="R1472" s="131"/>
      <c r="S1472" s="131"/>
      <c r="T1472" s="131"/>
      <c r="U1472" s="131"/>
      <c r="V1472" s="131"/>
      <c r="W1472" s="131"/>
      <c r="X1472" s="131"/>
      <c r="Y1472" s="131"/>
      <c r="Z1472" s="131"/>
    </row>
    <row r="1473">
      <c r="A1473" s="262"/>
      <c r="B1473" s="262"/>
      <c r="C1473" s="262"/>
      <c r="D1473" s="262"/>
      <c r="E1473" s="260"/>
      <c r="F1473" s="132"/>
      <c r="G1473" s="140"/>
      <c r="H1473" s="131"/>
      <c r="I1473" s="131"/>
      <c r="J1473" s="131"/>
      <c r="K1473" s="131"/>
      <c r="L1473" s="131"/>
      <c r="M1473" s="131"/>
      <c r="N1473" s="131"/>
      <c r="O1473" s="131"/>
      <c r="P1473" s="131"/>
      <c r="Q1473" s="131"/>
      <c r="R1473" s="131"/>
      <c r="S1473" s="131"/>
      <c r="T1473" s="131"/>
      <c r="U1473" s="131"/>
      <c r="V1473" s="131"/>
      <c r="W1473" s="131"/>
      <c r="X1473" s="131"/>
      <c r="Y1473" s="131"/>
      <c r="Z1473" s="131"/>
    </row>
    <row r="1474">
      <c r="A1474" s="262"/>
      <c r="B1474" s="262"/>
      <c r="C1474" s="262"/>
      <c r="D1474" s="262"/>
      <c r="E1474" s="260"/>
      <c r="F1474" s="132"/>
      <c r="G1474" s="140"/>
      <c r="H1474" s="131"/>
      <c r="I1474" s="131"/>
      <c r="J1474" s="131"/>
      <c r="K1474" s="131"/>
      <c r="L1474" s="131"/>
      <c r="M1474" s="131"/>
      <c r="N1474" s="131"/>
      <c r="O1474" s="131"/>
      <c r="P1474" s="131"/>
      <c r="Q1474" s="131"/>
      <c r="R1474" s="131"/>
      <c r="S1474" s="131"/>
      <c r="T1474" s="131"/>
      <c r="U1474" s="131"/>
      <c r="V1474" s="131"/>
      <c r="W1474" s="131"/>
      <c r="X1474" s="131"/>
      <c r="Y1474" s="131"/>
      <c r="Z1474" s="131"/>
    </row>
    <row r="1475">
      <c r="A1475" s="262"/>
      <c r="B1475" s="262"/>
      <c r="C1475" s="262"/>
      <c r="D1475" s="262"/>
      <c r="E1475" s="260"/>
      <c r="F1475" s="132"/>
      <c r="G1475" s="140"/>
      <c r="H1475" s="131"/>
      <c r="I1475" s="131"/>
      <c r="J1475" s="131"/>
      <c r="K1475" s="131"/>
      <c r="L1475" s="131"/>
      <c r="M1475" s="131"/>
      <c r="N1475" s="131"/>
      <c r="O1475" s="131"/>
      <c r="P1475" s="131"/>
      <c r="Q1475" s="131"/>
      <c r="R1475" s="131"/>
      <c r="S1475" s="131"/>
      <c r="T1475" s="131"/>
      <c r="U1475" s="131"/>
      <c r="V1475" s="131"/>
      <c r="W1475" s="131"/>
      <c r="X1475" s="131"/>
      <c r="Y1475" s="131"/>
      <c r="Z1475" s="131"/>
    </row>
    <row r="1476">
      <c r="A1476" s="262"/>
      <c r="B1476" s="262"/>
      <c r="C1476" s="262"/>
      <c r="D1476" s="262"/>
      <c r="E1476" s="260"/>
      <c r="F1476" s="132"/>
      <c r="G1476" s="140"/>
      <c r="H1476" s="131"/>
      <c r="I1476" s="131"/>
      <c r="J1476" s="131"/>
      <c r="K1476" s="131"/>
      <c r="L1476" s="131"/>
      <c r="M1476" s="131"/>
      <c r="N1476" s="131"/>
      <c r="O1476" s="131"/>
      <c r="P1476" s="131"/>
      <c r="Q1476" s="131"/>
      <c r="R1476" s="131"/>
      <c r="S1476" s="131"/>
      <c r="T1476" s="131"/>
      <c r="U1476" s="131"/>
      <c r="V1476" s="131"/>
      <c r="W1476" s="131"/>
      <c r="X1476" s="131"/>
      <c r="Y1476" s="131"/>
      <c r="Z1476" s="131"/>
    </row>
    <row r="1477">
      <c r="A1477" s="262"/>
      <c r="B1477" s="262"/>
      <c r="C1477" s="262"/>
      <c r="D1477" s="262"/>
      <c r="E1477" s="260"/>
      <c r="F1477" s="132"/>
      <c r="G1477" s="140"/>
      <c r="H1477" s="131"/>
      <c r="I1477" s="131"/>
      <c r="J1477" s="131"/>
      <c r="K1477" s="131"/>
      <c r="L1477" s="131"/>
      <c r="M1477" s="131"/>
      <c r="N1477" s="131"/>
      <c r="O1477" s="131"/>
      <c r="P1477" s="131"/>
      <c r="Q1477" s="131"/>
      <c r="R1477" s="131"/>
      <c r="S1477" s="131"/>
      <c r="T1477" s="131"/>
      <c r="U1477" s="131"/>
      <c r="V1477" s="131"/>
      <c r="W1477" s="131"/>
      <c r="X1477" s="131"/>
      <c r="Y1477" s="131"/>
      <c r="Z1477" s="131"/>
    </row>
    <row r="1478">
      <c r="A1478" s="262"/>
      <c r="B1478" s="262"/>
      <c r="C1478" s="262"/>
      <c r="D1478" s="262"/>
      <c r="E1478" s="260"/>
      <c r="F1478" s="132"/>
      <c r="G1478" s="140"/>
      <c r="H1478" s="131"/>
      <c r="I1478" s="131"/>
      <c r="J1478" s="131"/>
      <c r="K1478" s="131"/>
      <c r="L1478" s="131"/>
      <c r="M1478" s="131"/>
      <c r="N1478" s="131"/>
      <c r="O1478" s="131"/>
      <c r="P1478" s="131"/>
      <c r="Q1478" s="131"/>
      <c r="R1478" s="131"/>
      <c r="S1478" s="131"/>
      <c r="T1478" s="131"/>
      <c r="U1478" s="131"/>
      <c r="V1478" s="131"/>
      <c r="W1478" s="131"/>
      <c r="X1478" s="131"/>
      <c r="Y1478" s="131"/>
      <c r="Z1478" s="131"/>
    </row>
    <row r="1479">
      <c r="A1479" s="262"/>
      <c r="B1479" s="262"/>
      <c r="C1479" s="262"/>
      <c r="D1479" s="262"/>
      <c r="E1479" s="260"/>
      <c r="F1479" s="132"/>
      <c r="G1479" s="140"/>
      <c r="H1479" s="131"/>
      <c r="I1479" s="131"/>
      <c r="J1479" s="131"/>
      <c r="K1479" s="131"/>
      <c r="L1479" s="131"/>
      <c r="M1479" s="131"/>
      <c r="N1479" s="131"/>
      <c r="O1479" s="131"/>
      <c r="P1479" s="131"/>
      <c r="Q1479" s="131"/>
      <c r="R1479" s="131"/>
      <c r="S1479" s="131"/>
      <c r="T1479" s="131"/>
      <c r="U1479" s="131"/>
      <c r="V1479" s="131"/>
      <c r="W1479" s="131"/>
      <c r="X1479" s="131"/>
      <c r="Y1479" s="131"/>
      <c r="Z1479" s="131"/>
    </row>
    <row r="1480">
      <c r="A1480" s="262"/>
      <c r="B1480" s="262"/>
      <c r="C1480" s="262"/>
      <c r="D1480" s="262"/>
      <c r="E1480" s="260"/>
      <c r="F1480" s="132"/>
      <c r="G1480" s="140"/>
      <c r="H1480" s="131"/>
      <c r="I1480" s="131"/>
      <c r="J1480" s="131"/>
      <c r="K1480" s="131"/>
      <c r="L1480" s="131"/>
      <c r="M1480" s="131"/>
      <c r="N1480" s="131"/>
      <c r="O1480" s="131"/>
      <c r="P1480" s="131"/>
      <c r="Q1480" s="131"/>
      <c r="R1480" s="131"/>
      <c r="S1480" s="131"/>
      <c r="T1480" s="131"/>
      <c r="U1480" s="131"/>
      <c r="V1480" s="131"/>
      <c r="W1480" s="131"/>
      <c r="X1480" s="131"/>
      <c r="Y1480" s="131"/>
      <c r="Z1480" s="131"/>
    </row>
    <row r="1481">
      <c r="A1481" s="262"/>
      <c r="B1481" s="262"/>
      <c r="C1481" s="262"/>
      <c r="D1481" s="262"/>
      <c r="E1481" s="260"/>
      <c r="F1481" s="132"/>
      <c r="G1481" s="140"/>
      <c r="H1481" s="131"/>
      <c r="I1481" s="131"/>
      <c r="J1481" s="131"/>
      <c r="K1481" s="131"/>
      <c r="L1481" s="131"/>
      <c r="M1481" s="131"/>
      <c r="N1481" s="131"/>
      <c r="O1481" s="131"/>
      <c r="P1481" s="131"/>
      <c r="Q1481" s="131"/>
      <c r="R1481" s="131"/>
      <c r="S1481" s="131"/>
      <c r="T1481" s="131"/>
      <c r="U1481" s="131"/>
      <c r="V1481" s="131"/>
      <c r="W1481" s="131"/>
      <c r="X1481" s="131"/>
      <c r="Y1481" s="131"/>
      <c r="Z1481" s="131"/>
    </row>
    <row r="1482">
      <c r="A1482" s="262"/>
      <c r="B1482" s="262"/>
      <c r="C1482" s="262"/>
      <c r="D1482" s="262"/>
      <c r="E1482" s="260"/>
      <c r="F1482" s="132"/>
      <c r="G1482" s="140"/>
      <c r="H1482" s="131"/>
      <c r="I1482" s="131"/>
      <c r="J1482" s="131"/>
      <c r="K1482" s="131"/>
      <c r="L1482" s="131"/>
      <c r="M1482" s="131"/>
      <c r="N1482" s="131"/>
      <c r="O1482" s="131"/>
      <c r="P1482" s="131"/>
      <c r="Q1482" s="131"/>
      <c r="R1482" s="131"/>
      <c r="S1482" s="131"/>
      <c r="T1482" s="131"/>
      <c r="U1482" s="131"/>
      <c r="V1482" s="131"/>
      <c r="W1482" s="131"/>
      <c r="X1482" s="131"/>
      <c r="Y1482" s="131"/>
      <c r="Z1482" s="131"/>
    </row>
    <row r="1483">
      <c r="A1483" s="262"/>
      <c r="B1483" s="262"/>
      <c r="C1483" s="262"/>
      <c r="D1483" s="262"/>
      <c r="E1483" s="260"/>
      <c r="F1483" s="132"/>
      <c r="G1483" s="140"/>
      <c r="H1483" s="131"/>
      <c r="I1483" s="131"/>
      <c r="J1483" s="131"/>
      <c r="K1483" s="131"/>
      <c r="L1483" s="131"/>
      <c r="M1483" s="131"/>
      <c r="N1483" s="131"/>
      <c r="O1483" s="131"/>
      <c r="P1483" s="131"/>
      <c r="Q1483" s="131"/>
      <c r="R1483" s="131"/>
      <c r="S1483" s="131"/>
      <c r="T1483" s="131"/>
      <c r="U1483" s="131"/>
      <c r="V1483" s="131"/>
      <c r="W1483" s="131"/>
      <c r="X1483" s="131"/>
      <c r="Y1483" s="131"/>
      <c r="Z1483" s="131"/>
    </row>
    <row r="1484">
      <c r="A1484" s="262"/>
      <c r="B1484" s="262"/>
      <c r="C1484" s="262"/>
      <c r="D1484" s="262"/>
      <c r="E1484" s="260"/>
      <c r="F1484" s="132"/>
      <c r="G1484" s="140"/>
      <c r="H1484" s="131"/>
      <c r="I1484" s="131"/>
      <c r="J1484" s="131"/>
      <c r="K1484" s="131"/>
      <c r="L1484" s="131"/>
      <c r="M1484" s="131"/>
      <c r="N1484" s="131"/>
      <c r="O1484" s="131"/>
      <c r="P1484" s="131"/>
      <c r="Q1484" s="131"/>
      <c r="R1484" s="131"/>
      <c r="S1484" s="131"/>
      <c r="T1484" s="131"/>
      <c r="U1484" s="131"/>
      <c r="V1484" s="131"/>
      <c r="W1484" s="131"/>
      <c r="X1484" s="131"/>
      <c r="Y1484" s="131"/>
      <c r="Z1484" s="131"/>
    </row>
    <row r="1485">
      <c r="A1485" s="262"/>
      <c r="B1485" s="262"/>
      <c r="C1485" s="262"/>
      <c r="D1485" s="262"/>
      <c r="E1485" s="260"/>
      <c r="F1485" s="132"/>
      <c r="G1485" s="140"/>
      <c r="H1485" s="131"/>
      <c r="I1485" s="131"/>
      <c r="J1485" s="131"/>
      <c r="K1485" s="131"/>
      <c r="L1485" s="131"/>
      <c r="M1485" s="131"/>
      <c r="N1485" s="131"/>
      <c r="O1485" s="131"/>
      <c r="P1485" s="131"/>
      <c r="Q1485" s="131"/>
      <c r="R1485" s="131"/>
      <c r="S1485" s="131"/>
      <c r="T1485" s="131"/>
      <c r="U1485" s="131"/>
      <c r="V1485" s="131"/>
      <c r="W1485" s="131"/>
      <c r="X1485" s="131"/>
      <c r="Y1485" s="131"/>
      <c r="Z1485" s="131"/>
    </row>
    <row r="1486">
      <c r="A1486" s="262"/>
      <c r="B1486" s="262"/>
      <c r="C1486" s="262"/>
      <c r="D1486" s="262"/>
      <c r="E1486" s="260"/>
      <c r="F1486" s="132"/>
      <c r="G1486" s="140"/>
      <c r="H1486" s="131"/>
      <c r="I1486" s="131"/>
      <c r="J1486" s="131"/>
      <c r="K1486" s="131"/>
      <c r="L1486" s="131"/>
      <c r="M1486" s="131"/>
      <c r="N1486" s="131"/>
      <c r="O1486" s="131"/>
      <c r="P1486" s="131"/>
      <c r="Q1486" s="131"/>
      <c r="R1486" s="131"/>
      <c r="S1486" s="131"/>
      <c r="T1486" s="131"/>
      <c r="U1486" s="131"/>
      <c r="V1486" s="131"/>
      <c r="W1486" s="131"/>
      <c r="X1486" s="131"/>
      <c r="Y1486" s="131"/>
      <c r="Z1486" s="131"/>
    </row>
    <row r="1487">
      <c r="A1487" s="262"/>
      <c r="B1487" s="262"/>
      <c r="C1487" s="262"/>
      <c r="D1487" s="262"/>
      <c r="E1487" s="260"/>
      <c r="F1487" s="132"/>
      <c r="G1487" s="140"/>
      <c r="H1487" s="131"/>
      <c r="I1487" s="131"/>
      <c r="J1487" s="131"/>
      <c r="K1487" s="131"/>
      <c r="L1487" s="131"/>
      <c r="M1487" s="131"/>
      <c r="N1487" s="131"/>
      <c r="O1487" s="131"/>
      <c r="P1487" s="131"/>
      <c r="Q1487" s="131"/>
      <c r="R1487" s="131"/>
      <c r="S1487" s="131"/>
      <c r="T1487" s="131"/>
      <c r="U1487" s="131"/>
      <c r="V1487" s="131"/>
      <c r="W1487" s="131"/>
      <c r="X1487" s="131"/>
      <c r="Y1487" s="131"/>
      <c r="Z1487" s="131"/>
    </row>
    <row r="1488">
      <c r="A1488" s="262"/>
      <c r="B1488" s="262"/>
      <c r="C1488" s="262"/>
      <c r="D1488" s="262"/>
      <c r="E1488" s="260"/>
      <c r="F1488" s="132"/>
      <c r="G1488" s="140"/>
      <c r="H1488" s="131"/>
      <c r="I1488" s="131"/>
      <c r="J1488" s="131"/>
      <c r="K1488" s="131"/>
      <c r="L1488" s="131"/>
      <c r="M1488" s="131"/>
      <c r="N1488" s="131"/>
      <c r="O1488" s="131"/>
      <c r="P1488" s="131"/>
      <c r="Q1488" s="131"/>
      <c r="R1488" s="131"/>
      <c r="S1488" s="131"/>
      <c r="T1488" s="131"/>
      <c r="U1488" s="131"/>
      <c r="V1488" s="131"/>
      <c r="W1488" s="131"/>
      <c r="X1488" s="131"/>
      <c r="Y1488" s="131"/>
      <c r="Z1488" s="131"/>
    </row>
    <row r="1489">
      <c r="A1489" s="262"/>
      <c r="B1489" s="262"/>
      <c r="C1489" s="262"/>
      <c r="D1489" s="262"/>
      <c r="E1489" s="260"/>
      <c r="F1489" s="132"/>
      <c r="G1489" s="140"/>
      <c r="H1489" s="131"/>
      <c r="I1489" s="131"/>
      <c r="J1489" s="131"/>
      <c r="K1489" s="131"/>
      <c r="L1489" s="131"/>
      <c r="M1489" s="131"/>
      <c r="N1489" s="131"/>
      <c r="O1489" s="131"/>
      <c r="P1489" s="131"/>
      <c r="Q1489" s="131"/>
      <c r="R1489" s="131"/>
      <c r="S1489" s="131"/>
      <c r="T1489" s="131"/>
      <c r="U1489" s="131"/>
      <c r="V1489" s="131"/>
      <c r="W1489" s="131"/>
      <c r="X1489" s="131"/>
      <c r="Y1489" s="131"/>
      <c r="Z1489" s="131"/>
    </row>
    <row r="1490">
      <c r="A1490" s="262"/>
      <c r="B1490" s="262"/>
      <c r="C1490" s="262"/>
      <c r="D1490" s="262"/>
      <c r="E1490" s="260"/>
      <c r="F1490" s="132"/>
      <c r="G1490" s="140"/>
      <c r="H1490" s="131"/>
      <c r="I1490" s="131"/>
      <c r="J1490" s="131"/>
      <c r="K1490" s="131"/>
      <c r="L1490" s="131"/>
      <c r="M1490" s="131"/>
      <c r="N1490" s="131"/>
      <c r="O1490" s="131"/>
      <c r="P1490" s="131"/>
      <c r="Q1490" s="131"/>
      <c r="R1490" s="131"/>
      <c r="S1490" s="131"/>
      <c r="T1490" s="131"/>
      <c r="U1490" s="131"/>
      <c r="V1490" s="131"/>
      <c r="W1490" s="131"/>
      <c r="X1490" s="131"/>
      <c r="Y1490" s="131"/>
      <c r="Z1490" s="131"/>
    </row>
    <row r="1491">
      <c r="A1491" s="262"/>
      <c r="B1491" s="262"/>
      <c r="C1491" s="262"/>
      <c r="D1491" s="262"/>
      <c r="E1491" s="260"/>
      <c r="F1491" s="132"/>
      <c r="G1491" s="140"/>
      <c r="H1491" s="131"/>
      <c r="I1491" s="131"/>
      <c r="J1491" s="131"/>
      <c r="K1491" s="131"/>
      <c r="L1491" s="131"/>
      <c r="M1491" s="131"/>
      <c r="N1491" s="131"/>
      <c r="O1491" s="131"/>
      <c r="P1491" s="131"/>
      <c r="Q1491" s="131"/>
      <c r="R1491" s="131"/>
      <c r="S1491" s="131"/>
      <c r="T1491" s="131"/>
      <c r="U1491" s="131"/>
      <c r="V1491" s="131"/>
      <c r="W1491" s="131"/>
      <c r="X1491" s="131"/>
      <c r="Y1491" s="131"/>
      <c r="Z1491" s="131"/>
    </row>
    <row r="1492">
      <c r="A1492" s="262"/>
      <c r="B1492" s="262"/>
      <c r="C1492" s="262"/>
      <c r="D1492" s="262"/>
      <c r="E1492" s="260"/>
      <c r="F1492" s="132"/>
      <c r="G1492" s="140"/>
      <c r="H1492" s="131"/>
      <c r="I1492" s="131"/>
      <c r="J1492" s="131"/>
      <c r="K1492" s="131"/>
      <c r="L1492" s="131"/>
      <c r="M1492" s="131"/>
      <c r="N1492" s="131"/>
      <c r="O1492" s="131"/>
      <c r="P1492" s="131"/>
      <c r="Q1492" s="131"/>
      <c r="R1492" s="131"/>
      <c r="S1492" s="131"/>
      <c r="T1492" s="131"/>
      <c r="U1492" s="131"/>
      <c r="V1492" s="131"/>
      <c r="W1492" s="131"/>
      <c r="X1492" s="131"/>
      <c r="Y1492" s="131"/>
      <c r="Z1492" s="131"/>
    </row>
    <row r="1493">
      <c r="A1493" s="262"/>
      <c r="B1493" s="262"/>
      <c r="C1493" s="262"/>
      <c r="D1493" s="262"/>
      <c r="E1493" s="260"/>
      <c r="F1493" s="132"/>
      <c r="G1493" s="140"/>
      <c r="H1493" s="131"/>
      <c r="I1493" s="131"/>
      <c r="J1493" s="131"/>
      <c r="K1493" s="131"/>
      <c r="L1493" s="131"/>
      <c r="M1493" s="131"/>
      <c r="N1493" s="131"/>
      <c r="O1493" s="131"/>
      <c r="P1493" s="131"/>
      <c r="Q1493" s="131"/>
      <c r="R1493" s="131"/>
      <c r="S1493" s="131"/>
      <c r="T1493" s="131"/>
      <c r="U1493" s="131"/>
      <c r="V1493" s="131"/>
      <c r="W1493" s="131"/>
      <c r="X1493" s="131"/>
      <c r="Y1493" s="131"/>
      <c r="Z1493" s="131"/>
    </row>
    <row r="1494">
      <c r="A1494" s="262"/>
      <c r="B1494" s="262"/>
      <c r="C1494" s="262"/>
      <c r="D1494" s="262"/>
      <c r="E1494" s="260"/>
      <c r="F1494" s="132"/>
      <c r="G1494" s="140"/>
      <c r="H1494" s="131"/>
      <c r="I1494" s="131"/>
      <c r="J1494" s="131"/>
      <c r="K1494" s="131"/>
      <c r="L1494" s="131"/>
      <c r="M1494" s="131"/>
      <c r="N1494" s="131"/>
      <c r="O1494" s="131"/>
      <c r="P1494" s="131"/>
      <c r="Q1494" s="131"/>
      <c r="R1494" s="131"/>
      <c r="S1494" s="131"/>
      <c r="T1494" s="131"/>
      <c r="U1494" s="131"/>
      <c r="V1494" s="131"/>
      <c r="W1494" s="131"/>
      <c r="X1494" s="131"/>
      <c r="Y1494" s="131"/>
      <c r="Z1494" s="131"/>
    </row>
    <row r="1495">
      <c r="A1495" s="262"/>
      <c r="B1495" s="262"/>
      <c r="C1495" s="262"/>
      <c r="D1495" s="262"/>
      <c r="E1495" s="260"/>
      <c r="F1495" s="132"/>
      <c r="G1495" s="140"/>
      <c r="H1495" s="131"/>
      <c r="I1495" s="131"/>
      <c r="J1495" s="131"/>
      <c r="K1495" s="131"/>
      <c r="L1495" s="131"/>
      <c r="M1495" s="131"/>
      <c r="N1495" s="131"/>
      <c r="O1495" s="131"/>
      <c r="P1495" s="131"/>
      <c r="Q1495" s="131"/>
      <c r="R1495" s="131"/>
      <c r="S1495" s="131"/>
      <c r="T1495" s="131"/>
      <c r="U1495" s="131"/>
      <c r="V1495" s="131"/>
      <c r="W1495" s="131"/>
      <c r="X1495" s="131"/>
      <c r="Y1495" s="131"/>
      <c r="Z1495" s="131"/>
    </row>
    <row r="1496">
      <c r="A1496" s="262"/>
      <c r="B1496" s="262"/>
      <c r="C1496" s="262"/>
      <c r="D1496" s="262"/>
      <c r="E1496" s="260"/>
      <c r="F1496" s="132"/>
      <c r="G1496" s="140"/>
      <c r="H1496" s="131"/>
      <c r="I1496" s="131"/>
      <c r="J1496" s="131"/>
      <c r="K1496" s="131"/>
      <c r="L1496" s="131"/>
      <c r="M1496" s="131"/>
      <c r="N1496" s="131"/>
      <c r="O1496" s="131"/>
      <c r="P1496" s="131"/>
      <c r="Q1496" s="131"/>
      <c r="R1496" s="131"/>
      <c r="S1496" s="131"/>
      <c r="T1496" s="131"/>
      <c r="U1496" s="131"/>
      <c r="V1496" s="131"/>
      <c r="W1496" s="131"/>
      <c r="X1496" s="131"/>
      <c r="Y1496" s="131"/>
      <c r="Z1496" s="131"/>
    </row>
    <row r="1497">
      <c r="A1497" s="262"/>
      <c r="B1497" s="262"/>
      <c r="C1497" s="262"/>
      <c r="D1497" s="262"/>
      <c r="E1497" s="260"/>
      <c r="F1497" s="132"/>
      <c r="G1497" s="140"/>
      <c r="H1497" s="131"/>
      <c r="I1497" s="131"/>
      <c r="J1497" s="131"/>
      <c r="K1497" s="131"/>
      <c r="L1497" s="131"/>
      <c r="M1497" s="131"/>
      <c r="N1497" s="131"/>
      <c r="O1497" s="131"/>
      <c r="P1497" s="131"/>
      <c r="Q1497" s="131"/>
      <c r="R1497" s="131"/>
      <c r="S1497" s="131"/>
      <c r="T1497" s="131"/>
      <c r="U1497" s="131"/>
      <c r="V1497" s="131"/>
      <c r="W1497" s="131"/>
      <c r="X1497" s="131"/>
      <c r="Y1497" s="131"/>
      <c r="Z1497" s="131"/>
    </row>
    <row r="1498">
      <c r="A1498" s="262"/>
      <c r="B1498" s="262"/>
      <c r="C1498" s="262"/>
      <c r="D1498" s="262"/>
      <c r="E1498" s="260"/>
      <c r="F1498" s="132"/>
      <c r="G1498" s="140"/>
      <c r="H1498" s="131"/>
      <c r="I1498" s="131"/>
      <c r="J1498" s="131"/>
      <c r="K1498" s="131"/>
      <c r="L1498" s="131"/>
      <c r="M1498" s="131"/>
      <c r="N1498" s="131"/>
      <c r="O1498" s="131"/>
      <c r="P1498" s="131"/>
      <c r="Q1498" s="131"/>
      <c r="R1498" s="131"/>
      <c r="S1498" s="131"/>
      <c r="T1498" s="131"/>
      <c r="U1498" s="131"/>
      <c r="V1498" s="131"/>
      <c r="W1498" s="131"/>
      <c r="X1498" s="131"/>
      <c r="Y1498" s="131"/>
      <c r="Z1498" s="131"/>
    </row>
    <row r="1499">
      <c r="A1499" s="262"/>
      <c r="B1499" s="262"/>
      <c r="C1499" s="262"/>
      <c r="D1499" s="262"/>
      <c r="E1499" s="260"/>
      <c r="F1499" s="132"/>
      <c r="G1499" s="140"/>
      <c r="H1499" s="131"/>
      <c r="I1499" s="131"/>
      <c r="J1499" s="131"/>
      <c r="K1499" s="131"/>
      <c r="L1499" s="131"/>
      <c r="M1499" s="131"/>
      <c r="N1499" s="131"/>
      <c r="O1499" s="131"/>
      <c r="P1499" s="131"/>
      <c r="Q1499" s="131"/>
      <c r="R1499" s="131"/>
      <c r="S1499" s="131"/>
      <c r="T1499" s="131"/>
      <c r="U1499" s="131"/>
      <c r="V1499" s="131"/>
      <c r="W1499" s="131"/>
      <c r="X1499" s="131"/>
      <c r="Y1499" s="131"/>
      <c r="Z1499" s="131"/>
    </row>
    <row r="1500">
      <c r="A1500" s="262"/>
      <c r="B1500" s="262"/>
      <c r="C1500" s="262"/>
      <c r="D1500" s="262"/>
      <c r="E1500" s="260"/>
      <c r="F1500" s="132"/>
      <c r="G1500" s="140"/>
      <c r="H1500" s="131"/>
      <c r="I1500" s="131"/>
      <c r="J1500" s="131"/>
      <c r="K1500" s="131"/>
      <c r="L1500" s="131"/>
      <c r="M1500" s="131"/>
      <c r="N1500" s="131"/>
      <c r="O1500" s="131"/>
      <c r="P1500" s="131"/>
      <c r="Q1500" s="131"/>
      <c r="R1500" s="131"/>
      <c r="S1500" s="131"/>
      <c r="T1500" s="131"/>
      <c r="U1500" s="131"/>
      <c r="V1500" s="131"/>
      <c r="W1500" s="131"/>
      <c r="X1500" s="131"/>
      <c r="Y1500" s="131"/>
      <c r="Z1500" s="131"/>
    </row>
    <row r="1501">
      <c r="A1501" s="262"/>
      <c r="B1501" s="262"/>
      <c r="C1501" s="262"/>
      <c r="D1501" s="262"/>
      <c r="E1501" s="260"/>
      <c r="F1501" s="132"/>
      <c r="G1501" s="140"/>
      <c r="H1501" s="131"/>
      <c r="I1501" s="131"/>
      <c r="J1501" s="131"/>
      <c r="K1501" s="131"/>
      <c r="L1501" s="131"/>
      <c r="M1501" s="131"/>
      <c r="N1501" s="131"/>
      <c r="O1501" s="131"/>
      <c r="P1501" s="131"/>
      <c r="Q1501" s="131"/>
      <c r="R1501" s="131"/>
      <c r="S1501" s="131"/>
      <c r="T1501" s="131"/>
      <c r="U1501" s="131"/>
      <c r="V1501" s="131"/>
      <c r="W1501" s="131"/>
      <c r="X1501" s="131"/>
      <c r="Y1501" s="131"/>
      <c r="Z1501" s="131"/>
    </row>
    <row r="1502">
      <c r="A1502" s="262"/>
      <c r="B1502" s="262"/>
      <c r="C1502" s="262"/>
      <c r="D1502" s="262"/>
      <c r="E1502" s="260"/>
      <c r="F1502" s="132"/>
      <c r="G1502" s="140"/>
      <c r="H1502" s="131"/>
      <c r="I1502" s="131"/>
      <c r="J1502" s="131"/>
      <c r="K1502" s="131"/>
      <c r="L1502" s="131"/>
      <c r="M1502" s="131"/>
      <c r="N1502" s="131"/>
      <c r="O1502" s="131"/>
      <c r="P1502" s="131"/>
      <c r="Q1502" s="131"/>
      <c r="R1502" s="131"/>
      <c r="S1502" s="131"/>
      <c r="T1502" s="131"/>
      <c r="U1502" s="131"/>
      <c r="V1502" s="131"/>
      <c r="W1502" s="131"/>
      <c r="X1502" s="131"/>
      <c r="Y1502" s="131"/>
      <c r="Z1502" s="131"/>
    </row>
    <row r="1503">
      <c r="A1503" s="262"/>
      <c r="B1503" s="262"/>
      <c r="C1503" s="262"/>
      <c r="D1503" s="262"/>
      <c r="E1503" s="260"/>
      <c r="F1503" s="132"/>
      <c r="G1503" s="140"/>
      <c r="H1503" s="131"/>
      <c r="I1503" s="131"/>
      <c r="J1503" s="131"/>
      <c r="K1503" s="131"/>
      <c r="L1503" s="131"/>
      <c r="M1503" s="131"/>
      <c r="N1503" s="131"/>
      <c r="O1503" s="131"/>
      <c r="P1503" s="131"/>
      <c r="Q1503" s="131"/>
      <c r="R1503" s="131"/>
      <c r="S1503" s="131"/>
      <c r="T1503" s="131"/>
      <c r="U1503" s="131"/>
      <c r="V1503" s="131"/>
      <c r="W1503" s="131"/>
      <c r="X1503" s="131"/>
      <c r="Y1503" s="131"/>
      <c r="Z1503" s="131"/>
    </row>
    <row r="1504">
      <c r="A1504" s="262"/>
      <c r="B1504" s="262"/>
      <c r="C1504" s="262"/>
      <c r="D1504" s="262"/>
      <c r="E1504" s="260"/>
      <c r="F1504" s="132"/>
      <c r="G1504" s="140"/>
      <c r="H1504" s="131"/>
      <c r="I1504" s="131"/>
      <c r="J1504" s="131"/>
      <c r="K1504" s="131"/>
      <c r="L1504" s="131"/>
      <c r="M1504" s="131"/>
      <c r="N1504" s="131"/>
      <c r="O1504" s="131"/>
      <c r="P1504" s="131"/>
      <c r="Q1504" s="131"/>
      <c r="R1504" s="131"/>
      <c r="S1504" s="131"/>
      <c r="T1504" s="131"/>
      <c r="U1504" s="131"/>
      <c r="V1504" s="131"/>
      <c r="W1504" s="131"/>
      <c r="X1504" s="131"/>
      <c r="Y1504" s="131"/>
      <c r="Z1504" s="131"/>
    </row>
    <row r="1505">
      <c r="A1505" s="262"/>
      <c r="B1505" s="262"/>
      <c r="C1505" s="262"/>
      <c r="D1505" s="262"/>
      <c r="E1505" s="260"/>
      <c r="F1505" s="132"/>
      <c r="G1505" s="140"/>
      <c r="H1505" s="131"/>
      <c r="I1505" s="131"/>
      <c r="J1505" s="131"/>
      <c r="K1505" s="131"/>
      <c r="L1505" s="131"/>
      <c r="M1505" s="131"/>
      <c r="N1505" s="131"/>
      <c r="O1505" s="131"/>
      <c r="P1505" s="131"/>
      <c r="Q1505" s="131"/>
      <c r="R1505" s="131"/>
      <c r="S1505" s="131"/>
      <c r="T1505" s="131"/>
      <c r="U1505" s="131"/>
      <c r="V1505" s="131"/>
      <c r="W1505" s="131"/>
      <c r="X1505" s="131"/>
      <c r="Y1505" s="131"/>
      <c r="Z1505" s="131"/>
    </row>
    <row r="1506">
      <c r="A1506" s="262"/>
      <c r="B1506" s="262"/>
      <c r="C1506" s="262"/>
      <c r="D1506" s="262"/>
      <c r="E1506" s="260"/>
      <c r="F1506" s="132"/>
      <c r="G1506" s="140"/>
      <c r="H1506" s="131"/>
      <c r="I1506" s="131"/>
      <c r="J1506" s="131"/>
      <c r="K1506" s="131"/>
      <c r="L1506" s="131"/>
      <c r="M1506" s="131"/>
      <c r="N1506" s="131"/>
      <c r="O1506" s="131"/>
      <c r="P1506" s="131"/>
      <c r="Q1506" s="131"/>
      <c r="R1506" s="131"/>
      <c r="S1506" s="131"/>
      <c r="T1506" s="131"/>
      <c r="U1506" s="131"/>
      <c r="V1506" s="131"/>
      <c r="W1506" s="131"/>
      <c r="X1506" s="131"/>
      <c r="Y1506" s="131"/>
      <c r="Z1506" s="131"/>
    </row>
    <row r="1507">
      <c r="A1507" s="262"/>
      <c r="B1507" s="262"/>
      <c r="C1507" s="262"/>
      <c r="D1507" s="262"/>
      <c r="E1507" s="260"/>
      <c r="F1507" s="132"/>
      <c r="G1507" s="140"/>
      <c r="H1507" s="131"/>
      <c r="I1507" s="131"/>
      <c r="J1507" s="131"/>
      <c r="K1507" s="131"/>
      <c r="L1507" s="131"/>
      <c r="M1507" s="131"/>
      <c r="N1507" s="131"/>
      <c r="O1507" s="131"/>
      <c r="P1507" s="131"/>
      <c r="Q1507" s="131"/>
      <c r="R1507" s="131"/>
      <c r="S1507" s="131"/>
      <c r="T1507" s="131"/>
      <c r="U1507" s="131"/>
      <c r="V1507" s="131"/>
      <c r="W1507" s="131"/>
      <c r="X1507" s="131"/>
      <c r="Y1507" s="131"/>
      <c r="Z1507" s="131"/>
    </row>
    <row r="1508">
      <c r="A1508" s="262"/>
      <c r="B1508" s="262"/>
      <c r="C1508" s="262"/>
      <c r="D1508" s="262"/>
      <c r="E1508" s="260"/>
      <c r="F1508" s="132"/>
      <c r="G1508" s="140"/>
      <c r="H1508" s="131"/>
      <c r="I1508" s="131"/>
      <c r="J1508" s="131"/>
      <c r="K1508" s="131"/>
      <c r="L1508" s="131"/>
      <c r="M1508" s="131"/>
      <c r="N1508" s="131"/>
      <c r="O1508" s="131"/>
      <c r="P1508" s="131"/>
      <c r="Q1508" s="131"/>
      <c r="R1508" s="131"/>
      <c r="S1508" s="131"/>
      <c r="T1508" s="131"/>
      <c r="U1508" s="131"/>
      <c r="V1508" s="131"/>
      <c r="W1508" s="131"/>
      <c r="X1508" s="131"/>
      <c r="Y1508" s="131"/>
      <c r="Z1508" s="131"/>
    </row>
    <row r="1509">
      <c r="A1509" s="262"/>
      <c r="B1509" s="262"/>
      <c r="C1509" s="262"/>
      <c r="D1509" s="262"/>
      <c r="E1509" s="260"/>
      <c r="F1509" s="132"/>
      <c r="G1509" s="140"/>
      <c r="H1509" s="131"/>
      <c r="I1509" s="131"/>
      <c r="J1509" s="131"/>
      <c r="K1509" s="131"/>
      <c r="L1509" s="131"/>
      <c r="M1509" s="131"/>
      <c r="N1509" s="131"/>
      <c r="O1509" s="131"/>
      <c r="P1509" s="131"/>
      <c r="Q1509" s="131"/>
      <c r="R1509" s="131"/>
      <c r="S1509" s="131"/>
      <c r="T1509" s="131"/>
      <c r="U1509" s="131"/>
      <c r="V1509" s="131"/>
      <c r="W1509" s="131"/>
      <c r="X1509" s="131"/>
      <c r="Y1509" s="131"/>
      <c r="Z1509" s="131"/>
    </row>
    <row r="1510">
      <c r="A1510" s="262"/>
      <c r="B1510" s="262"/>
      <c r="C1510" s="262"/>
      <c r="D1510" s="262"/>
      <c r="E1510" s="260"/>
      <c r="F1510" s="132"/>
      <c r="G1510" s="140"/>
      <c r="H1510" s="131"/>
      <c r="I1510" s="131"/>
      <c r="J1510" s="131"/>
      <c r="K1510" s="131"/>
      <c r="L1510" s="131"/>
      <c r="M1510" s="131"/>
      <c r="N1510" s="131"/>
      <c r="O1510" s="131"/>
      <c r="P1510" s="131"/>
      <c r="Q1510" s="131"/>
      <c r="R1510" s="131"/>
      <c r="S1510" s="131"/>
      <c r="T1510" s="131"/>
      <c r="U1510" s="131"/>
      <c r="V1510" s="131"/>
      <c r="W1510" s="131"/>
      <c r="X1510" s="131"/>
      <c r="Y1510" s="131"/>
      <c r="Z1510" s="131"/>
    </row>
    <row r="1511">
      <c r="A1511" s="262"/>
      <c r="B1511" s="262"/>
      <c r="C1511" s="262"/>
      <c r="D1511" s="262"/>
      <c r="E1511" s="260"/>
      <c r="F1511" s="132"/>
      <c r="G1511" s="140"/>
      <c r="H1511" s="131"/>
      <c r="I1511" s="131"/>
      <c r="J1511" s="131"/>
      <c r="K1511" s="131"/>
      <c r="L1511" s="131"/>
      <c r="M1511" s="131"/>
      <c r="N1511" s="131"/>
      <c r="O1511" s="131"/>
      <c r="P1511" s="131"/>
      <c r="Q1511" s="131"/>
      <c r="R1511" s="131"/>
      <c r="S1511" s="131"/>
      <c r="T1511" s="131"/>
      <c r="U1511" s="131"/>
      <c r="V1511" s="131"/>
      <c r="W1511" s="131"/>
      <c r="X1511" s="131"/>
      <c r="Y1511" s="131"/>
      <c r="Z1511" s="131"/>
    </row>
    <row r="1512">
      <c r="A1512" s="262"/>
      <c r="B1512" s="262"/>
      <c r="C1512" s="262"/>
      <c r="D1512" s="262"/>
      <c r="E1512" s="260"/>
      <c r="F1512" s="132"/>
      <c r="G1512" s="140"/>
      <c r="H1512" s="131"/>
      <c r="I1512" s="131"/>
      <c r="J1512" s="131"/>
      <c r="K1512" s="131"/>
      <c r="L1512" s="131"/>
      <c r="M1512" s="131"/>
      <c r="N1512" s="131"/>
      <c r="O1512" s="131"/>
      <c r="P1512" s="131"/>
      <c r="Q1512" s="131"/>
      <c r="R1512" s="131"/>
      <c r="S1512" s="131"/>
      <c r="T1512" s="131"/>
      <c r="U1512" s="131"/>
      <c r="V1512" s="131"/>
      <c r="W1512" s="131"/>
      <c r="X1512" s="131"/>
      <c r="Y1512" s="131"/>
      <c r="Z1512" s="131"/>
    </row>
    <row r="1513">
      <c r="A1513" s="262"/>
      <c r="B1513" s="262"/>
      <c r="C1513" s="262"/>
      <c r="D1513" s="262"/>
      <c r="E1513" s="260"/>
      <c r="F1513" s="132"/>
      <c r="G1513" s="140"/>
      <c r="H1513" s="131"/>
      <c r="I1513" s="131"/>
      <c r="J1513" s="131"/>
      <c r="K1513" s="131"/>
      <c r="L1513" s="131"/>
      <c r="M1513" s="131"/>
      <c r="N1513" s="131"/>
      <c r="O1513" s="131"/>
      <c r="P1513" s="131"/>
      <c r="Q1513" s="131"/>
      <c r="R1513" s="131"/>
      <c r="S1513" s="131"/>
      <c r="T1513" s="131"/>
      <c r="U1513" s="131"/>
      <c r="V1513" s="131"/>
      <c r="W1513" s="131"/>
      <c r="X1513" s="131"/>
      <c r="Y1513" s="131"/>
      <c r="Z1513" s="131"/>
    </row>
    <row r="1514">
      <c r="A1514" s="262"/>
      <c r="B1514" s="262"/>
      <c r="C1514" s="262"/>
      <c r="D1514" s="262"/>
      <c r="E1514" s="260"/>
      <c r="F1514" s="132"/>
      <c r="G1514" s="140"/>
      <c r="H1514" s="131"/>
      <c r="I1514" s="131"/>
      <c r="J1514" s="131"/>
      <c r="K1514" s="131"/>
      <c r="L1514" s="131"/>
      <c r="M1514" s="131"/>
      <c r="N1514" s="131"/>
      <c r="O1514" s="131"/>
      <c r="P1514" s="131"/>
      <c r="Q1514" s="131"/>
      <c r="R1514" s="131"/>
      <c r="S1514" s="131"/>
      <c r="T1514" s="131"/>
      <c r="U1514" s="131"/>
      <c r="V1514" s="131"/>
      <c r="W1514" s="131"/>
      <c r="X1514" s="131"/>
      <c r="Y1514" s="131"/>
      <c r="Z1514" s="131"/>
    </row>
    <row r="1515">
      <c r="A1515" s="262"/>
      <c r="B1515" s="262"/>
      <c r="C1515" s="262"/>
      <c r="D1515" s="262"/>
      <c r="E1515" s="260"/>
      <c r="F1515" s="132"/>
      <c r="G1515" s="140"/>
      <c r="H1515" s="131"/>
      <c r="I1515" s="131"/>
      <c r="J1515" s="131"/>
      <c r="K1515" s="131"/>
      <c r="L1515" s="131"/>
      <c r="M1515" s="131"/>
      <c r="N1515" s="131"/>
      <c r="O1515" s="131"/>
      <c r="P1515" s="131"/>
      <c r="Q1515" s="131"/>
      <c r="R1515" s="131"/>
      <c r="S1515" s="131"/>
      <c r="T1515" s="131"/>
      <c r="U1515" s="131"/>
      <c r="V1515" s="131"/>
      <c r="W1515" s="131"/>
      <c r="X1515" s="131"/>
      <c r="Y1515" s="131"/>
      <c r="Z1515" s="131"/>
    </row>
    <row r="1516">
      <c r="A1516" s="262"/>
      <c r="B1516" s="262"/>
      <c r="C1516" s="262"/>
      <c r="D1516" s="262"/>
      <c r="E1516" s="260"/>
      <c r="F1516" s="132"/>
      <c r="G1516" s="140"/>
      <c r="H1516" s="131"/>
      <c r="I1516" s="131"/>
      <c r="J1516" s="131"/>
      <c r="K1516" s="131"/>
      <c r="L1516" s="131"/>
      <c r="M1516" s="131"/>
      <c r="N1516" s="131"/>
      <c r="O1516" s="131"/>
      <c r="P1516" s="131"/>
      <c r="Q1516" s="131"/>
      <c r="R1516" s="131"/>
      <c r="S1516" s="131"/>
      <c r="T1516" s="131"/>
      <c r="U1516" s="131"/>
      <c r="V1516" s="131"/>
      <c r="W1516" s="131"/>
      <c r="X1516" s="131"/>
      <c r="Y1516" s="131"/>
      <c r="Z1516" s="131"/>
    </row>
    <row r="1517">
      <c r="A1517" s="262"/>
      <c r="B1517" s="262"/>
      <c r="C1517" s="262"/>
      <c r="D1517" s="262"/>
      <c r="E1517" s="260"/>
      <c r="F1517" s="132"/>
      <c r="G1517" s="140"/>
      <c r="H1517" s="131"/>
      <c r="I1517" s="131"/>
      <c r="J1517" s="131"/>
      <c r="K1517" s="131"/>
      <c r="L1517" s="131"/>
      <c r="M1517" s="131"/>
      <c r="N1517" s="131"/>
      <c r="O1517" s="131"/>
      <c r="P1517" s="131"/>
      <c r="Q1517" s="131"/>
      <c r="R1517" s="131"/>
      <c r="S1517" s="131"/>
      <c r="T1517" s="131"/>
      <c r="U1517" s="131"/>
      <c r="V1517" s="131"/>
      <c r="W1517" s="131"/>
      <c r="X1517" s="131"/>
      <c r="Y1517" s="131"/>
      <c r="Z1517" s="131"/>
    </row>
    <row r="1518">
      <c r="A1518" s="262"/>
      <c r="B1518" s="262"/>
      <c r="C1518" s="262"/>
      <c r="D1518" s="262"/>
      <c r="E1518" s="260"/>
      <c r="F1518" s="132"/>
      <c r="G1518" s="140"/>
      <c r="H1518" s="131"/>
      <c r="I1518" s="131"/>
      <c r="J1518" s="131"/>
      <c r="K1518" s="131"/>
      <c r="L1518" s="131"/>
      <c r="M1518" s="131"/>
      <c r="N1518" s="131"/>
      <c r="O1518" s="131"/>
      <c r="P1518" s="131"/>
      <c r="Q1518" s="131"/>
      <c r="R1518" s="131"/>
      <c r="S1518" s="131"/>
      <c r="T1518" s="131"/>
      <c r="U1518" s="131"/>
      <c r="V1518" s="131"/>
      <c r="W1518" s="131"/>
      <c r="X1518" s="131"/>
      <c r="Y1518" s="131"/>
      <c r="Z1518" s="131"/>
    </row>
    <row r="1519">
      <c r="A1519" s="262"/>
      <c r="B1519" s="262"/>
      <c r="C1519" s="262"/>
      <c r="D1519" s="262"/>
      <c r="E1519" s="260"/>
      <c r="F1519" s="132"/>
      <c r="G1519" s="140"/>
      <c r="H1519" s="131"/>
      <c r="I1519" s="131"/>
      <c r="J1519" s="131"/>
      <c r="K1519" s="131"/>
      <c r="L1519" s="131"/>
      <c r="M1519" s="131"/>
      <c r="N1519" s="131"/>
      <c r="O1519" s="131"/>
      <c r="P1519" s="131"/>
      <c r="Q1519" s="131"/>
      <c r="R1519" s="131"/>
      <c r="S1519" s="131"/>
      <c r="T1519" s="131"/>
      <c r="U1519" s="131"/>
      <c r="V1519" s="131"/>
      <c r="W1519" s="131"/>
      <c r="X1519" s="131"/>
      <c r="Y1519" s="131"/>
      <c r="Z1519" s="131"/>
    </row>
    <row r="1520">
      <c r="A1520" s="262"/>
      <c r="B1520" s="262"/>
      <c r="C1520" s="262"/>
      <c r="D1520" s="262"/>
      <c r="E1520" s="260"/>
      <c r="F1520" s="132"/>
      <c r="G1520" s="140"/>
      <c r="H1520" s="131"/>
      <c r="I1520" s="131"/>
      <c r="J1520" s="131"/>
      <c r="K1520" s="131"/>
      <c r="L1520" s="131"/>
      <c r="M1520" s="131"/>
      <c r="N1520" s="131"/>
      <c r="O1520" s="131"/>
      <c r="P1520" s="131"/>
      <c r="Q1520" s="131"/>
      <c r="R1520" s="131"/>
      <c r="S1520" s="131"/>
      <c r="T1520" s="131"/>
      <c r="U1520" s="131"/>
      <c r="V1520" s="131"/>
      <c r="W1520" s="131"/>
      <c r="X1520" s="131"/>
      <c r="Y1520" s="131"/>
      <c r="Z1520" s="131"/>
    </row>
    <row r="1521">
      <c r="A1521" s="262"/>
      <c r="B1521" s="262"/>
      <c r="C1521" s="262"/>
      <c r="D1521" s="262"/>
      <c r="E1521" s="260"/>
      <c r="F1521" s="132"/>
      <c r="G1521" s="140"/>
      <c r="H1521" s="131"/>
      <c r="I1521" s="131"/>
      <c r="J1521" s="131"/>
      <c r="K1521" s="131"/>
      <c r="L1521" s="131"/>
      <c r="M1521" s="131"/>
      <c r="N1521" s="131"/>
      <c r="O1521" s="131"/>
      <c r="P1521" s="131"/>
      <c r="Q1521" s="131"/>
      <c r="R1521" s="131"/>
      <c r="S1521" s="131"/>
      <c r="T1521" s="131"/>
      <c r="U1521" s="131"/>
      <c r="V1521" s="131"/>
      <c r="W1521" s="131"/>
      <c r="X1521" s="131"/>
      <c r="Y1521" s="131"/>
      <c r="Z1521" s="131"/>
    </row>
    <row r="1522">
      <c r="A1522" s="262"/>
      <c r="B1522" s="262"/>
      <c r="C1522" s="262"/>
      <c r="D1522" s="262"/>
      <c r="E1522" s="260"/>
      <c r="F1522" s="132"/>
      <c r="G1522" s="140"/>
      <c r="H1522" s="131"/>
      <c r="I1522" s="131"/>
      <c r="J1522" s="131"/>
      <c r="K1522" s="131"/>
      <c r="L1522" s="131"/>
      <c r="M1522" s="131"/>
      <c r="N1522" s="131"/>
      <c r="O1522" s="131"/>
      <c r="P1522" s="131"/>
      <c r="Q1522" s="131"/>
      <c r="R1522" s="131"/>
      <c r="S1522" s="131"/>
      <c r="T1522" s="131"/>
      <c r="U1522" s="131"/>
      <c r="V1522" s="131"/>
      <c r="W1522" s="131"/>
      <c r="X1522" s="131"/>
      <c r="Y1522" s="131"/>
      <c r="Z1522" s="131"/>
    </row>
    <row r="1523">
      <c r="A1523" s="262"/>
      <c r="B1523" s="262"/>
      <c r="C1523" s="262"/>
      <c r="D1523" s="262"/>
      <c r="E1523" s="260"/>
      <c r="F1523" s="132"/>
      <c r="G1523" s="140"/>
      <c r="H1523" s="131"/>
      <c r="I1523" s="131"/>
      <c r="J1523" s="131"/>
      <c r="K1523" s="131"/>
      <c r="L1523" s="131"/>
      <c r="M1523" s="131"/>
      <c r="N1523" s="131"/>
      <c r="O1523" s="131"/>
      <c r="P1523" s="131"/>
      <c r="Q1523" s="131"/>
      <c r="R1523" s="131"/>
      <c r="S1523" s="131"/>
      <c r="T1523" s="131"/>
      <c r="U1523" s="131"/>
      <c r="V1523" s="131"/>
      <c r="W1523" s="131"/>
      <c r="X1523" s="131"/>
      <c r="Y1523" s="131"/>
      <c r="Z1523" s="131"/>
    </row>
    <row r="1524">
      <c r="A1524" s="262"/>
      <c r="B1524" s="262"/>
      <c r="C1524" s="262"/>
      <c r="D1524" s="262"/>
      <c r="E1524" s="260"/>
      <c r="F1524" s="132"/>
      <c r="G1524" s="140"/>
      <c r="H1524" s="131"/>
      <c r="I1524" s="131"/>
      <c r="J1524" s="131"/>
      <c r="K1524" s="131"/>
      <c r="L1524" s="131"/>
      <c r="M1524" s="131"/>
      <c r="N1524" s="131"/>
      <c r="O1524" s="131"/>
      <c r="P1524" s="131"/>
      <c r="Q1524" s="131"/>
      <c r="R1524" s="131"/>
      <c r="S1524" s="131"/>
      <c r="T1524" s="131"/>
      <c r="U1524" s="131"/>
      <c r="V1524" s="131"/>
      <c r="W1524" s="131"/>
      <c r="X1524" s="131"/>
      <c r="Y1524" s="131"/>
      <c r="Z1524" s="131"/>
    </row>
    <row r="1525">
      <c r="A1525" s="262"/>
      <c r="B1525" s="262"/>
      <c r="C1525" s="262"/>
      <c r="D1525" s="262"/>
      <c r="E1525" s="260"/>
      <c r="F1525" s="132"/>
      <c r="G1525" s="140"/>
      <c r="H1525" s="131"/>
      <c r="I1525" s="131"/>
      <c r="J1525" s="131"/>
      <c r="K1525" s="131"/>
      <c r="L1525" s="131"/>
      <c r="M1525" s="131"/>
      <c r="N1525" s="131"/>
      <c r="O1525" s="131"/>
      <c r="P1525" s="131"/>
      <c r="Q1525" s="131"/>
      <c r="R1525" s="131"/>
      <c r="S1525" s="131"/>
      <c r="T1525" s="131"/>
      <c r="U1525" s="131"/>
      <c r="V1525" s="131"/>
      <c r="W1525" s="131"/>
      <c r="X1525" s="131"/>
      <c r="Y1525" s="131"/>
      <c r="Z1525" s="131"/>
    </row>
    <row r="1526">
      <c r="A1526" s="262"/>
      <c r="B1526" s="262"/>
      <c r="C1526" s="262"/>
      <c r="D1526" s="262"/>
      <c r="E1526" s="260"/>
      <c r="F1526" s="132"/>
      <c r="G1526" s="140"/>
      <c r="H1526" s="131"/>
      <c r="I1526" s="131"/>
      <c r="J1526" s="131"/>
      <c r="K1526" s="131"/>
      <c r="L1526" s="131"/>
      <c r="M1526" s="131"/>
      <c r="N1526" s="131"/>
      <c r="O1526" s="131"/>
      <c r="P1526" s="131"/>
      <c r="Q1526" s="131"/>
      <c r="R1526" s="131"/>
      <c r="S1526" s="131"/>
      <c r="T1526" s="131"/>
      <c r="U1526" s="131"/>
      <c r="V1526" s="131"/>
      <c r="W1526" s="131"/>
      <c r="X1526" s="131"/>
      <c r="Y1526" s="131"/>
      <c r="Z1526" s="131"/>
    </row>
    <row r="1527">
      <c r="A1527" s="262"/>
      <c r="B1527" s="262"/>
      <c r="C1527" s="262"/>
      <c r="D1527" s="262"/>
      <c r="E1527" s="260"/>
      <c r="F1527" s="132"/>
      <c r="G1527" s="140"/>
      <c r="H1527" s="131"/>
      <c r="I1527" s="131"/>
      <c r="J1527" s="131"/>
      <c r="K1527" s="131"/>
      <c r="L1527" s="131"/>
      <c r="M1527" s="131"/>
      <c r="N1527" s="131"/>
      <c r="O1527" s="131"/>
      <c r="P1527" s="131"/>
      <c r="Q1527" s="131"/>
      <c r="R1527" s="131"/>
      <c r="S1527" s="131"/>
      <c r="T1527" s="131"/>
      <c r="U1527" s="131"/>
      <c r="V1527" s="131"/>
      <c r="W1527" s="131"/>
      <c r="X1527" s="131"/>
      <c r="Y1527" s="131"/>
      <c r="Z1527" s="131"/>
    </row>
    <row r="1528">
      <c r="A1528" s="262"/>
      <c r="B1528" s="262"/>
      <c r="C1528" s="262"/>
      <c r="D1528" s="262"/>
      <c r="E1528" s="260"/>
      <c r="F1528" s="132"/>
      <c r="G1528" s="140"/>
      <c r="H1528" s="131"/>
      <c r="I1528" s="131"/>
      <c r="J1528" s="131"/>
      <c r="K1528" s="131"/>
      <c r="L1528" s="131"/>
      <c r="M1528" s="131"/>
      <c r="N1528" s="131"/>
      <c r="O1528" s="131"/>
      <c r="P1528" s="131"/>
      <c r="Q1528" s="131"/>
      <c r="R1528" s="131"/>
      <c r="S1528" s="131"/>
      <c r="T1528" s="131"/>
      <c r="U1528" s="131"/>
      <c r="V1528" s="131"/>
      <c r="W1528" s="131"/>
      <c r="X1528" s="131"/>
      <c r="Y1528" s="131"/>
      <c r="Z1528" s="131"/>
    </row>
    <row r="1529">
      <c r="A1529" s="262"/>
      <c r="B1529" s="262"/>
      <c r="C1529" s="262"/>
      <c r="D1529" s="262"/>
      <c r="E1529" s="260"/>
      <c r="F1529" s="132"/>
      <c r="G1529" s="140"/>
      <c r="H1529" s="131"/>
      <c r="I1529" s="131"/>
      <c r="J1529" s="131"/>
      <c r="K1529" s="131"/>
      <c r="L1529" s="131"/>
      <c r="M1529" s="131"/>
      <c r="N1529" s="131"/>
      <c r="O1529" s="131"/>
      <c r="P1529" s="131"/>
      <c r="Q1529" s="131"/>
      <c r="R1529" s="131"/>
      <c r="S1529" s="131"/>
      <c r="T1529" s="131"/>
      <c r="U1529" s="131"/>
      <c r="V1529" s="131"/>
      <c r="W1529" s="131"/>
      <c r="X1529" s="131"/>
      <c r="Y1529" s="131"/>
      <c r="Z1529" s="131"/>
    </row>
    <row r="1530">
      <c r="A1530" s="262"/>
      <c r="B1530" s="262"/>
      <c r="C1530" s="262"/>
      <c r="D1530" s="262"/>
      <c r="E1530" s="260"/>
      <c r="F1530" s="132"/>
      <c r="G1530" s="140"/>
      <c r="H1530" s="131"/>
      <c r="I1530" s="131"/>
      <c r="J1530" s="131"/>
      <c r="K1530" s="131"/>
      <c r="L1530" s="131"/>
      <c r="M1530" s="131"/>
      <c r="N1530" s="131"/>
      <c r="O1530" s="131"/>
      <c r="P1530" s="131"/>
      <c r="Q1530" s="131"/>
      <c r="R1530" s="131"/>
      <c r="S1530" s="131"/>
      <c r="T1530" s="131"/>
      <c r="U1530" s="131"/>
      <c r="V1530" s="131"/>
      <c r="W1530" s="131"/>
      <c r="X1530" s="131"/>
      <c r="Y1530" s="131"/>
      <c r="Z1530" s="131"/>
    </row>
    <row r="1531">
      <c r="A1531" s="262"/>
      <c r="B1531" s="262"/>
      <c r="C1531" s="262"/>
      <c r="D1531" s="262"/>
      <c r="E1531" s="260"/>
      <c r="F1531" s="132"/>
      <c r="G1531" s="140"/>
      <c r="H1531" s="131"/>
      <c r="I1531" s="131"/>
      <c r="J1531" s="131"/>
      <c r="K1531" s="131"/>
      <c r="L1531" s="131"/>
      <c r="M1531" s="131"/>
      <c r="N1531" s="131"/>
      <c r="O1531" s="131"/>
      <c r="P1531" s="131"/>
      <c r="Q1531" s="131"/>
      <c r="R1531" s="131"/>
      <c r="S1531" s="131"/>
      <c r="T1531" s="131"/>
      <c r="U1531" s="131"/>
      <c r="V1531" s="131"/>
      <c r="W1531" s="131"/>
      <c r="X1531" s="131"/>
      <c r="Y1531" s="131"/>
      <c r="Z1531" s="131"/>
    </row>
    <row r="1532">
      <c r="A1532" s="262"/>
      <c r="B1532" s="262"/>
      <c r="C1532" s="262"/>
      <c r="D1532" s="262"/>
      <c r="E1532" s="260"/>
      <c r="F1532" s="132"/>
      <c r="G1532" s="140"/>
      <c r="H1532" s="131"/>
      <c r="I1532" s="131"/>
      <c r="J1532" s="131"/>
      <c r="K1532" s="131"/>
      <c r="L1532" s="131"/>
      <c r="M1532" s="131"/>
      <c r="N1532" s="131"/>
      <c r="O1532" s="131"/>
      <c r="P1532" s="131"/>
      <c r="Q1532" s="131"/>
      <c r="R1532" s="131"/>
      <c r="S1532" s="131"/>
      <c r="T1532" s="131"/>
      <c r="U1532" s="131"/>
      <c r="V1532" s="131"/>
      <c r="W1532" s="131"/>
      <c r="X1532" s="131"/>
      <c r="Y1532" s="131"/>
      <c r="Z1532" s="131"/>
    </row>
    <row r="1533">
      <c r="A1533" s="262"/>
      <c r="B1533" s="262"/>
      <c r="C1533" s="262"/>
      <c r="D1533" s="262"/>
      <c r="E1533" s="260"/>
      <c r="F1533" s="132"/>
      <c r="G1533" s="140"/>
      <c r="H1533" s="131"/>
      <c r="I1533" s="131"/>
      <c r="J1533" s="131"/>
      <c r="K1533" s="131"/>
      <c r="L1533" s="131"/>
      <c r="M1533" s="131"/>
      <c r="N1533" s="131"/>
      <c r="O1533" s="131"/>
      <c r="P1533" s="131"/>
      <c r="Q1533" s="131"/>
      <c r="R1533" s="131"/>
      <c r="S1533" s="131"/>
      <c r="T1533" s="131"/>
      <c r="U1533" s="131"/>
      <c r="V1533" s="131"/>
      <c r="W1533" s="131"/>
      <c r="X1533" s="131"/>
      <c r="Y1533" s="131"/>
      <c r="Z1533" s="131"/>
    </row>
    <row r="1534">
      <c r="A1534" s="262"/>
      <c r="B1534" s="262"/>
      <c r="C1534" s="262"/>
      <c r="D1534" s="262"/>
      <c r="E1534" s="260"/>
      <c r="F1534" s="132"/>
      <c r="G1534" s="140"/>
      <c r="H1534" s="131"/>
      <c r="I1534" s="131"/>
      <c r="J1534" s="131"/>
      <c r="K1534" s="131"/>
      <c r="L1534" s="131"/>
      <c r="M1534" s="131"/>
      <c r="N1534" s="131"/>
      <c r="O1534" s="131"/>
      <c r="P1534" s="131"/>
      <c r="Q1534" s="131"/>
      <c r="R1534" s="131"/>
      <c r="S1534" s="131"/>
      <c r="T1534" s="131"/>
      <c r="U1534" s="131"/>
      <c r="V1534" s="131"/>
      <c r="W1534" s="131"/>
      <c r="X1534" s="131"/>
      <c r="Y1534" s="131"/>
      <c r="Z1534" s="131"/>
    </row>
    <row r="1535">
      <c r="A1535" s="262"/>
      <c r="B1535" s="262"/>
      <c r="C1535" s="262"/>
      <c r="D1535" s="262"/>
      <c r="E1535" s="260"/>
      <c r="F1535" s="132"/>
      <c r="G1535" s="140"/>
      <c r="H1535" s="131"/>
      <c r="I1535" s="131"/>
      <c r="J1535" s="131"/>
      <c r="K1535" s="131"/>
      <c r="L1535" s="131"/>
      <c r="M1535" s="131"/>
      <c r="N1535" s="131"/>
      <c r="O1535" s="131"/>
      <c r="P1535" s="131"/>
      <c r="Q1535" s="131"/>
      <c r="R1535" s="131"/>
      <c r="S1535" s="131"/>
      <c r="T1535" s="131"/>
      <c r="U1535" s="131"/>
      <c r="V1535" s="131"/>
      <c r="W1535" s="131"/>
      <c r="X1535" s="131"/>
      <c r="Y1535" s="131"/>
      <c r="Z1535" s="131"/>
    </row>
    <row r="1536">
      <c r="A1536" s="262"/>
      <c r="B1536" s="262"/>
      <c r="C1536" s="262"/>
      <c r="D1536" s="262"/>
      <c r="E1536" s="260"/>
      <c r="F1536" s="132"/>
      <c r="G1536" s="140"/>
      <c r="H1536" s="131"/>
      <c r="I1536" s="131"/>
      <c r="J1536" s="131"/>
      <c r="K1536" s="131"/>
      <c r="L1536" s="131"/>
      <c r="M1536" s="131"/>
      <c r="N1536" s="131"/>
      <c r="O1536" s="131"/>
      <c r="P1536" s="131"/>
      <c r="Q1536" s="131"/>
      <c r="R1536" s="131"/>
      <c r="S1536" s="131"/>
      <c r="T1536" s="131"/>
      <c r="U1536" s="131"/>
      <c r="V1536" s="131"/>
      <c r="W1536" s="131"/>
      <c r="X1536" s="131"/>
      <c r="Y1536" s="131"/>
      <c r="Z1536" s="131"/>
    </row>
    <row r="1537">
      <c r="A1537" s="262"/>
      <c r="B1537" s="262"/>
      <c r="C1537" s="262"/>
      <c r="D1537" s="262"/>
      <c r="E1537" s="260"/>
      <c r="F1537" s="132"/>
      <c r="G1537" s="140"/>
      <c r="H1537" s="131"/>
      <c r="I1537" s="131"/>
      <c r="J1537" s="131"/>
      <c r="K1537" s="131"/>
      <c r="L1537" s="131"/>
      <c r="M1537" s="131"/>
      <c r="N1537" s="131"/>
      <c r="O1537" s="131"/>
      <c r="P1537" s="131"/>
      <c r="Q1537" s="131"/>
      <c r="R1537" s="131"/>
      <c r="S1537" s="131"/>
      <c r="T1537" s="131"/>
      <c r="U1537" s="131"/>
      <c r="V1537" s="131"/>
      <c r="W1537" s="131"/>
      <c r="X1537" s="131"/>
      <c r="Y1537" s="131"/>
      <c r="Z1537" s="131"/>
    </row>
    <row r="1538">
      <c r="A1538" s="262"/>
      <c r="B1538" s="262"/>
      <c r="C1538" s="262"/>
      <c r="D1538" s="262"/>
      <c r="E1538" s="260"/>
      <c r="F1538" s="132"/>
      <c r="G1538" s="140"/>
      <c r="H1538" s="131"/>
      <c r="I1538" s="131"/>
      <c r="J1538" s="131"/>
      <c r="K1538" s="131"/>
      <c r="L1538" s="131"/>
      <c r="M1538" s="131"/>
      <c r="N1538" s="131"/>
      <c r="O1538" s="131"/>
      <c r="P1538" s="131"/>
      <c r="Q1538" s="131"/>
      <c r="R1538" s="131"/>
      <c r="S1538" s="131"/>
      <c r="T1538" s="131"/>
      <c r="U1538" s="131"/>
      <c r="V1538" s="131"/>
      <c r="W1538" s="131"/>
      <c r="X1538" s="131"/>
      <c r="Y1538" s="131"/>
      <c r="Z1538" s="131"/>
    </row>
    <row r="1539">
      <c r="A1539" s="262"/>
      <c r="B1539" s="262"/>
      <c r="C1539" s="262"/>
      <c r="D1539" s="262"/>
      <c r="E1539" s="260"/>
      <c r="F1539" s="132"/>
      <c r="G1539" s="140"/>
      <c r="H1539" s="131"/>
      <c r="I1539" s="131"/>
      <c r="J1539" s="131"/>
      <c r="K1539" s="131"/>
      <c r="L1539" s="131"/>
      <c r="M1539" s="131"/>
      <c r="N1539" s="131"/>
      <c r="O1539" s="131"/>
      <c r="P1539" s="131"/>
      <c r="Q1539" s="131"/>
      <c r="R1539" s="131"/>
      <c r="S1539" s="131"/>
      <c r="T1539" s="131"/>
      <c r="U1539" s="131"/>
      <c r="V1539" s="131"/>
      <c r="W1539" s="131"/>
      <c r="X1539" s="131"/>
      <c r="Y1539" s="131"/>
      <c r="Z1539" s="131"/>
    </row>
    <row r="1540">
      <c r="A1540" s="262"/>
      <c r="B1540" s="262"/>
      <c r="C1540" s="262"/>
      <c r="D1540" s="262"/>
      <c r="E1540" s="260"/>
      <c r="F1540" s="132"/>
      <c r="G1540" s="140"/>
      <c r="H1540" s="131"/>
      <c r="I1540" s="131"/>
      <c r="J1540" s="131"/>
      <c r="K1540" s="131"/>
      <c r="L1540" s="131"/>
      <c r="M1540" s="131"/>
      <c r="N1540" s="131"/>
      <c r="O1540" s="131"/>
      <c r="P1540" s="131"/>
      <c r="Q1540" s="131"/>
      <c r="R1540" s="131"/>
      <c r="S1540" s="131"/>
      <c r="T1540" s="131"/>
      <c r="U1540" s="131"/>
      <c r="V1540" s="131"/>
      <c r="W1540" s="131"/>
      <c r="X1540" s="131"/>
      <c r="Y1540" s="131"/>
      <c r="Z1540" s="131"/>
    </row>
    <row r="1541">
      <c r="A1541" s="262"/>
      <c r="B1541" s="262"/>
      <c r="C1541" s="262"/>
      <c r="D1541" s="262"/>
      <c r="E1541" s="260"/>
      <c r="F1541" s="132"/>
      <c r="G1541" s="140"/>
      <c r="H1541" s="131"/>
      <c r="I1541" s="131"/>
      <c r="J1541" s="131"/>
      <c r="K1541" s="131"/>
      <c r="L1541" s="131"/>
      <c r="M1541" s="131"/>
      <c r="N1541" s="131"/>
      <c r="O1541" s="131"/>
      <c r="P1541" s="131"/>
      <c r="Q1541" s="131"/>
      <c r="R1541" s="131"/>
      <c r="S1541" s="131"/>
      <c r="T1541" s="131"/>
      <c r="U1541" s="131"/>
      <c r="V1541" s="131"/>
      <c r="W1541" s="131"/>
      <c r="X1541" s="131"/>
      <c r="Y1541" s="131"/>
      <c r="Z1541" s="131"/>
    </row>
    <row r="1542">
      <c r="A1542" s="262"/>
      <c r="B1542" s="262"/>
      <c r="C1542" s="262"/>
      <c r="D1542" s="262"/>
      <c r="E1542" s="260"/>
      <c r="F1542" s="132"/>
      <c r="G1542" s="140"/>
      <c r="H1542" s="131"/>
      <c r="I1542" s="131"/>
      <c r="J1542" s="131"/>
      <c r="K1542" s="131"/>
      <c r="L1542" s="131"/>
      <c r="M1542" s="131"/>
      <c r="N1542" s="131"/>
      <c r="O1542" s="131"/>
      <c r="P1542" s="131"/>
      <c r="Q1542" s="131"/>
      <c r="R1542" s="131"/>
      <c r="S1542" s="131"/>
      <c r="T1542" s="131"/>
      <c r="U1542" s="131"/>
      <c r="V1542" s="131"/>
      <c r="W1542" s="131"/>
      <c r="X1542" s="131"/>
      <c r="Y1542" s="131"/>
      <c r="Z1542" s="131"/>
    </row>
    <row r="1543">
      <c r="A1543" s="262"/>
      <c r="B1543" s="262"/>
      <c r="C1543" s="262"/>
      <c r="D1543" s="262"/>
      <c r="E1543" s="260"/>
      <c r="F1543" s="132"/>
      <c r="G1543" s="140"/>
      <c r="H1543" s="131"/>
      <c r="I1543" s="131"/>
      <c r="J1543" s="131"/>
      <c r="K1543" s="131"/>
      <c r="L1543" s="131"/>
      <c r="M1543" s="131"/>
      <c r="N1543" s="131"/>
      <c r="O1543" s="131"/>
      <c r="P1543" s="131"/>
      <c r="Q1543" s="131"/>
      <c r="R1543" s="131"/>
      <c r="S1543" s="131"/>
      <c r="T1543" s="131"/>
      <c r="U1543" s="131"/>
      <c r="V1543" s="131"/>
      <c r="W1543" s="131"/>
      <c r="X1543" s="131"/>
      <c r="Y1543" s="131"/>
      <c r="Z1543" s="131"/>
    </row>
    <row r="1544">
      <c r="A1544" s="262"/>
      <c r="B1544" s="262"/>
      <c r="C1544" s="262"/>
      <c r="D1544" s="262"/>
      <c r="E1544" s="260"/>
      <c r="F1544" s="132"/>
      <c r="G1544" s="140"/>
      <c r="H1544" s="131"/>
      <c r="I1544" s="131"/>
      <c r="J1544" s="131"/>
      <c r="K1544" s="131"/>
      <c r="L1544" s="131"/>
      <c r="M1544" s="131"/>
      <c r="N1544" s="131"/>
      <c r="O1544" s="131"/>
      <c r="P1544" s="131"/>
      <c r="Q1544" s="131"/>
      <c r="R1544" s="131"/>
      <c r="S1544" s="131"/>
      <c r="T1544" s="131"/>
      <c r="U1544" s="131"/>
      <c r="V1544" s="131"/>
      <c r="W1544" s="131"/>
      <c r="X1544" s="131"/>
      <c r="Y1544" s="131"/>
      <c r="Z1544" s="131"/>
    </row>
    <row r="1545">
      <c r="A1545" s="262"/>
      <c r="B1545" s="262"/>
      <c r="C1545" s="262"/>
      <c r="D1545" s="262"/>
      <c r="E1545" s="260"/>
      <c r="F1545" s="132"/>
      <c r="G1545" s="140"/>
      <c r="H1545" s="131"/>
      <c r="I1545" s="131"/>
      <c r="J1545" s="131"/>
      <c r="K1545" s="131"/>
      <c r="L1545" s="131"/>
      <c r="M1545" s="131"/>
      <c r="N1545" s="131"/>
      <c r="O1545" s="131"/>
      <c r="P1545" s="131"/>
      <c r="Q1545" s="131"/>
      <c r="R1545" s="131"/>
      <c r="S1545" s="131"/>
      <c r="T1545" s="131"/>
      <c r="U1545" s="131"/>
      <c r="V1545" s="131"/>
      <c r="W1545" s="131"/>
      <c r="X1545" s="131"/>
      <c r="Y1545" s="131"/>
      <c r="Z1545" s="131"/>
    </row>
    <row r="1546">
      <c r="A1546" s="262"/>
      <c r="B1546" s="262"/>
      <c r="C1546" s="262"/>
      <c r="D1546" s="262"/>
      <c r="E1546" s="260"/>
      <c r="F1546" s="132"/>
      <c r="G1546" s="140"/>
      <c r="H1546" s="131"/>
      <c r="I1546" s="131"/>
      <c r="J1546" s="131"/>
      <c r="K1546" s="131"/>
      <c r="L1546" s="131"/>
      <c r="M1546" s="131"/>
      <c r="N1546" s="131"/>
      <c r="O1546" s="131"/>
      <c r="P1546" s="131"/>
      <c r="Q1546" s="131"/>
      <c r="R1546" s="131"/>
      <c r="S1546" s="131"/>
      <c r="T1546" s="131"/>
      <c r="U1546" s="131"/>
      <c r="V1546" s="131"/>
      <c r="W1546" s="131"/>
      <c r="X1546" s="131"/>
      <c r="Y1546" s="131"/>
      <c r="Z1546" s="131"/>
    </row>
    <row r="1547">
      <c r="A1547" s="262"/>
      <c r="B1547" s="262"/>
      <c r="C1547" s="262"/>
      <c r="D1547" s="262"/>
      <c r="E1547" s="260"/>
      <c r="F1547" s="132"/>
      <c r="G1547" s="140"/>
      <c r="H1547" s="131"/>
      <c r="I1547" s="131"/>
      <c r="J1547" s="131"/>
      <c r="K1547" s="131"/>
      <c r="L1547" s="131"/>
      <c r="M1547" s="131"/>
      <c r="N1547" s="131"/>
      <c r="O1547" s="131"/>
      <c r="P1547" s="131"/>
      <c r="Q1547" s="131"/>
      <c r="R1547" s="131"/>
      <c r="S1547" s="131"/>
      <c r="T1547" s="131"/>
      <c r="U1547" s="131"/>
      <c r="V1547" s="131"/>
      <c r="W1547" s="131"/>
      <c r="X1547" s="131"/>
      <c r="Y1547" s="131"/>
      <c r="Z1547" s="131"/>
    </row>
    <row r="1548">
      <c r="A1548" s="262"/>
      <c r="B1548" s="262"/>
      <c r="C1548" s="262"/>
      <c r="D1548" s="262"/>
      <c r="E1548" s="260"/>
      <c r="F1548" s="132"/>
      <c r="G1548" s="140"/>
      <c r="H1548" s="131"/>
      <c r="I1548" s="131"/>
      <c r="J1548" s="131"/>
      <c r="K1548" s="131"/>
      <c r="L1548" s="131"/>
      <c r="M1548" s="131"/>
      <c r="N1548" s="131"/>
      <c r="O1548" s="131"/>
      <c r="P1548" s="131"/>
      <c r="Q1548" s="131"/>
      <c r="R1548" s="131"/>
      <c r="S1548" s="131"/>
      <c r="T1548" s="131"/>
      <c r="U1548" s="131"/>
      <c r="V1548" s="131"/>
      <c r="W1548" s="131"/>
      <c r="X1548" s="131"/>
      <c r="Y1548" s="131"/>
      <c r="Z1548" s="131"/>
    </row>
    <row r="1549">
      <c r="A1549" s="262"/>
      <c r="B1549" s="262"/>
      <c r="C1549" s="262"/>
      <c r="D1549" s="262"/>
      <c r="E1549" s="260"/>
      <c r="F1549" s="132"/>
      <c r="G1549" s="140"/>
      <c r="H1549" s="131"/>
      <c r="I1549" s="131"/>
      <c r="J1549" s="131"/>
      <c r="K1549" s="131"/>
      <c r="L1549" s="131"/>
      <c r="M1549" s="131"/>
      <c r="N1549" s="131"/>
      <c r="O1549" s="131"/>
      <c r="P1549" s="131"/>
      <c r="Q1549" s="131"/>
      <c r="R1549" s="131"/>
      <c r="S1549" s="131"/>
      <c r="T1549" s="131"/>
      <c r="U1549" s="131"/>
      <c r="V1549" s="131"/>
      <c r="W1549" s="131"/>
      <c r="X1549" s="131"/>
      <c r="Y1549" s="131"/>
      <c r="Z1549" s="131"/>
    </row>
    <row r="1550">
      <c r="A1550" s="262"/>
      <c r="B1550" s="262"/>
      <c r="C1550" s="262"/>
      <c r="D1550" s="262"/>
      <c r="E1550" s="260"/>
      <c r="F1550" s="132"/>
      <c r="G1550" s="140"/>
      <c r="H1550" s="131"/>
      <c r="I1550" s="131"/>
      <c r="J1550" s="131"/>
      <c r="K1550" s="131"/>
      <c r="L1550" s="131"/>
      <c r="M1550" s="131"/>
      <c r="N1550" s="131"/>
      <c r="O1550" s="131"/>
      <c r="P1550" s="131"/>
      <c r="Q1550" s="131"/>
      <c r="R1550" s="131"/>
      <c r="S1550" s="131"/>
      <c r="T1550" s="131"/>
      <c r="U1550" s="131"/>
      <c r="V1550" s="131"/>
      <c r="W1550" s="131"/>
      <c r="X1550" s="131"/>
      <c r="Y1550" s="131"/>
      <c r="Z1550" s="131"/>
    </row>
    <row r="1551">
      <c r="A1551" s="262"/>
      <c r="B1551" s="262"/>
      <c r="C1551" s="262"/>
      <c r="D1551" s="262"/>
      <c r="E1551" s="260"/>
      <c r="F1551" s="132"/>
      <c r="G1551" s="140"/>
      <c r="H1551" s="131"/>
      <c r="I1551" s="131"/>
      <c r="J1551" s="131"/>
      <c r="K1551" s="131"/>
      <c r="L1551" s="131"/>
      <c r="M1551" s="131"/>
      <c r="N1551" s="131"/>
      <c r="O1551" s="131"/>
      <c r="P1551" s="131"/>
      <c r="Q1551" s="131"/>
      <c r="R1551" s="131"/>
      <c r="S1551" s="131"/>
      <c r="T1551" s="131"/>
      <c r="U1551" s="131"/>
      <c r="V1551" s="131"/>
      <c r="W1551" s="131"/>
      <c r="X1551" s="131"/>
      <c r="Y1551" s="131"/>
      <c r="Z1551" s="131"/>
    </row>
    <row r="1552">
      <c r="A1552" s="262"/>
      <c r="B1552" s="262"/>
      <c r="C1552" s="262"/>
      <c r="D1552" s="262"/>
      <c r="E1552" s="260"/>
      <c r="F1552" s="132"/>
      <c r="G1552" s="140"/>
      <c r="H1552" s="131"/>
      <c r="I1552" s="131"/>
      <c r="J1552" s="131"/>
      <c r="K1552" s="131"/>
      <c r="L1552" s="131"/>
      <c r="M1552" s="131"/>
      <c r="N1552" s="131"/>
      <c r="O1552" s="131"/>
      <c r="P1552" s="131"/>
      <c r="Q1552" s="131"/>
      <c r="R1552" s="131"/>
      <c r="S1552" s="131"/>
      <c r="T1552" s="131"/>
      <c r="U1552" s="131"/>
      <c r="V1552" s="131"/>
      <c r="W1552" s="131"/>
      <c r="X1552" s="131"/>
      <c r="Y1552" s="131"/>
      <c r="Z1552" s="131"/>
    </row>
    <row r="1553">
      <c r="A1553" s="262"/>
      <c r="B1553" s="262"/>
      <c r="C1553" s="262"/>
      <c r="D1553" s="262"/>
      <c r="E1553" s="260"/>
      <c r="F1553" s="132"/>
      <c r="G1553" s="140"/>
      <c r="H1553" s="131"/>
      <c r="I1553" s="131"/>
      <c r="J1553" s="131"/>
      <c r="K1553" s="131"/>
      <c r="L1553" s="131"/>
      <c r="M1553" s="131"/>
      <c r="N1553" s="131"/>
      <c r="O1553" s="131"/>
      <c r="P1553" s="131"/>
      <c r="Q1553" s="131"/>
      <c r="R1553" s="131"/>
      <c r="S1553" s="131"/>
      <c r="T1553" s="131"/>
      <c r="U1553" s="131"/>
      <c r="V1553" s="131"/>
      <c r="W1553" s="131"/>
      <c r="X1553" s="131"/>
      <c r="Y1553" s="131"/>
      <c r="Z1553" s="131"/>
    </row>
    <row r="1554">
      <c r="A1554" s="262"/>
      <c r="B1554" s="262"/>
      <c r="C1554" s="262"/>
      <c r="D1554" s="262"/>
      <c r="E1554" s="260"/>
      <c r="F1554" s="132"/>
      <c r="G1554" s="140"/>
      <c r="H1554" s="131"/>
      <c r="I1554" s="131"/>
      <c r="J1554" s="131"/>
      <c r="K1554" s="131"/>
      <c r="L1554" s="131"/>
      <c r="M1554" s="131"/>
      <c r="N1554" s="131"/>
      <c r="O1554" s="131"/>
      <c r="P1554" s="131"/>
      <c r="Q1554" s="131"/>
      <c r="R1554" s="131"/>
      <c r="S1554" s="131"/>
      <c r="T1554" s="131"/>
      <c r="U1554" s="131"/>
      <c r="V1554" s="131"/>
      <c r="W1554" s="131"/>
      <c r="X1554" s="131"/>
      <c r="Y1554" s="131"/>
      <c r="Z1554" s="131"/>
    </row>
    <row r="1555">
      <c r="A1555" s="262"/>
      <c r="B1555" s="262"/>
      <c r="C1555" s="262"/>
      <c r="D1555" s="262"/>
      <c r="E1555" s="260"/>
      <c r="F1555" s="132"/>
      <c r="G1555" s="140"/>
      <c r="H1555" s="131"/>
      <c r="I1555" s="131"/>
      <c r="J1555" s="131"/>
      <c r="K1555" s="131"/>
      <c r="L1555" s="131"/>
      <c r="M1555" s="131"/>
      <c r="N1555" s="131"/>
      <c r="O1555" s="131"/>
      <c r="P1555" s="131"/>
      <c r="Q1555" s="131"/>
      <c r="R1555" s="131"/>
      <c r="S1555" s="131"/>
      <c r="T1555" s="131"/>
      <c r="U1555" s="131"/>
      <c r="V1555" s="131"/>
      <c r="W1555" s="131"/>
      <c r="X1555" s="131"/>
      <c r="Y1555" s="131"/>
      <c r="Z1555" s="131"/>
    </row>
    <row r="1556">
      <c r="A1556" s="262"/>
      <c r="B1556" s="262"/>
      <c r="C1556" s="262"/>
      <c r="D1556" s="262"/>
      <c r="E1556" s="260"/>
      <c r="F1556" s="132"/>
      <c r="G1556" s="140"/>
      <c r="H1556" s="131"/>
      <c r="I1556" s="131"/>
      <c r="J1556" s="131"/>
      <c r="K1556" s="131"/>
      <c r="L1556" s="131"/>
      <c r="M1556" s="131"/>
      <c r="N1556" s="131"/>
      <c r="O1556" s="131"/>
      <c r="P1556" s="131"/>
      <c r="Q1556" s="131"/>
      <c r="R1556" s="131"/>
      <c r="S1556" s="131"/>
      <c r="T1556" s="131"/>
      <c r="U1556" s="131"/>
      <c r="V1556" s="131"/>
      <c r="W1556" s="131"/>
      <c r="X1556" s="131"/>
      <c r="Y1556" s="131"/>
      <c r="Z1556" s="131"/>
    </row>
    <row r="1557">
      <c r="A1557" s="262"/>
      <c r="B1557" s="262"/>
      <c r="C1557" s="262"/>
      <c r="D1557" s="262"/>
      <c r="E1557" s="260"/>
      <c r="F1557" s="132"/>
      <c r="G1557" s="140"/>
      <c r="H1557" s="131"/>
      <c r="I1557" s="131"/>
      <c r="J1557" s="131"/>
      <c r="K1557" s="131"/>
      <c r="L1557" s="131"/>
      <c r="M1557" s="131"/>
      <c r="N1557" s="131"/>
      <c r="O1557" s="131"/>
      <c r="P1557" s="131"/>
      <c r="Q1557" s="131"/>
      <c r="R1557" s="131"/>
      <c r="S1557" s="131"/>
      <c r="T1557" s="131"/>
      <c r="U1557" s="131"/>
      <c r="V1557" s="131"/>
      <c r="W1557" s="131"/>
      <c r="X1557" s="131"/>
      <c r="Y1557" s="131"/>
      <c r="Z1557" s="131"/>
    </row>
    <row r="1558">
      <c r="A1558" s="262"/>
      <c r="B1558" s="262"/>
      <c r="C1558" s="262"/>
      <c r="D1558" s="262"/>
      <c r="E1558" s="260"/>
      <c r="F1558" s="132"/>
      <c r="G1558" s="140"/>
      <c r="H1558" s="131"/>
      <c r="I1558" s="131"/>
      <c r="J1558" s="131"/>
      <c r="K1558" s="131"/>
      <c r="L1558" s="131"/>
      <c r="M1558" s="131"/>
      <c r="N1558" s="131"/>
      <c r="O1558" s="131"/>
      <c r="P1558" s="131"/>
      <c r="Q1558" s="131"/>
      <c r="R1558" s="131"/>
      <c r="S1558" s="131"/>
      <c r="T1558" s="131"/>
      <c r="U1558" s="131"/>
      <c r="V1558" s="131"/>
      <c r="W1558" s="131"/>
      <c r="X1558" s="131"/>
      <c r="Y1558" s="131"/>
      <c r="Z1558" s="131"/>
    </row>
    <row r="1559">
      <c r="A1559" s="262"/>
      <c r="B1559" s="262"/>
      <c r="C1559" s="262"/>
      <c r="D1559" s="262"/>
      <c r="E1559" s="260"/>
      <c r="F1559" s="132"/>
      <c r="G1559" s="140"/>
      <c r="H1559" s="131"/>
      <c r="I1559" s="131"/>
      <c r="J1559" s="131"/>
      <c r="K1559" s="131"/>
      <c r="L1559" s="131"/>
      <c r="M1559" s="131"/>
      <c r="N1559" s="131"/>
      <c r="O1559" s="131"/>
      <c r="P1559" s="131"/>
      <c r="Q1559" s="131"/>
      <c r="R1559" s="131"/>
      <c r="S1559" s="131"/>
      <c r="T1559" s="131"/>
      <c r="U1559" s="131"/>
      <c r="V1559" s="131"/>
      <c r="W1559" s="131"/>
      <c r="X1559" s="131"/>
      <c r="Y1559" s="131"/>
      <c r="Z1559" s="131"/>
    </row>
    <row r="1560">
      <c r="A1560" s="262"/>
      <c r="B1560" s="262"/>
      <c r="C1560" s="262"/>
      <c r="D1560" s="262"/>
      <c r="E1560" s="260"/>
      <c r="F1560" s="132"/>
      <c r="G1560" s="140"/>
      <c r="H1560" s="131"/>
      <c r="I1560" s="131"/>
      <c r="J1560" s="131"/>
      <c r="K1560" s="131"/>
      <c r="L1560" s="131"/>
      <c r="M1560" s="131"/>
      <c r="N1560" s="131"/>
      <c r="O1560" s="131"/>
      <c r="P1560" s="131"/>
      <c r="Q1560" s="131"/>
      <c r="R1560" s="131"/>
      <c r="S1560" s="131"/>
      <c r="T1560" s="131"/>
      <c r="U1560" s="131"/>
      <c r="V1560" s="131"/>
      <c r="W1560" s="131"/>
      <c r="X1560" s="131"/>
      <c r="Y1560" s="131"/>
      <c r="Z1560" s="131"/>
    </row>
    <row r="1561">
      <c r="A1561" s="262"/>
      <c r="B1561" s="262"/>
      <c r="C1561" s="262"/>
      <c r="D1561" s="262"/>
      <c r="E1561" s="260"/>
      <c r="F1561" s="132"/>
      <c r="G1561" s="140"/>
      <c r="H1561" s="131"/>
      <c r="I1561" s="131"/>
      <c r="J1561" s="131"/>
      <c r="K1561" s="131"/>
      <c r="L1561" s="131"/>
      <c r="M1561" s="131"/>
      <c r="N1561" s="131"/>
      <c r="O1561" s="131"/>
      <c r="P1561" s="131"/>
      <c r="Q1561" s="131"/>
      <c r="R1561" s="131"/>
      <c r="S1561" s="131"/>
      <c r="T1561" s="131"/>
      <c r="U1561" s="131"/>
      <c r="V1561" s="131"/>
      <c r="W1561" s="131"/>
      <c r="X1561" s="131"/>
      <c r="Y1561" s="131"/>
      <c r="Z1561" s="131"/>
    </row>
    <row r="1562">
      <c r="A1562" s="262"/>
      <c r="B1562" s="262"/>
      <c r="C1562" s="262"/>
      <c r="D1562" s="262"/>
      <c r="E1562" s="260"/>
      <c r="F1562" s="132"/>
      <c r="G1562" s="140"/>
      <c r="H1562" s="131"/>
      <c r="I1562" s="131"/>
      <c r="J1562" s="131"/>
      <c r="K1562" s="131"/>
      <c r="L1562" s="131"/>
      <c r="M1562" s="131"/>
      <c r="N1562" s="131"/>
      <c r="O1562" s="131"/>
      <c r="P1562" s="131"/>
      <c r="Q1562" s="131"/>
      <c r="R1562" s="131"/>
      <c r="S1562" s="131"/>
      <c r="T1562" s="131"/>
      <c r="U1562" s="131"/>
      <c r="V1562" s="131"/>
      <c r="W1562" s="131"/>
      <c r="X1562" s="131"/>
      <c r="Y1562" s="131"/>
      <c r="Z1562" s="131"/>
    </row>
    <row r="1563">
      <c r="A1563" s="262"/>
      <c r="B1563" s="262"/>
      <c r="C1563" s="262"/>
      <c r="D1563" s="262"/>
      <c r="E1563" s="260"/>
      <c r="F1563" s="132"/>
      <c r="G1563" s="140"/>
      <c r="H1563" s="131"/>
      <c r="I1563" s="131"/>
      <c r="J1563" s="131"/>
      <c r="K1563" s="131"/>
      <c r="L1563" s="131"/>
      <c r="M1563" s="131"/>
      <c r="N1563" s="131"/>
      <c r="O1563" s="131"/>
      <c r="P1563" s="131"/>
      <c r="Q1563" s="131"/>
      <c r="R1563" s="131"/>
      <c r="S1563" s="131"/>
      <c r="T1563" s="131"/>
      <c r="U1563" s="131"/>
      <c r="V1563" s="131"/>
      <c r="W1563" s="131"/>
      <c r="X1563" s="131"/>
      <c r="Y1563" s="131"/>
      <c r="Z1563" s="131"/>
    </row>
    <row r="1564">
      <c r="A1564" s="262"/>
      <c r="B1564" s="262"/>
      <c r="C1564" s="262"/>
      <c r="D1564" s="262"/>
      <c r="E1564" s="260"/>
      <c r="F1564" s="132"/>
      <c r="G1564" s="140"/>
      <c r="H1564" s="131"/>
      <c r="I1564" s="131"/>
      <c r="J1564" s="131"/>
      <c r="K1564" s="131"/>
      <c r="L1564" s="131"/>
      <c r="M1564" s="131"/>
      <c r="N1564" s="131"/>
      <c r="O1564" s="131"/>
      <c r="P1564" s="131"/>
      <c r="Q1564" s="131"/>
      <c r="R1564" s="131"/>
      <c r="S1564" s="131"/>
      <c r="T1564" s="131"/>
      <c r="U1564" s="131"/>
      <c r="V1564" s="131"/>
      <c r="W1564" s="131"/>
      <c r="X1564" s="131"/>
      <c r="Y1564" s="131"/>
      <c r="Z1564" s="131"/>
    </row>
    <row r="1565">
      <c r="A1565" s="262"/>
      <c r="B1565" s="262"/>
      <c r="C1565" s="262"/>
      <c r="D1565" s="262"/>
      <c r="E1565" s="260"/>
      <c r="F1565" s="132"/>
      <c r="G1565" s="140"/>
      <c r="H1565" s="131"/>
      <c r="I1565" s="131"/>
      <c r="J1565" s="131"/>
      <c r="K1565" s="131"/>
      <c r="L1565" s="131"/>
      <c r="M1565" s="131"/>
      <c r="N1565" s="131"/>
      <c r="O1565" s="131"/>
      <c r="P1565" s="131"/>
      <c r="Q1565" s="131"/>
      <c r="R1565" s="131"/>
      <c r="S1565" s="131"/>
      <c r="T1565" s="131"/>
      <c r="U1565" s="131"/>
      <c r="V1565" s="131"/>
      <c r="W1565" s="131"/>
      <c r="X1565" s="131"/>
      <c r="Y1565" s="131"/>
      <c r="Z1565" s="131"/>
    </row>
    <row r="1566">
      <c r="A1566" s="262"/>
      <c r="B1566" s="262"/>
      <c r="C1566" s="262"/>
      <c r="D1566" s="262"/>
      <c r="E1566" s="260"/>
      <c r="F1566" s="132"/>
      <c r="G1566" s="140"/>
      <c r="H1566" s="131"/>
      <c r="I1566" s="131"/>
      <c r="J1566" s="131"/>
      <c r="K1566" s="131"/>
      <c r="L1566" s="131"/>
      <c r="M1566" s="131"/>
      <c r="N1566" s="131"/>
      <c r="O1566" s="131"/>
      <c r="P1566" s="131"/>
      <c r="Q1566" s="131"/>
      <c r="R1566" s="131"/>
      <c r="S1566" s="131"/>
      <c r="T1566" s="131"/>
      <c r="U1566" s="131"/>
      <c r="V1566" s="131"/>
      <c r="W1566" s="131"/>
      <c r="X1566" s="131"/>
      <c r="Y1566" s="131"/>
      <c r="Z1566" s="131"/>
    </row>
    <row r="1567">
      <c r="A1567" s="262"/>
      <c r="B1567" s="262"/>
      <c r="C1567" s="262"/>
      <c r="D1567" s="262"/>
      <c r="E1567" s="260"/>
      <c r="F1567" s="132"/>
      <c r="G1567" s="140"/>
      <c r="H1567" s="131"/>
      <c r="I1567" s="131"/>
      <c r="J1567" s="131"/>
      <c r="K1567" s="131"/>
      <c r="L1567" s="131"/>
      <c r="M1567" s="131"/>
      <c r="N1567" s="131"/>
      <c r="O1567" s="131"/>
      <c r="P1567" s="131"/>
      <c r="Q1567" s="131"/>
      <c r="R1567" s="131"/>
      <c r="S1567" s="131"/>
      <c r="T1567" s="131"/>
      <c r="U1567" s="131"/>
      <c r="V1567" s="131"/>
      <c r="W1567" s="131"/>
      <c r="X1567" s="131"/>
      <c r="Y1567" s="131"/>
      <c r="Z1567" s="131"/>
    </row>
    <row r="1568">
      <c r="A1568" s="262"/>
      <c r="B1568" s="262"/>
      <c r="C1568" s="262"/>
      <c r="D1568" s="262"/>
      <c r="E1568" s="260"/>
      <c r="F1568" s="132"/>
      <c r="G1568" s="140"/>
      <c r="H1568" s="131"/>
      <c r="I1568" s="131"/>
      <c r="J1568" s="131"/>
      <c r="K1568" s="131"/>
      <c r="L1568" s="131"/>
      <c r="M1568" s="131"/>
      <c r="N1568" s="131"/>
      <c r="O1568" s="131"/>
      <c r="P1568" s="131"/>
      <c r="Q1568" s="131"/>
      <c r="R1568" s="131"/>
      <c r="S1568" s="131"/>
      <c r="T1568" s="131"/>
      <c r="U1568" s="131"/>
      <c r="V1568" s="131"/>
      <c r="W1568" s="131"/>
      <c r="X1568" s="131"/>
      <c r="Y1568" s="131"/>
      <c r="Z1568" s="131"/>
    </row>
    <row r="1569">
      <c r="A1569" s="262"/>
      <c r="B1569" s="262"/>
      <c r="C1569" s="262"/>
      <c r="D1569" s="262"/>
      <c r="E1569" s="260"/>
      <c r="F1569" s="132"/>
      <c r="G1569" s="140"/>
      <c r="H1569" s="131"/>
      <c r="I1569" s="131"/>
      <c r="J1569" s="131"/>
      <c r="K1569" s="131"/>
      <c r="L1569" s="131"/>
      <c r="M1569" s="131"/>
      <c r="N1569" s="131"/>
      <c r="O1569" s="131"/>
      <c r="P1569" s="131"/>
      <c r="Q1569" s="131"/>
      <c r="R1569" s="131"/>
      <c r="S1569" s="131"/>
      <c r="T1569" s="131"/>
      <c r="U1569" s="131"/>
      <c r="V1569" s="131"/>
      <c r="W1569" s="131"/>
      <c r="X1569" s="131"/>
      <c r="Y1569" s="131"/>
      <c r="Z1569" s="131"/>
    </row>
    <row r="1570">
      <c r="A1570" s="262"/>
      <c r="B1570" s="262"/>
      <c r="C1570" s="262"/>
      <c r="D1570" s="262"/>
      <c r="E1570" s="260"/>
      <c r="F1570" s="132"/>
      <c r="G1570" s="140"/>
      <c r="H1570" s="131"/>
      <c r="I1570" s="131"/>
      <c r="J1570" s="131"/>
      <c r="K1570" s="131"/>
      <c r="L1570" s="131"/>
      <c r="M1570" s="131"/>
      <c r="N1570" s="131"/>
      <c r="O1570" s="131"/>
      <c r="P1570" s="131"/>
      <c r="Q1570" s="131"/>
      <c r="R1570" s="131"/>
      <c r="S1570" s="131"/>
      <c r="T1570" s="131"/>
      <c r="U1570" s="131"/>
      <c r="V1570" s="131"/>
      <c r="W1570" s="131"/>
      <c r="X1570" s="131"/>
      <c r="Y1570" s="131"/>
      <c r="Z1570" s="131"/>
    </row>
    <row r="1571">
      <c r="A1571" s="262"/>
      <c r="B1571" s="262"/>
      <c r="C1571" s="262"/>
      <c r="D1571" s="262"/>
      <c r="E1571" s="260"/>
      <c r="F1571" s="132"/>
      <c r="G1571" s="140"/>
      <c r="H1571" s="131"/>
      <c r="I1571" s="131"/>
      <c r="J1571" s="131"/>
      <c r="K1571" s="131"/>
      <c r="L1571" s="131"/>
      <c r="M1571" s="131"/>
      <c r="N1571" s="131"/>
      <c r="O1571" s="131"/>
      <c r="P1571" s="131"/>
      <c r="Q1571" s="131"/>
      <c r="R1571" s="131"/>
      <c r="S1571" s="131"/>
      <c r="T1571" s="131"/>
      <c r="U1571" s="131"/>
      <c r="V1571" s="131"/>
      <c r="W1571" s="131"/>
      <c r="X1571" s="131"/>
      <c r="Y1571" s="131"/>
      <c r="Z1571" s="131"/>
    </row>
    <row r="1572">
      <c r="A1572" s="262"/>
      <c r="B1572" s="262"/>
      <c r="C1572" s="262"/>
      <c r="D1572" s="262"/>
      <c r="E1572" s="260"/>
      <c r="F1572" s="132"/>
      <c r="G1572" s="140"/>
      <c r="H1572" s="131"/>
      <c r="I1572" s="131"/>
      <c r="J1572" s="131"/>
      <c r="K1572" s="131"/>
      <c r="L1572" s="131"/>
      <c r="M1572" s="131"/>
      <c r="N1572" s="131"/>
      <c r="O1572" s="131"/>
      <c r="P1572" s="131"/>
      <c r="Q1572" s="131"/>
      <c r="R1572" s="131"/>
      <c r="S1572" s="131"/>
      <c r="T1572" s="131"/>
      <c r="U1572" s="131"/>
      <c r="V1572" s="131"/>
      <c r="W1572" s="131"/>
      <c r="X1572" s="131"/>
      <c r="Y1572" s="131"/>
      <c r="Z1572" s="131"/>
    </row>
    <row r="1573">
      <c r="A1573" s="262"/>
      <c r="B1573" s="262"/>
      <c r="C1573" s="262"/>
      <c r="D1573" s="262"/>
      <c r="E1573" s="260"/>
      <c r="F1573" s="132"/>
      <c r="G1573" s="140"/>
      <c r="H1573" s="131"/>
      <c r="I1573" s="131"/>
      <c r="J1573" s="131"/>
      <c r="K1573" s="131"/>
      <c r="L1573" s="131"/>
      <c r="M1573" s="131"/>
      <c r="N1573" s="131"/>
      <c r="O1573" s="131"/>
      <c r="P1573" s="131"/>
      <c r="Q1573" s="131"/>
      <c r="R1573" s="131"/>
      <c r="S1573" s="131"/>
      <c r="T1573" s="131"/>
      <c r="U1573" s="131"/>
      <c r="V1573" s="131"/>
      <c r="W1573" s="131"/>
      <c r="X1573" s="131"/>
      <c r="Y1573" s="131"/>
      <c r="Z1573" s="131"/>
    </row>
    <row r="1574">
      <c r="A1574" s="262"/>
      <c r="B1574" s="262"/>
      <c r="C1574" s="262"/>
      <c r="D1574" s="262"/>
      <c r="E1574" s="260"/>
      <c r="F1574" s="132"/>
      <c r="G1574" s="140"/>
      <c r="H1574" s="131"/>
      <c r="I1574" s="131"/>
      <c r="J1574" s="131"/>
      <c r="K1574" s="131"/>
      <c r="L1574" s="131"/>
      <c r="M1574" s="131"/>
      <c r="N1574" s="131"/>
      <c r="O1574" s="131"/>
      <c r="P1574" s="131"/>
      <c r="Q1574" s="131"/>
      <c r="R1574" s="131"/>
      <c r="S1574" s="131"/>
      <c r="T1574" s="131"/>
      <c r="U1574" s="131"/>
      <c r="V1574" s="131"/>
      <c r="W1574" s="131"/>
      <c r="X1574" s="131"/>
      <c r="Y1574" s="131"/>
      <c r="Z1574" s="131"/>
    </row>
    <row r="1575">
      <c r="A1575" s="262"/>
      <c r="B1575" s="262"/>
      <c r="C1575" s="262"/>
      <c r="D1575" s="262"/>
      <c r="E1575" s="260"/>
      <c r="F1575" s="132"/>
      <c r="G1575" s="140"/>
      <c r="H1575" s="131"/>
      <c r="I1575" s="131"/>
      <c r="J1575" s="131"/>
      <c r="K1575" s="131"/>
      <c r="L1575" s="131"/>
      <c r="M1575" s="131"/>
      <c r="N1575" s="131"/>
      <c r="O1575" s="131"/>
      <c r="P1575" s="131"/>
      <c r="Q1575" s="131"/>
      <c r="R1575" s="131"/>
      <c r="S1575" s="131"/>
      <c r="T1575" s="131"/>
      <c r="U1575" s="131"/>
      <c r="V1575" s="131"/>
      <c r="W1575" s="131"/>
      <c r="X1575" s="131"/>
      <c r="Y1575" s="131"/>
      <c r="Z1575" s="131"/>
    </row>
    <row r="1576">
      <c r="A1576" s="262"/>
      <c r="B1576" s="262"/>
      <c r="C1576" s="262"/>
      <c r="D1576" s="262"/>
      <c r="E1576" s="260"/>
      <c r="F1576" s="132"/>
      <c r="G1576" s="140"/>
      <c r="H1576" s="131"/>
      <c r="I1576" s="131"/>
      <c r="J1576" s="131"/>
      <c r="K1576" s="131"/>
      <c r="L1576" s="131"/>
      <c r="M1576" s="131"/>
      <c r="N1576" s="131"/>
      <c r="O1576" s="131"/>
      <c r="P1576" s="131"/>
      <c r="Q1576" s="131"/>
      <c r="R1576" s="131"/>
      <c r="S1576" s="131"/>
      <c r="T1576" s="131"/>
      <c r="U1576" s="131"/>
      <c r="V1576" s="131"/>
      <c r="W1576" s="131"/>
      <c r="X1576" s="131"/>
      <c r="Y1576" s="131"/>
      <c r="Z1576" s="131"/>
    </row>
    <row r="1577">
      <c r="A1577" s="262"/>
      <c r="B1577" s="262"/>
      <c r="C1577" s="262"/>
      <c r="D1577" s="262"/>
      <c r="E1577" s="260"/>
      <c r="F1577" s="132"/>
      <c r="G1577" s="140"/>
      <c r="H1577" s="131"/>
      <c r="I1577" s="131"/>
      <c r="J1577" s="131"/>
      <c r="K1577" s="131"/>
      <c r="L1577" s="131"/>
      <c r="M1577" s="131"/>
      <c r="N1577" s="131"/>
      <c r="O1577" s="131"/>
      <c r="P1577" s="131"/>
      <c r="Q1577" s="131"/>
      <c r="R1577" s="131"/>
      <c r="S1577" s="131"/>
      <c r="T1577" s="131"/>
      <c r="U1577" s="131"/>
      <c r="V1577" s="131"/>
      <c r="W1577" s="131"/>
      <c r="X1577" s="131"/>
      <c r="Y1577" s="131"/>
      <c r="Z1577" s="131"/>
    </row>
    <row r="1578">
      <c r="A1578" s="262"/>
      <c r="B1578" s="262"/>
      <c r="C1578" s="262"/>
      <c r="D1578" s="262"/>
      <c r="E1578" s="260"/>
      <c r="F1578" s="132"/>
      <c r="G1578" s="140"/>
      <c r="H1578" s="131"/>
      <c r="I1578" s="131"/>
      <c r="J1578" s="131"/>
      <c r="K1578" s="131"/>
      <c r="L1578" s="131"/>
      <c r="M1578" s="131"/>
      <c r="N1578" s="131"/>
      <c r="O1578" s="131"/>
      <c r="P1578" s="131"/>
      <c r="Q1578" s="131"/>
      <c r="R1578" s="131"/>
      <c r="S1578" s="131"/>
      <c r="T1578" s="131"/>
      <c r="U1578" s="131"/>
      <c r="V1578" s="131"/>
      <c r="W1578" s="131"/>
      <c r="X1578" s="131"/>
      <c r="Y1578" s="131"/>
      <c r="Z1578" s="131"/>
    </row>
    <row r="1579">
      <c r="A1579" s="262"/>
      <c r="B1579" s="262"/>
      <c r="C1579" s="262"/>
      <c r="D1579" s="262"/>
      <c r="E1579" s="260"/>
      <c r="F1579" s="132"/>
      <c r="G1579" s="140"/>
      <c r="H1579" s="131"/>
      <c r="I1579" s="131"/>
      <c r="J1579" s="131"/>
      <c r="K1579" s="131"/>
      <c r="L1579" s="131"/>
      <c r="M1579" s="131"/>
      <c r="N1579" s="131"/>
      <c r="O1579" s="131"/>
      <c r="P1579" s="131"/>
      <c r="Q1579" s="131"/>
      <c r="R1579" s="131"/>
      <c r="S1579" s="131"/>
      <c r="T1579" s="131"/>
      <c r="U1579" s="131"/>
      <c r="V1579" s="131"/>
      <c r="W1579" s="131"/>
      <c r="X1579" s="131"/>
      <c r="Y1579" s="131"/>
      <c r="Z1579" s="131"/>
    </row>
    <row r="1580">
      <c r="A1580" s="262"/>
      <c r="B1580" s="262"/>
      <c r="C1580" s="262"/>
      <c r="D1580" s="262"/>
      <c r="E1580" s="260"/>
      <c r="F1580" s="132"/>
      <c r="G1580" s="140"/>
      <c r="H1580" s="131"/>
      <c r="I1580" s="131"/>
      <c r="J1580" s="131"/>
      <c r="K1580" s="131"/>
      <c r="L1580" s="131"/>
      <c r="M1580" s="131"/>
      <c r="N1580" s="131"/>
      <c r="O1580" s="131"/>
      <c r="P1580" s="131"/>
      <c r="Q1580" s="131"/>
      <c r="R1580" s="131"/>
      <c r="S1580" s="131"/>
      <c r="T1580" s="131"/>
      <c r="U1580" s="131"/>
      <c r="V1580" s="131"/>
      <c r="W1580" s="131"/>
      <c r="X1580" s="131"/>
      <c r="Y1580" s="131"/>
      <c r="Z1580" s="131"/>
    </row>
    <row r="1581">
      <c r="A1581" s="262"/>
      <c r="B1581" s="262"/>
      <c r="C1581" s="262"/>
      <c r="D1581" s="262"/>
      <c r="E1581" s="260"/>
      <c r="F1581" s="132"/>
      <c r="G1581" s="140"/>
      <c r="H1581" s="131"/>
      <c r="I1581" s="131"/>
      <c r="J1581" s="131"/>
      <c r="K1581" s="131"/>
      <c r="L1581" s="131"/>
      <c r="M1581" s="131"/>
      <c r="N1581" s="131"/>
      <c r="O1581" s="131"/>
      <c r="P1581" s="131"/>
      <c r="Q1581" s="131"/>
      <c r="R1581" s="131"/>
      <c r="S1581" s="131"/>
      <c r="T1581" s="131"/>
      <c r="U1581" s="131"/>
      <c r="V1581" s="131"/>
      <c r="W1581" s="131"/>
      <c r="X1581" s="131"/>
      <c r="Y1581" s="131"/>
      <c r="Z1581" s="131"/>
    </row>
    <row r="1582">
      <c r="A1582" s="262"/>
      <c r="B1582" s="262"/>
      <c r="C1582" s="262"/>
      <c r="D1582" s="262"/>
      <c r="E1582" s="260"/>
      <c r="F1582" s="132"/>
      <c r="G1582" s="140"/>
      <c r="H1582" s="131"/>
      <c r="I1582" s="131"/>
      <c r="J1582" s="131"/>
      <c r="K1582" s="131"/>
      <c r="L1582" s="131"/>
      <c r="M1582" s="131"/>
      <c r="N1582" s="131"/>
      <c r="O1582" s="131"/>
      <c r="P1582" s="131"/>
      <c r="Q1582" s="131"/>
      <c r="R1582" s="131"/>
      <c r="S1582" s="131"/>
      <c r="T1582" s="131"/>
      <c r="U1582" s="131"/>
      <c r="V1582" s="131"/>
      <c r="W1582" s="131"/>
      <c r="X1582" s="131"/>
      <c r="Y1582" s="131"/>
      <c r="Z1582" s="131"/>
    </row>
    <row r="1583">
      <c r="A1583" s="262"/>
      <c r="B1583" s="262"/>
      <c r="C1583" s="262"/>
      <c r="D1583" s="262"/>
      <c r="E1583" s="260"/>
      <c r="F1583" s="132"/>
      <c r="G1583" s="140"/>
      <c r="H1583" s="131"/>
      <c r="I1583" s="131"/>
      <c r="J1583" s="131"/>
      <c r="K1583" s="131"/>
      <c r="L1583" s="131"/>
      <c r="M1583" s="131"/>
      <c r="N1583" s="131"/>
      <c r="O1583" s="131"/>
      <c r="P1583" s="131"/>
      <c r="Q1583" s="131"/>
      <c r="R1583" s="131"/>
      <c r="S1583" s="131"/>
      <c r="T1583" s="131"/>
      <c r="U1583" s="131"/>
      <c r="V1583" s="131"/>
      <c r="W1583" s="131"/>
      <c r="X1583" s="131"/>
      <c r="Y1583" s="131"/>
      <c r="Z1583" s="131"/>
    </row>
    <row r="1584">
      <c r="A1584" s="262"/>
      <c r="B1584" s="262"/>
      <c r="C1584" s="262"/>
      <c r="D1584" s="262"/>
      <c r="E1584" s="260"/>
      <c r="F1584" s="132"/>
      <c r="G1584" s="140"/>
      <c r="H1584" s="131"/>
      <c r="I1584" s="131"/>
      <c r="J1584" s="131"/>
      <c r="K1584" s="131"/>
      <c r="L1584" s="131"/>
      <c r="M1584" s="131"/>
      <c r="N1584" s="131"/>
      <c r="O1584" s="131"/>
      <c r="P1584" s="131"/>
      <c r="Q1584" s="131"/>
      <c r="R1584" s="131"/>
      <c r="S1584" s="131"/>
      <c r="T1584" s="131"/>
      <c r="U1584" s="131"/>
      <c r="V1584" s="131"/>
      <c r="W1584" s="131"/>
      <c r="X1584" s="131"/>
      <c r="Y1584" s="131"/>
      <c r="Z1584" s="131"/>
    </row>
    <row r="1585">
      <c r="A1585" s="262"/>
      <c r="B1585" s="262"/>
      <c r="C1585" s="262"/>
      <c r="D1585" s="262"/>
      <c r="E1585" s="260"/>
      <c r="F1585" s="132"/>
      <c r="G1585" s="140"/>
      <c r="H1585" s="131"/>
      <c r="I1585" s="131"/>
      <c r="J1585" s="131"/>
      <c r="K1585" s="131"/>
      <c r="L1585" s="131"/>
      <c r="M1585" s="131"/>
      <c r="N1585" s="131"/>
      <c r="O1585" s="131"/>
      <c r="P1585" s="131"/>
      <c r="Q1585" s="131"/>
      <c r="R1585" s="131"/>
      <c r="S1585" s="131"/>
      <c r="T1585" s="131"/>
      <c r="U1585" s="131"/>
      <c r="V1585" s="131"/>
      <c r="W1585" s="131"/>
      <c r="X1585" s="131"/>
      <c r="Y1585" s="131"/>
      <c r="Z1585" s="131"/>
    </row>
    <row r="1586">
      <c r="A1586" s="262"/>
      <c r="B1586" s="262"/>
      <c r="C1586" s="262"/>
      <c r="D1586" s="262"/>
      <c r="E1586" s="260"/>
      <c r="F1586" s="132"/>
      <c r="G1586" s="140"/>
      <c r="H1586" s="131"/>
      <c r="I1586" s="131"/>
      <c r="J1586" s="131"/>
      <c r="K1586" s="131"/>
      <c r="L1586" s="131"/>
      <c r="M1586" s="131"/>
      <c r="N1586" s="131"/>
      <c r="O1586" s="131"/>
      <c r="P1586" s="131"/>
      <c r="Q1586" s="131"/>
      <c r="R1586" s="131"/>
      <c r="S1586" s="131"/>
      <c r="T1586" s="131"/>
      <c r="U1586" s="131"/>
      <c r="V1586" s="131"/>
      <c r="W1586" s="131"/>
      <c r="X1586" s="131"/>
      <c r="Y1586" s="131"/>
      <c r="Z1586" s="131"/>
    </row>
    <row r="1587">
      <c r="A1587" s="262"/>
      <c r="B1587" s="262"/>
      <c r="C1587" s="262"/>
      <c r="D1587" s="262"/>
      <c r="E1587" s="260"/>
      <c r="F1587" s="132"/>
      <c r="G1587" s="140"/>
      <c r="H1587" s="131"/>
      <c r="I1587" s="131"/>
      <c r="J1587" s="131"/>
      <c r="K1587" s="131"/>
      <c r="L1587" s="131"/>
      <c r="M1587" s="131"/>
      <c r="N1587" s="131"/>
      <c r="O1587" s="131"/>
      <c r="P1587" s="131"/>
      <c r="Q1587" s="131"/>
      <c r="R1587" s="131"/>
      <c r="S1587" s="131"/>
      <c r="T1587" s="131"/>
      <c r="U1587" s="131"/>
      <c r="V1587" s="131"/>
      <c r="W1587" s="131"/>
      <c r="X1587" s="131"/>
      <c r="Y1587" s="131"/>
      <c r="Z1587" s="131"/>
    </row>
    <row r="1588">
      <c r="A1588" s="262"/>
      <c r="B1588" s="262"/>
      <c r="C1588" s="262"/>
      <c r="D1588" s="262"/>
      <c r="E1588" s="260"/>
      <c r="F1588" s="132"/>
      <c r="G1588" s="140"/>
      <c r="H1588" s="131"/>
      <c r="I1588" s="131"/>
      <c r="J1588" s="131"/>
      <c r="K1588" s="131"/>
      <c r="L1588" s="131"/>
      <c r="M1588" s="131"/>
      <c r="N1588" s="131"/>
      <c r="O1588" s="131"/>
      <c r="P1588" s="131"/>
      <c r="Q1588" s="131"/>
      <c r="R1588" s="131"/>
      <c r="S1588" s="131"/>
      <c r="T1588" s="131"/>
      <c r="U1588" s="131"/>
      <c r="V1588" s="131"/>
      <c r="W1588" s="131"/>
      <c r="X1588" s="131"/>
      <c r="Y1588" s="131"/>
      <c r="Z1588" s="131"/>
    </row>
    <row r="1589">
      <c r="A1589" s="262"/>
      <c r="B1589" s="262"/>
      <c r="C1589" s="262"/>
      <c r="D1589" s="262"/>
      <c r="E1589" s="260"/>
      <c r="F1589" s="132"/>
      <c r="G1589" s="140"/>
      <c r="H1589" s="131"/>
      <c r="I1589" s="131"/>
      <c r="J1589" s="131"/>
      <c r="K1589" s="131"/>
      <c r="L1589" s="131"/>
      <c r="M1589" s="131"/>
      <c r="N1589" s="131"/>
      <c r="O1589" s="131"/>
      <c r="P1589" s="131"/>
      <c r="Q1589" s="131"/>
      <c r="R1589" s="131"/>
      <c r="S1589" s="131"/>
      <c r="T1589" s="131"/>
      <c r="U1589" s="131"/>
      <c r="V1589" s="131"/>
      <c r="W1589" s="131"/>
      <c r="X1589" s="131"/>
      <c r="Y1589" s="131"/>
      <c r="Z1589" s="131"/>
    </row>
    <row r="1590">
      <c r="A1590" s="262"/>
      <c r="B1590" s="262"/>
      <c r="C1590" s="262"/>
      <c r="D1590" s="262"/>
      <c r="E1590" s="260"/>
      <c r="F1590" s="132"/>
      <c r="G1590" s="140"/>
      <c r="H1590" s="131"/>
      <c r="I1590" s="131"/>
      <c r="J1590" s="131"/>
      <c r="K1590" s="131"/>
      <c r="L1590" s="131"/>
      <c r="M1590" s="131"/>
      <c r="N1590" s="131"/>
      <c r="O1590" s="131"/>
      <c r="P1590" s="131"/>
      <c r="Q1590" s="131"/>
      <c r="R1590" s="131"/>
      <c r="S1590" s="131"/>
      <c r="T1590" s="131"/>
      <c r="U1590" s="131"/>
      <c r="V1590" s="131"/>
      <c r="W1590" s="131"/>
      <c r="X1590" s="131"/>
      <c r="Y1590" s="131"/>
      <c r="Z1590" s="131"/>
    </row>
    <row r="1591">
      <c r="A1591" s="262"/>
      <c r="B1591" s="262"/>
      <c r="C1591" s="262"/>
      <c r="D1591" s="262"/>
      <c r="E1591" s="260"/>
      <c r="F1591" s="132"/>
      <c r="G1591" s="140"/>
      <c r="H1591" s="131"/>
      <c r="I1591" s="131"/>
      <c r="J1591" s="131"/>
      <c r="K1591" s="131"/>
      <c r="L1591" s="131"/>
      <c r="M1591" s="131"/>
      <c r="N1591" s="131"/>
      <c r="O1591" s="131"/>
      <c r="P1591" s="131"/>
      <c r="Q1591" s="131"/>
      <c r="R1591" s="131"/>
      <c r="S1591" s="131"/>
      <c r="T1591" s="131"/>
      <c r="U1591" s="131"/>
      <c r="V1591" s="131"/>
      <c r="W1591" s="131"/>
      <c r="X1591" s="131"/>
      <c r="Y1591" s="131"/>
      <c r="Z1591" s="131"/>
    </row>
    <row r="1592">
      <c r="A1592" s="262"/>
      <c r="B1592" s="262"/>
      <c r="C1592" s="262"/>
      <c r="D1592" s="262"/>
      <c r="E1592" s="260"/>
      <c r="F1592" s="132"/>
      <c r="G1592" s="140"/>
      <c r="H1592" s="131"/>
      <c r="I1592" s="131"/>
      <c r="J1592" s="131"/>
      <c r="K1592" s="131"/>
      <c r="L1592" s="131"/>
      <c r="M1592" s="131"/>
      <c r="N1592" s="131"/>
      <c r="O1592" s="131"/>
      <c r="P1592" s="131"/>
      <c r="Q1592" s="131"/>
      <c r="R1592" s="131"/>
      <c r="S1592" s="131"/>
      <c r="T1592" s="131"/>
      <c r="U1592" s="131"/>
      <c r="V1592" s="131"/>
      <c r="W1592" s="131"/>
      <c r="X1592" s="131"/>
      <c r="Y1592" s="131"/>
      <c r="Z1592" s="131"/>
    </row>
    <row r="1593">
      <c r="A1593" s="262"/>
      <c r="B1593" s="262"/>
      <c r="C1593" s="262"/>
      <c r="D1593" s="262"/>
      <c r="E1593" s="260"/>
      <c r="F1593" s="132"/>
      <c r="G1593" s="140"/>
      <c r="H1593" s="131"/>
      <c r="I1593" s="131"/>
      <c r="J1593" s="131"/>
      <c r="K1593" s="131"/>
      <c r="L1593" s="131"/>
      <c r="M1593" s="131"/>
      <c r="N1593" s="131"/>
      <c r="O1593" s="131"/>
      <c r="P1593" s="131"/>
      <c r="Q1593" s="131"/>
      <c r="R1593" s="131"/>
      <c r="S1593" s="131"/>
      <c r="T1593" s="131"/>
      <c r="U1593" s="131"/>
      <c r="V1593" s="131"/>
      <c r="W1593" s="131"/>
      <c r="X1593" s="131"/>
      <c r="Y1593" s="131"/>
      <c r="Z1593" s="131"/>
    </row>
    <row r="1594">
      <c r="A1594" s="262"/>
      <c r="B1594" s="262"/>
      <c r="C1594" s="262"/>
      <c r="D1594" s="262"/>
      <c r="E1594" s="260"/>
      <c r="F1594" s="132"/>
      <c r="G1594" s="140"/>
      <c r="H1594" s="131"/>
      <c r="I1594" s="131"/>
      <c r="J1594" s="131"/>
      <c r="K1594" s="131"/>
      <c r="L1594" s="131"/>
      <c r="M1594" s="131"/>
      <c r="N1594" s="131"/>
      <c r="O1594" s="131"/>
      <c r="P1594" s="131"/>
      <c r="Q1594" s="131"/>
      <c r="R1594" s="131"/>
      <c r="S1594" s="131"/>
      <c r="T1594" s="131"/>
      <c r="U1594" s="131"/>
      <c r="V1594" s="131"/>
      <c r="W1594" s="131"/>
      <c r="X1594" s="131"/>
      <c r="Y1594" s="131"/>
      <c r="Z1594" s="131"/>
    </row>
    <row r="1595">
      <c r="A1595" s="262"/>
      <c r="B1595" s="262"/>
      <c r="C1595" s="262"/>
      <c r="D1595" s="262"/>
      <c r="E1595" s="260"/>
      <c r="F1595" s="132"/>
      <c r="G1595" s="140"/>
      <c r="H1595" s="131"/>
      <c r="I1595" s="131"/>
      <c r="J1595" s="131"/>
      <c r="K1595" s="131"/>
      <c r="L1595" s="131"/>
      <c r="M1595" s="131"/>
      <c r="N1595" s="131"/>
      <c r="O1595" s="131"/>
      <c r="P1595" s="131"/>
      <c r="Q1595" s="131"/>
      <c r="R1595" s="131"/>
      <c r="S1595" s="131"/>
      <c r="T1595" s="131"/>
      <c r="U1595" s="131"/>
      <c r="V1595" s="131"/>
      <c r="W1595" s="131"/>
      <c r="X1595" s="131"/>
      <c r="Y1595" s="131"/>
      <c r="Z1595" s="131"/>
    </row>
    <row r="1596">
      <c r="A1596" s="262"/>
      <c r="B1596" s="262"/>
      <c r="C1596" s="262"/>
      <c r="D1596" s="262"/>
      <c r="E1596" s="260"/>
      <c r="F1596" s="132"/>
      <c r="G1596" s="140"/>
      <c r="H1596" s="131"/>
      <c r="I1596" s="131"/>
      <c r="J1596" s="131"/>
      <c r="K1596" s="131"/>
      <c r="L1596" s="131"/>
      <c r="M1596" s="131"/>
      <c r="N1596" s="131"/>
      <c r="O1596" s="131"/>
      <c r="P1596" s="131"/>
      <c r="Q1596" s="131"/>
      <c r="R1596" s="131"/>
      <c r="S1596" s="131"/>
      <c r="T1596" s="131"/>
      <c r="U1596" s="131"/>
      <c r="V1596" s="131"/>
      <c r="W1596" s="131"/>
      <c r="X1596" s="131"/>
      <c r="Y1596" s="131"/>
      <c r="Z1596" s="131"/>
    </row>
    <row r="1597">
      <c r="A1597" s="262"/>
      <c r="B1597" s="262"/>
      <c r="C1597" s="262"/>
      <c r="D1597" s="262"/>
      <c r="E1597" s="260"/>
      <c r="F1597" s="132"/>
      <c r="G1597" s="140"/>
      <c r="H1597" s="131"/>
      <c r="I1597" s="131"/>
      <c r="J1597" s="131"/>
      <c r="K1597" s="131"/>
      <c r="L1597" s="131"/>
      <c r="M1597" s="131"/>
      <c r="N1597" s="131"/>
      <c r="O1597" s="131"/>
      <c r="P1597" s="131"/>
      <c r="Q1597" s="131"/>
      <c r="R1597" s="131"/>
      <c r="S1597" s="131"/>
      <c r="T1597" s="131"/>
      <c r="U1597" s="131"/>
      <c r="V1597" s="131"/>
      <c r="W1597" s="131"/>
      <c r="X1597" s="131"/>
      <c r="Y1597" s="131"/>
      <c r="Z1597" s="131"/>
    </row>
    <row r="1598">
      <c r="A1598" s="262"/>
      <c r="B1598" s="262"/>
      <c r="C1598" s="262"/>
      <c r="D1598" s="262"/>
      <c r="E1598" s="260"/>
      <c r="F1598" s="132"/>
      <c r="G1598" s="140"/>
      <c r="H1598" s="131"/>
      <c r="I1598" s="131"/>
      <c r="J1598" s="131"/>
      <c r="K1598" s="131"/>
      <c r="L1598" s="131"/>
      <c r="M1598" s="131"/>
      <c r="N1598" s="131"/>
      <c r="O1598" s="131"/>
      <c r="P1598" s="131"/>
      <c r="Q1598" s="131"/>
      <c r="R1598" s="131"/>
      <c r="S1598" s="131"/>
      <c r="T1598" s="131"/>
      <c r="U1598" s="131"/>
      <c r="V1598" s="131"/>
      <c r="W1598" s="131"/>
      <c r="X1598" s="131"/>
      <c r="Y1598" s="131"/>
      <c r="Z1598" s="131"/>
    </row>
    <row r="1599">
      <c r="A1599" s="262"/>
      <c r="B1599" s="262"/>
      <c r="C1599" s="262"/>
      <c r="D1599" s="262"/>
      <c r="E1599" s="260"/>
      <c r="F1599" s="132"/>
      <c r="G1599" s="140"/>
      <c r="H1599" s="131"/>
      <c r="I1599" s="131"/>
      <c r="J1599" s="131"/>
      <c r="K1599" s="131"/>
      <c r="L1599" s="131"/>
      <c r="M1599" s="131"/>
      <c r="N1599" s="131"/>
      <c r="O1599" s="131"/>
      <c r="P1599" s="131"/>
      <c r="Q1599" s="131"/>
      <c r="R1599" s="131"/>
      <c r="S1599" s="131"/>
      <c r="T1599" s="131"/>
      <c r="U1599" s="131"/>
      <c r="V1599" s="131"/>
      <c r="W1599" s="131"/>
      <c r="X1599" s="131"/>
      <c r="Y1599" s="131"/>
      <c r="Z1599" s="131"/>
    </row>
    <row r="1600">
      <c r="A1600" s="262"/>
      <c r="B1600" s="262"/>
      <c r="C1600" s="262"/>
      <c r="D1600" s="262"/>
      <c r="E1600" s="260"/>
      <c r="F1600" s="132"/>
      <c r="G1600" s="140"/>
      <c r="H1600" s="131"/>
      <c r="I1600" s="131"/>
      <c r="J1600" s="131"/>
      <c r="K1600" s="131"/>
      <c r="L1600" s="131"/>
      <c r="M1600" s="131"/>
      <c r="N1600" s="131"/>
      <c r="O1600" s="131"/>
      <c r="P1600" s="131"/>
      <c r="Q1600" s="131"/>
      <c r="R1600" s="131"/>
      <c r="S1600" s="131"/>
      <c r="T1600" s="131"/>
      <c r="U1600" s="131"/>
      <c r="V1600" s="131"/>
      <c r="W1600" s="131"/>
      <c r="X1600" s="131"/>
      <c r="Y1600" s="131"/>
      <c r="Z1600" s="131"/>
    </row>
    <row r="1601">
      <c r="A1601" s="262"/>
      <c r="B1601" s="262"/>
      <c r="C1601" s="262"/>
      <c r="D1601" s="262"/>
      <c r="E1601" s="260"/>
      <c r="F1601" s="132"/>
      <c r="G1601" s="140"/>
      <c r="H1601" s="131"/>
      <c r="I1601" s="131"/>
      <c r="J1601" s="131"/>
      <c r="K1601" s="131"/>
      <c r="L1601" s="131"/>
      <c r="M1601" s="131"/>
      <c r="N1601" s="131"/>
      <c r="O1601" s="131"/>
      <c r="P1601" s="131"/>
      <c r="Q1601" s="131"/>
      <c r="R1601" s="131"/>
      <c r="S1601" s="131"/>
      <c r="T1601" s="131"/>
      <c r="U1601" s="131"/>
      <c r="V1601" s="131"/>
      <c r="W1601" s="131"/>
      <c r="X1601" s="131"/>
      <c r="Y1601" s="131"/>
      <c r="Z1601" s="131"/>
    </row>
    <row r="1602">
      <c r="A1602" s="262"/>
      <c r="B1602" s="262"/>
      <c r="C1602" s="262"/>
      <c r="D1602" s="262"/>
      <c r="E1602" s="260"/>
      <c r="F1602" s="132"/>
      <c r="G1602" s="140"/>
      <c r="H1602" s="131"/>
      <c r="I1602" s="131"/>
      <c r="J1602" s="131"/>
      <c r="K1602" s="131"/>
      <c r="L1602" s="131"/>
      <c r="M1602" s="131"/>
      <c r="N1602" s="131"/>
      <c r="O1602" s="131"/>
      <c r="P1602" s="131"/>
      <c r="Q1602" s="131"/>
      <c r="R1602" s="131"/>
      <c r="S1602" s="131"/>
      <c r="T1602" s="131"/>
      <c r="U1602" s="131"/>
      <c r="V1602" s="131"/>
      <c r="W1602" s="131"/>
      <c r="X1602" s="131"/>
      <c r="Y1602" s="131"/>
      <c r="Z1602" s="131"/>
    </row>
    <row r="1603">
      <c r="A1603" s="262"/>
      <c r="B1603" s="262"/>
      <c r="C1603" s="262"/>
      <c r="D1603" s="262"/>
      <c r="E1603" s="260"/>
      <c r="F1603" s="132"/>
      <c r="G1603" s="140"/>
      <c r="H1603" s="131"/>
      <c r="I1603" s="131"/>
      <c r="J1603" s="131"/>
      <c r="K1603" s="131"/>
      <c r="L1603" s="131"/>
      <c r="M1603" s="131"/>
      <c r="N1603" s="131"/>
      <c r="O1603" s="131"/>
      <c r="P1603" s="131"/>
      <c r="Q1603" s="131"/>
      <c r="R1603" s="131"/>
      <c r="S1603" s="131"/>
      <c r="T1603" s="131"/>
      <c r="U1603" s="131"/>
      <c r="V1603" s="131"/>
      <c r="W1603" s="131"/>
      <c r="X1603" s="131"/>
      <c r="Y1603" s="131"/>
      <c r="Z1603" s="131"/>
    </row>
    <row r="1604">
      <c r="A1604" s="262"/>
      <c r="B1604" s="262"/>
      <c r="C1604" s="262"/>
      <c r="D1604" s="262"/>
      <c r="E1604" s="260"/>
      <c r="F1604" s="132"/>
      <c r="G1604" s="140"/>
      <c r="H1604" s="131"/>
      <c r="I1604" s="131"/>
      <c r="J1604" s="131"/>
      <c r="K1604" s="131"/>
      <c r="L1604" s="131"/>
      <c r="M1604" s="131"/>
      <c r="N1604" s="131"/>
      <c r="O1604" s="131"/>
      <c r="P1604" s="131"/>
      <c r="Q1604" s="131"/>
      <c r="R1604" s="131"/>
      <c r="S1604" s="131"/>
      <c r="T1604" s="131"/>
      <c r="U1604" s="131"/>
      <c r="V1604" s="131"/>
      <c r="W1604" s="131"/>
      <c r="X1604" s="131"/>
      <c r="Y1604" s="131"/>
      <c r="Z1604" s="131"/>
    </row>
    <row r="1605">
      <c r="A1605" s="262"/>
      <c r="B1605" s="262"/>
      <c r="C1605" s="262"/>
      <c r="D1605" s="262"/>
      <c r="E1605" s="260"/>
      <c r="F1605" s="132"/>
      <c r="G1605" s="140"/>
      <c r="H1605" s="131"/>
      <c r="I1605" s="131"/>
      <c r="J1605" s="131"/>
      <c r="K1605" s="131"/>
      <c r="L1605" s="131"/>
      <c r="M1605" s="131"/>
      <c r="N1605" s="131"/>
      <c r="O1605" s="131"/>
      <c r="P1605" s="131"/>
      <c r="Q1605" s="131"/>
      <c r="R1605" s="131"/>
      <c r="S1605" s="131"/>
      <c r="T1605" s="131"/>
      <c r="U1605" s="131"/>
      <c r="V1605" s="131"/>
      <c r="W1605" s="131"/>
      <c r="X1605" s="131"/>
      <c r="Y1605" s="131"/>
      <c r="Z1605" s="131"/>
    </row>
    <row r="1606">
      <c r="A1606" s="262"/>
      <c r="B1606" s="262"/>
      <c r="C1606" s="262"/>
      <c r="D1606" s="262"/>
      <c r="E1606" s="260"/>
      <c r="F1606" s="132"/>
      <c r="G1606" s="140"/>
      <c r="H1606" s="131"/>
      <c r="I1606" s="131"/>
      <c r="J1606" s="131"/>
      <c r="K1606" s="131"/>
      <c r="L1606" s="131"/>
      <c r="M1606" s="131"/>
      <c r="N1606" s="131"/>
      <c r="O1606" s="131"/>
      <c r="P1606" s="131"/>
      <c r="Q1606" s="131"/>
      <c r="R1606" s="131"/>
      <c r="S1606" s="131"/>
      <c r="T1606" s="131"/>
      <c r="U1606" s="131"/>
      <c r="V1606" s="131"/>
      <c r="W1606" s="131"/>
      <c r="X1606" s="131"/>
      <c r="Y1606" s="131"/>
      <c r="Z1606" s="131"/>
    </row>
    <row r="1607">
      <c r="A1607" s="262"/>
      <c r="B1607" s="262"/>
      <c r="C1607" s="262"/>
      <c r="D1607" s="262"/>
      <c r="E1607" s="260"/>
      <c r="F1607" s="132"/>
      <c r="G1607" s="140"/>
      <c r="H1607" s="131"/>
      <c r="I1607" s="131"/>
      <c r="J1607" s="131"/>
      <c r="K1607" s="131"/>
      <c r="L1607" s="131"/>
      <c r="M1607" s="131"/>
      <c r="N1607" s="131"/>
      <c r="O1607" s="131"/>
      <c r="P1607" s="131"/>
      <c r="Q1607" s="131"/>
      <c r="R1607" s="131"/>
      <c r="S1607" s="131"/>
      <c r="T1607" s="131"/>
      <c r="U1607" s="131"/>
      <c r="V1607" s="131"/>
      <c r="W1607" s="131"/>
      <c r="X1607" s="131"/>
      <c r="Y1607" s="131"/>
      <c r="Z1607" s="131"/>
    </row>
    <row r="1608">
      <c r="A1608" s="262"/>
      <c r="B1608" s="262"/>
      <c r="C1608" s="262"/>
      <c r="D1608" s="262"/>
      <c r="E1608" s="260"/>
      <c r="F1608" s="132"/>
      <c r="G1608" s="140"/>
      <c r="H1608" s="131"/>
      <c r="I1608" s="131"/>
      <c r="J1608" s="131"/>
      <c r="K1608" s="131"/>
      <c r="L1608" s="131"/>
      <c r="M1608" s="131"/>
      <c r="N1608" s="131"/>
      <c r="O1608" s="131"/>
      <c r="P1608" s="131"/>
      <c r="Q1608" s="131"/>
      <c r="R1608" s="131"/>
      <c r="S1608" s="131"/>
      <c r="T1608" s="131"/>
      <c r="U1608" s="131"/>
      <c r="V1608" s="131"/>
      <c r="W1608" s="131"/>
      <c r="X1608" s="131"/>
      <c r="Y1608" s="131"/>
      <c r="Z1608" s="131"/>
    </row>
    <row r="1609">
      <c r="A1609" s="262"/>
      <c r="B1609" s="262"/>
      <c r="C1609" s="262"/>
      <c r="D1609" s="262"/>
      <c r="E1609" s="260"/>
      <c r="F1609" s="132"/>
      <c r="G1609" s="140"/>
      <c r="H1609" s="131"/>
      <c r="I1609" s="131"/>
      <c r="J1609" s="131"/>
      <c r="K1609" s="131"/>
      <c r="L1609" s="131"/>
      <c r="M1609" s="131"/>
      <c r="N1609" s="131"/>
      <c r="O1609" s="131"/>
      <c r="P1609" s="131"/>
      <c r="Q1609" s="131"/>
      <c r="R1609" s="131"/>
      <c r="S1609" s="131"/>
      <c r="T1609" s="131"/>
      <c r="U1609" s="131"/>
      <c r="V1609" s="131"/>
      <c r="W1609" s="131"/>
      <c r="X1609" s="131"/>
      <c r="Y1609" s="131"/>
      <c r="Z1609" s="131"/>
    </row>
    <row r="1610">
      <c r="A1610" s="262"/>
      <c r="B1610" s="262"/>
      <c r="C1610" s="262"/>
      <c r="D1610" s="262"/>
      <c r="E1610" s="260"/>
      <c r="F1610" s="132"/>
      <c r="G1610" s="140"/>
      <c r="H1610" s="131"/>
      <c r="I1610" s="131"/>
      <c r="J1610" s="131"/>
      <c r="K1610" s="131"/>
      <c r="L1610" s="131"/>
      <c r="M1610" s="131"/>
      <c r="N1610" s="131"/>
      <c r="O1610" s="131"/>
      <c r="P1610" s="131"/>
      <c r="Q1610" s="131"/>
      <c r="R1610" s="131"/>
      <c r="S1610" s="131"/>
      <c r="T1610" s="131"/>
      <c r="U1610" s="131"/>
      <c r="V1610" s="131"/>
      <c r="W1610" s="131"/>
      <c r="X1610" s="131"/>
      <c r="Y1610" s="131"/>
      <c r="Z1610" s="131"/>
    </row>
    <row r="1611">
      <c r="A1611" s="262"/>
      <c r="B1611" s="262"/>
      <c r="C1611" s="262"/>
      <c r="D1611" s="262"/>
      <c r="E1611" s="260"/>
      <c r="F1611" s="132"/>
      <c r="G1611" s="140"/>
      <c r="H1611" s="131"/>
      <c r="I1611" s="131"/>
      <c r="J1611" s="131"/>
      <c r="K1611" s="131"/>
      <c r="L1611" s="131"/>
      <c r="M1611" s="131"/>
      <c r="N1611" s="131"/>
      <c r="O1611" s="131"/>
      <c r="P1611" s="131"/>
      <c r="Q1611" s="131"/>
      <c r="R1611" s="131"/>
      <c r="S1611" s="131"/>
      <c r="T1611" s="131"/>
      <c r="U1611" s="131"/>
      <c r="V1611" s="131"/>
      <c r="W1611" s="131"/>
      <c r="X1611" s="131"/>
      <c r="Y1611" s="131"/>
      <c r="Z1611" s="131"/>
    </row>
    <row r="1612">
      <c r="A1612" s="262"/>
      <c r="B1612" s="262"/>
      <c r="C1612" s="262"/>
      <c r="D1612" s="262"/>
      <c r="E1612" s="260"/>
      <c r="F1612" s="132"/>
      <c r="G1612" s="140"/>
      <c r="H1612" s="131"/>
      <c r="I1612" s="131"/>
      <c r="J1612" s="131"/>
      <c r="K1612" s="131"/>
      <c r="L1612" s="131"/>
      <c r="M1612" s="131"/>
      <c r="N1612" s="131"/>
      <c r="O1612" s="131"/>
      <c r="P1612" s="131"/>
      <c r="Q1612" s="131"/>
      <c r="R1612" s="131"/>
      <c r="S1612" s="131"/>
      <c r="T1612" s="131"/>
      <c r="U1612" s="131"/>
      <c r="V1612" s="131"/>
      <c r="W1612" s="131"/>
      <c r="X1612" s="131"/>
      <c r="Y1612" s="131"/>
      <c r="Z1612" s="131"/>
    </row>
    <row r="1613">
      <c r="A1613" s="262"/>
      <c r="B1613" s="262"/>
      <c r="C1613" s="262"/>
      <c r="D1613" s="262"/>
      <c r="E1613" s="260"/>
      <c r="F1613" s="132"/>
      <c r="G1613" s="140"/>
      <c r="H1613" s="131"/>
      <c r="I1613" s="131"/>
      <c r="J1613" s="131"/>
      <c r="K1613" s="131"/>
      <c r="L1613" s="131"/>
      <c r="M1613" s="131"/>
      <c r="N1613" s="131"/>
      <c r="O1613" s="131"/>
      <c r="P1613" s="131"/>
      <c r="Q1613" s="131"/>
      <c r="R1613" s="131"/>
      <c r="S1613" s="131"/>
      <c r="T1613" s="131"/>
      <c r="U1613" s="131"/>
      <c r="V1613" s="131"/>
      <c r="W1613" s="131"/>
      <c r="X1613" s="131"/>
      <c r="Y1613" s="131"/>
      <c r="Z1613" s="131"/>
    </row>
    <row r="1614">
      <c r="A1614" s="262"/>
      <c r="B1614" s="262"/>
      <c r="C1614" s="262"/>
      <c r="D1614" s="262"/>
      <c r="E1614" s="260"/>
      <c r="F1614" s="132"/>
      <c r="G1614" s="140"/>
      <c r="H1614" s="131"/>
      <c r="I1614" s="131"/>
      <c r="J1614" s="131"/>
      <c r="K1614" s="131"/>
      <c r="L1614" s="131"/>
      <c r="M1614" s="131"/>
      <c r="N1614" s="131"/>
      <c r="O1614" s="131"/>
      <c r="P1614" s="131"/>
      <c r="Q1614" s="131"/>
      <c r="R1614" s="131"/>
      <c r="S1614" s="131"/>
      <c r="T1614" s="131"/>
      <c r="U1614" s="131"/>
      <c r="V1614" s="131"/>
      <c r="W1614" s="131"/>
      <c r="X1614" s="131"/>
      <c r="Y1614" s="131"/>
      <c r="Z1614" s="131"/>
    </row>
    <row r="1615">
      <c r="A1615" s="262"/>
      <c r="B1615" s="262"/>
      <c r="C1615" s="262"/>
      <c r="D1615" s="262"/>
      <c r="E1615" s="260"/>
      <c r="F1615" s="132"/>
      <c r="G1615" s="140"/>
      <c r="H1615" s="131"/>
      <c r="I1615" s="131"/>
      <c r="J1615" s="131"/>
      <c r="K1615" s="131"/>
      <c r="L1615" s="131"/>
      <c r="M1615" s="131"/>
      <c r="N1615" s="131"/>
      <c r="O1615" s="131"/>
      <c r="P1615" s="131"/>
      <c r="Q1615" s="131"/>
      <c r="R1615" s="131"/>
      <c r="S1615" s="131"/>
      <c r="T1615" s="131"/>
      <c r="U1615" s="131"/>
      <c r="V1615" s="131"/>
      <c r="W1615" s="131"/>
      <c r="X1615" s="131"/>
      <c r="Y1615" s="131"/>
      <c r="Z1615" s="131"/>
    </row>
    <row r="1616">
      <c r="A1616" s="262"/>
      <c r="B1616" s="262"/>
      <c r="C1616" s="262"/>
      <c r="D1616" s="262"/>
      <c r="E1616" s="260"/>
      <c r="F1616" s="132"/>
      <c r="G1616" s="140"/>
      <c r="H1616" s="131"/>
      <c r="I1616" s="131"/>
      <c r="J1616" s="131"/>
      <c r="K1616" s="131"/>
      <c r="L1616" s="131"/>
      <c r="M1616" s="131"/>
      <c r="N1616" s="131"/>
      <c r="O1616" s="131"/>
      <c r="P1616" s="131"/>
      <c r="Q1616" s="131"/>
      <c r="R1616" s="131"/>
      <c r="S1616" s="131"/>
      <c r="T1616" s="131"/>
      <c r="U1616" s="131"/>
      <c r="V1616" s="131"/>
      <c r="W1616" s="131"/>
      <c r="X1616" s="131"/>
      <c r="Y1616" s="131"/>
      <c r="Z1616" s="131"/>
    </row>
    <row r="1617">
      <c r="A1617" s="262"/>
      <c r="B1617" s="262"/>
      <c r="C1617" s="262"/>
      <c r="D1617" s="262"/>
      <c r="E1617" s="260"/>
      <c r="F1617" s="132"/>
      <c r="G1617" s="140"/>
      <c r="H1617" s="131"/>
      <c r="I1617" s="131"/>
      <c r="J1617" s="131"/>
      <c r="K1617" s="131"/>
      <c r="L1617" s="131"/>
      <c r="M1617" s="131"/>
      <c r="N1617" s="131"/>
      <c r="O1617" s="131"/>
      <c r="P1617" s="131"/>
      <c r="Q1617" s="131"/>
      <c r="R1617" s="131"/>
      <c r="S1617" s="131"/>
      <c r="T1617" s="131"/>
      <c r="U1617" s="131"/>
      <c r="V1617" s="131"/>
      <c r="W1617" s="131"/>
      <c r="X1617" s="131"/>
      <c r="Y1617" s="131"/>
      <c r="Z1617" s="131"/>
    </row>
    <row r="1618">
      <c r="A1618" s="262"/>
      <c r="B1618" s="262"/>
      <c r="C1618" s="262"/>
      <c r="D1618" s="262"/>
      <c r="E1618" s="260"/>
      <c r="F1618" s="132"/>
      <c r="G1618" s="140"/>
      <c r="H1618" s="131"/>
      <c r="I1618" s="131"/>
      <c r="J1618" s="131"/>
      <c r="K1618" s="131"/>
      <c r="L1618" s="131"/>
      <c r="M1618" s="131"/>
      <c r="N1618" s="131"/>
      <c r="O1618" s="131"/>
      <c r="P1618" s="131"/>
      <c r="Q1618" s="131"/>
      <c r="R1618" s="131"/>
      <c r="S1618" s="131"/>
      <c r="T1618" s="131"/>
      <c r="U1618" s="131"/>
      <c r="V1618" s="131"/>
      <c r="W1618" s="131"/>
      <c r="X1618" s="131"/>
      <c r="Y1618" s="131"/>
      <c r="Z1618" s="131"/>
    </row>
    <row r="1619">
      <c r="A1619" s="262"/>
      <c r="B1619" s="262"/>
      <c r="C1619" s="262"/>
      <c r="D1619" s="262"/>
      <c r="E1619" s="260"/>
      <c r="F1619" s="132"/>
      <c r="G1619" s="140"/>
      <c r="H1619" s="131"/>
      <c r="I1619" s="131"/>
      <c r="J1619" s="131"/>
      <c r="K1619" s="131"/>
      <c r="L1619" s="131"/>
      <c r="M1619" s="131"/>
      <c r="N1619" s="131"/>
      <c r="O1619" s="131"/>
      <c r="P1619" s="131"/>
      <c r="Q1619" s="131"/>
      <c r="R1619" s="131"/>
      <c r="S1619" s="131"/>
      <c r="T1619" s="131"/>
      <c r="U1619" s="131"/>
      <c r="V1619" s="131"/>
      <c r="W1619" s="131"/>
      <c r="X1619" s="131"/>
      <c r="Y1619" s="131"/>
      <c r="Z1619" s="131"/>
    </row>
    <row r="1620">
      <c r="A1620" s="262"/>
      <c r="B1620" s="262"/>
      <c r="C1620" s="262"/>
      <c r="D1620" s="262"/>
      <c r="E1620" s="260"/>
      <c r="F1620" s="132"/>
      <c r="G1620" s="140"/>
      <c r="H1620" s="131"/>
      <c r="I1620" s="131"/>
      <c r="J1620" s="131"/>
      <c r="K1620" s="131"/>
      <c r="L1620" s="131"/>
      <c r="M1620" s="131"/>
      <c r="N1620" s="131"/>
      <c r="O1620" s="131"/>
      <c r="P1620" s="131"/>
      <c r="Q1620" s="131"/>
      <c r="R1620" s="131"/>
      <c r="S1620" s="131"/>
      <c r="T1620" s="131"/>
      <c r="U1620" s="131"/>
      <c r="V1620" s="131"/>
      <c r="W1620" s="131"/>
      <c r="X1620" s="131"/>
      <c r="Y1620" s="131"/>
      <c r="Z1620" s="131"/>
    </row>
    <row r="1621">
      <c r="A1621" s="262"/>
      <c r="B1621" s="262"/>
      <c r="C1621" s="262"/>
      <c r="D1621" s="262"/>
      <c r="E1621" s="260"/>
      <c r="F1621" s="132"/>
      <c r="G1621" s="140"/>
      <c r="H1621" s="131"/>
      <c r="I1621" s="131"/>
      <c r="J1621" s="131"/>
      <c r="K1621" s="131"/>
      <c r="L1621" s="131"/>
      <c r="M1621" s="131"/>
      <c r="N1621" s="131"/>
      <c r="O1621" s="131"/>
      <c r="P1621" s="131"/>
      <c r="Q1621" s="131"/>
      <c r="R1621" s="131"/>
      <c r="S1621" s="131"/>
      <c r="T1621" s="131"/>
      <c r="U1621" s="131"/>
      <c r="V1621" s="131"/>
      <c r="W1621" s="131"/>
      <c r="X1621" s="131"/>
      <c r="Y1621" s="131"/>
      <c r="Z1621" s="131"/>
    </row>
    <row r="1622">
      <c r="A1622" s="262"/>
      <c r="B1622" s="262"/>
      <c r="C1622" s="262"/>
      <c r="D1622" s="262"/>
      <c r="E1622" s="260"/>
      <c r="F1622" s="132"/>
      <c r="G1622" s="140"/>
      <c r="H1622" s="131"/>
      <c r="I1622" s="131"/>
      <c r="J1622" s="131"/>
      <c r="K1622" s="131"/>
      <c r="L1622" s="131"/>
      <c r="M1622" s="131"/>
      <c r="N1622" s="131"/>
      <c r="O1622" s="131"/>
      <c r="P1622" s="131"/>
      <c r="Q1622" s="131"/>
      <c r="R1622" s="131"/>
      <c r="S1622" s="131"/>
      <c r="T1622" s="131"/>
      <c r="U1622" s="131"/>
      <c r="V1622" s="131"/>
      <c r="W1622" s="131"/>
      <c r="X1622" s="131"/>
      <c r="Y1622" s="131"/>
      <c r="Z1622" s="131"/>
    </row>
    <row r="1623">
      <c r="A1623" s="262"/>
      <c r="B1623" s="262"/>
      <c r="C1623" s="262"/>
      <c r="D1623" s="262"/>
      <c r="E1623" s="260"/>
      <c r="F1623" s="132"/>
      <c r="G1623" s="140"/>
      <c r="H1623" s="131"/>
      <c r="I1623" s="131"/>
      <c r="J1623" s="131"/>
      <c r="K1623" s="131"/>
      <c r="L1623" s="131"/>
      <c r="M1623" s="131"/>
      <c r="N1623" s="131"/>
      <c r="O1623" s="131"/>
      <c r="P1623" s="131"/>
      <c r="Q1623" s="131"/>
      <c r="R1623" s="131"/>
      <c r="S1623" s="131"/>
      <c r="T1623" s="131"/>
      <c r="U1623" s="131"/>
      <c r="V1623" s="131"/>
      <c r="W1623" s="131"/>
      <c r="X1623" s="131"/>
      <c r="Y1623" s="131"/>
      <c r="Z1623" s="131"/>
    </row>
    <row r="1624">
      <c r="A1624" s="262"/>
      <c r="B1624" s="262"/>
      <c r="C1624" s="262"/>
      <c r="D1624" s="262"/>
      <c r="E1624" s="260"/>
      <c r="F1624" s="132"/>
      <c r="G1624" s="140"/>
      <c r="H1624" s="131"/>
      <c r="I1624" s="131"/>
      <c r="J1624" s="131"/>
      <c r="K1624" s="131"/>
      <c r="L1624" s="131"/>
      <c r="M1624" s="131"/>
      <c r="N1624" s="131"/>
      <c r="O1624" s="131"/>
      <c r="P1624" s="131"/>
      <c r="Q1624" s="131"/>
      <c r="R1624" s="131"/>
      <c r="S1624" s="131"/>
      <c r="T1624" s="131"/>
      <c r="U1624" s="131"/>
      <c r="V1624" s="131"/>
      <c r="W1624" s="131"/>
      <c r="X1624" s="131"/>
      <c r="Y1624" s="131"/>
      <c r="Z1624" s="131"/>
    </row>
    <row r="1625">
      <c r="A1625" s="262"/>
      <c r="B1625" s="262"/>
      <c r="C1625" s="262"/>
      <c r="D1625" s="262"/>
      <c r="E1625" s="260"/>
      <c r="F1625" s="132"/>
      <c r="G1625" s="140"/>
      <c r="H1625" s="131"/>
      <c r="I1625" s="131"/>
      <c r="J1625" s="131"/>
      <c r="K1625" s="131"/>
      <c r="L1625" s="131"/>
      <c r="M1625" s="131"/>
      <c r="N1625" s="131"/>
      <c r="O1625" s="131"/>
      <c r="P1625" s="131"/>
      <c r="Q1625" s="131"/>
      <c r="R1625" s="131"/>
      <c r="S1625" s="131"/>
      <c r="T1625" s="131"/>
      <c r="U1625" s="131"/>
      <c r="V1625" s="131"/>
      <c r="W1625" s="131"/>
      <c r="X1625" s="131"/>
      <c r="Y1625" s="131"/>
      <c r="Z1625" s="131"/>
    </row>
    <row r="1626">
      <c r="A1626" s="262"/>
      <c r="B1626" s="262"/>
      <c r="C1626" s="262"/>
      <c r="D1626" s="262"/>
      <c r="E1626" s="260"/>
      <c r="F1626" s="132"/>
      <c r="G1626" s="140"/>
      <c r="H1626" s="131"/>
      <c r="I1626" s="131"/>
      <c r="J1626" s="131"/>
      <c r="K1626" s="131"/>
      <c r="L1626" s="131"/>
      <c r="M1626" s="131"/>
      <c r="N1626" s="131"/>
      <c r="O1626" s="131"/>
      <c r="P1626" s="131"/>
      <c r="Q1626" s="131"/>
      <c r="R1626" s="131"/>
      <c r="S1626" s="131"/>
      <c r="T1626" s="131"/>
      <c r="U1626" s="131"/>
      <c r="V1626" s="131"/>
      <c r="W1626" s="131"/>
      <c r="X1626" s="131"/>
      <c r="Y1626" s="131"/>
      <c r="Z1626" s="131"/>
    </row>
    <row r="1627">
      <c r="A1627" s="262"/>
      <c r="B1627" s="262"/>
      <c r="C1627" s="262"/>
      <c r="D1627" s="262"/>
      <c r="E1627" s="260"/>
      <c r="F1627" s="132"/>
      <c r="G1627" s="140"/>
      <c r="H1627" s="131"/>
      <c r="I1627" s="131"/>
      <c r="J1627" s="131"/>
      <c r="K1627" s="131"/>
      <c r="L1627" s="131"/>
      <c r="M1627" s="131"/>
      <c r="N1627" s="131"/>
      <c r="O1627" s="131"/>
      <c r="P1627" s="131"/>
      <c r="Q1627" s="131"/>
      <c r="R1627" s="131"/>
      <c r="S1627" s="131"/>
      <c r="T1627" s="131"/>
      <c r="U1627" s="131"/>
      <c r="V1627" s="131"/>
      <c r="W1627" s="131"/>
      <c r="X1627" s="131"/>
      <c r="Y1627" s="131"/>
      <c r="Z1627" s="131"/>
    </row>
    <row r="1628">
      <c r="A1628" s="262"/>
      <c r="B1628" s="262"/>
      <c r="C1628" s="262"/>
      <c r="D1628" s="262"/>
      <c r="E1628" s="260"/>
      <c r="F1628" s="132"/>
      <c r="G1628" s="140"/>
      <c r="H1628" s="131"/>
      <c r="I1628" s="131"/>
      <c r="J1628" s="131"/>
      <c r="K1628" s="131"/>
      <c r="L1628" s="131"/>
      <c r="M1628" s="131"/>
      <c r="N1628" s="131"/>
      <c r="O1628" s="131"/>
      <c r="P1628" s="131"/>
      <c r="Q1628" s="131"/>
      <c r="R1628" s="131"/>
      <c r="S1628" s="131"/>
      <c r="T1628" s="131"/>
      <c r="U1628" s="131"/>
      <c r="V1628" s="131"/>
      <c r="W1628" s="131"/>
      <c r="X1628" s="131"/>
      <c r="Y1628" s="131"/>
      <c r="Z1628" s="131"/>
    </row>
    <row r="1629">
      <c r="A1629" s="262"/>
      <c r="B1629" s="262"/>
      <c r="C1629" s="262"/>
      <c r="D1629" s="262"/>
      <c r="E1629" s="260"/>
      <c r="F1629" s="132"/>
      <c r="G1629" s="140"/>
      <c r="H1629" s="131"/>
      <c r="I1629" s="131"/>
      <c r="J1629" s="131"/>
      <c r="K1629" s="131"/>
      <c r="L1629" s="131"/>
      <c r="M1629" s="131"/>
      <c r="N1629" s="131"/>
      <c r="O1629" s="131"/>
      <c r="P1629" s="131"/>
      <c r="Q1629" s="131"/>
      <c r="R1629" s="131"/>
      <c r="S1629" s="131"/>
      <c r="T1629" s="131"/>
      <c r="U1629" s="131"/>
      <c r="V1629" s="131"/>
      <c r="W1629" s="131"/>
      <c r="X1629" s="131"/>
      <c r="Y1629" s="131"/>
      <c r="Z1629" s="131"/>
    </row>
    <row r="1630">
      <c r="A1630" s="262"/>
      <c r="B1630" s="262"/>
      <c r="C1630" s="262"/>
      <c r="D1630" s="262"/>
      <c r="E1630" s="260"/>
      <c r="F1630" s="132"/>
      <c r="G1630" s="140"/>
      <c r="H1630" s="131"/>
      <c r="I1630" s="131"/>
      <c r="J1630" s="131"/>
      <c r="K1630" s="131"/>
      <c r="L1630" s="131"/>
      <c r="M1630" s="131"/>
      <c r="N1630" s="131"/>
      <c r="O1630" s="131"/>
      <c r="P1630" s="131"/>
      <c r="Q1630" s="131"/>
      <c r="R1630" s="131"/>
      <c r="S1630" s="131"/>
      <c r="T1630" s="131"/>
      <c r="U1630" s="131"/>
      <c r="V1630" s="131"/>
      <c r="W1630" s="131"/>
      <c r="X1630" s="131"/>
      <c r="Y1630" s="131"/>
      <c r="Z1630" s="131"/>
    </row>
    <row r="1631">
      <c r="A1631" s="262"/>
      <c r="B1631" s="262"/>
      <c r="C1631" s="262"/>
      <c r="D1631" s="262"/>
      <c r="E1631" s="260"/>
      <c r="F1631" s="132"/>
      <c r="G1631" s="140"/>
      <c r="H1631" s="131"/>
      <c r="I1631" s="131"/>
      <c r="J1631" s="131"/>
      <c r="K1631" s="131"/>
      <c r="L1631" s="131"/>
      <c r="M1631" s="131"/>
      <c r="N1631" s="131"/>
      <c r="O1631" s="131"/>
      <c r="P1631" s="131"/>
      <c r="Q1631" s="131"/>
      <c r="R1631" s="131"/>
      <c r="S1631" s="131"/>
      <c r="T1631" s="131"/>
      <c r="U1631" s="131"/>
      <c r="V1631" s="131"/>
      <c r="W1631" s="131"/>
      <c r="X1631" s="131"/>
      <c r="Y1631" s="131"/>
      <c r="Z1631" s="131"/>
    </row>
    <row r="1632">
      <c r="A1632" s="262"/>
      <c r="B1632" s="262"/>
      <c r="C1632" s="262"/>
      <c r="D1632" s="262"/>
      <c r="E1632" s="260"/>
      <c r="F1632" s="132"/>
      <c r="G1632" s="140"/>
      <c r="H1632" s="131"/>
      <c r="I1632" s="131"/>
      <c r="J1632" s="131"/>
      <c r="K1632" s="131"/>
      <c r="L1632" s="131"/>
      <c r="M1632" s="131"/>
      <c r="N1632" s="131"/>
      <c r="O1632" s="131"/>
      <c r="P1632" s="131"/>
      <c r="Q1632" s="131"/>
      <c r="R1632" s="131"/>
      <c r="S1632" s="131"/>
      <c r="T1632" s="131"/>
      <c r="U1632" s="131"/>
      <c r="V1632" s="131"/>
      <c r="W1632" s="131"/>
      <c r="X1632" s="131"/>
      <c r="Y1632" s="131"/>
      <c r="Z1632" s="131"/>
    </row>
    <row r="1633">
      <c r="A1633" s="262"/>
      <c r="B1633" s="262"/>
      <c r="C1633" s="262"/>
      <c r="D1633" s="262"/>
      <c r="E1633" s="260"/>
      <c r="F1633" s="132"/>
      <c r="G1633" s="140"/>
      <c r="H1633" s="131"/>
      <c r="I1633" s="131"/>
      <c r="J1633" s="131"/>
      <c r="K1633" s="131"/>
      <c r="L1633" s="131"/>
      <c r="M1633" s="131"/>
      <c r="N1633" s="131"/>
      <c r="O1633" s="131"/>
      <c r="P1633" s="131"/>
      <c r="Q1633" s="131"/>
      <c r="R1633" s="131"/>
      <c r="S1633" s="131"/>
      <c r="T1633" s="131"/>
      <c r="U1633" s="131"/>
      <c r="V1633" s="131"/>
      <c r="W1633" s="131"/>
      <c r="X1633" s="131"/>
      <c r="Y1633" s="131"/>
      <c r="Z1633" s="131"/>
    </row>
    <row r="1634">
      <c r="A1634" s="262"/>
      <c r="B1634" s="262"/>
      <c r="C1634" s="262"/>
      <c r="D1634" s="262"/>
      <c r="E1634" s="260"/>
      <c r="F1634" s="132"/>
      <c r="G1634" s="140"/>
      <c r="H1634" s="131"/>
      <c r="I1634" s="131"/>
      <c r="J1634" s="131"/>
      <c r="K1634" s="131"/>
      <c r="L1634" s="131"/>
      <c r="M1634" s="131"/>
      <c r="N1634" s="131"/>
      <c r="O1634" s="131"/>
      <c r="P1634" s="131"/>
      <c r="Q1634" s="131"/>
      <c r="R1634" s="131"/>
      <c r="S1634" s="131"/>
      <c r="T1634" s="131"/>
      <c r="U1634" s="131"/>
      <c r="V1634" s="131"/>
      <c r="W1634" s="131"/>
      <c r="X1634" s="131"/>
      <c r="Y1634" s="131"/>
      <c r="Z1634" s="131"/>
    </row>
    <row r="1635">
      <c r="A1635" s="262"/>
      <c r="B1635" s="262"/>
      <c r="C1635" s="262"/>
      <c r="D1635" s="262"/>
      <c r="E1635" s="260"/>
      <c r="F1635" s="132"/>
      <c r="G1635" s="140"/>
      <c r="H1635" s="131"/>
      <c r="I1635" s="131"/>
      <c r="J1635" s="131"/>
      <c r="K1635" s="131"/>
      <c r="L1635" s="131"/>
      <c r="M1635" s="131"/>
      <c r="N1635" s="131"/>
      <c r="O1635" s="131"/>
      <c r="P1635" s="131"/>
      <c r="Q1635" s="131"/>
      <c r="R1635" s="131"/>
      <c r="S1635" s="131"/>
      <c r="T1635" s="131"/>
      <c r="U1635" s="131"/>
      <c r="V1635" s="131"/>
      <c r="W1635" s="131"/>
      <c r="X1635" s="131"/>
      <c r="Y1635" s="131"/>
      <c r="Z1635" s="131"/>
    </row>
    <row r="1636">
      <c r="A1636" s="262"/>
      <c r="B1636" s="262"/>
      <c r="C1636" s="262"/>
      <c r="D1636" s="262"/>
      <c r="E1636" s="260"/>
      <c r="F1636" s="132"/>
      <c r="G1636" s="140"/>
      <c r="H1636" s="131"/>
      <c r="I1636" s="131"/>
      <c r="J1636" s="131"/>
      <c r="K1636" s="131"/>
      <c r="L1636" s="131"/>
      <c r="M1636" s="131"/>
      <c r="N1636" s="131"/>
      <c r="O1636" s="131"/>
      <c r="P1636" s="131"/>
      <c r="Q1636" s="131"/>
      <c r="R1636" s="131"/>
      <c r="S1636" s="131"/>
      <c r="T1636" s="131"/>
      <c r="U1636" s="131"/>
      <c r="V1636" s="131"/>
      <c r="W1636" s="131"/>
      <c r="X1636" s="131"/>
      <c r="Y1636" s="131"/>
      <c r="Z1636" s="131"/>
    </row>
    <row r="1637">
      <c r="A1637" s="262"/>
      <c r="B1637" s="262"/>
      <c r="C1637" s="262"/>
      <c r="D1637" s="262"/>
      <c r="E1637" s="260"/>
      <c r="F1637" s="132"/>
      <c r="G1637" s="140"/>
      <c r="H1637" s="131"/>
      <c r="I1637" s="131"/>
      <c r="J1637" s="131"/>
      <c r="K1637" s="131"/>
      <c r="L1637" s="131"/>
      <c r="M1637" s="131"/>
      <c r="N1637" s="131"/>
      <c r="O1637" s="131"/>
      <c r="P1637" s="131"/>
      <c r="Q1637" s="131"/>
      <c r="R1637" s="131"/>
      <c r="S1637" s="131"/>
      <c r="T1637" s="131"/>
      <c r="U1637" s="131"/>
      <c r="V1637" s="131"/>
      <c r="W1637" s="131"/>
      <c r="X1637" s="131"/>
      <c r="Y1637" s="131"/>
      <c r="Z1637" s="131"/>
    </row>
    <row r="1638">
      <c r="A1638" s="262"/>
      <c r="B1638" s="262"/>
      <c r="C1638" s="262"/>
      <c r="D1638" s="262"/>
      <c r="E1638" s="260"/>
      <c r="F1638" s="132"/>
      <c r="G1638" s="140"/>
      <c r="H1638" s="131"/>
      <c r="I1638" s="131"/>
      <c r="J1638" s="131"/>
      <c r="K1638" s="131"/>
      <c r="L1638" s="131"/>
      <c r="M1638" s="131"/>
      <c r="N1638" s="131"/>
      <c r="O1638" s="131"/>
      <c r="P1638" s="131"/>
      <c r="Q1638" s="131"/>
      <c r="R1638" s="131"/>
      <c r="S1638" s="131"/>
      <c r="T1638" s="131"/>
      <c r="U1638" s="131"/>
      <c r="V1638" s="131"/>
      <c r="W1638" s="131"/>
      <c r="X1638" s="131"/>
      <c r="Y1638" s="131"/>
      <c r="Z1638" s="131"/>
    </row>
    <row r="1639">
      <c r="A1639" s="262"/>
      <c r="B1639" s="262"/>
      <c r="C1639" s="262"/>
      <c r="D1639" s="262"/>
      <c r="E1639" s="260"/>
      <c r="F1639" s="132"/>
      <c r="G1639" s="140"/>
      <c r="H1639" s="131"/>
      <c r="I1639" s="131"/>
      <c r="J1639" s="131"/>
      <c r="K1639" s="131"/>
      <c r="L1639" s="131"/>
      <c r="M1639" s="131"/>
      <c r="N1639" s="131"/>
      <c r="O1639" s="131"/>
      <c r="P1639" s="131"/>
      <c r="Q1639" s="131"/>
      <c r="R1639" s="131"/>
      <c r="S1639" s="131"/>
      <c r="T1639" s="131"/>
      <c r="U1639" s="131"/>
      <c r="V1639" s="131"/>
      <c r="W1639" s="131"/>
      <c r="X1639" s="131"/>
      <c r="Y1639" s="131"/>
      <c r="Z1639" s="131"/>
    </row>
    <row r="1640">
      <c r="A1640" s="262"/>
      <c r="B1640" s="262"/>
      <c r="C1640" s="262"/>
      <c r="D1640" s="262"/>
      <c r="E1640" s="260"/>
      <c r="F1640" s="132"/>
      <c r="G1640" s="140"/>
      <c r="H1640" s="131"/>
      <c r="I1640" s="131"/>
      <c r="J1640" s="131"/>
      <c r="K1640" s="131"/>
      <c r="L1640" s="131"/>
      <c r="M1640" s="131"/>
      <c r="N1640" s="131"/>
      <c r="O1640" s="131"/>
      <c r="P1640" s="131"/>
      <c r="Q1640" s="131"/>
      <c r="R1640" s="131"/>
      <c r="S1640" s="131"/>
      <c r="T1640" s="131"/>
      <c r="U1640" s="131"/>
      <c r="V1640" s="131"/>
      <c r="W1640" s="131"/>
      <c r="X1640" s="131"/>
      <c r="Y1640" s="131"/>
      <c r="Z1640" s="131"/>
    </row>
    <row r="1641">
      <c r="A1641" s="262"/>
      <c r="B1641" s="262"/>
      <c r="C1641" s="262"/>
      <c r="D1641" s="262"/>
      <c r="E1641" s="260"/>
      <c r="F1641" s="132"/>
      <c r="G1641" s="140"/>
      <c r="H1641" s="131"/>
      <c r="I1641" s="131"/>
      <c r="J1641" s="131"/>
      <c r="K1641" s="131"/>
      <c r="L1641" s="131"/>
      <c r="M1641" s="131"/>
      <c r="N1641" s="131"/>
      <c r="O1641" s="131"/>
      <c r="P1641" s="131"/>
      <c r="Q1641" s="131"/>
      <c r="R1641" s="131"/>
      <c r="S1641" s="131"/>
      <c r="T1641" s="131"/>
      <c r="U1641" s="131"/>
      <c r="V1641" s="131"/>
      <c r="W1641" s="131"/>
      <c r="X1641" s="131"/>
      <c r="Y1641" s="131"/>
      <c r="Z1641" s="131"/>
    </row>
    <row r="1642">
      <c r="A1642" s="262"/>
      <c r="B1642" s="262"/>
      <c r="C1642" s="262"/>
      <c r="D1642" s="262"/>
      <c r="E1642" s="260"/>
      <c r="F1642" s="132"/>
      <c r="G1642" s="140"/>
      <c r="H1642" s="131"/>
      <c r="I1642" s="131"/>
      <c r="J1642" s="131"/>
      <c r="K1642" s="131"/>
      <c r="L1642" s="131"/>
      <c r="M1642" s="131"/>
      <c r="N1642" s="131"/>
      <c r="O1642" s="131"/>
      <c r="P1642" s="131"/>
      <c r="Q1642" s="131"/>
      <c r="R1642" s="131"/>
      <c r="S1642" s="131"/>
      <c r="T1642" s="131"/>
      <c r="U1642" s="131"/>
      <c r="V1642" s="131"/>
      <c r="W1642" s="131"/>
      <c r="X1642" s="131"/>
      <c r="Y1642" s="131"/>
      <c r="Z1642" s="131"/>
    </row>
    <row r="1643">
      <c r="A1643" s="262"/>
      <c r="B1643" s="262"/>
      <c r="C1643" s="262"/>
      <c r="D1643" s="262"/>
      <c r="E1643" s="260"/>
      <c r="F1643" s="132"/>
      <c r="G1643" s="140"/>
      <c r="H1643" s="131"/>
      <c r="I1643" s="131"/>
      <c r="J1643" s="131"/>
      <c r="K1643" s="131"/>
      <c r="L1643" s="131"/>
      <c r="M1643" s="131"/>
      <c r="N1643" s="131"/>
      <c r="O1643" s="131"/>
      <c r="P1643" s="131"/>
      <c r="Q1643" s="131"/>
      <c r="R1643" s="131"/>
      <c r="S1643" s="131"/>
      <c r="T1643" s="131"/>
      <c r="U1643" s="131"/>
      <c r="V1643" s="131"/>
      <c r="W1643" s="131"/>
      <c r="X1643" s="131"/>
      <c r="Y1643" s="131"/>
      <c r="Z1643" s="131"/>
    </row>
    <row r="1644">
      <c r="A1644" s="262"/>
      <c r="B1644" s="262"/>
      <c r="C1644" s="262"/>
      <c r="D1644" s="262"/>
      <c r="E1644" s="260"/>
      <c r="F1644" s="132"/>
      <c r="G1644" s="140"/>
      <c r="H1644" s="131"/>
      <c r="I1644" s="131"/>
      <c r="J1644" s="131"/>
      <c r="K1644" s="131"/>
      <c r="L1644" s="131"/>
      <c r="M1644" s="131"/>
      <c r="N1644" s="131"/>
      <c r="O1644" s="131"/>
      <c r="P1644" s="131"/>
      <c r="Q1644" s="131"/>
      <c r="R1644" s="131"/>
      <c r="S1644" s="131"/>
      <c r="T1644" s="131"/>
      <c r="U1644" s="131"/>
      <c r="V1644" s="131"/>
      <c r="W1644" s="131"/>
      <c r="X1644" s="131"/>
      <c r="Y1644" s="131"/>
      <c r="Z1644" s="131"/>
    </row>
    <row r="1645">
      <c r="A1645" s="262"/>
      <c r="B1645" s="262"/>
      <c r="C1645" s="262"/>
      <c r="D1645" s="262"/>
      <c r="E1645" s="260"/>
      <c r="F1645" s="132"/>
      <c r="G1645" s="140"/>
      <c r="H1645" s="131"/>
      <c r="I1645" s="131"/>
      <c r="J1645" s="131"/>
      <c r="K1645" s="131"/>
      <c r="L1645" s="131"/>
      <c r="M1645" s="131"/>
      <c r="N1645" s="131"/>
      <c r="O1645" s="131"/>
      <c r="P1645" s="131"/>
      <c r="Q1645" s="131"/>
      <c r="R1645" s="131"/>
      <c r="S1645" s="131"/>
      <c r="T1645" s="131"/>
      <c r="U1645" s="131"/>
      <c r="V1645" s="131"/>
      <c r="W1645" s="131"/>
      <c r="X1645" s="131"/>
      <c r="Y1645" s="131"/>
      <c r="Z1645" s="131"/>
    </row>
    <row r="1646">
      <c r="A1646" s="262"/>
      <c r="B1646" s="262"/>
      <c r="C1646" s="262"/>
      <c r="D1646" s="262"/>
      <c r="E1646" s="260"/>
      <c r="F1646" s="132"/>
      <c r="G1646" s="140"/>
      <c r="H1646" s="131"/>
      <c r="I1646" s="131"/>
      <c r="J1646" s="131"/>
      <c r="K1646" s="131"/>
      <c r="L1646" s="131"/>
      <c r="M1646" s="131"/>
      <c r="N1646" s="131"/>
      <c r="O1646" s="131"/>
      <c r="P1646" s="131"/>
      <c r="Q1646" s="131"/>
      <c r="R1646" s="131"/>
      <c r="S1646" s="131"/>
      <c r="T1646" s="131"/>
      <c r="U1646" s="131"/>
      <c r="V1646" s="131"/>
      <c r="W1646" s="131"/>
      <c r="X1646" s="131"/>
      <c r="Y1646" s="131"/>
      <c r="Z1646" s="131"/>
    </row>
    <row r="1647">
      <c r="A1647" s="262"/>
      <c r="B1647" s="262"/>
      <c r="C1647" s="262"/>
      <c r="D1647" s="262"/>
      <c r="E1647" s="260"/>
      <c r="F1647" s="132"/>
      <c r="G1647" s="140"/>
      <c r="H1647" s="131"/>
      <c r="I1647" s="131"/>
      <c r="J1647" s="131"/>
      <c r="K1647" s="131"/>
      <c r="L1647" s="131"/>
      <c r="M1647" s="131"/>
      <c r="N1647" s="131"/>
      <c r="O1647" s="131"/>
      <c r="P1647" s="131"/>
      <c r="Q1647" s="131"/>
      <c r="R1647" s="131"/>
      <c r="S1647" s="131"/>
      <c r="T1647" s="131"/>
      <c r="U1647" s="131"/>
      <c r="V1647" s="131"/>
      <c r="W1647" s="131"/>
      <c r="X1647" s="131"/>
      <c r="Y1647" s="131"/>
      <c r="Z1647" s="131"/>
    </row>
    <row r="1648">
      <c r="A1648" s="262"/>
      <c r="B1648" s="262"/>
      <c r="C1648" s="262"/>
      <c r="D1648" s="262"/>
      <c r="E1648" s="260"/>
      <c r="F1648" s="132"/>
      <c r="G1648" s="140"/>
      <c r="H1648" s="131"/>
      <c r="I1648" s="131"/>
      <c r="J1648" s="131"/>
      <c r="K1648" s="131"/>
      <c r="L1648" s="131"/>
      <c r="M1648" s="131"/>
      <c r="N1648" s="131"/>
      <c r="O1648" s="131"/>
      <c r="P1648" s="131"/>
      <c r="Q1648" s="131"/>
      <c r="R1648" s="131"/>
      <c r="S1648" s="131"/>
      <c r="T1648" s="131"/>
      <c r="U1648" s="131"/>
      <c r="V1648" s="131"/>
      <c r="W1648" s="131"/>
      <c r="X1648" s="131"/>
      <c r="Y1648" s="131"/>
      <c r="Z1648" s="131"/>
    </row>
    <row r="1649">
      <c r="A1649" s="262"/>
      <c r="B1649" s="262"/>
      <c r="C1649" s="262"/>
      <c r="D1649" s="262"/>
      <c r="E1649" s="260"/>
      <c r="F1649" s="132"/>
      <c r="G1649" s="140"/>
      <c r="H1649" s="131"/>
      <c r="I1649" s="131"/>
      <c r="J1649" s="131"/>
      <c r="K1649" s="131"/>
      <c r="L1649" s="131"/>
      <c r="M1649" s="131"/>
      <c r="N1649" s="131"/>
      <c r="O1649" s="131"/>
      <c r="P1649" s="131"/>
      <c r="Q1649" s="131"/>
      <c r="R1649" s="131"/>
      <c r="S1649" s="131"/>
      <c r="T1649" s="131"/>
      <c r="U1649" s="131"/>
      <c r="V1649" s="131"/>
      <c r="W1649" s="131"/>
      <c r="X1649" s="131"/>
      <c r="Y1649" s="131"/>
      <c r="Z1649" s="131"/>
    </row>
    <row r="1650">
      <c r="A1650" s="262"/>
      <c r="B1650" s="262"/>
      <c r="C1650" s="262"/>
      <c r="D1650" s="262"/>
      <c r="E1650" s="260"/>
      <c r="F1650" s="132"/>
      <c r="G1650" s="140"/>
      <c r="H1650" s="131"/>
      <c r="I1650" s="131"/>
      <c r="J1650" s="131"/>
      <c r="K1650" s="131"/>
      <c r="L1650" s="131"/>
      <c r="M1650" s="131"/>
      <c r="N1650" s="131"/>
      <c r="O1650" s="131"/>
      <c r="P1650" s="131"/>
      <c r="Q1650" s="131"/>
      <c r="R1650" s="131"/>
      <c r="S1650" s="131"/>
      <c r="T1650" s="131"/>
      <c r="U1650" s="131"/>
      <c r="V1650" s="131"/>
      <c r="W1650" s="131"/>
      <c r="X1650" s="131"/>
      <c r="Y1650" s="131"/>
      <c r="Z1650" s="131"/>
    </row>
    <row r="1651">
      <c r="A1651" s="262"/>
      <c r="B1651" s="262"/>
      <c r="C1651" s="262"/>
      <c r="D1651" s="262"/>
      <c r="E1651" s="260"/>
      <c r="F1651" s="132"/>
      <c r="G1651" s="140"/>
      <c r="H1651" s="131"/>
      <c r="I1651" s="131"/>
      <c r="J1651" s="131"/>
      <c r="K1651" s="131"/>
      <c r="L1651" s="131"/>
      <c r="M1651" s="131"/>
      <c r="N1651" s="131"/>
      <c r="O1651" s="131"/>
      <c r="P1651" s="131"/>
      <c r="Q1651" s="131"/>
      <c r="R1651" s="131"/>
      <c r="S1651" s="131"/>
      <c r="T1651" s="131"/>
      <c r="U1651" s="131"/>
      <c r="V1651" s="131"/>
      <c r="W1651" s="131"/>
      <c r="X1651" s="131"/>
      <c r="Y1651" s="131"/>
      <c r="Z1651" s="131"/>
    </row>
    <row r="1652">
      <c r="A1652" s="262"/>
      <c r="B1652" s="262"/>
      <c r="C1652" s="262"/>
      <c r="D1652" s="262"/>
      <c r="E1652" s="260"/>
      <c r="F1652" s="132"/>
      <c r="G1652" s="140"/>
      <c r="H1652" s="131"/>
      <c r="I1652" s="131"/>
      <c r="J1652" s="131"/>
      <c r="K1652" s="131"/>
      <c r="L1652" s="131"/>
      <c r="M1652" s="131"/>
      <c r="N1652" s="131"/>
      <c r="O1652" s="131"/>
      <c r="P1652" s="131"/>
      <c r="Q1652" s="131"/>
      <c r="R1652" s="131"/>
      <c r="S1652" s="131"/>
      <c r="T1652" s="131"/>
      <c r="U1652" s="131"/>
      <c r="V1652" s="131"/>
      <c r="W1652" s="131"/>
      <c r="X1652" s="131"/>
      <c r="Y1652" s="131"/>
      <c r="Z1652" s="131"/>
    </row>
    <row r="1653">
      <c r="A1653" s="262"/>
      <c r="B1653" s="262"/>
      <c r="C1653" s="262"/>
      <c r="D1653" s="262"/>
      <c r="E1653" s="260"/>
      <c r="F1653" s="132"/>
      <c r="G1653" s="140"/>
      <c r="H1653" s="131"/>
      <c r="I1653" s="131"/>
      <c r="J1653" s="131"/>
      <c r="K1653" s="131"/>
      <c r="L1653" s="131"/>
      <c r="M1653" s="131"/>
      <c r="N1653" s="131"/>
      <c r="O1653" s="131"/>
      <c r="P1653" s="131"/>
      <c r="Q1653" s="131"/>
      <c r="R1653" s="131"/>
      <c r="S1653" s="131"/>
      <c r="T1653" s="131"/>
      <c r="U1653" s="131"/>
      <c r="V1653" s="131"/>
      <c r="W1653" s="131"/>
      <c r="X1653" s="131"/>
      <c r="Y1653" s="131"/>
      <c r="Z1653" s="131"/>
    </row>
    <row r="1654">
      <c r="A1654" s="262"/>
      <c r="B1654" s="262"/>
      <c r="C1654" s="262"/>
      <c r="D1654" s="262"/>
      <c r="E1654" s="260"/>
      <c r="F1654" s="132"/>
      <c r="G1654" s="140"/>
      <c r="H1654" s="131"/>
      <c r="I1654" s="131"/>
      <c r="J1654" s="131"/>
      <c r="K1654" s="131"/>
      <c r="L1654" s="131"/>
      <c r="M1654" s="131"/>
      <c r="N1654" s="131"/>
      <c r="O1654" s="131"/>
      <c r="P1654" s="131"/>
      <c r="Q1654" s="131"/>
      <c r="R1654" s="131"/>
      <c r="S1654" s="131"/>
      <c r="T1654" s="131"/>
      <c r="U1654" s="131"/>
      <c r="V1654" s="131"/>
      <c r="W1654" s="131"/>
      <c r="X1654" s="131"/>
      <c r="Y1654" s="131"/>
      <c r="Z1654" s="131"/>
    </row>
    <row r="1655">
      <c r="A1655" s="262"/>
      <c r="B1655" s="262"/>
      <c r="C1655" s="262"/>
      <c r="D1655" s="262"/>
      <c r="E1655" s="260"/>
      <c r="F1655" s="132"/>
      <c r="G1655" s="140"/>
      <c r="H1655" s="131"/>
      <c r="I1655" s="131"/>
      <c r="J1655" s="131"/>
      <c r="K1655" s="131"/>
      <c r="L1655" s="131"/>
      <c r="M1655" s="131"/>
      <c r="N1655" s="131"/>
      <c r="O1655" s="131"/>
      <c r="P1655" s="131"/>
      <c r="Q1655" s="131"/>
      <c r="R1655" s="131"/>
      <c r="S1655" s="131"/>
      <c r="T1655" s="131"/>
      <c r="U1655" s="131"/>
      <c r="V1655" s="131"/>
      <c r="W1655" s="131"/>
      <c r="X1655" s="131"/>
      <c r="Y1655" s="131"/>
      <c r="Z1655" s="131"/>
    </row>
    <row r="1656">
      <c r="A1656" s="262"/>
      <c r="B1656" s="262"/>
      <c r="C1656" s="262"/>
      <c r="D1656" s="262"/>
      <c r="E1656" s="260"/>
      <c r="F1656" s="132"/>
      <c r="G1656" s="140"/>
      <c r="H1656" s="131"/>
      <c r="I1656" s="131"/>
      <c r="J1656" s="131"/>
      <c r="K1656" s="131"/>
      <c r="L1656" s="131"/>
      <c r="M1656" s="131"/>
      <c r="N1656" s="131"/>
      <c r="O1656" s="131"/>
      <c r="P1656" s="131"/>
      <c r="Q1656" s="131"/>
      <c r="R1656" s="131"/>
      <c r="S1656" s="131"/>
      <c r="T1656" s="131"/>
      <c r="U1656" s="131"/>
      <c r="V1656" s="131"/>
      <c r="W1656" s="131"/>
      <c r="X1656" s="131"/>
      <c r="Y1656" s="131"/>
      <c r="Z1656" s="131"/>
    </row>
    <row r="1657">
      <c r="A1657" s="262"/>
      <c r="B1657" s="262"/>
      <c r="C1657" s="262"/>
      <c r="D1657" s="262"/>
      <c r="E1657" s="260"/>
      <c r="F1657" s="132"/>
      <c r="G1657" s="140"/>
      <c r="H1657" s="131"/>
      <c r="I1657" s="131"/>
      <c r="J1657" s="131"/>
      <c r="K1657" s="131"/>
      <c r="L1657" s="131"/>
      <c r="M1657" s="131"/>
      <c r="N1657" s="131"/>
      <c r="O1657" s="131"/>
      <c r="P1657" s="131"/>
      <c r="Q1657" s="131"/>
      <c r="R1657" s="131"/>
      <c r="S1657" s="131"/>
      <c r="T1657" s="131"/>
      <c r="U1657" s="131"/>
      <c r="V1657" s="131"/>
      <c r="W1657" s="131"/>
      <c r="X1657" s="131"/>
      <c r="Y1657" s="131"/>
      <c r="Z1657" s="131"/>
    </row>
    <row r="1658">
      <c r="A1658" s="262"/>
      <c r="B1658" s="262"/>
      <c r="C1658" s="262"/>
      <c r="D1658" s="262"/>
      <c r="E1658" s="260"/>
      <c r="F1658" s="132"/>
      <c r="G1658" s="140"/>
      <c r="H1658" s="131"/>
      <c r="I1658" s="131"/>
      <c r="J1658" s="131"/>
      <c r="K1658" s="131"/>
      <c r="L1658" s="131"/>
      <c r="M1658" s="131"/>
      <c r="N1658" s="131"/>
      <c r="O1658" s="131"/>
      <c r="P1658" s="131"/>
      <c r="Q1658" s="131"/>
      <c r="R1658" s="131"/>
      <c r="S1658" s="131"/>
      <c r="T1658" s="131"/>
      <c r="U1658" s="131"/>
      <c r="V1658" s="131"/>
      <c r="W1658" s="131"/>
      <c r="X1658" s="131"/>
      <c r="Y1658" s="131"/>
      <c r="Z1658" s="131"/>
    </row>
    <row r="1659">
      <c r="A1659" s="262"/>
      <c r="B1659" s="262"/>
      <c r="C1659" s="262"/>
      <c r="D1659" s="262"/>
      <c r="E1659" s="260"/>
      <c r="F1659" s="132"/>
      <c r="G1659" s="140"/>
      <c r="H1659" s="131"/>
      <c r="I1659" s="131"/>
      <c r="J1659" s="131"/>
      <c r="K1659" s="131"/>
      <c r="L1659" s="131"/>
      <c r="M1659" s="131"/>
      <c r="N1659" s="131"/>
      <c r="O1659" s="131"/>
      <c r="P1659" s="131"/>
      <c r="Q1659" s="131"/>
      <c r="R1659" s="131"/>
      <c r="S1659" s="131"/>
      <c r="T1659" s="131"/>
      <c r="U1659" s="131"/>
      <c r="V1659" s="131"/>
      <c r="W1659" s="131"/>
      <c r="X1659" s="131"/>
      <c r="Y1659" s="131"/>
      <c r="Z1659" s="131"/>
    </row>
    <row r="1660">
      <c r="A1660" s="262"/>
      <c r="B1660" s="262"/>
      <c r="C1660" s="262"/>
      <c r="D1660" s="262"/>
      <c r="E1660" s="260"/>
      <c r="F1660" s="132"/>
      <c r="G1660" s="140"/>
      <c r="H1660" s="131"/>
      <c r="I1660" s="131"/>
      <c r="J1660" s="131"/>
      <c r="K1660" s="131"/>
      <c r="L1660" s="131"/>
      <c r="M1660" s="131"/>
      <c r="N1660" s="131"/>
      <c r="O1660" s="131"/>
      <c r="P1660" s="131"/>
      <c r="Q1660" s="131"/>
      <c r="R1660" s="131"/>
      <c r="S1660" s="131"/>
      <c r="T1660" s="131"/>
      <c r="U1660" s="131"/>
      <c r="V1660" s="131"/>
      <c r="W1660" s="131"/>
      <c r="X1660" s="131"/>
      <c r="Y1660" s="131"/>
      <c r="Z1660" s="131"/>
    </row>
    <row r="1661">
      <c r="A1661" s="262"/>
      <c r="B1661" s="262"/>
      <c r="C1661" s="262"/>
      <c r="D1661" s="262"/>
      <c r="E1661" s="260"/>
      <c r="F1661" s="132"/>
      <c r="G1661" s="140"/>
      <c r="H1661" s="131"/>
      <c r="I1661" s="131"/>
      <c r="J1661" s="131"/>
      <c r="K1661" s="131"/>
      <c r="L1661" s="131"/>
      <c r="M1661" s="131"/>
      <c r="N1661" s="131"/>
      <c r="O1661" s="131"/>
      <c r="P1661" s="131"/>
      <c r="Q1661" s="131"/>
      <c r="R1661" s="131"/>
      <c r="S1661" s="131"/>
      <c r="T1661" s="131"/>
      <c r="U1661" s="131"/>
      <c r="V1661" s="131"/>
      <c r="W1661" s="131"/>
      <c r="X1661" s="131"/>
      <c r="Y1661" s="131"/>
      <c r="Z1661" s="131"/>
    </row>
    <row r="1662">
      <c r="A1662" s="262"/>
      <c r="B1662" s="262"/>
      <c r="C1662" s="262"/>
      <c r="D1662" s="262"/>
      <c r="E1662" s="260"/>
      <c r="F1662" s="132"/>
      <c r="G1662" s="140"/>
      <c r="H1662" s="131"/>
      <c r="I1662" s="131"/>
      <c r="J1662" s="131"/>
      <c r="K1662" s="131"/>
      <c r="L1662" s="131"/>
      <c r="M1662" s="131"/>
      <c r="N1662" s="131"/>
      <c r="O1662" s="131"/>
      <c r="P1662" s="131"/>
      <c r="Q1662" s="131"/>
      <c r="R1662" s="131"/>
      <c r="S1662" s="131"/>
      <c r="T1662" s="131"/>
      <c r="U1662" s="131"/>
      <c r="V1662" s="131"/>
      <c r="W1662" s="131"/>
      <c r="X1662" s="131"/>
      <c r="Y1662" s="131"/>
      <c r="Z1662" s="131"/>
    </row>
    <row r="1663">
      <c r="A1663" s="262"/>
      <c r="B1663" s="262"/>
      <c r="C1663" s="262"/>
      <c r="D1663" s="262"/>
      <c r="E1663" s="260"/>
      <c r="F1663" s="132"/>
      <c r="G1663" s="140"/>
      <c r="H1663" s="131"/>
      <c r="I1663" s="131"/>
      <c r="J1663" s="131"/>
      <c r="K1663" s="131"/>
      <c r="L1663" s="131"/>
      <c r="M1663" s="131"/>
      <c r="N1663" s="131"/>
      <c r="O1663" s="131"/>
      <c r="P1663" s="131"/>
      <c r="Q1663" s="131"/>
      <c r="R1663" s="131"/>
      <c r="S1663" s="131"/>
      <c r="T1663" s="131"/>
      <c r="U1663" s="131"/>
      <c r="V1663" s="131"/>
      <c r="W1663" s="131"/>
      <c r="X1663" s="131"/>
      <c r="Y1663" s="131"/>
      <c r="Z1663" s="131"/>
    </row>
    <row r="1664">
      <c r="A1664" s="262"/>
      <c r="B1664" s="262"/>
      <c r="C1664" s="262"/>
      <c r="D1664" s="262"/>
      <c r="E1664" s="260"/>
      <c r="F1664" s="132"/>
      <c r="G1664" s="140"/>
      <c r="H1664" s="131"/>
      <c r="I1664" s="131"/>
      <c r="J1664" s="131"/>
      <c r="K1664" s="131"/>
      <c r="L1664" s="131"/>
      <c r="M1664" s="131"/>
      <c r="N1664" s="131"/>
      <c r="O1664" s="131"/>
      <c r="P1664" s="131"/>
      <c r="Q1664" s="131"/>
      <c r="R1664" s="131"/>
      <c r="S1664" s="131"/>
      <c r="T1664" s="131"/>
      <c r="U1664" s="131"/>
      <c r="V1664" s="131"/>
      <c r="W1664" s="131"/>
      <c r="X1664" s="131"/>
      <c r="Y1664" s="131"/>
      <c r="Z1664" s="131"/>
    </row>
    <row r="1665">
      <c r="A1665" s="262"/>
      <c r="B1665" s="262"/>
      <c r="C1665" s="262"/>
      <c r="D1665" s="262"/>
      <c r="E1665" s="260"/>
      <c r="F1665" s="132"/>
      <c r="G1665" s="140"/>
      <c r="H1665" s="131"/>
      <c r="I1665" s="131"/>
      <c r="J1665" s="131"/>
      <c r="K1665" s="131"/>
      <c r="L1665" s="131"/>
      <c r="M1665" s="131"/>
      <c r="N1665" s="131"/>
      <c r="O1665" s="131"/>
      <c r="P1665" s="131"/>
      <c r="Q1665" s="131"/>
      <c r="R1665" s="131"/>
      <c r="S1665" s="131"/>
      <c r="T1665" s="131"/>
      <c r="U1665" s="131"/>
      <c r="V1665" s="131"/>
      <c r="W1665" s="131"/>
      <c r="X1665" s="131"/>
      <c r="Y1665" s="131"/>
      <c r="Z1665" s="131"/>
    </row>
    <row r="1666">
      <c r="A1666" s="262"/>
      <c r="B1666" s="262"/>
      <c r="C1666" s="262"/>
      <c r="D1666" s="262"/>
      <c r="E1666" s="260"/>
      <c r="F1666" s="132"/>
      <c r="G1666" s="140"/>
      <c r="H1666" s="131"/>
      <c r="I1666" s="131"/>
      <c r="J1666" s="131"/>
      <c r="K1666" s="131"/>
      <c r="L1666" s="131"/>
      <c r="M1666" s="131"/>
      <c r="N1666" s="131"/>
      <c r="O1666" s="131"/>
      <c r="P1666" s="131"/>
      <c r="Q1666" s="131"/>
      <c r="R1666" s="131"/>
      <c r="S1666" s="131"/>
      <c r="T1666" s="131"/>
      <c r="U1666" s="131"/>
      <c r="V1666" s="131"/>
      <c r="W1666" s="131"/>
      <c r="X1666" s="131"/>
      <c r="Y1666" s="131"/>
      <c r="Z1666" s="131"/>
    </row>
    <row r="1667">
      <c r="A1667" s="262"/>
      <c r="B1667" s="262"/>
      <c r="C1667" s="262"/>
      <c r="D1667" s="262"/>
      <c r="E1667" s="260"/>
      <c r="F1667" s="132"/>
      <c r="G1667" s="140"/>
      <c r="H1667" s="131"/>
      <c r="I1667" s="131"/>
      <c r="J1667" s="131"/>
      <c r="K1667" s="131"/>
      <c r="L1667" s="131"/>
      <c r="M1667" s="131"/>
      <c r="N1667" s="131"/>
      <c r="O1667" s="131"/>
      <c r="P1667" s="131"/>
      <c r="Q1667" s="131"/>
      <c r="R1667" s="131"/>
      <c r="S1667" s="131"/>
      <c r="T1667" s="131"/>
      <c r="U1667" s="131"/>
      <c r="V1667" s="131"/>
      <c r="W1667" s="131"/>
      <c r="X1667" s="131"/>
      <c r="Y1667" s="131"/>
      <c r="Z1667" s="131"/>
    </row>
    <row r="1668">
      <c r="A1668" s="262"/>
      <c r="B1668" s="262"/>
      <c r="C1668" s="262"/>
      <c r="D1668" s="262"/>
      <c r="E1668" s="260"/>
      <c r="F1668" s="132"/>
      <c r="G1668" s="140"/>
      <c r="H1668" s="131"/>
      <c r="I1668" s="131"/>
      <c r="J1668" s="131"/>
      <c r="K1668" s="131"/>
      <c r="L1668" s="131"/>
      <c r="M1668" s="131"/>
      <c r="N1668" s="131"/>
      <c r="O1668" s="131"/>
      <c r="P1668" s="131"/>
      <c r="Q1668" s="131"/>
      <c r="R1668" s="131"/>
      <c r="S1668" s="131"/>
      <c r="T1668" s="131"/>
      <c r="U1668" s="131"/>
      <c r="V1668" s="131"/>
      <c r="W1668" s="131"/>
      <c r="X1668" s="131"/>
      <c r="Y1668" s="131"/>
      <c r="Z1668" s="131"/>
    </row>
    <row r="1669">
      <c r="A1669" s="262"/>
      <c r="B1669" s="262"/>
      <c r="C1669" s="262"/>
      <c r="D1669" s="262"/>
      <c r="E1669" s="260"/>
      <c r="F1669" s="132"/>
      <c r="G1669" s="140"/>
      <c r="H1669" s="131"/>
      <c r="I1669" s="131"/>
      <c r="J1669" s="131"/>
      <c r="K1669" s="131"/>
      <c r="L1669" s="131"/>
      <c r="M1669" s="131"/>
      <c r="N1669" s="131"/>
      <c r="O1669" s="131"/>
      <c r="P1669" s="131"/>
      <c r="Q1669" s="131"/>
      <c r="R1669" s="131"/>
      <c r="S1669" s="131"/>
      <c r="T1669" s="131"/>
      <c r="U1669" s="131"/>
      <c r="V1669" s="131"/>
      <c r="W1669" s="131"/>
      <c r="X1669" s="131"/>
      <c r="Y1669" s="131"/>
      <c r="Z1669" s="131"/>
    </row>
    <row r="1670">
      <c r="A1670" s="262"/>
      <c r="B1670" s="262"/>
      <c r="C1670" s="262"/>
      <c r="D1670" s="262"/>
      <c r="E1670" s="260"/>
      <c r="F1670" s="132"/>
      <c r="G1670" s="140"/>
      <c r="H1670" s="131"/>
      <c r="I1670" s="131"/>
      <c r="J1670" s="131"/>
      <c r="K1670" s="131"/>
      <c r="L1670" s="131"/>
      <c r="M1670" s="131"/>
      <c r="N1670" s="131"/>
      <c r="O1670" s="131"/>
      <c r="P1670" s="131"/>
      <c r="Q1670" s="131"/>
      <c r="R1670" s="131"/>
      <c r="S1670" s="131"/>
      <c r="T1670" s="131"/>
      <c r="U1670" s="131"/>
      <c r="V1670" s="131"/>
      <c r="W1670" s="131"/>
      <c r="X1670" s="131"/>
      <c r="Y1670" s="131"/>
      <c r="Z1670" s="131"/>
    </row>
    <row r="1671">
      <c r="A1671" s="262"/>
      <c r="B1671" s="262"/>
      <c r="C1671" s="262"/>
      <c r="D1671" s="262"/>
      <c r="E1671" s="260"/>
      <c r="F1671" s="132"/>
      <c r="G1671" s="140"/>
      <c r="H1671" s="131"/>
      <c r="I1671" s="131"/>
      <c r="J1671" s="131"/>
      <c r="K1671" s="131"/>
      <c r="L1671" s="131"/>
      <c r="M1671" s="131"/>
      <c r="N1671" s="131"/>
      <c r="O1671" s="131"/>
      <c r="P1671" s="131"/>
      <c r="Q1671" s="131"/>
      <c r="R1671" s="131"/>
      <c r="S1671" s="131"/>
      <c r="T1671" s="131"/>
      <c r="U1671" s="131"/>
      <c r="V1671" s="131"/>
      <c r="W1671" s="131"/>
      <c r="X1671" s="131"/>
      <c r="Y1671" s="131"/>
      <c r="Z1671" s="131"/>
    </row>
    <row r="1672">
      <c r="A1672" s="262"/>
      <c r="B1672" s="262"/>
      <c r="C1672" s="262"/>
      <c r="D1672" s="262"/>
      <c r="E1672" s="260"/>
      <c r="F1672" s="132"/>
      <c r="G1672" s="140"/>
      <c r="H1672" s="131"/>
      <c r="I1672" s="131"/>
      <c r="J1672" s="131"/>
      <c r="K1672" s="131"/>
      <c r="L1672" s="131"/>
      <c r="M1672" s="131"/>
      <c r="N1672" s="131"/>
      <c r="O1672" s="131"/>
      <c r="P1672" s="131"/>
      <c r="Q1672" s="131"/>
      <c r="R1672" s="131"/>
      <c r="S1672" s="131"/>
      <c r="T1672" s="131"/>
      <c r="U1672" s="131"/>
      <c r="V1672" s="131"/>
      <c r="W1672" s="131"/>
      <c r="X1672" s="131"/>
      <c r="Y1672" s="131"/>
      <c r="Z1672" s="131"/>
    </row>
    <row r="1673">
      <c r="A1673" s="262"/>
      <c r="B1673" s="262"/>
      <c r="C1673" s="262"/>
      <c r="D1673" s="262"/>
      <c r="E1673" s="260"/>
      <c r="F1673" s="132"/>
      <c r="G1673" s="140"/>
      <c r="H1673" s="131"/>
      <c r="I1673" s="131"/>
      <c r="J1673" s="131"/>
      <c r="K1673" s="131"/>
      <c r="L1673" s="131"/>
      <c r="M1673" s="131"/>
      <c r="N1673" s="131"/>
      <c r="O1673" s="131"/>
      <c r="P1673" s="131"/>
      <c r="Q1673" s="131"/>
      <c r="R1673" s="131"/>
      <c r="S1673" s="131"/>
      <c r="T1673" s="131"/>
      <c r="U1673" s="131"/>
      <c r="V1673" s="131"/>
      <c r="W1673" s="131"/>
      <c r="X1673" s="131"/>
      <c r="Y1673" s="131"/>
      <c r="Z1673" s="131"/>
    </row>
    <row r="1674">
      <c r="A1674" s="262"/>
      <c r="B1674" s="262"/>
      <c r="C1674" s="262"/>
      <c r="D1674" s="262"/>
      <c r="E1674" s="260"/>
      <c r="F1674" s="132"/>
      <c r="G1674" s="140"/>
      <c r="H1674" s="131"/>
      <c r="I1674" s="131"/>
      <c r="J1674" s="131"/>
      <c r="K1674" s="131"/>
      <c r="L1674" s="131"/>
      <c r="M1674" s="131"/>
      <c r="N1674" s="131"/>
      <c r="O1674" s="131"/>
      <c r="P1674" s="131"/>
      <c r="Q1674" s="131"/>
      <c r="R1674" s="131"/>
      <c r="S1674" s="131"/>
      <c r="T1674" s="131"/>
      <c r="U1674" s="131"/>
      <c r="V1674" s="131"/>
      <c r="W1674" s="131"/>
      <c r="X1674" s="131"/>
      <c r="Y1674" s="131"/>
      <c r="Z1674" s="131"/>
    </row>
    <row r="1675">
      <c r="A1675" s="262"/>
      <c r="B1675" s="262"/>
      <c r="C1675" s="262"/>
      <c r="D1675" s="262"/>
      <c r="E1675" s="260"/>
      <c r="F1675" s="132"/>
      <c r="G1675" s="140"/>
      <c r="H1675" s="131"/>
      <c r="I1675" s="131"/>
      <c r="J1675" s="131"/>
      <c r="K1675" s="131"/>
      <c r="L1675" s="131"/>
      <c r="M1675" s="131"/>
      <c r="N1675" s="131"/>
      <c r="O1675" s="131"/>
      <c r="P1675" s="131"/>
      <c r="Q1675" s="131"/>
      <c r="R1675" s="131"/>
      <c r="S1675" s="131"/>
      <c r="T1675" s="131"/>
      <c r="U1675" s="131"/>
      <c r="V1675" s="131"/>
      <c r="W1675" s="131"/>
      <c r="X1675" s="131"/>
      <c r="Y1675" s="131"/>
      <c r="Z1675" s="131"/>
    </row>
    <row r="1676">
      <c r="A1676" s="262"/>
      <c r="B1676" s="262"/>
      <c r="C1676" s="262"/>
      <c r="D1676" s="262"/>
      <c r="E1676" s="260"/>
      <c r="F1676" s="132"/>
      <c r="G1676" s="140"/>
      <c r="H1676" s="131"/>
      <c r="I1676" s="131"/>
      <c r="J1676" s="131"/>
      <c r="K1676" s="131"/>
      <c r="L1676" s="131"/>
      <c r="M1676" s="131"/>
      <c r="N1676" s="131"/>
      <c r="O1676" s="131"/>
      <c r="P1676" s="131"/>
      <c r="Q1676" s="131"/>
      <c r="R1676" s="131"/>
      <c r="S1676" s="131"/>
      <c r="T1676" s="131"/>
      <c r="U1676" s="131"/>
      <c r="V1676" s="131"/>
      <c r="W1676" s="131"/>
      <c r="X1676" s="131"/>
      <c r="Y1676" s="131"/>
      <c r="Z1676" s="131"/>
    </row>
    <row r="1677">
      <c r="A1677" s="262"/>
      <c r="B1677" s="262"/>
      <c r="C1677" s="262"/>
      <c r="D1677" s="262"/>
      <c r="E1677" s="260"/>
      <c r="F1677" s="132"/>
      <c r="G1677" s="140"/>
      <c r="H1677" s="131"/>
      <c r="I1677" s="131"/>
      <c r="J1677" s="131"/>
      <c r="K1677" s="131"/>
      <c r="L1677" s="131"/>
      <c r="M1677" s="131"/>
      <c r="N1677" s="131"/>
      <c r="O1677" s="131"/>
      <c r="P1677" s="131"/>
      <c r="Q1677" s="131"/>
      <c r="R1677" s="131"/>
      <c r="S1677" s="131"/>
      <c r="T1677" s="131"/>
      <c r="U1677" s="131"/>
      <c r="V1677" s="131"/>
      <c r="W1677" s="131"/>
      <c r="X1677" s="131"/>
      <c r="Y1677" s="131"/>
      <c r="Z1677" s="131"/>
    </row>
    <row r="1678">
      <c r="A1678" s="262"/>
      <c r="B1678" s="262"/>
      <c r="C1678" s="262"/>
      <c r="D1678" s="262"/>
      <c r="E1678" s="260"/>
      <c r="F1678" s="132"/>
      <c r="G1678" s="140"/>
      <c r="H1678" s="131"/>
      <c r="I1678" s="131"/>
      <c r="J1678" s="131"/>
      <c r="K1678" s="131"/>
      <c r="L1678" s="131"/>
      <c r="M1678" s="131"/>
      <c r="N1678" s="131"/>
      <c r="O1678" s="131"/>
      <c r="P1678" s="131"/>
      <c r="Q1678" s="131"/>
      <c r="R1678" s="131"/>
      <c r="S1678" s="131"/>
      <c r="T1678" s="131"/>
      <c r="U1678" s="131"/>
      <c r="V1678" s="131"/>
      <c r="W1678" s="131"/>
      <c r="X1678" s="131"/>
      <c r="Y1678" s="131"/>
      <c r="Z1678" s="131"/>
    </row>
    <row r="1679">
      <c r="A1679" s="262"/>
      <c r="B1679" s="262"/>
      <c r="C1679" s="262"/>
      <c r="D1679" s="262"/>
      <c r="E1679" s="260"/>
      <c r="F1679" s="132"/>
      <c r="G1679" s="140"/>
      <c r="H1679" s="131"/>
      <c r="I1679" s="131"/>
      <c r="J1679" s="131"/>
      <c r="K1679" s="131"/>
      <c r="L1679" s="131"/>
      <c r="M1679" s="131"/>
      <c r="N1679" s="131"/>
      <c r="O1679" s="131"/>
      <c r="P1679" s="131"/>
      <c r="Q1679" s="131"/>
      <c r="R1679" s="131"/>
      <c r="S1679" s="131"/>
      <c r="T1679" s="131"/>
      <c r="U1679" s="131"/>
      <c r="V1679" s="131"/>
      <c r="W1679" s="131"/>
      <c r="X1679" s="131"/>
      <c r="Y1679" s="131"/>
      <c r="Z1679" s="131"/>
    </row>
    <row r="1680">
      <c r="A1680" s="262"/>
      <c r="B1680" s="262"/>
      <c r="C1680" s="262"/>
      <c r="D1680" s="262"/>
      <c r="E1680" s="260"/>
      <c r="F1680" s="132"/>
      <c r="G1680" s="140"/>
      <c r="H1680" s="131"/>
      <c r="I1680" s="131"/>
      <c r="J1680" s="131"/>
      <c r="K1680" s="131"/>
      <c r="L1680" s="131"/>
      <c r="M1680" s="131"/>
      <c r="N1680" s="131"/>
      <c r="O1680" s="131"/>
      <c r="P1680" s="131"/>
      <c r="Q1680" s="131"/>
      <c r="R1680" s="131"/>
      <c r="S1680" s="131"/>
      <c r="T1680" s="131"/>
      <c r="U1680" s="131"/>
      <c r="V1680" s="131"/>
      <c r="W1680" s="131"/>
      <c r="X1680" s="131"/>
      <c r="Y1680" s="131"/>
      <c r="Z1680" s="131"/>
    </row>
    <row r="1681">
      <c r="A1681" s="262"/>
      <c r="B1681" s="262"/>
      <c r="C1681" s="262"/>
      <c r="D1681" s="262"/>
      <c r="E1681" s="260"/>
      <c r="F1681" s="132"/>
      <c r="G1681" s="140"/>
      <c r="H1681" s="131"/>
      <c r="I1681" s="131"/>
      <c r="J1681" s="131"/>
      <c r="K1681" s="131"/>
      <c r="L1681" s="131"/>
      <c r="M1681" s="131"/>
      <c r="N1681" s="131"/>
      <c r="O1681" s="131"/>
      <c r="P1681" s="131"/>
      <c r="Q1681" s="131"/>
      <c r="R1681" s="131"/>
      <c r="S1681" s="131"/>
      <c r="T1681" s="131"/>
      <c r="U1681" s="131"/>
      <c r="V1681" s="131"/>
      <c r="W1681" s="131"/>
      <c r="X1681" s="131"/>
      <c r="Y1681" s="131"/>
      <c r="Z1681" s="131"/>
    </row>
    <row r="1682">
      <c r="A1682" s="262"/>
      <c r="B1682" s="262"/>
      <c r="C1682" s="262"/>
      <c r="D1682" s="262"/>
      <c r="E1682" s="260"/>
      <c r="F1682" s="132"/>
      <c r="G1682" s="140"/>
      <c r="H1682" s="131"/>
      <c r="I1682" s="131"/>
      <c r="J1682" s="131"/>
      <c r="K1682" s="131"/>
      <c r="L1682" s="131"/>
      <c r="M1682" s="131"/>
      <c r="N1682" s="131"/>
      <c r="O1682" s="131"/>
      <c r="P1682" s="131"/>
      <c r="Q1682" s="131"/>
      <c r="R1682" s="131"/>
      <c r="S1682" s="131"/>
      <c r="T1682" s="131"/>
      <c r="U1682" s="131"/>
      <c r="V1682" s="131"/>
      <c r="W1682" s="131"/>
      <c r="X1682" s="131"/>
      <c r="Y1682" s="131"/>
      <c r="Z1682" s="131"/>
    </row>
    <row r="1683">
      <c r="A1683" s="262"/>
      <c r="B1683" s="262"/>
      <c r="C1683" s="262"/>
      <c r="D1683" s="262"/>
      <c r="E1683" s="260"/>
      <c r="F1683" s="132"/>
      <c r="G1683" s="140"/>
      <c r="H1683" s="131"/>
      <c r="I1683" s="131"/>
      <c r="J1683" s="131"/>
      <c r="K1683" s="131"/>
      <c r="L1683" s="131"/>
      <c r="M1683" s="131"/>
      <c r="N1683" s="131"/>
      <c r="O1683" s="131"/>
      <c r="P1683" s="131"/>
      <c r="Q1683" s="131"/>
      <c r="R1683" s="131"/>
      <c r="S1683" s="131"/>
      <c r="T1683" s="131"/>
      <c r="U1683" s="131"/>
      <c r="V1683" s="131"/>
      <c r="W1683" s="131"/>
      <c r="X1683" s="131"/>
      <c r="Y1683" s="131"/>
      <c r="Z1683" s="131"/>
    </row>
    <row r="1684">
      <c r="A1684" s="262"/>
      <c r="B1684" s="262"/>
      <c r="C1684" s="262"/>
      <c r="D1684" s="262"/>
      <c r="E1684" s="260"/>
      <c r="F1684" s="132"/>
      <c r="G1684" s="140"/>
      <c r="H1684" s="131"/>
      <c r="I1684" s="131"/>
      <c r="J1684" s="131"/>
      <c r="K1684" s="131"/>
      <c r="L1684" s="131"/>
      <c r="M1684" s="131"/>
      <c r="N1684" s="131"/>
      <c r="O1684" s="131"/>
      <c r="P1684" s="131"/>
      <c r="Q1684" s="131"/>
      <c r="R1684" s="131"/>
      <c r="S1684" s="131"/>
      <c r="T1684" s="131"/>
      <c r="U1684" s="131"/>
      <c r="V1684" s="131"/>
      <c r="W1684" s="131"/>
      <c r="X1684" s="131"/>
      <c r="Y1684" s="131"/>
      <c r="Z1684" s="131"/>
    </row>
    <row r="1685">
      <c r="A1685" s="262"/>
      <c r="B1685" s="262"/>
      <c r="C1685" s="262"/>
      <c r="D1685" s="262"/>
      <c r="E1685" s="260"/>
      <c r="F1685" s="132"/>
      <c r="G1685" s="140"/>
      <c r="H1685" s="131"/>
      <c r="I1685" s="131"/>
      <c r="J1685" s="131"/>
      <c r="K1685" s="131"/>
      <c r="L1685" s="131"/>
      <c r="M1685" s="131"/>
      <c r="N1685" s="131"/>
      <c r="O1685" s="131"/>
      <c r="P1685" s="131"/>
      <c r="Q1685" s="131"/>
      <c r="R1685" s="131"/>
      <c r="S1685" s="131"/>
      <c r="T1685" s="131"/>
      <c r="U1685" s="131"/>
      <c r="V1685" s="131"/>
      <c r="W1685" s="131"/>
      <c r="X1685" s="131"/>
      <c r="Y1685" s="131"/>
      <c r="Z1685" s="131"/>
    </row>
    <row r="1686">
      <c r="A1686" s="262"/>
      <c r="B1686" s="262"/>
      <c r="C1686" s="262"/>
      <c r="D1686" s="262"/>
      <c r="E1686" s="260"/>
      <c r="F1686" s="132"/>
      <c r="G1686" s="140"/>
      <c r="H1686" s="131"/>
      <c r="I1686" s="131"/>
      <c r="J1686" s="131"/>
      <c r="K1686" s="131"/>
      <c r="L1686" s="131"/>
      <c r="M1686" s="131"/>
      <c r="N1686" s="131"/>
      <c r="O1686" s="131"/>
      <c r="P1686" s="131"/>
      <c r="Q1686" s="131"/>
      <c r="R1686" s="131"/>
      <c r="S1686" s="131"/>
      <c r="T1686" s="131"/>
      <c r="U1686" s="131"/>
      <c r="V1686" s="131"/>
      <c r="W1686" s="131"/>
      <c r="X1686" s="131"/>
      <c r="Y1686" s="131"/>
      <c r="Z1686" s="131"/>
    </row>
    <row r="1687">
      <c r="A1687" s="262"/>
      <c r="B1687" s="262"/>
      <c r="C1687" s="262"/>
      <c r="D1687" s="262"/>
      <c r="E1687" s="260"/>
      <c r="F1687" s="132"/>
      <c r="G1687" s="140"/>
      <c r="H1687" s="131"/>
      <c r="I1687" s="131"/>
      <c r="J1687" s="131"/>
      <c r="K1687" s="131"/>
      <c r="L1687" s="131"/>
      <c r="M1687" s="131"/>
      <c r="N1687" s="131"/>
      <c r="O1687" s="131"/>
      <c r="P1687" s="131"/>
      <c r="Q1687" s="131"/>
      <c r="R1687" s="131"/>
      <c r="S1687" s="131"/>
      <c r="T1687" s="131"/>
      <c r="U1687" s="131"/>
      <c r="V1687" s="131"/>
      <c r="W1687" s="131"/>
      <c r="X1687" s="131"/>
      <c r="Y1687" s="131"/>
      <c r="Z1687" s="131"/>
    </row>
    <row r="1688">
      <c r="A1688" s="262"/>
      <c r="B1688" s="262"/>
      <c r="C1688" s="262"/>
      <c r="D1688" s="262"/>
      <c r="E1688" s="260"/>
      <c r="F1688" s="132"/>
      <c r="G1688" s="140"/>
      <c r="H1688" s="131"/>
      <c r="I1688" s="131"/>
      <c r="J1688" s="131"/>
      <c r="K1688" s="131"/>
      <c r="L1688" s="131"/>
      <c r="M1688" s="131"/>
      <c r="N1688" s="131"/>
      <c r="O1688" s="131"/>
      <c r="P1688" s="131"/>
      <c r="Q1688" s="131"/>
      <c r="R1688" s="131"/>
      <c r="S1688" s="131"/>
      <c r="T1688" s="131"/>
      <c r="U1688" s="131"/>
      <c r="V1688" s="131"/>
      <c r="W1688" s="131"/>
      <c r="X1688" s="131"/>
      <c r="Y1688" s="131"/>
      <c r="Z1688" s="131"/>
    </row>
    <row r="1689">
      <c r="A1689" s="262"/>
      <c r="B1689" s="262"/>
      <c r="C1689" s="262"/>
      <c r="D1689" s="262"/>
      <c r="E1689" s="260"/>
      <c r="F1689" s="132"/>
      <c r="G1689" s="140"/>
      <c r="H1689" s="131"/>
      <c r="I1689" s="131"/>
      <c r="J1689" s="131"/>
      <c r="K1689" s="131"/>
      <c r="L1689" s="131"/>
      <c r="M1689" s="131"/>
      <c r="N1689" s="131"/>
      <c r="O1689" s="131"/>
      <c r="P1689" s="131"/>
      <c r="Q1689" s="131"/>
      <c r="R1689" s="131"/>
      <c r="S1689" s="131"/>
      <c r="T1689" s="131"/>
      <c r="U1689" s="131"/>
      <c r="V1689" s="131"/>
      <c r="W1689" s="131"/>
      <c r="X1689" s="131"/>
      <c r="Y1689" s="131"/>
      <c r="Z1689" s="131"/>
    </row>
    <row r="1690">
      <c r="A1690" s="262"/>
      <c r="B1690" s="262"/>
      <c r="C1690" s="262"/>
      <c r="D1690" s="262"/>
      <c r="E1690" s="260"/>
      <c r="F1690" s="132"/>
      <c r="G1690" s="140"/>
      <c r="H1690" s="131"/>
      <c r="I1690" s="131"/>
      <c r="J1690" s="131"/>
      <c r="K1690" s="131"/>
      <c r="L1690" s="131"/>
      <c r="M1690" s="131"/>
      <c r="N1690" s="131"/>
      <c r="O1690" s="131"/>
      <c r="P1690" s="131"/>
      <c r="Q1690" s="131"/>
      <c r="R1690" s="131"/>
      <c r="S1690" s="131"/>
      <c r="T1690" s="131"/>
      <c r="U1690" s="131"/>
      <c r="V1690" s="131"/>
      <c r="W1690" s="131"/>
      <c r="X1690" s="131"/>
      <c r="Y1690" s="131"/>
      <c r="Z1690" s="131"/>
    </row>
    <row r="1691">
      <c r="A1691" s="262"/>
      <c r="B1691" s="262"/>
      <c r="C1691" s="262"/>
      <c r="D1691" s="262"/>
      <c r="E1691" s="260"/>
      <c r="F1691" s="132"/>
      <c r="G1691" s="140"/>
      <c r="H1691" s="131"/>
      <c r="I1691" s="131"/>
      <c r="J1691" s="131"/>
      <c r="K1691" s="131"/>
      <c r="L1691" s="131"/>
      <c r="M1691" s="131"/>
      <c r="N1691" s="131"/>
      <c r="O1691" s="131"/>
      <c r="P1691" s="131"/>
      <c r="Q1691" s="131"/>
      <c r="R1691" s="131"/>
      <c r="S1691" s="131"/>
      <c r="T1691" s="131"/>
      <c r="U1691" s="131"/>
      <c r="V1691" s="131"/>
      <c r="W1691" s="131"/>
      <c r="X1691" s="131"/>
      <c r="Y1691" s="131"/>
      <c r="Z1691" s="131"/>
    </row>
    <row r="1692">
      <c r="A1692" s="262"/>
      <c r="B1692" s="262"/>
      <c r="C1692" s="262"/>
      <c r="D1692" s="262"/>
      <c r="E1692" s="260"/>
      <c r="F1692" s="132"/>
      <c r="G1692" s="140"/>
      <c r="H1692" s="131"/>
      <c r="I1692" s="131"/>
      <c r="J1692" s="131"/>
      <c r="K1692" s="131"/>
      <c r="L1692" s="131"/>
      <c r="M1692" s="131"/>
      <c r="N1692" s="131"/>
      <c r="O1692" s="131"/>
      <c r="P1692" s="131"/>
      <c r="Q1692" s="131"/>
      <c r="R1692" s="131"/>
      <c r="S1692" s="131"/>
      <c r="T1692" s="131"/>
      <c r="U1692" s="131"/>
      <c r="V1692" s="131"/>
      <c r="W1692" s="131"/>
      <c r="X1692" s="131"/>
      <c r="Y1692" s="131"/>
      <c r="Z1692" s="131"/>
    </row>
    <row r="1693">
      <c r="A1693" s="262"/>
      <c r="B1693" s="262"/>
      <c r="C1693" s="262"/>
      <c r="D1693" s="262"/>
      <c r="E1693" s="260"/>
      <c r="F1693" s="132"/>
      <c r="G1693" s="140"/>
      <c r="H1693" s="131"/>
      <c r="I1693" s="131"/>
      <c r="J1693" s="131"/>
      <c r="K1693" s="131"/>
      <c r="L1693" s="131"/>
      <c r="M1693" s="131"/>
      <c r="N1693" s="131"/>
      <c r="O1693" s="131"/>
      <c r="P1693" s="131"/>
      <c r="Q1693" s="131"/>
      <c r="R1693" s="131"/>
      <c r="S1693" s="131"/>
      <c r="T1693" s="131"/>
      <c r="U1693" s="131"/>
      <c r="V1693" s="131"/>
      <c r="W1693" s="131"/>
      <c r="X1693" s="131"/>
      <c r="Y1693" s="131"/>
      <c r="Z1693" s="131"/>
    </row>
    <row r="1694">
      <c r="A1694" s="262"/>
      <c r="B1694" s="262"/>
      <c r="C1694" s="262"/>
      <c r="D1694" s="262"/>
      <c r="E1694" s="260"/>
      <c r="F1694" s="132"/>
      <c r="G1694" s="140"/>
      <c r="H1694" s="131"/>
      <c r="I1694" s="131"/>
      <c r="J1694" s="131"/>
      <c r="K1694" s="131"/>
      <c r="L1694" s="131"/>
      <c r="M1694" s="131"/>
      <c r="N1694" s="131"/>
      <c r="O1694" s="131"/>
      <c r="P1694" s="131"/>
      <c r="Q1694" s="131"/>
      <c r="R1694" s="131"/>
      <c r="S1694" s="131"/>
      <c r="T1694" s="131"/>
      <c r="U1694" s="131"/>
      <c r="V1694" s="131"/>
      <c r="W1694" s="131"/>
      <c r="X1694" s="131"/>
      <c r="Y1694" s="131"/>
      <c r="Z1694" s="131"/>
    </row>
    <row r="1695">
      <c r="A1695" s="262"/>
      <c r="B1695" s="262"/>
      <c r="C1695" s="262"/>
      <c r="D1695" s="262"/>
      <c r="E1695" s="260"/>
      <c r="F1695" s="132"/>
      <c r="G1695" s="140"/>
      <c r="H1695" s="131"/>
      <c r="I1695" s="131"/>
      <c r="J1695" s="131"/>
      <c r="K1695" s="131"/>
      <c r="L1695" s="131"/>
      <c r="M1695" s="131"/>
      <c r="N1695" s="131"/>
      <c r="O1695" s="131"/>
      <c r="P1695" s="131"/>
      <c r="Q1695" s="131"/>
      <c r="R1695" s="131"/>
      <c r="S1695" s="131"/>
      <c r="T1695" s="131"/>
      <c r="U1695" s="131"/>
      <c r="V1695" s="131"/>
      <c r="W1695" s="131"/>
      <c r="X1695" s="131"/>
      <c r="Y1695" s="131"/>
      <c r="Z1695" s="131"/>
    </row>
    <row r="1696">
      <c r="A1696" s="262"/>
      <c r="B1696" s="262"/>
      <c r="C1696" s="262"/>
      <c r="D1696" s="262"/>
      <c r="E1696" s="260"/>
      <c r="F1696" s="132"/>
      <c r="G1696" s="140"/>
      <c r="H1696" s="131"/>
      <c r="I1696" s="131"/>
      <c r="J1696" s="131"/>
      <c r="K1696" s="131"/>
      <c r="L1696" s="131"/>
      <c r="M1696" s="131"/>
      <c r="N1696" s="131"/>
      <c r="O1696" s="131"/>
      <c r="P1696" s="131"/>
      <c r="Q1696" s="131"/>
      <c r="R1696" s="131"/>
      <c r="S1696" s="131"/>
      <c r="T1696" s="131"/>
      <c r="U1696" s="131"/>
      <c r="V1696" s="131"/>
      <c r="W1696" s="131"/>
      <c r="X1696" s="131"/>
      <c r="Y1696" s="131"/>
      <c r="Z1696" s="131"/>
    </row>
    <row r="1697">
      <c r="A1697" s="262"/>
      <c r="B1697" s="262"/>
      <c r="C1697" s="262"/>
      <c r="D1697" s="262"/>
      <c r="E1697" s="260"/>
      <c r="F1697" s="132"/>
      <c r="G1697" s="140"/>
      <c r="H1697" s="131"/>
      <c r="I1697" s="131"/>
      <c r="J1697" s="131"/>
      <c r="K1697" s="131"/>
      <c r="L1697" s="131"/>
      <c r="M1697" s="131"/>
      <c r="N1697" s="131"/>
      <c r="O1697" s="131"/>
      <c r="P1697" s="131"/>
      <c r="Q1697" s="131"/>
      <c r="R1697" s="131"/>
      <c r="S1697" s="131"/>
      <c r="T1697" s="131"/>
      <c r="U1697" s="131"/>
      <c r="V1697" s="131"/>
      <c r="W1697" s="131"/>
      <c r="X1697" s="131"/>
      <c r="Y1697" s="131"/>
      <c r="Z1697" s="131"/>
    </row>
    <row r="1698">
      <c r="A1698" s="262"/>
      <c r="B1698" s="262"/>
      <c r="C1698" s="262"/>
      <c r="D1698" s="262"/>
      <c r="E1698" s="260"/>
      <c r="F1698" s="132"/>
      <c r="G1698" s="140"/>
      <c r="H1698" s="131"/>
      <c r="I1698" s="131"/>
      <c r="J1698" s="131"/>
      <c r="K1698" s="131"/>
      <c r="L1698" s="131"/>
      <c r="M1698" s="131"/>
      <c r="N1698" s="131"/>
      <c r="O1698" s="131"/>
      <c r="P1698" s="131"/>
      <c r="Q1698" s="131"/>
      <c r="R1698" s="131"/>
      <c r="S1698" s="131"/>
      <c r="T1698" s="131"/>
      <c r="U1698" s="131"/>
      <c r="V1698" s="131"/>
      <c r="W1698" s="131"/>
      <c r="X1698" s="131"/>
      <c r="Y1698" s="131"/>
      <c r="Z1698" s="131"/>
    </row>
    <row r="1699">
      <c r="A1699" s="262"/>
      <c r="B1699" s="262"/>
      <c r="C1699" s="262"/>
      <c r="D1699" s="262"/>
      <c r="E1699" s="260"/>
      <c r="F1699" s="132"/>
      <c r="G1699" s="140"/>
      <c r="H1699" s="131"/>
      <c r="I1699" s="131"/>
      <c r="J1699" s="131"/>
      <c r="K1699" s="131"/>
      <c r="L1699" s="131"/>
      <c r="M1699" s="131"/>
      <c r="N1699" s="131"/>
      <c r="O1699" s="131"/>
      <c r="P1699" s="131"/>
      <c r="Q1699" s="131"/>
      <c r="R1699" s="131"/>
      <c r="S1699" s="131"/>
      <c r="T1699" s="131"/>
      <c r="U1699" s="131"/>
      <c r="V1699" s="131"/>
      <c r="W1699" s="131"/>
      <c r="X1699" s="131"/>
      <c r="Y1699" s="131"/>
      <c r="Z1699" s="131"/>
    </row>
    <row r="1700">
      <c r="A1700" s="262"/>
      <c r="B1700" s="262"/>
      <c r="C1700" s="262"/>
      <c r="D1700" s="262"/>
      <c r="E1700" s="260"/>
      <c r="F1700" s="132"/>
      <c r="G1700" s="140"/>
      <c r="H1700" s="131"/>
      <c r="I1700" s="131"/>
      <c r="J1700" s="131"/>
      <c r="K1700" s="131"/>
      <c r="L1700" s="131"/>
      <c r="M1700" s="131"/>
      <c r="N1700" s="131"/>
      <c r="O1700" s="131"/>
      <c r="P1700" s="131"/>
      <c r="Q1700" s="131"/>
      <c r="R1700" s="131"/>
      <c r="S1700" s="131"/>
      <c r="T1700" s="131"/>
      <c r="U1700" s="131"/>
      <c r="V1700" s="131"/>
      <c r="W1700" s="131"/>
      <c r="X1700" s="131"/>
      <c r="Y1700" s="131"/>
      <c r="Z1700" s="131"/>
    </row>
    <row r="1701">
      <c r="A1701" s="262"/>
      <c r="B1701" s="262"/>
      <c r="C1701" s="262"/>
      <c r="D1701" s="262"/>
      <c r="E1701" s="260"/>
      <c r="F1701" s="132"/>
      <c r="G1701" s="140"/>
      <c r="H1701" s="131"/>
      <c r="I1701" s="131"/>
      <c r="J1701" s="131"/>
      <c r="K1701" s="131"/>
      <c r="L1701" s="131"/>
      <c r="M1701" s="131"/>
      <c r="N1701" s="131"/>
      <c r="O1701" s="131"/>
      <c r="P1701" s="131"/>
      <c r="Q1701" s="131"/>
      <c r="R1701" s="131"/>
      <c r="S1701" s="131"/>
      <c r="T1701" s="131"/>
      <c r="U1701" s="131"/>
      <c r="V1701" s="131"/>
      <c r="W1701" s="131"/>
      <c r="X1701" s="131"/>
      <c r="Y1701" s="131"/>
      <c r="Z1701" s="131"/>
    </row>
    <row r="1702">
      <c r="A1702" s="262"/>
      <c r="B1702" s="262"/>
      <c r="C1702" s="262"/>
      <c r="D1702" s="262"/>
      <c r="E1702" s="260"/>
      <c r="F1702" s="132"/>
      <c r="G1702" s="140"/>
      <c r="H1702" s="131"/>
      <c r="I1702" s="131"/>
      <c r="J1702" s="131"/>
      <c r="K1702" s="131"/>
      <c r="L1702" s="131"/>
      <c r="M1702" s="131"/>
      <c r="N1702" s="131"/>
      <c r="O1702" s="131"/>
      <c r="P1702" s="131"/>
      <c r="Q1702" s="131"/>
      <c r="R1702" s="131"/>
      <c r="S1702" s="131"/>
      <c r="T1702" s="131"/>
      <c r="U1702" s="131"/>
      <c r="V1702" s="131"/>
      <c r="W1702" s="131"/>
      <c r="X1702" s="131"/>
      <c r="Y1702" s="131"/>
      <c r="Z1702" s="131"/>
    </row>
    <row r="1703">
      <c r="A1703" s="262"/>
      <c r="B1703" s="262"/>
      <c r="C1703" s="262"/>
      <c r="D1703" s="262"/>
      <c r="E1703" s="260"/>
      <c r="F1703" s="132"/>
      <c r="G1703" s="140"/>
      <c r="H1703" s="131"/>
      <c r="I1703" s="131"/>
      <c r="J1703" s="131"/>
      <c r="K1703" s="131"/>
      <c r="L1703" s="131"/>
      <c r="M1703" s="131"/>
      <c r="N1703" s="131"/>
      <c r="O1703" s="131"/>
      <c r="P1703" s="131"/>
      <c r="Q1703" s="131"/>
      <c r="R1703" s="131"/>
      <c r="S1703" s="131"/>
      <c r="T1703" s="131"/>
      <c r="U1703" s="131"/>
      <c r="V1703" s="131"/>
      <c r="W1703" s="131"/>
      <c r="X1703" s="131"/>
      <c r="Y1703" s="131"/>
      <c r="Z1703" s="131"/>
    </row>
    <row r="1704">
      <c r="A1704" s="262"/>
      <c r="B1704" s="262"/>
      <c r="C1704" s="262"/>
      <c r="D1704" s="262"/>
      <c r="E1704" s="260"/>
      <c r="F1704" s="132"/>
      <c r="G1704" s="140"/>
      <c r="H1704" s="131"/>
      <c r="I1704" s="131"/>
      <c r="J1704" s="131"/>
      <c r="K1704" s="131"/>
      <c r="L1704" s="131"/>
      <c r="M1704" s="131"/>
      <c r="N1704" s="131"/>
      <c r="O1704" s="131"/>
      <c r="P1704" s="131"/>
      <c r="Q1704" s="131"/>
      <c r="R1704" s="131"/>
      <c r="S1704" s="131"/>
      <c r="T1704" s="131"/>
      <c r="U1704" s="131"/>
      <c r="V1704" s="131"/>
      <c r="W1704" s="131"/>
      <c r="X1704" s="131"/>
      <c r="Y1704" s="131"/>
      <c r="Z1704" s="131"/>
    </row>
    <row r="1705">
      <c r="A1705" s="262"/>
      <c r="B1705" s="262"/>
      <c r="C1705" s="262"/>
      <c r="D1705" s="262"/>
      <c r="E1705" s="260"/>
      <c r="F1705" s="132"/>
      <c r="G1705" s="140"/>
      <c r="H1705" s="131"/>
      <c r="I1705" s="131"/>
      <c r="J1705" s="131"/>
      <c r="K1705" s="131"/>
      <c r="L1705" s="131"/>
      <c r="M1705" s="131"/>
      <c r="N1705" s="131"/>
      <c r="O1705" s="131"/>
      <c r="P1705" s="131"/>
      <c r="Q1705" s="131"/>
      <c r="R1705" s="131"/>
      <c r="S1705" s="131"/>
      <c r="T1705" s="131"/>
      <c r="U1705" s="131"/>
      <c r="V1705" s="131"/>
      <c r="W1705" s="131"/>
      <c r="X1705" s="131"/>
      <c r="Y1705" s="131"/>
      <c r="Z1705" s="131"/>
    </row>
    <row r="1706">
      <c r="A1706" s="262"/>
      <c r="B1706" s="262"/>
      <c r="C1706" s="262"/>
      <c r="D1706" s="262"/>
      <c r="E1706" s="260"/>
      <c r="F1706" s="132"/>
      <c r="G1706" s="140"/>
      <c r="H1706" s="131"/>
      <c r="I1706" s="131"/>
      <c r="J1706" s="131"/>
      <c r="K1706" s="131"/>
      <c r="L1706" s="131"/>
      <c r="M1706" s="131"/>
      <c r="N1706" s="131"/>
      <c r="O1706" s="131"/>
      <c r="P1706" s="131"/>
      <c r="Q1706" s="131"/>
      <c r="R1706" s="131"/>
      <c r="S1706" s="131"/>
      <c r="T1706" s="131"/>
      <c r="U1706" s="131"/>
      <c r="V1706" s="131"/>
      <c r="W1706" s="131"/>
      <c r="X1706" s="131"/>
      <c r="Y1706" s="131"/>
      <c r="Z1706" s="131"/>
    </row>
    <row r="1707">
      <c r="A1707" s="262"/>
      <c r="B1707" s="262"/>
      <c r="C1707" s="262"/>
      <c r="D1707" s="262"/>
      <c r="E1707" s="260"/>
      <c r="F1707" s="132"/>
      <c r="G1707" s="140"/>
      <c r="H1707" s="131"/>
      <c r="I1707" s="131"/>
      <c r="J1707" s="131"/>
      <c r="K1707" s="131"/>
      <c r="L1707" s="131"/>
      <c r="M1707" s="131"/>
      <c r="N1707" s="131"/>
      <c r="O1707" s="131"/>
      <c r="P1707" s="131"/>
      <c r="Q1707" s="131"/>
      <c r="R1707" s="131"/>
      <c r="S1707" s="131"/>
      <c r="T1707" s="131"/>
      <c r="U1707" s="131"/>
      <c r="V1707" s="131"/>
      <c r="W1707" s="131"/>
      <c r="X1707" s="131"/>
      <c r="Y1707" s="131"/>
      <c r="Z1707" s="131"/>
    </row>
    <row r="1708">
      <c r="A1708" s="262"/>
      <c r="B1708" s="262"/>
      <c r="C1708" s="262"/>
      <c r="D1708" s="262"/>
      <c r="E1708" s="260"/>
      <c r="F1708" s="132"/>
      <c r="G1708" s="140"/>
      <c r="H1708" s="131"/>
      <c r="I1708" s="131"/>
      <c r="J1708" s="131"/>
      <c r="K1708" s="131"/>
      <c r="L1708" s="131"/>
      <c r="M1708" s="131"/>
      <c r="N1708" s="131"/>
      <c r="O1708" s="131"/>
      <c r="P1708" s="131"/>
      <c r="Q1708" s="131"/>
      <c r="R1708" s="131"/>
      <c r="S1708" s="131"/>
      <c r="T1708" s="131"/>
      <c r="U1708" s="131"/>
      <c r="V1708" s="131"/>
      <c r="W1708" s="131"/>
      <c r="X1708" s="131"/>
      <c r="Y1708" s="131"/>
      <c r="Z1708" s="131"/>
    </row>
    <row r="1709">
      <c r="A1709" s="262"/>
      <c r="B1709" s="262"/>
      <c r="C1709" s="262"/>
      <c r="D1709" s="262"/>
      <c r="E1709" s="260"/>
      <c r="F1709" s="132"/>
      <c r="G1709" s="140"/>
      <c r="H1709" s="131"/>
      <c r="I1709" s="131"/>
      <c r="J1709" s="131"/>
      <c r="K1709" s="131"/>
      <c r="L1709" s="131"/>
      <c r="M1709" s="131"/>
      <c r="N1709" s="131"/>
      <c r="O1709" s="131"/>
      <c r="P1709" s="131"/>
      <c r="Q1709" s="131"/>
      <c r="R1709" s="131"/>
      <c r="S1709" s="131"/>
      <c r="T1709" s="131"/>
      <c r="U1709" s="131"/>
      <c r="V1709" s="131"/>
      <c r="W1709" s="131"/>
      <c r="X1709" s="131"/>
      <c r="Y1709" s="131"/>
      <c r="Z1709" s="131"/>
    </row>
    <row r="1710">
      <c r="A1710" s="262"/>
      <c r="B1710" s="262"/>
      <c r="C1710" s="262"/>
      <c r="D1710" s="262"/>
      <c r="E1710" s="260"/>
      <c r="F1710" s="132"/>
      <c r="G1710" s="140"/>
      <c r="H1710" s="131"/>
      <c r="I1710" s="131"/>
      <c r="J1710" s="131"/>
      <c r="K1710" s="131"/>
      <c r="L1710" s="131"/>
      <c r="M1710" s="131"/>
      <c r="N1710" s="131"/>
      <c r="O1710" s="131"/>
      <c r="P1710" s="131"/>
      <c r="Q1710" s="131"/>
      <c r="R1710" s="131"/>
      <c r="S1710" s="131"/>
      <c r="T1710" s="131"/>
      <c r="U1710" s="131"/>
      <c r="V1710" s="131"/>
      <c r="W1710" s="131"/>
      <c r="X1710" s="131"/>
      <c r="Y1710" s="131"/>
      <c r="Z1710" s="131"/>
    </row>
    <row r="1711">
      <c r="A1711" s="262"/>
      <c r="B1711" s="262"/>
      <c r="C1711" s="262"/>
      <c r="D1711" s="262"/>
      <c r="E1711" s="260"/>
      <c r="F1711" s="132"/>
      <c r="G1711" s="140"/>
      <c r="H1711" s="131"/>
      <c r="I1711" s="131"/>
      <c r="J1711" s="131"/>
      <c r="K1711" s="131"/>
      <c r="L1711" s="131"/>
      <c r="M1711" s="131"/>
      <c r="N1711" s="131"/>
      <c r="O1711" s="131"/>
      <c r="P1711" s="131"/>
      <c r="Q1711" s="131"/>
      <c r="R1711" s="131"/>
      <c r="S1711" s="131"/>
      <c r="T1711" s="131"/>
      <c r="U1711" s="131"/>
      <c r="V1711" s="131"/>
      <c r="W1711" s="131"/>
      <c r="X1711" s="131"/>
      <c r="Y1711" s="131"/>
      <c r="Z1711" s="131"/>
    </row>
    <row r="1712">
      <c r="A1712" s="262"/>
      <c r="B1712" s="262"/>
      <c r="C1712" s="262"/>
      <c r="D1712" s="262"/>
      <c r="E1712" s="260"/>
      <c r="F1712" s="132"/>
      <c r="G1712" s="140"/>
      <c r="H1712" s="131"/>
      <c r="I1712" s="131"/>
      <c r="J1712" s="131"/>
      <c r="K1712" s="131"/>
      <c r="L1712" s="131"/>
      <c r="M1712" s="131"/>
      <c r="N1712" s="131"/>
      <c r="O1712" s="131"/>
      <c r="P1712" s="131"/>
      <c r="Q1712" s="131"/>
      <c r="R1712" s="131"/>
      <c r="S1712" s="131"/>
      <c r="T1712" s="131"/>
      <c r="U1712" s="131"/>
      <c r="V1712" s="131"/>
      <c r="W1712" s="131"/>
      <c r="X1712" s="131"/>
      <c r="Y1712" s="131"/>
      <c r="Z1712" s="131"/>
    </row>
    <row r="1713">
      <c r="A1713" s="262"/>
      <c r="B1713" s="262"/>
      <c r="C1713" s="262"/>
      <c r="D1713" s="262"/>
      <c r="E1713" s="260"/>
      <c r="F1713" s="132"/>
      <c r="G1713" s="140"/>
      <c r="H1713" s="131"/>
      <c r="I1713" s="131"/>
      <c r="J1713" s="131"/>
      <c r="K1713" s="131"/>
      <c r="L1713" s="131"/>
      <c r="M1713" s="131"/>
      <c r="N1713" s="131"/>
      <c r="O1713" s="131"/>
      <c r="P1713" s="131"/>
      <c r="Q1713" s="131"/>
      <c r="R1713" s="131"/>
      <c r="S1713" s="131"/>
      <c r="T1713" s="131"/>
      <c r="U1713" s="131"/>
      <c r="V1713" s="131"/>
      <c r="W1713" s="131"/>
      <c r="X1713" s="131"/>
      <c r="Y1713" s="131"/>
      <c r="Z1713" s="131"/>
    </row>
    <row r="1714">
      <c r="A1714" s="262"/>
      <c r="B1714" s="262"/>
      <c r="C1714" s="262"/>
      <c r="D1714" s="262"/>
      <c r="E1714" s="260"/>
      <c r="F1714" s="132"/>
      <c r="G1714" s="140"/>
      <c r="H1714" s="131"/>
      <c r="I1714" s="131"/>
      <c r="J1714" s="131"/>
      <c r="K1714" s="131"/>
      <c r="L1714" s="131"/>
      <c r="M1714" s="131"/>
      <c r="N1714" s="131"/>
      <c r="O1714" s="131"/>
      <c r="P1714" s="131"/>
      <c r="Q1714" s="131"/>
      <c r="R1714" s="131"/>
      <c r="S1714" s="131"/>
      <c r="T1714" s="131"/>
      <c r="U1714" s="131"/>
      <c r="V1714" s="131"/>
      <c r="W1714" s="131"/>
      <c r="X1714" s="131"/>
      <c r="Y1714" s="131"/>
      <c r="Z1714" s="131"/>
    </row>
    <row r="1715">
      <c r="A1715" s="262"/>
      <c r="B1715" s="262"/>
      <c r="C1715" s="262"/>
      <c r="D1715" s="262"/>
      <c r="E1715" s="260"/>
      <c r="F1715" s="132"/>
      <c r="G1715" s="140"/>
      <c r="H1715" s="131"/>
      <c r="I1715" s="131"/>
      <c r="J1715" s="131"/>
      <c r="K1715" s="131"/>
      <c r="L1715" s="131"/>
      <c r="M1715" s="131"/>
      <c r="N1715" s="131"/>
      <c r="O1715" s="131"/>
      <c r="P1715" s="131"/>
      <c r="Q1715" s="131"/>
      <c r="R1715" s="131"/>
      <c r="S1715" s="131"/>
      <c r="T1715" s="131"/>
      <c r="U1715" s="131"/>
      <c r="V1715" s="131"/>
      <c r="W1715" s="131"/>
      <c r="X1715" s="131"/>
      <c r="Y1715" s="131"/>
      <c r="Z1715" s="131"/>
    </row>
    <row r="1716">
      <c r="A1716" s="262"/>
      <c r="B1716" s="262"/>
      <c r="C1716" s="262"/>
      <c r="D1716" s="262"/>
      <c r="E1716" s="260"/>
      <c r="F1716" s="132"/>
      <c r="G1716" s="140"/>
      <c r="H1716" s="131"/>
      <c r="I1716" s="131"/>
      <c r="J1716" s="131"/>
      <c r="K1716" s="131"/>
      <c r="L1716" s="131"/>
      <c r="M1716" s="131"/>
      <c r="N1716" s="131"/>
      <c r="O1716" s="131"/>
      <c r="P1716" s="131"/>
      <c r="Q1716" s="131"/>
      <c r="R1716" s="131"/>
      <c r="S1716" s="131"/>
      <c r="T1716" s="131"/>
      <c r="U1716" s="131"/>
      <c r="V1716" s="131"/>
      <c r="W1716" s="131"/>
      <c r="X1716" s="131"/>
      <c r="Y1716" s="131"/>
      <c r="Z1716" s="131"/>
    </row>
    <row r="1717">
      <c r="A1717" s="262"/>
      <c r="B1717" s="262"/>
      <c r="C1717" s="262"/>
      <c r="D1717" s="262"/>
      <c r="E1717" s="260"/>
      <c r="F1717" s="132"/>
      <c r="G1717" s="140"/>
      <c r="H1717" s="131"/>
      <c r="I1717" s="131"/>
      <c r="J1717" s="131"/>
      <c r="K1717" s="131"/>
      <c r="L1717" s="131"/>
      <c r="M1717" s="131"/>
      <c r="N1717" s="131"/>
      <c r="O1717" s="131"/>
      <c r="P1717" s="131"/>
      <c r="Q1717" s="131"/>
      <c r="R1717" s="131"/>
      <c r="S1717" s="131"/>
      <c r="T1717" s="131"/>
      <c r="U1717" s="131"/>
      <c r="V1717" s="131"/>
      <c r="W1717" s="131"/>
      <c r="X1717" s="131"/>
      <c r="Y1717" s="131"/>
      <c r="Z1717" s="131"/>
    </row>
    <row r="1718">
      <c r="A1718" s="262"/>
      <c r="B1718" s="262"/>
      <c r="C1718" s="262"/>
      <c r="D1718" s="262"/>
      <c r="E1718" s="260"/>
      <c r="F1718" s="132"/>
      <c r="G1718" s="140"/>
      <c r="H1718" s="131"/>
      <c r="I1718" s="131"/>
      <c r="J1718" s="131"/>
      <c r="K1718" s="131"/>
      <c r="L1718" s="131"/>
      <c r="M1718" s="131"/>
      <c r="N1718" s="131"/>
      <c r="O1718" s="131"/>
      <c r="P1718" s="131"/>
      <c r="Q1718" s="131"/>
      <c r="R1718" s="131"/>
      <c r="S1718" s="131"/>
      <c r="T1718" s="131"/>
      <c r="U1718" s="131"/>
      <c r="V1718" s="131"/>
      <c r="W1718" s="131"/>
      <c r="X1718" s="131"/>
      <c r="Y1718" s="131"/>
      <c r="Z1718" s="131"/>
    </row>
    <row r="1719">
      <c r="A1719" s="262"/>
      <c r="B1719" s="262"/>
      <c r="C1719" s="262"/>
      <c r="D1719" s="262"/>
      <c r="E1719" s="260"/>
      <c r="F1719" s="132"/>
      <c r="G1719" s="140"/>
      <c r="H1719" s="131"/>
      <c r="I1719" s="131"/>
      <c r="J1719" s="131"/>
      <c r="K1719" s="131"/>
      <c r="L1719" s="131"/>
      <c r="M1719" s="131"/>
      <c r="N1719" s="131"/>
      <c r="O1719" s="131"/>
      <c r="P1719" s="131"/>
      <c r="Q1719" s="131"/>
      <c r="R1719" s="131"/>
      <c r="S1719" s="131"/>
      <c r="T1719" s="131"/>
      <c r="U1719" s="131"/>
      <c r="V1719" s="131"/>
      <c r="W1719" s="131"/>
      <c r="X1719" s="131"/>
      <c r="Y1719" s="131"/>
      <c r="Z1719" s="131"/>
    </row>
    <row r="1720">
      <c r="A1720" s="262"/>
      <c r="B1720" s="262"/>
      <c r="C1720" s="262"/>
      <c r="D1720" s="262"/>
      <c r="E1720" s="260"/>
      <c r="F1720" s="132"/>
      <c r="G1720" s="140"/>
      <c r="H1720" s="131"/>
      <c r="I1720" s="131"/>
      <c r="J1720" s="131"/>
      <c r="K1720" s="131"/>
      <c r="L1720" s="131"/>
      <c r="M1720" s="131"/>
      <c r="N1720" s="131"/>
      <c r="O1720" s="131"/>
      <c r="P1720" s="131"/>
      <c r="Q1720" s="131"/>
      <c r="R1720" s="131"/>
      <c r="S1720" s="131"/>
      <c r="T1720" s="131"/>
      <c r="U1720" s="131"/>
      <c r="V1720" s="131"/>
      <c r="W1720" s="131"/>
      <c r="X1720" s="131"/>
      <c r="Y1720" s="131"/>
      <c r="Z1720" s="131"/>
    </row>
    <row r="1721">
      <c r="A1721" s="262"/>
      <c r="B1721" s="262"/>
      <c r="C1721" s="262"/>
      <c r="D1721" s="262"/>
      <c r="E1721" s="260"/>
      <c r="F1721" s="132"/>
      <c r="G1721" s="140"/>
      <c r="H1721" s="131"/>
      <c r="I1721" s="131"/>
      <c r="J1721" s="131"/>
      <c r="K1721" s="131"/>
      <c r="L1721" s="131"/>
      <c r="M1721" s="131"/>
      <c r="N1721" s="131"/>
      <c r="O1721" s="131"/>
      <c r="P1721" s="131"/>
      <c r="Q1721" s="131"/>
      <c r="R1721" s="131"/>
      <c r="S1721" s="131"/>
      <c r="T1721" s="131"/>
      <c r="U1721" s="131"/>
      <c r="V1721" s="131"/>
      <c r="W1721" s="131"/>
      <c r="X1721" s="131"/>
      <c r="Y1721" s="131"/>
      <c r="Z1721" s="131"/>
    </row>
    <row r="1722">
      <c r="A1722" s="262"/>
      <c r="B1722" s="262"/>
      <c r="C1722" s="262"/>
      <c r="D1722" s="262"/>
      <c r="E1722" s="260"/>
      <c r="F1722" s="132"/>
      <c r="G1722" s="140"/>
      <c r="H1722" s="131"/>
      <c r="I1722" s="131"/>
      <c r="J1722" s="131"/>
      <c r="K1722" s="131"/>
      <c r="L1722" s="131"/>
      <c r="M1722" s="131"/>
      <c r="N1722" s="131"/>
      <c r="O1722" s="131"/>
      <c r="P1722" s="131"/>
      <c r="Q1722" s="131"/>
      <c r="R1722" s="131"/>
      <c r="S1722" s="131"/>
      <c r="T1722" s="131"/>
      <c r="U1722" s="131"/>
      <c r="V1722" s="131"/>
      <c r="W1722" s="131"/>
      <c r="X1722" s="131"/>
      <c r="Y1722" s="131"/>
      <c r="Z1722" s="131"/>
    </row>
    <row r="1723">
      <c r="A1723" s="262"/>
      <c r="B1723" s="262"/>
      <c r="C1723" s="262"/>
      <c r="D1723" s="262"/>
      <c r="E1723" s="260"/>
      <c r="F1723" s="132"/>
      <c r="G1723" s="140"/>
      <c r="H1723" s="131"/>
      <c r="I1723" s="131"/>
      <c r="J1723" s="131"/>
      <c r="K1723" s="131"/>
      <c r="L1723" s="131"/>
      <c r="M1723" s="131"/>
      <c r="N1723" s="131"/>
      <c r="O1723" s="131"/>
      <c r="P1723" s="131"/>
      <c r="Q1723" s="131"/>
      <c r="R1723" s="131"/>
      <c r="S1723" s="131"/>
      <c r="T1723" s="131"/>
      <c r="U1723" s="131"/>
      <c r="V1723" s="131"/>
      <c r="W1723" s="131"/>
      <c r="X1723" s="131"/>
      <c r="Y1723" s="131"/>
      <c r="Z1723" s="131"/>
    </row>
    <row r="1724">
      <c r="A1724" s="262"/>
      <c r="B1724" s="262"/>
      <c r="C1724" s="262"/>
      <c r="D1724" s="262"/>
      <c r="E1724" s="260"/>
      <c r="F1724" s="132"/>
      <c r="G1724" s="140"/>
      <c r="H1724" s="131"/>
      <c r="I1724" s="131"/>
      <c r="J1724" s="131"/>
      <c r="K1724" s="131"/>
      <c r="L1724" s="131"/>
      <c r="M1724" s="131"/>
      <c r="N1724" s="131"/>
      <c r="O1724" s="131"/>
      <c r="P1724" s="131"/>
      <c r="Q1724" s="131"/>
      <c r="R1724" s="131"/>
      <c r="S1724" s="131"/>
      <c r="T1724" s="131"/>
      <c r="U1724" s="131"/>
      <c r="V1724" s="131"/>
      <c r="W1724" s="131"/>
      <c r="X1724" s="131"/>
      <c r="Y1724" s="131"/>
      <c r="Z1724" s="131"/>
    </row>
    <row r="1725">
      <c r="A1725" s="262"/>
      <c r="B1725" s="262"/>
      <c r="C1725" s="262"/>
      <c r="D1725" s="262"/>
      <c r="E1725" s="260"/>
      <c r="F1725" s="132"/>
      <c r="G1725" s="140"/>
      <c r="H1725" s="131"/>
      <c r="I1725" s="131"/>
      <c r="J1725" s="131"/>
      <c r="K1725" s="131"/>
      <c r="L1725" s="131"/>
      <c r="M1725" s="131"/>
      <c r="N1725" s="131"/>
      <c r="O1725" s="131"/>
      <c r="P1725" s="131"/>
      <c r="Q1725" s="131"/>
      <c r="R1725" s="131"/>
      <c r="S1725" s="131"/>
      <c r="T1725" s="131"/>
      <c r="U1725" s="131"/>
      <c r="V1725" s="131"/>
      <c r="W1725" s="131"/>
      <c r="X1725" s="131"/>
      <c r="Y1725" s="131"/>
      <c r="Z1725" s="131"/>
    </row>
    <row r="1726">
      <c r="A1726" s="262"/>
      <c r="B1726" s="262"/>
      <c r="C1726" s="262"/>
      <c r="D1726" s="262"/>
      <c r="E1726" s="260"/>
      <c r="F1726" s="132"/>
      <c r="G1726" s="140"/>
      <c r="H1726" s="131"/>
      <c r="I1726" s="131"/>
      <c r="J1726" s="131"/>
      <c r="K1726" s="131"/>
      <c r="L1726" s="131"/>
      <c r="M1726" s="131"/>
      <c r="N1726" s="131"/>
      <c r="O1726" s="131"/>
      <c r="P1726" s="131"/>
      <c r="Q1726" s="131"/>
      <c r="R1726" s="131"/>
      <c r="S1726" s="131"/>
      <c r="T1726" s="131"/>
      <c r="U1726" s="131"/>
      <c r="V1726" s="131"/>
      <c r="W1726" s="131"/>
      <c r="X1726" s="131"/>
      <c r="Y1726" s="131"/>
      <c r="Z1726" s="131"/>
    </row>
    <row r="1727">
      <c r="A1727" s="262"/>
      <c r="B1727" s="262"/>
      <c r="C1727" s="262"/>
      <c r="D1727" s="262"/>
      <c r="E1727" s="260"/>
      <c r="F1727" s="132"/>
      <c r="G1727" s="140"/>
      <c r="H1727" s="131"/>
      <c r="I1727" s="131"/>
      <c r="J1727" s="131"/>
      <c r="K1727" s="131"/>
      <c r="L1727" s="131"/>
      <c r="M1727" s="131"/>
      <c r="N1727" s="131"/>
      <c r="O1727" s="131"/>
      <c r="P1727" s="131"/>
      <c r="Q1727" s="131"/>
      <c r="R1727" s="131"/>
      <c r="S1727" s="131"/>
      <c r="T1727" s="131"/>
      <c r="U1727" s="131"/>
      <c r="V1727" s="131"/>
      <c r="W1727" s="131"/>
      <c r="X1727" s="131"/>
      <c r="Y1727" s="131"/>
      <c r="Z1727" s="131"/>
    </row>
    <row r="1728">
      <c r="A1728" s="262"/>
      <c r="B1728" s="262"/>
      <c r="C1728" s="262"/>
      <c r="D1728" s="262"/>
      <c r="E1728" s="260"/>
      <c r="F1728" s="132"/>
      <c r="G1728" s="140"/>
      <c r="H1728" s="131"/>
      <c r="I1728" s="131"/>
      <c r="J1728" s="131"/>
      <c r="K1728" s="131"/>
      <c r="L1728" s="131"/>
      <c r="M1728" s="131"/>
      <c r="N1728" s="131"/>
      <c r="O1728" s="131"/>
      <c r="P1728" s="131"/>
      <c r="Q1728" s="131"/>
      <c r="R1728" s="131"/>
      <c r="S1728" s="131"/>
      <c r="T1728" s="131"/>
      <c r="U1728" s="131"/>
      <c r="V1728" s="131"/>
      <c r="W1728" s="131"/>
      <c r="X1728" s="131"/>
      <c r="Y1728" s="131"/>
      <c r="Z1728" s="131"/>
    </row>
    <row r="1729">
      <c r="A1729" s="262"/>
      <c r="B1729" s="262"/>
      <c r="C1729" s="262"/>
      <c r="D1729" s="262"/>
      <c r="E1729" s="260"/>
      <c r="F1729" s="132"/>
      <c r="G1729" s="140"/>
      <c r="H1729" s="131"/>
      <c r="I1729" s="131"/>
      <c r="J1729" s="131"/>
      <c r="K1729" s="131"/>
      <c r="L1729" s="131"/>
      <c r="M1729" s="131"/>
      <c r="N1729" s="131"/>
      <c r="O1729" s="131"/>
      <c r="P1729" s="131"/>
      <c r="Q1729" s="131"/>
      <c r="R1729" s="131"/>
      <c r="S1729" s="131"/>
      <c r="T1729" s="131"/>
      <c r="U1729" s="131"/>
      <c r="V1729" s="131"/>
      <c r="W1729" s="131"/>
      <c r="X1729" s="131"/>
      <c r="Y1729" s="131"/>
      <c r="Z1729" s="131"/>
    </row>
    <row r="1730">
      <c r="A1730" s="262"/>
      <c r="B1730" s="262"/>
      <c r="C1730" s="262"/>
      <c r="D1730" s="262"/>
      <c r="E1730" s="260"/>
      <c r="F1730" s="132"/>
      <c r="G1730" s="140"/>
      <c r="H1730" s="131"/>
      <c r="I1730" s="131"/>
      <c r="J1730" s="131"/>
      <c r="K1730" s="131"/>
      <c r="L1730" s="131"/>
      <c r="M1730" s="131"/>
      <c r="N1730" s="131"/>
      <c r="O1730" s="131"/>
      <c r="P1730" s="131"/>
      <c r="Q1730" s="131"/>
      <c r="R1730" s="131"/>
      <c r="S1730" s="131"/>
      <c r="T1730" s="131"/>
      <c r="U1730" s="131"/>
      <c r="V1730" s="131"/>
      <c r="W1730" s="131"/>
      <c r="X1730" s="131"/>
      <c r="Y1730" s="131"/>
      <c r="Z1730" s="131"/>
    </row>
    <row r="1731">
      <c r="A1731" s="262"/>
      <c r="B1731" s="262"/>
      <c r="C1731" s="262"/>
      <c r="D1731" s="262"/>
      <c r="E1731" s="260"/>
      <c r="F1731" s="132"/>
      <c r="G1731" s="140"/>
      <c r="H1731" s="131"/>
      <c r="I1731" s="131"/>
      <c r="J1731" s="131"/>
      <c r="K1731" s="131"/>
      <c r="L1731" s="131"/>
      <c r="M1731" s="131"/>
      <c r="N1731" s="131"/>
      <c r="O1731" s="131"/>
      <c r="P1731" s="131"/>
      <c r="Q1731" s="131"/>
      <c r="R1731" s="131"/>
      <c r="S1731" s="131"/>
      <c r="T1731" s="131"/>
      <c r="U1731" s="131"/>
      <c r="V1731" s="131"/>
      <c r="W1731" s="131"/>
      <c r="X1731" s="131"/>
      <c r="Y1731" s="131"/>
      <c r="Z1731" s="131"/>
    </row>
    <row r="1732">
      <c r="A1732" s="262"/>
      <c r="B1732" s="262"/>
      <c r="C1732" s="262"/>
      <c r="D1732" s="262"/>
      <c r="E1732" s="260"/>
      <c r="F1732" s="132"/>
      <c r="G1732" s="140"/>
      <c r="H1732" s="131"/>
      <c r="I1732" s="131"/>
      <c r="J1732" s="131"/>
      <c r="K1732" s="131"/>
      <c r="L1732" s="131"/>
      <c r="M1732" s="131"/>
      <c r="N1732" s="131"/>
      <c r="O1732" s="131"/>
      <c r="P1732" s="131"/>
      <c r="Q1732" s="131"/>
      <c r="R1732" s="131"/>
      <c r="S1732" s="131"/>
      <c r="T1732" s="131"/>
      <c r="U1732" s="131"/>
      <c r="V1732" s="131"/>
      <c r="W1732" s="131"/>
      <c r="X1732" s="131"/>
      <c r="Y1732" s="131"/>
      <c r="Z1732" s="131"/>
    </row>
    <row r="1733">
      <c r="A1733" s="262"/>
      <c r="B1733" s="262"/>
      <c r="C1733" s="262"/>
      <c r="D1733" s="262"/>
      <c r="E1733" s="260"/>
      <c r="F1733" s="132"/>
      <c r="G1733" s="140"/>
      <c r="H1733" s="131"/>
      <c r="I1733" s="131"/>
      <c r="J1733" s="131"/>
      <c r="K1733" s="131"/>
      <c r="L1733" s="131"/>
      <c r="M1733" s="131"/>
      <c r="N1733" s="131"/>
      <c r="O1733" s="131"/>
      <c r="P1733" s="131"/>
      <c r="Q1733" s="131"/>
      <c r="R1733" s="131"/>
      <c r="S1733" s="131"/>
      <c r="T1733" s="131"/>
      <c r="U1733" s="131"/>
      <c r="V1733" s="131"/>
      <c r="W1733" s="131"/>
      <c r="X1733" s="131"/>
      <c r="Y1733" s="131"/>
      <c r="Z1733" s="131"/>
    </row>
    <row r="1734">
      <c r="A1734" s="262"/>
      <c r="B1734" s="262"/>
      <c r="C1734" s="262"/>
      <c r="D1734" s="262"/>
      <c r="E1734" s="260"/>
      <c r="F1734" s="132"/>
      <c r="G1734" s="140"/>
      <c r="H1734" s="131"/>
      <c r="I1734" s="131"/>
      <c r="J1734" s="131"/>
      <c r="K1734" s="131"/>
      <c r="L1734" s="131"/>
      <c r="M1734" s="131"/>
      <c r="N1734" s="131"/>
      <c r="O1734" s="131"/>
      <c r="P1734" s="131"/>
      <c r="Q1734" s="131"/>
      <c r="R1734" s="131"/>
      <c r="S1734" s="131"/>
      <c r="T1734" s="131"/>
      <c r="U1734" s="131"/>
      <c r="V1734" s="131"/>
      <c r="W1734" s="131"/>
      <c r="X1734" s="131"/>
      <c r="Y1734" s="131"/>
      <c r="Z1734" s="131"/>
    </row>
    <row r="1735">
      <c r="A1735" s="262"/>
      <c r="B1735" s="262"/>
      <c r="C1735" s="262"/>
      <c r="D1735" s="262"/>
      <c r="E1735" s="260"/>
      <c r="F1735" s="132"/>
      <c r="G1735" s="140"/>
      <c r="H1735" s="131"/>
      <c r="I1735" s="131"/>
      <c r="J1735" s="131"/>
      <c r="K1735" s="131"/>
      <c r="L1735" s="131"/>
      <c r="M1735" s="131"/>
      <c r="N1735" s="131"/>
      <c r="O1735" s="131"/>
      <c r="P1735" s="131"/>
      <c r="Q1735" s="131"/>
      <c r="R1735" s="131"/>
      <c r="S1735" s="131"/>
      <c r="T1735" s="131"/>
      <c r="U1735" s="131"/>
      <c r="V1735" s="131"/>
      <c r="W1735" s="131"/>
      <c r="X1735" s="131"/>
      <c r="Y1735" s="131"/>
      <c r="Z1735" s="131"/>
    </row>
    <row r="1736">
      <c r="A1736" s="262"/>
      <c r="B1736" s="262"/>
      <c r="C1736" s="262"/>
      <c r="D1736" s="262"/>
      <c r="E1736" s="260"/>
      <c r="F1736" s="132"/>
      <c r="G1736" s="140"/>
      <c r="H1736" s="131"/>
      <c r="I1736" s="131"/>
      <c r="J1736" s="131"/>
      <c r="K1736" s="131"/>
      <c r="L1736" s="131"/>
      <c r="M1736" s="131"/>
      <c r="N1736" s="131"/>
      <c r="O1736" s="131"/>
      <c r="P1736" s="131"/>
      <c r="Q1736" s="131"/>
      <c r="R1736" s="131"/>
      <c r="S1736" s="131"/>
      <c r="T1736" s="131"/>
      <c r="U1736" s="131"/>
      <c r="V1736" s="131"/>
      <c r="W1736" s="131"/>
      <c r="X1736" s="131"/>
      <c r="Y1736" s="131"/>
      <c r="Z1736" s="131"/>
    </row>
    <row r="1737">
      <c r="A1737" s="262"/>
      <c r="B1737" s="262"/>
      <c r="C1737" s="262"/>
      <c r="D1737" s="262"/>
      <c r="E1737" s="260"/>
      <c r="F1737" s="132"/>
      <c r="G1737" s="140"/>
      <c r="H1737" s="131"/>
      <c r="I1737" s="131"/>
      <c r="J1737" s="131"/>
      <c r="K1737" s="131"/>
      <c r="L1737" s="131"/>
      <c r="M1737" s="131"/>
      <c r="N1737" s="131"/>
      <c r="O1737" s="131"/>
      <c r="P1737" s="131"/>
      <c r="Q1737" s="131"/>
      <c r="R1737" s="131"/>
      <c r="S1737" s="131"/>
      <c r="T1737" s="131"/>
      <c r="U1737" s="131"/>
      <c r="V1737" s="131"/>
      <c r="W1737" s="131"/>
      <c r="X1737" s="131"/>
      <c r="Y1737" s="131"/>
      <c r="Z1737" s="131"/>
    </row>
    <row r="1738">
      <c r="A1738" s="262"/>
      <c r="B1738" s="262"/>
      <c r="C1738" s="262"/>
      <c r="D1738" s="262"/>
      <c r="E1738" s="260"/>
      <c r="F1738" s="132"/>
      <c r="G1738" s="140"/>
      <c r="H1738" s="131"/>
      <c r="I1738" s="131"/>
      <c r="J1738" s="131"/>
      <c r="K1738" s="131"/>
      <c r="L1738" s="131"/>
      <c r="M1738" s="131"/>
      <c r="N1738" s="131"/>
      <c r="O1738" s="131"/>
      <c r="P1738" s="131"/>
      <c r="Q1738" s="131"/>
      <c r="R1738" s="131"/>
      <c r="S1738" s="131"/>
      <c r="T1738" s="131"/>
      <c r="U1738" s="131"/>
      <c r="V1738" s="131"/>
      <c r="W1738" s="131"/>
      <c r="X1738" s="131"/>
      <c r="Y1738" s="131"/>
      <c r="Z1738" s="131"/>
    </row>
    <row r="1739">
      <c r="A1739" s="262"/>
      <c r="B1739" s="262"/>
      <c r="C1739" s="262"/>
      <c r="D1739" s="262"/>
      <c r="E1739" s="260"/>
      <c r="F1739" s="132"/>
      <c r="G1739" s="140"/>
      <c r="H1739" s="131"/>
      <c r="I1739" s="131"/>
      <c r="J1739" s="131"/>
      <c r="K1739" s="131"/>
      <c r="L1739" s="131"/>
      <c r="M1739" s="131"/>
      <c r="N1739" s="131"/>
      <c r="O1739" s="131"/>
      <c r="P1739" s="131"/>
      <c r="Q1739" s="131"/>
      <c r="R1739" s="131"/>
      <c r="S1739" s="131"/>
      <c r="T1739" s="131"/>
      <c r="U1739" s="131"/>
      <c r="V1739" s="131"/>
      <c r="W1739" s="131"/>
      <c r="X1739" s="131"/>
      <c r="Y1739" s="131"/>
      <c r="Z1739" s="131"/>
    </row>
    <row r="1740">
      <c r="A1740" s="262"/>
      <c r="B1740" s="262"/>
      <c r="C1740" s="262"/>
      <c r="D1740" s="262"/>
      <c r="E1740" s="260"/>
      <c r="F1740" s="132"/>
      <c r="G1740" s="140"/>
      <c r="H1740" s="131"/>
      <c r="I1740" s="131"/>
      <c r="J1740" s="131"/>
      <c r="K1740" s="131"/>
      <c r="L1740" s="131"/>
      <c r="M1740" s="131"/>
      <c r="N1740" s="131"/>
      <c r="O1740" s="131"/>
      <c r="P1740" s="131"/>
      <c r="Q1740" s="131"/>
      <c r="R1740" s="131"/>
      <c r="S1740" s="131"/>
      <c r="T1740" s="131"/>
      <c r="U1740" s="131"/>
      <c r="V1740" s="131"/>
      <c r="W1740" s="131"/>
      <c r="X1740" s="131"/>
      <c r="Y1740" s="131"/>
      <c r="Z1740" s="131"/>
    </row>
    <row r="1741">
      <c r="A1741" s="262"/>
      <c r="B1741" s="262"/>
      <c r="C1741" s="262"/>
      <c r="D1741" s="262"/>
      <c r="E1741" s="260"/>
      <c r="F1741" s="132"/>
      <c r="G1741" s="140"/>
      <c r="H1741" s="131"/>
      <c r="I1741" s="131"/>
      <c r="J1741" s="131"/>
      <c r="K1741" s="131"/>
      <c r="L1741" s="131"/>
      <c r="M1741" s="131"/>
      <c r="N1741" s="131"/>
      <c r="O1741" s="131"/>
      <c r="P1741" s="131"/>
      <c r="Q1741" s="131"/>
      <c r="R1741" s="131"/>
      <c r="S1741" s="131"/>
      <c r="T1741" s="131"/>
      <c r="U1741" s="131"/>
      <c r="V1741" s="131"/>
      <c r="W1741" s="131"/>
      <c r="X1741" s="131"/>
      <c r="Y1741" s="131"/>
      <c r="Z1741" s="131"/>
    </row>
    <row r="1742">
      <c r="A1742" s="262"/>
      <c r="B1742" s="262"/>
      <c r="C1742" s="262"/>
      <c r="D1742" s="262"/>
      <c r="E1742" s="260"/>
      <c r="F1742" s="132"/>
      <c r="G1742" s="140"/>
      <c r="H1742" s="131"/>
      <c r="I1742" s="131"/>
      <c r="J1742" s="131"/>
      <c r="K1742" s="131"/>
      <c r="L1742" s="131"/>
      <c r="M1742" s="131"/>
      <c r="N1742" s="131"/>
      <c r="O1742" s="131"/>
      <c r="P1742" s="131"/>
      <c r="Q1742" s="131"/>
      <c r="R1742" s="131"/>
      <c r="S1742" s="131"/>
      <c r="T1742" s="131"/>
      <c r="U1742" s="131"/>
      <c r="V1742" s="131"/>
      <c r="W1742" s="131"/>
      <c r="X1742" s="131"/>
      <c r="Y1742" s="131"/>
      <c r="Z1742" s="131"/>
    </row>
    <row r="1743">
      <c r="A1743" s="262"/>
      <c r="B1743" s="262"/>
      <c r="C1743" s="262"/>
      <c r="D1743" s="262"/>
      <c r="E1743" s="260"/>
      <c r="F1743" s="132"/>
      <c r="G1743" s="140"/>
      <c r="H1743" s="131"/>
      <c r="I1743" s="131"/>
      <c r="J1743" s="131"/>
      <c r="K1743" s="131"/>
      <c r="L1743" s="131"/>
      <c r="M1743" s="131"/>
      <c r="N1743" s="131"/>
      <c r="O1743" s="131"/>
      <c r="P1743" s="131"/>
      <c r="Q1743" s="131"/>
      <c r="R1743" s="131"/>
      <c r="S1743" s="131"/>
      <c r="T1743" s="131"/>
      <c r="U1743" s="131"/>
      <c r="V1743" s="131"/>
      <c r="W1743" s="131"/>
      <c r="X1743" s="131"/>
      <c r="Y1743" s="131"/>
      <c r="Z1743" s="131"/>
    </row>
    <row r="1744">
      <c r="A1744" s="262"/>
      <c r="B1744" s="262"/>
      <c r="C1744" s="262"/>
      <c r="D1744" s="262"/>
      <c r="E1744" s="260"/>
      <c r="F1744" s="132"/>
      <c r="G1744" s="140"/>
      <c r="H1744" s="131"/>
      <c r="I1744" s="131"/>
      <c r="J1744" s="131"/>
      <c r="K1744" s="131"/>
      <c r="L1744" s="131"/>
      <c r="M1744" s="131"/>
      <c r="N1744" s="131"/>
      <c r="O1744" s="131"/>
      <c r="P1744" s="131"/>
      <c r="Q1744" s="131"/>
      <c r="R1744" s="131"/>
      <c r="S1744" s="131"/>
      <c r="T1744" s="131"/>
      <c r="U1744" s="131"/>
      <c r="V1744" s="131"/>
      <c r="W1744" s="131"/>
      <c r="X1744" s="131"/>
      <c r="Y1744" s="131"/>
      <c r="Z1744" s="131"/>
    </row>
    <row r="1745">
      <c r="A1745" s="262"/>
      <c r="B1745" s="262"/>
      <c r="C1745" s="262"/>
      <c r="D1745" s="262"/>
      <c r="E1745" s="260"/>
      <c r="F1745" s="132"/>
      <c r="G1745" s="140"/>
      <c r="H1745" s="131"/>
      <c r="I1745" s="131"/>
      <c r="J1745" s="131"/>
      <c r="K1745" s="131"/>
      <c r="L1745" s="131"/>
      <c r="M1745" s="131"/>
      <c r="N1745" s="131"/>
      <c r="O1745" s="131"/>
      <c r="P1745" s="131"/>
      <c r="Q1745" s="131"/>
      <c r="R1745" s="131"/>
      <c r="S1745" s="131"/>
      <c r="T1745" s="131"/>
      <c r="U1745" s="131"/>
      <c r="V1745" s="131"/>
      <c r="W1745" s="131"/>
      <c r="X1745" s="131"/>
      <c r="Y1745" s="131"/>
      <c r="Z1745" s="131"/>
    </row>
    <row r="1746">
      <c r="A1746" s="262"/>
      <c r="B1746" s="262"/>
      <c r="C1746" s="262"/>
      <c r="D1746" s="262"/>
      <c r="E1746" s="260"/>
      <c r="F1746" s="132"/>
      <c r="G1746" s="140"/>
      <c r="H1746" s="131"/>
      <c r="I1746" s="131"/>
      <c r="J1746" s="131"/>
      <c r="K1746" s="131"/>
      <c r="L1746" s="131"/>
      <c r="M1746" s="131"/>
      <c r="N1746" s="131"/>
      <c r="O1746" s="131"/>
      <c r="P1746" s="131"/>
      <c r="Q1746" s="131"/>
      <c r="R1746" s="131"/>
      <c r="S1746" s="131"/>
      <c r="T1746" s="131"/>
      <c r="U1746" s="131"/>
      <c r="V1746" s="131"/>
      <c r="W1746" s="131"/>
      <c r="X1746" s="131"/>
      <c r="Y1746" s="131"/>
      <c r="Z1746" s="131"/>
    </row>
    <row r="1747">
      <c r="A1747" s="262"/>
      <c r="B1747" s="262"/>
      <c r="C1747" s="262"/>
      <c r="D1747" s="262"/>
      <c r="E1747" s="260"/>
      <c r="F1747" s="132"/>
      <c r="G1747" s="140"/>
      <c r="H1747" s="131"/>
      <c r="I1747" s="131"/>
      <c r="J1747" s="131"/>
      <c r="K1747" s="131"/>
      <c r="L1747" s="131"/>
      <c r="M1747" s="131"/>
      <c r="N1747" s="131"/>
      <c r="O1747" s="131"/>
      <c r="P1747" s="131"/>
      <c r="Q1747" s="131"/>
      <c r="R1747" s="131"/>
      <c r="S1747" s="131"/>
      <c r="T1747" s="131"/>
      <c r="U1747" s="131"/>
      <c r="V1747" s="131"/>
      <c r="W1747" s="131"/>
      <c r="X1747" s="131"/>
      <c r="Y1747" s="131"/>
      <c r="Z1747" s="131"/>
    </row>
    <row r="1748">
      <c r="A1748" s="262"/>
      <c r="B1748" s="262"/>
      <c r="C1748" s="262"/>
      <c r="D1748" s="262"/>
      <c r="E1748" s="260"/>
      <c r="F1748" s="132"/>
      <c r="G1748" s="140"/>
      <c r="H1748" s="131"/>
      <c r="I1748" s="131"/>
      <c r="J1748" s="131"/>
      <c r="K1748" s="131"/>
      <c r="L1748" s="131"/>
      <c r="M1748" s="131"/>
      <c r="N1748" s="131"/>
      <c r="O1748" s="131"/>
      <c r="P1748" s="131"/>
      <c r="Q1748" s="131"/>
      <c r="R1748" s="131"/>
      <c r="S1748" s="131"/>
      <c r="T1748" s="131"/>
      <c r="U1748" s="131"/>
      <c r="V1748" s="131"/>
      <c r="W1748" s="131"/>
      <c r="X1748" s="131"/>
      <c r="Y1748" s="131"/>
      <c r="Z1748" s="131"/>
    </row>
    <row r="1749">
      <c r="A1749" s="262"/>
      <c r="B1749" s="262"/>
      <c r="C1749" s="262"/>
      <c r="D1749" s="262"/>
      <c r="E1749" s="260"/>
      <c r="F1749" s="132"/>
      <c r="G1749" s="140"/>
      <c r="H1749" s="131"/>
      <c r="I1749" s="131"/>
      <c r="J1749" s="131"/>
      <c r="K1749" s="131"/>
      <c r="L1749" s="131"/>
      <c r="M1749" s="131"/>
      <c r="N1749" s="131"/>
      <c r="O1749" s="131"/>
      <c r="P1749" s="131"/>
      <c r="Q1749" s="131"/>
      <c r="R1749" s="131"/>
      <c r="S1749" s="131"/>
      <c r="T1749" s="131"/>
      <c r="U1749" s="131"/>
      <c r="V1749" s="131"/>
      <c r="W1749" s="131"/>
      <c r="X1749" s="131"/>
      <c r="Y1749" s="131"/>
      <c r="Z1749" s="131"/>
    </row>
    <row r="1750">
      <c r="A1750" s="262"/>
      <c r="B1750" s="262"/>
      <c r="C1750" s="262"/>
      <c r="D1750" s="262"/>
      <c r="E1750" s="260"/>
      <c r="F1750" s="132"/>
      <c r="G1750" s="140"/>
      <c r="H1750" s="131"/>
      <c r="I1750" s="131"/>
      <c r="J1750" s="131"/>
      <c r="K1750" s="131"/>
      <c r="L1750" s="131"/>
      <c r="M1750" s="131"/>
      <c r="N1750" s="131"/>
      <c r="O1750" s="131"/>
      <c r="P1750" s="131"/>
      <c r="Q1750" s="131"/>
      <c r="R1750" s="131"/>
      <c r="S1750" s="131"/>
      <c r="T1750" s="131"/>
      <c r="U1750" s="131"/>
      <c r="V1750" s="131"/>
      <c r="W1750" s="131"/>
      <c r="X1750" s="131"/>
      <c r="Y1750" s="131"/>
      <c r="Z1750" s="131"/>
    </row>
    <row r="1751">
      <c r="A1751" s="262"/>
      <c r="B1751" s="262"/>
      <c r="C1751" s="262"/>
      <c r="D1751" s="262"/>
      <c r="E1751" s="260"/>
      <c r="F1751" s="132"/>
      <c r="G1751" s="140"/>
      <c r="H1751" s="131"/>
      <c r="I1751" s="131"/>
      <c r="J1751" s="131"/>
      <c r="K1751" s="131"/>
      <c r="L1751" s="131"/>
      <c r="M1751" s="131"/>
      <c r="N1751" s="131"/>
      <c r="O1751" s="131"/>
      <c r="P1751" s="131"/>
      <c r="Q1751" s="131"/>
      <c r="R1751" s="131"/>
      <c r="S1751" s="131"/>
      <c r="T1751" s="131"/>
      <c r="U1751" s="131"/>
      <c r="V1751" s="131"/>
      <c r="W1751" s="131"/>
      <c r="X1751" s="131"/>
      <c r="Y1751" s="131"/>
      <c r="Z1751" s="131"/>
    </row>
    <row r="1752">
      <c r="A1752" s="262"/>
      <c r="B1752" s="262"/>
      <c r="C1752" s="262"/>
      <c r="D1752" s="262"/>
      <c r="E1752" s="260"/>
      <c r="F1752" s="132"/>
      <c r="G1752" s="140"/>
      <c r="H1752" s="131"/>
      <c r="I1752" s="131"/>
      <c r="J1752" s="131"/>
      <c r="K1752" s="131"/>
      <c r="L1752" s="131"/>
      <c r="M1752" s="131"/>
      <c r="N1752" s="131"/>
      <c r="O1752" s="131"/>
      <c r="P1752" s="131"/>
      <c r="Q1752" s="131"/>
      <c r="R1752" s="131"/>
      <c r="S1752" s="131"/>
      <c r="T1752" s="131"/>
      <c r="U1752" s="131"/>
      <c r="V1752" s="131"/>
      <c r="W1752" s="131"/>
      <c r="X1752" s="131"/>
      <c r="Y1752" s="131"/>
      <c r="Z1752" s="131"/>
    </row>
    <row r="1753">
      <c r="A1753" s="262"/>
      <c r="B1753" s="262"/>
      <c r="C1753" s="262"/>
      <c r="D1753" s="262"/>
      <c r="E1753" s="260"/>
      <c r="F1753" s="132"/>
      <c r="G1753" s="140"/>
      <c r="H1753" s="131"/>
      <c r="I1753" s="131"/>
      <c r="J1753" s="131"/>
      <c r="K1753" s="131"/>
      <c r="L1753" s="131"/>
      <c r="M1753" s="131"/>
      <c r="N1753" s="131"/>
      <c r="O1753" s="131"/>
      <c r="P1753" s="131"/>
      <c r="Q1753" s="131"/>
      <c r="R1753" s="131"/>
      <c r="S1753" s="131"/>
      <c r="T1753" s="131"/>
      <c r="U1753" s="131"/>
      <c r="V1753" s="131"/>
      <c r="W1753" s="131"/>
      <c r="X1753" s="131"/>
      <c r="Y1753" s="131"/>
      <c r="Z1753" s="131"/>
    </row>
    <row r="1754">
      <c r="A1754" s="262"/>
      <c r="B1754" s="262"/>
      <c r="C1754" s="262"/>
      <c r="D1754" s="262"/>
      <c r="E1754" s="260"/>
      <c r="F1754" s="132"/>
      <c r="G1754" s="140"/>
      <c r="H1754" s="131"/>
      <c r="I1754" s="131"/>
      <c r="J1754" s="131"/>
      <c r="K1754" s="131"/>
      <c r="L1754" s="131"/>
      <c r="M1754" s="131"/>
      <c r="N1754" s="131"/>
      <c r="O1754" s="131"/>
      <c r="P1754" s="131"/>
      <c r="Q1754" s="131"/>
      <c r="R1754" s="131"/>
      <c r="S1754" s="131"/>
      <c r="T1754" s="131"/>
      <c r="U1754" s="131"/>
      <c r="V1754" s="131"/>
      <c r="W1754" s="131"/>
      <c r="X1754" s="131"/>
      <c r="Y1754" s="131"/>
      <c r="Z1754" s="131"/>
    </row>
    <row r="1755">
      <c r="A1755" s="262"/>
      <c r="B1755" s="262"/>
      <c r="C1755" s="262"/>
      <c r="D1755" s="262"/>
      <c r="E1755" s="260"/>
      <c r="F1755" s="132"/>
      <c r="G1755" s="140"/>
      <c r="H1755" s="131"/>
      <c r="I1755" s="131"/>
      <c r="J1755" s="131"/>
      <c r="K1755" s="131"/>
      <c r="L1755" s="131"/>
      <c r="M1755" s="131"/>
      <c r="N1755" s="131"/>
      <c r="O1755" s="131"/>
      <c r="P1755" s="131"/>
      <c r="Q1755" s="131"/>
      <c r="R1755" s="131"/>
      <c r="S1755" s="131"/>
      <c r="T1755" s="131"/>
      <c r="U1755" s="131"/>
      <c r="V1755" s="131"/>
      <c r="W1755" s="131"/>
      <c r="X1755" s="131"/>
      <c r="Y1755" s="131"/>
      <c r="Z1755" s="131"/>
    </row>
    <row r="1756">
      <c r="A1756" s="262"/>
      <c r="B1756" s="262"/>
      <c r="C1756" s="262"/>
      <c r="D1756" s="262"/>
      <c r="E1756" s="260"/>
      <c r="F1756" s="132"/>
      <c r="G1756" s="140"/>
      <c r="H1756" s="131"/>
      <c r="I1756" s="131"/>
      <c r="J1756" s="131"/>
      <c r="K1756" s="131"/>
      <c r="L1756" s="131"/>
      <c r="M1756" s="131"/>
      <c r="N1756" s="131"/>
      <c r="O1756" s="131"/>
      <c r="P1756" s="131"/>
      <c r="Q1756" s="131"/>
      <c r="R1756" s="131"/>
      <c r="S1756" s="131"/>
      <c r="T1756" s="131"/>
      <c r="U1756" s="131"/>
      <c r="V1756" s="131"/>
      <c r="W1756" s="131"/>
      <c r="X1756" s="131"/>
      <c r="Y1756" s="131"/>
      <c r="Z1756" s="131"/>
    </row>
    <row r="1757">
      <c r="A1757" s="262"/>
      <c r="B1757" s="262"/>
      <c r="C1757" s="262"/>
      <c r="D1757" s="262"/>
      <c r="E1757" s="260"/>
      <c r="F1757" s="132"/>
      <c r="G1757" s="140"/>
      <c r="H1757" s="131"/>
      <c r="I1757" s="131"/>
      <c r="J1757" s="131"/>
      <c r="K1757" s="131"/>
      <c r="L1757" s="131"/>
      <c r="M1757" s="131"/>
      <c r="N1757" s="131"/>
      <c r="O1757" s="131"/>
      <c r="P1757" s="131"/>
      <c r="Q1757" s="131"/>
      <c r="R1757" s="131"/>
      <c r="S1757" s="131"/>
      <c r="T1757" s="131"/>
      <c r="U1757" s="131"/>
      <c r="V1757" s="131"/>
      <c r="W1757" s="131"/>
      <c r="X1757" s="131"/>
      <c r="Y1757" s="131"/>
      <c r="Z1757" s="131"/>
    </row>
    <row r="1758">
      <c r="A1758" s="262"/>
      <c r="B1758" s="262"/>
      <c r="C1758" s="262"/>
      <c r="D1758" s="262"/>
      <c r="E1758" s="260"/>
      <c r="F1758" s="132"/>
      <c r="G1758" s="140"/>
      <c r="H1758" s="131"/>
      <c r="I1758" s="131"/>
      <c r="J1758" s="131"/>
      <c r="K1758" s="131"/>
      <c r="L1758" s="131"/>
      <c r="M1758" s="131"/>
      <c r="N1758" s="131"/>
      <c r="O1758" s="131"/>
      <c r="P1758" s="131"/>
      <c r="Q1758" s="131"/>
      <c r="R1758" s="131"/>
      <c r="S1758" s="131"/>
      <c r="T1758" s="131"/>
      <c r="U1758" s="131"/>
      <c r="V1758" s="131"/>
      <c r="W1758" s="131"/>
      <c r="X1758" s="131"/>
      <c r="Y1758" s="131"/>
      <c r="Z1758" s="131"/>
    </row>
    <row r="1759">
      <c r="A1759" s="262"/>
      <c r="B1759" s="262"/>
      <c r="C1759" s="262"/>
      <c r="D1759" s="262"/>
      <c r="E1759" s="260"/>
      <c r="F1759" s="132"/>
      <c r="G1759" s="140"/>
      <c r="H1759" s="131"/>
      <c r="I1759" s="131"/>
      <c r="J1759" s="131"/>
      <c r="K1759" s="131"/>
      <c r="L1759" s="131"/>
      <c r="M1759" s="131"/>
      <c r="N1759" s="131"/>
      <c r="O1759" s="131"/>
      <c r="P1759" s="131"/>
      <c r="Q1759" s="131"/>
      <c r="R1759" s="131"/>
      <c r="S1759" s="131"/>
      <c r="T1759" s="131"/>
      <c r="U1759" s="131"/>
      <c r="V1759" s="131"/>
      <c r="W1759" s="131"/>
      <c r="X1759" s="131"/>
      <c r="Y1759" s="131"/>
      <c r="Z1759" s="131"/>
    </row>
    <row r="1760">
      <c r="A1760" s="262"/>
      <c r="B1760" s="262"/>
      <c r="C1760" s="262"/>
      <c r="D1760" s="262"/>
      <c r="E1760" s="260"/>
      <c r="F1760" s="132"/>
      <c r="G1760" s="140"/>
      <c r="H1760" s="131"/>
      <c r="I1760" s="131"/>
      <c r="J1760" s="131"/>
      <c r="K1760" s="131"/>
      <c r="L1760" s="131"/>
      <c r="M1760" s="131"/>
      <c r="N1760" s="131"/>
      <c r="O1760" s="131"/>
      <c r="P1760" s="131"/>
      <c r="Q1760" s="131"/>
      <c r="R1760" s="131"/>
      <c r="S1760" s="131"/>
      <c r="T1760" s="131"/>
      <c r="U1760" s="131"/>
      <c r="V1760" s="131"/>
      <c r="W1760" s="131"/>
      <c r="X1760" s="131"/>
      <c r="Y1760" s="131"/>
      <c r="Z1760" s="131"/>
    </row>
    <row r="1761">
      <c r="A1761" s="262"/>
      <c r="B1761" s="262"/>
      <c r="C1761" s="262"/>
      <c r="D1761" s="262"/>
      <c r="E1761" s="260"/>
      <c r="F1761" s="132"/>
      <c r="G1761" s="140"/>
      <c r="H1761" s="131"/>
      <c r="I1761" s="131"/>
      <c r="J1761" s="131"/>
      <c r="K1761" s="131"/>
      <c r="L1761" s="131"/>
      <c r="M1761" s="131"/>
      <c r="N1761" s="131"/>
      <c r="O1761" s="131"/>
      <c r="P1761" s="131"/>
      <c r="Q1761" s="131"/>
      <c r="R1761" s="131"/>
      <c r="S1761" s="131"/>
      <c r="T1761" s="131"/>
      <c r="U1761" s="131"/>
      <c r="V1761" s="131"/>
      <c r="W1761" s="131"/>
      <c r="X1761" s="131"/>
      <c r="Y1761" s="131"/>
      <c r="Z1761" s="131"/>
    </row>
    <row r="1762">
      <c r="A1762" s="262"/>
      <c r="B1762" s="262"/>
      <c r="C1762" s="262"/>
      <c r="D1762" s="262"/>
      <c r="E1762" s="260"/>
      <c r="F1762" s="132"/>
      <c r="G1762" s="140"/>
      <c r="H1762" s="131"/>
      <c r="I1762" s="131"/>
      <c r="J1762" s="131"/>
      <c r="K1762" s="131"/>
      <c r="L1762" s="131"/>
      <c r="M1762" s="131"/>
      <c r="N1762" s="131"/>
      <c r="O1762" s="131"/>
      <c r="P1762" s="131"/>
      <c r="Q1762" s="131"/>
      <c r="R1762" s="131"/>
      <c r="S1762" s="131"/>
      <c r="T1762" s="131"/>
      <c r="U1762" s="131"/>
      <c r="V1762" s="131"/>
      <c r="W1762" s="131"/>
      <c r="X1762" s="131"/>
      <c r="Y1762" s="131"/>
      <c r="Z1762" s="131"/>
    </row>
    <row r="1763">
      <c r="A1763" s="262"/>
      <c r="B1763" s="262"/>
      <c r="C1763" s="262"/>
      <c r="D1763" s="262"/>
      <c r="E1763" s="260"/>
      <c r="F1763" s="132"/>
      <c r="G1763" s="140"/>
      <c r="H1763" s="131"/>
      <c r="I1763" s="131"/>
      <c r="J1763" s="131"/>
      <c r="K1763" s="131"/>
      <c r="L1763" s="131"/>
      <c r="M1763" s="131"/>
      <c r="N1763" s="131"/>
      <c r="O1763" s="131"/>
      <c r="P1763" s="131"/>
      <c r="Q1763" s="131"/>
      <c r="R1763" s="131"/>
      <c r="S1763" s="131"/>
      <c r="T1763" s="131"/>
      <c r="U1763" s="131"/>
      <c r="V1763" s="131"/>
      <c r="W1763" s="131"/>
      <c r="X1763" s="131"/>
      <c r="Y1763" s="131"/>
      <c r="Z1763" s="131"/>
    </row>
    <row r="1764">
      <c r="A1764" s="262"/>
      <c r="B1764" s="262"/>
      <c r="C1764" s="262"/>
      <c r="D1764" s="262"/>
      <c r="E1764" s="260"/>
      <c r="F1764" s="132"/>
      <c r="G1764" s="140"/>
      <c r="H1764" s="131"/>
      <c r="I1764" s="131"/>
      <c r="J1764" s="131"/>
      <c r="K1764" s="131"/>
      <c r="L1764" s="131"/>
      <c r="M1764" s="131"/>
      <c r="N1764" s="131"/>
      <c r="O1764" s="131"/>
      <c r="P1764" s="131"/>
      <c r="Q1764" s="131"/>
      <c r="R1764" s="131"/>
      <c r="S1764" s="131"/>
      <c r="T1764" s="131"/>
      <c r="U1764" s="131"/>
      <c r="V1764" s="131"/>
      <c r="W1764" s="131"/>
      <c r="X1764" s="131"/>
      <c r="Y1764" s="131"/>
      <c r="Z1764" s="131"/>
    </row>
    <row r="1765">
      <c r="A1765" s="262"/>
      <c r="B1765" s="262"/>
      <c r="C1765" s="262"/>
      <c r="D1765" s="262"/>
      <c r="E1765" s="260"/>
      <c r="F1765" s="132"/>
      <c r="G1765" s="140"/>
      <c r="H1765" s="131"/>
      <c r="I1765" s="131"/>
      <c r="J1765" s="131"/>
      <c r="K1765" s="131"/>
      <c r="L1765" s="131"/>
      <c r="M1765" s="131"/>
      <c r="N1765" s="131"/>
      <c r="O1765" s="131"/>
      <c r="P1765" s="131"/>
      <c r="Q1765" s="131"/>
      <c r="R1765" s="131"/>
      <c r="S1765" s="131"/>
      <c r="T1765" s="131"/>
      <c r="U1765" s="131"/>
      <c r="V1765" s="131"/>
      <c r="W1765" s="131"/>
      <c r="X1765" s="131"/>
      <c r="Y1765" s="131"/>
      <c r="Z1765" s="131"/>
    </row>
    <row r="1766">
      <c r="A1766" s="262"/>
      <c r="B1766" s="262"/>
      <c r="C1766" s="262"/>
      <c r="D1766" s="262"/>
      <c r="E1766" s="260"/>
      <c r="F1766" s="132"/>
      <c r="G1766" s="140"/>
      <c r="H1766" s="131"/>
      <c r="I1766" s="131"/>
      <c r="J1766" s="131"/>
      <c r="K1766" s="131"/>
      <c r="L1766" s="131"/>
      <c r="M1766" s="131"/>
      <c r="N1766" s="131"/>
      <c r="O1766" s="131"/>
      <c r="P1766" s="131"/>
      <c r="Q1766" s="131"/>
      <c r="R1766" s="131"/>
      <c r="S1766" s="131"/>
      <c r="T1766" s="131"/>
      <c r="U1766" s="131"/>
      <c r="V1766" s="131"/>
      <c r="W1766" s="131"/>
      <c r="X1766" s="131"/>
      <c r="Y1766" s="131"/>
      <c r="Z1766" s="131"/>
    </row>
    <row r="1767">
      <c r="A1767" s="262"/>
      <c r="B1767" s="262"/>
      <c r="C1767" s="262"/>
      <c r="D1767" s="262"/>
      <c r="E1767" s="260"/>
      <c r="F1767" s="132"/>
      <c r="G1767" s="140"/>
      <c r="H1767" s="131"/>
      <c r="I1767" s="131"/>
      <c r="J1767" s="131"/>
      <c r="K1767" s="131"/>
      <c r="L1767" s="131"/>
      <c r="M1767" s="131"/>
      <c r="N1767" s="131"/>
      <c r="O1767" s="131"/>
      <c r="P1767" s="131"/>
      <c r="Q1767" s="131"/>
      <c r="R1767" s="131"/>
      <c r="S1767" s="131"/>
      <c r="T1767" s="131"/>
      <c r="U1767" s="131"/>
      <c r="V1767" s="131"/>
      <c r="W1767" s="131"/>
      <c r="X1767" s="131"/>
      <c r="Y1767" s="131"/>
      <c r="Z1767" s="131"/>
    </row>
    <row r="1768">
      <c r="A1768" s="262"/>
      <c r="B1768" s="262"/>
      <c r="C1768" s="262"/>
      <c r="D1768" s="262"/>
      <c r="E1768" s="260"/>
      <c r="F1768" s="132"/>
      <c r="G1768" s="140"/>
      <c r="H1768" s="131"/>
      <c r="I1768" s="131"/>
      <c r="J1768" s="131"/>
      <c r="K1768" s="131"/>
      <c r="L1768" s="131"/>
      <c r="M1768" s="131"/>
      <c r="N1768" s="131"/>
      <c r="O1768" s="131"/>
      <c r="P1768" s="131"/>
      <c r="Q1768" s="131"/>
      <c r="R1768" s="131"/>
      <c r="S1768" s="131"/>
      <c r="T1768" s="131"/>
      <c r="U1768" s="131"/>
      <c r="V1768" s="131"/>
      <c r="W1768" s="131"/>
      <c r="X1768" s="131"/>
      <c r="Y1768" s="131"/>
      <c r="Z1768" s="131"/>
    </row>
    <row r="1769">
      <c r="A1769" s="262"/>
      <c r="B1769" s="262"/>
      <c r="C1769" s="262"/>
      <c r="D1769" s="262"/>
      <c r="E1769" s="260"/>
      <c r="F1769" s="132"/>
      <c r="G1769" s="140"/>
      <c r="H1769" s="131"/>
      <c r="I1769" s="131"/>
      <c r="J1769" s="131"/>
      <c r="K1769" s="131"/>
      <c r="L1769" s="131"/>
      <c r="M1769" s="131"/>
      <c r="N1769" s="131"/>
      <c r="O1769" s="131"/>
      <c r="P1769" s="131"/>
      <c r="Q1769" s="131"/>
      <c r="R1769" s="131"/>
      <c r="S1769" s="131"/>
      <c r="T1769" s="131"/>
      <c r="U1769" s="131"/>
      <c r="V1769" s="131"/>
      <c r="W1769" s="131"/>
      <c r="X1769" s="131"/>
      <c r="Y1769" s="131"/>
      <c r="Z1769" s="131"/>
    </row>
    <row r="1770">
      <c r="A1770" s="262"/>
      <c r="B1770" s="262"/>
      <c r="C1770" s="262"/>
      <c r="D1770" s="262"/>
      <c r="E1770" s="260"/>
      <c r="F1770" s="132"/>
      <c r="G1770" s="140"/>
      <c r="H1770" s="131"/>
      <c r="I1770" s="131"/>
      <c r="J1770" s="131"/>
      <c r="K1770" s="131"/>
      <c r="L1770" s="131"/>
      <c r="M1770" s="131"/>
      <c r="N1770" s="131"/>
      <c r="O1770" s="131"/>
      <c r="P1770" s="131"/>
      <c r="Q1770" s="131"/>
      <c r="R1770" s="131"/>
      <c r="S1770" s="131"/>
      <c r="T1770" s="131"/>
      <c r="U1770" s="131"/>
      <c r="V1770" s="131"/>
      <c r="W1770" s="131"/>
      <c r="X1770" s="131"/>
      <c r="Y1770" s="131"/>
      <c r="Z1770" s="131"/>
    </row>
    <row r="1771">
      <c r="A1771" s="262"/>
      <c r="B1771" s="262"/>
      <c r="C1771" s="262"/>
      <c r="D1771" s="262"/>
      <c r="E1771" s="260"/>
      <c r="F1771" s="132"/>
      <c r="G1771" s="140"/>
      <c r="H1771" s="131"/>
      <c r="I1771" s="131"/>
      <c r="J1771" s="131"/>
      <c r="K1771" s="131"/>
      <c r="L1771" s="131"/>
      <c r="M1771" s="131"/>
      <c r="N1771" s="131"/>
      <c r="O1771" s="131"/>
      <c r="P1771" s="131"/>
      <c r="Q1771" s="131"/>
      <c r="R1771" s="131"/>
      <c r="S1771" s="131"/>
      <c r="T1771" s="131"/>
      <c r="U1771" s="131"/>
      <c r="V1771" s="131"/>
      <c r="W1771" s="131"/>
      <c r="X1771" s="131"/>
      <c r="Y1771" s="131"/>
      <c r="Z1771" s="131"/>
    </row>
    <row r="1772">
      <c r="A1772" s="262"/>
      <c r="B1772" s="262"/>
      <c r="C1772" s="262"/>
      <c r="D1772" s="262"/>
      <c r="E1772" s="260"/>
      <c r="F1772" s="132"/>
      <c r="G1772" s="140"/>
      <c r="H1772" s="131"/>
      <c r="I1772" s="131"/>
      <c r="J1772" s="131"/>
      <c r="K1772" s="131"/>
      <c r="L1772" s="131"/>
      <c r="M1772" s="131"/>
      <c r="N1772" s="131"/>
      <c r="O1772" s="131"/>
      <c r="P1772" s="131"/>
      <c r="Q1772" s="131"/>
      <c r="R1772" s="131"/>
      <c r="S1772" s="131"/>
      <c r="T1772" s="131"/>
      <c r="U1772" s="131"/>
      <c r="V1772" s="131"/>
      <c r="W1772" s="131"/>
      <c r="X1772" s="131"/>
      <c r="Y1772" s="131"/>
      <c r="Z1772" s="131"/>
    </row>
    <row r="1773">
      <c r="A1773" s="262"/>
      <c r="B1773" s="262"/>
      <c r="C1773" s="262"/>
      <c r="D1773" s="262"/>
      <c r="E1773" s="260"/>
      <c r="F1773" s="132"/>
      <c r="G1773" s="140"/>
      <c r="H1773" s="131"/>
      <c r="I1773" s="131"/>
      <c r="J1773" s="131"/>
      <c r="K1773" s="131"/>
      <c r="L1773" s="131"/>
      <c r="M1773" s="131"/>
      <c r="N1773" s="131"/>
      <c r="O1773" s="131"/>
      <c r="P1773" s="131"/>
      <c r="Q1773" s="131"/>
      <c r="R1773" s="131"/>
      <c r="S1773" s="131"/>
      <c r="T1773" s="131"/>
      <c r="U1773" s="131"/>
      <c r="V1773" s="131"/>
      <c r="W1773" s="131"/>
      <c r="X1773" s="131"/>
      <c r="Y1773" s="131"/>
      <c r="Z1773" s="131"/>
    </row>
    <row r="1774">
      <c r="A1774" s="262"/>
      <c r="B1774" s="262"/>
      <c r="C1774" s="262"/>
      <c r="D1774" s="262"/>
      <c r="E1774" s="260"/>
      <c r="F1774" s="132"/>
      <c r="G1774" s="140"/>
      <c r="H1774" s="131"/>
      <c r="I1774" s="131"/>
      <c r="J1774" s="131"/>
      <c r="K1774" s="131"/>
      <c r="L1774" s="131"/>
      <c r="M1774" s="131"/>
      <c r="N1774" s="131"/>
      <c r="O1774" s="131"/>
      <c r="P1774" s="131"/>
      <c r="Q1774" s="131"/>
      <c r="R1774" s="131"/>
      <c r="S1774" s="131"/>
      <c r="T1774" s="131"/>
      <c r="U1774" s="131"/>
      <c r="V1774" s="131"/>
      <c r="W1774" s="131"/>
      <c r="X1774" s="131"/>
      <c r="Y1774" s="131"/>
      <c r="Z1774" s="131"/>
    </row>
    <row r="1775">
      <c r="A1775" s="262"/>
      <c r="B1775" s="262"/>
      <c r="C1775" s="262"/>
      <c r="D1775" s="262"/>
      <c r="E1775" s="260"/>
      <c r="F1775" s="132"/>
      <c r="G1775" s="140"/>
      <c r="H1775" s="131"/>
      <c r="I1775" s="131"/>
      <c r="J1775" s="131"/>
      <c r="K1775" s="131"/>
      <c r="L1775" s="131"/>
      <c r="M1775" s="131"/>
      <c r="N1775" s="131"/>
      <c r="O1775" s="131"/>
      <c r="P1775" s="131"/>
      <c r="Q1775" s="131"/>
      <c r="R1775" s="131"/>
      <c r="S1775" s="131"/>
      <c r="T1775" s="131"/>
      <c r="U1775" s="131"/>
      <c r="V1775" s="131"/>
      <c r="W1775" s="131"/>
      <c r="X1775" s="131"/>
      <c r="Y1775" s="131"/>
      <c r="Z1775" s="131"/>
    </row>
    <row r="1776">
      <c r="A1776" s="262"/>
      <c r="B1776" s="262"/>
      <c r="C1776" s="262"/>
      <c r="D1776" s="262"/>
      <c r="E1776" s="260"/>
      <c r="F1776" s="132"/>
      <c r="G1776" s="140"/>
      <c r="H1776" s="131"/>
      <c r="I1776" s="131"/>
      <c r="J1776" s="131"/>
      <c r="K1776" s="131"/>
      <c r="L1776" s="131"/>
      <c r="M1776" s="131"/>
      <c r="N1776" s="131"/>
      <c r="O1776" s="131"/>
      <c r="P1776" s="131"/>
      <c r="Q1776" s="131"/>
      <c r="R1776" s="131"/>
      <c r="S1776" s="131"/>
      <c r="T1776" s="131"/>
      <c r="U1776" s="131"/>
      <c r="V1776" s="131"/>
      <c r="W1776" s="131"/>
      <c r="X1776" s="131"/>
      <c r="Y1776" s="131"/>
      <c r="Z1776" s="131"/>
    </row>
    <row r="1777">
      <c r="A1777" s="262"/>
      <c r="B1777" s="262"/>
      <c r="C1777" s="262"/>
      <c r="D1777" s="262"/>
      <c r="E1777" s="260"/>
      <c r="F1777" s="132"/>
      <c r="G1777" s="140"/>
      <c r="H1777" s="131"/>
      <c r="I1777" s="131"/>
      <c r="J1777" s="131"/>
      <c r="K1777" s="131"/>
      <c r="L1777" s="131"/>
      <c r="M1777" s="131"/>
      <c r="N1777" s="131"/>
      <c r="O1777" s="131"/>
      <c r="P1777" s="131"/>
      <c r="Q1777" s="131"/>
      <c r="R1777" s="131"/>
      <c r="S1777" s="131"/>
      <c r="T1777" s="131"/>
      <c r="U1777" s="131"/>
      <c r="V1777" s="131"/>
      <c r="W1777" s="131"/>
      <c r="X1777" s="131"/>
      <c r="Y1777" s="131"/>
      <c r="Z1777" s="131"/>
    </row>
    <row r="1778">
      <c r="A1778" s="262"/>
      <c r="B1778" s="262"/>
      <c r="C1778" s="262"/>
      <c r="D1778" s="262"/>
      <c r="E1778" s="260"/>
      <c r="F1778" s="132"/>
      <c r="G1778" s="140"/>
      <c r="H1778" s="131"/>
      <c r="I1778" s="131"/>
      <c r="J1778" s="131"/>
      <c r="K1778" s="131"/>
      <c r="L1778" s="131"/>
      <c r="M1778" s="131"/>
      <c r="N1778" s="131"/>
      <c r="O1778" s="131"/>
      <c r="P1778" s="131"/>
      <c r="Q1778" s="131"/>
      <c r="R1778" s="131"/>
      <c r="S1778" s="131"/>
      <c r="T1778" s="131"/>
      <c r="U1778" s="131"/>
      <c r="V1778" s="131"/>
      <c r="W1778" s="131"/>
      <c r="X1778" s="131"/>
      <c r="Y1778" s="131"/>
      <c r="Z1778" s="131"/>
    </row>
    <row r="1779">
      <c r="A1779" s="262"/>
      <c r="B1779" s="262"/>
      <c r="C1779" s="262"/>
      <c r="D1779" s="262"/>
      <c r="E1779" s="260"/>
      <c r="F1779" s="132"/>
      <c r="G1779" s="140"/>
      <c r="H1779" s="131"/>
      <c r="I1779" s="131"/>
      <c r="J1779" s="131"/>
      <c r="K1779" s="131"/>
      <c r="L1779" s="131"/>
      <c r="M1779" s="131"/>
      <c r="N1779" s="131"/>
      <c r="O1779" s="131"/>
      <c r="P1779" s="131"/>
      <c r="Q1779" s="131"/>
      <c r="R1779" s="131"/>
      <c r="S1779" s="131"/>
      <c r="T1779" s="131"/>
      <c r="U1779" s="131"/>
      <c r="V1779" s="131"/>
      <c r="W1779" s="131"/>
      <c r="X1779" s="131"/>
      <c r="Y1779" s="131"/>
      <c r="Z1779" s="131"/>
    </row>
    <row r="1780">
      <c r="A1780" s="262"/>
      <c r="B1780" s="262"/>
      <c r="C1780" s="262"/>
      <c r="D1780" s="262"/>
      <c r="E1780" s="260"/>
      <c r="F1780" s="132"/>
      <c r="G1780" s="140"/>
      <c r="H1780" s="131"/>
      <c r="I1780" s="131"/>
      <c r="J1780" s="131"/>
      <c r="K1780" s="131"/>
      <c r="L1780" s="131"/>
      <c r="M1780" s="131"/>
      <c r="N1780" s="131"/>
      <c r="O1780" s="131"/>
      <c r="P1780" s="131"/>
      <c r="Q1780" s="131"/>
      <c r="R1780" s="131"/>
      <c r="S1780" s="131"/>
      <c r="T1780" s="131"/>
      <c r="U1780" s="131"/>
      <c r="V1780" s="131"/>
      <c r="W1780" s="131"/>
      <c r="X1780" s="131"/>
      <c r="Y1780" s="131"/>
      <c r="Z1780" s="131"/>
    </row>
    <row r="1781">
      <c r="A1781" s="262"/>
      <c r="B1781" s="262"/>
      <c r="C1781" s="262"/>
      <c r="D1781" s="262"/>
      <c r="E1781" s="260"/>
      <c r="F1781" s="132"/>
      <c r="G1781" s="140"/>
      <c r="H1781" s="131"/>
      <c r="I1781" s="131"/>
      <c r="J1781" s="131"/>
      <c r="K1781" s="131"/>
      <c r="L1781" s="131"/>
      <c r="M1781" s="131"/>
      <c r="N1781" s="131"/>
      <c r="O1781" s="131"/>
      <c r="P1781" s="131"/>
      <c r="Q1781" s="131"/>
      <c r="R1781" s="131"/>
      <c r="S1781" s="131"/>
      <c r="T1781" s="131"/>
      <c r="U1781" s="131"/>
      <c r="V1781" s="131"/>
      <c r="W1781" s="131"/>
      <c r="X1781" s="131"/>
      <c r="Y1781" s="131"/>
      <c r="Z1781" s="131"/>
    </row>
    <row r="1782">
      <c r="A1782" s="262"/>
      <c r="B1782" s="262"/>
      <c r="C1782" s="262"/>
      <c r="D1782" s="262"/>
      <c r="E1782" s="260"/>
      <c r="F1782" s="132"/>
      <c r="G1782" s="140"/>
      <c r="H1782" s="131"/>
      <c r="I1782" s="131"/>
      <c r="J1782" s="131"/>
      <c r="K1782" s="131"/>
      <c r="L1782" s="131"/>
      <c r="M1782" s="131"/>
      <c r="N1782" s="131"/>
      <c r="O1782" s="131"/>
      <c r="P1782" s="131"/>
      <c r="Q1782" s="131"/>
      <c r="R1782" s="131"/>
      <c r="S1782" s="131"/>
      <c r="T1782" s="131"/>
      <c r="U1782" s="131"/>
      <c r="V1782" s="131"/>
      <c r="W1782" s="131"/>
      <c r="X1782" s="131"/>
      <c r="Y1782" s="131"/>
      <c r="Z1782" s="131"/>
    </row>
    <row r="1783">
      <c r="A1783" s="262"/>
      <c r="B1783" s="262"/>
      <c r="C1783" s="262"/>
      <c r="D1783" s="262"/>
      <c r="E1783" s="260"/>
      <c r="F1783" s="132"/>
      <c r="G1783" s="140"/>
      <c r="H1783" s="131"/>
      <c r="I1783" s="131"/>
      <c r="J1783" s="131"/>
      <c r="K1783" s="131"/>
      <c r="L1783" s="131"/>
      <c r="M1783" s="131"/>
      <c r="N1783" s="131"/>
      <c r="O1783" s="131"/>
      <c r="P1783" s="131"/>
      <c r="Q1783" s="131"/>
      <c r="R1783" s="131"/>
      <c r="S1783" s="131"/>
      <c r="T1783" s="131"/>
      <c r="U1783" s="131"/>
      <c r="V1783" s="131"/>
      <c r="W1783" s="131"/>
      <c r="X1783" s="131"/>
      <c r="Y1783" s="131"/>
      <c r="Z1783" s="131"/>
    </row>
    <row r="1784">
      <c r="A1784" s="262"/>
      <c r="B1784" s="262"/>
      <c r="C1784" s="262"/>
      <c r="D1784" s="262"/>
      <c r="E1784" s="260"/>
      <c r="F1784" s="132"/>
      <c r="G1784" s="140"/>
      <c r="H1784" s="131"/>
      <c r="I1784" s="131"/>
      <c r="J1784" s="131"/>
      <c r="K1784" s="131"/>
      <c r="L1784" s="131"/>
      <c r="M1784" s="131"/>
      <c r="N1784" s="131"/>
      <c r="O1784" s="131"/>
      <c r="P1784" s="131"/>
      <c r="Q1784" s="131"/>
      <c r="R1784" s="131"/>
      <c r="S1784" s="131"/>
      <c r="T1784" s="131"/>
      <c r="U1784" s="131"/>
      <c r="V1784" s="131"/>
      <c r="W1784" s="131"/>
      <c r="X1784" s="131"/>
      <c r="Y1784" s="131"/>
      <c r="Z1784" s="131"/>
    </row>
    <row r="1785">
      <c r="A1785" s="262"/>
      <c r="B1785" s="262"/>
      <c r="C1785" s="262"/>
      <c r="D1785" s="262"/>
      <c r="E1785" s="260"/>
      <c r="F1785" s="132"/>
      <c r="G1785" s="140"/>
      <c r="H1785" s="131"/>
      <c r="I1785" s="131"/>
      <c r="J1785" s="131"/>
      <c r="K1785" s="131"/>
      <c r="L1785" s="131"/>
      <c r="M1785" s="131"/>
      <c r="N1785" s="131"/>
      <c r="O1785" s="131"/>
      <c r="P1785" s="131"/>
      <c r="Q1785" s="131"/>
      <c r="R1785" s="131"/>
      <c r="S1785" s="131"/>
      <c r="T1785" s="131"/>
      <c r="U1785" s="131"/>
      <c r="V1785" s="131"/>
      <c r="W1785" s="131"/>
      <c r="X1785" s="131"/>
      <c r="Y1785" s="131"/>
      <c r="Z1785" s="131"/>
    </row>
    <row r="1786">
      <c r="A1786" s="262"/>
      <c r="B1786" s="262"/>
      <c r="C1786" s="262"/>
      <c r="D1786" s="262"/>
      <c r="E1786" s="260"/>
      <c r="F1786" s="132"/>
      <c r="G1786" s="140"/>
      <c r="H1786" s="131"/>
      <c r="I1786" s="131"/>
      <c r="J1786" s="131"/>
      <c r="K1786" s="131"/>
      <c r="L1786" s="131"/>
      <c r="M1786" s="131"/>
      <c r="N1786" s="131"/>
      <c r="O1786" s="131"/>
      <c r="P1786" s="131"/>
      <c r="Q1786" s="131"/>
      <c r="R1786" s="131"/>
      <c r="S1786" s="131"/>
      <c r="T1786" s="131"/>
      <c r="U1786" s="131"/>
      <c r="V1786" s="131"/>
      <c r="W1786" s="131"/>
      <c r="X1786" s="131"/>
      <c r="Y1786" s="131"/>
      <c r="Z1786" s="131"/>
    </row>
    <row r="1787">
      <c r="A1787" s="262"/>
      <c r="B1787" s="262"/>
      <c r="C1787" s="262"/>
      <c r="D1787" s="262"/>
      <c r="E1787" s="260"/>
      <c r="F1787" s="132"/>
      <c r="G1787" s="140"/>
      <c r="H1787" s="131"/>
      <c r="I1787" s="131"/>
      <c r="J1787" s="131"/>
      <c r="K1787" s="131"/>
      <c r="L1787" s="131"/>
      <c r="M1787" s="131"/>
      <c r="N1787" s="131"/>
      <c r="O1787" s="131"/>
      <c r="P1787" s="131"/>
      <c r="Q1787" s="131"/>
      <c r="R1787" s="131"/>
      <c r="S1787" s="131"/>
      <c r="T1787" s="131"/>
      <c r="U1787" s="131"/>
      <c r="V1787" s="131"/>
      <c r="W1787" s="131"/>
      <c r="X1787" s="131"/>
      <c r="Y1787" s="131"/>
      <c r="Z1787" s="131"/>
    </row>
    <row r="1788">
      <c r="A1788" s="262"/>
      <c r="B1788" s="262"/>
      <c r="C1788" s="262"/>
      <c r="D1788" s="262"/>
      <c r="E1788" s="260"/>
      <c r="F1788" s="132"/>
      <c r="G1788" s="140"/>
      <c r="H1788" s="131"/>
      <c r="I1788" s="131"/>
      <c r="J1788" s="131"/>
      <c r="K1788" s="131"/>
      <c r="L1788" s="131"/>
      <c r="M1788" s="131"/>
      <c r="N1788" s="131"/>
      <c r="O1788" s="131"/>
      <c r="P1788" s="131"/>
      <c r="Q1788" s="131"/>
      <c r="R1788" s="131"/>
      <c r="S1788" s="131"/>
      <c r="T1788" s="131"/>
      <c r="U1788" s="131"/>
      <c r="V1788" s="131"/>
      <c r="W1788" s="131"/>
      <c r="X1788" s="131"/>
      <c r="Y1788" s="131"/>
      <c r="Z1788" s="131"/>
    </row>
    <row r="1789">
      <c r="A1789" s="262"/>
      <c r="B1789" s="262"/>
      <c r="C1789" s="262"/>
      <c r="D1789" s="262"/>
      <c r="E1789" s="260"/>
      <c r="F1789" s="132"/>
      <c r="G1789" s="140"/>
      <c r="H1789" s="131"/>
      <c r="I1789" s="131"/>
      <c r="J1789" s="131"/>
      <c r="K1789" s="131"/>
      <c r="L1789" s="131"/>
      <c r="M1789" s="131"/>
      <c r="N1789" s="131"/>
      <c r="O1789" s="131"/>
      <c r="P1789" s="131"/>
      <c r="Q1789" s="131"/>
      <c r="R1789" s="131"/>
      <c r="S1789" s="131"/>
      <c r="T1789" s="131"/>
      <c r="U1789" s="131"/>
      <c r="V1789" s="131"/>
      <c r="W1789" s="131"/>
      <c r="X1789" s="131"/>
      <c r="Y1789" s="131"/>
      <c r="Z1789" s="131"/>
    </row>
    <row r="1790">
      <c r="A1790" s="262"/>
      <c r="B1790" s="262"/>
      <c r="C1790" s="262"/>
      <c r="D1790" s="262"/>
      <c r="E1790" s="260"/>
      <c r="F1790" s="132"/>
      <c r="G1790" s="140"/>
      <c r="H1790" s="131"/>
      <c r="I1790" s="131"/>
      <c r="J1790" s="131"/>
      <c r="K1790" s="131"/>
      <c r="L1790" s="131"/>
      <c r="M1790" s="131"/>
      <c r="N1790" s="131"/>
      <c r="O1790" s="131"/>
      <c r="P1790" s="131"/>
      <c r="Q1790" s="131"/>
      <c r="R1790" s="131"/>
      <c r="S1790" s="131"/>
      <c r="T1790" s="131"/>
      <c r="U1790" s="131"/>
      <c r="V1790" s="131"/>
      <c r="W1790" s="131"/>
      <c r="X1790" s="131"/>
      <c r="Y1790" s="131"/>
      <c r="Z1790" s="131"/>
    </row>
    <row r="1791">
      <c r="A1791" s="262"/>
      <c r="B1791" s="262"/>
      <c r="C1791" s="262"/>
      <c r="D1791" s="262"/>
      <c r="E1791" s="260"/>
      <c r="F1791" s="132"/>
      <c r="G1791" s="140"/>
      <c r="H1791" s="131"/>
      <c r="I1791" s="131"/>
      <c r="J1791" s="131"/>
      <c r="K1791" s="131"/>
      <c r="L1791" s="131"/>
      <c r="M1791" s="131"/>
      <c r="N1791" s="131"/>
      <c r="O1791" s="131"/>
      <c r="P1791" s="131"/>
      <c r="Q1791" s="131"/>
      <c r="R1791" s="131"/>
      <c r="S1791" s="131"/>
      <c r="T1791" s="131"/>
      <c r="U1791" s="131"/>
      <c r="V1791" s="131"/>
      <c r="W1791" s="131"/>
      <c r="X1791" s="131"/>
      <c r="Y1791" s="131"/>
      <c r="Z1791" s="131"/>
    </row>
    <row r="1792">
      <c r="A1792" s="262"/>
      <c r="B1792" s="262"/>
      <c r="C1792" s="262"/>
      <c r="D1792" s="262"/>
      <c r="E1792" s="260"/>
      <c r="F1792" s="132"/>
      <c r="G1792" s="140"/>
      <c r="H1792" s="131"/>
      <c r="I1792" s="131"/>
      <c r="J1792" s="131"/>
      <c r="K1792" s="131"/>
      <c r="L1792" s="131"/>
      <c r="M1792" s="131"/>
      <c r="N1792" s="131"/>
      <c r="O1792" s="131"/>
      <c r="P1792" s="131"/>
      <c r="Q1792" s="131"/>
      <c r="R1792" s="131"/>
      <c r="S1792" s="131"/>
      <c r="T1792" s="131"/>
      <c r="U1792" s="131"/>
      <c r="V1792" s="131"/>
      <c r="W1792" s="131"/>
      <c r="X1792" s="131"/>
      <c r="Y1792" s="131"/>
      <c r="Z1792" s="131"/>
    </row>
    <row r="1793">
      <c r="A1793" s="262"/>
      <c r="B1793" s="262"/>
      <c r="C1793" s="262"/>
      <c r="D1793" s="262"/>
      <c r="E1793" s="260"/>
      <c r="F1793" s="132"/>
      <c r="G1793" s="140"/>
      <c r="H1793" s="131"/>
      <c r="I1793" s="131"/>
      <c r="J1793" s="131"/>
      <c r="K1793" s="131"/>
      <c r="L1793" s="131"/>
      <c r="M1793" s="131"/>
      <c r="N1793" s="131"/>
      <c r="O1793" s="131"/>
      <c r="P1793" s="131"/>
      <c r="Q1793" s="131"/>
      <c r="R1793" s="131"/>
      <c r="S1793" s="131"/>
      <c r="T1793" s="131"/>
      <c r="U1793" s="131"/>
      <c r="V1793" s="131"/>
      <c r="W1793" s="131"/>
      <c r="X1793" s="131"/>
      <c r="Y1793" s="131"/>
      <c r="Z1793" s="131"/>
    </row>
    <row r="1794">
      <c r="A1794" s="262"/>
      <c r="B1794" s="262"/>
      <c r="C1794" s="262"/>
      <c r="D1794" s="262"/>
      <c r="E1794" s="260"/>
      <c r="F1794" s="132"/>
      <c r="G1794" s="140"/>
      <c r="H1794" s="131"/>
      <c r="I1794" s="131"/>
      <c r="J1794" s="131"/>
      <c r="K1794" s="131"/>
      <c r="L1794" s="131"/>
      <c r="M1794" s="131"/>
      <c r="N1794" s="131"/>
      <c r="O1794" s="131"/>
      <c r="P1794" s="131"/>
      <c r="Q1794" s="131"/>
      <c r="R1794" s="131"/>
      <c r="S1794" s="131"/>
      <c r="T1794" s="131"/>
      <c r="U1794" s="131"/>
      <c r="V1794" s="131"/>
      <c r="W1794" s="131"/>
      <c r="X1794" s="131"/>
      <c r="Y1794" s="131"/>
      <c r="Z1794" s="131"/>
    </row>
    <row r="1795">
      <c r="A1795" s="262"/>
      <c r="B1795" s="262"/>
      <c r="C1795" s="262"/>
      <c r="D1795" s="262"/>
      <c r="E1795" s="260"/>
      <c r="F1795" s="132"/>
      <c r="G1795" s="140"/>
      <c r="H1795" s="131"/>
      <c r="I1795" s="131"/>
      <c r="J1795" s="131"/>
      <c r="K1795" s="131"/>
      <c r="L1795" s="131"/>
      <c r="M1795" s="131"/>
      <c r="N1795" s="131"/>
      <c r="O1795" s="131"/>
      <c r="P1795" s="131"/>
      <c r="Q1795" s="131"/>
      <c r="R1795" s="131"/>
      <c r="S1795" s="131"/>
      <c r="T1795" s="131"/>
      <c r="U1795" s="131"/>
      <c r="V1795" s="131"/>
      <c r="W1795" s="131"/>
      <c r="X1795" s="131"/>
      <c r="Y1795" s="131"/>
      <c r="Z1795" s="131"/>
    </row>
    <row r="1796">
      <c r="A1796" s="262"/>
      <c r="B1796" s="262"/>
      <c r="C1796" s="262"/>
      <c r="D1796" s="262"/>
      <c r="E1796" s="260"/>
      <c r="F1796" s="132"/>
      <c r="G1796" s="140"/>
      <c r="H1796" s="131"/>
      <c r="I1796" s="131"/>
      <c r="J1796" s="131"/>
      <c r="K1796" s="131"/>
      <c r="L1796" s="131"/>
      <c r="M1796" s="131"/>
      <c r="N1796" s="131"/>
      <c r="O1796" s="131"/>
      <c r="P1796" s="131"/>
      <c r="Q1796" s="131"/>
      <c r="R1796" s="131"/>
      <c r="S1796" s="131"/>
      <c r="T1796" s="131"/>
      <c r="U1796" s="131"/>
      <c r="V1796" s="131"/>
      <c r="W1796" s="131"/>
      <c r="X1796" s="131"/>
      <c r="Y1796" s="131"/>
      <c r="Z1796" s="131"/>
    </row>
    <row r="1797">
      <c r="A1797" s="262"/>
      <c r="B1797" s="262"/>
      <c r="C1797" s="262"/>
      <c r="D1797" s="262"/>
      <c r="E1797" s="260"/>
      <c r="F1797" s="132"/>
      <c r="G1797" s="140"/>
      <c r="H1797" s="131"/>
      <c r="I1797" s="131"/>
      <c r="J1797" s="131"/>
      <c r="K1797" s="131"/>
      <c r="L1797" s="131"/>
      <c r="M1797" s="131"/>
      <c r="N1797" s="131"/>
      <c r="O1797" s="131"/>
      <c r="P1797" s="131"/>
      <c r="Q1797" s="131"/>
      <c r="R1797" s="131"/>
      <c r="S1797" s="131"/>
      <c r="T1797" s="131"/>
      <c r="U1797" s="131"/>
      <c r="V1797" s="131"/>
      <c r="W1797" s="131"/>
      <c r="X1797" s="131"/>
      <c r="Y1797" s="131"/>
      <c r="Z1797" s="131"/>
    </row>
    <row r="1798">
      <c r="A1798" s="262"/>
      <c r="B1798" s="262"/>
      <c r="C1798" s="262"/>
      <c r="D1798" s="262"/>
      <c r="E1798" s="260"/>
      <c r="F1798" s="132"/>
      <c r="G1798" s="140"/>
      <c r="H1798" s="131"/>
      <c r="I1798" s="131"/>
      <c r="J1798" s="131"/>
      <c r="K1798" s="131"/>
      <c r="L1798" s="131"/>
      <c r="M1798" s="131"/>
      <c r="N1798" s="131"/>
      <c r="O1798" s="131"/>
      <c r="P1798" s="131"/>
      <c r="Q1798" s="131"/>
      <c r="R1798" s="131"/>
      <c r="S1798" s="131"/>
      <c r="T1798" s="131"/>
      <c r="U1798" s="131"/>
      <c r="V1798" s="131"/>
      <c r="W1798" s="131"/>
      <c r="X1798" s="131"/>
      <c r="Y1798" s="131"/>
      <c r="Z1798" s="131"/>
    </row>
    <row r="1799">
      <c r="A1799" s="262"/>
      <c r="B1799" s="262"/>
      <c r="C1799" s="262"/>
      <c r="D1799" s="262"/>
      <c r="E1799" s="260"/>
      <c r="F1799" s="132"/>
      <c r="G1799" s="140"/>
      <c r="H1799" s="131"/>
      <c r="I1799" s="131"/>
      <c r="J1799" s="131"/>
      <c r="K1799" s="131"/>
      <c r="L1799" s="131"/>
      <c r="M1799" s="131"/>
      <c r="N1799" s="131"/>
      <c r="O1799" s="131"/>
      <c r="P1799" s="131"/>
      <c r="Q1799" s="131"/>
      <c r="R1799" s="131"/>
      <c r="S1799" s="131"/>
      <c r="T1799" s="131"/>
      <c r="U1799" s="131"/>
      <c r="V1799" s="131"/>
      <c r="W1799" s="131"/>
      <c r="X1799" s="131"/>
      <c r="Y1799" s="131"/>
      <c r="Z1799" s="131"/>
    </row>
    <row r="1800">
      <c r="A1800" s="262"/>
      <c r="B1800" s="262"/>
      <c r="C1800" s="262"/>
      <c r="D1800" s="262"/>
      <c r="E1800" s="260"/>
      <c r="F1800" s="132"/>
      <c r="G1800" s="140"/>
      <c r="H1800" s="131"/>
      <c r="I1800" s="131"/>
      <c r="J1800" s="131"/>
      <c r="K1800" s="131"/>
      <c r="L1800" s="131"/>
      <c r="M1800" s="131"/>
      <c r="N1800" s="131"/>
      <c r="O1800" s="131"/>
      <c r="P1800" s="131"/>
      <c r="Q1800" s="131"/>
      <c r="R1800" s="131"/>
      <c r="S1800" s="131"/>
      <c r="T1800" s="131"/>
      <c r="U1800" s="131"/>
      <c r="V1800" s="131"/>
      <c r="W1800" s="131"/>
      <c r="X1800" s="131"/>
      <c r="Y1800" s="131"/>
      <c r="Z1800" s="131"/>
    </row>
    <row r="1801">
      <c r="A1801" s="262"/>
      <c r="B1801" s="262"/>
      <c r="C1801" s="262"/>
      <c r="D1801" s="262"/>
      <c r="E1801" s="260"/>
      <c r="F1801" s="132"/>
      <c r="G1801" s="140"/>
      <c r="H1801" s="131"/>
      <c r="I1801" s="131"/>
      <c r="J1801" s="131"/>
      <c r="K1801" s="131"/>
      <c r="L1801" s="131"/>
      <c r="M1801" s="131"/>
      <c r="N1801" s="131"/>
      <c r="O1801" s="131"/>
      <c r="P1801" s="131"/>
      <c r="Q1801" s="131"/>
      <c r="R1801" s="131"/>
      <c r="S1801" s="131"/>
      <c r="T1801" s="131"/>
      <c r="U1801" s="131"/>
      <c r="V1801" s="131"/>
      <c r="W1801" s="131"/>
      <c r="X1801" s="131"/>
      <c r="Y1801" s="131"/>
      <c r="Z1801" s="131"/>
    </row>
    <row r="1802">
      <c r="A1802" s="262"/>
      <c r="B1802" s="262"/>
      <c r="C1802" s="262"/>
      <c r="D1802" s="262"/>
      <c r="E1802" s="260"/>
      <c r="F1802" s="132"/>
      <c r="G1802" s="140"/>
      <c r="H1802" s="131"/>
      <c r="I1802" s="131"/>
      <c r="J1802" s="131"/>
      <c r="K1802" s="131"/>
      <c r="L1802" s="131"/>
      <c r="M1802" s="131"/>
      <c r="N1802" s="131"/>
      <c r="O1802" s="131"/>
      <c r="P1802" s="131"/>
      <c r="Q1802" s="131"/>
      <c r="R1802" s="131"/>
      <c r="S1802" s="131"/>
      <c r="T1802" s="131"/>
      <c r="U1802" s="131"/>
      <c r="V1802" s="131"/>
      <c r="W1802" s="131"/>
      <c r="X1802" s="131"/>
      <c r="Y1802" s="131"/>
      <c r="Z1802" s="131"/>
    </row>
    <row r="1803">
      <c r="A1803" s="262"/>
      <c r="B1803" s="262"/>
      <c r="C1803" s="262"/>
      <c r="D1803" s="262"/>
      <c r="E1803" s="260"/>
      <c r="F1803" s="132"/>
      <c r="G1803" s="140"/>
      <c r="H1803" s="131"/>
      <c r="I1803" s="131"/>
      <c r="J1803" s="131"/>
      <c r="K1803" s="131"/>
      <c r="L1803" s="131"/>
      <c r="M1803" s="131"/>
      <c r="N1803" s="131"/>
      <c r="O1803" s="131"/>
      <c r="P1803" s="131"/>
      <c r="Q1803" s="131"/>
      <c r="R1803" s="131"/>
      <c r="S1803" s="131"/>
      <c r="T1803" s="131"/>
      <c r="U1803" s="131"/>
      <c r="V1803" s="131"/>
      <c r="W1803" s="131"/>
      <c r="X1803" s="131"/>
      <c r="Y1803" s="131"/>
      <c r="Z1803" s="131"/>
    </row>
    <row r="1804">
      <c r="A1804" s="262"/>
      <c r="B1804" s="262"/>
      <c r="C1804" s="262"/>
      <c r="D1804" s="262"/>
      <c r="E1804" s="260"/>
      <c r="F1804" s="132"/>
      <c r="G1804" s="140"/>
      <c r="H1804" s="131"/>
      <c r="I1804" s="131"/>
      <c r="J1804" s="131"/>
      <c r="K1804" s="131"/>
      <c r="L1804" s="131"/>
      <c r="M1804" s="131"/>
      <c r="N1804" s="131"/>
      <c r="O1804" s="131"/>
      <c r="P1804" s="131"/>
      <c r="Q1804" s="131"/>
      <c r="R1804" s="131"/>
      <c r="S1804" s="131"/>
      <c r="T1804" s="131"/>
      <c r="U1804" s="131"/>
      <c r="V1804" s="131"/>
      <c r="W1804" s="131"/>
      <c r="X1804" s="131"/>
      <c r="Y1804" s="131"/>
      <c r="Z1804" s="131"/>
    </row>
    <row r="1805">
      <c r="A1805" s="262"/>
      <c r="B1805" s="262"/>
      <c r="C1805" s="262"/>
      <c r="D1805" s="262"/>
      <c r="E1805" s="260"/>
      <c r="F1805" s="132"/>
      <c r="G1805" s="140"/>
      <c r="H1805" s="131"/>
      <c r="I1805" s="131"/>
      <c r="J1805" s="131"/>
      <c r="K1805" s="131"/>
      <c r="L1805" s="131"/>
      <c r="M1805" s="131"/>
      <c r="N1805" s="131"/>
      <c r="O1805" s="131"/>
      <c r="P1805" s="131"/>
      <c r="Q1805" s="131"/>
      <c r="R1805" s="131"/>
      <c r="S1805" s="131"/>
      <c r="T1805" s="131"/>
      <c r="U1805" s="131"/>
      <c r="V1805" s="131"/>
      <c r="W1805" s="131"/>
      <c r="X1805" s="131"/>
      <c r="Y1805" s="131"/>
      <c r="Z1805" s="131"/>
    </row>
    <row r="1806">
      <c r="A1806" s="262"/>
      <c r="B1806" s="262"/>
      <c r="C1806" s="262"/>
      <c r="D1806" s="262"/>
      <c r="E1806" s="260"/>
      <c r="F1806" s="132"/>
      <c r="G1806" s="140"/>
      <c r="H1806" s="131"/>
      <c r="I1806" s="131"/>
      <c r="J1806" s="131"/>
      <c r="K1806" s="131"/>
      <c r="L1806" s="131"/>
      <c r="M1806" s="131"/>
      <c r="N1806" s="131"/>
      <c r="O1806" s="131"/>
      <c r="P1806" s="131"/>
      <c r="Q1806" s="131"/>
      <c r="R1806" s="131"/>
      <c r="S1806" s="131"/>
      <c r="T1806" s="131"/>
      <c r="U1806" s="131"/>
      <c r="V1806" s="131"/>
      <c r="W1806" s="131"/>
      <c r="X1806" s="131"/>
      <c r="Y1806" s="131"/>
      <c r="Z1806" s="131"/>
    </row>
    <row r="1807">
      <c r="A1807" s="262"/>
      <c r="B1807" s="262"/>
      <c r="C1807" s="262"/>
      <c r="D1807" s="262"/>
      <c r="E1807" s="260"/>
      <c r="F1807" s="132"/>
      <c r="G1807" s="140"/>
      <c r="H1807" s="131"/>
      <c r="I1807" s="131"/>
      <c r="J1807" s="131"/>
      <c r="K1807" s="131"/>
      <c r="L1807" s="131"/>
      <c r="M1807" s="131"/>
      <c r="N1807" s="131"/>
      <c r="O1807" s="131"/>
      <c r="P1807" s="131"/>
      <c r="Q1807" s="131"/>
      <c r="R1807" s="131"/>
      <c r="S1807" s="131"/>
      <c r="T1807" s="131"/>
      <c r="U1807" s="131"/>
      <c r="V1807" s="131"/>
      <c r="W1807" s="131"/>
      <c r="X1807" s="131"/>
      <c r="Y1807" s="131"/>
      <c r="Z1807" s="131"/>
    </row>
    <row r="1808">
      <c r="A1808" s="262"/>
      <c r="B1808" s="262"/>
      <c r="C1808" s="262"/>
      <c r="D1808" s="262"/>
      <c r="E1808" s="260"/>
      <c r="F1808" s="132"/>
      <c r="G1808" s="140"/>
      <c r="H1808" s="131"/>
      <c r="I1808" s="131"/>
      <c r="J1808" s="131"/>
      <c r="K1808" s="131"/>
      <c r="L1808" s="131"/>
      <c r="M1808" s="131"/>
      <c r="N1808" s="131"/>
      <c r="O1808" s="131"/>
      <c r="P1808" s="131"/>
      <c r="Q1808" s="131"/>
      <c r="R1808" s="131"/>
      <c r="S1808" s="131"/>
      <c r="T1808" s="131"/>
      <c r="U1808" s="131"/>
      <c r="V1808" s="131"/>
      <c r="W1808" s="131"/>
      <c r="X1808" s="131"/>
      <c r="Y1808" s="131"/>
      <c r="Z1808" s="131"/>
    </row>
    <row r="1809">
      <c r="A1809" s="262"/>
      <c r="B1809" s="262"/>
      <c r="C1809" s="262"/>
      <c r="D1809" s="262"/>
      <c r="E1809" s="260"/>
      <c r="F1809" s="132"/>
      <c r="G1809" s="140"/>
      <c r="H1809" s="131"/>
      <c r="I1809" s="131"/>
      <c r="J1809" s="131"/>
      <c r="K1809" s="131"/>
      <c r="L1809" s="131"/>
      <c r="M1809" s="131"/>
      <c r="N1809" s="131"/>
      <c r="O1809" s="131"/>
      <c r="P1809" s="131"/>
      <c r="Q1809" s="131"/>
      <c r="R1809" s="131"/>
      <c r="S1809" s="131"/>
      <c r="T1809" s="131"/>
      <c r="U1809" s="131"/>
      <c r="V1809" s="131"/>
      <c r="W1809" s="131"/>
      <c r="X1809" s="131"/>
      <c r="Y1809" s="131"/>
      <c r="Z1809" s="131"/>
    </row>
    <row r="1810">
      <c r="A1810" s="262"/>
      <c r="B1810" s="262"/>
      <c r="C1810" s="262"/>
      <c r="D1810" s="262"/>
      <c r="E1810" s="260"/>
      <c r="F1810" s="132"/>
      <c r="G1810" s="140"/>
      <c r="H1810" s="131"/>
      <c r="I1810" s="131"/>
      <c r="J1810" s="131"/>
      <c r="K1810" s="131"/>
      <c r="L1810" s="131"/>
      <c r="M1810" s="131"/>
      <c r="N1810" s="131"/>
      <c r="O1810" s="131"/>
      <c r="P1810" s="131"/>
      <c r="Q1810" s="131"/>
      <c r="R1810" s="131"/>
      <c r="S1810" s="131"/>
      <c r="T1810" s="131"/>
      <c r="U1810" s="131"/>
      <c r="V1810" s="131"/>
      <c r="W1810" s="131"/>
      <c r="X1810" s="131"/>
      <c r="Y1810" s="131"/>
      <c r="Z1810" s="131"/>
    </row>
    <row r="1811">
      <c r="A1811" s="262"/>
      <c r="B1811" s="262"/>
      <c r="C1811" s="262"/>
      <c r="D1811" s="262"/>
      <c r="E1811" s="260"/>
      <c r="F1811" s="132"/>
      <c r="G1811" s="140"/>
      <c r="H1811" s="131"/>
      <c r="I1811" s="131"/>
      <c r="J1811" s="131"/>
      <c r="K1811" s="131"/>
      <c r="L1811" s="131"/>
      <c r="M1811" s="131"/>
      <c r="N1811" s="131"/>
      <c r="O1811" s="131"/>
      <c r="P1811" s="131"/>
      <c r="Q1811" s="131"/>
      <c r="R1811" s="131"/>
      <c r="S1811" s="131"/>
      <c r="T1811" s="131"/>
      <c r="U1811" s="131"/>
      <c r="V1811" s="131"/>
      <c r="W1811" s="131"/>
      <c r="X1811" s="131"/>
      <c r="Y1811" s="131"/>
      <c r="Z1811" s="131"/>
    </row>
    <row r="1812">
      <c r="A1812" s="262"/>
      <c r="B1812" s="262"/>
      <c r="C1812" s="262"/>
      <c r="D1812" s="262"/>
      <c r="E1812" s="260"/>
      <c r="F1812" s="132"/>
      <c r="G1812" s="140"/>
      <c r="H1812" s="131"/>
      <c r="I1812" s="131"/>
      <c r="J1812" s="131"/>
      <c r="K1812" s="131"/>
      <c r="L1812" s="131"/>
      <c r="M1812" s="131"/>
      <c r="N1812" s="131"/>
      <c r="O1812" s="131"/>
      <c r="P1812" s="131"/>
      <c r="Q1812" s="131"/>
      <c r="R1812" s="131"/>
      <c r="S1812" s="131"/>
      <c r="T1812" s="131"/>
      <c r="U1812" s="131"/>
      <c r="V1812" s="131"/>
      <c r="W1812" s="131"/>
      <c r="X1812" s="131"/>
      <c r="Y1812" s="131"/>
      <c r="Z1812" s="131"/>
    </row>
    <row r="1813">
      <c r="A1813" s="262"/>
      <c r="B1813" s="262"/>
      <c r="C1813" s="262"/>
      <c r="D1813" s="262"/>
      <c r="E1813" s="260"/>
      <c r="F1813" s="132"/>
      <c r="G1813" s="140"/>
      <c r="H1813" s="131"/>
      <c r="I1813" s="131"/>
      <c r="J1813" s="131"/>
      <c r="K1813" s="131"/>
      <c r="L1813" s="131"/>
      <c r="M1813" s="131"/>
      <c r="N1813" s="131"/>
      <c r="O1813" s="131"/>
      <c r="P1813" s="131"/>
      <c r="Q1813" s="131"/>
      <c r="R1813" s="131"/>
      <c r="S1813" s="131"/>
      <c r="T1813" s="131"/>
      <c r="U1813" s="131"/>
      <c r="V1813" s="131"/>
      <c r="W1813" s="131"/>
      <c r="X1813" s="131"/>
      <c r="Y1813" s="131"/>
      <c r="Z1813" s="131"/>
    </row>
    <row r="1814">
      <c r="A1814" s="262"/>
      <c r="B1814" s="262"/>
      <c r="C1814" s="262"/>
      <c r="D1814" s="262"/>
      <c r="E1814" s="260"/>
      <c r="F1814" s="132"/>
      <c r="G1814" s="140"/>
      <c r="H1814" s="131"/>
      <c r="I1814" s="131"/>
      <c r="J1814" s="131"/>
      <c r="K1814" s="131"/>
      <c r="L1814" s="131"/>
      <c r="M1814" s="131"/>
      <c r="N1814" s="131"/>
      <c r="O1814" s="131"/>
      <c r="P1814" s="131"/>
      <c r="Q1814" s="131"/>
      <c r="R1814" s="131"/>
      <c r="S1814" s="131"/>
      <c r="T1814" s="131"/>
      <c r="U1814" s="131"/>
      <c r="V1814" s="131"/>
      <c r="W1814" s="131"/>
      <c r="X1814" s="131"/>
      <c r="Y1814" s="131"/>
      <c r="Z1814" s="131"/>
    </row>
    <row r="1815">
      <c r="A1815" s="262"/>
      <c r="B1815" s="262"/>
      <c r="C1815" s="262"/>
      <c r="D1815" s="262"/>
      <c r="E1815" s="260"/>
      <c r="F1815" s="132"/>
      <c r="G1815" s="140"/>
      <c r="H1815" s="131"/>
      <c r="I1815" s="131"/>
      <c r="J1815" s="131"/>
      <c r="K1815" s="131"/>
      <c r="L1815" s="131"/>
      <c r="M1815" s="131"/>
      <c r="N1815" s="131"/>
      <c r="O1815" s="131"/>
      <c r="P1815" s="131"/>
      <c r="Q1815" s="131"/>
      <c r="R1815" s="131"/>
      <c r="S1815" s="131"/>
      <c r="T1815" s="131"/>
      <c r="U1815" s="131"/>
      <c r="V1815" s="131"/>
      <c r="W1815" s="131"/>
      <c r="X1815" s="131"/>
      <c r="Y1815" s="131"/>
      <c r="Z1815" s="131"/>
    </row>
    <row r="1816">
      <c r="A1816" s="262"/>
      <c r="B1816" s="262"/>
      <c r="C1816" s="262"/>
      <c r="D1816" s="262"/>
      <c r="E1816" s="260"/>
      <c r="F1816" s="132"/>
      <c r="G1816" s="140"/>
      <c r="H1816" s="131"/>
      <c r="I1816" s="131"/>
      <c r="J1816" s="131"/>
      <c r="K1816" s="131"/>
      <c r="L1816" s="131"/>
      <c r="M1816" s="131"/>
      <c r="N1816" s="131"/>
      <c r="O1816" s="131"/>
      <c r="P1816" s="131"/>
      <c r="Q1816" s="131"/>
      <c r="R1816" s="131"/>
      <c r="S1816" s="131"/>
      <c r="T1816" s="131"/>
      <c r="U1816" s="131"/>
      <c r="V1816" s="131"/>
      <c r="W1816" s="131"/>
      <c r="X1816" s="131"/>
      <c r="Y1816" s="131"/>
      <c r="Z1816" s="131"/>
    </row>
    <row r="1817">
      <c r="A1817" s="262"/>
      <c r="B1817" s="262"/>
      <c r="C1817" s="262"/>
      <c r="D1817" s="262"/>
      <c r="E1817" s="260"/>
      <c r="F1817" s="132"/>
      <c r="G1817" s="140"/>
      <c r="H1817" s="131"/>
      <c r="I1817" s="131"/>
      <c r="J1817" s="131"/>
      <c r="K1817" s="131"/>
      <c r="L1817" s="131"/>
      <c r="M1817" s="131"/>
      <c r="N1817" s="131"/>
      <c r="O1817" s="131"/>
      <c r="P1817" s="131"/>
      <c r="Q1817" s="131"/>
      <c r="R1817" s="131"/>
      <c r="S1817" s="131"/>
      <c r="T1817" s="131"/>
      <c r="U1817" s="131"/>
      <c r="V1817" s="131"/>
      <c r="W1817" s="131"/>
      <c r="X1817" s="131"/>
      <c r="Y1817" s="131"/>
      <c r="Z1817" s="131"/>
    </row>
    <row r="1818">
      <c r="A1818" s="262"/>
      <c r="B1818" s="262"/>
      <c r="C1818" s="262"/>
      <c r="D1818" s="262"/>
      <c r="E1818" s="260"/>
      <c r="F1818" s="132"/>
      <c r="G1818" s="140"/>
      <c r="H1818" s="131"/>
      <c r="I1818" s="131"/>
      <c r="J1818" s="131"/>
      <c r="K1818" s="131"/>
      <c r="L1818" s="131"/>
      <c r="M1818" s="131"/>
      <c r="N1818" s="131"/>
      <c r="O1818" s="131"/>
      <c r="P1818" s="131"/>
      <c r="Q1818" s="131"/>
      <c r="R1818" s="131"/>
      <c r="S1818" s="131"/>
      <c r="T1818" s="131"/>
      <c r="U1818" s="131"/>
      <c r="V1818" s="131"/>
      <c r="W1818" s="131"/>
      <c r="X1818" s="131"/>
      <c r="Y1818" s="131"/>
      <c r="Z1818" s="131"/>
    </row>
    <row r="1819">
      <c r="A1819" s="262"/>
      <c r="B1819" s="262"/>
      <c r="C1819" s="262"/>
      <c r="D1819" s="262"/>
      <c r="E1819" s="260"/>
      <c r="F1819" s="132"/>
      <c r="G1819" s="140"/>
      <c r="H1819" s="131"/>
      <c r="I1819" s="131"/>
      <c r="J1819" s="131"/>
      <c r="K1819" s="131"/>
      <c r="L1819" s="131"/>
      <c r="M1819" s="131"/>
      <c r="N1819" s="131"/>
      <c r="O1819" s="131"/>
      <c r="P1819" s="131"/>
      <c r="Q1819" s="131"/>
      <c r="R1819" s="131"/>
      <c r="S1819" s="131"/>
      <c r="T1819" s="131"/>
      <c r="U1819" s="131"/>
      <c r="V1819" s="131"/>
      <c r="W1819" s="131"/>
      <c r="X1819" s="131"/>
      <c r="Y1819" s="131"/>
      <c r="Z1819" s="131"/>
    </row>
    <row r="1820">
      <c r="A1820" s="262"/>
      <c r="B1820" s="262"/>
      <c r="C1820" s="262"/>
      <c r="D1820" s="262"/>
      <c r="E1820" s="260"/>
      <c r="F1820" s="132"/>
      <c r="G1820" s="140"/>
      <c r="H1820" s="131"/>
      <c r="I1820" s="131"/>
      <c r="J1820" s="131"/>
      <c r="K1820" s="131"/>
      <c r="L1820" s="131"/>
      <c r="M1820" s="131"/>
      <c r="N1820" s="131"/>
      <c r="O1820" s="131"/>
      <c r="P1820" s="131"/>
      <c r="Q1820" s="131"/>
      <c r="R1820" s="131"/>
      <c r="S1820" s="131"/>
      <c r="T1820" s="131"/>
      <c r="U1820" s="131"/>
      <c r="V1820" s="131"/>
      <c r="W1820" s="131"/>
      <c r="X1820" s="131"/>
      <c r="Y1820" s="131"/>
      <c r="Z1820" s="131"/>
    </row>
    <row r="1821">
      <c r="A1821" s="262"/>
      <c r="B1821" s="262"/>
      <c r="C1821" s="262"/>
      <c r="D1821" s="262"/>
      <c r="E1821" s="260"/>
      <c r="F1821" s="132"/>
      <c r="G1821" s="140"/>
      <c r="H1821" s="131"/>
      <c r="I1821" s="131"/>
      <c r="J1821" s="131"/>
      <c r="K1821" s="131"/>
      <c r="L1821" s="131"/>
      <c r="M1821" s="131"/>
      <c r="N1821" s="131"/>
      <c r="O1821" s="131"/>
      <c r="P1821" s="131"/>
      <c r="Q1821" s="131"/>
      <c r="R1821" s="131"/>
      <c r="S1821" s="131"/>
      <c r="T1821" s="131"/>
      <c r="U1821" s="131"/>
      <c r="V1821" s="131"/>
      <c r="W1821" s="131"/>
      <c r="X1821" s="131"/>
      <c r="Y1821" s="131"/>
      <c r="Z1821" s="131"/>
    </row>
    <row r="1822">
      <c r="A1822" s="262"/>
      <c r="B1822" s="262"/>
      <c r="C1822" s="262"/>
      <c r="D1822" s="262"/>
      <c r="E1822" s="260"/>
      <c r="F1822" s="132"/>
      <c r="G1822" s="140"/>
      <c r="H1822" s="131"/>
      <c r="I1822" s="131"/>
      <c r="J1822" s="131"/>
      <c r="K1822" s="131"/>
      <c r="L1822" s="131"/>
      <c r="M1822" s="131"/>
      <c r="N1822" s="131"/>
      <c r="O1822" s="131"/>
      <c r="P1822" s="131"/>
      <c r="Q1822" s="131"/>
      <c r="R1822" s="131"/>
      <c r="S1822" s="131"/>
      <c r="T1822" s="131"/>
      <c r="U1822" s="131"/>
      <c r="V1822" s="131"/>
      <c r="W1822" s="131"/>
      <c r="X1822" s="131"/>
      <c r="Y1822" s="131"/>
      <c r="Z1822" s="131"/>
    </row>
    <row r="1823">
      <c r="A1823" s="262"/>
      <c r="B1823" s="262"/>
      <c r="C1823" s="262"/>
      <c r="D1823" s="262"/>
      <c r="E1823" s="260"/>
      <c r="F1823" s="132"/>
      <c r="G1823" s="140"/>
      <c r="H1823" s="131"/>
      <c r="I1823" s="131"/>
      <c r="J1823" s="131"/>
      <c r="K1823" s="131"/>
      <c r="L1823" s="131"/>
      <c r="M1823" s="131"/>
      <c r="N1823" s="131"/>
      <c r="O1823" s="131"/>
      <c r="P1823" s="131"/>
      <c r="Q1823" s="131"/>
      <c r="R1823" s="131"/>
      <c r="S1823" s="131"/>
      <c r="T1823" s="131"/>
      <c r="U1823" s="131"/>
      <c r="V1823" s="131"/>
      <c r="W1823" s="131"/>
      <c r="X1823" s="131"/>
      <c r="Y1823" s="131"/>
      <c r="Z1823" s="131"/>
    </row>
    <row r="1824">
      <c r="A1824" s="262"/>
      <c r="B1824" s="262"/>
      <c r="C1824" s="262"/>
      <c r="D1824" s="262"/>
      <c r="E1824" s="260"/>
      <c r="F1824" s="132"/>
      <c r="G1824" s="140"/>
      <c r="H1824" s="131"/>
      <c r="I1824" s="131"/>
      <c r="J1824" s="131"/>
      <c r="K1824" s="131"/>
      <c r="L1824" s="131"/>
      <c r="M1824" s="131"/>
      <c r="N1824" s="131"/>
      <c r="O1824" s="131"/>
      <c r="P1824" s="131"/>
      <c r="Q1824" s="131"/>
      <c r="R1824" s="131"/>
      <c r="S1824" s="131"/>
      <c r="T1824" s="131"/>
      <c r="U1824" s="131"/>
      <c r="V1824" s="131"/>
      <c r="W1824" s="131"/>
      <c r="X1824" s="131"/>
      <c r="Y1824" s="131"/>
      <c r="Z1824" s="131"/>
    </row>
    <row r="1825">
      <c r="A1825" s="262"/>
      <c r="B1825" s="262"/>
      <c r="C1825" s="262"/>
      <c r="D1825" s="262"/>
      <c r="E1825" s="260"/>
      <c r="F1825" s="132"/>
      <c r="G1825" s="140"/>
      <c r="H1825" s="131"/>
      <c r="I1825" s="131"/>
      <c r="J1825" s="131"/>
      <c r="K1825" s="131"/>
      <c r="L1825" s="131"/>
      <c r="M1825" s="131"/>
      <c r="N1825" s="131"/>
      <c r="O1825" s="131"/>
      <c r="P1825" s="131"/>
      <c r="Q1825" s="131"/>
      <c r="R1825" s="131"/>
      <c r="S1825" s="131"/>
      <c r="T1825" s="131"/>
      <c r="U1825" s="131"/>
      <c r="V1825" s="131"/>
      <c r="W1825" s="131"/>
      <c r="X1825" s="131"/>
      <c r="Y1825" s="131"/>
      <c r="Z1825" s="131"/>
    </row>
    <row r="1826">
      <c r="A1826" s="262"/>
      <c r="B1826" s="262"/>
      <c r="C1826" s="262"/>
      <c r="D1826" s="262"/>
      <c r="E1826" s="260"/>
      <c r="F1826" s="132"/>
      <c r="G1826" s="140"/>
      <c r="H1826" s="131"/>
      <c r="I1826" s="131"/>
      <c r="J1826" s="131"/>
      <c r="K1826" s="131"/>
      <c r="L1826" s="131"/>
      <c r="M1826" s="131"/>
      <c r="N1826" s="131"/>
      <c r="O1826" s="131"/>
      <c r="P1826" s="131"/>
      <c r="Q1826" s="131"/>
      <c r="R1826" s="131"/>
      <c r="S1826" s="131"/>
      <c r="T1826" s="131"/>
      <c r="U1826" s="131"/>
      <c r="V1826" s="131"/>
      <c r="W1826" s="131"/>
      <c r="X1826" s="131"/>
      <c r="Y1826" s="131"/>
      <c r="Z1826" s="131"/>
    </row>
    <row r="1827">
      <c r="A1827" s="262"/>
      <c r="B1827" s="262"/>
      <c r="C1827" s="262"/>
      <c r="D1827" s="262"/>
      <c r="E1827" s="260"/>
      <c r="F1827" s="132"/>
      <c r="G1827" s="140"/>
      <c r="H1827" s="131"/>
      <c r="I1827" s="131"/>
      <c r="J1827" s="131"/>
      <c r="K1827" s="131"/>
      <c r="L1827" s="131"/>
      <c r="M1827" s="131"/>
      <c r="N1827" s="131"/>
      <c r="O1827" s="131"/>
      <c r="P1827" s="131"/>
      <c r="Q1827" s="131"/>
      <c r="R1827" s="131"/>
      <c r="S1827" s="131"/>
      <c r="T1827" s="131"/>
      <c r="U1827" s="131"/>
      <c r="V1827" s="131"/>
      <c r="W1827" s="131"/>
      <c r="X1827" s="131"/>
      <c r="Y1827" s="131"/>
      <c r="Z1827" s="131"/>
    </row>
    <row r="1828">
      <c r="A1828" s="262"/>
      <c r="B1828" s="262"/>
      <c r="C1828" s="262"/>
      <c r="D1828" s="262"/>
      <c r="E1828" s="260"/>
      <c r="F1828" s="132"/>
      <c r="G1828" s="140"/>
      <c r="H1828" s="131"/>
      <c r="I1828" s="131"/>
      <c r="J1828" s="131"/>
      <c r="K1828" s="131"/>
      <c r="L1828" s="131"/>
      <c r="M1828" s="131"/>
      <c r="N1828" s="131"/>
      <c r="O1828" s="131"/>
      <c r="P1828" s="131"/>
      <c r="Q1828" s="131"/>
      <c r="R1828" s="131"/>
      <c r="S1828" s="131"/>
      <c r="T1828" s="131"/>
      <c r="U1828" s="131"/>
      <c r="V1828" s="131"/>
      <c r="W1828" s="131"/>
      <c r="X1828" s="131"/>
      <c r="Y1828" s="131"/>
      <c r="Z1828" s="131"/>
    </row>
    <row r="1829">
      <c r="A1829" s="262"/>
      <c r="B1829" s="262"/>
      <c r="C1829" s="262"/>
      <c r="D1829" s="262"/>
      <c r="E1829" s="260"/>
      <c r="F1829" s="132"/>
      <c r="G1829" s="140"/>
      <c r="H1829" s="131"/>
      <c r="I1829" s="131"/>
      <c r="J1829" s="131"/>
      <c r="K1829" s="131"/>
      <c r="L1829" s="131"/>
      <c r="M1829" s="131"/>
      <c r="N1829" s="131"/>
      <c r="O1829" s="131"/>
      <c r="P1829" s="131"/>
      <c r="Q1829" s="131"/>
      <c r="R1829" s="131"/>
      <c r="S1829" s="131"/>
      <c r="T1829" s="131"/>
      <c r="U1829" s="131"/>
      <c r="V1829" s="131"/>
      <c r="W1829" s="131"/>
      <c r="X1829" s="131"/>
      <c r="Y1829" s="131"/>
      <c r="Z1829" s="131"/>
    </row>
    <row r="1830">
      <c r="A1830" s="262"/>
      <c r="B1830" s="262"/>
      <c r="C1830" s="262"/>
      <c r="D1830" s="262"/>
      <c r="E1830" s="260"/>
      <c r="F1830" s="132"/>
      <c r="G1830" s="140"/>
      <c r="H1830" s="131"/>
      <c r="I1830" s="131"/>
      <c r="J1830" s="131"/>
      <c r="K1830" s="131"/>
      <c r="L1830" s="131"/>
      <c r="M1830" s="131"/>
      <c r="N1830" s="131"/>
      <c r="O1830" s="131"/>
      <c r="P1830" s="131"/>
      <c r="Q1830" s="131"/>
      <c r="R1830" s="131"/>
      <c r="S1830" s="131"/>
      <c r="T1830" s="131"/>
      <c r="U1830" s="131"/>
      <c r="V1830" s="131"/>
      <c r="W1830" s="131"/>
      <c r="X1830" s="131"/>
      <c r="Y1830" s="131"/>
      <c r="Z1830" s="131"/>
    </row>
    <row r="1831">
      <c r="A1831" s="262"/>
      <c r="B1831" s="262"/>
      <c r="C1831" s="262"/>
      <c r="D1831" s="262"/>
      <c r="E1831" s="260"/>
      <c r="F1831" s="132"/>
      <c r="G1831" s="140"/>
      <c r="H1831" s="131"/>
      <c r="I1831" s="131"/>
      <c r="J1831" s="131"/>
      <c r="K1831" s="131"/>
      <c r="L1831" s="131"/>
      <c r="M1831" s="131"/>
      <c r="N1831" s="131"/>
      <c r="O1831" s="131"/>
      <c r="P1831" s="131"/>
      <c r="Q1831" s="131"/>
      <c r="R1831" s="131"/>
      <c r="S1831" s="131"/>
      <c r="T1831" s="131"/>
      <c r="U1831" s="131"/>
      <c r="V1831" s="131"/>
      <c r="W1831" s="131"/>
      <c r="X1831" s="131"/>
      <c r="Y1831" s="131"/>
      <c r="Z1831" s="131"/>
    </row>
    <row r="1832">
      <c r="A1832" s="262"/>
      <c r="B1832" s="262"/>
      <c r="C1832" s="262"/>
      <c r="D1832" s="262"/>
      <c r="E1832" s="260"/>
      <c r="F1832" s="132"/>
      <c r="G1832" s="140"/>
      <c r="H1832" s="131"/>
      <c r="I1832" s="131"/>
      <c r="J1832" s="131"/>
      <c r="K1832" s="131"/>
      <c r="L1832" s="131"/>
      <c r="M1832" s="131"/>
      <c r="N1832" s="131"/>
      <c r="O1832" s="131"/>
      <c r="P1832" s="131"/>
      <c r="Q1832" s="131"/>
      <c r="R1832" s="131"/>
      <c r="S1832" s="131"/>
      <c r="T1832" s="131"/>
      <c r="U1832" s="131"/>
      <c r="V1832" s="131"/>
      <c r="W1832" s="131"/>
      <c r="X1832" s="131"/>
      <c r="Y1832" s="131"/>
      <c r="Z1832" s="131"/>
    </row>
    <row r="1833">
      <c r="A1833" s="262"/>
      <c r="B1833" s="262"/>
      <c r="C1833" s="262"/>
      <c r="D1833" s="262"/>
      <c r="E1833" s="260"/>
      <c r="F1833" s="132"/>
      <c r="G1833" s="140"/>
      <c r="H1833" s="131"/>
      <c r="I1833" s="131"/>
      <c r="J1833" s="131"/>
      <c r="K1833" s="131"/>
      <c r="L1833" s="131"/>
      <c r="M1833" s="131"/>
      <c r="N1833" s="131"/>
      <c r="O1833" s="131"/>
      <c r="P1833" s="131"/>
      <c r="Q1833" s="131"/>
      <c r="R1833" s="131"/>
      <c r="S1833" s="131"/>
      <c r="T1833" s="131"/>
      <c r="U1833" s="131"/>
      <c r="V1833" s="131"/>
      <c r="W1833" s="131"/>
      <c r="X1833" s="131"/>
      <c r="Y1833" s="131"/>
      <c r="Z1833" s="131"/>
    </row>
    <row r="1834">
      <c r="A1834" s="262"/>
      <c r="B1834" s="262"/>
      <c r="C1834" s="262"/>
      <c r="D1834" s="262"/>
      <c r="E1834" s="260"/>
      <c r="F1834" s="132"/>
      <c r="G1834" s="140"/>
      <c r="H1834" s="131"/>
      <c r="I1834" s="131"/>
      <c r="J1834" s="131"/>
      <c r="K1834" s="131"/>
      <c r="L1834" s="131"/>
      <c r="M1834" s="131"/>
      <c r="N1834" s="131"/>
      <c r="O1834" s="131"/>
      <c r="P1834" s="131"/>
      <c r="Q1834" s="131"/>
      <c r="R1834" s="131"/>
      <c r="S1834" s="131"/>
      <c r="T1834" s="131"/>
      <c r="U1834" s="131"/>
      <c r="V1834" s="131"/>
      <c r="W1834" s="131"/>
      <c r="X1834" s="131"/>
      <c r="Y1834" s="131"/>
      <c r="Z1834" s="131"/>
    </row>
    <row r="1835">
      <c r="A1835" s="262"/>
      <c r="B1835" s="262"/>
      <c r="C1835" s="262"/>
      <c r="D1835" s="262"/>
      <c r="E1835" s="260"/>
      <c r="F1835" s="132"/>
      <c r="G1835" s="140"/>
      <c r="H1835" s="131"/>
      <c r="I1835" s="131"/>
      <c r="J1835" s="131"/>
      <c r="K1835" s="131"/>
      <c r="L1835" s="131"/>
      <c r="M1835" s="131"/>
      <c r="N1835" s="131"/>
      <c r="O1835" s="131"/>
      <c r="P1835" s="131"/>
      <c r="Q1835" s="131"/>
      <c r="R1835" s="131"/>
      <c r="S1835" s="131"/>
      <c r="T1835" s="131"/>
      <c r="U1835" s="131"/>
      <c r="V1835" s="131"/>
      <c r="W1835" s="131"/>
      <c r="X1835" s="131"/>
      <c r="Y1835" s="131"/>
      <c r="Z1835" s="131"/>
    </row>
    <row r="1836">
      <c r="A1836" s="262"/>
      <c r="B1836" s="262"/>
      <c r="C1836" s="262"/>
      <c r="D1836" s="262"/>
      <c r="E1836" s="260"/>
      <c r="F1836" s="132"/>
      <c r="G1836" s="140"/>
      <c r="H1836" s="131"/>
      <c r="I1836" s="131"/>
      <c r="J1836" s="131"/>
      <c r="K1836" s="131"/>
      <c r="L1836" s="131"/>
      <c r="M1836" s="131"/>
      <c r="N1836" s="131"/>
      <c r="O1836" s="131"/>
      <c r="P1836" s="131"/>
      <c r="Q1836" s="131"/>
      <c r="R1836" s="131"/>
      <c r="S1836" s="131"/>
      <c r="T1836" s="131"/>
      <c r="U1836" s="131"/>
      <c r="V1836" s="131"/>
      <c r="W1836" s="131"/>
      <c r="X1836" s="131"/>
      <c r="Y1836" s="131"/>
      <c r="Z1836" s="131"/>
    </row>
    <row r="1837">
      <c r="A1837" s="262"/>
      <c r="B1837" s="262"/>
      <c r="C1837" s="262"/>
      <c r="D1837" s="262"/>
      <c r="E1837" s="260"/>
      <c r="F1837" s="132"/>
      <c r="G1837" s="140"/>
      <c r="H1837" s="131"/>
      <c r="I1837" s="131"/>
      <c r="J1837" s="131"/>
      <c r="K1837" s="131"/>
      <c r="L1837" s="131"/>
      <c r="M1837" s="131"/>
      <c r="N1837" s="131"/>
      <c r="O1837" s="131"/>
      <c r="P1837" s="131"/>
      <c r="Q1837" s="131"/>
      <c r="R1837" s="131"/>
      <c r="S1837" s="131"/>
      <c r="T1837" s="131"/>
      <c r="U1837" s="131"/>
      <c r="V1837" s="131"/>
      <c r="W1837" s="131"/>
      <c r="X1837" s="131"/>
      <c r="Y1837" s="131"/>
      <c r="Z1837" s="131"/>
    </row>
    <row r="1838">
      <c r="A1838" s="262"/>
      <c r="B1838" s="262"/>
      <c r="C1838" s="262"/>
      <c r="D1838" s="262"/>
      <c r="E1838" s="260"/>
      <c r="F1838" s="132"/>
      <c r="G1838" s="140"/>
      <c r="H1838" s="131"/>
      <c r="I1838" s="131"/>
      <c r="J1838" s="131"/>
      <c r="K1838" s="131"/>
      <c r="L1838" s="131"/>
      <c r="M1838" s="131"/>
      <c r="N1838" s="131"/>
      <c r="O1838" s="131"/>
      <c r="P1838" s="131"/>
      <c r="Q1838" s="131"/>
      <c r="R1838" s="131"/>
      <c r="S1838" s="131"/>
      <c r="T1838" s="131"/>
      <c r="U1838" s="131"/>
      <c r="V1838" s="131"/>
      <c r="W1838" s="131"/>
      <c r="X1838" s="131"/>
      <c r="Y1838" s="131"/>
      <c r="Z1838" s="131"/>
    </row>
    <row r="1839">
      <c r="A1839" s="262"/>
      <c r="B1839" s="262"/>
      <c r="C1839" s="262"/>
      <c r="D1839" s="262"/>
      <c r="E1839" s="260"/>
      <c r="F1839" s="132"/>
      <c r="G1839" s="140"/>
      <c r="H1839" s="131"/>
      <c r="I1839" s="131"/>
      <c r="J1839" s="131"/>
      <c r="K1839" s="131"/>
      <c r="L1839" s="131"/>
      <c r="M1839" s="131"/>
      <c r="N1839" s="131"/>
      <c r="O1839" s="131"/>
      <c r="P1839" s="131"/>
      <c r="Q1839" s="131"/>
      <c r="R1839" s="131"/>
      <c r="S1839" s="131"/>
      <c r="T1839" s="131"/>
      <c r="U1839" s="131"/>
      <c r="V1839" s="131"/>
      <c r="W1839" s="131"/>
      <c r="X1839" s="131"/>
      <c r="Y1839" s="131"/>
      <c r="Z1839" s="131"/>
    </row>
    <row r="1840">
      <c r="A1840" s="262"/>
      <c r="B1840" s="262"/>
      <c r="C1840" s="262"/>
      <c r="D1840" s="262"/>
      <c r="E1840" s="260"/>
      <c r="F1840" s="132"/>
      <c r="G1840" s="140"/>
      <c r="H1840" s="131"/>
      <c r="I1840" s="131"/>
      <c r="J1840" s="131"/>
      <c r="K1840" s="131"/>
      <c r="L1840" s="131"/>
      <c r="M1840" s="131"/>
      <c r="N1840" s="131"/>
      <c r="O1840" s="131"/>
      <c r="P1840" s="131"/>
      <c r="Q1840" s="131"/>
      <c r="R1840" s="131"/>
      <c r="S1840" s="131"/>
      <c r="T1840" s="131"/>
      <c r="U1840" s="131"/>
      <c r="V1840" s="131"/>
      <c r="W1840" s="131"/>
      <c r="X1840" s="131"/>
      <c r="Y1840" s="131"/>
      <c r="Z1840" s="131"/>
    </row>
    <row r="1841">
      <c r="A1841" s="262"/>
      <c r="B1841" s="262"/>
      <c r="C1841" s="262"/>
      <c r="D1841" s="262"/>
      <c r="E1841" s="260"/>
      <c r="F1841" s="132"/>
      <c r="G1841" s="140"/>
      <c r="H1841" s="131"/>
      <c r="I1841" s="131"/>
      <c r="J1841" s="131"/>
      <c r="K1841" s="131"/>
      <c r="L1841" s="131"/>
      <c r="M1841" s="131"/>
      <c r="N1841" s="131"/>
      <c r="O1841" s="131"/>
      <c r="P1841" s="131"/>
      <c r="Q1841" s="131"/>
      <c r="R1841" s="131"/>
      <c r="S1841" s="131"/>
      <c r="T1841" s="131"/>
      <c r="U1841" s="131"/>
      <c r="V1841" s="131"/>
      <c r="W1841" s="131"/>
      <c r="X1841" s="131"/>
      <c r="Y1841" s="131"/>
      <c r="Z1841" s="131"/>
    </row>
    <row r="1842">
      <c r="A1842" s="262"/>
      <c r="B1842" s="262"/>
      <c r="C1842" s="262"/>
      <c r="D1842" s="262"/>
      <c r="E1842" s="260"/>
      <c r="F1842" s="132"/>
      <c r="G1842" s="140"/>
      <c r="H1842" s="131"/>
      <c r="I1842" s="131"/>
      <c r="J1842" s="131"/>
      <c r="K1842" s="131"/>
      <c r="L1842" s="131"/>
      <c r="M1842" s="131"/>
      <c r="N1842" s="131"/>
      <c r="O1842" s="131"/>
      <c r="P1842" s="131"/>
      <c r="Q1842" s="131"/>
      <c r="R1842" s="131"/>
      <c r="S1842" s="131"/>
      <c r="T1842" s="131"/>
      <c r="U1842" s="131"/>
      <c r="V1842" s="131"/>
      <c r="W1842" s="131"/>
      <c r="X1842" s="131"/>
      <c r="Y1842" s="131"/>
      <c r="Z1842" s="131"/>
    </row>
    <row r="1843">
      <c r="A1843" s="262"/>
      <c r="B1843" s="262"/>
      <c r="C1843" s="262"/>
      <c r="D1843" s="262"/>
      <c r="E1843" s="260"/>
      <c r="F1843" s="132"/>
      <c r="G1843" s="140"/>
      <c r="H1843" s="131"/>
      <c r="I1843" s="131"/>
      <c r="J1843" s="131"/>
      <c r="K1843" s="131"/>
      <c r="L1843" s="131"/>
      <c r="M1843" s="131"/>
      <c r="N1843" s="131"/>
      <c r="O1843" s="131"/>
      <c r="P1843" s="131"/>
      <c r="Q1843" s="131"/>
      <c r="R1843" s="131"/>
      <c r="S1843" s="131"/>
      <c r="T1843" s="131"/>
      <c r="U1843" s="131"/>
      <c r="V1843" s="131"/>
      <c r="W1843" s="131"/>
      <c r="X1843" s="131"/>
      <c r="Y1843" s="131"/>
      <c r="Z1843" s="131"/>
    </row>
    <row r="1844">
      <c r="A1844" s="262"/>
      <c r="B1844" s="262"/>
      <c r="C1844" s="262"/>
      <c r="D1844" s="262"/>
      <c r="E1844" s="260"/>
      <c r="F1844" s="132"/>
      <c r="G1844" s="140"/>
      <c r="H1844" s="131"/>
      <c r="I1844" s="131"/>
      <c r="J1844" s="131"/>
      <c r="K1844" s="131"/>
      <c r="L1844" s="131"/>
      <c r="M1844" s="131"/>
      <c r="N1844" s="131"/>
      <c r="O1844" s="131"/>
      <c r="P1844" s="131"/>
      <c r="Q1844" s="131"/>
      <c r="R1844" s="131"/>
      <c r="S1844" s="131"/>
      <c r="T1844" s="131"/>
      <c r="U1844" s="131"/>
      <c r="V1844" s="131"/>
      <c r="W1844" s="131"/>
      <c r="X1844" s="131"/>
      <c r="Y1844" s="131"/>
      <c r="Z1844" s="131"/>
    </row>
    <row r="1845">
      <c r="A1845" s="262"/>
      <c r="B1845" s="262"/>
      <c r="C1845" s="262"/>
      <c r="D1845" s="262"/>
      <c r="E1845" s="260"/>
      <c r="F1845" s="132"/>
      <c r="G1845" s="140"/>
      <c r="H1845" s="131"/>
      <c r="I1845" s="131"/>
      <c r="J1845" s="131"/>
      <c r="K1845" s="131"/>
      <c r="L1845" s="131"/>
      <c r="M1845" s="131"/>
      <c r="N1845" s="131"/>
      <c r="O1845" s="131"/>
      <c r="P1845" s="131"/>
      <c r="Q1845" s="131"/>
      <c r="R1845" s="131"/>
      <c r="S1845" s="131"/>
      <c r="T1845" s="131"/>
      <c r="U1845" s="131"/>
      <c r="V1845" s="131"/>
      <c r="W1845" s="131"/>
      <c r="X1845" s="131"/>
      <c r="Y1845" s="131"/>
      <c r="Z1845" s="131"/>
    </row>
    <row r="1846">
      <c r="A1846" s="262"/>
      <c r="B1846" s="262"/>
      <c r="C1846" s="262"/>
      <c r="D1846" s="262"/>
      <c r="E1846" s="260"/>
      <c r="F1846" s="132"/>
      <c r="G1846" s="140"/>
      <c r="H1846" s="131"/>
      <c r="I1846" s="131"/>
      <c r="J1846" s="131"/>
      <c r="K1846" s="131"/>
      <c r="L1846" s="131"/>
      <c r="M1846" s="131"/>
      <c r="N1846" s="131"/>
      <c r="O1846" s="131"/>
      <c r="P1846" s="131"/>
      <c r="Q1846" s="131"/>
      <c r="R1846" s="131"/>
      <c r="S1846" s="131"/>
      <c r="T1846" s="131"/>
      <c r="U1846" s="131"/>
      <c r="V1846" s="131"/>
      <c r="W1846" s="131"/>
      <c r="X1846" s="131"/>
      <c r="Y1846" s="131"/>
      <c r="Z1846" s="131"/>
    </row>
    <row r="1847">
      <c r="A1847" s="262"/>
      <c r="B1847" s="262"/>
      <c r="C1847" s="262"/>
      <c r="D1847" s="262"/>
      <c r="E1847" s="260"/>
      <c r="F1847" s="132"/>
      <c r="G1847" s="140"/>
      <c r="H1847" s="131"/>
      <c r="I1847" s="131"/>
      <c r="J1847" s="131"/>
      <c r="K1847" s="131"/>
      <c r="L1847" s="131"/>
      <c r="M1847" s="131"/>
      <c r="N1847" s="131"/>
      <c r="O1847" s="131"/>
      <c r="P1847" s="131"/>
      <c r="Q1847" s="131"/>
      <c r="R1847" s="131"/>
      <c r="S1847" s="131"/>
      <c r="T1847" s="131"/>
      <c r="U1847" s="131"/>
      <c r="V1847" s="131"/>
      <c r="W1847" s="131"/>
      <c r="X1847" s="131"/>
      <c r="Y1847" s="131"/>
      <c r="Z1847" s="131"/>
    </row>
    <row r="1848">
      <c r="A1848" s="262"/>
      <c r="B1848" s="262"/>
      <c r="C1848" s="262"/>
      <c r="D1848" s="262"/>
      <c r="E1848" s="260"/>
      <c r="F1848" s="132"/>
      <c r="G1848" s="140"/>
      <c r="H1848" s="131"/>
      <c r="I1848" s="131"/>
      <c r="J1848" s="131"/>
      <c r="K1848" s="131"/>
      <c r="L1848" s="131"/>
      <c r="M1848" s="131"/>
      <c r="N1848" s="131"/>
      <c r="O1848" s="131"/>
      <c r="P1848" s="131"/>
      <c r="Q1848" s="131"/>
      <c r="R1848" s="131"/>
      <c r="S1848" s="131"/>
      <c r="T1848" s="131"/>
      <c r="U1848" s="131"/>
      <c r="V1848" s="131"/>
      <c r="W1848" s="131"/>
      <c r="X1848" s="131"/>
      <c r="Y1848" s="131"/>
      <c r="Z1848" s="131"/>
    </row>
    <row r="1849">
      <c r="A1849" s="262"/>
      <c r="B1849" s="262"/>
      <c r="C1849" s="262"/>
      <c r="D1849" s="262"/>
      <c r="E1849" s="260"/>
      <c r="F1849" s="132"/>
      <c r="G1849" s="140"/>
      <c r="H1849" s="131"/>
      <c r="I1849" s="131"/>
      <c r="J1849" s="131"/>
      <c r="K1849" s="131"/>
      <c r="L1849" s="131"/>
      <c r="M1849" s="131"/>
      <c r="N1849" s="131"/>
      <c r="O1849" s="131"/>
      <c r="P1849" s="131"/>
      <c r="Q1849" s="131"/>
      <c r="R1849" s="131"/>
      <c r="S1849" s="131"/>
      <c r="T1849" s="131"/>
      <c r="U1849" s="131"/>
      <c r="V1849" s="131"/>
      <c r="W1849" s="131"/>
      <c r="X1849" s="131"/>
      <c r="Y1849" s="131"/>
      <c r="Z1849" s="131"/>
    </row>
    <row r="1850">
      <c r="A1850" s="262"/>
      <c r="B1850" s="262"/>
      <c r="C1850" s="262"/>
      <c r="D1850" s="262"/>
      <c r="E1850" s="260"/>
      <c r="F1850" s="132"/>
      <c r="G1850" s="140"/>
      <c r="H1850" s="131"/>
      <c r="I1850" s="131"/>
      <c r="J1850" s="131"/>
      <c r="K1850" s="131"/>
      <c r="L1850" s="131"/>
      <c r="M1850" s="131"/>
      <c r="N1850" s="131"/>
      <c r="O1850" s="131"/>
      <c r="P1850" s="131"/>
      <c r="Q1850" s="131"/>
      <c r="R1850" s="131"/>
      <c r="S1850" s="131"/>
      <c r="T1850" s="131"/>
      <c r="U1850" s="131"/>
      <c r="V1850" s="131"/>
      <c r="W1850" s="131"/>
      <c r="X1850" s="131"/>
      <c r="Y1850" s="131"/>
      <c r="Z1850" s="131"/>
    </row>
    <row r="1851">
      <c r="A1851" s="262"/>
      <c r="B1851" s="262"/>
      <c r="C1851" s="262"/>
      <c r="D1851" s="262"/>
      <c r="E1851" s="260"/>
      <c r="F1851" s="132"/>
      <c r="G1851" s="140"/>
      <c r="H1851" s="131"/>
      <c r="I1851" s="131"/>
      <c r="J1851" s="131"/>
      <c r="K1851" s="131"/>
      <c r="L1851" s="131"/>
      <c r="M1851" s="131"/>
      <c r="N1851" s="131"/>
      <c r="O1851" s="131"/>
      <c r="P1851" s="131"/>
      <c r="Q1851" s="131"/>
      <c r="R1851" s="131"/>
      <c r="S1851" s="131"/>
      <c r="T1851" s="131"/>
      <c r="U1851" s="131"/>
      <c r="V1851" s="131"/>
      <c r="W1851" s="131"/>
      <c r="X1851" s="131"/>
      <c r="Y1851" s="131"/>
      <c r="Z1851" s="131"/>
    </row>
    <row r="1852">
      <c r="A1852" s="262"/>
      <c r="B1852" s="262"/>
      <c r="C1852" s="262"/>
      <c r="D1852" s="262"/>
      <c r="E1852" s="260"/>
      <c r="F1852" s="132"/>
      <c r="G1852" s="140"/>
      <c r="H1852" s="131"/>
      <c r="I1852" s="131"/>
      <c r="J1852" s="131"/>
      <c r="K1852" s="131"/>
      <c r="L1852" s="131"/>
      <c r="M1852" s="131"/>
      <c r="N1852" s="131"/>
      <c r="O1852" s="131"/>
      <c r="P1852" s="131"/>
      <c r="Q1852" s="131"/>
      <c r="R1852" s="131"/>
      <c r="S1852" s="131"/>
      <c r="T1852" s="131"/>
      <c r="U1852" s="131"/>
      <c r="V1852" s="131"/>
      <c r="W1852" s="131"/>
      <c r="X1852" s="131"/>
      <c r="Y1852" s="131"/>
      <c r="Z1852" s="131"/>
    </row>
    <row r="1853">
      <c r="A1853" s="262"/>
      <c r="B1853" s="262"/>
      <c r="C1853" s="262"/>
      <c r="D1853" s="262"/>
      <c r="E1853" s="260"/>
      <c r="F1853" s="132"/>
      <c r="G1853" s="140"/>
      <c r="H1853" s="131"/>
      <c r="I1853" s="131"/>
      <c r="J1853" s="131"/>
      <c r="K1853" s="131"/>
      <c r="L1853" s="131"/>
      <c r="M1853" s="131"/>
      <c r="N1853" s="131"/>
      <c r="O1853" s="131"/>
      <c r="P1853" s="131"/>
      <c r="Q1853" s="131"/>
      <c r="R1853" s="131"/>
      <c r="S1853" s="131"/>
      <c r="T1853" s="131"/>
      <c r="U1853" s="131"/>
      <c r="V1853" s="131"/>
      <c r="W1853" s="131"/>
      <c r="X1853" s="131"/>
      <c r="Y1853" s="131"/>
      <c r="Z1853" s="131"/>
    </row>
    <row r="1854">
      <c r="A1854" s="262"/>
      <c r="B1854" s="262"/>
      <c r="C1854" s="262"/>
      <c r="D1854" s="262"/>
      <c r="E1854" s="260"/>
      <c r="F1854" s="132"/>
      <c r="G1854" s="140"/>
      <c r="H1854" s="131"/>
      <c r="I1854" s="131"/>
      <c r="J1854" s="131"/>
      <c r="K1854" s="131"/>
      <c r="L1854" s="131"/>
      <c r="M1854" s="131"/>
      <c r="N1854" s="131"/>
      <c r="O1854" s="131"/>
      <c r="P1854" s="131"/>
      <c r="Q1854" s="131"/>
      <c r="R1854" s="131"/>
      <c r="S1854" s="131"/>
      <c r="T1854" s="131"/>
      <c r="U1854" s="131"/>
      <c r="V1854" s="131"/>
      <c r="W1854" s="131"/>
      <c r="X1854" s="131"/>
      <c r="Y1854" s="131"/>
      <c r="Z1854" s="131"/>
    </row>
    <row r="1855">
      <c r="A1855" s="262"/>
      <c r="B1855" s="262"/>
      <c r="C1855" s="262"/>
      <c r="D1855" s="262"/>
      <c r="E1855" s="260"/>
      <c r="F1855" s="132"/>
      <c r="G1855" s="140"/>
      <c r="H1855" s="131"/>
      <c r="I1855" s="131"/>
      <c r="J1855" s="131"/>
      <c r="K1855" s="131"/>
      <c r="L1855" s="131"/>
      <c r="M1855" s="131"/>
      <c r="N1855" s="131"/>
      <c r="O1855" s="131"/>
      <c r="P1855" s="131"/>
      <c r="Q1855" s="131"/>
      <c r="R1855" s="131"/>
      <c r="S1855" s="131"/>
      <c r="T1855" s="131"/>
      <c r="U1855" s="131"/>
      <c r="V1855" s="131"/>
      <c r="W1855" s="131"/>
      <c r="X1855" s="131"/>
      <c r="Y1855" s="131"/>
      <c r="Z1855" s="131"/>
    </row>
    <row r="1856">
      <c r="A1856" s="262"/>
      <c r="B1856" s="262"/>
      <c r="C1856" s="262"/>
      <c r="D1856" s="262"/>
      <c r="E1856" s="260"/>
      <c r="F1856" s="132"/>
      <c r="G1856" s="140"/>
      <c r="H1856" s="131"/>
      <c r="I1856" s="131"/>
      <c r="J1856" s="131"/>
      <c r="K1856" s="131"/>
      <c r="L1856" s="131"/>
      <c r="M1856" s="131"/>
      <c r="N1856" s="131"/>
      <c r="O1856" s="131"/>
      <c r="P1856" s="131"/>
      <c r="Q1856" s="131"/>
      <c r="R1856" s="131"/>
      <c r="S1856" s="131"/>
      <c r="T1856" s="131"/>
      <c r="U1856" s="131"/>
      <c r="V1856" s="131"/>
      <c r="W1856" s="131"/>
      <c r="X1856" s="131"/>
      <c r="Y1856" s="131"/>
      <c r="Z1856" s="131"/>
    </row>
    <row r="1857">
      <c r="A1857" s="262"/>
      <c r="B1857" s="262"/>
      <c r="C1857" s="262"/>
      <c r="D1857" s="262"/>
      <c r="E1857" s="260"/>
      <c r="F1857" s="132"/>
      <c r="G1857" s="140"/>
      <c r="H1857" s="131"/>
      <c r="I1857" s="131"/>
      <c r="J1857" s="131"/>
      <c r="K1857" s="131"/>
      <c r="L1857" s="131"/>
      <c r="M1857" s="131"/>
      <c r="N1857" s="131"/>
      <c r="O1857" s="131"/>
      <c r="P1857" s="131"/>
      <c r="Q1857" s="131"/>
      <c r="R1857" s="131"/>
      <c r="S1857" s="131"/>
      <c r="T1857" s="131"/>
      <c r="U1857" s="131"/>
      <c r="V1857" s="131"/>
      <c r="W1857" s="131"/>
      <c r="X1857" s="131"/>
      <c r="Y1857" s="131"/>
      <c r="Z1857" s="131"/>
    </row>
    <row r="1858">
      <c r="A1858" s="262"/>
      <c r="B1858" s="262"/>
      <c r="C1858" s="262"/>
      <c r="D1858" s="262"/>
      <c r="E1858" s="260"/>
      <c r="F1858" s="132"/>
      <c r="G1858" s="140"/>
      <c r="H1858" s="131"/>
      <c r="I1858" s="131"/>
      <c r="J1858" s="131"/>
      <c r="K1858" s="131"/>
      <c r="L1858" s="131"/>
      <c r="M1858" s="131"/>
      <c r="N1858" s="131"/>
      <c r="O1858" s="131"/>
      <c r="P1858" s="131"/>
      <c r="Q1858" s="131"/>
      <c r="R1858" s="131"/>
      <c r="S1858" s="131"/>
      <c r="T1858" s="131"/>
      <c r="U1858" s="131"/>
      <c r="V1858" s="131"/>
      <c r="W1858" s="131"/>
      <c r="X1858" s="131"/>
      <c r="Y1858" s="131"/>
      <c r="Z1858" s="131"/>
    </row>
    <row r="1859">
      <c r="A1859" s="262"/>
      <c r="B1859" s="262"/>
      <c r="C1859" s="262"/>
      <c r="D1859" s="262"/>
      <c r="E1859" s="260"/>
      <c r="F1859" s="132"/>
      <c r="G1859" s="140"/>
      <c r="H1859" s="131"/>
      <c r="I1859" s="131"/>
      <c r="J1859" s="131"/>
      <c r="K1859" s="131"/>
      <c r="L1859" s="131"/>
      <c r="M1859" s="131"/>
      <c r="N1859" s="131"/>
      <c r="O1859" s="131"/>
      <c r="P1859" s="131"/>
      <c r="Q1859" s="131"/>
      <c r="R1859" s="131"/>
      <c r="S1859" s="131"/>
      <c r="T1859" s="131"/>
      <c r="U1859" s="131"/>
      <c r="V1859" s="131"/>
      <c r="W1859" s="131"/>
      <c r="X1859" s="131"/>
      <c r="Y1859" s="131"/>
      <c r="Z1859" s="131"/>
    </row>
    <row r="1860">
      <c r="A1860" s="262"/>
      <c r="B1860" s="262"/>
      <c r="C1860" s="262"/>
      <c r="D1860" s="262"/>
      <c r="E1860" s="260"/>
      <c r="F1860" s="132"/>
      <c r="G1860" s="140"/>
      <c r="H1860" s="131"/>
      <c r="I1860" s="131"/>
      <c r="J1860" s="131"/>
      <c r="K1860" s="131"/>
      <c r="L1860" s="131"/>
      <c r="M1860" s="131"/>
      <c r="N1860" s="131"/>
      <c r="O1860" s="131"/>
      <c r="P1860" s="131"/>
      <c r="Q1860" s="131"/>
      <c r="R1860" s="131"/>
      <c r="S1860" s="131"/>
      <c r="T1860" s="131"/>
      <c r="U1860" s="131"/>
      <c r="V1860" s="131"/>
      <c r="W1860" s="131"/>
      <c r="X1860" s="131"/>
      <c r="Y1860" s="131"/>
      <c r="Z1860" s="131"/>
    </row>
    <row r="1861">
      <c r="A1861" s="262"/>
      <c r="B1861" s="262"/>
      <c r="C1861" s="262"/>
      <c r="D1861" s="262"/>
      <c r="E1861" s="260"/>
      <c r="F1861" s="132"/>
      <c r="G1861" s="140"/>
      <c r="H1861" s="131"/>
      <c r="I1861" s="131"/>
      <c r="J1861" s="131"/>
      <c r="K1861" s="131"/>
      <c r="L1861" s="131"/>
      <c r="M1861" s="131"/>
      <c r="N1861" s="131"/>
      <c r="O1861" s="131"/>
      <c r="P1861" s="131"/>
      <c r="Q1861" s="131"/>
      <c r="R1861" s="131"/>
      <c r="S1861" s="131"/>
      <c r="T1861" s="131"/>
      <c r="U1861" s="131"/>
      <c r="V1861" s="131"/>
      <c r="W1861" s="131"/>
      <c r="X1861" s="131"/>
      <c r="Y1861" s="131"/>
      <c r="Z1861" s="131"/>
    </row>
    <row r="1862">
      <c r="A1862" s="262"/>
      <c r="B1862" s="262"/>
      <c r="C1862" s="262"/>
      <c r="D1862" s="262"/>
      <c r="E1862" s="260"/>
      <c r="F1862" s="132"/>
      <c r="G1862" s="140"/>
      <c r="H1862" s="131"/>
      <c r="I1862" s="131"/>
      <c r="J1862" s="131"/>
      <c r="K1862" s="131"/>
      <c r="L1862" s="131"/>
      <c r="M1862" s="131"/>
      <c r="N1862" s="131"/>
      <c r="O1862" s="131"/>
      <c r="P1862" s="131"/>
      <c r="Q1862" s="131"/>
      <c r="R1862" s="131"/>
      <c r="S1862" s="131"/>
      <c r="T1862" s="131"/>
      <c r="U1862" s="131"/>
      <c r="V1862" s="131"/>
      <c r="W1862" s="131"/>
      <c r="X1862" s="131"/>
      <c r="Y1862" s="131"/>
      <c r="Z1862" s="131"/>
    </row>
    <row r="1863">
      <c r="A1863" s="262"/>
      <c r="B1863" s="262"/>
      <c r="C1863" s="262"/>
      <c r="D1863" s="262"/>
      <c r="E1863" s="260"/>
      <c r="F1863" s="132"/>
      <c r="G1863" s="140"/>
      <c r="H1863" s="131"/>
      <c r="I1863" s="131"/>
      <c r="J1863" s="131"/>
      <c r="K1863" s="131"/>
      <c r="L1863" s="131"/>
      <c r="M1863" s="131"/>
      <c r="N1863" s="131"/>
      <c r="O1863" s="131"/>
      <c r="P1863" s="131"/>
      <c r="Q1863" s="131"/>
      <c r="R1863" s="131"/>
      <c r="S1863" s="131"/>
      <c r="T1863" s="131"/>
      <c r="U1863" s="131"/>
      <c r="V1863" s="131"/>
      <c r="W1863" s="131"/>
      <c r="X1863" s="131"/>
      <c r="Y1863" s="131"/>
      <c r="Z1863" s="131"/>
    </row>
    <row r="1864">
      <c r="A1864" s="262"/>
      <c r="B1864" s="262"/>
      <c r="C1864" s="262"/>
      <c r="D1864" s="262"/>
      <c r="E1864" s="260"/>
      <c r="F1864" s="132"/>
      <c r="G1864" s="140"/>
      <c r="H1864" s="131"/>
      <c r="I1864" s="131"/>
      <c r="J1864" s="131"/>
      <c r="K1864" s="131"/>
      <c r="L1864" s="131"/>
      <c r="M1864" s="131"/>
      <c r="N1864" s="131"/>
      <c r="O1864" s="131"/>
      <c r="P1864" s="131"/>
      <c r="Q1864" s="131"/>
      <c r="R1864" s="131"/>
      <c r="S1864" s="131"/>
      <c r="T1864" s="131"/>
      <c r="U1864" s="131"/>
      <c r="V1864" s="131"/>
      <c r="W1864" s="131"/>
      <c r="X1864" s="131"/>
      <c r="Y1864" s="131"/>
      <c r="Z1864" s="131"/>
    </row>
    <row r="1865">
      <c r="A1865" s="262"/>
      <c r="B1865" s="262"/>
      <c r="C1865" s="262"/>
      <c r="D1865" s="262"/>
      <c r="E1865" s="260"/>
      <c r="F1865" s="132"/>
      <c r="G1865" s="140"/>
      <c r="H1865" s="131"/>
      <c r="I1865" s="131"/>
      <c r="J1865" s="131"/>
      <c r="K1865" s="131"/>
      <c r="L1865" s="131"/>
      <c r="M1865" s="131"/>
      <c r="N1865" s="131"/>
      <c r="O1865" s="131"/>
      <c r="P1865" s="131"/>
      <c r="Q1865" s="131"/>
      <c r="R1865" s="131"/>
      <c r="S1865" s="131"/>
      <c r="T1865" s="131"/>
      <c r="U1865" s="131"/>
      <c r="V1865" s="131"/>
      <c r="W1865" s="131"/>
      <c r="X1865" s="131"/>
      <c r="Y1865" s="131"/>
      <c r="Z1865" s="131"/>
    </row>
    <row r="1866">
      <c r="A1866" s="262"/>
      <c r="B1866" s="262"/>
      <c r="C1866" s="262"/>
      <c r="D1866" s="262"/>
      <c r="E1866" s="260"/>
      <c r="F1866" s="132"/>
      <c r="G1866" s="140"/>
      <c r="H1866" s="131"/>
      <c r="I1866" s="131"/>
      <c r="J1866" s="131"/>
      <c r="K1866" s="131"/>
      <c r="L1866" s="131"/>
      <c r="M1866" s="131"/>
      <c r="N1866" s="131"/>
      <c r="O1866" s="131"/>
      <c r="P1866" s="131"/>
      <c r="Q1866" s="131"/>
      <c r="R1866" s="131"/>
      <c r="S1866" s="131"/>
      <c r="T1866" s="131"/>
      <c r="U1866" s="131"/>
      <c r="V1866" s="131"/>
      <c r="W1866" s="131"/>
      <c r="X1866" s="131"/>
      <c r="Y1866" s="131"/>
      <c r="Z1866" s="131"/>
    </row>
    <row r="1867">
      <c r="A1867" s="262"/>
      <c r="B1867" s="262"/>
      <c r="C1867" s="262"/>
      <c r="D1867" s="262"/>
      <c r="E1867" s="260"/>
      <c r="F1867" s="132"/>
      <c r="G1867" s="140"/>
      <c r="H1867" s="131"/>
      <c r="I1867" s="131"/>
      <c r="J1867" s="131"/>
      <c r="K1867" s="131"/>
      <c r="L1867" s="131"/>
      <c r="M1867" s="131"/>
      <c r="N1867" s="131"/>
      <c r="O1867" s="131"/>
      <c r="P1867" s="131"/>
      <c r="Q1867" s="131"/>
      <c r="R1867" s="131"/>
      <c r="S1867" s="131"/>
      <c r="T1867" s="131"/>
      <c r="U1867" s="131"/>
      <c r="V1867" s="131"/>
      <c r="W1867" s="131"/>
      <c r="X1867" s="131"/>
      <c r="Y1867" s="131"/>
      <c r="Z1867" s="131"/>
    </row>
    <row r="1868">
      <c r="A1868" s="262"/>
      <c r="B1868" s="262"/>
      <c r="C1868" s="262"/>
      <c r="D1868" s="262"/>
      <c r="E1868" s="260"/>
      <c r="F1868" s="132"/>
      <c r="G1868" s="140"/>
      <c r="H1868" s="131"/>
      <c r="I1868" s="131"/>
      <c r="J1868" s="131"/>
      <c r="K1868" s="131"/>
      <c r="L1868" s="131"/>
      <c r="M1868" s="131"/>
      <c r="N1868" s="131"/>
      <c r="O1868" s="131"/>
      <c r="P1868" s="131"/>
      <c r="Q1868" s="131"/>
      <c r="R1868" s="131"/>
      <c r="S1868" s="131"/>
      <c r="T1868" s="131"/>
      <c r="U1868" s="131"/>
      <c r="V1868" s="131"/>
      <c r="W1868" s="131"/>
      <c r="X1868" s="131"/>
      <c r="Y1868" s="131"/>
      <c r="Z1868" s="131"/>
    </row>
    <row r="1869">
      <c r="A1869" s="262"/>
      <c r="B1869" s="262"/>
      <c r="C1869" s="262"/>
      <c r="D1869" s="262"/>
      <c r="E1869" s="260"/>
      <c r="F1869" s="132"/>
      <c r="G1869" s="140"/>
      <c r="H1869" s="131"/>
      <c r="I1869" s="131"/>
      <c r="J1869" s="131"/>
      <c r="K1869" s="131"/>
      <c r="L1869" s="131"/>
      <c r="M1869" s="131"/>
      <c r="N1869" s="131"/>
      <c r="O1869" s="131"/>
      <c r="P1869" s="131"/>
      <c r="Q1869" s="131"/>
      <c r="R1869" s="131"/>
      <c r="S1869" s="131"/>
      <c r="T1869" s="131"/>
      <c r="U1869" s="131"/>
      <c r="V1869" s="131"/>
      <c r="W1869" s="131"/>
      <c r="X1869" s="131"/>
      <c r="Y1869" s="131"/>
      <c r="Z1869" s="131"/>
    </row>
    <row r="1870">
      <c r="A1870" s="262"/>
      <c r="B1870" s="262"/>
      <c r="C1870" s="262"/>
      <c r="D1870" s="262"/>
      <c r="E1870" s="260"/>
      <c r="F1870" s="132"/>
      <c r="G1870" s="140"/>
      <c r="H1870" s="131"/>
      <c r="I1870" s="131"/>
      <c r="J1870" s="131"/>
      <c r="K1870" s="131"/>
      <c r="L1870" s="131"/>
      <c r="M1870" s="131"/>
      <c r="N1870" s="131"/>
      <c r="O1870" s="131"/>
      <c r="P1870" s="131"/>
      <c r="Q1870" s="131"/>
      <c r="R1870" s="131"/>
      <c r="S1870" s="131"/>
      <c r="T1870" s="131"/>
      <c r="U1870" s="131"/>
      <c r="V1870" s="131"/>
      <c r="W1870" s="131"/>
      <c r="X1870" s="131"/>
      <c r="Y1870" s="131"/>
      <c r="Z1870" s="131"/>
    </row>
    <row r="1871">
      <c r="A1871" s="262"/>
      <c r="B1871" s="262"/>
      <c r="C1871" s="262"/>
      <c r="D1871" s="262"/>
      <c r="E1871" s="260"/>
      <c r="F1871" s="132"/>
      <c r="G1871" s="140"/>
      <c r="H1871" s="131"/>
      <c r="I1871" s="131"/>
      <c r="J1871" s="131"/>
      <c r="K1871" s="131"/>
      <c r="L1871" s="131"/>
      <c r="M1871" s="131"/>
      <c r="N1871" s="131"/>
      <c r="O1871" s="131"/>
      <c r="P1871" s="131"/>
      <c r="Q1871" s="131"/>
      <c r="R1871" s="131"/>
      <c r="S1871" s="131"/>
      <c r="T1871" s="131"/>
      <c r="U1871" s="131"/>
      <c r="V1871" s="131"/>
      <c r="W1871" s="131"/>
      <c r="X1871" s="131"/>
      <c r="Y1871" s="131"/>
      <c r="Z1871" s="131"/>
    </row>
    <row r="1872">
      <c r="A1872" s="262"/>
      <c r="B1872" s="262"/>
      <c r="C1872" s="262"/>
      <c r="D1872" s="262"/>
      <c r="E1872" s="260"/>
      <c r="F1872" s="132"/>
      <c r="G1872" s="140"/>
      <c r="H1872" s="131"/>
      <c r="I1872" s="131"/>
      <c r="J1872" s="131"/>
      <c r="K1872" s="131"/>
      <c r="L1872" s="131"/>
      <c r="M1872" s="131"/>
      <c r="N1872" s="131"/>
      <c r="O1872" s="131"/>
      <c r="P1872" s="131"/>
      <c r="Q1872" s="131"/>
      <c r="R1872" s="131"/>
      <c r="S1872" s="131"/>
      <c r="T1872" s="131"/>
      <c r="U1872" s="131"/>
      <c r="V1872" s="131"/>
      <c r="W1872" s="131"/>
      <c r="X1872" s="131"/>
      <c r="Y1872" s="131"/>
      <c r="Z1872" s="131"/>
    </row>
    <row r="1873">
      <c r="A1873" s="262"/>
      <c r="B1873" s="262"/>
      <c r="C1873" s="262"/>
      <c r="D1873" s="262"/>
      <c r="E1873" s="260"/>
      <c r="F1873" s="132"/>
      <c r="G1873" s="140"/>
      <c r="H1873" s="131"/>
      <c r="I1873" s="131"/>
      <c r="J1873" s="131"/>
      <c r="K1873" s="131"/>
      <c r="L1873" s="131"/>
      <c r="M1873" s="131"/>
      <c r="N1873" s="131"/>
      <c r="O1873" s="131"/>
      <c r="P1873" s="131"/>
      <c r="Q1873" s="131"/>
      <c r="R1873" s="131"/>
      <c r="S1873" s="131"/>
      <c r="T1873" s="131"/>
      <c r="U1873" s="131"/>
      <c r="V1873" s="131"/>
      <c r="W1873" s="131"/>
      <c r="X1873" s="131"/>
      <c r="Y1873" s="131"/>
      <c r="Z1873" s="131"/>
    </row>
    <row r="1874">
      <c r="A1874" s="262"/>
      <c r="B1874" s="262"/>
      <c r="C1874" s="262"/>
      <c r="D1874" s="262"/>
      <c r="E1874" s="260"/>
      <c r="F1874" s="132"/>
      <c r="G1874" s="140"/>
      <c r="H1874" s="131"/>
      <c r="I1874" s="131"/>
      <c r="J1874" s="131"/>
      <c r="K1874" s="131"/>
      <c r="L1874" s="131"/>
      <c r="M1874" s="131"/>
      <c r="N1874" s="131"/>
      <c r="O1874" s="131"/>
      <c r="P1874" s="131"/>
      <c r="Q1874" s="131"/>
      <c r="R1874" s="131"/>
      <c r="S1874" s="131"/>
      <c r="T1874" s="131"/>
      <c r="U1874" s="131"/>
      <c r="V1874" s="131"/>
      <c r="W1874" s="131"/>
      <c r="X1874" s="131"/>
      <c r="Y1874" s="131"/>
      <c r="Z1874" s="131"/>
    </row>
    <row r="1875">
      <c r="A1875" s="262"/>
      <c r="B1875" s="262"/>
      <c r="C1875" s="262"/>
      <c r="D1875" s="262"/>
      <c r="E1875" s="260"/>
      <c r="F1875" s="132"/>
      <c r="G1875" s="140"/>
      <c r="H1875" s="131"/>
      <c r="I1875" s="131"/>
      <c r="J1875" s="131"/>
      <c r="K1875" s="131"/>
      <c r="L1875" s="131"/>
      <c r="M1875" s="131"/>
      <c r="N1875" s="131"/>
      <c r="O1875" s="131"/>
      <c r="P1875" s="131"/>
      <c r="Q1875" s="131"/>
      <c r="R1875" s="131"/>
      <c r="S1875" s="131"/>
      <c r="T1875" s="131"/>
      <c r="U1875" s="131"/>
      <c r="V1875" s="131"/>
      <c r="W1875" s="131"/>
      <c r="X1875" s="131"/>
      <c r="Y1875" s="131"/>
      <c r="Z1875" s="131"/>
    </row>
    <row r="1876">
      <c r="A1876" s="262"/>
      <c r="B1876" s="262"/>
      <c r="C1876" s="262"/>
      <c r="D1876" s="262"/>
      <c r="E1876" s="260"/>
      <c r="F1876" s="132"/>
      <c r="G1876" s="140"/>
      <c r="H1876" s="131"/>
      <c r="I1876" s="131"/>
      <c r="J1876" s="131"/>
      <c r="K1876" s="131"/>
      <c r="L1876" s="131"/>
      <c r="M1876" s="131"/>
      <c r="N1876" s="131"/>
      <c r="O1876" s="131"/>
      <c r="P1876" s="131"/>
      <c r="Q1876" s="131"/>
      <c r="R1876" s="131"/>
      <c r="S1876" s="131"/>
      <c r="T1876" s="131"/>
      <c r="U1876" s="131"/>
      <c r="V1876" s="131"/>
      <c r="W1876" s="131"/>
      <c r="X1876" s="131"/>
      <c r="Y1876" s="131"/>
      <c r="Z1876" s="131"/>
    </row>
    <row r="1877">
      <c r="A1877" s="262"/>
      <c r="B1877" s="262"/>
      <c r="C1877" s="262"/>
      <c r="D1877" s="262"/>
      <c r="E1877" s="260"/>
      <c r="F1877" s="132"/>
      <c r="G1877" s="140"/>
      <c r="H1877" s="131"/>
      <c r="I1877" s="131"/>
      <c r="J1877" s="131"/>
      <c r="K1877" s="131"/>
      <c r="L1877" s="131"/>
      <c r="M1877" s="131"/>
      <c r="N1877" s="131"/>
      <c r="O1877" s="131"/>
      <c r="P1877" s="131"/>
      <c r="Q1877" s="131"/>
      <c r="R1877" s="131"/>
      <c r="S1877" s="131"/>
      <c r="T1877" s="131"/>
      <c r="U1877" s="131"/>
      <c r="V1877" s="131"/>
      <c r="W1877" s="131"/>
      <c r="X1877" s="131"/>
      <c r="Y1877" s="131"/>
      <c r="Z1877" s="131"/>
    </row>
    <row r="1878">
      <c r="A1878" s="262"/>
      <c r="B1878" s="262"/>
      <c r="C1878" s="262"/>
      <c r="D1878" s="262"/>
      <c r="E1878" s="260"/>
      <c r="F1878" s="132"/>
      <c r="G1878" s="140"/>
      <c r="H1878" s="131"/>
      <c r="I1878" s="131"/>
      <c r="J1878" s="131"/>
      <c r="K1878" s="131"/>
      <c r="L1878" s="131"/>
      <c r="M1878" s="131"/>
      <c r="N1878" s="131"/>
      <c r="O1878" s="131"/>
      <c r="P1878" s="131"/>
      <c r="Q1878" s="131"/>
      <c r="R1878" s="131"/>
      <c r="S1878" s="131"/>
      <c r="T1878" s="131"/>
      <c r="U1878" s="131"/>
      <c r="V1878" s="131"/>
      <c r="W1878" s="131"/>
      <c r="X1878" s="131"/>
      <c r="Y1878" s="131"/>
      <c r="Z1878" s="131"/>
    </row>
    <row r="1879">
      <c r="A1879" s="262"/>
      <c r="B1879" s="262"/>
      <c r="C1879" s="262"/>
      <c r="D1879" s="262"/>
      <c r="E1879" s="260"/>
      <c r="F1879" s="132"/>
      <c r="G1879" s="140"/>
      <c r="H1879" s="131"/>
      <c r="I1879" s="131"/>
      <c r="J1879" s="131"/>
      <c r="K1879" s="131"/>
      <c r="L1879" s="131"/>
      <c r="M1879" s="131"/>
      <c r="N1879" s="131"/>
      <c r="O1879" s="131"/>
      <c r="P1879" s="131"/>
      <c r="Q1879" s="131"/>
      <c r="R1879" s="131"/>
      <c r="S1879" s="131"/>
      <c r="T1879" s="131"/>
      <c r="U1879" s="131"/>
      <c r="V1879" s="131"/>
      <c r="W1879" s="131"/>
      <c r="X1879" s="131"/>
      <c r="Y1879" s="131"/>
      <c r="Z1879" s="131"/>
    </row>
    <row r="1880">
      <c r="A1880" s="262"/>
      <c r="B1880" s="262"/>
      <c r="C1880" s="262"/>
      <c r="D1880" s="262"/>
      <c r="E1880" s="260"/>
      <c r="F1880" s="132"/>
      <c r="G1880" s="140"/>
      <c r="H1880" s="131"/>
      <c r="I1880" s="131"/>
      <c r="J1880" s="131"/>
      <c r="K1880" s="131"/>
      <c r="L1880" s="131"/>
      <c r="M1880" s="131"/>
      <c r="N1880" s="131"/>
      <c r="O1880" s="131"/>
      <c r="P1880" s="131"/>
      <c r="Q1880" s="131"/>
      <c r="R1880" s="131"/>
      <c r="S1880" s="131"/>
      <c r="T1880" s="131"/>
      <c r="U1880" s="131"/>
      <c r="V1880" s="131"/>
      <c r="W1880" s="131"/>
      <c r="X1880" s="131"/>
      <c r="Y1880" s="131"/>
      <c r="Z1880" s="131"/>
    </row>
    <row r="1881">
      <c r="A1881" s="262"/>
      <c r="B1881" s="262"/>
      <c r="C1881" s="262"/>
      <c r="D1881" s="262"/>
      <c r="E1881" s="260"/>
      <c r="F1881" s="132"/>
      <c r="G1881" s="140"/>
      <c r="H1881" s="131"/>
      <c r="I1881" s="131"/>
      <c r="J1881" s="131"/>
      <c r="K1881" s="131"/>
      <c r="L1881" s="131"/>
      <c r="M1881" s="131"/>
      <c r="N1881" s="131"/>
      <c r="O1881" s="131"/>
      <c r="P1881" s="131"/>
      <c r="Q1881" s="131"/>
      <c r="R1881" s="131"/>
      <c r="S1881" s="131"/>
      <c r="T1881" s="131"/>
      <c r="U1881" s="131"/>
      <c r="V1881" s="131"/>
      <c r="W1881" s="131"/>
      <c r="X1881" s="131"/>
      <c r="Y1881" s="131"/>
      <c r="Z1881" s="131"/>
    </row>
    <row r="1882">
      <c r="A1882" s="262"/>
      <c r="B1882" s="262"/>
      <c r="C1882" s="262"/>
      <c r="D1882" s="262"/>
      <c r="E1882" s="260"/>
      <c r="F1882" s="132"/>
      <c r="G1882" s="140"/>
      <c r="H1882" s="131"/>
      <c r="I1882" s="131"/>
      <c r="J1882" s="131"/>
      <c r="K1882" s="131"/>
      <c r="L1882" s="131"/>
      <c r="M1882" s="131"/>
      <c r="N1882" s="131"/>
      <c r="O1882" s="131"/>
      <c r="P1882" s="131"/>
      <c r="Q1882" s="131"/>
      <c r="R1882" s="131"/>
      <c r="S1882" s="131"/>
      <c r="T1882" s="131"/>
      <c r="U1882" s="131"/>
      <c r="V1882" s="131"/>
      <c r="W1882" s="131"/>
      <c r="X1882" s="131"/>
      <c r="Y1882" s="131"/>
      <c r="Z1882" s="131"/>
    </row>
    <row r="1883">
      <c r="A1883" s="262"/>
      <c r="B1883" s="262"/>
      <c r="C1883" s="262"/>
      <c r="D1883" s="262"/>
      <c r="E1883" s="260"/>
      <c r="F1883" s="132"/>
      <c r="G1883" s="140"/>
      <c r="H1883" s="131"/>
      <c r="I1883" s="131"/>
      <c r="J1883" s="131"/>
      <c r="K1883" s="131"/>
      <c r="L1883" s="131"/>
      <c r="M1883" s="131"/>
      <c r="N1883" s="131"/>
      <c r="O1883" s="131"/>
      <c r="P1883" s="131"/>
      <c r="Q1883" s="131"/>
      <c r="R1883" s="131"/>
      <c r="S1883" s="131"/>
      <c r="T1883" s="131"/>
      <c r="U1883" s="131"/>
      <c r="V1883" s="131"/>
      <c r="W1883" s="131"/>
      <c r="X1883" s="131"/>
      <c r="Y1883" s="131"/>
      <c r="Z1883" s="131"/>
    </row>
    <row r="1884">
      <c r="A1884" s="262"/>
      <c r="B1884" s="262"/>
      <c r="C1884" s="262"/>
      <c r="D1884" s="262"/>
      <c r="E1884" s="260"/>
      <c r="F1884" s="132"/>
      <c r="G1884" s="140"/>
      <c r="H1884" s="131"/>
      <c r="I1884" s="131"/>
      <c r="J1884" s="131"/>
      <c r="K1884" s="131"/>
      <c r="L1884" s="131"/>
      <c r="M1884" s="131"/>
      <c r="N1884" s="131"/>
      <c r="O1884" s="131"/>
      <c r="P1884" s="131"/>
      <c r="Q1884" s="131"/>
      <c r="R1884" s="131"/>
      <c r="S1884" s="131"/>
      <c r="T1884" s="131"/>
      <c r="U1884" s="131"/>
      <c r="V1884" s="131"/>
      <c r="W1884" s="131"/>
      <c r="X1884" s="131"/>
      <c r="Y1884" s="131"/>
      <c r="Z1884" s="131"/>
    </row>
    <row r="1885">
      <c r="A1885" s="262"/>
      <c r="B1885" s="262"/>
      <c r="C1885" s="262"/>
      <c r="D1885" s="262"/>
      <c r="E1885" s="260"/>
      <c r="F1885" s="132"/>
      <c r="G1885" s="140"/>
      <c r="H1885" s="131"/>
      <c r="I1885" s="131"/>
      <c r="J1885" s="131"/>
      <c r="K1885" s="131"/>
      <c r="L1885" s="131"/>
      <c r="M1885" s="131"/>
      <c r="N1885" s="131"/>
      <c r="O1885" s="131"/>
      <c r="P1885" s="131"/>
      <c r="Q1885" s="131"/>
      <c r="R1885" s="131"/>
      <c r="S1885" s="131"/>
      <c r="T1885" s="131"/>
      <c r="U1885" s="131"/>
      <c r="V1885" s="131"/>
      <c r="W1885" s="131"/>
      <c r="X1885" s="131"/>
      <c r="Y1885" s="131"/>
      <c r="Z1885" s="131"/>
    </row>
    <row r="1886">
      <c r="A1886" s="262"/>
      <c r="B1886" s="262"/>
      <c r="C1886" s="262"/>
      <c r="D1886" s="262"/>
      <c r="E1886" s="260"/>
      <c r="F1886" s="132"/>
      <c r="G1886" s="140"/>
      <c r="H1886" s="131"/>
      <c r="I1886" s="131"/>
      <c r="J1886" s="131"/>
      <c r="K1886" s="131"/>
      <c r="L1886" s="131"/>
      <c r="M1886" s="131"/>
      <c r="N1886" s="131"/>
      <c r="O1886" s="131"/>
      <c r="P1886" s="131"/>
      <c r="Q1886" s="131"/>
      <c r="R1886" s="131"/>
      <c r="S1886" s="131"/>
      <c r="T1886" s="131"/>
      <c r="U1886" s="131"/>
      <c r="V1886" s="131"/>
      <c r="W1886" s="131"/>
      <c r="X1886" s="131"/>
      <c r="Y1886" s="131"/>
      <c r="Z1886" s="131"/>
    </row>
    <row r="1887">
      <c r="A1887" s="262"/>
      <c r="B1887" s="262"/>
      <c r="C1887" s="262"/>
      <c r="D1887" s="262"/>
      <c r="E1887" s="260"/>
      <c r="F1887" s="132"/>
      <c r="G1887" s="140"/>
      <c r="H1887" s="131"/>
      <c r="I1887" s="131"/>
      <c r="J1887" s="131"/>
      <c r="K1887" s="131"/>
      <c r="L1887" s="131"/>
      <c r="M1887" s="131"/>
      <c r="N1887" s="131"/>
      <c r="O1887" s="131"/>
      <c r="P1887" s="131"/>
      <c r="Q1887" s="131"/>
      <c r="R1887" s="131"/>
      <c r="S1887" s="131"/>
      <c r="T1887" s="131"/>
      <c r="U1887" s="131"/>
      <c r="V1887" s="131"/>
      <c r="W1887" s="131"/>
      <c r="X1887" s="131"/>
      <c r="Y1887" s="131"/>
      <c r="Z1887" s="131"/>
    </row>
    <row r="1888">
      <c r="A1888" s="262"/>
      <c r="B1888" s="262"/>
      <c r="C1888" s="262"/>
      <c r="D1888" s="262"/>
      <c r="E1888" s="260"/>
      <c r="F1888" s="132"/>
      <c r="G1888" s="140"/>
      <c r="H1888" s="131"/>
      <c r="I1888" s="131"/>
      <c r="J1888" s="131"/>
      <c r="K1888" s="131"/>
      <c r="L1888" s="131"/>
      <c r="M1888" s="131"/>
      <c r="N1888" s="131"/>
      <c r="O1888" s="131"/>
      <c r="P1888" s="131"/>
      <c r="Q1888" s="131"/>
      <c r="R1888" s="131"/>
      <c r="S1888" s="131"/>
      <c r="T1888" s="131"/>
      <c r="U1888" s="131"/>
      <c r="V1888" s="131"/>
      <c r="W1888" s="131"/>
      <c r="X1888" s="131"/>
      <c r="Y1888" s="131"/>
      <c r="Z1888" s="131"/>
    </row>
    <row r="1889">
      <c r="A1889" s="262"/>
      <c r="B1889" s="262"/>
      <c r="C1889" s="262"/>
      <c r="D1889" s="262"/>
      <c r="E1889" s="260"/>
      <c r="F1889" s="132"/>
      <c r="G1889" s="140"/>
      <c r="H1889" s="131"/>
      <c r="I1889" s="131"/>
      <c r="J1889" s="131"/>
      <c r="K1889" s="131"/>
      <c r="L1889" s="131"/>
      <c r="M1889" s="131"/>
      <c r="N1889" s="131"/>
      <c r="O1889" s="131"/>
      <c r="P1889" s="131"/>
      <c r="Q1889" s="131"/>
      <c r="R1889" s="131"/>
      <c r="S1889" s="131"/>
      <c r="T1889" s="131"/>
      <c r="U1889" s="131"/>
      <c r="V1889" s="131"/>
      <c r="W1889" s="131"/>
      <c r="X1889" s="131"/>
      <c r="Y1889" s="131"/>
      <c r="Z1889" s="131"/>
    </row>
    <row r="1890">
      <c r="A1890" s="262"/>
      <c r="B1890" s="262"/>
      <c r="C1890" s="262"/>
      <c r="D1890" s="262"/>
      <c r="E1890" s="260"/>
      <c r="F1890" s="132"/>
      <c r="G1890" s="140"/>
      <c r="H1890" s="131"/>
      <c r="I1890" s="131"/>
      <c r="J1890" s="131"/>
      <c r="K1890" s="131"/>
      <c r="L1890" s="131"/>
      <c r="M1890" s="131"/>
      <c r="N1890" s="131"/>
      <c r="O1890" s="131"/>
      <c r="P1890" s="131"/>
      <c r="Q1890" s="131"/>
      <c r="R1890" s="131"/>
      <c r="S1890" s="131"/>
      <c r="T1890" s="131"/>
      <c r="U1890" s="131"/>
      <c r="V1890" s="131"/>
      <c r="W1890" s="131"/>
      <c r="X1890" s="131"/>
      <c r="Y1890" s="131"/>
      <c r="Z1890" s="131"/>
    </row>
    <row r="1891">
      <c r="A1891" s="262"/>
      <c r="B1891" s="262"/>
      <c r="C1891" s="262"/>
      <c r="D1891" s="262"/>
      <c r="E1891" s="260"/>
      <c r="F1891" s="132"/>
      <c r="G1891" s="140"/>
      <c r="H1891" s="131"/>
      <c r="I1891" s="131"/>
      <c r="J1891" s="131"/>
      <c r="K1891" s="131"/>
      <c r="L1891" s="131"/>
      <c r="M1891" s="131"/>
      <c r="N1891" s="131"/>
      <c r="O1891" s="131"/>
      <c r="P1891" s="131"/>
      <c r="Q1891" s="131"/>
      <c r="R1891" s="131"/>
      <c r="S1891" s="131"/>
      <c r="T1891" s="131"/>
      <c r="U1891" s="131"/>
      <c r="V1891" s="131"/>
      <c r="W1891" s="131"/>
      <c r="X1891" s="131"/>
      <c r="Y1891" s="131"/>
      <c r="Z1891" s="131"/>
    </row>
    <row r="1892">
      <c r="A1892" s="262"/>
      <c r="B1892" s="262"/>
      <c r="C1892" s="262"/>
      <c r="D1892" s="262"/>
      <c r="E1892" s="260"/>
      <c r="F1892" s="132"/>
      <c r="G1892" s="140"/>
      <c r="H1892" s="131"/>
      <c r="I1892" s="131"/>
      <c r="J1892" s="131"/>
      <c r="K1892" s="131"/>
      <c r="L1892" s="131"/>
      <c r="M1892" s="131"/>
      <c r="N1892" s="131"/>
      <c r="O1892" s="131"/>
      <c r="P1892" s="131"/>
      <c r="Q1892" s="131"/>
      <c r="R1892" s="131"/>
      <c r="S1892" s="131"/>
      <c r="T1892" s="131"/>
      <c r="U1892" s="131"/>
      <c r="V1892" s="131"/>
      <c r="W1892" s="131"/>
      <c r="X1892" s="131"/>
      <c r="Y1892" s="131"/>
      <c r="Z1892" s="131"/>
    </row>
    <row r="1893">
      <c r="A1893" s="262"/>
      <c r="B1893" s="262"/>
      <c r="C1893" s="262"/>
      <c r="D1893" s="262"/>
      <c r="E1893" s="260"/>
      <c r="F1893" s="132"/>
      <c r="G1893" s="140"/>
      <c r="H1893" s="131"/>
      <c r="I1893" s="131"/>
      <c r="J1893" s="131"/>
      <c r="K1893" s="131"/>
      <c r="L1893" s="131"/>
      <c r="M1893" s="131"/>
      <c r="N1893" s="131"/>
      <c r="O1893" s="131"/>
      <c r="P1893" s="131"/>
      <c r="Q1893" s="131"/>
      <c r="R1893" s="131"/>
      <c r="S1893" s="131"/>
      <c r="T1893" s="131"/>
      <c r="U1893" s="131"/>
      <c r="V1893" s="131"/>
      <c r="W1893" s="131"/>
      <c r="X1893" s="131"/>
      <c r="Y1893" s="131"/>
      <c r="Z1893" s="131"/>
    </row>
    <row r="1894">
      <c r="A1894" s="262"/>
      <c r="B1894" s="262"/>
      <c r="C1894" s="262"/>
      <c r="D1894" s="262"/>
      <c r="E1894" s="260"/>
      <c r="F1894" s="132"/>
      <c r="G1894" s="140"/>
      <c r="H1894" s="131"/>
      <c r="I1894" s="131"/>
      <c r="J1894" s="131"/>
      <c r="K1894" s="131"/>
      <c r="L1894" s="131"/>
      <c r="M1894" s="131"/>
      <c r="N1894" s="131"/>
      <c r="O1894" s="131"/>
      <c r="P1894" s="131"/>
      <c r="Q1894" s="131"/>
      <c r="R1894" s="131"/>
      <c r="S1894" s="131"/>
      <c r="T1894" s="131"/>
      <c r="U1894" s="131"/>
      <c r="V1894" s="131"/>
      <c r="W1894" s="131"/>
      <c r="X1894" s="131"/>
      <c r="Y1894" s="131"/>
      <c r="Z1894" s="131"/>
    </row>
    <row r="1895">
      <c r="A1895" s="262"/>
      <c r="B1895" s="262"/>
      <c r="C1895" s="262"/>
      <c r="D1895" s="262"/>
      <c r="E1895" s="260"/>
      <c r="F1895" s="132"/>
      <c r="G1895" s="140"/>
      <c r="H1895" s="131"/>
      <c r="I1895" s="131"/>
      <c r="J1895" s="131"/>
      <c r="K1895" s="131"/>
      <c r="L1895" s="131"/>
      <c r="M1895" s="131"/>
      <c r="N1895" s="131"/>
      <c r="O1895" s="131"/>
      <c r="P1895" s="131"/>
      <c r="Q1895" s="131"/>
      <c r="R1895" s="131"/>
      <c r="S1895" s="131"/>
      <c r="T1895" s="131"/>
      <c r="U1895" s="131"/>
      <c r="V1895" s="131"/>
      <c r="W1895" s="131"/>
      <c r="X1895" s="131"/>
      <c r="Y1895" s="131"/>
      <c r="Z1895" s="131"/>
    </row>
    <row r="1896">
      <c r="A1896" s="262"/>
      <c r="B1896" s="262"/>
      <c r="C1896" s="262"/>
      <c r="D1896" s="262"/>
      <c r="E1896" s="260"/>
      <c r="F1896" s="132"/>
      <c r="G1896" s="140"/>
      <c r="H1896" s="131"/>
      <c r="I1896" s="131"/>
      <c r="J1896" s="131"/>
      <c r="K1896" s="131"/>
      <c r="L1896" s="131"/>
      <c r="M1896" s="131"/>
      <c r="N1896" s="131"/>
      <c r="O1896" s="131"/>
      <c r="P1896" s="131"/>
      <c r="Q1896" s="131"/>
      <c r="R1896" s="131"/>
      <c r="S1896" s="131"/>
      <c r="T1896" s="131"/>
      <c r="U1896" s="131"/>
      <c r="V1896" s="131"/>
      <c r="W1896" s="131"/>
      <c r="X1896" s="131"/>
      <c r="Y1896" s="131"/>
      <c r="Z1896" s="131"/>
    </row>
    <row r="1897">
      <c r="A1897" s="262"/>
      <c r="B1897" s="262"/>
      <c r="C1897" s="262"/>
      <c r="D1897" s="262"/>
      <c r="E1897" s="260"/>
      <c r="F1897" s="132"/>
      <c r="G1897" s="140"/>
      <c r="H1897" s="131"/>
      <c r="I1897" s="131"/>
      <c r="J1897" s="131"/>
      <c r="K1897" s="131"/>
      <c r="L1897" s="131"/>
      <c r="M1897" s="131"/>
      <c r="N1897" s="131"/>
      <c r="O1897" s="131"/>
      <c r="P1897" s="131"/>
      <c r="Q1897" s="131"/>
      <c r="R1897" s="131"/>
      <c r="S1897" s="131"/>
      <c r="T1897" s="131"/>
      <c r="U1897" s="131"/>
      <c r="V1897" s="131"/>
      <c r="W1897" s="131"/>
      <c r="X1897" s="131"/>
      <c r="Y1897" s="131"/>
      <c r="Z1897" s="131"/>
    </row>
    <row r="1898">
      <c r="A1898" s="262"/>
      <c r="B1898" s="262"/>
      <c r="C1898" s="262"/>
      <c r="D1898" s="262"/>
      <c r="E1898" s="260"/>
      <c r="F1898" s="132"/>
      <c r="G1898" s="140"/>
      <c r="H1898" s="131"/>
      <c r="I1898" s="131"/>
      <c r="J1898" s="131"/>
      <c r="K1898" s="131"/>
      <c r="L1898" s="131"/>
      <c r="M1898" s="131"/>
      <c r="N1898" s="131"/>
      <c r="O1898" s="131"/>
      <c r="P1898" s="131"/>
      <c r="Q1898" s="131"/>
      <c r="R1898" s="131"/>
      <c r="S1898" s="131"/>
      <c r="T1898" s="131"/>
      <c r="U1898" s="131"/>
      <c r="V1898" s="131"/>
      <c r="W1898" s="131"/>
      <c r="X1898" s="131"/>
      <c r="Y1898" s="131"/>
      <c r="Z1898" s="131"/>
    </row>
    <row r="1899">
      <c r="A1899" s="262"/>
      <c r="B1899" s="262"/>
      <c r="C1899" s="262"/>
      <c r="D1899" s="262"/>
      <c r="E1899" s="260"/>
      <c r="F1899" s="132"/>
      <c r="G1899" s="140"/>
      <c r="H1899" s="131"/>
      <c r="I1899" s="131"/>
      <c r="J1899" s="131"/>
      <c r="K1899" s="131"/>
      <c r="L1899" s="131"/>
      <c r="M1899" s="131"/>
      <c r="N1899" s="131"/>
      <c r="O1899" s="131"/>
      <c r="P1899" s="131"/>
      <c r="Q1899" s="131"/>
      <c r="R1899" s="131"/>
      <c r="S1899" s="131"/>
      <c r="T1899" s="131"/>
      <c r="U1899" s="131"/>
      <c r="V1899" s="131"/>
      <c r="W1899" s="131"/>
      <c r="X1899" s="131"/>
      <c r="Y1899" s="131"/>
      <c r="Z1899" s="131"/>
    </row>
    <row r="1900">
      <c r="A1900" s="262"/>
      <c r="B1900" s="262"/>
      <c r="C1900" s="262"/>
      <c r="D1900" s="262"/>
      <c r="E1900" s="260"/>
      <c r="F1900" s="132"/>
      <c r="G1900" s="140"/>
      <c r="H1900" s="131"/>
      <c r="I1900" s="131"/>
      <c r="J1900" s="131"/>
      <c r="K1900" s="131"/>
      <c r="L1900" s="131"/>
      <c r="M1900" s="131"/>
      <c r="N1900" s="131"/>
      <c r="O1900" s="131"/>
      <c r="P1900" s="131"/>
      <c r="Q1900" s="131"/>
      <c r="R1900" s="131"/>
      <c r="S1900" s="131"/>
      <c r="T1900" s="131"/>
      <c r="U1900" s="131"/>
      <c r="V1900" s="131"/>
      <c r="W1900" s="131"/>
      <c r="X1900" s="131"/>
      <c r="Y1900" s="131"/>
      <c r="Z1900" s="131"/>
    </row>
    <row r="1901">
      <c r="A1901" s="262"/>
      <c r="B1901" s="262"/>
      <c r="C1901" s="262"/>
      <c r="D1901" s="262"/>
      <c r="E1901" s="260"/>
      <c r="F1901" s="132"/>
      <c r="G1901" s="140"/>
      <c r="H1901" s="131"/>
      <c r="I1901" s="131"/>
      <c r="J1901" s="131"/>
      <c r="K1901" s="131"/>
      <c r="L1901" s="131"/>
      <c r="M1901" s="131"/>
      <c r="N1901" s="131"/>
      <c r="O1901" s="131"/>
      <c r="P1901" s="131"/>
      <c r="Q1901" s="131"/>
      <c r="R1901" s="131"/>
      <c r="S1901" s="131"/>
      <c r="T1901" s="131"/>
      <c r="U1901" s="131"/>
      <c r="V1901" s="131"/>
      <c r="W1901" s="131"/>
      <c r="X1901" s="131"/>
      <c r="Y1901" s="131"/>
      <c r="Z1901" s="131"/>
    </row>
    <row r="1902">
      <c r="A1902" s="262"/>
      <c r="B1902" s="262"/>
      <c r="C1902" s="262"/>
      <c r="D1902" s="262"/>
      <c r="E1902" s="260"/>
      <c r="F1902" s="132"/>
      <c r="G1902" s="140"/>
      <c r="H1902" s="131"/>
      <c r="I1902" s="131"/>
      <c r="J1902" s="131"/>
      <c r="K1902" s="131"/>
      <c r="L1902" s="131"/>
      <c r="M1902" s="131"/>
      <c r="N1902" s="131"/>
      <c r="O1902" s="131"/>
      <c r="P1902" s="131"/>
      <c r="Q1902" s="131"/>
      <c r="R1902" s="131"/>
      <c r="S1902" s="131"/>
      <c r="T1902" s="131"/>
      <c r="U1902" s="131"/>
      <c r="V1902" s="131"/>
      <c r="W1902" s="131"/>
      <c r="X1902" s="131"/>
      <c r="Y1902" s="131"/>
      <c r="Z1902" s="131"/>
    </row>
    <row r="1903">
      <c r="A1903" s="262"/>
      <c r="B1903" s="262"/>
      <c r="C1903" s="262"/>
      <c r="D1903" s="262"/>
      <c r="E1903" s="260"/>
      <c r="F1903" s="132"/>
      <c r="G1903" s="140"/>
      <c r="H1903" s="131"/>
      <c r="I1903" s="131"/>
      <c r="J1903" s="131"/>
      <c r="K1903" s="131"/>
      <c r="L1903" s="131"/>
      <c r="M1903" s="131"/>
      <c r="N1903" s="131"/>
      <c r="O1903" s="131"/>
      <c r="P1903" s="131"/>
      <c r="Q1903" s="131"/>
      <c r="R1903" s="131"/>
      <c r="S1903" s="131"/>
      <c r="T1903" s="131"/>
      <c r="U1903" s="131"/>
      <c r="V1903" s="131"/>
      <c r="W1903" s="131"/>
      <c r="X1903" s="131"/>
      <c r="Y1903" s="131"/>
      <c r="Z1903" s="131"/>
    </row>
    <row r="1904">
      <c r="A1904" s="262"/>
      <c r="B1904" s="262"/>
      <c r="C1904" s="262"/>
      <c r="D1904" s="262"/>
      <c r="E1904" s="260"/>
      <c r="F1904" s="132"/>
      <c r="G1904" s="140"/>
      <c r="H1904" s="131"/>
      <c r="I1904" s="131"/>
      <c r="J1904" s="131"/>
      <c r="K1904" s="131"/>
      <c r="L1904" s="131"/>
      <c r="M1904" s="131"/>
      <c r="N1904" s="131"/>
      <c r="O1904" s="131"/>
      <c r="P1904" s="131"/>
      <c r="Q1904" s="131"/>
      <c r="R1904" s="131"/>
      <c r="S1904" s="131"/>
      <c r="T1904" s="131"/>
      <c r="U1904" s="131"/>
      <c r="V1904" s="131"/>
      <c r="W1904" s="131"/>
      <c r="X1904" s="131"/>
      <c r="Y1904" s="131"/>
      <c r="Z1904" s="131"/>
    </row>
    <row r="1905">
      <c r="A1905" s="262"/>
      <c r="B1905" s="262"/>
      <c r="C1905" s="262"/>
      <c r="D1905" s="262"/>
      <c r="E1905" s="260"/>
      <c r="F1905" s="132"/>
      <c r="G1905" s="140"/>
      <c r="H1905" s="131"/>
      <c r="I1905" s="131"/>
      <c r="J1905" s="131"/>
      <c r="K1905" s="131"/>
      <c r="L1905" s="131"/>
      <c r="M1905" s="131"/>
      <c r="N1905" s="131"/>
      <c r="O1905" s="131"/>
      <c r="P1905" s="131"/>
      <c r="Q1905" s="131"/>
      <c r="R1905" s="131"/>
      <c r="S1905" s="131"/>
      <c r="T1905" s="131"/>
      <c r="U1905" s="131"/>
      <c r="V1905" s="131"/>
      <c r="W1905" s="131"/>
      <c r="X1905" s="131"/>
      <c r="Y1905" s="131"/>
      <c r="Z1905" s="131"/>
    </row>
    <row r="1906">
      <c r="A1906" s="262"/>
      <c r="B1906" s="262"/>
      <c r="C1906" s="262"/>
      <c r="D1906" s="262"/>
      <c r="E1906" s="260"/>
      <c r="F1906" s="132"/>
      <c r="G1906" s="140"/>
      <c r="H1906" s="131"/>
      <c r="I1906" s="131"/>
      <c r="J1906" s="131"/>
      <c r="K1906" s="131"/>
      <c r="L1906" s="131"/>
      <c r="M1906" s="131"/>
      <c r="N1906" s="131"/>
      <c r="O1906" s="131"/>
      <c r="P1906" s="131"/>
      <c r="Q1906" s="131"/>
      <c r="R1906" s="131"/>
      <c r="S1906" s="131"/>
      <c r="T1906" s="131"/>
      <c r="U1906" s="131"/>
      <c r="V1906" s="131"/>
      <c r="W1906" s="131"/>
      <c r="X1906" s="131"/>
      <c r="Y1906" s="131"/>
      <c r="Z1906" s="131"/>
    </row>
    <row r="1907">
      <c r="A1907" s="262"/>
      <c r="B1907" s="262"/>
      <c r="C1907" s="262"/>
      <c r="D1907" s="262"/>
      <c r="E1907" s="260"/>
      <c r="F1907" s="132"/>
      <c r="G1907" s="140"/>
      <c r="H1907" s="131"/>
      <c r="I1907" s="131"/>
      <c r="J1907" s="131"/>
      <c r="K1907" s="131"/>
      <c r="L1907" s="131"/>
      <c r="M1907" s="131"/>
      <c r="N1907" s="131"/>
      <c r="O1907" s="131"/>
      <c r="P1907" s="131"/>
      <c r="Q1907" s="131"/>
      <c r="R1907" s="131"/>
      <c r="S1907" s="131"/>
      <c r="T1907" s="131"/>
      <c r="U1907" s="131"/>
      <c r="V1907" s="131"/>
      <c r="W1907" s="131"/>
      <c r="X1907" s="131"/>
      <c r="Y1907" s="131"/>
      <c r="Z1907" s="131"/>
    </row>
    <row r="1908">
      <c r="A1908" s="262"/>
      <c r="B1908" s="262"/>
      <c r="C1908" s="262"/>
      <c r="D1908" s="262"/>
      <c r="E1908" s="260"/>
      <c r="F1908" s="132"/>
      <c r="G1908" s="140"/>
      <c r="H1908" s="131"/>
      <c r="I1908" s="131"/>
      <c r="J1908" s="131"/>
      <c r="K1908" s="131"/>
      <c r="L1908" s="131"/>
      <c r="M1908" s="131"/>
      <c r="N1908" s="131"/>
      <c r="O1908" s="131"/>
      <c r="P1908" s="131"/>
      <c r="Q1908" s="131"/>
      <c r="R1908" s="131"/>
      <c r="S1908" s="131"/>
      <c r="T1908" s="131"/>
      <c r="U1908" s="131"/>
      <c r="V1908" s="131"/>
      <c r="W1908" s="131"/>
      <c r="X1908" s="131"/>
      <c r="Y1908" s="131"/>
      <c r="Z1908" s="131"/>
    </row>
    <row r="1909">
      <c r="A1909" s="262"/>
      <c r="B1909" s="262"/>
      <c r="C1909" s="262"/>
      <c r="D1909" s="262"/>
      <c r="E1909" s="260"/>
      <c r="F1909" s="132"/>
      <c r="G1909" s="140"/>
      <c r="H1909" s="131"/>
      <c r="I1909" s="131"/>
      <c r="J1909" s="131"/>
      <c r="K1909" s="131"/>
      <c r="L1909" s="131"/>
      <c r="M1909" s="131"/>
      <c r="N1909" s="131"/>
      <c r="O1909" s="131"/>
      <c r="P1909" s="131"/>
      <c r="Q1909" s="131"/>
      <c r="R1909" s="131"/>
      <c r="S1909" s="131"/>
      <c r="T1909" s="131"/>
      <c r="U1909" s="131"/>
      <c r="V1909" s="131"/>
      <c r="W1909" s="131"/>
      <c r="X1909" s="131"/>
      <c r="Y1909" s="131"/>
      <c r="Z1909" s="131"/>
    </row>
    <row r="1910">
      <c r="A1910" s="262"/>
      <c r="B1910" s="262"/>
      <c r="C1910" s="262"/>
      <c r="D1910" s="262"/>
      <c r="E1910" s="260"/>
      <c r="F1910" s="132"/>
      <c r="G1910" s="140"/>
      <c r="H1910" s="131"/>
      <c r="I1910" s="131"/>
      <c r="J1910" s="131"/>
      <c r="K1910" s="131"/>
      <c r="L1910" s="131"/>
      <c r="M1910" s="131"/>
      <c r="N1910" s="131"/>
      <c r="O1910" s="131"/>
      <c r="P1910" s="131"/>
      <c r="Q1910" s="131"/>
      <c r="R1910" s="131"/>
      <c r="S1910" s="131"/>
      <c r="T1910" s="131"/>
      <c r="U1910" s="131"/>
      <c r="V1910" s="131"/>
      <c r="W1910" s="131"/>
      <c r="X1910" s="131"/>
      <c r="Y1910" s="131"/>
      <c r="Z1910" s="131"/>
    </row>
    <row r="1911">
      <c r="A1911" s="262"/>
      <c r="B1911" s="262"/>
      <c r="C1911" s="262"/>
      <c r="D1911" s="262"/>
      <c r="E1911" s="260"/>
      <c r="F1911" s="132"/>
      <c r="G1911" s="140"/>
      <c r="H1911" s="131"/>
      <c r="I1911" s="131"/>
      <c r="J1911" s="131"/>
      <c r="K1911" s="131"/>
      <c r="L1911" s="131"/>
      <c r="M1911" s="131"/>
      <c r="N1911" s="131"/>
      <c r="O1911" s="131"/>
      <c r="P1911" s="131"/>
      <c r="Q1911" s="131"/>
      <c r="R1911" s="131"/>
      <c r="S1911" s="131"/>
      <c r="T1911" s="131"/>
      <c r="U1911" s="131"/>
      <c r="V1911" s="131"/>
      <c r="W1911" s="131"/>
      <c r="X1911" s="131"/>
      <c r="Y1911" s="131"/>
      <c r="Z1911" s="131"/>
    </row>
    <row r="1912">
      <c r="A1912" s="262"/>
      <c r="B1912" s="262"/>
      <c r="C1912" s="262"/>
      <c r="D1912" s="262"/>
      <c r="E1912" s="260"/>
      <c r="F1912" s="132"/>
      <c r="G1912" s="140"/>
      <c r="H1912" s="131"/>
      <c r="I1912" s="131"/>
      <c r="J1912" s="131"/>
      <c r="K1912" s="131"/>
      <c r="L1912" s="131"/>
      <c r="M1912" s="131"/>
      <c r="N1912" s="131"/>
      <c r="O1912" s="131"/>
      <c r="P1912" s="131"/>
      <c r="Q1912" s="131"/>
      <c r="R1912" s="131"/>
      <c r="S1912" s="131"/>
      <c r="T1912" s="131"/>
      <c r="U1912" s="131"/>
      <c r="V1912" s="131"/>
      <c r="W1912" s="131"/>
      <c r="X1912" s="131"/>
      <c r="Y1912" s="131"/>
      <c r="Z1912" s="131"/>
    </row>
    <row r="1913">
      <c r="A1913" s="262"/>
      <c r="B1913" s="262"/>
      <c r="C1913" s="262"/>
      <c r="D1913" s="262"/>
      <c r="E1913" s="260"/>
      <c r="F1913" s="132"/>
      <c r="G1913" s="140"/>
      <c r="H1913" s="131"/>
      <c r="I1913" s="131"/>
      <c r="J1913" s="131"/>
      <c r="K1913" s="131"/>
      <c r="L1913" s="131"/>
      <c r="M1913" s="131"/>
      <c r="N1913" s="131"/>
      <c r="O1913" s="131"/>
      <c r="P1913" s="131"/>
      <c r="Q1913" s="131"/>
      <c r="R1913" s="131"/>
      <c r="S1913" s="131"/>
      <c r="T1913" s="131"/>
      <c r="U1913" s="131"/>
      <c r="V1913" s="131"/>
      <c r="W1913" s="131"/>
      <c r="X1913" s="131"/>
      <c r="Y1913" s="131"/>
      <c r="Z1913" s="131"/>
    </row>
    <row r="1914">
      <c r="A1914" s="262"/>
      <c r="B1914" s="262"/>
      <c r="C1914" s="262"/>
      <c r="D1914" s="262"/>
      <c r="E1914" s="260"/>
      <c r="F1914" s="132"/>
      <c r="G1914" s="140"/>
      <c r="H1914" s="131"/>
      <c r="I1914" s="131"/>
      <c r="J1914" s="131"/>
      <c r="K1914" s="131"/>
      <c r="L1914" s="131"/>
      <c r="M1914" s="131"/>
      <c r="N1914" s="131"/>
      <c r="O1914" s="131"/>
      <c r="P1914" s="131"/>
      <c r="Q1914" s="131"/>
      <c r="R1914" s="131"/>
      <c r="S1914" s="131"/>
      <c r="T1914" s="131"/>
      <c r="U1914" s="131"/>
      <c r="V1914" s="131"/>
      <c r="W1914" s="131"/>
      <c r="X1914" s="131"/>
      <c r="Y1914" s="131"/>
      <c r="Z1914" s="131"/>
    </row>
    <row r="1915">
      <c r="A1915" s="262"/>
      <c r="B1915" s="262"/>
      <c r="C1915" s="262"/>
      <c r="D1915" s="262"/>
      <c r="E1915" s="260"/>
      <c r="F1915" s="132"/>
      <c r="G1915" s="140"/>
      <c r="H1915" s="131"/>
      <c r="I1915" s="131"/>
      <c r="J1915" s="131"/>
      <c r="K1915" s="131"/>
      <c r="L1915" s="131"/>
      <c r="M1915" s="131"/>
      <c r="N1915" s="131"/>
      <c r="O1915" s="131"/>
      <c r="P1915" s="131"/>
      <c r="Q1915" s="131"/>
      <c r="R1915" s="131"/>
      <c r="S1915" s="131"/>
      <c r="T1915" s="131"/>
      <c r="U1915" s="131"/>
      <c r="V1915" s="131"/>
      <c r="W1915" s="131"/>
      <c r="X1915" s="131"/>
      <c r="Y1915" s="131"/>
      <c r="Z1915" s="131"/>
    </row>
    <row r="1916">
      <c r="A1916" s="262"/>
      <c r="B1916" s="262"/>
      <c r="C1916" s="262"/>
      <c r="D1916" s="262"/>
      <c r="E1916" s="260"/>
      <c r="F1916" s="132"/>
      <c r="G1916" s="140"/>
      <c r="H1916" s="131"/>
      <c r="I1916" s="131"/>
      <c r="J1916" s="131"/>
      <c r="K1916" s="131"/>
      <c r="L1916" s="131"/>
      <c r="M1916" s="131"/>
      <c r="N1916" s="131"/>
      <c r="O1916" s="131"/>
      <c r="P1916" s="131"/>
      <c r="Q1916" s="131"/>
      <c r="R1916" s="131"/>
      <c r="S1916" s="131"/>
      <c r="T1916" s="131"/>
      <c r="U1916" s="131"/>
      <c r="V1916" s="131"/>
      <c r="W1916" s="131"/>
      <c r="X1916" s="131"/>
      <c r="Y1916" s="131"/>
      <c r="Z1916" s="131"/>
    </row>
    <row r="1917">
      <c r="A1917" s="262"/>
      <c r="B1917" s="262"/>
      <c r="C1917" s="262"/>
      <c r="D1917" s="262"/>
      <c r="E1917" s="260"/>
      <c r="F1917" s="132"/>
      <c r="G1917" s="140"/>
      <c r="H1917" s="131"/>
      <c r="I1917" s="131"/>
      <c r="J1917" s="131"/>
      <c r="K1917" s="131"/>
      <c r="L1917" s="131"/>
      <c r="M1917" s="131"/>
      <c r="N1917" s="131"/>
      <c r="O1917" s="131"/>
      <c r="P1917" s="131"/>
      <c r="Q1917" s="131"/>
      <c r="R1917" s="131"/>
      <c r="S1917" s="131"/>
      <c r="T1917" s="131"/>
      <c r="U1917" s="131"/>
      <c r="V1917" s="131"/>
      <c r="W1917" s="131"/>
      <c r="X1917" s="131"/>
      <c r="Y1917" s="131"/>
      <c r="Z1917" s="131"/>
    </row>
    <row r="1918">
      <c r="A1918" s="262"/>
      <c r="B1918" s="262"/>
      <c r="C1918" s="262"/>
      <c r="D1918" s="262"/>
      <c r="E1918" s="260"/>
      <c r="F1918" s="132"/>
      <c r="G1918" s="140"/>
      <c r="H1918" s="131"/>
      <c r="I1918" s="131"/>
      <c r="J1918" s="131"/>
      <c r="K1918" s="131"/>
      <c r="L1918" s="131"/>
      <c r="M1918" s="131"/>
      <c r="N1918" s="131"/>
      <c r="O1918" s="131"/>
      <c r="P1918" s="131"/>
      <c r="Q1918" s="131"/>
      <c r="R1918" s="131"/>
      <c r="S1918" s="131"/>
      <c r="T1918" s="131"/>
      <c r="U1918" s="131"/>
      <c r="V1918" s="131"/>
      <c r="W1918" s="131"/>
      <c r="X1918" s="131"/>
      <c r="Y1918" s="131"/>
      <c r="Z1918" s="131"/>
    </row>
    <row r="1919">
      <c r="A1919" s="262"/>
      <c r="B1919" s="262"/>
      <c r="C1919" s="262"/>
      <c r="D1919" s="262"/>
      <c r="E1919" s="260"/>
      <c r="F1919" s="132"/>
      <c r="G1919" s="140"/>
      <c r="H1919" s="131"/>
      <c r="I1919" s="131"/>
      <c r="J1919" s="131"/>
      <c r="K1919" s="131"/>
      <c r="L1919" s="131"/>
      <c r="M1919" s="131"/>
      <c r="N1919" s="131"/>
      <c r="O1919" s="131"/>
      <c r="P1919" s="131"/>
      <c r="Q1919" s="131"/>
      <c r="R1919" s="131"/>
      <c r="S1919" s="131"/>
      <c r="T1919" s="131"/>
      <c r="U1919" s="131"/>
      <c r="V1919" s="131"/>
      <c r="W1919" s="131"/>
      <c r="X1919" s="131"/>
      <c r="Y1919" s="131"/>
      <c r="Z1919" s="131"/>
    </row>
    <row r="1920">
      <c r="A1920" s="262"/>
      <c r="B1920" s="262"/>
      <c r="C1920" s="262"/>
      <c r="D1920" s="262"/>
      <c r="E1920" s="260"/>
      <c r="F1920" s="132"/>
      <c r="G1920" s="140"/>
      <c r="H1920" s="131"/>
      <c r="I1920" s="131"/>
      <c r="J1920" s="131"/>
      <c r="K1920" s="131"/>
      <c r="L1920" s="131"/>
      <c r="M1920" s="131"/>
      <c r="N1920" s="131"/>
      <c r="O1920" s="131"/>
      <c r="P1920" s="131"/>
      <c r="Q1920" s="131"/>
      <c r="R1920" s="131"/>
      <c r="S1920" s="131"/>
      <c r="T1920" s="131"/>
      <c r="U1920" s="131"/>
      <c r="V1920" s="131"/>
      <c r="W1920" s="131"/>
      <c r="X1920" s="131"/>
      <c r="Y1920" s="131"/>
      <c r="Z1920" s="131"/>
    </row>
    <row r="1921">
      <c r="A1921" s="262"/>
      <c r="B1921" s="262"/>
      <c r="C1921" s="262"/>
      <c r="D1921" s="262"/>
      <c r="E1921" s="260"/>
      <c r="F1921" s="132"/>
      <c r="G1921" s="140"/>
      <c r="H1921" s="131"/>
      <c r="I1921" s="131"/>
      <c r="J1921" s="131"/>
      <c r="K1921" s="131"/>
      <c r="L1921" s="131"/>
      <c r="M1921" s="131"/>
      <c r="N1921" s="131"/>
      <c r="O1921" s="131"/>
      <c r="P1921" s="131"/>
      <c r="Q1921" s="131"/>
      <c r="R1921" s="131"/>
      <c r="S1921" s="131"/>
      <c r="T1921" s="131"/>
      <c r="U1921" s="131"/>
      <c r="V1921" s="131"/>
      <c r="W1921" s="131"/>
      <c r="X1921" s="131"/>
      <c r="Y1921" s="131"/>
      <c r="Z1921" s="131"/>
    </row>
    <row r="1922">
      <c r="A1922" s="262"/>
      <c r="B1922" s="262"/>
      <c r="C1922" s="262"/>
      <c r="D1922" s="262"/>
      <c r="E1922" s="260"/>
      <c r="F1922" s="132"/>
      <c r="G1922" s="140"/>
      <c r="H1922" s="131"/>
      <c r="I1922" s="131"/>
      <c r="J1922" s="131"/>
      <c r="K1922" s="131"/>
      <c r="L1922" s="131"/>
      <c r="M1922" s="131"/>
      <c r="N1922" s="131"/>
      <c r="O1922" s="131"/>
      <c r="P1922" s="131"/>
      <c r="Q1922" s="131"/>
      <c r="R1922" s="131"/>
      <c r="S1922" s="131"/>
      <c r="T1922" s="131"/>
      <c r="U1922" s="131"/>
      <c r="V1922" s="131"/>
      <c r="W1922" s="131"/>
      <c r="X1922" s="131"/>
      <c r="Y1922" s="131"/>
      <c r="Z1922" s="131"/>
    </row>
    <row r="1923">
      <c r="A1923" s="262"/>
      <c r="B1923" s="262"/>
      <c r="C1923" s="262"/>
      <c r="D1923" s="262"/>
      <c r="E1923" s="260"/>
      <c r="F1923" s="132"/>
      <c r="G1923" s="140"/>
      <c r="H1923" s="131"/>
      <c r="I1923" s="131"/>
      <c r="J1923" s="131"/>
      <c r="K1923" s="131"/>
      <c r="L1923" s="131"/>
      <c r="M1923" s="131"/>
      <c r="N1923" s="131"/>
      <c r="O1923" s="131"/>
      <c r="P1923" s="131"/>
      <c r="Q1923" s="131"/>
      <c r="R1923" s="131"/>
      <c r="S1923" s="131"/>
      <c r="T1923" s="131"/>
      <c r="U1923" s="131"/>
      <c r="V1923" s="131"/>
      <c r="W1923" s="131"/>
      <c r="X1923" s="131"/>
      <c r="Y1923" s="131"/>
      <c r="Z1923" s="131"/>
    </row>
    <row r="1924">
      <c r="A1924" s="262"/>
      <c r="B1924" s="262"/>
      <c r="C1924" s="262"/>
      <c r="D1924" s="262"/>
      <c r="E1924" s="260"/>
      <c r="F1924" s="132"/>
      <c r="G1924" s="140"/>
      <c r="H1924" s="131"/>
      <c r="I1924" s="131"/>
      <c r="J1924" s="131"/>
      <c r="K1924" s="131"/>
      <c r="L1924" s="131"/>
      <c r="M1924" s="131"/>
      <c r="N1924" s="131"/>
      <c r="O1924" s="131"/>
      <c r="P1924" s="131"/>
      <c r="Q1924" s="131"/>
      <c r="R1924" s="131"/>
      <c r="S1924" s="131"/>
      <c r="T1924" s="131"/>
      <c r="U1924" s="131"/>
      <c r="V1924" s="131"/>
      <c r="W1924" s="131"/>
      <c r="X1924" s="131"/>
      <c r="Y1924" s="131"/>
      <c r="Z1924" s="131"/>
    </row>
    <row r="1925">
      <c r="A1925" s="262"/>
      <c r="B1925" s="262"/>
      <c r="C1925" s="262"/>
      <c r="D1925" s="262"/>
      <c r="E1925" s="260"/>
      <c r="F1925" s="132"/>
      <c r="G1925" s="140"/>
      <c r="H1925" s="131"/>
      <c r="I1925" s="131"/>
      <c r="J1925" s="131"/>
      <c r="K1925" s="131"/>
      <c r="L1925" s="131"/>
      <c r="M1925" s="131"/>
      <c r="N1925" s="131"/>
      <c r="O1925" s="131"/>
      <c r="P1925" s="131"/>
      <c r="Q1925" s="131"/>
      <c r="R1925" s="131"/>
      <c r="S1925" s="131"/>
      <c r="T1925" s="131"/>
      <c r="U1925" s="131"/>
      <c r="V1925" s="131"/>
      <c r="W1925" s="131"/>
      <c r="X1925" s="131"/>
      <c r="Y1925" s="131"/>
      <c r="Z1925" s="131"/>
    </row>
    <row r="1926">
      <c r="A1926" s="262"/>
      <c r="B1926" s="262"/>
      <c r="C1926" s="262"/>
      <c r="D1926" s="262"/>
      <c r="E1926" s="260"/>
      <c r="F1926" s="132"/>
      <c r="G1926" s="140"/>
      <c r="H1926" s="131"/>
      <c r="I1926" s="131"/>
      <c r="J1926" s="131"/>
      <c r="K1926" s="131"/>
      <c r="L1926" s="131"/>
      <c r="M1926" s="131"/>
      <c r="N1926" s="131"/>
      <c r="O1926" s="131"/>
      <c r="P1926" s="131"/>
      <c r="Q1926" s="131"/>
      <c r="R1926" s="131"/>
      <c r="S1926" s="131"/>
      <c r="T1926" s="131"/>
      <c r="U1926" s="131"/>
      <c r="V1926" s="131"/>
      <c r="W1926" s="131"/>
      <c r="X1926" s="131"/>
      <c r="Y1926" s="131"/>
      <c r="Z1926" s="131"/>
    </row>
    <row r="1927">
      <c r="A1927" s="262"/>
      <c r="B1927" s="262"/>
      <c r="C1927" s="262"/>
      <c r="D1927" s="262"/>
      <c r="E1927" s="260"/>
      <c r="F1927" s="132"/>
      <c r="G1927" s="140"/>
      <c r="H1927" s="131"/>
      <c r="I1927" s="131"/>
      <c r="J1927" s="131"/>
      <c r="K1927" s="131"/>
      <c r="L1927" s="131"/>
      <c r="M1927" s="131"/>
      <c r="N1927" s="131"/>
      <c r="O1927" s="131"/>
      <c r="P1927" s="131"/>
      <c r="Q1927" s="131"/>
      <c r="R1927" s="131"/>
      <c r="S1927" s="131"/>
      <c r="T1927" s="131"/>
      <c r="U1927" s="131"/>
      <c r="V1927" s="131"/>
      <c r="W1927" s="131"/>
      <c r="X1927" s="131"/>
      <c r="Y1927" s="131"/>
      <c r="Z1927" s="131"/>
    </row>
    <row r="1928">
      <c r="A1928" s="262"/>
      <c r="B1928" s="262"/>
      <c r="C1928" s="262"/>
      <c r="D1928" s="262"/>
      <c r="E1928" s="260"/>
      <c r="F1928" s="132"/>
      <c r="G1928" s="140"/>
      <c r="H1928" s="131"/>
      <c r="I1928" s="131"/>
      <c r="J1928" s="131"/>
      <c r="K1928" s="131"/>
      <c r="L1928" s="131"/>
      <c r="M1928" s="131"/>
      <c r="N1928" s="131"/>
      <c r="O1928" s="131"/>
      <c r="P1928" s="131"/>
      <c r="Q1928" s="131"/>
      <c r="R1928" s="131"/>
      <c r="S1928" s="131"/>
      <c r="T1928" s="131"/>
      <c r="U1928" s="131"/>
      <c r="V1928" s="131"/>
      <c r="W1928" s="131"/>
      <c r="X1928" s="131"/>
      <c r="Y1928" s="131"/>
      <c r="Z1928" s="131"/>
    </row>
    <row r="1929">
      <c r="A1929" s="262"/>
      <c r="B1929" s="262"/>
      <c r="C1929" s="262"/>
      <c r="D1929" s="262"/>
      <c r="E1929" s="260"/>
      <c r="F1929" s="132"/>
      <c r="G1929" s="140"/>
      <c r="H1929" s="131"/>
      <c r="I1929" s="131"/>
      <c r="J1929" s="131"/>
      <c r="K1929" s="131"/>
      <c r="L1929" s="131"/>
      <c r="M1929" s="131"/>
      <c r="N1929" s="131"/>
      <c r="O1929" s="131"/>
      <c r="P1929" s="131"/>
      <c r="Q1929" s="131"/>
      <c r="R1929" s="131"/>
      <c r="S1929" s="131"/>
      <c r="T1929" s="131"/>
      <c r="U1929" s="131"/>
      <c r="V1929" s="131"/>
      <c r="W1929" s="131"/>
      <c r="X1929" s="131"/>
      <c r="Y1929" s="131"/>
      <c r="Z1929" s="131"/>
    </row>
    <row r="1930">
      <c r="A1930" s="262"/>
      <c r="B1930" s="262"/>
      <c r="C1930" s="262"/>
      <c r="D1930" s="262"/>
      <c r="E1930" s="260"/>
      <c r="F1930" s="132"/>
      <c r="G1930" s="140"/>
      <c r="H1930" s="131"/>
      <c r="I1930" s="131"/>
      <c r="J1930" s="131"/>
      <c r="K1930" s="131"/>
      <c r="L1930" s="131"/>
      <c r="M1930" s="131"/>
      <c r="N1930" s="131"/>
      <c r="O1930" s="131"/>
      <c r="P1930" s="131"/>
      <c r="Q1930" s="131"/>
      <c r="R1930" s="131"/>
      <c r="S1930" s="131"/>
      <c r="T1930" s="131"/>
      <c r="U1930" s="131"/>
      <c r="V1930" s="131"/>
      <c r="W1930" s="131"/>
      <c r="X1930" s="131"/>
      <c r="Y1930" s="131"/>
      <c r="Z1930" s="131"/>
    </row>
    <row r="1931">
      <c r="A1931" s="262"/>
      <c r="B1931" s="262"/>
      <c r="C1931" s="262"/>
      <c r="D1931" s="262"/>
      <c r="E1931" s="260"/>
      <c r="F1931" s="132"/>
      <c r="G1931" s="140"/>
      <c r="H1931" s="131"/>
      <c r="I1931" s="131"/>
      <c r="J1931" s="131"/>
      <c r="K1931" s="131"/>
      <c r="L1931" s="131"/>
      <c r="M1931" s="131"/>
      <c r="N1931" s="131"/>
      <c r="O1931" s="131"/>
      <c r="P1931" s="131"/>
      <c r="Q1931" s="131"/>
      <c r="R1931" s="131"/>
      <c r="S1931" s="131"/>
      <c r="T1931" s="131"/>
      <c r="U1931" s="131"/>
      <c r="V1931" s="131"/>
      <c r="W1931" s="131"/>
      <c r="X1931" s="131"/>
      <c r="Y1931" s="131"/>
      <c r="Z1931" s="131"/>
    </row>
    <row r="1932">
      <c r="A1932" s="262"/>
      <c r="B1932" s="262"/>
      <c r="C1932" s="262"/>
      <c r="D1932" s="262"/>
      <c r="E1932" s="260"/>
      <c r="F1932" s="132"/>
      <c r="G1932" s="140"/>
      <c r="H1932" s="131"/>
      <c r="I1932" s="131"/>
      <c r="J1932" s="131"/>
      <c r="K1932" s="131"/>
      <c r="L1932" s="131"/>
      <c r="M1932" s="131"/>
      <c r="N1932" s="131"/>
      <c r="O1932" s="131"/>
      <c r="P1932" s="131"/>
      <c r="Q1932" s="131"/>
      <c r="R1932" s="131"/>
      <c r="S1932" s="131"/>
      <c r="T1932" s="131"/>
      <c r="U1932" s="131"/>
      <c r="V1932" s="131"/>
      <c r="W1932" s="131"/>
      <c r="X1932" s="131"/>
      <c r="Y1932" s="131"/>
      <c r="Z1932" s="131"/>
    </row>
    <row r="1933">
      <c r="A1933" s="262"/>
      <c r="B1933" s="262"/>
      <c r="C1933" s="262"/>
      <c r="D1933" s="262"/>
      <c r="E1933" s="260"/>
      <c r="F1933" s="132"/>
      <c r="G1933" s="140"/>
      <c r="H1933" s="131"/>
      <c r="I1933" s="131"/>
      <c r="J1933" s="131"/>
      <c r="K1933" s="131"/>
      <c r="L1933" s="131"/>
      <c r="M1933" s="131"/>
      <c r="N1933" s="131"/>
      <c r="O1933" s="131"/>
      <c r="P1933" s="131"/>
      <c r="Q1933" s="131"/>
      <c r="R1933" s="131"/>
      <c r="S1933" s="131"/>
      <c r="T1933" s="131"/>
      <c r="U1933" s="131"/>
      <c r="V1933" s="131"/>
      <c r="W1933" s="131"/>
      <c r="X1933" s="131"/>
      <c r="Y1933" s="131"/>
      <c r="Z1933" s="131"/>
    </row>
    <row r="1934">
      <c r="A1934" s="262"/>
      <c r="B1934" s="262"/>
      <c r="C1934" s="262"/>
      <c r="D1934" s="262"/>
      <c r="E1934" s="260"/>
      <c r="F1934" s="132"/>
      <c r="G1934" s="140"/>
      <c r="H1934" s="131"/>
      <c r="I1934" s="131"/>
      <c r="J1934" s="131"/>
      <c r="K1934" s="131"/>
      <c r="L1934" s="131"/>
      <c r="M1934" s="131"/>
      <c r="N1934" s="131"/>
      <c r="O1934" s="131"/>
      <c r="P1934" s="131"/>
      <c r="Q1934" s="131"/>
      <c r="R1934" s="131"/>
      <c r="S1934" s="131"/>
      <c r="T1934" s="131"/>
      <c r="U1934" s="131"/>
      <c r="V1934" s="131"/>
      <c r="W1934" s="131"/>
      <c r="X1934" s="131"/>
      <c r="Y1934" s="131"/>
      <c r="Z1934" s="131"/>
    </row>
    <row r="1935">
      <c r="A1935" s="262"/>
      <c r="B1935" s="262"/>
      <c r="C1935" s="262"/>
      <c r="D1935" s="262"/>
      <c r="E1935" s="260"/>
      <c r="F1935" s="132"/>
      <c r="G1935" s="140"/>
      <c r="H1935" s="131"/>
      <c r="I1935" s="131"/>
      <c r="J1935" s="131"/>
      <c r="K1935" s="131"/>
      <c r="L1935" s="131"/>
      <c r="M1935" s="131"/>
      <c r="N1935" s="131"/>
      <c r="O1935" s="131"/>
      <c r="P1935" s="131"/>
      <c r="Q1935" s="131"/>
      <c r="R1935" s="131"/>
      <c r="S1935" s="131"/>
      <c r="T1935" s="131"/>
      <c r="U1935" s="131"/>
      <c r="V1935" s="131"/>
      <c r="W1935" s="131"/>
      <c r="X1935" s="131"/>
      <c r="Y1935" s="131"/>
      <c r="Z1935" s="131"/>
    </row>
    <row r="1936">
      <c r="A1936" s="262"/>
      <c r="B1936" s="262"/>
      <c r="C1936" s="262"/>
      <c r="D1936" s="262"/>
      <c r="E1936" s="260"/>
      <c r="F1936" s="132"/>
      <c r="G1936" s="140"/>
      <c r="H1936" s="131"/>
      <c r="I1936" s="131"/>
      <c r="J1936" s="131"/>
      <c r="K1936" s="131"/>
      <c r="L1936" s="131"/>
      <c r="M1936" s="131"/>
      <c r="N1936" s="131"/>
      <c r="O1936" s="131"/>
      <c r="P1936" s="131"/>
      <c r="Q1936" s="131"/>
      <c r="R1936" s="131"/>
      <c r="S1936" s="131"/>
      <c r="T1936" s="131"/>
      <c r="U1936" s="131"/>
      <c r="V1936" s="131"/>
      <c r="W1936" s="131"/>
      <c r="X1936" s="131"/>
      <c r="Y1936" s="131"/>
      <c r="Z1936" s="131"/>
    </row>
    <row r="1937">
      <c r="A1937" s="262"/>
      <c r="B1937" s="262"/>
      <c r="C1937" s="262"/>
      <c r="D1937" s="262"/>
      <c r="E1937" s="260"/>
      <c r="F1937" s="132"/>
      <c r="G1937" s="140"/>
      <c r="H1937" s="131"/>
      <c r="I1937" s="131"/>
      <c r="J1937" s="131"/>
      <c r="K1937" s="131"/>
      <c r="L1937" s="131"/>
      <c r="M1937" s="131"/>
      <c r="N1937" s="131"/>
      <c r="O1937" s="131"/>
      <c r="P1937" s="131"/>
      <c r="Q1937" s="131"/>
      <c r="R1937" s="131"/>
      <c r="S1937" s="131"/>
      <c r="T1937" s="131"/>
      <c r="U1937" s="131"/>
      <c r="V1937" s="131"/>
      <c r="W1937" s="131"/>
      <c r="X1937" s="131"/>
      <c r="Y1937" s="131"/>
      <c r="Z1937" s="131"/>
    </row>
    <row r="1938">
      <c r="A1938" s="262"/>
      <c r="B1938" s="262"/>
      <c r="C1938" s="262"/>
      <c r="D1938" s="262"/>
      <c r="E1938" s="260"/>
      <c r="F1938" s="132"/>
      <c r="G1938" s="140"/>
      <c r="H1938" s="131"/>
      <c r="I1938" s="131"/>
      <c r="J1938" s="131"/>
      <c r="K1938" s="131"/>
      <c r="L1938" s="131"/>
      <c r="M1938" s="131"/>
      <c r="N1938" s="131"/>
      <c r="O1938" s="131"/>
      <c r="P1938" s="131"/>
      <c r="Q1938" s="131"/>
      <c r="R1938" s="131"/>
      <c r="S1938" s="131"/>
      <c r="T1938" s="131"/>
      <c r="U1938" s="131"/>
      <c r="V1938" s="131"/>
      <c r="W1938" s="131"/>
      <c r="X1938" s="131"/>
      <c r="Y1938" s="131"/>
      <c r="Z1938" s="131"/>
    </row>
    <row r="1939">
      <c r="A1939" s="262"/>
      <c r="B1939" s="262"/>
      <c r="C1939" s="262"/>
      <c r="D1939" s="262"/>
      <c r="E1939" s="260"/>
      <c r="F1939" s="132"/>
      <c r="G1939" s="140"/>
      <c r="H1939" s="131"/>
      <c r="I1939" s="131"/>
      <c r="J1939" s="131"/>
      <c r="K1939" s="131"/>
      <c r="L1939" s="131"/>
      <c r="M1939" s="131"/>
      <c r="N1939" s="131"/>
      <c r="O1939" s="131"/>
      <c r="P1939" s="131"/>
      <c r="Q1939" s="131"/>
      <c r="R1939" s="131"/>
      <c r="S1939" s="131"/>
      <c r="T1939" s="131"/>
      <c r="U1939" s="131"/>
      <c r="V1939" s="131"/>
      <c r="W1939" s="131"/>
      <c r="X1939" s="131"/>
      <c r="Y1939" s="131"/>
      <c r="Z1939" s="131"/>
    </row>
    <row r="1940">
      <c r="A1940" s="262"/>
      <c r="B1940" s="262"/>
      <c r="C1940" s="262"/>
      <c r="D1940" s="262"/>
      <c r="E1940" s="260"/>
      <c r="F1940" s="132"/>
      <c r="G1940" s="140"/>
      <c r="H1940" s="131"/>
      <c r="I1940" s="131"/>
      <c r="J1940" s="131"/>
      <c r="K1940" s="131"/>
      <c r="L1940" s="131"/>
      <c r="M1940" s="131"/>
      <c r="N1940" s="131"/>
      <c r="O1940" s="131"/>
      <c r="P1940" s="131"/>
      <c r="Q1940" s="131"/>
      <c r="R1940" s="131"/>
      <c r="S1940" s="131"/>
      <c r="T1940" s="131"/>
      <c r="U1940" s="131"/>
      <c r="V1940" s="131"/>
      <c r="W1940" s="131"/>
      <c r="X1940" s="131"/>
      <c r="Y1940" s="131"/>
      <c r="Z1940" s="131"/>
    </row>
    <row r="1941">
      <c r="A1941" s="262"/>
      <c r="B1941" s="262"/>
      <c r="C1941" s="262"/>
      <c r="D1941" s="262"/>
      <c r="E1941" s="260"/>
      <c r="F1941" s="132"/>
      <c r="G1941" s="140"/>
      <c r="H1941" s="131"/>
      <c r="I1941" s="131"/>
      <c r="J1941" s="131"/>
      <c r="K1941" s="131"/>
      <c r="L1941" s="131"/>
      <c r="M1941" s="131"/>
      <c r="N1941" s="131"/>
      <c r="O1941" s="131"/>
      <c r="P1941" s="131"/>
      <c r="Q1941" s="131"/>
      <c r="R1941" s="131"/>
      <c r="S1941" s="131"/>
      <c r="T1941" s="131"/>
      <c r="U1941" s="131"/>
      <c r="V1941" s="131"/>
      <c r="W1941" s="131"/>
      <c r="X1941" s="131"/>
      <c r="Y1941" s="131"/>
      <c r="Z1941" s="131"/>
    </row>
    <row r="1942">
      <c r="A1942" s="262"/>
      <c r="B1942" s="262"/>
      <c r="C1942" s="262"/>
      <c r="D1942" s="262"/>
      <c r="E1942" s="260"/>
      <c r="F1942" s="132"/>
      <c r="G1942" s="140"/>
      <c r="H1942" s="131"/>
      <c r="I1942" s="131"/>
      <c r="J1942" s="131"/>
      <c r="K1942" s="131"/>
      <c r="L1942" s="131"/>
      <c r="M1942" s="131"/>
      <c r="N1942" s="131"/>
      <c r="O1942" s="131"/>
      <c r="P1942" s="131"/>
      <c r="Q1942" s="131"/>
      <c r="R1942" s="131"/>
      <c r="S1942" s="131"/>
      <c r="T1942" s="131"/>
      <c r="U1942" s="131"/>
      <c r="V1942" s="131"/>
      <c r="W1942" s="131"/>
      <c r="X1942" s="131"/>
      <c r="Y1942" s="131"/>
      <c r="Z1942" s="131"/>
    </row>
    <row r="1943">
      <c r="A1943" s="262"/>
      <c r="B1943" s="262"/>
      <c r="C1943" s="262"/>
      <c r="D1943" s="262"/>
      <c r="E1943" s="260"/>
      <c r="F1943" s="132"/>
      <c r="G1943" s="140"/>
      <c r="H1943" s="131"/>
      <c r="I1943" s="131"/>
      <c r="J1943" s="131"/>
      <c r="K1943" s="131"/>
      <c r="L1943" s="131"/>
      <c r="M1943" s="131"/>
      <c r="N1943" s="131"/>
      <c r="O1943" s="131"/>
      <c r="P1943" s="131"/>
      <c r="Q1943" s="131"/>
      <c r="R1943" s="131"/>
      <c r="S1943" s="131"/>
      <c r="T1943" s="131"/>
      <c r="U1943" s="131"/>
      <c r="V1943" s="131"/>
      <c r="W1943" s="131"/>
      <c r="X1943" s="131"/>
      <c r="Y1943" s="131"/>
      <c r="Z1943" s="131"/>
    </row>
    <row r="1944">
      <c r="A1944" s="262"/>
      <c r="B1944" s="262"/>
      <c r="C1944" s="262"/>
      <c r="D1944" s="262"/>
      <c r="E1944" s="260"/>
      <c r="F1944" s="132"/>
      <c r="G1944" s="140"/>
      <c r="H1944" s="131"/>
      <c r="I1944" s="131"/>
      <c r="J1944" s="131"/>
      <c r="K1944" s="131"/>
      <c r="L1944" s="131"/>
      <c r="M1944" s="131"/>
      <c r="N1944" s="131"/>
      <c r="O1944" s="131"/>
      <c r="P1944" s="131"/>
      <c r="Q1944" s="131"/>
      <c r="R1944" s="131"/>
      <c r="S1944" s="131"/>
      <c r="T1944" s="131"/>
      <c r="U1944" s="131"/>
      <c r="V1944" s="131"/>
      <c r="W1944" s="131"/>
      <c r="X1944" s="131"/>
      <c r="Y1944" s="131"/>
      <c r="Z1944" s="131"/>
    </row>
    <row r="1945">
      <c r="A1945" s="262"/>
      <c r="B1945" s="262"/>
      <c r="C1945" s="262"/>
      <c r="D1945" s="262"/>
      <c r="E1945" s="260"/>
      <c r="F1945" s="132"/>
      <c r="G1945" s="140"/>
      <c r="H1945" s="131"/>
      <c r="I1945" s="131"/>
      <c r="J1945" s="131"/>
      <c r="K1945" s="131"/>
      <c r="L1945" s="131"/>
      <c r="M1945" s="131"/>
      <c r="N1945" s="131"/>
      <c r="O1945" s="131"/>
      <c r="P1945" s="131"/>
      <c r="Q1945" s="131"/>
      <c r="R1945" s="131"/>
      <c r="S1945" s="131"/>
      <c r="T1945" s="131"/>
      <c r="U1945" s="131"/>
      <c r="V1945" s="131"/>
      <c r="W1945" s="131"/>
      <c r="X1945" s="131"/>
      <c r="Y1945" s="131"/>
      <c r="Z1945" s="131"/>
    </row>
    <row r="1946">
      <c r="A1946" s="262"/>
      <c r="B1946" s="262"/>
      <c r="C1946" s="262"/>
      <c r="D1946" s="262"/>
      <c r="E1946" s="260"/>
      <c r="F1946" s="132"/>
      <c r="G1946" s="140"/>
      <c r="H1946" s="131"/>
      <c r="I1946" s="131"/>
      <c r="J1946" s="131"/>
      <c r="K1946" s="131"/>
      <c r="L1946" s="131"/>
      <c r="M1946" s="131"/>
      <c r="N1946" s="131"/>
      <c r="O1946" s="131"/>
      <c r="P1946" s="131"/>
      <c r="Q1946" s="131"/>
      <c r="R1946" s="131"/>
      <c r="S1946" s="131"/>
      <c r="T1946" s="131"/>
      <c r="U1946" s="131"/>
      <c r="V1946" s="131"/>
      <c r="W1946" s="131"/>
      <c r="X1946" s="131"/>
      <c r="Y1946" s="131"/>
      <c r="Z1946" s="131"/>
    </row>
    <row r="1947">
      <c r="A1947" s="262"/>
      <c r="B1947" s="262"/>
      <c r="C1947" s="262"/>
      <c r="D1947" s="262"/>
      <c r="E1947" s="260"/>
      <c r="F1947" s="132"/>
      <c r="G1947" s="140"/>
      <c r="H1947" s="131"/>
      <c r="I1947" s="131"/>
      <c r="J1947" s="131"/>
      <c r="K1947" s="131"/>
      <c r="L1947" s="131"/>
      <c r="M1947" s="131"/>
      <c r="N1947" s="131"/>
      <c r="O1947" s="131"/>
      <c r="P1947" s="131"/>
      <c r="Q1947" s="131"/>
      <c r="R1947" s="131"/>
      <c r="S1947" s="131"/>
      <c r="T1947" s="131"/>
      <c r="U1947" s="131"/>
      <c r="V1947" s="131"/>
      <c r="W1947" s="131"/>
      <c r="X1947" s="131"/>
      <c r="Y1947" s="131"/>
      <c r="Z1947" s="131"/>
    </row>
    <row r="1948">
      <c r="A1948" s="262"/>
      <c r="B1948" s="262"/>
      <c r="C1948" s="262"/>
      <c r="D1948" s="262"/>
      <c r="E1948" s="260"/>
      <c r="F1948" s="132"/>
      <c r="G1948" s="140"/>
      <c r="H1948" s="131"/>
      <c r="I1948" s="131"/>
      <c r="J1948" s="131"/>
      <c r="K1948" s="131"/>
      <c r="L1948" s="131"/>
      <c r="M1948" s="131"/>
      <c r="N1948" s="131"/>
      <c r="O1948" s="131"/>
      <c r="P1948" s="131"/>
      <c r="Q1948" s="131"/>
      <c r="R1948" s="131"/>
      <c r="S1948" s="131"/>
      <c r="T1948" s="131"/>
      <c r="U1948" s="131"/>
      <c r="V1948" s="131"/>
      <c r="W1948" s="131"/>
      <c r="X1948" s="131"/>
      <c r="Y1948" s="131"/>
      <c r="Z1948" s="131"/>
    </row>
    <row r="1949">
      <c r="A1949" s="262"/>
      <c r="B1949" s="262"/>
      <c r="C1949" s="262"/>
      <c r="D1949" s="262"/>
      <c r="E1949" s="260"/>
      <c r="F1949" s="132"/>
      <c r="G1949" s="140"/>
      <c r="H1949" s="131"/>
      <c r="I1949" s="131"/>
      <c r="J1949" s="131"/>
      <c r="K1949" s="131"/>
      <c r="L1949" s="131"/>
      <c r="M1949" s="131"/>
      <c r="N1949" s="131"/>
      <c r="O1949" s="131"/>
      <c r="P1949" s="131"/>
      <c r="Q1949" s="131"/>
      <c r="R1949" s="131"/>
      <c r="S1949" s="131"/>
      <c r="T1949" s="131"/>
      <c r="U1949" s="131"/>
      <c r="V1949" s="131"/>
      <c r="W1949" s="131"/>
      <c r="X1949" s="131"/>
      <c r="Y1949" s="131"/>
      <c r="Z1949" s="131"/>
    </row>
    <row r="1950">
      <c r="A1950" s="262"/>
      <c r="B1950" s="262"/>
      <c r="C1950" s="262"/>
      <c r="D1950" s="262"/>
      <c r="E1950" s="260"/>
      <c r="F1950" s="132"/>
      <c r="G1950" s="140"/>
      <c r="H1950" s="131"/>
      <c r="I1950" s="131"/>
      <c r="J1950" s="131"/>
      <c r="K1950" s="131"/>
      <c r="L1950" s="131"/>
      <c r="M1950" s="131"/>
      <c r="N1950" s="131"/>
      <c r="O1950" s="131"/>
      <c r="P1950" s="131"/>
      <c r="Q1950" s="131"/>
      <c r="R1950" s="131"/>
      <c r="S1950" s="131"/>
      <c r="T1950" s="131"/>
      <c r="U1950" s="131"/>
      <c r="V1950" s="131"/>
      <c r="W1950" s="131"/>
      <c r="X1950" s="131"/>
      <c r="Y1950" s="131"/>
      <c r="Z1950" s="131"/>
    </row>
    <row r="1951">
      <c r="A1951" s="262"/>
      <c r="B1951" s="262"/>
      <c r="C1951" s="262"/>
      <c r="D1951" s="262"/>
      <c r="E1951" s="260"/>
      <c r="F1951" s="132"/>
      <c r="G1951" s="140"/>
      <c r="H1951" s="131"/>
      <c r="I1951" s="131"/>
      <c r="J1951" s="131"/>
      <c r="K1951" s="131"/>
      <c r="L1951" s="131"/>
      <c r="M1951" s="131"/>
      <c r="N1951" s="131"/>
      <c r="O1951" s="131"/>
      <c r="P1951" s="131"/>
      <c r="Q1951" s="131"/>
      <c r="R1951" s="131"/>
      <c r="S1951" s="131"/>
      <c r="T1951" s="131"/>
      <c r="U1951" s="131"/>
      <c r="V1951" s="131"/>
      <c r="W1951" s="131"/>
      <c r="X1951" s="131"/>
      <c r="Y1951" s="131"/>
      <c r="Z1951" s="131"/>
    </row>
    <row r="1952">
      <c r="A1952" s="262"/>
      <c r="B1952" s="262"/>
      <c r="C1952" s="262"/>
      <c r="D1952" s="262"/>
      <c r="E1952" s="260"/>
      <c r="F1952" s="132"/>
      <c r="G1952" s="140"/>
      <c r="H1952" s="131"/>
      <c r="I1952" s="131"/>
      <c r="J1952" s="131"/>
      <c r="K1952" s="131"/>
      <c r="L1952" s="131"/>
      <c r="M1952" s="131"/>
      <c r="N1952" s="131"/>
      <c r="O1952" s="131"/>
      <c r="P1952" s="131"/>
      <c r="Q1952" s="131"/>
      <c r="R1952" s="131"/>
      <c r="S1952" s="131"/>
      <c r="T1952" s="131"/>
      <c r="U1952" s="131"/>
      <c r="V1952" s="131"/>
      <c r="W1952" s="131"/>
      <c r="X1952" s="131"/>
      <c r="Y1952" s="131"/>
      <c r="Z1952" s="131"/>
    </row>
    <row r="1953">
      <c r="A1953" s="262"/>
      <c r="B1953" s="262"/>
      <c r="C1953" s="262"/>
      <c r="D1953" s="262"/>
      <c r="E1953" s="260"/>
      <c r="F1953" s="132"/>
      <c r="G1953" s="140"/>
      <c r="H1953" s="131"/>
      <c r="I1953" s="131"/>
      <c r="J1953" s="131"/>
      <c r="K1953" s="131"/>
      <c r="L1953" s="131"/>
      <c r="M1953" s="131"/>
      <c r="N1953" s="131"/>
      <c r="O1953" s="131"/>
      <c r="P1953" s="131"/>
      <c r="Q1953" s="131"/>
      <c r="R1953" s="131"/>
      <c r="S1953" s="131"/>
      <c r="T1953" s="131"/>
      <c r="U1953" s="131"/>
      <c r="V1953" s="131"/>
      <c r="W1953" s="131"/>
      <c r="X1953" s="131"/>
      <c r="Y1953" s="131"/>
      <c r="Z1953" s="131"/>
    </row>
    <row r="1954">
      <c r="A1954" s="262"/>
      <c r="B1954" s="262"/>
      <c r="C1954" s="262"/>
      <c r="D1954" s="262"/>
      <c r="E1954" s="260"/>
      <c r="F1954" s="132"/>
      <c r="G1954" s="140"/>
      <c r="H1954" s="131"/>
      <c r="I1954" s="131"/>
      <c r="J1954" s="131"/>
      <c r="K1954" s="131"/>
      <c r="L1954" s="131"/>
      <c r="M1954" s="131"/>
      <c r="N1954" s="131"/>
      <c r="O1954" s="131"/>
      <c r="P1954" s="131"/>
      <c r="Q1954" s="131"/>
      <c r="R1954" s="131"/>
      <c r="S1954" s="131"/>
      <c r="T1954" s="131"/>
      <c r="U1954" s="131"/>
      <c r="V1954" s="131"/>
      <c r="W1954" s="131"/>
      <c r="X1954" s="131"/>
      <c r="Y1954" s="131"/>
      <c r="Z1954" s="131"/>
    </row>
    <row r="1955">
      <c r="A1955" s="262"/>
      <c r="B1955" s="262"/>
      <c r="C1955" s="262"/>
      <c r="D1955" s="262"/>
      <c r="E1955" s="260"/>
      <c r="F1955" s="132"/>
      <c r="G1955" s="140"/>
      <c r="H1955" s="131"/>
      <c r="I1955" s="131"/>
      <c r="J1955" s="131"/>
      <c r="K1955" s="131"/>
      <c r="L1955" s="131"/>
      <c r="M1955" s="131"/>
      <c r="N1955" s="131"/>
      <c r="O1955" s="131"/>
      <c r="P1955" s="131"/>
      <c r="Q1955" s="131"/>
      <c r="R1955" s="131"/>
      <c r="S1955" s="131"/>
      <c r="T1955" s="131"/>
      <c r="U1955" s="131"/>
      <c r="V1955" s="131"/>
      <c r="W1955" s="131"/>
      <c r="X1955" s="131"/>
      <c r="Y1955" s="131"/>
      <c r="Z1955" s="131"/>
    </row>
    <row r="1956">
      <c r="A1956" s="262"/>
      <c r="B1956" s="262"/>
      <c r="C1956" s="262"/>
      <c r="D1956" s="262"/>
      <c r="E1956" s="260"/>
      <c r="F1956" s="132"/>
      <c r="G1956" s="140"/>
      <c r="H1956" s="131"/>
      <c r="I1956" s="131"/>
      <c r="J1956" s="131"/>
      <c r="K1956" s="131"/>
      <c r="L1956" s="131"/>
      <c r="M1956" s="131"/>
      <c r="N1956" s="131"/>
      <c r="O1956" s="131"/>
      <c r="P1956" s="131"/>
      <c r="Q1956" s="131"/>
      <c r="R1956" s="131"/>
      <c r="S1956" s="131"/>
      <c r="T1956" s="131"/>
      <c r="U1956" s="131"/>
      <c r="V1956" s="131"/>
      <c r="W1956" s="131"/>
      <c r="X1956" s="131"/>
      <c r="Y1956" s="131"/>
      <c r="Z1956" s="131"/>
    </row>
    <row r="1957">
      <c r="A1957" s="262"/>
      <c r="B1957" s="262"/>
      <c r="C1957" s="262"/>
      <c r="D1957" s="262"/>
      <c r="E1957" s="260"/>
      <c r="F1957" s="132"/>
      <c r="G1957" s="140"/>
      <c r="H1957" s="131"/>
      <c r="I1957" s="131"/>
      <c r="J1957" s="131"/>
      <c r="K1957" s="131"/>
      <c r="L1957" s="131"/>
      <c r="M1957" s="131"/>
      <c r="N1957" s="131"/>
      <c r="O1957" s="131"/>
      <c r="P1957" s="131"/>
      <c r="Q1957" s="131"/>
      <c r="R1957" s="131"/>
      <c r="S1957" s="131"/>
      <c r="T1957" s="131"/>
      <c r="U1957" s="131"/>
      <c r="V1957" s="131"/>
      <c r="W1957" s="131"/>
      <c r="X1957" s="131"/>
      <c r="Y1957" s="131"/>
      <c r="Z1957" s="131"/>
    </row>
    <row r="1958">
      <c r="A1958" s="262"/>
      <c r="B1958" s="262"/>
      <c r="C1958" s="262"/>
      <c r="D1958" s="262"/>
      <c r="E1958" s="260"/>
      <c r="F1958" s="132"/>
      <c r="G1958" s="140"/>
      <c r="H1958" s="131"/>
      <c r="I1958" s="131"/>
      <c r="J1958" s="131"/>
      <c r="K1958" s="131"/>
      <c r="L1958" s="131"/>
      <c r="M1958" s="131"/>
      <c r="N1958" s="131"/>
      <c r="O1958" s="131"/>
      <c r="P1958" s="131"/>
      <c r="Q1958" s="131"/>
      <c r="R1958" s="131"/>
      <c r="S1958" s="131"/>
      <c r="T1958" s="131"/>
      <c r="U1958" s="131"/>
      <c r="V1958" s="131"/>
      <c r="W1958" s="131"/>
      <c r="X1958" s="131"/>
      <c r="Y1958" s="131"/>
      <c r="Z1958" s="131"/>
    </row>
    <row r="1959">
      <c r="A1959" s="262"/>
      <c r="B1959" s="262"/>
      <c r="C1959" s="262"/>
      <c r="D1959" s="262"/>
      <c r="E1959" s="260"/>
      <c r="F1959" s="132"/>
      <c r="G1959" s="140"/>
      <c r="H1959" s="131"/>
      <c r="I1959" s="131"/>
      <c r="J1959" s="131"/>
      <c r="K1959" s="131"/>
      <c r="L1959" s="131"/>
      <c r="M1959" s="131"/>
      <c r="N1959" s="131"/>
      <c r="O1959" s="131"/>
      <c r="P1959" s="131"/>
      <c r="Q1959" s="131"/>
      <c r="R1959" s="131"/>
      <c r="S1959" s="131"/>
      <c r="T1959" s="131"/>
      <c r="U1959" s="131"/>
      <c r="V1959" s="131"/>
      <c r="W1959" s="131"/>
      <c r="X1959" s="131"/>
      <c r="Y1959" s="131"/>
      <c r="Z1959" s="131"/>
    </row>
    <row r="1960">
      <c r="A1960" s="262"/>
      <c r="B1960" s="262"/>
      <c r="C1960" s="262"/>
      <c r="D1960" s="262"/>
      <c r="E1960" s="260"/>
      <c r="F1960" s="132"/>
      <c r="G1960" s="140"/>
      <c r="H1960" s="131"/>
      <c r="I1960" s="131"/>
      <c r="J1960" s="131"/>
      <c r="K1960" s="131"/>
      <c r="L1960" s="131"/>
      <c r="M1960" s="131"/>
      <c r="N1960" s="131"/>
      <c r="O1960" s="131"/>
      <c r="P1960" s="131"/>
      <c r="Q1960" s="131"/>
      <c r="R1960" s="131"/>
      <c r="S1960" s="131"/>
      <c r="T1960" s="131"/>
      <c r="U1960" s="131"/>
      <c r="V1960" s="131"/>
      <c r="W1960" s="131"/>
      <c r="X1960" s="131"/>
      <c r="Y1960" s="131"/>
      <c r="Z1960" s="131"/>
    </row>
    <row r="1961">
      <c r="A1961" s="262"/>
      <c r="B1961" s="262"/>
      <c r="C1961" s="262"/>
      <c r="D1961" s="262"/>
      <c r="E1961" s="260"/>
      <c r="F1961" s="132"/>
      <c r="G1961" s="140"/>
      <c r="H1961" s="131"/>
      <c r="I1961" s="131"/>
      <c r="J1961" s="131"/>
      <c r="K1961" s="131"/>
      <c r="L1961" s="131"/>
      <c r="M1961" s="131"/>
      <c r="N1961" s="131"/>
      <c r="O1961" s="131"/>
      <c r="P1961" s="131"/>
      <c r="Q1961" s="131"/>
      <c r="R1961" s="131"/>
      <c r="S1961" s="131"/>
      <c r="T1961" s="131"/>
      <c r="U1961" s="131"/>
      <c r="V1961" s="131"/>
      <c r="W1961" s="131"/>
      <c r="X1961" s="131"/>
      <c r="Y1961" s="131"/>
      <c r="Z1961" s="131"/>
    </row>
    <row r="1962">
      <c r="A1962" s="262"/>
      <c r="B1962" s="262"/>
      <c r="C1962" s="262"/>
      <c r="D1962" s="262"/>
      <c r="E1962" s="260"/>
      <c r="F1962" s="132"/>
      <c r="G1962" s="140"/>
      <c r="H1962" s="131"/>
      <c r="I1962" s="131"/>
      <c r="J1962" s="131"/>
      <c r="K1962" s="131"/>
      <c r="L1962" s="131"/>
      <c r="M1962" s="131"/>
      <c r="N1962" s="131"/>
      <c r="O1962" s="131"/>
      <c r="P1962" s="131"/>
      <c r="Q1962" s="131"/>
      <c r="R1962" s="131"/>
      <c r="S1962" s="131"/>
      <c r="T1962" s="131"/>
      <c r="U1962" s="131"/>
      <c r="V1962" s="131"/>
      <c r="W1962" s="131"/>
      <c r="X1962" s="131"/>
      <c r="Y1962" s="131"/>
      <c r="Z1962" s="131"/>
    </row>
    <row r="1963">
      <c r="A1963" s="262"/>
      <c r="B1963" s="262"/>
      <c r="C1963" s="262"/>
      <c r="D1963" s="262"/>
      <c r="E1963" s="260"/>
      <c r="F1963" s="132"/>
      <c r="G1963" s="140"/>
      <c r="H1963" s="131"/>
      <c r="I1963" s="131"/>
      <c r="J1963" s="131"/>
      <c r="K1963" s="131"/>
      <c r="L1963" s="131"/>
      <c r="M1963" s="131"/>
      <c r="N1963" s="131"/>
      <c r="O1963" s="131"/>
      <c r="P1963" s="131"/>
      <c r="Q1963" s="131"/>
      <c r="R1963" s="131"/>
      <c r="S1963" s="131"/>
      <c r="T1963" s="131"/>
      <c r="U1963" s="131"/>
      <c r="V1963" s="131"/>
      <c r="W1963" s="131"/>
      <c r="X1963" s="131"/>
      <c r="Y1963" s="131"/>
      <c r="Z1963" s="131"/>
    </row>
    <row r="1964">
      <c r="A1964" s="262"/>
      <c r="B1964" s="262"/>
      <c r="C1964" s="262"/>
      <c r="D1964" s="262"/>
      <c r="E1964" s="260"/>
      <c r="F1964" s="132"/>
      <c r="G1964" s="140"/>
      <c r="H1964" s="131"/>
      <c r="I1964" s="131"/>
      <c r="J1964" s="131"/>
      <c r="K1964" s="131"/>
      <c r="L1964" s="131"/>
      <c r="M1964" s="131"/>
      <c r="N1964" s="131"/>
      <c r="O1964" s="131"/>
      <c r="P1964" s="131"/>
      <c r="Q1964" s="131"/>
      <c r="R1964" s="131"/>
      <c r="S1964" s="131"/>
      <c r="T1964" s="131"/>
      <c r="U1964" s="131"/>
      <c r="V1964" s="131"/>
      <c r="W1964" s="131"/>
      <c r="X1964" s="131"/>
      <c r="Y1964" s="131"/>
      <c r="Z1964" s="131"/>
    </row>
    <row r="1965">
      <c r="A1965" s="262"/>
      <c r="B1965" s="262"/>
      <c r="C1965" s="262"/>
      <c r="D1965" s="262"/>
      <c r="E1965" s="260"/>
      <c r="F1965" s="132"/>
      <c r="G1965" s="140"/>
      <c r="H1965" s="131"/>
      <c r="I1965" s="131"/>
      <c r="J1965" s="131"/>
      <c r="K1965" s="131"/>
      <c r="L1965" s="131"/>
      <c r="M1965" s="131"/>
      <c r="N1965" s="131"/>
      <c r="O1965" s="131"/>
      <c r="P1965" s="131"/>
      <c r="Q1965" s="131"/>
      <c r="R1965" s="131"/>
      <c r="S1965" s="131"/>
      <c r="T1965" s="131"/>
      <c r="U1965" s="131"/>
      <c r="V1965" s="131"/>
      <c r="W1965" s="131"/>
      <c r="X1965" s="131"/>
      <c r="Y1965" s="131"/>
      <c r="Z1965" s="131"/>
    </row>
    <row r="1966">
      <c r="A1966" s="262"/>
      <c r="B1966" s="262"/>
      <c r="C1966" s="262"/>
      <c r="D1966" s="262"/>
      <c r="E1966" s="260"/>
      <c r="F1966" s="132"/>
      <c r="G1966" s="140"/>
      <c r="H1966" s="131"/>
      <c r="I1966" s="131"/>
      <c r="J1966" s="131"/>
      <c r="K1966" s="131"/>
      <c r="L1966" s="131"/>
      <c r="M1966" s="131"/>
      <c r="N1966" s="131"/>
      <c r="O1966" s="131"/>
      <c r="P1966" s="131"/>
      <c r="Q1966" s="131"/>
      <c r="R1966" s="131"/>
      <c r="S1966" s="131"/>
      <c r="T1966" s="131"/>
      <c r="U1966" s="131"/>
      <c r="V1966" s="131"/>
      <c r="W1966" s="131"/>
      <c r="X1966" s="131"/>
      <c r="Y1966" s="131"/>
      <c r="Z1966" s="131"/>
    </row>
    <row r="1967">
      <c r="A1967" s="262"/>
      <c r="B1967" s="262"/>
      <c r="C1967" s="262"/>
      <c r="D1967" s="262"/>
      <c r="E1967" s="260"/>
      <c r="F1967" s="132"/>
      <c r="G1967" s="140"/>
      <c r="H1967" s="131"/>
      <c r="I1967" s="131"/>
      <c r="J1967" s="131"/>
      <c r="K1967" s="131"/>
      <c r="L1967" s="131"/>
      <c r="M1967" s="131"/>
      <c r="N1967" s="131"/>
      <c r="O1967" s="131"/>
      <c r="P1967" s="131"/>
      <c r="Q1967" s="131"/>
      <c r="R1967" s="131"/>
      <c r="S1967" s="131"/>
      <c r="T1967" s="131"/>
      <c r="U1967" s="131"/>
      <c r="V1967" s="131"/>
      <c r="W1967" s="131"/>
      <c r="X1967" s="131"/>
      <c r="Y1967" s="131"/>
      <c r="Z1967" s="131"/>
    </row>
    <row r="1968">
      <c r="A1968" s="262"/>
      <c r="B1968" s="262"/>
      <c r="C1968" s="262"/>
      <c r="D1968" s="262"/>
      <c r="E1968" s="260"/>
      <c r="F1968" s="132"/>
      <c r="G1968" s="140"/>
      <c r="H1968" s="131"/>
      <c r="I1968" s="131"/>
      <c r="J1968" s="131"/>
      <c r="K1968" s="131"/>
      <c r="L1968" s="131"/>
      <c r="M1968" s="131"/>
      <c r="N1968" s="131"/>
      <c r="O1968" s="131"/>
      <c r="P1968" s="131"/>
      <c r="Q1968" s="131"/>
      <c r="R1968" s="131"/>
      <c r="S1968" s="131"/>
      <c r="T1968" s="131"/>
      <c r="U1968" s="131"/>
      <c r="V1968" s="131"/>
      <c r="W1968" s="131"/>
      <c r="X1968" s="131"/>
      <c r="Y1968" s="131"/>
      <c r="Z1968" s="131"/>
    </row>
    <row r="1969">
      <c r="A1969" s="262"/>
      <c r="B1969" s="262"/>
      <c r="C1969" s="262"/>
      <c r="D1969" s="262"/>
      <c r="E1969" s="260"/>
      <c r="F1969" s="132"/>
      <c r="G1969" s="140"/>
      <c r="H1969" s="131"/>
      <c r="I1969" s="131"/>
      <c r="J1969" s="131"/>
      <c r="K1969" s="131"/>
      <c r="L1969" s="131"/>
      <c r="M1969" s="131"/>
      <c r="N1969" s="131"/>
      <c r="O1969" s="131"/>
      <c r="P1969" s="131"/>
      <c r="Q1969" s="131"/>
      <c r="R1969" s="131"/>
      <c r="S1969" s="131"/>
      <c r="T1969" s="131"/>
      <c r="U1969" s="131"/>
      <c r="V1969" s="131"/>
      <c r="W1969" s="131"/>
      <c r="X1969" s="131"/>
      <c r="Y1969" s="131"/>
      <c r="Z1969" s="131"/>
    </row>
    <row r="1970">
      <c r="A1970" s="262"/>
      <c r="B1970" s="262"/>
      <c r="C1970" s="262"/>
      <c r="D1970" s="262"/>
      <c r="E1970" s="260"/>
      <c r="F1970" s="132"/>
      <c r="G1970" s="140"/>
      <c r="H1970" s="131"/>
      <c r="I1970" s="131"/>
      <c r="J1970" s="131"/>
      <c r="K1970" s="131"/>
      <c r="L1970" s="131"/>
      <c r="M1970" s="131"/>
      <c r="N1970" s="131"/>
      <c r="O1970" s="131"/>
      <c r="P1970" s="131"/>
      <c r="Q1970" s="131"/>
      <c r="R1970" s="131"/>
      <c r="S1970" s="131"/>
      <c r="T1970" s="131"/>
      <c r="U1970" s="131"/>
      <c r="V1970" s="131"/>
      <c r="W1970" s="131"/>
      <c r="X1970" s="131"/>
      <c r="Y1970" s="131"/>
      <c r="Z1970" s="131"/>
    </row>
    <row r="1971">
      <c r="A1971" s="262"/>
      <c r="B1971" s="262"/>
      <c r="C1971" s="262"/>
      <c r="D1971" s="262"/>
      <c r="E1971" s="260"/>
      <c r="F1971" s="132"/>
      <c r="G1971" s="140"/>
      <c r="H1971" s="131"/>
      <c r="I1971" s="131"/>
      <c r="J1971" s="131"/>
      <c r="K1971" s="131"/>
      <c r="L1971" s="131"/>
      <c r="M1971" s="131"/>
      <c r="N1971" s="131"/>
      <c r="O1971" s="131"/>
      <c r="P1971" s="131"/>
      <c r="Q1971" s="131"/>
      <c r="R1971" s="131"/>
      <c r="S1971" s="131"/>
      <c r="T1971" s="131"/>
      <c r="U1971" s="131"/>
      <c r="V1971" s="131"/>
      <c r="W1971" s="131"/>
      <c r="X1971" s="131"/>
      <c r="Y1971" s="131"/>
      <c r="Z1971" s="131"/>
    </row>
    <row r="1972">
      <c r="A1972" s="262"/>
      <c r="B1972" s="262"/>
      <c r="C1972" s="262"/>
      <c r="D1972" s="262"/>
      <c r="E1972" s="260"/>
      <c r="F1972" s="132"/>
      <c r="G1972" s="140"/>
      <c r="H1972" s="131"/>
      <c r="I1972" s="131"/>
      <c r="J1972" s="131"/>
      <c r="K1972" s="131"/>
      <c r="L1972" s="131"/>
      <c r="M1972" s="131"/>
      <c r="N1972" s="131"/>
      <c r="O1972" s="131"/>
      <c r="P1972" s="131"/>
      <c r="Q1972" s="131"/>
      <c r="R1972" s="131"/>
      <c r="S1972" s="131"/>
      <c r="T1972" s="131"/>
      <c r="U1972" s="131"/>
      <c r="V1972" s="131"/>
      <c r="W1972" s="131"/>
      <c r="X1972" s="131"/>
      <c r="Y1972" s="131"/>
      <c r="Z1972" s="131"/>
    </row>
    <row r="1973">
      <c r="A1973" s="262"/>
      <c r="B1973" s="262"/>
      <c r="C1973" s="262"/>
      <c r="D1973" s="262"/>
      <c r="E1973" s="260"/>
      <c r="F1973" s="132"/>
      <c r="G1973" s="140"/>
      <c r="H1973" s="131"/>
      <c r="I1973" s="131"/>
      <c r="J1973" s="131"/>
      <c r="K1973" s="131"/>
      <c r="L1973" s="131"/>
      <c r="M1973" s="131"/>
      <c r="N1973" s="131"/>
      <c r="O1973" s="131"/>
      <c r="P1973" s="131"/>
      <c r="Q1973" s="131"/>
      <c r="R1973" s="131"/>
      <c r="S1973" s="131"/>
      <c r="T1973" s="131"/>
      <c r="U1973" s="131"/>
      <c r="V1973" s="131"/>
      <c r="W1973" s="131"/>
      <c r="X1973" s="131"/>
      <c r="Y1973" s="131"/>
      <c r="Z1973" s="131"/>
    </row>
    <row r="1974">
      <c r="A1974" s="262"/>
      <c r="B1974" s="262"/>
      <c r="C1974" s="262"/>
      <c r="D1974" s="262"/>
      <c r="E1974" s="260"/>
      <c r="F1974" s="132"/>
      <c r="G1974" s="140"/>
      <c r="H1974" s="131"/>
      <c r="I1974" s="131"/>
      <c r="J1974" s="131"/>
      <c r="K1974" s="131"/>
      <c r="L1974" s="131"/>
      <c r="M1974" s="131"/>
      <c r="N1974" s="131"/>
      <c r="O1974" s="131"/>
      <c r="P1974" s="131"/>
      <c r="Q1974" s="131"/>
      <c r="R1974" s="131"/>
      <c r="S1974" s="131"/>
      <c r="T1974" s="131"/>
      <c r="U1974" s="131"/>
      <c r="V1974" s="131"/>
      <c r="W1974" s="131"/>
      <c r="X1974" s="131"/>
      <c r="Y1974" s="131"/>
      <c r="Z1974" s="131"/>
    </row>
    <row r="1975">
      <c r="A1975" s="262"/>
      <c r="B1975" s="262"/>
      <c r="C1975" s="262"/>
      <c r="D1975" s="262"/>
      <c r="E1975" s="260"/>
      <c r="F1975" s="132"/>
      <c r="G1975" s="140"/>
      <c r="H1975" s="131"/>
      <c r="I1975" s="131"/>
      <c r="J1975" s="131"/>
      <c r="K1975" s="131"/>
      <c r="L1975" s="131"/>
      <c r="M1975" s="131"/>
      <c r="N1975" s="131"/>
      <c r="O1975" s="131"/>
      <c r="P1975" s="131"/>
      <c r="Q1975" s="131"/>
      <c r="R1975" s="131"/>
      <c r="S1975" s="131"/>
      <c r="T1975" s="131"/>
      <c r="U1975" s="131"/>
      <c r="V1975" s="131"/>
      <c r="W1975" s="131"/>
      <c r="X1975" s="131"/>
      <c r="Y1975" s="131"/>
      <c r="Z1975" s="131"/>
    </row>
    <row r="1976">
      <c r="A1976" s="262"/>
      <c r="B1976" s="262"/>
      <c r="C1976" s="262"/>
      <c r="D1976" s="262"/>
      <c r="E1976" s="260"/>
      <c r="F1976" s="132"/>
      <c r="G1976" s="140"/>
      <c r="H1976" s="131"/>
      <c r="I1976" s="131"/>
      <c r="J1976" s="131"/>
      <c r="K1976" s="131"/>
      <c r="L1976" s="131"/>
      <c r="M1976" s="131"/>
      <c r="N1976" s="131"/>
      <c r="O1976" s="131"/>
      <c r="P1976" s="131"/>
      <c r="Q1976" s="131"/>
      <c r="R1976" s="131"/>
      <c r="S1976" s="131"/>
      <c r="T1976" s="131"/>
      <c r="U1976" s="131"/>
      <c r="V1976" s="131"/>
      <c r="W1976" s="131"/>
      <c r="X1976" s="131"/>
      <c r="Y1976" s="131"/>
      <c r="Z1976" s="131"/>
    </row>
    <row r="1977">
      <c r="A1977" s="262"/>
      <c r="B1977" s="262"/>
      <c r="C1977" s="262"/>
      <c r="D1977" s="262"/>
      <c r="E1977" s="260"/>
      <c r="F1977" s="132"/>
      <c r="G1977" s="140"/>
      <c r="H1977" s="131"/>
      <c r="I1977" s="131"/>
      <c r="J1977" s="131"/>
      <c r="K1977" s="131"/>
      <c r="L1977" s="131"/>
      <c r="M1977" s="131"/>
      <c r="N1977" s="131"/>
      <c r="O1977" s="131"/>
      <c r="P1977" s="131"/>
      <c r="Q1977" s="131"/>
      <c r="R1977" s="131"/>
      <c r="S1977" s="131"/>
      <c r="T1977" s="131"/>
      <c r="U1977" s="131"/>
      <c r="V1977" s="131"/>
      <c r="W1977" s="131"/>
      <c r="X1977" s="131"/>
      <c r="Y1977" s="131"/>
      <c r="Z1977" s="131"/>
    </row>
    <row r="1978">
      <c r="A1978" s="262"/>
      <c r="B1978" s="262"/>
      <c r="C1978" s="262"/>
      <c r="D1978" s="262"/>
      <c r="E1978" s="260"/>
      <c r="F1978" s="132"/>
      <c r="G1978" s="140"/>
      <c r="H1978" s="131"/>
      <c r="I1978" s="131"/>
      <c r="J1978" s="131"/>
      <c r="K1978" s="131"/>
      <c r="L1978" s="131"/>
      <c r="M1978" s="131"/>
      <c r="N1978" s="131"/>
      <c r="O1978" s="131"/>
      <c r="P1978" s="131"/>
      <c r="Q1978" s="131"/>
      <c r="R1978" s="131"/>
      <c r="S1978" s="131"/>
      <c r="T1978" s="131"/>
      <c r="U1978" s="131"/>
      <c r="V1978" s="131"/>
      <c r="W1978" s="131"/>
      <c r="X1978" s="131"/>
      <c r="Y1978" s="131"/>
      <c r="Z1978" s="131"/>
    </row>
    <row r="1979">
      <c r="A1979" s="262"/>
      <c r="B1979" s="262"/>
      <c r="C1979" s="262"/>
      <c r="D1979" s="262"/>
      <c r="E1979" s="260"/>
      <c r="F1979" s="132"/>
      <c r="G1979" s="140"/>
      <c r="H1979" s="131"/>
      <c r="I1979" s="131"/>
      <c r="J1979" s="131"/>
      <c r="K1979" s="131"/>
      <c r="L1979" s="131"/>
      <c r="M1979" s="131"/>
      <c r="N1979" s="131"/>
      <c r="O1979" s="131"/>
      <c r="P1979" s="131"/>
      <c r="Q1979" s="131"/>
      <c r="R1979" s="131"/>
      <c r="S1979" s="131"/>
      <c r="T1979" s="131"/>
      <c r="U1979" s="131"/>
      <c r="V1979" s="131"/>
      <c r="W1979" s="131"/>
      <c r="X1979" s="131"/>
      <c r="Y1979" s="131"/>
      <c r="Z1979" s="131"/>
    </row>
    <row r="1980">
      <c r="A1980" s="262"/>
      <c r="B1980" s="262"/>
      <c r="C1980" s="262"/>
      <c r="D1980" s="262"/>
      <c r="E1980" s="260"/>
      <c r="F1980" s="132"/>
      <c r="G1980" s="140"/>
      <c r="H1980" s="131"/>
      <c r="I1980" s="131"/>
      <c r="J1980" s="131"/>
      <c r="K1980" s="131"/>
      <c r="L1980" s="131"/>
      <c r="M1980" s="131"/>
      <c r="N1980" s="131"/>
      <c r="O1980" s="131"/>
      <c r="P1980" s="131"/>
      <c r="Q1980" s="131"/>
      <c r="R1980" s="131"/>
      <c r="S1980" s="131"/>
      <c r="T1980" s="131"/>
      <c r="U1980" s="131"/>
      <c r="V1980" s="131"/>
      <c r="W1980" s="131"/>
      <c r="X1980" s="131"/>
      <c r="Y1980" s="131"/>
      <c r="Z1980" s="131"/>
    </row>
    <row r="1981">
      <c r="A1981" s="262"/>
      <c r="B1981" s="262"/>
      <c r="C1981" s="262"/>
      <c r="D1981" s="262"/>
      <c r="E1981" s="260"/>
      <c r="F1981" s="132"/>
      <c r="G1981" s="140"/>
      <c r="H1981" s="131"/>
      <c r="I1981" s="131"/>
      <c r="J1981" s="131"/>
      <c r="K1981" s="131"/>
      <c r="L1981" s="131"/>
      <c r="M1981" s="131"/>
      <c r="N1981" s="131"/>
      <c r="O1981" s="131"/>
      <c r="P1981" s="131"/>
      <c r="Q1981" s="131"/>
      <c r="R1981" s="131"/>
      <c r="S1981" s="131"/>
      <c r="T1981" s="131"/>
      <c r="U1981" s="131"/>
      <c r="V1981" s="131"/>
      <c r="W1981" s="131"/>
      <c r="X1981" s="131"/>
      <c r="Y1981" s="131"/>
      <c r="Z1981" s="131"/>
    </row>
    <row r="1982">
      <c r="A1982" s="262"/>
      <c r="B1982" s="262"/>
      <c r="C1982" s="262"/>
      <c r="D1982" s="262"/>
      <c r="E1982" s="260"/>
      <c r="F1982" s="132"/>
      <c r="G1982" s="140"/>
      <c r="H1982" s="131"/>
      <c r="I1982" s="131"/>
      <c r="J1982" s="131"/>
      <c r="K1982" s="131"/>
      <c r="L1982" s="131"/>
      <c r="M1982" s="131"/>
      <c r="N1982" s="131"/>
      <c r="O1982" s="131"/>
      <c r="P1982" s="131"/>
      <c r="Q1982" s="131"/>
      <c r="R1982" s="131"/>
      <c r="S1982" s="131"/>
      <c r="T1982" s="131"/>
      <c r="U1982" s="131"/>
      <c r="V1982" s="131"/>
      <c r="W1982" s="131"/>
      <c r="X1982" s="131"/>
      <c r="Y1982" s="131"/>
      <c r="Z1982" s="131"/>
    </row>
    <row r="1983">
      <c r="A1983" s="262"/>
      <c r="B1983" s="262"/>
      <c r="C1983" s="262"/>
      <c r="D1983" s="262"/>
      <c r="E1983" s="260"/>
      <c r="F1983" s="132"/>
      <c r="G1983" s="140"/>
      <c r="H1983" s="131"/>
      <c r="I1983" s="131"/>
      <c r="J1983" s="131"/>
      <c r="K1983" s="131"/>
      <c r="L1983" s="131"/>
      <c r="M1983" s="131"/>
      <c r="N1983" s="131"/>
      <c r="O1983" s="131"/>
      <c r="P1983" s="131"/>
      <c r="Q1983" s="131"/>
      <c r="R1983" s="131"/>
      <c r="S1983" s="131"/>
      <c r="T1983" s="131"/>
      <c r="U1983" s="131"/>
      <c r="V1983" s="131"/>
      <c r="W1983" s="131"/>
      <c r="X1983" s="131"/>
      <c r="Y1983" s="131"/>
      <c r="Z1983" s="131"/>
    </row>
    <row r="1984">
      <c r="A1984" s="262"/>
      <c r="B1984" s="262"/>
      <c r="C1984" s="262"/>
      <c r="D1984" s="262"/>
      <c r="E1984" s="260"/>
      <c r="F1984" s="132"/>
      <c r="G1984" s="140"/>
      <c r="H1984" s="131"/>
      <c r="I1984" s="131"/>
      <c r="J1984" s="131"/>
      <c r="K1984" s="131"/>
      <c r="L1984" s="131"/>
      <c r="M1984" s="131"/>
      <c r="N1984" s="131"/>
      <c r="O1984" s="131"/>
      <c r="P1984" s="131"/>
      <c r="Q1984" s="131"/>
      <c r="R1984" s="131"/>
      <c r="S1984" s="131"/>
      <c r="T1984" s="131"/>
      <c r="U1984" s="131"/>
      <c r="V1984" s="131"/>
      <c r="W1984" s="131"/>
      <c r="X1984" s="131"/>
      <c r="Y1984" s="131"/>
      <c r="Z1984" s="131"/>
    </row>
    <row r="1985">
      <c r="A1985" s="262"/>
      <c r="B1985" s="262"/>
      <c r="C1985" s="262"/>
      <c r="D1985" s="262"/>
      <c r="E1985" s="260"/>
      <c r="F1985" s="132"/>
      <c r="G1985" s="140"/>
      <c r="H1985" s="131"/>
      <c r="I1985" s="131"/>
      <c r="J1985" s="131"/>
      <c r="K1985" s="131"/>
      <c r="L1985" s="131"/>
      <c r="M1985" s="131"/>
      <c r="N1985" s="131"/>
      <c r="O1985" s="131"/>
      <c r="P1985" s="131"/>
      <c r="Q1985" s="131"/>
      <c r="R1985" s="131"/>
      <c r="S1985" s="131"/>
      <c r="T1985" s="131"/>
      <c r="U1985" s="131"/>
      <c r="V1985" s="131"/>
      <c r="W1985" s="131"/>
      <c r="X1985" s="131"/>
      <c r="Y1985" s="131"/>
      <c r="Z1985" s="131"/>
    </row>
    <row r="1986">
      <c r="A1986" s="262"/>
      <c r="B1986" s="262"/>
      <c r="C1986" s="262"/>
      <c r="D1986" s="262"/>
      <c r="E1986" s="260"/>
      <c r="F1986" s="132"/>
      <c r="G1986" s="140"/>
      <c r="H1986" s="131"/>
      <c r="I1986" s="131"/>
      <c r="J1986" s="131"/>
      <c r="K1986" s="131"/>
      <c r="L1986" s="131"/>
      <c r="M1986" s="131"/>
      <c r="N1986" s="131"/>
      <c r="O1986" s="131"/>
      <c r="P1986" s="131"/>
      <c r="Q1986" s="131"/>
      <c r="R1986" s="131"/>
      <c r="S1986" s="131"/>
      <c r="T1986" s="131"/>
      <c r="U1986" s="131"/>
      <c r="V1986" s="131"/>
      <c r="W1986" s="131"/>
      <c r="X1986" s="131"/>
      <c r="Y1986" s="131"/>
      <c r="Z1986" s="131"/>
    </row>
    <row r="1987">
      <c r="A1987" s="262"/>
      <c r="B1987" s="262"/>
      <c r="C1987" s="262"/>
      <c r="D1987" s="262"/>
      <c r="E1987" s="260"/>
      <c r="F1987" s="132"/>
      <c r="G1987" s="140"/>
      <c r="H1987" s="131"/>
      <c r="I1987" s="131"/>
      <c r="J1987" s="131"/>
      <c r="K1987" s="131"/>
      <c r="L1987" s="131"/>
      <c r="M1987" s="131"/>
      <c r="N1987" s="131"/>
      <c r="O1987" s="131"/>
      <c r="P1987" s="131"/>
      <c r="Q1987" s="131"/>
      <c r="R1987" s="131"/>
      <c r="S1987" s="131"/>
      <c r="T1987" s="131"/>
      <c r="U1987" s="131"/>
      <c r="V1987" s="131"/>
      <c r="W1987" s="131"/>
      <c r="X1987" s="131"/>
      <c r="Y1987" s="131"/>
      <c r="Z1987" s="131"/>
    </row>
    <row r="1988">
      <c r="A1988" s="262"/>
      <c r="B1988" s="262"/>
      <c r="C1988" s="262"/>
      <c r="D1988" s="262"/>
      <c r="E1988" s="260"/>
      <c r="F1988" s="132"/>
      <c r="G1988" s="140"/>
      <c r="H1988" s="131"/>
      <c r="I1988" s="131"/>
      <c r="J1988" s="131"/>
      <c r="K1988" s="131"/>
      <c r="L1988" s="131"/>
      <c r="M1988" s="131"/>
      <c r="N1988" s="131"/>
      <c r="O1988" s="131"/>
      <c r="P1988" s="131"/>
      <c r="Q1988" s="131"/>
      <c r="R1988" s="131"/>
      <c r="S1988" s="131"/>
      <c r="T1988" s="131"/>
      <c r="U1988" s="131"/>
      <c r="V1988" s="131"/>
      <c r="W1988" s="131"/>
      <c r="X1988" s="131"/>
      <c r="Y1988" s="131"/>
      <c r="Z1988" s="131"/>
    </row>
    <row r="1989">
      <c r="A1989" s="262"/>
      <c r="B1989" s="262"/>
      <c r="C1989" s="262"/>
      <c r="D1989" s="262"/>
      <c r="E1989" s="260"/>
      <c r="F1989" s="132"/>
      <c r="G1989" s="140"/>
      <c r="H1989" s="131"/>
      <c r="I1989" s="131"/>
      <c r="J1989" s="131"/>
      <c r="K1989" s="131"/>
      <c r="L1989" s="131"/>
      <c r="M1989" s="131"/>
      <c r="N1989" s="131"/>
      <c r="O1989" s="131"/>
      <c r="P1989" s="131"/>
      <c r="Q1989" s="131"/>
      <c r="R1989" s="131"/>
      <c r="S1989" s="131"/>
      <c r="T1989" s="131"/>
      <c r="U1989" s="131"/>
      <c r="V1989" s="131"/>
      <c r="W1989" s="131"/>
      <c r="X1989" s="131"/>
      <c r="Y1989" s="131"/>
      <c r="Z1989" s="131"/>
    </row>
    <row r="1990">
      <c r="A1990" s="262"/>
      <c r="B1990" s="262"/>
      <c r="C1990" s="262"/>
      <c r="D1990" s="262"/>
      <c r="E1990" s="260"/>
      <c r="F1990" s="132"/>
      <c r="G1990" s="140"/>
      <c r="H1990" s="131"/>
      <c r="I1990" s="131"/>
      <c r="J1990" s="131"/>
      <c r="K1990" s="131"/>
      <c r="L1990" s="131"/>
      <c r="M1990" s="131"/>
      <c r="N1990" s="131"/>
      <c r="O1990" s="131"/>
      <c r="P1990" s="131"/>
      <c r="Q1990" s="131"/>
      <c r="R1990" s="131"/>
      <c r="S1990" s="131"/>
      <c r="T1990" s="131"/>
      <c r="U1990" s="131"/>
      <c r="V1990" s="131"/>
      <c r="W1990" s="131"/>
      <c r="X1990" s="131"/>
      <c r="Y1990" s="131"/>
      <c r="Z1990" s="131"/>
    </row>
    <row r="1991">
      <c r="A1991" s="262"/>
      <c r="B1991" s="262"/>
      <c r="C1991" s="262"/>
      <c r="D1991" s="262"/>
      <c r="E1991" s="260"/>
      <c r="F1991" s="132"/>
      <c r="G1991" s="140"/>
      <c r="H1991" s="131"/>
      <c r="I1991" s="131"/>
      <c r="J1991" s="131"/>
      <c r="K1991" s="131"/>
      <c r="L1991" s="131"/>
      <c r="M1991" s="131"/>
      <c r="N1991" s="131"/>
      <c r="O1991" s="131"/>
      <c r="P1991" s="131"/>
      <c r="Q1991" s="131"/>
      <c r="R1991" s="131"/>
      <c r="S1991" s="131"/>
      <c r="T1991" s="131"/>
      <c r="U1991" s="131"/>
      <c r="V1991" s="131"/>
      <c r="W1991" s="131"/>
      <c r="X1991" s="131"/>
      <c r="Y1991" s="131"/>
      <c r="Z1991" s="131"/>
    </row>
    <row r="1992">
      <c r="A1992" s="262"/>
      <c r="B1992" s="262"/>
      <c r="C1992" s="262"/>
      <c r="D1992" s="262"/>
      <c r="E1992" s="260"/>
      <c r="F1992" s="132"/>
      <c r="G1992" s="140"/>
      <c r="H1992" s="131"/>
      <c r="I1992" s="131"/>
      <c r="J1992" s="131"/>
      <c r="K1992" s="131"/>
      <c r="L1992" s="131"/>
      <c r="M1992" s="131"/>
      <c r="N1992" s="131"/>
      <c r="O1992" s="131"/>
      <c r="P1992" s="131"/>
      <c r="Q1992" s="131"/>
      <c r="R1992" s="131"/>
      <c r="S1992" s="131"/>
      <c r="T1992" s="131"/>
      <c r="U1992" s="131"/>
      <c r="V1992" s="131"/>
      <c r="W1992" s="131"/>
      <c r="X1992" s="131"/>
      <c r="Y1992" s="131"/>
      <c r="Z1992" s="131"/>
    </row>
    <row r="1993">
      <c r="A1993" s="262"/>
      <c r="B1993" s="262"/>
      <c r="C1993" s="262"/>
      <c r="D1993" s="262"/>
      <c r="E1993" s="260"/>
      <c r="F1993" s="132"/>
      <c r="G1993" s="140"/>
      <c r="H1993" s="131"/>
      <c r="I1993" s="131"/>
      <c r="J1993" s="131"/>
      <c r="K1993" s="131"/>
      <c r="L1993" s="131"/>
      <c r="M1993" s="131"/>
      <c r="N1993" s="131"/>
      <c r="O1993" s="131"/>
      <c r="P1993" s="131"/>
      <c r="Q1993" s="131"/>
      <c r="R1993" s="131"/>
      <c r="S1993" s="131"/>
      <c r="T1993" s="131"/>
      <c r="U1993" s="131"/>
      <c r="V1993" s="131"/>
      <c r="W1993" s="131"/>
      <c r="X1993" s="131"/>
      <c r="Y1993" s="131"/>
      <c r="Z1993" s="131"/>
    </row>
    <row r="1994">
      <c r="A1994" s="262"/>
      <c r="B1994" s="262"/>
      <c r="C1994" s="262"/>
      <c r="D1994" s="262"/>
      <c r="E1994" s="260"/>
      <c r="F1994" s="132"/>
      <c r="G1994" s="140"/>
      <c r="H1994" s="131"/>
      <c r="I1994" s="131"/>
      <c r="J1994" s="131"/>
      <c r="K1994" s="131"/>
      <c r="L1994" s="131"/>
      <c r="M1994" s="131"/>
      <c r="N1994" s="131"/>
      <c r="O1994" s="131"/>
      <c r="P1994" s="131"/>
      <c r="Q1994" s="131"/>
      <c r="R1994" s="131"/>
      <c r="S1994" s="131"/>
      <c r="T1994" s="131"/>
      <c r="U1994" s="131"/>
      <c r="V1994" s="131"/>
      <c r="W1994" s="131"/>
      <c r="X1994" s="131"/>
      <c r="Y1994" s="131"/>
      <c r="Z1994" s="131"/>
    </row>
    <row r="1995">
      <c r="A1995" s="262"/>
      <c r="B1995" s="262"/>
      <c r="C1995" s="262"/>
      <c r="D1995" s="262"/>
      <c r="E1995" s="260"/>
      <c r="F1995" s="132"/>
      <c r="G1995" s="140"/>
      <c r="H1995" s="131"/>
      <c r="I1995" s="131"/>
      <c r="J1995" s="131"/>
      <c r="K1995" s="131"/>
      <c r="L1995" s="131"/>
      <c r="M1995" s="131"/>
      <c r="N1995" s="131"/>
      <c r="O1995" s="131"/>
      <c r="P1995" s="131"/>
      <c r="Q1995" s="131"/>
      <c r="R1995" s="131"/>
      <c r="S1995" s="131"/>
      <c r="T1995" s="131"/>
      <c r="U1995" s="131"/>
      <c r="V1995" s="131"/>
      <c r="W1995" s="131"/>
      <c r="X1995" s="131"/>
      <c r="Y1995" s="131"/>
      <c r="Z1995" s="131"/>
    </row>
    <row r="1996">
      <c r="A1996" s="262"/>
      <c r="B1996" s="262"/>
      <c r="C1996" s="262"/>
      <c r="D1996" s="262"/>
      <c r="E1996" s="260"/>
      <c r="F1996" s="132"/>
      <c r="G1996" s="140"/>
      <c r="H1996" s="131"/>
      <c r="I1996" s="131"/>
      <c r="J1996" s="131"/>
      <c r="K1996" s="131"/>
      <c r="L1996" s="131"/>
      <c r="M1996" s="131"/>
      <c r="N1996" s="131"/>
      <c r="O1996" s="131"/>
      <c r="P1996" s="131"/>
      <c r="Q1996" s="131"/>
      <c r="R1996" s="131"/>
      <c r="S1996" s="131"/>
      <c r="T1996" s="131"/>
      <c r="U1996" s="131"/>
      <c r="V1996" s="131"/>
      <c r="W1996" s="131"/>
      <c r="X1996" s="131"/>
      <c r="Y1996" s="131"/>
      <c r="Z1996" s="131"/>
    </row>
    <row r="1997">
      <c r="A1997" s="262"/>
      <c r="B1997" s="262"/>
      <c r="C1997" s="262"/>
      <c r="D1997" s="262"/>
      <c r="E1997" s="260"/>
      <c r="F1997" s="132"/>
      <c r="G1997" s="140"/>
      <c r="H1997" s="131"/>
      <c r="I1997" s="131"/>
      <c r="J1997" s="131"/>
      <c r="K1997" s="131"/>
      <c r="L1997" s="131"/>
      <c r="M1997" s="131"/>
      <c r="N1997" s="131"/>
      <c r="O1997" s="131"/>
      <c r="P1997" s="131"/>
      <c r="Q1997" s="131"/>
      <c r="R1997" s="131"/>
      <c r="S1997" s="131"/>
      <c r="T1997" s="131"/>
      <c r="U1997" s="131"/>
      <c r="V1997" s="131"/>
      <c r="W1997" s="131"/>
      <c r="X1997" s="131"/>
      <c r="Y1997" s="131"/>
      <c r="Z1997" s="131"/>
    </row>
    <row r="1998">
      <c r="A1998" s="262"/>
      <c r="B1998" s="262"/>
      <c r="C1998" s="262"/>
      <c r="D1998" s="262"/>
      <c r="E1998" s="260"/>
      <c r="F1998" s="132"/>
      <c r="G1998" s="140"/>
      <c r="H1998" s="131"/>
      <c r="I1998" s="131"/>
      <c r="J1998" s="131"/>
      <c r="K1998" s="131"/>
      <c r="L1998" s="131"/>
      <c r="M1998" s="131"/>
      <c r="N1998" s="131"/>
      <c r="O1998" s="131"/>
      <c r="P1998" s="131"/>
      <c r="Q1998" s="131"/>
      <c r="R1998" s="131"/>
      <c r="S1998" s="131"/>
      <c r="T1998" s="131"/>
      <c r="U1998" s="131"/>
      <c r="V1998" s="131"/>
      <c r="W1998" s="131"/>
      <c r="X1998" s="131"/>
      <c r="Y1998" s="131"/>
      <c r="Z1998" s="131"/>
    </row>
    <row r="1999">
      <c r="A1999" s="262"/>
      <c r="B1999" s="262"/>
      <c r="C1999" s="262"/>
      <c r="D1999" s="262"/>
      <c r="E1999" s="260"/>
      <c r="F1999" s="132"/>
      <c r="G1999" s="140"/>
      <c r="H1999" s="131"/>
      <c r="I1999" s="131"/>
      <c r="J1999" s="131"/>
      <c r="K1999" s="131"/>
      <c r="L1999" s="131"/>
      <c r="M1999" s="131"/>
      <c r="N1999" s="131"/>
      <c r="O1999" s="131"/>
      <c r="P1999" s="131"/>
      <c r="Q1999" s="131"/>
      <c r="R1999" s="131"/>
      <c r="S1999" s="131"/>
      <c r="T1999" s="131"/>
      <c r="U1999" s="131"/>
      <c r="V1999" s="131"/>
      <c r="W1999" s="131"/>
      <c r="X1999" s="131"/>
      <c r="Y1999" s="131"/>
      <c r="Z1999" s="131"/>
    </row>
    <row r="2000">
      <c r="A2000" s="262"/>
      <c r="B2000" s="262"/>
      <c r="C2000" s="262"/>
      <c r="D2000" s="262"/>
      <c r="E2000" s="260"/>
      <c r="F2000" s="132"/>
      <c r="G2000" s="140"/>
      <c r="H2000" s="131"/>
      <c r="I2000" s="131"/>
      <c r="J2000" s="131"/>
      <c r="K2000" s="131"/>
      <c r="L2000" s="131"/>
      <c r="M2000" s="131"/>
      <c r="N2000" s="131"/>
      <c r="O2000" s="131"/>
      <c r="P2000" s="131"/>
      <c r="Q2000" s="131"/>
      <c r="R2000" s="131"/>
      <c r="S2000" s="131"/>
      <c r="T2000" s="131"/>
      <c r="U2000" s="131"/>
      <c r="V2000" s="131"/>
      <c r="W2000" s="131"/>
      <c r="X2000" s="131"/>
      <c r="Y2000" s="131"/>
      <c r="Z2000" s="131"/>
    </row>
    <row r="2001">
      <c r="A2001" s="262"/>
      <c r="B2001" s="262"/>
      <c r="C2001" s="262"/>
      <c r="D2001" s="262"/>
      <c r="E2001" s="260"/>
      <c r="F2001" s="132"/>
      <c r="G2001" s="140"/>
      <c r="H2001" s="131"/>
      <c r="I2001" s="131"/>
      <c r="J2001" s="131"/>
      <c r="K2001" s="131"/>
      <c r="L2001" s="131"/>
      <c r="M2001" s="131"/>
      <c r="N2001" s="131"/>
      <c r="O2001" s="131"/>
      <c r="P2001" s="131"/>
      <c r="Q2001" s="131"/>
      <c r="R2001" s="131"/>
      <c r="S2001" s="131"/>
      <c r="T2001" s="131"/>
      <c r="U2001" s="131"/>
      <c r="V2001" s="131"/>
      <c r="W2001" s="131"/>
      <c r="X2001" s="131"/>
      <c r="Y2001" s="131"/>
      <c r="Z2001" s="131"/>
    </row>
    <row r="2002">
      <c r="A2002" s="262"/>
      <c r="B2002" s="262"/>
      <c r="C2002" s="262"/>
      <c r="D2002" s="262"/>
      <c r="E2002" s="260"/>
      <c r="F2002" s="132"/>
      <c r="G2002" s="140"/>
      <c r="H2002" s="131"/>
      <c r="I2002" s="131"/>
      <c r="J2002" s="131"/>
      <c r="K2002" s="131"/>
      <c r="L2002" s="131"/>
      <c r="M2002" s="131"/>
      <c r="N2002" s="131"/>
      <c r="O2002" s="131"/>
      <c r="P2002" s="131"/>
      <c r="Q2002" s="131"/>
      <c r="R2002" s="131"/>
      <c r="S2002" s="131"/>
      <c r="T2002" s="131"/>
      <c r="U2002" s="131"/>
      <c r="V2002" s="131"/>
      <c r="W2002" s="131"/>
      <c r="X2002" s="131"/>
      <c r="Y2002" s="131"/>
      <c r="Z2002" s="131"/>
    </row>
    <row r="2003">
      <c r="A2003" s="262"/>
      <c r="B2003" s="262"/>
      <c r="C2003" s="262"/>
      <c r="D2003" s="262"/>
      <c r="E2003" s="260"/>
      <c r="F2003" s="132"/>
      <c r="G2003" s="140"/>
      <c r="H2003" s="131"/>
      <c r="I2003" s="131"/>
      <c r="J2003" s="131"/>
      <c r="K2003" s="131"/>
      <c r="L2003" s="131"/>
      <c r="M2003" s="131"/>
      <c r="N2003" s="131"/>
      <c r="O2003" s="131"/>
      <c r="P2003" s="131"/>
      <c r="Q2003" s="131"/>
      <c r="R2003" s="131"/>
      <c r="S2003" s="131"/>
      <c r="T2003" s="131"/>
      <c r="U2003" s="131"/>
      <c r="V2003" s="131"/>
      <c r="W2003" s="131"/>
      <c r="X2003" s="131"/>
      <c r="Y2003" s="131"/>
      <c r="Z2003" s="131"/>
    </row>
    <row r="2004">
      <c r="A2004" s="262"/>
      <c r="B2004" s="262"/>
      <c r="C2004" s="262"/>
      <c r="D2004" s="262"/>
      <c r="E2004" s="260"/>
      <c r="F2004" s="132"/>
      <c r="G2004" s="140"/>
      <c r="H2004" s="131"/>
      <c r="I2004" s="131"/>
      <c r="J2004" s="131"/>
      <c r="K2004" s="131"/>
      <c r="L2004" s="131"/>
      <c r="M2004" s="131"/>
      <c r="N2004" s="131"/>
      <c r="O2004" s="131"/>
      <c r="P2004" s="131"/>
      <c r="Q2004" s="131"/>
      <c r="R2004" s="131"/>
      <c r="S2004" s="131"/>
      <c r="T2004" s="131"/>
      <c r="U2004" s="131"/>
      <c r="V2004" s="131"/>
      <c r="W2004" s="131"/>
      <c r="X2004" s="131"/>
      <c r="Y2004" s="131"/>
      <c r="Z2004" s="131"/>
    </row>
    <row r="2005">
      <c r="A2005" s="262"/>
      <c r="B2005" s="262"/>
      <c r="C2005" s="262"/>
      <c r="D2005" s="262"/>
      <c r="E2005" s="260"/>
      <c r="F2005" s="132"/>
      <c r="G2005" s="140"/>
      <c r="H2005" s="131"/>
      <c r="I2005" s="131"/>
      <c r="J2005" s="131"/>
      <c r="K2005" s="131"/>
      <c r="L2005" s="131"/>
      <c r="M2005" s="131"/>
      <c r="N2005" s="131"/>
      <c r="O2005" s="131"/>
      <c r="P2005" s="131"/>
      <c r="Q2005" s="131"/>
      <c r="R2005" s="131"/>
      <c r="S2005" s="131"/>
      <c r="T2005" s="131"/>
      <c r="U2005" s="131"/>
      <c r="V2005" s="131"/>
      <c r="W2005" s="131"/>
      <c r="X2005" s="131"/>
      <c r="Y2005" s="131"/>
      <c r="Z2005" s="131"/>
    </row>
    <row r="2006">
      <c r="A2006" s="262"/>
      <c r="B2006" s="262"/>
      <c r="C2006" s="262"/>
      <c r="D2006" s="262"/>
      <c r="E2006" s="260"/>
      <c r="F2006" s="132"/>
      <c r="G2006" s="140"/>
      <c r="H2006" s="131"/>
      <c r="I2006" s="131"/>
      <c r="J2006" s="131"/>
      <c r="K2006" s="131"/>
      <c r="L2006" s="131"/>
      <c r="M2006" s="131"/>
      <c r="N2006" s="131"/>
      <c r="O2006" s="131"/>
      <c r="P2006" s="131"/>
      <c r="Q2006" s="131"/>
      <c r="R2006" s="131"/>
      <c r="S2006" s="131"/>
      <c r="T2006" s="131"/>
      <c r="U2006" s="131"/>
      <c r="V2006" s="131"/>
      <c r="W2006" s="131"/>
      <c r="X2006" s="131"/>
      <c r="Y2006" s="131"/>
      <c r="Z2006" s="131"/>
    </row>
    <row r="2007">
      <c r="A2007" s="262"/>
      <c r="B2007" s="262"/>
      <c r="C2007" s="262"/>
      <c r="D2007" s="262"/>
      <c r="E2007" s="260"/>
      <c r="F2007" s="132"/>
      <c r="G2007" s="140"/>
      <c r="H2007" s="131"/>
      <c r="I2007" s="131"/>
      <c r="J2007" s="131"/>
      <c r="K2007" s="131"/>
      <c r="L2007" s="131"/>
      <c r="M2007" s="131"/>
      <c r="N2007" s="131"/>
      <c r="O2007" s="131"/>
      <c r="P2007" s="131"/>
      <c r="Q2007" s="131"/>
      <c r="R2007" s="131"/>
      <c r="S2007" s="131"/>
      <c r="T2007" s="131"/>
      <c r="U2007" s="131"/>
      <c r="V2007" s="131"/>
      <c r="W2007" s="131"/>
      <c r="X2007" s="131"/>
      <c r="Y2007" s="131"/>
      <c r="Z2007" s="131"/>
    </row>
    <row r="2008">
      <c r="A2008" s="262"/>
      <c r="B2008" s="262"/>
      <c r="C2008" s="262"/>
      <c r="D2008" s="262"/>
      <c r="E2008" s="260"/>
      <c r="F2008" s="132"/>
      <c r="G2008" s="140"/>
      <c r="H2008" s="131"/>
      <c r="I2008" s="131"/>
      <c r="J2008" s="131"/>
      <c r="K2008" s="131"/>
      <c r="L2008" s="131"/>
      <c r="M2008" s="131"/>
      <c r="N2008" s="131"/>
      <c r="O2008" s="131"/>
      <c r="P2008" s="131"/>
      <c r="Q2008" s="131"/>
      <c r="R2008" s="131"/>
      <c r="S2008" s="131"/>
      <c r="T2008" s="131"/>
      <c r="U2008" s="131"/>
      <c r="V2008" s="131"/>
      <c r="W2008" s="131"/>
      <c r="X2008" s="131"/>
      <c r="Y2008" s="131"/>
      <c r="Z2008" s="131"/>
    </row>
    <row r="2009">
      <c r="A2009" s="262"/>
      <c r="B2009" s="262"/>
      <c r="C2009" s="262"/>
      <c r="D2009" s="262"/>
      <c r="E2009" s="260"/>
      <c r="F2009" s="132"/>
      <c r="G2009" s="140"/>
      <c r="H2009" s="131"/>
      <c r="I2009" s="131"/>
      <c r="J2009" s="131"/>
      <c r="K2009" s="131"/>
      <c r="L2009" s="131"/>
      <c r="M2009" s="131"/>
      <c r="N2009" s="131"/>
      <c r="O2009" s="131"/>
      <c r="P2009" s="131"/>
      <c r="Q2009" s="131"/>
      <c r="R2009" s="131"/>
      <c r="S2009" s="131"/>
      <c r="T2009" s="131"/>
      <c r="U2009" s="131"/>
      <c r="V2009" s="131"/>
      <c r="W2009" s="131"/>
      <c r="X2009" s="131"/>
      <c r="Y2009" s="131"/>
      <c r="Z2009" s="131"/>
    </row>
    <row r="2010">
      <c r="A2010" s="262"/>
      <c r="B2010" s="262"/>
      <c r="C2010" s="262"/>
      <c r="D2010" s="262"/>
      <c r="E2010" s="260"/>
      <c r="F2010" s="132"/>
      <c r="G2010" s="140"/>
      <c r="H2010" s="131"/>
      <c r="I2010" s="131"/>
      <c r="J2010" s="131"/>
      <c r="K2010" s="131"/>
      <c r="L2010" s="131"/>
      <c r="M2010" s="131"/>
      <c r="N2010" s="131"/>
      <c r="O2010" s="131"/>
      <c r="P2010" s="131"/>
      <c r="Q2010" s="131"/>
      <c r="R2010" s="131"/>
      <c r="S2010" s="131"/>
      <c r="T2010" s="131"/>
      <c r="U2010" s="131"/>
      <c r="V2010" s="131"/>
      <c r="W2010" s="131"/>
      <c r="X2010" s="131"/>
      <c r="Y2010" s="131"/>
      <c r="Z2010" s="131"/>
    </row>
    <row r="2011">
      <c r="A2011" s="262"/>
      <c r="B2011" s="262"/>
      <c r="C2011" s="262"/>
      <c r="D2011" s="262"/>
      <c r="E2011" s="260"/>
      <c r="F2011" s="132"/>
      <c r="G2011" s="140"/>
      <c r="H2011" s="131"/>
      <c r="I2011" s="131"/>
      <c r="J2011" s="131"/>
      <c r="K2011" s="131"/>
      <c r="L2011" s="131"/>
      <c r="M2011" s="131"/>
      <c r="N2011" s="131"/>
      <c r="O2011" s="131"/>
      <c r="P2011" s="131"/>
      <c r="Q2011" s="131"/>
      <c r="R2011" s="131"/>
      <c r="S2011" s="131"/>
      <c r="T2011" s="131"/>
      <c r="U2011" s="131"/>
      <c r="V2011" s="131"/>
      <c r="W2011" s="131"/>
      <c r="X2011" s="131"/>
      <c r="Y2011" s="131"/>
      <c r="Z2011" s="131"/>
    </row>
    <row r="2012">
      <c r="A2012" s="262"/>
      <c r="B2012" s="262"/>
      <c r="C2012" s="262"/>
      <c r="D2012" s="262"/>
      <c r="E2012" s="260"/>
      <c r="F2012" s="132"/>
      <c r="G2012" s="140"/>
      <c r="H2012" s="131"/>
      <c r="I2012" s="131"/>
      <c r="J2012" s="131"/>
      <c r="K2012" s="131"/>
      <c r="L2012" s="131"/>
      <c r="M2012" s="131"/>
      <c r="N2012" s="131"/>
      <c r="O2012" s="131"/>
      <c r="P2012" s="131"/>
      <c r="Q2012" s="131"/>
      <c r="R2012" s="131"/>
      <c r="S2012" s="131"/>
      <c r="T2012" s="131"/>
      <c r="U2012" s="131"/>
      <c r="V2012" s="131"/>
      <c r="W2012" s="131"/>
      <c r="X2012" s="131"/>
      <c r="Y2012" s="131"/>
      <c r="Z2012" s="131"/>
    </row>
    <row r="2013">
      <c r="A2013" s="262"/>
      <c r="B2013" s="262"/>
      <c r="C2013" s="262"/>
      <c r="D2013" s="262"/>
      <c r="E2013" s="260"/>
      <c r="F2013" s="132"/>
      <c r="G2013" s="140"/>
      <c r="H2013" s="131"/>
      <c r="I2013" s="131"/>
      <c r="J2013" s="131"/>
      <c r="K2013" s="131"/>
      <c r="L2013" s="131"/>
      <c r="M2013" s="131"/>
      <c r="N2013" s="131"/>
      <c r="O2013" s="131"/>
      <c r="P2013" s="131"/>
      <c r="Q2013" s="131"/>
      <c r="R2013" s="131"/>
      <c r="S2013" s="131"/>
      <c r="T2013" s="131"/>
      <c r="U2013" s="131"/>
      <c r="V2013" s="131"/>
      <c r="W2013" s="131"/>
      <c r="X2013" s="131"/>
      <c r="Y2013" s="131"/>
      <c r="Z2013" s="131"/>
    </row>
    <row r="2014">
      <c r="A2014" s="262"/>
      <c r="B2014" s="262"/>
      <c r="C2014" s="262"/>
      <c r="D2014" s="262"/>
      <c r="E2014" s="260"/>
      <c r="F2014" s="132"/>
      <c r="G2014" s="140"/>
      <c r="H2014" s="131"/>
      <c r="I2014" s="131"/>
      <c r="J2014" s="131"/>
      <c r="K2014" s="131"/>
      <c r="L2014" s="131"/>
      <c r="M2014" s="131"/>
      <c r="N2014" s="131"/>
      <c r="O2014" s="131"/>
      <c r="P2014" s="131"/>
      <c r="Q2014" s="131"/>
      <c r="R2014" s="131"/>
      <c r="S2014" s="131"/>
      <c r="T2014" s="131"/>
      <c r="U2014" s="131"/>
      <c r="V2014" s="131"/>
      <c r="W2014" s="131"/>
      <c r="X2014" s="131"/>
      <c r="Y2014" s="131"/>
      <c r="Z2014" s="131"/>
    </row>
    <row r="2015">
      <c r="A2015" s="262"/>
      <c r="B2015" s="262"/>
      <c r="C2015" s="262"/>
      <c r="D2015" s="262"/>
      <c r="E2015" s="260"/>
      <c r="F2015" s="132"/>
      <c r="G2015" s="140"/>
      <c r="H2015" s="131"/>
      <c r="I2015" s="131"/>
      <c r="J2015" s="131"/>
      <c r="K2015" s="131"/>
      <c r="L2015" s="131"/>
      <c r="M2015" s="131"/>
      <c r="N2015" s="131"/>
      <c r="O2015" s="131"/>
      <c r="P2015" s="131"/>
      <c r="Q2015" s="131"/>
      <c r="R2015" s="131"/>
      <c r="S2015" s="131"/>
      <c r="T2015" s="131"/>
      <c r="U2015" s="131"/>
      <c r="V2015" s="131"/>
      <c r="W2015" s="131"/>
      <c r="X2015" s="131"/>
      <c r="Y2015" s="131"/>
      <c r="Z2015" s="131"/>
    </row>
    <row r="2016">
      <c r="A2016" s="262"/>
      <c r="B2016" s="262"/>
      <c r="C2016" s="262"/>
      <c r="D2016" s="262"/>
      <c r="E2016" s="260"/>
      <c r="F2016" s="132"/>
      <c r="G2016" s="140"/>
      <c r="H2016" s="131"/>
      <c r="I2016" s="131"/>
      <c r="J2016" s="131"/>
      <c r="K2016" s="131"/>
      <c r="L2016" s="131"/>
      <c r="M2016" s="131"/>
      <c r="N2016" s="131"/>
      <c r="O2016" s="131"/>
      <c r="P2016" s="131"/>
      <c r="Q2016" s="131"/>
      <c r="R2016" s="131"/>
      <c r="S2016" s="131"/>
      <c r="T2016" s="131"/>
      <c r="U2016" s="131"/>
      <c r="V2016" s="131"/>
      <c r="W2016" s="131"/>
      <c r="X2016" s="131"/>
      <c r="Y2016" s="131"/>
      <c r="Z2016" s="131"/>
    </row>
    <row r="2017">
      <c r="A2017" s="262"/>
      <c r="B2017" s="262"/>
      <c r="C2017" s="262"/>
      <c r="D2017" s="262"/>
      <c r="E2017" s="260"/>
      <c r="F2017" s="132"/>
      <c r="G2017" s="140"/>
      <c r="H2017" s="131"/>
      <c r="I2017" s="131"/>
      <c r="J2017" s="131"/>
      <c r="K2017" s="131"/>
      <c r="L2017" s="131"/>
      <c r="M2017" s="131"/>
      <c r="N2017" s="131"/>
      <c r="O2017" s="131"/>
      <c r="P2017" s="131"/>
      <c r="Q2017" s="131"/>
      <c r="R2017" s="131"/>
      <c r="S2017" s="131"/>
      <c r="T2017" s="131"/>
      <c r="U2017" s="131"/>
      <c r="V2017" s="131"/>
      <c r="W2017" s="131"/>
      <c r="X2017" s="131"/>
      <c r="Y2017" s="131"/>
      <c r="Z2017" s="131"/>
    </row>
    <row r="2018">
      <c r="A2018" s="262"/>
      <c r="B2018" s="262"/>
      <c r="C2018" s="262"/>
      <c r="D2018" s="262"/>
      <c r="E2018" s="260"/>
      <c r="F2018" s="132"/>
      <c r="G2018" s="140"/>
      <c r="H2018" s="131"/>
      <c r="I2018" s="131"/>
      <c r="J2018" s="131"/>
      <c r="K2018" s="131"/>
      <c r="L2018" s="131"/>
      <c r="M2018" s="131"/>
      <c r="N2018" s="131"/>
      <c r="O2018" s="131"/>
      <c r="P2018" s="131"/>
      <c r="Q2018" s="131"/>
      <c r="R2018" s="131"/>
      <c r="S2018" s="131"/>
      <c r="T2018" s="131"/>
      <c r="U2018" s="131"/>
      <c r="V2018" s="131"/>
      <c r="W2018" s="131"/>
      <c r="X2018" s="131"/>
      <c r="Y2018" s="131"/>
      <c r="Z2018" s="131"/>
    </row>
    <row r="2019">
      <c r="A2019" s="262"/>
      <c r="B2019" s="262"/>
      <c r="C2019" s="262"/>
      <c r="D2019" s="262"/>
      <c r="E2019" s="260"/>
      <c r="F2019" s="132"/>
      <c r="G2019" s="140"/>
      <c r="H2019" s="131"/>
      <c r="I2019" s="131"/>
      <c r="J2019" s="131"/>
      <c r="K2019" s="131"/>
      <c r="L2019" s="131"/>
      <c r="M2019" s="131"/>
      <c r="N2019" s="131"/>
      <c r="O2019" s="131"/>
      <c r="P2019" s="131"/>
      <c r="Q2019" s="131"/>
      <c r="R2019" s="131"/>
      <c r="S2019" s="131"/>
      <c r="T2019" s="131"/>
      <c r="U2019" s="131"/>
      <c r="V2019" s="131"/>
      <c r="W2019" s="131"/>
      <c r="X2019" s="131"/>
      <c r="Y2019" s="131"/>
      <c r="Z2019" s="131"/>
    </row>
    <row r="2020">
      <c r="A2020" s="262"/>
      <c r="B2020" s="262"/>
      <c r="C2020" s="262"/>
      <c r="D2020" s="262"/>
      <c r="E2020" s="260"/>
      <c r="F2020" s="132"/>
      <c r="G2020" s="140"/>
      <c r="H2020" s="131"/>
      <c r="I2020" s="131"/>
      <c r="J2020" s="131"/>
      <c r="K2020" s="131"/>
      <c r="L2020" s="131"/>
      <c r="M2020" s="131"/>
      <c r="N2020" s="131"/>
      <c r="O2020" s="131"/>
      <c r="P2020" s="131"/>
      <c r="Q2020" s="131"/>
      <c r="R2020" s="131"/>
      <c r="S2020" s="131"/>
      <c r="T2020" s="131"/>
      <c r="U2020" s="131"/>
      <c r="V2020" s="131"/>
      <c r="W2020" s="131"/>
      <c r="X2020" s="131"/>
      <c r="Y2020" s="131"/>
      <c r="Z2020" s="131"/>
    </row>
    <row r="2021">
      <c r="A2021" s="262"/>
      <c r="B2021" s="262"/>
      <c r="C2021" s="262"/>
      <c r="D2021" s="262"/>
      <c r="E2021" s="260"/>
      <c r="F2021" s="132"/>
      <c r="G2021" s="140"/>
      <c r="H2021" s="131"/>
      <c r="I2021" s="131"/>
      <c r="J2021" s="131"/>
      <c r="K2021" s="131"/>
      <c r="L2021" s="131"/>
      <c r="M2021" s="131"/>
      <c r="N2021" s="131"/>
      <c r="O2021" s="131"/>
      <c r="P2021" s="131"/>
      <c r="Q2021" s="131"/>
      <c r="R2021" s="131"/>
      <c r="S2021" s="131"/>
      <c r="T2021" s="131"/>
      <c r="U2021" s="131"/>
      <c r="V2021" s="131"/>
      <c r="W2021" s="131"/>
      <c r="X2021" s="131"/>
      <c r="Y2021" s="131"/>
      <c r="Z2021" s="131"/>
    </row>
    <row r="2022">
      <c r="A2022" s="262"/>
      <c r="B2022" s="262"/>
      <c r="C2022" s="262"/>
      <c r="D2022" s="262"/>
      <c r="E2022" s="260"/>
      <c r="F2022" s="132"/>
      <c r="G2022" s="140"/>
      <c r="H2022" s="131"/>
      <c r="I2022" s="131"/>
      <c r="J2022" s="131"/>
      <c r="K2022" s="131"/>
      <c r="L2022" s="131"/>
      <c r="M2022" s="131"/>
      <c r="N2022" s="131"/>
      <c r="O2022" s="131"/>
      <c r="P2022" s="131"/>
      <c r="Q2022" s="131"/>
      <c r="R2022" s="131"/>
      <c r="S2022" s="131"/>
      <c r="T2022" s="131"/>
      <c r="U2022" s="131"/>
      <c r="V2022" s="131"/>
      <c r="W2022" s="131"/>
      <c r="X2022" s="131"/>
      <c r="Y2022" s="131"/>
      <c r="Z2022" s="131"/>
    </row>
    <row r="2023">
      <c r="A2023" s="262"/>
      <c r="B2023" s="262"/>
      <c r="C2023" s="262"/>
      <c r="D2023" s="262"/>
      <c r="E2023" s="260"/>
      <c r="F2023" s="132"/>
      <c r="G2023" s="140"/>
      <c r="H2023" s="131"/>
      <c r="I2023" s="131"/>
      <c r="J2023" s="131"/>
      <c r="K2023" s="131"/>
      <c r="L2023" s="131"/>
      <c r="M2023" s="131"/>
      <c r="N2023" s="131"/>
      <c r="O2023" s="131"/>
      <c r="P2023" s="131"/>
      <c r="Q2023" s="131"/>
      <c r="R2023" s="131"/>
      <c r="S2023" s="131"/>
      <c r="T2023" s="131"/>
      <c r="U2023" s="131"/>
      <c r="V2023" s="131"/>
      <c r="W2023" s="131"/>
      <c r="X2023" s="131"/>
      <c r="Y2023" s="131"/>
      <c r="Z2023" s="131"/>
    </row>
    <row r="2024">
      <c r="A2024" s="262"/>
      <c r="B2024" s="262"/>
      <c r="C2024" s="262"/>
      <c r="D2024" s="262"/>
      <c r="E2024" s="260"/>
      <c r="F2024" s="132"/>
      <c r="G2024" s="140"/>
      <c r="H2024" s="131"/>
      <c r="I2024" s="131"/>
      <c r="J2024" s="131"/>
      <c r="K2024" s="131"/>
      <c r="L2024" s="131"/>
      <c r="M2024" s="131"/>
      <c r="N2024" s="131"/>
      <c r="O2024" s="131"/>
      <c r="P2024" s="131"/>
      <c r="Q2024" s="131"/>
      <c r="R2024" s="131"/>
      <c r="S2024" s="131"/>
      <c r="T2024" s="131"/>
      <c r="U2024" s="131"/>
      <c r="V2024" s="131"/>
      <c r="W2024" s="131"/>
      <c r="X2024" s="131"/>
      <c r="Y2024" s="131"/>
      <c r="Z2024" s="131"/>
    </row>
    <row r="2025">
      <c r="A2025" s="262"/>
      <c r="B2025" s="262"/>
      <c r="C2025" s="262"/>
      <c r="D2025" s="262"/>
      <c r="E2025" s="260"/>
      <c r="F2025" s="132"/>
      <c r="G2025" s="140"/>
      <c r="H2025" s="131"/>
      <c r="I2025" s="131"/>
      <c r="J2025" s="131"/>
      <c r="K2025" s="131"/>
      <c r="L2025" s="131"/>
      <c r="M2025" s="131"/>
      <c r="N2025" s="131"/>
      <c r="O2025" s="131"/>
      <c r="P2025" s="131"/>
      <c r="Q2025" s="131"/>
      <c r="R2025" s="131"/>
      <c r="S2025" s="131"/>
      <c r="T2025" s="131"/>
      <c r="U2025" s="131"/>
      <c r="V2025" s="131"/>
      <c r="W2025" s="131"/>
      <c r="X2025" s="131"/>
      <c r="Y2025" s="131"/>
      <c r="Z2025" s="131"/>
    </row>
    <row r="2026">
      <c r="A2026" s="262"/>
      <c r="B2026" s="262"/>
      <c r="C2026" s="262"/>
      <c r="D2026" s="262"/>
      <c r="E2026" s="260"/>
      <c r="F2026" s="132"/>
      <c r="G2026" s="140"/>
      <c r="H2026" s="131"/>
      <c r="I2026" s="131"/>
      <c r="J2026" s="131"/>
      <c r="K2026" s="131"/>
      <c r="L2026" s="131"/>
      <c r="M2026" s="131"/>
      <c r="N2026" s="131"/>
      <c r="O2026" s="131"/>
      <c r="P2026" s="131"/>
      <c r="Q2026" s="131"/>
      <c r="R2026" s="131"/>
      <c r="S2026" s="131"/>
      <c r="T2026" s="131"/>
      <c r="U2026" s="131"/>
      <c r="V2026" s="131"/>
      <c r="W2026" s="131"/>
      <c r="X2026" s="131"/>
      <c r="Y2026" s="131"/>
      <c r="Z2026" s="131"/>
    </row>
    <row r="2027">
      <c r="A2027" s="262"/>
      <c r="B2027" s="262"/>
      <c r="C2027" s="262"/>
      <c r="D2027" s="262"/>
      <c r="E2027" s="260"/>
      <c r="F2027" s="132"/>
      <c r="G2027" s="140"/>
      <c r="H2027" s="131"/>
      <c r="I2027" s="131"/>
      <c r="J2027" s="131"/>
      <c r="K2027" s="131"/>
      <c r="L2027" s="131"/>
      <c r="M2027" s="131"/>
      <c r="N2027" s="131"/>
      <c r="O2027" s="131"/>
      <c r="P2027" s="131"/>
      <c r="Q2027" s="131"/>
      <c r="R2027" s="131"/>
      <c r="S2027" s="131"/>
      <c r="T2027" s="131"/>
      <c r="U2027" s="131"/>
      <c r="V2027" s="131"/>
      <c r="W2027" s="131"/>
      <c r="X2027" s="131"/>
      <c r="Y2027" s="131"/>
      <c r="Z2027" s="131"/>
    </row>
    <row r="2028">
      <c r="A2028" s="262"/>
      <c r="B2028" s="262"/>
      <c r="C2028" s="262"/>
      <c r="D2028" s="262"/>
      <c r="E2028" s="260"/>
      <c r="F2028" s="132"/>
      <c r="G2028" s="140"/>
      <c r="H2028" s="131"/>
      <c r="I2028" s="131"/>
      <c r="J2028" s="131"/>
      <c r="K2028" s="131"/>
      <c r="L2028" s="131"/>
      <c r="M2028" s="131"/>
      <c r="N2028" s="131"/>
      <c r="O2028" s="131"/>
      <c r="P2028" s="131"/>
      <c r="Q2028" s="131"/>
      <c r="R2028" s="131"/>
      <c r="S2028" s="131"/>
      <c r="T2028" s="131"/>
      <c r="U2028" s="131"/>
      <c r="V2028" s="131"/>
      <c r="W2028" s="131"/>
      <c r="X2028" s="131"/>
      <c r="Y2028" s="131"/>
      <c r="Z2028" s="131"/>
    </row>
    <row r="2029">
      <c r="A2029" s="262"/>
      <c r="B2029" s="262"/>
      <c r="C2029" s="262"/>
      <c r="D2029" s="262"/>
      <c r="E2029" s="260"/>
      <c r="F2029" s="132"/>
      <c r="G2029" s="140"/>
      <c r="H2029" s="131"/>
      <c r="I2029" s="131"/>
      <c r="J2029" s="131"/>
      <c r="K2029" s="131"/>
      <c r="L2029" s="131"/>
      <c r="M2029" s="131"/>
      <c r="N2029" s="131"/>
      <c r="O2029" s="131"/>
      <c r="P2029" s="131"/>
      <c r="Q2029" s="131"/>
      <c r="R2029" s="131"/>
      <c r="S2029" s="131"/>
      <c r="T2029" s="131"/>
      <c r="U2029" s="131"/>
      <c r="V2029" s="131"/>
      <c r="W2029" s="131"/>
      <c r="X2029" s="131"/>
      <c r="Y2029" s="131"/>
      <c r="Z2029" s="131"/>
    </row>
    <row r="2030">
      <c r="A2030" s="262"/>
      <c r="B2030" s="262"/>
      <c r="C2030" s="262"/>
      <c r="D2030" s="262"/>
      <c r="E2030" s="260"/>
      <c r="F2030" s="132"/>
      <c r="G2030" s="140"/>
      <c r="H2030" s="131"/>
      <c r="I2030" s="131"/>
      <c r="J2030" s="131"/>
      <c r="K2030" s="131"/>
      <c r="L2030" s="131"/>
      <c r="M2030" s="131"/>
      <c r="N2030" s="131"/>
      <c r="O2030" s="131"/>
      <c r="P2030" s="131"/>
      <c r="Q2030" s="131"/>
      <c r="R2030" s="131"/>
      <c r="S2030" s="131"/>
      <c r="T2030" s="131"/>
      <c r="U2030" s="131"/>
      <c r="V2030" s="131"/>
      <c r="W2030" s="131"/>
      <c r="X2030" s="131"/>
      <c r="Y2030" s="131"/>
      <c r="Z2030" s="131"/>
    </row>
    <row r="2031">
      <c r="A2031" s="262"/>
      <c r="B2031" s="262"/>
      <c r="C2031" s="262"/>
      <c r="D2031" s="262"/>
      <c r="E2031" s="260"/>
      <c r="F2031" s="132"/>
      <c r="G2031" s="140"/>
      <c r="H2031" s="131"/>
      <c r="I2031" s="131"/>
      <c r="J2031" s="131"/>
      <c r="K2031" s="131"/>
      <c r="L2031" s="131"/>
      <c r="M2031" s="131"/>
      <c r="N2031" s="131"/>
      <c r="O2031" s="131"/>
      <c r="P2031" s="131"/>
      <c r="Q2031" s="131"/>
      <c r="R2031" s="131"/>
      <c r="S2031" s="131"/>
      <c r="T2031" s="131"/>
      <c r="U2031" s="131"/>
      <c r="V2031" s="131"/>
      <c r="W2031" s="131"/>
      <c r="X2031" s="131"/>
      <c r="Y2031" s="131"/>
      <c r="Z2031" s="131"/>
    </row>
    <row r="2032">
      <c r="A2032" s="262"/>
      <c r="B2032" s="262"/>
      <c r="C2032" s="262"/>
      <c r="D2032" s="262"/>
      <c r="E2032" s="260"/>
      <c r="F2032" s="132"/>
      <c r="G2032" s="140"/>
      <c r="H2032" s="131"/>
      <c r="I2032" s="131"/>
      <c r="J2032" s="131"/>
      <c r="K2032" s="131"/>
      <c r="L2032" s="131"/>
      <c r="M2032" s="131"/>
      <c r="N2032" s="131"/>
      <c r="O2032" s="131"/>
      <c r="P2032" s="131"/>
      <c r="Q2032" s="131"/>
      <c r="R2032" s="131"/>
      <c r="S2032" s="131"/>
      <c r="T2032" s="131"/>
      <c r="U2032" s="131"/>
      <c r="V2032" s="131"/>
      <c r="W2032" s="131"/>
      <c r="X2032" s="131"/>
      <c r="Y2032" s="131"/>
      <c r="Z2032" s="131"/>
    </row>
    <row r="2033">
      <c r="A2033" s="262"/>
      <c r="B2033" s="262"/>
      <c r="C2033" s="262"/>
      <c r="D2033" s="262"/>
      <c r="E2033" s="260"/>
      <c r="F2033" s="132"/>
      <c r="G2033" s="140"/>
      <c r="H2033" s="131"/>
      <c r="I2033" s="131"/>
      <c r="J2033" s="131"/>
      <c r="K2033" s="131"/>
      <c r="L2033" s="131"/>
      <c r="M2033" s="131"/>
      <c r="N2033" s="131"/>
      <c r="O2033" s="131"/>
      <c r="P2033" s="131"/>
      <c r="Q2033" s="131"/>
      <c r="R2033" s="131"/>
      <c r="S2033" s="131"/>
      <c r="T2033" s="131"/>
      <c r="U2033" s="131"/>
      <c r="V2033" s="131"/>
      <c r="W2033" s="131"/>
      <c r="X2033" s="131"/>
      <c r="Y2033" s="131"/>
      <c r="Z2033" s="131"/>
    </row>
    <row r="2034">
      <c r="A2034" s="262"/>
      <c r="B2034" s="262"/>
      <c r="C2034" s="262"/>
      <c r="D2034" s="262"/>
      <c r="E2034" s="260"/>
      <c r="F2034" s="132"/>
      <c r="G2034" s="140"/>
      <c r="H2034" s="131"/>
      <c r="I2034" s="131"/>
      <c r="J2034" s="131"/>
      <c r="K2034" s="131"/>
      <c r="L2034" s="131"/>
      <c r="M2034" s="131"/>
      <c r="N2034" s="131"/>
      <c r="O2034" s="131"/>
      <c r="P2034" s="131"/>
      <c r="Q2034" s="131"/>
      <c r="R2034" s="131"/>
      <c r="S2034" s="131"/>
      <c r="T2034" s="131"/>
      <c r="U2034" s="131"/>
      <c r="V2034" s="131"/>
      <c r="W2034" s="131"/>
      <c r="X2034" s="131"/>
      <c r="Y2034" s="131"/>
      <c r="Z2034" s="131"/>
    </row>
    <row r="2035">
      <c r="A2035" s="262"/>
      <c r="B2035" s="262"/>
      <c r="C2035" s="262"/>
      <c r="D2035" s="262"/>
      <c r="E2035" s="260"/>
      <c r="F2035" s="132"/>
      <c r="G2035" s="140"/>
      <c r="H2035" s="131"/>
      <c r="I2035" s="131"/>
      <c r="J2035" s="131"/>
      <c r="K2035" s="131"/>
      <c r="L2035" s="131"/>
      <c r="M2035" s="131"/>
      <c r="N2035" s="131"/>
      <c r="O2035" s="131"/>
      <c r="P2035" s="131"/>
      <c r="Q2035" s="131"/>
      <c r="R2035" s="131"/>
      <c r="S2035" s="131"/>
      <c r="T2035" s="131"/>
      <c r="U2035" s="131"/>
      <c r="V2035" s="131"/>
      <c r="W2035" s="131"/>
      <c r="X2035" s="131"/>
      <c r="Y2035" s="131"/>
      <c r="Z2035" s="131"/>
    </row>
    <row r="2036">
      <c r="A2036" s="262"/>
      <c r="B2036" s="262"/>
      <c r="C2036" s="262"/>
      <c r="D2036" s="262"/>
      <c r="E2036" s="260"/>
      <c r="F2036" s="132"/>
      <c r="G2036" s="140"/>
      <c r="H2036" s="131"/>
      <c r="I2036" s="131"/>
      <c r="J2036" s="131"/>
      <c r="K2036" s="131"/>
      <c r="L2036" s="131"/>
      <c r="M2036" s="131"/>
      <c r="N2036" s="131"/>
      <c r="O2036" s="131"/>
      <c r="P2036" s="131"/>
      <c r="Q2036" s="131"/>
      <c r="R2036" s="131"/>
      <c r="S2036" s="131"/>
      <c r="T2036" s="131"/>
      <c r="U2036" s="131"/>
      <c r="V2036" s="131"/>
      <c r="W2036" s="131"/>
      <c r="X2036" s="131"/>
      <c r="Y2036" s="131"/>
      <c r="Z2036" s="131"/>
    </row>
    <row r="2037">
      <c r="A2037" s="262"/>
      <c r="B2037" s="262"/>
      <c r="C2037" s="262"/>
      <c r="D2037" s="262"/>
      <c r="E2037" s="260"/>
      <c r="F2037" s="132"/>
      <c r="G2037" s="140"/>
      <c r="H2037" s="131"/>
      <c r="I2037" s="131"/>
      <c r="J2037" s="131"/>
      <c r="K2037" s="131"/>
      <c r="L2037" s="131"/>
      <c r="M2037" s="131"/>
      <c r="N2037" s="131"/>
      <c r="O2037" s="131"/>
      <c r="P2037" s="131"/>
      <c r="Q2037" s="131"/>
      <c r="R2037" s="131"/>
      <c r="S2037" s="131"/>
      <c r="T2037" s="131"/>
      <c r="U2037" s="131"/>
      <c r="V2037" s="131"/>
      <c r="W2037" s="131"/>
      <c r="X2037" s="131"/>
      <c r="Y2037" s="131"/>
      <c r="Z2037" s="131"/>
    </row>
    <row r="2038">
      <c r="A2038" s="262"/>
      <c r="B2038" s="262"/>
      <c r="C2038" s="262"/>
      <c r="D2038" s="262"/>
      <c r="E2038" s="260"/>
      <c r="F2038" s="132"/>
      <c r="G2038" s="140"/>
      <c r="H2038" s="131"/>
      <c r="I2038" s="131"/>
      <c r="J2038" s="131"/>
      <c r="K2038" s="131"/>
      <c r="L2038" s="131"/>
      <c r="M2038" s="131"/>
      <c r="N2038" s="131"/>
      <c r="O2038" s="131"/>
      <c r="P2038" s="131"/>
      <c r="Q2038" s="131"/>
      <c r="R2038" s="131"/>
      <c r="S2038" s="131"/>
      <c r="T2038" s="131"/>
      <c r="U2038" s="131"/>
      <c r="V2038" s="131"/>
      <c r="W2038" s="131"/>
      <c r="X2038" s="131"/>
      <c r="Y2038" s="131"/>
      <c r="Z2038" s="131"/>
    </row>
    <row r="2039">
      <c r="A2039" s="262"/>
      <c r="B2039" s="262"/>
      <c r="C2039" s="262"/>
      <c r="D2039" s="262"/>
      <c r="E2039" s="260"/>
      <c r="F2039" s="132"/>
      <c r="G2039" s="140"/>
      <c r="H2039" s="131"/>
      <c r="I2039" s="131"/>
      <c r="J2039" s="131"/>
      <c r="K2039" s="131"/>
      <c r="L2039" s="131"/>
      <c r="M2039" s="131"/>
      <c r="N2039" s="131"/>
      <c r="O2039" s="131"/>
      <c r="P2039" s="131"/>
      <c r="Q2039" s="131"/>
      <c r="R2039" s="131"/>
      <c r="S2039" s="131"/>
      <c r="T2039" s="131"/>
      <c r="U2039" s="131"/>
      <c r="V2039" s="131"/>
      <c r="W2039" s="131"/>
      <c r="X2039" s="131"/>
      <c r="Y2039" s="131"/>
      <c r="Z2039" s="131"/>
    </row>
    <row r="2040">
      <c r="A2040" s="262"/>
      <c r="B2040" s="262"/>
      <c r="C2040" s="262"/>
      <c r="D2040" s="262"/>
      <c r="E2040" s="260"/>
      <c r="F2040" s="132"/>
      <c r="G2040" s="140"/>
      <c r="H2040" s="131"/>
      <c r="I2040" s="131"/>
      <c r="J2040" s="131"/>
      <c r="K2040" s="131"/>
      <c r="L2040" s="131"/>
      <c r="M2040" s="131"/>
      <c r="N2040" s="131"/>
      <c r="O2040" s="131"/>
      <c r="P2040" s="131"/>
      <c r="Q2040" s="131"/>
      <c r="R2040" s="131"/>
      <c r="S2040" s="131"/>
      <c r="T2040" s="131"/>
      <c r="U2040" s="131"/>
      <c r="V2040" s="131"/>
      <c r="W2040" s="131"/>
      <c r="X2040" s="131"/>
      <c r="Y2040" s="131"/>
      <c r="Z2040" s="131"/>
    </row>
    <row r="2041">
      <c r="A2041" s="262"/>
      <c r="B2041" s="262"/>
      <c r="C2041" s="262"/>
      <c r="D2041" s="262"/>
      <c r="E2041" s="260"/>
      <c r="F2041" s="132"/>
      <c r="G2041" s="140"/>
      <c r="H2041" s="131"/>
      <c r="I2041" s="131"/>
      <c r="J2041" s="131"/>
      <c r="K2041" s="131"/>
      <c r="L2041" s="131"/>
      <c r="M2041" s="131"/>
      <c r="N2041" s="131"/>
      <c r="O2041" s="131"/>
      <c r="P2041" s="131"/>
      <c r="Q2041" s="131"/>
      <c r="R2041" s="131"/>
      <c r="S2041" s="131"/>
      <c r="T2041" s="131"/>
      <c r="U2041" s="131"/>
      <c r="V2041" s="131"/>
      <c r="W2041" s="131"/>
      <c r="X2041" s="131"/>
      <c r="Y2041" s="131"/>
      <c r="Z2041" s="131"/>
    </row>
    <row r="2042">
      <c r="A2042" s="262"/>
      <c r="B2042" s="262"/>
      <c r="C2042" s="262"/>
      <c r="D2042" s="262"/>
      <c r="E2042" s="260"/>
      <c r="F2042" s="132"/>
      <c r="G2042" s="140"/>
      <c r="H2042" s="131"/>
      <c r="I2042" s="131"/>
      <c r="J2042" s="131"/>
      <c r="K2042" s="131"/>
      <c r="L2042" s="131"/>
      <c r="M2042" s="131"/>
      <c r="N2042" s="131"/>
      <c r="O2042" s="131"/>
      <c r="P2042" s="131"/>
      <c r="Q2042" s="131"/>
      <c r="R2042" s="131"/>
      <c r="S2042" s="131"/>
      <c r="T2042" s="131"/>
      <c r="U2042" s="131"/>
      <c r="V2042" s="131"/>
      <c r="W2042" s="131"/>
      <c r="X2042" s="131"/>
      <c r="Y2042" s="131"/>
      <c r="Z2042" s="131"/>
    </row>
    <row r="2043">
      <c r="A2043" s="262"/>
      <c r="B2043" s="262"/>
      <c r="C2043" s="262"/>
      <c r="D2043" s="262"/>
      <c r="E2043" s="260"/>
      <c r="F2043" s="132"/>
      <c r="G2043" s="140"/>
      <c r="H2043" s="131"/>
      <c r="I2043" s="131"/>
      <c r="J2043" s="131"/>
      <c r="K2043" s="131"/>
      <c r="L2043" s="131"/>
      <c r="M2043" s="131"/>
      <c r="N2043" s="131"/>
      <c r="O2043" s="131"/>
      <c r="P2043" s="131"/>
      <c r="Q2043" s="131"/>
      <c r="R2043" s="131"/>
      <c r="S2043" s="131"/>
      <c r="T2043" s="131"/>
      <c r="U2043" s="131"/>
      <c r="V2043" s="131"/>
      <c r="W2043" s="131"/>
      <c r="X2043" s="131"/>
      <c r="Y2043" s="131"/>
      <c r="Z2043" s="131"/>
    </row>
    <row r="2044">
      <c r="A2044" s="262"/>
      <c r="B2044" s="262"/>
      <c r="C2044" s="262"/>
      <c r="D2044" s="262"/>
      <c r="E2044" s="260"/>
      <c r="F2044" s="132"/>
      <c r="G2044" s="140"/>
      <c r="H2044" s="131"/>
      <c r="I2044" s="131"/>
      <c r="J2044" s="131"/>
      <c r="K2044" s="131"/>
      <c r="L2044" s="131"/>
      <c r="M2044" s="131"/>
      <c r="N2044" s="131"/>
      <c r="O2044" s="131"/>
      <c r="P2044" s="131"/>
      <c r="Q2044" s="131"/>
      <c r="R2044" s="131"/>
      <c r="S2044" s="131"/>
      <c r="T2044" s="131"/>
      <c r="U2044" s="131"/>
      <c r="V2044" s="131"/>
      <c r="W2044" s="131"/>
      <c r="X2044" s="131"/>
      <c r="Y2044" s="131"/>
      <c r="Z2044" s="131"/>
    </row>
    <row r="2045">
      <c r="A2045" s="262"/>
      <c r="B2045" s="262"/>
      <c r="C2045" s="262"/>
      <c r="D2045" s="262"/>
      <c r="E2045" s="260"/>
      <c r="F2045" s="132"/>
      <c r="G2045" s="140"/>
      <c r="H2045" s="131"/>
      <c r="I2045" s="131"/>
      <c r="J2045" s="131"/>
      <c r="K2045" s="131"/>
      <c r="L2045" s="131"/>
      <c r="M2045" s="131"/>
      <c r="N2045" s="131"/>
      <c r="O2045" s="131"/>
      <c r="P2045" s="131"/>
      <c r="Q2045" s="131"/>
      <c r="R2045" s="131"/>
      <c r="S2045" s="131"/>
      <c r="T2045" s="131"/>
      <c r="U2045" s="131"/>
      <c r="V2045" s="131"/>
      <c r="W2045" s="131"/>
      <c r="X2045" s="131"/>
      <c r="Y2045" s="131"/>
      <c r="Z2045" s="131"/>
    </row>
    <row r="2046">
      <c r="A2046" s="262"/>
      <c r="B2046" s="262"/>
      <c r="C2046" s="262"/>
      <c r="D2046" s="262"/>
      <c r="E2046" s="260"/>
      <c r="F2046" s="132"/>
      <c r="G2046" s="140"/>
      <c r="H2046" s="131"/>
      <c r="I2046" s="131"/>
      <c r="J2046" s="131"/>
      <c r="K2046" s="131"/>
      <c r="L2046" s="131"/>
      <c r="M2046" s="131"/>
      <c r="N2046" s="131"/>
      <c r="O2046" s="131"/>
      <c r="P2046" s="131"/>
      <c r="Q2046" s="131"/>
      <c r="R2046" s="131"/>
      <c r="S2046" s="131"/>
      <c r="T2046" s="131"/>
      <c r="U2046" s="131"/>
      <c r="V2046" s="131"/>
      <c r="W2046" s="131"/>
      <c r="X2046" s="131"/>
      <c r="Y2046" s="131"/>
      <c r="Z2046" s="131"/>
    </row>
    <row r="2047">
      <c r="A2047" s="262"/>
      <c r="B2047" s="262"/>
      <c r="C2047" s="262"/>
      <c r="D2047" s="262"/>
      <c r="E2047" s="260"/>
      <c r="F2047" s="132"/>
      <c r="G2047" s="140"/>
      <c r="H2047" s="131"/>
      <c r="I2047" s="131"/>
      <c r="J2047" s="131"/>
      <c r="K2047" s="131"/>
      <c r="L2047" s="131"/>
      <c r="M2047" s="131"/>
      <c r="N2047" s="131"/>
      <c r="O2047" s="131"/>
      <c r="P2047" s="131"/>
      <c r="Q2047" s="131"/>
      <c r="R2047" s="131"/>
      <c r="S2047" s="131"/>
      <c r="T2047" s="131"/>
      <c r="U2047" s="131"/>
      <c r="V2047" s="131"/>
      <c r="W2047" s="131"/>
      <c r="X2047" s="131"/>
      <c r="Y2047" s="131"/>
      <c r="Z2047" s="131"/>
    </row>
    <row r="2048">
      <c r="A2048" s="262"/>
      <c r="B2048" s="262"/>
      <c r="C2048" s="262"/>
      <c r="D2048" s="262"/>
      <c r="E2048" s="260"/>
      <c r="F2048" s="132"/>
      <c r="G2048" s="140"/>
      <c r="H2048" s="131"/>
      <c r="I2048" s="131"/>
      <c r="J2048" s="131"/>
      <c r="K2048" s="131"/>
      <c r="L2048" s="131"/>
      <c r="M2048" s="131"/>
      <c r="N2048" s="131"/>
      <c r="O2048" s="131"/>
      <c r="P2048" s="131"/>
      <c r="Q2048" s="131"/>
      <c r="R2048" s="131"/>
      <c r="S2048" s="131"/>
      <c r="T2048" s="131"/>
      <c r="U2048" s="131"/>
      <c r="V2048" s="131"/>
      <c r="W2048" s="131"/>
      <c r="X2048" s="131"/>
      <c r="Y2048" s="131"/>
      <c r="Z2048" s="131"/>
    </row>
    <row r="2049">
      <c r="A2049" s="262"/>
      <c r="B2049" s="262"/>
      <c r="C2049" s="262"/>
      <c r="D2049" s="262"/>
      <c r="E2049" s="260"/>
      <c r="F2049" s="132"/>
      <c r="G2049" s="140"/>
      <c r="H2049" s="131"/>
      <c r="I2049" s="131"/>
      <c r="J2049" s="131"/>
      <c r="K2049" s="131"/>
      <c r="L2049" s="131"/>
      <c r="M2049" s="131"/>
      <c r="N2049" s="131"/>
      <c r="O2049" s="131"/>
      <c r="P2049" s="131"/>
      <c r="Q2049" s="131"/>
      <c r="R2049" s="131"/>
      <c r="S2049" s="131"/>
      <c r="T2049" s="131"/>
      <c r="U2049" s="131"/>
      <c r="V2049" s="131"/>
      <c r="W2049" s="131"/>
      <c r="X2049" s="131"/>
      <c r="Y2049" s="131"/>
      <c r="Z2049" s="131"/>
    </row>
    <row r="2050">
      <c r="A2050" s="262"/>
      <c r="B2050" s="262"/>
      <c r="C2050" s="262"/>
      <c r="D2050" s="262"/>
      <c r="E2050" s="260"/>
      <c r="F2050" s="132"/>
      <c r="G2050" s="140"/>
      <c r="H2050" s="131"/>
      <c r="I2050" s="131"/>
      <c r="J2050" s="131"/>
      <c r="K2050" s="131"/>
      <c r="L2050" s="131"/>
      <c r="M2050" s="131"/>
      <c r="N2050" s="131"/>
      <c r="O2050" s="131"/>
      <c r="P2050" s="131"/>
      <c r="Q2050" s="131"/>
      <c r="R2050" s="131"/>
      <c r="S2050" s="131"/>
      <c r="T2050" s="131"/>
      <c r="U2050" s="131"/>
      <c r="V2050" s="131"/>
      <c r="W2050" s="131"/>
      <c r="X2050" s="131"/>
      <c r="Y2050" s="131"/>
      <c r="Z2050" s="131"/>
    </row>
    <row r="2051">
      <c r="A2051" s="262"/>
      <c r="B2051" s="262"/>
      <c r="C2051" s="262"/>
      <c r="D2051" s="262"/>
      <c r="E2051" s="260"/>
      <c r="F2051" s="132"/>
      <c r="G2051" s="140"/>
      <c r="H2051" s="131"/>
      <c r="I2051" s="131"/>
      <c r="J2051" s="131"/>
      <c r="K2051" s="131"/>
      <c r="L2051" s="131"/>
      <c r="M2051" s="131"/>
      <c r="N2051" s="131"/>
      <c r="O2051" s="131"/>
      <c r="P2051" s="131"/>
      <c r="Q2051" s="131"/>
      <c r="R2051" s="131"/>
      <c r="S2051" s="131"/>
      <c r="T2051" s="131"/>
      <c r="U2051" s="131"/>
      <c r="V2051" s="131"/>
      <c r="W2051" s="131"/>
      <c r="X2051" s="131"/>
      <c r="Y2051" s="131"/>
      <c r="Z2051" s="131"/>
    </row>
    <row r="2052">
      <c r="A2052" s="262"/>
      <c r="B2052" s="262"/>
      <c r="C2052" s="262"/>
      <c r="D2052" s="262"/>
      <c r="E2052" s="260"/>
      <c r="F2052" s="132"/>
      <c r="G2052" s="140"/>
      <c r="H2052" s="131"/>
      <c r="I2052" s="131"/>
      <c r="J2052" s="131"/>
      <c r="K2052" s="131"/>
      <c r="L2052" s="131"/>
      <c r="M2052" s="131"/>
      <c r="N2052" s="131"/>
      <c r="O2052" s="131"/>
      <c r="P2052" s="131"/>
      <c r="Q2052" s="131"/>
      <c r="R2052" s="131"/>
      <c r="S2052" s="131"/>
      <c r="T2052" s="131"/>
      <c r="U2052" s="131"/>
      <c r="V2052" s="131"/>
      <c r="W2052" s="131"/>
      <c r="X2052" s="131"/>
      <c r="Y2052" s="131"/>
      <c r="Z2052" s="131"/>
    </row>
    <row r="2053">
      <c r="A2053" s="262"/>
      <c r="B2053" s="262"/>
      <c r="C2053" s="262"/>
      <c r="D2053" s="262"/>
      <c r="E2053" s="260"/>
      <c r="F2053" s="132"/>
      <c r="G2053" s="140"/>
      <c r="H2053" s="131"/>
      <c r="I2053" s="131"/>
      <c r="J2053" s="131"/>
      <c r="K2053" s="131"/>
      <c r="L2053" s="131"/>
      <c r="M2053" s="131"/>
      <c r="N2053" s="131"/>
      <c r="O2053" s="131"/>
      <c r="P2053" s="131"/>
      <c r="Q2053" s="131"/>
      <c r="R2053" s="131"/>
      <c r="S2053" s="131"/>
      <c r="T2053" s="131"/>
      <c r="U2053" s="131"/>
      <c r="V2053" s="131"/>
      <c r="W2053" s="131"/>
      <c r="X2053" s="131"/>
      <c r="Y2053" s="131"/>
      <c r="Z2053" s="131"/>
    </row>
    <row r="2054">
      <c r="A2054" s="262"/>
      <c r="B2054" s="262"/>
      <c r="C2054" s="262"/>
      <c r="D2054" s="262"/>
      <c r="E2054" s="260"/>
      <c r="F2054" s="132"/>
      <c r="G2054" s="140"/>
      <c r="H2054" s="131"/>
      <c r="I2054" s="131"/>
      <c r="J2054" s="131"/>
      <c r="K2054" s="131"/>
      <c r="L2054" s="131"/>
      <c r="M2054" s="131"/>
      <c r="N2054" s="131"/>
      <c r="O2054" s="131"/>
      <c r="P2054" s="131"/>
      <c r="Q2054" s="131"/>
      <c r="R2054" s="131"/>
      <c r="S2054" s="131"/>
      <c r="T2054" s="131"/>
      <c r="U2054" s="131"/>
      <c r="V2054" s="131"/>
      <c r="W2054" s="131"/>
      <c r="X2054" s="131"/>
      <c r="Y2054" s="131"/>
      <c r="Z2054" s="131"/>
    </row>
    <row r="2055">
      <c r="A2055" s="262"/>
      <c r="B2055" s="262"/>
      <c r="C2055" s="262"/>
      <c r="D2055" s="262"/>
      <c r="E2055" s="260"/>
      <c r="F2055" s="132"/>
      <c r="G2055" s="140"/>
      <c r="H2055" s="131"/>
      <c r="I2055" s="131"/>
      <c r="J2055" s="131"/>
      <c r="K2055" s="131"/>
      <c r="L2055" s="131"/>
      <c r="M2055" s="131"/>
      <c r="N2055" s="131"/>
      <c r="O2055" s="131"/>
      <c r="P2055" s="131"/>
      <c r="Q2055" s="131"/>
      <c r="R2055" s="131"/>
      <c r="S2055" s="131"/>
      <c r="T2055" s="131"/>
      <c r="U2055" s="131"/>
      <c r="V2055" s="131"/>
      <c r="W2055" s="131"/>
      <c r="X2055" s="131"/>
      <c r="Y2055" s="131"/>
      <c r="Z2055" s="131"/>
    </row>
    <row r="2056">
      <c r="A2056" s="262"/>
      <c r="B2056" s="262"/>
      <c r="C2056" s="262"/>
      <c r="D2056" s="262"/>
      <c r="E2056" s="260"/>
      <c r="F2056" s="132"/>
      <c r="G2056" s="140"/>
      <c r="H2056" s="131"/>
      <c r="I2056" s="131"/>
      <c r="J2056" s="131"/>
      <c r="K2056" s="131"/>
      <c r="L2056" s="131"/>
      <c r="M2056" s="131"/>
      <c r="N2056" s="131"/>
      <c r="O2056" s="131"/>
      <c r="P2056" s="131"/>
      <c r="Q2056" s="131"/>
      <c r="R2056" s="131"/>
      <c r="S2056" s="131"/>
      <c r="T2056" s="131"/>
      <c r="U2056" s="131"/>
      <c r="V2056" s="131"/>
      <c r="W2056" s="131"/>
      <c r="X2056" s="131"/>
      <c r="Y2056" s="131"/>
      <c r="Z2056" s="131"/>
    </row>
    <row r="2057">
      <c r="A2057" s="262"/>
      <c r="B2057" s="262"/>
      <c r="C2057" s="262"/>
      <c r="D2057" s="262"/>
      <c r="E2057" s="260"/>
      <c r="F2057" s="132"/>
      <c r="G2057" s="140"/>
      <c r="H2057" s="131"/>
      <c r="I2057" s="131"/>
      <c r="J2057" s="131"/>
      <c r="K2057" s="131"/>
      <c r="L2057" s="131"/>
      <c r="M2057" s="131"/>
      <c r="N2057" s="131"/>
      <c r="O2057" s="131"/>
      <c r="P2057" s="131"/>
      <c r="Q2057" s="131"/>
      <c r="R2057" s="131"/>
      <c r="S2057" s="131"/>
      <c r="T2057" s="131"/>
      <c r="U2057" s="131"/>
      <c r="V2057" s="131"/>
      <c r="W2057" s="131"/>
      <c r="X2057" s="131"/>
      <c r="Y2057" s="131"/>
      <c r="Z2057" s="131"/>
    </row>
    <row r="2058">
      <c r="A2058" s="262"/>
      <c r="B2058" s="262"/>
      <c r="C2058" s="262"/>
      <c r="D2058" s="262"/>
      <c r="E2058" s="260"/>
      <c r="F2058" s="132"/>
      <c r="G2058" s="140"/>
      <c r="H2058" s="131"/>
      <c r="I2058" s="131"/>
      <c r="J2058" s="131"/>
      <c r="K2058" s="131"/>
      <c r="L2058" s="131"/>
      <c r="M2058" s="131"/>
      <c r="N2058" s="131"/>
      <c r="O2058" s="131"/>
      <c r="P2058" s="131"/>
      <c r="Q2058" s="131"/>
      <c r="R2058" s="131"/>
      <c r="S2058" s="131"/>
      <c r="T2058" s="131"/>
      <c r="U2058" s="131"/>
      <c r="V2058" s="131"/>
      <c r="W2058" s="131"/>
      <c r="X2058" s="131"/>
      <c r="Y2058" s="131"/>
      <c r="Z2058" s="131"/>
    </row>
    <row r="2059">
      <c r="A2059" s="262"/>
      <c r="B2059" s="262"/>
      <c r="C2059" s="262"/>
      <c r="D2059" s="262"/>
      <c r="E2059" s="260"/>
      <c r="F2059" s="132"/>
      <c r="G2059" s="140"/>
      <c r="H2059" s="131"/>
      <c r="I2059" s="131"/>
      <c r="J2059" s="131"/>
      <c r="K2059" s="131"/>
      <c r="L2059" s="131"/>
      <c r="M2059" s="131"/>
      <c r="N2059" s="131"/>
      <c r="O2059" s="131"/>
      <c r="P2059" s="131"/>
      <c r="Q2059" s="131"/>
      <c r="R2059" s="131"/>
      <c r="S2059" s="131"/>
      <c r="T2059" s="131"/>
      <c r="U2059" s="131"/>
      <c r="V2059" s="131"/>
      <c r="W2059" s="131"/>
      <c r="X2059" s="131"/>
      <c r="Y2059" s="131"/>
      <c r="Z2059" s="131"/>
    </row>
    <row r="2060">
      <c r="A2060" s="262"/>
      <c r="B2060" s="262"/>
      <c r="C2060" s="262"/>
      <c r="D2060" s="262"/>
      <c r="E2060" s="260"/>
      <c r="F2060" s="132"/>
      <c r="G2060" s="140"/>
      <c r="H2060" s="131"/>
      <c r="I2060" s="131"/>
      <c r="J2060" s="131"/>
      <c r="K2060" s="131"/>
      <c r="L2060" s="131"/>
      <c r="M2060" s="131"/>
      <c r="N2060" s="131"/>
      <c r="O2060" s="131"/>
      <c r="P2060" s="131"/>
      <c r="Q2060" s="131"/>
      <c r="R2060" s="131"/>
      <c r="S2060" s="131"/>
      <c r="T2060" s="131"/>
      <c r="U2060" s="131"/>
      <c r="V2060" s="131"/>
      <c r="W2060" s="131"/>
      <c r="X2060" s="131"/>
      <c r="Y2060" s="131"/>
      <c r="Z2060" s="131"/>
    </row>
    <row r="2061">
      <c r="A2061" s="262"/>
      <c r="B2061" s="262"/>
      <c r="C2061" s="262"/>
      <c r="D2061" s="262"/>
      <c r="E2061" s="260"/>
      <c r="F2061" s="132"/>
      <c r="G2061" s="140"/>
      <c r="H2061" s="131"/>
      <c r="I2061" s="131"/>
      <c r="J2061" s="131"/>
      <c r="K2061" s="131"/>
      <c r="L2061" s="131"/>
      <c r="M2061" s="131"/>
      <c r="N2061" s="131"/>
      <c r="O2061" s="131"/>
      <c r="P2061" s="131"/>
      <c r="Q2061" s="131"/>
      <c r="R2061" s="131"/>
      <c r="S2061" s="131"/>
      <c r="T2061" s="131"/>
      <c r="U2061" s="131"/>
      <c r="V2061" s="131"/>
      <c r="W2061" s="131"/>
      <c r="X2061" s="131"/>
      <c r="Y2061" s="131"/>
      <c r="Z2061" s="131"/>
    </row>
    <row r="2062">
      <c r="A2062" s="262"/>
      <c r="B2062" s="262"/>
      <c r="C2062" s="262"/>
      <c r="D2062" s="262"/>
      <c r="E2062" s="260"/>
      <c r="F2062" s="132"/>
      <c r="G2062" s="140"/>
      <c r="H2062" s="131"/>
      <c r="I2062" s="131"/>
      <c r="J2062" s="131"/>
      <c r="K2062" s="131"/>
      <c r="L2062" s="131"/>
      <c r="M2062" s="131"/>
      <c r="N2062" s="131"/>
      <c r="O2062" s="131"/>
      <c r="P2062" s="131"/>
      <c r="Q2062" s="131"/>
      <c r="R2062" s="131"/>
      <c r="S2062" s="131"/>
      <c r="T2062" s="131"/>
      <c r="U2062" s="131"/>
      <c r="V2062" s="131"/>
      <c r="W2062" s="131"/>
      <c r="X2062" s="131"/>
      <c r="Y2062" s="131"/>
      <c r="Z2062" s="131"/>
    </row>
    <row r="2063">
      <c r="A2063" s="262"/>
      <c r="B2063" s="262"/>
      <c r="C2063" s="262"/>
      <c r="D2063" s="262"/>
      <c r="E2063" s="260"/>
      <c r="F2063" s="132"/>
      <c r="G2063" s="140"/>
      <c r="H2063" s="131"/>
      <c r="I2063" s="131"/>
      <c r="J2063" s="131"/>
      <c r="K2063" s="131"/>
      <c r="L2063" s="131"/>
      <c r="M2063" s="131"/>
      <c r="N2063" s="131"/>
      <c r="O2063" s="131"/>
      <c r="P2063" s="131"/>
      <c r="Q2063" s="131"/>
      <c r="R2063" s="131"/>
      <c r="S2063" s="131"/>
      <c r="T2063" s="131"/>
      <c r="U2063" s="131"/>
      <c r="V2063" s="131"/>
      <c r="W2063" s="131"/>
      <c r="X2063" s="131"/>
      <c r="Y2063" s="131"/>
      <c r="Z2063" s="131"/>
    </row>
    <row r="2064">
      <c r="A2064" s="262"/>
      <c r="B2064" s="262"/>
      <c r="C2064" s="262"/>
      <c r="D2064" s="262"/>
      <c r="E2064" s="260"/>
      <c r="F2064" s="132"/>
      <c r="G2064" s="140"/>
      <c r="H2064" s="131"/>
      <c r="I2064" s="131"/>
      <c r="J2064" s="131"/>
      <c r="K2064" s="131"/>
      <c r="L2064" s="131"/>
      <c r="M2064" s="131"/>
      <c r="N2064" s="131"/>
      <c r="O2064" s="131"/>
      <c r="P2064" s="131"/>
      <c r="Q2064" s="131"/>
      <c r="R2064" s="131"/>
      <c r="S2064" s="131"/>
      <c r="T2064" s="131"/>
      <c r="U2064" s="131"/>
      <c r="V2064" s="131"/>
      <c r="W2064" s="131"/>
      <c r="X2064" s="131"/>
      <c r="Y2064" s="131"/>
      <c r="Z2064" s="131"/>
    </row>
    <row r="2065">
      <c r="A2065" s="262"/>
      <c r="B2065" s="262"/>
      <c r="C2065" s="262"/>
      <c r="D2065" s="262"/>
      <c r="E2065" s="260"/>
      <c r="F2065" s="132"/>
      <c r="G2065" s="140"/>
      <c r="H2065" s="131"/>
      <c r="I2065" s="131"/>
      <c r="J2065" s="131"/>
      <c r="K2065" s="131"/>
      <c r="L2065" s="131"/>
      <c r="M2065" s="131"/>
      <c r="N2065" s="131"/>
      <c r="O2065" s="131"/>
      <c r="P2065" s="131"/>
      <c r="Q2065" s="131"/>
      <c r="R2065" s="131"/>
      <c r="S2065" s="131"/>
      <c r="T2065" s="131"/>
      <c r="U2065" s="131"/>
      <c r="V2065" s="131"/>
      <c r="W2065" s="131"/>
      <c r="X2065" s="131"/>
      <c r="Y2065" s="131"/>
      <c r="Z2065" s="131"/>
    </row>
    <row r="2066">
      <c r="A2066" s="262"/>
      <c r="B2066" s="262"/>
      <c r="C2066" s="262"/>
      <c r="D2066" s="262"/>
      <c r="E2066" s="260"/>
      <c r="F2066" s="132"/>
      <c r="G2066" s="140"/>
      <c r="H2066" s="131"/>
      <c r="I2066" s="131"/>
      <c r="J2066" s="131"/>
      <c r="K2066" s="131"/>
      <c r="L2066" s="131"/>
      <c r="M2066" s="131"/>
      <c r="N2066" s="131"/>
      <c r="O2066" s="131"/>
      <c r="P2066" s="131"/>
      <c r="Q2066" s="131"/>
      <c r="R2066" s="131"/>
      <c r="S2066" s="131"/>
      <c r="T2066" s="131"/>
      <c r="U2066" s="131"/>
      <c r="V2066" s="131"/>
      <c r="W2066" s="131"/>
      <c r="X2066" s="131"/>
      <c r="Y2066" s="131"/>
      <c r="Z2066" s="131"/>
    </row>
    <row r="2067">
      <c r="A2067" s="262"/>
      <c r="B2067" s="262"/>
      <c r="C2067" s="262"/>
      <c r="D2067" s="262"/>
      <c r="E2067" s="260"/>
      <c r="F2067" s="132"/>
      <c r="G2067" s="140"/>
      <c r="H2067" s="131"/>
      <c r="I2067" s="131"/>
      <c r="J2067" s="131"/>
      <c r="K2067" s="131"/>
      <c r="L2067" s="131"/>
      <c r="M2067" s="131"/>
      <c r="N2067" s="131"/>
      <c r="O2067" s="131"/>
      <c r="P2067" s="131"/>
      <c r="Q2067" s="131"/>
      <c r="R2067" s="131"/>
      <c r="S2067" s="131"/>
      <c r="T2067" s="131"/>
      <c r="U2067" s="131"/>
      <c r="V2067" s="131"/>
      <c r="W2067" s="131"/>
      <c r="X2067" s="131"/>
      <c r="Y2067" s="131"/>
      <c r="Z2067" s="131"/>
    </row>
    <row r="2068">
      <c r="A2068" s="262"/>
      <c r="B2068" s="262"/>
      <c r="C2068" s="262"/>
      <c r="D2068" s="262"/>
      <c r="E2068" s="260"/>
      <c r="F2068" s="132"/>
      <c r="G2068" s="140"/>
      <c r="H2068" s="131"/>
      <c r="I2068" s="131"/>
      <c r="J2068" s="131"/>
      <c r="K2068" s="131"/>
      <c r="L2068" s="131"/>
      <c r="M2068" s="131"/>
      <c r="N2068" s="131"/>
      <c r="O2068" s="131"/>
      <c r="P2068" s="131"/>
      <c r="Q2068" s="131"/>
      <c r="R2068" s="131"/>
      <c r="S2068" s="131"/>
      <c r="T2068" s="131"/>
      <c r="U2068" s="131"/>
      <c r="V2068" s="131"/>
      <c r="W2068" s="131"/>
      <c r="X2068" s="131"/>
      <c r="Y2068" s="131"/>
      <c r="Z2068" s="131"/>
    </row>
    <row r="2069">
      <c r="A2069" s="262"/>
      <c r="B2069" s="262"/>
      <c r="C2069" s="262"/>
      <c r="D2069" s="262"/>
      <c r="E2069" s="260"/>
      <c r="F2069" s="132"/>
      <c r="G2069" s="140"/>
      <c r="H2069" s="131"/>
      <c r="I2069" s="131"/>
      <c r="J2069" s="131"/>
      <c r="K2069" s="131"/>
      <c r="L2069" s="131"/>
      <c r="M2069" s="131"/>
      <c r="N2069" s="131"/>
      <c r="O2069" s="131"/>
      <c r="P2069" s="131"/>
      <c r="Q2069" s="131"/>
      <c r="R2069" s="131"/>
      <c r="S2069" s="131"/>
      <c r="T2069" s="131"/>
      <c r="U2069" s="131"/>
      <c r="V2069" s="131"/>
      <c r="W2069" s="131"/>
      <c r="X2069" s="131"/>
      <c r="Y2069" s="131"/>
      <c r="Z2069" s="131"/>
    </row>
    <row r="2070">
      <c r="A2070" s="262"/>
      <c r="B2070" s="262"/>
      <c r="C2070" s="262"/>
      <c r="D2070" s="262"/>
      <c r="E2070" s="260"/>
      <c r="F2070" s="132"/>
      <c r="G2070" s="140"/>
      <c r="H2070" s="131"/>
      <c r="I2070" s="131"/>
      <c r="J2070" s="131"/>
      <c r="K2070" s="131"/>
      <c r="L2070" s="131"/>
      <c r="M2070" s="131"/>
      <c r="N2070" s="131"/>
      <c r="O2070" s="131"/>
      <c r="P2070" s="131"/>
      <c r="Q2070" s="131"/>
      <c r="R2070" s="131"/>
      <c r="S2070" s="131"/>
      <c r="T2070" s="131"/>
      <c r="U2070" s="131"/>
      <c r="V2070" s="131"/>
      <c r="W2070" s="131"/>
      <c r="X2070" s="131"/>
      <c r="Y2070" s="131"/>
      <c r="Z2070" s="131"/>
    </row>
    <row r="2071">
      <c r="A2071" s="262"/>
      <c r="B2071" s="262"/>
      <c r="C2071" s="262"/>
      <c r="D2071" s="262"/>
      <c r="E2071" s="260"/>
      <c r="F2071" s="132"/>
      <c r="G2071" s="140"/>
      <c r="H2071" s="131"/>
      <c r="I2071" s="131"/>
      <c r="J2071" s="131"/>
      <c r="K2071" s="131"/>
      <c r="L2071" s="131"/>
      <c r="M2071" s="131"/>
      <c r="N2071" s="131"/>
      <c r="O2071" s="131"/>
      <c r="P2071" s="131"/>
      <c r="Q2071" s="131"/>
      <c r="R2071" s="131"/>
      <c r="S2071" s="131"/>
      <c r="T2071" s="131"/>
      <c r="U2071" s="131"/>
      <c r="V2071" s="131"/>
      <c r="W2071" s="131"/>
      <c r="X2071" s="131"/>
      <c r="Y2071" s="131"/>
      <c r="Z2071" s="131"/>
    </row>
    <row r="2072">
      <c r="A2072" s="262"/>
      <c r="B2072" s="262"/>
      <c r="C2072" s="262"/>
      <c r="D2072" s="262"/>
      <c r="E2072" s="260"/>
      <c r="F2072" s="132"/>
      <c r="G2072" s="140"/>
      <c r="H2072" s="131"/>
      <c r="I2072" s="131"/>
      <c r="J2072" s="131"/>
      <c r="K2072" s="131"/>
      <c r="L2072" s="131"/>
      <c r="M2072" s="131"/>
      <c r="N2072" s="131"/>
      <c r="O2072" s="131"/>
      <c r="P2072" s="131"/>
      <c r="Q2072" s="131"/>
      <c r="R2072" s="131"/>
      <c r="S2072" s="131"/>
      <c r="T2072" s="131"/>
      <c r="U2072" s="131"/>
      <c r="V2072" s="131"/>
      <c r="W2072" s="131"/>
      <c r="X2072" s="131"/>
      <c r="Y2072" s="131"/>
      <c r="Z2072" s="131"/>
    </row>
    <row r="2073">
      <c r="A2073" s="262"/>
      <c r="B2073" s="262"/>
      <c r="C2073" s="262"/>
      <c r="D2073" s="262"/>
      <c r="E2073" s="260"/>
      <c r="F2073" s="132"/>
      <c r="G2073" s="140"/>
      <c r="H2073" s="131"/>
      <c r="I2073" s="131"/>
      <c r="J2073" s="131"/>
      <c r="K2073" s="131"/>
      <c r="L2073" s="131"/>
      <c r="M2073" s="131"/>
      <c r="N2073" s="131"/>
      <c r="O2073" s="131"/>
      <c r="P2073" s="131"/>
      <c r="Q2073" s="131"/>
      <c r="R2073" s="131"/>
      <c r="S2073" s="131"/>
      <c r="T2073" s="131"/>
      <c r="U2073" s="131"/>
      <c r="V2073" s="131"/>
      <c r="W2073" s="131"/>
      <c r="X2073" s="131"/>
      <c r="Y2073" s="131"/>
      <c r="Z2073" s="131"/>
    </row>
    <row r="2074">
      <c r="A2074" s="262"/>
      <c r="B2074" s="262"/>
      <c r="C2074" s="262"/>
      <c r="D2074" s="262"/>
      <c r="E2074" s="260"/>
      <c r="F2074" s="132"/>
      <c r="G2074" s="140"/>
      <c r="H2074" s="131"/>
      <c r="I2074" s="131"/>
      <c r="J2074" s="131"/>
      <c r="K2074" s="131"/>
      <c r="L2074" s="131"/>
      <c r="M2074" s="131"/>
      <c r="N2074" s="131"/>
      <c r="O2074" s="131"/>
      <c r="P2074" s="131"/>
      <c r="Q2074" s="131"/>
      <c r="R2074" s="131"/>
      <c r="S2074" s="131"/>
      <c r="T2074" s="131"/>
      <c r="U2074" s="131"/>
      <c r="V2074" s="131"/>
      <c r="W2074" s="131"/>
      <c r="X2074" s="131"/>
      <c r="Y2074" s="131"/>
      <c r="Z2074" s="131"/>
    </row>
    <row r="2075">
      <c r="A2075" s="262"/>
      <c r="B2075" s="262"/>
      <c r="C2075" s="262"/>
      <c r="D2075" s="262"/>
      <c r="E2075" s="260"/>
      <c r="F2075" s="132"/>
      <c r="G2075" s="140"/>
      <c r="H2075" s="131"/>
      <c r="I2075" s="131"/>
      <c r="J2075" s="131"/>
      <c r="K2075" s="131"/>
      <c r="L2075" s="131"/>
      <c r="M2075" s="131"/>
      <c r="N2075" s="131"/>
      <c r="O2075" s="131"/>
      <c r="P2075" s="131"/>
      <c r="Q2075" s="131"/>
      <c r="R2075" s="131"/>
      <c r="S2075" s="131"/>
      <c r="T2075" s="131"/>
      <c r="U2075" s="131"/>
      <c r="V2075" s="131"/>
      <c r="W2075" s="131"/>
      <c r="X2075" s="131"/>
      <c r="Y2075" s="131"/>
      <c r="Z2075" s="131"/>
    </row>
    <row r="2076">
      <c r="A2076" s="262"/>
      <c r="B2076" s="262"/>
      <c r="C2076" s="262"/>
      <c r="D2076" s="262"/>
      <c r="E2076" s="260"/>
      <c r="F2076" s="132"/>
      <c r="G2076" s="140"/>
      <c r="H2076" s="131"/>
      <c r="I2076" s="131"/>
      <c r="J2076" s="131"/>
      <c r="K2076" s="131"/>
      <c r="L2076" s="131"/>
      <c r="M2076" s="131"/>
      <c r="N2076" s="131"/>
      <c r="O2076" s="131"/>
      <c r="P2076" s="131"/>
      <c r="Q2076" s="131"/>
      <c r="R2076" s="131"/>
      <c r="S2076" s="131"/>
      <c r="T2076" s="131"/>
      <c r="U2076" s="131"/>
      <c r="V2076" s="131"/>
      <c r="W2076" s="131"/>
      <c r="X2076" s="131"/>
      <c r="Y2076" s="131"/>
      <c r="Z2076" s="131"/>
    </row>
    <row r="2077">
      <c r="A2077" s="262"/>
      <c r="B2077" s="262"/>
      <c r="C2077" s="262"/>
      <c r="D2077" s="262"/>
      <c r="E2077" s="260"/>
      <c r="F2077" s="132"/>
      <c r="G2077" s="140"/>
      <c r="H2077" s="131"/>
      <c r="I2077" s="131"/>
      <c r="J2077" s="131"/>
      <c r="K2077" s="131"/>
      <c r="L2077" s="131"/>
      <c r="M2077" s="131"/>
      <c r="N2077" s="131"/>
      <c r="O2077" s="131"/>
      <c r="P2077" s="131"/>
      <c r="Q2077" s="131"/>
      <c r="R2077" s="131"/>
      <c r="S2077" s="131"/>
      <c r="T2077" s="131"/>
      <c r="U2077" s="131"/>
      <c r="V2077" s="131"/>
      <c r="W2077" s="131"/>
      <c r="X2077" s="131"/>
      <c r="Y2077" s="131"/>
      <c r="Z2077" s="131"/>
    </row>
  </sheetData>
  <hyperlinks>
    <hyperlink r:id="rId1" ref="G3"/>
    <hyperlink r:id="rId2" ref="G4"/>
    <hyperlink r:id="rId3" ref="G5"/>
    <hyperlink r:id="rId4" ref="G6"/>
    <hyperlink r:id="rId5" ref="G7"/>
    <hyperlink r:id="rId6" ref="G8"/>
    <hyperlink r:id="rId7" ref="G9"/>
    <hyperlink r:id="rId8" ref="G10"/>
    <hyperlink r:id="rId9" ref="G11"/>
    <hyperlink r:id="rId10" ref="G12"/>
    <hyperlink r:id="rId11" ref="G13"/>
    <hyperlink r:id="rId12" ref="G19"/>
    <hyperlink r:id="rId13" ref="G20"/>
    <hyperlink r:id="rId14" ref="G21"/>
    <hyperlink r:id="rId15" ref="G22"/>
    <hyperlink r:id="rId16" ref="G28"/>
    <hyperlink r:id="rId17" ref="G29"/>
    <hyperlink r:id="rId18" ref="G30"/>
    <hyperlink r:id="rId19" ref="G31"/>
    <hyperlink r:id="rId20" ref="G32"/>
    <hyperlink r:id="rId21" ref="G33"/>
    <hyperlink r:id="rId22" ref="G34"/>
    <hyperlink r:id="rId23" ref="G35"/>
    <hyperlink r:id="rId24" ref="G36"/>
    <hyperlink r:id="rId25" ref="G37"/>
    <hyperlink r:id="rId26" ref="G38"/>
    <hyperlink r:id="rId27" ref="G39"/>
    <hyperlink r:id="rId28" ref="G40"/>
    <hyperlink r:id="rId29" ref="G41"/>
    <hyperlink r:id="rId30" ref="G42"/>
    <hyperlink r:id="rId31" ref="G43"/>
    <hyperlink r:id="rId32" ref="G44"/>
    <hyperlink r:id="rId33" ref="G45"/>
    <hyperlink r:id="rId34" ref="G46"/>
    <hyperlink r:id="rId35" ref="G47"/>
    <hyperlink r:id="rId36" ref="G48"/>
    <hyperlink r:id="rId37" ref="G49"/>
    <hyperlink r:id="rId38" ref="G50"/>
    <hyperlink r:id="rId39" ref="G51"/>
    <hyperlink r:id="rId40" ref="G52"/>
    <hyperlink r:id="rId41" ref="G53"/>
    <hyperlink r:id="rId42" ref="G54"/>
    <hyperlink r:id="rId43" ref="G55"/>
    <hyperlink r:id="rId44" ref="G60"/>
    <hyperlink r:id="rId45" ref="G61"/>
    <hyperlink r:id="rId46" ref="G62"/>
    <hyperlink r:id="rId47" ref="G63"/>
    <hyperlink r:id="rId48" ref="G64"/>
    <hyperlink r:id="rId49" ref="G65"/>
    <hyperlink r:id="rId50" ref="G66"/>
    <hyperlink r:id="rId51" ref="G67"/>
    <hyperlink r:id="rId52" ref="G68"/>
    <hyperlink r:id="rId53" ref="G69"/>
    <hyperlink r:id="rId54" ref="G75"/>
    <hyperlink r:id="rId55" ref="G76"/>
    <hyperlink r:id="rId56" ref="G77"/>
    <hyperlink r:id="rId57" ref="G78"/>
    <hyperlink r:id="rId58" ref="G79"/>
    <hyperlink r:id="rId59" ref="G80"/>
    <hyperlink r:id="rId60" ref="G81"/>
    <hyperlink r:id="rId61" ref="G82"/>
    <hyperlink r:id="rId62" ref="G83"/>
    <hyperlink r:id="rId63" ref="G84"/>
    <hyperlink r:id="rId64" ref="G85"/>
    <hyperlink r:id="rId65" ref="G86"/>
    <hyperlink r:id="rId66" ref="G87"/>
    <hyperlink r:id="rId67" ref="G88"/>
    <hyperlink r:id="rId68" ref="G89"/>
    <hyperlink r:id="rId69" ref="G90"/>
    <hyperlink r:id="rId70" ref="G91"/>
    <hyperlink r:id="rId71" ref="G92"/>
    <hyperlink r:id="rId72" ref="G93"/>
    <hyperlink r:id="rId73" ref="G94"/>
    <hyperlink r:id="rId74" ref="G95"/>
    <hyperlink r:id="rId75" ref="G96"/>
    <hyperlink r:id="rId76" ref="G97"/>
    <hyperlink r:id="rId77" ref="G98"/>
    <hyperlink r:id="rId78" ref="G99"/>
    <hyperlink r:id="rId79" ref="G100"/>
    <hyperlink r:id="rId80" ref="G101"/>
    <hyperlink r:id="rId81" ref="G102"/>
    <hyperlink r:id="rId82" ref="G103"/>
    <hyperlink r:id="rId83" ref="G104"/>
    <hyperlink r:id="rId84" ref="G105"/>
    <hyperlink r:id="rId85" ref="G106"/>
    <hyperlink r:id="rId86" ref="G107"/>
    <hyperlink r:id="rId87" ref="G108"/>
    <hyperlink r:id="rId88" ref="G109"/>
    <hyperlink r:id="rId89" ref="G110"/>
    <hyperlink r:id="rId90" ref="G111"/>
    <hyperlink r:id="rId91" ref="G112"/>
    <hyperlink r:id="rId92" ref="G113"/>
    <hyperlink r:id="rId93" ref="G114"/>
    <hyperlink r:id="rId94" ref="G115"/>
    <hyperlink r:id="rId95" ref="G121"/>
    <hyperlink r:id="rId96" ref="G122"/>
    <hyperlink r:id="rId97" ref="G123"/>
    <hyperlink r:id="rId98" ref="G124"/>
    <hyperlink r:id="rId99" ref="G125"/>
    <hyperlink r:id="rId100" ref="G126"/>
    <hyperlink r:id="rId101" ref="G127"/>
    <hyperlink r:id="rId102" ref="G128"/>
    <hyperlink r:id="rId103" ref="G129"/>
    <hyperlink r:id="rId104" ref="G130"/>
    <hyperlink r:id="rId105" ref="G131"/>
    <hyperlink r:id="rId106" ref="G132"/>
    <hyperlink r:id="rId107" ref="G133"/>
    <hyperlink r:id="rId108" ref="G134"/>
    <hyperlink r:id="rId109" ref="G135"/>
    <hyperlink r:id="rId110" ref="G136"/>
    <hyperlink r:id="rId111" ref="G137"/>
    <hyperlink r:id="rId112" ref="G138"/>
    <hyperlink r:id="rId113" ref="G139"/>
    <hyperlink r:id="rId114" ref="G140"/>
    <hyperlink r:id="rId115" ref="G141"/>
    <hyperlink r:id="rId116" ref="G142"/>
    <hyperlink r:id="rId117" ref="G143"/>
    <hyperlink r:id="rId118" ref="G144"/>
    <hyperlink r:id="rId119" ref="G145"/>
    <hyperlink r:id="rId120" ref="G146"/>
    <hyperlink r:id="rId121" ref="G147"/>
    <hyperlink r:id="rId122" ref="G148"/>
    <hyperlink r:id="rId123" ref="G155"/>
    <hyperlink r:id="rId124" ref="G156"/>
    <hyperlink r:id="rId125" ref="G157"/>
    <hyperlink r:id="rId126" ref="G158"/>
    <hyperlink r:id="rId127" ref="G166"/>
    <hyperlink r:id="rId128" ref="G167"/>
    <hyperlink r:id="rId129" ref="G168"/>
    <hyperlink r:id="rId130" ref="G169"/>
    <hyperlink r:id="rId131" ref="G170"/>
    <hyperlink r:id="rId132" ref="G171"/>
    <hyperlink r:id="rId133" ref="G172"/>
    <hyperlink r:id="rId134" ref="G173"/>
    <hyperlink r:id="rId135" ref="G174"/>
    <hyperlink r:id="rId136" ref="G175"/>
    <hyperlink r:id="rId137" ref="G176"/>
    <hyperlink r:id="rId138" ref="G177"/>
    <hyperlink r:id="rId139" ref="G178"/>
    <hyperlink r:id="rId140" ref="G179"/>
    <hyperlink r:id="rId141" ref="G180"/>
    <hyperlink r:id="rId142" ref="G181"/>
    <hyperlink r:id="rId143" ref="G182"/>
    <hyperlink r:id="rId144" ref="G183"/>
    <hyperlink r:id="rId145" ref="G184"/>
    <hyperlink r:id="rId146" ref="G185"/>
    <hyperlink r:id="rId147" ref="G186"/>
    <hyperlink r:id="rId148" ref="G187"/>
    <hyperlink r:id="rId149" ref="G188"/>
    <hyperlink r:id="rId150" ref="G189"/>
    <hyperlink r:id="rId151" ref="G190"/>
    <hyperlink r:id="rId152" ref="G191"/>
    <hyperlink r:id="rId153" ref="G192"/>
    <hyperlink r:id="rId154" ref="G193"/>
    <hyperlink r:id="rId155" ref="G194"/>
    <hyperlink r:id="rId156" ref="G195"/>
    <hyperlink r:id="rId157" ref="G196"/>
    <hyperlink r:id="rId158" ref="G197"/>
    <hyperlink r:id="rId159" ref="G198"/>
    <hyperlink r:id="rId160" ref="G199"/>
    <hyperlink r:id="rId161" ref="G200"/>
    <hyperlink r:id="rId162" ref="G201"/>
    <hyperlink r:id="rId163" ref="G202"/>
    <hyperlink r:id="rId164" ref="G203"/>
    <hyperlink r:id="rId165" ref="G204"/>
    <hyperlink r:id="rId166" ref="G205"/>
    <hyperlink r:id="rId167" ref="G206"/>
    <hyperlink r:id="rId168" ref="G207"/>
    <hyperlink r:id="rId169" ref="G208"/>
    <hyperlink r:id="rId170" ref="G209"/>
    <hyperlink r:id="rId171" ref="G210"/>
    <hyperlink r:id="rId172" ref="G211"/>
    <hyperlink r:id="rId173" ref="G212"/>
    <hyperlink r:id="rId174" ref="G213"/>
    <hyperlink r:id="rId175" ref="G214"/>
    <hyperlink r:id="rId176" ref="G215"/>
    <hyperlink r:id="rId177" ref="G216"/>
    <hyperlink r:id="rId178" ref="G217"/>
    <hyperlink r:id="rId179" ref="G218"/>
    <hyperlink r:id="rId180" ref="G219"/>
    <hyperlink r:id="rId181" ref="G220"/>
    <hyperlink r:id="rId182" ref="G221"/>
    <hyperlink r:id="rId183" ref="G222"/>
    <hyperlink r:id="rId184" ref="G230"/>
    <hyperlink r:id="rId185" ref="G231"/>
    <hyperlink r:id="rId186" ref="G232"/>
    <hyperlink r:id="rId187" ref="G233"/>
    <hyperlink r:id="rId188" ref="G234"/>
    <hyperlink r:id="rId189" ref="G235"/>
    <hyperlink r:id="rId190" ref="G236"/>
    <hyperlink r:id="rId191" ref="G237"/>
    <hyperlink r:id="rId192" ref="G238"/>
    <hyperlink r:id="rId193" ref="G239"/>
    <hyperlink r:id="rId194" ref="G240"/>
    <hyperlink r:id="rId195" ref="G241"/>
    <hyperlink r:id="rId196" ref="G242"/>
    <hyperlink r:id="rId197" ref="G243"/>
    <hyperlink r:id="rId198" ref="G244"/>
    <hyperlink r:id="rId199" ref="G245"/>
    <hyperlink r:id="rId200" ref="G246"/>
    <hyperlink r:id="rId201" ref="G247"/>
    <hyperlink r:id="rId202" ref="G248"/>
    <hyperlink r:id="rId203" ref="G249"/>
    <hyperlink r:id="rId204" ref="G250"/>
    <hyperlink r:id="rId205" ref="G251"/>
    <hyperlink r:id="rId206" ref="G252"/>
    <hyperlink r:id="rId207" ref="G253"/>
    <hyperlink r:id="rId208" ref="G254"/>
    <hyperlink r:id="rId209" ref="G255"/>
    <hyperlink r:id="rId210" ref="G256"/>
    <hyperlink r:id="rId211" ref="G257"/>
    <hyperlink r:id="rId212" ref="G258"/>
    <hyperlink r:id="rId213" ref="G259"/>
    <hyperlink r:id="rId214" ref="G260"/>
    <hyperlink r:id="rId215" ref="G261"/>
    <hyperlink r:id="rId216" ref="G262"/>
    <hyperlink r:id="rId217" ref="G263"/>
    <hyperlink r:id="rId218" ref="G264"/>
    <hyperlink r:id="rId219" ref="G265"/>
    <hyperlink r:id="rId220" ref="G266"/>
    <hyperlink r:id="rId221" ref="G267"/>
    <hyperlink r:id="rId222" ref="G268"/>
    <hyperlink r:id="rId223" ref="G269"/>
    <hyperlink r:id="rId224" ref="G270"/>
    <hyperlink r:id="rId225" ref="G271"/>
    <hyperlink r:id="rId226" ref="G272"/>
    <hyperlink r:id="rId227" ref="G273"/>
    <hyperlink r:id="rId228" ref="G274"/>
    <hyperlink r:id="rId229" ref="G275"/>
    <hyperlink r:id="rId230" ref="G276"/>
    <hyperlink r:id="rId231" ref="G277"/>
    <hyperlink r:id="rId232" ref="G278"/>
    <hyperlink r:id="rId233" ref="G279"/>
    <hyperlink r:id="rId234" ref="G280"/>
    <hyperlink r:id="rId235" ref="G281"/>
    <hyperlink r:id="rId236" ref="G282"/>
    <hyperlink r:id="rId237" ref="G283"/>
    <hyperlink r:id="rId238" ref="G284"/>
    <hyperlink r:id="rId239" ref="G285"/>
    <hyperlink r:id="rId240" ref="G286"/>
    <hyperlink r:id="rId241" ref="G287"/>
    <hyperlink r:id="rId242" ref="G288"/>
    <hyperlink r:id="rId243" ref="G289"/>
    <hyperlink r:id="rId244" ref="G290"/>
    <hyperlink r:id="rId245" ref="G291"/>
    <hyperlink r:id="rId246" ref="G292"/>
    <hyperlink r:id="rId247" ref="G293"/>
    <hyperlink r:id="rId248" ref="G294"/>
    <hyperlink r:id="rId249" ref="G295"/>
    <hyperlink r:id="rId250" ref="G296"/>
    <hyperlink r:id="rId251" ref="G297"/>
    <hyperlink r:id="rId252" ref="G298"/>
    <hyperlink r:id="rId253" ref="G299"/>
    <hyperlink r:id="rId254" ref="G300"/>
    <hyperlink r:id="rId255" ref="G301"/>
    <hyperlink r:id="rId256" ref="G302"/>
    <hyperlink r:id="rId257" ref="G303"/>
    <hyperlink r:id="rId258" ref="G304"/>
    <hyperlink r:id="rId259" ref="G305"/>
    <hyperlink r:id="rId260" ref="G306"/>
    <hyperlink r:id="rId261" ref="G307"/>
    <hyperlink r:id="rId262" ref="G308"/>
    <hyperlink r:id="rId263" ref="G309"/>
    <hyperlink r:id="rId264" ref="G316"/>
    <hyperlink r:id="rId265" ref="G317"/>
    <hyperlink r:id="rId266" ref="G318"/>
    <hyperlink r:id="rId267" ref="G319"/>
    <hyperlink r:id="rId268" ref="G320"/>
    <hyperlink r:id="rId269" ref="G321"/>
    <hyperlink r:id="rId270" ref="G322"/>
    <hyperlink r:id="rId271" ref="G323"/>
    <hyperlink r:id="rId272" ref="G324"/>
    <hyperlink r:id="rId273" ref="G325"/>
    <hyperlink r:id="rId274" ref="G326"/>
    <hyperlink r:id="rId275" ref="G327"/>
    <hyperlink r:id="rId276" ref="G328"/>
    <hyperlink r:id="rId277" ref="G329"/>
    <hyperlink r:id="rId278" ref="G330"/>
    <hyperlink r:id="rId279" ref="G331"/>
    <hyperlink r:id="rId280" ref="G332"/>
    <hyperlink r:id="rId281" ref="G333"/>
    <hyperlink r:id="rId282" ref="G334"/>
    <hyperlink r:id="rId283" ref="G335"/>
    <hyperlink r:id="rId284" ref="G336"/>
    <hyperlink r:id="rId285" ref="G337"/>
    <hyperlink r:id="rId286" ref="G338"/>
    <hyperlink r:id="rId287" ref="G339"/>
    <hyperlink r:id="rId288" ref="G340"/>
    <hyperlink r:id="rId289" ref="G341"/>
    <hyperlink r:id="rId290" ref="G342"/>
    <hyperlink r:id="rId291" ref="G343"/>
    <hyperlink r:id="rId292" ref="G344"/>
    <hyperlink r:id="rId293" ref="G345"/>
    <hyperlink r:id="rId294" ref="G346"/>
    <hyperlink r:id="rId295" ref="G347"/>
    <hyperlink r:id="rId296" ref="G348"/>
    <hyperlink r:id="rId297" ref="G349"/>
    <hyperlink r:id="rId298" ref="G350"/>
    <hyperlink r:id="rId299" ref="G351"/>
    <hyperlink r:id="rId300" ref="G352"/>
    <hyperlink r:id="rId301" ref="G353"/>
    <hyperlink r:id="rId302" ref="G354"/>
    <hyperlink r:id="rId303" ref="G355"/>
    <hyperlink r:id="rId304" ref="G356"/>
    <hyperlink r:id="rId305" ref="G357"/>
    <hyperlink r:id="rId306" ref="G358"/>
    <hyperlink r:id="rId307" ref="G359"/>
    <hyperlink r:id="rId308" ref="G360"/>
    <hyperlink r:id="rId309" ref="G361"/>
    <hyperlink r:id="rId310" ref="G362"/>
    <hyperlink r:id="rId311" ref="G363"/>
    <hyperlink r:id="rId312" ref="G364"/>
    <hyperlink r:id="rId313" ref="G365"/>
    <hyperlink r:id="rId314" ref="G366"/>
    <hyperlink r:id="rId315" ref="G367"/>
    <hyperlink r:id="rId316" ref="G368"/>
    <hyperlink r:id="rId317" ref="G369"/>
    <hyperlink r:id="rId318" ref="G370"/>
    <hyperlink r:id="rId319" ref="G371"/>
    <hyperlink r:id="rId320" ref="G372"/>
    <hyperlink r:id="rId321" ref="G373"/>
    <hyperlink r:id="rId322" ref="G374"/>
    <hyperlink r:id="rId323" ref="G375"/>
    <hyperlink r:id="rId324" ref="G376"/>
    <hyperlink r:id="rId325" ref="G377"/>
    <hyperlink r:id="rId326" ref="G378"/>
    <hyperlink r:id="rId327" ref="G379"/>
    <hyperlink r:id="rId328" ref="G380"/>
    <hyperlink r:id="rId329" ref="G381"/>
    <hyperlink r:id="rId330" ref="G382"/>
    <hyperlink r:id="rId331" ref="G383"/>
    <hyperlink r:id="rId332" ref="G384"/>
    <hyperlink r:id="rId333" ref="G385"/>
    <hyperlink r:id="rId334" ref="G386"/>
    <hyperlink r:id="rId335" ref="G387"/>
    <hyperlink r:id="rId336" ref="G388"/>
    <hyperlink r:id="rId337" ref="G389"/>
    <hyperlink r:id="rId338" ref="G390"/>
    <hyperlink r:id="rId339" ref="G391"/>
    <hyperlink r:id="rId340" ref="G392"/>
    <hyperlink r:id="rId341" ref="G393"/>
    <hyperlink r:id="rId342" ref="G394"/>
    <hyperlink r:id="rId343" ref="G395"/>
    <hyperlink r:id="rId344" ref="G402"/>
    <hyperlink r:id="rId345" ref="G403"/>
    <hyperlink r:id="rId346" ref="G404"/>
    <hyperlink r:id="rId347" ref="G405"/>
    <hyperlink r:id="rId348" ref="G406"/>
    <hyperlink r:id="rId349" ref="G407"/>
    <hyperlink r:id="rId350" ref="G408"/>
    <hyperlink r:id="rId351" ref="G409"/>
    <hyperlink r:id="rId352" ref="G410"/>
    <hyperlink r:id="rId353" ref="G411"/>
    <hyperlink r:id="rId354" ref="G412"/>
    <hyperlink r:id="rId355" ref="G413"/>
    <hyperlink r:id="rId356" ref="G414"/>
    <hyperlink r:id="rId357" ref="G415"/>
    <hyperlink r:id="rId358" ref="G416"/>
    <hyperlink r:id="rId359" ref="G417"/>
    <hyperlink r:id="rId360" ref="G418"/>
    <hyperlink r:id="rId361" ref="G419"/>
    <hyperlink r:id="rId362" ref="G420"/>
    <hyperlink r:id="rId363" ref="G421"/>
    <hyperlink r:id="rId364" ref="G422"/>
    <hyperlink r:id="rId365" ref="G423"/>
    <hyperlink r:id="rId366" ref="G424"/>
    <hyperlink r:id="rId367" ref="G425"/>
    <hyperlink r:id="rId368" ref="G426"/>
    <hyperlink r:id="rId369" ref="G427"/>
    <hyperlink r:id="rId370" ref="G428"/>
    <hyperlink r:id="rId371" ref="G429"/>
    <hyperlink r:id="rId372" ref="G430"/>
    <hyperlink r:id="rId373" ref="G431"/>
    <hyperlink r:id="rId374" ref="G432"/>
    <hyperlink r:id="rId375" ref="G433"/>
    <hyperlink r:id="rId376" ref="G434"/>
    <hyperlink r:id="rId377" ref="G435"/>
    <hyperlink r:id="rId378" ref="G436"/>
    <hyperlink r:id="rId379" ref="G437"/>
    <hyperlink r:id="rId380" ref="G438"/>
    <hyperlink r:id="rId381" ref="G439"/>
    <hyperlink r:id="rId382" ref="G440"/>
    <hyperlink r:id="rId383" ref="G441"/>
    <hyperlink r:id="rId384" ref="G442"/>
    <hyperlink r:id="rId385" ref="G443"/>
    <hyperlink r:id="rId386" ref="G444"/>
    <hyperlink r:id="rId387" ref="G445"/>
    <hyperlink r:id="rId388" ref="G446"/>
    <hyperlink r:id="rId389" ref="G447"/>
    <hyperlink r:id="rId390" ref="G448"/>
    <hyperlink r:id="rId391" ref="G449"/>
    <hyperlink r:id="rId392" ref="G450"/>
    <hyperlink r:id="rId393" ref="G451"/>
    <hyperlink r:id="rId394" ref="G452"/>
    <hyperlink r:id="rId395" ref="G453"/>
    <hyperlink r:id="rId396" ref="G454"/>
    <hyperlink r:id="rId397" ref="G455"/>
    <hyperlink r:id="rId398" ref="G456"/>
    <hyperlink r:id="rId399" ref="G457"/>
    <hyperlink r:id="rId400" ref="G458"/>
    <hyperlink r:id="rId401" ref="G459"/>
    <hyperlink r:id="rId402" ref="G460"/>
    <hyperlink r:id="rId403" ref="G461"/>
    <hyperlink r:id="rId404" ref="G462"/>
    <hyperlink r:id="rId405" ref="G463"/>
    <hyperlink r:id="rId406" ref="G464"/>
    <hyperlink r:id="rId407" ref="G465"/>
    <hyperlink r:id="rId408" ref="G466"/>
    <hyperlink r:id="rId409" ref="G467"/>
    <hyperlink r:id="rId410" ref="G468"/>
    <hyperlink r:id="rId411" ref="G469"/>
    <hyperlink r:id="rId412" ref="G470"/>
    <hyperlink r:id="rId413" ref="G471"/>
    <hyperlink r:id="rId414" ref="G472"/>
    <hyperlink r:id="rId415" ref="G473"/>
    <hyperlink r:id="rId416" ref="G474"/>
    <hyperlink r:id="rId417" ref="G475"/>
    <hyperlink r:id="rId418" ref="G476"/>
    <hyperlink r:id="rId419" ref="G477"/>
    <hyperlink r:id="rId420" ref="G478"/>
    <hyperlink r:id="rId421" ref="G479"/>
    <hyperlink r:id="rId422" ref="G480"/>
    <hyperlink r:id="rId423" ref="G481"/>
    <hyperlink r:id="rId424" ref="G488"/>
    <hyperlink r:id="rId425" ref="G489"/>
    <hyperlink r:id="rId426" ref="G490"/>
    <hyperlink r:id="rId427" ref="G491"/>
    <hyperlink r:id="rId428" ref="G492"/>
    <hyperlink r:id="rId429" ref="G493"/>
    <hyperlink r:id="rId430" ref="G494"/>
    <hyperlink r:id="rId431" ref="G495"/>
    <hyperlink r:id="rId432" ref="G496"/>
    <hyperlink r:id="rId433" ref="G497"/>
    <hyperlink r:id="rId434" ref="G498"/>
    <hyperlink r:id="rId435" ref="G499"/>
    <hyperlink r:id="rId436" ref="G500"/>
    <hyperlink r:id="rId437" ref="G501"/>
    <hyperlink r:id="rId438" ref="G502"/>
    <hyperlink r:id="rId439" ref="G503"/>
    <hyperlink r:id="rId440" ref="G504"/>
    <hyperlink r:id="rId441" ref="G505"/>
    <hyperlink r:id="rId442" ref="G506"/>
    <hyperlink r:id="rId443" ref="G507"/>
    <hyperlink r:id="rId444" ref="G508"/>
    <hyperlink r:id="rId445" ref="G509"/>
    <hyperlink r:id="rId446" ref="G510"/>
    <hyperlink r:id="rId447" ref="G511"/>
    <hyperlink r:id="rId448" ref="G512"/>
    <hyperlink r:id="rId449" ref="G513"/>
    <hyperlink r:id="rId450" ref="G514"/>
    <hyperlink r:id="rId451" ref="G515"/>
    <hyperlink r:id="rId452" ref="G516"/>
    <hyperlink r:id="rId453" ref="G517"/>
    <hyperlink r:id="rId454" ref="G518"/>
    <hyperlink r:id="rId455" ref="G519"/>
    <hyperlink r:id="rId456" ref="G520"/>
    <hyperlink r:id="rId457" ref="G521"/>
    <hyperlink r:id="rId458" ref="G522"/>
    <hyperlink r:id="rId459" ref="G523"/>
    <hyperlink r:id="rId460" ref="G524"/>
    <hyperlink r:id="rId461" ref="G525"/>
    <hyperlink r:id="rId462" ref="G526"/>
    <hyperlink r:id="rId463" ref="G527"/>
    <hyperlink r:id="rId464" ref="G528"/>
    <hyperlink r:id="rId465" ref="G529"/>
    <hyperlink r:id="rId466" ref="G530"/>
    <hyperlink r:id="rId467" ref="G531"/>
    <hyperlink r:id="rId468" ref="G532"/>
    <hyperlink r:id="rId469" ref="G533"/>
    <hyperlink r:id="rId470" ref="G534"/>
    <hyperlink r:id="rId471" ref="G535"/>
    <hyperlink r:id="rId472" ref="G536"/>
    <hyperlink r:id="rId473" ref="G537"/>
    <hyperlink r:id="rId474" ref="G538"/>
    <hyperlink r:id="rId475" ref="G539"/>
    <hyperlink r:id="rId476" ref="G540"/>
    <hyperlink r:id="rId477" ref="G541"/>
    <hyperlink r:id="rId478" ref="G542"/>
    <hyperlink r:id="rId479" ref="G543"/>
    <hyperlink r:id="rId480" ref="G544"/>
    <hyperlink r:id="rId481" ref="G545"/>
    <hyperlink r:id="rId482" ref="G546"/>
    <hyperlink r:id="rId483" ref="G547"/>
    <hyperlink r:id="rId484" ref="G548"/>
    <hyperlink r:id="rId485" ref="G549"/>
    <hyperlink r:id="rId486" ref="G550"/>
    <hyperlink r:id="rId487" ref="G551"/>
    <hyperlink r:id="rId488" ref="G552"/>
    <hyperlink r:id="rId489" ref="G553"/>
    <hyperlink r:id="rId490" ref="G554"/>
    <hyperlink r:id="rId491" ref="G555"/>
    <hyperlink r:id="rId492" ref="G556"/>
    <hyperlink r:id="rId493" ref="G557"/>
    <hyperlink r:id="rId494" ref="G558"/>
    <hyperlink r:id="rId495" ref="G559"/>
    <hyperlink r:id="rId496" ref="G560"/>
    <hyperlink r:id="rId497" ref="G561"/>
    <hyperlink r:id="rId498" ref="G568"/>
    <hyperlink r:id="rId499" ref="G569"/>
    <hyperlink r:id="rId500" ref="G570"/>
    <hyperlink r:id="rId501" ref="G571"/>
    <hyperlink r:id="rId502" ref="G572"/>
    <hyperlink r:id="rId503" ref="G573"/>
    <hyperlink r:id="rId504" ref="G574"/>
    <hyperlink r:id="rId505" ref="G575"/>
    <hyperlink r:id="rId506" ref="G576"/>
    <hyperlink r:id="rId507" ref="G577"/>
    <hyperlink r:id="rId508" ref="G578"/>
    <hyperlink r:id="rId509" ref="G579"/>
    <hyperlink r:id="rId510" ref="G580"/>
    <hyperlink r:id="rId511" ref="G581"/>
    <hyperlink r:id="rId512" ref="G582"/>
    <hyperlink r:id="rId513" ref="G583"/>
    <hyperlink r:id="rId514" ref="G584"/>
    <hyperlink r:id="rId515" ref="G585"/>
    <hyperlink r:id="rId516" ref="G586"/>
    <hyperlink r:id="rId517" ref="G587"/>
    <hyperlink r:id="rId518" ref="G588"/>
    <hyperlink r:id="rId519" ref="G589"/>
    <hyperlink r:id="rId520" ref="G590"/>
    <hyperlink r:id="rId521" ref="G591"/>
    <hyperlink r:id="rId522" ref="G592"/>
    <hyperlink r:id="rId523" ref="G593"/>
    <hyperlink r:id="rId524" ref="G594"/>
    <hyperlink r:id="rId525" ref="G595"/>
    <hyperlink r:id="rId526" ref="G596"/>
    <hyperlink r:id="rId527" ref="G597"/>
    <hyperlink r:id="rId528" ref="G598"/>
    <hyperlink r:id="rId529" ref="G599"/>
    <hyperlink r:id="rId530" ref="G600"/>
    <hyperlink r:id="rId531" ref="G601"/>
    <hyperlink r:id="rId532" ref="G602"/>
    <hyperlink r:id="rId533" ref="G603"/>
    <hyperlink r:id="rId534" ref="G604"/>
    <hyperlink r:id="rId535" ref="G605"/>
    <hyperlink r:id="rId536" ref="G606"/>
    <hyperlink r:id="rId537" ref="G607"/>
    <hyperlink r:id="rId538" ref="G608"/>
    <hyperlink r:id="rId539" ref="G609"/>
    <hyperlink r:id="rId540" ref="G610"/>
    <hyperlink r:id="rId541" ref="G611"/>
    <hyperlink r:id="rId542" ref="G612"/>
    <hyperlink r:id="rId543" ref="G613"/>
    <hyperlink r:id="rId544" ref="G614"/>
    <hyperlink r:id="rId545" ref="G615"/>
    <hyperlink r:id="rId546" ref="G616"/>
    <hyperlink r:id="rId547" ref="G617"/>
    <hyperlink r:id="rId548" ref="G618"/>
    <hyperlink r:id="rId549" ref="G619"/>
    <hyperlink r:id="rId550" ref="G620"/>
    <hyperlink r:id="rId551" ref="G621"/>
    <hyperlink r:id="rId552" ref="G622"/>
    <hyperlink r:id="rId553" ref="G623"/>
    <hyperlink r:id="rId554" ref="G624"/>
    <hyperlink r:id="rId555" ref="G625"/>
    <hyperlink r:id="rId556" ref="G626"/>
    <hyperlink r:id="rId557" ref="G627"/>
    <hyperlink r:id="rId558" ref="G628"/>
    <hyperlink r:id="rId559" ref="G629"/>
    <hyperlink r:id="rId560" ref="G630"/>
    <hyperlink r:id="rId561" ref="G631"/>
    <hyperlink r:id="rId562" ref="G632"/>
    <hyperlink r:id="rId563" ref="G633"/>
    <hyperlink r:id="rId564" ref="G634"/>
    <hyperlink r:id="rId565" ref="G635"/>
    <hyperlink r:id="rId566" ref="G636"/>
    <hyperlink r:id="rId567" ref="G637"/>
    <hyperlink r:id="rId568" ref="G638"/>
    <hyperlink r:id="rId569" ref="G639"/>
    <hyperlink r:id="rId570" ref="G640"/>
    <hyperlink r:id="rId571" ref="G641"/>
    <hyperlink r:id="rId572" ref="G642"/>
    <hyperlink r:id="rId573" ref="G643"/>
    <hyperlink r:id="rId574" ref="G644"/>
    <hyperlink r:id="rId575" ref="G645"/>
    <hyperlink r:id="rId576" ref="G646"/>
    <hyperlink r:id="rId577" ref="G647"/>
    <hyperlink r:id="rId578" ref="G654"/>
    <hyperlink r:id="rId579" ref="G655"/>
    <hyperlink r:id="rId580" ref="G656"/>
    <hyperlink r:id="rId581" ref="G657"/>
    <hyperlink r:id="rId582" ref="G658"/>
    <hyperlink r:id="rId583" ref="G659"/>
    <hyperlink r:id="rId584" ref="G660"/>
    <hyperlink r:id="rId585" ref="G661"/>
    <hyperlink r:id="rId586" ref="G662"/>
    <hyperlink r:id="rId587" ref="G663"/>
    <hyperlink r:id="rId588" ref="G664"/>
    <hyperlink r:id="rId589" ref="G665"/>
    <hyperlink r:id="rId590" ref="G666"/>
    <hyperlink r:id="rId591" ref="G667"/>
    <hyperlink r:id="rId592" ref="G668"/>
    <hyperlink r:id="rId593" ref="G669"/>
    <hyperlink r:id="rId594" ref="G670"/>
    <hyperlink r:id="rId595" ref="G671"/>
    <hyperlink r:id="rId596" ref="G672"/>
    <hyperlink r:id="rId597" ref="G673"/>
    <hyperlink r:id="rId598" ref="G674"/>
    <hyperlink r:id="rId599" ref="G675"/>
    <hyperlink r:id="rId600" ref="G676"/>
    <hyperlink r:id="rId601" ref="G677"/>
    <hyperlink r:id="rId602" ref="G678"/>
    <hyperlink r:id="rId603" ref="G679"/>
    <hyperlink r:id="rId604" ref="G680"/>
    <hyperlink r:id="rId605" ref="G681"/>
    <hyperlink r:id="rId606" ref="G682"/>
    <hyperlink r:id="rId607" ref="G683"/>
    <hyperlink r:id="rId608" ref="G684"/>
    <hyperlink r:id="rId609" ref="G685"/>
    <hyperlink r:id="rId610" ref="G686"/>
    <hyperlink r:id="rId611" ref="G687"/>
    <hyperlink r:id="rId612" ref="G688"/>
    <hyperlink r:id="rId613" ref="G689"/>
    <hyperlink r:id="rId614" ref="G690"/>
    <hyperlink r:id="rId615" ref="G691"/>
    <hyperlink r:id="rId616" ref="G692"/>
    <hyperlink r:id="rId617" ref="G693"/>
    <hyperlink r:id="rId618" ref="G694"/>
    <hyperlink r:id="rId619" ref="G695"/>
    <hyperlink r:id="rId620" ref="G696"/>
    <hyperlink r:id="rId621" ref="G697"/>
    <hyperlink r:id="rId622" ref="G698"/>
    <hyperlink r:id="rId623" ref="G699"/>
    <hyperlink r:id="rId624" ref="G700"/>
    <hyperlink r:id="rId625" ref="G701"/>
    <hyperlink r:id="rId626" ref="G702"/>
    <hyperlink r:id="rId627" ref="G703"/>
    <hyperlink r:id="rId628" ref="G704"/>
    <hyperlink r:id="rId629" ref="G705"/>
    <hyperlink r:id="rId630" ref="G706"/>
    <hyperlink r:id="rId631" ref="G707"/>
    <hyperlink r:id="rId632" ref="G708"/>
    <hyperlink r:id="rId633" ref="G709"/>
    <hyperlink r:id="rId634" ref="G710"/>
    <hyperlink r:id="rId635" ref="G711"/>
    <hyperlink r:id="rId636" ref="G712"/>
    <hyperlink r:id="rId637" ref="G713"/>
    <hyperlink r:id="rId638" ref="G714"/>
    <hyperlink r:id="rId639" ref="G715"/>
    <hyperlink r:id="rId640" ref="G716"/>
    <hyperlink r:id="rId641" ref="G717"/>
    <hyperlink r:id="rId642" ref="G718"/>
    <hyperlink r:id="rId643" ref="G719"/>
    <hyperlink r:id="rId644" ref="G720"/>
    <hyperlink r:id="rId645" ref="G721"/>
    <hyperlink r:id="rId646" ref="G722"/>
    <hyperlink r:id="rId647" ref="G723"/>
    <hyperlink r:id="rId648" ref="G724"/>
    <hyperlink r:id="rId649" ref="G725"/>
    <hyperlink r:id="rId650" ref="G726"/>
    <hyperlink r:id="rId651" ref="G727"/>
    <hyperlink r:id="rId652" ref="G728"/>
    <hyperlink r:id="rId653" ref="G729"/>
    <hyperlink r:id="rId654" ref="G730"/>
    <hyperlink r:id="rId655" ref="G731"/>
    <hyperlink r:id="rId656" ref="G732"/>
    <hyperlink r:id="rId657" ref="G733"/>
    <hyperlink r:id="rId658" ref="G740"/>
    <hyperlink r:id="rId659" ref="G741"/>
    <hyperlink r:id="rId660" ref="G742"/>
    <hyperlink r:id="rId661" ref="G743"/>
    <hyperlink r:id="rId662" ref="G744"/>
    <hyperlink r:id="rId663" ref="G745"/>
    <hyperlink r:id="rId664" ref="G746"/>
    <hyperlink r:id="rId665" ref="G747"/>
    <hyperlink r:id="rId666" ref="G748"/>
    <hyperlink r:id="rId667" ref="G749"/>
    <hyperlink r:id="rId668" ref="G750"/>
    <hyperlink r:id="rId669" ref="G751"/>
    <hyperlink r:id="rId670" ref="G752"/>
    <hyperlink r:id="rId671" ref="G753"/>
    <hyperlink r:id="rId672" ref="G754"/>
    <hyperlink r:id="rId673" ref="G755"/>
    <hyperlink r:id="rId674" ref="G756"/>
    <hyperlink r:id="rId675" ref="G757"/>
    <hyperlink r:id="rId676" ref="G758"/>
    <hyperlink r:id="rId677" ref="G759"/>
    <hyperlink r:id="rId678" ref="G760"/>
    <hyperlink r:id="rId679" ref="G761"/>
    <hyperlink r:id="rId680" ref="G762"/>
    <hyperlink r:id="rId681" ref="G763"/>
    <hyperlink r:id="rId682" ref="G764"/>
    <hyperlink r:id="rId683" ref="G765"/>
    <hyperlink r:id="rId684" ref="G766"/>
    <hyperlink r:id="rId685" ref="G767"/>
    <hyperlink r:id="rId686" ref="G768"/>
    <hyperlink r:id="rId687" ref="G769"/>
    <hyperlink r:id="rId688" ref="G770"/>
    <hyperlink r:id="rId689" ref="G771"/>
    <hyperlink r:id="rId690" ref="G772"/>
    <hyperlink r:id="rId691" ref="G773"/>
    <hyperlink r:id="rId692" ref="G774"/>
    <hyperlink r:id="rId693" ref="G775"/>
    <hyperlink r:id="rId694" ref="G776"/>
    <hyperlink r:id="rId695" ref="G777"/>
    <hyperlink r:id="rId696" ref="G778"/>
    <hyperlink r:id="rId697" ref="G779"/>
    <hyperlink r:id="rId698" ref="G780"/>
    <hyperlink r:id="rId699" ref="G781"/>
    <hyperlink r:id="rId700" ref="G782"/>
    <hyperlink r:id="rId701" ref="G783"/>
    <hyperlink r:id="rId702" ref="G784"/>
    <hyperlink r:id="rId703" ref="G785"/>
    <hyperlink r:id="rId704" ref="G786"/>
    <hyperlink r:id="rId705" ref="G787"/>
    <hyperlink r:id="rId706" ref="G788"/>
    <hyperlink r:id="rId707" ref="G789"/>
    <hyperlink r:id="rId708" ref="G790"/>
    <hyperlink r:id="rId709" ref="G791"/>
    <hyperlink r:id="rId710" ref="G792"/>
    <hyperlink r:id="rId711" ref="G793"/>
    <hyperlink r:id="rId712" ref="G794"/>
    <hyperlink r:id="rId713" ref="G795"/>
    <hyperlink r:id="rId714" ref="G796"/>
    <hyperlink r:id="rId715" ref="G797"/>
    <hyperlink r:id="rId716" ref="G798"/>
    <hyperlink r:id="rId717" ref="G799"/>
    <hyperlink r:id="rId718" ref="G800"/>
    <hyperlink r:id="rId719" ref="G801"/>
    <hyperlink r:id="rId720" ref="G802"/>
    <hyperlink r:id="rId721" ref="G803"/>
    <hyperlink r:id="rId722" ref="G804"/>
    <hyperlink r:id="rId723" ref="G805"/>
    <hyperlink r:id="rId724" ref="G806"/>
    <hyperlink r:id="rId725" ref="G807"/>
    <hyperlink r:id="rId726" ref="G808"/>
    <hyperlink r:id="rId727" ref="G809"/>
    <hyperlink r:id="rId728" ref="G810"/>
    <hyperlink r:id="rId729" ref="G811"/>
    <hyperlink r:id="rId730" ref="G812"/>
    <hyperlink r:id="rId731" ref="G813"/>
    <hyperlink r:id="rId732" ref="G814"/>
    <hyperlink r:id="rId733" ref="G815"/>
    <hyperlink r:id="rId734" ref="G816"/>
    <hyperlink r:id="rId735" ref="G817"/>
    <hyperlink r:id="rId736" ref="G818"/>
    <hyperlink r:id="rId737" ref="G819"/>
    <hyperlink r:id="rId738" ref="G826"/>
    <hyperlink r:id="rId739" ref="G827"/>
    <hyperlink r:id="rId740" ref="G828"/>
    <hyperlink r:id="rId741" ref="G829"/>
    <hyperlink r:id="rId742" ref="G830"/>
    <hyperlink r:id="rId743" ref="G831"/>
    <hyperlink r:id="rId744" ref="G832"/>
    <hyperlink r:id="rId745" ref="G833"/>
    <hyperlink r:id="rId746" ref="G834"/>
    <hyperlink r:id="rId747" ref="G835"/>
    <hyperlink r:id="rId748" ref="G836"/>
    <hyperlink r:id="rId749" ref="G837"/>
    <hyperlink r:id="rId750" ref="G838"/>
    <hyperlink r:id="rId751" ref="G839"/>
    <hyperlink r:id="rId752" ref="G840"/>
    <hyperlink r:id="rId753" ref="G841"/>
    <hyperlink r:id="rId754" ref="G842"/>
    <hyperlink r:id="rId755" ref="G843"/>
    <hyperlink r:id="rId756" ref="G844"/>
    <hyperlink r:id="rId757" ref="G845"/>
    <hyperlink r:id="rId758" ref="G846"/>
    <hyperlink r:id="rId759" ref="G847"/>
    <hyperlink r:id="rId760" ref="G848"/>
    <hyperlink r:id="rId761" ref="G849"/>
    <hyperlink r:id="rId762" ref="G850"/>
    <hyperlink r:id="rId763" ref="G851"/>
    <hyperlink r:id="rId764" ref="G852"/>
    <hyperlink r:id="rId765" ref="G853"/>
    <hyperlink r:id="rId766" ref="G854"/>
    <hyperlink r:id="rId767" ref="G855"/>
    <hyperlink r:id="rId768" ref="G856"/>
    <hyperlink r:id="rId769" ref="G857"/>
    <hyperlink r:id="rId770" ref="G858"/>
    <hyperlink r:id="rId771" ref="G859"/>
    <hyperlink r:id="rId772" ref="G860"/>
    <hyperlink r:id="rId773" ref="G861"/>
    <hyperlink r:id="rId774" ref="G862"/>
    <hyperlink r:id="rId775" ref="G863"/>
    <hyperlink r:id="rId776" ref="G864"/>
    <hyperlink r:id="rId777" ref="G865"/>
    <hyperlink r:id="rId778" ref="G866"/>
    <hyperlink r:id="rId779" ref="G867"/>
    <hyperlink r:id="rId780" ref="G868"/>
    <hyperlink r:id="rId781" ref="G869"/>
    <hyperlink r:id="rId782" ref="G870"/>
    <hyperlink r:id="rId783" ref="G871"/>
    <hyperlink r:id="rId784" ref="G872"/>
    <hyperlink r:id="rId785" ref="G873"/>
    <hyperlink r:id="rId786" ref="G874"/>
    <hyperlink r:id="rId787" ref="G875"/>
    <hyperlink r:id="rId788" ref="G876"/>
    <hyperlink r:id="rId789" ref="G877"/>
    <hyperlink r:id="rId790" ref="G878"/>
    <hyperlink r:id="rId791" ref="G879"/>
    <hyperlink r:id="rId792" ref="G880"/>
    <hyperlink r:id="rId793" ref="G881"/>
    <hyperlink r:id="rId794" ref="G882"/>
    <hyperlink r:id="rId795" ref="G883"/>
    <hyperlink r:id="rId796" ref="G884"/>
    <hyperlink r:id="rId797" ref="G885"/>
    <hyperlink r:id="rId798" ref="G886"/>
    <hyperlink r:id="rId799" ref="G887"/>
    <hyperlink r:id="rId800" ref="G888"/>
    <hyperlink r:id="rId801" ref="G889"/>
    <hyperlink r:id="rId802" ref="G890"/>
    <hyperlink r:id="rId803" ref="G891"/>
    <hyperlink r:id="rId804" ref="G892"/>
    <hyperlink r:id="rId805" ref="G893"/>
    <hyperlink r:id="rId806" ref="G894"/>
    <hyperlink r:id="rId807" ref="G895"/>
    <hyperlink r:id="rId808" ref="G896"/>
    <hyperlink r:id="rId809" ref="G897"/>
    <hyperlink r:id="rId810" ref="G898"/>
    <hyperlink r:id="rId811" ref="G899"/>
    <hyperlink r:id="rId812" ref="G900"/>
    <hyperlink r:id="rId813" ref="G901"/>
    <hyperlink r:id="rId814" ref="G902"/>
    <hyperlink r:id="rId815" ref="G903"/>
    <hyperlink r:id="rId816" ref="G904"/>
    <hyperlink r:id="rId817" ref="G905"/>
    <hyperlink r:id="rId818" ref="G912"/>
    <hyperlink r:id="rId819" ref="G913"/>
    <hyperlink r:id="rId820" ref="G914"/>
    <hyperlink r:id="rId821" ref="G915"/>
    <hyperlink r:id="rId822" ref="G916"/>
    <hyperlink r:id="rId823" ref="G917"/>
    <hyperlink r:id="rId824" ref="G918"/>
    <hyperlink r:id="rId825" ref="G919"/>
    <hyperlink r:id="rId826" ref="G920"/>
    <hyperlink r:id="rId827" ref="G921"/>
    <hyperlink r:id="rId828" ref="G922"/>
    <hyperlink r:id="rId829" ref="G923"/>
    <hyperlink r:id="rId830" ref="G924"/>
    <hyperlink r:id="rId831" ref="G925"/>
    <hyperlink r:id="rId832" ref="G926"/>
    <hyperlink r:id="rId833" ref="G927"/>
    <hyperlink r:id="rId834" ref="G928"/>
    <hyperlink r:id="rId835" ref="G929"/>
    <hyperlink r:id="rId836" ref="G930"/>
    <hyperlink r:id="rId837" ref="G931"/>
    <hyperlink r:id="rId838" ref="G932"/>
    <hyperlink r:id="rId839" ref="G933"/>
    <hyperlink r:id="rId840" ref="G934"/>
    <hyperlink r:id="rId841" ref="G935"/>
    <hyperlink r:id="rId842" ref="G936"/>
    <hyperlink r:id="rId843" ref="G937"/>
    <hyperlink r:id="rId844" ref="G938"/>
    <hyperlink r:id="rId845" ref="G939"/>
    <hyperlink r:id="rId846" ref="G940"/>
    <hyperlink r:id="rId847" ref="G941"/>
    <hyperlink r:id="rId848" ref="G942"/>
    <hyperlink r:id="rId849" ref="G943"/>
    <hyperlink r:id="rId850" ref="G944"/>
    <hyperlink r:id="rId851" ref="G945"/>
    <hyperlink r:id="rId852" ref="G946"/>
    <hyperlink r:id="rId853" ref="G947"/>
    <hyperlink r:id="rId854" ref="G948"/>
    <hyperlink r:id="rId855" ref="G949"/>
    <hyperlink r:id="rId856" ref="G950"/>
    <hyperlink r:id="rId857" ref="G951"/>
    <hyperlink r:id="rId858" ref="G952"/>
    <hyperlink r:id="rId859" ref="G953"/>
    <hyperlink r:id="rId860" ref="G954"/>
    <hyperlink r:id="rId861" ref="G955"/>
    <hyperlink r:id="rId862" ref="G956"/>
    <hyperlink r:id="rId863" ref="G957"/>
    <hyperlink r:id="rId864" ref="G958"/>
    <hyperlink r:id="rId865" ref="G959"/>
    <hyperlink r:id="rId866" ref="G960"/>
    <hyperlink r:id="rId867" ref="G961"/>
    <hyperlink r:id="rId868" ref="G962"/>
    <hyperlink r:id="rId869" ref="G963"/>
    <hyperlink r:id="rId870" ref="G964"/>
    <hyperlink r:id="rId871" ref="G965"/>
    <hyperlink r:id="rId872" ref="G966"/>
    <hyperlink r:id="rId873" ref="G967"/>
    <hyperlink r:id="rId874" ref="G968"/>
    <hyperlink r:id="rId875" ref="G969"/>
    <hyperlink r:id="rId876" ref="G970"/>
    <hyperlink r:id="rId877" ref="G971"/>
    <hyperlink r:id="rId878" ref="G972"/>
    <hyperlink r:id="rId879" ref="G973"/>
    <hyperlink r:id="rId880" ref="G974"/>
    <hyperlink r:id="rId881" ref="G975"/>
    <hyperlink r:id="rId882" ref="G976"/>
    <hyperlink r:id="rId883" ref="G977"/>
    <hyperlink r:id="rId884" ref="G978"/>
    <hyperlink r:id="rId885" ref="G979"/>
    <hyperlink r:id="rId886" ref="G980"/>
    <hyperlink r:id="rId887" ref="G981"/>
    <hyperlink r:id="rId888" ref="G982"/>
    <hyperlink r:id="rId889" ref="G983"/>
    <hyperlink r:id="rId890" ref="G984"/>
    <hyperlink r:id="rId891" ref="G985"/>
    <hyperlink r:id="rId892" ref="G986"/>
    <hyperlink r:id="rId893" ref="G987"/>
    <hyperlink r:id="rId894" ref="G988"/>
    <hyperlink r:id="rId895" ref="G989"/>
    <hyperlink r:id="rId896" ref="G990"/>
    <hyperlink r:id="rId897" ref="G991"/>
    <hyperlink r:id="rId898" ref="G998"/>
    <hyperlink r:id="rId899" ref="G999"/>
    <hyperlink r:id="rId900" ref="G1000"/>
    <hyperlink r:id="rId901" ref="G1001"/>
    <hyperlink r:id="rId902" ref="G1002"/>
    <hyperlink r:id="rId903" ref="G1003"/>
    <hyperlink r:id="rId904" ref="G1004"/>
    <hyperlink r:id="rId905" ref="G1005"/>
    <hyperlink r:id="rId906" ref="G1006"/>
    <hyperlink r:id="rId907" ref="G1007"/>
    <hyperlink r:id="rId908" ref="G1008"/>
    <hyperlink r:id="rId909" ref="G1009"/>
    <hyperlink r:id="rId910" ref="G1010"/>
    <hyperlink r:id="rId911" ref="G1011"/>
    <hyperlink r:id="rId912" ref="G1012"/>
    <hyperlink r:id="rId913" ref="G1013"/>
    <hyperlink r:id="rId914" ref="G1014"/>
    <hyperlink r:id="rId915" ref="G1015"/>
    <hyperlink r:id="rId916" ref="G1016"/>
    <hyperlink r:id="rId917" ref="G1017"/>
    <hyperlink r:id="rId918" ref="G1018"/>
    <hyperlink r:id="rId919" ref="G1019"/>
    <hyperlink r:id="rId920" ref="G1020"/>
    <hyperlink r:id="rId921" ref="G1021"/>
    <hyperlink r:id="rId922" ref="G1022"/>
    <hyperlink r:id="rId923" ref="G1023"/>
    <hyperlink r:id="rId924" ref="G1024"/>
    <hyperlink r:id="rId925" ref="G1025"/>
    <hyperlink r:id="rId926" ref="G1026"/>
    <hyperlink r:id="rId927" ref="G1027"/>
    <hyperlink r:id="rId928" ref="G1028"/>
    <hyperlink r:id="rId929" ref="G1029"/>
    <hyperlink r:id="rId930" ref="G1030"/>
    <hyperlink r:id="rId931" ref="G1031"/>
    <hyperlink r:id="rId932" ref="G1032"/>
    <hyperlink r:id="rId933" ref="G1033"/>
    <hyperlink r:id="rId934" ref="G1034"/>
    <hyperlink r:id="rId935" ref="G1035"/>
    <hyperlink r:id="rId936" ref="G1036"/>
    <hyperlink r:id="rId937" ref="G1037"/>
    <hyperlink r:id="rId938" ref="G1038"/>
    <hyperlink r:id="rId939" ref="G1039"/>
    <hyperlink r:id="rId940" ref="G1040"/>
    <hyperlink r:id="rId941" ref="G1041"/>
    <hyperlink r:id="rId942" ref="G1042"/>
    <hyperlink r:id="rId943" ref="G1043"/>
    <hyperlink r:id="rId944" ref="G1044"/>
    <hyperlink r:id="rId945" ref="G1045"/>
    <hyperlink r:id="rId946" ref="G1046"/>
    <hyperlink r:id="rId947" ref="G1047"/>
    <hyperlink r:id="rId948" ref="G1048"/>
    <hyperlink r:id="rId949" ref="G1049"/>
    <hyperlink r:id="rId950" ref="G1050"/>
    <hyperlink r:id="rId951" ref="G1051"/>
    <hyperlink r:id="rId952" ref="G1052"/>
    <hyperlink r:id="rId953" ref="G1053"/>
    <hyperlink r:id="rId954" ref="G1054"/>
    <hyperlink r:id="rId955" ref="G1055"/>
    <hyperlink r:id="rId956" ref="G1056"/>
    <hyperlink r:id="rId957" ref="G1057"/>
    <hyperlink r:id="rId958" ref="G1058"/>
    <hyperlink r:id="rId959" ref="G1059"/>
    <hyperlink r:id="rId960" ref="G1060"/>
    <hyperlink r:id="rId961" ref="G1061"/>
    <hyperlink r:id="rId962" ref="G1062"/>
    <hyperlink r:id="rId963" ref="G1063"/>
    <hyperlink r:id="rId964" ref="G1064"/>
    <hyperlink r:id="rId965" ref="G1065"/>
    <hyperlink r:id="rId966" ref="G1066"/>
    <hyperlink r:id="rId967" ref="G1067"/>
    <hyperlink r:id="rId968" ref="G1068"/>
    <hyperlink r:id="rId969" ref="G1069"/>
    <hyperlink r:id="rId970" ref="G1070"/>
    <hyperlink r:id="rId971" ref="G1071"/>
    <hyperlink r:id="rId972" ref="G1072"/>
    <hyperlink r:id="rId973" ref="G1073"/>
    <hyperlink r:id="rId974" ref="G1074"/>
    <hyperlink r:id="rId975" ref="G1075"/>
    <hyperlink r:id="rId976" ref="G1076"/>
    <hyperlink r:id="rId977" ref="G1077"/>
    <hyperlink r:id="rId978" ref="G1084"/>
    <hyperlink r:id="rId979" ref="G1085"/>
    <hyperlink r:id="rId980" ref="G1086"/>
    <hyperlink r:id="rId981" ref="G1087"/>
    <hyperlink r:id="rId982" ref="G1088"/>
    <hyperlink r:id="rId983" ref="G1089"/>
    <hyperlink r:id="rId984" ref="G1090"/>
    <hyperlink r:id="rId985" ref="G1091"/>
    <hyperlink r:id="rId986" ref="G1092"/>
    <hyperlink r:id="rId987" ref="G1093"/>
    <hyperlink r:id="rId988" ref="G1094"/>
    <hyperlink r:id="rId989" ref="G1095"/>
    <hyperlink r:id="rId990" ref="G1096"/>
    <hyperlink r:id="rId991" ref="G1097"/>
    <hyperlink r:id="rId992" ref="G1098"/>
    <hyperlink r:id="rId993" ref="G1099"/>
    <hyperlink r:id="rId994" ref="G1100"/>
    <hyperlink r:id="rId995" ref="G1101"/>
    <hyperlink r:id="rId996" ref="G1102"/>
    <hyperlink r:id="rId997" ref="G1103"/>
    <hyperlink r:id="rId998" ref="G1104"/>
    <hyperlink r:id="rId999" ref="G1105"/>
    <hyperlink r:id="rId1000" ref="G1106"/>
    <hyperlink r:id="rId1001" ref="G1107"/>
    <hyperlink r:id="rId1002" ref="G1108"/>
    <hyperlink r:id="rId1003" ref="G1109"/>
    <hyperlink r:id="rId1004" ref="G1110"/>
    <hyperlink r:id="rId1005" ref="G1111"/>
    <hyperlink r:id="rId1006" ref="G1112"/>
    <hyperlink r:id="rId1007" ref="G1113"/>
    <hyperlink r:id="rId1008" ref="G1114"/>
    <hyperlink r:id="rId1009" ref="G1115"/>
    <hyperlink r:id="rId1010" ref="G1116"/>
    <hyperlink r:id="rId1011" ref="G1117"/>
    <hyperlink r:id="rId1012" ref="G1118"/>
    <hyperlink r:id="rId1013" ref="G1119"/>
    <hyperlink r:id="rId1014" ref="G1120"/>
    <hyperlink r:id="rId1015" ref="G1121"/>
    <hyperlink r:id="rId1016" ref="G1122"/>
    <hyperlink r:id="rId1017" ref="G1123"/>
    <hyperlink r:id="rId1018" ref="G1124"/>
    <hyperlink r:id="rId1019" ref="G1125"/>
    <hyperlink r:id="rId1020" ref="G1126"/>
    <hyperlink r:id="rId1021" ref="G1127"/>
    <hyperlink r:id="rId1022" ref="G1128"/>
    <hyperlink r:id="rId1023" ref="G1129"/>
    <hyperlink r:id="rId1024" ref="G1130"/>
    <hyperlink r:id="rId1025" ref="G1131"/>
    <hyperlink r:id="rId1026" ref="G1132"/>
    <hyperlink r:id="rId1027" ref="G1133"/>
    <hyperlink r:id="rId1028" ref="G1134"/>
    <hyperlink r:id="rId1029" ref="G1135"/>
    <hyperlink r:id="rId1030" ref="G1136"/>
    <hyperlink r:id="rId1031" ref="G1137"/>
    <hyperlink r:id="rId1032" ref="G1138"/>
    <hyperlink r:id="rId1033" ref="G1139"/>
    <hyperlink r:id="rId1034" ref="G1140"/>
    <hyperlink r:id="rId1035" ref="G1141"/>
    <hyperlink r:id="rId1036" ref="G1142"/>
    <hyperlink r:id="rId1037" ref="G1143"/>
    <hyperlink r:id="rId1038" ref="G1144"/>
    <hyperlink r:id="rId1039" ref="G1145"/>
    <hyperlink r:id="rId1040" ref="G1146"/>
    <hyperlink r:id="rId1041" ref="G1147"/>
    <hyperlink r:id="rId1042" ref="G1148"/>
    <hyperlink r:id="rId1043" ref="G1149"/>
    <hyperlink r:id="rId1044" ref="G1150"/>
    <hyperlink r:id="rId1045" ref="G1151"/>
    <hyperlink r:id="rId1046" ref="G1152"/>
    <hyperlink r:id="rId1047" ref="G1153"/>
    <hyperlink r:id="rId1048" ref="G1154"/>
    <hyperlink r:id="rId1049" ref="G1155"/>
    <hyperlink r:id="rId1050" ref="G1156"/>
    <hyperlink r:id="rId1051" ref="G1157"/>
    <hyperlink r:id="rId1052" ref="G1158"/>
    <hyperlink r:id="rId1053" ref="G1159"/>
    <hyperlink r:id="rId1054" ref="G1160"/>
    <hyperlink r:id="rId1055" ref="G1161"/>
    <hyperlink r:id="rId1056" ref="G1162"/>
    <hyperlink r:id="rId1057" ref="G1163"/>
  </hyperlinks>
  <drawing r:id="rId105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4.5"/>
    <col customWidth="1" min="9" max="9" width="27.5"/>
    <col customWidth="1" min="10" max="10" width="24.5"/>
  </cols>
  <sheetData>
    <row r="1">
      <c r="A1" s="286" t="s">
        <v>0</v>
      </c>
      <c r="B1" s="286" t="s">
        <v>362</v>
      </c>
      <c r="C1" s="287" t="s">
        <v>1556</v>
      </c>
      <c r="D1" s="288" t="s">
        <v>1557</v>
      </c>
      <c r="E1" s="288" t="s">
        <v>1558</v>
      </c>
      <c r="F1" s="288" t="s">
        <v>1559</v>
      </c>
      <c r="G1" s="289"/>
      <c r="H1" s="290"/>
      <c r="I1" s="290"/>
      <c r="J1" s="290"/>
      <c r="K1" s="131"/>
      <c r="L1" s="131"/>
      <c r="M1" s="131"/>
      <c r="N1" s="131"/>
      <c r="O1" s="131"/>
      <c r="P1" s="131"/>
      <c r="Q1" s="131"/>
      <c r="R1" s="131"/>
      <c r="S1" s="131"/>
      <c r="T1" s="131"/>
      <c r="U1" s="131"/>
      <c r="V1" s="131"/>
      <c r="W1" s="131"/>
      <c r="X1" s="131"/>
      <c r="Y1" s="131"/>
      <c r="Z1" s="131"/>
    </row>
    <row r="2">
      <c r="A2" s="291" t="s">
        <v>7</v>
      </c>
      <c r="B2" s="291" t="s">
        <v>8</v>
      </c>
      <c r="C2" s="291">
        <v>1527.0</v>
      </c>
      <c r="D2" s="292">
        <v>1325.0</v>
      </c>
      <c r="E2" s="293" t="s">
        <v>1560</v>
      </c>
      <c r="F2" s="292" t="s">
        <v>1561</v>
      </c>
      <c r="G2" s="289"/>
      <c r="H2" s="290"/>
      <c r="I2" s="290"/>
      <c r="J2" s="290"/>
      <c r="K2" s="131"/>
      <c r="L2" s="131"/>
      <c r="M2" s="131"/>
      <c r="N2" s="131"/>
      <c r="O2" s="131"/>
      <c r="P2" s="131"/>
      <c r="Q2" s="131"/>
      <c r="R2" s="131"/>
      <c r="S2" s="131"/>
      <c r="T2" s="131"/>
      <c r="U2" s="131"/>
      <c r="V2" s="131"/>
      <c r="W2" s="131"/>
      <c r="X2" s="131"/>
      <c r="Y2" s="131"/>
      <c r="Z2" s="131"/>
    </row>
    <row r="3">
      <c r="A3" s="291" t="s">
        <v>7</v>
      </c>
      <c r="B3" s="291" t="s">
        <v>422</v>
      </c>
      <c r="C3" s="294">
        <v>1066.0</v>
      </c>
      <c r="D3" s="295"/>
      <c r="E3" s="293" t="s">
        <v>1562</v>
      </c>
      <c r="F3" s="295"/>
      <c r="G3" s="289"/>
      <c r="H3" s="290"/>
      <c r="I3" s="296" t="s">
        <v>1563</v>
      </c>
      <c r="J3" s="296" t="s">
        <v>1564</v>
      </c>
      <c r="K3" s="131"/>
      <c r="L3" s="131"/>
      <c r="M3" s="131"/>
      <c r="N3" s="131"/>
      <c r="O3" s="131"/>
      <c r="P3" s="131"/>
      <c r="Q3" s="131"/>
      <c r="R3" s="131"/>
      <c r="S3" s="131"/>
      <c r="T3" s="131"/>
      <c r="U3" s="131"/>
      <c r="V3" s="131"/>
      <c r="W3" s="131"/>
      <c r="X3" s="131"/>
      <c r="Y3" s="131"/>
      <c r="Z3" s="131"/>
    </row>
    <row r="4">
      <c r="A4" s="291" t="s">
        <v>7</v>
      </c>
      <c r="B4" s="291" t="s">
        <v>19</v>
      </c>
      <c r="C4" s="291">
        <v>1036.0</v>
      </c>
      <c r="D4" s="295"/>
      <c r="E4" s="293" t="s">
        <v>1560</v>
      </c>
      <c r="F4" s="295"/>
      <c r="G4" s="289"/>
      <c r="H4" s="290"/>
      <c r="I4" s="290"/>
      <c r="J4" s="290"/>
      <c r="K4" s="131"/>
      <c r="L4" s="131"/>
      <c r="M4" s="131"/>
      <c r="N4" s="131"/>
      <c r="O4" s="131"/>
      <c r="P4" s="131"/>
      <c r="Q4" s="131"/>
      <c r="R4" s="131"/>
      <c r="S4" s="131"/>
      <c r="T4" s="131"/>
      <c r="U4" s="131"/>
      <c r="V4" s="131"/>
      <c r="W4" s="131"/>
      <c r="X4" s="131"/>
      <c r="Y4" s="131"/>
      <c r="Z4" s="131"/>
    </row>
    <row r="5">
      <c r="A5" s="291" t="s">
        <v>7</v>
      </c>
      <c r="B5" s="291" t="s">
        <v>20</v>
      </c>
      <c r="C5" s="294">
        <v>1344.0</v>
      </c>
      <c r="D5" s="295"/>
      <c r="E5" s="293" t="s">
        <v>1565</v>
      </c>
      <c r="F5" s="295"/>
      <c r="G5" s="289"/>
      <c r="H5" s="290"/>
      <c r="I5" s="296" t="s">
        <v>1566</v>
      </c>
      <c r="J5" s="290"/>
      <c r="K5" s="131"/>
      <c r="L5" s="131"/>
      <c r="M5" s="131"/>
      <c r="N5" s="131"/>
      <c r="O5" s="131"/>
      <c r="P5" s="131"/>
      <c r="Q5" s="131"/>
      <c r="R5" s="131"/>
      <c r="S5" s="131"/>
      <c r="T5" s="131"/>
      <c r="U5" s="131"/>
      <c r="V5" s="131"/>
      <c r="W5" s="131"/>
      <c r="X5" s="131"/>
      <c r="Y5" s="131"/>
      <c r="Z5" s="131"/>
    </row>
    <row r="6">
      <c r="A6" s="291" t="s">
        <v>7</v>
      </c>
      <c r="B6" s="291" t="s">
        <v>22</v>
      </c>
      <c r="C6" s="294">
        <v>1285.0</v>
      </c>
      <c r="D6" s="295"/>
      <c r="E6" s="289"/>
      <c r="F6" s="295"/>
      <c r="G6" s="289"/>
      <c r="H6" s="290"/>
      <c r="I6" s="290" t="s">
        <v>1567</v>
      </c>
      <c r="J6" s="290">
        <v>80.0</v>
      </c>
      <c r="K6" s="131"/>
      <c r="L6" s="131"/>
      <c r="M6" s="131"/>
      <c r="N6" s="131"/>
      <c r="O6" s="131"/>
      <c r="P6" s="131"/>
      <c r="Q6" s="131"/>
      <c r="R6" s="131"/>
      <c r="S6" s="131"/>
      <c r="T6" s="131"/>
      <c r="U6" s="131"/>
      <c r="V6" s="131"/>
      <c r="W6" s="131"/>
      <c r="X6" s="131"/>
      <c r="Y6" s="131"/>
      <c r="Z6" s="131"/>
    </row>
    <row r="7">
      <c r="A7" s="291" t="s">
        <v>7</v>
      </c>
      <c r="B7" s="291" t="s">
        <v>24</v>
      </c>
      <c r="C7" s="294">
        <v>1447.0</v>
      </c>
      <c r="D7" s="295"/>
      <c r="E7" s="293" t="s">
        <v>1565</v>
      </c>
      <c r="F7" s="295"/>
      <c r="G7" s="289"/>
      <c r="H7" s="290"/>
      <c r="I7" s="290" t="s">
        <v>1568</v>
      </c>
      <c r="J7" s="290">
        <v>80.0</v>
      </c>
      <c r="K7" s="131"/>
      <c r="L7" s="131"/>
      <c r="M7" s="131"/>
      <c r="N7" s="131"/>
      <c r="O7" s="131"/>
      <c r="P7" s="131"/>
      <c r="Q7" s="131"/>
      <c r="R7" s="131"/>
      <c r="S7" s="131"/>
      <c r="T7" s="131"/>
      <c r="U7" s="131"/>
      <c r="V7" s="131"/>
      <c r="W7" s="131"/>
      <c r="X7" s="131"/>
      <c r="Y7" s="131"/>
      <c r="Z7" s="131"/>
    </row>
    <row r="8">
      <c r="A8" s="291" t="s">
        <v>7</v>
      </c>
      <c r="B8" s="291" t="s">
        <v>25</v>
      </c>
      <c r="C8" s="294">
        <v>1021.0</v>
      </c>
      <c r="D8" s="295"/>
      <c r="E8" s="293" t="s">
        <v>1562</v>
      </c>
      <c r="F8" s="295"/>
      <c r="G8" s="297"/>
      <c r="H8" s="290"/>
      <c r="I8" s="296" t="s">
        <v>1569</v>
      </c>
      <c r="J8" s="296">
        <v>0.0</v>
      </c>
      <c r="K8" s="131"/>
      <c r="L8" s="131"/>
      <c r="M8" s="131"/>
      <c r="N8" s="131"/>
      <c r="O8" s="131"/>
      <c r="P8" s="131"/>
      <c r="Q8" s="131"/>
      <c r="R8" s="131"/>
      <c r="S8" s="131"/>
      <c r="T8" s="131"/>
      <c r="U8" s="131"/>
      <c r="V8" s="131"/>
      <c r="W8" s="131"/>
      <c r="X8" s="131"/>
      <c r="Y8" s="131"/>
      <c r="Z8" s="131"/>
    </row>
    <row r="9">
      <c r="A9" s="291" t="s">
        <v>7</v>
      </c>
      <c r="B9" s="291" t="s">
        <v>26</v>
      </c>
      <c r="C9" s="291">
        <v>1615.0</v>
      </c>
      <c r="D9" s="295"/>
      <c r="E9" s="298">
        <v>44753.0</v>
      </c>
      <c r="F9" s="295"/>
      <c r="G9" s="297"/>
      <c r="H9" s="290"/>
      <c r="I9" s="290"/>
      <c r="J9" s="290"/>
      <c r="K9" s="131"/>
      <c r="L9" s="131"/>
      <c r="M9" s="131"/>
      <c r="N9" s="131"/>
      <c r="O9" s="131"/>
      <c r="P9" s="131"/>
      <c r="Q9" s="131"/>
      <c r="R9" s="131"/>
      <c r="S9" s="131"/>
      <c r="T9" s="131"/>
      <c r="U9" s="131"/>
      <c r="V9" s="131"/>
      <c r="W9" s="131"/>
      <c r="X9" s="131"/>
      <c r="Y9" s="131"/>
      <c r="Z9" s="131"/>
    </row>
    <row r="10">
      <c r="A10" s="291" t="s">
        <v>7</v>
      </c>
      <c r="B10" s="291" t="s">
        <v>492</v>
      </c>
      <c r="C10" s="297">
        <v>2143.0</v>
      </c>
      <c r="D10" s="295"/>
      <c r="E10" s="293" t="s">
        <v>1570</v>
      </c>
      <c r="F10" s="295"/>
      <c r="G10" s="289"/>
      <c r="H10" s="290"/>
      <c r="I10" s="296"/>
      <c r="J10" s="290"/>
      <c r="K10" s="131"/>
      <c r="L10" s="131"/>
      <c r="M10" s="131"/>
      <c r="N10" s="131"/>
      <c r="O10" s="131"/>
      <c r="P10" s="131"/>
      <c r="Q10" s="131"/>
      <c r="R10" s="131"/>
      <c r="S10" s="131"/>
      <c r="T10" s="131"/>
      <c r="U10" s="131"/>
      <c r="V10" s="131"/>
      <c r="W10" s="131"/>
      <c r="X10" s="131"/>
      <c r="Y10" s="131"/>
      <c r="Z10" s="131"/>
    </row>
    <row r="11">
      <c r="A11" s="291" t="s">
        <v>7</v>
      </c>
      <c r="B11" s="291" t="s">
        <v>21</v>
      </c>
      <c r="C11" s="294">
        <v>1154.0</v>
      </c>
      <c r="D11" s="295"/>
      <c r="E11" s="293" t="s">
        <v>1565</v>
      </c>
      <c r="F11" s="295"/>
      <c r="G11" s="289"/>
      <c r="H11" s="290"/>
      <c r="I11" s="290"/>
      <c r="J11" s="290"/>
      <c r="K11" s="131"/>
      <c r="L11" s="131"/>
      <c r="M11" s="131"/>
      <c r="N11" s="131"/>
      <c r="O11" s="131"/>
      <c r="P11" s="131"/>
      <c r="Q11" s="131"/>
      <c r="R11" s="131"/>
      <c r="S11" s="131"/>
      <c r="T11" s="131"/>
      <c r="U11" s="131"/>
      <c r="V11" s="131"/>
      <c r="W11" s="131"/>
      <c r="X11" s="131"/>
      <c r="Y11" s="131"/>
      <c r="Z11" s="131"/>
    </row>
    <row r="12">
      <c r="A12" s="291" t="s">
        <v>7</v>
      </c>
      <c r="B12" s="291" t="s">
        <v>30</v>
      </c>
      <c r="C12" s="294">
        <v>1263.0</v>
      </c>
      <c r="D12" s="295"/>
      <c r="E12" s="293" t="s">
        <v>1565</v>
      </c>
      <c r="F12" s="295"/>
      <c r="G12" s="289"/>
      <c r="H12" s="290"/>
      <c r="I12" s="290"/>
      <c r="J12" s="290"/>
      <c r="K12" s="131"/>
      <c r="L12" s="131"/>
      <c r="M12" s="131"/>
      <c r="N12" s="131"/>
      <c r="O12" s="131"/>
      <c r="P12" s="131"/>
      <c r="Q12" s="131"/>
      <c r="R12" s="131"/>
      <c r="S12" s="131"/>
      <c r="T12" s="131"/>
      <c r="U12" s="131"/>
      <c r="V12" s="131"/>
      <c r="W12" s="131"/>
      <c r="X12" s="131"/>
      <c r="Y12" s="131"/>
      <c r="Z12" s="131"/>
    </row>
    <row r="13">
      <c r="A13" s="291" t="s">
        <v>7</v>
      </c>
      <c r="B13" s="291" t="s">
        <v>31</v>
      </c>
      <c r="C13" s="294">
        <v>1054.0</v>
      </c>
      <c r="D13" s="295"/>
      <c r="E13" s="293" t="s">
        <v>1565</v>
      </c>
      <c r="F13" s="295"/>
      <c r="G13" s="289"/>
      <c r="H13" s="290"/>
      <c r="I13" s="296"/>
      <c r="J13" s="296"/>
      <c r="K13" s="131"/>
      <c r="L13" s="131"/>
      <c r="M13" s="131"/>
      <c r="N13" s="131"/>
      <c r="O13" s="131"/>
      <c r="P13" s="131"/>
      <c r="Q13" s="131"/>
      <c r="R13" s="131"/>
      <c r="S13" s="131"/>
      <c r="T13" s="131"/>
      <c r="U13" s="131"/>
      <c r="V13" s="131"/>
      <c r="W13" s="131"/>
      <c r="X13" s="131"/>
      <c r="Y13" s="131"/>
      <c r="Z13" s="131"/>
    </row>
    <row r="14">
      <c r="A14" s="291" t="s">
        <v>7</v>
      </c>
      <c r="B14" s="291" t="s">
        <v>32</v>
      </c>
      <c r="C14" s="294">
        <v>1562.0</v>
      </c>
      <c r="D14" s="295"/>
      <c r="E14" s="293" t="s">
        <v>1565</v>
      </c>
      <c r="F14" s="295"/>
      <c r="G14" s="289"/>
      <c r="H14" s="290"/>
      <c r="I14" s="290"/>
      <c r="J14" s="290"/>
      <c r="K14" s="131"/>
      <c r="L14" s="131"/>
      <c r="M14" s="131"/>
      <c r="N14" s="131"/>
      <c r="O14" s="131"/>
      <c r="P14" s="131"/>
      <c r="Q14" s="131"/>
      <c r="R14" s="131"/>
      <c r="S14" s="131"/>
      <c r="T14" s="131"/>
      <c r="U14" s="131"/>
      <c r="V14" s="131"/>
      <c r="W14" s="131"/>
      <c r="X14" s="131"/>
      <c r="Y14" s="131"/>
      <c r="Z14" s="131"/>
    </row>
    <row r="15">
      <c r="A15" s="291" t="s">
        <v>7</v>
      </c>
      <c r="B15" s="291" t="s">
        <v>33</v>
      </c>
      <c r="C15" s="294">
        <v>1319.0</v>
      </c>
      <c r="D15" s="295"/>
      <c r="E15" s="293" t="s">
        <v>1562</v>
      </c>
      <c r="F15" s="295"/>
      <c r="G15" s="289"/>
      <c r="H15" s="290"/>
      <c r="I15" s="290"/>
      <c r="J15" s="290"/>
      <c r="K15" s="131"/>
      <c r="L15" s="131"/>
      <c r="M15" s="131"/>
      <c r="N15" s="131"/>
      <c r="O15" s="131"/>
      <c r="P15" s="131"/>
      <c r="Q15" s="131"/>
      <c r="R15" s="131"/>
      <c r="S15" s="131"/>
      <c r="T15" s="131"/>
      <c r="U15" s="131"/>
      <c r="V15" s="131"/>
      <c r="W15" s="131"/>
      <c r="X15" s="131"/>
      <c r="Y15" s="131"/>
      <c r="Z15" s="131"/>
    </row>
    <row r="16">
      <c r="A16" s="291" t="s">
        <v>7</v>
      </c>
      <c r="B16" s="291" t="s">
        <v>34</v>
      </c>
      <c r="C16" s="294">
        <v>1023.0</v>
      </c>
      <c r="D16" s="295"/>
      <c r="E16" s="293" t="s">
        <v>1560</v>
      </c>
      <c r="F16" s="295"/>
      <c r="G16" s="289"/>
      <c r="H16" s="290"/>
      <c r="I16" s="290"/>
      <c r="J16" s="290"/>
      <c r="K16" s="131"/>
      <c r="L16" s="131"/>
      <c r="M16" s="131"/>
      <c r="N16" s="131"/>
      <c r="O16" s="131"/>
      <c r="P16" s="131"/>
      <c r="Q16" s="131"/>
      <c r="R16" s="131"/>
      <c r="S16" s="131"/>
      <c r="T16" s="131"/>
      <c r="U16" s="131"/>
      <c r="V16" s="131"/>
      <c r="W16" s="131"/>
      <c r="X16" s="131"/>
      <c r="Y16" s="131"/>
      <c r="Z16" s="131"/>
    </row>
    <row r="17">
      <c r="A17" s="291" t="s">
        <v>7</v>
      </c>
      <c r="B17" s="291" t="s">
        <v>37</v>
      </c>
      <c r="C17" s="291">
        <v>1532.0</v>
      </c>
      <c r="D17" s="295"/>
      <c r="E17" s="298">
        <v>44753.0</v>
      </c>
      <c r="F17" s="295"/>
      <c r="G17" s="289"/>
      <c r="H17" s="290"/>
      <c r="I17" s="290"/>
      <c r="J17" s="290"/>
      <c r="K17" s="131"/>
      <c r="L17" s="131"/>
      <c r="M17" s="131"/>
      <c r="N17" s="131"/>
      <c r="O17" s="131"/>
      <c r="P17" s="131"/>
      <c r="Q17" s="131"/>
      <c r="R17" s="131"/>
      <c r="S17" s="131"/>
      <c r="T17" s="131"/>
      <c r="U17" s="131"/>
      <c r="V17" s="131"/>
      <c r="W17" s="131"/>
      <c r="X17" s="131"/>
      <c r="Y17" s="131"/>
      <c r="Z17" s="131"/>
    </row>
    <row r="18">
      <c r="A18" s="291" t="s">
        <v>7</v>
      </c>
      <c r="B18" s="291" t="s">
        <v>40</v>
      </c>
      <c r="C18" s="291">
        <v>975.0</v>
      </c>
      <c r="D18" s="295"/>
      <c r="E18" s="293" t="s">
        <v>1560</v>
      </c>
      <c r="F18" s="295"/>
      <c r="G18" s="289"/>
      <c r="H18" s="290"/>
      <c r="I18" s="290"/>
      <c r="J18" s="290"/>
      <c r="K18" s="131"/>
      <c r="L18" s="131"/>
      <c r="M18" s="131"/>
      <c r="N18" s="131"/>
      <c r="O18" s="131"/>
      <c r="P18" s="131"/>
      <c r="Q18" s="131"/>
      <c r="R18" s="131"/>
      <c r="S18" s="131"/>
      <c r="T18" s="131"/>
      <c r="U18" s="131"/>
      <c r="V18" s="131"/>
      <c r="W18" s="131"/>
      <c r="X18" s="131"/>
      <c r="Y18" s="131"/>
      <c r="Z18" s="131"/>
    </row>
    <row r="19">
      <c r="A19" s="291" t="s">
        <v>7</v>
      </c>
      <c r="B19" s="291" t="s">
        <v>41</v>
      </c>
      <c r="C19" s="294">
        <v>1416.0</v>
      </c>
      <c r="D19" s="295"/>
      <c r="E19" s="293" t="s">
        <v>1562</v>
      </c>
      <c r="F19" s="295"/>
      <c r="G19" s="289"/>
      <c r="H19" s="290"/>
      <c r="I19" s="290"/>
      <c r="J19" s="290"/>
      <c r="K19" s="131"/>
      <c r="L19" s="131"/>
      <c r="M19" s="131"/>
      <c r="N19" s="131"/>
      <c r="O19" s="131"/>
      <c r="P19" s="131"/>
      <c r="Q19" s="131"/>
      <c r="R19" s="131"/>
      <c r="S19" s="131"/>
      <c r="T19" s="131"/>
      <c r="U19" s="131"/>
      <c r="V19" s="131"/>
      <c r="W19" s="131"/>
      <c r="X19" s="131"/>
      <c r="Y19" s="131"/>
      <c r="Z19" s="131"/>
    </row>
    <row r="20">
      <c r="A20" s="291" t="s">
        <v>7</v>
      </c>
      <c r="B20" s="291" t="s">
        <v>43</v>
      </c>
      <c r="C20" s="291">
        <v>1101.0</v>
      </c>
      <c r="D20" s="295"/>
      <c r="E20" s="293" t="s">
        <v>1560</v>
      </c>
      <c r="F20" s="295"/>
      <c r="G20" s="289"/>
      <c r="H20" s="290"/>
      <c r="I20" s="290"/>
      <c r="J20" s="290"/>
      <c r="K20" s="131"/>
      <c r="L20" s="131"/>
      <c r="M20" s="131"/>
      <c r="N20" s="131"/>
      <c r="O20" s="131"/>
      <c r="P20" s="131"/>
      <c r="Q20" s="131"/>
      <c r="R20" s="131"/>
      <c r="S20" s="131"/>
      <c r="T20" s="131"/>
      <c r="U20" s="131"/>
      <c r="V20" s="131"/>
      <c r="W20" s="131"/>
      <c r="X20" s="131"/>
      <c r="Y20" s="131"/>
      <c r="Z20" s="131"/>
    </row>
    <row r="21">
      <c r="A21" s="291" t="s">
        <v>7</v>
      </c>
      <c r="B21" s="291" t="s">
        <v>44</v>
      </c>
      <c r="C21" s="291">
        <v>2084.0</v>
      </c>
      <c r="D21" s="295"/>
      <c r="E21" s="298">
        <v>44753.0</v>
      </c>
      <c r="F21" s="295"/>
      <c r="G21" s="289"/>
      <c r="H21" s="290"/>
      <c r="I21" s="290"/>
      <c r="J21" s="290"/>
      <c r="K21" s="131"/>
      <c r="L21" s="131"/>
      <c r="M21" s="131"/>
      <c r="N21" s="131"/>
      <c r="O21" s="131"/>
      <c r="P21" s="131"/>
      <c r="Q21" s="131"/>
      <c r="R21" s="131"/>
      <c r="S21" s="131"/>
      <c r="T21" s="131"/>
      <c r="U21" s="131"/>
      <c r="V21" s="131"/>
      <c r="W21" s="131"/>
      <c r="X21" s="131"/>
      <c r="Y21" s="131"/>
      <c r="Z21" s="131"/>
    </row>
    <row r="22">
      <c r="A22" s="291" t="s">
        <v>474</v>
      </c>
      <c r="B22" s="291" t="s">
        <v>95</v>
      </c>
      <c r="C22" s="291">
        <v>1256.0</v>
      </c>
      <c r="D22" s="295"/>
      <c r="E22" s="298">
        <v>44753.0</v>
      </c>
      <c r="F22" s="295"/>
      <c r="G22" s="289"/>
      <c r="H22" s="290"/>
      <c r="I22" s="290"/>
      <c r="J22" s="290"/>
      <c r="K22" s="131"/>
      <c r="L22" s="131"/>
      <c r="M22" s="131"/>
      <c r="N22" s="131"/>
      <c r="O22" s="131"/>
      <c r="P22" s="131"/>
      <c r="Q22" s="131"/>
      <c r="R22" s="131"/>
      <c r="S22" s="131"/>
      <c r="T22" s="131"/>
      <c r="U22" s="131"/>
      <c r="V22" s="131"/>
      <c r="W22" s="131"/>
      <c r="X22" s="131"/>
      <c r="Y22" s="131"/>
      <c r="Z22" s="131"/>
    </row>
    <row r="23">
      <c r="A23" s="291" t="s">
        <v>474</v>
      </c>
      <c r="B23" s="291" t="s">
        <v>61</v>
      </c>
      <c r="C23" s="299">
        <v>2410.0</v>
      </c>
      <c r="D23" s="295"/>
      <c r="E23" s="293" t="s">
        <v>1570</v>
      </c>
      <c r="F23" s="295"/>
      <c r="G23" s="290"/>
      <c r="H23" s="290"/>
      <c r="I23" s="290"/>
      <c r="J23" s="290"/>
      <c r="K23" s="131"/>
      <c r="L23" s="131"/>
      <c r="M23" s="131"/>
      <c r="N23" s="131"/>
      <c r="O23" s="131"/>
      <c r="P23" s="131"/>
      <c r="Q23" s="131"/>
      <c r="R23" s="131"/>
      <c r="S23" s="131"/>
      <c r="T23" s="131"/>
      <c r="U23" s="131"/>
      <c r="V23" s="131"/>
      <c r="W23" s="131"/>
      <c r="X23" s="131"/>
      <c r="Y23" s="131"/>
      <c r="Z23" s="131"/>
    </row>
    <row r="24">
      <c r="A24" s="291" t="s">
        <v>474</v>
      </c>
      <c r="B24" s="291" t="s">
        <v>97</v>
      </c>
      <c r="C24" s="294">
        <v>1284.0</v>
      </c>
      <c r="D24" s="295"/>
      <c r="E24" s="293" t="s">
        <v>1562</v>
      </c>
      <c r="F24" s="295"/>
      <c r="G24" s="290"/>
      <c r="H24" s="290"/>
      <c r="I24" s="290"/>
      <c r="J24" s="290"/>
      <c r="K24" s="131"/>
      <c r="L24" s="131"/>
      <c r="M24" s="131"/>
      <c r="N24" s="131"/>
      <c r="O24" s="131"/>
      <c r="P24" s="131"/>
      <c r="Q24" s="131"/>
      <c r="R24" s="131"/>
      <c r="S24" s="131"/>
      <c r="T24" s="131"/>
      <c r="U24" s="131"/>
      <c r="V24" s="131"/>
      <c r="W24" s="131"/>
      <c r="X24" s="131"/>
      <c r="Y24" s="131"/>
      <c r="Z24" s="131"/>
    </row>
    <row r="25">
      <c r="A25" s="291" t="s">
        <v>474</v>
      </c>
      <c r="B25" s="291" t="s">
        <v>92</v>
      </c>
      <c r="C25" s="294">
        <v>1770.0</v>
      </c>
      <c r="D25" s="295"/>
      <c r="E25" s="293" t="s">
        <v>1565</v>
      </c>
      <c r="F25" s="295"/>
      <c r="G25" s="290"/>
      <c r="H25" s="290"/>
      <c r="I25" s="290"/>
      <c r="J25" s="290"/>
      <c r="K25" s="131"/>
      <c r="L25" s="131"/>
      <c r="M25" s="131"/>
      <c r="N25" s="131"/>
      <c r="O25" s="131"/>
      <c r="P25" s="131"/>
      <c r="Q25" s="131"/>
      <c r="R25" s="131"/>
      <c r="S25" s="131"/>
      <c r="T25" s="131"/>
      <c r="U25" s="131"/>
      <c r="V25" s="131"/>
      <c r="W25" s="131"/>
      <c r="X25" s="131"/>
      <c r="Y25" s="131"/>
      <c r="Z25" s="131"/>
    </row>
    <row r="26">
      <c r="A26" s="291" t="s">
        <v>474</v>
      </c>
      <c r="B26" s="291" t="s">
        <v>99</v>
      </c>
      <c r="C26" s="291">
        <v>1242.0</v>
      </c>
      <c r="D26" s="295"/>
      <c r="E26" s="293" t="s">
        <v>1571</v>
      </c>
      <c r="F26" s="295"/>
      <c r="G26" s="290"/>
      <c r="H26" s="290"/>
      <c r="I26" s="290"/>
      <c r="J26" s="290"/>
      <c r="K26" s="131"/>
      <c r="L26" s="131"/>
      <c r="M26" s="131"/>
      <c r="N26" s="131"/>
      <c r="O26" s="131"/>
      <c r="P26" s="131"/>
      <c r="Q26" s="131"/>
      <c r="R26" s="131"/>
      <c r="S26" s="131"/>
      <c r="T26" s="131"/>
      <c r="U26" s="131"/>
      <c r="V26" s="131"/>
      <c r="W26" s="131"/>
      <c r="X26" s="131"/>
      <c r="Y26" s="131"/>
      <c r="Z26" s="131"/>
    </row>
    <row r="27">
      <c r="A27" s="291" t="s">
        <v>474</v>
      </c>
      <c r="B27" s="291" t="s">
        <v>96</v>
      </c>
      <c r="C27" s="294">
        <v>1290.0</v>
      </c>
      <c r="D27" s="295"/>
      <c r="E27" s="293" t="s">
        <v>1562</v>
      </c>
      <c r="F27" s="295"/>
      <c r="G27" s="290"/>
      <c r="H27" s="290"/>
      <c r="I27" s="290"/>
      <c r="J27" s="290"/>
      <c r="K27" s="131"/>
      <c r="L27" s="131"/>
      <c r="M27" s="131"/>
      <c r="N27" s="131"/>
      <c r="O27" s="131"/>
      <c r="P27" s="131"/>
      <c r="Q27" s="131"/>
      <c r="R27" s="131"/>
      <c r="S27" s="131"/>
      <c r="T27" s="131"/>
      <c r="U27" s="131"/>
      <c r="V27" s="131"/>
      <c r="W27" s="131"/>
      <c r="X27" s="131"/>
      <c r="Y27" s="131"/>
      <c r="Z27" s="131"/>
    </row>
    <row r="28">
      <c r="A28" s="291" t="s">
        <v>474</v>
      </c>
      <c r="B28" s="291" t="s">
        <v>57</v>
      </c>
      <c r="C28" s="294">
        <v>1369.0</v>
      </c>
      <c r="D28" s="295"/>
      <c r="E28" s="293" t="s">
        <v>1565</v>
      </c>
      <c r="F28" s="295"/>
      <c r="G28" s="290"/>
      <c r="H28" s="290"/>
      <c r="I28" s="290"/>
      <c r="J28" s="290"/>
      <c r="K28" s="131"/>
      <c r="L28" s="131"/>
      <c r="M28" s="131"/>
      <c r="N28" s="131"/>
      <c r="O28" s="131"/>
      <c r="P28" s="131"/>
      <c r="Q28" s="131"/>
      <c r="R28" s="131"/>
      <c r="S28" s="131"/>
      <c r="T28" s="131"/>
      <c r="U28" s="131"/>
      <c r="V28" s="131"/>
      <c r="W28" s="131"/>
      <c r="X28" s="131"/>
      <c r="Y28" s="131"/>
      <c r="Z28" s="131"/>
    </row>
    <row r="29">
      <c r="A29" s="291" t="s">
        <v>474</v>
      </c>
      <c r="B29" s="291" t="s">
        <v>428</v>
      </c>
      <c r="C29" s="294">
        <v>1317.0</v>
      </c>
      <c r="D29" s="295"/>
      <c r="E29" s="293" t="s">
        <v>1565</v>
      </c>
      <c r="F29" s="295"/>
      <c r="G29" s="290"/>
      <c r="H29" s="290"/>
      <c r="I29" s="290"/>
      <c r="J29" s="290"/>
      <c r="K29" s="131"/>
      <c r="L29" s="131"/>
      <c r="M29" s="131"/>
      <c r="N29" s="131"/>
      <c r="O29" s="131"/>
      <c r="P29" s="131"/>
      <c r="Q29" s="131"/>
      <c r="R29" s="131"/>
      <c r="S29" s="131"/>
      <c r="T29" s="131"/>
      <c r="U29" s="131"/>
      <c r="V29" s="131"/>
      <c r="W29" s="131"/>
      <c r="X29" s="131"/>
      <c r="Y29" s="131"/>
      <c r="Z29" s="131"/>
    </row>
    <row r="30">
      <c r="A30" s="291" t="s">
        <v>474</v>
      </c>
      <c r="B30" s="291" t="s">
        <v>94</v>
      </c>
      <c r="C30" s="294">
        <v>2278.0</v>
      </c>
      <c r="D30" s="295"/>
      <c r="E30" s="293" t="s">
        <v>1565</v>
      </c>
      <c r="F30" s="295"/>
      <c r="G30" s="290"/>
      <c r="H30" s="290"/>
      <c r="I30" s="290"/>
      <c r="J30" s="290"/>
      <c r="K30" s="131"/>
      <c r="L30" s="131"/>
      <c r="M30" s="131"/>
      <c r="N30" s="131"/>
      <c r="O30" s="131"/>
      <c r="P30" s="131"/>
      <c r="Q30" s="131"/>
      <c r="R30" s="131"/>
      <c r="S30" s="131"/>
      <c r="T30" s="131"/>
      <c r="U30" s="131"/>
      <c r="V30" s="131"/>
      <c r="W30" s="131"/>
      <c r="X30" s="131"/>
      <c r="Y30" s="131"/>
      <c r="Z30" s="131"/>
    </row>
    <row r="31">
      <c r="A31" s="291" t="s">
        <v>474</v>
      </c>
      <c r="B31" s="291" t="s">
        <v>98</v>
      </c>
      <c r="C31" s="294">
        <v>1232.0</v>
      </c>
      <c r="D31" s="295"/>
      <c r="E31" s="293" t="s">
        <v>1565</v>
      </c>
      <c r="F31" s="295"/>
      <c r="G31" s="290"/>
      <c r="H31" s="290"/>
      <c r="I31" s="290"/>
      <c r="J31" s="290"/>
      <c r="K31" s="131"/>
      <c r="L31" s="131"/>
      <c r="M31" s="131"/>
      <c r="N31" s="131"/>
      <c r="O31" s="131"/>
      <c r="P31" s="131"/>
      <c r="Q31" s="131"/>
      <c r="R31" s="131"/>
      <c r="S31" s="131"/>
      <c r="T31" s="131"/>
      <c r="U31" s="131"/>
      <c r="V31" s="131"/>
      <c r="W31" s="131"/>
      <c r="X31" s="131"/>
      <c r="Y31" s="131"/>
      <c r="Z31" s="131"/>
    </row>
    <row r="32">
      <c r="A32" s="291" t="s">
        <v>88</v>
      </c>
      <c r="B32" s="291" t="s">
        <v>90</v>
      </c>
      <c r="C32" s="294">
        <v>1288.0</v>
      </c>
      <c r="D32" s="295"/>
      <c r="E32" s="293" t="s">
        <v>1565</v>
      </c>
      <c r="F32" s="295"/>
      <c r="G32" s="290"/>
      <c r="H32" s="290"/>
      <c r="I32" s="290"/>
      <c r="J32" s="290"/>
      <c r="K32" s="131"/>
      <c r="L32" s="131"/>
      <c r="M32" s="131"/>
      <c r="N32" s="131"/>
      <c r="O32" s="131"/>
      <c r="P32" s="131"/>
      <c r="Q32" s="131"/>
      <c r="R32" s="131"/>
      <c r="S32" s="131"/>
      <c r="T32" s="131"/>
      <c r="U32" s="131"/>
      <c r="V32" s="131"/>
      <c r="W32" s="131"/>
      <c r="X32" s="131"/>
      <c r="Y32" s="131"/>
      <c r="Z32" s="131"/>
    </row>
    <row r="33">
      <c r="A33" s="291" t="s">
        <v>88</v>
      </c>
      <c r="B33" s="291" t="s">
        <v>89</v>
      </c>
      <c r="C33" s="291">
        <v>1829.0</v>
      </c>
      <c r="D33" s="295"/>
      <c r="E33" s="293" t="s">
        <v>1571</v>
      </c>
      <c r="F33" s="295"/>
      <c r="G33" s="290"/>
      <c r="H33" s="290"/>
      <c r="I33" s="290"/>
      <c r="J33" s="290"/>
      <c r="K33" s="131"/>
      <c r="L33" s="131"/>
      <c r="M33" s="131"/>
      <c r="N33" s="131"/>
      <c r="O33" s="131"/>
      <c r="P33" s="131"/>
      <c r="Q33" s="131"/>
      <c r="R33" s="131"/>
      <c r="S33" s="131"/>
      <c r="T33" s="131"/>
      <c r="U33" s="131"/>
      <c r="V33" s="131"/>
      <c r="W33" s="131"/>
      <c r="X33" s="131"/>
      <c r="Y33" s="131"/>
      <c r="Z33" s="131"/>
    </row>
    <row r="34">
      <c r="A34" s="291" t="s">
        <v>67</v>
      </c>
      <c r="B34" s="291" t="s">
        <v>426</v>
      </c>
      <c r="C34" s="291">
        <v>1723.0</v>
      </c>
      <c r="D34" s="295"/>
      <c r="E34" s="300">
        <v>44906.0</v>
      </c>
      <c r="F34" s="295"/>
      <c r="G34" s="290"/>
      <c r="H34" s="290"/>
      <c r="I34" s="290"/>
      <c r="J34" s="290"/>
      <c r="K34" s="131"/>
      <c r="L34" s="131"/>
      <c r="M34" s="131"/>
      <c r="N34" s="131"/>
      <c r="O34" s="131"/>
      <c r="P34" s="131"/>
      <c r="Q34" s="131"/>
      <c r="R34" s="131"/>
      <c r="S34" s="131"/>
      <c r="T34" s="131"/>
      <c r="U34" s="131"/>
      <c r="V34" s="131"/>
      <c r="W34" s="131"/>
      <c r="X34" s="131"/>
      <c r="Y34" s="131"/>
      <c r="Z34" s="131"/>
    </row>
    <row r="35">
      <c r="A35" s="291" t="s">
        <v>67</v>
      </c>
      <c r="B35" s="291" t="s">
        <v>93</v>
      </c>
      <c r="C35" s="294">
        <v>1446.0</v>
      </c>
      <c r="D35" s="295"/>
      <c r="E35" s="293" t="s">
        <v>1565</v>
      </c>
      <c r="F35" s="295"/>
      <c r="G35" s="290"/>
      <c r="H35" s="290"/>
      <c r="I35" s="290"/>
      <c r="J35" s="290"/>
      <c r="K35" s="131"/>
      <c r="L35" s="131"/>
      <c r="M35" s="131"/>
      <c r="N35" s="131"/>
      <c r="O35" s="131"/>
      <c r="P35" s="131"/>
      <c r="Q35" s="131"/>
      <c r="R35" s="131"/>
      <c r="S35" s="131"/>
      <c r="T35" s="131"/>
      <c r="U35" s="131"/>
      <c r="V35" s="131"/>
      <c r="W35" s="131"/>
      <c r="X35" s="131"/>
      <c r="Y35" s="131"/>
      <c r="Z35" s="131"/>
    </row>
    <row r="36">
      <c r="A36" s="291" t="s">
        <v>54</v>
      </c>
      <c r="B36" s="291" t="s">
        <v>58</v>
      </c>
      <c r="C36" s="291">
        <v>1973.0</v>
      </c>
      <c r="D36" s="295"/>
      <c r="E36" s="298">
        <v>44753.0</v>
      </c>
      <c r="F36" s="295"/>
      <c r="G36" s="290"/>
      <c r="H36" s="290"/>
      <c r="I36" s="290"/>
      <c r="J36" s="290"/>
      <c r="K36" s="131"/>
      <c r="L36" s="131"/>
      <c r="M36" s="131"/>
      <c r="N36" s="131"/>
      <c r="O36" s="131"/>
      <c r="P36" s="131"/>
      <c r="Q36" s="131"/>
      <c r="R36" s="131"/>
      <c r="S36" s="131"/>
      <c r="T36" s="131"/>
      <c r="U36" s="131"/>
      <c r="V36" s="131"/>
      <c r="W36" s="131"/>
      <c r="X36" s="131"/>
      <c r="Y36" s="131"/>
      <c r="Z36" s="131"/>
    </row>
    <row r="37">
      <c r="A37" s="291" t="s">
        <v>54</v>
      </c>
      <c r="B37" s="291" t="s">
        <v>63</v>
      </c>
      <c r="C37" s="291">
        <v>1544.0</v>
      </c>
      <c r="D37" s="295"/>
      <c r="E37" s="300">
        <v>44906.0</v>
      </c>
      <c r="F37" s="295"/>
      <c r="G37" s="290"/>
      <c r="H37" s="290"/>
      <c r="I37" s="290"/>
      <c r="J37" s="290"/>
      <c r="K37" s="131"/>
      <c r="L37" s="131"/>
      <c r="M37" s="131"/>
      <c r="N37" s="131"/>
      <c r="O37" s="131"/>
      <c r="P37" s="131"/>
      <c r="Q37" s="131"/>
      <c r="R37" s="131"/>
      <c r="S37" s="131"/>
      <c r="T37" s="131"/>
      <c r="U37" s="131"/>
      <c r="V37" s="131"/>
      <c r="W37" s="131"/>
      <c r="X37" s="131"/>
      <c r="Y37" s="131"/>
      <c r="Z37" s="131"/>
    </row>
    <row r="38">
      <c r="A38" s="291" t="s">
        <v>54</v>
      </c>
      <c r="B38" s="291" t="s">
        <v>60</v>
      </c>
      <c r="C38" s="291">
        <v>914.0</v>
      </c>
      <c r="D38" s="295"/>
      <c r="E38" s="293" t="s">
        <v>1571</v>
      </c>
      <c r="F38" s="295"/>
      <c r="G38" s="290"/>
      <c r="H38" s="290"/>
      <c r="I38" s="290"/>
      <c r="J38" s="290"/>
      <c r="K38" s="131"/>
      <c r="L38" s="131"/>
      <c r="M38" s="131"/>
      <c r="N38" s="131"/>
      <c r="O38" s="131"/>
      <c r="P38" s="131"/>
      <c r="Q38" s="131"/>
      <c r="R38" s="131"/>
      <c r="S38" s="131"/>
      <c r="T38" s="131"/>
      <c r="U38" s="131"/>
      <c r="V38" s="131"/>
      <c r="W38" s="131"/>
      <c r="X38" s="131"/>
      <c r="Y38" s="131"/>
      <c r="Z38" s="131"/>
    </row>
    <row r="39">
      <c r="A39" s="291" t="s">
        <v>54</v>
      </c>
      <c r="B39" s="291" t="s">
        <v>65</v>
      </c>
      <c r="C39" s="291">
        <v>2263.0</v>
      </c>
      <c r="D39" s="295"/>
      <c r="E39" s="300">
        <v>44906.0</v>
      </c>
      <c r="F39" s="295"/>
      <c r="G39" s="290"/>
      <c r="H39" s="290"/>
      <c r="I39" s="290"/>
      <c r="J39" s="290"/>
      <c r="K39" s="131"/>
      <c r="L39" s="131"/>
      <c r="M39" s="131"/>
      <c r="N39" s="131"/>
      <c r="O39" s="131"/>
      <c r="P39" s="131"/>
      <c r="Q39" s="131"/>
      <c r="R39" s="131"/>
      <c r="S39" s="131"/>
      <c r="T39" s="131"/>
      <c r="U39" s="131"/>
      <c r="V39" s="131"/>
      <c r="W39" s="131"/>
      <c r="X39" s="131"/>
      <c r="Y39" s="131"/>
      <c r="Z39" s="131"/>
    </row>
    <row r="40">
      <c r="A40" s="293" t="s">
        <v>54</v>
      </c>
      <c r="B40" s="293" t="s">
        <v>62</v>
      </c>
      <c r="C40" s="294">
        <v>1317.0</v>
      </c>
      <c r="D40" s="295"/>
      <c r="E40" s="293" t="s">
        <v>1565</v>
      </c>
      <c r="F40" s="295"/>
      <c r="G40" s="290"/>
      <c r="H40" s="290"/>
      <c r="I40" s="290"/>
      <c r="J40" s="290"/>
      <c r="K40" s="131"/>
      <c r="L40" s="131"/>
      <c r="M40" s="131"/>
      <c r="N40" s="131"/>
      <c r="O40" s="131"/>
      <c r="P40" s="131"/>
      <c r="Q40" s="131"/>
      <c r="R40" s="131"/>
      <c r="S40" s="131"/>
      <c r="T40" s="131"/>
      <c r="U40" s="131"/>
      <c r="V40" s="131"/>
      <c r="W40" s="131"/>
      <c r="X40" s="131"/>
      <c r="Y40" s="131"/>
      <c r="Z40" s="131"/>
    </row>
    <row r="41">
      <c r="A41" s="293" t="s">
        <v>54</v>
      </c>
      <c r="B41" s="293" t="s">
        <v>59</v>
      </c>
      <c r="C41" s="290">
        <v>998.0</v>
      </c>
      <c r="D41" s="295"/>
      <c r="E41" s="293" t="s">
        <v>1562</v>
      </c>
      <c r="F41" s="295"/>
      <c r="G41" s="290"/>
      <c r="H41" s="290"/>
      <c r="I41" s="290"/>
      <c r="J41" s="290"/>
      <c r="K41" s="131"/>
      <c r="L41" s="131"/>
      <c r="M41" s="131"/>
      <c r="N41" s="131"/>
      <c r="O41" s="131"/>
      <c r="P41" s="131"/>
      <c r="Q41" s="131"/>
      <c r="R41" s="131"/>
      <c r="S41" s="131"/>
      <c r="T41" s="131"/>
      <c r="U41" s="131"/>
      <c r="V41" s="131"/>
      <c r="W41" s="131"/>
      <c r="X41" s="131"/>
      <c r="Y41" s="131"/>
      <c r="Z41" s="131"/>
    </row>
    <row r="42">
      <c r="A42" s="293" t="s">
        <v>54</v>
      </c>
      <c r="B42" s="293" t="s">
        <v>64</v>
      </c>
      <c r="C42" s="290">
        <v>1258.0</v>
      </c>
      <c r="D42" s="295"/>
      <c r="E42" s="293" t="s">
        <v>1562</v>
      </c>
      <c r="F42" s="295"/>
      <c r="G42" s="290"/>
      <c r="H42" s="290"/>
      <c r="I42" s="290"/>
      <c r="J42" s="290"/>
      <c r="K42" s="131"/>
      <c r="L42" s="131"/>
      <c r="M42" s="131"/>
      <c r="N42" s="131"/>
      <c r="O42" s="131"/>
      <c r="P42" s="131"/>
      <c r="Q42" s="131"/>
      <c r="R42" s="131"/>
      <c r="S42" s="131"/>
      <c r="T42" s="131"/>
      <c r="U42" s="131"/>
      <c r="V42" s="131"/>
      <c r="W42" s="131"/>
      <c r="X42" s="131"/>
      <c r="Y42" s="131"/>
      <c r="Z42" s="131"/>
    </row>
    <row r="43">
      <c r="A43" s="293" t="s">
        <v>54</v>
      </c>
      <c r="B43" s="293" t="s">
        <v>55</v>
      </c>
      <c r="C43" s="290">
        <v>1354.0</v>
      </c>
      <c r="D43" s="295"/>
      <c r="E43" s="293" t="s">
        <v>1565</v>
      </c>
      <c r="F43" s="295"/>
      <c r="G43" s="290"/>
      <c r="H43" s="290"/>
      <c r="I43" s="290"/>
      <c r="J43" s="290"/>
      <c r="K43" s="131"/>
      <c r="L43" s="131"/>
      <c r="M43" s="131"/>
      <c r="N43" s="131"/>
      <c r="O43" s="131"/>
      <c r="P43" s="131"/>
      <c r="Q43" s="131"/>
      <c r="R43" s="131"/>
      <c r="S43" s="131"/>
      <c r="T43" s="131"/>
      <c r="U43" s="131"/>
      <c r="V43" s="131"/>
      <c r="W43" s="131"/>
      <c r="X43" s="131"/>
      <c r="Y43" s="131"/>
      <c r="Z43" s="131"/>
    </row>
    <row r="44">
      <c r="A44" s="293" t="s">
        <v>54</v>
      </c>
      <c r="B44" s="293" t="s">
        <v>56</v>
      </c>
      <c r="C44" s="293">
        <v>1933.0</v>
      </c>
      <c r="D44" s="295"/>
      <c r="E44" s="298">
        <v>44753.0</v>
      </c>
      <c r="F44" s="295"/>
      <c r="G44" s="290"/>
      <c r="H44" s="290"/>
      <c r="I44" s="290"/>
      <c r="J44" s="290"/>
      <c r="K44" s="131"/>
      <c r="L44" s="131"/>
      <c r="M44" s="131"/>
      <c r="N44" s="131"/>
      <c r="O44" s="131"/>
      <c r="P44" s="131"/>
      <c r="Q44" s="131"/>
      <c r="R44" s="131"/>
      <c r="S44" s="131"/>
      <c r="T44" s="131"/>
      <c r="U44" s="131"/>
      <c r="V44" s="131"/>
      <c r="W44" s="131"/>
      <c r="X44" s="131"/>
      <c r="Y44" s="131"/>
      <c r="Z44" s="131"/>
    </row>
    <row r="45">
      <c r="A45" s="293" t="s">
        <v>54</v>
      </c>
      <c r="B45" s="293" t="s">
        <v>66</v>
      </c>
      <c r="C45" s="293">
        <v>1469.0</v>
      </c>
      <c r="D45" s="295"/>
      <c r="E45" s="293" t="s">
        <v>1560</v>
      </c>
      <c r="F45" s="295"/>
      <c r="G45" s="290"/>
      <c r="H45" s="290"/>
      <c r="I45" s="290"/>
      <c r="J45" s="290"/>
      <c r="K45" s="131"/>
      <c r="L45" s="131"/>
      <c r="M45" s="131"/>
      <c r="N45" s="131"/>
      <c r="O45" s="131"/>
      <c r="P45" s="131"/>
      <c r="Q45" s="131"/>
      <c r="R45" s="131"/>
      <c r="S45" s="131"/>
      <c r="T45" s="131"/>
      <c r="U45" s="131"/>
      <c r="V45" s="131"/>
      <c r="W45" s="131"/>
      <c r="X45" s="131"/>
      <c r="Y45" s="131"/>
      <c r="Z45" s="131"/>
    </row>
    <row r="46">
      <c r="A46" s="293" t="s">
        <v>429</v>
      </c>
      <c r="B46" s="293" t="s">
        <v>432</v>
      </c>
      <c r="C46" s="293">
        <v>1440.0</v>
      </c>
      <c r="D46" s="295"/>
      <c r="E46" s="293" t="s">
        <v>1571</v>
      </c>
      <c r="F46" s="295"/>
      <c r="G46" s="290"/>
      <c r="H46" s="290"/>
      <c r="I46" s="290"/>
      <c r="J46" s="290"/>
      <c r="K46" s="131"/>
      <c r="L46" s="131"/>
      <c r="M46" s="131"/>
      <c r="N46" s="131"/>
      <c r="O46" s="131"/>
      <c r="P46" s="131"/>
      <c r="Q46" s="131"/>
      <c r="R46" s="131"/>
      <c r="S46" s="131"/>
      <c r="T46" s="131"/>
      <c r="U46" s="131"/>
      <c r="V46" s="131"/>
      <c r="W46" s="131"/>
      <c r="X46" s="131"/>
      <c r="Y46" s="131"/>
      <c r="Z46" s="131"/>
    </row>
    <row r="47">
      <c r="A47" s="293" t="s">
        <v>429</v>
      </c>
      <c r="B47" s="293" t="s">
        <v>103</v>
      </c>
      <c r="C47" s="293">
        <v>1804.0</v>
      </c>
      <c r="D47" s="295"/>
      <c r="E47" s="298">
        <v>44753.0</v>
      </c>
      <c r="F47" s="295"/>
      <c r="G47" s="290"/>
      <c r="H47" s="290"/>
      <c r="I47" s="290"/>
      <c r="J47" s="290"/>
      <c r="K47" s="131"/>
      <c r="L47" s="131"/>
      <c r="M47" s="131"/>
      <c r="N47" s="131"/>
      <c r="O47" s="131"/>
      <c r="P47" s="131"/>
      <c r="Q47" s="131"/>
      <c r="R47" s="131"/>
      <c r="S47" s="131"/>
      <c r="T47" s="131"/>
      <c r="U47" s="131"/>
      <c r="V47" s="131"/>
      <c r="W47" s="131"/>
      <c r="X47" s="131"/>
      <c r="Y47" s="131"/>
      <c r="Z47" s="131"/>
    </row>
    <row r="48">
      <c r="A48" s="293" t="s">
        <v>429</v>
      </c>
      <c r="B48" s="293" t="s">
        <v>101</v>
      </c>
      <c r="C48" s="293">
        <v>1663.0</v>
      </c>
      <c r="D48" s="295"/>
      <c r="E48" s="298">
        <v>44753.0</v>
      </c>
      <c r="F48" s="295"/>
      <c r="G48" s="290"/>
      <c r="H48" s="290"/>
      <c r="I48" s="290"/>
      <c r="J48" s="290"/>
      <c r="K48" s="131"/>
      <c r="L48" s="131"/>
      <c r="M48" s="131"/>
      <c r="N48" s="131"/>
      <c r="O48" s="131"/>
      <c r="P48" s="131"/>
      <c r="Q48" s="131"/>
      <c r="R48" s="131"/>
      <c r="S48" s="131"/>
      <c r="T48" s="131"/>
      <c r="U48" s="131"/>
      <c r="V48" s="131"/>
      <c r="W48" s="131"/>
      <c r="X48" s="131"/>
      <c r="Y48" s="131"/>
      <c r="Z48" s="131"/>
    </row>
    <row r="49">
      <c r="A49" s="293" t="s">
        <v>429</v>
      </c>
      <c r="B49" s="293" t="s">
        <v>105</v>
      </c>
      <c r="C49" s="293">
        <v>2222.0</v>
      </c>
      <c r="D49" s="295"/>
      <c r="E49" s="300">
        <v>44906.0</v>
      </c>
      <c r="F49" s="295"/>
      <c r="G49" s="290"/>
      <c r="H49" s="290"/>
      <c r="I49" s="290"/>
      <c r="J49" s="290"/>
      <c r="K49" s="131"/>
      <c r="L49" s="131"/>
      <c r="M49" s="131"/>
      <c r="N49" s="131"/>
      <c r="O49" s="131"/>
      <c r="P49" s="131"/>
      <c r="Q49" s="131"/>
      <c r="R49" s="131"/>
      <c r="S49" s="131"/>
      <c r="T49" s="131"/>
      <c r="U49" s="131"/>
      <c r="V49" s="131"/>
      <c r="W49" s="131"/>
      <c r="X49" s="131"/>
      <c r="Y49" s="131"/>
      <c r="Z49" s="131"/>
    </row>
    <row r="50">
      <c r="A50" s="293" t="s">
        <v>429</v>
      </c>
      <c r="B50" s="293" t="s">
        <v>29</v>
      </c>
      <c r="C50" s="293">
        <v>2213.0</v>
      </c>
      <c r="D50" s="295"/>
      <c r="E50" s="298">
        <v>44753.0</v>
      </c>
      <c r="F50" s="295"/>
      <c r="G50" s="290"/>
      <c r="H50" s="290"/>
      <c r="I50" s="290"/>
      <c r="J50" s="290"/>
      <c r="K50" s="131"/>
      <c r="L50" s="131"/>
      <c r="M50" s="131"/>
      <c r="N50" s="131"/>
      <c r="O50" s="131"/>
      <c r="P50" s="131"/>
      <c r="Q50" s="131"/>
      <c r="R50" s="131"/>
      <c r="S50" s="131"/>
      <c r="T50" s="131"/>
      <c r="U50" s="131"/>
      <c r="V50" s="131"/>
      <c r="W50" s="131"/>
      <c r="X50" s="131"/>
      <c r="Y50" s="131"/>
      <c r="Z50" s="131"/>
    </row>
    <row r="51">
      <c r="A51" s="293" t="s">
        <v>429</v>
      </c>
      <c r="B51" s="293" t="s">
        <v>102</v>
      </c>
      <c r="C51" s="290">
        <v>1319.0</v>
      </c>
      <c r="D51" s="295"/>
      <c r="E51" s="293" t="s">
        <v>1565</v>
      </c>
      <c r="F51" s="295"/>
      <c r="G51" s="290"/>
      <c r="H51" s="290"/>
      <c r="I51" s="290"/>
      <c r="J51" s="290"/>
      <c r="K51" s="131"/>
      <c r="L51" s="131"/>
      <c r="M51" s="131"/>
      <c r="N51" s="131"/>
      <c r="O51" s="131"/>
      <c r="P51" s="131"/>
      <c r="Q51" s="131"/>
      <c r="R51" s="131"/>
      <c r="S51" s="131"/>
      <c r="T51" s="131"/>
      <c r="U51" s="131"/>
      <c r="V51" s="131"/>
      <c r="W51" s="131"/>
      <c r="X51" s="131"/>
      <c r="Y51" s="131"/>
      <c r="Z51" s="131"/>
    </row>
    <row r="52">
      <c r="A52" s="293" t="s">
        <v>429</v>
      </c>
      <c r="B52" s="293" t="s">
        <v>431</v>
      </c>
      <c r="C52" s="293">
        <v>2349.0</v>
      </c>
      <c r="D52" s="295"/>
      <c r="E52" s="298">
        <v>44753.0</v>
      </c>
      <c r="F52" s="295"/>
      <c r="G52" s="290"/>
      <c r="H52" s="290"/>
      <c r="I52" s="290"/>
      <c r="J52" s="290"/>
      <c r="K52" s="131"/>
      <c r="L52" s="131"/>
      <c r="M52" s="131"/>
      <c r="N52" s="131"/>
      <c r="O52" s="131"/>
      <c r="P52" s="131"/>
      <c r="Q52" s="131"/>
      <c r="R52" s="131"/>
      <c r="S52" s="131"/>
      <c r="T52" s="131"/>
      <c r="U52" s="131"/>
      <c r="V52" s="131"/>
      <c r="W52" s="131"/>
      <c r="X52" s="131"/>
      <c r="Y52" s="131"/>
      <c r="Z52" s="131"/>
    </row>
    <row r="53">
      <c r="A53" s="293" t="s">
        <v>429</v>
      </c>
      <c r="B53" s="293" t="s">
        <v>430</v>
      </c>
      <c r="C53" s="293">
        <v>1477.0</v>
      </c>
      <c r="D53" s="295"/>
      <c r="E53" s="293" t="s">
        <v>1571</v>
      </c>
      <c r="F53" s="295"/>
      <c r="G53" s="290"/>
      <c r="H53" s="290"/>
      <c r="I53" s="290"/>
      <c r="J53" s="290"/>
      <c r="K53" s="131"/>
      <c r="L53" s="131"/>
      <c r="M53" s="131"/>
      <c r="N53" s="131"/>
      <c r="O53" s="131"/>
      <c r="P53" s="131"/>
      <c r="Q53" s="131"/>
      <c r="R53" s="131"/>
      <c r="S53" s="131"/>
      <c r="T53" s="131"/>
      <c r="U53" s="131"/>
      <c r="V53" s="131"/>
      <c r="W53" s="131"/>
      <c r="X53" s="131"/>
      <c r="Y53" s="131"/>
      <c r="Z53" s="131"/>
    </row>
    <row r="54">
      <c r="A54" s="293" t="s">
        <v>69</v>
      </c>
      <c r="B54" s="293" t="s">
        <v>71</v>
      </c>
      <c r="C54" s="290">
        <v>1402.0</v>
      </c>
      <c r="D54" s="295"/>
      <c r="E54" s="293" t="s">
        <v>1565</v>
      </c>
      <c r="F54" s="295"/>
      <c r="G54" s="290"/>
      <c r="H54" s="290"/>
      <c r="I54" s="290"/>
      <c r="J54" s="290"/>
      <c r="K54" s="131"/>
      <c r="L54" s="131"/>
      <c r="M54" s="131"/>
      <c r="N54" s="131"/>
      <c r="O54" s="131"/>
      <c r="P54" s="131"/>
      <c r="Q54" s="131"/>
      <c r="R54" s="131"/>
      <c r="S54" s="131"/>
      <c r="T54" s="131"/>
      <c r="U54" s="131"/>
      <c r="V54" s="131"/>
      <c r="W54" s="131"/>
      <c r="X54" s="131"/>
      <c r="Y54" s="131"/>
      <c r="Z54" s="131"/>
    </row>
    <row r="55">
      <c r="A55" s="293" t="s">
        <v>69</v>
      </c>
      <c r="B55" s="293" t="s">
        <v>70</v>
      </c>
      <c r="C55" s="293">
        <v>1512.0</v>
      </c>
      <c r="D55" s="295"/>
      <c r="E55" s="293" t="s">
        <v>1560</v>
      </c>
      <c r="F55" s="295"/>
      <c r="G55" s="290"/>
      <c r="H55" s="290"/>
      <c r="I55" s="290"/>
      <c r="J55" s="290"/>
      <c r="K55" s="131"/>
      <c r="L55" s="131"/>
      <c r="M55" s="131"/>
      <c r="N55" s="131"/>
      <c r="O55" s="131"/>
      <c r="P55" s="131"/>
      <c r="Q55" s="131"/>
      <c r="R55" s="131"/>
      <c r="S55" s="131"/>
      <c r="T55" s="131"/>
      <c r="U55" s="131"/>
      <c r="V55" s="131"/>
      <c r="W55" s="131"/>
      <c r="X55" s="131"/>
      <c r="Y55" s="131"/>
      <c r="Z55" s="131"/>
    </row>
    <row r="56">
      <c r="A56" s="293" t="s">
        <v>611</v>
      </c>
      <c r="B56" s="293" t="s">
        <v>50</v>
      </c>
      <c r="C56" s="293">
        <v>2393.0</v>
      </c>
      <c r="D56" s="295"/>
      <c r="E56" s="298">
        <v>44753.0</v>
      </c>
      <c r="F56" s="295"/>
      <c r="G56" s="290"/>
      <c r="H56" s="290"/>
      <c r="I56" s="290"/>
      <c r="J56" s="290"/>
      <c r="K56" s="131"/>
      <c r="L56" s="131"/>
      <c r="M56" s="131"/>
      <c r="N56" s="131"/>
      <c r="O56" s="131"/>
      <c r="P56" s="131"/>
      <c r="Q56" s="131"/>
      <c r="R56" s="131"/>
      <c r="S56" s="131"/>
      <c r="T56" s="131"/>
      <c r="U56" s="131"/>
      <c r="V56" s="131"/>
      <c r="W56" s="131"/>
      <c r="X56" s="131"/>
      <c r="Y56" s="131"/>
      <c r="Z56" s="131"/>
    </row>
    <row r="57">
      <c r="A57" s="293" t="s">
        <v>611</v>
      </c>
      <c r="B57" s="293" t="s">
        <v>49</v>
      </c>
      <c r="C57" s="293">
        <v>1764.0</v>
      </c>
      <c r="D57" s="295"/>
      <c r="E57" s="298">
        <v>44753.0</v>
      </c>
      <c r="F57" s="295"/>
      <c r="G57" s="290"/>
      <c r="H57" s="290"/>
      <c r="I57" s="290"/>
      <c r="J57" s="290"/>
      <c r="K57" s="131"/>
      <c r="L57" s="131"/>
      <c r="M57" s="131"/>
      <c r="N57" s="131"/>
      <c r="O57" s="131"/>
      <c r="P57" s="131"/>
      <c r="Q57" s="131"/>
      <c r="R57" s="131"/>
      <c r="S57" s="131"/>
      <c r="T57" s="131"/>
      <c r="U57" s="131"/>
      <c r="V57" s="131"/>
      <c r="W57" s="131"/>
      <c r="X57" s="131"/>
      <c r="Y57" s="131"/>
      <c r="Z57" s="131"/>
    </row>
    <row r="58">
      <c r="A58" s="293" t="s">
        <v>611</v>
      </c>
      <c r="B58" s="293" t="s">
        <v>53</v>
      </c>
      <c r="C58" s="293">
        <v>1896.0</v>
      </c>
      <c r="D58" s="295"/>
      <c r="E58" s="300">
        <v>44906.0</v>
      </c>
      <c r="F58" s="295"/>
      <c r="G58" s="290"/>
      <c r="H58" s="290"/>
      <c r="I58" s="290"/>
      <c r="J58" s="290"/>
      <c r="K58" s="131"/>
      <c r="L58" s="131"/>
      <c r="M58" s="131"/>
      <c r="N58" s="131"/>
      <c r="O58" s="131"/>
      <c r="P58" s="131"/>
      <c r="Q58" s="131"/>
      <c r="R58" s="131"/>
      <c r="S58" s="131"/>
      <c r="T58" s="131"/>
      <c r="U58" s="131"/>
      <c r="V58" s="131"/>
      <c r="W58" s="131"/>
      <c r="X58" s="131"/>
      <c r="Y58" s="131"/>
      <c r="Z58" s="131"/>
    </row>
    <row r="59">
      <c r="A59" s="293" t="s">
        <v>611</v>
      </c>
      <c r="B59" s="293" t="s">
        <v>51</v>
      </c>
      <c r="C59" s="293">
        <v>1652.0</v>
      </c>
      <c r="D59" s="295"/>
      <c r="E59" s="293" t="s">
        <v>1571</v>
      </c>
      <c r="F59" s="295"/>
      <c r="G59" s="290"/>
      <c r="H59" s="290"/>
      <c r="I59" s="290"/>
      <c r="J59" s="290"/>
      <c r="K59" s="131"/>
      <c r="L59" s="131"/>
      <c r="M59" s="131"/>
      <c r="N59" s="131"/>
      <c r="O59" s="131"/>
      <c r="P59" s="131"/>
      <c r="Q59" s="131"/>
      <c r="R59" s="131"/>
      <c r="S59" s="131"/>
      <c r="T59" s="131"/>
      <c r="U59" s="131"/>
      <c r="V59" s="131"/>
      <c r="W59" s="131"/>
      <c r="X59" s="131"/>
      <c r="Y59" s="131"/>
      <c r="Z59" s="131"/>
    </row>
    <row r="60">
      <c r="A60" s="293" t="s">
        <v>611</v>
      </c>
      <c r="B60" s="293" t="s">
        <v>48</v>
      </c>
      <c r="C60" s="293">
        <v>1346.0</v>
      </c>
      <c r="D60" s="295"/>
      <c r="E60" s="298">
        <v>44753.0</v>
      </c>
      <c r="F60" s="295"/>
      <c r="G60" s="290"/>
      <c r="H60" s="290"/>
      <c r="I60" s="290"/>
      <c r="J60" s="290"/>
      <c r="K60" s="131"/>
      <c r="L60" s="131"/>
      <c r="M60" s="131"/>
      <c r="N60" s="131"/>
      <c r="O60" s="131"/>
      <c r="P60" s="131"/>
      <c r="Q60" s="131"/>
      <c r="R60" s="131"/>
      <c r="S60" s="131"/>
      <c r="T60" s="131"/>
      <c r="U60" s="131"/>
      <c r="V60" s="131"/>
      <c r="W60" s="131"/>
      <c r="X60" s="131"/>
      <c r="Y60" s="131"/>
      <c r="Z60" s="131"/>
    </row>
    <row r="61">
      <c r="A61" s="293" t="s">
        <v>611</v>
      </c>
      <c r="B61" s="293" t="s">
        <v>52</v>
      </c>
      <c r="C61" s="293">
        <v>1551.0</v>
      </c>
      <c r="D61" s="295"/>
      <c r="E61" s="293" t="s">
        <v>1560</v>
      </c>
      <c r="F61" s="295"/>
      <c r="G61" s="290"/>
      <c r="H61" s="290"/>
      <c r="I61" s="290"/>
      <c r="J61" s="290"/>
      <c r="K61" s="131"/>
      <c r="L61" s="131"/>
      <c r="M61" s="131"/>
      <c r="N61" s="131"/>
      <c r="O61" s="131"/>
      <c r="P61" s="131"/>
      <c r="Q61" s="131"/>
      <c r="R61" s="131"/>
      <c r="S61" s="131"/>
      <c r="T61" s="131"/>
      <c r="U61" s="131"/>
      <c r="V61" s="131"/>
      <c r="W61" s="131"/>
      <c r="X61" s="131"/>
      <c r="Y61" s="131"/>
      <c r="Z61" s="131"/>
    </row>
    <row r="62">
      <c r="A62" s="293" t="s">
        <v>729</v>
      </c>
      <c r="B62" s="293" t="s">
        <v>78</v>
      </c>
      <c r="C62" s="293">
        <v>1972.0</v>
      </c>
      <c r="D62" s="295"/>
      <c r="E62" s="293" t="s">
        <v>1570</v>
      </c>
      <c r="F62" s="295"/>
      <c r="G62" s="290"/>
      <c r="H62" s="290"/>
      <c r="I62" s="290"/>
      <c r="J62" s="290"/>
      <c r="K62" s="131"/>
      <c r="L62" s="131"/>
      <c r="M62" s="131"/>
      <c r="N62" s="131"/>
      <c r="O62" s="131"/>
      <c r="P62" s="131"/>
      <c r="Q62" s="131"/>
      <c r="R62" s="131"/>
      <c r="S62" s="131"/>
      <c r="T62" s="131"/>
      <c r="U62" s="131"/>
      <c r="V62" s="131"/>
      <c r="W62" s="131"/>
      <c r="X62" s="131"/>
      <c r="Y62" s="131"/>
      <c r="Z62" s="131"/>
    </row>
    <row r="63">
      <c r="A63" s="293" t="s">
        <v>729</v>
      </c>
      <c r="B63" s="293" t="s">
        <v>91</v>
      </c>
      <c r="C63" s="293">
        <v>2146.0</v>
      </c>
      <c r="D63" s="295"/>
      <c r="E63" s="293" t="s">
        <v>1570</v>
      </c>
      <c r="F63" s="295"/>
      <c r="G63" s="290"/>
      <c r="H63" s="290"/>
      <c r="I63" s="290"/>
      <c r="J63" s="290"/>
      <c r="K63" s="131"/>
      <c r="L63" s="131"/>
      <c r="M63" s="131"/>
      <c r="N63" s="131"/>
      <c r="O63" s="131"/>
      <c r="P63" s="131"/>
      <c r="Q63" s="131"/>
      <c r="R63" s="131"/>
      <c r="S63" s="131"/>
      <c r="T63" s="131"/>
      <c r="U63" s="131"/>
      <c r="V63" s="131"/>
      <c r="W63" s="131"/>
      <c r="X63" s="131"/>
      <c r="Y63" s="131"/>
      <c r="Z63" s="131"/>
    </row>
    <row r="64">
      <c r="A64" s="293" t="s">
        <v>35</v>
      </c>
      <c r="B64" s="293" t="s">
        <v>425</v>
      </c>
      <c r="C64" s="293">
        <v>1252.0</v>
      </c>
      <c r="D64" s="295"/>
      <c r="E64" s="298">
        <v>44753.0</v>
      </c>
      <c r="F64" s="295"/>
      <c r="G64" s="290"/>
      <c r="H64" s="290"/>
      <c r="I64" s="290"/>
      <c r="J64" s="290"/>
      <c r="K64" s="131"/>
      <c r="L64" s="131"/>
      <c r="M64" s="131"/>
      <c r="N64" s="131"/>
      <c r="O64" s="131"/>
      <c r="P64" s="131"/>
      <c r="Q64" s="131"/>
      <c r="R64" s="131"/>
      <c r="S64" s="131"/>
      <c r="T64" s="131"/>
      <c r="U64" s="131"/>
      <c r="V64" s="131"/>
      <c r="W64" s="131"/>
      <c r="X64" s="131"/>
      <c r="Y64" s="131"/>
      <c r="Z64" s="131"/>
    </row>
    <row r="65">
      <c r="A65" s="293" t="s">
        <v>35</v>
      </c>
      <c r="B65" s="293" t="s">
        <v>80</v>
      </c>
      <c r="C65" s="290">
        <v>1451.0</v>
      </c>
      <c r="D65" s="295"/>
      <c r="E65" s="293" t="s">
        <v>1565</v>
      </c>
      <c r="F65" s="295"/>
      <c r="G65" s="290"/>
      <c r="H65" s="290"/>
      <c r="I65" s="290"/>
      <c r="J65" s="290"/>
      <c r="K65" s="131"/>
      <c r="L65" s="131"/>
      <c r="M65" s="131"/>
      <c r="N65" s="131"/>
      <c r="O65" s="131"/>
      <c r="P65" s="131"/>
      <c r="Q65" s="131"/>
      <c r="R65" s="131"/>
      <c r="S65" s="131"/>
      <c r="T65" s="131"/>
      <c r="U65" s="131"/>
      <c r="V65" s="131"/>
      <c r="W65" s="131"/>
      <c r="X65" s="131"/>
      <c r="Y65" s="131"/>
      <c r="Z65" s="131"/>
    </row>
    <row r="66">
      <c r="A66" s="293" t="s">
        <v>35</v>
      </c>
      <c r="B66" s="293" t="s">
        <v>42</v>
      </c>
      <c r="C66" s="293">
        <v>2323.0</v>
      </c>
      <c r="D66" s="295"/>
      <c r="E66" s="298">
        <v>44753.0</v>
      </c>
      <c r="F66" s="295"/>
      <c r="G66" s="290"/>
      <c r="H66" s="290"/>
      <c r="I66" s="290"/>
      <c r="J66" s="290"/>
      <c r="K66" s="131"/>
      <c r="L66" s="131"/>
      <c r="M66" s="131"/>
      <c r="N66" s="131"/>
      <c r="O66" s="131"/>
      <c r="P66" s="131"/>
      <c r="Q66" s="131"/>
      <c r="R66" s="131"/>
      <c r="S66" s="131"/>
      <c r="T66" s="131"/>
      <c r="U66" s="131"/>
      <c r="V66" s="131"/>
      <c r="W66" s="131"/>
      <c r="X66" s="131"/>
      <c r="Y66" s="131"/>
      <c r="Z66" s="131"/>
    </row>
    <row r="67">
      <c r="A67" s="293" t="s">
        <v>35</v>
      </c>
      <c r="B67" s="293" t="s">
        <v>73</v>
      </c>
      <c r="C67" s="290">
        <v>1964.0</v>
      </c>
      <c r="D67" s="295"/>
      <c r="E67" s="293" t="s">
        <v>1565</v>
      </c>
      <c r="F67" s="295"/>
      <c r="G67" s="290"/>
      <c r="H67" s="290"/>
      <c r="I67" s="290"/>
      <c r="J67" s="290"/>
      <c r="K67" s="131"/>
      <c r="L67" s="131"/>
      <c r="M67" s="131"/>
      <c r="N67" s="131"/>
      <c r="O67" s="131"/>
      <c r="P67" s="131"/>
      <c r="Q67" s="131"/>
      <c r="R67" s="131"/>
      <c r="S67" s="131"/>
      <c r="T67" s="131"/>
      <c r="U67" s="131"/>
      <c r="V67" s="131"/>
      <c r="W67" s="131"/>
      <c r="X67" s="131"/>
      <c r="Y67" s="131"/>
      <c r="Z67" s="131"/>
    </row>
    <row r="68">
      <c r="A68" s="293" t="s">
        <v>35</v>
      </c>
      <c r="B68" s="293" t="s">
        <v>82</v>
      </c>
      <c r="C68" s="293">
        <v>1925.0</v>
      </c>
      <c r="D68" s="295"/>
      <c r="E68" s="293" t="s">
        <v>1571</v>
      </c>
      <c r="F68" s="295"/>
      <c r="G68" s="290"/>
      <c r="H68" s="290"/>
      <c r="I68" s="290"/>
      <c r="J68" s="290"/>
      <c r="K68" s="131"/>
      <c r="L68" s="131"/>
      <c r="M68" s="131"/>
      <c r="N68" s="131"/>
      <c r="O68" s="131"/>
      <c r="P68" s="131"/>
      <c r="Q68" s="131"/>
      <c r="R68" s="131"/>
      <c r="S68" s="131"/>
      <c r="T68" s="131"/>
      <c r="U68" s="131"/>
      <c r="V68" s="131"/>
      <c r="W68" s="131"/>
      <c r="X68" s="131"/>
      <c r="Y68" s="131"/>
      <c r="Z68" s="131"/>
    </row>
    <row r="69">
      <c r="A69" s="293" t="s">
        <v>35</v>
      </c>
      <c r="B69" s="293" t="s">
        <v>36</v>
      </c>
      <c r="C69" s="290">
        <v>1542.0</v>
      </c>
      <c r="D69" s="295"/>
      <c r="E69" s="293" t="s">
        <v>1565</v>
      </c>
      <c r="F69" s="295"/>
      <c r="G69" s="290"/>
      <c r="H69" s="290"/>
      <c r="I69" s="290"/>
      <c r="J69" s="290"/>
      <c r="K69" s="131"/>
      <c r="L69" s="131"/>
      <c r="M69" s="131"/>
      <c r="N69" s="131"/>
      <c r="O69" s="131"/>
      <c r="P69" s="131"/>
      <c r="Q69" s="131"/>
      <c r="R69" s="131"/>
      <c r="S69" s="131"/>
      <c r="T69" s="131"/>
      <c r="U69" s="131"/>
      <c r="V69" s="131"/>
      <c r="W69" s="131"/>
      <c r="X69" s="131"/>
      <c r="Y69" s="131"/>
      <c r="Z69" s="131"/>
    </row>
    <row r="70">
      <c r="A70" s="293" t="s">
        <v>35</v>
      </c>
      <c r="B70" s="293" t="s">
        <v>74</v>
      </c>
      <c r="C70" s="290">
        <v>1662.0</v>
      </c>
      <c r="D70" s="295"/>
      <c r="E70" s="293" t="s">
        <v>1562</v>
      </c>
      <c r="F70" s="295"/>
      <c r="G70" s="290"/>
      <c r="H70" s="290"/>
      <c r="I70" s="290"/>
      <c r="J70" s="290"/>
      <c r="K70" s="131"/>
      <c r="L70" s="131"/>
      <c r="M70" s="131"/>
      <c r="N70" s="131"/>
      <c r="O70" s="131"/>
      <c r="P70" s="131"/>
      <c r="Q70" s="131"/>
      <c r="R70" s="131"/>
      <c r="S70" s="131"/>
      <c r="T70" s="131"/>
      <c r="U70" s="131"/>
      <c r="V70" s="131"/>
      <c r="W70" s="131"/>
      <c r="X70" s="131"/>
      <c r="Y70" s="131"/>
      <c r="Z70" s="131"/>
    </row>
    <row r="71">
      <c r="A71" s="293" t="s">
        <v>35</v>
      </c>
      <c r="B71" s="293" t="s">
        <v>72</v>
      </c>
      <c r="C71" s="290">
        <v>1725.0</v>
      </c>
      <c r="D71" s="295"/>
      <c r="E71" s="293" t="s">
        <v>1562</v>
      </c>
      <c r="F71" s="295"/>
      <c r="G71" s="290"/>
      <c r="H71" s="290"/>
      <c r="I71" s="290"/>
      <c r="J71" s="290"/>
      <c r="K71" s="131"/>
      <c r="L71" s="131"/>
      <c r="M71" s="131"/>
      <c r="N71" s="131"/>
      <c r="O71" s="131"/>
      <c r="P71" s="131"/>
      <c r="Q71" s="131"/>
      <c r="R71" s="131"/>
      <c r="S71" s="131"/>
      <c r="T71" s="131"/>
      <c r="U71" s="131"/>
      <c r="V71" s="131"/>
      <c r="W71" s="131"/>
      <c r="X71" s="131"/>
      <c r="Y71" s="131"/>
      <c r="Z71" s="131"/>
    </row>
    <row r="72">
      <c r="A72" s="293" t="s">
        <v>35</v>
      </c>
      <c r="B72" s="293" t="s">
        <v>83</v>
      </c>
      <c r="C72" s="290">
        <v>1194.0</v>
      </c>
      <c r="D72" s="295"/>
      <c r="E72" s="293" t="s">
        <v>1565</v>
      </c>
      <c r="F72" s="295"/>
      <c r="G72" s="290"/>
      <c r="H72" s="290"/>
      <c r="I72" s="290"/>
      <c r="J72" s="290"/>
      <c r="K72" s="131"/>
      <c r="L72" s="131"/>
      <c r="M72" s="131"/>
      <c r="N72" s="131"/>
      <c r="O72" s="131"/>
      <c r="P72" s="131"/>
      <c r="Q72" s="131"/>
      <c r="R72" s="131"/>
      <c r="S72" s="131"/>
      <c r="T72" s="131"/>
      <c r="U72" s="131"/>
      <c r="V72" s="131"/>
      <c r="W72" s="131"/>
      <c r="X72" s="131"/>
      <c r="Y72" s="131"/>
      <c r="Z72" s="131"/>
    </row>
    <row r="73">
      <c r="A73" s="293" t="s">
        <v>35</v>
      </c>
      <c r="B73" s="293" t="s">
        <v>75</v>
      </c>
      <c r="C73" s="293">
        <v>1813.0</v>
      </c>
      <c r="D73" s="295"/>
      <c r="E73" s="298">
        <v>44753.0</v>
      </c>
      <c r="F73" s="295"/>
      <c r="G73" s="290"/>
      <c r="H73" s="290"/>
      <c r="I73" s="290"/>
      <c r="J73" s="290"/>
      <c r="K73" s="131"/>
      <c r="L73" s="131"/>
      <c r="M73" s="131"/>
      <c r="N73" s="131"/>
      <c r="O73" s="131"/>
      <c r="P73" s="131"/>
      <c r="Q73" s="131"/>
      <c r="R73" s="131"/>
      <c r="S73" s="131"/>
      <c r="T73" s="131"/>
      <c r="U73" s="131"/>
      <c r="V73" s="131"/>
      <c r="W73" s="131"/>
      <c r="X73" s="131"/>
      <c r="Y73" s="131"/>
      <c r="Z73" s="131"/>
    </row>
    <row r="74">
      <c r="A74" s="293" t="s">
        <v>17</v>
      </c>
      <c r="B74" s="293" t="s">
        <v>86</v>
      </c>
      <c r="C74" s="290">
        <v>1608.0</v>
      </c>
      <c r="D74" s="295"/>
      <c r="E74" s="293" t="s">
        <v>1562</v>
      </c>
      <c r="F74" s="295"/>
      <c r="G74" s="290"/>
      <c r="H74" s="290"/>
      <c r="I74" s="290"/>
      <c r="J74" s="290"/>
      <c r="K74" s="131"/>
      <c r="L74" s="131"/>
      <c r="M74" s="131"/>
      <c r="N74" s="131"/>
      <c r="O74" s="131"/>
      <c r="P74" s="131"/>
      <c r="Q74" s="131"/>
      <c r="R74" s="131"/>
      <c r="S74" s="131"/>
      <c r="T74" s="131"/>
      <c r="U74" s="131"/>
      <c r="V74" s="131"/>
      <c r="W74" s="131"/>
      <c r="X74" s="131"/>
      <c r="Y74" s="131"/>
      <c r="Z74" s="131"/>
    </row>
    <row r="75">
      <c r="A75" s="293" t="s">
        <v>17</v>
      </c>
      <c r="B75" s="293" t="s">
        <v>79</v>
      </c>
      <c r="C75" s="293">
        <v>2231.0</v>
      </c>
      <c r="D75" s="295"/>
      <c r="E75" s="298">
        <v>44753.0</v>
      </c>
      <c r="F75" s="295"/>
      <c r="G75" s="290"/>
      <c r="H75" s="290"/>
      <c r="I75" s="290"/>
      <c r="J75" s="290"/>
      <c r="K75" s="131"/>
      <c r="L75" s="131"/>
      <c r="M75" s="131"/>
      <c r="N75" s="131"/>
      <c r="O75" s="131"/>
      <c r="P75" s="131"/>
      <c r="Q75" s="131"/>
      <c r="R75" s="131"/>
      <c r="S75" s="131"/>
      <c r="T75" s="131"/>
      <c r="U75" s="131"/>
      <c r="V75" s="131"/>
      <c r="W75" s="131"/>
      <c r="X75" s="131"/>
      <c r="Y75" s="131"/>
      <c r="Z75" s="131"/>
    </row>
    <row r="76">
      <c r="A76" s="293" t="s">
        <v>17</v>
      </c>
      <c r="B76" s="293" t="s">
        <v>18</v>
      </c>
      <c r="C76" s="293">
        <v>1668.0</v>
      </c>
      <c r="D76" s="295"/>
      <c r="E76" s="293" t="s">
        <v>1571</v>
      </c>
      <c r="F76" s="295"/>
      <c r="G76" s="290"/>
      <c r="H76" s="290"/>
      <c r="I76" s="290"/>
      <c r="J76" s="290"/>
      <c r="K76" s="131"/>
      <c r="L76" s="131"/>
      <c r="M76" s="131"/>
      <c r="N76" s="131"/>
      <c r="O76" s="131"/>
      <c r="P76" s="131"/>
      <c r="Q76" s="131"/>
      <c r="R76" s="131"/>
      <c r="S76" s="131"/>
      <c r="T76" s="131"/>
      <c r="U76" s="131"/>
      <c r="V76" s="131"/>
      <c r="W76" s="131"/>
      <c r="X76" s="131"/>
      <c r="Y76" s="131"/>
      <c r="Z76" s="131"/>
    </row>
    <row r="77">
      <c r="A77" s="293" t="s">
        <v>17</v>
      </c>
      <c r="B77" s="293" t="s">
        <v>23</v>
      </c>
      <c r="C77" s="293">
        <v>2471.0</v>
      </c>
      <c r="D77" s="295"/>
      <c r="E77" s="300">
        <v>44906.0</v>
      </c>
      <c r="F77" s="295"/>
      <c r="G77" s="290"/>
      <c r="H77" s="290"/>
      <c r="I77" s="290"/>
      <c r="J77" s="290"/>
      <c r="K77" s="131"/>
      <c r="L77" s="131"/>
      <c r="M77" s="131"/>
      <c r="N77" s="131"/>
      <c r="O77" s="131"/>
      <c r="P77" s="131"/>
      <c r="Q77" s="131"/>
      <c r="R77" s="131"/>
      <c r="S77" s="131"/>
      <c r="T77" s="131"/>
      <c r="U77" s="131"/>
      <c r="V77" s="131"/>
      <c r="W77" s="131"/>
      <c r="X77" s="131"/>
      <c r="Y77" s="131"/>
      <c r="Z77" s="131"/>
    </row>
    <row r="78">
      <c r="A78" s="293" t="s">
        <v>45</v>
      </c>
      <c r="B78" s="293" t="s">
        <v>424</v>
      </c>
      <c r="C78" s="293">
        <v>2021.0</v>
      </c>
      <c r="D78" s="295"/>
      <c r="E78" s="293" t="s">
        <v>1571</v>
      </c>
      <c r="F78" s="295"/>
      <c r="G78" s="290"/>
      <c r="H78" s="290"/>
      <c r="I78" s="290"/>
      <c r="J78" s="290"/>
      <c r="K78" s="131"/>
      <c r="L78" s="131"/>
      <c r="M78" s="131"/>
      <c r="N78" s="131"/>
      <c r="O78" s="131"/>
      <c r="P78" s="131"/>
      <c r="Q78" s="131"/>
      <c r="R78" s="131"/>
      <c r="S78" s="131"/>
      <c r="T78" s="131"/>
      <c r="U78" s="131"/>
      <c r="V78" s="131"/>
      <c r="W78" s="131"/>
      <c r="X78" s="131"/>
      <c r="Y78" s="131"/>
      <c r="Z78" s="131"/>
    </row>
    <row r="79">
      <c r="A79" s="293" t="s">
        <v>17</v>
      </c>
      <c r="B79" s="293" t="s">
        <v>84</v>
      </c>
      <c r="C79" s="290">
        <v>1424.0</v>
      </c>
      <c r="D79" s="295"/>
      <c r="E79" s="293" t="s">
        <v>1565</v>
      </c>
      <c r="F79" s="295"/>
      <c r="G79" s="290"/>
      <c r="H79" s="290"/>
      <c r="I79" s="290"/>
      <c r="J79" s="290"/>
      <c r="K79" s="131"/>
      <c r="L79" s="131"/>
      <c r="M79" s="131"/>
      <c r="N79" s="131"/>
      <c r="O79" s="131"/>
      <c r="P79" s="131"/>
      <c r="Q79" s="131"/>
      <c r="R79" s="131"/>
      <c r="S79" s="131"/>
      <c r="T79" s="131"/>
      <c r="U79" s="131"/>
      <c r="V79" s="131"/>
      <c r="W79" s="131"/>
      <c r="X79" s="131"/>
      <c r="Y79" s="131"/>
      <c r="Z79" s="131"/>
    </row>
    <row r="80">
      <c r="A80" s="293" t="s">
        <v>17</v>
      </c>
      <c r="B80" s="293" t="s">
        <v>85</v>
      </c>
      <c r="C80" s="293">
        <v>1676.0</v>
      </c>
      <c r="D80" s="295"/>
      <c r="E80" s="293" t="s">
        <v>1571</v>
      </c>
      <c r="F80" s="295"/>
      <c r="G80" s="290"/>
      <c r="H80" s="290"/>
      <c r="I80" s="290"/>
      <c r="J80" s="290"/>
      <c r="K80" s="131"/>
      <c r="L80" s="131"/>
      <c r="M80" s="131"/>
      <c r="N80" s="131"/>
      <c r="O80" s="131"/>
      <c r="P80" s="131"/>
      <c r="Q80" s="131"/>
      <c r="R80" s="131"/>
      <c r="S80" s="131"/>
      <c r="T80" s="131"/>
      <c r="U80" s="131"/>
      <c r="V80" s="131"/>
      <c r="W80" s="131"/>
      <c r="X80" s="131"/>
      <c r="Y80" s="131"/>
      <c r="Z80" s="131"/>
    </row>
    <row r="81">
      <c r="A81" s="293" t="s">
        <v>17</v>
      </c>
      <c r="B81" s="293" t="s">
        <v>87</v>
      </c>
      <c r="C81" s="293">
        <v>2098.0</v>
      </c>
      <c r="D81" s="301"/>
      <c r="E81" s="300">
        <v>44906.0</v>
      </c>
      <c r="F81" s="301"/>
      <c r="G81" s="290"/>
      <c r="H81" s="290"/>
      <c r="I81" s="290"/>
      <c r="J81" s="290"/>
      <c r="K81" s="131"/>
      <c r="L81" s="131"/>
      <c r="M81" s="131"/>
      <c r="N81" s="131"/>
      <c r="O81" s="131"/>
      <c r="P81" s="131"/>
      <c r="Q81" s="131"/>
      <c r="R81" s="131"/>
      <c r="S81" s="131"/>
      <c r="T81" s="131"/>
      <c r="U81" s="131"/>
      <c r="V81" s="131"/>
      <c r="W81" s="131"/>
      <c r="X81" s="131"/>
      <c r="Y81" s="131"/>
      <c r="Z81" s="131"/>
    </row>
    <row r="82">
      <c r="A82" s="290"/>
      <c r="B82" s="129"/>
      <c r="C82" s="296">
        <f>sum(C2:C81)</f>
        <v>127893</v>
      </c>
      <c r="D82" s="290"/>
      <c r="E82" s="290"/>
      <c r="F82" s="290"/>
      <c r="G82" s="290"/>
      <c r="H82" s="290"/>
      <c r="I82" s="290"/>
      <c r="J82" s="290"/>
      <c r="K82" s="131"/>
      <c r="L82" s="131"/>
      <c r="M82" s="131"/>
      <c r="N82" s="131"/>
      <c r="O82" s="131"/>
      <c r="P82" s="131"/>
      <c r="Q82" s="131"/>
      <c r="R82" s="131"/>
      <c r="S82" s="131"/>
      <c r="T82" s="131"/>
      <c r="U82" s="131"/>
      <c r="V82" s="131"/>
      <c r="W82" s="131"/>
      <c r="X82" s="131"/>
      <c r="Y82" s="131"/>
      <c r="Z82" s="131"/>
    </row>
    <row r="83">
      <c r="A83" s="290"/>
      <c r="B83" s="290"/>
      <c r="C83" s="290"/>
      <c r="D83" s="290"/>
      <c r="E83" s="290"/>
      <c r="F83" s="290"/>
      <c r="G83" s="290"/>
      <c r="H83" s="290"/>
      <c r="I83" s="290"/>
      <c r="J83" s="290"/>
      <c r="K83" s="131"/>
      <c r="L83" s="131"/>
      <c r="M83" s="131"/>
      <c r="N83" s="131"/>
      <c r="O83" s="131"/>
      <c r="P83" s="131"/>
      <c r="Q83" s="131"/>
      <c r="R83" s="131"/>
      <c r="S83" s="131"/>
      <c r="T83" s="131"/>
      <c r="U83" s="131"/>
      <c r="V83" s="131"/>
      <c r="W83" s="131"/>
      <c r="X83" s="131"/>
      <c r="Y83" s="131"/>
      <c r="Z83" s="131"/>
    </row>
    <row r="84">
      <c r="A84" s="290"/>
      <c r="B84" s="290"/>
      <c r="C84" s="290"/>
      <c r="D84" s="290"/>
      <c r="E84" s="290"/>
      <c r="F84" s="290"/>
      <c r="G84" s="290"/>
      <c r="H84" s="290"/>
      <c r="I84" s="290"/>
      <c r="J84" s="290"/>
      <c r="K84" s="131"/>
      <c r="L84" s="131"/>
      <c r="M84" s="131"/>
      <c r="N84" s="131"/>
      <c r="O84" s="131"/>
      <c r="P84" s="131"/>
      <c r="Q84" s="131"/>
      <c r="R84" s="131"/>
      <c r="S84" s="131"/>
      <c r="T84" s="131"/>
      <c r="U84" s="131"/>
      <c r="V84" s="131"/>
      <c r="W84" s="131"/>
      <c r="X84" s="131"/>
      <c r="Y84" s="131"/>
      <c r="Z84" s="131"/>
    </row>
    <row r="85">
      <c r="A85" s="290"/>
      <c r="B85" s="290"/>
      <c r="C85" s="290"/>
      <c r="D85" s="290"/>
      <c r="E85" s="290"/>
      <c r="F85" s="290"/>
      <c r="G85" s="290"/>
      <c r="H85" s="290"/>
      <c r="I85" s="290"/>
      <c r="J85" s="290"/>
      <c r="K85" s="131"/>
      <c r="L85" s="131"/>
      <c r="M85" s="131"/>
      <c r="N85" s="131"/>
      <c r="O85" s="131"/>
      <c r="P85" s="131"/>
      <c r="Q85" s="131"/>
      <c r="R85" s="131"/>
      <c r="S85" s="131"/>
      <c r="T85" s="131"/>
      <c r="U85" s="131"/>
      <c r="V85" s="131"/>
      <c r="W85" s="131"/>
      <c r="X85" s="131"/>
      <c r="Y85" s="131"/>
      <c r="Z85" s="131"/>
    </row>
    <row r="86">
      <c r="A86" s="290"/>
      <c r="B86" s="290"/>
      <c r="C86" s="290"/>
      <c r="D86" s="290"/>
      <c r="E86" s="290"/>
      <c r="F86" s="290"/>
      <c r="G86" s="290"/>
      <c r="H86" s="290"/>
      <c r="I86" s="290"/>
      <c r="J86" s="290"/>
      <c r="K86" s="131"/>
      <c r="L86" s="131"/>
      <c r="M86" s="131"/>
      <c r="N86" s="131"/>
      <c r="O86" s="131"/>
      <c r="P86" s="131"/>
      <c r="Q86" s="131"/>
      <c r="R86" s="131"/>
      <c r="S86" s="131"/>
      <c r="T86" s="131"/>
      <c r="U86" s="131"/>
      <c r="V86" s="131"/>
      <c r="W86" s="131"/>
      <c r="X86" s="131"/>
      <c r="Y86" s="131"/>
      <c r="Z86" s="131"/>
    </row>
    <row r="87">
      <c r="A87" s="290"/>
      <c r="B87" s="290"/>
      <c r="C87" s="290"/>
      <c r="D87" s="290"/>
      <c r="E87" s="290"/>
      <c r="F87" s="290"/>
      <c r="G87" s="290"/>
      <c r="H87" s="290"/>
      <c r="I87" s="290"/>
      <c r="J87" s="290"/>
      <c r="K87" s="131"/>
      <c r="L87" s="131"/>
      <c r="M87" s="131"/>
      <c r="N87" s="131"/>
      <c r="O87" s="131"/>
      <c r="P87" s="131"/>
      <c r="Q87" s="131"/>
      <c r="R87" s="131"/>
      <c r="S87" s="131"/>
      <c r="T87" s="131"/>
      <c r="U87" s="131"/>
      <c r="V87" s="131"/>
      <c r="W87" s="131"/>
      <c r="X87" s="131"/>
      <c r="Y87" s="131"/>
      <c r="Z87" s="131"/>
    </row>
    <row r="88">
      <c r="A88" s="290"/>
      <c r="B88" s="290"/>
      <c r="C88" s="290"/>
      <c r="D88" s="290"/>
      <c r="E88" s="290"/>
      <c r="F88" s="290"/>
      <c r="G88" s="290"/>
      <c r="H88" s="290"/>
      <c r="I88" s="290"/>
      <c r="J88" s="290"/>
      <c r="K88" s="131"/>
      <c r="L88" s="131"/>
      <c r="M88" s="131"/>
      <c r="N88" s="131"/>
      <c r="O88" s="131"/>
      <c r="P88" s="131"/>
      <c r="Q88" s="131"/>
      <c r="R88" s="131"/>
      <c r="S88" s="131"/>
      <c r="T88" s="131"/>
      <c r="U88" s="131"/>
      <c r="V88" s="131"/>
      <c r="W88" s="131"/>
      <c r="X88" s="131"/>
      <c r="Y88" s="131"/>
      <c r="Z88" s="131"/>
    </row>
    <row r="89">
      <c r="A89" s="290"/>
      <c r="B89" s="290"/>
      <c r="C89" s="290"/>
      <c r="D89" s="290"/>
      <c r="E89" s="290"/>
      <c r="F89" s="290"/>
      <c r="G89" s="290"/>
      <c r="H89" s="290"/>
      <c r="I89" s="290"/>
      <c r="J89" s="290"/>
      <c r="K89" s="131"/>
      <c r="L89" s="131"/>
      <c r="M89" s="131"/>
      <c r="N89" s="131"/>
      <c r="O89" s="131"/>
      <c r="P89" s="131"/>
      <c r="Q89" s="131"/>
      <c r="R89" s="131"/>
      <c r="S89" s="131"/>
      <c r="T89" s="131"/>
      <c r="U89" s="131"/>
      <c r="V89" s="131"/>
      <c r="W89" s="131"/>
      <c r="X89" s="131"/>
      <c r="Y89" s="131"/>
      <c r="Z89" s="131"/>
    </row>
    <row r="90">
      <c r="A90" s="290"/>
      <c r="B90" s="290"/>
      <c r="C90" s="290"/>
      <c r="D90" s="290"/>
      <c r="E90" s="290"/>
      <c r="F90" s="290"/>
      <c r="G90" s="290"/>
      <c r="H90" s="290"/>
      <c r="I90" s="290"/>
      <c r="J90" s="290"/>
      <c r="K90" s="131"/>
      <c r="L90" s="131"/>
      <c r="M90" s="131"/>
      <c r="N90" s="131"/>
      <c r="O90" s="131"/>
      <c r="P90" s="131"/>
      <c r="Q90" s="131"/>
      <c r="R90" s="131"/>
      <c r="S90" s="131"/>
      <c r="T90" s="131"/>
      <c r="U90" s="131"/>
      <c r="V90" s="131"/>
      <c r="W90" s="131"/>
      <c r="X90" s="131"/>
      <c r="Y90" s="131"/>
      <c r="Z90" s="131"/>
    </row>
    <row r="91">
      <c r="A91" s="290"/>
      <c r="B91" s="290"/>
      <c r="C91" s="290"/>
      <c r="D91" s="290"/>
      <c r="E91" s="290"/>
      <c r="F91" s="290"/>
      <c r="G91" s="290"/>
      <c r="H91" s="290"/>
      <c r="I91" s="290"/>
      <c r="J91" s="290"/>
      <c r="K91" s="131"/>
      <c r="L91" s="131"/>
      <c r="M91" s="131"/>
      <c r="N91" s="131"/>
      <c r="O91" s="131"/>
      <c r="P91" s="131"/>
      <c r="Q91" s="131"/>
      <c r="R91" s="131"/>
      <c r="S91" s="131"/>
      <c r="T91" s="131"/>
      <c r="U91" s="131"/>
      <c r="V91" s="131"/>
      <c r="W91" s="131"/>
      <c r="X91" s="131"/>
      <c r="Y91" s="131"/>
      <c r="Z91" s="131"/>
    </row>
    <row r="92">
      <c r="A92" s="290"/>
      <c r="B92" s="290"/>
      <c r="C92" s="290"/>
      <c r="D92" s="290"/>
      <c r="E92" s="290"/>
      <c r="F92" s="290"/>
      <c r="G92" s="290"/>
      <c r="H92" s="290"/>
      <c r="I92" s="290"/>
      <c r="J92" s="290"/>
      <c r="K92" s="131"/>
      <c r="L92" s="131"/>
      <c r="M92" s="131"/>
      <c r="N92" s="131"/>
      <c r="O92" s="131"/>
      <c r="P92" s="131"/>
      <c r="Q92" s="131"/>
      <c r="R92" s="131"/>
      <c r="S92" s="131"/>
      <c r="T92" s="131"/>
      <c r="U92" s="131"/>
      <c r="V92" s="131"/>
      <c r="W92" s="131"/>
      <c r="X92" s="131"/>
      <c r="Y92" s="131"/>
      <c r="Z92" s="131"/>
    </row>
    <row r="93">
      <c r="A93" s="290"/>
      <c r="B93" s="290"/>
      <c r="C93" s="290"/>
      <c r="D93" s="290"/>
      <c r="E93" s="290"/>
      <c r="F93" s="290"/>
      <c r="G93" s="290"/>
      <c r="H93" s="290"/>
      <c r="I93" s="290"/>
      <c r="J93" s="290"/>
      <c r="K93" s="131"/>
      <c r="L93" s="131"/>
      <c r="M93" s="131"/>
      <c r="N93" s="131"/>
      <c r="O93" s="131"/>
      <c r="P93" s="131"/>
      <c r="Q93" s="131"/>
      <c r="R93" s="131"/>
      <c r="S93" s="131"/>
      <c r="T93" s="131"/>
      <c r="U93" s="131"/>
      <c r="V93" s="131"/>
      <c r="W93" s="131"/>
      <c r="X93" s="131"/>
      <c r="Y93" s="131"/>
      <c r="Z93" s="131"/>
    </row>
    <row r="94">
      <c r="A94" s="290"/>
      <c r="B94" s="290"/>
      <c r="C94" s="290"/>
      <c r="D94" s="290"/>
      <c r="E94" s="290"/>
      <c r="F94" s="290"/>
      <c r="G94" s="290"/>
      <c r="H94" s="290"/>
      <c r="I94" s="290"/>
      <c r="J94" s="290"/>
      <c r="K94" s="131"/>
      <c r="L94" s="131"/>
      <c r="M94" s="131"/>
      <c r="N94" s="131"/>
      <c r="O94" s="131"/>
      <c r="P94" s="131"/>
      <c r="Q94" s="131"/>
      <c r="R94" s="131"/>
      <c r="S94" s="131"/>
      <c r="T94" s="131"/>
      <c r="U94" s="131"/>
      <c r="V94" s="131"/>
      <c r="W94" s="131"/>
      <c r="X94" s="131"/>
      <c r="Y94" s="131"/>
      <c r="Z94" s="131"/>
    </row>
    <row r="95">
      <c r="A95" s="290"/>
      <c r="B95" s="290"/>
      <c r="C95" s="290"/>
      <c r="D95" s="290"/>
      <c r="E95" s="290"/>
      <c r="F95" s="290"/>
      <c r="G95" s="290"/>
      <c r="H95" s="290"/>
      <c r="I95" s="290"/>
      <c r="J95" s="290"/>
      <c r="K95" s="131"/>
      <c r="L95" s="131"/>
      <c r="M95" s="131"/>
      <c r="N95" s="131"/>
      <c r="O95" s="131"/>
      <c r="P95" s="131"/>
      <c r="Q95" s="131"/>
      <c r="R95" s="131"/>
      <c r="S95" s="131"/>
      <c r="T95" s="131"/>
      <c r="U95" s="131"/>
      <c r="V95" s="131"/>
      <c r="W95" s="131"/>
      <c r="X95" s="131"/>
      <c r="Y95" s="131"/>
      <c r="Z95" s="131"/>
    </row>
    <row r="96">
      <c r="A96" s="290"/>
      <c r="B96" s="290"/>
      <c r="C96" s="290"/>
      <c r="D96" s="290"/>
      <c r="E96" s="290"/>
      <c r="F96" s="290"/>
      <c r="G96" s="290"/>
      <c r="H96" s="290"/>
      <c r="I96" s="290"/>
      <c r="J96" s="290"/>
      <c r="K96" s="131"/>
      <c r="L96" s="131"/>
      <c r="M96" s="131"/>
      <c r="N96" s="131"/>
      <c r="O96" s="131"/>
      <c r="P96" s="131"/>
      <c r="Q96" s="131"/>
      <c r="R96" s="131"/>
      <c r="S96" s="131"/>
      <c r="T96" s="131"/>
      <c r="U96" s="131"/>
      <c r="V96" s="131"/>
      <c r="W96" s="131"/>
      <c r="X96" s="131"/>
      <c r="Y96" s="131"/>
      <c r="Z96" s="131"/>
    </row>
    <row r="97">
      <c r="A97" s="290"/>
      <c r="B97" s="290"/>
      <c r="C97" s="290"/>
      <c r="D97" s="290"/>
      <c r="E97" s="290"/>
      <c r="F97" s="290"/>
      <c r="G97" s="290"/>
      <c r="H97" s="290"/>
      <c r="I97" s="290"/>
      <c r="J97" s="290"/>
      <c r="K97" s="131"/>
      <c r="L97" s="131"/>
      <c r="M97" s="131"/>
      <c r="N97" s="131"/>
      <c r="O97" s="131"/>
      <c r="P97" s="131"/>
      <c r="Q97" s="131"/>
      <c r="R97" s="131"/>
      <c r="S97" s="131"/>
      <c r="T97" s="131"/>
      <c r="U97" s="131"/>
      <c r="V97" s="131"/>
      <c r="W97" s="131"/>
      <c r="X97" s="131"/>
      <c r="Y97" s="131"/>
      <c r="Z97" s="131"/>
    </row>
    <row r="98">
      <c r="A98" s="290"/>
      <c r="B98" s="290"/>
      <c r="C98" s="290"/>
      <c r="D98" s="290"/>
      <c r="E98" s="290"/>
      <c r="F98" s="290"/>
      <c r="G98" s="290"/>
      <c r="H98" s="290"/>
      <c r="I98" s="290"/>
      <c r="J98" s="290"/>
      <c r="K98" s="131"/>
      <c r="L98" s="131"/>
      <c r="M98" s="131"/>
      <c r="N98" s="131"/>
      <c r="O98" s="131"/>
      <c r="P98" s="131"/>
      <c r="Q98" s="131"/>
      <c r="R98" s="131"/>
      <c r="S98" s="131"/>
      <c r="T98" s="131"/>
      <c r="U98" s="131"/>
      <c r="V98" s="131"/>
      <c r="W98" s="131"/>
      <c r="X98" s="131"/>
      <c r="Y98" s="131"/>
      <c r="Z98" s="131"/>
    </row>
    <row r="99">
      <c r="A99" s="290"/>
      <c r="B99" s="290"/>
      <c r="C99" s="290"/>
      <c r="D99" s="290"/>
      <c r="E99" s="290"/>
      <c r="F99" s="290"/>
      <c r="G99" s="290"/>
      <c r="H99" s="290"/>
      <c r="I99" s="290"/>
      <c r="J99" s="290"/>
      <c r="K99" s="131"/>
      <c r="L99" s="131"/>
      <c r="M99" s="131"/>
      <c r="N99" s="131"/>
      <c r="O99" s="131"/>
      <c r="P99" s="131"/>
      <c r="Q99" s="131"/>
      <c r="R99" s="131"/>
      <c r="S99" s="131"/>
      <c r="T99" s="131"/>
      <c r="U99" s="131"/>
      <c r="V99" s="131"/>
      <c r="W99" s="131"/>
      <c r="X99" s="131"/>
      <c r="Y99" s="131"/>
      <c r="Z99" s="131"/>
    </row>
    <row r="100">
      <c r="A100" s="290"/>
      <c r="B100" s="290"/>
      <c r="C100" s="290"/>
      <c r="D100" s="290"/>
      <c r="E100" s="290"/>
      <c r="F100" s="290"/>
      <c r="G100" s="290"/>
      <c r="H100" s="290"/>
      <c r="I100" s="290"/>
      <c r="J100" s="290"/>
      <c r="K100" s="131"/>
      <c r="L100" s="131"/>
      <c r="M100" s="131"/>
      <c r="N100" s="131"/>
      <c r="O100" s="131"/>
      <c r="P100" s="131"/>
      <c r="Q100" s="131"/>
      <c r="R100" s="131"/>
      <c r="S100" s="131"/>
      <c r="T100" s="131"/>
      <c r="U100" s="131"/>
      <c r="V100" s="131"/>
      <c r="W100" s="131"/>
      <c r="X100" s="131"/>
      <c r="Y100" s="131"/>
      <c r="Z100" s="131"/>
    </row>
    <row r="101">
      <c r="A101" s="290"/>
      <c r="B101" s="290"/>
      <c r="C101" s="290"/>
      <c r="D101" s="290"/>
      <c r="E101" s="290"/>
      <c r="F101" s="290"/>
      <c r="G101" s="290"/>
      <c r="H101" s="290"/>
      <c r="I101" s="290"/>
      <c r="J101" s="290"/>
      <c r="K101" s="131"/>
      <c r="L101" s="131"/>
      <c r="M101" s="131"/>
      <c r="N101" s="131"/>
      <c r="O101" s="131"/>
      <c r="P101" s="131"/>
      <c r="Q101" s="131"/>
      <c r="R101" s="131"/>
      <c r="S101" s="131"/>
      <c r="T101" s="131"/>
      <c r="U101" s="131"/>
      <c r="V101" s="131"/>
      <c r="W101" s="131"/>
      <c r="X101" s="131"/>
      <c r="Y101" s="131"/>
      <c r="Z101" s="131"/>
    </row>
    <row r="102">
      <c r="A102" s="290"/>
      <c r="B102" s="290"/>
      <c r="C102" s="290"/>
      <c r="D102" s="290"/>
      <c r="E102" s="290"/>
      <c r="F102" s="290"/>
      <c r="G102" s="290"/>
      <c r="H102" s="290"/>
      <c r="I102" s="290"/>
      <c r="J102" s="290"/>
      <c r="K102" s="131"/>
      <c r="L102" s="131"/>
      <c r="M102" s="131"/>
      <c r="N102" s="131"/>
      <c r="O102" s="131"/>
      <c r="P102" s="131"/>
      <c r="Q102" s="131"/>
      <c r="R102" s="131"/>
      <c r="S102" s="131"/>
      <c r="T102" s="131"/>
      <c r="U102" s="131"/>
      <c r="V102" s="131"/>
      <c r="W102" s="131"/>
      <c r="X102" s="131"/>
      <c r="Y102" s="131"/>
      <c r="Z102" s="131"/>
    </row>
    <row r="103">
      <c r="A103" s="290"/>
      <c r="B103" s="290"/>
      <c r="C103" s="290"/>
      <c r="D103" s="290"/>
      <c r="E103" s="290"/>
      <c r="F103" s="290"/>
      <c r="G103" s="290"/>
      <c r="H103" s="290"/>
      <c r="I103" s="290"/>
      <c r="J103" s="290"/>
      <c r="K103" s="131"/>
      <c r="L103" s="131"/>
      <c r="M103" s="131"/>
      <c r="N103" s="131"/>
      <c r="O103" s="131"/>
      <c r="P103" s="131"/>
      <c r="Q103" s="131"/>
      <c r="R103" s="131"/>
      <c r="S103" s="131"/>
      <c r="T103" s="131"/>
      <c r="U103" s="131"/>
      <c r="V103" s="131"/>
      <c r="W103" s="131"/>
      <c r="X103" s="131"/>
      <c r="Y103" s="131"/>
      <c r="Z103" s="131"/>
    </row>
    <row r="104">
      <c r="A104" s="290"/>
      <c r="B104" s="290"/>
      <c r="C104" s="290"/>
      <c r="D104" s="290"/>
      <c r="E104" s="290"/>
      <c r="F104" s="290"/>
      <c r="G104" s="290"/>
      <c r="H104" s="290"/>
      <c r="I104" s="290"/>
      <c r="J104" s="290"/>
      <c r="K104" s="131"/>
      <c r="L104" s="131"/>
      <c r="M104" s="131"/>
      <c r="N104" s="131"/>
      <c r="O104" s="131"/>
      <c r="P104" s="131"/>
      <c r="Q104" s="131"/>
      <c r="R104" s="131"/>
      <c r="S104" s="131"/>
      <c r="T104" s="131"/>
      <c r="U104" s="131"/>
      <c r="V104" s="131"/>
      <c r="W104" s="131"/>
      <c r="X104" s="131"/>
      <c r="Y104" s="131"/>
      <c r="Z104" s="131"/>
    </row>
    <row r="105">
      <c r="A105" s="290"/>
      <c r="B105" s="290"/>
      <c r="C105" s="290"/>
      <c r="D105" s="290"/>
      <c r="E105" s="290"/>
      <c r="F105" s="290"/>
      <c r="G105" s="290"/>
      <c r="H105" s="290"/>
      <c r="I105" s="290"/>
      <c r="J105" s="290"/>
      <c r="K105" s="131"/>
      <c r="L105" s="131"/>
      <c r="M105" s="131"/>
      <c r="N105" s="131"/>
      <c r="O105" s="131"/>
      <c r="P105" s="131"/>
      <c r="Q105" s="131"/>
      <c r="R105" s="131"/>
      <c r="S105" s="131"/>
      <c r="T105" s="131"/>
      <c r="U105" s="131"/>
      <c r="V105" s="131"/>
      <c r="W105" s="131"/>
      <c r="X105" s="131"/>
      <c r="Y105" s="131"/>
      <c r="Z105" s="131"/>
    </row>
    <row r="106">
      <c r="A106" s="290"/>
      <c r="B106" s="290"/>
      <c r="C106" s="290"/>
      <c r="D106" s="290"/>
      <c r="E106" s="290"/>
      <c r="F106" s="290"/>
      <c r="G106" s="290"/>
      <c r="H106" s="290"/>
      <c r="I106" s="290"/>
      <c r="J106" s="290"/>
      <c r="K106" s="131"/>
      <c r="L106" s="131"/>
      <c r="M106" s="131"/>
      <c r="N106" s="131"/>
      <c r="O106" s="131"/>
      <c r="P106" s="131"/>
      <c r="Q106" s="131"/>
      <c r="R106" s="131"/>
      <c r="S106" s="131"/>
      <c r="T106" s="131"/>
      <c r="U106" s="131"/>
      <c r="V106" s="131"/>
      <c r="W106" s="131"/>
      <c r="X106" s="131"/>
      <c r="Y106" s="131"/>
      <c r="Z106" s="131"/>
    </row>
    <row r="107">
      <c r="A107" s="290"/>
      <c r="B107" s="290"/>
      <c r="C107" s="290"/>
      <c r="D107" s="290"/>
      <c r="E107" s="290"/>
      <c r="F107" s="290"/>
      <c r="G107" s="290"/>
      <c r="H107" s="290"/>
      <c r="I107" s="290"/>
      <c r="J107" s="290"/>
      <c r="K107" s="131"/>
      <c r="L107" s="131"/>
      <c r="M107" s="131"/>
      <c r="N107" s="131"/>
      <c r="O107" s="131"/>
      <c r="P107" s="131"/>
      <c r="Q107" s="131"/>
      <c r="R107" s="131"/>
      <c r="S107" s="131"/>
      <c r="T107" s="131"/>
      <c r="U107" s="131"/>
      <c r="V107" s="131"/>
      <c r="W107" s="131"/>
      <c r="X107" s="131"/>
      <c r="Y107" s="131"/>
      <c r="Z107" s="131"/>
    </row>
    <row r="108">
      <c r="A108" s="290"/>
      <c r="B108" s="290"/>
      <c r="C108" s="290"/>
      <c r="D108" s="290"/>
      <c r="E108" s="290"/>
      <c r="F108" s="290"/>
      <c r="G108" s="290"/>
      <c r="H108" s="290"/>
      <c r="I108" s="290"/>
      <c r="J108" s="290"/>
      <c r="K108" s="131"/>
      <c r="L108" s="131"/>
      <c r="M108" s="131"/>
      <c r="N108" s="131"/>
      <c r="O108" s="131"/>
      <c r="P108" s="131"/>
      <c r="Q108" s="131"/>
      <c r="R108" s="131"/>
      <c r="S108" s="131"/>
      <c r="T108" s="131"/>
      <c r="U108" s="131"/>
      <c r="V108" s="131"/>
      <c r="W108" s="131"/>
      <c r="X108" s="131"/>
      <c r="Y108" s="131"/>
      <c r="Z108" s="131"/>
    </row>
    <row r="109">
      <c r="A109" s="290"/>
      <c r="B109" s="290"/>
      <c r="C109" s="290"/>
      <c r="D109" s="290"/>
      <c r="E109" s="290"/>
      <c r="F109" s="290"/>
      <c r="G109" s="290"/>
      <c r="H109" s="290"/>
      <c r="I109" s="290"/>
      <c r="J109" s="290"/>
      <c r="K109" s="131"/>
      <c r="L109" s="131"/>
      <c r="M109" s="131"/>
      <c r="N109" s="131"/>
      <c r="O109" s="131"/>
      <c r="P109" s="131"/>
      <c r="Q109" s="131"/>
      <c r="R109" s="131"/>
      <c r="S109" s="131"/>
      <c r="T109" s="131"/>
      <c r="U109" s="131"/>
      <c r="V109" s="131"/>
      <c r="W109" s="131"/>
      <c r="X109" s="131"/>
      <c r="Y109" s="131"/>
      <c r="Z109" s="131"/>
    </row>
    <row r="110">
      <c r="A110" s="290"/>
      <c r="B110" s="290"/>
      <c r="C110" s="290"/>
      <c r="D110" s="290"/>
      <c r="E110" s="290"/>
      <c r="F110" s="290"/>
      <c r="G110" s="290"/>
      <c r="H110" s="290"/>
      <c r="I110" s="290"/>
      <c r="J110" s="290"/>
      <c r="K110" s="131"/>
      <c r="L110" s="131"/>
      <c r="M110" s="131"/>
      <c r="N110" s="131"/>
      <c r="O110" s="131"/>
      <c r="P110" s="131"/>
      <c r="Q110" s="131"/>
      <c r="R110" s="131"/>
      <c r="S110" s="131"/>
      <c r="T110" s="131"/>
      <c r="U110" s="131"/>
      <c r="V110" s="131"/>
      <c r="W110" s="131"/>
      <c r="X110" s="131"/>
      <c r="Y110" s="131"/>
      <c r="Z110" s="131"/>
    </row>
    <row r="111">
      <c r="A111" s="290"/>
      <c r="B111" s="290"/>
      <c r="C111" s="290"/>
      <c r="D111" s="290"/>
      <c r="E111" s="290"/>
      <c r="F111" s="290"/>
      <c r="G111" s="290"/>
      <c r="H111" s="290"/>
      <c r="I111" s="290"/>
      <c r="J111" s="290"/>
      <c r="K111" s="131"/>
      <c r="L111" s="131"/>
      <c r="M111" s="131"/>
      <c r="N111" s="131"/>
      <c r="O111" s="131"/>
      <c r="P111" s="131"/>
      <c r="Q111" s="131"/>
      <c r="R111" s="131"/>
      <c r="S111" s="131"/>
      <c r="T111" s="131"/>
      <c r="U111" s="131"/>
      <c r="V111" s="131"/>
      <c r="W111" s="131"/>
      <c r="X111" s="131"/>
      <c r="Y111" s="131"/>
      <c r="Z111" s="131"/>
    </row>
    <row r="112">
      <c r="A112" s="290"/>
      <c r="B112" s="290"/>
      <c r="C112" s="290"/>
      <c r="D112" s="290"/>
      <c r="E112" s="290"/>
      <c r="F112" s="290"/>
      <c r="G112" s="290"/>
      <c r="H112" s="290"/>
      <c r="I112" s="290"/>
      <c r="J112" s="290"/>
      <c r="K112" s="131"/>
      <c r="L112" s="131"/>
      <c r="M112" s="131"/>
      <c r="N112" s="131"/>
      <c r="O112" s="131"/>
      <c r="P112" s="131"/>
      <c r="Q112" s="131"/>
      <c r="R112" s="131"/>
      <c r="S112" s="131"/>
      <c r="T112" s="131"/>
      <c r="U112" s="131"/>
      <c r="V112" s="131"/>
      <c r="W112" s="131"/>
      <c r="X112" s="131"/>
      <c r="Y112" s="131"/>
      <c r="Z112" s="131"/>
    </row>
    <row r="113">
      <c r="A113" s="290"/>
      <c r="B113" s="290"/>
      <c r="C113" s="290"/>
      <c r="D113" s="290"/>
      <c r="E113" s="290"/>
      <c r="F113" s="290"/>
      <c r="G113" s="290"/>
      <c r="H113" s="290"/>
      <c r="I113" s="290"/>
      <c r="J113" s="290"/>
      <c r="K113" s="131"/>
      <c r="L113" s="131"/>
      <c r="M113" s="131"/>
      <c r="N113" s="131"/>
      <c r="O113" s="131"/>
      <c r="P113" s="131"/>
      <c r="Q113" s="131"/>
      <c r="R113" s="131"/>
      <c r="S113" s="131"/>
      <c r="T113" s="131"/>
      <c r="U113" s="131"/>
      <c r="V113" s="131"/>
      <c r="W113" s="131"/>
      <c r="X113" s="131"/>
      <c r="Y113" s="131"/>
      <c r="Z113" s="131"/>
    </row>
    <row r="114">
      <c r="A114" s="290"/>
      <c r="B114" s="290"/>
      <c r="C114" s="290"/>
      <c r="D114" s="290"/>
      <c r="E114" s="290"/>
      <c r="F114" s="290"/>
      <c r="G114" s="290"/>
      <c r="H114" s="290"/>
      <c r="I114" s="290"/>
      <c r="J114" s="290"/>
      <c r="K114" s="131"/>
      <c r="L114" s="131"/>
      <c r="M114" s="131"/>
      <c r="N114" s="131"/>
      <c r="O114" s="131"/>
      <c r="P114" s="131"/>
      <c r="Q114" s="131"/>
      <c r="R114" s="131"/>
      <c r="S114" s="131"/>
      <c r="T114" s="131"/>
      <c r="U114" s="131"/>
      <c r="V114" s="131"/>
      <c r="W114" s="131"/>
      <c r="X114" s="131"/>
      <c r="Y114" s="131"/>
      <c r="Z114" s="131"/>
    </row>
    <row r="115">
      <c r="A115" s="290"/>
      <c r="B115" s="290"/>
      <c r="C115" s="290"/>
      <c r="D115" s="290"/>
      <c r="E115" s="290"/>
      <c r="F115" s="290"/>
      <c r="G115" s="290"/>
      <c r="H115" s="290"/>
      <c r="I115" s="290"/>
      <c r="J115" s="290"/>
      <c r="K115" s="131"/>
      <c r="L115" s="131"/>
      <c r="M115" s="131"/>
      <c r="N115" s="131"/>
      <c r="O115" s="131"/>
      <c r="P115" s="131"/>
      <c r="Q115" s="131"/>
      <c r="R115" s="131"/>
      <c r="S115" s="131"/>
      <c r="T115" s="131"/>
      <c r="U115" s="131"/>
      <c r="V115" s="131"/>
      <c r="W115" s="131"/>
      <c r="X115" s="131"/>
      <c r="Y115" s="131"/>
      <c r="Z115" s="131"/>
    </row>
    <row r="116">
      <c r="A116" s="290"/>
      <c r="B116" s="290"/>
      <c r="C116" s="290"/>
      <c r="D116" s="290"/>
      <c r="E116" s="290"/>
      <c r="F116" s="290"/>
      <c r="G116" s="290"/>
      <c r="H116" s="290"/>
      <c r="I116" s="290"/>
      <c r="J116" s="290"/>
      <c r="K116" s="131"/>
      <c r="L116" s="131"/>
      <c r="M116" s="131"/>
      <c r="N116" s="131"/>
      <c r="O116" s="131"/>
      <c r="P116" s="131"/>
      <c r="Q116" s="131"/>
      <c r="R116" s="131"/>
      <c r="S116" s="131"/>
      <c r="T116" s="131"/>
      <c r="U116" s="131"/>
      <c r="V116" s="131"/>
      <c r="W116" s="131"/>
      <c r="X116" s="131"/>
      <c r="Y116" s="131"/>
      <c r="Z116" s="131"/>
    </row>
    <row r="117">
      <c r="A117" s="290"/>
      <c r="B117" s="290"/>
      <c r="C117" s="290"/>
      <c r="D117" s="290"/>
      <c r="E117" s="290"/>
      <c r="F117" s="290"/>
      <c r="G117" s="290"/>
      <c r="H117" s="290"/>
      <c r="I117" s="290"/>
      <c r="J117" s="290"/>
      <c r="K117" s="131"/>
      <c r="L117" s="131"/>
      <c r="M117" s="131"/>
      <c r="N117" s="131"/>
      <c r="O117" s="131"/>
      <c r="P117" s="131"/>
      <c r="Q117" s="131"/>
      <c r="R117" s="131"/>
      <c r="S117" s="131"/>
      <c r="T117" s="131"/>
      <c r="U117" s="131"/>
      <c r="V117" s="131"/>
      <c r="W117" s="131"/>
      <c r="X117" s="131"/>
      <c r="Y117" s="131"/>
      <c r="Z117" s="131"/>
    </row>
    <row r="118">
      <c r="A118" s="290"/>
      <c r="B118" s="290"/>
      <c r="C118" s="290"/>
      <c r="D118" s="290"/>
      <c r="E118" s="290"/>
      <c r="F118" s="290"/>
      <c r="G118" s="290"/>
      <c r="H118" s="290"/>
      <c r="I118" s="290"/>
      <c r="J118" s="290"/>
      <c r="K118" s="131"/>
      <c r="L118" s="131"/>
      <c r="M118" s="131"/>
      <c r="N118" s="131"/>
      <c r="O118" s="131"/>
      <c r="P118" s="131"/>
      <c r="Q118" s="131"/>
      <c r="R118" s="131"/>
      <c r="S118" s="131"/>
      <c r="T118" s="131"/>
      <c r="U118" s="131"/>
      <c r="V118" s="131"/>
      <c r="W118" s="131"/>
      <c r="X118" s="131"/>
      <c r="Y118" s="131"/>
      <c r="Z118" s="131"/>
    </row>
    <row r="119">
      <c r="A119" s="290"/>
      <c r="B119" s="290"/>
      <c r="C119" s="290"/>
      <c r="D119" s="290"/>
      <c r="E119" s="290"/>
      <c r="F119" s="290"/>
      <c r="G119" s="290"/>
      <c r="H119" s="290"/>
      <c r="I119" s="290"/>
      <c r="J119" s="290"/>
      <c r="K119" s="131"/>
      <c r="L119" s="131"/>
      <c r="M119" s="131"/>
      <c r="N119" s="131"/>
      <c r="O119" s="131"/>
      <c r="P119" s="131"/>
      <c r="Q119" s="131"/>
      <c r="R119" s="131"/>
      <c r="S119" s="131"/>
      <c r="T119" s="131"/>
      <c r="U119" s="131"/>
      <c r="V119" s="131"/>
      <c r="W119" s="131"/>
      <c r="X119" s="131"/>
      <c r="Y119" s="131"/>
      <c r="Z119" s="131"/>
    </row>
    <row r="120">
      <c r="A120" s="290"/>
      <c r="B120" s="290"/>
      <c r="C120" s="290"/>
      <c r="D120" s="290"/>
      <c r="E120" s="290"/>
      <c r="F120" s="290"/>
      <c r="G120" s="290"/>
      <c r="H120" s="290"/>
      <c r="I120" s="290"/>
      <c r="J120" s="290"/>
      <c r="K120" s="131"/>
      <c r="L120" s="131"/>
      <c r="M120" s="131"/>
      <c r="N120" s="131"/>
      <c r="O120" s="131"/>
      <c r="P120" s="131"/>
      <c r="Q120" s="131"/>
      <c r="R120" s="131"/>
      <c r="S120" s="131"/>
      <c r="T120" s="131"/>
      <c r="U120" s="131"/>
      <c r="V120" s="131"/>
      <c r="W120" s="131"/>
      <c r="X120" s="131"/>
      <c r="Y120" s="131"/>
      <c r="Z120" s="131"/>
    </row>
    <row r="121">
      <c r="A121" s="290"/>
      <c r="B121" s="290"/>
      <c r="C121" s="290"/>
      <c r="D121" s="290"/>
      <c r="E121" s="290"/>
      <c r="F121" s="290"/>
      <c r="G121" s="290"/>
      <c r="H121" s="290"/>
      <c r="I121" s="290"/>
      <c r="J121" s="290"/>
      <c r="K121" s="131"/>
      <c r="L121" s="131"/>
      <c r="M121" s="131"/>
      <c r="N121" s="131"/>
      <c r="O121" s="131"/>
      <c r="P121" s="131"/>
      <c r="Q121" s="131"/>
      <c r="R121" s="131"/>
      <c r="S121" s="131"/>
      <c r="T121" s="131"/>
      <c r="U121" s="131"/>
      <c r="V121" s="131"/>
      <c r="W121" s="131"/>
      <c r="X121" s="131"/>
      <c r="Y121" s="131"/>
      <c r="Z121" s="131"/>
    </row>
    <row r="122">
      <c r="A122" s="290"/>
      <c r="B122" s="290"/>
      <c r="C122" s="290"/>
      <c r="D122" s="290"/>
      <c r="E122" s="290"/>
      <c r="F122" s="290"/>
      <c r="G122" s="290"/>
      <c r="H122" s="290"/>
      <c r="I122" s="290"/>
      <c r="J122" s="290"/>
      <c r="K122" s="131"/>
      <c r="L122" s="131"/>
      <c r="M122" s="131"/>
      <c r="N122" s="131"/>
      <c r="O122" s="131"/>
      <c r="P122" s="131"/>
      <c r="Q122" s="131"/>
      <c r="R122" s="131"/>
      <c r="S122" s="131"/>
      <c r="T122" s="131"/>
      <c r="U122" s="131"/>
      <c r="V122" s="131"/>
      <c r="W122" s="131"/>
      <c r="X122" s="131"/>
      <c r="Y122" s="131"/>
      <c r="Z122" s="131"/>
    </row>
    <row r="123">
      <c r="A123" s="290"/>
      <c r="B123" s="290"/>
      <c r="C123" s="290"/>
      <c r="D123" s="290"/>
      <c r="E123" s="290"/>
      <c r="F123" s="290"/>
      <c r="G123" s="290"/>
      <c r="H123" s="290"/>
      <c r="I123" s="290"/>
      <c r="J123" s="290"/>
      <c r="K123" s="131"/>
      <c r="L123" s="131"/>
      <c r="M123" s="131"/>
      <c r="N123" s="131"/>
      <c r="O123" s="131"/>
      <c r="P123" s="131"/>
      <c r="Q123" s="131"/>
      <c r="R123" s="131"/>
      <c r="S123" s="131"/>
      <c r="T123" s="131"/>
      <c r="U123" s="131"/>
      <c r="V123" s="131"/>
      <c r="W123" s="131"/>
      <c r="X123" s="131"/>
      <c r="Y123" s="131"/>
      <c r="Z123" s="131"/>
    </row>
    <row r="124">
      <c r="A124" s="290"/>
      <c r="B124" s="290"/>
      <c r="C124" s="290"/>
      <c r="D124" s="290"/>
      <c r="E124" s="290"/>
      <c r="F124" s="290"/>
      <c r="G124" s="290"/>
      <c r="H124" s="290"/>
      <c r="I124" s="290"/>
      <c r="J124" s="290"/>
      <c r="K124" s="131"/>
      <c r="L124" s="131"/>
      <c r="M124" s="131"/>
      <c r="N124" s="131"/>
      <c r="O124" s="131"/>
      <c r="P124" s="131"/>
      <c r="Q124" s="131"/>
      <c r="R124" s="131"/>
      <c r="S124" s="131"/>
      <c r="T124" s="131"/>
      <c r="U124" s="131"/>
      <c r="V124" s="131"/>
      <c r="W124" s="131"/>
      <c r="X124" s="131"/>
      <c r="Y124" s="131"/>
      <c r="Z124" s="131"/>
    </row>
    <row r="125">
      <c r="A125" s="290"/>
      <c r="B125" s="290"/>
      <c r="C125" s="290"/>
      <c r="D125" s="290"/>
      <c r="E125" s="290"/>
      <c r="F125" s="290"/>
      <c r="G125" s="290"/>
      <c r="H125" s="290"/>
      <c r="I125" s="290"/>
      <c r="J125" s="290"/>
      <c r="K125" s="131"/>
      <c r="L125" s="131"/>
      <c r="M125" s="131"/>
      <c r="N125" s="131"/>
      <c r="O125" s="131"/>
      <c r="P125" s="131"/>
      <c r="Q125" s="131"/>
      <c r="R125" s="131"/>
      <c r="S125" s="131"/>
      <c r="T125" s="131"/>
      <c r="U125" s="131"/>
      <c r="V125" s="131"/>
      <c r="W125" s="131"/>
      <c r="X125" s="131"/>
      <c r="Y125" s="131"/>
      <c r="Z125" s="131"/>
    </row>
    <row r="126">
      <c r="A126" s="290"/>
      <c r="B126" s="290"/>
      <c r="C126" s="290"/>
      <c r="D126" s="290"/>
      <c r="E126" s="290"/>
      <c r="F126" s="290"/>
      <c r="G126" s="290"/>
      <c r="H126" s="290"/>
      <c r="I126" s="290"/>
      <c r="J126" s="290"/>
      <c r="K126" s="131"/>
      <c r="L126" s="131"/>
      <c r="M126" s="131"/>
      <c r="N126" s="131"/>
      <c r="O126" s="131"/>
      <c r="P126" s="131"/>
      <c r="Q126" s="131"/>
      <c r="R126" s="131"/>
      <c r="S126" s="131"/>
      <c r="T126" s="131"/>
      <c r="U126" s="131"/>
      <c r="V126" s="131"/>
      <c r="W126" s="131"/>
      <c r="X126" s="131"/>
      <c r="Y126" s="131"/>
      <c r="Z126" s="131"/>
    </row>
    <row r="127">
      <c r="A127" s="290"/>
      <c r="B127" s="290"/>
      <c r="C127" s="290"/>
      <c r="D127" s="290"/>
      <c r="E127" s="290"/>
      <c r="F127" s="290"/>
      <c r="G127" s="290"/>
      <c r="H127" s="290"/>
      <c r="I127" s="290"/>
      <c r="J127" s="290"/>
      <c r="K127" s="131"/>
      <c r="L127" s="131"/>
      <c r="M127" s="131"/>
      <c r="N127" s="131"/>
      <c r="O127" s="131"/>
      <c r="P127" s="131"/>
      <c r="Q127" s="131"/>
      <c r="R127" s="131"/>
      <c r="S127" s="131"/>
      <c r="T127" s="131"/>
      <c r="U127" s="131"/>
      <c r="V127" s="131"/>
      <c r="W127" s="131"/>
      <c r="X127" s="131"/>
      <c r="Y127" s="131"/>
      <c r="Z127" s="131"/>
    </row>
    <row r="128">
      <c r="A128" s="290"/>
      <c r="B128" s="290"/>
      <c r="C128" s="290"/>
      <c r="D128" s="290"/>
      <c r="E128" s="290"/>
      <c r="F128" s="290"/>
      <c r="G128" s="290"/>
      <c r="H128" s="290"/>
      <c r="I128" s="290"/>
      <c r="J128" s="290"/>
      <c r="K128" s="131"/>
      <c r="L128" s="131"/>
      <c r="M128" s="131"/>
      <c r="N128" s="131"/>
      <c r="O128" s="131"/>
      <c r="P128" s="131"/>
      <c r="Q128" s="131"/>
      <c r="R128" s="131"/>
      <c r="S128" s="131"/>
      <c r="T128" s="131"/>
      <c r="U128" s="131"/>
      <c r="V128" s="131"/>
      <c r="W128" s="131"/>
      <c r="X128" s="131"/>
      <c r="Y128" s="131"/>
      <c r="Z128" s="131"/>
    </row>
    <row r="129">
      <c r="A129" s="290"/>
      <c r="B129" s="290"/>
      <c r="C129" s="290"/>
      <c r="D129" s="290"/>
      <c r="E129" s="290"/>
      <c r="F129" s="290"/>
      <c r="G129" s="290"/>
      <c r="H129" s="290"/>
      <c r="I129" s="290"/>
      <c r="J129" s="290"/>
      <c r="K129" s="131"/>
      <c r="L129" s="131"/>
      <c r="M129" s="131"/>
      <c r="N129" s="131"/>
      <c r="O129" s="131"/>
      <c r="P129" s="131"/>
      <c r="Q129" s="131"/>
      <c r="R129" s="131"/>
      <c r="S129" s="131"/>
      <c r="T129" s="131"/>
      <c r="U129" s="131"/>
      <c r="V129" s="131"/>
      <c r="W129" s="131"/>
      <c r="X129" s="131"/>
      <c r="Y129" s="131"/>
      <c r="Z129" s="131"/>
    </row>
    <row r="130">
      <c r="A130" s="290"/>
      <c r="B130" s="290"/>
      <c r="C130" s="290"/>
      <c r="D130" s="290"/>
      <c r="E130" s="290"/>
      <c r="F130" s="290"/>
      <c r="G130" s="290"/>
      <c r="H130" s="290"/>
      <c r="I130" s="290"/>
      <c r="J130" s="290"/>
      <c r="K130" s="131"/>
      <c r="L130" s="131"/>
      <c r="M130" s="131"/>
      <c r="N130" s="131"/>
      <c r="O130" s="131"/>
      <c r="P130" s="131"/>
      <c r="Q130" s="131"/>
      <c r="R130" s="131"/>
      <c r="S130" s="131"/>
      <c r="T130" s="131"/>
      <c r="U130" s="131"/>
      <c r="V130" s="131"/>
      <c r="W130" s="131"/>
      <c r="X130" s="131"/>
      <c r="Y130" s="131"/>
      <c r="Z130" s="131"/>
    </row>
    <row r="131">
      <c r="A131" s="290"/>
      <c r="B131" s="290"/>
      <c r="C131" s="290"/>
      <c r="D131" s="290"/>
      <c r="E131" s="290"/>
      <c r="F131" s="290"/>
      <c r="G131" s="290"/>
      <c r="H131" s="290"/>
      <c r="I131" s="290"/>
      <c r="J131" s="290"/>
      <c r="K131" s="131"/>
      <c r="L131" s="131"/>
      <c r="M131" s="131"/>
      <c r="N131" s="131"/>
      <c r="O131" s="131"/>
      <c r="P131" s="131"/>
      <c r="Q131" s="131"/>
      <c r="R131" s="131"/>
      <c r="S131" s="131"/>
      <c r="T131" s="131"/>
      <c r="U131" s="131"/>
      <c r="V131" s="131"/>
      <c r="W131" s="131"/>
      <c r="X131" s="131"/>
      <c r="Y131" s="131"/>
      <c r="Z131" s="131"/>
    </row>
    <row r="132">
      <c r="A132" s="290"/>
      <c r="B132" s="290"/>
      <c r="C132" s="290"/>
      <c r="D132" s="290"/>
      <c r="E132" s="290"/>
      <c r="F132" s="290"/>
      <c r="G132" s="290"/>
      <c r="H132" s="290"/>
      <c r="I132" s="290"/>
      <c r="J132" s="290"/>
      <c r="K132" s="131"/>
      <c r="L132" s="131"/>
      <c r="M132" s="131"/>
      <c r="N132" s="131"/>
      <c r="O132" s="131"/>
      <c r="P132" s="131"/>
      <c r="Q132" s="131"/>
      <c r="R132" s="131"/>
      <c r="S132" s="131"/>
      <c r="T132" s="131"/>
      <c r="U132" s="131"/>
      <c r="V132" s="131"/>
      <c r="W132" s="131"/>
      <c r="X132" s="131"/>
      <c r="Y132" s="131"/>
      <c r="Z132" s="131"/>
    </row>
    <row r="133">
      <c r="A133" s="290"/>
      <c r="B133" s="290"/>
      <c r="C133" s="290"/>
      <c r="D133" s="290"/>
      <c r="E133" s="290"/>
      <c r="F133" s="290"/>
      <c r="G133" s="290"/>
      <c r="H133" s="290"/>
      <c r="I133" s="290"/>
      <c r="J133" s="290"/>
      <c r="K133" s="131"/>
      <c r="L133" s="131"/>
      <c r="M133" s="131"/>
      <c r="N133" s="131"/>
      <c r="O133" s="131"/>
      <c r="P133" s="131"/>
      <c r="Q133" s="131"/>
      <c r="R133" s="131"/>
      <c r="S133" s="131"/>
      <c r="T133" s="131"/>
      <c r="U133" s="131"/>
      <c r="V133" s="131"/>
      <c r="W133" s="131"/>
      <c r="X133" s="131"/>
      <c r="Y133" s="131"/>
      <c r="Z133" s="131"/>
    </row>
    <row r="134">
      <c r="A134" s="290"/>
      <c r="B134" s="290"/>
      <c r="C134" s="290"/>
      <c r="D134" s="290"/>
      <c r="E134" s="290"/>
      <c r="F134" s="290"/>
      <c r="G134" s="290"/>
      <c r="H134" s="290"/>
      <c r="I134" s="290"/>
      <c r="J134" s="290"/>
      <c r="K134" s="131"/>
      <c r="L134" s="131"/>
      <c r="M134" s="131"/>
      <c r="N134" s="131"/>
      <c r="O134" s="131"/>
      <c r="P134" s="131"/>
      <c r="Q134" s="131"/>
      <c r="R134" s="131"/>
      <c r="S134" s="131"/>
      <c r="T134" s="131"/>
      <c r="U134" s="131"/>
      <c r="V134" s="131"/>
      <c r="W134" s="131"/>
      <c r="X134" s="131"/>
      <c r="Y134" s="131"/>
      <c r="Z134" s="131"/>
    </row>
    <row r="135">
      <c r="A135" s="290"/>
      <c r="B135" s="290"/>
      <c r="C135" s="290"/>
      <c r="D135" s="290"/>
      <c r="E135" s="290"/>
      <c r="F135" s="290"/>
      <c r="G135" s="290"/>
      <c r="H135" s="290"/>
      <c r="I135" s="290"/>
      <c r="J135" s="290"/>
      <c r="K135" s="131"/>
      <c r="L135" s="131"/>
      <c r="M135" s="131"/>
      <c r="N135" s="131"/>
      <c r="O135" s="131"/>
      <c r="P135" s="131"/>
      <c r="Q135" s="131"/>
      <c r="R135" s="131"/>
      <c r="S135" s="131"/>
      <c r="T135" s="131"/>
      <c r="U135" s="131"/>
      <c r="V135" s="131"/>
      <c r="W135" s="131"/>
      <c r="X135" s="131"/>
      <c r="Y135" s="131"/>
      <c r="Z135" s="131"/>
    </row>
    <row r="136">
      <c r="A136" s="290"/>
      <c r="B136" s="290"/>
      <c r="C136" s="290"/>
      <c r="D136" s="290"/>
      <c r="E136" s="290"/>
      <c r="F136" s="290"/>
      <c r="G136" s="290"/>
      <c r="H136" s="290"/>
      <c r="I136" s="290"/>
      <c r="J136" s="290"/>
      <c r="K136" s="131"/>
      <c r="L136" s="131"/>
      <c r="M136" s="131"/>
      <c r="N136" s="131"/>
      <c r="O136" s="131"/>
      <c r="P136" s="131"/>
      <c r="Q136" s="131"/>
      <c r="R136" s="131"/>
      <c r="S136" s="131"/>
      <c r="T136" s="131"/>
      <c r="U136" s="131"/>
      <c r="V136" s="131"/>
      <c r="W136" s="131"/>
      <c r="X136" s="131"/>
      <c r="Y136" s="131"/>
      <c r="Z136" s="131"/>
    </row>
    <row r="137">
      <c r="A137" s="290"/>
      <c r="B137" s="290"/>
      <c r="C137" s="290"/>
      <c r="D137" s="290"/>
      <c r="E137" s="290"/>
      <c r="F137" s="290"/>
      <c r="G137" s="290"/>
      <c r="H137" s="290"/>
      <c r="I137" s="290"/>
      <c r="J137" s="290"/>
      <c r="K137" s="131"/>
      <c r="L137" s="131"/>
      <c r="M137" s="131"/>
      <c r="N137" s="131"/>
      <c r="O137" s="131"/>
      <c r="P137" s="131"/>
      <c r="Q137" s="131"/>
      <c r="R137" s="131"/>
      <c r="S137" s="131"/>
      <c r="T137" s="131"/>
      <c r="U137" s="131"/>
      <c r="V137" s="131"/>
      <c r="W137" s="131"/>
      <c r="X137" s="131"/>
      <c r="Y137" s="131"/>
      <c r="Z137" s="131"/>
    </row>
    <row r="138">
      <c r="A138" s="290"/>
      <c r="B138" s="290"/>
      <c r="C138" s="290"/>
      <c r="D138" s="290"/>
      <c r="E138" s="290"/>
      <c r="F138" s="290"/>
      <c r="G138" s="290"/>
      <c r="H138" s="290"/>
      <c r="I138" s="290"/>
      <c r="J138" s="290"/>
      <c r="K138" s="131"/>
      <c r="L138" s="131"/>
      <c r="M138" s="131"/>
      <c r="N138" s="131"/>
      <c r="O138" s="131"/>
      <c r="P138" s="131"/>
      <c r="Q138" s="131"/>
      <c r="R138" s="131"/>
      <c r="S138" s="131"/>
      <c r="T138" s="131"/>
      <c r="U138" s="131"/>
      <c r="V138" s="131"/>
      <c r="W138" s="131"/>
      <c r="X138" s="131"/>
      <c r="Y138" s="131"/>
      <c r="Z138" s="131"/>
    </row>
    <row r="139">
      <c r="A139" s="290"/>
      <c r="B139" s="290"/>
      <c r="C139" s="290"/>
      <c r="D139" s="290"/>
      <c r="E139" s="290"/>
      <c r="F139" s="290"/>
      <c r="G139" s="290"/>
      <c r="H139" s="290"/>
      <c r="I139" s="290"/>
      <c r="J139" s="290"/>
      <c r="K139" s="131"/>
      <c r="L139" s="131"/>
      <c r="M139" s="131"/>
      <c r="N139" s="131"/>
      <c r="O139" s="131"/>
      <c r="P139" s="131"/>
      <c r="Q139" s="131"/>
      <c r="R139" s="131"/>
      <c r="S139" s="131"/>
      <c r="T139" s="131"/>
      <c r="U139" s="131"/>
      <c r="V139" s="131"/>
      <c r="W139" s="131"/>
      <c r="X139" s="131"/>
      <c r="Y139" s="131"/>
      <c r="Z139" s="131"/>
    </row>
    <row r="140">
      <c r="A140" s="290"/>
      <c r="B140" s="290"/>
      <c r="C140" s="290"/>
      <c r="D140" s="290"/>
      <c r="E140" s="290"/>
      <c r="F140" s="290"/>
      <c r="G140" s="290"/>
      <c r="H140" s="290"/>
      <c r="I140" s="290"/>
      <c r="J140" s="290"/>
      <c r="K140" s="131"/>
      <c r="L140" s="131"/>
      <c r="M140" s="131"/>
      <c r="N140" s="131"/>
      <c r="O140" s="131"/>
      <c r="P140" s="131"/>
      <c r="Q140" s="131"/>
      <c r="R140" s="131"/>
      <c r="S140" s="131"/>
      <c r="T140" s="131"/>
      <c r="U140" s="131"/>
      <c r="V140" s="131"/>
      <c r="W140" s="131"/>
      <c r="X140" s="131"/>
      <c r="Y140" s="131"/>
      <c r="Z140" s="131"/>
    </row>
    <row r="141">
      <c r="A141" s="290"/>
      <c r="B141" s="290"/>
      <c r="C141" s="290"/>
      <c r="D141" s="290"/>
      <c r="E141" s="290"/>
      <c r="F141" s="290"/>
      <c r="G141" s="290"/>
      <c r="H141" s="290"/>
      <c r="I141" s="290"/>
      <c r="J141" s="290"/>
      <c r="K141" s="131"/>
      <c r="L141" s="131"/>
      <c r="M141" s="131"/>
      <c r="N141" s="131"/>
      <c r="O141" s="131"/>
      <c r="P141" s="131"/>
      <c r="Q141" s="131"/>
      <c r="R141" s="131"/>
      <c r="S141" s="131"/>
      <c r="T141" s="131"/>
      <c r="U141" s="131"/>
      <c r="V141" s="131"/>
      <c r="W141" s="131"/>
      <c r="X141" s="131"/>
      <c r="Y141" s="131"/>
      <c r="Z141" s="131"/>
    </row>
    <row r="142">
      <c r="A142" s="290"/>
      <c r="B142" s="290"/>
      <c r="C142" s="290"/>
      <c r="D142" s="290"/>
      <c r="E142" s="290"/>
      <c r="F142" s="290"/>
      <c r="G142" s="290"/>
      <c r="H142" s="290"/>
      <c r="I142" s="290"/>
      <c r="J142" s="290"/>
      <c r="K142" s="131"/>
      <c r="L142" s="131"/>
      <c r="M142" s="131"/>
      <c r="N142" s="131"/>
      <c r="O142" s="131"/>
      <c r="P142" s="131"/>
      <c r="Q142" s="131"/>
      <c r="R142" s="131"/>
      <c r="S142" s="131"/>
      <c r="T142" s="131"/>
      <c r="U142" s="131"/>
      <c r="V142" s="131"/>
      <c r="W142" s="131"/>
      <c r="X142" s="131"/>
      <c r="Y142" s="131"/>
      <c r="Z142" s="131"/>
    </row>
    <row r="143">
      <c r="A143" s="290"/>
      <c r="B143" s="290"/>
      <c r="C143" s="290"/>
      <c r="D143" s="290"/>
      <c r="E143" s="290"/>
      <c r="F143" s="290"/>
      <c r="G143" s="290"/>
      <c r="H143" s="290"/>
      <c r="I143" s="290"/>
      <c r="J143" s="290"/>
      <c r="K143" s="131"/>
      <c r="L143" s="131"/>
      <c r="M143" s="131"/>
      <c r="N143" s="131"/>
      <c r="O143" s="131"/>
      <c r="P143" s="131"/>
      <c r="Q143" s="131"/>
      <c r="R143" s="131"/>
      <c r="S143" s="131"/>
      <c r="T143" s="131"/>
      <c r="U143" s="131"/>
      <c r="V143" s="131"/>
      <c r="W143" s="131"/>
      <c r="X143" s="131"/>
      <c r="Y143" s="131"/>
      <c r="Z143" s="131"/>
    </row>
    <row r="144">
      <c r="A144" s="290"/>
      <c r="B144" s="290"/>
      <c r="C144" s="290"/>
      <c r="D144" s="290"/>
      <c r="E144" s="290"/>
      <c r="F144" s="290"/>
      <c r="G144" s="290"/>
      <c r="H144" s="290"/>
      <c r="I144" s="290"/>
      <c r="J144" s="290"/>
      <c r="K144" s="131"/>
      <c r="L144" s="131"/>
      <c r="M144" s="131"/>
      <c r="N144" s="131"/>
      <c r="O144" s="131"/>
      <c r="P144" s="131"/>
      <c r="Q144" s="131"/>
      <c r="R144" s="131"/>
      <c r="S144" s="131"/>
      <c r="T144" s="131"/>
      <c r="U144" s="131"/>
      <c r="V144" s="131"/>
      <c r="W144" s="131"/>
      <c r="X144" s="131"/>
      <c r="Y144" s="131"/>
      <c r="Z144" s="131"/>
    </row>
    <row r="145">
      <c r="A145" s="290"/>
      <c r="B145" s="290"/>
      <c r="C145" s="290"/>
      <c r="D145" s="290"/>
      <c r="E145" s="290"/>
      <c r="F145" s="290"/>
      <c r="G145" s="290"/>
      <c r="H145" s="290"/>
      <c r="I145" s="290"/>
      <c r="J145" s="290"/>
      <c r="K145" s="131"/>
      <c r="L145" s="131"/>
      <c r="M145" s="131"/>
      <c r="N145" s="131"/>
      <c r="O145" s="131"/>
      <c r="P145" s="131"/>
      <c r="Q145" s="131"/>
      <c r="R145" s="131"/>
      <c r="S145" s="131"/>
      <c r="T145" s="131"/>
      <c r="U145" s="131"/>
      <c r="V145" s="131"/>
      <c r="W145" s="131"/>
      <c r="X145" s="131"/>
      <c r="Y145" s="131"/>
      <c r="Z145" s="131"/>
    </row>
    <row r="146">
      <c r="A146" s="290"/>
      <c r="B146" s="290"/>
      <c r="C146" s="290"/>
      <c r="D146" s="290"/>
      <c r="E146" s="290"/>
      <c r="F146" s="290"/>
      <c r="G146" s="290"/>
      <c r="H146" s="290"/>
      <c r="I146" s="290"/>
      <c r="J146" s="290"/>
      <c r="K146" s="131"/>
      <c r="L146" s="131"/>
      <c r="M146" s="131"/>
      <c r="N146" s="131"/>
      <c r="O146" s="131"/>
      <c r="P146" s="131"/>
      <c r="Q146" s="131"/>
      <c r="R146" s="131"/>
      <c r="S146" s="131"/>
      <c r="T146" s="131"/>
      <c r="U146" s="131"/>
      <c r="V146" s="131"/>
      <c r="W146" s="131"/>
      <c r="X146" s="131"/>
      <c r="Y146" s="131"/>
      <c r="Z146" s="131"/>
    </row>
    <row r="147">
      <c r="A147" s="290"/>
      <c r="B147" s="290"/>
      <c r="C147" s="290"/>
      <c r="D147" s="290"/>
      <c r="E147" s="290"/>
      <c r="F147" s="290"/>
      <c r="G147" s="290"/>
      <c r="H147" s="290"/>
      <c r="I147" s="290"/>
      <c r="J147" s="290"/>
      <c r="K147" s="131"/>
      <c r="L147" s="131"/>
      <c r="M147" s="131"/>
      <c r="N147" s="131"/>
      <c r="O147" s="131"/>
      <c r="P147" s="131"/>
      <c r="Q147" s="131"/>
      <c r="R147" s="131"/>
      <c r="S147" s="131"/>
      <c r="T147" s="131"/>
      <c r="U147" s="131"/>
      <c r="V147" s="131"/>
      <c r="W147" s="131"/>
      <c r="X147" s="131"/>
      <c r="Y147" s="131"/>
      <c r="Z147" s="131"/>
    </row>
    <row r="148">
      <c r="A148" s="290"/>
      <c r="B148" s="290"/>
      <c r="C148" s="290"/>
      <c r="D148" s="290"/>
      <c r="E148" s="290"/>
      <c r="F148" s="290"/>
      <c r="G148" s="290"/>
      <c r="H148" s="290"/>
      <c r="I148" s="290"/>
      <c r="J148" s="290"/>
      <c r="K148" s="131"/>
      <c r="L148" s="131"/>
      <c r="M148" s="131"/>
      <c r="N148" s="131"/>
      <c r="O148" s="131"/>
      <c r="P148" s="131"/>
      <c r="Q148" s="131"/>
      <c r="R148" s="131"/>
      <c r="S148" s="131"/>
      <c r="T148" s="131"/>
      <c r="U148" s="131"/>
      <c r="V148" s="131"/>
      <c r="W148" s="131"/>
      <c r="X148" s="131"/>
      <c r="Y148" s="131"/>
      <c r="Z148" s="131"/>
    </row>
    <row r="149">
      <c r="A149" s="290"/>
      <c r="B149" s="290"/>
      <c r="C149" s="290"/>
      <c r="D149" s="290"/>
      <c r="E149" s="290"/>
      <c r="F149" s="290"/>
      <c r="G149" s="290"/>
      <c r="H149" s="290"/>
      <c r="I149" s="290"/>
      <c r="J149" s="290"/>
      <c r="K149" s="131"/>
      <c r="L149" s="131"/>
      <c r="M149" s="131"/>
      <c r="N149" s="131"/>
      <c r="O149" s="131"/>
      <c r="P149" s="131"/>
      <c r="Q149" s="131"/>
      <c r="R149" s="131"/>
      <c r="S149" s="131"/>
      <c r="T149" s="131"/>
      <c r="U149" s="131"/>
      <c r="V149" s="131"/>
      <c r="W149" s="131"/>
      <c r="X149" s="131"/>
      <c r="Y149" s="131"/>
      <c r="Z149" s="131"/>
    </row>
    <row r="150">
      <c r="A150" s="290"/>
      <c r="B150" s="290"/>
      <c r="C150" s="290"/>
      <c r="D150" s="290"/>
      <c r="E150" s="290"/>
      <c r="F150" s="290"/>
      <c r="G150" s="290"/>
      <c r="H150" s="290"/>
      <c r="I150" s="290"/>
      <c r="J150" s="290"/>
      <c r="K150" s="131"/>
      <c r="L150" s="131"/>
      <c r="M150" s="131"/>
      <c r="N150" s="131"/>
      <c r="O150" s="131"/>
      <c r="P150" s="131"/>
      <c r="Q150" s="131"/>
      <c r="R150" s="131"/>
      <c r="S150" s="131"/>
      <c r="T150" s="131"/>
      <c r="U150" s="131"/>
      <c r="V150" s="131"/>
      <c r="W150" s="131"/>
      <c r="X150" s="131"/>
      <c r="Y150" s="131"/>
      <c r="Z150" s="131"/>
    </row>
    <row r="151">
      <c r="A151" s="290"/>
      <c r="B151" s="290"/>
      <c r="C151" s="290"/>
      <c r="D151" s="290"/>
      <c r="E151" s="290"/>
      <c r="F151" s="290"/>
      <c r="G151" s="290"/>
      <c r="H151" s="290"/>
      <c r="I151" s="290"/>
      <c r="J151" s="290"/>
      <c r="K151" s="131"/>
      <c r="L151" s="131"/>
      <c r="M151" s="131"/>
      <c r="N151" s="131"/>
      <c r="O151" s="131"/>
      <c r="P151" s="131"/>
      <c r="Q151" s="131"/>
      <c r="R151" s="131"/>
      <c r="S151" s="131"/>
      <c r="T151" s="131"/>
      <c r="U151" s="131"/>
      <c r="V151" s="131"/>
      <c r="W151" s="131"/>
      <c r="X151" s="131"/>
      <c r="Y151" s="131"/>
      <c r="Z151" s="131"/>
    </row>
    <row r="152">
      <c r="A152" s="290"/>
      <c r="B152" s="290"/>
      <c r="C152" s="290"/>
      <c r="D152" s="290"/>
      <c r="E152" s="290"/>
      <c r="F152" s="290"/>
      <c r="G152" s="290"/>
      <c r="H152" s="290"/>
      <c r="I152" s="290"/>
      <c r="J152" s="290"/>
      <c r="K152" s="131"/>
      <c r="L152" s="131"/>
      <c r="M152" s="131"/>
      <c r="N152" s="131"/>
      <c r="O152" s="131"/>
      <c r="P152" s="131"/>
      <c r="Q152" s="131"/>
      <c r="R152" s="131"/>
      <c r="S152" s="131"/>
      <c r="T152" s="131"/>
      <c r="U152" s="131"/>
      <c r="V152" s="131"/>
      <c r="W152" s="131"/>
      <c r="X152" s="131"/>
      <c r="Y152" s="131"/>
      <c r="Z152" s="131"/>
    </row>
    <row r="153">
      <c r="A153" s="290"/>
      <c r="B153" s="290"/>
      <c r="C153" s="290"/>
      <c r="D153" s="290"/>
      <c r="E153" s="290"/>
      <c r="F153" s="290"/>
      <c r="G153" s="290"/>
      <c r="H153" s="290"/>
      <c r="I153" s="290"/>
      <c r="J153" s="290"/>
      <c r="K153" s="131"/>
      <c r="L153" s="131"/>
      <c r="M153" s="131"/>
      <c r="N153" s="131"/>
      <c r="O153" s="131"/>
      <c r="P153" s="131"/>
      <c r="Q153" s="131"/>
      <c r="R153" s="131"/>
      <c r="S153" s="131"/>
      <c r="T153" s="131"/>
      <c r="U153" s="131"/>
      <c r="V153" s="131"/>
      <c r="W153" s="131"/>
      <c r="X153" s="131"/>
      <c r="Y153" s="131"/>
      <c r="Z153" s="131"/>
    </row>
    <row r="154">
      <c r="A154" s="290"/>
      <c r="B154" s="290"/>
      <c r="C154" s="290"/>
      <c r="D154" s="290"/>
      <c r="E154" s="290"/>
      <c r="F154" s="290"/>
      <c r="G154" s="290"/>
      <c r="H154" s="290"/>
      <c r="I154" s="290"/>
      <c r="J154" s="290"/>
      <c r="K154" s="131"/>
      <c r="L154" s="131"/>
      <c r="M154" s="131"/>
      <c r="N154" s="131"/>
      <c r="O154" s="131"/>
      <c r="P154" s="131"/>
      <c r="Q154" s="131"/>
      <c r="R154" s="131"/>
      <c r="S154" s="131"/>
      <c r="T154" s="131"/>
      <c r="U154" s="131"/>
      <c r="V154" s="131"/>
      <c r="W154" s="131"/>
      <c r="X154" s="131"/>
      <c r="Y154" s="131"/>
      <c r="Z154" s="131"/>
    </row>
    <row r="155">
      <c r="A155" s="290"/>
      <c r="B155" s="290"/>
      <c r="C155" s="290"/>
      <c r="D155" s="290"/>
      <c r="E155" s="290"/>
      <c r="F155" s="290"/>
      <c r="G155" s="290"/>
      <c r="H155" s="290"/>
      <c r="I155" s="290"/>
      <c r="J155" s="290"/>
      <c r="K155" s="131"/>
      <c r="L155" s="131"/>
      <c r="M155" s="131"/>
      <c r="N155" s="131"/>
      <c r="O155" s="131"/>
      <c r="P155" s="131"/>
      <c r="Q155" s="131"/>
      <c r="R155" s="131"/>
      <c r="S155" s="131"/>
      <c r="T155" s="131"/>
      <c r="U155" s="131"/>
      <c r="V155" s="131"/>
      <c r="W155" s="131"/>
      <c r="X155" s="131"/>
      <c r="Y155" s="131"/>
      <c r="Z155" s="131"/>
    </row>
    <row r="156">
      <c r="A156" s="290"/>
      <c r="B156" s="290"/>
      <c r="C156" s="290"/>
      <c r="D156" s="290"/>
      <c r="E156" s="290"/>
      <c r="F156" s="290"/>
      <c r="G156" s="290"/>
      <c r="H156" s="290"/>
      <c r="I156" s="290"/>
      <c r="J156" s="290"/>
      <c r="K156" s="131"/>
      <c r="L156" s="131"/>
      <c r="M156" s="131"/>
      <c r="N156" s="131"/>
      <c r="O156" s="131"/>
      <c r="P156" s="131"/>
      <c r="Q156" s="131"/>
      <c r="R156" s="131"/>
      <c r="S156" s="131"/>
      <c r="T156" s="131"/>
      <c r="U156" s="131"/>
      <c r="V156" s="131"/>
      <c r="W156" s="131"/>
      <c r="X156" s="131"/>
      <c r="Y156" s="131"/>
      <c r="Z156" s="131"/>
    </row>
    <row r="157">
      <c r="A157" s="290"/>
      <c r="B157" s="290"/>
      <c r="C157" s="290"/>
      <c r="D157" s="290"/>
      <c r="E157" s="290"/>
      <c r="F157" s="290"/>
      <c r="G157" s="290"/>
      <c r="H157" s="290"/>
      <c r="I157" s="290"/>
      <c r="J157" s="290"/>
      <c r="K157" s="131"/>
      <c r="L157" s="131"/>
      <c r="M157" s="131"/>
      <c r="N157" s="131"/>
      <c r="O157" s="131"/>
      <c r="P157" s="131"/>
      <c r="Q157" s="131"/>
      <c r="R157" s="131"/>
      <c r="S157" s="131"/>
      <c r="T157" s="131"/>
      <c r="U157" s="131"/>
      <c r="V157" s="131"/>
      <c r="W157" s="131"/>
      <c r="X157" s="131"/>
      <c r="Y157" s="131"/>
      <c r="Z157" s="131"/>
    </row>
    <row r="158">
      <c r="A158" s="290"/>
      <c r="B158" s="290"/>
      <c r="C158" s="290"/>
      <c r="D158" s="290"/>
      <c r="E158" s="290"/>
      <c r="F158" s="290"/>
      <c r="G158" s="290"/>
      <c r="H158" s="290"/>
      <c r="I158" s="290"/>
      <c r="J158" s="290"/>
      <c r="K158" s="131"/>
      <c r="L158" s="131"/>
      <c r="M158" s="131"/>
      <c r="N158" s="131"/>
      <c r="O158" s="131"/>
      <c r="P158" s="131"/>
      <c r="Q158" s="131"/>
      <c r="R158" s="131"/>
      <c r="S158" s="131"/>
      <c r="T158" s="131"/>
      <c r="U158" s="131"/>
      <c r="V158" s="131"/>
      <c r="W158" s="131"/>
      <c r="X158" s="131"/>
      <c r="Y158" s="131"/>
      <c r="Z158" s="131"/>
    </row>
    <row r="159">
      <c r="A159" s="290"/>
      <c r="B159" s="290"/>
      <c r="C159" s="290"/>
      <c r="D159" s="290"/>
      <c r="E159" s="290"/>
      <c r="F159" s="290"/>
      <c r="G159" s="290"/>
      <c r="H159" s="290"/>
      <c r="I159" s="290"/>
      <c r="J159" s="290"/>
      <c r="K159" s="131"/>
      <c r="L159" s="131"/>
      <c r="M159" s="131"/>
      <c r="N159" s="131"/>
      <c r="O159" s="131"/>
      <c r="P159" s="131"/>
      <c r="Q159" s="131"/>
      <c r="R159" s="131"/>
      <c r="S159" s="131"/>
      <c r="T159" s="131"/>
      <c r="U159" s="131"/>
      <c r="V159" s="131"/>
      <c r="W159" s="131"/>
      <c r="X159" s="131"/>
      <c r="Y159" s="131"/>
      <c r="Z159" s="131"/>
    </row>
    <row r="160">
      <c r="A160" s="290"/>
      <c r="B160" s="290"/>
      <c r="C160" s="290"/>
      <c r="D160" s="290"/>
      <c r="E160" s="290"/>
      <c r="F160" s="290"/>
      <c r="G160" s="290"/>
      <c r="H160" s="290"/>
      <c r="I160" s="290"/>
      <c r="J160" s="290"/>
      <c r="K160" s="131"/>
      <c r="L160" s="131"/>
      <c r="M160" s="131"/>
      <c r="N160" s="131"/>
      <c r="O160" s="131"/>
      <c r="P160" s="131"/>
      <c r="Q160" s="131"/>
      <c r="R160" s="131"/>
      <c r="S160" s="131"/>
      <c r="T160" s="131"/>
      <c r="U160" s="131"/>
      <c r="V160" s="131"/>
      <c r="W160" s="131"/>
      <c r="X160" s="131"/>
      <c r="Y160" s="131"/>
      <c r="Z160" s="131"/>
    </row>
    <row r="161">
      <c r="A161" s="290"/>
      <c r="B161" s="290"/>
      <c r="C161" s="290"/>
      <c r="D161" s="290"/>
      <c r="E161" s="290"/>
      <c r="F161" s="290"/>
      <c r="G161" s="290"/>
      <c r="H161" s="290"/>
      <c r="I161" s="290"/>
      <c r="J161" s="290"/>
      <c r="K161" s="131"/>
      <c r="L161" s="131"/>
      <c r="M161" s="131"/>
      <c r="N161" s="131"/>
      <c r="O161" s="131"/>
      <c r="P161" s="131"/>
      <c r="Q161" s="131"/>
      <c r="R161" s="131"/>
      <c r="S161" s="131"/>
      <c r="T161" s="131"/>
      <c r="U161" s="131"/>
      <c r="V161" s="131"/>
      <c r="W161" s="131"/>
      <c r="X161" s="131"/>
      <c r="Y161" s="131"/>
      <c r="Z161" s="131"/>
    </row>
    <row r="162">
      <c r="A162" s="290"/>
      <c r="B162" s="290"/>
      <c r="C162" s="290"/>
      <c r="D162" s="290"/>
      <c r="E162" s="290"/>
      <c r="F162" s="290"/>
      <c r="G162" s="290"/>
      <c r="H162" s="290"/>
      <c r="I162" s="290"/>
      <c r="J162" s="290"/>
      <c r="K162" s="131"/>
      <c r="L162" s="131"/>
      <c r="M162" s="131"/>
      <c r="N162" s="131"/>
      <c r="O162" s="131"/>
      <c r="P162" s="131"/>
      <c r="Q162" s="131"/>
      <c r="R162" s="131"/>
      <c r="S162" s="131"/>
      <c r="T162" s="131"/>
      <c r="U162" s="131"/>
      <c r="V162" s="131"/>
      <c r="W162" s="131"/>
      <c r="X162" s="131"/>
      <c r="Y162" s="131"/>
      <c r="Z162" s="131"/>
    </row>
    <row r="163">
      <c r="A163" s="290"/>
      <c r="B163" s="290"/>
      <c r="C163" s="290"/>
      <c r="D163" s="290"/>
      <c r="E163" s="290"/>
      <c r="F163" s="290"/>
      <c r="G163" s="290"/>
      <c r="H163" s="290"/>
      <c r="I163" s="290"/>
      <c r="J163" s="290"/>
      <c r="K163" s="131"/>
      <c r="L163" s="131"/>
      <c r="M163" s="131"/>
      <c r="N163" s="131"/>
      <c r="O163" s="131"/>
      <c r="P163" s="131"/>
      <c r="Q163" s="131"/>
      <c r="R163" s="131"/>
      <c r="S163" s="131"/>
      <c r="T163" s="131"/>
      <c r="U163" s="131"/>
      <c r="V163" s="131"/>
      <c r="W163" s="131"/>
      <c r="X163" s="131"/>
      <c r="Y163" s="131"/>
      <c r="Z163" s="131"/>
    </row>
    <row r="164">
      <c r="A164" s="290"/>
      <c r="B164" s="290"/>
      <c r="C164" s="290"/>
      <c r="D164" s="290"/>
      <c r="E164" s="290"/>
      <c r="F164" s="290"/>
      <c r="G164" s="290"/>
      <c r="H164" s="290"/>
      <c r="I164" s="290"/>
      <c r="J164" s="290"/>
      <c r="K164" s="131"/>
      <c r="L164" s="131"/>
      <c r="M164" s="131"/>
      <c r="N164" s="131"/>
      <c r="O164" s="131"/>
      <c r="P164" s="131"/>
      <c r="Q164" s="131"/>
      <c r="R164" s="131"/>
      <c r="S164" s="131"/>
      <c r="T164" s="131"/>
      <c r="U164" s="131"/>
      <c r="V164" s="131"/>
      <c r="W164" s="131"/>
      <c r="X164" s="131"/>
      <c r="Y164" s="131"/>
      <c r="Z164" s="131"/>
    </row>
    <row r="165">
      <c r="A165" s="290"/>
      <c r="B165" s="290"/>
      <c r="C165" s="290"/>
      <c r="D165" s="290"/>
      <c r="E165" s="290"/>
      <c r="F165" s="290"/>
      <c r="G165" s="290"/>
      <c r="H165" s="290"/>
      <c r="I165" s="290"/>
      <c r="J165" s="290"/>
      <c r="K165" s="131"/>
      <c r="L165" s="131"/>
      <c r="M165" s="131"/>
      <c r="N165" s="131"/>
      <c r="O165" s="131"/>
      <c r="P165" s="131"/>
      <c r="Q165" s="131"/>
      <c r="R165" s="131"/>
      <c r="S165" s="131"/>
      <c r="T165" s="131"/>
      <c r="U165" s="131"/>
      <c r="V165" s="131"/>
      <c r="W165" s="131"/>
      <c r="X165" s="131"/>
      <c r="Y165" s="131"/>
      <c r="Z165" s="131"/>
    </row>
    <row r="166">
      <c r="A166" s="290"/>
      <c r="B166" s="290"/>
      <c r="C166" s="290"/>
      <c r="D166" s="290"/>
      <c r="E166" s="290"/>
      <c r="F166" s="290"/>
      <c r="G166" s="290"/>
      <c r="H166" s="290"/>
      <c r="I166" s="290"/>
      <c r="J166" s="290"/>
      <c r="K166" s="131"/>
      <c r="L166" s="131"/>
      <c r="M166" s="131"/>
      <c r="N166" s="131"/>
      <c r="O166" s="131"/>
      <c r="P166" s="131"/>
      <c r="Q166" s="131"/>
      <c r="R166" s="131"/>
      <c r="S166" s="131"/>
      <c r="T166" s="131"/>
      <c r="U166" s="131"/>
      <c r="V166" s="131"/>
      <c r="W166" s="131"/>
      <c r="X166" s="131"/>
      <c r="Y166" s="131"/>
      <c r="Z166" s="131"/>
    </row>
    <row r="167">
      <c r="A167" s="290"/>
      <c r="B167" s="290"/>
      <c r="C167" s="290"/>
      <c r="D167" s="290"/>
      <c r="E167" s="290"/>
      <c r="F167" s="290"/>
      <c r="G167" s="290"/>
      <c r="H167" s="290"/>
      <c r="I167" s="290"/>
      <c r="J167" s="290"/>
      <c r="K167" s="131"/>
      <c r="L167" s="131"/>
      <c r="M167" s="131"/>
      <c r="N167" s="131"/>
      <c r="O167" s="131"/>
      <c r="P167" s="131"/>
      <c r="Q167" s="131"/>
      <c r="R167" s="131"/>
      <c r="S167" s="131"/>
      <c r="T167" s="131"/>
      <c r="U167" s="131"/>
      <c r="V167" s="131"/>
      <c r="W167" s="131"/>
      <c r="X167" s="131"/>
      <c r="Y167" s="131"/>
      <c r="Z167" s="131"/>
    </row>
    <row r="168">
      <c r="A168" s="290"/>
      <c r="B168" s="290"/>
      <c r="C168" s="290"/>
      <c r="D168" s="290"/>
      <c r="E168" s="290"/>
      <c r="F168" s="290"/>
      <c r="G168" s="290"/>
      <c r="H168" s="290"/>
      <c r="I168" s="290"/>
      <c r="J168" s="290"/>
      <c r="K168" s="131"/>
      <c r="L168" s="131"/>
      <c r="M168" s="131"/>
      <c r="N168" s="131"/>
      <c r="O168" s="131"/>
      <c r="P168" s="131"/>
      <c r="Q168" s="131"/>
      <c r="R168" s="131"/>
      <c r="S168" s="131"/>
      <c r="T168" s="131"/>
      <c r="U168" s="131"/>
      <c r="V168" s="131"/>
      <c r="W168" s="131"/>
      <c r="X168" s="131"/>
      <c r="Y168" s="131"/>
      <c r="Z168" s="131"/>
    </row>
    <row r="169">
      <c r="A169" s="290"/>
      <c r="B169" s="290"/>
      <c r="C169" s="290"/>
      <c r="D169" s="290"/>
      <c r="E169" s="290"/>
      <c r="F169" s="290"/>
      <c r="G169" s="290"/>
      <c r="H169" s="290"/>
      <c r="I169" s="290"/>
      <c r="J169" s="290"/>
      <c r="K169" s="131"/>
      <c r="L169" s="131"/>
      <c r="M169" s="131"/>
      <c r="N169" s="131"/>
      <c r="O169" s="131"/>
      <c r="P169" s="131"/>
      <c r="Q169" s="131"/>
      <c r="R169" s="131"/>
      <c r="S169" s="131"/>
      <c r="T169" s="131"/>
      <c r="U169" s="131"/>
      <c r="V169" s="131"/>
      <c r="W169" s="131"/>
      <c r="X169" s="131"/>
      <c r="Y169" s="131"/>
      <c r="Z169" s="131"/>
    </row>
    <row r="170">
      <c r="A170" s="290"/>
      <c r="B170" s="290"/>
      <c r="C170" s="290"/>
      <c r="D170" s="290"/>
      <c r="E170" s="290"/>
      <c r="F170" s="290"/>
      <c r="G170" s="290"/>
      <c r="H170" s="290"/>
      <c r="I170" s="290"/>
      <c r="J170" s="290"/>
      <c r="K170" s="131"/>
      <c r="L170" s="131"/>
      <c r="M170" s="131"/>
      <c r="N170" s="131"/>
      <c r="O170" s="131"/>
      <c r="P170" s="131"/>
      <c r="Q170" s="131"/>
      <c r="R170" s="131"/>
      <c r="S170" s="131"/>
      <c r="T170" s="131"/>
      <c r="U170" s="131"/>
      <c r="V170" s="131"/>
      <c r="W170" s="131"/>
      <c r="X170" s="131"/>
      <c r="Y170" s="131"/>
      <c r="Z170" s="131"/>
    </row>
    <row r="171">
      <c r="A171" s="290"/>
      <c r="B171" s="290"/>
      <c r="C171" s="290"/>
      <c r="D171" s="290"/>
      <c r="E171" s="290"/>
      <c r="F171" s="290"/>
      <c r="G171" s="290"/>
      <c r="H171" s="290"/>
      <c r="I171" s="290"/>
      <c r="J171" s="290"/>
      <c r="K171" s="131"/>
      <c r="L171" s="131"/>
      <c r="M171" s="131"/>
      <c r="N171" s="131"/>
      <c r="O171" s="131"/>
      <c r="P171" s="131"/>
      <c r="Q171" s="131"/>
      <c r="R171" s="131"/>
      <c r="S171" s="131"/>
      <c r="T171" s="131"/>
      <c r="U171" s="131"/>
      <c r="V171" s="131"/>
      <c r="W171" s="131"/>
      <c r="X171" s="131"/>
      <c r="Y171" s="131"/>
      <c r="Z171" s="131"/>
    </row>
    <row r="172">
      <c r="A172" s="290"/>
      <c r="B172" s="290"/>
      <c r="C172" s="290"/>
      <c r="D172" s="290"/>
      <c r="E172" s="290"/>
      <c r="F172" s="290"/>
      <c r="G172" s="290"/>
      <c r="H172" s="290"/>
      <c r="I172" s="290"/>
      <c r="J172" s="290"/>
      <c r="K172" s="131"/>
      <c r="L172" s="131"/>
      <c r="M172" s="131"/>
      <c r="N172" s="131"/>
      <c r="O172" s="131"/>
      <c r="P172" s="131"/>
      <c r="Q172" s="131"/>
      <c r="R172" s="131"/>
      <c r="S172" s="131"/>
      <c r="T172" s="131"/>
      <c r="U172" s="131"/>
      <c r="V172" s="131"/>
      <c r="W172" s="131"/>
      <c r="X172" s="131"/>
      <c r="Y172" s="131"/>
      <c r="Z172" s="131"/>
    </row>
    <row r="173">
      <c r="A173" s="290"/>
      <c r="B173" s="290"/>
      <c r="C173" s="290"/>
      <c r="D173" s="290"/>
      <c r="E173" s="290"/>
      <c r="F173" s="290"/>
      <c r="G173" s="290"/>
      <c r="H173" s="290"/>
      <c r="I173" s="290"/>
      <c r="J173" s="290"/>
      <c r="K173" s="131"/>
      <c r="L173" s="131"/>
      <c r="M173" s="131"/>
      <c r="N173" s="131"/>
      <c r="O173" s="131"/>
      <c r="P173" s="131"/>
      <c r="Q173" s="131"/>
      <c r="R173" s="131"/>
      <c r="S173" s="131"/>
      <c r="T173" s="131"/>
      <c r="U173" s="131"/>
      <c r="V173" s="131"/>
      <c r="W173" s="131"/>
      <c r="X173" s="131"/>
      <c r="Y173" s="131"/>
      <c r="Z173" s="131"/>
    </row>
    <row r="174">
      <c r="A174" s="290"/>
      <c r="B174" s="290"/>
      <c r="C174" s="290"/>
      <c r="D174" s="290"/>
      <c r="E174" s="290"/>
      <c r="F174" s="290"/>
      <c r="G174" s="290"/>
      <c r="H174" s="290"/>
      <c r="I174" s="290"/>
      <c r="J174" s="290"/>
      <c r="K174" s="131"/>
      <c r="L174" s="131"/>
      <c r="M174" s="131"/>
      <c r="N174" s="131"/>
      <c r="O174" s="131"/>
      <c r="P174" s="131"/>
      <c r="Q174" s="131"/>
      <c r="R174" s="131"/>
      <c r="S174" s="131"/>
      <c r="T174" s="131"/>
      <c r="U174" s="131"/>
      <c r="V174" s="131"/>
      <c r="W174" s="131"/>
      <c r="X174" s="131"/>
      <c r="Y174" s="131"/>
      <c r="Z174" s="131"/>
    </row>
    <row r="175">
      <c r="A175" s="290"/>
      <c r="B175" s="290"/>
      <c r="C175" s="290"/>
      <c r="D175" s="290"/>
      <c r="E175" s="290"/>
      <c r="F175" s="290"/>
      <c r="G175" s="290"/>
      <c r="H175" s="290"/>
      <c r="I175" s="290"/>
      <c r="J175" s="290"/>
      <c r="K175" s="131"/>
      <c r="L175" s="131"/>
      <c r="M175" s="131"/>
      <c r="N175" s="131"/>
      <c r="O175" s="131"/>
      <c r="P175" s="131"/>
      <c r="Q175" s="131"/>
      <c r="R175" s="131"/>
      <c r="S175" s="131"/>
      <c r="T175" s="131"/>
      <c r="U175" s="131"/>
      <c r="V175" s="131"/>
      <c r="W175" s="131"/>
      <c r="X175" s="131"/>
      <c r="Y175" s="131"/>
      <c r="Z175" s="131"/>
    </row>
    <row r="176">
      <c r="A176" s="290"/>
      <c r="B176" s="290"/>
      <c r="C176" s="290"/>
      <c r="D176" s="290"/>
      <c r="E176" s="290"/>
      <c r="F176" s="290"/>
      <c r="G176" s="290"/>
      <c r="H176" s="290"/>
      <c r="I176" s="290"/>
      <c r="J176" s="290"/>
      <c r="K176" s="131"/>
      <c r="L176" s="131"/>
      <c r="M176" s="131"/>
      <c r="N176" s="131"/>
      <c r="O176" s="131"/>
      <c r="P176" s="131"/>
      <c r="Q176" s="131"/>
      <c r="R176" s="131"/>
      <c r="S176" s="131"/>
      <c r="T176" s="131"/>
      <c r="U176" s="131"/>
      <c r="V176" s="131"/>
      <c r="W176" s="131"/>
      <c r="X176" s="131"/>
      <c r="Y176" s="131"/>
      <c r="Z176" s="131"/>
    </row>
    <row r="177">
      <c r="A177" s="290"/>
      <c r="B177" s="290"/>
      <c r="C177" s="290"/>
      <c r="D177" s="290"/>
      <c r="E177" s="290"/>
      <c r="F177" s="290"/>
      <c r="G177" s="290"/>
      <c r="H177" s="290"/>
      <c r="I177" s="290"/>
      <c r="J177" s="290"/>
      <c r="K177" s="131"/>
      <c r="L177" s="131"/>
      <c r="M177" s="131"/>
      <c r="N177" s="131"/>
      <c r="O177" s="131"/>
      <c r="P177" s="131"/>
      <c r="Q177" s="131"/>
      <c r="R177" s="131"/>
      <c r="S177" s="131"/>
      <c r="T177" s="131"/>
      <c r="U177" s="131"/>
      <c r="V177" s="131"/>
      <c r="W177" s="131"/>
      <c r="X177" s="131"/>
      <c r="Y177" s="131"/>
      <c r="Z177" s="131"/>
    </row>
    <row r="178">
      <c r="A178" s="290"/>
      <c r="B178" s="290"/>
      <c r="C178" s="290"/>
      <c r="D178" s="290"/>
      <c r="E178" s="290"/>
      <c r="F178" s="290"/>
      <c r="G178" s="290"/>
      <c r="H178" s="290"/>
      <c r="I178" s="290"/>
      <c r="J178" s="290"/>
      <c r="K178" s="131"/>
      <c r="L178" s="131"/>
      <c r="M178" s="131"/>
      <c r="N178" s="131"/>
      <c r="O178" s="131"/>
      <c r="P178" s="131"/>
      <c r="Q178" s="131"/>
      <c r="R178" s="131"/>
      <c r="S178" s="131"/>
      <c r="T178" s="131"/>
      <c r="U178" s="131"/>
      <c r="V178" s="131"/>
      <c r="W178" s="131"/>
      <c r="X178" s="131"/>
      <c r="Y178" s="131"/>
      <c r="Z178" s="131"/>
    </row>
    <row r="179">
      <c r="A179" s="290"/>
      <c r="B179" s="290"/>
      <c r="C179" s="290"/>
      <c r="D179" s="290"/>
      <c r="E179" s="290"/>
      <c r="F179" s="290"/>
      <c r="G179" s="290"/>
      <c r="H179" s="290"/>
      <c r="I179" s="290"/>
      <c r="J179" s="290"/>
      <c r="K179" s="131"/>
      <c r="L179" s="131"/>
      <c r="M179" s="131"/>
      <c r="N179" s="131"/>
      <c r="O179" s="131"/>
      <c r="P179" s="131"/>
      <c r="Q179" s="131"/>
      <c r="R179" s="131"/>
      <c r="S179" s="131"/>
      <c r="T179" s="131"/>
      <c r="U179" s="131"/>
      <c r="V179" s="131"/>
      <c r="W179" s="131"/>
      <c r="X179" s="131"/>
      <c r="Y179" s="131"/>
      <c r="Z179" s="131"/>
    </row>
    <row r="180">
      <c r="A180" s="290"/>
      <c r="B180" s="290"/>
      <c r="C180" s="290"/>
      <c r="D180" s="290"/>
      <c r="E180" s="290"/>
      <c r="F180" s="290"/>
      <c r="G180" s="290"/>
      <c r="H180" s="290"/>
      <c r="I180" s="290"/>
      <c r="J180" s="290"/>
      <c r="K180" s="131"/>
      <c r="L180" s="131"/>
      <c r="M180" s="131"/>
      <c r="N180" s="131"/>
      <c r="O180" s="131"/>
      <c r="P180" s="131"/>
      <c r="Q180" s="131"/>
      <c r="R180" s="131"/>
      <c r="S180" s="131"/>
      <c r="T180" s="131"/>
      <c r="U180" s="131"/>
      <c r="V180" s="131"/>
      <c r="W180" s="131"/>
      <c r="X180" s="131"/>
      <c r="Y180" s="131"/>
      <c r="Z180" s="131"/>
    </row>
    <row r="181">
      <c r="A181" s="290"/>
      <c r="B181" s="290"/>
      <c r="C181" s="290"/>
      <c r="D181" s="290"/>
      <c r="E181" s="290"/>
      <c r="F181" s="290"/>
      <c r="G181" s="290"/>
      <c r="H181" s="290"/>
      <c r="I181" s="290"/>
      <c r="J181" s="290"/>
      <c r="K181" s="131"/>
      <c r="L181" s="131"/>
      <c r="M181" s="131"/>
      <c r="N181" s="131"/>
      <c r="O181" s="131"/>
      <c r="P181" s="131"/>
      <c r="Q181" s="131"/>
      <c r="R181" s="131"/>
      <c r="S181" s="131"/>
      <c r="T181" s="131"/>
      <c r="U181" s="131"/>
      <c r="V181" s="131"/>
      <c r="W181" s="131"/>
      <c r="X181" s="131"/>
      <c r="Y181" s="131"/>
      <c r="Z181" s="131"/>
    </row>
    <row r="182">
      <c r="A182" s="290"/>
      <c r="B182" s="290"/>
      <c r="C182" s="290"/>
      <c r="D182" s="290"/>
      <c r="E182" s="290"/>
      <c r="F182" s="290"/>
      <c r="G182" s="290"/>
      <c r="H182" s="290"/>
      <c r="I182" s="290"/>
      <c r="J182" s="290"/>
      <c r="K182" s="131"/>
      <c r="L182" s="131"/>
      <c r="M182" s="131"/>
      <c r="N182" s="131"/>
      <c r="O182" s="131"/>
      <c r="P182" s="131"/>
      <c r="Q182" s="131"/>
      <c r="R182" s="131"/>
      <c r="S182" s="131"/>
      <c r="T182" s="131"/>
      <c r="U182" s="131"/>
      <c r="V182" s="131"/>
      <c r="W182" s="131"/>
      <c r="X182" s="131"/>
      <c r="Y182" s="131"/>
      <c r="Z182" s="131"/>
    </row>
    <row r="183">
      <c r="A183" s="290"/>
      <c r="B183" s="290"/>
      <c r="C183" s="290"/>
      <c r="D183" s="290"/>
      <c r="E183" s="290"/>
      <c r="F183" s="290"/>
      <c r="G183" s="290"/>
      <c r="H183" s="290"/>
      <c r="I183" s="290"/>
      <c r="J183" s="290"/>
      <c r="K183" s="131"/>
      <c r="L183" s="131"/>
      <c r="M183" s="131"/>
      <c r="N183" s="131"/>
      <c r="O183" s="131"/>
      <c r="P183" s="131"/>
      <c r="Q183" s="131"/>
      <c r="R183" s="131"/>
      <c r="S183" s="131"/>
      <c r="T183" s="131"/>
      <c r="U183" s="131"/>
      <c r="V183" s="131"/>
      <c r="W183" s="131"/>
      <c r="X183" s="131"/>
      <c r="Y183" s="131"/>
      <c r="Z183" s="131"/>
    </row>
    <row r="184">
      <c r="A184" s="290"/>
      <c r="B184" s="290"/>
      <c r="C184" s="290"/>
      <c r="D184" s="290"/>
      <c r="E184" s="290"/>
      <c r="F184" s="290"/>
      <c r="G184" s="290"/>
      <c r="H184" s="290"/>
      <c r="I184" s="290"/>
      <c r="J184" s="290"/>
      <c r="K184" s="131"/>
      <c r="L184" s="131"/>
      <c r="M184" s="131"/>
      <c r="N184" s="131"/>
      <c r="O184" s="131"/>
      <c r="P184" s="131"/>
      <c r="Q184" s="131"/>
      <c r="R184" s="131"/>
      <c r="S184" s="131"/>
      <c r="T184" s="131"/>
      <c r="U184" s="131"/>
      <c r="V184" s="131"/>
      <c r="W184" s="131"/>
      <c r="X184" s="131"/>
      <c r="Y184" s="131"/>
      <c r="Z184" s="131"/>
    </row>
    <row r="185">
      <c r="A185" s="290"/>
      <c r="B185" s="290"/>
      <c r="C185" s="290"/>
      <c r="D185" s="290"/>
      <c r="E185" s="290"/>
      <c r="F185" s="290"/>
      <c r="G185" s="290"/>
      <c r="H185" s="290"/>
      <c r="I185" s="290"/>
      <c r="J185" s="290"/>
      <c r="K185" s="131"/>
      <c r="L185" s="131"/>
      <c r="M185" s="131"/>
      <c r="N185" s="131"/>
      <c r="O185" s="131"/>
      <c r="P185" s="131"/>
      <c r="Q185" s="131"/>
      <c r="R185" s="131"/>
      <c r="S185" s="131"/>
      <c r="T185" s="131"/>
      <c r="U185" s="131"/>
      <c r="V185" s="131"/>
      <c r="W185" s="131"/>
      <c r="X185" s="131"/>
      <c r="Y185" s="131"/>
      <c r="Z185" s="131"/>
    </row>
    <row r="186">
      <c r="A186" s="290"/>
      <c r="B186" s="290"/>
      <c r="C186" s="290"/>
      <c r="D186" s="290"/>
      <c r="E186" s="290"/>
      <c r="F186" s="290"/>
      <c r="G186" s="290"/>
      <c r="H186" s="290"/>
      <c r="I186" s="290"/>
      <c r="J186" s="290"/>
      <c r="K186" s="131"/>
      <c r="L186" s="131"/>
      <c r="M186" s="131"/>
      <c r="N186" s="131"/>
      <c r="O186" s="131"/>
      <c r="P186" s="131"/>
      <c r="Q186" s="131"/>
      <c r="R186" s="131"/>
      <c r="S186" s="131"/>
      <c r="T186" s="131"/>
      <c r="U186" s="131"/>
      <c r="V186" s="131"/>
      <c r="W186" s="131"/>
      <c r="X186" s="131"/>
      <c r="Y186" s="131"/>
      <c r="Z186" s="131"/>
    </row>
    <row r="187">
      <c r="A187" s="290"/>
      <c r="B187" s="290"/>
      <c r="C187" s="290"/>
      <c r="D187" s="290"/>
      <c r="E187" s="290"/>
      <c r="F187" s="290"/>
      <c r="G187" s="290"/>
      <c r="H187" s="290"/>
      <c r="I187" s="290"/>
      <c r="J187" s="290"/>
      <c r="K187" s="131"/>
      <c r="L187" s="131"/>
      <c r="M187" s="131"/>
      <c r="N187" s="131"/>
      <c r="O187" s="131"/>
      <c r="P187" s="131"/>
      <c r="Q187" s="131"/>
      <c r="R187" s="131"/>
      <c r="S187" s="131"/>
      <c r="T187" s="131"/>
      <c r="U187" s="131"/>
      <c r="V187" s="131"/>
      <c r="W187" s="131"/>
      <c r="X187" s="131"/>
      <c r="Y187" s="131"/>
      <c r="Z187" s="131"/>
    </row>
    <row r="188">
      <c r="A188" s="290"/>
      <c r="B188" s="290"/>
      <c r="C188" s="290"/>
      <c r="D188" s="290"/>
      <c r="E188" s="290"/>
      <c r="F188" s="290"/>
      <c r="G188" s="290"/>
      <c r="H188" s="290"/>
      <c r="I188" s="290"/>
      <c r="J188" s="290"/>
      <c r="K188" s="131"/>
      <c r="L188" s="131"/>
      <c r="M188" s="131"/>
      <c r="N188" s="131"/>
      <c r="O188" s="131"/>
      <c r="P188" s="131"/>
      <c r="Q188" s="131"/>
      <c r="R188" s="131"/>
      <c r="S188" s="131"/>
      <c r="T188" s="131"/>
      <c r="U188" s="131"/>
      <c r="V188" s="131"/>
      <c r="W188" s="131"/>
      <c r="X188" s="131"/>
      <c r="Y188" s="131"/>
      <c r="Z188" s="131"/>
    </row>
    <row r="189">
      <c r="A189" s="290"/>
      <c r="B189" s="290"/>
      <c r="C189" s="290"/>
      <c r="D189" s="290"/>
      <c r="E189" s="290"/>
      <c r="F189" s="290"/>
      <c r="G189" s="290"/>
      <c r="H189" s="290"/>
      <c r="I189" s="290"/>
      <c r="J189" s="290"/>
      <c r="K189" s="131"/>
      <c r="L189" s="131"/>
      <c r="M189" s="131"/>
      <c r="N189" s="131"/>
      <c r="O189" s="131"/>
      <c r="P189" s="131"/>
      <c r="Q189" s="131"/>
      <c r="R189" s="131"/>
      <c r="S189" s="131"/>
      <c r="T189" s="131"/>
      <c r="U189" s="131"/>
      <c r="V189" s="131"/>
      <c r="W189" s="131"/>
      <c r="X189" s="131"/>
      <c r="Y189" s="131"/>
      <c r="Z189" s="131"/>
    </row>
    <row r="190">
      <c r="A190" s="290"/>
      <c r="B190" s="290"/>
      <c r="C190" s="290"/>
      <c r="D190" s="290"/>
      <c r="E190" s="290"/>
      <c r="F190" s="290"/>
      <c r="G190" s="290"/>
      <c r="H190" s="290"/>
      <c r="I190" s="290"/>
      <c r="J190" s="290"/>
      <c r="K190" s="131"/>
      <c r="L190" s="131"/>
      <c r="M190" s="131"/>
      <c r="N190" s="131"/>
      <c r="O190" s="131"/>
      <c r="P190" s="131"/>
      <c r="Q190" s="131"/>
      <c r="R190" s="131"/>
      <c r="S190" s="131"/>
      <c r="T190" s="131"/>
      <c r="U190" s="131"/>
      <c r="V190" s="131"/>
      <c r="W190" s="131"/>
      <c r="X190" s="131"/>
      <c r="Y190" s="131"/>
      <c r="Z190" s="131"/>
    </row>
    <row r="191">
      <c r="A191" s="290"/>
      <c r="B191" s="290"/>
      <c r="C191" s="290"/>
      <c r="D191" s="290"/>
      <c r="E191" s="290"/>
      <c r="F191" s="290"/>
      <c r="G191" s="290"/>
      <c r="H191" s="290"/>
      <c r="I191" s="290"/>
      <c r="J191" s="290"/>
      <c r="K191" s="131"/>
      <c r="L191" s="131"/>
      <c r="M191" s="131"/>
      <c r="N191" s="131"/>
      <c r="O191" s="131"/>
      <c r="P191" s="131"/>
      <c r="Q191" s="131"/>
      <c r="R191" s="131"/>
      <c r="S191" s="131"/>
      <c r="T191" s="131"/>
      <c r="U191" s="131"/>
      <c r="V191" s="131"/>
      <c r="W191" s="131"/>
      <c r="X191" s="131"/>
      <c r="Y191" s="131"/>
      <c r="Z191" s="131"/>
    </row>
    <row r="192">
      <c r="A192" s="290"/>
      <c r="B192" s="290"/>
      <c r="C192" s="290"/>
      <c r="D192" s="290"/>
      <c r="E192" s="290"/>
      <c r="F192" s="290"/>
      <c r="G192" s="290"/>
      <c r="H192" s="290"/>
      <c r="I192" s="290"/>
      <c r="J192" s="290"/>
      <c r="K192" s="131"/>
      <c r="L192" s="131"/>
      <c r="M192" s="131"/>
      <c r="N192" s="131"/>
      <c r="O192" s="131"/>
      <c r="P192" s="131"/>
      <c r="Q192" s="131"/>
      <c r="R192" s="131"/>
      <c r="S192" s="131"/>
      <c r="T192" s="131"/>
      <c r="U192" s="131"/>
      <c r="V192" s="131"/>
      <c r="W192" s="131"/>
      <c r="X192" s="131"/>
      <c r="Y192" s="131"/>
      <c r="Z192" s="131"/>
    </row>
    <row r="193">
      <c r="A193" s="290"/>
      <c r="B193" s="290"/>
      <c r="C193" s="290"/>
      <c r="D193" s="290"/>
      <c r="E193" s="290"/>
      <c r="F193" s="290"/>
      <c r="G193" s="290"/>
      <c r="H193" s="290"/>
      <c r="I193" s="290"/>
      <c r="J193" s="290"/>
      <c r="K193" s="131"/>
      <c r="L193" s="131"/>
      <c r="M193" s="131"/>
      <c r="N193" s="131"/>
      <c r="O193" s="131"/>
      <c r="P193" s="131"/>
      <c r="Q193" s="131"/>
      <c r="R193" s="131"/>
      <c r="S193" s="131"/>
      <c r="T193" s="131"/>
      <c r="U193" s="131"/>
      <c r="V193" s="131"/>
      <c r="W193" s="131"/>
      <c r="X193" s="131"/>
      <c r="Y193" s="131"/>
      <c r="Z193" s="131"/>
    </row>
    <row r="194">
      <c r="A194" s="290"/>
      <c r="B194" s="290"/>
      <c r="C194" s="290"/>
      <c r="D194" s="290"/>
      <c r="E194" s="290"/>
      <c r="F194" s="290"/>
      <c r="G194" s="290"/>
      <c r="H194" s="290"/>
      <c r="I194" s="290"/>
      <c r="J194" s="290"/>
      <c r="K194" s="131"/>
      <c r="L194" s="131"/>
      <c r="M194" s="131"/>
      <c r="N194" s="131"/>
      <c r="O194" s="131"/>
      <c r="P194" s="131"/>
      <c r="Q194" s="131"/>
      <c r="R194" s="131"/>
      <c r="S194" s="131"/>
      <c r="T194" s="131"/>
      <c r="U194" s="131"/>
      <c r="V194" s="131"/>
      <c r="W194" s="131"/>
      <c r="X194" s="131"/>
      <c r="Y194" s="131"/>
      <c r="Z194" s="131"/>
    </row>
    <row r="195">
      <c r="A195" s="290"/>
      <c r="B195" s="290"/>
      <c r="C195" s="290"/>
      <c r="D195" s="290"/>
      <c r="E195" s="290"/>
      <c r="F195" s="290"/>
      <c r="G195" s="290"/>
      <c r="H195" s="290"/>
      <c r="I195" s="290"/>
      <c r="J195" s="290"/>
      <c r="K195" s="131"/>
      <c r="L195" s="131"/>
      <c r="M195" s="131"/>
      <c r="N195" s="131"/>
      <c r="O195" s="131"/>
      <c r="P195" s="131"/>
      <c r="Q195" s="131"/>
      <c r="R195" s="131"/>
      <c r="S195" s="131"/>
      <c r="T195" s="131"/>
      <c r="U195" s="131"/>
      <c r="V195" s="131"/>
      <c r="W195" s="131"/>
      <c r="X195" s="131"/>
      <c r="Y195" s="131"/>
      <c r="Z195" s="131"/>
    </row>
    <row r="196">
      <c r="A196" s="290"/>
      <c r="B196" s="290"/>
      <c r="C196" s="290"/>
      <c r="D196" s="290"/>
      <c r="E196" s="290"/>
      <c r="F196" s="290"/>
      <c r="G196" s="290"/>
      <c r="H196" s="290"/>
      <c r="I196" s="290"/>
      <c r="J196" s="290"/>
      <c r="K196" s="131"/>
      <c r="L196" s="131"/>
      <c r="M196" s="131"/>
      <c r="N196" s="131"/>
      <c r="O196" s="131"/>
      <c r="P196" s="131"/>
      <c r="Q196" s="131"/>
      <c r="R196" s="131"/>
      <c r="S196" s="131"/>
      <c r="T196" s="131"/>
      <c r="U196" s="131"/>
      <c r="V196" s="131"/>
      <c r="W196" s="131"/>
      <c r="X196" s="131"/>
      <c r="Y196" s="131"/>
      <c r="Z196" s="131"/>
    </row>
    <row r="197">
      <c r="A197" s="290"/>
      <c r="B197" s="290"/>
      <c r="C197" s="290"/>
      <c r="D197" s="290"/>
      <c r="E197" s="290"/>
      <c r="F197" s="290"/>
      <c r="G197" s="290"/>
      <c r="H197" s="290"/>
      <c r="I197" s="290"/>
      <c r="J197" s="290"/>
      <c r="K197" s="131"/>
      <c r="L197" s="131"/>
      <c r="M197" s="131"/>
      <c r="N197" s="131"/>
      <c r="O197" s="131"/>
      <c r="P197" s="131"/>
      <c r="Q197" s="131"/>
      <c r="R197" s="131"/>
      <c r="S197" s="131"/>
      <c r="T197" s="131"/>
      <c r="U197" s="131"/>
      <c r="V197" s="131"/>
      <c r="W197" s="131"/>
      <c r="X197" s="131"/>
      <c r="Y197" s="131"/>
      <c r="Z197" s="131"/>
    </row>
    <row r="198">
      <c r="A198" s="290"/>
      <c r="B198" s="290"/>
      <c r="C198" s="290"/>
      <c r="D198" s="290"/>
      <c r="E198" s="290"/>
      <c r="F198" s="290"/>
      <c r="G198" s="290"/>
      <c r="H198" s="290"/>
      <c r="I198" s="290"/>
      <c r="J198" s="290"/>
      <c r="K198" s="131"/>
      <c r="L198" s="131"/>
      <c r="M198" s="131"/>
      <c r="N198" s="131"/>
      <c r="O198" s="131"/>
      <c r="P198" s="131"/>
      <c r="Q198" s="131"/>
      <c r="R198" s="131"/>
      <c r="S198" s="131"/>
      <c r="T198" s="131"/>
      <c r="U198" s="131"/>
      <c r="V198" s="131"/>
      <c r="W198" s="131"/>
      <c r="X198" s="131"/>
      <c r="Y198" s="131"/>
      <c r="Z198" s="131"/>
    </row>
    <row r="199">
      <c r="A199" s="290"/>
      <c r="B199" s="290"/>
      <c r="C199" s="290"/>
      <c r="D199" s="290"/>
      <c r="E199" s="290"/>
      <c r="F199" s="290"/>
      <c r="G199" s="290"/>
      <c r="H199" s="290"/>
      <c r="I199" s="290"/>
      <c r="J199" s="290"/>
      <c r="K199" s="131"/>
      <c r="L199" s="131"/>
      <c r="M199" s="131"/>
      <c r="N199" s="131"/>
      <c r="O199" s="131"/>
      <c r="P199" s="131"/>
      <c r="Q199" s="131"/>
      <c r="R199" s="131"/>
      <c r="S199" s="131"/>
      <c r="T199" s="131"/>
      <c r="U199" s="131"/>
      <c r="V199" s="131"/>
      <c r="W199" s="131"/>
      <c r="X199" s="131"/>
      <c r="Y199" s="131"/>
      <c r="Z199" s="131"/>
    </row>
    <row r="200">
      <c r="A200" s="290"/>
      <c r="B200" s="290"/>
      <c r="C200" s="290"/>
      <c r="D200" s="290"/>
      <c r="E200" s="290"/>
      <c r="F200" s="290"/>
      <c r="G200" s="290"/>
      <c r="H200" s="290"/>
      <c r="I200" s="290"/>
      <c r="J200" s="290"/>
      <c r="K200" s="131"/>
      <c r="L200" s="131"/>
      <c r="M200" s="131"/>
      <c r="N200" s="131"/>
      <c r="O200" s="131"/>
      <c r="P200" s="131"/>
      <c r="Q200" s="131"/>
      <c r="R200" s="131"/>
      <c r="S200" s="131"/>
      <c r="T200" s="131"/>
      <c r="U200" s="131"/>
      <c r="V200" s="131"/>
      <c r="W200" s="131"/>
      <c r="X200" s="131"/>
      <c r="Y200" s="131"/>
      <c r="Z200" s="131"/>
    </row>
    <row r="201">
      <c r="A201" s="290"/>
      <c r="B201" s="290"/>
      <c r="C201" s="290"/>
      <c r="D201" s="290"/>
      <c r="E201" s="290"/>
      <c r="F201" s="290"/>
      <c r="G201" s="290"/>
      <c r="H201" s="290"/>
      <c r="I201" s="290"/>
      <c r="J201" s="290"/>
      <c r="K201" s="131"/>
      <c r="L201" s="131"/>
      <c r="M201" s="131"/>
      <c r="N201" s="131"/>
      <c r="O201" s="131"/>
      <c r="P201" s="131"/>
      <c r="Q201" s="131"/>
      <c r="R201" s="131"/>
      <c r="S201" s="131"/>
      <c r="T201" s="131"/>
      <c r="U201" s="131"/>
      <c r="V201" s="131"/>
      <c r="W201" s="131"/>
      <c r="X201" s="131"/>
      <c r="Y201" s="131"/>
      <c r="Z201" s="131"/>
    </row>
    <row r="202">
      <c r="A202" s="290"/>
      <c r="B202" s="290"/>
      <c r="C202" s="290"/>
      <c r="D202" s="290"/>
      <c r="E202" s="290"/>
      <c r="F202" s="290"/>
      <c r="G202" s="290"/>
      <c r="H202" s="290"/>
      <c r="I202" s="290"/>
      <c r="J202" s="290"/>
      <c r="K202" s="131"/>
      <c r="L202" s="131"/>
      <c r="M202" s="131"/>
      <c r="N202" s="131"/>
      <c r="O202" s="131"/>
      <c r="P202" s="131"/>
      <c r="Q202" s="131"/>
      <c r="R202" s="131"/>
      <c r="S202" s="131"/>
      <c r="T202" s="131"/>
      <c r="U202" s="131"/>
      <c r="V202" s="131"/>
      <c r="W202" s="131"/>
      <c r="X202" s="131"/>
      <c r="Y202" s="131"/>
      <c r="Z202" s="131"/>
    </row>
    <row r="203">
      <c r="A203" s="290"/>
      <c r="B203" s="290"/>
      <c r="C203" s="290"/>
      <c r="D203" s="290"/>
      <c r="E203" s="290"/>
      <c r="F203" s="290"/>
      <c r="G203" s="290"/>
      <c r="H203" s="290"/>
      <c r="I203" s="290"/>
      <c r="J203" s="290"/>
      <c r="K203" s="131"/>
      <c r="L203" s="131"/>
      <c r="M203" s="131"/>
      <c r="N203" s="131"/>
      <c r="O203" s="131"/>
      <c r="P203" s="131"/>
      <c r="Q203" s="131"/>
      <c r="R203" s="131"/>
      <c r="S203" s="131"/>
      <c r="T203" s="131"/>
      <c r="U203" s="131"/>
      <c r="V203" s="131"/>
      <c r="W203" s="131"/>
      <c r="X203" s="131"/>
      <c r="Y203" s="131"/>
      <c r="Z203" s="131"/>
    </row>
    <row r="204">
      <c r="A204" s="290"/>
      <c r="B204" s="290"/>
      <c r="C204" s="290"/>
      <c r="D204" s="290"/>
      <c r="E204" s="290"/>
      <c r="F204" s="290"/>
      <c r="G204" s="290"/>
      <c r="H204" s="290"/>
      <c r="I204" s="290"/>
      <c r="J204" s="290"/>
      <c r="K204" s="131"/>
      <c r="L204" s="131"/>
      <c r="M204" s="131"/>
      <c r="N204" s="131"/>
      <c r="O204" s="131"/>
      <c r="P204" s="131"/>
      <c r="Q204" s="131"/>
      <c r="R204" s="131"/>
      <c r="S204" s="131"/>
      <c r="T204" s="131"/>
      <c r="U204" s="131"/>
      <c r="V204" s="131"/>
      <c r="W204" s="131"/>
      <c r="X204" s="131"/>
      <c r="Y204" s="131"/>
      <c r="Z204" s="131"/>
    </row>
    <row r="205">
      <c r="A205" s="290"/>
      <c r="B205" s="290"/>
      <c r="C205" s="290"/>
      <c r="D205" s="290"/>
      <c r="E205" s="290"/>
      <c r="F205" s="290"/>
      <c r="G205" s="290"/>
      <c r="H205" s="290"/>
      <c r="I205" s="290"/>
      <c r="J205" s="290"/>
      <c r="K205" s="131"/>
      <c r="L205" s="131"/>
      <c r="M205" s="131"/>
      <c r="N205" s="131"/>
      <c r="O205" s="131"/>
      <c r="P205" s="131"/>
      <c r="Q205" s="131"/>
      <c r="R205" s="131"/>
      <c r="S205" s="131"/>
      <c r="T205" s="131"/>
      <c r="U205" s="131"/>
      <c r="V205" s="131"/>
      <c r="W205" s="131"/>
      <c r="X205" s="131"/>
      <c r="Y205" s="131"/>
      <c r="Z205" s="131"/>
    </row>
    <row r="206">
      <c r="A206" s="290"/>
      <c r="B206" s="290"/>
      <c r="C206" s="290"/>
      <c r="D206" s="290"/>
      <c r="E206" s="290"/>
      <c r="F206" s="290"/>
      <c r="G206" s="290"/>
      <c r="H206" s="290"/>
      <c r="I206" s="290"/>
      <c r="J206" s="290"/>
      <c r="K206" s="131"/>
      <c r="L206" s="131"/>
      <c r="M206" s="131"/>
      <c r="N206" s="131"/>
      <c r="O206" s="131"/>
      <c r="P206" s="131"/>
      <c r="Q206" s="131"/>
      <c r="R206" s="131"/>
      <c r="S206" s="131"/>
      <c r="T206" s="131"/>
      <c r="U206" s="131"/>
      <c r="V206" s="131"/>
      <c r="W206" s="131"/>
      <c r="X206" s="131"/>
      <c r="Y206" s="131"/>
      <c r="Z206" s="131"/>
    </row>
    <row r="207">
      <c r="A207" s="290"/>
      <c r="B207" s="290"/>
      <c r="C207" s="290"/>
      <c r="D207" s="290"/>
      <c r="E207" s="290"/>
      <c r="F207" s="290"/>
      <c r="G207" s="290"/>
      <c r="H207" s="290"/>
      <c r="I207" s="290"/>
      <c r="J207" s="290"/>
      <c r="K207" s="131"/>
      <c r="L207" s="131"/>
      <c r="M207" s="131"/>
      <c r="N207" s="131"/>
      <c r="O207" s="131"/>
      <c r="P207" s="131"/>
      <c r="Q207" s="131"/>
      <c r="R207" s="131"/>
      <c r="S207" s="131"/>
      <c r="T207" s="131"/>
      <c r="U207" s="131"/>
      <c r="V207" s="131"/>
      <c r="W207" s="131"/>
      <c r="X207" s="131"/>
      <c r="Y207" s="131"/>
      <c r="Z207" s="131"/>
    </row>
    <row r="208">
      <c r="A208" s="290"/>
      <c r="B208" s="290"/>
      <c r="C208" s="290"/>
      <c r="D208" s="290"/>
      <c r="E208" s="290"/>
      <c r="F208" s="290"/>
      <c r="G208" s="290"/>
      <c r="H208" s="290"/>
      <c r="I208" s="290"/>
      <c r="J208" s="290"/>
      <c r="K208" s="131"/>
      <c r="L208" s="131"/>
      <c r="M208" s="131"/>
      <c r="N208" s="131"/>
      <c r="O208" s="131"/>
      <c r="P208" s="131"/>
      <c r="Q208" s="131"/>
      <c r="R208" s="131"/>
      <c r="S208" s="131"/>
      <c r="T208" s="131"/>
      <c r="U208" s="131"/>
      <c r="V208" s="131"/>
      <c r="W208" s="131"/>
      <c r="X208" s="131"/>
      <c r="Y208" s="131"/>
      <c r="Z208" s="131"/>
    </row>
    <row r="209">
      <c r="A209" s="290"/>
      <c r="B209" s="290"/>
      <c r="C209" s="290"/>
      <c r="D209" s="290"/>
      <c r="E209" s="290"/>
      <c r="F209" s="290"/>
      <c r="G209" s="290"/>
      <c r="H209" s="290"/>
      <c r="I209" s="290"/>
      <c r="J209" s="290"/>
      <c r="K209" s="131"/>
      <c r="L209" s="131"/>
      <c r="M209" s="131"/>
      <c r="N209" s="131"/>
      <c r="O209" s="131"/>
      <c r="P209" s="131"/>
      <c r="Q209" s="131"/>
      <c r="R209" s="131"/>
      <c r="S209" s="131"/>
      <c r="T209" s="131"/>
      <c r="U209" s="131"/>
      <c r="V209" s="131"/>
      <c r="W209" s="131"/>
      <c r="X209" s="131"/>
      <c r="Y209" s="131"/>
      <c r="Z209" s="131"/>
    </row>
    <row r="210">
      <c r="A210" s="290"/>
      <c r="B210" s="290"/>
      <c r="C210" s="290"/>
      <c r="D210" s="290"/>
      <c r="E210" s="290"/>
      <c r="F210" s="290"/>
      <c r="G210" s="290"/>
      <c r="H210" s="290"/>
      <c r="I210" s="290"/>
      <c r="J210" s="290"/>
      <c r="K210" s="131"/>
      <c r="L210" s="131"/>
      <c r="M210" s="131"/>
      <c r="N210" s="131"/>
      <c r="O210" s="131"/>
      <c r="P210" s="131"/>
      <c r="Q210" s="131"/>
      <c r="R210" s="131"/>
      <c r="S210" s="131"/>
      <c r="T210" s="131"/>
      <c r="U210" s="131"/>
      <c r="V210" s="131"/>
      <c r="W210" s="131"/>
      <c r="X210" s="131"/>
      <c r="Y210" s="131"/>
      <c r="Z210" s="131"/>
    </row>
    <row r="211">
      <c r="A211" s="290"/>
      <c r="B211" s="290"/>
      <c r="C211" s="290"/>
      <c r="D211" s="290"/>
      <c r="E211" s="290"/>
      <c r="F211" s="290"/>
      <c r="G211" s="290"/>
      <c r="H211" s="290"/>
      <c r="I211" s="290"/>
      <c r="J211" s="290"/>
      <c r="K211" s="131"/>
      <c r="L211" s="131"/>
      <c r="M211" s="131"/>
      <c r="N211" s="131"/>
      <c r="O211" s="131"/>
      <c r="P211" s="131"/>
      <c r="Q211" s="131"/>
      <c r="R211" s="131"/>
      <c r="S211" s="131"/>
      <c r="T211" s="131"/>
      <c r="U211" s="131"/>
      <c r="V211" s="131"/>
      <c r="W211" s="131"/>
      <c r="X211" s="131"/>
      <c r="Y211" s="131"/>
      <c r="Z211" s="131"/>
    </row>
    <row r="212">
      <c r="A212" s="290"/>
      <c r="B212" s="290"/>
      <c r="C212" s="290"/>
      <c r="D212" s="290"/>
      <c r="E212" s="290"/>
      <c r="F212" s="290"/>
      <c r="G212" s="290"/>
      <c r="H212" s="290"/>
      <c r="I212" s="290"/>
      <c r="J212" s="290"/>
      <c r="K212" s="131"/>
      <c r="L212" s="131"/>
      <c r="M212" s="131"/>
      <c r="N212" s="131"/>
      <c r="O212" s="131"/>
      <c r="P212" s="131"/>
      <c r="Q212" s="131"/>
      <c r="R212" s="131"/>
      <c r="S212" s="131"/>
      <c r="T212" s="131"/>
      <c r="U212" s="131"/>
      <c r="V212" s="131"/>
      <c r="W212" s="131"/>
      <c r="X212" s="131"/>
      <c r="Y212" s="131"/>
      <c r="Z212" s="131"/>
    </row>
    <row r="213">
      <c r="A213" s="290"/>
      <c r="B213" s="290"/>
      <c r="C213" s="290"/>
      <c r="D213" s="290"/>
      <c r="E213" s="290"/>
      <c r="F213" s="290"/>
      <c r="G213" s="290"/>
      <c r="H213" s="290"/>
      <c r="I213" s="290"/>
      <c r="J213" s="290"/>
      <c r="K213" s="131"/>
      <c r="L213" s="131"/>
      <c r="M213" s="131"/>
      <c r="N213" s="131"/>
      <c r="O213" s="131"/>
      <c r="P213" s="131"/>
      <c r="Q213" s="131"/>
      <c r="R213" s="131"/>
      <c r="S213" s="131"/>
      <c r="T213" s="131"/>
      <c r="U213" s="131"/>
      <c r="V213" s="131"/>
      <c r="W213" s="131"/>
      <c r="X213" s="131"/>
      <c r="Y213" s="131"/>
      <c r="Z213" s="131"/>
    </row>
    <row r="214">
      <c r="A214" s="290"/>
      <c r="B214" s="290"/>
      <c r="C214" s="290"/>
      <c r="D214" s="290"/>
      <c r="E214" s="290"/>
      <c r="F214" s="290"/>
      <c r="G214" s="290"/>
      <c r="H214" s="290"/>
      <c r="I214" s="290"/>
      <c r="J214" s="290"/>
      <c r="K214" s="131"/>
      <c r="L214" s="131"/>
      <c r="M214" s="131"/>
      <c r="N214" s="131"/>
      <c r="O214" s="131"/>
      <c r="P214" s="131"/>
      <c r="Q214" s="131"/>
      <c r="R214" s="131"/>
      <c r="S214" s="131"/>
      <c r="T214" s="131"/>
      <c r="U214" s="131"/>
      <c r="V214" s="131"/>
      <c r="W214" s="131"/>
      <c r="X214" s="131"/>
      <c r="Y214" s="131"/>
      <c r="Z214" s="131"/>
    </row>
    <row r="215">
      <c r="A215" s="290"/>
      <c r="B215" s="290"/>
      <c r="C215" s="290"/>
      <c r="D215" s="290"/>
      <c r="E215" s="290"/>
      <c r="F215" s="290"/>
      <c r="G215" s="290"/>
      <c r="H215" s="290"/>
      <c r="I215" s="290"/>
      <c r="J215" s="290"/>
      <c r="K215" s="131"/>
      <c r="L215" s="131"/>
      <c r="M215" s="131"/>
      <c r="N215" s="131"/>
      <c r="O215" s="131"/>
      <c r="P215" s="131"/>
      <c r="Q215" s="131"/>
      <c r="R215" s="131"/>
      <c r="S215" s="131"/>
      <c r="T215" s="131"/>
      <c r="U215" s="131"/>
      <c r="V215" s="131"/>
      <c r="W215" s="131"/>
      <c r="X215" s="131"/>
      <c r="Y215" s="131"/>
      <c r="Z215" s="131"/>
    </row>
    <row r="216">
      <c r="A216" s="290"/>
      <c r="B216" s="290"/>
      <c r="C216" s="290"/>
      <c r="D216" s="290"/>
      <c r="E216" s="290"/>
      <c r="F216" s="290"/>
      <c r="G216" s="290"/>
      <c r="H216" s="290"/>
      <c r="I216" s="290"/>
      <c r="J216" s="290"/>
      <c r="K216" s="131"/>
      <c r="L216" s="131"/>
      <c r="M216" s="131"/>
      <c r="N216" s="131"/>
      <c r="O216" s="131"/>
      <c r="P216" s="131"/>
      <c r="Q216" s="131"/>
      <c r="R216" s="131"/>
      <c r="S216" s="131"/>
      <c r="T216" s="131"/>
      <c r="U216" s="131"/>
      <c r="V216" s="131"/>
      <c r="W216" s="131"/>
      <c r="X216" s="131"/>
      <c r="Y216" s="131"/>
      <c r="Z216" s="131"/>
    </row>
    <row r="217">
      <c r="A217" s="290"/>
      <c r="B217" s="290"/>
      <c r="C217" s="290"/>
      <c r="D217" s="290"/>
      <c r="E217" s="290"/>
      <c r="F217" s="290"/>
      <c r="G217" s="290"/>
      <c r="H217" s="290"/>
      <c r="I217" s="290"/>
      <c r="J217" s="290"/>
      <c r="K217" s="131"/>
      <c r="L217" s="131"/>
      <c r="M217" s="131"/>
      <c r="N217" s="131"/>
      <c r="O217" s="131"/>
      <c r="P217" s="131"/>
      <c r="Q217" s="131"/>
      <c r="R217" s="131"/>
      <c r="S217" s="131"/>
      <c r="T217" s="131"/>
      <c r="U217" s="131"/>
      <c r="V217" s="131"/>
      <c r="W217" s="131"/>
      <c r="X217" s="131"/>
      <c r="Y217" s="131"/>
      <c r="Z217" s="131"/>
    </row>
    <row r="218">
      <c r="A218" s="290"/>
      <c r="B218" s="290"/>
      <c r="C218" s="290"/>
      <c r="D218" s="290"/>
      <c r="E218" s="290"/>
      <c r="F218" s="290"/>
      <c r="G218" s="290"/>
      <c r="H218" s="290"/>
      <c r="I218" s="290"/>
      <c r="J218" s="290"/>
      <c r="K218" s="131"/>
      <c r="L218" s="131"/>
      <c r="M218" s="131"/>
      <c r="N218" s="131"/>
      <c r="O218" s="131"/>
      <c r="P218" s="131"/>
      <c r="Q218" s="131"/>
      <c r="R218" s="131"/>
      <c r="S218" s="131"/>
      <c r="T218" s="131"/>
      <c r="U218" s="131"/>
      <c r="V218" s="131"/>
      <c r="W218" s="131"/>
      <c r="X218" s="131"/>
      <c r="Y218" s="131"/>
      <c r="Z218" s="131"/>
    </row>
    <row r="219">
      <c r="A219" s="290"/>
      <c r="B219" s="290"/>
      <c r="C219" s="290"/>
      <c r="D219" s="290"/>
      <c r="E219" s="290"/>
      <c r="F219" s="290"/>
      <c r="G219" s="290"/>
      <c r="H219" s="290"/>
      <c r="I219" s="290"/>
      <c r="J219" s="290"/>
      <c r="K219" s="131"/>
      <c r="L219" s="131"/>
      <c r="M219" s="131"/>
      <c r="N219" s="131"/>
      <c r="O219" s="131"/>
      <c r="P219" s="131"/>
      <c r="Q219" s="131"/>
      <c r="R219" s="131"/>
      <c r="S219" s="131"/>
      <c r="T219" s="131"/>
      <c r="U219" s="131"/>
      <c r="V219" s="131"/>
      <c r="W219" s="131"/>
      <c r="X219" s="131"/>
      <c r="Y219" s="131"/>
      <c r="Z219" s="131"/>
    </row>
    <row r="220">
      <c r="A220" s="290"/>
      <c r="B220" s="290"/>
      <c r="C220" s="290"/>
      <c r="D220" s="290"/>
      <c r="E220" s="290"/>
      <c r="F220" s="290"/>
      <c r="G220" s="290"/>
      <c r="H220" s="290"/>
      <c r="I220" s="290"/>
      <c r="J220" s="290"/>
      <c r="K220" s="131"/>
      <c r="L220" s="131"/>
      <c r="M220" s="131"/>
      <c r="N220" s="131"/>
      <c r="O220" s="131"/>
      <c r="P220" s="131"/>
      <c r="Q220" s="131"/>
      <c r="R220" s="131"/>
      <c r="S220" s="131"/>
      <c r="T220" s="131"/>
      <c r="U220" s="131"/>
      <c r="V220" s="131"/>
      <c r="W220" s="131"/>
      <c r="X220" s="131"/>
      <c r="Y220" s="131"/>
      <c r="Z220" s="131"/>
    </row>
    <row r="221">
      <c r="A221" s="290"/>
      <c r="B221" s="290"/>
      <c r="C221" s="290"/>
      <c r="D221" s="290"/>
      <c r="E221" s="290"/>
      <c r="F221" s="290"/>
      <c r="G221" s="290"/>
      <c r="H221" s="290"/>
      <c r="I221" s="290"/>
      <c r="J221" s="290"/>
      <c r="K221" s="131"/>
      <c r="L221" s="131"/>
      <c r="M221" s="131"/>
      <c r="N221" s="131"/>
      <c r="O221" s="131"/>
      <c r="P221" s="131"/>
      <c r="Q221" s="131"/>
      <c r="R221" s="131"/>
      <c r="S221" s="131"/>
      <c r="T221" s="131"/>
      <c r="U221" s="131"/>
      <c r="V221" s="131"/>
      <c r="W221" s="131"/>
      <c r="X221" s="131"/>
      <c r="Y221" s="131"/>
      <c r="Z221" s="131"/>
    </row>
    <row r="222">
      <c r="A222" s="290"/>
      <c r="B222" s="290"/>
      <c r="C222" s="290"/>
      <c r="D222" s="290"/>
      <c r="E222" s="290"/>
      <c r="F222" s="290"/>
      <c r="G222" s="290"/>
      <c r="H222" s="290"/>
      <c r="I222" s="290"/>
      <c r="J222" s="290"/>
      <c r="K222" s="131"/>
      <c r="L222" s="131"/>
      <c r="M222" s="131"/>
      <c r="N222" s="131"/>
      <c r="O222" s="131"/>
      <c r="P222" s="131"/>
      <c r="Q222" s="131"/>
      <c r="R222" s="131"/>
      <c r="S222" s="131"/>
      <c r="T222" s="131"/>
      <c r="U222" s="131"/>
      <c r="V222" s="131"/>
      <c r="W222" s="131"/>
      <c r="X222" s="131"/>
      <c r="Y222" s="131"/>
      <c r="Z222" s="131"/>
    </row>
    <row r="223">
      <c r="A223" s="290"/>
      <c r="B223" s="290"/>
      <c r="C223" s="290"/>
      <c r="D223" s="290"/>
      <c r="E223" s="290"/>
      <c r="F223" s="290"/>
      <c r="G223" s="290"/>
      <c r="H223" s="290"/>
      <c r="I223" s="290"/>
      <c r="J223" s="290"/>
      <c r="K223" s="131"/>
      <c r="L223" s="131"/>
      <c r="M223" s="131"/>
      <c r="N223" s="131"/>
      <c r="O223" s="131"/>
      <c r="P223" s="131"/>
      <c r="Q223" s="131"/>
      <c r="R223" s="131"/>
      <c r="S223" s="131"/>
      <c r="T223" s="131"/>
      <c r="U223" s="131"/>
      <c r="V223" s="131"/>
      <c r="W223" s="131"/>
      <c r="X223" s="131"/>
      <c r="Y223" s="131"/>
      <c r="Z223" s="131"/>
    </row>
    <row r="224">
      <c r="A224" s="290"/>
      <c r="B224" s="290"/>
      <c r="C224" s="290"/>
      <c r="D224" s="290"/>
      <c r="E224" s="290"/>
      <c r="F224" s="290"/>
      <c r="G224" s="290"/>
      <c r="H224" s="290"/>
      <c r="I224" s="290"/>
      <c r="J224" s="290"/>
      <c r="K224" s="131"/>
      <c r="L224" s="131"/>
      <c r="M224" s="131"/>
      <c r="N224" s="131"/>
      <c r="O224" s="131"/>
      <c r="P224" s="131"/>
      <c r="Q224" s="131"/>
      <c r="R224" s="131"/>
      <c r="S224" s="131"/>
      <c r="T224" s="131"/>
      <c r="U224" s="131"/>
      <c r="V224" s="131"/>
      <c r="W224" s="131"/>
      <c r="X224" s="131"/>
      <c r="Y224" s="131"/>
      <c r="Z224" s="131"/>
    </row>
    <row r="225">
      <c r="A225" s="290"/>
      <c r="B225" s="290"/>
      <c r="C225" s="290"/>
      <c r="D225" s="290"/>
      <c r="E225" s="290"/>
      <c r="F225" s="290"/>
      <c r="G225" s="290"/>
      <c r="H225" s="290"/>
      <c r="I225" s="290"/>
      <c r="J225" s="290"/>
      <c r="K225" s="131"/>
      <c r="L225" s="131"/>
      <c r="M225" s="131"/>
      <c r="N225" s="131"/>
      <c r="O225" s="131"/>
      <c r="P225" s="131"/>
      <c r="Q225" s="131"/>
      <c r="R225" s="131"/>
      <c r="S225" s="131"/>
      <c r="T225" s="131"/>
      <c r="U225" s="131"/>
      <c r="V225" s="131"/>
      <c r="W225" s="131"/>
      <c r="X225" s="131"/>
      <c r="Y225" s="131"/>
      <c r="Z225" s="131"/>
    </row>
    <row r="226">
      <c r="A226" s="290"/>
      <c r="B226" s="290"/>
      <c r="C226" s="290"/>
      <c r="D226" s="290"/>
      <c r="E226" s="290"/>
      <c r="F226" s="290"/>
      <c r="G226" s="290"/>
      <c r="H226" s="290"/>
      <c r="I226" s="290"/>
      <c r="J226" s="290"/>
      <c r="K226" s="131"/>
      <c r="L226" s="131"/>
      <c r="M226" s="131"/>
      <c r="N226" s="131"/>
      <c r="O226" s="131"/>
      <c r="P226" s="131"/>
      <c r="Q226" s="131"/>
      <c r="R226" s="131"/>
      <c r="S226" s="131"/>
      <c r="T226" s="131"/>
      <c r="U226" s="131"/>
      <c r="V226" s="131"/>
      <c r="W226" s="131"/>
      <c r="X226" s="131"/>
      <c r="Y226" s="131"/>
      <c r="Z226" s="131"/>
    </row>
    <row r="227">
      <c r="A227" s="290"/>
      <c r="B227" s="290"/>
      <c r="C227" s="290"/>
      <c r="D227" s="290"/>
      <c r="E227" s="290"/>
      <c r="F227" s="290"/>
      <c r="G227" s="290"/>
      <c r="H227" s="290"/>
      <c r="I227" s="290"/>
      <c r="J227" s="290"/>
      <c r="K227" s="131"/>
      <c r="L227" s="131"/>
      <c r="M227" s="131"/>
      <c r="N227" s="131"/>
      <c r="O227" s="131"/>
      <c r="P227" s="131"/>
      <c r="Q227" s="131"/>
      <c r="R227" s="131"/>
      <c r="S227" s="131"/>
      <c r="T227" s="131"/>
      <c r="U227" s="131"/>
      <c r="V227" s="131"/>
      <c r="W227" s="131"/>
      <c r="X227" s="131"/>
      <c r="Y227" s="131"/>
      <c r="Z227" s="131"/>
    </row>
    <row r="228">
      <c r="A228" s="290"/>
      <c r="B228" s="290"/>
      <c r="C228" s="290"/>
      <c r="D228" s="290"/>
      <c r="E228" s="290"/>
      <c r="F228" s="290"/>
      <c r="G228" s="290"/>
      <c r="H228" s="290"/>
      <c r="I228" s="290"/>
      <c r="J228" s="290"/>
      <c r="K228" s="131"/>
      <c r="L228" s="131"/>
      <c r="M228" s="131"/>
      <c r="N228" s="131"/>
      <c r="O228" s="131"/>
      <c r="P228" s="131"/>
      <c r="Q228" s="131"/>
      <c r="R228" s="131"/>
      <c r="S228" s="131"/>
      <c r="T228" s="131"/>
      <c r="U228" s="131"/>
      <c r="V228" s="131"/>
      <c r="W228" s="131"/>
      <c r="X228" s="131"/>
      <c r="Y228" s="131"/>
      <c r="Z228" s="131"/>
    </row>
    <row r="229">
      <c r="A229" s="290"/>
      <c r="B229" s="290"/>
      <c r="C229" s="290"/>
      <c r="D229" s="290"/>
      <c r="E229" s="290"/>
      <c r="F229" s="290"/>
      <c r="G229" s="290"/>
      <c r="H229" s="290"/>
      <c r="I229" s="290"/>
      <c r="J229" s="290"/>
      <c r="K229" s="131"/>
      <c r="L229" s="131"/>
      <c r="M229" s="131"/>
      <c r="N229" s="131"/>
      <c r="O229" s="131"/>
      <c r="P229" s="131"/>
      <c r="Q229" s="131"/>
      <c r="R229" s="131"/>
      <c r="S229" s="131"/>
      <c r="T229" s="131"/>
      <c r="U229" s="131"/>
      <c r="V229" s="131"/>
      <c r="W229" s="131"/>
      <c r="X229" s="131"/>
      <c r="Y229" s="131"/>
      <c r="Z229" s="131"/>
    </row>
    <row r="230">
      <c r="A230" s="290"/>
      <c r="B230" s="290"/>
      <c r="C230" s="290"/>
      <c r="D230" s="290"/>
      <c r="E230" s="290"/>
      <c r="F230" s="290"/>
      <c r="G230" s="290"/>
      <c r="H230" s="290"/>
      <c r="I230" s="290"/>
      <c r="J230" s="290"/>
      <c r="K230" s="131"/>
      <c r="L230" s="131"/>
      <c r="M230" s="131"/>
      <c r="N230" s="131"/>
      <c r="O230" s="131"/>
      <c r="P230" s="131"/>
      <c r="Q230" s="131"/>
      <c r="R230" s="131"/>
      <c r="S230" s="131"/>
      <c r="T230" s="131"/>
      <c r="U230" s="131"/>
      <c r="V230" s="131"/>
      <c r="W230" s="131"/>
      <c r="X230" s="131"/>
      <c r="Y230" s="131"/>
      <c r="Z230" s="131"/>
    </row>
    <row r="231">
      <c r="A231" s="290"/>
      <c r="B231" s="290"/>
      <c r="C231" s="290"/>
      <c r="D231" s="290"/>
      <c r="E231" s="290"/>
      <c r="F231" s="290"/>
      <c r="G231" s="290"/>
      <c r="H231" s="290"/>
      <c r="I231" s="290"/>
      <c r="J231" s="290"/>
      <c r="K231" s="131"/>
      <c r="L231" s="131"/>
      <c r="M231" s="131"/>
      <c r="N231" s="131"/>
      <c r="O231" s="131"/>
      <c r="P231" s="131"/>
      <c r="Q231" s="131"/>
      <c r="R231" s="131"/>
      <c r="S231" s="131"/>
      <c r="T231" s="131"/>
      <c r="U231" s="131"/>
      <c r="V231" s="131"/>
      <c r="W231" s="131"/>
      <c r="X231" s="131"/>
      <c r="Y231" s="131"/>
      <c r="Z231" s="131"/>
    </row>
    <row r="232">
      <c r="A232" s="290"/>
      <c r="B232" s="290"/>
      <c r="C232" s="290"/>
      <c r="D232" s="290"/>
      <c r="E232" s="290"/>
      <c r="F232" s="290"/>
      <c r="G232" s="290"/>
      <c r="H232" s="290"/>
      <c r="I232" s="290"/>
      <c r="J232" s="290"/>
      <c r="K232" s="131"/>
      <c r="L232" s="131"/>
      <c r="M232" s="131"/>
      <c r="N232" s="131"/>
      <c r="O232" s="131"/>
      <c r="P232" s="131"/>
      <c r="Q232" s="131"/>
      <c r="R232" s="131"/>
      <c r="S232" s="131"/>
      <c r="T232" s="131"/>
      <c r="U232" s="131"/>
      <c r="V232" s="131"/>
      <c r="W232" s="131"/>
      <c r="X232" s="131"/>
      <c r="Y232" s="131"/>
      <c r="Z232" s="131"/>
    </row>
    <row r="233">
      <c r="A233" s="290"/>
      <c r="B233" s="290"/>
      <c r="C233" s="290"/>
      <c r="D233" s="290"/>
      <c r="E233" s="290"/>
      <c r="F233" s="290"/>
      <c r="G233" s="290"/>
      <c r="H233" s="290"/>
      <c r="I233" s="290"/>
      <c r="J233" s="290"/>
      <c r="K233" s="131"/>
      <c r="L233" s="131"/>
      <c r="M233" s="131"/>
      <c r="N233" s="131"/>
      <c r="O233" s="131"/>
      <c r="P233" s="131"/>
      <c r="Q233" s="131"/>
      <c r="R233" s="131"/>
      <c r="S233" s="131"/>
      <c r="T233" s="131"/>
      <c r="U233" s="131"/>
      <c r="V233" s="131"/>
      <c r="W233" s="131"/>
      <c r="X233" s="131"/>
      <c r="Y233" s="131"/>
      <c r="Z233" s="131"/>
    </row>
    <row r="234">
      <c r="A234" s="290"/>
      <c r="B234" s="290"/>
      <c r="C234" s="290"/>
      <c r="D234" s="290"/>
      <c r="E234" s="290"/>
      <c r="F234" s="290"/>
      <c r="G234" s="290"/>
      <c r="H234" s="290"/>
      <c r="I234" s="290"/>
      <c r="J234" s="290"/>
      <c r="K234" s="131"/>
      <c r="L234" s="131"/>
      <c r="M234" s="131"/>
      <c r="N234" s="131"/>
      <c r="O234" s="131"/>
      <c r="P234" s="131"/>
      <c r="Q234" s="131"/>
      <c r="R234" s="131"/>
      <c r="S234" s="131"/>
      <c r="T234" s="131"/>
      <c r="U234" s="131"/>
      <c r="V234" s="131"/>
      <c r="W234" s="131"/>
      <c r="X234" s="131"/>
      <c r="Y234" s="131"/>
      <c r="Z234" s="131"/>
    </row>
    <row r="235">
      <c r="A235" s="290"/>
      <c r="B235" s="290"/>
      <c r="C235" s="290"/>
      <c r="D235" s="290"/>
      <c r="E235" s="290"/>
      <c r="F235" s="290"/>
      <c r="G235" s="290"/>
      <c r="H235" s="290"/>
      <c r="I235" s="290"/>
      <c r="J235" s="290"/>
      <c r="K235" s="131"/>
      <c r="L235" s="131"/>
      <c r="M235" s="131"/>
      <c r="N235" s="131"/>
      <c r="O235" s="131"/>
      <c r="P235" s="131"/>
      <c r="Q235" s="131"/>
      <c r="R235" s="131"/>
      <c r="S235" s="131"/>
      <c r="T235" s="131"/>
      <c r="U235" s="131"/>
      <c r="V235" s="131"/>
      <c r="W235" s="131"/>
      <c r="X235" s="131"/>
      <c r="Y235" s="131"/>
      <c r="Z235" s="131"/>
    </row>
    <row r="236">
      <c r="A236" s="290"/>
      <c r="B236" s="290"/>
      <c r="C236" s="290"/>
      <c r="D236" s="290"/>
      <c r="E236" s="290"/>
      <c r="F236" s="290"/>
      <c r="G236" s="290"/>
      <c r="H236" s="290"/>
      <c r="I236" s="290"/>
      <c r="J236" s="290"/>
      <c r="K236" s="131"/>
      <c r="L236" s="131"/>
      <c r="M236" s="131"/>
      <c r="N236" s="131"/>
      <c r="O236" s="131"/>
      <c r="P236" s="131"/>
      <c r="Q236" s="131"/>
      <c r="R236" s="131"/>
      <c r="S236" s="131"/>
      <c r="T236" s="131"/>
      <c r="U236" s="131"/>
      <c r="V236" s="131"/>
      <c r="W236" s="131"/>
      <c r="X236" s="131"/>
      <c r="Y236" s="131"/>
      <c r="Z236" s="131"/>
    </row>
    <row r="237">
      <c r="A237" s="290"/>
      <c r="B237" s="290"/>
      <c r="C237" s="290"/>
      <c r="D237" s="290"/>
      <c r="E237" s="290"/>
      <c r="F237" s="290"/>
      <c r="G237" s="290"/>
      <c r="H237" s="290"/>
      <c r="I237" s="290"/>
      <c r="J237" s="290"/>
      <c r="K237" s="131"/>
      <c r="L237" s="131"/>
      <c r="M237" s="131"/>
      <c r="N237" s="131"/>
      <c r="O237" s="131"/>
      <c r="P237" s="131"/>
      <c r="Q237" s="131"/>
      <c r="R237" s="131"/>
      <c r="S237" s="131"/>
      <c r="T237" s="131"/>
      <c r="U237" s="131"/>
      <c r="V237" s="131"/>
      <c r="W237" s="131"/>
      <c r="X237" s="131"/>
      <c r="Y237" s="131"/>
      <c r="Z237" s="131"/>
    </row>
    <row r="238">
      <c r="A238" s="290"/>
      <c r="B238" s="290"/>
      <c r="C238" s="290"/>
      <c r="D238" s="290"/>
      <c r="E238" s="290"/>
      <c r="F238" s="290"/>
      <c r="G238" s="290"/>
      <c r="H238" s="290"/>
      <c r="I238" s="290"/>
      <c r="J238" s="290"/>
      <c r="K238" s="131"/>
      <c r="L238" s="131"/>
      <c r="M238" s="131"/>
      <c r="N238" s="131"/>
      <c r="O238" s="131"/>
      <c r="P238" s="131"/>
      <c r="Q238" s="131"/>
      <c r="R238" s="131"/>
      <c r="S238" s="131"/>
      <c r="T238" s="131"/>
      <c r="U238" s="131"/>
      <c r="V238" s="131"/>
      <c r="W238" s="131"/>
      <c r="X238" s="131"/>
      <c r="Y238" s="131"/>
      <c r="Z238" s="131"/>
    </row>
    <row r="239">
      <c r="A239" s="290"/>
      <c r="B239" s="290"/>
      <c r="C239" s="290"/>
      <c r="D239" s="290"/>
      <c r="E239" s="290"/>
      <c r="F239" s="290"/>
      <c r="G239" s="290"/>
      <c r="H239" s="290"/>
      <c r="I239" s="290"/>
      <c r="J239" s="290"/>
      <c r="K239" s="131"/>
      <c r="L239" s="131"/>
      <c r="M239" s="131"/>
      <c r="N239" s="131"/>
      <c r="O239" s="131"/>
      <c r="P239" s="131"/>
      <c r="Q239" s="131"/>
      <c r="R239" s="131"/>
      <c r="S239" s="131"/>
      <c r="T239" s="131"/>
      <c r="U239" s="131"/>
      <c r="V239" s="131"/>
      <c r="W239" s="131"/>
      <c r="X239" s="131"/>
      <c r="Y239" s="131"/>
      <c r="Z239" s="131"/>
    </row>
    <row r="240">
      <c r="A240" s="290"/>
      <c r="B240" s="290"/>
      <c r="C240" s="290"/>
      <c r="D240" s="290"/>
      <c r="E240" s="290"/>
      <c r="F240" s="290"/>
      <c r="G240" s="290"/>
      <c r="H240" s="290"/>
      <c r="I240" s="290"/>
      <c r="J240" s="290"/>
      <c r="K240" s="131"/>
      <c r="L240" s="131"/>
      <c r="M240" s="131"/>
      <c r="N240" s="131"/>
      <c r="O240" s="131"/>
      <c r="P240" s="131"/>
      <c r="Q240" s="131"/>
      <c r="R240" s="131"/>
      <c r="S240" s="131"/>
      <c r="T240" s="131"/>
      <c r="U240" s="131"/>
      <c r="V240" s="131"/>
      <c r="W240" s="131"/>
      <c r="X240" s="131"/>
      <c r="Y240" s="131"/>
      <c r="Z240" s="131"/>
    </row>
    <row r="241">
      <c r="A241" s="290"/>
      <c r="B241" s="290"/>
      <c r="C241" s="290"/>
      <c r="D241" s="290"/>
      <c r="E241" s="290"/>
      <c r="F241" s="290"/>
      <c r="G241" s="290"/>
      <c r="H241" s="290"/>
      <c r="I241" s="290"/>
      <c r="J241" s="290"/>
      <c r="K241" s="131"/>
      <c r="L241" s="131"/>
      <c r="M241" s="131"/>
      <c r="N241" s="131"/>
      <c r="O241" s="131"/>
      <c r="P241" s="131"/>
      <c r="Q241" s="131"/>
      <c r="R241" s="131"/>
      <c r="S241" s="131"/>
      <c r="T241" s="131"/>
      <c r="U241" s="131"/>
      <c r="V241" s="131"/>
      <c r="W241" s="131"/>
      <c r="X241" s="131"/>
      <c r="Y241" s="131"/>
      <c r="Z241" s="131"/>
    </row>
    <row r="242">
      <c r="A242" s="290"/>
      <c r="B242" s="290"/>
      <c r="C242" s="290"/>
      <c r="D242" s="290"/>
      <c r="E242" s="290"/>
      <c r="F242" s="290"/>
      <c r="G242" s="290"/>
      <c r="H242" s="290"/>
      <c r="I242" s="290"/>
      <c r="J242" s="290"/>
      <c r="K242" s="131"/>
      <c r="L242" s="131"/>
      <c r="M242" s="131"/>
      <c r="N242" s="131"/>
      <c r="O242" s="131"/>
      <c r="P242" s="131"/>
      <c r="Q242" s="131"/>
      <c r="R242" s="131"/>
      <c r="S242" s="131"/>
      <c r="T242" s="131"/>
      <c r="U242" s="131"/>
      <c r="V242" s="131"/>
      <c r="W242" s="131"/>
      <c r="X242" s="131"/>
      <c r="Y242" s="131"/>
      <c r="Z242" s="131"/>
    </row>
    <row r="243">
      <c r="A243" s="290"/>
      <c r="B243" s="290"/>
      <c r="C243" s="290"/>
      <c r="D243" s="290"/>
      <c r="E243" s="290"/>
      <c r="F243" s="290"/>
      <c r="G243" s="290"/>
      <c r="H243" s="290"/>
      <c r="I243" s="290"/>
      <c r="J243" s="290"/>
      <c r="K243" s="131"/>
      <c r="L243" s="131"/>
      <c r="M243" s="131"/>
      <c r="N243" s="131"/>
      <c r="O243" s="131"/>
      <c r="P243" s="131"/>
      <c r="Q243" s="131"/>
      <c r="R243" s="131"/>
      <c r="S243" s="131"/>
      <c r="T243" s="131"/>
      <c r="U243" s="131"/>
      <c r="V243" s="131"/>
      <c r="W243" s="131"/>
      <c r="X243" s="131"/>
      <c r="Y243" s="131"/>
      <c r="Z243" s="131"/>
    </row>
    <row r="244">
      <c r="A244" s="290"/>
      <c r="B244" s="290"/>
      <c r="C244" s="290"/>
      <c r="D244" s="290"/>
      <c r="E244" s="290"/>
      <c r="F244" s="290"/>
      <c r="G244" s="290"/>
      <c r="H244" s="290"/>
      <c r="I244" s="290"/>
      <c r="J244" s="290"/>
      <c r="K244" s="131"/>
      <c r="L244" s="131"/>
      <c r="M244" s="131"/>
      <c r="N244" s="131"/>
      <c r="O244" s="131"/>
      <c r="P244" s="131"/>
      <c r="Q244" s="131"/>
      <c r="R244" s="131"/>
      <c r="S244" s="131"/>
      <c r="T244" s="131"/>
      <c r="U244" s="131"/>
      <c r="V244" s="131"/>
      <c r="W244" s="131"/>
      <c r="X244" s="131"/>
      <c r="Y244" s="131"/>
      <c r="Z244" s="131"/>
    </row>
    <row r="245">
      <c r="A245" s="290"/>
      <c r="B245" s="290"/>
      <c r="C245" s="290"/>
      <c r="D245" s="290"/>
      <c r="E245" s="290"/>
      <c r="F245" s="290"/>
      <c r="G245" s="290"/>
      <c r="H245" s="290"/>
      <c r="I245" s="290"/>
      <c r="J245" s="290"/>
      <c r="K245" s="131"/>
      <c r="L245" s="131"/>
      <c r="M245" s="131"/>
      <c r="N245" s="131"/>
      <c r="O245" s="131"/>
      <c r="P245" s="131"/>
      <c r="Q245" s="131"/>
      <c r="R245" s="131"/>
      <c r="S245" s="131"/>
      <c r="T245" s="131"/>
      <c r="U245" s="131"/>
      <c r="V245" s="131"/>
      <c r="W245" s="131"/>
      <c r="X245" s="131"/>
      <c r="Y245" s="131"/>
      <c r="Z245" s="131"/>
    </row>
    <row r="246">
      <c r="A246" s="290"/>
      <c r="B246" s="290"/>
      <c r="C246" s="290"/>
      <c r="D246" s="290"/>
      <c r="E246" s="290"/>
      <c r="F246" s="290"/>
      <c r="G246" s="290"/>
      <c r="H246" s="290"/>
      <c r="I246" s="290"/>
      <c r="J246" s="290"/>
      <c r="K246" s="131"/>
      <c r="L246" s="131"/>
      <c r="M246" s="131"/>
      <c r="N246" s="131"/>
      <c r="O246" s="131"/>
      <c r="P246" s="131"/>
      <c r="Q246" s="131"/>
      <c r="R246" s="131"/>
      <c r="S246" s="131"/>
      <c r="T246" s="131"/>
      <c r="U246" s="131"/>
      <c r="V246" s="131"/>
      <c r="W246" s="131"/>
      <c r="X246" s="131"/>
      <c r="Y246" s="131"/>
      <c r="Z246" s="131"/>
    </row>
    <row r="247">
      <c r="A247" s="290"/>
      <c r="B247" s="290"/>
      <c r="C247" s="290"/>
      <c r="D247" s="290"/>
      <c r="E247" s="290"/>
      <c r="F247" s="290"/>
      <c r="G247" s="290"/>
      <c r="H247" s="290"/>
      <c r="I247" s="290"/>
      <c r="J247" s="290"/>
      <c r="K247" s="131"/>
      <c r="L247" s="131"/>
      <c r="M247" s="131"/>
      <c r="N247" s="131"/>
      <c r="O247" s="131"/>
      <c r="P247" s="131"/>
      <c r="Q247" s="131"/>
      <c r="R247" s="131"/>
      <c r="S247" s="131"/>
      <c r="T247" s="131"/>
      <c r="U247" s="131"/>
      <c r="V247" s="131"/>
      <c r="W247" s="131"/>
      <c r="X247" s="131"/>
      <c r="Y247" s="131"/>
      <c r="Z247" s="131"/>
    </row>
    <row r="248">
      <c r="A248" s="290"/>
      <c r="B248" s="290"/>
      <c r="C248" s="290"/>
      <c r="D248" s="290"/>
      <c r="E248" s="290"/>
      <c r="F248" s="290"/>
      <c r="G248" s="290"/>
      <c r="H248" s="290"/>
      <c r="I248" s="290"/>
      <c r="J248" s="290"/>
      <c r="K248" s="131"/>
      <c r="L248" s="131"/>
      <c r="M248" s="131"/>
      <c r="N248" s="131"/>
      <c r="O248" s="131"/>
      <c r="P248" s="131"/>
      <c r="Q248" s="131"/>
      <c r="R248" s="131"/>
      <c r="S248" s="131"/>
      <c r="T248" s="131"/>
      <c r="U248" s="131"/>
      <c r="V248" s="131"/>
      <c r="W248" s="131"/>
      <c r="X248" s="131"/>
      <c r="Y248" s="131"/>
      <c r="Z248" s="131"/>
    </row>
    <row r="249">
      <c r="A249" s="290"/>
      <c r="B249" s="290"/>
      <c r="C249" s="290"/>
      <c r="D249" s="290"/>
      <c r="E249" s="290"/>
      <c r="F249" s="290"/>
      <c r="G249" s="290"/>
      <c r="H249" s="290"/>
      <c r="I249" s="290"/>
      <c r="J249" s="290"/>
      <c r="K249" s="131"/>
      <c r="L249" s="131"/>
      <c r="M249" s="131"/>
      <c r="N249" s="131"/>
      <c r="O249" s="131"/>
      <c r="P249" s="131"/>
      <c r="Q249" s="131"/>
      <c r="R249" s="131"/>
      <c r="S249" s="131"/>
      <c r="T249" s="131"/>
      <c r="U249" s="131"/>
      <c r="V249" s="131"/>
      <c r="W249" s="131"/>
      <c r="X249" s="131"/>
      <c r="Y249" s="131"/>
      <c r="Z249" s="131"/>
    </row>
    <row r="250">
      <c r="A250" s="290"/>
      <c r="B250" s="290"/>
      <c r="C250" s="290"/>
      <c r="D250" s="290"/>
      <c r="E250" s="290"/>
      <c r="F250" s="290"/>
      <c r="G250" s="290"/>
      <c r="H250" s="290"/>
      <c r="I250" s="290"/>
      <c r="J250" s="290"/>
      <c r="K250" s="131"/>
      <c r="L250" s="131"/>
      <c r="M250" s="131"/>
      <c r="N250" s="131"/>
      <c r="O250" s="131"/>
      <c r="P250" s="131"/>
      <c r="Q250" s="131"/>
      <c r="R250" s="131"/>
      <c r="S250" s="131"/>
      <c r="T250" s="131"/>
      <c r="U250" s="131"/>
      <c r="V250" s="131"/>
      <c r="W250" s="131"/>
      <c r="X250" s="131"/>
      <c r="Y250" s="131"/>
      <c r="Z250" s="131"/>
    </row>
    <row r="251">
      <c r="A251" s="290"/>
      <c r="B251" s="290"/>
      <c r="C251" s="290"/>
      <c r="D251" s="290"/>
      <c r="E251" s="290"/>
      <c r="F251" s="290"/>
      <c r="G251" s="290"/>
      <c r="H251" s="290"/>
      <c r="I251" s="290"/>
      <c r="J251" s="290"/>
      <c r="K251" s="131"/>
      <c r="L251" s="131"/>
      <c r="M251" s="131"/>
      <c r="N251" s="131"/>
      <c r="O251" s="131"/>
      <c r="P251" s="131"/>
      <c r="Q251" s="131"/>
      <c r="R251" s="131"/>
      <c r="S251" s="131"/>
      <c r="T251" s="131"/>
      <c r="U251" s="131"/>
      <c r="V251" s="131"/>
      <c r="W251" s="131"/>
      <c r="X251" s="131"/>
      <c r="Y251" s="131"/>
      <c r="Z251" s="131"/>
    </row>
    <row r="252">
      <c r="A252" s="290"/>
      <c r="B252" s="290"/>
      <c r="C252" s="290"/>
      <c r="D252" s="290"/>
      <c r="E252" s="290"/>
      <c r="F252" s="290"/>
      <c r="G252" s="290"/>
      <c r="H252" s="290"/>
      <c r="I252" s="290"/>
      <c r="J252" s="290"/>
      <c r="K252" s="131"/>
      <c r="L252" s="131"/>
      <c r="M252" s="131"/>
      <c r="N252" s="131"/>
      <c r="O252" s="131"/>
      <c r="P252" s="131"/>
      <c r="Q252" s="131"/>
      <c r="R252" s="131"/>
      <c r="S252" s="131"/>
      <c r="T252" s="131"/>
      <c r="U252" s="131"/>
      <c r="V252" s="131"/>
      <c r="W252" s="131"/>
      <c r="X252" s="131"/>
      <c r="Y252" s="131"/>
      <c r="Z252" s="131"/>
    </row>
    <row r="253">
      <c r="A253" s="290"/>
      <c r="B253" s="290"/>
      <c r="C253" s="290"/>
      <c r="D253" s="290"/>
      <c r="E253" s="290"/>
      <c r="F253" s="290"/>
      <c r="G253" s="290"/>
      <c r="H253" s="290"/>
      <c r="I253" s="290"/>
      <c r="J253" s="290"/>
      <c r="K253" s="131"/>
      <c r="L253" s="131"/>
      <c r="M253" s="131"/>
      <c r="N253" s="131"/>
      <c r="O253" s="131"/>
      <c r="P253" s="131"/>
      <c r="Q253" s="131"/>
      <c r="R253" s="131"/>
      <c r="S253" s="131"/>
      <c r="T253" s="131"/>
      <c r="U253" s="131"/>
      <c r="V253" s="131"/>
      <c r="W253" s="131"/>
      <c r="X253" s="131"/>
      <c r="Y253" s="131"/>
      <c r="Z253" s="131"/>
    </row>
    <row r="254">
      <c r="A254" s="290"/>
      <c r="B254" s="290"/>
      <c r="C254" s="290"/>
      <c r="D254" s="290"/>
      <c r="E254" s="290"/>
      <c r="F254" s="290"/>
      <c r="G254" s="290"/>
      <c r="H254" s="290"/>
      <c r="I254" s="290"/>
      <c r="J254" s="290"/>
      <c r="K254" s="131"/>
      <c r="L254" s="131"/>
      <c r="M254" s="131"/>
      <c r="N254" s="131"/>
      <c r="O254" s="131"/>
      <c r="P254" s="131"/>
      <c r="Q254" s="131"/>
      <c r="R254" s="131"/>
      <c r="S254" s="131"/>
      <c r="T254" s="131"/>
      <c r="U254" s="131"/>
      <c r="V254" s="131"/>
      <c r="W254" s="131"/>
      <c r="X254" s="131"/>
      <c r="Y254" s="131"/>
      <c r="Z254" s="131"/>
    </row>
    <row r="255">
      <c r="A255" s="290"/>
      <c r="B255" s="290"/>
      <c r="C255" s="290"/>
      <c r="D255" s="290"/>
      <c r="E255" s="290"/>
      <c r="F255" s="290"/>
      <c r="G255" s="290"/>
      <c r="H255" s="290"/>
      <c r="I255" s="290"/>
      <c r="J255" s="290"/>
      <c r="K255" s="131"/>
      <c r="L255" s="131"/>
      <c r="M255" s="131"/>
      <c r="N255" s="131"/>
      <c r="O255" s="131"/>
      <c r="P255" s="131"/>
      <c r="Q255" s="131"/>
      <c r="R255" s="131"/>
      <c r="S255" s="131"/>
      <c r="T255" s="131"/>
      <c r="U255" s="131"/>
      <c r="V255" s="131"/>
      <c r="W255" s="131"/>
      <c r="X255" s="131"/>
      <c r="Y255" s="131"/>
      <c r="Z255" s="131"/>
    </row>
    <row r="256">
      <c r="A256" s="290"/>
      <c r="B256" s="290"/>
      <c r="C256" s="290"/>
      <c r="D256" s="290"/>
      <c r="E256" s="290"/>
      <c r="F256" s="290"/>
      <c r="G256" s="290"/>
      <c r="H256" s="290"/>
      <c r="I256" s="290"/>
      <c r="J256" s="290"/>
      <c r="K256" s="131"/>
      <c r="L256" s="131"/>
      <c r="M256" s="131"/>
      <c r="N256" s="131"/>
      <c r="O256" s="131"/>
      <c r="P256" s="131"/>
      <c r="Q256" s="131"/>
      <c r="R256" s="131"/>
      <c r="S256" s="131"/>
      <c r="T256" s="131"/>
      <c r="U256" s="131"/>
      <c r="V256" s="131"/>
      <c r="W256" s="131"/>
      <c r="X256" s="131"/>
      <c r="Y256" s="131"/>
      <c r="Z256" s="131"/>
    </row>
    <row r="257">
      <c r="A257" s="290"/>
      <c r="B257" s="290"/>
      <c r="C257" s="290"/>
      <c r="D257" s="290"/>
      <c r="E257" s="290"/>
      <c r="F257" s="290"/>
      <c r="G257" s="290"/>
      <c r="H257" s="290"/>
      <c r="I257" s="290"/>
      <c r="J257" s="290"/>
      <c r="K257" s="131"/>
      <c r="L257" s="131"/>
      <c r="M257" s="131"/>
      <c r="N257" s="131"/>
      <c r="O257" s="131"/>
      <c r="P257" s="131"/>
      <c r="Q257" s="131"/>
      <c r="R257" s="131"/>
      <c r="S257" s="131"/>
      <c r="T257" s="131"/>
      <c r="U257" s="131"/>
      <c r="V257" s="131"/>
      <c r="W257" s="131"/>
      <c r="X257" s="131"/>
      <c r="Y257" s="131"/>
      <c r="Z257" s="131"/>
    </row>
    <row r="258">
      <c r="A258" s="290"/>
      <c r="B258" s="290"/>
      <c r="C258" s="290"/>
      <c r="D258" s="290"/>
      <c r="E258" s="290"/>
      <c r="F258" s="290"/>
      <c r="G258" s="290"/>
      <c r="H258" s="290"/>
      <c r="I258" s="290"/>
      <c r="J258" s="290"/>
      <c r="K258" s="131"/>
      <c r="L258" s="131"/>
      <c r="M258" s="131"/>
      <c r="N258" s="131"/>
      <c r="O258" s="131"/>
      <c r="P258" s="131"/>
      <c r="Q258" s="131"/>
      <c r="R258" s="131"/>
      <c r="S258" s="131"/>
      <c r="T258" s="131"/>
      <c r="U258" s="131"/>
      <c r="V258" s="131"/>
      <c r="W258" s="131"/>
      <c r="X258" s="131"/>
      <c r="Y258" s="131"/>
      <c r="Z258" s="131"/>
    </row>
    <row r="259">
      <c r="A259" s="290"/>
      <c r="B259" s="290"/>
      <c r="C259" s="290"/>
      <c r="D259" s="290"/>
      <c r="E259" s="290"/>
      <c r="F259" s="290"/>
      <c r="G259" s="290"/>
      <c r="H259" s="290"/>
      <c r="I259" s="290"/>
      <c r="J259" s="290"/>
      <c r="K259" s="131"/>
      <c r="L259" s="131"/>
      <c r="M259" s="131"/>
      <c r="N259" s="131"/>
      <c r="O259" s="131"/>
      <c r="P259" s="131"/>
      <c r="Q259" s="131"/>
      <c r="R259" s="131"/>
      <c r="S259" s="131"/>
      <c r="T259" s="131"/>
      <c r="U259" s="131"/>
      <c r="V259" s="131"/>
      <c r="W259" s="131"/>
      <c r="X259" s="131"/>
      <c r="Y259" s="131"/>
      <c r="Z259" s="131"/>
    </row>
    <row r="260">
      <c r="A260" s="290"/>
      <c r="B260" s="290"/>
      <c r="C260" s="290"/>
      <c r="D260" s="290"/>
      <c r="E260" s="290"/>
      <c r="F260" s="290"/>
      <c r="G260" s="290"/>
      <c r="H260" s="290"/>
      <c r="I260" s="290"/>
      <c r="J260" s="290"/>
      <c r="K260" s="131"/>
      <c r="L260" s="131"/>
      <c r="M260" s="131"/>
      <c r="N260" s="131"/>
      <c r="O260" s="131"/>
      <c r="P260" s="131"/>
      <c r="Q260" s="131"/>
      <c r="R260" s="131"/>
      <c r="S260" s="131"/>
      <c r="T260" s="131"/>
      <c r="U260" s="131"/>
      <c r="V260" s="131"/>
      <c r="W260" s="131"/>
      <c r="X260" s="131"/>
      <c r="Y260" s="131"/>
      <c r="Z260" s="131"/>
    </row>
    <row r="261">
      <c r="A261" s="290"/>
      <c r="B261" s="290"/>
      <c r="C261" s="290"/>
      <c r="D261" s="290"/>
      <c r="E261" s="290"/>
      <c r="F261" s="290"/>
      <c r="G261" s="290"/>
      <c r="H261" s="290"/>
      <c r="I261" s="290"/>
      <c r="J261" s="290"/>
      <c r="K261" s="131"/>
      <c r="L261" s="131"/>
      <c r="M261" s="131"/>
      <c r="N261" s="131"/>
      <c r="O261" s="131"/>
      <c r="P261" s="131"/>
      <c r="Q261" s="131"/>
      <c r="R261" s="131"/>
      <c r="S261" s="131"/>
      <c r="T261" s="131"/>
      <c r="U261" s="131"/>
      <c r="V261" s="131"/>
      <c r="W261" s="131"/>
      <c r="X261" s="131"/>
      <c r="Y261" s="131"/>
      <c r="Z261" s="131"/>
    </row>
    <row r="262">
      <c r="A262" s="290"/>
      <c r="B262" s="290"/>
      <c r="C262" s="290"/>
      <c r="D262" s="290"/>
      <c r="E262" s="290"/>
      <c r="F262" s="290"/>
      <c r="G262" s="290"/>
      <c r="H262" s="290"/>
      <c r="I262" s="290"/>
      <c r="J262" s="290"/>
      <c r="K262" s="131"/>
      <c r="L262" s="131"/>
      <c r="M262" s="131"/>
      <c r="N262" s="131"/>
      <c r="O262" s="131"/>
      <c r="P262" s="131"/>
      <c r="Q262" s="131"/>
      <c r="R262" s="131"/>
      <c r="S262" s="131"/>
      <c r="T262" s="131"/>
      <c r="U262" s="131"/>
      <c r="V262" s="131"/>
      <c r="W262" s="131"/>
      <c r="X262" s="131"/>
      <c r="Y262" s="131"/>
      <c r="Z262" s="131"/>
    </row>
    <row r="263">
      <c r="A263" s="290"/>
      <c r="B263" s="290"/>
      <c r="C263" s="290"/>
      <c r="D263" s="290"/>
      <c r="E263" s="290"/>
      <c r="F263" s="290"/>
      <c r="G263" s="290"/>
      <c r="H263" s="290"/>
      <c r="I263" s="290"/>
      <c r="J263" s="290"/>
      <c r="K263" s="131"/>
      <c r="L263" s="131"/>
      <c r="M263" s="131"/>
      <c r="N263" s="131"/>
      <c r="O263" s="131"/>
      <c r="P263" s="131"/>
      <c r="Q263" s="131"/>
      <c r="R263" s="131"/>
      <c r="S263" s="131"/>
      <c r="T263" s="131"/>
      <c r="U263" s="131"/>
      <c r="V263" s="131"/>
      <c r="W263" s="131"/>
      <c r="X263" s="131"/>
      <c r="Y263" s="131"/>
      <c r="Z263" s="131"/>
    </row>
    <row r="264">
      <c r="A264" s="290"/>
      <c r="B264" s="290"/>
      <c r="C264" s="290"/>
      <c r="D264" s="290"/>
      <c r="E264" s="290"/>
      <c r="F264" s="290"/>
      <c r="G264" s="290"/>
      <c r="H264" s="290"/>
      <c r="I264" s="290"/>
      <c r="J264" s="290"/>
      <c r="K264" s="131"/>
      <c r="L264" s="131"/>
      <c r="M264" s="131"/>
      <c r="N264" s="131"/>
      <c r="O264" s="131"/>
      <c r="P264" s="131"/>
      <c r="Q264" s="131"/>
      <c r="R264" s="131"/>
      <c r="S264" s="131"/>
      <c r="T264" s="131"/>
      <c r="U264" s="131"/>
      <c r="V264" s="131"/>
      <c r="W264" s="131"/>
      <c r="X264" s="131"/>
      <c r="Y264" s="131"/>
      <c r="Z264" s="131"/>
    </row>
    <row r="265">
      <c r="A265" s="290"/>
      <c r="B265" s="290"/>
      <c r="C265" s="290"/>
      <c r="D265" s="290"/>
      <c r="E265" s="290"/>
      <c r="F265" s="290"/>
      <c r="G265" s="290"/>
      <c r="H265" s="290"/>
      <c r="I265" s="290"/>
      <c r="J265" s="290"/>
      <c r="K265" s="131"/>
      <c r="L265" s="131"/>
      <c r="M265" s="131"/>
      <c r="N265" s="131"/>
      <c r="O265" s="131"/>
      <c r="P265" s="131"/>
      <c r="Q265" s="131"/>
      <c r="R265" s="131"/>
      <c r="S265" s="131"/>
      <c r="T265" s="131"/>
      <c r="U265" s="131"/>
      <c r="V265" s="131"/>
      <c r="W265" s="131"/>
      <c r="X265" s="131"/>
      <c r="Y265" s="131"/>
      <c r="Z265" s="131"/>
    </row>
    <row r="266">
      <c r="A266" s="290"/>
      <c r="B266" s="290"/>
      <c r="C266" s="290"/>
      <c r="D266" s="290"/>
      <c r="E266" s="290"/>
      <c r="F266" s="290"/>
      <c r="G266" s="290"/>
      <c r="H266" s="290"/>
      <c r="I266" s="290"/>
      <c r="J266" s="290"/>
      <c r="K266" s="131"/>
      <c r="L266" s="131"/>
      <c r="M266" s="131"/>
      <c r="N266" s="131"/>
      <c r="O266" s="131"/>
      <c r="P266" s="131"/>
      <c r="Q266" s="131"/>
      <c r="R266" s="131"/>
      <c r="S266" s="131"/>
      <c r="T266" s="131"/>
      <c r="U266" s="131"/>
      <c r="V266" s="131"/>
      <c r="W266" s="131"/>
      <c r="X266" s="131"/>
      <c r="Y266" s="131"/>
      <c r="Z266" s="131"/>
    </row>
    <row r="267">
      <c r="A267" s="290"/>
      <c r="B267" s="290"/>
      <c r="C267" s="290"/>
      <c r="D267" s="290"/>
      <c r="E267" s="290"/>
      <c r="F267" s="290"/>
      <c r="G267" s="290"/>
      <c r="H267" s="290"/>
      <c r="I267" s="290"/>
      <c r="J267" s="290"/>
      <c r="K267" s="131"/>
      <c r="L267" s="131"/>
      <c r="M267" s="131"/>
      <c r="N267" s="131"/>
      <c r="O267" s="131"/>
      <c r="P267" s="131"/>
      <c r="Q267" s="131"/>
      <c r="R267" s="131"/>
      <c r="S267" s="131"/>
      <c r="T267" s="131"/>
      <c r="U267" s="131"/>
      <c r="V267" s="131"/>
      <c r="W267" s="131"/>
      <c r="X267" s="131"/>
      <c r="Y267" s="131"/>
      <c r="Z267" s="131"/>
    </row>
    <row r="268">
      <c r="A268" s="290"/>
      <c r="B268" s="290"/>
      <c r="C268" s="290"/>
      <c r="D268" s="290"/>
      <c r="E268" s="290"/>
      <c r="F268" s="290"/>
      <c r="G268" s="290"/>
      <c r="H268" s="290"/>
      <c r="I268" s="290"/>
      <c r="J268" s="290"/>
      <c r="K268" s="131"/>
      <c r="L268" s="131"/>
      <c r="M268" s="131"/>
      <c r="N268" s="131"/>
      <c r="O268" s="131"/>
      <c r="P268" s="131"/>
      <c r="Q268" s="131"/>
      <c r="R268" s="131"/>
      <c r="S268" s="131"/>
      <c r="T268" s="131"/>
      <c r="U268" s="131"/>
      <c r="V268" s="131"/>
      <c r="W268" s="131"/>
      <c r="X268" s="131"/>
      <c r="Y268" s="131"/>
      <c r="Z268" s="131"/>
    </row>
    <row r="269">
      <c r="A269" s="290"/>
      <c r="B269" s="290"/>
      <c r="C269" s="290"/>
      <c r="D269" s="290"/>
      <c r="E269" s="290"/>
      <c r="F269" s="290"/>
      <c r="G269" s="290"/>
      <c r="H269" s="290"/>
      <c r="I269" s="290"/>
      <c r="J269" s="290"/>
      <c r="K269" s="131"/>
      <c r="L269" s="131"/>
      <c r="M269" s="131"/>
      <c r="N269" s="131"/>
      <c r="O269" s="131"/>
      <c r="P269" s="131"/>
      <c r="Q269" s="131"/>
      <c r="R269" s="131"/>
      <c r="S269" s="131"/>
      <c r="T269" s="131"/>
      <c r="U269" s="131"/>
      <c r="V269" s="131"/>
      <c r="W269" s="131"/>
      <c r="X269" s="131"/>
      <c r="Y269" s="131"/>
      <c r="Z269" s="131"/>
    </row>
    <row r="270">
      <c r="A270" s="290"/>
      <c r="B270" s="290"/>
      <c r="C270" s="290"/>
      <c r="D270" s="290"/>
      <c r="E270" s="290"/>
      <c r="F270" s="290"/>
      <c r="G270" s="290"/>
      <c r="H270" s="290"/>
      <c r="I270" s="290"/>
      <c r="J270" s="290"/>
      <c r="K270" s="131"/>
      <c r="L270" s="131"/>
      <c r="M270" s="131"/>
      <c r="N270" s="131"/>
      <c r="O270" s="131"/>
      <c r="P270" s="131"/>
      <c r="Q270" s="131"/>
      <c r="R270" s="131"/>
      <c r="S270" s="131"/>
      <c r="T270" s="131"/>
      <c r="U270" s="131"/>
      <c r="V270" s="131"/>
      <c r="W270" s="131"/>
      <c r="X270" s="131"/>
      <c r="Y270" s="131"/>
      <c r="Z270" s="131"/>
    </row>
    <row r="271">
      <c r="A271" s="290"/>
      <c r="B271" s="290"/>
      <c r="C271" s="290"/>
      <c r="D271" s="290"/>
      <c r="E271" s="290"/>
      <c r="F271" s="290"/>
      <c r="G271" s="290"/>
      <c r="H271" s="290"/>
      <c r="I271" s="290"/>
      <c r="J271" s="290"/>
      <c r="K271" s="131"/>
      <c r="L271" s="131"/>
      <c r="M271" s="131"/>
      <c r="N271" s="131"/>
      <c r="O271" s="131"/>
      <c r="P271" s="131"/>
      <c r="Q271" s="131"/>
      <c r="R271" s="131"/>
      <c r="S271" s="131"/>
      <c r="T271" s="131"/>
      <c r="U271" s="131"/>
      <c r="V271" s="131"/>
      <c r="W271" s="131"/>
      <c r="X271" s="131"/>
      <c r="Y271" s="131"/>
      <c r="Z271" s="131"/>
    </row>
    <row r="272">
      <c r="A272" s="290"/>
      <c r="B272" s="290"/>
      <c r="C272" s="290"/>
      <c r="D272" s="290"/>
      <c r="E272" s="290"/>
      <c r="F272" s="290"/>
      <c r="G272" s="290"/>
      <c r="H272" s="290"/>
      <c r="I272" s="290"/>
      <c r="J272" s="290"/>
      <c r="K272" s="131"/>
      <c r="L272" s="131"/>
      <c r="M272" s="131"/>
      <c r="N272" s="131"/>
      <c r="O272" s="131"/>
      <c r="P272" s="131"/>
      <c r="Q272" s="131"/>
      <c r="R272" s="131"/>
      <c r="S272" s="131"/>
      <c r="T272" s="131"/>
      <c r="U272" s="131"/>
      <c r="V272" s="131"/>
      <c r="W272" s="131"/>
      <c r="X272" s="131"/>
      <c r="Y272" s="131"/>
      <c r="Z272" s="131"/>
    </row>
    <row r="273">
      <c r="A273" s="290"/>
      <c r="B273" s="290"/>
      <c r="C273" s="290"/>
      <c r="D273" s="290"/>
      <c r="E273" s="290"/>
      <c r="F273" s="290"/>
      <c r="G273" s="290"/>
      <c r="H273" s="290"/>
      <c r="I273" s="290"/>
      <c r="J273" s="290"/>
      <c r="K273" s="131"/>
      <c r="L273" s="131"/>
      <c r="M273" s="131"/>
      <c r="N273" s="131"/>
      <c r="O273" s="131"/>
      <c r="P273" s="131"/>
      <c r="Q273" s="131"/>
      <c r="R273" s="131"/>
      <c r="S273" s="131"/>
      <c r="T273" s="131"/>
      <c r="U273" s="131"/>
      <c r="V273" s="131"/>
      <c r="W273" s="131"/>
      <c r="X273" s="131"/>
      <c r="Y273" s="131"/>
      <c r="Z273" s="131"/>
    </row>
    <row r="274">
      <c r="A274" s="290"/>
      <c r="B274" s="290"/>
      <c r="C274" s="290"/>
      <c r="D274" s="290"/>
      <c r="E274" s="290"/>
      <c r="F274" s="290"/>
      <c r="G274" s="290"/>
      <c r="H274" s="290"/>
      <c r="I274" s="290"/>
      <c r="J274" s="290"/>
      <c r="K274" s="131"/>
      <c r="L274" s="131"/>
      <c r="M274" s="131"/>
      <c r="N274" s="131"/>
      <c r="O274" s="131"/>
      <c r="P274" s="131"/>
      <c r="Q274" s="131"/>
      <c r="R274" s="131"/>
      <c r="S274" s="131"/>
      <c r="T274" s="131"/>
      <c r="U274" s="131"/>
      <c r="V274" s="131"/>
      <c r="W274" s="131"/>
      <c r="X274" s="131"/>
      <c r="Y274" s="131"/>
      <c r="Z274" s="131"/>
    </row>
    <row r="275">
      <c r="A275" s="290"/>
      <c r="B275" s="290"/>
      <c r="C275" s="290"/>
      <c r="D275" s="290"/>
      <c r="E275" s="290"/>
      <c r="F275" s="290"/>
      <c r="G275" s="290"/>
      <c r="H275" s="290"/>
      <c r="I275" s="290"/>
      <c r="J275" s="290"/>
      <c r="K275" s="131"/>
      <c r="L275" s="131"/>
      <c r="M275" s="131"/>
      <c r="N275" s="131"/>
      <c r="O275" s="131"/>
      <c r="P275" s="131"/>
      <c r="Q275" s="131"/>
      <c r="R275" s="131"/>
      <c r="S275" s="131"/>
      <c r="T275" s="131"/>
      <c r="U275" s="131"/>
      <c r="V275" s="131"/>
      <c r="W275" s="131"/>
      <c r="X275" s="131"/>
      <c r="Y275" s="131"/>
      <c r="Z275" s="131"/>
    </row>
    <row r="276">
      <c r="A276" s="290"/>
      <c r="B276" s="290"/>
      <c r="C276" s="290"/>
      <c r="D276" s="290"/>
      <c r="E276" s="290"/>
      <c r="F276" s="290"/>
      <c r="G276" s="290"/>
      <c r="H276" s="290"/>
      <c r="I276" s="290"/>
      <c r="J276" s="290"/>
      <c r="K276" s="131"/>
      <c r="L276" s="131"/>
      <c r="M276" s="131"/>
      <c r="N276" s="131"/>
      <c r="O276" s="131"/>
      <c r="P276" s="131"/>
      <c r="Q276" s="131"/>
      <c r="R276" s="131"/>
      <c r="S276" s="131"/>
      <c r="T276" s="131"/>
      <c r="U276" s="131"/>
      <c r="V276" s="131"/>
      <c r="W276" s="131"/>
      <c r="X276" s="131"/>
      <c r="Y276" s="131"/>
      <c r="Z276" s="131"/>
    </row>
    <row r="277">
      <c r="A277" s="290"/>
      <c r="B277" s="290"/>
      <c r="C277" s="290"/>
      <c r="D277" s="290"/>
      <c r="E277" s="290"/>
      <c r="F277" s="290"/>
      <c r="G277" s="290"/>
      <c r="H277" s="290"/>
      <c r="I277" s="290"/>
      <c r="J277" s="290"/>
      <c r="K277" s="131"/>
      <c r="L277" s="131"/>
      <c r="M277" s="131"/>
      <c r="N277" s="131"/>
      <c r="O277" s="131"/>
      <c r="P277" s="131"/>
      <c r="Q277" s="131"/>
      <c r="R277" s="131"/>
      <c r="S277" s="131"/>
      <c r="T277" s="131"/>
      <c r="U277" s="131"/>
      <c r="V277" s="131"/>
      <c r="W277" s="131"/>
      <c r="X277" s="131"/>
      <c r="Y277" s="131"/>
      <c r="Z277" s="131"/>
    </row>
    <row r="278">
      <c r="A278" s="290"/>
      <c r="B278" s="290"/>
      <c r="C278" s="290"/>
      <c r="D278" s="290"/>
      <c r="E278" s="290"/>
      <c r="F278" s="290"/>
      <c r="G278" s="290"/>
      <c r="H278" s="290"/>
      <c r="I278" s="290"/>
      <c r="J278" s="290"/>
      <c r="K278" s="131"/>
      <c r="L278" s="131"/>
      <c r="M278" s="131"/>
      <c r="N278" s="131"/>
      <c r="O278" s="131"/>
      <c r="P278" s="131"/>
      <c r="Q278" s="131"/>
      <c r="R278" s="131"/>
      <c r="S278" s="131"/>
      <c r="T278" s="131"/>
      <c r="U278" s="131"/>
      <c r="V278" s="131"/>
      <c r="W278" s="131"/>
      <c r="X278" s="131"/>
      <c r="Y278" s="131"/>
      <c r="Z278" s="131"/>
    </row>
    <row r="279">
      <c r="A279" s="290"/>
      <c r="B279" s="290"/>
      <c r="C279" s="290"/>
      <c r="D279" s="290"/>
      <c r="E279" s="290"/>
      <c r="F279" s="290"/>
      <c r="G279" s="290"/>
      <c r="H279" s="290"/>
      <c r="I279" s="290"/>
      <c r="J279" s="290"/>
      <c r="K279" s="131"/>
      <c r="L279" s="131"/>
      <c r="M279" s="131"/>
      <c r="N279" s="131"/>
      <c r="O279" s="131"/>
      <c r="P279" s="131"/>
      <c r="Q279" s="131"/>
      <c r="R279" s="131"/>
      <c r="S279" s="131"/>
      <c r="T279" s="131"/>
      <c r="U279" s="131"/>
      <c r="V279" s="131"/>
      <c r="W279" s="131"/>
      <c r="X279" s="131"/>
      <c r="Y279" s="131"/>
      <c r="Z279" s="131"/>
    </row>
    <row r="280">
      <c r="A280" s="290"/>
      <c r="B280" s="290"/>
      <c r="C280" s="290"/>
      <c r="D280" s="290"/>
      <c r="E280" s="290"/>
      <c r="F280" s="290"/>
      <c r="G280" s="290"/>
      <c r="H280" s="290"/>
      <c r="I280" s="290"/>
      <c r="J280" s="290"/>
      <c r="K280" s="131"/>
      <c r="L280" s="131"/>
      <c r="M280" s="131"/>
      <c r="N280" s="131"/>
      <c r="O280" s="131"/>
      <c r="P280" s="131"/>
      <c r="Q280" s="131"/>
      <c r="R280" s="131"/>
      <c r="S280" s="131"/>
      <c r="T280" s="131"/>
      <c r="U280" s="131"/>
      <c r="V280" s="131"/>
      <c r="W280" s="131"/>
      <c r="X280" s="131"/>
      <c r="Y280" s="131"/>
      <c r="Z280" s="131"/>
    </row>
    <row r="281">
      <c r="A281" s="290"/>
      <c r="B281" s="290"/>
      <c r="C281" s="290"/>
      <c r="D281" s="290"/>
      <c r="E281" s="290"/>
      <c r="F281" s="290"/>
      <c r="G281" s="290"/>
      <c r="H281" s="290"/>
      <c r="I281" s="290"/>
      <c r="J281" s="290"/>
      <c r="K281" s="131"/>
      <c r="L281" s="131"/>
      <c r="M281" s="131"/>
      <c r="N281" s="131"/>
      <c r="O281" s="131"/>
      <c r="P281" s="131"/>
      <c r="Q281" s="131"/>
      <c r="R281" s="131"/>
      <c r="S281" s="131"/>
      <c r="T281" s="131"/>
      <c r="U281" s="131"/>
      <c r="V281" s="131"/>
      <c r="W281" s="131"/>
      <c r="X281" s="131"/>
      <c r="Y281" s="131"/>
      <c r="Z281" s="131"/>
    </row>
    <row r="282">
      <c r="A282" s="290"/>
      <c r="B282" s="290"/>
      <c r="C282" s="290"/>
      <c r="D282" s="290"/>
      <c r="E282" s="290"/>
      <c r="F282" s="290"/>
      <c r="G282" s="290"/>
      <c r="H282" s="290"/>
      <c r="I282" s="290"/>
      <c r="J282" s="290"/>
      <c r="K282" s="131"/>
      <c r="L282" s="131"/>
      <c r="M282" s="131"/>
      <c r="N282" s="131"/>
      <c r="O282" s="131"/>
      <c r="P282" s="131"/>
      <c r="Q282" s="131"/>
      <c r="R282" s="131"/>
      <c r="S282" s="131"/>
      <c r="T282" s="131"/>
      <c r="U282" s="131"/>
      <c r="V282" s="131"/>
      <c r="W282" s="131"/>
      <c r="X282" s="131"/>
      <c r="Y282" s="131"/>
      <c r="Z282" s="131"/>
    </row>
    <row r="283">
      <c r="A283" s="290"/>
      <c r="B283" s="290"/>
      <c r="C283" s="290"/>
      <c r="D283" s="290"/>
      <c r="E283" s="290"/>
      <c r="F283" s="290"/>
      <c r="G283" s="290"/>
      <c r="H283" s="290"/>
      <c r="I283" s="290"/>
      <c r="J283" s="290"/>
      <c r="K283" s="131"/>
      <c r="L283" s="131"/>
      <c r="M283" s="131"/>
      <c r="N283" s="131"/>
      <c r="O283" s="131"/>
      <c r="P283" s="131"/>
      <c r="Q283" s="131"/>
      <c r="R283" s="131"/>
      <c r="S283" s="131"/>
      <c r="T283" s="131"/>
      <c r="U283" s="131"/>
      <c r="V283" s="131"/>
      <c r="W283" s="131"/>
      <c r="X283" s="131"/>
      <c r="Y283" s="131"/>
      <c r="Z283" s="131"/>
    </row>
    <row r="284">
      <c r="A284" s="290"/>
      <c r="B284" s="290"/>
      <c r="C284" s="290"/>
      <c r="D284" s="290"/>
      <c r="E284" s="290"/>
      <c r="F284" s="290"/>
      <c r="G284" s="290"/>
      <c r="H284" s="290"/>
      <c r="I284" s="290"/>
      <c r="J284" s="290"/>
      <c r="K284" s="131"/>
      <c r="L284" s="131"/>
      <c r="M284" s="131"/>
      <c r="N284" s="131"/>
      <c r="O284" s="131"/>
      <c r="P284" s="131"/>
      <c r="Q284" s="131"/>
      <c r="R284" s="131"/>
      <c r="S284" s="131"/>
      <c r="T284" s="131"/>
      <c r="U284" s="131"/>
      <c r="V284" s="131"/>
      <c r="W284" s="131"/>
      <c r="X284" s="131"/>
      <c r="Y284" s="131"/>
      <c r="Z284" s="131"/>
    </row>
    <row r="285">
      <c r="A285" s="290"/>
      <c r="B285" s="290"/>
      <c r="C285" s="290"/>
      <c r="D285" s="290"/>
      <c r="E285" s="290"/>
      <c r="F285" s="290"/>
      <c r="G285" s="290"/>
      <c r="H285" s="290"/>
      <c r="I285" s="290"/>
      <c r="J285" s="290"/>
      <c r="K285" s="131"/>
      <c r="L285" s="131"/>
      <c r="M285" s="131"/>
      <c r="N285" s="131"/>
      <c r="O285" s="131"/>
      <c r="P285" s="131"/>
      <c r="Q285" s="131"/>
      <c r="R285" s="131"/>
      <c r="S285" s="131"/>
      <c r="T285" s="131"/>
      <c r="U285" s="131"/>
      <c r="V285" s="131"/>
      <c r="W285" s="131"/>
      <c r="X285" s="131"/>
      <c r="Y285" s="131"/>
      <c r="Z285" s="131"/>
    </row>
    <row r="286">
      <c r="A286" s="290"/>
      <c r="B286" s="290"/>
      <c r="C286" s="290"/>
      <c r="D286" s="290"/>
      <c r="E286" s="290"/>
      <c r="F286" s="290"/>
      <c r="G286" s="290"/>
      <c r="H286" s="290"/>
      <c r="I286" s="290"/>
      <c r="J286" s="290"/>
      <c r="K286" s="131"/>
      <c r="L286" s="131"/>
      <c r="M286" s="131"/>
      <c r="N286" s="131"/>
      <c r="O286" s="131"/>
      <c r="P286" s="131"/>
      <c r="Q286" s="131"/>
      <c r="R286" s="131"/>
      <c r="S286" s="131"/>
      <c r="T286" s="131"/>
      <c r="U286" s="131"/>
      <c r="V286" s="131"/>
      <c r="W286" s="131"/>
      <c r="X286" s="131"/>
      <c r="Y286" s="131"/>
      <c r="Z286" s="131"/>
    </row>
    <row r="287">
      <c r="A287" s="290"/>
      <c r="B287" s="290"/>
      <c r="C287" s="290"/>
      <c r="D287" s="290"/>
      <c r="E287" s="290"/>
      <c r="F287" s="290"/>
      <c r="G287" s="290"/>
      <c r="H287" s="290"/>
      <c r="I287" s="290"/>
      <c r="J287" s="290"/>
      <c r="K287" s="131"/>
      <c r="L287" s="131"/>
      <c r="M287" s="131"/>
      <c r="N287" s="131"/>
      <c r="O287" s="131"/>
      <c r="P287" s="131"/>
      <c r="Q287" s="131"/>
      <c r="R287" s="131"/>
      <c r="S287" s="131"/>
      <c r="T287" s="131"/>
      <c r="U287" s="131"/>
      <c r="V287" s="131"/>
      <c r="W287" s="131"/>
      <c r="X287" s="131"/>
      <c r="Y287" s="131"/>
      <c r="Z287" s="131"/>
    </row>
    <row r="288">
      <c r="A288" s="290"/>
      <c r="B288" s="290"/>
      <c r="C288" s="290"/>
      <c r="D288" s="290"/>
      <c r="E288" s="290"/>
      <c r="F288" s="290"/>
      <c r="G288" s="290"/>
      <c r="H288" s="290"/>
      <c r="I288" s="290"/>
      <c r="J288" s="290"/>
      <c r="K288" s="131"/>
      <c r="L288" s="131"/>
      <c r="M288" s="131"/>
      <c r="N288" s="131"/>
      <c r="O288" s="131"/>
      <c r="P288" s="131"/>
      <c r="Q288" s="131"/>
      <c r="R288" s="131"/>
      <c r="S288" s="131"/>
      <c r="T288" s="131"/>
      <c r="U288" s="131"/>
      <c r="V288" s="131"/>
      <c r="W288" s="131"/>
      <c r="X288" s="131"/>
      <c r="Y288" s="131"/>
      <c r="Z288" s="131"/>
    </row>
    <row r="289">
      <c r="A289" s="290"/>
      <c r="B289" s="290"/>
      <c r="C289" s="290"/>
      <c r="D289" s="290"/>
      <c r="E289" s="290"/>
      <c r="F289" s="290"/>
      <c r="G289" s="290"/>
      <c r="H289" s="290"/>
      <c r="I289" s="290"/>
      <c r="J289" s="290"/>
      <c r="K289" s="131"/>
      <c r="L289" s="131"/>
      <c r="M289" s="131"/>
      <c r="N289" s="131"/>
      <c r="O289" s="131"/>
      <c r="P289" s="131"/>
      <c r="Q289" s="131"/>
      <c r="R289" s="131"/>
      <c r="S289" s="131"/>
      <c r="T289" s="131"/>
      <c r="U289" s="131"/>
      <c r="V289" s="131"/>
      <c r="W289" s="131"/>
      <c r="X289" s="131"/>
      <c r="Y289" s="131"/>
      <c r="Z289" s="131"/>
    </row>
    <row r="290">
      <c r="A290" s="290"/>
      <c r="B290" s="290"/>
      <c r="C290" s="290"/>
      <c r="D290" s="290"/>
      <c r="E290" s="290"/>
      <c r="F290" s="290"/>
      <c r="G290" s="290"/>
      <c r="H290" s="290"/>
      <c r="I290" s="290"/>
      <c r="J290" s="290"/>
      <c r="K290" s="131"/>
      <c r="L290" s="131"/>
      <c r="M290" s="131"/>
      <c r="N290" s="131"/>
      <c r="O290" s="131"/>
      <c r="P290" s="131"/>
      <c r="Q290" s="131"/>
      <c r="R290" s="131"/>
      <c r="S290" s="131"/>
      <c r="T290" s="131"/>
      <c r="U290" s="131"/>
      <c r="V290" s="131"/>
      <c r="W290" s="131"/>
      <c r="X290" s="131"/>
      <c r="Y290" s="131"/>
      <c r="Z290" s="131"/>
    </row>
    <row r="291">
      <c r="A291" s="290"/>
      <c r="B291" s="290"/>
      <c r="C291" s="290"/>
      <c r="D291" s="290"/>
      <c r="E291" s="290"/>
      <c r="F291" s="290"/>
      <c r="G291" s="290"/>
      <c r="H291" s="290"/>
      <c r="I291" s="290"/>
      <c r="J291" s="290"/>
      <c r="K291" s="131"/>
      <c r="L291" s="131"/>
      <c r="M291" s="131"/>
      <c r="N291" s="131"/>
      <c r="O291" s="131"/>
      <c r="P291" s="131"/>
      <c r="Q291" s="131"/>
      <c r="R291" s="131"/>
      <c r="S291" s="131"/>
      <c r="T291" s="131"/>
      <c r="U291" s="131"/>
      <c r="V291" s="131"/>
      <c r="W291" s="131"/>
      <c r="X291" s="131"/>
      <c r="Y291" s="131"/>
      <c r="Z291" s="131"/>
    </row>
    <row r="292">
      <c r="A292" s="290"/>
      <c r="B292" s="290"/>
      <c r="C292" s="290"/>
      <c r="D292" s="290"/>
      <c r="E292" s="290"/>
      <c r="F292" s="290"/>
      <c r="G292" s="290"/>
      <c r="H292" s="290"/>
      <c r="I292" s="290"/>
      <c r="J292" s="290"/>
      <c r="K292" s="131"/>
      <c r="L292" s="131"/>
      <c r="M292" s="131"/>
      <c r="N292" s="131"/>
      <c r="O292" s="131"/>
      <c r="P292" s="131"/>
      <c r="Q292" s="131"/>
      <c r="R292" s="131"/>
      <c r="S292" s="131"/>
      <c r="T292" s="131"/>
      <c r="U292" s="131"/>
      <c r="V292" s="131"/>
      <c r="W292" s="131"/>
      <c r="X292" s="131"/>
      <c r="Y292" s="131"/>
      <c r="Z292" s="131"/>
    </row>
    <row r="293">
      <c r="A293" s="290"/>
      <c r="B293" s="290"/>
      <c r="C293" s="290"/>
      <c r="D293" s="290"/>
      <c r="E293" s="290"/>
      <c r="F293" s="290"/>
      <c r="G293" s="290"/>
      <c r="H293" s="290"/>
      <c r="I293" s="290"/>
      <c r="J293" s="290"/>
      <c r="K293" s="131"/>
      <c r="L293" s="131"/>
      <c r="M293" s="131"/>
      <c r="N293" s="131"/>
      <c r="O293" s="131"/>
      <c r="P293" s="131"/>
      <c r="Q293" s="131"/>
      <c r="R293" s="131"/>
      <c r="S293" s="131"/>
      <c r="T293" s="131"/>
      <c r="U293" s="131"/>
      <c r="V293" s="131"/>
      <c r="W293" s="131"/>
      <c r="X293" s="131"/>
      <c r="Y293" s="131"/>
      <c r="Z293" s="131"/>
    </row>
    <row r="294">
      <c r="A294" s="290"/>
      <c r="B294" s="290"/>
      <c r="C294" s="290"/>
      <c r="D294" s="290"/>
      <c r="E294" s="290"/>
      <c r="F294" s="290"/>
      <c r="G294" s="290"/>
      <c r="H294" s="290"/>
      <c r="I294" s="290"/>
      <c r="J294" s="290"/>
      <c r="K294" s="131"/>
      <c r="L294" s="131"/>
      <c r="M294" s="131"/>
      <c r="N294" s="131"/>
      <c r="O294" s="131"/>
      <c r="P294" s="131"/>
      <c r="Q294" s="131"/>
      <c r="R294" s="131"/>
      <c r="S294" s="131"/>
      <c r="T294" s="131"/>
      <c r="U294" s="131"/>
      <c r="V294" s="131"/>
      <c r="W294" s="131"/>
      <c r="X294" s="131"/>
      <c r="Y294" s="131"/>
      <c r="Z294" s="131"/>
    </row>
    <row r="295">
      <c r="A295" s="290"/>
      <c r="B295" s="290"/>
      <c r="C295" s="290"/>
      <c r="D295" s="290"/>
      <c r="E295" s="290"/>
      <c r="F295" s="290"/>
      <c r="G295" s="290"/>
      <c r="H295" s="290"/>
      <c r="I295" s="290"/>
      <c r="J295" s="290"/>
      <c r="K295" s="131"/>
      <c r="L295" s="131"/>
      <c r="M295" s="131"/>
      <c r="N295" s="131"/>
      <c r="O295" s="131"/>
      <c r="P295" s="131"/>
      <c r="Q295" s="131"/>
      <c r="R295" s="131"/>
      <c r="S295" s="131"/>
      <c r="T295" s="131"/>
      <c r="U295" s="131"/>
      <c r="V295" s="131"/>
      <c r="W295" s="131"/>
      <c r="X295" s="131"/>
      <c r="Y295" s="131"/>
      <c r="Z295" s="131"/>
    </row>
    <row r="296">
      <c r="A296" s="290"/>
      <c r="B296" s="290"/>
      <c r="C296" s="290"/>
      <c r="D296" s="290"/>
      <c r="E296" s="290"/>
      <c r="F296" s="290"/>
      <c r="G296" s="290"/>
      <c r="H296" s="290"/>
      <c r="I296" s="290"/>
      <c r="J296" s="290"/>
      <c r="K296" s="131"/>
      <c r="L296" s="131"/>
      <c r="M296" s="131"/>
      <c r="N296" s="131"/>
      <c r="O296" s="131"/>
      <c r="P296" s="131"/>
      <c r="Q296" s="131"/>
      <c r="R296" s="131"/>
      <c r="S296" s="131"/>
      <c r="T296" s="131"/>
      <c r="U296" s="131"/>
      <c r="V296" s="131"/>
      <c r="W296" s="131"/>
      <c r="X296" s="131"/>
      <c r="Y296" s="131"/>
      <c r="Z296" s="131"/>
    </row>
    <row r="297">
      <c r="A297" s="290"/>
      <c r="B297" s="290"/>
      <c r="C297" s="290"/>
      <c r="D297" s="290"/>
      <c r="E297" s="290"/>
      <c r="F297" s="290"/>
      <c r="G297" s="290"/>
      <c r="H297" s="290"/>
      <c r="I297" s="290"/>
      <c r="J297" s="290"/>
      <c r="K297" s="131"/>
      <c r="L297" s="131"/>
      <c r="M297" s="131"/>
      <c r="N297" s="131"/>
      <c r="O297" s="131"/>
      <c r="P297" s="131"/>
      <c r="Q297" s="131"/>
      <c r="R297" s="131"/>
      <c r="S297" s="131"/>
      <c r="T297" s="131"/>
      <c r="U297" s="131"/>
      <c r="V297" s="131"/>
      <c r="W297" s="131"/>
      <c r="X297" s="131"/>
      <c r="Y297" s="131"/>
      <c r="Z297" s="131"/>
    </row>
    <row r="298">
      <c r="A298" s="290"/>
      <c r="B298" s="290"/>
      <c r="C298" s="290"/>
      <c r="D298" s="290"/>
      <c r="E298" s="290"/>
      <c r="F298" s="290"/>
      <c r="G298" s="290"/>
      <c r="H298" s="290"/>
      <c r="I298" s="290"/>
      <c r="J298" s="290"/>
      <c r="K298" s="131"/>
      <c r="L298" s="131"/>
      <c r="M298" s="131"/>
      <c r="N298" s="131"/>
      <c r="O298" s="131"/>
      <c r="P298" s="131"/>
      <c r="Q298" s="131"/>
      <c r="R298" s="131"/>
      <c r="S298" s="131"/>
      <c r="T298" s="131"/>
      <c r="U298" s="131"/>
      <c r="V298" s="131"/>
      <c r="W298" s="131"/>
      <c r="X298" s="131"/>
      <c r="Y298" s="131"/>
      <c r="Z298" s="131"/>
    </row>
    <row r="299">
      <c r="A299" s="290"/>
      <c r="B299" s="290"/>
      <c r="C299" s="290"/>
      <c r="D299" s="290"/>
      <c r="E299" s="290"/>
      <c r="F299" s="290"/>
      <c r="G299" s="290"/>
      <c r="H299" s="290"/>
      <c r="I299" s="290"/>
      <c r="J299" s="290"/>
      <c r="K299" s="131"/>
      <c r="L299" s="131"/>
      <c r="M299" s="131"/>
      <c r="N299" s="131"/>
      <c r="O299" s="131"/>
      <c r="P299" s="131"/>
      <c r="Q299" s="131"/>
      <c r="R299" s="131"/>
      <c r="S299" s="131"/>
      <c r="T299" s="131"/>
      <c r="U299" s="131"/>
      <c r="V299" s="131"/>
      <c r="W299" s="131"/>
      <c r="X299" s="131"/>
      <c r="Y299" s="131"/>
      <c r="Z299" s="131"/>
    </row>
    <row r="300">
      <c r="A300" s="290"/>
      <c r="B300" s="290"/>
      <c r="C300" s="290"/>
      <c r="D300" s="290"/>
      <c r="E300" s="290"/>
      <c r="F300" s="290"/>
      <c r="G300" s="290"/>
      <c r="H300" s="290"/>
      <c r="I300" s="290"/>
      <c r="J300" s="290"/>
      <c r="K300" s="131"/>
      <c r="L300" s="131"/>
      <c r="M300" s="131"/>
      <c r="N300" s="131"/>
      <c r="O300" s="131"/>
      <c r="P300" s="131"/>
      <c r="Q300" s="131"/>
      <c r="R300" s="131"/>
      <c r="S300" s="131"/>
      <c r="T300" s="131"/>
      <c r="U300" s="131"/>
      <c r="V300" s="131"/>
      <c r="W300" s="131"/>
      <c r="X300" s="131"/>
      <c r="Y300" s="131"/>
      <c r="Z300" s="131"/>
    </row>
    <row r="301">
      <c r="A301" s="290"/>
      <c r="B301" s="290"/>
      <c r="C301" s="290"/>
      <c r="D301" s="290"/>
      <c r="E301" s="290"/>
      <c r="F301" s="290"/>
      <c r="G301" s="290"/>
      <c r="H301" s="290"/>
      <c r="I301" s="290"/>
      <c r="J301" s="290"/>
      <c r="K301" s="131"/>
      <c r="L301" s="131"/>
      <c r="M301" s="131"/>
      <c r="N301" s="131"/>
      <c r="O301" s="131"/>
      <c r="P301" s="131"/>
      <c r="Q301" s="131"/>
      <c r="R301" s="131"/>
      <c r="S301" s="131"/>
      <c r="T301" s="131"/>
      <c r="U301" s="131"/>
      <c r="V301" s="131"/>
      <c r="W301" s="131"/>
      <c r="X301" s="131"/>
      <c r="Y301" s="131"/>
      <c r="Z301" s="131"/>
    </row>
    <row r="302">
      <c r="A302" s="290"/>
      <c r="B302" s="290"/>
      <c r="C302" s="290"/>
      <c r="D302" s="290"/>
      <c r="E302" s="290"/>
      <c r="F302" s="290"/>
      <c r="G302" s="290"/>
      <c r="H302" s="290"/>
      <c r="I302" s="290"/>
      <c r="J302" s="290"/>
      <c r="K302" s="131"/>
      <c r="L302" s="131"/>
      <c r="M302" s="131"/>
      <c r="N302" s="131"/>
      <c r="O302" s="131"/>
      <c r="P302" s="131"/>
      <c r="Q302" s="131"/>
      <c r="R302" s="131"/>
      <c r="S302" s="131"/>
      <c r="T302" s="131"/>
      <c r="U302" s="131"/>
      <c r="V302" s="131"/>
      <c r="W302" s="131"/>
      <c r="X302" s="131"/>
      <c r="Y302" s="131"/>
      <c r="Z302" s="131"/>
    </row>
    <row r="303">
      <c r="A303" s="290"/>
      <c r="B303" s="290"/>
      <c r="C303" s="290"/>
      <c r="D303" s="290"/>
      <c r="E303" s="290"/>
      <c r="F303" s="290"/>
      <c r="G303" s="290"/>
      <c r="H303" s="290"/>
      <c r="I303" s="290"/>
      <c r="J303" s="290"/>
      <c r="K303" s="131"/>
      <c r="L303" s="131"/>
      <c r="M303" s="131"/>
      <c r="N303" s="131"/>
      <c r="O303" s="131"/>
      <c r="P303" s="131"/>
      <c r="Q303" s="131"/>
      <c r="R303" s="131"/>
      <c r="S303" s="131"/>
      <c r="T303" s="131"/>
      <c r="U303" s="131"/>
      <c r="V303" s="131"/>
      <c r="W303" s="131"/>
      <c r="X303" s="131"/>
      <c r="Y303" s="131"/>
      <c r="Z303" s="131"/>
    </row>
    <row r="304">
      <c r="A304" s="290"/>
      <c r="B304" s="290"/>
      <c r="C304" s="290"/>
      <c r="D304" s="290"/>
      <c r="E304" s="290"/>
      <c r="F304" s="290"/>
      <c r="G304" s="290"/>
      <c r="H304" s="290"/>
      <c r="I304" s="290"/>
      <c r="J304" s="290"/>
      <c r="K304" s="131"/>
      <c r="L304" s="131"/>
      <c r="M304" s="131"/>
      <c r="N304" s="131"/>
      <c r="O304" s="131"/>
      <c r="P304" s="131"/>
      <c r="Q304" s="131"/>
      <c r="R304" s="131"/>
      <c r="S304" s="131"/>
      <c r="T304" s="131"/>
      <c r="U304" s="131"/>
      <c r="V304" s="131"/>
      <c r="W304" s="131"/>
      <c r="X304" s="131"/>
      <c r="Y304" s="131"/>
      <c r="Z304" s="131"/>
    </row>
    <row r="305">
      <c r="A305" s="290"/>
      <c r="B305" s="290"/>
      <c r="C305" s="290"/>
      <c r="D305" s="290"/>
      <c r="E305" s="290"/>
      <c r="F305" s="290"/>
      <c r="G305" s="290"/>
      <c r="H305" s="290"/>
      <c r="I305" s="290"/>
      <c r="J305" s="290"/>
      <c r="K305" s="131"/>
      <c r="L305" s="131"/>
      <c r="M305" s="131"/>
      <c r="N305" s="131"/>
      <c r="O305" s="131"/>
      <c r="P305" s="131"/>
      <c r="Q305" s="131"/>
      <c r="R305" s="131"/>
      <c r="S305" s="131"/>
      <c r="T305" s="131"/>
      <c r="U305" s="131"/>
      <c r="V305" s="131"/>
      <c r="W305" s="131"/>
      <c r="X305" s="131"/>
      <c r="Y305" s="131"/>
      <c r="Z305" s="131"/>
    </row>
    <row r="306">
      <c r="A306" s="290"/>
      <c r="B306" s="290"/>
      <c r="C306" s="290"/>
      <c r="D306" s="290"/>
      <c r="E306" s="290"/>
      <c r="F306" s="290"/>
      <c r="G306" s="290"/>
      <c r="H306" s="290"/>
      <c r="I306" s="290"/>
      <c r="J306" s="290"/>
      <c r="K306" s="131"/>
      <c r="L306" s="131"/>
      <c r="M306" s="131"/>
      <c r="N306" s="131"/>
      <c r="O306" s="131"/>
      <c r="P306" s="131"/>
      <c r="Q306" s="131"/>
      <c r="R306" s="131"/>
      <c r="S306" s="131"/>
      <c r="T306" s="131"/>
      <c r="U306" s="131"/>
      <c r="V306" s="131"/>
      <c r="W306" s="131"/>
      <c r="X306" s="131"/>
      <c r="Y306" s="131"/>
      <c r="Z306" s="131"/>
    </row>
    <row r="307">
      <c r="A307" s="290"/>
      <c r="B307" s="290"/>
      <c r="C307" s="290"/>
      <c r="D307" s="290"/>
      <c r="E307" s="290"/>
      <c r="F307" s="290"/>
      <c r="G307" s="290"/>
      <c r="H307" s="290"/>
      <c r="I307" s="290"/>
      <c r="J307" s="290"/>
      <c r="K307" s="131"/>
      <c r="L307" s="131"/>
      <c r="M307" s="131"/>
      <c r="N307" s="131"/>
      <c r="O307" s="131"/>
      <c r="P307" s="131"/>
      <c r="Q307" s="131"/>
      <c r="R307" s="131"/>
      <c r="S307" s="131"/>
      <c r="T307" s="131"/>
      <c r="U307" s="131"/>
      <c r="V307" s="131"/>
      <c r="W307" s="131"/>
      <c r="X307" s="131"/>
      <c r="Y307" s="131"/>
      <c r="Z307" s="131"/>
    </row>
    <row r="308">
      <c r="A308" s="290"/>
      <c r="B308" s="290"/>
      <c r="C308" s="290"/>
      <c r="D308" s="290"/>
      <c r="E308" s="290"/>
      <c r="F308" s="290"/>
      <c r="G308" s="290"/>
      <c r="H308" s="290"/>
      <c r="I308" s="290"/>
      <c r="J308" s="290"/>
      <c r="K308" s="131"/>
      <c r="L308" s="131"/>
      <c r="M308" s="131"/>
      <c r="N308" s="131"/>
      <c r="O308" s="131"/>
      <c r="P308" s="131"/>
      <c r="Q308" s="131"/>
      <c r="R308" s="131"/>
      <c r="S308" s="131"/>
      <c r="T308" s="131"/>
      <c r="U308" s="131"/>
      <c r="V308" s="131"/>
      <c r="W308" s="131"/>
      <c r="X308" s="131"/>
      <c r="Y308" s="131"/>
      <c r="Z308" s="131"/>
    </row>
    <row r="309">
      <c r="A309" s="290"/>
      <c r="B309" s="290"/>
      <c r="C309" s="290"/>
      <c r="D309" s="290"/>
      <c r="E309" s="290"/>
      <c r="F309" s="290"/>
      <c r="G309" s="290"/>
      <c r="H309" s="290"/>
      <c r="I309" s="290"/>
      <c r="J309" s="290"/>
      <c r="K309" s="131"/>
      <c r="L309" s="131"/>
      <c r="M309" s="131"/>
      <c r="N309" s="131"/>
      <c r="O309" s="131"/>
      <c r="P309" s="131"/>
      <c r="Q309" s="131"/>
      <c r="R309" s="131"/>
      <c r="S309" s="131"/>
      <c r="T309" s="131"/>
      <c r="U309" s="131"/>
      <c r="V309" s="131"/>
      <c r="W309" s="131"/>
      <c r="X309" s="131"/>
      <c r="Y309" s="131"/>
      <c r="Z309" s="131"/>
    </row>
    <row r="310">
      <c r="A310" s="290"/>
      <c r="B310" s="290"/>
      <c r="C310" s="290"/>
      <c r="D310" s="290"/>
      <c r="E310" s="290"/>
      <c r="F310" s="290"/>
      <c r="G310" s="290"/>
      <c r="H310" s="290"/>
      <c r="I310" s="290"/>
      <c r="J310" s="290"/>
      <c r="K310" s="131"/>
      <c r="L310" s="131"/>
      <c r="M310" s="131"/>
      <c r="N310" s="131"/>
      <c r="O310" s="131"/>
      <c r="P310" s="131"/>
      <c r="Q310" s="131"/>
      <c r="R310" s="131"/>
      <c r="S310" s="131"/>
      <c r="T310" s="131"/>
      <c r="U310" s="131"/>
      <c r="V310" s="131"/>
      <c r="W310" s="131"/>
      <c r="X310" s="131"/>
      <c r="Y310" s="131"/>
      <c r="Z310" s="131"/>
    </row>
    <row r="311">
      <c r="A311" s="290"/>
      <c r="B311" s="290"/>
      <c r="C311" s="290"/>
      <c r="D311" s="290"/>
      <c r="E311" s="290"/>
      <c r="F311" s="290"/>
      <c r="G311" s="290"/>
      <c r="H311" s="290"/>
      <c r="I311" s="290"/>
      <c r="J311" s="290"/>
      <c r="K311" s="131"/>
      <c r="L311" s="131"/>
      <c r="M311" s="131"/>
      <c r="N311" s="131"/>
      <c r="O311" s="131"/>
      <c r="P311" s="131"/>
      <c r="Q311" s="131"/>
      <c r="R311" s="131"/>
      <c r="S311" s="131"/>
      <c r="T311" s="131"/>
      <c r="U311" s="131"/>
      <c r="V311" s="131"/>
      <c r="W311" s="131"/>
      <c r="X311" s="131"/>
      <c r="Y311" s="131"/>
      <c r="Z311" s="131"/>
    </row>
    <row r="312">
      <c r="A312" s="290"/>
      <c r="B312" s="290"/>
      <c r="C312" s="290"/>
      <c r="D312" s="290"/>
      <c r="E312" s="290"/>
      <c r="F312" s="290"/>
      <c r="G312" s="290"/>
      <c r="H312" s="290"/>
      <c r="I312" s="290"/>
      <c r="J312" s="290"/>
      <c r="K312" s="131"/>
      <c r="L312" s="131"/>
      <c r="M312" s="131"/>
      <c r="N312" s="131"/>
      <c r="O312" s="131"/>
      <c r="P312" s="131"/>
      <c r="Q312" s="131"/>
      <c r="R312" s="131"/>
      <c r="S312" s="131"/>
      <c r="T312" s="131"/>
      <c r="U312" s="131"/>
      <c r="V312" s="131"/>
      <c r="W312" s="131"/>
      <c r="X312" s="131"/>
      <c r="Y312" s="131"/>
      <c r="Z312" s="131"/>
    </row>
    <row r="313">
      <c r="A313" s="290"/>
      <c r="B313" s="290"/>
      <c r="C313" s="290"/>
      <c r="D313" s="290"/>
      <c r="E313" s="290"/>
      <c r="F313" s="290"/>
      <c r="G313" s="290"/>
      <c r="H313" s="290"/>
      <c r="I313" s="290"/>
      <c r="J313" s="290"/>
      <c r="K313" s="131"/>
      <c r="L313" s="131"/>
      <c r="M313" s="131"/>
      <c r="N313" s="131"/>
      <c r="O313" s="131"/>
      <c r="P313" s="131"/>
      <c r="Q313" s="131"/>
      <c r="R313" s="131"/>
      <c r="S313" s="131"/>
      <c r="T313" s="131"/>
      <c r="U313" s="131"/>
      <c r="V313" s="131"/>
      <c r="W313" s="131"/>
      <c r="X313" s="131"/>
      <c r="Y313" s="131"/>
      <c r="Z313" s="131"/>
    </row>
    <row r="314">
      <c r="A314" s="290"/>
      <c r="B314" s="290"/>
      <c r="C314" s="290"/>
      <c r="D314" s="290"/>
      <c r="E314" s="290"/>
      <c r="F314" s="290"/>
      <c r="G314" s="290"/>
      <c r="H314" s="290"/>
      <c r="I314" s="290"/>
      <c r="J314" s="290"/>
      <c r="K314" s="131"/>
      <c r="L314" s="131"/>
      <c r="M314" s="131"/>
      <c r="N314" s="131"/>
      <c r="O314" s="131"/>
      <c r="P314" s="131"/>
      <c r="Q314" s="131"/>
      <c r="R314" s="131"/>
      <c r="S314" s="131"/>
      <c r="T314" s="131"/>
      <c r="U314" s="131"/>
      <c r="V314" s="131"/>
      <c r="W314" s="131"/>
      <c r="X314" s="131"/>
      <c r="Y314" s="131"/>
      <c r="Z314" s="131"/>
    </row>
    <row r="315">
      <c r="A315" s="290"/>
      <c r="B315" s="290"/>
      <c r="C315" s="290"/>
      <c r="D315" s="290"/>
      <c r="E315" s="290"/>
      <c r="F315" s="290"/>
      <c r="G315" s="290"/>
      <c r="H315" s="290"/>
      <c r="I315" s="290"/>
      <c r="J315" s="290"/>
      <c r="K315" s="131"/>
      <c r="L315" s="131"/>
      <c r="M315" s="131"/>
      <c r="N315" s="131"/>
      <c r="O315" s="131"/>
      <c r="P315" s="131"/>
      <c r="Q315" s="131"/>
      <c r="R315" s="131"/>
      <c r="S315" s="131"/>
      <c r="T315" s="131"/>
      <c r="U315" s="131"/>
      <c r="V315" s="131"/>
      <c r="W315" s="131"/>
      <c r="X315" s="131"/>
      <c r="Y315" s="131"/>
      <c r="Z315" s="131"/>
    </row>
    <row r="316">
      <c r="A316" s="290"/>
      <c r="B316" s="290"/>
      <c r="C316" s="290"/>
      <c r="D316" s="290"/>
      <c r="E316" s="290"/>
      <c r="F316" s="290"/>
      <c r="G316" s="290"/>
      <c r="H316" s="290"/>
      <c r="I316" s="290"/>
      <c r="J316" s="290"/>
      <c r="K316" s="131"/>
      <c r="L316" s="131"/>
      <c r="M316" s="131"/>
      <c r="N316" s="131"/>
      <c r="O316" s="131"/>
      <c r="P316" s="131"/>
      <c r="Q316" s="131"/>
      <c r="R316" s="131"/>
      <c r="S316" s="131"/>
      <c r="T316" s="131"/>
      <c r="U316" s="131"/>
      <c r="V316" s="131"/>
      <c r="W316" s="131"/>
      <c r="X316" s="131"/>
      <c r="Y316" s="131"/>
      <c r="Z316" s="131"/>
    </row>
    <row r="317">
      <c r="A317" s="290"/>
      <c r="B317" s="290"/>
      <c r="C317" s="290"/>
      <c r="D317" s="290"/>
      <c r="E317" s="290"/>
      <c r="F317" s="290"/>
      <c r="G317" s="290"/>
      <c r="H317" s="290"/>
      <c r="I317" s="290"/>
      <c r="J317" s="290"/>
      <c r="K317" s="131"/>
      <c r="L317" s="131"/>
      <c r="M317" s="131"/>
      <c r="N317" s="131"/>
      <c r="O317" s="131"/>
      <c r="P317" s="131"/>
      <c r="Q317" s="131"/>
      <c r="R317" s="131"/>
      <c r="S317" s="131"/>
      <c r="T317" s="131"/>
      <c r="U317" s="131"/>
      <c r="V317" s="131"/>
      <c r="W317" s="131"/>
      <c r="X317" s="131"/>
      <c r="Y317" s="131"/>
      <c r="Z317" s="131"/>
    </row>
    <row r="318">
      <c r="A318" s="290"/>
      <c r="B318" s="290"/>
      <c r="C318" s="290"/>
      <c r="D318" s="290"/>
      <c r="E318" s="290"/>
      <c r="F318" s="290"/>
      <c r="G318" s="290"/>
      <c r="H318" s="290"/>
      <c r="I318" s="290"/>
      <c r="J318" s="290"/>
      <c r="K318" s="131"/>
      <c r="L318" s="131"/>
      <c r="M318" s="131"/>
      <c r="N318" s="131"/>
      <c r="O318" s="131"/>
      <c r="P318" s="131"/>
      <c r="Q318" s="131"/>
      <c r="R318" s="131"/>
      <c r="S318" s="131"/>
      <c r="T318" s="131"/>
      <c r="U318" s="131"/>
      <c r="V318" s="131"/>
      <c r="W318" s="131"/>
      <c r="X318" s="131"/>
      <c r="Y318" s="131"/>
      <c r="Z318" s="131"/>
    </row>
    <row r="319">
      <c r="A319" s="290"/>
      <c r="B319" s="290"/>
      <c r="C319" s="290"/>
      <c r="D319" s="290"/>
      <c r="E319" s="290"/>
      <c r="F319" s="290"/>
      <c r="G319" s="290"/>
      <c r="H319" s="290"/>
      <c r="I319" s="290"/>
      <c r="J319" s="290"/>
      <c r="K319" s="131"/>
      <c r="L319" s="131"/>
      <c r="M319" s="131"/>
      <c r="N319" s="131"/>
      <c r="O319" s="131"/>
      <c r="P319" s="131"/>
      <c r="Q319" s="131"/>
      <c r="R319" s="131"/>
      <c r="S319" s="131"/>
      <c r="T319" s="131"/>
      <c r="U319" s="131"/>
      <c r="V319" s="131"/>
      <c r="W319" s="131"/>
      <c r="X319" s="131"/>
      <c r="Y319" s="131"/>
      <c r="Z319" s="131"/>
    </row>
    <row r="320">
      <c r="A320" s="290"/>
      <c r="B320" s="290"/>
      <c r="C320" s="290"/>
      <c r="D320" s="290"/>
      <c r="E320" s="290"/>
      <c r="F320" s="290"/>
      <c r="G320" s="290"/>
      <c r="H320" s="290"/>
      <c r="I320" s="290"/>
      <c r="J320" s="290"/>
      <c r="K320" s="131"/>
      <c r="L320" s="131"/>
      <c r="M320" s="131"/>
      <c r="N320" s="131"/>
      <c r="O320" s="131"/>
      <c r="P320" s="131"/>
      <c r="Q320" s="131"/>
      <c r="R320" s="131"/>
      <c r="S320" s="131"/>
      <c r="T320" s="131"/>
      <c r="U320" s="131"/>
      <c r="V320" s="131"/>
      <c r="W320" s="131"/>
      <c r="X320" s="131"/>
      <c r="Y320" s="131"/>
      <c r="Z320" s="131"/>
    </row>
    <row r="321">
      <c r="A321" s="290"/>
      <c r="B321" s="290"/>
      <c r="C321" s="290"/>
      <c r="D321" s="290"/>
      <c r="E321" s="290"/>
      <c r="F321" s="290"/>
      <c r="G321" s="290"/>
      <c r="H321" s="290"/>
      <c r="I321" s="290"/>
      <c r="J321" s="290"/>
      <c r="K321" s="131"/>
      <c r="L321" s="131"/>
      <c r="M321" s="131"/>
      <c r="N321" s="131"/>
      <c r="O321" s="131"/>
      <c r="P321" s="131"/>
      <c r="Q321" s="131"/>
      <c r="R321" s="131"/>
      <c r="S321" s="131"/>
      <c r="T321" s="131"/>
      <c r="U321" s="131"/>
      <c r="V321" s="131"/>
      <c r="W321" s="131"/>
      <c r="X321" s="131"/>
      <c r="Y321" s="131"/>
      <c r="Z321" s="131"/>
    </row>
    <row r="322">
      <c r="A322" s="290"/>
      <c r="B322" s="290"/>
      <c r="C322" s="290"/>
      <c r="D322" s="290"/>
      <c r="E322" s="290"/>
      <c r="F322" s="290"/>
      <c r="G322" s="290"/>
      <c r="H322" s="290"/>
      <c r="I322" s="290"/>
      <c r="J322" s="290"/>
      <c r="K322" s="131"/>
      <c r="L322" s="131"/>
      <c r="M322" s="131"/>
      <c r="N322" s="131"/>
      <c r="O322" s="131"/>
      <c r="P322" s="131"/>
      <c r="Q322" s="131"/>
      <c r="R322" s="131"/>
      <c r="S322" s="131"/>
      <c r="T322" s="131"/>
      <c r="U322" s="131"/>
      <c r="V322" s="131"/>
      <c r="W322" s="131"/>
      <c r="X322" s="131"/>
      <c r="Y322" s="131"/>
      <c r="Z322" s="131"/>
    </row>
    <row r="323">
      <c r="A323" s="290"/>
      <c r="B323" s="290"/>
      <c r="C323" s="290"/>
      <c r="D323" s="290"/>
      <c r="E323" s="290"/>
      <c r="F323" s="290"/>
      <c r="G323" s="290"/>
      <c r="H323" s="290"/>
      <c r="I323" s="290"/>
      <c r="J323" s="290"/>
      <c r="K323" s="131"/>
      <c r="L323" s="131"/>
      <c r="M323" s="131"/>
      <c r="N323" s="131"/>
      <c r="O323" s="131"/>
      <c r="P323" s="131"/>
      <c r="Q323" s="131"/>
      <c r="R323" s="131"/>
      <c r="S323" s="131"/>
      <c r="T323" s="131"/>
      <c r="U323" s="131"/>
      <c r="V323" s="131"/>
      <c r="W323" s="131"/>
      <c r="X323" s="131"/>
      <c r="Y323" s="131"/>
      <c r="Z323" s="131"/>
    </row>
    <row r="324">
      <c r="A324" s="290"/>
      <c r="B324" s="290"/>
      <c r="C324" s="290"/>
      <c r="D324" s="290"/>
      <c r="E324" s="290"/>
      <c r="F324" s="290"/>
      <c r="G324" s="290"/>
      <c r="H324" s="290"/>
      <c r="I324" s="290"/>
      <c r="J324" s="290"/>
      <c r="K324" s="131"/>
      <c r="L324" s="131"/>
      <c r="M324" s="131"/>
      <c r="N324" s="131"/>
      <c r="O324" s="131"/>
      <c r="P324" s="131"/>
      <c r="Q324" s="131"/>
      <c r="R324" s="131"/>
      <c r="S324" s="131"/>
      <c r="T324" s="131"/>
      <c r="U324" s="131"/>
      <c r="V324" s="131"/>
      <c r="W324" s="131"/>
      <c r="X324" s="131"/>
      <c r="Y324" s="131"/>
      <c r="Z324" s="131"/>
    </row>
    <row r="325">
      <c r="A325" s="290"/>
      <c r="B325" s="290"/>
      <c r="C325" s="290"/>
      <c r="D325" s="290"/>
      <c r="E325" s="290"/>
      <c r="F325" s="290"/>
      <c r="G325" s="290"/>
      <c r="H325" s="290"/>
      <c r="I325" s="290"/>
      <c r="J325" s="290"/>
      <c r="K325" s="131"/>
      <c r="L325" s="131"/>
      <c r="M325" s="131"/>
      <c r="N325" s="131"/>
      <c r="O325" s="131"/>
      <c r="P325" s="131"/>
      <c r="Q325" s="131"/>
      <c r="R325" s="131"/>
      <c r="S325" s="131"/>
      <c r="T325" s="131"/>
      <c r="U325" s="131"/>
      <c r="V325" s="131"/>
      <c r="W325" s="131"/>
      <c r="X325" s="131"/>
      <c r="Y325" s="131"/>
      <c r="Z325" s="131"/>
    </row>
    <row r="326">
      <c r="A326" s="290"/>
      <c r="B326" s="290"/>
      <c r="C326" s="290"/>
      <c r="D326" s="290"/>
      <c r="E326" s="290"/>
      <c r="F326" s="290"/>
      <c r="G326" s="290"/>
      <c r="H326" s="290"/>
      <c r="I326" s="290"/>
      <c r="J326" s="290"/>
      <c r="K326" s="131"/>
      <c r="L326" s="131"/>
      <c r="M326" s="131"/>
      <c r="N326" s="131"/>
      <c r="O326" s="131"/>
      <c r="P326" s="131"/>
      <c r="Q326" s="131"/>
      <c r="R326" s="131"/>
      <c r="S326" s="131"/>
      <c r="T326" s="131"/>
      <c r="U326" s="131"/>
      <c r="V326" s="131"/>
      <c r="W326" s="131"/>
      <c r="X326" s="131"/>
      <c r="Y326" s="131"/>
      <c r="Z326" s="131"/>
    </row>
    <row r="327">
      <c r="A327" s="290"/>
      <c r="B327" s="290"/>
      <c r="C327" s="290"/>
      <c r="D327" s="290"/>
      <c r="E327" s="290"/>
      <c r="F327" s="290"/>
      <c r="G327" s="290"/>
      <c r="H327" s="290"/>
      <c r="I327" s="290"/>
      <c r="J327" s="290"/>
      <c r="K327" s="131"/>
      <c r="L327" s="131"/>
      <c r="M327" s="131"/>
      <c r="N327" s="131"/>
      <c r="O327" s="131"/>
      <c r="P327" s="131"/>
      <c r="Q327" s="131"/>
      <c r="R327" s="131"/>
      <c r="S327" s="131"/>
      <c r="T327" s="131"/>
      <c r="U327" s="131"/>
      <c r="V327" s="131"/>
      <c r="W327" s="131"/>
      <c r="X327" s="131"/>
      <c r="Y327" s="131"/>
      <c r="Z327" s="131"/>
    </row>
    <row r="328">
      <c r="A328" s="290"/>
      <c r="B328" s="290"/>
      <c r="C328" s="290"/>
      <c r="D328" s="290"/>
      <c r="E328" s="290"/>
      <c r="F328" s="290"/>
      <c r="G328" s="290"/>
      <c r="H328" s="290"/>
      <c r="I328" s="290"/>
      <c r="J328" s="290"/>
      <c r="K328" s="131"/>
      <c r="L328" s="131"/>
      <c r="M328" s="131"/>
      <c r="N328" s="131"/>
      <c r="O328" s="131"/>
      <c r="P328" s="131"/>
      <c r="Q328" s="131"/>
      <c r="R328" s="131"/>
      <c r="S328" s="131"/>
      <c r="T328" s="131"/>
      <c r="U328" s="131"/>
      <c r="V328" s="131"/>
      <c r="W328" s="131"/>
      <c r="X328" s="131"/>
      <c r="Y328" s="131"/>
      <c r="Z328" s="131"/>
    </row>
    <row r="329">
      <c r="A329" s="290"/>
      <c r="B329" s="290"/>
      <c r="C329" s="290"/>
      <c r="D329" s="290"/>
      <c r="E329" s="290"/>
      <c r="F329" s="290"/>
      <c r="G329" s="290"/>
      <c r="H329" s="290"/>
      <c r="I329" s="290"/>
      <c r="J329" s="290"/>
      <c r="K329" s="131"/>
      <c r="L329" s="131"/>
      <c r="M329" s="131"/>
      <c r="N329" s="131"/>
      <c r="O329" s="131"/>
      <c r="P329" s="131"/>
      <c r="Q329" s="131"/>
      <c r="R329" s="131"/>
      <c r="S329" s="131"/>
      <c r="T329" s="131"/>
      <c r="U329" s="131"/>
      <c r="V329" s="131"/>
      <c r="W329" s="131"/>
      <c r="X329" s="131"/>
      <c r="Y329" s="131"/>
      <c r="Z329" s="131"/>
    </row>
    <row r="330">
      <c r="A330" s="290"/>
      <c r="B330" s="290"/>
      <c r="C330" s="290"/>
      <c r="D330" s="290"/>
      <c r="E330" s="290"/>
      <c r="F330" s="290"/>
      <c r="G330" s="290"/>
      <c r="H330" s="290"/>
      <c r="I330" s="290"/>
      <c r="J330" s="290"/>
      <c r="K330" s="131"/>
      <c r="L330" s="131"/>
      <c r="M330" s="131"/>
      <c r="N330" s="131"/>
      <c r="O330" s="131"/>
      <c r="P330" s="131"/>
      <c r="Q330" s="131"/>
      <c r="R330" s="131"/>
      <c r="S330" s="131"/>
      <c r="T330" s="131"/>
      <c r="U330" s="131"/>
      <c r="V330" s="131"/>
      <c r="W330" s="131"/>
      <c r="X330" s="131"/>
      <c r="Y330" s="131"/>
      <c r="Z330" s="131"/>
    </row>
    <row r="331">
      <c r="A331" s="290"/>
      <c r="B331" s="290"/>
      <c r="C331" s="290"/>
      <c r="D331" s="290"/>
      <c r="E331" s="290"/>
      <c r="F331" s="290"/>
      <c r="G331" s="290"/>
      <c r="H331" s="290"/>
      <c r="I331" s="290"/>
      <c r="J331" s="290"/>
      <c r="K331" s="131"/>
      <c r="L331" s="131"/>
      <c r="M331" s="131"/>
      <c r="N331" s="131"/>
      <c r="O331" s="131"/>
      <c r="P331" s="131"/>
      <c r="Q331" s="131"/>
      <c r="R331" s="131"/>
      <c r="S331" s="131"/>
      <c r="T331" s="131"/>
      <c r="U331" s="131"/>
      <c r="V331" s="131"/>
      <c r="W331" s="131"/>
      <c r="X331" s="131"/>
      <c r="Y331" s="131"/>
      <c r="Z331" s="131"/>
    </row>
    <row r="332">
      <c r="A332" s="290"/>
      <c r="B332" s="290"/>
      <c r="C332" s="290"/>
      <c r="D332" s="290"/>
      <c r="E332" s="290"/>
      <c r="F332" s="290"/>
      <c r="G332" s="290"/>
      <c r="H332" s="290"/>
      <c r="I332" s="290"/>
      <c r="J332" s="290"/>
      <c r="K332" s="131"/>
      <c r="L332" s="131"/>
      <c r="M332" s="131"/>
      <c r="N332" s="131"/>
      <c r="O332" s="131"/>
      <c r="P332" s="131"/>
      <c r="Q332" s="131"/>
      <c r="R332" s="131"/>
      <c r="S332" s="131"/>
      <c r="T332" s="131"/>
      <c r="U332" s="131"/>
      <c r="V332" s="131"/>
      <c r="W332" s="131"/>
      <c r="X332" s="131"/>
      <c r="Y332" s="131"/>
      <c r="Z332" s="131"/>
    </row>
    <row r="333">
      <c r="A333" s="290"/>
      <c r="B333" s="290"/>
      <c r="C333" s="290"/>
      <c r="D333" s="290"/>
      <c r="E333" s="290"/>
      <c r="F333" s="290"/>
      <c r="G333" s="290"/>
      <c r="H333" s="290"/>
      <c r="I333" s="290"/>
      <c r="J333" s="290"/>
      <c r="K333" s="131"/>
      <c r="L333" s="131"/>
      <c r="M333" s="131"/>
      <c r="N333" s="131"/>
      <c r="O333" s="131"/>
      <c r="P333" s="131"/>
      <c r="Q333" s="131"/>
      <c r="R333" s="131"/>
      <c r="S333" s="131"/>
      <c r="T333" s="131"/>
      <c r="U333" s="131"/>
      <c r="V333" s="131"/>
      <c r="W333" s="131"/>
      <c r="X333" s="131"/>
      <c r="Y333" s="131"/>
      <c r="Z333" s="131"/>
    </row>
    <row r="334">
      <c r="A334" s="290"/>
      <c r="B334" s="290"/>
      <c r="C334" s="290"/>
      <c r="D334" s="290"/>
      <c r="E334" s="290"/>
      <c r="F334" s="290"/>
      <c r="G334" s="290"/>
      <c r="H334" s="290"/>
      <c r="I334" s="290"/>
      <c r="J334" s="290"/>
      <c r="K334" s="131"/>
      <c r="L334" s="131"/>
      <c r="M334" s="131"/>
      <c r="N334" s="131"/>
      <c r="O334" s="131"/>
      <c r="P334" s="131"/>
      <c r="Q334" s="131"/>
      <c r="R334" s="131"/>
      <c r="S334" s="131"/>
      <c r="T334" s="131"/>
      <c r="U334" s="131"/>
      <c r="V334" s="131"/>
      <c r="W334" s="131"/>
      <c r="X334" s="131"/>
      <c r="Y334" s="131"/>
      <c r="Z334" s="131"/>
    </row>
    <row r="335">
      <c r="A335" s="290"/>
      <c r="B335" s="290"/>
      <c r="C335" s="290"/>
      <c r="D335" s="290"/>
      <c r="E335" s="290"/>
      <c r="F335" s="290"/>
      <c r="G335" s="290"/>
      <c r="H335" s="290"/>
      <c r="I335" s="290"/>
      <c r="J335" s="290"/>
      <c r="K335" s="131"/>
      <c r="L335" s="131"/>
      <c r="M335" s="131"/>
      <c r="N335" s="131"/>
      <c r="O335" s="131"/>
      <c r="P335" s="131"/>
      <c r="Q335" s="131"/>
      <c r="R335" s="131"/>
      <c r="S335" s="131"/>
      <c r="T335" s="131"/>
      <c r="U335" s="131"/>
      <c r="V335" s="131"/>
      <c r="W335" s="131"/>
      <c r="X335" s="131"/>
      <c r="Y335" s="131"/>
      <c r="Z335" s="131"/>
    </row>
    <row r="336">
      <c r="A336" s="290"/>
      <c r="B336" s="290"/>
      <c r="C336" s="290"/>
      <c r="D336" s="290"/>
      <c r="E336" s="290"/>
      <c r="F336" s="290"/>
      <c r="G336" s="290"/>
      <c r="H336" s="290"/>
      <c r="I336" s="290"/>
      <c r="J336" s="290"/>
      <c r="K336" s="131"/>
      <c r="L336" s="131"/>
      <c r="M336" s="131"/>
      <c r="N336" s="131"/>
      <c r="O336" s="131"/>
      <c r="P336" s="131"/>
      <c r="Q336" s="131"/>
      <c r="R336" s="131"/>
      <c r="S336" s="131"/>
      <c r="T336" s="131"/>
      <c r="U336" s="131"/>
      <c r="V336" s="131"/>
      <c r="W336" s="131"/>
      <c r="X336" s="131"/>
      <c r="Y336" s="131"/>
      <c r="Z336" s="131"/>
    </row>
    <row r="337">
      <c r="A337" s="290"/>
      <c r="B337" s="290"/>
      <c r="C337" s="290"/>
      <c r="D337" s="290"/>
      <c r="E337" s="290"/>
      <c r="F337" s="290"/>
      <c r="G337" s="290"/>
      <c r="H337" s="290"/>
      <c r="I337" s="290"/>
      <c r="J337" s="290"/>
      <c r="K337" s="131"/>
      <c r="L337" s="131"/>
      <c r="M337" s="131"/>
      <c r="N337" s="131"/>
      <c r="O337" s="131"/>
      <c r="P337" s="131"/>
      <c r="Q337" s="131"/>
      <c r="R337" s="131"/>
      <c r="S337" s="131"/>
      <c r="T337" s="131"/>
      <c r="U337" s="131"/>
      <c r="V337" s="131"/>
      <c r="W337" s="131"/>
      <c r="X337" s="131"/>
      <c r="Y337" s="131"/>
      <c r="Z337" s="131"/>
    </row>
    <row r="338">
      <c r="A338" s="290"/>
      <c r="B338" s="290"/>
      <c r="C338" s="290"/>
      <c r="D338" s="290"/>
      <c r="E338" s="290"/>
      <c r="F338" s="290"/>
      <c r="G338" s="290"/>
      <c r="H338" s="290"/>
      <c r="I338" s="290"/>
      <c r="J338" s="290"/>
      <c r="K338" s="131"/>
      <c r="L338" s="131"/>
      <c r="M338" s="131"/>
      <c r="N338" s="131"/>
      <c r="O338" s="131"/>
      <c r="P338" s="131"/>
      <c r="Q338" s="131"/>
      <c r="R338" s="131"/>
      <c r="S338" s="131"/>
      <c r="T338" s="131"/>
      <c r="U338" s="131"/>
      <c r="V338" s="131"/>
      <c r="W338" s="131"/>
      <c r="X338" s="131"/>
      <c r="Y338" s="131"/>
      <c r="Z338" s="131"/>
    </row>
    <row r="339">
      <c r="A339" s="290"/>
      <c r="B339" s="290"/>
      <c r="C339" s="290"/>
      <c r="D339" s="290"/>
      <c r="E339" s="290"/>
      <c r="F339" s="290"/>
      <c r="G339" s="290"/>
      <c r="H339" s="290"/>
      <c r="I339" s="290"/>
      <c r="J339" s="290"/>
      <c r="K339" s="131"/>
      <c r="L339" s="131"/>
      <c r="M339" s="131"/>
      <c r="N339" s="131"/>
      <c r="O339" s="131"/>
      <c r="P339" s="131"/>
      <c r="Q339" s="131"/>
      <c r="R339" s="131"/>
      <c r="S339" s="131"/>
      <c r="T339" s="131"/>
      <c r="U339" s="131"/>
      <c r="V339" s="131"/>
      <c r="W339" s="131"/>
      <c r="X339" s="131"/>
      <c r="Y339" s="131"/>
      <c r="Z339" s="131"/>
    </row>
    <row r="340">
      <c r="A340" s="290"/>
      <c r="B340" s="290"/>
      <c r="C340" s="290"/>
      <c r="D340" s="290"/>
      <c r="E340" s="290"/>
      <c r="F340" s="290"/>
      <c r="G340" s="290"/>
      <c r="H340" s="290"/>
      <c r="I340" s="290"/>
      <c r="J340" s="290"/>
      <c r="K340" s="131"/>
      <c r="L340" s="131"/>
      <c r="M340" s="131"/>
      <c r="N340" s="131"/>
      <c r="O340" s="131"/>
      <c r="P340" s="131"/>
      <c r="Q340" s="131"/>
      <c r="R340" s="131"/>
      <c r="S340" s="131"/>
      <c r="T340" s="131"/>
      <c r="U340" s="131"/>
      <c r="V340" s="131"/>
      <c r="W340" s="131"/>
      <c r="X340" s="131"/>
      <c r="Y340" s="131"/>
      <c r="Z340" s="131"/>
    </row>
    <row r="341">
      <c r="A341" s="290"/>
      <c r="B341" s="290"/>
      <c r="C341" s="290"/>
      <c r="D341" s="290"/>
      <c r="E341" s="290"/>
      <c r="F341" s="290"/>
      <c r="G341" s="290"/>
      <c r="H341" s="290"/>
      <c r="I341" s="290"/>
      <c r="J341" s="290"/>
      <c r="K341" s="131"/>
      <c r="L341" s="131"/>
      <c r="M341" s="131"/>
      <c r="N341" s="131"/>
      <c r="O341" s="131"/>
      <c r="P341" s="131"/>
      <c r="Q341" s="131"/>
      <c r="R341" s="131"/>
      <c r="S341" s="131"/>
      <c r="T341" s="131"/>
      <c r="U341" s="131"/>
      <c r="V341" s="131"/>
      <c r="W341" s="131"/>
      <c r="X341" s="131"/>
      <c r="Y341" s="131"/>
      <c r="Z341" s="131"/>
    </row>
    <row r="342">
      <c r="A342" s="290"/>
      <c r="B342" s="290"/>
      <c r="C342" s="290"/>
      <c r="D342" s="290"/>
      <c r="E342" s="290"/>
      <c r="F342" s="290"/>
      <c r="G342" s="290"/>
      <c r="H342" s="290"/>
      <c r="I342" s="290"/>
      <c r="J342" s="290"/>
      <c r="K342" s="131"/>
      <c r="L342" s="131"/>
      <c r="M342" s="131"/>
      <c r="N342" s="131"/>
      <c r="O342" s="131"/>
      <c r="P342" s="131"/>
      <c r="Q342" s="131"/>
      <c r="R342" s="131"/>
      <c r="S342" s="131"/>
      <c r="T342" s="131"/>
      <c r="U342" s="131"/>
      <c r="V342" s="131"/>
      <c r="W342" s="131"/>
      <c r="X342" s="131"/>
      <c r="Y342" s="131"/>
      <c r="Z342" s="131"/>
    </row>
    <row r="343">
      <c r="A343" s="290"/>
      <c r="B343" s="290"/>
      <c r="C343" s="290"/>
      <c r="D343" s="290"/>
      <c r="E343" s="290"/>
      <c r="F343" s="290"/>
      <c r="G343" s="290"/>
      <c r="H343" s="290"/>
      <c r="I343" s="290"/>
      <c r="J343" s="290"/>
      <c r="K343" s="131"/>
      <c r="L343" s="131"/>
      <c r="M343" s="131"/>
      <c r="N343" s="131"/>
      <c r="O343" s="131"/>
      <c r="P343" s="131"/>
      <c r="Q343" s="131"/>
      <c r="R343" s="131"/>
      <c r="S343" s="131"/>
      <c r="T343" s="131"/>
      <c r="U343" s="131"/>
      <c r="V343" s="131"/>
      <c r="W343" s="131"/>
      <c r="X343" s="131"/>
      <c r="Y343" s="131"/>
      <c r="Z343" s="131"/>
    </row>
    <row r="344">
      <c r="A344" s="290"/>
      <c r="B344" s="290"/>
      <c r="C344" s="290"/>
      <c r="D344" s="290"/>
      <c r="E344" s="290"/>
      <c r="F344" s="290"/>
      <c r="G344" s="290"/>
      <c r="H344" s="290"/>
      <c r="I344" s="290"/>
      <c r="J344" s="290"/>
      <c r="K344" s="131"/>
      <c r="L344" s="131"/>
      <c r="M344" s="131"/>
      <c r="N344" s="131"/>
      <c r="O344" s="131"/>
      <c r="P344" s="131"/>
      <c r="Q344" s="131"/>
      <c r="R344" s="131"/>
      <c r="S344" s="131"/>
      <c r="T344" s="131"/>
      <c r="U344" s="131"/>
      <c r="V344" s="131"/>
      <c r="W344" s="131"/>
      <c r="X344" s="131"/>
      <c r="Y344" s="131"/>
      <c r="Z344" s="131"/>
    </row>
    <row r="345">
      <c r="A345" s="290"/>
      <c r="B345" s="290"/>
      <c r="C345" s="290"/>
      <c r="D345" s="290"/>
      <c r="E345" s="290"/>
      <c r="F345" s="290"/>
      <c r="G345" s="290"/>
      <c r="H345" s="290"/>
      <c r="I345" s="290"/>
      <c r="J345" s="290"/>
      <c r="K345" s="131"/>
      <c r="L345" s="131"/>
      <c r="M345" s="131"/>
      <c r="N345" s="131"/>
      <c r="O345" s="131"/>
      <c r="P345" s="131"/>
      <c r="Q345" s="131"/>
      <c r="R345" s="131"/>
      <c r="S345" s="131"/>
      <c r="T345" s="131"/>
      <c r="U345" s="131"/>
      <c r="V345" s="131"/>
      <c r="W345" s="131"/>
      <c r="X345" s="131"/>
      <c r="Y345" s="131"/>
      <c r="Z345" s="131"/>
    </row>
    <row r="346">
      <c r="A346" s="290"/>
      <c r="B346" s="290"/>
      <c r="C346" s="290"/>
      <c r="D346" s="290"/>
      <c r="E346" s="290"/>
      <c r="F346" s="290"/>
      <c r="G346" s="290"/>
      <c r="H346" s="290"/>
      <c r="I346" s="290"/>
      <c r="J346" s="290"/>
      <c r="K346" s="131"/>
      <c r="L346" s="131"/>
      <c r="M346" s="131"/>
      <c r="N346" s="131"/>
      <c r="O346" s="131"/>
      <c r="P346" s="131"/>
      <c r="Q346" s="131"/>
      <c r="R346" s="131"/>
      <c r="S346" s="131"/>
      <c r="T346" s="131"/>
      <c r="U346" s="131"/>
      <c r="V346" s="131"/>
      <c r="W346" s="131"/>
      <c r="X346" s="131"/>
      <c r="Y346" s="131"/>
      <c r="Z346" s="131"/>
    </row>
    <row r="347">
      <c r="A347" s="290"/>
      <c r="B347" s="290"/>
      <c r="C347" s="290"/>
      <c r="D347" s="290"/>
      <c r="E347" s="290"/>
      <c r="F347" s="290"/>
      <c r="G347" s="290"/>
      <c r="H347" s="290"/>
      <c r="I347" s="290"/>
      <c r="J347" s="290"/>
      <c r="K347" s="131"/>
      <c r="L347" s="131"/>
      <c r="M347" s="131"/>
      <c r="N347" s="131"/>
      <c r="O347" s="131"/>
      <c r="P347" s="131"/>
      <c r="Q347" s="131"/>
      <c r="R347" s="131"/>
      <c r="S347" s="131"/>
      <c r="T347" s="131"/>
      <c r="U347" s="131"/>
      <c r="V347" s="131"/>
      <c r="W347" s="131"/>
      <c r="X347" s="131"/>
      <c r="Y347" s="131"/>
      <c r="Z347" s="131"/>
    </row>
    <row r="348">
      <c r="A348" s="290"/>
      <c r="B348" s="290"/>
      <c r="C348" s="290"/>
      <c r="D348" s="290"/>
      <c r="E348" s="290"/>
      <c r="F348" s="290"/>
      <c r="G348" s="290"/>
      <c r="H348" s="290"/>
      <c r="I348" s="290"/>
      <c r="J348" s="290"/>
      <c r="K348" s="131"/>
      <c r="L348" s="131"/>
      <c r="M348" s="131"/>
      <c r="N348" s="131"/>
      <c r="O348" s="131"/>
      <c r="P348" s="131"/>
      <c r="Q348" s="131"/>
      <c r="R348" s="131"/>
      <c r="S348" s="131"/>
      <c r="T348" s="131"/>
      <c r="U348" s="131"/>
      <c r="V348" s="131"/>
      <c r="W348" s="131"/>
      <c r="X348" s="131"/>
      <c r="Y348" s="131"/>
      <c r="Z348" s="131"/>
    </row>
    <row r="349">
      <c r="A349" s="290"/>
      <c r="B349" s="290"/>
      <c r="C349" s="290"/>
      <c r="D349" s="290"/>
      <c r="E349" s="290"/>
      <c r="F349" s="290"/>
      <c r="G349" s="290"/>
      <c r="H349" s="290"/>
      <c r="I349" s="290"/>
      <c r="J349" s="290"/>
      <c r="K349" s="131"/>
      <c r="L349" s="131"/>
      <c r="M349" s="131"/>
      <c r="N349" s="131"/>
      <c r="O349" s="131"/>
      <c r="P349" s="131"/>
      <c r="Q349" s="131"/>
      <c r="R349" s="131"/>
      <c r="S349" s="131"/>
      <c r="T349" s="131"/>
      <c r="U349" s="131"/>
      <c r="V349" s="131"/>
      <c r="W349" s="131"/>
      <c r="X349" s="131"/>
      <c r="Y349" s="131"/>
      <c r="Z349" s="131"/>
    </row>
    <row r="350">
      <c r="A350" s="290"/>
      <c r="B350" s="290"/>
      <c r="C350" s="290"/>
      <c r="D350" s="290"/>
      <c r="E350" s="290"/>
      <c r="F350" s="290"/>
      <c r="G350" s="290"/>
      <c r="H350" s="290"/>
      <c r="I350" s="290"/>
      <c r="J350" s="290"/>
      <c r="K350" s="131"/>
      <c r="L350" s="131"/>
      <c r="M350" s="131"/>
      <c r="N350" s="131"/>
      <c r="O350" s="131"/>
      <c r="P350" s="131"/>
      <c r="Q350" s="131"/>
      <c r="R350" s="131"/>
      <c r="S350" s="131"/>
      <c r="T350" s="131"/>
      <c r="U350" s="131"/>
      <c r="V350" s="131"/>
      <c r="W350" s="131"/>
      <c r="X350" s="131"/>
      <c r="Y350" s="131"/>
      <c r="Z350" s="131"/>
    </row>
    <row r="351">
      <c r="A351" s="290"/>
      <c r="B351" s="290"/>
      <c r="C351" s="290"/>
      <c r="D351" s="290"/>
      <c r="E351" s="290"/>
      <c r="F351" s="290"/>
      <c r="G351" s="290"/>
      <c r="H351" s="290"/>
      <c r="I351" s="290"/>
      <c r="J351" s="290"/>
      <c r="K351" s="131"/>
      <c r="L351" s="131"/>
      <c r="M351" s="131"/>
      <c r="N351" s="131"/>
      <c r="O351" s="131"/>
      <c r="P351" s="131"/>
      <c r="Q351" s="131"/>
      <c r="R351" s="131"/>
      <c r="S351" s="131"/>
      <c r="T351" s="131"/>
      <c r="U351" s="131"/>
      <c r="V351" s="131"/>
      <c r="W351" s="131"/>
      <c r="X351" s="131"/>
      <c r="Y351" s="131"/>
      <c r="Z351" s="131"/>
    </row>
    <row r="352">
      <c r="A352" s="290"/>
      <c r="B352" s="290"/>
      <c r="C352" s="290"/>
      <c r="D352" s="290"/>
      <c r="E352" s="290"/>
      <c r="F352" s="290"/>
      <c r="G352" s="290"/>
      <c r="H352" s="290"/>
      <c r="I352" s="290"/>
      <c r="J352" s="290"/>
      <c r="K352" s="131"/>
      <c r="L352" s="131"/>
      <c r="M352" s="131"/>
      <c r="N352" s="131"/>
      <c r="O352" s="131"/>
      <c r="P352" s="131"/>
      <c r="Q352" s="131"/>
      <c r="R352" s="131"/>
      <c r="S352" s="131"/>
      <c r="T352" s="131"/>
      <c r="U352" s="131"/>
      <c r="V352" s="131"/>
      <c r="W352" s="131"/>
      <c r="X352" s="131"/>
      <c r="Y352" s="131"/>
      <c r="Z352" s="131"/>
    </row>
    <row r="353">
      <c r="A353" s="290"/>
      <c r="B353" s="290"/>
      <c r="C353" s="290"/>
      <c r="D353" s="290"/>
      <c r="E353" s="290"/>
      <c r="F353" s="290"/>
      <c r="G353" s="290"/>
      <c r="H353" s="290"/>
      <c r="I353" s="290"/>
      <c r="J353" s="290"/>
      <c r="K353" s="131"/>
      <c r="L353" s="131"/>
      <c r="M353" s="131"/>
      <c r="N353" s="131"/>
      <c r="O353" s="131"/>
      <c r="P353" s="131"/>
      <c r="Q353" s="131"/>
      <c r="R353" s="131"/>
      <c r="S353" s="131"/>
      <c r="T353" s="131"/>
      <c r="U353" s="131"/>
      <c r="V353" s="131"/>
      <c r="W353" s="131"/>
      <c r="X353" s="131"/>
      <c r="Y353" s="131"/>
      <c r="Z353" s="131"/>
    </row>
    <row r="354">
      <c r="A354" s="290"/>
      <c r="B354" s="290"/>
      <c r="C354" s="290"/>
      <c r="D354" s="290"/>
      <c r="E354" s="290"/>
      <c r="F354" s="290"/>
      <c r="G354" s="290"/>
      <c r="H354" s="290"/>
      <c r="I354" s="290"/>
      <c r="J354" s="290"/>
      <c r="K354" s="131"/>
      <c r="L354" s="131"/>
      <c r="M354" s="131"/>
      <c r="N354" s="131"/>
      <c r="O354" s="131"/>
      <c r="P354" s="131"/>
      <c r="Q354" s="131"/>
      <c r="R354" s="131"/>
      <c r="S354" s="131"/>
      <c r="T354" s="131"/>
      <c r="U354" s="131"/>
      <c r="V354" s="131"/>
      <c r="W354" s="131"/>
      <c r="X354" s="131"/>
      <c r="Y354" s="131"/>
      <c r="Z354" s="131"/>
    </row>
    <row r="355">
      <c r="A355" s="290"/>
      <c r="B355" s="290"/>
      <c r="C355" s="290"/>
      <c r="D355" s="290"/>
      <c r="E355" s="290"/>
      <c r="F355" s="290"/>
      <c r="G355" s="290"/>
      <c r="H355" s="290"/>
      <c r="I355" s="290"/>
      <c r="J355" s="290"/>
      <c r="K355" s="131"/>
      <c r="L355" s="131"/>
      <c r="M355" s="131"/>
      <c r="N355" s="131"/>
      <c r="O355" s="131"/>
      <c r="P355" s="131"/>
      <c r="Q355" s="131"/>
      <c r="R355" s="131"/>
      <c r="S355" s="131"/>
      <c r="T355" s="131"/>
      <c r="U355" s="131"/>
      <c r="V355" s="131"/>
      <c r="W355" s="131"/>
      <c r="X355" s="131"/>
      <c r="Y355" s="131"/>
      <c r="Z355" s="131"/>
    </row>
    <row r="356">
      <c r="A356" s="290"/>
      <c r="B356" s="290"/>
      <c r="C356" s="290"/>
      <c r="D356" s="290"/>
      <c r="E356" s="290"/>
      <c r="F356" s="290"/>
      <c r="G356" s="290"/>
      <c r="H356" s="290"/>
      <c r="I356" s="290"/>
      <c r="J356" s="290"/>
      <c r="K356" s="131"/>
      <c r="L356" s="131"/>
      <c r="M356" s="131"/>
      <c r="N356" s="131"/>
      <c r="O356" s="131"/>
      <c r="P356" s="131"/>
      <c r="Q356" s="131"/>
      <c r="R356" s="131"/>
      <c r="S356" s="131"/>
      <c r="T356" s="131"/>
      <c r="U356" s="131"/>
      <c r="V356" s="131"/>
      <c r="W356" s="131"/>
      <c r="X356" s="131"/>
      <c r="Y356" s="131"/>
      <c r="Z356" s="131"/>
    </row>
    <row r="357">
      <c r="A357" s="290"/>
      <c r="B357" s="290"/>
      <c r="C357" s="290"/>
      <c r="D357" s="290"/>
      <c r="E357" s="290"/>
      <c r="F357" s="290"/>
      <c r="G357" s="290"/>
      <c r="H357" s="290"/>
      <c r="I357" s="290"/>
      <c r="J357" s="290"/>
      <c r="K357" s="131"/>
      <c r="L357" s="131"/>
      <c r="M357" s="131"/>
      <c r="N357" s="131"/>
      <c r="O357" s="131"/>
      <c r="P357" s="131"/>
      <c r="Q357" s="131"/>
      <c r="R357" s="131"/>
      <c r="S357" s="131"/>
      <c r="T357" s="131"/>
      <c r="U357" s="131"/>
      <c r="V357" s="131"/>
      <c r="W357" s="131"/>
      <c r="X357" s="131"/>
      <c r="Y357" s="131"/>
      <c r="Z357" s="131"/>
    </row>
    <row r="358">
      <c r="A358" s="290"/>
      <c r="B358" s="290"/>
      <c r="C358" s="290"/>
      <c r="D358" s="290"/>
      <c r="E358" s="290"/>
      <c r="F358" s="290"/>
      <c r="G358" s="290"/>
      <c r="H358" s="290"/>
      <c r="I358" s="290"/>
      <c r="J358" s="290"/>
      <c r="K358" s="131"/>
      <c r="L358" s="131"/>
      <c r="M358" s="131"/>
      <c r="N358" s="131"/>
      <c r="O358" s="131"/>
      <c r="P358" s="131"/>
      <c r="Q358" s="131"/>
      <c r="R358" s="131"/>
      <c r="S358" s="131"/>
      <c r="T358" s="131"/>
      <c r="U358" s="131"/>
      <c r="V358" s="131"/>
      <c r="W358" s="131"/>
      <c r="X358" s="131"/>
      <c r="Y358" s="131"/>
      <c r="Z358" s="131"/>
    </row>
    <row r="359">
      <c r="A359" s="290"/>
      <c r="B359" s="290"/>
      <c r="C359" s="290"/>
      <c r="D359" s="290"/>
      <c r="E359" s="290"/>
      <c r="F359" s="290"/>
      <c r="G359" s="290"/>
      <c r="H359" s="290"/>
      <c r="I359" s="290"/>
      <c r="J359" s="290"/>
      <c r="K359" s="131"/>
      <c r="L359" s="131"/>
      <c r="M359" s="131"/>
      <c r="N359" s="131"/>
      <c r="O359" s="131"/>
      <c r="P359" s="131"/>
      <c r="Q359" s="131"/>
      <c r="R359" s="131"/>
      <c r="S359" s="131"/>
      <c r="T359" s="131"/>
      <c r="U359" s="131"/>
      <c r="V359" s="131"/>
      <c r="W359" s="131"/>
      <c r="X359" s="131"/>
      <c r="Y359" s="131"/>
      <c r="Z359" s="131"/>
    </row>
    <row r="360">
      <c r="A360" s="290"/>
      <c r="B360" s="290"/>
      <c r="C360" s="290"/>
      <c r="D360" s="290"/>
      <c r="E360" s="290"/>
      <c r="F360" s="290"/>
      <c r="G360" s="290"/>
      <c r="H360" s="290"/>
      <c r="I360" s="290"/>
      <c r="J360" s="290"/>
      <c r="K360" s="131"/>
      <c r="L360" s="131"/>
      <c r="M360" s="131"/>
      <c r="N360" s="131"/>
      <c r="O360" s="131"/>
      <c r="P360" s="131"/>
      <c r="Q360" s="131"/>
      <c r="R360" s="131"/>
      <c r="S360" s="131"/>
      <c r="T360" s="131"/>
      <c r="U360" s="131"/>
      <c r="V360" s="131"/>
      <c r="W360" s="131"/>
      <c r="X360" s="131"/>
      <c r="Y360" s="131"/>
      <c r="Z360" s="131"/>
    </row>
    <row r="361">
      <c r="A361" s="290"/>
      <c r="B361" s="290"/>
      <c r="C361" s="290"/>
      <c r="D361" s="290"/>
      <c r="E361" s="290"/>
      <c r="F361" s="290"/>
      <c r="G361" s="290"/>
      <c r="H361" s="290"/>
      <c r="I361" s="290"/>
      <c r="J361" s="290"/>
      <c r="K361" s="131"/>
      <c r="L361" s="131"/>
      <c r="M361" s="131"/>
      <c r="N361" s="131"/>
      <c r="O361" s="131"/>
      <c r="P361" s="131"/>
      <c r="Q361" s="131"/>
      <c r="R361" s="131"/>
      <c r="S361" s="131"/>
      <c r="T361" s="131"/>
      <c r="U361" s="131"/>
      <c r="V361" s="131"/>
      <c r="W361" s="131"/>
      <c r="X361" s="131"/>
      <c r="Y361" s="131"/>
      <c r="Z361" s="131"/>
    </row>
    <row r="362">
      <c r="A362" s="290"/>
      <c r="B362" s="290"/>
      <c r="C362" s="290"/>
      <c r="D362" s="290"/>
      <c r="E362" s="290"/>
      <c r="F362" s="290"/>
      <c r="G362" s="290"/>
      <c r="H362" s="290"/>
      <c r="I362" s="290"/>
      <c r="J362" s="290"/>
      <c r="K362" s="131"/>
      <c r="L362" s="131"/>
      <c r="M362" s="131"/>
      <c r="N362" s="131"/>
      <c r="O362" s="131"/>
      <c r="P362" s="131"/>
      <c r="Q362" s="131"/>
      <c r="R362" s="131"/>
      <c r="S362" s="131"/>
      <c r="T362" s="131"/>
      <c r="U362" s="131"/>
      <c r="V362" s="131"/>
      <c r="W362" s="131"/>
      <c r="X362" s="131"/>
      <c r="Y362" s="131"/>
      <c r="Z362" s="131"/>
    </row>
    <row r="363">
      <c r="A363" s="290"/>
      <c r="B363" s="290"/>
      <c r="C363" s="290"/>
      <c r="D363" s="290"/>
      <c r="E363" s="290"/>
      <c r="F363" s="290"/>
      <c r="G363" s="290"/>
      <c r="H363" s="290"/>
      <c r="I363" s="290"/>
      <c r="J363" s="290"/>
      <c r="K363" s="131"/>
      <c r="L363" s="131"/>
      <c r="M363" s="131"/>
      <c r="N363" s="131"/>
      <c r="O363" s="131"/>
      <c r="P363" s="131"/>
      <c r="Q363" s="131"/>
      <c r="R363" s="131"/>
      <c r="S363" s="131"/>
      <c r="T363" s="131"/>
      <c r="U363" s="131"/>
      <c r="V363" s="131"/>
      <c r="W363" s="131"/>
      <c r="X363" s="131"/>
      <c r="Y363" s="131"/>
      <c r="Z363" s="131"/>
    </row>
    <row r="364">
      <c r="A364" s="290"/>
      <c r="B364" s="290"/>
      <c r="C364" s="290"/>
      <c r="D364" s="290"/>
      <c r="E364" s="290"/>
      <c r="F364" s="290"/>
      <c r="G364" s="290"/>
      <c r="H364" s="290"/>
      <c r="I364" s="290"/>
      <c r="J364" s="290"/>
      <c r="K364" s="131"/>
      <c r="L364" s="131"/>
      <c r="M364" s="131"/>
      <c r="N364" s="131"/>
      <c r="O364" s="131"/>
      <c r="P364" s="131"/>
      <c r="Q364" s="131"/>
      <c r="R364" s="131"/>
      <c r="S364" s="131"/>
      <c r="T364" s="131"/>
      <c r="U364" s="131"/>
      <c r="V364" s="131"/>
      <c r="W364" s="131"/>
      <c r="X364" s="131"/>
      <c r="Y364" s="131"/>
      <c r="Z364" s="131"/>
    </row>
    <row r="365">
      <c r="A365" s="290"/>
      <c r="B365" s="290"/>
      <c r="C365" s="290"/>
      <c r="D365" s="290"/>
      <c r="E365" s="290"/>
      <c r="F365" s="290"/>
      <c r="G365" s="290"/>
      <c r="H365" s="290"/>
      <c r="I365" s="290"/>
      <c r="J365" s="290"/>
      <c r="K365" s="131"/>
      <c r="L365" s="131"/>
      <c r="M365" s="131"/>
      <c r="N365" s="131"/>
      <c r="O365" s="131"/>
      <c r="P365" s="131"/>
      <c r="Q365" s="131"/>
      <c r="R365" s="131"/>
      <c r="S365" s="131"/>
      <c r="T365" s="131"/>
      <c r="U365" s="131"/>
      <c r="V365" s="131"/>
      <c r="W365" s="131"/>
      <c r="X365" s="131"/>
      <c r="Y365" s="131"/>
      <c r="Z365" s="131"/>
    </row>
    <row r="366">
      <c r="A366" s="290"/>
      <c r="B366" s="290"/>
      <c r="C366" s="290"/>
      <c r="D366" s="290"/>
      <c r="E366" s="290"/>
      <c r="F366" s="290"/>
      <c r="G366" s="290"/>
      <c r="H366" s="290"/>
      <c r="I366" s="290"/>
      <c r="J366" s="290"/>
      <c r="K366" s="131"/>
      <c r="L366" s="131"/>
      <c r="M366" s="131"/>
      <c r="N366" s="131"/>
      <c r="O366" s="131"/>
      <c r="P366" s="131"/>
      <c r="Q366" s="131"/>
      <c r="R366" s="131"/>
      <c r="S366" s="131"/>
      <c r="T366" s="131"/>
      <c r="U366" s="131"/>
      <c r="V366" s="131"/>
      <c r="W366" s="131"/>
      <c r="X366" s="131"/>
      <c r="Y366" s="131"/>
      <c r="Z366" s="131"/>
    </row>
    <row r="367">
      <c r="A367" s="290"/>
      <c r="B367" s="290"/>
      <c r="C367" s="290"/>
      <c r="D367" s="290"/>
      <c r="E367" s="290"/>
      <c r="F367" s="290"/>
      <c r="G367" s="290"/>
      <c r="H367" s="290"/>
      <c r="I367" s="290"/>
      <c r="J367" s="290"/>
      <c r="K367" s="131"/>
      <c r="L367" s="131"/>
      <c r="M367" s="131"/>
      <c r="N367" s="131"/>
      <c r="O367" s="131"/>
      <c r="P367" s="131"/>
      <c r="Q367" s="131"/>
      <c r="R367" s="131"/>
      <c r="S367" s="131"/>
      <c r="T367" s="131"/>
      <c r="U367" s="131"/>
      <c r="V367" s="131"/>
      <c r="W367" s="131"/>
      <c r="X367" s="131"/>
      <c r="Y367" s="131"/>
      <c r="Z367" s="131"/>
    </row>
    <row r="368">
      <c r="A368" s="290"/>
      <c r="B368" s="290"/>
      <c r="C368" s="290"/>
      <c r="D368" s="290"/>
      <c r="E368" s="290"/>
      <c r="F368" s="290"/>
      <c r="G368" s="290"/>
      <c r="H368" s="290"/>
      <c r="I368" s="290"/>
      <c r="J368" s="290"/>
      <c r="K368" s="131"/>
      <c r="L368" s="131"/>
      <c r="M368" s="131"/>
      <c r="N368" s="131"/>
      <c r="O368" s="131"/>
      <c r="P368" s="131"/>
      <c r="Q368" s="131"/>
      <c r="R368" s="131"/>
      <c r="S368" s="131"/>
      <c r="T368" s="131"/>
      <c r="U368" s="131"/>
      <c r="V368" s="131"/>
      <c r="W368" s="131"/>
      <c r="X368" s="131"/>
      <c r="Y368" s="131"/>
      <c r="Z368" s="131"/>
    </row>
    <row r="369">
      <c r="A369" s="290"/>
      <c r="B369" s="290"/>
      <c r="C369" s="290"/>
      <c r="D369" s="290"/>
      <c r="E369" s="290"/>
      <c r="F369" s="290"/>
      <c r="G369" s="290"/>
      <c r="H369" s="290"/>
      <c r="I369" s="290"/>
      <c r="J369" s="290"/>
      <c r="K369" s="131"/>
      <c r="L369" s="131"/>
      <c r="M369" s="131"/>
      <c r="N369" s="131"/>
      <c r="O369" s="131"/>
      <c r="P369" s="131"/>
      <c r="Q369" s="131"/>
      <c r="R369" s="131"/>
      <c r="S369" s="131"/>
      <c r="T369" s="131"/>
      <c r="U369" s="131"/>
      <c r="V369" s="131"/>
      <c r="W369" s="131"/>
      <c r="X369" s="131"/>
      <c r="Y369" s="131"/>
      <c r="Z369" s="131"/>
    </row>
    <row r="370">
      <c r="A370" s="290"/>
      <c r="B370" s="290"/>
      <c r="C370" s="290"/>
      <c r="D370" s="290"/>
      <c r="E370" s="290"/>
      <c r="F370" s="290"/>
      <c r="G370" s="290"/>
      <c r="H370" s="290"/>
      <c r="I370" s="290"/>
      <c r="J370" s="290"/>
      <c r="K370" s="131"/>
      <c r="L370" s="131"/>
      <c r="M370" s="131"/>
      <c r="N370" s="131"/>
      <c r="O370" s="131"/>
      <c r="P370" s="131"/>
      <c r="Q370" s="131"/>
      <c r="R370" s="131"/>
      <c r="S370" s="131"/>
      <c r="T370" s="131"/>
      <c r="U370" s="131"/>
      <c r="V370" s="131"/>
      <c r="W370" s="131"/>
      <c r="X370" s="131"/>
      <c r="Y370" s="131"/>
      <c r="Z370" s="131"/>
    </row>
    <row r="371">
      <c r="A371" s="290"/>
      <c r="B371" s="290"/>
      <c r="C371" s="290"/>
      <c r="D371" s="290"/>
      <c r="E371" s="290"/>
      <c r="F371" s="290"/>
      <c r="G371" s="290"/>
      <c r="H371" s="290"/>
      <c r="I371" s="290"/>
      <c r="J371" s="290"/>
      <c r="K371" s="131"/>
      <c r="L371" s="131"/>
      <c r="M371" s="131"/>
      <c r="N371" s="131"/>
      <c r="O371" s="131"/>
      <c r="P371" s="131"/>
      <c r="Q371" s="131"/>
      <c r="R371" s="131"/>
      <c r="S371" s="131"/>
      <c r="T371" s="131"/>
      <c r="U371" s="131"/>
      <c r="V371" s="131"/>
      <c r="W371" s="131"/>
      <c r="X371" s="131"/>
      <c r="Y371" s="131"/>
      <c r="Z371" s="131"/>
    </row>
    <row r="372">
      <c r="A372" s="290"/>
      <c r="B372" s="290"/>
      <c r="C372" s="290"/>
      <c r="D372" s="290"/>
      <c r="E372" s="290"/>
      <c r="F372" s="290"/>
      <c r="G372" s="290"/>
      <c r="H372" s="290"/>
      <c r="I372" s="290"/>
      <c r="J372" s="290"/>
      <c r="K372" s="131"/>
      <c r="L372" s="131"/>
      <c r="M372" s="131"/>
      <c r="N372" s="131"/>
      <c r="O372" s="131"/>
      <c r="P372" s="131"/>
      <c r="Q372" s="131"/>
      <c r="R372" s="131"/>
      <c r="S372" s="131"/>
      <c r="T372" s="131"/>
      <c r="U372" s="131"/>
      <c r="V372" s="131"/>
      <c r="W372" s="131"/>
      <c r="X372" s="131"/>
      <c r="Y372" s="131"/>
      <c r="Z372" s="131"/>
    </row>
    <row r="373">
      <c r="A373" s="290"/>
      <c r="B373" s="290"/>
      <c r="C373" s="290"/>
      <c r="D373" s="290"/>
      <c r="E373" s="290"/>
      <c r="F373" s="290"/>
      <c r="G373" s="290"/>
      <c r="H373" s="290"/>
      <c r="I373" s="290"/>
      <c r="J373" s="290"/>
      <c r="K373" s="131"/>
      <c r="L373" s="131"/>
      <c r="M373" s="131"/>
      <c r="N373" s="131"/>
      <c r="O373" s="131"/>
      <c r="P373" s="131"/>
      <c r="Q373" s="131"/>
      <c r="R373" s="131"/>
      <c r="S373" s="131"/>
      <c r="T373" s="131"/>
      <c r="U373" s="131"/>
      <c r="V373" s="131"/>
      <c r="W373" s="131"/>
      <c r="X373" s="131"/>
      <c r="Y373" s="131"/>
      <c r="Z373" s="131"/>
    </row>
    <row r="374">
      <c r="A374" s="290"/>
      <c r="B374" s="290"/>
      <c r="C374" s="290"/>
      <c r="D374" s="290"/>
      <c r="E374" s="290"/>
      <c r="F374" s="290"/>
      <c r="G374" s="290"/>
      <c r="H374" s="290"/>
      <c r="I374" s="290"/>
      <c r="J374" s="290"/>
      <c r="K374" s="131"/>
      <c r="L374" s="131"/>
      <c r="M374" s="131"/>
      <c r="N374" s="131"/>
      <c r="O374" s="131"/>
      <c r="P374" s="131"/>
      <c r="Q374" s="131"/>
      <c r="R374" s="131"/>
      <c r="S374" s="131"/>
      <c r="T374" s="131"/>
      <c r="U374" s="131"/>
      <c r="V374" s="131"/>
      <c r="W374" s="131"/>
      <c r="X374" s="131"/>
      <c r="Y374" s="131"/>
      <c r="Z374" s="131"/>
    </row>
    <row r="375">
      <c r="A375" s="290"/>
      <c r="B375" s="290"/>
      <c r="C375" s="290"/>
      <c r="D375" s="290"/>
      <c r="E375" s="290"/>
      <c r="F375" s="290"/>
      <c r="G375" s="290"/>
      <c r="H375" s="290"/>
      <c r="I375" s="290"/>
      <c r="J375" s="290"/>
      <c r="K375" s="131"/>
      <c r="L375" s="131"/>
      <c r="M375" s="131"/>
      <c r="N375" s="131"/>
      <c r="O375" s="131"/>
      <c r="P375" s="131"/>
      <c r="Q375" s="131"/>
      <c r="R375" s="131"/>
      <c r="S375" s="131"/>
      <c r="T375" s="131"/>
      <c r="U375" s="131"/>
      <c r="V375" s="131"/>
      <c r="W375" s="131"/>
      <c r="X375" s="131"/>
      <c r="Y375" s="131"/>
      <c r="Z375" s="131"/>
    </row>
    <row r="376">
      <c r="A376" s="290"/>
      <c r="B376" s="290"/>
      <c r="C376" s="290"/>
      <c r="D376" s="290"/>
      <c r="E376" s="290"/>
      <c r="F376" s="290"/>
      <c r="G376" s="290"/>
      <c r="H376" s="290"/>
      <c r="I376" s="290"/>
      <c r="J376" s="290"/>
      <c r="K376" s="131"/>
      <c r="L376" s="131"/>
      <c r="M376" s="131"/>
      <c r="N376" s="131"/>
      <c r="O376" s="131"/>
      <c r="P376" s="131"/>
      <c r="Q376" s="131"/>
      <c r="R376" s="131"/>
      <c r="S376" s="131"/>
      <c r="T376" s="131"/>
      <c r="U376" s="131"/>
      <c r="V376" s="131"/>
      <c r="W376" s="131"/>
      <c r="X376" s="131"/>
      <c r="Y376" s="131"/>
      <c r="Z376" s="131"/>
    </row>
    <row r="377">
      <c r="A377" s="290"/>
      <c r="B377" s="290"/>
      <c r="C377" s="290"/>
      <c r="D377" s="290"/>
      <c r="E377" s="290"/>
      <c r="F377" s="290"/>
      <c r="G377" s="290"/>
      <c r="H377" s="290"/>
      <c r="I377" s="290"/>
      <c r="J377" s="290"/>
      <c r="K377" s="131"/>
      <c r="L377" s="131"/>
      <c r="M377" s="131"/>
      <c r="N377" s="131"/>
      <c r="O377" s="131"/>
      <c r="P377" s="131"/>
      <c r="Q377" s="131"/>
      <c r="R377" s="131"/>
      <c r="S377" s="131"/>
      <c r="T377" s="131"/>
      <c r="U377" s="131"/>
      <c r="V377" s="131"/>
      <c r="W377" s="131"/>
      <c r="X377" s="131"/>
      <c r="Y377" s="131"/>
      <c r="Z377" s="131"/>
    </row>
    <row r="378">
      <c r="A378" s="290"/>
      <c r="B378" s="290"/>
      <c r="C378" s="290"/>
      <c r="D378" s="290"/>
      <c r="E378" s="290"/>
      <c r="F378" s="290"/>
      <c r="G378" s="290"/>
      <c r="H378" s="290"/>
      <c r="I378" s="290"/>
      <c r="J378" s="290"/>
      <c r="K378" s="131"/>
      <c r="L378" s="131"/>
      <c r="M378" s="131"/>
      <c r="N378" s="131"/>
      <c r="O378" s="131"/>
      <c r="P378" s="131"/>
      <c r="Q378" s="131"/>
      <c r="R378" s="131"/>
      <c r="S378" s="131"/>
      <c r="T378" s="131"/>
      <c r="U378" s="131"/>
      <c r="V378" s="131"/>
      <c r="W378" s="131"/>
      <c r="X378" s="131"/>
      <c r="Y378" s="131"/>
      <c r="Z378" s="131"/>
    </row>
    <row r="379">
      <c r="A379" s="290"/>
      <c r="B379" s="290"/>
      <c r="C379" s="290"/>
      <c r="D379" s="290"/>
      <c r="E379" s="290"/>
      <c r="F379" s="290"/>
      <c r="G379" s="290"/>
      <c r="H379" s="290"/>
      <c r="I379" s="290"/>
      <c r="J379" s="290"/>
      <c r="K379" s="131"/>
      <c r="L379" s="131"/>
      <c r="M379" s="131"/>
      <c r="N379" s="131"/>
      <c r="O379" s="131"/>
      <c r="P379" s="131"/>
      <c r="Q379" s="131"/>
      <c r="R379" s="131"/>
      <c r="S379" s="131"/>
      <c r="T379" s="131"/>
      <c r="U379" s="131"/>
      <c r="V379" s="131"/>
      <c r="W379" s="131"/>
      <c r="X379" s="131"/>
      <c r="Y379" s="131"/>
      <c r="Z379" s="131"/>
    </row>
    <row r="380">
      <c r="A380" s="290"/>
      <c r="B380" s="290"/>
      <c r="C380" s="290"/>
      <c r="D380" s="290"/>
      <c r="E380" s="290"/>
      <c r="F380" s="290"/>
      <c r="G380" s="290"/>
      <c r="H380" s="290"/>
      <c r="I380" s="290"/>
      <c r="J380" s="290"/>
      <c r="K380" s="131"/>
      <c r="L380" s="131"/>
      <c r="M380" s="131"/>
      <c r="N380" s="131"/>
      <c r="O380" s="131"/>
      <c r="P380" s="131"/>
      <c r="Q380" s="131"/>
      <c r="R380" s="131"/>
      <c r="S380" s="131"/>
      <c r="T380" s="131"/>
      <c r="U380" s="131"/>
      <c r="V380" s="131"/>
      <c r="W380" s="131"/>
      <c r="X380" s="131"/>
      <c r="Y380" s="131"/>
      <c r="Z380" s="131"/>
    </row>
    <row r="381">
      <c r="A381" s="290"/>
      <c r="B381" s="290"/>
      <c r="C381" s="290"/>
      <c r="D381" s="290"/>
      <c r="E381" s="290"/>
      <c r="F381" s="290"/>
      <c r="G381" s="290"/>
      <c r="H381" s="290"/>
      <c r="I381" s="290"/>
      <c r="J381" s="290"/>
      <c r="K381" s="131"/>
      <c r="L381" s="131"/>
      <c r="M381" s="131"/>
      <c r="N381" s="131"/>
      <c r="O381" s="131"/>
      <c r="P381" s="131"/>
      <c r="Q381" s="131"/>
      <c r="R381" s="131"/>
      <c r="S381" s="131"/>
      <c r="T381" s="131"/>
      <c r="U381" s="131"/>
      <c r="V381" s="131"/>
      <c r="W381" s="131"/>
      <c r="X381" s="131"/>
      <c r="Y381" s="131"/>
      <c r="Z381" s="131"/>
    </row>
    <row r="382">
      <c r="A382" s="290"/>
      <c r="B382" s="290"/>
      <c r="C382" s="290"/>
      <c r="D382" s="290"/>
      <c r="E382" s="290"/>
      <c r="F382" s="290"/>
      <c r="G382" s="290"/>
      <c r="H382" s="290"/>
      <c r="I382" s="290"/>
      <c r="J382" s="290"/>
      <c r="K382" s="131"/>
      <c r="L382" s="131"/>
      <c r="M382" s="131"/>
      <c r="N382" s="131"/>
      <c r="O382" s="131"/>
      <c r="P382" s="131"/>
      <c r="Q382" s="131"/>
      <c r="R382" s="131"/>
      <c r="S382" s="131"/>
      <c r="T382" s="131"/>
      <c r="U382" s="131"/>
      <c r="V382" s="131"/>
      <c r="W382" s="131"/>
      <c r="X382" s="131"/>
      <c r="Y382" s="131"/>
      <c r="Z382" s="131"/>
    </row>
    <row r="383">
      <c r="A383" s="290"/>
      <c r="B383" s="290"/>
      <c r="C383" s="290"/>
      <c r="D383" s="290"/>
      <c r="E383" s="290"/>
      <c r="F383" s="290"/>
      <c r="G383" s="290"/>
      <c r="H383" s="290"/>
      <c r="I383" s="290"/>
      <c r="J383" s="290"/>
      <c r="K383" s="131"/>
      <c r="L383" s="131"/>
      <c r="M383" s="131"/>
      <c r="N383" s="131"/>
      <c r="O383" s="131"/>
      <c r="P383" s="131"/>
      <c r="Q383" s="131"/>
      <c r="R383" s="131"/>
      <c r="S383" s="131"/>
      <c r="T383" s="131"/>
      <c r="U383" s="131"/>
      <c r="V383" s="131"/>
      <c r="W383" s="131"/>
      <c r="X383" s="131"/>
      <c r="Y383" s="131"/>
      <c r="Z383" s="131"/>
    </row>
    <row r="384">
      <c r="A384" s="290"/>
      <c r="B384" s="290"/>
      <c r="C384" s="290"/>
      <c r="D384" s="290"/>
      <c r="E384" s="290"/>
      <c r="F384" s="290"/>
      <c r="G384" s="290"/>
      <c r="H384" s="290"/>
      <c r="I384" s="290"/>
      <c r="J384" s="290"/>
      <c r="K384" s="131"/>
      <c r="L384" s="131"/>
      <c r="M384" s="131"/>
      <c r="N384" s="131"/>
      <c r="O384" s="131"/>
      <c r="P384" s="131"/>
      <c r="Q384" s="131"/>
      <c r="R384" s="131"/>
      <c r="S384" s="131"/>
      <c r="T384" s="131"/>
      <c r="U384" s="131"/>
      <c r="V384" s="131"/>
      <c r="W384" s="131"/>
      <c r="X384" s="131"/>
      <c r="Y384" s="131"/>
      <c r="Z384" s="131"/>
    </row>
    <row r="385">
      <c r="A385" s="290"/>
      <c r="B385" s="290"/>
      <c r="C385" s="290"/>
      <c r="D385" s="290"/>
      <c r="E385" s="290"/>
      <c r="F385" s="290"/>
      <c r="G385" s="290"/>
      <c r="H385" s="290"/>
      <c r="I385" s="290"/>
      <c r="J385" s="290"/>
      <c r="K385" s="131"/>
      <c r="L385" s="131"/>
      <c r="M385" s="131"/>
      <c r="N385" s="131"/>
      <c r="O385" s="131"/>
      <c r="P385" s="131"/>
      <c r="Q385" s="131"/>
      <c r="R385" s="131"/>
      <c r="S385" s="131"/>
      <c r="T385" s="131"/>
      <c r="U385" s="131"/>
      <c r="V385" s="131"/>
      <c r="W385" s="131"/>
      <c r="X385" s="131"/>
      <c r="Y385" s="131"/>
      <c r="Z385" s="131"/>
    </row>
    <row r="386">
      <c r="A386" s="290"/>
      <c r="B386" s="290"/>
      <c r="C386" s="290"/>
      <c r="D386" s="290"/>
      <c r="E386" s="290"/>
      <c r="F386" s="290"/>
      <c r="G386" s="290"/>
      <c r="H386" s="290"/>
      <c r="I386" s="290"/>
      <c r="J386" s="290"/>
      <c r="K386" s="131"/>
      <c r="L386" s="131"/>
      <c r="M386" s="131"/>
      <c r="N386" s="131"/>
      <c r="O386" s="131"/>
      <c r="P386" s="131"/>
      <c r="Q386" s="131"/>
      <c r="R386" s="131"/>
      <c r="S386" s="131"/>
      <c r="T386" s="131"/>
      <c r="U386" s="131"/>
      <c r="V386" s="131"/>
      <c r="W386" s="131"/>
      <c r="X386" s="131"/>
      <c r="Y386" s="131"/>
      <c r="Z386" s="131"/>
    </row>
    <row r="387">
      <c r="A387" s="290"/>
      <c r="B387" s="290"/>
      <c r="C387" s="290"/>
      <c r="D387" s="290"/>
      <c r="E387" s="290"/>
      <c r="F387" s="290"/>
      <c r="G387" s="290"/>
      <c r="H387" s="290"/>
      <c r="I387" s="290"/>
      <c r="J387" s="290"/>
      <c r="K387" s="131"/>
      <c r="L387" s="131"/>
      <c r="M387" s="131"/>
      <c r="N387" s="131"/>
      <c r="O387" s="131"/>
      <c r="P387" s="131"/>
      <c r="Q387" s="131"/>
      <c r="R387" s="131"/>
      <c r="S387" s="131"/>
      <c r="T387" s="131"/>
      <c r="U387" s="131"/>
      <c r="V387" s="131"/>
      <c r="W387" s="131"/>
      <c r="X387" s="131"/>
      <c r="Y387" s="131"/>
      <c r="Z387" s="131"/>
    </row>
    <row r="388">
      <c r="A388" s="290"/>
      <c r="B388" s="290"/>
      <c r="C388" s="290"/>
      <c r="D388" s="290"/>
      <c r="E388" s="290"/>
      <c r="F388" s="290"/>
      <c r="G388" s="290"/>
      <c r="H388" s="290"/>
      <c r="I388" s="290"/>
      <c r="J388" s="290"/>
      <c r="K388" s="131"/>
      <c r="L388" s="131"/>
      <c r="M388" s="131"/>
      <c r="N388" s="131"/>
      <c r="O388" s="131"/>
      <c r="P388" s="131"/>
      <c r="Q388" s="131"/>
      <c r="R388" s="131"/>
      <c r="S388" s="131"/>
      <c r="T388" s="131"/>
      <c r="U388" s="131"/>
      <c r="V388" s="131"/>
      <c r="W388" s="131"/>
      <c r="X388" s="131"/>
      <c r="Y388" s="131"/>
      <c r="Z388" s="131"/>
    </row>
    <row r="389">
      <c r="A389" s="290"/>
      <c r="B389" s="290"/>
      <c r="C389" s="290"/>
      <c r="D389" s="290"/>
      <c r="E389" s="290"/>
      <c r="F389" s="290"/>
      <c r="G389" s="290"/>
      <c r="H389" s="290"/>
      <c r="I389" s="290"/>
      <c r="J389" s="290"/>
      <c r="K389" s="131"/>
      <c r="L389" s="131"/>
      <c r="M389" s="131"/>
      <c r="N389" s="131"/>
      <c r="O389" s="131"/>
      <c r="P389" s="131"/>
      <c r="Q389" s="131"/>
      <c r="R389" s="131"/>
      <c r="S389" s="131"/>
      <c r="T389" s="131"/>
      <c r="U389" s="131"/>
      <c r="V389" s="131"/>
      <c r="W389" s="131"/>
      <c r="X389" s="131"/>
      <c r="Y389" s="131"/>
      <c r="Z389" s="131"/>
    </row>
    <row r="390">
      <c r="A390" s="290"/>
      <c r="B390" s="290"/>
      <c r="C390" s="290"/>
      <c r="D390" s="290"/>
      <c r="E390" s="290"/>
      <c r="F390" s="290"/>
      <c r="G390" s="290"/>
      <c r="H390" s="290"/>
      <c r="I390" s="290"/>
      <c r="J390" s="290"/>
      <c r="K390" s="131"/>
      <c r="L390" s="131"/>
      <c r="M390" s="131"/>
      <c r="N390" s="131"/>
      <c r="O390" s="131"/>
      <c r="P390" s="131"/>
      <c r="Q390" s="131"/>
      <c r="R390" s="131"/>
      <c r="S390" s="131"/>
      <c r="T390" s="131"/>
      <c r="U390" s="131"/>
      <c r="V390" s="131"/>
      <c r="W390" s="131"/>
      <c r="X390" s="131"/>
      <c r="Y390" s="131"/>
      <c r="Z390" s="131"/>
    </row>
    <row r="391">
      <c r="A391" s="290"/>
      <c r="B391" s="290"/>
      <c r="C391" s="290"/>
      <c r="D391" s="290"/>
      <c r="E391" s="290"/>
      <c r="F391" s="290"/>
      <c r="G391" s="290"/>
      <c r="H391" s="290"/>
      <c r="I391" s="290"/>
      <c r="J391" s="290"/>
      <c r="K391" s="131"/>
      <c r="L391" s="131"/>
      <c r="M391" s="131"/>
      <c r="N391" s="131"/>
      <c r="O391" s="131"/>
      <c r="P391" s="131"/>
      <c r="Q391" s="131"/>
      <c r="R391" s="131"/>
      <c r="S391" s="131"/>
      <c r="T391" s="131"/>
      <c r="U391" s="131"/>
      <c r="V391" s="131"/>
      <c r="W391" s="131"/>
      <c r="X391" s="131"/>
      <c r="Y391" s="131"/>
      <c r="Z391" s="131"/>
    </row>
    <row r="392">
      <c r="A392" s="290"/>
      <c r="B392" s="290"/>
      <c r="C392" s="290"/>
      <c r="D392" s="290"/>
      <c r="E392" s="290"/>
      <c r="F392" s="290"/>
      <c r="G392" s="290"/>
      <c r="H392" s="290"/>
      <c r="I392" s="290"/>
      <c r="J392" s="290"/>
      <c r="K392" s="131"/>
      <c r="L392" s="131"/>
      <c r="M392" s="131"/>
      <c r="N392" s="131"/>
      <c r="O392" s="131"/>
      <c r="P392" s="131"/>
      <c r="Q392" s="131"/>
      <c r="R392" s="131"/>
      <c r="S392" s="131"/>
      <c r="T392" s="131"/>
      <c r="U392" s="131"/>
      <c r="V392" s="131"/>
      <c r="W392" s="131"/>
      <c r="X392" s="131"/>
      <c r="Y392" s="131"/>
      <c r="Z392" s="131"/>
    </row>
    <row r="393">
      <c r="A393" s="290"/>
      <c r="B393" s="290"/>
      <c r="C393" s="290"/>
      <c r="D393" s="290"/>
      <c r="E393" s="290"/>
      <c r="F393" s="290"/>
      <c r="G393" s="290"/>
      <c r="H393" s="290"/>
      <c r="I393" s="290"/>
      <c r="J393" s="290"/>
      <c r="K393" s="131"/>
      <c r="L393" s="131"/>
      <c r="M393" s="131"/>
      <c r="N393" s="131"/>
      <c r="O393" s="131"/>
      <c r="P393" s="131"/>
      <c r="Q393" s="131"/>
      <c r="R393" s="131"/>
      <c r="S393" s="131"/>
      <c r="T393" s="131"/>
      <c r="U393" s="131"/>
      <c r="V393" s="131"/>
      <c r="W393" s="131"/>
      <c r="X393" s="131"/>
      <c r="Y393" s="131"/>
      <c r="Z393" s="131"/>
    </row>
    <row r="394">
      <c r="A394" s="290"/>
      <c r="B394" s="290"/>
      <c r="C394" s="290"/>
      <c r="D394" s="290"/>
      <c r="E394" s="290"/>
      <c r="F394" s="290"/>
      <c r="G394" s="290"/>
      <c r="H394" s="290"/>
      <c r="I394" s="290"/>
      <c r="J394" s="290"/>
      <c r="K394" s="131"/>
      <c r="L394" s="131"/>
      <c r="M394" s="131"/>
      <c r="N394" s="131"/>
      <c r="O394" s="131"/>
      <c r="P394" s="131"/>
      <c r="Q394" s="131"/>
      <c r="R394" s="131"/>
      <c r="S394" s="131"/>
      <c r="T394" s="131"/>
      <c r="U394" s="131"/>
      <c r="V394" s="131"/>
      <c r="W394" s="131"/>
      <c r="X394" s="131"/>
      <c r="Y394" s="131"/>
      <c r="Z394" s="131"/>
    </row>
    <row r="395">
      <c r="A395" s="290"/>
      <c r="B395" s="290"/>
      <c r="C395" s="290"/>
      <c r="D395" s="290"/>
      <c r="E395" s="290"/>
      <c r="F395" s="290"/>
      <c r="G395" s="290"/>
      <c r="H395" s="290"/>
      <c r="I395" s="290"/>
      <c r="J395" s="290"/>
      <c r="K395" s="131"/>
      <c r="L395" s="131"/>
      <c r="M395" s="131"/>
      <c r="N395" s="131"/>
      <c r="O395" s="131"/>
      <c r="P395" s="131"/>
      <c r="Q395" s="131"/>
      <c r="R395" s="131"/>
      <c r="S395" s="131"/>
      <c r="T395" s="131"/>
      <c r="U395" s="131"/>
      <c r="V395" s="131"/>
      <c r="W395" s="131"/>
      <c r="X395" s="131"/>
      <c r="Y395" s="131"/>
      <c r="Z395" s="131"/>
    </row>
    <row r="396">
      <c r="A396" s="290"/>
      <c r="B396" s="290"/>
      <c r="C396" s="290"/>
      <c r="D396" s="290"/>
      <c r="E396" s="290"/>
      <c r="F396" s="290"/>
      <c r="G396" s="290"/>
      <c r="H396" s="290"/>
      <c r="I396" s="290"/>
      <c r="J396" s="290"/>
      <c r="K396" s="131"/>
      <c r="L396" s="131"/>
      <c r="M396" s="131"/>
      <c r="N396" s="131"/>
      <c r="O396" s="131"/>
      <c r="P396" s="131"/>
      <c r="Q396" s="131"/>
      <c r="R396" s="131"/>
      <c r="S396" s="131"/>
      <c r="T396" s="131"/>
      <c r="U396" s="131"/>
      <c r="V396" s="131"/>
      <c r="W396" s="131"/>
      <c r="X396" s="131"/>
      <c r="Y396" s="131"/>
      <c r="Z396" s="131"/>
    </row>
    <row r="397">
      <c r="A397" s="290"/>
      <c r="B397" s="290"/>
      <c r="C397" s="290"/>
      <c r="D397" s="290"/>
      <c r="E397" s="290"/>
      <c r="F397" s="290"/>
      <c r="G397" s="290"/>
      <c r="H397" s="290"/>
      <c r="I397" s="290"/>
      <c r="J397" s="290"/>
      <c r="K397" s="131"/>
      <c r="L397" s="131"/>
      <c r="M397" s="131"/>
      <c r="N397" s="131"/>
      <c r="O397" s="131"/>
      <c r="P397" s="131"/>
      <c r="Q397" s="131"/>
      <c r="R397" s="131"/>
      <c r="S397" s="131"/>
      <c r="T397" s="131"/>
      <c r="U397" s="131"/>
      <c r="V397" s="131"/>
      <c r="W397" s="131"/>
      <c r="X397" s="131"/>
      <c r="Y397" s="131"/>
      <c r="Z397" s="131"/>
    </row>
    <row r="398">
      <c r="A398" s="290"/>
      <c r="B398" s="290"/>
      <c r="C398" s="290"/>
      <c r="D398" s="290"/>
      <c r="E398" s="290"/>
      <c r="F398" s="290"/>
      <c r="G398" s="290"/>
      <c r="H398" s="290"/>
      <c r="I398" s="290"/>
      <c r="J398" s="290"/>
      <c r="K398" s="131"/>
      <c r="L398" s="131"/>
      <c r="M398" s="131"/>
      <c r="N398" s="131"/>
      <c r="O398" s="131"/>
      <c r="P398" s="131"/>
      <c r="Q398" s="131"/>
      <c r="R398" s="131"/>
      <c r="S398" s="131"/>
      <c r="T398" s="131"/>
      <c r="U398" s="131"/>
      <c r="V398" s="131"/>
      <c r="W398" s="131"/>
      <c r="X398" s="131"/>
      <c r="Y398" s="131"/>
      <c r="Z398" s="131"/>
    </row>
    <row r="399">
      <c r="A399" s="290"/>
      <c r="B399" s="290"/>
      <c r="C399" s="290"/>
      <c r="D399" s="290"/>
      <c r="E399" s="290"/>
      <c r="F399" s="290"/>
      <c r="G399" s="290"/>
      <c r="H399" s="290"/>
      <c r="I399" s="290"/>
      <c r="J399" s="290"/>
      <c r="K399" s="131"/>
      <c r="L399" s="131"/>
      <c r="M399" s="131"/>
      <c r="N399" s="131"/>
      <c r="O399" s="131"/>
      <c r="P399" s="131"/>
      <c r="Q399" s="131"/>
      <c r="R399" s="131"/>
      <c r="S399" s="131"/>
      <c r="T399" s="131"/>
      <c r="U399" s="131"/>
      <c r="V399" s="131"/>
      <c r="W399" s="131"/>
      <c r="X399" s="131"/>
      <c r="Y399" s="131"/>
      <c r="Z399" s="131"/>
    </row>
    <row r="400">
      <c r="A400" s="290"/>
      <c r="B400" s="290"/>
      <c r="C400" s="290"/>
      <c r="D400" s="290"/>
      <c r="E400" s="290"/>
      <c r="F400" s="290"/>
      <c r="G400" s="290"/>
      <c r="H400" s="290"/>
      <c r="I400" s="290"/>
      <c r="J400" s="290"/>
      <c r="K400" s="131"/>
      <c r="L400" s="131"/>
      <c r="M400" s="131"/>
      <c r="N400" s="131"/>
      <c r="O400" s="131"/>
      <c r="P400" s="131"/>
      <c r="Q400" s="131"/>
      <c r="R400" s="131"/>
      <c r="S400" s="131"/>
      <c r="T400" s="131"/>
      <c r="U400" s="131"/>
      <c r="V400" s="131"/>
      <c r="W400" s="131"/>
      <c r="X400" s="131"/>
      <c r="Y400" s="131"/>
      <c r="Z400" s="131"/>
    </row>
    <row r="401">
      <c r="A401" s="290"/>
      <c r="B401" s="290"/>
      <c r="C401" s="290"/>
      <c r="D401" s="290"/>
      <c r="E401" s="290"/>
      <c r="F401" s="290"/>
      <c r="G401" s="290"/>
      <c r="H401" s="290"/>
      <c r="I401" s="290"/>
      <c r="J401" s="290"/>
      <c r="K401" s="131"/>
      <c r="L401" s="131"/>
      <c r="M401" s="131"/>
      <c r="N401" s="131"/>
      <c r="O401" s="131"/>
      <c r="P401" s="131"/>
      <c r="Q401" s="131"/>
      <c r="R401" s="131"/>
      <c r="S401" s="131"/>
      <c r="T401" s="131"/>
      <c r="U401" s="131"/>
      <c r="V401" s="131"/>
      <c r="W401" s="131"/>
      <c r="X401" s="131"/>
      <c r="Y401" s="131"/>
      <c r="Z401" s="131"/>
    </row>
    <row r="402">
      <c r="A402" s="290"/>
      <c r="B402" s="290"/>
      <c r="C402" s="290"/>
      <c r="D402" s="290"/>
      <c r="E402" s="290"/>
      <c r="F402" s="290"/>
      <c r="G402" s="290"/>
      <c r="H402" s="290"/>
      <c r="I402" s="290"/>
      <c r="J402" s="290"/>
      <c r="K402" s="131"/>
      <c r="L402" s="131"/>
      <c r="M402" s="131"/>
      <c r="N402" s="131"/>
      <c r="O402" s="131"/>
      <c r="P402" s="131"/>
      <c r="Q402" s="131"/>
      <c r="R402" s="131"/>
      <c r="S402" s="131"/>
      <c r="T402" s="131"/>
      <c r="U402" s="131"/>
      <c r="V402" s="131"/>
      <c r="W402" s="131"/>
      <c r="X402" s="131"/>
      <c r="Y402" s="131"/>
      <c r="Z402" s="131"/>
    </row>
    <row r="403">
      <c r="A403" s="290"/>
      <c r="B403" s="290"/>
      <c r="C403" s="290"/>
      <c r="D403" s="290"/>
      <c r="E403" s="290"/>
      <c r="F403" s="290"/>
      <c r="G403" s="290"/>
      <c r="H403" s="290"/>
      <c r="I403" s="290"/>
      <c r="J403" s="290"/>
      <c r="K403" s="131"/>
      <c r="L403" s="131"/>
      <c r="M403" s="131"/>
      <c r="N403" s="131"/>
      <c r="O403" s="131"/>
      <c r="P403" s="131"/>
      <c r="Q403" s="131"/>
      <c r="R403" s="131"/>
      <c r="S403" s="131"/>
      <c r="T403" s="131"/>
      <c r="U403" s="131"/>
      <c r="V403" s="131"/>
      <c r="W403" s="131"/>
      <c r="X403" s="131"/>
      <c r="Y403" s="131"/>
      <c r="Z403" s="131"/>
    </row>
    <row r="404">
      <c r="A404" s="290"/>
      <c r="B404" s="290"/>
      <c r="C404" s="290"/>
      <c r="D404" s="290"/>
      <c r="E404" s="290"/>
      <c r="F404" s="290"/>
      <c r="G404" s="290"/>
      <c r="H404" s="290"/>
      <c r="I404" s="290"/>
      <c r="J404" s="290"/>
      <c r="K404" s="131"/>
      <c r="L404" s="131"/>
      <c r="M404" s="131"/>
      <c r="N404" s="131"/>
      <c r="O404" s="131"/>
      <c r="P404" s="131"/>
      <c r="Q404" s="131"/>
      <c r="R404" s="131"/>
      <c r="S404" s="131"/>
      <c r="T404" s="131"/>
      <c r="U404" s="131"/>
      <c r="V404" s="131"/>
      <c r="W404" s="131"/>
      <c r="X404" s="131"/>
      <c r="Y404" s="131"/>
      <c r="Z404" s="131"/>
    </row>
    <row r="405">
      <c r="A405" s="290"/>
      <c r="B405" s="290"/>
      <c r="C405" s="290"/>
      <c r="D405" s="290"/>
      <c r="E405" s="290"/>
      <c r="F405" s="290"/>
      <c r="G405" s="290"/>
      <c r="H405" s="290"/>
      <c r="I405" s="290"/>
      <c r="J405" s="290"/>
      <c r="K405" s="131"/>
      <c r="L405" s="131"/>
      <c r="M405" s="131"/>
      <c r="N405" s="131"/>
      <c r="O405" s="131"/>
      <c r="P405" s="131"/>
      <c r="Q405" s="131"/>
      <c r="R405" s="131"/>
      <c r="S405" s="131"/>
      <c r="T405" s="131"/>
      <c r="U405" s="131"/>
      <c r="V405" s="131"/>
      <c r="W405" s="131"/>
      <c r="X405" s="131"/>
      <c r="Y405" s="131"/>
      <c r="Z405" s="131"/>
    </row>
    <row r="406">
      <c r="A406" s="290"/>
      <c r="B406" s="290"/>
      <c r="C406" s="290"/>
      <c r="D406" s="290"/>
      <c r="E406" s="290"/>
      <c r="F406" s="290"/>
      <c r="G406" s="290"/>
      <c r="H406" s="290"/>
      <c r="I406" s="290"/>
      <c r="J406" s="290"/>
      <c r="K406" s="131"/>
      <c r="L406" s="131"/>
      <c r="M406" s="131"/>
      <c r="N406" s="131"/>
      <c r="O406" s="131"/>
      <c r="P406" s="131"/>
      <c r="Q406" s="131"/>
      <c r="R406" s="131"/>
      <c r="S406" s="131"/>
      <c r="T406" s="131"/>
      <c r="U406" s="131"/>
      <c r="V406" s="131"/>
      <c r="W406" s="131"/>
      <c r="X406" s="131"/>
      <c r="Y406" s="131"/>
      <c r="Z406" s="131"/>
    </row>
    <row r="407">
      <c r="A407" s="290"/>
      <c r="B407" s="290"/>
      <c r="C407" s="290"/>
      <c r="D407" s="290"/>
      <c r="E407" s="290"/>
      <c r="F407" s="290"/>
      <c r="G407" s="290"/>
      <c r="H407" s="290"/>
      <c r="I407" s="290"/>
      <c r="J407" s="290"/>
      <c r="K407" s="131"/>
      <c r="L407" s="131"/>
      <c r="M407" s="131"/>
      <c r="N407" s="131"/>
      <c r="O407" s="131"/>
      <c r="P407" s="131"/>
      <c r="Q407" s="131"/>
      <c r="R407" s="131"/>
      <c r="S407" s="131"/>
      <c r="T407" s="131"/>
      <c r="U407" s="131"/>
      <c r="V407" s="131"/>
      <c r="W407" s="131"/>
      <c r="X407" s="131"/>
      <c r="Y407" s="131"/>
      <c r="Z407" s="131"/>
    </row>
    <row r="408">
      <c r="A408" s="290"/>
      <c r="B408" s="290"/>
      <c r="C408" s="290"/>
      <c r="D408" s="290"/>
      <c r="E408" s="290"/>
      <c r="F408" s="290"/>
      <c r="G408" s="290"/>
      <c r="H408" s="290"/>
      <c r="I408" s="290"/>
      <c r="J408" s="290"/>
      <c r="K408" s="131"/>
      <c r="L408" s="131"/>
      <c r="M408" s="131"/>
      <c r="N408" s="131"/>
      <c r="O408" s="131"/>
      <c r="P408" s="131"/>
      <c r="Q408" s="131"/>
      <c r="R408" s="131"/>
      <c r="S408" s="131"/>
      <c r="T408" s="131"/>
      <c r="U408" s="131"/>
      <c r="V408" s="131"/>
      <c r="W408" s="131"/>
      <c r="X408" s="131"/>
      <c r="Y408" s="131"/>
      <c r="Z408" s="131"/>
    </row>
    <row r="409">
      <c r="A409" s="290"/>
      <c r="B409" s="290"/>
      <c r="C409" s="290"/>
      <c r="D409" s="290"/>
      <c r="E409" s="290"/>
      <c r="F409" s="290"/>
      <c r="G409" s="290"/>
      <c r="H409" s="290"/>
      <c r="I409" s="290"/>
      <c r="J409" s="290"/>
      <c r="K409" s="131"/>
      <c r="L409" s="131"/>
      <c r="M409" s="131"/>
      <c r="N409" s="131"/>
      <c r="O409" s="131"/>
      <c r="P409" s="131"/>
      <c r="Q409" s="131"/>
      <c r="R409" s="131"/>
      <c r="S409" s="131"/>
      <c r="T409" s="131"/>
      <c r="U409" s="131"/>
      <c r="V409" s="131"/>
      <c r="W409" s="131"/>
      <c r="X409" s="131"/>
      <c r="Y409" s="131"/>
      <c r="Z409" s="131"/>
    </row>
    <row r="410">
      <c r="A410" s="290"/>
      <c r="B410" s="290"/>
      <c r="C410" s="290"/>
      <c r="D410" s="290"/>
      <c r="E410" s="290"/>
      <c r="F410" s="290"/>
      <c r="G410" s="290"/>
      <c r="H410" s="290"/>
      <c r="I410" s="290"/>
      <c r="J410" s="290"/>
      <c r="K410" s="131"/>
      <c r="L410" s="131"/>
      <c r="M410" s="131"/>
      <c r="N410" s="131"/>
      <c r="O410" s="131"/>
      <c r="P410" s="131"/>
      <c r="Q410" s="131"/>
      <c r="R410" s="131"/>
      <c r="S410" s="131"/>
      <c r="T410" s="131"/>
      <c r="U410" s="131"/>
      <c r="V410" s="131"/>
      <c r="W410" s="131"/>
      <c r="X410" s="131"/>
      <c r="Y410" s="131"/>
      <c r="Z410" s="131"/>
    </row>
    <row r="411">
      <c r="A411" s="290"/>
      <c r="B411" s="290"/>
      <c r="C411" s="290"/>
      <c r="D411" s="290"/>
      <c r="E411" s="290"/>
      <c r="F411" s="290"/>
      <c r="G411" s="290"/>
      <c r="H411" s="290"/>
      <c r="I411" s="290"/>
      <c r="J411" s="290"/>
      <c r="K411" s="131"/>
      <c r="L411" s="131"/>
      <c r="M411" s="131"/>
      <c r="N411" s="131"/>
      <c r="O411" s="131"/>
      <c r="P411" s="131"/>
      <c r="Q411" s="131"/>
      <c r="R411" s="131"/>
      <c r="S411" s="131"/>
      <c r="T411" s="131"/>
      <c r="U411" s="131"/>
      <c r="V411" s="131"/>
      <c r="W411" s="131"/>
      <c r="X411" s="131"/>
      <c r="Y411" s="131"/>
      <c r="Z411" s="131"/>
    </row>
    <row r="412">
      <c r="A412" s="290"/>
      <c r="B412" s="290"/>
      <c r="C412" s="290"/>
      <c r="D412" s="290"/>
      <c r="E412" s="290"/>
      <c r="F412" s="290"/>
      <c r="G412" s="290"/>
      <c r="H412" s="290"/>
      <c r="I412" s="290"/>
      <c r="J412" s="290"/>
      <c r="K412" s="131"/>
      <c r="L412" s="131"/>
      <c r="M412" s="131"/>
      <c r="N412" s="131"/>
      <c r="O412" s="131"/>
      <c r="P412" s="131"/>
      <c r="Q412" s="131"/>
      <c r="R412" s="131"/>
      <c r="S412" s="131"/>
      <c r="T412" s="131"/>
      <c r="U412" s="131"/>
      <c r="V412" s="131"/>
      <c r="W412" s="131"/>
      <c r="X412" s="131"/>
      <c r="Y412" s="131"/>
      <c r="Z412" s="131"/>
    </row>
    <row r="413">
      <c r="A413" s="290"/>
      <c r="B413" s="290"/>
      <c r="C413" s="290"/>
      <c r="D413" s="290"/>
      <c r="E413" s="290"/>
      <c r="F413" s="290"/>
      <c r="G413" s="290"/>
      <c r="H413" s="290"/>
      <c r="I413" s="290"/>
      <c r="J413" s="290"/>
      <c r="K413" s="131"/>
      <c r="L413" s="131"/>
      <c r="M413" s="131"/>
      <c r="N413" s="131"/>
      <c r="O413" s="131"/>
      <c r="P413" s="131"/>
      <c r="Q413" s="131"/>
      <c r="R413" s="131"/>
      <c r="S413" s="131"/>
      <c r="T413" s="131"/>
      <c r="U413" s="131"/>
      <c r="V413" s="131"/>
      <c r="W413" s="131"/>
      <c r="X413" s="131"/>
      <c r="Y413" s="131"/>
      <c r="Z413" s="131"/>
    </row>
    <row r="414">
      <c r="A414" s="290"/>
      <c r="B414" s="290"/>
      <c r="C414" s="290"/>
      <c r="D414" s="290"/>
      <c r="E414" s="290"/>
      <c r="F414" s="290"/>
      <c r="G414" s="290"/>
      <c r="H414" s="290"/>
      <c r="I414" s="290"/>
      <c r="J414" s="290"/>
      <c r="K414" s="131"/>
      <c r="L414" s="131"/>
      <c r="M414" s="131"/>
      <c r="N414" s="131"/>
      <c r="O414" s="131"/>
      <c r="P414" s="131"/>
      <c r="Q414" s="131"/>
      <c r="R414" s="131"/>
      <c r="S414" s="131"/>
      <c r="T414" s="131"/>
      <c r="U414" s="131"/>
      <c r="V414" s="131"/>
      <c r="W414" s="131"/>
      <c r="X414" s="131"/>
      <c r="Y414" s="131"/>
      <c r="Z414" s="131"/>
    </row>
    <row r="415">
      <c r="A415" s="290"/>
      <c r="B415" s="290"/>
      <c r="C415" s="290"/>
      <c r="D415" s="290"/>
      <c r="E415" s="290"/>
      <c r="F415" s="290"/>
      <c r="G415" s="290"/>
      <c r="H415" s="290"/>
      <c r="I415" s="290"/>
      <c r="J415" s="290"/>
      <c r="K415" s="131"/>
      <c r="L415" s="131"/>
      <c r="M415" s="131"/>
      <c r="N415" s="131"/>
      <c r="O415" s="131"/>
      <c r="P415" s="131"/>
      <c r="Q415" s="131"/>
      <c r="R415" s="131"/>
      <c r="S415" s="131"/>
      <c r="T415" s="131"/>
      <c r="U415" s="131"/>
      <c r="V415" s="131"/>
      <c r="W415" s="131"/>
      <c r="X415" s="131"/>
      <c r="Y415" s="131"/>
      <c r="Z415" s="131"/>
    </row>
    <row r="416">
      <c r="A416" s="290"/>
      <c r="B416" s="290"/>
      <c r="C416" s="290"/>
      <c r="D416" s="290"/>
      <c r="E416" s="290"/>
      <c r="F416" s="290"/>
      <c r="G416" s="290"/>
      <c r="H416" s="290"/>
      <c r="I416" s="290"/>
      <c r="J416" s="290"/>
      <c r="K416" s="131"/>
      <c r="L416" s="131"/>
      <c r="M416" s="131"/>
      <c r="N416" s="131"/>
      <c r="O416" s="131"/>
      <c r="P416" s="131"/>
      <c r="Q416" s="131"/>
      <c r="R416" s="131"/>
      <c r="S416" s="131"/>
      <c r="T416" s="131"/>
      <c r="U416" s="131"/>
      <c r="V416" s="131"/>
      <c r="W416" s="131"/>
      <c r="X416" s="131"/>
      <c r="Y416" s="131"/>
      <c r="Z416" s="131"/>
    </row>
    <row r="417">
      <c r="A417" s="290"/>
      <c r="B417" s="290"/>
      <c r="C417" s="290"/>
      <c r="D417" s="290"/>
      <c r="E417" s="290"/>
      <c r="F417" s="290"/>
      <c r="G417" s="290"/>
      <c r="H417" s="290"/>
      <c r="I417" s="290"/>
      <c r="J417" s="290"/>
      <c r="K417" s="131"/>
      <c r="L417" s="131"/>
      <c r="M417" s="131"/>
      <c r="N417" s="131"/>
      <c r="O417" s="131"/>
      <c r="P417" s="131"/>
      <c r="Q417" s="131"/>
      <c r="R417" s="131"/>
      <c r="S417" s="131"/>
      <c r="T417" s="131"/>
      <c r="U417" s="131"/>
      <c r="V417" s="131"/>
      <c r="W417" s="131"/>
      <c r="X417" s="131"/>
      <c r="Y417" s="131"/>
      <c r="Z417" s="131"/>
    </row>
    <row r="418">
      <c r="A418" s="290"/>
      <c r="B418" s="290"/>
      <c r="C418" s="290"/>
      <c r="D418" s="290"/>
      <c r="E418" s="290"/>
      <c r="F418" s="290"/>
      <c r="G418" s="290"/>
      <c r="H418" s="290"/>
      <c r="I418" s="290"/>
      <c r="J418" s="290"/>
      <c r="K418" s="131"/>
      <c r="L418" s="131"/>
      <c r="M418" s="131"/>
      <c r="N418" s="131"/>
      <c r="O418" s="131"/>
      <c r="P418" s="131"/>
      <c r="Q418" s="131"/>
      <c r="R418" s="131"/>
      <c r="S418" s="131"/>
      <c r="T418" s="131"/>
      <c r="U418" s="131"/>
      <c r="V418" s="131"/>
      <c r="W418" s="131"/>
      <c r="X418" s="131"/>
      <c r="Y418" s="131"/>
      <c r="Z418" s="131"/>
    </row>
    <row r="419">
      <c r="A419" s="290"/>
      <c r="B419" s="290"/>
      <c r="C419" s="290"/>
      <c r="D419" s="290"/>
      <c r="E419" s="290"/>
      <c r="F419" s="290"/>
      <c r="G419" s="290"/>
      <c r="H419" s="290"/>
      <c r="I419" s="290"/>
      <c r="J419" s="290"/>
      <c r="K419" s="131"/>
      <c r="L419" s="131"/>
      <c r="M419" s="131"/>
      <c r="N419" s="131"/>
      <c r="O419" s="131"/>
      <c r="P419" s="131"/>
      <c r="Q419" s="131"/>
      <c r="R419" s="131"/>
      <c r="S419" s="131"/>
      <c r="T419" s="131"/>
      <c r="U419" s="131"/>
      <c r="V419" s="131"/>
      <c r="W419" s="131"/>
      <c r="X419" s="131"/>
      <c r="Y419" s="131"/>
      <c r="Z419" s="131"/>
    </row>
    <row r="420">
      <c r="A420" s="290"/>
      <c r="B420" s="290"/>
      <c r="C420" s="290"/>
      <c r="D420" s="290"/>
      <c r="E420" s="290"/>
      <c r="F420" s="290"/>
      <c r="G420" s="290"/>
      <c r="H420" s="290"/>
      <c r="I420" s="290"/>
      <c r="J420" s="290"/>
      <c r="K420" s="131"/>
      <c r="L420" s="131"/>
      <c r="M420" s="131"/>
      <c r="N420" s="131"/>
      <c r="O420" s="131"/>
      <c r="P420" s="131"/>
      <c r="Q420" s="131"/>
      <c r="R420" s="131"/>
      <c r="S420" s="131"/>
      <c r="T420" s="131"/>
      <c r="U420" s="131"/>
      <c r="V420" s="131"/>
      <c r="W420" s="131"/>
      <c r="X420" s="131"/>
      <c r="Y420" s="131"/>
      <c r="Z420" s="131"/>
    </row>
    <row r="421">
      <c r="A421" s="290"/>
      <c r="B421" s="290"/>
      <c r="C421" s="290"/>
      <c r="D421" s="290"/>
      <c r="E421" s="290"/>
      <c r="F421" s="290"/>
      <c r="G421" s="290"/>
      <c r="H421" s="290"/>
      <c r="I421" s="290"/>
      <c r="J421" s="290"/>
      <c r="K421" s="131"/>
      <c r="L421" s="131"/>
      <c r="M421" s="131"/>
      <c r="N421" s="131"/>
      <c r="O421" s="131"/>
      <c r="P421" s="131"/>
      <c r="Q421" s="131"/>
      <c r="R421" s="131"/>
      <c r="S421" s="131"/>
      <c r="T421" s="131"/>
      <c r="U421" s="131"/>
      <c r="V421" s="131"/>
      <c r="W421" s="131"/>
      <c r="X421" s="131"/>
      <c r="Y421" s="131"/>
      <c r="Z421" s="131"/>
    </row>
    <row r="422">
      <c r="A422" s="290"/>
      <c r="B422" s="290"/>
      <c r="C422" s="290"/>
      <c r="D422" s="290"/>
      <c r="E422" s="290"/>
      <c r="F422" s="290"/>
      <c r="G422" s="290"/>
      <c r="H422" s="290"/>
      <c r="I422" s="290"/>
      <c r="J422" s="290"/>
      <c r="K422" s="131"/>
      <c r="L422" s="131"/>
      <c r="M422" s="131"/>
      <c r="N422" s="131"/>
      <c r="O422" s="131"/>
      <c r="P422" s="131"/>
      <c r="Q422" s="131"/>
      <c r="R422" s="131"/>
      <c r="S422" s="131"/>
      <c r="T422" s="131"/>
      <c r="U422" s="131"/>
      <c r="V422" s="131"/>
      <c r="W422" s="131"/>
      <c r="X422" s="131"/>
      <c r="Y422" s="131"/>
      <c r="Z422" s="131"/>
    </row>
    <row r="423">
      <c r="A423" s="290"/>
      <c r="B423" s="290"/>
      <c r="C423" s="290"/>
      <c r="D423" s="290"/>
      <c r="E423" s="290"/>
      <c r="F423" s="290"/>
      <c r="G423" s="290"/>
      <c r="H423" s="290"/>
      <c r="I423" s="290"/>
      <c r="J423" s="290"/>
      <c r="K423" s="131"/>
      <c r="L423" s="131"/>
      <c r="M423" s="131"/>
      <c r="N423" s="131"/>
      <c r="O423" s="131"/>
      <c r="P423" s="131"/>
      <c r="Q423" s="131"/>
      <c r="R423" s="131"/>
      <c r="S423" s="131"/>
      <c r="T423" s="131"/>
      <c r="U423" s="131"/>
      <c r="V423" s="131"/>
      <c r="W423" s="131"/>
      <c r="X423" s="131"/>
      <c r="Y423" s="131"/>
      <c r="Z423" s="131"/>
    </row>
    <row r="424">
      <c r="A424" s="290"/>
      <c r="B424" s="290"/>
      <c r="C424" s="290"/>
      <c r="D424" s="290"/>
      <c r="E424" s="290"/>
      <c r="F424" s="290"/>
      <c r="G424" s="290"/>
      <c r="H424" s="290"/>
      <c r="I424" s="290"/>
      <c r="J424" s="290"/>
      <c r="K424" s="131"/>
      <c r="L424" s="131"/>
      <c r="M424" s="131"/>
      <c r="N424" s="131"/>
      <c r="O424" s="131"/>
      <c r="P424" s="131"/>
      <c r="Q424" s="131"/>
      <c r="R424" s="131"/>
      <c r="S424" s="131"/>
      <c r="T424" s="131"/>
      <c r="U424" s="131"/>
      <c r="V424" s="131"/>
      <c r="W424" s="131"/>
      <c r="X424" s="131"/>
      <c r="Y424" s="131"/>
      <c r="Z424" s="131"/>
    </row>
    <row r="425">
      <c r="A425" s="290"/>
      <c r="B425" s="290"/>
      <c r="C425" s="290"/>
      <c r="D425" s="290"/>
      <c r="E425" s="290"/>
      <c r="F425" s="290"/>
      <c r="G425" s="290"/>
      <c r="H425" s="290"/>
      <c r="I425" s="290"/>
      <c r="J425" s="290"/>
      <c r="K425" s="131"/>
      <c r="L425" s="131"/>
      <c r="M425" s="131"/>
      <c r="N425" s="131"/>
      <c r="O425" s="131"/>
      <c r="P425" s="131"/>
      <c r="Q425" s="131"/>
      <c r="R425" s="131"/>
      <c r="S425" s="131"/>
      <c r="T425" s="131"/>
      <c r="U425" s="131"/>
      <c r="V425" s="131"/>
      <c r="W425" s="131"/>
      <c r="X425" s="131"/>
      <c r="Y425" s="131"/>
      <c r="Z425" s="131"/>
    </row>
    <row r="426">
      <c r="A426" s="290"/>
      <c r="B426" s="290"/>
      <c r="C426" s="290"/>
      <c r="D426" s="290"/>
      <c r="E426" s="290"/>
      <c r="F426" s="290"/>
      <c r="G426" s="290"/>
      <c r="H426" s="290"/>
      <c r="I426" s="290"/>
      <c r="J426" s="290"/>
      <c r="K426" s="131"/>
      <c r="L426" s="131"/>
      <c r="M426" s="131"/>
      <c r="N426" s="131"/>
      <c r="O426" s="131"/>
      <c r="P426" s="131"/>
      <c r="Q426" s="131"/>
      <c r="R426" s="131"/>
      <c r="S426" s="131"/>
      <c r="T426" s="131"/>
      <c r="U426" s="131"/>
      <c r="V426" s="131"/>
      <c r="W426" s="131"/>
      <c r="X426" s="131"/>
      <c r="Y426" s="131"/>
      <c r="Z426" s="131"/>
    </row>
    <row r="427">
      <c r="A427" s="290"/>
      <c r="B427" s="290"/>
      <c r="C427" s="290"/>
      <c r="D427" s="290"/>
      <c r="E427" s="290"/>
      <c r="F427" s="290"/>
      <c r="G427" s="290"/>
      <c r="H427" s="290"/>
      <c r="I427" s="290"/>
      <c r="J427" s="290"/>
      <c r="K427" s="131"/>
      <c r="L427" s="131"/>
      <c r="M427" s="131"/>
      <c r="N427" s="131"/>
      <c r="O427" s="131"/>
      <c r="P427" s="131"/>
      <c r="Q427" s="131"/>
      <c r="R427" s="131"/>
      <c r="S427" s="131"/>
      <c r="T427" s="131"/>
      <c r="U427" s="131"/>
      <c r="V427" s="131"/>
      <c r="W427" s="131"/>
      <c r="X427" s="131"/>
      <c r="Y427" s="131"/>
      <c r="Z427" s="131"/>
    </row>
    <row r="428">
      <c r="A428" s="290"/>
      <c r="B428" s="290"/>
      <c r="C428" s="290"/>
      <c r="D428" s="290"/>
      <c r="E428" s="290"/>
      <c r="F428" s="290"/>
      <c r="G428" s="290"/>
      <c r="H428" s="290"/>
      <c r="I428" s="290"/>
      <c r="J428" s="290"/>
      <c r="K428" s="131"/>
      <c r="L428" s="131"/>
      <c r="M428" s="131"/>
      <c r="N428" s="131"/>
      <c r="O428" s="131"/>
      <c r="P428" s="131"/>
      <c r="Q428" s="131"/>
      <c r="R428" s="131"/>
      <c r="S428" s="131"/>
      <c r="T428" s="131"/>
      <c r="U428" s="131"/>
      <c r="V428" s="131"/>
      <c r="W428" s="131"/>
      <c r="X428" s="131"/>
      <c r="Y428" s="131"/>
      <c r="Z428" s="131"/>
    </row>
    <row r="429">
      <c r="A429" s="290"/>
      <c r="B429" s="290"/>
      <c r="C429" s="290"/>
      <c r="D429" s="290"/>
      <c r="E429" s="290"/>
      <c r="F429" s="290"/>
      <c r="G429" s="290"/>
      <c r="H429" s="290"/>
      <c r="I429" s="290"/>
      <c r="J429" s="290"/>
      <c r="K429" s="131"/>
      <c r="L429" s="131"/>
      <c r="M429" s="131"/>
      <c r="N429" s="131"/>
      <c r="O429" s="131"/>
      <c r="P429" s="131"/>
      <c r="Q429" s="131"/>
      <c r="R429" s="131"/>
      <c r="S429" s="131"/>
      <c r="T429" s="131"/>
      <c r="U429" s="131"/>
      <c r="V429" s="131"/>
      <c r="W429" s="131"/>
      <c r="X429" s="131"/>
      <c r="Y429" s="131"/>
      <c r="Z429" s="131"/>
    </row>
    <row r="430">
      <c r="A430" s="290"/>
      <c r="B430" s="290"/>
      <c r="C430" s="290"/>
      <c r="D430" s="290"/>
      <c r="E430" s="290"/>
      <c r="F430" s="290"/>
      <c r="G430" s="290"/>
      <c r="H430" s="290"/>
      <c r="I430" s="290"/>
      <c r="J430" s="290"/>
      <c r="K430" s="131"/>
      <c r="L430" s="131"/>
      <c r="M430" s="131"/>
      <c r="N430" s="131"/>
      <c r="O430" s="131"/>
      <c r="P430" s="131"/>
      <c r="Q430" s="131"/>
      <c r="R430" s="131"/>
      <c r="S430" s="131"/>
      <c r="T430" s="131"/>
      <c r="U430" s="131"/>
      <c r="V430" s="131"/>
      <c r="W430" s="131"/>
      <c r="X430" s="131"/>
      <c r="Y430" s="131"/>
      <c r="Z430" s="131"/>
    </row>
    <row r="431">
      <c r="A431" s="290"/>
      <c r="B431" s="290"/>
      <c r="C431" s="290"/>
      <c r="D431" s="290"/>
      <c r="E431" s="290"/>
      <c r="F431" s="290"/>
      <c r="G431" s="290"/>
      <c r="H431" s="290"/>
      <c r="I431" s="290"/>
      <c r="J431" s="290"/>
      <c r="K431" s="131"/>
      <c r="L431" s="131"/>
      <c r="M431" s="131"/>
      <c r="N431" s="131"/>
      <c r="O431" s="131"/>
      <c r="P431" s="131"/>
      <c r="Q431" s="131"/>
      <c r="R431" s="131"/>
      <c r="S431" s="131"/>
      <c r="T431" s="131"/>
      <c r="U431" s="131"/>
      <c r="V431" s="131"/>
      <c r="W431" s="131"/>
      <c r="X431" s="131"/>
      <c r="Y431" s="131"/>
      <c r="Z431" s="131"/>
    </row>
    <row r="432">
      <c r="A432" s="290"/>
      <c r="B432" s="290"/>
      <c r="C432" s="290"/>
      <c r="D432" s="290"/>
      <c r="E432" s="290"/>
      <c r="F432" s="290"/>
      <c r="G432" s="290"/>
      <c r="H432" s="290"/>
      <c r="I432" s="290"/>
      <c r="J432" s="290"/>
      <c r="K432" s="131"/>
      <c r="L432" s="131"/>
      <c r="M432" s="131"/>
      <c r="N432" s="131"/>
      <c r="O432" s="131"/>
      <c r="P432" s="131"/>
      <c r="Q432" s="131"/>
      <c r="R432" s="131"/>
      <c r="S432" s="131"/>
      <c r="T432" s="131"/>
      <c r="U432" s="131"/>
      <c r="V432" s="131"/>
      <c r="W432" s="131"/>
      <c r="X432" s="131"/>
      <c r="Y432" s="131"/>
      <c r="Z432" s="131"/>
    </row>
    <row r="433">
      <c r="A433" s="290"/>
      <c r="B433" s="290"/>
      <c r="C433" s="290"/>
      <c r="D433" s="290"/>
      <c r="E433" s="290"/>
      <c r="F433" s="290"/>
      <c r="G433" s="290"/>
      <c r="H433" s="290"/>
      <c r="I433" s="290"/>
      <c r="J433" s="290"/>
      <c r="K433" s="131"/>
      <c r="L433" s="131"/>
      <c r="M433" s="131"/>
      <c r="N433" s="131"/>
      <c r="O433" s="131"/>
      <c r="P433" s="131"/>
      <c r="Q433" s="131"/>
      <c r="R433" s="131"/>
      <c r="S433" s="131"/>
      <c r="T433" s="131"/>
      <c r="U433" s="131"/>
      <c r="V433" s="131"/>
      <c r="W433" s="131"/>
      <c r="X433" s="131"/>
      <c r="Y433" s="131"/>
      <c r="Z433" s="131"/>
    </row>
    <row r="434">
      <c r="A434" s="290"/>
      <c r="B434" s="290"/>
      <c r="C434" s="290"/>
      <c r="D434" s="290"/>
      <c r="E434" s="290"/>
      <c r="F434" s="290"/>
      <c r="G434" s="290"/>
      <c r="H434" s="290"/>
      <c r="I434" s="290"/>
      <c r="J434" s="290"/>
      <c r="K434" s="131"/>
      <c r="L434" s="131"/>
      <c r="M434" s="131"/>
      <c r="N434" s="131"/>
      <c r="O434" s="131"/>
      <c r="P434" s="131"/>
      <c r="Q434" s="131"/>
      <c r="R434" s="131"/>
      <c r="S434" s="131"/>
      <c r="T434" s="131"/>
      <c r="U434" s="131"/>
      <c r="V434" s="131"/>
      <c r="W434" s="131"/>
      <c r="X434" s="131"/>
      <c r="Y434" s="131"/>
      <c r="Z434" s="131"/>
    </row>
    <row r="435">
      <c r="A435" s="290"/>
      <c r="B435" s="290"/>
      <c r="C435" s="290"/>
      <c r="D435" s="290"/>
      <c r="E435" s="290"/>
      <c r="F435" s="290"/>
      <c r="G435" s="290"/>
      <c r="H435" s="290"/>
      <c r="I435" s="290"/>
      <c r="J435" s="290"/>
      <c r="K435" s="131"/>
      <c r="L435" s="131"/>
      <c r="M435" s="131"/>
      <c r="N435" s="131"/>
      <c r="O435" s="131"/>
      <c r="P435" s="131"/>
      <c r="Q435" s="131"/>
      <c r="R435" s="131"/>
      <c r="S435" s="131"/>
      <c r="T435" s="131"/>
      <c r="U435" s="131"/>
      <c r="V435" s="131"/>
      <c r="W435" s="131"/>
      <c r="X435" s="131"/>
      <c r="Y435" s="131"/>
      <c r="Z435" s="131"/>
    </row>
    <row r="436">
      <c r="A436" s="290"/>
      <c r="B436" s="290"/>
      <c r="C436" s="290"/>
      <c r="D436" s="290"/>
      <c r="E436" s="290"/>
      <c r="F436" s="290"/>
      <c r="G436" s="290"/>
      <c r="H436" s="290"/>
      <c r="I436" s="290"/>
      <c r="J436" s="290"/>
      <c r="K436" s="131"/>
      <c r="L436" s="131"/>
      <c r="M436" s="131"/>
      <c r="N436" s="131"/>
      <c r="O436" s="131"/>
      <c r="P436" s="131"/>
      <c r="Q436" s="131"/>
      <c r="R436" s="131"/>
      <c r="S436" s="131"/>
      <c r="T436" s="131"/>
      <c r="U436" s="131"/>
      <c r="V436" s="131"/>
      <c r="W436" s="131"/>
      <c r="X436" s="131"/>
      <c r="Y436" s="131"/>
      <c r="Z436" s="131"/>
    </row>
    <row r="437">
      <c r="A437" s="290"/>
      <c r="B437" s="290"/>
      <c r="C437" s="290"/>
      <c r="D437" s="290"/>
      <c r="E437" s="290"/>
      <c r="F437" s="290"/>
      <c r="G437" s="290"/>
      <c r="H437" s="290"/>
      <c r="I437" s="290"/>
      <c r="J437" s="290"/>
      <c r="K437" s="131"/>
      <c r="L437" s="131"/>
      <c r="M437" s="131"/>
      <c r="N437" s="131"/>
      <c r="O437" s="131"/>
      <c r="P437" s="131"/>
      <c r="Q437" s="131"/>
      <c r="R437" s="131"/>
      <c r="S437" s="131"/>
      <c r="T437" s="131"/>
      <c r="U437" s="131"/>
      <c r="V437" s="131"/>
      <c r="W437" s="131"/>
      <c r="X437" s="131"/>
      <c r="Y437" s="131"/>
      <c r="Z437" s="131"/>
    </row>
    <row r="438">
      <c r="A438" s="290"/>
      <c r="B438" s="290"/>
      <c r="C438" s="290"/>
      <c r="D438" s="290"/>
      <c r="E438" s="290"/>
      <c r="F438" s="290"/>
      <c r="G438" s="290"/>
      <c r="H438" s="290"/>
      <c r="I438" s="290"/>
      <c r="J438" s="290"/>
      <c r="K438" s="131"/>
      <c r="L438" s="131"/>
      <c r="M438" s="131"/>
      <c r="N438" s="131"/>
      <c r="O438" s="131"/>
      <c r="P438" s="131"/>
      <c r="Q438" s="131"/>
      <c r="R438" s="131"/>
      <c r="S438" s="131"/>
      <c r="T438" s="131"/>
      <c r="U438" s="131"/>
      <c r="V438" s="131"/>
      <c r="W438" s="131"/>
      <c r="X438" s="131"/>
      <c r="Y438" s="131"/>
      <c r="Z438" s="131"/>
    </row>
    <row r="439">
      <c r="A439" s="290"/>
      <c r="B439" s="290"/>
      <c r="C439" s="290"/>
      <c r="D439" s="290"/>
      <c r="E439" s="290"/>
      <c r="F439" s="290"/>
      <c r="G439" s="290"/>
      <c r="H439" s="290"/>
      <c r="I439" s="290"/>
      <c r="J439" s="290"/>
      <c r="K439" s="131"/>
      <c r="L439" s="131"/>
      <c r="M439" s="131"/>
      <c r="N439" s="131"/>
      <c r="O439" s="131"/>
      <c r="P439" s="131"/>
      <c r="Q439" s="131"/>
      <c r="R439" s="131"/>
      <c r="S439" s="131"/>
      <c r="T439" s="131"/>
      <c r="U439" s="131"/>
      <c r="V439" s="131"/>
      <c r="W439" s="131"/>
      <c r="X439" s="131"/>
      <c r="Y439" s="131"/>
      <c r="Z439" s="131"/>
    </row>
    <row r="440">
      <c r="A440" s="290"/>
      <c r="B440" s="290"/>
      <c r="C440" s="290"/>
      <c r="D440" s="290"/>
      <c r="E440" s="290"/>
      <c r="F440" s="290"/>
      <c r="G440" s="290"/>
      <c r="H440" s="290"/>
      <c r="I440" s="290"/>
      <c r="J440" s="290"/>
      <c r="K440" s="131"/>
      <c r="L440" s="131"/>
      <c r="M440" s="131"/>
      <c r="N440" s="131"/>
      <c r="O440" s="131"/>
      <c r="P440" s="131"/>
      <c r="Q440" s="131"/>
      <c r="R440" s="131"/>
      <c r="S440" s="131"/>
      <c r="T440" s="131"/>
      <c r="U440" s="131"/>
      <c r="V440" s="131"/>
      <c r="W440" s="131"/>
      <c r="X440" s="131"/>
      <c r="Y440" s="131"/>
      <c r="Z440" s="131"/>
    </row>
    <row r="441">
      <c r="A441" s="290"/>
      <c r="B441" s="290"/>
      <c r="C441" s="290"/>
      <c r="D441" s="290"/>
      <c r="E441" s="290"/>
      <c r="F441" s="290"/>
      <c r="G441" s="290"/>
      <c r="H441" s="290"/>
      <c r="I441" s="290"/>
      <c r="J441" s="290"/>
      <c r="K441" s="131"/>
      <c r="L441" s="131"/>
      <c r="M441" s="131"/>
      <c r="N441" s="131"/>
      <c r="O441" s="131"/>
      <c r="P441" s="131"/>
      <c r="Q441" s="131"/>
      <c r="R441" s="131"/>
      <c r="S441" s="131"/>
      <c r="T441" s="131"/>
      <c r="U441" s="131"/>
      <c r="V441" s="131"/>
      <c r="W441" s="131"/>
      <c r="X441" s="131"/>
      <c r="Y441" s="131"/>
      <c r="Z441" s="131"/>
    </row>
    <row r="442">
      <c r="A442" s="290"/>
      <c r="B442" s="290"/>
      <c r="C442" s="290"/>
      <c r="D442" s="290"/>
      <c r="E442" s="290"/>
      <c r="F442" s="290"/>
      <c r="G442" s="290"/>
      <c r="H442" s="290"/>
      <c r="I442" s="290"/>
      <c r="J442" s="290"/>
      <c r="K442" s="131"/>
      <c r="L442" s="131"/>
      <c r="M442" s="131"/>
      <c r="N442" s="131"/>
      <c r="O442" s="131"/>
      <c r="P442" s="131"/>
      <c r="Q442" s="131"/>
      <c r="R442" s="131"/>
      <c r="S442" s="131"/>
      <c r="T442" s="131"/>
      <c r="U442" s="131"/>
      <c r="V442" s="131"/>
      <c r="W442" s="131"/>
      <c r="X442" s="131"/>
      <c r="Y442" s="131"/>
      <c r="Z442" s="131"/>
    </row>
    <row r="443">
      <c r="A443" s="290"/>
      <c r="B443" s="290"/>
      <c r="C443" s="290"/>
      <c r="D443" s="290"/>
      <c r="E443" s="290"/>
      <c r="F443" s="290"/>
      <c r="G443" s="290"/>
      <c r="H443" s="290"/>
      <c r="I443" s="290"/>
      <c r="J443" s="290"/>
      <c r="K443" s="131"/>
      <c r="L443" s="131"/>
      <c r="M443" s="131"/>
      <c r="N443" s="131"/>
      <c r="O443" s="131"/>
      <c r="P443" s="131"/>
      <c r="Q443" s="131"/>
      <c r="R443" s="131"/>
      <c r="S443" s="131"/>
      <c r="T443" s="131"/>
      <c r="U443" s="131"/>
      <c r="V443" s="131"/>
      <c r="W443" s="131"/>
      <c r="X443" s="131"/>
      <c r="Y443" s="131"/>
      <c r="Z443" s="131"/>
    </row>
    <row r="444">
      <c r="A444" s="290"/>
      <c r="B444" s="290"/>
      <c r="C444" s="290"/>
      <c r="D444" s="290"/>
      <c r="E444" s="290"/>
      <c r="F444" s="290"/>
      <c r="G444" s="290"/>
      <c r="H444" s="290"/>
      <c r="I444" s="290"/>
      <c r="J444" s="290"/>
      <c r="K444" s="131"/>
      <c r="L444" s="131"/>
      <c r="M444" s="131"/>
      <c r="N444" s="131"/>
      <c r="O444" s="131"/>
      <c r="P444" s="131"/>
      <c r="Q444" s="131"/>
      <c r="R444" s="131"/>
      <c r="S444" s="131"/>
      <c r="T444" s="131"/>
      <c r="U444" s="131"/>
      <c r="V444" s="131"/>
      <c r="W444" s="131"/>
      <c r="X444" s="131"/>
      <c r="Y444" s="131"/>
      <c r="Z444" s="131"/>
    </row>
    <row r="445">
      <c r="A445" s="290"/>
      <c r="B445" s="290"/>
      <c r="C445" s="290"/>
      <c r="D445" s="290"/>
      <c r="E445" s="290"/>
      <c r="F445" s="290"/>
      <c r="G445" s="290"/>
      <c r="H445" s="290"/>
      <c r="I445" s="290"/>
      <c r="J445" s="290"/>
      <c r="K445" s="131"/>
      <c r="L445" s="131"/>
      <c r="M445" s="131"/>
      <c r="N445" s="131"/>
      <c r="O445" s="131"/>
      <c r="P445" s="131"/>
      <c r="Q445" s="131"/>
      <c r="R445" s="131"/>
      <c r="S445" s="131"/>
      <c r="T445" s="131"/>
      <c r="U445" s="131"/>
      <c r="V445" s="131"/>
      <c r="W445" s="131"/>
      <c r="X445" s="131"/>
      <c r="Y445" s="131"/>
      <c r="Z445" s="131"/>
    </row>
    <row r="446">
      <c r="A446" s="290"/>
      <c r="B446" s="290"/>
      <c r="C446" s="290"/>
      <c r="D446" s="290"/>
      <c r="E446" s="290"/>
      <c r="F446" s="290"/>
      <c r="G446" s="290"/>
      <c r="H446" s="290"/>
      <c r="I446" s="290"/>
      <c r="J446" s="290"/>
      <c r="K446" s="131"/>
      <c r="L446" s="131"/>
      <c r="M446" s="131"/>
      <c r="N446" s="131"/>
      <c r="O446" s="131"/>
      <c r="P446" s="131"/>
      <c r="Q446" s="131"/>
      <c r="R446" s="131"/>
      <c r="S446" s="131"/>
      <c r="T446" s="131"/>
      <c r="U446" s="131"/>
      <c r="V446" s="131"/>
      <c r="W446" s="131"/>
      <c r="X446" s="131"/>
      <c r="Y446" s="131"/>
      <c r="Z446" s="131"/>
    </row>
    <row r="447">
      <c r="A447" s="290"/>
      <c r="B447" s="290"/>
      <c r="C447" s="290"/>
      <c r="D447" s="290"/>
      <c r="E447" s="290"/>
      <c r="F447" s="290"/>
      <c r="G447" s="290"/>
      <c r="H447" s="290"/>
      <c r="I447" s="290"/>
      <c r="J447" s="290"/>
      <c r="K447" s="131"/>
      <c r="L447" s="131"/>
      <c r="M447" s="131"/>
      <c r="N447" s="131"/>
      <c r="O447" s="131"/>
      <c r="P447" s="131"/>
      <c r="Q447" s="131"/>
      <c r="R447" s="131"/>
      <c r="S447" s="131"/>
      <c r="T447" s="131"/>
      <c r="U447" s="131"/>
      <c r="V447" s="131"/>
      <c r="W447" s="131"/>
      <c r="X447" s="131"/>
      <c r="Y447" s="131"/>
      <c r="Z447" s="131"/>
    </row>
    <row r="448">
      <c r="A448" s="290"/>
      <c r="B448" s="290"/>
      <c r="C448" s="290"/>
      <c r="D448" s="290"/>
      <c r="E448" s="290"/>
      <c r="F448" s="290"/>
      <c r="G448" s="290"/>
      <c r="H448" s="290"/>
      <c r="I448" s="290"/>
      <c r="J448" s="290"/>
      <c r="K448" s="131"/>
      <c r="L448" s="131"/>
      <c r="M448" s="131"/>
      <c r="N448" s="131"/>
      <c r="O448" s="131"/>
      <c r="P448" s="131"/>
      <c r="Q448" s="131"/>
      <c r="R448" s="131"/>
      <c r="S448" s="131"/>
      <c r="T448" s="131"/>
      <c r="U448" s="131"/>
      <c r="V448" s="131"/>
      <c r="W448" s="131"/>
      <c r="X448" s="131"/>
      <c r="Y448" s="131"/>
      <c r="Z448" s="131"/>
    </row>
    <row r="449">
      <c r="A449" s="290"/>
      <c r="B449" s="290"/>
      <c r="C449" s="290"/>
      <c r="D449" s="290"/>
      <c r="E449" s="290"/>
      <c r="F449" s="290"/>
      <c r="G449" s="290"/>
      <c r="H449" s="290"/>
      <c r="I449" s="290"/>
      <c r="J449" s="290"/>
      <c r="K449" s="131"/>
      <c r="L449" s="131"/>
      <c r="M449" s="131"/>
      <c r="N449" s="131"/>
      <c r="O449" s="131"/>
      <c r="P449" s="131"/>
      <c r="Q449" s="131"/>
      <c r="R449" s="131"/>
      <c r="S449" s="131"/>
      <c r="T449" s="131"/>
      <c r="U449" s="131"/>
      <c r="V449" s="131"/>
      <c r="W449" s="131"/>
      <c r="X449" s="131"/>
      <c r="Y449" s="131"/>
      <c r="Z449" s="131"/>
    </row>
    <row r="450">
      <c r="A450" s="290"/>
      <c r="B450" s="290"/>
      <c r="C450" s="290"/>
      <c r="D450" s="290"/>
      <c r="E450" s="290"/>
      <c r="F450" s="290"/>
      <c r="G450" s="290"/>
      <c r="H450" s="290"/>
      <c r="I450" s="290"/>
      <c r="J450" s="290"/>
      <c r="K450" s="131"/>
      <c r="L450" s="131"/>
      <c r="M450" s="131"/>
      <c r="N450" s="131"/>
      <c r="O450" s="131"/>
      <c r="P450" s="131"/>
      <c r="Q450" s="131"/>
      <c r="R450" s="131"/>
      <c r="S450" s="131"/>
      <c r="T450" s="131"/>
      <c r="U450" s="131"/>
      <c r="V450" s="131"/>
      <c r="W450" s="131"/>
      <c r="X450" s="131"/>
      <c r="Y450" s="131"/>
      <c r="Z450" s="131"/>
    </row>
    <row r="451">
      <c r="A451" s="290"/>
      <c r="B451" s="290"/>
      <c r="C451" s="290"/>
      <c r="D451" s="290"/>
      <c r="E451" s="290"/>
      <c r="F451" s="290"/>
      <c r="G451" s="290"/>
      <c r="H451" s="290"/>
      <c r="I451" s="290"/>
      <c r="J451" s="290"/>
      <c r="K451" s="131"/>
      <c r="L451" s="131"/>
      <c r="M451" s="131"/>
      <c r="N451" s="131"/>
      <c r="O451" s="131"/>
      <c r="P451" s="131"/>
      <c r="Q451" s="131"/>
      <c r="R451" s="131"/>
      <c r="S451" s="131"/>
      <c r="T451" s="131"/>
      <c r="U451" s="131"/>
      <c r="V451" s="131"/>
      <c r="W451" s="131"/>
      <c r="X451" s="131"/>
      <c r="Y451" s="131"/>
      <c r="Z451" s="131"/>
    </row>
    <row r="452">
      <c r="A452" s="290"/>
      <c r="B452" s="290"/>
      <c r="C452" s="290"/>
      <c r="D452" s="290"/>
      <c r="E452" s="290"/>
      <c r="F452" s="290"/>
      <c r="G452" s="290"/>
      <c r="H452" s="290"/>
      <c r="I452" s="290"/>
      <c r="J452" s="290"/>
      <c r="K452" s="131"/>
      <c r="L452" s="131"/>
      <c r="M452" s="131"/>
      <c r="N452" s="131"/>
      <c r="O452" s="131"/>
      <c r="P452" s="131"/>
      <c r="Q452" s="131"/>
      <c r="R452" s="131"/>
      <c r="S452" s="131"/>
      <c r="T452" s="131"/>
      <c r="U452" s="131"/>
      <c r="V452" s="131"/>
      <c r="W452" s="131"/>
      <c r="X452" s="131"/>
      <c r="Y452" s="131"/>
      <c r="Z452" s="131"/>
    </row>
    <row r="453">
      <c r="A453" s="290"/>
      <c r="B453" s="290"/>
      <c r="C453" s="290"/>
      <c r="D453" s="290"/>
      <c r="E453" s="290"/>
      <c r="F453" s="290"/>
      <c r="G453" s="290"/>
      <c r="H453" s="290"/>
      <c r="I453" s="290"/>
      <c r="J453" s="290"/>
      <c r="K453" s="131"/>
      <c r="L453" s="131"/>
      <c r="M453" s="131"/>
      <c r="N453" s="131"/>
      <c r="O453" s="131"/>
      <c r="P453" s="131"/>
      <c r="Q453" s="131"/>
      <c r="R453" s="131"/>
      <c r="S453" s="131"/>
      <c r="T453" s="131"/>
      <c r="U453" s="131"/>
      <c r="V453" s="131"/>
      <c r="W453" s="131"/>
      <c r="X453" s="131"/>
      <c r="Y453" s="131"/>
      <c r="Z453" s="131"/>
    </row>
    <row r="454">
      <c r="A454" s="290"/>
      <c r="B454" s="290"/>
      <c r="C454" s="290"/>
      <c r="D454" s="290"/>
      <c r="E454" s="290"/>
      <c r="F454" s="290"/>
      <c r="G454" s="290"/>
      <c r="H454" s="290"/>
      <c r="I454" s="290"/>
      <c r="J454" s="290"/>
      <c r="K454" s="131"/>
      <c r="L454" s="131"/>
      <c r="M454" s="131"/>
      <c r="N454" s="131"/>
      <c r="O454" s="131"/>
      <c r="P454" s="131"/>
      <c r="Q454" s="131"/>
      <c r="R454" s="131"/>
      <c r="S454" s="131"/>
      <c r="T454" s="131"/>
      <c r="U454" s="131"/>
      <c r="V454" s="131"/>
      <c r="W454" s="131"/>
      <c r="X454" s="131"/>
      <c r="Y454" s="131"/>
      <c r="Z454" s="131"/>
    </row>
    <row r="455">
      <c r="A455" s="290"/>
      <c r="B455" s="290"/>
      <c r="C455" s="290"/>
      <c r="D455" s="290"/>
      <c r="E455" s="290"/>
      <c r="F455" s="290"/>
      <c r="G455" s="290"/>
      <c r="H455" s="290"/>
      <c r="I455" s="290"/>
      <c r="J455" s="290"/>
      <c r="K455" s="131"/>
      <c r="L455" s="131"/>
      <c r="M455" s="131"/>
      <c r="N455" s="131"/>
      <c r="O455" s="131"/>
      <c r="P455" s="131"/>
      <c r="Q455" s="131"/>
      <c r="R455" s="131"/>
      <c r="S455" s="131"/>
      <c r="T455" s="131"/>
      <c r="U455" s="131"/>
      <c r="V455" s="131"/>
      <c r="W455" s="131"/>
      <c r="X455" s="131"/>
      <c r="Y455" s="131"/>
      <c r="Z455" s="131"/>
    </row>
    <row r="456">
      <c r="A456" s="290"/>
      <c r="B456" s="290"/>
      <c r="C456" s="290"/>
      <c r="D456" s="290"/>
      <c r="E456" s="290"/>
      <c r="F456" s="290"/>
      <c r="G456" s="290"/>
      <c r="H456" s="290"/>
      <c r="I456" s="290"/>
      <c r="J456" s="290"/>
      <c r="K456" s="131"/>
      <c r="L456" s="131"/>
      <c r="M456" s="131"/>
      <c r="N456" s="131"/>
      <c r="O456" s="131"/>
      <c r="P456" s="131"/>
      <c r="Q456" s="131"/>
      <c r="R456" s="131"/>
      <c r="S456" s="131"/>
      <c r="T456" s="131"/>
      <c r="U456" s="131"/>
      <c r="V456" s="131"/>
      <c r="W456" s="131"/>
      <c r="X456" s="131"/>
      <c r="Y456" s="131"/>
      <c r="Z456" s="131"/>
    </row>
    <row r="457">
      <c r="A457" s="290"/>
      <c r="B457" s="290"/>
      <c r="C457" s="290"/>
      <c r="D457" s="290"/>
      <c r="E457" s="290"/>
      <c r="F457" s="290"/>
      <c r="G457" s="290"/>
      <c r="H457" s="290"/>
      <c r="I457" s="290"/>
      <c r="J457" s="290"/>
      <c r="K457" s="131"/>
      <c r="L457" s="131"/>
      <c r="M457" s="131"/>
      <c r="N457" s="131"/>
      <c r="O457" s="131"/>
      <c r="P457" s="131"/>
      <c r="Q457" s="131"/>
      <c r="R457" s="131"/>
      <c r="S457" s="131"/>
      <c r="T457" s="131"/>
      <c r="U457" s="131"/>
      <c r="V457" s="131"/>
      <c r="W457" s="131"/>
      <c r="X457" s="131"/>
      <c r="Y457" s="131"/>
      <c r="Z457" s="131"/>
    </row>
    <row r="458">
      <c r="A458" s="290"/>
      <c r="B458" s="290"/>
      <c r="C458" s="290"/>
      <c r="D458" s="290"/>
      <c r="E458" s="290"/>
      <c r="F458" s="290"/>
      <c r="G458" s="290"/>
      <c r="H458" s="290"/>
      <c r="I458" s="290"/>
      <c r="J458" s="290"/>
      <c r="K458" s="131"/>
      <c r="L458" s="131"/>
      <c r="M458" s="131"/>
      <c r="N458" s="131"/>
      <c r="O458" s="131"/>
      <c r="P458" s="131"/>
      <c r="Q458" s="131"/>
      <c r="R458" s="131"/>
      <c r="S458" s="131"/>
      <c r="T458" s="131"/>
      <c r="U458" s="131"/>
      <c r="V458" s="131"/>
      <c r="W458" s="131"/>
      <c r="X458" s="131"/>
      <c r="Y458" s="131"/>
      <c r="Z458" s="131"/>
    </row>
    <row r="459">
      <c r="A459" s="290"/>
      <c r="B459" s="290"/>
      <c r="C459" s="290"/>
      <c r="D459" s="290"/>
      <c r="E459" s="290"/>
      <c r="F459" s="290"/>
      <c r="G459" s="290"/>
      <c r="H459" s="290"/>
      <c r="I459" s="290"/>
      <c r="J459" s="290"/>
      <c r="K459" s="131"/>
      <c r="L459" s="131"/>
      <c r="M459" s="131"/>
      <c r="N459" s="131"/>
      <c r="O459" s="131"/>
      <c r="P459" s="131"/>
      <c r="Q459" s="131"/>
      <c r="R459" s="131"/>
      <c r="S459" s="131"/>
      <c r="T459" s="131"/>
      <c r="U459" s="131"/>
      <c r="V459" s="131"/>
      <c r="W459" s="131"/>
      <c r="X459" s="131"/>
      <c r="Y459" s="131"/>
      <c r="Z459" s="131"/>
    </row>
    <row r="460">
      <c r="A460" s="290"/>
      <c r="B460" s="290"/>
      <c r="C460" s="290"/>
      <c r="D460" s="290"/>
      <c r="E460" s="290"/>
      <c r="F460" s="290"/>
      <c r="G460" s="290"/>
      <c r="H460" s="290"/>
      <c r="I460" s="290"/>
      <c r="J460" s="290"/>
      <c r="K460" s="131"/>
      <c r="L460" s="131"/>
      <c r="M460" s="131"/>
      <c r="N460" s="131"/>
      <c r="O460" s="131"/>
      <c r="P460" s="131"/>
      <c r="Q460" s="131"/>
      <c r="R460" s="131"/>
      <c r="S460" s="131"/>
      <c r="T460" s="131"/>
      <c r="U460" s="131"/>
      <c r="V460" s="131"/>
      <c r="W460" s="131"/>
      <c r="X460" s="131"/>
      <c r="Y460" s="131"/>
      <c r="Z460" s="131"/>
    </row>
    <row r="461">
      <c r="A461" s="290"/>
      <c r="B461" s="290"/>
      <c r="C461" s="290"/>
      <c r="D461" s="290"/>
      <c r="E461" s="290"/>
      <c r="F461" s="290"/>
      <c r="G461" s="290"/>
      <c r="H461" s="290"/>
      <c r="I461" s="290"/>
      <c r="J461" s="290"/>
      <c r="K461" s="131"/>
      <c r="L461" s="131"/>
      <c r="M461" s="131"/>
      <c r="N461" s="131"/>
      <c r="O461" s="131"/>
      <c r="P461" s="131"/>
      <c r="Q461" s="131"/>
      <c r="R461" s="131"/>
      <c r="S461" s="131"/>
      <c r="T461" s="131"/>
      <c r="U461" s="131"/>
      <c r="V461" s="131"/>
      <c r="W461" s="131"/>
      <c r="X461" s="131"/>
      <c r="Y461" s="131"/>
      <c r="Z461" s="131"/>
    </row>
    <row r="462">
      <c r="A462" s="290"/>
      <c r="B462" s="290"/>
      <c r="C462" s="290"/>
      <c r="D462" s="290"/>
      <c r="E462" s="290"/>
      <c r="F462" s="290"/>
      <c r="G462" s="290"/>
      <c r="H462" s="290"/>
      <c r="I462" s="290"/>
      <c r="J462" s="290"/>
      <c r="K462" s="131"/>
      <c r="L462" s="131"/>
      <c r="M462" s="131"/>
      <c r="N462" s="131"/>
      <c r="O462" s="131"/>
      <c r="P462" s="131"/>
      <c r="Q462" s="131"/>
      <c r="R462" s="131"/>
      <c r="S462" s="131"/>
      <c r="T462" s="131"/>
      <c r="U462" s="131"/>
      <c r="V462" s="131"/>
      <c r="W462" s="131"/>
      <c r="X462" s="131"/>
      <c r="Y462" s="131"/>
      <c r="Z462" s="131"/>
    </row>
    <row r="463">
      <c r="A463" s="290"/>
      <c r="B463" s="290"/>
      <c r="C463" s="290"/>
      <c r="D463" s="290"/>
      <c r="E463" s="290"/>
      <c r="F463" s="290"/>
      <c r="G463" s="290"/>
      <c r="H463" s="290"/>
      <c r="I463" s="290"/>
      <c r="J463" s="290"/>
      <c r="K463" s="131"/>
      <c r="L463" s="131"/>
      <c r="M463" s="131"/>
      <c r="N463" s="131"/>
      <c r="O463" s="131"/>
      <c r="P463" s="131"/>
      <c r="Q463" s="131"/>
      <c r="R463" s="131"/>
      <c r="S463" s="131"/>
      <c r="T463" s="131"/>
      <c r="U463" s="131"/>
      <c r="V463" s="131"/>
      <c r="W463" s="131"/>
      <c r="X463" s="131"/>
      <c r="Y463" s="131"/>
      <c r="Z463" s="131"/>
    </row>
    <row r="464">
      <c r="A464" s="290"/>
      <c r="B464" s="290"/>
      <c r="C464" s="290"/>
      <c r="D464" s="290"/>
      <c r="E464" s="290"/>
      <c r="F464" s="290"/>
      <c r="G464" s="290"/>
      <c r="H464" s="290"/>
      <c r="I464" s="290"/>
      <c r="J464" s="290"/>
      <c r="K464" s="131"/>
      <c r="L464" s="131"/>
      <c r="M464" s="131"/>
      <c r="N464" s="131"/>
      <c r="O464" s="131"/>
      <c r="P464" s="131"/>
      <c r="Q464" s="131"/>
      <c r="R464" s="131"/>
      <c r="S464" s="131"/>
      <c r="T464" s="131"/>
      <c r="U464" s="131"/>
      <c r="V464" s="131"/>
      <c r="W464" s="131"/>
      <c r="X464" s="131"/>
      <c r="Y464" s="131"/>
      <c r="Z464" s="131"/>
    </row>
    <row r="465">
      <c r="A465" s="290"/>
      <c r="B465" s="290"/>
      <c r="C465" s="290"/>
      <c r="D465" s="290"/>
      <c r="E465" s="290"/>
      <c r="F465" s="290"/>
      <c r="G465" s="290"/>
      <c r="H465" s="290"/>
      <c r="I465" s="290"/>
      <c r="J465" s="290"/>
      <c r="K465" s="131"/>
      <c r="L465" s="131"/>
      <c r="M465" s="131"/>
      <c r="N465" s="131"/>
      <c r="O465" s="131"/>
      <c r="P465" s="131"/>
      <c r="Q465" s="131"/>
      <c r="R465" s="131"/>
      <c r="S465" s="131"/>
      <c r="T465" s="131"/>
      <c r="U465" s="131"/>
      <c r="V465" s="131"/>
      <c r="W465" s="131"/>
      <c r="X465" s="131"/>
      <c r="Y465" s="131"/>
      <c r="Z465" s="131"/>
    </row>
    <row r="466">
      <c r="A466" s="290"/>
      <c r="B466" s="290"/>
      <c r="C466" s="290"/>
      <c r="D466" s="290"/>
      <c r="E466" s="290"/>
      <c r="F466" s="290"/>
      <c r="G466" s="290"/>
      <c r="H466" s="290"/>
      <c r="I466" s="290"/>
      <c r="J466" s="290"/>
      <c r="K466" s="131"/>
      <c r="L466" s="131"/>
      <c r="M466" s="131"/>
      <c r="N466" s="131"/>
      <c r="O466" s="131"/>
      <c r="P466" s="131"/>
      <c r="Q466" s="131"/>
      <c r="R466" s="131"/>
      <c r="S466" s="131"/>
      <c r="T466" s="131"/>
      <c r="U466" s="131"/>
      <c r="V466" s="131"/>
      <c r="W466" s="131"/>
      <c r="X466" s="131"/>
      <c r="Y466" s="131"/>
      <c r="Z466" s="131"/>
    </row>
    <row r="467">
      <c r="A467" s="290"/>
      <c r="B467" s="290"/>
      <c r="C467" s="290"/>
      <c r="D467" s="290"/>
      <c r="E467" s="290"/>
      <c r="F467" s="290"/>
      <c r="G467" s="290"/>
      <c r="H467" s="290"/>
      <c r="I467" s="290"/>
      <c r="J467" s="290"/>
      <c r="K467" s="131"/>
      <c r="L467" s="131"/>
      <c r="M467" s="131"/>
      <c r="N467" s="131"/>
      <c r="O467" s="131"/>
      <c r="P467" s="131"/>
      <c r="Q467" s="131"/>
      <c r="R467" s="131"/>
      <c r="S467" s="131"/>
      <c r="T467" s="131"/>
      <c r="U467" s="131"/>
      <c r="V467" s="131"/>
      <c r="W467" s="131"/>
      <c r="X467" s="131"/>
      <c r="Y467" s="131"/>
      <c r="Z467" s="131"/>
    </row>
    <row r="468">
      <c r="A468" s="290"/>
      <c r="B468" s="290"/>
      <c r="C468" s="290"/>
      <c r="D468" s="290"/>
      <c r="E468" s="290"/>
      <c r="F468" s="290"/>
      <c r="G468" s="290"/>
      <c r="H468" s="290"/>
      <c r="I468" s="290"/>
      <c r="J468" s="290"/>
      <c r="K468" s="131"/>
      <c r="L468" s="131"/>
      <c r="M468" s="131"/>
      <c r="N468" s="131"/>
      <c r="O468" s="131"/>
      <c r="P468" s="131"/>
      <c r="Q468" s="131"/>
      <c r="R468" s="131"/>
      <c r="S468" s="131"/>
      <c r="T468" s="131"/>
      <c r="U468" s="131"/>
      <c r="V468" s="131"/>
      <c r="W468" s="131"/>
      <c r="X468" s="131"/>
      <c r="Y468" s="131"/>
      <c r="Z468" s="131"/>
    </row>
    <row r="469">
      <c r="A469" s="290"/>
      <c r="B469" s="290"/>
      <c r="C469" s="290"/>
      <c r="D469" s="290"/>
      <c r="E469" s="290"/>
      <c r="F469" s="290"/>
      <c r="G469" s="290"/>
      <c r="H469" s="290"/>
      <c r="I469" s="290"/>
      <c r="J469" s="290"/>
      <c r="K469" s="131"/>
      <c r="L469" s="131"/>
      <c r="M469" s="131"/>
      <c r="N469" s="131"/>
      <c r="O469" s="131"/>
      <c r="P469" s="131"/>
      <c r="Q469" s="131"/>
      <c r="R469" s="131"/>
      <c r="S469" s="131"/>
      <c r="T469" s="131"/>
      <c r="U469" s="131"/>
      <c r="V469" s="131"/>
      <c r="W469" s="131"/>
      <c r="X469" s="131"/>
      <c r="Y469" s="131"/>
      <c r="Z469" s="131"/>
    </row>
    <row r="470">
      <c r="A470" s="290"/>
      <c r="B470" s="290"/>
      <c r="C470" s="290"/>
      <c r="D470" s="290"/>
      <c r="E470" s="290"/>
      <c r="F470" s="290"/>
      <c r="G470" s="290"/>
      <c r="H470" s="290"/>
      <c r="I470" s="290"/>
      <c r="J470" s="290"/>
      <c r="K470" s="131"/>
      <c r="L470" s="131"/>
      <c r="M470" s="131"/>
      <c r="N470" s="131"/>
      <c r="O470" s="131"/>
      <c r="P470" s="131"/>
      <c r="Q470" s="131"/>
      <c r="R470" s="131"/>
      <c r="S470" s="131"/>
      <c r="T470" s="131"/>
      <c r="U470" s="131"/>
      <c r="V470" s="131"/>
      <c r="W470" s="131"/>
      <c r="X470" s="131"/>
      <c r="Y470" s="131"/>
      <c r="Z470" s="131"/>
    </row>
    <row r="471">
      <c r="A471" s="290"/>
      <c r="B471" s="290"/>
      <c r="C471" s="290"/>
      <c r="D471" s="290"/>
      <c r="E471" s="290"/>
      <c r="F471" s="290"/>
      <c r="G471" s="290"/>
      <c r="H471" s="290"/>
      <c r="I471" s="290"/>
      <c r="J471" s="290"/>
      <c r="K471" s="131"/>
      <c r="L471" s="131"/>
      <c r="M471" s="131"/>
      <c r="N471" s="131"/>
      <c r="O471" s="131"/>
      <c r="P471" s="131"/>
      <c r="Q471" s="131"/>
      <c r="R471" s="131"/>
      <c r="S471" s="131"/>
      <c r="T471" s="131"/>
      <c r="U471" s="131"/>
      <c r="V471" s="131"/>
      <c r="W471" s="131"/>
      <c r="X471" s="131"/>
      <c r="Y471" s="131"/>
      <c r="Z471" s="131"/>
    </row>
    <row r="472">
      <c r="A472" s="290"/>
      <c r="B472" s="290"/>
      <c r="C472" s="290"/>
      <c r="D472" s="290"/>
      <c r="E472" s="290"/>
      <c r="F472" s="290"/>
      <c r="G472" s="290"/>
      <c r="H472" s="290"/>
      <c r="I472" s="290"/>
      <c r="J472" s="290"/>
      <c r="K472" s="131"/>
      <c r="L472" s="131"/>
      <c r="M472" s="131"/>
      <c r="N472" s="131"/>
      <c r="O472" s="131"/>
      <c r="P472" s="131"/>
      <c r="Q472" s="131"/>
      <c r="R472" s="131"/>
      <c r="S472" s="131"/>
      <c r="T472" s="131"/>
      <c r="U472" s="131"/>
      <c r="V472" s="131"/>
      <c r="W472" s="131"/>
      <c r="X472" s="131"/>
      <c r="Y472" s="131"/>
      <c r="Z472" s="131"/>
    </row>
    <row r="473">
      <c r="A473" s="290"/>
      <c r="B473" s="290"/>
      <c r="C473" s="290"/>
      <c r="D473" s="290"/>
      <c r="E473" s="290"/>
      <c r="F473" s="290"/>
      <c r="G473" s="290"/>
      <c r="H473" s="290"/>
      <c r="I473" s="290"/>
      <c r="J473" s="290"/>
      <c r="K473" s="131"/>
      <c r="L473" s="131"/>
      <c r="M473" s="131"/>
      <c r="N473" s="131"/>
      <c r="O473" s="131"/>
      <c r="P473" s="131"/>
      <c r="Q473" s="131"/>
      <c r="R473" s="131"/>
      <c r="S473" s="131"/>
      <c r="T473" s="131"/>
      <c r="U473" s="131"/>
      <c r="V473" s="131"/>
      <c r="W473" s="131"/>
      <c r="X473" s="131"/>
      <c r="Y473" s="131"/>
      <c r="Z473" s="131"/>
    </row>
    <row r="474">
      <c r="A474" s="290"/>
      <c r="B474" s="290"/>
      <c r="C474" s="290"/>
      <c r="D474" s="290"/>
      <c r="E474" s="290"/>
      <c r="F474" s="290"/>
      <c r="G474" s="290"/>
      <c r="H474" s="290"/>
      <c r="I474" s="290"/>
      <c r="J474" s="290"/>
      <c r="K474" s="131"/>
      <c r="L474" s="131"/>
      <c r="M474" s="131"/>
      <c r="N474" s="131"/>
      <c r="O474" s="131"/>
      <c r="P474" s="131"/>
      <c r="Q474" s="131"/>
      <c r="R474" s="131"/>
      <c r="S474" s="131"/>
      <c r="T474" s="131"/>
      <c r="U474" s="131"/>
      <c r="V474" s="131"/>
      <c r="W474" s="131"/>
      <c r="X474" s="131"/>
      <c r="Y474" s="131"/>
      <c r="Z474" s="131"/>
    </row>
    <row r="475">
      <c r="A475" s="290"/>
      <c r="B475" s="290"/>
      <c r="C475" s="290"/>
      <c r="D475" s="290"/>
      <c r="E475" s="290"/>
      <c r="F475" s="290"/>
      <c r="G475" s="290"/>
      <c r="H475" s="290"/>
      <c r="I475" s="290"/>
      <c r="J475" s="290"/>
      <c r="K475" s="131"/>
      <c r="L475" s="131"/>
      <c r="M475" s="131"/>
      <c r="N475" s="131"/>
      <c r="O475" s="131"/>
      <c r="P475" s="131"/>
      <c r="Q475" s="131"/>
      <c r="R475" s="131"/>
      <c r="S475" s="131"/>
      <c r="T475" s="131"/>
      <c r="U475" s="131"/>
      <c r="V475" s="131"/>
      <c r="W475" s="131"/>
      <c r="X475" s="131"/>
      <c r="Y475" s="131"/>
      <c r="Z475" s="131"/>
    </row>
    <row r="476">
      <c r="A476" s="290"/>
      <c r="B476" s="290"/>
      <c r="C476" s="290"/>
      <c r="D476" s="290"/>
      <c r="E476" s="290"/>
      <c r="F476" s="290"/>
      <c r="G476" s="290"/>
      <c r="H476" s="290"/>
      <c r="I476" s="290"/>
      <c r="J476" s="290"/>
      <c r="K476" s="131"/>
      <c r="L476" s="131"/>
      <c r="M476" s="131"/>
      <c r="N476" s="131"/>
      <c r="O476" s="131"/>
      <c r="P476" s="131"/>
      <c r="Q476" s="131"/>
      <c r="R476" s="131"/>
      <c r="S476" s="131"/>
      <c r="T476" s="131"/>
      <c r="U476" s="131"/>
      <c r="V476" s="131"/>
      <c r="W476" s="131"/>
      <c r="X476" s="131"/>
      <c r="Y476" s="131"/>
      <c r="Z476" s="131"/>
    </row>
    <row r="477">
      <c r="A477" s="290"/>
      <c r="B477" s="290"/>
      <c r="C477" s="290"/>
      <c r="D477" s="290"/>
      <c r="E477" s="290"/>
      <c r="F477" s="290"/>
      <c r="G477" s="290"/>
      <c r="H477" s="290"/>
      <c r="I477" s="290"/>
      <c r="J477" s="290"/>
      <c r="K477" s="131"/>
      <c r="L477" s="131"/>
      <c r="M477" s="131"/>
      <c r="N477" s="131"/>
      <c r="O477" s="131"/>
      <c r="P477" s="131"/>
      <c r="Q477" s="131"/>
      <c r="R477" s="131"/>
      <c r="S477" s="131"/>
      <c r="T477" s="131"/>
      <c r="U477" s="131"/>
      <c r="V477" s="131"/>
      <c r="W477" s="131"/>
      <c r="X477" s="131"/>
      <c r="Y477" s="131"/>
      <c r="Z477" s="131"/>
    </row>
    <row r="478">
      <c r="A478" s="290"/>
      <c r="B478" s="290"/>
      <c r="C478" s="290"/>
      <c r="D478" s="290"/>
      <c r="E478" s="290"/>
      <c r="F478" s="290"/>
      <c r="G478" s="290"/>
      <c r="H478" s="290"/>
      <c r="I478" s="290"/>
      <c r="J478" s="290"/>
      <c r="K478" s="131"/>
      <c r="L478" s="131"/>
      <c r="M478" s="131"/>
      <c r="N478" s="131"/>
      <c r="O478" s="131"/>
      <c r="P478" s="131"/>
      <c r="Q478" s="131"/>
      <c r="R478" s="131"/>
      <c r="S478" s="131"/>
      <c r="T478" s="131"/>
      <c r="U478" s="131"/>
      <c r="V478" s="131"/>
      <c r="W478" s="131"/>
      <c r="X478" s="131"/>
      <c r="Y478" s="131"/>
      <c r="Z478" s="131"/>
    </row>
    <row r="479">
      <c r="A479" s="290"/>
      <c r="B479" s="290"/>
      <c r="C479" s="290"/>
      <c r="D479" s="290"/>
      <c r="E479" s="290"/>
      <c r="F479" s="290"/>
      <c r="G479" s="290"/>
      <c r="H479" s="290"/>
      <c r="I479" s="290"/>
      <c r="J479" s="290"/>
      <c r="K479" s="131"/>
      <c r="L479" s="131"/>
      <c r="M479" s="131"/>
      <c r="N479" s="131"/>
      <c r="O479" s="131"/>
      <c r="P479" s="131"/>
      <c r="Q479" s="131"/>
      <c r="R479" s="131"/>
      <c r="S479" s="131"/>
      <c r="T479" s="131"/>
      <c r="U479" s="131"/>
      <c r="V479" s="131"/>
      <c r="W479" s="131"/>
      <c r="X479" s="131"/>
      <c r="Y479" s="131"/>
      <c r="Z479" s="131"/>
    </row>
    <row r="480">
      <c r="A480" s="290"/>
      <c r="B480" s="290"/>
      <c r="C480" s="290"/>
      <c r="D480" s="290"/>
      <c r="E480" s="290"/>
      <c r="F480" s="290"/>
      <c r="G480" s="290"/>
      <c r="H480" s="290"/>
      <c r="I480" s="290"/>
      <c r="J480" s="290"/>
      <c r="K480" s="131"/>
      <c r="L480" s="131"/>
      <c r="M480" s="131"/>
      <c r="N480" s="131"/>
      <c r="O480" s="131"/>
      <c r="P480" s="131"/>
      <c r="Q480" s="131"/>
      <c r="R480" s="131"/>
      <c r="S480" s="131"/>
      <c r="T480" s="131"/>
      <c r="U480" s="131"/>
      <c r="V480" s="131"/>
      <c r="W480" s="131"/>
      <c r="X480" s="131"/>
      <c r="Y480" s="131"/>
      <c r="Z480" s="131"/>
    </row>
    <row r="481">
      <c r="A481" s="290"/>
      <c r="B481" s="290"/>
      <c r="C481" s="290"/>
      <c r="D481" s="290"/>
      <c r="E481" s="290"/>
      <c r="F481" s="290"/>
      <c r="G481" s="290"/>
      <c r="H481" s="290"/>
      <c r="I481" s="290"/>
      <c r="J481" s="290"/>
      <c r="K481" s="131"/>
      <c r="L481" s="131"/>
      <c r="M481" s="131"/>
      <c r="N481" s="131"/>
      <c r="O481" s="131"/>
      <c r="P481" s="131"/>
      <c r="Q481" s="131"/>
      <c r="R481" s="131"/>
      <c r="S481" s="131"/>
      <c r="T481" s="131"/>
      <c r="U481" s="131"/>
      <c r="V481" s="131"/>
      <c r="W481" s="131"/>
      <c r="X481" s="131"/>
      <c r="Y481" s="131"/>
      <c r="Z481" s="131"/>
    </row>
    <row r="482">
      <c r="A482" s="290"/>
      <c r="B482" s="290"/>
      <c r="C482" s="290"/>
      <c r="D482" s="290"/>
      <c r="E482" s="290"/>
      <c r="F482" s="290"/>
      <c r="G482" s="290"/>
      <c r="H482" s="290"/>
      <c r="I482" s="290"/>
      <c r="J482" s="290"/>
      <c r="K482" s="131"/>
      <c r="L482" s="131"/>
      <c r="M482" s="131"/>
      <c r="N482" s="131"/>
      <c r="O482" s="131"/>
      <c r="P482" s="131"/>
      <c r="Q482" s="131"/>
      <c r="R482" s="131"/>
      <c r="S482" s="131"/>
      <c r="T482" s="131"/>
      <c r="U482" s="131"/>
      <c r="V482" s="131"/>
      <c r="W482" s="131"/>
      <c r="X482" s="131"/>
      <c r="Y482" s="131"/>
      <c r="Z482" s="131"/>
    </row>
    <row r="483">
      <c r="A483" s="290"/>
      <c r="B483" s="290"/>
      <c r="C483" s="290"/>
      <c r="D483" s="290"/>
      <c r="E483" s="290"/>
      <c r="F483" s="290"/>
      <c r="G483" s="290"/>
      <c r="H483" s="290"/>
      <c r="I483" s="290"/>
      <c r="J483" s="290"/>
      <c r="K483" s="131"/>
      <c r="L483" s="131"/>
      <c r="M483" s="131"/>
      <c r="N483" s="131"/>
      <c r="O483" s="131"/>
      <c r="P483" s="131"/>
      <c r="Q483" s="131"/>
      <c r="R483" s="131"/>
      <c r="S483" s="131"/>
      <c r="T483" s="131"/>
      <c r="U483" s="131"/>
      <c r="V483" s="131"/>
      <c r="W483" s="131"/>
      <c r="X483" s="131"/>
      <c r="Y483" s="131"/>
      <c r="Z483" s="131"/>
    </row>
    <row r="484">
      <c r="A484" s="290"/>
      <c r="B484" s="290"/>
      <c r="C484" s="290"/>
      <c r="D484" s="290"/>
      <c r="E484" s="290"/>
      <c r="F484" s="290"/>
      <c r="G484" s="290"/>
      <c r="H484" s="290"/>
      <c r="I484" s="290"/>
      <c r="J484" s="290"/>
      <c r="K484" s="131"/>
      <c r="L484" s="131"/>
      <c r="M484" s="131"/>
      <c r="N484" s="131"/>
      <c r="O484" s="131"/>
      <c r="P484" s="131"/>
      <c r="Q484" s="131"/>
      <c r="R484" s="131"/>
      <c r="S484" s="131"/>
      <c r="T484" s="131"/>
      <c r="U484" s="131"/>
      <c r="V484" s="131"/>
      <c r="W484" s="131"/>
      <c r="X484" s="131"/>
      <c r="Y484" s="131"/>
      <c r="Z484" s="131"/>
    </row>
    <row r="485">
      <c r="A485" s="290"/>
      <c r="B485" s="290"/>
      <c r="C485" s="290"/>
      <c r="D485" s="290"/>
      <c r="E485" s="290"/>
      <c r="F485" s="290"/>
      <c r="G485" s="290"/>
      <c r="H485" s="290"/>
      <c r="I485" s="290"/>
      <c r="J485" s="290"/>
      <c r="K485" s="131"/>
      <c r="L485" s="131"/>
      <c r="M485" s="131"/>
      <c r="N485" s="131"/>
      <c r="O485" s="131"/>
      <c r="P485" s="131"/>
      <c r="Q485" s="131"/>
      <c r="R485" s="131"/>
      <c r="S485" s="131"/>
      <c r="T485" s="131"/>
      <c r="U485" s="131"/>
      <c r="V485" s="131"/>
      <c r="W485" s="131"/>
      <c r="X485" s="131"/>
      <c r="Y485" s="131"/>
      <c r="Z485" s="131"/>
    </row>
    <row r="486">
      <c r="A486" s="290"/>
      <c r="B486" s="290"/>
      <c r="C486" s="290"/>
      <c r="D486" s="290"/>
      <c r="E486" s="290"/>
      <c r="F486" s="290"/>
      <c r="G486" s="290"/>
      <c r="H486" s="290"/>
      <c r="I486" s="290"/>
      <c r="J486" s="290"/>
      <c r="K486" s="131"/>
      <c r="L486" s="131"/>
      <c r="M486" s="131"/>
      <c r="N486" s="131"/>
      <c r="O486" s="131"/>
      <c r="P486" s="131"/>
      <c r="Q486" s="131"/>
      <c r="R486" s="131"/>
      <c r="S486" s="131"/>
      <c r="T486" s="131"/>
      <c r="U486" s="131"/>
      <c r="V486" s="131"/>
      <c r="W486" s="131"/>
      <c r="X486" s="131"/>
      <c r="Y486" s="131"/>
      <c r="Z486" s="131"/>
    </row>
    <row r="487">
      <c r="A487" s="290"/>
      <c r="B487" s="290"/>
      <c r="C487" s="290"/>
      <c r="D487" s="290"/>
      <c r="E487" s="290"/>
      <c r="F487" s="290"/>
      <c r="G487" s="290"/>
      <c r="H487" s="290"/>
      <c r="I487" s="290"/>
      <c r="J487" s="290"/>
      <c r="K487" s="131"/>
      <c r="L487" s="131"/>
      <c r="M487" s="131"/>
      <c r="N487" s="131"/>
      <c r="O487" s="131"/>
      <c r="P487" s="131"/>
      <c r="Q487" s="131"/>
      <c r="R487" s="131"/>
      <c r="S487" s="131"/>
      <c r="T487" s="131"/>
      <c r="U487" s="131"/>
      <c r="V487" s="131"/>
      <c r="W487" s="131"/>
      <c r="X487" s="131"/>
      <c r="Y487" s="131"/>
      <c r="Z487" s="131"/>
    </row>
    <row r="488">
      <c r="A488" s="290"/>
      <c r="B488" s="290"/>
      <c r="C488" s="290"/>
      <c r="D488" s="290"/>
      <c r="E488" s="290"/>
      <c r="F488" s="290"/>
      <c r="G488" s="290"/>
      <c r="H488" s="290"/>
      <c r="I488" s="290"/>
      <c r="J488" s="290"/>
      <c r="K488" s="131"/>
      <c r="L488" s="131"/>
      <c r="M488" s="131"/>
      <c r="N488" s="131"/>
      <c r="O488" s="131"/>
      <c r="P488" s="131"/>
      <c r="Q488" s="131"/>
      <c r="R488" s="131"/>
      <c r="S488" s="131"/>
      <c r="T488" s="131"/>
      <c r="U488" s="131"/>
      <c r="V488" s="131"/>
      <c r="W488" s="131"/>
      <c r="X488" s="131"/>
      <c r="Y488" s="131"/>
      <c r="Z488" s="131"/>
    </row>
    <row r="489">
      <c r="A489" s="290"/>
      <c r="B489" s="290"/>
      <c r="C489" s="290"/>
      <c r="D489" s="290"/>
      <c r="E489" s="290"/>
      <c r="F489" s="290"/>
      <c r="G489" s="290"/>
      <c r="H489" s="290"/>
      <c r="I489" s="290"/>
      <c r="J489" s="290"/>
      <c r="K489" s="131"/>
      <c r="L489" s="131"/>
      <c r="M489" s="131"/>
      <c r="N489" s="131"/>
      <c r="O489" s="131"/>
      <c r="P489" s="131"/>
      <c r="Q489" s="131"/>
      <c r="R489" s="131"/>
      <c r="S489" s="131"/>
      <c r="T489" s="131"/>
      <c r="U489" s="131"/>
      <c r="V489" s="131"/>
      <c r="W489" s="131"/>
      <c r="X489" s="131"/>
      <c r="Y489" s="131"/>
      <c r="Z489" s="131"/>
    </row>
    <row r="490">
      <c r="A490" s="290"/>
      <c r="B490" s="290"/>
      <c r="C490" s="290"/>
      <c r="D490" s="290"/>
      <c r="E490" s="290"/>
      <c r="F490" s="290"/>
      <c r="G490" s="290"/>
      <c r="H490" s="290"/>
      <c r="I490" s="290"/>
      <c r="J490" s="290"/>
      <c r="K490" s="131"/>
      <c r="L490" s="131"/>
      <c r="M490" s="131"/>
      <c r="N490" s="131"/>
      <c r="O490" s="131"/>
      <c r="P490" s="131"/>
      <c r="Q490" s="131"/>
      <c r="R490" s="131"/>
      <c r="S490" s="131"/>
      <c r="T490" s="131"/>
      <c r="U490" s="131"/>
      <c r="V490" s="131"/>
      <c r="W490" s="131"/>
      <c r="X490" s="131"/>
      <c r="Y490" s="131"/>
      <c r="Z490" s="131"/>
    </row>
    <row r="491">
      <c r="A491" s="290"/>
      <c r="B491" s="290"/>
      <c r="C491" s="290"/>
      <c r="D491" s="290"/>
      <c r="E491" s="290"/>
      <c r="F491" s="290"/>
      <c r="G491" s="290"/>
      <c r="H491" s="290"/>
      <c r="I491" s="290"/>
      <c r="J491" s="290"/>
      <c r="K491" s="131"/>
      <c r="L491" s="131"/>
      <c r="M491" s="131"/>
      <c r="N491" s="131"/>
      <c r="O491" s="131"/>
      <c r="P491" s="131"/>
      <c r="Q491" s="131"/>
      <c r="R491" s="131"/>
      <c r="S491" s="131"/>
      <c r="T491" s="131"/>
      <c r="U491" s="131"/>
      <c r="V491" s="131"/>
      <c r="W491" s="131"/>
      <c r="X491" s="131"/>
      <c r="Y491" s="131"/>
      <c r="Z491" s="131"/>
    </row>
    <row r="492">
      <c r="A492" s="290"/>
      <c r="B492" s="290"/>
      <c r="C492" s="290"/>
      <c r="D492" s="290"/>
      <c r="E492" s="290"/>
      <c r="F492" s="290"/>
      <c r="G492" s="290"/>
      <c r="H492" s="290"/>
      <c r="I492" s="290"/>
      <c r="J492" s="290"/>
      <c r="K492" s="131"/>
      <c r="L492" s="131"/>
      <c r="M492" s="131"/>
      <c r="N492" s="131"/>
      <c r="O492" s="131"/>
      <c r="P492" s="131"/>
      <c r="Q492" s="131"/>
      <c r="R492" s="131"/>
      <c r="S492" s="131"/>
      <c r="T492" s="131"/>
      <c r="U492" s="131"/>
      <c r="V492" s="131"/>
      <c r="W492" s="131"/>
      <c r="X492" s="131"/>
      <c r="Y492" s="131"/>
      <c r="Z492" s="131"/>
    </row>
    <row r="493">
      <c r="A493" s="290"/>
      <c r="B493" s="290"/>
      <c r="C493" s="290"/>
      <c r="D493" s="290"/>
      <c r="E493" s="290"/>
      <c r="F493" s="290"/>
      <c r="G493" s="290"/>
      <c r="H493" s="290"/>
      <c r="I493" s="290"/>
      <c r="J493" s="290"/>
      <c r="K493" s="131"/>
      <c r="L493" s="131"/>
      <c r="M493" s="131"/>
      <c r="N493" s="131"/>
      <c r="O493" s="131"/>
      <c r="P493" s="131"/>
      <c r="Q493" s="131"/>
      <c r="R493" s="131"/>
      <c r="S493" s="131"/>
      <c r="T493" s="131"/>
      <c r="U493" s="131"/>
      <c r="V493" s="131"/>
      <c r="W493" s="131"/>
      <c r="X493" s="131"/>
      <c r="Y493" s="131"/>
      <c r="Z493" s="131"/>
    </row>
    <row r="494">
      <c r="A494" s="290"/>
      <c r="B494" s="290"/>
      <c r="C494" s="290"/>
      <c r="D494" s="290"/>
      <c r="E494" s="290"/>
      <c r="F494" s="290"/>
      <c r="G494" s="290"/>
      <c r="H494" s="290"/>
      <c r="I494" s="290"/>
      <c r="J494" s="290"/>
      <c r="K494" s="131"/>
      <c r="L494" s="131"/>
      <c r="M494" s="131"/>
      <c r="N494" s="131"/>
      <c r="O494" s="131"/>
      <c r="P494" s="131"/>
      <c r="Q494" s="131"/>
      <c r="R494" s="131"/>
      <c r="S494" s="131"/>
      <c r="T494" s="131"/>
      <c r="U494" s="131"/>
      <c r="V494" s="131"/>
      <c r="W494" s="131"/>
      <c r="X494" s="131"/>
      <c r="Y494" s="131"/>
      <c r="Z494" s="131"/>
    </row>
    <row r="495">
      <c r="A495" s="290"/>
      <c r="B495" s="290"/>
      <c r="C495" s="290"/>
      <c r="D495" s="290"/>
      <c r="E495" s="290"/>
      <c r="F495" s="290"/>
      <c r="G495" s="290"/>
      <c r="H495" s="290"/>
      <c r="I495" s="290"/>
      <c r="J495" s="290"/>
      <c r="K495" s="131"/>
      <c r="L495" s="131"/>
      <c r="M495" s="131"/>
      <c r="N495" s="131"/>
      <c r="O495" s="131"/>
      <c r="P495" s="131"/>
      <c r="Q495" s="131"/>
      <c r="R495" s="131"/>
      <c r="S495" s="131"/>
      <c r="T495" s="131"/>
      <c r="U495" s="131"/>
      <c r="V495" s="131"/>
      <c r="W495" s="131"/>
      <c r="X495" s="131"/>
      <c r="Y495" s="131"/>
      <c r="Z495" s="131"/>
    </row>
    <row r="496">
      <c r="A496" s="290"/>
      <c r="B496" s="290"/>
      <c r="C496" s="290"/>
      <c r="D496" s="290"/>
      <c r="E496" s="290"/>
      <c r="F496" s="290"/>
      <c r="G496" s="290"/>
      <c r="H496" s="290"/>
      <c r="I496" s="290"/>
      <c r="J496" s="290"/>
      <c r="K496" s="131"/>
      <c r="L496" s="131"/>
      <c r="M496" s="131"/>
      <c r="N496" s="131"/>
      <c r="O496" s="131"/>
      <c r="P496" s="131"/>
      <c r="Q496" s="131"/>
      <c r="R496" s="131"/>
      <c r="S496" s="131"/>
      <c r="T496" s="131"/>
      <c r="U496" s="131"/>
      <c r="V496" s="131"/>
      <c r="W496" s="131"/>
      <c r="X496" s="131"/>
      <c r="Y496" s="131"/>
      <c r="Z496" s="131"/>
    </row>
    <row r="497">
      <c r="A497" s="290"/>
      <c r="B497" s="290"/>
      <c r="C497" s="290"/>
      <c r="D497" s="290"/>
      <c r="E497" s="290"/>
      <c r="F497" s="290"/>
      <c r="G497" s="290"/>
      <c r="H497" s="290"/>
      <c r="I497" s="290"/>
      <c r="J497" s="290"/>
      <c r="K497" s="131"/>
      <c r="L497" s="131"/>
      <c r="M497" s="131"/>
      <c r="N497" s="131"/>
      <c r="O497" s="131"/>
      <c r="P497" s="131"/>
      <c r="Q497" s="131"/>
      <c r="R497" s="131"/>
      <c r="S497" s="131"/>
      <c r="T497" s="131"/>
      <c r="U497" s="131"/>
      <c r="V497" s="131"/>
      <c r="W497" s="131"/>
      <c r="X497" s="131"/>
      <c r="Y497" s="131"/>
      <c r="Z497" s="131"/>
    </row>
    <row r="498">
      <c r="A498" s="290"/>
      <c r="B498" s="290"/>
      <c r="C498" s="290"/>
      <c r="D498" s="290"/>
      <c r="E498" s="290"/>
      <c r="F498" s="290"/>
      <c r="G498" s="290"/>
      <c r="H498" s="290"/>
      <c r="I498" s="290"/>
      <c r="J498" s="290"/>
      <c r="K498" s="131"/>
      <c r="L498" s="131"/>
      <c r="M498" s="131"/>
      <c r="N498" s="131"/>
      <c r="O498" s="131"/>
      <c r="P498" s="131"/>
      <c r="Q498" s="131"/>
      <c r="R498" s="131"/>
      <c r="S498" s="131"/>
      <c r="T498" s="131"/>
      <c r="U498" s="131"/>
      <c r="V498" s="131"/>
      <c r="W498" s="131"/>
      <c r="X498" s="131"/>
      <c r="Y498" s="131"/>
      <c r="Z498" s="131"/>
    </row>
    <row r="499">
      <c r="A499" s="290"/>
      <c r="B499" s="290"/>
      <c r="C499" s="290"/>
      <c r="D499" s="290"/>
      <c r="E499" s="290"/>
      <c r="F499" s="290"/>
      <c r="G499" s="290"/>
      <c r="H499" s="290"/>
      <c r="I499" s="290"/>
      <c r="J499" s="290"/>
      <c r="K499" s="131"/>
      <c r="L499" s="131"/>
      <c r="M499" s="131"/>
      <c r="N499" s="131"/>
      <c r="O499" s="131"/>
      <c r="P499" s="131"/>
      <c r="Q499" s="131"/>
      <c r="R499" s="131"/>
      <c r="S499" s="131"/>
      <c r="T499" s="131"/>
      <c r="U499" s="131"/>
      <c r="V499" s="131"/>
      <c r="W499" s="131"/>
      <c r="X499" s="131"/>
      <c r="Y499" s="131"/>
      <c r="Z499" s="131"/>
    </row>
    <row r="500">
      <c r="A500" s="290"/>
      <c r="B500" s="290"/>
      <c r="C500" s="290"/>
      <c r="D500" s="290"/>
      <c r="E500" s="290"/>
      <c r="F500" s="290"/>
      <c r="G500" s="290"/>
      <c r="H500" s="290"/>
      <c r="I500" s="290"/>
      <c r="J500" s="290"/>
      <c r="K500" s="131"/>
      <c r="L500" s="131"/>
      <c r="M500" s="131"/>
      <c r="N500" s="131"/>
      <c r="O500" s="131"/>
      <c r="P500" s="131"/>
      <c r="Q500" s="131"/>
      <c r="R500" s="131"/>
      <c r="S500" s="131"/>
      <c r="T500" s="131"/>
      <c r="U500" s="131"/>
      <c r="V500" s="131"/>
      <c r="W500" s="131"/>
      <c r="X500" s="131"/>
      <c r="Y500" s="131"/>
      <c r="Z500" s="131"/>
    </row>
    <row r="501">
      <c r="A501" s="290"/>
      <c r="B501" s="290"/>
      <c r="C501" s="290"/>
      <c r="D501" s="290"/>
      <c r="E501" s="290"/>
      <c r="F501" s="290"/>
      <c r="G501" s="290"/>
      <c r="H501" s="290"/>
      <c r="I501" s="290"/>
      <c r="J501" s="290"/>
      <c r="K501" s="131"/>
      <c r="L501" s="131"/>
      <c r="M501" s="131"/>
      <c r="N501" s="131"/>
      <c r="O501" s="131"/>
      <c r="P501" s="131"/>
      <c r="Q501" s="131"/>
      <c r="R501" s="131"/>
      <c r="S501" s="131"/>
      <c r="T501" s="131"/>
      <c r="U501" s="131"/>
      <c r="V501" s="131"/>
      <c r="W501" s="131"/>
      <c r="X501" s="131"/>
      <c r="Y501" s="131"/>
      <c r="Z501" s="131"/>
    </row>
    <row r="502">
      <c r="A502" s="290"/>
      <c r="B502" s="290"/>
      <c r="C502" s="290"/>
      <c r="D502" s="290"/>
      <c r="E502" s="290"/>
      <c r="F502" s="290"/>
      <c r="G502" s="290"/>
      <c r="H502" s="290"/>
      <c r="I502" s="290"/>
      <c r="J502" s="290"/>
      <c r="K502" s="131"/>
      <c r="L502" s="131"/>
      <c r="M502" s="131"/>
      <c r="N502" s="131"/>
      <c r="O502" s="131"/>
      <c r="P502" s="131"/>
      <c r="Q502" s="131"/>
      <c r="R502" s="131"/>
      <c r="S502" s="131"/>
      <c r="T502" s="131"/>
      <c r="U502" s="131"/>
      <c r="V502" s="131"/>
      <c r="W502" s="131"/>
      <c r="X502" s="131"/>
      <c r="Y502" s="131"/>
      <c r="Z502" s="131"/>
    </row>
    <row r="503">
      <c r="A503" s="290"/>
      <c r="B503" s="290"/>
      <c r="C503" s="290"/>
      <c r="D503" s="290"/>
      <c r="E503" s="290"/>
      <c r="F503" s="290"/>
      <c r="G503" s="290"/>
      <c r="H503" s="290"/>
      <c r="I503" s="290"/>
      <c r="J503" s="290"/>
      <c r="K503" s="131"/>
      <c r="L503" s="131"/>
      <c r="M503" s="131"/>
      <c r="N503" s="131"/>
      <c r="O503" s="131"/>
      <c r="P503" s="131"/>
      <c r="Q503" s="131"/>
      <c r="R503" s="131"/>
      <c r="S503" s="131"/>
      <c r="T503" s="131"/>
      <c r="U503" s="131"/>
      <c r="V503" s="131"/>
      <c r="W503" s="131"/>
      <c r="X503" s="131"/>
      <c r="Y503" s="131"/>
      <c r="Z503" s="131"/>
    </row>
    <row r="504">
      <c r="A504" s="290"/>
      <c r="B504" s="290"/>
      <c r="C504" s="290"/>
      <c r="D504" s="290"/>
      <c r="E504" s="290"/>
      <c r="F504" s="290"/>
      <c r="G504" s="290"/>
      <c r="H504" s="290"/>
      <c r="I504" s="290"/>
      <c r="J504" s="290"/>
      <c r="K504" s="131"/>
      <c r="L504" s="131"/>
      <c r="M504" s="131"/>
      <c r="N504" s="131"/>
      <c r="O504" s="131"/>
      <c r="P504" s="131"/>
      <c r="Q504" s="131"/>
      <c r="R504" s="131"/>
      <c r="S504" s="131"/>
      <c r="T504" s="131"/>
      <c r="U504" s="131"/>
      <c r="V504" s="131"/>
      <c r="W504" s="131"/>
      <c r="X504" s="131"/>
      <c r="Y504" s="131"/>
      <c r="Z504" s="131"/>
    </row>
    <row r="505">
      <c r="A505" s="290"/>
      <c r="B505" s="290"/>
      <c r="C505" s="290"/>
      <c r="D505" s="290"/>
      <c r="E505" s="290"/>
      <c r="F505" s="290"/>
      <c r="G505" s="290"/>
      <c r="H505" s="290"/>
      <c r="I505" s="290"/>
      <c r="J505" s="290"/>
      <c r="K505" s="131"/>
      <c r="L505" s="131"/>
      <c r="M505" s="131"/>
      <c r="N505" s="131"/>
      <c r="O505" s="131"/>
      <c r="P505" s="131"/>
      <c r="Q505" s="131"/>
      <c r="R505" s="131"/>
      <c r="S505" s="131"/>
      <c r="T505" s="131"/>
      <c r="U505" s="131"/>
      <c r="V505" s="131"/>
      <c r="W505" s="131"/>
      <c r="X505" s="131"/>
      <c r="Y505" s="131"/>
      <c r="Z505" s="131"/>
    </row>
    <row r="506">
      <c r="A506" s="290"/>
      <c r="B506" s="290"/>
      <c r="C506" s="290"/>
      <c r="D506" s="290"/>
      <c r="E506" s="290"/>
      <c r="F506" s="290"/>
      <c r="G506" s="290"/>
      <c r="H506" s="290"/>
      <c r="I506" s="290"/>
      <c r="J506" s="290"/>
      <c r="K506" s="131"/>
      <c r="L506" s="131"/>
      <c r="M506" s="131"/>
      <c r="N506" s="131"/>
      <c r="O506" s="131"/>
      <c r="P506" s="131"/>
      <c r="Q506" s="131"/>
      <c r="R506" s="131"/>
      <c r="S506" s="131"/>
      <c r="T506" s="131"/>
      <c r="U506" s="131"/>
      <c r="V506" s="131"/>
      <c r="W506" s="131"/>
      <c r="X506" s="131"/>
      <c r="Y506" s="131"/>
      <c r="Z506" s="131"/>
    </row>
    <row r="507">
      <c r="A507" s="290"/>
      <c r="B507" s="290"/>
      <c r="C507" s="290"/>
      <c r="D507" s="290"/>
      <c r="E507" s="290"/>
      <c r="F507" s="290"/>
      <c r="G507" s="290"/>
      <c r="H507" s="290"/>
      <c r="I507" s="290"/>
      <c r="J507" s="290"/>
      <c r="K507" s="131"/>
      <c r="L507" s="131"/>
      <c r="M507" s="131"/>
      <c r="N507" s="131"/>
      <c r="O507" s="131"/>
      <c r="P507" s="131"/>
      <c r="Q507" s="131"/>
      <c r="R507" s="131"/>
      <c r="S507" s="131"/>
      <c r="T507" s="131"/>
      <c r="U507" s="131"/>
      <c r="V507" s="131"/>
      <c r="W507" s="131"/>
      <c r="X507" s="131"/>
      <c r="Y507" s="131"/>
      <c r="Z507" s="131"/>
    </row>
    <row r="508">
      <c r="A508" s="290"/>
      <c r="B508" s="290"/>
      <c r="C508" s="290"/>
      <c r="D508" s="290"/>
      <c r="E508" s="290"/>
      <c r="F508" s="290"/>
      <c r="G508" s="290"/>
      <c r="H508" s="290"/>
      <c r="I508" s="290"/>
      <c r="J508" s="290"/>
      <c r="K508" s="131"/>
      <c r="L508" s="131"/>
      <c r="M508" s="131"/>
      <c r="N508" s="131"/>
      <c r="O508" s="131"/>
      <c r="P508" s="131"/>
      <c r="Q508" s="131"/>
      <c r="R508" s="131"/>
      <c r="S508" s="131"/>
      <c r="T508" s="131"/>
      <c r="U508" s="131"/>
      <c r="V508" s="131"/>
      <c r="W508" s="131"/>
      <c r="X508" s="131"/>
      <c r="Y508" s="131"/>
      <c r="Z508" s="131"/>
    </row>
    <row r="509">
      <c r="A509" s="290"/>
      <c r="B509" s="290"/>
      <c r="C509" s="290"/>
      <c r="D509" s="290"/>
      <c r="E509" s="290"/>
      <c r="F509" s="290"/>
      <c r="G509" s="290"/>
      <c r="H509" s="290"/>
      <c r="I509" s="290"/>
      <c r="J509" s="290"/>
      <c r="K509" s="131"/>
      <c r="L509" s="131"/>
      <c r="M509" s="131"/>
      <c r="N509" s="131"/>
      <c r="O509" s="131"/>
      <c r="P509" s="131"/>
      <c r="Q509" s="131"/>
      <c r="R509" s="131"/>
      <c r="S509" s="131"/>
      <c r="T509" s="131"/>
      <c r="U509" s="131"/>
      <c r="V509" s="131"/>
      <c r="W509" s="131"/>
      <c r="X509" s="131"/>
      <c r="Y509" s="131"/>
      <c r="Z509" s="131"/>
    </row>
    <row r="510">
      <c r="A510" s="290"/>
      <c r="B510" s="290"/>
      <c r="C510" s="290"/>
      <c r="D510" s="290"/>
      <c r="E510" s="290"/>
      <c r="F510" s="290"/>
      <c r="G510" s="290"/>
      <c r="H510" s="290"/>
      <c r="I510" s="290"/>
      <c r="J510" s="290"/>
      <c r="K510" s="131"/>
      <c r="L510" s="131"/>
      <c r="M510" s="131"/>
      <c r="N510" s="131"/>
      <c r="O510" s="131"/>
      <c r="P510" s="131"/>
      <c r="Q510" s="131"/>
      <c r="R510" s="131"/>
      <c r="S510" s="131"/>
      <c r="T510" s="131"/>
      <c r="U510" s="131"/>
      <c r="V510" s="131"/>
      <c r="W510" s="131"/>
      <c r="X510" s="131"/>
      <c r="Y510" s="131"/>
      <c r="Z510" s="131"/>
    </row>
    <row r="511">
      <c r="A511" s="290"/>
      <c r="B511" s="290"/>
      <c r="C511" s="290"/>
      <c r="D511" s="290"/>
      <c r="E511" s="290"/>
      <c r="F511" s="290"/>
      <c r="G511" s="290"/>
      <c r="H511" s="290"/>
      <c r="I511" s="290"/>
      <c r="J511" s="290"/>
      <c r="K511" s="131"/>
      <c r="L511" s="131"/>
      <c r="M511" s="131"/>
      <c r="N511" s="131"/>
      <c r="O511" s="131"/>
      <c r="P511" s="131"/>
      <c r="Q511" s="131"/>
      <c r="R511" s="131"/>
      <c r="S511" s="131"/>
      <c r="T511" s="131"/>
      <c r="U511" s="131"/>
      <c r="V511" s="131"/>
      <c r="W511" s="131"/>
      <c r="X511" s="131"/>
      <c r="Y511" s="131"/>
      <c r="Z511" s="131"/>
    </row>
    <row r="512">
      <c r="A512" s="290"/>
      <c r="B512" s="290"/>
      <c r="C512" s="290"/>
      <c r="D512" s="290"/>
      <c r="E512" s="290"/>
      <c r="F512" s="290"/>
      <c r="G512" s="290"/>
      <c r="H512" s="290"/>
      <c r="I512" s="290"/>
      <c r="J512" s="290"/>
      <c r="K512" s="131"/>
      <c r="L512" s="131"/>
      <c r="M512" s="131"/>
      <c r="N512" s="131"/>
      <c r="O512" s="131"/>
      <c r="P512" s="131"/>
      <c r="Q512" s="131"/>
      <c r="R512" s="131"/>
      <c r="S512" s="131"/>
      <c r="T512" s="131"/>
      <c r="U512" s="131"/>
      <c r="V512" s="131"/>
      <c r="W512" s="131"/>
      <c r="X512" s="131"/>
      <c r="Y512" s="131"/>
      <c r="Z512" s="131"/>
    </row>
    <row r="513">
      <c r="A513" s="290"/>
      <c r="B513" s="290"/>
      <c r="C513" s="290"/>
      <c r="D513" s="290"/>
      <c r="E513" s="290"/>
      <c r="F513" s="290"/>
      <c r="G513" s="290"/>
      <c r="H513" s="290"/>
      <c r="I513" s="290"/>
      <c r="J513" s="290"/>
      <c r="K513" s="131"/>
      <c r="L513" s="131"/>
      <c r="M513" s="131"/>
      <c r="N513" s="131"/>
      <c r="O513" s="131"/>
      <c r="P513" s="131"/>
      <c r="Q513" s="131"/>
      <c r="R513" s="131"/>
      <c r="S513" s="131"/>
      <c r="T513" s="131"/>
      <c r="U513" s="131"/>
      <c r="V513" s="131"/>
      <c r="W513" s="131"/>
      <c r="X513" s="131"/>
      <c r="Y513" s="131"/>
      <c r="Z513" s="131"/>
    </row>
    <row r="514">
      <c r="A514" s="290"/>
      <c r="B514" s="290"/>
      <c r="C514" s="290"/>
      <c r="D514" s="290"/>
      <c r="E514" s="290"/>
      <c r="F514" s="290"/>
      <c r="G514" s="290"/>
      <c r="H514" s="290"/>
      <c r="I514" s="290"/>
      <c r="J514" s="290"/>
      <c r="K514" s="131"/>
      <c r="L514" s="131"/>
      <c r="M514" s="131"/>
      <c r="N514" s="131"/>
      <c r="O514" s="131"/>
      <c r="P514" s="131"/>
      <c r="Q514" s="131"/>
      <c r="R514" s="131"/>
      <c r="S514" s="131"/>
      <c r="T514" s="131"/>
      <c r="U514" s="131"/>
      <c r="V514" s="131"/>
      <c r="W514" s="131"/>
      <c r="X514" s="131"/>
      <c r="Y514" s="131"/>
      <c r="Z514" s="131"/>
    </row>
    <row r="515">
      <c r="A515" s="290"/>
      <c r="B515" s="290"/>
      <c r="C515" s="290"/>
      <c r="D515" s="290"/>
      <c r="E515" s="290"/>
      <c r="F515" s="290"/>
      <c r="G515" s="290"/>
      <c r="H515" s="290"/>
      <c r="I515" s="290"/>
      <c r="J515" s="290"/>
      <c r="K515" s="131"/>
      <c r="L515" s="131"/>
      <c r="M515" s="131"/>
      <c r="N515" s="131"/>
      <c r="O515" s="131"/>
      <c r="P515" s="131"/>
      <c r="Q515" s="131"/>
      <c r="R515" s="131"/>
      <c r="S515" s="131"/>
      <c r="T515" s="131"/>
      <c r="U515" s="131"/>
      <c r="V515" s="131"/>
      <c r="W515" s="131"/>
      <c r="X515" s="131"/>
      <c r="Y515" s="131"/>
      <c r="Z515" s="131"/>
    </row>
    <row r="516">
      <c r="A516" s="290"/>
      <c r="B516" s="290"/>
      <c r="C516" s="290"/>
      <c r="D516" s="290"/>
      <c r="E516" s="290"/>
      <c r="F516" s="290"/>
      <c r="G516" s="290"/>
      <c r="H516" s="290"/>
      <c r="I516" s="290"/>
      <c r="J516" s="290"/>
      <c r="K516" s="131"/>
      <c r="L516" s="131"/>
      <c r="M516" s="131"/>
      <c r="N516" s="131"/>
      <c r="O516" s="131"/>
      <c r="P516" s="131"/>
      <c r="Q516" s="131"/>
      <c r="R516" s="131"/>
      <c r="S516" s="131"/>
      <c r="T516" s="131"/>
      <c r="U516" s="131"/>
      <c r="V516" s="131"/>
      <c r="W516" s="131"/>
      <c r="X516" s="131"/>
      <c r="Y516" s="131"/>
      <c r="Z516" s="131"/>
    </row>
    <row r="517">
      <c r="A517" s="290"/>
      <c r="B517" s="290"/>
      <c r="C517" s="290"/>
      <c r="D517" s="290"/>
      <c r="E517" s="290"/>
      <c r="F517" s="290"/>
      <c r="G517" s="290"/>
      <c r="H517" s="290"/>
      <c r="I517" s="290"/>
      <c r="J517" s="290"/>
      <c r="K517" s="131"/>
      <c r="L517" s="131"/>
      <c r="M517" s="131"/>
      <c r="N517" s="131"/>
      <c r="O517" s="131"/>
      <c r="P517" s="131"/>
      <c r="Q517" s="131"/>
      <c r="R517" s="131"/>
      <c r="S517" s="131"/>
      <c r="T517" s="131"/>
      <c r="U517" s="131"/>
      <c r="V517" s="131"/>
      <c r="W517" s="131"/>
      <c r="X517" s="131"/>
      <c r="Y517" s="131"/>
      <c r="Z517" s="131"/>
    </row>
    <row r="518">
      <c r="A518" s="290"/>
      <c r="B518" s="290"/>
      <c r="C518" s="290"/>
      <c r="D518" s="290"/>
      <c r="E518" s="290"/>
      <c r="F518" s="290"/>
      <c r="G518" s="290"/>
      <c r="H518" s="290"/>
      <c r="I518" s="290"/>
      <c r="J518" s="290"/>
      <c r="K518" s="131"/>
      <c r="L518" s="131"/>
      <c r="M518" s="131"/>
      <c r="N518" s="131"/>
      <c r="O518" s="131"/>
      <c r="P518" s="131"/>
      <c r="Q518" s="131"/>
      <c r="R518" s="131"/>
      <c r="S518" s="131"/>
      <c r="T518" s="131"/>
      <c r="U518" s="131"/>
      <c r="V518" s="131"/>
      <c r="W518" s="131"/>
      <c r="X518" s="131"/>
      <c r="Y518" s="131"/>
      <c r="Z518" s="131"/>
    </row>
    <row r="519">
      <c r="A519" s="290"/>
      <c r="B519" s="290"/>
      <c r="C519" s="290"/>
      <c r="D519" s="290"/>
      <c r="E519" s="290"/>
      <c r="F519" s="290"/>
      <c r="G519" s="290"/>
      <c r="H519" s="290"/>
      <c r="I519" s="290"/>
      <c r="J519" s="290"/>
      <c r="K519" s="131"/>
      <c r="L519" s="131"/>
      <c r="M519" s="131"/>
      <c r="N519" s="131"/>
      <c r="O519" s="131"/>
      <c r="P519" s="131"/>
      <c r="Q519" s="131"/>
      <c r="R519" s="131"/>
      <c r="S519" s="131"/>
      <c r="T519" s="131"/>
      <c r="U519" s="131"/>
      <c r="V519" s="131"/>
      <c r="W519" s="131"/>
      <c r="X519" s="131"/>
      <c r="Y519" s="131"/>
      <c r="Z519" s="131"/>
    </row>
    <row r="520">
      <c r="A520" s="290"/>
      <c r="B520" s="290"/>
      <c r="C520" s="290"/>
      <c r="D520" s="290"/>
      <c r="E520" s="290"/>
      <c r="F520" s="290"/>
      <c r="G520" s="290"/>
      <c r="H520" s="290"/>
      <c r="I520" s="290"/>
      <c r="J520" s="290"/>
      <c r="K520" s="131"/>
      <c r="L520" s="131"/>
      <c r="M520" s="131"/>
      <c r="N520" s="131"/>
      <c r="O520" s="131"/>
      <c r="P520" s="131"/>
      <c r="Q520" s="131"/>
      <c r="R520" s="131"/>
      <c r="S520" s="131"/>
      <c r="T520" s="131"/>
      <c r="U520" s="131"/>
      <c r="V520" s="131"/>
      <c r="W520" s="131"/>
      <c r="X520" s="131"/>
      <c r="Y520" s="131"/>
      <c r="Z520" s="131"/>
    </row>
    <row r="521">
      <c r="A521" s="290"/>
      <c r="B521" s="290"/>
      <c r="C521" s="290"/>
      <c r="D521" s="290"/>
      <c r="E521" s="290"/>
      <c r="F521" s="290"/>
      <c r="G521" s="290"/>
      <c r="H521" s="290"/>
      <c r="I521" s="290"/>
      <c r="J521" s="290"/>
      <c r="K521" s="131"/>
      <c r="L521" s="131"/>
      <c r="M521" s="131"/>
      <c r="N521" s="131"/>
      <c r="O521" s="131"/>
      <c r="P521" s="131"/>
      <c r="Q521" s="131"/>
      <c r="R521" s="131"/>
      <c r="S521" s="131"/>
      <c r="T521" s="131"/>
      <c r="U521" s="131"/>
      <c r="V521" s="131"/>
      <c r="W521" s="131"/>
      <c r="X521" s="131"/>
      <c r="Y521" s="131"/>
      <c r="Z521" s="131"/>
    </row>
    <row r="522">
      <c r="A522" s="290"/>
      <c r="B522" s="290"/>
      <c r="C522" s="290"/>
      <c r="D522" s="290"/>
      <c r="E522" s="290"/>
      <c r="F522" s="290"/>
      <c r="G522" s="290"/>
      <c r="H522" s="290"/>
      <c r="I522" s="290"/>
      <c r="J522" s="290"/>
      <c r="K522" s="131"/>
      <c r="L522" s="131"/>
      <c r="M522" s="131"/>
      <c r="N522" s="131"/>
      <c r="O522" s="131"/>
      <c r="P522" s="131"/>
      <c r="Q522" s="131"/>
      <c r="R522" s="131"/>
      <c r="S522" s="131"/>
      <c r="T522" s="131"/>
      <c r="U522" s="131"/>
      <c r="V522" s="131"/>
      <c r="W522" s="131"/>
      <c r="X522" s="131"/>
      <c r="Y522" s="131"/>
      <c r="Z522" s="131"/>
    </row>
    <row r="523">
      <c r="A523" s="290"/>
      <c r="B523" s="290"/>
      <c r="C523" s="290"/>
      <c r="D523" s="290"/>
      <c r="E523" s="290"/>
      <c r="F523" s="290"/>
      <c r="G523" s="290"/>
      <c r="H523" s="290"/>
      <c r="I523" s="290"/>
      <c r="J523" s="290"/>
      <c r="K523" s="131"/>
      <c r="L523" s="131"/>
      <c r="M523" s="131"/>
      <c r="N523" s="131"/>
      <c r="O523" s="131"/>
      <c r="P523" s="131"/>
      <c r="Q523" s="131"/>
      <c r="R523" s="131"/>
      <c r="S523" s="131"/>
      <c r="T523" s="131"/>
      <c r="U523" s="131"/>
      <c r="V523" s="131"/>
      <c r="W523" s="131"/>
      <c r="X523" s="131"/>
      <c r="Y523" s="131"/>
      <c r="Z523" s="131"/>
    </row>
    <row r="524">
      <c r="A524" s="290"/>
      <c r="B524" s="290"/>
      <c r="C524" s="290"/>
      <c r="D524" s="290"/>
      <c r="E524" s="290"/>
      <c r="F524" s="290"/>
      <c r="G524" s="290"/>
      <c r="H524" s="290"/>
      <c r="I524" s="290"/>
      <c r="J524" s="290"/>
      <c r="K524" s="131"/>
      <c r="L524" s="131"/>
      <c r="M524" s="131"/>
      <c r="N524" s="131"/>
      <c r="O524" s="131"/>
      <c r="P524" s="131"/>
      <c r="Q524" s="131"/>
      <c r="R524" s="131"/>
      <c r="S524" s="131"/>
      <c r="T524" s="131"/>
      <c r="U524" s="131"/>
      <c r="V524" s="131"/>
      <c r="W524" s="131"/>
      <c r="X524" s="131"/>
      <c r="Y524" s="131"/>
      <c r="Z524" s="131"/>
    </row>
    <row r="525">
      <c r="A525" s="290"/>
      <c r="B525" s="290"/>
      <c r="C525" s="290"/>
      <c r="D525" s="290"/>
      <c r="E525" s="290"/>
      <c r="F525" s="290"/>
      <c r="G525" s="290"/>
      <c r="H525" s="290"/>
      <c r="I525" s="290"/>
      <c r="J525" s="290"/>
      <c r="K525" s="131"/>
      <c r="L525" s="131"/>
      <c r="M525" s="131"/>
      <c r="N525" s="131"/>
      <c r="O525" s="131"/>
      <c r="P525" s="131"/>
      <c r="Q525" s="131"/>
      <c r="R525" s="131"/>
      <c r="S525" s="131"/>
      <c r="T525" s="131"/>
      <c r="U525" s="131"/>
      <c r="V525" s="131"/>
      <c r="W525" s="131"/>
      <c r="X525" s="131"/>
      <c r="Y525" s="131"/>
      <c r="Z525" s="131"/>
    </row>
    <row r="526">
      <c r="A526" s="290"/>
      <c r="B526" s="290"/>
      <c r="C526" s="290"/>
      <c r="D526" s="290"/>
      <c r="E526" s="290"/>
      <c r="F526" s="290"/>
      <c r="G526" s="290"/>
      <c r="H526" s="290"/>
      <c r="I526" s="290"/>
      <c r="J526" s="290"/>
      <c r="K526" s="131"/>
      <c r="L526" s="131"/>
      <c r="M526" s="131"/>
      <c r="N526" s="131"/>
      <c r="O526" s="131"/>
      <c r="P526" s="131"/>
      <c r="Q526" s="131"/>
      <c r="R526" s="131"/>
      <c r="S526" s="131"/>
      <c r="T526" s="131"/>
      <c r="U526" s="131"/>
      <c r="V526" s="131"/>
      <c r="W526" s="131"/>
      <c r="X526" s="131"/>
      <c r="Y526" s="131"/>
      <c r="Z526" s="131"/>
    </row>
    <row r="527">
      <c r="A527" s="290"/>
      <c r="B527" s="290"/>
      <c r="C527" s="290"/>
      <c r="D527" s="290"/>
      <c r="E527" s="290"/>
      <c r="F527" s="290"/>
      <c r="G527" s="290"/>
      <c r="H527" s="290"/>
      <c r="I527" s="290"/>
      <c r="J527" s="290"/>
      <c r="K527" s="131"/>
      <c r="L527" s="131"/>
      <c r="M527" s="131"/>
      <c r="N527" s="131"/>
      <c r="O527" s="131"/>
      <c r="P527" s="131"/>
      <c r="Q527" s="131"/>
      <c r="R527" s="131"/>
      <c r="S527" s="131"/>
      <c r="T527" s="131"/>
      <c r="U527" s="131"/>
      <c r="V527" s="131"/>
      <c r="W527" s="131"/>
      <c r="X527" s="131"/>
      <c r="Y527" s="131"/>
      <c r="Z527" s="131"/>
    </row>
    <row r="528">
      <c r="A528" s="290"/>
      <c r="B528" s="290"/>
      <c r="C528" s="290"/>
      <c r="D528" s="290"/>
      <c r="E528" s="290"/>
      <c r="F528" s="290"/>
      <c r="G528" s="290"/>
      <c r="H528" s="290"/>
      <c r="I528" s="290"/>
      <c r="J528" s="290"/>
      <c r="K528" s="131"/>
      <c r="L528" s="131"/>
      <c r="M528" s="131"/>
      <c r="N528" s="131"/>
      <c r="O528" s="131"/>
      <c r="P528" s="131"/>
      <c r="Q528" s="131"/>
      <c r="R528" s="131"/>
      <c r="S528" s="131"/>
      <c r="T528" s="131"/>
      <c r="U528" s="131"/>
      <c r="V528" s="131"/>
      <c r="W528" s="131"/>
      <c r="X528" s="131"/>
      <c r="Y528" s="131"/>
      <c r="Z528" s="131"/>
    </row>
    <row r="529">
      <c r="A529" s="290"/>
      <c r="B529" s="290"/>
      <c r="C529" s="290"/>
      <c r="D529" s="290"/>
      <c r="E529" s="290"/>
      <c r="F529" s="290"/>
      <c r="G529" s="290"/>
      <c r="H529" s="290"/>
      <c r="I529" s="290"/>
      <c r="J529" s="290"/>
      <c r="K529" s="131"/>
      <c r="L529" s="131"/>
      <c r="M529" s="131"/>
      <c r="N529" s="131"/>
      <c r="O529" s="131"/>
      <c r="P529" s="131"/>
      <c r="Q529" s="131"/>
      <c r="R529" s="131"/>
      <c r="S529" s="131"/>
      <c r="T529" s="131"/>
      <c r="U529" s="131"/>
      <c r="V529" s="131"/>
      <c r="W529" s="131"/>
      <c r="X529" s="131"/>
      <c r="Y529" s="131"/>
      <c r="Z529" s="131"/>
    </row>
    <row r="530">
      <c r="A530" s="290"/>
      <c r="B530" s="290"/>
      <c r="C530" s="290"/>
      <c r="D530" s="290"/>
      <c r="E530" s="290"/>
      <c r="F530" s="290"/>
      <c r="G530" s="290"/>
      <c r="H530" s="290"/>
      <c r="I530" s="290"/>
      <c r="J530" s="290"/>
      <c r="K530" s="131"/>
      <c r="L530" s="131"/>
      <c r="M530" s="131"/>
      <c r="N530" s="131"/>
      <c r="O530" s="131"/>
      <c r="P530" s="131"/>
      <c r="Q530" s="131"/>
      <c r="R530" s="131"/>
      <c r="S530" s="131"/>
      <c r="T530" s="131"/>
      <c r="U530" s="131"/>
      <c r="V530" s="131"/>
      <c r="W530" s="131"/>
      <c r="X530" s="131"/>
      <c r="Y530" s="131"/>
      <c r="Z530" s="131"/>
    </row>
    <row r="531">
      <c r="A531" s="290"/>
      <c r="B531" s="290"/>
      <c r="C531" s="290"/>
      <c r="D531" s="290"/>
      <c r="E531" s="290"/>
      <c r="F531" s="290"/>
      <c r="G531" s="290"/>
      <c r="H531" s="290"/>
      <c r="I531" s="290"/>
      <c r="J531" s="290"/>
      <c r="K531" s="131"/>
      <c r="L531" s="131"/>
      <c r="M531" s="131"/>
      <c r="N531" s="131"/>
      <c r="O531" s="131"/>
      <c r="P531" s="131"/>
      <c r="Q531" s="131"/>
      <c r="R531" s="131"/>
      <c r="S531" s="131"/>
      <c r="T531" s="131"/>
      <c r="U531" s="131"/>
      <c r="V531" s="131"/>
      <c r="W531" s="131"/>
      <c r="X531" s="131"/>
      <c r="Y531" s="131"/>
      <c r="Z531" s="131"/>
    </row>
    <row r="532">
      <c r="A532" s="290"/>
      <c r="B532" s="290"/>
      <c r="C532" s="290"/>
      <c r="D532" s="290"/>
      <c r="E532" s="290"/>
      <c r="F532" s="290"/>
      <c r="G532" s="290"/>
      <c r="H532" s="290"/>
      <c r="I532" s="290"/>
      <c r="J532" s="290"/>
      <c r="K532" s="131"/>
      <c r="L532" s="131"/>
      <c r="M532" s="131"/>
      <c r="N532" s="131"/>
      <c r="O532" s="131"/>
      <c r="P532" s="131"/>
      <c r="Q532" s="131"/>
      <c r="R532" s="131"/>
      <c r="S532" s="131"/>
      <c r="T532" s="131"/>
      <c r="U532" s="131"/>
      <c r="V532" s="131"/>
      <c r="W532" s="131"/>
      <c r="X532" s="131"/>
      <c r="Y532" s="131"/>
      <c r="Z532" s="131"/>
    </row>
    <row r="533">
      <c r="A533" s="290"/>
      <c r="B533" s="290"/>
      <c r="C533" s="290"/>
      <c r="D533" s="290"/>
      <c r="E533" s="290"/>
      <c r="F533" s="290"/>
      <c r="G533" s="290"/>
      <c r="H533" s="290"/>
      <c r="I533" s="290"/>
      <c r="J533" s="290"/>
      <c r="K533" s="131"/>
      <c r="L533" s="131"/>
      <c r="M533" s="131"/>
      <c r="N533" s="131"/>
      <c r="O533" s="131"/>
      <c r="P533" s="131"/>
      <c r="Q533" s="131"/>
      <c r="R533" s="131"/>
      <c r="S533" s="131"/>
      <c r="T533" s="131"/>
      <c r="U533" s="131"/>
      <c r="V533" s="131"/>
      <c r="W533" s="131"/>
      <c r="X533" s="131"/>
      <c r="Y533" s="131"/>
      <c r="Z533" s="131"/>
    </row>
    <row r="534">
      <c r="A534" s="290"/>
      <c r="B534" s="290"/>
      <c r="C534" s="290"/>
      <c r="D534" s="290"/>
      <c r="E534" s="290"/>
      <c r="F534" s="290"/>
      <c r="G534" s="290"/>
      <c r="H534" s="290"/>
      <c r="I534" s="290"/>
      <c r="J534" s="290"/>
      <c r="K534" s="131"/>
      <c r="L534" s="131"/>
      <c r="M534" s="131"/>
      <c r="N534" s="131"/>
      <c r="O534" s="131"/>
      <c r="P534" s="131"/>
      <c r="Q534" s="131"/>
      <c r="R534" s="131"/>
      <c r="S534" s="131"/>
      <c r="T534" s="131"/>
      <c r="U534" s="131"/>
      <c r="V534" s="131"/>
      <c r="W534" s="131"/>
      <c r="X534" s="131"/>
      <c r="Y534" s="131"/>
      <c r="Z534" s="131"/>
    </row>
    <row r="535">
      <c r="A535" s="290"/>
      <c r="B535" s="290"/>
      <c r="C535" s="290"/>
      <c r="D535" s="290"/>
      <c r="E535" s="290"/>
      <c r="F535" s="290"/>
      <c r="G535" s="290"/>
      <c r="H535" s="290"/>
      <c r="I535" s="290"/>
      <c r="J535" s="290"/>
      <c r="K535" s="131"/>
      <c r="L535" s="131"/>
      <c r="M535" s="131"/>
      <c r="N535" s="131"/>
      <c r="O535" s="131"/>
      <c r="P535" s="131"/>
      <c r="Q535" s="131"/>
      <c r="R535" s="131"/>
      <c r="S535" s="131"/>
      <c r="T535" s="131"/>
      <c r="U535" s="131"/>
      <c r="V535" s="131"/>
      <c r="W535" s="131"/>
      <c r="X535" s="131"/>
      <c r="Y535" s="131"/>
      <c r="Z535" s="131"/>
    </row>
    <row r="536">
      <c r="A536" s="290"/>
      <c r="B536" s="290"/>
      <c r="C536" s="290"/>
      <c r="D536" s="290"/>
      <c r="E536" s="290"/>
      <c r="F536" s="290"/>
      <c r="G536" s="290"/>
      <c r="H536" s="290"/>
      <c r="I536" s="290"/>
      <c r="J536" s="290"/>
      <c r="K536" s="131"/>
      <c r="L536" s="131"/>
      <c r="M536" s="131"/>
      <c r="N536" s="131"/>
      <c r="O536" s="131"/>
      <c r="P536" s="131"/>
      <c r="Q536" s="131"/>
      <c r="R536" s="131"/>
      <c r="S536" s="131"/>
      <c r="T536" s="131"/>
      <c r="U536" s="131"/>
      <c r="V536" s="131"/>
      <c r="W536" s="131"/>
      <c r="X536" s="131"/>
      <c r="Y536" s="131"/>
      <c r="Z536" s="131"/>
    </row>
    <row r="537">
      <c r="A537" s="290"/>
      <c r="B537" s="290"/>
      <c r="C537" s="290"/>
      <c r="D537" s="290"/>
      <c r="E537" s="290"/>
      <c r="F537" s="290"/>
      <c r="G537" s="290"/>
      <c r="H537" s="290"/>
      <c r="I537" s="290"/>
      <c r="J537" s="290"/>
      <c r="K537" s="131"/>
      <c r="L537" s="131"/>
      <c r="M537" s="131"/>
      <c r="N537" s="131"/>
      <c r="O537" s="131"/>
      <c r="P537" s="131"/>
      <c r="Q537" s="131"/>
      <c r="R537" s="131"/>
      <c r="S537" s="131"/>
      <c r="T537" s="131"/>
      <c r="U537" s="131"/>
      <c r="V537" s="131"/>
      <c r="W537" s="131"/>
      <c r="X537" s="131"/>
      <c r="Y537" s="131"/>
      <c r="Z537" s="131"/>
    </row>
    <row r="538">
      <c r="A538" s="290"/>
      <c r="B538" s="290"/>
      <c r="C538" s="290"/>
      <c r="D538" s="290"/>
      <c r="E538" s="290"/>
      <c r="F538" s="290"/>
      <c r="G538" s="290"/>
      <c r="H538" s="290"/>
      <c r="I538" s="290"/>
      <c r="J538" s="290"/>
      <c r="K538" s="131"/>
      <c r="L538" s="131"/>
      <c r="M538" s="131"/>
      <c r="N538" s="131"/>
      <c r="O538" s="131"/>
      <c r="P538" s="131"/>
      <c r="Q538" s="131"/>
      <c r="R538" s="131"/>
      <c r="S538" s="131"/>
      <c r="T538" s="131"/>
      <c r="U538" s="131"/>
      <c r="V538" s="131"/>
      <c r="W538" s="131"/>
      <c r="X538" s="131"/>
      <c r="Y538" s="131"/>
      <c r="Z538" s="131"/>
    </row>
    <row r="539">
      <c r="A539" s="290"/>
      <c r="B539" s="290"/>
      <c r="C539" s="290"/>
      <c r="D539" s="290"/>
      <c r="E539" s="290"/>
      <c r="F539" s="290"/>
      <c r="G539" s="290"/>
      <c r="H539" s="290"/>
      <c r="I539" s="290"/>
      <c r="J539" s="290"/>
      <c r="K539" s="131"/>
      <c r="L539" s="131"/>
      <c r="M539" s="131"/>
      <c r="N539" s="131"/>
      <c r="O539" s="131"/>
      <c r="P539" s="131"/>
      <c r="Q539" s="131"/>
      <c r="R539" s="131"/>
      <c r="S539" s="131"/>
      <c r="T539" s="131"/>
      <c r="U539" s="131"/>
      <c r="V539" s="131"/>
      <c r="W539" s="131"/>
      <c r="X539" s="131"/>
      <c r="Y539" s="131"/>
      <c r="Z539" s="131"/>
    </row>
    <row r="540">
      <c r="A540" s="290"/>
      <c r="B540" s="290"/>
      <c r="C540" s="290"/>
      <c r="D540" s="290"/>
      <c r="E540" s="290"/>
      <c r="F540" s="290"/>
      <c r="G540" s="290"/>
      <c r="H540" s="290"/>
      <c r="I540" s="290"/>
      <c r="J540" s="290"/>
      <c r="K540" s="131"/>
      <c r="L540" s="131"/>
      <c r="M540" s="131"/>
      <c r="N540" s="131"/>
      <c r="O540" s="131"/>
      <c r="P540" s="131"/>
      <c r="Q540" s="131"/>
      <c r="R540" s="131"/>
      <c r="S540" s="131"/>
      <c r="T540" s="131"/>
      <c r="U540" s="131"/>
      <c r="V540" s="131"/>
      <c r="W540" s="131"/>
      <c r="X540" s="131"/>
      <c r="Y540" s="131"/>
      <c r="Z540" s="131"/>
    </row>
    <row r="541">
      <c r="A541" s="290"/>
      <c r="B541" s="290"/>
      <c r="C541" s="290"/>
      <c r="D541" s="290"/>
      <c r="E541" s="290"/>
      <c r="F541" s="290"/>
      <c r="G541" s="290"/>
      <c r="H541" s="290"/>
      <c r="I541" s="290"/>
      <c r="J541" s="290"/>
      <c r="K541" s="131"/>
      <c r="L541" s="131"/>
      <c r="M541" s="131"/>
      <c r="N541" s="131"/>
      <c r="O541" s="131"/>
      <c r="P541" s="131"/>
      <c r="Q541" s="131"/>
      <c r="R541" s="131"/>
      <c r="S541" s="131"/>
      <c r="T541" s="131"/>
      <c r="U541" s="131"/>
      <c r="V541" s="131"/>
      <c r="W541" s="131"/>
      <c r="X541" s="131"/>
      <c r="Y541" s="131"/>
      <c r="Z541" s="131"/>
    </row>
    <row r="542">
      <c r="A542" s="290"/>
      <c r="B542" s="290"/>
      <c r="C542" s="290"/>
      <c r="D542" s="290"/>
      <c r="E542" s="290"/>
      <c r="F542" s="290"/>
      <c r="G542" s="290"/>
      <c r="H542" s="290"/>
      <c r="I542" s="290"/>
      <c r="J542" s="290"/>
      <c r="K542" s="131"/>
      <c r="L542" s="131"/>
      <c r="M542" s="131"/>
      <c r="N542" s="131"/>
      <c r="O542" s="131"/>
      <c r="P542" s="131"/>
      <c r="Q542" s="131"/>
      <c r="R542" s="131"/>
      <c r="S542" s="131"/>
      <c r="T542" s="131"/>
      <c r="U542" s="131"/>
      <c r="V542" s="131"/>
      <c r="W542" s="131"/>
      <c r="X542" s="131"/>
      <c r="Y542" s="131"/>
      <c r="Z542" s="131"/>
    </row>
    <row r="543">
      <c r="A543" s="290"/>
      <c r="B543" s="290"/>
      <c r="C543" s="290"/>
      <c r="D543" s="290"/>
      <c r="E543" s="290"/>
      <c r="F543" s="290"/>
      <c r="G543" s="290"/>
      <c r="H543" s="290"/>
      <c r="I543" s="290"/>
      <c r="J543" s="290"/>
      <c r="K543" s="131"/>
      <c r="L543" s="131"/>
      <c r="M543" s="131"/>
      <c r="N543" s="131"/>
      <c r="O543" s="131"/>
      <c r="P543" s="131"/>
      <c r="Q543" s="131"/>
      <c r="R543" s="131"/>
      <c r="S543" s="131"/>
      <c r="T543" s="131"/>
      <c r="U543" s="131"/>
      <c r="V543" s="131"/>
      <c r="W543" s="131"/>
      <c r="X543" s="131"/>
      <c r="Y543" s="131"/>
      <c r="Z543" s="131"/>
    </row>
    <row r="544">
      <c r="A544" s="290"/>
      <c r="B544" s="290"/>
      <c r="C544" s="290"/>
      <c r="D544" s="290"/>
      <c r="E544" s="290"/>
      <c r="F544" s="290"/>
      <c r="G544" s="290"/>
      <c r="H544" s="290"/>
      <c r="I544" s="290"/>
      <c r="J544" s="290"/>
      <c r="K544" s="131"/>
      <c r="L544" s="131"/>
      <c r="M544" s="131"/>
      <c r="N544" s="131"/>
      <c r="O544" s="131"/>
      <c r="P544" s="131"/>
      <c r="Q544" s="131"/>
      <c r="R544" s="131"/>
      <c r="S544" s="131"/>
      <c r="T544" s="131"/>
      <c r="U544" s="131"/>
      <c r="V544" s="131"/>
      <c r="W544" s="131"/>
      <c r="X544" s="131"/>
      <c r="Y544" s="131"/>
      <c r="Z544" s="131"/>
    </row>
    <row r="545">
      <c r="A545" s="290"/>
      <c r="B545" s="290"/>
      <c r="C545" s="290"/>
      <c r="D545" s="290"/>
      <c r="E545" s="290"/>
      <c r="F545" s="290"/>
      <c r="G545" s="290"/>
      <c r="H545" s="290"/>
      <c r="I545" s="290"/>
      <c r="J545" s="290"/>
      <c r="K545" s="131"/>
      <c r="L545" s="131"/>
      <c r="M545" s="131"/>
      <c r="N545" s="131"/>
      <c r="O545" s="131"/>
      <c r="P545" s="131"/>
      <c r="Q545" s="131"/>
      <c r="R545" s="131"/>
      <c r="S545" s="131"/>
      <c r="T545" s="131"/>
      <c r="U545" s="131"/>
      <c r="V545" s="131"/>
      <c r="W545" s="131"/>
      <c r="X545" s="131"/>
      <c r="Y545" s="131"/>
      <c r="Z545" s="131"/>
    </row>
    <row r="546">
      <c r="A546" s="290"/>
      <c r="B546" s="290"/>
      <c r="C546" s="290"/>
      <c r="D546" s="290"/>
      <c r="E546" s="290"/>
      <c r="F546" s="290"/>
      <c r="G546" s="290"/>
      <c r="H546" s="290"/>
      <c r="I546" s="290"/>
      <c r="J546" s="290"/>
      <c r="K546" s="131"/>
      <c r="L546" s="131"/>
      <c r="M546" s="131"/>
      <c r="N546" s="131"/>
      <c r="O546" s="131"/>
      <c r="P546" s="131"/>
      <c r="Q546" s="131"/>
      <c r="R546" s="131"/>
      <c r="S546" s="131"/>
      <c r="T546" s="131"/>
      <c r="U546" s="131"/>
      <c r="V546" s="131"/>
      <c r="W546" s="131"/>
      <c r="X546" s="131"/>
      <c r="Y546" s="131"/>
      <c r="Z546" s="131"/>
    </row>
    <row r="547">
      <c r="A547" s="290"/>
      <c r="B547" s="290"/>
      <c r="C547" s="290"/>
      <c r="D547" s="290"/>
      <c r="E547" s="290"/>
      <c r="F547" s="290"/>
      <c r="G547" s="290"/>
      <c r="H547" s="290"/>
      <c r="I547" s="290"/>
      <c r="J547" s="290"/>
      <c r="K547" s="131"/>
      <c r="L547" s="131"/>
      <c r="M547" s="131"/>
      <c r="N547" s="131"/>
      <c r="O547" s="131"/>
      <c r="P547" s="131"/>
      <c r="Q547" s="131"/>
      <c r="R547" s="131"/>
      <c r="S547" s="131"/>
      <c r="T547" s="131"/>
      <c r="U547" s="131"/>
      <c r="V547" s="131"/>
      <c r="W547" s="131"/>
      <c r="X547" s="131"/>
      <c r="Y547" s="131"/>
      <c r="Z547" s="131"/>
    </row>
    <row r="548">
      <c r="A548" s="290"/>
      <c r="B548" s="290"/>
      <c r="C548" s="290"/>
      <c r="D548" s="290"/>
      <c r="E548" s="290"/>
      <c r="F548" s="290"/>
      <c r="G548" s="290"/>
      <c r="H548" s="290"/>
      <c r="I548" s="290"/>
      <c r="J548" s="290"/>
      <c r="K548" s="131"/>
      <c r="L548" s="131"/>
      <c r="M548" s="131"/>
      <c r="N548" s="131"/>
      <c r="O548" s="131"/>
      <c r="P548" s="131"/>
      <c r="Q548" s="131"/>
      <c r="R548" s="131"/>
      <c r="S548" s="131"/>
      <c r="T548" s="131"/>
      <c r="U548" s="131"/>
      <c r="V548" s="131"/>
      <c r="W548" s="131"/>
      <c r="X548" s="131"/>
      <c r="Y548" s="131"/>
      <c r="Z548" s="131"/>
    </row>
    <row r="549">
      <c r="A549" s="290"/>
      <c r="B549" s="290"/>
      <c r="C549" s="290"/>
      <c r="D549" s="290"/>
      <c r="E549" s="290"/>
      <c r="F549" s="290"/>
      <c r="G549" s="290"/>
      <c r="H549" s="290"/>
      <c r="I549" s="290"/>
      <c r="J549" s="290"/>
      <c r="K549" s="131"/>
      <c r="L549" s="131"/>
      <c r="M549" s="131"/>
      <c r="N549" s="131"/>
      <c r="O549" s="131"/>
      <c r="P549" s="131"/>
      <c r="Q549" s="131"/>
      <c r="R549" s="131"/>
      <c r="S549" s="131"/>
      <c r="T549" s="131"/>
      <c r="U549" s="131"/>
      <c r="V549" s="131"/>
      <c r="W549" s="131"/>
      <c r="X549" s="131"/>
      <c r="Y549" s="131"/>
      <c r="Z549" s="131"/>
    </row>
    <row r="550">
      <c r="A550" s="290"/>
      <c r="B550" s="290"/>
      <c r="C550" s="290"/>
      <c r="D550" s="290"/>
      <c r="E550" s="290"/>
      <c r="F550" s="290"/>
      <c r="G550" s="290"/>
      <c r="H550" s="290"/>
      <c r="I550" s="290"/>
      <c r="J550" s="290"/>
      <c r="K550" s="131"/>
      <c r="L550" s="131"/>
      <c r="M550" s="131"/>
      <c r="N550" s="131"/>
      <c r="O550" s="131"/>
      <c r="P550" s="131"/>
      <c r="Q550" s="131"/>
      <c r="R550" s="131"/>
      <c r="S550" s="131"/>
      <c r="T550" s="131"/>
      <c r="U550" s="131"/>
      <c r="V550" s="131"/>
      <c r="W550" s="131"/>
      <c r="X550" s="131"/>
      <c r="Y550" s="131"/>
      <c r="Z550" s="131"/>
    </row>
    <row r="551">
      <c r="A551" s="290"/>
      <c r="B551" s="290"/>
      <c r="C551" s="290"/>
      <c r="D551" s="290"/>
      <c r="E551" s="290"/>
      <c r="F551" s="290"/>
      <c r="G551" s="290"/>
      <c r="H551" s="290"/>
      <c r="I551" s="290"/>
      <c r="J551" s="290"/>
      <c r="K551" s="131"/>
      <c r="L551" s="131"/>
      <c r="M551" s="131"/>
      <c r="N551" s="131"/>
      <c r="O551" s="131"/>
      <c r="P551" s="131"/>
      <c r="Q551" s="131"/>
      <c r="R551" s="131"/>
      <c r="S551" s="131"/>
      <c r="T551" s="131"/>
      <c r="U551" s="131"/>
      <c r="V551" s="131"/>
      <c r="W551" s="131"/>
      <c r="X551" s="131"/>
      <c r="Y551" s="131"/>
      <c r="Z551" s="131"/>
    </row>
    <row r="552">
      <c r="A552" s="290"/>
      <c r="B552" s="290"/>
      <c r="C552" s="290"/>
      <c r="D552" s="290"/>
      <c r="E552" s="290"/>
      <c r="F552" s="290"/>
      <c r="G552" s="290"/>
      <c r="H552" s="290"/>
      <c r="I552" s="290"/>
      <c r="J552" s="290"/>
      <c r="K552" s="131"/>
      <c r="L552" s="131"/>
      <c r="M552" s="131"/>
      <c r="N552" s="131"/>
      <c r="O552" s="131"/>
      <c r="P552" s="131"/>
      <c r="Q552" s="131"/>
      <c r="R552" s="131"/>
      <c r="S552" s="131"/>
      <c r="T552" s="131"/>
      <c r="U552" s="131"/>
      <c r="V552" s="131"/>
      <c r="W552" s="131"/>
      <c r="X552" s="131"/>
      <c r="Y552" s="131"/>
      <c r="Z552" s="131"/>
    </row>
    <row r="553">
      <c r="A553" s="290"/>
      <c r="B553" s="290"/>
      <c r="C553" s="290"/>
      <c r="D553" s="290"/>
      <c r="E553" s="290"/>
      <c r="F553" s="290"/>
      <c r="G553" s="290"/>
      <c r="H553" s="290"/>
      <c r="I553" s="290"/>
      <c r="J553" s="290"/>
      <c r="K553" s="131"/>
      <c r="L553" s="131"/>
      <c r="M553" s="131"/>
      <c r="N553" s="131"/>
      <c r="O553" s="131"/>
      <c r="P553" s="131"/>
      <c r="Q553" s="131"/>
      <c r="R553" s="131"/>
      <c r="S553" s="131"/>
      <c r="T553" s="131"/>
      <c r="U553" s="131"/>
      <c r="V553" s="131"/>
      <c r="W553" s="131"/>
      <c r="X553" s="131"/>
      <c r="Y553" s="131"/>
      <c r="Z553" s="131"/>
    </row>
    <row r="554">
      <c r="A554" s="290"/>
      <c r="B554" s="290"/>
      <c r="C554" s="290"/>
      <c r="D554" s="290"/>
      <c r="E554" s="290"/>
      <c r="F554" s="290"/>
      <c r="G554" s="290"/>
      <c r="H554" s="290"/>
      <c r="I554" s="290"/>
      <c r="J554" s="290"/>
      <c r="K554" s="131"/>
      <c r="L554" s="131"/>
      <c r="M554" s="131"/>
      <c r="N554" s="131"/>
      <c r="O554" s="131"/>
      <c r="P554" s="131"/>
      <c r="Q554" s="131"/>
      <c r="R554" s="131"/>
      <c r="S554" s="131"/>
      <c r="T554" s="131"/>
      <c r="U554" s="131"/>
      <c r="V554" s="131"/>
      <c r="W554" s="131"/>
      <c r="X554" s="131"/>
      <c r="Y554" s="131"/>
      <c r="Z554" s="131"/>
    </row>
    <row r="555">
      <c r="A555" s="290"/>
      <c r="B555" s="290"/>
      <c r="C555" s="290"/>
      <c r="D555" s="290"/>
      <c r="E555" s="290"/>
      <c r="F555" s="290"/>
      <c r="G555" s="290"/>
      <c r="H555" s="290"/>
      <c r="I555" s="290"/>
      <c r="J555" s="290"/>
      <c r="K555" s="131"/>
      <c r="L555" s="131"/>
      <c r="M555" s="131"/>
      <c r="N555" s="131"/>
      <c r="O555" s="131"/>
      <c r="P555" s="131"/>
      <c r="Q555" s="131"/>
      <c r="R555" s="131"/>
      <c r="S555" s="131"/>
      <c r="T555" s="131"/>
      <c r="U555" s="131"/>
      <c r="V555" s="131"/>
      <c r="W555" s="131"/>
      <c r="X555" s="131"/>
      <c r="Y555" s="131"/>
      <c r="Z555" s="131"/>
    </row>
    <row r="556">
      <c r="A556" s="290"/>
      <c r="B556" s="290"/>
      <c r="C556" s="290"/>
      <c r="D556" s="290"/>
      <c r="E556" s="290"/>
      <c r="F556" s="290"/>
      <c r="G556" s="290"/>
      <c r="H556" s="290"/>
      <c r="I556" s="290"/>
      <c r="J556" s="290"/>
      <c r="K556" s="131"/>
      <c r="L556" s="131"/>
      <c r="M556" s="131"/>
      <c r="N556" s="131"/>
      <c r="O556" s="131"/>
      <c r="P556" s="131"/>
      <c r="Q556" s="131"/>
      <c r="R556" s="131"/>
      <c r="S556" s="131"/>
      <c r="T556" s="131"/>
      <c r="U556" s="131"/>
      <c r="V556" s="131"/>
      <c r="W556" s="131"/>
      <c r="X556" s="131"/>
      <c r="Y556" s="131"/>
      <c r="Z556" s="131"/>
    </row>
    <row r="557">
      <c r="A557" s="290"/>
      <c r="B557" s="290"/>
      <c r="C557" s="290"/>
      <c r="D557" s="290"/>
      <c r="E557" s="290"/>
      <c r="F557" s="290"/>
      <c r="G557" s="290"/>
      <c r="H557" s="290"/>
      <c r="I557" s="290"/>
      <c r="J557" s="290"/>
      <c r="K557" s="131"/>
      <c r="L557" s="131"/>
      <c r="M557" s="131"/>
      <c r="N557" s="131"/>
      <c r="O557" s="131"/>
      <c r="P557" s="131"/>
      <c r="Q557" s="131"/>
      <c r="R557" s="131"/>
      <c r="S557" s="131"/>
      <c r="T557" s="131"/>
      <c r="U557" s="131"/>
      <c r="V557" s="131"/>
      <c r="W557" s="131"/>
      <c r="X557" s="131"/>
      <c r="Y557" s="131"/>
      <c r="Z557" s="131"/>
    </row>
    <row r="558">
      <c r="A558" s="290"/>
      <c r="B558" s="290"/>
      <c r="C558" s="290"/>
      <c r="D558" s="290"/>
      <c r="E558" s="290"/>
      <c r="F558" s="290"/>
      <c r="G558" s="290"/>
      <c r="H558" s="290"/>
      <c r="I558" s="290"/>
      <c r="J558" s="290"/>
      <c r="K558" s="131"/>
      <c r="L558" s="131"/>
      <c r="M558" s="131"/>
      <c r="N558" s="131"/>
      <c r="O558" s="131"/>
      <c r="P558" s="131"/>
      <c r="Q558" s="131"/>
      <c r="R558" s="131"/>
      <c r="S558" s="131"/>
      <c r="T558" s="131"/>
      <c r="U558" s="131"/>
      <c r="V558" s="131"/>
      <c r="W558" s="131"/>
      <c r="X558" s="131"/>
      <c r="Y558" s="131"/>
      <c r="Z558" s="131"/>
    </row>
    <row r="559">
      <c r="A559" s="290"/>
      <c r="B559" s="290"/>
      <c r="C559" s="290"/>
      <c r="D559" s="290"/>
      <c r="E559" s="290"/>
      <c r="F559" s="290"/>
      <c r="G559" s="290"/>
      <c r="H559" s="290"/>
      <c r="I559" s="290"/>
      <c r="J559" s="290"/>
      <c r="K559" s="131"/>
      <c r="L559" s="131"/>
      <c r="M559" s="131"/>
      <c r="N559" s="131"/>
      <c r="O559" s="131"/>
      <c r="P559" s="131"/>
      <c r="Q559" s="131"/>
      <c r="R559" s="131"/>
      <c r="S559" s="131"/>
      <c r="T559" s="131"/>
      <c r="U559" s="131"/>
      <c r="V559" s="131"/>
      <c r="W559" s="131"/>
      <c r="X559" s="131"/>
      <c r="Y559" s="131"/>
      <c r="Z559" s="131"/>
    </row>
    <row r="560">
      <c r="A560" s="290"/>
      <c r="B560" s="290"/>
      <c r="C560" s="290"/>
      <c r="D560" s="290"/>
      <c r="E560" s="290"/>
      <c r="F560" s="290"/>
      <c r="G560" s="290"/>
      <c r="H560" s="290"/>
      <c r="I560" s="290"/>
      <c r="J560" s="290"/>
      <c r="K560" s="131"/>
      <c r="L560" s="131"/>
      <c r="M560" s="131"/>
      <c r="N560" s="131"/>
      <c r="O560" s="131"/>
      <c r="P560" s="131"/>
      <c r="Q560" s="131"/>
      <c r="R560" s="131"/>
      <c r="S560" s="131"/>
      <c r="T560" s="131"/>
      <c r="U560" s="131"/>
      <c r="V560" s="131"/>
      <c r="W560" s="131"/>
      <c r="X560" s="131"/>
      <c r="Y560" s="131"/>
      <c r="Z560" s="131"/>
    </row>
    <row r="561">
      <c r="A561" s="290"/>
      <c r="B561" s="290"/>
      <c r="C561" s="290"/>
      <c r="D561" s="290"/>
      <c r="E561" s="290"/>
      <c r="F561" s="290"/>
      <c r="G561" s="290"/>
      <c r="H561" s="290"/>
      <c r="I561" s="290"/>
      <c r="J561" s="290"/>
      <c r="K561" s="131"/>
      <c r="L561" s="131"/>
      <c r="M561" s="131"/>
      <c r="N561" s="131"/>
      <c r="O561" s="131"/>
      <c r="P561" s="131"/>
      <c r="Q561" s="131"/>
      <c r="R561" s="131"/>
      <c r="S561" s="131"/>
      <c r="T561" s="131"/>
      <c r="U561" s="131"/>
      <c r="V561" s="131"/>
      <c r="W561" s="131"/>
      <c r="X561" s="131"/>
      <c r="Y561" s="131"/>
      <c r="Z561" s="131"/>
    </row>
    <row r="562">
      <c r="A562" s="290"/>
      <c r="B562" s="290"/>
      <c r="C562" s="290"/>
      <c r="D562" s="290"/>
      <c r="E562" s="290"/>
      <c r="F562" s="290"/>
      <c r="G562" s="290"/>
      <c r="H562" s="290"/>
      <c r="I562" s="290"/>
      <c r="J562" s="290"/>
      <c r="K562" s="131"/>
      <c r="L562" s="131"/>
      <c r="M562" s="131"/>
      <c r="N562" s="131"/>
      <c r="O562" s="131"/>
      <c r="P562" s="131"/>
      <c r="Q562" s="131"/>
      <c r="R562" s="131"/>
      <c r="S562" s="131"/>
      <c r="T562" s="131"/>
      <c r="U562" s="131"/>
      <c r="V562" s="131"/>
      <c r="W562" s="131"/>
      <c r="X562" s="131"/>
      <c r="Y562" s="131"/>
      <c r="Z562" s="131"/>
    </row>
    <row r="563">
      <c r="A563" s="290"/>
      <c r="B563" s="290"/>
      <c r="C563" s="290"/>
      <c r="D563" s="290"/>
      <c r="E563" s="290"/>
      <c r="F563" s="290"/>
      <c r="G563" s="290"/>
      <c r="H563" s="290"/>
      <c r="I563" s="290"/>
      <c r="J563" s="290"/>
      <c r="K563" s="131"/>
      <c r="L563" s="131"/>
      <c r="M563" s="131"/>
      <c r="N563" s="131"/>
      <c r="O563" s="131"/>
      <c r="P563" s="131"/>
      <c r="Q563" s="131"/>
      <c r="R563" s="131"/>
      <c r="S563" s="131"/>
      <c r="T563" s="131"/>
      <c r="U563" s="131"/>
      <c r="V563" s="131"/>
      <c r="W563" s="131"/>
      <c r="X563" s="131"/>
      <c r="Y563" s="131"/>
      <c r="Z563" s="131"/>
    </row>
    <row r="564">
      <c r="A564" s="290"/>
      <c r="B564" s="290"/>
      <c r="C564" s="290"/>
      <c r="D564" s="290"/>
      <c r="E564" s="290"/>
      <c r="F564" s="290"/>
      <c r="G564" s="290"/>
      <c r="H564" s="290"/>
      <c r="I564" s="290"/>
      <c r="J564" s="290"/>
      <c r="K564" s="131"/>
      <c r="L564" s="131"/>
      <c r="M564" s="131"/>
      <c r="N564" s="131"/>
      <c r="O564" s="131"/>
      <c r="P564" s="131"/>
      <c r="Q564" s="131"/>
      <c r="R564" s="131"/>
      <c r="S564" s="131"/>
      <c r="T564" s="131"/>
      <c r="U564" s="131"/>
      <c r="V564" s="131"/>
      <c r="W564" s="131"/>
      <c r="X564" s="131"/>
      <c r="Y564" s="131"/>
      <c r="Z564" s="131"/>
    </row>
    <row r="565">
      <c r="A565" s="290"/>
      <c r="B565" s="290"/>
      <c r="C565" s="290"/>
      <c r="D565" s="290"/>
      <c r="E565" s="290"/>
      <c r="F565" s="290"/>
      <c r="G565" s="290"/>
      <c r="H565" s="290"/>
      <c r="I565" s="290"/>
      <c r="J565" s="290"/>
      <c r="K565" s="131"/>
      <c r="L565" s="131"/>
      <c r="M565" s="131"/>
      <c r="N565" s="131"/>
      <c r="O565" s="131"/>
      <c r="P565" s="131"/>
      <c r="Q565" s="131"/>
      <c r="R565" s="131"/>
      <c r="S565" s="131"/>
      <c r="T565" s="131"/>
      <c r="U565" s="131"/>
      <c r="V565" s="131"/>
      <c r="W565" s="131"/>
      <c r="X565" s="131"/>
      <c r="Y565" s="131"/>
      <c r="Z565" s="131"/>
    </row>
    <row r="566">
      <c r="A566" s="290"/>
      <c r="B566" s="290"/>
      <c r="C566" s="290"/>
      <c r="D566" s="290"/>
      <c r="E566" s="290"/>
      <c r="F566" s="290"/>
      <c r="G566" s="290"/>
      <c r="H566" s="290"/>
      <c r="I566" s="290"/>
      <c r="J566" s="290"/>
      <c r="K566" s="131"/>
      <c r="L566" s="131"/>
      <c r="M566" s="131"/>
      <c r="N566" s="131"/>
      <c r="O566" s="131"/>
      <c r="P566" s="131"/>
      <c r="Q566" s="131"/>
      <c r="R566" s="131"/>
      <c r="S566" s="131"/>
      <c r="T566" s="131"/>
      <c r="U566" s="131"/>
      <c r="V566" s="131"/>
      <c r="W566" s="131"/>
      <c r="X566" s="131"/>
      <c r="Y566" s="131"/>
      <c r="Z566" s="131"/>
    </row>
    <row r="567">
      <c r="A567" s="290"/>
      <c r="B567" s="290"/>
      <c r="C567" s="290"/>
      <c r="D567" s="290"/>
      <c r="E567" s="290"/>
      <c r="F567" s="290"/>
      <c r="G567" s="290"/>
      <c r="H567" s="290"/>
      <c r="I567" s="290"/>
      <c r="J567" s="290"/>
      <c r="K567" s="131"/>
      <c r="L567" s="131"/>
      <c r="M567" s="131"/>
      <c r="N567" s="131"/>
      <c r="O567" s="131"/>
      <c r="P567" s="131"/>
      <c r="Q567" s="131"/>
      <c r="R567" s="131"/>
      <c r="S567" s="131"/>
      <c r="T567" s="131"/>
      <c r="U567" s="131"/>
      <c r="V567" s="131"/>
      <c r="W567" s="131"/>
      <c r="X567" s="131"/>
      <c r="Y567" s="131"/>
      <c r="Z567" s="131"/>
    </row>
    <row r="568">
      <c r="A568" s="290"/>
      <c r="B568" s="290"/>
      <c r="C568" s="290"/>
      <c r="D568" s="290"/>
      <c r="E568" s="290"/>
      <c r="F568" s="290"/>
      <c r="G568" s="290"/>
      <c r="H568" s="290"/>
      <c r="I568" s="290"/>
      <c r="J568" s="290"/>
      <c r="K568" s="131"/>
      <c r="L568" s="131"/>
      <c r="M568" s="131"/>
      <c r="N568" s="131"/>
      <c r="O568" s="131"/>
      <c r="P568" s="131"/>
      <c r="Q568" s="131"/>
      <c r="R568" s="131"/>
      <c r="S568" s="131"/>
      <c r="T568" s="131"/>
      <c r="U568" s="131"/>
      <c r="V568" s="131"/>
      <c r="W568" s="131"/>
      <c r="X568" s="131"/>
      <c r="Y568" s="131"/>
      <c r="Z568" s="131"/>
    </row>
    <row r="569">
      <c r="A569" s="290"/>
      <c r="B569" s="290"/>
      <c r="C569" s="290"/>
      <c r="D569" s="290"/>
      <c r="E569" s="290"/>
      <c r="F569" s="290"/>
      <c r="G569" s="290"/>
      <c r="H569" s="290"/>
      <c r="I569" s="290"/>
      <c r="J569" s="290"/>
      <c r="K569" s="131"/>
      <c r="L569" s="131"/>
      <c r="M569" s="131"/>
      <c r="N569" s="131"/>
      <c r="O569" s="131"/>
      <c r="P569" s="131"/>
      <c r="Q569" s="131"/>
      <c r="R569" s="131"/>
      <c r="S569" s="131"/>
      <c r="T569" s="131"/>
      <c r="U569" s="131"/>
      <c r="V569" s="131"/>
      <c r="W569" s="131"/>
      <c r="X569" s="131"/>
      <c r="Y569" s="131"/>
      <c r="Z569" s="131"/>
    </row>
    <row r="570">
      <c r="A570" s="290"/>
      <c r="B570" s="290"/>
      <c r="C570" s="290"/>
      <c r="D570" s="290"/>
      <c r="E570" s="290"/>
      <c r="F570" s="290"/>
      <c r="G570" s="290"/>
      <c r="H570" s="290"/>
      <c r="I570" s="290"/>
      <c r="J570" s="290"/>
      <c r="K570" s="131"/>
      <c r="L570" s="131"/>
      <c r="M570" s="131"/>
      <c r="N570" s="131"/>
      <c r="O570" s="131"/>
      <c r="P570" s="131"/>
      <c r="Q570" s="131"/>
      <c r="R570" s="131"/>
      <c r="S570" s="131"/>
      <c r="T570" s="131"/>
      <c r="U570" s="131"/>
      <c r="V570" s="131"/>
      <c r="W570" s="131"/>
      <c r="X570" s="131"/>
      <c r="Y570" s="131"/>
      <c r="Z570" s="131"/>
    </row>
    <row r="571">
      <c r="A571" s="290"/>
      <c r="B571" s="290"/>
      <c r="C571" s="290"/>
      <c r="D571" s="290"/>
      <c r="E571" s="290"/>
      <c r="F571" s="290"/>
      <c r="G571" s="290"/>
      <c r="H571" s="290"/>
      <c r="I571" s="290"/>
      <c r="J571" s="290"/>
      <c r="K571" s="131"/>
      <c r="L571" s="131"/>
      <c r="M571" s="131"/>
      <c r="N571" s="131"/>
      <c r="O571" s="131"/>
      <c r="P571" s="131"/>
      <c r="Q571" s="131"/>
      <c r="R571" s="131"/>
      <c r="S571" s="131"/>
      <c r="T571" s="131"/>
      <c r="U571" s="131"/>
      <c r="V571" s="131"/>
      <c r="W571" s="131"/>
      <c r="X571" s="131"/>
      <c r="Y571" s="131"/>
      <c r="Z571" s="131"/>
    </row>
    <row r="572">
      <c r="A572" s="290"/>
      <c r="B572" s="290"/>
      <c r="C572" s="290"/>
      <c r="D572" s="290"/>
      <c r="E572" s="290"/>
      <c r="F572" s="290"/>
      <c r="G572" s="290"/>
      <c r="H572" s="290"/>
      <c r="I572" s="290"/>
      <c r="J572" s="290"/>
      <c r="K572" s="131"/>
      <c r="L572" s="131"/>
      <c r="M572" s="131"/>
      <c r="N572" s="131"/>
      <c r="O572" s="131"/>
      <c r="P572" s="131"/>
      <c r="Q572" s="131"/>
      <c r="R572" s="131"/>
      <c r="S572" s="131"/>
      <c r="T572" s="131"/>
      <c r="U572" s="131"/>
      <c r="V572" s="131"/>
      <c r="W572" s="131"/>
      <c r="X572" s="131"/>
      <c r="Y572" s="131"/>
      <c r="Z572" s="131"/>
    </row>
    <row r="573">
      <c r="A573" s="290"/>
      <c r="B573" s="290"/>
      <c r="C573" s="290"/>
      <c r="D573" s="290"/>
      <c r="E573" s="290"/>
      <c r="F573" s="290"/>
      <c r="G573" s="290"/>
      <c r="H573" s="290"/>
      <c r="I573" s="290"/>
      <c r="J573" s="290"/>
      <c r="K573" s="131"/>
      <c r="L573" s="131"/>
      <c r="M573" s="131"/>
      <c r="N573" s="131"/>
      <c r="O573" s="131"/>
      <c r="P573" s="131"/>
      <c r="Q573" s="131"/>
      <c r="R573" s="131"/>
      <c r="S573" s="131"/>
      <c r="T573" s="131"/>
      <c r="U573" s="131"/>
      <c r="V573" s="131"/>
      <c r="W573" s="131"/>
      <c r="X573" s="131"/>
      <c r="Y573" s="131"/>
      <c r="Z573" s="131"/>
    </row>
    <row r="574">
      <c r="A574" s="290"/>
      <c r="B574" s="290"/>
      <c r="C574" s="290"/>
      <c r="D574" s="290"/>
      <c r="E574" s="290"/>
      <c r="F574" s="290"/>
      <c r="G574" s="290"/>
      <c r="H574" s="290"/>
      <c r="I574" s="290"/>
      <c r="J574" s="290"/>
      <c r="K574" s="131"/>
      <c r="L574" s="131"/>
      <c r="M574" s="131"/>
      <c r="N574" s="131"/>
      <c r="O574" s="131"/>
      <c r="P574" s="131"/>
      <c r="Q574" s="131"/>
      <c r="R574" s="131"/>
      <c r="S574" s="131"/>
      <c r="T574" s="131"/>
      <c r="U574" s="131"/>
      <c r="V574" s="131"/>
      <c r="W574" s="131"/>
      <c r="X574" s="131"/>
      <c r="Y574" s="131"/>
      <c r="Z574" s="131"/>
    </row>
    <row r="575">
      <c r="A575" s="290"/>
      <c r="B575" s="290"/>
      <c r="C575" s="290"/>
      <c r="D575" s="290"/>
      <c r="E575" s="290"/>
      <c r="F575" s="290"/>
      <c r="G575" s="290"/>
      <c r="H575" s="290"/>
      <c r="I575" s="290"/>
      <c r="J575" s="290"/>
      <c r="K575" s="131"/>
      <c r="L575" s="131"/>
      <c r="M575" s="131"/>
      <c r="N575" s="131"/>
      <c r="O575" s="131"/>
      <c r="P575" s="131"/>
      <c r="Q575" s="131"/>
      <c r="R575" s="131"/>
      <c r="S575" s="131"/>
      <c r="T575" s="131"/>
      <c r="U575" s="131"/>
      <c r="V575" s="131"/>
      <c r="W575" s="131"/>
      <c r="X575" s="131"/>
      <c r="Y575" s="131"/>
      <c r="Z575" s="131"/>
    </row>
    <row r="576">
      <c r="A576" s="290"/>
      <c r="B576" s="290"/>
      <c r="C576" s="290"/>
      <c r="D576" s="290"/>
      <c r="E576" s="290"/>
      <c r="F576" s="290"/>
      <c r="G576" s="290"/>
      <c r="H576" s="290"/>
      <c r="I576" s="290"/>
      <c r="J576" s="290"/>
      <c r="K576" s="131"/>
      <c r="L576" s="131"/>
      <c r="M576" s="131"/>
      <c r="N576" s="131"/>
      <c r="O576" s="131"/>
      <c r="P576" s="131"/>
      <c r="Q576" s="131"/>
      <c r="R576" s="131"/>
      <c r="S576" s="131"/>
      <c r="T576" s="131"/>
      <c r="U576" s="131"/>
      <c r="V576" s="131"/>
      <c r="W576" s="131"/>
      <c r="X576" s="131"/>
      <c r="Y576" s="131"/>
      <c r="Z576" s="131"/>
    </row>
    <row r="577">
      <c r="A577" s="290"/>
      <c r="B577" s="290"/>
      <c r="C577" s="290"/>
      <c r="D577" s="290"/>
      <c r="E577" s="290"/>
      <c r="F577" s="290"/>
      <c r="G577" s="290"/>
      <c r="H577" s="290"/>
      <c r="I577" s="290"/>
      <c r="J577" s="290"/>
      <c r="K577" s="131"/>
      <c r="L577" s="131"/>
      <c r="M577" s="131"/>
      <c r="N577" s="131"/>
      <c r="O577" s="131"/>
      <c r="P577" s="131"/>
      <c r="Q577" s="131"/>
      <c r="R577" s="131"/>
      <c r="S577" s="131"/>
      <c r="T577" s="131"/>
      <c r="U577" s="131"/>
      <c r="V577" s="131"/>
      <c r="W577" s="131"/>
      <c r="X577" s="131"/>
      <c r="Y577" s="131"/>
      <c r="Z577" s="131"/>
    </row>
    <row r="578">
      <c r="A578" s="290"/>
      <c r="B578" s="290"/>
      <c r="C578" s="290"/>
      <c r="D578" s="290"/>
      <c r="E578" s="290"/>
      <c r="F578" s="290"/>
      <c r="G578" s="290"/>
      <c r="H578" s="290"/>
      <c r="I578" s="290"/>
      <c r="J578" s="290"/>
      <c r="K578" s="131"/>
      <c r="L578" s="131"/>
      <c r="M578" s="131"/>
      <c r="N578" s="131"/>
      <c r="O578" s="131"/>
      <c r="P578" s="131"/>
      <c r="Q578" s="131"/>
      <c r="R578" s="131"/>
      <c r="S578" s="131"/>
      <c r="T578" s="131"/>
      <c r="U578" s="131"/>
      <c r="V578" s="131"/>
      <c r="W578" s="131"/>
      <c r="X578" s="131"/>
      <c r="Y578" s="131"/>
      <c r="Z578" s="131"/>
    </row>
    <row r="579">
      <c r="A579" s="290"/>
      <c r="B579" s="290"/>
      <c r="C579" s="290"/>
      <c r="D579" s="290"/>
      <c r="E579" s="290"/>
      <c r="F579" s="290"/>
      <c r="G579" s="290"/>
      <c r="H579" s="290"/>
      <c r="I579" s="290"/>
      <c r="J579" s="290"/>
      <c r="K579" s="131"/>
      <c r="L579" s="131"/>
      <c r="M579" s="131"/>
      <c r="N579" s="131"/>
      <c r="O579" s="131"/>
      <c r="P579" s="131"/>
      <c r="Q579" s="131"/>
      <c r="R579" s="131"/>
      <c r="S579" s="131"/>
      <c r="T579" s="131"/>
      <c r="U579" s="131"/>
      <c r="V579" s="131"/>
      <c r="W579" s="131"/>
      <c r="X579" s="131"/>
      <c r="Y579" s="131"/>
      <c r="Z579" s="131"/>
    </row>
    <row r="580">
      <c r="A580" s="290"/>
      <c r="B580" s="290"/>
      <c r="C580" s="290"/>
      <c r="D580" s="290"/>
      <c r="E580" s="290"/>
      <c r="F580" s="290"/>
      <c r="G580" s="290"/>
      <c r="H580" s="290"/>
      <c r="I580" s="290"/>
      <c r="J580" s="290"/>
      <c r="K580" s="131"/>
      <c r="L580" s="131"/>
      <c r="M580" s="131"/>
      <c r="N580" s="131"/>
      <c r="O580" s="131"/>
      <c r="P580" s="131"/>
      <c r="Q580" s="131"/>
      <c r="R580" s="131"/>
      <c r="S580" s="131"/>
      <c r="T580" s="131"/>
      <c r="U580" s="131"/>
      <c r="V580" s="131"/>
      <c r="W580" s="131"/>
      <c r="X580" s="131"/>
      <c r="Y580" s="131"/>
      <c r="Z580" s="131"/>
    </row>
    <row r="581">
      <c r="A581" s="290"/>
      <c r="B581" s="290"/>
      <c r="C581" s="290"/>
      <c r="D581" s="290"/>
      <c r="E581" s="290"/>
      <c r="F581" s="290"/>
      <c r="G581" s="290"/>
      <c r="H581" s="290"/>
      <c r="I581" s="290"/>
      <c r="J581" s="290"/>
      <c r="K581" s="131"/>
      <c r="L581" s="131"/>
      <c r="M581" s="131"/>
      <c r="N581" s="131"/>
      <c r="O581" s="131"/>
      <c r="P581" s="131"/>
      <c r="Q581" s="131"/>
      <c r="R581" s="131"/>
      <c r="S581" s="131"/>
      <c r="T581" s="131"/>
      <c r="U581" s="131"/>
      <c r="V581" s="131"/>
      <c r="W581" s="131"/>
      <c r="X581" s="131"/>
      <c r="Y581" s="131"/>
      <c r="Z581" s="131"/>
    </row>
    <row r="582">
      <c r="A582" s="290"/>
      <c r="B582" s="290"/>
      <c r="C582" s="290"/>
      <c r="D582" s="290"/>
      <c r="E582" s="290"/>
      <c r="F582" s="290"/>
      <c r="G582" s="290"/>
      <c r="H582" s="290"/>
      <c r="I582" s="290"/>
      <c r="J582" s="290"/>
      <c r="K582" s="131"/>
      <c r="L582" s="131"/>
      <c r="M582" s="131"/>
      <c r="N582" s="131"/>
      <c r="O582" s="131"/>
      <c r="P582" s="131"/>
      <c r="Q582" s="131"/>
      <c r="R582" s="131"/>
      <c r="S582" s="131"/>
      <c r="T582" s="131"/>
      <c r="U582" s="131"/>
      <c r="V582" s="131"/>
      <c r="W582" s="131"/>
      <c r="X582" s="131"/>
      <c r="Y582" s="131"/>
      <c r="Z582" s="131"/>
    </row>
    <row r="583">
      <c r="A583" s="290"/>
      <c r="B583" s="290"/>
      <c r="C583" s="290"/>
      <c r="D583" s="290"/>
      <c r="E583" s="290"/>
      <c r="F583" s="290"/>
      <c r="G583" s="290"/>
      <c r="H583" s="290"/>
      <c r="I583" s="290"/>
      <c r="J583" s="290"/>
      <c r="K583" s="131"/>
      <c r="L583" s="131"/>
      <c r="M583" s="131"/>
      <c r="N583" s="131"/>
      <c r="O583" s="131"/>
      <c r="P583" s="131"/>
      <c r="Q583" s="131"/>
      <c r="R583" s="131"/>
      <c r="S583" s="131"/>
      <c r="T583" s="131"/>
      <c r="U583" s="131"/>
      <c r="V583" s="131"/>
      <c r="W583" s="131"/>
      <c r="X583" s="131"/>
      <c r="Y583" s="131"/>
      <c r="Z583" s="131"/>
    </row>
    <row r="584">
      <c r="A584" s="290"/>
      <c r="B584" s="290"/>
      <c r="C584" s="290"/>
      <c r="D584" s="290"/>
      <c r="E584" s="290"/>
      <c r="F584" s="290"/>
      <c r="G584" s="290"/>
      <c r="H584" s="290"/>
      <c r="I584" s="290"/>
      <c r="J584" s="290"/>
      <c r="K584" s="131"/>
      <c r="L584" s="131"/>
      <c r="M584" s="131"/>
      <c r="N584" s="131"/>
      <c r="O584" s="131"/>
      <c r="P584" s="131"/>
      <c r="Q584" s="131"/>
      <c r="R584" s="131"/>
      <c r="S584" s="131"/>
      <c r="T584" s="131"/>
      <c r="U584" s="131"/>
      <c r="V584" s="131"/>
      <c r="W584" s="131"/>
      <c r="X584" s="131"/>
      <c r="Y584" s="131"/>
      <c r="Z584" s="131"/>
    </row>
    <row r="585">
      <c r="A585" s="290"/>
      <c r="B585" s="290"/>
      <c r="C585" s="290"/>
      <c r="D585" s="290"/>
      <c r="E585" s="290"/>
      <c r="F585" s="290"/>
      <c r="G585" s="290"/>
      <c r="H585" s="290"/>
      <c r="I585" s="290"/>
      <c r="J585" s="290"/>
      <c r="K585" s="131"/>
      <c r="L585" s="131"/>
      <c r="M585" s="131"/>
      <c r="N585" s="131"/>
      <c r="O585" s="131"/>
      <c r="P585" s="131"/>
      <c r="Q585" s="131"/>
      <c r="R585" s="131"/>
      <c r="S585" s="131"/>
      <c r="T585" s="131"/>
      <c r="U585" s="131"/>
      <c r="V585" s="131"/>
      <c r="W585" s="131"/>
      <c r="X585" s="131"/>
      <c r="Y585" s="131"/>
      <c r="Z585" s="131"/>
    </row>
    <row r="586">
      <c r="A586" s="290"/>
      <c r="B586" s="290"/>
      <c r="C586" s="290"/>
      <c r="D586" s="290"/>
      <c r="E586" s="290"/>
      <c r="F586" s="290"/>
      <c r="G586" s="290"/>
      <c r="H586" s="290"/>
      <c r="I586" s="290"/>
      <c r="J586" s="290"/>
      <c r="K586" s="131"/>
      <c r="L586" s="131"/>
      <c r="M586" s="131"/>
      <c r="N586" s="131"/>
      <c r="O586" s="131"/>
      <c r="P586" s="131"/>
      <c r="Q586" s="131"/>
      <c r="R586" s="131"/>
      <c r="S586" s="131"/>
      <c r="T586" s="131"/>
      <c r="U586" s="131"/>
      <c r="V586" s="131"/>
      <c r="W586" s="131"/>
      <c r="X586" s="131"/>
      <c r="Y586" s="131"/>
      <c r="Z586" s="131"/>
    </row>
    <row r="587">
      <c r="A587" s="290"/>
      <c r="B587" s="290"/>
      <c r="C587" s="290"/>
      <c r="D587" s="290"/>
      <c r="E587" s="290"/>
      <c r="F587" s="290"/>
      <c r="G587" s="290"/>
      <c r="H587" s="290"/>
      <c r="I587" s="290"/>
      <c r="J587" s="290"/>
      <c r="K587" s="131"/>
      <c r="L587" s="131"/>
      <c r="M587" s="131"/>
      <c r="N587" s="131"/>
      <c r="O587" s="131"/>
      <c r="P587" s="131"/>
      <c r="Q587" s="131"/>
      <c r="R587" s="131"/>
      <c r="S587" s="131"/>
      <c r="T587" s="131"/>
      <c r="U587" s="131"/>
      <c r="V587" s="131"/>
      <c r="W587" s="131"/>
      <c r="X587" s="131"/>
      <c r="Y587" s="131"/>
      <c r="Z587" s="131"/>
    </row>
    <row r="588">
      <c r="A588" s="290"/>
      <c r="B588" s="290"/>
      <c r="C588" s="290"/>
      <c r="D588" s="290"/>
      <c r="E588" s="290"/>
      <c r="F588" s="290"/>
      <c r="G588" s="290"/>
      <c r="H588" s="290"/>
      <c r="I588" s="290"/>
      <c r="J588" s="290"/>
      <c r="K588" s="131"/>
      <c r="L588" s="131"/>
      <c r="M588" s="131"/>
      <c r="N588" s="131"/>
      <c r="O588" s="131"/>
      <c r="P588" s="131"/>
      <c r="Q588" s="131"/>
      <c r="R588" s="131"/>
      <c r="S588" s="131"/>
      <c r="T588" s="131"/>
      <c r="U588" s="131"/>
      <c r="V588" s="131"/>
      <c r="W588" s="131"/>
      <c r="X588" s="131"/>
      <c r="Y588" s="131"/>
      <c r="Z588" s="131"/>
    </row>
    <row r="589">
      <c r="A589" s="290"/>
      <c r="B589" s="290"/>
      <c r="C589" s="290"/>
      <c r="D589" s="290"/>
      <c r="E589" s="290"/>
      <c r="F589" s="290"/>
      <c r="G589" s="290"/>
      <c r="H589" s="290"/>
      <c r="I589" s="290"/>
      <c r="J589" s="290"/>
      <c r="K589" s="131"/>
      <c r="L589" s="131"/>
      <c r="M589" s="131"/>
      <c r="N589" s="131"/>
      <c r="O589" s="131"/>
      <c r="P589" s="131"/>
      <c r="Q589" s="131"/>
      <c r="R589" s="131"/>
      <c r="S589" s="131"/>
      <c r="T589" s="131"/>
      <c r="U589" s="131"/>
      <c r="V589" s="131"/>
      <c r="W589" s="131"/>
      <c r="X589" s="131"/>
      <c r="Y589" s="131"/>
      <c r="Z589" s="131"/>
    </row>
    <row r="590">
      <c r="A590" s="290"/>
      <c r="B590" s="290"/>
      <c r="C590" s="290"/>
      <c r="D590" s="290"/>
      <c r="E590" s="290"/>
      <c r="F590" s="290"/>
      <c r="G590" s="290"/>
      <c r="H590" s="290"/>
      <c r="I590" s="290"/>
      <c r="J590" s="290"/>
      <c r="K590" s="131"/>
      <c r="L590" s="131"/>
      <c r="M590" s="131"/>
      <c r="N590" s="131"/>
      <c r="O590" s="131"/>
      <c r="P590" s="131"/>
      <c r="Q590" s="131"/>
      <c r="R590" s="131"/>
      <c r="S590" s="131"/>
      <c r="T590" s="131"/>
      <c r="U590" s="131"/>
      <c r="V590" s="131"/>
      <c r="W590" s="131"/>
      <c r="X590" s="131"/>
      <c r="Y590" s="131"/>
      <c r="Z590" s="131"/>
    </row>
    <row r="591">
      <c r="A591" s="290"/>
      <c r="B591" s="290"/>
      <c r="C591" s="290"/>
      <c r="D591" s="290"/>
      <c r="E591" s="290"/>
      <c r="F591" s="290"/>
      <c r="G591" s="290"/>
      <c r="H591" s="290"/>
      <c r="I591" s="290"/>
      <c r="J591" s="290"/>
      <c r="K591" s="131"/>
      <c r="L591" s="131"/>
      <c r="M591" s="131"/>
      <c r="N591" s="131"/>
      <c r="O591" s="131"/>
      <c r="P591" s="131"/>
      <c r="Q591" s="131"/>
      <c r="R591" s="131"/>
      <c r="S591" s="131"/>
      <c r="T591" s="131"/>
      <c r="U591" s="131"/>
      <c r="V591" s="131"/>
      <c r="W591" s="131"/>
      <c r="X591" s="131"/>
      <c r="Y591" s="131"/>
      <c r="Z591" s="131"/>
    </row>
    <row r="592">
      <c r="A592" s="290"/>
      <c r="B592" s="290"/>
      <c r="C592" s="290"/>
      <c r="D592" s="290"/>
      <c r="E592" s="290"/>
      <c r="F592" s="290"/>
      <c r="G592" s="290"/>
      <c r="H592" s="290"/>
      <c r="I592" s="290"/>
      <c r="J592" s="290"/>
      <c r="K592" s="131"/>
      <c r="L592" s="131"/>
      <c r="M592" s="131"/>
      <c r="N592" s="131"/>
      <c r="O592" s="131"/>
      <c r="P592" s="131"/>
      <c r="Q592" s="131"/>
      <c r="R592" s="131"/>
      <c r="S592" s="131"/>
      <c r="T592" s="131"/>
      <c r="U592" s="131"/>
      <c r="V592" s="131"/>
      <c r="W592" s="131"/>
      <c r="X592" s="131"/>
      <c r="Y592" s="131"/>
      <c r="Z592" s="131"/>
    </row>
    <row r="593">
      <c r="A593" s="290"/>
      <c r="B593" s="290"/>
      <c r="C593" s="290"/>
      <c r="D593" s="290"/>
      <c r="E593" s="290"/>
      <c r="F593" s="290"/>
      <c r="G593" s="290"/>
      <c r="H593" s="290"/>
      <c r="I593" s="290"/>
      <c r="J593" s="290"/>
      <c r="K593" s="131"/>
      <c r="L593" s="131"/>
      <c r="M593" s="131"/>
      <c r="N593" s="131"/>
      <c r="O593" s="131"/>
      <c r="P593" s="131"/>
      <c r="Q593" s="131"/>
      <c r="R593" s="131"/>
      <c r="S593" s="131"/>
      <c r="T593" s="131"/>
      <c r="U593" s="131"/>
      <c r="V593" s="131"/>
      <c r="W593" s="131"/>
      <c r="X593" s="131"/>
      <c r="Y593" s="131"/>
      <c r="Z593" s="131"/>
    </row>
    <row r="594">
      <c r="A594" s="290"/>
      <c r="B594" s="290"/>
      <c r="C594" s="290"/>
      <c r="D594" s="290"/>
      <c r="E594" s="290"/>
      <c r="F594" s="290"/>
      <c r="G594" s="290"/>
      <c r="H594" s="290"/>
      <c r="I594" s="290"/>
      <c r="J594" s="290"/>
      <c r="K594" s="131"/>
      <c r="L594" s="131"/>
      <c r="M594" s="131"/>
      <c r="N594" s="131"/>
      <c r="O594" s="131"/>
      <c r="P594" s="131"/>
      <c r="Q594" s="131"/>
      <c r="R594" s="131"/>
      <c r="S594" s="131"/>
      <c r="T594" s="131"/>
      <c r="U594" s="131"/>
      <c r="V594" s="131"/>
      <c r="W594" s="131"/>
      <c r="X594" s="131"/>
      <c r="Y594" s="131"/>
      <c r="Z594" s="131"/>
    </row>
    <row r="595">
      <c r="A595" s="290"/>
      <c r="B595" s="290"/>
      <c r="C595" s="290"/>
      <c r="D595" s="290"/>
      <c r="E595" s="290"/>
      <c r="F595" s="290"/>
      <c r="G595" s="290"/>
      <c r="H595" s="290"/>
      <c r="I595" s="290"/>
      <c r="J595" s="290"/>
      <c r="K595" s="131"/>
      <c r="L595" s="131"/>
      <c r="M595" s="131"/>
      <c r="N595" s="131"/>
      <c r="O595" s="131"/>
      <c r="P595" s="131"/>
      <c r="Q595" s="131"/>
      <c r="R595" s="131"/>
      <c r="S595" s="131"/>
      <c r="T595" s="131"/>
      <c r="U595" s="131"/>
      <c r="V595" s="131"/>
      <c r="W595" s="131"/>
      <c r="X595" s="131"/>
      <c r="Y595" s="131"/>
      <c r="Z595" s="131"/>
    </row>
    <row r="596">
      <c r="A596" s="290"/>
      <c r="B596" s="290"/>
      <c r="C596" s="290"/>
      <c r="D596" s="290"/>
      <c r="E596" s="290"/>
      <c r="F596" s="290"/>
      <c r="G596" s="290"/>
      <c r="H596" s="290"/>
      <c r="I596" s="290"/>
      <c r="J596" s="290"/>
      <c r="K596" s="131"/>
      <c r="L596" s="131"/>
      <c r="M596" s="131"/>
      <c r="N596" s="131"/>
      <c r="O596" s="131"/>
      <c r="P596" s="131"/>
      <c r="Q596" s="131"/>
      <c r="R596" s="131"/>
      <c r="S596" s="131"/>
      <c r="T596" s="131"/>
      <c r="U596" s="131"/>
      <c r="V596" s="131"/>
      <c r="W596" s="131"/>
      <c r="X596" s="131"/>
      <c r="Y596" s="131"/>
      <c r="Z596" s="131"/>
    </row>
    <row r="597">
      <c r="A597" s="290"/>
      <c r="B597" s="290"/>
      <c r="C597" s="290"/>
      <c r="D597" s="290"/>
      <c r="E597" s="290"/>
      <c r="F597" s="290"/>
      <c r="G597" s="290"/>
      <c r="H597" s="290"/>
      <c r="I597" s="290"/>
      <c r="J597" s="290"/>
      <c r="K597" s="131"/>
      <c r="L597" s="131"/>
      <c r="M597" s="131"/>
      <c r="N597" s="131"/>
      <c r="O597" s="131"/>
      <c r="P597" s="131"/>
      <c r="Q597" s="131"/>
      <c r="R597" s="131"/>
      <c r="S597" s="131"/>
      <c r="T597" s="131"/>
      <c r="U597" s="131"/>
      <c r="V597" s="131"/>
      <c r="W597" s="131"/>
      <c r="X597" s="131"/>
      <c r="Y597" s="131"/>
      <c r="Z597" s="131"/>
    </row>
    <row r="598">
      <c r="A598" s="290"/>
      <c r="B598" s="290"/>
      <c r="C598" s="290"/>
      <c r="D598" s="290"/>
      <c r="E598" s="290"/>
      <c r="F598" s="290"/>
      <c r="G598" s="290"/>
      <c r="H598" s="290"/>
      <c r="I598" s="290"/>
      <c r="J598" s="290"/>
      <c r="K598" s="131"/>
      <c r="L598" s="131"/>
      <c r="M598" s="131"/>
      <c r="N598" s="131"/>
      <c r="O598" s="131"/>
      <c r="P598" s="131"/>
      <c r="Q598" s="131"/>
      <c r="R598" s="131"/>
      <c r="S598" s="131"/>
      <c r="T598" s="131"/>
      <c r="U598" s="131"/>
      <c r="V598" s="131"/>
      <c r="W598" s="131"/>
      <c r="X598" s="131"/>
      <c r="Y598" s="131"/>
      <c r="Z598" s="131"/>
    </row>
    <row r="599">
      <c r="A599" s="290"/>
      <c r="B599" s="290"/>
      <c r="C599" s="290"/>
      <c r="D599" s="290"/>
      <c r="E599" s="290"/>
      <c r="F599" s="290"/>
      <c r="G599" s="290"/>
      <c r="H599" s="290"/>
      <c r="I599" s="290"/>
      <c r="J599" s="290"/>
      <c r="K599" s="131"/>
      <c r="L599" s="131"/>
      <c r="M599" s="131"/>
      <c r="N599" s="131"/>
      <c r="O599" s="131"/>
      <c r="P599" s="131"/>
      <c r="Q599" s="131"/>
      <c r="R599" s="131"/>
      <c r="S599" s="131"/>
      <c r="T599" s="131"/>
      <c r="U599" s="131"/>
      <c r="V599" s="131"/>
      <c r="W599" s="131"/>
      <c r="X599" s="131"/>
      <c r="Y599" s="131"/>
      <c r="Z599" s="131"/>
    </row>
    <row r="600">
      <c r="A600" s="290"/>
      <c r="B600" s="290"/>
      <c r="C600" s="290"/>
      <c r="D600" s="290"/>
      <c r="E600" s="290"/>
      <c r="F600" s="290"/>
      <c r="G600" s="290"/>
      <c r="H600" s="290"/>
      <c r="I600" s="290"/>
      <c r="J600" s="290"/>
      <c r="K600" s="131"/>
      <c r="L600" s="131"/>
      <c r="M600" s="131"/>
      <c r="N600" s="131"/>
      <c r="O600" s="131"/>
      <c r="P600" s="131"/>
      <c r="Q600" s="131"/>
      <c r="R600" s="131"/>
      <c r="S600" s="131"/>
      <c r="T600" s="131"/>
      <c r="U600" s="131"/>
      <c r="V600" s="131"/>
      <c r="W600" s="131"/>
      <c r="X600" s="131"/>
      <c r="Y600" s="131"/>
      <c r="Z600" s="131"/>
    </row>
    <row r="601">
      <c r="A601" s="290"/>
      <c r="B601" s="290"/>
      <c r="C601" s="290"/>
      <c r="D601" s="290"/>
      <c r="E601" s="290"/>
      <c r="F601" s="290"/>
      <c r="G601" s="290"/>
      <c r="H601" s="290"/>
      <c r="I601" s="290"/>
      <c r="J601" s="290"/>
      <c r="K601" s="131"/>
      <c r="L601" s="131"/>
      <c r="M601" s="131"/>
      <c r="N601" s="131"/>
      <c r="O601" s="131"/>
      <c r="P601" s="131"/>
      <c r="Q601" s="131"/>
      <c r="R601" s="131"/>
      <c r="S601" s="131"/>
      <c r="T601" s="131"/>
      <c r="U601" s="131"/>
      <c r="V601" s="131"/>
      <c r="W601" s="131"/>
      <c r="X601" s="131"/>
      <c r="Y601" s="131"/>
      <c r="Z601" s="131"/>
    </row>
    <row r="602">
      <c r="A602" s="290"/>
      <c r="B602" s="290"/>
      <c r="C602" s="290"/>
      <c r="D602" s="290"/>
      <c r="E602" s="290"/>
      <c r="F602" s="290"/>
      <c r="G602" s="290"/>
      <c r="H602" s="290"/>
      <c r="I602" s="290"/>
      <c r="J602" s="290"/>
      <c r="K602" s="131"/>
      <c r="L602" s="131"/>
      <c r="M602" s="131"/>
      <c r="N602" s="131"/>
      <c r="O602" s="131"/>
      <c r="P602" s="131"/>
      <c r="Q602" s="131"/>
      <c r="R602" s="131"/>
      <c r="S602" s="131"/>
      <c r="T602" s="131"/>
      <c r="U602" s="131"/>
      <c r="V602" s="131"/>
      <c r="W602" s="131"/>
      <c r="X602" s="131"/>
      <c r="Y602" s="131"/>
      <c r="Z602" s="131"/>
    </row>
    <row r="603">
      <c r="A603" s="290"/>
      <c r="B603" s="290"/>
      <c r="C603" s="290"/>
      <c r="D603" s="290"/>
      <c r="E603" s="290"/>
      <c r="F603" s="290"/>
      <c r="G603" s="290"/>
      <c r="H603" s="290"/>
      <c r="I603" s="290"/>
      <c r="J603" s="290"/>
      <c r="K603" s="131"/>
      <c r="L603" s="131"/>
      <c r="M603" s="131"/>
      <c r="N603" s="131"/>
      <c r="O603" s="131"/>
      <c r="P603" s="131"/>
      <c r="Q603" s="131"/>
      <c r="R603" s="131"/>
      <c r="S603" s="131"/>
      <c r="T603" s="131"/>
      <c r="U603" s="131"/>
      <c r="V603" s="131"/>
      <c r="W603" s="131"/>
      <c r="X603" s="131"/>
      <c r="Y603" s="131"/>
      <c r="Z603" s="131"/>
    </row>
    <row r="604">
      <c r="A604" s="290"/>
      <c r="B604" s="290"/>
      <c r="C604" s="290"/>
      <c r="D604" s="290"/>
      <c r="E604" s="290"/>
      <c r="F604" s="290"/>
      <c r="G604" s="290"/>
      <c r="H604" s="290"/>
      <c r="I604" s="290"/>
      <c r="J604" s="290"/>
      <c r="K604" s="131"/>
      <c r="L604" s="131"/>
      <c r="M604" s="131"/>
      <c r="N604" s="131"/>
      <c r="O604" s="131"/>
      <c r="P604" s="131"/>
      <c r="Q604" s="131"/>
      <c r="R604" s="131"/>
      <c r="S604" s="131"/>
      <c r="T604" s="131"/>
      <c r="U604" s="131"/>
      <c r="V604" s="131"/>
      <c r="W604" s="131"/>
      <c r="X604" s="131"/>
      <c r="Y604" s="131"/>
      <c r="Z604" s="131"/>
    </row>
    <row r="605">
      <c r="A605" s="290"/>
      <c r="B605" s="290"/>
      <c r="C605" s="290"/>
      <c r="D605" s="290"/>
      <c r="E605" s="290"/>
      <c r="F605" s="290"/>
      <c r="G605" s="290"/>
      <c r="H605" s="290"/>
      <c r="I605" s="290"/>
      <c r="J605" s="290"/>
      <c r="K605" s="131"/>
      <c r="L605" s="131"/>
      <c r="M605" s="131"/>
      <c r="N605" s="131"/>
      <c r="O605" s="131"/>
      <c r="P605" s="131"/>
      <c r="Q605" s="131"/>
      <c r="R605" s="131"/>
      <c r="S605" s="131"/>
      <c r="T605" s="131"/>
      <c r="U605" s="131"/>
      <c r="V605" s="131"/>
      <c r="W605" s="131"/>
      <c r="X605" s="131"/>
      <c r="Y605" s="131"/>
      <c r="Z605" s="131"/>
    </row>
    <row r="606">
      <c r="A606" s="290"/>
      <c r="B606" s="290"/>
      <c r="C606" s="290"/>
      <c r="D606" s="290"/>
      <c r="E606" s="290"/>
      <c r="F606" s="290"/>
      <c r="G606" s="290"/>
      <c r="H606" s="290"/>
      <c r="I606" s="290"/>
      <c r="J606" s="290"/>
      <c r="K606" s="131"/>
      <c r="L606" s="131"/>
      <c r="M606" s="131"/>
      <c r="N606" s="131"/>
      <c r="O606" s="131"/>
      <c r="P606" s="131"/>
      <c r="Q606" s="131"/>
      <c r="R606" s="131"/>
      <c r="S606" s="131"/>
      <c r="T606" s="131"/>
      <c r="U606" s="131"/>
      <c r="V606" s="131"/>
      <c r="W606" s="131"/>
      <c r="X606" s="131"/>
      <c r="Y606" s="131"/>
      <c r="Z606" s="131"/>
    </row>
    <row r="607">
      <c r="A607" s="290"/>
      <c r="B607" s="290"/>
      <c r="C607" s="290"/>
      <c r="D607" s="290"/>
      <c r="E607" s="290"/>
      <c r="F607" s="290"/>
      <c r="G607" s="290"/>
      <c r="H607" s="290"/>
      <c r="I607" s="290"/>
      <c r="J607" s="290"/>
      <c r="K607" s="131"/>
      <c r="L607" s="131"/>
      <c r="M607" s="131"/>
      <c r="N607" s="131"/>
      <c r="O607" s="131"/>
      <c r="P607" s="131"/>
      <c r="Q607" s="131"/>
      <c r="R607" s="131"/>
      <c r="S607" s="131"/>
      <c r="T607" s="131"/>
      <c r="U607" s="131"/>
      <c r="V607" s="131"/>
      <c r="W607" s="131"/>
      <c r="X607" s="131"/>
      <c r="Y607" s="131"/>
      <c r="Z607" s="131"/>
    </row>
    <row r="608">
      <c r="A608" s="290"/>
      <c r="B608" s="290"/>
      <c r="C608" s="290"/>
      <c r="D608" s="290"/>
      <c r="E608" s="290"/>
      <c r="F608" s="290"/>
      <c r="G608" s="290"/>
      <c r="H608" s="290"/>
      <c r="I608" s="290"/>
      <c r="J608" s="290"/>
      <c r="K608" s="131"/>
      <c r="L608" s="131"/>
      <c r="M608" s="131"/>
      <c r="N608" s="131"/>
      <c r="O608" s="131"/>
      <c r="P608" s="131"/>
      <c r="Q608" s="131"/>
      <c r="R608" s="131"/>
      <c r="S608" s="131"/>
      <c r="T608" s="131"/>
      <c r="U608" s="131"/>
      <c r="V608" s="131"/>
      <c r="W608" s="131"/>
      <c r="X608" s="131"/>
      <c r="Y608" s="131"/>
      <c r="Z608" s="131"/>
    </row>
    <row r="609">
      <c r="A609" s="290"/>
      <c r="B609" s="290"/>
      <c r="C609" s="290"/>
      <c r="D609" s="290"/>
      <c r="E609" s="290"/>
      <c r="F609" s="290"/>
      <c r="G609" s="290"/>
      <c r="H609" s="290"/>
      <c r="I609" s="290"/>
      <c r="J609" s="290"/>
      <c r="K609" s="131"/>
      <c r="L609" s="131"/>
      <c r="M609" s="131"/>
      <c r="N609" s="131"/>
      <c r="O609" s="131"/>
      <c r="P609" s="131"/>
      <c r="Q609" s="131"/>
      <c r="R609" s="131"/>
      <c r="S609" s="131"/>
      <c r="T609" s="131"/>
      <c r="U609" s="131"/>
      <c r="V609" s="131"/>
      <c r="W609" s="131"/>
      <c r="X609" s="131"/>
      <c r="Y609" s="131"/>
      <c r="Z609" s="131"/>
    </row>
    <row r="610">
      <c r="A610" s="290"/>
      <c r="B610" s="290"/>
      <c r="C610" s="290"/>
      <c r="D610" s="290"/>
      <c r="E610" s="290"/>
      <c r="F610" s="290"/>
      <c r="G610" s="290"/>
      <c r="H610" s="290"/>
      <c r="I610" s="290"/>
      <c r="J610" s="290"/>
      <c r="K610" s="131"/>
      <c r="L610" s="131"/>
      <c r="M610" s="131"/>
      <c r="N610" s="131"/>
      <c r="O610" s="131"/>
      <c r="P610" s="131"/>
      <c r="Q610" s="131"/>
      <c r="R610" s="131"/>
      <c r="S610" s="131"/>
      <c r="T610" s="131"/>
      <c r="U610" s="131"/>
      <c r="V610" s="131"/>
      <c r="W610" s="131"/>
      <c r="X610" s="131"/>
      <c r="Y610" s="131"/>
      <c r="Z610" s="131"/>
    </row>
    <row r="611">
      <c r="A611" s="290"/>
      <c r="B611" s="290"/>
      <c r="C611" s="290"/>
      <c r="D611" s="290"/>
      <c r="E611" s="290"/>
      <c r="F611" s="290"/>
      <c r="G611" s="290"/>
      <c r="H611" s="290"/>
      <c r="I611" s="290"/>
      <c r="J611" s="290"/>
      <c r="K611" s="131"/>
      <c r="L611" s="131"/>
      <c r="M611" s="131"/>
      <c r="N611" s="131"/>
      <c r="O611" s="131"/>
      <c r="P611" s="131"/>
      <c r="Q611" s="131"/>
      <c r="R611" s="131"/>
      <c r="S611" s="131"/>
      <c r="T611" s="131"/>
      <c r="U611" s="131"/>
      <c r="V611" s="131"/>
      <c r="W611" s="131"/>
      <c r="X611" s="131"/>
      <c r="Y611" s="131"/>
      <c r="Z611" s="131"/>
    </row>
    <row r="612">
      <c r="A612" s="290"/>
      <c r="B612" s="290"/>
      <c r="C612" s="290"/>
      <c r="D612" s="290"/>
      <c r="E612" s="290"/>
      <c r="F612" s="290"/>
      <c r="G612" s="290"/>
      <c r="H612" s="290"/>
      <c r="I612" s="290"/>
      <c r="J612" s="290"/>
      <c r="K612" s="131"/>
      <c r="L612" s="131"/>
      <c r="M612" s="131"/>
      <c r="N612" s="131"/>
      <c r="O612" s="131"/>
      <c r="P612" s="131"/>
      <c r="Q612" s="131"/>
      <c r="R612" s="131"/>
      <c r="S612" s="131"/>
      <c r="T612" s="131"/>
      <c r="U612" s="131"/>
      <c r="V612" s="131"/>
      <c r="W612" s="131"/>
      <c r="X612" s="131"/>
      <c r="Y612" s="131"/>
      <c r="Z612" s="131"/>
    </row>
    <row r="613">
      <c r="A613" s="290"/>
      <c r="B613" s="290"/>
      <c r="C613" s="290"/>
      <c r="D613" s="290"/>
      <c r="E613" s="290"/>
      <c r="F613" s="290"/>
      <c r="G613" s="290"/>
      <c r="H613" s="290"/>
      <c r="I613" s="290"/>
      <c r="J613" s="290"/>
      <c r="K613" s="131"/>
      <c r="L613" s="131"/>
      <c r="M613" s="131"/>
      <c r="N613" s="131"/>
      <c r="O613" s="131"/>
      <c r="P613" s="131"/>
      <c r="Q613" s="131"/>
      <c r="R613" s="131"/>
      <c r="S613" s="131"/>
      <c r="T613" s="131"/>
      <c r="U613" s="131"/>
      <c r="V613" s="131"/>
      <c r="W613" s="131"/>
      <c r="X613" s="131"/>
      <c r="Y613" s="131"/>
      <c r="Z613" s="131"/>
    </row>
    <row r="614">
      <c r="A614" s="290"/>
      <c r="B614" s="290"/>
      <c r="C614" s="290"/>
      <c r="D614" s="290"/>
      <c r="E614" s="290"/>
      <c r="F614" s="290"/>
      <c r="G614" s="290"/>
      <c r="H614" s="290"/>
      <c r="I614" s="290"/>
      <c r="J614" s="290"/>
      <c r="K614" s="131"/>
      <c r="L614" s="131"/>
      <c r="M614" s="131"/>
      <c r="N614" s="131"/>
      <c r="O614" s="131"/>
      <c r="P614" s="131"/>
      <c r="Q614" s="131"/>
      <c r="R614" s="131"/>
      <c r="S614" s="131"/>
      <c r="T614" s="131"/>
      <c r="U614" s="131"/>
      <c r="V614" s="131"/>
      <c r="W614" s="131"/>
      <c r="X614" s="131"/>
      <c r="Y614" s="131"/>
      <c r="Z614" s="131"/>
    </row>
    <row r="615">
      <c r="A615" s="290"/>
      <c r="B615" s="290"/>
      <c r="C615" s="290"/>
      <c r="D615" s="290"/>
      <c r="E615" s="290"/>
      <c r="F615" s="290"/>
      <c r="G615" s="290"/>
      <c r="H615" s="290"/>
      <c r="I615" s="290"/>
      <c r="J615" s="290"/>
      <c r="K615" s="131"/>
      <c r="L615" s="131"/>
      <c r="M615" s="131"/>
      <c r="N615" s="131"/>
      <c r="O615" s="131"/>
      <c r="P615" s="131"/>
      <c r="Q615" s="131"/>
      <c r="R615" s="131"/>
      <c r="S615" s="131"/>
      <c r="T615" s="131"/>
      <c r="U615" s="131"/>
      <c r="V615" s="131"/>
      <c r="W615" s="131"/>
      <c r="X615" s="131"/>
      <c r="Y615" s="131"/>
      <c r="Z615" s="131"/>
    </row>
    <row r="616">
      <c r="A616" s="290"/>
      <c r="B616" s="290"/>
      <c r="C616" s="290"/>
      <c r="D616" s="290"/>
      <c r="E616" s="290"/>
      <c r="F616" s="290"/>
      <c r="G616" s="290"/>
      <c r="H616" s="290"/>
      <c r="I616" s="290"/>
      <c r="J616" s="290"/>
      <c r="K616" s="131"/>
      <c r="L616" s="131"/>
      <c r="M616" s="131"/>
      <c r="N616" s="131"/>
      <c r="O616" s="131"/>
      <c r="P616" s="131"/>
      <c r="Q616" s="131"/>
      <c r="R616" s="131"/>
      <c r="S616" s="131"/>
      <c r="T616" s="131"/>
      <c r="U616" s="131"/>
      <c r="V616" s="131"/>
      <c r="W616" s="131"/>
      <c r="X616" s="131"/>
      <c r="Y616" s="131"/>
      <c r="Z616" s="131"/>
    </row>
    <row r="617">
      <c r="A617" s="290"/>
      <c r="B617" s="290"/>
      <c r="C617" s="290"/>
      <c r="D617" s="290"/>
      <c r="E617" s="290"/>
      <c r="F617" s="290"/>
      <c r="G617" s="290"/>
      <c r="H617" s="290"/>
      <c r="I617" s="290"/>
      <c r="J617" s="290"/>
      <c r="K617" s="131"/>
      <c r="L617" s="131"/>
      <c r="M617" s="131"/>
      <c r="N617" s="131"/>
      <c r="O617" s="131"/>
      <c r="P617" s="131"/>
      <c r="Q617" s="131"/>
      <c r="R617" s="131"/>
      <c r="S617" s="131"/>
      <c r="T617" s="131"/>
      <c r="U617" s="131"/>
      <c r="V617" s="131"/>
      <c r="W617" s="131"/>
      <c r="X617" s="131"/>
      <c r="Y617" s="131"/>
      <c r="Z617" s="131"/>
    </row>
    <row r="618">
      <c r="A618" s="290"/>
      <c r="B618" s="290"/>
      <c r="C618" s="290"/>
      <c r="D618" s="290"/>
      <c r="E618" s="290"/>
      <c r="F618" s="290"/>
      <c r="G618" s="290"/>
      <c r="H618" s="290"/>
      <c r="I618" s="290"/>
      <c r="J618" s="290"/>
      <c r="K618" s="131"/>
      <c r="L618" s="131"/>
      <c r="M618" s="131"/>
      <c r="N618" s="131"/>
      <c r="O618" s="131"/>
      <c r="P618" s="131"/>
      <c r="Q618" s="131"/>
      <c r="R618" s="131"/>
      <c r="S618" s="131"/>
      <c r="T618" s="131"/>
      <c r="U618" s="131"/>
      <c r="V618" s="131"/>
      <c r="W618" s="131"/>
      <c r="X618" s="131"/>
      <c r="Y618" s="131"/>
      <c r="Z618" s="131"/>
    </row>
    <row r="619">
      <c r="A619" s="290"/>
      <c r="B619" s="290"/>
      <c r="C619" s="290"/>
      <c r="D619" s="290"/>
      <c r="E619" s="290"/>
      <c r="F619" s="290"/>
      <c r="G619" s="290"/>
      <c r="H619" s="290"/>
      <c r="I619" s="290"/>
      <c r="J619" s="290"/>
      <c r="K619" s="131"/>
      <c r="L619" s="131"/>
      <c r="M619" s="131"/>
      <c r="N619" s="131"/>
      <c r="O619" s="131"/>
      <c r="P619" s="131"/>
      <c r="Q619" s="131"/>
      <c r="R619" s="131"/>
      <c r="S619" s="131"/>
      <c r="T619" s="131"/>
      <c r="U619" s="131"/>
      <c r="V619" s="131"/>
      <c r="W619" s="131"/>
      <c r="X619" s="131"/>
      <c r="Y619" s="131"/>
      <c r="Z619" s="131"/>
    </row>
    <row r="620">
      <c r="A620" s="290"/>
      <c r="B620" s="290"/>
      <c r="C620" s="290"/>
      <c r="D620" s="290"/>
      <c r="E620" s="290"/>
      <c r="F620" s="290"/>
      <c r="G620" s="290"/>
      <c r="H620" s="290"/>
      <c r="I620" s="290"/>
      <c r="J620" s="290"/>
      <c r="K620" s="131"/>
      <c r="L620" s="131"/>
      <c r="M620" s="131"/>
      <c r="N620" s="131"/>
      <c r="O620" s="131"/>
      <c r="P620" s="131"/>
      <c r="Q620" s="131"/>
      <c r="R620" s="131"/>
      <c r="S620" s="131"/>
      <c r="T620" s="131"/>
      <c r="U620" s="131"/>
      <c r="V620" s="131"/>
      <c r="W620" s="131"/>
      <c r="X620" s="131"/>
      <c r="Y620" s="131"/>
      <c r="Z620" s="131"/>
    </row>
    <row r="621">
      <c r="A621" s="290"/>
      <c r="B621" s="290"/>
      <c r="C621" s="290"/>
      <c r="D621" s="290"/>
      <c r="E621" s="290"/>
      <c r="F621" s="290"/>
      <c r="G621" s="290"/>
      <c r="H621" s="290"/>
      <c r="I621" s="290"/>
      <c r="J621" s="290"/>
      <c r="K621" s="131"/>
      <c r="L621" s="131"/>
      <c r="M621" s="131"/>
      <c r="N621" s="131"/>
      <c r="O621" s="131"/>
      <c r="P621" s="131"/>
      <c r="Q621" s="131"/>
      <c r="R621" s="131"/>
      <c r="S621" s="131"/>
      <c r="T621" s="131"/>
      <c r="U621" s="131"/>
      <c r="V621" s="131"/>
      <c r="W621" s="131"/>
      <c r="X621" s="131"/>
      <c r="Y621" s="131"/>
      <c r="Z621" s="131"/>
    </row>
    <row r="622">
      <c r="A622" s="290"/>
      <c r="B622" s="290"/>
      <c r="C622" s="290"/>
      <c r="D622" s="290"/>
      <c r="E622" s="290"/>
      <c r="F622" s="290"/>
      <c r="G622" s="290"/>
      <c r="H622" s="290"/>
      <c r="I622" s="290"/>
      <c r="J622" s="290"/>
      <c r="K622" s="131"/>
      <c r="L622" s="131"/>
      <c r="M622" s="131"/>
      <c r="N622" s="131"/>
      <c r="O622" s="131"/>
      <c r="P622" s="131"/>
      <c r="Q622" s="131"/>
      <c r="R622" s="131"/>
      <c r="S622" s="131"/>
      <c r="T622" s="131"/>
      <c r="U622" s="131"/>
      <c r="V622" s="131"/>
      <c r="W622" s="131"/>
      <c r="X622" s="131"/>
      <c r="Y622" s="131"/>
      <c r="Z622" s="131"/>
    </row>
    <row r="623">
      <c r="A623" s="290"/>
      <c r="B623" s="290"/>
      <c r="C623" s="290"/>
      <c r="D623" s="290"/>
      <c r="E623" s="290"/>
      <c r="F623" s="290"/>
      <c r="G623" s="290"/>
      <c r="H623" s="290"/>
      <c r="I623" s="290"/>
      <c r="J623" s="290"/>
      <c r="K623" s="131"/>
      <c r="L623" s="131"/>
      <c r="M623" s="131"/>
      <c r="N623" s="131"/>
      <c r="O623" s="131"/>
      <c r="P623" s="131"/>
      <c r="Q623" s="131"/>
      <c r="R623" s="131"/>
      <c r="S623" s="131"/>
      <c r="T623" s="131"/>
      <c r="U623" s="131"/>
      <c r="V623" s="131"/>
      <c r="W623" s="131"/>
      <c r="X623" s="131"/>
      <c r="Y623" s="131"/>
      <c r="Z623" s="131"/>
    </row>
    <row r="624">
      <c r="A624" s="290"/>
      <c r="B624" s="290"/>
      <c r="C624" s="290"/>
      <c r="D624" s="290"/>
      <c r="E624" s="290"/>
      <c r="F624" s="290"/>
      <c r="G624" s="290"/>
      <c r="H624" s="290"/>
      <c r="I624" s="290"/>
      <c r="J624" s="290"/>
      <c r="K624" s="131"/>
      <c r="L624" s="131"/>
      <c r="M624" s="131"/>
      <c r="N624" s="131"/>
      <c r="O624" s="131"/>
      <c r="P624" s="131"/>
      <c r="Q624" s="131"/>
      <c r="R624" s="131"/>
      <c r="S624" s="131"/>
      <c r="T624" s="131"/>
      <c r="U624" s="131"/>
      <c r="V624" s="131"/>
      <c r="W624" s="131"/>
      <c r="X624" s="131"/>
      <c r="Y624" s="131"/>
      <c r="Z624" s="131"/>
    </row>
    <row r="625">
      <c r="A625" s="290"/>
      <c r="B625" s="290"/>
      <c r="C625" s="290"/>
      <c r="D625" s="290"/>
      <c r="E625" s="290"/>
      <c r="F625" s="290"/>
      <c r="G625" s="290"/>
      <c r="H625" s="290"/>
      <c r="I625" s="290"/>
      <c r="J625" s="290"/>
      <c r="K625" s="131"/>
      <c r="L625" s="131"/>
      <c r="M625" s="131"/>
      <c r="N625" s="131"/>
      <c r="O625" s="131"/>
      <c r="P625" s="131"/>
      <c r="Q625" s="131"/>
      <c r="R625" s="131"/>
      <c r="S625" s="131"/>
      <c r="T625" s="131"/>
      <c r="U625" s="131"/>
      <c r="V625" s="131"/>
      <c r="W625" s="131"/>
      <c r="X625" s="131"/>
      <c r="Y625" s="131"/>
      <c r="Z625" s="131"/>
    </row>
    <row r="626">
      <c r="A626" s="290"/>
      <c r="B626" s="290"/>
      <c r="C626" s="290"/>
      <c r="D626" s="290"/>
      <c r="E626" s="290"/>
      <c r="F626" s="290"/>
      <c r="G626" s="290"/>
      <c r="H626" s="290"/>
      <c r="I626" s="290"/>
      <c r="J626" s="290"/>
      <c r="K626" s="131"/>
      <c r="L626" s="131"/>
      <c r="M626" s="131"/>
      <c r="N626" s="131"/>
      <c r="O626" s="131"/>
      <c r="P626" s="131"/>
      <c r="Q626" s="131"/>
      <c r="R626" s="131"/>
      <c r="S626" s="131"/>
      <c r="T626" s="131"/>
      <c r="U626" s="131"/>
      <c r="V626" s="131"/>
      <c r="W626" s="131"/>
      <c r="X626" s="131"/>
      <c r="Y626" s="131"/>
      <c r="Z626" s="131"/>
    </row>
    <row r="627">
      <c r="A627" s="290"/>
      <c r="B627" s="290"/>
      <c r="C627" s="290"/>
      <c r="D627" s="290"/>
      <c r="E627" s="290"/>
      <c r="F627" s="290"/>
      <c r="G627" s="290"/>
      <c r="H627" s="290"/>
      <c r="I627" s="290"/>
      <c r="J627" s="290"/>
      <c r="K627" s="131"/>
      <c r="L627" s="131"/>
      <c r="M627" s="131"/>
      <c r="N627" s="131"/>
      <c r="O627" s="131"/>
      <c r="P627" s="131"/>
      <c r="Q627" s="131"/>
      <c r="R627" s="131"/>
      <c r="S627" s="131"/>
      <c r="T627" s="131"/>
      <c r="U627" s="131"/>
      <c r="V627" s="131"/>
      <c r="W627" s="131"/>
      <c r="X627" s="131"/>
      <c r="Y627" s="131"/>
      <c r="Z627" s="131"/>
    </row>
    <row r="628">
      <c r="A628" s="290"/>
      <c r="B628" s="290"/>
      <c r="C628" s="290"/>
      <c r="D628" s="290"/>
      <c r="E628" s="290"/>
      <c r="F628" s="290"/>
      <c r="G628" s="290"/>
      <c r="H628" s="290"/>
      <c r="I628" s="290"/>
      <c r="J628" s="290"/>
      <c r="K628" s="131"/>
      <c r="L628" s="131"/>
      <c r="M628" s="131"/>
      <c r="N628" s="131"/>
      <c r="O628" s="131"/>
      <c r="P628" s="131"/>
      <c r="Q628" s="131"/>
      <c r="R628" s="131"/>
      <c r="S628" s="131"/>
      <c r="T628" s="131"/>
      <c r="U628" s="131"/>
      <c r="V628" s="131"/>
      <c r="W628" s="131"/>
      <c r="X628" s="131"/>
      <c r="Y628" s="131"/>
      <c r="Z628" s="131"/>
    </row>
    <row r="629">
      <c r="A629" s="290"/>
      <c r="B629" s="290"/>
      <c r="C629" s="290"/>
      <c r="D629" s="290"/>
      <c r="E629" s="290"/>
      <c r="F629" s="290"/>
      <c r="G629" s="290"/>
      <c r="H629" s="290"/>
      <c r="I629" s="290"/>
      <c r="J629" s="290"/>
      <c r="K629" s="131"/>
      <c r="L629" s="131"/>
      <c r="M629" s="131"/>
      <c r="N629" s="131"/>
      <c r="O629" s="131"/>
      <c r="P629" s="131"/>
      <c r="Q629" s="131"/>
      <c r="R629" s="131"/>
      <c r="S629" s="131"/>
      <c r="T629" s="131"/>
      <c r="U629" s="131"/>
      <c r="V629" s="131"/>
      <c r="W629" s="131"/>
      <c r="X629" s="131"/>
      <c r="Y629" s="131"/>
      <c r="Z629" s="131"/>
    </row>
    <row r="630">
      <c r="A630" s="290"/>
      <c r="B630" s="290"/>
      <c r="C630" s="290"/>
      <c r="D630" s="290"/>
      <c r="E630" s="290"/>
      <c r="F630" s="290"/>
      <c r="G630" s="290"/>
      <c r="H630" s="290"/>
      <c r="I630" s="290"/>
      <c r="J630" s="290"/>
      <c r="K630" s="131"/>
      <c r="L630" s="131"/>
      <c r="M630" s="131"/>
      <c r="N630" s="131"/>
      <c r="O630" s="131"/>
      <c r="P630" s="131"/>
      <c r="Q630" s="131"/>
      <c r="R630" s="131"/>
      <c r="S630" s="131"/>
      <c r="T630" s="131"/>
      <c r="U630" s="131"/>
      <c r="V630" s="131"/>
      <c r="W630" s="131"/>
      <c r="X630" s="131"/>
      <c r="Y630" s="131"/>
      <c r="Z630" s="131"/>
    </row>
    <row r="631">
      <c r="A631" s="290"/>
      <c r="B631" s="290"/>
      <c r="C631" s="290"/>
      <c r="D631" s="290"/>
      <c r="E631" s="290"/>
      <c r="F631" s="290"/>
      <c r="G631" s="290"/>
      <c r="H631" s="290"/>
      <c r="I631" s="290"/>
      <c r="J631" s="290"/>
      <c r="K631" s="131"/>
      <c r="L631" s="131"/>
      <c r="M631" s="131"/>
      <c r="N631" s="131"/>
      <c r="O631" s="131"/>
      <c r="P631" s="131"/>
      <c r="Q631" s="131"/>
      <c r="R631" s="131"/>
      <c r="S631" s="131"/>
      <c r="T631" s="131"/>
      <c r="U631" s="131"/>
      <c r="V631" s="131"/>
      <c r="W631" s="131"/>
      <c r="X631" s="131"/>
      <c r="Y631" s="131"/>
      <c r="Z631" s="131"/>
    </row>
    <row r="632">
      <c r="A632" s="290"/>
      <c r="B632" s="290"/>
      <c r="C632" s="290"/>
      <c r="D632" s="290"/>
      <c r="E632" s="290"/>
      <c r="F632" s="290"/>
      <c r="G632" s="290"/>
      <c r="H632" s="290"/>
      <c r="I632" s="290"/>
      <c r="J632" s="290"/>
      <c r="K632" s="131"/>
      <c r="L632" s="131"/>
      <c r="M632" s="131"/>
      <c r="N632" s="131"/>
      <c r="O632" s="131"/>
      <c r="P632" s="131"/>
      <c r="Q632" s="131"/>
      <c r="R632" s="131"/>
      <c r="S632" s="131"/>
      <c r="T632" s="131"/>
      <c r="U632" s="131"/>
      <c r="V632" s="131"/>
      <c r="W632" s="131"/>
      <c r="X632" s="131"/>
      <c r="Y632" s="131"/>
      <c r="Z632" s="131"/>
    </row>
    <row r="633">
      <c r="A633" s="290"/>
      <c r="B633" s="290"/>
      <c r="C633" s="290"/>
      <c r="D633" s="290"/>
      <c r="E633" s="290"/>
      <c r="F633" s="290"/>
      <c r="G633" s="290"/>
      <c r="H633" s="290"/>
      <c r="I633" s="290"/>
      <c r="J633" s="290"/>
      <c r="K633" s="131"/>
      <c r="L633" s="131"/>
      <c r="M633" s="131"/>
      <c r="N633" s="131"/>
      <c r="O633" s="131"/>
      <c r="P633" s="131"/>
      <c r="Q633" s="131"/>
      <c r="R633" s="131"/>
      <c r="S633" s="131"/>
      <c r="T633" s="131"/>
      <c r="U633" s="131"/>
      <c r="V633" s="131"/>
      <c r="W633" s="131"/>
      <c r="X633" s="131"/>
      <c r="Y633" s="131"/>
      <c r="Z633" s="131"/>
    </row>
    <row r="634">
      <c r="A634" s="290"/>
      <c r="B634" s="290"/>
      <c r="C634" s="290"/>
      <c r="D634" s="290"/>
      <c r="E634" s="290"/>
      <c r="F634" s="290"/>
      <c r="G634" s="290"/>
      <c r="H634" s="290"/>
      <c r="I634" s="290"/>
      <c r="J634" s="290"/>
      <c r="K634" s="131"/>
      <c r="L634" s="131"/>
      <c r="M634" s="131"/>
      <c r="N634" s="131"/>
      <c r="O634" s="131"/>
      <c r="P634" s="131"/>
      <c r="Q634" s="131"/>
      <c r="R634" s="131"/>
      <c r="S634" s="131"/>
      <c r="T634" s="131"/>
      <c r="U634" s="131"/>
      <c r="V634" s="131"/>
      <c r="W634" s="131"/>
      <c r="X634" s="131"/>
      <c r="Y634" s="131"/>
      <c r="Z634" s="131"/>
    </row>
    <row r="635">
      <c r="A635" s="290"/>
      <c r="B635" s="290"/>
      <c r="C635" s="290"/>
      <c r="D635" s="290"/>
      <c r="E635" s="290"/>
      <c r="F635" s="290"/>
      <c r="G635" s="290"/>
      <c r="H635" s="290"/>
      <c r="I635" s="290"/>
      <c r="J635" s="290"/>
      <c r="K635" s="131"/>
      <c r="L635" s="131"/>
      <c r="M635" s="131"/>
      <c r="N635" s="131"/>
      <c r="O635" s="131"/>
      <c r="P635" s="131"/>
      <c r="Q635" s="131"/>
      <c r="R635" s="131"/>
      <c r="S635" s="131"/>
      <c r="T635" s="131"/>
      <c r="U635" s="131"/>
      <c r="V635" s="131"/>
      <c r="W635" s="131"/>
      <c r="X635" s="131"/>
      <c r="Y635" s="131"/>
      <c r="Z635" s="131"/>
    </row>
    <row r="636">
      <c r="A636" s="290"/>
      <c r="B636" s="290"/>
      <c r="C636" s="290"/>
      <c r="D636" s="290"/>
      <c r="E636" s="290"/>
      <c r="F636" s="290"/>
      <c r="G636" s="290"/>
      <c r="H636" s="290"/>
      <c r="I636" s="290"/>
      <c r="J636" s="290"/>
      <c r="K636" s="131"/>
      <c r="L636" s="131"/>
      <c r="M636" s="131"/>
      <c r="N636" s="131"/>
      <c r="O636" s="131"/>
      <c r="P636" s="131"/>
      <c r="Q636" s="131"/>
      <c r="R636" s="131"/>
      <c r="S636" s="131"/>
      <c r="T636" s="131"/>
      <c r="U636" s="131"/>
      <c r="V636" s="131"/>
      <c r="W636" s="131"/>
      <c r="X636" s="131"/>
      <c r="Y636" s="131"/>
      <c r="Z636" s="131"/>
    </row>
    <row r="637">
      <c r="A637" s="290"/>
      <c r="B637" s="290"/>
      <c r="C637" s="290"/>
      <c r="D637" s="290"/>
      <c r="E637" s="290"/>
      <c r="F637" s="290"/>
      <c r="G637" s="290"/>
      <c r="H637" s="290"/>
      <c r="I637" s="290"/>
      <c r="J637" s="290"/>
      <c r="K637" s="131"/>
      <c r="L637" s="131"/>
      <c r="M637" s="131"/>
      <c r="N637" s="131"/>
      <c r="O637" s="131"/>
      <c r="P637" s="131"/>
      <c r="Q637" s="131"/>
      <c r="R637" s="131"/>
      <c r="S637" s="131"/>
      <c r="T637" s="131"/>
      <c r="U637" s="131"/>
      <c r="V637" s="131"/>
      <c r="W637" s="131"/>
      <c r="X637" s="131"/>
      <c r="Y637" s="131"/>
      <c r="Z637" s="131"/>
    </row>
    <row r="638">
      <c r="A638" s="290"/>
      <c r="B638" s="290"/>
      <c r="C638" s="290"/>
      <c r="D638" s="290"/>
      <c r="E638" s="290"/>
      <c r="F638" s="290"/>
      <c r="G638" s="290"/>
      <c r="H638" s="290"/>
      <c r="I638" s="290"/>
      <c r="J638" s="290"/>
      <c r="K638" s="131"/>
      <c r="L638" s="131"/>
      <c r="M638" s="131"/>
      <c r="N638" s="131"/>
      <c r="O638" s="131"/>
      <c r="P638" s="131"/>
      <c r="Q638" s="131"/>
      <c r="R638" s="131"/>
      <c r="S638" s="131"/>
      <c r="T638" s="131"/>
      <c r="U638" s="131"/>
      <c r="V638" s="131"/>
      <c r="W638" s="131"/>
      <c r="X638" s="131"/>
      <c r="Y638" s="131"/>
      <c r="Z638" s="131"/>
    </row>
    <row r="639">
      <c r="A639" s="290"/>
      <c r="B639" s="290"/>
      <c r="C639" s="290"/>
      <c r="D639" s="290"/>
      <c r="E639" s="290"/>
      <c r="F639" s="290"/>
      <c r="G639" s="290"/>
      <c r="H639" s="290"/>
      <c r="I639" s="290"/>
      <c r="J639" s="290"/>
      <c r="K639" s="131"/>
      <c r="L639" s="131"/>
      <c r="M639" s="131"/>
      <c r="N639" s="131"/>
      <c r="O639" s="131"/>
      <c r="P639" s="131"/>
      <c r="Q639" s="131"/>
      <c r="R639" s="131"/>
      <c r="S639" s="131"/>
      <c r="T639" s="131"/>
      <c r="U639" s="131"/>
      <c r="V639" s="131"/>
      <c r="W639" s="131"/>
      <c r="X639" s="131"/>
      <c r="Y639" s="131"/>
      <c r="Z639" s="131"/>
    </row>
    <row r="640">
      <c r="A640" s="290"/>
      <c r="B640" s="290"/>
      <c r="C640" s="290"/>
      <c r="D640" s="290"/>
      <c r="E640" s="290"/>
      <c r="F640" s="290"/>
      <c r="G640" s="290"/>
      <c r="H640" s="290"/>
      <c r="I640" s="290"/>
      <c r="J640" s="290"/>
      <c r="K640" s="131"/>
      <c r="L640" s="131"/>
      <c r="M640" s="131"/>
      <c r="N640" s="131"/>
      <c r="O640" s="131"/>
      <c r="P640" s="131"/>
      <c r="Q640" s="131"/>
      <c r="R640" s="131"/>
      <c r="S640" s="131"/>
      <c r="T640" s="131"/>
      <c r="U640" s="131"/>
      <c r="V640" s="131"/>
      <c r="W640" s="131"/>
      <c r="X640" s="131"/>
      <c r="Y640" s="131"/>
      <c r="Z640" s="131"/>
    </row>
    <row r="641">
      <c r="A641" s="290"/>
      <c r="B641" s="290"/>
      <c r="C641" s="290"/>
      <c r="D641" s="290"/>
      <c r="E641" s="290"/>
      <c r="F641" s="290"/>
      <c r="G641" s="290"/>
      <c r="H641" s="290"/>
      <c r="I641" s="290"/>
      <c r="J641" s="290"/>
      <c r="K641" s="131"/>
      <c r="L641" s="131"/>
      <c r="M641" s="131"/>
      <c r="N641" s="131"/>
      <c r="O641" s="131"/>
      <c r="P641" s="131"/>
      <c r="Q641" s="131"/>
      <c r="R641" s="131"/>
      <c r="S641" s="131"/>
      <c r="T641" s="131"/>
      <c r="U641" s="131"/>
      <c r="V641" s="131"/>
      <c r="W641" s="131"/>
      <c r="X641" s="131"/>
      <c r="Y641" s="131"/>
      <c r="Z641" s="131"/>
    </row>
    <row r="642">
      <c r="A642" s="290"/>
      <c r="B642" s="290"/>
      <c r="C642" s="290"/>
      <c r="D642" s="290"/>
      <c r="E642" s="290"/>
      <c r="F642" s="290"/>
      <c r="G642" s="290"/>
      <c r="H642" s="290"/>
      <c r="I642" s="290"/>
      <c r="J642" s="290"/>
      <c r="K642" s="131"/>
      <c r="L642" s="131"/>
      <c r="M642" s="131"/>
      <c r="N642" s="131"/>
      <c r="O642" s="131"/>
      <c r="P642" s="131"/>
      <c r="Q642" s="131"/>
      <c r="R642" s="131"/>
      <c r="S642" s="131"/>
      <c r="T642" s="131"/>
      <c r="U642" s="131"/>
      <c r="V642" s="131"/>
      <c r="W642" s="131"/>
      <c r="X642" s="131"/>
      <c r="Y642" s="131"/>
      <c r="Z642" s="131"/>
    </row>
    <row r="643">
      <c r="A643" s="290"/>
      <c r="B643" s="290"/>
      <c r="C643" s="290"/>
      <c r="D643" s="290"/>
      <c r="E643" s="290"/>
      <c r="F643" s="290"/>
      <c r="G643" s="290"/>
      <c r="H643" s="290"/>
      <c r="I643" s="290"/>
      <c r="J643" s="290"/>
      <c r="K643" s="131"/>
      <c r="L643" s="131"/>
      <c r="M643" s="131"/>
      <c r="N643" s="131"/>
      <c r="O643" s="131"/>
      <c r="P643" s="131"/>
      <c r="Q643" s="131"/>
      <c r="R643" s="131"/>
      <c r="S643" s="131"/>
      <c r="T643" s="131"/>
      <c r="U643" s="131"/>
      <c r="V643" s="131"/>
      <c r="W643" s="131"/>
      <c r="X643" s="131"/>
      <c r="Y643" s="131"/>
      <c r="Z643" s="131"/>
    </row>
    <row r="644">
      <c r="A644" s="290"/>
      <c r="B644" s="290"/>
      <c r="C644" s="290"/>
      <c r="D644" s="290"/>
      <c r="E644" s="290"/>
      <c r="F644" s="290"/>
      <c r="G644" s="290"/>
      <c r="H644" s="290"/>
      <c r="I644" s="290"/>
      <c r="J644" s="290"/>
      <c r="K644" s="131"/>
      <c r="L644" s="131"/>
      <c r="M644" s="131"/>
      <c r="N644" s="131"/>
      <c r="O644" s="131"/>
      <c r="P644" s="131"/>
      <c r="Q644" s="131"/>
      <c r="R644" s="131"/>
      <c r="S644" s="131"/>
      <c r="T644" s="131"/>
      <c r="U644" s="131"/>
      <c r="V644" s="131"/>
      <c r="W644" s="131"/>
      <c r="X644" s="131"/>
      <c r="Y644" s="131"/>
      <c r="Z644" s="131"/>
    </row>
    <row r="645">
      <c r="A645" s="290"/>
      <c r="B645" s="290"/>
      <c r="C645" s="290"/>
      <c r="D645" s="290"/>
      <c r="E645" s="290"/>
      <c r="F645" s="290"/>
      <c r="G645" s="290"/>
      <c r="H645" s="290"/>
      <c r="I645" s="290"/>
      <c r="J645" s="290"/>
      <c r="K645" s="131"/>
      <c r="L645" s="131"/>
      <c r="M645" s="131"/>
      <c r="N645" s="131"/>
      <c r="O645" s="131"/>
      <c r="P645" s="131"/>
      <c r="Q645" s="131"/>
      <c r="R645" s="131"/>
      <c r="S645" s="131"/>
      <c r="T645" s="131"/>
      <c r="U645" s="131"/>
      <c r="V645" s="131"/>
      <c r="W645" s="131"/>
      <c r="X645" s="131"/>
      <c r="Y645" s="131"/>
      <c r="Z645" s="131"/>
    </row>
    <row r="646">
      <c r="A646" s="290"/>
      <c r="B646" s="290"/>
      <c r="C646" s="290"/>
      <c r="D646" s="290"/>
      <c r="E646" s="290"/>
      <c r="F646" s="290"/>
      <c r="G646" s="290"/>
      <c r="H646" s="290"/>
      <c r="I646" s="290"/>
      <c r="J646" s="290"/>
      <c r="K646" s="131"/>
      <c r="L646" s="131"/>
      <c r="M646" s="131"/>
      <c r="N646" s="131"/>
      <c r="O646" s="131"/>
      <c r="P646" s="131"/>
      <c r="Q646" s="131"/>
      <c r="R646" s="131"/>
      <c r="S646" s="131"/>
      <c r="T646" s="131"/>
      <c r="U646" s="131"/>
      <c r="V646" s="131"/>
      <c r="W646" s="131"/>
      <c r="X646" s="131"/>
      <c r="Y646" s="131"/>
      <c r="Z646" s="131"/>
    </row>
    <row r="647">
      <c r="A647" s="290"/>
      <c r="B647" s="290"/>
      <c r="C647" s="290"/>
      <c r="D647" s="290"/>
      <c r="E647" s="290"/>
      <c r="F647" s="290"/>
      <c r="G647" s="290"/>
      <c r="H647" s="290"/>
      <c r="I647" s="290"/>
      <c r="J647" s="290"/>
      <c r="K647" s="131"/>
      <c r="L647" s="131"/>
      <c r="M647" s="131"/>
      <c r="N647" s="131"/>
      <c r="O647" s="131"/>
      <c r="P647" s="131"/>
      <c r="Q647" s="131"/>
      <c r="R647" s="131"/>
      <c r="S647" s="131"/>
      <c r="T647" s="131"/>
      <c r="U647" s="131"/>
      <c r="V647" s="131"/>
      <c r="W647" s="131"/>
      <c r="X647" s="131"/>
      <c r="Y647" s="131"/>
      <c r="Z647" s="131"/>
    </row>
    <row r="648">
      <c r="A648" s="290"/>
      <c r="B648" s="290"/>
      <c r="C648" s="290"/>
      <c r="D648" s="290"/>
      <c r="E648" s="290"/>
      <c r="F648" s="290"/>
      <c r="G648" s="290"/>
      <c r="H648" s="290"/>
      <c r="I648" s="290"/>
      <c r="J648" s="290"/>
      <c r="K648" s="131"/>
      <c r="L648" s="131"/>
      <c r="M648" s="131"/>
      <c r="N648" s="131"/>
      <c r="O648" s="131"/>
      <c r="P648" s="131"/>
      <c r="Q648" s="131"/>
      <c r="R648" s="131"/>
      <c r="S648" s="131"/>
      <c r="T648" s="131"/>
      <c r="U648" s="131"/>
      <c r="V648" s="131"/>
      <c r="W648" s="131"/>
      <c r="X648" s="131"/>
      <c r="Y648" s="131"/>
      <c r="Z648" s="131"/>
    </row>
    <row r="649">
      <c r="A649" s="290"/>
      <c r="B649" s="290"/>
      <c r="C649" s="290"/>
      <c r="D649" s="290"/>
      <c r="E649" s="290"/>
      <c r="F649" s="290"/>
      <c r="G649" s="290"/>
      <c r="H649" s="290"/>
      <c r="I649" s="290"/>
      <c r="J649" s="290"/>
      <c r="K649" s="131"/>
      <c r="L649" s="131"/>
      <c r="M649" s="131"/>
      <c r="N649" s="131"/>
      <c r="O649" s="131"/>
      <c r="P649" s="131"/>
      <c r="Q649" s="131"/>
      <c r="R649" s="131"/>
      <c r="S649" s="131"/>
      <c r="T649" s="131"/>
      <c r="U649" s="131"/>
      <c r="V649" s="131"/>
      <c r="W649" s="131"/>
      <c r="X649" s="131"/>
      <c r="Y649" s="131"/>
      <c r="Z649" s="131"/>
    </row>
    <row r="650">
      <c r="A650" s="290"/>
      <c r="B650" s="290"/>
      <c r="C650" s="290"/>
      <c r="D650" s="290"/>
      <c r="E650" s="290"/>
      <c r="F650" s="290"/>
      <c r="G650" s="290"/>
      <c r="H650" s="290"/>
      <c r="I650" s="290"/>
      <c r="J650" s="290"/>
      <c r="K650" s="131"/>
      <c r="L650" s="131"/>
      <c r="M650" s="131"/>
      <c r="N650" s="131"/>
      <c r="O650" s="131"/>
      <c r="P650" s="131"/>
      <c r="Q650" s="131"/>
      <c r="R650" s="131"/>
      <c r="S650" s="131"/>
      <c r="T650" s="131"/>
      <c r="U650" s="131"/>
      <c r="V650" s="131"/>
      <c r="W650" s="131"/>
      <c r="X650" s="131"/>
      <c r="Y650" s="131"/>
      <c r="Z650" s="131"/>
    </row>
    <row r="651">
      <c r="A651" s="290"/>
      <c r="B651" s="290"/>
      <c r="C651" s="290"/>
      <c r="D651" s="290"/>
      <c r="E651" s="290"/>
      <c r="F651" s="290"/>
      <c r="G651" s="290"/>
      <c r="H651" s="290"/>
      <c r="I651" s="290"/>
      <c r="J651" s="290"/>
      <c r="K651" s="131"/>
      <c r="L651" s="131"/>
      <c r="M651" s="131"/>
      <c r="N651" s="131"/>
      <c r="O651" s="131"/>
      <c r="P651" s="131"/>
      <c r="Q651" s="131"/>
      <c r="R651" s="131"/>
      <c r="S651" s="131"/>
      <c r="T651" s="131"/>
      <c r="U651" s="131"/>
      <c r="V651" s="131"/>
      <c r="W651" s="131"/>
      <c r="X651" s="131"/>
      <c r="Y651" s="131"/>
      <c r="Z651" s="131"/>
    </row>
    <row r="652">
      <c r="A652" s="290"/>
      <c r="B652" s="290"/>
      <c r="C652" s="290"/>
      <c r="D652" s="290"/>
      <c r="E652" s="290"/>
      <c r="F652" s="290"/>
      <c r="G652" s="290"/>
      <c r="H652" s="290"/>
      <c r="I652" s="290"/>
      <c r="J652" s="290"/>
      <c r="K652" s="131"/>
      <c r="L652" s="131"/>
      <c r="M652" s="131"/>
      <c r="N652" s="131"/>
      <c r="O652" s="131"/>
      <c r="P652" s="131"/>
      <c r="Q652" s="131"/>
      <c r="R652" s="131"/>
      <c r="S652" s="131"/>
      <c r="T652" s="131"/>
      <c r="U652" s="131"/>
      <c r="V652" s="131"/>
      <c r="W652" s="131"/>
      <c r="X652" s="131"/>
      <c r="Y652" s="131"/>
      <c r="Z652" s="131"/>
    </row>
    <row r="653">
      <c r="A653" s="290"/>
      <c r="B653" s="290"/>
      <c r="C653" s="290"/>
      <c r="D653" s="290"/>
      <c r="E653" s="290"/>
      <c r="F653" s="290"/>
      <c r="G653" s="290"/>
      <c r="H653" s="290"/>
      <c r="I653" s="290"/>
      <c r="J653" s="290"/>
      <c r="K653" s="131"/>
      <c r="L653" s="131"/>
      <c r="M653" s="131"/>
      <c r="N653" s="131"/>
      <c r="O653" s="131"/>
      <c r="P653" s="131"/>
      <c r="Q653" s="131"/>
      <c r="R653" s="131"/>
      <c r="S653" s="131"/>
      <c r="T653" s="131"/>
      <c r="U653" s="131"/>
      <c r="V653" s="131"/>
      <c r="W653" s="131"/>
      <c r="X653" s="131"/>
      <c r="Y653" s="131"/>
      <c r="Z653" s="131"/>
    </row>
    <row r="654">
      <c r="A654" s="290"/>
      <c r="B654" s="290"/>
      <c r="C654" s="290"/>
      <c r="D654" s="290"/>
      <c r="E654" s="290"/>
      <c r="F654" s="290"/>
      <c r="G654" s="290"/>
      <c r="H654" s="290"/>
      <c r="I654" s="290"/>
      <c r="J654" s="290"/>
      <c r="K654" s="131"/>
      <c r="L654" s="131"/>
      <c r="M654" s="131"/>
      <c r="N654" s="131"/>
      <c r="O654" s="131"/>
      <c r="P654" s="131"/>
      <c r="Q654" s="131"/>
      <c r="R654" s="131"/>
      <c r="S654" s="131"/>
      <c r="T654" s="131"/>
      <c r="U654" s="131"/>
      <c r="V654" s="131"/>
      <c r="W654" s="131"/>
      <c r="X654" s="131"/>
      <c r="Y654" s="131"/>
      <c r="Z654" s="131"/>
    </row>
    <row r="655">
      <c r="A655" s="290"/>
      <c r="B655" s="290"/>
      <c r="C655" s="290"/>
      <c r="D655" s="290"/>
      <c r="E655" s="290"/>
      <c r="F655" s="290"/>
      <c r="G655" s="290"/>
      <c r="H655" s="290"/>
      <c r="I655" s="290"/>
      <c r="J655" s="290"/>
      <c r="K655" s="131"/>
      <c r="L655" s="131"/>
      <c r="M655" s="131"/>
      <c r="N655" s="131"/>
      <c r="O655" s="131"/>
      <c r="P655" s="131"/>
      <c r="Q655" s="131"/>
      <c r="R655" s="131"/>
      <c r="S655" s="131"/>
      <c r="T655" s="131"/>
      <c r="U655" s="131"/>
      <c r="V655" s="131"/>
      <c r="W655" s="131"/>
      <c r="X655" s="131"/>
      <c r="Y655" s="131"/>
      <c r="Z655" s="131"/>
    </row>
    <row r="656">
      <c r="A656" s="290"/>
      <c r="B656" s="290"/>
      <c r="C656" s="290"/>
      <c r="D656" s="290"/>
      <c r="E656" s="290"/>
      <c r="F656" s="290"/>
      <c r="G656" s="290"/>
      <c r="H656" s="290"/>
      <c r="I656" s="290"/>
      <c r="J656" s="290"/>
      <c r="K656" s="131"/>
      <c r="L656" s="131"/>
      <c r="M656" s="131"/>
      <c r="N656" s="131"/>
      <c r="O656" s="131"/>
      <c r="P656" s="131"/>
      <c r="Q656" s="131"/>
      <c r="R656" s="131"/>
      <c r="S656" s="131"/>
      <c r="T656" s="131"/>
      <c r="U656" s="131"/>
      <c r="V656" s="131"/>
      <c r="W656" s="131"/>
      <c r="X656" s="131"/>
      <c r="Y656" s="131"/>
      <c r="Z656" s="131"/>
    </row>
    <row r="657">
      <c r="A657" s="290"/>
      <c r="B657" s="290"/>
      <c r="C657" s="290"/>
      <c r="D657" s="290"/>
      <c r="E657" s="290"/>
      <c r="F657" s="290"/>
      <c r="G657" s="290"/>
      <c r="H657" s="290"/>
      <c r="I657" s="290"/>
      <c r="J657" s="290"/>
      <c r="K657" s="131"/>
      <c r="L657" s="131"/>
      <c r="M657" s="131"/>
      <c r="N657" s="131"/>
      <c r="O657" s="131"/>
      <c r="P657" s="131"/>
      <c r="Q657" s="131"/>
      <c r="R657" s="131"/>
      <c r="S657" s="131"/>
      <c r="T657" s="131"/>
      <c r="U657" s="131"/>
      <c r="V657" s="131"/>
      <c r="W657" s="131"/>
      <c r="X657" s="131"/>
      <c r="Y657" s="131"/>
      <c r="Z657" s="131"/>
    </row>
    <row r="658">
      <c r="A658" s="290"/>
      <c r="B658" s="290"/>
      <c r="C658" s="290"/>
      <c r="D658" s="290"/>
      <c r="E658" s="290"/>
      <c r="F658" s="290"/>
      <c r="G658" s="290"/>
      <c r="H658" s="290"/>
      <c r="I658" s="290"/>
      <c r="J658" s="290"/>
      <c r="K658" s="131"/>
      <c r="L658" s="131"/>
      <c r="M658" s="131"/>
      <c r="N658" s="131"/>
      <c r="O658" s="131"/>
      <c r="P658" s="131"/>
      <c r="Q658" s="131"/>
      <c r="R658" s="131"/>
      <c r="S658" s="131"/>
      <c r="T658" s="131"/>
      <c r="U658" s="131"/>
      <c r="V658" s="131"/>
      <c r="W658" s="131"/>
      <c r="X658" s="131"/>
      <c r="Y658" s="131"/>
      <c r="Z658" s="131"/>
    </row>
    <row r="659">
      <c r="A659" s="290"/>
      <c r="B659" s="290"/>
      <c r="C659" s="290"/>
      <c r="D659" s="290"/>
      <c r="E659" s="290"/>
      <c r="F659" s="290"/>
      <c r="G659" s="290"/>
      <c r="H659" s="290"/>
      <c r="I659" s="290"/>
      <c r="J659" s="290"/>
      <c r="K659" s="131"/>
      <c r="L659" s="131"/>
      <c r="M659" s="131"/>
      <c r="N659" s="131"/>
      <c r="O659" s="131"/>
      <c r="P659" s="131"/>
      <c r="Q659" s="131"/>
      <c r="R659" s="131"/>
      <c r="S659" s="131"/>
      <c r="T659" s="131"/>
      <c r="U659" s="131"/>
      <c r="V659" s="131"/>
      <c r="W659" s="131"/>
      <c r="X659" s="131"/>
      <c r="Y659" s="131"/>
      <c r="Z659" s="131"/>
    </row>
    <row r="660">
      <c r="A660" s="290"/>
      <c r="B660" s="290"/>
      <c r="C660" s="290"/>
      <c r="D660" s="290"/>
      <c r="E660" s="290"/>
      <c r="F660" s="290"/>
      <c r="G660" s="290"/>
      <c r="H660" s="290"/>
      <c r="I660" s="290"/>
      <c r="J660" s="290"/>
      <c r="K660" s="131"/>
      <c r="L660" s="131"/>
      <c r="M660" s="131"/>
      <c r="N660" s="131"/>
      <c r="O660" s="131"/>
      <c r="P660" s="131"/>
      <c r="Q660" s="131"/>
      <c r="R660" s="131"/>
      <c r="S660" s="131"/>
      <c r="T660" s="131"/>
      <c r="U660" s="131"/>
      <c r="V660" s="131"/>
      <c r="W660" s="131"/>
      <c r="X660" s="131"/>
      <c r="Y660" s="131"/>
      <c r="Z660" s="131"/>
    </row>
    <row r="661">
      <c r="A661" s="290"/>
      <c r="B661" s="290"/>
      <c r="C661" s="290"/>
      <c r="D661" s="290"/>
      <c r="E661" s="290"/>
      <c r="F661" s="290"/>
      <c r="G661" s="290"/>
      <c r="H661" s="290"/>
      <c r="I661" s="290"/>
      <c r="J661" s="290"/>
      <c r="K661" s="131"/>
      <c r="L661" s="131"/>
      <c r="M661" s="131"/>
      <c r="N661" s="131"/>
      <c r="O661" s="131"/>
      <c r="P661" s="131"/>
      <c r="Q661" s="131"/>
      <c r="R661" s="131"/>
      <c r="S661" s="131"/>
      <c r="T661" s="131"/>
      <c r="U661" s="131"/>
      <c r="V661" s="131"/>
      <c r="W661" s="131"/>
      <c r="X661" s="131"/>
      <c r="Y661" s="131"/>
      <c r="Z661" s="131"/>
    </row>
    <row r="662">
      <c r="A662" s="290"/>
      <c r="B662" s="290"/>
      <c r="C662" s="290"/>
      <c r="D662" s="290"/>
      <c r="E662" s="290"/>
      <c r="F662" s="290"/>
      <c r="G662" s="290"/>
      <c r="H662" s="290"/>
      <c r="I662" s="290"/>
      <c r="J662" s="290"/>
      <c r="K662" s="131"/>
      <c r="L662" s="131"/>
      <c r="M662" s="131"/>
      <c r="N662" s="131"/>
      <c r="O662" s="131"/>
      <c r="P662" s="131"/>
      <c r="Q662" s="131"/>
      <c r="R662" s="131"/>
      <c r="S662" s="131"/>
      <c r="T662" s="131"/>
      <c r="U662" s="131"/>
      <c r="V662" s="131"/>
      <c r="W662" s="131"/>
      <c r="X662" s="131"/>
      <c r="Y662" s="131"/>
      <c r="Z662" s="131"/>
    </row>
    <row r="663">
      <c r="A663" s="290"/>
      <c r="B663" s="290"/>
      <c r="C663" s="290"/>
      <c r="D663" s="290"/>
      <c r="E663" s="290"/>
      <c r="F663" s="290"/>
      <c r="G663" s="290"/>
      <c r="H663" s="290"/>
      <c r="I663" s="290"/>
      <c r="J663" s="290"/>
      <c r="K663" s="131"/>
      <c r="L663" s="131"/>
      <c r="M663" s="131"/>
      <c r="N663" s="131"/>
      <c r="O663" s="131"/>
      <c r="P663" s="131"/>
      <c r="Q663" s="131"/>
      <c r="R663" s="131"/>
      <c r="S663" s="131"/>
      <c r="T663" s="131"/>
      <c r="U663" s="131"/>
      <c r="V663" s="131"/>
      <c r="W663" s="131"/>
      <c r="X663" s="131"/>
      <c r="Y663" s="131"/>
      <c r="Z663" s="131"/>
    </row>
    <row r="664">
      <c r="A664" s="290"/>
      <c r="B664" s="290"/>
      <c r="C664" s="290"/>
      <c r="D664" s="290"/>
      <c r="E664" s="290"/>
      <c r="F664" s="290"/>
      <c r="G664" s="290"/>
      <c r="H664" s="290"/>
      <c r="I664" s="290"/>
      <c r="J664" s="290"/>
      <c r="K664" s="131"/>
      <c r="L664" s="131"/>
      <c r="M664" s="131"/>
      <c r="N664" s="131"/>
      <c r="O664" s="131"/>
      <c r="P664" s="131"/>
      <c r="Q664" s="131"/>
      <c r="R664" s="131"/>
      <c r="S664" s="131"/>
      <c r="T664" s="131"/>
      <c r="U664" s="131"/>
      <c r="V664" s="131"/>
      <c r="W664" s="131"/>
      <c r="X664" s="131"/>
      <c r="Y664" s="131"/>
      <c r="Z664" s="131"/>
    </row>
    <row r="665">
      <c r="A665" s="290"/>
      <c r="B665" s="290"/>
      <c r="C665" s="290"/>
      <c r="D665" s="290"/>
      <c r="E665" s="290"/>
      <c r="F665" s="290"/>
      <c r="G665" s="290"/>
      <c r="H665" s="290"/>
      <c r="I665" s="290"/>
      <c r="J665" s="290"/>
      <c r="K665" s="131"/>
      <c r="L665" s="131"/>
      <c r="M665" s="131"/>
      <c r="N665" s="131"/>
      <c r="O665" s="131"/>
      <c r="P665" s="131"/>
      <c r="Q665" s="131"/>
      <c r="R665" s="131"/>
      <c r="S665" s="131"/>
      <c r="T665" s="131"/>
      <c r="U665" s="131"/>
      <c r="V665" s="131"/>
      <c r="W665" s="131"/>
      <c r="X665" s="131"/>
      <c r="Y665" s="131"/>
      <c r="Z665" s="131"/>
    </row>
    <row r="666">
      <c r="A666" s="290"/>
      <c r="B666" s="290"/>
      <c r="C666" s="290"/>
      <c r="D666" s="290"/>
      <c r="E666" s="290"/>
      <c r="F666" s="290"/>
      <c r="G666" s="290"/>
      <c r="H666" s="290"/>
      <c r="I666" s="290"/>
      <c r="J666" s="290"/>
      <c r="K666" s="131"/>
      <c r="L666" s="131"/>
      <c r="M666" s="131"/>
      <c r="N666" s="131"/>
      <c r="O666" s="131"/>
      <c r="P666" s="131"/>
      <c r="Q666" s="131"/>
      <c r="R666" s="131"/>
      <c r="S666" s="131"/>
      <c r="T666" s="131"/>
      <c r="U666" s="131"/>
      <c r="V666" s="131"/>
      <c r="W666" s="131"/>
      <c r="X666" s="131"/>
      <c r="Y666" s="131"/>
      <c r="Z666" s="131"/>
    </row>
    <row r="667">
      <c r="A667" s="290"/>
      <c r="B667" s="290"/>
      <c r="C667" s="290"/>
      <c r="D667" s="290"/>
      <c r="E667" s="290"/>
      <c r="F667" s="290"/>
      <c r="G667" s="290"/>
      <c r="H667" s="290"/>
      <c r="I667" s="290"/>
      <c r="J667" s="290"/>
      <c r="K667" s="131"/>
      <c r="L667" s="131"/>
      <c r="M667" s="131"/>
      <c r="N667" s="131"/>
      <c r="O667" s="131"/>
      <c r="P667" s="131"/>
      <c r="Q667" s="131"/>
      <c r="R667" s="131"/>
      <c r="S667" s="131"/>
      <c r="T667" s="131"/>
      <c r="U667" s="131"/>
      <c r="V667" s="131"/>
      <c r="W667" s="131"/>
      <c r="X667" s="131"/>
      <c r="Y667" s="131"/>
      <c r="Z667" s="131"/>
    </row>
    <row r="668">
      <c r="A668" s="290"/>
      <c r="B668" s="290"/>
      <c r="C668" s="290"/>
      <c r="D668" s="290"/>
      <c r="E668" s="290"/>
      <c r="F668" s="290"/>
      <c r="G668" s="290"/>
      <c r="H668" s="290"/>
      <c r="I668" s="290"/>
      <c r="J668" s="290"/>
      <c r="K668" s="131"/>
      <c r="L668" s="131"/>
      <c r="M668" s="131"/>
      <c r="N668" s="131"/>
      <c r="O668" s="131"/>
      <c r="P668" s="131"/>
      <c r="Q668" s="131"/>
      <c r="R668" s="131"/>
      <c r="S668" s="131"/>
      <c r="T668" s="131"/>
      <c r="U668" s="131"/>
      <c r="V668" s="131"/>
      <c r="W668" s="131"/>
      <c r="X668" s="131"/>
      <c r="Y668" s="131"/>
      <c r="Z668" s="131"/>
    </row>
    <row r="669">
      <c r="A669" s="290"/>
      <c r="B669" s="290"/>
      <c r="C669" s="290"/>
      <c r="D669" s="290"/>
      <c r="E669" s="290"/>
      <c r="F669" s="290"/>
      <c r="G669" s="290"/>
      <c r="H669" s="290"/>
      <c r="I669" s="290"/>
      <c r="J669" s="290"/>
      <c r="K669" s="131"/>
      <c r="L669" s="131"/>
      <c r="M669" s="131"/>
      <c r="N669" s="131"/>
      <c r="O669" s="131"/>
      <c r="P669" s="131"/>
      <c r="Q669" s="131"/>
      <c r="R669" s="131"/>
      <c r="S669" s="131"/>
      <c r="T669" s="131"/>
      <c r="U669" s="131"/>
      <c r="V669" s="131"/>
      <c r="W669" s="131"/>
      <c r="X669" s="131"/>
      <c r="Y669" s="131"/>
      <c r="Z669" s="131"/>
    </row>
    <row r="670">
      <c r="A670" s="290"/>
      <c r="B670" s="290"/>
      <c r="C670" s="290"/>
      <c r="D670" s="290"/>
      <c r="E670" s="290"/>
      <c r="F670" s="290"/>
      <c r="G670" s="290"/>
      <c r="H670" s="290"/>
      <c r="I670" s="290"/>
      <c r="J670" s="290"/>
      <c r="K670" s="131"/>
      <c r="L670" s="131"/>
      <c r="M670" s="131"/>
      <c r="N670" s="131"/>
      <c r="O670" s="131"/>
      <c r="P670" s="131"/>
      <c r="Q670" s="131"/>
      <c r="R670" s="131"/>
      <c r="S670" s="131"/>
      <c r="T670" s="131"/>
      <c r="U670" s="131"/>
      <c r="V670" s="131"/>
      <c r="W670" s="131"/>
      <c r="X670" s="131"/>
      <c r="Y670" s="131"/>
      <c r="Z670" s="131"/>
    </row>
    <row r="671">
      <c r="A671" s="290"/>
      <c r="B671" s="290"/>
      <c r="C671" s="290"/>
      <c r="D671" s="290"/>
      <c r="E671" s="290"/>
      <c r="F671" s="290"/>
      <c r="G671" s="290"/>
      <c r="H671" s="290"/>
      <c r="I671" s="290"/>
      <c r="J671" s="290"/>
      <c r="K671" s="131"/>
      <c r="L671" s="131"/>
      <c r="M671" s="131"/>
      <c r="N671" s="131"/>
      <c r="O671" s="131"/>
      <c r="P671" s="131"/>
      <c r="Q671" s="131"/>
      <c r="R671" s="131"/>
      <c r="S671" s="131"/>
      <c r="T671" s="131"/>
      <c r="U671" s="131"/>
      <c r="V671" s="131"/>
      <c r="W671" s="131"/>
      <c r="X671" s="131"/>
      <c r="Y671" s="131"/>
      <c r="Z671" s="131"/>
    </row>
    <row r="672">
      <c r="A672" s="290"/>
      <c r="B672" s="290"/>
      <c r="C672" s="290"/>
      <c r="D672" s="290"/>
      <c r="E672" s="290"/>
      <c r="F672" s="290"/>
      <c r="G672" s="290"/>
      <c r="H672" s="290"/>
      <c r="I672" s="290"/>
      <c r="J672" s="290"/>
      <c r="K672" s="131"/>
      <c r="L672" s="131"/>
      <c r="M672" s="131"/>
      <c r="N672" s="131"/>
      <c r="O672" s="131"/>
      <c r="P672" s="131"/>
      <c r="Q672" s="131"/>
      <c r="R672" s="131"/>
      <c r="S672" s="131"/>
      <c r="T672" s="131"/>
      <c r="U672" s="131"/>
      <c r="V672" s="131"/>
      <c r="W672" s="131"/>
      <c r="X672" s="131"/>
      <c r="Y672" s="131"/>
      <c r="Z672" s="131"/>
    </row>
    <row r="673">
      <c r="A673" s="290"/>
      <c r="B673" s="290"/>
      <c r="C673" s="290"/>
      <c r="D673" s="290"/>
      <c r="E673" s="290"/>
      <c r="F673" s="290"/>
      <c r="G673" s="290"/>
      <c r="H673" s="290"/>
      <c r="I673" s="290"/>
      <c r="J673" s="290"/>
      <c r="K673" s="131"/>
      <c r="L673" s="131"/>
      <c r="M673" s="131"/>
      <c r="N673" s="131"/>
      <c r="O673" s="131"/>
      <c r="P673" s="131"/>
      <c r="Q673" s="131"/>
      <c r="R673" s="131"/>
      <c r="S673" s="131"/>
      <c r="T673" s="131"/>
      <c r="U673" s="131"/>
      <c r="V673" s="131"/>
      <c r="W673" s="131"/>
      <c r="X673" s="131"/>
      <c r="Y673" s="131"/>
      <c r="Z673" s="131"/>
    </row>
    <row r="674">
      <c r="A674" s="290"/>
      <c r="B674" s="290"/>
      <c r="C674" s="290"/>
      <c r="D674" s="290"/>
      <c r="E674" s="290"/>
      <c r="F674" s="290"/>
      <c r="G674" s="290"/>
      <c r="H674" s="290"/>
      <c r="I674" s="290"/>
      <c r="J674" s="290"/>
      <c r="K674" s="131"/>
      <c r="L674" s="131"/>
      <c r="M674" s="131"/>
      <c r="N674" s="131"/>
      <c r="O674" s="131"/>
      <c r="P674" s="131"/>
      <c r="Q674" s="131"/>
      <c r="R674" s="131"/>
      <c r="S674" s="131"/>
      <c r="T674" s="131"/>
      <c r="U674" s="131"/>
      <c r="V674" s="131"/>
      <c r="W674" s="131"/>
      <c r="X674" s="131"/>
      <c r="Y674" s="131"/>
      <c r="Z674" s="131"/>
    </row>
    <row r="675">
      <c r="A675" s="290"/>
      <c r="B675" s="290"/>
      <c r="C675" s="290"/>
      <c r="D675" s="290"/>
      <c r="E675" s="290"/>
      <c r="F675" s="290"/>
      <c r="G675" s="290"/>
      <c r="H675" s="290"/>
      <c r="I675" s="290"/>
      <c r="J675" s="290"/>
      <c r="K675" s="131"/>
      <c r="L675" s="131"/>
      <c r="M675" s="131"/>
      <c r="N675" s="131"/>
      <c r="O675" s="131"/>
      <c r="P675" s="131"/>
      <c r="Q675" s="131"/>
      <c r="R675" s="131"/>
      <c r="S675" s="131"/>
      <c r="T675" s="131"/>
      <c r="U675" s="131"/>
      <c r="V675" s="131"/>
      <c r="W675" s="131"/>
      <c r="X675" s="131"/>
      <c r="Y675" s="131"/>
      <c r="Z675" s="131"/>
    </row>
    <row r="676">
      <c r="A676" s="290"/>
      <c r="B676" s="290"/>
      <c r="C676" s="290"/>
      <c r="D676" s="290"/>
      <c r="E676" s="290"/>
      <c r="F676" s="290"/>
      <c r="G676" s="290"/>
      <c r="H676" s="290"/>
      <c r="I676" s="290"/>
      <c r="J676" s="290"/>
      <c r="K676" s="131"/>
      <c r="L676" s="131"/>
      <c r="M676" s="131"/>
      <c r="N676" s="131"/>
      <c r="O676" s="131"/>
      <c r="P676" s="131"/>
      <c r="Q676" s="131"/>
      <c r="R676" s="131"/>
      <c r="S676" s="131"/>
      <c r="T676" s="131"/>
      <c r="U676" s="131"/>
      <c r="V676" s="131"/>
      <c r="W676" s="131"/>
      <c r="X676" s="131"/>
      <c r="Y676" s="131"/>
      <c r="Z676" s="131"/>
    </row>
    <row r="677">
      <c r="A677" s="290"/>
      <c r="B677" s="290"/>
      <c r="C677" s="290"/>
      <c r="D677" s="290"/>
      <c r="E677" s="290"/>
      <c r="F677" s="290"/>
      <c r="G677" s="290"/>
      <c r="H677" s="290"/>
      <c r="I677" s="290"/>
      <c r="J677" s="290"/>
      <c r="K677" s="131"/>
      <c r="L677" s="131"/>
      <c r="M677" s="131"/>
      <c r="N677" s="131"/>
      <c r="O677" s="131"/>
      <c r="P677" s="131"/>
      <c r="Q677" s="131"/>
      <c r="R677" s="131"/>
      <c r="S677" s="131"/>
      <c r="T677" s="131"/>
      <c r="U677" s="131"/>
      <c r="V677" s="131"/>
      <c r="W677" s="131"/>
      <c r="X677" s="131"/>
      <c r="Y677" s="131"/>
      <c r="Z677" s="131"/>
    </row>
    <row r="678">
      <c r="A678" s="290"/>
      <c r="B678" s="290"/>
      <c r="C678" s="290"/>
      <c r="D678" s="290"/>
      <c r="E678" s="290"/>
      <c r="F678" s="290"/>
      <c r="G678" s="290"/>
      <c r="H678" s="290"/>
      <c r="I678" s="290"/>
      <c r="J678" s="290"/>
      <c r="K678" s="131"/>
      <c r="L678" s="131"/>
      <c r="M678" s="131"/>
      <c r="N678" s="131"/>
      <c r="O678" s="131"/>
      <c r="P678" s="131"/>
      <c r="Q678" s="131"/>
      <c r="R678" s="131"/>
      <c r="S678" s="131"/>
      <c r="T678" s="131"/>
      <c r="U678" s="131"/>
      <c r="V678" s="131"/>
      <c r="W678" s="131"/>
      <c r="X678" s="131"/>
      <c r="Y678" s="131"/>
      <c r="Z678" s="131"/>
    </row>
    <row r="679">
      <c r="A679" s="290"/>
      <c r="B679" s="290"/>
      <c r="C679" s="290"/>
      <c r="D679" s="290"/>
      <c r="E679" s="290"/>
      <c r="F679" s="290"/>
      <c r="G679" s="290"/>
      <c r="H679" s="290"/>
      <c r="I679" s="290"/>
      <c r="J679" s="290"/>
      <c r="K679" s="131"/>
      <c r="L679" s="131"/>
      <c r="M679" s="131"/>
      <c r="N679" s="131"/>
      <c r="O679" s="131"/>
      <c r="P679" s="131"/>
      <c r="Q679" s="131"/>
      <c r="R679" s="131"/>
      <c r="S679" s="131"/>
      <c r="T679" s="131"/>
      <c r="U679" s="131"/>
      <c r="V679" s="131"/>
      <c r="W679" s="131"/>
      <c r="X679" s="131"/>
      <c r="Y679" s="131"/>
      <c r="Z679" s="131"/>
    </row>
    <row r="680">
      <c r="A680" s="290"/>
      <c r="B680" s="290"/>
      <c r="C680" s="290"/>
      <c r="D680" s="290"/>
      <c r="E680" s="290"/>
      <c r="F680" s="290"/>
      <c r="G680" s="290"/>
      <c r="H680" s="290"/>
      <c r="I680" s="290"/>
      <c r="J680" s="290"/>
      <c r="K680" s="131"/>
      <c r="L680" s="131"/>
      <c r="M680" s="131"/>
      <c r="N680" s="131"/>
      <c r="O680" s="131"/>
      <c r="P680" s="131"/>
      <c r="Q680" s="131"/>
      <c r="R680" s="131"/>
      <c r="S680" s="131"/>
      <c r="T680" s="131"/>
      <c r="U680" s="131"/>
      <c r="V680" s="131"/>
      <c r="W680" s="131"/>
      <c r="X680" s="131"/>
      <c r="Y680" s="131"/>
      <c r="Z680" s="131"/>
    </row>
    <row r="681">
      <c r="A681" s="290"/>
      <c r="B681" s="290"/>
      <c r="C681" s="290"/>
      <c r="D681" s="290"/>
      <c r="E681" s="290"/>
      <c r="F681" s="290"/>
      <c r="G681" s="290"/>
      <c r="H681" s="290"/>
      <c r="I681" s="290"/>
      <c r="J681" s="290"/>
      <c r="K681" s="131"/>
      <c r="L681" s="131"/>
      <c r="M681" s="131"/>
      <c r="N681" s="131"/>
      <c r="O681" s="131"/>
      <c r="P681" s="131"/>
      <c r="Q681" s="131"/>
      <c r="R681" s="131"/>
      <c r="S681" s="131"/>
      <c r="T681" s="131"/>
      <c r="U681" s="131"/>
      <c r="V681" s="131"/>
      <c r="W681" s="131"/>
      <c r="X681" s="131"/>
      <c r="Y681" s="131"/>
      <c r="Z681" s="131"/>
    </row>
    <row r="682">
      <c r="A682" s="290"/>
      <c r="B682" s="290"/>
      <c r="C682" s="290"/>
      <c r="D682" s="290"/>
      <c r="E682" s="290"/>
      <c r="F682" s="290"/>
      <c r="G682" s="290"/>
      <c r="H682" s="290"/>
      <c r="I682" s="290"/>
      <c r="J682" s="290"/>
      <c r="K682" s="131"/>
      <c r="L682" s="131"/>
      <c r="M682" s="131"/>
      <c r="N682" s="131"/>
      <c r="O682" s="131"/>
      <c r="P682" s="131"/>
      <c r="Q682" s="131"/>
      <c r="R682" s="131"/>
      <c r="S682" s="131"/>
      <c r="T682" s="131"/>
      <c r="U682" s="131"/>
      <c r="V682" s="131"/>
      <c r="W682" s="131"/>
      <c r="X682" s="131"/>
      <c r="Y682" s="131"/>
      <c r="Z682" s="131"/>
    </row>
    <row r="683">
      <c r="A683" s="290"/>
      <c r="B683" s="290"/>
      <c r="C683" s="290"/>
      <c r="D683" s="290"/>
      <c r="E683" s="290"/>
      <c r="F683" s="290"/>
      <c r="G683" s="290"/>
      <c r="H683" s="290"/>
      <c r="I683" s="290"/>
      <c r="J683" s="290"/>
      <c r="K683" s="131"/>
      <c r="L683" s="131"/>
      <c r="M683" s="131"/>
      <c r="N683" s="131"/>
      <c r="O683" s="131"/>
      <c r="P683" s="131"/>
      <c r="Q683" s="131"/>
      <c r="R683" s="131"/>
      <c r="S683" s="131"/>
      <c r="T683" s="131"/>
      <c r="U683" s="131"/>
      <c r="V683" s="131"/>
      <c r="W683" s="131"/>
      <c r="X683" s="131"/>
      <c r="Y683" s="131"/>
      <c r="Z683" s="131"/>
    </row>
    <row r="684">
      <c r="A684" s="290"/>
      <c r="B684" s="290"/>
      <c r="C684" s="290"/>
      <c r="D684" s="290"/>
      <c r="E684" s="290"/>
      <c r="F684" s="290"/>
      <c r="G684" s="290"/>
      <c r="H684" s="290"/>
      <c r="I684" s="290"/>
      <c r="J684" s="290"/>
      <c r="K684" s="131"/>
      <c r="L684" s="131"/>
      <c r="M684" s="131"/>
      <c r="N684" s="131"/>
      <c r="O684" s="131"/>
      <c r="P684" s="131"/>
      <c r="Q684" s="131"/>
      <c r="R684" s="131"/>
      <c r="S684" s="131"/>
      <c r="T684" s="131"/>
      <c r="U684" s="131"/>
      <c r="V684" s="131"/>
      <c r="W684" s="131"/>
      <c r="X684" s="131"/>
      <c r="Y684" s="131"/>
      <c r="Z684" s="131"/>
    </row>
    <row r="685">
      <c r="A685" s="290"/>
      <c r="B685" s="290"/>
      <c r="C685" s="290"/>
      <c r="D685" s="290"/>
      <c r="E685" s="290"/>
      <c r="F685" s="290"/>
      <c r="G685" s="290"/>
      <c r="H685" s="290"/>
      <c r="I685" s="290"/>
      <c r="J685" s="290"/>
      <c r="K685" s="131"/>
      <c r="L685" s="131"/>
      <c r="M685" s="131"/>
      <c r="N685" s="131"/>
      <c r="O685" s="131"/>
      <c r="P685" s="131"/>
      <c r="Q685" s="131"/>
      <c r="R685" s="131"/>
      <c r="S685" s="131"/>
      <c r="T685" s="131"/>
      <c r="U685" s="131"/>
      <c r="V685" s="131"/>
      <c r="W685" s="131"/>
      <c r="X685" s="131"/>
      <c r="Y685" s="131"/>
      <c r="Z685" s="131"/>
    </row>
    <row r="686">
      <c r="A686" s="290"/>
      <c r="B686" s="290"/>
      <c r="C686" s="290"/>
      <c r="D686" s="290"/>
      <c r="E686" s="290"/>
      <c r="F686" s="290"/>
      <c r="G686" s="290"/>
      <c r="H686" s="290"/>
      <c r="I686" s="290"/>
      <c r="J686" s="290"/>
      <c r="K686" s="131"/>
      <c r="L686" s="131"/>
      <c r="M686" s="131"/>
      <c r="N686" s="131"/>
      <c r="O686" s="131"/>
      <c r="P686" s="131"/>
      <c r="Q686" s="131"/>
      <c r="R686" s="131"/>
      <c r="S686" s="131"/>
      <c r="T686" s="131"/>
      <c r="U686" s="131"/>
      <c r="V686" s="131"/>
      <c r="W686" s="131"/>
      <c r="X686" s="131"/>
      <c r="Y686" s="131"/>
      <c r="Z686" s="131"/>
    </row>
    <row r="687">
      <c r="A687" s="290"/>
      <c r="B687" s="290"/>
      <c r="C687" s="290"/>
      <c r="D687" s="290"/>
      <c r="E687" s="290"/>
      <c r="F687" s="290"/>
      <c r="G687" s="290"/>
      <c r="H687" s="290"/>
      <c r="I687" s="290"/>
      <c r="J687" s="290"/>
      <c r="K687" s="131"/>
      <c r="L687" s="131"/>
      <c r="M687" s="131"/>
      <c r="N687" s="131"/>
      <c r="O687" s="131"/>
      <c r="P687" s="131"/>
      <c r="Q687" s="131"/>
      <c r="R687" s="131"/>
      <c r="S687" s="131"/>
      <c r="T687" s="131"/>
      <c r="U687" s="131"/>
      <c r="V687" s="131"/>
      <c r="W687" s="131"/>
      <c r="X687" s="131"/>
      <c r="Y687" s="131"/>
      <c r="Z687" s="131"/>
    </row>
    <row r="688">
      <c r="A688" s="290"/>
      <c r="B688" s="290"/>
      <c r="C688" s="290"/>
      <c r="D688" s="290"/>
      <c r="E688" s="290"/>
      <c r="F688" s="290"/>
      <c r="G688" s="290"/>
      <c r="H688" s="290"/>
      <c r="I688" s="290"/>
      <c r="J688" s="290"/>
      <c r="K688" s="131"/>
      <c r="L688" s="131"/>
      <c r="M688" s="131"/>
      <c r="N688" s="131"/>
      <c r="O688" s="131"/>
      <c r="P688" s="131"/>
      <c r="Q688" s="131"/>
      <c r="R688" s="131"/>
      <c r="S688" s="131"/>
      <c r="T688" s="131"/>
      <c r="U688" s="131"/>
      <c r="V688" s="131"/>
      <c r="W688" s="131"/>
      <c r="X688" s="131"/>
      <c r="Y688" s="131"/>
      <c r="Z688" s="131"/>
    </row>
    <row r="689">
      <c r="A689" s="290"/>
      <c r="B689" s="290"/>
      <c r="C689" s="290"/>
      <c r="D689" s="290"/>
      <c r="E689" s="290"/>
      <c r="F689" s="290"/>
      <c r="G689" s="290"/>
      <c r="H689" s="290"/>
      <c r="I689" s="290"/>
      <c r="J689" s="290"/>
      <c r="K689" s="131"/>
      <c r="L689" s="131"/>
      <c r="M689" s="131"/>
      <c r="N689" s="131"/>
      <c r="O689" s="131"/>
      <c r="P689" s="131"/>
      <c r="Q689" s="131"/>
      <c r="R689" s="131"/>
      <c r="S689" s="131"/>
      <c r="T689" s="131"/>
      <c r="U689" s="131"/>
      <c r="V689" s="131"/>
      <c r="W689" s="131"/>
      <c r="X689" s="131"/>
      <c r="Y689" s="131"/>
      <c r="Z689" s="131"/>
    </row>
    <row r="690">
      <c r="A690" s="290"/>
      <c r="B690" s="290"/>
      <c r="C690" s="290"/>
      <c r="D690" s="290"/>
      <c r="E690" s="290"/>
      <c r="F690" s="290"/>
      <c r="G690" s="290"/>
      <c r="H690" s="290"/>
      <c r="I690" s="290"/>
      <c r="J690" s="290"/>
      <c r="K690" s="131"/>
      <c r="L690" s="131"/>
      <c r="M690" s="131"/>
      <c r="N690" s="131"/>
      <c r="O690" s="131"/>
      <c r="P690" s="131"/>
      <c r="Q690" s="131"/>
      <c r="R690" s="131"/>
      <c r="S690" s="131"/>
      <c r="T690" s="131"/>
      <c r="U690" s="131"/>
      <c r="V690" s="131"/>
      <c r="W690" s="131"/>
      <c r="X690" s="131"/>
      <c r="Y690" s="131"/>
      <c r="Z690" s="131"/>
    </row>
    <row r="691">
      <c r="A691" s="290"/>
      <c r="B691" s="290"/>
      <c r="C691" s="290"/>
      <c r="D691" s="290"/>
      <c r="E691" s="290"/>
      <c r="F691" s="290"/>
      <c r="G691" s="290"/>
      <c r="H691" s="290"/>
      <c r="I691" s="290"/>
      <c r="J691" s="290"/>
      <c r="K691" s="131"/>
      <c r="L691" s="131"/>
      <c r="M691" s="131"/>
      <c r="N691" s="131"/>
      <c r="O691" s="131"/>
      <c r="P691" s="131"/>
      <c r="Q691" s="131"/>
      <c r="R691" s="131"/>
      <c r="S691" s="131"/>
      <c r="T691" s="131"/>
      <c r="U691" s="131"/>
      <c r="V691" s="131"/>
      <c r="W691" s="131"/>
      <c r="X691" s="131"/>
      <c r="Y691" s="131"/>
      <c r="Z691" s="131"/>
    </row>
    <row r="692">
      <c r="A692" s="290"/>
      <c r="B692" s="290"/>
      <c r="C692" s="290"/>
      <c r="D692" s="290"/>
      <c r="E692" s="290"/>
      <c r="F692" s="290"/>
      <c r="G692" s="290"/>
      <c r="H692" s="290"/>
      <c r="I692" s="290"/>
      <c r="J692" s="290"/>
      <c r="K692" s="131"/>
      <c r="L692" s="131"/>
      <c r="M692" s="131"/>
      <c r="N692" s="131"/>
      <c r="O692" s="131"/>
      <c r="P692" s="131"/>
      <c r="Q692" s="131"/>
      <c r="R692" s="131"/>
      <c r="S692" s="131"/>
      <c r="T692" s="131"/>
      <c r="U692" s="131"/>
      <c r="V692" s="131"/>
      <c r="W692" s="131"/>
      <c r="X692" s="131"/>
      <c r="Y692" s="131"/>
      <c r="Z692" s="131"/>
    </row>
    <row r="693">
      <c r="A693" s="290"/>
      <c r="B693" s="290"/>
      <c r="C693" s="290"/>
      <c r="D693" s="290"/>
      <c r="E693" s="290"/>
      <c r="F693" s="290"/>
      <c r="G693" s="290"/>
      <c r="H693" s="290"/>
      <c r="I693" s="290"/>
      <c r="J693" s="290"/>
      <c r="K693" s="131"/>
      <c r="L693" s="131"/>
      <c r="M693" s="131"/>
      <c r="N693" s="131"/>
      <c r="O693" s="131"/>
      <c r="P693" s="131"/>
      <c r="Q693" s="131"/>
      <c r="R693" s="131"/>
      <c r="S693" s="131"/>
      <c r="T693" s="131"/>
      <c r="U693" s="131"/>
      <c r="V693" s="131"/>
      <c r="W693" s="131"/>
      <c r="X693" s="131"/>
      <c r="Y693" s="131"/>
      <c r="Z693" s="131"/>
    </row>
    <row r="694">
      <c r="A694" s="290"/>
      <c r="B694" s="290"/>
      <c r="C694" s="290"/>
      <c r="D694" s="290"/>
      <c r="E694" s="290"/>
      <c r="F694" s="290"/>
      <c r="G694" s="290"/>
      <c r="H694" s="290"/>
      <c r="I694" s="290"/>
      <c r="J694" s="290"/>
      <c r="K694" s="131"/>
      <c r="L694" s="131"/>
      <c r="M694" s="131"/>
      <c r="N694" s="131"/>
      <c r="O694" s="131"/>
      <c r="P694" s="131"/>
      <c r="Q694" s="131"/>
      <c r="R694" s="131"/>
      <c r="S694" s="131"/>
      <c r="T694" s="131"/>
      <c r="U694" s="131"/>
      <c r="V694" s="131"/>
      <c r="W694" s="131"/>
      <c r="X694" s="131"/>
      <c r="Y694" s="131"/>
      <c r="Z694" s="131"/>
    </row>
    <row r="695">
      <c r="A695" s="290"/>
      <c r="B695" s="290"/>
      <c r="C695" s="290"/>
      <c r="D695" s="290"/>
      <c r="E695" s="290"/>
      <c r="F695" s="290"/>
      <c r="G695" s="290"/>
      <c r="H695" s="290"/>
      <c r="I695" s="290"/>
      <c r="J695" s="290"/>
      <c r="K695" s="131"/>
      <c r="L695" s="131"/>
      <c r="M695" s="131"/>
      <c r="N695" s="131"/>
      <c r="O695" s="131"/>
      <c r="P695" s="131"/>
      <c r="Q695" s="131"/>
      <c r="R695" s="131"/>
      <c r="S695" s="131"/>
      <c r="T695" s="131"/>
      <c r="U695" s="131"/>
      <c r="V695" s="131"/>
      <c r="W695" s="131"/>
      <c r="X695" s="131"/>
      <c r="Y695" s="131"/>
      <c r="Z695" s="131"/>
    </row>
    <row r="696">
      <c r="A696" s="290"/>
      <c r="B696" s="290"/>
      <c r="C696" s="290"/>
      <c r="D696" s="290"/>
      <c r="E696" s="290"/>
      <c r="F696" s="290"/>
      <c r="G696" s="290"/>
      <c r="H696" s="290"/>
      <c r="I696" s="290"/>
      <c r="J696" s="290"/>
      <c r="K696" s="131"/>
      <c r="L696" s="131"/>
      <c r="M696" s="131"/>
      <c r="N696" s="131"/>
      <c r="O696" s="131"/>
      <c r="P696" s="131"/>
      <c r="Q696" s="131"/>
      <c r="R696" s="131"/>
      <c r="S696" s="131"/>
      <c r="T696" s="131"/>
      <c r="U696" s="131"/>
      <c r="V696" s="131"/>
      <c r="W696" s="131"/>
      <c r="X696" s="131"/>
      <c r="Y696" s="131"/>
      <c r="Z696" s="131"/>
    </row>
    <row r="697">
      <c r="A697" s="290"/>
      <c r="B697" s="290"/>
      <c r="C697" s="290"/>
      <c r="D697" s="290"/>
      <c r="E697" s="290"/>
      <c r="F697" s="290"/>
      <c r="G697" s="290"/>
      <c r="H697" s="290"/>
      <c r="I697" s="290"/>
      <c r="J697" s="290"/>
      <c r="K697" s="131"/>
      <c r="L697" s="131"/>
      <c r="M697" s="131"/>
      <c r="N697" s="131"/>
      <c r="O697" s="131"/>
      <c r="P697" s="131"/>
      <c r="Q697" s="131"/>
      <c r="R697" s="131"/>
      <c r="S697" s="131"/>
      <c r="T697" s="131"/>
      <c r="U697" s="131"/>
      <c r="V697" s="131"/>
      <c r="W697" s="131"/>
      <c r="X697" s="131"/>
      <c r="Y697" s="131"/>
      <c r="Z697" s="131"/>
    </row>
    <row r="698">
      <c r="A698" s="290"/>
      <c r="B698" s="290"/>
      <c r="C698" s="290"/>
      <c r="D698" s="290"/>
      <c r="E698" s="290"/>
      <c r="F698" s="290"/>
      <c r="G698" s="290"/>
      <c r="H698" s="290"/>
      <c r="I698" s="290"/>
      <c r="J698" s="290"/>
      <c r="K698" s="131"/>
      <c r="L698" s="131"/>
      <c r="M698" s="131"/>
      <c r="N698" s="131"/>
      <c r="O698" s="131"/>
      <c r="P698" s="131"/>
      <c r="Q698" s="131"/>
      <c r="R698" s="131"/>
      <c r="S698" s="131"/>
      <c r="T698" s="131"/>
      <c r="U698" s="131"/>
      <c r="V698" s="131"/>
      <c r="W698" s="131"/>
      <c r="X698" s="131"/>
      <c r="Y698" s="131"/>
      <c r="Z698" s="131"/>
    </row>
    <row r="699">
      <c r="A699" s="290"/>
      <c r="B699" s="290"/>
      <c r="C699" s="290"/>
      <c r="D699" s="290"/>
      <c r="E699" s="290"/>
      <c r="F699" s="290"/>
      <c r="G699" s="290"/>
      <c r="H699" s="290"/>
      <c r="I699" s="290"/>
      <c r="J699" s="290"/>
      <c r="K699" s="131"/>
      <c r="L699" s="131"/>
      <c r="M699" s="131"/>
      <c r="N699" s="131"/>
      <c r="O699" s="131"/>
      <c r="P699" s="131"/>
      <c r="Q699" s="131"/>
      <c r="R699" s="131"/>
      <c r="S699" s="131"/>
      <c r="T699" s="131"/>
      <c r="U699" s="131"/>
      <c r="V699" s="131"/>
      <c r="W699" s="131"/>
      <c r="X699" s="131"/>
      <c r="Y699" s="131"/>
      <c r="Z699" s="131"/>
    </row>
    <row r="700">
      <c r="A700" s="290"/>
      <c r="B700" s="290"/>
      <c r="C700" s="290"/>
      <c r="D700" s="290"/>
      <c r="E700" s="290"/>
      <c r="F700" s="290"/>
      <c r="G700" s="290"/>
      <c r="H700" s="290"/>
      <c r="I700" s="290"/>
      <c r="J700" s="290"/>
      <c r="K700" s="131"/>
      <c r="L700" s="131"/>
      <c r="M700" s="131"/>
      <c r="N700" s="131"/>
      <c r="O700" s="131"/>
      <c r="P700" s="131"/>
      <c r="Q700" s="131"/>
      <c r="R700" s="131"/>
      <c r="S700" s="131"/>
      <c r="T700" s="131"/>
      <c r="U700" s="131"/>
      <c r="V700" s="131"/>
      <c r="W700" s="131"/>
      <c r="X700" s="131"/>
      <c r="Y700" s="131"/>
      <c r="Z700" s="131"/>
    </row>
    <row r="701">
      <c r="A701" s="290"/>
      <c r="B701" s="290"/>
      <c r="C701" s="290"/>
      <c r="D701" s="290"/>
      <c r="E701" s="290"/>
      <c r="F701" s="290"/>
      <c r="G701" s="290"/>
      <c r="H701" s="290"/>
      <c r="I701" s="290"/>
      <c r="J701" s="290"/>
      <c r="K701" s="131"/>
      <c r="L701" s="131"/>
      <c r="M701" s="131"/>
      <c r="N701" s="131"/>
      <c r="O701" s="131"/>
      <c r="P701" s="131"/>
      <c r="Q701" s="131"/>
      <c r="R701" s="131"/>
      <c r="S701" s="131"/>
      <c r="T701" s="131"/>
      <c r="U701" s="131"/>
      <c r="V701" s="131"/>
      <c r="W701" s="131"/>
      <c r="X701" s="131"/>
      <c r="Y701" s="131"/>
      <c r="Z701" s="131"/>
    </row>
    <row r="702">
      <c r="A702" s="290"/>
      <c r="B702" s="290"/>
      <c r="C702" s="290"/>
      <c r="D702" s="290"/>
      <c r="E702" s="290"/>
      <c r="F702" s="290"/>
      <c r="G702" s="290"/>
      <c r="H702" s="290"/>
      <c r="I702" s="290"/>
      <c r="J702" s="290"/>
      <c r="K702" s="131"/>
      <c r="L702" s="131"/>
      <c r="M702" s="131"/>
      <c r="N702" s="131"/>
      <c r="O702" s="131"/>
      <c r="P702" s="131"/>
      <c r="Q702" s="131"/>
      <c r="R702" s="131"/>
      <c r="S702" s="131"/>
      <c r="T702" s="131"/>
      <c r="U702" s="131"/>
      <c r="V702" s="131"/>
      <c r="W702" s="131"/>
      <c r="X702" s="131"/>
      <c r="Y702" s="131"/>
      <c r="Z702" s="131"/>
    </row>
    <row r="703">
      <c r="A703" s="290"/>
      <c r="B703" s="290"/>
      <c r="C703" s="290"/>
      <c r="D703" s="290"/>
      <c r="E703" s="290"/>
      <c r="F703" s="290"/>
      <c r="G703" s="290"/>
      <c r="H703" s="290"/>
      <c r="I703" s="290"/>
      <c r="J703" s="290"/>
      <c r="K703" s="131"/>
      <c r="L703" s="131"/>
      <c r="M703" s="131"/>
      <c r="N703" s="131"/>
      <c r="O703" s="131"/>
      <c r="P703" s="131"/>
      <c r="Q703" s="131"/>
      <c r="R703" s="131"/>
      <c r="S703" s="131"/>
      <c r="T703" s="131"/>
      <c r="U703" s="131"/>
      <c r="V703" s="131"/>
      <c r="W703" s="131"/>
      <c r="X703" s="131"/>
      <c r="Y703" s="131"/>
      <c r="Z703" s="131"/>
    </row>
    <row r="704">
      <c r="A704" s="290"/>
      <c r="B704" s="290"/>
      <c r="C704" s="290"/>
      <c r="D704" s="290"/>
      <c r="E704" s="290"/>
      <c r="F704" s="290"/>
      <c r="G704" s="290"/>
      <c r="H704" s="290"/>
      <c r="I704" s="290"/>
      <c r="J704" s="290"/>
      <c r="K704" s="131"/>
      <c r="L704" s="131"/>
      <c r="M704" s="131"/>
      <c r="N704" s="131"/>
      <c r="O704" s="131"/>
      <c r="P704" s="131"/>
      <c r="Q704" s="131"/>
      <c r="R704" s="131"/>
      <c r="S704" s="131"/>
      <c r="T704" s="131"/>
      <c r="U704" s="131"/>
      <c r="V704" s="131"/>
      <c r="W704" s="131"/>
      <c r="X704" s="131"/>
      <c r="Y704" s="131"/>
      <c r="Z704" s="131"/>
    </row>
    <row r="705">
      <c r="A705" s="290"/>
      <c r="B705" s="290"/>
      <c r="C705" s="290"/>
      <c r="D705" s="290"/>
      <c r="E705" s="290"/>
      <c r="F705" s="290"/>
      <c r="G705" s="290"/>
      <c r="H705" s="290"/>
      <c r="I705" s="290"/>
      <c r="J705" s="290"/>
      <c r="K705" s="131"/>
      <c r="L705" s="131"/>
      <c r="M705" s="131"/>
      <c r="N705" s="131"/>
      <c r="O705" s="131"/>
      <c r="P705" s="131"/>
      <c r="Q705" s="131"/>
      <c r="R705" s="131"/>
      <c r="S705" s="131"/>
      <c r="T705" s="131"/>
      <c r="U705" s="131"/>
      <c r="V705" s="131"/>
      <c r="W705" s="131"/>
      <c r="X705" s="131"/>
      <c r="Y705" s="131"/>
      <c r="Z705" s="131"/>
    </row>
    <row r="706">
      <c r="A706" s="290"/>
      <c r="B706" s="290"/>
      <c r="C706" s="290"/>
      <c r="D706" s="290"/>
      <c r="E706" s="290"/>
      <c r="F706" s="290"/>
      <c r="G706" s="290"/>
      <c r="H706" s="290"/>
      <c r="I706" s="290"/>
      <c r="J706" s="290"/>
      <c r="K706" s="131"/>
      <c r="L706" s="131"/>
      <c r="M706" s="131"/>
      <c r="N706" s="131"/>
      <c r="O706" s="131"/>
      <c r="P706" s="131"/>
      <c r="Q706" s="131"/>
      <c r="R706" s="131"/>
      <c r="S706" s="131"/>
      <c r="T706" s="131"/>
      <c r="U706" s="131"/>
      <c r="V706" s="131"/>
      <c r="W706" s="131"/>
      <c r="X706" s="131"/>
      <c r="Y706" s="131"/>
      <c r="Z706" s="131"/>
    </row>
    <row r="707">
      <c r="A707" s="290"/>
      <c r="B707" s="290"/>
      <c r="C707" s="290"/>
      <c r="D707" s="290"/>
      <c r="E707" s="290"/>
      <c r="F707" s="290"/>
      <c r="G707" s="290"/>
      <c r="H707" s="290"/>
      <c r="I707" s="290"/>
      <c r="J707" s="290"/>
      <c r="K707" s="131"/>
      <c r="L707" s="131"/>
      <c r="M707" s="131"/>
      <c r="N707" s="131"/>
      <c r="O707" s="131"/>
      <c r="P707" s="131"/>
      <c r="Q707" s="131"/>
      <c r="R707" s="131"/>
      <c r="S707" s="131"/>
      <c r="T707" s="131"/>
      <c r="U707" s="131"/>
      <c r="V707" s="131"/>
      <c r="W707" s="131"/>
      <c r="X707" s="131"/>
      <c r="Y707" s="131"/>
      <c r="Z707" s="131"/>
    </row>
    <row r="708">
      <c r="A708" s="290"/>
      <c r="B708" s="290"/>
      <c r="C708" s="290"/>
      <c r="D708" s="290"/>
      <c r="E708" s="290"/>
      <c r="F708" s="290"/>
      <c r="G708" s="290"/>
      <c r="H708" s="290"/>
      <c r="I708" s="290"/>
      <c r="J708" s="290"/>
      <c r="K708" s="131"/>
      <c r="L708" s="131"/>
      <c r="M708" s="131"/>
      <c r="N708" s="131"/>
      <c r="O708" s="131"/>
      <c r="P708" s="131"/>
      <c r="Q708" s="131"/>
      <c r="R708" s="131"/>
      <c r="S708" s="131"/>
      <c r="T708" s="131"/>
      <c r="U708" s="131"/>
      <c r="V708" s="131"/>
      <c r="W708" s="131"/>
      <c r="X708" s="131"/>
      <c r="Y708" s="131"/>
      <c r="Z708" s="131"/>
    </row>
    <row r="709">
      <c r="A709" s="290"/>
      <c r="B709" s="290"/>
      <c r="C709" s="290"/>
      <c r="D709" s="290"/>
      <c r="E709" s="290"/>
      <c r="F709" s="290"/>
      <c r="G709" s="290"/>
      <c r="H709" s="290"/>
      <c r="I709" s="290"/>
      <c r="J709" s="290"/>
      <c r="K709" s="131"/>
      <c r="L709" s="131"/>
      <c r="M709" s="131"/>
      <c r="N709" s="131"/>
      <c r="O709" s="131"/>
      <c r="P709" s="131"/>
      <c r="Q709" s="131"/>
      <c r="R709" s="131"/>
      <c r="S709" s="131"/>
      <c r="T709" s="131"/>
      <c r="U709" s="131"/>
      <c r="V709" s="131"/>
      <c r="W709" s="131"/>
      <c r="X709" s="131"/>
      <c r="Y709" s="131"/>
      <c r="Z709" s="131"/>
    </row>
    <row r="710">
      <c r="A710" s="290"/>
      <c r="B710" s="290"/>
      <c r="C710" s="290"/>
      <c r="D710" s="290"/>
      <c r="E710" s="290"/>
      <c r="F710" s="290"/>
      <c r="G710" s="290"/>
      <c r="H710" s="290"/>
      <c r="I710" s="290"/>
      <c r="J710" s="290"/>
      <c r="K710" s="131"/>
      <c r="L710" s="131"/>
      <c r="M710" s="131"/>
      <c r="N710" s="131"/>
      <c r="O710" s="131"/>
      <c r="P710" s="131"/>
      <c r="Q710" s="131"/>
      <c r="R710" s="131"/>
      <c r="S710" s="131"/>
      <c r="T710" s="131"/>
      <c r="U710" s="131"/>
      <c r="V710" s="131"/>
      <c r="W710" s="131"/>
      <c r="X710" s="131"/>
      <c r="Y710" s="131"/>
      <c r="Z710" s="131"/>
    </row>
    <row r="711">
      <c r="A711" s="290"/>
      <c r="B711" s="290"/>
      <c r="C711" s="290"/>
      <c r="D711" s="290"/>
      <c r="E711" s="290"/>
      <c r="F711" s="290"/>
      <c r="G711" s="290"/>
      <c r="H711" s="290"/>
      <c r="I711" s="290"/>
      <c r="J711" s="290"/>
      <c r="K711" s="131"/>
      <c r="L711" s="131"/>
      <c r="M711" s="131"/>
      <c r="N711" s="131"/>
      <c r="O711" s="131"/>
      <c r="P711" s="131"/>
      <c r="Q711" s="131"/>
      <c r="R711" s="131"/>
      <c r="S711" s="131"/>
      <c r="T711" s="131"/>
      <c r="U711" s="131"/>
      <c r="V711" s="131"/>
      <c r="W711" s="131"/>
      <c r="X711" s="131"/>
      <c r="Y711" s="131"/>
      <c r="Z711" s="131"/>
    </row>
    <row r="712">
      <c r="A712" s="290"/>
      <c r="B712" s="290"/>
      <c r="C712" s="290"/>
      <c r="D712" s="290"/>
      <c r="E712" s="290"/>
      <c r="F712" s="290"/>
      <c r="G712" s="290"/>
      <c r="H712" s="290"/>
      <c r="I712" s="290"/>
      <c r="J712" s="290"/>
      <c r="K712" s="131"/>
      <c r="L712" s="131"/>
      <c r="M712" s="131"/>
      <c r="N712" s="131"/>
      <c r="O712" s="131"/>
      <c r="P712" s="131"/>
      <c r="Q712" s="131"/>
      <c r="R712" s="131"/>
      <c r="S712" s="131"/>
      <c r="T712" s="131"/>
      <c r="U712" s="131"/>
      <c r="V712" s="131"/>
      <c r="W712" s="131"/>
      <c r="X712" s="131"/>
      <c r="Y712" s="131"/>
      <c r="Z712" s="131"/>
    </row>
    <row r="713">
      <c r="A713" s="290"/>
      <c r="B713" s="290"/>
      <c r="C713" s="290"/>
      <c r="D713" s="290"/>
      <c r="E713" s="290"/>
      <c r="F713" s="290"/>
      <c r="G713" s="290"/>
      <c r="H713" s="290"/>
      <c r="I713" s="290"/>
      <c r="J713" s="290"/>
      <c r="K713" s="131"/>
      <c r="L713" s="131"/>
      <c r="M713" s="131"/>
      <c r="N713" s="131"/>
      <c r="O713" s="131"/>
      <c r="P713" s="131"/>
      <c r="Q713" s="131"/>
      <c r="R713" s="131"/>
      <c r="S713" s="131"/>
      <c r="T713" s="131"/>
      <c r="U713" s="131"/>
      <c r="V713" s="131"/>
      <c r="W713" s="131"/>
      <c r="X713" s="131"/>
      <c r="Y713" s="131"/>
      <c r="Z713" s="131"/>
    </row>
    <row r="714">
      <c r="A714" s="290"/>
      <c r="B714" s="290"/>
      <c r="C714" s="290"/>
      <c r="D714" s="290"/>
      <c r="E714" s="290"/>
      <c r="F714" s="290"/>
      <c r="G714" s="290"/>
      <c r="H714" s="290"/>
      <c r="I714" s="290"/>
      <c r="J714" s="290"/>
      <c r="K714" s="131"/>
      <c r="L714" s="131"/>
      <c r="M714" s="131"/>
      <c r="N714" s="131"/>
      <c r="O714" s="131"/>
      <c r="P714" s="131"/>
      <c r="Q714" s="131"/>
      <c r="R714" s="131"/>
      <c r="S714" s="131"/>
      <c r="T714" s="131"/>
      <c r="U714" s="131"/>
      <c r="V714" s="131"/>
      <c r="W714" s="131"/>
      <c r="X714" s="131"/>
      <c r="Y714" s="131"/>
      <c r="Z714" s="131"/>
    </row>
    <row r="715">
      <c r="A715" s="290"/>
      <c r="B715" s="290"/>
      <c r="C715" s="290"/>
      <c r="D715" s="290"/>
      <c r="E715" s="290"/>
      <c r="F715" s="290"/>
      <c r="G715" s="290"/>
      <c r="H715" s="290"/>
      <c r="I715" s="290"/>
      <c r="J715" s="290"/>
      <c r="K715" s="131"/>
      <c r="L715" s="131"/>
      <c r="M715" s="131"/>
      <c r="N715" s="131"/>
      <c r="O715" s="131"/>
      <c r="P715" s="131"/>
      <c r="Q715" s="131"/>
      <c r="R715" s="131"/>
      <c r="S715" s="131"/>
      <c r="T715" s="131"/>
      <c r="U715" s="131"/>
      <c r="V715" s="131"/>
      <c r="W715" s="131"/>
      <c r="X715" s="131"/>
      <c r="Y715" s="131"/>
      <c r="Z715" s="131"/>
    </row>
    <row r="716">
      <c r="A716" s="290"/>
      <c r="B716" s="290"/>
      <c r="C716" s="290"/>
      <c r="D716" s="290"/>
      <c r="E716" s="290"/>
      <c r="F716" s="290"/>
      <c r="G716" s="290"/>
      <c r="H716" s="290"/>
      <c r="I716" s="290"/>
      <c r="J716" s="290"/>
      <c r="K716" s="131"/>
      <c r="L716" s="131"/>
      <c r="M716" s="131"/>
      <c r="N716" s="131"/>
      <c r="O716" s="131"/>
      <c r="P716" s="131"/>
      <c r="Q716" s="131"/>
      <c r="R716" s="131"/>
      <c r="S716" s="131"/>
      <c r="T716" s="131"/>
      <c r="U716" s="131"/>
      <c r="V716" s="131"/>
      <c r="W716" s="131"/>
      <c r="X716" s="131"/>
      <c r="Y716" s="131"/>
      <c r="Z716" s="131"/>
    </row>
    <row r="717">
      <c r="A717" s="290"/>
      <c r="B717" s="290"/>
      <c r="C717" s="290"/>
      <c r="D717" s="290"/>
      <c r="E717" s="290"/>
      <c r="F717" s="290"/>
      <c r="G717" s="290"/>
      <c r="H717" s="290"/>
      <c r="I717" s="290"/>
      <c r="J717" s="290"/>
      <c r="K717" s="131"/>
      <c r="L717" s="131"/>
      <c r="M717" s="131"/>
      <c r="N717" s="131"/>
      <c r="O717" s="131"/>
      <c r="P717" s="131"/>
      <c r="Q717" s="131"/>
      <c r="R717" s="131"/>
      <c r="S717" s="131"/>
      <c r="T717" s="131"/>
      <c r="U717" s="131"/>
      <c r="V717" s="131"/>
      <c r="W717" s="131"/>
      <c r="X717" s="131"/>
      <c r="Y717" s="131"/>
      <c r="Z717" s="131"/>
    </row>
    <row r="718">
      <c r="A718" s="290"/>
      <c r="B718" s="290"/>
      <c r="C718" s="290"/>
      <c r="D718" s="290"/>
      <c r="E718" s="290"/>
      <c r="F718" s="290"/>
      <c r="G718" s="290"/>
      <c r="H718" s="290"/>
      <c r="I718" s="290"/>
      <c r="J718" s="290"/>
      <c r="K718" s="131"/>
      <c r="L718" s="131"/>
      <c r="M718" s="131"/>
      <c r="N718" s="131"/>
      <c r="O718" s="131"/>
      <c r="P718" s="131"/>
      <c r="Q718" s="131"/>
      <c r="R718" s="131"/>
      <c r="S718" s="131"/>
      <c r="T718" s="131"/>
      <c r="U718" s="131"/>
      <c r="V718" s="131"/>
      <c r="W718" s="131"/>
      <c r="X718" s="131"/>
      <c r="Y718" s="131"/>
      <c r="Z718" s="131"/>
    </row>
    <row r="719">
      <c r="A719" s="290"/>
      <c r="B719" s="290"/>
      <c r="C719" s="290"/>
      <c r="D719" s="290"/>
      <c r="E719" s="290"/>
      <c r="F719" s="290"/>
      <c r="G719" s="290"/>
      <c r="H719" s="290"/>
      <c r="I719" s="290"/>
      <c r="J719" s="290"/>
      <c r="K719" s="131"/>
      <c r="L719" s="131"/>
      <c r="M719" s="131"/>
      <c r="N719" s="131"/>
      <c r="O719" s="131"/>
      <c r="P719" s="131"/>
      <c r="Q719" s="131"/>
      <c r="R719" s="131"/>
      <c r="S719" s="131"/>
      <c r="T719" s="131"/>
      <c r="U719" s="131"/>
      <c r="V719" s="131"/>
      <c r="W719" s="131"/>
      <c r="X719" s="131"/>
      <c r="Y719" s="131"/>
      <c r="Z719" s="131"/>
    </row>
    <row r="720">
      <c r="A720" s="290"/>
      <c r="B720" s="290"/>
      <c r="C720" s="290"/>
      <c r="D720" s="290"/>
      <c r="E720" s="290"/>
      <c r="F720" s="290"/>
      <c r="G720" s="290"/>
      <c r="H720" s="290"/>
      <c r="I720" s="290"/>
      <c r="J720" s="290"/>
      <c r="K720" s="131"/>
      <c r="L720" s="131"/>
      <c r="M720" s="131"/>
      <c r="N720" s="131"/>
      <c r="O720" s="131"/>
      <c r="P720" s="131"/>
      <c r="Q720" s="131"/>
      <c r="R720" s="131"/>
      <c r="S720" s="131"/>
      <c r="T720" s="131"/>
      <c r="U720" s="131"/>
      <c r="V720" s="131"/>
      <c r="W720" s="131"/>
      <c r="X720" s="131"/>
      <c r="Y720" s="131"/>
      <c r="Z720" s="131"/>
    </row>
    <row r="721">
      <c r="A721" s="290"/>
      <c r="B721" s="290"/>
      <c r="C721" s="290"/>
      <c r="D721" s="290"/>
      <c r="E721" s="290"/>
      <c r="F721" s="290"/>
      <c r="G721" s="290"/>
      <c r="H721" s="290"/>
      <c r="I721" s="290"/>
      <c r="J721" s="290"/>
      <c r="K721" s="131"/>
      <c r="L721" s="131"/>
      <c r="M721" s="131"/>
      <c r="N721" s="131"/>
      <c r="O721" s="131"/>
      <c r="P721" s="131"/>
      <c r="Q721" s="131"/>
      <c r="R721" s="131"/>
      <c r="S721" s="131"/>
      <c r="T721" s="131"/>
      <c r="U721" s="131"/>
      <c r="V721" s="131"/>
      <c r="W721" s="131"/>
      <c r="X721" s="131"/>
      <c r="Y721" s="131"/>
      <c r="Z721" s="131"/>
    </row>
    <row r="722">
      <c r="A722" s="290"/>
      <c r="B722" s="290"/>
      <c r="C722" s="290"/>
      <c r="D722" s="290"/>
      <c r="E722" s="290"/>
      <c r="F722" s="290"/>
      <c r="G722" s="290"/>
      <c r="H722" s="290"/>
      <c r="I722" s="290"/>
      <c r="J722" s="290"/>
      <c r="K722" s="131"/>
      <c r="L722" s="131"/>
      <c r="M722" s="131"/>
      <c r="N722" s="131"/>
      <c r="O722" s="131"/>
      <c r="P722" s="131"/>
      <c r="Q722" s="131"/>
      <c r="R722" s="131"/>
      <c r="S722" s="131"/>
      <c r="T722" s="131"/>
      <c r="U722" s="131"/>
      <c r="V722" s="131"/>
      <c r="W722" s="131"/>
      <c r="X722" s="131"/>
      <c r="Y722" s="131"/>
      <c r="Z722" s="131"/>
    </row>
    <row r="723">
      <c r="A723" s="290"/>
      <c r="B723" s="290"/>
      <c r="C723" s="290"/>
      <c r="D723" s="290"/>
      <c r="E723" s="290"/>
      <c r="F723" s="290"/>
      <c r="G723" s="290"/>
      <c r="H723" s="290"/>
      <c r="I723" s="290"/>
      <c r="J723" s="290"/>
      <c r="K723" s="131"/>
      <c r="L723" s="131"/>
      <c r="M723" s="131"/>
      <c r="N723" s="131"/>
      <c r="O723" s="131"/>
      <c r="P723" s="131"/>
      <c r="Q723" s="131"/>
      <c r="R723" s="131"/>
      <c r="S723" s="131"/>
      <c r="T723" s="131"/>
      <c r="U723" s="131"/>
      <c r="V723" s="131"/>
      <c r="W723" s="131"/>
      <c r="X723" s="131"/>
      <c r="Y723" s="131"/>
      <c r="Z723" s="131"/>
    </row>
    <row r="724">
      <c r="A724" s="290"/>
      <c r="B724" s="290"/>
      <c r="C724" s="290"/>
      <c r="D724" s="290"/>
      <c r="E724" s="290"/>
      <c r="F724" s="290"/>
      <c r="G724" s="290"/>
      <c r="H724" s="290"/>
      <c r="I724" s="290"/>
      <c r="J724" s="290"/>
      <c r="K724" s="131"/>
      <c r="L724" s="131"/>
      <c r="M724" s="131"/>
      <c r="N724" s="131"/>
      <c r="O724" s="131"/>
      <c r="P724" s="131"/>
      <c r="Q724" s="131"/>
      <c r="R724" s="131"/>
      <c r="S724" s="131"/>
      <c r="T724" s="131"/>
      <c r="U724" s="131"/>
      <c r="V724" s="131"/>
      <c r="W724" s="131"/>
      <c r="X724" s="131"/>
      <c r="Y724" s="131"/>
      <c r="Z724" s="131"/>
    </row>
    <row r="725">
      <c r="A725" s="290"/>
      <c r="B725" s="290"/>
      <c r="C725" s="290"/>
      <c r="D725" s="290"/>
      <c r="E725" s="290"/>
      <c r="F725" s="290"/>
      <c r="G725" s="290"/>
      <c r="H725" s="290"/>
      <c r="I725" s="290"/>
      <c r="J725" s="290"/>
      <c r="K725" s="131"/>
      <c r="L725" s="131"/>
      <c r="M725" s="131"/>
      <c r="N725" s="131"/>
      <c r="O725" s="131"/>
      <c r="P725" s="131"/>
      <c r="Q725" s="131"/>
      <c r="R725" s="131"/>
      <c r="S725" s="131"/>
      <c r="T725" s="131"/>
      <c r="U725" s="131"/>
      <c r="V725" s="131"/>
      <c r="W725" s="131"/>
      <c r="X725" s="131"/>
      <c r="Y725" s="131"/>
      <c r="Z725" s="131"/>
    </row>
    <row r="726">
      <c r="A726" s="290"/>
      <c r="B726" s="290"/>
      <c r="C726" s="290"/>
      <c r="D726" s="290"/>
      <c r="E726" s="290"/>
      <c r="F726" s="290"/>
      <c r="G726" s="290"/>
      <c r="H726" s="290"/>
      <c r="I726" s="290"/>
      <c r="J726" s="290"/>
      <c r="K726" s="131"/>
      <c r="L726" s="131"/>
      <c r="M726" s="131"/>
      <c r="N726" s="131"/>
      <c r="O726" s="131"/>
      <c r="P726" s="131"/>
      <c r="Q726" s="131"/>
      <c r="R726" s="131"/>
      <c r="S726" s="131"/>
      <c r="T726" s="131"/>
      <c r="U726" s="131"/>
      <c r="V726" s="131"/>
      <c r="W726" s="131"/>
      <c r="X726" s="131"/>
      <c r="Y726" s="131"/>
      <c r="Z726" s="131"/>
    </row>
    <row r="727">
      <c r="A727" s="290"/>
      <c r="B727" s="290"/>
      <c r="C727" s="290"/>
      <c r="D727" s="290"/>
      <c r="E727" s="290"/>
      <c r="F727" s="290"/>
      <c r="G727" s="290"/>
      <c r="H727" s="290"/>
      <c r="I727" s="290"/>
      <c r="J727" s="290"/>
      <c r="K727" s="131"/>
      <c r="L727" s="131"/>
      <c r="M727" s="131"/>
      <c r="N727" s="131"/>
      <c r="O727" s="131"/>
      <c r="P727" s="131"/>
      <c r="Q727" s="131"/>
      <c r="R727" s="131"/>
      <c r="S727" s="131"/>
      <c r="T727" s="131"/>
      <c r="U727" s="131"/>
      <c r="V727" s="131"/>
      <c r="W727" s="131"/>
      <c r="X727" s="131"/>
      <c r="Y727" s="131"/>
      <c r="Z727" s="131"/>
    </row>
    <row r="728">
      <c r="A728" s="290"/>
      <c r="B728" s="290"/>
      <c r="C728" s="290"/>
      <c r="D728" s="290"/>
      <c r="E728" s="290"/>
      <c r="F728" s="290"/>
      <c r="G728" s="290"/>
      <c r="H728" s="290"/>
      <c r="I728" s="290"/>
      <c r="J728" s="290"/>
      <c r="K728" s="131"/>
      <c r="L728" s="131"/>
      <c r="M728" s="131"/>
      <c r="N728" s="131"/>
      <c r="O728" s="131"/>
      <c r="P728" s="131"/>
      <c r="Q728" s="131"/>
      <c r="R728" s="131"/>
      <c r="S728" s="131"/>
      <c r="T728" s="131"/>
      <c r="U728" s="131"/>
      <c r="V728" s="131"/>
      <c r="W728" s="131"/>
      <c r="X728" s="131"/>
      <c r="Y728" s="131"/>
      <c r="Z728" s="131"/>
    </row>
    <row r="729">
      <c r="A729" s="290"/>
      <c r="B729" s="290"/>
      <c r="C729" s="290"/>
      <c r="D729" s="290"/>
      <c r="E729" s="290"/>
      <c r="F729" s="290"/>
      <c r="G729" s="290"/>
      <c r="H729" s="290"/>
      <c r="I729" s="290"/>
      <c r="J729" s="290"/>
      <c r="K729" s="131"/>
      <c r="L729" s="131"/>
      <c r="M729" s="131"/>
      <c r="N729" s="131"/>
      <c r="O729" s="131"/>
      <c r="P729" s="131"/>
      <c r="Q729" s="131"/>
      <c r="R729" s="131"/>
      <c r="S729" s="131"/>
      <c r="T729" s="131"/>
      <c r="U729" s="131"/>
      <c r="V729" s="131"/>
      <c r="W729" s="131"/>
      <c r="X729" s="131"/>
      <c r="Y729" s="131"/>
      <c r="Z729" s="131"/>
    </row>
    <row r="730">
      <c r="A730" s="290"/>
      <c r="B730" s="290"/>
      <c r="C730" s="290"/>
      <c r="D730" s="290"/>
      <c r="E730" s="290"/>
      <c r="F730" s="290"/>
      <c r="G730" s="290"/>
      <c r="H730" s="290"/>
      <c r="I730" s="290"/>
      <c r="J730" s="290"/>
      <c r="K730" s="131"/>
      <c r="L730" s="131"/>
      <c r="M730" s="131"/>
      <c r="N730" s="131"/>
      <c r="O730" s="131"/>
      <c r="P730" s="131"/>
      <c r="Q730" s="131"/>
      <c r="R730" s="131"/>
      <c r="S730" s="131"/>
      <c r="T730" s="131"/>
      <c r="U730" s="131"/>
      <c r="V730" s="131"/>
      <c r="W730" s="131"/>
      <c r="X730" s="131"/>
      <c r="Y730" s="131"/>
      <c r="Z730" s="131"/>
    </row>
    <row r="731">
      <c r="A731" s="290"/>
      <c r="B731" s="290"/>
      <c r="C731" s="290"/>
      <c r="D731" s="290"/>
      <c r="E731" s="290"/>
      <c r="F731" s="290"/>
      <c r="G731" s="290"/>
      <c r="H731" s="290"/>
      <c r="I731" s="290"/>
      <c r="J731" s="290"/>
      <c r="K731" s="131"/>
      <c r="L731" s="131"/>
      <c r="M731" s="131"/>
      <c r="N731" s="131"/>
      <c r="O731" s="131"/>
      <c r="P731" s="131"/>
      <c r="Q731" s="131"/>
      <c r="R731" s="131"/>
      <c r="S731" s="131"/>
      <c r="T731" s="131"/>
      <c r="U731" s="131"/>
      <c r="V731" s="131"/>
      <c r="W731" s="131"/>
      <c r="X731" s="131"/>
      <c r="Y731" s="131"/>
      <c r="Z731" s="131"/>
    </row>
    <row r="732">
      <c r="A732" s="290"/>
      <c r="B732" s="290"/>
      <c r="C732" s="290"/>
      <c r="D732" s="290"/>
      <c r="E732" s="290"/>
      <c r="F732" s="290"/>
      <c r="G732" s="290"/>
      <c r="H732" s="290"/>
      <c r="I732" s="290"/>
      <c r="J732" s="290"/>
      <c r="K732" s="131"/>
      <c r="L732" s="131"/>
      <c r="M732" s="131"/>
      <c r="N732" s="131"/>
      <c r="O732" s="131"/>
      <c r="P732" s="131"/>
      <c r="Q732" s="131"/>
      <c r="R732" s="131"/>
      <c r="S732" s="131"/>
      <c r="T732" s="131"/>
      <c r="U732" s="131"/>
      <c r="V732" s="131"/>
      <c r="W732" s="131"/>
      <c r="X732" s="131"/>
      <c r="Y732" s="131"/>
      <c r="Z732" s="131"/>
    </row>
    <row r="733">
      <c r="A733" s="290"/>
      <c r="B733" s="290"/>
      <c r="C733" s="290"/>
      <c r="D733" s="290"/>
      <c r="E733" s="290"/>
      <c r="F733" s="290"/>
      <c r="G733" s="290"/>
      <c r="H733" s="290"/>
      <c r="I733" s="290"/>
      <c r="J733" s="290"/>
      <c r="K733" s="131"/>
      <c r="L733" s="131"/>
      <c r="M733" s="131"/>
      <c r="N733" s="131"/>
      <c r="O733" s="131"/>
      <c r="P733" s="131"/>
      <c r="Q733" s="131"/>
      <c r="R733" s="131"/>
      <c r="S733" s="131"/>
      <c r="T733" s="131"/>
      <c r="U733" s="131"/>
      <c r="V733" s="131"/>
      <c r="W733" s="131"/>
      <c r="X733" s="131"/>
      <c r="Y733" s="131"/>
      <c r="Z733" s="131"/>
    </row>
    <row r="734">
      <c r="A734" s="290"/>
      <c r="B734" s="290"/>
      <c r="C734" s="290"/>
      <c r="D734" s="290"/>
      <c r="E734" s="290"/>
      <c r="F734" s="290"/>
      <c r="G734" s="290"/>
      <c r="H734" s="290"/>
      <c r="I734" s="290"/>
      <c r="J734" s="290"/>
      <c r="K734" s="131"/>
      <c r="L734" s="131"/>
      <c r="M734" s="131"/>
      <c r="N734" s="131"/>
      <c r="O734" s="131"/>
      <c r="P734" s="131"/>
      <c r="Q734" s="131"/>
      <c r="R734" s="131"/>
      <c r="S734" s="131"/>
      <c r="T734" s="131"/>
      <c r="U734" s="131"/>
      <c r="V734" s="131"/>
      <c r="W734" s="131"/>
      <c r="X734" s="131"/>
      <c r="Y734" s="131"/>
      <c r="Z734" s="131"/>
    </row>
    <row r="735">
      <c r="A735" s="290"/>
      <c r="B735" s="290"/>
      <c r="C735" s="290"/>
      <c r="D735" s="290"/>
      <c r="E735" s="290"/>
      <c r="F735" s="290"/>
      <c r="G735" s="290"/>
      <c r="H735" s="290"/>
      <c r="I735" s="290"/>
      <c r="J735" s="290"/>
      <c r="K735" s="131"/>
      <c r="L735" s="131"/>
      <c r="M735" s="131"/>
      <c r="N735" s="131"/>
      <c r="O735" s="131"/>
      <c r="P735" s="131"/>
      <c r="Q735" s="131"/>
      <c r="R735" s="131"/>
      <c r="S735" s="131"/>
      <c r="T735" s="131"/>
      <c r="U735" s="131"/>
      <c r="V735" s="131"/>
      <c r="W735" s="131"/>
      <c r="X735" s="131"/>
      <c r="Y735" s="131"/>
      <c r="Z735" s="131"/>
    </row>
    <row r="736">
      <c r="A736" s="290"/>
      <c r="B736" s="290"/>
      <c r="C736" s="290"/>
      <c r="D736" s="290"/>
      <c r="E736" s="290"/>
      <c r="F736" s="290"/>
      <c r="G736" s="290"/>
      <c r="H736" s="290"/>
      <c r="I736" s="290"/>
      <c r="J736" s="290"/>
      <c r="K736" s="131"/>
      <c r="L736" s="131"/>
      <c r="M736" s="131"/>
      <c r="N736" s="131"/>
      <c r="O736" s="131"/>
      <c r="P736" s="131"/>
      <c r="Q736" s="131"/>
      <c r="R736" s="131"/>
      <c r="S736" s="131"/>
      <c r="T736" s="131"/>
      <c r="U736" s="131"/>
      <c r="V736" s="131"/>
      <c r="W736" s="131"/>
      <c r="X736" s="131"/>
      <c r="Y736" s="131"/>
      <c r="Z736" s="131"/>
    </row>
    <row r="737">
      <c r="A737" s="290"/>
      <c r="B737" s="290"/>
      <c r="C737" s="290"/>
      <c r="D737" s="290"/>
      <c r="E737" s="290"/>
      <c r="F737" s="290"/>
      <c r="G737" s="290"/>
      <c r="H737" s="290"/>
      <c r="I737" s="290"/>
      <c r="J737" s="290"/>
      <c r="K737" s="131"/>
      <c r="L737" s="131"/>
      <c r="M737" s="131"/>
      <c r="N737" s="131"/>
      <c r="O737" s="131"/>
      <c r="P737" s="131"/>
      <c r="Q737" s="131"/>
      <c r="R737" s="131"/>
      <c r="S737" s="131"/>
      <c r="T737" s="131"/>
      <c r="U737" s="131"/>
      <c r="V737" s="131"/>
      <c r="W737" s="131"/>
      <c r="X737" s="131"/>
      <c r="Y737" s="131"/>
      <c r="Z737" s="131"/>
    </row>
    <row r="738">
      <c r="A738" s="290"/>
      <c r="B738" s="290"/>
      <c r="C738" s="290"/>
      <c r="D738" s="290"/>
      <c r="E738" s="290"/>
      <c r="F738" s="290"/>
      <c r="G738" s="290"/>
      <c r="H738" s="290"/>
      <c r="I738" s="290"/>
      <c r="J738" s="290"/>
      <c r="K738" s="131"/>
      <c r="L738" s="131"/>
      <c r="M738" s="131"/>
      <c r="N738" s="131"/>
      <c r="O738" s="131"/>
      <c r="P738" s="131"/>
      <c r="Q738" s="131"/>
      <c r="R738" s="131"/>
      <c r="S738" s="131"/>
      <c r="T738" s="131"/>
      <c r="U738" s="131"/>
      <c r="V738" s="131"/>
      <c r="W738" s="131"/>
      <c r="X738" s="131"/>
      <c r="Y738" s="131"/>
      <c r="Z738" s="131"/>
    </row>
    <row r="739">
      <c r="A739" s="290"/>
      <c r="B739" s="290"/>
      <c r="C739" s="290"/>
      <c r="D739" s="290"/>
      <c r="E739" s="290"/>
      <c r="F739" s="290"/>
      <c r="G739" s="290"/>
      <c r="H739" s="290"/>
      <c r="I739" s="290"/>
      <c r="J739" s="290"/>
      <c r="K739" s="131"/>
      <c r="L739" s="131"/>
      <c r="M739" s="131"/>
      <c r="N739" s="131"/>
      <c r="O739" s="131"/>
      <c r="P739" s="131"/>
      <c r="Q739" s="131"/>
      <c r="R739" s="131"/>
      <c r="S739" s="131"/>
      <c r="T739" s="131"/>
      <c r="U739" s="131"/>
      <c r="V739" s="131"/>
      <c r="W739" s="131"/>
      <c r="X739" s="131"/>
      <c r="Y739" s="131"/>
      <c r="Z739" s="131"/>
    </row>
    <row r="740">
      <c r="A740" s="290"/>
      <c r="B740" s="290"/>
      <c r="C740" s="290"/>
      <c r="D740" s="290"/>
      <c r="E740" s="290"/>
      <c r="F740" s="290"/>
      <c r="G740" s="290"/>
      <c r="H740" s="290"/>
      <c r="I740" s="290"/>
      <c r="J740" s="290"/>
      <c r="K740" s="131"/>
      <c r="L740" s="131"/>
      <c r="M740" s="131"/>
      <c r="N740" s="131"/>
      <c r="O740" s="131"/>
      <c r="P740" s="131"/>
      <c r="Q740" s="131"/>
      <c r="R740" s="131"/>
      <c r="S740" s="131"/>
      <c r="T740" s="131"/>
      <c r="U740" s="131"/>
      <c r="V740" s="131"/>
      <c r="W740" s="131"/>
      <c r="X740" s="131"/>
      <c r="Y740" s="131"/>
      <c r="Z740" s="131"/>
    </row>
    <row r="741">
      <c r="A741" s="290"/>
      <c r="B741" s="290"/>
      <c r="C741" s="290"/>
      <c r="D741" s="290"/>
      <c r="E741" s="290"/>
      <c r="F741" s="290"/>
      <c r="G741" s="290"/>
      <c r="H741" s="290"/>
      <c r="I741" s="290"/>
      <c r="J741" s="290"/>
      <c r="K741" s="131"/>
      <c r="L741" s="131"/>
      <c r="M741" s="131"/>
      <c r="N741" s="131"/>
      <c r="O741" s="131"/>
      <c r="P741" s="131"/>
      <c r="Q741" s="131"/>
      <c r="R741" s="131"/>
      <c r="S741" s="131"/>
      <c r="T741" s="131"/>
      <c r="U741" s="131"/>
      <c r="V741" s="131"/>
      <c r="W741" s="131"/>
      <c r="X741" s="131"/>
      <c r="Y741" s="131"/>
      <c r="Z741" s="131"/>
    </row>
    <row r="742">
      <c r="A742" s="290"/>
      <c r="B742" s="290"/>
      <c r="C742" s="290"/>
      <c r="D742" s="290"/>
      <c r="E742" s="290"/>
      <c r="F742" s="290"/>
      <c r="G742" s="290"/>
      <c r="H742" s="290"/>
      <c r="I742" s="290"/>
      <c r="J742" s="290"/>
      <c r="K742" s="131"/>
      <c r="L742" s="131"/>
      <c r="M742" s="131"/>
      <c r="N742" s="131"/>
      <c r="O742" s="131"/>
      <c r="P742" s="131"/>
      <c r="Q742" s="131"/>
      <c r="R742" s="131"/>
      <c r="S742" s="131"/>
      <c r="T742" s="131"/>
      <c r="U742" s="131"/>
      <c r="V742" s="131"/>
      <c r="W742" s="131"/>
      <c r="X742" s="131"/>
      <c r="Y742" s="131"/>
      <c r="Z742" s="131"/>
    </row>
    <row r="743">
      <c r="A743" s="290"/>
      <c r="B743" s="290"/>
      <c r="C743" s="290"/>
      <c r="D743" s="290"/>
      <c r="E743" s="290"/>
      <c r="F743" s="290"/>
      <c r="G743" s="290"/>
      <c r="H743" s="290"/>
      <c r="I743" s="290"/>
      <c r="J743" s="290"/>
      <c r="K743" s="131"/>
      <c r="L743" s="131"/>
      <c r="M743" s="131"/>
      <c r="N743" s="131"/>
      <c r="O743" s="131"/>
      <c r="P743" s="131"/>
      <c r="Q743" s="131"/>
      <c r="R743" s="131"/>
      <c r="S743" s="131"/>
      <c r="T743" s="131"/>
      <c r="U743" s="131"/>
      <c r="V743" s="131"/>
      <c r="W743" s="131"/>
      <c r="X743" s="131"/>
      <c r="Y743" s="131"/>
      <c r="Z743" s="131"/>
    </row>
    <row r="744">
      <c r="A744" s="290"/>
      <c r="B744" s="290"/>
      <c r="C744" s="290"/>
      <c r="D744" s="290"/>
      <c r="E744" s="290"/>
      <c r="F744" s="290"/>
      <c r="G744" s="290"/>
      <c r="H744" s="290"/>
      <c r="I744" s="290"/>
      <c r="J744" s="290"/>
      <c r="K744" s="131"/>
      <c r="L744" s="131"/>
      <c r="M744" s="131"/>
      <c r="N744" s="131"/>
      <c r="O744" s="131"/>
      <c r="P744" s="131"/>
      <c r="Q744" s="131"/>
      <c r="R744" s="131"/>
      <c r="S744" s="131"/>
      <c r="T744" s="131"/>
      <c r="U744" s="131"/>
      <c r="V744" s="131"/>
      <c r="W744" s="131"/>
      <c r="X744" s="131"/>
      <c r="Y744" s="131"/>
      <c r="Z744" s="131"/>
    </row>
    <row r="745">
      <c r="A745" s="290"/>
      <c r="B745" s="290"/>
      <c r="C745" s="290"/>
      <c r="D745" s="290"/>
      <c r="E745" s="290"/>
      <c r="F745" s="290"/>
      <c r="G745" s="290"/>
      <c r="H745" s="290"/>
      <c r="I745" s="290"/>
      <c r="J745" s="290"/>
      <c r="K745" s="131"/>
      <c r="L745" s="131"/>
      <c r="M745" s="131"/>
      <c r="N745" s="131"/>
      <c r="O745" s="131"/>
      <c r="P745" s="131"/>
      <c r="Q745" s="131"/>
      <c r="R745" s="131"/>
      <c r="S745" s="131"/>
      <c r="T745" s="131"/>
      <c r="U745" s="131"/>
      <c r="V745" s="131"/>
      <c r="W745" s="131"/>
      <c r="X745" s="131"/>
      <c r="Y745" s="131"/>
      <c r="Z745" s="131"/>
    </row>
    <row r="746">
      <c r="A746" s="290"/>
      <c r="B746" s="290"/>
      <c r="C746" s="290"/>
      <c r="D746" s="290"/>
      <c r="E746" s="290"/>
      <c r="F746" s="290"/>
      <c r="G746" s="290"/>
      <c r="H746" s="290"/>
      <c r="I746" s="290"/>
      <c r="J746" s="290"/>
      <c r="K746" s="131"/>
      <c r="L746" s="131"/>
      <c r="M746" s="131"/>
      <c r="N746" s="131"/>
      <c r="O746" s="131"/>
      <c r="P746" s="131"/>
      <c r="Q746" s="131"/>
      <c r="R746" s="131"/>
      <c r="S746" s="131"/>
      <c r="T746" s="131"/>
      <c r="U746" s="131"/>
      <c r="V746" s="131"/>
      <c r="W746" s="131"/>
      <c r="X746" s="131"/>
      <c r="Y746" s="131"/>
      <c r="Z746" s="131"/>
    </row>
    <row r="747">
      <c r="A747" s="290"/>
      <c r="B747" s="290"/>
      <c r="C747" s="290"/>
      <c r="D747" s="290"/>
      <c r="E747" s="290"/>
      <c r="F747" s="290"/>
      <c r="G747" s="290"/>
      <c r="H747" s="290"/>
      <c r="I747" s="290"/>
      <c r="J747" s="290"/>
      <c r="K747" s="131"/>
      <c r="L747" s="131"/>
      <c r="M747" s="131"/>
      <c r="N747" s="131"/>
      <c r="O747" s="131"/>
      <c r="P747" s="131"/>
      <c r="Q747" s="131"/>
      <c r="R747" s="131"/>
      <c r="S747" s="131"/>
      <c r="T747" s="131"/>
      <c r="U747" s="131"/>
      <c r="V747" s="131"/>
      <c r="W747" s="131"/>
      <c r="X747" s="131"/>
      <c r="Y747" s="131"/>
      <c r="Z747" s="131"/>
    </row>
    <row r="748">
      <c r="A748" s="290"/>
      <c r="B748" s="290"/>
      <c r="C748" s="290"/>
      <c r="D748" s="290"/>
      <c r="E748" s="290"/>
      <c r="F748" s="290"/>
      <c r="G748" s="290"/>
      <c r="H748" s="290"/>
      <c r="I748" s="290"/>
      <c r="J748" s="290"/>
      <c r="K748" s="131"/>
      <c r="L748" s="131"/>
      <c r="M748" s="131"/>
      <c r="N748" s="131"/>
      <c r="O748" s="131"/>
      <c r="P748" s="131"/>
      <c r="Q748" s="131"/>
      <c r="R748" s="131"/>
      <c r="S748" s="131"/>
      <c r="T748" s="131"/>
      <c r="U748" s="131"/>
      <c r="V748" s="131"/>
      <c r="W748" s="131"/>
      <c r="X748" s="131"/>
      <c r="Y748" s="131"/>
      <c r="Z748" s="131"/>
    </row>
    <row r="749">
      <c r="A749" s="290"/>
      <c r="B749" s="290"/>
      <c r="C749" s="290"/>
      <c r="D749" s="290"/>
      <c r="E749" s="290"/>
      <c r="F749" s="290"/>
      <c r="G749" s="290"/>
      <c r="H749" s="290"/>
      <c r="I749" s="290"/>
      <c r="J749" s="290"/>
      <c r="K749" s="131"/>
      <c r="L749" s="131"/>
      <c r="M749" s="131"/>
      <c r="N749" s="131"/>
      <c r="O749" s="131"/>
      <c r="P749" s="131"/>
      <c r="Q749" s="131"/>
      <c r="R749" s="131"/>
      <c r="S749" s="131"/>
      <c r="T749" s="131"/>
      <c r="U749" s="131"/>
      <c r="V749" s="131"/>
      <c r="W749" s="131"/>
      <c r="X749" s="131"/>
      <c r="Y749" s="131"/>
      <c r="Z749" s="131"/>
    </row>
    <row r="750">
      <c r="A750" s="290"/>
      <c r="B750" s="290"/>
      <c r="C750" s="290"/>
      <c r="D750" s="290"/>
      <c r="E750" s="290"/>
      <c r="F750" s="290"/>
      <c r="G750" s="290"/>
      <c r="H750" s="290"/>
      <c r="I750" s="290"/>
      <c r="J750" s="290"/>
      <c r="K750" s="131"/>
      <c r="L750" s="131"/>
      <c r="M750" s="131"/>
      <c r="N750" s="131"/>
      <c r="O750" s="131"/>
      <c r="P750" s="131"/>
      <c r="Q750" s="131"/>
      <c r="R750" s="131"/>
      <c r="S750" s="131"/>
      <c r="T750" s="131"/>
      <c r="U750" s="131"/>
      <c r="V750" s="131"/>
      <c r="W750" s="131"/>
      <c r="X750" s="131"/>
      <c r="Y750" s="131"/>
      <c r="Z750" s="131"/>
    </row>
    <row r="751">
      <c r="A751" s="290"/>
      <c r="B751" s="290"/>
      <c r="C751" s="290"/>
      <c r="D751" s="290"/>
      <c r="E751" s="290"/>
      <c r="F751" s="290"/>
      <c r="G751" s="290"/>
      <c r="H751" s="290"/>
      <c r="I751" s="290"/>
      <c r="J751" s="290"/>
      <c r="K751" s="131"/>
      <c r="L751" s="131"/>
      <c r="M751" s="131"/>
      <c r="N751" s="131"/>
      <c r="O751" s="131"/>
      <c r="P751" s="131"/>
      <c r="Q751" s="131"/>
      <c r="R751" s="131"/>
      <c r="S751" s="131"/>
      <c r="T751" s="131"/>
      <c r="U751" s="131"/>
      <c r="V751" s="131"/>
      <c r="W751" s="131"/>
      <c r="X751" s="131"/>
      <c r="Y751" s="131"/>
      <c r="Z751" s="131"/>
    </row>
    <row r="752">
      <c r="A752" s="290"/>
      <c r="B752" s="290"/>
      <c r="C752" s="290"/>
      <c r="D752" s="290"/>
      <c r="E752" s="290"/>
      <c r="F752" s="290"/>
      <c r="G752" s="290"/>
      <c r="H752" s="290"/>
      <c r="I752" s="290"/>
      <c r="J752" s="290"/>
      <c r="K752" s="131"/>
      <c r="L752" s="131"/>
      <c r="M752" s="131"/>
      <c r="N752" s="131"/>
      <c r="O752" s="131"/>
      <c r="P752" s="131"/>
      <c r="Q752" s="131"/>
      <c r="R752" s="131"/>
      <c r="S752" s="131"/>
      <c r="T752" s="131"/>
      <c r="U752" s="131"/>
      <c r="V752" s="131"/>
      <c r="W752" s="131"/>
      <c r="X752" s="131"/>
      <c r="Y752" s="131"/>
      <c r="Z752" s="131"/>
    </row>
    <row r="753">
      <c r="A753" s="290"/>
      <c r="B753" s="290"/>
      <c r="C753" s="290"/>
      <c r="D753" s="290"/>
      <c r="E753" s="290"/>
      <c r="F753" s="290"/>
      <c r="G753" s="290"/>
      <c r="H753" s="290"/>
      <c r="I753" s="290"/>
      <c r="J753" s="290"/>
      <c r="K753" s="131"/>
      <c r="L753" s="131"/>
      <c r="M753" s="131"/>
      <c r="N753" s="131"/>
      <c r="O753" s="131"/>
      <c r="P753" s="131"/>
      <c r="Q753" s="131"/>
      <c r="R753" s="131"/>
      <c r="S753" s="131"/>
      <c r="T753" s="131"/>
      <c r="U753" s="131"/>
      <c r="V753" s="131"/>
      <c r="W753" s="131"/>
      <c r="X753" s="131"/>
      <c r="Y753" s="131"/>
      <c r="Z753" s="131"/>
    </row>
    <row r="754">
      <c r="A754" s="290"/>
      <c r="B754" s="290"/>
      <c r="C754" s="290"/>
      <c r="D754" s="290"/>
      <c r="E754" s="290"/>
      <c r="F754" s="290"/>
      <c r="G754" s="290"/>
      <c r="H754" s="290"/>
      <c r="I754" s="290"/>
      <c r="J754" s="290"/>
      <c r="K754" s="131"/>
      <c r="L754" s="131"/>
      <c r="M754" s="131"/>
      <c r="N754" s="131"/>
      <c r="O754" s="131"/>
      <c r="P754" s="131"/>
      <c r="Q754" s="131"/>
      <c r="R754" s="131"/>
      <c r="S754" s="131"/>
      <c r="T754" s="131"/>
      <c r="U754" s="131"/>
      <c r="V754" s="131"/>
      <c r="W754" s="131"/>
      <c r="X754" s="131"/>
      <c r="Y754" s="131"/>
      <c r="Z754" s="131"/>
    </row>
    <row r="755">
      <c r="A755" s="290"/>
      <c r="B755" s="290"/>
      <c r="C755" s="290"/>
      <c r="D755" s="290"/>
      <c r="E755" s="290"/>
      <c r="F755" s="290"/>
      <c r="G755" s="290"/>
      <c r="H755" s="290"/>
      <c r="I755" s="290"/>
      <c r="J755" s="290"/>
      <c r="K755" s="131"/>
      <c r="L755" s="131"/>
      <c r="M755" s="131"/>
      <c r="N755" s="131"/>
      <c r="O755" s="131"/>
      <c r="P755" s="131"/>
      <c r="Q755" s="131"/>
      <c r="R755" s="131"/>
      <c r="S755" s="131"/>
      <c r="T755" s="131"/>
      <c r="U755" s="131"/>
      <c r="V755" s="131"/>
      <c r="W755" s="131"/>
      <c r="X755" s="131"/>
      <c r="Y755" s="131"/>
      <c r="Z755" s="131"/>
    </row>
    <row r="756">
      <c r="A756" s="290"/>
      <c r="B756" s="290"/>
      <c r="C756" s="290"/>
      <c r="D756" s="290"/>
      <c r="E756" s="290"/>
      <c r="F756" s="290"/>
      <c r="G756" s="290"/>
      <c r="H756" s="290"/>
      <c r="I756" s="290"/>
      <c r="J756" s="290"/>
      <c r="K756" s="131"/>
      <c r="L756" s="131"/>
      <c r="M756" s="131"/>
      <c r="N756" s="131"/>
      <c r="O756" s="131"/>
      <c r="P756" s="131"/>
      <c r="Q756" s="131"/>
      <c r="R756" s="131"/>
      <c r="S756" s="131"/>
      <c r="T756" s="131"/>
      <c r="U756" s="131"/>
      <c r="V756" s="131"/>
      <c r="W756" s="131"/>
      <c r="X756" s="131"/>
      <c r="Y756" s="131"/>
      <c r="Z756" s="131"/>
    </row>
    <row r="757">
      <c r="A757" s="290"/>
      <c r="B757" s="290"/>
      <c r="C757" s="290"/>
      <c r="D757" s="290"/>
      <c r="E757" s="290"/>
      <c r="F757" s="290"/>
      <c r="G757" s="290"/>
      <c r="H757" s="290"/>
      <c r="I757" s="290"/>
      <c r="J757" s="290"/>
      <c r="K757" s="131"/>
      <c r="L757" s="131"/>
      <c r="M757" s="131"/>
      <c r="N757" s="131"/>
      <c r="O757" s="131"/>
      <c r="P757" s="131"/>
      <c r="Q757" s="131"/>
      <c r="R757" s="131"/>
      <c r="S757" s="131"/>
      <c r="T757" s="131"/>
      <c r="U757" s="131"/>
      <c r="V757" s="131"/>
      <c r="W757" s="131"/>
      <c r="X757" s="131"/>
      <c r="Y757" s="131"/>
      <c r="Z757" s="131"/>
    </row>
    <row r="758">
      <c r="A758" s="290"/>
      <c r="B758" s="290"/>
      <c r="C758" s="290"/>
      <c r="D758" s="290"/>
      <c r="E758" s="290"/>
      <c r="F758" s="290"/>
      <c r="G758" s="290"/>
      <c r="H758" s="290"/>
      <c r="I758" s="290"/>
      <c r="J758" s="290"/>
      <c r="K758" s="131"/>
      <c r="L758" s="131"/>
      <c r="M758" s="131"/>
      <c r="N758" s="131"/>
      <c r="O758" s="131"/>
      <c r="P758" s="131"/>
      <c r="Q758" s="131"/>
      <c r="R758" s="131"/>
      <c r="S758" s="131"/>
      <c r="T758" s="131"/>
      <c r="U758" s="131"/>
      <c r="V758" s="131"/>
      <c r="W758" s="131"/>
      <c r="X758" s="131"/>
      <c r="Y758" s="131"/>
      <c r="Z758" s="131"/>
    </row>
    <row r="759">
      <c r="A759" s="290"/>
      <c r="B759" s="290"/>
      <c r="C759" s="290"/>
      <c r="D759" s="290"/>
      <c r="E759" s="290"/>
      <c r="F759" s="290"/>
      <c r="G759" s="290"/>
      <c r="H759" s="290"/>
      <c r="I759" s="290"/>
      <c r="J759" s="290"/>
      <c r="K759" s="131"/>
      <c r="L759" s="131"/>
      <c r="M759" s="131"/>
      <c r="N759" s="131"/>
      <c r="O759" s="131"/>
      <c r="P759" s="131"/>
      <c r="Q759" s="131"/>
      <c r="R759" s="131"/>
      <c r="S759" s="131"/>
      <c r="T759" s="131"/>
      <c r="U759" s="131"/>
      <c r="V759" s="131"/>
      <c r="W759" s="131"/>
      <c r="X759" s="131"/>
      <c r="Y759" s="131"/>
      <c r="Z759" s="131"/>
    </row>
    <row r="760">
      <c r="A760" s="290"/>
      <c r="B760" s="290"/>
      <c r="C760" s="290"/>
      <c r="D760" s="290"/>
      <c r="E760" s="290"/>
      <c r="F760" s="290"/>
      <c r="G760" s="290"/>
      <c r="H760" s="290"/>
      <c r="I760" s="290"/>
      <c r="J760" s="290"/>
      <c r="K760" s="131"/>
      <c r="L760" s="131"/>
      <c r="M760" s="131"/>
      <c r="N760" s="131"/>
      <c r="O760" s="131"/>
      <c r="P760" s="131"/>
      <c r="Q760" s="131"/>
      <c r="R760" s="131"/>
      <c r="S760" s="131"/>
      <c r="T760" s="131"/>
      <c r="U760" s="131"/>
      <c r="V760" s="131"/>
      <c r="W760" s="131"/>
      <c r="X760" s="131"/>
      <c r="Y760" s="131"/>
      <c r="Z760" s="131"/>
    </row>
    <row r="761">
      <c r="A761" s="290"/>
      <c r="B761" s="290"/>
      <c r="C761" s="290"/>
      <c r="D761" s="290"/>
      <c r="E761" s="290"/>
      <c r="F761" s="290"/>
      <c r="G761" s="290"/>
      <c r="H761" s="290"/>
      <c r="I761" s="290"/>
      <c r="J761" s="290"/>
      <c r="K761" s="131"/>
      <c r="L761" s="131"/>
      <c r="M761" s="131"/>
      <c r="N761" s="131"/>
      <c r="O761" s="131"/>
      <c r="P761" s="131"/>
      <c r="Q761" s="131"/>
      <c r="R761" s="131"/>
      <c r="S761" s="131"/>
      <c r="T761" s="131"/>
      <c r="U761" s="131"/>
      <c r="V761" s="131"/>
      <c r="W761" s="131"/>
      <c r="X761" s="131"/>
      <c r="Y761" s="131"/>
      <c r="Z761" s="131"/>
    </row>
    <row r="762">
      <c r="A762" s="290"/>
      <c r="B762" s="290"/>
      <c r="C762" s="290"/>
      <c r="D762" s="290"/>
      <c r="E762" s="290"/>
      <c r="F762" s="290"/>
      <c r="G762" s="290"/>
      <c r="H762" s="290"/>
      <c r="I762" s="290"/>
      <c r="J762" s="290"/>
      <c r="K762" s="131"/>
      <c r="L762" s="131"/>
      <c r="M762" s="131"/>
      <c r="N762" s="131"/>
      <c r="O762" s="131"/>
      <c r="P762" s="131"/>
      <c r="Q762" s="131"/>
      <c r="R762" s="131"/>
      <c r="S762" s="131"/>
      <c r="T762" s="131"/>
      <c r="U762" s="131"/>
      <c r="V762" s="131"/>
      <c r="W762" s="131"/>
      <c r="X762" s="131"/>
      <c r="Y762" s="131"/>
      <c r="Z762" s="131"/>
    </row>
    <row r="763">
      <c r="A763" s="290"/>
      <c r="B763" s="290"/>
      <c r="C763" s="290"/>
      <c r="D763" s="290"/>
      <c r="E763" s="290"/>
      <c r="F763" s="290"/>
      <c r="G763" s="290"/>
      <c r="H763" s="290"/>
      <c r="I763" s="290"/>
      <c r="J763" s="290"/>
      <c r="K763" s="131"/>
      <c r="L763" s="131"/>
      <c r="M763" s="131"/>
      <c r="N763" s="131"/>
      <c r="O763" s="131"/>
      <c r="P763" s="131"/>
      <c r="Q763" s="131"/>
      <c r="R763" s="131"/>
      <c r="S763" s="131"/>
      <c r="T763" s="131"/>
      <c r="U763" s="131"/>
      <c r="V763" s="131"/>
      <c r="W763" s="131"/>
      <c r="X763" s="131"/>
      <c r="Y763" s="131"/>
      <c r="Z763" s="131"/>
    </row>
    <row r="764">
      <c r="A764" s="290"/>
      <c r="B764" s="290"/>
      <c r="C764" s="290"/>
      <c r="D764" s="290"/>
      <c r="E764" s="290"/>
      <c r="F764" s="290"/>
      <c r="G764" s="290"/>
      <c r="H764" s="290"/>
      <c r="I764" s="290"/>
      <c r="J764" s="290"/>
      <c r="K764" s="131"/>
      <c r="L764" s="131"/>
      <c r="M764" s="131"/>
      <c r="N764" s="131"/>
      <c r="O764" s="131"/>
      <c r="P764" s="131"/>
      <c r="Q764" s="131"/>
      <c r="R764" s="131"/>
      <c r="S764" s="131"/>
      <c r="T764" s="131"/>
      <c r="U764" s="131"/>
      <c r="V764" s="131"/>
      <c r="W764" s="131"/>
      <c r="X764" s="131"/>
      <c r="Y764" s="131"/>
      <c r="Z764" s="131"/>
    </row>
    <row r="765">
      <c r="A765" s="290"/>
      <c r="B765" s="290"/>
      <c r="C765" s="290"/>
      <c r="D765" s="290"/>
      <c r="E765" s="290"/>
      <c r="F765" s="290"/>
      <c r="G765" s="290"/>
      <c r="H765" s="290"/>
      <c r="I765" s="290"/>
      <c r="J765" s="290"/>
      <c r="K765" s="131"/>
      <c r="L765" s="131"/>
      <c r="M765" s="131"/>
      <c r="N765" s="131"/>
      <c r="O765" s="131"/>
      <c r="P765" s="131"/>
      <c r="Q765" s="131"/>
      <c r="R765" s="131"/>
      <c r="S765" s="131"/>
      <c r="T765" s="131"/>
      <c r="U765" s="131"/>
      <c r="V765" s="131"/>
      <c r="W765" s="131"/>
      <c r="X765" s="131"/>
      <c r="Y765" s="131"/>
      <c r="Z765" s="131"/>
    </row>
    <row r="766">
      <c r="A766" s="290"/>
      <c r="B766" s="290"/>
      <c r="C766" s="290"/>
      <c r="D766" s="290"/>
      <c r="E766" s="290"/>
      <c r="F766" s="290"/>
      <c r="G766" s="290"/>
      <c r="H766" s="290"/>
      <c r="I766" s="290"/>
      <c r="J766" s="290"/>
      <c r="K766" s="131"/>
      <c r="L766" s="131"/>
      <c r="M766" s="131"/>
      <c r="N766" s="131"/>
      <c r="O766" s="131"/>
      <c r="P766" s="131"/>
      <c r="Q766" s="131"/>
      <c r="R766" s="131"/>
      <c r="S766" s="131"/>
      <c r="T766" s="131"/>
      <c r="U766" s="131"/>
      <c r="V766" s="131"/>
      <c r="W766" s="131"/>
      <c r="X766" s="131"/>
      <c r="Y766" s="131"/>
      <c r="Z766" s="131"/>
    </row>
    <row r="767">
      <c r="A767" s="290"/>
      <c r="B767" s="290"/>
      <c r="C767" s="290"/>
      <c r="D767" s="290"/>
      <c r="E767" s="290"/>
      <c r="F767" s="290"/>
      <c r="G767" s="290"/>
      <c r="H767" s="290"/>
      <c r="I767" s="290"/>
      <c r="J767" s="290"/>
      <c r="K767" s="131"/>
      <c r="L767" s="131"/>
      <c r="M767" s="131"/>
      <c r="N767" s="131"/>
      <c r="O767" s="131"/>
      <c r="P767" s="131"/>
      <c r="Q767" s="131"/>
      <c r="R767" s="131"/>
      <c r="S767" s="131"/>
      <c r="T767" s="131"/>
      <c r="U767" s="131"/>
      <c r="V767" s="131"/>
      <c r="W767" s="131"/>
      <c r="X767" s="131"/>
      <c r="Y767" s="131"/>
      <c r="Z767" s="131"/>
    </row>
    <row r="768">
      <c r="A768" s="290"/>
      <c r="B768" s="290"/>
      <c r="C768" s="290"/>
      <c r="D768" s="290"/>
      <c r="E768" s="290"/>
      <c r="F768" s="290"/>
      <c r="G768" s="290"/>
      <c r="H768" s="290"/>
      <c r="I768" s="290"/>
      <c r="J768" s="290"/>
      <c r="K768" s="131"/>
      <c r="L768" s="131"/>
      <c r="M768" s="131"/>
      <c r="N768" s="131"/>
      <c r="O768" s="131"/>
      <c r="P768" s="131"/>
      <c r="Q768" s="131"/>
      <c r="R768" s="131"/>
      <c r="S768" s="131"/>
      <c r="T768" s="131"/>
      <c r="U768" s="131"/>
      <c r="V768" s="131"/>
      <c r="W768" s="131"/>
      <c r="X768" s="131"/>
      <c r="Y768" s="131"/>
      <c r="Z768" s="131"/>
    </row>
    <row r="769">
      <c r="A769" s="290"/>
      <c r="B769" s="290"/>
      <c r="C769" s="290"/>
      <c r="D769" s="290"/>
      <c r="E769" s="290"/>
      <c r="F769" s="290"/>
      <c r="G769" s="290"/>
      <c r="H769" s="290"/>
      <c r="I769" s="290"/>
      <c r="J769" s="290"/>
      <c r="K769" s="131"/>
      <c r="L769" s="131"/>
      <c r="M769" s="131"/>
      <c r="N769" s="131"/>
      <c r="O769" s="131"/>
      <c r="P769" s="131"/>
      <c r="Q769" s="131"/>
      <c r="R769" s="131"/>
      <c r="S769" s="131"/>
      <c r="T769" s="131"/>
      <c r="U769" s="131"/>
      <c r="V769" s="131"/>
      <c r="W769" s="131"/>
      <c r="X769" s="131"/>
      <c r="Y769" s="131"/>
      <c r="Z769" s="131"/>
    </row>
    <row r="770">
      <c r="A770" s="290"/>
      <c r="B770" s="290"/>
      <c r="C770" s="290"/>
      <c r="D770" s="290"/>
      <c r="E770" s="290"/>
      <c r="F770" s="290"/>
      <c r="G770" s="290"/>
      <c r="H770" s="290"/>
      <c r="I770" s="290"/>
      <c r="J770" s="290"/>
      <c r="K770" s="131"/>
      <c r="L770" s="131"/>
      <c r="M770" s="131"/>
      <c r="N770" s="131"/>
      <c r="O770" s="131"/>
      <c r="P770" s="131"/>
      <c r="Q770" s="131"/>
      <c r="R770" s="131"/>
      <c r="S770" s="131"/>
      <c r="T770" s="131"/>
      <c r="U770" s="131"/>
      <c r="V770" s="131"/>
      <c r="W770" s="131"/>
      <c r="X770" s="131"/>
      <c r="Y770" s="131"/>
      <c r="Z770" s="131"/>
    </row>
    <row r="771">
      <c r="A771" s="290"/>
      <c r="B771" s="290"/>
      <c r="C771" s="290"/>
      <c r="D771" s="290"/>
      <c r="E771" s="290"/>
      <c r="F771" s="290"/>
      <c r="G771" s="290"/>
      <c r="H771" s="290"/>
      <c r="I771" s="290"/>
      <c r="J771" s="290"/>
      <c r="K771" s="131"/>
      <c r="L771" s="131"/>
      <c r="M771" s="131"/>
      <c r="N771" s="131"/>
      <c r="O771" s="131"/>
      <c r="P771" s="131"/>
      <c r="Q771" s="131"/>
      <c r="R771" s="131"/>
      <c r="S771" s="131"/>
      <c r="T771" s="131"/>
      <c r="U771" s="131"/>
      <c r="V771" s="131"/>
      <c r="W771" s="131"/>
      <c r="X771" s="131"/>
      <c r="Y771" s="131"/>
      <c r="Z771" s="131"/>
    </row>
    <row r="772">
      <c r="A772" s="290"/>
      <c r="B772" s="290"/>
      <c r="C772" s="290"/>
      <c r="D772" s="290"/>
      <c r="E772" s="290"/>
      <c r="F772" s="290"/>
      <c r="G772" s="290"/>
      <c r="H772" s="290"/>
      <c r="I772" s="290"/>
      <c r="J772" s="290"/>
      <c r="K772" s="131"/>
      <c r="L772" s="131"/>
      <c r="M772" s="131"/>
      <c r="N772" s="131"/>
      <c r="O772" s="131"/>
      <c r="P772" s="131"/>
      <c r="Q772" s="131"/>
      <c r="R772" s="131"/>
      <c r="S772" s="131"/>
      <c r="T772" s="131"/>
      <c r="U772" s="131"/>
      <c r="V772" s="131"/>
      <c r="W772" s="131"/>
      <c r="X772" s="131"/>
      <c r="Y772" s="131"/>
      <c r="Z772" s="131"/>
    </row>
    <row r="773">
      <c r="A773" s="290"/>
      <c r="B773" s="290"/>
      <c r="C773" s="290"/>
      <c r="D773" s="290"/>
      <c r="E773" s="290"/>
      <c r="F773" s="290"/>
      <c r="G773" s="290"/>
      <c r="H773" s="290"/>
      <c r="I773" s="290"/>
      <c r="J773" s="290"/>
      <c r="K773" s="131"/>
      <c r="L773" s="131"/>
      <c r="M773" s="131"/>
      <c r="N773" s="131"/>
      <c r="O773" s="131"/>
      <c r="P773" s="131"/>
      <c r="Q773" s="131"/>
      <c r="R773" s="131"/>
      <c r="S773" s="131"/>
      <c r="T773" s="131"/>
      <c r="U773" s="131"/>
      <c r="V773" s="131"/>
      <c r="W773" s="131"/>
      <c r="X773" s="131"/>
      <c r="Y773" s="131"/>
      <c r="Z773" s="131"/>
    </row>
    <row r="774">
      <c r="A774" s="290"/>
      <c r="B774" s="290"/>
      <c r="C774" s="290"/>
      <c r="D774" s="290"/>
      <c r="E774" s="290"/>
      <c r="F774" s="290"/>
      <c r="G774" s="290"/>
      <c r="H774" s="290"/>
      <c r="I774" s="290"/>
      <c r="J774" s="290"/>
      <c r="K774" s="131"/>
      <c r="L774" s="131"/>
      <c r="M774" s="131"/>
      <c r="N774" s="131"/>
      <c r="O774" s="131"/>
      <c r="P774" s="131"/>
      <c r="Q774" s="131"/>
      <c r="R774" s="131"/>
      <c r="S774" s="131"/>
      <c r="T774" s="131"/>
      <c r="U774" s="131"/>
      <c r="V774" s="131"/>
      <c r="W774" s="131"/>
      <c r="X774" s="131"/>
      <c r="Y774" s="131"/>
      <c r="Z774" s="131"/>
    </row>
    <row r="775">
      <c r="A775" s="290"/>
      <c r="B775" s="290"/>
      <c r="C775" s="290"/>
      <c r="D775" s="290"/>
      <c r="E775" s="290"/>
      <c r="F775" s="290"/>
      <c r="G775" s="290"/>
      <c r="H775" s="290"/>
      <c r="I775" s="290"/>
      <c r="J775" s="290"/>
      <c r="K775" s="131"/>
      <c r="L775" s="131"/>
      <c r="M775" s="131"/>
      <c r="N775" s="131"/>
      <c r="O775" s="131"/>
      <c r="P775" s="131"/>
      <c r="Q775" s="131"/>
      <c r="R775" s="131"/>
      <c r="S775" s="131"/>
      <c r="T775" s="131"/>
      <c r="U775" s="131"/>
      <c r="V775" s="131"/>
      <c r="W775" s="131"/>
      <c r="X775" s="131"/>
      <c r="Y775" s="131"/>
      <c r="Z775" s="131"/>
    </row>
    <row r="776">
      <c r="A776" s="290"/>
      <c r="B776" s="290"/>
      <c r="C776" s="290"/>
      <c r="D776" s="290"/>
      <c r="E776" s="290"/>
      <c r="F776" s="290"/>
      <c r="G776" s="290"/>
      <c r="H776" s="290"/>
      <c r="I776" s="290"/>
      <c r="J776" s="290"/>
      <c r="K776" s="131"/>
      <c r="L776" s="131"/>
      <c r="M776" s="131"/>
      <c r="N776" s="131"/>
      <c r="O776" s="131"/>
      <c r="P776" s="131"/>
      <c r="Q776" s="131"/>
      <c r="R776" s="131"/>
      <c r="S776" s="131"/>
      <c r="T776" s="131"/>
      <c r="U776" s="131"/>
      <c r="V776" s="131"/>
      <c r="W776" s="131"/>
      <c r="X776" s="131"/>
      <c r="Y776" s="131"/>
      <c r="Z776" s="131"/>
    </row>
    <row r="777">
      <c r="A777" s="290"/>
      <c r="B777" s="290"/>
      <c r="C777" s="290"/>
      <c r="D777" s="290"/>
      <c r="E777" s="290"/>
      <c r="F777" s="290"/>
      <c r="G777" s="290"/>
      <c r="H777" s="290"/>
      <c r="I777" s="290"/>
      <c r="J777" s="290"/>
      <c r="K777" s="131"/>
      <c r="L777" s="131"/>
      <c r="M777" s="131"/>
      <c r="N777" s="131"/>
      <c r="O777" s="131"/>
      <c r="P777" s="131"/>
      <c r="Q777" s="131"/>
      <c r="R777" s="131"/>
      <c r="S777" s="131"/>
      <c r="T777" s="131"/>
      <c r="U777" s="131"/>
      <c r="V777" s="131"/>
      <c r="W777" s="131"/>
      <c r="X777" s="131"/>
      <c r="Y777" s="131"/>
      <c r="Z777" s="131"/>
    </row>
    <row r="778">
      <c r="A778" s="290"/>
      <c r="B778" s="290"/>
      <c r="C778" s="290"/>
      <c r="D778" s="290"/>
      <c r="E778" s="290"/>
      <c r="F778" s="290"/>
      <c r="G778" s="290"/>
      <c r="H778" s="290"/>
      <c r="I778" s="290"/>
      <c r="J778" s="290"/>
      <c r="K778" s="131"/>
      <c r="L778" s="131"/>
      <c r="M778" s="131"/>
      <c r="N778" s="131"/>
      <c r="O778" s="131"/>
      <c r="P778" s="131"/>
      <c r="Q778" s="131"/>
      <c r="R778" s="131"/>
      <c r="S778" s="131"/>
      <c r="T778" s="131"/>
      <c r="U778" s="131"/>
      <c r="V778" s="131"/>
      <c r="W778" s="131"/>
      <c r="X778" s="131"/>
      <c r="Y778" s="131"/>
      <c r="Z778" s="131"/>
    </row>
    <row r="779">
      <c r="A779" s="290"/>
      <c r="B779" s="290"/>
      <c r="C779" s="290"/>
      <c r="D779" s="290"/>
      <c r="E779" s="290"/>
      <c r="F779" s="290"/>
      <c r="G779" s="290"/>
      <c r="H779" s="290"/>
      <c r="I779" s="290"/>
      <c r="J779" s="290"/>
      <c r="K779" s="131"/>
      <c r="L779" s="131"/>
      <c r="M779" s="131"/>
      <c r="N779" s="131"/>
      <c r="O779" s="131"/>
      <c r="P779" s="131"/>
      <c r="Q779" s="131"/>
      <c r="R779" s="131"/>
      <c r="S779" s="131"/>
      <c r="T779" s="131"/>
      <c r="U779" s="131"/>
      <c r="V779" s="131"/>
      <c r="W779" s="131"/>
      <c r="X779" s="131"/>
      <c r="Y779" s="131"/>
      <c r="Z779" s="131"/>
    </row>
    <row r="780">
      <c r="A780" s="290"/>
      <c r="B780" s="290"/>
      <c r="C780" s="290"/>
      <c r="D780" s="290"/>
      <c r="E780" s="290"/>
      <c r="F780" s="290"/>
      <c r="G780" s="290"/>
      <c r="H780" s="290"/>
      <c r="I780" s="290"/>
      <c r="J780" s="290"/>
      <c r="K780" s="131"/>
      <c r="L780" s="131"/>
      <c r="M780" s="131"/>
      <c r="N780" s="131"/>
      <c r="O780" s="131"/>
      <c r="P780" s="131"/>
      <c r="Q780" s="131"/>
      <c r="R780" s="131"/>
      <c r="S780" s="131"/>
      <c r="T780" s="131"/>
      <c r="U780" s="131"/>
      <c r="V780" s="131"/>
      <c r="W780" s="131"/>
      <c r="X780" s="131"/>
      <c r="Y780" s="131"/>
      <c r="Z780" s="131"/>
    </row>
    <row r="781">
      <c r="A781" s="290"/>
      <c r="B781" s="290"/>
      <c r="C781" s="290"/>
      <c r="D781" s="290"/>
      <c r="E781" s="290"/>
      <c r="F781" s="290"/>
      <c r="G781" s="290"/>
      <c r="H781" s="290"/>
      <c r="I781" s="290"/>
      <c r="J781" s="290"/>
      <c r="K781" s="131"/>
      <c r="L781" s="131"/>
      <c r="M781" s="131"/>
      <c r="N781" s="131"/>
      <c r="O781" s="131"/>
      <c r="P781" s="131"/>
      <c r="Q781" s="131"/>
      <c r="R781" s="131"/>
      <c r="S781" s="131"/>
      <c r="T781" s="131"/>
      <c r="U781" s="131"/>
      <c r="V781" s="131"/>
      <c r="W781" s="131"/>
      <c r="X781" s="131"/>
      <c r="Y781" s="131"/>
      <c r="Z781" s="131"/>
    </row>
    <row r="782">
      <c r="A782" s="290"/>
      <c r="B782" s="290"/>
      <c r="C782" s="290"/>
      <c r="D782" s="290"/>
      <c r="E782" s="290"/>
      <c r="F782" s="290"/>
      <c r="G782" s="290"/>
      <c r="H782" s="290"/>
      <c r="I782" s="290"/>
      <c r="J782" s="290"/>
      <c r="K782" s="131"/>
      <c r="L782" s="131"/>
      <c r="M782" s="131"/>
      <c r="N782" s="131"/>
      <c r="O782" s="131"/>
      <c r="P782" s="131"/>
      <c r="Q782" s="131"/>
      <c r="R782" s="131"/>
      <c r="S782" s="131"/>
      <c r="T782" s="131"/>
      <c r="U782" s="131"/>
      <c r="V782" s="131"/>
      <c r="W782" s="131"/>
      <c r="X782" s="131"/>
      <c r="Y782" s="131"/>
      <c r="Z782" s="131"/>
    </row>
    <row r="783">
      <c r="A783" s="290"/>
      <c r="B783" s="290"/>
      <c r="C783" s="290"/>
      <c r="D783" s="290"/>
      <c r="E783" s="290"/>
      <c r="F783" s="290"/>
      <c r="G783" s="290"/>
      <c r="H783" s="290"/>
      <c r="I783" s="290"/>
      <c r="J783" s="290"/>
      <c r="K783" s="131"/>
      <c r="L783" s="131"/>
      <c r="M783" s="131"/>
      <c r="N783" s="131"/>
      <c r="O783" s="131"/>
      <c r="P783" s="131"/>
      <c r="Q783" s="131"/>
      <c r="R783" s="131"/>
      <c r="S783" s="131"/>
      <c r="T783" s="131"/>
      <c r="U783" s="131"/>
      <c r="V783" s="131"/>
      <c r="W783" s="131"/>
      <c r="X783" s="131"/>
      <c r="Y783" s="131"/>
      <c r="Z783" s="131"/>
    </row>
    <row r="784">
      <c r="A784" s="290"/>
      <c r="B784" s="290"/>
      <c r="C784" s="290"/>
      <c r="D784" s="290"/>
      <c r="E784" s="290"/>
      <c r="F784" s="290"/>
      <c r="G784" s="290"/>
      <c r="H784" s="290"/>
      <c r="I784" s="290"/>
      <c r="J784" s="290"/>
      <c r="K784" s="131"/>
      <c r="L784" s="131"/>
      <c r="M784" s="131"/>
      <c r="N784" s="131"/>
      <c r="O784" s="131"/>
      <c r="P784" s="131"/>
      <c r="Q784" s="131"/>
      <c r="R784" s="131"/>
      <c r="S784" s="131"/>
      <c r="T784" s="131"/>
      <c r="U784" s="131"/>
      <c r="V784" s="131"/>
      <c r="W784" s="131"/>
      <c r="X784" s="131"/>
      <c r="Y784" s="131"/>
      <c r="Z784" s="131"/>
    </row>
    <row r="785">
      <c r="A785" s="290"/>
      <c r="B785" s="290"/>
      <c r="C785" s="290"/>
      <c r="D785" s="290"/>
      <c r="E785" s="290"/>
      <c r="F785" s="290"/>
      <c r="G785" s="290"/>
      <c r="H785" s="290"/>
      <c r="I785" s="290"/>
      <c r="J785" s="290"/>
      <c r="K785" s="131"/>
      <c r="L785" s="131"/>
      <c r="M785" s="131"/>
      <c r="N785" s="131"/>
      <c r="O785" s="131"/>
      <c r="P785" s="131"/>
      <c r="Q785" s="131"/>
      <c r="R785" s="131"/>
      <c r="S785" s="131"/>
      <c r="T785" s="131"/>
      <c r="U785" s="131"/>
      <c r="V785" s="131"/>
      <c r="W785" s="131"/>
      <c r="X785" s="131"/>
      <c r="Y785" s="131"/>
      <c r="Z785" s="131"/>
    </row>
    <row r="786">
      <c r="A786" s="290"/>
      <c r="B786" s="290"/>
      <c r="C786" s="290"/>
      <c r="D786" s="290"/>
      <c r="E786" s="290"/>
      <c r="F786" s="290"/>
      <c r="G786" s="290"/>
      <c r="H786" s="290"/>
      <c r="I786" s="290"/>
      <c r="J786" s="290"/>
      <c r="K786" s="131"/>
      <c r="L786" s="131"/>
      <c r="M786" s="131"/>
      <c r="N786" s="131"/>
      <c r="O786" s="131"/>
      <c r="P786" s="131"/>
      <c r="Q786" s="131"/>
      <c r="R786" s="131"/>
      <c r="S786" s="131"/>
      <c r="T786" s="131"/>
      <c r="U786" s="131"/>
      <c r="V786" s="131"/>
      <c r="W786" s="131"/>
      <c r="X786" s="131"/>
      <c r="Y786" s="131"/>
      <c r="Z786" s="131"/>
    </row>
    <row r="787">
      <c r="A787" s="290"/>
      <c r="B787" s="290"/>
      <c r="C787" s="290"/>
      <c r="D787" s="290"/>
      <c r="E787" s="290"/>
      <c r="F787" s="290"/>
      <c r="G787" s="290"/>
      <c r="H787" s="290"/>
      <c r="I787" s="290"/>
      <c r="J787" s="290"/>
      <c r="K787" s="131"/>
      <c r="L787" s="131"/>
      <c r="M787" s="131"/>
      <c r="N787" s="131"/>
      <c r="O787" s="131"/>
      <c r="P787" s="131"/>
      <c r="Q787" s="131"/>
      <c r="R787" s="131"/>
      <c r="S787" s="131"/>
      <c r="T787" s="131"/>
      <c r="U787" s="131"/>
      <c r="V787" s="131"/>
      <c r="W787" s="131"/>
      <c r="X787" s="131"/>
      <c r="Y787" s="131"/>
      <c r="Z787" s="131"/>
    </row>
    <row r="788">
      <c r="A788" s="290"/>
      <c r="B788" s="290"/>
      <c r="C788" s="290"/>
      <c r="D788" s="290"/>
      <c r="E788" s="290"/>
      <c r="F788" s="290"/>
      <c r="G788" s="290"/>
      <c r="H788" s="290"/>
      <c r="I788" s="290"/>
      <c r="J788" s="290"/>
      <c r="K788" s="131"/>
      <c r="L788" s="131"/>
      <c r="M788" s="131"/>
      <c r="N788" s="131"/>
      <c r="O788" s="131"/>
      <c r="P788" s="131"/>
      <c r="Q788" s="131"/>
      <c r="R788" s="131"/>
      <c r="S788" s="131"/>
      <c r="T788" s="131"/>
      <c r="U788" s="131"/>
      <c r="V788" s="131"/>
      <c r="W788" s="131"/>
      <c r="X788" s="131"/>
      <c r="Y788" s="131"/>
      <c r="Z788" s="131"/>
    </row>
    <row r="789">
      <c r="A789" s="290"/>
      <c r="B789" s="290"/>
      <c r="C789" s="290"/>
      <c r="D789" s="290"/>
      <c r="E789" s="290"/>
      <c r="F789" s="290"/>
      <c r="G789" s="290"/>
      <c r="H789" s="290"/>
      <c r="I789" s="290"/>
      <c r="J789" s="290"/>
      <c r="K789" s="131"/>
      <c r="L789" s="131"/>
      <c r="M789" s="131"/>
      <c r="N789" s="131"/>
      <c r="O789" s="131"/>
      <c r="P789" s="131"/>
      <c r="Q789" s="131"/>
      <c r="R789" s="131"/>
      <c r="S789" s="131"/>
      <c r="T789" s="131"/>
      <c r="U789" s="131"/>
      <c r="V789" s="131"/>
      <c r="W789" s="131"/>
      <c r="X789" s="131"/>
      <c r="Y789" s="131"/>
      <c r="Z789" s="131"/>
    </row>
    <row r="790">
      <c r="A790" s="290"/>
      <c r="B790" s="290"/>
      <c r="C790" s="290"/>
      <c r="D790" s="290"/>
      <c r="E790" s="290"/>
      <c r="F790" s="290"/>
      <c r="G790" s="290"/>
      <c r="H790" s="290"/>
      <c r="I790" s="290"/>
      <c r="J790" s="290"/>
      <c r="K790" s="131"/>
      <c r="L790" s="131"/>
      <c r="M790" s="131"/>
      <c r="N790" s="131"/>
      <c r="O790" s="131"/>
      <c r="P790" s="131"/>
      <c r="Q790" s="131"/>
      <c r="R790" s="131"/>
      <c r="S790" s="131"/>
      <c r="T790" s="131"/>
      <c r="U790" s="131"/>
      <c r="V790" s="131"/>
      <c r="W790" s="131"/>
      <c r="X790" s="131"/>
      <c r="Y790" s="131"/>
      <c r="Z790" s="131"/>
    </row>
    <row r="791">
      <c r="A791" s="290"/>
      <c r="B791" s="290"/>
      <c r="C791" s="290"/>
      <c r="D791" s="290"/>
      <c r="E791" s="290"/>
      <c r="F791" s="290"/>
      <c r="G791" s="290"/>
      <c r="H791" s="290"/>
      <c r="I791" s="290"/>
      <c r="J791" s="290"/>
      <c r="K791" s="131"/>
      <c r="L791" s="131"/>
      <c r="M791" s="131"/>
      <c r="N791" s="131"/>
      <c r="O791" s="131"/>
      <c r="P791" s="131"/>
      <c r="Q791" s="131"/>
      <c r="R791" s="131"/>
      <c r="S791" s="131"/>
      <c r="T791" s="131"/>
      <c r="U791" s="131"/>
      <c r="V791" s="131"/>
      <c r="W791" s="131"/>
      <c r="X791" s="131"/>
      <c r="Y791" s="131"/>
      <c r="Z791" s="131"/>
    </row>
    <row r="792">
      <c r="A792" s="290"/>
      <c r="B792" s="290"/>
      <c r="C792" s="290"/>
      <c r="D792" s="290"/>
      <c r="E792" s="290"/>
      <c r="F792" s="290"/>
      <c r="G792" s="290"/>
      <c r="H792" s="290"/>
      <c r="I792" s="290"/>
      <c r="J792" s="290"/>
      <c r="K792" s="131"/>
      <c r="L792" s="131"/>
      <c r="M792" s="131"/>
      <c r="N792" s="131"/>
      <c r="O792" s="131"/>
      <c r="P792" s="131"/>
      <c r="Q792" s="131"/>
      <c r="R792" s="131"/>
      <c r="S792" s="131"/>
      <c r="T792" s="131"/>
      <c r="U792" s="131"/>
      <c r="V792" s="131"/>
      <c r="W792" s="131"/>
      <c r="X792" s="131"/>
      <c r="Y792" s="131"/>
      <c r="Z792" s="131"/>
    </row>
    <row r="793">
      <c r="A793" s="290"/>
      <c r="B793" s="290"/>
      <c r="C793" s="290"/>
      <c r="D793" s="290"/>
      <c r="E793" s="290"/>
      <c r="F793" s="290"/>
      <c r="G793" s="290"/>
      <c r="H793" s="290"/>
      <c r="I793" s="290"/>
      <c r="J793" s="290"/>
      <c r="K793" s="131"/>
      <c r="L793" s="131"/>
      <c r="M793" s="131"/>
      <c r="N793" s="131"/>
      <c r="O793" s="131"/>
      <c r="P793" s="131"/>
      <c r="Q793" s="131"/>
      <c r="R793" s="131"/>
      <c r="S793" s="131"/>
      <c r="T793" s="131"/>
      <c r="U793" s="131"/>
      <c r="V793" s="131"/>
      <c r="W793" s="131"/>
      <c r="X793" s="131"/>
      <c r="Y793" s="131"/>
      <c r="Z793" s="131"/>
    </row>
    <row r="794">
      <c r="A794" s="290"/>
      <c r="B794" s="290"/>
      <c r="C794" s="290"/>
      <c r="D794" s="290"/>
      <c r="E794" s="290"/>
      <c r="F794" s="290"/>
      <c r="G794" s="290"/>
      <c r="H794" s="290"/>
      <c r="I794" s="290"/>
      <c r="J794" s="290"/>
      <c r="K794" s="131"/>
      <c r="L794" s="131"/>
      <c r="M794" s="131"/>
      <c r="N794" s="131"/>
      <c r="O794" s="131"/>
      <c r="P794" s="131"/>
      <c r="Q794" s="131"/>
      <c r="R794" s="131"/>
      <c r="S794" s="131"/>
      <c r="T794" s="131"/>
      <c r="U794" s="131"/>
      <c r="V794" s="131"/>
      <c r="W794" s="131"/>
      <c r="X794" s="131"/>
      <c r="Y794" s="131"/>
      <c r="Z794" s="131"/>
    </row>
    <row r="795">
      <c r="A795" s="290"/>
      <c r="B795" s="290"/>
      <c r="C795" s="290"/>
      <c r="D795" s="290"/>
      <c r="E795" s="290"/>
      <c r="F795" s="290"/>
      <c r="G795" s="290"/>
      <c r="H795" s="290"/>
      <c r="I795" s="290"/>
      <c r="J795" s="290"/>
      <c r="K795" s="131"/>
      <c r="L795" s="131"/>
      <c r="M795" s="131"/>
      <c r="N795" s="131"/>
      <c r="O795" s="131"/>
      <c r="P795" s="131"/>
      <c r="Q795" s="131"/>
      <c r="R795" s="131"/>
      <c r="S795" s="131"/>
      <c r="T795" s="131"/>
      <c r="U795" s="131"/>
      <c r="V795" s="131"/>
      <c r="W795" s="131"/>
      <c r="X795" s="131"/>
      <c r="Y795" s="131"/>
      <c r="Z795" s="131"/>
    </row>
    <row r="796">
      <c r="A796" s="290"/>
      <c r="B796" s="290"/>
      <c r="C796" s="290"/>
      <c r="D796" s="290"/>
      <c r="E796" s="290"/>
      <c r="F796" s="290"/>
      <c r="G796" s="290"/>
      <c r="H796" s="290"/>
      <c r="I796" s="290"/>
      <c r="J796" s="290"/>
      <c r="K796" s="131"/>
      <c r="L796" s="131"/>
      <c r="M796" s="131"/>
      <c r="N796" s="131"/>
      <c r="O796" s="131"/>
      <c r="P796" s="131"/>
      <c r="Q796" s="131"/>
      <c r="R796" s="131"/>
      <c r="S796" s="131"/>
      <c r="T796" s="131"/>
      <c r="U796" s="131"/>
      <c r="V796" s="131"/>
      <c r="W796" s="131"/>
      <c r="X796" s="131"/>
      <c r="Y796" s="131"/>
      <c r="Z796" s="131"/>
    </row>
    <row r="797">
      <c r="A797" s="290"/>
      <c r="B797" s="290"/>
      <c r="C797" s="290"/>
      <c r="D797" s="290"/>
      <c r="E797" s="290"/>
      <c r="F797" s="290"/>
      <c r="G797" s="290"/>
      <c r="H797" s="290"/>
      <c r="I797" s="290"/>
      <c r="J797" s="290"/>
      <c r="K797" s="131"/>
      <c r="L797" s="131"/>
      <c r="M797" s="131"/>
      <c r="N797" s="131"/>
      <c r="O797" s="131"/>
      <c r="P797" s="131"/>
      <c r="Q797" s="131"/>
      <c r="R797" s="131"/>
      <c r="S797" s="131"/>
      <c r="T797" s="131"/>
      <c r="U797" s="131"/>
      <c r="V797" s="131"/>
      <c r="W797" s="131"/>
      <c r="X797" s="131"/>
      <c r="Y797" s="131"/>
      <c r="Z797" s="131"/>
    </row>
    <row r="798">
      <c r="A798" s="290"/>
      <c r="B798" s="290"/>
      <c r="C798" s="290"/>
      <c r="D798" s="290"/>
      <c r="E798" s="290"/>
      <c r="F798" s="290"/>
      <c r="G798" s="290"/>
      <c r="H798" s="290"/>
      <c r="I798" s="290"/>
      <c r="J798" s="290"/>
      <c r="K798" s="131"/>
      <c r="L798" s="131"/>
      <c r="M798" s="131"/>
      <c r="N798" s="131"/>
      <c r="O798" s="131"/>
      <c r="P798" s="131"/>
      <c r="Q798" s="131"/>
      <c r="R798" s="131"/>
      <c r="S798" s="131"/>
      <c r="T798" s="131"/>
      <c r="U798" s="131"/>
      <c r="V798" s="131"/>
      <c r="W798" s="131"/>
      <c r="X798" s="131"/>
      <c r="Y798" s="131"/>
      <c r="Z798" s="131"/>
    </row>
    <row r="799">
      <c r="A799" s="290"/>
      <c r="B799" s="290"/>
      <c r="C799" s="290"/>
      <c r="D799" s="290"/>
      <c r="E799" s="290"/>
      <c r="F799" s="290"/>
      <c r="G799" s="290"/>
      <c r="H799" s="290"/>
      <c r="I799" s="290"/>
      <c r="J799" s="290"/>
      <c r="K799" s="131"/>
      <c r="L799" s="131"/>
      <c r="M799" s="131"/>
      <c r="N799" s="131"/>
      <c r="O799" s="131"/>
      <c r="P799" s="131"/>
      <c r="Q799" s="131"/>
      <c r="R799" s="131"/>
      <c r="S799" s="131"/>
      <c r="T799" s="131"/>
      <c r="U799" s="131"/>
      <c r="V799" s="131"/>
      <c r="W799" s="131"/>
      <c r="X799" s="131"/>
      <c r="Y799" s="131"/>
      <c r="Z799" s="131"/>
    </row>
    <row r="800">
      <c r="A800" s="290"/>
      <c r="B800" s="290"/>
      <c r="C800" s="290"/>
      <c r="D800" s="290"/>
      <c r="E800" s="290"/>
      <c r="F800" s="290"/>
      <c r="G800" s="290"/>
      <c r="H800" s="290"/>
      <c r="I800" s="290"/>
      <c r="J800" s="290"/>
      <c r="K800" s="131"/>
      <c r="L800" s="131"/>
      <c r="M800" s="131"/>
      <c r="N800" s="131"/>
      <c r="O800" s="131"/>
      <c r="P800" s="131"/>
      <c r="Q800" s="131"/>
      <c r="R800" s="131"/>
      <c r="S800" s="131"/>
      <c r="T800" s="131"/>
      <c r="U800" s="131"/>
      <c r="V800" s="131"/>
      <c r="W800" s="131"/>
      <c r="X800" s="131"/>
      <c r="Y800" s="131"/>
      <c r="Z800" s="131"/>
    </row>
    <row r="801">
      <c r="A801" s="290"/>
      <c r="B801" s="290"/>
      <c r="C801" s="290"/>
      <c r="D801" s="290"/>
      <c r="E801" s="290"/>
      <c r="F801" s="290"/>
      <c r="G801" s="290"/>
      <c r="H801" s="290"/>
      <c r="I801" s="290"/>
      <c r="J801" s="290"/>
      <c r="K801" s="131"/>
      <c r="L801" s="131"/>
      <c r="M801" s="131"/>
      <c r="N801" s="131"/>
      <c r="O801" s="131"/>
      <c r="P801" s="131"/>
      <c r="Q801" s="131"/>
      <c r="R801" s="131"/>
      <c r="S801" s="131"/>
      <c r="T801" s="131"/>
      <c r="U801" s="131"/>
      <c r="V801" s="131"/>
      <c r="W801" s="131"/>
      <c r="X801" s="131"/>
      <c r="Y801" s="131"/>
      <c r="Z801" s="131"/>
    </row>
    <row r="802">
      <c r="A802" s="290"/>
      <c r="B802" s="290"/>
      <c r="C802" s="290"/>
      <c r="D802" s="290"/>
      <c r="E802" s="290"/>
      <c r="F802" s="290"/>
      <c r="G802" s="290"/>
      <c r="H802" s="290"/>
      <c r="I802" s="290"/>
      <c r="J802" s="290"/>
      <c r="K802" s="131"/>
      <c r="L802" s="131"/>
      <c r="M802" s="131"/>
      <c r="N802" s="131"/>
      <c r="O802" s="131"/>
      <c r="P802" s="131"/>
      <c r="Q802" s="131"/>
      <c r="R802" s="131"/>
      <c r="S802" s="131"/>
      <c r="T802" s="131"/>
      <c r="U802" s="131"/>
      <c r="V802" s="131"/>
      <c r="W802" s="131"/>
      <c r="X802" s="131"/>
      <c r="Y802" s="131"/>
      <c r="Z802" s="131"/>
    </row>
    <row r="803">
      <c r="A803" s="290"/>
      <c r="B803" s="290"/>
      <c r="C803" s="290"/>
      <c r="D803" s="290"/>
      <c r="E803" s="290"/>
      <c r="F803" s="290"/>
      <c r="G803" s="290"/>
      <c r="H803" s="290"/>
      <c r="I803" s="290"/>
      <c r="J803" s="290"/>
      <c r="K803" s="131"/>
      <c r="L803" s="131"/>
      <c r="M803" s="131"/>
      <c r="N803" s="131"/>
      <c r="O803" s="131"/>
      <c r="P803" s="131"/>
      <c r="Q803" s="131"/>
      <c r="R803" s="131"/>
      <c r="S803" s="131"/>
      <c r="T803" s="131"/>
      <c r="U803" s="131"/>
      <c r="V803" s="131"/>
      <c r="W803" s="131"/>
      <c r="X803" s="131"/>
      <c r="Y803" s="131"/>
      <c r="Z803" s="131"/>
    </row>
    <row r="804">
      <c r="A804" s="290"/>
      <c r="B804" s="290"/>
      <c r="C804" s="290"/>
      <c r="D804" s="290"/>
      <c r="E804" s="290"/>
      <c r="F804" s="290"/>
      <c r="G804" s="290"/>
      <c r="H804" s="290"/>
      <c r="I804" s="290"/>
      <c r="J804" s="290"/>
      <c r="K804" s="131"/>
      <c r="L804" s="131"/>
      <c r="M804" s="131"/>
      <c r="N804" s="131"/>
      <c r="O804" s="131"/>
      <c r="P804" s="131"/>
      <c r="Q804" s="131"/>
      <c r="R804" s="131"/>
      <c r="S804" s="131"/>
      <c r="T804" s="131"/>
      <c r="U804" s="131"/>
      <c r="V804" s="131"/>
      <c r="W804" s="131"/>
      <c r="X804" s="131"/>
      <c r="Y804" s="131"/>
      <c r="Z804" s="131"/>
    </row>
    <row r="805">
      <c r="A805" s="290"/>
      <c r="B805" s="290"/>
      <c r="C805" s="290"/>
      <c r="D805" s="290"/>
      <c r="E805" s="290"/>
      <c r="F805" s="290"/>
      <c r="G805" s="290"/>
      <c r="H805" s="290"/>
      <c r="I805" s="290"/>
      <c r="J805" s="290"/>
      <c r="K805" s="131"/>
      <c r="L805" s="131"/>
      <c r="M805" s="131"/>
      <c r="N805" s="131"/>
      <c r="O805" s="131"/>
      <c r="P805" s="131"/>
      <c r="Q805" s="131"/>
      <c r="R805" s="131"/>
      <c r="S805" s="131"/>
      <c r="T805" s="131"/>
      <c r="U805" s="131"/>
      <c r="V805" s="131"/>
      <c r="W805" s="131"/>
      <c r="X805" s="131"/>
      <c r="Y805" s="131"/>
      <c r="Z805" s="131"/>
    </row>
    <row r="806">
      <c r="A806" s="290"/>
      <c r="B806" s="290"/>
      <c r="C806" s="290"/>
      <c r="D806" s="290"/>
      <c r="E806" s="290"/>
      <c r="F806" s="290"/>
      <c r="G806" s="290"/>
      <c r="H806" s="290"/>
      <c r="I806" s="290"/>
      <c r="J806" s="290"/>
      <c r="K806" s="131"/>
      <c r="L806" s="131"/>
      <c r="M806" s="131"/>
      <c r="N806" s="131"/>
      <c r="O806" s="131"/>
      <c r="P806" s="131"/>
      <c r="Q806" s="131"/>
      <c r="R806" s="131"/>
      <c r="S806" s="131"/>
      <c r="T806" s="131"/>
      <c r="U806" s="131"/>
      <c r="V806" s="131"/>
      <c r="W806" s="131"/>
      <c r="X806" s="131"/>
      <c r="Y806" s="131"/>
      <c r="Z806" s="131"/>
    </row>
    <row r="807">
      <c r="A807" s="290"/>
      <c r="B807" s="290"/>
      <c r="C807" s="290"/>
      <c r="D807" s="290"/>
      <c r="E807" s="290"/>
      <c r="F807" s="290"/>
      <c r="G807" s="290"/>
      <c r="H807" s="290"/>
      <c r="I807" s="290"/>
      <c r="J807" s="290"/>
      <c r="K807" s="131"/>
      <c r="L807" s="131"/>
      <c r="M807" s="131"/>
      <c r="N807" s="131"/>
      <c r="O807" s="131"/>
      <c r="P807" s="131"/>
      <c r="Q807" s="131"/>
      <c r="R807" s="131"/>
      <c r="S807" s="131"/>
      <c r="T807" s="131"/>
      <c r="U807" s="131"/>
      <c r="V807" s="131"/>
      <c r="W807" s="131"/>
      <c r="X807" s="131"/>
      <c r="Y807" s="131"/>
      <c r="Z807" s="131"/>
    </row>
    <row r="808">
      <c r="A808" s="290"/>
      <c r="B808" s="290"/>
      <c r="C808" s="290"/>
      <c r="D808" s="290"/>
      <c r="E808" s="290"/>
      <c r="F808" s="290"/>
      <c r="G808" s="290"/>
      <c r="H808" s="290"/>
      <c r="I808" s="290"/>
      <c r="J808" s="290"/>
      <c r="K808" s="131"/>
      <c r="L808" s="131"/>
      <c r="M808" s="131"/>
      <c r="N808" s="131"/>
      <c r="O808" s="131"/>
      <c r="P808" s="131"/>
      <c r="Q808" s="131"/>
      <c r="R808" s="131"/>
      <c r="S808" s="131"/>
      <c r="T808" s="131"/>
      <c r="U808" s="131"/>
      <c r="V808" s="131"/>
      <c r="W808" s="131"/>
      <c r="X808" s="131"/>
      <c r="Y808" s="131"/>
      <c r="Z808" s="131"/>
    </row>
    <row r="809">
      <c r="A809" s="290"/>
      <c r="B809" s="290"/>
      <c r="C809" s="290"/>
      <c r="D809" s="290"/>
      <c r="E809" s="290"/>
      <c r="F809" s="290"/>
      <c r="G809" s="290"/>
      <c r="H809" s="290"/>
      <c r="I809" s="290"/>
      <c r="J809" s="290"/>
      <c r="K809" s="131"/>
      <c r="L809" s="131"/>
      <c r="M809" s="131"/>
      <c r="N809" s="131"/>
      <c r="O809" s="131"/>
      <c r="P809" s="131"/>
      <c r="Q809" s="131"/>
      <c r="R809" s="131"/>
      <c r="S809" s="131"/>
      <c r="T809" s="131"/>
      <c r="U809" s="131"/>
      <c r="V809" s="131"/>
      <c r="W809" s="131"/>
      <c r="X809" s="131"/>
      <c r="Y809" s="131"/>
      <c r="Z809" s="131"/>
    </row>
    <row r="810">
      <c r="A810" s="290"/>
      <c r="B810" s="290"/>
      <c r="C810" s="290"/>
      <c r="D810" s="290"/>
      <c r="E810" s="290"/>
      <c r="F810" s="290"/>
      <c r="G810" s="290"/>
      <c r="H810" s="290"/>
      <c r="I810" s="290"/>
      <c r="J810" s="290"/>
      <c r="K810" s="131"/>
      <c r="L810" s="131"/>
      <c r="M810" s="131"/>
      <c r="N810" s="131"/>
      <c r="O810" s="131"/>
      <c r="P810" s="131"/>
      <c r="Q810" s="131"/>
      <c r="R810" s="131"/>
      <c r="S810" s="131"/>
      <c r="T810" s="131"/>
      <c r="U810" s="131"/>
      <c r="V810" s="131"/>
      <c r="W810" s="131"/>
      <c r="X810" s="131"/>
      <c r="Y810" s="131"/>
      <c r="Z810" s="131"/>
    </row>
    <row r="811">
      <c r="A811" s="290"/>
      <c r="B811" s="290"/>
      <c r="C811" s="290"/>
      <c r="D811" s="290"/>
      <c r="E811" s="290"/>
      <c r="F811" s="290"/>
      <c r="G811" s="290"/>
      <c r="H811" s="290"/>
      <c r="I811" s="290"/>
      <c r="J811" s="290"/>
      <c r="K811" s="131"/>
      <c r="L811" s="131"/>
      <c r="M811" s="131"/>
      <c r="N811" s="131"/>
      <c r="O811" s="131"/>
      <c r="P811" s="131"/>
      <c r="Q811" s="131"/>
      <c r="R811" s="131"/>
      <c r="S811" s="131"/>
      <c r="T811" s="131"/>
      <c r="U811" s="131"/>
      <c r="V811" s="131"/>
      <c r="W811" s="131"/>
      <c r="X811" s="131"/>
      <c r="Y811" s="131"/>
      <c r="Z811" s="131"/>
    </row>
    <row r="812">
      <c r="A812" s="290"/>
      <c r="B812" s="290"/>
      <c r="C812" s="290"/>
      <c r="D812" s="290"/>
      <c r="E812" s="290"/>
      <c r="F812" s="290"/>
      <c r="G812" s="290"/>
      <c r="H812" s="290"/>
      <c r="I812" s="290"/>
      <c r="J812" s="290"/>
      <c r="K812" s="131"/>
      <c r="L812" s="131"/>
      <c r="M812" s="131"/>
      <c r="N812" s="131"/>
      <c r="O812" s="131"/>
      <c r="P812" s="131"/>
      <c r="Q812" s="131"/>
      <c r="R812" s="131"/>
      <c r="S812" s="131"/>
      <c r="T812" s="131"/>
      <c r="U812" s="131"/>
      <c r="V812" s="131"/>
      <c r="W812" s="131"/>
      <c r="X812" s="131"/>
      <c r="Y812" s="131"/>
      <c r="Z812" s="131"/>
    </row>
    <row r="813">
      <c r="A813" s="290"/>
      <c r="B813" s="290"/>
      <c r="C813" s="290"/>
      <c r="D813" s="290"/>
      <c r="E813" s="290"/>
      <c r="F813" s="290"/>
      <c r="G813" s="290"/>
      <c r="H813" s="290"/>
      <c r="I813" s="290"/>
      <c r="J813" s="290"/>
      <c r="K813" s="131"/>
      <c r="L813" s="131"/>
      <c r="M813" s="131"/>
      <c r="N813" s="131"/>
      <c r="O813" s="131"/>
      <c r="P813" s="131"/>
      <c r="Q813" s="131"/>
      <c r="R813" s="131"/>
      <c r="S813" s="131"/>
      <c r="T813" s="131"/>
      <c r="U813" s="131"/>
      <c r="V813" s="131"/>
      <c r="W813" s="131"/>
      <c r="X813" s="131"/>
      <c r="Y813" s="131"/>
      <c r="Z813" s="131"/>
    </row>
    <row r="814">
      <c r="A814" s="290"/>
      <c r="B814" s="290"/>
      <c r="C814" s="290"/>
      <c r="D814" s="290"/>
      <c r="E814" s="290"/>
      <c r="F814" s="290"/>
      <c r="G814" s="290"/>
      <c r="H814" s="290"/>
      <c r="I814" s="290"/>
      <c r="J814" s="290"/>
      <c r="K814" s="131"/>
      <c r="L814" s="131"/>
      <c r="M814" s="131"/>
      <c r="N814" s="131"/>
      <c r="O814" s="131"/>
      <c r="P814" s="131"/>
      <c r="Q814" s="131"/>
      <c r="R814" s="131"/>
      <c r="S814" s="131"/>
      <c r="T814" s="131"/>
      <c r="U814" s="131"/>
      <c r="V814" s="131"/>
      <c r="W814" s="131"/>
      <c r="X814" s="131"/>
      <c r="Y814" s="131"/>
      <c r="Z814" s="131"/>
    </row>
    <row r="815">
      <c r="A815" s="290"/>
      <c r="B815" s="290"/>
      <c r="C815" s="290"/>
      <c r="D815" s="290"/>
      <c r="E815" s="290"/>
      <c r="F815" s="290"/>
      <c r="G815" s="290"/>
      <c r="H815" s="290"/>
      <c r="I815" s="290"/>
      <c r="J815" s="290"/>
      <c r="K815" s="131"/>
      <c r="L815" s="131"/>
      <c r="M815" s="131"/>
      <c r="N815" s="131"/>
      <c r="O815" s="131"/>
      <c r="P815" s="131"/>
      <c r="Q815" s="131"/>
      <c r="R815" s="131"/>
      <c r="S815" s="131"/>
      <c r="T815" s="131"/>
      <c r="U815" s="131"/>
      <c r="V815" s="131"/>
      <c r="W815" s="131"/>
      <c r="X815" s="131"/>
      <c r="Y815" s="131"/>
      <c r="Z815" s="131"/>
    </row>
    <row r="816">
      <c r="A816" s="290"/>
      <c r="B816" s="290"/>
      <c r="C816" s="290"/>
      <c r="D816" s="290"/>
      <c r="E816" s="290"/>
      <c r="F816" s="290"/>
      <c r="G816" s="290"/>
      <c r="H816" s="290"/>
      <c r="I816" s="290"/>
      <c r="J816" s="290"/>
      <c r="K816" s="131"/>
      <c r="L816" s="131"/>
      <c r="M816" s="131"/>
      <c r="N816" s="131"/>
      <c r="O816" s="131"/>
      <c r="P816" s="131"/>
      <c r="Q816" s="131"/>
      <c r="R816" s="131"/>
      <c r="S816" s="131"/>
      <c r="T816" s="131"/>
      <c r="U816" s="131"/>
      <c r="V816" s="131"/>
      <c r="W816" s="131"/>
      <c r="X816" s="131"/>
      <c r="Y816" s="131"/>
      <c r="Z816" s="131"/>
    </row>
    <row r="817">
      <c r="A817" s="290"/>
      <c r="B817" s="290"/>
      <c r="C817" s="290"/>
      <c r="D817" s="290"/>
      <c r="E817" s="290"/>
      <c r="F817" s="290"/>
      <c r="G817" s="290"/>
      <c r="H817" s="290"/>
      <c r="I817" s="290"/>
      <c r="J817" s="290"/>
      <c r="K817" s="131"/>
      <c r="L817" s="131"/>
      <c r="M817" s="131"/>
      <c r="N817" s="131"/>
      <c r="O817" s="131"/>
      <c r="P817" s="131"/>
      <c r="Q817" s="131"/>
      <c r="R817" s="131"/>
      <c r="S817" s="131"/>
      <c r="T817" s="131"/>
      <c r="U817" s="131"/>
      <c r="V817" s="131"/>
      <c r="W817" s="131"/>
      <c r="X817" s="131"/>
      <c r="Y817" s="131"/>
      <c r="Z817" s="131"/>
    </row>
    <row r="818">
      <c r="A818" s="290"/>
      <c r="B818" s="290"/>
      <c r="C818" s="290"/>
      <c r="D818" s="290"/>
      <c r="E818" s="290"/>
      <c r="F818" s="290"/>
      <c r="G818" s="290"/>
      <c r="H818" s="290"/>
      <c r="I818" s="290"/>
      <c r="J818" s="290"/>
      <c r="K818" s="131"/>
      <c r="L818" s="131"/>
      <c r="M818" s="131"/>
      <c r="N818" s="131"/>
      <c r="O818" s="131"/>
      <c r="P818" s="131"/>
      <c r="Q818" s="131"/>
      <c r="R818" s="131"/>
      <c r="S818" s="131"/>
      <c r="T818" s="131"/>
      <c r="U818" s="131"/>
      <c r="V818" s="131"/>
      <c r="W818" s="131"/>
      <c r="X818" s="131"/>
      <c r="Y818" s="131"/>
      <c r="Z818" s="131"/>
    </row>
    <row r="819">
      <c r="A819" s="290"/>
      <c r="B819" s="290"/>
      <c r="C819" s="290"/>
      <c r="D819" s="290"/>
      <c r="E819" s="290"/>
      <c r="F819" s="290"/>
      <c r="G819" s="290"/>
      <c r="H819" s="290"/>
      <c r="I819" s="290"/>
      <c r="J819" s="290"/>
      <c r="K819" s="131"/>
      <c r="L819" s="131"/>
      <c r="M819" s="131"/>
      <c r="N819" s="131"/>
      <c r="O819" s="131"/>
      <c r="P819" s="131"/>
      <c r="Q819" s="131"/>
      <c r="R819" s="131"/>
      <c r="S819" s="131"/>
      <c r="T819" s="131"/>
      <c r="U819" s="131"/>
      <c r="V819" s="131"/>
      <c r="W819" s="131"/>
      <c r="X819" s="131"/>
      <c r="Y819" s="131"/>
      <c r="Z819" s="131"/>
    </row>
    <row r="820">
      <c r="A820" s="290"/>
      <c r="B820" s="290"/>
      <c r="C820" s="290"/>
      <c r="D820" s="290"/>
      <c r="E820" s="290"/>
      <c r="F820" s="290"/>
      <c r="G820" s="290"/>
      <c r="H820" s="290"/>
      <c r="I820" s="290"/>
      <c r="J820" s="290"/>
      <c r="K820" s="131"/>
      <c r="L820" s="131"/>
      <c r="M820" s="131"/>
      <c r="N820" s="131"/>
      <c r="O820" s="131"/>
      <c r="P820" s="131"/>
      <c r="Q820" s="131"/>
      <c r="R820" s="131"/>
      <c r="S820" s="131"/>
      <c r="T820" s="131"/>
      <c r="U820" s="131"/>
      <c r="V820" s="131"/>
      <c r="W820" s="131"/>
      <c r="X820" s="131"/>
      <c r="Y820" s="131"/>
      <c r="Z820" s="131"/>
    </row>
    <row r="821">
      <c r="A821" s="290"/>
      <c r="B821" s="290"/>
      <c r="C821" s="290"/>
      <c r="D821" s="290"/>
      <c r="E821" s="290"/>
      <c r="F821" s="290"/>
      <c r="G821" s="290"/>
      <c r="H821" s="290"/>
      <c r="I821" s="290"/>
      <c r="J821" s="290"/>
      <c r="K821" s="131"/>
      <c r="L821" s="131"/>
      <c r="M821" s="131"/>
      <c r="N821" s="131"/>
      <c r="O821" s="131"/>
      <c r="P821" s="131"/>
      <c r="Q821" s="131"/>
      <c r="R821" s="131"/>
      <c r="S821" s="131"/>
      <c r="T821" s="131"/>
      <c r="U821" s="131"/>
      <c r="V821" s="131"/>
      <c r="W821" s="131"/>
      <c r="X821" s="131"/>
      <c r="Y821" s="131"/>
      <c r="Z821" s="131"/>
    </row>
    <row r="822">
      <c r="A822" s="290"/>
      <c r="B822" s="290"/>
      <c r="C822" s="290"/>
      <c r="D822" s="290"/>
      <c r="E822" s="290"/>
      <c r="F822" s="290"/>
      <c r="G822" s="290"/>
      <c r="H822" s="290"/>
      <c r="I822" s="290"/>
      <c r="J822" s="290"/>
      <c r="K822" s="131"/>
      <c r="L822" s="131"/>
      <c r="M822" s="131"/>
      <c r="N822" s="131"/>
      <c r="O822" s="131"/>
      <c r="P822" s="131"/>
      <c r="Q822" s="131"/>
      <c r="R822" s="131"/>
      <c r="S822" s="131"/>
      <c r="T822" s="131"/>
      <c r="U822" s="131"/>
      <c r="V822" s="131"/>
      <c r="W822" s="131"/>
      <c r="X822" s="131"/>
      <c r="Y822" s="131"/>
      <c r="Z822" s="131"/>
    </row>
    <row r="823">
      <c r="A823" s="290"/>
      <c r="B823" s="290"/>
      <c r="C823" s="290"/>
      <c r="D823" s="290"/>
      <c r="E823" s="290"/>
      <c r="F823" s="290"/>
      <c r="G823" s="290"/>
      <c r="H823" s="290"/>
      <c r="I823" s="290"/>
      <c r="J823" s="290"/>
      <c r="K823" s="131"/>
      <c r="L823" s="131"/>
      <c r="M823" s="131"/>
      <c r="N823" s="131"/>
      <c r="O823" s="131"/>
      <c r="P823" s="131"/>
      <c r="Q823" s="131"/>
      <c r="R823" s="131"/>
      <c r="S823" s="131"/>
      <c r="T823" s="131"/>
      <c r="U823" s="131"/>
      <c r="V823" s="131"/>
      <c r="W823" s="131"/>
      <c r="X823" s="131"/>
      <c r="Y823" s="131"/>
      <c r="Z823" s="131"/>
    </row>
    <row r="824">
      <c r="A824" s="290"/>
      <c r="B824" s="290"/>
      <c r="C824" s="290"/>
      <c r="D824" s="290"/>
      <c r="E824" s="290"/>
      <c r="F824" s="290"/>
      <c r="G824" s="290"/>
      <c r="H824" s="290"/>
      <c r="I824" s="290"/>
      <c r="J824" s="290"/>
      <c r="K824" s="131"/>
      <c r="L824" s="131"/>
      <c r="M824" s="131"/>
      <c r="N824" s="131"/>
      <c r="O824" s="131"/>
      <c r="P824" s="131"/>
      <c r="Q824" s="131"/>
      <c r="R824" s="131"/>
      <c r="S824" s="131"/>
      <c r="T824" s="131"/>
      <c r="U824" s="131"/>
      <c r="V824" s="131"/>
      <c r="W824" s="131"/>
      <c r="X824" s="131"/>
      <c r="Y824" s="131"/>
      <c r="Z824" s="131"/>
    </row>
    <row r="825">
      <c r="A825" s="290"/>
      <c r="B825" s="290"/>
      <c r="C825" s="290"/>
      <c r="D825" s="290"/>
      <c r="E825" s="290"/>
      <c r="F825" s="290"/>
      <c r="G825" s="290"/>
      <c r="H825" s="290"/>
      <c r="I825" s="290"/>
      <c r="J825" s="290"/>
      <c r="K825" s="131"/>
      <c r="L825" s="131"/>
      <c r="M825" s="131"/>
      <c r="N825" s="131"/>
      <c r="O825" s="131"/>
      <c r="P825" s="131"/>
      <c r="Q825" s="131"/>
      <c r="R825" s="131"/>
      <c r="S825" s="131"/>
      <c r="T825" s="131"/>
      <c r="U825" s="131"/>
      <c r="V825" s="131"/>
      <c r="W825" s="131"/>
      <c r="X825" s="131"/>
      <c r="Y825" s="131"/>
      <c r="Z825" s="131"/>
    </row>
    <row r="826">
      <c r="A826" s="290"/>
      <c r="B826" s="290"/>
      <c r="C826" s="290"/>
      <c r="D826" s="290"/>
      <c r="E826" s="290"/>
      <c r="F826" s="290"/>
      <c r="G826" s="290"/>
      <c r="H826" s="290"/>
      <c r="I826" s="290"/>
      <c r="J826" s="290"/>
      <c r="K826" s="131"/>
      <c r="L826" s="131"/>
      <c r="M826" s="131"/>
      <c r="N826" s="131"/>
      <c r="O826" s="131"/>
      <c r="P826" s="131"/>
      <c r="Q826" s="131"/>
      <c r="R826" s="131"/>
      <c r="S826" s="131"/>
      <c r="T826" s="131"/>
      <c r="U826" s="131"/>
      <c r="V826" s="131"/>
      <c r="W826" s="131"/>
      <c r="X826" s="131"/>
      <c r="Y826" s="131"/>
      <c r="Z826" s="131"/>
    </row>
    <row r="827">
      <c r="A827" s="290"/>
      <c r="B827" s="290"/>
      <c r="C827" s="290"/>
      <c r="D827" s="290"/>
      <c r="E827" s="290"/>
      <c r="F827" s="290"/>
      <c r="G827" s="290"/>
      <c r="H827" s="290"/>
      <c r="I827" s="290"/>
      <c r="J827" s="290"/>
      <c r="K827" s="131"/>
      <c r="L827" s="131"/>
      <c r="M827" s="131"/>
      <c r="N827" s="131"/>
      <c r="O827" s="131"/>
      <c r="P827" s="131"/>
      <c r="Q827" s="131"/>
      <c r="R827" s="131"/>
      <c r="S827" s="131"/>
      <c r="T827" s="131"/>
      <c r="U827" s="131"/>
      <c r="V827" s="131"/>
      <c r="W827" s="131"/>
      <c r="X827" s="131"/>
      <c r="Y827" s="131"/>
      <c r="Z827" s="131"/>
    </row>
    <row r="828">
      <c r="A828" s="290"/>
      <c r="B828" s="290"/>
      <c r="C828" s="290"/>
      <c r="D828" s="290"/>
      <c r="E828" s="290"/>
      <c r="F828" s="290"/>
      <c r="G828" s="290"/>
      <c r="H828" s="290"/>
      <c r="I828" s="290"/>
      <c r="J828" s="290"/>
      <c r="K828" s="131"/>
      <c r="L828" s="131"/>
      <c r="M828" s="131"/>
      <c r="N828" s="131"/>
      <c r="O828" s="131"/>
      <c r="P828" s="131"/>
      <c r="Q828" s="131"/>
      <c r="R828" s="131"/>
      <c r="S828" s="131"/>
      <c r="T828" s="131"/>
      <c r="U828" s="131"/>
      <c r="V828" s="131"/>
      <c r="W828" s="131"/>
      <c r="X828" s="131"/>
      <c r="Y828" s="131"/>
      <c r="Z828" s="131"/>
    </row>
    <row r="829">
      <c r="A829" s="290"/>
      <c r="B829" s="290"/>
      <c r="C829" s="290"/>
      <c r="D829" s="290"/>
      <c r="E829" s="290"/>
      <c r="F829" s="290"/>
      <c r="G829" s="290"/>
      <c r="H829" s="290"/>
      <c r="I829" s="290"/>
      <c r="J829" s="290"/>
      <c r="K829" s="131"/>
      <c r="L829" s="131"/>
      <c r="M829" s="131"/>
      <c r="N829" s="131"/>
      <c r="O829" s="131"/>
      <c r="P829" s="131"/>
      <c r="Q829" s="131"/>
      <c r="R829" s="131"/>
      <c r="S829" s="131"/>
      <c r="T829" s="131"/>
      <c r="U829" s="131"/>
      <c r="V829" s="131"/>
      <c r="W829" s="131"/>
      <c r="X829" s="131"/>
      <c r="Y829" s="131"/>
      <c r="Z829" s="131"/>
    </row>
    <row r="830">
      <c r="A830" s="290"/>
      <c r="B830" s="290"/>
      <c r="C830" s="290"/>
      <c r="D830" s="290"/>
      <c r="E830" s="290"/>
      <c r="F830" s="290"/>
      <c r="G830" s="290"/>
      <c r="H830" s="290"/>
      <c r="I830" s="290"/>
      <c r="J830" s="290"/>
      <c r="K830" s="131"/>
      <c r="L830" s="131"/>
      <c r="M830" s="131"/>
      <c r="N830" s="131"/>
      <c r="O830" s="131"/>
      <c r="P830" s="131"/>
      <c r="Q830" s="131"/>
      <c r="R830" s="131"/>
      <c r="S830" s="131"/>
      <c r="T830" s="131"/>
      <c r="U830" s="131"/>
      <c r="V830" s="131"/>
      <c r="W830" s="131"/>
      <c r="X830" s="131"/>
      <c r="Y830" s="131"/>
      <c r="Z830" s="131"/>
    </row>
    <row r="831">
      <c r="A831" s="290"/>
      <c r="B831" s="290"/>
      <c r="C831" s="290"/>
      <c r="D831" s="290"/>
      <c r="E831" s="290"/>
      <c r="F831" s="290"/>
      <c r="G831" s="290"/>
      <c r="H831" s="290"/>
      <c r="I831" s="290"/>
      <c r="J831" s="290"/>
      <c r="K831" s="131"/>
      <c r="L831" s="131"/>
      <c r="M831" s="131"/>
      <c r="N831" s="131"/>
      <c r="O831" s="131"/>
      <c r="P831" s="131"/>
      <c r="Q831" s="131"/>
      <c r="R831" s="131"/>
      <c r="S831" s="131"/>
      <c r="T831" s="131"/>
      <c r="U831" s="131"/>
      <c r="V831" s="131"/>
      <c r="W831" s="131"/>
      <c r="X831" s="131"/>
      <c r="Y831" s="131"/>
      <c r="Z831" s="131"/>
    </row>
    <row r="832">
      <c r="A832" s="290"/>
      <c r="B832" s="290"/>
      <c r="C832" s="290"/>
      <c r="D832" s="290"/>
      <c r="E832" s="290"/>
      <c r="F832" s="290"/>
      <c r="G832" s="290"/>
      <c r="H832" s="290"/>
      <c r="I832" s="290"/>
      <c r="J832" s="290"/>
      <c r="K832" s="131"/>
      <c r="L832" s="131"/>
      <c r="M832" s="131"/>
      <c r="N832" s="131"/>
      <c r="O832" s="131"/>
      <c r="P832" s="131"/>
      <c r="Q832" s="131"/>
      <c r="R832" s="131"/>
      <c r="S832" s="131"/>
      <c r="T832" s="131"/>
      <c r="U832" s="131"/>
      <c r="V832" s="131"/>
      <c r="W832" s="131"/>
      <c r="X832" s="131"/>
      <c r="Y832" s="131"/>
      <c r="Z832" s="131"/>
    </row>
    <row r="833">
      <c r="A833" s="290"/>
      <c r="B833" s="290"/>
      <c r="C833" s="290"/>
      <c r="D833" s="290"/>
      <c r="E833" s="290"/>
      <c r="F833" s="290"/>
      <c r="G833" s="290"/>
      <c r="H833" s="290"/>
      <c r="I833" s="290"/>
      <c r="J833" s="290"/>
      <c r="K833" s="131"/>
      <c r="L833" s="131"/>
      <c r="M833" s="131"/>
      <c r="N833" s="131"/>
      <c r="O833" s="131"/>
      <c r="P833" s="131"/>
      <c r="Q833" s="131"/>
      <c r="R833" s="131"/>
      <c r="S833" s="131"/>
      <c r="T833" s="131"/>
      <c r="U833" s="131"/>
      <c r="V833" s="131"/>
      <c r="W833" s="131"/>
      <c r="X833" s="131"/>
      <c r="Y833" s="131"/>
      <c r="Z833" s="131"/>
    </row>
    <row r="834">
      <c r="A834" s="290"/>
      <c r="B834" s="290"/>
      <c r="C834" s="290"/>
      <c r="D834" s="290"/>
      <c r="E834" s="290"/>
      <c r="F834" s="290"/>
      <c r="G834" s="290"/>
      <c r="H834" s="290"/>
      <c r="I834" s="290"/>
      <c r="J834" s="290"/>
      <c r="K834" s="131"/>
      <c r="L834" s="131"/>
      <c r="M834" s="131"/>
      <c r="N834" s="131"/>
      <c r="O834" s="131"/>
      <c r="P834" s="131"/>
      <c r="Q834" s="131"/>
      <c r="R834" s="131"/>
      <c r="S834" s="131"/>
      <c r="T834" s="131"/>
      <c r="U834" s="131"/>
      <c r="V834" s="131"/>
      <c r="W834" s="131"/>
      <c r="X834" s="131"/>
      <c r="Y834" s="131"/>
      <c r="Z834" s="131"/>
    </row>
    <row r="835">
      <c r="A835" s="290"/>
      <c r="B835" s="290"/>
      <c r="C835" s="290"/>
      <c r="D835" s="290"/>
      <c r="E835" s="290"/>
      <c r="F835" s="290"/>
      <c r="G835" s="290"/>
      <c r="H835" s="290"/>
      <c r="I835" s="290"/>
      <c r="J835" s="290"/>
      <c r="K835" s="131"/>
      <c r="L835" s="131"/>
      <c r="M835" s="131"/>
      <c r="N835" s="131"/>
      <c r="O835" s="131"/>
      <c r="P835" s="131"/>
      <c r="Q835" s="131"/>
      <c r="R835" s="131"/>
      <c r="S835" s="131"/>
      <c r="T835" s="131"/>
      <c r="U835" s="131"/>
      <c r="V835" s="131"/>
      <c r="W835" s="131"/>
      <c r="X835" s="131"/>
      <c r="Y835" s="131"/>
      <c r="Z835" s="131"/>
    </row>
    <row r="836">
      <c r="A836" s="290"/>
      <c r="B836" s="290"/>
      <c r="C836" s="290"/>
      <c r="D836" s="290"/>
      <c r="E836" s="290"/>
      <c r="F836" s="290"/>
      <c r="G836" s="290"/>
      <c r="H836" s="290"/>
      <c r="I836" s="290"/>
      <c r="J836" s="290"/>
      <c r="K836" s="131"/>
      <c r="L836" s="131"/>
      <c r="M836" s="131"/>
      <c r="N836" s="131"/>
      <c r="O836" s="131"/>
      <c r="P836" s="131"/>
      <c r="Q836" s="131"/>
      <c r="R836" s="131"/>
      <c r="S836" s="131"/>
      <c r="T836" s="131"/>
      <c r="U836" s="131"/>
      <c r="V836" s="131"/>
      <c r="W836" s="131"/>
      <c r="X836" s="131"/>
      <c r="Y836" s="131"/>
      <c r="Z836" s="131"/>
    </row>
    <row r="837">
      <c r="A837" s="290"/>
      <c r="B837" s="290"/>
      <c r="C837" s="290"/>
      <c r="D837" s="290"/>
      <c r="E837" s="290"/>
      <c r="F837" s="290"/>
      <c r="G837" s="290"/>
      <c r="H837" s="290"/>
      <c r="I837" s="290"/>
      <c r="J837" s="290"/>
      <c r="K837" s="131"/>
      <c r="L837" s="131"/>
      <c r="M837" s="131"/>
      <c r="N837" s="131"/>
      <c r="O837" s="131"/>
      <c r="P837" s="131"/>
      <c r="Q837" s="131"/>
      <c r="R837" s="131"/>
      <c r="S837" s="131"/>
      <c r="T837" s="131"/>
      <c r="U837" s="131"/>
      <c r="V837" s="131"/>
      <c r="W837" s="131"/>
      <c r="X837" s="131"/>
      <c r="Y837" s="131"/>
      <c r="Z837" s="131"/>
    </row>
    <row r="838">
      <c r="A838" s="290"/>
      <c r="B838" s="290"/>
      <c r="C838" s="290"/>
      <c r="D838" s="290"/>
      <c r="E838" s="290"/>
      <c r="F838" s="290"/>
      <c r="G838" s="290"/>
      <c r="H838" s="290"/>
      <c r="I838" s="290"/>
      <c r="J838" s="290"/>
      <c r="K838" s="131"/>
      <c r="L838" s="131"/>
      <c r="M838" s="131"/>
      <c r="N838" s="131"/>
      <c r="O838" s="131"/>
      <c r="P838" s="131"/>
      <c r="Q838" s="131"/>
      <c r="R838" s="131"/>
      <c r="S838" s="131"/>
      <c r="T838" s="131"/>
      <c r="U838" s="131"/>
      <c r="V838" s="131"/>
      <c r="W838" s="131"/>
      <c r="X838" s="131"/>
      <c r="Y838" s="131"/>
      <c r="Z838" s="131"/>
    </row>
    <row r="839">
      <c r="A839" s="290"/>
      <c r="B839" s="290"/>
      <c r="C839" s="290"/>
      <c r="D839" s="290"/>
      <c r="E839" s="290"/>
      <c r="F839" s="290"/>
      <c r="G839" s="290"/>
      <c r="H839" s="290"/>
      <c r="I839" s="290"/>
      <c r="J839" s="290"/>
      <c r="K839" s="131"/>
      <c r="L839" s="131"/>
      <c r="M839" s="131"/>
      <c r="N839" s="131"/>
      <c r="O839" s="131"/>
      <c r="P839" s="131"/>
      <c r="Q839" s="131"/>
      <c r="R839" s="131"/>
      <c r="S839" s="131"/>
      <c r="T839" s="131"/>
      <c r="U839" s="131"/>
      <c r="V839" s="131"/>
      <c r="W839" s="131"/>
      <c r="X839" s="131"/>
      <c r="Y839" s="131"/>
      <c r="Z839" s="131"/>
    </row>
    <row r="840">
      <c r="A840" s="290"/>
      <c r="B840" s="290"/>
      <c r="C840" s="290"/>
      <c r="D840" s="290"/>
      <c r="E840" s="290"/>
      <c r="F840" s="290"/>
      <c r="G840" s="290"/>
      <c r="H840" s="290"/>
      <c r="I840" s="290"/>
      <c r="J840" s="290"/>
      <c r="K840" s="131"/>
      <c r="L840" s="131"/>
      <c r="M840" s="131"/>
      <c r="N840" s="131"/>
      <c r="O840" s="131"/>
      <c r="P840" s="131"/>
      <c r="Q840" s="131"/>
      <c r="R840" s="131"/>
      <c r="S840" s="131"/>
      <c r="T840" s="131"/>
      <c r="U840" s="131"/>
      <c r="V840" s="131"/>
      <c r="W840" s="131"/>
      <c r="X840" s="131"/>
      <c r="Y840" s="131"/>
      <c r="Z840" s="131"/>
    </row>
    <row r="841">
      <c r="A841" s="290"/>
      <c r="B841" s="290"/>
      <c r="C841" s="290"/>
      <c r="D841" s="290"/>
      <c r="E841" s="290"/>
      <c r="F841" s="290"/>
      <c r="G841" s="290"/>
      <c r="H841" s="290"/>
      <c r="I841" s="290"/>
      <c r="J841" s="290"/>
      <c r="K841" s="131"/>
      <c r="L841" s="131"/>
      <c r="M841" s="131"/>
      <c r="N841" s="131"/>
      <c r="O841" s="131"/>
      <c r="P841" s="131"/>
      <c r="Q841" s="131"/>
      <c r="R841" s="131"/>
      <c r="S841" s="131"/>
      <c r="T841" s="131"/>
      <c r="U841" s="131"/>
      <c r="V841" s="131"/>
      <c r="W841" s="131"/>
      <c r="X841" s="131"/>
      <c r="Y841" s="131"/>
      <c r="Z841" s="131"/>
    </row>
    <row r="842">
      <c r="A842" s="290"/>
      <c r="B842" s="290"/>
      <c r="C842" s="290"/>
      <c r="D842" s="290"/>
      <c r="E842" s="290"/>
      <c r="F842" s="290"/>
      <c r="G842" s="290"/>
      <c r="H842" s="290"/>
      <c r="I842" s="290"/>
      <c r="J842" s="290"/>
      <c r="K842" s="131"/>
      <c r="L842" s="131"/>
      <c r="M842" s="131"/>
      <c r="N842" s="131"/>
      <c r="O842" s="131"/>
      <c r="P842" s="131"/>
      <c r="Q842" s="131"/>
      <c r="R842" s="131"/>
      <c r="S842" s="131"/>
      <c r="T842" s="131"/>
      <c r="U842" s="131"/>
      <c r="V842" s="131"/>
      <c r="W842" s="131"/>
      <c r="X842" s="131"/>
      <c r="Y842" s="131"/>
      <c r="Z842" s="131"/>
    </row>
    <row r="843">
      <c r="A843" s="290"/>
      <c r="B843" s="290"/>
      <c r="C843" s="290"/>
      <c r="D843" s="290"/>
      <c r="E843" s="290"/>
      <c r="F843" s="290"/>
      <c r="G843" s="290"/>
      <c r="H843" s="290"/>
      <c r="I843" s="290"/>
      <c r="J843" s="290"/>
      <c r="K843" s="131"/>
      <c r="L843" s="131"/>
      <c r="M843" s="131"/>
      <c r="N843" s="131"/>
      <c r="O843" s="131"/>
      <c r="P843" s="131"/>
      <c r="Q843" s="131"/>
      <c r="R843" s="131"/>
      <c r="S843" s="131"/>
      <c r="T843" s="131"/>
      <c r="U843" s="131"/>
      <c r="V843" s="131"/>
      <c r="W843" s="131"/>
      <c r="X843" s="131"/>
      <c r="Y843" s="131"/>
      <c r="Z843" s="131"/>
    </row>
    <row r="844">
      <c r="A844" s="290"/>
      <c r="B844" s="290"/>
      <c r="C844" s="290"/>
      <c r="D844" s="290"/>
      <c r="E844" s="290"/>
      <c r="F844" s="290"/>
      <c r="G844" s="290"/>
      <c r="H844" s="290"/>
      <c r="I844" s="290"/>
      <c r="J844" s="290"/>
      <c r="K844" s="131"/>
      <c r="L844" s="131"/>
      <c r="M844" s="131"/>
      <c r="N844" s="131"/>
      <c r="O844" s="131"/>
      <c r="P844" s="131"/>
      <c r="Q844" s="131"/>
      <c r="R844" s="131"/>
      <c r="S844" s="131"/>
      <c r="T844" s="131"/>
      <c r="U844" s="131"/>
      <c r="V844" s="131"/>
      <c r="W844" s="131"/>
      <c r="X844" s="131"/>
      <c r="Y844" s="131"/>
      <c r="Z844" s="131"/>
    </row>
    <row r="845">
      <c r="A845" s="290"/>
      <c r="B845" s="290"/>
      <c r="C845" s="290"/>
      <c r="D845" s="290"/>
      <c r="E845" s="290"/>
      <c r="F845" s="290"/>
      <c r="G845" s="290"/>
      <c r="H845" s="290"/>
      <c r="I845" s="290"/>
      <c r="J845" s="290"/>
      <c r="K845" s="131"/>
      <c r="L845" s="131"/>
      <c r="M845" s="131"/>
      <c r="N845" s="131"/>
      <c r="O845" s="131"/>
      <c r="P845" s="131"/>
      <c r="Q845" s="131"/>
      <c r="R845" s="131"/>
      <c r="S845" s="131"/>
      <c r="T845" s="131"/>
      <c r="U845" s="131"/>
      <c r="V845" s="131"/>
      <c r="W845" s="131"/>
      <c r="X845" s="131"/>
      <c r="Y845" s="131"/>
      <c r="Z845" s="131"/>
    </row>
    <row r="846">
      <c r="A846" s="290"/>
      <c r="B846" s="290"/>
      <c r="C846" s="290"/>
      <c r="D846" s="290"/>
      <c r="E846" s="290"/>
      <c r="F846" s="290"/>
      <c r="G846" s="290"/>
      <c r="H846" s="290"/>
      <c r="I846" s="290"/>
      <c r="J846" s="290"/>
      <c r="K846" s="131"/>
      <c r="L846" s="131"/>
      <c r="M846" s="131"/>
      <c r="N846" s="131"/>
      <c r="O846" s="131"/>
      <c r="P846" s="131"/>
      <c r="Q846" s="131"/>
      <c r="R846" s="131"/>
      <c r="S846" s="131"/>
      <c r="T846" s="131"/>
      <c r="U846" s="131"/>
      <c r="V846" s="131"/>
      <c r="W846" s="131"/>
      <c r="X846" s="131"/>
      <c r="Y846" s="131"/>
      <c r="Z846" s="131"/>
    </row>
    <row r="847">
      <c r="A847" s="290"/>
      <c r="B847" s="290"/>
      <c r="C847" s="290"/>
      <c r="D847" s="290"/>
      <c r="E847" s="290"/>
      <c r="F847" s="290"/>
      <c r="G847" s="290"/>
      <c r="H847" s="290"/>
      <c r="I847" s="290"/>
      <c r="J847" s="290"/>
      <c r="K847" s="131"/>
      <c r="L847" s="131"/>
      <c r="M847" s="131"/>
      <c r="N847" s="131"/>
      <c r="O847" s="131"/>
      <c r="P847" s="131"/>
      <c r="Q847" s="131"/>
      <c r="R847" s="131"/>
      <c r="S847" s="131"/>
      <c r="T847" s="131"/>
      <c r="U847" s="131"/>
      <c r="V847" s="131"/>
      <c r="W847" s="131"/>
      <c r="X847" s="131"/>
      <c r="Y847" s="131"/>
      <c r="Z847" s="131"/>
    </row>
    <row r="848">
      <c r="A848" s="290"/>
      <c r="B848" s="290"/>
      <c r="C848" s="290"/>
      <c r="D848" s="290"/>
      <c r="E848" s="290"/>
      <c r="F848" s="290"/>
      <c r="G848" s="290"/>
      <c r="H848" s="290"/>
      <c r="I848" s="290"/>
      <c r="J848" s="290"/>
      <c r="K848" s="131"/>
      <c r="L848" s="131"/>
      <c r="M848" s="131"/>
      <c r="N848" s="131"/>
      <c r="O848" s="131"/>
      <c r="P848" s="131"/>
      <c r="Q848" s="131"/>
      <c r="R848" s="131"/>
      <c r="S848" s="131"/>
      <c r="T848" s="131"/>
      <c r="U848" s="131"/>
      <c r="V848" s="131"/>
      <c r="W848" s="131"/>
      <c r="X848" s="131"/>
      <c r="Y848" s="131"/>
      <c r="Z848" s="131"/>
    </row>
    <row r="849">
      <c r="A849" s="290"/>
      <c r="B849" s="290"/>
      <c r="C849" s="290"/>
      <c r="D849" s="290"/>
      <c r="E849" s="290"/>
      <c r="F849" s="290"/>
      <c r="G849" s="290"/>
      <c r="H849" s="290"/>
      <c r="I849" s="290"/>
      <c r="J849" s="290"/>
      <c r="K849" s="131"/>
      <c r="L849" s="131"/>
      <c r="M849" s="131"/>
      <c r="N849" s="131"/>
      <c r="O849" s="131"/>
      <c r="P849" s="131"/>
      <c r="Q849" s="131"/>
      <c r="R849" s="131"/>
      <c r="S849" s="131"/>
      <c r="T849" s="131"/>
      <c r="U849" s="131"/>
      <c r="V849" s="131"/>
      <c r="W849" s="131"/>
      <c r="X849" s="131"/>
      <c r="Y849" s="131"/>
      <c r="Z849" s="131"/>
    </row>
    <row r="850">
      <c r="A850" s="290"/>
      <c r="B850" s="290"/>
      <c r="C850" s="290"/>
      <c r="D850" s="290"/>
      <c r="E850" s="290"/>
      <c r="F850" s="290"/>
      <c r="G850" s="290"/>
      <c r="H850" s="290"/>
      <c r="I850" s="290"/>
      <c r="J850" s="290"/>
      <c r="K850" s="131"/>
      <c r="L850" s="131"/>
      <c r="M850" s="131"/>
      <c r="N850" s="131"/>
      <c r="O850" s="131"/>
      <c r="P850" s="131"/>
      <c r="Q850" s="131"/>
      <c r="R850" s="131"/>
      <c r="S850" s="131"/>
      <c r="T850" s="131"/>
      <c r="U850" s="131"/>
      <c r="V850" s="131"/>
      <c r="W850" s="131"/>
      <c r="X850" s="131"/>
      <c r="Y850" s="131"/>
      <c r="Z850" s="131"/>
    </row>
    <row r="851">
      <c r="A851" s="290"/>
      <c r="B851" s="290"/>
      <c r="C851" s="290"/>
      <c r="D851" s="290"/>
      <c r="E851" s="290"/>
      <c r="F851" s="290"/>
      <c r="G851" s="290"/>
      <c r="H851" s="290"/>
      <c r="I851" s="290"/>
      <c r="J851" s="290"/>
      <c r="K851" s="131"/>
      <c r="L851" s="131"/>
      <c r="M851" s="131"/>
      <c r="N851" s="131"/>
      <c r="O851" s="131"/>
      <c r="P851" s="131"/>
      <c r="Q851" s="131"/>
      <c r="R851" s="131"/>
      <c r="S851" s="131"/>
      <c r="T851" s="131"/>
      <c r="U851" s="131"/>
      <c r="V851" s="131"/>
      <c r="W851" s="131"/>
      <c r="X851" s="131"/>
      <c r="Y851" s="131"/>
      <c r="Z851" s="131"/>
    </row>
    <row r="852">
      <c r="A852" s="290"/>
      <c r="B852" s="290"/>
      <c r="C852" s="290"/>
      <c r="D852" s="290"/>
      <c r="E852" s="290"/>
      <c r="F852" s="290"/>
      <c r="G852" s="290"/>
      <c r="H852" s="290"/>
      <c r="I852" s="290"/>
      <c r="J852" s="290"/>
      <c r="K852" s="131"/>
      <c r="L852" s="131"/>
      <c r="M852" s="131"/>
      <c r="N852" s="131"/>
      <c r="O852" s="131"/>
      <c r="P852" s="131"/>
      <c r="Q852" s="131"/>
      <c r="R852" s="131"/>
      <c r="S852" s="131"/>
      <c r="T852" s="131"/>
      <c r="U852" s="131"/>
      <c r="V852" s="131"/>
      <c r="W852" s="131"/>
      <c r="X852" s="131"/>
      <c r="Y852" s="131"/>
      <c r="Z852" s="131"/>
    </row>
    <row r="853">
      <c r="A853" s="290"/>
      <c r="B853" s="290"/>
      <c r="C853" s="290"/>
      <c r="D853" s="290"/>
      <c r="E853" s="290"/>
      <c r="F853" s="290"/>
      <c r="G853" s="290"/>
      <c r="H853" s="290"/>
      <c r="I853" s="290"/>
      <c r="J853" s="290"/>
      <c r="K853" s="131"/>
      <c r="L853" s="131"/>
      <c r="M853" s="131"/>
      <c r="N853" s="131"/>
      <c r="O853" s="131"/>
      <c r="P853" s="131"/>
      <c r="Q853" s="131"/>
      <c r="R853" s="131"/>
      <c r="S853" s="131"/>
      <c r="T853" s="131"/>
      <c r="U853" s="131"/>
      <c r="V853" s="131"/>
      <c r="W853" s="131"/>
      <c r="X853" s="131"/>
      <c r="Y853" s="131"/>
      <c r="Z853" s="131"/>
    </row>
    <row r="854">
      <c r="A854" s="290"/>
      <c r="B854" s="290"/>
      <c r="C854" s="290"/>
      <c r="D854" s="290"/>
      <c r="E854" s="290"/>
      <c r="F854" s="290"/>
      <c r="G854" s="290"/>
      <c r="H854" s="290"/>
      <c r="I854" s="290"/>
      <c r="J854" s="290"/>
      <c r="K854" s="131"/>
      <c r="L854" s="131"/>
      <c r="M854" s="131"/>
      <c r="N854" s="131"/>
      <c r="O854" s="131"/>
      <c r="P854" s="131"/>
      <c r="Q854" s="131"/>
      <c r="R854" s="131"/>
      <c r="S854" s="131"/>
      <c r="T854" s="131"/>
      <c r="U854" s="131"/>
      <c r="V854" s="131"/>
      <c r="W854" s="131"/>
      <c r="X854" s="131"/>
      <c r="Y854" s="131"/>
      <c r="Z854" s="131"/>
    </row>
    <row r="855">
      <c r="A855" s="290"/>
      <c r="B855" s="290"/>
      <c r="C855" s="290"/>
      <c r="D855" s="290"/>
      <c r="E855" s="290"/>
      <c r="F855" s="290"/>
      <c r="G855" s="290"/>
      <c r="H855" s="290"/>
      <c r="I855" s="290"/>
      <c r="J855" s="290"/>
      <c r="K855" s="131"/>
      <c r="L855" s="131"/>
      <c r="M855" s="131"/>
      <c r="N855" s="131"/>
      <c r="O855" s="131"/>
      <c r="P855" s="131"/>
      <c r="Q855" s="131"/>
      <c r="R855" s="131"/>
      <c r="S855" s="131"/>
      <c r="T855" s="131"/>
      <c r="U855" s="131"/>
      <c r="V855" s="131"/>
      <c r="W855" s="131"/>
      <c r="X855" s="131"/>
      <c r="Y855" s="131"/>
      <c r="Z855" s="131"/>
    </row>
    <row r="856">
      <c r="A856" s="290"/>
      <c r="B856" s="290"/>
      <c r="C856" s="290"/>
      <c r="D856" s="290"/>
      <c r="E856" s="290"/>
      <c r="F856" s="290"/>
      <c r="G856" s="290"/>
      <c r="H856" s="290"/>
      <c r="I856" s="290"/>
      <c r="J856" s="290"/>
      <c r="K856" s="131"/>
      <c r="L856" s="131"/>
      <c r="M856" s="131"/>
      <c r="N856" s="131"/>
      <c r="O856" s="131"/>
      <c r="P856" s="131"/>
      <c r="Q856" s="131"/>
      <c r="R856" s="131"/>
      <c r="S856" s="131"/>
      <c r="T856" s="131"/>
      <c r="U856" s="131"/>
      <c r="V856" s="131"/>
      <c r="W856" s="131"/>
      <c r="X856" s="131"/>
      <c r="Y856" s="131"/>
      <c r="Z856" s="131"/>
    </row>
    <row r="857">
      <c r="A857" s="290"/>
      <c r="B857" s="290"/>
      <c r="C857" s="290"/>
      <c r="D857" s="290"/>
      <c r="E857" s="290"/>
      <c r="F857" s="290"/>
      <c r="G857" s="290"/>
      <c r="H857" s="290"/>
      <c r="I857" s="290"/>
      <c r="J857" s="290"/>
      <c r="K857" s="131"/>
      <c r="L857" s="131"/>
      <c r="M857" s="131"/>
      <c r="N857" s="131"/>
      <c r="O857" s="131"/>
      <c r="P857" s="131"/>
      <c r="Q857" s="131"/>
      <c r="R857" s="131"/>
      <c r="S857" s="131"/>
      <c r="T857" s="131"/>
      <c r="U857" s="131"/>
      <c r="V857" s="131"/>
      <c r="W857" s="131"/>
      <c r="X857" s="131"/>
      <c r="Y857" s="131"/>
      <c r="Z857" s="131"/>
    </row>
    <row r="858">
      <c r="A858" s="290"/>
      <c r="B858" s="290"/>
      <c r="C858" s="290"/>
      <c r="D858" s="290"/>
      <c r="E858" s="290"/>
      <c r="F858" s="290"/>
      <c r="G858" s="290"/>
      <c r="H858" s="290"/>
      <c r="I858" s="290"/>
      <c r="J858" s="290"/>
      <c r="K858" s="131"/>
      <c r="L858" s="131"/>
      <c r="M858" s="131"/>
      <c r="N858" s="131"/>
      <c r="O858" s="131"/>
      <c r="P858" s="131"/>
      <c r="Q858" s="131"/>
      <c r="R858" s="131"/>
      <c r="S858" s="131"/>
      <c r="T858" s="131"/>
      <c r="U858" s="131"/>
      <c r="V858" s="131"/>
      <c r="W858" s="131"/>
      <c r="X858" s="131"/>
      <c r="Y858" s="131"/>
      <c r="Z858" s="131"/>
    </row>
    <row r="859">
      <c r="A859" s="290"/>
      <c r="B859" s="290"/>
      <c r="C859" s="290"/>
      <c r="D859" s="290"/>
      <c r="E859" s="290"/>
      <c r="F859" s="290"/>
      <c r="G859" s="290"/>
      <c r="H859" s="290"/>
      <c r="I859" s="290"/>
      <c r="J859" s="290"/>
      <c r="K859" s="131"/>
      <c r="L859" s="131"/>
      <c r="M859" s="131"/>
      <c r="N859" s="131"/>
      <c r="O859" s="131"/>
      <c r="P859" s="131"/>
      <c r="Q859" s="131"/>
      <c r="R859" s="131"/>
      <c r="S859" s="131"/>
      <c r="T859" s="131"/>
      <c r="U859" s="131"/>
      <c r="V859" s="131"/>
      <c r="W859" s="131"/>
      <c r="X859" s="131"/>
      <c r="Y859" s="131"/>
      <c r="Z859" s="131"/>
    </row>
    <row r="860">
      <c r="A860" s="290"/>
      <c r="B860" s="290"/>
      <c r="C860" s="290"/>
      <c r="D860" s="290"/>
      <c r="E860" s="290"/>
      <c r="F860" s="290"/>
      <c r="G860" s="290"/>
      <c r="H860" s="290"/>
      <c r="I860" s="290"/>
      <c r="J860" s="290"/>
      <c r="K860" s="131"/>
      <c r="L860" s="131"/>
      <c r="M860" s="131"/>
      <c r="N860" s="131"/>
      <c r="O860" s="131"/>
      <c r="P860" s="131"/>
      <c r="Q860" s="131"/>
      <c r="R860" s="131"/>
      <c r="S860" s="131"/>
      <c r="T860" s="131"/>
      <c r="U860" s="131"/>
      <c r="V860" s="131"/>
      <c r="W860" s="131"/>
      <c r="X860" s="131"/>
      <c r="Y860" s="131"/>
      <c r="Z860" s="131"/>
    </row>
    <row r="861">
      <c r="A861" s="290"/>
      <c r="B861" s="290"/>
      <c r="C861" s="290"/>
      <c r="D861" s="290"/>
      <c r="E861" s="290"/>
      <c r="F861" s="290"/>
      <c r="G861" s="290"/>
      <c r="H861" s="290"/>
      <c r="I861" s="290"/>
      <c r="J861" s="290"/>
      <c r="K861" s="131"/>
      <c r="L861" s="131"/>
      <c r="M861" s="131"/>
      <c r="N861" s="131"/>
      <c r="O861" s="131"/>
      <c r="P861" s="131"/>
      <c r="Q861" s="131"/>
      <c r="R861" s="131"/>
      <c r="S861" s="131"/>
      <c r="T861" s="131"/>
      <c r="U861" s="131"/>
      <c r="V861" s="131"/>
      <c r="W861" s="131"/>
      <c r="X861" s="131"/>
      <c r="Y861" s="131"/>
      <c r="Z861" s="131"/>
    </row>
    <row r="862">
      <c r="A862" s="290"/>
      <c r="B862" s="290"/>
      <c r="C862" s="290"/>
      <c r="D862" s="290"/>
      <c r="E862" s="290"/>
      <c r="F862" s="290"/>
      <c r="G862" s="290"/>
      <c r="H862" s="290"/>
      <c r="I862" s="290"/>
      <c r="J862" s="290"/>
      <c r="K862" s="131"/>
      <c r="L862" s="131"/>
      <c r="M862" s="131"/>
      <c r="N862" s="131"/>
      <c r="O862" s="131"/>
      <c r="P862" s="131"/>
      <c r="Q862" s="131"/>
      <c r="R862" s="131"/>
      <c r="S862" s="131"/>
      <c r="T862" s="131"/>
      <c r="U862" s="131"/>
      <c r="V862" s="131"/>
      <c r="W862" s="131"/>
      <c r="X862" s="131"/>
      <c r="Y862" s="131"/>
      <c r="Z862" s="131"/>
    </row>
    <row r="863">
      <c r="A863" s="290"/>
      <c r="B863" s="290"/>
      <c r="C863" s="290"/>
      <c r="D863" s="290"/>
      <c r="E863" s="290"/>
      <c r="F863" s="290"/>
      <c r="G863" s="290"/>
      <c r="H863" s="290"/>
      <c r="I863" s="290"/>
      <c r="J863" s="290"/>
      <c r="K863" s="131"/>
      <c r="L863" s="131"/>
      <c r="M863" s="131"/>
      <c r="N863" s="131"/>
      <c r="O863" s="131"/>
      <c r="P863" s="131"/>
      <c r="Q863" s="131"/>
      <c r="R863" s="131"/>
      <c r="S863" s="131"/>
      <c r="T863" s="131"/>
      <c r="U863" s="131"/>
      <c r="V863" s="131"/>
      <c r="W863" s="131"/>
      <c r="X863" s="131"/>
      <c r="Y863" s="131"/>
      <c r="Z863" s="131"/>
    </row>
    <row r="864">
      <c r="A864" s="290"/>
      <c r="B864" s="290"/>
      <c r="C864" s="290"/>
      <c r="D864" s="290"/>
      <c r="E864" s="290"/>
      <c r="F864" s="290"/>
      <c r="G864" s="290"/>
      <c r="H864" s="290"/>
      <c r="I864" s="290"/>
      <c r="J864" s="290"/>
      <c r="K864" s="131"/>
      <c r="L864" s="131"/>
      <c r="M864" s="131"/>
      <c r="N864" s="131"/>
      <c r="O864" s="131"/>
      <c r="P864" s="131"/>
      <c r="Q864" s="131"/>
      <c r="R864" s="131"/>
      <c r="S864" s="131"/>
      <c r="T864" s="131"/>
      <c r="U864" s="131"/>
      <c r="V864" s="131"/>
      <c r="W864" s="131"/>
      <c r="X864" s="131"/>
      <c r="Y864" s="131"/>
      <c r="Z864" s="131"/>
    </row>
    <row r="865">
      <c r="A865" s="290"/>
      <c r="B865" s="290"/>
      <c r="C865" s="290"/>
      <c r="D865" s="290"/>
      <c r="E865" s="290"/>
      <c r="F865" s="290"/>
      <c r="G865" s="290"/>
      <c r="H865" s="290"/>
      <c r="I865" s="290"/>
      <c r="J865" s="290"/>
      <c r="K865" s="131"/>
      <c r="L865" s="131"/>
      <c r="M865" s="131"/>
      <c r="N865" s="131"/>
      <c r="O865" s="131"/>
      <c r="P865" s="131"/>
      <c r="Q865" s="131"/>
      <c r="R865" s="131"/>
      <c r="S865" s="131"/>
      <c r="T865" s="131"/>
      <c r="U865" s="131"/>
      <c r="V865" s="131"/>
      <c r="W865" s="131"/>
      <c r="X865" s="131"/>
      <c r="Y865" s="131"/>
      <c r="Z865" s="131"/>
    </row>
    <row r="866">
      <c r="A866" s="290"/>
      <c r="B866" s="290"/>
      <c r="C866" s="290"/>
      <c r="D866" s="290"/>
      <c r="E866" s="290"/>
      <c r="F866" s="290"/>
      <c r="G866" s="290"/>
      <c r="H866" s="290"/>
      <c r="I866" s="290"/>
      <c r="J866" s="290"/>
      <c r="K866" s="131"/>
      <c r="L866" s="131"/>
      <c r="M866" s="131"/>
      <c r="N866" s="131"/>
      <c r="O866" s="131"/>
      <c r="P866" s="131"/>
      <c r="Q866" s="131"/>
      <c r="R866" s="131"/>
      <c r="S866" s="131"/>
      <c r="T866" s="131"/>
      <c r="U866" s="131"/>
      <c r="V866" s="131"/>
      <c r="W866" s="131"/>
      <c r="X866" s="131"/>
      <c r="Y866" s="131"/>
      <c r="Z866" s="131"/>
    </row>
    <row r="867">
      <c r="A867" s="290"/>
      <c r="B867" s="290"/>
      <c r="C867" s="290"/>
      <c r="D867" s="290"/>
      <c r="E867" s="290"/>
      <c r="F867" s="290"/>
      <c r="G867" s="290"/>
      <c r="H867" s="290"/>
      <c r="I867" s="290"/>
      <c r="J867" s="290"/>
      <c r="K867" s="131"/>
      <c r="L867" s="131"/>
      <c r="M867" s="131"/>
      <c r="N867" s="131"/>
      <c r="O867" s="131"/>
      <c r="P867" s="131"/>
      <c r="Q867" s="131"/>
      <c r="R867" s="131"/>
      <c r="S867" s="131"/>
      <c r="T867" s="131"/>
      <c r="U867" s="131"/>
      <c r="V867" s="131"/>
      <c r="W867" s="131"/>
      <c r="X867" s="131"/>
      <c r="Y867" s="131"/>
      <c r="Z867" s="131"/>
    </row>
    <row r="868">
      <c r="A868" s="290"/>
      <c r="B868" s="290"/>
      <c r="C868" s="290"/>
      <c r="D868" s="290"/>
      <c r="E868" s="290"/>
      <c r="F868" s="290"/>
      <c r="G868" s="290"/>
      <c r="H868" s="290"/>
      <c r="I868" s="290"/>
      <c r="J868" s="290"/>
      <c r="K868" s="131"/>
      <c r="L868" s="131"/>
      <c r="M868" s="131"/>
      <c r="N868" s="131"/>
      <c r="O868" s="131"/>
      <c r="P868" s="131"/>
      <c r="Q868" s="131"/>
      <c r="R868" s="131"/>
      <c r="S868" s="131"/>
      <c r="T868" s="131"/>
      <c r="U868" s="131"/>
      <c r="V868" s="131"/>
      <c r="W868" s="131"/>
      <c r="X868" s="131"/>
      <c r="Y868" s="131"/>
      <c r="Z868" s="131"/>
    </row>
    <row r="869">
      <c r="A869" s="290"/>
      <c r="B869" s="290"/>
      <c r="C869" s="290"/>
      <c r="D869" s="290"/>
      <c r="E869" s="290"/>
      <c r="F869" s="290"/>
      <c r="G869" s="290"/>
      <c r="H869" s="290"/>
      <c r="I869" s="290"/>
      <c r="J869" s="290"/>
      <c r="K869" s="131"/>
      <c r="L869" s="131"/>
      <c r="M869" s="131"/>
      <c r="N869" s="131"/>
      <c r="O869" s="131"/>
      <c r="P869" s="131"/>
      <c r="Q869" s="131"/>
      <c r="R869" s="131"/>
      <c r="S869" s="131"/>
      <c r="T869" s="131"/>
      <c r="U869" s="131"/>
      <c r="V869" s="131"/>
      <c r="W869" s="131"/>
      <c r="X869" s="131"/>
      <c r="Y869" s="131"/>
      <c r="Z869" s="131"/>
    </row>
    <row r="870">
      <c r="A870" s="290"/>
      <c r="B870" s="290"/>
      <c r="C870" s="290"/>
      <c r="D870" s="290"/>
      <c r="E870" s="290"/>
      <c r="F870" s="290"/>
      <c r="G870" s="290"/>
      <c r="H870" s="290"/>
      <c r="I870" s="290"/>
      <c r="J870" s="290"/>
      <c r="K870" s="131"/>
      <c r="L870" s="131"/>
      <c r="M870" s="131"/>
      <c r="N870" s="131"/>
      <c r="O870" s="131"/>
      <c r="P870" s="131"/>
      <c r="Q870" s="131"/>
      <c r="R870" s="131"/>
      <c r="S870" s="131"/>
      <c r="T870" s="131"/>
      <c r="U870" s="131"/>
      <c r="V870" s="131"/>
      <c r="W870" s="131"/>
      <c r="X870" s="131"/>
      <c r="Y870" s="131"/>
      <c r="Z870" s="131"/>
    </row>
    <row r="871">
      <c r="A871" s="290"/>
      <c r="B871" s="290"/>
      <c r="C871" s="290"/>
      <c r="D871" s="290"/>
      <c r="E871" s="290"/>
      <c r="F871" s="290"/>
      <c r="G871" s="290"/>
      <c r="H871" s="290"/>
      <c r="I871" s="290"/>
      <c r="J871" s="290"/>
      <c r="K871" s="131"/>
      <c r="L871" s="131"/>
      <c r="M871" s="131"/>
      <c r="N871" s="131"/>
      <c r="O871" s="131"/>
      <c r="P871" s="131"/>
      <c r="Q871" s="131"/>
      <c r="R871" s="131"/>
      <c r="S871" s="131"/>
      <c r="T871" s="131"/>
      <c r="U871" s="131"/>
      <c r="V871" s="131"/>
      <c r="W871" s="131"/>
      <c r="X871" s="131"/>
      <c r="Y871" s="131"/>
      <c r="Z871" s="131"/>
    </row>
    <row r="872">
      <c r="A872" s="290"/>
      <c r="B872" s="290"/>
      <c r="C872" s="290"/>
      <c r="D872" s="290"/>
      <c r="E872" s="290"/>
      <c r="F872" s="290"/>
      <c r="G872" s="290"/>
      <c r="H872" s="290"/>
      <c r="I872" s="290"/>
      <c r="J872" s="290"/>
      <c r="K872" s="131"/>
      <c r="L872" s="131"/>
      <c r="M872" s="131"/>
      <c r="N872" s="131"/>
      <c r="O872" s="131"/>
      <c r="P872" s="131"/>
      <c r="Q872" s="131"/>
      <c r="R872" s="131"/>
      <c r="S872" s="131"/>
      <c r="T872" s="131"/>
      <c r="U872" s="131"/>
      <c r="V872" s="131"/>
      <c r="W872" s="131"/>
      <c r="X872" s="131"/>
      <c r="Y872" s="131"/>
      <c r="Z872" s="131"/>
    </row>
    <row r="873">
      <c r="A873" s="290"/>
      <c r="B873" s="290"/>
      <c r="C873" s="290"/>
      <c r="D873" s="290"/>
      <c r="E873" s="290"/>
      <c r="F873" s="290"/>
      <c r="G873" s="290"/>
      <c r="H873" s="290"/>
      <c r="I873" s="290"/>
      <c r="J873" s="290"/>
      <c r="K873" s="131"/>
      <c r="L873" s="131"/>
      <c r="M873" s="131"/>
      <c r="N873" s="131"/>
      <c r="O873" s="131"/>
      <c r="P873" s="131"/>
      <c r="Q873" s="131"/>
      <c r="R873" s="131"/>
      <c r="S873" s="131"/>
      <c r="T873" s="131"/>
      <c r="U873" s="131"/>
      <c r="V873" s="131"/>
      <c r="W873" s="131"/>
      <c r="X873" s="131"/>
      <c r="Y873" s="131"/>
      <c r="Z873" s="131"/>
    </row>
    <row r="874">
      <c r="A874" s="290"/>
      <c r="B874" s="290"/>
      <c r="C874" s="290"/>
      <c r="D874" s="290"/>
      <c r="E874" s="290"/>
      <c r="F874" s="290"/>
      <c r="G874" s="290"/>
      <c r="H874" s="290"/>
      <c r="I874" s="290"/>
      <c r="J874" s="290"/>
      <c r="K874" s="131"/>
      <c r="L874" s="131"/>
      <c r="M874" s="131"/>
      <c r="N874" s="131"/>
      <c r="O874" s="131"/>
      <c r="P874" s="131"/>
      <c r="Q874" s="131"/>
      <c r="R874" s="131"/>
      <c r="S874" s="131"/>
      <c r="T874" s="131"/>
      <c r="U874" s="131"/>
      <c r="V874" s="131"/>
      <c r="W874" s="131"/>
      <c r="X874" s="131"/>
      <c r="Y874" s="131"/>
      <c r="Z874" s="131"/>
    </row>
    <row r="875">
      <c r="A875" s="290"/>
      <c r="B875" s="290"/>
      <c r="C875" s="290"/>
      <c r="D875" s="290"/>
      <c r="E875" s="290"/>
      <c r="F875" s="290"/>
      <c r="G875" s="290"/>
      <c r="H875" s="290"/>
      <c r="I875" s="290"/>
      <c r="J875" s="290"/>
      <c r="K875" s="131"/>
      <c r="L875" s="131"/>
      <c r="M875" s="131"/>
      <c r="N875" s="131"/>
      <c r="O875" s="131"/>
      <c r="P875" s="131"/>
      <c r="Q875" s="131"/>
      <c r="R875" s="131"/>
      <c r="S875" s="131"/>
      <c r="T875" s="131"/>
      <c r="U875" s="131"/>
      <c r="V875" s="131"/>
      <c r="W875" s="131"/>
      <c r="X875" s="131"/>
      <c r="Y875" s="131"/>
      <c r="Z875" s="131"/>
    </row>
    <row r="876">
      <c r="A876" s="290"/>
      <c r="B876" s="290"/>
      <c r="C876" s="290"/>
      <c r="D876" s="290"/>
      <c r="E876" s="290"/>
      <c r="F876" s="290"/>
      <c r="G876" s="290"/>
      <c r="H876" s="290"/>
      <c r="I876" s="290"/>
      <c r="J876" s="290"/>
      <c r="K876" s="131"/>
      <c r="L876" s="131"/>
      <c r="M876" s="131"/>
      <c r="N876" s="131"/>
      <c r="O876" s="131"/>
      <c r="P876" s="131"/>
      <c r="Q876" s="131"/>
      <c r="R876" s="131"/>
      <c r="S876" s="131"/>
      <c r="T876" s="131"/>
      <c r="U876" s="131"/>
      <c r="V876" s="131"/>
      <c r="W876" s="131"/>
      <c r="X876" s="131"/>
      <c r="Y876" s="131"/>
      <c r="Z876" s="131"/>
    </row>
    <row r="877">
      <c r="A877" s="290"/>
      <c r="B877" s="290"/>
      <c r="C877" s="290"/>
      <c r="D877" s="290"/>
      <c r="E877" s="290"/>
      <c r="F877" s="290"/>
      <c r="G877" s="290"/>
      <c r="H877" s="290"/>
      <c r="I877" s="290"/>
      <c r="J877" s="290"/>
      <c r="K877" s="131"/>
      <c r="L877" s="131"/>
      <c r="M877" s="131"/>
      <c r="N877" s="131"/>
      <c r="O877" s="131"/>
      <c r="P877" s="131"/>
      <c r="Q877" s="131"/>
      <c r="R877" s="131"/>
      <c r="S877" s="131"/>
      <c r="T877" s="131"/>
      <c r="U877" s="131"/>
      <c r="V877" s="131"/>
      <c r="W877" s="131"/>
      <c r="X877" s="131"/>
      <c r="Y877" s="131"/>
      <c r="Z877" s="131"/>
    </row>
    <row r="878">
      <c r="A878" s="290"/>
      <c r="B878" s="290"/>
      <c r="C878" s="290"/>
      <c r="D878" s="290"/>
      <c r="E878" s="290"/>
      <c r="F878" s="290"/>
      <c r="G878" s="290"/>
      <c r="H878" s="290"/>
      <c r="I878" s="290"/>
      <c r="J878" s="290"/>
      <c r="K878" s="131"/>
      <c r="L878" s="131"/>
      <c r="M878" s="131"/>
      <c r="N878" s="131"/>
      <c r="O878" s="131"/>
      <c r="P878" s="131"/>
      <c r="Q878" s="131"/>
      <c r="R878" s="131"/>
      <c r="S878" s="131"/>
      <c r="T878" s="131"/>
      <c r="U878" s="131"/>
      <c r="V878" s="131"/>
      <c r="W878" s="131"/>
      <c r="X878" s="131"/>
      <c r="Y878" s="131"/>
      <c r="Z878" s="131"/>
    </row>
    <row r="879">
      <c r="A879" s="290"/>
      <c r="B879" s="290"/>
      <c r="C879" s="290"/>
      <c r="D879" s="290"/>
      <c r="E879" s="290"/>
      <c r="F879" s="290"/>
      <c r="G879" s="290"/>
      <c r="H879" s="290"/>
      <c r="I879" s="290"/>
      <c r="J879" s="290"/>
      <c r="K879" s="131"/>
      <c r="L879" s="131"/>
      <c r="M879" s="131"/>
      <c r="N879" s="131"/>
      <c r="O879" s="131"/>
      <c r="P879" s="131"/>
      <c r="Q879" s="131"/>
      <c r="R879" s="131"/>
      <c r="S879" s="131"/>
      <c r="T879" s="131"/>
      <c r="U879" s="131"/>
      <c r="V879" s="131"/>
      <c r="W879" s="131"/>
      <c r="X879" s="131"/>
      <c r="Y879" s="131"/>
      <c r="Z879" s="131"/>
    </row>
    <row r="880">
      <c r="A880" s="290"/>
      <c r="B880" s="290"/>
      <c r="C880" s="290"/>
      <c r="D880" s="290"/>
      <c r="E880" s="290"/>
      <c r="F880" s="290"/>
      <c r="G880" s="290"/>
      <c r="H880" s="290"/>
      <c r="I880" s="290"/>
      <c r="J880" s="290"/>
      <c r="K880" s="131"/>
      <c r="L880" s="131"/>
      <c r="M880" s="131"/>
      <c r="N880" s="131"/>
      <c r="O880" s="131"/>
      <c r="P880" s="131"/>
      <c r="Q880" s="131"/>
      <c r="R880" s="131"/>
      <c r="S880" s="131"/>
      <c r="T880" s="131"/>
      <c r="U880" s="131"/>
      <c r="V880" s="131"/>
      <c r="W880" s="131"/>
      <c r="X880" s="131"/>
      <c r="Y880" s="131"/>
      <c r="Z880" s="131"/>
    </row>
    <row r="881">
      <c r="A881" s="290"/>
      <c r="B881" s="290"/>
      <c r="C881" s="290"/>
      <c r="D881" s="290"/>
      <c r="E881" s="290"/>
      <c r="F881" s="290"/>
      <c r="G881" s="290"/>
      <c r="H881" s="290"/>
      <c r="I881" s="290"/>
      <c r="J881" s="290"/>
      <c r="K881" s="131"/>
      <c r="L881" s="131"/>
      <c r="M881" s="131"/>
      <c r="N881" s="131"/>
      <c r="O881" s="131"/>
      <c r="P881" s="131"/>
      <c r="Q881" s="131"/>
      <c r="R881" s="131"/>
      <c r="S881" s="131"/>
      <c r="T881" s="131"/>
      <c r="U881" s="131"/>
      <c r="V881" s="131"/>
      <c r="W881" s="131"/>
      <c r="X881" s="131"/>
      <c r="Y881" s="131"/>
      <c r="Z881" s="131"/>
    </row>
    <row r="882">
      <c r="A882" s="290"/>
      <c r="B882" s="290"/>
      <c r="C882" s="290"/>
      <c r="D882" s="290"/>
      <c r="E882" s="290"/>
      <c r="F882" s="290"/>
      <c r="G882" s="290"/>
      <c r="H882" s="290"/>
      <c r="I882" s="290"/>
      <c r="J882" s="290"/>
      <c r="K882" s="131"/>
      <c r="L882" s="131"/>
      <c r="M882" s="131"/>
      <c r="N882" s="131"/>
      <c r="O882" s="131"/>
      <c r="P882" s="131"/>
      <c r="Q882" s="131"/>
      <c r="R882" s="131"/>
      <c r="S882" s="131"/>
      <c r="T882" s="131"/>
      <c r="U882" s="131"/>
      <c r="V882" s="131"/>
      <c r="W882" s="131"/>
      <c r="X882" s="131"/>
      <c r="Y882" s="131"/>
      <c r="Z882" s="131"/>
    </row>
    <row r="883">
      <c r="A883" s="290"/>
      <c r="B883" s="290"/>
      <c r="C883" s="290"/>
      <c r="D883" s="290"/>
      <c r="E883" s="290"/>
      <c r="F883" s="290"/>
      <c r="G883" s="290"/>
      <c r="H883" s="290"/>
      <c r="I883" s="290"/>
      <c r="J883" s="290"/>
      <c r="K883" s="131"/>
      <c r="L883" s="131"/>
      <c r="M883" s="131"/>
      <c r="N883" s="131"/>
      <c r="O883" s="131"/>
      <c r="P883" s="131"/>
      <c r="Q883" s="131"/>
      <c r="R883" s="131"/>
      <c r="S883" s="131"/>
      <c r="T883" s="131"/>
      <c r="U883" s="131"/>
      <c r="V883" s="131"/>
      <c r="W883" s="131"/>
      <c r="X883" s="131"/>
      <c r="Y883" s="131"/>
      <c r="Z883" s="131"/>
    </row>
    <row r="884">
      <c r="A884" s="290"/>
      <c r="B884" s="290"/>
      <c r="C884" s="290"/>
      <c r="D884" s="290"/>
      <c r="E884" s="290"/>
      <c r="F884" s="290"/>
      <c r="G884" s="290"/>
      <c r="H884" s="290"/>
      <c r="I884" s="290"/>
      <c r="J884" s="290"/>
      <c r="K884" s="131"/>
      <c r="L884" s="131"/>
      <c r="M884" s="131"/>
      <c r="N884" s="131"/>
      <c r="O884" s="131"/>
      <c r="P884" s="131"/>
      <c r="Q884" s="131"/>
      <c r="R884" s="131"/>
      <c r="S884" s="131"/>
      <c r="T884" s="131"/>
      <c r="U884" s="131"/>
      <c r="V884" s="131"/>
      <c r="W884" s="131"/>
      <c r="X884" s="131"/>
      <c r="Y884" s="131"/>
      <c r="Z884" s="131"/>
    </row>
    <row r="885">
      <c r="A885" s="290"/>
      <c r="B885" s="290"/>
      <c r="C885" s="290"/>
      <c r="D885" s="290"/>
      <c r="E885" s="290"/>
      <c r="F885" s="290"/>
      <c r="G885" s="290"/>
      <c r="H885" s="290"/>
      <c r="I885" s="290"/>
      <c r="J885" s="290"/>
      <c r="K885" s="131"/>
      <c r="L885" s="131"/>
      <c r="M885" s="131"/>
      <c r="N885" s="131"/>
      <c r="O885" s="131"/>
      <c r="P885" s="131"/>
      <c r="Q885" s="131"/>
      <c r="R885" s="131"/>
      <c r="S885" s="131"/>
      <c r="T885" s="131"/>
      <c r="U885" s="131"/>
      <c r="V885" s="131"/>
      <c r="W885" s="131"/>
      <c r="X885" s="131"/>
      <c r="Y885" s="131"/>
      <c r="Z885" s="131"/>
    </row>
    <row r="886">
      <c r="A886" s="290"/>
      <c r="B886" s="290"/>
      <c r="C886" s="290"/>
      <c r="D886" s="290"/>
      <c r="E886" s="290"/>
      <c r="F886" s="290"/>
      <c r="G886" s="290"/>
      <c r="H886" s="290"/>
      <c r="I886" s="290"/>
      <c r="J886" s="290"/>
      <c r="K886" s="131"/>
      <c r="L886" s="131"/>
      <c r="M886" s="131"/>
      <c r="N886" s="131"/>
      <c r="O886" s="131"/>
      <c r="P886" s="131"/>
      <c r="Q886" s="131"/>
      <c r="R886" s="131"/>
      <c r="S886" s="131"/>
      <c r="T886" s="131"/>
      <c r="U886" s="131"/>
      <c r="V886" s="131"/>
      <c r="W886" s="131"/>
      <c r="X886" s="131"/>
      <c r="Y886" s="131"/>
      <c r="Z886" s="131"/>
    </row>
    <row r="887">
      <c r="A887" s="290"/>
      <c r="B887" s="290"/>
      <c r="C887" s="290"/>
      <c r="D887" s="290"/>
      <c r="E887" s="290"/>
      <c r="F887" s="290"/>
      <c r="G887" s="290"/>
      <c r="H887" s="290"/>
      <c r="I887" s="290"/>
      <c r="J887" s="290"/>
      <c r="K887" s="131"/>
      <c r="L887" s="131"/>
      <c r="M887" s="131"/>
      <c r="N887" s="131"/>
      <c r="O887" s="131"/>
      <c r="P887" s="131"/>
      <c r="Q887" s="131"/>
      <c r="R887" s="131"/>
      <c r="S887" s="131"/>
      <c r="T887" s="131"/>
      <c r="U887" s="131"/>
      <c r="V887" s="131"/>
      <c r="W887" s="131"/>
      <c r="X887" s="131"/>
      <c r="Y887" s="131"/>
      <c r="Z887" s="131"/>
    </row>
    <row r="888">
      <c r="A888" s="290"/>
      <c r="B888" s="290"/>
      <c r="C888" s="290"/>
      <c r="D888" s="290"/>
      <c r="E888" s="290"/>
      <c r="F888" s="290"/>
      <c r="G888" s="290"/>
      <c r="H888" s="290"/>
      <c r="I888" s="290"/>
      <c r="J888" s="290"/>
      <c r="K888" s="131"/>
      <c r="L888" s="131"/>
      <c r="M888" s="131"/>
      <c r="N888" s="131"/>
      <c r="O888" s="131"/>
      <c r="P888" s="131"/>
      <c r="Q888" s="131"/>
      <c r="R888" s="131"/>
      <c r="S888" s="131"/>
      <c r="T888" s="131"/>
      <c r="U888" s="131"/>
      <c r="V888" s="131"/>
      <c r="W888" s="131"/>
      <c r="X888" s="131"/>
      <c r="Y888" s="131"/>
      <c r="Z888" s="131"/>
    </row>
    <row r="889">
      <c r="A889" s="290"/>
      <c r="B889" s="290"/>
      <c r="C889" s="290"/>
      <c r="D889" s="290"/>
      <c r="E889" s="290"/>
      <c r="F889" s="290"/>
      <c r="G889" s="290"/>
      <c r="H889" s="290"/>
      <c r="I889" s="290"/>
      <c r="J889" s="290"/>
      <c r="K889" s="131"/>
      <c r="L889" s="131"/>
      <c r="M889" s="131"/>
      <c r="N889" s="131"/>
      <c r="O889" s="131"/>
      <c r="P889" s="131"/>
      <c r="Q889" s="131"/>
      <c r="R889" s="131"/>
      <c r="S889" s="131"/>
      <c r="T889" s="131"/>
      <c r="U889" s="131"/>
      <c r="V889" s="131"/>
      <c r="W889" s="131"/>
      <c r="X889" s="131"/>
      <c r="Y889" s="131"/>
      <c r="Z889" s="131"/>
    </row>
    <row r="890">
      <c r="A890" s="290"/>
      <c r="B890" s="290"/>
      <c r="C890" s="290"/>
      <c r="D890" s="290"/>
      <c r="E890" s="290"/>
      <c r="F890" s="290"/>
      <c r="G890" s="290"/>
      <c r="H890" s="290"/>
      <c r="I890" s="290"/>
      <c r="J890" s="290"/>
      <c r="K890" s="131"/>
      <c r="L890" s="131"/>
      <c r="M890" s="131"/>
      <c r="N890" s="131"/>
      <c r="O890" s="131"/>
      <c r="P890" s="131"/>
      <c r="Q890" s="131"/>
      <c r="R890" s="131"/>
      <c r="S890" s="131"/>
      <c r="T890" s="131"/>
      <c r="U890" s="131"/>
      <c r="V890" s="131"/>
      <c r="W890" s="131"/>
      <c r="X890" s="131"/>
      <c r="Y890" s="131"/>
      <c r="Z890" s="131"/>
    </row>
    <row r="891">
      <c r="A891" s="290"/>
      <c r="B891" s="290"/>
      <c r="C891" s="290"/>
      <c r="D891" s="290"/>
      <c r="E891" s="290"/>
      <c r="F891" s="290"/>
      <c r="G891" s="290"/>
      <c r="H891" s="290"/>
      <c r="I891" s="290"/>
      <c r="J891" s="290"/>
      <c r="K891" s="131"/>
      <c r="L891" s="131"/>
      <c r="M891" s="131"/>
      <c r="N891" s="131"/>
      <c r="O891" s="131"/>
      <c r="P891" s="131"/>
      <c r="Q891" s="131"/>
      <c r="R891" s="131"/>
      <c r="S891" s="131"/>
      <c r="T891" s="131"/>
      <c r="U891" s="131"/>
      <c r="V891" s="131"/>
      <c r="W891" s="131"/>
      <c r="X891" s="131"/>
      <c r="Y891" s="131"/>
      <c r="Z891" s="131"/>
    </row>
    <row r="892">
      <c r="A892" s="290"/>
      <c r="B892" s="290"/>
      <c r="C892" s="290"/>
      <c r="D892" s="290"/>
      <c r="E892" s="290"/>
      <c r="F892" s="290"/>
      <c r="G892" s="290"/>
      <c r="H892" s="290"/>
      <c r="I892" s="290"/>
      <c r="J892" s="290"/>
      <c r="K892" s="131"/>
      <c r="L892" s="131"/>
      <c r="M892" s="131"/>
      <c r="N892" s="131"/>
      <c r="O892" s="131"/>
      <c r="P892" s="131"/>
      <c r="Q892" s="131"/>
      <c r="R892" s="131"/>
      <c r="S892" s="131"/>
      <c r="T892" s="131"/>
      <c r="U892" s="131"/>
      <c r="V892" s="131"/>
      <c r="W892" s="131"/>
      <c r="X892" s="131"/>
      <c r="Y892" s="131"/>
      <c r="Z892" s="131"/>
    </row>
    <row r="893">
      <c r="A893" s="290"/>
      <c r="B893" s="290"/>
      <c r="C893" s="290"/>
      <c r="D893" s="290"/>
      <c r="E893" s="290"/>
      <c r="F893" s="290"/>
      <c r="G893" s="290"/>
      <c r="H893" s="290"/>
      <c r="I893" s="290"/>
      <c r="J893" s="290"/>
      <c r="K893" s="131"/>
      <c r="L893" s="131"/>
      <c r="M893" s="131"/>
      <c r="N893" s="131"/>
      <c r="O893" s="131"/>
      <c r="P893" s="131"/>
      <c r="Q893" s="131"/>
      <c r="R893" s="131"/>
      <c r="S893" s="131"/>
      <c r="T893" s="131"/>
      <c r="U893" s="131"/>
      <c r="V893" s="131"/>
      <c r="W893" s="131"/>
      <c r="X893" s="131"/>
      <c r="Y893" s="131"/>
      <c r="Z893" s="131"/>
    </row>
    <row r="894">
      <c r="A894" s="290"/>
      <c r="B894" s="290"/>
      <c r="C894" s="290"/>
      <c r="D894" s="290"/>
      <c r="E894" s="290"/>
      <c r="F894" s="290"/>
      <c r="G894" s="290"/>
      <c r="H894" s="290"/>
      <c r="I894" s="290"/>
      <c r="J894" s="290"/>
      <c r="K894" s="131"/>
      <c r="L894" s="131"/>
      <c r="M894" s="131"/>
      <c r="N894" s="131"/>
      <c r="O894" s="131"/>
      <c r="P894" s="131"/>
      <c r="Q894" s="131"/>
      <c r="R894" s="131"/>
      <c r="S894" s="131"/>
      <c r="T894" s="131"/>
      <c r="U894" s="131"/>
      <c r="V894" s="131"/>
      <c r="W894" s="131"/>
      <c r="X894" s="131"/>
      <c r="Y894" s="131"/>
      <c r="Z894" s="131"/>
    </row>
    <row r="895">
      <c r="A895" s="290"/>
      <c r="B895" s="290"/>
      <c r="C895" s="290"/>
      <c r="D895" s="290"/>
      <c r="E895" s="290"/>
      <c r="F895" s="290"/>
      <c r="G895" s="290"/>
      <c r="H895" s="290"/>
      <c r="I895" s="290"/>
      <c r="J895" s="290"/>
      <c r="K895" s="131"/>
      <c r="L895" s="131"/>
      <c r="M895" s="131"/>
      <c r="N895" s="131"/>
      <c r="O895" s="131"/>
      <c r="P895" s="131"/>
      <c r="Q895" s="131"/>
      <c r="R895" s="131"/>
      <c r="S895" s="131"/>
      <c r="T895" s="131"/>
      <c r="U895" s="131"/>
      <c r="V895" s="131"/>
      <c r="W895" s="131"/>
      <c r="X895" s="131"/>
      <c r="Y895" s="131"/>
      <c r="Z895" s="131"/>
    </row>
    <row r="896">
      <c r="A896" s="290"/>
      <c r="B896" s="290"/>
      <c r="C896" s="290"/>
      <c r="D896" s="290"/>
      <c r="E896" s="290"/>
      <c r="F896" s="290"/>
      <c r="G896" s="290"/>
      <c r="H896" s="290"/>
      <c r="I896" s="290"/>
      <c r="J896" s="290"/>
      <c r="K896" s="131"/>
      <c r="L896" s="131"/>
      <c r="M896" s="131"/>
      <c r="N896" s="131"/>
      <c r="O896" s="131"/>
      <c r="P896" s="131"/>
      <c r="Q896" s="131"/>
      <c r="R896" s="131"/>
      <c r="S896" s="131"/>
      <c r="T896" s="131"/>
      <c r="U896" s="131"/>
      <c r="V896" s="131"/>
      <c r="W896" s="131"/>
      <c r="X896" s="131"/>
      <c r="Y896" s="131"/>
      <c r="Z896" s="131"/>
    </row>
    <row r="897">
      <c r="A897" s="290"/>
      <c r="B897" s="290"/>
      <c r="C897" s="290"/>
      <c r="D897" s="290"/>
      <c r="E897" s="290"/>
      <c r="F897" s="290"/>
      <c r="G897" s="290"/>
      <c r="H897" s="290"/>
      <c r="I897" s="290"/>
      <c r="J897" s="290"/>
      <c r="K897" s="131"/>
      <c r="L897" s="131"/>
      <c r="M897" s="131"/>
      <c r="N897" s="131"/>
      <c r="O897" s="131"/>
      <c r="P897" s="131"/>
      <c r="Q897" s="131"/>
      <c r="R897" s="131"/>
      <c r="S897" s="131"/>
      <c r="T897" s="131"/>
      <c r="U897" s="131"/>
      <c r="V897" s="131"/>
      <c r="W897" s="131"/>
      <c r="X897" s="131"/>
      <c r="Y897" s="131"/>
      <c r="Z897" s="131"/>
    </row>
    <row r="898">
      <c r="A898" s="290"/>
      <c r="B898" s="290"/>
      <c r="C898" s="290"/>
      <c r="D898" s="290"/>
      <c r="E898" s="290"/>
      <c r="F898" s="290"/>
      <c r="G898" s="290"/>
      <c r="H898" s="290"/>
      <c r="I898" s="290"/>
      <c r="J898" s="290"/>
      <c r="K898" s="131"/>
      <c r="L898" s="131"/>
      <c r="M898" s="131"/>
      <c r="N898" s="131"/>
      <c r="O898" s="131"/>
      <c r="P898" s="131"/>
      <c r="Q898" s="131"/>
      <c r="R898" s="131"/>
      <c r="S898" s="131"/>
      <c r="T898" s="131"/>
      <c r="U898" s="131"/>
      <c r="V898" s="131"/>
      <c r="W898" s="131"/>
      <c r="X898" s="131"/>
      <c r="Y898" s="131"/>
      <c r="Z898" s="131"/>
    </row>
    <row r="899">
      <c r="A899" s="290"/>
      <c r="B899" s="290"/>
      <c r="C899" s="290"/>
      <c r="D899" s="290"/>
      <c r="E899" s="290"/>
      <c r="F899" s="290"/>
      <c r="G899" s="290"/>
      <c r="H899" s="290"/>
      <c r="I899" s="290"/>
      <c r="J899" s="290"/>
      <c r="K899" s="131"/>
      <c r="L899" s="131"/>
      <c r="M899" s="131"/>
      <c r="N899" s="131"/>
      <c r="O899" s="131"/>
      <c r="P899" s="131"/>
      <c r="Q899" s="131"/>
      <c r="R899" s="131"/>
      <c r="S899" s="131"/>
      <c r="T899" s="131"/>
      <c r="U899" s="131"/>
      <c r="V899" s="131"/>
      <c r="W899" s="131"/>
      <c r="X899" s="131"/>
      <c r="Y899" s="131"/>
      <c r="Z899" s="131"/>
    </row>
    <row r="900">
      <c r="A900" s="290"/>
      <c r="B900" s="290"/>
      <c r="C900" s="290"/>
      <c r="D900" s="290"/>
      <c r="E900" s="290"/>
      <c r="F900" s="290"/>
      <c r="G900" s="290"/>
      <c r="H900" s="290"/>
      <c r="I900" s="290"/>
      <c r="J900" s="290"/>
      <c r="K900" s="131"/>
      <c r="L900" s="131"/>
      <c r="M900" s="131"/>
      <c r="N900" s="131"/>
      <c r="O900" s="131"/>
      <c r="P900" s="131"/>
      <c r="Q900" s="131"/>
      <c r="R900" s="131"/>
      <c r="S900" s="131"/>
      <c r="T900" s="131"/>
      <c r="U900" s="131"/>
      <c r="V900" s="131"/>
      <c r="W900" s="131"/>
      <c r="X900" s="131"/>
      <c r="Y900" s="131"/>
      <c r="Z900" s="131"/>
    </row>
    <row r="901">
      <c r="A901" s="290"/>
      <c r="B901" s="290"/>
      <c r="C901" s="290"/>
      <c r="D901" s="290"/>
      <c r="E901" s="290"/>
      <c r="F901" s="290"/>
      <c r="G901" s="290"/>
      <c r="H901" s="290"/>
      <c r="I901" s="290"/>
      <c r="J901" s="290"/>
      <c r="K901" s="131"/>
      <c r="L901" s="131"/>
      <c r="M901" s="131"/>
      <c r="N901" s="131"/>
      <c r="O901" s="131"/>
      <c r="P901" s="131"/>
      <c r="Q901" s="131"/>
      <c r="R901" s="131"/>
      <c r="S901" s="131"/>
      <c r="T901" s="131"/>
      <c r="U901" s="131"/>
      <c r="V901" s="131"/>
      <c r="W901" s="131"/>
      <c r="X901" s="131"/>
      <c r="Y901" s="131"/>
      <c r="Z901" s="131"/>
    </row>
    <row r="902">
      <c r="A902" s="290"/>
      <c r="B902" s="290"/>
      <c r="C902" s="290"/>
      <c r="D902" s="290"/>
      <c r="E902" s="290"/>
      <c r="F902" s="290"/>
      <c r="G902" s="290"/>
      <c r="H902" s="290"/>
      <c r="I902" s="290"/>
      <c r="J902" s="290"/>
      <c r="K902" s="131"/>
      <c r="L902" s="131"/>
      <c r="M902" s="131"/>
      <c r="N902" s="131"/>
      <c r="O902" s="131"/>
      <c r="P902" s="131"/>
      <c r="Q902" s="131"/>
      <c r="R902" s="131"/>
      <c r="S902" s="131"/>
      <c r="T902" s="131"/>
      <c r="U902" s="131"/>
      <c r="V902" s="131"/>
      <c r="W902" s="131"/>
      <c r="X902" s="131"/>
      <c r="Y902" s="131"/>
      <c r="Z902" s="131"/>
    </row>
    <row r="903">
      <c r="A903" s="290"/>
      <c r="B903" s="290"/>
      <c r="C903" s="290"/>
      <c r="D903" s="290"/>
      <c r="E903" s="290"/>
      <c r="F903" s="290"/>
      <c r="G903" s="290"/>
      <c r="H903" s="290"/>
      <c r="I903" s="290"/>
      <c r="J903" s="290"/>
      <c r="K903" s="131"/>
      <c r="L903" s="131"/>
      <c r="M903" s="131"/>
      <c r="N903" s="131"/>
      <c r="O903" s="131"/>
      <c r="P903" s="131"/>
      <c r="Q903" s="131"/>
      <c r="R903" s="131"/>
      <c r="S903" s="131"/>
      <c r="T903" s="131"/>
      <c r="U903" s="131"/>
      <c r="V903" s="131"/>
      <c r="W903" s="131"/>
      <c r="X903" s="131"/>
      <c r="Y903" s="131"/>
      <c r="Z903" s="131"/>
    </row>
    <row r="904">
      <c r="A904" s="290"/>
      <c r="B904" s="290"/>
      <c r="C904" s="290"/>
      <c r="D904" s="290"/>
      <c r="E904" s="290"/>
      <c r="F904" s="290"/>
      <c r="G904" s="290"/>
      <c r="H904" s="290"/>
      <c r="I904" s="290"/>
      <c r="J904" s="290"/>
      <c r="K904" s="131"/>
      <c r="L904" s="131"/>
      <c r="M904" s="131"/>
      <c r="N904" s="131"/>
      <c r="O904" s="131"/>
      <c r="P904" s="131"/>
      <c r="Q904" s="131"/>
      <c r="R904" s="131"/>
      <c r="S904" s="131"/>
      <c r="T904" s="131"/>
      <c r="U904" s="131"/>
      <c r="V904" s="131"/>
      <c r="W904" s="131"/>
      <c r="X904" s="131"/>
      <c r="Y904" s="131"/>
      <c r="Z904" s="131"/>
    </row>
    <row r="905">
      <c r="A905" s="290"/>
      <c r="B905" s="290"/>
      <c r="C905" s="290"/>
      <c r="D905" s="290"/>
      <c r="E905" s="290"/>
      <c r="F905" s="290"/>
      <c r="G905" s="290"/>
      <c r="H905" s="290"/>
      <c r="I905" s="290"/>
      <c r="J905" s="290"/>
      <c r="K905" s="131"/>
      <c r="L905" s="131"/>
      <c r="M905" s="131"/>
      <c r="N905" s="131"/>
      <c r="O905" s="131"/>
      <c r="P905" s="131"/>
      <c r="Q905" s="131"/>
      <c r="R905" s="131"/>
      <c r="S905" s="131"/>
      <c r="T905" s="131"/>
      <c r="U905" s="131"/>
      <c r="V905" s="131"/>
      <c r="W905" s="131"/>
      <c r="X905" s="131"/>
      <c r="Y905" s="131"/>
      <c r="Z905" s="131"/>
    </row>
    <row r="906">
      <c r="A906" s="290"/>
      <c r="B906" s="290"/>
      <c r="C906" s="290"/>
      <c r="D906" s="290"/>
      <c r="E906" s="290"/>
      <c r="F906" s="290"/>
      <c r="G906" s="290"/>
      <c r="H906" s="290"/>
      <c r="I906" s="290"/>
      <c r="J906" s="290"/>
      <c r="K906" s="131"/>
      <c r="L906" s="131"/>
      <c r="M906" s="131"/>
      <c r="N906" s="131"/>
      <c r="O906" s="131"/>
      <c r="P906" s="131"/>
      <c r="Q906" s="131"/>
      <c r="R906" s="131"/>
      <c r="S906" s="131"/>
      <c r="T906" s="131"/>
      <c r="U906" s="131"/>
      <c r="V906" s="131"/>
      <c r="W906" s="131"/>
      <c r="X906" s="131"/>
      <c r="Y906" s="131"/>
      <c r="Z906" s="131"/>
    </row>
    <row r="907">
      <c r="A907" s="290"/>
      <c r="B907" s="290"/>
      <c r="C907" s="290"/>
      <c r="D907" s="290"/>
      <c r="E907" s="290"/>
      <c r="F907" s="290"/>
      <c r="G907" s="290"/>
      <c r="H907" s="290"/>
      <c r="I907" s="290"/>
      <c r="J907" s="290"/>
      <c r="K907" s="131"/>
      <c r="L907" s="131"/>
      <c r="M907" s="131"/>
      <c r="N907" s="131"/>
      <c r="O907" s="131"/>
      <c r="P907" s="131"/>
      <c r="Q907" s="131"/>
      <c r="R907" s="131"/>
      <c r="S907" s="131"/>
      <c r="T907" s="131"/>
      <c r="U907" s="131"/>
      <c r="V907" s="131"/>
      <c r="W907" s="131"/>
      <c r="X907" s="131"/>
      <c r="Y907" s="131"/>
      <c r="Z907" s="131"/>
    </row>
    <row r="908">
      <c r="A908" s="290"/>
      <c r="B908" s="290"/>
      <c r="C908" s="290"/>
      <c r="D908" s="290"/>
      <c r="E908" s="290"/>
      <c r="F908" s="290"/>
      <c r="G908" s="290"/>
      <c r="H908" s="290"/>
      <c r="I908" s="290"/>
      <c r="J908" s="290"/>
      <c r="K908" s="131"/>
      <c r="L908" s="131"/>
      <c r="M908" s="131"/>
      <c r="N908" s="131"/>
      <c r="O908" s="131"/>
      <c r="P908" s="131"/>
      <c r="Q908" s="131"/>
      <c r="R908" s="131"/>
      <c r="S908" s="131"/>
      <c r="T908" s="131"/>
      <c r="U908" s="131"/>
      <c r="V908" s="131"/>
      <c r="W908" s="131"/>
      <c r="X908" s="131"/>
      <c r="Y908" s="131"/>
      <c r="Z908" s="131"/>
    </row>
    <row r="909">
      <c r="A909" s="290"/>
      <c r="B909" s="290"/>
      <c r="C909" s="290"/>
      <c r="D909" s="290"/>
      <c r="E909" s="290"/>
      <c r="F909" s="290"/>
      <c r="G909" s="290"/>
      <c r="H909" s="290"/>
      <c r="I909" s="290"/>
      <c r="J909" s="290"/>
      <c r="K909" s="131"/>
      <c r="L909" s="131"/>
      <c r="M909" s="131"/>
      <c r="N909" s="131"/>
      <c r="O909" s="131"/>
      <c r="P909" s="131"/>
      <c r="Q909" s="131"/>
      <c r="R909" s="131"/>
      <c r="S909" s="131"/>
      <c r="T909" s="131"/>
      <c r="U909" s="131"/>
      <c r="V909" s="131"/>
      <c r="W909" s="131"/>
      <c r="X909" s="131"/>
      <c r="Y909" s="131"/>
      <c r="Z909" s="131"/>
    </row>
    <row r="910">
      <c r="A910" s="290"/>
      <c r="B910" s="290"/>
      <c r="C910" s="290"/>
      <c r="D910" s="290"/>
      <c r="E910" s="290"/>
      <c r="F910" s="290"/>
      <c r="G910" s="290"/>
      <c r="H910" s="290"/>
      <c r="I910" s="290"/>
      <c r="J910" s="290"/>
      <c r="K910" s="131"/>
      <c r="L910" s="131"/>
      <c r="M910" s="131"/>
      <c r="N910" s="131"/>
      <c r="O910" s="131"/>
      <c r="P910" s="131"/>
      <c r="Q910" s="131"/>
      <c r="R910" s="131"/>
      <c r="S910" s="131"/>
      <c r="T910" s="131"/>
      <c r="U910" s="131"/>
      <c r="V910" s="131"/>
      <c r="W910" s="131"/>
      <c r="X910" s="131"/>
      <c r="Y910" s="131"/>
      <c r="Z910" s="131"/>
    </row>
    <row r="911">
      <c r="A911" s="290"/>
      <c r="B911" s="290"/>
      <c r="C911" s="290"/>
      <c r="D911" s="290"/>
      <c r="E911" s="290"/>
      <c r="F911" s="290"/>
      <c r="G911" s="290"/>
      <c r="H911" s="290"/>
      <c r="I911" s="290"/>
      <c r="J911" s="290"/>
      <c r="K911" s="131"/>
      <c r="L911" s="131"/>
      <c r="M911" s="131"/>
      <c r="N911" s="131"/>
      <c r="O911" s="131"/>
      <c r="P911" s="131"/>
      <c r="Q911" s="131"/>
      <c r="R911" s="131"/>
      <c r="S911" s="131"/>
      <c r="T911" s="131"/>
      <c r="U911" s="131"/>
      <c r="V911" s="131"/>
      <c r="W911" s="131"/>
      <c r="X911" s="131"/>
      <c r="Y911" s="131"/>
      <c r="Z911" s="131"/>
    </row>
    <row r="912">
      <c r="A912" s="290"/>
      <c r="B912" s="290"/>
      <c r="C912" s="290"/>
      <c r="D912" s="290"/>
      <c r="E912" s="290"/>
      <c r="F912" s="290"/>
      <c r="G912" s="290"/>
      <c r="H912" s="290"/>
      <c r="I912" s="290"/>
      <c r="J912" s="290"/>
      <c r="K912" s="131"/>
      <c r="L912" s="131"/>
      <c r="M912" s="131"/>
      <c r="N912" s="131"/>
      <c r="O912" s="131"/>
      <c r="P912" s="131"/>
      <c r="Q912" s="131"/>
      <c r="R912" s="131"/>
      <c r="S912" s="131"/>
      <c r="T912" s="131"/>
      <c r="U912" s="131"/>
      <c r="V912" s="131"/>
      <c r="W912" s="131"/>
      <c r="X912" s="131"/>
      <c r="Y912" s="131"/>
      <c r="Z912" s="131"/>
    </row>
    <row r="913">
      <c r="A913" s="290"/>
      <c r="B913" s="290"/>
      <c r="C913" s="290"/>
      <c r="D913" s="290"/>
      <c r="E913" s="290"/>
      <c r="F913" s="290"/>
      <c r="G913" s="290"/>
      <c r="H913" s="290"/>
      <c r="I913" s="290"/>
      <c r="J913" s="290"/>
      <c r="K913" s="131"/>
      <c r="L913" s="131"/>
      <c r="M913" s="131"/>
      <c r="N913" s="131"/>
      <c r="O913" s="131"/>
      <c r="P913" s="131"/>
      <c r="Q913" s="131"/>
      <c r="R913" s="131"/>
      <c r="S913" s="131"/>
      <c r="T913" s="131"/>
      <c r="U913" s="131"/>
      <c r="V913" s="131"/>
      <c r="W913" s="131"/>
      <c r="X913" s="131"/>
      <c r="Y913" s="131"/>
      <c r="Z913" s="131"/>
    </row>
    <row r="914">
      <c r="A914" s="290"/>
      <c r="B914" s="290"/>
      <c r="C914" s="290"/>
      <c r="D914" s="290"/>
      <c r="E914" s="290"/>
      <c r="F914" s="290"/>
      <c r="G914" s="290"/>
      <c r="H914" s="290"/>
      <c r="I914" s="290"/>
      <c r="J914" s="290"/>
      <c r="K914" s="131"/>
      <c r="L914" s="131"/>
      <c r="M914" s="131"/>
      <c r="N914" s="131"/>
      <c r="O914" s="131"/>
      <c r="P914" s="131"/>
      <c r="Q914" s="131"/>
      <c r="R914" s="131"/>
      <c r="S914" s="131"/>
      <c r="T914" s="131"/>
      <c r="U914" s="131"/>
      <c r="V914" s="131"/>
      <c r="W914" s="131"/>
      <c r="X914" s="131"/>
      <c r="Y914" s="131"/>
      <c r="Z914" s="131"/>
    </row>
    <row r="915">
      <c r="A915" s="290"/>
      <c r="B915" s="290"/>
      <c r="C915" s="290"/>
      <c r="D915" s="290"/>
      <c r="E915" s="290"/>
      <c r="F915" s="290"/>
      <c r="G915" s="290"/>
      <c r="H915" s="290"/>
      <c r="I915" s="290"/>
      <c r="J915" s="290"/>
      <c r="K915" s="131"/>
      <c r="L915" s="131"/>
      <c r="M915" s="131"/>
      <c r="N915" s="131"/>
      <c r="O915" s="131"/>
      <c r="P915" s="131"/>
      <c r="Q915" s="131"/>
      <c r="R915" s="131"/>
      <c r="S915" s="131"/>
      <c r="T915" s="131"/>
      <c r="U915" s="131"/>
      <c r="V915" s="131"/>
      <c r="W915" s="131"/>
      <c r="X915" s="131"/>
      <c r="Y915" s="131"/>
      <c r="Z915" s="131"/>
    </row>
    <row r="916">
      <c r="A916" s="290"/>
      <c r="B916" s="290"/>
      <c r="C916" s="290"/>
      <c r="D916" s="290"/>
      <c r="E916" s="290"/>
      <c r="F916" s="290"/>
      <c r="G916" s="290"/>
      <c r="H916" s="290"/>
      <c r="I916" s="290"/>
      <c r="J916" s="290"/>
      <c r="K916" s="131"/>
      <c r="L916" s="131"/>
      <c r="M916" s="131"/>
      <c r="N916" s="131"/>
      <c r="O916" s="131"/>
      <c r="P916" s="131"/>
      <c r="Q916" s="131"/>
      <c r="R916" s="131"/>
      <c r="S916" s="131"/>
      <c r="T916" s="131"/>
      <c r="U916" s="131"/>
      <c r="V916" s="131"/>
      <c r="W916" s="131"/>
      <c r="X916" s="131"/>
      <c r="Y916" s="131"/>
      <c r="Z916" s="131"/>
    </row>
    <row r="917">
      <c r="A917" s="290"/>
      <c r="B917" s="290"/>
      <c r="C917" s="290"/>
      <c r="D917" s="290"/>
      <c r="E917" s="290"/>
      <c r="F917" s="290"/>
      <c r="G917" s="290"/>
      <c r="H917" s="290"/>
      <c r="I917" s="290"/>
      <c r="J917" s="290"/>
      <c r="K917" s="131"/>
      <c r="L917" s="131"/>
      <c r="M917" s="131"/>
      <c r="N917" s="131"/>
      <c r="O917" s="131"/>
      <c r="P917" s="131"/>
      <c r="Q917" s="131"/>
      <c r="R917" s="131"/>
      <c r="S917" s="131"/>
      <c r="T917" s="131"/>
      <c r="U917" s="131"/>
      <c r="V917" s="131"/>
      <c r="W917" s="131"/>
      <c r="X917" s="131"/>
      <c r="Y917" s="131"/>
      <c r="Z917" s="131"/>
    </row>
    <row r="918">
      <c r="A918" s="290"/>
      <c r="B918" s="290"/>
      <c r="C918" s="290"/>
      <c r="D918" s="290"/>
      <c r="E918" s="290"/>
      <c r="F918" s="290"/>
      <c r="G918" s="290"/>
      <c r="H918" s="290"/>
      <c r="I918" s="290"/>
      <c r="J918" s="290"/>
      <c r="K918" s="131"/>
      <c r="L918" s="131"/>
      <c r="M918" s="131"/>
      <c r="N918" s="131"/>
      <c r="O918" s="131"/>
      <c r="P918" s="131"/>
      <c r="Q918" s="131"/>
      <c r="R918" s="131"/>
      <c r="S918" s="131"/>
      <c r="T918" s="131"/>
      <c r="U918" s="131"/>
      <c r="V918" s="131"/>
      <c r="W918" s="131"/>
      <c r="X918" s="131"/>
      <c r="Y918" s="131"/>
      <c r="Z918" s="131"/>
    </row>
    <row r="919">
      <c r="A919" s="290"/>
      <c r="B919" s="290"/>
      <c r="C919" s="290"/>
      <c r="D919" s="290"/>
      <c r="E919" s="290"/>
      <c r="F919" s="290"/>
      <c r="G919" s="290"/>
      <c r="H919" s="290"/>
      <c r="I919" s="290"/>
      <c r="J919" s="290"/>
      <c r="K919" s="131"/>
      <c r="L919" s="131"/>
      <c r="M919" s="131"/>
      <c r="N919" s="131"/>
      <c r="O919" s="131"/>
      <c r="P919" s="131"/>
      <c r="Q919" s="131"/>
      <c r="R919" s="131"/>
      <c r="S919" s="131"/>
      <c r="T919" s="131"/>
      <c r="U919" s="131"/>
      <c r="V919" s="131"/>
      <c r="W919" s="131"/>
      <c r="X919" s="131"/>
      <c r="Y919" s="131"/>
      <c r="Z919" s="131"/>
    </row>
    <row r="920">
      <c r="A920" s="290"/>
      <c r="B920" s="290"/>
      <c r="C920" s="290"/>
      <c r="D920" s="290"/>
      <c r="E920" s="290"/>
      <c r="F920" s="290"/>
      <c r="G920" s="290"/>
      <c r="H920" s="290"/>
      <c r="I920" s="290"/>
      <c r="J920" s="290"/>
      <c r="K920" s="131"/>
      <c r="L920" s="131"/>
      <c r="M920" s="131"/>
      <c r="N920" s="131"/>
      <c r="O920" s="131"/>
      <c r="P920" s="131"/>
      <c r="Q920" s="131"/>
      <c r="R920" s="131"/>
      <c r="S920" s="131"/>
      <c r="T920" s="131"/>
      <c r="U920" s="131"/>
      <c r="V920" s="131"/>
      <c r="W920" s="131"/>
      <c r="X920" s="131"/>
      <c r="Y920" s="131"/>
      <c r="Z920" s="131"/>
    </row>
    <row r="921">
      <c r="A921" s="290"/>
      <c r="B921" s="290"/>
      <c r="C921" s="290"/>
      <c r="D921" s="290"/>
      <c r="E921" s="290"/>
      <c r="F921" s="290"/>
      <c r="G921" s="290"/>
      <c r="H921" s="290"/>
      <c r="I921" s="290"/>
      <c r="J921" s="290"/>
      <c r="K921" s="131"/>
      <c r="L921" s="131"/>
      <c r="M921" s="131"/>
      <c r="N921" s="131"/>
      <c r="O921" s="131"/>
      <c r="P921" s="131"/>
      <c r="Q921" s="131"/>
      <c r="R921" s="131"/>
      <c r="S921" s="131"/>
      <c r="T921" s="131"/>
      <c r="U921" s="131"/>
      <c r="V921" s="131"/>
      <c r="W921" s="131"/>
      <c r="X921" s="131"/>
      <c r="Y921" s="131"/>
      <c r="Z921" s="131"/>
    </row>
    <row r="922">
      <c r="A922" s="290"/>
      <c r="B922" s="290"/>
      <c r="C922" s="290"/>
      <c r="D922" s="290"/>
      <c r="E922" s="290"/>
      <c r="F922" s="290"/>
      <c r="G922" s="290"/>
      <c r="H922" s="290"/>
      <c r="I922" s="290"/>
      <c r="J922" s="290"/>
      <c r="K922" s="131"/>
      <c r="L922" s="131"/>
      <c r="M922" s="131"/>
      <c r="N922" s="131"/>
      <c r="O922" s="131"/>
      <c r="P922" s="131"/>
      <c r="Q922" s="131"/>
      <c r="R922" s="131"/>
      <c r="S922" s="131"/>
      <c r="T922" s="131"/>
      <c r="U922" s="131"/>
      <c r="V922" s="131"/>
      <c r="W922" s="131"/>
      <c r="X922" s="131"/>
      <c r="Y922" s="131"/>
      <c r="Z922" s="131"/>
    </row>
    <row r="923">
      <c r="A923" s="290"/>
      <c r="B923" s="290"/>
      <c r="C923" s="290"/>
      <c r="D923" s="290"/>
      <c r="E923" s="290"/>
      <c r="F923" s="290"/>
      <c r="G923" s="290"/>
      <c r="H923" s="290"/>
      <c r="I923" s="290"/>
      <c r="J923" s="290"/>
      <c r="K923" s="131"/>
      <c r="L923" s="131"/>
      <c r="M923" s="131"/>
      <c r="N923" s="131"/>
      <c r="O923" s="131"/>
      <c r="P923" s="131"/>
      <c r="Q923" s="131"/>
      <c r="R923" s="131"/>
      <c r="S923" s="131"/>
      <c r="T923" s="131"/>
      <c r="U923" s="131"/>
      <c r="V923" s="131"/>
      <c r="W923" s="131"/>
      <c r="X923" s="131"/>
      <c r="Y923" s="131"/>
      <c r="Z923" s="131"/>
    </row>
    <row r="924">
      <c r="A924" s="290"/>
      <c r="B924" s="290"/>
      <c r="C924" s="290"/>
      <c r="D924" s="290"/>
      <c r="E924" s="290"/>
      <c r="F924" s="290"/>
      <c r="G924" s="290"/>
      <c r="H924" s="290"/>
      <c r="I924" s="290"/>
      <c r="J924" s="290"/>
      <c r="K924" s="131"/>
      <c r="L924" s="131"/>
      <c r="M924" s="131"/>
      <c r="N924" s="131"/>
      <c r="O924" s="131"/>
      <c r="P924" s="131"/>
      <c r="Q924" s="131"/>
      <c r="R924" s="131"/>
      <c r="S924" s="131"/>
      <c r="T924" s="131"/>
      <c r="U924" s="131"/>
      <c r="V924" s="131"/>
      <c r="W924" s="131"/>
      <c r="X924" s="131"/>
      <c r="Y924" s="131"/>
      <c r="Z924" s="131"/>
    </row>
    <row r="925">
      <c r="A925" s="290"/>
      <c r="B925" s="290"/>
      <c r="C925" s="290"/>
      <c r="D925" s="290"/>
      <c r="E925" s="290"/>
      <c r="F925" s="290"/>
      <c r="G925" s="290"/>
      <c r="H925" s="290"/>
      <c r="I925" s="290"/>
      <c r="J925" s="290"/>
      <c r="K925" s="131"/>
      <c r="L925" s="131"/>
      <c r="M925" s="131"/>
      <c r="N925" s="131"/>
      <c r="O925" s="131"/>
      <c r="P925" s="131"/>
      <c r="Q925" s="131"/>
      <c r="R925" s="131"/>
      <c r="S925" s="131"/>
      <c r="T925" s="131"/>
      <c r="U925" s="131"/>
      <c r="V925" s="131"/>
      <c r="W925" s="131"/>
      <c r="X925" s="131"/>
      <c r="Y925" s="131"/>
      <c r="Z925" s="131"/>
    </row>
    <row r="926">
      <c r="A926" s="290"/>
      <c r="B926" s="290"/>
      <c r="C926" s="290"/>
      <c r="D926" s="290"/>
      <c r="E926" s="290"/>
      <c r="F926" s="290"/>
      <c r="G926" s="290"/>
      <c r="H926" s="290"/>
      <c r="I926" s="290"/>
      <c r="J926" s="290"/>
      <c r="K926" s="131"/>
      <c r="L926" s="131"/>
      <c r="M926" s="131"/>
      <c r="N926" s="131"/>
      <c r="O926" s="131"/>
      <c r="P926" s="131"/>
      <c r="Q926" s="131"/>
      <c r="R926" s="131"/>
      <c r="S926" s="131"/>
      <c r="T926" s="131"/>
      <c r="U926" s="131"/>
      <c r="V926" s="131"/>
      <c r="W926" s="131"/>
      <c r="X926" s="131"/>
      <c r="Y926" s="131"/>
      <c r="Z926" s="131"/>
    </row>
    <row r="927">
      <c r="A927" s="290"/>
      <c r="B927" s="290"/>
      <c r="C927" s="290"/>
      <c r="D927" s="290"/>
      <c r="E927" s="290"/>
      <c r="F927" s="290"/>
      <c r="G927" s="290"/>
      <c r="H927" s="290"/>
      <c r="I927" s="290"/>
      <c r="J927" s="290"/>
      <c r="K927" s="131"/>
      <c r="L927" s="131"/>
      <c r="M927" s="131"/>
      <c r="N927" s="131"/>
      <c r="O927" s="131"/>
      <c r="P927" s="131"/>
      <c r="Q927" s="131"/>
      <c r="R927" s="131"/>
      <c r="S927" s="131"/>
      <c r="T927" s="131"/>
      <c r="U927" s="131"/>
      <c r="V927" s="131"/>
      <c r="W927" s="131"/>
      <c r="X927" s="131"/>
      <c r="Y927" s="131"/>
      <c r="Z927" s="131"/>
    </row>
    <row r="928">
      <c r="A928" s="290"/>
      <c r="B928" s="290"/>
      <c r="C928" s="290"/>
      <c r="D928" s="290"/>
      <c r="E928" s="290"/>
      <c r="F928" s="290"/>
      <c r="G928" s="290"/>
      <c r="H928" s="290"/>
      <c r="I928" s="290"/>
      <c r="J928" s="290"/>
      <c r="K928" s="131"/>
      <c r="L928" s="131"/>
      <c r="M928" s="131"/>
      <c r="N928" s="131"/>
      <c r="O928" s="131"/>
      <c r="P928" s="131"/>
      <c r="Q928" s="131"/>
      <c r="R928" s="131"/>
      <c r="S928" s="131"/>
      <c r="T928" s="131"/>
      <c r="U928" s="131"/>
      <c r="V928" s="131"/>
      <c r="W928" s="131"/>
      <c r="X928" s="131"/>
      <c r="Y928" s="131"/>
      <c r="Z928" s="131"/>
    </row>
    <row r="929">
      <c r="A929" s="290"/>
      <c r="B929" s="290"/>
      <c r="C929" s="290"/>
      <c r="D929" s="290"/>
      <c r="E929" s="290"/>
      <c r="F929" s="290"/>
      <c r="G929" s="290"/>
      <c r="H929" s="290"/>
      <c r="I929" s="290"/>
      <c r="J929" s="290"/>
      <c r="K929" s="131"/>
      <c r="L929" s="131"/>
      <c r="M929" s="131"/>
      <c r="N929" s="131"/>
      <c r="O929" s="131"/>
      <c r="P929" s="131"/>
      <c r="Q929" s="131"/>
      <c r="R929" s="131"/>
      <c r="S929" s="131"/>
      <c r="T929" s="131"/>
      <c r="U929" s="131"/>
      <c r="V929" s="131"/>
      <c r="W929" s="131"/>
      <c r="X929" s="131"/>
      <c r="Y929" s="131"/>
      <c r="Z929" s="131"/>
    </row>
    <row r="930">
      <c r="A930" s="290"/>
      <c r="B930" s="290"/>
      <c r="C930" s="290"/>
      <c r="D930" s="290"/>
      <c r="E930" s="290"/>
      <c r="F930" s="290"/>
      <c r="G930" s="290"/>
      <c r="H930" s="290"/>
      <c r="I930" s="290"/>
      <c r="J930" s="290"/>
      <c r="K930" s="131"/>
      <c r="L930" s="131"/>
      <c r="M930" s="131"/>
      <c r="N930" s="131"/>
      <c r="O930" s="131"/>
      <c r="P930" s="131"/>
      <c r="Q930" s="131"/>
      <c r="R930" s="131"/>
      <c r="S930" s="131"/>
      <c r="T930" s="131"/>
      <c r="U930" s="131"/>
      <c r="V930" s="131"/>
      <c r="W930" s="131"/>
      <c r="X930" s="131"/>
      <c r="Y930" s="131"/>
      <c r="Z930" s="131"/>
    </row>
    <row r="931">
      <c r="A931" s="290"/>
      <c r="B931" s="290"/>
      <c r="C931" s="290"/>
      <c r="D931" s="290"/>
      <c r="E931" s="290"/>
      <c r="F931" s="290"/>
      <c r="G931" s="290"/>
      <c r="H931" s="290"/>
      <c r="I931" s="290"/>
      <c r="J931" s="290"/>
      <c r="K931" s="131"/>
      <c r="L931" s="131"/>
      <c r="M931" s="131"/>
      <c r="N931" s="131"/>
      <c r="O931" s="131"/>
      <c r="P931" s="131"/>
      <c r="Q931" s="131"/>
      <c r="R931" s="131"/>
      <c r="S931" s="131"/>
      <c r="T931" s="131"/>
      <c r="U931" s="131"/>
      <c r="V931" s="131"/>
      <c r="W931" s="131"/>
      <c r="X931" s="131"/>
      <c r="Y931" s="131"/>
      <c r="Z931" s="131"/>
    </row>
    <row r="932">
      <c r="A932" s="290"/>
      <c r="B932" s="290"/>
      <c r="C932" s="290"/>
      <c r="D932" s="290"/>
      <c r="E932" s="290"/>
      <c r="F932" s="290"/>
      <c r="G932" s="290"/>
      <c r="H932" s="290"/>
      <c r="I932" s="290"/>
      <c r="J932" s="290"/>
      <c r="K932" s="131"/>
      <c r="L932" s="131"/>
      <c r="M932" s="131"/>
      <c r="N932" s="131"/>
      <c r="O932" s="131"/>
      <c r="P932" s="131"/>
      <c r="Q932" s="131"/>
      <c r="R932" s="131"/>
      <c r="S932" s="131"/>
      <c r="T932" s="131"/>
      <c r="U932" s="131"/>
      <c r="V932" s="131"/>
      <c r="W932" s="131"/>
      <c r="X932" s="131"/>
      <c r="Y932" s="131"/>
      <c r="Z932" s="131"/>
    </row>
    <row r="933">
      <c r="A933" s="290"/>
      <c r="B933" s="290"/>
      <c r="C933" s="290"/>
      <c r="D933" s="290"/>
      <c r="E933" s="290"/>
      <c r="F933" s="290"/>
      <c r="G933" s="290"/>
      <c r="H933" s="290"/>
      <c r="I933" s="290"/>
      <c r="J933" s="290"/>
      <c r="K933" s="131"/>
      <c r="L933" s="131"/>
      <c r="M933" s="131"/>
      <c r="N933" s="131"/>
      <c r="O933" s="131"/>
      <c r="P933" s="131"/>
      <c r="Q933" s="131"/>
      <c r="R933" s="131"/>
      <c r="S933" s="131"/>
      <c r="T933" s="131"/>
      <c r="U933" s="131"/>
      <c r="V933" s="131"/>
      <c r="W933" s="131"/>
      <c r="X933" s="131"/>
      <c r="Y933" s="131"/>
      <c r="Z933" s="131"/>
    </row>
    <row r="934">
      <c r="A934" s="290"/>
      <c r="B934" s="290"/>
      <c r="C934" s="290"/>
      <c r="D934" s="290"/>
      <c r="E934" s="290"/>
      <c r="F934" s="290"/>
      <c r="G934" s="290"/>
      <c r="H934" s="290"/>
      <c r="I934" s="290"/>
      <c r="J934" s="290"/>
      <c r="K934" s="131"/>
      <c r="L934" s="131"/>
      <c r="M934" s="131"/>
      <c r="N934" s="131"/>
      <c r="O934" s="131"/>
      <c r="P934" s="131"/>
      <c r="Q934" s="131"/>
      <c r="R934" s="131"/>
      <c r="S934" s="131"/>
      <c r="T934" s="131"/>
      <c r="U934" s="131"/>
      <c r="V934" s="131"/>
      <c r="W934" s="131"/>
      <c r="X934" s="131"/>
      <c r="Y934" s="131"/>
      <c r="Z934" s="131"/>
    </row>
    <row r="935">
      <c r="A935" s="290"/>
      <c r="B935" s="290"/>
      <c r="C935" s="290"/>
      <c r="D935" s="290"/>
      <c r="E935" s="290"/>
      <c r="F935" s="290"/>
      <c r="G935" s="290"/>
      <c r="H935" s="290"/>
      <c r="I935" s="290"/>
      <c r="J935" s="290"/>
      <c r="K935" s="131"/>
      <c r="L935" s="131"/>
      <c r="M935" s="131"/>
      <c r="N935" s="131"/>
      <c r="O935" s="131"/>
      <c r="P935" s="131"/>
      <c r="Q935" s="131"/>
      <c r="R935" s="131"/>
      <c r="S935" s="131"/>
      <c r="T935" s="131"/>
      <c r="U935" s="131"/>
      <c r="V935" s="131"/>
      <c r="W935" s="131"/>
      <c r="X935" s="131"/>
      <c r="Y935" s="131"/>
      <c r="Z935" s="131"/>
    </row>
    <row r="936">
      <c r="A936" s="290"/>
      <c r="B936" s="290"/>
      <c r="C936" s="290"/>
      <c r="D936" s="290"/>
      <c r="E936" s="290"/>
      <c r="F936" s="290"/>
      <c r="G936" s="290"/>
      <c r="H936" s="290"/>
      <c r="I936" s="290"/>
      <c r="J936" s="290"/>
      <c r="K936" s="131"/>
      <c r="L936" s="131"/>
      <c r="M936" s="131"/>
      <c r="N936" s="131"/>
      <c r="O936" s="131"/>
      <c r="P936" s="131"/>
      <c r="Q936" s="131"/>
      <c r="R936" s="131"/>
      <c r="S936" s="131"/>
      <c r="T936" s="131"/>
      <c r="U936" s="131"/>
      <c r="V936" s="131"/>
      <c r="W936" s="131"/>
      <c r="X936" s="131"/>
      <c r="Y936" s="131"/>
      <c r="Z936" s="131"/>
    </row>
    <row r="937">
      <c r="A937" s="290"/>
      <c r="B937" s="290"/>
      <c r="C937" s="290"/>
      <c r="D937" s="290"/>
      <c r="E937" s="290"/>
      <c r="F937" s="290"/>
      <c r="G937" s="290"/>
      <c r="H937" s="290"/>
      <c r="I937" s="290"/>
      <c r="J937" s="290"/>
      <c r="K937" s="131"/>
      <c r="L937" s="131"/>
      <c r="M937" s="131"/>
      <c r="N937" s="131"/>
      <c r="O937" s="131"/>
      <c r="P937" s="131"/>
      <c r="Q937" s="131"/>
      <c r="R937" s="131"/>
      <c r="S937" s="131"/>
      <c r="T937" s="131"/>
      <c r="U937" s="131"/>
      <c r="V937" s="131"/>
      <c r="W937" s="131"/>
      <c r="X937" s="131"/>
      <c r="Y937" s="131"/>
      <c r="Z937" s="131"/>
    </row>
    <row r="938">
      <c r="A938" s="290"/>
      <c r="B938" s="290"/>
      <c r="C938" s="290"/>
      <c r="D938" s="290"/>
      <c r="E938" s="290"/>
      <c r="F938" s="290"/>
      <c r="G938" s="290"/>
      <c r="H938" s="290"/>
      <c r="I938" s="290"/>
      <c r="J938" s="290"/>
      <c r="K938" s="131"/>
      <c r="L938" s="131"/>
      <c r="M938" s="131"/>
      <c r="N938" s="131"/>
      <c r="O938" s="131"/>
      <c r="P938" s="131"/>
      <c r="Q938" s="131"/>
      <c r="R938" s="131"/>
      <c r="S938" s="131"/>
      <c r="T938" s="131"/>
      <c r="U938" s="131"/>
      <c r="V938" s="131"/>
      <c r="W938" s="131"/>
      <c r="X938" s="131"/>
      <c r="Y938" s="131"/>
      <c r="Z938" s="131"/>
    </row>
    <row r="939">
      <c r="A939" s="290"/>
      <c r="B939" s="290"/>
      <c r="C939" s="290"/>
      <c r="D939" s="290"/>
      <c r="E939" s="290"/>
      <c r="F939" s="290"/>
      <c r="G939" s="290"/>
      <c r="H939" s="290"/>
      <c r="I939" s="290"/>
      <c r="J939" s="290"/>
      <c r="K939" s="131"/>
      <c r="L939" s="131"/>
      <c r="M939" s="131"/>
      <c r="N939" s="131"/>
      <c r="O939" s="131"/>
      <c r="P939" s="131"/>
      <c r="Q939" s="131"/>
      <c r="R939" s="131"/>
      <c r="S939" s="131"/>
      <c r="T939" s="131"/>
      <c r="U939" s="131"/>
      <c r="V939" s="131"/>
      <c r="W939" s="131"/>
      <c r="X939" s="131"/>
      <c r="Y939" s="131"/>
      <c r="Z939" s="131"/>
    </row>
    <row r="940">
      <c r="A940" s="290"/>
      <c r="B940" s="290"/>
      <c r="C940" s="290"/>
      <c r="D940" s="290"/>
      <c r="E940" s="290"/>
      <c r="F940" s="290"/>
      <c r="G940" s="290"/>
      <c r="H940" s="290"/>
      <c r="I940" s="290"/>
      <c r="J940" s="290"/>
      <c r="K940" s="131"/>
      <c r="L940" s="131"/>
      <c r="M940" s="131"/>
      <c r="N940" s="131"/>
      <c r="O940" s="131"/>
      <c r="P940" s="131"/>
      <c r="Q940" s="131"/>
      <c r="R940" s="131"/>
      <c r="S940" s="131"/>
      <c r="T940" s="131"/>
      <c r="U940" s="131"/>
      <c r="V940" s="131"/>
      <c r="W940" s="131"/>
      <c r="X940" s="131"/>
      <c r="Y940" s="131"/>
      <c r="Z940" s="131"/>
    </row>
    <row r="941">
      <c r="A941" s="290"/>
      <c r="B941" s="290"/>
      <c r="C941" s="290"/>
      <c r="D941" s="290"/>
      <c r="E941" s="290"/>
      <c r="F941" s="290"/>
      <c r="G941" s="290"/>
      <c r="H941" s="290"/>
      <c r="I941" s="290"/>
      <c r="J941" s="290"/>
      <c r="K941" s="131"/>
      <c r="L941" s="131"/>
      <c r="M941" s="131"/>
      <c r="N941" s="131"/>
      <c r="O941" s="131"/>
      <c r="P941" s="131"/>
      <c r="Q941" s="131"/>
      <c r="R941" s="131"/>
      <c r="S941" s="131"/>
      <c r="T941" s="131"/>
      <c r="U941" s="131"/>
      <c r="V941" s="131"/>
      <c r="W941" s="131"/>
      <c r="X941" s="131"/>
      <c r="Y941" s="131"/>
      <c r="Z941" s="131"/>
    </row>
    <row r="942">
      <c r="A942" s="290"/>
      <c r="B942" s="290"/>
      <c r="C942" s="290"/>
      <c r="D942" s="290"/>
      <c r="E942" s="290"/>
      <c r="F942" s="290"/>
      <c r="G942" s="290"/>
      <c r="H942" s="290"/>
      <c r="I942" s="290"/>
      <c r="J942" s="290"/>
      <c r="K942" s="131"/>
      <c r="L942" s="131"/>
      <c r="M942" s="131"/>
      <c r="N942" s="131"/>
      <c r="O942" s="131"/>
      <c r="P942" s="131"/>
      <c r="Q942" s="131"/>
      <c r="R942" s="131"/>
      <c r="S942" s="131"/>
      <c r="T942" s="131"/>
      <c r="U942" s="131"/>
      <c r="V942" s="131"/>
      <c r="W942" s="131"/>
      <c r="X942" s="131"/>
      <c r="Y942" s="131"/>
      <c r="Z942" s="131"/>
    </row>
    <row r="943">
      <c r="A943" s="290"/>
      <c r="B943" s="290"/>
      <c r="C943" s="290"/>
      <c r="D943" s="290"/>
      <c r="E943" s="290"/>
      <c r="F943" s="290"/>
      <c r="G943" s="290"/>
      <c r="H943" s="290"/>
      <c r="I943" s="290"/>
      <c r="J943" s="290"/>
      <c r="K943" s="131"/>
      <c r="L943" s="131"/>
      <c r="M943" s="131"/>
      <c r="N943" s="131"/>
      <c r="O943" s="131"/>
      <c r="P943" s="131"/>
      <c r="Q943" s="131"/>
      <c r="R943" s="131"/>
      <c r="S943" s="131"/>
      <c r="T943" s="131"/>
      <c r="U943" s="131"/>
      <c r="V943" s="131"/>
      <c r="W943" s="131"/>
      <c r="X943" s="131"/>
      <c r="Y943" s="131"/>
      <c r="Z943" s="131"/>
    </row>
    <row r="944">
      <c r="A944" s="290"/>
      <c r="B944" s="290"/>
      <c r="C944" s="290"/>
      <c r="D944" s="290"/>
      <c r="E944" s="290"/>
      <c r="F944" s="290"/>
      <c r="G944" s="290"/>
      <c r="H944" s="290"/>
      <c r="I944" s="290"/>
      <c r="J944" s="290"/>
      <c r="K944" s="131"/>
      <c r="L944" s="131"/>
      <c r="M944" s="131"/>
      <c r="N944" s="131"/>
      <c r="O944" s="131"/>
      <c r="P944" s="131"/>
      <c r="Q944" s="131"/>
      <c r="R944" s="131"/>
      <c r="S944" s="131"/>
      <c r="T944" s="131"/>
      <c r="U944" s="131"/>
      <c r="V944" s="131"/>
      <c r="W944" s="131"/>
      <c r="X944" s="131"/>
      <c r="Y944" s="131"/>
      <c r="Z944" s="131"/>
    </row>
    <row r="945">
      <c r="A945" s="290"/>
      <c r="B945" s="290"/>
      <c r="C945" s="290"/>
      <c r="D945" s="290"/>
      <c r="E945" s="290"/>
      <c r="F945" s="290"/>
      <c r="G945" s="290"/>
      <c r="H945" s="290"/>
      <c r="I945" s="290"/>
      <c r="J945" s="290"/>
      <c r="K945" s="131"/>
      <c r="L945" s="131"/>
      <c r="M945" s="131"/>
      <c r="N945" s="131"/>
      <c r="O945" s="131"/>
      <c r="P945" s="131"/>
      <c r="Q945" s="131"/>
      <c r="R945" s="131"/>
      <c r="S945" s="131"/>
      <c r="T945" s="131"/>
      <c r="U945" s="131"/>
      <c r="V945" s="131"/>
      <c r="W945" s="131"/>
      <c r="X945" s="131"/>
      <c r="Y945" s="131"/>
      <c r="Z945" s="131"/>
    </row>
    <row r="946">
      <c r="A946" s="290"/>
      <c r="B946" s="290"/>
      <c r="C946" s="290"/>
      <c r="D946" s="290"/>
      <c r="E946" s="290"/>
      <c r="F946" s="290"/>
      <c r="G946" s="290"/>
      <c r="H946" s="290"/>
      <c r="I946" s="290"/>
      <c r="J946" s="290"/>
      <c r="K946" s="131"/>
      <c r="L946" s="131"/>
      <c r="M946" s="131"/>
      <c r="N946" s="131"/>
      <c r="O946" s="131"/>
      <c r="P946" s="131"/>
      <c r="Q946" s="131"/>
      <c r="R946" s="131"/>
      <c r="S946" s="131"/>
      <c r="T946" s="131"/>
      <c r="U946" s="131"/>
      <c r="V946" s="131"/>
      <c r="W946" s="131"/>
      <c r="X946" s="131"/>
      <c r="Y946" s="131"/>
      <c r="Z946" s="131"/>
    </row>
    <row r="947">
      <c r="A947" s="290"/>
      <c r="B947" s="290"/>
      <c r="C947" s="290"/>
      <c r="D947" s="290"/>
      <c r="E947" s="290"/>
      <c r="F947" s="290"/>
      <c r="G947" s="290"/>
      <c r="H947" s="290"/>
      <c r="I947" s="290"/>
      <c r="J947" s="290"/>
      <c r="K947" s="131"/>
      <c r="L947" s="131"/>
      <c r="M947" s="131"/>
      <c r="N947" s="131"/>
      <c r="O947" s="131"/>
      <c r="P947" s="131"/>
      <c r="Q947" s="131"/>
      <c r="R947" s="131"/>
      <c r="S947" s="131"/>
      <c r="T947" s="131"/>
      <c r="U947" s="131"/>
      <c r="V947" s="131"/>
      <c r="W947" s="131"/>
      <c r="X947" s="131"/>
      <c r="Y947" s="131"/>
      <c r="Z947" s="131"/>
    </row>
    <row r="948">
      <c r="A948" s="290"/>
      <c r="B948" s="290"/>
      <c r="C948" s="290"/>
      <c r="D948" s="290"/>
      <c r="E948" s="290"/>
      <c r="F948" s="290"/>
      <c r="G948" s="290"/>
      <c r="H948" s="290"/>
      <c r="I948" s="290"/>
      <c r="J948" s="290"/>
      <c r="K948" s="131"/>
      <c r="L948" s="131"/>
      <c r="M948" s="131"/>
      <c r="N948" s="131"/>
      <c r="O948" s="131"/>
      <c r="P948" s="131"/>
      <c r="Q948" s="131"/>
      <c r="R948" s="131"/>
      <c r="S948" s="131"/>
      <c r="T948" s="131"/>
      <c r="U948" s="131"/>
      <c r="V948" s="131"/>
      <c r="W948" s="131"/>
      <c r="X948" s="131"/>
      <c r="Y948" s="131"/>
      <c r="Z948" s="131"/>
    </row>
    <row r="949">
      <c r="A949" s="290"/>
      <c r="B949" s="290"/>
      <c r="C949" s="290"/>
      <c r="D949" s="290"/>
      <c r="E949" s="290"/>
      <c r="F949" s="290"/>
      <c r="G949" s="290"/>
      <c r="H949" s="290"/>
      <c r="I949" s="290"/>
      <c r="J949" s="290"/>
      <c r="K949" s="131"/>
      <c r="L949" s="131"/>
      <c r="M949" s="131"/>
      <c r="N949" s="131"/>
      <c r="O949" s="131"/>
      <c r="P949" s="131"/>
      <c r="Q949" s="131"/>
      <c r="R949" s="131"/>
      <c r="S949" s="131"/>
      <c r="T949" s="131"/>
      <c r="U949" s="131"/>
      <c r="V949" s="131"/>
      <c r="W949" s="131"/>
      <c r="X949" s="131"/>
      <c r="Y949" s="131"/>
      <c r="Z949" s="131"/>
    </row>
    <row r="950">
      <c r="A950" s="290"/>
      <c r="B950" s="290"/>
      <c r="C950" s="290"/>
      <c r="D950" s="290"/>
      <c r="E950" s="290"/>
      <c r="F950" s="290"/>
      <c r="G950" s="290"/>
      <c r="H950" s="290"/>
      <c r="I950" s="290"/>
      <c r="J950" s="290"/>
      <c r="K950" s="131"/>
      <c r="L950" s="131"/>
      <c r="M950" s="131"/>
      <c r="N950" s="131"/>
      <c r="O950" s="131"/>
      <c r="P950" s="131"/>
      <c r="Q950" s="131"/>
      <c r="R950" s="131"/>
      <c r="S950" s="131"/>
      <c r="T950" s="131"/>
      <c r="U950" s="131"/>
      <c r="V950" s="131"/>
      <c r="W950" s="131"/>
      <c r="X950" s="131"/>
      <c r="Y950" s="131"/>
      <c r="Z950" s="131"/>
    </row>
    <row r="951">
      <c r="A951" s="290"/>
      <c r="B951" s="290"/>
      <c r="C951" s="290"/>
      <c r="D951" s="290"/>
      <c r="E951" s="290"/>
      <c r="F951" s="290"/>
      <c r="G951" s="290"/>
      <c r="H951" s="290"/>
      <c r="I951" s="290"/>
      <c r="J951" s="290"/>
      <c r="K951" s="131"/>
      <c r="L951" s="131"/>
      <c r="M951" s="131"/>
      <c r="N951" s="131"/>
      <c r="O951" s="131"/>
      <c r="P951" s="131"/>
      <c r="Q951" s="131"/>
      <c r="R951" s="131"/>
      <c r="S951" s="131"/>
      <c r="T951" s="131"/>
      <c r="U951" s="131"/>
      <c r="V951" s="131"/>
      <c r="W951" s="131"/>
      <c r="X951" s="131"/>
      <c r="Y951" s="131"/>
      <c r="Z951" s="131"/>
    </row>
    <row r="952">
      <c r="A952" s="290"/>
      <c r="B952" s="290"/>
      <c r="C952" s="290"/>
      <c r="D952" s="290"/>
      <c r="E952" s="290"/>
      <c r="F952" s="290"/>
      <c r="G952" s="290"/>
      <c r="H952" s="290"/>
      <c r="I952" s="290"/>
      <c r="J952" s="290"/>
      <c r="K952" s="131"/>
      <c r="L952" s="131"/>
      <c r="M952" s="131"/>
      <c r="N952" s="131"/>
      <c r="O952" s="131"/>
      <c r="P952" s="131"/>
      <c r="Q952" s="131"/>
      <c r="R952" s="131"/>
      <c r="S952" s="131"/>
      <c r="T952" s="131"/>
      <c r="U952" s="131"/>
      <c r="V952" s="131"/>
      <c r="W952" s="131"/>
      <c r="X952" s="131"/>
      <c r="Y952" s="131"/>
      <c r="Z952" s="131"/>
    </row>
    <row r="953">
      <c r="A953" s="290"/>
      <c r="B953" s="290"/>
      <c r="C953" s="290"/>
      <c r="D953" s="290"/>
      <c r="E953" s="290"/>
      <c r="F953" s="290"/>
      <c r="G953" s="290"/>
      <c r="H953" s="290"/>
      <c r="I953" s="290"/>
      <c r="J953" s="290"/>
      <c r="K953" s="131"/>
      <c r="L953" s="131"/>
      <c r="M953" s="131"/>
      <c r="N953" s="131"/>
      <c r="O953" s="131"/>
      <c r="P953" s="131"/>
      <c r="Q953" s="131"/>
      <c r="R953" s="131"/>
      <c r="S953" s="131"/>
      <c r="T953" s="131"/>
      <c r="U953" s="131"/>
      <c r="V953" s="131"/>
      <c r="W953" s="131"/>
      <c r="X953" s="131"/>
      <c r="Y953" s="131"/>
      <c r="Z953" s="131"/>
    </row>
    <row r="954">
      <c r="A954" s="290"/>
      <c r="B954" s="290"/>
      <c r="C954" s="290"/>
      <c r="D954" s="290"/>
      <c r="E954" s="290"/>
      <c r="F954" s="290"/>
      <c r="G954" s="290"/>
      <c r="H954" s="290"/>
      <c r="I954" s="290"/>
      <c r="J954" s="290"/>
      <c r="K954" s="131"/>
      <c r="L954" s="131"/>
      <c r="M954" s="131"/>
      <c r="N954" s="131"/>
      <c r="O954" s="131"/>
      <c r="P954" s="131"/>
      <c r="Q954" s="131"/>
      <c r="R954" s="131"/>
      <c r="S954" s="131"/>
      <c r="T954" s="131"/>
      <c r="U954" s="131"/>
      <c r="V954" s="131"/>
      <c r="W954" s="131"/>
      <c r="X954" s="131"/>
      <c r="Y954" s="131"/>
      <c r="Z954" s="131"/>
    </row>
    <row r="955">
      <c r="A955" s="290"/>
      <c r="B955" s="290"/>
      <c r="C955" s="290"/>
      <c r="D955" s="290"/>
      <c r="E955" s="290"/>
      <c r="F955" s="290"/>
      <c r="G955" s="290"/>
      <c r="H955" s="290"/>
      <c r="I955" s="290"/>
      <c r="J955" s="290"/>
      <c r="K955" s="131"/>
      <c r="L955" s="131"/>
      <c r="M955" s="131"/>
      <c r="N955" s="131"/>
      <c r="O955" s="131"/>
      <c r="P955" s="131"/>
      <c r="Q955" s="131"/>
      <c r="R955" s="131"/>
      <c r="S955" s="131"/>
      <c r="T955" s="131"/>
      <c r="U955" s="131"/>
      <c r="V955" s="131"/>
      <c r="W955" s="131"/>
      <c r="X955" s="131"/>
      <c r="Y955" s="131"/>
      <c r="Z955" s="131"/>
    </row>
    <row r="956">
      <c r="A956" s="290"/>
      <c r="B956" s="290"/>
      <c r="C956" s="290"/>
      <c r="D956" s="290"/>
      <c r="E956" s="290"/>
      <c r="F956" s="290"/>
      <c r="G956" s="290"/>
      <c r="H956" s="290"/>
      <c r="I956" s="290"/>
      <c r="J956" s="290"/>
      <c r="K956" s="131"/>
      <c r="L956" s="131"/>
      <c r="M956" s="131"/>
      <c r="N956" s="131"/>
      <c r="O956" s="131"/>
      <c r="P956" s="131"/>
      <c r="Q956" s="131"/>
      <c r="R956" s="131"/>
      <c r="S956" s="131"/>
      <c r="T956" s="131"/>
      <c r="U956" s="131"/>
      <c r="V956" s="131"/>
      <c r="W956" s="131"/>
      <c r="X956" s="131"/>
      <c r="Y956" s="131"/>
      <c r="Z956" s="131"/>
    </row>
    <row r="957">
      <c r="A957" s="290"/>
      <c r="B957" s="290"/>
      <c r="C957" s="290"/>
      <c r="D957" s="290"/>
      <c r="E957" s="290"/>
      <c r="F957" s="290"/>
      <c r="G957" s="290"/>
      <c r="H957" s="290"/>
      <c r="I957" s="290"/>
      <c r="J957" s="290"/>
      <c r="K957" s="131"/>
      <c r="L957" s="131"/>
      <c r="M957" s="131"/>
      <c r="N957" s="131"/>
      <c r="O957" s="131"/>
      <c r="P957" s="131"/>
      <c r="Q957" s="131"/>
      <c r="R957" s="131"/>
      <c r="S957" s="131"/>
      <c r="T957" s="131"/>
      <c r="U957" s="131"/>
      <c r="V957" s="131"/>
      <c r="W957" s="131"/>
      <c r="X957" s="131"/>
      <c r="Y957" s="131"/>
      <c r="Z957" s="131"/>
    </row>
    <row r="958">
      <c r="A958" s="290"/>
      <c r="B958" s="290"/>
      <c r="C958" s="290"/>
      <c r="D958" s="290"/>
      <c r="E958" s="290"/>
      <c r="F958" s="290"/>
      <c r="G958" s="290"/>
      <c r="H958" s="290"/>
      <c r="I958" s="290"/>
      <c r="J958" s="290"/>
      <c r="K958" s="131"/>
      <c r="L958" s="131"/>
      <c r="M958" s="131"/>
      <c r="N958" s="131"/>
      <c r="O958" s="131"/>
      <c r="P958" s="131"/>
      <c r="Q958" s="131"/>
      <c r="R958" s="131"/>
      <c r="S958" s="131"/>
      <c r="T958" s="131"/>
      <c r="U958" s="131"/>
      <c r="V958" s="131"/>
      <c r="W958" s="131"/>
      <c r="X958" s="131"/>
      <c r="Y958" s="131"/>
      <c r="Z958" s="131"/>
    </row>
    <row r="959">
      <c r="A959" s="290"/>
      <c r="B959" s="290"/>
      <c r="C959" s="290"/>
      <c r="D959" s="290"/>
      <c r="E959" s="290"/>
      <c r="F959" s="290"/>
      <c r="G959" s="290"/>
      <c r="H959" s="290"/>
      <c r="I959" s="290"/>
      <c r="J959" s="290"/>
      <c r="K959" s="131"/>
      <c r="L959" s="131"/>
      <c r="M959" s="131"/>
      <c r="N959" s="131"/>
      <c r="O959" s="131"/>
      <c r="P959" s="131"/>
      <c r="Q959" s="131"/>
      <c r="R959" s="131"/>
      <c r="S959" s="131"/>
      <c r="T959" s="131"/>
      <c r="U959" s="131"/>
      <c r="V959" s="131"/>
      <c r="W959" s="131"/>
      <c r="X959" s="131"/>
      <c r="Y959" s="131"/>
      <c r="Z959" s="131"/>
    </row>
    <row r="960">
      <c r="A960" s="290"/>
      <c r="B960" s="290"/>
      <c r="C960" s="290"/>
      <c r="D960" s="290"/>
      <c r="E960" s="290"/>
      <c r="F960" s="290"/>
      <c r="G960" s="290"/>
      <c r="H960" s="290"/>
      <c r="I960" s="290"/>
      <c r="J960" s="290"/>
      <c r="K960" s="131"/>
      <c r="L960" s="131"/>
      <c r="M960" s="131"/>
      <c r="N960" s="131"/>
      <c r="O960" s="131"/>
      <c r="P960" s="131"/>
      <c r="Q960" s="131"/>
      <c r="R960" s="131"/>
      <c r="S960" s="131"/>
      <c r="T960" s="131"/>
      <c r="U960" s="131"/>
      <c r="V960" s="131"/>
      <c r="W960" s="131"/>
      <c r="X960" s="131"/>
      <c r="Y960" s="131"/>
      <c r="Z960" s="131"/>
    </row>
    <row r="961">
      <c r="A961" s="290"/>
      <c r="B961" s="290"/>
      <c r="C961" s="290"/>
      <c r="D961" s="290"/>
      <c r="E961" s="290"/>
      <c r="F961" s="290"/>
      <c r="G961" s="290"/>
      <c r="H961" s="290"/>
      <c r="I961" s="290"/>
      <c r="J961" s="290"/>
      <c r="K961" s="131"/>
      <c r="L961" s="131"/>
      <c r="M961" s="131"/>
      <c r="N961" s="131"/>
      <c r="O961" s="131"/>
      <c r="P961" s="131"/>
      <c r="Q961" s="131"/>
      <c r="R961" s="131"/>
      <c r="S961" s="131"/>
      <c r="T961" s="131"/>
      <c r="U961" s="131"/>
      <c r="V961" s="131"/>
      <c r="W961" s="131"/>
      <c r="X961" s="131"/>
      <c r="Y961" s="131"/>
      <c r="Z961" s="131"/>
    </row>
    <row r="962">
      <c r="A962" s="290"/>
      <c r="B962" s="290"/>
      <c r="C962" s="290"/>
      <c r="D962" s="290"/>
      <c r="E962" s="290"/>
      <c r="F962" s="290"/>
      <c r="G962" s="290"/>
      <c r="H962" s="290"/>
      <c r="I962" s="290"/>
      <c r="J962" s="290"/>
      <c r="K962" s="131"/>
      <c r="L962" s="131"/>
      <c r="M962" s="131"/>
      <c r="N962" s="131"/>
      <c r="O962" s="131"/>
      <c r="P962" s="131"/>
      <c r="Q962" s="131"/>
      <c r="R962" s="131"/>
      <c r="S962" s="131"/>
      <c r="T962" s="131"/>
      <c r="U962" s="131"/>
      <c r="V962" s="131"/>
      <c r="W962" s="131"/>
      <c r="X962" s="131"/>
      <c r="Y962" s="131"/>
      <c r="Z962" s="131"/>
    </row>
    <row r="963">
      <c r="A963" s="290"/>
      <c r="B963" s="290"/>
      <c r="C963" s="290"/>
      <c r="D963" s="290"/>
      <c r="E963" s="290"/>
      <c r="F963" s="290"/>
      <c r="G963" s="290"/>
      <c r="H963" s="290"/>
      <c r="I963" s="290"/>
      <c r="J963" s="290"/>
      <c r="K963" s="131"/>
      <c r="L963" s="131"/>
      <c r="M963" s="131"/>
      <c r="N963" s="131"/>
      <c r="O963" s="131"/>
      <c r="P963" s="131"/>
      <c r="Q963" s="131"/>
      <c r="R963" s="131"/>
      <c r="S963" s="131"/>
      <c r="T963" s="131"/>
      <c r="U963" s="131"/>
      <c r="V963" s="131"/>
      <c r="W963" s="131"/>
      <c r="X963" s="131"/>
      <c r="Y963" s="131"/>
      <c r="Z963" s="131"/>
    </row>
    <row r="964">
      <c r="A964" s="290"/>
      <c r="B964" s="290"/>
      <c r="C964" s="290"/>
      <c r="D964" s="290"/>
      <c r="E964" s="290"/>
      <c r="F964" s="290"/>
      <c r="G964" s="290"/>
      <c r="H964" s="290"/>
      <c r="I964" s="290"/>
      <c r="J964" s="290"/>
      <c r="K964" s="131"/>
      <c r="L964" s="131"/>
      <c r="M964" s="131"/>
      <c r="N964" s="131"/>
      <c r="O964" s="131"/>
      <c r="P964" s="131"/>
      <c r="Q964" s="131"/>
      <c r="R964" s="131"/>
      <c r="S964" s="131"/>
      <c r="T964" s="131"/>
      <c r="U964" s="131"/>
      <c r="V964" s="131"/>
      <c r="W964" s="131"/>
      <c r="X964" s="131"/>
      <c r="Y964" s="131"/>
      <c r="Z964" s="131"/>
    </row>
    <row r="965">
      <c r="A965" s="290"/>
      <c r="B965" s="290"/>
      <c r="C965" s="290"/>
      <c r="D965" s="290"/>
      <c r="E965" s="290"/>
      <c r="F965" s="290"/>
      <c r="G965" s="290"/>
      <c r="H965" s="290"/>
      <c r="I965" s="290"/>
      <c r="J965" s="290"/>
      <c r="K965" s="131"/>
      <c r="L965" s="131"/>
      <c r="M965" s="131"/>
      <c r="N965" s="131"/>
      <c r="O965" s="131"/>
      <c r="P965" s="131"/>
      <c r="Q965" s="131"/>
      <c r="R965" s="131"/>
      <c r="S965" s="131"/>
      <c r="T965" s="131"/>
      <c r="U965" s="131"/>
      <c r="V965" s="131"/>
      <c r="W965" s="131"/>
      <c r="X965" s="131"/>
      <c r="Y965" s="131"/>
      <c r="Z965" s="131"/>
    </row>
    <row r="966">
      <c r="A966" s="290"/>
      <c r="B966" s="290"/>
      <c r="C966" s="290"/>
      <c r="D966" s="290"/>
      <c r="E966" s="290"/>
      <c r="F966" s="290"/>
      <c r="G966" s="290"/>
      <c r="H966" s="290"/>
      <c r="I966" s="290"/>
      <c r="J966" s="290"/>
      <c r="K966" s="131"/>
      <c r="L966" s="131"/>
      <c r="M966" s="131"/>
      <c r="N966" s="131"/>
      <c r="O966" s="131"/>
      <c r="P966" s="131"/>
      <c r="Q966" s="131"/>
      <c r="R966" s="131"/>
      <c r="S966" s="131"/>
      <c r="T966" s="131"/>
      <c r="U966" s="131"/>
      <c r="V966" s="131"/>
      <c r="W966" s="131"/>
      <c r="X966" s="131"/>
      <c r="Y966" s="131"/>
      <c r="Z966" s="131"/>
    </row>
    <row r="967">
      <c r="A967" s="290"/>
      <c r="B967" s="290"/>
      <c r="C967" s="290"/>
      <c r="D967" s="290"/>
      <c r="E967" s="290"/>
      <c r="F967" s="290"/>
      <c r="G967" s="290"/>
      <c r="H967" s="290"/>
      <c r="I967" s="290"/>
      <c r="J967" s="290"/>
      <c r="K967" s="131"/>
      <c r="L967" s="131"/>
      <c r="M967" s="131"/>
      <c r="N967" s="131"/>
      <c r="O967" s="131"/>
      <c r="P967" s="131"/>
      <c r="Q967" s="131"/>
      <c r="R967" s="131"/>
      <c r="S967" s="131"/>
      <c r="T967" s="131"/>
      <c r="U967" s="131"/>
      <c r="V967" s="131"/>
      <c r="W967" s="131"/>
      <c r="X967" s="131"/>
      <c r="Y967" s="131"/>
      <c r="Z967" s="131"/>
    </row>
    <row r="968">
      <c r="A968" s="290"/>
      <c r="B968" s="290"/>
      <c r="C968" s="290"/>
      <c r="D968" s="290"/>
      <c r="E968" s="290"/>
      <c r="F968" s="290"/>
      <c r="G968" s="290"/>
      <c r="H968" s="290"/>
      <c r="I968" s="290"/>
      <c r="J968" s="290"/>
      <c r="K968" s="131"/>
      <c r="L968" s="131"/>
      <c r="M968" s="131"/>
      <c r="N968" s="131"/>
      <c r="O968" s="131"/>
      <c r="P968" s="131"/>
      <c r="Q968" s="131"/>
      <c r="R968" s="131"/>
      <c r="S968" s="131"/>
      <c r="T968" s="131"/>
      <c r="U968" s="131"/>
      <c r="V968" s="131"/>
      <c r="W968" s="131"/>
      <c r="X968" s="131"/>
      <c r="Y968" s="131"/>
      <c r="Z968" s="131"/>
    </row>
    <row r="969">
      <c r="A969" s="290"/>
      <c r="B969" s="290"/>
      <c r="C969" s="290"/>
      <c r="D969" s="290"/>
      <c r="E969" s="290"/>
      <c r="F969" s="290"/>
      <c r="G969" s="290"/>
      <c r="H969" s="290"/>
      <c r="I969" s="290"/>
      <c r="J969" s="290"/>
      <c r="K969" s="131"/>
      <c r="L969" s="131"/>
      <c r="M969" s="131"/>
      <c r="N969" s="131"/>
      <c r="O969" s="131"/>
      <c r="P969" s="131"/>
      <c r="Q969" s="131"/>
      <c r="R969" s="131"/>
      <c r="S969" s="131"/>
      <c r="T969" s="131"/>
      <c r="U969" s="131"/>
      <c r="V969" s="131"/>
      <c r="W969" s="131"/>
      <c r="X969" s="131"/>
      <c r="Y969" s="131"/>
      <c r="Z969" s="131"/>
    </row>
    <row r="970">
      <c r="A970" s="290"/>
      <c r="B970" s="290"/>
      <c r="C970" s="290"/>
      <c r="D970" s="290"/>
      <c r="E970" s="290"/>
      <c r="F970" s="290"/>
      <c r="G970" s="290"/>
      <c r="H970" s="290"/>
      <c r="I970" s="290"/>
      <c r="J970" s="290"/>
      <c r="K970" s="131"/>
      <c r="L970" s="131"/>
      <c r="M970" s="131"/>
      <c r="N970" s="131"/>
      <c r="O970" s="131"/>
      <c r="P970" s="131"/>
      <c r="Q970" s="131"/>
      <c r="R970" s="131"/>
      <c r="S970" s="131"/>
      <c r="T970" s="131"/>
      <c r="U970" s="131"/>
      <c r="V970" s="131"/>
      <c r="W970" s="131"/>
      <c r="X970" s="131"/>
      <c r="Y970" s="131"/>
      <c r="Z970" s="131"/>
    </row>
    <row r="971">
      <c r="A971" s="290"/>
      <c r="B971" s="290"/>
      <c r="C971" s="290"/>
      <c r="D971" s="290"/>
      <c r="E971" s="290"/>
      <c r="F971" s="290"/>
      <c r="G971" s="290"/>
      <c r="H971" s="290"/>
      <c r="I971" s="290"/>
      <c r="J971" s="290"/>
      <c r="K971" s="131"/>
      <c r="L971" s="131"/>
      <c r="M971" s="131"/>
      <c r="N971" s="131"/>
      <c r="O971" s="131"/>
      <c r="P971" s="131"/>
      <c r="Q971" s="131"/>
      <c r="R971" s="131"/>
      <c r="S971" s="131"/>
      <c r="T971" s="131"/>
      <c r="U971" s="131"/>
      <c r="V971" s="131"/>
      <c r="W971" s="131"/>
      <c r="X971" s="131"/>
      <c r="Y971" s="131"/>
      <c r="Z971" s="131"/>
    </row>
    <row r="972">
      <c r="A972" s="290"/>
      <c r="B972" s="290"/>
      <c r="C972" s="290"/>
      <c r="D972" s="290"/>
      <c r="E972" s="290"/>
      <c r="F972" s="290"/>
      <c r="G972" s="290"/>
      <c r="H972" s="290"/>
      <c r="I972" s="290"/>
      <c r="J972" s="290"/>
      <c r="K972" s="131"/>
      <c r="L972" s="131"/>
      <c r="M972" s="131"/>
      <c r="N972" s="131"/>
      <c r="O972" s="131"/>
      <c r="P972" s="131"/>
      <c r="Q972" s="131"/>
      <c r="R972" s="131"/>
      <c r="S972" s="131"/>
      <c r="T972" s="131"/>
      <c r="U972" s="131"/>
      <c r="V972" s="131"/>
      <c r="W972" s="131"/>
      <c r="X972" s="131"/>
      <c r="Y972" s="131"/>
      <c r="Z972" s="131"/>
    </row>
    <row r="973">
      <c r="A973" s="290"/>
      <c r="B973" s="290"/>
      <c r="C973" s="290"/>
      <c r="D973" s="290"/>
      <c r="E973" s="290"/>
      <c r="F973" s="290"/>
      <c r="G973" s="290"/>
      <c r="H973" s="290"/>
      <c r="I973" s="290"/>
      <c r="J973" s="290"/>
      <c r="K973" s="131"/>
      <c r="L973" s="131"/>
      <c r="M973" s="131"/>
      <c r="N973" s="131"/>
      <c r="O973" s="131"/>
      <c r="P973" s="131"/>
      <c r="Q973" s="131"/>
      <c r="R973" s="131"/>
      <c r="S973" s="131"/>
      <c r="T973" s="131"/>
      <c r="U973" s="131"/>
      <c r="V973" s="131"/>
      <c r="W973" s="131"/>
      <c r="X973" s="131"/>
      <c r="Y973" s="131"/>
      <c r="Z973" s="131"/>
    </row>
    <row r="974">
      <c r="A974" s="290"/>
      <c r="B974" s="290"/>
      <c r="C974" s="290"/>
      <c r="D974" s="290"/>
      <c r="E974" s="290"/>
      <c r="F974" s="290"/>
      <c r="G974" s="290"/>
      <c r="H974" s="290"/>
      <c r="I974" s="290"/>
      <c r="J974" s="290"/>
      <c r="K974" s="131"/>
      <c r="L974" s="131"/>
      <c r="M974" s="131"/>
      <c r="N974" s="131"/>
      <c r="O974" s="131"/>
      <c r="P974" s="131"/>
      <c r="Q974" s="131"/>
      <c r="R974" s="131"/>
      <c r="S974" s="131"/>
      <c r="T974" s="131"/>
      <c r="U974" s="131"/>
      <c r="V974" s="131"/>
      <c r="W974" s="131"/>
      <c r="X974" s="131"/>
      <c r="Y974" s="131"/>
      <c r="Z974" s="131"/>
    </row>
    <row r="975">
      <c r="A975" s="290"/>
      <c r="B975" s="290"/>
      <c r="C975" s="290"/>
      <c r="D975" s="290"/>
      <c r="E975" s="290"/>
      <c r="F975" s="290"/>
      <c r="G975" s="290"/>
      <c r="H975" s="290"/>
      <c r="I975" s="290"/>
      <c r="J975" s="290"/>
      <c r="K975" s="131"/>
      <c r="L975" s="131"/>
      <c r="M975" s="131"/>
      <c r="N975" s="131"/>
      <c r="O975" s="131"/>
      <c r="P975" s="131"/>
      <c r="Q975" s="131"/>
      <c r="R975" s="131"/>
      <c r="S975" s="131"/>
      <c r="T975" s="131"/>
      <c r="U975" s="131"/>
      <c r="V975" s="131"/>
      <c r="W975" s="131"/>
      <c r="X975" s="131"/>
      <c r="Y975" s="131"/>
      <c r="Z975" s="131"/>
    </row>
    <row r="976">
      <c r="A976" s="290"/>
      <c r="B976" s="290"/>
      <c r="C976" s="290"/>
      <c r="D976" s="290"/>
      <c r="E976" s="290"/>
      <c r="F976" s="290"/>
      <c r="G976" s="290"/>
      <c r="H976" s="290"/>
      <c r="I976" s="290"/>
      <c r="J976" s="290"/>
      <c r="K976" s="131"/>
      <c r="L976" s="131"/>
      <c r="M976" s="131"/>
      <c r="N976" s="131"/>
      <c r="O976" s="131"/>
      <c r="P976" s="131"/>
      <c r="Q976" s="131"/>
      <c r="R976" s="131"/>
      <c r="S976" s="131"/>
      <c r="T976" s="131"/>
      <c r="U976" s="131"/>
      <c r="V976" s="131"/>
      <c r="W976" s="131"/>
      <c r="X976" s="131"/>
      <c r="Y976" s="131"/>
      <c r="Z976" s="131"/>
    </row>
    <row r="977">
      <c r="A977" s="290"/>
      <c r="B977" s="290"/>
      <c r="C977" s="290"/>
      <c r="D977" s="290"/>
      <c r="E977" s="290"/>
      <c r="F977" s="290"/>
      <c r="G977" s="290"/>
      <c r="H977" s="290"/>
      <c r="I977" s="290"/>
      <c r="J977" s="290"/>
      <c r="K977" s="131"/>
      <c r="L977" s="131"/>
      <c r="M977" s="131"/>
      <c r="N977" s="131"/>
      <c r="O977" s="131"/>
      <c r="P977" s="131"/>
      <c r="Q977" s="131"/>
      <c r="R977" s="131"/>
      <c r="S977" s="131"/>
      <c r="T977" s="131"/>
      <c r="U977" s="131"/>
      <c r="V977" s="131"/>
      <c r="W977" s="131"/>
      <c r="X977" s="131"/>
      <c r="Y977" s="131"/>
      <c r="Z977" s="131"/>
    </row>
    <row r="978">
      <c r="A978" s="290"/>
      <c r="B978" s="290"/>
      <c r="C978" s="290"/>
      <c r="D978" s="290"/>
      <c r="E978" s="290"/>
      <c r="F978" s="290"/>
      <c r="G978" s="290"/>
      <c r="H978" s="290"/>
      <c r="I978" s="290"/>
      <c r="J978" s="290"/>
      <c r="K978" s="131"/>
      <c r="L978" s="131"/>
      <c r="M978" s="131"/>
      <c r="N978" s="131"/>
      <c r="O978" s="131"/>
      <c r="P978" s="131"/>
      <c r="Q978" s="131"/>
      <c r="R978" s="131"/>
      <c r="S978" s="131"/>
      <c r="T978" s="131"/>
      <c r="U978" s="131"/>
      <c r="V978" s="131"/>
      <c r="W978" s="131"/>
      <c r="X978" s="131"/>
      <c r="Y978" s="131"/>
      <c r="Z978" s="131"/>
    </row>
    <row r="979">
      <c r="A979" s="290"/>
      <c r="B979" s="290"/>
      <c r="C979" s="290"/>
      <c r="D979" s="290"/>
      <c r="E979" s="290"/>
      <c r="F979" s="290"/>
      <c r="G979" s="290"/>
      <c r="H979" s="290"/>
      <c r="I979" s="290"/>
      <c r="J979" s="290"/>
      <c r="K979" s="131"/>
      <c r="L979" s="131"/>
      <c r="M979" s="131"/>
      <c r="N979" s="131"/>
      <c r="O979" s="131"/>
      <c r="P979" s="131"/>
      <c r="Q979" s="131"/>
      <c r="R979" s="131"/>
      <c r="S979" s="131"/>
      <c r="T979" s="131"/>
      <c r="U979" s="131"/>
      <c r="V979" s="131"/>
      <c r="W979" s="131"/>
      <c r="X979" s="131"/>
      <c r="Y979" s="131"/>
      <c r="Z979" s="131"/>
    </row>
    <row r="980">
      <c r="A980" s="290"/>
      <c r="B980" s="290"/>
      <c r="C980" s="290"/>
      <c r="D980" s="290"/>
      <c r="E980" s="290"/>
      <c r="F980" s="290"/>
      <c r="G980" s="290"/>
      <c r="H980" s="290"/>
      <c r="I980" s="290"/>
      <c r="J980" s="290"/>
      <c r="K980" s="131"/>
      <c r="L980" s="131"/>
      <c r="M980" s="131"/>
      <c r="N980" s="131"/>
      <c r="O980" s="131"/>
      <c r="P980" s="131"/>
      <c r="Q980" s="131"/>
      <c r="R980" s="131"/>
      <c r="S980" s="131"/>
      <c r="T980" s="131"/>
      <c r="U980" s="131"/>
      <c r="V980" s="131"/>
      <c r="W980" s="131"/>
      <c r="X980" s="131"/>
      <c r="Y980" s="131"/>
      <c r="Z980" s="131"/>
    </row>
    <row r="981">
      <c r="A981" s="290"/>
      <c r="B981" s="290"/>
      <c r="C981" s="290"/>
      <c r="D981" s="290"/>
      <c r="E981" s="290"/>
      <c r="F981" s="290"/>
      <c r="G981" s="290"/>
      <c r="H981" s="290"/>
      <c r="I981" s="290"/>
      <c r="J981" s="290"/>
      <c r="K981" s="131"/>
      <c r="L981" s="131"/>
      <c r="M981" s="131"/>
      <c r="N981" s="131"/>
      <c r="O981" s="131"/>
      <c r="P981" s="131"/>
      <c r="Q981" s="131"/>
      <c r="R981" s="131"/>
      <c r="S981" s="131"/>
      <c r="T981" s="131"/>
      <c r="U981" s="131"/>
      <c r="V981" s="131"/>
      <c r="W981" s="131"/>
      <c r="X981" s="131"/>
      <c r="Y981" s="131"/>
      <c r="Z981" s="131"/>
    </row>
    <row r="982">
      <c r="A982" s="290"/>
      <c r="B982" s="290"/>
      <c r="C982" s="290"/>
      <c r="D982" s="290"/>
      <c r="E982" s="290"/>
      <c r="F982" s="290"/>
      <c r="G982" s="290"/>
      <c r="H982" s="290"/>
      <c r="I982" s="290"/>
      <c r="J982" s="290"/>
      <c r="K982" s="131"/>
      <c r="L982" s="131"/>
      <c r="M982" s="131"/>
      <c r="N982" s="131"/>
      <c r="O982" s="131"/>
      <c r="P982" s="131"/>
      <c r="Q982" s="131"/>
      <c r="R982" s="131"/>
      <c r="S982" s="131"/>
      <c r="T982" s="131"/>
      <c r="U982" s="131"/>
      <c r="V982" s="131"/>
      <c r="W982" s="131"/>
      <c r="X982" s="131"/>
      <c r="Y982" s="131"/>
      <c r="Z982" s="131"/>
    </row>
    <row r="983">
      <c r="A983" s="290"/>
      <c r="B983" s="290"/>
      <c r="C983" s="290"/>
      <c r="D983" s="290"/>
      <c r="E983" s="290"/>
      <c r="F983" s="290"/>
      <c r="G983" s="290"/>
      <c r="H983" s="290"/>
      <c r="I983" s="290"/>
      <c r="J983" s="290"/>
      <c r="K983" s="131"/>
      <c r="L983" s="131"/>
      <c r="M983" s="131"/>
      <c r="N983" s="131"/>
      <c r="O983" s="131"/>
      <c r="P983" s="131"/>
      <c r="Q983" s="131"/>
      <c r="R983" s="131"/>
      <c r="S983" s="131"/>
      <c r="T983" s="131"/>
      <c r="U983" s="131"/>
      <c r="V983" s="131"/>
      <c r="W983" s="131"/>
      <c r="X983" s="131"/>
      <c r="Y983" s="131"/>
      <c r="Z983" s="131"/>
    </row>
    <row r="984">
      <c r="A984" s="290"/>
      <c r="B984" s="290"/>
      <c r="C984" s="290"/>
      <c r="D984" s="290"/>
      <c r="E984" s="290"/>
      <c r="F984" s="290"/>
      <c r="G984" s="290"/>
      <c r="H984" s="290"/>
      <c r="I984" s="290"/>
      <c r="J984" s="290"/>
      <c r="K984" s="131"/>
      <c r="L984" s="131"/>
      <c r="M984" s="131"/>
      <c r="N984" s="131"/>
      <c r="O984" s="131"/>
      <c r="P984" s="131"/>
      <c r="Q984" s="131"/>
      <c r="R984" s="131"/>
      <c r="S984" s="131"/>
      <c r="T984" s="131"/>
      <c r="U984" s="131"/>
      <c r="V984" s="131"/>
      <c r="W984" s="131"/>
      <c r="X984" s="131"/>
      <c r="Y984" s="131"/>
      <c r="Z984" s="131"/>
    </row>
    <row r="985">
      <c r="A985" s="290"/>
      <c r="B985" s="290"/>
      <c r="C985" s="290"/>
      <c r="D985" s="290"/>
      <c r="E985" s="290"/>
      <c r="F985" s="290"/>
      <c r="G985" s="290"/>
      <c r="H985" s="290"/>
      <c r="I985" s="290"/>
      <c r="J985" s="290"/>
      <c r="K985" s="131"/>
      <c r="L985" s="131"/>
      <c r="M985" s="131"/>
      <c r="N985" s="131"/>
      <c r="O985" s="131"/>
      <c r="P985" s="131"/>
      <c r="Q985" s="131"/>
      <c r="R985" s="131"/>
      <c r="S985" s="131"/>
      <c r="T985" s="131"/>
      <c r="U985" s="131"/>
      <c r="V985" s="131"/>
      <c r="W985" s="131"/>
      <c r="X985" s="131"/>
      <c r="Y985" s="131"/>
      <c r="Z985" s="131"/>
    </row>
    <row r="986">
      <c r="A986" s="290"/>
      <c r="B986" s="290"/>
      <c r="C986" s="290"/>
      <c r="D986" s="290"/>
      <c r="E986" s="290"/>
      <c r="F986" s="290"/>
      <c r="G986" s="290"/>
      <c r="H986" s="290"/>
      <c r="I986" s="290"/>
      <c r="J986" s="290"/>
      <c r="K986" s="131"/>
      <c r="L986" s="131"/>
      <c r="M986" s="131"/>
      <c r="N986" s="131"/>
      <c r="O986" s="131"/>
      <c r="P986" s="131"/>
      <c r="Q986" s="131"/>
      <c r="R986" s="131"/>
      <c r="S986" s="131"/>
      <c r="T986" s="131"/>
      <c r="U986" s="131"/>
      <c r="V986" s="131"/>
      <c r="W986" s="131"/>
      <c r="X986" s="131"/>
      <c r="Y986" s="131"/>
      <c r="Z986" s="131"/>
    </row>
    <row r="987">
      <c r="A987" s="290"/>
      <c r="B987" s="290"/>
      <c r="C987" s="290"/>
      <c r="D987" s="290"/>
      <c r="E987" s="290"/>
      <c r="F987" s="290"/>
      <c r="G987" s="290"/>
      <c r="H987" s="290"/>
      <c r="I987" s="290"/>
      <c r="J987" s="290"/>
      <c r="K987" s="131"/>
      <c r="L987" s="131"/>
      <c r="M987" s="131"/>
      <c r="N987" s="131"/>
      <c r="O987" s="131"/>
      <c r="P987" s="131"/>
      <c r="Q987" s="131"/>
      <c r="R987" s="131"/>
      <c r="S987" s="131"/>
      <c r="T987" s="131"/>
      <c r="U987" s="131"/>
      <c r="V987" s="131"/>
      <c r="W987" s="131"/>
      <c r="X987" s="131"/>
      <c r="Y987" s="131"/>
      <c r="Z987" s="131"/>
    </row>
    <row r="988">
      <c r="A988" s="290"/>
      <c r="B988" s="290"/>
      <c r="C988" s="290"/>
      <c r="D988" s="290"/>
      <c r="E988" s="290"/>
      <c r="F988" s="290"/>
      <c r="G988" s="290"/>
      <c r="H988" s="290"/>
      <c r="I988" s="290"/>
      <c r="J988" s="290"/>
      <c r="K988" s="131"/>
      <c r="L988" s="131"/>
      <c r="M988" s="131"/>
      <c r="N988" s="131"/>
      <c r="O988" s="131"/>
      <c r="P988" s="131"/>
      <c r="Q988" s="131"/>
      <c r="R988" s="131"/>
      <c r="S988" s="131"/>
      <c r="T988" s="131"/>
      <c r="U988" s="131"/>
      <c r="V988" s="131"/>
      <c r="W988" s="131"/>
      <c r="X988" s="131"/>
      <c r="Y988" s="131"/>
      <c r="Z988" s="131"/>
    </row>
    <row r="989">
      <c r="A989" s="290"/>
      <c r="B989" s="290"/>
      <c r="C989" s="290"/>
      <c r="D989" s="290"/>
      <c r="E989" s="290"/>
      <c r="F989" s="290"/>
      <c r="G989" s="290"/>
      <c r="H989" s="290"/>
      <c r="I989" s="290"/>
      <c r="J989" s="290"/>
      <c r="K989" s="131"/>
      <c r="L989" s="131"/>
      <c r="M989" s="131"/>
      <c r="N989" s="131"/>
      <c r="O989" s="131"/>
      <c r="P989" s="131"/>
      <c r="Q989" s="131"/>
      <c r="R989" s="131"/>
      <c r="S989" s="131"/>
      <c r="T989" s="131"/>
      <c r="U989" s="131"/>
      <c r="V989" s="131"/>
      <c r="W989" s="131"/>
      <c r="X989" s="131"/>
      <c r="Y989" s="131"/>
      <c r="Z989" s="131"/>
    </row>
    <row r="990">
      <c r="A990" s="290"/>
      <c r="B990" s="290"/>
      <c r="C990" s="290"/>
      <c r="D990" s="290"/>
      <c r="E990" s="290"/>
      <c r="F990" s="290"/>
      <c r="G990" s="290"/>
      <c r="H990" s="290"/>
      <c r="I990" s="290"/>
      <c r="J990" s="290"/>
      <c r="K990" s="131"/>
      <c r="L990" s="131"/>
      <c r="M990" s="131"/>
      <c r="N990" s="131"/>
      <c r="O990" s="131"/>
      <c r="P990" s="131"/>
      <c r="Q990" s="131"/>
      <c r="R990" s="131"/>
      <c r="S990" s="131"/>
      <c r="T990" s="131"/>
      <c r="U990" s="131"/>
      <c r="V990" s="131"/>
      <c r="W990" s="131"/>
      <c r="X990" s="131"/>
      <c r="Y990" s="131"/>
      <c r="Z990" s="131"/>
    </row>
    <row r="991">
      <c r="A991" s="290"/>
      <c r="B991" s="290"/>
      <c r="C991" s="290"/>
      <c r="D991" s="290"/>
      <c r="E991" s="290"/>
      <c r="F991" s="290"/>
      <c r="G991" s="290"/>
      <c r="H991" s="290"/>
      <c r="I991" s="290"/>
      <c r="J991" s="290"/>
      <c r="K991" s="131"/>
      <c r="L991" s="131"/>
      <c r="M991" s="131"/>
      <c r="N991" s="131"/>
      <c r="O991" s="131"/>
      <c r="P991" s="131"/>
      <c r="Q991" s="131"/>
      <c r="R991" s="131"/>
      <c r="S991" s="131"/>
      <c r="T991" s="131"/>
      <c r="U991" s="131"/>
      <c r="V991" s="131"/>
      <c r="W991" s="131"/>
      <c r="X991" s="131"/>
      <c r="Y991" s="131"/>
      <c r="Z991" s="131"/>
    </row>
    <row r="992">
      <c r="A992" s="290"/>
      <c r="B992" s="290"/>
      <c r="C992" s="290"/>
      <c r="D992" s="290"/>
      <c r="E992" s="290"/>
      <c r="F992" s="290"/>
      <c r="G992" s="290"/>
      <c r="H992" s="290"/>
      <c r="I992" s="290"/>
      <c r="J992" s="290"/>
      <c r="K992" s="131"/>
      <c r="L992" s="131"/>
      <c r="M992" s="131"/>
      <c r="N992" s="131"/>
      <c r="O992" s="131"/>
      <c r="P992" s="131"/>
      <c r="Q992" s="131"/>
      <c r="R992" s="131"/>
      <c r="S992" s="131"/>
      <c r="T992" s="131"/>
      <c r="U992" s="131"/>
      <c r="V992" s="131"/>
      <c r="W992" s="131"/>
      <c r="X992" s="131"/>
      <c r="Y992" s="131"/>
      <c r="Z992" s="131"/>
    </row>
    <row r="993">
      <c r="A993" s="290"/>
      <c r="B993" s="290"/>
      <c r="C993" s="290"/>
      <c r="D993" s="290"/>
      <c r="E993" s="290"/>
      <c r="F993" s="290"/>
      <c r="G993" s="290"/>
      <c r="H993" s="290"/>
      <c r="I993" s="290"/>
      <c r="J993" s="290"/>
      <c r="K993" s="131"/>
      <c r="L993" s="131"/>
      <c r="M993" s="131"/>
      <c r="N993" s="131"/>
      <c r="O993" s="131"/>
      <c r="P993" s="131"/>
      <c r="Q993" s="131"/>
      <c r="R993" s="131"/>
      <c r="S993" s="131"/>
      <c r="T993" s="131"/>
      <c r="U993" s="131"/>
      <c r="V993" s="131"/>
      <c r="W993" s="131"/>
      <c r="X993" s="131"/>
      <c r="Y993" s="131"/>
      <c r="Z993" s="131"/>
    </row>
    <row r="994">
      <c r="A994" s="290"/>
      <c r="B994" s="290"/>
      <c r="C994" s="290"/>
      <c r="D994" s="290"/>
      <c r="E994" s="290"/>
      <c r="F994" s="290"/>
      <c r="G994" s="290"/>
      <c r="H994" s="290"/>
      <c r="I994" s="290"/>
      <c r="J994" s="290"/>
      <c r="K994" s="131"/>
      <c r="L994" s="131"/>
      <c r="M994" s="131"/>
      <c r="N994" s="131"/>
      <c r="O994" s="131"/>
      <c r="P994" s="131"/>
      <c r="Q994" s="131"/>
      <c r="R994" s="131"/>
      <c r="S994" s="131"/>
      <c r="T994" s="131"/>
      <c r="U994" s="131"/>
      <c r="V994" s="131"/>
      <c r="W994" s="131"/>
      <c r="X994" s="131"/>
      <c r="Y994" s="131"/>
      <c r="Z994" s="131"/>
    </row>
    <row r="995">
      <c r="A995" s="290"/>
      <c r="B995" s="290"/>
      <c r="C995" s="290"/>
      <c r="D995" s="290"/>
      <c r="E995" s="290"/>
      <c r="F995" s="290"/>
      <c r="G995" s="290"/>
      <c r="H995" s="290"/>
      <c r="I995" s="290"/>
      <c r="J995" s="290"/>
      <c r="K995" s="131"/>
      <c r="L995" s="131"/>
      <c r="M995" s="131"/>
      <c r="N995" s="131"/>
      <c r="O995" s="131"/>
      <c r="P995" s="131"/>
      <c r="Q995" s="131"/>
      <c r="R995" s="131"/>
      <c r="S995" s="131"/>
      <c r="T995" s="131"/>
      <c r="U995" s="131"/>
      <c r="V995" s="131"/>
      <c r="W995" s="131"/>
      <c r="X995" s="131"/>
      <c r="Y995" s="131"/>
      <c r="Z995" s="131"/>
    </row>
    <row r="996">
      <c r="A996" s="290"/>
      <c r="B996" s="290"/>
      <c r="C996" s="290"/>
      <c r="D996" s="290"/>
      <c r="E996" s="290"/>
      <c r="F996" s="290"/>
      <c r="G996" s="290"/>
      <c r="H996" s="290"/>
      <c r="I996" s="290"/>
      <c r="J996" s="290"/>
      <c r="K996" s="131"/>
      <c r="L996" s="131"/>
      <c r="M996" s="131"/>
      <c r="N996" s="131"/>
      <c r="O996" s="131"/>
      <c r="P996" s="131"/>
      <c r="Q996" s="131"/>
      <c r="R996" s="131"/>
      <c r="S996" s="131"/>
      <c r="T996" s="131"/>
      <c r="U996" s="131"/>
      <c r="V996" s="131"/>
      <c r="W996" s="131"/>
      <c r="X996" s="131"/>
      <c r="Y996" s="131"/>
      <c r="Z996" s="131"/>
    </row>
    <row r="997">
      <c r="A997" s="290"/>
      <c r="B997" s="290"/>
      <c r="C997" s="290"/>
      <c r="D997" s="290"/>
      <c r="E997" s="290"/>
      <c r="F997" s="290"/>
      <c r="G997" s="290"/>
      <c r="H997" s="290"/>
      <c r="I997" s="290"/>
      <c r="J997" s="290"/>
      <c r="K997" s="131"/>
      <c r="L997" s="131"/>
      <c r="M997" s="131"/>
      <c r="N997" s="131"/>
      <c r="O997" s="131"/>
      <c r="P997" s="131"/>
      <c r="Q997" s="131"/>
      <c r="R997" s="131"/>
      <c r="S997" s="131"/>
      <c r="T997" s="131"/>
      <c r="U997" s="131"/>
      <c r="V997" s="131"/>
      <c r="W997" s="131"/>
      <c r="X997" s="131"/>
      <c r="Y997" s="131"/>
      <c r="Z997" s="131"/>
    </row>
    <row r="998">
      <c r="A998" s="290"/>
      <c r="B998" s="290"/>
      <c r="C998" s="290"/>
      <c r="D998" s="290"/>
      <c r="E998" s="290"/>
      <c r="F998" s="290"/>
      <c r="G998" s="290"/>
      <c r="H998" s="290"/>
      <c r="I998" s="290"/>
      <c r="J998" s="290"/>
      <c r="K998" s="131"/>
      <c r="L998" s="131"/>
      <c r="M998" s="131"/>
      <c r="N998" s="131"/>
      <c r="O998" s="131"/>
      <c r="P998" s="131"/>
      <c r="Q998" s="131"/>
      <c r="R998" s="131"/>
      <c r="S998" s="131"/>
      <c r="T998" s="131"/>
      <c r="U998" s="131"/>
      <c r="V998" s="131"/>
      <c r="W998" s="131"/>
      <c r="X998" s="131"/>
      <c r="Y998" s="131"/>
      <c r="Z998" s="131"/>
    </row>
    <row r="999">
      <c r="A999" s="290"/>
      <c r="B999" s="290"/>
      <c r="C999" s="290"/>
      <c r="D999" s="290"/>
      <c r="E999" s="290"/>
      <c r="F999" s="290"/>
      <c r="G999" s="290"/>
      <c r="H999" s="290"/>
      <c r="I999" s="290"/>
      <c r="J999" s="290"/>
      <c r="K999" s="131"/>
      <c r="L999" s="131"/>
      <c r="M999" s="131"/>
      <c r="N999" s="131"/>
      <c r="O999" s="131"/>
      <c r="P999" s="131"/>
      <c r="Q999" s="131"/>
      <c r="R999" s="131"/>
      <c r="S999" s="131"/>
      <c r="T999" s="131"/>
      <c r="U999" s="131"/>
      <c r="V999" s="131"/>
      <c r="W999" s="131"/>
      <c r="X999" s="131"/>
      <c r="Y999" s="131"/>
      <c r="Z999" s="131"/>
    </row>
    <row r="1000">
      <c r="A1000" s="290"/>
      <c r="B1000" s="290"/>
      <c r="C1000" s="290"/>
      <c r="D1000" s="290"/>
      <c r="E1000" s="290"/>
      <c r="F1000" s="290"/>
      <c r="G1000" s="290"/>
      <c r="H1000" s="290"/>
      <c r="I1000" s="290"/>
      <c r="J1000" s="290"/>
      <c r="K1000" s="131"/>
      <c r="L1000" s="131"/>
      <c r="M1000" s="131"/>
      <c r="N1000" s="131"/>
      <c r="O1000" s="131"/>
      <c r="P1000" s="131"/>
      <c r="Q1000" s="131"/>
      <c r="R1000" s="131"/>
      <c r="S1000" s="131"/>
      <c r="T1000" s="131"/>
      <c r="U1000" s="131"/>
      <c r="V1000" s="131"/>
      <c r="W1000" s="131"/>
      <c r="X1000" s="131"/>
      <c r="Y1000" s="131"/>
      <c r="Z1000" s="131"/>
    </row>
  </sheetData>
  <mergeCells count="2">
    <mergeCell ref="D2:D81"/>
    <mergeCell ref="F2:F8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